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105" yWindow="-105" windowWidth="16665" windowHeight="8745" tabRatio="913" firstSheet="17" activeTab="22"/>
  </bookViews>
  <sheets>
    <sheet name="LEAD OF MATL." sheetId="38" state="hidden" r:id="rId1"/>
    <sheet name="Protect Sheet Formula" sheetId="40" state="hidden" r:id="rId2"/>
    <sheet name="Drawing-1 (3)" sheetId="73" state="hidden" r:id="rId3"/>
    <sheet name="Transperency Board NREGS (2)" sheetId="102" state="hidden" r:id="rId4"/>
    <sheet name="Sheet4 (2)" sheetId="105" state="hidden" r:id="rId5"/>
    <sheet name="DRAWING DRAIN (2)" sheetId="112" state="hidden" r:id="rId6"/>
    <sheet name="DRAWING ADDL CLASS ROOM (4)" sheetId="111" state="hidden" r:id="rId7"/>
    <sheet name="DRAWING DRAIN" sheetId="55" state="hidden" r:id="rId8"/>
    <sheet name="DRAWING ADDL CLASS ROOM (3)" sheetId="101" state="hidden" r:id="rId9"/>
    <sheet name="DRAWING ADDL CLASS ROOM (2)" sheetId="100" state="hidden" r:id="rId10"/>
    <sheet name="DRAWING ADDL CLASS ROOM" sheetId="99" state="hidden" r:id="rId11"/>
    <sheet name="BASIC COST OF MATL" sheetId="37" state="hidden" r:id="rId12"/>
    <sheet name="HIRE CHG OF MECH." sheetId="36" state="hidden" r:id="rId13"/>
    <sheet name="Detail Estimate" sheetId="18" state="hidden" r:id="rId14"/>
    <sheet name="DRAWING CC-1" sheetId="67" state="hidden" r:id="rId15"/>
    <sheet name="DRAWING Mission Shakti Bldg" sheetId="87" state="hidden" r:id="rId16"/>
    <sheet name="DRAWING CC" sheetId="6" state="hidden" r:id="rId17"/>
    <sheet name="BOQ Cover" sheetId="114" r:id="rId18"/>
    <sheet name="Cover " sheetId="107" state="hidden" r:id="rId19"/>
    <sheet name="Report " sheetId="108" state="hidden" r:id="rId20"/>
    <sheet name="Lead &amp; ANALYSIS" sheetId="7" state="hidden" r:id="rId21"/>
    <sheet name="DINING" sheetId="106" state="hidden" r:id="rId22"/>
    <sheet name="BOQ (2)" sheetId="115" r:id="rId23"/>
    <sheet name="BOQ" sheetId="110" state="hidden" r:id="rId24"/>
    <sheet name="Drawing Dining" sheetId="109" state="hidden" r:id="rId25"/>
    <sheet name="Rod design" sheetId="113" state="hidden" r:id="rId26"/>
    <sheet name="DRAWING CLASS ROOM" sheetId="54" state="hidden" r:id="rId27"/>
    <sheet name="DRAWING HALL" sheetId="21" state="hidden" r:id="rId28"/>
    <sheet name="ANALYSIS 18-19  MGNREGS" sheetId="44" state="hidden" r:id="rId29"/>
    <sheet name="DRAWING B WALL" sheetId="59" state="hidden" r:id="rId30"/>
    <sheet name="STEEL RATE" sheetId="41" state="hidden" r:id="rId31"/>
    <sheet name="BILL FORM Blank" sheetId="22" state="hidden" r:id="rId32"/>
    <sheet name="BILL FORM 1st RA" sheetId="23" state="hidden" r:id="rId33"/>
    <sheet name="BAR CHART" sheetId="27" state="hidden" r:id="rId34"/>
    <sheet name="MS" sheetId="4" state="hidden" r:id="rId35"/>
    <sheet name="BILL FORM Running " sheetId="24" state="hidden" r:id="rId36"/>
    <sheet name="ABSTRACT MR" sheetId="56" state="hidden" r:id="rId37"/>
    <sheet name="Mate Payment" sheetId="63" state="hidden" r:id="rId38"/>
    <sheet name="Vendor &amp; Labour Statement" sheetId="35" state="hidden" r:id="rId39"/>
    <sheet name="Gross Bill Statement" sheetId="43" state="hidden" r:id="rId40"/>
    <sheet name="ODMT MGNREGA" sheetId="13" state="hidden" r:id="rId41"/>
    <sheet name="ABSTRACT Net Bill" sheetId="61" state="hidden" r:id="rId42"/>
    <sheet name="ESTIMATE-F" sheetId="17" state="hidden" r:id="rId43"/>
    <sheet name="EST Dug Well 6'-0&quot;" sheetId="9" state="hidden" r:id="rId44"/>
    <sheet name="COVER MGNREGS" sheetId="10" state="hidden" r:id="rId45"/>
    <sheet name="Splitup Est Convergence" sheetId="11" state="hidden" r:id="rId46"/>
    <sheet name="GENERAL ABSTRACT NREGA" sheetId="12"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s" localSheetId="23">[1]Labour!$D$12</definedName>
    <definedName name="as" localSheetId="22">[1]Labour!$D$12</definedName>
    <definedName name="as" localSheetId="17">[1]Labour!$D$12</definedName>
    <definedName name="as" localSheetId="18">[1]Labour!$D$12</definedName>
    <definedName name="as" localSheetId="21">[1]Labour!$D$12</definedName>
    <definedName name="as" localSheetId="24">[1]Labour!$D$12</definedName>
    <definedName name="as" localSheetId="19">[1]Labour!$D$12</definedName>
    <definedName name="as">#REF!</definedName>
    <definedName name="drg">[2]Labour!$D$3</definedName>
    <definedName name="L_Bhisti" localSheetId="33">#REF!</definedName>
    <definedName name="L_Bhisti" localSheetId="23">[2]Labour!$D$3</definedName>
    <definedName name="L_Bhisti" localSheetId="22">[2]Labour!$D$3</definedName>
    <definedName name="L_Bhisti" localSheetId="17">[2]Labour!$D$3</definedName>
    <definedName name="L_Bhisti" localSheetId="18">[2]Labour!$D$3</definedName>
    <definedName name="L_Bhisti" localSheetId="21">[2]Labour!$D$3</definedName>
    <definedName name="L_Bhisti" localSheetId="26">#REF!</definedName>
    <definedName name="L_Bhisti" localSheetId="24">[3]Labour!$D$3</definedName>
    <definedName name="L_Bhisti" localSheetId="27">#REF!</definedName>
    <definedName name="L_Bhisti" localSheetId="15">#REF!</definedName>
    <definedName name="L_Bhisti" localSheetId="2">#REF!</definedName>
    <definedName name="L_Bhisti" localSheetId="46">#REF!</definedName>
    <definedName name="L_Bhisti" localSheetId="37">#REF!</definedName>
    <definedName name="L_Bhisti" localSheetId="19">[2]Labour!$D$3</definedName>
    <definedName name="L_Bhisti">#REF!</definedName>
    <definedName name="L_BitumenSprayer" localSheetId="33">#REF!</definedName>
    <definedName name="L_BitumenSprayer" localSheetId="23">[2]Labour!$D$4</definedName>
    <definedName name="L_BitumenSprayer" localSheetId="22">[2]Labour!$D$4</definedName>
    <definedName name="L_BitumenSprayer" localSheetId="17">[2]Labour!$D$4</definedName>
    <definedName name="L_BitumenSprayer" localSheetId="18">[2]Labour!$D$4</definedName>
    <definedName name="L_BitumenSprayer" localSheetId="21">[2]Labour!$D$4</definedName>
    <definedName name="L_BitumenSprayer" localSheetId="26">#REF!</definedName>
    <definedName name="L_BitumenSprayer" localSheetId="24">[3]Labour!$D$4</definedName>
    <definedName name="L_BitumenSprayer" localSheetId="27">#REF!</definedName>
    <definedName name="L_BitumenSprayer" localSheetId="15">#REF!</definedName>
    <definedName name="L_BitumenSprayer" localSheetId="2">#REF!</definedName>
    <definedName name="L_BitumenSprayer" localSheetId="46">#REF!</definedName>
    <definedName name="L_BitumenSprayer" localSheetId="37">#REF!</definedName>
    <definedName name="L_BitumenSprayer" localSheetId="19">[2]Labour!$D$4</definedName>
    <definedName name="L_BitumenSprayer">#REF!</definedName>
    <definedName name="L_Blacksmith" localSheetId="33">#REF!</definedName>
    <definedName name="L_Blacksmith" localSheetId="23">[2]Labour!$D$5</definedName>
    <definedName name="L_Blacksmith" localSheetId="22">[2]Labour!$D$5</definedName>
    <definedName name="L_Blacksmith" localSheetId="17">[2]Labour!$D$5</definedName>
    <definedName name="L_Blacksmith" localSheetId="18">[2]Labour!$D$5</definedName>
    <definedName name="L_Blacksmith" localSheetId="21">[2]Labour!$D$5</definedName>
    <definedName name="L_Blacksmith" localSheetId="26">#REF!</definedName>
    <definedName name="L_Blacksmith" localSheetId="24">[3]Labour!$D$5</definedName>
    <definedName name="L_Blacksmith" localSheetId="27">#REF!</definedName>
    <definedName name="L_Blacksmith" localSheetId="15">#REF!</definedName>
    <definedName name="L_Blacksmith" localSheetId="2">#REF!</definedName>
    <definedName name="L_Blacksmith" localSheetId="46">#REF!</definedName>
    <definedName name="L_Blacksmith" localSheetId="37">#REF!</definedName>
    <definedName name="L_Blacksmith" localSheetId="19">[2]Labour!$D$5</definedName>
    <definedName name="L_Blacksmith">#REF!</definedName>
    <definedName name="L_Blaster" localSheetId="33">#REF!</definedName>
    <definedName name="L_Blaster" localSheetId="23">[2]Labour!$D$6</definedName>
    <definedName name="L_Blaster" localSheetId="22">[2]Labour!$D$6</definedName>
    <definedName name="L_Blaster" localSheetId="17">[2]Labour!$D$6</definedName>
    <definedName name="L_Blaster" localSheetId="18">[2]Labour!$D$6</definedName>
    <definedName name="L_Blaster" localSheetId="21">[2]Labour!$D$6</definedName>
    <definedName name="L_Blaster" localSheetId="26">#REF!</definedName>
    <definedName name="L_Blaster" localSheetId="24">[3]Labour!$D$6</definedName>
    <definedName name="L_Blaster" localSheetId="27">#REF!</definedName>
    <definedName name="L_Blaster" localSheetId="15">#REF!</definedName>
    <definedName name="L_Blaster" localSheetId="2">#REF!</definedName>
    <definedName name="L_Blaster" localSheetId="46">#REF!</definedName>
    <definedName name="L_Blaster" localSheetId="37">#REF!</definedName>
    <definedName name="L_Blaster" localSheetId="19">[2]Labour!$D$6</definedName>
    <definedName name="L_Blaster">#REF!</definedName>
    <definedName name="L_Carpenter_1stClass" localSheetId="33">#REF!</definedName>
    <definedName name="L_Carpenter_1stClass" localSheetId="23">[2]Labour!$D$7</definedName>
    <definedName name="L_Carpenter_1stClass" localSheetId="22">[2]Labour!$D$7</definedName>
    <definedName name="L_Carpenter_1stClass" localSheetId="17">[2]Labour!$D$7</definedName>
    <definedName name="L_Carpenter_1stClass" localSheetId="18">[2]Labour!$D$7</definedName>
    <definedName name="L_Carpenter_1stClass" localSheetId="21">[2]Labour!$D$7</definedName>
    <definedName name="L_Carpenter_1stClass" localSheetId="26">#REF!</definedName>
    <definedName name="L_Carpenter_1stClass" localSheetId="24">[3]Labour!$D$7</definedName>
    <definedName name="L_Carpenter_1stClass" localSheetId="27">#REF!</definedName>
    <definedName name="L_Carpenter_1stClass" localSheetId="15">#REF!</definedName>
    <definedName name="L_Carpenter_1stClass" localSheetId="2">#REF!</definedName>
    <definedName name="L_Carpenter_1stClass" localSheetId="46">#REF!</definedName>
    <definedName name="L_Carpenter_1stClass" localSheetId="37">#REF!</definedName>
    <definedName name="L_Carpenter_1stClass" localSheetId="19">[2]Labour!$D$7</definedName>
    <definedName name="L_Carpenter_1stClass">#REF!</definedName>
    <definedName name="L_ChipsSpreader" localSheetId="33">#REF!</definedName>
    <definedName name="L_ChipsSpreader" localSheetId="23">[2]Labour!$D$8</definedName>
    <definedName name="L_ChipsSpreader" localSheetId="22">[2]Labour!$D$8</definedName>
    <definedName name="L_ChipsSpreader" localSheetId="17">[2]Labour!$D$8</definedName>
    <definedName name="L_ChipsSpreader" localSheetId="18">[2]Labour!$D$8</definedName>
    <definedName name="L_ChipsSpreader" localSheetId="21">[2]Labour!$D$8</definedName>
    <definedName name="L_ChipsSpreader" localSheetId="26">#REF!</definedName>
    <definedName name="L_ChipsSpreader" localSheetId="24">[3]Labour!$D$8</definedName>
    <definedName name="L_ChipsSpreader" localSheetId="27">#REF!</definedName>
    <definedName name="L_ChipsSpreader" localSheetId="15">#REF!</definedName>
    <definedName name="L_ChipsSpreader" localSheetId="2">#REF!</definedName>
    <definedName name="L_ChipsSpreader" localSheetId="46">#REF!</definedName>
    <definedName name="L_ChipsSpreader" localSheetId="37">#REF!</definedName>
    <definedName name="L_ChipsSpreader" localSheetId="19">[2]Labour!$D$8</definedName>
    <definedName name="L_ChipsSpreader">#REF!</definedName>
    <definedName name="L_Chiseller" localSheetId="33">#REF!</definedName>
    <definedName name="L_Chiseller" localSheetId="23">[2]Labour!$D$9</definedName>
    <definedName name="L_Chiseller" localSheetId="22">[2]Labour!$D$9</definedName>
    <definedName name="L_Chiseller" localSheetId="17">[2]Labour!$D$9</definedName>
    <definedName name="L_Chiseller" localSheetId="18">[2]Labour!$D$9</definedName>
    <definedName name="L_Chiseller" localSheetId="21">[2]Labour!$D$9</definedName>
    <definedName name="L_Chiseller" localSheetId="26">#REF!</definedName>
    <definedName name="L_Chiseller" localSheetId="24">[3]Labour!$D$9</definedName>
    <definedName name="L_Chiseller" localSheetId="27">#REF!</definedName>
    <definedName name="L_Chiseller" localSheetId="15">#REF!</definedName>
    <definedName name="L_Chiseller" localSheetId="2">#REF!</definedName>
    <definedName name="L_Chiseller" localSheetId="46">#REF!</definedName>
    <definedName name="L_Chiseller" localSheetId="37">#REF!</definedName>
    <definedName name="L_Chiseller" localSheetId="19">[2]Labour!$D$9</definedName>
    <definedName name="L_Chiseller">#REF!</definedName>
    <definedName name="L_Dresser_Skilled" localSheetId="33">#REF!</definedName>
    <definedName name="L_Dresser_Skilled" localSheetId="23">[2]Labour!$D$10</definedName>
    <definedName name="L_Dresser_Skilled" localSheetId="22">[2]Labour!$D$10</definedName>
    <definedName name="L_Dresser_Skilled" localSheetId="17">[2]Labour!$D$10</definedName>
    <definedName name="L_Dresser_Skilled" localSheetId="18">[2]Labour!$D$10</definedName>
    <definedName name="L_Dresser_Skilled" localSheetId="21">[2]Labour!$D$10</definedName>
    <definedName name="L_Dresser_Skilled" localSheetId="26">#REF!</definedName>
    <definedName name="L_Dresser_Skilled" localSheetId="24">[3]Labour!$D$10</definedName>
    <definedName name="L_Dresser_Skilled" localSheetId="27">#REF!</definedName>
    <definedName name="L_Dresser_Skilled" localSheetId="15">#REF!</definedName>
    <definedName name="L_Dresser_Skilled" localSheetId="2">#REF!</definedName>
    <definedName name="L_Dresser_Skilled" localSheetId="46">#REF!</definedName>
    <definedName name="L_Dresser_Skilled" localSheetId="37">#REF!</definedName>
    <definedName name="L_Dresser_Skilled" localSheetId="19">[2]Labour!$D$10</definedName>
    <definedName name="L_Dresser_Skilled">#REF!</definedName>
    <definedName name="L_Driller" localSheetId="33">#REF!</definedName>
    <definedName name="L_Driller" localSheetId="23">[2]Labour!$D$11</definedName>
    <definedName name="L_Driller" localSheetId="22">[2]Labour!$D$11</definedName>
    <definedName name="L_Driller" localSheetId="17">[2]Labour!$D$11</definedName>
    <definedName name="L_Driller" localSheetId="18">[2]Labour!$D$11</definedName>
    <definedName name="L_Driller" localSheetId="21">[2]Labour!$D$11</definedName>
    <definedName name="L_Driller" localSheetId="26">#REF!</definedName>
    <definedName name="L_Driller" localSheetId="24">[3]Labour!$D$11</definedName>
    <definedName name="L_Driller" localSheetId="27">#REF!</definedName>
    <definedName name="L_Driller" localSheetId="15">#REF!</definedName>
    <definedName name="L_Driller" localSheetId="2">#REF!</definedName>
    <definedName name="L_Driller" localSheetId="46">#REF!</definedName>
    <definedName name="L_Driller" localSheetId="37">#REF!</definedName>
    <definedName name="L_Driller" localSheetId="19">[2]Labour!$D$11</definedName>
    <definedName name="L_Driller">#REF!</definedName>
    <definedName name="L_Electrician_Lineman" localSheetId="33">#REF!</definedName>
    <definedName name="L_Electrician_Lineman" localSheetId="23">[2]Labour!$D$12</definedName>
    <definedName name="L_Electrician_Lineman" localSheetId="22">[2]Labour!$D$12</definedName>
    <definedName name="L_Electrician_Lineman" localSheetId="17">[2]Labour!$D$12</definedName>
    <definedName name="L_Electrician_Lineman" localSheetId="18">[2]Labour!$D$12</definedName>
    <definedName name="L_Electrician_Lineman" localSheetId="21">[2]Labour!$D$12</definedName>
    <definedName name="L_Electrician_Lineman" localSheetId="26">#REF!</definedName>
    <definedName name="L_Electrician_Lineman" localSheetId="24">[3]Labour!$D$12</definedName>
    <definedName name="L_Electrician_Lineman" localSheetId="27">#REF!</definedName>
    <definedName name="L_Electrician_Lineman" localSheetId="15">#REF!</definedName>
    <definedName name="L_Electrician_Lineman" localSheetId="2">#REF!</definedName>
    <definedName name="L_Electrician_Lineman" localSheetId="46">#REF!</definedName>
    <definedName name="L_Electrician_Lineman" localSheetId="37">#REF!</definedName>
    <definedName name="L_Electrician_Lineman" localSheetId="19">[2]Labour!$D$12</definedName>
    <definedName name="L_Electrician_Lineman">#REF!</definedName>
    <definedName name="L_Fitter" localSheetId="33">#REF!</definedName>
    <definedName name="L_Fitter" localSheetId="23">[2]Labour!$D$13</definedName>
    <definedName name="L_Fitter" localSheetId="22">[2]Labour!$D$13</definedName>
    <definedName name="L_Fitter" localSheetId="17">[2]Labour!$D$13</definedName>
    <definedName name="L_Fitter" localSheetId="18">[2]Labour!$D$13</definedName>
    <definedName name="L_Fitter" localSheetId="21">[2]Labour!$D$13</definedName>
    <definedName name="L_Fitter" localSheetId="26">#REF!</definedName>
    <definedName name="L_Fitter" localSheetId="24">[3]Labour!$D$13</definedName>
    <definedName name="L_Fitter" localSheetId="27">#REF!</definedName>
    <definedName name="L_Fitter" localSheetId="15">#REF!</definedName>
    <definedName name="L_Fitter" localSheetId="2">#REF!</definedName>
    <definedName name="L_Fitter" localSheetId="46">#REF!</definedName>
    <definedName name="L_Fitter" localSheetId="37">#REF!</definedName>
    <definedName name="L_Fitter" localSheetId="19">[2]Labour!$D$13</definedName>
    <definedName name="L_Fitter">#REF!</definedName>
    <definedName name="L_Mason_1stClass" localSheetId="33">#REF!</definedName>
    <definedName name="L_Mason_1stClass" localSheetId="23">[2]Labour!$D$14</definedName>
    <definedName name="L_Mason_1stClass" localSheetId="22">[2]Labour!$D$14</definedName>
    <definedName name="L_Mason_1stClass" localSheetId="17">[2]Labour!$D$14</definedName>
    <definedName name="L_Mason_1stClass" localSheetId="18">[2]Labour!$D$14</definedName>
    <definedName name="L_Mason_1stClass" localSheetId="21">[2]Labour!$D$14</definedName>
    <definedName name="L_Mason_1stClass" localSheetId="26">#REF!</definedName>
    <definedName name="L_Mason_1stClass" localSheetId="24">[3]Labour!$D$14</definedName>
    <definedName name="L_Mason_1stClass" localSheetId="27">#REF!</definedName>
    <definedName name="L_Mason_1stClass" localSheetId="15">#REF!</definedName>
    <definedName name="L_Mason_1stClass" localSheetId="2">#REF!</definedName>
    <definedName name="L_Mason_1stClass" localSheetId="46">#REF!</definedName>
    <definedName name="L_Mason_1stClass" localSheetId="37">#REF!</definedName>
    <definedName name="L_Mason_1stClass" localSheetId="19">[2]Labour!$D$14</definedName>
    <definedName name="L_Mason_1stClass">#REF!</definedName>
    <definedName name="L_Mason_2ndClass" localSheetId="33">#REF!</definedName>
    <definedName name="L_Mason_2ndClass" localSheetId="23">[2]Labour!$D$15</definedName>
    <definedName name="L_Mason_2ndClass" localSheetId="22">[2]Labour!$D$15</definedName>
    <definedName name="L_Mason_2ndClass" localSheetId="17">[2]Labour!$D$15</definedName>
    <definedName name="L_Mason_2ndClass" localSheetId="18">[2]Labour!$D$15</definedName>
    <definedName name="L_Mason_2ndClass" localSheetId="21">[2]Labour!$D$15</definedName>
    <definedName name="L_Mason_2ndClass" localSheetId="26">#REF!</definedName>
    <definedName name="L_Mason_2ndClass" localSheetId="24">[3]Labour!$D$15</definedName>
    <definedName name="L_Mason_2ndClass" localSheetId="27">#REF!</definedName>
    <definedName name="L_Mason_2ndClass" localSheetId="15">#REF!</definedName>
    <definedName name="L_Mason_2ndClass" localSheetId="2">#REF!</definedName>
    <definedName name="L_Mason_2ndClass" localSheetId="46">#REF!</definedName>
    <definedName name="L_Mason_2ndClass" localSheetId="37">#REF!</definedName>
    <definedName name="L_Mason_2ndClass" localSheetId="19">[2]Labour!$D$15</definedName>
    <definedName name="L_Mason_2ndClass">#REF!</definedName>
    <definedName name="L_Mate" localSheetId="33">#REF!</definedName>
    <definedName name="L_Mate" localSheetId="23">[2]Labour!$D$16</definedName>
    <definedName name="L_Mate" localSheetId="22">[2]Labour!$D$16</definedName>
    <definedName name="L_Mate" localSheetId="17">[2]Labour!$D$16</definedName>
    <definedName name="L_Mate" localSheetId="18">[2]Labour!$D$16</definedName>
    <definedName name="L_Mate" localSheetId="21">[2]Labour!$D$16</definedName>
    <definedName name="L_Mate" localSheetId="26">#REF!</definedName>
    <definedName name="L_Mate" localSheetId="24">[3]Labour!$D$16</definedName>
    <definedName name="L_Mate" localSheetId="27">#REF!</definedName>
    <definedName name="L_Mate" localSheetId="15">#REF!</definedName>
    <definedName name="L_Mate" localSheetId="2">#REF!</definedName>
    <definedName name="L_Mate" localSheetId="46">#REF!</definedName>
    <definedName name="L_Mate" localSheetId="37">#REF!</definedName>
    <definedName name="L_Mate" localSheetId="19">[2]Labour!$D$16</definedName>
    <definedName name="L_Mate">#REF!</definedName>
    <definedName name="L_Mazdoor" localSheetId="33">#REF!</definedName>
    <definedName name="L_Mazdoor" localSheetId="23">[2]Labour!$D$17</definedName>
    <definedName name="L_Mazdoor" localSheetId="22">[2]Labour!$D$17</definedName>
    <definedName name="L_Mazdoor" localSheetId="17">[2]Labour!$D$17</definedName>
    <definedName name="L_Mazdoor" localSheetId="18">[2]Labour!$D$17</definedName>
    <definedName name="L_Mazdoor" localSheetId="21">[2]Labour!$D$17</definedName>
    <definedName name="L_Mazdoor" localSheetId="26">#REF!</definedName>
    <definedName name="L_Mazdoor" localSheetId="24">[3]Labour!$D$17</definedName>
    <definedName name="L_Mazdoor" localSheetId="27">#REF!</definedName>
    <definedName name="L_Mazdoor" localSheetId="15">#REF!</definedName>
    <definedName name="L_Mazdoor" localSheetId="2">#REF!</definedName>
    <definedName name="L_Mazdoor" localSheetId="46">#REF!</definedName>
    <definedName name="L_Mazdoor" localSheetId="37">#REF!</definedName>
    <definedName name="L_Mazdoor" localSheetId="19">[2]Labour!$D$17</definedName>
    <definedName name="L_Mazdoor">#REF!</definedName>
    <definedName name="L_Mazdoor_Semi" localSheetId="33">#REF!</definedName>
    <definedName name="L_Mazdoor_Semi" localSheetId="23">[2]Labour!$D$18</definedName>
    <definedName name="L_Mazdoor_Semi" localSheetId="22">[2]Labour!$D$18</definedName>
    <definedName name="L_Mazdoor_Semi" localSheetId="17">[2]Labour!$D$18</definedName>
    <definedName name="L_Mazdoor_Semi" localSheetId="18">[2]Labour!$D$18</definedName>
    <definedName name="L_Mazdoor_Semi" localSheetId="21">[2]Labour!$D$18</definedName>
    <definedName name="L_Mazdoor_Semi" localSheetId="26">#REF!</definedName>
    <definedName name="L_Mazdoor_Semi" localSheetId="24">[3]Labour!$D$18</definedName>
    <definedName name="L_Mazdoor_Semi" localSheetId="27">#REF!</definedName>
    <definedName name="L_Mazdoor_Semi" localSheetId="15">#REF!</definedName>
    <definedName name="L_Mazdoor_Semi" localSheetId="2">#REF!</definedName>
    <definedName name="L_Mazdoor_Semi" localSheetId="46">#REF!</definedName>
    <definedName name="L_Mazdoor_Semi" localSheetId="37">#REF!</definedName>
    <definedName name="L_Mazdoor_Semi" localSheetId="19">[2]Labour!$D$18</definedName>
    <definedName name="L_Mazdoor_Semi">#REF!</definedName>
    <definedName name="L_Mazdoor_Skilled" localSheetId="33">#REF!</definedName>
    <definedName name="L_Mazdoor_Skilled" localSheetId="23">[2]Labour!$D$19</definedName>
    <definedName name="L_Mazdoor_Skilled" localSheetId="22">[2]Labour!$D$19</definedName>
    <definedName name="L_Mazdoor_Skilled" localSheetId="17">[2]Labour!$D$19</definedName>
    <definedName name="L_Mazdoor_Skilled" localSheetId="18">[2]Labour!$D$19</definedName>
    <definedName name="L_Mazdoor_Skilled" localSheetId="21">[2]Labour!$D$19</definedName>
    <definedName name="L_Mazdoor_Skilled" localSheetId="26">#REF!</definedName>
    <definedName name="L_Mazdoor_Skilled" localSheetId="24">[3]Labour!$D$19</definedName>
    <definedName name="L_Mazdoor_Skilled" localSheetId="27">#REF!</definedName>
    <definedName name="L_Mazdoor_Skilled" localSheetId="15">#REF!</definedName>
    <definedName name="L_Mazdoor_Skilled" localSheetId="2">#REF!</definedName>
    <definedName name="L_Mazdoor_Skilled" localSheetId="46">#REF!</definedName>
    <definedName name="L_Mazdoor_Skilled" localSheetId="37">#REF!</definedName>
    <definedName name="L_Mazdoor_Skilled" localSheetId="19">[2]Labour!$D$19</definedName>
    <definedName name="L_Mazdoor_Skilled">#REF!</definedName>
    <definedName name="L_Painter_1stClass" localSheetId="33">#REF!</definedName>
    <definedName name="L_Painter_1stClass" localSheetId="23">[2]Labour!$D$20</definedName>
    <definedName name="L_Painter_1stClass" localSheetId="22">[2]Labour!$D$20</definedName>
    <definedName name="L_Painter_1stClass" localSheetId="17">[2]Labour!$D$20</definedName>
    <definedName name="L_Painter_1stClass" localSheetId="18">[2]Labour!$D$20</definedName>
    <definedName name="L_Painter_1stClass" localSheetId="21">[2]Labour!$D$20</definedName>
    <definedName name="L_Painter_1stClass" localSheetId="26">#REF!</definedName>
    <definedName name="L_Painter_1stClass" localSheetId="24">[3]Labour!$D$20</definedName>
    <definedName name="L_Painter_1stClass" localSheetId="27">#REF!</definedName>
    <definedName name="L_Painter_1stClass" localSheetId="15">#REF!</definedName>
    <definedName name="L_Painter_1stClass" localSheetId="2">#REF!</definedName>
    <definedName name="L_Painter_1stClass" localSheetId="46">#REF!</definedName>
    <definedName name="L_Painter_1stClass" localSheetId="37">#REF!</definedName>
    <definedName name="L_Painter_1stClass" localSheetId="19">[2]Labour!$D$20</definedName>
    <definedName name="L_Painter_1stClass">#REF!</definedName>
    <definedName name="L_Plumber" localSheetId="33">#REF!</definedName>
    <definedName name="L_Plumber" localSheetId="23">[2]Labour!$D$21</definedName>
    <definedName name="L_Plumber" localSheetId="22">[2]Labour!$D$21</definedName>
    <definedName name="L_Plumber" localSheetId="17">[2]Labour!$D$21</definedName>
    <definedName name="L_Plumber" localSheetId="18">[2]Labour!$D$21</definedName>
    <definedName name="L_Plumber" localSheetId="21">[2]Labour!$D$21</definedName>
    <definedName name="L_Plumber" localSheetId="26">#REF!</definedName>
    <definedName name="L_Plumber" localSheetId="24">[3]Labour!$D$21</definedName>
    <definedName name="L_Plumber" localSheetId="27">#REF!</definedName>
    <definedName name="L_Plumber" localSheetId="15">#REF!</definedName>
    <definedName name="L_Plumber" localSheetId="2">#REF!</definedName>
    <definedName name="L_Plumber" localSheetId="46">#REF!</definedName>
    <definedName name="L_Plumber" localSheetId="37">#REF!</definedName>
    <definedName name="L_Plumber" localSheetId="19">[2]Labour!$D$21</definedName>
    <definedName name="L_Plumber">#REF!</definedName>
    <definedName name="L_Surveyor" localSheetId="33">#REF!</definedName>
    <definedName name="L_Surveyor" localSheetId="23">[2]Labour!$D$22</definedName>
    <definedName name="L_Surveyor" localSheetId="22">[2]Labour!$D$22</definedName>
    <definedName name="L_Surveyor" localSheetId="17">[2]Labour!$D$22</definedName>
    <definedName name="L_Surveyor" localSheetId="18">[2]Labour!$D$22</definedName>
    <definedName name="L_Surveyor" localSheetId="21">[2]Labour!$D$22</definedName>
    <definedName name="L_Surveyor" localSheetId="26">#REF!</definedName>
    <definedName name="L_Surveyor" localSheetId="24">[3]Labour!$D$22</definedName>
    <definedName name="L_Surveyor" localSheetId="27">#REF!</definedName>
    <definedName name="L_Surveyor" localSheetId="15">#REF!</definedName>
    <definedName name="L_Surveyor" localSheetId="2">#REF!</definedName>
    <definedName name="L_Surveyor" localSheetId="46">#REF!</definedName>
    <definedName name="L_Surveyor" localSheetId="37">#REF!</definedName>
    <definedName name="L_Surveyor" localSheetId="19">[2]Labour!$D$22</definedName>
    <definedName name="L_Surveyor">#REF!</definedName>
    <definedName name="L_WhiteWasher" localSheetId="33">#REF!</definedName>
    <definedName name="L_WhiteWasher" localSheetId="23">[2]Labour!$D$23</definedName>
    <definedName name="L_WhiteWasher" localSheetId="22">[2]Labour!$D$23</definedName>
    <definedName name="L_WhiteWasher" localSheetId="17">[2]Labour!$D$23</definedName>
    <definedName name="L_WhiteWasher" localSheetId="18">[2]Labour!$D$23</definedName>
    <definedName name="L_WhiteWasher" localSheetId="21">[2]Labour!$D$23</definedName>
    <definedName name="L_WhiteWasher" localSheetId="26">#REF!</definedName>
    <definedName name="L_WhiteWasher" localSheetId="24">[3]Labour!$D$23</definedName>
    <definedName name="L_WhiteWasher" localSheetId="27">#REF!</definedName>
    <definedName name="L_WhiteWasher" localSheetId="15">#REF!</definedName>
    <definedName name="L_WhiteWasher" localSheetId="2">#REF!</definedName>
    <definedName name="L_WhiteWasher" localSheetId="46">#REF!</definedName>
    <definedName name="L_WhiteWasher" localSheetId="37">#REF!</definedName>
    <definedName name="L_WhiteWasher" localSheetId="19">[2]Labour!$D$23</definedName>
    <definedName name="L_WhiteWasher">#REF!</definedName>
    <definedName name="M_ACPipe_100" localSheetId="33">#REF!</definedName>
    <definedName name="M_ACPipe_100" localSheetId="23">[2]Material!$D$3</definedName>
    <definedName name="M_ACPipe_100" localSheetId="22">[2]Material!$D$3</definedName>
    <definedName name="M_ACPipe_100" localSheetId="17">[2]Material!$D$3</definedName>
    <definedName name="M_ACPipe_100" localSheetId="18">[2]Material!$D$3</definedName>
    <definedName name="M_ACPipe_100" localSheetId="21">[2]Material!$D$3</definedName>
    <definedName name="M_ACPipe_100" localSheetId="26">#REF!</definedName>
    <definedName name="M_ACPipe_100" localSheetId="24">[3]Material!$D$3</definedName>
    <definedName name="M_ACPipe_100" localSheetId="27">#REF!</definedName>
    <definedName name="M_ACPipe_100" localSheetId="15">#REF!</definedName>
    <definedName name="M_ACPipe_100" localSheetId="2">#REF!</definedName>
    <definedName name="M_ACPipe_100" localSheetId="46">#REF!</definedName>
    <definedName name="M_ACPipe_100" localSheetId="37">#REF!</definedName>
    <definedName name="M_ACPipe_100" localSheetId="19">[2]Material!$D$3</definedName>
    <definedName name="M_ACPipe_100">#REF!</definedName>
    <definedName name="M_Aggregate_10" localSheetId="33">#REF!</definedName>
    <definedName name="M_Aggregate_10" localSheetId="23">[2]Material!$D$17</definedName>
    <definedName name="M_Aggregate_10" localSheetId="22">[2]Material!$D$17</definedName>
    <definedName name="M_Aggregate_10" localSheetId="17">[2]Material!$D$17</definedName>
    <definedName name="M_Aggregate_10" localSheetId="18">[2]Material!$D$17</definedName>
    <definedName name="M_Aggregate_10" localSheetId="21">[2]Material!$D$17</definedName>
    <definedName name="M_Aggregate_10" localSheetId="26">#REF!</definedName>
    <definedName name="M_Aggregate_10" localSheetId="24">[3]Material!$D$17</definedName>
    <definedName name="M_Aggregate_10" localSheetId="27">#REF!</definedName>
    <definedName name="M_Aggregate_10" localSheetId="15">#REF!</definedName>
    <definedName name="M_Aggregate_10" localSheetId="2">#REF!</definedName>
    <definedName name="M_Aggregate_10" localSheetId="46">#REF!</definedName>
    <definedName name="M_Aggregate_10" localSheetId="37">#REF!</definedName>
    <definedName name="M_Aggregate_10" localSheetId="19">[2]Material!$D$17</definedName>
    <definedName name="M_Aggregate_10">#REF!</definedName>
    <definedName name="M_Aggregate_20" localSheetId="33">#REF!</definedName>
    <definedName name="M_Aggregate_20" localSheetId="23">[2]Material!$D$18</definedName>
    <definedName name="M_Aggregate_20" localSheetId="22">[2]Material!$D$18</definedName>
    <definedName name="M_Aggregate_20" localSheetId="17">[2]Material!$D$18</definedName>
    <definedName name="M_Aggregate_20" localSheetId="18">[2]Material!$D$18</definedName>
    <definedName name="M_Aggregate_20" localSheetId="21">[2]Material!$D$18</definedName>
    <definedName name="M_Aggregate_20" localSheetId="26">#REF!</definedName>
    <definedName name="M_Aggregate_20" localSheetId="24">[3]Material!$D$18</definedName>
    <definedName name="M_Aggregate_20" localSheetId="27">#REF!</definedName>
    <definedName name="M_Aggregate_20" localSheetId="15">#REF!</definedName>
    <definedName name="M_Aggregate_20" localSheetId="2">#REF!</definedName>
    <definedName name="M_Aggregate_20" localSheetId="46">#REF!</definedName>
    <definedName name="M_Aggregate_20" localSheetId="37">#REF!</definedName>
    <definedName name="M_Aggregate_20" localSheetId="19">[2]Material!$D$18</definedName>
    <definedName name="M_Aggregate_20">#REF!</definedName>
    <definedName name="M_Aggregate_224_236m_WMM" localSheetId="33">#REF!</definedName>
    <definedName name="M_Aggregate_224_236m_WMM" localSheetId="23">[2]Material!$D$26</definedName>
    <definedName name="M_Aggregate_224_236m_WMM" localSheetId="22">[2]Material!$D$26</definedName>
    <definedName name="M_Aggregate_224_236m_WMM" localSheetId="17">[2]Material!$D$26</definedName>
    <definedName name="M_Aggregate_224_236m_WMM" localSheetId="18">[2]Material!$D$26</definedName>
    <definedName name="M_Aggregate_224_236m_WMM" localSheetId="21">[2]Material!$D$26</definedName>
    <definedName name="M_Aggregate_224_236m_WMM" localSheetId="26">#REF!</definedName>
    <definedName name="M_Aggregate_224_236m_WMM" localSheetId="24">[3]Material!$D$26</definedName>
    <definedName name="M_Aggregate_224_236m_WMM" localSheetId="27">#REF!</definedName>
    <definedName name="M_Aggregate_224_236m_WMM" localSheetId="15">#REF!</definedName>
    <definedName name="M_Aggregate_224_236m_WMM" localSheetId="2">#REF!</definedName>
    <definedName name="M_Aggregate_224_236m_WMM" localSheetId="46">#REF!</definedName>
    <definedName name="M_Aggregate_224_236m_WMM" localSheetId="37">#REF!</definedName>
    <definedName name="M_Aggregate_224_236m_WMM" localSheetId="19">[2]Material!$D$26</definedName>
    <definedName name="M_Aggregate_224_236m_WMM">#REF!</definedName>
    <definedName name="M_Aggregate_375mmMaximum_224_56mm" localSheetId="33">#REF!</definedName>
    <definedName name="M_Aggregate_375mmMaximum_224_56mm" localSheetId="23">[2]Material!$D$4</definedName>
    <definedName name="M_Aggregate_375mmMaximum_224_56mm" localSheetId="22">[2]Material!$D$4</definedName>
    <definedName name="M_Aggregate_375mmMaximum_224_56mm" localSheetId="17">[2]Material!$D$4</definedName>
    <definedName name="M_Aggregate_375mmMaximum_224_56mm" localSheetId="18">[2]Material!$D$4</definedName>
    <definedName name="M_Aggregate_375mmMaximum_224_56mm" localSheetId="21">[2]Material!$D$4</definedName>
    <definedName name="M_Aggregate_375mmMaximum_224_56mm" localSheetId="26">#REF!</definedName>
    <definedName name="M_Aggregate_375mmMaximum_224_56mm" localSheetId="24">[3]Material!$D$4</definedName>
    <definedName name="M_Aggregate_375mmMaximum_224_56mm" localSheetId="27">#REF!</definedName>
    <definedName name="M_Aggregate_375mmMaximum_224_56mm" localSheetId="15">#REF!</definedName>
    <definedName name="M_Aggregate_375mmMaximum_224_56mm" localSheetId="2">#REF!</definedName>
    <definedName name="M_Aggregate_375mmMaximum_224_56mm" localSheetId="46">#REF!</definedName>
    <definedName name="M_Aggregate_375mmMaximum_224_56mm" localSheetId="37">#REF!</definedName>
    <definedName name="M_Aggregate_375mmMaximum_224_56mm" localSheetId="19">[2]Material!$D$4</definedName>
    <definedName name="M_Aggregate_375mmMaximum_224_56mm">#REF!</definedName>
    <definedName name="M_Aggregate_375mmMaximum_45_225mm" localSheetId="33">#REF!</definedName>
    <definedName name="M_Aggregate_375mmMaximum_45_225mm" localSheetId="23">[2]Material!$D$5</definedName>
    <definedName name="M_Aggregate_375mmMaximum_45_225mm" localSheetId="22">[2]Material!$D$5</definedName>
    <definedName name="M_Aggregate_375mmMaximum_45_225mm" localSheetId="17">[2]Material!$D$5</definedName>
    <definedName name="M_Aggregate_375mmMaximum_45_225mm" localSheetId="18">[2]Material!$D$5</definedName>
    <definedName name="M_Aggregate_375mmMaximum_45_225mm" localSheetId="21">[2]Material!$D$5</definedName>
    <definedName name="M_Aggregate_375mmMaximum_45_225mm" localSheetId="26">#REF!</definedName>
    <definedName name="M_Aggregate_375mmMaximum_45_225mm" localSheetId="24">[3]Material!$D$5</definedName>
    <definedName name="M_Aggregate_375mmMaximum_45_225mm" localSheetId="27">#REF!</definedName>
    <definedName name="M_Aggregate_375mmMaximum_45_225mm" localSheetId="15">#REF!</definedName>
    <definedName name="M_Aggregate_375mmMaximum_45_225mm" localSheetId="2">#REF!</definedName>
    <definedName name="M_Aggregate_375mmMaximum_45_225mm" localSheetId="46">#REF!</definedName>
    <definedName name="M_Aggregate_375mmMaximum_45_225mm" localSheetId="37">#REF!</definedName>
    <definedName name="M_Aggregate_375mmMaximum_45_225mm" localSheetId="19">[2]Material!$D$5</definedName>
    <definedName name="M_Aggregate_375mmMaximum_45_225mm">#REF!</definedName>
    <definedName name="M_Aggregate_375mmMaximum_Below_56mm" localSheetId="33">#REF!</definedName>
    <definedName name="M_Aggregate_375mmMaximum_Below_56mm" localSheetId="23">[2]Material!$D$6</definedName>
    <definedName name="M_Aggregate_375mmMaximum_Below_56mm" localSheetId="22">[2]Material!$D$6</definedName>
    <definedName name="M_Aggregate_375mmMaximum_Below_56mm" localSheetId="17">[2]Material!$D$6</definedName>
    <definedName name="M_Aggregate_375mmMaximum_Below_56mm" localSheetId="18">[2]Material!$D$6</definedName>
    <definedName name="M_Aggregate_375mmMaximum_Below_56mm" localSheetId="21">[2]Material!$D$6</definedName>
    <definedName name="M_Aggregate_375mmMaximum_Below_56mm" localSheetId="26">#REF!</definedName>
    <definedName name="M_Aggregate_375mmMaximum_Below_56mm" localSheetId="24">[3]Material!$D$6</definedName>
    <definedName name="M_Aggregate_375mmMaximum_Below_56mm" localSheetId="27">#REF!</definedName>
    <definedName name="M_Aggregate_375mmMaximum_Below_56mm" localSheetId="15">#REF!</definedName>
    <definedName name="M_Aggregate_375mmMaximum_Below_56mm" localSheetId="2">#REF!</definedName>
    <definedName name="M_Aggregate_375mmMaximum_Below_56mm" localSheetId="46">#REF!</definedName>
    <definedName name="M_Aggregate_375mmMaximum_Below_56mm" localSheetId="37">#REF!</definedName>
    <definedName name="M_Aggregate_375mmMaximum_Below_56mm" localSheetId="19">[2]Material!$D$6</definedName>
    <definedName name="M_Aggregate_375mmMaximum_Below_56mm">#REF!</definedName>
    <definedName name="M_Aggregate_40" localSheetId="33">#REF!</definedName>
    <definedName name="M_Aggregate_40" localSheetId="23">[2]Material!$D$19</definedName>
    <definedName name="M_Aggregate_40" localSheetId="22">[2]Material!$D$19</definedName>
    <definedName name="M_Aggregate_40" localSheetId="17">[2]Material!$D$19</definedName>
    <definedName name="M_Aggregate_40" localSheetId="18">[2]Material!$D$19</definedName>
    <definedName name="M_Aggregate_40" localSheetId="21">[2]Material!$D$19</definedName>
    <definedName name="M_Aggregate_40" localSheetId="26">#REF!</definedName>
    <definedName name="M_Aggregate_40" localSheetId="24">[3]Material!$D$19</definedName>
    <definedName name="M_Aggregate_40" localSheetId="27">#REF!</definedName>
    <definedName name="M_Aggregate_40" localSheetId="15">#REF!</definedName>
    <definedName name="M_Aggregate_40" localSheetId="2">#REF!</definedName>
    <definedName name="M_Aggregate_40" localSheetId="46">#REF!</definedName>
    <definedName name="M_Aggregate_40" localSheetId="37">#REF!</definedName>
    <definedName name="M_Aggregate_40" localSheetId="19">[2]Material!$D$19</definedName>
    <definedName name="M_Aggregate_40">#REF!</definedName>
    <definedName name="M_Aggregate_45_224m_WMM" localSheetId="33">#REF!</definedName>
    <definedName name="M_Aggregate_45_224m_WMM" localSheetId="23">[2]Material!$D$27</definedName>
    <definedName name="M_Aggregate_45_224m_WMM" localSheetId="22">[2]Material!$D$27</definedName>
    <definedName name="M_Aggregate_45_224m_WMM" localSheetId="17">[2]Material!$D$27</definedName>
    <definedName name="M_Aggregate_45_224m_WMM" localSheetId="18">[2]Material!$D$27</definedName>
    <definedName name="M_Aggregate_45_224m_WMM" localSheetId="21">[2]Material!$D$27</definedName>
    <definedName name="M_Aggregate_45_224m_WMM" localSheetId="26">#REF!</definedName>
    <definedName name="M_Aggregate_45_224m_WMM" localSheetId="24">[3]Material!$D$27</definedName>
    <definedName name="M_Aggregate_45_224m_WMM" localSheetId="27">#REF!</definedName>
    <definedName name="M_Aggregate_45_224m_WMM" localSheetId="15">#REF!</definedName>
    <definedName name="M_Aggregate_45_224m_WMM" localSheetId="2">#REF!</definedName>
    <definedName name="M_Aggregate_45_224m_WMM" localSheetId="46">#REF!</definedName>
    <definedName name="M_Aggregate_45_224m_WMM" localSheetId="37">#REF!</definedName>
    <definedName name="M_Aggregate_45_224m_WMM" localSheetId="19">[2]Material!$D$27</definedName>
    <definedName name="M_Aggregate_45_224m_WMM">#REF!</definedName>
    <definedName name="M_Aggregate_53mmMaximum_225_56mm" localSheetId="33">#REF!</definedName>
    <definedName name="M_Aggregate_53mmMaximum_225_56mm" localSheetId="23">[2]Material!$D$7</definedName>
    <definedName name="M_Aggregate_53mmMaximum_225_56mm" localSheetId="22">[2]Material!$D$7</definedName>
    <definedName name="M_Aggregate_53mmMaximum_225_56mm" localSheetId="17">[2]Material!$D$7</definedName>
    <definedName name="M_Aggregate_53mmMaximum_225_56mm" localSheetId="18">[2]Material!$D$7</definedName>
    <definedName name="M_Aggregate_53mmMaximum_225_56mm" localSheetId="21">[2]Material!$D$7</definedName>
    <definedName name="M_Aggregate_53mmMaximum_225_56mm" localSheetId="26">#REF!</definedName>
    <definedName name="M_Aggregate_53mmMaximum_225_56mm" localSheetId="24">[3]Material!$D$7</definedName>
    <definedName name="M_Aggregate_53mmMaximum_225_56mm" localSheetId="27">#REF!</definedName>
    <definedName name="M_Aggregate_53mmMaximum_225_56mm" localSheetId="15">#REF!</definedName>
    <definedName name="M_Aggregate_53mmMaximum_225_56mm" localSheetId="2">#REF!</definedName>
    <definedName name="M_Aggregate_53mmMaximum_225_56mm" localSheetId="46">#REF!</definedName>
    <definedName name="M_Aggregate_53mmMaximum_225_56mm" localSheetId="37">#REF!</definedName>
    <definedName name="M_Aggregate_53mmMaximum_225_56mm" localSheetId="19">[2]Material!$D$7</definedName>
    <definedName name="M_Aggregate_53mmMaximum_225_56mm">#REF!</definedName>
    <definedName name="M_Aggregate_53mmMaximum_63_45mm" localSheetId="33">#REF!</definedName>
    <definedName name="M_Aggregate_53mmMaximum_63_45mm" localSheetId="23">[2]Material!$D$8</definedName>
    <definedName name="M_Aggregate_53mmMaximum_63_45mm" localSheetId="22">[2]Material!$D$8</definedName>
    <definedName name="M_Aggregate_53mmMaximum_63_45mm" localSheetId="17">[2]Material!$D$8</definedName>
    <definedName name="M_Aggregate_53mmMaximum_63_45mm" localSheetId="18">[2]Material!$D$8</definedName>
    <definedName name="M_Aggregate_53mmMaximum_63_45mm" localSheetId="21">[2]Material!$D$8</definedName>
    <definedName name="M_Aggregate_53mmMaximum_63_45mm" localSheetId="26">#REF!</definedName>
    <definedName name="M_Aggregate_53mmMaximum_63_45mm" localSheetId="24">[3]Material!$D$8</definedName>
    <definedName name="M_Aggregate_53mmMaximum_63_45mm" localSheetId="27">#REF!</definedName>
    <definedName name="M_Aggregate_53mmMaximum_63_45mm" localSheetId="15">#REF!</definedName>
    <definedName name="M_Aggregate_53mmMaximum_63_45mm" localSheetId="2">#REF!</definedName>
    <definedName name="M_Aggregate_53mmMaximum_63_45mm" localSheetId="46">#REF!</definedName>
    <definedName name="M_Aggregate_53mmMaximum_63_45mm" localSheetId="37">#REF!</definedName>
    <definedName name="M_Aggregate_53mmMaximum_63_45mm" localSheetId="19">[2]Material!$D$8</definedName>
    <definedName name="M_Aggregate_53mmMaximum_63_45mm">#REF!</definedName>
    <definedName name="M_Aggregate_53mmMaximum_below_56mm" localSheetId="33">#REF!</definedName>
    <definedName name="M_Aggregate_53mmMaximum_below_56mm" localSheetId="23">[2]Material!$D$9</definedName>
    <definedName name="M_Aggregate_53mmMaximum_below_56mm" localSheetId="22">[2]Material!$D$9</definedName>
    <definedName name="M_Aggregate_53mmMaximum_below_56mm" localSheetId="17">[2]Material!$D$9</definedName>
    <definedName name="M_Aggregate_53mmMaximum_below_56mm" localSheetId="18">[2]Material!$D$9</definedName>
    <definedName name="M_Aggregate_53mmMaximum_below_56mm" localSheetId="21">[2]Material!$D$9</definedName>
    <definedName name="M_Aggregate_53mmMaximum_below_56mm" localSheetId="26">#REF!</definedName>
    <definedName name="M_Aggregate_53mmMaximum_below_56mm" localSheetId="24">[3]Material!$D$9</definedName>
    <definedName name="M_Aggregate_53mmMaximum_below_56mm" localSheetId="27">#REF!</definedName>
    <definedName name="M_Aggregate_53mmMaximum_below_56mm" localSheetId="15">#REF!</definedName>
    <definedName name="M_Aggregate_53mmMaximum_below_56mm" localSheetId="2">#REF!</definedName>
    <definedName name="M_Aggregate_53mmMaximum_below_56mm" localSheetId="46">#REF!</definedName>
    <definedName name="M_Aggregate_53mmMaximum_below_56mm" localSheetId="37">#REF!</definedName>
    <definedName name="M_Aggregate_53mmMaximum_below_56mm" localSheetId="19">[2]Material!$D$9</definedName>
    <definedName name="M_Aggregate_53mmMaximum_below_56mm">#REF!</definedName>
    <definedName name="M_Aggregate_Crushable_GradeI" localSheetId="33">#REF!</definedName>
    <definedName name="M_Aggregate_Crushable_GradeI" localSheetId="23">[2]Material!$D$20</definedName>
    <definedName name="M_Aggregate_Crushable_GradeI" localSheetId="22">[2]Material!$D$20</definedName>
    <definedName name="M_Aggregate_Crushable_GradeI" localSheetId="17">[2]Material!$D$20</definedName>
    <definedName name="M_Aggregate_Crushable_GradeI" localSheetId="18">[2]Material!$D$20</definedName>
    <definedName name="M_Aggregate_Crushable_GradeI" localSheetId="21">[2]Material!$D$20</definedName>
    <definedName name="M_Aggregate_Crushable_GradeI" localSheetId="26">#REF!</definedName>
    <definedName name="M_Aggregate_Crushable_GradeI" localSheetId="24">[3]Material!$D$20</definedName>
    <definedName name="M_Aggregate_Crushable_GradeI" localSheetId="27">#REF!</definedName>
    <definedName name="M_Aggregate_Crushable_GradeI" localSheetId="15">#REF!</definedName>
    <definedName name="M_Aggregate_Crushable_GradeI" localSheetId="2">#REF!</definedName>
    <definedName name="M_Aggregate_Crushable_GradeI" localSheetId="46">#REF!</definedName>
    <definedName name="M_Aggregate_Crushable_GradeI" localSheetId="37">#REF!</definedName>
    <definedName name="M_Aggregate_Crushable_GradeI" localSheetId="19">[2]Material!$D$20</definedName>
    <definedName name="M_Aggregate_Crushable_GradeI">#REF!</definedName>
    <definedName name="M_Aggregate_Crushable_GradeII" localSheetId="33">#REF!</definedName>
    <definedName name="M_Aggregate_Crushable_GradeII" localSheetId="23">[2]Material!$D$21</definedName>
    <definedName name="M_Aggregate_Crushable_GradeII" localSheetId="22">[2]Material!$D$21</definedName>
    <definedName name="M_Aggregate_Crushable_GradeII" localSheetId="17">[2]Material!$D$21</definedName>
    <definedName name="M_Aggregate_Crushable_GradeII" localSheetId="18">[2]Material!$D$21</definedName>
    <definedName name="M_Aggregate_Crushable_GradeII" localSheetId="21">[2]Material!$D$21</definedName>
    <definedName name="M_Aggregate_Crushable_GradeII" localSheetId="26">#REF!</definedName>
    <definedName name="M_Aggregate_Crushable_GradeII" localSheetId="24">[3]Material!$D$21</definedName>
    <definedName name="M_Aggregate_Crushable_GradeII" localSheetId="27">#REF!</definedName>
    <definedName name="M_Aggregate_Crushable_GradeII" localSheetId="15">#REF!</definedName>
    <definedName name="M_Aggregate_Crushable_GradeII" localSheetId="2">#REF!</definedName>
    <definedName name="M_Aggregate_Crushable_GradeII" localSheetId="46">#REF!</definedName>
    <definedName name="M_Aggregate_Crushable_GradeII" localSheetId="37">#REF!</definedName>
    <definedName name="M_Aggregate_Crushable_GradeII" localSheetId="19">[2]Material!$D$21</definedName>
    <definedName name="M_Aggregate_Crushable_GradeII">#REF!</definedName>
    <definedName name="M_Aggregate_Crushable_GradeIII" localSheetId="33">#REF!</definedName>
    <definedName name="M_Aggregate_Crushable_GradeIII" localSheetId="23">[2]Material!$D$22</definedName>
    <definedName name="M_Aggregate_Crushable_GradeIII" localSheetId="22">[2]Material!$D$22</definedName>
    <definedName name="M_Aggregate_Crushable_GradeIII" localSheetId="17">[2]Material!$D$22</definedName>
    <definedName name="M_Aggregate_Crushable_GradeIII" localSheetId="18">[2]Material!$D$22</definedName>
    <definedName name="M_Aggregate_Crushable_GradeIII" localSheetId="21">[2]Material!$D$22</definedName>
    <definedName name="M_Aggregate_Crushable_GradeIII" localSheetId="26">#REF!</definedName>
    <definedName name="M_Aggregate_Crushable_GradeIII" localSheetId="24">[3]Material!$D$22</definedName>
    <definedName name="M_Aggregate_Crushable_GradeIII" localSheetId="27">#REF!</definedName>
    <definedName name="M_Aggregate_Crushable_GradeIII" localSheetId="15">#REF!</definedName>
    <definedName name="M_Aggregate_Crushable_GradeIII" localSheetId="2">#REF!</definedName>
    <definedName name="M_Aggregate_Crushable_GradeIII" localSheetId="46">#REF!</definedName>
    <definedName name="M_Aggregate_Crushable_GradeIII" localSheetId="37">#REF!</definedName>
    <definedName name="M_Aggregate_Crushable_GradeIII" localSheetId="19">[2]Material!$D$22</definedName>
    <definedName name="M_Aggregate_Crushable_GradeIII">#REF!</definedName>
    <definedName name="M_Aggregate_GradeI_40mmNominal_10_5mm" localSheetId="33">#REF!</definedName>
    <definedName name="M_Aggregate_GradeI_40mmNominal_10_5mm" localSheetId="23">[2]Material!$D$10</definedName>
    <definedName name="M_Aggregate_GradeI_40mmNominal_10_5mm" localSheetId="22">[2]Material!$D$10</definedName>
    <definedName name="M_Aggregate_GradeI_40mmNominal_10_5mm" localSheetId="17">[2]Material!$D$10</definedName>
    <definedName name="M_Aggregate_GradeI_40mmNominal_10_5mm" localSheetId="18">[2]Material!$D$10</definedName>
    <definedName name="M_Aggregate_GradeI_40mmNominal_10_5mm" localSheetId="21">[2]Material!$D$10</definedName>
    <definedName name="M_Aggregate_GradeI_40mmNominal_10_5mm" localSheetId="26">#REF!</definedName>
    <definedName name="M_Aggregate_GradeI_40mmNominal_10_5mm" localSheetId="24">[3]Material!$D$10</definedName>
    <definedName name="M_Aggregate_GradeI_40mmNominal_10_5mm" localSheetId="27">#REF!</definedName>
    <definedName name="M_Aggregate_GradeI_40mmNominal_10_5mm" localSheetId="15">#REF!</definedName>
    <definedName name="M_Aggregate_GradeI_40mmNominal_10_5mm" localSheetId="2">#REF!</definedName>
    <definedName name="M_Aggregate_GradeI_40mmNominal_10_5mm" localSheetId="46">#REF!</definedName>
    <definedName name="M_Aggregate_GradeI_40mmNominal_10_5mm" localSheetId="37">#REF!</definedName>
    <definedName name="M_Aggregate_GradeI_40mmNominal_10_5mm" localSheetId="19">[2]Material!$D$10</definedName>
    <definedName name="M_Aggregate_GradeI_40mmNominal_10_5mm">#REF!</definedName>
    <definedName name="M_Aggregate_GradeI_40mmNominal_25_10mm" localSheetId="33">#REF!</definedName>
    <definedName name="M_Aggregate_GradeI_40mmNominal_25_10mm" localSheetId="23">[2]Material!$D$11</definedName>
    <definedName name="M_Aggregate_GradeI_40mmNominal_25_10mm" localSheetId="22">[2]Material!$D$11</definedName>
    <definedName name="M_Aggregate_GradeI_40mmNominal_25_10mm" localSheetId="17">[2]Material!$D$11</definedName>
    <definedName name="M_Aggregate_GradeI_40mmNominal_25_10mm" localSheetId="18">[2]Material!$D$11</definedName>
    <definedName name="M_Aggregate_GradeI_40mmNominal_25_10mm" localSheetId="21">[2]Material!$D$11</definedName>
    <definedName name="M_Aggregate_GradeI_40mmNominal_25_10mm" localSheetId="26">#REF!</definedName>
    <definedName name="M_Aggregate_GradeI_40mmNominal_25_10mm" localSheetId="24">[3]Material!$D$11</definedName>
    <definedName name="M_Aggregate_GradeI_40mmNominal_25_10mm" localSheetId="27">#REF!</definedName>
    <definedName name="M_Aggregate_GradeI_40mmNominal_25_10mm" localSheetId="15">#REF!</definedName>
    <definedName name="M_Aggregate_GradeI_40mmNominal_25_10mm" localSheetId="2">#REF!</definedName>
    <definedName name="M_Aggregate_GradeI_40mmNominal_25_10mm" localSheetId="46">#REF!</definedName>
    <definedName name="M_Aggregate_GradeI_40mmNominal_25_10mm" localSheetId="37">#REF!</definedName>
    <definedName name="M_Aggregate_GradeI_40mmNominal_25_10mm" localSheetId="19">[2]Material!$D$11</definedName>
    <definedName name="M_Aggregate_GradeI_40mmNominal_25_10mm">#REF!</definedName>
    <definedName name="M_Aggregate_GradeI_40mmNominal_3725_25mm" localSheetId="33">#REF!</definedName>
    <definedName name="M_Aggregate_GradeI_40mmNominal_3725_25mm" localSheetId="23">[2]Material!$D$12</definedName>
    <definedName name="M_Aggregate_GradeI_40mmNominal_3725_25mm" localSheetId="22">[2]Material!$D$12</definedName>
    <definedName name="M_Aggregate_GradeI_40mmNominal_3725_25mm" localSheetId="17">[2]Material!$D$12</definedName>
    <definedName name="M_Aggregate_GradeI_40mmNominal_3725_25mm" localSheetId="18">[2]Material!$D$12</definedName>
    <definedName name="M_Aggregate_GradeI_40mmNominal_3725_25mm" localSheetId="21">[2]Material!$D$12</definedName>
    <definedName name="M_Aggregate_GradeI_40mmNominal_3725_25mm" localSheetId="26">#REF!</definedName>
    <definedName name="M_Aggregate_GradeI_40mmNominal_3725_25mm" localSheetId="24">[3]Material!$D$12</definedName>
    <definedName name="M_Aggregate_GradeI_40mmNominal_3725_25mm" localSheetId="27">#REF!</definedName>
    <definedName name="M_Aggregate_GradeI_40mmNominal_3725_25mm" localSheetId="15">#REF!</definedName>
    <definedName name="M_Aggregate_GradeI_40mmNominal_3725_25mm" localSheetId="2">#REF!</definedName>
    <definedName name="M_Aggregate_GradeI_40mmNominal_3725_25mm" localSheetId="46">#REF!</definedName>
    <definedName name="M_Aggregate_GradeI_40mmNominal_3725_25mm" localSheetId="37">#REF!</definedName>
    <definedName name="M_Aggregate_GradeI_40mmNominal_3725_25mm" localSheetId="19">[2]Material!$D$12</definedName>
    <definedName name="M_Aggregate_GradeI_40mmNominal_3725_25mm">#REF!</definedName>
    <definedName name="M_Aggregate_GradeI_40mmNominal_5mm" localSheetId="33">#REF!</definedName>
    <definedName name="M_Aggregate_GradeI_40mmNominal_5mm" localSheetId="23">[2]Material!$D$13</definedName>
    <definedName name="M_Aggregate_GradeI_40mmNominal_5mm" localSheetId="22">[2]Material!$D$13</definedName>
    <definedName name="M_Aggregate_GradeI_40mmNominal_5mm" localSheetId="17">[2]Material!$D$13</definedName>
    <definedName name="M_Aggregate_GradeI_40mmNominal_5mm" localSheetId="18">[2]Material!$D$13</definedName>
    <definedName name="M_Aggregate_GradeI_40mmNominal_5mm" localSheetId="21">[2]Material!$D$13</definedName>
    <definedName name="M_Aggregate_GradeI_40mmNominal_5mm" localSheetId="26">#REF!</definedName>
    <definedName name="M_Aggregate_GradeI_40mmNominal_5mm" localSheetId="24">[3]Material!$D$13</definedName>
    <definedName name="M_Aggregate_GradeI_40mmNominal_5mm" localSheetId="27">#REF!</definedName>
    <definedName name="M_Aggregate_GradeI_40mmNominal_5mm" localSheetId="15">#REF!</definedName>
    <definedName name="M_Aggregate_GradeI_40mmNominal_5mm" localSheetId="2">#REF!</definedName>
    <definedName name="M_Aggregate_GradeI_40mmNominal_5mm" localSheetId="46">#REF!</definedName>
    <definedName name="M_Aggregate_GradeI_40mmNominal_5mm" localSheetId="37">#REF!</definedName>
    <definedName name="M_Aggregate_GradeI_40mmNominal_5mm" localSheetId="19">[2]Material!$D$13</definedName>
    <definedName name="M_Aggregate_GradeI_40mmNominal_5mm">#REF!</definedName>
    <definedName name="M_Aggregate_GradeI_90_45mm" localSheetId="33">#REF!</definedName>
    <definedName name="M_Aggregate_GradeI_90_45mm" localSheetId="23">[2]Material!$D$23</definedName>
    <definedName name="M_Aggregate_GradeI_90_45mm" localSheetId="22">[2]Material!$D$23</definedName>
    <definedName name="M_Aggregate_GradeI_90_45mm" localSheetId="17">[2]Material!$D$23</definedName>
    <definedName name="M_Aggregate_GradeI_90_45mm" localSheetId="18">[2]Material!$D$23</definedName>
    <definedName name="M_Aggregate_GradeI_90_45mm" localSheetId="21">[2]Material!$D$23</definedName>
    <definedName name="M_Aggregate_GradeI_90_45mm" localSheetId="26">#REF!</definedName>
    <definedName name="M_Aggregate_GradeI_90_45mm" localSheetId="24">[3]Material!$D$23</definedName>
    <definedName name="M_Aggregate_GradeI_90_45mm" localSheetId="27">#REF!</definedName>
    <definedName name="M_Aggregate_GradeI_90_45mm" localSheetId="15">#REF!</definedName>
    <definedName name="M_Aggregate_GradeI_90_45mm" localSheetId="2">#REF!</definedName>
    <definedName name="M_Aggregate_GradeI_90_45mm" localSheetId="46">#REF!</definedName>
    <definedName name="M_Aggregate_GradeI_90_45mm" localSheetId="37">#REF!</definedName>
    <definedName name="M_Aggregate_GradeI_90_45mm" localSheetId="19">[2]Material!$D$23</definedName>
    <definedName name="M_Aggregate_GradeI_90_45mm">#REF!</definedName>
    <definedName name="M_Aggregate_GradeII_19mmNominal_10_5mm" localSheetId="33">#REF!</definedName>
    <definedName name="M_Aggregate_GradeII_19mmNominal_10_5mm" localSheetId="23">[2]Material!$D$14</definedName>
    <definedName name="M_Aggregate_GradeII_19mmNominal_10_5mm" localSheetId="22">[2]Material!$D$14</definedName>
    <definedName name="M_Aggregate_GradeII_19mmNominal_10_5mm" localSheetId="17">[2]Material!$D$14</definedName>
    <definedName name="M_Aggregate_GradeII_19mmNominal_10_5mm" localSheetId="18">[2]Material!$D$14</definedName>
    <definedName name="M_Aggregate_GradeII_19mmNominal_10_5mm" localSheetId="21">[2]Material!$D$14</definedName>
    <definedName name="M_Aggregate_GradeII_19mmNominal_10_5mm" localSheetId="26">#REF!</definedName>
    <definedName name="M_Aggregate_GradeII_19mmNominal_10_5mm" localSheetId="24">[3]Material!$D$14</definedName>
    <definedName name="M_Aggregate_GradeII_19mmNominal_10_5mm" localSheetId="27">#REF!</definedName>
    <definedName name="M_Aggregate_GradeII_19mmNominal_10_5mm" localSheetId="15">#REF!</definedName>
    <definedName name="M_Aggregate_GradeII_19mmNominal_10_5mm" localSheetId="2">#REF!</definedName>
    <definedName name="M_Aggregate_GradeII_19mmNominal_10_5mm" localSheetId="46">#REF!</definedName>
    <definedName name="M_Aggregate_GradeII_19mmNominal_10_5mm" localSheetId="37">#REF!</definedName>
    <definedName name="M_Aggregate_GradeII_19mmNominal_10_5mm" localSheetId="19">[2]Material!$D$14</definedName>
    <definedName name="M_Aggregate_GradeII_19mmNominal_10_5mm">#REF!</definedName>
    <definedName name="M_Aggregate_GradeII_19mmNominal_25_10mm" localSheetId="33">#REF!</definedName>
    <definedName name="M_Aggregate_GradeII_19mmNominal_25_10mm" localSheetId="23">[2]Material!$D$15</definedName>
    <definedName name="M_Aggregate_GradeII_19mmNominal_25_10mm" localSheetId="22">[2]Material!$D$15</definedName>
    <definedName name="M_Aggregate_GradeII_19mmNominal_25_10mm" localSheetId="17">[2]Material!$D$15</definedName>
    <definedName name="M_Aggregate_GradeII_19mmNominal_25_10mm" localSheetId="18">[2]Material!$D$15</definedName>
    <definedName name="M_Aggregate_GradeII_19mmNominal_25_10mm" localSheetId="21">[2]Material!$D$15</definedName>
    <definedName name="M_Aggregate_GradeII_19mmNominal_25_10mm" localSheetId="26">#REF!</definedName>
    <definedName name="M_Aggregate_GradeII_19mmNominal_25_10mm" localSheetId="24">[3]Material!$D$15</definedName>
    <definedName name="M_Aggregate_GradeII_19mmNominal_25_10mm" localSheetId="27">#REF!</definedName>
    <definedName name="M_Aggregate_GradeII_19mmNominal_25_10mm" localSheetId="15">#REF!</definedName>
    <definedName name="M_Aggregate_GradeII_19mmNominal_25_10mm" localSheetId="2">#REF!</definedName>
    <definedName name="M_Aggregate_GradeII_19mmNominal_25_10mm" localSheetId="46">#REF!</definedName>
    <definedName name="M_Aggregate_GradeII_19mmNominal_25_10mm" localSheetId="37">#REF!</definedName>
    <definedName name="M_Aggregate_GradeII_19mmNominal_25_10mm" localSheetId="19">[2]Material!$D$15</definedName>
    <definedName name="M_Aggregate_GradeII_19mmNominal_25_10mm">#REF!</definedName>
    <definedName name="M_Aggregate_GradeII_19mmNominal_5mm_below" localSheetId="33">#REF!</definedName>
    <definedName name="M_Aggregate_GradeII_19mmNominal_5mm_below" localSheetId="23">[2]Material!$D$16</definedName>
    <definedName name="M_Aggregate_GradeII_19mmNominal_5mm_below" localSheetId="22">[2]Material!$D$16</definedName>
    <definedName name="M_Aggregate_GradeII_19mmNominal_5mm_below" localSheetId="17">[2]Material!$D$16</definedName>
    <definedName name="M_Aggregate_GradeII_19mmNominal_5mm_below" localSheetId="18">[2]Material!$D$16</definedName>
    <definedName name="M_Aggregate_GradeII_19mmNominal_5mm_below" localSheetId="21">[2]Material!$D$16</definedName>
    <definedName name="M_Aggregate_GradeII_19mmNominal_5mm_below" localSheetId="26">#REF!</definedName>
    <definedName name="M_Aggregate_GradeII_19mmNominal_5mm_below" localSheetId="24">[3]Material!$D$16</definedName>
    <definedName name="M_Aggregate_GradeII_19mmNominal_5mm_below" localSheetId="27">#REF!</definedName>
    <definedName name="M_Aggregate_GradeII_19mmNominal_5mm_below" localSheetId="15">#REF!</definedName>
    <definedName name="M_Aggregate_GradeII_19mmNominal_5mm_below" localSheetId="2">#REF!</definedName>
    <definedName name="M_Aggregate_GradeII_19mmNominal_5mm_below" localSheetId="46">#REF!</definedName>
    <definedName name="M_Aggregate_GradeII_19mmNominal_5mm_below" localSheetId="37">#REF!</definedName>
    <definedName name="M_Aggregate_GradeII_19mmNominal_5mm_below" localSheetId="19">[2]Material!$D$16</definedName>
    <definedName name="M_Aggregate_GradeII_19mmNominal_5mm_below">#REF!</definedName>
    <definedName name="M_Aggregate_GradeII_63_45mm" localSheetId="33">#REF!</definedName>
    <definedName name="M_Aggregate_GradeII_63_45mm" localSheetId="23">[2]Material!$D$24</definedName>
    <definedName name="M_Aggregate_GradeII_63_45mm" localSheetId="22">[2]Material!$D$24</definedName>
    <definedName name="M_Aggregate_GradeII_63_45mm" localSheetId="17">[2]Material!$D$24</definedName>
    <definedName name="M_Aggregate_GradeII_63_45mm" localSheetId="18">[2]Material!$D$24</definedName>
    <definedName name="M_Aggregate_GradeII_63_45mm" localSheetId="21">[2]Material!$D$24</definedName>
    <definedName name="M_Aggregate_GradeII_63_45mm" localSheetId="26">#REF!</definedName>
    <definedName name="M_Aggregate_GradeII_63_45mm" localSheetId="24">[3]Material!$D$24</definedName>
    <definedName name="M_Aggregate_GradeII_63_45mm" localSheetId="27">#REF!</definedName>
    <definedName name="M_Aggregate_GradeII_63_45mm" localSheetId="15">#REF!</definedName>
    <definedName name="M_Aggregate_GradeII_63_45mm" localSheetId="2">#REF!</definedName>
    <definedName name="M_Aggregate_GradeII_63_45mm" localSheetId="46">#REF!</definedName>
    <definedName name="M_Aggregate_GradeII_63_45mm" localSheetId="37">#REF!</definedName>
    <definedName name="M_Aggregate_GradeII_63_45mm" localSheetId="19">[2]Material!$D$24</definedName>
    <definedName name="M_Aggregate_GradeII_63_45mm">#REF!</definedName>
    <definedName name="M_Aggregate_GradeIII_53_224mm" localSheetId="33">#REF!</definedName>
    <definedName name="M_Aggregate_GradeIII_53_224mm" localSheetId="23">[2]Material!$D$25</definedName>
    <definedName name="M_Aggregate_GradeIII_53_224mm" localSheetId="22">[2]Material!$D$25</definedName>
    <definedName name="M_Aggregate_GradeIII_53_224mm" localSheetId="17">[2]Material!$D$25</definedName>
    <definedName name="M_Aggregate_GradeIII_53_224mm" localSheetId="18">[2]Material!$D$25</definedName>
    <definedName name="M_Aggregate_GradeIII_53_224mm" localSheetId="21">[2]Material!$D$25</definedName>
    <definedName name="M_Aggregate_GradeIII_53_224mm" localSheetId="26">#REF!</definedName>
    <definedName name="M_Aggregate_GradeIII_53_224mm" localSheetId="24">[3]Material!$D$25</definedName>
    <definedName name="M_Aggregate_GradeIII_53_224mm" localSheetId="27">#REF!</definedName>
    <definedName name="M_Aggregate_GradeIII_53_224mm" localSheetId="15">#REF!</definedName>
    <definedName name="M_Aggregate_GradeIII_53_224mm" localSheetId="2">#REF!</definedName>
    <definedName name="M_Aggregate_GradeIII_53_224mm" localSheetId="46">#REF!</definedName>
    <definedName name="M_Aggregate_GradeIII_53_224mm" localSheetId="37">#REF!</definedName>
    <definedName name="M_Aggregate_GradeIII_53_224mm" localSheetId="19">[2]Material!$D$25</definedName>
    <definedName name="M_Aggregate_GradeIII_53_224mm">#REF!</definedName>
    <definedName name="M_AluminiumSheeting_15mm" localSheetId="33">#REF!</definedName>
    <definedName name="M_AluminiumSheeting_15mm" localSheetId="23">[2]Material!$D$28</definedName>
    <definedName name="M_AluminiumSheeting_15mm" localSheetId="22">[2]Material!$D$28</definedName>
    <definedName name="M_AluminiumSheeting_15mm" localSheetId="17">[2]Material!$D$28</definedName>
    <definedName name="M_AluminiumSheeting_15mm" localSheetId="18">[2]Material!$D$28</definedName>
    <definedName name="M_AluminiumSheeting_15mm" localSheetId="21">[2]Material!$D$28</definedName>
    <definedName name="M_AluminiumSheeting_15mm" localSheetId="26">#REF!</definedName>
    <definedName name="M_AluminiumSheeting_15mm" localSheetId="24">[3]Material!$D$28</definedName>
    <definedName name="M_AluminiumSheeting_15mm" localSheetId="27">#REF!</definedName>
    <definedName name="M_AluminiumSheeting_15mm" localSheetId="15">#REF!</definedName>
    <definedName name="M_AluminiumSheeting_15mm" localSheetId="2">#REF!</definedName>
    <definedName name="M_AluminiumSheeting_15mm" localSheetId="46">#REF!</definedName>
    <definedName name="M_AluminiumSheeting_15mm" localSheetId="37">#REF!</definedName>
    <definedName name="M_AluminiumSheeting_15mm" localSheetId="19">[2]Material!$D$28</definedName>
    <definedName name="M_AluminiumSheeting_15mm">#REF!</definedName>
    <definedName name="M_AluminiumStuds_100_100_Lense" localSheetId="33">#REF!</definedName>
    <definedName name="M_AluminiumStuds_100_100_Lense" localSheetId="23">[2]Material!$D$29</definedName>
    <definedName name="M_AluminiumStuds_100_100_Lense" localSheetId="22">[2]Material!$D$29</definedName>
    <definedName name="M_AluminiumStuds_100_100_Lense" localSheetId="17">[2]Material!$D$29</definedName>
    <definedName name="M_AluminiumStuds_100_100_Lense" localSheetId="18">[2]Material!$D$29</definedName>
    <definedName name="M_AluminiumStuds_100_100_Lense" localSheetId="21">[2]Material!$D$29</definedName>
    <definedName name="M_AluminiumStuds_100_100_Lense" localSheetId="26">#REF!</definedName>
    <definedName name="M_AluminiumStuds_100_100_Lense" localSheetId="24">[3]Material!$D$29</definedName>
    <definedName name="M_AluminiumStuds_100_100_Lense" localSheetId="27">#REF!</definedName>
    <definedName name="M_AluminiumStuds_100_100_Lense" localSheetId="15">#REF!</definedName>
    <definedName name="M_AluminiumStuds_100_100_Lense" localSheetId="2">#REF!</definedName>
    <definedName name="M_AluminiumStuds_100_100_Lense" localSheetId="46">#REF!</definedName>
    <definedName name="M_AluminiumStuds_100_100_Lense" localSheetId="37">#REF!</definedName>
    <definedName name="M_AluminiumStuds_100_100_Lense" localSheetId="19">[2]Material!$D$29</definedName>
    <definedName name="M_AluminiumStuds_100_100_Lense">#REF!</definedName>
    <definedName name="M_Bamboo_1stClass_85_100mm_25m_long" localSheetId="33">#REF!</definedName>
    <definedName name="M_Bamboo_1stClass_85_100mm_25m_long" localSheetId="23">[2]Material!$D$31</definedName>
    <definedName name="M_Bamboo_1stClass_85_100mm_25m_long" localSheetId="22">[2]Material!$D$31</definedName>
    <definedName name="M_Bamboo_1stClass_85_100mm_25m_long" localSheetId="17">[2]Material!$D$31</definedName>
    <definedName name="M_Bamboo_1stClass_85_100mm_25m_long" localSheetId="18">[2]Material!$D$31</definedName>
    <definedName name="M_Bamboo_1stClass_85_100mm_25m_long" localSheetId="21">[2]Material!$D$31</definedName>
    <definedName name="M_Bamboo_1stClass_85_100mm_25m_long" localSheetId="26">#REF!</definedName>
    <definedName name="M_Bamboo_1stClass_85_100mm_25m_long" localSheetId="24">[3]Material!$D$31</definedName>
    <definedName name="M_Bamboo_1stClass_85_100mm_25m_long" localSheetId="27">#REF!</definedName>
    <definedName name="M_Bamboo_1stClass_85_100mm_25m_long" localSheetId="15">#REF!</definedName>
    <definedName name="M_Bamboo_1stClass_85_100mm_25m_long" localSheetId="2">#REF!</definedName>
    <definedName name="M_Bamboo_1stClass_85_100mm_25m_long" localSheetId="46">#REF!</definedName>
    <definedName name="M_Bamboo_1stClass_85_100mm_25m_long" localSheetId="37">#REF!</definedName>
    <definedName name="M_Bamboo_1stClass_85_100mm_25m_long" localSheetId="19">[2]Material!$D$31</definedName>
    <definedName name="M_Bamboo_1stClass_85_100mm_25m_long">#REF!</definedName>
    <definedName name="M_Bamboo_1stClass_85_100mm_2m_long" localSheetId="33">#REF!</definedName>
    <definedName name="M_Bamboo_1stClass_85_100mm_2m_long" localSheetId="23">[2]Material!$D$30</definedName>
    <definedName name="M_Bamboo_1stClass_85_100mm_2m_long" localSheetId="22">[2]Material!$D$30</definedName>
    <definedName name="M_Bamboo_1stClass_85_100mm_2m_long" localSheetId="17">[2]Material!$D$30</definedName>
    <definedName name="M_Bamboo_1stClass_85_100mm_2m_long" localSheetId="18">[2]Material!$D$30</definedName>
    <definedName name="M_Bamboo_1stClass_85_100mm_2m_long" localSheetId="21">[2]Material!$D$30</definedName>
    <definedName name="M_Bamboo_1stClass_85_100mm_2m_long" localSheetId="26">#REF!</definedName>
    <definedName name="M_Bamboo_1stClass_85_100mm_2m_long" localSheetId="24">[3]Material!$D$30</definedName>
    <definedName name="M_Bamboo_1stClass_85_100mm_2m_long" localSheetId="27">#REF!</definedName>
    <definedName name="M_Bamboo_1stClass_85_100mm_2m_long" localSheetId="15">#REF!</definedName>
    <definedName name="M_Bamboo_1stClass_85_100mm_2m_long" localSheetId="2">#REF!</definedName>
    <definedName name="M_Bamboo_1stClass_85_100mm_2m_long" localSheetId="46">#REF!</definedName>
    <definedName name="M_Bamboo_1stClass_85_100mm_2m_long" localSheetId="37">#REF!</definedName>
    <definedName name="M_Bamboo_1stClass_85_100mm_2m_long" localSheetId="19">[2]Material!$D$30</definedName>
    <definedName name="M_Bamboo_1stClass_85_100mm_2m_long">#REF!</definedName>
    <definedName name="M_Bamboo_1stClass_85_100mm_3m_long" localSheetId="33">#REF!</definedName>
    <definedName name="M_Bamboo_1stClass_85_100mm_3m_long" localSheetId="23">[2]Material!$D$32</definedName>
    <definedName name="M_Bamboo_1stClass_85_100mm_3m_long" localSheetId="22">[2]Material!$D$32</definedName>
    <definedName name="M_Bamboo_1stClass_85_100mm_3m_long" localSheetId="17">[2]Material!$D$32</definedName>
    <definedName name="M_Bamboo_1stClass_85_100mm_3m_long" localSheetId="18">[2]Material!$D$32</definedName>
    <definedName name="M_Bamboo_1stClass_85_100mm_3m_long" localSheetId="21">[2]Material!$D$32</definedName>
    <definedName name="M_Bamboo_1stClass_85_100mm_3m_long" localSheetId="26">#REF!</definedName>
    <definedName name="M_Bamboo_1stClass_85_100mm_3m_long" localSheetId="24">[3]Material!$D$32</definedName>
    <definedName name="M_Bamboo_1stClass_85_100mm_3m_long" localSheetId="27">#REF!</definedName>
    <definedName name="M_Bamboo_1stClass_85_100mm_3m_long" localSheetId="15">#REF!</definedName>
    <definedName name="M_Bamboo_1stClass_85_100mm_3m_long" localSheetId="2">#REF!</definedName>
    <definedName name="M_Bamboo_1stClass_85_100mm_3m_long" localSheetId="46">#REF!</definedName>
    <definedName name="M_Bamboo_1stClass_85_100mm_3m_long" localSheetId="37">#REF!</definedName>
    <definedName name="M_Bamboo_1stClass_85_100mm_3m_long" localSheetId="19">[2]Material!$D$32</definedName>
    <definedName name="M_Bamboo_1stClass_85_100mm_3m_long">#REF!</definedName>
    <definedName name="M_Bamboo_1stClass_85_100mm_45_55m_long" localSheetId="33">#REF!</definedName>
    <definedName name="M_Bamboo_1stClass_85_100mm_45_55m_long" localSheetId="23">[2]Material!$D$33</definedName>
    <definedName name="M_Bamboo_1stClass_85_100mm_45_55m_long" localSheetId="22">[2]Material!$D$33</definedName>
    <definedName name="M_Bamboo_1stClass_85_100mm_45_55m_long" localSheetId="17">[2]Material!$D$33</definedName>
    <definedName name="M_Bamboo_1stClass_85_100mm_45_55m_long" localSheetId="18">[2]Material!$D$33</definedName>
    <definedName name="M_Bamboo_1stClass_85_100mm_45_55m_long" localSheetId="21">[2]Material!$D$33</definedName>
    <definedName name="M_Bamboo_1stClass_85_100mm_45_55m_long" localSheetId="26">#REF!</definedName>
    <definedName name="M_Bamboo_1stClass_85_100mm_45_55m_long" localSheetId="24">[3]Material!$D$33</definedName>
    <definedName name="M_Bamboo_1stClass_85_100mm_45_55m_long" localSheetId="27">#REF!</definedName>
    <definedName name="M_Bamboo_1stClass_85_100mm_45_55m_long" localSheetId="15">#REF!</definedName>
    <definedName name="M_Bamboo_1stClass_85_100mm_45_55m_long" localSheetId="2">#REF!</definedName>
    <definedName name="M_Bamboo_1stClass_85_100mm_45_55m_long" localSheetId="46">#REF!</definedName>
    <definedName name="M_Bamboo_1stClass_85_100mm_45_55m_long" localSheetId="37">#REF!</definedName>
    <definedName name="M_Bamboo_1stClass_85_100mm_45_55m_long" localSheetId="19">[2]Material!$D$33</definedName>
    <definedName name="M_Bamboo_1stClass_85_100mm_45_55m_long">#REF!</definedName>
    <definedName name="M_Bamboo_2ndClass_75mm_18_25m_long" localSheetId="33">#REF!</definedName>
    <definedName name="M_Bamboo_2ndClass_75mm_18_25m_long" localSheetId="23">[2]Material!$D$34</definedName>
    <definedName name="M_Bamboo_2ndClass_75mm_18_25m_long" localSheetId="22">[2]Material!$D$34</definedName>
    <definedName name="M_Bamboo_2ndClass_75mm_18_25m_long" localSheetId="17">[2]Material!$D$34</definedName>
    <definedName name="M_Bamboo_2ndClass_75mm_18_25m_long" localSheetId="18">[2]Material!$D$34</definedName>
    <definedName name="M_Bamboo_2ndClass_75mm_18_25m_long" localSheetId="21">[2]Material!$D$34</definedName>
    <definedName name="M_Bamboo_2ndClass_75mm_18_25m_long" localSheetId="26">#REF!</definedName>
    <definedName name="M_Bamboo_2ndClass_75mm_18_25m_long" localSheetId="24">[3]Material!$D$34</definedName>
    <definedName name="M_Bamboo_2ndClass_75mm_18_25m_long" localSheetId="27">#REF!</definedName>
    <definedName name="M_Bamboo_2ndClass_75mm_18_25m_long" localSheetId="15">#REF!</definedName>
    <definedName name="M_Bamboo_2ndClass_75mm_18_25m_long" localSheetId="2">#REF!</definedName>
    <definedName name="M_Bamboo_2ndClass_75mm_18_25m_long" localSheetId="46">#REF!</definedName>
    <definedName name="M_Bamboo_2ndClass_75mm_18_25m_long" localSheetId="37">#REF!</definedName>
    <definedName name="M_Bamboo_2ndClass_75mm_18_25m_long" localSheetId="19">[2]Material!$D$34</definedName>
    <definedName name="M_Bamboo_2ndClass_75mm_18_25m_long">#REF!</definedName>
    <definedName name="M_Bamboo_2ndClass_75mm_21_30m_long" localSheetId="33">#REF!</definedName>
    <definedName name="M_Bamboo_2ndClass_75mm_21_30m_long" localSheetId="23">[2]Material!$D$35</definedName>
    <definedName name="M_Bamboo_2ndClass_75mm_21_30m_long" localSheetId="22">[2]Material!$D$35</definedName>
    <definedName name="M_Bamboo_2ndClass_75mm_21_30m_long" localSheetId="17">[2]Material!$D$35</definedName>
    <definedName name="M_Bamboo_2ndClass_75mm_21_30m_long" localSheetId="18">[2]Material!$D$35</definedName>
    <definedName name="M_Bamboo_2ndClass_75mm_21_30m_long" localSheetId="21">[2]Material!$D$35</definedName>
    <definedName name="M_Bamboo_2ndClass_75mm_21_30m_long" localSheetId="26">#REF!</definedName>
    <definedName name="M_Bamboo_2ndClass_75mm_21_30m_long" localSheetId="24">[3]Material!$D$35</definedName>
    <definedName name="M_Bamboo_2ndClass_75mm_21_30m_long" localSheetId="27">#REF!</definedName>
    <definedName name="M_Bamboo_2ndClass_75mm_21_30m_long" localSheetId="15">#REF!</definedName>
    <definedName name="M_Bamboo_2ndClass_75mm_21_30m_long" localSheetId="2">#REF!</definedName>
    <definedName name="M_Bamboo_2ndClass_75mm_21_30m_long" localSheetId="46">#REF!</definedName>
    <definedName name="M_Bamboo_2ndClass_75mm_21_30m_long" localSheetId="37">#REF!</definedName>
    <definedName name="M_Bamboo_2ndClass_75mm_21_30m_long" localSheetId="19">[2]Material!$D$35</definedName>
    <definedName name="M_Bamboo_2ndClass_75mm_21_30m_long">#REF!</definedName>
    <definedName name="M_BarbedWire" localSheetId="33">#REF!</definedName>
    <definedName name="M_BarbedWire" localSheetId="23">[2]Material!$D$36</definedName>
    <definedName name="M_BarbedWire" localSheetId="22">[2]Material!$D$36</definedName>
    <definedName name="M_BarbedWire" localSheetId="17">[2]Material!$D$36</definedName>
    <definedName name="M_BarbedWire" localSheetId="18">[2]Material!$D$36</definedName>
    <definedName name="M_BarbedWire" localSheetId="21">[2]Material!$D$36</definedName>
    <definedName name="M_BarbedWire" localSheetId="26">#REF!</definedName>
    <definedName name="M_BarbedWire" localSheetId="24">[3]Material!$D$36</definedName>
    <definedName name="M_BarbedWire" localSheetId="27">#REF!</definedName>
    <definedName name="M_BarbedWire" localSheetId="15">#REF!</definedName>
    <definedName name="M_BarbedWire" localSheetId="2">#REF!</definedName>
    <definedName name="M_BarbedWire" localSheetId="46">#REF!</definedName>
    <definedName name="M_BarbedWire" localSheetId="37">#REF!</definedName>
    <definedName name="M_BarbedWire" localSheetId="19">[2]Material!$D$36</definedName>
    <definedName name="M_BarbedWire">#REF!</definedName>
    <definedName name="M_BindingMaterial" localSheetId="33">#REF!</definedName>
    <definedName name="M_BindingMaterial" localSheetId="23">[2]Material!$D$37</definedName>
    <definedName name="M_BindingMaterial" localSheetId="22">[2]Material!$D$37</definedName>
    <definedName name="M_BindingMaterial" localSheetId="17">[2]Material!$D$37</definedName>
    <definedName name="M_BindingMaterial" localSheetId="18">[2]Material!$D$37</definedName>
    <definedName name="M_BindingMaterial" localSheetId="21">[2]Material!$D$37</definedName>
    <definedName name="M_BindingMaterial" localSheetId="26">#REF!</definedName>
    <definedName name="M_BindingMaterial" localSheetId="24">[3]Material!$D$37</definedName>
    <definedName name="M_BindingMaterial" localSheetId="27">#REF!</definedName>
    <definedName name="M_BindingMaterial" localSheetId="15">#REF!</definedName>
    <definedName name="M_BindingMaterial" localSheetId="2">#REF!</definedName>
    <definedName name="M_BindingMaterial" localSheetId="46">#REF!</definedName>
    <definedName name="M_BindingMaterial" localSheetId="37">#REF!</definedName>
    <definedName name="M_BindingMaterial" localSheetId="19">[2]Material!$D$37</definedName>
    <definedName name="M_BindingMaterial">#REF!</definedName>
    <definedName name="M_BindingWire" localSheetId="33">#REF!</definedName>
    <definedName name="M_BindingWire" localSheetId="23">[2]Material!$D$38</definedName>
    <definedName name="M_BindingWire" localSheetId="22">[2]Material!$D$38</definedName>
    <definedName name="M_BindingWire" localSheetId="17">[2]Material!$D$38</definedName>
    <definedName name="M_BindingWire" localSheetId="18">[2]Material!$D$38</definedName>
    <definedName name="M_BindingWire" localSheetId="21">[2]Material!$D$38</definedName>
    <definedName name="M_BindingWire" localSheetId="26">#REF!</definedName>
    <definedName name="M_BindingWire" localSheetId="24">[3]Material!$D$38</definedName>
    <definedName name="M_BindingWire" localSheetId="27">#REF!</definedName>
    <definedName name="M_BindingWire" localSheetId="15">#REF!</definedName>
    <definedName name="M_BindingWire" localSheetId="2">#REF!</definedName>
    <definedName name="M_BindingWire" localSheetId="46">#REF!</definedName>
    <definedName name="M_BindingWire" localSheetId="37">#REF!</definedName>
    <definedName name="M_BindingWire" localSheetId="19">[2]Material!$D$38</definedName>
    <definedName name="M_BindingWire">#REF!</definedName>
    <definedName name="M_Bitumen_CRM" localSheetId="33">#REF!</definedName>
    <definedName name="M_Bitumen_CRM" localSheetId="23">[2]Material!$D$39</definedName>
    <definedName name="M_Bitumen_CRM" localSheetId="22">[2]Material!$D$39</definedName>
    <definedName name="M_Bitumen_CRM" localSheetId="17">[2]Material!$D$39</definedName>
    <definedName name="M_Bitumen_CRM" localSheetId="18">[2]Material!$D$39</definedName>
    <definedName name="M_Bitumen_CRM" localSheetId="21">[2]Material!$D$39</definedName>
    <definedName name="M_Bitumen_CRM" localSheetId="26">#REF!</definedName>
    <definedName name="M_Bitumen_CRM" localSheetId="24">[3]Material!$D$39</definedName>
    <definedName name="M_Bitumen_CRM" localSheetId="27">#REF!</definedName>
    <definedName name="M_Bitumen_CRM" localSheetId="15">#REF!</definedName>
    <definedName name="M_Bitumen_CRM" localSheetId="2">#REF!</definedName>
    <definedName name="M_Bitumen_CRM" localSheetId="46">#REF!</definedName>
    <definedName name="M_Bitumen_CRM" localSheetId="37">#REF!</definedName>
    <definedName name="M_Bitumen_CRM" localSheetId="19">[2]Material!$D$39</definedName>
    <definedName name="M_Bitumen_CRM">#REF!</definedName>
    <definedName name="M_Bitumen_NRM" localSheetId="33">#REF!</definedName>
    <definedName name="M_Bitumen_NRM" localSheetId="23">[2]Material!$D$40</definedName>
    <definedName name="M_Bitumen_NRM" localSheetId="22">[2]Material!$D$40</definedName>
    <definedName name="M_Bitumen_NRM" localSheetId="17">[2]Material!$D$40</definedName>
    <definedName name="M_Bitumen_NRM" localSheetId="18">[2]Material!$D$40</definedName>
    <definedName name="M_Bitumen_NRM" localSheetId="21">[2]Material!$D$40</definedName>
    <definedName name="M_Bitumen_NRM" localSheetId="26">#REF!</definedName>
    <definedName name="M_Bitumen_NRM" localSheetId="24">[3]Material!$D$40</definedName>
    <definedName name="M_Bitumen_NRM" localSheetId="27">#REF!</definedName>
    <definedName name="M_Bitumen_NRM" localSheetId="15">#REF!</definedName>
    <definedName name="M_Bitumen_NRM" localSheetId="2">#REF!</definedName>
    <definedName name="M_Bitumen_NRM" localSheetId="46">#REF!</definedName>
    <definedName name="M_Bitumen_NRM" localSheetId="37">#REF!</definedName>
    <definedName name="M_Bitumen_NRM" localSheetId="19">[2]Material!$D$40</definedName>
    <definedName name="M_Bitumen_NRM">#REF!</definedName>
    <definedName name="M_Bitumen_PM" localSheetId="33">#REF!</definedName>
    <definedName name="M_Bitumen_PM" localSheetId="23">[2]Material!$D$41</definedName>
    <definedName name="M_Bitumen_PM" localSheetId="22">[2]Material!$D$41</definedName>
    <definedName name="M_Bitumen_PM" localSheetId="17">[2]Material!$D$41</definedName>
    <definedName name="M_Bitumen_PM" localSheetId="18">[2]Material!$D$41</definedName>
    <definedName name="M_Bitumen_PM" localSheetId="21">[2]Material!$D$41</definedName>
    <definedName name="M_Bitumen_PM" localSheetId="26">#REF!</definedName>
    <definedName name="M_Bitumen_PM" localSheetId="24">[3]Material!$D$41</definedName>
    <definedName name="M_Bitumen_PM" localSheetId="27">#REF!</definedName>
    <definedName name="M_Bitumen_PM" localSheetId="15">#REF!</definedName>
    <definedName name="M_Bitumen_PM" localSheetId="2">#REF!</definedName>
    <definedName name="M_Bitumen_PM" localSheetId="46">#REF!</definedName>
    <definedName name="M_Bitumen_PM" localSheetId="37">#REF!</definedName>
    <definedName name="M_Bitumen_PM" localSheetId="19">[2]Material!$D$41</definedName>
    <definedName name="M_Bitumen_PM">#REF!</definedName>
    <definedName name="M_Bitumen_S65" localSheetId="33">#REF!</definedName>
    <definedName name="M_Bitumen_S65" localSheetId="23">[2]Material!$D$42</definedName>
    <definedName name="M_Bitumen_S65" localSheetId="22">[2]Material!$D$42</definedName>
    <definedName name="M_Bitumen_S65" localSheetId="17">[2]Material!$D$42</definedName>
    <definedName name="M_Bitumen_S65" localSheetId="18">[2]Material!$D$42</definedName>
    <definedName name="M_Bitumen_S65" localSheetId="21">[2]Material!$D$42</definedName>
    <definedName name="M_Bitumen_S65" localSheetId="26">#REF!</definedName>
    <definedName name="M_Bitumen_S65" localSheetId="24">[3]Material!$D$42</definedName>
    <definedName name="M_Bitumen_S65" localSheetId="27">#REF!</definedName>
    <definedName name="M_Bitumen_S65" localSheetId="15">#REF!</definedName>
    <definedName name="M_Bitumen_S65" localSheetId="2">#REF!</definedName>
    <definedName name="M_Bitumen_S65" localSheetId="46">#REF!</definedName>
    <definedName name="M_Bitumen_S65" localSheetId="37">#REF!</definedName>
    <definedName name="M_Bitumen_S65" localSheetId="19">[2]Material!$D$42</definedName>
    <definedName name="M_Bitumen_S65">#REF!</definedName>
    <definedName name="M_Bitumen_S90" localSheetId="33">#REF!</definedName>
    <definedName name="M_Bitumen_S90" localSheetId="23">[2]Material!$D$43</definedName>
    <definedName name="M_Bitumen_S90" localSheetId="22">[2]Material!$D$43</definedName>
    <definedName name="M_Bitumen_S90" localSheetId="17">[2]Material!$D$43</definedName>
    <definedName name="M_Bitumen_S90" localSheetId="18">[2]Material!$D$43</definedName>
    <definedName name="M_Bitumen_S90" localSheetId="21">[2]Material!$D$43</definedName>
    <definedName name="M_Bitumen_S90" localSheetId="26">#REF!</definedName>
    <definedName name="M_Bitumen_S90" localSheetId="24">[3]Material!$D$43</definedName>
    <definedName name="M_Bitumen_S90" localSheetId="27">#REF!</definedName>
    <definedName name="M_Bitumen_S90" localSheetId="15">#REF!</definedName>
    <definedName name="M_Bitumen_S90" localSheetId="2">#REF!</definedName>
    <definedName name="M_Bitumen_S90" localSheetId="46">#REF!</definedName>
    <definedName name="M_Bitumen_S90" localSheetId="37">#REF!</definedName>
    <definedName name="M_Bitumen_S90" localSheetId="19">[2]Material!$D$43</definedName>
    <definedName name="M_Bitumen_S90">#REF!</definedName>
    <definedName name="M_BitumenEmulsion_RS1" localSheetId="33">#REF!</definedName>
    <definedName name="M_BitumenEmulsion_RS1" localSheetId="23">[2]Material!$D$44</definedName>
    <definedName name="M_BitumenEmulsion_RS1" localSheetId="22">[2]Material!$D$44</definedName>
    <definedName name="M_BitumenEmulsion_RS1" localSheetId="17">[2]Material!$D$44</definedName>
    <definedName name="M_BitumenEmulsion_RS1" localSheetId="18">[2]Material!$D$44</definedName>
    <definedName name="M_BitumenEmulsion_RS1" localSheetId="21">[2]Material!$D$44</definedName>
    <definedName name="M_BitumenEmulsion_RS1" localSheetId="26">#REF!</definedName>
    <definedName name="M_BitumenEmulsion_RS1" localSheetId="24">[3]Material!$D$44</definedName>
    <definedName name="M_BitumenEmulsion_RS1" localSheetId="27">#REF!</definedName>
    <definedName name="M_BitumenEmulsion_RS1" localSheetId="15">#REF!</definedName>
    <definedName name="M_BitumenEmulsion_RS1" localSheetId="2">#REF!</definedName>
    <definedName name="M_BitumenEmulsion_RS1" localSheetId="46">#REF!</definedName>
    <definedName name="M_BitumenEmulsion_RS1" localSheetId="37">#REF!</definedName>
    <definedName name="M_BitumenEmulsion_RS1" localSheetId="19">[2]Material!$D$44</definedName>
    <definedName name="M_BitumenEmulsion_RS1">#REF!</definedName>
    <definedName name="M_BitumenEmulsion_SS1" localSheetId="33">#REF!</definedName>
    <definedName name="M_BitumenEmulsion_SS1" localSheetId="23">[2]Material!$D$45</definedName>
    <definedName name="M_BitumenEmulsion_SS1" localSheetId="22">[2]Material!$D$45</definedName>
    <definedName name="M_BitumenEmulsion_SS1" localSheetId="17">[2]Material!$D$45</definedName>
    <definedName name="M_BitumenEmulsion_SS1" localSheetId="18">[2]Material!$D$45</definedName>
    <definedName name="M_BitumenEmulsion_SS1" localSheetId="21">[2]Material!$D$45</definedName>
    <definedName name="M_BitumenEmulsion_SS1" localSheetId="26">#REF!</definedName>
    <definedName name="M_BitumenEmulsion_SS1" localSheetId="24">[3]Material!$D$45</definedName>
    <definedName name="M_BitumenEmulsion_SS1" localSheetId="27">#REF!</definedName>
    <definedName name="M_BitumenEmulsion_SS1" localSheetId="15">#REF!</definedName>
    <definedName name="M_BitumenEmulsion_SS1" localSheetId="2">#REF!</definedName>
    <definedName name="M_BitumenEmulsion_SS1" localSheetId="46">#REF!</definedName>
    <definedName name="M_BitumenEmulsion_SS1" localSheetId="37">#REF!</definedName>
    <definedName name="M_BitumenEmulsion_SS1" localSheetId="19">[2]Material!$D$45</definedName>
    <definedName name="M_BitumenEmulsion_SS1">#REF!</definedName>
    <definedName name="M_BitumenSealant" localSheetId="33">#REF!</definedName>
    <definedName name="M_BitumenSealant" localSheetId="23">[2]Material!$D$46</definedName>
    <definedName name="M_BitumenSealant" localSheetId="22">[2]Material!$D$46</definedName>
    <definedName name="M_BitumenSealant" localSheetId="17">[2]Material!$D$46</definedName>
    <definedName name="M_BitumenSealant" localSheetId="18">[2]Material!$D$46</definedName>
    <definedName name="M_BitumenSealant" localSheetId="21">[2]Material!$D$46</definedName>
    <definedName name="M_BitumenSealant" localSheetId="26">#REF!</definedName>
    <definedName name="M_BitumenSealant" localSheetId="24">[3]Material!$D$46</definedName>
    <definedName name="M_BitumenSealant" localSheetId="27">#REF!</definedName>
    <definedName name="M_BitumenSealant" localSheetId="15">#REF!</definedName>
    <definedName name="M_BitumenSealant" localSheetId="2">#REF!</definedName>
    <definedName name="M_BitumenSealant" localSheetId="46">#REF!</definedName>
    <definedName name="M_BitumenSealant" localSheetId="37">#REF!</definedName>
    <definedName name="M_BitumenSealant" localSheetId="19">[2]Material!$D$46</definedName>
    <definedName name="M_BitumenSealant">#REF!</definedName>
    <definedName name="M_Blasted_Rubble" localSheetId="33">#REF!</definedName>
    <definedName name="M_Blasted_Rubble" localSheetId="23">[2]Material!$D$47</definedName>
    <definedName name="M_Blasted_Rubble" localSheetId="22">[2]Material!$D$47</definedName>
    <definedName name="M_Blasted_Rubble" localSheetId="17">[2]Material!$D$47</definedName>
    <definedName name="M_Blasted_Rubble" localSheetId="18">[2]Material!$D$47</definedName>
    <definedName name="M_Blasted_Rubble" localSheetId="21">[2]Material!$D$47</definedName>
    <definedName name="M_Blasted_Rubble" localSheetId="26">#REF!</definedName>
    <definedName name="M_Blasted_Rubble" localSheetId="24">[3]Material!$D$47</definedName>
    <definedName name="M_Blasted_Rubble" localSheetId="27">#REF!</definedName>
    <definedName name="M_Blasted_Rubble" localSheetId="15">#REF!</definedName>
    <definedName name="M_Blasted_Rubble" localSheetId="2">#REF!</definedName>
    <definedName name="M_Blasted_Rubble" localSheetId="46">#REF!</definedName>
    <definedName name="M_Blasted_Rubble" localSheetId="37">#REF!</definedName>
    <definedName name="M_Blasted_Rubble" localSheetId="19">[2]Material!$D$47</definedName>
    <definedName name="M_Blasted_Rubble">#REF!</definedName>
    <definedName name="M_BlastingMaterial" localSheetId="33">#REF!</definedName>
    <definedName name="M_BlastingMaterial" localSheetId="23">[2]Material!$D$48</definedName>
    <definedName name="M_BlastingMaterial" localSheetId="22">[2]Material!$D$48</definedName>
    <definedName name="M_BlastingMaterial" localSheetId="17">[2]Material!$D$48</definedName>
    <definedName name="M_BlastingMaterial" localSheetId="18">[2]Material!$D$48</definedName>
    <definedName name="M_BlastingMaterial" localSheetId="21">[2]Material!$D$48</definedName>
    <definedName name="M_BlastingMaterial" localSheetId="26">#REF!</definedName>
    <definedName name="M_BlastingMaterial" localSheetId="24">[3]Material!$D$48</definedName>
    <definedName name="M_BlastingMaterial" localSheetId="27">#REF!</definedName>
    <definedName name="M_BlastingMaterial" localSheetId="15">#REF!</definedName>
    <definedName name="M_BlastingMaterial" localSheetId="2">#REF!</definedName>
    <definedName name="M_BlastingMaterial" localSheetId="46">#REF!</definedName>
    <definedName name="M_BlastingMaterial" localSheetId="37">#REF!</definedName>
    <definedName name="M_BlastingMaterial" localSheetId="19">[2]Material!$D$48</definedName>
    <definedName name="M_BlastingMaterial">#REF!</definedName>
    <definedName name="M_BondStone_400_150_150mm" localSheetId="33">#REF!</definedName>
    <definedName name="M_BondStone_400_150_150mm" localSheetId="23">[2]Material!$D$49</definedName>
    <definedName name="M_BondStone_400_150_150mm" localSheetId="22">[2]Material!$D$49</definedName>
    <definedName name="M_BondStone_400_150_150mm" localSheetId="17">[2]Material!$D$49</definedName>
    <definedName name="M_BondStone_400_150_150mm" localSheetId="18">[2]Material!$D$49</definedName>
    <definedName name="M_BondStone_400_150_150mm" localSheetId="21">[2]Material!$D$49</definedName>
    <definedName name="M_BondStone_400_150_150mm" localSheetId="26">#REF!</definedName>
    <definedName name="M_BondStone_400_150_150mm" localSheetId="24">[3]Material!$D$49</definedName>
    <definedName name="M_BondStone_400_150_150mm" localSheetId="27">#REF!</definedName>
    <definedName name="M_BondStone_400_150_150mm" localSheetId="15">#REF!</definedName>
    <definedName name="M_BondStone_400_150_150mm" localSheetId="2">#REF!</definedName>
    <definedName name="M_BondStone_400_150_150mm" localSheetId="46">#REF!</definedName>
    <definedName name="M_BondStone_400_150_150mm" localSheetId="37">#REF!</definedName>
    <definedName name="M_BondStone_400_150_150mm" localSheetId="19">[2]Material!$D$49</definedName>
    <definedName name="M_BondStone_400_150_150mm">#REF!</definedName>
    <definedName name="M_Brick_1stClass" localSheetId="33">#REF!</definedName>
    <definedName name="M_Brick_1stClass" localSheetId="23">[2]Material!$D$50</definedName>
    <definedName name="M_Brick_1stClass" localSheetId="22">[2]Material!$D$50</definedName>
    <definedName name="M_Brick_1stClass" localSheetId="17">[2]Material!$D$50</definedName>
    <definedName name="M_Brick_1stClass" localSheetId="18">[2]Material!$D$50</definedName>
    <definedName name="M_Brick_1stClass" localSheetId="21">[2]Material!$D$50</definedName>
    <definedName name="M_Brick_1stClass" localSheetId="26">#REF!</definedName>
    <definedName name="M_Brick_1stClass" localSheetId="24">[3]Material!$D$50</definedName>
    <definedName name="M_Brick_1stClass" localSheetId="27">#REF!</definedName>
    <definedName name="M_Brick_1stClass" localSheetId="15">#REF!</definedName>
    <definedName name="M_Brick_1stClass" localSheetId="2">#REF!</definedName>
    <definedName name="M_Brick_1stClass" localSheetId="46">#REF!</definedName>
    <definedName name="M_Brick_1stClass" localSheetId="37">#REF!</definedName>
    <definedName name="M_Brick_1stClass" localSheetId="19">[2]Material!$D$50</definedName>
    <definedName name="M_Brick_1stClass">#REF!</definedName>
    <definedName name="M_Cement" localSheetId="33">#REF!</definedName>
    <definedName name="M_Cement" localSheetId="23">[2]Material!$D$51</definedName>
    <definedName name="M_Cement" localSheetId="22">[2]Material!$D$51</definedName>
    <definedName name="M_Cement" localSheetId="17">[2]Material!$D$51</definedName>
    <definedName name="M_Cement" localSheetId="18">[2]Material!$D$51</definedName>
    <definedName name="M_Cement" localSheetId="21">[2]Material!$D$51</definedName>
    <definedName name="M_Cement" localSheetId="26">#REF!</definedName>
    <definedName name="M_Cement" localSheetId="24">[3]Material!$D$51</definedName>
    <definedName name="M_Cement" localSheetId="27">#REF!</definedName>
    <definedName name="M_Cement" localSheetId="15">#REF!</definedName>
    <definedName name="M_Cement" localSheetId="2">#REF!</definedName>
    <definedName name="M_Cement" localSheetId="46">#REF!</definedName>
    <definedName name="M_Cement" localSheetId="37">#REF!</definedName>
    <definedName name="M_Cement" localSheetId="19">[2]Material!$D$51</definedName>
    <definedName name="M_Cement">#REF!</definedName>
    <definedName name="M_CementPrimer" localSheetId="33">#REF!</definedName>
    <definedName name="M_CementPrimer" localSheetId="23">[2]Material!$D$52</definedName>
    <definedName name="M_CementPrimer" localSheetId="22">[2]Material!$D$52</definedName>
    <definedName name="M_CementPrimer" localSheetId="17">[2]Material!$D$52</definedName>
    <definedName name="M_CementPrimer" localSheetId="18">[2]Material!$D$52</definedName>
    <definedName name="M_CementPrimer" localSheetId="21">[2]Material!$D$52</definedName>
    <definedName name="M_CementPrimer" localSheetId="26">#REF!</definedName>
    <definedName name="M_CementPrimer" localSheetId="24">[3]Material!$D$52</definedName>
    <definedName name="M_CementPrimer" localSheetId="27">#REF!</definedName>
    <definedName name="M_CementPrimer" localSheetId="15">#REF!</definedName>
    <definedName name="M_CementPrimer" localSheetId="2">#REF!</definedName>
    <definedName name="M_CementPrimer" localSheetId="46">#REF!</definedName>
    <definedName name="M_CementPrimer" localSheetId="37">#REF!</definedName>
    <definedName name="M_CementPrimer" localSheetId="19">[2]Material!$D$52</definedName>
    <definedName name="M_CementPrimer">#REF!</definedName>
    <definedName name="M_ChlorpreneElastomer_OR_ClosedCellFoamSealingElement" localSheetId="33">#REF!</definedName>
    <definedName name="M_ChlorpreneElastomer_OR_ClosedCellFoamSealingElement" localSheetId="23">[2]Material!$D$53</definedName>
    <definedName name="M_ChlorpreneElastomer_OR_ClosedCellFoamSealingElement" localSheetId="22">[2]Material!$D$53</definedName>
    <definedName name="M_ChlorpreneElastomer_OR_ClosedCellFoamSealingElement" localSheetId="17">[2]Material!$D$53</definedName>
    <definedName name="M_ChlorpreneElastomer_OR_ClosedCellFoamSealingElement" localSheetId="18">[2]Material!$D$53</definedName>
    <definedName name="M_ChlorpreneElastomer_OR_ClosedCellFoamSealingElement" localSheetId="21">[2]Material!$D$53</definedName>
    <definedName name="M_ChlorpreneElastomer_OR_ClosedCellFoamSealingElement" localSheetId="26">#REF!</definedName>
    <definedName name="M_ChlorpreneElastomer_OR_ClosedCellFoamSealingElement" localSheetId="24">[3]Material!$D$53</definedName>
    <definedName name="M_ChlorpreneElastomer_OR_ClosedCellFoamSealingElement" localSheetId="27">#REF!</definedName>
    <definedName name="M_ChlorpreneElastomer_OR_ClosedCellFoamSealingElement" localSheetId="15">#REF!</definedName>
    <definedName name="M_ChlorpreneElastomer_OR_ClosedCellFoamSealingElement" localSheetId="2">#REF!</definedName>
    <definedName name="M_ChlorpreneElastomer_OR_ClosedCellFoamSealingElement" localSheetId="46">#REF!</definedName>
    <definedName name="M_ChlorpreneElastomer_OR_ClosedCellFoamSealingElement" localSheetId="37">#REF!</definedName>
    <definedName name="M_ChlorpreneElastomer_OR_ClosedCellFoamSealingElement" localSheetId="19">[2]Material!$D$53</definedName>
    <definedName name="M_ChlorpreneElastomer_OR_ClosedCellFoamSealingElement">#REF!</definedName>
    <definedName name="M_CompensationForEarthTakenFromPrivateLand" localSheetId="33">#REF!</definedName>
    <definedName name="M_CompensationForEarthTakenFromPrivateLand" localSheetId="23">[2]Material!$D$54</definedName>
    <definedName name="M_CompensationForEarthTakenFromPrivateLand" localSheetId="22">[2]Material!$D$54</definedName>
    <definedName name="M_CompensationForEarthTakenFromPrivateLand" localSheetId="17">[2]Material!$D$54</definedName>
    <definedName name="M_CompensationForEarthTakenFromPrivateLand" localSheetId="18">[2]Material!$D$54</definedName>
    <definedName name="M_CompensationForEarthTakenFromPrivateLand" localSheetId="21">[2]Material!$D$54</definedName>
    <definedName name="M_CompensationForEarthTakenFromPrivateLand" localSheetId="26">#REF!</definedName>
    <definedName name="M_CompensationForEarthTakenFromPrivateLand" localSheetId="24">[3]Material!$D$54</definedName>
    <definedName name="M_CompensationForEarthTakenFromPrivateLand" localSheetId="27">#REF!</definedName>
    <definedName name="M_CompensationForEarthTakenFromPrivateLand" localSheetId="15">#REF!</definedName>
    <definedName name="M_CompensationForEarthTakenFromPrivateLand" localSheetId="2">#REF!</definedName>
    <definedName name="M_CompensationForEarthTakenFromPrivateLand" localSheetId="46">#REF!</definedName>
    <definedName name="M_CompensationForEarthTakenFromPrivateLand" localSheetId="37">#REF!</definedName>
    <definedName name="M_CompensationForEarthTakenFromPrivateLand" localSheetId="19">[2]Material!$D$54</definedName>
    <definedName name="M_CompensationForEarthTakenFromPrivateLand">#REF!</definedName>
    <definedName name="M_CompressibleFibreBoard" localSheetId="33">#REF!</definedName>
    <definedName name="M_CompressibleFibreBoard" localSheetId="23">[2]Material!$D$55</definedName>
    <definedName name="M_CompressibleFibreBoard" localSheetId="22">[2]Material!$D$55</definedName>
    <definedName name="M_CompressibleFibreBoard" localSheetId="17">[2]Material!$D$55</definedName>
    <definedName name="M_CompressibleFibreBoard" localSheetId="18">[2]Material!$D$55</definedName>
    <definedName name="M_CompressibleFibreBoard" localSheetId="21">[2]Material!$D$55</definedName>
    <definedName name="M_CompressibleFibreBoard" localSheetId="26">#REF!</definedName>
    <definedName name="M_CompressibleFibreBoard" localSheetId="24">[3]Material!$D$55</definedName>
    <definedName name="M_CompressibleFibreBoard" localSheetId="27">#REF!</definedName>
    <definedName name="M_CompressibleFibreBoard" localSheetId="15">#REF!</definedName>
    <definedName name="M_CompressibleFibreBoard" localSheetId="2">#REF!</definedName>
    <definedName name="M_CompressibleFibreBoard" localSheetId="46">#REF!</definedName>
    <definedName name="M_CompressibleFibreBoard" localSheetId="37">#REF!</definedName>
    <definedName name="M_CompressibleFibreBoard" localSheetId="19">[2]Material!$D$55</definedName>
    <definedName name="M_CompressibleFibreBoard">#REF!</definedName>
    <definedName name="M_CopperPlate" localSheetId="33">#REF!</definedName>
    <definedName name="M_CopperPlate" localSheetId="23">[2]Material!$D$56</definedName>
    <definedName name="M_CopperPlate" localSheetId="22">[2]Material!$D$56</definedName>
    <definedName name="M_CopperPlate" localSheetId="17">[2]Material!$D$56</definedName>
    <definedName name="M_CopperPlate" localSheetId="18">[2]Material!$D$56</definedName>
    <definedName name="M_CopperPlate" localSheetId="21">[2]Material!$D$56</definedName>
    <definedName name="M_CopperPlate" localSheetId="26">#REF!</definedName>
    <definedName name="M_CopperPlate" localSheetId="24">[3]Material!$D$56</definedName>
    <definedName name="M_CopperPlate" localSheetId="27">#REF!</definedName>
    <definedName name="M_CopperPlate" localSheetId="15">#REF!</definedName>
    <definedName name="M_CopperPlate" localSheetId="2">#REF!</definedName>
    <definedName name="M_CopperPlate" localSheetId="46">#REF!</definedName>
    <definedName name="M_CopperPlate" localSheetId="37">#REF!</definedName>
    <definedName name="M_CopperPlate" localSheetId="19">[2]Material!$D$56</definedName>
    <definedName name="M_CopperPlate">#REF!</definedName>
    <definedName name="M_CorbellingStones_300_150_150mm" localSheetId="33">#REF!</definedName>
    <definedName name="M_CorbellingStones_300_150_150mm" localSheetId="23">[2]Material!$D$57</definedName>
    <definedName name="M_CorbellingStones_300_150_150mm" localSheetId="22">[2]Material!$D$57</definedName>
    <definedName name="M_CorbellingStones_300_150_150mm" localSheetId="17">[2]Material!$D$57</definedName>
    <definedName name="M_CorbellingStones_300_150_150mm" localSheetId="18">[2]Material!$D$57</definedName>
    <definedName name="M_CorbellingStones_300_150_150mm" localSheetId="21">[2]Material!$D$57</definedName>
    <definedName name="M_CorbellingStones_300_150_150mm" localSheetId="26">#REF!</definedName>
    <definedName name="M_CorbellingStones_300_150_150mm" localSheetId="24">[3]Material!$D$57</definedName>
    <definedName name="M_CorbellingStones_300_150_150mm" localSheetId="27">#REF!</definedName>
    <definedName name="M_CorbellingStones_300_150_150mm" localSheetId="15">#REF!</definedName>
    <definedName name="M_CorbellingStones_300_150_150mm" localSheetId="2">#REF!</definedName>
    <definedName name="M_CorbellingStones_300_150_150mm" localSheetId="46">#REF!</definedName>
    <definedName name="M_CorbellingStones_300_150_150mm" localSheetId="37">#REF!</definedName>
    <definedName name="M_CorbellingStones_300_150_150mm" localSheetId="19">[2]Material!$D$57</definedName>
    <definedName name="M_CorbellingStones_300_150_150mm">#REF!</definedName>
    <definedName name="M_CorrosionResistantStructuralSteelGrating" localSheetId="33">#REF!</definedName>
    <definedName name="M_CorrosionResistantStructuralSteelGrating" localSheetId="23">[2]Material!$D$58</definedName>
    <definedName name="M_CorrosionResistantStructuralSteelGrating" localSheetId="22">[2]Material!$D$58</definedName>
    <definedName name="M_CorrosionResistantStructuralSteelGrating" localSheetId="17">[2]Material!$D$58</definedName>
    <definedName name="M_CorrosionResistantStructuralSteelGrating" localSheetId="18">[2]Material!$D$58</definedName>
    <definedName name="M_CorrosionResistantStructuralSteelGrating" localSheetId="21">[2]Material!$D$58</definedName>
    <definedName name="M_CorrosionResistantStructuralSteelGrating" localSheetId="26">#REF!</definedName>
    <definedName name="M_CorrosionResistantStructuralSteelGrating" localSheetId="24">[3]Material!$D$58</definedName>
    <definedName name="M_CorrosionResistantStructuralSteelGrating" localSheetId="27">#REF!</definedName>
    <definedName name="M_CorrosionResistantStructuralSteelGrating" localSheetId="15">#REF!</definedName>
    <definedName name="M_CorrosionResistantStructuralSteelGrating" localSheetId="2">#REF!</definedName>
    <definedName name="M_CorrosionResistantStructuralSteelGrating" localSheetId="46">#REF!</definedName>
    <definedName name="M_CorrosionResistantStructuralSteelGrating" localSheetId="37">#REF!</definedName>
    <definedName name="M_CorrosionResistantStructuralSteelGrating" localSheetId="19">[2]Material!$D$58</definedName>
    <definedName name="M_CorrosionResistantStructuralSteelGrating">#REF!</definedName>
    <definedName name="M_CreditForExcavatedRock" localSheetId="33">#REF!</definedName>
    <definedName name="M_CreditForExcavatedRock" localSheetId="23">[2]Material!$D$59</definedName>
    <definedName name="M_CreditForExcavatedRock" localSheetId="22">[2]Material!$D$59</definedName>
    <definedName name="M_CreditForExcavatedRock" localSheetId="17">[2]Material!$D$59</definedName>
    <definedName name="M_CreditForExcavatedRock" localSheetId="18">[2]Material!$D$59</definedName>
    <definedName name="M_CreditForExcavatedRock" localSheetId="21">[2]Material!$D$59</definedName>
    <definedName name="M_CreditForExcavatedRock" localSheetId="26">#REF!</definedName>
    <definedName name="M_CreditForExcavatedRock" localSheetId="24">[3]Material!$D$59</definedName>
    <definedName name="M_CreditForExcavatedRock" localSheetId="27">#REF!</definedName>
    <definedName name="M_CreditForExcavatedRock" localSheetId="15">#REF!</definedName>
    <definedName name="M_CreditForExcavatedRock" localSheetId="2">#REF!</definedName>
    <definedName name="M_CreditForExcavatedRock" localSheetId="46">#REF!</definedName>
    <definedName name="M_CreditForExcavatedRock" localSheetId="37">#REF!</definedName>
    <definedName name="M_CreditForExcavatedRock" localSheetId="19">[2]Material!$D$59</definedName>
    <definedName name="M_CreditForExcavatedRock">#REF!</definedName>
    <definedName name="M_CrowBars_40mm" localSheetId="33">#REF!</definedName>
    <definedName name="M_CrowBars_40mm" localSheetId="23">[2]Material!$D$60</definedName>
    <definedName name="M_CrowBars_40mm" localSheetId="22">[2]Material!$D$60</definedName>
    <definedName name="M_CrowBars_40mm" localSheetId="17">[2]Material!$D$60</definedName>
    <definedName name="M_CrowBars_40mm" localSheetId="18">[2]Material!$D$60</definedName>
    <definedName name="M_CrowBars_40mm" localSheetId="21">[2]Material!$D$60</definedName>
    <definedName name="M_CrowBars_40mm" localSheetId="26">#REF!</definedName>
    <definedName name="M_CrowBars_40mm" localSheetId="24">[3]Material!$D$60</definedName>
    <definedName name="M_CrowBars_40mm" localSheetId="27">#REF!</definedName>
    <definedName name="M_CrowBars_40mm" localSheetId="15">#REF!</definedName>
    <definedName name="M_CrowBars_40mm" localSheetId="2">#REF!</definedName>
    <definedName name="M_CrowBars_40mm" localSheetId="46">#REF!</definedName>
    <definedName name="M_CrowBars_40mm" localSheetId="37">#REF!</definedName>
    <definedName name="M_CrowBars_40mm" localSheetId="19">[2]Material!$D$60</definedName>
    <definedName name="M_CrowBars_40mm">#REF!</definedName>
    <definedName name="M_CrushedSand_OR_Grit" localSheetId="33">#REF!</definedName>
    <definedName name="M_CrushedSand_OR_Grit" localSheetId="23">[2]Material!$D$61</definedName>
    <definedName name="M_CrushedSand_OR_Grit" localSheetId="22">[2]Material!$D$61</definedName>
    <definedName name="M_CrushedSand_OR_Grit" localSheetId="17">[2]Material!$D$61</definedName>
    <definedName name="M_CrushedSand_OR_Grit" localSheetId="18">[2]Material!$D$61</definedName>
    <definedName name="M_CrushedSand_OR_Grit" localSheetId="21">[2]Material!$D$61</definedName>
    <definedName name="M_CrushedSand_OR_Grit" localSheetId="26">#REF!</definedName>
    <definedName name="M_CrushedSand_OR_Grit" localSheetId="24">[3]Material!$D$61</definedName>
    <definedName name="M_CrushedSand_OR_Grit" localSheetId="27">#REF!</definedName>
    <definedName name="M_CrushedSand_OR_Grit" localSheetId="15">#REF!</definedName>
    <definedName name="M_CrushedSand_OR_Grit" localSheetId="2">#REF!</definedName>
    <definedName name="M_CrushedSand_OR_Grit" localSheetId="46">#REF!</definedName>
    <definedName name="M_CrushedSand_OR_Grit" localSheetId="37">#REF!</definedName>
    <definedName name="M_CrushedSand_OR_Grit" localSheetId="19">[2]Material!$D$61</definedName>
    <definedName name="M_CrushedSand_OR_Grit">#REF!</definedName>
    <definedName name="M_CrushedSlag" localSheetId="33">#REF!</definedName>
    <definedName name="M_CrushedSlag" localSheetId="23">[2]Material!$D$62</definedName>
    <definedName name="M_CrushedSlag" localSheetId="22">[2]Material!$D$62</definedName>
    <definedName name="M_CrushedSlag" localSheetId="17">[2]Material!$D$62</definedName>
    <definedName name="M_CrushedSlag" localSheetId="18">[2]Material!$D$62</definedName>
    <definedName name="M_CrushedSlag" localSheetId="21">[2]Material!$D$62</definedName>
    <definedName name="M_CrushedSlag" localSheetId="26">#REF!</definedName>
    <definedName name="M_CrushedSlag" localSheetId="24">[3]Material!$D$62</definedName>
    <definedName name="M_CrushedSlag" localSheetId="27">#REF!</definedName>
    <definedName name="M_CrushedSlag" localSheetId="15">#REF!</definedName>
    <definedName name="M_CrushedSlag" localSheetId="2">#REF!</definedName>
    <definedName name="M_CrushedSlag" localSheetId="46">#REF!</definedName>
    <definedName name="M_CrushedSlag" localSheetId="37">#REF!</definedName>
    <definedName name="M_CrushedSlag" localSheetId="19">[2]Material!$D$62</definedName>
    <definedName name="M_CrushedSlag">#REF!</definedName>
    <definedName name="M_CrushedStoneAggregate_265_75" localSheetId="33">#REF!</definedName>
    <definedName name="M_CrushedStoneAggregate_265_75" localSheetId="23">[2]Material!$D$63</definedName>
    <definedName name="M_CrushedStoneAggregate_265_75" localSheetId="22">[2]Material!$D$63</definedName>
    <definedName name="M_CrushedStoneAggregate_265_75" localSheetId="17">[2]Material!$D$63</definedName>
    <definedName name="M_CrushedStoneAggregate_265_75" localSheetId="18">[2]Material!$D$63</definedName>
    <definedName name="M_CrushedStoneAggregate_265_75" localSheetId="21">[2]Material!$D$63</definedName>
    <definedName name="M_CrushedStoneAggregate_265_75" localSheetId="26">#REF!</definedName>
    <definedName name="M_CrushedStoneAggregate_265_75" localSheetId="24">[3]Material!$D$63</definedName>
    <definedName name="M_CrushedStoneAggregate_265_75" localSheetId="27">#REF!</definedName>
    <definedName name="M_CrushedStoneAggregate_265_75" localSheetId="15">#REF!</definedName>
    <definedName name="M_CrushedStoneAggregate_265_75" localSheetId="2">#REF!</definedName>
    <definedName name="M_CrushedStoneAggregate_265_75" localSheetId="46">#REF!</definedName>
    <definedName name="M_CrushedStoneAggregate_265_75" localSheetId="37">#REF!</definedName>
    <definedName name="M_CrushedStoneAggregate_265_75" localSheetId="19">[2]Material!$D$63</definedName>
    <definedName name="M_CrushedStoneAggregate_265_75">#REF!</definedName>
    <definedName name="M_CrushedStoneChipping_132" localSheetId="33">#REF!</definedName>
    <definedName name="M_CrushedStoneChipping_132" localSheetId="23">[2]Material!$D$64</definedName>
    <definedName name="M_CrushedStoneChipping_132" localSheetId="22">[2]Material!$D$64</definedName>
    <definedName name="M_CrushedStoneChipping_132" localSheetId="17">[2]Material!$D$64</definedName>
    <definedName name="M_CrushedStoneChipping_132" localSheetId="18">[2]Material!$D$64</definedName>
    <definedName name="M_CrushedStoneChipping_132" localSheetId="21">[2]Material!$D$64</definedName>
    <definedName name="M_CrushedStoneChipping_132" localSheetId="26">#REF!</definedName>
    <definedName name="M_CrushedStoneChipping_132" localSheetId="24">[3]Material!$D$64</definedName>
    <definedName name="M_CrushedStoneChipping_132" localSheetId="27">#REF!</definedName>
    <definedName name="M_CrushedStoneChipping_132" localSheetId="15">#REF!</definedName>
    <definedName name="M_CrushedStoneChipping_132" localSheetId="2">#REF!</definedName>
    <definedName name="M_CrushedStoneChipping_132" localSheetId="46">#REF!</definedName>
    <definedName name="M_CrushedStoneChipping_132" localSheetId="37">#REF!</definedName>
    <definedName name="M_CrushedStoneChipping_132" localSheetId="19">[2]Material!$D$64</definedName>
    <definedName name="M_CrushedStoneChipping_132">#REF!</definedName>
    <definedName name="M_CrushedStoneChipping_67mm_100Passing_112mm" localSheetId="33">#REF!</definedName>
    <definedName name="M_CrushedStoneChipping_67mm_100Passing_112mm" localSheetId="23">[2]Material!$D$65</definedName>
    <definedName name="M_CrushedStoneChipping_67mm_100Passing_112mm" localSheetId="22">[2]Material!$D$65</definedName>
    <definedName name="M_CrushedStoneChipping_67mm_100Passing_112mm" localSheetId="17">[2]Material!$D$65</definedName>
    <definedName name="M_CrushedStoneChipping_67mm_100Passing_112mm" localSheetId="18">[2]Material!$D$65</definedName>
    <definedName name="M_CrushedStoneChipping_67mm_100Passing_112mm" localSheetId="21">[2]Material!$D$65</definedName>
    <definedName name="M_CrushedStoneChipping_67mm_100Passing_112mm" localSheetId="26">#REF!</definedName>
    <definedName name="M_CrushedStoneChipping_67mm_100Passing_112mm" localSheetId="24">[3]Material!$D$65</definedName>
    <definedName name="M_CrushedStoneChipping_67mm_100Passing_112mm" localSheetId="27">#REF!</definedName>
    <definedName name="M_CrushedStoneChipping_67mm_100Passing_112mm" localSheetId="15">#REF!</definedName>
    <definedName name="M_CrushedStoneChipping_67mm_100Passing_112mm" localSheetId="2">#REF!</definedName>
    <definedName name="M_CrushedStoneChipping_67mm_100Passing_112mm" localSheetId="46">#REF!</definedName>
    <definedName name="M_CrushedStoneChipping_67mm_100Passing_112mm" localSheetId="37">#REF!</definedName>
    <definedName name="M_CrushedStoneChipping_67mm_100Passing_112mm" localSheetId="19">[2]Material!$D$65</definedName>
    <definedName name="M_CrushedStoneChipping_67mm_100Passing_112mm">#REF!</definedName>
    <definedName name="M_CrushedStoneChipping_67mm_100Passing_95mm" localSheetId="33">#REF!</definedName>
    <definedName name="M_CrushedStoneChipping_67mm_100Passing_95mm" localSheetId="23">[2]Material!$D$66</definedName>
    <definedName name="M_CrushedStoneChipping_67mm_100Passing_95mm" localSheetId="22">[2]Material!$D$66</definedName>
    <definedName name="M_CrushedStoneChipping_67mm_100Passing_95mm" localSheetId="17">[2]Material!$D$66</definedName>
    <definedName name="M_CrushedStoneChipping_67mm_100Passing_95mm" localSheetId="18">[2]Material!$D$66</definedName>
    <definedName name="M_CrushedStoneChipping_67mm_100Passing_95mm" localSheetId="21">[2]Material!$D$66</definedName>
    <definedName name="M_CrushedStoneChipping_67mm_100Passing_95mm" localSheetId="26">#REF!</definedName>
    <definedName name="M_CrushedStoneChipping_67mm_100Passing_95mm" localSheetId="24">[3]Material!$D$66</definedName>
    <definedName name="M_CrushedStoneChipping_67mm_100Passing_95mm" localSheetId="27">#REF!</definedName>
    <definedName name="M_CrushedStoneChipping_67mm_100Passing_95mm" localSheetId="15">#REF!</definedName>
    <definedName name="M_CrushedStoneChipping_67mm_100Passing_95mm" localSheetId="2">#REF!</definedName>
    <definedName name="M_CrushedStoneChipping_67mm_100Passing_95mm" localSheetId="46">#REF!</definedName>
    <definedName name="M_CrushedStoneChipping_67mm_100Passing_95mm" localSheetId="37">#REF!</definedName>
    <definedName name="M_CrushedStoneChipping_67mm_100Passing_95mm" localSheetId="19">[2]Material!$D$66</definedName>
    <definedName name="M_CrushedStoneChipping_67mm_100Passing_95mm">#REF!</definedName>
    <definedName name="M_CrushedStoneChipping_95" localSheetId="33">#REF!</definedName>
    <definedName name="M_CrushedStoneChipping_95" localSheetId="23">[2]Material!$D$67</definedName>
    <definedName name="M_CrushedStoneChipping_95" localSheetId="22">[2]Material!$D$67</definedName>
    <definedName name="M_CrushedStoneChipping_95" localSheetId="17">[2]Material!$D$67</definedName>
    <definedName name="M_CrushedStoneChipping_95" localSheetId="18">[2]Material!$D$67</definedName>
    <definedName name="M_CrushedStoneChipping_95" localSheetId="21">[2]Material!$D$67</definedName>
    <definedName name="M_CrushedStoneChipping_95" localSheetId="26">#REF!</definedName>
    <definedName name="M_CrushedStoneChipping_95" localSheetId="24">[3]Material!$D$67</definedName>
    <definedName name="M_CrushedStoneChipping_95" localSheetId="27">#REF!</definedName>
    <definedName name="M_CrushedStoneChipping_95" localSheetId="15">#REF!</definedName>
    <definedName name="M_CrushedStoneChipping_95" localSheetId="2">#REF!</definedName>
    <definedName name="M_CrushedStoneChipping_95" localSheetId="46">#REF!</definedName>
    <definedName name="M_CrushedStoneChipping_95" localSheetId="37">#REF!</definedName>
    <definedName name="M_CrushedStoneChipping_95" localSheetId="19">[2]Material!$D$67</definedName>
    <definedName name="M_CrushedStoneChipping_95">#REF!</definedName>
    <definedName name="M_CrushedStoneCoarseAggregatePassing_53mm" localSheetId="33">#REF!</definedName>
    <definedName name="M_CrushedStoneCoarseAggregatePassing_53mm" localSheetId="23">[2]Material!$D$68</definedName>
    <definedName name="M_CrushedStoneCoarseAggregatePassing_53mm" localSheetId="22">[2]Material!$D$68</definedName>
    <definedName name="M_CrushedStoneCoarseAggregatePassing_53mm" localSheetId="17">[2]Material!$D$68</definedName>
    <definedName name="M_CrushedStoneCoarseAggregatePassing_53mm" localSheetId="18">[2]Material!$D$68</definedName>
    <definedName name="M_CrushedStoneCoarseAggregatePassing_53mm" localSheetId="21">[2]Material!$D$68</definedName>
    <definedName name="M_CrushedStoneCoarseAggregatePassing_53mm" localSheetId="26">#REF!</definedName>
    <definedName name="M_CrushedStoneCoarseAggregatePassing_53mm" localSheetId="24">[3]Material!$D$68</definedName>
    <definedName name="M_CrushedStoneCoarseAggregatePassing_53mm" localSheetId="27">#REF!</definedName>
    <definedName name="M_CrushedStoneCoarseAggregatePassing_53mm" localSheetId="15">#REF!</definedName>
    <definedName name="M_CrushedStoneCoarseAggregatePassing_53mm" localSheetId="2">#REF!</definedName>
    <definedName name="M_CrushedStoneCoarseAggregatePassing_53mm" localSheetId="46">#REF!</definedName>
    <definedName name="M_CrushedStoneCoarseAggregatePassing_53mm" localSheetId="37">#REF!</definedName>
    <definedName name="M_CrushedStoneCoarseAggregatePassing_53mm" localSheetId="19">[2]Material!$D$68</definedName>
    <definedName name="M_CrushedStoneCoarseAggregatePassing_53mm">#REF!</definedName>
    <definedName name="M_CuringCompound" localSheetId="33">#REF!</definedName>
    <definedName name="M_CuringCompound" localSheetId="23">[2]Material!$D$69</definedName>
    <definedName name="M_CuringCompound" localSheetId="22">[2]Material!$D$69</definedName>
    <definedName name="M_CuringCompound" localSheetId="17">[2]Material!$D$69</definedName>
    <definedName name="M_CuringCompound" localSheetId="18">[2]Material!$D$69</definedName>
    <definedName name="M_CuringCompound" localSheetId="21">[2]Material!$D$69</definedName>
    <definedName name="M_CuringCompound" localSheetId="26">#REF!</definedName>
    <definedName name="M_CuringCompound" localSheetId="24">[3]Material!$D$69</definedName>
    <definedName name="M_CuringCompound" localSheetId="27">#REF!</definedName>
    <definedName name="M_CuringCompound" localSheetId="15">#REF!</definedName>
    <definedName name="M_CuringCompound" localSheetId="2">#REF!</definedName>
    <definedName name="M_CuringCompound" localSheetId="46">#REF!</definedName>
    <definedName name="M_CuringCompound" localSheetId="37">#REF!</definedName>
    <definedName name="M_CuringCompound" localSheetId="19">[2]Material!$D$69</definedName>
    <definedName name="M_CuringCompound">#REF!</definedName>
    <definedName name="M_DebondingStrips" localSheetId="33">#REF!</definedName>
    <definedName name="M_DebondingStrips" localSheetId="23">[2]Material!$D$70</definedName>
    <definedName name="M_DebondingStrips" localSheetId="22">[2]Material!$D$70</definedName>
    <definedName name="M_DebondingStrips" localSheetId="17">[2]Material!$D$70</definedName>
    <definedName name="M_DebondingStrips" localSheetId="18">[2]Material!$D$70</definedName>
    <definedName name="M_DebondingStrips" localSheetId="21">[2]Material!$D$70</definedName>
    <definedName name="M_DebondingStrips" localSheetId="26">#REF!</definedName>
    <definedName name="M_DebondingStrips" localSheetId="24">[3]Material!$D$70</definedName>
    <definedName name="M_DebondingStrips" localSheetId="27">#REF!</definedName>
    <definedName name="M_DebondingStrips" localSheetId="15">#REF!</definedName>
    <definedName name="M_DebondingStrips" localSheetId="2">#REF!</definedName>
    <definedName name="M_DebondingStrips" localSheetId="46">#REF!</definedName>
    <definedName name="M_DebondingStrips" localSheetId="37">#REF!</definedName>
    <definedName name="M_DebondingStrips" localSheetId="19">[2]Material!$D$70</definedName>
    <definedName name="M_DebondingStrips">#REF!</definedName>
    <definedName name="M_EdgeStone_450_350_100mm" localSheetId="33">#REF!</definedName>
    <definedName name="M_EdgeStone_450_350_100mm" localSheetId="23">[2]Material!$D$71</definedName>
    <definedName name="M_EdgeStone_450_350_100mm" localSheetId="22">[2]Material!$D$71</definedName>
    <definedName name="M_EdgeStone_450_350_100mm" localSheetId="17">[2]Material!$D$71</definedName>
    <definedName name="M_EdgeStone_450_350_100mm" localSheetId="18">[2]Material!$D$71</definedName>
    <definedName name="M_EdgeStone_450_350_100mm" localSheetId="21">[2]Material!$D$71</definedName>
    <definedName name="M_EdgeStone_450_350_100mm" localSheetId="26">#REF!</definedName>
    <definedName name="M_EdgeStone_450_350_100mm" localSheetId="24">[3]Material!$D$71</definedName>
    <definedName name="M_EdgeStone_450_350_100mm" localSheetId="27">#REF!</definedName>
    <definedName name="M_EdgeStone_450_350_100mm" localSheetId="15">#REF!</definedName>
    <definedName name="M_EdgeStone_450_350_100mm" localSheetId="2">#REF!</definedName>
    <definedName name="M_EdgeStone_450_350_100mm" localSheetId="46">#REF!</definedName>
    <definedName name="M_EdgeStone_450_350_100mm" localSheetId="37">#REF!</definedName>
    <definedName name="M_EdgeStone_450_350_100mm" localSheetId="19">[2]Material!$D$71</definedName>
    <definedName name="M_EdgeStone_450_350_100mm">#REF!</definedName>
    <definedName name="M_EdgeStone_450_350_200mm" localSheetId="33">#REF!</definedName>
    <definedName name="M_EdgeStone_450_350_200mm" localSheetId="23">[2]Material!$D$72</definedName>
    <definedName name="M_EdgeStone_450_350_200mm" localSheetId="22">[2]Material!$D$72</definedName>
    <definedName name="M_EdgeStone_450_350_200mm" localSheetId="17">[2]Material!$D$72</definedName>
    <definedName name="M_EdgeStone_450_350_200mm" localSheetId="18">[2]Material!$D$72</definedName>
    <definedName name="M_EdgeStone_450_350_200mm" localSheetId="21">[2]Material!$D$72</definedName>
    <definedName name="M_EdgeStone_450_350_200mm" localSheetId="26">#REF!</definedName>
    <definedName name="M_EdgeStone_450_350_200mm" localSheetId="24">[3]Material!$D$72</definedName>
    <definedName name="M_EdgeStone_450_350_200mm" localSheetId="27">#REF!</definedName>
    <definedName name="M_EdgeStone_450_350_200mm" localSheetId="15">#REF!</definedName>
    <definedName name="M_EdgeStone_450_350_200mm" localSheetId="2">#REF!</definedName>
    <definedName name="M_EdgeStone_450_350_200mm" localSheetId="46">#REF!</definedName>
    <definedName name="M_EdgeStone_450_350_200mm" localSheetId="37">#REF!</definedName>
    <definedName name="M_EdgeStone_450_350_200mm" localSheetId="19">[2]Material!$D$72</definedName>
    <definedName name="M_EdgeStone_450_350_200mm">#REF!</definedName>
    <definedName name="M_ElastomericBearingAssembly" localSheetId="33">#REF!</definedName>
    <definedName name="M_ElastomericBearingAssembly" localSheetId="23">[2]Material!$D$73</definedName>
    <definedName name="M_ElastomericBearingAssembly" localSheetId="22">[2]Material!$D$73</definedName>
    <definedName name="M_ElastomericBearingAssembly" localSheetId="17">[2]Material!$D$73</definedName>
    <definedName name="M_ElastomericBearingAssembly" localSheetId="18">[2]Material!$D$73</definedName>
    <definedName name="M_ElastomericBearingAssembly" localSheetId="21">[2]Material!$D$73</definedName>
    <definedName name="M_ElastomericBearingAssembly" localSheetId="26">#REF!</definedName>
    <definedName name="M_ElastomericBearingAssembly" localSheetId="24">[3]Material!$D$73</definedName>
    <definedName name="M_ElastomericBearingAssembly" localSheetId="27">#REF!</definedName>
    <definedName name="M_ElastomericBearingAssembly" localSheetId="15">#REF!</definedName>
    <definedName name="M_ElastomericBearingAssembly" localSheetId="2">#REF!</definedName>
    <definedName name="M_ElastomericBearingAssembly" localSheetId="46">#REF!</definedName>
    <definedName name="M_ElastomericBearingAssembly" localSheetId="37">#REF!</definedName>
    <definedName name="M_ElastomericBearingAssembly" localSheetId="19">[2]Material!$D$73</definedName>
    <definedName name="M_ElastomericBearingAssembly">#REF!</definedName>
    <definedName name="M_ElectricDetonator" localSheetId="33">#REF!</definedName>
    <definedName name="M_ElectricDetonator" localSheetId="23">[2]Material!$D$74</definedName>
    <definedName name="M_ElectricDetonator" localSheetId="22">[2]Material!$D$74</definedName>
    <definedName name="M_ElectricDetonator" localSheetId="17">[2]Material!$D$74</definedName>
    <definedName name="M_ElectricDetonator" localSheetId="18">[2]Material!$D$74</definedName>
    <definedName name="M_ElectricDetonator" localSheetId="21">[2]Material!$D$74</definedName>
    <definedName name="M_ElectricDetonator" localSheetId="26">#REF!</definedName>
    <definedName name="M_ElectricDetonator" localSheetId="24">[3]Material!$D$74</definedName>
    <definedName name="M_ElectricDetonator" localSheetId="27">#REF!</definedName>
    <definedName name="M_ElectricDetonator" localSheetId="15">#REF!</definedName>
    <definedName name="M_ElectricDetonator" localSheetId="2">#REF!</definedName>
    <definedName name="M_ElectricDetonator" localSheetId="46">#REF!</definedName>
    <definedName name="M_ElectricDetonator" localSheetId="37">#REF!</definedName>
    <definedName name="M_ElectricDetonator" localSheetId="19">[2]Material!$D$74</definedName>
    <definedName name="M_ElectricDetonator">#REF!</definedName>
    <definedName name="M_EpoxyPaint" localSheetId="33">#REF!</definedName>
    <definedName name="M_EpoxyPaint" localSheetId="23">[2]Material!$D$75</definedName>
    <definedName name="M_EpoxyPaint" localSheetId="22">[2]Material!$D$75</definedName>
    <definedName name="M_EpoxyPaint" localSheetId="17">[2]Material!$D$75</definedName>
    <definedName name="M_EpoxyPaint" localSheetId="18">[2]Material!$D$75</definedName>
    <definedName name="M_EpoxyPaint" localSheetId="21">[2]Material!$D$75</definedName>
    <definedName name="M_EpoxyPaint" localSheetId="26">#REF!</definedName>
    <definedName name="M_EpoxyPaint" localSheetId="24">[3]Material!$D$75</definedName>
    <definedName name="M_EpoxyPaint" localSheetId="27">#REF!</definedName>
    <definedName name="M_EpoxyPaint" localSheetId="15">#REF!</definedName>
    <definedName name="M_EpoxyPaint" localSheetId="2">#REF!</definedName>
    <definedName name="M_EpoxyPaint" localSheetId="46">#REF!</definedName>
    <definedName name="M_EpoxyPaint" localSheetId="37">#REF!</definedName>
    <definedName name="M_EpoxyPaint" localSheetId="19">[2]Material!$D$75</definedName>
    <definedName name="M_EpoxyPaint">#REF!</definedName>
    <definedName name="M_FarmyardManure" localSheetId="33">#REF!</definedName>
    <definedName name="M_FarmyardManure" localSheetId="23">[2]Material!$D$77</definedName>
    <definedName name="M_FarmyardManure" localSheetId="22">[2]Material!$D$77</definedName>
    <definedName name="M_FarmyardManure" localSheetId="17">[2]Material!$D$77</definedName>
    <definedName name="M_FarmyardManure" localSheetId="18">[2]Material!$D$77</definedName>
    <definedName name="M_FarmyardManure" localSheetId="21">[2]Material!$D$77</definedName>
    <definedName name="M_FarmyardManure" localSheetId="26">#REF!</definedName>
    <definedName name="M_FarmyardManure" localSheetId="24">[3]Material!$D$77</definedName>
    <definedName name="M_FarmyardManure" localSheetId="27">#REF!</definedName>
    <definedName name="M_FarmyardManure" localSheetId="15">#REF!</definedName>
    <definedName name="M_FarmyardManure" localSheetId="2">#REF!</definedName>
    <definedName name="M_FarmyardManure" localSheetId="46">#REF!</definedName>
    <definedName name="M_FarmyardManure" localSheetId="37">#REF!</definedName>
    <definedName name="M_FarmyardManure" localSheetId="19">[2]Material!$D$77</definedName>
    <definedName name="M_FarmyardManure">#REF!</definedName>
    <definedName name="M_FevicolAdhesive" localSheetId="33">#REF!</definedName>
    <definedName name="M_FevicolAdhesive" localSheetId="23">[2]Material!$D$78</definedName>
    <definedName name="M_FevicolAdhesive" localSheetId="22">[2]Material!$D$78</definedName>
    <definedName name="M_FevicolAdhesive" localSheetId="17">[2]Material!$D$78</definedName>
    <definedName name="M_FevicolAdhesive" localSheetId="18">[2]Material!$D$78</definedName>
    <definedName name="M_FevicolAdhesive" localSheetId="21">[2]Material!$D$78</definedName>
    <definedName name="M_FevicolAdhesive" localSheetId="26">#REF!</definedName>
    <definedName name="M_FevicolAdhesive" localSheetId="24">[3]Material!$D$78</definedName>
    <definedName name="M_FevicolAdhesive" localSheetId="27">#REF!</definedName>
    <definedName name="M_FevicolAdhesive" localSheetId="15">#REF!</definedName>
    <definedName name="M_FevicolAdhesive" localSheetId="2">#REF!</definedName>
    <definedName name="M_FevicolAdhesive" localSheetId="46">#REF!</definedName>
    <definedName name="M_FevicolAdhesive" localSheetId="37">#REF!</definedName>
    <definedName name="M_FevicolAdhesive" localSheetId="19">[2]Material!$D$78</definedName>
    <definedName name="M_FevicolAdhesive">#REF!</definedName>
    <definedName name="M_FilterMedia" localSheetId="33">#REF!</definedName>
    <definedName name="M_FilterMedia" localSheetId="23">[2]Material!$D$79</definedName>
    <definedName name="M_FilterMedia" localSheetId="22">[2]Material!$D$79</definedName>
    <definedName name="M_FilterMedia" localSheetId="17">[2]Material!$D$79</definedName>
    <definedName name="M_FilterMedia" localSheetId="18">[2]Material!$D$79</definedName>
    <definedName name="M_FilterMedia" localSheetId="21">[2]Material!$D$79</definedName>
    <definedName name="M_FilterMedia" localSheetId="26">#REF!</definedName>
    <definedName name="M_FilterMedia" localSheetId="24">[3]Material!$D$79</definedName>
    <definedName name="M_FilterMedia" localSheetId="27">#REF!</definedName>
    <definedName name="M_FilterMedia" localSheetId="15">#REF!</definedName>
    <definedName name="M_FilterMedia" localSheetId="2">#REF!</definedName>
    <definedName name="M_FilterMedia" localSheetId="46">#REF!</definedName>
    <definedName name="M_FilterMedia" localSheetId="37">#REF!</definedName>
    <definedName name="M_FilterMedia" localSheetId="19">[2]Material!$D$79</definedName>
    <definedName name="M_FilterMedia">#REF!</definedName>
    <definedName name="M_FineAggregate_CrushedSand" localSheetId="33">#REF!</definedName>
    <definedName name="M_FineAggregate_CrushedSand" localSheetId="23">[2]Material!$D$80</definedName>
    <definedName name="M_FineAggregate_CrushedSand" localSheetId="22">[2]Material!$D$80</definedName>
    <definedName name="M_FineAggregate_CrushedSand" localSheetId="17">[2]Material!$D$80</definedName>
    <definedName name="M_FineAggregate_CrushedSand" localSheetId="18">[2]Material!$D$80</definedName>
    <definedName name="M_FineAggregate_CrushedSand" localSheetId="21">[2]Material!$D$80</definedName>
    <definedName name="M_FineAggregate_CrushedSand" localSheetId="26">#REF!</definedName>
    <definedName name="M_FineAggregate_CrushedSand" localSheetId="24">[3]Material!$D$80</definedName>
    <definedName name="M_FineAggregate_CrushedSand" localSheetId="27">#REF!</definedName>
    <definedName name="M_FineAggregate_CrushedSand" localSheetId="15">#REF!</definedName>
    <definedName name="M_FineAggregate_CrushedSand" localSheetId="2">#REF!</definedName>
    <definedName name="M_FineAggregate_CrushedSand" localSheetId="46">#REF!</definedName>
    <definedName name="M_FineAggregate_CrushedSand" localSheetId="37">#REF!</definedName>
    <definedName name="M_FineAggregate_CrushedSand" localSheetId="19">[2]Material!$D$80</definedName>
    <definedName name="M_FineAggregate_CrushedSand">#REF!</definedName>
    <definedName name="M_GalvanisedAngle" localSheetId="33">#REF!</definedName>
    <definedName name="M_GalvanisedAngle" localSheetId="23">[2]Material!$D$81</definedName>
    <definedName name="M_GalvanisedAngle" localSheetId="22">[2]Material!$D$81</definedName>
    <definedName name="M_GalvanisedAngle" localSheetId="17">[2]Material!$D$81</definedName>
    <definedName name="M_GalvanisedAngle" localSheetId="18">[2]Material!$D$81</definedName>
    <definedName name="M_GalvanisedAngle" localSheetId="21">[2]Material!$D$81</definedName>
    <definedName name="M_GalvanisedAngle" localSheetId="26">#REF!</definedName>
    <definedName name="M_GalvanisedAngle" localSheetId="24">[3]Material!$D$81</definedName>
    <definedName name="M_GalvanisedAngle" localSheetId="27">#REF!</definedName>
    <definedName name="M_GalvanisedAngle" localSheetId="15">#REF!</definedName>
    <definedName name="M_GalvanisedAngle" localSheetId="2">#REF!</definedName>
    <definedName name="M_GalvanisedAngle" localSheetId="46">#REF!</definedName>
    <definedName name="M_GalvanisedAngle" localSheetId="37">#REF!</definedName>
    <definedName name="M_GalvanisedAngle" localSheetId="19">[2]Material!$D$81</definedName>
    <definedName name="M_GalvanisedAngle">#REF!</definedName>
    <definedName name="M_Gelatine_80" localSheetId="33">#REF!</definedName>
    <definedName name="M_Gelatine_80" localSheetId="23">[2]Material!$D$83</definedName>
    <definedName name="M_Gelatine_80" localSheetId="22">[2]Material!$D$83</definedName>
    <definedName name="M_Gelatine_80" localSheetId="17">[2]Material!$D$83</definedName>
    <definedName name="M_Gelatine_80" localSheetId="18">[2]Material!$D$83</definedName>
    <definedName name="M_Gelatine_80" localSheetId="21">[2]Material!$D$83</definedName>
    <definedName name="M_Gelatine_80" localSheetId="26">#REF!</definedName>
    <definedName name="M_Gelatine_80" localSheetId="24">[3]Material!$D$83</definedName>
    <definedName name="M_Gelatine_80" localSheetId="27">#REF!</definedName>
    <definedName name="M_Gelatine_80" localSheetId="15">#REF!</definedName>
    <definedName name="M_Gelatine_80" localSheetId="2">#REF!</definedName>
    <definedName name="M_Gelatine_80" localSheetId="46">#REF!</definedName>
    <definedName name="M_Gelatine_80" localSheetId="37">#REF!</definedName>
    <definedName name="M_Gelatine_80" localSheetId="19">[2]Material!$D$83</definedName>
    <definedName name="M_Gelatine_80">#REF!</definedName>
    <definedName name="M_GIPipe_100mm" localSheetId="33">#REF!</definedName>
    <definedName name="M_GIPipe_100mm" localSheetId="23">[2]Material!$D$84</definedName>
    <definedName name="M_GIPipe_100mm" localSheetId="22">[2]Material!$D$84</definedName>
    <definedName name="M_GIPipe_100mm" localSheetId="17">[2]Material!$D$84</definedName>
    <definedName name="M_GIPipe_100mm" localSheetId="18">[2]Material!$D$84</definedName>
    <definedName name="M_GIPipe_100mm" localSheetId="21">[2]Material!$D$84</definedName>
    <definedName name="M_GIPipe_100mm" localSheetId="26">#REF!</definedName>
    <definedName name="M_GIPipe_100mm" localSheetId="24">[3]Material!$D$84</definedName>
    <definedName name="M_GIPipe_100mm" localSheetId="27">#REF!</definedName>
    <definedName name="M_GIPipe_100mm" localSheetId="15">#REF!</definedName>
    <definedName name="M_GIPipe_100mm" localSheetId="2">#REF!</definedName>
    <definedName name="M_GIPipe_100mm" localSheetId="46">#REF!</definedName>
    <definedName name="M_GIPipe_100mm" localSheetId="37">#REF!</definedName>
    <definedName name="M_GIPipe_100mm" localSheetId="19">[2]Material!$D$84</definedName>
    <definedName name="M_GIPipe_100mm">#REF!</definedName>
    <definedName name="M_GIPipe_50mm" localSheetId="33">#REF!</definedName>
    <definedName name="M_GIPipe_50mm" localSheetId="23">[2]Material!$D$85</definedName>
    <definedName name="M_GIPipe_50mm" localSheetId="22">[2]Material!$D$85</definedName>
    <definedName name="M_GIPipe_50mm" localSheetId="17">[2]Material!$D$85</definedName>
    <definedName name="M_GIPipe_50mm" localSheetId="18">[2]Material!$D$85</definedName>
    <definedName name="M_GIPipe_50mm" localSheetId="21">[2]Material!$D$85</definedName>
    <definedName name="M_GIPipe_50mm" localSheetId="26">#REF!</definedName>
    <definedName name="M_GIPipe_50mm" localSheetId="24">[3]Material!$D$85</definedName>
    <definedName name="M_GIPipe_50mm" localSheetId="27">#REF!</definedName>
    <definedName name="M_GIPipe_50mm" localSheetId="15">#REF!</definedName>
    <definedName name="M_GIPipe_50mm" localSheetId="2">#REF!</definedName>
    <definedName name="M_GIPipe_50mm" localSheetId="46">#REF!</definedName>
    <definedName name="M_GIPipe_50mm" localSheetId="37">#REF!</definedName>
    <definedName name="M_GIPipe_50mm" localSheetId="19">[2]Material!$D$85</definedName>
    <definedName name="M_GIPipe_50mm">#REF!</definedName>
    <definedName name="M_GIWires" localSheetId="33">#REF!</definedName>
    <definedName name="M_GIWires" localSheetId="23">[2]Material!$D$86</definedName>
    <definedName name="M_GIWires" localSheetId="22">[2]Material!$D$86</definedName>
    <definedName name="M_GIWires" localSheetId="17">[2]Material!$D$86</definedName>
    <definedName name="M_GIWires" localSheetId="18">[2]Material!$D$86</definedName>
    <definedName name="M_GIWires" localSheetId="21">[2]Material!$D$86</definedName>
    <definedName name="M_GIWires" localSheetId="26">#REF!</definedName>
    <definedName name="M_GIWires" localSheetId="24">[3]Material!$D$86</definedName>
    <definedName name="M_GIWires" localSheetId="27">#REF!</definedName>
    <definedName name="M_GIWires" localSheetId="15">#REF!</definedName>
    <definedName name="M_GIWires" localSheetId="2">#REF!</definedName>
    <definedName name="M_GIWires" localSheetId="46">#REF!</definedName>
    <definedName name="M_GIWires" localSheetId="37">#REF!</definedName>
    <definedName name="M_GIWires" localSheetId="19">[2]Material!$D$86</definedName>
    <definedName name="M_GIWires">#REF!</definedName>
    <definedName name="M_GradedStoneAggregate" localSheetId="33">#REF!</definedName>
    <definedName name="M_GradedStoneAggregate" localSheetId="23">[2]Material!$D$87</definedName>
    <definedName name="M_GradedStoneAggregate" localSheetId="22">[2]Material!$D$87</definedName>
    <definedName name="M_GradedStoneAggregate" localSheetId="17">[2]Material!$D$87</definedName>
    <definedName name="M_GradedStoneAggregate" localSheetId="18">[2]Material!$D$87</definedName>
    <definedName name="M_GradedStoneAggregate" localSheetId="21">[2]Material!$D$87</definedName>
    <definedName name="M_GradedStoneAggregate" localSheetId="26">#REF!</definedName>
    <definedName name="M_GradedStoneAggregate" localSheetId="24">[3]Material!$D$87</definedName>
    <definedName name="M_GradedStoneAggregate" localSheetId="27">#REF!</definedName>
    <definedName name="M_GradedStoneAggregate" localSheetId="15">#REF!</definedName>
    <definedName name="M_GradedStoneAggregate" localSheetId="2">#REF!</definedName>
    <definedName name="M_GradedStoneAggregate" localSheetId="46">#REF!</definedName>
    <definedName name="M_GradedStoneAggregate" localSheetId="37">#REF!</definedName>
    <definedName name="M_GradedStoneAggregate" localSheetId="19">[2]Material!$D$87</definedName>
    <definedName name="M_GradedStoneAggregate">#REF!</definedName>
    <definedName name="M_GranularMaterial" localSheetId="33">#REF!</definedName>
    <definedName name="M_GranularMaterial" localSheetId="23">[2]Material!$D$88</definedName>
    <definedName name="M_GranularMaterial" localSheetId="22">[2]Material!$D$88</definedName>
    <definedName name="M_GranularMaterial" localSheetId="17">[2]Material!$D$88</definedName>
    <definedName name="M_GranularMaterial" localSheetId="18">[2]Material!$D$88</definedName>
    <definedName name="M_GranularMaterial" localSheetId="21">[2]Material!$D$88</definedName>
    <definedName name="M_GranularMaterial" localSheetId="26">#REF!</definedName>
    <definedName name="M_GranularMaterial" localSheetId="24">[3]Material!$D$88</definedName>
    <definedName name="M_GranularMaterial" localSheetId="27">#REF!</definedName>
    <definedName name="M_GranularMaterial" localSheetId="15">#REF!</definedName>
    <definedName name="M_GranularMaterial" localSheetId="2">#REF!</definedName>
    <definedName name="M_GranularMaterial" localSheetId="46">#REF!</definedName>
    <definedName name="M_GranularMaterial" localSheetId="37">#REF!</definedName>
    <definedName name="M_GranularMaterial" localSheetId="19">[2]Material!$D$88</definedName>
    <definedName name="M_GranularMaterial">#REF!</definedName>
    <definedName name="M_HandBrokenMetal_40mm" localSheetId="33">#REF!</definedName>
    <definedName name="M_HandBrokenMetal_40mm" localSheetId="23">[2]Material!$D$89</definedName>
    <definedName name="M_HandBrokenMetal_40mm" localSheetId="22">[2]Material!$D$89</definedName>
    <definedName name="M_HandBrokenMetal_40mm" localSheetId="17">[2]Material!$D$89</definedName>
    <definedName name="M_HandBrokenMetal_40mm" localSheetId="18">[2]Material!$D$89</definedName>
    <definedName name="M_HandBrokenMetal_40mm" localSheetId="21">[2]Material!$D$89</definedName>
    <definedName name="M_HandBrokenMetal_40mm" localSheetId="26">#REF!</definedName>
    <definedName name="M_HandBrokenMetal_40mm" localSheetId="24">[3]Material!$D$89</definedName>
    <definedName name="M_HandBrokenMetal_40mm" localSheetId="27">#REF!</definedName>
    <definedName name="M_HandBrokenMetal_40mm" localSheetId="15">#REF!</definedName>
    <definedName name="M_HandBrokenMetal_40mm" localSheetId="2">#REF!</definedName>
    <definedName name="M_HandBrokenMetal_40mm" localSheetId="46">#REF!</definedName>
    <definedName name="M_HandBrokenMetal_40mm" localSheetId="37">#REF!</definedName>
    <definedName name="M_HandBrokenMetal_40mm" localSheetId="19">[2]Material!$D$89</definedName>
    <definedName name="M_HandBrokenMetal_40mm">#REF!</definedName>
    <definedName name="M_Indigo" localSheetId="33">#REF!</definedName>
    <definedName name="M_Indigo" localSheetId="23">[2]Material!$D$90</definedName>
    <definedName name="M_Indigo" localSheetId="22">[2]Material!$D$90</definedName>
    <definedName name="M_Indigo" localSheetId="17">[2]Material!$D$90</definedName>
    <definedName name="M_Indigo" localSheetId="18">[2]Material!$D$90</definedName>
    <definedName name="M_Indigo" localSheetId="21">[2]Material!$D$90</definedName>
    <definedName name="M_Indigo" localSheetId="26">#REF!</definedName>
    <definedName name="M_Indigo" localSheetId="24">[3]Material!$D$90</definedName>
    <definedName name="M_Indigo" localSheetId="27">#REF!</definedName>
    <definedName name="M_Indigo" localSheetId="15">#REF!</definedName>
    <definedName name="M_Indigo" localSheetId="2">#REF!</definedName>
    <definedName name="M_Indigo" localSheetId="46">#REF!</definedName>
    <definedName name="M_Indigo" localSheetId="37">#REF!</definedName>
    <definedName name="M_Indigo" localSheetId="19">[2]Material!$D$90</definedName>
    <definedName name="M_Indigo">#REF!</definedName>
    <definedName name="M_InterlockingBlocks_60mm" localSheetId="33">#REF!</definedName>
    <definedName name="M_InterlockingBlocks_60mm" localSheetId="23">[2]Material!$D$91</definedName>
    <definedName name="M_InterlockingBlocks_60mm" localSheetId="22">[2]Material!$D$91</definedName>
    <definedName name="M_InterlockingBlocks_60mm" localSheetId="17">[2]Material!$D$91</definedName>
    <definedName name="M_InterlockingBlocks_60mm" localSheetId="18">[2]Material!$D$91</definedName>
    <definedName name="M_InterlockingBlocks_60mm" localSheetId="21">[2]Material!$D$91</definedName>
    <definedName name="M_InterlockingBlocks_60mm" localSheetId="26">#REF!</definedName>
    <definedName name="M_InterlockingBlocks_60mm" localSheetId="24">[3]Material!$D$91</definedName>
    <definedName name="M_InterlockingBlocks_60mm" localSheetId="27">#REF!</definedName>
    <definedName name="M_InterlockingBlocks_60mm" localSheetId="15">#REF!</definedName>
    <definedName name="M_InterlockingBlocks_60mm" localSheetId="2">#REF!</definedName>
    <definedName name="M_InterlockingBlocks_60mm" localSheetId="46">#REF!</definedName>
    <definedName name="M_InterlockingBlocks_60mm" localSheetId="37">#REF!</definedName>
    <definedName name="M_InterlockingBlocks_60mm" localSheetId="19">[2]Material!$D$91</definedName>
    <definedName name="M_InterlockingBlocks_60mm">#REF!</definedName>
    <definedName name="M_InterlockingBlocks_80mm" localSheetId="33">#REF!</definedName>
    <definedName name="M_InterlockingBlocks_80mm" localSheetId="23">[2]Material!$D$92</definedName>
    <definedName name="M_InterlockingBlocks_80mm" localSheetId="22">[2]Material!$D$92</definedName>
    <definedName name="M_InterlockingBlocks_80mm" localSheetId="17">[2]Material!$D$92</definedName>
    <definedName name="M_InterlockingBlocks_80mm" localSheetId="18">[2]Material!$D$92</definedName>
    <definedName name="M_InterlockingBlocks_80mm" localSheetId="21">[2]Material!$D$92</definedName>
    <definedName name="M_InterlockingBlocks_80mm" localSheetId="26">#REF!</definedName>
    <definedName name="M_InterlockingBlocks_80mm" localSheetId="24">[3]Material!$D$92</definedName>
    <definedName name="M_InterlockingBlocks_80mm" localSheetId="27">#REF!</definedName>
    <definedName name="M_InterlockingBlocks_80mm" localSheetId="15">#REF!</definedName>
    <definedName name="M_InterlockingBlocks_80mm" localSheetId="2">#REF!</definedName>
    <definedName name="M_InterlockingBlocks_80mm" localSheetId="46">#REF!</definedName>
    <definedName name="M_InterlockingBlocks_80mm" localSheetId="37">#REF!</definedName>
    <definedName name="M_InterlockingBlocks_80mm" localSheetId="19">[2]Material!$D$92</definedName>
    <definedName name="M_InterlockingBlocks_80mm">#REF!</definedName>
    <definedName name="M_JointFillerBoard" localSheetId="33">#REF!</definedName>
    <definedName name="M_JointFillerBoard" localSheetId="23">[2]Material!$D$93</definedName>
    <definedName name="M_JointFillerBoard" localSheetId="22">[2]Material!$D$93</definedName>
    <definedName name="M_JointFillerBoard" localSheetId="17">[2]Material!$D$93</definedName>
    <definedName name="M_JointFillerBoard" localSheetId="18">[2]Material!$D$93</definedName>
    <definedName name="M_JointFillerBoard" localSheetId="21">[2]Material!$D$93</definedName>
    <definedName name="M_JointFillerBoard" localSheetId="26">#REF!</definedName>
    <definedName name="M_JointFillerBoard" localSheetId="24">[3]Material!$D$93</definedName>
    <definedName name="M_JointFillerBoard" localSheetId="27">#REF!</definedName>
    <definedName name="M_JointFillerBoard" localSheetId="15">#REF!</definedName>
    <definedName name="M_JointFillerBoard" localSheetId="2">#REF!</definedName>
    <definedName name="M_JointFillerBoard" localSheetId="46">#REF!</definedName>
    <definedName name="M_JointFillerBoard" localSheetId="37">#REF!</definedName>
    <definedName name="M_JointFillerBoard" localSheetId="19">[2]Material!$D$93</definedName>
    <definedName name="M_JointFillerBoard">#REF!</definedName>
    <definedName name="M_JuteNetting_OpenWeave_25mm" localSheetId="33">#REF!</definedName>
    <definedName name="M_JuteNetting_OpenWeave_25mm" localSheetId="23">[2]Material!$D$94</definedName>
    <definedName name="M_JuteNetting_OpenWeave_25mm" localSheetId="22">[2]Material!$D$94</definedName>
    <definedName name="M_JuteNetting_OpenWeave_25mm" localSheetId="17">[2]Material!$D$94</definedName>
    <definedName name="M_JuteNetting_OpenWeave_25mm" localSheetId="18">[2]Material!$D$94</definedName>
    <definedName name="M_JuteNetting_OpenWeave_25mm" localSheetId="21">[2]Material!$D$94</definedName>
    <definedName name="M_JuteNetting_OpenWeave_25mm" localSheetId="26">#REF!</definedName>
    <definedName name="M_JuteNetting_OpenWeave_25mm" localSheetId="24">[3]Material!$D$94</definedName>
    <definedName name="M_JuteNetting_OpenWeave_25mm" localSheetId="27">#REF!</definedName>
    <definedName name="M_JuteNetting_OpenWeave_25mm" localSheetId="15">#REF!</definedName>
    <definedName name="M_JuteNetting_OpenWeave_25mm" localSheetId="2">#REF!</definedName>
    <definedName name="M_JuteNetting_OpenWeave_25mm" localSheetId="46">#REF!</definedName>
    <definedName name="M_JuteNetting_OpenWeave_25mm" localSheetId="37">#REF!</definedName>
    <definedName name="M_JuteNetting_OpenWeave_25mm" localSheetId="19">[2]Material!$D$94</definedName>
    <definedName name="M_JuteNetting_OpenWeave_25mm">#REF!</definedName>
    <definedName name="M_JuteRope_12mm" localSheetId="33">#REF!</definedName>
    <definedName name="M_JuteRope_12mm" localSheetId="23">[2]Material!$D$95</definedName>
    <definedName name="M_JuteRope_12mm" localSheetId="22">[2]Material!$D$95</definedName>
    <definedName name="M_JuteRope_12mm" localSheetId="17">[2]Material!$D$95</definedName>
    <definedName name="M_JuteRope_12mm" localSheetId="18">[2]Material!$D$95</definedName>
    <definedName name="M_JuteRope_12mm" localSheetId="21">[2]Material!$D$95</definedName>
    <definedName name="M_JuteRope_12mm" localSheetId="26">#REF!</definedName>
    <definedName name="M_JuteRope_12mm" localSheetId="24">[3]Material!$D$95</definedName>
    <definedName name="M_JuteRope_12mm" localSheetId="27">#REF!</definedName>
    <definedName name="M_JuteRope_12mm" localSheetId="15">#REF!</definedName>
    <definedName name="M_JuteRope_12mm" localSheetId="2">#REF!</definedName>
    <definedName name="M_JuteRope_12mm" localSheetId="46">#REF!</definedName>
    <definedName name="M_JuteRope_12mm" localSheetId="37">#REF!</definedName>
    <definedName name="M_JuteRope_12mm" localSheetId="19">[2]Material!$D$95</definedName>
    <definedName name="M_JuteRope_12mm">#REF!</definedName>
    <definedName name="M_KeyAggregatesPassing_224mm" localSheetId="33">#REF!</definedName>
    <definedName name="M_KeyAggregatesPassing_224mm" localSheetId="23">[2]Material!$D$96</definedName>
    <definedName name="M_KeyAggregatesPassing_224mm" localSheetId="22">[2]Material!$D$96</definedName>
    <definedName name="M_KeyAggregatesPassing_224mm" localSheetId="17">[2]Material!$D$96</definedName>
    <definedName name="M_KeyAggregatesPassing_224mm" localSheetId="18">[2]Material!$D$96</definedName>
    <definedName name="M_KeyAggregatesPassing_224mm" localSheetId="21">[2]Material!$D$96</definedName>
    <definedName name="M_KeyAggregatesPassing_224mm" localSheetId="26">#REF!</definedName>
    <definedName name="M_KeyAggregatesPassing_224mm" localSheetId="24">[3]Material!$D$96</definedName>
    <definedName name="M_KeyAggregatesPassing_224mm" localSheetId="27">#REF!</definedName>
    <definedName name="M_KeyAggregatesPassing_224mm" localSheetId="15">#REF!</definedName>
    <definedName name="M_KeyAggregatesPassing_224mm" localSheetId="2">#REF!</definedName>
    <definedName name="M_KeyAggregatesPassing_224mm" localSheetId="46">#REF!</definedName>
    <definedName name="M_KeyAggregatesPassing_224mm" localSheetId="37">#REF!</definedName>
    <definedName name="M_KeyAggregatesPassing_224mm" localSheetId="19">[2]Material!$D$96</definedName>
    <definedName name="M_KeyAggregatesPassing_224mm">#REF!</definedName>
    <definedName name="M_Lime" localSheetId="33">#REF!</definedName>
    <definedName name="M_Lime" localSheetId="23">[2]Material!$D$97</definedName>
    <definedName name="M_Lime" localSheetId="22">[2]Material!$D$97</definedName>
    <definedName name="M_Lime" localSheetId="17">[2]Material!$D$97</definedName>
    <definedName name="M_Lime" localSheetId="18">[2]Material!$D$97</definedName>
    <definedName name="M_Lime" localSheetId="21">[2]Material!$D$97</definedName>
    <definedName name="M_Lime" localSheetId="26">#REF!</definedName>
    <definedName name="M_Lime" localSheetId="24">[3]Material!$D$97</definedName>
    <definedName name="M_Lime" localSheetId="27">#REF!</definedName>
    <definedName name="M_Lime" localSheetId="15">#REF!</definedName>
    <definedName name="M_Lime" localSheetId="2">#REF!</definedName>
    <definedName name="M_Lime" localSheetId="46">#REF!</definedName>
    <definedName name="M_Lime" localSheetId="37">#REF!</definedName>
    <definedName name="M_Lime" localSheetId="19">[2]Material!$D$97</definedName>
    <definedName name="M_Lime">#REF!</definedName>
    <definedName name="M_LocalWoodPiles_1stClass" localSheetId="33">#REF!</definedName>
    <definedName name="M_LocalWoodPiles_1stClass" localSheetId="23">[2]Material!$D$99</definedName>
    <definedName name="M_LocalWoodPiles_1stClass" localSheetId="22">[2]Material!$D$99</definedName>
    <definedName name="M_LocalWoodPiles_1stClass" localSheetId="17">[2]Material!$D$99</definedName>
    <definedName name="M_LocalWoodPiles_1stClass" localSheetId="18">[2]Material!$D$99</definedName>
    <definedName name="M_LocalWoodPiles_1stClass" localSheetId="21">[2]Material!$D$99</definedName>
    <definedName name="M_LocalWoodPiles_1stClass" localSheetId="26">#REF!</definedName>
    <definedName name="M_LocalWoodPiles_1stClass" localSheetId="24">[3]Material!$D$99</definedName>
    <definedName name="M_LocalWoodPiles_1stClass" localSheetId="27">#REF!</definedName>
    <definedName name="M_LocalWoodPiles_1stClass" localSheetId="15">#REF!</definedName>
    <definedName name="M_LocalWoodPiles_1stClass" localSheetId="2">#REF!</definedName>
    <definedName name="M_LocalWoodPiles_1stClass" localSheetId="46">#REF!</definedName>
    <definedName name="M_LocalWoodPiles_1stClass" localSheetId="37">#REF!</definedName>
    <definedName name="M_LocalWoodPiles_1stClass" localSheetId="19">[2]Material!$D$99</definedName>
    <definedName name="M_LocalWoodPiles_1stClass">#REF!</definedName>
    <definedName name="M_LocalWoodPiles_1stClass_100_75mm" localSheetId="33">#REF!</definedName>
    <definedName name="M_LocalWoodPiles_1stClass_100_75mm" localSheetId="23">[2]Material!$D$100</definedName>
    <definedName name="M_LocalWoodPiles_1stClass_100_75mm" localSheetId="22">[2]Material!$D$100</definedName>
    <definedName name="M_LocalWoodPiles_1stClass_100_75mm" localSheetId="17">[2]Material!$D$100</definedName>
    <definedName name="M_LocalWoodPiles_1stClass_100_75mm" localSheetId="18">[2]Material!$D$100</definedName>
    <definedName name="M_LocalWoodPiles_1stClass_100_75mm" localSheetId="21">[2]Material!$D$100</definedName>
    <definedName name="M_LocalWoodPiles_1stClass_100_75mm" localSheetId="26">#REF!</definedName>
    <definedName name="M_LocalWoodPiles_1stClass_100_75mm" localSheetId="24">[3]Material!$D$100</definedName>
    <definedName name="M_LocalWoodPiles_1stClass_100_75mm" localSheetId="27">#REF!</definedName>
    <definedName name="M_LocalWoodPiles_1stClass_100_75mm" localSheetId="15">#REF!</definedName>
    <definedName name="M_LocalWoodPiles_1stClass_100_75mm" localSheetId="2">#REF!</definedName>
    <definedName name="M_LocalWoodPiles_1stClass_100_75mm" localSheetId="46">#REF!</definedName>
    <definedName name="M_LocalWoodPiles_1stClass_100_75mm" localSheetId="37">#REF!</definedName>
    <definedName name="M_LocalWoodPiles_1stClass_100_75mm" localSheetId="19">[2]Material!$D$100</definedName>
    <definedName name="M_LocalWoodPiles_1stClass_100_75mm">#REF!</definedName>
    <definedName name="M_LooseStone" localSheetId="33">#REF!</definedName>
    <definedName name="M_LooseStone" localSheetId="23">[2]Material!$D$101</definedName>
    <definedName name="M_LooseStone" localSheetId="22">[2]Material!$D$101</definedName>
    <definedName name="M_LooseStone" localSheetId="17">[2]Material!$D$101</definedName>
    <definedName name="M_LooseStone" localSheetId="18">[2]Material!$D$101</definedName>
    <definedName name="M_LooseStone" localSheetId="21">[2]Material!$D$101</definedName>
    <definedName name="M_LooseStone" localSheetId="26">#REF!</definedName>
    <definedName name="M_LooseStone" localSheetId="24">[3]Material!$D$101</definedName>
    <definedName name="M_LooseStone" localSheetId="27">#REF!</definedName>
    <definedName name="M_LooseStone" localSheetId="15">#REF!</definedName>
    <definedName name="M_LooseStone" localSheetId="2">#REF!</definedName>
    <definedName name="M_LooseStone" localSheetId="46">#REF!</definedName>
    <definedName name="M_LooseStone" localSheetId="37">#REF!</definedName>
    <definedName name="M_LooseStone" localSheetId="19">[2]Material!$D$101</definedName>
    <definedName name="M_LooseStone">#REF!</definedName>
    <definedName name="M_MS_Sheet_15mm" localSheetId="33">#REF!</definedName>
    <definedName name="M_MS_Sheet_15mm" localSheetId="23">[2]Material!$D$105</definedName>
    <definedName name="M_MS_Sheet_15mm" localSheetId="22">[2]Material!$D$105</definedName>
    <definedName name="M_MS_Sheet_15mm" localSheetId="17">[2]Material!$D$105</definedName>
    <definedName name="M_MS_Sheet_15mm" localSheetId="18">[2]Material!$D$105</definedName>
    <definedName name="M_MS_Sheet_15mm" localSheetId="21">[2]Material!$D$105</definedName>
    <definedName name="M_MS_Sheet_15mm" localSheetId="26">#REF!</definedName>
    <definedName name="M_MS_Sheet_15mm" localSheetId="24">[3]Material!$D$105</definedName>
    <definedName name="M_MS_Sheet_15mm" localSheetId="27">#REF!</definedName>
    <definedName name="M_MS_Sheet_15mm" localSheetId="15">#REF!</definedName>
    <definedName name="M_MS_Sheet_15mm" localSheetId="2">#REF!</definedName>
    <definedName name="M_MS_Sheet_15mm" localSheetId="46">#REF!</definedName>
    <definedName name="M_MS_Sheet_15mm" localSheetId="37">#REF!</definedName>
    <definedName name="M_MS_Sheet_15mm" localSheetId="19">[2]Material!$D$105</definedName>
    <definedName name="M_MS_Sheet_15mm">#REF!</definedName>
    <definedName name="M_MS_Sheet_2mm" localSheetId="33">#REF!</definedName>
    <definedName name="M_MS_Sheet_2mm" localSheetId="23">[2]Material!$D$106</definedName>
    <definedName name="M_MS_Sheet_2mm" localSheetId="22">[2]Material!$D$106</definedName>
    <definedName name="M_MS_Sheet_2mm" localSheetId="17">[2]Material!$D$106</definedName>
    <definedName name="M_MS_Sheet_2mm" localSheetId="18">[2]Material!$D$106</definedName>
    <definedName name="M_MS_Sheet_2mm" localSheetId="21">[2]Material!$D$106</definedName>
    <definedName name="M_MS_Sheet_2mm" localSheetId="26">#REF!</definedName>
    <definedName name="M_MS_Sheet_2mm" localSheetId="24">[3]Material!$D$106</definedName>
    <definedName name="M_MS_Sheet_2mm" localSheetId="27">#REF!</definedName>
    <definedName name="M_MS_Sheet_2mm" localSheetId="15">#REF!</definedName>
    <definedName name="M_MS_Sheet_2mm" localSheetId="2">#REF!</definedName>
    <definedName name="M_MS_Sheet_2mm" localSheetId="46">#REF!</definedName>
    <definedName name="M_MS_Sheet_2mm" localSheetId="37">#REF!</definedName>
    <definedName name="M_MS_Sheet_2mm" localSheetId="19">[2]Material!$D$106</definedName>
    <definedName name="M_MS_Sheet_2mm">#REF!</definedName>
    <definedName name="M_MSClamps" localSheetId="33">#REF!</definedName>
    <definedName name="M_MSClamps" localSheetId="23">[2]Material!$D$102</definedName>
    <definedName name="M_MSClamps" localSheetId="22">[2]Material!$D$102</definedName>
    <definedName name="M_MSClamps" localSheetId="17">[2]Material!$D$102</definedName>
    <definedName name="M_MSClamps" localSheetId="18">[2]Material!$D$102</definedName>
    <definedName name="M_MSClamps" localSheetId="21">[2]Material!$D$102</definedName>
    <definedName name="M_MSClamps" localSheetId="26">#REF!</definedName>
    <definedName name="M_MSClamps" localSheetId="24">[3]Material!$D$102</definedName>
    <definedName name="M_MSClamps" localSheetId="27">#REF!</definedName>
    <definedName name="M_MSClamps" localSheetId="15">#REF!</definedName>
    <definedName name="M_MSClamps" localSheetId="2">#REF!</definedName>
    <definedName name="M_MSClamps" localSheetId="46">#REF!</definedName>
    <definedName name="M_MSClamps" localSheetId="37">#REF!</definedName>
    <definedName name="M_MSClamps" localSheetId="19">[2]Material!$D$102</definedName>
    <definedName name="M_MSClamps">#REF!</definedName>
    <definedName name="M_MSFlat_StructuralSteel" localSheetId="33">#REF!</definedName>
    <definedName name="M_MSFlat_StructuralSteel" localSheetId="23">[2]Material!$D$103</definedName>
    <definedName name="M_MSFlat_StructuralSteel" localSheetId="22">[2]Material!$D$103</definedName>
    <definedName name="M_MSFlat_StructuralSteel" localSheetId="17">[2]Material!$D$103</definedName>
    <definedName name="M_MSFlat_StructuralSteel" localSheetId="18">[2]Material!$D$103</definedName>
    <definedName name="M_MSFlat_StructuralSteel" localSheetId="21">[2]Material!$D$103</definedName>
    <definedName name="M_MSFlat_StructuralSteel" localSheetId="26">#REF!</definedName>
    <definedName name="M_MSFlat_StructuralSteel" localSheetId="24">[3]Material!$D$103</definedName>
    <definedName name="M_MSFlat_StructuralSteel" localSheetId="27">#REF!</definedName>
    <definedName name="M_MSFlat_StructuralSteel" localSheetId="15">#REF!</definedName>
    <definedName name="M_MSFlat_StructuralSteel" localSheetId="2">#REF!</definedName>
    <definedName name="M_MSFlat_StructuralSteel" localSheetId="46">#REF!</definedName>
    <definedName name="M_MSFlat_StructuralSteel" localSheetId="37">#REF!</definedName>
    <definedName name="M_MSFlat_StructuralSteel" localSheetId="19">[2]Material!$D$103</definedName>
    <definedName name="M_MSFlat_StructuralSteel">#REF!</definedName>
    <definedName name="M_MSSheetTube_47_47mm_12_SWG" localSheetId="33">#REF!</definedName>
    <definedName name="M_MSSheetTube_47_47mm_12_SWG" localSheetId="23">[2]Material!$D$104</definedName>
    <definedName name="M_MSSheetTube_47_47mm_12_SWG" localSheetId="22">[2]Material!$D$104</definedName>
    <definedName name="M_MSSheetTube_47_47mm_12_SWG" localSheetId="17">[2]Material!$D$104</definedName>
    <definedName name="M_MSSheetTube_47_47mm_12_SWG" localSheetId="18">[2]Material!$D$104</definedName>
    <definedName name="M_MSSheetTube_47_47mm_12_SWG" localSheetId="21">[2]Material!$D$104</definedName>
    <definedName name="M_MSSheetTube_47_47mm_12_SWG" localSheetId="26">#REF!</definedName>
    <definedName name="M_MSSheetTube_47_47mm_12_SWG" localSheetId="24">[3]Material!$D$104</definedName>
    <definedName name="M_MSSheetTube_47_47mm_12_SWG" localSheetId="27">#REF!</definedName>
    <definedName name="M_MSSheetTube_47_47mm_12_SWG" localSheetId="15">#REF!</definedName>
    <definedName name="M_MSSheetTube_47_47mm_12_SWG" localSheetId="2">#REF!</definedName>
    <definedName name="M_MSSheetTube_47_47mm_12_SWG" localSheetId="46">#REF!</definedName>
    <definedName name="M_MSSheetTube_47_47mm_12_SWG" localSheetId="37">#REF!</definedName>
    <definedName name="M_MSSheetTube_47_47mm_12_SWG" localSheetId="19">[2]Material!$D$104</definedName>
    <definedName name="M_MSSheetTube_47_47mm_12_SWG">#REF!</definedName>
    <definedName name="M_Nuts_Bolts_Rivets" localSheetId="33">#REF!</definedName>
    <definedName name="M_Nuts_Bolts_Rivets" localSheetId="23">[2]Material!$D$107</definedName>
    <definedName name="M_Nuts_Bolts_Rivets" localSheetId="22">[2]Material!$D$107</definedName>
    <definedName name="M_Nuts_Bolts_Rivets" localSheetId="17">[2]Material!$D$107</definedName>
    <definedName name="M_Nuts_Bolts_Rivets" localSheetId="18">[2]Material!$D$107</definedName>
    <definedName name="M_Nuts_Bolts_Rivets" localSheetId="21">[2]Material!$D$107</definedName>
    <definedName name="M_Nuts_Bolts_Rivets" localSheetId="26">#REF!</definedName>
    <definedName name="M_Nuts_Bolts_Rivets" localSheetId="24">[3]Material!$D$107</definedName>
    <definedName name="M_Nuts_Bolts_Rivets" localSheetId="27">#REF!</definedName>
    <definedName name="M_Nuts_Bolts_Rivets" localSheetId="15">#REF!</definedName>
    <definedName name="M_Nuts_Bolts_Rivets" localSheetId="2">#REF!</definedName>
    <definedName name="M_Nuts_Bolts_Rivets" localSheetId="46">#REF!</definedName>
    <definedName name="M_Nuts_Bolts_Rivets" localSheetId="37">#REF!</definedName>
    <definedName name="M_Nuts_Bolts_Rivets" localSheetId="19">[2]Material!$D$107</definedName>
    <definedName name="M_Nuts_Bolts_Rivets">#REF!</definedName>
    <definedName name="M_Paint_SyntheticEnamel" localSheetId="33">#REF!</definedName>
    <definedName name="M_Paint_SyntheticEnamel" localSheetId="23">[2]Material!$D$108</definedName>
    <definedName name="M_Paint_SyntheticEnamel" localSheetId="22">[2]Material!$D$108</definedName>
    <definedName name="M_Paint_SyntheticEnamel" localSheetId="17">[2]Material!$D$108</definedName>
    <definedName name="M_Paint_SyntheticEnamel" localSheetId="18">[2]Material!$D$108</definedName>
    <definedName name="M_Paint_SyntheticEnamel" localSheetId="21">[2]Material!$D$108</definedName>
    <definedName name="M_Paint_SyntheticEnamel" localSheetId="26">#REF!</definedName>
    <definedName name="M_Paint_SyntheticEnamel" localSheetId="24">[3]Material!$D$108</definedName>
    <definedName name="M_Paint_SyntheticEnamel" localSheetId="27">#REF!</definedName>
    <definedName name="M_Paint_SyntheticEnamel" localSheetId="15">#REF!</definedName>
    <definedName name="M_Paint_SyntheticEnamel" localSheetId="2">#REF!</definedName>
    <definedName name="M_Paint_SyntheticEnamel" localSheetId="46">#REF!</definedName>
    <definedName name="M_Paint_SyntheticEnamel" localSheetId="37">#REF!</definedName>
    <definedName name="M_Paint_SyntheticEnamel" localSheetId="19">[2]Material!$D$108</definedName>
    <definedName name="M_Paint_SyntheticEnamel">#REF!</definedName>
    <definedName name="M_Plasticizer" localSheetId="33">#REF!</definedName>
    <definedName name="M_Plasticizer" localSheetId="23">[2]Material!$D$109</definedName>
    <definedName name="M_Plasticizer" localSheetId="22">[2]Material!$D$109</definedName>
    <definedName name="M_Plasticizer" localSheetId="17">[2]Material!$D$109</definedName>
    <definedName name="M_Plasticizer" localSheetId="18">[2]Material!$D$109</definedName>
    <definedName name="M_Plasticizer" localSheetId="21">[2]Material!$D$109</definedName>
    <definedName name="M_Plasticizer" localSheetId="26">#REF!</definedName>
    <definedName name="M_Plasticizer" localSheetId="24">[3]Material!$D$109</definedName>
    <definedName name="M_Plasticizer" localSheetId="27">#REF!</definedName>
    <definedName name="M_Plasticizer" localSheetId="15">#REF!</definedName>
    <definedName name="M_Plasticizer" localSheetId="2">#REF!</definedName>
    <definedName name="M_Plasticizer" localSheetId="46">#REF!</definedName>
    <definedName name="M_Plasticizer" localSheetId="37">#REF!</definedName>
    <definedName name="M_Plasticizer" localSheetId="19">[2]Material!$D$109</definedName>
    <definedName name="M_Plasticizer">#REF!</definedName>
    <definedName name="M_PolytheneSheet_125" localSheetId="33">#REF!</definedName>
    <definedName name="M_PolytheneSheet_125" localSheetId="23">[2]Material!$D$110</definedName>
    <definedName name="M_PolytheneSheet_125" localSheetId="22">[2]Material!$D$110</definedName>
    <definedName name="M_PolytheneSheet_125" localSheetId="17">[2]Material!$D$110</definedName>
    <definedName name="M_PolytheneSheet_125" localSheetId="18">[2]Material!$D$110</definedName>
    <definedName name="M_PolytheneSheet_125" localSheetId="21">[2]Material!$D$110</definedName>
    <definedName name="M_PolytheneSheet_125" localSheetId="26">#REF!</definedName>
    <definedName name="M_PolytheneSheet_125" localSheetId="24">[3]Material!$D$110</definedName>
    <definedName name="M_PolytheneSheet_125" localSheetId="27">#REF!</definedName>
    <definedName name="M_PolytheneSheet_125" localSheetId="15">#REF!</definedName>
    <definedName name="M_PolytheneSheet_125" localSheetId="2">#REF!</definedName>
    <definedName name="M_PolytheneSheet_125" localSheetId="46">#REF!</definedName>
    <definedName name="M_PolytheneSheet_125" localSheetId="37">#REF!</definedName>
    <definedName name="M_PolytheneSheet_125" localSheetId="19">[2]Material!$D$110</definedName>
    <definedName name="M_PolytheneSheet_125">#REF!</definedName>
    <definedName name="M_PolytheneSheething" localSheetId="33">#REF!</definedName>
    <definedName name="M_PolytheneSheething" localSheetId="23">[2]Material!$D$111</definedName>
    <definedName name="M_PolytheneSheething" localSheetId="22">[2]Material!$D$111</definedName>
    <definedName name="M_PolytheneSheething" localSheetId="17">[2]Material!$D$111</definedName>
    <definedName name="M_PolytheneSheething" localSheetId="18">[2]Material!$D$111</definedName>
    <definedName name="M_PolytheneSheething" localSheetId="21">[2]Material!$D$111</definedName>
    <definedName name="M_PolytheneSheething" localSheetId="26">#REF!</definedName>
    <definedName name="M_PolytheneSheething" localSheetId="24">[3]Material!$D$111</definedName>
    <definedName name="M_PolytheneSheething" localSheetId="27">#REF!</definedName>
    <definedName name="M_PolytheneSheething" localSheetId="15">#REF!</definedName>
    <definedName name="M_PolytheneSheething" localSheetId="2">#REF!</definedName>
    <definedName name="M_PolytheneSheething" localSheetId="46">#REF!</definedName>
    <definedName name="M_PolytheneSheething" localSheetId="37">#REF!</definedName>
    <definedName name="M_PolytheneSheething" localSheetId="19">[2]Material!$D$111</definedName>
    <definedName name="M_PolytheneSheething">#REF!</definedName>
    <definedName name="M_QuarriedStone_150_200mm" localSheetId="33">#REF!</definedName>
    <definedName name="M_QuarriedStone_150_200mm" localSheetId="23">[2]Material!$D$112</definedName>
    <definedName name="M_QuarriedStone_150_200mm" localSheetId="22">[2]Material!$D$112</definedName>
    <definedName name="M_QuarriedStone_150_200mm" localSheetId="17">[2]Material!$D$112</definedName>
    <definedName name="M_QuarriedStone_150_200mm" localSheetId="18">[2]Material!$D$112</definedName>
    <definedName name="M_QuarriedStone_150_200mm" localSheetId="21">[2]Material!$D$112</definedName>
    <definedName name="M_QuarriedStone_150_200mm" localSheetId="26">#REF!</definedName>
    <definedName name="M_QuarriedStone_150_200mm" localSheetId="24">[3]Material!$D$112</definedName>
    <definedName name="M_QuarriedStone_150_200mm" localSheetId="27">#REF!</definedName>
    <definedName name="M_QuarriedStone_150_200mm" localSheetId="15">#REF!</definedName>
    <definedName name="M_QuarriedStone_150_200mm" localSheetId="2">#REF!</definedName>
    <definedName name="M_QuarriedStone_150_200mm" localSheetId="46">#REF!</definedName>
    <definedName name="M_QuarriedStone_150_200mm" localSheetId="37">#REF!</definedName>
    <definedName name="M_QuarriedStone_150_200mm" localSheetId="19">[2]Material!$D$112</definedName>
    <definedName name="M_QuarriedStone_150_200mm">#REF!</definedName>
    <definedName name="M_RCCPipeNP3_1000mm" localSheetId="33">#REF!</definedName>
    <definedName name="M_RCCPipeNP3_1000mm" localSheetId="23">[2]Material!$D$114</definedName>
    <definedName name="M_RCCPipeNP3_1000mm" localSheetId="22">[2]Material!$D$114</definedName>
    <definedName name="M_RCCPipeNP3_1000mm" localSheetId="17">[2]Material!$D$114</definedName>
    <definedName name="M_RCCPipeNP3_1000mm" localSheetId="18">[2]Material!$D$114</definedName>
    <definedName name="M_RCCPipeNP3_1000mm" localSheetId="21">[2]Material!$D$114</definedName>
    <definedName name="M_RCCPipeNP3_1000mm" localSheetId="26">#REF!</definedName>
    <definedName name="M_RCCPipeNP3_1000mm" localSheetId="24">[3]Material!$D$114</definedName>
    <definedName name="M_RCCPipeNP3_1000mm" localSheetId="27">#REF!</definedName>
    <definedName name="M_RCCPipeNP3_1000mm" localSheetId="15">#REF!</definedName>
    <definedName name="M_RCCPipeNP3_1000mm" localSheetId="2">#REF!</definedName>
    <definedName name="M_RCCPipeNP3_1000mm" localSheetId="46">#REF!</definedName>
    <definedName name="M_RCCPipeNP3_1000mm" localSheetId="37">#REF!</definedName>
    <definedName name="M_RCCPipeNP3_1000mm" localSheetId="19">[2]Material!$D$114</definedName>
    <definedName name="M_RCCPipeNP3_1000mm">#REF!</definedName>
    <definedName name="M_RCCPipeNP3_1200mm" localSheetId="33">#REF!</definedName>
    <definedName name="M_RCCPipeNP3_1200mm" localSheetId="23">[2]Material!$D$113</definedName>
    <definedName name="M_RCCPipeNP3_1200mm" localSheetId="22">[2]Material!$D$113</definedName>
    <definedName name="M_RCCPipeNP3_1200mm" localSheetId="17">[2]Material!$D$113</definedName>
    <definedName name="M_RCCPipeNP3_1200mm" localSheetId="18">[2]Material!$D$113</definedName>
    <definedName name="M_RCCPipeNP3_1200mm" localSheetId="21">[2]Material!$D$113</definedName>
    <definedName name="M_RCCPipeNP3_1200mm" localSheetId="26">#REF!</definedName>
    <definedName name="M_RCCPipeNP3_1200mm" localSheetId="24">[3]Material!$D$113</definedName>
    <definedName name="M_RCCPipeNP3_1200mm" localSheetId="27">#REF!</definedName>
    <definedName name="M_RCCPipeNP3_1200mm" localSheetId="15">#REF!</definedName>
    <definedName name="M_RCCPipeNP3_1200mm" localSheetId="2">#REF!</definedName>
    <definedName name="M_RCCPipeNP3_1200mm" localSheetId="46">#REF!</definedName>
    <definedName name="M_RCCPipeNP3_1200mm" localSheetId="37">#REF!</definedName>
    <definedName name="M_RCCPipeNP3_1200mm" localSheetId="19">[2]Material!$D$113</definedName>
    <definedName name="M_RCCPipeNP3_1200mm">#REF!</definedName>
    <definedName name="M_RCCPipeNP3_500mm" localSheetId="33">#REF!</definedName>
    <definedName name="M_RCCPipeNP3_500mm" localSheetId="23">[2]Material!$D$117</definedName>
    <definedName name="M_RCCPipeNP3_500mm" localSheetId="22">[2]Material!$D$117</definedName>
    <definedName name="M_RCCPipeNP3_500mm" localSheetId="17">[2]Material!$D$117</definedName>
    <definedName name="M_RCCPipeNP3_500mm" localSheetId="18">[2]Material!$D$117</definedName>
    <definedName name="M_RCCPipeNP3_500mm" localSheetId="21">[2]Material!$D$117</definedName>
    <definedName name="M_RCCPipeNP3_500mm" localSheetId="26">#REF!</definedName>
    <definedName name="M_RCCPipeNP3_500mm" localSheetId="24">[3]Material!$D$117</definedName>
    <definedName name="M_RCCPipeNP3_500mm" localSheetId="27">#REF!</definedName>
    <definedName name="M_RCCPipeNP3_500mm" localSheetId="15">#REF!</definedName>
    <definedName name="M_RCCPipeNP3_500mm" localSheetId="2">#REF!</definedName>
    <definedName name="M_RCCPipeNP3_500mm" localSheetId="46">#REF!</definedName>
    <definedName name="M_RCCPipeNP3_500mm" localSheetId="37">#REF!</definedName>
    <definedName name="M_RCCPipeNP3_500mm" localSheetId="19">[2]Material!$D$117</definedName>
    <definedName name="M_RCCPipeNP3_500mm">#REF!</definedName>
    <definedName name="M_RCCPipeNP3_750mm" localSheetId="33">#REF!</definedName>
    <definedName name="M_RCCPipeNP3_750mm" localSheetId="23">[2]Material!$D$115</definedName>
    <definedName name="M_RCCPipeNP3_750mm" localSheetId="22">[2]Material!$D$115</definedName>
    <definedName name="M_RCCPipeNP3_750mm" localSheetId="17">[2]Material!$D$115</definedName>
    <definedName name="M_RCCPipeNP3_750mm" localSheetId="18">[2]Material!$D$115</definedName>
    <definedName name="M_RCCPipeNP3_750mm" localSheetId="21">[2]Material!$D$115</definedName>
    <definedName name="M_RCCPipeNP3_750mm" localSheetId="26">#REF!</definedName>
    <definedName name="M_RCCPipeNP3_750mm" localSheetId="24">[3]Material!$D$115</definedName>
    <definedName name="M_RCCPipeNP3_750mm" localSheetId="27">#REF!</definedName>
    <definedName name="M_RCCPipeNP3_750mm" localSheetId="15">#REF!</definedName>
    <definedName name="M_RCCPipeNP3_750mm" localSheetId="2">#REF!</definedName>
    <definedName name="M_RCCPipeNP3_750mm" localSheetId="46">#REF!</definedName>
    <definedName name="M_RCCPipeNP3_750mm" localSheetId="37">#REF!</definedName>
    <definedName name="M_RCCPipeNP3_750mm" localSheetId="19">[2]Material!$D$115</definedName>
    <definedName name="M_RCCPipeNP3_750mm">#REF!</definedName>
    <definedName name="M_RCCPipeNP4_1000mm" localSheetId="33">#REF!</definedName>
    <definedName name="M_RCCPipeNP4_1000mm" localSheetId="23">[2]Material!$D$119</definedName>
    <definedName name="M_RCCPipeNP4_1000mm" localSheetId="22">[2]Material!$D$119</definedName>
    <definedName name="M_RCCPipeNP4_1000mm" localSheetId="17">[2]Material!$D$119</definedName>
    <definedName name="M_RCCPipeNP4_1000mm" localSheetId="18">[2]Material!$D$119</definedName>
    <definedName name="M_RCCPipeNP4_1000mm" localSheetId="21">[2]Material!$D$119</definedName>
    <definedName name="M_RCCPipeNP4_1000mm" localSheetId="26">#REF!</definedName>
    <definedName name="M_RCCPipeNP4_1000mm" localSheetId="24">[3]Material!$D$119</definedName>
    <definedName name="M_RCCPipeNP4_1000mm" localSheetId="27">#REF!</definedName>
    <definedName name="M_RCCPipeNP4_1000mm" localSheetId="15">#REF!</definedName>
    <definedName name="M_RCCPipeNP4_1000mm" localSheetId="2">#REF!</definedName>
    <definedName name="M_RCCPipeNP4_1000mm" localSheetId="46">#REF!</definedName>
    <definedName name="M_RCCPipeNP4_1000mm" localSheetId="37">#REF!</definedName>
    <definedName name="M_RCCPipeNP4_1000mm" localSheetId="19">[2]Material!$D$119</definedName>
    <definedName name="M_RCCPipeNP4_1000mm">#REF!</definedName>
    <definedName name="M_RCCPipeNP4_1200mm" localSheetId="33">#REF!</definedName>
    <definedName name="M_RCCPipeNP4_1200mm" localSheetId="23">[2]Material!$D$118</definedName>
    <definedName name="M_RCCPipeNP4_1200mm" localSheetId="22">[2]Material!$D$118</definedName>
    <definedName name="M_RCCPipeNP4_1200mm" localSheetId="17">[2]Material!$D$118</definedName>
    <definedName name="M_RCCPipeNP4_1200mm" localSheetId="18">[2]Material!$D$118</definedName>
    <definedName name="M_RCCPipeNP4_1200mm" localSheetId="21">[2]Material!$D$118</definedName>
    <definedName name="M_RCCPipeNP4_1200mm" localSheetId="26">#REF!</definedName>
    <definedName name="M_RCCPipeNP4_1200mm" localSheetId="24">[3]Material!$D$118</definedName>
    <definedName name="M_RCCPipeNP4_1200mm" localSheetId="27">#REF!</definedName>
    <definedName name="M_RCCPipeNP4_1200mm" localSheetId="15">#REF!</definedName>
    <definedName name="M_RCCPipeNP4_1200mm" localSheetId="2">#REF!</definedName>
    <definedName name="M_RCCPipeNP4_1200mm" localSheetId="46">#REF!</definedName>
    <definedName name="M_RCCPipeNP4_1200mm" localSheetId="37">#REF!</definedName>
    <definedName name="M_RCCPipeNP4_1200mm" localSheetId="19">[2]Material!$D$118</definedName>
    <definedName name="M_RCCPipeNP4_1200mm">#REF!</definedName>
    <definedName name="M_RCCPipeNP4_500mm" localSheetId="33">#REF!</definedName>
    <definedName name="M_RCCPipeNP4_500mm" localSheetId="23">[2]Material!$D$122</definedName>
    <definedName name="M_RCCPipeNP4_500mm" localSheetId="22">[2]Material!$D$122</definedName>
    <definedName name="M_RCCPipeNP4_500mm" localSheetId="17">[2]Material!$D$122</definedName>
    <definedName name="M_RCCPipeNP4_500mm" localSheetId="18">[2]Material!$D$122</definedName>
    <definedName name="M_RCCPipeNP4_500mm" localSheetId="21">[2]Material!$D$122</definedName>
    <definedName name="M_RCCPipeNP4_500mm" localSheetId="26">#REF!</definedName>
    <definedName name="M_RCCPipeNP4_500mm" localSheetId="24">[3]Material!$D$122</definedName>
    <definedName name="M_RCCPipeNP4_500mm" localSheetId="27">#REF!</definedName>
    <definedName name="M_RCCPipeNP4_500mm" localSheetId="15">#REF!</definedName>
    <definedName name="M_RCCPipeNP4_500mm" localSheetId="2">#REF!</definedName>
    <definedName name="M_RCCPipeNP4_500mm" localSheetId="46">#REF!</definedName>
    <definedName name="M_RCCPipeNP4_500mm" localSheetId="37">#REF!</definedName>
    <definedName name="M_RCCPipeNP4_500mm" localSheetId="19">[2]Material!$D$122</definedName>
    <definedName name="M_RCCPipeNP4_500mm">#REF!</definedName>
    <definedName name="M_RCCPipeNP4_750mm" localSheetId="33">#REF!</definedName>
    <definedName name="M_RCCPipeNP4_750mm" localSheetId="23">[2]Material!$D$120</definedName>
    <definedName name="M_RCCPipeNP4_750mm" localSheetId="22">[2]Material!$D$120</definedName>
    <definedName name="M_RCCPipeNP4_750mm" localSheetId="17">[2]Material!$D$120</definedName>
    <definedName name="M_RCCPipeNP4_750mm" localSheetId="18">[2]Material!$D$120</definedName>
    <definedName name="M_RCCPipeNP4_750mm" localSheetId="21">[2]Material!$D$120</definedName>
    <definedName name="M_RCCPipeNP4_750mm" localSheetId="26">#REF!</definedName>
    <definedName name="M_RCCPipeNP4_750mm" localSheetId="24">[3]Material!$D$120</definedName>
    <definedName name="M_RCCPipeNP4_750mm" localSheetId="27">#REF!</definedName>
    <definedName name="M_RCCPipeNP4_750mm" localSheetId="15">#REF!</definedName>
    <definedName name="M_RCCPipeNP4_750mm" localSheetId="2">#REF!</definedName>
    <definedName name="M_RCCPipeNP4_750mm" localSheetId="46">#REF!</definedName>
    <definedName name="M_RCCPipeNP4_750mm" localSheetId="37">#REF!</definedName>
    <definedName name="M_RCCPipeNP4_750mm" localSheetId="19">[2]Material!$D$120</definedName>
    <definedName name="M_RCCPipeNP4_750mm">#REF!</definedName>
    <definedName name="M_RedOxidePrimer" localSheetId="33">#REF!</definedName>
    <definedName name="M_RedOxidePrimer" localSheetId="23">[2]Material!$D$123</definedName>
    <definedName name="M_RedOxidePrimer" localSheetId="22">[2]Material!$D$123</definedName>
    <definedName name="M_RedOxidePrimer" localSheetId="17">[2]Material!$D$123</definedName>
    <definedName name="M_RedOxidePrimer" localSheetId="18">[2]Material!$D$123</definedName>
    <definedName name="M_RedOxidePrimer" localSheetId="21">[2]Material!$D$123</definedName>
    <definedName name="M_RedOxidePrimer" localSheetId="26">#REF!</definedName>
    <definedName name="M_RedOxidePrimer" localSheetId="24">[3]Material!$D$123</definedName>
    <definedName name="M_RedOxidePrimer" localSheetId="27">#REF!</definedName>
    <definedName name="M_RedOxidePrimer" localSheetId="15">#REF!</definedName>
    <definedName name="M_RedOxidePrimer" localSheetId="2">#REF!</definedName>
    <definedName name="M_RedOxidePrimer" localSheetId="46">#REF!</definedName>
    <definedName name="M_RedOxidePrimer" localSheetId="37">#REF!</definedName>
    <definedName name="M_RedOxidePrimer" localSheetId="19">[2]Material!$D$123</definedName>
    <definedName name="M_RedOxidePrimer">#REF!</definedName>
    <definedName name="M_RoadMarkingPaint" localSheetId="33">#REF!</definedName>
    <definedName name="M_RoadMarkingPaint" localSheetId="23">[2]Material!$D$124</definedName>
    <definedName name="M_RoadMarkingPaint" localSheetId="22">[2]Material!$D$124</definedName>
    <definedName name="M_RoadMarkingPaint" localSheetId="17">[2]Material!$D$124</definedName>
    <definedName name="M_RoadMarkingPaint" localSheetId="18">[2]Material!$D$124</definedName>
    <definedName name="M_RoadMarkingPaint" localSheetId="21">[2]Material!$D$124</definedName>
    <definedName name="M_RoadMarkingPaint" localSheetId="26">#REF!</definedName>
    <definedName name="M_RoadMarkingPaint" localSheetId="24">[3]Material!$D$124</definedName>
    <definedName name="M_RoadMarkingPaint" localSheetId="27">#REF!</definedName>
    <definedName name="M_RoadMarkingPaint" localSheetId="15">#REF!</definedName>
    <definedName name="M_RoadMarkingPaint" localSheetId="2">#REF!</definedName>
    <definedName name="M_RoadMarkingPaint" localSheetId="46">#REF!</definedName>
    <definedName name="M_RoadMarkingPaint" localSheetId="37">#REF!</definedName>
    <definedName name="M_RoadMarkingPaint" localSheetId="19">[2]Material!$D$124</definedName>
    <definedName name="M_RoadMarkingPaint">#REF!</definedName>
    <definedName name="M_Sand_Coarse" localSheetId="33">#REF!</definedName>
    <definedName name="M_Sand_Coarse" localSheetId="23">[2]Material!$D$125</definedName>
    <definedName name="M_Sand_Coarse" localSheetId="22">[2]Material!$D$125</definedName>
    <definedName name="M_Sand_Coarse" localSheetId="17">[2]Material!$D$125</definedName>
    <definedName name="M_Sand_Coarse" localSheetId="18">[2]Material!$D$125</definedName>
    <definedName name="M_Sand_Coarse" localSheetId="21">[2]Material!$D$125</definedName>
    <definedName name="M_Sand_Coarse" localSheetId="26">#REF!</definedName>
    <definedName name="M_Sand_Coarse" localSheetId="24">[3]Material!$D$125</definedName>
    <definedName name="M_Sand_Coarse" localSheetId="27">#REF!</definedName>
    <definedName name="M_Sand_Coarse" localSheetId="15">#REF!</definedName>
    <definedName name="M_Sand_Coarse" localSheetId="2">#REF!</definedName>
    <definedName name="M_Sand_Coarse" localSheetId="46">#REF!</definedName>
    <definedName name="M_Sand_Coarse" localSheetId="37">#REF!</definedName>
    <definedName name="M_Sand_Coarse" localSheetId="19">[2]Material!$D$125</definedName>
    <definedName name="M_Sand_Coarse">#REF!</definedName>
    <definedName name="M_Sand_Fine" localSheetId="33">#REF!</definedName>
    <definedName name="M_Sand_Fine" localSheetId="23">[2]Material!$D$126</definedName>
    <definedName name="M_Sand_Fine" localSheetId="22">[2]Material!$D$126</definedName>
    <definedName name="M_Sand_Fine" localSheetId="17">[2]Material!$D$126</definedName>
    <definedName name="M_Sand_Fine" localSheetId="18">[2]Material!$D$126</definedName>
    <definedName name="M_Sand_Fine" localSheetId="21">[2]Material!$D$126</definedName>
    <definedName name="M_Sand_Fine" localSheetId="26">#REF!</definedName>
    <definedName name="M_Sand_Fine" localSheetId="24">[3]Material!$D$126</definedName>
    <definedName name="M_Sand_Fine" localSheetId="27">#REF!</definedName>
    <definedName name="M_Sand_Fine" localSheetId="15">#REF!</definedName>
    <definedName name="M_Sand_Fine" localSheetId="2">#REF!</definedName>
    <definedName name="M_Sand_Fine" localSheetId="46">#REF!</definedName>
    <definedName name="M_Sand_Fine" localSheetId="37">#REF!</definedName>
    <definedName name="M_Sand_Fine" localSheetId="19">[2]Material!$D$126</definedName>
    <definedName name="M_Sand_Fine">#REF!</definedName>
    <definedName name="M_Seeds" localSheetId="33">#REF!</definedName>
    <definedName name="M_Seeds" localSheetId="23">[2]Material!$D$127</definedName>
    <definedName name="M_Seeds" localSheetId="22">[2]Material!$D$127</definedName>
    <definedName name="M_Seeds" localSheetId="17">[2]Material!$D$127</definedName>
    <definedName name="M_Seeds" localSheetId="18">[2]Material!$D$127</definedName>
    <definedName name="M_Seeds" localSheetId="21">[2]Material!$D$127</definedName>
    <definedName name="M_Seeds" localSheetId="26">#REF!</definedName>
    <definedName name="M_Seeds" localSheetId="24">[3]Material!$D$127</definedName>
    <definedName name="M_Seeds" localSheetId="27">#REF!</definedName>
    <definedName name="M_Seeds" localSheetId="15">#REF!</definedName>
    <definedName name="M_Seeds" localSheetId="2">#REF!</definedName>
    <definedName name="M_Seeds" localSheetId="46">#REF!</definedName>
    <definedName name="M_Seeds" localSheetId="37">#REF!</definedName>
    <definedName name="M_Seeds" localSheetId="19">[2]Material!$D$127</definedName>
    <definedName name="M_Seeds">#REF!</definedName>
    <definedName name="M_SteelPipe_500mm" localSheetId="33">#REF!</definedName>
    <definedName name="M_SteelPipe_500mm" localSheetId="23">[2]Material!$D$128</definedName>
    <definedName name="M_SteelPipe_500mm" localSheetId="22">[2]Material!$D$128</definedName>
    <definedName name="M_SteelPipe_500mm" localSheetId="17">[2]Material!$D$128</definedName>
    <definedName name="M_SteelPipe_500mm" localSheetId="18">[2]Material!$D$128</definedName>
    <definedName name="M_SteelPipe_500mm" localSheetId="21">[2]Material!$D$128</definedName>
    <definedName name="M_SteelPipe_500mm" localSheetId="26">#REF!</definedName>
    <definedName name="M_SteelPipe_500mm" localSheetId="24">[3]Material!$D$128</definedName>
    <definedName name="M_SteelPipe_500mm" localSheetId="27">#REF!</definedName>
    <definedName name="M_SteelPipe_500mm" localSheetId="15">#REF!</definedName>
    <definedName name="M_SteelPipe_500mm" localSheetId="2">#REF!</definedName>
    <definedName name="M_SteelPipe_500mm" localSheetId="46">#REF!</definedName>
    <definedName name="M_SteelPipe_500mm" localSheetId="37">#REF!</definedName>
    <definedName name="M_SteelPipe_500mm" localSheetId="19">[2]Material!$D$128</definedName>
    <definedName name="M_SteelPipe_500mm">#REF!</definedName>
    <definedName name="M_SteelReinforcement_HYSDBars" localSheetId="33">#REF!</definedName>
    <definedName name="M_SteelReinforcement_HYSDBars" localSheetId="23">[2]Material!$D$129</definedName>
    <definedName name="M_SteelReinforcement_HYSDBars" localSheetId="22">[2]Material!$D$129</definedName>
    <definedName name="M_SteelReinforcement_HYSDBars" localSheetId="17">[2]Material!$D$129</definedName>
    <definedName name="M_SteelReinforcement_HYSDBars" localSheetId="18">[2]Material!$D$129</definedName>
    <definedName name="M_SteelReinforcement_HYSDBars" localSheetId="21">[2]Material!$D$129</definedName>
    <definedName name="M_SteelReinforcement_HYSDBars" localSheetId="26">#REF!</definedName>
    <definedName name="M_SteelReinforcement_HYSDBars" localSheetId="24">[3]Material!$D$129</definedName>
    <definedName name="M_SteelReinforcement_HYSDBars" localSheetId="27">#REF!</definedName>
    <definedName name="M_SteelReinforcement_HYSDBars" localSheetId="15">#REF!</definedName>
    <definedName name="M_SteelReinforcement_HYSDBars" localSheetId="2">#REF!</definedName>
    <definedName name="M_SteelReinforcement_HYSDBars" localSheetId="46">#REF!</definedName>
    <definedName name="M_SteelReinforcement_HYSDBars" localSheetId="37">#REF!</definedName>
    <definedName name="M_SteelReinforcement_HYSDBars" localSheetId="19">[2]Material!$D$129</definedName>
    <definedName name="M_SteelReinforcement_HYSDBars">#REF!</definedName>
    <definedName name="M_SteelReinforcement_MSRoundBars" localSheetId="33">#REF!</definedName>
    <definedName name="M_SteelReinforcement_MSRoundBars" localSheetId="23">[2]Material!$D$130</definedName>
    <definedName name="M_SteelReinforcement_MSRoundBars" localSheetId="22">[2]Material!$D$130</definedName>
    <definedName name="M_SteelReinforcement_MSRoundBars" localSheetId="17">[2]Material!$D$130</definedName>
    <definedName name="M_SteelReinforcement_MSRoundBars" localSheetId="18">[2]Material!$D$130</definedName>
    <definedName name="M_SteelReinforcement_MSRoundBars" localSheetId="21">[2]Material!$D$130</definedName>
    <definedName name="M_SteelReinforcement_MSRoundBars" localSheetId="26">#REF!</definedName>
    <definedName name="M_SteelReinforcement_MSRoundBars" localSheetId="24">[3]Material!$D$130</definedName>
    <definedName name="M_SteelReinforcement_MSRoundBars" localSheetId="27">#REF!</definedName>
    <definedName name="M_SteelReinforcement_MSRoundBars" localSheetId="15">#REF!</definedName>
    <definedName name="M_SteelReinforcement_MSRoundBars" localSheetId="2">#REF!</definedName>
    <definedName name="M_SteelReinforcement_MSRoundBars" localSheetId="46">#REF!</definedName>
    <definedName name="M_SteelReinforcement_MSRoundBars" localSheetId="37">#REF!</definedName>
    <definedName name="M_SteelReinforcement_MSRoundBars" localSheetId="19">[2]Material!$D$130</definedName>
    <definedName name="M_SteelReinforcement_MSRoundBars">#REF!</definedName>
    <definedName name="M_SteelReinforcement_TMTBars" localSheetId="33">#REF!</definedName>
    <definedName name="M_SteelReinforcement_TMTBars" localSheetId="23">[2]Material!$D$131</definedName>
    <definedName name="M_SteelReinforcement_TMTBars" localSheetId="22">[2]Material!$D$131</definedName>
    <definedName name="M_SteelReinforcement_TMTBars" localSheetId="17">[2]Material!$D$131</definedName>
    <definedName name="M_SteelReinforcement_TMTBars" localSheetId="18">[2]Material!$D$131</definedName>
    <definedName name="M_SteelReinforcement_TMTBars" localSheetId="21">[2]Material!$D$131</definedName>
    <definedName name="M_SteelReinforcement_TMTBars" localSheetId="26">#REF!</definedName>
    <definedName name="M_SteelReinforcement_TMTBars" localSheetId="24">[3]Material!$D$131</definedName>
    <definedName name="M_SteelReinforcement_TMTBars" localSheetId="27">#REF!</definedName>
    <definedName name="M_SteelReinforcement_TMTBars" localSheetId="15">#REF!</definedName>
    <definedName name="M_SteelReinforcement_TMTBars" localSheetId="2">#REF!</definedName>
    <definedName name="M_SteelReinforcement_TMTBars" localSheetId="46">#REF!</definedName>
    <definedName name="M_SteelReinforcement_TMTBars" localSheetId="37">#REF!</definedName>
    <definedName name="M_SteelReinforcement_TMTBars" localSheetId="19">[2]Material!$D$131</definedName>
    <definedName name="M_SteelReinforcement_TMTBars">#REF!</definedName>
    <definedName name="M_StoneBoulder_150mm_below" localSheetId="33">#REF!</definedName>
    <definedName name="M_StoneBoulder_150mm_below" localSheetId="23">[2]Material!$D$132</definedName>
    <definedName name="M_StoneBoulder_150mm_below" localSheetId="22">[2]Material!$D$132</definedName>
    <definedName name="M_StoneBoulder_150mm_below" localSheetId="17">[2]Material!$D$132</definedName>
    <definedName name="M_StoneBoulder_150mm_below" localSheetId="18">[2]Material!$D$132</definedName>
    <definedName name="M_StoneBoulder_150mm_below" localSheetId="21">[2]Material!$D$132</definedName>
    <definedName name="M_StoneBoulder_150mm_below" localSheetId="26">#REF!</definedName>
    <definedName name="M_StoneBoulder_150mm_below" localSheetId="24">[3]Material!$D$132</definedName>
    <definedName name="M_StoneBoulder_150mm_below" localSheetId="27">#REF!</definedName>
    <definedName name="M_StoneBoulder_150mm_below" localSheetId="15">#REF!</definedName>
    <definedName name="M_StoneBoulder_150mm_below" localSheetId="2">#REF!</definedName>
    <definedName name="M_StoneBoulder_150mm_below" localSheetId="46">#REF!</definedName>
    <definedName name="M_StoneBoulder_150mm_below" localSheetId="37">#REF!</definedName>
    <definedName name="M_StoneBoulder_150mm_below" localSheetId="19">[2]Material!$D$132</definedName>
    <definedName name="M_StoneBoulder_150mm_below">#REF!</definedName>
    <definedName name="M_StoneChips_12mm" localSheetId="33">#REF!</definedName>
    <definedName name="M_StoneChips_12mm" localSheetId="23">[2]Material!$D$133</definedName>
    <definedName name="M_StoneChips_12mm" localSheetId="22">[2]Material!$D$133</definedName>
    <definedName name="M_StoneChips_12mm" localSheetId="17">[2]Material!$D$133</definedName>
    <definedName name="M_StoneChips_12mm" localSheetId="18">[2]Material!$D$133</definedName>
    <definedName name="M_StoneChips_12mm" localSheetId="21">[2]Material!$D$133</definedName>
    <definedName name="M_StoneChips_12mm" localSheetId="26">#REF!</definedName>
    <definedName name="M_StoneChips_12mm" localSheetId="24">[3]Material!$D$133</definedName>
    <definedName name="M_StoneChips_12mm" localSheetId="27">#REF!</definedName>
    <definedName name="M_StoneChips_12mm" localSheetId="15">#REF!</definedName>
    <definedName name="M_StoneChips_12mm" localSheetId="2">#REF!</definedName>
    <definedName name="M_StoneChips_12mm" localSheetId="46">#REF!</definedName>
    <definedName name="M_StoneChips_12mm" localSheetId="37">#REF!</definedName>
    <definedName name="M_StoneChips_12mm" localSheetId="19">[2]Material!$D$133</definedName>
    <definedName name="M_StoneChips_12mm">#REF!</definedName>
    <definedName name="M_StoneCrushedAggregate_112_009mm" localSheetId="33">#REF!</definedName>
    <definedName name="M_StoneCrushedAggregate_112_009mm" localSheetId="23">[2]Material!$D$135</definedName>
    <definedName name="M_StoneCrushedAggregate_112_009mm" localSheetId="22">[2]Material!$D$135</definedName>
    <definedName name="M_StoneCrushedAggregate_112_009mm" localSheetId="17">[2]Material!$D$135</definedName>
    <definedName name="M_StoneCrushedAggregate_112_009mm" localSheetId="18">[2]Material!$D$135</definedName>
    <definedName name="M_StoneCrushedAggregate_112_009mm" localSheetId="21">[2]Material!$D$135</definedName>
    <definedName name="M_StoneCrushedAggregate_112_009mm" localSheetId="26">#REF!</definedName>
    <definedName name="M_StoneCrushedAggregate_112_009mm" localSheetId="24">[3]Material!$D$135</definedName>
    <definedName name="M_StoneCrushedAggregate_112_009mm" localSheetId="27">#REF!</definedName>
    <definedName name="M_StoneCrushedAggregate_112_009mm" localSheetId="15">#REF!</definedName>
    <definedName name="M_StoneCrushedAggregate_112_009mm" localSheetId="2">#REF!</definedName>
    <definedName name="M_StoneCrushedAggregate_112_009mm" localSheetId="46">#REF!</definedName>
    <definedName name="M_StoneCrushedAggregate_112_009mm" localSheetId="37">#REF!</definedName>
    <definedName name="M_StoneCrushedAggregate_112_009mm" localSheetId="19">[2]Material!$D$135</definedName>
    <definedName name="M_StoneCrushedAggregate_112_009mm">#REF!</definedName>
    <definedName name="M_StoneForCoarseRubbleMasonry_1stSort" localSheetId="33">#REF!</definedName>
    <definedName name="M_StoneForCoarseRubbleMasonry_1stSort" localSheetId="23">[2]Material!$D$136</definedName>
    <definedName name="M_StoneForCoarseRubbleMasonry_1stSort" localSheetId="22">[2]Material!$D$136</definedName>
    <definedName name="M_StoneForCoarseRubbleMasonry_1stSort" localSheetId="17">[2]Material!$D$136</definedName>
    <definedName name="M_StoneForCoarseRubbleMasonry_1stSort" localSheetId="18">[2]Material!$D$136</definedName>
    <definedName name="M_StoneForCoarseRubbleMasonry_1stSort" localSheetId="21">[2]Material!$D$136</definedName>
    <definedName name="M_StoneForCoarseRubbleMasonry_1stSort" localSheetId="26">#REF!</definedName>
    <definedName name="M_StoneForCoarseRubbleMasonry_1stSort" localSheetId="24">[3]Material!$D$136</definedName>
    <definedName name="M_StoneForCoarseRubbleMasonry_1stSort" localSheetId="27">#REF!</definedName>
    <definedName name="M_StoneForCoarseRubbleMasonry_1stSort" localSheetId="15">#REF!</definedName>
    <definedName name="M_StoneForCoarseRubbleMasonry_1stSort" localSheetId="2">#REF!</definedName>
    <definedName name="M_StoneForCoarseRubbleMasonry_1stSort" localSheetId="46">#REF!</definedName>
    <definedName name="M_StoneForCoarseRubbleMasonry_1stSort" localSheetId="37">#REF!</definedName>
    <definedName name="M_StoneForCoarseRubbleMasonry_1stSort" localSheetId="19">[2]Material!$D$136</definedName>
    <definedName name="M_StoneForCoarseRubbleMasonry_1stSort">#REF!</definedName>
    <definedName name="M_StoneForCoarseRubbleMasonry_2ndSort" localSheetId="33">#REF!</definedName>
    <definedName name="M_StoneForCoarseRubbleMasonry_2ndSort" localSheetId="23">[2]Material!$D$137</definedName>
    <definedName name="M_StoneForCoarseRubbleMasonry_2ndSort" localSheetId="22">[2]Material!$D$137</definedName>
    <definedName name="M_StoneForCoarseRubbleMasonry_2ndSort" localSheetId="17">[2]Material!$D$137</definedName>
    <definedName name="M_StoneForCoarseRubbleMasonry_2ndSort" localSheetId="18">[2]Material!$D$137</definedName>
    <definedName name="M_StoneForCoarseRubbleMasonry_2ndSort" localSheetId="21">[2]Material!$D$137</definedName>
    <definedName name="M_StoneForCoarseRubbleMasonry_2ndSort" localSheetId="26">#REF!</definedName>
    <definedName name="M_StoneForCoarseRubbleMasonry_2ndSort" localSheetId="24">[3]Material!$D$137</definedName>
    <definedName name="M_StoneForCoarseRubbleMasonry_2ndSort" localSheetId="27">#REF!</definedName>
    <definedName name="M_StoneForCoarseRubbleMasonry_2ndSort" localSheetId="15">#REF!</definedName>
    <definedName name="M_StoneForCoarseRubbleMasonry_2ndSort" localSheetId="2">#REF!</definedName>
    <definedName name="M_StoneForCoarseRubbleMasonry_2ndSort" localSheetId="46">#REF!</definedName>
    <definedName name="M_StoneForCoarseRubbleMasonry_2ndSort" localSheetId="37">#REF!</definedName>
    <definedName name="M_StoneForCoarseRubbleMasonry_2ndSort" localSheetId="19">[2]Material!$D$137</definedName>
    <definedName name="M_StoneForCoarseRubbleMasonry_2ndSort">#REF!</definedName>
    <definedName name="M_StoneForRandomRubbleMasonry" localSheetId="33">#REF!</definedName>
    <definedName name="M_StoneForRandomRubbleMasonry" localSheetId="23">[2]Material!$D$138</definedName>
    <definedName name="M_StoneForRandomRubbleMasonry" localSheetId="22">[2]Material!$D$138</definedName>
    <definedName name="M_StoneForRandomRubbleMasonry" localSheetId="17">[2]Material!$D$138</definedName>
    <definedName name="M_StoneForRandomRubbleMasonry" localSheetId="18">[2]Material!$D$138</definedName>
    <definedName name="M_StoneForRandomRubbleMasonry" localSheetId="21">[2]Material!$D$138</definedName>
    <definedName name="M_StoneForRandomRubbleMasonry" localSheetId="26">#REF!</definedName>
    <definedName name="M_StoneForRandomRubbleMasonry" localSheetId="24">[3]Material!$D$138</definedName>
    <definedName name="M_StoneForRandomRubbleMasonry" localSheetId="27">#REF!</definedName>
    <definedName name="M_StoneForRandomRubbleMasonry" localSheetId="15">#REF!</definedName>
    <definedName name="M_StoneForRandomRubbleMasonry" localSheetId="2">#REF!</definedName>
    <definedName name="M_StoneForRandomRubbleMasonry" localSheetId="46">#REF!</definedName>
    <definedName name="M_StoneForRandomRubbleMasonry" localSheetId="37">#REF!</definedName>
    <definedName name="M_StoneForRandomRubbleMasonry" localSheetId="19">[2]Material!$D$138</definedName>
    <definedName name="M_StoneForRandomRubbleMasonry">#REF!</definedName>
    <definedName name="M_StoneForStoneSetPavement" localSheetId="33">#REF!</definedName>
    <definedName name="M_StoneForStoneSetPavement" localSheetId="23">[2]Material!$D$139</definedName>
    <definedName name="M_StoneForStoneSetPavement" localSheetId="22">[2]Material!$D$139</definedName>
    <definedName name="M_StoneForStoneSetPavement" localSheetId="17">[2]Material!$D$139</definedName>
    <definedName name="M_StoneForStoneSetPavement" localSheetId="18">[2]Material!$D$139</definedName>
    <definedName name="M_StoneForStoneSetPavement" localSheetId="21">[2]Material!$D$139</definedName>
    <definedName name="M_StoneForStoneSetPavement" localSheetId="26">#REF!</definedName>
    <definedName name="M_StoneForStoneSetPavement" localSheetId="24">[3]Material!$D$139</definedName>
    <definedName name="M_StoneForStoneSetPavement" localSheetId="27">#REF!</definedName>
    <definedName name="M_StoneForStoneSetPavement" localSheetId="15">#REF!</definedName>
    <definedName name="M_StoneForStoneSetPavement" localSheetId="2">#REF!</definedName>
    <definedName name="M_StoneForStoneSetPavement" localSheetId="46">#REF!</definedName>
    <definedName name="M_StoneForStoneSetPavement" localSheetId="37">#REF!</definedName>
    <definedName name="M_StoneForStoneSetPavement" localSheetId="19">[2]Material!$D$139</definedName>
    <definedName name="M_StoneForStoneSetPavement">#REF!</definedName>
    <definedName name="M_StoneScreening_TypeA_132mm_Grade1" localSheetId="33">#REF!</definedName>
    <definedName name="M_StoneScreening_TypeA_132mm_Grade1" localSheetId="23">[2]Material!$D$140</definedName>
    <definedName name="M_StoneScreening_TypeA_132mm_Grade1" localSheetId="22">[2]Material!$D$140</definedName>
    <definedName name="M_StoneScreening_TypeA_132mm_Grade1" localSheetId="17">[2]Material!$D$140</definedName>
    <definedName name="M_StoneScreening_TypeA_132mm_Grade1" localSheetId="18">[2]Material!$D$140</definedName>
    <definedName name="M_StoneScreening_TypeA_132mm_Grade1" localSheetId="21">[2]Material!$D$140</definedName>
    <definedName name="M_StoneScreening_TypeA_132mm_Grade1" localSheetId="26">#REF!</definedName>
    <definedName name="M_StoneScreening_TypeA_132mm_Grade1" localSheetId="24">[3]Material!$D$140</definedName>
    <definedName name="M_StoneScreening_TypeA_132mm_Grade1" localSheetId="27">#REF!</definedName>
    <definedName name="M_StoneScreening_TypeA_132mm_Grade1" localSheetId="15">#REF!</definedName>
    <definedName name="M_StoneScreening_TypeA_132mm_Grade1" localSheetId="2">#REF!</definedName>
    <definedName name="M_StoneScreening_TypeA_132mm_Grade1" localSheetId="46">#REF!</definedName>
    <definedName name="M_StoneScreening_TypeA_132mm_Grade1" localSheetId="37">#REF!</definedName>
    <definedName name="M_StoneScreening_TypeA_132mm_Grade1" localSheetId="19">[2]Material!$D$140</definedName>
    <definedName name="M_StoneScreening_TypeA_132mm_Grade1">#REF!</definedName>
    <definedName name="M_StoneScreening_TypeB_112mm_Grade2" localSheetId="33">#REF!</definedName>
    <definedName name="M_StoneScreening_TypeB_112mm_Grade2" localSheetId="23">[2]Material!$D$142</definedName>
    <definedName name="M_StoneScreening_TypeB_112mm_Grade2" localSheetId="22">[2]Material!$D$142</definedName>
    <definedName name="M_StoneScreening_TypeB_112mm_Grade2" localSheetId="17">[2]Material!$D$142</definedName>
    <definedName name="M_StoneScreening_TypeB_112mm_Grade2" localSheetId="18">[2]Material!$D$142</definedName>
    <definedName name="M_StoneScreening_TypeB_112mm_Grade2" localSheetId="21">[2]Material!$D$142</definedName>
    <definedName name="M_StoneScreening_TypeB_112mm_Grade2" localSheetId="26">#REF!</definedName>
    <definedName name="M_StoneScreening_TypeB_112mm_Grade2" localSheetId="24">[3]Material!$D$142</definedName>
    <definedName name="M_StoneScreening_TypeB_112mm_Grade2" localSheetId="27">#REF!</definedName>
    <definedName name="M_StoneScreening_TypeB_112mm_Grade2" localSheetId="15">#REF!</definedName>
    <definedName name="M_StoneScreening_TypeB_112mm_Grade2" localSheetId="2">#REF!</definedName>
    <definedName name="M_StoneScreening_TypeB_112mm_Grade2" localSheetId="46">#REF!</definedName>
    <definedName name="M_StoneScreening_TypeB_112mm_Grade2" localSheetId="37">#REF!</definedName>
    <definedName name="M_StoneScreening_TypeB_112mm_Grade2" localSheetId="19">[2]Material!$D$142</definedName>
    <definedName name="M_StoneScreening_TypeB_112mm_Grade2">#REF!</definedName>
    <definedName name="M_StoneScreening_TypeB_112mm_Grade3" localSheetId="33">#REF!</definedName>
    <definedName name="M_StoneScreening_TypeB_112mm_Grade3" localSheetId="23">[2]Material!$D$143</definedName>
    <definedName name="M_StoneScreening_TypeB_112mm_Grade3" localSheetId="22">[2]Material!$D$143</definedName>
    <definedName name="M_StoneScreening_TypeB_112mm_Grade3" localSheetId="17">[2]Material!$D$143</definedName>
    <definedName name="M_StoneScreening_TypeB_112mm_Grade3" localSheetId="18">[2]Material!$D$143</definedName>
    <definedName name="M_StoneScreening_TypeB_112mm_Grade3" localSheetId="21">[2]Material!$D$143</definedName>
    <definedName name="M_StoneScreening_TypeB_112mm_Grade3" localSheetId="26">#REF!</definedName>
    <definedName name="M_StoneScreening_TypeB_112mm_Grade3" localSheetId="24">[3]Material!$D$143</definedName>
    <definedName name="M_StoneScreening_TypeB_112mm_Grade3" localSheetId="27">#REF!</definedName>
    <definedName name="M_StoneScreening_TypeB_112mm_Grade3" localSheetId="15">#REF!</definedName>
    <definedName name="M_StoneScreening_TypeB_112mm_Grade3" localSheetId="2">#REF!</definedName>
    <definedName name="M_StoneScreening_TypeB_112mm_Grade3" localSheetId="46">#REF!</definedName>
    <definedName name="M_StoneScreening_TypeB_112mm_Grade3" localSheetId="37">#REF!</definedName>
    <definedName name="M_StoneScreening_TypeB_112mm_Grade3" localSheetId="19">[2]Material!$D$143</definedName>
    <definedName name="M_StoneScreening_TypeB_112mm_Grade3">#REF!</definedName>
    <definedName name="M_StoneSpalls" localSheetId="33">#REF!</definedName>
    <definedName name="M_StoneSpalls" localSheetId="23">[2]Material!$D$144</definedName>
    <definedName name="M_StoneSpalls" localSheetId="22">[2]Material!$D$144</definedName>
    <definedName name="M_StoneSpalls" localSheetId="17">[2]Material!$D$144</definedName>
    <definedName name="M_StoneSpalls" localSheetId="18">[2]Material!$D$144</definedName>
    <definedName name="M_StoneSpalls" localSheetId="21">[2]Material!$D$144</definedName>
    <definedName name="M_StoneSpalls" localSheetId="26">#REF!</definedName>
    <definedName name="M_StoneSpalls" localSheetId="24">[3]Material!$D$144</definedName>
    <definedName name="M_StoneSpalls" localSheetId="27">#REF!</definedName>
    <definedName name="M_StoneSpalls" localSheetId="15">#REF!</definedName>
    <definedName name="M_StoneSpalls" localSheetId="2">#REF!</definedName>
    <definedName name="M_StoneSpalls" localSheetId="46">#REF!</definedName>
    <definedName name="M_StoneSpalls" localSheetId="37">#REF!</definedName>
    <definedName name="M_StoneSpalls" localSheetId="19">[2]Material!$D$144</definedName>
    <definedName name="M_StoneSpalls">#REF!</definedName>
    <definedName name="M_TrafficCones" localSheetId="33">#REF!</definedName>
    <definedName name="M_TrafficCones" localSheetId="23">[2]Material!$D$145</definedName>
    <definedName name="M_TrafficCones" localSheetId="22">[2]Material!$D$145</definedName>
    <definedName name="M_TrafficCones" localSheetId="17">[2]Material!$D$145</definedName>
    <definedName name="M_TrafficCones" localSheetId="18">[2]Material!$D$145</definedName>
    <definedName name="M_TrafficCones" localSheetId="21">[2]Material!$D$145</definedName>
    <definedName name="M_TrafficCones" localSheetId="26">#REF!</definedName>
    <definedName name="M_TrafficCones" localSheetId="24">[3]Material!$D$145</definedName>
    <definedName name="M_TrafficCones" localSheetId="27">#REF!</definedName>
    <definedName name="M_TrafficCones" localSheetId="15">#REF!</definedName>
    <definedName name="M_TrafficCones" localSheetId="2">#REF!</definedName>
    <definedName name="M_TrafficCones" localSheetId="46">#REF!</definedName>
    <definedName name="M_TrafficCones" localSheetId="37">#REF!</definedName>
    <definedName name="M_TrafficCones" localSheetId="19">[2]Material!$D$145</definedName>
    <definedName name="M_TrafficCones">#REF!</definedName>
    <definedName name="M_Water" localSheetId="33">#REF!</definedName>
    <definedName name="M_Water" localSheetId="23">[2]Material!$D$146</definedName>
    <definedName name="M_Water" localSheetId="22">[2]Material!$D$146</definedName>
    <definedName name="M_Water" localSheetId="17">[2]Material!$D$146</definedName>
    <definedName name="M_Water" localSheetId="18">[2]Material!$D$146</definedName>
    <definedName name="M_Water" localSheetId="21">[2]Material!$D$146</definedName>
    <definedName name="M_Water" localSheetId="26">#REF!</definedName>
    <definedName name="M_Water" localSheetId="24">[3]Material!$D$146</definedName>
    <definedName name="M_Water" localSheetId="27">#REF!</definedName>
    <definedName name="M_Water" localSheetId="15">#REF!</definedName>
    <definedName name="M_Water" localSheetId="2">#REF!</definedName>
    <definedName name="M_Water" localSheetId="46">#REF!</definedName>
    <definedName name="M_Water" localSheetId="37">#REF!</definedName>
    <definedName name="M_Water" localSheetId="19">[2]Material!$D$146</definedName>
    <definedName name="M_Water">#REF!</definedName>
    <definedName name="M_WellGradedGranularBaseMaterial_GradeA_236mm" localSheetId="33">#REF!</definedName>
    <definedName name="M_WellGradedGranularBaseMaterial_GradeA_236mm" localSheetId="23">[2]Material!$D$147</definedName>
    <definedName name="M_WellGradedGranularBaseMaterial_GradeA_236mm" localSheetId="22">[2]Material!$D$147</definedName>
    <definedName name="M_WellGradedGranularBaseMaterial_GradeA_236mm" localSheetId="17">[2]Material!$D$147</definedName>
    <definedName name="M_WellGradedGranularBaseMaterial_GradeA_236mm" localSheetId="18">[2]Material!$D$147</definedName>
    <definedName name="M_WellGradedGranularBaseMaterial_GradeA_236mm" localSheetId="21">[2]Material!$D$147</definedName>
    <definedName name="M_WellGradedGranularBaseMaterial_GradeA_236mm" localSheetId="26">#REF!</definedName>
    <definedName name="M_WellGradedGranularBaseMaterial_GradeA_236mm" localSheetId="24">[3]Material!$D$147</definedName>
    <definedName name="M_WellGradedGranularBaseMaterial_GradeA_236mm" localSheetId="27">#REF!</definedName>
    <definedName name="M_WellGradedGranularBaseMaterial_GradeA_236mm" localSheetId="15">#REF!</definedName>
    <definedName name="M_WellGradedGranularBaseMaterial_GradeA_236mm" localSheetId="2">#REF!</definedName>
    <definedName name="M_WellGradedGranularBaseMaterial_GradeA_236mm" localSheetId="46">#REF!</definedName>
    <definedName name="M_WellGradedGranularBaseMaterial_GradeA_236mm" localSheetId="37">#REF!</definedName>
    <definedName name="M_WellGradedGranularBaseMaterial_GradeA_236mm" localSheetId="19">[2]Material!$D$147</definedName>
    <definedName name="M_WellGradedGranularBaseMaterial_GradeA_236mm">#REF!</definedName>
    <definedName name="M_WellGradedGranularBaseMaterial_GradeA_265_475mm" localSheetId="33">#REF!</definedName>
    <definedName name="M_WellGradedGranularBaseMaterial_GradeA_265_475mm" localSheetId="23">[2]Material!$D$148</definedName>
    <definedName name="M_WellGradedGranularBaseMaterial_GradeA_265_475mm" localSheetId="22">[2]Material!$D$148</definedName>
    <definedName name="M_WellGradedGranularBaseMaterial_GradeA_265_475mm" localSheetId="17">[2]Material!$D$148</definedName>
    <definedName name="M_WellGradedGranularBaseMaterial_GradeA_265_475mm" localSheetId="18">[2]Material!$D$148</definedName>
    <definedName name="M_WellGradedGranularBaseMaterial_GradeA_265_475mm" localSheetId="21">[2]Material!$D$148</definedName>
    <definedName name="M_WellGradedGranularBaseMaterial_GradeA_265_475mm" localSheetId="26">#REF!</definedName>
    <definedName name="M_WellGradedGranularBaseMaterial_GradeA_265_475mm" localSheetId="24">[3]Material!$D$148</definedName>
    <definedName name="M_WellGradedGranularBaseMaterial_GradeA_265_475mm" localSheetId="27">#REF!</definedName>
    <definedName name="M_WellGradedGranularBaseMaterial_GradeA_265_475mm" localSheetId="15">#REF!</definedName>
    <definedName name="M_WellGradedGranularBaseMaterial_GradeA_265_475mm" localSheetId="2">#REF!</definedName>
    <definedName name="M_WellGradedGranularBaseMaterial_GradeA_265_475mm" localSheetId="46">#REF!</definedName>
    <definedName name="M_WellGradedGranularBaseMaterial_GradeA_265_475mm" localSheetId="37">#REF!</definedName>
    <definedName name="M_WellGradedGranularBaseMaterial_GradeA_265_475mm" localSheetId="19">[2]Material!$D$148</definedName>
    <definedName name="M_WellGradedGranularBaseMaterial_GradeA_265_475mm">#REF!</definedName>
    <definedName name="M_WellGradedGranularBaseMaterial_GradeA_53_265mm" localSheetId="33">#REF!</definedName>
    <definedName name="M_WellGradedGranularBaseMaterial_GradeA_53_265mm" localSheetId="23">[2]Material!$D$149</definedName>
    <definedName name="M_WellGradedGranularBaseMaterial_GradeA_53_265mm" localSheetId="22">[2]Material!$D$149</definedName>
    <definedName name="M_WellGradedGranularBaseMaterial_GradeA_53_265mm" localSheetId="17">[2]Material!$D$149</definedName>
    <definedName name="M_WellGradedGranularBaseMaterial_GradeA_53_265mm" localSheetId="18">[2]Material!$D$149</definedName>
    <definedName name="M_WellGradedGranularBaseMaterial_GradeA_53_265mm" localSheetId="21">[2]Material!$D$149</definedName>
    <definedName name="M_WellGradedGranularBaseMaterial_GradeA_53_265mm" localSheetId="26">#REF!</definedName>
    <definedName name="M_WellGradedGranularBaseMaterial_GradeA_53_265mm" localSheetId="24">[3]Material!$D$149</definedName>
    <definedName name="M_WellGradedGranularBaseMaterial_GradeA_53_265mm" localSheetId="27">#REF!</definedName>
    <definedName name="M_WellGradedGranularBaseMaterial_GradeA_53_265mm" localSheetId="15">#REF!</definedName>
    <definedName name="M_WellGradedGranularBaseMaterial_GradeA_53_265mm" localSheetId="2">#REF!</definedName>
    <definedName name="M_WellGradedGranularBaseMaterial_GradeA_53_265mm" localSheetId="46">#REF!</definedName>
    <definedName name="M_WellGradedGranularBaseMaterial_GradeA_53_265mm" localSheetId="37">#REF!</definedName>
    <definedName name="M_WellGradedGranularBaseMaterial_GradeA_53_265mm" localSheetId="19">[2]Material!$D$149</definedName>
    <definedName name="M_WellGradedGranularBaseMaterial_GradeA_53_265mm">#REF!</definedName>
    <definedName name="M_WellGradedGranularBaseMaterial_GradeB_236mm_below" localSheetId="33">#REF!</definedName>
    <definedName name="M_WellGradedGranularBaseMaterial_GradeB_236mm_below" localSheetId="23">[2]Material!$D$150</definedName>
    <definedName name="M_WellGradedGranularBaseMaterial_GradeB_236mm_below" localSheetId="22">[2]Material!$D$150</definedName>
    <definedName name="M_WellGradedGranularBaseMaterial_GradeB_236mm_below" localSheetId="17">[2]Material!$D$150</definedName>
    <definedName name="M_WellGradedGranularBaseMaterial_GradeB_236mm_below" localSheetId="18">[2]Material!$D$150</definedName>
    <definedName name="M_WellGradedGranularBaseMaterial_GradeB_236mm_below" localSheetId="21">[2]Material!$D$150</definedName>
    <definedName name="M_WellGradedGranularBaseMaterial_GradeB_236mm_below" localSheetId="26">#REF!</definedName>
    <definedName name="M_WellGradedGranularBaseMaterial_GradeB_236mm_below" localSheetId="24">[3]Material!$D$150</definedName>
    <definedName name="M_WellGradedGranularBaseMaterial_GradeB_236mm_below" localSheetId="27">#REF!</definedName>
    <definedName name="M_WellGradedGranularBaseMaterial_GradeB_236mm_below" localSheetId="15">#REF!</definedName>
    <definedName name="M_WellGradedGranularBaseMaterial_GradeB_236mm_below" localSheetId="2">#REF!</definedName>
    <definedName name="M_WellGradedGranularBaseMaterial_GradeB_236mm_below" localSheetId="46">#REF!</definedName>
    <definedName name="M_WellGradedGranularBaseMaterial_GradeB_236mm_below" localSheetId="37">#REF!</definedName>
    <definedName name="M_WellGradedGranularBaseMaterial_GradeB_236mm_below" localSheetId="19">[2]Material!$D$150</definedName>
    <definedName name="M_WellGradedGranularBaseMaterial_GradeB_236mm_below">#REF!</definedName>
    <definedName name="M_WellGradedGranularBaseMaterial_GradeB_265_475mm" localSheetId="33">#REF!</definedName>
    <definedName name="M_WellGradedGranularBaseMaterial_GradeB_265_475mm" localSheetId="23">[2]Material!$D$151</definedName>
    <definedName name="M_WellGradedGranularBaseMaterial_GradeB_265_475mm" localSheetId="22">[2]Material!$D$151</definedName>
    <definedName name="M_WellGradedGranularBaseMaterial_GradeB_265_475mm" localSheetId="17">[2]Material!$D$151</definedName>
    <definedName name="M_WellGradedGranularBaseMaterial_GradeB_265_475mm" localSheetId="18">[2]Material!$D$151</definedName>
    <definedName name="M_WellGradedGranularBaseMaterial_GradeB_265_475mm" localSheetId="21">[2]Material!$D$151</definedName>
    <definedName name="M_WellGradedGranularBaseMaterial_GradeB_265_475mm" localSheetId="26">#REF!</definedName>
    <definedName name="M_WellGradedGranularBaseMaterial_GradeB_265_475mm" localSheetId="24">[3]Material!$D$151</definedName>
    <definedName name="M_WellGradedGranularBaseMaterial_GradeB_265_475mm" localSheetId="27">#REF!</definedName>
    <definedName name="M_WellGradedGranularBaseMaterial_GradeB_265_475mm" localSheetId="15">#REF!</definedName>
    <definedName name="M_WellGradedGranularBaseMaterial_GradeB_265_475mm" localSheetId="2">#REF!</definedName>
    <definedName name="M_WellGradedGranularBaseMaterial_GradeB_265_475mm" localSheetId="46">#REF!</definedName>
    <definedName name="M_WellGradedGranularBaseMaterial_GradeB_265_475mm" localSheetId="37">#REF!</definedName>
    <definedName name="M_WellGradedGranularBaseMaterial_GradeB_265_475mm" localSheetId="19">[2]Material!$D$151</definedName>
    <definedName name="M_WellGradedGranularBaseMaterial_GradeB_265_475mm">#REF!</definedName>
    <definedName name="M_WellGradedGranularBaseMaterial_GradeC_236mm_below" localSheetId="33">#REF!</definedName>
    <definedName name="M_WellGradedGranularBaseMaterial_GradeC_236mm_below" localSheetId="23">[2]Material!$D$152</definedName>
    <definedName name="M_WellGradedGranularBaseMaterial_GradeC_236mm_below" localSheetId="22">[2]Material!$D$152</definedName>
    <definedName name="M_WellGradedGranularBaseMaterial_GradeC_236mm_below" localSheetId="17">[2]Material!$D$152</definedName>
    <definedName name="M_WellGradedGranularBaseMaterial_GradeC_236mm_below" localSheetId="18">[2]Material!$D$152</definedName>
    <definedName name="M_WellGradedGranularBaseMaterial_GradeC_236mm_below" localSheetId="21">[2]Material!$D$152</definedName>
    <definedName name="M_WellGradedGranularBaseMaterial_GradeC_236mm_below" localSheetId="26">#REF!</definedName>
    <definedName name="M_WellGradedGranularBaseMaterial_GradeC_236mm_below" localSheetId="24">[3]Material!$D$152</definedName>
    <definedName name="M_WellGradedGranularBaseMaterial_GradeC_236mm_below" localSheetId="27">#REF!</definedName>
    <definedName name="M_WellGradedGranularBaseMaterial_GradeC_236mm_below" localSheetId="15">#REF!</definedName>
    <definedName name="M_WellGradedGranularBaseMaterial_GradeC_236mm_below" localSheetId="2">#REF!</definedName>
    <definedName name="M_WellGradedGranularBaseMaterial_GradeC_236mm_below" localSheetId="46">#REF!</definedName>
    <definedName name="M_WellGradedGranularBaseMaterial_GradeC_236mm_below" localSheetId="37">#REF!</definedName>
    <definedName name="M_WellGradedGranularBaseMaterial_GradeC_236mm_below" localSheetId="19">[2]Material!$D$152</definedName>
    <definedName name="M_WellGradedGranularBaseMaterial_GradeC_236mm_below">#REF!</definedName>
    <definedName name="M_WellGradedGranularBaseMaterial_GradeC_95_475mm" localSheetId="33">#REF!</definedName>
    <definedName name="M_WellGradedGranularBaseMaterial_GradeC_95_475mm" localSheetId="23">[2]Material!$D$153</definedName>
    <definedName name="M_WellGradedGranularBaseMaterial_GradeC_95_475mm" localSheetId="22">[2]Material!$D$153</definedName>
    <definedName name="M_WellGradedGranularBaseMaterial_GradeC_95_475mm" localSheetId="17">[2]Material!$D$153</definedName>
    <definedName name="M_WellGradedGranularBaseMaterial_GradeC_95_475mm" localSheetId="18">[2]Material!$D$153</definedName>
    <definedName name="M_WellGradedGranularBaseMaterial_GradeC_95_475mm" localSheetId="21">[2]Material!$D$153</definedName>
    <definedName name="M_WellGradedGranularBaseMaterial_GradeC_95_475mm" localSheetId="26">#REF!</definedName>
    <definedName name="M_WellGradedGranularBaseMaterial_GradeC_95_475mm" localSheetId="24">[3]Material!$D$153</definedName>
    <definedName name="M_WellGradedGranularBaseMaterial_GradeC_95_475mm" localSheetId="27">#REF!</definedName>
    <definedName name="M_WellGradedGranularBaseMaterial_GradeC_95_475mm" localSheetId="15">#REF!</definedName>
    <definedName name="M_WellGradedGranularBaseMaterial_GradeC_95_475mm" localSheetId="2">#REF!</definedName>
    <definedName name="M_WellGradedGranularBaseMaterial_GradeC_95_475mm" localSheetId="46">#REF!</definedName>
    <definedName name="M_WellGradedGranularBaseMaterial_GradeC_95_475mm" localSheetId="37">#REF!</definedName>
    <definedName name="M_WellGradedGranularBaseMaterial_GradeC_95_475mm" localSheetId="19">[2]Material!$D$153</definedName>
    <definedName name="M_WellGradedGranularBaseMaterial_GradeC_95_475mm">#REF!</definedName>
    <definedName name="M_WellGradedMateralForSubbase_GradeI_236mm_below" localSheetId="33">#REF!</definedName>
    <definedName name="M_WellGradedMateralForSubbase_GradeI_236mm_below" localSheetId="23">[2]Material!$D$154</definedName>
    <definedName name="M_WellGradedMateralForSubbase_GradeI_236mm_below" localSheetId="22">[2]Material!$D$154</definedName>
    <definedName name="M_WellGradedMateralForSubbase_GradeI_236mm_below" localSheetId="17">[2]Material!$D$154</definedName>
    <definedName name="M_WellGradedMateralForSubbase_GradeI_236mm_below" localSheetId="18">[2]Material!$D$154</definedName>
    <definedName name="M_WellGradedMateralForSubbase_GradeI_236mm_below" localSheetId="21">[2]Material!$D$154</definedName>
    <definedName name="M_WellGradedMateralForSubbase_GradeI_236mm_below" localSheetId="26">#REF!</definedName>
    <definedName name="M_WellGradedMateralForSubbase_GradeI_236mm_below" localSheetId="24">[3]Material!$D$154</definedName>
    <definedName name="M_WellGradedMateralForSubbase_GradeI_236mm_below" localSheetId="27">#REF!</definedName>
    <definedName name="M_WellGradedMateralForSubbase_GradeI_236mm_below" localSheetId="15">#REF!</definedName>
    <definedName name="M_WellGradedMateralForSubbase_GradeI_236mm_below" localSheetId="2">#REF!</definedName>
    <definedName name="M_WellGradedMateralForSubbase_GradeI_236mm_below" localSheetId="46">#REF!</definedName>
    <definedName name="M_WellGradedMateralForSubbase_GradeI_236mm_below" localSheetId="37">#REF!</definedName>
    <definedName name="M_WellGradedMateralForSubbase_GradeI_236mm_below" localSheetId="19">[2]Material!$D$154</definedName>
    <definedName name="M_WellGradedMateralForSubbase_GradeI_236mm_below">#REF!</definedName>
    <definedName name="M_WellGradedMateralForSubbase_GradeI_53_95mm" localSheetId="33">#REF!</definedName>
    <definedName name="M_WellGradedMateralForSubbase_GradeI_53_95mm" localSheetId="23">[2]Material!$D$155</definedName>
    <definedName name="M_WellGradedMateralForSubbase_GradeI_53_95mm" localSheetId="22">[2]Material!$D$155</definedName>
    <definedName name="M_WellGradedMateralForSubbase_GradeI_53_95mm" localSheetId="17">[2]Material!$D$155</definedName>
    <definedName name="M_WellGradedMateralForSubbase_GradeI_53_95mm" localSheetId="18">[2]Material!$D$155</definedName>
    <definedName name="M_WellGradedMateralForSubbase_GradeI_53_95mm" localSheetId="21">[2]Material!$D$155</definedName>
    <definedName name="M_WellGradedMateralForSubbase_GradeI_53_95mm" localSheetId="26">#REF!</definedName>
    <definedName name="M_WellGradedMateralForSubbase_GradeI_53_95mm" localSheetId="24">[3]Material!$D$155</definedName>
    <definedName name="M_WellGradedMateralForSubbase_GradeI_53_95mm" localSheetId="27">#REF!</definedName>
    <definedName name="M_WellGradedMateralForSubbase_GradeI_53_95mm" localSheetId="15">#REF!</definedName>
    <definedName name="M_WellGradedMateralForSubbase_GradeI_53_95mm" localSheetId="2">#REF!</definedName>
    <definedName name="M_WellGradedMateralForSubbase_GradeI_53_95mm" localSheetId="46">#REF!</definedName>
    <definedName name="M_WellGradedMateralForSubbase_GradeI_53_95mm" localSheetId="37">#REF!</definedName>
    <definedName name="M_WellGradedMateralForSubbase_GradeI_53_95mm" localSheetId="19">[2]Material!$D$155</definedName>
    <definedName name="M_WellGradedMateralForSubbase_GradeI_53_95mm">#REF!</definedName>
    <definedName name="M_WellGradedMateralForSubbase_GradeI_95_236mm" localSheetId="33">#REF!</definedName>
    <definedName name="M_WellGradedMateralForSubbase_GradeI_95_236mm" localSheetId="23">[2]Material!$D$156</definedName>
    <definedName name="M_WellGradedMateralForSubbase_GradeI_95_236mm" localSheetId="22">[2]Material!$D$156</definedName>
    <definedName name="M_WellGradedMateralForSubbase_GradeI_95_236mm" localSheetId="17">[2]Material!$D$156</definedName>
    <definedName name="M_WellGradedMateralForSubbase_GradeI_95_236mm" localSheetId="18">[2]Material!$D$156</definedName>
    <definedName name="M_WellGradedMateralForSubbase_GradeI_95_236mm" localSheetId="21">[2]Material!$D$156</definedName>
    <definedName name="M_WellGradedMateralForSubbase_GradeI_95_236mm" localSheetId="26">#REF!</definedName>
    <definedName name="M_WellGradedMateralForSubbase_GradeI_95_236mm" localSheetId="24">[3]Material!$D$156</definedName>
    <definedName name="M_WellGradedMateralForSubbase_GradeI_95_236mm" localSheetId="27">#REF!</definedName>
    <definedName name="M_WellGradedMateralForSubbase_GradeI_95_236mm" localSheetId="15">#REF!</definedName>
    <definedName name="M_WellGradedMateralForSubbase_GradeI_95_236mm" localSheetId="2">#REF!</definedName>
    <definedName name="M_WellGradedMateralForSubbase_GradeI_95_236mm" localSheetId="46">#REF!</definedName>
    <definedName name="M_WellGradedMateralForSubbase_GradeI_95_236mm" localSheetId="37">#REF!</definedName>
    <definedName name="M_WellGradedMateralForSubbase_GradeI_95_236mm" localSheetId="19">[2]Material!$D$156</definedName>
    <definedName name="M_WellGradedMateralForSubbase_GradeI_95_236mm">#REF!</definedName>
    <definedName name="M_WellGradedMateralForSubbase_GradeII_236mm_below" localSheetId="33">#REF!</definedName>
    <definedName name="M_WellGradedMateralForSubbase_GradeII_236mm_below" localSheetId="23">[2]Material!$D$157</definedName>
    <definedName name="M_WellGradedMateralForSubbase_GradeII_236mm_below" localSheetId="22">[2]Material!$D$157</definedName>
    <definedName name="M_WellGradedMateralForSubbase_GradeII_236mm_below" localSheetId="17">[2]Material!$D$157</definedName>
    <definedName name="M_WellGradedMateralForSubbase_GradeII_236mm_below" localSheetId="18">[2]Material!$D$157</definedName>
    <definedName name="M_WellGradedMateralForSubbase_GradeII_236mm_below" localSheetId="21">[2]Material!$D$157</definedName>
    <definedName name="M_WellGradedMateralForSubbase_GradeII_236mm_below" localSheetId="26">#REF!</definedName>
    <definedName name="M_WellGradedMateralForSubbase_GradeII_236mm_below" localSheetId="24">[3]Material!$D$157</definedName>
    <definedName name="M_WellGradedMateralForSubbase_GradeII_236mm_below" localSheetId="27">#REF!</definedName>
    <definedName name="M_WellGradedMateralForSubbase_GradeII_236mm_below" localSheetId="15">#REF!</definedName>
    <definedName name="M_WellGradedMateralForSubbase_GradeII_236mm_below" localSheetId="2">#REF!</definedName>
    <definedName name="M_WellGradedMateralForSubbase_GradeII_236mm_below" localSheetId="46">#REF!</definedName>
    <definedName name="M_WellGradedMateralForSubbase_GradeII_236mm_below" localSheetId="37">#REF!</definedName>
    <definedName name="M_WellGradedMateralForSubbase_GradeII_236mm_below" localSheetId="19">[2]Material!$D$157</definedName>
    <definedName name="M_WellGradedMateralForSubbase_GradeII_236mm_below">#REF!</definedName>
    <definedName name="M_WellGradedMateralForSubbase_GradeII_265_95mm" localSheetId="33">#REF!</definedName>
    <definedName name="M_WellGradedMateralForSubbase_GradeII_265_95mm" localSheetId="23">[2]Material!$D$158</definedName>
    <definedName name="M_WellGradedMateralForSubbase_GradeII_265_95mm" localSheetId="22">[2]Material!$D$158</definedName>
    <definedName name="M_WellGradedMateralForSubbase_GradeII_265_95mm" localSheetId="17">[2]Material!$D$158</definedName>
    <definedName name="M_WellGradedMateralForSubbase_GradeII_265_95mm" localSheetId="18">[2]Material!$D$158</definedName>
    <definedName name="M_WellGradedMateralForSubbase_GradeII_265_95mm" localSheetId="21">[2]Material!$D$158</definedName>
    <definedName name="M_WellGradedMateralForSubbase_GradeII_265_95mm" localSheetId="26">#REF!</definedName>
    <definedName name="M_WellGradedMateralForSubbase_GradeII_265_95mm" localSheetId="24">[3]Material!$D$158</definedName>
    <definedName name="M_WellGradedMateralForSubbase_GradeII_265_95mm" localSheetId="27">#REF!</definedName>
    <definedName name="M_WellGradedMateralForSubbase_GradeII_265_95mm" localSheetId="15">#REF!</definedName>
    <definedName name="M_WellGradedMateralForSubbase_GradeII_265_95mm" localSheetId="2">#REF!</definedName>
    <definedName name="M_WellGradedMateralForSubbase_GradeII_265_95mm" localSheetId="46">#REF!</definedName>
    <definedName name="M_WellGradedMateralForSubbase_GradeII_265_95mm" localSheetId="37">#REF!</definedName>
    <definedName name="M_WellGradedMateralForSubbase_GradeII_265_95mm" localSheetId="19">[2]Material!$D$158</definedName>
    <definedName name="M_WellGradedMateralForSubbase_GradeII_265_95mm">#REF!</definedName>
    <definedName name="M_WellGradedMateralForSubbase_GradeII_95_236mm" localSheetId="33">#REF!</definedName>
    <definedName name="M_WellGradedMateralForSubbase_GradeII_95_236mm" localSheetId="23">[2]Material!$D$159</definedName>
    <definedName name="M_WellGradedMateralForSubbase_GradeII_95_236mm" localSheetId="22">[2]Material!$D$159</definedName>
    <definedName name="M_WellGradedMateralForSubbase_GradeII_95_236mm" localSheetId="17">[2]Material!$D$159</definedName>
    <definedName name="M_WellGradedMateralForSubbase_GradeII_95_236mm" localSheetId="18">[2]Material!$D$159</definedName>
    <definedName name="M_WellGradedMateralForSubbase_GradeII_95_236mm" localSheetId="21">[2]Material!$D$159</definedName>
    <definedName name="M_WellGradedMateralForSubbase_GradeII_95_236mm" localSheetId="26">#REF!</definedName>
    <definedName name="M_WellGradedMateralForSubbase_GradeII_95_236mm" localSheetId="24">[3]Material!$D$159</definedName>
    <definedName name="M_WellGradedMateralForSubbase_GradeII_95_236mm" localSheetId="27">#REF!</definedName>
    <definedName name="M_WellGradedMateralForSubbase_GradeII_95_236mm" localSheetId="15">#REF!</definedName>
    <definedName name="M_WellGradedMateralForSubbase_GradeII_95_236mm" localSheetId="2">#REF!</definedName>
    <definedName name="M_WellGradedMateralForSubbase_GradeII_95_236mm" localSheetId="46">#REF!</definedName>
    <definedName name="M_WellGradedMateralForSubbase_GradeII_95_236mm" localSheetId="37">#REF!</definedName>
    <definedName name="M_WellGradedMateralForSubbase_GradeII_95_236mm" localSheetId="19">[2]Material!$D$159</definedName>
    <definedName name="M_WellGradedMateralForSubbase_GradeII_95_236mm">#REF!</definedName>
    <definedName name="M_WellGradedMateralForSubbase_GradeIII_236mm_below" localSheetId="33">#REF!</definedName>
    <definedName name="M_WellGradedMateralForSubbase_GradeIII_236mm_below" localSheetId="23">[2]Material!$D$160</definedName>
    <definedName name="M_WellGradedMateralForSubbase_GradeIII_236mm_below" localSheetId="22">[2]Material!$D$160</definedName>
    <definedName name="M_WellGradedMateralForSubbase_GradeIII_236mm_below" localSheetId="17">[2]Material!$D$160</definedName>
    <definedName name="M_WellGradedMateralForSubbase_GradeIII_236mm_below" localSheetId="18">[2]Material!$D$160</definedName>
    <definedName name="M_WellGradedMateralForSubbase_GradeIII_236mm_below" localSheetId="21">[2]Material!$D$160</definedName>
    <definedName name="M_WellGradedMateralForSubbase_GradeIII_236mm_below" localSheetId="26">#REF!</definedName>
    <definedName name="M_WellGradedMateralForSubbase_GradeIII_236mm_below" localSheetId="24">[3]Material!$D$160</definedName>
    <definedName name="M_WellGradedMateralForSubbase_GradeIII_236mm_below" localSheetId="27">#REF!</definedName>
    <definedName name="M_WellGradedMateralForSubbase_GradeIII_236mm_below" localSheetId="15">#REF!</definedName>
    <definedName name="M_WellGradedMateralForSubbase_GradeIII_236mm_below" localSheetId="2">#REF!</definedName>
    <definedName name="M_WellGradedMateralForSubbase_GradeIII_236mm_below" localSheetId="46">#REF!</definedName>
    <definedName name="M_WellGradedMateralForSubbase_GradeIII_236mm_below" localSheetId="37">#REF!</definedName>
    <definedName name="M_WellGradedMateralForSubbase_GradeIII_236mm_below" localSheetId="19">[2]Material!$D$160</definedName>
    <definedName name="M_WellGradedMateralForSubbase_GradeIII_236mm_below">#REF!</definedName>
    <definedName name="M_WellGradedMateralForSubbase_GradeIII_475_236mm" localSheetId="33">#REF!</definedName>
    <definedName name="M_WellGradedMateralForSubbase_GradeIII_475_236mm" localSheetId="23">[2]Material!$D$161</definedName>
    <definedName name="M_WellGradedMateralForSubbase_GradeIII_475_236mm" localSheetId="22">[2]Material!$D$161</definedName>
    <definedName name="M_WellGradedMateralForSubbase_GradeIII_475_236mm" localSheetId="17">[2]Material!$D$161</definedName>
    <definedName name="M_WellGradedMateralForSubbase_GradeIII_475_236mm" localSheetId="18">[2]Material!$D$161</definedName>
    <definedName name="M_WellGradedMateralForSubbase_GradeIII_475_236mm" localSheetId="21">[2]Material!$D$161</definedName>
    <definedName name="M_WellGradedMateralForSubbase_GradeIII_475_236mm" localSheetId="26">#REF!</definedName>
    <definedName name="M_WellGradedMateralForSubbase_GradeIII_475_236mm" localSheetId="24">[3]Material!$D$161</definedName>
    <definedName name="M_WellGradedMateralForSubbase_GradeIII_475_236mm" localSheetId="27">#REF!</definedName>
    <definedName name="M_WellGradedMateralForSubbase_GradeIII_475_236mm" localSheetId="15">#REF!</definedName>
    <definedName name="M_WellGradedMateralForSubbase_GradeIII_475_236mm" localSheetId="2">#REF!</definedName>
    <definedName name="M_WellGradedMateralForSubbase_GradeIII_475_236mm" localSheetId="46">#REF!</definedName>
    <definedName name="M_WellGradedMateralForSubbase_GradeIII_475_236mm" localSheetId="37">#REF!</definedName>
    <definedName name="M_WellGradedMateralForSubbase_GradeIII_475_236mm" localSheetId="19">[2]Material!$D$161</definedName>
    <definedName name="M_WellGradedMateralForSubbase_GradeIII_475_236mm">#REF!</definedName>
    <definedName name="M_WellGradedMateralForSubbase_GradeIII_95_475mm" localSheetId="33">#REF!</definedName>
    <definedName name="M_WellGradedMateralForSubbase_GradeIII_95_475mm" localSheetId="23">[2]Material!$D$162</definedName>
    <definedName name="M_WellGradedMateralForSubbase_GradeIII_95_475mm" localSheetId="22">[2]Material!$D$162</definedName>
    <definedName name="M_WellGradedMateralForSubbase_GradeIII_95_475mm" localSheetId="17">[2]Material!$D$162</definedName>
    <definedName name="M_WellGradedMateralForSubbase_GradeIII_95_475mm" localSheetId="18">[2]Material!$D$162</definedName>
    <definedName name="M_WellGradedMateralForSubbase_GradeIII_95_475mm" localSheetId="21">[2]Material!$D$162</definedName>
    <definedName name="M_WellGradedMateralForSubbase_GradeIII_95_475mm" localSheetId="26">#REF!</definedName>
    <definedName name="M_WellGradedMateralForSubbase_GradeIII_95_475mm" localSheetId="24">[3]Material!$D$162</definedName>
    <definedName name="M_WellGradedMateralForSubbase_GradeIII_95_475mm" localSheetId="27">#REF!</definedName>
    <definedName name="M_WellGradedMateralForSubbase_GradeIII_95_475mm" localSheetId="15">#REF!</definedName>
    <definedName name="M_WellGradedMateralForSubbase_GradeIII_95_475mm" localSheetId="2">#REF!</definedName>
    <definedName name="M_WellGradedMateralForSubbase_GradeIII_95_475mm" localSheetId="46">#REF!</definedName>
    <definedName name="M_WellGradedMateralForSubbase_GradeIII_95_475mm" localSheetId="37">#REF!</definedName>
    <definedName name="M_WellGradedMateralForSubbase_GradeIII_95_475mm" localSheetId="19">[2]Material!$D$162</definedName>
    <definedName name="M_WellGradedMateralForSubbase_GradeIII_95_475mm">#REF!</definedName>
    <definedName name="M_WoodenSleepers" localSheetId="33">#REF!</definedName>
    <definedName name="M_WoodenSleepers" localSheetId="23">[2]Material!$D$163</definedName>
    <definedName name="M_WoodenSleepers" localSheetId="22">[2]Material!$D$163</definedName>
    <definedName name="M_WoodenSleepers" localSheetId="17">[2]Material!$D$163</definedName>
    <definedName name="M_WoodenSleepers" localSheetId="18">[2]Material!$D$163</definedName>
    <definedName name="M_WoodenSleepers" localSheetId="21">[2]Material!$D$163</definedName>
    <definedName name="M_WoodenSleepers" localSheetId="26">#REF!</definedName>
    <definedName name="M_WoodenSleepers" localSheetId="24">[3]Material!$D$163</definedName>
    <definedName name="M_WoodenSleepers" localSheetId="27">#REF!</definedName>
    <definedName name="M_WoodenSleepers" localSheetId="15">#REF!</definedName>
    <definedName name="M_WoodenSleepers" localSheetId="2">#REF!</definedName>
    <definedName name="M_WoodenSleepers" localSheetId="46">#REF!</definedName>
    <definedName name="M_WoodenSleepers" localSheetId="37">#REF!</definedName>
    <definedName name="M_WoodenSleepers" localSheetId="19">[2]Material!$D$163</definedName>
    <definedName name="M_WoodenSleepers">#REF!</definedName>
    <definedName name="PM_AirCompressor_210cfm" localSheetId="33">#REF!</definedName>
    <definedName name="PM_AirCompressor_210cfm" localSheetId="23">'[2]Plant &amp;  Machinery'!$G$4</definedName>
    <definedName name="PM_AirCompressor_210cfm" localSheetId="22">'[2]Plant &amp;  Machinery'!$G$4</definedName>
    <definedName name="PM_AirCompressor_210cfm" localSheetId="17">'[2]Plant &amp;  Machinery'!$G$4</definedName>
    <definedName name="PM_AirCompressor_210cfm" localSheetId="18">'[2]Plant &amp;  Machinery'!$G$4</definedName>
    <definedName name="PM_AirCompressor_210cfm" localSheetId="21">'[2]Plant &amp;  Machinery'!$G$4</definedName>
    <definedName name="PM_AirCompressor_210cfm" localSheetId="26">#REF!</definedName>
    <definedName name="PM_AirCompressor_210cfm" localSheetId="24">'[3]Plant &amp;  Machinery'!$G$4</definedName>
    <definedName name="PM_AirCompressor_210cfm" localSheetId="27">#REF!</definedName>
    <definedName name="PM_AirCompressor_210cfm" localSheetId="15">#REF!</definedName>
    <definedName name="PM_AirCompressor_210cfm" localSheetId="2">#REF!</definedName>
    <definedName name="PM_AirCompressor_210cfm" localSheetId="46">#REF!</definedName>
    <definedName name="PM_AirCompressor_210cfm" localSheetId="37">#REF!</definedName>
    <definedName name="PM_AirCompressor_210cfm" localSheetId="19">'[2]Plant &amp;  Machinery'!$G$4</definedName>
    <definedName name="PM_AirCompressor_210cfm">#REF!</definedName>
    <definedName name="PM_BatchMixHMP_46_60THP" localSheetId="33">#REF!</definedName>
    <definedName name="PM_BatchMixHMP_46_60THP" localSheetId="23">'[2]Plant &amp;  Machinery'!$G$5</definedName>
    <definedName name="PM_BatchMixHMP_46_60THP" localSheetId="22">'[2]Plant &amp;  Machinery'!$G$5</definedName>
    <definedName name="PM_BatchMixHMP_46_60THP" localSheetId="17">'[2]Plant &amp;  Machinery'!$G$5</definedName>
    <definedName name="PM_BatchMixHMP_46_60THP" localSheetId="18">'[2]Plant &amp;  Machinery'!$G$5</definedName>
    <definedName name="PM_BatchMixHMP_46_60THP" localSheetId="21">'[2]Plant &amp;  Machinery'!$G$5</definedName>
    <definedName name="PM_BatchMixHMP_46_60THP" localSheetId="26">#REF!</definedName>
    <definedName name="PM_BatchMixHMP_46_60THP" localSheetId="24">'[3]Plant &amp;  Machinery'!$G$5</definedName>
    <definedName name="PM_BatchMixHMP_46_60THP" localSheetId="27">#REF!</definedName>
    <definedName name="PM_BatchMixHMP_46_60THP" localSheetId="15">#REF!</definedName>
    <definedName name="PM_BatchMixHMP_46_60THP" localSheetId="2">#REF!</definedName>
    <definedName name="PM_BatchMixHMP_46_60THP" localSheetId="46">#REF!</definedName>
    <definedName name="PM_BatchMixHMP_46_60THP" localSheetId="37">#REF!</definedName>
    <definedName name="PM_BatchMixHMP_46_60THP" localSheetId="19">'[2]Plant &amp;  Machinery'!$G$5</definedName>
    <definedName name="PM_BatchMixHMP_46_60THP">#REF!</definedName>
    <definedName name="PM_BatchTypeHMP_30_40" localSheetId="33">#REF!</definedName>
    <definedName name="PM_BatchTypeHMP_30_40" localSheetId="23">'[2]Plant &amp;  Machinery'!$G$6</definedName>
    <definedName name="PM_BatchTypeHMP_30_40" localSheetId="22">'[2]Plant &amp;  Machinery'!$G$6</definedName>
    <definedName name="PM_BatchTypeHMP_30_40" localSheetId="17">'[2]Plant &amp;  Machinery'!$G$6</definedName>
    <definedName name="PM_BatchTypeHMP_30_40" localSheetId="18">'[2]Plant &amp;  Machinery'!$G$6</definedName>
    <definedName name="PM_BatchTypeHMP_30_40" localSheetId="21">'[2]Plant &amp;  Machinery'!$G$6</definedName>
    <definedName name="PM_BatchTypeHMP_30_40" localSheetId="26">#REF!</definedName>
    <definedName name="PM_BatchTypeHMP_30_40" localSheetId="24">'[3]Plant &amp;  Machinery'!$G$6</definedName>
    <definedName name="PM_BatchTypeHMP_30_40" localSheetId="27">#REF!</definedName>
    <definedName name="PM_BatchTypeHMP_30_40" localSheetId="15">#REF!</definedName>
    <definedName name="PM_BatchTypeHMP_30_40" localSheetId="2">#REF!</definedName>
    <definedName name="PM_BatchTypeHMP_30_40" localSheetId="46">#REF!</definedName>
    <definedName name="PM_BatchTypeHMP_30_40" localSheetId="37">#REF!</definedName>
    <definedName name="PM_BatchTypeHMP_30_40" localSheetId="19">'[2]Plant &amp;  Machinery'!$G$6</definedName>
    <definedName name="PM_BatchTypeHMP_30_40">#REF!</definedName>
    <definedName name="PM_BitumenBoilerOilFired_1000" localSheetId="33">#REF!</definedName>
    <definedName name="PM_BitumenBoilerOilFired_1000" localSheetId="23">'[2]Plant &amp;  Machinery'!$G$9</definedName>
    <definedName name="PM_BitumenBoilerOilFired_1000" localSheetId="22">'[2]Plant &amp;  Machinery'!$G$9</definedName>
    <definedName name="PM_BitumenBoilerOilFired_1000" localSheetId="17">'[2]Plant &amp;  Machinery'!$G$9</definedName>
    <definedName name="PM_BitumenBoilerOilFired_1000" localSheetId="18">'[2]Plant &amp;  Machinery'!$G$9</definedName>
    <definedName name="PM_BitumenBoilerOilFired_1000" localSheetId="21">'[2]Plant &amp;  Machinery'!$G$9</definedName>
    <definedName name="PM_BitumenBoilerOilFired_1000" localSheetId="26">#REF!</definedName>
    <definedName name="PM_BitumenBoilerOilFired_1000" localSheetId="24">'[3]Plant &amp;  Machinery'!$G$9</definedName>
    <definedName name="PM_BitumenBoilerOilFired_1000" localSheetId="27">#REF!</definedName>
    <definedName name="PM_BitumenBoilerOilFired_1000" localSheetId="15">#REF!</definedName>
    <definedName name="PM_BitumenBoilerOilFired_1000" localSheetId="2">#REF!</definedName>
    <definedName name="PM_BitumenBoilerOilFired_1000" localSheetId="46">#REF!</definedName>
    <definedName name="PM_BitumenBoilerOilFired_1000" localSheetId="37">#REF!</definedName>
    <definedName name="PM_BitumenBoilerOilFired_1000" localSheetId="19">'[2]Plant &amp;  Machinery'!$G$9</definedName>
    <definedName name="PM_BitumenBoilerOilFired_1000">#REF!</definedName>
    <definedName name="PM_BitumenBoilerOilFired_200" localSheetId="33">#REF!</definedName>
    <definedName name="PM_BitumenBoilerOilFired_200" localSheetId="23">'[2]Plant &amp;  Machinery'!$G$8</definedName>
    <definedName name="PM_BitumenBoilerOilFired_200" localSheetId="22">'[2]Plant &amp;  Machinery'!$G$8</definedName>
    <definedName name="PM_BitumenBoilerOilFired_200" localSheetId="17">'[2]Plant &amp;  Machinery'!$G$8</definedName>
    <definedName name="PM_BitumenBoilerOilFired_200" localSheetId="18">'[2]Plant &amp;  Machinery'!$G$8</definedName>
    <definedName name="PM_BitumenBoilerOilFired_200" localSheetId="21">'[2]Plant &amp;  Machinery'!$G$8</definedName>
    <definedName name="PM_BitumenBoilerOilFired_200" localSheetId="26">#REF!</definedName>
    <definedName name="PM_BitumenBoilerOilFired_200" localSheetId="24">'[3]Plant &amp;  Machinery'!$G$8</definedName>
    <definedName name="PM_BitumenBoilerOilFired_200" localSheetId="27">#REF!</definedName>
    <definedName name="PM_BitumenBoilerOilFired_200" localSheetId="15">#REF!</definedName>
    <definedName name="PM_BitumenBoilerOilFired_200" localSheetId="2">#REF!</definedName>
    <definedName name="PM_BitumenBoilerOilFired_200" localSheetId="46">#REF!</definedName>
    <definedName name="PM_BitumenBoilerOilFired_200" localSheetId="37">#REF!</definedName>
    <definedName name="PM_BitumenBoilerOilFired_200" localSheetId="19">'[2]Plant &amp;  Machinery'!$G$8</definedName>
    <definedName name="PM_BitumenBoilerOilFired_200">#REF!</definedName>
    <definedName name="PM_BitumenEmulsionPressureDistributor" localSheetId="33">#REF!</definedName>
    <definedName name="PM_BitumenEmulsionPressureDistributor" localSheetId="23">'[2]Plant &amp;  Machinery'!$G$10</definedName>
    <definedName name="PM_BitumenEmulsionPressureDistributor" localSheetId="22">'[2]Plant &amp;  Machinery'!$G$10</definedName>
    <definedName name="PM_BitumenEmulsionPressureDistributor" localSheetId="17">'[2]Plant &amp;  Machinery'!$G$10</definedName>
    <definedName name="PM_BitumenEmulsionPressureDistributor" localSheetId="18">'[2]Plant &amp;  Machinery'!$G$10</definedName>
    <definedName name="PM_BitumenEmulsionPressureDistributor" localSheetId="21">'[2]Plant &amp;  Machinery'!$G$10</definedName>
    <definedName name="PM_BitumenEmulsionPressureDistributor" localSheetId="26">#REF!</definedName>
    <definedName name="PM_BitumenEmulsionPressureDistributor" localSheetId="24">'[3]Plant &amp;  Machinery'!$G$10</definedName>
    <definedName name="PM_BitumenEmulsionPressureDistributor" localSheetId="27">#REF!</definedName>
    <definedName name="PM_BitumenEmulsionPressureDistributor" localSheetId="15">#REF!</definedName>
    <definedName name="PM_BitumenEmulsionPressureDistributor" localSheetId="2">#REF!</definedName>
    <definedName name="PM_BitumenEmulsionPressureDistributor" localSheetId="46">#REF!</definedName>
    <definedName name="PM_BitumenEmulsionPressureDistributor" localSheetId="37">#REF!</definedName>
    <definedName name="PM_BitumenEmulsionPressureDistributor" localSheetId="19">'[2]Plant &amp;  Machinery'!$G$10</definedName>
    <definedName name="PM_BitumenEmulsionPressureDistributor">#REF!</definedName>
    <definedName name="PM_ConcreteMixer" localSheetId="33">#REF!</definedName>
    <definedName name="PM_ConcreteMixer" localSheetId="23">'[2]Plant &amp;  Machinery'!$G$11</definedName>
    <definedName name="PM_ConcreteMixer" localSheetId="22">'[2]Plant &amp;  Machinery'!$G$11</definedName>
    <definedName name="PM_ConcreteMixer" localSheetId="17">'[2]Plant &amp;  Machinery'!$G$11</definedName>
    <definedName name="PM_ConcreteMixer" localSheetId="18">'[2]Plant &amp;  Machinery'!$G$11</definedName>
    <definedName name="PM_ConcreteMixer" localSheetId="21">'[2]Plant &amp;  Machinery'!$G$11</definedName>
    <definedName name="PM_ConcreteMixer" localSheetId="26">#REF!</definedName>
    <definedName name="PM_ConcreteMixer" localSheetId="24">'[3]Plant &amp;  Machinery'!$G$11</definedName>
    <definedName name="PM_ConcreteMixer" localSheetId="27">#REF!</definedName>
    <definedName name="PM_ConcreteMixer" localSheetId="15">#REF!</definedName>
    <definedName name="PM_ConcreteMixer" localSheetId="2">#REF!</definedName>
    <definedName name="PM_ConcreteMixer" localSheetId="46">#REF!</definedName>
    <definedName name="PM_ConcreteMixer" localSheetId="37">#REF!</definedName>
    <definedName name="PM_ConcreteMixer" localSheetId="19">'[2]Plant &amp;  Machinery'!$G$11</definedName>
    <definedName name="PM_ConcreteMixer">#REF!</definedName>
    <definedName name="PM_Crane" localSheetId="33">#REF!</definedName>
    <definedName name="PM_Crane" localSheetId="23">'[2]Plant &amp;  Machinery'!$G$12</definedName>
    <definedName name="PM_Crane" localSheetId="22">'[2]Plant &amp;  Machinery'!$G$12</definedName>
    <definedName name="PM_Crane" localSheetId="17">'[2]Plant &amp;  Machinery'!$G$12</definedName>
    <definedName name="PM_Crane" localSheetId="18">'[2]Plant &amp;  Machinery'!$G$12</definedName>
    <definedName name="PM_Crane" localSheetId="21">'[2]Plant &amp;  Machinery'!$G$12</definedName>
    <definedName name="PM_Crane" localSheetId="26">#REF!</definedName>
    <definedName name="PM_Crane" localSheetId="24">'[3]Plant &amp;  Machinery'!$G$12</definedName>
    <definedName name="PM_Crane" localSheetId="27">#REF!</definedName>
    <definedName name="PM_Crane" localSheetId="15">#REF!</definedName>
    <definedName name="PM_Crane" localSheetId="2">#REF!</definedName>
    <definedName name="PM_Crane" localSheetId="46">#REF!</definedName>
    <definedName name="PM_Crane" localSheetId="37">#REF!</definedName>
    <definedName name="PM_Crane" localSheetId="19">'[2]Plant &amp;  Machinery'!$G$12</definedName>
    <definedName name="PM_Crane">#REF!</definedName>
    <definedName name="PM_Dozer_D50" localSheetId="33">#REF!</definedName>
    <definedName name="PM_Dozer_D50" localSheetId="23">'[2]Plant &amp;  Machinery'!$G$13</definedName>
    <definedName name="PM_Dozer_D50" localSheetId="22">'[2]Plant &amp;  Machinery'!$G$13</definedName>
    <definedName name="PM_Dozer_D50" localSheetId="17">'[2]Plant &amp;  Machinery'!$G$13</definedName>
    <definedName name="PM_Dozer_D50" localSheetId="18">'[2]Plant &amp;  Machinery'!$G$13</definedName>
    <definedName name="PM_Dozer_D50" localSheetId="21">'[2]Plant &amp;  Machinery'!$G$13</definedName>
    <definedName name="PM_Dozer_D50" localSheetId="26">#REF!</definedName>
    <definedName name="PM_Dozer_D50" localSheetId="24">'[3]Plant &amp;  Machinery'!$G$13</definedName>
    <definedName name="PM_Dozer_D50" localSheetId="27">#REF!</definedName>
    <definedName name="PM_Dozer_D50" localSheetId="15">#REF!</definedName>
    <definedName name="PM_Dozer_D50" localSheetId="2">#REF!</definedName>
    <definedName name="PM_Dozer_D50" localSheetId="46">#REF!</definedName>
    <definedName name="PM_Dozer_D50" localSheetId="37">#REF!</definedName>
    <definedName name="PM_Dozer_D50" localSheetId="19">'[2]Plant &amp;  Machinery'!$G$13</definedName>
    <definedName name="PM_Dozer_D50">#REF!</definedName>
    <definedName name="PM_ElectricGeneratorSet_125" localSheetId="33">#REF!</definedName>
    <definedName name="PM_ElectricGeneratorSet_125" localSheetId="23">'[2]Plant &amp;  Machinery'!$G$15</definedName>
    <definedName name="PM_ElectricGeneratorSet_125" localSheetId="22">'[2]Plant &amp;  Machinery'!$G$15</definedName>
    <definedName name="PM_ElectricGeneratorSet_125" localSheetId="17">'[2]Plant &amp;  Machinery'!$G$15</definedName>
    <definedName name="PM_ElectricGeneratorSet_125" localSheetId="18">'[2]Plant &amp;  Machinery'!$G$15</definedName>
    <definedName name="PM_ElectricGeneratorSet_125" localSheetId="21">'[2]Plant &amp;  Machinery'!$G$15</definedName>
    <definedName name="PM_ElectricGeneratorSet_125" localSheetId="26">#REF!</definedName>
    <definedName name="PM_ElectricGeneratorSet_125" localSheetId="24">'[3]Plant &amp;  Machinery'!$G$15</definedName>
    <definedName name="PM_ElectricGeneratorSet_125" localSheetId="27">#REF!</definedName>
    <definedName name="PM_ElectricGeneratorSet_125" localSheetId="15">#REF!</definedName>
    <definedName name="PM_ElectricGeneratorSet_125" localSheetId="2">#REF!</definedName>
    <definedName name="PM_ElectricGeneratorSet_125" localSheetId="46">#REF!</definedName>
    <definedName name="PM_ElectricGeneratorSet_125" localSheetId="37">#REF!</definedName>
    <definedName name="PM_ElectricGeneratorSet_125" localSheetId="19">'[2]Plant &amp;  Machinery'!$G$15</definedName>
    <definedName name="PM_ElectricGeneratorSet_125">#REF!</definedName>
    <definedName name="PM_FrontEndLoader_1cum" localSheetId="33">#REF!</definedName>
    <definedName name="PM_FrontEndLoader_1cum" localSheetId="23">'[2]Plant &amp;  Machinery'!$G$17</definedName>
    <definedName name="PM_FrontEndLoader_1cum" localSheetId="22">'[2]Plant &amp;  Machinery'!$G$17</definedName>
    <definedName name="PM_FrontEndLoader_1cum" localSheetId="17">'[2]Plant &amp;  Machinery'!$G$17</definedName>
    <definedName name="PM_FrontEndLoader_1cum" localSheetId="18">'[2]Plant &amp;  Machinery'!$G$17</definedName>
    <definedName name="PM_FrontEndLoader_1cum" localSheetId="21">'[2]Plant &amp;  Machinery'!$G$17</definedName>
    <definedName name="PM_FrontEndLoader_1cum" localSheetId="26">#REF!</definedName>
    <definedName name="PM_FrontEndLoader_1cum" localSheetId="24">'[3]Plant &amp;  Machinery'!$G$17</definedName>
    <definedName name="PM_FrontEndLoader_1cum" localSheetId="27">#REF!</definedName>
    <definedName name="PM_FrontEndLoader_1cum" localSheetId="15">#REF!</definedName>
    <definedName name="PM_FrontEndLoader_1cum" localSheetId="2">#REF!</definedName>
    <definedName name="PM_FrontEndLoader_1cum" localSheetId="46">#REF!</definedName>
    <definedName name="PM_FrontEndLoader_1cum" localSheetId="37">#REF!</definedName>
    <definedName name="PM_FrontEndLoader_1cum" localSheetId="19">'[2]Plant &amp;  Machinery'!$G$17</definedName>
    <definedName name="PM_FrontEndLoader_1cum">#REF!</definedName>
    <definedName name="PM_HydraulicBroom" localSheetId="33">#REF!</definedName>
    <definedName name="PM_HydraulicBroom" localSheetId="23">'[2]Plant &amp;  Machinery'!$G$19</definedName>
    <definedName name="PM_HydraulicBroom" localSheetId="22">'[2]Plant &amp;  Machinery'!$G$19</definedName>
    <definedName name="PM_HydraulicBroom" localSheetId="17">'[2]Plant &amp;  Machinery'!$G$19</definedName>
    <definedName name="PM_HydraulicBroom" localSheetId="18">'[2]Plant &amp;  Machinery'!$G$19</definedName>
    <definedName name="PM_HydraulicBroom" localSheetId="21">'[2]Plant &amp;  Machinery'!$G$19</definedName>
    <definedName name="PM_HydraulicBroom" localSheetId="26">#REF!</definedName>
    <definedName name="PM_HydraulicBroom" localSheetId="24">'[3]Plant &amp;  Machinery'!$G$19</definedName>
    <definedName name="PM_HydraulicBroom" localSheetId="27">#REF!</definedName>
    <definedName name="PM_HydraulicBroom" localSheetId="15">#REF!</definedName>
    <definedName name="PM_HydraulicBroom" localSheetId="2">#REF!</definedName>
    <definedName name="PM_HydraulicBroom" localSheetId="46">#REF!</definedName>
    <definedName name="PM_HydraulicBroom" localSheetId="37">#REF!</definedName>
    <definedName name="PM_HydraulicBroom" localSheetId="19">'[2]Plant &amp;  Machinery'!$G$19</definedName>
    <definedName name="PM_HydraulicBroom">#REF!</definedName>
    <definedName name="PM_HydraulicExcavator_09cum" localSheetId="33">#REF!</definedName>
    <definedName name="PM_HydraulicExcavator_09cum" localSheetId="23">'[2]Plant &amp;  Machinery'!$G$20</definedName>
    <definedName name="PM_HydraulicExcavator_09cum" localSheetId="22">'[2]Plant &amp;  Machinery'!$G$20</definedName>
    <definedName name="PM_HydraulicExcavator_09cum" localSheetId="17">'[2]Plant &amp;  Machinery'!$G$20</definedName>
    <definedName name="PM_HydraulicExcavator_09cum" localSheetId="18">'[2]Plant &amp;  Machinery'!$G$20</definedName>
    <definedName name="PM_HydraulicExcavator_09cum" localSheetId="21">'[2]Plant &amp;  Machinery'!$G$20</definedName>
    <definedName name="PM_HydraulicExcavator_09cum" localSheetId="26">#REF!</definedName>
    <definedName name="PM_HydraulicExcavator_09cum" localSheetId="24">'[3]Plant &amp;  Machinery'!$G$20</definedName>
    <definedName name="PM_HydraulicExcavator_09cum" localSheetId="27">#REF!</definedName>
    <definedName name="PM_HydraulicExcavator_09cum" localSheetId="15">#REF!</definedName>
    <definedName name="PM_HydraulicExcavator_09cum" localSheetId="2">#REF!</definedName>
    <definedName name="PM_HydraulicExcavator_09cum" localSheetId="46">#REF!</definedName>
    <definedName name="PM_HydraulicExcavator_09cum" localSheetId="37">#REF!</definedName>
    <definedName name="PM_HydraulicExcavator_09cum" localSheetId="19">'[2]Plant &amp;  Machinery'!$G$20</definedName>
    <definedName name="PM_HydraulicExcavator_09cum">#REF!</definedName>
    <definedName name="PM_HydraulicSelfPropelledChipSpreader" localSheetId="33">#REF!</definedName>
    <definedName name="PM_HydraulicSelfPropelledChipSpreader" localSheetId="23">'[2]Plant &amp;  Machinery'!$G$21</definedName>
    <definedName name="PM_HydraulicSelfPropelledChipSpreader" localSheetId="22">'[2]Plant &amp;  Machinery'!$G$21</definedName>
    <definedName name="PM_HydraulicSelfPropelledChipSpreader" localSheetId="17">'[2]Plant &amp;  Machinery'!$G$21</definedName>
    <definedName name="PM_HydraulicSelfPropelledChipSpreader" localSheetId="18">'[2]Plant &amp;  Machinery'!$G$21</definedName>
    <definedName name="PM_HydraulicSelfPropelledChipSpreader" localSheetId="21">'[2]Plant &amp;  Machinery'!$G$21</definedName>
    <definedName name="PM_HydraulicSelfPropelledChipSpreader" localSheetId="26">#REF!</definedName>
    <definedName name="PM_HydraulicSelfPropelledChipSpreader" localSheetId="24">'[3]Plant &amp;  Machinery'!$G$21</definedName>
    <definedName name="PM_HydraulicSelfPropelledChipSpreader" localSheetId="27">#REF!</definedName>
    <definedName name="PM_HydraulicSelfPropelledChipSpreader" localSheetId="15">#REF!</definedName>
    <definedName name="PM_HydraulicSelfPropelledChipSpreader" localSheetId="2">#REF!</definedName>
    <definedName name="PM_HydraulicSelfPropelledChipSpreader" localSheetId="46">#REF!</definedName>
    <definedName name="PM_HydraulicSelfPropelledChipSpreader" localSheetId="37">#REF!</definedName>
    <definedName name="PM_HydraulicSelfPropelledChipSpreader" localSheetId="19">'[2]Plant &amp;  Machinery'!$G$21</definedName>
    <definedName name="PM_HydraulicSelfPropelledChipSpreader">#REF!</definedName>
    <definedName name="PM_JackHammer" localSheetId="33">#REF!</definedName>
    <definedName name="PM_JackHammer" localSheetId="23">'[2]Plant &amp;  Machinery'!$G$22</definedName>
    <definedName name="PM_JackHammer" localSheetId="22">'[2]Plant &amp;  Machinery'!$G$22</definedName>
    <definedName name="PM_JackHammer" localSheetId="17">'[2]Plant &amp;  Machinery'!$G$22</definedName>
    <definedName name="PM_JackHammer" localSheetId="18">'[2]Plant &amp;  Machinery'!$G$22</definedName>
    <definedName name="PM_JackHammer" localSheetId="21">'[2]Plant &amp;  Machinery'!$G$22</definedName>
    <definedName name="PM_JackHammer" localSheetId="26">#REF!</definedName>
    <definedName name="PM_JackHammer" localSheetId="24">'[3]Plant &amp;  Machinery'!$G$22</definedName>
    <definedName name="PM_JackHammer" localSheetId="27">#REF!</definedName>
    <definedName name="PM_JackHammer" localSheetId="15">#REF!</definedName>
    <definedName name="PM_JackHammer" localSheetId="2">#REF!</definedName>
    <definedName name="PM_JackHammer" localSheetId="46">#REF!</definedName>
    <definedName name="PM_JackHammer" localSheetId="37">#REF!</definedName>
    <definedName name="PM_JackHammer" localSheetId="19">'[2]Plant &amp;  Machinery'!$G$22</definedName>
    <definedName name="PM_JackHammer">#REF!</definedName>
    <definedName name="PM_JointCuttingMachine" localSheetId="33">#REF!</definedName>
    <definedName name="PM_JointCuttingMachine" localSheetId="23">'[2]Plant &amp;  Machinery'!$G$23</definedName>
    <definedName name="PM_JointCuttingMachine" localSheetId="22">'[2]Plant &amp;  Machinery'!$G$23</definedName>
    <definedName name="PM_JointCuttingMachine" localSheetId="17">'[2]Plant &amp;  Machinery'!$G$23</definedName>
    <definedName name="PM_JointCuttingMachine" localSheetId="18">'[2]Plant &amp;  Machinery'!$G$23</definedName>
    <definedName name="PM_JointCuttingMachine" localSheetId="21">'[2]Plant &amp;  Machinery'!$G$23</definedName>
    <definedName name="PM_JointCuttingMachine" localSheetId="26">#REF!</definedName>
    <definedName name="PM_JointCuttingMachine" localSheetId="24">'[3]Plant &amp;  Machinery'!$G$23</definedName>
    <definedName name="PM_JointCuttingMachine" localSheetId="27">#REF!</definedName>
    <definedName name="PM_JointCuttingMachine" localSheetId="15">#REF!</definedName>
    <definedName name="PM_JointCuttingMachine" localSheetId="2">#REF!</definedName>
    <definedName name="PM_JointCuttingMachine" localSheetId="46">#REF!</definedName>
    <definedName name="PM_JointCuttingMachine" localSheetId="37">#REF!</definedName>
    <definedName name="PM_JointCuttingMachine" localSheetId="19">'[2]Plant &amp;  Machinery'!$G$23</definedName>
    <definedName name="PM_JointCuttingMachine">#REF!</definedName>
    <definedName name="PM_Mixall_6_10t" localSheetId="33">#REF!</definedName>
    <definedName name="PM_Mixall_6_10t" localSheetId="23">'[2]Plant &amp;  Machinery'!$G$24</definedName>
    <definedName name="PM_Mixall_6_10t" localSheetId="22">'[2]Plant &amp;  Machinery'!$G$24</definedName>
    <definedName name="PM_Mixall_6_10t" localSheetId="17">'[2]Plant &amp;  Machinery'!$G$24</definedName>
    <definedName name="PM_Mixall_6_10t" localSheetId="18">'[2]Plant &amp;  Machinery'!$G$24</definedName>
    <definedName name="PM_Mixall_6_10t" localSheetId="21">'[2]Plant &amp;  Machinery'!$G$24</definedName>
    <definedName name="PM_Mixall_6_10t" localSheetId="26">#REF!</definedName>
    <definedName name="PM_Mixall_6_10t" localSheetId="24">'[3]Plant &amp;  Machinery'!$G$24</definedName>
    <definedName name="PM_Mixall_6_10t" localSheetId="27">#REF!</definedName>
    <definedName name="PM_Mixall_6_10t" localSheetId="15">#REF!</definedName>
    <definedName name="PM_Mixall_6_10t" localSheetId="2">#REF!</definedName>
    <definedName name="PM_Mixall_6_10t" localSheetId="46">#REF!</definedName>
    <definedName name="PM_Mixall_6_10t" localSheetId="37">#REF!</definedName>
    <definedName name="PM_Mixall_6_10t" localSheetId="19">'[2]Plant &amp;  Machinery'!$G$24</definedName>
    <definedName name="PM_Mixall_6_10t">#REF!</definedName>
    <definedName name="PM_MotorGrader" localSheetId="33">#REF!</definedName>
    <definedName name="PM_MotorGrader" localSheetId="23">'[2]Plant &amp;  Machinery'!$G$25</definedName>
    <definedName name="PM_MotorGrader" localSheetId="22">'[2]Plant &amp;  Machinery'!$G$25</definedName>
    <definedName name="PM_MotorGrader" localSheetId="17">'[2]Plant &amp;  Machinery'!$G$25</definedName>
    <definedName name="PM_MotorGrader" localSheetId="18">'[2]Plant &amp;  Machinery'!$G$25</definedName>
    <definedName name="PM_MotorGrader" localSheetId="21">'[2]Plant &amp;  Machinery'!$G$25</definedName>
    <definedName name="PM_MotorGrader" localSheetId="26">#REF!</definedName>
    <definedName name="PM_MotorGrader" localSheetId="24">'[3]Plant &amp;  Machinery'!$G$25</definedName>
    <definedName name="PM_MotorGrader" localSheetId="27">#REF!</definedName>
    <definedName name="PM_MotorGrader" localSheetId="15">#REF!</definedName>
    <definedName name="PM_MotorGrader" localSheetId="2">#REF!</definedName>
    <definedName name="PM_MotorGrader" localSheetId="46">#REF!</definedName>
    <definedName name="PM_MotorGrader" localSheetId="37">#REF!</definedName>
    <definedName name="PM_MotorGrader" localSheetId="19">'[2]Plant &amp;  Machinery'!$G$25</definedName>
    <definedName name="PM_MotorGrader">#REF!</definedName>
    <definedName name="PM_NeedleVibrator" localSheetId="33">#REF!</definedName>
    <definedName name="PM_NeedleVibrator" localSheetId="23">'[2]Plant &amp;  Machinery'!$G$27</definedName>
    <definedName name="PM_NeedleVibrator" localSheetId="22">'[2]Plant &amp;  Machinery'!$G$27</definedName>
    <definedName name="PM_NeedleVibrator" localSheetId="17">'[2]Plant &amp;  Machinery'!$G$27</definedName>
    <definedName name="PM_NeedleVibrator" localSheetId="18">'[2]Plant &amp;  Machinery'!$G$27</definedName>
    <definedName name="PM_NeedleVibrator" localSheetId="21">'[2]Plant &amp;  Machinery'!$G$27</definedName>
    <definedName name="PM_NeedleVibrator" localSheetId="26">#REF!</definedName>
    <definedName name="PM_NeedleVibrator" localSheetId="24">'[3]Plant &amp;  Machinery'!$G$27</definedName>
    <definedName name="PM_NeedleVibrator" localSheetId="27">#REF!</definedName>
    <definedName name="PM_NeedleVibrator" localSheetId="15">#REF!</definedName>
    <definedName name="PM_NeedleVibrator" localSheetId="2">#REF!</definedName>
    <definedName name="PM_NeedleVibrator" localSheetId="46">#REF!</definedName>
    <definedName name="PM_NeedleVibrator" localSheetId="37">#REF!</definedName>
    <definedName name="PM_NeedleVibrator" localSheetId="19">'[2]Plant &amp;  Machinery'!$G$27</definedName>
    <definedName name="PM_NeedleVibrator">#REF!</definedName>
    <definedName name="PM_PaverFinisher" localSheetId="33">#REF!</definedName>
    <definedName name="PM_PaverFinisher" localSheetId="23">'[2]Plant &amp;  Machinery'!$G$28</definedName>
    <definedName name="PM_PaverFinisher" localSheetId="22">'[2]Plant &amp;  Machinery'!$G$28</definedName>
    <definedName name="PM_PaverFinisher" localSheetId="17">'[2]Plant &amp;  Machinery'!$G$28</definedName>
    <definedName name="PM_PaverFinisher" localSheetId="18">'[2]Plant &amp;  Machinery'!$G$28</definedName>
    <definedName name="PM_PaverFinisher" localSheetId="21">'[2]Plant &amp;  Machinery'!$G$28</definedName>
    <definedName name="PM_PaverFinisher" localSheetId="26">#REF!</definedName>
    <definedName name="PM_PaverFinisher" localSheetId="24">'[3]Plant &amp;  Machinery'!$G$28</definedName>
    <definedName name="PM_PaverFinisher" localSheetId="27">#REF!</definedName>
    <definedName name="PM_PaverFinisher" localSheetId="15">#REF!</definedName>
    <definedName name="PM_PaverFinisher" localSheetId="2">#REF!</definedName>
    <definedName name="PM_PaverFinisher" localSheetId="46">#REF!</definedName>
    <definedName name="PM_PaverFinisher" localSheetId="37">#REF!</definedName>
    <definedName name="PM_PaverFinisher" localSheetId="19">'[2]Plant &amp;  Machinery'!$G$28</definedName>
    <definedName name="PM_PaverFinisher">#REF!</definedName>
    <definedName name="PM_PlateCompactor" localSheetId="33">#REF!</definedName>
    <definedName name="PM_PlateCompactor" localSheetId="23">'[2]Plant &amp;  Machinery'!$G$29</definedName>
    <definedName name="PM_PlateCompactor" localSheetId="22">'[2]Plant &amp;  Machinery'!$G$29</definedName>
    <definedName name="PM_PlateCompactor" localSheetId="17">'[2]Plant &amp;  Machinery'!$G$29</definedName>
    <definedName name="PM_PlateCompactor" localSheetId="18">'[2]Plant &amp;  Machinery'!$G$29</definedName>
    <definedName name="PM_PlateCompactor" localSheetId="21">'[2]Plant &amp;  Machinery'!$G$29</definedName>
    <definedName name="PM_PlateCompactor" localSheetId="26">#REF!</definedName>
    <definedName name="PM_PlateCompactor" localSheetId="24">'[3]Plant &amp;  Machinery'!$G$29</definedName>
    <definedName name="PM_PlateCompactor" localSheetId="27">#REF!</definedName>
    <definedName name="PM_PlateCompactor" localSheetId="15">#REF!</definedName>
    <definedName name="PM_PlateCompactor" localSheetId="2">#REF!</definedName>
    <definedName name="PM_PlateCompactor" localSheetId="46">#REF!</definedName>
    <definedName name="PM_PlateCompactor" localSheetId="37">#REF!</definedName>
    <definedName name="PM_PlateCompactor" localSheetId="19">'[2]Plant &amp;  Machinery'!$G$29</definedName>
    <definedName name="PM_PlateCompactor">#REF!</definedName>
    <definedName name="PM_PlateVibrator" localSheetId="33">#REF!</definedName>
    <definedName name="PM_PlateVibrator" localSheetId="23">'[2]Plant &amp;  Machinery'!$G$30</definedName>
    <definedName name="PM_PlateVibrator" localSheetId="22">'[2]Plant &amp;  Machinery'!$G$30</definedName>
    <definedName name="PM_PlateVibrator" localSheetId="17">'[2]Plant &amp;  Machinery'!$G$30</definedName>
    <definedName name="PM_PlateVibrator" localSheetId="18">'[2]Plant &amp;  Machinery'!$G$30</definedName>
    <definedName name="PM_PlateVibrator" localSheetId="21">'[2]Plant &amp;  Machinery'!$G$30</definedName>
    <definedName name="PM_PlateVibrator" localSheetId="26">#REF!</definedName>
    <definedName name="PM_PlateVibrator" localSheetId="24">'[3]Plant &amp;  Machinery'!$G$30</definedName>
    <definedName name="PM_PlateVibrator" localSheetId="27">#REF!</definedName>
    <definedName name="PM_PlateVibrator" localSheetId="15">#REF!</definedName>
    <definedName name="PM_PlateVibrator" localSheetId="2">#REF!</definedName>
    <definedName name="PM_PlateVibrator" localSheetId="46">#REF!</definedName>
    <definedName name="PM_PlateVibrator" localSheetId="37">#REF!</definedName>
    <definedName name="PM_PlateVibrator" localSheetId="19">'[2]Plant &amp;  Machinery'!$G$30</definedName>
    <definedName name="PM_PlateVibrator">#REF!</definedName>
    <definedName name="PM_ScreedVibrator" localSheetId="33">#REF!</definedName>
    <definedName name="PM_ScreedVibrator" localSheetId="23">'[2]Plant &amp;  Machinery'!$G$31</definedName>
    <definedName name="PM_ScreedVibrator" localSheetId="22">'[2]Plant &amp;  Machinery'!$G$31</definedName>
    <definedName name="PM_ScreedVibrator" localSheetId="17">'[2]Plant &amp;  Machinery'!$G$31</definedName>
    <definedName name="PM_ScreedVibrator" localSheetId="18">'[2]Plant &amp;  Machinery'!$G$31</definedName>
    <definedName name="PM_ScreedVibrator" localSheetId="21">'[2]Plant &amp;  Machinery'!$G$31</definedName>
    <definedName name="PM_ScreedVibrator" localSheetId="26">#REF!</definedName>
    <definedName name="PM_ScreedVibrator" localSheetId="24">'[3]Plant &amp;  Machinery'!$G$31</definedName>
    <definedName name="PM_ScreedVibrator" localSheetId="27">#REF!</definedName>
    <definedName name="PM_ScreedVibrator" localSheetId="15">#REF!</definedName>
    <definedName name="PM_ScreedVibrator" localSheetId="2">#REF!</definedName>
    <definedName name="PM_ScreedVibrator" localSheetId="46">#REF!</definedName>
    <definedName name="PM_ScreedVibrator" localSheetId="37">#REF!</definedName>
    <definedName name="PM_ScreedVibrator" localSheetId="19">'[2]Plant &amp;  Machinery'!$G$31</definedName>
    <definedName name="PM_ScreedVibrator">#REF!</definedName>
    <definedName name="PM_StoneCrusher_200TPH" localSheetId="33">#REF!</definedName>
    <definedName name="PM_StoneCrusher_200TPH" localSheetId="23">'[2]Plant &amp;  Machinery'!$G$33</definedName>
    <definedName name="PM_StoneCrusher_200TPH" localSheetId="22">'[2]Plant &amp;  Machinery'!$G$33</definedName>
    <definedName name="PM_StoneCrusher_200TPH" localSheetId="17">'[2]Plant &amp;  Machinery'!$G$33</definedName>
    <definedName name="PM_StoneCrusher_200TPH" localSheetId="18">'[2]Plant &amp;  Machinery'!$G$33</definedName>
    <definedName name="PM_StoneCrusher_200TPH" localSheetId="21">'[2]Plant &amp;  Machinery'!$G$33</definedName>
    <definedName name="PM_StoneCrusher_200TPH" localSheetId="26">#REF!</definedName>
    <definedName name="PM_StoneCrusher_200TPH" localSheetId="24">'[3]Plant &amp;  Machinery'!$G$33</definedName>
    <definedName name="PM_StoneCrusher_200TPH" localSheetId="27">#REF!</definedName>
    <definedName name="PM_StoneCrusher_200TPH" localSheetId="15">#REF!</definedName>
    <definedName name="PM_StoneCrusher_200TPH" localSheetId="2">#REF!</definedName>
    <definedName name="PM_StoneCrusher_200TPH" localSheetId="46">#REF!</definedName>
    <definedName name="PM_StoneCrusher_200TPH" localSheetId="37">#REF!</definedName>
    <definedName name="PM_StoneCrusher_200TPH" localSheetId="19">'[2]Plant &amp;  Machinery'!$G$33</definedName>
    <definedName name="PM_StoneCrusher_200TPH">#REF!</definedName>
    <definedName name="PM_ThreeWheeled_80_100kN_StaticRoller" localSheetId="33">#REF!</definedName>
    <definedName name="PM_ThreeWheeled_80_100kN_StaticRoller" localSheetId="23">'[2]Plant &amp;  Machinery'!$G$34</definedName>
    <definedName name="PM_ThreeWheeled_80_100kN_StaticRoller" localSheetId="22">'[2]Plant &amp;  Machinery'!$G$34</definedName>
    <definedName name="PM_ThreeWheeled_80_100kN_StaticRoller" localSheetId="17">'[2]Plant &amp;  Machinery'!$G$34</definedName>
    <definedName name="PM_ThreeWheeled_80_100kN_StaticRoller" localSheetId="18">'[2]Plant &amp;  Machinery'!$G$34</definedName>
    <definedName name="PM_ThreeWheeled_80_100kN_StaticRoller" localSheetId="21">'[2]Plant &amp;  Machinery'!$G$34</definedName>
    <definedName name="PM_ThreeWheeled_80_100kN_StaticRoller" localSheetId="26">#REF!</definedName>
    <definedName name="PM_ThreeWheeled_80_100kN_StaticRoller" localSheetId="24">'[3]Plant &amp;  Machinery'!$G$34</definedName>
    <definedName name="PM_ThreeWheeled_80_100kN_StaticRoller" localSheetId="27">#REF!</definedName>
    <definedName name="PM_ThreeWheeled_80_100kN_StaticRoller" localSheetId="15">#REF!</definedName>
    <definedName name="PM_ThreeWheeled_80_100kN_StaticRoller" localSheetId="2">#REF!</definedName>
    <definedName name="PM_ThreeWheeled_80_100kN_StaticRoller" localSheetId="46">#REF!</definedName>
    <definedName name="PM_ThreeWheeled_80_100kN_StaticRoller" localSheetId="37">#REF!</definedName>
    <definedName name="PM_ThreeWheeled_80_100kN_StaticRoller" localSheetId="19">'[2]Plant &amp;  Machinery'!$G$34</definedName>
    <definedName name="PM_ThreeWheeled_80_100kN_StaticRoller">#REF!</definedName>
    <definedName name="PM_Tipper_55" localSheetId="33">#REF!</definedName>
    <definedName name="PM_Tipper_55" localSheetId="23">'[2]Plant &amp;  Machinery'!$G$45</definedName>
    <definedName name="PM_Tipper_55" localSheetId="22">'[2]Plant &amp;  Machinery'!$G$45</definedName>
    <definedName name="PM_Tipper_55" localSheetId="17">'[2]Plant &amp;  Machinery'!$G$45</definedName>
    <definedName name="PM_Tipper_55" localSheetId="18">'[2]Plant &amp;  Machinery'!$G$45</definedName>
    <definedName name="PM_Tipper_55" localSheetId="21">'[2]Plant &amp;  Machinery'!$G$45</definedName>
    <definedName name="PM_Tipper_55" localSheetId="26">#REF!</definedName>
    <definedName name="PM_Tipper_55" localSheetId="24">'[3]Plant &amp;  Machinery'!$G$45</definedName>
    <definedName name="PM_Tipper_55" localSheetId="27">#REF!</definedName>
    <definedName name="PM_Tipper_55" localSheetId="15">#REF!</definedName>
    <definedName name="PM_Tipper_55" localSheetId="2">#REF!</definedName>
    <definedName name="PM_Tipper_55" localSheetId="46">#REF!</definedName>
    <definedName name="PM_Tipper_55" localSheetId="37">#REF!</definedName>
    <definedName name="PM_Tipper_55" localSheetId="19">'[2]Plant &amp;  Machinery'!$G$45</definedName>
    <definedName name="PM_Tipper_55">#REF!</definedName>
    <definedName name="PM_Tractor_DiscHarrows" localSheetId="33">#REF!</definedName>
    <definedName name="PM_Tractor_DiscHarrows" localSheetId="23">'[2]Plant &amp;  Machinery'!$G$46</definedName>
    <definedName name="PM_Tractor_DiscHarrows" localSheetId="22">'[2]Plant &amp;  Machinery'!$G$46</definedName>
    <definedName name="PM_Tractor_DiscHarrows" localSheetId="17">'[2]Plant &amp;  Machinery'!$G$46</definedName>
    <definedName name="PM_Tractor_DiscHarrows" localSheetId="18">'[2]Plant &amp;  Machinery'!$G$46</definedName>
    <definedName name="PM_Tractor_DiscHarrows" localSheetId="21">'[2]Plant &amp;  Machinery'!$G$46</definedName>
    <definedName name="PM_Tractor_DiscHarrows" localSheetId="26">#REF!</definedName>
    <definedName name="PM_Tractor_DiscHarrows" localSheetId="24">'[3]Plant &amp;  Machinery'!$G$46</definedName>
    <definedName name="PM_Tractor_DiscHarrows" localSheetId="27">#REF!</definedName>
    <definedName name="PM_Tractor_DiscHarrows" localSheetId="15">#REF!</definedName>
    <definedName name="PM_Tractor_DiscHarrows" localSheetId="2">#REF!</definedName>
    <definedName name="PM_Tractor_DiscHarrows" localSheetId="46">#REF!</definedName>
    <definedName name="PM_Tractor_DiscHarrows" localSheetId="37">#REF!</definedName>
    <definedName name="PM_Tractor_DiscHarrows" localSheetId="19">'[2]Plant &amp;  Machinery'!$G$46</definedName>
    <definedName name="PM_Tractor_DiscHarrows">#REF!</definedName>
    <definedName name="PM_Tractor_Ripper" localSheetId="33">#REF!</definedName>
    <definedName name="PM_Tractor_Ripper" localSheetId="23">'[2]Plant &amp;  Machinery'!$G$47</definedName>
    <definedName name="PM_Tractor_Ripper" localSheetId="22">'[2]Plant &amp;  Machinery'!$G$47</definedName>
    <definedName name="PM_Tractor_Ripper" localSheetId="17">'[2]Plant &amp;  Machinery'!$G$47</definedName>
    <definedName name="PM_Tractor_Ripper" localSheetId="18">'[2]Plant &amp;  Machinery'!$G$47</definedName>
    <definedName name="PM_Tractor_Ripper" localSheetId="21">'[2]Plant &amp;  Machinery'!$G$47</definedName>
    <definedName name="PM_Tractor_Ripper" localSheetId="26">#REF!</definedName>
    <definedName name="PM_Tractor_Ripper" localSheetId="24">'[3]Plant &amp;  Machinery'!$G$47</definedName>
    <definedName name="PM_Tractor_Ripper" localSheetId="27">#REF!</definedName>
    <definedName name="PM_Tractor_Ripper" localSheetId="15">#REF!</definedName>
    <definedName name="PM_Tractor_Ripper" localSheetId="2">#REF!</definedName>
    <definedName name="PM_Tractor_Ripper" localSheetId="46">#REF!</definedName>
    <definedName name="PM_Tractor_Ripper" localSheetId="37">#REF!</definedName>
    <definedName name="PM_Tractor_Ripper" localSheetId="19">'[2]Plant &amp;  Machinery'!$G$47</definedName>
    <definedName name="PM_Tractor_Ripper">#REF!</definedName>
    <definedName name="PM_Tractor_Rotavator" localSheetId="33">#REF!</definedName>
    <definedName name="PM_Tractor_Rotavator" localSheetId="23">'[2]Plant &amp;  Machinery'!$G$49</definedName>
    <definedName name="PM_Tractor_Rotavator" localSheetId="22">'[2]Plant &amp;  Machinery'!$G$49</definedName>
    <definedName name="PM_Tractor_Rotavator" localSheetId="17">'[2]Plant &amp;  Machinery'!$G$49</definedName>
    <definedName name="PM_Tractor_Rotavator" localSheetId="18">'[2]Plant &amp;  Machinery'!$G$49</definedName>
    <definedName name="PM_Tractor_Rotavator" localSheetId="21">'[2]Plant &amp;  Machinery'!$G$49</definedName>
    <definedName name="PM_Tractor_Rotavator" localSheetId="26">#REF!</definedName>
    <definedName name="PM_Tractor_Rotavator" localSheetId="24">'[3]Plant &amp;  Machinery'!$G$49</definedName>
    <definedName name="PM_Tractor_Rotavator" localSheetId="27">#REF!</definedName>
    <definedName name="PM_Tractor_Rotavator" localSheetId="15">#REF!</definedName>
    <definedName name="PM_Tractor_Rotavator" localSheetId="2">#REF!</definedName>
    <definedName name="PM_Tractor_Rotavator" localSheetId="46">#REF!</definedName>
    <definedName name="PM_Tractor_Rotavator" localSheetId="37">#REF!</definedName>
    <definedName name="PM_Tractor_Rotavator" localSheetId="19">'[2]Plant &amp;  Machinery'!$G$49</definedName>
    <definedName name="PM_Tractor_Rotavator">#REF!</definedName>
    <definedName name="PM_Tractor_Trolley" localSheetId="33">#REF!</definedName>
    <definedName name="PM_Tractor_Trolley" localSheetId="23">'[2]Plant &amp;  Machinery'!$G$48</definedName>
    <definedName name="PM_Tractor_Trolley" localSheetId="22">'[2]Plant &amp;  Machinery'!$G$48</definedName>
    <definedName name="PM_Tractor_Trolley" localSheetId="17">'[2]Plant &amp;  Machinery'!$G$48</definedName>
    <definedName name="PM_Tractor_Trolley" localSheetId="18">'[2]Plant &amp;  Machinery'!$G$48</definedName>
    <definedName name="PM_Tractor_Trolley" localSheetId="21">'[2]Plant &amp;  Machinery'!$G$48</definedName>
    <definedName name="PM_Tractor_Trolley" localSheetId="26">#REF!</definedName>
    <definedName name="PM_Tractor_Trolley" localSheetId="24">'[3]Plant &amp;  Machinery'!$G$48</definedName>
    <definedName name="PM_Tractor_Trolley" localSheetId="27">#REF!</definedName>
    <definedName name="PM_Tractor_Trolley" localSheetId="15">#REF!</definedName>
    <definedName name="PM_Tractor_Trolley" localSheetId="2">#REF!</definedName>
    <definedName name="PM_Tractor_Trolley" localSheetId="46">#REF!</definedName>
    <definedName name="PM_Tractor_Trolley" localSheetId="37">#REF!</definedName>
    <definedName name="PM_Tractor_Trolley" localSheetId="19">'[2]Plant &amp;  Machinery'!$G$48</definedName>
    <definedName name="PM_Tractor_Trolley">#REF!</definedName>
    <definedName name="PM_Truck" localSheetId="33">#REF!</definedName>
    <definedName name="PM_Truck" localSheetId="23">'[2]Plant &amp;  Machinery'!$G$50</definedName>
    <definedName name="PM_Truck" localSheetId="22">'[2]Plant &amp;  Machinery'!$G$50</definedName>
    <definedName name="PM_Truck" localSheetId="17">'[2]Plant &amp;  Machinery'!$G$50</definedName>
    <definedName name="PM_Truck" localSheetId="18">'[2]Plant &amp;  Machinery'!$G$50</definedName>
    <definedName name="PM_Truck" localSheetId="21">'[2]Plant &amp;  Machinery'!$G$50</definedName>
    <definedName name="PM_Truck" localSheetId="26">#REF!</definedName>
    <definedName name="PM_Truck" localSheetId="24">'[3]Plant &amp;  Machinery'!$G$50</definedName>
    <definedName name="PM_Truck" localSheetId="27">#REF!</definedName>
    <definedName name="PM_Truck" localSheetId="15">#REF!</definedName>
    <definedName name="PM_Truck" localSheetId="2">#REF!</definedName>
    <definedName name="PM_Truck" localSheetId="46">#REF!</definedName>
    <definedName name="PM_Truck" localSheetId="37">#REF!</definedName>
    <definedName name="PM_Truck" localSheetId="19">'[2]Plant &amp;  Machinery'!$G$50</definedName>
    <definedName name="PM_Truck">#REF!</definedName>
    <definedName name="PM_VibratoryRoller_80_100kN" localSheetId="33">#REF!</definedName>
    <definedName name="PM_VibratoryRoller_80_100kN" localSheetId="23">'[2]Plant &amp;  Machinery'!$G$51</definedName>
    <definedName name="PM_VibratoryRoller_80_100kN" localSheetId="22">'[2]Plant &amp;  Machinery'!$G$51</definedName>
    <definedName name="PM_VibratoryRoller_80_100kN" localSheetId="17">'[2]Plant &amp;  Machinery'!$G$51</definedName>
    <definedName name="PM_VibratoryRoller_80_100kN" localSheetId="18">'[2]Plant &amp;  Machinery'!$G$51</definedName>
    <definedName name="PM_VibratoryRoller_80_100kN" localSheetId="21">'[2]Plant &amp;  Machinery'!$G$51</definedName>
    <definedName name="PM_VibratoryRoller_80_100kN" localSheetId="26">#REF!</definedName>
    <definedName name="PM_VibratoryRoller_80_100kN" localSheetId="24">'[3]Plant &amp;  Machinery'!$G$51</definedName>
    <definedName name="PM_VibratoryRoller_80_100kN" localSheetId="27">#REF!</definedName>
    <definedName name="PM_VibratoryRoller_80_100kN" localSheetId="15">#REF!</definedName>
    <definedName name="PM_VibratoryRoller_80_100kN" localSheetId="2">#REF!</definedName>
    <definedName name="PM_VibratoryRoller_80_100kN" localSheetId="46">#REF!</definedName>
    <definedName name="PM_VibratoryRoller_80_100kN" localSheetId="37">#REF!</definedName>
    <definedName name="PM_VibratoryRoller_80_100kN" localSheetId="19">'[2]Plant &amp;  Machinery'!$G$51</definedName>
    <definedName name="PM_VibratoryRoller_80_100kN">#REF!</definedName>
    <definedName name="PM_WaterTanker_6kl" localSheetId="33">#REF!</definedName>
    <definedName name="PM_WaterTanker_6kl" localSheetId="23">'[2]Plant &amp;  Machinery'!$G$53</definedName>
    <definedName name="PM_WaterTanker_6kl" localSheetId="22">'[2]Plant &amp;  Machinery'!$G$53</definedName>
    <definedName name="PM_WaterTanker_6kl" localSheetId="17">'[2]Plant &amp;  Machinery'!$G$53</definedName>
    <definedName name="PM_WaterTanker_6kl" localSheetId="18">'[2]Plant &amp;  Machinery'!$G$53</definedName>
    <definedName name="PM_WaterTanker_6kl" localSheetId="21">'[2]Plant &amp;  Machinery'!$G$53</definedName>
    <definedName name="PM_WaterTanker_6kl" localSheetId="26">#REF!</definedName>
    <definedName name="PM_WaterTanker_6kl" localSheetId="24">'[3]Plant &amp;  Machinery'!$G$53</definedName>
    <definedName name="PM_WaterTanker_6kl" localSheetId="27">#REF!</definedName>
    <definedName name="PM_WaterTanker_6kl" localSheetId="15">#REF!</definedName>
    <definedName name="PM_WaterTanker_6kl" localSheetId="2">#REF!</definedName>
    <definedName name="PM_WaterTanker_6kl" localSheetId="46">#REF!</definedName>
    <definedName name="PM_WaterTanker_6kl" localSheetId="37">#REF!</definedName>
    <definedName name="PM_WaterTanker_6kl" localSheetId="19">'[2]Plant &amp;  Machinery'!$G$53</definedName>
    <definedName name="PM_WaterTanker_6kl">#REF!</definedName>
    <definedName name="PM_WetMixPlant_or_PugMill" localSheetId="33">#REF!</definedName>
    <definedName name="PM_WetMixPlant_or_PugMill" localSheetId="23">'[2]Plant &amp;  Machinery'!$G$54</definedName>
    <definedName name="PM_WetMixPlant_or_PugMill" localSheetId="22">'[2]Plant &amp;  Machinery'!$G$54</definedName>
    <definedName name="PM_WetMixPlant_or_PugMill" localSheetId="17">'[2]Plant &amp;  Machinery'!$G$54</definedName>
    <definedName name="PM_WetMixPlant_or_PugMill" localSheetId="18">'[2]Plant &amp;  Machinery'!$G$54</definedName>
    <definedName name="PM_WetMixPlant_or_PugMill" localSheetId="21">'[2]Plant &amp;  Machinery'!$G$54</definedName>
    <definedName name="PM_WetMixPlant_or_PugMill" localSheetId="26">#REF!</definedName>
    <definedName name="PM_WetMixPlant_or_PugMill" localSheetId="24">'[3]Plant &amp;  Machinery'!$G$54</definedName>
    <definedName name="PM_WetMixPlant_or_PugMill" localSheetId="27">#REF!</definedName>
    <definedName name="PM_WetMixPlant_or_PugMill" localSheetId="15">#REF!</definedName>
    <definedName name="PM_WetMixPlant_or_PugMill" localSheetId="2">#REF!</definedName>
    <definedName name="PM_WetMixPlant_or_PugMill" localSheetId="46">#REF!</definedName>
    <definedName name="PM_WetMixPlant_or_PugMill" localSheetId="37">#REF!</definedName>
    <definedName name="PM_WetMixPlant_or_PugMill" localSheetId="19">'[2]Plant &amp;  Machinery'!$G$54</definedName>
    <definedName name="PM_WetMixPlant_or_PugMill">#REF!</definedName>
    <definedName name="_xlnm.Print_Area" localSheetId="36">'ABSTRACT MR'!$A$1:$H$25</definedName>
    <definedName name="_xlnm.Print_Area" localSheetId="41">'ABSTRACT Net Bill'!$A$1:$D$28</definedName>
    <definedName name="_xlnm.Print_Area" localSheetId="28">'ANALYSIS 18-19  MGNREGS'!$A$1:$N$5012</definedName>
    <definedName name="_xlnm.Print_Area" localSheetId="33">'BAR CHART'!$A$1:$T$49</definedName>
    <definedName name="_xlnm.Print_Area" localSheetId="11">'BASIC COST OF MATL'!$A$1:$V$497</definedName>
    <definedName name="_xlnm.Print_Area" localSheetId="32">'BILL FORM 1st RA'!$A$1:$K$207</definedName>
    <definedName name="_xlnm.Print_Area" localSheetId="31">'BILL FORM Blank'!$A$1:$K$205</definedName>
    <definedName name="_xlnm.Print_Area" localSheetId="35">'BILL FORM Running '!$A$1:$K$207</definedName>
    <definedName name="_xlnm.Print_Area" localSheetId="23">BOQ!$A$1:$G$68</definedName>
    <definedName name="_xlnm.Print_Area" localSheetId="22">'BOQ (2)'!$A$1:$G$74</definedName>
    <definedName name="_xlnm.Print_Area" localSheetId="17">'BOQ Cover'!$A$1:$I$41</definedName>
    <definedName name="_xlnm.Print_Area" localSheetId="18">'Cover '!$A$1:$I$41</definedName>
    <definedName name="_xlnm.Print_Area" localSheetId="44">'COVER MGNREGS'!$A$1:$I$44</definedName>
    <definedName name="_xlnm.Print_Area" localSheetId="13">'Detail Estimate'!$A$1:$L$6970</definedName>
    <definedName name="_xlnm.Print_Area" localSheetId="21">DINING!$A$1:$O$426</definedName>
    <definedName name="_xlnm.Print_Area" localSheetId="10">'DRAWING ADDL CLASS ROOM'!$A$1:$JK$174</definedName>
    <definedName name="_xlnm.Print_Area" localSheetId="9">'DRAWING ADDL CLASS ROOM (2)'!$A$1:$JJ$172</definedName>
    <definedName name="_xlnm.Print_Area" localSheetId="8">'DRAWING ADDL CLASS ROOM (3)'!$A$1:$OS$369</definedName>
    <definedName name="_xlnm.Print_Area" localSheetId="6">'DRAWING ADDL CLASS ROOM (4)'!$A$1:$KI$369</definedName>
    <definedName name="_xlnm.Print_Area" localSheetId="29">'DRAWING B WALL'!$A$1:$GP$119</definedName>
    <definedName name="_xlnm.Print_Area" localSheetId="16">'DRAWING CC'!$A$1:$JK$172</definedName>
    <definedName name="_xlnm.Print_Area" localSheetId="14">'DRAWING CC-1'!$A$1:$JK$172</definedName>
    <definedName name="_xlnm.Print_Area" localSheetId="26">'DRAWING CLASS ROOM'!$A$1:$HF$262</definedName>
    <definedName name="_xlnm.Print_Area" localSheetId="24">'Drawing Dining'!$A$1:$HK$272</definedName>
    <definedName name="_xlnm.Print_Area" localSheetId="7">'DRAWING DRAIN'!$A$1:$HK$156</definedName>
    <definedName name="_xlnm.Print_Area" localSheetId="5">'DRAWING DRAIN (2)'!$A$1:$DX$151</definedName>
    <definedName name="_xlnm.Print_Area" localSheetId="27">'DRAWING HALL'!$A$1:$JI$172</definedName>
    <definedName name="_xlnm.Print_Area" localSheetId="15">'DRAWING Mission Shakti Bldg'!$A$1:$JJ$172</definedName>
    <definedName name="_xlnm.Print_Area" localSheetId="2">'Drawing-1 (3)'!$A$1:$HL$455</definedName>
    <definedName name="_xlnm.Print_Area" localSheetId="43">'EST Dug Well 6''-0"'!$A$1:$M$70</definedName>
    <definedName name="_xlnm.Print_Area" localSheetId="42">'ESTIMATE-F'!$A$1:$V$604</definedName>
    <definedName name="_xlnm.Print_Area" localSheetId="46">'GENERAL ABSTRACT NREGA'!$A$1:$J$50</definedName>
    <definedName name="_xlnm.Print_Area" localSheetId="39">'Gross Bill Statement'!$A$1:$J$42</definedName>
    <definedName name="_xlnm.Print_Area" localSheetId="12">'HIRE CHG OF MECH.'!$A$1:$M$164</definedName>
    <definedName name="_xlnm.Print_Area" localSheetId="20">'Lead &amp; ANALYSIS'!$A$1:$M$6524</definedName>
    <definedName name="_xlnm.Print_Area" localSheetId="0">'LEAD OF MATL.'!$A$1:$F$207</definedName>
    <definedName name="_xlnm.Print_Area" localSheetId="37">'Mate Payment'!$A$1:$K$26</definedName>
    <definedName name="_xlnm.Print_Area" localSheetId="40">'ODMT MGNREGA'!$A$1:$L$74</definedName>
    <definedName name="_xlnm.Print_Area" localSheetId="19">'Report '!$A$1:$F$44</definedName>
    <definedName name="_xlnm.Print_Area" localSheetId="25">'Rod design'!$A$1:$BK$84</definedName>
    <definedName name="_xlnm.Print_Area" localSheetId="45">'Splitup Est Convergence'!$A$1:$O$52</definedName>
    <definedName name="_xlnm.Print_Area" localSheetId="3">'Transperency Board NREGS (2)'!$A$1:$R$155</definedName>
    <definedName name="_xlnm.Print_Area" localSheetId="38">'Vendor &amp; Labour Statement'!$A$1:$J$40</definedName>
    <definedName name="_xlnm.Print_Titles" localSheetId="13">'Detail Estimate'!$2:$4</definedName>
    <definedName name="s" localSheetId="23">[1]Labour!$D$17</definedName>
    <definedName name="s" localSheetId="22">[1]Labour!$D$17</definedName>
    <definedName name="s" localSheetId="17">[1]Labour!$D$17</definedName>
    <definedName name="s" localSheetId="18">[1]Labour!$D$17</definedName>
    <definedName name="s" localSheetId="21">[1]Labour!$D$17</definedName>
    <definedName name="s" localSheetId="24">[1]Labour!$D$17</definedName>
    <definedName name="s" localSheetId="19">[1]Labour!$D$17</definedName>
    <definedName name="s">#REF!</definedName>
    <definedName name="x" localSheetId="23">[1]Labour!$D$10</definedName>
    <definedName name="x" localSheetId="22">[1]Labour!$D$10</definedName>
    <definedName name="x" localSheetId="17">[1]Labour!$D$10</definedName>
    <definedName name="x" localSheetId="18">[1]Labour!$D$10</definedName>
    <definedName name="x" localSheetId="21">[1]Labour!$D$10</definedName>
    <definedName name="x" localSheetId="24">[1]Labour!$D$10</definedName>
    <definedName name="x" localSheetId="19">[1]Labour!$D$10</definedName>
    <definedName name="x">#REF!</definedName>
    <definedName name="z" localSheetId="23">[1]Labour!$D$6</definedName>
    <definedName name="z" localSheetId="22">[1]Labour!$D$6</definedName>
    <definedName name="z" localSheetId="17">[1]Labour!$D$6</definedName>
    <definedName name="z" localSheetId="18">[1]Labour!$D$6</definedName>
    <definedName name="z" localSheetId="21">[1]Labour!$D$6</definedName>
    <definedName name="z" localSheetId="24">[1]Labour!$D$6</definedName>
    <definedName name="z" localSheetId="19">[1]Labour!$D$6</definedName>
    <definedName name="z">#REF!</definedName>
  </definedNames>
  <calcPr calcId="162913"/>
</workbook>
</file>

<file path=xl/calcChain.xml><?xml version="1.0" encoding="utf-8"?>
<calcChain xmlns="http://schemas.openxmlformats.org/spreadsheetml/2006/main">
  <c r="G43" i="115"/>
  <c r="F41"/>
  <c r="E41"/>
  <c r="G41" s="1"/>
  <c r="D41"/>
  <c r="B41"/>
  <c r="F40"/>
  <c r="E40"/>
  <c r="G40" s="1"/>
  <c r="D40"/>
  <c r="B40"/>
  <c r="F39"/>
  <c r="E39"/>
  <c r="G39" s="1"/>
  <c r="D39"/>
  <c r="B39"/>
  <c r="F38"/>
  <c r="E38"/>
  <c r="G38" s="1"/>
  <c r="D38"/>
  <c r="B38"/>
  <c r="F37"/>
  <c r="E37"/>
  <c r="G37" s="1"/>
  <c r="B37"/>
  <c r="G36"/>
  <c r="B36"/>
  <c r="G35"/>
  <c r="B35"/>
  <c r="G34"/>
  <c r="D34"/>
  <c r="B34"/>
  <c r="B33"/>
  <c r="G32"/>
  <c r="B32"/>
  <c r="G31"/>
  <c r="D31"/>
  <c r="D30" s="1"/>
  <c r="D32" s="1"/>
  <c r="D33" s="1"/>
  <c r="B31"/>
  <c r="B30"/>
  <c r="G29"/>
  <c r="B29"/>
  <c r="G28"/>
  <c r="D28"/>
  <c r="D29" s="1"/>
  <c r="D35" s="1"/>
  <c r="D37" s="1"/>
  <c r="B28"/>
  <c r="D27"/>
  <c r="B27"/>
  <c r="G24"/>
  <c r="D24"/>
  <c r="B24"/>
  <c r="G23"/>
  <c r="D23"/>
  <c r="B23"/>
  <c r="G22"/>
  <c r="D22"/>
  <c r="B22"/>
  <c r="G21"/>
  <c r="D21"/>
  <c r="B21"/>
  <c r="D20"/>
  <c r="B19"/>
  <c r="D16"/>
  <c r="D15"/>
  <c r="G14"/>
  <c r="D14"/>
  <c r="D13"/>
  <c r="G12"/>
  <c r="B11"/>
  <c r="G10"/>
  <c r="D10"/>
  <c r="D18" s="1"/>
  <c r="E9"/>
  <c r="G9" s="1"/>
  <c r="D7"/>
  <c r="C2"/>
  <c r="B11" i="110"/>
  <c r="B19"/>
  <c r="G35"/>
  <c r="G36"/>
  <c r="B36"/>
  <c r="B33"/>
  <c r="B24"/>
  <c r="B23"/>
  <c r="D23"/>
  <c r="G23"/>
  <c r="CF106" i="112"/>
  <c r="BC84"/>
  <c r="AD77" s="1"/>
  <c r="AF132" s="1"/>
  <c r="CF34"/>
  <c r="AD10"/>
  <c r="AA60" s="1"/>
  <c r="EW361" i="111"/>
  <c r="G361"/>
  <c r="EW358"/>
  <c r="CB358"/>
  <c r="G358"/>
  <c r="HR302"/>
  <c r="IS251"/>
  <c r="JG221"/>
  <c r="HY219" s="1"/>
  <c r="JF216"/>
  <c r="JF213"/>
  <c r="IZ206"/>
  <c r="IL225" s="1"/>
  <c r="IS206"/>
  <c r="HJ136"/>
  <c r="IK85"/>
  <c r="JN57"/>
  <c r="IH45"/>
  <c r="JN42"/>
  <c r="JM19"/>
  <c r="HO21" s="1"/>
  <c r="M361" i="106"/>
  <c r="M239"/>
  <c r="E115"/>
  <c r="M115" s="1"/>
  <c r="E76"/>
  <c r="M76" s="1"/>
  <c r="E70"/>
  <c r="E66"/>
  <c r="E19"/>
  <c r="E33" s="1"/>
  <c r="E254"/>
  <c r="M254" s="1"/>
  <c r="E252"/>
  <c r="M252" s="1"/>
  <c r="E180"/>
  <c r="M180" s="1"/>
  <c r="E197"/>
  <c r="E114"/>
  <c r="M114" s="1"/>
  <c r="E75"/>
  <c r="E69"/>
  <c r="E65"/>
  <c r="E18"/>
  <c r="M18" s="1"/>
  <c r="G225"/>
  <c r="F41" i="110"/>
  <c r="E41"/>
  <c r="G41" s="1"/>
  <c r="D41"/>
  <c r="B41"/>
  <c r="F40"/>
  <c r="E40"/>
  <c r="G40" s="1"/>
  <c r="D40"/>
  <c r="B40"/>
  <c r="F39"/>
  <c r="E39"/>
  <c r="G39" s="1"/>
  <c r="D39"/>
  <c r="B39"/>
  <c r="F38"/>
  <c r="E38"/>
  <c r="G38" s="1"/>
  <c r="D38"/>
  <c r="B38"/>
  <c r="F37"/>
  <c r="E37"/>
  <c r="G37" s="1"/>
  <c r="B37"/>
  <c r="B35"/>
  <c r="B29"/>
  <c r="D28"/>
  <c r="D29" s="1"/>
  <c r="D35" s="1"/>
  <c r="D37" s="1"/>
  <c r="B28"/>
  <c r="B32"/>
  <c r="B30"/>
  <c r="G31"/>
  <c r="D31"/>
  <c r="D30" s="1"/>
  <c r="D32" s="1"/>
  <c r="D33" s="1"/>
  <c r="B31"/>
  <c r="D34"/>
  <c r="B34"/>
  <c r="G21"/>
  <c r="D21"/>
  <c r="B21"/>
  <c r="D27"/>
  <c r="B27"/>
  <c r="D24"/>
  <c r="D22"/>
  <c r="B22"/>
  <c r="D20"/>
  <c r="D16"/>
  <c r="D15"/>
  <c r="D14"/>
  <c r="D13"/>
  <c r="D10"/>
  <c r="D18" s="1"/>
  <c r="E9"/>
  <c r="G9" s="1"/>
  <c r="D7"/>
  <c r="CN184" i="109"/>
  <c r="BF184"/>
  <c r="BF103"/>
  <c r="CN103" s="1"/>
  <c r="C44" i="108"/>
  <c r="A44"/>
  <c r="E44" s="1"/>
  <c r="B43"/>
  <c r="E35" i="107"/>
  <c r="E32"/>
  <c r="E23"/>
  <c r="G395" i="106"/>
  <c r="O395" s="1"/>
  <c r="B394"/>
  <c r="B393"/>
  <c r="G391"/>
  <c r="O391" s="1"/>
  <c r="G389"/>
  <c r="O389" s="1"/>
  <c r="N388"/>
  <c r="D389" s="1"/>
  <c r="I386"/>
  <c r="G386"/>
  <c r="O386" s="1"/>
  <c r="D386"/>
  <c r="G384"/>
  <c r="M383"/>
  <c r="C384" s="1"/>
  <c r="G379"/>
  <c r="M378"/>
  <c r="C379" s="1"/>
  <c r="G370"/>
  <c r="O370" s="1"/>
  <c r="M368"/>
  <c r="M369" s="1"/>
  <c r="E354"/>
  <c r="M354" s="1"/>
  <c r="E353"/>
  <c r="M353" s="1"/>
  <c r="M352"/>
  <c r="M351"/>
  <c r="M350"/>
  <c r="M344"/>
  <c r="M343"/>
  <c r="M342"/>
  <c r="M341"/>
  <c r="B332"/>
  <c r="B325"/>
  <c r="G323"/>
  <c r="E321"/>
  <c r="M321" s="1"/>
  <c r="N320"/>
  <c r="N318" s="1"/>
  <c r="N319" s="1"/>
  <c r="M319"/>
  <c r="M318"/>
  <c r="M312"/>
  <c r="E311"/>
  <c r="M311" s="1"/>
  <c r="M310"/>
  <c r="M308"/>
  <c r="M307"/>
  <c r="M306"/>
  <c r="M305"/>
  <c r="G302"/>
  <c r="M300"/>
  <c r="M301" s="1"/>
  <c r="C302" s="1"/>
  <c r="B299"/>
  <c r="M295"/>
  <c r="M294"/>
  <c r="M293"/>
  <c r="N292"/>
  <c r="N294" s="1"/>
  <c r="M292"/>
  <c r="M291"/>
  <c r="M290"/>
  <c r="N289"/>
  <c r="N291" s="1"/>
  <c r="N293" s="1"/>
  <c r="N295" s="1"/>
  <c r="M289"/>
  <c r="N288"/>
  <c r="N290" s="1"/>
  <c r="M288"/>
  <c r="B287"/>
  <c r="G285"/>
  <c r="M283"/>
  <c r="M282"/>
  <c r="E281"/>
  <c r="M281" s="1"/>
  <c r="E280"/>
  <c r="M280" s="1"/>
  <c r="E279"/>
  <c r="M279" s="1"/>
  <c r="E278"/>
  <c r="M278" s="1"/>
  <c r="G277"/>
  <c r="E277"/>
  <c r="G276"/>
  <c r="E276"/>
  <c r="M275"/>
  <c r="M274"/>
  <c r="M273"/>
  <c r="M272"/>
  <c r="N266"/>
  <c r="M266"/>
  <c r="N265"/>
  <c r="M265"/>
  <c r="N264"/>
  <c r="M264"/>
  <c r="N263"/>
  <c r="M263"/>
  <c r="N262"/>
  <c r="M262"/>
  <c r="N261"/>
  <c r="M261"/>
  <c r="M258"/>
  <c r="M257"/>
  <c r="M256"/>
  <c r="M255"/>
  <c r="M253"/>
  <c r="M251"/>
  <c r="M250"/>
  <c r="N244"/>
  <c r="M244"/>
  <c r="N243"/>
  <c r="M243"/>
  <c r="N242"/>
  <c r="M242"/>
  <c r="M238"/>
  <c r="M237"/>
  <c r="M236"/>
  <c r="N231"/>
  <c r="E231"/>
  <c r="M231" s="1"/>
  <c r="N230"/>
  <c r="M230"/>
  <c r="N229"/>
  <c r="M229"/>
  <c r="N228"/>
  <c r="M228"/>
  <c r="M223"/>
  <c r="M222"/>
  <c r="M221"/>
  <c r="M220"/>
  <c r="M212"/>
  <c r="M213" s="1"/>
  <c r="M214" s="1"/>
  <c r="M215" s="1"/>
  <c r="M208"/>
  <c r="M209" s="1"/>
  <c r="M204"/>
  <c r="M203"/>
  <c r="G199"/>
  <c r="O199" s="1"/>
  <c r="G197"/>
  <c r="T193"/>
  <c r="M181"/>
  <c r="M175"/>
  <c r="M176" s="1"/>
  <c r="M170"/>
  <c r="M169"/>
  <c r="M166"/>
  <c r="M165"/>
  <c r="N164"/>
  <c r="N165" s="1"/>
  <c r="N170" s="1"/>
  <c r="M164"/>
  <c r="N163"/>
  <c r="N162"/>
  <c r="M157"/>
  <c r="M156"/>
  <c r="M155"/>
  <c r="C152"/>
  <c r="M152" s="1"/>
  <c r="C151"/>
  <c r="M151" s="1"/>
  <c r="M150"/>
  <c r="M149"/>
  <c r="M144"/>
  <c r="M143"/>
  <c r="P140"/>
  <c r="C137"/>
  <c r="M137" s="1"/>
  <c r="N136"/>
  <c r="M136"/>
  <c r="B133"/>
  <c r="M128"/>
  <c r="M127"/>
  <c r="M126"/>
  <c r="M125"/>
  <c r="M124"/>
  <c r="M123"/>
  <c r="M122"/>
  <c r="M116"/>
  <c r="M108"/>
  <c r="N107"/>
  <c r="N116" s="1"/>
  <c r="M107"/>
  <c r="N106"/>
  <c r="N115" s="1"/>
  <c r="I106"/>
  <c r="M105"/>
  <c r="N104"/>
  <c r="N114" s="1"/>
  <c r="S103"/>
  <c r="M100"/>
  <c r="M99"/>
  <c r="N97"/>
  <c r="N98" s="1"/>
  <c r="G97"/>
  <c r="E97"/>
  <c r="E98" s="1"/>
  <c r="M98" s="1"/>
  <c r="E95"/>
  <c r="E94"/>
  <c r="M94" s="1"/>
  <c r="N92"/>
  <c r="G92"/>
  <c r="G93" s="1"/>
  <c r="G91"/>
  <c r="F91"/>
  <c r="E91"/>
  <c r="C91"/>
  <c r="I84"/>
  <c r="M84" s="1"/>
  <c r="M83"/>
  <c r="M82"/>
  <c r="E79"/>
  <c r="M79" s="1"/>
  <c r="I78"/>
  <c r="E78"/>
  <c r="E77"/>
  <c r="N75"/>
  <c r="N76" s="1"/>
  <c r="E73"/>
  <c r="M73" s="1"/>
  <c r="E72"/>
  <c r="M72" s="1"/>
  <c r="E71"/>
  <c r="C71"/>
  <c r="C77" s="1"/>
  <c r="C65"/>
  <c r="C92" s="1"/>
  <c r="B63"/>
  <c r="M55"/>
  <c r="G54"/>
  <c r="M54" s="1"/>
  <c r="M53"/>
  <c r="M52"/>
  <c r="G50"/>
  <c r="G49"/>
  <c r="G95" s="1"/>
  <c r="B49"/>
  <c r="G48"/>
  <c r="G47"/>
  <c r="B47"/>
  <c r="B48" s="1"/>
  <c r="N46"/>
  <c r="N51" s="1"/>
  <c r="G46"/>
  <c r="B46"/>
  <c r="N45"/>
  <c r="N50" s="1"/>
  <c r="N56" s="1"/>
  <c r="G45"/>
  <c r="E45"/>
  <c r="C45"/>
  <c r="C58" s="1"/>
  <c r="M58" s="1"/>
  <c r="M59" s="1"/>
  <c r="B45"/>
  <c r="G42"/>
  <c r="C39"/>
  <c r="M39" s="1"/>
  <c r="M40" s="1"/>
  <c r="C36"/>
  <c r="C35"/>
  <c r="C49" s="1"/>
  <c r="B35"/>
  <c r="C34"/>
  <c r="C33"/>
  <c r="C47" s="1"/>
  <c r="C32"/>
  <c r="M31"/>
  <c r="C25"/>
  <c r="M25" s="1"/>
  <c r="M26" s="1"/>
  <c r="E22"/>
  <c r="M22" s="1"/>
  <c r="E21"/>
  <c r="E49" s="1"/>
  <c r="E20"/>
  <c r="M20" s="1"/>
  <c r="M17"/>
  <c r="G13"/>
  <c r="G12"/>
  <c r="G11"/>
  <c r="G14" s="1"/>
  <c r="D3"/>
  <c r="H3784" i="18"/>
  <c r="K462" i="37"/>
  <c r="K463" s="1"/>
  <c r="K464" s="1"/>
  <c r="K465" s="1"/>
  <c r="K466" s="1"/>
  <c r="K467" s="1"/>
  <c r="K468" s="1"/>
  <c r="K469" s="1"/>
  <c r="K470" s="1"/>
  <c r="K471" s="1"/>
  <c r="K472" s="1"/>
  <c r="K473" s="1"/>
  <c r="K474" s="1"/>
  <c r="K475" s="1"/>
  <c r="K476" s="1"/>
  <c r="K477" s="1"/>
  <c r="K478" s="1"/>
  <c r="K479" s="1"/>
  <c r="K481" s="1"/>
  <c r="K482" s="1"/>
  <c r="K483" s="1"/>
  <c r="K442"/>
  <c r="K443" s="1"/>
  <c r="K444" s="1"/>
  <c r="K445" s="1"/>
  <c r="K446" s="1"/>
  <c r="K447" s="1"/>
  <c r="K448" s="1"/>
  <c r="K449" s="1"/>
  <c r="K450" s="1"/>
  <c r="K451" s="1"/>
  <c r="K452" s="1"/>
  <c r="K453" s="1"/>
  <c r="K454" s="1"/>
  <c r="K455" s="1"/>
  <c r="K456" s="1"/>
  <c r="K457" s="1"/>
  <c r="K458" s="1"/>
  <c r="K459" s="1"/>
  <c r="K484" s="1"/>
  <c r="K422"/>
  <c r="K423" s="1"/>
  <c r="K424" s="1"/>
  <c r="K425" s="1"/>
  <c r="K426" s="1"/>
  <c r="K427" s="1"/>
  <c r="K428" s="1"/>
  <c r="K429" s="1"/>
  <c r="K430" s="1"/>
  <c r="K431" s="1"/>
  <c r="K432" s="1"/>
  <c r="K433" s="1"/>
  <c r="K434" s="1"/>
  <c r="K435" s="1"/>
  <c r="K436" s="1"/>
  <c r="K437" s="1"/>
  <c r="K438" s="1"/>
  <c r="K439" s="1"/>
  <c r="K418"/>
  <c r="K419" s="1"/>
  <c r="K417"/>
  <c r="M240" i="106" l="1"/>
  <c r="M245"/>
  <c r="M78"/>
  <c r="M33"/>
  <c r="M77"/>
  <c r="I389"/>
  <c r="M95"/>
  <c r="N100"/>
  <c r="N166"/>
  <c r="N169" s="1"/>
  <c r="N99"/>
  <c r="M97"/>
  <c r="M171"/>
  <c r="M205"/>
  <c r="M206" s="1"/>
  <c r="M216" s="1"/>
  <c r="O217" s="1"/>
  <c r="O302"/>
  <c r="M246"/>
  <c r="C247" s="1"/>
  <c r="O379"/>
  <c r="M49"/>
  <c r="E34"/>
  <c r="M34" s="1"/>
  <c r="E67"/>
  <c r="M67" s="1"/>
  <c r="E117"/>
  <c r="M117" s="1"/>
  <c r="M118" s="1"/>
  <c r="E120"/>
  <c r="C69"/>
  <c r="M69" s="1"/>
  <c r="N77"/>
  <c r="N78" s="1"/>
  <c r="N79" s="1"/>
  <c r="N91" s="1"/>
  <c r="N94" s="1"/>
  <c r="M267"/>
  <c r="M345"/>
  <c r="C346" s="1"/>
  <c r="E47"/>
  <c r="E93" s="1"/>
  <c r="M93" s="1"/>
  <c r="M320"/>
  <c r="M322" s="1"/>
  <c r="C323" s="1"/>
  <c r="O323" s="1"/>
  <c r="E36"/>
  <c r="M36" s="1"/>
  <c r="M45"/>
  <c r="M71"/>
  <c r="N47"/>
  <c r="M19"/>
  <c r="E48"/>
  <c r="M85"/>
  <c r="M182"/>
  <c r="C183" s="1"/>
  <c r="M276"/>
  <c r="M224"/>
  <c r="C225" s="1"/>
  <c r="O225" s="1"/>
  <c r="M309"/>
  <c r="M296"/>
  <c r="C297" s="1"/>
  <c r="M232"/>
  <c r="M333" s="1"/>
  <c r="O384"/>
  <c r="C66"/>
  <c r="C48"/>
  <c r="M197"/>
  <c r="M198" s="1"/>
  <c r="M313"/>
  <c r="M259"/>
  <c r="C104"/>
  <c r="M91"/>
  <c r="M21"/>
  <c r="C75"/>
  <c r="M75" s="1"/>
  <c r="M65"/>
  <c r="C177"/>
  <c r="C190"/>
  <c r="M190" s="1"/>
  <c r="E35"/>
  <c r="M35" s="1"/>
  <c r="E50"/>
  <c r="M50" s="1"/>
  <c r="M355"/>
  <c r="M138"/>
  <c r="E46"/>
  <c r="E32"/>
  <c r="M32" s="1"/>
  <c r="N142"/>
  <c r="N137"/>
  <c r="M277"/>
  <c r="N394"/>
  <c r="N390"/>
  <c r="Q6882" i="18"/>
  <c r="S6882" s="1"/>
  <c r="H4016"/>
  <c r="H3883"/>
  <c r="E3878"/>
  <c r="E3240"/>
  <c r="H3239"/>
  <c r="H3238"/>
  <c r="G3163"/>
  <c r="G3162"/>
  <c r="G3161"/>
  <c r="E3029"/>
  <c r="D3029"/>
  <c r="D3028"/>
  <c r="D3027"/>
  <c r="D3026"/>
  <c r="E3028"/>
  <c r="D1436"/>
  <c r="D1437"/>
  <c r="D1407"/>
  <c r="D1406"/>
  <c r="D1404"/>
  <c r="F1359"/>
  <c r="E1359"/>
  <c r="E1358"/>
  <c r="G1166"/>
  <c r="F1166"/>
  <c r="G1157"/>
  <c r="F1157"/>
  <c r="E1157"/>
  <c r="E1166" s="1"/>
  <c r="E1156"/>
  <c r="E1165" s="1"/>
  <c r="G1151"/>
  <c r="F1151"/>
  <c r="B870"/>
  <c r="B909" s="1"/>
  <c r="D749"/>
  <c r="D871" s="1"/>
  <c r="D910" s="1"/>
  <c r="D1151" s="1"/>
  <c r="D748"/>
  <c r="D870" s="1"/>
  <c r="D909" s="1"/>
  <c r="D1150" s="1"/>
  <c r="D746"/>
  <c r="D745"/>
  <c r="M284" i="106" l="1"/>
  <c r="C285" s="1"/>
  <c r="O285" s="1"/>
  <c r="M23"/>
  <c r="M27" s="1"/>
  <c r="C28" s="1"/>
  <c r="N95"/>
  <c r="M334"/>
  <c r="M349" s="1"/>
  <c r="M356" s="1"/>
  <c r="C357" s="1"/>
  <c r="G22" i="110"/>
  <c r="N49" i="106"/>
  <c r="N48"/>
  <c r="N53" s="1"/>
  <c r="N52"/>
  <c r="N93"/>
  <c r="E121"/>
  <c r="M121" s="1"/>
  <c r="E142"/>
  <c r="M120"/>
  <c r="M37"/>
  <c r="M41" s="1"/>
  <c r="C42" s="1"/>
  <c r="O42" s="1"/>
  <c r="C191"/>
  <c r="M191" s="1"/>
  <c r="M48"/>
  <c r="C233"/>
  <c r="M326"/>
  <c r="M268"/>
  <c r="M327" s="1"/>
  <c r="M47"/>
  <c r="M314"/>
  <c r="C315" s="1"/>
  <c r="C187"/>
  <c r="M187" s="1"/>
  <c r="C139"/>
  <c r="N149"/>
  <c r="N155" s="1"/>
  <c r="N143"/>
  <c r="C106"/>
  <c r="M106" s="1"/>
  <c r="M104"/>
  <c r="I391"/>
  <c r="D391"/>
  <c r="M46"/>
  <c r="E92"/>
  <c r="M92" s="1"/>
  <c r="M101" s="1"/>
  <c r="M66"/>
  <c r="C70"/>
  <c r="M70" s="1"/>
  <c r="I395"/>
  <c r="D395"/>
  <c r="H1151" i="18"/>
  <c r="D1157"/>
  <c r="H910"/>
  <c r="H870"/>
  <c r="H871"/>
  <c r="H3396"/>
  <c r="H3397"/>
  <c r="H3398"/>
  <c r="H3399"/>
  <c r="H3400"/>
  <c r="H3395"/>
  <c r="M129" i="106" l="1"/>
  <c r="M130" s="1"/>
  <c r="C131" s="1"/>
  <c r="C269"/>
  <c r="M329"/>
  <c r="C330" s="1"/>
  <c r="M142"/>
  <c r="M145" s="1"/>
  <c r="C146" s="1"/>
  <c r="E154"/>
  <c r="M56"/>
  <c r="M60" s="1"/>
  <c r="C61" s="1"/>
  <c r="N55"/>
  <c r="N54"/>
  <c r="M80"/>
  <c r="M86" s="1"/>
  <c r="C87" s="1"/>
  <c r="N144"/>
  <c r="N151" s="1"/>
  <c r="N156" s="1"/>
  <c r="N157" s="1"/>
  <c r="N150"/>
  <c r="N145"/>
  <c r="M102"/>
  <c r="M360"/>
  <c r="M362" s="1"/>
  <c r="M364" s="1"/>
  <c r="C365" s="1"/>
  <c r="M335"/>
  <c r="M337" s="1"/>
  <c r="C338" s="1"/>
  <c r="M109"/>
  <c r="H1157" i="18"/>
  <c r="D1166"/>
  <c r="H749"/>
  <c r="H909"/>
  <c r="E162" i="106" l="1"/>
  <c r="M154"/>
  <c r="M158" s="1"/>
  <c r="M159" s="1"/>
  <c r="M110"/>
  <c r="C111" s="1"/>
  <c r="N152"/>
  <c r="N154"/>
  <c r="D1359" i="18"/>
  <c r="H1166"/>
  <c r="H4014"/>
  <c r="F3274"/>
  <c r="F3275"/>
  <c r="F3276"/>
  <c r="F3271"/>
  <c r="E3271"/>
  <c r="E3173"/>
  <c r="G3173"/>
  <c r="H3173" s="1"/>
  <c r="E3172"/>
  <c r="H3172" s="1"/>
  <c r="H3169"/>
  <c r="H3168"/>
  <c r="B1406"/>
  <c r="B1404"/>
  <c r="E1373"/>
  <c r="E1404" s="1"/>
  <c r="D1374"/>
  <c r="D1373"/>
  <c r="H1180"/>
  <c r="E1169"/>
  <c r="D1171"/>
  <c r="D1170"/>
  <c r="D1169"/>
  <c r="D1156"/>
  <c r="D1165" s="1"/>
  <c r="H1150"/>
  <c r="G1160"/>
  <c r="G1161" s="1"/>
  <c r="F1160"/>
  <c r="F1161" s="1"/>
  <c r="E1161" s="1"/>
  <c r="E1159"/>
  <c r="G1154"/>
  <c r="G1155" s="1"/>
  <c r="F1154"/>
  <c r="F1155" s="1"/>
  <c r="E1155" s="1"/>
  <c r="E1153"/>
  <c r="F1148"/>
  <c r="F1149" s="1"/>
  <c r="E1149" s="1"/>
  <c r="E1147"/>
  <c r="D1149"/>
  <c r="D1155" s="1"/>
  <c r="D1161" s="1"/>
  <c r="D1148"/>
  <c r="D1154" s="1"/>
  <c r="D1160" s="1"/>
  <c r="D1147"/>
  <c r="D1153" s="1"/>
  <c r="D1159" s="1"/>
  <c r="D908"/>
  <c r="D907"/>
  <c r="B907"/>
  <c r="H867"/>
  <c r="E1162"/>
  <c r="E1163" s="1"/>
  <c r="E1164" s="1"/>
  <c r="D862"/>
  <c r="D902" s="1"/>
  <c r="D864"/>
  <c r="D904" s="1"/>
  <c r="D866"/>
  <c r="D906" s="1"/>
  <c r="D861"/>
  <c r="D901" s="1"/>
  <c r="B866"/>
  <c r="B906" s="1"/>
  <c r="B1162" s="1"/>
  <c r="B864"/>
  <c r="B904" s="1"/>
  <c r="B1148" s="1"/>
  <c r="B1154" s="1"/>
  <c r="B1160" s="1"/>
  <c r="B862"/>
  <c r="B902" s="1"/>
  <c r="B863"/>
  <c r="B903" s="1"/>
  <c r="B1147" s="1"/>
  <c r="B1153" s="1"/>
  <c r="B1159" s="1"/>
  <c r="D865"/>
  <c r="D905" s="1"/>
  <c r="D744"/>
  <c r="D863" s="1"/>
  <c r="D903" s="1"/>
  <c r="C188" i="106" l="1"/>
  <c r="M188" s="1"/>
  <c r="C160"/>
  <c r="E163"/>
  <c r="M163" s="1"/>
  <c r="M162"/>
  <c r="M167" s="1"/>
  <c r="M172" s="1"/>
  <c r="E1405" i="18"/>
  <c r="E1436"/>
  <c r="H1359"/>
  <c r="D1361"/>
  <c r="D1390"/>
  <c r="H1165"/>
  <c r="D1358"/>
  <c r="H1159"/>
  <c r="H1156"/>
  <c r="H1161"/>
  <c r="E1160"/>
  <c r="H1160" s="1"/>
  <c r="H1153"/>
  <c r="H1155"/>
  <c r="H907"/>
  <c r="E1154"/>
  <c r="H1154" s="1"/>
  <c r="E1148"/>
  <c r="H908"/>
  <c r="B861"/>
  <c r="B901" s="1"/>
  <c r="S4"/>
  <c r="S3"/>
  <c r="S2"/>
  <c r="J49" i="7"/>
  <c r="J47"/>
  <c r="J8"/>
  <c r="J45"/>
  <c r="R48"/>
  <c r="J48" s="1"/>
  <c r="F7" i="18"/>
  <c r="C189" i="106" l="1"/>
  <c r="M189" s="1"/>
  <c r="C173"/>
  <c r="M192"/>
  <c r="M193" s="1"/>
  <c r="H1405" i="18"/>
  <c r="E1421"/>
  <c r="D1360"/>
  <c r="D1389"/>
  <c r="G4511" i="7"/>
  <c r="A4476"/>
  <c r="A4244"/>
  <c r="H6399"/>
  <c r="H6408" s="1"/>
  <c r="B6388"/>
  <c r="H6355" l="1"/>
  <c r="H6364" s="1"/>
  <c r="H6314"/>
  <c r="H6322" s="1"/>
  <c r="H6175"/>
  <c r="H6183" s="1"/>
  <c r="H6132"/>
  <c r="H6140" s="1"/>
  <c r="H6090"/>
  <c r="H6098" s="1"/>
  <c r="H6048"/>
  <c r="H6056" s="1"/>
  <c r="H6005" l="1"/>
  <c r="H6013" s="1"/>
  <c r="H5962"/>
  <c r="H5970" s="1"/>
  <c r="H5897"/>
  <c r="H5905" s="1"/>
  <c r="H5854"/>
  <c r="H5862" s="1"/>
  <c r="H5811"/>
  <c r="H5819" s="1"/>
  <c r="H5742"/>
  <c r="H5750" s="1"/>
  <c r="H5673" l="1"/>
  <c r="H5681" s="1"/>
  <c r="H4019" l="1"/>
  <c r="H4027" s="1"/>
  <c r="H3518" l="1"/>
  <c r="H3526" s="1"/>
  <c r="H3272"/>
  <c r="H3280" s="1"/>
  <c r="G84" l="1"/>
  <c r="G64"/>
  <c r="G71"/>
  <c r="G49"/>
  <c r="G28"/>
  <c r="G35"/>
  <c r="H902" i="18" l="1"/>
  <c r="H903"/>
  <c r="H904"/>
  <c r="H905"/>
  <c r="H906"/>
  <c r="H901"/>
  <c r="H872"/>
  <c r="H869"/>
  <c r="H868"/>
  <c r="H866"/>
  <c r="H864"/>
  <c r="H748"/>
  <c r="H747"/>
  <c r="H746"/>
  <c r="H745"/>
  <c r="H744"/>
  <c r="H743"/>
  <c r="H742"/>
  <c r="F11"/>
  <c r="F10"/>
  <c r="H862" l="1"/>
  <c r="H861"/>
  <c r="H865"/>
  <c r="H863"/>
  <c r="Q123" i="7"/>
  <c r="P123"/>
  <c r="H125" s="1"/>
  <c r="Q113"/>
  <c r="P113"/>
  <c r="H117" s="1"/>
  <c r="N131"/>
  <c r="O131"/>
  <c r="N121"/>
  <c r="O121"/>
  <c r="N130"/>
  <c r="N129"/>
  <c r="N128"/>
  <c r="N127"/>
  <c r="N126"/>
  <c r="N125"/>
  <c r="N124"/>
  <c r="N123"/>
  <c r="N120"/>
  <c r="N119"/>
  <c r="N118"/>
  <c r="N117"/>
  <c r="N116"/>
  <c r="N115"/>
  <c r="N114"/>
  <c r="N113"/>
  <c r="O120"/>
  <c r="O130" s="1"/>
  <c r="O119"/>
  <c r="O129" s="1"/>
  <c r="O118"/>
  <c r="O128" s="1"/>
  <c r="O117"/>
  <c r="O127" s="1"/>
  <c r="O116"/>
  <c r="O126" s="1"/>
  <c r="O115"/>
  <c r="O125" s="1"/>
  <c r="O114"/>
  <c r="O124" s="1"/>
  <c r="O113"/>
  <c r="O123" s="1"/>
  <c r="J29"/>
  <c r="G2989"/>
  <c r="U194"/>
  <c r="H6895" i="18"/>
  <c r="H6894"/>
  <c r="H6893"/>
  <c r="H6892"/>
  <c r="H6891"/>
  <c r="H6890"/>
  <c r="H6887"/>
  <c r="H6886"/>
  <c r="H6885"/>
  <c r="H6884"/>
  <c r="H6883"/>
  <c r="H6882"/>
  <c r="H6879"/>
  <c r="H6878"/>
  <c r="H6877"/>
  <c r="H6876"/>
  <c r="H6875"/>
  <c r="H6874"/>
  <c r="H6871"/>
  <c r="H6870"/>
  <c r="H6869"/>
  <c r="H6868"/>
  <c r="H6867"/>
  <c r="H6866"/>
  <c r="H6863"/>
  <c r="H6862"/>
  <c r="H6861"/>
  <c r="H6860"/>
  <c r="H6859"/>
  <c r="H6858"/>
  <c r="H6855"/>
  <c r="H6854"/>
  <c r="H6853"/>
  <c r="H6852"/>
  <c r="H6851"/>
  <c r="H6850"/>
  <c r="H6847"/>
  <c r="H6846"/>
  <c r="H6845"/>
  <c r="H6844"/>
  <c r="H6843"/>
  <c r="H6842"/>
  <c r="H6839"/>
  <c r="H6838"/>
  <c r="H6837"/>
  <c r="H6836"/>
  <c r="H6835"/>
  <c r="H6834"/>
  <c r="H6831"/>
  <c r="H6830"/>
  <c r="H6829"/>
  <c r="H6828"/>
  <c r="H6827"/>
  <c r="H6826"/>
  <c r="H6823"/>
  <c r="H6822"/>
  <c r="H6821"/>
  <c r="H6820"/>
  <c r="H6819"/>
  <c r="H6818"/>
  <c r="H6815"/>
  <c r="H6814"/>
  <c r="H6813"/>
  <c r="H6812"/>
  <c r="H6811"/>
  <c r="H6810"/>
  <c r="H6807"/>
  <c r="H6806"/>
  <c r="H6805"/>
  <c r="H6804"/>
  <c r="H6803"/>
  <c r="H6802"/>
  <c r="H6799"/>
  <c r="H6798"/>
  <c r="H6797"/>
  <c r="H6796"/>
  <c r="H6795"/>
  <c r="H6794"/>
  <c r="H6791"/>
  <c r="H6790"/>
  <c r="H6789"/>
  <c r="H6788"/>
  <c r="H6787"/>
  <c r="H6786"/>
  <c r="H6783"/>
  <c r="H6782"/>
  <c r="H6781"/>
  <c r="H6780"/>
  <c r="H6779"/>
  <c r="H6778"/>
  <c r="H6775"/>
  <c r="H6774"/>
  <c r="H6773"/>
  <c r="H6772"/>
  <c r="H6771"/>
  <c r="H6770"/>
  <c r="H6767"/>
  <c r="H6766"/>
  <c r="H6765"/>
  <c r="H6764"/>
  <c r="H6763"/>
  <c r="H6762"/>
  <c r="H6759"/>
  <c r="H6758"/>
  <c r="H6757"/>
  <c r="H6756"/>
  <c r="H6755"/>
  <c r="H6754"/>
  <c r="H6751"/>
  <c r="H6750"/>
  <c r="H6749"/>
  <c r="H6748"/>
  <c r="H6747"/>
  <c r="H6746"/>
  <c r="H6743"/>
  <c r="H6742"/>
  <c r="H6741"/>
  <c r="H6740"/>
  <c r="H6739"/>
  <c r="H6738"/>
  <c r="H6735"/>
  <c r="H6734"/>
  <c r="H6733"/>
  <c r="H6732"/>
  <c r="H6731"/>
  <c r="H6730"/>
  <c r="H6727"/>
  <c r="H6726"/>
  <c r="H6725"/>
  <c r="H6724"/>
  <c r="H6723"/>
  <c r="H6722"/>
  <c r="B6857"/>
  <c r="B6865"/>
  <c r="B6873"/>
  <c r="B6881"/>
  <c r="B6889"/>
  <c r="B6729"/>
  <c r="B6737"/>
  <c r="B6745"/>
  <c r="B6753"/>
  <c r="B6761"/>
  <c r="B6769"/>
  <c r="B6777"/>
  <c r="B6785"/>
  <c r="B6793"/>
  <c r="B6801"/>
  <c r="B6809"/>
  <c r="B6817"/>
  <c r="B6825"/>
  <c r="B6833"/>
  <c r="B6841"/>
  <c r="B6849"/>
  <c r="B6721"/>
  <c r="I212" i="7"/>
  <c r="L212"/>
  <c r="M212"/>
  <c r="N212" s="1"/>
  <c r="I213"/>
  <c r="L213"/>
  <c r="M213"/>
  <c r="N213" s="1"/>
  <c r="I214"/>
  <c r="L214"/>
  <c r="M214"/>
  <c r="N214" s="1"/>
  <c r="I215"/>
  <c r="L215"/>
  <c r="M215"/>
  <c r="N215" s="1"/>
  <c r="M211"/>
  <c r="N211" s="1"/>
  <c r="L211"/>
  <c r="I211"/>
  <c r="I210"/>
  <c r="I209"/>
  <c r="L209"/>
  <c r="M209"/>
  <c r="N209" s="1"/>
  <c r="I204"/>
  <c r="L204"/>
  <c r="M204"/>
  <c r="N204" s="1"/>
  <c r="I205"/>
  <c r="L205"/>
  <c r="M205"/>
  <c r="N205" s="1"/>
  <c r="I206"/>
  <c r="L206"/>
  <c r="M206"/>
  <c r="N206" s="1"/>
  <c r="I207"/>
  <c r="L207"/>
  <c r="M207"/>
  <c r="N207" s="1"/>
  <c r="I208"/>
  <c r="L208"/>
  <c r="M208"/>
  <c r="N208" s="1"/>
  <c r="M203"/>
  <c r="N203" s="1"/>
  <c r="L203"/>
  <c r="I203"/>
  <c r="I202"/>
  <c r="B218"/>
  <c r="E218"/>
  <c r="G218"/>
  <c r="H218" s="1"/>
  <c r="B219"/>
  <c r="E219"/>
  <c r="G219"/>
  <c r="H219" s="1"/>
  <c r="B220"/>
  <c r="E220"/>
  <c r="G220"/>
  <c r="H220" s="1"/>
  <c r="G217"/>
  <c r="H217" s="1"/>
  <c r="E217"/>
  <c r="B217"/>
  <c r="B216"/>
  <c r="E209"/>
  <c r="G209"/>
  <c r="H209" s="1"/>
  <c r="E210"/>
  <c r="G210"/>
  <c r="H210" s="1"/>
  <c r="E211"/>
  <c r="G211"/>
  <c r="H211" s="1"/>
  <c r="E212"/>
  <c r="G212"/>
  <c r="H212" s="1"/>
  <c r="E213"/>
  <c r="G213"/>
  <c r="H213" s="1"/>
  <c r="E214"/>
  <c r="G214"/>
  <c r="H214" s="1"/>
  <c r="E215"/>
  <c r="G215"/>
  <c r="H215" s="1"/>
  <c r="G208"/>
  <c r="H208" s="1"/>
  <c r="E208"/>
  <c r="B209"/>
  <c r="B210"/>
  <c r="B211"/>
  <c r="B212"/>
  <c r="B213"/>
  <c r="B214"/>
  <c r="B215"/>
  <c r="B208"/>
  <c r="B207"/>
  <c r="G204"/>
  <c r="H204" s="1"/>
  <c r="G205"/>
  <c r="H205" s="1"/>
  <c r="G206"/>
  <c r="H206" s="1"/>
  <c r="G203"/>
  <c r="H203" s="1"/>
  <c r="E204"/>
  <c r="E205"/>
  <c r="E206"/>
  <c r="E203"/>
  <c r="B204"/>
  <c r="B205"/>
  <c r="B206"/>
  <c r="B203"/>
  <c r="B202"/>
  <c r="H873" i="18" l="1"/>
  <c r="H6832"/>
  <c r="H6736"/>
  <c r="H6880"/>
  <c r="H6896"/>
  <c r="H6752"/>
  <c r="H6728"/>
  <c r="H6792"/>
  <c r="H6760"/>
  <c r="H6808"/>
  <c r="H6824"/>
  <c r="H6840"/>
  <c r="H6856"/>
  <c r="H6872"/>
  <c r="H6888"/>
  <c r="H6848"/>
  <c r="H6864"/>
  <c r="H6800"/>
  <c r="H6816"/>
  <c r="H6784"/>
  <c r="H6744"/>
  <c r="H6768"/>
  <c r="H6776"/>
  <c r="K1240" i="7"/>
  <c r="L1240" s="1"/>
  <c r="G1238"/>
  <c r="G1237"/>
  <c r="G1236"/>
  <c r="G1235"/>
  <c r="G1234"/>
  <c r="G1233"/>
  <c r="G1232"/>
  <c r="G1231"/>
  <c r="G1230"/>
  <c r="G1229"/>
  <c r="G1228"/>
  <c r="G1227"/>
  <c r="G1226"/>
  <c r="G1225"/>
  <c r="G1224"/>
  <c r="G1223"/>
  <c r="G1222"/>
  <c r="G1221"/>
  <c r="G1220"/>
  <c r="G1219"/>
  <c r="G1218"/>
  <c r="G1217"/>
  <c r="U25" i="36" l="1"/>
  <c r="U28"/>
  <c r="U50"/>
  <c r="U43"/>
  <c r="U44"/>
  <c r="U45"/>
  <c r="U46"/>
  <c r="U47"/>
  <c r="U42"/>
  <c r="U49"/>
  <c r="U54"/>
  <c r="U55"/>
  <c r="U68"/>
  <c r="U86"/>
  <c r="U89"/>
  <c r="U90"/>
  <c r="U95"/>
  <c r="U96"/>
  <c r="U97"/>
  <c r="U98"/>
  <c r="U99"/>
  <c r="U100"/>
  <c r="U101"/>
  <c r="U102"/>
  <c r="U107"/>
  <c r="U109"/>
  <c r="U110"/>
  <c r="U111"/>
  <c r="U112"/>
  <c r="U113"/>
  <c r="U108"/>
  <c r="U105"/>
  <c r="U106"/>
  <c r="U104"/>
  <c r="U103"/>
  <c r="U93"/>
  <c r="U94"/>
  <c r="U92"/>
  <c r="U91"/>
  <c r="U88"/>
  <c r="U71"/>
  <c r="U72"/>
  <c r="U73"/>
  <c r="U74"/>
  <c r="U75"/>
  <c r="U76"/>
  <c r="U77"/>
  <c r="U78"/>
  <c r="U79"/>
  <c r="U80"/>
  <c r="U81"/>
  <c r="U82"/>
  <c r="U83"/>
  <c r="U84"/>
  <c r="U85"/>
  <c r="U70"/>
  <c r="U69"/>
  <c r="U57"/>
  <c r="U58"/>
  <c r="U59"/>
  <c r="U60"/>
  <c r="U61"/>
  <c r="U62"/>
  <c r="U63"/>
  <c r="U64"/>
  <c r="U65"/>
  <c r="U66"/>
  <c r="U67"/>
  <c r="U56"/>
  <c r="U53"/>
  <c r="U52"/>
  <c r="U48"/>
  <c r="U32"/>
  <c r="U33"/>
  <c r="U34"/>
  <c r="U35"/>
  <c r="U36"/>
  <c r="U37"/>
  <c r="U38"/>
  <c r="U39"/>
  <c r="U40"/>
  <c r="U41"/>
  <c r="U31"/>
  <c r="U30"/>
  <c r="U24"/>
  <c r="U23"/>
  <c r="U22"/>
  <c r="U19"/>
  <c r="U16"/>
  <c r="U15"/>
  <c r="U11"/>
  <c r="U8"/>
  <c r="U5"/>
  <c r="U20"/>
  <c r="F43" i="7"/>
  <c r="G43" s="1"/>
  <c r="F42"/>
  <c r="G42" s="1"/>
  <c r="B4661" l="1"/>
  <c r="H2661" i="18"/>
  <c r="H2660"/>
  <c r="H2659"/>
  <c r="H2631"/>
  <c r="H2630"/>
  <c r="H2629"/>
  <c r="H2601"/>
  <c r="H2600"/>
  <c r="H2599"/>
  <c r="H2524"/>
  <c r="H2523"/>
  <c r="H2522"/>
  <c r="H2494"/>
  <c r="H2493"/>
  <c r="H2492"/>
  <c r="H2464"/>
  <c r="H2463"/>
  <c r="H2462"/>
  <c r="H2327"/>
  <c r="H2326"/>
  <c r="H2325"/>
  <c r="H2357"/>
  <c r="H2356"/>
  <c r="H2355"/>
  <c r="H2385"/>
  <c r="H2386"/>
  <c r="H2387"/>
  <c r="H1425"/>
  <c r="H1424"/>
  <c r="H1423"/>
  <c r="H1422"/>
  <c r="H1421"/>
  <c r="H1420"/>
  <c r="H1455"/>
  <c r="H1454"/>
  <c r="H1453"/>
  <c r="H1452"/>
  <c r="H1451"/>
  <c r="H1450"/>
  <c r="H1485"/>
  <c r="H1484"/>
  <c r="H1483"/>
  <c r="H1482"/>
  <c r="H1481"/>
  <c r="H1480"/>
  <c r="H1622"/>
  <c r="H1621"/>
  <c r="H1620"/>
  <c r="H1619"/>
  <c r="H1618"/>
  <c r="H1617"/>
  <c r="H1652"/>
  <c r="H1651"/>
  <c r="H1650"/>
  <c r="H1649"/>
  <c r="H1648"/>
  <c r="H1647"/>
  <c r="H1682"/>
  <c r="H1681"/>
  <c r="H1680"/>
  <c r="H1679"/>
  <c r="H1678"/>
  <c r="H1677"/>
  <c r="H1759"/>
  <c r="H1758"/>
  <c r="H1757"/>
  <c r="H1756"/>
  <c r="H1755"/>
  <c r="H1754"/>
  <c r="H1789"/>
  <c r="H1788"/>
  <c r="H1787"/>
  <c r="H1786"/>
  <c r="H1785"/>
  <c r="H1784"/>
  <c r="H1819"/>
  <c r="H1818"/>
  <c r="H1817"/>
  <c r="H1816"/>
  <c r="H1815"/>
  <c r="H1814"/>
  <c r="H1896"/>
  <c r="H1895"/>
  <c r="H1894"/>
  <c r="H1893"/>
  <c r="H1892"/>
  <c r="H1891"/>
  <c r="H1926"/>
  <c r="H1925"/>
  <c r="H1924"/>
  <c r="H1923"/>
  <c r="H1922"/>
  <c r="H1921"/>
  <c r="H1952"/>
  <c r="H1953"/>
  <c r="H1954"/>
  <c r="H1955"/>
  <c r="H1956"/>
  <c r="H1951"/>
  <c r="H2188"/>
  <c r="H2189"/>
  <c r="H2190"/>
  <c r="H2158"/>
  <c r="H2159"/>
  <c r="H2160"/>
  <c r="H2128"/>
  <c r="H2129"/>
  <c r="H2130"/>
  <c r="H2442" i="7"/>
  <c r="H2450" s="1"/>
  <c r="AV24" i="105"/>
  <c r="BC24" s="1"/>
  <c r="BJ24" s="1"/>
  <c r="HN40"/>
  <c r="H2306" i="7"/>
  <c r="H2312" s="1"/>
  <c r="H2318" s="1"/>
  <c r="H2328" s="1"/>
  <c r="H2132"/>
  <c r="H2083"/>
  <c r="H2089" s="1"/>
  <c r="H1808"/>
  <c r="H1917" s="1"/>
  <c r="G4087"/>
  <c r="G4105" s="1"/>
  <c r="G4123" s="1"/>
  <c r="G4141" s="1"/>
  <c r="G4159" s="1"/>
  <c r="G4180" s="1"/>
  <c r="G4201" s="1"/>
  <c r="B4216"/>
  <c r="P3470"/>
  <c r="P3471" s="1"/>
  <c r="B4658" i="18"/>
  <c r="B4650"/>
  <c r="GI68" i="6"/>
  <c r="G1390" i="18" s="1"/>
  <c r="G1391" s="1"/>
  <c r="F2969"/>
  <c r="F2980" s="1"/>
  <c r="F2991" s="1"/>
  <c r="H1949"/>
  <c r="H1948"/>
  <c r="H1947"/>
  <c r="H1946"/>
  <c r="H1945"/>
  <c r="H1944"/>
  <c r="H1812"/>
  <c r="H1811"/>
  <c r="H1810"/>
  <c r="H1809"/>
  <c r="H1808"/>
  <c r="H1807"/>
  <c r="H1675"/>
  <c r="H1674"/>
  <c r="H1673"/>
  <c r="H1672"/>
  <c r="H1671"/>
  <c r="H1670"/>
  <c r="H1478"/>
  <c r="H1477"/>
  <c r="H1476"/>
  <c r="H1475"/>
  <c r="H1474"/>
  <c r="H1473"/>
  <c r="H2654"/>
  <c r="H2653"/>
  <c r="H2652"/>
  <c r="G2650"/>
  <c r="F2650"/>
  <c r="F2651" s="1"/>
  <c r="H2649"/>
  <c r="H2517"/>
  <c r="H2516"/>
  <c r="H2515"/>
  <c r="G2513"/>
  <c r="G2514" s="1"/>
  <c r="F2513"/>
  <c r="H2512"/>
  <c r="H2380"/>
  <c r="H2379"/>
  <c r="H2378"/>
  <c r="G2376"/>
  <c r="G2377" s="1"/>
  <c r="F2376"/>
  <c r="F2377" s="1"/>
  <c r="H2375"/>
  <c r="H2183"/>
  <c r="H2182"/>
  <c r="H2181"/>
  <c r="G2179"/>
  <c r="G2180" s="1"/>
  <c r="F2179"/>
  <c r="F2180" s="1"/>
  <c r="H2178"/>
  <c r="G1227"/>
  <c r="G1226"/>
  <c r="F1226"/>
  <c r="F1227" s="1"/>
  <c r="G1225"/>
  <c r="F1225"/>
  <c r="B1230"/>
  <c r="F1233"/>
  <c r="F1234" s="1"/>
  <c r="G1213"/>
  <c r="E1213"/>
  <c r="G1212"/>
  <c r="F1212"/>
  <c r="F1213" s="1"/>
  <c r="E1212"/>
  <c r="G1211"/>
  <c r="F1211"/>
  <c r="E1211"/>
  <c r="F1198"/>
  <c r="F1199" s="1"/>
  <c r="F1197"/>
  <c r="H3972"/>
  <c r="H3971"/>
  <c r="H3970"/>
  <c r="H3969"/>
  <c r="H3968"/>
  <c r="H3967"/>
  <c r="H3964"/>
  <c r="H3963"/>
  <c r="H3962"/>
  <c r="H3961"/>
  <c r="H3960"/>
  <c r="H3959"/>
  <c r="H3956"/>
  <c r="H3955"/>
  <c r="H3954"/>
  <c r="H3953"/>
  <c r="H3952"/>
  <c r="H3951"/>
  <c r="H3948"/>
  <c r="H3947"/>
  <c r="H3946"/>
  <c r="H3945"/>
  <c r="H3944"/>
  <c r="H3943"/>
  <c r="H3740"/>
  <c r="H3739"/>
  <c r="H3738"/>
  <c r="H3737"/>
  <c r="H3736"/>
  <c r="H3735"/>
  <c r="H3732"/>
  <c r="H3731"/>
  <c r="H3730"/>
  <c r="H3729"/>
  <c r="H3728"/>
  <c r="H3727"/>
  <c r="H3724"/>
  <c r="H3723"/>
  <c r="H3722"/>
  <c r="H3721"/>
  <c r="H3720"/>
  <c r="H3719"/>
  <c r="H3716"/>
  <c r="H3715"/>
  <c r="H3714"/>
  <c r="H3713"/>
  <c r="H3712"/>
  <c r="H3711"/>
  <c r="A5422"/>
  <c r="A5414"/>
  <c r="B5422"/>
  <c r="B5414"/>
  <c r="H5428"/>
  <c r="H5427"/>
  <c r="H5426"/>
  <c r="H5425"/>
  <c r="H5424"/>
  <c r="H5423"/>
  <c r="H5420"/>
  <c r="H5419"/>
  <c r="H5418"/>
  <c r="H5417"/>
  <c r="H5416"/>
  <c r="H5415"/>
  <c r="A5389"/>
  <c r="A5381"/>
  <c r="B5389"/>
  <c r="B5381"/>
  <c r="H5395"/>
  <c r="H5394"/>
  <c r="H5393"/>
  <c r="H5392"/>
  <c r="H5391"/>
  <c r="H5390"/>
  <c r="H5387"/>
  <c r="H5386"/>
  <c r="H5385"/>
  <c r="H5384"/>
  <c r="H5383"/>
  <c r="H5382"/>
  <c r="A5356"/>
  <c r="A5348"/>
  <c r="B5356"/>
  <c r="B5348"/>
  <c r="H5362"/>
  <c r="H5361"/>
  <c r="H5360"/>
  <c r="H5359"/>
  <c r="H5358"/>
  <c r="H5357"/>
  <c r="H5354"/>
  <c r="H5353"/>
  <c r="H5352"/>
  <c r="H5351"/>
  <c r="H5350"/>
  <c r="H5349"/>
  <c r="A5323"/>
  <c r="A5315"/>
  <c r="B5323"/>
  <c r="B5315"/>
  <c r="H5329"/>
  <c r="H5328"/>
  <c r="H5327"/>
  <c r="H5326"/>
  <c r="H5325"/>
  <c r="H5324"/>
  <c r="H5321"/>
  <c r="H5320"/>
  <c r="H5319"/>
  <c r="H5318"/>
  <c r="H5317"/>
  <c r="H5316"/>
  <c r="A5290"/>
  <c r="A5282"/>
  <c r="B5290"/>
  <c r="B5282"/>
  <c r="H5296"/>
  <c r="H5295"/>
  <c r="H5294"/>
  <c r="H5293"/>
  <c r="H5292"/>
  <c r="H5291"/>
  <c r="H5288"/>
  <c r="H5287"/>
  <c r="H5286"/>
  <c r="H5285"/>
  <c r="H5284"/>
  <c r="H5283"/>
  <c r="A5257"/>
  <c r="A5249"/>
  <c r="B5257"/>
  <c r="B5249"/>
  <c r="H5263"/>
  <c r="H5262"/>
  <c r="H5261"/>
  <c r="H5260"/>
  <c r="H5259"/>
  <c r="H5258"/>
  <c r="H5255"/>
  <c r="H5254"/>
  <c r="H5253"/>
  <c r="H5252"/>
  <c r="H5251"/>
  <c r="H5250"/>
  <c r="A5224"/>
  <c r="A5216"/>
  <c r="B5224"/>
  <c r="B5216"/>
  <c r="H5230"/>
  <c r="H5229"/>
  <c r="H5228"/>
  <c r="H5227"/>
  <c r="H5226"/>
  <c r="H5225"/>
  <c r="H5222"/>
  <c r="H5221"/>
  <c r="H5220"/>
  <c r="H5219"/>
  <c r="H5218"/>
  <c r="H5217"/>
  <c r="A5191"/>
  <c r="A5183"/>
  <c r="B5191"/>
  <c r="B5183"/>
  <c r="H5197"/>
  <c r="H5196"/>
  <c r="H5195"/>
  <c r="H5194"/>
  <c r="H5193"/>
  <c r="H5192"/>
  <c r="H5189"/>
  <c r="H5188"/>
  <c r="H5187"/>
  <c r="H5186"/>
  <c r="H5185"/>
  <c r="H5184"/>
  <c r="A5158"/>
  <c r="A5150"/>
  <c r="B5158"/>
  <c r="B5150"/>
  <c r="H5164"/>
  <c r="H5163"/>
  <c r="H5162"/>
  <c r="H5161"/>
  <c r="H5160"/>
  <c r="H5159"/>
  <c r="H5156"/>
  <c r="H5155"/>
  <c r="H5154"/>
  <c r="H5153"/>
  <c r="H5152"/>
  <c r="H5151"/>
  <c r="A5125"/>
  <c r="A5117"/>
  <c r="B5125"/>
  <c r="B5117"/>
  <c r="H5131"/>
  <c r="H5130"/>
  <c r="H5129"/>
  <c r="H5128"/>
  <c r="H5127"/>
  <c r="H5126"/>
  <c r="H5123"/>
  <c r="H5122"/>
  <c r="H5121"/>
  <c r="H5120"/>
  <c r="H5119"/>
  <c r="H5118"/>
  <c r="A5090"/>
  <c r="A5082"/>
  <c r="B5090"/>
  <c r="B5082"/>
  <c r="H5096"/>
  <c r="H5095"/>
  <c r="H5094"/>
  <c r="H5093"/>
  <c r="H5092"/>
  <c r="H5091"/>
  <c r="H5088"/>
  <c r="H5087"/>
  <c r="H5086"/>
  <c r="H5085"/>
  <c r="H5084"/>
  <c r="H5083"/>
  <c r="A5057"/>
  <c r="A5049"/>
  <c r="B5057"/>
  <c r="B5049"/>
  <c r="H5063"/>
  <c r="H5062"/>
  <c r="H5061"/>
  <c r="H5060"/>
  <c r="H5059"/>
  <c r="H5058"/>
  <c r="H5055"/>
  <c r="H5054"/>
  <c r="H5053"/>
  <c r="H5052"/>
  <c r="H5051"/>
  <c r="H5050"/>
  <c r="A5024"/>
  <c r="A5016"/>
  <c r="B5024"/>
  <c r="B5016"/>
  <c r="H5030"/>
  <c r="H5029"/>
  <c r="H5028"/>
  <c r="H5027"/>
  <c r="H5026"/>
  <c r="H5025"/>
  <c r="H5022"/>
  <c r="H5021"/>
  <c r="H5020"/>
  <c r="H5019"/>
  <c r="H5018"/>
  <c r="H5017"/>
  <c r="A4991"/>
  <c r="A4983"/>
  <c r="B4991"/>
  <c r="B4983"/>
  <c r="H4997"/>
  <c r="H4996"/>
  <c r="H4995"/>
  <c r="H4994"/>
  <c r="H4993"/>
  <c r="H4992"/>
  <c r="H4989"/>
  <c r="H4988"/>
  <c r="H4987"/>
  <c r="H4986"/>
  <c r="H4985"/>
  <c r="H4984"/>
  <c r="A4958"/>
  <c r="A4950"/>
  <c r="B4958"/>
  <c r="B4950"/>
  <c r="H4964"/>
  <c r="H4963"/>
  <c r="H4962"/>
  <c r="H4961"/>
  <c r="H4960"/>
  <c r="H4959"/>
  <c r="H4956"/>
  <c r="H4955"/>
  <c r="H4954"/>
  <c r="H4953"/>
  <c r="H4952"/>
  <c r="H4951"/>
  <c r="A4925"/>
  <c r="A4917"/>
  <c r="B4925"/>
  <c r="B4917"/>
  <c r="H4931"/>
  <c r="H4930"/>
  <c r="H4929"/>
  <c r="H4928"/>
  <c r="H4927"/>
  <c r="H4926"/>
  <c r="H4923"/>
  <c r="H4922"/>
  <c r="H4921"/>
  <c r="H4920"/>
  <c r="H4919"/>
  <c r="H4918"/>
  <c r="A4892"/>
  <c r="A4884"/>
  <c r="B4892"/>
  <c r="B4884"/>
  <c r="H4898"/>
  <c r="H4897"/>
  <c r="H4896"/>
  <c r="H4895"/>
  <c r="H4894"/>
  <c r="H4893"/>
  <c r="H4890"/>
  <c r="H4889"/>
  <c r="H4888"/>
  <c r="H4887"/>
  <c r="H4886"/>
  <c r="H4885"/>
  <c r="A4858"/>
  <c r="A4850"/>
  <c r="B4858"/>
  <c r="B4850"/>
  <c r="H4864"/>
  <c r="H4863"/>
  <c r="H4862"/>
  <c r="H4861"/>
  <c r="H4860"/>
  <c r="H4859"/>
  <c r="H4856"/>
  <c r="H4855"/>
  <c r="H4854"/>
  <c r="H4853"/>
  <c r="H4852"/>
  <c r="H4851"/>
  <c r="A4825"/>
  <c r="A4817"/>
  <c r="B4825"/>
  <c r="B4817"/>
  <c r="H4831"/>
  <c r="H4830"/>
  <c r="H4829"/>
  <c r="H4828"/>
  <c r="H4827"/>
  <c r="H4826"/>
  <c r="H4823"/>
  <c r="H4822"/>
  <c r="H4821"/>
  <c r="H4820"/>
  <c r="H4819"/>
  <c r="H4818"/>
  <c r="A4792"/>
  <c r="A4784"/>
  <c r="B4792"/>
  <c r="B4784"/>
  <c r="H4798"/>
  <c r="H4797"/>
  <c r="H4796"/>
  <c r="H4795"/>
  <c r="H4794"/>
  <c r="H4793"/>
  <c r="H4790"/>
  <c r="H4789"/>
  <c r="H4788"/>
  <c r="H4787"/>
  <c r="H4786"/>
  <c r="H4785"/>
  <c r="A4758"/>
  <c r="A4750"/>
  <c r="B4758"/>
  <c r="B4750"/>
  <c r="H4764"/>
  <c r="H4763"/>
  <c r="H4762"/>
  <c r="H4761"/>
  <c r="H4760"/>
  <c r="H4759"/>
  <c r="H4756"/>
  <c r="H4755"/>
  <c r="H4754"/>
  <c r="H4753"/>
  <c r="H4752"/>
  <c r="H4751"/>
  <c r="B4725"/>
  <c r="A4725"/>
  <c r="A4717"/>
  <c r="B4717"/>
  <c r="H4731"/>
  <c r="H4730"/>
  <c r="H4729"/>
  <c r="H4728"/>
  <c r="H4727"/>
  <c r="H4726"/>
  <c r="H4723"/>
  <c r="H4722"/>
  <c r="H4721"/>
  <c r="H4720"/>
  <c r="H4719"/>
  <c r="H4718"/>
  <c r="B4691"/>
  <c r="A4691"/>
  <c r="A4683"/>
  <c r="B4683"/>
  <c r="H4697"/>
  <c r="H4696"/>
  <c r="H4695"/>
  <c r="H4694"/>
  <c r="H4693"/>
  <c r="H4692"/>
  <c r="H4689"/>
  <c r="H4688"/>
  <c r="H4687"/>
  <c r="H4686"/>
  <c r="H4685"/>
  <c r="H4684"/>
  <c r="H4664"/>
  <c r="H4663"/>
  <c r="H4662"/>
  <c r="H4661"/>
  <c r="H4660"/>
  <c r="H4659"/>
  <c r="A4658"/>
  <c r="H4656"/>
  <c r="H4655"/>
  <c r="H4654"/>
  <c r="H4653"/>
  <c r="H4652"/>
  <c r="H4651"/>
  <c r="A4650"/>
  <c r="H4630"/>
  <c r="H4629"/>
  <c r="H4628"/>
  <c r="H4627"/>
  <c r="H4626"/>
  <c r="H4625"/>
  <c r="B4624"/>
  <c r="A4624"/>
  <c r="H4622"/>
  <c r="H4621"/>
  <c r="H4620"/>
  <c r="H4619"/>
  <c r="H4618"/>
  <c r="H4617"/>
  <c r="B4616"/>
  <c r="A4616"/>
  <c r="A4591"/>
  <c r="A4583"/>
  <c r="B4591"/>
  <c r="B4583"/>
  <c r="H4597"/>
  <c r="H4596"/>
  <c r="H4595"/>
  <c r="H4594"/>
  <c r="H4593"/>
  <c r="H4592"/>
  <c r="H4589"/>
  <c r="H4588"/>
  <c r="H4587"/>
  <c r="H4586"/>
  <c r="H4585"/>
  <c r="H4584"/>
  <c r="H4302"/>
  <c r="H4301"/>
  <c r="H4300"/>
  <c r="H4299"/>
  <c r="H4298"/>
  <c r="H4297"/>
  <c r="H4294"/>
  <c r="H4293"/>
  <c r="H4292"/>
  <c r="H4291"/>
  <c r="H4290"/>
  <c r="H4289"/>
  <c r="H4286"/>
  <c r="H4285"/>
  <c r="H4284"/>
  <c r="H4283"/>
  <c r="H4282"/>
  <c r="H4281"/>
  <c r="H4278"/>
  <c r="H4277"/>
  <c r="H4276"/>
  <c r="H4275"/>
  <c r="H4274"/>
  <c r="H4273"/>
  <c r="H4236"/>
  <c r="H4235"/>
  <c r="H4234"/>
  <c r="H4233"/>
  <c r="H4232"/>
  <c r="H4231"/>
  <c r="H4228"/>
  <c r="H4227"/>
  <c r="H4226"/>
  <c r="H4225"/>
  <c r="H4224"/>
  <c r="H4223"/>
  <c r="H4220"/>
  <c r="H4219"/>
  <c r="H4218"/>
  <c r="H4217"/>
  <c r="H4216"/>
  <c r="H4215"/>
  <c r="H4212"/>
  <c r="H4211"/>
  <c r="H4210"/>
  <c r="H4209"/>
  <c r="H4208"/>
  <c r="H4207"/>
  <c r="H4171"/>
  <c r="H4170"/>
  <c r="H4169"/>
  <c r="H4168"/>
  <c r="H4167"/>
  <c r="H4166"/>
  <c r="H4163"/>
  <c r="H4162"/>
  <c r="H4161"/>
  <c r="H4160"/>
  <c r="H4159"/>
  <c r="H4158"/>
  <c r="H4138"/>
  <c r="H4137"/>
  <c r="H4136"/>
  <c r="H4135"/>
  <c r="H4134"/>
  <c r="H4133"/>
  <c r="H4130"/>
  <c r="H4129"/>
  <c r="H4128"/>
  <c r="H4127"/>
  <c r="H4126"/>
  <c r="H4125"/>
  <c r="H4105"/>
  <c r="H4104"/>
  <c r="H4103"/>
  <c r="H4102"/>
  <c r="H4101"/>
  <c r="H4100"/>
  <c r="H4097"/>
  <c r="H4096"/>
  <c r="H4095"/>
  <c r="H4094"/>
  <c r="H4093"/>
  <c r="H4092"/>
  <c r="H4072"/>
  <c r="H4071"/>
  <c r="H4070"/>
  <c r="H4069"/>
  <c r="H4068"/>
  <c r="H4067"/>
  <c r="H4064"/>
  <c r="H4063"/>
  <c r="H4062"/>
  <c r="H4061"/>
  <c r="H4060"/>
  <c r="H4059"/>
  <c r="H4039"/>
  <c r="H4038"/>
  <c r="H4037"/>
  <c r="H4036"/>
  <c r="H4035"/>
  <c r="H4034"/>
  <c r="H4031"/>
  <c r="H4030"/>
  <c r="H4029"/>
  <c r="H4028"/>
  <c r="H4027"/>
  <c r="H4026"/>
  <c r="H4006"/>
  <c r="H4005"/>
  <c r="H4004"/>
  <c r="H4003"/>
  <c r="H4002"/>
  <c r="H4001"/>
  <c r="H3998"/>
  <c r="H3997"/>
  <c r="H3996"/>
  <c r="H3995"/>
  <c r="H3994"/>
  <c r="H3993"/>
  <c r="H3939"/>
  <c r="H3938"/>
  <c r="H3937"/>
  <c r="H3936"/>
  <c r="H3935"/>
  <c r="H3934"/>
  <c r="H3931"/>
  <c r="H3930"/>
  <c r="H3929"/>
  <c r="H3928"/>
  <c r="H3927"/>
  <c r="H3926"/>
  <c r="H3906"/>
  <c r="H3905"/>
  <c r="H3904"/>
  <c r="H3903"/>
  <c r="H3902"/>
  <c r="H3901"/>
  <c r="H3898"/>
  <c r="H3897"/>
  <c r="H3896"/>
  <c r="H3895"/>
  <c r="H3894"/>
  <c r="H3893"/>
  <c r="H3910"/>
  <c r="H3911"/>
  <c r="H3912"/>
  <c r="H3913"/>
  <c r="H3914"/>
  <c r="H3915"/>
  <c r="H3918"/>
  <c r="H3919"/>
  <c r="H3920"/>
  <c r="H3921"/>
  <c r="H3922"/>
  <c r="H3923"/>
  <c r="H3873"/>
  <c r="H3872"/>
  <c r="H3871"/>
  <c r="H3870"/>
  <c r="H3869"/>
  <c r="H3868"/>
  <c r="H3865"/>
  <c r="H3864"/>
  <c r="H3863"/>
  <c r="H3862"/>
  <c r="H3861"/>
  <c r="H3860"/>
  <c r="H3840"/>
  <c r="H3839"/>
  <c r="H3838"/>
  <c r="H3837"/>
  <c r="H3836"/>
  <c r="H3835"/>
  <c r="H3832"/>
  <c r="H3831"/>
  <c r="H3830"/>
  <c r="H3829"/>
  <c r="H3828"/>
  <c r="H3827"/>
  <c r="H3807"/>
  <c r="H3806"/>
  <c r="H3805"/>
  <c r="H3804"/>
  <c r="H3803"/>
  <c r="H3802"/>
  <c r="H3799"/>
  <c r="H3798"/>
  <c r="H3797"/>
  <c r="H3796"/>
  <c r="H3795"/>
  <c r="H3794"/>
  <c r="H3774"/>
  <c r="H3773"/>
  <c r="H3772"/>
  <c r="H3771"/>
  <c r="H3770"/>
  <c r="H3769"/>
  <c r="H3766"/>
  <c r="H3765"/>
  <c r="H3764"/>
  <c r="H3763"/>
  <c r="H3762"/>
  <c r="H3761"/>
  <c r="H3707"/>
  <c r="H3706"/>
  <c r="H3705"/>
  <c r="H3704"/>
  <c r="H3703"/>
  <c r="H3702"/>
  <c r="H3699"/>
  <c r="H3698"/>
  <c r="H3697"/>
  <c r="H3696"/>
  <c r="H3695"/>
  <c r="H3694"/>
  <c r="H3674"/>
  <c r="H3673"/>
  <c r="H3672"/>
  <c r="H3671"/>
  <c r="H3670"/>
  <c r="H3669"/>
  <c r="H3666"/>
  <c r="H3665"/>
  <c r="H3664"/>
  <c r="H3663"/>
  <c r="H3662"/>
  <c r="H3661"/>
  <c r="H3641"/>
  <c r="H3640"/>
  <c r="H3639"/>
  <c r="H3638"/>
  <c r="H3637"/>
  <c r="H3636"/>
  <c r="H3633"/>
  <c r="H3632"/>
  <c r="H3631"/>
  <c r="H3630"/>
  <c r="H3629"/>
  <c r="H3628"/>
  <c r="H3608"/>
  <c r="H3607"/>
  <c r="H3606"/>
  <c r="H3605"/>
  <c r="H3604"/>
  <c r="H3603"/>
  <c r="H3600"/>
  <c r="H3599"/>
  <c r="H3598"/>
  <c r="H3597"/>
  <c r="H3596"/>
  <c r="H3595"/>
  <c r="H3575"/>
  <c r="H3574"/>
  <c r="H3573"/>
  <c r="H3572"/>
  <c r="H3571"/>
  <c r="H3570"/>
  <c r="H3567"/>
  <c r="H3566"/>
  <c r="H3565"/>
  <c r="H3564"/>
  <c r="H3563"/>
  <c r="H3562"/>
  <c r="H3542"/>
  <c r="H3541"/>
  <c r="H3540"/>
  <c r="H3539"/>
  <c r="H3538"/>
  <c r="H3537"/>
  <c r="H3534"/>
  <c r="H3533"/>
  <c r="H3532"/>
  <c r="H3531"/>
  <c r="H3530"/>
  <c r="H3529"/>
  <c r="H3508"/>
  <c r="H3507"/>
  <c r="H3506"/>
  <c r="H3505"/>
  <c r="H3504"/>
  <c r="H3503"/>
  <c r="H3500"/>
  <c r="H3499"/>
  <c r="H3498"/>
  <c r="H3497"/>
  <c r="H3496"/>
  <c r="H3495"/>
  <c r="H3475"/>
  <c r="H3474"/>
  <c r="H3473"/>
  <c r="H3472"/>
  <c r="H3471"/>
  <c r="H3470"/>
  <c r="H3467"/>
  <c r="H3466"/>
  <c r="H3465"/>
  <c r="H3464"/>
  <c r="H3463"/>
  <c r="H3462"/>
  <c r="B3477"/>
  <c r="H3479"/>
  <c r="H3480"/>
  <c r="H3481"/>
  <c r="H3482"/>
  <c r="H3483"/>
  <c r="H3484"/>
  <c r="H3487"/>
  <c r="H3488"/>
  <c r="H3489"/>
  <c r="H3490"/>
  <c r="H3491"/>
  <c r="H3492"/>
  <c r="H3424"/>
  <c r="H3423"/>
  <c r="H3422"/>
  <c r="H3421"/>
  <c r="H3420"/>
  <c r="H3419"/>
  <c r="H3416"/>
  <c r="H3415"/>
  <c r="H3414"/>
  <c r="H3413"/>
  <c r="H3412"/>
  <c r="H3411"/>
  <c r="H3366"/>
  <c r="H3365"/>
  <c r="H3364"/>
  <c r="H3363"/>
  <c r="H3362"/>
  <c r="H3361"/>
  <c r="H3358"/>
  <c r="H3357"/>
  <c r="H3356"/>
  <c r="H3355"/>
  <c r="H3354"/>
  <c r="H3353"/>
  <c r="H3333"/>
  <c r="H3332"/>
  <c r="H3331"/>
  <c r="H3330"/>
  <c r="H3329"/>
  <c r="H3328"/>
  <c r="H3325"/>
  <c r="H3324"/>
  <c r="H3323"/>
  <c r="H3322"/>
  <c r="H3321"/>
  <c r="H3320"/>
  <c r="H3300"/>
  <c r="H3299"/>
  <c r="H3298"/>
  <c r="H3297"/>
  <c r="H3296"/>
  <c r="H3295"/>
  <c r="H3292"/>
  <c r="H3291"/>
  <c r="H3290"/>
  <c r="H3289"/>
  <c r="H3288"/>
  <c r="H3287"/>
  <c r="H3267"/>
  <c r="H3266"/>
  <c r="H3265"/>
  <c r="H3264"/>
  <c r="H3263"/>
  <c r="H3262"/>
  <c r="H3259"/>
  <c r="H3258"/>
  <c r="H3257"/>
  <c r="H3256"/>
  <c r="H3255"/>
  <c r="H3254"/>
  <c r="H3234"/>
  <c r="H3233"/>
  <c r="H3232"/>
  <c r="H3231"/>
  <c r="H3230"/>
  <c r="H3229"/>
  <c r="H3226"/>
  <c r="H3225"/>
  <c r="H3224"/>
  <c r="H3223"/>
  <c r="H3222"/>
  <c r="H3221"/>
  <c r="H3199"/>
  <c r="H3198"/>
  <c r="H3197"/>
  <c r="H3196"/>
  <c r="H3195"/>
  <c r="H3194"/>
  <c r="H3191"/>
  <c r="H3190"/>
  <c r="H3189"/>
  <c r="H3188"/>
  <c r="H3187"/>
  <c r="H3186"/>
  <c r="H3156"/>
  <c r="H3155"/>
  <c r="H3154"/>
  <c r="H3153"/>
  <c r="H3152"/>
  <c r="H3151"/>
  <c r="H3148"/>
  <c r="H3147"/>
  <c r="H3146"/>
  <c r="H3145"/>
  <c r="H3144"/>
  <c r="H3143"/>
  <c r="H3123"/>
  <c r="H3122"/>
  <c r="H3121"/>
  <c r="H3120"/>
  <c r="H3119"/>
  <c r="H3118"/>
  <c r="H3115"/>
  <c r="H3114"/>
  <c r="H3113"/>
  <c r="H3112"/>
  <c r="H3111"/>
  <c r="H3110"/>
  <c r="H3090"/>
  <c r="H3089"/>
  <c r="H3088"/>
  <c r="H3087"/>
  <c r="H3086"/>
  <c r="H3085"/>
  <c r="H3082"/>
  <c r="H3081"/>
  <c r="H3080"/>
  <c r="H3079"/>
  <c r="H3078"/>
  <c r="H3077"/>
  <c r="H3057"/>
  <c r="H3056"/>
  <c r="H3055"/>
  <c r="H3054"/>
  <c r="H3053"/>
  <c r="H3052"/>
  <c r="H3049"/>
  <c r="H3048"/>
  <c r="H3047"/>
  <c r="H3046"/>
  <c r="H3045"/>
  <c r="H3044"/>
  <c r="E1415"/>
  <c r="H1881"/>
  <c r="H1880"/>
  <c r="H1879"/>
  <c r="G1876"/>
  <c r="G1877" s="1"/>
  <c r="G1878" s="1"/>
  <c r="F1876"/>
  <c r="F1877" s="1"/>
  <c r="H1874"/>
  <c r="H1873"/>
  <c r="H1872"/>
  <c r="G1869"/>
  <c r="G1870" s="1"/>
  <c r="G1871" s="1"/>
  <c r="F1869"/>
  <c r="F1870" s="1"/>
  <c r="H1744"/>
  <c r="H1743"/>
  <c r="H1742"/>
  <c r="G1739"/>
  <c r="G1740" s="1"/>
  <c r="G1741" s="1"/>
  <c r="F1739"/>
  <c r="E1739" s="1"/>
  <c r="H1737"/>
  <c r="H1736"/>
  <c r="H1735"/>
  <c r="G1732"/>
  <c r="G1733" s="1"/>
  <c r="G1734" s="1"/>
  <c r="F1732"/>
  <c r="F1733" s="1"/>
  <c r="H1607"/>
  <c r="H1606"/>
  <c r="H1605"/>
  <c r="G1602"/>
  <c r="G1603" s="1"/>
  <c r="G1604" s="1"/>
  <c r="F1602"/>
  <c r="F1603" s="1"/>
  <c r="H1600"/>
  <c r="H1599"/>
  <c r="H1598"/>
  <c r="G1595"/>
  <c r="G1596" s="1"/>
  <c r="G1597" s="1"/>
  <c r="F1595"/>
  <c r="F1596" s="1"/>
  <c r="F2990"/>
  <c r="F2989"/>
  <c r="F2979"/>
  <c r="F2978"/>
  <c r="F2977"/>
  <c r="F2976"/>
  <c r="F2975"/>
  <c r="H2930"/>
  <c r="H2929"/>
  <c r="H2928"/>
  <c r="H2927"/>
  <c r="H2926"/>
  <c r="H2925"/>
  <c r="H2922"/>
  <c r="H2921"/>
  <c r="H2920"/>
  <c r="H2919"/>
  <c r="H2918"/>
  <c r="H2917"/>
  <c r="H2897"/>
  <c r="H2896"/>
  <c r="H2895"/>
  <c r="H2894"/>
  <c r="H2893"/>
  <c r="H2892"/>
  <c r="H2889"/>
  <c r="H2888"/>
  <c r="H2887"/>
  <c r="H2886"/>
  <c r="H2885"/>
  <c r="H2884"/>
  <c r="H2864"/>
  <c r="H2863"/>
  <c r="H2862"/>
  <c r="H2861"/>
  <c r="H2860"/>
  <c r="H2859"/>
  <c r="H2856"/>
  <c r="H2855"/>
  <c r="H2854"/>
  <c r="H2853"/>
  <c r="H2852"/>
  <c r="H2851"/>
  <c r="H2831"/>
  <c r="H2830"/>
  <c r="H2829"/>
  <c r="H2828"/>
  <c r="H2827"/>
  <c r="H2826"/>
  <c r="H2823"/>
  <c r="H2822"/>
  <c r="H2821"/>
  <c r="H2820"/>
  <c r="H2819"/>
  <c r="H2818"/>
  <c r="H2798"/>
  <c r="H2797"/>
  <c r="H2796"/>
  <c r="H2795"/>
  <c r="H2794"/>
  <c r="H2793"/>
  <c r="H2790"/>
  <c r="H2789"/>
  <c r="H2788"/>
  <c r="H2787"/>
  <c r="H2786"/>
  <c r="H2785"/>
  <c r="H2765"/>
  <c r="H2764"/>
  <c r="H2763"/>
  <c r="H2762"/>
  <c r="H2761"/>
  <c r="H2760"/>
  <c r="H2757"/>
  <c r="H2756"/>
  <c r="H2755"/>
  <c r="H2754"/>
  <c r="H2753"/>
  <c r="H2752"/>
  <c r="H2726"/>
  <c r="H2725"/>
  <c r="H2724"/>
  <c r="H2723"/>
  <c r="H2722"/>
  <c r="H2721"/>
  <c r="H2718"/>
  <c r="H2717"/>
  <c r="H2716"/>
  <c r="H2715"/>
  <c r="H2714"/>
  <c r="H2713"/>
  <c r="H2691"/>
  <c r="H2690"/>
  <c r="H2689"/>
  <c r="F2688"/>
  <c r="E2688"/>
  <c r="F2687"/>
  <c r="E2687"/>
  <c r="H2684"/>
  <c r="H2683"/>
  <c r="H2682"/>
  <c r="F2681"/>
  <c r="E2681"/>
  <c r="F2680"/>
  <c r="E2680"/>
  <c r="F2679"/>
  <c r="E2679"/>
  <c r="H2676"/>
  <c r="H2675"/>
  <c r="H2674"/>
  <c r="G2671"/>
  <c r="G2672" s="1"/>
  <c r="G2673" s="1"/>
  <c r="H2669"/>
  <c r="H2668"/>
  <c r="H2667"/>
  <c r="G2664"/>
  <c r="G2665" s="1"/>
  <c r="G2666" s="1"/>
  <c r="H2646"/>
  <c r="H2645"/>
  <c r="H2644"/>
  <c r="G2641"/>
  <c r="G2642" s="1"/>
  <c r="G2643" s="1"/>
  <c r="H2639"/>
  <c r="H2638"/>
  <c r="H2637"/>
  <c r="G2634"/>
  <c r="G2635" s="1"/>
  <c r="G2636" s="1"/>
  <c r="H2624"/>
  <c r="H2623"/>
  <c r="H2622"/>
  <c r="G2619"/>
  <c r="G2620" s="1"/>
  <c r="G2621" s="1"/>
  <c r="H2616"/>
  <c r="H2615"/>
  <c r="H2614"/>
  <c r="G2611"/>
  <c r="G2612" s="1"/>
  <c r="G2613" s="1"/>
  <c r="H2609"/>
  <c r="H2608"/>
  <c r="H2607"/>
  <c r="G2604"/>
  <c r="G2605" s="1"/>
  <c r="G2606" s="1"/>
  <c r="H2594"/>
  <c r="H2593"/>
  <c r="H2592"/>
  <c r="G2590"/>
  <c r="G2591" s="1"/>
  <c r="E2590"/>
  <c r="G2589"/>
  <c r="F2589"/>
  <c r="F2590" s="1"/>
  <c r="F2591" s="1"/>
  <c r="E2591" s="1"/>
  <c r="E2589"/>
  <c r="H2586"/>
  <c r="H2585"/>
  <c r="H2584"/>
  <c r="G2581"/>
  <c r="G2582" s="1"/>
  <c r="G2583" s="1"/>
  <c r="H2579"/>
  <c r="H2578"/>
  <c r="H2577"/>
  <c r="G2574"/>
  <c r="G2575" s="1"/>
  <c r="G2576" s="1"/>
  <c r="H2571"/>
  <c r="H2570"/>
  <c r="H2569"/>
  <c r="G2566"/>
  <c r="G2567" s="1"/>
  <c r="G2568" s="1"/>
  <c r="H2564"/>
  <c r="H2563"/>
  <c r="H2562"/>
  <c r="G2560"/>
  <c r="G2561" s="1"/>
  <c r="H2053"/>
  <c r="H2052"/>
  <c r="H2051"/>
  <c r="H2050"/>
  <c r="H2049"/>
  <c r="H2048"/>
  <c r="H2045"/>
  <c r="H2044"/>
  <c r="H2043"/>
  <c r="H2042"/>
  <c r="H2041"/>
  <c r="H2040"/>
  <c r="H2020"/>
  <c r="H2019"/>
  <c r="H2018"/>
  <c r="H2017"/>
  <c r="H2016"/>
  <c r="H2015"/>
  <c r="H2012"/>
  <c r="H2011"/>
  <c r="H2010"/>
  <c r="H2009"/>
  <c r="H2008"/>
  <c r="H2007"/>
  <c r="H1986"/>
  <c r="H1985"/>
  <c r="H1984"/>
  <c r="F1983"/>
  <c r="E1983"/>
  <c r="F1982"/>
  <c r="E1982"/>
  <c r="F1981"/>
  <c r="E1981"/>
  <c r="H1979"/>
  <c r="H1978"/>
  <c r="H1977"/>
  <c r="F1976"/>
  <c r="E1976"/>
  <c r="F1975"/>
  <c r="E1975"/>
  <c r="F1974"/>
  <c r="E1974"/>
  <c r="H1971"/>
  <c r="H1970"/>
  <c r="H1969"/>
  <c r="H1968"/>
  <c r="H1967"/>
  <c r="H1966"/>
  <c r="H1964"/>
  <c r="H1963"/>
  <c r="H1962"/>
  <c r="H1961"/>
  <c r="H1960"/>
  <c r="H1959"/>
  <c r="H1941"/>
  <c r="H1940"/>
  <c r="H1939"/>
  <c r="H1938"/>
  <c r="H1937"/>
  <c r="H1936"/>
  <c r="H1934"/>
  <c r="H1933"/>
  <c r="H1932"/>
  <c r="H1931"/>
  <c r="H1930"/>
  <c r="H1929"/>
  <c r="H1919"/>
  <c r="H1918"/>
  <c r="H1917"/>
  <c r="H1916"/>
  <c r="H1915"/>
  <c r="H1914"/>
  <c r="H1911"/>
  <c r="H1910"/>
  <c r="H1909"/>
  <c r="G1906"/>
  <c r="G1907" s="1"/>
  <c r="G1908" s="1"/>
  <c r="H1904"/>
  <c r="H1903"/>
  <c r="H1902"/>
  <c r="G1899"/>
  <c r="G1900" s="1"/>
  <c r="G1901" s="1"/>
  <c r="F1906"/>
  <c r="H1889"/>
  <c r="H1888"/>
  <c r="H1887"/>
  <c r="G1885"/>
  <c r="G1886" s="1"/>
  <c r="E1885"/>
  <c r="G1884"/>
  <c r="F1884"/>
  <c r="F1899" s="1"/>
  <c r="E1884"/>
  <c r="H1866"/>
  <c r="H1865"/>
  <c r="H1864"/>
  <c r="G1861"/>
  <c r="G1862" s="1"/>
  <c r="G1863" s="1"/>
  <c r="F1861"/>
  <c r="F1862" s="1"/>
  <c r="H1859"/>
  <c r="H1858"/>
  <c r="H1857"/>
  <c r="G1854"/>
  <c r="G1855" s="1"/>
  <c r="G1856" s="1"/>
  <c r="F1854"/>
  <c r="F1855" s="1"/>
  <c r="H1295"/>
  <c r="H1294"/>
  <c r="H1293"/>
  <c r="H1292"/>
  <c r="H1291"/>
  <c r="H1290"/>
  <c r="H1287"/>
  <c r="H1286"/>
  <c r="H1285"/>
  <c r="H1284"/>
  <c r="H1283"/>
  <c r="H1282"/>
  <c r="H1222"/>
  <c r="H1221"/>
  <c r="H1220"/>
  <c r="H1219"/>
  <c r="H1218"/>
  <c r="H1217"/>
  <c r="H1208"/>
  <c r="H1207"/>
  <c r="H1206"/>
  <c r="H1205"/>
  <c r="H1204"/>
  <c r="H1203"/>
  <c r="H1142"/>
  <c r="H1141"/>
  <c r="H1140"/>
  <c r="H1139"/>
  <c r="H1138"/>
  <c r="H1137"/>
  <c r="H1134"/>
  <c r="H1133"/>
  <c r="H1132"/>
  <c r="H1131"/>
  <c r="H1130"/>
  <c r="H1129"/>
  <c r="H1101"/>
  <c r="H1100"/>
  <c r="H1099"/>
  <c r="H1098"/>
  <c r="H1097"/>
  <c r="H1096"/>
  <c r="H1093"/>
  <c r="H1092"/>
  <c r="H1091"/>
  <c r="H1090"/>
  <c r="H1089"/>
  <c r="H1088"/>
  <c r="H1060"/>
  <c r="H1059"/>
  <c r="H1058"/>
  <c r="H1057"/>
  <c r="H1056"/>
  <c r="H1055"/>
  <c r="H1052"/>
  <c r="H1051"/>
  <c r="H1050"/>
  <c r="H1049"/>
  <c r="H1048"/>
  <c r="H1047"/>
  <c r="H1019"/>
  <c r="H1018"/>
  <c r="H1017"/>
  <c r="H1016"/>
  <c r="H1015"/>
  <c r="H1014"/>
  <c r="H1011"/>
  <c r="H1010"/>
  <c r="H1009"/>
  <c r="H1008"/>
  <c r="H1007"/>
  <c r="H1006"/>
  <c r="H978"/>
  <c r="H977"/>
  <c r="H976"/>
  <c r="H975"/>
  <c r="H974"/>
  <c r="H973"/>
  <c r="H970"/>
  <c r="H969"/>
  <c r="H968"/>
  <c r="H967"/>
  <c r="H966"/>
  <c r="H965"/>
  <c r="H945"/>
  <c r="H944"/>
  <c r="H943"/>
  <c r="H942"/>
  <c r="H941"/>
  <c r="H940"/>
  <c r="H937"/>
  <c r="H936"/>
  <c r="H935"/>
  <c r="H934"/>
  <c r="H933"/>
  <c r="H932"/>
  <c r="H738"/>
  <c r="H737"/>
  <c r="H736"/>
  <c r="H735"/>
  <c r="H734"/>
  <c r="H733"/>
  <c r="H730"/>
  <c r="H729"/>
  <c r="H728"/>
  <c r="H727"/>
  <c r="H726"/>
  <c r="H725"/>
  <c r="H705"/>
  <c r="H704"/>
  <c r="H703"/>
  <c r="H702"/>
  <c r="H701"/>
  <c r="H700"/>
  <c r="H697"/>
  <c r="H696"/>
  <c r="H695"/>
  <c r="H694"/>
  <c r="H693"/>
  <c r="H692"/>
  <c r="H672"/>
  <c r="H671"/>
  <c r="H670"/>
  <c r="H669"/>
  <c r="H668"/>
  <c r="H667"/>
  <c r="H664"/>
  <c r="H663"/>
  <c r="H662"/>
  <c r="H661"/>
  <c r="H660"/>
  <c r="H659"/>
  <c r="H639"/>
  <c r="H638"/>
  <c r="H637"/>
  <c r="H636"/>
  <c r="H635"/>
  <c r="H634"/>
  <c r="H631"/>
  <c r="H630"/>
  <c r="H629"/>
  <c r="H628"/>
  <c r="H627"/>
  <c r="H626"/>
  <c r="H606"/>
  <c r="H605"/>
  <c r="H604"/>
  <c r="H603"/>
  <c r="H602"/>
  <c r="H601"/>
  <c r="H598"/>
  <c r="H597"/>
  <c r="H596"/>
  <c r="H595"/>
  <c r="H594"/>
  <c r="H593"/>
  <c r="H573"/>
  <c r="H572"/>
  <c r="H571"/>
  <c r="H570"/>
  <c r="H569"/>
  <c r="H568"/>
  <c r="H565"/>
  <c r="H564"/>
  <c r="H563"/>
  <c r="H562"/>
  <c r="H561"/>
  <c r="H560"/>
  <c r="H540"/>
  <c r="H539"/>
  <c r="H538"/>
  <c r="H537"/>
  <c r="H536"/>
  <c r="H535"/>
  <c r="H532"/>
  <c r="H531"/>
  <c r="H530"/>
  <c r="H529"/>
  <c r="H528"/>
  <c r="H527"/>
  <c r="H507"/>
  <c r="H506"/>
  <c r="H505"/>
  <c r="H504"/>
  <c r="H503"/>
  <c r="H502"/>
  <c r="H499"/>
  <c r="H498"/>
  <c r="H497"/>
  <c r="H496"/>
  <c r="H495"/>
  <c r="H494"/>
  <c r="H474"/>
  <c r="H473"/>
  <c r="H472"/>
  <c r="H471"/>
  <c r="H470"/>
  <c r="H469"/>
  <c r="H466"/>
  <c r="H465"/>
  <c r="H464"/>
  <c r="H463"/>
  <c r="H462"/>
  <c r="H461"/>
  <c r="H441"/>
  <c r="H440"/>
  <c r="H439"/>
  <c r="H438"/>
  <c r="H437"/>
  <c r="H436"/>
  <c r="H433"/>
  <c r="H432"/>
  <c r="H431"/>
  <c r="H430"/>
  <c r="H429"/>
  <c r="H428"/>
  <c r="H408"/>
  <c r="H407"/>
  <c r="H406"/>
  <c r="H405"/>
  <c r="H404"/>
  <c r="H403"/>
  <c r="H400"/>
  <c r="H399"/>
  <c r="H398"/>
  <c r="H397"/>
  <c r="H396"/>
  <c r="H395"/>
  <c r="H375"/>
  <c r="H374"/>
  <c r="H373"/>
  <c r="H372"/>
  <c r="H371"/>
  <c r="H370"/>
  <c r="H367"/>
  <c r="H366"/>
  <c r="H365"/>
  <c r="H364"/>
  <c r="H363"/>
  <c r="H362"/>
  <c r="H342"/>
  <c r="H341"/>
  <c r="H340"/>
  <c r="H339"/>
  <c r="H338"/>
  <c r="H337"/>
  <c r="H334"/>
  <c r="H333"/>
  <c r="H332"/>
  <c r="H331"/>
  <c r="H330"/>
  <c r="H329"/>
  <c r="H309"/>
  <c r="H308"/>
  <c r="H307"/>
  <c r="H306"/>
  <c r="H305"/>
  <c r="H304"/>
  <c r="H301"/>
  <c r="H300"/>
  <c r="H299"/>
  <c r="H298"/>
  <c r="H297"/>
  <c r="H296"/>
  <c r="H276"/>
  <c r="H275"/>
  <c r="H274"/>
  <c r="H273"/>
  <c r="H272"/>
  <c r="H271"/>
  <c r="H268"/>
  <c r="H267"/>
  <c r="H266"/>
  <c r="H265"/>
  <c r="H264"/>
  <c r="H263"/>
  <c r="H243"/>
  <c r="H242"/>
  <c r="H241"/>
  <c r="H240"/>
  <c r="H239"/>
  <c r="H238"/>
  <c r="H235"/>
  <c r="H234"/>
  <c r="H233"/>
  <c r="H232"/>
  <c r="H231"/>
  <c r="H230"/>
  <c r="H210"/>
  <c r="H209"/>
  <c r="H208"/>
  <c r="H207"/>
  <c r="H206"/>
  <c r="H205"/>
  <c r="H202"/>
  <c r="H201"/>
  <c r="H200"/>
  <c r="H199"/>
  <c r="H198"/>
  <c r="H197"/>
  <c r="H177"/>
  <c r="H176"/>
  <c r="H175"/>
  <c r="H174"/>
  <c r="H173"/>
  <c r="H172"/>
  <c r="H169"/>
  <c r="H168"/>
  <c r="H167"/>
  <c r="H166"/>
  <c r="H165"/>
  <c r="H164"/>
  <c r="H144"/>
  <c r="H143"/>
  <c r="H142"/>
  <c r="H141"/>
  <c r="H140"/>
  <c r="H139"/>
  <c r="H136"/>
  <c r="H135"/>
  <c r="H134"/>
  <c r="H133"/>
  <c r="H132"/>
  <c r="H131"/>
  <c r="H111"/>
  <c r="H110"/>
  <c r="H109"/>
  <c r="H108"/>
  <c r="H107"/>
  <c r="H106"/>
  <c r="H103"/>
  <c r="H102"/>
  <c r="H101"/>
  <c r="H100"/>
  <c r="H99"/>
  <c r="H98"/>
  <c r="H78"/>
  <c r="H77"/>
  <c r="H76"/>
  <c r="H75"/>
  <c r="H74"/>
  <c r="H73"/>
  <c r="H70"/>
  <c r="H69"/>
  <c r="H68"/>
  <c r="H67"/>
  <c r="H66"/>
  <c r="H65"/>
  <c r="B6461" i="7"/>
  <c r="A6461"/>
  <c r="B6457"/>
  <c r="A6457"/>
  <c r="B6453"/>
  <c r="A6453"/>
  <c r="B6436"/>
  <c r="A6436"/>
  <c r="B6432"/>
  <c r="A6432"/>
  <c r="B6428"/>
  <c r="B6416"/>
  <c r="B6406"/>
  <c r="A6406"/>
  <c r="B6397"/>
  <c r="A6397"/>
  <c r="A6388"/>
  <c r="B6372"/>
  <c r="A6372"/>
  <c r="B6362"/>
  <c r="A6362"/>
  <c r="B6353"/>
  <c r="A6353"/>
  <c r="B6320"/>
  <c r="A6320"/>
  <c r="B6312"/>
  <c r="A6312"/>
  <c r="B6304"/>
  <c r="A6304"/>
  <c r="B6282"/>
  <c r="A6282"/>
  <c r="B6278"/>
  <c r="A6278"/>
  <c r="B6256"/>
  <c r="A6256"/>
  <c r="B6251"/>
  <c r="A6251"/>
  <c r="B6235"/>
  <c r="A6235"/>
  <c r="B6231"/>
  <c r="A6231"/>
  <c r="B6210"/>
  <c r="A6210"/>
  <c r="B6206"/>
  <c r="A6206"/>
  <c r="B6190"/>
  <c r="A6190"/>
  <c r="B6181"/>
  <c r="A6181"/>
  <c r="B6173"/>
  <c r="A6173"/>
  <c r="B6165"/>
  <c r="A6165"/>
  <c r="B6138"/>
  <c r="A6138"/>
  <c r="B6130"/>
  <c r="A6130"/>
  <c r="B6122"/>
  <c r="A6122"/>
  <c r="B6096"/>
  <c r="A6096"/>
  <c r="B6088"/>
  <c r="A6088"/>
  <c r="B6054"/>
  <c r="A6054"/>
  <c r="B6046"/>
  <c r="A6046"/>
  <c r="B6011"/>
  <c r="A6011"/>
  <c r="B6003"/>
  <c r="A6003"/>
  <c r="B5995"/>
  <c r="A5995"/>
  <c r="B5977"/>
  <c r="A5977"/>
  <c r="B5968"/>
  <c r="A5968"/>
  <c r="B5960"/>
  <c r="A5960"/>
  <c r="B5932"/>
  <c r="A5932"/>
  <c r="B5928"/>
  <c r="A5928"/>
  <c r="B5903"/>
  <c r="A5903"/>
  <c r="B5895"/>
  <c r="A5895"/>
  <c r="B5887"/>
  <c r="A5887"/>
  <c r="B5860"/>
  <c r="A5860"/>
  <c r="B5852"/>
  <c r="A5852"/>
  <c r="B5817"/>
  <c r="A5817"/>
  <c r="B5809"/>
  <c r="A5809"/>
  <c r="B5801"/>
  <c r="A5801"/>
  <c r="B5791"/>
  <c r="A5791"/>
  <c r="B5783"/>
  <c r="A5783"/>
  <c r="B5775"/>
  <c r="A5775"/>
  <c r="B5748"/>
  <c r="A5748"/>
  <c r="B5740"/>
  <c r="A5740"/>
  <c r="B5732"/>
  <c r="A5732"/>
  <c r="B5722"/>
  <c r="A5722"/>
  <c r="B5714"/>
  <c r="A5714"/>
  <c r="B5706"/>
  <c r="A5706"/>
  <c r="B5679"/>
  <c r="A5679"/>
  <c r="B5671"/>
  <c r="A5671"/>
  <c r="B5663"/>
  <c r="A5663"/>
  <c r="B5653"/>
  <c r="A5653"/>
  <c r="B5645"/>
  <c r="A5645"/>
  <c r="B5637"/>
  <c r="A5637"/>
  <c r="B5610"/>
  <c r="A5610"/>
  <c r="B5602"/>
  <c r="A5602"/>
  <c r="B5594"/>
  <c r="A5594"/>
  <c r="B5584"/>
  <c r="B5576"/>
  <c r="B5568"/>
  <c r="A5584"/>
  <c r="A5576"/>
  <c r="A5568"/>
  <c r="E6282"/>
  <c r="E6278"/>
  <c r="E6235"/>
  <c r="E6054"/>
  <c r="E6011"/>
  <c r="E5968"/>
  <c r="B4743"/>
  <c r="A4743"/>
  <c r="B4735"/>
  <c r="A4735"/>
  <c r="B4713"/>
  <c r="A4713"/>
  <c r="B4689"/>
  <c r="B4707" s="1"/>
  <c r="B4761" s="1"/>
  <c r="A4689"/>
  <c r="A4707" s="1"/>
  <c r="A4761" s="1"/>
  <c r="B4681"/>
  <c r="B4699" s="1"/>
  <c r="A4681"/>
  <c r="A4699" s="1"/>
  <c r="A4663"/>
  <c r="A4694" s="1"/>
  <c r="B4657"/>
  <c r="A4657"/>
  <c r="B4649"/>
  <c r="A4649"/>
  <c r="B4641"/>
  <c r="A4641"/>
  <c r="B4632"/>
  <c r="A4632"/>
  <c r="B4616"/>
  <c r="A4616"/>
  <c r="B4608"/>
  <c r="A4608"/>
  <c r="B4599"/>
  <c r="A4599"/>
  <c r="B4583"/>
  <c r="A4583"/>
  <c r="B4575"/>
  <c r="A4575"/>
  <c r="B4566"/>
  <c r="A4566"/>
  <c r="B4550"/>
  <c r="A4550"/>
  <c r="A4542"/>
  <c r="B4533"/>
  <c r="A4533"/>
  <c r="B4517"/>
  <c r="A4517"/>
  <c r="B4509"/>
  <c r="A4509"/>
  <c r="B4500"/>
  <c r="A4500"/>
  <c r="B4484"/>
  <c r="A4484"/>
  <c r="B4451"/>
  <c r="A4451"/>
  <c r="B4446"/>
  <c r="A4446"/>
  <c r="B4438"/>
  <c r="A4438"/>
  <c r="B4430"/>
  <c r="A4430"/>
  <c r="A4425"/>
  <c r="B4425"/>
  <c r="B4417"/>
  <c r="A4417"/>
  <c r="B4409"/>
  <c r="A4400"/>
  <c r="B4400"/>
  <c r="A4384"/>
  <c r="B4384"/>
  <c r="B4376"/>
  <c r="A4367"/>
  <c r="B4367"/>
  <c r="B4351"/>
  <c r="B4343"/>
  <c r="A4334"/>
  <c r="B4334"/>
  <c r="B4318"/>
  <c r="B4310"/>
  <c r="A4301"/>
  <c r="B4301"/>
  <c r="B4285"/>
  <c r="A4285"/>
  <c r="A4277"/>
  <c r="B4277"/>
  <c r="B4268"/>
  <c r="A4268"/>
  <c r="B4252"/>
  <c r="B4218"/>
  <c r="A4212"/>
  <c r="B4212"/>
  <c r="A4191"/>
  <c r="B4191"/>
  <c r="A4170"/>
  <c r="B4170"/>
  <c r="A4152"/>
  <c r="B4152"/>
  <c r="A4134"/>
  <c r="B4134"/>
  <c r="A4116"/>
  <c r="B4116"/>
  <c r="A4098"/>
  <c r="B4098"/>
  <c r="A4062"/>
  <c r="B4062"/>
  <c r="E4062"/>
  <c r="A4025"/>
  <c r="B4025"/>
  <c r="A4009"/>
  <c r="B4009"/>
  <c r="A3941"/>
  <c r="B3941"/>
  <c r="A3868"/>
  <c r="B3868"/>
  <c r="E3868"/>
  <c r="A3843"/>
  <c r="B3843"/>
  <c r="A3797"/>
  <c r="B3797"/>
  <c r="A3751"/>
  <c r="B3751"/>
  <c r="A3705"/>
  <c r="B3705"/>
  <c r="A3659"/>
  <c r="B3659"/>
  <c r="A3613"/>
  <c r="B3613"/>
  <c r="A3498"/>
  <c r="B3498"/>
  <c r="A3524"/>
  <c r="B3524"/>
  <c r="A3569"/>
  <c r="B3569"/>
  <c r="A3278"/>
  <c r="B3278"/>
  <c r="B3228"/>
  <c r="A3228"/>
  <c r="A3185"/>
  <c r="A3142"/>
  <c r="A3099"/>
  <c r="A3013"/>
  <c r="B3013"/>
  <c r="B3056" s="1"/>
  <c r="B3099" s="1"/>
  <c r="B3142" s="1"/>
  <c r="B3185" s="1"/>
  <c r="A2970"/>
  <c r="B2970"/>
  <c r="O2978"/>
  <c r="O2979" s="1"/>
  <c r="Q2973"/>
  <c r="Q2974" s="1"/>
  <c r="O2973"/>
  <c r="O2974" s="1"/>
  <c r="O2972"/>
  <c r="A2909"/>
  <c r="B2909"/>
  <c r="L2910"/>
  <c r="L2912" s="1"/>
  <c r="A2873"/>
  <c r="B2873"/>
  <c r="L2874"/>
  <c r="L2875" s="1"/>
  <c r="A2830"/>
  <c r="B2830"/>
  <c r="L2831"/>
  <c r="L2835" s="1"/>
  <c r="A2786"/>
  <c r="B2786"/>
  <c r="L2787"/>
  <c r="L2791" s="1"/>
  <c r="A2741"/>
  <c r="B2741"/>
  <c r="L2742"/>
  <c r="L2743" s="1"/>
  <c r="A2695"/>
  <c r="B2695"/>
  <c r="B2697"/>
  <c r="B2743" s="1"/>
  <c r="B2788" s="1"/>
  <c r="B2832" s="1"/>
  <c r="B2875" s="1"/>
  <c r="B2911" s="1"/>
  <c r="L2696"/>
  <c r="L2697" s="1"/>
  <c r="B2696"/>
  <c r="B2742" s="1"/>
  <c r="B2787" s="1"/>
  <c r="B2831" s="1"/>
  <c r="B2874" s="1"/>
  <c r="B2910" s="1"/>
  <c r="A2653"/>
  <c r="B2653"/>
  <c r="L2654"/>
  <c r="L2656" s="1"/>
  <c r="A2611"/>
  <c r="B2611"/>
  <c r="A2560"/>
  <c r="B2560"/>
  <c r="A2503"/>
  <c r="B2503"/>
  <c r="B2505"/>
  <c r="B2562" s="1"/>
  <c r="B2613" s="1"/>
  <c r="B2504"/>
  <c r="B2561" s="1"/>
  <c r="B2612" s="1"/>
  <c r="A2448"/>
  <c r="B2448"/>
  <c r="A2316"/>
  <c r="B2316"/>
  <c r="E2267"/>
  <c r="B2217"/>
  <c r="B2268" s="1"/>
  <c r="B2317" s="1"/>
  <c r="A2130"/>
  <c r="A2267" s="1"/>
  <c r="B2130"/>
  <c r="B2267" s="1"/>
  <c r="A2087"/>
  <c r="B2087"/>
  <c r="B2081"/>
  <c r="B2131"/>
  <c r="E2130"/>
  <c r="E2087"/>
  <c r="B2045"/>
  <c r="B2044"/>
  <c r="A2044"/>
  <c r="B1367"/>
  <c r="B1389" s="1"/>
  <c r="B1412" s="1"/>
  <c r="B1435" s="1"/>
  <c r="B1458" s="1"/>
  <c r="B1480" s="1"/>
  <c r="B1502" s="1"/>
  <c r="B1523" s="1"/>
  <c r="B1545" s="1"/>
  <c r="B1567" s="1"/>
  <c r="B1589" s="1"/>
  <c r="B1611" s="1"/>
  <c r="B1633" s="1"/>
  <c r="B1655" s="1"/>
  <c r="B1677" s="1"/>
  <c r="B1700" s="1"/>
  <c r="B1722" s="1"/>
  <c r="B1747" s="1"/>
  <c r="B1769" s="1"/>
  <c r="B1795" s="1"/>
  <c r="AA1346"/>
  <c r="A1322"/>
  <c r="A1344" s="1"/>
  <c r="A1366" s="1"/>
  <c r="A1388" s="1"/>
  <c r="A1411" s="1"/>
  <c r="A1434" s="1"/>
  <c r="A1457" s="1"/>
  <c r="A1479" s="1"/>
  <c r="A1501" s="1"/>
  <c r="A1522" s="1"/>
  <c r="A1544" s="1"/>
  <c r="A1566" s="1"/>
  <c r="A1588" s="1"/>
  <c r="A1610" s="1"/>
  <c r="A1632" s="1"/>
  <c r="A1654" s="1"/>
  <c r="A1676" s="1"/>
  <c r="A1699" s="1"/>
  <c r="A1721" s="1"/>
  <c r="A1746" s="1"/>
  <c r="A1768" s="1"/>
  <c r="A1794" s="1"/>
  <c r="B1322"/>
  <c r="B1344" s="1"/>
  <c r="B1366" s="1"/>
  <c r="B1388" s="1"/>
  <c r="B1411" s="1"/>
  <c r="B1434" s="1"/>
  <c r="B1457" s="1"/>
  <c r="B1479" s="1"/>
  <c r="B1501" s="1"/>
  <c r="B1522" s="1"/>
  <c r="B1544" s="1"/>
  <c r="B1566" s="1"/>
  <c r="B1588" s="1"/>
  <c r="B1610" s="1"/>
  <c r="B1632" s="1"/>
  <c r="B1654" s="1"/>
  <c r="B1676" s="1"/>
  <c r="B1699" s="1"/>
  <c r="B1721" s="1"/>
  <c r="B1746" s="1"/>
  <c r="B1768" s="1"/>
  <c r="B1794" s="1"/>
  <c r="G515"/>
  <c r="G510"/>
  <c r="G505"/>
  <c r="G500"/>
  <c r="G495"/>
  <c r="G490"/>
  <c r="G485"/>
  <c r="G479"/>
  <c r="G474"/>
  <c r="G469"/>
  <c r="G464"/>
  <c r="G416"/>
  <c r="G411"/>
  <c r="A1318"/>
  <c r="H45" i="18"/>
  <c r="H44"/>
  <c r="H43"/>
  <c r="H42"/>
  <c r="H41"/>
  <c r="H40"/>
  <c r="H37"/>
  <c r="H36"/>
  <c r="H35"/>
  <c r="H34"/>
  <c r="H33"/>
  <c r="H32"/>
  <c r="A6959"/>
  <c r="A6960" s="1"/>
  <c r="A6961" s="1"/>
  <c r="J6957"/>
  <c r="T4834" i="7"/>
  <c r="O3128"/>
  <c r="O3129" s="1"/>
  <c r="H1849" i="18"/>
  <c r="H1848"/>
  <c r="H1847"/>
  <c r="F1846"/>
  <c r="E1846"/>
  <c r="F1845"/>
  <c r="E1845"/>
  <c r="F1844"/>
  <c r="E1844"/>
  <c r="H1842"/>
  <c r="H1841"/>
  <c r="H1840"/>
  <c r="F1839"/>
  <c r="E1839"/>
  <c r="F1838"/>
  <c r="E1838"/>
  <c r="F1837"/>
  <c r="E1837"/>
  <c r="H1834"/>
  <c r="H1833"/>
  <c r="H1832"/>
  <c r="H1831"/>
  <c r="H1830"/>
  <c r="H1829"/>
  <c r="H1827"/>
  <c r="H1826"/>
  <c r="H1825"/>
  <c r="H1824"/>
  <c r="H1823"/>
  <c r="H1822"/>
  <c r="H1804"/>
  <c r="H1803"/>
  <c r="H1802"/>
  <c r="H1801"/>
  <c r="H1800"/>
  <c r="H1799"/>
  <c r="H1797"/>
  <c r="H1796"/>
  <c r="H1795"/>
  <c r="H1794"/>
  <c r="H1793"/>
  <c r="H1792"/>
  <c r="H1782"/>
  <c r="H1781"/>
  <c r="H1780"/>
  <c r="H1779"/>
  <c r="H1778"/>
  <c r="H1777"/>
  <c r="H1774"/>
  <c r="H1773"/>
  <c r="H1772"/>
  <c r="G1769"/>
  <c r="G1770" s="1"/>
  <c r="G1771" s="1"/>
  <c r="H1767"/>
  <c r="H1766"/>
  <c r="H1765"/>
  <c r="G1762"/>
  <c r="G1763" s="1"/>
  <c r="G1764" s="1"/>
  <c r="H1752"/>
  <c r="H1751"/>
  <c r="H1750"/>
  <c r="G1748"/>
  <c r="G1749" s="1"/>
  <c r="E1748"/>
  <c r="G1747"/>
  <c r="F1747"/>
  <c r="F1748" s="1"/>
  <c r="F1749" s="1"/>
  <c r="E1749" s="1"/>
  <c r="E1747"/>
  <c r="H1729"/>
  <c r="H1728"/>
  <c r="H1727"/>
  <c r="G1724"/>
  <c r="G1725" s="1"/>
  <c r="G1726" s="1"/>
  <c r="F1724"/>
  <c r="F1725" s="1"/>
  <c r="H1722"/>
  <c r="H1721"/>
  <c r="H1720"/>
  <c r="G1717"/>
  <c r="G1718" s="1"/>
  <c r="G1719" s="1"/>
  <c r="F1717"/>
  <c r="F1718" s="1"/>
  <c r="H2554"/>
  <c r="H2553"/>
  <c r="H2552"/>
  <c r="F2551"/>
  <c r="E2551"/>
  <c r="F2550"/>
  <c r="E2550"/>
  <c r="F2549"/>
  <c r="E2549"/>
  <c r="H2547"/>
  <c r="H2546"/>
  <c r="H2545"/>
  <c r="F2544"/>
  <c r="E2544"/>
  <c r="F2543"/>
  <c r="E2543"/>
  <c r="F2542"/>
  <c r="E2542"/>
  <c r="H2539"/>
  <c r="H2538"/>
  <c r="H2537"/>
  <c r="G2534"/>
  <c r="G2535" s="1"/>
  <c r="G2536" s="1"/>
  <c r="H2532"/>
  <c r="H2531"/>
  <c r="H2530"/>
  <c r="G2527"/>
  <c r="G2528" s="1"/>
  <c r="G2529" s="1"/>
  <c r="H2509"/>
  <c r="H2508"/>
  <c r="H2507"/>
  <c r="G2504"/>
  <c r="G2505" s="1"/>
  <c r="G2506" s="1"/>
  <c r="H2502"/>
  <c r="H2501"/>
  <c r="H2500"/>
  <c r="G2497"/>
  <c r="G2498" s="1"/>
  <c r="G2499" s="1"/>
  <c r="H2487"/>
  <c r="H2486"/>
  <c r="H2485"/>
  <c r="G2482"/>
  <c r="G2483" s="1"/>
  <c r="G2484" s="1"/>
  <c r="H2479"/>
  <c r="H2478"/>
  <c r="H2477"/>
  <c r="G2474"/>
  <c r="G2475" s="1"/>
  <c r="G2476" s="1"/>
  <c r="H2472"/>
  <c r="H2471"/>
  <c r="H2470"/>
  <c r="G2467"/>
  <c r="G2468" s="1"/>
  <c r="G2469" s="1"/>
  <c r="H2457"/>
  <c r="H2456"/>
  <c r="H2455"/>
  <c r="G2453"/>
  <c r="G2454" s="1"/>
  <c r="E2453"/>
  <c r="G2452"/>
  <c r="F2452"/>
  <c r="F2453" s="1"/>
  <c r="F2454" s="1"/>
  <c r="E2454" s="1"/>
  <c r="E2452"/>
  <c r="H2449"/>
  <c r="H2448"/>
  <c r="H2447"/>
  <c r="G2444"/>
  <c r="G2445" s="1"/>
  <c r="G2446" s="1"/>
  <c r="H2442"/>
  <c r="H2441"/>
  <c r="H2440"/>
  <c r="G2437"/>
  <c r="G2438" s="1"/>
  <c r="G2439" s="1"/>
  <c r="H2434"/>
  <c r="H2433"/>
  <c r="H2432"/>
  <c r="G2429"/>
  <c r="G2430" s="1"/>
  <c r="G2431" s="1"/>
  <c r="H2427"/>
  <c r="H2426"/>
  <c r="H2425"/>
  <c r="G2423"/>
  <c r="G2424" s="1"/>
  <c r="H2402"/>
  <c r="H2401"/>
  <c r="H2400"/>
  <c r="G2397"/>
  <c r="G2398" s="1"/>
  <c r="G2399" s="1"/>
  <c r="H2395"/>
  <c r="H2394"/>
  <c r="H2393"/>
  <c r="G2390"/>
  <c r="G2391" s="1"/>
  <c r="G2392" s="1"/>
  <c r="H2372"/>
  <c r="H2371"/>
  <c r="H2370"/>
  <c r="G2367"/>
  <c r="G2368" s="1"/>
  <c r="G2369" s="1"/>
  <c r="H2365"/>
  <c r="H2364"/>
  <c r="H2363"/>
  <c r="G2360"/>
  <c r="G2361" s="1"/>
  <c r="G2362" s="1"/>
  <c r="H2350"/>
  <c r="H2349"/>
  <c r="H2348"/>
  <c r="G2345"/>
  <c r="G2346" s="1"/>
  <c r="G2347" s="1"/>
  <c r="H2417"/>
  <c r="H2416"/>
  <c r="H2415"/>
  <c r="F2414"/>
  <c r="E2414"/>
  <c r="F2413"/>
  <c r="E2413"/>
  <c r="F2412"/>
  <c r="E2412"/>
  <c r="H2342"/>
  <c r="H2341"/>
  <c r="H2340"/>
  <c r="G2337"/>
  <c r="G2338" s="1"/>
  <c r="G2339" s="1"/>
  <c r="H2312"/>
  <c r="H2311"/>
  <c r="H2310"/>
  <c r="G2307"/>
  <c r="G2308" s="1"/>
  <c r="G2309" s="1"/>
  <c r="H2297"/>
  <c r="H2296"/>
  <c r="H2295"/>
  <c r="G2292"/>
  <c r="G2293" s="1"/>
  <c r="G2294" s="1"/>
  <c r="H2290"/>
  <c r="H2289"/>
  <c r="H2288"/>
  <c r="G2286"/>
  <c r="G2287" s="1"/>
  <c r="H2280"/>
  <c r="H2279"/>
  <c r="H2278"/>
  <c r="F2277"/>
  <c r="E2277"/>
  <c r="F2276"/>
  <c r="E2276"/>
  <c r="H2275"/>
  <c r="H2265"/>
  <c r="H2264"/>
  <c r="H2263"/>
  <c r="G2260"/>
  <c r="G2261" s="1"/>
  <c r="G2262" s="1"/>
  <c r="H2250"/>
  <c r="H2249"/>
  <c r="H2248"/>
  <c r="G2245"/>
  <c r="G2246" s="1"/>
  <c r="G2247" s="1"/>
  <c r="H2235"/>
  <c r="H2234"/>
  <c r="H2233"/>
  <c r="G2230"/>
  <c r="G2231" s="1"/>
  <c r="G2232" s="1"/>
  <c r="H2220"/>
  <c r="H2219"/>
  <c r="H2218"/>
  <c r="G2215"/>
  <c r="G2216" s="1"/>
  <c r="G2217" s="1"/>
  <c r="H2205"/>
  <c r="H2204"/>
  <c r="H2203"/>
  <c r="G2200"/>
  <c r="G2201" s="1"/>
  <c r="G2202" s="1"/>
  <c r="H2175"/>
  <c r="H2174"/>
  <c r="H2173"/>
  <c r="G2170"/>
  <c r="G2171" s="1"/>
  <c r="G2172" s="1"/>
  <c r="H2145"/>
  <c r="H2144"/>
  <c r="H2143"/>
  <c r="G2141"/>
  <c r="G2142" s="1"/>
  <c r="E2126"/>
  <c r="F2125"/>
  <c r="F2126" s="1"/>
  <c r="F2127" s="1"/>
  <c r="E2127" s="1"/>
  <c r="H2127" s="1"/>
  <c r="E2125"/>
  <c r="H2115"/>
  <c r="H2114"/>
  <c r="H2113"/>
  <c r="G2110"/>
  <c r="G2111" s="1"/>
  <c r="G2112" s="1"/>
  <c r="H2100"/>
  <c r="H2099"/>
  <c r="H2098"/>
  <c r="G2095"/>
  <c r="G2096" s="1"/>
  <c r="G2097" s="1"/>
  <c r="H2085"/>
  <c r="H2084"/>
  <c r="H2083"/>
  <c r="G2080"/>
  <c r="G2081" s="1"/>
  <c r="G2082" s="1"/>
  <c r="F2080"/>
  <c r="E2080" s="1"/>
  <c r="H2070"/>
  <c r="H2069"/>
  <c r="H2068"/>
  <c r="G2065"/>
  <c r="G2066" s="1"/>
  <c r="G2067" s="1"/>
  <c r="F2065"/>
  <c r="F2066" s="1"/>
  <c r="H1697"/>
  <c r="H1696"/>
  <c r="H1695"/>
  <c r="H1694"/>
  <c r="H1693"/>
  <c r="H1692"/>
  <c r="H1667"/>
  <c r="H1666"/>
  <c r="H1665"/>
  <c r="H1664"/>
  <c r="H1663"/>
  <c r="H1662"/>
  <c r="H1470"/>
  <c r="H1469"/>
  <c r="H1468"/>
  <c r="H1467"/>
  <c r="H1466"/>
  <c r="H1465"/>
  <c r="H1500"/>
  <c r="H1499"/>
  <c r="H1498"/>
  <c r="H1497"/>
  <c r="H1496"/>
  <c r="H1495"/>
  <c r="H1515"/>
  <c r="H1514"/>
  <c r="H1513"/>
  <c r="H1512"/>
  <c r="H1511"/>
  <c r="H1510"/>
  <c r="H1530"/>
  <c r="H1529"/>
  <c r="H1528"/>
  <c r="H1527"/>
  <c r="H1526"/>
  <c r="H1525"/>
  <c r="H1545"/>
  <c r="H1544"/>
  <c r="H1543"/>
  <c r="H1542"/>
  <c r="H1541"/>
  <c r="H1540"/>
  <c r="H1560"/>
  <c r="H1559"/>
  <c r="H1558"/>
  <c r="H1557"/>
  <c r="H1556"/>
  <c r="H1555"/>
  <c r="H1553"/>
  <c r="H1552"/>
  <c r="H1551"/>
  <c r="H1538"/>
  <c r="H1537"/>
  <c r="H1536"/>
  <c r="H1523"/>
  <c r="H1522"/>
  <c r="H1521"/>
  <c r="H1508"/>
  <c r="H1507"/>
  <c r="H1506"/>
  <c r="H1493"/>
  <c r="H1492"/>
  <c r="H1491"/>
  <c r="H1463"/>
  <c r="H1462"/>
  <c r="H1461"/>
  <c r="H1448"/>
  <c r="H1447"/>
  <c r="H1446"/>
  <c r="H1690"/>
  <c r="H1689"/>
  <c r="H1688"/>
  <c r="H1660"/>
  <c r="H1659"/>
  <c r="H1658"/>
  <c r="H1645"/>
  <c r="H1644"/>
  <c r="H1643"/>
  <c r="H1712"/>
  <c r="H1711"/>
  <c r="H1710"/>
  <c r="F1709"/>
  <c r="E1709"/>
  <c r="F1708"/>
  <c r="E1708"/>
  <c r="F1707"/>
  <c r="E1707"/>
  <c r="H1637"/>
  <c r="H1636"/>
  <c r="H1635"/>
  <c r="G1632"/>
  <c r="G1633" s="1"/>
  <c r="G1634" s="1"/>
  <c r="H1592"/>
  <c r="H1591"/>
  <c r="H1590"/>
  <c r="G1587"/>
  <c r="G1588" s="1"/>
  <c r="G1589" s="1"/>
  <c r="F1587"/>
  <c r="E1587" s="1"/>
  <c r="G527" i="7"/>
  <c r="H1575" i="18"/>
  <c r="H1574"/>
  <c r="H1573"/>
  <c r="F1572"/>
  <c r="F3273" s="1"/>
  <c r="E1572"/>
  <c r="F1571"/>
  <c r="F3272" s="1"/>
  <c r="E1571"/>
  <c r="H1440"/>
  <c r="H1439"/>
  <c r="H1438"/>
  <c r="H1410"/>
  <c r="H1409"/>
  <c r="H1408"/>
  <c r="G1406"/>
  <c r="G1407" s="1"/>
  <c r="H1394"/>
  <c r="H1393"/>
  <c r="H1392"/>
  <c r="H1379"/>
  <c r="H1378"/>
  <c r="H1377"/>
  <c r="G1374"/>
  <c r="G1376" s="1"/>
  <c r="H1363"/>
  <c r="H1362"/>
  <c r="H1361"/>
  <c r="H1360"/>
  <c r="H1358"/>
  <c r="H1364" s="1"/>
  <c r="F108" i="7"/>
  <c r="G108" s="1"/>
  <c r="F107"/>
  <c r="G107" s="1"/>
  <c r="F106"/>
  <c r="G106" s="1"/>
  <c r="F105"/>
  <c r="G105" s="1"/>
  <c r="F104"/>
  <c r="G104" s="1"/>
  <c r="F103"/>
  <c r="G103" s="1"/>
  <c r="AF135"/>
  <c r="AF136"/>
  <c r="AF137"/>
  <c r="AF134"/>
  <c r="E4260"/>
  <c r="B4204"/>
  <c r="B4196"/>
  <c r="A4204"/>
  <c r="A4196"/>
  <c r="A4195"/>
  <c r="B4183"/>
  <c r="A4183"/>
  <c r="B4157"/>
  <c r="B4162"/>
  <c r="A4162"/>
  <c r="A4157"/>
  <c r="B4144"/>
  <c r="A4144"/>
  <c r="B4126"/>
  <c r="A4126"/>
  <c r="B3933"/>
  <c r="A3933"/>
  <c r="B3860"/>
  <c r="A3860"/>
  <c r="B3827"/>
  <c r="A3827"/>
  <c r="B3689"/>
  <c r="A3689"/>
  <c r="E3697"/>
  <c r="B3594"/>
  <c r="A3594"/>
  <c r="B3553"/>
  <c r="A3553"/>
  <c r="B3490"/>
  <c r="B651"/>
  <c r="B3516" s="1"/>
  <c r="A651"/>
  <c r="A3516" s="1"/>
  <c r="A3490"/>
  <c r="E3516"/>
  <c r="A3174"/>
  <c r="A3131"/>
  <c r="A3088"/>
  <c r="A3045"/>
  <c r="B3002"/>
  <c r="B3045" s="1"/>
  <c r="B3088" s="1"/>
  <c r="B3131" s="1"/>
  <c r="B3174" s="1"/>
  <c r="A3002"/>
  <c r="B2991"/>
  <c r="A2991"/>
  <c r="H2454" i="18" l="1"/>
  <c r="GI73" i="6"/>
  <c r="G1233" i="18" s="1"/>
  <c r="G1234" s="1"/>
  <c r="H4924"/>
  <c r="H4957"/>
  <c r="H4965"/>
  <c r="H4998"/>
  <c r="H5023"/>
  <c r="H5031"/>
  <c r="H5056"/>
  <c r="H5064"/>
  <c r="H5097"/>
  <c r="H5124"/>
  <c r="H5132"/>
  <c r="H5157"/>
  <c r="H5165"/>
  <c r="H5190"/>
  <c r="H5198"/>
  <c r="H5223"/>
  <c r="H5231"/>
  <c r="H5264"/>
  <c r="H5289"/>
  <c r="H5297"/>
  <c r="H5330"/>
  <c r="H5363"/>
  <c r="H5396"/>
  <c r="H5429"/>
  <c r="H4665"/>
  <c r="H4698"/>
  <c r="H4732"/>
  <c r="H4757"/>
  <c r="H4765"/>
  <c r="H4791"/>
  <c r="H4799"/>
  <c r="H4824"/>
  <c r="H4832"/>
  <c r="H4865"/>
  <c r="H4891"/>
  <c r="H4899"/>
  <c r="H4932"/>
  <c r="H3485"/>
  <c r="H1897"/>
  <c r="H1790"/>
  <c r="H1683"/>
  <c r="H1623"/>
  <c r="H1456"/>
  <c r="H2377"/>
  <c r="H2125"/>
  <c r="H971"/>
  <c r="H1053"/>
  <c r="H1135"/>
  <c r="H1209"/>
  <c r="H4657"/>
  <c r="H1676"/>
  <c r="H1479"/>
  <c r="H1813"/>
  <c r="H3907"/>
  <c r="H3940"/>
  <c r="H4007"/>
  <c r="H4040"/>
  <c r="H4073"/>
  <c r="H4106"/>
  <c r="H4139"/>
  <c r="H4172"/>
  <c r="H4631"/>
  <c r="H1927"/>
  <c r="H1820"/>
  <c r="H1760"/>
  <c r="H1653"/>
  <c r="H1486"/>
  <c r="H1426"/>
  <c r="H2126"/>
  <c r="AG134" i="7"/>
  <c r="AH134" s="1"/>
  <c r="AI134" s="1"/>
  <c r="L134" s="1"/>
  <c r="AG135"/>
  <c r="AH135" s="1"/>
  <c r="AI135" s="1"/>
  <c r="L135" s="1"/>
  <c r="AG136"/>
  <c r="AH136" s="1"/>
  <c r="AI136" s="1"/>
  <c r="L136" s="1"/>
  <c r="AG137"/>
  <c r="AH137" s="1"/>
  <c r="AI137" s="1"/>
  <c r="L137" s="1"/>
  <c r="BX24" i="105"/>
  <c r="BQ24"/>
  <c r="HN43"/>
  <c r="H3725" i="18"/>
  <c r="H3741"/>
  <c r="H3717"/>
  <c r="H3973"/>
  <c r="H3949"/>
  <c r="H3965"/>
  <c r="H4287"/>
  <c r="H4279"/>
  <c r="H1918" i="7"/>
  <c r="G4312"/>
  <c r="G4345" s="1"/>
  <c r="G4378" s="1"/>
  <c r="G4414" s="1"/>
  <c r="G4435" s="1"/>
  <c r="G4544" s="1"/>
  <c r="G4577" s="1"/>
  <c r="G4610" s="1"/>
  <c r="G4646" s="1"/>
  <c r="H5388" i="18"/>
  <c r="H3733"/>
  <c r="H2650"/>
  <c r="H46"/>
  <c r="H112"/>
  <c r="H145"/>
  <c r="H178"/>
  <c r="H203"/>
  <c r="H244"/>
  <c r="H277"/>
  <c r="H310"/>
  <c r="H343"/>
  <c r="H409"/>
  <c r="H442"/>
  <c r="H475"/>
  <c r="H508"/>
  <c r="H541"/>
  <c r="H574"/>
  <c r="H599"/>
  <c r="H640"/>
  <c r="H673"/>
  <c r="H739"/>
  <c r="H1229"/>
  <c r="H1296"/>
  <c r="H4990"/>
  <c r="H5089"/>
  <c r="H5256"/>
  <c r="H5322"/>
  <c r="H5355"/>
  <c r="H5421"/>
  <c r="H3957"/>
  <c r="H2180"/>
  <c r="H1950"/>
  <c r="H2376"/>
  <c r="H1957"/>
  <c r="H2179"/>
  <c r="H2513"/>
  <c r="G2651"/>
  <c r="H2651" s="1"/>
  <c r="H1227"/>
  <c r="F2514"/>
  <c r="H2514" s="1"/>
  <c r="H1212"/>
  <c r="H1213"/>
  <c r="H1211"/>
  <c r="H1225"/>
  <c r="H1223"/>
  <c r="H1226"/>
  <c r="H3050"/>
  <c r="H3116"/>
  <c r="H3149"/>
  <c r="H3192"/>
  <c r="H3227"/>
  <c r="H3268"/>
  <c r="H3293"/>
  <c r="H3326"/>
  <c r="H3359"/>
  <c r="H3417"/>
  <c r="H3468"/>
  <c r="H3501"/>
  <c r="H3535"/>
  <c r="H3568"/>
  <c r="H3601"/>
  <c r="H3634"/>
  <c r="H3667"/>
  <c r="H3700"/>
  <c r="H3775"/>
  <c r="H3800"/>
  <c r="H3833"/>
  <c r="H3866"/>
  <c r="H4221"/>
  <c r="H4237"/>
  <c r="H4303"/>
  <c r="H4598"/>
  <c r="H1094"/>
  <c r="H3916"/>
  <c r="H3058"/>
  <c r="H3083"/>
  <c r="H3091"/>
  <c r="H3124"/>
  <c r="H3157"/>
  <c r="H3200"/>
  <c r="H3235"/>
  <c r="H3260"/>
  <c r="H3301"/>
  <c r="H3334"/>
  <c r="H3367"/>
  <c r="H3425"/>
  <c r="H3476"/>
  <c r="H3509"/>
  <c r="H3543"/>
  <c r="H3576"/>
  <c r="H3609"/>
  <c r="H3642"/>
  <c r="H3675"/>
  <c r="H3708"/>
  <c r="H3767"/>
  <c r="H3808"/>
  <c r="H3841"/>
  <c r="H3874"/>
  <c r="H3899"/>
  <c r="H3932"/>
  <c r="H3999"/>
  <c r="H4032"/>
  <c r="H4065"/>
  <c r="H4098"/>
  <c r="H4131"/>
  <c r="H4164"/>
  <c r="H4213"/>
  <c r="H4229"/>
  <c r="H4295"/>
  <c r="H4590"/>
  <c r="H4623"/>
  <c r="H4690"/>
  <c r="H4724"/>
  <c r="H4857"/>
  <c r="E1732"/>
  <c r="H1732" s="1"/>
  <c r="E1869"/>
  <c r="H1869" s="1"/>
  <c r="H1739"/>
  <c r="E1876"/>
  <c r="H1876" s="1"/>
  <c r="H2591"/>
  <c r="H2832"/>
  <c r="H2865"/>
  <c r="H2898"/>
  <c r="H2931"/>
  <c r="E1877"/>
  <c r="H1877" s="1"/>
  <c r="F1878"/>
  <c r="E1878" s="1"/>
  <c r="H1878" s="1"/>
  <c r="E1870"/>
  <c r="H1870" s="1"/>
  <c r="F1871"/>
  <c r="E1871" s="1"/>
  <c r="H1871" s="1"/>
  <c r="E1733"/>
  <c r="H1733" s="1"/>
  <c r="F1734"/>
  <c r="E1734" s="1"/>
  <c r="H1734" s="1"/>
  <c r="E1602"/>
  <c r="H1602" s="1"/>
  <c r="F1740"/>
  <c r="E1595"/>
  <c r="H1595" s="1"/>
  <c r="E1596"/>
  <c r="H1596" s="1"/>
  <c r="F1597"/>
  <c r="E1597" s="1"/>
  <c r="H1597" s="1"/>
  <c r="E1603"/>
  <c r="H1603" s="1"/>
  <c r="F1604"/>
  <c r="E1604" s="1"/>
  <c r="H1604" s="1"/>
  <c r="H2021"/>
  <c r="H2054"/>
  <c r="H2727"/>
  <c r="H2766"/>
  <c r="H104"/>
  <c r="H401"/>
  <c r="H434"/>
  <c r="H467"/>
  <c r="H566"/>
  <c r="H2719"/>
  <c r="H2824"/>
  <c r="H1935"/>
  <c r="H2758"/>
  <c r="H2791"/>
  <c r="H2857"/>
  <c r="H2890"/>
  <c r="H2923"/>
  <c r="H698"/>
  <c r="H1972"/>
  <c r="H2799"/>
  <c r="H2686"/>
  <c r="H1884"/>
  <c r="H2681"/>
  <c r="H211"/>
  <c r="H376"/>
  <c r="H607"/>
  <c r="H706"/>
  <c r="H946"/>
  <c r="Q2018" i="7" s="1"/>
  <c r="H1020" i="18"/>
  <c r="H1215"/>
  <c r="H1965"/>
  <c r="H2013"/>
  <c r="H2680"/>
  <c r="H2688"/>
  <c r="H1546"/>
  <c r="H368"/>
  <c r="H1805"/>
  <c r="H79"/>
  <c r="H979"/>
  <c r="H1061"/>
  <c r="H1288"/>
  <c r="H1920"/>
  <c r="H1942"/>
  <c r="H2589"/>
  <c r="H2679"/>
  <c r="H2687"/>
  <c r="H38"/>
  <c r="H71"/>
  <c r="H137"/>
  <c r="H170"/>
  <c r="H236"/>
  <c r="H269"/>
  <c r="H302"/>
  <c r="H335"/>
  <c r="H500"/>
  <c r="H533"/>
  <c r="H632"/>
  <c r="H665"/>
  <c r="H731"/>
  <c r="H938"/>
  <c r="Q2012" i="7" s="1"/>
  <c r="H1012" i="18"/>
  <c r="H1102"/>
  <c r="H1143"/>
  <c r="H2046"/>
  <c r="H2590"/>
  <c r="H1975"/>
  <c r="H1982"/>
  <c r="F2604"/>
  <c r="H1983"/>
  <c r="E1861"/>
  <c r="H1861" s="1"/>
  <c r="E1854"/>
  <c r="H1854" s="1"/>
  <c r="H1981"/>
  <c r="H1974"/>
  <c r="H1976"/>
  <c r="F1863"/>
  <c r="E1863" s="1"/>
  <c r="H1863" s="1"/>
  <c r="E1862"/>
  <c r="H1862" s="1"/>
  <c r="F1900"/>
  <c r="E1899"/>
  <c r="H1899" s="1"/>
  <c r="F1907"/>
  <c r="E1906"/>
  <c r="H1906" s="1"/>
  <c r="F1856"/>
  <c r="E1856" s="1"/>
  <c r="H1856" s="1"/>
  <c r="E1855"/>
  <c r="H1855" s="1"/>
  <c r="F1885"/>
  <c r="F1886" s="1"/>
  <c r="E1886" s="1"/>
  <c r="H1886" s="1"/>
  <c r="H2549"/>
  <c r="B2173" i="7"/>
  <c r="B2216" s="1"/>
  <c r="A2173"/>
  <c r="A2216" s="1"/>
  <c r="L2700"/>
  <c r="L2788"/>
  <c r="L2878"/>
  <c r="A3056"/>
  <c r="O2975"/>
  <c r="L2746"/>
  <c r="L2832"/>
  <c r="Q2972"/>
  <c r="Q2975" s="1"/>
  <c r="L2911"/>
  <c r="L2655"/>
  <c r="H2276" i="18"/>
  <c r="H1845"/>
  <c r="H1844"/>
  <c r="H2413"/>
  <c r="H1846"/>
  <c r="H1698"/>
  <c r="H1828"/>
  <c r="H1783"/>
  <c r="F1769"/>
  <c r="F1770" s="1"/>
  <c r="F1771" s="1"/>
  <c r="E1771" s="1"/>
  <c r="H1771" s="1"/>
  <c r="H1839"/>
  <c r="H2452"/>
  <c r="F1762"/>
  <c r="F1763" s="1"/>
  <c r="F1764" s="1"/>
  <c r="E1764" s="1"/>
  <c r="H1764" s="1"/>
  <c r="H1837"/>
  <c r="H1747"/>
  <c r="H2542"/>
  <c r="H2550"/>
  <c r="H1748"/>
  <c r="H1838"/>
  <c r="H1835"/>
  <c r="H1798"/>
  <c r="H1668"/>
  <c r="F1726"/>
  <c r="E1726" s="1"/>
  <c r="H1726" s="1"/>
  <c r="E1725"/>
  <c r="H1725" s="1"/>
  <c r="F1719"/>
  <c r="E1719" s="1"/>
  <c r="H1719" s="1"/>
  <c r="E1718"/>
  <c r="H1718" s="1"/>
  <c r="H1749"/>
  <c r="H2544"/>
  <c r="E1717"/>
  <c r="H1717" s="1"/>
  <c r="E1724"/>
  <c r="H1724" s="1"/>
  <c r="H2543"/>
  <c r="H2551"/>
  <c r="H2453"/>
  <c r="F2467"/>
  <c r="H2412"/>
  <c r="H2414"/>
  <c r="H2277"/>
  <c r="F2155"/>
  <c r="E2065"/>
  <c r="H2065" s="1"/>
  <c r="F2095"/>
  <c r="F2110"/>
  <c r="H2080"/>
  <c r="F2081"/>
  <c r="E2066"/>
  <c r="H2066" s="1"/>
  <c r="F2067"/>
  <c r="E2067" s="1"/>
  <c r="H2067" s="1"/>
  <c r="H1516"/>
  <c r="H1561"/>
  <c r="H1531"/>
  <c r="H1501"/>
  <c r="H1471"/>
  <c r="H1709"/>
  <c r="G1443"/>
  <c r="G1444" s="1"/>
  <c r="G1445" s="1"/>
  <c r="H1707"/>
  <c r="H1708"/>
  <c r="F1632"/>
  <c r="H1570"/>
  <c r="H1587"/>
  <c r="H1572"/>
  <c r="F1588"/>
  <c r="H1571"/>
  <c r="B656" i="7"/>
  <c r="A656"/>
  <c r="F1443" i="18"/>
  <c r="F1404"/>
  <c r="H1389"/>
  <c r="F1374"/>
  <c r="B3270" i="7"/>
  <c r="B3262"/>
  <c r="A3270"/>
  <c r="A3262"/>
  <c r="B2959"/>
  <c r="A2959"/>
  <c r="B2904"/>
  <c r="B2899"/>
  <c r="A2904"/>
  <c r="A2899"/>
  <c r="L2905"/>
  <c r="L2907" s="1"/>
  <c r="B2865"/>
  <c r="B2857"/>
  <c r="A2865"/>
  <c r="A2857"/>
  <c r="L2866"/>
  <c r="L2870" s="1"/>
  <c r="B2822"/>
  <c r="B2814"/>
  <c r="A2822"/>
  <c r="A2814"/>
  <c r="L2823"/>
  <c r="L2827" s="1"/>
  <c r="B2778"/>
  <c r="B2770"/>
  <c r="A2778"/>
  <c r="A2770"/>
  <c r="L2779"/>
  <c r="L2783" s="1"/>
  <c r="B2733"/>
  <c r="A2733"/>
  <c r="B2725"/>
  <c r="A2725"/>
  <c r="L2734"/>
  <c r="L2738" s="1"/>
  <c r="B2689"/>
  <c r="B2735" s="1"/>
  <c r="B2780" s="1"/>
  <c r="B2824" s="1"/>
  <c r="B2688"/>
  <c r="B2734" s="1"/>
  <c r="B2779" s="1"/>
  <c r="B2823" s="1"/>
  <c r="B2687"/>
  <c r="A2687"/>
  <c r="L2688"/>
  <c r="L2692" s="1"/>
  <c r="B2648"/>
  <c r="A2648"/>
  <c r="L2649"/>
  <c r="L2651" s="1"/>
  <c r="B2603"/>
  <c r="A2603"/>
  <c r="B2552"/>
  <c r="B2544"/>
  <c r="A2552"/>
  <c r="B2497"/>
  <c r="B2554" s="1"/>
  <c r="B2605" s="1"/>
  <c r="B2496"/>
  <c r="B2553" s="1"/>
  <c r="B2604" s="1"/>
  <c r="B2495"/>
  <c r="A2495"/>
  <c r="B2440"/>
  <c r="A2440"/>
  <c r="B2432"/>
  <c r="B2310"/>
  <c r="A2310"/>
  <c r="E2310"/>
  <c r="E2259"/>
  <c r="B2211"/>
  <c r="B2260" s="1"/>
  <c r="B2311" s="1"/>
  <c r="B2125"/>
  <c r="B2124"/>
  <c r="B2167" s="1"/>
  <c r="B2210" s="1"/>
  <c r="A2124"/>
  <c r="A2167" s="1"/>
  <c r="A2210" s="1"/>
  <c r="A2081"/>
  <c r="B2039"/>
  <c r="B2038"/>
  <c r="A2038"/>
  <c r="A2004"/>
  <c r="B1363"/>
  <c r="B1385" s="1"/>
  <c r="B1408" s="1"/>
  <c r="B1431" s="1"/>
  <c r="B1454" s="1"/>
  <c r="B1476" s="1"/>
  <c r="B1498" s="1"/>
  <c r="AA1342"/>
  <c r="A1340"/>
  <c r="A1362" s="1"/>
  <c r="A1384" s="1"/>
  <c r="A1407" s="1"/>
  <c r="A1430" s="1"/>
  <c r="A1453" s="1"/>
  <c r="A1475" s="1"/>
  <c r="A1497" s="1"/>
  <c r="B1318"/>
  <c r="B1340" s="1"/>
  <c r="B1362" s="1"/>
  <c r="B1384" s="1"/>
  <c r="B1407" s="1"/>
  <c r="B1430" s="1"/>
  <c r="B1453" s="1"/>
  <c r="B1475" s="1"/>
  <c r="B1497" s="1"/>
  <c r="E1374" i="18" l="1"/>
  <c r="F1375"/>
  <c r="H2381"/>
  <c r="H1576"/>
  <c r="H2655"/>
  <c r="H2281"/>
  <c r="J1803" i="7"/>
  <c r="H2184" i="18"/>
  <c r="CE24" i="105"/>
  <c r="CL24" s="1"/>
  <c r="CS24" s="1"/>
  <c r="CZ24" s="1"/>
  <c r="ED24" s="1"/>
  <c r="EK24" s="1"/>
  <c r="ER24" s="1"/>
  <c r="HN46"/>
  <c r="HN49" s="1"/>
  <c r="HN52" s="1"/>
  <c r="B661" i="7"/>
  <c r="B666" s="1"/>
  <c r="H1937"/>
  <c r="H1938" s="1"/>
  <c r="H1948" s="1"/>
  <c r="H1949" s="1"/>
  <c r="H2518" i="18"/>
  <c r="H1214"/>
  <c r="H1228"/>
  <c r="H2692"/>
  <c r="H1875"/>
  <c r="H1882"/>
  <c r="H1738"/>
  <c r="H1608"/>
  <c r="E1740"/>
  <c r="H1740" s="1"/>
  <c r="F1741"/>
  <c r="E1741" s="1"/>
  <c r="H1741" s="1"/>
  <c r="E1763"/>
  <c r="H1763" s="1"/>
  <c r="H1601"/>
  <c r="H2685"/>
  <c r="H2595"/>
  <c r="H1980"/>
  <c r="F2619"/>
  <c r="E2604"/>
  <c r="H2604" s="1"/>
  <c r="F2605"/>
  <c r="H1987"/>
  <c r="H1860"/>
  <c r="H1867"/>
  <c r="H1885"/>
  <c r="H1890" s="1"/>
  <c r="F1901"/>
  <c r="E1901" s="1"/>
  <c r="H1901" s="1"/>
  <c r="E1900"/>
  <c r="H1900" s="1"/>
  <c r="F1908"/>
  <c r="E1908" s="1"/>
  <c r="H1908" s="1"/>
  <c r="E1907"/>
  <c r="H1907" s="1"/>
  <c r="H2555"/>
  <c r="H1730"/>
  <c r="E1770"/>
  <c r="H1770" s="1"/>
  <c r="B1518" i="7"/>
  <c r="B1540" s="1"/>
  <c r="B1562" s="1"/>
  <c r="B1584" s="1"/>
  <c r="B1606" s="1"/>
  <c r="B1628" s="1"/>
  <c r="B1650" s="1"/>
  <c r="B1672" s="1"/>
  <c r="B1695" s="1"/>
  <c r="B1717" s="1"/>
  <c r="B1742" s="1"/>
  <c r="B1764" s="1"/>
  <c r="B1790" s="1"/>
  <c r="A1518"/>
  <c r="A1540" s="1"/>
  <c r="A1562" s="1"/>
  <c r="A1584" s="1"/>
  <c r="A1606" s="1"/>
  <c r="A1628" s="1"/>
  <c r="A1650" s="1"/>
  <c r="A1672" s="1"/>
  <c r="A1695" s="1"/>
  <c r="A1717" s="1"/>
  <c r="A1742" s="1"/>
  <c r="A1764" s="1"/>
  <c r="A1790" s="1"/>
  <c r="B1519"/>
  <c r="B1541" s="1"/>
  <c r="B1563" s="1"/>
  <c r="B1585" s="1"/>
  <c r="B1607" s="1"/>
  <c r="B1629" s="1"/>
  <c r="B1651" s="1"/>
  <c r="B1673" s="1"/>
  <c r="B1696" s="1"/>
  <c r="B1718" s="1"/>
  <c r="B1743" s="1"/>
  <c r="B1765" s="1"/>
  <c r="B1791" s="1"/>
  <c r="E1769" i="18"/>
  <c r="H1769" s="1"/>
  <c r="H1850"/>
  <c r="H1753"/>
  <c r="H2458"/>
  <c r="H2548"/>
  <c r="E1762"/>
  <c r="H1762" s="1"/>
  <c r="H1843"/>
  <c r="B2866" i="7"/>
  <c r="B2905" s="1"/>
  <c r="B2867"/>
  <c r="B2906" s="1"/>
  <c r="H1723" i="18"/>
  <c r="H2418"/>
  <c r="F2482"/>
  <c r="E2467"/>
  <c r="H2467" s="1"/>
  <c r="F2468"/>
  <c r="H2131"/>
  <c r="F2170"/>
  <c r="F2200"/>
  <c r="F2215" s="1"/>
  <c r="F2230" s="1"/>
  <c r="F2245" s="1"/>
  <c r="F2260" s="1"/>
  <c r="E2155"/>
  <c r="H2155" s="1"/>
  <c r="F2156"/>
  <c r="H2140"/>
  <c r="F2141"/>
  <c r="F2096"/>
  <c r="E2095"/>
  <c r="H2095" s="1"/>
  <c r="E2110"/>
  <c r="H2110" s="1"/>
  <c r="F2111"/>
  <c r="H2071"/>
  <c r="E2081"/>
  <c r="H2081" s="1"/>
  <c r="F2082"/>
  <c r="E2082" s="1"/>
  <c r="H2082" s="1"/>
  <c r="F1444"/>
  <c r="H1713"/>
  <c r="H1640"/>
  <c r="E1632"/>
  <c r="H1632" s="1"/>
  <c r="F1633"/>
  <c r="E1588"/>
  <c r="H1588" s="1"/>
  <c r="F1589"/>
  <c r="E1589" s="1"/>
  <c r="H1589" s="1"/>
  <c r="A661" i="7"/>
  <c r="A3561"/>
  <c r="B3561"/>
  <c r="F1436" i="18"/>
  <c r="F1406"/>
  <c r="H1404"/>
  <c r="H1390"/>
  <c r="F1391"/>
  <c r="E1391" s="1"/>
  <c r="H1391" s="1"/>
  <c r="F1376"/>
  <c r="B2259" i="7"/>
  <c r="A2259"/>
  <c r="L2906"/>
  <c r="L2867"/>
  <c r="L2824"/>
  <c r="L2780"/>
  <c r="L2735"/>
  <c r="L2689"/>
  <c r="L2650"/>
  <c r="H104"/>
  <c r="H105" s="1"/>
  <c r="H106" s="1"/>
  <c r="H107" s="1"/>
  <c r="H108" s="1"/>
  <c r="H43"/>
  <c r="H37"/>
  <c r="H38" s="1"/>
  <c r="H39" s="1"/>
  <c r="H40" s="1"/>
  <c r="H41" s="1"/>
  <c r="H30"/>
  <c r="H31" s="1"/>
  <c r="H32" s="1"/>
  <c r="H33" s="1"/>
  <c r="H34" s="1"/>
  <c r="H25"/>
  <c r="H26" s="1"/>
  <c r="H27" s="1"/>
  <c r="H9"/>
  <c r="H10" s="1"/>
  <c r="H11" s="1"/>
  <c r="H12" s="1"/>
  <c r="H13" s="1"/>
  <c r="H14" s="1"/>
  <c r="H15" s="1"/>
  <c r="H16" s="1"/>
  <c r="H17" s="1"/>
  <c r="H18" s="1"/>
  <c r="H19" s="1"/>
  <c r="H20" s="1"/>
  <c r="H21" s="1"/>
  <c r="H22" s="1"/>
  <c r="H23" s="1"/>
  <c r="IK85" i="101"/>
  <c r="HJ136"/>
  <c r="EW361"/>
  <c r="G361"/>
  <c r="EW358"/>
  <c r="CB358"/>
  <c r="G358"/>
  <c r="JG221"/>
  <c r="HY219" s="1"/>
  <c r="JF213"/>
  <c r="JF216" s="1"/>
  <c r="IS206"/>
  <c r="HR302"/>
  <c r="JN57"/>
  <c r="IH45"/>
  <c r="JN42"/>
  <c r="JM19"/>
  <c r="IS251"/>
  <c r="AS68" i="100"/>
  <c r="Y73" s="1"/>
  <c r="AZ73" s="1"/>
  <c r="BW73" s="1"/>
  <c r="GV170"/>
  <c r="DL170"/>
  <c r="GV167"/>
  <c r="FB167"/>
  <c r="DL167"/>
  <c r="AU131"/>
  <c r="CT127"/>
  <c r="DA106" s="1"/>
  <c r="K107" s="1"/>
  <c r="HV124"/>
  <c r="HG124"/>
  <c r="FK111"/>
  <c r="EC109" s="1"/>
  <c r="FJ103"/>
  <c r="FJ106" s="1"/>
  <c r="EW96"/>
  <c r="D96"/>
  <c r="GC71"/>
  <c r="FL68"/>
  <c r="EF56"/>
  <c r="FL53"/>
  <c r="FK30"/>
  <c r="HD20"/>
  <c r="HU124" i="99"/>
  <c r="HF124"/>
  <c r="HC20"/>
  <c r="AU131"/>
  <c r="AG74"/>
  <c r="BM74" s="1"/>
  <c r="H96"/>
  <c r="CV106"/>
  <c r="GU172"/>
  <c r="DK172"/>
  <c r="GU169"/>
  <c r="FA169"/>
  <c r="DK169"/>
  <c r="CO127"/>
  <c r="FJ111"/>
  <c r="EB109" s="1"/>
  <c r="FI103"/>
  <c r="FI106" s="1"/>
  <c r="EV96"/>
  <c r="FC96" s="1"/>
  <c r="GB71"/>
  <c r="FK68"/>
  <c r="EE56"/>
  <c r="FK53"/>
  <c r="FJ30"/>
  <c r="DL32" s="1"/>
  <c r="AC133" i="7"/>
  <c r="E1406" i="18" l="1"/>
  <c r="E1375"/>
  <c r="H1375" s="1"/>
  <c r="E1376"/>
  <c r="P3028" i="7"/>
  <c r="I1238"/>
  <c r="K1238" s="1"/>
  <c r="L1238" s="1"/>
  <c r="I1237"/>
  <c r="K1237" s="1"/>
  <c r="L1237" s="1"/>
  <c r="I1236"/>
  <c r="K1236" s="1"/>
  <c r="L1236" s="1"/>
  <c r="I1233"/>
  <c r="K1233" s="1"/>
  <c r="L1233" s="1"/>
  <c r="I1234"/>
  <c r="K1234" s="1"/>
  <c r="L1234" s="1"/>
  <c r="I1231"/>
  <c r="K1231" s="1"/>
  <c r="L1231" s="1"/>
  <c r="I1229"/>
  <c r="K1229" s="1"/>
  <c r="L1229" s="1"/>
  <c r="I1230"/>
  <c r="K1230" s="1"/>
  <c r="L1230" s="1"/>
  <c r="I1228"/>
  <c r="K1228" s="1"/>
  <c r="L1228" s="1"/>
  <c r="I1223"/>
  <c r="K1223" s="1"/>
  <c r="L1223" s="1"/>
  <c r="I1222"/>
  <c r="K1222" s="1"/>
  <c r="L1222" s="1"/>
  <c r="I1220"/>
  <c r="K1220" s="1"/>
  <c r="L1220" s="1"/>
  <c r="I1221"/>
  <c r="K1221" s="1"/>
  <c r="L1221" s="1"/>
  <c r="I1219"/>
  <c r="K1219" s="1"/>
  <c r="L1219" s="1"/>
  <c r="EY24" i="105"/>
  <c r="FM24" s="1"/>
  <c r="FT24" s="1"/>
  <c r="GA24" s="1"/>
  <c r="GH24" s="1"/>
  <c r="GO24" s="1"/>
  <c r="GV24" s="1"/>
  <c r="FF24"/>
  <c r="HN55"/>
  <c r="H1963" i="7"/>
  <c r="H1964" s="1"/>
  <c r="H1976" s="1"/>
  <c r="H1977" s="1"/>
  <c r="B671"/>
  <c r="B3604"/>
  <c r="F2171" i="18"/>
  <c r="E2171" s="1"/>
  <c r="H2171" s="1"/>
  <c r="F2185"/>
  <c r="D2990"/>
  <c r="H2990" s="1"/>
  <c r="D2979"/>
  <c r="H2979" s="1"/>
  <c r="H1745"/>
  <c r="H1768"/>
  <c r="H1851" s="1"/>
  <c r="H1905"/>
  <c r="E2605"/>
  <c r="H2605" s="1"/>
  <c r="F2606"/>
  <c r="E2606" s="1"/>
  <c r="H2606" s="1"/>
  <c r="F2664"/>
  <c r="F2620"/>
  <c r="F2634"/>
  <c r="E2619"/>
  <c r="H2619" s="1"/>
  <c r="H1912"/>
  <c r="H1775"/>
  <c r="F2527"/>
  <c r="F2483"/>
  <c r="F2497"/>
  <c r="E2482"/>
  <c r="H2482" s="1"/>
  <c r="E2468"/>
  <c r="H2468" s="1"/>
  <c r="F2469"/>
  <c r="E2469" s="1"/>
  <c r="H2469" s="1"/>
  <c r="E2260"/>
  <c r="H2260" s="1"/>
  <c r="F2261"/>
  <c r="F2292" s="1"/>
  <c r="E2245"/>
  <c r="H2245" s="1"/>
  <c r="F2246"/>
  <c r="E2230"/>
  <c r="H2230" s="1"/>
  <c r="F2231"/>
  <c r="E2215"/>
  <c r="H2215" s="1"/>
  <c r="F2216"/>
  <c r="F2201"/>
  <c r="E2200"/>
  <c r="H2200" s="1"/>
  <c r="E2170"/>
  <c r="H2170" s="1"/>
  <c r="E2156"/>
  <c r="H2156" s="1"/>
  <c r="F2157"/>
  <c r="E2157" s="1"/>
  <c r="H2157" s="1"/>
  <c r="E2141"/>
  <c r="H2141" s="1"/>
  <c r="F2142"/>
  <c r="E2142" s="1"/>
  <c r="H2142" s="1"/>
  <c r="F2097"/>
  <c r="E2097" s="1"/>
  <c r="H2097" s="1"/>
  <c r="E2096"/>
  <c r="H2096" s="1"/>
  <c r="E2111"/>
  <c r="H2111" s="1"/>
  <c r="F2112"/>
  <c r="E2112" s="1"/>
  <c r="H2112" s="1"/>
  <c r="H2086"/>
  <c r="H1593"/>
  <c r="H1488"/>
  <c r="H1458"/>
  <c r="F1445"/>
  <c r="H1655"/>
  <c r="H1642"/>
  <c r="H1641"/>
  <c r="H1685"/>
  <c r="E1633"/>
  <c r="H1633" s="1"/>
  <c r="F1634"/>
  <c r="E1634" s="1"/>
  <c r="H1634" s="1"/>
  <c r="B3651" i="7"/>
  <c r="A666"/>
  <c r="A3604"/>
  <c r="F1437" i="18"/>
  <c r="H1406"/>
  <c r="F1407"/>
  <c r="H1395"/>
  <c r="H44" i="7"/>
  <c r="HO21" i="101"/>
  <c r="IZ206"/>
  <c r="IL225" s="1"/>
  <c r="DM32" i="100"/>
  <c r="AS62"/>
  <c r="FD96"/>
  <c r="EP115" s="1"/>
  <c r="AW68" i="99"/>
  <c r="AW62" s="1"/>
  <c r="EO115"/>
  <c r="O107"/>
  <c r="CF140" i="87"/>
  <c r="I88"/>
  <c r="I121"/>
  <c r="BN70"/>
  <c r="Y70"/>
  <c r="AZ64" s="1"/>
  <c r="AZ59" s="1"/>
  <c r="AH118"/>
  <c r="W118"/>
  <c r="X140" s="1"/>
  <c r="BM124"/>
  <c r="DA120" s="1"/>
  <c r="EN165"/>
  <c r="HB164" s="1"/>
  <c r="BB124"/>
  <c r="BD140" s="1"/>
  <c r="FL111"/>
  <c r="ED109" s="1"/>
  <c r="GA108"/>
  <c r="FK106"/>
  <c r="FK103"/>
  <c r="EX96"/>
  <c r="DA93"/>
  <c r="IW74"/>
  <c r="GB68"/>
  <c r="EL56"/>
  <c r="GB53"/>
  <c r="GA30"/>
  <c r="DS32" s="1"/>
  <c r="HW27"/>
  <c r="IA18"/>
  <c r="IL30" s="1"/>
  <c r="J6760" i="18" l="1"/>
  <c r="L6760" s="1"/>
  <c r="J6744"/>
  <c r="L6744" s="1"/>
  <c r="H1182"/>
  <c r="H1376"/>
  <c r="E1407"/>
  <c r="H1407" s="1"/>
  <c r="H1411" s="1"/>
  <c r="FE96" i="87"/>
  <c r="EQ115" s="1"/>
  <c r="I108"/>
  <c r="D102" s="1"/>
  <c r="DG103"/>
  <c r="DK103" s="1"/>
  <c r="O1222" i="7"/>
  <c r="J6768" i="18"/>
  <c r="L6768" s="1"/>
  <c r="O1229" i="7"/>
  <c r="J6824" i="18"/>
  <c r="L6824" s="1"/>
  <c r="O1236" i="7"/>
  <c r="J6880" i="18"/>
  <c r="O1230" i="7"/>
  <c r="J6832" i="18"/>
  <c r="L6832" s="1"/>
  <c r="O1233" i="7"/>
  <c r="J6856" i="18"/>
  <c r="L6856" s="1"/>
  <c r="O1228" i="7"/>
  <c r="J6816" i="18"/>
  <c r="L6816" s="1"/>
  <c r="O1234" i="7"/>
  <c r="J6864" i="18"/>
  <c r="L6864" s="1"/>
  <c r="O1238" i="7"/>
  <c r="J6896" i="18"/>
  <c r="L6896" s="1"/>
  <c r="O1223" i="7"/>
  <c r="J6776" i="18"/>
  <c r="L6776" s="1"/>
  <c r="O1231" i="7"/>
  <c r="J6840" i="18"/>
  <c r="L6840" s="1"/>
  <c r="O1237" i="7"/>
  <c r="J6888" i="18"/>
  <c r="O1220" i="7"/>
  <c r="J6752" i="18"/>
  <c r="L6752" s="1"/>
  <c r="F2172"/>
  <c r="E2172" s="1"/>
  <c r="H2172" s="1"/>
  <c r="H2176" s="1"/>
  <c r="H2161"/>
  <c r="P3032" i="7"/>
  <c r="I1217"/>
  <c r="K1217" s="1"/>
  <c r="L1217" s="1"/>
  <c r="I1227"/>
  <c r="K1227" s="1"/>
  <c r="L1227" s="1"/>
  <c r="I1226"/>
  <c r="K1226" s="1"/>
  <c r="L1226" s="1"/>
  <c r="I1218"/>
  <c r="K1218" s="1"/>
  <c r="L1218" s="1"/>
  <c r="B676"/>
  <c r="B3697"/>
  <c r="DM115" i="105"/>
  <c r="CZ14"/>
  <c r="HN58"/>
  <c r="HN61" s="1"/>
  <c r="HN64" s="1"/>
  <c r="HN67" s="1"/>
  <c r="HN70" s="1"/>
  <c r="H1994" i="7"/>
  <c r="H1995" s="1"/>
  <c r="H2027" s="1"/>
  <c r="H2028" s="1"/>
  <c r="H2063" s="1"/>
  <c r="H2064" s="1"/>
  <c r="H2078" s="1"/>
  <c r="H2079" s="1"/>
  <c r="H2084" s="1"/>
  <c r="H2085" s="1"/>
  <c r="H2090" s="1"/>
  <c r="H2091" s="1"/>
  <c r="H2106" s="1"/>
  <c r="H2107" s="1"/>
  <c r="H2121" s="1"/>
  <c r="H2122" s="1"/>
  <c r="H2127" s="1"/>
  <c r="H2128" s="1"/>
  <c r="H2133" s="1"/>
  <c r="H2134" s="1"/>
  <c r="H2149" s="1"/>
  <c r="H2150" s="1"/>
  <c r="H2164" s="1"/>
  <c r="H2165" s="1"/>
  <c r="H2170" s="1"/>
  <c r="H2171" s="1"/>
  <c r="H2176" s="1"/>
  <c r="H2177" s="1"/>
  <c r="H2192" s="1"/>
  <c r="H2193" s="1"/>
  <c r="H2207" s="1"/>
  <c r="H2208" s="1"/>
  <c r="H2213" s="1"/>
  <c r="E2185" i="18"/>
  <c r="H2185" s="1"/>
  <c r="F2186"/>
  <c r="H1988"/>
  <c r="H2610"/>
  <c r="E2634"/>
  <c r="H2634" s="1"/>
  <c r="F2635"/>
  <c r="F2621"/>
  <c r="E2621" s="1"/>
  <c r="H2621" s="1"/>
  <c r="E2620"/>
  <c r="H2620" s="1"/>
  <c r="F2665"/>
  <c r="E2664"/>
  <c r="H2664" s="1"/>
  <c r="H2473"/>
  <c r="H1646"/>
  <c r="E2497"/>
  <c r="H2497" s="1"/>
  <c r="F2498"/>
  <c r="F2528"/>
  <c r="E2527"/>
  <c r="H2527" s="1"/>
  <c r="F2484"/>
  <c r="E2484" s="1"/>
  <c r="H2484" s="1"/>
  <c r="E2483"/>
  <c r="H2483" s="1"/>
  <c r="E2292"/>
  <c r="H2292" s="1"/>
  <c r="F2293"/>
  <c r="E2261"/>
  <c r="H2261" s="1"/>
  <c r="F2262"/>
  <c r="E2246"/>
  <c r="H2246" s="1"/>
  <c r="F2247"/>
  <c r="E2247" s="1"/>
  <c r="H2247" s="1"/>
  <c r="E2231"/>
  <c r="H2231" s="1"/>
  <c r="F2232"/>
  <c r="E2232" s="1"/>
  <c r="H2232" s="1"/>
  <c r="H2146"/>
  <c r="E2216"/>
  <c r="H2216" s="1"/>
  <c r="F2217"/>
  <c r="E2217" s="1"/>
  <c r="H2217" s="1"/>
  <c r="F2202"/>
  <c r="E2202" s="1"/>
  <c r="H2202" s="1"/>
  <c r="E2201"/>
  <c r="H2201" s="1"/>
  <c r="H2101"/>
  <c r="H2116"/>
  <c r="H1459"/>
  <c r="H1460"/>
  <c r="H1503"/>
  <c r="H1489"/>
  <c r="H1490"/>
  <c r="H1686"/>
  <c r="H1687"/>
  <c r="H1657"/>
  <c r="H1656"/>
  <c r="H1638"/>
  <c r="A671" i="7"/>
  <c r="A3651"/>
  <c r="J6728" i="18" l="1"/>
  <c r="L6728" s="1"/>
  <c r="J6736"/>
  <c r="L6736" s="1"/>
  <c r="L6888"/>
  <c r="L6880"/>
  <c r="D2947"/>
  <c r="H1183"/>
  <c r="O1226" i="7"/>
  <c r="J6800" i="18"/>
  <c r="L6800" s="1"/>
  <c r="O1227" i="7"/>
  <c r="J6808" i="18"/>
  <c r="L6808" s="1"/>
  <c r="I1225" i="7"/>
  <c r="K1225" s="1"/>
  <c r="L1225" s="1"/>
  <c r="B681"/>
  <c r="B3743"/>
  <c r="HN73" i="105"/>
  <c r="H2214" i="7"/>
  <c r="E2186" i="18"/>
  <c r="H2186" s="1"/>
  <c r="F2187"/>
  <c r="E2187" s="1"/>
  <c r="H2187" s="1"/>
  <c r="H2625"/>
  <c r="F2560"/>
  <c r="H2559"/>
  <c r="F2666"/>
  <c r="E2666" s="1"/>
  <c r="H2666" s="1"/>
  <c r="E2665"/>
  <c r="H2665" s="1"/>
  <c r="E2635"/>
  <c r="H2635" s="1"/>
  <c r="F2636"/>
  <c r="E2636" s="1"/>
  <c r="H2636" s="1"/>
  <c r="H2488"/>
  <c r="H1661"/>
  <c r="F2529"/>
  <c r="E2528"/>
  <c r="H2528" s="1"/>
  <c r="E2498"/>
  <c r="H2498" s="1"/>
  <c r="F2499"/>
  <c r="E2499" s="1"/>
  <c r="H2499" s="1"/>
  <c r="E2262"/>
  <c r="H2262" s="1"/>
  <c r="H2266" s="1"/>
  <c r="F2307"/>
  <c r="F2322" s="1"/>
  <c r="H2251"/>
  <c r="E2293"/>
  <c r="H2293" s="1"/>
  <c r="F2294"/>
  <c r="E2294" s="1"/>
  <c r="H2294" s="1"/>
  <c r="H2221"/>
  <c r="H2236"/>
  <c r="H2206"/>
  <c r="H1691"/>
  <c r="H1494"/>
  <c r="H1464"/>
  <c r="H1518"/>
  <c r="H1504"/>
  <c r="H1505"/>
  <c r="A676" i="7"/>
  <c r="A3697"/>
  <c r="I13"/>
  <c r="B3962"/>
  <c r="B3435" i="18"/>
  <c r="B3426"/>
  <c r="H3442"/>
  <c r="G3441"/>
  <c r="G3440"/>
  <c r="E3440"/>
  <c r="G3439"/>
  <c r="E3439"/>
  <c r="G3438"/>
  <c r="E3438"/>
  <c r="G3437"/>
  <c r="E3437"/>
  <c r="H3433"/>
  <c r="G3432"/>
  <c r="G3431"/>
  <c r="E3431"/>
  <c r="G3430"/>
  <c r="E3430"/>
  <c r="G3429"/>
  <c r="E3429"/>
  <c r="G3428"/>
  <c r="E3428"/>
  <c r="B3965" i="7"/>
  <c r="G3982"/>
  <c r="B3982"/>
  <c r="G3981"/>
  <c r="G3980"/>
  <c r="B3980"/>
  <c r="E3966"/>
  <c r="B3966"/>
  <c r="A3966"/>
  <c r="G704"/>
  <c r="N42"/>
  <c r="J3971"/>
  <c r="K3971" s="1"/>
  <c r="I42"/>
  <c r="K42" s="1"/>
  <c r="J3962" s="1"/>
  <c r="I43"/>
  <c r="K43" s="1"/>
  <c r="J3982" s="1"/>
  <c r="D43"/>
  <c r="B3945"/>
  <c r="G702"/>
  <c r="G3962"/>
  <c r="G3961"/>
  <c r="G3960"/>
  <c r="B3960"/>
  <c r="A3946"/>
  <c r="O1225" l="1"/>
  <c r="J6792" i="18"/>
  <c r="L6792" s="1"/>
  <c r="F2323"/>
  <c r="F2337"/>
  <c r="E2322"/>
  <c r="H2322" s="1"/>
  <c r="B686" i="7"/>
  <c r="B3789"/>
  <c r="P2985"/>
  <c r="HN76" i="105"/>
  <c r="HN79" s="1"/>
  <c r="HN82" s="1"/>
  <c r="H2219" i="7"/>
  <c r="H2191" i="18"/>
  <c r="H3431"/>
  <c r="H3439"/>
  <c r="H2670"/>
  <c r="H2640"/>
  <c r="E2529"/>
  <c r="H2529" s="1"/>
  <c r="H2533" s="1"/>
  <c r="F2574"/>
  <c r="F2561"/>
  <c r="E2561" s="1"/>
  <c r="H2561" s="1"/>
  <c r="E2560"/>
  <c r="H2560" s="1"/>
  <c r="H2503"/>
  <c r="H2298"/>
  <c r="E2307"/>
  <c r="H2307" s="1"/>
  <c r="F2308"/>
  <c r="H3440"/>
  <c r="H3430"/>
  <c r="H1509"/>
  <c r="H1533"/>
  <c r="H1519"/>
  <c r="H1520"/>
  <c r="A681" i="7"/>
  <c r="A3743"/>
  <c r="H3429" i="18"/>
  <c r="H3428"/>
  <c r="H3438"/>
  <c r="H3437"/>
  <c r="J3951" i="7"/>
  <c r="K3951" s="1"/>
  <c r="E3441" i="18"/>
  <c r="H3441" s="1"/>
  <c r="E3432"/>
  <c r="H3432" s="1"/>
  <c r="K3962" i="7"/>
  <c r="L43"/>
  <c r="O43" s="1"/>
  <c r="L42"/>
  <c r="O42" s="1"/>
  <c r="N43"/>
  <c r="E2323" i="18" l="1"/>
  <c r="H2323" s="1"/>
  <c r="F2324"/>
  <c r="E2324" s="1"/>
  <c r="H2324" s="1"/>
  <c r="F2352"/>
  <c r="F2338"/>
  <c r="E2337"/>
  <c r="H2337" s="1"/>
  <c r="B691" i="7"/>
  <c r="B3835"/>
  <c r="D2952" i="18"/>
  <c r="HN88" i="105"/>
  <c r="HN91" s="1"/>
  <c r="HN94" s="1"/>
  <c r="HN97" s="1"/>
  <c r="HN100" s="1"/>
  <c r="HN103" s="1"/>
  <c r="HN85"/>
  <c r="V67" s="1"/>
  <c r="H2220" i="7"/>
  <c r="H2565" i="18"/>
  <c r="E2574"/>
  <c r="H2574" s="1"/>
  <c r="F2575"/>
  <c r="E2308"/>
  <c r="H2308" s="1"/>
  <c r="F2309"/>
  <c r="E2309" s="1"/>
  <c r="H2309" s="1"/>
  <c r="H1524"/>
  <c r="H1548"/>
  <c r="H1534"/>
  <c r="H1535"/>
  <c r="H3434"/>
  <c r="A3789" i="7"/>
  <c r="A686"/>
  <c r="H3443" i="18"/>
  <c r="E1897" i="7"/>
  <c r="B2568"/>
  <c r="Z135"/>
  <c r="Z136"/>
  <c r="Z137"/>
  <c r="Z134"/>
  <c r="A4429"/>
  <c r="G783"/>
  <c r="O4202"/>
  <c r="G747"/>
  <c r="B59"/>
  <c r="B746" s="1"/>
  <c r="H2328" i="18" l="1"/>
  <c r="F2353"/>
  <c r="F2397"/>
  <c r="E2352"/>
  <c r="H2352" s="1"/>
  <c r="F2367"/>
  <c r="F2339"/>
  <c r="E2339" s="1"/>
  <c r="H2339" s="1"/>
  <c r="E2338"/>
  <c r="H2338" s="1"/>
  <c r="B708" i="7"/>
  <c r="B3864"/>
  <c r="B699"/>
  <c r="B3937" s="1"/>
  <c r="DF89" i="105"/>
  <c r="H2235" i="7"/>
  <c r="H2236" s="1"/>
  <c r="H2254" s="1"/>
  <c r="G784"/>
  <c r="G748"/>
  <c r="B3709" i="18"/>
  <c r="E2575"/>
  <c r="H2575" s="1"/>
  <c r="F2576"/>
  <c r="E2576" s="1"/>
  <c r="H2576" s="1"/>
  <c r="H2313"/>
  <c r="H1539"/>
  <c r="H1549"/>
  <c r="H1550"/>
  <c r="B782" i="7"/>
  <c r="B4195"/>
  <c r="A691"/>
  <c r="A3835"/>
  <c r="J3975"/>
  <c r="K3975" s="1"/>
  <c r="J3955"/>
  <c r="K3955" s="1"/>
  <c r="J3954"/>
  <c r="K3954" s="1"/>
  <c r="J3974"/>
  <c r="K3974" s="1"/>
  <c r="J3976"/>
  <c r="K3976" s="1"/>
  <c r="J3956"/>
  <c r="J4199"/>
  <c r="K4199" s="1"/>
  <c r="J4433"/>
  <c r="K4433" s="1"/>
  <c r="H1554" i="18" l="1"/>
  <c r="B713" i="7"/>
  <c r="B4017"/>
  <c r="H2343" i="18"/>
  <c r="F2398"/>
  <c r="E2397"/>
  <c r="H2397" s="1"/>
  <c r="F2382"/>
  <c r="F2368"/>
  <c r="E2367"/>
  <c r="H2367" s="1"/>
  <c r="E2353"/>
  <c r="H2353" s="1"/>
  <c r="F2354"/>
  <c r="E2354" s="1"/>
  <c r="H2354" s="1"/>
  <c r="H2255" i="7"/>
  <c r="G785"/>
  <c r="G749"/>
  <c r="B4429"/>
  <c r="B3941" i="18"/>
  <c r="H2580"/>
  <c r="A699" i="7"/>
  <c r="A3864"/>
  <c r="A708"/>
  <c r="K3977"/>
  <c r="O3983" s="1"/>
  <c r="B4058" l="1"/>
  <c r="B719"/>
  <c r="B724" s="1"/>
  <c r="H2358" i="18"/>
  <c r="F2429"/>
  <c r="F2399"/>
  <c r="E2398"/>
  <c r="H2398" s="1"/>
  <c r="F2383"/>
  <c r="E2382"/>
  <c r="H2382" s="1"/>
  <c r="F2369"/>
  <c r="E2369" s="1"/>
  <c r="H2369" s="1"/>
  <c r="E2368"/>
  <c r="H2368" s="1"/>
  <c r="H2262" i="7"/>
  <c r="A3937"/>
  <c r="G786"/>
  <c r="G750"/>
  <c r="H2693" i="18"/>
  <c r="B4094" i="7"/>
  <c r="A713"/>
  <c r="A4017"/>
  <c r="Y133"/>
  <c r="D28" i="41"/>
  <c r="D29" s="1"/>
  <c r="B28"/>
  <c r="B29" s="1"/>
  <c r="M28"/>
  <c r="M29" s="1"/>
  <c r="L28"/>
  <c r="L29" s="1"/>
  <c r="K28"/>
  <c r="K29" s="1"/>
  <c r="J28"/>
  <c r="J29" s="1"/>
  <c r="I28"/>
  <c r="I29" s="1"/>
  <c r="H28"/>
  <c r="H29" s="1"/>
  <c r="G28"/>
  <c r="G29" s="1"/>
  <c r="F28"/>
  <c r="F29" s="1"/>
  <c r="E28"/>
  <c r="E29" s="1"/>
  <c r="C28"/>
  <c r="C29" s="1"/>
  <c r="S12"/>
  <c r="S13" s="1"/>
  <c r="R12"/>
  <c r="R13" s="1"/>
  <c r="H2373" i="18" l="1"/>
  <c r="F2384"/>
  <c r="E2384" s="1"/>
  <c r="H2384" s="1"/>
  <c r="E2383"/>
  <c r="H2383" s="1"/>
  <c r="E2429"/>
  <c r="H2429" s="1"/>
  <c r="F2430"/>
  <c r="F2444"/>
  <c r="E2399"/>
  <c r="H2399" s="1"/>
  <c r="H2403" s="1"/>
  <c r="H2263" i="7"/>
  <c r="B4112"/>
  <c r="B729"/>
  <c r="A719"/>
  <c r="A4058"/>
  <c r="H2388" i="18" l="1"/>
  <c r="D2969" s="1"/>
  <c r="H2969" s="1"/>
  <c r="F2459"/>
  <c r="E2444"/>
  <c r="H2444" s="1"/>
  <c r="F2445"/>
  <c r="E2430"/>
  <c r="H2430" s="1"/>
  <c r="F2431"/>
  <c r="E2431" s="1"/>
  <c r="H2431" s="1"/>
  <c r="H2270" i="7"/>
  <c r="B4130"/>
  <c r="B734"/>
  <c r="A724"/>
  <c r="A4094"/>
  <c r="H2435" i="18" l="1"/>
  <c r="F2446"/>
  <c r="E2446" s="1"/>
  <c r="H2446" s="1"/>
  <c r="E2445"/>
  <c r="H2445" s="1"/>
  <c r="F2460"/>
  <c r="E2459"/>
  <c r="H2459" s="1"/>
  <c r="F2474"/>
  <c r="H2271" i="7"/>
  <c r="B4148"/>
  <c r="B739"/>
  <c r="A4112"/>
  <c r="A729"/>
  <c r="H2450" i="18" l="1"/>
  <c r="E2460"/>
  <c r="H2460" s="1"/>
  <c r="F2461"/>
  <c r="E2461" s="1"/>
  <c r="H2461" s="1"/>
  <c r="F2489"/>
  <c r="F2475"/>
  <c r="E2474"/>
  <c r="H2474" s="1"/>
  <c r="H2290" i="7"/>
  <c r="B4166"/>
  <c r="B744"/>
  <c r="A734"/>
  <c r="A4130"/>
  <c r="H2465" i="18" l="1"/>
  <c r="D2976" s="1"/>
  <c r="H2976" s="1"/>
  <c r="F2490"/>
  <c r="E2489"/>
  <c r="H2489" s="1"/>
  <c r="F2504"/>
  <c r="F2534"/>
  <c r="F2476"/>
  <c r="E2476" s="1"/>
  <c r="H2476" s="1"/>
  <c r="E2475"/>
  <c r="H2475" s="1"/>
  <c r="H2291" i="7"/>
  <c r="A739"/>
  <c r="A4148"/>
  <c r="B749"/>
  <c r="B4187"/>
  <c r="X132" i="67"/>
  <c r="AG141" s="1"/>
  <c r="BM141" s="1"/>
  <c r="HF108" s="1"/>
  <c r="CO126"/>
  <c r="HF123"/>
  <c r="HF120"/>
  <c r="HF117"/>
  <c r="HF114"/>
  <c r="HU111"/>
  <c r="HU117" s="1"/>
  <c r="HU123" s="1"/>
  <c r="FJ110"/>
  <c r="EB108" s="1"/>
  <c r="HU108"/>
  <c r="HU114" s="1"/>
  <c r="HU120" s="1"/>
  <c r="FI102"/>
  <c r="FI105" s="1"/>
  <c r="EV95"/>
  <c r="CO95"/>
  <c r="CV105" s="1"/>
  <c r="O106" s="1"/>
  <c r="GB71"/>
  <c r="FK68"/>
  <c r="AW68"/>
  <c r="AW62"/>
  <c r="EE56"/>
  <c r="FK53"/>
  <c r="FJ30"/>
  <c r="DL32" s="1"/>
  <c r="HC20"/>
  <c r="FC95" l="1"/>
  <c r="EO114" s="1"/>
  <c r="H2480" i="18"/>
  <c r="F2519"/>
  <c r="F2505"/>
  <c r="E2504"/>
  <c r="H2504" s="1"/>
  <c r="E2534"/>
  <c r="H2534" s="1"/>
  <c r="F2535"/>
  <c r="E2490"/>
  <c r="H2490" s="1"/>
  <c r="F2491"/>
  <c r="E2491" s="1"/>
  <c r="H2491" s="1"/>
  <c r="H2307" i="7"/>
  <c r="A744"/>
  <c r="A4166"/>
  <c r="B755"/>
  <c r="B4208"/>
  <c r="R96"/>
  <c r="Q97" s="1"/>
  <c r="Q93"/>
  <c r="R98" s="1"/>
  <c r="R99" s="1"/>
  <c r="D2978" i="18" l="1"/>
  <c r="H2978" s="1"/>
  <c r="H2495"/>
  <c r="F2566"/>
  <c r="F2536"/>
  <c r="E2535"/>
  <c r="H2535" s="1"/>
  <c r="F2520"/>
  <c r="E2519"/>
  <c r="H2519" s="1"/>
  <c r="E2505"/>
  <c r="H2505" s="1"/>
  <c r="F2506"/>
  <c r="E2506" s="1"/>
  <c r="H2506" s="1"/>
  <c r="H2308" i="7"/>
  <c r="B760"/>
  <c r="B4260"/>
  <c r="A749"/>
  <c r="A4187"/>
  <c r="R93"/>
  <c r="R94" s="1"/>
  <c r="D2981" i="18" l="1"/>
  <c r="H2981" s="1"/>
  <c r="H2510"/>
  <c r="D2974" s="1"/>
  <c r="H2974" s="1"/>
  <c r="F2567"/>
  <c r="E2566"/>
  <c r="H2566" s="1"/>
  <c r="F2581"/>
  <c r="E2536"/>
  <c r="H2536" s="1"/>
  <c r="H2540" s="1"/>
  <c r="F2521"/>
  <c r="E2521" s="1"/>
  <c r="H2521" s="1"/>
  <c r="E2520"/>
  <c r="H2520" s="1"/>
  <c r="H2313" i="7"/>
  <c r="B765"/>
  <c r="B4293"/>
  <c r="A755"/>
  <c r="A4208"/>
  <c r="C64" i="13"/>
  <c r="D3" i="43"/>
  <c r="D4"/>
  <c r="D5"/>
  <c r="H6934" i="18"/>
  <c r="H6933"/>
  <c r="Q69" i="7"/>
  <c r="Q52"/>
  <c r="D6" i="63"/>
  <c r="D5"/>
  <c r="D4"/>
  <c r="D3"/>
  <c r="H11"/>
  <c r="J11"/>
  <c r="H2525" i="18" l="1"/>
  <c r="E2567"/>
  <c r="H2567" s="1"/>
  <c r="F2568"/>
  <c r="E2568" s="1"/>
  <c r="H2568" s="1"/>
  <c r="F2596"/>
  <c r="E2581"/>
  <c r="H2581" s="1"/>
  <c r="F2582"/>
  <c r="D2977"/>
  <c r="H2977" s="1"/>
  <c r="H2314" i="7"/>
  <c r="B770"/>
  <c r="B4326"/>
  <c r="A760"/>
  <c r="A4260"/>
  <c r="C16" i="13"/>
  <c r="H6935" i="18"/>
  <c r="H6936" s="1"/>
  <c r="H6937" s="1"/>
  <c r="D2980" l="1"/>
  <c r="H2980" s="1"/>
  <c r="H2572"/>
  <c r="D2984" s="1"/>
  <c r="H2984" s="1"/>
  <c r="F2597"/>
  <c r="E2596"/>
  <c r="H2596" s="1"/>
  <c r="F2611"/>
  <c r="F2583"/>
  <c r="E2583" s="1"/>
  <c r="H2583" s="1"/>
  <c r="E2582"/>
  <c r="H2582" s="1"/>
  <c r="H2319" i="7"/>
  <c r="A765"/>
  <c r="A4293"/>
  <c r="B775"/>
  <c r="B4359"/>
  <c r="L6937" i="18"/>
  <c r="D7" i="61"/>
  <c r="H2587" i="18" l="1"/>
  <c r="F2626"/>
  <c r="F2612"/>
  <c r="E2611"/>
  <c r="H2611" s="1"/>
  <c r="E2597"/>
  <c r="H2597" s="1"/>
  <c r="F2598"/>
  <c r="E2598" s="1"/>
  <c r="H2598" s="1"/>
  <c r="H2320" i="7"/>
  <c r="H2329" s="1"/>
  <c r="B780"/>
  <c r="B4392"/>
  <c r="A770"/>
  <c r="A4326"/>
  <c r="H2330" l="1"/>
  <c r="H2335"/>
  <c r="H2336" s="1"/>
  <c r="H2350" s="1"/>
  <c r="H2351" s="1"/>
  <c r="H2371" s="1"/>
  <c r="H2602" i="18"/>
  <c r="D2986"/>
  <c r="F2613"/>
  <c r="E2613" s="1"/>
  <c r="H2613" s="1"/>
  <c r="E2612"/>
  <c r="H2612" s="1"/>
  <c r="F2627"/>
  <c r="E2626"/>
  <c r="H2626" s="1"/>
  <c r="F2671"/>
  <c r="F2641"/>
  <c r="B785" i="7"/>
  <c r="B4421"/>
  <c r="A775"/>
  <c r="A4359"/>
  <c r="H6931" i="18"/>
  <c r="H6930"/>
  <c r="H6929"/>
  <c r="H6928"/>
  <c r="H6927"/>
  <c r="H6926"/>
  <c r="H6925"/>
  <c r="H6924"/>
  <c r="H6923"/>
  <c r="H6922"/>
  <c r="H6921"/>
  <c r="H6920"/>
  <c r="H6919"/>
  <c r="H6918"/>
  <c r="H6917"/>
  <c r="H6916"/>
  <c r="H6915"/>
  <c r="H6914"/>
  <c r="H6913"/>
  <c r="H6912"/>
  <c r="H6911"/>
  <c r="H6910"/>
  <c r="H6909"/>
  <c r="H6908"/>
  <c r="H6907"/>
  <c r="H6906"/>
  <c r="H6905"/>
  <c r="H6904"/>
  <c r="H6903"/>
  <c r="H6902"/>
  <c r="H6901"/>
  <c r="H6900"/>
  <c r="H6899"/>
  <c r="H6898"/>
  <c r="H6944"/>
  <c r="H6943"/>
  <c r="H6942"/>
  <c r="H6941"/>
  <c r="H6940"/>
  <c r="H6939"/>
  <c r="H53" i="13"/>
  <c r="H52"/>
  <c r="I50"/>
  <c r="I51"/>
  <c r="H49"/>
  <c r="I48"/>
  <c r="H47"/>
  <c r="H2305" i="18"/>
  <c r="H2304"/>
  <c r="H2303"/>
  <c r="G2300"/>
  <c r="G2301" s="1"/>
  <c r="G2302" s="1"/>
  <c r="H2258"/>
  <c r="H2257"/>
  <c r="H2256"/>
  <c r="G2254"/>
  <c r="G2255" s="1"/>
  <c r="H2243"/>
  <c r="H2242"/>
  <c r="H2241"/>
  <c r="G2239"/>
  <c r="G2240" s="1"/>
  <c r="H2228"/>
  <c r="H2227"/>
  <c r="H2226"/>
  <c r="G2224"/>
  <c r="G2225" s="1"/>
  <c r="H2213"/>
  <c r="H2212"/>
  <c r="H2211"/>
  <c r="G2209"/>
  <c r="G2210" s="1"/>
  <c r="H2168"/>
  <c r="H2167"/>
  <c r="H2166"/>
  <c r="G2164"/>
  <c r="G2165" s="1"/>
  <c r="H2198"/>
  <c r="H2197"/>
  <c r="H2196"/>
  <c r="G2194"/>
  <c r="G2195" s="1"/>
  <c r="H2153"/>
  <c r="H2152"/>
  <c r="H2151"/>
  <c r="G2149"/>
  <c r="G2150" s="1"/>
  <c r="H2093"/>
  <c r="H2092"/>
  <c r="H2091"/>
  <c r="G2089"/>
  <c r="G2090" s="1"/>
  <c r="H2063"/>
  <c r="H2062"/>
  <c r="H2061"/>
  <c r="G2059"/>
  <c r="G2060" s="1"/>
  <c r="H1585"/>
  <c r="H1584"/>
  <c r="H1583"/>
  <c r="G1580"/>
  <c r="G1581" s="1"/>
  <c r="G1582" s="1"/>
  <c r="F1580"/>
  <c r="E1580" s="1"/>
  <c r="H1387"/>
  <c r="H1386"/>
  <c r="H1385"/>
  <c r="G1383"/>
  <c r="G1384" s="1"/>
  <c r="F1383"/>
  <c r="H1356"/>
  <c r="H1355"/>
  <c r="H1354"/>
  <c r="H1351"/>
  <c r="C3" i="13"/>
  <c r="Q12" i="41"/>
  <c r="Q13" s="1"/>
  <c r="H6897" i="18"/>
  <c r="CF111" i="55"/>
  <c r="BC89"/>
  <c r="AD82" s="1"/>
  <c r="AF137" s="1"/>
  <c r="GY111"/>
  <c r="FQ89"/>
  <c r="ER82" s="1"/>
  <c r="EU137" s="1"/>
  <c r="DY52"/>
  <c r="FR52" s="1"/>
  <c r="ED82" i="59"/>
  <c r="GF81"/>
  <c r="DR81"/>
  <c r="BP82"/>
  <c r="B82"/>
  <c r="BD81"/>
  <c r="GZ39" i="55"/>
  <c r="CF39"/>
  <c r="FR17"/>
  <c r="ES10" s="1"/>
  <c r="EP65" s="1"/>
  <c r="BC17"/>
  <c r="AD10" s="1"/>
  <c r="AA65" s="1"/>
  <c r="H2410" i="18"/>
  <c r="H2409"/>
  <c r="H2408"/>
  <c r="F2407"/>
  <c r="E2407"/>
  <c r="F2406"/>
  <c r="E2406"/>
  <c r="F2405"/>
  <c r="E2405"/>
  <c r="H2335"/>
  <c r="H2334"/>
  <c r="H2333"/>
  <c r="G2330"/>
  <c r="G2331" s="1"/>
  <c r="G2332" s="1"/>
  <c r="H2320"/>
  <c r="H2319"/>
  <c r="H2318"/>
  <c r="G2316"/>
  <c r="G2317" s="1"/>
  <c r="E2316"/>
  <c r="G2315"/>
  <c r="F2315"/>
  <c r="F2330" s="1"/>
  <c r="F2345" s="1"/>
  <c r="E2315"/>
  <c r="H1705"/>
  <c r="H1704"/>
  <c r="H1703"/>
  <c r="F1702"/>
  <c r="E1702"/>
  <c r="F1701"/>
  <c r="E1701"/>
  <c r="F1700"/>
  <c r="E1700"/>
  <c r="H1630"/>
  <c r="H1629"/>
  <c r="H1628"/>
  <c r="G1625"/>
  <c r="G1626" s="1"/>
  <c r="G1627" s="1"/>
  <c r="H1615"/>
  <c r="H1614"/>
  <c r="H1613"/>
  <c r="G1611"/>
  <c r="G1612" s="1"/>
  <c r="E1611"/>
  <c r="G1610"/>
  <c r="F1610"/>
  <c r="F1625" s="1"/>
  <c r="E1610"/>
  <c r="H1433"/>
  <c r="H1432"/>
  <c r="H1431"/>
  <c r="G1429"/>
  <c r="G1430" s="1"/>
  <c r="H2138"/>
  <c r="H2137"/>
  <c r="H2136"/>
  <c r="G2134"/>
  <c r="G2135" s="1"/>
  <c r="H2273"/>
  <c r="H2272"/>
  <c r="H2271"/>
  <c r="F2270"/>
  <c r="E2270"/>
  <c r="F2269"/>
  <c r="E2269"/>
  <c r="H2123"/>
  <c r="H2122"/>
  <c r="H2121"/>
  <c r="G2119"/>
  <c r="G2120" s="1"/>
  <c r="F2119"/>
  <c r="H2108"/>
  <c r="H2107"/>
  <c r="H2106"/>
  <c r="G2104"/>
  <c r="G2105" s="1"/>
  <c r="H2078"/>
  <c r="H2077"/>
  <c r="H2076"/>
  <c r="G2074"/>
  <c r="G2075" s="1"/>
  <c r="D2987" l="1"/>
  <c r="H2391" i="7"/>
  <c r="H2392" s="1"/>
  <c r="H2419" s="1"/>
  <c r="H2420" s="1"/>
  <c r="H2435" s="1"/>
  <c r="H2443" s="1"/>
  <c r="H2444" s="1"/>
  <c r="H2372"/>
  <c r="H2617" i="18"/>
  <c r="D2989" s="1"/>
  <c r="H2989" s="1"/>
  <c r="F2656"/>
  <c r="F2642"/>
  <c r="E2641"/>
  <c r="H2641" s="1"/>
  <c r="E2627"/>
  <c r="H2627" s="1"/>
  <c r="F2628"/>
  <c r="E2628" s="1"/>
  <c r="H2628" s="1"/>
  <c r="E2671"/>
  <c r="H2671" s="1"/>
  <c r="F2672"/>
  <c r="B791" i="7"/>
  <c r="B4442"/>
  <c r="A780"/>
  <c r="A4392"/>
  <c r="E2345" i="18"/>
  <c r="H2345" s="1"/>
  <c r="F2390"/>
  <c r="F2360"/>
  <c r="F2346"/>
  <c r="H6945"/>
  <c r="H6946" s="1"/>
  <c r="H6947" s="1"/>
  <c r="H2058"/>
  <c r="H1580"/>
  <c r="H1382"/>
  <c r="F2059"/>
  <c r="F1581"/>
  <c r="F1384"/>
  <c r="E1384" s="1"/>
  <c r="H1384" s="1"/>
  <c r="E1383"/>
  <c r="H1383" s="1"/>
  <c r="H1352"/>
  <c r="H1353"/>
  <c r="H2269"/>
  <c r="H2405"/>
  <c r="H2406"/>
  <c r="H2407"/>
  <c r="F2331"/>
  <c r="E2330"/>
  <c r="H2330" s="1"/>
  <c r="H2315"/>
  <c r="H1702"/>
  <c r="F2316"/>
  <c r="H1610"/>
  <c r="H1700"/>
  <c r="H1701"/>
  <c r="F1626"/>
  <c r="E1625"/>
  <c r="H1625" s="1"/>
  <c r="H2268"/>
  <c r="F1611"/>
  <c r="F1612" s="1"/>
  <c r="E1612" s="1"/>
  <c r="H1612" s="1"/>
  <c r="H2118"/>
  <c r="H2270"/>
  <c r="F2104"/>
  <c r="H2103"/>
  <c r="F2120"/>
  <c r="H2120" s="1"/>
  <c r="H2119"/>
  <c r="H2073"/>
  <c r="F2074"/>
  <c r="O12" i="41"/>
  <c r="H2436" i="7" l="1"/>
  <c r="H2451"/>
  <c r="H2632" i="18"/>
  <c r="D2992" s="1"/>
  <c r="H2992" s="1"/>
  <c r="F2657"/>
  <c r="E2656"/>
  <c r="H2656" s="1"/>
  <c r="E2642"/>
  <c r="H2642" s="1"/>
  <c r="F2643"/>
  <c r="E2643" s="1"/>
  <c r="H2643" s="1"/>
  <c r="E2672"/>
  <c r="H2672" s="1"/>
  <c r="F2673"/>
  <c r="E2673" s="1"/>
  <c r="H2673" s="1"/>
  <c r="H2274"/>
  <c r="B796" i="7"/>
  <c r="B4492"/>
  <c r="A785"/>
  <c r="A4421"/>
  <c r="H2411" i="18"/>
  <c r="E2390"/>
  <c r="H2390" s="1"/>
  <c r="F2391"/>
  <c r="E2360"/>
  <c r="H2360" s="1"/>
  <c r="F2361"/>
  <c r="E2346"/>
  <c r="H2346" s="1"/>
  <c r="F2347"/>
  <c r="E2347" s="1"/>
  <c r="H2347" s="1"/>
  <c r="H1357"/>
  <c r="H2133"/>
  <c r="H2088"/>
  <c r="F2089"/>
  <c r="H2059"/>
  <c r="F2060"/>
  <c r="H2060" s="1"/>
  <c r="E1581"/>
  <c r="H1581" s="1"/>
  <c r="F1582"/>
  <c r="E1582" s="1"/>
  <c r="H1582" s="1"/>
  <c r="H1388"/>
  <c r="F2317"/>
  <c r="E2317" s="1"/>
  <c r="H2317" s="1"/>
  <c r="H2316"/>
  <c r="F2332"/>
  <c r="E2332" s="1"/>
  <c r="H2332" s="1"/>
  <c r="E2331"/>
  <c r="H2331" s="1"/>
  <c r="F2134"/>
  <c r="H2134" s="1"/>
  <c r="H2124"/>
  <c r="H1706"/>
  <c r="F1627"/>
  <c r="E1627" s="1"/>
  <c r="H1627" s="1"/>
  <c r="E1626"/>
  <c r="H1626" s="1"/>
  <c r="H1611"/>
  <c r="H1616" s="1"/>
  <c r="F2105"/>
  <c r="H2105" s="1"/>
  <c r="H2104"/>
  <c r="F2075"/>
  <c r="H2075" s="1"/>
  <c r="H2074"/>
  <c r="P12" i="41"/>
  <c r="P13" s="1"/>
  <c r="O13"/>
  <c r="N12"/>
  <c r="N13" s="1"/>
  <c r="M12"/>
  <c r="M13" s="1"/>
  <c r="L12"/>
  <c r="L13" s="1"/>
  <c r="K12"/>
  <c r="K13" s="1"/>
  <c r="J12"/>
  <c r="J13" s="1"/>
  <c r="I12"/>
  <c r="I13" s="1"/>
  <c r="H12"/>
  <c r="H13" s="1"/>
  <c r="G12"/>
  <c r="G13" s="1"/>
  <c r="F12"/>
  <c r="F13" s="1"/>
  <c r="E12"/>
  <c r="E13" s="1"/>
  <c r="D12"/>
  <c r="D13" s="1"/>
  <c r="C12"/>
  <c r="C13" s="1"/>
  <c r="B12"/>
  <c r="B13" s="1"/>
  <c r="H5817" i="18"/>
  <c r="H5816"/>
  <c r="H5815"/>
  <c r="H5814"/>
  <c r="H5813"/>
  <c r="H5812"/>
  <c r="B5609"/>
  <c r="H5615"/>
  <c r="H5614"/>
  <c r="H5613"/>
  <c r="H5612"/>
  <c r="H5611"/>
  <c r="H5610"/>
  <c r="B5451" i="7"/>
  <c r="J5540"/>
  <c r="G5540"/>
  <c r="E5530"/>
  <c r="A5530"/>
  <c r="J5523"/>
  <c r="G5523"/>
  <c r="E5511"/>
  <c r="A5511"/>
  <c r="B5491"/>
  <c r="B5471"/>
  <c r="B5431"/>
  <c r="G5504"/>
  <c r="E5491"/>
  <c r="G5464"/>
  <c r="G5484"/>
  <c r="N64"/>
  <c r="E5471"/>
  <c r="E5451"/>
  <c r="E5431"/>
  <c r="Q5430"/>
  <c r="H6954" i="18"/>
  <c r="H6953"/>
  <c r="H6952"/>
  <c r="H6951"/>
  <c r="H6950"/>
  <c r="H6949"/>
  <c r="H6719"/>
  <c r="H6718"/>
  <c r="H6717"/>
  <c r="H6716"/>
  <c r="H6715"/>
  <c r="H6714"/>
  <c r="H6711"/>
  <c r="H6710"/>
  <c r="H6709"/>
  <c r="H6708"/>
  <c r="H6707"/>
  <c r="H6706"/>
  <c r="H6703"/>
  <c r="H6702"/>
  <c r="H6701"/>
  <c r="H6700"/>
  <c r="H6699"/>
  <c r="H6698"/>
  <c r="H6695"/>
  <c r="H6694"/>
  <c r="H6693"/>
  <c r="H6692"/>
  <c r="H6691"/>
  <c r="H6690"/>
  <c r="H6687"/>
  <c r="H6686"/>
  <c r="H6685"/>
  <c r="H6684"/>
  <c r="H6683"/>
  <c r="H6682"/>
  <c r="H6679"/>
  <c r="H6678"/>
  <c r="H6677"/>
  <c r="H6676"/>
  <c r="H6675"/>
  <c r="H6674"/>
  <c r="H6671"/>
  <c r="H6670"/>
  <c r="H6669"/>
  <c r="H6668"/>
  <c r="H6667"/>
  <c r="H6666"/>
  <c r="H6663"/>
  <c r="H6662"/>
  <c r="H6661"/>
  <c r="H6660"/>
  <c r="H6659"/>
  <c r="H6658"/>
  <c r="H6655"/>
  <c r="H6654"/>
  <c r="H6653"/>
  <c r="H6652"/>
  <c r="H6651"/>
  <c r="H6650"/>
  <c r="H6647"/>
  <c r="H6646"/>
  <c r="H6645"/>
  <c r="H6644"/>
  <c r="H6643"/>
  <c r="H6642"/>
  <c r="H6639"/>
  <c r="H6638"/>
  <c r="H6637"/>
  <c r="H6636"/>
  <c r="H6635"/>
  <c r="H6634"/>
  <c r="H6630"/>
  <c r="H6629"/>
  <c r="H6628"/>
  <c r="H6627"/>
  <c r="H6626"/>
  <c r="H6625"/>
  <c r="H6621"/>
  <c r="H6620"/>
  <c r="H6619"/>
  <c r="H6618"/>
  <c r="H6617"/>
  <c r="H6616"/>
  <c r="H6612"/>
  <c r="H6611"/>
  <c r="H6610"/>
  <c r="H6609"/>
  <c r="H6608"/>
  <c r="H6607"/>
  <c r="H6603"/>
  <c r="H6602"/>
  <c r="H6601"/>
  <c r="H6600"/>
  <c r="H6599"/>
  <c r="H6598"/>
  <c r="H6594"/>
  <c r="H6593"/>
  <c r="H6592"/>
  <c r="H6591"/>
  <c r="H6590"/>
  <c r="H6589"/>
  <c r="H6585"/>
  <c r="H6584"/>
  <c r="H6583"/>
  <c r="H6582"/>
  <c r="H6581"/>
  <c r="H6580"/>
  <c r="H6576"/>
  <c r="H6575"/>
  <c r="H6574"/>
  <c r="H6573"/>
  <c r="H6572"/>
  <c r="H6571"/>
  <c r="H6567"/>
  <c r="H6566"/>
  <c r="H6565"/>
  <c r="H6564"/>
  <c r="H6563"/>
  <c r="H6562"/>
  <c r="H6556"/>
  <c r="H6555"/>
  <c r="H6554"/>
  <c r="H6553"/>
  <c r="H6552"/>
  <c r="H6551"/>
  <c r="H6548"/>
  <c r="H6547"/>
  <c r="H6546"/>
  <c r="H6545"/>
  <c r="H6544"/>
  <c r="H6543"/>
  <c r="H6540"/>
  <c r="H6539"/>
  <c r="H6538"/>
  <c r="H6537"/>
  <c r="H6536"/>
  <c r="H6535"/>
  <c r="H6532"/>
  <c r="H6531"/>
  <c r="H6530"/>
  <c r="H6529"/>
  <c r="H6528"/>
  <c r="H6527"/>
  <c r="H6524"/>
  <c r="H6523"/>
  <c r="H6522"/>
  <c r="H6521"/>
  <c r="H6520"/>
  <c r="H6519"/>
  <c r="H6269"/>
  <c r="H6268"/>
  <c r="H6267"/>
  <c r="H6266"/>
  <c r="H6265"/>
  <c r="H6264"/>
  <c r="H6515"/>
  <c r="H6514"/>
  <c r="H6513"/>
  <c r="H6512"/>
  <c r="H6511"/>
  <c r="H6510"/>
  <c r="H6507"/>
  <c r="H6506"/>
  <c r="H6505"/>
  <c r="H6504"/>
  <c r="H6503"/>
  <c r="H6502"/>
  <c r="H6499"/>
  <c r="H6498"/>
  <c r="H6497"/>
  <c r="H6496"/>
  <c r="H6495"/>
  <c r="H6494"/>
  <c r="H6491"/>
  <c r="H6490"/>
  <c r="H6489"/>
  <c r="H6488"/>
  <c r="H6487"/>
  <c r="H6486"/>
  <c r="H6483"/>
  <c r="H6482"/>
  <c r="H6481"/>
  <c r="H6480"/>
  <c r="H6479"/>
  <c r="H6478"/>
  <c r="H6474"/>
  <c r="H6473"/>
  <c r="H6472"/>
  <c r="H6471"/>
  <c r="H6470"/>
  <c r="H6469"/>
  <c r="H6466"/>
  <c r="H6465"/>
  <c r="H6464"/>
  <c r="H6463"/>
  <c r="H6462"/>
  <c r="H6461"/>
  <c r="H6458"/>
  <c r="H6457"/>
  <c r="H6456"/>
  <c r="H6455"/>
  <c r="H6454"/>
  <c r="H6453"/>
  <c r="H6450"/>
  <c r="H6449"/>
  <c r="H6448"/>
  <c r="H6447"/>
  <c r="H6446"/>
  <c r="H6445"/>
  <c r="H6442"/>
  <c r="H6441"/>
  <c r="H6440"/>
  <c r="H6439"/>
  <c r="H6438"/>
  <c r="H6437"/>
  <c r="H6433"/>
  <c r="H6432"/>
  <c r="H6431"/>
  <c r="H6430"/>
  <c r="H6429"/>
  <c r="H6428"/>
  <c r="H6425"/>
  <c r="H6424"/>
  <c r="H6423"/>
  <c r="H6422"/>
  <c r="H6421"/>
  <c r="H6420"/>
  <c r="H6417"/>
  <c r="H6416"/>
  <c r="H6415"/>
  <c r="H6414"/>
  <c r="H6413"/>
  <c r="H6412"/>
  <c r="H6409"/>
  <c r="H6408"/>
  <c r="H6407"/>
  <c r="H6406"/>
  <c r="H6405"/>
  <c r="H6404"/>
  <c r="H6401"/>
  <c r="H6400"/>
  <c r="H6399"/>
  <c r="H6398"/>
  <c r="H6397"/>
  <c r="H6396"/>
  <c r="H6392"/>
  <c r="H6391"/>
  <c r="H6390"/>
  <c r="H6389"/>
  <c r="H6388"/>
  <c r="H6387"/>
  <c r="H6384"/>
  <c r="H6383"/>
  <c r="H6382"/>
  <c r="H6381"/>
  <c r="H6380"/>
  <c r="H6379"/>
  <c r="H6376"/>
  <c r="H6375"/>
  <c r="H6374"/>
  <c r="H6373"/>
  <c r="H6372"/>
  <c r="H6371"/>
  <c r="H6368"/>
  <c r="H6367"/>
  <c r="H6366"/>
  <c r="H6365"/>
  <c r="H6364"/>
  <c r="H6363"/>
  <c r="H6360"/>
  <c r="H6359"/>
  <c r="H6358"/>
  <c r="H6357"/>
  <c r="H6356"/>
  <c r="H6355"/>
  <c r="H6351"/>
  <c r="H6350"/>
  <c r="H6349"/>
  <c r="H6348"/>
  <c r="H6347"/>
  <c r="H6346"/>
  <c r="H6343"/>
  <c r="H6342"/>
  <c r="H6341"/>
  <c r="H6340"/>
  <c r="H6339"/>
  <c r="H6338"/>
  <c r="H6335"/>
  <c r="H6334"/>
  <c r="H6333"/>
  <c r="H6332"/>
  <c r="H6331"/>
  <c r="H6330"/>
  <c r="H6327"/>
  <c r="H6326"/>
  <c r="H6325"/>
  <c r="H6324"/>
  <c r="H6323"/>
  <c r="H6322"/>
  <c r="H6319"/>
  <c r="H6318"/>
  <c r="H6317"/>
  <c r="H6316"/>
  <c r="H6315"/>
  <c r="H6314"/>
  <c r="H6310"/>
  <c r="H6309"/>
  <c r="H6308"/>
  <c r="H6307"/>
  <c r="H6306"/>
  <c r="H6305"/>
  <c r="H6302"/>
  <c r="H6301"/>
  <c r="H6300"/>
  <c r="H6299"/>
  <c r="H6298"/>
  <c r="H6297"/>
  <c r="H6294"/>
  <c r="H6293"/>
  <c r="H6292"/>
  <c r="H6291"/>
  <c r="H6290"/>
  <c r="H6289"/>
  <c r="H6286"/>
  <c r="H6285"/>
  <c r="H6284"/>
  <c r="H6283"/>
  <c r="H6282"/>
  <c r="H6281"/>
  <c r="H6278"/>
  <c r="H6277"/>
  <c r="H6276"/>
  <c r="H6275"/>
  <c r="H6274"/>
  <c r="H6273"/>
  <c r="H6261"/>
  <c r="H6260"/>
  <c r="H6259"/>
  <c r="H6258"/>
  <c r="H6257"/>
  <c r="H6256"/>
  <c r="H6253"/>
  <c r="H6252"/>
  <c r="H6251"/>
  <c r="H6250"/>
  <c r="H6249"/>
  <c r="H6248"/>
  <c r="H6245"/>
  <c r="H6244"/>
  <c r="H6243"/>
  <c r="H6242"/>
  <c r="H6241"/>
  <c r="H6240"/>
  <c r="H6237"/>
  <c r="H6236"/>
  <c r="H6235"/>
  <c r="H6234"/>
  <c r="H6233"/>
  <c r="H6232"/>
  <c r="H6227"/>
  <c r="H6226"/>
  <c r="H6225"/>
  <c r="H6224"/>
  <c r="H6223"/>
  <c r="H6222"/>
  <c r="H6219"/>
  <c r="H6218"/>
  <c r="H6217"/>
  <c r="H6216"/>
  <c r="H6215"/>
  <c r="H6214"/>
  <c r="H6211"/>
  <c r="H6210"/>
  <c r="H6209"/>
  <c r="H6208"/>
  <c r="H6207"/>
  <c r="H6206"/>
  <c r="H6203"/>
  <c r="H6202"/>
  <c r="H6201"/>
  <c r="H6200"/>
  <c r="H6199"/>
  <c r="H6198"/>
  <c r="H6195"/>
  <c r="H6194"/>
  <c r="H6193"/>
  <c r="H6192"/>
  <c r="H6191"/>
  <c r="H6190"/>
  <c r="H6186"/>
  <c r="H6185"/>
  <c r="H6184"/>
  <c r="H6183"/>
  <c r="H6182"/>
  <c r="H6181"/>
  <c r="H6178"/>
  <c r="H6177"/>
  <c r="H6176"/>
  <c r="H6175"/>
  <c r="H6174"/>
  <c r="H6173"/>
  <c r="H6170"/>
  <c r="H6169"/>
  <c r="H6168"/>
  <c r="H6167"/>
  <c r="H6166"/>
  <c r="H6165"/>
  <c r="H6162"/>
  <c r="H6161"/>
  <c r="H6160"/>
  <c r="H6159"/>
  <c r="H6158"/>
  <c r="H6157"/>
  <c r="H6154"/>
  <c r="H6153"/>
  <c r="H6152"/>
  <c r="H6151"/>
  <c r="H6150"/>
  <c r="H6149"/>
  <c r="H6145"/>
  <c r="H6144"/>
  <c r="H6143"/>
  <c r="H6142"/>
  <c r="H6141"/>
  <c r="H6140"/>
  <c r="H6137"/>
  <c r="H6136"/>
  <c r="H6135"/>
  <c r="H6134"/>
  <c r="H6133"/>
  <c r="H6132"/>
  <c r="H6129"/>
  <c r="H6128"/>
  <c r="H6127"/>
  <c r="H6126"/>
  <c r="H6125"/>
  <c r="H6124"/>
  <c r="H6121"/>
  <c r="H6120"/>
  <c r="H6119"/>
  <c r="H6118"/>
  <c r="H6117"/>
  <c r="H6116"/>
  <c r="H6113"/>
  <c r="H6112"/>
  <c r="H6111"/>
  <c r="H6110"/>
  <c r="H6109"/>
  <c r="H6108"/>
  <c r="H6104"/>
  <c r="H6103"/>
  <c r="H6102"/>
  <c r="H6101"/>
  <c r="H6100"/>
  <c r="H6099"/>
  <c r="H6096"/>
  <c r="H6095"/>
  <c r="H6094"/>
  <c r="H6093"/>
  <c r="H6092"/>
  <c r="H6091"/>
  <c r="H6088"/>
  <c r="H6087"/>
  <c r="H6086"/>
  <c r="H6085"/>
  <c r="H6084"/>
  <c r="H6083"/>
  <c r="H6080"/>
  <c r="H6079"/>
  <c r="H6078"/>
  <c r="H6077"/>
  <c r="H6076"/>
  <c r="H6075"/>
  <c r="H6072"/>
  <c r="H6071"/>
  <c r="H6070"/>
  <c r="H6069"/>
  <c r="H6068"/>
  <c r="H6067"/>
  <c r="H6063"/>
  <c r="H6062"/>
  <c r="H6061"/>
  <c r="H6060"/>
  <c r="H6059"/>
  <c r="H6058"/>
  <c r="H6055"/>
  <c r="H6054"/>
  <c r="H6053"/>
  <c r="H6052"/>
  <c r="H6051"/>
  <c r="H6050"/>
  <c r="H6047"/>
  <c r="H6046"/>
  <c r="H6045"/>
  <c r="H6044"/>
  <c r="H6043"/>
  <c r="H6042"/>
  <c r="H6039"/>
  <c r="H6038"/>
  <c r="H6037"/>
  <c r="H6036"/>
  <c r="H6035"/>
  <c r="H6034"/>
  <c r="H6031"/>
  <c r="H6030"/>
  <c r="H6029"/>
  <c r="H6028"/>
  <c r="H6027"/>
  <c r="H6026"/>
  <c r="H6022"/>
  <c r="H6021"/>
  <c r="H6020"/>
  <c r="H6019"/>
  <c r="H6018"/>
  <c r="H6017"/>
  <c r="H6014"/>
  <c r="H6013"/>
  <c r="H6012"/>
  <c r="H6011"/>
  <c r="H6010"/>
  <c r="H6009"/>
  <c r="H6006"/>
  <c r="H6005"/>
  <c r="H6004"/>
  <c r="H6003"/>
  <c r="H6002"/>
  <c r="H6001"/>
  <c r="H5998"/>
  <c r="H5997"/>
  <c r="H5996"/>
  <c r="H5995"/>
  <c r="H5994"/>
  <c r="H5993"/>
  <c r="H5990"/>
  <c r="H5989"/>
  <c r="H5988"/>
  <c r="H5987"/>
  <c r="H5986"/>
  <c r="H5985"/>
  <c r="H5981"/>
  <c r="H5980"/>
  <c r="H5979"/>
  <c r="H5978"/>
  <c r="H5977"/>
  <c r="H5976"/>
  <c r="H5973"/>
  <c r="H5972"/>
  <c r="H5971"/>
  <c r="H5970"/>
  <c r="H5969"/>
  <c r="H5968"/>
  <c r="H5965"/>
  <c r="H5964"/>
  <c r="H5963"/>
  <c r="H5962"/>
  <c r="H5961"/>
  <c r="H5960"/>
  <c r="H5957"/>
  <c r="H5956"/>
  <c r="H5955"/>
  <c r="H5954"/>
  <c r="H5953"/>
  <c r="H5952"/>
  <c r="H5949"/>
  <c r="H5948"/>
  <c r="H5947"/>
  <c r="H5946"/>
  <c r="H5945"/>
  <c r="H5944"/>
  <c r="H5940"/>
  <c r="H5939"/>
  <c r="H5938"/>
  <c r="H5937"/>
  <c r="H5936"/>
  <c r="H5935"/>
  <c r="H5932"/>
  <c r="H5931"/>
  <c r="H5930"/>
  <c r="H5929"/>
  <c r="H5928"/>
  <c r="H5927"/>
  <c r="H5924"/>
  <c r="H5923"/>
  <c r="H5922"/>
  <c r="H5921"/>
  <c r="H5920"/>
  <c r="H5919"/>
  <c r="H5916"/>
  <c r="H5915"/>
  <c r="H5914"/>
  <c r="H5913"/>
  <c r="H5912"/>
  <c r="H5911"/>
  <c r="H5908"/>
  <c r="H5907"/>
  <c r="H5906"/>
  <c r="H5905"/>
  <c r="H5904"/>
  <c r="H5903"/>
  <c r="H5898"/>
  <c r="H5897"/>
  <c r="H5896"/>
  <c r="H5895"/>
  <c r="H5894"/>
  <c r="H5893"/>
  <c r="H5890"/>
  <c r="H5889"/>
  <c r="H5888"/>
  <c r="H5887"/>
  <c r="H5886"/>
  <c r="H5885"/>
  <c r="H5882"/>
  <c r="H5881"/>
  <c r="H5880"/>
  <c r="H5879"/>
  <c r="H5878"/>
  <c r="H5877"/>
  <c r="H5874"/>
  <c r="H5873"/>
  <c r="H5872"/>
  <c r="H5871"/>
  <c r="H5870"/>
  <c r="H5869"/>
  <c r="B5690"/>
  <c r="H5696"/>
  <c r="H5695"/>
  <c r="H5694"/>
  <c r="H5693"/>
  <c r="H5692"/>
  <c r="H5691"/>
  <c r="E5047"/>
  <c r="G5046"/>
  <c r="E5046"/>
  <c r="E5045"/>
  <c r="E5044"/>
  <c r="F5043"/>
  <c r="G5044" s="1"/>
  <c r="G5045" s="1"/>
  <c r="E5043"/>
  <c r="F5042"/>
  <c r="E5042"/>
  <c r="E5039"/>
  <c r="G5038"/>
  <c r="G5039" s="1"/>
  <c r="E5038"/>
  <c r="E5037"/>
  <c r="E5036"/>
  <c r="F5035"/>
  <c r="G5036" s="1"/>
  <c r="E5035"/>
  <c r="F5034"/>
  <c r="E5034"/>
  <c r="H2452" i="7" l="1"/>
  <c r="H2474"/>
  <c r="H2475" s="1"/>
  <c r="H2490" s="1"/>
  <c r="H2677" i="18"/>
  <c r="H2647"/>
  <c r="D2985" s="1"/>
  <c r="H2985" s="1"/>
  <c r="E2657"/>
  <c r="H2657" s="1"/>
  <c r="F2658"/>
  <c r="E2658" s="1"/>
  <c r="H2658" s="1"/>
  <c r="B4525" i="7"/>
  <c r="H2109" i="18"/>
  <c r="D2968"/>
  <c r="B801" i="7"/>
  <c r="B3217"/>
  <c r="A791"/>
  <c r="A4442"/>
  <c r="H2351" i="18"/>
  <c r="D2970" s="1"/>
  <c r="H2970" s="1"/>
  <c r="F2423"/>
  <c r="H2422"/>
  <c r="E2361"/>
  <c r="H2361" s="1"/>
  <c r="F2362"/>
  <c r="E2362" s="1"/>
  <c r="H2362" s="1"/>
  <c r="E2391"/>
  <c r="H2391" s="1"/>
  <c r="F2392"/>
  <c r="L6947"/>
  <c r="H6955"/>
  <c r="H6956" s="1"/>
  <c r="H6957" s="1"/>
  <c r="H1586"/>
  <c r="H2064"/>
  <c r="D2943" s="1"/>
  <c r="H2148"/>
  <c r="F2149"/>
  <c r="F2135"/>
  <c r="H2135" s="1"/>
  <c r="H2139" s="1"/>
  <c r="H2089"/>
  <c r="F2090"/>
  <c r="H2090" s="1"/>
  <c r="H2336"/>
  <c r="H2321"/>
  <c r="D2965" s="1"/>
  <c r="H1631"/>
  <c r="H2079"/>
  <c r="H5950"/>
  <c r="H5966"/>
  <c r="H5982"/>
  <c r="H6032"/>
  <c r="H6048"/>
  <c r="H6064"/>
  <c r="H6238"/>
  <c r="H6254"/>
  <c r="H6279"/>
  <c r="H6484"/>
  <c r="H6270"/>
  <c r="H6533"/>
  <c r="H6549"/>
  <c r="H6568"/>
  <c r="H6604"/>
  <c r="H6640"/>
  <c r="H6672"/>
  <c r="H6688"/>
  <c r="H6704"/>
  <c r="H5818"/>
  <c r="H5875"/>
  <c r="H6073"/>
  <c r="H6089"/>
  <c r="H6138"/>
  <c r="H6155"/>
  <c r="H6171"/>
  <c r="H6187"/>
  <c r="H6204"/>
  <c r="H6220"/>
  <c r="H6613"/>
  <c r="H6648"/>
  <c r="H6262"/>
  <c r="H6303"/>
  <c r="H6320"/>
  <c r="H6352"/>
  <c r="H6385"/>
  <c r="H6418"/>
  <c r="H6451"/>
  <c r="H6500"/>
  <c r="H6525"/>
  <c r="H6541"/>
  <c r="H6557"/>
  <c r="H6577"/>
  <c r="H6595"/>
  <c r="H6631"/>
  <c r="H6664"/>
  <c r="H6680"/>
  <c r="H6696"/>
  <c r="H6712"/>
  <c r="H6328"/>
  <c r="H6393"/>
  <c r="H6508"/>
  <c r="H6586"/>
  <c r="H6622"/>
  <c r="H6656"/>
  <c r="H6720"/>
  <c r="H5616"/>
  <c r="L64" i="7"/>
  <c r="O64" s="1"/>
  <c r="J5537"/>
  <c r="J5518"/>
  <c r="K5518" s="1"/>
  <c r="H6295" i="18"/>
  <c r="H6311"/>
  <c r="H6336"/>
  <c r="H6369"/>
  <c r="H6377"/>
  <c r="H6402"/>
  <c r="H6410"/>
  <c r="H6434"/>
  <c r="H6467"/>
  <c r="H5958"/>
  <c r="H5974"/>
  <c r="H5991"/>
  <c r="H6007"/>
  <c r="H6023"/>
  <c r="H6040"/>
  <c r="H6287"/>
  <c r="H6344"/>
  <c r="H6443"/>
  <c r="H6475"/>
  <c r="H6246"/>
  <c r="H6516"/>
  <c r="H6081"/>
  <c r="H6097"/>
  <c r="H6114"/>
  <c r="H6130"/>
  <c r="H6146"/>
  <c r="H6361"/>
  <c r="H6426"/>
  <c r="H6459"/>
  <c r="H6492"/>
  <c r="H6163"/>
  <c r="H6179"/>
  <c r="H6196"/>
  <c r="H6212"/>
  <c r="H6228"/>
  <c r="H5999"/>
  <c r="H6015"/>
  <c r="H6056"/>
  <c r="H6105"/>
  <c r="H6122"/>
  <c r="H5883"/>
  <c r="H5899"/>
  <c r="H5925"/>
  <c r="H5933"/>
  <c r="H5891"/>
  <c r="H5909"/>
  <c r="H5917"/>
  <c r="H5941"/>
  <c r="H5043"/>
  <c r="H5042"/>
  <c r="H5697"/>
  <c r="H5035"/>
  <c r="H5038"/>
  <c r="H5046"/>
  <c r="H5034"/>
  <c r="H5039"/>
  <c r="H5045"/>
  <c r="H5044"/>
  <c r="G5047"/>
  <c r="H5047" s="1"/>
  <c r="G5037"/>
  <c r="H5037" s="1"/>
  <c r="H5036"/>
  <c r="H2662" l="1"/>
  <c r="H2491" i="7"/>
  <c r="H2498"/>
  <c r="D2988" i="18"/>
  <c r="D2991"/>
  <c r="H2991" s="1"/>
  <c r="I1060" i="7"/>
  <c r="K1060" s="1"/>
  <c r="L1060" s="1"/>
  <c r="D2967" i="18"/>
  <c r="H1714"/>
  <c r="H2366"/>
  <c r="D2963" s="1"/>
  <c r="B806" i="7"/>
  <c r="B4558"/>
  <c r="A796"/>
  <c r="A4492"/>
  <c r="F2424" i="18"/>
  <c r="E2424" s="1"/>
  <c r="H2424" s="1"/>
  <c r="E2423"/>
  <c r="H2423" s="1"/>
  <c r="E2392"/>
  <c r="H2392" s="1"/>
  <c r="H2396" s="1"/>
  <c r="D2966" s="1"/>
  <c r="F2437"/>
  <c r="F2194"/>
  <c r="H2194" s="1"/>
  <c r="H2193"/>
  <c r="H2094"/>
  <c r="D2944" s="1"/>
  <c r="H2163"/>
  <c r="F2164"/>
  <c r="H2149"/>
  <c r="F2150"/>
  <c r="H2150" s="1"/>
  <c r="H5040"/>
  <c r="H5048"/>
  <c r="H2499" i="7" l="1"/>
  <c r="H2506"/>
  <c r="A4525"/>
  <c r="B811"/>
  <c r="B4591"/>
  <c r="A801"/>
  <c r="A3217"/>
  <c r="H2428" i="18"/>
  <c r="D2973" s="1"/>
  <c r="H2973" s="1"/>
  <c r="E2437"/>
  <c r="H2437" s="1"/>
  <c r="F2438"/>
  <c r="J5697"/>
  <c r="L6957"/>
  <c r="F2195"/>
  <c r="H2195" s="1"/>
  <c r="H2199" s="1"/>
  <c r="D2949" s="1"/>
  <c r="H2208"/>
  <c r="F2209"/>
  <c r="H2164"/>
  <c r="F2165"/>
  <c r="H2165" s="1"/>
  <c r="H2154"/>
  <c r="G911"/>
  <c r="B570" i="4"/>
  <c r="DO569"/>
  <c r="H569"/>
  <c r="B569"/>
  <c r="EI562"/>
  <c r="EG562"/>
  <c r="EE562"/>
  <c r="EC562"/>
  <c r="EA562"/>
  <c r="DY562"/>
  <c r="AW562"/>
  <c r="DG561"/>
  <c r="DG562" s="1"/>
  <c r="DF561"/>
  <c r="DF562" s="1"/>
  <c r="DE561"/>
  <c r="DE562" s="1"/>
  <c r="DD561"/>
  <c r="DD562" s="1"/>
  <c r="DC561"/>
  <c r="DC562" s="1"/>
  <c r="DB561"/>
  <c r="DB562" s="1"/>
  <c r="DA561"/>
  <c r="DA562" s="1"/>
  <c r="CR561"/>
  <c r="CR562" s="1"/>
  <c r="CP561"/>
  <c r="CP562" s="1"/>
  <c r="R554"/>
  <c r="V554" s="1"/>
  <c r="DR553"/>
  <c r="DS553" s="1"/>
  <c r="DP553"/>
  <c r="DQ553" s="1"/>
  <c r="DN553"/>
  <c r="DO553" s="1"/>
  <c r="R553"/>
  <c r="T553" s="1"/>
  <c r="K553"/>
  <c r="L553" s="1"/>
  <c r="G553"/>
  <c r="H553" s="1"/>
  <c r="R552"/>
  <c r="V552" s="1"/>
  <c r="DR551"/>
  <c r="DS551" s="1"/>
  <c r="DP551"/>
  <c r="DQ551" s="1"/>
  <c r="DN551"/>
  <c r="DO551" s="1"/>
  <c r="R551"/>
  <c r="T551" s="1"/>
  <c r="K551"/>
  <c r="L551" s="1"/>
  <c r="G551"/>
  <c r="H551" s="1"/>
  <c r="R550"/>
  <c r="V550" s="1"/>
  <c r="DR549"/>
  <c r="DS549" s="1"/>
  <c r="DP549"/>
  <c r="DQ549" s="1"/>
  <c r="DN549"/>
  <c r="DO549" s="1"/>
  <c r="R549"/>
  <c r="T549" s="1"/>
  <c r="K549"/>
  <c r="L549" s="1"/>
  <c r="G549"/>
  <c r="H549" s="1"/>
  <c r="R548"/>
  <c r="V548" s="1"/>
  <c r="DR547"/>
  <c r="DS547" s="1"/>
  <c r="DP547"/>
  <c r="DQ547" s="1"/>
  <c r="DN547"/>
  <c r="DO547" s="1"/>
  <c r="R547"/>
  <c r="T547" s="1"/>
  <c r="O547"/>
  <c r="Q547" s="1"/>
  <c r="K547"/>
  <c r="L547" s="1"/>
  <c r="G547"/>
  <c r="H547" s="1"/>
  <c r="R546"/>
  <c r="V546" s="1"/>
  <c r="DR545"/>
  <c r="DS545" s="1"/>
  <c r="DP545"/>
  <c r="DQ545" s="1"/>
  <c r="DN545"/>
  <c r="DO545" s="1"/>
  <c r="T545"/>
  <c r="O545"/>
  <c r="P545" s="1"/>
  <c r="G545"/>
  <c r="H545" s="1"/>
  <c r="DN536"/>
  <c r="DO536" s="1"/>
  <c r="B529"/>
  <c r="B523"/>
  <c r="B517"/>
  <c r="B511"/>
  <c r="B505"/>
  <c r="B499"/>
  <c r="B493"/>
  <c r="B492"/>
  <c r="B491"/>
  <c r="B490"/>
  <c r="B489"/>
  <c r="B488"/>
  <c r="B487"/>
  <c r="B449"/>
  <c r="B498" s="1"/>
  <c r="B448"/>
  <c r="B497" s="1"/>
  <c r="B447"/>
  <c r="B496" s="1"/>
  <c r="DO446"/>
  <c r="B446"/>
  <c r="B495" s="1"/>
  <c r="B445"/>
  <c r="B494" s="1"/>
  <c r="DP435"/>
  <c r="DP436" s="1"/>
  <c r="DQ436" s="1"/>
  <c r="DN435"/>
  <c r="DN436" s="1"/>
  <c r="DO436" s="1"/>
  <c r="DP433"/>
  <c r="DP434" s="1"/>
  <c r="DQ434" s="1"/>
  <c r="DN433"/>
  <c r="DN434" s="1"/>
  <c r="DO434" s="1"/>
  <c r="DN432"/>
  <c r="DO432" s="1"/>
  <c r="DN431"/>
  <c r="DO431" s="1"/>
  <c r="DN430"/>
  <c r="DO430" s="1"/>
  <c r="DN429"/>
  <c r="DO429" s="1"/>
  <c r="DN428"/>
  <c r="DO428" s="1"/>
  <c r="DN427"/>
  <c r="DO427" s="1"/>
  <c r="DN425"/>
  <c r="DO425" s="1"/>
  <c r="DN424"/>
  <c r="DO424" s="1"/>
  <c r="DN418"/>
  <c r="DO418" s="1"/>
  <c r="DN417"/>
  <c r="DO417" s="1"/>
  <c r="AP417"/>
  <c r="DN415"/>
  <c r="DO415" s="1"/>
  <c r="AO415"/>
  <c r="AO416" s="1"/>
  <c r="AP416" s="1"/>
  <c r="DN414"/>
  <c r="DO414" s="1"/>
  <c r="DN413"/>
  <c r="DO413" s="1"/>
  <c r="DN412"/>
  <c r="DO412" s="1"/>
  <c r="DN411"/>
  <c r="DN416" s="1"/>
  <c r="DO416" s="1"/>
  <c r="AO410"/>
  <c r="AP410" s="1"/>
  <c r="DN409"/>
  <c r="DO409" s="1"/>
  <c r="AR409"/>
  <c r="DP408"/>
  <c r="DQ408" s="1"/>
  <c r="DN408"/>
  <c r="DO408" s="1"/>
  <c r="AR408"/>
  <c r="AR407"/>
  <c r="DN406"/>
  <c r="DO406" s="1"/>
  <c r="AR406"/>
  <c r="AO405"/>
  <c r="AP405" s="1"/>
  <c r="Y405"/>
  <c r="AB405" s="1"/>
  <c r="AB561" s="1"/>
  <c r="AB562" s="1"/>
  <c r="AO404"/>
  <c r="AP404" s="1"/>
  <c r="Y404"/>
  <c r="AA404" s="1"/>
  <c r="AA561" s="1"/>
  <c r="AA562" s="1"/>
  <c r="AO403"/>
  <c r="AP403" s="1"/>
  <c r="Y403"/>
  <c r="Z403" s="1"/>
  <c r="Z561" s="1"/>
  <c r="Z562" s="1"/>
  <c r="DP401"/>
  <c r="DQ401" s="1"/>
  <c r="DN401"/>
  <c r="DO401" s="1"/>
  <c r="AK401"/>
  <c r="AL401" s="1"/>
  <c r="AL561" s="1"/>
  <c r="AL562" s="1"/>
  <c r="DT400"/>
  <c r="DU400" s="1"/>
  <c r="DR400"/>
  <c r="DS400" s="1"/>
  <c r="DN400"/>
  <c r="DO400" s="1"/>
  <c r="R400"/>
  <c r="S400" s="1"/>
  <c r="S561" s="1"/>
  <c r="S562" s="1"/>
  <c r="K400"/>
  <c r="L400" s="1"/>
  <c r="DT399"/>
  <c r="DU399" s="1"/>
  <c r="DP399"/>
  <c r="DQ399" s="1"/>
  <c r="DN399"/>
  <c r="DO399" s="1"/>
  <c r="AI399"/>
  <c r="AJ399" s="1"/>
  <c r="DN398"/>
  <c r="DO398" s="1"/>
  <c r="AG398"/>
  <c r="AH398" s="1"/>
  <c r="AH561" s="1"/>
  <c r="AH562" s="1"/>
  <c r="DN397"/>
  <c r="DO397" s="1"/>
  <c r="AO397"/>
  <c r="AP397" s="1"/>
  <c r="DT396"/>
  <c r="DU396" s="1"/>
  <c r="DR396"/>
  <c r="DS396" s="1"/>
  <c r="DN396"/>
  <c r="DO396" s="1"/>
  <c r="G396"/>
  <c r="H396" s="1"/>
  <c r="DR394"/>
  <c r="DS394" s="1"/>
  <c r="DP394"/>
  <c r="DQ394" s="1"/>
  <c r="DN394"/>
  <c r="DO394" s="1"/>
  <c r="K394"/>
  <c r="L394" s="1"/>
  <c r="G394"/>
  <c r="H394" s="1"/>
  <c r="DR393"/>
  <c r="DS393" s="1"/>
  <c r="DN393"/>
  <c r="DO393" s="1"/>
  <c r="AI393"/>
  <c r="AJ393" s="1"/>
  <c r="G393"/>
  <c r="H393" s="1"/>
  <c r="DT392"/>
  <c r="DU392" s="1"/>
  <c r="DR392"/>
  <c r="DS392" s="1"/>
  <c r="DN392"/>
  <c r="DO392" s="1"/>
  <c r="AI392"/>
  <c r="AJ392" s="1"/>
  <c r="K392"/>
  <c r="L392" s="1"/>
  <c r="G392"/>
  <c r="H392" s="1"/>
  <c r="DN390"/>
  <c r="DO390" s="1"/>
  <c r="DP389"/>
  <c r="DQ389" s="1"/>
  <c r="DN389"/>
  <c r="DO389" s="1"/>
  <c r="DP388"/>
  <c r="DQ388" s="1"/>
  <c r="DN388"/>
  <c r="DO388" s="1"/>
  <c r="DP387"/>
  <c r="DQ387" s="1"/>
  <c r="DN387"/>
  <c r="DO387" s="1"/>
  <c r="DP386"/>
  <c r="DQ386" s="1"/>
  <c r="DN386"/>
  <c r="DO386" s="1"/>
  <c r="DP385"/>
  <c r="DQ385" s="1"/>
  <c r="DN385"/>
  <c r="DO385" s="1"/>
  <c r="DP384"/>
  <c r="DQ384" s="1"/>
  <c r="DN384"/>
  <c r="DO384" s="1"/>
  <c r="DP383"/>
  <c r="DQ383" s="1"/>
  <c r="DN383"/>
  <c r="DO383" s="1"/>
  <c r="DP382"/>
  <c r="DQ382" s="1"/>
  <c r="DN382"/>
  <c r="DO382" s="1"/>
  <c r="DN381"/>
  <c r="DO381" s="1"/>
  <c r="DT379"/>
  <c r="DT380" s="1"/>
  <c r="DU380" s="1"/>
  <c r="DN379"/>
  <c r="DO379" s="1"/>
  <c r="BI379"/>
  <c r="BI380" s="1"/>
  <c r="BJ380" s="1"/>
  <c r="BA379"/>
  <c r="BB379" s="1"/>
  <c r="DT376"/>
  <c r="DU376" s="1"/>
  <c r="DN376"/>
  <c r="DO376" s="1"/>
  <c r="BI376"/>
  <c r="BJ376" s="1"/>
  <c r="DT373"/>
  <c r="DU373" s="1"/>
  <c r="DN373"/>
  <c r="DO373" s="1"/>
  <c r="AY373"/>
  <c r="AZ373" s="1"/>
  <c r="DN370"/>
  <c r="DN371" s="1"/>
  <c r="DO371" s="1"/>
  <c r="AS370"/>
  <c r="AT370" s="1"/>
  <c r="DT367"/>
  <c r="DT368" s="1"/>
  <c r="DU368" s="1"/>
  <c r="DN367"/>
  <c r="DO367" s="1"/>
  <c r="BI367"/>
  <c r="BI368" s="1"/>
  <c r="BJ368" s="1"/>
  <c r="AY367"/>
  <c r="AZ367" s="1"/>
  <c r="DT364"/>
  <c r="DU364" s="1"/>
  <c r="DN364"/>
  <c r="DO364" s="1"/>
  <c r="BI364"/>
  <c r="BJ364" s="1"/>
  <c r="BQ361"/>
  <c r="BR361" s="1"/>
  <c r="DR358"/>
  <c r="DS358" s="1"/>
  <c r="DN358"/>
  <c r="DN361" s="1"/>
  <c r="BQ358"/>
  <c r="BR358" s="1"/>
  <c r="DR355"/>
  <c r="DS355" s="1"/>
  <c r="DN355"/>
  <c r="DO355" s="1"/>
  <c r="BQ355"/>
  <c r="BR355" s="1"/>
  <c r="DT352"/>
  <c r="DT353" s="1"/>
  <c r="DU353" s="1"/>
  <c r="DN352"/>
  <c r="DO352" s="1"/>
  <c r="BE352"/>
  <c r="BE353" s="1"/>
  <c r="BF353" s="1"/>
  <c r="AW352"/>
  <c r="AX352" s="1"/>
  <c r="DT349"/>
  <c r="DU349" s="1"/>
  <c r="DN349"/>
  <c r="DO349" s="1"/>
  <c r="BE349"/>
  <c r="BF349" s="1"/>
  <c r="DT346"/>
  <c r="DU346" s="1"/>
  <c r="DN346"/>
  <c r="DO346" s="1"/>
  <c r="BE346"/>
  <c r="BF346" s="1"/>
  <c r="DR343"/>
  <c r="DR344" s="1"/>
  <c r="DS344" s="1"/>
  <c r="DN343"/>
  <c r="DO343" s="1"/>
  <c r="BK343"/>
  <c r="BK344" s="1"/>
  <c r="BL344" s="1"/>
  <c r="AW343"/>
  <c r="AX343" s="1"/>
  <c r="DR340"/>
  <c r="DS340" s="1"/>
  <c r="DN340"/>
  <c r="DO340" s="1"/>
  <c r="BK340"/>
  <c r="BL340" s="1"/>
  <c r="DR337"/>
  <c r="DS337" s="1"/>
  <c r="DN337"/>
  <c r="DO337" s="1"/>
  <c r="BM337"/>
  <c r="BN337" s="1"/>
  <c r="DR334"/>
  <c r="DS334" s="1"/>
  <c r="DN334"/>
  <c r="DO334" s="1"/>
  <c r="BO334"/>
  <c r="BP334" s="1"/>
  <c r="DT331"/>
  <c r="DT332" s="1"/>
  <c r="DU332" s="1"/>
  <c r="DN331"/>
  <c r="DO331" s="1"/>
  <c r="BG331"/>
  <c r="BG332" s="1"/>
  <c r="BH332" s="1"/>
  <c r="AW331"/>
  <c r="AX331" s="1"/>
  <c r="DT328"/>
  <c r="DU328" s="1"/>
  <c r="DN328"/>
  <c r="DO328" s="1"/>
  <c r="BG328"/>
  <c r="DT325"/>
  <c r="DU325" s="1"/>
  <c r="DN325"/>
  <c r="DO325" s="1"/>
  <c r="BC325"/>
  <c r="BD325" s="1"/>
  <c r="DT322"/>
  <c r="DU322" s="1"/>
  <c r="DN322"/>
  <c r="DO322" s="1"/>
  <c r="BC322"/>
  <c r="BD322" s="1"/>
  <c r="DT319"/>
  <c r="DU319" s="1"/>
  <c r="DN319"/>
  <c r="DO319" s="1"/>
  <c r="AW319"/>
  <c r="AX319" s="1"/>
  <c r="DR316"/>
  <c r="DS316" s="1"/>
  <c r="DN316"/>
  <c r="DO316" s="1"/>
  <c r="K316"/>
  <c r="L316" s="1"/>
  <c r="DT313"/>
  <c r="DU313" s="1"/>
  <c r="DN313"/>
  <c r="DO313" s="1"/>
  <c r="DT312"/>
  <c r="DU312" s="1"/>
  <c r="DN312"/>
  <c r="DO312" s="1"/>
  <c r="DT311"/>
  <c r="DU311" s="1"/>
  <c r="DN311"/>
  <c r="DO311" s="1"/>
  <c r="DT310"/>
  <c r="DU310" s="1"/>
  <c r="DN310"/>
  <c r="DO310" s="1"/>
  <c r="DT309"/>
  <c r="DU309" s="1"/>
  <c r="DR309"/>
  <c r="DS309" s="1"/>
  <c r="DN309"/>
  <c r="DO309" s="1"/>
  <c r="DL309"/>
  <c r="DM309" s="1"/>
  <c r="DM561" s="1"/>
  <c r="DM562" s="1"/>
  <c r="DT308"/>
  <c r="DU308" s="1"/>
  <c r="DN308"/>
  <c r="DO308" s="1"/>
  <c r="DJ308"/>
  <c r="DK308" s="1"/>
  <c r="DK561" s="1"/>
  <c r="DK562" s="1"/>
  <c r="DT307"/>
  <c r="DU307" s="1"/>
  <c r="DN307"/>
  <c r="DO307" s="1"/>
  <c r="DH307"/>
  <c r="DI307" s="1"/>
  <c r="DI561" s="1"/>
  <c r="DI562" s="1"/>
  <c r="DT306"/>
  <c r="DU306" s="1"/>
  <c r="DP306"/>
  <c r="DQ306" s="1"/>
  <c r="DR305"/>
  <c r="DS305" s="1"/>
  <c r="DN305"/>
  <c r="DO305" s="1"/>
  <c r="DT304"/>
  <c r="DU304" s="1"/>
  <c r="DN304"/>
  <c r="DO304" s="1"/>
  <c r="DT303"/>
  <c r="DU303" s="1"/>
  <c r="DP303"/>
  <c r="DQ303" s="1"/>
  <c r="DT302"/>
  <c r="DU302" s="1"/>
  <c r="DP302"/>
  <c r="DQ302" s="1"/>
  <c r="DT301"/>
  <c r="DU301" s="1"/>
  <c r="DP301"/>
  <c r="DQ301" s="1"/>
  <c r="DT300"/>
  <c r="DU300" s="1"/>
  <c r="DP300"/>
  <c r="DQ300" s="1"/>
  <c r="DT299"/>
  <c r="DU299" s="1"/>
  <c r="DR299"/>
  <c r="DS299" s="1"/>
  <c r="DP299"/>
  <c r="DQ299" s="1"/>
  <c r="DO299"/>
  <c r="DT298"/>
  <c r="DU298" s="1"/>
  <c r="DR298"/>
  <c r="DS298" s="1"/>
  <c r="DP298"/>
  <c r="DQ298" s="1"/>
  <c r="DO298"/>
  <c r="DT297"/>
  <c r="DU297" s="1"/>
  <c r="DP297"/>
  <c r="DQ297" s="1"/>
  <c r="DT296"/>
  <c r="DU296" s="1"/>
  <c r="DP296"/>
  <c r="DQ296" s="1"/>
  <c r="DT295"/>
  <c r="DU295" s="1"/>
  <c r="DP295"/>
  <c r="DQ295" s="1"/>
  <c r="DT294"/>
  <c r="DU294" s="1"/>
  <c r="DR294"/>
  <c r="DS294" s="1"/>
  <c r="DP294"/>
  <c r="DQ294" s="1"/>
  <c r="DN294"/>
  <c r="DO294" s="1"/>
  <c r="DT293"/>
  <c r="DU293" s="1"/>
  <c r="DR293"/>
  <c r="DS293" s="1"/>
  <c r="DP293"/>
  <c r="DQ293" s="1"/>
  <c r="DN293"/>
  <c r="DO293" s="1"/>
  <c r="DT292"/>
  <c r="DU292" s="1"/>
  <c r="DN292"/>
  <c r="DO292" s="1"/>
  <c r="DT291"/>
  <c r="DU291" s="1"/>
  <c r="DR291"/>
  <c r="DS291" s="1"/>
  <c r="DP291"/>
  <c r="DQ291" s="1"/>
  <c r="DN291"/>
  <c r="DO291" s="1"/>
  <c r="DT290"/>
  <c r="DU290" s="1"/>
  <c r="DR290"/>
  <c r="DS290" s="1"/>
  <c r="DP290"/>
  <c r="DQ290" s="1"/>
  <c r="DN290"/>
  <c r="DO290" s="1"/>
  <c r="DR286"/>
  <c r="DS286" s="1"/>
  <c r="DN286"/>
  <c r="DO286" s="1"/>
  <c r="DT285"/>
  <c r="DU285" s="1"/>
  <c r="DN285"/>
  <c r="DO285" s="1"/>
  <c r="DT284"/>
  <c r="DU284" s="1"/>
  <c r="DR284"/>
  <c r="DS284" s="1"/>
  <c r="DP284"/>
  <c r="DQ284" s="1"/>
  <c r="DN284"/>
  <c r="DO284" s="1"/>
  <c r="CM284"/>
  <c r="CN284" s="1"/>
  <c r="CN561" s="1"/>
  <c r="CN562" s="1"/>
  <c r="DT283"/>
  <c r="DU283" s="1"/>
  <c r="DN283"/>
  <c r="DO283" s="1"/>
  <c r="CK283"/>
  <c r="CL283" s="1"/>
  <c r="CL561" s="1"/>
  <c r="CL562" s="1"/>
  <c r="DT281"/>
  <c r="DU281" s="1"/>
  <c r="DN281"/>
  <c r="DO281" s="1"/>
  <c r="DT278"/>
  <c r="DU278" s="1"/>
  <c r="DN278"/>
  <c r="DO278" s="1"/>
  <c r="DT274"/>
  <c r="DU274" s="1"/>
  <c r="DN274"/>
  <c r="DN275" s="1"/>
  <c r="DO275" s="1"/>
  <c r="DT271"/>
  <c r="DU271" s="1"/>
  <c r="DN271"/>
  <c r="DO271" s="1"/>
  <c r="DT267"/>
  <c r="DU267" s="1"/>
  <c r="DN267"/>
  <c r="DN268" s="1"/>
  <c r="DO268" s="1"/>
  <c r="DT264"/>
  <c r="DU264" s="1"/>
  <c r="DN264"/>
  <c r="DN265" s="1"/>
  <c r="DO265" s="1"/>
  <c r="DT261"/>
  <c r="DU261" s="1"/>
  <c r="DN261"/>
  <c r="DN262" s="1"/>
  <c r="DO262" s="1"/>
  <c r="DT258"/>
  <c r="DU258" s="1"/>
  <c r="DN258"/>
  <c r="DN259" s="1"/>
  <c r="DO259" s="1"/>
  <c r="K258"/>
  <c r="K261" s="1"/>
  <c r="DT255"/>
  <c r="DT256" s="1"/>
  <c r="DU256" s="1"/>
  <c r="DN255"/>
  <c r="DN256" s="1"/>
  <c r="DO256" s="1"/>
  <c r="K255"/>
  <c r="K256" s="1"/>
  <c r="L256" s="1"/>
  <c r="K253"/>
  <c r="L253" s="1"/>
  <c r="DT252"/>
  <c r="DU252" s="1"/>
  <c r="DN252"/>
  <c r="DO252" s="1"/>
  <c r="L252"/>
  <c r="G252"/>
  <c r="G253" s="1"/>
  <c r="H253" s="1"/>
  <c r="DT248"/>
  <c r="DT249" s="1"/>
  <c r="DU249" s="1"/>
  <c r="DN248"/>
  <c r="DN249" s="1"/>
  <c r="DO249" s="1"/>
  <c r="DT245"/>
  <c r="DT246" s="1"/>
  <c r="DU246" s="1"/>
  <c r="DN245"/>
  <c r="DN246" s="1"/>
  <c r="DO246" s="1"/>
  <c r="DT242"/>
  <c r="DT243" s="1"/>
  <c r="DU243" s="1"/>
  <c r="DN242"/>
  <c r="DN243" s="1"/>
  <c r="DO243" s="1"/>
  <c r="DT239"/>
  <c r="DT240" s="1"/>
  <c r="DU240" s="1"/>
  <c r="DN239"/>
  <c r="DN240" s="1"/>
  <c r="DO240" s="1"/>
  <c r="DT236"/>
  <c r="DT237" s="1"/>
  <c r="DU237" s="1"/>
  <c r="DN236"/>
  <c r="DN237" s="1"/>
  <c r="DO237" s="1"/>
  <c r="DT233"/>
  <c r="DT234" s="1"/>
  <c r="DU234" s="1"/>
  <c r="DN233"/>
  <c r="DN234" s="1"/>
  <c r="DO234" s="1"/>
  <c r="AU233"/>
  <c r="AU239" s="1"/>
  <c r="K233"/>
  <c r="K239" s="1"/>
  <c r="G233"/>
  <c r="G239" s="1"/>
  <c r="DT229"/>
  <c r="DT230" s="1"/>
  <c r="DU230" s="1"/>
  <c r="DP229"/>
  <c r="DP230" s="1"/>
  <c r="DQ230" s="1"/>
  <c r="DN229"/>
  <c r="DN230" s="1"/>
  <c r="DO230" s="1"/>
  <c r="DT226"/>
  <c r="DT227" s="1"/>
  <c r="DU227" s="1"/>
  <c r="DP226"/>
  <c r="DP227" s="1"/>
  <c r="DQ227" s="1"/>
  <c r="DN226"/>
  <c r="DN227" s="1"/>
  <c r="DO227" s="1"/>
  <c r="DT223"/>
  <c r="DT224" s="1"/>
  <c r="DU224" s="1"/>
  <c r="DP223"/>
  <c r="DP224" s="1"/>
  <c r="DQ224" s="1"/>
  <c r="DN223"/>
  <c r="DN224" s="1"/>
  <c r="DO224" s="1"/>
  <c r="DT220"/>
  <c r="DT221" s="1"/>
  <c r="DU221" s="1"/>
  <c r="DP220"/>
  <c r="DP221" s="1"/>
  <c r="DQ221" s="1"/>
  <c r="DN220"/>
  <c r="DN221" s="1"/>
  <c r="DO221" s="1"/>
  <c r="DT217"/>
  <c r="DT218" s="1"/>
  <c r="DU218" s="1"/>
  <c r="DP217"/>
  <c r="DP218" s="1"/>
  <c r="DQ218" s="1"/>
  <c r="DN217"/>
  <c r="DN218" s="1"/>
  <c r="DO218" s="1"/>
  <c r="DT214"/>
  <c r="DT215" s="1"/>
  <c r="DU215" s="1"/>
  <c r="DP214"/>
  <c r="DP215" s="1"/>
  <c r="DQ215" s="1"/>
  <c r="DN214"/>
  <c r="DN215" s="1"/>
  <c r="DO215" s="1"/>
  <c r="CS214"/>
  <c r="CS220" s="1"/>
  <c r="K214"/>
  <c r="K220" s="1"/>
  <c r="G214"/>
  <c r="G220" s="1"/>
  <c r="R209"/>
  <c r="R211" s="1"/>
  <c r="X211" s="1"/>
  <c r="DT208"/>
  <c r="DT210" s="1"/>
  <c r="DU210" s="1"/>
  <c r="DN208"/>
  <c r="DN210" s="1"/>
  <c r="DO210" s="1"/>
  <c r="R208"/>
  <c r="R210" s="1"/>
  <c r="U210" s="1"/>
  <c r="K208"/>
  <c r="K210" s="1"/>
  <c r="L210" s="1"/>
  <c r="DT205"/>
  <c r="DU205" s="1"/>
  <c r="DN205"/>
  <c r="R205"/>
  <c r="W205" s="1"/>
  <c r="K205"/>
  <c r="K206" s="1"/>
  <c r="L206" s="1"/>
  <c r="DT202"/>
  <c r="DT203" s="1"/>
  <c r="DU203" s="1"/>
  <c r="DN202"/>
  <c r="DN203" s="1"/>
  <c r="DO203" s="1"/>
  <c r="R201"/>
  <c r="U201" s="1"/>
  <c r="K201"/>
  <c r="K202" s="1"/>
  <c r="L202" s="1"/>
  <c r="G201"/>
  <c r="H201" s="1"/>
  <c r="DR200"/>
  <c r="DS200" s="1"/>
  <c r="DN200"/>
  <c r="DO200" s="1"/>
  <c r="AM200"/>
  <c r="AN200" s="1"/>
  <c r="AN561" s="1"/>
  <c r="AN562" s="1"/>
  <c r="DR199"/>
  <c r="DS199" s="1"/>
  <c r="DN199"/>
  <c r="DO199" s="1"/>
  <c r="AE199"/>
  <c r="AF199" s="1"/>
  <c r="AF561" s="1"/>
  <c r="AF562" s="1"/>
  <c r="DT198"/>
  <c r="DU198" s="1"/>
  <c r="DN198"/>
  <c r="DO198" s="1"/>
  <c r="K198"/>
  <c r="L198" s="1"/>
  <c r="DN196"/>
  <c r="DN197" s="1"/>
  <c r="DO197" s="1"/>
  <c r="DR193"/>
  <c r="DR194" s="1"/>
  <c r="DS194" s="1"/>
  <c r="DN193"/>
  <c r="DN194" s="1"/>
  <c r="DO194" s="1"/>
  <c r="K193"/>
  <c r="K194" s="1"/>
  <c r="L194" s="1"/>
  <c r="G193"/>
  <c r="H193" s="1"/>
  <c r="DR190"/>
  <c r="DR191" s="1"/>
  <c r="DS191" s="1"/>
  <c r="DN190"/>
  <c r="DO190" s="1"/>
  <c r="K190"/>
  <c r="K191" s="1"/>
  <c r="L191" s="1"/>
  <c r="G190"/>
  <c r="G191" s="1"/>
  <c r="H191" s="1"/>
  <c r="DR187"/>
  <c r="DR188" s="1"/>
  <c r="DS188" s="1"/>
  <c r="DN187"/>
  <c r="DN188" s="1"/>
  <c r="DO188" s="1"/>
  <c r="K187"/>
  <c r="K188" s="1"/>
  <c r="L188" s="1"/>
  <c r="G187"/>
  <c r="H187" s="1"/>
  <c r="DR184"/>
  <c r="DR185" s="1"/>
  <c r="DS185" s="1"/>
  <c r="DN184"/>
  <c r="DN185" s="1"/>
  <c r="DO185" s="1"/>
  <c r="K184"/>
  <c r="K185" s="1"/>
  <c r="L185" s="1"/>
  <c r="G184"/>
  <c r="H184" s="1"/>
  <c r="DR181"/>
  <c r="DR182" s="1"/>
  <c r="DS182" s="1"/>
  <c r="DN181"/>
  <c r="DN182" s="1"/>
  <c r="DO182" s="1"/>
  <c r="K181"/>
  <c r="K182" s="1"/>
  <c r="L182" s="1"/>
  <c r="G181"/>
  <c r="H181" s="1"/>
  <c r="AS178"/>
  <c r="AS179" s="1"/>
  <c r="AT179" s="1"/>
  <c r="K178"/>
  <c r="L178" s="1"/>
  <c r="G178"/>
  <c r="G179" s="1"/>
  <c r="H179" s="1"/>
  <c r="DR175"/>
  <c r="DR176" s="1"/>
  <c r="DS176" s="1"/>
  <c r="DN175"/>
  <c r="DN178" s="1"/>
  <c r="DO178" s="1"/>
  <c r="K175"/>
  <c r="K176" s="1"/>
  <c r="L176" s="1"/>
  <c r="G175"/>
  <c r="H175" s="1"/>
  <c r="DR172"/>
  <c r="DR173" s="1"/>
  <c r="DS173" s="1"/>
  <c r="DN172"/>
  <c r="DN173" s="1"/>
  <c r="DO173" s="1"/>
  <c r="K172"/>
  <c r="K173" s="1"/>
  <c r="L173" s="1"/>
  <c r="G172"/>
  <c r="G173" s="1"/>
  <c r="H173" s="1"/>
  <c r="DT167"/>
  <c r="DT168" s="1"/>
  <c r="DU168" s="1"/>
  <c r="DP167"/>
  <c r="DQ167" s="1"/>
  <c r="DN167"/>
  <c r="DN168" s="1"/>
  <c r="DO168" s="1"/>
  <c r="BS167"/>
  <c r="BT167" s="1"/>
  <c r="M167"/>
  <c r="M168" s="1"/>
  <c r="N168" s="1"/>
  <c r="DR164"/>
  <c r="DP164"/>
  <c r="CI164"/>
  <c r="CI165" s="1"/>
  <c r="CJ165" s="1"/>
  <c r="CC164"/>
  <c r="CC165" s="1"/>
  <c r="CD165" s="1"/>
  <c r="BY164"/>
  <c r="BY165" s="1"/>
  <c r="BZ165" s="1"/>
  <c r="BW164"/>
  <c r="BW165" s="1"/>
  <c r="BX165" s="1"/>
  <c r="BU164"/>
  <c r="BU165" s="1"/>
  <c r="BV165" s="1"/>
  <c r="DR161"/>
  <c r="DP161"/>
  <c r="DQ161" s="1"/>
  <c r="CE161"/>
  <c r="CE162" s="1"/>
  <c r="CF162" s="1"/>
  <c r="BY161"/>
  <c r="BZ161" s="1"/>
  <c r="BW161"/>
  <c r="BW162" s="1"/>
  <c r="BX162" s="1"/>
  <c r="DR158"/>
  <c r="DP158"/>
  <c r="DQ158" s="1"/>
  <c r="CE158"/>
  <c r="CE159" s="1"/>
  <c r="CF159" s="1"/>
  <c r="CA158"/>
  <c r="CA159" s="1"/>
  <c r="CB159" s="1"/>
  <c r="BY158"/>
  <c r="BY159" s="1"/>
  <c r="BZ159" s="1"/>
  <c r="BW158"/>
  <c r="BX158" s="1"/>
  <c r="DR155"/>
  <c r="DP155"/>
  <c r="DQ155" s="1"/>
  <c r="CI155"/>
  <c r="CI156" s="1"/>
  <c r="CJ156" s="1"/>
  <c r="CG155"/>
  <c r="CG156" s="1"/>
  <c r="CH156" s="1"/>
  <c r="BY155"/>
  <c r="BY156" s="1"/>
  <c r="BZ156" s="1"/>
  <c r="BW155"/>
  <c r="BW156" s="1"/>
  <c r="BX156" s="1"/>
  <c r="DR152"/>
  <c r="DP152"/>
  <c r="CE152"/>
  <c r="CE153" s="1"/>
  <c r="CF153" s="1"/>
  <c r="CA152"/>
  <c r="CA153" s="1"/>
  <c r="CB153" s="1"/>
  <c r="BY152"/>
  <c r="BY153" s="1"/>
  <c r="BZ153" s="1"/>
  <c r="BW152"/>
  <c r="BW153" s="1"/>
  <c r="BX153" s="1"/>
  <c r="DR149"/>
  <c r="DP149"/>
  <c r="DQ149" s="1"/>
  <c r="CI149"/>
  <c r="CI150" s="1"/>
  <c r="CJ150" s="1"/>
  <c r="CA149"/>
  <c r="CA150" s="1"/>
  <c r="CB150" s="1"/>
  <c r="BY149"/>
  <c r="BY150" s="1"/>
  <c r="BZ150" s="1"/>
  <c r="BW149"/>
  <c r="BW150" s="1"/>
  <c r="BX150" s="1"/>
  <c r="DR146"/>
  <c r="DP146"/>
  <c r="DQ146" s="1"/>
  <c r="CC146"/>
  <c r="CC147" s="1"/>
  <c r="CD147" s="1"/>
  <c r="BY146"/>
  <c r="BZ146" s="1"/>
  <c r="BU146"/>
  <c r="BU147" s="1"/>
  <c r="BV147" s="1"/>
  <c r="DR142"/>
  <c r="DR143" s="1"/>
  <c r="DS143" s="1"/>
  <c r="DN142"/>
  <c r="DO142" s="1"/>
  <c r="R142"/>
  <c r="R143" s="1"/>
  <c r="U143" s="1"/>
  <c r="K142"/>
  <c r="L142" s="1"/>
  <c r="G142"/>
  <c r="G143" s="1"/>
  <c r="H143" s="1"/>
  <c r="R138"/>
  <c r="V138" s="1"/>
  <c r="DR137"/>
  <c r="DS137" s="1"/>
  <c r="DP137"/>
  <c r="DP139" s="1"/>
  <c r="DQ139" s="1"/>
  <c r="DN137"/>
  <c r="DO137" s="1"/>
  <c r="R137"/>
  <c r="T137" s="1"/>
  <c r="K137"/>
  <c r="L137" s="1"/>
  <c r="G137"/>
  <c r="H137" s="1"/>
  <c r="R133"/>
  <c r="V133" s="1"/>
  <c r="DR132"/>
  <c r="DS132" s="1"/>
  <c r="DP132"/>
  <c r="DQ132" s="1"/>
  <c r="DN132"/>
  <c r="DO132" s="1"/>
  <c r="R132"/>
  <c r="R134" s="1"/>
  <c r="T134" s="1"/>
  <c r="K132"/>
  <c r="L132" s="1"/>
  <c r="G132"/>
  <c r="H132" s="1"/>
  <c r="R128"/>
  <c r="V128" s="1"/>
  <c r="DR127"/>
  <c r="DS127" s="1"/>
  <c r="DP127"/>
  <c r="DQ127" s="1"/>
  <c r="DN127"/>
  <c r="DO127" s="1"/>
  <c r="R127"/>
  <c r="R129" s="1"/>
  <c r="T129" s="1"/>
  <c r="K127"/>
  <c r="L127" s="1"/>
  <c r="G127"/>
  <c r="G129" s="1"/>
  <c r="H129" s="1"/>
  <c r="DN125"/>
  <c r="DO125" s="1"/>
  <c r="DT124"/>
  <c r="DU124" s="1"/>
  <c r="DN124"/>
  <c r="DO124" s="1"/>
  <c r="R124"/>
  <c r="U124" s="1"/>
  <c r="K124"/>
  <c r="L124" s="1"/>
  <c r="G124"/>
  <c r="H124" s="1"/>
  <c r="DT123"/>
  <c r="DU123" s="1"/>
  <c r="DR123"/>
  <c r="DS123" s="1"/>
  <c r="DN123"/>
  <c r="DO123" s="1"/>
  <c r="AI123"/>
  <c r="AJ123" s="1"/>
  <c r="K123"/>
  <c r="L123" s="1"/>
  <c r="G123"/>
  <c r="H123" s="1"/>
  <c r="DT122"/>
  <c r="DU122" s="1"/>
  <c r="DR122"/>
  <c r="DS122" s="1"/>
  <c r="DN122"/>
  <c r="DO122" s="1"/>
  <c r="AI122"/>
  <c r="AJ122" s="1"/>
  <c r="K122"/>
  <c r="L122" s="1"/>
  <c r="G122"/>
  <c r="H122" s="1"/>
  <c r="DT116"/>
  <c r="DT117" s="1"/>
  <c r="DR116"/>
  <c r="DS116" s="1"/>
  <c r="DP116"/>
  <c r="DQ116" s="1"/>
  <c r="DN116"/>
  <c r="DO116" s="1"/>
  <c r="AC116"/>
  <c r="AD116" s="1"/>
  <c r="K116"/>
  <c r="L116" s="1"/>
  <c r="G116"/>
  <c r="G118" s="1"/>
  <c r="H118" s="1"/>
  <c r="DT113"/>
  <c r="DT114" s="1"/>
  <c r="DU114" s="1"/>
  <c r="DU112"/>
  <c r="DR112"/>
  <c r="DS112" s="1"/>
  <c r="DN112"/>
  <c r="DO112" s="1"/>
  <c r="K112"/>
  <c r="L112" s="1"/>
  <c r="I112"/>
  <c r="I114" s="1"/>
  <c r="J114" s="1"/>
  <c r="G112"/>
  <c r="H112" s="1"/>
  <c r="DT109"/>
  <c r="DT110" s="1"/>
  <c r="DU110" s="1"/>
  <c r="DU108"/>
  <c r="DR108"/>
  <c r="DS108" s="1"/>
  <c r="DN108"/>
  <c r="K108"/>
  <c r="L108" s="1"/>
  <c r="I108"/>
  <c r="I110" s="1"/>
  <c r="J110" s="1"/>
  <c r="G108"/>
  <c r="H108" s="1"/>
  <c r="DT105"/>
  <c r="DT106" s="1"/>
  <c r="DU106" s="1"/>
  <c r="DU104"/>
  <c r="DR104"/>
  <c r="DR105" s="1"/>
  <c r="DR106" s="1"/>
  <c r="DS106" s="1"/>
  <c r="DN104"/>
  <c r="DO104" s="1"/>
  <c r="K104"/>
  <c r="K105" s="1"/>
  <c r="L105" s="1"/>
  <c r="I104"/>
  <c r="J104" s="1"/>
  <c r="G104"/>
  <c r="G106" s="1"/>
  <c r="H106" s="1"/>
  <c r="DT101"/>
  <c r="DT102" s="1"/>
  <c r="DU102" s="1"/>
  <c r="DU100"/>
  <c r="DR100"/>
  <c r="DR101" s="1"/>
  <c r="DN100"/>
  <c r="DO100" s="1"/>
  <c r="K100"/>
  <c r="K102" s="1"/>
  <c r="L102" s="1"/>
  <c r="I100"/>
  <c r="J100" s="1"/>
  <c r="G100"/>
  <c r="G102" s="1"/>
  <c r="H102" s="1"/>
  <c r="DR97"/>
  <c r="DR98" s="1"/>
  <c r="DS98" s="1"/>
  <c r="DN97"/>
  <c r="DO97" s="1"/>
  <c r="R97"/>
  <c r="R98" s="1"/>
  <c r="U98" s="1"/>
  <c r="K97"/>
  <c r="L97" s="1"/>
  <c r="G97"/>
  <c r="G98" s="1"/>
  <c r="H98" s="1"/>
  <c r="O95"/>
  <c r="Q95" s="1"/>
  <c r="G95"/>
  <c r="H95" s="1"/>
  <c r="DR94"/>
  <c r="DR95" s="1"/>
  <c r="DS95" s="1"/>
  <c r="DN94"/>
  <c r="DO94" s="1"/>
  <c r="O94"/>
  <c r="P94" s="1"/>
  <c r="K94"/>
  <c r="L94" s="1"/>
  <c r="G94"/>
  <c r="H94" s="1"/>
  <c r="O92"/>
  <c r="Q92" s="1"/>
  <c r="G92"/>
  <c r="H92" s="1"/>
  <c r="DR91"/>
  <c r="DR92" s="1"/>
  <c r="DS92" s="1"/>
  <c r="DN91"/>
  <c r="DO91" s="1"/>
  <c r="O91"/>
  <c r="P91" s="1"/>
  <c r="K91"/>
  <c r="L91" s="1"/>
  <c r="G91"/>
  <c r="H91" s="1"/>
  <c r="DN89"/>
  <c r="DO89" s="1"/>
  <c r="E89"/>
  <c r="F89" s="1"/>
  <c r="F561" s="1"/>
  <c r="F562" s="1"/>
  <c r="DN88"/>
  <c r="DO88" s="1"/>
  <c r="EJ88" s="1"/>
  <c r="DN87"/>
  <c r="DN491" s="1"/>
  <c r="DO491" s="1"/>
  <c r="DN86"/>
  <c r="DO86" s="1"/>
  <c r="EJ86" s="1"/>
  <c r="DN85"/>
  <c r="DN442" s="1"/>
  <c r="DO442" s="1"/>
  <c r="DN82"/>
  <c r="DN440" s="1"/>
  <c r="DO440" s="1"/>
  <c r="DN81"/>
  <c r="DN488" s="1"/>
  <c r="DN80"/>
  <c r="DO80" s="1"/>
  <c r="EJ80" s="1"/>
  <c r="DN79"/>
  <c r="DN439" s="1"/>
  <c r="DN78"/>
  <c r="DN490" s="1"/>
  <c r="DO490" s="1"/>
  <c r="DN77"/>
  <c r="DO77" s="1"/>
  <c r="EJ77" s="1"/>
  <c r="DN76"/>
  <c r="DO76" s="1"/>
  <c r="EJ76" s="1"/>
  <c r="EH75"/>
  <c r="EI75" s="1"/>
  <c r="EI74"/>
  <c r="DR74"/>
  <c r="DS74" s="1"/>
  <c r="DP74"/>
  <c r="DP75" s="1"/>
  <c r="DQ75" s="1"/>
  <c r="DN74"/>
  <c r="DO74" s="1"/>
  <c r="DP71"/>
  <c r="DP72" s="1"/>
  <c r="DQ72" s="1"/>
  <c r="DN71"/>
  <c r="DN72" s="1"/>
  <c r="DO72" s="1"/>
  <c r="EH69"/>
  <c r="EI68"/>
  <c r="EI69" s="1"/>
  <c r="DP68"/>
  <c r="DP69" s="1"/>
  <c r="DQ69" s="1"/>
  <c r="DN68"/>
  <c r="DN69" s="1"/>
  <c r="DO69" s="1"/>
  <c r="DN65"/>
  <c r="DN66" s="1"/>
  <c r="DO66" s="1"/>
  <c r="EJ66" s="1"/>
  <c r="DR62"/>
  <c r="DR63" s="1"/>
  <c r="DS63" s="1"/>
  <c r="DN62"/>
  <c r="DN63" s="1"/>
  <c r="DO63" s="1"/>
  <c r="DN59"/>
  <c r="DN60" s="1"/>
  <c r="DO60" s="1"/>
  <c r="EJ60" s="1"/>
  <c r="DN56"/>
  <c r="DO56" s="1"/>
  <c r="EJ56" s="1"/>
  <c r="DN53"/>
  <c r="DN54" s="1"/>
  <c r="DO54" s="1"/>
  <c r="EJ54" s="1"/>
  <c r="DN50"/>
  <c r="DO50" s="1"/>
  <c r="EJ50" s="1"/>
  <c r="DN47"/>
  <c r="DN48" s="1"/>
  <c r="DO48" s="1"/>
  <c r="EJ48" s="1"/>
  <c r="DN44"/>
  <c r="DO44" s="1"/>
  <c r="EJ44" s="1"/>
  <c r="DN41"/>
  <c r="DN42" s="1"/>
  <c r="DO42" s="1"/>
  <c r="EJ42" s="1"/>
  <c r="DN38"/>
  <c r="DO38" s="1"/>
  <c r="EJ38" s="1"/>
  <c r="DN35"/>
  <c r="DO35" s="1"/>
  <c r="EJ35" s="1"/>
  <c r="DN32"/>
  <c r="DO32" s="1"/>
  <c r="EJ32" s="1"/>
  <c r="DR29"/>
  <c r="DR30" s="1"/>
  <c r="DS30" s="1"/>
  <c r="DN29"/>
  <c r="DN30" s="1"/>
  <c r="DO30" s="1"/>
  <c r="DR26"/>
  <c r="DR27" s="1"/>
  <c r="DS27" s="1"/>
  <c r="DN26"/>
  <c r="DN27" s="1"/>
  <c r="DO27" s="1"/>
  <c r="DR23"/>
  <c r="DR24" s="1"/>
  <c r="DS24" s="1"/>
  <c r="DN23"/>
  <c r="DO23" s="1"/>
  <c r="DN20"/>
  <c r="DO20" s="1"/>
  <c r="EJ20" s="1"/>
  <c r="DN17"/>
  <c r="DN18" s="1"/>
  <c r="DO18" s="1"/>
  <c r="EJ18" s="1"/>
  <c r="DN14"/>
  <c r="DO14" s="1"/>
  <c r="EJ14" s="1"/>
  <c r="DP11"/>
  <c r="DP12" s="1"/>
  <c r="DQ12" s="1"/>
  <c r="DN11"/>
  <c r="DN12" s="1"/>
  <c r="DO12" s="1"/>
  <c r="B9"/>
  <c r="C9" s="1"/>
  <c r="D9" s="1"/>
  <c r="E9" s="1"/>
  <c r="G9" s="1"/>
  <c r="I9" s="1"/>
  <c r="K9" s="1"/>
  <c r="M9" s="1"/>
  <c r="O9" s="1"/>
  <c r="R9" s="1"/>
  <c r="AC9" s="1"/>
  <c r="AE9" s="1"/>
  <c r="AG9" s="1"/>
  <c r="AI9" s="1"/>
  <c r="AK9" s="1"/>
  <c r="AM9" s="1"/>
  <c r="AO9" s="1"/>
  <c r="AQ9" s="1"/>
  <c r="AS9" s="1"/>
  <c r="AU9" s="1"/>
  <c r="AW9" s="1"/>
  <c r="AY9" s="1"/>
  <c r="BA9" s="1"/>
  <c r="BC9" s="1"/>
  <c r="BE9" s="1"/>
  <c r="BG9" s="1"/>
  <c r="BI9" s="1"/>
  <c r="BK9" s="1"/>
  <c r="BM9" s="1"/>
  <c r="BO9" s="1"/>
  <c r="BQ9" s="1"/>
  <c r="BS9" s="1"/>
  <c r="BU9" s="1"/>
  <c r="CK9" s="1"/>
  <c r="CM9" s="1"/>
  <c r="CO9" s="1"/>
  <c r="CQ9" s="1"/>
  <c r="CS9" s="1"/>
  <c r="DH9" s="1"/>
  <c r="DJ9" s="1"/>
  <c r="DL9" s="1"/>
  <c r="DN9" s="1"/>
  <c r="DP9" s="1"/>
  <c r="DR9" s="1"/>
  <c r="DT9" s="1"/>
  <c r="CZ7"/>
  <c r="CX7"/>
  <c r="CW7"/>
  <c r="CV7"/>
  <c r="CU7"/>
  <c r="CT7"/>
  <c r="C4"/>
  <c r="A4"/>
  <c r="C3"/>
  <c r="A3"/>
  <c r="C2"/>
  <c r="A2"/>
  <c r="A1" i="43"/>
  <c r="O874" i="44"/>
  <c r="O875" s="1"/>
  <c r="O876" s="1"/>
  <c r="O877" s="1"/>
  <c r="O873"/>
  <c r="O844"/>
  <c r="O845" s="1"/>
  <c r="O846" s="1"/>
  <c r="O847" s="1"/>
  <c r="O838"/>
  <c r="O839" s="1"/>
  <c r="O840" s="1"/>
  <c r="O841" s="1"/>
  <c r="O833"/>
  <c r="O834" s="1"/>
  <c r="O835" s="1"/>
  <c r="O832"/>
  <c r="O826"/>
  <c r="O827" s="1"/>
  <c r="O828" s="1"/>
  <c r="O829" s="1"/>
  <c r="O822"/>
  <c r="O820"/>
  <c r="O815"/>
  <c r="O816" s="1"/>
  <c r="O817" s="1"/>
  <c r="O814"/>
  <c r="O808"/>
  <c r="O809" s="1"/>
  <c r="O810" s="1"/>
  <c r="O811" s="1"/>
  <c r="O795"/>
  <c r="O796" s="1"/>
  <c r="O797" s="1"/>
  <c r="O798" s="1"/>
  <c r="O790"/>
  <c r="O791" s="1"/>
  <c r="O792" s="1"/>
  <c r="O789"/>
  <c r="O783"/>
  <c r="O784" s="1"/>
  <c r="O785" s="1"/>
  <c r="O786" s="1"/>
  <c r="O777"/>
  <c r="O778" s="1"/>
  <c r="O779" s="1"/>
  <c r="O780" s="1"/>
  <c r="O773"/>
  <c r="O771"/>
  <c r="O765"/>
  <c r="O766" s="1"/>
  <c r="O767" s="1"/>
  <c r="O768" s="1"/>
  <c r="O759"/>
  <c r="O760" s="1"/>
  <c r="O761" s="1"/>
  <c r="O762" s="1"/>
  <c r="O1211" i="7"/>
  <c r="O1212" s="1"/>
  <c r="O1213" s="1"/>
  <c r="O1214" s="1"/>
  <c r="O1215" s="1"/>
  <c r="O1182"/>
  <c r="O1183" s="1"/>
  <c r="O1184" s="1"/>
  <c r="O1185" s="1"/>
  <c r="O1176"/>
  <c r="O1177" s="1"/>
  <c r="O1178" s="1"/>
  <c r="O1179" s="1"/>
  <c r="O1170"/>
  <c r="O1171" s="1"/>
  <c r="O1172" s="1"/>
  <c r="O1173" s="1"/>
  <c r="O1164"/>
  <c r="O1165" s="1"/>
  <c r="O1166" s="1"/>
  <c r="O1167" s="1"/>
  <c r="O1160"/>
  <c r="O1158"/>
  <c r="O1152"/>
  <c r="O1153" s="1"/>
  <c r="O1154" s="1"/>
  <c r="O1155" s="1"/>
  <c r="O1146"/>
  <c r="O1147" s="1"/>
  <c r="O1148" s="1"/>
  <c r="O1149" s="1"/>
  <c r="O1133"/>
  <c r="O1134" s="1"/>
  <c r="O1135" s="1"/>
  <c r="O1136" s="1"/>
  <c r="O1127"/>
  <c r="O1128" s="1"/>
  <c r="O1129" s="1"/>
  <c r="O1130" s="1"/>
  <c r="O1121"/>
  <c r="O1122" s="1"/>
  <c r="O1123" s="1"/>
  <c r="O1124" s="1"/>
  <c r="O1115"/>
  <c r="O1116" s="1"/>
  <c r="O1117" s="1"/>
  <c r="O1118" s="1"/>
  <c r="O1111"/>
  <c r="O1109"/>
  <c r="O1103"/>
  <c r="O1104" s="1"/>
  <c r="O1105" s="1"/>
  <c r="O1106" s="1"/>
  <c r="O1097"/>
  <c r="O1098" s="1"/>
  <c r="O1099" s="1"/>
  <c r="O1100" s="1"/>
  <c r="H120" i="44"/>
  <c r="K59"/>
  <c r="K60"/>
  <c r="ES80" i="54"/>
  <c r="CI231"/>
  <c r="EZ231" s="1"/>
  <c r="FH195"/>
  <c r="FH198" s="1"/>
  <c r="AY176"/>
  <c r="DN171"/>
  <c r="GC137"/>
  <c r="FU130"/>
  <c r="DN122"/>
  <c r="BE96"/>
  <c r="W100" s="1"/>
  <c r="GD76"/>
  <c r="FT76"/>
  <c r="EV52"/>
  <c r="FM48"/>
  <c r="FM52" s="1"/>
  <c r="H2507" i="7" l="1"/>
  <c r="H2531" s="1"/>
  <c r="H2532" s="1"/>
  <c r="H2547" s="1"/>
  <c r="L258" i="4"/>
  <c r="K259"/>
  <c r="L259" s="1"/>
  <c r="AR561"/>
  <c r="AR562" s="1"/>
  <c r="B453"/>
  <c r="B502" s="1"/>
  <c r="L255"/>
  <c r="B816" i="7"/>
  <c r="B4624"/>
  <c r="A806"/>
  <c r="A4558"/>
  <c r="E2438" i="18"/>
  <c r="H2438" s="1"/>
  <c r="F2439"/>
  <c r="E2439" s="1"/>
  <c r="H2439" s="1"/>
  <c r="H2223"/>
  <c r="F2224"/>
  <c r="H2209"/>
  <c r="F2210"/>
  <c r="H2210" s="1"/>
  <c r="H2169"/>
  <c r="D2946" s="1"/>
  <c r="DO59" i="4"/>
  <c r="EJ59" s="1"/>
  <c r="DO65"/>
  <c r="EJ65" s="1"/>
  <c r="DN176"/>
  <c r="DO176" s="1"/>
  <c r="DO11"/>
  <c r="DU255"/>
  <c r="BX161"/>
  <c r="DT265"/>
  <c r="DU265" s="1"/>
  <c r="DO29"/>
  <c r="DN36"/>
  <c r="DO36" s="1"/>
  <c r="EJ36" s="1"/>
  <c r="DS100"/>
  <c r="DT268"/>
  <c r="DU268" s="1"/>
  <c r="DS26"/>
  <c r="H97"/>
  <c r="DN24"/>
  <c r="DO24" s="1"/>
  <c r="EJ24" s="1"/>
  <c r="DO41"/>
  <c r="EJ41" s="1"/>
  <c r="DO47"/>
  <c r="EJ47" s="1"/>
  <c r="DQ68"/>
  <c r="DO71"/>
  <c r="DS97"/>
  <c r="DO435"/>
  <c r="EJ72"/>
  <c r="DO81"/>
  <c r="EJ81" s="1"/>
  <c r="DU109"/>
  <c r="DR317"/>
  <c r="DS317" s="1"/>
  <c r="DN75"/>
  <c r="DO75" s="1"/>
  <c r="H100"/>
  <c r="I102"/>
  <c r="J102" s="1"/>
  <c r="L104"/>
  <c r="T127"/>
  <c r="H190"/>
  <c r="DS104"/>
  <c r="DT206"/>
  <c r="DU206" s="1"/>
  <c r="G258"/>
  <c r="G261" s="1"/>
  <c r="G264" s="1"/>
  <c r="DO258"/>
  <c r="DS62"/>
  <c r="DQ74"/>
  <c r="DS94"/>
  <c r="I101"/>
  <c r="J101" s="1"/>
  <c r="H116"/>
  <c r="G117"/>
  <c r="H117" s="1"/>
  <c r="DP134"/>
  <c r="DQ134" s="1"/>
  <c r="H172"/>
  <c r="DO175"/>
  <c r="H178"/>
  <c r="R202"/>
  <c r="U202" s="1"/>
  <c r="AP415"/>
  <c r="AP561" s="1"/>
  <c r="AP562" s="1"/>
  <c r="U97"/>
  <c r="L100"/>
  <c r="J108"/>
  <c r="DU116"/>
  <c r="H127"/>
  <c r="DQ137"/>
  <c r="DN139"/>
  <c r="DO139" s="1"/>
  <c r="BV146"/>
  <c r="CH155"/>
  <c r="CH561" s="1"/>
  <c r="CH562" s="1"/>
  <c r="G185"/>
  <c r="H185" s="1"/>
  <c r="DO196"/>
  <c r="DU202"/>
  <c r="DN272"/>
  <c r="DO272" s="1"/>
  <c r="DO85"/>
  <c r="EJ85" s="1"/>
  <c r="G139"/>
  <c r="H139" s="1"/>
  <c r="DO411"/>
  <c r="R135"/>
  <c r="V135" s="1"/>
  <c r="H142"/>
  <c r="DT323"/>
  <c r="DU323" s="1"/>
  <c r="K143"/>
  <c r="L143" s="1"/>
  <c r="DO17"/>
  <c r="EJ17" s="1"/>
  <c r="DO53"/>
  <c r="EJ53" s="1"/>
  <c r="EJ63"/>
  <c r="DO82"/>
  <c r="EJ82" s="1"/>
  <c r="H104"/>
  <c r="G105"/>
  <c r="H105" s="1"/>
  <c r="DU105"/>
  <c r="DO108"/>
  <c r="K109"/>
  <c r="L109" s="1"/>
  <c r="G110"/>
  <c r="H110" s="1"/>
  <c r="J112"/>
  <c r="AC117"/>
  <c r="AD117" s="1"/>
  <c r="DP129"/>
  <c r="DQ129" s="1"/>
  <c r="T132"/>
  <c r="R140"/>
  <c r="V140" s="1"/>
  <c r="BY147"/>
  <c r="BZ147" s="1"/>
  <c r="BX149"/>
  <c r="CB158"/>
  <c r="BW159"/>
  <c r="BX159" s="1"/>
  <c r="BY162"/>
  <c r="BZ162" s="1"/>
  <c r="BV164"/>
  <c r="DP168"/>
  <c r="DQ168" s="1"/>
  <c r="DO184"/>
  <c r="DN191"/>
  <c r="DO191" s="1"/>
  <c r="DN253"/>
  <c r="DO253" s="1"/>
  <c r="DN279"/>
  <c r="DO279" s="1"/>
  <c r="DN374"/>
  <c r="DO374" s="1"/>
  <c r="DN377"/>
  <c r="DO377" s="1"/>
  <c r="DO433"/>
  <c r="P547"/>
  <c r="DR75"/>
  <c r="DS75" s="1"/>
  <c r="K106"/>
  <c r="L106" s="1"/>
  <c r="I113"/>
  <c r="J113" s="1"/>
  <c r="K134"/>
  <c r="L134" s="1"/>
  <c r="BS168"/>
  <c r="BT168" s="1"/>
  <c r="BT561" s="1"/>
  <c r="BT562" s="1"/>
  <c r="G202"/>
  <c r="H202" s="1"/>
  <c r="R206"/>
  <c r="W206" s="1"/>
  <c r="W561" s="1"/>
  <c r="W562" s="1"/>
  <c r="AW320"/>
  <c r="AX320" s="1"/>
  <c r="BC326"/>
  <c r="BD326" s="1"/>
  <c r="G109"/>
  <c r="H109" s="1"/>
  <c r="K179"/>
  <c r="L179" s="1"/>
  <c r="EJ27"/>
  <c r="DO78"/>
  <c r="EJ78" s="1"/>
  <c r="DS91"/>
  <c r="DR109"/>
  <c r="DR110" s="1"/>
  <c r="DS110" s="1"/>
  <c r="K110"/>
  <c r="L110" s="1"/>
  <c r="DR117"/>
  <c r="DS117" s="1"/>
  <c r="DN143"/>
  <c r="DO143" s="1"/>
  <c r="DQ152"/>
  <c r="N167"/>
  <c r="N561" s="1"/>
  <c r="N562" s="1"/>
  <c r="DR178"/>
  <c r="G255"/>
  <c r="G256" s="1"/>
  <c r="H256" s="1"/>
  <c r="DO267"/>
  <c r="DN317"/>
  <c r="DO317" s="1"/>
  <c r="H911" i="18"/>
  <c r="H912" s="1"/>
  <c r="EJ30" i="4"/>
  <c r="DU117"/>
  <c r="DT119"/>
  <c r="DT118"/>
  <c r="DU118" s="1"/>
  <c r="EJ12"/>
  <c r="DX9"/>
  <c r="DZ9" s="1"/>
  <c r="EB9" s="1"/>
  <c r="ED9" s="1"/>
  <c r="EF9" s="1"/>
  <c r="EH9" s="1"/>
  <c r="DV9"/>
  <c r="DR102"/>
  <c r="DS102" s="1"/>
  <c r="DS101"/>
  <c r="DO488"/>
  <c r="G223"/>
  <c r="G221"/>
  <c r="H221" s="1"/>
  <c r="H220"/>
  <c r="DN15"/>
  <c r="DO15" s="1"/>
  <c r="EJ15" s="1"/>
  <c r="DN21"/>
  <c r="DO21" s="1"/>
  <c r="EJ21" s="1"/>
  <c r="DN33"/>
  <c r="DO33" s="1"/>
  <c r="EJ33" s="1"/>
  <c r="DN39"/>
  <c r="DO39" s="1"/>
  <c r="EJ39" s="1"/>
  <c r="DN45"/>
  <c r="DO45" s="1"/>
  <c r="EJ45" s="1"/>
  <c r="DN51"/>
  <c r="DO51" s="1"/>
  <c r="EJ51" s="1"/>
  <c r="DN57"/>
  <c r="DO57" s="1"/>
  <c r="EJ57" s="1"/>
  <c r="K92"/>
  <c r="L92" s="1"/>
  <c r="DN92"/>
  <c r="DO92" s="1"/>
  <c r="K95"/>
  <c r="L95" s="1"/>
  <c r="DN95"/>
  <c r="DO95" s="1"/>
  <c r="K98"/>
  <c r="L98" s="1"/>
  <c r="DN98"/>
  <c r="DO98" s="1"/>
  <c r="I105"/>
  <c r="J105" s="1"/>
  <c r="I106"/>
  <c r="J106" s="1"/>
  <c r="G113"/>
  <c r="H113" s="1"/>
  <c r="K113"/>
  <c r="L113" s="1"/>
  <c r="DR113"/>
  <c r="G114"/>
  <c r="H114" s="1"/>
  <c r="K114"/>
  <c r="L114" s="1"/>
  <c r="DP117"/>
  <c r="K129"/>
  <c r="L129" s="1"/>
  <c r="R130"/>
  <c r="V130" s="1"/>
  <c r="G134"/>
  <c r="H134" s="1"/>
  <c r="DN134"/>
  <c r="DO134" s="1"/>
  <c r="R139"/>
  <c r="T139" s="1"/>
  <c r="DR139"/>
  <c r="DS139" s="1"/>
  <c r="DN179"/>
  <c r="DO179" s="1"/>
  <c r="G182"/>
  <c r="H182" s="1"/>
  <c r="G188"/>
  <c r="H188" s="1"/>
  <c r="G194"/>
  <c r="H194" s="1"/>
  <c r="AU242"/>
  <c r="AU240"/>
  <c r="AV240" s="1"/>
  <c r="AV239"/>
  <c r="DQ71"/>
  <c r="DO79"/>
  <c r="EJ79" s="1"/>
  <c r="DO87"/>
  <c r="EJ87" s="1"/>
  <c r="G101"/>
  <c r="H101" s="1"/>
  <c r="K101"/>
  <c r="L101" s="1"/>
  <c r="DS105"/>
  <c r="I109"/>
  <c r="J109" s="1"/>
  <c r="DU113"/>
  <c r="K117"/>
  <c r="L117" s="1"/>
  <c r="DN129"/>
  <c r="DO129" s="1"/>
  <c r="DR134"/>
  <c r="DS134" s="1"/>
  <c r="U142"/>
  <c r="CD146"/>
  <c r="CB149"/>
  <c r="BX152"/>
  <c r="CF161"/>
  <c r="BZ164"/>
  <c r="DO167"/>
  <c r="DO172"/>
  <c r="G176"/>
  <c r="H176" s="1"/>
  <c r="AT178"/>
  <c r="L205"/>
  <c r="DO439"/>
  <c r="CS223"/>
  <c r="CS221"/>
  <c r="CV221" s="1"/>
  <c r="CV220"/>
  <c r="K242"/>
  <c r="K240"/>
  <c r="L240" s="1"/>
  <c r="L239"/>
  <c r="L261"/>
  <c r="K264"/>
  <c r="K262"/>
  <c r="L262" s="1"/>
  <c r="DQ11"/>
  <c r="DS23"/>
  <c r="EJ23" s="1"/>
  <c r="DO26"/>
  <c r="DS29"/>
  <c r="DO62"/>
  <c r="DO68"/>
  <c r="DU101"/>
  <c r="K118"/>
  <c r="L118" s="1"/>
  <c r="DR129"/>
  <c r="DS129" s="1"/>
  <c r="K139"/>
  <c r="L139" s="1"/>
  <c r="DS142"/>
  <c r="DS146"/>
  <c r="CB152"/>
  <c r="BX155"/>
  <c r="DS161"/>
  <c r="CJ164"/>
  <c r="DU167"/>
  <c r="DO181"/>
  <c r="DO187"/>
  <c r="DO193"/>
  <c r="L201"/>
  <c r="DO205"/>
  <c r="DN206"/>
  <c r="DO206" s="1"/>
  <c r="K223"/>
  <c r="K221"/>
  <c r="L221" s="1"/>
  <c r="L220"/>
  <c r="G242"/>
  <c r="G240"/>
  <c r="H240" s="1"/>
  <c r="H239"/>
  <c r="AJ561"/>
  <c r="AJ562" s="1"/>
  <c r="BZ149"/>
  <c r="CJ149"/>
  <c r="DS149"/>
  <c r="BZ152"/>
  <c r="CF152"/>
  <c r="DS152"/>
  <c r="BZ155"/>
  <c r="CJ155"/>
  <c r="DS155"/>
  <c r="BZ158"/>
  <c r="CF158"/>
  <c r="DS158"/>
  <c r="BX164"/>
  <c r="CD164"/>
  <c r="L172"/>
  <c r="DS172"/>
  <c r="L175"/>
  <c r="DS175"/>
  <c r="L181"/>
  <c r="DS181"/>
  <c r="L184"/>
  <c r="DS184"/>
  <c r="L187"/>
  <c r="DS187"/>
  <c r="L190"/>
  <c r="DS190"/>
  <c r="L193"/>
  <c r="DS193"/>
  <c r="DO202"/>
  <c r="U208"/>
  <c r="DU208"/>
  <c r="H214"/>
  <c r="CT214"/>
  <c r="DQ214"/>
  <c r="DQ217"/>
  <c r="DQ220"/>
  <c r="DQ223"/>
  <c r="DQ226"/>
  <c r="DQ229"/>
  <c r="H233"/>
  <c r="AV233"/>
  <c r="DO233"/>
  <c r="DO236"/>
  <c r="DO239"/>
  <c r="DO242"/>
  <c r="DO245"/>
  <c r="DO248"/>
  <c r="H252"/>
  <c r="DT253"/>
  <c r="DU253" s="1"/>
  <c r="DT259"/>
  <c r="DU259" s="1"/>
  <c r="DO261"/>
  <c r="DT262"/>
  <c r="DU262" s="1"/>
  <c r="DT275"/>
  <c r="DU275" s="1"/>
  <c r="DN282"/>
  <c r="DO282" s="1"/>
  <c r="K317"/>
  <c r="L317" s="1"/>
  <c r="DT320"/>
  <c r="DU320" s="1"/>
  <c r="BC323"/>
  <c r="BD323" s="1"/>
  <c r="DT326"/>
  <c r="DU326" s="1"/>
  <c r="DO361"/>
  <c r="DN362"/>
  <c r="DO362" s="1"/>
  <c r="G215"/>
  <c r="H215" s="1"/>
  <c r="CS215"/>
  <c r="CT215" s="1"/>
  <c r="G217"/>
  <c r="CS217"/>
  <c r="G234"/>
  <c r="H234" s="1"/>
  <c r="AU234"/>
  <c r="AV234" s="1"/>
  <c r="G236"/>
  <c r="AU236"/>
  <c r="DO255"/>
  <c r="DO264"/>
  <c r="DT272"/>
  <c r="DU272" s="1"/>
  <c r="DO274"/>
  <c r="DT279"/>
  <c r="DU279" s="1"/>
  <c r="DN320"/>
  <c r="DO320" s="1"/>
  <c r="DN326"/>
  <c r="DO326" s="1"/>
  <c r="L208"/>
  <c r="DO208"/>
  <c r="X209"/>
  <c r="X561" s="1"/>
  <c r="X562" s="1"/>
  <c r="L214"/>
  <c r="DO214"/>
  <c r="DU214"/>
  <c r="DO217"/>
  <c r="DU217"/>
  <c r="DO220"/>
  <c r="DU220"/>
  <c r="DO223"/>
  <c r="DU223"/>
  <c r="DO226"/>
  <c r="DU226"/>
  <c r="DO229"/>
  <c r="DU229"/>
  <c r="L233"/>
  <c r="DU233"/>
  <c r="DU236"/>
  <c r="DU239"/>
  <c r="DU242"/>
  <c r="DU245"/>
  <c r="DU248"/>
  <c r="BH328"/>
  <c r="BG329"/>
  <c r="BH329" s="1"/>
  <c r="K215"/>
  <c r="L215" s="1"/>
  <c r="K217"/>
  <c r="K234"/>
  <c r="L234" s="1"/>
  <c r="K236"/>
  <c r="DT282"/>
  <c r="DU282" s="1"/>
  <c r="DN323"/>
  <c r="DO323" s="1"/>
  <c r="DN329"/>
  <c r="DO329" s="1"/>
  <c r="AW332"/>
  <c r="AX332" s="1"/>
  <c r="DN332"/>
  <c r="DO332" s="1"/>
  <c r="DN335"/>
  <c r="DO335" s="1"/>
  <c r="DN338"/>
  <c r="DO338" s="1"/>
  <c r="DN341"/>
  <c r="DO341" s="1"/>
  <c r="AW344"/>
  <c r="AX344" s="1"/>
  <c r="DN344"/>
  <c r="DO344" s="1"/>
  <c r="DN347"/>
  <c r="DO347" s="1"/>
  <c r="DN350"/>
  <c r="DO350" s="1"/>
  <c r="AW353"/>
  <c r="AX353" s="1"/>
  <c r="DN353"/>
  <c r="DO353" s="1"/>
  <c r="DN356"/>
  <c r="DO356" s="1"/>
  <c r="DN359"/>
  <c r="DO359" s="1"/>
  <c r="DR361"/>
  <c r="DN365"/>
  <c r="DO365" s="1"/>
  <c r="AY368"/>
  <c r="AZ368" s="1"/>
  <c r="DN368"/>
  <c r="DO368" s="1"/>
  <c r="AS371"/>
  <c r="AT371" s="1"/>
  <c r="BA380"/>
  <c r="BB380" s="1"/>
  <c r="BB561" s="1"/>
  <c r="BB562" s="1"/>
  <c r="DN380"/>
  <c r="DO380" s="1"/>
  <c r="B454"/>
  <c r="B459"/>
  <c r="BH331"/>
  <c r="DU331"/>
  <c r="BL343"/>
  <c r="DS343"/>
  <c r="BF352"/>
  <c r="DU352"/>
  <c r="DO358"/>
  <c r="BJ367"/>
  <c r="DU367"/>
  <c r="DO370"/>
  <c r="BJ379"/>
  <c r="DU379"/>
  <c r="B451"/>
  <c r="B455"/>
  <c r="Q545"/>
  <c r="O546"/>
  <c r="O548"/>
  <c r="DT329"/>
  <c r="DU329" s="1"/>
  <c r="BO335"/>
  <c r="BP335" s="1"/>
  <c r="BP561" s="1"/>
  <c r="BP562" s="1"/>
  <c r="DR335"/>
  <c r="DS335" s="1"/>
  <c r="BM338"/>
  <c r="BN338" s="1"/>
  <c r="BN561" s="1"/>
  <c r="BN562" s="1"/>
  <c r="DR338"/>
  <c r="DS338" s="1"/>
  <c r="BK341"/>
  <c r="BL341" s="1"/>
  <c r="DR341"/>
  <c r="DS341" s="1"/>
  <c r="BE347"/>
  <c r="BF347" s="1"/>
  <c r="DT347"/>
  <c r="DU347" s="1"/>
  <c r="BE350"/>
  <c r="BF350" s="1"/>
  <c r="DT350"/>
  <c r="DU350" s="1"/>
  <c r="BQ356"/>
  <c r="BR356" s="1"/>
  <c r="DR356"/>
  <c r="DS356" s="1"/>
  <c r="BQ359"/>
  <c r="BR359" s="1"/>
  <c r="DR359"/>
  <c r="DS359" s="1"/>
  <c r="BQ362"/>
  <c r="BR362" s="1"/>
  <c r="BI365"/>
  <c r="BJ365" s="1"/>
  <c r="DT365"/>
  <c r="DU365" s="1"/>
  <c r="AY374"/>
  <c r="AZ374" s="1"/>
  <c r="DT374"/>
  <c r="DU374" s="1"/>
  <c r="BI377"/>
  <c r="BJ377" s="1"/>
  <c r="DT377"/>
  <c r="DU377" s="1"/>
  <c r="DQ433"/>
  <c r="DQ435"/>
  <c r="B452"/>
  <c r="DR133" i="54"/>
  <c r="DV133" s="1"/>
  <c r="BF100"/>
  <c r="CN100" s="1"/>
  <c r="Z185"/>
  <c r="BE91"/>
  <c r="H258" i="4" l="1"/>
  <c r="H2548" i="7"/>
  <c r="H2555"/>
  <c r="BL561" i="4"/>
  <c r="BL562" s="1"/>
  <c r="E1234" i="18"/>
  <c r="H1374"/>
  <c r="H1373"/>
  <c r="E1233"/>
  <c r="H2443"/>
  <c r="B823" i="7"/>
  <c r="B4653"/>
  <c r="A811"/>
  <c r="A4591"/>
  <c r="EJ11" i="4"/>
  <c r="H255"/>
  <c r="H2214" i="18"/>
  <c r="D2956" s="1"/>
  <c r="H2238"/>
  <c r="F2239"/>
  <c r="H2224"/>
  <c r="F2225"/>
  <c r="H2225" s="1"/>
  <c r="BD561" i="4"/>
  <c r="BD562" s="1"/>
  <c r="G259"/>
  <c r="H259" s="1"/>
  <c r="U561"/>
  <c r="U562" s="1"/>
  <c r="AC118"/>
  <c r="AD118" s="1"/>
  <c r="G262"/>
  <c r="H262" s="1"/>
  <c r="EJ26"/>
  <c r="DS109"/>
  <c r="EJ29"/>
  <c r="H261"/>
  <c r="EJ62"/>
  <c r="T561"/>
  <c r="T562" s="1"/>
  <c r="BF561"/>
  <c r="BF562" s="1"/>
  <c r="BV561"/>
  <c r="BV562" s="1"/>
  <c r="BR561"/>
  <c r="BR562" s="1"/>
  <c r="BJ561"/>
  <c r="BJ562" s="1"/>
  <c r="AZ561"/>
  <c r="AZ562" s="1"/>
  <c r="V561"/>
  <c r="V562" s="1"/>
  <c r="AX561"/>
  <c r="AX562" s="1"/>
  <c r="EJ71"/>
  <c r="J561"/>
  <c r="J562" s="1"/>
  <c r="BX561"/>
  <c r="BX562" s="1"/>
  <c r="DR118"/>
  <c r="DS118" s="1"/>
  <c r="DR179"/>
  <c r="DS179" s="1"/>
  <c r="DS178"/>
  <c r="CF561"/>
  <c r="CF562" s="1"/>
  <c r="BZ561"/>
  <c r="BZ562" s="1"/>
  <c r="AT561"/>
  <c r="AT562" s="1"/>
  <c r="CD561"/>
  <c r="CD562" s="1"/>
  <c r="DR119"/>
  <c r="DR120" s="1"/>
  <c r="B504"/>
  <c r="B461"/>
  <c r="B503"/>
  <c r="B460"/>
  <c r="G237"/>
  <c r="H237" s="1"/>
  <c r="H236"/>
  <c r="G218"/>
  <c r="H218" s="1"/>
  <c r="H217"/>
  <c r="K226"/>
  <c r="K224"/>
  <c r="L224" s="1"/>
  <c r="L223"/>
  <c r="BH561"/>
  <c r="BH562" s="1"/>
  <c r="CJ561"/>
  <c r="CJ562" s="1"/>
  <c r="CB561"/>
  <c r="CB562" s="1"/>
  <c r="K218"/>
  <c r="L218" s="1"/>
  <c r="L217"/>
  <c r="G245"/>
  <c r="G243"/>
  <c r="H243" s="1"/>
  <c r="H242"/>
  <c r="Q546"/>
  <c r="P546"/>
  <c r="B465"/>
  <c r="B508"/>
  <c r="DS361"/>
  <c r="DR362"/>
  <c r="DS362" s="1"/>
  <c r="K237"/>
  <c r="L237" s="1"/>
  <c r="L236"/>
  <c r="AU237"/>
  <c r="AV237" s="1"/>
  <c r="AV236"/>
  <c r="CS218"/>
  <c r="CU218" s="1"/>
  <c r="CU217"/>
  <c r="G226"/>
  <c r="G224"/>
  <c r="H224" s="1"/>
  <c r="H223"/>
  <c r="Q548"/>
  <c r="P548"/>
  <c r="H264"/>
  <c r="G267"/>
  <c r="G265"/>
  <c r="H265" s="1"/>
  <c r="K267"/>
  <c r="K265"/>
  <c r="L265" s="1"/>
  <c r="L264"/>
  <c r="K245"/>
  <c r="K243"/>
  <c r="L243" s="1"/>
  <c r="L242"/>
  <c r="DQ117"/>
  <c r="DP119"/>
  <c r="DP118"/>
  <c r="DQ118" s="1"/>
  <c r="B500"/>
  <c r="B457"/>
  <c r="B501"/>
  <c r="B458"/>
  <c r="CS226"/>
  <c r="CS224"/>
  <c r="CW224" s="1"/>
  <c r="CW223"/>
  <c r="AU245"/>
  <c r="AU243"/>
  <c r="AV243" s="1"/>
  <c r="AV242"/>
  <c r="DS113"/>
  <c r="DR114"/>
  <c r="DS114" s="1"/>
  <c r="DU119"/>
  <c r="DT120"/>
  <c r="EV48" i="54"/>
  <c r="BF185"/>
  <c r="CN185" s="1"/>
  <c r="O4181" i="7"/>
  <c r="GS27" i="21"/>
  <c r="GS21"/>
  <c r="IC30" s="1"/>
  <c r="B5010" i="44"/>
  <c r="L5009"/>
  <c r="G5009"/>
  <c r="B5009"/>
  <c r="E4997"/>
  <c r="B4997"/>
  <c r="B4992"/>
  <c r="E4987"/>
  <c r="B4987"/>
  <c r="B4982"/>
  <c r="B4977"/>
  <c r="B4972"/>
  <c r="G4968"/>
  <c r="G4967"/>
  <c r="G4966"/>
  <c r="G4965"/>
  <c r="J4956"/>
  <c r="K4956" s="1"/>
  <c r="B4945"/>
  <c r="G4941"/>
  <c r="G4940"/>
  <c r="G4939"/>
  <c r="G4938"/>
  <c r="J4929"/>
  <c r="K4929" s="1"/>
  <c r="Q4924"/>
  <c r="B4917"/>
  <c r="G4911"/>
  <c r="G4910"/>
  <c r="G4909"/>
  <c r="G4908"/>
  <c r="J4899"/>
  <c r="K4899" s="1"/>
  <c r="B4888"/>
  <c r="G4882"/>
  <c r="G4881"/>
  <c r="G4880"/>
  <c r="G4879"/>
  <c r="G4878"/>
  <c r="K4869"/>
  <c r="J4869"/>
  <c r="B4857"/>
  <c r="G4851"/>
  <c r="G4850"/>
  <c r="G4849"/>
  <c r="G4848"/>
  <c r="G4847"/>
  <c r="J4838"/>
  <c r="K4838" s="1"/>
  <c r="G4833"/>
  <c r="B4826"/>
  <c r="B4799"/>
  <c r="B4803" s="1"/>
  <c r="B4807" s="1"/>
  <c r="B4811" s="1"/>
  <c r="B4815" s="1"/>
  <c r="B4819" s="1"/>
  <c r="B4823" s="1"/>
  <c r="B4794"/>
  <c r="C4785"/>
  <c r="C4788" s="1"/>
  <c r="C4791" s="1"/>
  <c r="G4783"/>
  <c r="G4786" s="1"/>
  <c r="C4783"/>
  <c r="C4786" s="1"/>
  <c r="C4789" s="1"/>
  <c r="C4792" s="1"/>
  <c r="G4782"/>
  <c r="G4785" s="1"/>
  <c r="C4782"/>
  <c r="G4767"/>
  <c r="G4770" s="1"/>
  <c r="G4773" s="1"/>
  <c r="C4767"/>
  <c r="C4770" s="1"/>
  <c r="C4773" s="1"/>
  <c r="C4776" s="1"/>
  <c r="G4766"/>
  <c r="G4769" s="1"/>
  <c r="G4772" s="1"/>
  <c r="C4766"/>
  <c r="C4769" s="1"/>
  <c r="C4772" s="1"/>
  <c r="C4775" s="1"/>
  <c r="G4751"/>
  <c r="G4754" s="1"/>
  <c r="G4757" s="1"/>
  <c r="G4760" s="1"/>
  <c r="C4751"/>
  <c r="C4754" s="1"/>
  <c r="C4757" s="1"/>
  <c r="C4760" s="1"/>
  <c r="G4750"/>
  <c r="G4753" s="1"/>
  <c r="G4756" s="1"/>
  <c r="G4759" s="1"/>
  <c r="C4750"/>
  <c r="C4753" s="1"/>
  <c r="C4756" s="1"/>
  <c r="C4759" s="1"/>
  <c r="G4735"/>
  <c r="G4738" s="1"/>
  <c r="C4735"/>
  <c r="C4738" s="1"/>
  <c r="C4741" s="1"/>
  <c r="C4744" s="1"/>
  <c r="G4734"/>
  <c r="G4737" s="1"/>
  <c r="C4734"/>
  <c r="C4737" s="1"/>
  <c r="C4740" s="1"/>
  <c r="C4743" s="1"/>
  <c r="G4719"/>
  <c r="G4722" s="1"/>
  <c r="G4725" s="1"/>
  <c r="G4728" s="1"/>
  <c r="G4718"/>
  <c r="G4706"/>
  <c r="G4709" s="1"/>
  <c r="G4705"/>
  <c r="G4708" s="1"/>
  <c r="G4711" s="1"/>
  <c r="G4703"/>
  <c r="G4702"/>
  <c r="G4666"/>
  <c r="G4669" s="1"/>
  <c r="C4666"/>
  <c r="C4669" s="1"/>
  <c r="C4672" s="1"/>
  <c r="G4663"/>
  <c r="C4663"/>
  <c r="G4662"/>
  <c r="G4665" s="1"/>
  <c r="G4668" s="1"/>
  <c r="C4662"/>
  <c r="C4665" s="1"/>
  <c r="C4668" s="1"/>
  <c r="C4671" s="1"/>
  <c r="G4649"/>
  <c r="G4652" s="1"/>
  <c r="G4655" s="1"/>
  <c r="G4647"/>
  <c r="G4650" s="1"/>
  <c r="G4653" s="1"/>
  <c r="G4656" s="1"/>
  <c r="C4647"/>
  <c r="C4650" s="1"/>
  <c r="C4653" s="1"/>
  <c r="C4656" s="1"/>
  <c r="G4646"/>
  <c r="C4646"/>
  <c r="C4649" s="1"/>
  <c r="C4652" s="1"/>
  <c r="C4655" s="1"/>
  <c r="G4631"/>
  <c r="C4631"/>
  <c r="C4634" s="1"/>
  <c r="C4637" s="1"/>
  <c r="C4640" s="1"/>
  <c r="G4630"/>
  <c r="C4630"/>
  <c r="C4633" s="1"/>
  <c r="C4636" s="1"/>
  <c r="C4639" s="1"/>
  <c r="G4615"/>
  <c r="G4618" s="1"/>
  <c r="C4615"/>
  <c r="C4618" s="1"/>
  <c r="C4621" s="1"/>
  <c r="C4624" s="1"/>
  <c r="G4614"/>
  <c r="G4617" s="1"/>
  <c r="C4614"/>
  <c r="C4617" s="1"/>
  <c r="C4620" s="1"/>
  <c r="C4623" s="1"/>
  <c r="G4599"/>
  <c r="G4602" s="1"/>
  <c r="G4605" s="1"/>
  <c r="G4598"/>
  <c r="G4601" s="1"/>
  <c r="G4604" s="1"/>
  <c r="G4607" s="1"/>
  <c r="G4585"/>
  <c r="G4583"/>
  <c r="G4582"/>
  <c r="J4547"/>
  <c r="K4547" s="1"/>
  <c r="B4543"/>
  <c r="J4538"/>
  <c r="K4538" s="1"/>
  <c r="B4534"/>
  <c r="J4527"/>
  <c r="K4527" s="1"/>
  <c r="B4523"/>
  <c r="J4518"/>
  <c r="K4518" s="1"/>
  <c r="B4514"/>
  <c r="J4509"/>
  <c r="K4509" s="1"/>
  <c r="K4510" s="1"/>
  <c r="K4511" s="1"/>
  <c r="B4506"/>
  <c r="J4501"/>
  <c r="K4501" s="1"/>
  <c r="K4502" s="1"/>
  <c r="K4503" s="1"/>
  <c r="J4494"/>
  <c r="K4494" s="1"/>
  <c r="K4495" s="1"/>
  <c r="J4487"/>
  <c r="K4487" s="1"/>
  <c r="K4488" s="1"/>
  <c r="K4489" s="1"/>
  <c r="J4480"/>
  <c r="K4480" s="1"/>
  <c r="K4481" s="1"/>
  <c r="J4473"/>
  <c r="K4473" s="1"/>
  <c r="K4474" s="1"/>
  <c r="K4475" s="1"/>
  <c r="B4469"/>
  <c r="J4464"/>
  <c r="K4464" s="1"/>
  <c r="J4463"/>
  <c r="K4463" s="1"/>
  <c r="B4460"/>
  <c r="K4455"/>
  <c r="K4456" s="1"/>
  <c r="J4455"/>
  <c r="B4452"/>
  <c r="J4449"/>
  <c r="J4448"/>
  <c r="H4449" s="1"/>
  <c r="I4448"/>
  <c r="G4449" s="1"/>
  <c r="K4449" s="1"/>
  <c r="H4448"/>
  <c r="J4443"/>
  <c r="I4443"/>
  <c r="H4443"/>
  <c r="B4435"/>
  <c r="B4429"/>
  <c r="J4422"/>
  <c r="K4422" s="1"/>
  <c r="B4419"/>
  <c r="J4408"/>
  <c r="K4408" s="1"/>
  <c r="E4405"/>
  <c r="B4405"/>
  <c r="B4400"/>
  <c r="E4395"/>
  <c r="B4395"/>
  <c r="J4390"/>
  <c r="K4390" s="1"/>
  <c r="K4391" s="1"/>
  <c r="K4392" s="1"/>
  <c r="E4387"/>
  <c r="B4387"/>
  <c r="J4382"/>
  <c r="K4382" s="1"/>
  <c r="K4383" s="1"/>
  <c r="K4384" s="1"/>
  <c r="E4379"/>
  <c r="B4379"/>
  <c r="J4374"/>
  <c r="K4374" s="1"/>
  <c r="K4375" s="1"/>
  <c r="E4371"/>
  <c r="B4371"/>
  <c r="J4364"/>
  <c r="K4364" s="1"/>
  <c r="K4365" s="1"/>
  <c r="K4366" s="1"/>
  <c r="E4361"/>
  <c r="B4361"/>
  <c r="G4358"/>
  <c r="G4357"/>
  <c r="E4354"/>
  <c r="B4354"/>
  <c r="I4342"/>
  <c r="H4337"/>
  <c r="I4325"/>
  <c r="K4327" s="1"/>
  <c r="K4346" s="1"/>
  <c r="E4316"/>
  <c r="B4316"/>
  <c r="E4300"/>
  <c r="B4300"/>
  <c r="G4284"/>
  <c r="K4280"/>
  <c r="J4280"/>
  <c r="J4303" s="1"/>
  <c r="K4303" s="1"/>
  <c r="K4304" s="1"/>
  <c r="E4276"/>
  <c r="B4276"/>
  <c r="E4253"/>
  <c r="B4253"/>
  <c r="J4227"/>
  <c r="K4227" s="1"/>
  <c r="K4228" s="1"/>
  <c r="K4229" s="1"/>
  <c r="K4230" s="1"/>
  <c r="K4231" s="1"/>
  <c r="E4224"/>
  <c r="B4224"/>
  <c r="B4215"/>
  <c r="B4220" s="1"/>
  <c r="K4204"/>
  <c r="K4203"/>
  <c r="J4203"/>
  <c r="J4202"/>
  <c r="K4202" s="1"/>
  <c r="K4205" s="1"/>
  <c r="K4207" s="1"/>
  <c r="K4208" s="1"/>
  <c r="E4198"/>
  <c r="J4187"/>
  <c r="K4187" s="1"/>
  <c r="E4184"/>
  <c r="B4184"/>
  <c r="B4181"/>
  <c r="G4180"/>
  <c r="B4180"/>
  <c r="B4179"/>
  <c r="K4174"/>
  <c r="J4174"/>
  <c r="G4170"/>
  <c r="E4166"/>
  <c r="B4166"/>
  <c r="J4160"/>
  <c r="K4160" s="1"/>
  <c r="E4155"/>
  <c r="B4155"/>
  <c r="J4149"/>
  <c r="K4149" s="1"/>
  <c r="E4147"/>
  <c r="K4141"/>
  <c r="J4141"/>
  <c r="E4139"/>
  <c r="B4139"/>
  <c r="G4135"/>
  <c r="K4131"/>
  <c r="J4131"/>
  <c r="G4122"/>
  <c r="G4121"/>
  <c r="J4117"/>
  <c r="K4117" s="1"/>
  <c r="E4109"/>
  <c r="B4109"/>
  <c r="J4104"/>
  <c r="K4104" s="1"/>
  <c r="I4099"/>
  <c r="I4096"/>
  <c r="I4090"/>
  <c r="H4090"/>
  <c r="G4090"/>
  <c r="B4090"/>
  <c r="I4089"/>
  <c r="H4089"/>
  <c r="G4089"/>
  <c r="B4089"/>
  <c r="J4086"/>
  <c r="K4086" s="1"/>
  <c r="E4077"/>
  <c r="B4077"/>
  <c r="B4074"/>
  <c r="B4073"/>
  <c r="K4068"/>
  <c r="J4068"/>
  <c r="E4063"/>
  <c r="B4063"/>
  <c r="B4060"/>
  <c r="B4059"/>
  <c r="B4058"/>
  <c r="K4053"/>
  <c r="J4053"/>
  <c r="E4046"/>
  <c r="B4046"/>
  <c r="J4039"/>
  <c r="K4039" s="1"/>
  <c r="K4037"/>
  <c r="E4032"/>
  <c r="B4032"/>
  <c r="J4028"/>
  <c r="K4028" s="1"/>
  <c r="E4024"/>
  <c r="B4024"/>
  <c r="K4020"/>
  <c r="J4020"/>
  <c r="E4016"/>
  <c r="B4016"/>
  <c r="J4007"/>
  <c r="K4007" s="1"/>
  <c r="E4003"/>
  <c r="B4003"/>
  <c r="J3994"/>
  <c r="K3994" s="1"/>
  <c r="E3990"/>
  <c r="B3990"/>
  <c r="J3981"/>
  <c r="K3981" s="1"/>
  <c r="B3978"/>
  <c r="A3978"/>
  <c r="J3969"/>
  <c r="K3969" s="1"/>
  <c r="B3965"/>
  <c r="A3965"/>
  <c r="B3964"/>
  <c r="J3959"/>
  <c r="K3959" s="1"/>
  <c r="B3955"/>
  <c r="J3949"/>
  <c r="K3949" s="1"/>
  <c r="K3950" s="1"/>
  <c r="E3946"/>
  <c r="B3946"/>
  <c r="J3933"/>
  <c r="K3933" s="1"/>
  <c r="B3930"/>
  <c r="A3930"/>
  <c r="E3929"/>
  <c r="B3929"/>
  <c r="A3925"/>
  <c r="J3916"/>
  <c r="K3916" s="1"/>
  <c r="B3913"/>
  <c r="A3913"/>
  <c r="E3912"/>
  <c r="B3912"/>
  <c r="J3898"/>
  <c r="K3898" s="1"/>
  <c r="B3895"/>
  <c r="A3895"/>
  <c r="E3894"/>
  <c r="B3894"/>
  <c r="E3889"/>
  <c r="B3889"/>
  <c r="A3889"/>
  <c r="J3880"/>
  <c r="K3880" s="1"/>
  <c r="K3881" s="1"/>
  <c r="K3891" s="1"/>
  <c r="E3878"/>
  <c r="B3878"/>
  <c r="A3878"/>
  <c r="E3877"/>
  <c r="B3877"/>
  <c r="J3864"/>
  <c r="K3864" s="1"/>
  <c r="B3861"/>
  <c r="A3861"/>
  <c r="E3860"/>
  <c r="B3860"/>
  <c r="B3856"/>
  <c r="A3856"/>
  <c r="J3847"/>
  <c r="K3847" s="1"/>
  <c r="B3844"/>
  <c r="A3844"/>
  <c r="E3843"/>
  <c r="B3843"/>
  <c r="B3838"/>
  <c r="B3873" s="1"/>
  <c r="B3925" s="1"/>
  <c r="A3838"/>
  <c r="A3873" s="1"/>
  <c r="A3907" s="1"/>
  <c r="A3942" s="1"/>
  <c r="B3832"/>
  <c r="A3832"/>
  <c r="E3831"/>
  <c r="B3831"/>
  <c r="B3827"/>
  <c r="A3827"/>
  <c r="J3822"/>
  <c r="K3822" s="1"/>
  <c r="B3815"/>
  <c r="A3815"/>
  <c r="E3814"/>
  <c r="B3814"/>
  <c r="E3810"/>
  <c r="B3810"/>
  <c r="A3810"/>
  <c r="K3805"/>
  <c r="J3805"/>
  <c r="B3798"/>
  <c r="A3798"/>
  <c r="E3797"/>
  <c r="B3797"/>
  <c r="J3784"/>
  <c r="K3784" s="1"/>
  <c r="B3780"/>
  <c r="A3780"/>
  <c r="E3779"/>
  <c r="B3779"/>
  <c r="K3767"/>
  <c r="J3767"/>
  <c r="B3763"/>
  <c r="A3763"/>
  <c r="E3762"/>
  <c r="B3762"/>
  <c r="B3758"/>
  <c r="A3758"/>
  <c r="J3750"/>
  <c r="K3750" s="1"/>
  <c r="B3746"/>
  <c r="A3746"/>
  <c r="E3745"/>
  <c r="B3745"/>
  <c r="B3741"/>
  <c r="B3775" s="1"/>
  <c r="B3793" s="1"/>
  <c r="A3741"/>
  <c r="A3775" s="1"/>
  <c r="A3793" s="1"/>
  <c r="J3732"/>
  <c r="K3732" s="1"/>
  <c r="B3728"/>
  <c r="A3728"/>
  <c r="E3727"/>
  <c r="B3727"/>
  <c r="B3723"/>
  <c r="A3723"/>
  <c r="K3714"/>
  <c r="J3714"/>
  <c r="B3710"/>
  <c r="A3710"/>
  <c r="E3709"/>
  <c r="B3709"/>
  <c r="B3705"/>
  <c r="A3705"/>
  <c r="J3699"/>
  <c r="K3699" s="1"/>
  <c r="B3693"/>
  <c r="A3693"/>
  <c r="E3692"/>
  <c r="B3692"/>
  <c r="E3688"/>
  <c r="B3688"/>
  <c r="A3688"/>
  <c r="J3682"/>
  <c r="K3682" s="1"/>
  <c r="E3676"/>
  <c r="B3676"/>
  <c r="A3676"/>
  <c r="E3675"/>
  <c r="B3675"/>
  <c r="J3662"/>
  <c r="K3662" s="1"/>
  <c r="B3658"/>
  <c r="A3658"/>
  <c r="E3657"/>
  <c r="B3657"/>
  <c r="B3653"/>
  <c r="A3653"/>
  <c r="J3644"/>
  <c r="K3644" s="1"/>
  <c r="E3640"/>
  <c r="E3653" s="1"/>
  <c r="B3640"/>
  <c r="A3640"/>
  <c r="E3639"/>
  <c r="B3639"/>
  <c r="B3634"/>
  <c r="A3634"/>
  <c r="B3633"/>
  <c r="A3633"/>
  <c r="J3621"/>
  <c r="K3621" s="1"/>
  <c r="B3617"/>
  <c r="A3617"/>
  <c r="B3616"/>
  <c r="A3616"/>
  <c r="E3615"/>
  <c r="B3615"/>
  <c r="E3610"/>
  <c r="E3611" s="1"/>
  <c r="B3610"/>
  <c r="A3610"/>
  <c r="B3609"/>
  <c r="A3609"/>
  <c r="E3605"/>
  <c r="Q3603"/>
  <c r="J3597"/>
  <c r="K3597" s="1"/>
  <c r="E3593"/>
  <c r="B3593"/>
  <c r="A3593"/>
  <c r="B3592"/>
  <c r="A3592"/>
  <c r="E3591"/>
  <c r="B3591"/>
  <c r="B3586"/>
  <c r="A3586"/>
  <c r="B3585"/>
  <c r="A3585"/>
  <c r="J3573"/>
  <c r="K3573" s="1"/>
  <c r="B3569"/>
  <c r="A3569"/>
  <c r="E3568"/>
  <c r="B3568"/>
  <c r="A3568"/>
  <c r="E3567"/>
  <c r="B3567"/>
  <c r="B3563"/>
  <c r="B3605" s="1"/>
  <c r="B3611" s="1"/>
  <c r="A3563"/>
  <c r="A3605" s="1"/>
  <c r="A3611" s="1"/>
  <c r="B3562"/>
  <c r="A3562"/>
  <c r="B3561"/>
  <c r="A3561"/>
  <c r="G3553"/>
  <c r="J3549"/>
  <c r="K3549" s="1"/>
  <c r="B3542"/>
  <c r="A3542"/>
  <c r="B3541"/>
  <c r="A3541"/>
  <c r="E3540"/>
  <c r="B3540"/>
  <c r="Q3539"/>
  <c r="K3533"/>
  <c r="K3532"/>
  <c r="K3531"/>
  <c r="J3527"/>
  <c r="K3527" s="1"/>
  <c r="E3523"/>
  <c r="A3523"/>
  <c r="J3518"/>
  <c r="K3518" s="1"/>
  <c r="J3507"/>
  <c r="K3507" s="1"/>
  <c r="K3506"/>
  <c r="G3501"/>
  <c r="G3500"/>
  <c r="B3497"/>
  <c r="J3492"/>
  <c r="K3492" s="1"/>
  <c r="J3481"/>
  <c r="K3481" s="1"/>
  <c r="K3480"/>
  <c r="G3475"/>
  <c r="G3474"/>
  <c r="E3471"/>
  <c r="B3471"/>
  <c r="J3466"/>
  <c r="K3466" s="1"/>
  <c r="J3455"/>
  <c r="K3455" s="1"/>
  <c r="K3454"/>
  <c r="G3449"/>
  <c r="G3448"/>
  <c r="E3445"/>
  <c r="B3445"/>
  <c r="K3440"/>
  <c r="J3440"/>
  <c r="J3429"/>
  <c r="K3429" s="1"/>
  <c r="K3428"/>
  <c r="G3424"/>
  <c r="G3425" s="1"/>
  <c r="G3423"/>
  <c r="G3422"/>
  <c r="E3419"/>
  <c r="B3419"/>
  <c r="J3411"/>
  <c r="K3411" s="1"/>
  <c r="B3405"/>
  <c r="K3397"/>
  <c r="J3397"/>
  <c r="E3393"/>
  <c r="B3393"/>
  <c r="J3385"/>
  <c r="K3385" s="1"/>
  <c r="E3380"/>
  <c r="B3380"/>
  <c r="G3368"/>
  <c r="E3357"/>
  <c r="B3357"/>
  <c r="J3341"/>
  <c r="K3341" s="1"/>
  <c r="E3336"/>
  <c r="B3336"/>
  <c r="J3331"/>
  <c r="K3331" s="1"/>
  <c r="E3321"/>
  <c r="B3321"/>
  <c r="K3313"/>
  <c r="K3312"/>
  <c r="K3311"/>
  <c r="K3310"/>
  <c r="K3308"/>
  <c r="K3307"/>
  <c r="K3306"/>
  <c r="K3305"/>
  <c r="K3304"/>
  <c r="K3303"/>
  <c r="K3302"/>
  <c r="K3300"/>
  <c r="K3299"/>
  <c r="K3298"/>
  <c r="K3297"/>
  <c r="K3296"/>
  <c r="E3293"/>
  <c r="B3293"/>
  <c r="K3285"/>
  <c r="K3284"/>
  <c r="K3283"/>
  <c r="K3282"/>
  <c r="K3281"/>
  <c r="K3280"/>
  <c r="K3279"/>
  <c r="K3278"/>
  <c r="K3277"/>
  <c r="K3275"/>
  <c r="K3274"/>
  <c r="K3273"/>
  <c r="K3272"/>
  <c r="K3271"/>
  <c r="E3268"/>
  <c r="B3268"/>
  <c r="K3260"/>
  <c r="K3259"/>
  <c r="K3258"/>
  <c r="K3257"/>
  <c r="K3256"/>
  <c r="K3255"/>
  <c r="K3253"/>
  <c r="K3252"/>
  <c r="K3251"/>
  <c r="B3248"/>
  <c r="K3240"/>
  <c r="K3239"/>
  <c r="K3238"/>
  <c r="K3237"/>
  <c r="K3236"/>
  <c r="K3235"/>
  <c r="K3233"/>
  <c r="K3232"/>
  <c r="K3231"/>
  <c r="K3230"/>
  <c r="K3229"/>
  <c r="E3226"/>
  <c r="B3226"/>
  <c r="J3220"/>
  <c r="K3220" s="1"/>
  <c r="K3208"/>
  <c r="G3202"/>
  <c r="G3201"/>
  <c r="G3200"/>
  <c r="G3199"/>
  <c r="G3198"/>
  <c r="E3195"/>
  <c r="B3195"/>
  <c r="J3189"/>
  <c r="K3189" s="1"/>
  <c r="K3179"/>
  <c r="G3171"/>
  <c r="G3170"/>
  <c r="G3169"/>
  <c r="G3168"/>
  <c r="G3167"/>
  <c r="E3165"/>
  <c r="B3165"/>
  <c r="K3151"/>
  <c r="B3145"/>
  <c r="K3130"/>
  <c r="G3121"/>
  <c r="G3120"/>
  <c r="G3119"/>
  <c r="G3118"/>
  <c r="G3117"/>
  <c r="B3115"/>
  <c r="K3100"/>
  <c r="G3092"/>
  <c r="G3091"/>
  <c r="G3090"/>
  <c r="G3089"/>
  <c r="G3088"/>
  <c r="G3093" s="1"/>
  <c r="E3086"/>
  <c r="B3086"/>
  <c r="K3080"/>
  <c r="J3080"/>
  <c r="K3069"/>
  <c r="G3060"/>
  <c r="G3059"/>
  <c r="G3058"/>
  <c r="G3057"/>
  <c r="G3056"/>
  <c r="G3055"/>
  <c r="G3061" s="1"/>
  <c r="E3053"/>
  <c r="B3053"/>
  <c r="K3047"/>
  <c r="J3047"/>
  <c r="K3036"/>
  <c r="G3028"/>
  <c r="G3027"/>
  <c r="G3026"/>
  <c r="G3025"/>
  <c r="G3024"/>
  <c r="G3023"/>
  <c r="E3021"/>
  <c r="B3021"/>
  <c r="J3015"/>
  <c r="K3015" s="1"/>
  <c r="J3007"/>
  <c r="K3007" s="1"/>
  <c r="G3002"/>
  <c r="G3004" s="1"/>
  <c r="G3005" s="1"/>
  <c r="E2995"/>
  <c r="B2995"/>
  <c r="J2989"/>
  <c r="K2989" s="1"/>
  <c r="K2980"/>
  <c r="G2975"/>
  <c r="G2976" s="1"/>
  <c r="G2977" s="1"/>
  <c r="E2966"/>
  <c r="B2966"/>
  <c r="K2964"/>
  <c r="G2959"/>
  <c r="E2955"/>
  <c r="B2955"/>
  <c r="G2950"/>
  <c r="J2948"/>
  <c r="J2957" s="1"/>
  <c r="K2957" s="1"/>
  <c r="E2946"/>
  <c r="B2946"/>
  <c r="T2945"/>
  <c r="I2943" s="1"/>
  <c r="G2944" s="1"/>
  <c r="K2944" s="1"/>
  <c r="T2944"/>
  <c r="G2941"/>
  <c r="K2939"/>
  <c r="K2940" s="1"/>
  <c r="E2937"/>
  <c r="B2937"/>
  <c r="K2933"/>
  <c r="J2929"/>
  <c r="K2929" s="1"/>
  <c r="E2920"/>
  <c r="B2920"/>
  <c r="K2912"/>
  <c r="J2912"/>
  <c r="E2903"/>
  <c r="B2903"/>
  <c r="J2898"/>
  <c r="K2898" s="1"/>
  <c r="K2892"/>
  <c r="E2888"/>
  <c r="B2888"/>
  <c r="K2883"/>
  <c r="J2883"/>
  <c r="E2876"/>
  <c r="B2876"/>
  <c r="G2857"/>
  <c r="G2856"/>
  <c r="B2856"/>
  <c r="G2855"/>
  <c r="B2855"/>
  <c r="G2854"/>
  <c r="B2854"/>
  <c r="K2850"/>
  <c r="J2850"/>
  <c r="E2839"/>
  <c r="E2861" s="1"/>
  <c r="E2837"/>
  <c r="B2837"/>
  <c r="E2828"/>
  <c r="E2833" s="1"/>
  <c r="I2819"/>
  <c r="G2819"/>
  <c r="J2814"/>
  <c r="K2814" s="1"/>
  <c r="B2805"/>
  <c r="B2839" s="1"/>
  <c r="A2805"/>
  <c r="A2839" s="1"/>
  <c r="E2803"/>
  <c r="B2803"/>
  <c r="B2791"/>
  <c r="A2791"/>
  <c r="A2790"/>
  <c r="E2781"/>
  <c r="E2786" s="1"/>
  <c r="A2780"/>
  <c r="E2771"/>
  <c r="E2776" s="1"/>
  <c r="A2771"/>
  <c r="A2781" s="1"/>
  <c r="A2770"/>
  <c r="B2761"/>
  <c r="A2761"/>
  <c r="A2760"/>
  <c r="B2751"/>
  <c r="A2751"/>
  <c r="A2750"/>
  <c r="G2738"/>
  <c r="G2737"/>
  <c r="J2733"/>
  <c r="K2733" s="1"/>
  <c r="B2724"/>
  <c r="A2724"/>
  <c r="A2723"/>
  <c r="E2722"/>
  <c r="B2722"/>
  <c r="E2710"/>
  <c r="E2718" s="1"/>
  <c r="B2710"/>
  <c r="A2710"/>
  <c r="A2709"/>
  <c r="E2700"/>
  <c r="E2705" s="1"/>
  <c r="A2700"/>
  <c r="A2699"/>
  <c r="A2695"/>
  <c r="A2705" s="1"/>
  <c r="A2718" s="1"/>
  <c r="B2690"/>
  <c r="A2690"/>
  <c r="A2689"/>
  <c r="A2685"/>
  <c r="B2680"/>
  <c r="A2680"/>
  <c r="A2679"/>
  <c r="B2675"/>
  <c r="E2670"/>
  <c r="E2675" s="1"/>
  <c r="A2670"/>
  <c r="A2669"/>
  <c r="E2665"/>
  <c r="A2665"/>
  <c r="G2657"/>
  <c r="G2656"/>
  <c r="G2655"/>
  <c r="K2651"/>
  <c r="J2651"/>
  <c r="A2642"/>
  <c r="A2641"/>
  <c r="E2640"/>
  <c r="B2640"/>
  <c r="B2628"/>
  <c r="A2628"/>
  <c r="A2627"/>
  <c r="E2618"/>
  <c r="E2623" s="1"/>
  <c r="B2617"/>
  <c r="B2770" s="1"/>
  <c r="A2617"/>
  <c r="B2608"/>
  <c r="B2618" s="1"/>
  <c r="A2608"/>
  <c r="A2618" s="1"/>
  <c r="A2607"/>
  <c r="B2598"/>
  <c r="A2598"/>
  <c r="A2597"/>
  <c r="B2593"/>
  <c r="A2593"/>
  <c r="A2675" s="1"/>
  <c r="B2588"/>
  <c r="B2670" s="1"/>
  <c r="A2588"/>
  <c r="A2587"/>
  <c r="B2583"/>
  <c r="B2603" s="1"/>
  <c r="B2613" s="1"/>
  <c r="B2623" s="1"/>
  <c r="B2636" s="1"/>
  <c r="B2746" s="1"/>
  <c r="A2583"/>
  <c r="A2603" s="1"/>
  <c r="A2613" s="1"/>
  <c r="A2623" s="1"/>
  <c r="A2636" s="1"/>
  <c r="A2746" s="1"/>
  <c r="G2575"/>
  <c r="G2574"/>
  <c r="J2570"/>
  <c r="K2570" s="1"/>
  <c r="B2561"/>
  <c r="B2642" s="1"/>
  <c r="A2561"/>
  <c r="A2560"/>
  <c r="E2559"/>
  <c r="B2559"/>
  <c r="B2555"/>
  <c r="A2555"/>
  <c r="G2552"/>
  <c r="G2550"/>
  <c r="G2549"/>
  <c r="G2551" s="1"/>
  <c r="K2545"/>
  <c r="J2545"/>
  <c r="G2540"/>
  <c r="B2535"/>
  <c r="A2535"/>
  <c r="E2534"/>
  <c r="B2534"/>
  <c r="G2527"/>
  <c r="G2525"/>
  <c r="B2525"/>
  <c r="J2521"/>
  <c r="K2521" s="1"/>
  <c r="G2516"/>
  <c r="B2512"/>
  <c r="A2512"/>
  <c r="E2511"/>
  <c r="B2511"/>
  <c r="B2502"/>
  <c r="J2498"/>
  <c r="K2498" s="1"/>
  <c r="B2489"/>
  <c r="A2489"/>
  <c r="E2488"/>
  <c r="B2488"/>
  <c r="G2485"/>
  <c r="B2485"/>
  <c r="K2481"/>
  <c r="J2481"/>
  <c r="B2474"/>
  <c r="G2471"/>
  <c r="B2471"/>
  <c r="J2467"/>
  <c r="K2467" s="1"/>
  <c r="E2460"/>
  <c r="B2460"/>
  <c r="G2457"/>
  <c r="J2453"/>
  <c r="K2453" s="1"/>
  <c r="B2446"/>
  <c r="B2442"/>
  <c r="J2437"/>
  <c r="K2437" s="1"/>
  <c r="K2438" s="1"/>
  <c r="B2433"/>
  <c r="B2429"/>
  <c r="A2429"/>
  <c r="A2442" s="1"/>
  <c r="G2426"/>
  <c r="G2425"/>
  <c r="J2421"/>
  <c r="K2421" s="1"/>
  <c r="B2413"/>
  <c r="B2435" s="1"/>
  <c r="A2413"/>
  <c r="A2435" s="1"/>
  <c r="E2412"/>
  <c r="B2412"/>
  <c r="B2408"/>
  <c r="B2507" s="1"/>
  <c r="B2530" s="1"/>
  <c r="A2408"/>
  <c r="A2507" s="1"/>
  <c r="A2530" s="1"/>
  <c r="G2405"/>
  <c r="G2404"/>
  <c r="J2400"/>
  <c r="K2400" s="1"/>
  <c r="B2392"/>
  <c r="A2392"/>
  <c r="E2391"/>
  <c r="B2391"/>
  <c r="B2387"/>
  <c r="A2387"/>
  <c r="G2384"/>
  <c r="G2383"/>
  <c r="K2379"/>
  <c r="J2379"/>
  <c r="B2371"/>
  <c r="A2371"/>
  <c r="E2370"/>
  <c r="B2370"/>
  <c r="E2366"/>
  <c r="B2366"/>
  <c r="A2366"/>
  <c r="G2363"/>
  <c r="G2362"/>
  <c r="J2358"/>
  <c r="K2358" s="1"/>
  <c r="B2350"/>
  <c r="A2350"/>
  <c r="E2349"/>
  <c r="B2349"/>
  <c r="B2345"/>
  <c r="A2345"/>
  <c r="G2342"/>
  <c r="G2341"/>
  <c r="J2337"/>
  <c r="K2337" s="1"/>
  <c r="B2329"/>
  <c r="A2329"/>
  <c r="E2328"/>
  <c r="B2328"/>
  <c r="J2315"/>
  <c r="K2315" s="1"/>
  <c r="B2310"/>
  <c r="A2310"/>
  <c r="E2309"/>
  <c r="B2309"/>
  <c r="G2302"/>
  <c r="G2301"/>
  <c r="K2297"/>
  <c r="J2297"/>
  <c r="B2289"/>
  <c r="A2289"/>
  <c r="E2288"/>
  <c r="B2288"/>
  <c r="B2284"/>
  <c r="A2284"/>
  <c r="B2283"/>
  <c r="A2283"/>
  <c r="E2282"/>
  <c r="B2282"/>
  <c r="A2282"/>
  <c r="A2278"/>
  <c r="B2274"/>
  <c r="B2305" s="1"/>
  <c r="B2323" s="1"/>
  <c r="A2274"/>
  <c r="A2305" s="1"/>
  <c r="A2323" s="1"/>
  <c r="G2271"/>
  <c r="G2270"/>
  <c r="J2266"/>
  <c r="K2266" s="1"/>
  <c r="B2258"/>
  <c r="A2258"/>
  <c r="B2257"/>
  <c r="A2257"/>
  <c r="E2256"/>
  <c r="B2256"/>
  <c r="D2249"/>
  <c r="B2246"/>
  <c r="A2246"/>
  <c r="G2239"/>
  <c r="D2239"/>
  <c r="J2239" s="1"/>
  <c r="B2229"/>
  <c r="A2229"/>
  <c r="E2228"/>
  <c r="B2228"/>
  <c r="A2228"/>
  <c r="D2223"/>
  <c r="B2220"/>
  <c r="A2220"/>
  <c r="G2213"/>
  <c r="D2213"/>
  <c r="J2213" s="1"/>
  <c r="J2214" s="1"/>
  <c r="J2215" s="1"/>
  <c r="D2217" s="1"/>
  <c r="B2203"/>
  <c r="A2203"/>
  <c r="E2202"/>
  <c r="B2202"/>
  <c r="A2202"/>
  <c r="D2197"/>
  <c r="B2194"/>
  <c r="A2194"/>
  <c r="G2187"/>
  <c r="D2187"/>
  <c r="B2168"/>
  <c r="A2168"/>
  <c r="B2167"/>
  <c r="A2167"/>
  <c r="B2166"/>
  <c r="D2161"/>
  <c r="B2158"/>
  <c r="A2158"/>
  <c r="G2151"/>
  <c r="D2151"/>
  <c r="B2142"/>
  <c r="A2142"/>
  <c r="E2141"/>
  <c r="B2141"/>
  <c r="A2141"/>
  <c r="D2136"/>
  <c r="B2133"/>
  <c r="A2133"/>
  <c r="G2126"/>
  <c r="D2126"/>
  <c r="B2117"/>
  <c r="A2117"/>
  <c r="E2116"/>
  <c r="B2116"/>
  <c r="A2116"/>
  <c r="D2111"/>
  <c r="B2108"/>
  <c r="A2108"/>
  <c r="G2101"/>
  <c r="J2101" s="1"/>
  <c r="D2101"/>
  <c r="B2084"/>
  <c r="A2084"/>
  <c r="B2083"/>
  <c r="A2083"/>
  <c r="E2082"/>
  <c r="B2082"/>
  <c r="B2075"/>
  <c r="J2069"/>
  <c r="K2069" s="1"/>
  <c r="B2061"/>
  <c r="A2061"/>
  <c r="E2059"/>
  <c r="B2059"/>
  <c r="B2049"/>
  <c r="A2049"/>
  <c r="E2048"/>
  <c r="B2048"/>
  <c r="A2048"/>
  <c r="B2039"/>
  <c r="A2039"/>
  <c r="E2038"/>
  <c r="B2038"/>
  <c r="A2038"/>
  <c r="B2029"/>
  <c r="A2029"/>
  <c r="E2028"/>
  <c r="B2028"/>
  <c r="A2028"/>
  <c r="B2019"/>
  <c r="A2019"/>
  <c r="E2018"/>
  <c r="B2018"/>
  <c r="A2018"/>
  <c r="B2009"/>
  <c r="A2009"/>
  <c r="E2008"/>
  <c r="B2008"/>
  <c r="A2008"/>
  <c r="B1999"/>
  <c r="A1999"/>
  <c r="E1998"/>
  <c r="B1998"/>
  <c r="A1998"/>
  <c r="B1993"/>
  <c r="B2003" s="1"/>
  <c r="B2013" s="1"/>
  <c r="B2023" s="1"/>
  <c r="B2033" s="1"/>
  <c r="B2043" s="1"/>
  <c r="B2053" s="1"/>
  <c r="B2078" s="1"/>
  <c r="A1993"/>
  <c r="A2003" s="1"/>
  <c r="A2013" s="1"/>
  <c r="A2023" s="1"/>
  <c r="A2033" s="1"/>
  <c r="A2043" s="1"/>
  <c r="A2053" s="1"/>
  <c r="A2078" s="1"/>
  <c r="B1989"/>
  <c r="A1989"/>
  <c r="E1988"/>
  <c r="B1988"/>
  <c r="A1988"/>
  <c r="E1984"/>
  <c r="B1984"/>
  <c r="A1984"/>
  <c r="E1980"/>
  <c r="B1980"/>
  <c r="A1980"/>
  <c r="L1970"/>
  <c r="L1972" s="1"/>
  <c r="L1949"/>
  <c r="L1951" s="1"/>
  <c r="L1931"/>
  <c r="L1930"/>
  <c r="L1932" s="1"/>
  <c r="L1910"/>
  <c r="L1912" s="1"/>
  <c r="L1889"/>
  <c r="L1891" s="1"/>
  <c r="L1868"/>
  <c r="L1870" s="1"/>
  <c r="A1867"/>
  <c r="A1853"/>
  <c r="A1851"/>
  <c r="L1847"/>
  <c r="L1849" s="1"/>
  <c r="A1846"/>
  <c r="A1831"/>
  <c r="A1828"/>
  <c r="A1821"/>
  <c r="G1816"/>
  <c r="G1815"/>
  <c r="G1813"/>
  <c r="J1808"/>
  <c r="K1808" s="1"/>
  <c r="A1799"/>
  <c r="E1797"/>
  <c r="B1797"/>
  <c r="A1792"/>
  <c r="G1787"/>
  <c r="G1786"/>
  <c r="G1785"/>
  <c r="G1784"/>
  <c r="J1775"/>
  <c r="K1775" s="1"/>
  <c r="A1764"/>
  <c r="E1763"/>
  <c r="B1763"/>
  <c r="A1758"/>
  <c r="G1753"/>
  <c r="G1752"/>
  <c r="G1751"/>
  <c r="G1750"/>
  <c r="J1741"/>
  <c r="K1741" s="1"/>
  <c r="A1730"/>
  <c r="E1729"/>
  <c r="B1729"/>
  <c r="A1724"/>
  <c r="G1719"/>
  <c r="G1718"/>
  <c r="G1717"/>
  <c r="G1716"/>
  <c r="J1707"/>
  <c r="K1707" s="1"/>
  <c r="A1696"/>
  <c r="E1695"/>
  <c r="B1695"/>
  <c r="E1693"/>
  <c r="B1693"/>
  <c r="G1690"/>
  <c r="G1689"/>
  <c r="G1688"/>
  <c r="B1688"/>
  <c r="J1684"/>
  <c r="K1684" s="1"/>
  <c r="E1675"/>
  <c r="B1675"/>
  <c r="G1672"/>
  <c r="B1672"/>
  <c r="G1671"/>
  <c r="B1671"/>
  <c r="G1670"/>
  <c r="B1670"/>
  <c r="J1664"/>
  <c r="K1664" s="1"/>
  <c r="E1655"/>
  <c r="B1655"/>
  <c r="B1652"/>
  <c r="B1651"/>
  <c r="B1650"/>
  <c r="J1644"/>
  <c r="K1644" s="1"/>
  <c r="E1635"/>
  <c r="B1635"/>
  <c r="E1631"/>
  <c r="A1631"/>
  <c r="A1627"/>
  <c r="A1623"/>
  <c r="E1619"/>
  <c r="A1619"/>
  <c r="B1614"/>
  <c r="A1614"/>
  <c r="G1610"/>
  <c r="G1609"/>
  <c r="G1608"/>
  <c r="B1608"/>
  <c r="J1604"/>
  <c r="K1604" s="1"/>
  <c r="B1592"/>
  <c r="A1592"/>
  <c r="E1591"/>
  <c r="B1591"/>
  <c r="E1583"/>
  <c r="G1580"/>
  <c r="G1579"/>
  <c r="G1578"/>
  <c r="B1578"/>
  <c r="J1574"/>
  <c r="K1574" s="1"/>
  <c r="E1565"/>
  <c r="B1563"/>
  <c r="G1552"/>
  <c r="G1551"/>
  <c r="G1550"/>
  <c r="B1550"/>
  <c r="J1546"/>
  <c r="K1546" s="1"/>
  <c r="A1537"/>
  <c r="B1535"/>
  <c r="G1524"/>
  <c r="G1523"/>
  <c r="G1522"/>
  <c r="B1522"/>
  <c r="J1518"/>
  <c r="K1518" s="1"/>
  <c r="B1509"/>
  <c r="A1509"/>
  <c r="E1507"/>
  <c r="E1535" s="1"/>
  <c r="E1537" s="1"/>
  <c r="E1555" s="1"/>
  <c r="E1559" s="1"/>
  <c r="B1507"/>
  <c r="B1503"/>
  <c r="B1587" s="1"/>
  <c r="B1619" s="1"/>
  <c r="A1503"/>
  <c r="A1531" s="1"/>
  <c r="A1559" s="1"/>
  <c r="B1499"/>
  <c r="B1583" s="1"/>
  <c r="A1499"/>
  <c r="A1527" s="1"/>
  <c r="A1555" s="1"/>
  <c r="G1496"/>
  <c r="G1495"/>
  <c r="G1494"/>
  <c r="B1494"/>
  <c r="J1490"/>
  <c r="K1490" s="1"/>
  <c r="B1481"/>
  <c r="B1537" s="1"/>
  <c r="A1481"/>
  <c r="A1565" s="1"/>
  <c r="E1479"/>
  <c r="B1479"/>
  <c r="B1475"/>
  <c r="A1475"/>
  <c r="B1471"/>
  <c r="A1471"/>
  <c r="G1468"/>
  <c r="G1467"/>
  <c r="G1466"/>
  <c r="B1466"/>
  <c r="J1462"/>
  <c r="K1462" s="1"/>
  <c r="B1453"/>
  <c r="A1453"/>
  <c r="E1451"/>
  <c r="B1451"/>
  <c r="B1447"/>
  <c r="A1447"/>
  <c r="A1443"/>
  <c r="B1437"/>
  <c r="A1437"/>
  <c r="G1434"/>
  <c r="G1433"/>
  <c r="G1432"/>
  <c r="G1445" s="1"/>
  <c r="B1432"/>
  <c r="J1428"/>
  <c r="K1428" s="1"/>
  <c r="A1419"/>
  <c r="E1417"/>
  <c r="B1417"/>
  <c r="J1404"/>
  <c r="K1404" s="1"/>
  <c r="E1394"/>
  <c r="B1394"/>
  <c r="J1381"/>
  <c r="K1381" s="1"/>
  <c r="E1371"/>
  <c r="B1371"/>
  <c r="J1363"/>
  <c r="K1363" s="1"/>
  <c r="E1360"/>
  <c r="B1360"/>
  <c r="J1354"/>
  <c r="K1354" s="1"/>
  <c r="J1353"/>
  <c r="K1353" s="1"/>
  <c r="K1355" s="1"/>
  <c r="E1350"/>
  <c r="B1350"/>
  <c r="K1345"/>
  <c r="K1347" s="1"/>
  <c r="K1348" s="1"/>
  <c r="K1349" s="1"/>
  <c r="I323" s="1"/>
  <c r="K323" s="1"/>
  <c r="L323" s="1"/>
  <c r="J1345"/>
  <c r="E1342"/>
  <c r="B1342"/>
  <c r="K1334"/>
  <c r="K1336" s="1"/>
  <c r="J1334"/>
  <c r="E1331"/>
  <c r="J1324"/>
  <c r="K1324" s="1"/>
  <c r="E1321"/>
  <c r="B1321"/>
  <c r="J1313"/>
  <c r="G1313"/>
  <c r="K1303"/>
  <c r="K1305" s="1"/>
  <c r="J1303"/>
  <c r="B1300"/>
  <c r="J1292"/>
  <c r="K1292" s="1"/>
  <c r="J1282"/>
  <c r="K1282" s="1"/>
  <c r="K1284" s="1"/>
  <c r="K1285" s="1"/>
  <c r="B1279"/>
  <c r="J1271"/>
  <c r="K1271" s="1"/>
  <c r="K1273" s="1"/>
  <c r="E1268"/>
  <c r="J1261"/>
  <c r="K1261" s="1"/>
  <c r="E1258"/>
  <c r="B1258"/>
  <c r="B1252"/>
  <c r="A1252"/>
  <c r="J1244"/>
  <c r="K1244" s="1"/>
  <c r="B1239"/>
  <c r="A1239"/>
  <c r="E1238"/>
  <c r="E1239" s="1"/>
  <c r="E1252" s="1"/>
  <c r="B1238"/>
  <c r="B1234"/>
  <c r="A1234"/>
  <c r="J1229"/>
  <c r="K1229" s="1"/>
  <c r="B1225"/>
  <c r="A1225"/>
  <c r="E1224"/>
  <c r="E1225" s="1"/>
  <c r="E1234" s="1"/>
  <c r="B1224"/>
  <c r="B1220"/>
  <c r="A1220"/>
  <c r="J1212"/>
  <c r="K1212" s="1"/>
  <c r="E1208"/>
  <c r="E1220" s="1"/>
  <c r="B1208"/>
  <c r="A1208"/>
  <c r="E1207"/>
  <c r="B1207"/>
  <c r="B1203"/>
  <c r="A1203"/>
  <c r="J1197"/>
  <c r="K1197" s="1"/>
  <c r="K1198" s="1"/>
  <c r="B1194"/>
  <c r="A1194"/>
  <c r="E1193"/>
  <c r="E1194" s="1"/>
  <c r="E1203" s="1"/>
  <c r="B1193"/>
  <c r="B1189"/>
  <c r="A1189"/>
  <c r="J1182"/>
  <c r="K1182" s="1"/>
  <c r="B1179"/>
  <c r="A1179"/>
  <c r="E1178"/>
  <c r="E1179" s="1"/>
  <c r="E1189" s="1"/>
  <c r="B1178"/>
  <c r="B1174"/>
  <c r="A1174"/>
  <c r="J1168"/>
  <c r="K1168" s="1"/>
  <c r="K1169" s="1"/>
  <c r="B1165"/>
  <c r="A1165"/>
  <c r="B1164"/>
  <c r="B1160"/>
  <c r="A1160"/>
  <c r="J1154"/>
  <c r="K1154" s="1"/>
  <c r="K1155" s="1"/>
  <c r="B1151"/>
  <c r="A1151"/>
  <c r="E1150"/>
  <c r="E1151" s="1"/>
  <c r="E1160" s="1"/>
  <c r="B1150"/>
  <c r="B1146"/>
  <c r="A1146"/>
  <c r="J1140"/>
  <c r="K1140" s="1"/>
  <c r="K1141" s="1"/>
  <c r="B1137"/>
  <c r="A1137"/>
  <c r="E1136"/>
  <c r="E1137" s="1"/>
  <c r="E1146" s="1"/>
  <c r="B1136"/>
  <c r="B1132"/>
  <c r="A1132"/>
  <c r="J1126"/>
  <c r="K1126" s="1"/>
  <c r="K1127" s="1"/>
  <c r="B1123"/>
  <c r="A1123"/>
  <c r="E1122"/>
  <c r="E1123" s="1"/>
  <c r="E1132" s="1"/>
  <c r="B1122"/>
  <c r="A1118"/>
  <c r="J1112"/>
  <c r="K1112" s="1"/>
  <c r="K1113" s="1"/>
  <c r="K1115" s="1"/>
  <c r="E1109"/>
  <c r="E1118" s="1"/>
  <c r="B1109"/>
  <c r="A1109"/>
  <c r="E1108"/>
  <c r="B1108"/>
  <c r="B1104"/>
  <c r="B1118" s="1"/>
  <c r="A1104"/>
  <c r="K1098"/>
  <c r="K1099" s="1"/>
  <c r="J1098"/>
  <c r="B1095"/>
  <c r="A1095"/>
  <c r="E1094"/>
  <c r="E1095" s="1"/>
  <c r="E1104" s="1"/>
  <c r="B1094"/>
  <c r="B1090"/>
  <c r="A1090"/>
  <c r="J1084"/>
  <c r="K1084" s="1"/>
  <c r="K1085" s="1"/>
  <c r="K1087" s="1"/>
  <c r="B1081"/>
  <c r="A1081"/>
  <c r="E1080"/>
  <c r="E1081" s="1"/>
  <c r="E1090" s="1"/>
  <c r="B1080"/>
  <c r="B1076"/>
  <c r="A1076"/>
  <c r="J1071"/>
  <c r="K1071" s="1"/>
  <c r="K1072" s="1"/>
  <c r="B1068"/>
  <c r="A1068"/>
  <c r="E1067"/>
  <c r="E1068" s="1"/>
  <c r="E1076" s="1"/>
  <c r="B1067"/>
  <c r="E1063"/>
  <c r="B1063"/>
  <c r="A1063"/>
  <c r="K1057"/>
  <c r="K1058" s="1"/>
  <c r="J1057"/>
  <c r="E1054"/>
  <c r="B1054"/>
  <c r="A1054"/>
  <c r="E1053"/>
  <c r="B1053"/>
  <c r="B1049"/>
  <c r="A1049"/>
  <c r="J1043"/>
  <c r="K1043" s="1"/>
  <c r="K1044" s="1"/>
  <c r="B1040"/>
  <c r="A1040"/>
  <c r="E1039"/>
  <c r="E1040" s="1"/>
  <c r="E1049" s="1"/>
  <c r="B1039"/>
  <c r="B1035"/>
  <c r="A1035"/>
  <c r="K1029"/>
  <c r="J1029"/>
  <c r="B1025"/>
  <c r="A1025"/>
  <c r="E1024"/>
  <c r="E1025" s="1"/>
  <c r="E1035" s="1"/>
  <c r="B1024"/>
  <c r="E1020"/>
  <c r="B1020"/>
  <c r="A1020"/>
  <c r="T1014"/>
  <c r="Q1014"/>
  <c r="J1014"/>
  <c r="K1014" s="1"/>
  <c r="T1013"/>
  <c r="Q1013"/>
  <c r="B1010"/>
  <c r="A1010"/>
  <c r="E1009"/>
  <c r="E1010" s="1"/>
  <c r="B1009"/>
  <c r="B1005"/>
  <c r="A1005"/>
  <c r="T999"/>
  <c r="Q999"/>
  <c r="U999" s="1"/>
  <c r="X999" s="1"/>
  <c r="K999"/>
  <c r="J999"/>
  <c r="T998"/>
  <c r="Q998"/>
  <c r="U998" s="1"/>
  <c r="B995"/>
  <c r="A995"/>
  <c r="E994"/>
  <c r="B994"/>
  <c r="B990"/>
  <c r="A990"/>
  <c r="J984"/>
  <c r="K984" s="1"/>
  <c r="K985" s="1"/>
  <c r="K992" s="1"/>
  <c r="B981"/>
  <c r="A981"/>
  <c r="E980"/>
  <c r="B980"/>
  <c r="E976"/>
  <c r="B976"/>
  <c r="A976"/>
  <c r="K970"/>
  <c r="K971" s="1"/>
  <c r="K973" s="1"/>
  <c r="J970"/>
  <c r="E967"/>
  <c r="B967"/>
  <c r="A967"/>
  <c r="E966"/>
  <c r="B966"/>
  <c r="B962"/>
  <c r="A962"/>
  <c r="J956"/>
  <c r="K956" s="1"/>
  <c r="K957" s="1"/>
  <c r="B953"/>
  <c r="A953"/>
  <c r="E952"/>
  <c r="B952"/>
  <c r="B948"/>
  <c r="A948"/>
  <c r="K943"/>
  <c r="J943"/>
  <c r="B939"/>
  <c r="A939"/>
  <c r="E938"/>
  <c r="E939" s="1"/>
  <c r="B938"/>
  <c r="A938"/>
  <c r="D933"/>
  <c r="A933"/>
  <c r="D932"/>
  <c r="A932"/>
  <c r="D931"/>
  <c r="A931"/>
  <c r="B928"/>
  <c r="L927"/>
  <c r="H927"/>
  <c r="B927"/>
  <c r="K912"/>
  <c r="L912" s="1"/>
  <c r="K911"/>
  <c r="L911" s="1"/>
  <c r="K910"/>
  <c r="L910" s="1"/>
  <c r="J4998" s="1"/>
  <c r="K4998" s="1"/>
  <c r="K909"/>
  <c r="L909" s="1"/>
  <c r="J4988" s="1"/>
  <c r="K908"/>
  <c r="L908" s="1"/>
  <c r="J4983" s="1"/>
  <c r="K4983" s="1"/>
  <c r="K907"/>
  <c r="L907" s="1"/>
  <c r="J4978" s="1"/>
  <c r="K4978" s="1"/>
  <c r="K906"/>
  <c r="L906" s="1"/>
  <c r="J4973" s="1"/>
  <c r="K4973" s="1"/>
  <c r="K905"/>
  <c r="L905" s="1"/>
  <c r="K904"/>
  <c r="L904" s="1"/>
  <c r="K903"/>
  <c r="L903" s="1"/>
  <c r="K902"/>
  <c r="L902" s="1"/>
  <c r="K901"/>
  <c r="L901" s="1"/>
  <c r="K900"/>
  <c r="L900" s="1"/>
  <c r="K899"/>
  <c r="L899" s="1"/>
  <c r="K898"/>
  <c r="L898" s="1"/>
  <c r="K897"/>
  <c r="L897" s="1"/>
  <c r="K896"/>
  <c r="L896" s="1"/>
  <c r="K895"/>
  <c r="L895" s="1"/>
  <c r="K894"/>
  <c r="L894" s="1"/>
  <c r="K893"/>
  <c r="L893" s="1"/>
  <c r="K892"/>
  <c r="L892" s="1"/>
  <c r="K891"/>
  <c r="L891" s="1"/>
  <c r="K890"/>
  <c r="L890" s="1"/>
  <c r="B890"/>
  <c r="K889"/>
  <c r="L889" s="1"/>
  <c r="L888"/>
  <c r="K888"/>
  <c r="K887"/>
  <c r="L887" s="1"/>
  <c r="K886"/>
  <c r="L886" s="1"/>
  <c r="K885"/>
  <c r="L885" s="1"/>
  <c r="L884"/>
  <c r="K884"/>
  <c r="K883"/>
  <c r="L883" s="1"/>
  <c r="K882"/>
  <c r="L882" s="1"/>
  <c r="K881"/>
  <c r="L881" s="1"/>
  <c r="L880"/>
  <c r="K880"/>
  <c r="K879"/>
  <c r="L879" s="1"/>
  <c r="K878"/>
  <c r="L878" s="1"/>
  <c r="B853"/>
  <c r="B855" s="1"/>
  <c r="B857" s="1"/>
  <c r="B859" s="1"/>
  <c r="B861" s="1"/>
  <c r="B863" s="1"/>
  <c r="B865" s="1"/>
  <c r="B744"/>
  <c r="B743"/>
  <c r="B742"/>
  <c r="B741"/>
  <c r="B740"/>
  <c r="I736"/>
  <c r="K736" s="1"/>
  <c r="L736" s="1"/>
  <c r="B736"/>
  <c r="B735"/>
  <c r="B734"/>
  <c r="I722"/>
  <c r="K722" s="1"/>
  <c r="L722" s="1"/>
  <c r="K698"/>
  <c r="L698" s="1"/>
  <c r="G686"/>
  <c r="E3930" s="1"/>
  <c r="E3942" s="1"/>
  <c r="G683"/>
  <c r="G684" s="1"/>
  <c r="G680"/>
  <c r="G681" s="1"/>
  <c r="G677"/>
  <c r="G678" s="1"/>
  <c r="G674"/>
  <c r="E3861" s="1"/>
  <c r="E3873" s="1"/>
  <c r="G671"/>
  <c r="G672" s="1"/>
  <c r="G668"/>
  <c r="G665"/>
  <c r="E3815" s="1"/>
  <c r="G662"/>
  <c r="G663" s="1"/>
  <c r="G659"/>
  <c r="E3780" s="1"/>
  <c r="E3793" s="1"/>
  <c r="G656"/>
  <c r="E3763" s="1"/>
  <c r="E3775" s="1"/>
  <c r="G653"/>
  <c r="G654" s="1"/>
  <c r="G650"/>
  <c r="E3728" s="1"/>
  <c r="G647"/>
  <c r="G648" s="1"/>
  <c r="G644"/>
  <c r="E3693" s="1"/>
  <c r="G641"/>
  <c r="G642" s="1"/>
  <c r="G638"/>
  <c r="E3658" s="1"/>
  <c r="E3671" s="1"/>
  <c r="G635"/>
  <c r="G636" s="1"/>
  <c r="G632"/>
  <c r="G629"/>
  <c r="G625"/>
  <c r="G626" s="1"/>
  <c r="G622"/>
  <c r="E3115" s="1"/>
  <c r="G618"/>
  <c r="G615"/>
  <c r="G611"/>
  <c r="E3562" s="1"/>
  <c r="E3563" s="1"/>
  <c r="G608"/>
  <c r="E3542" s="1"/>
  <c r="E3557" s="1"/>
  <c r="Q605"/>
  <c r="K604"/>
  <c r="L604" s="1"/>
  <c r="K603"/>
  <c r="L603" s="1"/>
  <c r="L602"/>
  <c r="K602"/>
  <c r="K601"/>
  <c r="L601" s="1"/>
  <c r="K600"/>
  <c r="L600" s="1"/>
  <c r="K599"/>
  <c r="L599" s="1"/>
  <c r="K598"/>
  <c r="L598" s="1"/>
  <c r="K597"/>
  <c r="L597" s="1"/>
  <c r="K596"/>
  <c r="L596" s="1"/>
  <c r="Q557"/>
  <c r="G553"/>
  <c r="G555" s="1"/>
  <c r="G548"/>
  <c r="E2805" s="1"/>
  <c r="E2823" s="1"/>
  <c r="G545"/>
  <c r="G546" s="1"/>
  <c r="G542"/>
  <c r="G543" s="1"/>
  <c r="G539"/>
  <c r="B538"/>
  <c r="B2790" s="1"/>
  <c r="G536"/>
  <c r="E2761" s="1"/>
  <c r="E2766" s="1"/>
  <c r="G533"/>
  <c r="G534" s="1"/>
  <c r="G530"/>
  <c r="E2724" s="1"/>
  <c r="E2746" s="1"/>
  <c r="G526"/>
  <c r="G527" s="1"/>
  <c r="G523"/>
  <c r="B522"/>
  <c r="B2699" s="1"/>
  <c r="G520"/>
  <c r="G521" s="1"/>
  <c r="E2433" s="1"/>
  <c r="G517"/>
  <c r="G518" s="1"/>
  <c r="G514"/>
  <c r="G515" s="1"/>
  <c r="G511"/>
  <c r="G512" s="1"/>
  <c r="G507"/>
  <c r="E2628" s="1"/>
  <c r="E2636" s="1"/>
  <c r="B506"/>
  <c r="B2627" s="1"/>
  <c r="G504"/>
  <c r="E2446" s="1"/>
  <c r="G501"/>
  <c r="B500"/>
  <c r="B2607" s="1"/>
  <c r="G498"/>
  <c r="G495"/>
  <c r="G496" s="1"/>
  <c r="G492"/>
  <c r="E2561" s="1"/>
  <c r="G488"/>
  <c r="E2535" s="1"/>
  <c r="G485"/>
  <c r="E2512" s="1"/>
  <c r="E2530" s="1"/>
  <c r="G482"/>
  <c r="E2489" s="1"/>
  <c r="E2507" s="1"/>
  <c r="G473"/>
  <c r="G474" s="1"/>
  <c r="G475" s="1"/>
  <c r="G476" s="1"/>
  <c r="G477" s="1"/>
  <c r="G470"/>
  <c r="E2392" s="1"/>
  <c r="G467"/>
  <c r="E2371" s="1"/>
  <c r="G464"/>
  <c r="E1623" s="1"/>
  <c r="G461"/>
  <c r="E2329" s="1"/>
  <c r="G458"/>
  <c r="E2310" s="1"/>
  <c r="E2323" s="1"/>
  <c r="G455"/>
  <c r="E2289" s="1"/>
  <c r="E2305" s="1"/>
  <c r="G452"/>
  <c r="E2283" s="1"/>
  <c r="G449"/>
  <c r="Q446"/>
  <c r="G444"/>
  <c r="E2229" s="1"/>
  <c r="G441"/>
  <c r="G438"/>
  <c r="G434"/>
  <c r="G431"/>
  <c r="E2117" s="1"/>
  <c r="G428"/>
  <c r="G424"/>
  <c r="E2061" s="1"/>
  <c r="E2078" s="1"/>
  <c r="G422"/>
  <c r="E2049" s="1"/>
  <c r="E2053" s="1"/>
  <c r="G420"/>
  <c r="G418"/>
  <c r="E2029" s="1"/>
  <c r="E2033" s="1"/>
  <c r="G416"/>
  <c r="G414"/>
  <c r="E2009" s="1"/>
  <c r="E2013" s="1"/>
  <c r="G412"/>
  <c r="E1999" s="1"/>
  <c r="E2003" s="1"/>
  <c r="G409"/>
  <c r="E1989" s="1"/>
  <c r="B401"/>
  <c r="B398"/>
  <c r="B395"/>
  <c r="B392"/>
  <c r="B389"/>
  <c r="B386"/>
  <c r="B383"/>
  <c r="G361"/>
  <c r="E1614" s="1"/>
  <c r="G360"/>
  <c r="E1592" s="1"/>
  <c r="G357"/>
  <c r="G358" s="1"/>
  <c r="G356"/>
  <c r="G353"/>
  <c r="G354" s="1"/>
  <c r="G352"/>
  <c r="G349"/>
  <c r="G350" s="1"/>
  <c r="G348"/>
  <c r="G345"/>
  <c r="E1499" s="1"/>
  <c r="G344"/>
  <c r="E1481" s="1"/>
  <c r="G341"/>
  <c r="E1471" s="1"/>
  <c r="G340"/>
  <c r="E1453" s="1"/>
  <c r="B320"/>
  <c r="B1331" s="1"/>
  <c r="B316"/>
  <c r="B1310" s="1"/>
  <c r="B312"/>
  <c r="B1289" s="1"/>
  <c r="B308"/>
  <c r="B1268" s="1"/>
  <c r="Q306"/>
  <c r="G304"/>
  <c r="G305" s="1"/>
  <c r="G301"/>
  <c r="G302" s="1"/>
  <c r="G298"/>
  <c r="G299" s="1"/>
  <c r="G295"/>
  <c r="G296" s="1"/>
  <c r="G292"/>
  <c r="G293" s="1"/>
  <c r="G289"/>
  <c r="G290" s="1"/>
  <c r="G286"/>
  <c r="G287" s="1"/>
  <c r="G283"/>
  <c r="G284" s="1"/>
  <c r="G280"/>
  <c r="G281" s="1"/>
  <c r="G277"/>
  <c r="G278" s="1"/>
  <c r="G274"/>
  <c r="G275" s="1"/>
  <c r="G271"/>
  <c r="G272" s="1"/>
  <c r="G268"/>
  <c r="G269" s="1"/>
  <c r="E1447" s="1"/>
  <c r="G265"/>
  <c r="G266" s="1"/>
  <c r="G262"/>
  <c r="G263" s="1"/>
  <c r="G259"/>
  <c r="G260" s="1"/>
  <c r="E1437" s="1"/>
  <c r="G256"/>
  <c r="G257" s="1"/>
  <c r="G253"/>
  <c r="E995" s="1"/>
  <c r="E1005" s="1"/>
  <c r="G250"/>
  <c r="G251" s="1"/>
  <c r="G247"/>
  <c r="G248" s="1"/>
  <c r="G244"/>
  <c r="G245" s="1"/>
  <c r="A243"/>
  <c r="A952" s="1"/>
  <c r="G241"/>
  <c r="G242" s="1"/>
  <c r="Q239"/>
  <c r="D235"/>
  <c r="D234"/>
  <c r="D233"/>
  <c r="B230"/>
  <c r="L229"/>
  <c r="H229"/>
  <c r="B229"/>
  <c r="U225"/>
  <c r="M225" s="1"/>
  <c r="T225"/>
  <c r="G225" s="1"/>
  <c r="U224"/>
  <c r="M224" s="1"/>
  <c r="T224"/>
  <c r="G224" s="1"/>
  <c r="M223"/>
  <c r="J4098" s="1"/>
  <c r="K4098" s="1"/>
  <c r="G223"/>
  <c r="M222"/>
  <c r="J4097" s="1"/>
  <c r="K4097" s="1"/>
  <c r="G222"/>
  <c r="M221"/>
  <c r="J4096" s="1"/>
  <c r="K4096" s="1"/>
  <c r="G221"/>
  <c r="M220"/>
  <c r="G220"/>
  <c r="M219"/>
  <c r="G219"/>
  <c r="M218"/>
  <c r="G218"/>
  <c r="M217"/>
  <c r="H217"/>
  <c r="H218" s="1"/>
  <c r="H219" s="1"/>
  <c r="H220" s="1"/>
  <c r="H221" s="1"/>
  <c r="H222" s="1"/>
  <c r="H223" s="1"/>
  <c r="H224" s="1"/>
  <c r="H225" s="1"/>
  <c r="G217"/>
  <c r="A217"/>
  <c r="A218" s="1"/>
  <c r="A219" s="1"/>
  <c r="A220" s="1"/>
  <c r="A221" s="1"/>
  <c r="A222" s="1"/>
  <c r="A223" s="1"/>
  <c r="A224" s="1"/>
  <c r="A225" s="1"/>
  <c r="U216"/>
  <c r="M216" s="1"/>
  <c r="H216"/>
  <c r="G216"/>
  <c r="Q215"/>
  <c r="U213"/>
  <c r="M213" s="1"/>
  <c r="T213"/>
  <c r="G213" s="1"/>
  <c r="U212"/>
  <c r="M212" s="1"/>
  <c r="T212"/>
  <c r="G212" s="1"/>
  <c r="U211"/>
  <c r="M211" s="1"/>
  <c r="T211"/>
  <c r="G211"/>
  <c r="U210"/>
  <c r="M210" s="1"/>
  <c r="T210"/>
  <c r="G210" s="1"/>
  <c r="T209"/>
  <c r="G209" s="1"/>
  <c r="M209"/>
  <c r="U208"/>
  <c r="M208" s="1"/>
  <c r="T208"/>
  <c r="G208" s="1"/>
  <c r="R208"/>
  <c r="U207"/>
  <c r="M207" s="1"/>
  <c r="T207"/>
  <c r="G207" s="1"/>
  <c r="U206"/>
  <c r="M206" s="1"/>
  <c r="T206"/>
  <c r="G206" s="1"/>
  <c r="U205"/>
  <c r="M205" s="1"/>
  <c r="T205"/>
  <c r="G205"/>
  <c r="U204"/>
  <c r="M204" s="1"/>
  <c r="T204"/>
  <c r="G204" s="1"/>
  <c r="J4284" s="1"/>
  <c r="U203"/>
  <c r="M203" s="1"/>
  <c r="T203"/>
  <c r="G203" s="1"/>
  <c r="U202"/>
  <c r="T202"/>
  <c r="G202" s="1"/>
  <c r="M202"/>
  <c r="U201"/>
  <c r="M201" s="1"/>
  <c r="T201"/>
  <c r="G201" s="1"/>
  <c r="U200"/>
  <c r="M200" s="1"/>
  <c r="T200"/>
  <c r="G200" s="1"/>
  <c r="J4287" s="1"/>
  <c r="K4287" s="1"/>
  <c r="A200"/>
  <c r="A201" s="1"/>
  <c r="U199"/>
  <c r="M199" s="1"/>
  <c r="T199"/>
  <c r="G199" s="1"/>
  <c r="J4286" s="1"/>
  <c r="K4286" s="1"/>
  <c r="H199"/>
  <c r="G198"/>
  <c r="K1616" s="1"/>
  <c r="M197"/>
  <c r="G197"/>
  <c r="J3368" s="1"/>
  <c r="M196"/>
  <c r="G196"/>
  <c r="U195"/>
  <c r="M195" s="1"/>
  <c r="U194"/>
  <c r="M194" s="1"/>
  <c r="T194"/>
  <c r="G194" s="1"/>
  <c r="H194"/>
  <c r="Q193"/>
  <c r="T191"/>
  <c r="G191" s="1"/>
  <c r="B191"/>
  <c r="U190"/>
  <c r="M190" s="1"/>
  <c r="T190"/>
  <c r="I190"/>
  <c r="G190"/>
  <c r="F86" s="1"/>
  <c r="G86" s="1"/>
  <c r="N86" s="1"/>
  <c r="U189"/>
  <c r="M189" s="1"/>
  <c r="F92" s="1"/>
  <c r="G92" s="1"/>
  <c r="N92" s="1"/>
  <c r="T189"/>
  <c r="G189" s="1"/>
  <c r="F85" s="1"/>
  <c r="G85" s="1"/>
  <c r="U188"/>
  <c r="M188" s="1"/>
  <c r="J2809" s="1"/>
  <c r="K2809" s="1"/>
  <c r="T188"/>
  <c r="G188" s="1"/>
  <c r="G2963" s="1"/>
  <c r="K2963" s="1"/>
  <c r="T187"/>
  <c r="G187" s="1"/>
  <c r="F83" s="1"/>
  <c r="G83" s="1"/>
  <c r="N83" s="1"/>
  <c r="M187"/>
  <c r="K3835" s="1"/>
  <c r="U186"/>
  <c r="M186" s="1"/>
  <c r="T186"/>
  <c r="G186" s="1"/>
  <c r="U185"/>
  <c r="M185" s="1"/>
  <c r="F88" s="1"/>
  <c r="G88" s="1"/>
  <c r="T185"/>
  <c r="G185" s="1"/>
  <c r="F84" s="1"/>
  <c r="G84" s="1"/>
  <c r="U184"/>
  <c r="M184" s="1"/>
  <c r="Q3669" s="1"/>
  <c r="T184"/>
  <c r="G184" s="1"/>
  <c r="F87" s="1"/>
  <c r="G87" s="1"/>
  <c r="T183"/>
  <c r="G183" s="1"/>
  <c r="Q3627" s="1"/>
  <c r="M183"/>
  <c r="J3696" s="1"/>
  <c r="K3696" s="1"/>
  <c r="U182"/>
  <c r="M182" s="1"/>
  <c r="T181"/>
  <c r="G181" s="1"/>
  <c r="B181"/>
  <c r="M180"/>
  <c r="G180"/>
  <c r="M179"/>
  <c r="J3361" s="1"/>
  <c r="K3361" s="1"/>
  <c r="G179"/>
  <c r="U178"/>
  <c r="M178" s="1"/>
  <c r="G178"/>
  <c r="T177"/>
  <c r="G177" s="1"/>
  <c r="M177"/>
  <c r="T176"/>
  <c r="G176" s="1"/>
  <c r="M176"/>
  <c r="J3353" s="1"/>
  <c r="K3353" s="1"/>
  <c r="U175"/>
  <c r="M175" s="1"/>
  <c r="J3352" s="1"/>
  <c r="K3352" s="1"/>
  <c r="G175"/>
  <c r="U174"/>
  <c r="M174" s="1"/>
  <c r="J3351" s="1"/>
  <c r="K3351" s="1"/>
  <c r="G174"/>
  <c r="U173"/>
  <c r="M173" s="1"/>
  <c r="J3350" s="1"/>
  <c r="K3350" s="1"/>
  <c r="G173"/>
  <c r="U172"/>
  <c r="M172" s="1"/>
  <c r="J3349" s="1"/>
  <c r="K3349" s="1"/>
  <c r="G172"/>
  <c r="U171"/>
  <c r="M171" s="1"/>
  <c r="G171"/>
  <c r="M170"/>
  <c r="J3210" s="1"/>
  <c r="K3210" s="1"/>
  <c r="G170"/>
  <c r="T169"/>
  <c r="G169" s="1"/>
  <c r="M169"/>
  <c r="J3209" s="1"/>
  <c r="K3209" s="1"/>
  <c r="M168"/>
  <c r="G168"/>
  <c r="M167"/>
  <c r="G167"/>
  <c r="U166"/>
  <c r="M166" s="1"/>
  <c r="T166"/>
  <c r="G166" s="1"/>
  <c r="M165"/>
  <c r="G165"/>
  <c r="G3323" s="1"/>
  <c r="K3323" s="1"/>
  <c r="J3324" s="1"/>
  <c r="K3324" s="1"/>
  <c r="M164"/>
  <c r="H2921" s="1"/>
  <c r="K2922" s="1"/>
  <c r="G164"/>
  <c r="H2904" s="1"/>
  <c r="K2905" s="1"/>
  <c r="U163"/>
  <c r="M163" s="1"/>
  <c r="F76" s="1"/>
  <c r="G76" s="1"/>
  <c r="T163"/>
  <c r="G163" s="1"/>
  <c r="F75" s="1"/>
  <c r="G75" s="1"/>
  <c r="U162"/>
  <c r="M162" s="1"/>
  <c r="T162"/>
  <c r="G162"/>
  <c r="J2879" s="1"/>
  <c r="K2879" s="1"/>
  <c r="K2880" s="1"/>
  <c r="M161"/>
  <c r="U160"/>
  <c r="M160" s="1"/>
  <c r="F62" s="1"/>
  <c r="G62" s="1"/>
  <c r="T160"/>
  <c r="G160" s="1"/>
  <c r="F60" s="1"/>
  <c r="G60" s="1"/>
  <c r="I160"/>
  <c r="B62" s="1"/>
  <c r="B160"/>
  <c r="U159"/>
  <c r="M159" s="1"/>
  <c r="T159"/>
  <c r="G159" s="1"/>
  <c r="I159"/>
  <c r="B159"/>
  <c r="U158"/>
  <c r="M158" s="1"/>
  <c r="F61" s="1"/>
  <c r="G61" s="1"/>
  <c r="T158"/>
  <c r="I158"/>
  <c r="B61" s="1"/>
  <c r="G158"/>
  <c r="F59" s="1"/>
  <c r="G59" s="1"/>
  <c r="B158"/>
  <c r="U157"/>
  <c r="M157" s="1"/>
  <c r="T157"/>
  <c r="G157" s="1"/>
  <c r="F51" s="1"/>
  <c r="G51" s="1"/>
  <c r="N51" s="1"/>
  <c r="I157"/>
  <c r="B157"/>
  <c r="B494" s="1"/>
  <c r="B2587" s="1"/>
  <c r="B2669" s="1"/>
  <c r="B2750" s="1"/>
  <c r="B2827" s="1"/>
  <c r="B2865" s="1"/>
  <c r="U156"/>
  <c r="M156" s="1"/>
  <c r="T156"/>
  <c r="G156" s="1"/>
  <c r="I156"/>
  <c r="B156"/>
  <c r="U155"/>
  <c r="M155" s="1"/>
  <c r="T155"/>
  <c r="G155" s="1"/>
  <c r="F58" s="1"/>
  <c r="G58" s="1"/>
  <c r="I155"/>
  <c r="B155"/>
  <c r="U154"/>
  <c r="M154" s="1"/>
  <c r="F52" s="1"/>
  <c r="G52" s="1"/>
  <c r="N52" s="1"/>
  <c r="T154"/>
  <c r="G154" s="1"/>
  <c r="F50" s="1"/>
  <c r="G50" s="1"/>
  <c r="I154"/>
  <c r="B154"/>
  <c r="B491" s="1"/>
  <c r="U153"/>
  <c r="M153" s="1"/>
  <c r="F55" s="1"/>
  <c r="G55" s="1"/>
  <c r="T153"/>
  <c r="G153" s="1"/>
  <c r="F54" s="1"/>
  <c r="G54" s="1"/>
  <c r="N54" s="1"/>
  <c r="U152"/>
  <c r="M152" s="1"/>
  <c r="F57" s="1"/>
  <c r="G57" s="1"/>
  <c r="T152"/>
  <c r="G152" s="1"/>
  <c r="I152"/>
  <c r="B152"/>
  <c r="U151"/>
  <c r="M151" s="1"/>
  <c r="F56" s="1"/>
  <c r="G56" s="1"/>
  <c r="N56" s="1"/>
  <c r="T151"/>
  <c r="G151" s="1"/>
  <c r="U150"/>
  <c r="M150" s="1"/>
  <c r="F53" s="1"/>
  <c r="G53" s="1"/>
  <c r="N53" s="1"/>
  <c r="U149"/>
  <c r="M149" s="1"/>
  <c r="F95" s="1"/>
  <c r="G95" s="1"/>
  <c r="T149"/>
  <c r="G149" s="1"/>
  <c r="F94" s="1"/>
  <c r="G94" s="1"/>
  <c r="B149"/>
  <c r="U148"/>
  <c r="M148" s="1"/>
  <c r="F96" s="1"/>
  <c r="G96" s="1"/>
  <c r="T148"/>
  <c r="G148" s="1"/>
  <c r="B148"/>
  <c r="U147"/>
  <c r="M147" s="1"/>
  <c r="F78" s="1"/>
  <c r="G78" s="1"/>
  <c r="T147"/>
  <c r="G147" s="1"/>
  <c r="I147"/>
  <c r="B147"/>
  <c r="U146"/>
  <c r="M146" s="1"/>
  <c r="T146"/>
  <c r="G146" s="1"/>
  <c r="F77" s="1"/>
  <c r="G77" s="1"/>
  <c r="I146"/>
  <c r="B146"/>
  <c r="A146"/>
  <c r="U145"/>
  <c r="M145" s="1"/>
  <c r="F69" s="1"/>
  <c r="G69" s="1"/>
  <c r="T145"/>
  <c r="G145" s="1"/>
  <c r="I145"/>
  <c r="B145"/>
  <c r="A145"/>
  <c r="U144"/>
  <c r="M144" s="1"/>
  <c r="F68" s="1"/>
  <c r="G68" s="1"/>
  <c r="T144"/>
  <c r="G144" s="1"/>
  <c r="F67" s="1"/>
  <c r="G67" s="1"/>
  <c r="S144"/>
  <c r="I144"/>
  <c r="H144"/>
  <c r="H145" s="1"/>
  <c r="H146" s="1"/>
  <c r="H147" s="1"/>
  <c r="H148" s="1"/>
  <c r="H149" s="1"/>
  <c r="B144"/>
  <c r="U143"/>
  <c r="M143" s="1"/>
  <c r="S143"/>
  <c r="I143"/>
  <c r="Q142"/>
  <c r="D140"/>
  <c r="A140"/>
  <c r="A235" s="1"/>
  <c r="D139"/>
  <c r="A139"/>
  <c r="A234" s="1"/>
  <c r="D138"/>
  <c r="A138"/>
  <c r="A233" s="1"/>
  <c r="H136"/>
  <c r="L136" s="1"/>
  <c r="S132"/>
  <c r="N132"/>
  <c r="L132"/>
  <c r="S131"/>
  <c r="N131"/>
  <c r="L131"/>
  <c r="S130"/>
  <c r="N130"/>
  <c r="L130"/>
  <c r="N129"/>
  <c r="U128"/>
  <c r="H121"/>
  <c r="H122" s="1"/>
  <c r="J120"/>
  <c r="L120" s="1"/>
  <c r="H113"/>
  <c r="H114" s="1"/>
  <c r="J112"/>
  <c r="L112" s="1"/>
  <c r="R103"/>
  <c r="F103" s="1"/>
  <c r="G103" s="1"/>
  <c r="R102"/>
  <c r="F102" s="1"/>
  <c r="G102" s="1"/>
  <c r="R101"/>
  <c r="F101"/>
  <c r="G101" s="1"/>
  <c r="R100"/>
  <c r="F100"/>
  <c r="G100" s="1"/>
  <c r="D100"/>
  <c r="D101" s="1"/>
  <c r="D102" s="1"/>
  <c r="D103" s="1"/>
  <c r="R99"/>
  <c r="F99" s="1"/>
  <c r="G99" s="1"/>
  <c r="H99"/>
  <c r="H100" s="1"/>
  <c r="D99"/>
  <c r="R98"/>
  <c r="F98" s="1"/>
  <c r="G98" s="1"/>
  <c r="I98"/>
  <c r="K98" s="1"/>
  <c r="I97"/>
  <c r="F97"/>
  <c r="G97" s="1"/>
  <c r="U97" s="1"/>
  <c r="P91"/>
  <c r="F91"/>
  <c r="G91" s="1"/>
  <c r="F90"/>
  <c r="G90" s="1"/>
  <c r="F80"/>
  <c r="G80" s="1"/>
  <c r="G79"/>
  <c r="I78"/>
  <c r="K78" s="1"/>
  <c r="P72"/>
  <c r="P73" s="1"/>
  <c r="P71"/>
  <c r="H67"/>
  <c r="H68" s="1"/>
  <c r="D67"/>
  <c r="D68" s="1"/>
  <c r="D69" s="1"/>
  <c r="D70" s="1"/>
  <c r="D71" s="1"/>
  <c r="D72" s="1"/>
  <c r="D73" s="1"/>
  <c r="G66"/>
  <c r="H65"/>
  <c r="H66" s="1"/>
  <c r="I66" s="1"/>
  <c r="K66" s="1"/>
  <c r="D65"/>
  <c r="D66" s="1"/>
  <c r="Q64"/>
  <c r="I64"/>
  <c r="K64" s="1"/>
  <c r="P63"/>
  <c r="B60"/>
  <c r="B59"/>
  <c r="B58"/>
  <c r="B57"/>
  <c r="B56"/>
  <c r="B55"/>
  <c r="B54"/>
  <c r="H53"/>
  <c r="H55" s="1"/>
  <c r="B53"/>
  <c r="B52"/>
  <c r="H51"/>
  <c r="H52" s="1"/>
  <c r="I52" s="1"/>
  <c r="K52" s="1"/>
  <c r="D51"/>
  <c r="D52" s="1"/>
  <c r="D53" s="1"/>
  <c r="D54" s="1"/>
  <c r="D55" s="1"/>
  <c r="D56" s="1"/>
  <c r="D57" s="1"/>
  <c r="D58" s="1"/>
  <c r="D59" s="1"/>
  <c r="D60" s="1"/>
  <c r="D61" s="1"/>
  <c r="D62" s="1"/>
  <c r="D63" s="1"/>
  <c r="B51"/>
  <c r="Q50"/>
  <c r="I50"/>
  <c r="K50" s="1"/>
  <c r="B50"/>
  <c r="H49"/>
  <c r="I49" s="1"/>
  <c r="D49"/>
  <c r="I48"/>
  <c r="K48" s="1"/>
  <c r="I47"/>
  <c r="G47"/>
  <c r="T46"/>
  <c r="F46" s="1"/>
  <c r="G46" s="1"/>
  <c r="N46" s="1"/>
  <c r="I46"/>
  <c r="J4357" s="1"/>
  <c r="T45"/>
  <c r="F45" s="1"/>
  <c r="G45" s="1"/>
  <c r="J1595" s="1"/>
  <c r="K1595" s="1"/>
  <c r="I45"/>
  <c r="K45" s="1"/>
  <c r="J1608" s="1"/>
  <c r="T44"/>
  <c r="F44" s="1"/>
  <c r="G44" s="1"/>
  <c r="I44"/>
  <c r="T43"/>
  <c r="J43"/>
  <c r="J44" s="1"/>
  <c r="J46" s="1"/>
  <c r="I43"/>
  <c r="F43"/>
  <c r="G43" s="1"/>
  <c r="J4066" s="1"/>
  <c r="K4066" s="1"/>
  <c r="T42"/>
  <c r="F42" s="1"/>
  <c r="G42" s="1"/>
  <c r="J2463" s="1"/>
  <c r="K2463" s="1"/>
  <c r="K2464" s="1"/>
  <c r="T41"/>
  <c r="F41" s="1"/>
  <c r="G41" s="1"/>
  <c r="T40"/>
  <c r="F40" s="1"/>
  <c r="G40" s="1"/>
  <c r="T39"/>
  <c r="F39" s="1"/>
  <c r="G39" s="1"/>
  <c r="T38"/>
  <c r="F38" s="1"/>
  <c r="G38" s="1"/>
  <c r="T37"/>
  <c r="F37" s="1"/>
  <c r="G37" s="1"/>
  <c r="H37"/>
  <c r="H38" s="1"/>
  <c r="T36"/>
  <c r="I36"/>
  <c r="F36"/>
  <c r="G36" s="1"/>
  <c r="O35"/>
  <c r="T34"/>
  <c r="F34" s="1"/>
  <c r="G34" s="1"/>
  <c r="J34"/>
  <c r="J41" s="1"/>
  <c r="T33"/>
  <c r="J33"/>
  <c r="J40" s="1"/>
  <c r="F33"/>
  <c r="G33" s="1"/>
  <c r="T32"/>
  <c r="F32" s="1"/>
  <c r="G32" s="1"/>
  <c r="J32"/>
  <c r="J39" s="1"/>
  <c r="T31"/>
  <c r="F31" s="1"/>
  <c r="G31" s="1"/>
  <c r="J31"/>
  <c r="J38" s="1"/>
  <c r="T30"/>
  <c r="F30" s="1"/>
  <c r="G30" s="1"/>
  <c r="J30"/>
  <c r="J37" s="1"/>
  <c r="I30"/>
  <c r="H30"/>
  <c r="H31" s="1"/>
  <c r="T29"/>
  <c r="F29" s="1"/>
  <c r="G29" s="1"/>
  <c r="J29"/>
  <c r="J36" s="1"/>
  <c r="I29"/>
  <c r="O28"/>
  <c r="T27"/>
  <c r="F27" s="1"/>
  <c r="G27" s="1"/>
  <c r="J27"/>
  <c r="T26"/>
  <c r="F26" s="1"/>
  <c r="G26" s="1"/>
  <c r="T25"/>
  <c r="J25"/>
  <c r="H25"/>
  <c r="H42" s="1"/>
  <c r="I42" s="1"/>
  <c r="K42" s="1"/>
  <c r="J2471" s="1"/>
  <c r="F25"/>
  <c r="G25" s="1"/>
  <c r="D25"/>
  <c r="D26" s="1"/>
  <c r="D42" s="1"/>
  <c r="T24"/>
  <c r="F24" s="1"/>
  <c r="G24" s="1"/>
  <c r="I24"/>
  <c r="K24" s="1"/>
  <c r="J1578" s="1"/>
  <c r="T23"/>
  <c r="F23" s="1"/>
  <c r="G23" s="1"/>
  <c r="H23"/>
  <c r="I23" s="1"/>
  <c r="T22"/>
  <c r="F22" s="1"/>
  <c r="G22" s="1"/>
  <c r="T21"/>
  <c r="F21" s="1"/>
  <c r="G21" s="1"/>
  <c r="B21"/>
  <c r="T20"/>
  <c r="H20"/>
  <c r="I20" s="1"/>
  <c r="F20"/>
  <c r="G20" s="1"/>
  <c r="B20"/>
  <c r="T19"/>
  <c r="F19"/>
  <c r="G19" s="1"/>
  <c r="B19"/>
  <c r="T18"/>
  <c r="F18" s="1"/>
  <c r="G18" s="1"/>
  <c r="T17"/>
  <c r="F17" s="1"/>
  <c r="G17" s="1"/>
  <c r="H17"/>
  <c r="I17" s="1"/>
  <c r="T16"/>
  <c r="F16" s="1"/>
  <c r="G16" s="1"/>
  <c r="J16"/>
  <c r="T15"/>
  <c r="F15" s="1"/>
  <c r="G15" s="1"/>
  <c r="T14"/>
  <c r="F14" s="1"/>
  <c r="G14" s="1"/>
  <c r="J14"/>
  <c r="J21" s="1"/>
  <c r="T13"/>
  <c r="F13" s="1"/>
  <c r="G13" s="1"/>
  <c r="T12"/>
  <c r="F12" s="1"/>
  <c r="G12" s="1"/>
  <c r="J12"/>
  <c r="J19" s="1"/>
  <c r="H12"/>
  <c r="I12" s="1"/>
  <c r="T11"/>
  <c r="F11" s="1"/>
  <c r="G11" s="1"/>
  <c r="J11"/>
  <c r="J18" s="1"/>
  <c r="H11"/>
  <c r="H14" s="1"/>
  <c r="T10"/>
  <c r="F10" s="1"/>
  <c r="G10" s="1"/>
  <c r="J10"/>
  <c r="J17" s="1"/>
  <c r="T9"/>
  <c r="J9"/>
  <c r="J13" s="1"/>
  <c r="J20" s="1"/>
  <c r="H9"/>
  <c r="H13" s="1"/>
  <c r="I13" s="1"/>
  <c r="K13" s="1"/>
  <c r="J1432" s="1"/>
  <c r="F9"/>
  <c r="G9" s="1"/>
  <c r="D9"/>
  <c r="D10" s="1"/>
  <c r="D11" s="1"/>
  <c r="D12" s="1"/>
  <c r="A9"/>
  <c r="A10" s="1"/>
  <c r="A11" s="1"/>
  <c r="A12" s="1"/>
  <c r="A13" s="1"/>
  <c r="A14" s="1"/>
  <c r="A15" s="1"/>
  <c r="A16" s="1"/>
  <c r="A17" s="1"/>
  <c r="A18" s="1"/>
  <c r="A19" s="1"/>
  <c r="A20" s="1"/>
  <c r="A21" s="1"/>
  <c r="A22" s="1"/>
  <c r="A23" s="1"/>
  <c r="A24" s="1"/>
  <c r="A25" s="1"/>
  <c r="A26" s="1"/>
  <c r="A27" s="1"/>
  <c r="A28" s="1"/>
  <c r="A35" s="1"/>
  <c r="A42" s="1"/>
  <c r="A43" s="1"/>
  <c r="A44" s="1"/>
  <c r="A45" s="1"/>
  <c r="A46" s="1"/>
  <c r="A47" s="1"/>
  <c r="A48" s="1"/>
  <c r="A49" s="1"/>
  <c r="A50" s="1"/>
  <c r="A64"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T8"/>
  <c r="F8" s="1"/>
  <c r="G8" s="1"/>
  <c r="I8"/>
  <c r="K8" s="1"/>
  <c r="E5080" i="18"/>
  <c r="G5079"/>
  <c r="G5080" s="1"/>
  <c r="E5079"/>
  <c r="E5078"/>
  <c r="E5077"/>
  <c r="F5076"/>
  <c r="G5077" s="1"/>
  <c r="G5078" s="1"/>
  <c r="E5076"/>
  <c r="F5075"/>
  <c r="E5075"/>
  <c r="H4462"/>
  <c r="H4461"/>
  <c r="H4460"/>
  <c r="H4459"/>
  <c r="H4458"/>
  <c r="H4457"/>
  <c r="H4454"/>
  <c r="H4453"/>
  <c r="H4452"/>
  <c r="H4451"/>
  <c r="H4450"/>
  <c r="H4449"/>
  <c r="V307" i="37"/>
  <c r="W307" s="1"/>
  <c r="H5785" i="18"/>
  <c r="H5784"/>
  <c r="H5783"/>
  <c r="H5782"/>
  <c r="H5781"/>
  <c r="H5780"/>
  <c r="H5776"/>
  <c r="H5775"/>
  <c r="H5774"/>
  <c r="H5773"/>
  <c r="H5772"/>
  <c r="H5771"/>
  <c r="H5760"/>
  <c r="H5759"/>
  <c r="H5758"/>
  <c r="H5757"/>
  <c r="H5756"/>
  <c r="H5755"/>
  <c r="H5752"/>
  <c r="H5751"/>
  <c r="H5750"/>
  <c r="H5749"/>
  <c r="H5748"/>
  <c r="H5747"/>
  <c r="H5744"/>
  <c r="H5743"/>
  <c r="H5742"/>
  <c r="H5741"/>
  <c r="H5740"/>
  <c r="H5739"/>
  <c r="H5720"/>
  <c r="H5719"/>
  <c r="H5718"/>
  <c r="H5717"/>
  <c r="H5716"/>
  <c r="H5715"/>
  <c r="H5712"/>
  <c r="H5711"/>
  <c r="H5710"/>
  <c r="H5709"/>
  <c r="H5708"/>
  <c r="H5707"/>
  <c r="H5704"/>
  <c r="H5703"/>
  <c r="H5702"/>
  <c r="H5701"/>
  <c r="H5700"/>
  <c r="H5699"/>
  <c r="H5688"/>
  <c r="H5687"/>
  <c r="H5686"/>
  <c r="H5685"/>
  <c r="H5684"/>
  <c r="H5683"/>
  <c r="H5680"/>
  <c r="H5679"/>
  <c r="H5678"/>
  <c r="H5677"/>
  <c r="H5676"/>
  <c r="H5675"/>
  <c r="H5672"/>
  <c r="H5671"/>
  <c r="H5670"/>
  <c r="H5669"/>
  <c r="H5668"/>
  <c r="H5667"/>
  <c r="H5664"/>
  <c r="H5663"/>
  <c r="H5662"/>
  <c r="H5661"/>
  <c r="H5660"/>
  <c r="H5659"/>
  <c r="H5656"/>
  <c r="H5655"/>
  <c r="H5654"/>
  <c r="H5653"/>
  <c r="H5652"/>
  <c r="H5651"/>
  <c r="H5648"/>
  <c r="H5647"/>
  <c r="H5646"/>
  <c r="H5645"/>
  <c r="H5644"/>
  <c r="H5643"/>
  <c r="H5639"/>
  <c r="H5638"/>
  <c r="H5637"/>
  <c r="H5636"/>
  <c r="H5635"/>
  <c r="H5634"/>
  <c r="H5631"/>
  <c r="H5630"/>
  <c r="H5629"/>
  <c r="H5628"/>
  <c r="H5627"/>
  <c r="H5626"/>
  <c r="H5623"/>
  <c r="H5622"/>
  <c r="H5621"/>
  <c r="H5620"/>
  <c r="H5619"/>
  <c r="H5618"/>
  <c r="H5606"/>
  <c r="H5605"/>
  <c r="H5604"/>
  <c r="H5603"/>
  <c r="H5602"/>
  <c r="H5601"/>
  <c r="H5598"/>
  <c r="H5597"/>
  <c r="H5596"/>
  <c r="H5595"/>
  <c r="H5594"/>
  <c r="H5593"/>
  <c r="H5585"/>
  <c r="H5586"/>
  <c r="H5587"/>
  <c r="H5588"/>
  <c r="H5589"/>
  <c r="H5590"/>
  <c r="B5868"/>
  <c r="B5876"/>
  <c r="B5884"/>
  <c r="B5892"/>
  <c r="B5900"/>
  <c r="A5901"/>
  <c r="B5901"/>
  <c r="A5902"/>
  <c r="B5902"/>
  <c r="H5858"/>
  <c r="H5857"/>
  <c r="H5856"/>
  <c r="H5855"/>
  <c r="H5854"/>
  <c r="H5853"/>
  <c r="H5850"/>
  <c r="H5849"/>
  <c r="H5848"/>
  <c r="H5847"/>
  <c r="H5846"/>
  <c r="H5845"/>
  <c r="H5842"/>
  <c r="H5841"/>
  <c r="H5840"/>
  <c r="H5839"/>
  <c r="H5838"/>
  <c r="H5837"/>
  <c r="H5834"/>
  <c r="H5833"/>
  <c r="H5832"/>
  <c r="H5831"/>
  <c r="H5830"/>
  <c r="H5829"/>
  <c r="H5826"/>
  <c r="H5825"/>
  <c r="H5824"/>
  <c r="H5823"/>
  <c r="H5822"/>
  <c r="H5821"/>
  <c r="H5866"/>
  <c r="H5865"/>
  <c r="H5864"/>
  <c r="H5863"/>
  <c r="H5862"/>
  <c r="H5861"/>
  <c r="H5809"/>
  <c r="H5808"/>
  <c r="H5807"/>
  <c r="H5806"/>
  <c r="H5805"/>
  <c r="H5804"/>
  <c r="H5801"/>
  <c r="H5800"/>
  <c r="H5799"/>
  <c r="H5798"/>
  <c r="H5797"/>
  <c r="H5796"/>
  <c r="H5793"/>
  <c r="H5792"/>
  <c r="H5791"/>
  <c r="H5790"/>
  <c r="H5789"/>
  <c r="H5788"/>
  <c r="H5768"/>
  <c r="H5767"/>
  <c r="H5766"/>
  <c r="H5765"/>
  <c r="H5764"/>
  <c r="H5763"/>
  <c r="H5736"/>
  <c r="H5735"/>
  <c r="H5734"/>
  <c r="H5733"/>
  <c r="H5732"/>
  <c r="H5731"/>
  <c r="H5728"/>
  <c r="H5727"/>
  <c r="H5726"/>
  <c r="H5725"/>
  <c r="H5724"/>
  <c r="H5723"/>
  <c r="H5581"/>
  <c r="H5580"/>
  <c r="H5579"/>
  <c r="H5578"/>
  <c r="H5577"/>
  <c r="H5576"/>
  <c r="H5573"/>
  <c r="H5572"/>
  <c r="H5571"/>
  <c r="H5570"/>
  <c r="H5569"/>
  <c r="H5568"/>
  <c r="H5565"/>
  <c r="H5564"/>
  <c r="H5563"/>
  <c r="H5562"/>
  <c r="H5561"/>
  <c r="H5560"/>
  <c r="H5557"/>
  <c r="H5556"/>
  <c r="H5555"/>
  <c r="H5554"/>
  <c r="H5553"/>
  <c r="H5552"/>
  <c r="H5549"/>
  <c r="H5548"/>
  <c r="H5547"/>
  <c r="H5546"/>
  <c r="H5545"/>
  <c r="H5544"/>
  <c r="H5541"/>
  <c r="H5540"/>
  <c r="H5539"/>
  <c r="H5538"/>
  <c r="H5537"/>
  <c r="H5536"/>
  <c r="H5533"/>
  <c r="H5532"/>
  <c r="H5531"/>
  <c r="H5530"/>
  <c r="H5529"/>
  <c r="H5528"/>
  <c r="H5525"/>
  <c r="H5524"/>
  <c r="H5523"/>
  <c r="H5522"/>
  <c r="H5521"/>
  <c r="H5520"/>
  <c r="H5517"/>
  <c r="H5516"/>
  <c r="H5515"/>
  <c r="H5514"/>
  <c r="H5513"/>
  <c r="H5512"/>
  <c r="H5509"/>
  <c r="H5508"/>
  <c r="H5507"/>
  <c r="H5506"/>
  <c r="H5505"/>
  <c r="H5504"/>
  <c r="H5501"/>
  <c r="H5500"/>
  <c r="H5499"/>
  <c r="H5498"/>
  <c r="H5497"/>
  <c r="H5496"/>
  <c r="H5493"/>
  <c r="H5492"/>
  <c r="H5491"/>
  <c r="H5490"/>
  <c r="H5489"/>
  <c r="H5488"/>
  <c r="H5485"/>
  <c r="H5484"/>
  <c r="H5483"/>
  <c r="H5482"/>
  <c r="H5481"/>
  <c r="H5480"/>
  <c r="H5477"/>
  <c r="H5476"/>
  <c r="H5475"/>
  <c r="H5474"/>
  <c r="H5473"/>
  <c r="H5472"/>
  <c r="H5469"/>
  <c r="H5468"/>
  <c r="H5467"/>
  <c r="H5466"/>
  <c r="H5465"/>
  <c r="H5464"/>
  <c r="H5461"/>
  <c r="H5460"/>
  <c r="H5459"/>
  <c r="H5458"/>
  <c r="H5457"/>
  <c r="H5456"/>
  <c r="H5453"/>
  <c r="H5452"/>
  <c r="H5451"/>
  <c r="H5450"/>
  <c r="H5449"/>
  <c r="H5448"/>
  <c r="H5444"/>
  <c r="H5443"/>
  <c r="H5442"/>
  <c r="H5441"/>
  <c r="H5440"/>
  <c r="H5439"/>
  <c r="H5436"/>
  <c r="H5435"/>
  <c r="H5434"/>
  <c r="H5433"/>
  <c r="H5432"/>
  <c r="H5431"/>
  <c r="H5412"/>
  <c r="H5411"/>
  <c r="H5410"/>
  <c r="H5409"/>
  <c r="H5408"/>
  <c r="H5407"/>
  <c r="H5404"/>
  <c r="H5403"/>
  <c r="H5402"/>
  <c r="H5401"/>
  <c r="H5400"/>
  <c r="H5399"/>
  <c r="H5379"/>
  <c r="H5378"/>
  <c r="H5377"/>
  <c r="H5376"/>
  <c r="H5375"/>
  <c r="H5374"/>
  <c r="H5371"/>
  <c r="H5370"/>
  <c r="H5369"/>
  <c r="H5368"/>
  <c r="H5367"/>
  <c r="H5366"/>
  <c r="H5346"/>
  <c r="H5345"/>
  <c r="H5344"/>
  <c r="H5343"/>
  <c r="H5342"/>
  <c r="H5341"/>
  <c r="H5338"/>
  <c r="H5337"/>
  <c r="H5336"/>
  <c r="H5335"/>
  <c r="H5334"/>
  <c r="H5333"/>
  <c r="H5313"/>
  <c r="H5312"/>
  <c r="H5311"/>
  <c r="H5310"/>
  <c r="H5309"/>
  <c r="H5308"/>
  <c r="H5305"/>
  <c r="H5304"/>
  <c r="H5303"/>
  <c r="H5302"/>
  <c r="H5301"/>
  <c r="H5300"/>
  <c r="H5280"/>
  <c r="H5279"/>
  <c r="H5278"/>
  <c r="H5277"/>
  <c r="H5276"/>
  <c r="H5275"/>
  <c r="H5247"/>
  <c r="H5246"/>
  <c r="H5245"/>
  <c r="H5244"/>
  <c r="H5243"/>
  <c r="H5242"/>
  <c r="H5239"/>
  <c r="H5238"/>
  <c r="H5237"/>
  <c r="H5236"/>
  <c r="H5235"/>
  <c r="H5234"/>
  <c r="H5214"/>
  <c r="H5213"/>
  <c r="H5212"/>
  <c r="H5211"/>
  <c r="H5210"/>
  <c r="H5209"/>
  <c r="H5206"/>
  <c r="H5205"/>
  <c r="H5204"/>
  <c r="H5203"/>
  <c r="H5202"/>
  <c r="H5201"/>
  <c r="H5181"/>
  <c r="H5180"/>
  <c r="H5179"/>
  <c r="H5178"/>
  <c r="H5177"/>
  <c r="H5176"/>
  <c r="H5173"/>
  <c r="H5172"/>
  <c r="H5171"/>
  <c r="H5170"/>
  <c r="H5169"/>
  <c r="H5168"/>
  <c r="H5148"/>
  <c r="H5147"/>
  <c r="H5146"/>
  <c r="H5145"/>
  <c r="H5144"/>
  <c r="H5143"/>
  <c r="H5140"/>
  <c r="H5139"/>
  <c r="H5138"/>
  <c r="H5137"/>
  <c r="H5136"/>
  <c r="H5135"/>
  <c r="H5113"/>
  <c r="H5112"/>
  <c r="H5111"/>
  <c r="H5110"/>
  <c r="H5109"/>
  <c r="H5108"/>
  <c r="H4551"/>
  <c r="H4550"/>
  <c r="H4549"/>
  <c r="H4548"/>
  <c r="H4547"/>
  <c r="H4546"/>
  <c r="H4543"/>
  <c r="H4542"/>
  <c r="H4541"/>
  <c r="H4540"/>
  <c r="H4539"/>
  <c r="H4538"/>
  <c r="H4535"/>
  <c r="H4534"/>
  <c r="H4533"/>
  <c r="H4532"/>
  <c r="H4531"/>
  <c r="H4530"/>
  <c r="H4527"/>
  <c r="H4526"/>
  <c r="H4525"/>
  <c r="H4524"/>
  <c r="H4523"/>
  <c r="H4522"/>
  <c r="H4519"/>
  <c r="H4518"/>
  <c r="H4517"/>
  <c r="H4516"/>
  <c r="H4515"/>
  <c r="H4514"/>
  <c r="H4511"/>
  <c r="H4510"/>
  <c r="H4509"/>
  <c r="H4508"/>
  <c r="H4507"/>
  <c r="H4506"/>
  <c r="H4503"/>
  <c r="H4502"/>
  <c r="H4501"/>
  <c r="H4500"/>
  <c r="H4499"/>
  <c r="H4498"/>
  <c r="H4495"/>
  <c r="H4494"/>
  <c r="H4493"/>
  <c r="H4492"/>
  <c r="H4491"/>
  <c r="H4490"/>
  <c r="H4487"/>
  <c r="H4486"/>
  <c r="H4485"/>
  <c r="H4484"/>
  <c r="H4483"/>
  <c r="H4482"/>
  <c r="D49" i="12"/>
  <c r="A41"/>
  <c r="A40"/>
  <c r="H40"/>
  <c r="I15"/>
  <c r="I13"/>
  <c r="A5"/>
  <c r="A6"/>
  <c r="A4"/>
  <c r="D5"/>
  <c r="D6"/>
  <c r="D4"/>
  <c r="B70" i="9"/>
  <c r="J69"/>
  <c r="G69"/>
  <c r="B69"/>
  <c r="F19" i="13"/>
  <c r="FC170" i="6"/>
  <c r="FC167"/>
  <c r="IA167"/>
  <c r="GO167"/>
  <c r="B6969" i="18"/>
  <c r="E6969"/>
  <c r="K6969"/>
  <c r="B6970"/>
  <c r="IL123" i="6"/>
  <c r="E1199" i="18" s="1"/>
  <c r="IL120" i="6"/>
  <c r="E1197" i="18" s="1"/>
  <c r="IL117" i="6"/>
  <c r="E1198" i="18" s="1"/>
  <c r="IL114" i="6"/>
  <c r="JA111"/>
  <c r="IL111"/>
  <c r="II20"/>
  <c r="HH71"/>
  <c r="H1380" i="18" l="1"/>
  <c r="F63" i="44"/>
  <c r="G63" s="1"/>
  <c r="N63" s="1"/>
  <c r="H2556" i="7"/>
  <c r="H2563"/>
  <c r="H2564" s="1"/>
  <c r="F74" i="44"/>
  <c r="G74" s="1"/>
  <c r="F82"/>
  <c r="G82" s="1"/>
  <c r="N82" s="1"/>
  <c r="U82" s="1"/>
  <c r="K1060"/>
  <c r="Z1062"/>
  <c r="N80"/>
  <c r="U80" s="1"/>
  <c r="K2326"/>
  <c r="K2317"/>
  <c r="K2318" s="1"/>
  <c r="K2319" s="1"/>
  <c r="N91"/>
  <c r="U91" s="1"/>
  <c r="J114"/>
  <c r="L114"/>
  <c r="U99"/>
  <c r="N99"/>
  <c r="N47"/>
  <c r="U47" s="1"/>
  <c r="L1976"/>
  <c r="L1978" s="1"/>
  <c r="I65"/>
  <c r="K65" s="1"/>
  <c r="B2828"/>
  <c r="B2866" s="1"/>
  <c r="G3029"/>
  <c r="G3031" s="1"/>
  <c r="G3203"/>
  <c r="G3450"/>
  <c r="K4367"/>
  <c r="K4368" s="1"/>
  <c r="K4369" s="1"/>
  <c r="K4370" s="1"/>
  <c r="H1435" i="18"/>
  <c r="E1443"/>
  <c r="K1432" i="44"/>
  <c r="X97"/>
  <c r="J113"/>
  <c r="L113" s="1"/>
  <c r="N79"/>
  <c r="U79" s="1"/>
  <c r="A148"/>
  <c r="G688"/>
  <c r="U1013"/>
  <c r="A1587"/>
  <c r="J2187"/>
  <c r="G3502"/>
  <c r="G3503" s="1"/>
  <c r="K3534"/>
  <c r="G3172"/>
  <c r="H10"/>
  <c r="I10" s="1"/>
  <c r="K10" s="1"/>
  <c r="J4179" s="1"/>
  <c r="K4179" s="1"/>
  <c r="L1869"/>
  <c r="I67"/>
  <c r="J2075" s="1"/>
  <c r="K2075" s="1"/>
  <c r="F93"/>
  <c r="G93" s="1"/>
  <c r="N93" s="1"/>
  <c r="U93" s="1"/>
  <c r="A246"/>
  <c r="A966" s="1"/>
  <c r="B519"/>
  <c r="B2689" s="1"/>
  <c r="U1014"/>
  <c r="X1014" s="1"/>
  <c r="G3122"/>
  <c r="G3123" s="1"/>
  <c r="G3124" s="1"/>
  <c r="G3126" s="1"/>
  <c r="G3426"/>
  <c r="H1437" i="18"/>
  <c r="H1436"/>
  <c r="H1181" s="1"/>
  <c r="I25" i="44"/>
  <c r="X25" s="1"/>
  <c r="H26"/>
  <c r="I26" s="1"/>
  <c r="X26" s="1"/>
  <c r="K1313"/>
  <c r="G3476"/>
  <c r="AC119" i="4"/>
  <c r="AC120" s="1"/>
  <c r="JA117" i="6"/>
  <c r="H2556" i="18"/>
  <c r="D2975"/>
  <c r="H2975" s="1"/>
  <c r="H2982" s="1"/>
  <c r="B832" i="7"/>
  <c r="B4685"/>
  <c r="B4703" s="1"/>
  <c r="B4757" s="1"/>
  <c r="A816"/>
  <c r="A4624"/>
  <c r="H2229" i="18"/>
  <c r="D2957" s="1"/>
  <c r="H5681"/>
  <c r="H5665"/>
  <c r="H5649"/>
  <c r="H5632"/>
  <c r="H5607"/>
  <c r="H5721"/>
  <c r="H5753"/>
  <c r="H2253"/>
  <c r="F2254"/>
  <c r="H2239"/>
  <c r="F2240"/>
  <c r="H2240" s="1"/>
  <c r="H4463"/>
  <c r="H5413"/>
  <c r="H5445"/>
  <c r="H5462"/>
  <c r="H5478"/>
  <c r="H5494"/>
  <c r="H5510"/>
  <c r="H5526"/>
  <c r="H5542"/>
  <c r="H5574"/>
  <c r="H5729"/>
  <c r="H5769"/>
  <c r="J5515" i="7"/>
  <c r="K5515" s="1"/>
  <c r="J5534"/>
  <c r="K5534" s="1"/>
  <c r="J5456"/>
  <c r="K5456" s="1"/>
  <c r="J5496"/>
  <c r="K5496" s="1"/>
  <c r="J5476"/>
  <c r="K5476" s="1"/>
  <c r="DS119" i="4"/>
  <c r="DN119"/>
  <c r="DN120" s="1"/>
  <c r="DN121" s="1"/>
  <c r="DO121" s="1"/>
  <c r="J5436" i="7"/>
  <c r="K5436" s="1"/>
  <c r="H5802" i="18"/>
  <c r="H5777"/>
  <c r="H5079"/>
  <c r="H4496"/>
  <c r="H4528"/>
  <c r="H4544"/>
  <c r="H5114"/>
  <c r="Q561" i="4"/>
  <c r="Q562" s="1"/>
  <c r="P561"/>
  <c r="P562" s="1"/>
  <c r="H5867" i="18"/>
  <c r="H5149"/>
  <c r="H5405"/>
  <c r="H5591"/>
  <c r="H4455"/>
  <c r="H4488"/>
  <c r="H5835"/>
  <c r="H5851"/>
  <c r="H5075"/>
  <c r="DU120" i="4"/>
  <c r="DT121"/>
  <c r="DU121" s="1"/>
  <c r="AU248"/>
  <c r="AU246"/>
  <c r="AV246" s="1"/>
  <c r="AV245"/>
  <c r="B507"/>
  <c r="B464"/>
  <c r="H267"/>
  <c r="G268"/>
  <c r="H268" s="1"/>
  <c r="G229"/>
  <c r="G227"/>
  <c r="H227" s="1"/>
  <c r="H226"/>
  <c r="B467"/>
  <c r="B510"/>
  <c r="K248"/>
  <c r="K246"/>
  <c r="L246" s="1"/>
  <c r="L245"/>
  <c r="G248"/>
  <c r="G246"/>
  <c r="H246" s="1"/>
  <c r="H245"/>
  <c r="DS120"/>
  <c r="DR121"/>
  <c r="DS121" s="1"/>
  <c r="B463"/>
  <c r="B506"/>
  <c r="K268"/>
  <c r="L268" s="1"/>
  <c r="L267"/>
  <c r="B471"/>
  <c r="B514"/>
  <c r="B466"/>
  <c r="B509"/>
  <c r="CS229"/>
  <c r="CS227"/>
  <c r="CX227" s="1"/>
  <c r="CX226"/>
  <c r="DQ119"/>
  <c r="DP120"/>
  <c r="K229"/>
  <c r="K227"/>
  <c r="L227" s="1"/>
  <c r="L226"/>
  <c r="F71" i="44"/>
  <c r="G71" s="1"/>
  <c r="J1897" s="1"/>
  <c r="K1897" s="1"/>
  <c r="F70"/>
  <c r="G70" s="1"/>
  <c r="J1898" s="1"/>
  <c r="K1898" s="1"/>
  <c r="Q3773"/>
  <c r="F81"/>
  <c r="G81" s="1"/>
  <c r="N81" s="1"/>
  <c r="X44"/>
  <c r="N61"/>
  <c r="U61" s="1"/>
  <c r="N75"/>
  <c r="U75" s="1"/>
  <c r="N90"/>
  <c r="U90" s="1"/>
  <c r="N76"/>
  <c r="U76" s="1"/>
  <c r="K2783"/>
  <c r="N55"/>
  <c r="U55" s="1"/>
  <c r="F72"/>
  <c r="G72" s="1"/>
  <c r="J1916" s="1"/>
  <c r="K1916" s="1"/>
  <c r="F73"/>
  <c r="G73" s="1"/>
  <c r="N73" s="1"/>
  <c r="U73" s="1"/>
  <c r="F64"/>
  <c r="N58"/>
  <c r="U58" s="1"/>
  <c r="N29"/>
  <c r="U29" s="1"/>
  <c r="L59"/>
  <c r="O59" s="1"/>
  <c r="N59"/>
  <c r="U59" s="1"/>
  <c r="J2891"/>
  <c r="K2891" s="1"/>
  <c r="K2893" s="1"/>
  <c r="N77"/>
  <c r="U77" s="1"/>
  <c r="N84"/>
  <c r="U84" s="1"/>
  <c r="N57"/>
  <c r="U57" s="1"/>
  <c r="L60"/>
  <c r="O60" s="1"/>
  <c r="N60"/>
  <c r="U60" s="1"/>
  <c r="K25"/>
  <c r="J1494" s="1"/>
  <c r="K1494" s="1"/>
  <c r="X98"/>
  <c r="U83"/>
  <c r="U63"/>
  <c r="U86"/>
  <c r="K29"/>
  <c r="L29" s="1"/>
  <c r="O29" s="1"/>
  <c r="K30"/>
  <c r="L30" s="1"/>
  <c r="O30" s="1"/>
  <c r="K43"/>
  <c r="J4074" s="1"/>
  <c r="K4074" s="1"/>
  <c r="K12"/>
  <c r="L12" s="1"/>
  <c r="O12" s="1"/>
  <c r="J22"/>
  <c r="J23" s="1"/>
  <c r="K20"/>
  <c r="L20" s="1"/>
  <c r="H5077" i="18"/>
  <c r="H5076"/>
  <c r="H5078"/>
  <c r="I14" i="44"/>
  <c r="K14" s="1"/>
  <c r="L14" s="1"/>
  <c r="O14" s="1"/>
  <c r="H15"/>
  <c r="I15" s="1"/>
  <c r="X15" s="1"/>
  <c r="J1567"/>
  <c r="K1567" s="1"/>
  <c r="L24"/>
  <c r="O24" s="1"/>
  <c r="X24"/>
  <c r="N24"/>
  <c r="U24" s="1"/>
  <c r="J4169"/>
  <c r="K4169" s="1"/>
  <c r="N10"/>
  <c r="U10" s="1"/>
  <c r="J4891"/>
  <c r="K4891" s="1"/>
  <c r="J4861"/>
  <c r="K4861" s="1"/>
  <c r="J4948"/>
  <c r="K4948" s="1"/>
  <c r="J4921"/>
  <c r="K4921" s="1"/>
  <c r="J4830"/>
  <c r="K4830" s="1"/>
  <c r="J1733"/>
  <c r="K1733" s="1"/>
  <c r="J1699"/>
  <c r="K1699" s="1"/>
  <c r="J1767"/>
  <c r="K1767" s="1"/>
  <c r="N11"/>
  <c r="U11" s="1"/>
  <c r="J2492"/>
  <c r="K2492" s="1"/>
  <c r="J2538"/>
  <c r="K2538" s="1"/>
  <c r="J1678"/>
  <c r="K1678" s="1"/>
  <c r="J1802"/>
  <c r="K1802" s="1"/>
  <c r="J1445"/>
  <c r="K1445" s="1"/>
  <c r="X12"/>
  <c r="N12"/>
  <c r="U12" s="1"/>
  <c r="J1422"/>
  <c r="L13"/>
  <c r="O13" s="1"/>
  <c r="N13"/>
  <c r="U13" s="1"/>
  <c r="J2477"/>
  <c r="K2477" s="1"/>
  <c r="K2478" s="1"/>
  <c r="N22"/>
  <c r="U22" s="1"/>
  <c r="J4148"/>
  <c r="K4148" s="1"/>
  <c r="K4150" s="1"/>
  <c r="K4152" s="1"/>
  <c r="X23"/>
  <c r="N23"/>
  <c r="U23" s="1"/>
  <c r="N30"/>
  <c r="U30" s="1"/>
  <c r="N32"/>
  <c r="U32" s="1"/>
  <c r="N38"/>
  <c r="U38" s="1"/>
  <c r="J2941"/>
  <c r="J2950" s="1"/>
  <c r="J2959" s="1"/>
  <c r="K2959" s="1"/>
  <c r="J2074"/>
  <c r="K2074" s="1"/>
  <c r="K49"/>
  <c r="J2576"/>
  <c r="K2576" s="1"/>
  <c r="J2739"/>
  <c r="K2739" s="1"/>
  <c r="J2658"/>
  <c r="K2658" s="1"/>
  <c r="J2818"/>
  <c r="K2818" s="1"/>
  <c r="N62"/>
  <c r="U62" s="1"/>
  <c r="H123"/>
  <c r="J122"/>
  <c r="L122" s="1"/>
  <c r="N87"/>
  <c r="U87" s="1"/>
  <c r="K36"/>
  <c r="L36" s="1"/>
  <c r="O36" s="1"/>
  <c r="J4847"/>
  <c r="K4847" s="1"/>
  <c r="J4878"/>
  <c r="K4878" s="1"/>
  <c r="D14"/>
  <c r="D15" s="1"/>
  <c r="D16" s="1"/>
  <c r="D17" s="1"/>
  <c r="D18" s="1"/>
  <c r="D13"/>
  <c r="N18"/>
  <c r="U18" s="1"/>
  <c r="N33"/>
  <c r="U33" s="1"/>
  <c r="N37"/>
  <c r="U37" s="1"/>
  <c r="N41"/>
  <c r="U41" s="1"/>
  <c r="J4358"/>
  <c r="K4358" s="1"/>
  <c r="J47"/>
  <c r="H56"/>
  <c r="I55"/>
  <c r="K55" s="1"/>
  <c r="L55" s="1"/>
  <c r="O55" s="1"/>
  <c r="H69"/>
  <c r="I68"/>
  <c r="K68" s="1"/>
  <c r="J1956"/>
  <c r="K1956" s="1"/>
  <c r="J1877"/>
  <c r="K1877" s="1"/>
  <c r="J1918"/>
  <c r="K1918" s="1"/>
  <c r="J1937"/>
  <c r="K1937" s="1"/>
  <c r="N69"/>
  <c r="U69" s="1"/>
  <c r="H101"/>
  <c r="I100"/>
  <c r="K100" s="1"/>
  <c r="L100" s="1"/>
  <c r="N101"/>
  <c r="U101" s="1"/>
  <c r="J3417"/>
  <c r="K3417" s="1"/>
  <c r="N95"/>
  <c r="U95" s="1"/>
  <c r="J3207"/>
  <c r="K3207" s="1"/>
  <c r="J3126"/>
  <c r="J3033"/>
  <c r="K3033" s="1"/>
  <c r="J3005"/>
  <c r="K3005" s="1"/>
  <c r="J2978"/>
  <c r="K2978" s="1"/>
  <c r="J3148"/>
  <c r="K3148" s="1"/>
  <c r="J3097"/>
  <c r="J3065"/>
  <c r="K3065" s="1"/>
  <c r="J3176"/>
  <c r="K3176" s="1"/>
  <c r="N88"/>
  <c r="U88" s="1"/>
  <c r="K17"/>
  <c r="L17" s="1"/>
  <c r="O17" s="1"/>
  <c r="K23"/>
  <c r="J4153" s="1"/>
  <c r="K4153" s="1"/>
  <c r="K44"/>
  <c r="L44" s="1"/>
  <c r="O44" s="1"/>
  <c r="J4892"/>
  <c r="K4892" s="1"/>
  <c r="J4862"/>
  <c r="K4862" s="1"/>
  <c r="J4949"/>
  <c r="K4949" s="1"/>
  <c r="J4922"/>
  <c r="K4922" s="1"/>
  <c r="J4831"/>
  <c r="K4831" s="1"/>
  <c r="J1768"/>
  <c r="K1768" s="1"/>
  <c r="J1734"/>
  <c r="K1734" s="1"/>
  <c r="J1700"/>
  <c r="K1700" s="1"/>
  <c r="X14"/>
  <c r="N14"/>
  <c r="U14" s="1"/>
  <c r="J2539"/>
  <c r="K2539" s="1"/>
  <c r="J2515"/>
  <c r="K2515" s="1"/>
  <c r="N16"/>
  <c r="U16" s="1"/>
  <c r="J4065"/>
  <c r="K4065" s="1"/>
  <c r="J4048"/>
  <c r="K4048" s="1"/>
  <c r="J4156"/>
  <c r="K4156" s="1"/>
  <c r="J1657"/>
  <c r="K1657" s="1"/>
  <c r="J1637"/>
  <c r="K1637" s="1"/>
  <c r="X17"/>
  <c r="N17"/>
  <c r="U17" s="1"/>
  <c r="N19"/>
  <c r="U19" s="1"/>
  <c r="N20"/>
  <c r="U20" s="1"/>
  <c r="N21"/>
  <c r="U21" s="1"/>
  <c r="J1483"/>
  <c r="K1483" s="1"/>
  <c r="J1455"/>
  <c r="K1455" s="1"/>
  <c r="N25"/>
  <c r="U25" s="1"/>
  <c r="N27"/>
  <c r="U27" s="1"/>
  <c r="N34"/>
  <c r="U34" s="1"/>
  <c r="H39"/>
  <c r="I38"/>
  <c r="K38" s="1"/>
  <c r="L38" s="1"/>
  <c r="O38" s="1"/>
  <c r="N40"/>
  <c r="U40" s="1"/>
  <c r="J4911"/>
  <c r="K4911" s="1"/>
  <c r="J4968"/>
  <c r="J4851"/>
  <c r="J4941"/>
  <c r="K4941" s="1"/>
  <c r="J4882"/>
  <c r="K4882" s="1"/>
  <c r="J4181"/>
  <c r="K4181" s="1"/>
  <c r="J4089"/>
  <c r="K4089" s="1"/>
  <c r="J3553"/>
  <c r="K3553" s="1"/>
  <c r="K3554" s="1"/>
  <c r="J4060"/>
  <c r="K4060" s="1"/>
  <c r="J4122"/>
  <c r="J2856"/>
  <c r="K2856" s="1"/>
  <c r="J2552"/>
  <c r="K2552" s="1"/>
  <c r="J2405"/>
  <c r="J2363"/>
  <c r="K2363" s="1"/>
  <c r="J2656"/>
  <c r="J2302"/>
  <c r="J2271"/>
  <c r="K2271" s="1"/>
  <c r="J2575"/>
  <c r="K2575" s="1"/>
  <c r="J2504"/>
  <c r="K2504" s="1"/>
  <c r="J2426"/>
  <c r="K2426" s="1"/>
  <c r="J2384"/>
  <c r="K2384" s="1"/>
  <c r="J2342"/>
  <c r="K2342" s="1"/>
  <c r="J2738"/>
  <c r="K2738" s="1"/>
  <c r="J2527"/>
  <c r="K2527" s="1"/>
  <c r="J1753"/>
  <c r="K1753" s="1"/>
  <c r="J1552"/>
  <c r="K1552" s="1"/>
  <c r="J1524"/>
  <c r="K1524" s="1"/>
  <c r="J1496"/>
  <c r="K1496" s="1"/>
  <c r="J1468"/>
  <c r="K1468" s="1"/>
  <c r="J1387"/>
  <c r="K1387" s="1"/>
  <c r="J1719"/>
  <c r="K1719" s="1"/>
  <c r="J1690"/>
  <c r="K1690" s="1"/>
  <c r="J1652"/>
  <c r="K1652" s="1"/>
  <c r="J1816"/>
  <c r="K1816" s="1"/>
  <c r="J1672"/>
  <c r="K1672" s="1"/>
  <c r="J1434"/>
  <c r="K1434" s="1"/>
  <c r="J1787"/>
  <c r="K1787" s="1"/>
  <c r="J1610"/>
  <c r="K1610" s="1"/>
  <c r="J1580"/>
  <c r="K1580" s="1"/>
  <c r="J1410"/>
  <c r="K1410" s="1"/>
  <c r="J2064"/>
  <c r="K2064" s="1"/>
  <c r="X67"/>
  <c r="N67"/>
  <c r="U67" s="1"/>
  <c r="J1957"/>
  <c r="K1957" s="1"/>
  <c r="J1834"/>
  <c r="K1834" s="1"/>
  <c r="X68"/>
  <c r="L68"/>
  <c r="O68" s="1"/>
  <c r="N68"/>
  <c r="U68" s="1"/>
  <c r="N94"/>
  <c r="U94" s="1"/>
  <c r="N85"/>
  <c r="U85" s="1"/>
  <c r="N15"/>
  <c r="U15" s="1"/>
  <c r="J1539"/>
  <c r="K1539" s="1"/>
  <c r="J1511"/>
  <c r="K1511" s="1"/>
  <c r="N26"/>
  <c r="U26" s="1"/>
  <c r="I31"/>
  <c r="K31" s="1"/>
  <c r="L31" s="1"/>
  <c r="O31" s="1"/>
  <c r="H32"/>
  <c r="N31"/>
  <c r="U31" s="1"/>
  <c r="N39"/>
  <c r="U39" s="1"/>
  <c r="D75"/>
  <c r="D76" s="1"/>
  <c r="D77" s="1"/>
  <c r="D79" s="1"/>
  <c r="D80" s="1"/>
  <c r="D81" s="1"/>
  <c r="D82" s="1"/>
  <c r="D83" s="1"/>
  <c r="D84" s="1"/>
  <c r="D85" s="1"/>
  <c r="D86" s="1"/>
  <c r="D87" s="1"/>
  <c r="D88" s="1"/>
  <c r="D89" s="1"/>
  <c r="D90" s="1"/>
  <c r="D91" s="1"/>
  <c r="D92" s="1"/>
  <c r="D93" s="1"/>
  <c r="D94" s="1"/>
  <c r="D95" s="1"/>
  <c r="D96" s="1"/>
  <c r="D97" s="1"/>
  <c r="D74"/>
  <c r="X78"/>
  <c r="L78"/>
  <c r="O78" s="1"/>
  <c r="N78"/>
  <c r="U78" s="1"/>
  <c r="J3435"/>
  <c r="K3435" s="1"/>
  <c r="J3461"/>
  <c r="K3461" s="1"/>
  <c r="J3487"/>
  <c r="K3487" s="1"/>
  <c r="J3513"/>
  <c r="K3513" s="1"/>
  <c r="Q3668"/>
  <c r="F89"/>
  <c r="G89" s="1"/>
  <c r="J4356"/>
  <c r="K4356" s="1"/>
  <c r="J4140"/>
  <c r="K4140" s="1"/>
  <c r="K4142" s="1"/>
  <c r="K4144" s="1"/>
  <c r="J4258"/>
  <c r="K4258" s="1"/>
  <c r="J4232"/>
  <c r="K4232" s="1"/>
  <c r="J4426"/>
  <c r="K4426" s="1"/>
  <c r="K2580"/>
  <c r="J2842"/>
  <c r="K2842" s="1"/>
  <c r="K2743"/>
  <c r="K2868"/>
  <c r="K2830"/>
  <c r="J2808"/>
  <c r="K2808" s="1"/>
  <c r="K2662"/>
  <c r="K2753"/>
  <c r="K2672"/>
  <c r="K2590"/>
  <c r="K2600"/>
  <c r="K2763"/>
  <c r="K2682"/>
  <c r="K2692"/>
  <c r="K2610"/>
  <c r="K2773"/>
  <c r="K2620"/>
  <c r="K2702"/>
  <c r="K2796"/>
  <c r="K2633"/>
  <c r="K2715"/>
  <c r="J4526"/>
  <c r="K4526" s="1"/>
  <c r="K4528" s="1"/>
  <c r="J4897"/>
  <c r="K4897" s="1"/>
  <c r="J4867"/>
  <c r="K4867" s="1"/>
  <c r="J4954"/>
  <c r="K4954" s="1"/>
  <c r="J4517"/>
  <c r="K4517" s="1"/>
  <c r="K4519" s="1"/>
  <c r="J4279"/>
  <c r="K4279" s="1"/>
  <c r="K4281" s="1"/>
  <c r="J4927"/>
  <c r="K4927" s="1"/>
  <c r="J4836"/>
  <c r="K4836" s="1"/>
  <c r="J4537"/>
  <c r="K4537" s="1"/>
  <c r="K4539" s="1"/>
  <c r="J4188"/>
  <c r="K4188" s="1"/>
  <c r="K4189" s="1"/>
  <c r="K4191" s="1"/>
  <c r="K4192" s="1"/>
  <c r="J4019"/>
  <c r="K4019" s="1"/>
  <c r="K4021" s="1"/>
  <c r="K4022" s="1"/>
  <c r="K4023" s="1"/>
  <c r="I695" s="1"/>
  <c r="K695" s="1"/>
  <c r="L695" s="1"/>
  <c r="J3993"/>
  <c r="K3993" s="1"/>
  <c r="K3995" s="1"/>
  <c r="J3373"/>
  <c r="K3373" s="1"/>
  <c r="J4102"/>
  <c r="K4102" s="1"/>
  <c r="J3968"/>
  <c r="K3968" s="1"/>
  <c r="K3970" s="1"/>
  <c r="J3958"/>
  <c r="K3958" s="1"/>
  <c r="K3960" s="1"/>
  <c r="K3962" s="1"/>
  <c r="K3963" s="1"/>
  <c r="I689" s="1"/>
  <c r="K689" s="1"/>
  <c r="L689" s="1"/>
  <c r="J4546"/>
  <c r="K4546" s="1"/>
  <c r="K4548" s="1"/>
  <c r="J4027"/>
  <c r="K4027" s="1"/>
  <c r="K4029" s="1"/>
  <c r="K4030" s="1"/>
  <c r="K4031" s="1"/>
  <c r="I696" s="1"/>
  <c r="K696" s="1"/>
  <c r="L696" s="1"/>
  <c r="J4006"/>
  <c r="K4006" s="1"/>
  <c r="K4008" s="1"/>
  <c r="J3980"/>
  <c r="K3980" s="1"/>
  <c r="K3982" s="1"/>
  <c r="J4159"/>
  <c r="K4159" s="1"/>
  <c r="J4085"/>
  <c r="K4085" s="1"/>
  <c r="K4087" s="1"/>
  <c r="J3316"/>
  <c r="K3316" s="1"/>
  <c r="K3317" s="1"/>
  <c r="K3319" s="1"/>
  <c r="K3320" s="1"/>
  <c r="I584" s="1"/>
  <c r="K584" s="1"/>
  <c r="L584" s="1"/>
  <c r="J3263"/>
  <c r="K3263" s="1"/>
  <c r="J3188"/>
  <c r="K3188" s="1"/>
  <c r="J3139"/>
  <c r="K3139" s="1"/>
  <c r="J3109"/>
  <c r="K3109" s="1"/>
  <c r="J3079"/>
  <c r="K3079" s="1"/>
  <c r="J3046"/>
  <c r="K3046" s="1"/>
  <c r="J2896"/>
  <c r="K2896" s="1"/>
  <c r="J2713"/>
  <c r="K2713" s="1"/>
  <c r="J2569"/>
  <c r="K2569" s="1"/>
  <c r="J3288"/>
  <c r="K3288" s="1"/>
  <c r="J3219"/>
  <c r="K3219" s="1"/>
  <c r="J3159"/>
  <c r="K3159" s="1"/>
  <c r="J2988"/>
  <c r="K2988" s="1"/>
  <c r="J2794"/>
  <c r="K2794" s="1"/>
  <c r="J2732"/>
  <c r="K2732" s="1"/>
  <c r="J2067"/>
  <c r="K2067" s="1"/>
  <c r="J3243"/>
  <c r="K3243" s="1"/>
  <c r="J2631"/>
  <c r="K2631" s="1"/>
  <c r="J1963"/>
  <c r="K1963" s="1"/>
  <c r="J1882"/>
  <c r="K1882" s="1"/>
  <c r="J1861"/>
  <c r="K1861" s="1"/>
  <c r="J1773"/>
  <c r="K1773" s="1"/>
  <c r="J1739"/>
  <c r="K1739" s="1"/>
  <c r="J1242"/>
  <c r="K1242" s="1"/>
  <c r="J1211"/>
  <c r="K1211" s="1"/>
  <c r="K1213" s="1"/>
  <c r="J1923"/>
  <c r="K1923" s="1"/>
  <c r="J1840"/>
  <c r="K1840" s="1"/>
  <c r="J1705"/>
  <c r="K1705" s="1"/>
  <c r="J1601"/>
  <c r="K1601" s="1"/>
  <c r="J1228"/>
  <c r="K1228" s="1"/>
  <c r="K1230" s="1"/>
  <c r="J1942"/>
  <c r="K1942" s="1"/>
  <c r="J1903"/>
  <c r="K1903" s="1"/>
  <c r="J942"/>
  <c r="K942" s="1"/>
  <c r="K944" s="1"/>
  <c r="J3182"/>
  <c r="K3182" s="1"/>
  <c r="J3154"/>
  <c r="K3154" s="1"/>
  <c r="J3071"/>
  <c r="K3071" s="1"/>
  <c r="J3038"/>
  <c r="K3038" s="1"/>
  <c r="J3132"/>
  <c r="K3132" s="1"/>
  <c r="J3102"/>
  <c r="K3102" s="1"/>
  <c r="I9"/>
  <c r="K9" s="1"/>
  <c r="L9" s="1"/>
  <c r="O9" s="1"/>
  <c r="N9"/>
  <c r="U9" s="1"/>
  <c r="I11"/>
  <c r="K11" s="1"/>
  <c r="J15"/>
  <c r="H16"/>
  <c r="I16" s="1"/>
  <c r="K16" s="1"/>
  <c r="L16" s="1"/>
  <c r="O16" s="1"/>
  <c r="H18"/>
  <c r="I18" s="1"/>
  <c r="K18" s="1"/>
  <c r="L18" s="1"/>
  <c r="H22"/>
  <c r="I22" s="1"/>
  <c r="K22" s="1"/>
  <c r="J2485" s="1"/>
  <c r="K2485" s="1"/>
  <c r="K2486" s="1"/>
  <c r="D27"/>
  <c r="D29" s="1"/>
  <c r="D30" s="1"/>
  <c r="D31" s="1"/>
  <c r="D32" s="1"/>
  <c r="D33" s="1"/>
  <c r="D34" s="1"/>
  <c r="D36" s="1"/>
  <c r="D37" s="1"/>
  <c r="D38" s="1"/>
  <c r="D39" s="1"/>
  <c r="D40" s="1"/>
  <c r="D41" s="1"/>
  <c r="L45"/>
  <c r="O45" s="1"/>
  <c r="U46"/>
  <c r="N50"/>
  <c r="U50" s="1"/>
  <c r="X50"/>
  <c r="L52"/>
  <c r="O52" s="1"/>
  <c r="X52"/>
  <c r="U92"/>
  <c r="L98"/>
  <c r="N103"/>
  <c r="U103" s="1"/>
  <c r="J2932"/>
  <c r="K2932" s="1"/>
  <c r="J2916"/>
  <c r="K2916" s="1"/>
  <c r="J4955"/>
  <c r="K4955" s="1"/>
  <c r="J4928"/>
  <c r="K4928" s="1"/>
  <c r="J4837"/>
  <c r="K4837" s="1"/>
  <c r="J4898"/>
  <c r="K4898" s="1"/>
  <c r="J4868"/>
  <c r="K4868" s="1"/>
  <c r="J4173"/>
  <c r="K4173" s="1"/>
  <c r="J4067"/>
  <c r="K4067" s="1"/>
  <c r="J4052"/>
  <c r="K4052" s="1"/>
  <c r="J3804"/>
  <c r="K3804" s="1"/>
  <c r="K3806" s="1"/>
  <c r="K3812" s="1"/>
  <c r="J3698"/>
  <c r="K3698" s="1"/>
  <c r="K3700" s="1"/>
  <c r="K3707" s="1"/>
  <c r="J3526"/>
  <c r="K3526" s="1"/>
  <c r="K3528" s="1"/>
  <c r="K3535" s="1"/>
  <c r="K3536" s="1"/>
  <c r="J4116"/>
  <c r="K4116" s="1"/>
  <c r="K4118" s="1"/>
  <c r="J3409"/>
  <c r="K3409" s="1"/>
  <c r="J3340"/>
  <c r="K3340" s="1"/>
  <c r="K3342" s="1"/>
  <c r="K3344" s="1"/>
  <c r="K3345" s="1"/>
  <c r="J4103"/>
  <c r="K4103" s="1"/>
  <c r="J3821"/>
  <c r="K3821" s="1"/>
  <c r="K3823" s="1"/>
  <c r="J3681"/>
  <c r="K3681" s="1"/>
  <c r="K3683" s="1"/>
  <c r="K3690" s="1"/>
  <c r="J3548"/>
  <c r="K3548" s="1"/>
  <c r="K3550" s="1"/>
  <c r="J3218"/>
  <c r="K3218" s="1"/>
  <c r="J2987"/>
  <c r="K2987" s="1"/>
  <c r="J2928"/>
  <c r="K2928" s="1"/>
  <c r="K2930" s="1"/>
  <c r="J2480"/>
  <c r="K2480" s="1"/>
  <c r="K2482" s="1"/>
  <c r="J2296"/>
  <c r="K2296" s="1"/>
  <c r="K2298" s="1"/>
  <c r="K2307" s="1"/>
  <c r="J2265"/>
  <c r="K2265" s="1"/>
  <c r="K2267" s="1"/>
  <c r="J2420"/>
  <c r="K2420" s="1"/>
  <c r="K2422" s="1"/>
  <c r="K2431" s="1"/>
  <c r="J2378"/>
  <c r="K2378" s="1"/>
  <c r="K2380" s="1"/>
  <c r="K2389" s="1"/>
  <c r="J2336"/>
  <c r="K2336" s="1"/>
  <c r="K2338" s="1"/>
  <c r="K2347" s="1"/>
  <c r="J3187"/>
  <c r="K3187" s="1"/>
  <c r="J3078"/>
  <c r="K3078" s="1"/>
  <c r="J3045"/>
  <c r="K3045" s="1"/>
  <c r="J2897"/>
  <c r="K2897" s="1"/>
  <c r="J2466"/>
  <c r="K2466" s="1"/>
  <c r="K2468" s="1"/>
  <c r="J2399"/>
  <c r="K2399" s="1"/>
  <c r="K2401" s="1"/>
  <c r="K2410" s="1"/>
  <c r="J2357"/>
  <c r="K2357" s="1"/>
  <c r="K2359" s="1"/>
  <c r="K2368" s="1"/>
  <c r="J1922"/>
  <c r="K1922" s="1"/>
  <c r="J1839"/>
  <c r="K1839" s="1"/>
  <c r="J1706"/>
  <c r="K1706" s="1"/>
  <c r="J1941"/>
  <c r="K1941" s="1"/>
  <c r="J1902"/>
  <c r="K1902" s="1"/>
  <c r="J1807"/>
  <c r="K1807" s="1"/>
  <c r="K1809" s="1"/>
  <c r="J1663"/>
  <c r="K1663" s="1"/>
  <c r="J1183"/>
  <c r="K1183" s="1"/>
  <c r="J1962"/>
  <c r="K1962" s="1"/>
  <c r="J1881"/>
  <c r="K1881" s="1"/>
  <c r="J1860"/>
  <c r="K1860" s="1"/>
  <c r="J1774"/>
  <c r="K1774" s="1"/>
  <c r="J1603"/>
  <c r="K1603" s="1"/>
  <c r="J1573"/>
  <c r="K1573" s="1"/>
  <c r="J1403"/>
  <c r="K1403" s="1"/>
  <c r="K1405" s="1"/>
  <c r="J998"/>
  <c r="K998" s="1"/>
  <c r="K1000" s="1"/>
  <c r="J1740"/>
  <c r="K1740" s="1"/>
  <c r="J1643"/>
  <c r="K1643" s="1"/>
  <c r="J1545"/>
  <c r="K1545" s="1"/>
  <c r="J1517"/>
  <c r="K1517" s="1"/>
  <c r="J1489"/>
  <c r="K1489" s="1"/>
  <c r="J1461"/>
  <c r="K1461" s="1"/>
  <c r="J1427"/>
  <c r="K1427" s="1"/>
  <c r="K1429" s="1"/>
  <c r="J1380"/>
  <c r="K1380" s="1"/>
  <c r="K1382" s="1"/>
  <c r="J1243"/>
  <c r="K1243" s="1"/>
  <c r="J1013"/>
  <c r="J1028"/>
  <c r="K1028" s="1"/>
  <c r="K1030" s="1"/>
  <c r="H150"/>
  <c r="H151" s="1"/>
  <c r="A149"/>
  <c r="B2560"/>
  <c r="B510"/>
  <c r="B2641" s="1"/>
  <c r="J3433"/>
  <c r="K3433" s="1"/>
  <c r="J3485"/>
  <c r="K3485" s="1"/>
  <c r="J3098"/>
  <c r="K3098" s="1"/>
  <c r="J3066"/>
  <c r="K3066" s="1"/>
  <c r="J3127"/>
  <c r="K3127" s="1"/>
  <c r="J3034"/>
  <c r="K3034" s="1"/>
  <c r="J3006"/>
  <c r="K3006" s="1"/>
  <c r="J2979"/>
  <c r="K2979" s="1"/>
  <c r="J3010"/>
  <c r="K3010" s="1"/>
  <c r="J2983"/>
  <c r="K2983" s="1"/>
  <c r="J3131"/>
  <c r="K3131" s="1"/>
  <c r="J3101"/>
  <c r="K3101" s="1"/>
  <c r="J3070"/>
  <c r="K3070" s="1"/>
  <c r="J3037"/>
  <c r="K3037" s="1"/>
  <c r="J3363"/>
  <c r="K3363" s="1"/>
  <c r="K3367" s="1"/>
  <c r="J3366"/>
  <c r="K3366" s="1"/>
  <c r="J4933"/>
  <c r="K4933" s="1"/>
  <c r="J4842"/>
  <c r="K4842" s="1"/>
  <c r="J4903"/>
  <c r="K4903" s="1"/>
  <c r="J4873"/>
  <c r="K4873" s="1"/>
  <c r="J4960"/>
  <c r="K4960" s="1"/>
  <c r="A202"/>
  <c r="H201"/>
  <c r="J4432"/>
  <c r="K4432" s="1"/>
  <c r="K4433" s="1"/>
  <c r="G4436"/>
  <c r="J4438"/>
  <c r="K4438" s="1"/>
  <c r="K4439" s="1"/>
  <c r="G4430"/>
  <c r="J4409"/>
  <c r="K4409" s="1"/>
  <c r="K4410" s="1"/>
  <c r="G4037"/>
  <c r="J4402"/>
  <c r="K4402" s="1"/>
  <c r="J4902"/>
  <c r="K4902" s="1"/>
  <c r="J4872"/>
  <c r="K4872" s="1"/>
  <c r="J4959"/>
  <c r="K4959" s="1"/>
  <c r="J4932"/>
  <c r="K4932" s="1"/>
  <c r="J4841"/>
  <c r="K4841" s="1"/>
  <c r="H19"/>
  <c r="I19" s="1"/>
  <c r="K19" s="1"/>
  <c r="L19" s="1"/>
  <c r="H21"/>
  <c r="I21" s="1"/>
  <c r="K21" s="1"/>
  <c r="L21" s="1"/>
  <c r="J26"/>
  <c r="H27"/>
  <c r="I27" s="1"/>
  <c r="K27" s="1"/>
  <c r="L27" s="1"/>
  <c r="O27" s="1"/>
  <c r="K46"/>
  <c r="J4145" s="1"/>
  <c r="K4145" s="1"/>
  <c r="L50"/>
  <c r="O50" s="1"/>
  <c r="U51"/>
  <c r="U52"/>
  <c r="U53"/>
  <c r="U54"/>
  <c r="U56"/>
  <c r="N66"/>
  <c r="U66" s="1"/>
  <c r="L97"/>
  <c r="O97" s="1"/>
  <c r="I99"/>
  <c r="N100"/>
  <c r="U100" s="1"/>
  <c r="A147"/>
  <c r="K3701"/>
  <c r="K3703" s="1"/>
  <c r="K3704" s="1"/>
  <c r="J4860"/>
  <c r="K4860" s="1"/>
  <c r="J4829"/>
  <c r="K4829" s="1"/>
  <c r="J1415"/>
  <c r="K1415" s="1"/>
  <c r="J1392"/>
  <c r="K1392" s="1"/>
  <c r="J1375"/>
  <c r="K1375" s="1"/>
  <c r="J1398"/>
  <c r="K1398" s="1"/>
  <c r="N102"/>
  <c r="U102" s="1"/>
  <c r="B497"/>
  <c r="B535"/>
  <c r="B2760" s="1"/>
  <c r="J3128"/>
  <c r="K3128" s="1"/>
  <c r="J3099"/>
  <c r="K3099" s="1"/>
  <c r="J3067"/>
  <c r="K3067" s="1"/>
  <c r="H195"/>
  <c r="A194"/>
  <c r="N8"/>
  <c r="U8" s="1"/>
  <c r="X8"/>
  <c r="N36"/>
  <c r="U36" s="1"/>
  <c r="I37"/>
  <c r="K37" s="1"/>
  <c r="L37" s="1"/>
  <c r="O37" s="1"/>
  <c r="N42"/>
  <c r="U42" s="1"/>
  <c r="X42"/>
  <c r="N43"/>
  <c r="U43" s="1"/>
  <c r="X43"/>
  <c r="N44"/>
  <c r="U44" s="1"/>
  <c r="I51"/>
  <c r="K51" s="1"/>
  <c r="J2854" s="1"/>
  <c r="K2854" s="1"/>
  <c r="I53"/>
  <c r="K53" s="1"/>
  <c r="L53" s="1"/>
  <c r="O53" s="1"/>
  <c r="L66"/>
  <c r="O66" s="1"/>
  <c r="X66"/>
  <c r="N74"/>
  <c r="U74" s="1"/>
  <c r="N96"/>
  <c r="U96" s="1"/>
  <c r="J4893"/>
  <c r="K4893" s="1"/>
  <c r="J4863"/>
  <c r="K4863" s="1"/>
  <c r="J4950"/>
  <c r="K4950" s="1"/>
  <c r="J4923"/>
  <c r="K4923" s="1"/>
  <c r="J4832"/>
  <c r="K4832" s="1"/>
  <c r="J4082"/>
  <c r="K4082" s="1"/>
  <c r="J4112"/>
  <c r="K4112" s="1"/>
  <c r="J4170"/>
  <c r="K4170" s="1"/>
  <c r="J4049"/>
  <c r="K4049" s="1"/>
  <c r="J2843"/>
  <c r="K2843" s="1"/>
  <c r="J2540"/>
  <c r="K2540" s="1"/>
  <c r="J2416"/>
  <c r="K2416" s="1"/>
  <c r="J2374"/>
  <c r="K2374" s="1"/>
  <c r="J2332"/>
  <c r="K2332" s="1"/>
  <c r="J2645"/>
  <c r="K2645" s="1"/>
  <c r="J2516"/>
  <c r="K2516" s="1"/>
  <c r="J2564"/>
  <c r="K2564" s="1"/>
  <c r="J2395"/>
  <c r="K2395" s="1"/>
  <c r="J2353"/>
  <c r="K2353" s="1"/>
  <c r="J2727"/>
  <c r="K2727" s="1"/>
  <c r="J2493"/>
  <c r="K2493" s="1"/>
  <c r="J2292"/>
  <c r="K2292" s="1"/>
  <c r="J2261"/>
  <c r="K2261" s="1"/>
  <c r="J1803"/>
  <c r="K1803" s="1"/>
  <c r="J1735"/>
  <c r="K1735" s="1"/>
  <c r="J1638"/>
  <c r="K1638" s="1"/>
  <c r="J1540"/>
  <c r="K1540" s="1"/>
  <c r="J1512"/>
  <c r="K1512" s="1"/>
  <c r="J1484"/>
  <c r="K1484" s="1"/>
  <c r="J1456"/>
  <c r="K1456" s="1"/>
  <c r="J1701"/>
  <c r="K1701" s="1"/>
  <c r="J1399"/>
  <c r="K1399" s="1"/>
  <c r="J1658"/>
  <c r="K1658" s="1"/>
  <c r="J1376"/>
  <c r="K1376" s="1"/>
  <c r="J1769"/>
  <c r="K1769" s="1"/>
  <c r="J1679"/>
  <c r="K1679" s="1"/>
  <c r="J1596"/>
  <c r="K1596" s="1"/>
  <c r="J1568"/>
  <c r="K1568" s="1"/>
  <c r="J1423"/>
  <c r="K1423" s="1"/>
  <c r="Q1423" s="1"/>
  <c r="J2647"/>
  <c r="K2647" s="1"/>
  <c r="J2846"/>
  <c r="K2846" s="1"/>
  <c r="J2810"/>
  <c r="K2810" s="1"/>
  <c r="J121"/>
  <c r="L121" s="1"/>
  <c r="L5010"/>
  <c r="L928"/>
  <c r="L230"/>
  <c r="J2175"/>
  <c r="K2175" s="1"/>
  <c r="J2091"/>
  <c r="K2091" s="1"/>
  <c r="K2906"/>
  <c r="K2907" s="1"/>
  <c r="J3153"/>
  <c r="K3153" s="1"/>
  <c r="J3181"/>
  <c r="K3181" s="1"/>
  <c r="J3180"/>
  <c r="K3180" s="1"/>
  <c r="J3211"/>
  <c r="K3211" s="1"/>
  <c r="J3152"/>
  <c r="K3152" s="1"/>
  <c r="J3459"/>
  <c r="K3459" s="1"/>
  <c r="J3511"/>
  <c r="K3511" s="1"/>
  <c r="J2174"/>
  <c r="K2174" s="1"/>
  <c r="J2090"/>
  <c r="K2090" s="1"/>
  <c r="Z961"/>
  <c r="K959"/>
  <c r="AA961" s="1"/>
  <c r="AA964" s="1"/>
  <c r="K964"/>
  <c r="Z1048"/>
  <c r="K1046"/>
  <c r="K1047" s="1"/>
  <c r="K1048" s="1"/>
  <c r="K1051"/>
  <c r="L8"/>
  <c r="O8" s="1"/>
  <c r="L42"/>
  <c r="O42" s="1"/>
  <c r="N45"/>
  <c r="U45" s="1"/>
  <c r="X45"/>
  <c r="X46"/>
  <c r="H54"/>
  <c r="I54" s="1"/>
  <c r="K54" s="1"/>
  <c r="L54" s="1"/>
  <c r="O54" s="1"/>
  <c r="N98"/>
  <c r="U98" s="1"/>
  <c r="J3731"/>
  <c r="K3731" s="1"/>
  <c r="K3733" s="1"/>
  <c r="J3596"/>
  <c r="K3596" s="1"/>
  <c r="K3598" s="1"/>
  <c r="J3517"/>
  <c r="K3517" s="1"/>
  <c r="K3519" s="1"/>
  <c r="J3410"/>
  <c r="K3410" s="1"/>
  <c r="J3408"/>
  <c r="K3408" s="1"/>
  <c r="J4158"/>
  <c r="K4158" s="1"/>
  <c r="J3783"/>
  <c r="K3783" s="1"/>
  <c r="K3785" s="1"/>
  <c r="J3766"/>
  <c r="K3766" s="1"/>
  <c r="K3768" s="1"/>
  <c r="J3749"/>
  <c r="K3749" s="1"/>
  <c r="K3751" s="1"/>
  <c r="J3713"/>
  <c r="K3713" s="1"/>
  <c r="K3715" s="1"/>
  <c r="J3439"/>
  <c r="K3439" s="1"/>
  <c r="K3441" s="1"/>
  <c r="J4172"/>
  <c r="K4172" s="1"/>
  <c r="J4130"/>
  <c r="K4130" s="1"/>
  <c r="K4132" s="1"/>
  <c r="J3932"/>
  <c r="K3932" s="1"/>
  <c r="K3934" s="1"/>
  <c r="J3897"/>
  <c r="K3897" s="1"/>
  <c r="K3899" s="1"/>
  <c r="J3863"/>
  <c r="K3863" s="1"/>
  <c r="K3865" s="1"/>
  <c r="J3661"/>
  <c r="K3661" s="1"/>
  <c r="K3663" s="1"/>
  <c r="J3643"/>
  <c r="K3643" s="1"/>
  <c r="K3645" s="1"/>
  <c r="J3620"/>
  <c r="K3620" s="1"/>
  <c r="K3622" s="1"/>
  <c r="J3465"/>
  <c r="K3465" s="1"/>
  <c r="K3467" s="1"/>
  <c r="J3396"/>
  <c r="K3396" s="1"/>
  <c r="K3398" s="1"/>
  <c r="J3383"/>
  <c r="J3372"/>
  <c r="K3372" s="1"/>
  <c r="J3315"/>
  <c r="K3315" s="1"/>
  <c r="J4051"/>
  <c r="K4051" s="1"/>
  <c r="J3915"/>
  <c r="K3915" s="1"/>
  <c r="K3917" s="1"/>
  <c r="J3846"/>
  <c r="K3846" s="1"/>
  <c r="K3848" s="1"/>
  <c r="J3572"/>
  <c r="K3572" s="1"/>
  <c r="K3574" s="1"/>
  <c r="J3491"/>
  <c r="K3491" s="1"/>
  <c r="K3493" s="1"/>
  <c r="J3330"/>
  <c r="K3330" s="1"/>
  <c r="K3332" s="1"/>
  <c r="K3333" s="1"/>
  <c r="J3287"/>
  <c r="K3287" s="1"/>
  <c r="K3289" s="1"/>
  <c r="K3291" s="1"/>
  <c r="K3292" s="1"/>
  <c r="I583" s="1"/>
  <c r="K583" s="1"/>
  <c r="L583" s="1"/>
  <c r="J3158"/>
  <c r="K3158" s="1"/>
  <c r="K3160" s="1"/>
  <c r="J2731"/>
  <c r="K2731" s="1"/>
  <c r="J2650"/>
  <c r="K2650" s="1"/>
  <c r="K2652" s="1"/>
  <c r="J2497"/>
  <c r="K2497" s="1"/>
  <c r="K2499" s="1"/>
  <c r="K2509" s="1"/>
  <c r="J3186"/>
  <c r="K3186" s="1"/>
  <c r="J3077"/>
  <c r="K3077" s="1"/>
  <c r="J3044"/>
  <c r="K3044" s="1"/>
  <c r="J2911"/>
  <c r="K2911" s="1"/>
  <c r="K2913" s="1"/>
  <c r="K2914" s="1"/>
  <c r="J2882"/>
  <c r="K2882" s="1"/>
  <c r="K2884" s="1"/>
  <c r="K2886" s="1"/>
  <c r="K2887" s="1"/>
  <c r="I558" s="1"/>
  <c r="K558" s="1"/>
  <c r="L558" s="1"/>
  <c r="J2849"/>
  <c r="K2849" s="1"/>
  <c r="K2851" s="1"/>
  <c r="J2544"/>
  <c r="K2544" s="1"/>
  <c r="K2546" s="1"/>
  <c r="K2557" s="1"/>
  <c r="J3262"/>
  <c r="K3262" s="1"/>
  <c r="J3242"/>
  <c r="K3242" s="1"/>
  <c r="J3217"/>
  <c r="K3217" s="1"/>
  <c r="K3221" s="1"/>
  <c r="J2986"/>
  <c r="K2986" s="1"/>
  <c r="J2813"/>
  <c r="K2813" s="1"/>
  <c r="K2815" s="1"/>
  <c r="J2520"/>
  <c r="K2520" s="1"/>
  <c r="K2522" s="1"/>
  <c r="K2532" s="1"/>
  <c r="J3138"/>
  <c r="K3138" s="1"/>
  <c r="J3108"/>
  <c r="K3108" s="1"/>
  <c r="J3014"/>
  <c r="K3014" s="1"/>
  <c r="K3016" s="1"/>
  <c r="J2895"/>
  <c r="K2895" s="1"/>
  <c r="K2899" s="1"/>
  <c r="J2568"/>
  <c r="K2568" s="1"/>
  <c r="J2452"/>
  <c r="K2452" s="1"/>
  <c r="K2454" s="1"/>
  <c r="J2171"/>
  <c r="K2171" s="1"/>
  <c r="J2087"/>
  <c r="K2087" s="1"/>
  <c r="J1683"/>
  <c r="K1683" s="1"/>
  <c r="K1685" s="1"/>
  <c r="J1602"/>
  <c r="K1602" s="1"/>
  <c r="J1600"/>
  <c r="K1600" s="1"/>
  <c r="J1572"/>
  <c r="K1572" s="1"/>
  <c r="J1642"/>
  <c r="K1642" s="1"/>
  <c r="K1645" s="1"/>
  <c r="J1544"/>
  <c r="K1544" s="1"/>
  <c r="K1547" s="1"/>
  <c r="K1561" s="1"/>
  <c r="J1516"/>
  <c r="K1516" s="1"/>
  <c r="K1519" s="1"/>
  <c r="K1533" s="1"/>
  <c r="J1488"/>
  <c r="K1488" s="1"/>
  <c r="K1491" s="1"/>
  <c r="K1505" s="1"/>
  <c r="J1460"/>
  <c r="K1460" s="1"/>
  <c r="J2068"/>
  <c r="K2068" s="1"/>
  <c r="J1662"/>
  <c r="K1662" s="1"/>
  <c r="K1665" s="1"/>
  <c r="J3068"/>
  <c r="K3068" s="1"/>
  <c r="J3035"/>
  <c r="K3035" s="1"/>
  <c r="J3129"/>
  <c r="K3129" s="1"/>
  <c r="J3073"/>
  <c r="K3073" s="1"/>
  <c r="J3040"/>
  <c r="K3040" s="1"/>
  <c r="J3134"/>
  <c r="K3134" s="1"/>
  <c r="J3104"/>
  <c r="K3104" s="1"/>
  <c r="J3149"/>
  <c r="K3149" s="1"/>
  <c r="J3325"/>
  <c r="K3325" s="1"/>
  <c r="J3177"/>
  <c r="K3177" s="1"/>
  <c r="J3484"/>
  <c r="K3484" s="1"/>
  <c r="J3510"/>
  <c r="K3510" s="1"/>
  <c r="J3432"/>
  <c r="K3432" s="1"/>
  <c r="J3458"/>
  <c r="K3458" s="1"/>
  <c r="K3463" s="1"/>
  <c r="K3469" s="1"/>
  <c r="K3470" s="1"/>
  <c r="I592" s="1"/>
  <c r="K592" s="1"/>
  <c r="L592" s="1"/>
  <c r="J3486"/>
  <c r="K3486" s="1"/>
  <c r="J3512"/>
  <c r="K3512" s="1"/>
  <c r="J3434"/>
  <c r="K3434" s="1"/>
  <c r="J3460"/>
  <c r="K3460" s="1"/>
  <c r="J1744"/>
  <c r="K1744" s="1"/>
  <c r="J1710"/>
  <c r="K1710" s="1"/>
  <c r="J1778"/>
  <c r="K1778" s="1"/>
  <c r="J2173"/>
  <c r="K2173" s="1"/>
  <c r="J2089"/>
  <c r="K2089" s="1"/>
  <c r="E2350"/>
  <c r="E2598"/>
  <c r="E2603" s="1"/>
  <c r="E2442"/>
  <c r="E2751"/>
  <c r="E2756" s="1"/>
  <c r="E3569"/>
  <c r="E3581" s="1"/>
  <c r="E2690"/>
  <c r="E2695" s="1"/>
  <c r="E3586"/>
  <c r="E3587" s="1"/>
  <c r="E3895"/>
  <c r="E3907" s="1"/>
  <c r="J2102"/>
  <c r="J2103"/>
  <c r="D2105" s="1"/>
  <c r="A144"/>
  <c r="H200"/>
  <c r="G254"/>
  <c r="G456"/>
  <c r="G468"/>
  <c r="G489"/>
  <c r="E2555" s="1"/>
  <c r="G499"/>
  <c r="B513"/>
  <c r="G524"/>
  <c r="B525"/>
  <c r="B2709" s="1"/>
  <c r="G554"/>
  <c r="G556" s="1"/>
  <c r="G616"/>
  <c r="G619"/>
  <c r="G639"/>
  <c r="G651"/>
  <c r="E3741" s="1"/>
  <c r="G675"/>
  <c r="G687"/>
  <c r="G689" s="1"/>
  <c r="Z975"/>
  <c r="K1608"/>
  <c r="G5010"/>
  <c r="H928"/>
  <c r="K2923"/>
  <c r="K2924" s="1"/>
  <c r="Q3651"/>
  <c r="G3347"/>
  <c r="K3347" s="1"/>
  <c r="J3348" s="1"/>
  <c r="K3348" s="1"/>
  <c r="K3354" s="1"/>
  <c r="G3355" s="1"/>
  <c r="K3355" s="1"/>
  <c r="J3482"/>
  <c r="K3482" s="1"/>
  <c r="J3508"/>
  <c r="K3508" s="1"/>
  <c r="J3430"/>
  <c r="K3430" s="1"/>
  <c r="K3437" s="1"/>
  <c r="K3443" s="1"/>
  <c r="K3444" s="1"/>
  <c r="I591" s="1"/>
  <c r="K591" s="1"/>
  <c r="L591" s="1"/>
  <c r="J3456"/>
  <c r="K3456" s="1"/>
  <c r="J3212"/>
  <c r="K3212" s="1"/>
  <c r="J2981"/>
  <c r="J3326"/>
  <c r="K3326" s="1"/>
  <c r="Q3756"/>
  <c r="J3009"/>
  <c r="K3009" s="1"/>
  <c r="J2982"/>
  <c r="K2982" s="1"/>
  <c r="J3133"/>
  <c r="K3133" s="1"/>
  <c r="J3103"/>
  <c r="K3103" s="1"/>
  <c r="J3072"/>
  <c r="K3072" s="1"/>
  <c r="J3039"/>
  <c r="K3039" s="1"/>
  <c r="J3431"/>
  <c r="K3431" s="1"/>
  <c r="J3457"/>
  <c r="K3457" s="1"/>
  <c r="J3483"/>
  <c r="K3483" s="1"/>
  <c r="J3509"/>
  <c r="K3509" s="1"/>
  <c r="J3997"/>
  <c r="K3997" s="1"/>
  <c r="K3998" s="1"/>
  <c r="J3972"/>
  <c r="K3972" s="1"/>
  <c r="K3973" s="1"/>
  <c r="J4010"/>
  <c r="K4010" s="1"/>
  <c r="K4011" s="1"/>
  <c r="J3984"/>
  <c r="K3984" s="1"/>
  <c r="K3985" s="1"/>
  <c r="J1248"/>
  <c r="K1248" s="1"/>
  <c r="J1216"/>
  <c r="K1216" s="1"/>
  <c r="J4292"/>
  <c r="K4292" s="1"/>
  <c r="K4293" s="1"/>
  <c r="J3537"/>
  <c r="K3537" s="1"/>
  <c r="J4310"/>
  <c r="K4310" s="1"/>
  <c r="K4311" s="1"/>
  <c r="E2084"/>
  <c r="E1587"/>
  <c r="E2258"/>
  <c r="E2274"/>
  <c r="E962"/>
  <c r="E953"/>
  <c r="K1065"/>
  <c r="Z1066" s="1"/>
  <c r="K1061"/>
  <c r="K1062" s="1"/>
  <c r="Z1075"/>
  <c r="K1078"/>
  <c r="K1074"/>
  <c r="K1075" s="1"/>
  <c r="K1120"/>
  <c r="K1116"/>
  <c r="K1117" s="1"/>
  <c r="Z1117"/>
  <c r="Z1131"/>
  <c r="K1129"/>
  <c r="K1134"/>
  <c r="K1130"/>
  <c r="K1131" s="1"/>
  <c r="K1143"/>
  <c r="K1144" s="1"/>
  <c r="K1145" s="1"/>
  <c r="K1148"/>
  <c r="Z1145"/>
  <c r="Z1149" s="1"/>
  <c r="Z1159"/>
  <c r="K1157"/>
  <c r="K1158" s="1"/>
  <c r="K1159" s="1"/>
  <c r="K1162"/>
  <c r="K1264"/>
  <c r="K1263"/>
  <c r="K1294"/>
  <c r="K1295"/>
  <c r="K1296" s="1"/>
  <c r="K1315"/>
  <c r="K1316" s="1"/>
  <c r="K1317" s="1"/>
  <c r="K1326"/>
  <c r="K1327" s="1"/>
  <c r="H230"/>
  <c r="G346"/>
  <c r="E1503" s="1"/>
  <c r="G362"/>
  <c r="G364" s="1"/>
  <c r="G363"/>
  <c r="G365" s="1"/>
  <c r="G425"/>
  <c r="G450"/>
  <c r="E2278" s="1"/>
  <c r="G453"/>
  <c r="E2284" s="1"/>
  <c r="G465"/>
  <c r="G486"/>
  <c r="G531"/>
  <c r="B532"/>
  <c r="G549"/>
  <c r="G551" s="1"/>
  <c r="G550"/>
  <c r="G609"/>
  <c r="E2642" s="1"/>
  <c r="G612"/>
  <c r="E2680" s="1"/>
  <c r="E2685" s="1"/>
  <c r="G660"/>
  <c r="J3488"/>
  <c r="K3488" s="1"/>
  <c r="J3514"/>
  <c r="K3514" s="1"/>
  <c r="J3436"/>
  <c r="K3436" s="1"/>
  <c r="J3462"/>
  <c r="K3462" s="1"/>
  <c r="J3011"/>
  <c r="K3011" s="1"/>
  <c r="J2984"/>
  <c r="K2984" s="1"/>
  <c r="J3155"/>
  <c r="K3155" s="1"/>
  <c r="J3135"/>
  <c r="K3135" s="1"/>
  <c r="J3105"/>
  <c r="K3105" s="1"/>
  <c r="J3327"/>
  <c r="K3327" s="1"/>
  <c r="J3183"/>
  <c r="K3183" s="1"/>
  <c r="J3214"/>
  <c r="K3214" s="1"/>
  <c r="J3074"/>
  <c r="K3074" s="1"/>
  <c r="J3041"/>
  <c r="K3041" s="1"/>
  <c r="K1501"/>
  <c r="K1473"/>
  <c r="E1310"/>
  <c r="E1300"/>
  <c r="E1289"/>
  <c r="E1509"/>
  <c r="E1527" s="1"/>
  <c r="E1531" s="1"/>
  <c r="E2019"/>
  <c r="E2039"/>
  <c r="E2043" s="1"/>
  <c r="E2023"/>
  <c r="E2791"/>
  <c r="E2799" s="1"/>
  <c r="E3145"/>
  <c r="E3710"/>
  <c r="E3617"/>
  <c r="E3629" s="1"/>
  <c r="E3405"/>
  <c r="E3634"/>
  <c r="E3635" s="1"/>
  <c r="E3497"/>
  <c r="E3832"/>
  <c r="E2866"/>
  <c r="E2871" s="1"/>
  <c r="J4993"/>
  <c r="K4993" s="1"/>
  <c r="K4988"/>
  <c r="K978"/>
  <c r="K974"/>
  <c r="K975" s="1"/>
  <c r="K1286"/>
  <c r="K1287" s="1"/>
  <c r="K1288" s="1"/>
  <c r="K1357"/>
  <c r="K1358" s="1"/>
  <c r="K1359" s="1"/>
  <c r="K1365"/>
  <c r="K1366" s="1"/>
  <c r="A249"/>
  <c r="G342"/>
  <c r="G410"/>
  <c r="E1993" s="1"/>
  <c r="G462"/>
  <c r="E2345" s="1"/>
  <c r="G483"/>
  <c r="E2588" s="1"/>
  <c r="E2593" s="1"/>
  <c r="G493"/>
  <c r="G508"/>
  <c r="B529"/>
  <c r="B2723" s="1"/>
  <c r="B2804" s="1"/>
  <c r="B2838" s="1"/>
  <c r="G540"/>
  <c r="G630"/>
  <c r="E3723" s="1"/>
  <c r="G633"/>
  <c r="E3746" s="1"/>
  <c r="E3758" s="1"/>
  <c r="G645"/>
  <c r="G657"/>
  <c r="G669"/>
  <c r="E3838" s="1"/>
  <c r="E948"/>
  <c r="J4283"/>
  <c r="K4283" s="1"/>
  <c r="J4256"/>
  <c r="K4256" s="1"/>
  <c r="K4257" s="1"/>
  <c r="J4307"/>
  <c r="K4307" s="1"/>
  <c r="J4289"/>
  <c r="K4289" s="1"/>
  <c r="I4444"/>
  <c r="J4445" s="1"/>
  <c r="K4445" s="1"/>
  <c r="I735" s="1"/>
  <c r="K735" s="1"/>
  <c r="L735" s="1"/>
  <c r="J4038"/>
  <c r="K4038" s="1"/>
  <c r="J4288"/>
  <c r="K4288" s="1"/>
  <c r="J4306"/>
  <c r="K4306" s="1"/>
  <c r="J1779"/>
  <c r="K1779" s="1"/>
  <c r="J1745"/>
  <c r="K1745" s="1"/>
  <c r="J1711"/>
  <c r="K1711" s="1"/>
  <c r="E2608"/>
  <c r="E2613" s="1"/>
  <c r="E2413"/>
  <c r="E990"/>
  <c r="E981"/>
  <c r="Z989"/>
  <c r="Z993" s="1"/>
  <c r="K987"/>
  <c r="K988" s="1"/>
  <c r="K989" s="1"/>
  <c r="K1092"/>
  <c r="K1088"/>
  <c r="K1089" s="1"/>
  <c r="Z1089"/>
  <c r="Z1093" s="1"/>
  <c r="Z1103"/>
  <c r="K1101"/>
  <c r="K1106"/>
  <c r="K1102"/>
  <c r="K1103" s="1"/>
  <c r="K1171"/>
  <c r="K1172" s="1"/>
  <c r="K1173" s="1"/>
  <c r="K1176"/>
  <c r="Z1173"/>
  <c r="Z1202"/>
  <c r="Z1206" s="1"/>
  <c r="K1200"/>
  <c r="K1205"/>
  <c r="K1201"/>
  <c r="K1202" s="1"/>
  <c r="G459"/>
  <c r="G471"/>
  <c r="G502"/>
  <c r="E2429" s="1"/>
  <c r="G505"/>
  <c r="G537"/>
  <c r="G623"/>
  <c r="G666"/>
  <c r="K1184"/>
  <c r="K1578"/>
  <c r="J2240"/>
  <c r="J2241"/>
  <c r="D2243" s="1"/>
  <c r="A2766"/>
  <c r="A2756"/>
  <c r="B2700"/>
  <c r="B2771"/>
  <c r="G3030"/>
  <c r="D3022"/>
  <c r="G3204"/>
  <c r="G3205" s="1"/>
  <c r="B1531"/>
  <c r="B1559" s="1"/>
  <c r="B1565"/>
  <c r="A1583"/>
  <c r="L1890"/>
  <c r="L1971"/>
  <c r="J2126"/>
  <c r="J2151"/>
  <c r="K2471"/>
  <c r="K2472" s="1"/>
  <c r="K2473" s="1"/>
  <c r="I479" s="1"/>
  <c r="K479" s="1"/>
  <c r="L479" s="1"/>
  <c r="K2656"/>
  <c r="K3264"/>
  <c r="K3266" s="1"/>
  <c r="K3267" s="1"/>
  <c r="I582" s="1"/>
  <c r="K582" s="1"/>
  <c r="L582" s="1"/>
  <c r="K2439"/>
  <c r="K2440" s="1"/>
  <c r="K2441" s="1"/>
  <c r="K2444"/>
  <c r="G3173"/>
  <c r="G3174" s="1"/>
  <c r="K1274"/>
  <c r="K1275" s="1"/>
  <c r="K1306"/>
  <c r="K1337"/>
  <c r="K1338" s="1"/>
  <c r="L1848"/>
  <c r="L1911"/>
  <c r="L1950"/>
  <c r="L1977"/>
  <c r="K2302"/>
  <c r="G3062"/>
  <c r="G3063" s="1"/>
  <c r="D3054"/>
  <c r="B1527"/>
  <c r="B1555" s="1"/>
  <c r="K3244"/>
  <c r="K3246" s="1"/>
  <c r="K3247" s="1"/>
  <c r="I581" s="1"/>
  <c r="K581" s="1"/>
  <c r="L581" s="1"/>
  <c r="B2766"/>
  <c r="B2756"/>
  <c r="K2958"/>
  <c r="D3087"/>
  <c r="G3094"/>
  <c r="G3095" s="1"/>
  <c r="G3097" s="1"/>
  <c r="K3097" s="1"/>
  <c r="G3451"/>
  <c r="G3452" s="1"/>
  <c r="K4215"/>
  <c r="G2526"/>
  <c r="A2828"/>
  <c r="A2866" s="1"/>
  <c r="I2952"/>
  <c r="K3368"/>
  <c r="G3477"/>
  <c r="G3478" s="1"/>
  <c r="B2665"/>
  <c r="B2685" s="1"/>
  <c r="B2695" s="1"/>
  <c r="B2705" s="1"/>
  <c r="B2718" s="1"/>
  <c r="K2948"/>
  <c r="K4347"/>
  <c r="K4348" s="1"/>
  <c r="G4741"/>
  <c r="G4776"/>
  <c r="G4788"/>
  <c r="B3581"/>
  <c r="B3587" s="1"/>
  <c r="B3629" s="1"/>
  <c r="B3635" s="1"/>
  <c r="B3671" s="1"/>
  <c r="B3907"/>
  <c r="B3942" s="1"/>
  <c r="K3951"/>
  <c r="K3953" s="1"/>
  <c r="K3954" s="1"/>
  <c r="I688" s="1"/>
  <c r="K688" s="1"/>
  <c r="L688" s="1"/>
  <c r="K4490"/>
  <c r="K4491" s="1"/>
  <c r="I742" s="1"/>
  <c r="K742" s="1"/>
  <c r="L742" s="1"/>
  <c r="K4512"/>
  <c r="K4513" s="1"/>
  <c r="K4968"/>
  <c r="K4457"/>
  <c r="K4458" s="1"/>
  <c r="K4459" s="1"/>
  <c r="I737" s="1"/>
  <c r="K737" s="1"/>
  <c r="L737" s="1"/>
  <c r="K4496"/>
  <c r="K4497" s="1"/>
  <c r="K4498" s="1"/>
  <c r="I743" s="1"/>
  <c r="K743" s="1"/>
  <c r="L743" s="1"/>
  <c r="G4588"/>
  <c r="G4621"/>
  <c r="G4671"/>
  <c r="G4712"/>
  <c r="A3581"/>
  <c r="A3587" s="1"/>
  <c r="A3629" s="1"/>
  <c r="A3635" s="1"/>
  <c r="A3671" s="1"/>
  <c r="K3883"/>
  <c r="K3884" s="1"/>
  <c r="K3885" s="1"/>
  <c r="K4357"/>
  <c r="K4385"/>
  <c r="K4386" s="1"/>
  <c r="I726" s="1"/>
  <c r="K726" s="1"/>
  <c r="L726" s="1"/>
  <c r="K4465"/>
  <c r="K4476"/>
  <c r="K4477" s="1"/>
  <c r="I740" s="1"/>
  <c r="K740" s="1"/>
  <c r="L740" s="1"/>
  <c r="K4851"/>
  <c r="K4376"/>
  <c r="K4377" s="1"/>
  <c r="K4378" s="1"/>
  <c r="I725" s="1"/>
  <c r="K725" s="1"/>
  <c r="L725" s="1"/>
  <c r="K4483"/>
  <c r="K4484" s="1"/>
  <c r="I741" s="1"/>
  <c r="K741" s="1"/>
  <c r="L741" s="1"/>
  <c r="K4482"/>
  <c r="G4586"/>
  <c r="G4608"/>
  <c r="G4740"/>
  <c r="G4775"/>
  <c r="G4789"/>
  <c r="K4284"/>
  <c r="K4285" s="1"/>
  <c r="K4393"/>
  <c r="K4394" s="1"/>
  <c r="I727" s="1"/>
  <c r="K727" s="1"/>
  <c r="L727" s="1"/>
  <c r="K4424"/>
  <c r="K4425" s="1"/>
  <c r="K4427" s="1"/>
  <c r="K4428" s="1"/>
  <c r="I731" s="1"/>
  <c r="K731" s="1"/>
  <c r="L731" s="1"/>
  <c r="G4620"/>
  <c r="G4672"/>
  <c r="K4504"/>
  <c r="K4505" s="1"/>
  <c r="I744" s="1"/>
  <c r="K744" s="1"/>
  <c r="L744" s="1"/>
  <c r="G4633"/>
  <c r="G4634"/>
  <c r="G4721"/>
  <c r="H5080" i="18"/>
  <c r="H4504"/>
  <c r="H4520"/>
  <c r="H5437"/>
  <c r="H5454"/>
  <c r="H5470"/>
  <c r="H5486"/>
  <c r="H5502"/>
  <c r="H5518"/>
  <c r="H5534"/>
  <c r="H5550"/>
  <c r="H5566"/>
  <c r="H5599"/>
  <c r="H5624"/>
  <c r="H5640"/>
  <c r="H5657"/>
  <c r="H5673"/>
  <c r="H5689"/>
  <c r="H5705"/>
  <c r="H5713"/>
  <c r="H5745"/>
  <c r="H5761"/>
  <c r="H5786"/>
  <c r="H5182"/>
  <c r="H5215"/>
  <c r="H5248"/>
  <c r="H5306"/>
  <c r="H5339"/>
  <c r="H5372"/>
  <c r="H4512"/>
  <c r="H5558"/>
  <c r="H4536"/>
  <c r="H4552"/>
  <c r="H5141"/>
  <c r="H5174"/>
  <c r="H5207"/>
  <c r="H5240"/>
  <c r="H5281"/>
  <c r="H5314"/>
  <c r="H5347"/>
  <c r="H5380"/>
  <c r="H5582"/>
  <c r="H5737"/>
  <c r="H5794"/>
  <c r="H5810"/>
  <c r="H5827"/>
  <c r="H5843"/>
  <c r="H5859"/>
  <c r="L43" i="44" l="1"/>
  <c r="J2549"/>
  <c r="K2549" s="1"/>
  <c r="J1688"/>
  <c r="K1688" s="1"/>
  <c r="N1432"/>
  <c r="J2502"/>
  <c r="K2502" s="1"/>
  <c r="J1813"/>
  <c r="K1813" s="1"/>
  <c r="K1746"/>
  <c r="K4843"/>
  <c r="D2945" i="18"/>
  <c r="H2637" i="7"/>
  <c r="H2638" s="1"/>
  <c r="H2672" s="1"/>
  <c r="H2673" s="1"/>
  <c r="H2582"/>
  <c r="H2583" s="1"/>
  <c r="H2598" s="1"/>
  <c r="N70" i="44"/>
  <c r="U70" s="1"/>
  <c r="K3126"/>
  <c r="K3140" s="1"/>
  <c r="K3142" s="1"/>
  <c r="K3489"/>
  <c r="K3495" s="1"/>
  <c r="K3496" s="1"/>
  <c r="I593" s="1"/>
  <c r="K593" s="1"/>
  <c r="L593" s="1"/>
  <c r="K3515"/>
  <c r="K3521" s="1"/>
  <c r="K3522" s="1"/>
  <c r="I594" s="1"/>
  <c r="K594" s="1"/>
  <c r="L594" s="1"/>
  <c r="U81"/>
  <c r="K1712"/>
  <c r="L25"/>
  <c r="O25" s="1"/>
  <c r="X10"/>
  <c r="K26"/>
  <c r="J1466"/>
  <c r="K1466" s="1"/>
  <c r="X100"/>
  <c r="J1854"/>
  <c r="K1854" s="1"/>
  <c r="K3356"/>
  <c r="I586" s="1"/>
  <c r="K586" s="1"/>
  <c r="L586" s="1"/>
  <c r="K4398"/>
  <c r="I724"/>
  <c r="K724" s="1"/>
  <c r="L724" s="1"/>
  <c r="D3116"/>
  <c r="Z1107"/>
  <c r="K1780"/>
  <c r="X998"/>
  <c r="X1000" s="1"/>
  <c r="K1463"/>
  <c r="K1477" s="1"/>
  <c r="K2571"/>
  <c r="K3412"/>
  <c r="J1875"/>
  <c r="K1875" s="1"/>
  <c r="K2734"/>
  <c r="J2189"/>
  <c r="D2191" s="1"/>
  <c r="J2188"/>
  <c r="Z1163"/>
  <c r="N72"/>
  <c r="U72" s="1"/>
  <c r="K3328"/>
  <c r="K3334" s="1"/>
  <c r="K3335" s="1"/>
  <c r="I585" s="1"/>
  <c r="K585" s="1"/>
  <c r="L585" s="1"/>
  <c r="X55"/>
  <c r="K2941"/>
  <c r="K2945" s="1"/>
  <c r="I562" s="1"/>
  <c r="K562" s="1"/>
  <c r="L562" s="1"/>
  <c r="K67"/>
  <c r="L67" s="1"/>
  <c r="O67" s="1"/>
  <c r="N71"/>
  <c r="U71" s="1"/>
  <c r="H1441" i="18"/>
  <c r="D2953" s="1"/>
  <c r="J1856" i="44"/>
  <c r="K1856" s="1"/>
  <c r="K3110"/>
  <c r="K3112" s="1"/>
  <c r="K3113" s="1"/>
  <c r="I572" s="1"/>
  <c r="K572" s="1"/>
  <c r="L572" s="1"/>
  <c r="Z1135"/>
  <c r="E1444" i="18"/>
  <c r="H1443"/>
  <c r="K2950" i="44"/>
  <c r="K4930"/>
  <c r="G3504"/>
  <c r="Z1121"/>
  <c r="K1575"/>
  <c r="K1589" s="1"/>
  <c r="K3190"/>
  <c r="K4957"/>
  <c r="G115"/>
  <c r="L115" s="1"/>
  <c r="F48" s="1"/>
  <c r="G48" s="1"/>
  <c r="K2901"/>
  <c r="K2902" s="1"/>
  <c r="I559" s="1"/>
  <c r="K559" s="1"/>
  <c r="L559" s="1"/>
  <c r="K2917"/>
  <c r="G2918" s="1"/>
  <c r="K2918" s="1"/>
  <c r="K2919" s="1"/>
  <c r="I560" s="1"/>
  <c r="K560" s="1"/>
  <c r="L560" s="1"/>
  <c r="Z1177"/>
  <c r="K3374"/>
  <c r="K1708"/>
  <c r="K1726" s="1"/>
  <c r="K4870"/>
  <c r="B4739" i="7"/>
  <c r="AD119" i="4"/>
  <c r="G1198" i="18"/>
  <c r="H1198" s="1"/>
  <c r="JA123" i="6"/>
  <c r="A823" i="7"/>
  <c r="A4653"/>
  <c r="H2285" i="18"/>
  <c r="F2286"/>
  <c r="DO120" i="4"/>
  <c r="H2244" i="18"/>
  <c r="D2958" s="1"/>
  <c r="H2254"/>
  <c r="F2255"/>
  <c r="DO119" i="4"/>
  <c r="DU561"/>
  <c r="DU562" s="1"/>
  <c r="H5081" i="18"/>
  <c r="DP121" i="4"/>
  <c r="DQ121" s="1"/>
  <c r="DQ120"/>
  <c r="CS230"/>
  <c r="CZ229"/>
  <c r="B477"/>
  <c r="B520"/>
  <c r="B512"/>
  <c r="B469"/>
  <c r="B516"/>
  <c r="B473"/>
  <c r="B513"/>
  <c r="B470"/>
  <c r="AU249"/>
  <c r="AV248"/>
  <c r="G249"/>
  <c r="H249" s="1"/>
  <c r="H248"/>
  <c r="G230"/>
  <c r="H230" s="1"/>
  <c r="H229"/>
  <c r="B472"/>
  <c r="B515"/>
  <c r="K249"/>
  <c r="L249" s="1"/>
  <c r="L248"/>
  <c r="AC121"/>
  <c r="AD121" s="1"/>
  <c r="AD120"/>
  <c r="K230"/>
  <c r="L230" s="1"/>
  <c r="L229"/>
  <c r="F65" i="44"/>
  <c r="G65" s="1"/>
  <c r="G64"/>
  <c r="K4308"/>
  <c r="K4312" s="1"/>
  <c r="K4314" s="1"/>
  <c r="K4315" s="1"/>
  <c r="I721" s="1"/>
  <c r="K721" s="1"/>
  <c r="L721" s="1"/>
  <c r="L51"/>
  <c r="O51" s="1"/>
  <c r="L46"/>
  <c r="J4416" s="1"/>
  <c r="K4416" s="1"/>
  <c r="K4417" s="1"/>
  <c r="L10"/>
  <c r="O10" s="1"/>
  <c r="K4797"/>
  <c r="I324"/>
  <c r="K324" s="1"/>
  <c r="L324" s="1"/>
  <c r="K3143"/>
  <c r="I574" s="1"/>
  <c r="K574" s="1"/>
  <c r="L574" s="1"/>
  <c r="K3144"/>
  <c r="I575" s="1"/>
  <c r="K575" s="1"/>
  <c r="L575" s="1"/>
  <c r="K991"/>
  <c r="K993" s="1"/>
  <c r="AA989"/>
  <c r="I250"/>
  <c r="K250" s="1"/>
  <c r="L250" s="1"/>
  <c r="K1147"/>
  <c r="K1149" s="1"/>
  <c r="AA1145"/>
  <c r="I283"/>
  <c r="K283" s="1"/>
  <c r="L283" s="1"/>
  <c r="J4221"/>
  <c r="K4221" s="1"/>
  <c r="O21"/>
  <c r="K1050"/>
  <c r="K1052" s="1"/>
  <c r="AA1048"/>
  <c r="I262"/>
  <c r="K262" s="1"/>
  <c r="L262" s="1"/>
  <c r="J1550"/>
  <c r="K1550" s="1"/>
  <c r="J1522"/>
  <c r="K1522" s="1"/>
  <c r="L26"/>
  <c r="O26" s="1"/>
  <c r="K2443"/>
  <c r="K2445" s="1"/>
  <c r="I477" s="1"/>
  <c r="K477" s="1"/>
  <c r="L477" s="1"/>
  <c r="I476"/>
  <c r="K476" s="1"/>
  <c r="L476" s="1"/>
  <c r="K1319"/>
  <c r="K1320" s="1"/>
  <c r="K1318"/>
  <c r="I317"/>
  <c r="K317" s="1"/>
  <c r="L317" s="1"/>
  <c r="K1175"/>
  <c r="K1177" s="1"/>
  <c r="AA1173"/>
  <c r="I289"/>
  <c r="K289" s="1"/>
  <c r="L289" s="1"/>
  <c r="K1328"/>
  <c r="K1329" s="1"/>
  <c r="K1330" s="1"/>
  <c r="K1077"/>
  <c r="K1079" s="1"/>
  <c r="AA1075"/>
  <c r="I268"/>
  <c r="K268" s="1"/>
  <c r="L268" s="1"/>
  <c r="K4557"/>
  <c r="I311"/>
  <c r="K311" s="1"/>
  <c r="L311" s="1"/>
  <c r="K3369"/>
  <c r="K3370" s="1"/>
  <c r="K3375" s="1"/>
  <c r="K3377" s="1"/>
  <c r="J4194"/>
  <c r="K4194" s="1"/>
  <c r="O18"/>
  <c r="J4210"/>
  <c r="K4210" s="1"/>
  <c r="O19"/>
  <c r="G4637"/>
  <c r="G4743"/>
  <c r="G4589"/>
  <c r="G4624"/>
  <c r="K1276"/>
  <c r="K1277"/>
  <c r="K1278" s="1"/>
  <c r="I309"/>
  <c r="K309" s="1"/>
  <c r="L309" s="1"/>
  <c r="J2152"/>
  <c r="J2153"/>
  <c r="D2155" s="1"/>
  <c r="A2799"/>
  <c r="A2823" s="1"/>
  <c r="A2776"/>
  <c r="A2786" s="1"/>
  <c r="E2408"/>
  <c r="G478"/>
  <c r="K4040"/>
  <c r="K4042" s="1"/>
  <c r="J4043" s="1"/>
  <c r="K4043" s="1"/>
  <c r="E2474"/>
  <c r="E2583"/>
  <c r="E1475"/>
  <c r="E1279"/>
  <c r="E1164"/>
  <c r="E1165" s="1"/>
  <c r="E1174" s="1"/>
  <c r="K1064"/>
  <c r="K1066" s="1"/>
  <c r="I265"/>
  <c r="K265" s="1"/>
  <c r="L265" s="1"/>
  <c r="AA1062"/>
  <c r="K2825"/>
  <c r="K2835"/>
  <c r="K3850"/>
  <c r="K3851" s="1"/>
  <c r="K3852" s="1"/>
  <c r="K3858"/>
  <c r="K3637"/>
  <c r="K3631"/>
  <c r="K3624"/>
  <c r="K3625" s="1"/>
  <c r="K3626" s="1"/>
  <c r="K3909"/>
  <c r="K3901"/>
  <c r="K3902" s="1"/>
  <c r="K3903" s="1"/>
  <c r="K3795"/>
  <c r="K3787"/>
  <c r="K3788" s="1"/>
  <c r="K3789" s="1"/>
  <c r="B2597"/>
  <c r="B516"/>
  <c r="B2679" s="1"/>
  <c r="K4434"/>
  <c r="K4266"/>
  <c r="K4243"/>
  <c r="I732"/>
  <c r="K732" s="1"/>
  <c r="L732" s="1"/>
  <c r="K1037"/>
  <c r="K1033"/>
  <c r="K1034" s="1"/>
  <c r="K1032"/>
  <c r="Z1034"/>
  <c r="K1449"/>
  <c r="K1439"/>
  <c r="Q1428"/>
  <c r="Z1233"/>
  <c r="K1236"/>
  <c r="K1232"/>
  <c r="K1233" s="1"/>
  <c r="K4549"/>
  <c r="K4550" s="1"/>
  <c r="K4552" s="1"/>
  <c r="K4553" s="1"/>
  <c r="I749" s="1"/>
  <c r="K749" s="1"/>
  <c r="L749" s="1"/>
  <c r="K4540"/>
  <c r="K4541"/>
  <c r="K4542" s="1"/>
  <c r="I748" s="1"/>
  <c r="K748" s="1"/>
  <c r="L748" s="1"/>
  <c r="K4521"/>
  <c r="K4522" s="1"/>
  <c r="I746" s="1"/>
  <c r="K746" s="1"/>
  <c r="L746" s="1"/>
  <c r="K4520"/>
  <c r="K4529"/>
  <c r="K4530" s="1"/>
  <c r="K4532" s="1"/>
  <c r="K4533" s="1"/>
  <c r="I747" s="1"/>
  <c r="K747" s="1"/>
  <c r="L747" s="1"/>
  <c r="J4216"/>
  <c r="K4216" s="1"/>
  <c r="O20"/>
  <c r="H58"/>
  <c r="H57"/>
  <c r="I56"/>
  <c r="H124"/>
  <c r="J123"/>
  <c r="L123" s="1"/>
  <c r="J4939"/>
  <c r="K4939" s="1"/>
  <c r="J4880"/>
  <c r="K4880" s="1"/>
  <c r="J4909"/>
  <c r="K4909" s="1"/>
  <c r="J4966"/>
  <c r="K4966" s="1"/>
  <c r="J4849"/>
  <c r="K4849" s="1"/>
  <c r="J1785"/>
  <c r="K1785" s="1"/>
  <c r="J1751"/>
  <c r="K1751" s="1"/>
  <c r="Z979"/>
  <c r="K1605"/>
  <c r="K960"/>
  <c r="K961" s="1"/>
  <c r="K4874"/>
  <c r="K2934"/>
  <c r="G2935" s="1"/>
  <c r="K2935" s="1"/>
  <c r="K2936" s="1"/>
  <c r="I561" s="1"/>
  <c r="K561" s="1"/>
  <c r="L561" s="1"/>
  <c r="X9"/>
  <c r="K1776"/>
  <c r="K1794" s="1"/>
  <c r="K2811"/>
  <c r="K3156"/>
  <c r="K3162" s="1"/>
  <c r="L23"/>
  <c r="O23" s="1"/>
  <c r="G4724"/>
  <c r="G4791"/>
  <c r="K2949"/>
  <c r="K4220"/>
  <c r="G4623"/>
  <c r="G4792"/>
  <c r="K4466"/>
  <c r="K4467" s="1"/>
  <c r="K4468" s="1"/>
  <c r="G4591"/>
  <c r="K4412"/>
  <c r="K4413" s="1"/>
  <c r="K4414" s="1"/>
  <c r="B2799"/>
  <c r="B2823" s="1"/>
  <c r="B2776"/>
  <c r="B2786" s="1"/>
  <c r="K1307"/>
  <c r="K1308" s="1"/>
  <c r="K1309" s="1"/>
  <c r="E3827"/>
  <c r="E3913"/>
  <c r="E3925" s="1"/>
  <c r="K1091"/>
  <c r="K1093" s="1"/>
  <c r="AA1089"/>
  <c r="I271"/>
  <c r="K271" s="1"/>
  <c r="L271" s="1"/>
  <c r="K1119"/>
  <c r="K1121" s="1"/>
  <c r="AA1117"/>
  <c r="I277"/>
  <c r="K277" s="1"/>
  <c r="L277" s="1"/>
  <c r="K3576"/>
  <c r="K3577"/>
  <c r="K3578" s="1"/>
  <c r="K3589"/>
  <c r="K3583"/>
  <c r="K3875"/>
  <c r="K3867"/>
  <c r="K3868" s="1"/>
  <c r="K3869" s="1"/>
  <c r="K3777"/>
  <c r="K3770"/>
  <c r="K3771"/>
  <c r="K3772" s="1"/>
  <c r="H196"/>
  <c r="A195"/>
  <c r="K3706"/>
  <c r="K3708" s="1"/>
  <c r="I645" s="1"/>
  <c r="K645" s="1"/>
  <c r="L645" s="1"/>
  <c r="I644"/>
  <c r="K644" s="1"/>
  <c r="L644" s="1"/>
  <c r="X99"/>
  <c r="K99"/>
  <c r="L99" s="1"/>
  <c r="H152"/>
  <c r="A151"/>
  <c r="Z1004"/>
  <c r="K1002"/>
  <c r="K1003" s="1"/>
  <c r="K1004" s="1"/>
  <c r="K1007"/>
  <c r="K3565"/>
  <c r="K3559"/>
  <c r="J4965"/>
  <c r="K4965" s="1"/>
  <c r="J4848"/>
  <c r="K4848" s="1"/>
  <c r="J4938"/>
  <c r="K4938" s="1"/>
  <c r="J4879"/>
  <c r="K4879" s="1"/>
  <c r="J4908"/>
  <c r="K4908" s="1"/>
  <c r="J1716"/>
  <c r="J1784"/>
  <c r="K1784" s="1"/>
  <c r="J1750"/>
  <c r="K1750" s="1"/>
  <c r="N89"/>
  <c r="U89" s="1"/>
  <c r="H40"/>
  <c r="I39"/>
  <c r="K39" s="1"/>
  <c r="L39" s="1"/>
  <c r="O39" s="1"/>
  <c r="J4881"/>
  <c r="K4881" s="1"/>
  <c r="J4910"/>
  <c r="K4910" s="1"/>
  <c r="J4967"/>
  <c r="K4967" s="1"/>
  <c r="J4850"/>
  <c r="K4850" s="1"/>
  <c r="J4940"/>
  <c r="K4940" s="1"/>
  <c r="J4121"/>
  <c r="K4121" s="1"/>
  <c r="J4180"/>
  <c r="K4180" s="1"/>
  <c r="K4182" s="1"/>
  <c r="J4090"/>
  <c r="K4090" s="1"/>
  <c r="K4091" s="1"/>
  <c r="J4059"/>
  <c r="K4059" s="1"/>
  <c r="J2855"/>
  <c r="K2855" s="1"/>
  <c r="J2737"/>
  <c r="K2737" s="1"/>
  <c r="K2740" s="1"/>
  <c r="J2526"/>
  <c r="K2526" s="1"/>
  <c r="J2503"/>
  <c r="K2503" s="1"/>
  <c r="K2505" s="1"/>
  <c r="J2551"/>
  <c r="K2551" s="1"/>
  <c r="J2404"/>
  <c r="K2404" s="1"/>
  <c r="J2362"/>
  <c r="K2362" s="1"/>
  <c r="K2364" s="1"/>
  <c r="J2655"/>
  <c r="K2655" s="1"/>
  <c r="J2301"/>
  <c r="K2301" s="1"/>
  <c r="K2303" s="1"/>
  <c r="J2270"/>
  <c r="K2270" s="1"/>
  <c r="K2272" s="1"/>
  <c r="J2574"/>
  <c r="K2574" s="1"/>
  <c r="K2577" s="1"/>
  <c r="J2425"/>
  <c r="K2425" s="1"/>
  <c r="K2427" s="1"/>
  <c r="J2383"/>
  <c r="K2383" s="1"/>
  <c r="K2385" s="1"/>
  <c r="J2341"/>
  <c r="K2341" s="1"/>
  <c r="K2343" s="1"/>
  <c r="J1786"/>
  <c r="K1786" s="1"/>
  <c r="J1609"/>
  <c r="K1609" s="1"/>
  <c r="K1611" s="1"/>
  <c r="J1579"/>
  <c r="K1579" s="1"/>
  <c r="K1581" s="1"/>
  <c r="J1752"/>
  <c r="K1752" s="1"/>
  <c r="J1551"/>
  <c r="K1551" s="1"/>
  <c r="J1523"/>
  <c r="K1523" s="1"/>
  <c r="J1495"/>
  <c r="K1495" s="1"/>
  <c r="J1467"/>
  <c r="K1467" s="1"/>
  <c r="J1409"/>
  <c r="K1409" s="1"/>
  <c r="J1718"/>
  <c r="K1718" s="1"/>
  <c r="J1689"/>
  <c r="K1689" s="1"/>
  <c r="K1691" s="1"/>
  <c r="J1671"/>
  <c r="K1671" s="1"/>
  <c r="J1651"/>
  <c r="K1651" s="1"/>
  <c r="J1386"/>
  <c r="K1386" s="1"/>
  <c r="J1815"/>
  <c r="K1815" s="1"/>
  <c r="K1817" s="1"/>
  <c r="J1433"/>
  <c r="K1433" s="1"/>
  <c r="K1435" s="1"/>
  <c r="J4073"/>
  <c r="K4073" s="1"/>
  <c r="K4075" s="1"/>
  <c r="J4058"/>
  <c r="K4058" s="1"/>
  <c r="K4061" s="1"/>
  <c r="J4164"/>
  <c r="K4164" s="1"/>
  <c r="J1670"/>
  <c r="K1670" s="1"/>
  <c r="J1650"/>
  <c r="K1650" s="1"/>
  <c r="K1422"/>
  <c r="N1422"/>
  <c r="Q1422" s="1"/>
  <c r="K1497"/>
  <c r="Z1079"/>
  <c r="Z1052"/>
  <c r="Z964"/>
  <c r="K4961"/>
  <c r="K4934"/>
  <c r="X54"/>
  <c r="K1742"/>
  <c r="K1760" s="1"/>
  <c r="K4105"/>
  <c r="K4900"/>
  <c r="K4161"/>
  <c r="K4163" s="1"/>
  <c r="K3048"/>
  <c r="K3050" s="1"/>
  <c r="X18"/>
  <c r="L22"/>
  <c r="O22" s="1"/>
  <c r="K2487"/>
  <c r="I480" s="1"/>
  <c r="K480" s="1"/>
  <c r="L480" s="1"/>
  <c r="L11"/>
  <c r="O11" s="1"/>
  <c r="K15"/>
  <c r="L15" s="1"/>
  <c r="O15" s="1"/>
  <c r="G4636"/>
  <c r="G4744"/>
  <c r="I2961"/>
  <c r="G2962" s="1"/>
  <c r="K2962" s="1"/>
  <c r="K2965" s="1"/>
  <c r="I564" s="1"/>
  <c r="K564" s="1"/>
  <c r="L564" s="1"/>
  <c r="G2953"/>
  <c r="K2953" s="1"/>
  <c r="K1339"/>
  <c r="K1340" s="1"/>
  <c r="K1341" s="1"/>
  <c r="I321"/>
  <c r="K321" s="1"/>
  <c r="L321" s="1"/>
  <c r="K1204"/>
  <c r="K1206" s="1"/>
  <c r="AA1202"/>
  <c r="I295"/>
  <c r="K295" s="1"/>
  <c r="L295" s="1"/>
  <c r="K1105"/>
  <c r="K1107" s="1"/>
  <c r="AA1103"/>
  <c r="I274"/>
  <c r="K274" s="1"/>
  <c r="L274" s="1"/>
  <c r="E3798"/>
  <c r="E3844"/>
  <c r="E3856" s="1"/>
  <c r="E3705"/>
  <c r="K1529"/>
  <c r="K1557" s="1"/>
  <c r="K1585"/>
  <c r="K1297"/>
  <c r="K1298" s="1"/>
  <c r="K1299" s="1"/>
  <c r="I313"/>
  <c r="K313" s="1"/>
  <c r="L313" s="1"/>
  <c r="K1161"/>
  <c r="K1163" s="1"/>
  <c r="AA1159"/>
  <c r="I286"/>
  <c r="K286" s="1"/>
  <c r="L286" s="1"/>
  <c r="K1133"/>
  <c r="K1135" s="1"/>
  <c r="AA1131"/>
  <c r="I280"/>
  <c r="K280" s="1"/>
  <c r="L280" s="1"/>
  <c r="E3955"/>
  <c r="G690"/>
  <c r="E2387"/>
  <c r="E1627"/>
  <c r="K2615"/>
  <c r="K2595"/>
  <c r="K2638"/>
  <c r="K2625"/>
  <c r="K2605"/>
  <c r="K2585"/>
  <c r="K2863"/>
  <c r="K2873"/>
  <c r="K2768"/>
  <c r="K2748"/>
  <c r="K2801"/>
  <c r="K2788"/>
  <c r="K2778"/>
  <c r="K2758"/>
  <c r="K3400"/>
  <c r="K3401" s="1"/>
  <c r="K3402" s="1"/>
  <c r="K3673"/>
  <c r="K3665"/>
  <c r="K3666" s="1"/>
  <c r="K3667" s="1"/>
  <c r="K3760"/>
  <c r="K3753"/>
  <c r="K3754" s="1"/>
  <c r="K3755" s="1"/>
  <c r="K3414"/>
  <c r="K3415"/>
  <c r="K3416" s="1"/>
  <c r="K3418" s="1"/>
  <c r="I590" s="1"/>
  <c r="K590" s="1"/>
  <c r="L590" s="1"/>
  <c r="K3743"/>
  <c r="K3735"/>
  <c r="K3736" s="1"/>
  <c r="K3737" s="1"/>
  <c r="K4440"/>
  <c r="K4450" s="1"/>
  <c r="K4451" s="1"/>
  <c r="I734"/>
  <c r="K734" s="1"/>
  <c r="L734" s="1"/>
  <c r="A203"/>
  <c r="H202"/>
  <c r="J1385"/>
  <c r="K1385" s="1"/>
  <c r="J1408"/>
  <c r="K1408" s="1"/>
  <c r="J2457"/>
  <c r="K2457" s="1"/>
  <c r="K2458" s="1"/>
  <c r="K2405"/>
  <c r="H70"/>
  <c r="I69"/>
  <c r="K3538"/>
  <c r="K1245"/>
  <c r="K2070"/>
  <c r="K2080" s="1"/>
  <c r="K4012"/>
  <c r="K4014" s="1"/>
  <c r="K4015" s="1"/>
  <c r="I694" s="1"/>
  <c r="K694" s="1"/>
  <c r="L694" s="1"/>
  <c r="K3974"/>
  <c r="K3976" s="1"/>
  <c r="K3977" s="1"/>
  <c r="I691" s="1"/>
  <c r="K691" s="1"/>
  <c r="L691" s="1"/>
  <c r="K4359"/>
  <c r="K4360" s="1"/>
  <c r="K3081"/>
  <c r="K3083" s="1"/>
  <c r="K4154"/>
  <c r="I704" s="1"/>
  <c r="K704" s="1"/>
  <c r="L704" s="1"/>
  <c r="X22"/>
  <c r="X11"/>
  <c r="I4564"/>
  <c r="I4684"/>
  <c r="I745"/>
  <c r="K745" s="1"/>
  <c r="L745" s="1"/>
  <c r="J2127"/>
  <c r="J2128"/>
  <c r="D2130" s="1"/>
  <c r="K1186"/>
  <c r="K1187" s="1"/>
  <c r="K1188" s="1"/>
  <c r="K1191"/>
  <c r="Z1188"/>
  <c r="Z1192" s="1"/>
  <c r="A980"/>
  <c r="A252"/>
  <c r="K977"/>
  <c r="K979" s="1"/>
  <c r="AA975"/>
  <c r="I247"/>
  <c r="K247" s="1"/>
  <c r="L247" s="1"/>
  <c r="J4035"/>
  <c r="K4035" s="1"/>
  <c r="K1694"/>
  <c r="I369" s="1"/>
  <c r="K369" s="1"/>
  <c r="L369" s="1"/>
  <c r="K1265"/>
  <c r="K1266" s="1"/>
  <c r="K1267" s="1"/>
  <c r="J3008"/>
  <c r="K3008" s="1"/>
  <c r="K3012" s="1"/>
  <c r="K3017" s="1"/>
  <c r="K3019" s="1"/>
  <c r="K3020" s="1"/>
  <c r="I567" s="1"/>
  <c r="K567" s="1"/>
  <c r="L567" s="1"/>
  <c r="K2981"/>
  <c r="K2720"/>
  <c r="K2707"/>
  <c r="K2687"/>
  <c r="K2667"/>
  <c r="K2697"/>
  <c r="K2677"/>
  <c r="K3919"/>
  <c r="K3920" s="1"/>
  <c r="K3921" s="1"/>
  <c r="K3927"/>
  <c r="J3384"/>
  <c r="K3384" s="1"/>
  <c r="K3383"/>
  <c r="K3655"/>
  <c r="K3647"/>
  <c r="K3648" s="1"/>
  <c r="K3649" s="1"/>
  <c r="K3944"/>
  <c r="K3936"/>
  <c r="K3937" s="1"/>
  <c r="K3938" s="1"/>
  <c r="K3725"/>
  <c r="K3717"/>
  <c r="K3718" s="1"/>
  <c r="K3719" s="1"/>
  <c r="K3613"/>
  <c r="K3607"/>
  <c r="K3600"/>
  <c r="K3601" s="1"/>
  <c r="K3602" s="1"/>
  <c r="J4195"/>
  <c r="K4195" s="1"/>
  <c r="J1368"/>
  <c r="K1368" s="1"/>
  <c r="K1369" s="1"/>
  <c r="K1370" s="1"/>
  <c r="I325" s="1"/>
  <c r="K325" s="1"/>
  <c r="L325" s="1"/>
  <c r="O43"/>
  <c r="J4985"/>
  <c r="K4985" s="1"/>
  <c r="K4986" s="1"/>
  <c r="I874" s="1"/>
  <c r="K874" s="1"/>
  <c r="L874" s="1"/>
  <c r="O100"/>
  <c r="X1013"/>
  <c r="X1015" s="1"/>
  <c r="K1013"/>
  <c r="K1015" s="1"/>
  <c r="K1823"/>
  <c r="K1996"/>
  <c r="K2006" s="1"/>
  <c r="K2016" s="1"/>
  <c r="K2026" s="1"/>
  <c r="K2276"/>
  <c r="K2280" s="1"/>
  <c r="K2286"/>
  <c r="K3840"/>
  <c r="K3829"/>
  <c r="J4975"/>
  <c r="K4975" s="1"/>
  <c r="K4976" s="1"/>
  <c r="I872" s="1"/>
  <c r="K872" s="1"/>
  <c r="L872" s="1"/>
  <c r="O98"/>
  <c r="J2525"/>
  <c r="K2525" s="1"/>
  <c r="J2550"/>
  <c r="K2550" s="1"/>
  <c r="K950"/>
  <c r="K946"/>
  <c r="K947"/>
  <c r="Z947"/>
  <c r="K1222"/>
  <c r="K1218"/>
  <c r="K1219" s="1"/>
  <c r="Z1219"/>
  <c r="I32"/>
  <c r="K32" s="1"/>
  <c r="L32" s="1"/>
  <c r="O32" s="1"/>
  <c r="H33"/>
  <c r="J4135"/>
  <c r="K4135" s="1"/>
  <c r="K4136" s="1"/>
  <c r="K4122"/>
  <c r="H102"/>
  <c r="I101"/>
  <c r="J4259"/>
  <c r="K4259" s="1"/>
  <c r="K4260" s="1"/>
  <c r="K4262" s="1"/>
  <c r="K4263" s="1"/>
  <c r="K4298"/>
  <c r="J4233"/>
  <c r="K4233" s="1"/>
  <c r="K4234" s="1"/>
  <c r="K47"/>
  <c r="L47" s="1"/>
  <c r="O47" s="1"/>
  <c r="D22"/>
  <c r="D23" s="1"/>
  <c r="D19"/>
  <c r="D20" s="1"/>
  <c r="D21" s="1"/>
  <c r="K4290"/>
  <c r="K4294" s="1"/>
  <c r="K4296" s="1"/>
  <c r="K4297" s="1"/>
  <c r="K4299" s="1"/>
  <c r="I720" s="1"/>
  <c r="K720" s="1"/>
  <c r="L720" s="1"/>
  <c r="K4904"/>
  <c r="X53"/>
  <c r="X51"/>
  <c r="K3986"/>
  <c r="K3988" s="1"/>
  <c r="K3989" s="1"/>
  <c r="I692" s="1"/>
  <c r="K692" s="1"/>
  <c r="L692" s="1"/>
  <c r="K3999"/>
  <c r="K4001" s="1"/>
  <c r="K4002" s="1"/>
  <c r="I693" s="1"/>
  <c r="K693" s="1"/>
  <c r="L693" s="1"/>
  <c r="K4839"/>
  <c r="K4146"/>
  <c r="I703" s="1"/>
  <c r="K703" s="1"/>
  <c r="L703" s="1"/>
  <c r="K4069"/>
  <c r="K4071" s="1"/>
  <c r="X16"/>
  <c r="K3184"/>
  <c r="K3192" s="1"/>
  <c r="K2990"/>
  <c r="K2992" s="1"/>
  <c r="K3215"/>
  <c r="K3223" s="1"/>
  <c r="J125" i="7"/>
  <c r="E1564" i="18"/>
  <c r="F1564"/>
  <c r="E1565"/>
  <c r="F1565"/>
  <c r="H2951"/>
  <c r="H2952"/>
  <c r="H750"/>
  <c r="H722"/>
  <c r="H721"/>
  <c r="H720"/>
  <c r="H719"/>
  <c r="H718"/>
  <c r="H717"/>
  <c r="H714"/>
  <c r="H713"/>
  <c r="H712"/>
  <c r="H711"/>
  <c r="H710"/>
  <c r="H709"/>
  <c r="H689"/>
  <c r="H688"/>
  <c r="H687"/>
  <c r="H686"/>
  <c r="H685"/>
  <c r="H684"/>
  <c r="H681"/>
  <c r="H680"/>
  <c r="H679"/>
  <c r="H678"/>
  <c r="H677"/>
  <c r="H676"/>
  <c r="H656"/>
  <c r="H655"/>
  <c r="H654"/>
  <c r="H653"/>
  <c r="H652"/>
  <c r="H651"/>
  <c r="H648"/>
  <c r="H647"/>
  <c r="H646"/>
  <c r="H645"/>
  <c r="H644"/>
  <c r="H643"/>
  <c r="H623"/>
  <c r="H622"/>
  <c r="H621"/>
  <c r="H620"/>
  <c r="H619"/>
  <c r="H618"/>
  <c r="H615"/>
  <c r="H614"/>
  <c r="H613"/>
  <c r="H612"/>
  <c r="H611"/>
  <c r="H610"/>
  <c r="H590"/>
  <c r="H589"/>
  <c r="H588"/>
  <c r="H587"/>
  <c r="H586"/>
  <c r="H585"/>
  <c r="H582"/>
  <c r="H581"/>
  <c r="H580"/>
  <c r="H579"/>
  <c r="H578"/>
  <c r="H577"/>
  <c r="H557"/>
  <c r="H556"/>
  <c r="H555"/>
  <c r="H554"/>
  <c r="H553"/>
  <c r="H552"/>
  <c r="H549"/>
  <c r="H548"/>
  <c r="H547"/>
  <c r="H546"/>
  <c r="H545"/>
  <c r="H544"/>
  <c r="H524"/>
  <c r="H523"/>
  <c r="H522"/>
  <c r="H521"/>
  <c r="H520"/>
  <c r="H519"/>
  <c r="H516"/>
  <c r="H515"/>
  <c r="H514"/>
  <c r="H513"/>
  <c r="H512"/>
  <c r="H511"/>
  <c r="H491"/>
  <c r="H490"/>
  <c r="H489"/>
  <c r="H488"/>
  <c r="H487"/>
  <c r="H486"/>
  <c r="H483"/>
  <c r="H482"/>
  <c r="H481"/>
  <c r="H480"/>
  <c r="H479"/>
  <c r="H478"/>
  <c r="H458"/>
  <c r="H457"/>
  <c r="H456"/>
  <c r="H455"/>
  <c r="H454"/>
  <c r="H453"/>
  <c r="H450"/>
  <c r="H449"/>
  <c r="H448"/>
  <c r="H447"/>
  <c r="H446"/>
  <c r="H445"/>
  <c r="H425"/>
  <c r="H424"/>
  <c r="H423"/>
  <c r="H422"/>
  <c r="H421"/>
  <c r="H420"/>
  <c r="H417"/>
  <c r="H416"/>
  <c r="H415"/>
  <c r="H414"/>
  <c r="H413"/>
  <c r="H412"/>
  <c r="H392"/>
  <c r="H391"/>
  <c r="H390"/>
  <c r="H389"/>
  <c r="H388"/>
  <c r="H387"/>
  <c r="H384"/>
  <c r="H383"/>
  <c r="H382"/>
  <c r="H381"/>
  <c r="H380"/>
  <c r="H379"/>
  <c r="H359"/>
  <c r="H358"/>
  <c r="H357"/>
  <c r="H356"/>
  <c r="H355"/>
  <c r="H354"/>
  <c r="H351"/>
  <c r="H350"/>
  <c r="H349"/>
  <c r="H348"/>
  <c r="H347"/>
  <c r="H346"/>
  <c r="H326"/>
  <c r="H325"/>
  <c r="H324"/>
  <c r="H323"/>
  <c r="H322"/>
  <c r="H321"/>
  <c r="H318"/>
  <c r="H317"/>
  <c r="H316"/>
  <c r="H315"/>
  <c r="H314"/>
  <c r="H313"/>
  <c r="H293"/>
  <c r="H292"/>
  <c r="H291"/>
  <c r="H290"/>
  <c r="H289"/>
  <c r="H288"/>
  <c r="H285"/>
  <c r="H284"/>
  <c r="H283"/>
  <c r="H282"/>
  <c r="H281"/>
  <c r="H280"/>
  <c r="H260"/>
  <c r="H259"/>
  <c r="H258"/>
  <c r="H257"/>
  <c r="H256"/>
  <c r="H255"/>
  <c r="H252"/>
  <c r="H251"/>
  <c r="H250"/>
  <c r="H249"/>
  <c r="H248"/>
  <c r="H247"/>
  <c r="H227"/>
  <c r="H226"/>
  <c r="H225"/>
  <c r="H224"/>
  <c r="H223"/>
  <c r="H222"/>
  <c r="H219"/>
  <c r="H218"/>
  <c r="H217"/>
  <c r="H216"/>
  <c r="H215"/>
  <c r="H214"/>
  <c r="H194"/>
  <c r="H193"/>
  <c r="H192"/>
  <c r="H191"/>
  <c r="H190"/>
  <c r="H189"/>
  <c r="H186"/>
  <c r="H185"/>
  <c r="H184"/>
  <c r="H183"/>
  <c r="H182"/>
  <c r="H181"/>
  <c r="H161"/>
  <c r="H160"/>
  <c r="H159"/>
  <c r="H158"/>
  <c r="H157"/>
  <c r="H156"/>
  <c r="H153"/>
  <c r="H152"/>
  <c r="H151"/>
  <c r="H150"/>
  <c r="H149"/>
  <c r="H148"/>
  <c r="H128"/>
  <c r="H127"/>
  <c r="H126"/>
  <c r="H125"/>
  <c r="H124"/>
  <c r="H123"/>
  <c r="H120"/>
  <c r="H119"/>
  <c r="H118"/>
  <c r="H117"/>
  <c r="H116"/>
  <c r="H115"/>
  <c r="H95"/>
  <c r="H94"/>
  <c r="H93"/>
  <c r="H92"/>
  <c r="H91"/>
  <c r="H90"/>
  <c r="H87"/>
  <c r="H86"/>
  <c r="H85"/>
  <c r="H84"/>
  <c r="H83"/>
  <c r="H82"/>
  <c r="H62"/>
  <c r="H61"/>
  <c r="H60"/>
  <c r="H59"/>
  <c r="H58"/>
  <c r="H57"/>
  <c r="H54"/>
  <c r="H53"/>
  <c r="H52"/>
  <c r="H51"/>
  <c r="H50"/>
  <c r="H49"/>
  <c r="H29"/>
  <c r="H28"/>
  <c r="H27"/>
  <c r="H26"/>
  <c r="H25"/>
  <c r="H24"/>
  <c r="E23" i="10"/>
  <c r="I57" i="9"/>
  <c r="M57" s="1"/>
  <c r="G45"/>
  <c r="B51"/>
  <c r="B46"/>
  <c r="B5"/>
  <c r="EN165" i="21"/>
  <c r="HB164" s="1"/>
  <c r="CN123"/>
  <c r="CF123"/>
  <c r="AN123" s="1"/>
  <c r="DA120"/>
  <c r="IG114"/>
  <c r="FL111"/>
  <c r="ED109" s="1"/>
  <c r="FK103"/>
  <c r="FK106" s="1"/>
  <c r="EX96"/>
  <c r="FE96" s="1"/>
  <c r="EQ115" s="1"/>
  <c r="DA93"/>
  <c r="DG103" s="1"/>
  <c r="I104" s="1"/>
  <c r="GB68"/>
  <c r="AZ64"/>
  <c r="AH70" s="1"/>
  <c r="BT70" s="1"/>
  <c r="EL56"/>
  <c r="GB53"/>
  <c r="GA30"/>
  <c r="DS32" s="1"/>
  <c r="H2682" i="7" l="1"/>
  <c r="H2683" s="1"/>
  <c r="H2599"/>
  <c r="H2606"/>
  <c r="K3114" i="44"/>
  <c r="I573" s="1"/>
  <c r="K573" s="1"/>
  <c r="L573" s="1"/>
  <c r="K4076"/>
  <c r="I700" s="1"/>
  <c r="K700" s="1"/>
  <c r="L700" s="1"/>
  <c r="K1653"/>
  <c r="K1673"/>
  <c r="K1469"/>
  <c r="K1388"/>
  <c r="K2553"/>
  <c r="J4222"/>
  <c r="K4222" s="1"/>
  <c r="K4223" s="1"/>
  <c r="I711" s="1"/>
  <c r="K711" s="1"/>
  <c r="L711" s="1"/>
  <c r="J4217"/>
  <c r="K4217" s="1"/>
  <c r="K4218" s="1"/>
  <c r="I710" s="1"/>
  <c r="K710" s="1"/>
  <c r="L710" s="1"/>
  <c r="J2449"/>
  <c r="K2449" s="1"/>
  <c r="K2450" s="1"/>
  <c r="J2646"/>
  <c r="K2646" s="1"/>
  <c r="K2648" s="1"/>
  <c r="J1513"/>
  <c r="K1513" s="1"/>
  <c r="K1514" s="1"/>
  <c r="J4113"/>
  <c r="J4833"/>
  <c r="K4833" s="1"/>
  <c r="K4834" s="1"/>
  <c r="K4845" s="1"/>
  <c r="J2396"/>
  <c r="K2396" s="1"/>
  <c r="K2397" s="1"/>
  <c r="J2517"/>
  <c r="K2517" s="1"/>
  <c r="K2518" s="1"/>
  <c r="J1485"/>
  <c r="K1485" s="1"/>
  <c r="K1486" s="1"/>
  <c r="K1498" s="1"/>
  <c r="J2293"/>
  <c r="K2293" s="1"/>
  <c r="K2294" s="1"/>
  <c r="K2304" s="1"/>
  <c r="K2306" s="1"/>
  <c r="K2308" s="1"/>
  <c r="J1400"/>
  <c r="K1400" s="1"/>
  <c r="K1401" s="1"/>
  <c r="X48"/>
  <c r="J4081"/>
  <c r="K4081" s="1"/>
  <c r="K4083" s="1"/>
  <c r="K4092" s="1"/>
  <c r="J4099" s="1"/>
  <c r="K4099" s="1"/>
  <c r="K4100" s="1"/>
  <c r="K4107" s="1"/>
  <c r="K4108" s="1"/>
  <c r="I701" s="1"/>
  <c r="K701" s="1"/>
  <c r="L701" s="1"/>
  <c r="J1639"/>
  <c r="K1639" s="1"/>
  <c r="K1640" s="1"/>
  <c r="K1646" s="1"/>
  <c r="K1648" s="1"/>
  <c r="J4894"/>
  <c r="K4894" s="1"/>
  <c r="K4895" s="1"/>
  <c r="K4906" s="1"/>
  <c r="J2354"/>
  <c r="K2354" s="1"/>
  <c r="K2355" s="1"/>
  <c r="K2365" s="1"/>
  <c r="K2367" s="1"/>
  <c r="K2369" s="1"/>
  <c r="I465" s="1"/>
  <c r="K465" s="1"/>
  <c r="L465" s="1"/>
  <c r="J1659"/>
  <c r="K1659" s="1"/>
  <c r="K1660" s="1"/>
  <c r="K1666" s="1"/>
  <c r="K1668" s="1"/>
  <c r="J1457"/>
  <c r="K1457" s="1"/>
  <c r="K1458" s="1"/>
  <c r="J4951"/>
  <c r="K4951" s="1"/>
  <c r="K4952" s="1"/>
  <c r="K4963" s="1"/>
  <c r="J1770"/>
  <c r="K1770" s="1"/>
  <c r="K1771" s="1"/>
  <c r="K1782" s="1"/>
  <c r="J2541"/>
  <c r="K2541" s="1"/>
  <c r="K2542" s="1"/>
  <c r="J2417"/>
  <c r="K2417" s="1"/>
  <c r="K2418" s="1"/>
  <c r="K2428" s="1"/>
  <c r="K2430" s="1"/>
  <c r="K2432" s="1"/>
  <c r="I474" s="1"/>
  <c r="K474" s="1"/>
  <c r="L474" s="1"/>
  <c r="J2565"/>
  <c r="K2565" s="1"/>
  <c r="K2566" s="1"/>
  <c r="K2578" s="1"/>
  <c r="K2579" s="1"/>
  <c r="J4864"/>
  <c r="K4864" s="1"/>
  <c r="K4865" s="1"/>
  <c r="K4876" s="1"/>
  <c r="J2728"/>
  <c r="K2728" s="1"/>
  <c r="K2729" s="1"/>
  <c r="J1377"/>
  <c r="K1377" s="1"/>
  <c r="K1378" s="1"/>
  <c r="K1389" s="1"/>
  <c r="K1391" s="1"/>
  <c r="K1393" s="1"/>
  <c r="I328" s="1"/>
  <c r="K328" s="1"/>
  <c r="L328" s="1"/>
  <c r="J1424"/>
  <c r="K1424" s="1"/>
  <c r="Q1424" s="1"/>
  <c r="Q1425" s="1"/>
  <c r="J2494"/>
  <c r="K2494" s="1"/>
  <c r="K2495" s="1"/>
  <c r="K2506" s="1"/>
  <c r="J1702"/>
  <c r="K1702" s="1"/>
  <c r="K1703" s="1"/>
  <c r="K1714" s="1"/>
  <c r="J4924"/>
  <c r="K4924" s="1"/>
  <c r="K4925" s="1"/>
  <c r="K4936" s="1"/>
  <c r="J1680"/>
  <c r="K1680" s="1"/>
  <c r="K1681" s="1"/>
  <c r="K1692" s="1"/>
  <c r="I368" s="1"/>
  <c r="K368" s="1"/>
  <c r="L368" s="1"/>
  <c r="L48"/>
  <c r="J2375"/>
  <c r="K2375" s="1"/>
  <c r="K2376" s="1"/>
  <c r="K2386" s="1"/>
  <c r="K2388" s="1"/>
  <c r="K2390" s="1"/>
  <c r="I468" s="1"/>
  <c r="K468" s="1"/>
  <c r="L468" s="1"/>
  <c r="J4171"/>
  <c r="K4171" s="1"/>
  <c r="K4175" s="1"/>
  <c r="K4177" s="1"/>
  <c r="K4183" s="1"/>
  <c r="I706" s="1"/>
  <c r="K706" s="1"/>
  <c r="L706" s="1"/>
  <c r="J2262"/>
  <c r="K2262" s="1"/>
  <c r="K2263" s="1"/>
  <c r="K2273" s="1"/>
  <c r="K2275" s="1"/>
  <c r="K2277" s="1"/>
  <c r="J1597"/>
  <c r="K1597" s="1"/>
  <c r="K1598" s="1"/>
  <c r="K1612" s="1"/>
  <c r="N48"/>
  <c r="J4050"/>
  <c r="K4050" s="1"/>
  <c r="K4054" s="1"/>
  <c r="K4056" s="1"/>
  <c r="K4062" s="1"/>
  <c r="I699" s="1"/>
  <c r="K699" s="1"/>
  <c r="L699" s="1"/>
  <c r="J1804"/>
  <c r="K1804" s="1"/>
  <c r="K1805" s="1"/>
  <c r="K1811" s="1"/>
  <c r="K1818" s="1"/>
  <c r="K1819" s="1"/>
  <c r="I380" s="1"/>
  <c r="K380" s="1"/>
  <c r="L380" s="1"/>
  <c r="J1736"/>
  <c r="K1736" s="1"/>
  <c r="K1737" s="1"/>
  <c r="K1748" s="1"/>
  <c r="J1541"/>
  <c r="K1541" s="1"/>
  <c r="K1542" s="1"/>
  <c r="J3545"/>
  <c r="K3545" s="1"/>
  <c r="K3546" s="1"/>
  <c r="K3555" s="1"/>
  <c r="K3556" s="1"/>
  <c r="K3564" s="1"/>
  <c r="K3566" s="1"/>
  <c r="I612" s="1"/>
  <c r="K612" s="1"/>
  <c r="L612" s="1"/>
  <c r="J2844"/>
  <c r="J1569"/>
  <c r="K1569" s="1"/>
  <c r="K1570" s="1"/>
  <c r="K1582" s="1"/>
  <c r="U48"/>
  <c r="J2333"/>
  <c r="K2333" s="1"/>
  <c r="K2334" s="1"/>
  <c r="K2459"/>
  <c r="I478" s="1"/>
  <c r="K478" s="1"/>
  <c r="L478" s="1"/>
  <c r="K2344"/>
  <c r="K2346" s="1"/>
  <c r="K2348" s="1"/>
  <c r="I462" s="1"/>
  <c r="K462" s="1"/>
  <c r="L462" s="1"/>
  <c r="K2741"/>
  <c r="K2742" s="1"/>
  <c r="K2792" s="1"/>
  <c r="K2798" s="1"/>
  <c r="Z1038"/>
  <c r="J4211"/>
  <c r="K4211" s="1"/>
  <c r="K4212" s="1"/>
  <c r="K4213" s="1"/>
  <c r="I709" s="1"/>
  <c r="K709" s="1"/>
  <c r="L709" s="1"/>
  <c r="E1445" i="18"/>
  <c r="H1445" s="1"/>
  <c r="H1444"/>
  <c r="K1411" i="44"/>
  <c r="K2954"/>
  <c r="I563" s="1"/>
  <c r="K563" s="1"/>
  <c r="L563" s="1"/>
  <c r="G1199" i="18"/>
  <c r="H1199" s="1"/>
  <c r="A832" i="7"/>
  <c r="A4685"/>
  <c r="A4703" s="1"/>
  <c r="A4757" s="1"/>
  <c r="H2286" i="18"/>
  <c r="F2287"/>
  <c r="H2287" s="1"/>
  <c r="H2255"/>
  <c r="H2259" s="1"/>
  <c r="F2300"/>
  <c r="AD561" i="4"/>
  <c r="AD562" s="1"/>
  <c r="B521"/>
  <c r="B478"/>
  <c r="CS236"/>
  <c r="CS233"/>
  <c r="CZ230"/>
  <c r="B519"/>
  <c r="B476"/>
  <c r="B518"/>
  <c r="B475"/>
  <c r="AU255"/>
  <c r="AV249"/>
  <c r="B526"/>
  <c r="B483"/>
  <c r="B532" s="1"/>
  <c r="B522"/>
  <c r="B479"/>
  <c r="J1955" i="44"/>
  <c r="K1955" s="1"/>
  <c r="N65"/>
  <c r="U65" s="1"/>
  <c r="J1936"/>
  <c r="K1936" s="1"/>
  <c r="J1896"/>
  <c r="K1896" s="1"/>
  <c r="J1917"/>
  <c r="K1917" s="1"/>
  <c r="J1855"/>
  <c r="K1855" s="1"/>
  <c r="L65"/>
  <c r="O65" s="1"/>
  <c r="J1876"/>
  <c r="K1876" s="1"/>
  <c r="X65"/>
  <c r="L64"/>
  <c r="O64" s="1"/>
  <c r="X64"/>
  <c r="N64"/>
  <c r="U64" s="1"/>
  <c r="J1833"/>
  <c r="K1833" s="1"/>
  <c r="J1958"/>
  <c r="K1958" s="1"/>
  <c r="K4852"/>
  <c r="O46"/>
  <c r="K4883"/>
  <c r="K4418"/>
  <c r="I730" s="1"/>
  <c r="K730" s="1"/>
  <c r="L730" s="1"/>
  <c r="K4165"/>
  <c r="I705" s="1"/>
  <c r="K705" s="1"/>
  <c r="L705" s="1"/>
  <c r="K4265"/>
  <c r="K4267" s="1"/>
  <c r="I717" s="1"/>
  <c r="K717" s="1"/>
  <c r="L717" s="1"/>
  <c r="K4269"/>
  <c r="I716"/>
  <c r="K716" s="1"/>
  <c r="L716" s="1"/>
  <c r="K1190"/>
  <c r="K1192" s="1"/>
  <c r="AA1188"/>
  <c r="I292"/>
  <c r="K292" s="1"/>
  <c r="L292" s="1"/>
  <c r="K4559"/>
  <c r="I307"/>
  <c r="K307" s="1"/>
  <c r="L307" s="1"/>
  <c r="K4677"/>
  <c r="I314"/>
  <c r="K314" s="1"/>
  <c r="L314" s="1"/>
  <c r="K4680"/>
  <c r="I322"/>
  <c r="K322" s="1"/>
  <c r="L322" s="1"/>
  <c r="K3194"/>
  <c r="I578" s="1"/>
  <c r="K578" s="1"/>
  <c r="L578" s="1"/>
  <c r="K3193"/>
  <c r="I577" s="1"/>
  <c r="K577" s="1"/>
  <c r="L577" s="1"/>
  <c r="I576"/>
  <c r="K576" s="1"/>
  <c r="L576" s="1"/>
  <c r="K2993"/>
  <c r="I565" s="1"/>
  <c r="K565" s="1"/>
  <c r="L565" s="1"/>
  <c r="K2994"/>
  <c r="I566" s="1"/>
  <c r="K566" s="1"/>
  <c r="L566" s="1"/>
  <c r="K4238"/>
  <c r="K4240" s="1"/>
  <c r="K4236"/>
  <c r="K4237" s="1"/>
  <c r="H103"/>
  <c r="I103" s="1"/>
  <c r="I102"/>
  <c r="K1221"/>
  <c r="K1223" s="1"/>
  <c r="AA1219"/>
  <c r="I298"/>
  <c r="K298" s="1"/>
  <c r="L298" s="1"/>
  <c r="AA951"/>
  <c r="AA947"/>
  <c r="K1022"/>
  <c r="Z1019"/>
  <c r="K1017"/>
  <c r="K1018" s="1"/>
  <c r="K1019" s="1"/>
  <c r="A994"/>
  <c r="A255"/>
  <c r="A204"/>
  <c r="H203"/>
  <c r="E3964"/>
  <c r="G691"/>
  <c r="G692" s="1"/>
  <c r="AA1135"/>
  <c r="I281"/>
  <c r="K281" s="1"/>
  <c r="L281" s="1"/>
  <c r="J4980"/>
  <c r="K4980" s="1"/>
  <c r="K4981" s="1"/>
  <c r="I873" s="1"/>
  <c r="K873" s="1"/>
  <c r="L873" s="1"/>
  <c r="O99"/>
  <c r="G4727"/>
  <c r="J124"/>
  <c r="L124" s="1"/>
  <c r="H125"/>
  <c r="AA1052"/>
  <c r="I263"/>
  <c r="K263" s="1"/>
  <c r="L263" s="1"/>
  <c r="AA993"/>
  <c r="I251"/>
  <c r="K251" s="1"/>
  <c r="L251" s="1"/>
  <c r="I4799"/>
  <c r="I851"/>
  <c r="K851" s="1"/>
  <c r="L851" s="1"/>
  <c r="K3386"/>
  <c r="K4044"/>
  <c r="K4045" s="1"/>
  <c r="I697" s="1"/>
  <c r="K697" s="1"/>
  <c r="L697" s="1"/>
  <c r="K4123"/>
  <c r="K1754"/>
  <c r="Z1237"/>
  <c r="K1525"/>
  <c r="K3225"/>
  <c r="I580" s="1"/>
  <c r="K580" s="1"/>
  <c r="L580" s="1"/>
  <c r="K3224"/>
  <c r="I579" s="1"/>
  <c r="K579" s="1"/>
  <c r="L579" s="1"/>
  <c r="K101"/>
  <c r="L101" s="1"/>
  <c r="X101"/>
  <c r="I241"/>
  <c r="K241" s="1"/>
  <c r="L241" s="1"/>
  <c r="K949"/>
  <c r="K951" s="1"/>
  <c r="I242" s="1"/>
  <c r="K242" s="1"/>
  <c r="L242" s="1"/>
  <c r="AA979"/>
  <c r="I248"/>
  <c r="K248" s="1"/>
  <c r="L248" s="1"/>
  <c r="H71"/>
  <c r="I70"/>
  <c r="AA1163"/>
  <c r="I287"/>
  <c r="K287" s="1"/>
  <c r="L287" s="1"/>
  <c r="H41"/>
  <c r="I41" s="1"/>
  <c r="K41" s="1"/>
  <c r="L41" s="1"/>
  <c r="O41" s="1"/>
  <c r="I40"/>
  <c r="K40" s="1"/>
  <c r="L40" s="1"/>
  <c r="O40" s="1"/>
  <c r="I253"/>
  <c r="K253" s="1"/>
  <c r="L253" s="1"/>
  <c r="K1006"/>
  <c r="K1008" s="1"/>
  <c r="AA1004"/>
  <c r="A152"/>
  <c r="H153"/>
  <c r="B2861"/>
  <c r="B2871" s="1"/>
  <c r="B2833"/>
  <c r="K963"/>
  <c r="K965" s="1"/>
  <c r="I245" s="1"/>
  <c r="K245" s="1"/>
  <c r="L245" s="1"/>
  <c r="I244"/>
  <c r="K244" s="1"/>
  <c r="L244" s="1"/>
  <c r="H60"/>
  <c r="H62" s="1"/>
  <c r="I62" s="1"/>
  <c r="K62" s="1"/>
  <c r="L62" s="1"/>
  <c r="O62" s="1"/>
  <c r="I58"/>
  <c r="K58" s="1"/>
  <c r="L58" s="1"/>
  <c r="AA1066"/>
  <c r="I266"/>
  <c r="K266" s="1"/>
  <c r="L266" s="1"/>
  <c r="G4640"/>
  <c r="K3378"/>
  <c r="I587" s="1"/>
  <c r="K587" s="1"/>
  <c r="L587" s="1"/>
  <c r="K3379"/>
  <c r="Z1223"/>
  <c r="K2528"/>
  <c r="K2406"/>
  <c r="K2407" s="1"/>
  <c r="K4912"/>
  <c r="K4969"/>
  <c r="K2056"/>
  <c r="K2036"/>
  <c r="K2046" s="1"/>
  <c r="I4800"/>
  <c r="I4580"/>
  <c r="I4567"/>
  <c r="K4564"/>
  <c r="K69"/>
  <c r="L69" s="1"/>
  <c r="O69" s="1"/>
  <c r="X69"/>
  <c r="K4251"/>
  <c r="K4274"/>
  <c r="AA1107"/>
  <c r="I275"/>
  <c r="K275" s="1"/>
  <c r="L275" s="1"/>
  <c r="G4639"/>
  <c r="K1716"/>
  <c r="J1717"/>
  <c r="K1717" s="1"/>
  <c r="AA1121"/>
  <c r="I278"/>
  <c r="K278" s="1"/>
  <c r="L278" s="1"/>
  <c r="H59"/>
  <c r="H61" s="1"/>
  <c r="I57"/>
  <c r="K1235"/>
  <c r="K1237" s="1"/>
  <c r="AA1233"/>
  <c r="I301"/>
  <c r="K301" s="1"/>
  <c r="L301" s="1"/>
  <c r="I259"/>
  <c r="K259" s="1"/>
  <c r="L259" s="1"/>
  <c r="K1036"/>
  <c r="K1038" s="1"/>
  <c r="AA1034"/>
  <c r="A2861"/>
  <c r="A2871" s="1"/>
  <c r="A2833"/>
  <c r="K4679"/>
  <c r="I310"/>
  <c r="K310" s="1"/>
  <c r="L310" s="1"/>
  <c r="G4592"/>
  <c r="I4563"/>
  <c r="I752"/>
  <c r="K752" s="1"/>
  <c r="L752" s="1"/>
  <c r="K4560"/>
  <c r="I319"/>
  <c r="K319" s="1"/>
  <c r="L319" s="1"/>
  <c r="AA1177"/>
  <c r="I290"/>
  <c r="K290" s="1"/>
  <c r="L290" s="1"/>
  <c r="Z951"/>
  <c r="K4196"/>
  <c r="K4197" s="1"/>
  <c r="I707" s="1"/>
  <c r="K707" s="1"/>
  <c r="L707" s="1"/>
  <c r="I33"/>
  <c r="K33" s="1"/>
  <c r="L33" s="1"/>
  <c r="O33" s="1"/>
  <c r="H34"/>
  <c r="I34" s="1"/>
  <c r="K34" s="1"/>
  <c r="L34" s="1"/>
  <c r="O34" s="1"/>
  <c r="I4700"/>
  <c r="I4687"/>
  <c r="K4684"/>
  <c r="K3085"/>
  <c r="I571" s="1"/>
  <c r="K571" s="1"/>
  <c r="L571" s="1"/>
  <c r="K3084"/>
  <c r="I570" s="1"/>
  <c r="K570" s="1"/>
  <c r="L570" s="1"/>
  <c r="K4397"/>
  <c r="K4399" s="1"/>
  <c r="I723"/>
  <c r="K723" s="1"/>
  <c r="L723" s="1"/>
  <c r="Z1251"/>
  <c r="K1254"/>
  <c r="K1250"/>
  <c r="K1251" s="1"/>
  <c r="AA1206"/>
  <c r="I296"/>
  <c r="K296" s="1"/>
  <c r="L296" s="1"/>
  <c r="K3052"/>
  <c r="I569" s="1"/>
  <c r="K569" s="1"/>
  <c r="L569" s="1"/>
  <c r="K3051"/>
  <c r="I568" s="1"/>
  <c r="K568" s="1"/>
  <c r="L568" s="1"/>
  <c r="H197"/>
  <c r="A197" s="1"/>
  <c r="A198" s="1"/>
  <c r="A196"/>
  <c r="AA1093"/>
  <c r="I272"/>
  <c r="K272" s="1"/>
  <c r="L272" s="1"/>
  <c r="K4558"/>
  <c r="I315"/>
  <c r="K315" s="1"/>
  <c r="L315" s="1"/>
  <c r="K4270"/>
  <c r="K4247"/>
  <c r="I738"/>
  <c r="K738" s="1"/>
  <c r="L738" s="1"/>
  <c r="K3163"/>
  <c r="K3164"/>
  <c r="K1629"/>
  <c r="K1633"/>
  <c r="K1621"/>
  <c r="K56"/>
  <c r="L56" s="1"/>
  <c r="O56" s="1"/>
  <c r="X56"/>
  <c r="AA1079"/>
  <c r="I269"/>
  <c r="K269" s="1"/>
  <c r="L269" s="1"/>
  <c r="K4678"/>
  <c r="I318"/>
  <c r="K318" s="1"/>
  <c r="L318" s="1"/>
  <c r="AA1149"/>
  <c r="I284"/>
  <c r="K284" s="1"/>
  <c r="L284" s="1"/>
  <c r="K1788"/>
  <c r="K4942"/>
  <c r="Z1008"/>
  <c r="K1553"/>
  <c r="H121" i="18"/>
  <c r="H154"/>
  <c r="H253"/>
  <c r="H286"/>
  <c r="H319"/>
  <c r="H352"/>
  <c r="H385"/>
  <c r="H418"/>
  <c r="H451"/>
  <c r="H484"/>
  <c r="H517"/>
  <c r="H550"/>
  <c r="H96"/>
  <c r="H220"/>
  <c r="H616"/>
  <c r="H682"/>
  <c r="H715"/>
  <c r="H187"/>
  <c r="H583"/>
  <c r="H129"/>
  <c r="H162"/>
  <c r="H195"/>
  <c r="H228"/>
  <c r="H261"/>
  <c r="H294"/>
  <c r="H327"/>
  <c r="H360"/>
  <c r="H393"/>
  <c r="H426"/>
  <c r="H459"/>
  <c r="H525"/>
  <c r="H558"/>
  <c r="H591"/>
  <c r="H657"/>
  <c r="H690"/>
  <c r="H723"/>
  <c r="H751"/>
  <c r="H649"/>
  <c r="H624"/>
  <c r="H88"/>
  <c r="H492"/>
  <c r="H1564"/>
  <c r="H1565"/>
  <c r="H63"/>
  <c r="H55"/>
  <c r="H30"/>
  <c r="BG128" i="21"/>
  <c r="HR114" s="1"/>
  <c r="AP140"/>
  <c r="AZ59"/>
  <c r="K1654" i="44" l="1"/>
  <c r="I366" s="1"/>
  <c r="K366" s="1"/>
  <c r="L366" s="1"/>
  <c r="K1674"/>
  <c r="I367" s="1"/>
  <c r="K367" s="1"/>
  <c r="L367" s="1"/>
  <c r="K1789"/>
  <c r="K1790" s="1"/>
  <c r="H1449" i="18"/>
  <c r="D2950" s="1"/>
  <c r="H2950" s="1"/>
  <c r="H2690" i="7"/>
  <c r="H2691" s="1"/>
  <c r="H2614"/>
  <c r="H2615" s="1"/>
  <c r="H2607"/>
  <c r="I449" i="44"/>
  <c r="K449" s="1"/>
  <c r="L449" s="1"/>
  <c r="K2283"/>
  <c r="I452" s="1"/>
  <c r="K452" s="1"/>
  <c r="L452" s="1"/>
  <c r="K2285"/>
  <c r="K2287" s="1"/>
  <c r="I453" s="1"/>
  <c r="K453" s="1"/>
  <c r="L453" s="1"/>
  <c r="K1613"/>
  <c r="I360"/>
  <c r="K360" s="1"/>
  <c r="L360" s="1"/>
  <c r="K4884"/>
  <c r="K4885" s="1"/>
  <c r="K4886" s="1"/>
  <c r="K4887" s="1"/>
  <c r="I868" s="1"/>
  <c r="K868" s="1"/>
  <c r="L868" s="1"/>
  <c r="K1526"/>
  <c r="I464"/>
  <c r="K464" s="1"/>
  <c r="L464" s="1"/>
  <c r="I473"/>
  <c r="K473" s="1"/>
  <c r="L473" s="1"/>
  <c r="I455"/>
  <c r="K455" s="1"/>
  <c r="L455" s="1"/>
  <c r="K2311"/>
  <c r="I461"/>
  <c r="K461" s="1"/>
  <c r="L461" s="1"/>
  <c r="K2554"/>
  <c r="K2556" s="1"/>
  <c r="K2558" s="1"/>
  <c r="I489" s="1"/>
  <c r="K489" s="1"/>
  <c r="L489" s="1"/>
  <c r="K2745"/>
  <c r="K2747" s="1"/>
  <c r="K2749" s="1"/>
  <c r="I531" s="1"/>
  <c r="K531" s="1"/>
  <c r="L531" s="1"/>
  <c r="I327"/>
  <c r="K327" s="1"/>
  <c r="L327" s="1"/>
  <c r="K1470"/>
  <c r="K1472" s="1"/>
  <c r="K1474" s="1"/>
  <c r="K4853"/>
  <c r="K4854" s="1"/>
  <c r="K4855" s="1"/>
  <c r="K4856" s="1"/>
  <c r="I867" s="1"/>
  <c r="K867" s="1"/>
  <c r="L867" s="1"/>
  <c r="K2629"/>
  <c r="K2635" s="1"/>
  <c r="K2637" s="1"/>
  <c r="K2639" s="1"/>
  <c r="I508" s="1"/>
  <c r="K508" s="1"/>
  <c r="L508" s="1"/>
  <c r="K2589"/>
  <c r="K2592" s="1"/>
  <c r="K2594" s="1"/>
  <c r="K2596" s="1"/>
  <c r="I496" s="1"/>
  <c r="K496" s="1"/>
  <c r="L496" s="1"/>
  <c r="K2582"/>
  <c r="K2599"/>
  <c r="K2602" s="1"/>
  <c r="J2210"/>
  <c r="K2210" s="1"/>
  <c r="J2184"/>
  <c r="K2184" s="1"/>
  <c r="J2123"/>
  <c r="K2123" s="1"/>
  <c r="J2236"/>
  <c r="K2236" s="1"/>
  <c r="J2098"/>
  <c r="K2098" s="1"/>
  <c r="J2148"/>
  <c r="K2148" s="1"/>
  <c r="O48"/>
  <c r="K4113"/>
  <c r="K4114" s="1"/>
  <c r="K4124" s="1"/>
  <c r="J4127"/>
  <c r="K4127" s="1"/>
  <c r="K4128" s="1"/>
  <c r="K4137" s="1"/>
  <c r="K1624"/>
  <c r="K1626" s="1"/>
  <c r="K1628" s="1"/>
  <c r="K1615"/>
  <c r="K1617" s="1"/>
  <c r="K1618" s="1"/>
  <c r="K1620" s="1"/>
  <c r="K1622" s="1"/>
  <c r="I362" s="1"/>
  <c r="K362" s="1"/>
  <c r="L362" s="1"/>
  <c r="K2752"/>
  <c r="K2755" s="1"/>
  <c r="I533" s="1"/>
  <c r="K533" s="1"/>
  <c r="L533" s="1"/>
  <c r="K3558"/>
  <c r="K3560" s="1"/>
  <c r="I609" s="1"/>
  <c r="K609" s="1"/>
  <c r="L609" s="1"/>
  <c r="I467"/>
  <c r="K467" s="1"/>
  <c r="L467" s="1"/>
  <c r="J2845"/>
  <c r="K2845" s="1"/>
  <c r="K2844"/>
  <c r="K2847" s="1"/>
  <c r="I608"/>
  <c r="K608" s="1"/>
  <c r="L608" s="1"/>
  <c r="K2762"/>
  <c r="K2772" s="1"/>
  <c r="K3562"/>
  <c r="I611" s="1"/>
  <c r="K611" s="1"/>
  <c r="L611" s="1"/>
  <c r="K1554"/>
  <c r="K1556" s="1"/>
  <c r="K1558" s="1"/>
  <c r="K1412"/>
  <c r="K1425"/>
  <c r="K1436" s="1"/>
  <c r="K2529"/>
  <c r="I485" s="1"/>
  <c r="K485" s="1"/>
  <c r="L485" s="1"/>
  <c r="K4943"/>
  <c r="K4944" s="1"/>
  <c r="I870" s="1"/>
  <c r="K870" s="1"/>
  <c r="L870" s="1"/>
  <c r="K4970"/>
  <c r="K4971" s="1"/>
  <c r="I871" s="1"/>
  <c r="K871" s="1"/>
  <c r="L871" s="1"/>
  <c r="Z1023"/>
  <c r="A4739" i="7"/>
  <c r="H2282" i="18"/>
  <c r="D2959"/>
  <c r="H2959" s="1"/>
  <c r="H2291"/>
  <c r="D2962" s="1"/>
  <c r="H2962" s="1"/>
  <c r="H1346"/>
  <c r="E2300"/>
  <c r="H2300" s="1"/>
  <c r="F2301"/>
  <c r="E2301" s="1"/>
  <c r="B527" i="4"/>
  <c r="B484"/>
  <c r="B533" s="1"/>
  <c r="B525"/>
  <c r="B482"/>
  <c r="B531" s="1"/>
  <c r="CS237"/>
  <c r="CU237" s="1"/>
  <c r="CU236"/>
  <c r="B524"/>
  <c r="B481"/>
  <c r="B530" s="1"/>
  <c r="AU256"/>
  <c r="AV256" s="1"/>
  <c r="AV255"/>
  <c r="B528"/>
  <c r="B485"/>
  <c r="B534" s="1"/>
  <c r="CS239"/>
  <c r="CS234"/>
  <c r="CT234" s="1"/>
  <c r="CT233"/>
  <c r="K1720" i="44"/>
  <c r="K1721" s="1"/>
  <c r="K1722" s="1"/>
  <c r="K1723" s="1"/>
  <c r="I371" s="1"/>
  <c r="K371" s="1"/>
  <c r="L371" s="1"/>
  <c r="K1820"/>
  <c r="K2010" s="1"/>
  <c r="K1528"/>
  <c r="K1530" s="1"/>
  <c r="I348"/>
  <c r="K348" s="1"/>
  <c r="L348" s="1"/>
  <c r="K1021"/>
  <c r="K1023" s="1"/>
  <c r="AA1019"/>
  <c r="I256"/>
  <c r="K256" s="1"/>
  <c r="L256" s="1"/>
  <c r="K1791"/>
  <c r="K1793"/>
  <c r="K1795" s="1"/>
  <c r="I377"/>
  <c r="K377" s="1"/>
  <c r="L377" s="1"/>
  <c r="K1253"/>
  <c r="K1255" s="1"/>
  <c r="AA1251"/>
  <c r="I304"/>
  <c r="K304" s="1"/>
  <c r="L304" s="1"/>
  <c r="I4572"/>
  <c r="I755"/>
  <c r="K755" s="1"/>
  <c r="L755" s="1"/>
  <c r="I4570"/>
  <c r="K4567"/>
  <c r="I4583"/>
  <c r="K2508"/>
  <c r="K2510" s="1"/>
  <c r="I483" s="1"/>
  <c r="K483" s="1"/>
  <c r="L483" s="1"/>
  <c r="I482"/>
  <c r="K482" s="1"/>
  <c r="L482" s="1"/>
  <c r="K4563"/>
  <c r="K4565" s="1"/>
  <c r="I758" s="1"/>
  <c r="K758" s="1"/>
  <c r="L758" s="1"/>
  <c r="I4579"/>
  <c r="I4689"/>
  <c r="I803"/>
  <c r="K803" s="1"/>
  <c r="L803" s="1"/>
  <c r="AA1038"/>
  <c r="I260"/>
  <c r="K260" s="1"/>
  <c r="L260" s="1"/>
  <c r="AA1237"/>
  <c r="I302"/>
  <c r="K302" s="1"/>
  <c r="L302" s="1"/>
  <c r="O58"/>
  <c r="X58"/>
  <c r="K3388"/>
  <c r="K3389"/>
  <c r="K3390" s="1"/>
  <c r="J125"/>
  <c r="L125" s="1"/>
  <c r="E126" s="1"/>
  <c r="L126" s="1"/>
  <c r="F49" s="1"/>
  <c r="G49" s="1"/>
  <c r="K4250"/>
  <c r="K4252" s="1"/>
  <c r="I715" s="1"/>
  <c r="K715" s="1"/>
  <c r="L715" s="1"/>
  <c r="K4246"/>
  <c r="K4248" s="1"/>
  <c r="I714" s="1"/>
  <c r="K714" s="1"/>
  <c r="L714" s="1"/>
  <c r="K4242"/>
  <c r="K4244" s="1"/>
  <c r="I713" s="1"/>
  <c r="K713" s="1"/>
  <c r="L713" s="1"/>
  <c r="I712"/>
  <c r="K712" s="1"/>
  <c r="L712" s="1"/>
  <c r="K4681"/>
  <c r="I4683"/>
  <c r="I801"/>
  <c r="K801" s="1"/>
  <c r="L801" s="1"/>
  <c r="Z1255"/>
  <c r="H63"/>
  <c r="I63" s="1"/>
  <c r="I61"/>
  <c r="K61" s="1"/>
  <c r="L61" s="1"/>
  <c r="O61" s="1"/>
  <c r="I4686"/>
  <c r="I802"/>
  <c r="K802" s="1"/>
  <c r="L802" s="1"/>
  <c r="K57"/>
  <c r="L57" s="1"/>
  <c r="O57" s="1"/>
  <c r="X57"/>
  <c r="AA1008"/>
  <c r="I254"/>
  <c r="K254" s="1"/>
  <c r="L254" s="1"/>
  <c r="I4566"/>
  <c r="I753"/>
  <c r="K753" s="1"/>
  <c r="L753" s="1"/>
  <c r="I4716"/>
  <c r="K4700"/>
  <c r="I4804"/>
  <c r="K4800"/>
  <c r="K1500"/>
  <c r="K1502" s="1"/>
  <c r="I344"/>
  <c r="K344" s="1"/>
  <c r="L344" s="1"/>
  <c r="K2324"/>
  <c r="I456"/>
  <c r="K456" s="1"/>
  <c r="L456" s="1"/>
  <c r="H72"/>
  <c r="I71"/>
  <c r="J4990"/>
  <c r="K4990" s="1"/>
  <c r="K4991" s="1"/>
  <c r="I875" s="1"/>
  <c r="K875" s="1"/>
  <c r="L875" s="1"/>
  <c r="O101"/>
  <c r="A258"/>
  <c r="A1009"/>
  <c r="K103"/>
  <c r="L103" s="1"/>
  <c r="X103"/>
  <c r="I4692"/>
  <c r="I804"/>
  <c r="K804" s="1"/>
  <c r="L804" s="1"/>
  <c r="K2584"/>
  <c r="K2586" s="1"/>
  <c r="I493" s="1"/>
  <c r="K493" s="1"/>
  <c r="L493" s="1"/>
  <c r="I492"/>
  <c r="K492" s="1"/>
  <c r="L492" s="1"/>
  <c r="K4271"/>
  <c r="I718" s="1"/>
  <c r="K718" s="1"/>
  <c r="L718" s="1"/>
  <c r="K4273"/>
  <c r="K4275" s="1"/>
  <c r="I719" s="1"/>
  <c r="K719" s="1"/>
  <c r="L719" s="1"/>
  <c r="K4913"/>
  <c r="K4914" s="1"/>
  <c r="K4561"/>
  <c r="G128"/>
  <c r="K4401"/>
  <c r="K4404" s="1"/>
  <c r="I729" s="1"/>
  <c r="K729" s="1"/>
  <c r="L729" s="1"/>
  <c r="I728"/>
  <c r="K728" s="1"/>
  <c r="L728" s="1"/>
  <c r="I4596"/>
  <c r="K4580"/>
  <c r="K2409"/>
  <c r="K2411" s="1"/>
  <c r="I471" s="1"/>
  <c r="K471" s="1"/>
  <c r="L471" s="1"/>
  <c r="I470"/>
  <c r="K470" s="1"/>
  <c r="L470" s="1"/>
  <c r="K1584"/>
  <c r="K1586" s="1"/>
  <c r="I356"/>
  <c r="K356" s="1"/>
  <c r="L356" s="1"/>
  <c r="A153"/>
  <c r="H154"/>
  <c r="K70"/>
  <c r="L70" s="1"/>
  <c r="O70" s="1"/>
  <c r="X70"/>
  <c r="K4799"/>
  <c r="I4803"/>
  <c r="A205"/>
  <c r="H204"/>
  <c r="K2279"/>
  <c r="K2281" s="1"/>
  <c r="I450"/>
  <c r="K450" s="1"/>
  <c r="L450" s="1"/>
  <c r="K102"/>
  <c r="L102" s="1"/>
  <c r="X102"/>
  <c r="I4569"/>
  <c r="I754"/>
  <c r="K754" s="1"/>
  <c r="L754" s="1"/>
  <c r="K1755"/>
  <c r="K1756" s="1"/>
  <c r="I4690"/>
  <c r="K4687"/>
  <c r="I4703"/>
  <c r="K2800"/>
  <c r="K2802" s="1"/>
  <c r="I540" s="1"/>
  <c r="K540" s="1"/>
  <c r="L540" s="1"/>
  <c r="I539"/>
  <c r="K539" s="1"/>
  <c r="L539" s="1"/>
  <c r="AA1223"/>
  <c r="I299"/>
  <c r="K299" s="1"/>
  <c r="L299" s="1"/>
  <c r="AA1192"/>
  <c r="I293"/>
  <c r="K293" s="1"/>
  <c r="L293" s="1"/>
  <c r="A3" i="17"/>
  <c r="A4"/>
  <c r="A2"/>
  <c r="D3"/>
  <c r="D4"/>
  <c r="D2"/>
  <c r="U133" i="7"/>
  <c r="D9" i="13"/>
  <c r="J2"/>
  <c r="C4"/>
  <c r="Q44" i="27"/>
  <c r="K44"/>
  <c r="D45"/>
  <c r="D44"/>
  <c r="C4"/>
  <c r="C5"/>
  <c r="C3"/>
  <c r="H4"/>
  <c r="H5"/>
  <c r="H3"/>
  <c r="J11" i="24"/>
  <c r="E7"/>
  <c r="J11" i="23"/>
  <c r="E7"/>
  <c r="A4" i="43"/>
  <c r="A5"/>
  <c r="A3"/>
  <c r="T48" i="7"/>
  <c r="F48" s="1"/>
  <c r="G48" s="1"/>
  <c r="T47"/>
  <c r="F47" s="1"/>
  <c r="G47" s="1"/>
  <c r="T46"/>
  <c r="F46" s="1"/>
  <c r="G46" s="1"/>
  <c r="T45"/>
  <c r="F45" s="1"/>
  <c r="G45" s="1"/>
  <c r="J1912" s="1"/>
  <c r="T44"/>
  <c r="F44" s="1"/>
  <c r="G44" s="1"/>
  <c r="T37"/>
  <c r="F37" s="1"/>
  <c r="G37" s="1"/>
  <c r="T38"/>
  <c r="F38" s="1"/>
  <c r="G38" s="1"/>
  <c r="T39"/>
  <c r="F39" s="1"/>
  <c r="G39" s="1"/>
  <c r="T40"/>
  <c r="F40" s="1"/>
  <c r="G40" s="1"/>
  <c r="T41"/>
  <c r="F41" s="1"/>
  <c r="G41" s="1"/>
  <c r="T36"/>
  <c r="F36" s="1"/>
  <c r="T31"/>
  <c r="F31" s="1"/>
  <c r="G31" s="1"/>
  <c r="T32"/>
  <c r="F32" s="1"/>
  <c r="G32" s="1"/>
  <c r="T33"/>
  <c r="F33" s="1"/>
  <c r="G33" s="1"/>
  <c r="T34"/>
  <c r="F34" s="1"/>
  <c r="T30"/>
  <c r="F30" s="1"/>
  <c r="G30" s="1"/>
  <c r="T29"/>
  <c r="F29" s="1"/>
  <c r="G29" s="1"/>
  <c r="T27"/>
  <c r="F27" s="1"/>
  <c r="G27" s="1"/>
  <c r="T26"/>
  <c r="F26" s="1"/>
  <c r="G26" s="1"/>
  <c r="T25"/>
  <c r="F25" s="1"/>
  <c r="G25" s="1"/>
  <c r="T24"/>
  <c r="F24" s="1"/>
  <c r="G24" s="1"/>
  <c r="T23"/>
  <c r="F23" s="1"/>
  <c r="G23" s="1"/>
  <c r="T22"/>
  <c r="F22" s="1"/>
  <c r="G22" s="1"/>
  <c r="T21"/>
  <c r="F21" s="1"/>
  <c r="G21" s="1"/>
  <c r="T20"/>
  <c r="F20" s="1"/>
  <c r="G20" s="1"/>
  <c r="T19"/>
  <c r="F19" s="1"/>
  <c r="G19" s="1"/>
  <c r="T18"/>
  <c r="F18" s="1"/>
  <c r="G18" s="1"/>
  <c r="T17"/>
  <c r="F17" s="1"/>
  <c r="G17" s="1"/>
  <c r="T16"/>
  <c r="F16" s="1"/>
  <c r="G16" s="1"/>
  <c r="T15"/>
  <c r="F15" s="1"/>
  <c r="G15" s="1"/>
  <c r="T14"/>
  <c r="F14" s="1"/>
  <c r="G14" s="1"/>
  <c r="T13"/>
  <c r="F13" s="1"/>
  <c r="G13" s="1"/>
  <c r="T12"/>
  <c r="F12" s="1"/>
  <c r="G12" s="1"/>
  <c r="T11"/>
  <c r="F11" s="1"/>
  <c r="G11" s="1"/>
  <c r="T10"/>
  <c r="F10" s="1"/>
  <c r="G10" s="1"/>
  <c r="T9"/>
  <c r="F9" s="1"/>
  <c r="G9" s="1"/>
  <c r="T8"/>
  <c r="F8" s="1"/>
  <c r="G4346" i="18"/>
  <c r="E4346"/>
  <c r="G4345"/>
  <c r="E4345"/>
  <c r="E5272"/>
  <c r="G5271"/>
  <c r="G5272" s="1"/>
  <c r="E5271"/>
  <c r="E5270"/>
  <c r="E5269"/>
  <c r="E5105"/>
  <c r="G5104"/>
  <c r="G5105" s="1"/>
  <c r="E5104"/>
  <c r="E5103"/>
  <c r="E5102"/>
  <c r="G4870"/>
  <c r="F5068"/>
  <c r="G5069" s="1"/>
  <c r="E5068"/>
  <c r="E5101" s="1"/>
  <c r="F5067"/>
  <c r="F5100" s="1"/>
  <c r="E5067"/>
  <c r="E5100" s="1"/>
  <c r="E5072"/>
  <c r="G5071"/>
  <c r="G5072" s="1"/>
  <c r="E5071"/>
  <c r="E5070"/>
  <c r="E5069"/>
  <c r="E3207"/>
  <c r="E3209" s="1"/>
  <c r="G3204"/>
  <c r="G3205" s="1"/>
  <c r="G3206" s="1"/>
  <c r="G3207" s="1"/>
  <c r="E3206"/>
  <c r="E3205"/>
  <c r="E3204"/>
  <c r="E3203"/>
  <c r="H3203" s="1"/>
  <c r="B3158"/>
  <c r="B3027"/>
  <c r="B3028"/>
  <c r="B3170" s="1"/>
  <c r="B3026"/>
  <c r="E3031"/>
  <c r="G3030"/>
  <c r="G3031" s="1"/>
  <c r="E3030"/>
  <c r="E3021"/>
  <c r="E3020"/>
  <c r="G1178"/>
  <c r="G3027" s="1"/>
  <c r="G5268" s="1"/>
  <c r="G5269" s="1"/>
  <c r="G5270" s="1"/>
  <c r="G1177"/>
  <c r="G3026" s="1"/>
  <c r="G5267" s="1"/>
  <c r="E3027"/>
  <c r="E3026"/>
  <c r="F2741"/>
  <c r="F2739"/>
  <c r="F2737"/>
  <c r="E2737"/>
  <c r="F2736"/>
  <c r="E2736"/>
  <c r="G2733"/>
  <c r="G2734" s="1"/>
  <c r="G2735" s="1"/>
  <c r="E2700"/>
  <c r="E2871" s="1"/>
  <c r="E2699"/>
  <c r="E2870" s="1"/>
  <c r="E2698"/>
  <c r="E2869" s="1"/>
  <c r="G2697"/>
  <c r="G2698" s="1"/>
  <c r="E2697"/>
  <c r="E2868" s="1"/>
  <c r="H1568"/>
  <c r="H1567"/>
  <c r="H1566"/>
  <c r="G1414"/>
  <c r="G1413"/>
  <c r="F1413"/>
  <c r="E1413"/>
  <c r="E2730" s="1"/>
  <c r="E2732" s="1"/>
  <c r="H1418"/>
  <c r="H1417"/>
  <c r="H1416"/>
  <c r="G1397"/>
  <c r="G1398" s="1"/>
  <c r="G1399" s="1"/>
  <c r="H1402"/>
  <c r="H1401"/>
  <c r="H1400"/>
  <c r="G1366"/>
  <c r="G1367" s="1"/>
  <c r="G1368" s="1"/>
  <c r="G1258"/>
  <c r="G1259" s="1"/>
  <c r="F1257"/>
  <c r="H1262"/>
  <c r="H1261"/>
  <c r="H1260"/>
  <c r="G1249"/>
  <c r="G1250" s="1"/>
  <c r="G1251" s="1"/>
  <c r="F1249"/>
  <c r="F1250" s="1"/>
  <c r="H1254"/>
  <c r="H1253"/>
  <c r="H1252"/>
  <c r="G1241"/>
  <c r="G1242" s="1"/>
  <c r="G1243" s="1"/>
  <c r="F1241"/>
  <c r="B1242"/>
  <c r="B1250" s="1"/>
  <c r="B1258" s="1"/>
  <c r="B1241"/>
  <c r="B1249" s="1"/>
  <c r="B1257" s="1"/>
  <c r="H1246"/>
  <c r="H1245"/>
  <c r="H1244"/>
  <c r="G1235"/>
  <c r="JA108" i="6"/>
  <c r="GX110"/>
  <c r="GW102"/>
  <c r="GW105" s="1"/>
  <c r="GJ95"/>
  <c r="FS56"/>
  <c r="GX30"/>
  <c r="GY53"/>
  <c r="GY68"/>
  <c r="X132"/>
  <c r="AG134" s="1"/>
  <c r="BM134" s="1"/>
  <c r="IL108" s="1"/>
  <c r="G473" i="17" s="1"/>
  <c r="G492" s="1"/>
  <c r="AW68" i="6"/>
  <c r="AW62" s="1"/>
  <c r="E2701" i="18" s="1"/>
  <c r="E2872" s="1"/>
  <c r="CO95" i="6"/>
  <c r="CO126"/>
  <c r="H5014" i="18"/>
  <c r="H5013"/>
  <c r="H5012"/>
  <c r="H5011"/>
  <c r="H5010"/>
  <c r="H5009"/>
  <c r="H5006"/>
  <c r="H5005"/>
  <c r="H5004"/>
  <c r="H5003"/>
  <c r="H5002"/>
  <c r="H5001"/>
  <c r="H4981"/>
  <c r="H4980"/>
  <c r="H4979"/>
  <c r="H4978"/>
  <c r="H4977"/>
  <c r="H4976"/>
  <c r="H4973"/>
  <c r="H4972"/>
  <c r="H4971"/>
  <c r="H4970"/>
  <c r="H4969"/>
  <c r="H4968"/>
  <c r="H4948"/>
  <c r="H4947"/>
  <c r="H4946"/>
  <c r="H4945"/>
  <c r="H4944"/>
  <c r="H4943"/>
  <c r="H4940"/>
  <c r="H4939"/>
  <c r="H4938"/>
  <c r="H4937"/>
  <c r="H4915"/>
  <c r="H4914"/>
  <c r="H4913"/>
  <c r="H4912"/>
  <c r="H4911"/>
  <c r="H4910"/>
  <c r="H4907"/>
  <c r="H4906"/>
  <c r="H4905"/>
  <c r="H4904"/>
  <c r="H4903"/>
  <c r="H4902"/>
  <c r="H4882"/>
  <c r="H4881"/>
  <c r="H4880"/>
  <c r="H4879"/>
  <c r="H4878"/>
  <c r="H4877"/>
  <c r="H4874"/>
  <c r="H4873"/>
  <c r="H4848"/>
  <c r="H4847"/>
  <c r="H4846"/>
  <c r="H4845"/>
  <c r="H4844"/>
  <c r="H4843"/>
  <c r="H4840"/>
  <c r="H4839"/>
  <c r="H4838"/>
  <c r="H4837"/>
  <c r="H4836"/>
  <c r="H4835"/>
  <c r="H4815"/>
  <c r="H4814"/>
  <c r="H4813"/>
  <c r="H4812"/>
  <c r="H4811"/>
  <c r="H4810"/>
  <c r="H4807"/>
  <c r="H4806"/>
  <c r="H4805"/>
  <c r="H4804"/>
  <c r="H4803"/>
  <c r="H4802"/>
  <c r="H4782"/>
  <c r="H4781"/>
  <c r="H4780"/>
  <c r="H4779"/>
  <c r="H4778"/>
  <c r="H4777"/>
  <c r="H4774"/>
  <c r="H4773"/>
  <c r="H4772"/>
  <c r="H4771"/>
  <c r="H4770"/>
  <c r="H4769"/>
  <c r="H4748"/>
  <c r="H4747"/>
  <c r="H4746"/>
  <c r="H4745"/>
  <c r="H4744"/>
  <c r="H4743"/>
  <c r="H4740"/>
  <c r="H4739"/>
  <c r="H4738"/>
  <c r="H4737"/>
  <c r="H4736"/>
  <c r="H4735"/>
  <c r="H4715"/>
  <c r="H4714"/>
  <c r="H4713"/>
  <c r="H4712"/>
  <c r="H4711"/>
  <c r="H4710"/>
  <c r="H4707"/>
  <c r="H4706"/>
  <c r="H4705"/>
  <c r="H4704"/>
  <c r="H4703"/>
  <c r="H4702"/>
  <c r="H4681"/>
  <c r="H4680"/>
  <c r="H4679"/>
  <c r="H4678"/>
  <c r="H4677"/>
  <c r="H4676"/>
  <c r="H4673"/>
  <c r="H4672"/>
  <c r="H4671"/>
  <c r="H4670"/>
  <c r="H4669"/>
  <c r="H4668"/>
  <c r="H4648"/>
  <c r="H4647"/>
  <c r="H4646"/>
  <c r="H4645"/>
  <c r="H4644"/>
  <c r="H4643"/>
  <c r="H4640"/>
  <c r="H4639"/>
  <c r="H4638"/>
  <c r="H4637"/>
  <c r="H4636"/>
  <c r="H4635"/>
  <c r="H4614"/>
  <c r="H4613"/>
  <c r="H4612"/>
  <c r="H4611"/>
  <c r="H4610"/>
  <c r="H4609"/>
  <c r="H4606"/>
  <c r="H4605"/>
  <c r="H4604"/>
  <c r="H4603"/>
  <c r="H4602"/>
  <c r="H4601"/>
  <c r="H4581"/>
  <c r="H4580"/>
  <c r="H4579"/>
  <c r="H4578"/>
  <c r="H4577"/>
  <c r="H4576"/>
  <c r="H4573"/>
  <c r="H4572"/>
  <c r="H4571"/>
  <c r="H4570"/>
  <c r="H4569"/>
  <c r="H4568"/>
  <c r="H4479"/>
  <c r="H4478"/>
  <c r="H4477"/>
  <c r="H4476"/>
  <c r="H4475"/>
  <c r="H4474"/>
  <c r="H4446"/>
  <c r="H4445"/>
  <c r="H4444"/>
  <c r="H4443"/>
  <c r="H4442"/>
  <c r="H4441"/>
  <c r="H4437"/>
  <c r="H4436"/>
  <c r="H4435"/>
  <c r="H4434"/>
  <c r="H4433"/>
  <c r="H4432"/>
  <c r="H4428"/>
  <c r="H4427"/>
  <c r="H4426"/>
  <c r="H4425"/>
  <c r="H4424"/>
  <c r="H4423"/>
  <c r="H4420"/>
  <c r="H4419"/>
  <c r="H4418"/>
  <c r="H4417"/>
  <c r="H4416"/>
  <c r="H4415"/>
  <c r="H4411"/>
  <c r="H4410"/>
  <c r="H4409"/>
  <c r="H4408"/>
  <c r="H4407"/>
  <c r="H4406"/>
  <c r="H4402"/>
  <c r="H4401"/>
  <c r="H4400"/>
  <c r="H4399"/>
  <c r="H4398"/>
  <c r="H4397"/>
  <c r="H4393"/>
  <c r="H4392"/>
  <c r="H4391"/>
  <c r="H4390"/>
  <c r="H4389"/>
  <c r="H4388"/>
  <c r="H4384"/>
  <c r="H4383"/>
  <c r="H4382"/>
  <c r="H4381"/>
  <c r="H4380"/>
  <c r="H4379"/>
  <c r="H4376"/>
  <c r="H4375"/>
  <c r="H4374"/>
  <c r="H4373"/>
  <c r="H4372"/>
  <c r="H4371"/>
  <c r="H4367"/>
  <c r="H4366"/>
  <c r="H4365"/>
  <c r="H4364"/>
  <c r="H4363"/>
  <c r="H4362"/>
  <c r="H4359"/>
  <c r="H4358"/>
  <c r="H4357"/>
  <c r="H4356"/>
  <c r="H4355"/>
  <c r="H4354"/>
  <c r="H4350"/>
  <c r="H4349"/>
  <c r="H4348"/>
  <c r="H4347"/>
  <c r="H4342"/>
  <c r="H4341"/>
  <c r="H4340"/>
  <c r="H4339"/>
  <c r="H4338"/>
  <c r="H4337"/>
  <c r="H4334"/>
  <c r="H4333"/>
  <c r="H4332"/>
  <c r="H4331"/>
  <c r="H4330"/>
  <c r="H4329"/>
  <c r="H4326"/>
  <c r="H4325"/>
  <c r="H4324"/>
  <c r="H4323"/>
  <c r="H4322"/>
  <c r="H4321"/>
  <c r="H4318"/>
  <c r="H4317"/>
  <c r="H4316"/>
  <c r="H4315"/>
  <c r="H4314"/>
  <c r="H4313"/>
  <c r="H4310"/>
  <c r="H4309"/>
  <c r="H4308"/>
  <c r="H4307"/>
  <c r="H4306"/>
  <c r="H4305"/>
  <c r="H4270"/>
  <c r="H4269"/>
  <c r="H4268"/>
  <c r="H4267"/>
  <c r="H4266"/>
  <c r="H4265"/>
  <c r="H4262"/>
  <c r="H4261"/>
  <c r="H4260"/>
  <c r="H4259"/>
  <c r="H4258"/>
  <c r="H4257"/>
  <c r="H4253"/>
  <c r="H4252"/>
  <c r="H4251"/>
  <c r="H4250"/>
  <c r="H4249"/>
  <c r="H4248"/>
  <c r="H4245"/>
  <c r="H4244"/>
  <c r="H4243"/>
  <c r="H4242"/>
  <c r="H4241"/>
  <c r="H4240"/>
  <c r="H4204"/>
  <c r="H4203"/>
  <c r="H4202"/>
  <c r="H4201"/>
  <c r="H4200"/>
  <c r="H4199"/>
  <c r="H4196"/>
  <c r="H4195"/>
  <c r="H4194"/>
  <c r="H4193"/>
  <c r="H4192"/>
  <c r="H4191"/>
  <c r="H4188"/>
  <c r="H4187"/>
  <c r="H4186"/>
  <c r="H4185"/>
  <c r="H4184"/>
  <c r="H4183"/>
  <c r="H4180"/>
  <c r="H4179"/>
  <c r="H4178"/>
  <c r="H4177"/>
  <c r="H4176"/>
  <c r="H4175"/>
  <c r="H4155"/>
  <c r="H4154"/>
  <c r="H4153"/>
  <c r="H4152"/>
  <c r="H4151"/>
  <c r="H4150"/>
  <c r="H4147"/>
  <c r="H4146"/>
  <c r="H4145"/>
  <c r="H4144"/>
  <c r="H4143"/>
  <c r="H4142"/>
  <c r="H4122"/>
  <c r="H4121"/>
  <c r="H4120"/>
  <c r="H4119"/>
  <c r="H4118"/>
  <c r="H4117"/>
  <c r="H4114"/>
  <c r="H4113"/>
  <c r="H4112"/>
  <c r="H4111"/>
  <c r="H4110"/>
  <c r="H4109"/>
  <c r="H4089"/>
  <c r="H4088"/>
  <c r="H4087"/>
  <c r="H4086"/>
  <c r="H4085"/>
  <c r="H4084"/>
  <c r="H4081"/>
  <c r="H4080"/>
  <c r="H4079"/>
  <c r="H4078"/>
  <c r="H4077"/>
  <c r="H4076"/>
  <c r="H4056"/>
  <c r="H4055"/>
  <c r="H4054"/>
  <c r="H4053"/>
  <c r="H4052"/>
  <c r="H4051"/>
  <c r="H4048"/>
  <c r="H4047"/>
  <c r="H4046"/>
  <c r="H4045"/>
  <c r="H4044"/>
  <c r="H4043"/>
  <c r="H4023"/>
  <c r="H4022"/>
  <c r="H4021"/>
  <c r="H4020"/>
  <c r="H4019"/>
  <c r="H4018"/>
  <c r="H4015"/>
  <c r="H4013"/>
  <c r="H4012"/>
  <c r="H4011"/>
  <c r="H4010"/>
  <c r="H3990"/>
  <c r="H3989"/>
  <c r="H3988"/>
  <c r="H3987"/>
  <c r="H3986"/>
  <c r="H3985"/>
  <c r="H3982"/>
  <c r="H3981"/>
  <c r="H3980"/>
  <c r="H3979"/>
  <c r="H3978"/>
  <c r="H3977"/>
  <c r="H3890"/>
  <c r="H3889"/>
  <c r="H3888"/>
  <c r="H3887"/>
  <c r="H3886"/>
  <c r="H3885"/>
  <c r="H3882"/>
  <c r="H3881"/>
  <c r="H3880"/>
  <c r="H3879"/>
  <c r="H3878"/>
  <c r="H3877"/>
  <c r="H3857"/>
  <c r="H3856"/>
  <c r="H3855"/>
  <c r="H3854"/>
  <c r="H3853"/>
  <c r="H3852"/>
  <c r="H3849"/>
  <c r="H3848"/>
  <c r="H3847"/>
  <c r="H3846"/>
  <c r="H3845"/>
  <c r="H3844"/>
  <c r="H3824"/>
  <c r="H3823"/>
  <c r="H3822"/>
  <c r="H3821"/>
  <c r="H3820"/>
  <c r="H3819"/>
  <c r="H3816"/>
  <c r="H3815"/>
  <c r="H3814"/>
  <c r="H3813"/>
  <c r="H3812"/>
  <c r="H3811"/>
  <c r="H3791"/>
  <c r="H3790"/>
  <c r="H3789"/>
  <c r="H3788"/>
  <c r="H3787"/>
  <c r="H3786"/>
  <c r="H3783"/>
  <c r="H3782"/>
  <c r="H3781"/>
  <c r="H3780"/>
  <c r="H3779"/>
  <c r="H3778"/>
  <c r="H3758"/>
  <c r="H3757"/>
  <c r="H3756"/>
  <c r="H3755"/>
  <c r="H3754"/>
  <c r="H3753"/>
  <c r="H3750"/>
  <c r="H3749"/>
  <c r="H3748"/>
  <c r="H3747"/>
  <c r="H3746"/>
  <c r="H3745"/>
  <c r="H3691"/>
  <c r="H3690"/>
  <c r="H3689"/>
  <c r="H3688"/>
  <c r="H3687"/>
  <c r="H3686"/>
  <c r="H3658"/>
  <c r="H3657"/>
  <c r="H3656"/>
  <c r="H3655"/>
  <c r="H3654"/>
  <c r="H3653"/>
  <c r="H3650"/>
  <c r="H3649"/>
  <c r="H3648"/>
  <c r="H3647"/>
  <c r="H3646"/>
  <c r="H3645"/>
  <c r="H3625"/>
  <c r="H3624"/>
  <c r="H3623"/>
  <c r="H3622"/>
  <c r="H3621"/>
  <c r="H3620"/>
  <c r="H3617"/>
  <c r="H3616"/>
  <c r="H3615"/>
  <c r="H3614"/>
  <c r="H3613"/>
  <c r="H3612"/>
  <c r="H3592"/>
  <c r="H3591"/>
  <c r="H3590"/>
  <c r="H3589"/>
  <c r="H3588"/>
  <c r="H3587"/>
  <c r="H3584"/>
  <c r="H3583"/>
  <c r="H3582"/>
  <c r="H3581"/>
  <c r="H3580"/>
  <c r="H3579"/>
  <c r="H3559"/>
  <c r="H3558"/>
  <c r="H3557"/>
  <c r="H3556"/>
  <c r="H3555"/>
  <c r="H3554"/>
  <c r="H3551"/>
  <c r="H3550"/>
  <c r="H3549"/>
  <c r="H3548"/>
  <c r="H3547"/>
  <c r="H3546"/>
  <c r="H3526"/>
  <c r="H3525"/>
  <c r="H3524"/>
  <c r="H3523"/>
  <c r="H3522"/>
  <c r="H3521"/>
  <c r="H3518"/>
  <c r="H3517"/>
  <c r="H3516"/>
  <c r="H3515"/>
  <c r="H3514"/>
  <c r="H3513"/>
  <c r="H3459"/>
  <c r="H3458"/>
  <c r="H3457"/>
  <c r="H3456"/>
  <c r="H3455"/>
  <c r="H3454"/>
  <c r="H3451"/>
  <c r="H3450"/>
  <c r="H3449"/>
  <c r="H3448"/>
  <c r="H3447"/>
  <c r="H3446"/>
  <c r="H3408"/>
  <c r="H3407"/>
  <c r="H3406"/>
  <c r="H3405"/>
  <c r="H3404"/>
  <c r="H3403"/>
  <c r="H3391"/>
  <c r="H3390"/>
  <c r="H3389"/>
  <c r="H3388"/>
  <c r="H3387"/>
  <c r="H3386"/>
  <c r="H3382"/>
  <c r="H3381"/>
  <c r="H3380"/>
  <c r="H3379"/>
  <c r="H3378"/>
  <c r="H3377"/>
  <c r="H3374"/>
  <c r="H3373"/>
  <c r="H3372"/>
  <c r="H3371"/>
  <c r="H3370"/>
  <c r="H3369"/>
  <c r="H3350"/>
  <c r="H3349"/>
  <c r="H3348"/>
  <c r="H3347"/>
  <c r="H3346"/>
  <c r="H3345"/>
  <c r="H3342"/>
  <c r="H3341"/>
  <c r="H3340"/>
  <c r="H3339"/>
  <c r="H3338"/>
  <c r="H3337"/>
  <c r="H3317"/>
  <c r="H3316"/>
  <c r="H3315"/>
  <c r="H3314"/>
  <c r="H3313"/>
  <c r="H3312"/>
  <c r="H3309"/>
  <c r="H3308"/>
  <c r="H3307"/>
  <c r="H3306"/>
  <c r="H3305"/>
  <c r="H3304"/>
  <c r="H3284"/>
  <c r="H3283"/>
  <c r="H3282"/>
  <c r="H3281"/>
  <c r="H3280"/>
  <c r="H3279"/>
  <c r="H3276"/>
  <c r="H3275"/>
  <c r="H3274"/>
  <c r="H3273"/>
  <c r="H3272"/>
  <c r="H3251"/>
  <c r="H3250"/>
  <c r="H3249"/>
  <c r="H3248"/>
  <c r="H3247"/>
  <c r="H3246"/>
  <c r="H3243"/>
  <c r="H3242"/>
  <c r="H3241"/>
  <c r="H3240"/>
  <c r="H4935"/>
  <c r="H3218"/>
  <c r="H3217"/>
  <c r="H3216"/>
  <c r="H3215"/>
  <c r="H3214"/>
  <c r="H3213"/>
  <c r="H3183"/>
  <c r="H3182"/>
  <c r="H3181"/>
  <c r="H3180"/>
  <c r="H3179"/>
  <c r="H3178"/>
  <c r="H3165"/>
  <c r="H3164"/>
  <c r="H3163"/>
  <c r="H3162"/>
  <c r="H3161"/>
  <c r="H3160"/>
  <c r="H3140"/>
  <c r="H3139"/>
  <c r="H3138"/>
  <c r="H3137"/>
  <c r="H3136"/>
  <c r="H3135"/>
  <c r="H3132"/>
  <c r="H3131"/>
  <c r="H3130"/>
  <c r="H3129"/>
  <c r="H3128"/>
  <c r="H3127"/>
  <c r="H3107"/>
  <c r="H3106"/>
  <c r="H3105"/>
  <c r="H3104"/>
  <c r="H3103"/>
  <c r="H3102"/>
  <c r="H3099"/>
  <c r="H3098"/>
  <c r="H3097"/>
  <c r="H3096"/>
  <c r="H3095"/>
  <c r="H3094"/>
  <c r="H3074"/>
  <c r="H3073"/>
  <c r="H3072"/>
  <c r="H3071"/>
  <c r="H3070"/>
  <c r="H3069"/>
  <c r="H3066"/>
  <c r="H3065"/>
  <c r="H3064"/>
  <c r="H3063"/>
  <c r="H3062"/>
  <c r="H3061"/>
  <c r="H3041"/>
  <c r="H3040"/>
  <c r="H3039"/>
  <c r="H3038"/>
  <c r="H3037"/>
  <c r="H3036"/>
  <c r="H2037"/>
  <c r="H2036"/>
  <c r="H2035"/>
  <c r="H2034"/>
  <c r="H2033"/>
  <c r="H2032"/>
  <c r="H2029"/>
  <c r="H2028"/>
  <c r="H2027"/>
  <c r="H2026"/>
  <c r="H2025"/>
  <c r="H2024"/>
  <c r="H2004"/>
  <c r="H2003"/>
  <c r="H2002"/>
  <c r="H2001"/>
  <c r="H2000"/>
  <c r="H1999"/>
  <c r="H1996"/>
  <c r="H1995"/>
  <c r="H1994"/>
  <c r="H1993"/>
  <c r="H1992"/>
  <c r="H1991"/>
  <c r="H1371"/>
  <c r="H1370"/>
  <c r="H1369"/>
  <c r="H1343"/>
  <c r="H1342"/>
  <c r="H1341"/>
  <c r="H1340"/>
  <c r="H1339"/>
  <c r="H1338"/>
  <c r="H1335"/>
  <c r="H1334"/>
  <c r="H1333"/>
  <c r="H1332"/>
  <c r="H1331"/>
  <c r="H1330"/>
  <c r="H1327"/>
  <c r="H1326"/>
  <c r="H1325"/>
  <c r="H1324"/>
  <c r="H1323"/>
  <c r="H1322"/>
  <c r="H1319"/>
  <c r="H1318"/>
  <c r="H1317"/>
  <c r="H1316"/>
  <c r="H1315"/>
  <c r="H1314"/>
  <c r="H1311"/>
  <c r="H1310"/>
  <c r="H1309"/>
  <c r="H1308"/>
  <c r="H1307"/>
  <c r="H1306"/>
  <c r="H1303"/>
  <c r="H1302"/>
  <c r="H1301"/>
  <c r="H1300"/>
  <c r="H1299"/>
  <c r="H1298"/>
  <c r="H1279"/>
  <c r="H1278"/>
  <c r="H1277"/>
  <c r="H1276"/>
  <c r="H1275"/>
  <c r="H1274"/>
  <c r="H1271"/>
  <c r="H1270"/>
  <c r="H1269"/>
  <c r="H1268"/>
  <c r="H1267"/>
  <c r="H1266"/>
  <c r="H1238"/>
  <c r="H1237"/>
  <c r="H1236"/>
  <c r="H1194"/>
  <c r="H1193"/>
  <c r="H1192"/>
  <c r="H1191"/>
  <c r="H1190"/>
  <c r="H1189"/>
  <c r="H1174"/>
  <c r="H1173"/>
  <c r="H1172"/>
  <c r="H1164"/>
  <c r="H1163"/>
  <c r="H1162"/>
  <c r="H1149"/>
  <c r="H1126"/>
  <c r="H1125"/>
  <c r="H1124"/>
  <c r="H1123"/>
  <c r="H1122"/>
  <c r="H1121"/>
  <c r="H1118"/>
  <c r="H1117"/>
  <c r="H1116"/>
  <c r="H1115"/>
  <c r="H1114"/>
  <c r="H1113"/>
  <c r="H1110"/>
  <c r="H1109"/>
  <c r="H1108"/>
  <c r="H1107"/>
  <c r="H1106"/>
  <c r="H1105"/>
  <c r="H1085"/>
  <c r="H1084"/>
  <c r="H1083"/>
  <c r="H1082"/>
  <c r="H1081"/>
  <c r="H1080"/>
  <c r="H1077"/>
  <c r="H1076"/>
  <c r="H1075"/>
  <c r="H1074"/>
  <c r="H1073"/>
  <c r="H1072"/>
  <c r="H1069"/>
  <c r="H1068"/>
  <c r="H1067"/>
  <c r="H1066"/>
  <c r="H1065"/>
  <c r="H1064"/>
  <c r="H1044"/>
  <c r="H1043"/>
  <c r="H1042"/>
  <c r="H1041"/>
  <c r="H1040"/>
  <c r="H1039"/>
  <c r="H1036"/>
  <c r="H1035"/>
  <c r="H1034"/>
  <c r="H1033"/>
  <c r="H1032"/>
  <c r="H1031"/>
  <c r="H1028"/>
  <c r="H1027"/>
  <c r="H1026"/>
  <c r="H1025"/>
  <c r="H1024"/>
  <c r="H1023"/>
  <c r="H1003"/>
  <c r="H1002"/>
  <c r="H1001"/>
  <c r="H1000"/>
  <c r="H999"/>
  <c r="H998"/>
  <c r="H995"/>
  <c r="H994"/>
  <c r="H993"/>
  <c r="H992"/>
  <c r="H991"/>
  <c r="H990"/>
  <c r="H987"/>
  <c r="H986"/>
  <c r="H985"/>
  <c r="H984"/>
  <c r="H983"/>
  <c r="H982"/>
  <c r="H962"/>
  <c r="H961"/>
  <c r="H960"/>
  <c r="H959"/>
  <c r="H958"/>
  <c r="H957"/>
  <c r="H954"/>
  <c r="H953"/>
  <c r="H952"/>
  <c r="H951"/>
  <c r="H950"/>
  <c r="H949"/>
  <c r="H929"/>
  <c r="H928"/>
  <c r="H927"/>
  <c r="H926"/>
  <c r="H925"/>
  <c r="H924"/>
  <c r="H921"/>
  <c r="H920"/>
  <c r="H919"/>
  <c r="H918"/>
  <c r="H917"/>
  <c r="H916"/>
  <c r="H898"/>
  <c r="H897"/>
  <c r="H896"/>
  <c r="H895"/>
  <c r="H894"/>
  <c r="H893"/>
  <c r="H889"/>
  <c r="H888"/>
  <c r="H887"/>
  <c r="H886"/>
  <c r="H885"/>
  <c r="H884"/>
  <c r="H881"/>
  <c r="H880"/>
  <c r="H879"/>
  <c r="H878"/>
  <c r="H877"/>
  <c r="H876"/>
  <c r="H858"/>
  <c r="H857"/>
  <c r="H856"/>
  <c r="H855"/>
  <c r="H854"/>
  <c r="H853"/>
  <c r="H850"/>
  <c r="H849"/>
  <c r="H848"/>
  <c r="H847"/>
  <c r="H846"/>
  <c r="H845"/>
  <c r="H842"/>
  <c r="H841"/>
  <c r="H840"/>
  <c r="H839"/>
  <c r="H838"/>
  <c r="H837"/>
  <c r="H834"/>
  <c r="H833"/>
  <c r="H832"/>
  <c r="H831"/>
  <c r="H830"/>
  <c r="H829"/>
  <c r="H825"/>
  <c r="H824"/>
  <c r="H823"/>
  <c r="H822"/>
  <c r="H821"/>
  <c r="H820"/>
  <c r="H817"/>
  <c r="H816"/>
  <c r="H815"/>
  <c r="H814"/>
  <c r="H813"/>
  <c r="H812"/>
  <c r="H809"/>
  <c r="H808"/>
  <c r="H807"/>
  <c r="H806"/>
  <c r="H805"/>
  <c r="H804"/>
  <c r="H800"/>
  <c r="H799"/>
  <c r="H798"/>
  <c r="H797"/>
  <c r="H796"/>
  <c r="H795"/>
  <c r="H792"/>
  <c r="H791"/>
  <c r="H790"/>
  <c r="H789"/>
  <c r="H788"/>
  <c r="H787"/>
  <c r="H784"/>
  <c r="H783"/>
  <c r="H782"/>
  <c r="H781"/>
  <c r="H780"/>
  <c r="H779"/>
  <c r="H775"/>
  <c r="H774"/>
  <c r="H773"/>
  <c r="H772"/>
  <c r="H771"/>
  <c r="H770"/>
  <c r="H767"/>
  <c r="H766"/>
  <c r="H765"/>
  <c r="H764"/>
  <c r="H763"/>
  <c r="H762"/>
  <c r="H759"/>
  <c r="H758"/>
  <c r="H757"/>
  <c r="H756"/>
  <c r="H755"/>
  <c r="H754"/>
  <c r="B769"/>
  <c r="A14"/>
  <c r="B4198"/>
  <c r="B4214" s="1"/>
  <c r="B4230" s="1"/>
  <c r="B4191"/>
  <c r="B4207" s="1"/>
  <c r="B4223" s="1"/>
  <c r="B4182"/>
  <c r="B4175"/>
  <c r="B4264"/>
  <c r="B4280" s="1"/>
  <c r="B4296" s="1"/>
  <c r="B4256"/>
  <c r="B4273" s="1"/>
  <c r="B4289" s="1"/>
  <c r="B4247"/>
  <c r="B4240"/>
  <c r="B4440"/>
  <c r="A4554"/>
  <c r="A4555"/>
  <c r="A4556"/>
  <c r="A4557"/>
  <c r="A4558"/>
  <c r="A4559"/>
  <c r="A4560"/>
  <c r="A4561"/>
  <c r="A4562"/>
  <c r="A4563"/>
  <c r="A4565"/>
  <c r="A4567"/>
  <c r="A4575"/>
  <c r="A4599"/>
  <c r="A4600"/>
  <c r="A4608"/>
  <c r="A4633"/>
  <c r="A4634"/>
  <c r="A4642"/>
  <c r="A4666"/>
  <c r="A4667"/>
  <c r="A4675"/>
  <c r="A4700"/>
  <c r="A4701"/>
  <c r="A4709"/>
  <c r="A4733"/>
  <c r="A4734"/>
  <c r="A4742"/>
  <c r="A4767"/>
  <c r="A4768"/>
  <c r="A4776"/>
  <c r="A4800"/>
  <c r="A4801"/>
  <c r="A4809"/>
  <c r="A4834"/>
  <c r="A4842"/>
  <c r="A4867"/>
  <c r="A4876"/>
  <c r="A4901"/>
  <c r="A4909"/>
  <c r="A4934"/>
  <c r="A4942"/>
  <c r="A4967"/>
  <c r="A4975"/>
  <c r="A5000"/>
  <c r="A5008"/>
  <c r="A5033"/>
  <c r="A5041"/>
  <c r="A5066"/>
  <c r="A5074"/>
  <c r="A5099"/>
  <c r="A5107"/>
  <c r="A5134"/>
  <c r="A5142"/>
  <c r="A5167"/>
  <c r="A5175"/>
  <c r="A5200"/>
  <c r="A5208"/>
  <c r="A5233"/>
  <c r="A5241"/>
  <c r="A5266"/>
  <c r="A5274"/>
  <c r="A5299"/>
  <c r="A5307"/>
  <c r="A5332"/>
  <c r="A5340"/>
  <c r="A5365"/>
  <c r="A5373"/>
  <c r="A5398"/>
  <c r="A5406"/>
  <c r="A5447"/>
  <c r="A5455"/>
  <c r="A5584"/>
  <c r="A5592"/>
  <c r="A5600"/>
  <c r="A5642"/>
  <c r="A5650"/>
  <c r="A5658"/>
  <c r="A5779"/>
  <c r="A5787"/>
  <c r="A5795"/>
  <c r="A5820"/>
  <c r="A5828"/>
  <c r="A5836"/>
  <c r="A5844"/>
  <c r="A5852"/>
  <c r="A5910"/>
  <c r="A5918"/>
  <c r="A5926"/>
  <c r="A5934"/>
  <c r="A5942"/>
  <c r="A5943"/>
  <c r="A5951"/>
  <c r="A5959"/>
  <c r="A5967"/>
  <c r="A5975"/>
  <c r="A5983"/>
  <c r="A5984"/>
  <c r="A5992"/>
  <c r="A6000"/>
  <c r="A6008"/>
  <c r="A6016"/>
  <c r="A6024"/>
  <c r="A6025"/>
  <c r="A6033"/>
  <c r="A6041"/>
  <c r="A6049"/>
  <c r="A6057"/>
  <c r="A6065"/>
  <c r="A6066"/>
  <c r="A6074"/>
  <c r="A6082"/>
  <c r="A6090"/>
  <c r="A6098"/>
  <c r="A6106"/>
  <c r="A6107"/>
  <c r="A6115"/>
  <c r="A6123"/>
  <c r="A6131"/>
  <c r="A6139"/>
  <c r="A6147"/>
  <c r="A6148"/>
  <c r="A6156"/>
  <c r="A6164"/>
  <c r="A6172"/>
  <c r="A6180"/>
  <c r="A6188"/>
  <c r="A6189"/>
  <c r="A6197"/>
  <c r="A6205"/>
  <c r="A6213"/>
  <c r="A6221"/>
  <c r="A6230"/>
  <c r="A6231"/>
  <c r="A6239"/>
  <c r="A6247"/>
  <c r="A6255"/>
  <c r="A6263"/>
  <c r="A6271"/>
  <c r="A6272"/>
  <c r="A6280"/>
  <c r="A6288"/>
  <c r="A6296"/>
  <c r="A6304"/>
  <c r="A6312"/>
  <c r="A6313"/>
  <c r="A6321"/>
  <c r="A6329"/>
  <c r="A6337"/>
  <c r="A6345"/>
  <c r="A6353"/>
  <c r="A6354"/>
  <c r="A6362"/>
  <c r="A6370"/>
  <c r="A6378"/>
  <c r="A6386"/>
  <c r="A6394"/>
  <c r="A6395"/>
  <c r="A6403"/>
  <c r="A6411"/>
  <c r="A6419"/>
  <c r="A6427"/>
  <c r="A6435"/>
  <c r="A6436"/>
  <c r="A6444"/>
  <c r="A6452"/>
  <c r="A6460"/>
  <c r="A6468"/>
  <c r="A6476"/>
  <c r="A6477"/>
  <c r="A6485"/>
  <c r="A6493"/>
  <c r="A6501"/>
  <c r="A6509"/>
  <c r="A6517"/>
  <c r="A6518"/>
  <c r="A6526"/>
  <c r="A6534"/>
  <c r="A6542"/>
  <c r="A6550"/>
  <c r="A6558"/>
  <c r="A6560"/>
  <c r="A6561"/>
  <c r="A6569"/>
  <c r="A6570"/>
  <c r="A6578"/>
  <c r="A6579"/>
  <c r="A6587"/>
  <c r="A6588"/>
  <c r="A6596"/>
  <c r="A6597"/>
  <c r="A6605"/>
  <c r="A6606"/>
  <c r="A6614"/>
  <c r="A6615"/>
  <c r="A6623"/>
  <c r="A6624"/>
  <c r="A6632"/>
  <c r="A6922"/>
  <c r="A6923"/>
  <c r="A6924"/>
  <c r="A6925"/>
  <c r="A6926"/>
  <c r="A6927"/>
  <c r="A6928"/>
  <c r="A6929"/>
  <c r="B6928"/>
  <c r="B6929"/>
  <c r="B6930"/>
  <c r="B6931"/>
  <c r="B6913"/>
  <c r="B6914"/>
  <c r="B6915"/>
  <c r="B6916"/>
  <c r="B6917"/>
  <c r="B6918"/>
  <c r="B6919"/>
  <c r="B6920"/>
  <c r="B6921"/>
  <c r="B6922"/>
  <c r="B6923"/>
  <c r="B6924"/>
  <c r="B6925"/>
  <c r="B6926"/>
  <c r="B6927"/>
  <c r="B6901"/>
  <c r="B6902"/>
  <c r="B6903"/>
  <c r="B6904"/>
  <c r="B6905"/>
  <c r="B6906"/>
  <c r="B6907"/>
  <c r="B6908"/>
  <c r="B6910"/>
  <c r="B6911"/>
  <c r="B6912"/>
  <c r="B6657"/>
  <c r="B6665"/>
  <c r="B6673"/>
  <c r="B6681"/>
  <c r="B6689"/>
  <c r="B6697"/>
  <c r="B6705"/>
  <c r="B6713"/>
  <c r="B6897"/>
  <c r="B6898"/>
  <c r="B6899"/>
  <c r="B6900"/>
  <c r="B6534"/>
  <c r="B6542"/>
  <c r="B6550"/>
  <c r="B6558"/>
  <c r="B6559"/>
  <c r="B6560"/>
  <c r="B6561"/>
  <c r="B6569"/>
  <c r="B6578"/>
  <c r="B6587"/>
  <c r="B6596"/>
  <c r="B6605"/>
  <c r="B6614"/>
  <c r="B6623"/>
  <c r="B6632"/>
  <c r="B6633"/>
  <c r="B6641"/>
  <c r="B6649"/>
  <c r="B6518"/>
  <c r="B6526"/>
  <c r="B4529"/>
  <c r="B4537"/>
  <c r="B4545"/>
  <c r="B4553"/>
  <c r="B4554"/>
  <c r="B4555"/>
  <c r="B4556"/>
  <c r="B4557"/>
  <c r="B4558"/>
  <c r="B4559"/>
  <c r="B4560"/>
  <c r="B4561"/>
  <c r="B4562"/>
  <c r="B4564"/>
  <c r="B4565"/>
  <c r="B4567"/>
  <c r="B4575"/>
  <c r="B4599"/>
  <c r="B4600"/>
  <c r="B4608"/>
  <c r="B4632"/>
  <c r="B4633"/>
  <c r="B4634"/>
  <c r="B4642"/>
  <c r="B4666"/>
  <c r="B4667"/>
  <c r="B4675"/>
  <c r="B4699"/>
  <c r="B4700"/>
  <c r="B4701"/>
  <c r="B4709"/>
  <c r="B4733"/>
  <c r="B4734"/>
  <c r="B4742"/>
  <c r="B4766"/>
  <c r="B4767"/>
  <c r="B4768"/>
  <c r="B4776"/>
  <c r="B4800"/>
  <c r="B4801"/>
  <c r="B4809"/>
  <c r="B4833"/>
  <c r="B4834"/>
  <c r="B4842"/>
  <c r="B4866"/>
  <c r="B4867"/>
  <c r="B4876"/>
  <c r="B4900"/>
  <c r="B4901"/>
  <c r="B4909"/>
  <c r="B4933"/>
  <c r="B4934"/>
  <c r="B4942"/>
  <c r="B4966"/>
  <c r="B4967"/>
  <c r="B4975"/>
  <c r="B4999"/>
  <c r="B5000"/>
  <c r="B5008"/>
  <c r="B5032"/>
  <c r="B5033"/>
  <c r="B5041"/>
  <c r="B5065"/>
  <c r="B5066"/>
  <c r="B5074"/>
  <c r="B5098"/>
  <c r="B5099"/>
  <c r="B5107"/>
  <c r="B5133"/>
  <c r="B5134"/>
  <c r="B5142"/>
  <c r="B5166"/>
  <c r="B5167"/>
  <c r="B5175"/>
  <c r="B5199"/>
  <c r="B5200"/>
  <c r="B5208"/>
  <c r="B5232"/>
  <c r="B5233"/>
  <c r="B5241"/>
  <c r="B5265"/>
  <c r="B5266"/>
  <c r="B5274"/>
  <c r="B5298"/>
  <c r="B5299"/>
  <c r="B5307"/>
  <c r="B5331"/>
  <c r="B5332"/>
  <c r="B5340"/>
  <c r="B5364"/>
  <c r="B5365"/>
  <c r="B5373"/>
  <c r="B5397"/>
  <c r="B5398"/>
  <c r="B5406"/>
  <c r="B5430"/>
  <c r="B5438"/>
  <c r="B5446"/>
  <c r="B5447"/>
  <c r="B5455"/>
  <c r="B5463"/>
  <c r="B5471"/>
  <c r="B5479"/>
  <c r="B5487"/>
  <c r="B5495"/>
  <c r="B5503"/>
  <c r="B5511"/>
  <c r="B5519"/>
  <c r="B5527"/>
  <c r="B5535"/>
  <c r="B5543"/>
  <c r="B5551"/>
  <c r="B5559"/>
  <c r="B5567"/>
  <c r="B5575"/>
  <c r="B5583"/>
  <c r="B5584"/>
  <c r="B5592"/>
  <c r="B5600"/>
  <c r="B5608"/>
  <c r="B5617"/>
  <c r="B5625"/>
  <c r="B5633"/>
  <c r="B5641"/>
  <c r="B5642"/>
  <c r="B5650"/>
  <c r="B5658"/>
  <c r="B5666"/>
  <c r="B5674"/>
  <c r="B5682"/>
  <c r="B5698"/>
  <c r="B5706"/>
  <c r="B5714"/>
  <c r="B5722"/>
  <c r="B5730"/>
  <c r="B5738"/>
  <c r="B5746"/>
  <c r="B5754"/>
  <c r="B5762"/>
  <c r="B5770"/>
  <c r="B5778"/>
  <c r="B5803"/>
  <c r="B5811"/>
  <c r="B5819"/>
  <c r="B5860"/>
  <c r="B5910"/>
  <c r="B5918"/>
  <c r="B5926"/>
  <c r="B5934"/>
  <c r="B5942"/>
  <c r="B5943"/>
  <c r="B5951"/>
  <c r="B5959"/>
  <c r="B5967"/>
  <c r="B5975"/>
  <c r="B5983"/>
  <c r="B5984"/>
  <c r="B5992"/>
  <c r="B6000"/>
  <c r="B6008"/>
  <c r="B6016"/>
  <c r="B6024"/>
  <c r="B6025"/>
  <c r="B6033"/>
  <c r="B6041"/>
  <c r="B6049"/>
  <c r="B6057"/>
  <c r="B6065"/>
  <c r="B6066"/>
  <c r="B6074"/>
  <c r="B6082"/>
  <c r="B6090"/>
  <c r="B6098"/>
  <c r="B6106"/>
  <c r="B6107"/>
  <c r="B6115"/>
  <c r="B6123"/>
  <c r="B6131"/>
  <c r="B6139"/>
  <c r="B6147"/>
  <c r="B6148"/>
  <c r="B6156"/>
  <c r="B6164"/>
  <c r="B6172"/>
  <c r="B6180"/>
  <c r="B6188"/>
  <c r="B6189"/>
  <c r="B6197"/>
  <c r="B6205"/>
  <c r="B6213"/>
  <c r="B6221"/>
  <c r="B6229"/>
  <c r="B6230"/>
  <c r="B6231"/>
  <c r="B6239"/>
  <c r="B6247"/>
  <c r="B6255"/>
  <c r="B6263"/>
  <c r="B6271"/>
  <c r="B6272"/>
  <c r="B6280"/>
  <c r="B6288"/>
  <c r="B6296"/>
  <c r="B6304"/>
  <c r="B6312"/>
  <c r="B6313"/>
  <c r="B6321"/>
  <c r="B6329"/>
  <c r="B6337"/>
  <c r="B6345"/>
  <c r="B6353"/>
  <c r="B6354"/>
  <c r="B6362"/>
  <c r="B6370"/>
  <c r="B6378"/>
  <c r="B6386"/>
  <c r="B6394"/>
  <c r="B6395"/>
  <c r="B6403"/>
  <c r="B6411"/>
  <c r="B6419"/>
  <c r="B6427"/>
  <c r="B6435"/>
  <c r="B6436"/>
  <c r="B6444"/>
  <c r="B6452"/>
  <c r="B6460"/>
  <c r="B6468"/>
  <c r="B6476"/>
  <c r="B6477"/>
  <c r="B6485"/>
  <c r="B6493"/>
  <c r="B6501"/>
  <c r="B6509"/>
  <c r="B6517"/>
  <c r="B4513"/>
  <c r="B4521"/>
  <c r="B4505"/>
  <c r="B4497"/>
  <c r="B4489"/>
  <c r="B4481"/>
  <c r="B4473"/>
  <c r="B4465"/>
  <c r="B4456"/>
  <c r="B4448"/>
  <c r="B4431"/>
  <c r="B4422"/>
  <c r="B4414"/>
  <c r="B4405"/>
  <c r="B4396"/>
  <c r="B4387"/>
  <c r="B4378"/>
  <c r="B4370"/>
  <c r="B4361"/>
  <c r="B4344"/>
  <c r="B4353"/>
  <c r="B4336"/>
  <c r="B4328"/>
  <c r="B4320"/>
  <c r="B4312"/>
  <c r="B4304"/>
  <c r="B4238"/>
  <c r="B4173"/>
  <c r="B3974"/>
  <c r="B3742"/>
  <c r="B3510"/>
  <c r="B3444"/>
  <c r="B3393"/>
  <c r="B3384"/>
  <c r="B3376"/>
  <c r="B3368"/>
  <c r="B3335"/>
  <c r="B3302"/>
  <c r="B3269"/>
  <c r="B3236"/>
  <c r="B3201"/>
  <c r="B3125"/>
  <c r="B3092"/>
  <c r="B3015"/>
  <c r="B3004"/>
  <c r="B2994"/>
  <c r="B2941"/>
  <c r="B2932"/>
  <c r="B2694"/>
  <c r="B2055"/>
  <c r="B2022"/>
  <c r="B1989"/>
  <c r="B1348"/>
  <c r="B1345"/>
  <c r="B1337"/>
  <c r="B1329"/>
  <c r="B1321"/>
  <c r="B1144"/>
  <c r="B1103"/>
  <c r="B1062"/>
  <c r="B1021"/>
  <c r="B980"/>
  <c r="B913"/>
  <c r="B891"/>
  <c r="B874"/>
  <c r="B860"/>
  <c r="B852"/>
  <c r="B844"/>
  <c r="B819"/>
  <c r="B794"/>
  <c r="B740"/>
  <c r="B707"/>
  <c r="B674"/>
  <c r="B641"/>
  <c r="B608"/>
  <c r="B575"/>
  <c r="B542"/>
  <c r="B509"/>
  <c r="B476"/>
  <c r="B443"/>
  <c r="B410"/>
  <c r="B377"/>
  <c r="B344"/>
  <c r="B311"/>
  <c r="B278"/>
  <c r="B245"/>
  <c r="B212"/>
  <c r="B179"/>
  <c r="B146"/>
  <c r="B113"/>
  <c r="B80"/>
  <c r="B47"/>
  <c r="B14"/>
  <c r="U242" i="7"/>
  <c r="M242" s="1"/>
  <c r="U241"/>
  <c r="M241" s="1"/>
  <c r="U240"/>
  <c r="M240" s="1"/>
  <c r="U239"/>
  <c r="M239" s="1"/>
  <c r="U237"/>
  <c r="M237" s="1"/>
  <c r="U236"/>
  <c r="M236" s="1"/>
  <c r="U235"/>
  <c r="M235" s="1"/>
  <c r="U234"/>
  <c r="M234" s="1"/>
  <c r="U233"/>
  <c r="M233" s="1"/>
  <c r="U232"/>
  <c r="M232" s="1"/>
  <c r="U231"/>
  <c r="M231" s="1"/>
  <c r="U230"/>
  <c r="M230" s="1"/>
  <c r="U229"/>
  <c r="M229" s="1"/>
  <c r="U228"/>
  <c r="M228" s="1"/>
  <c r="U224"/>
  <c r="M224" s="1"/>
  <c r="U223"/>
  <c r="M223" s="1"/>
  <c r="U199"/>
  <c r="M199" s="1"/>
  <c r="U198"/>
  <c r="M198" s="1"/>
  <c r="F97" s="1"/>
  <c r="G97" s="1"/>
  <c r="U197"/>
  <c r="M197" s="1"/>
  <c r="J4667" s="1"/>
  <c r="K4667" s="1"/>
  <c r="U195"/>
  <c r="M195" s="1"/>
  <c r="F95" s="1"/>
  <c r="G95" s="1"/>
  <c r="M194"/>
  <c r="F93" s="1"/>
  <c r="G93" s="1"/>
  <c r="U193"/>
  <c r="M193" s="1"/>
  <c r="U191"/>
  <c r="M191" s="1"/>
  <c r="U187"/>
  <c r="M187" s="1"/>
  <c r="U184"/>
  <c r="M184" s="1"/>
  <c r="J5243" s="1"/>
  <c r="K5243" s="1"/>
  <c r="U183"/>
  <c r="M183" s="1"/>
  <c r="J5242" s="1"/>
  <c r="K5242" s="1"/>
  <c r="U182"/>
  <c r="M182" s="1"/>
  <c r="J5241" s="1"/>
  <c r="K5241" s="1"/>
  <c r="U181"/>
  <c r="M181" s="1"/>
  <c r="J5240" s="1"/>
  <c r="K5240" s="1"/>
  <c r="U180"/>
  <c r="M180" s="1"/>
  <c r="U175"/>
  <c r="M175" s="1"/>
  <c r="U172"/>
  <c r="M172" s="1"/>
  <c r="F81" s="1"/>
  <c r="G81" s="1"/>
  <c r="U171"/>
  <c r="M171" s="1"/>
  <c r="U169"/>
  <c r="M169" s="1"/>
  <c r="F67" s="1"/>
  <c r="G67" s="1"/>
  <c r="U168"/>
  <c r="M168" s="1"/>
  <c r="U167"/>
  <c r="M167" s="1"/>
  <c r="F66" s="1"/>
  <c r="G66" s="1"/>
  <c r="U166"/>
  <c r="M166" s="1"/>
  <c r="U165"/>
  <c r="M165" s="1"/>
  <c r="U164"/>
  <c r="M164" s="1"/>
  <c r="U163"/>
  <c r="M163" s="1"/>
  <c r="F54" s="1"/>
  <c r="G54" s="1"/>
  <c r="U162"/>
  <c r="M162" s="1"/>
  <c r="U161"/>
  <c r="M161" s="1"/>
  <c r="F60" s="1"/>
  <c r="G60" s="1"/>
  <c r="U160"/>
  <c r="M160" s="1"/>
  <c r="F58" s="1"/>
  <c r="G58" s="1"/>
  <c r="U159"/>
  <c r="M159" s="1"/>
  <c r="F55" s="1"/>
  <c r="G55" s="1"/>
  <c r="U158"/>
  <c r="M158" s="1"/>
  <c r="F100" s="1"/>
  <c r="G100" s="1"/>
  <c r="U157"/>
  <c r="M157" s="1"/>
  <c r="F101" s="1"/>
  <c r="G101" s="1"/>
  <c r="U156"/>
  <c r="M156" s="1"/>
  <c r="F83" s="1"/>
  <c r="U155"/>
  <c r="M155" s="1"/>
  <c r="U154"/>
  <c r="M154" s="1"/>
  <c r="F74" s="1"/>
  <c r="G74" s="1"/>
  <c r="U153"/>
  <c r="M153" s="1"/>
  <c r="F73" s="1"/>
  <c r="G73" s="1"/>
  <c r="U152"/>
  <c r="M152" s="1"/>
  <c r="T200"/>
  <c r="G200" s="1"/>
  <c r="T199"/>
  <c r="G199" s="1"/>
  <c r="F91" s="1"/>
  <c r="G91" s="1"/>
  <c r="T198"/>
  <c r="G198" s="1"/>
  <c r="F90" s="1"/>
  <c r="G90" s="1"/>
  <c r="T197"/>
  <c r="G197" s="1"/>
  <c r="G4853" s="1"/>
  <c r="K4853" s="1"/>
  <c r="T196"/>
  <c r="G196" s="1"/>
  <c r="F88" s="1"/>
  <c r="G88" s="1"/>
  <c r="T195"/>
  <c r="G195" s="1"/>
  <c r="T194"/>
  <c r="G194" s="1"/>
  <c r="F89" s="1"/>
  <c r="G89" s="1"/>
  <c r="T193"/>
  <c r="G193" s="1"/>
  <c r="F92" s="1"/>
  <c r="G92" s="1"/>
  <c r="T192"/>
  <c r="G192" s="1"/>
  <c r="T190"/>
  <c r="G190" s="1"/>
  <c r="T186"/>
  <c r="G186" s="1"/>
  <c r="T185"/>
  <c r="G185" s="1"/>
  <c r="T178"/>
  <c r="G178" s="1"/>
  <c r="T175"/>
  <c r="G175" s="1"/>
  <c r="T172"/>
  <c r="G172" s="1"/>
  <c r="F80" s="1"/>
  <c r="G80" s="1"/>
  <c r="T171"/>
  <c r="G171" s="1"/>
  <c r="J4769" s="1"/>
  <c r="K4769" s="1"/>
  <c r="K4770" s="1"/>
  <c r="T169"/>
  <c r="G169" s="1"/>
  <c r="F65" s="1"/>
  <c r="G65" s="1"/>
  <c r="T168"/>
  <c r="G168" s="1"/>
  <c r="F63" s="1"/>
  <c r="G63" s="1"/>
  <c r="T167"/>
  <c r="G167" s="1"/>
  <c r="F62" s="1"/>
  <c r="G62" s="1"/>
  <c r="T166"/>
  <c r="G166" s="1"/>
  <c r="F53" s="1"/>
  <c r="G53" s="1"/>
  <c r="T165"/>
  <c r="G165" s="1"/>
  <c r="T164"/>
  <c r="G164" s="1"/>
  <c r="F61" s="1"/>
  <c r="G61" s="1"/>
  <c r="T163"/>
  <c r="G163" s="1"/>
  <c r="F52" s="1"/>
  <c r="G52" s="1"/>
  <c r="J4478" s="1"/>
  <c r="K4478" s="1"/>
  <c r="I4479" s="1"/>
  <c r="T162"/>
  <c r="G162" s="1"/>
  <c r="F56" s="1"/>
  <c r="G56" s="1"/>
  <c r="T161"/>
  <c r="G161" s="1"/>
  <c r="T160"/>
  <c r="G160" s="1"/>
  <c r="F59" s="1"/>
  <c r="G59" s="1"/>
  <c r="T158"/>
  <c r="G158" s="1"/>
  <c r="F99" s="1"/>
  <c r="G99" s="1"/>
  <c r="T157"/>
  <c r="G157" s="1"/>
  <c r="T156"/>
  <c r="G156" s="1"/>
  <c r="T155"/>
  <c r="G155" s="1"/>
  <c r="F82" s="1"/>
  <c r="G82" s="1"/>
  <c r="T154"/>
  <c r="G154" s="1"/>
  <c r="T153"/>
  <c r="G153" s="1"/>
  <c r="F72" s="1"/>
  <c r="G72" s="1"/>
  <c r="T242"/>
  <c r="G242" s="1"/>
  <c r="T241"/>
  <c r="G241" s="1"/>
  <c r="T240"/>
  <c r="G240" s="1"/>
  <c r="T239"/>
  <c r="G239" s="1"/>
  <c r="T238"/>
  <c r="G238" s="1"/>
  <c r="T237"/>
  <c r="G237" s="1"/>
  <c r="T236"/>
  <c r="G236" s="1"/>
  <c r="T235"/>
  <c r="G235" s="1"/>
  <c r="T234"/>
  <c r="G234" s="1"/>
  <c r="T233"/>
  <c r="G233" s="1"/>
  <c r="T232"/>
  <c r="G232" s="1"/>
  <c r="T231"/>
  <c r="G231" s="1"/>
  <c r="T230"/>
  <c r="G230" s="1"/>
  <c r="T229"/>
  <c r="G229" s="1"/>
  <c r="T228"/>
  <c r="G228" s="1"/>
  <c r="T223"/>
  <c r="G223" s="1"/>
  <c r="R237"/>
  <c r="U254"/>
  <c r="M254" s="1"/>
  <c r="U253"/>
  <c r="M253" s="1"/>
  <c r="U245"/>
  <c r="M245" s="1"/>
  <c r="T253"/>
  <c r="G253" s="1"/>
  <c r="T254"/>
  <c r="G254" s="1"/>
  <c r="I103"/>
  <c r="K103" s="1"/>
  <c r="I83"/>
  <c r="K83" s="1"/>
  <c r="I69"/>
  <c r="K69" s="1"/>
  <c r="I52"/>
  <c r="K52" s="1"/>
  <c r="I50"/>
  <c r="S153"/>
  <c r="S152"/>
  <c r="I49"/>
  <c r="I48"/>
  <c r="I47"/>
  <c r="K47" s="1"/>
  <c r="J2293" s="1"/>
  <c r="I46"/>
  <c r="I45"/>
  <c r="I36"/>
  <c r="I29"/>
  <c r="I24"/>
  <c r="K24" s="1"/>
  <c r="J2238" s="1"/>
  <c r="I8"/>
  <c r="K8" s="1"/>
  <c r="AO18" i="38"/>
  <c r="AN18"/>
  <c r="AM18"/>
  <c r="AL18"/>
  <c r="AO17"/>
  <c r="AN17"/>
  <c r="AM17"/>
  <c r="AL17"/>
  <c r="AO16"/>
  <c r="AN16"/>
  <c r="AM16"/>
  <c r="AL16"/>
  <c r="J481" i="37"/>
  <c r="J479"/>
  <c r="J478"/>
  <c r="J477"/>
  <c r="J476"/>
  <c r="J475"/>
  <c r="J474"/>
  <c r="J473"/>
  <c r="J472"/>
  <c r="J471"/>
  <c r="J470"/>
  <c r="J469"/>
  <c r="J468"/>
  <c r="J467"/>
  <c r="J466"/>
  <c r="J465"/>
  <c r="J464"/>
  <c r="J463"/>
  <c r="J462"/>
  <c r="J461"/>
  <c r="J459"/>
  <c r="J458"/>
  <c r="J457"/>
  <c r="J456"/>
  <c r="J455"/>
  <c r="J454"/>
  <c r="J453"/>
  <c r="J452"/>
  <c r="J451"/>
  <c r="J450"/>
  <c r="J449"/>
  <c r="J448"/>
  <c r="J447"/>
  <c r="J446"/>
  <c r="J445"/>
  <c r="J444"/>
  <c r="J443"/>
  <c r="J442"/>
  <c r="J441"/>
  <c r="J439"/>
  <c r="J438"/>
  <c r="J437"/>
  <c r="J436"/>
  <c r="J435"/>
  <c r="J434"/>
  <c r="J433"/>
  <c r="J432"/>
  <c r="J431"/>
  <c r="J430"/>
  <c r="J429"/>
  <c r="J428"/>
  <c r="J427"/>
  <c r="J426"/>
  <c r="J425"/>
  <c r="J424"/>
  <c r="J423"/>
  <c r="J422"/>
  <c r="J421"/>
  <c r="J419"/>
  <c r="J418"/>
  <c r="J417"/>
  <c r="J416"/>
  <c r="U403"/>
  <c r="V403" s="1"/>
  <c r="W403" s="1"/>
  <c r="Y403" s="1"/>
  <c r="V402"/>
  <c r="W402" s="1"/>
  <c r="Y402" s="1"/>
  <c r="U369"/>
  <c r="U370" s="1"/>
  <c r="V368"/>
  <c r="W368" s="1"/>
  <c r="Y368" s="1"/>
  <c r="V367"/>
  <c r="W367" s="1"/>
  <c r="Y367" s="1"/>
  <c r="V366"/>
  <c r="W366" s="1"/>
  <c r="Y366" s="1"/>
  <c r="U313"/>
  <c r="U314" s="1"/>
  <c r="V312"/>
  <c r="W312" s="1"/>
  <c r="Y312" s="1"/>
  <c r="V311"/>
  <c r="W311" s="1"/>
  <c r="Y311" s="1"/>
  <c r="V310"/>
  <c r="W310" s="1"/>
  <c r="Y310" s="1"/>
  <c r="U308"/>
  <c r="U309" s="1"/>
  <c r="V309" s="1"/>
  <c r="W309" s="1"/>
  <c r="Y309" s="1"/>
  <c r="Y307"/>
  <c r="V306"/>
  <c r="W306" s="1"/>
  <c r="Y306" s="1"/>
  <c r="V305"/>
  <c r="W305" s="1"/>
  <c r="Y305" s="1"/>
  <c r="U302"/>
  <c r="U303" s="1"/>
  <c r="V301"/>
  <c r="W301" s="1"/>
  <c r="Y301" s="1"/>
  <c r="V300"/>
  <c r="W300" s="1"/>
  <c r="Y300" s="1"/>
  <c r="V208"/>
  <c r="W208" s="1"/>
  <c r="Y208" s="1"/>
  <c r="V207"/>
  <c r="W207" s="1"/>
  <c r="Y207" s="1"/>
  <c r="U204"/>
  <c r="U205" s="1"/>
  <c r="V203"/>
  <c r="W203" s="1"/>
  <c r="Y203" s="1"/>
  <c r="V202"/>
  <c r="W202" s="1"/>
  <c r="Y202" s="1"/>
  <c r="U199"/>
  <c r="U200" s="1"/>
  <c r="V198"/>
  <c r="W198" s="1"/>
  <c r="Y198" s="1"/>
  <c r="V197"/>
  <c r="W197" s="1"/>
  <c r="Y197" s="1"/>
  <c r="V196"/>
  <c r="W196" s="1"/>
  <c r="Y196" s="1"/>
  <c r="V195"/>
  <c r="W195" s="1"/>
  <c r="Y195" s="1"/>
  <c r="V194"/>
  <c r="W194" s="1"/>
  <c r="Y194" s="1"/>
  <c r="U191"/>
  <c r="V191" s="1"/>
  <c r="W191" s="1"/>
  <c r="Y191" s="1"/>
  <c r="V190"/>
  <c r="W190" s="1"/>
  <c r="Y190" s="1"/>
  <c r="V189"/>
  <c r="W189" s="1"/>
  <c r="Y189" s="1"/>
  <c r="U187"/>
  <c r="V187" s="1"/>
  <c r="W187" s="1"/>
  <c r="Y187" s="1"/>
  <c r="V186"/>
  <c r="W186" s="1"/>
  <c r="Y186" s="1"/>
  <c r="U185"/>
  <c r="V185" s="1"/>
  <c r="W185" s="1"/>
  <c r="Y185" s="1"/>
  <c r="V184"/>
  <c r="W184" s="1"/>
  <c r="Y184" s="1"/>
  <c r="V183"/>
  <c r="W183" s="1"/>
  <c r="Y183" s="1"/>
  <c r="U182"/>
  <c r="V182" s="1"/>
  <c r="W182" s="1"/>
  <c r="Y182" s="1"/>
  <c r="V181"/>
  <c r="W181" s="1"/>
  <c r="Y181" s="1"/>
  <c r="U176"/>
  <c r="V176" s="1"/>
  <c r="W176" s="1"/>
  <c r="Y176" s="1"/>
  <c r="V175"/>
  <c r="W175" s="1"/>
  <c r="Y175" s="1"/>
  <c r="V174"/>
  <c r="W174" s="1"/>
  <c r="Y174" s="1"/>
  <c r="V173"/>
  <c r="W173" s="1"/>
  <c r="Y173" s="1"/>
  <c r="V172"/>
  <c r="W172" s="1"/>
  <c r="Y172" s="1"/>
  <c r="U171"/>
  <c r="V171" s="1"/>
  <c r="W171" s="1"/>
  <c r="Y171" s="1"/>
  <c r="V170"/>
  <c r="W170" s="1"/>
  <c r="Y170" s="1"/>
  <c r="V169"/>
  <c r="W169" s="1"/>
  <c r="Y169" s="1"/>
  <c r="U159"/>
  <c r="U160" s="1"/>
  <c r="V158"/>
  <c r="W158" s="1"/>
  <c r="Y158" s="1"/>
  <c r="U151"/>
  <c r="U152" s="1"/>
  <c r="V150"/>
  <c r="W150" s="1"/>
  <c r="Y150" s="1"/>
  <c r="U134"/>
  <c r="U135" s="1"/>
  <c r="V133"/>
  <c r="W133" s="1"/>
  <c r="Y133" s="1"/>
  <c r="U124"/>
  <c r="U125" s="1"/>
  <c r="V123"/>
  <c r="W123" s="1"/>
  <c r="Y123" s="1"/>
  <c r="V122"/>
  <c r="W122" s="1"/>
  <c r="Y122" s="1"/>
  <c r="U109"/>
  <c r="U110" s="1"/>
  <c r="V108"/>
  <c r="W108" s="1"/>
  <c r="Y108" s="1"/>
  <c r="U97"/>
  <c r="U98" s="1"/>
  <c r="V96"/>
  <c r="W96" s="1"/>
  <c r="Y96" s="1"/>
  <c r="V95"/>
  <c r="W95" s="1"/>
  <c r="Y95" s="1"/>
  <c r="V94"/>
  <c r="W94" s="1"/>
  <c r="Y94" s="1"/>
  <c r="V93"/>
  <c r="W93" s="1"/>
  <c r="Y93" s="1"/>
  <c r="V92"/>
  <c r="W92" s="1"/>
  <c r="Y92" s="1"/>
  <c r="V91"/>
  <c r="W91" s="1"/>
  <c r="Y91" s="1"/>
  <c r="V90"/>
  <c r="W90" s="1"/>
  <c r="Y90" s="1"/>
  <c r="V89"/>
  <c r="W89" s="1"/>
  <c r="Y89" s="1"/>
  <c r="V88"/>
  <c r="W88" s="1"/>
  <c r="Y88" s="1"/>
  <c r="V87"/>
  <c r="W87" s="1"/>
  <c r="Y87" s="1"/>
  <c r="V86"/>
  <c r="W86" s="1"/>
  <c r="Y86" s="1"/>
  <c r="V85"/>
  <c r="W85" s="1"/>
  <c r="Y85" s="1"/>
  <c r="V84"/>
  <c r="W84" s="1"/>
  <c r="Y84" s="1"/>
  <c r="V83"/>
  <c r="W83" s="1"/>
  <c r="Y83" s="1"/>
  <c r="V82"/>
  <c r="W82" s="1"/>
  <c r="Y82" s="1"/>
  <c r="V81"/>
  <c r="W81" s="1"/>
  <c r="Y81" s="1"/>
  <c r="V80"/>
  <c r="W80" s="1"/>
  <c r="Y80" s="1"/>
  <c r="V79"/>
  <c r="W79" s="1"/>
  <c r="Y79" s="1"/>
  <c r="V78"/>
  <c r="W78" s="1"/>
  <c r="Y78" s="1"/>
  <c r="V77"/>
  <c r="W77" s="1"/>
  <c r="Y77" s="1"/>
  <c r="V76"/>
  <c r="W76" s="1"/>
  <c r="Y76" s="1"/>
  <c r="V75"/>
  <c r="W75" s="1"/>
  <c r="Y75" s="1"/>
  <c r="V74"/>
  <c r="W74" s="1"/>
  <c r="Y74" s="1"/>
  <c r="V73"/>
  <c r="W73" s="1"/>
  <c r="Y73" s="1"/>
  <c r="V72"/>
  <c r="W72" s="1"/>
  <c r="Y72" s="1"/>
  <c r="V71"/>
  <c r="W71" s="1"/>
  <c r="Y71" s="1"/>
  <c r="V70"/>
  <c r="W70" s="1"/>
  <c r="Y70" s="1"/>
  <c r="V69"/>
  <c r="W69" s="1"/>
  <c r="Y69" s="1"/>
  <c r="V68"/>
  <c r="W68" s="1"/>
  <c r="Y68" s="1"/>
  <c r="V67"/>
  <c r="W67" s="1"/>
  <c r="Y67" s="1"/>
  <c r="V66"/>
  <c r="W66" s="1"/>
  <c r="Y66" s="1"/>
  <c r="V65"/>
  <c r="W65" s="1"/>
  <c r="Y65" s="1"/>
  <c r="V64"/>
  <c r="W64" s="1"/>
  <c r="Y64" s="1"/>
  <c r="V63"/>
  <c r="W63" s="1"/>
  <c r="Y63" s="1"/>
  <c r="V62"/>
  <c r="W62" s="1"/>
  <c r="Y62" s="1"/>
  <c r="V61"/>
  <c r="W61" s="1"/>
  <c r="Y61" s="1"/>
  <c r="V60"/>
  <c r="W60" s="1"/>
  <c r="Y60" s="1"/>
  <c r="V59"/>
  <c r="W59" s="1"/>
  <c r="Y59" s="1"/>
  <c r="V58"/>
  <c r="W58" s="1"/>
  <c r="Y58" s="1"/>
  <c r="V57"/>
  <c r="W57" s="1"/>
  <c r="Y57" s="1"/>
  <c r="V56"/>
  <c r="W56" s="1"/>
  <c r="Y56" s="1"/>
  <c r="V55"/>
  <c r="W55" s="1"/>
  <c r="Y55" s="1"/>
  <c r="V54"/>
  <c r="W54" s="1"/>
  <c r="Y54" s="1"/>
  <c r="V53"/>
  <c r="W53" s="1"/>
  <c r="Y53" s="1"/>
  <c r="V52"/>
  <c r="W52" s="1"/>
  <c r="Y52" s="1"/>
  <c r="V51"/>
  <c r="W51" s="1"/>
  <c r="Y51" s="1"/>
  <c r="V50"/>
  <c r="W50" s="1"/>
  <c r="Y50" s="1"/>
  <c r="V49"/>
  <c r="W49" s="1"/>
  <c r="Y49" s="1"/>
  <c r="V48"/>
  <c r="W48" s="1"/>
  <c r="Y48" s="1"/>
  <c r="V47"/>
  <c r="W47" s="1"/>
  <c r="Y47" s="1"/>
  <c r="V46"/>
  <c r="W46" s="1"/>
  <c r="Y46" s="1"/>
  <c r="V45"/>
  <c r="W45" s="1"/>
  <c r="Y45" s="1"/>
  <c r="V44"/>
  <c r="W44" s="1"/>
  <c r="Y44" s="1"/>
  <c r="V43"/>
  <c r="W43" s="1"/>
  <c r="Y43" s="1"/>
  <c r="V42"/>
  <c r="W42" s="1"/>
  <c r="Y42" s="1"/>
  <c r="V41"/>
  <c r="W41" s="1"/>
  <c r="Y41" s="1"/>
  <c r="U40"/>
  <c r="V40" s="1"/>
  <c r="W40" s="1"/>
  <c r="Y40" s="1"/>
  <c r="V39"/>
  <c r="W39" s="1"/>
  <c r="Y39" s="1"/>
  <c r="V38"/>
  <c r="W38" s="1"/>
  <c r="Y38" s="1"/>
  <c r="V37"/>
  <c r="W37" s="1"/>
  <c r="Y37" s="1"/>
  <c r="V36"/>
  <c r="W36" s="1"/>
  <c r="Y36" s="1"/>
  <c r="V35"/>
  <c r="W35" s="1"/>
  <c r="Y35" s="1"/>
  <c r="V34"/>
  <c r="W34" s="1"/>
  <c r="Y34" s="1"/>
  <c r="V33"/>
  <c r="W33" s="1"/>
  <c r="Y33" s="1"/>
  <c r="V32"/>
  <c r="W32" s="1"/>
  <c r="Y32" s="1"/>
  <c r="V31"/>
  <c r="W31" s="1"/>
  <c r="Y31" s="1"/>
  <c r="V30"/>
  <c r="W30" s="1"/>
  <c r="Y30" s="1"/>
  <c r="V29"/>
  <c r="W29" s="1"/>
  <c r="Y29" s="1"/>
  <c r="V28"/>
  <c r="W28" s="1"/>
  <c r="Y28" s="1"/>
  <c r="U27"/>
  <c r="V27" s="1"/>
  <c r="W27" s="1"/>
  <c r="Y27" s="1"/>
  <c r="V26"/>
  <c r="W26" s="1"/>
  <c r="Y26" s="1"/>
  <c r="U19"/>
  <c r="U20" s="1"/>
  <c r="V18"/>
  <c r="W18" s="1"/>
  <c r="Y18" s="1"/>
  <c r="V17"/>
  <c r="W17" s="1"/>
  <c r="Y17" s="1"/>
  <c r="U12"/>
  <c r="U13" s="1"/>
  <c r="V11"/>
  <c r="W11" s="1"/>
  <c r="Y11" s="1"/>
  <c r="V10"/>
  <c r="W10" s="1"/>
  <c r="Y10" s="1"/>
  <c r="U8"/>
  <c r="U9" s="1"/>
  <c r="V9" s="1"/>
  <c r="W9" s="1"/>
  <c r="Y9" s="1"/>
  <c r="V7"/>
  <c r="W7" s="1"/>
  <c r="Y7" s="1"/>
  <c r="U4"/>
  <c r="V4" s="1"/>
  <c r="W4" s="1"/>
  <c r="Y4" s="1"/>
  <c r="C4"/>
  <c r="C5" s="1"/>
  <c r="C6" s="1"/>
  <c r="C7" s="1"/>
  <c r="C8" s="1"/>
  <c r="V3"/>
  <c r="W3" s="1"/>
  <c r="Y3" s="1"/>
  <c r="Q113" i="36"/>
  <c r="P113" s="1"/>
  <c r="Q112"/>
  <c r="P112" s="1"/>
  <c r="Q111"/>
  <c r="P111" s="1"/>
  <c r="Q110"/>
  <c r="P110" s="1"/>
  <c r="Q109"/>
  <c r="P109" s="1"/>
  <c r="Q108"/>
  <c r="P108" s="1"/>
  <c r="Q107"/>
  <c r="P107" s="1"/>
  <c r="Q106"/>
  <c r="P106" s="1"/>
  <c r="Q105"/>
  <c r="P105" s="1"/>
  <c r="Q104"/>
  <c r="P104" s="1"/>
  <c r="Q103"/>
  <c r="P103" s="1"/>
  <c r="Q102"/>
  <c r="P102" s="1"/>
  <c r="Q101"/>
  <c r="P101" s="1"/>
  <c r="Q100"/>
  <c r="P100" s="1"/>
  <c r="Q99"/>
  <c r="P99" s="1"/>
  <c r="Q98"/>
  <c r="P98" s="1"/>
  <c r="Q97"/>
  <c r="P97" s="1"/>
  <c r="Q96"/>
  <c r="P96" s="1"/>
  <c r="Q95"/>
  <c r="P95" s="1"/>
  <c r="Q94"/>
  <c r="P94" s="1"/>
  <c r="Q93"/>
  <c r="P93" s="1"/>
  <c r="Q92"/>
  <c r="P92" s="1"/>
  <c r="Q91"/>
  <c r="P91" s="1"/>
  <c r="Q90"/>
  <c r="P90" s="1"/>
  <c r="Q89"/>
  <c r="P89" s="1"/>
  <c r="Q88"/>
  <c r="P88" s="1"/>
  <c r="Q86"/>
  <c r="P86" s="1"/>
  <c r="Q85"/>
  <c r="P85" s="1"/>
  <c r="Q84"/>
  <c r="P84" s="1"/>
  <c r="Q83"/>
  <c r="P83" s="1"/>
  <c r="Q82"/>
  <c r="P82" s="1"/>
  <c r="Q81"/>
  <c r="P81" s="1"/>
  <c r="Q80"/>
  <c r="P80" s="1"/>
  <c r="Q79"/>
  <c r="P79" s="1"/>
  <c r="Q78"/>
  <c r="P78" s="1"/>
  <c r="Q77"/>
  <c r="P77" s="1"/>
  <c r="Q76"/>
  <c r="P76" s="1"/>
  <c r="Q75"/>
  <c r="P75" s="1"/>
  <c r="Q74"/>
  <c r="P74" s="1"/>
  <c r="Q73"/>
  <c r="P73" s="1"/>
  <c r="Q72"/>
  <c r="P72" s="1"/>
  <c r="Q71"/>
  <c r="P71" s="1"/>
  <c r="Q70"/>
  <c r="P70" s="1"/>
  <c r="Q69"/>
  <c r="P69" s="1"/>
  <c r="Q68"/>
  <c r="P68" s="1"/>
  <c r="Q67"/>
  <c r="P67" s="1"/>
  <c r="Q66"/>
  <c r="P66" s="1"/>
  <c r="Q65"/>
  <c r="P65" s="1"/>
  <c r="Q64"/>
  <c r="P64" s="1"/>
  <c r="Q63"/>
  <c r="P63" s="1"/>
  <c r="Q62"/>
  <c r="P62" s="1"/>
  <c r="Q61"/>
  <c r="P61" s="1"/>
  <c r="Q60"/>
  <c r="P60" s="1"/>
  <c r="Q59"/>
  <c r="P59" s="1"/>
  <c r="Q58"/>
  <c r="P58" s="1"/>
  <c r="Q57"/>
  <c r="P57" s="1"/>
  <c r="Q56"/>
  <c r="P56" s="1"/>
  <c r="Q55"/>
  <c r="P55" s="1"/>
  <c r="Q54"/>
  <c r="P54" s="1"/>
  <c r="Q53"/>
  <c r="P53" s="1"/>
  <c r="Q52"/>
  <c r="P52" s="1"/>
  <c r="Q50"/>
  <c r="P50" s="1"/>
  <c r="Q49"/>
  <c r="P49" s="1"/>
  <c r="Q48"/>
  <c r="P48" s="1"/>
  <c r="Q47"/>
  <c r="P47" s="1"/>
  <c r="Q46"/>
  <c r="P46" s="1"/>
  <c r="Q45"/>
  <c r="P45" s="1"/>
  <c r="Q44"/>
  <c r="P44" s="1"/>
  <c r="Q43"/>
  <c r="P43" s="1"/>
  <c r="Q42"/>
  <c r="P42" s="1"/>
  <c r="Q41"/>
  <c r="P41" s="1"/>
  <c r="Q40"/>
  <c r="P40" s="1"/>
  <c r="Q39"/>
  <c r="P39" s="1"/>
  <c r="Q38"/>
  <c r="P38" s="1"/>
  <c r="Q37"/>
  <c r="P37" s="1"/>
  <c r="Q36"/>
  <c r="P36" s="1"/>
  <c r="Q35"/>
  <c r="P35" s="1"/>
  <c r="Q34"/>
  <c r="P34" s="1"/>
  <c r="Q33"/>
  <c r="P33" s="1"/>
  <c r="Q32"/>
  <c r="P32" s="1"/>
  <c r="Q31"/>
  <c r="P31" s="1"/>
  <c r="Q30"/>
  <c r="P30" s="1"/>
  <c r="Q28"/>
  <c r="P28" s="1"/>
  <c r="Q25"/>
  <c r="P25" s="1"/>
  <c r="Q24"/>
  <c r="P24" s="1"/>
  <c r="Q23"/>
  <c r="P23" s="1"/>
  <c r="Q22"/>
  <c r="P22" s="1"/>
  <c r="Q20"/>
  <c r="P20" s="1"/>
  <c r="Q19"/>
  <c r="P19" s="1"/>
  <c r="Q16"/>
  <c r="P16" s="1"/>
  <c r="Q15"/>
  <c r="P15" s="1"/>
  <c r="Q11"/>
  <c r="P11" s="1"/>
  <c r="Q8"/>
  <c r="P8" s="1"/>
  <c r="Q5"/>
  <c r="P5" s="1"/>
  <c r="J105" i="24"/>
  <c r="C100"/>
  <c r="J98"/>
  <c r="E85"/>
  <c r="E82"/>
  <c r="J79"/>
  <c r="J62"/>
  <c r="J58"/>
  <c r="J54"/>
  <c r="J50"/>
  <c r="J46"/>
  <c r="J42"/>
  <c r="J38"/>
  <c r="J33"/>
  <c r="J29"/>
  <c r="J105" i="23"/>
  <c r="C100"/>
  <c r="J98"/>
  <c r="E85"/>
  <c r="E82"/>
  <c r="E80"/>
  <c r="J66"/>
  <c r="J62"/>
  <c r="J58"/>
  <c r="J54"/>
  <c r="J50"/>
  <c r="J46"/>
  <c r="J42"/>
  <c r="J38"/>
  <c r="J33"/>
  <c r="J29"/>
  <c r="J107" i="22"/>
  <c r="G377" i="17"/>
  <c r="H307"/>
  <c r="H433" s="1"/>
  <c r="H306"/>
  <c r="H432" s="1"/>
  <c r="H4471" i="18"/>
  <c r="H4470"/>
  <c r="H4469"/>
  <c r="H4468"/>
  <c r="H4467"/>
  <c r="H4466"/>
  <c r="H3683"/>
  <c r="H3682"/>
  <c r="H3681"/>
  <c r="H3680"/>
  <c r="H3679"/>
  <c r="H3678"/>
  <c r="F2968"/>
  <c r="H2968" s="1"/>
  <c r="F2967"/>
  <c r="F2966"/>
  <c r="F2965"/>
  <c r="F2964"/>
  <c r="H2963"/>
  <c r="H2958"/>
  <c r="H2957"/>
  <c r="H2956"/>
  <c r="H2955"/>
  <c r="H2949"/>
  <c r="H2946"/>
  <c r="H2944"/>
  <c r="H2943"/>
  <c r="H2939"/>
  <c r="H2938"/>
  <c r="H2937"/>
  <c r="H2936"/>
  <c r="H2935"/>
  <c r="H2934"/>
  <c r="H2914"/>
  <c r="H2913"/>
  <c r="H2912"/>
  <c r="H2911"/>
  <c r="H2910"/>
  <c r="H2909"/>
  <c r="H2906"/>
  <c r="H2905"/>
  <c r="H2904"/>
  <c r="H2903"/>
  <c r="H2902"/>
  <c r="H2901"/>
  <c r="H2881"/>
  <c r="H2880"/>
  <c r="H2879"/>
  <c r="H2878"/>
  <c r="H2877"/>
  <c r="H2876"/>
  <c r="H2848"/>
  <c r="H2847"/>
  <c r="H2846"/>
  <c r="H2845"/>
  <c r="H2844"/>
  <c r="H2843"/>
  <c r="H2840"/>
  <c r="H2839"/>
  <c r="H2838"/>
  <c r="H2837"/>
  <c r="H2836"/>
  <c r="H2835"/>
  <c r="H2815"/>
  <c r="H2814"/>
  <c r="H2813"/>
  <c r="H2812"/>
  <c r="H2811"/>
  <c r="H2810"/>
  <c r="H2807"/>
  <c r="H2806"/>
  <c r="H2805"/>
  <c r="H2804"/>
  <c r="H2803"/>
  <c r="H2802"/>
  <c r="H2782"/>
  <c r="H2781"/>
  <c r="H2780"/>
  <c r="H2779"/>
  <c r="H2778"/>
  <c r="H2777"/>
  <c r="H2774"/>
  <c r="H2773"/>
  <c r="H2772"/>
  <c r="H2771"/>
  <c r="H2770"/>
  <c r="H2769"/>
  <c r="H2749"/>
  <c r="H2748"/>
  <c r="H2747"/>
  <c r="H2746"/>
  <c r="H2745"/>
  <c r="H2744"/>
  <c r="H2710"/>
  <c r="H2709"/>
  <c r="H2708"/>
  <c r="H2707"/>
  <c r="H2706"/>
  <c r="H2705"/>
  <c r="H21"/>
  <c r="H20"/>
  <c r="H19"/>
  <c r="H18"/>
  <c r="H17"/>
  <c r="H16"/>
  <c r="K583" i="17"/>
  <c r="J581"/>
  <c r="J582" s="1"/>
  <c r="A580"/>
  <c r="E569"/>
  <c r="G562"/>
  <c r="C531"/>
  <c r="J520"/>
  <c r="D521" s="1"/>
  <c r="K521" s="1"/>
  <c r="I518"/>
  <c r="I519" s="1"/>
  <c r="I498"/>
  <c r="D492"/>
  <c r="D491"/>
  <c r="I490"/>
  <c r="I491" s="1"/>
  <c r="I492" s="1"/>
  <c r="I493" s="1"/>
  <c r="H479"/>
  <c r="G479"/>
  <c r="H478"/>
  <c r="G478"/>
  <c r="G474"/>
  <c r="G493" s="1"/>
  <c r="F474"/>
  <c r="D474"/>
  <c r="D493" s="1"/>
  <c r="F473"/>
  <c r="D473"/>
  <c r="G472"/>
  <c r="G491" s="1"/>
  <c r="F472"/>
  <c r="D472"/>
  <c r="H471"/>
  <c r="H472" s="1"/>
  <c r="H473" s="1"/>
  <c r="H480" s="1"/>
  <c r="G471"/>
  <c r="F471"/>
  <c r="D471"/>
  <c r="D490" s="1"/>
  <c r="F470"/>
  <c r="F469"/>
  <c r="B469"/>
  <c r="F468"/>
  <c r="F467"/>
  <c r="F466"/>
  <c r="K458"/>
  <c r="F452"/>
  <c r="E519" s="1"/>
  <c r="F451"/>
  <c r="E518" s="1"/>
  <c r="C451"/>
  <c r="C518" s="1"/>
  <c r="G440"/>
  <c r="F440"/>
  <c r="G439"/>
  <c r="F439"/>
  <c r="B439"/>
  <c r="G438"/>
  <c r="G437"/>
  <c r="G436"/>
  <c r="G435"/>
  <c r="G434"/>
  <c r="G433"/>
  <c r="G432"/>
  <c r="F426"/>
  <c r="H421"/>
  <c r="H422" s="1"/>
  <c r="H470" s="1"/>
  <c r="G420"/>
  <c r="H419"/>
  <c r="H420" s="1"/>
  <c r="G419"/>
  <c r="B418"/>
  <c r="B468" s="1"/>
  <c r="B417"/>
  <c r="B467" s="1"/>
  <c r="B416"/>
  <c r="B466" s="1"/>
  <c r="F415"/>
  <c r="F465" s="1"/>
  <c r="B415"/>
  <c r="B465" s="1"/>
  <c r="B488" s="1"/>
  <c r="F414"/>
  <c r="F464" s="1"/>
  <c r="F487" s="1"/>
  <c r="B414"/>
  <c r="B464" s="1"/>
  <c r="B487" s="1"/>
  <c r="F413"/>
  <c r="F463" s="1"/>
  <c r="B413"/>
  <c r="B463" s="1"/>
  <c r="B486" s="1"/>
  <c r="F412"/>
  <c r="F462" s="1"/>
  <c r="B412"/>
  <c r="B462" s="1"/>
  <c r="B485" s="1"/>
  <c r="I404"/>
  <c r="I450" s="1"/>
  <c r="I549" s="1"/>
  <c r="G404"/>
  <c r="G450" s="1"/>
  <c r="G549" s="1"/>
  <c r="F404"/>
  <c r="F450" s="1"/>
  <c r="G403"/>
  <c r="G449" s="1"/>
  <c r="G548" s="1"/>
  <c r="G574" s="1"/>
  <c r="F403"/>
  <c r="F449" s="1"/>
  <c r="I402"/>
  <c r="I448" s="1"/>
  <c r="I547" s="1"/>
  <c r="G402"/>
  <c r="G448" s="1"/>
  <c r="G547" s="1"/>
  <c r="F402"/>
  <c r="F448" s="1"/>
  <c r="G401"/>
  <c r="G447" s="1"/>
  <c r="F401"/>
  <c r="F447" s="1"/>
  <c r="F546" s="1"/>
  <c r="I400"/>
  <c r="I446" s="1"/>
  <c r="I545" s="1"/>
  <c r="G400"/>
  <c r="G446" s="1"/>
  <c r="F400"/>
  <c r="F399"/>
  <c r="F445" s="1"/>
  <c r="I398"/>
  <c r="I444" s="1"/>
  <c r="I543" s="1"/>
  <c r="I569" s="1"/>
  <c r="G398"/>
  <c r="G444" s="1"/>
  <c r="F398"/>
  <c r="F444" s="1"/>
  <c r="I397"/>
  <c r="I443" s="1"/>
  <c r="I542" s="1"/>
  <c r="I568" s="1"/>
  <c r="G397"/>
  <c r="G443" s="1"/>
  <c r="F397"/>
  <c r="F443" s="1"/>
  <c r="F390"/>
  <c r="F389"/>
  <c r="F386"/>
  <c r="H385"/>
  <c r="H389" s="1"/>
  <c r="F385"/>
  <c r="G378"/>
  <c r="H377"/>
  <c r="H378" s="1"/>
  <c r="H376"/>
  <c r="G376"/>
  <c r="G405" s="1"/>
  <c r="H375"/>
  <c r="G375"/>
  <c r="H374"/>
  <c r="G374"/>
  <c r="H373"/>
  <c r="G373"/>
  <c r="H372"/>
  <c r="G372"/>
  <c r="H371"/>
  <c r="G371"/>
  <c r="H370"/>
  <c r="G370"/>
  <c r="K368"/>
  <c r="B358"/>
  <c r="I351"/>
  <c r="I352" s="1"/>
  <c r="I353" s="1"/>
  <c r="I354" s="1"/>
  <c r="K349"/>
  <c r="G345"/>
  <c r="F345"/>
  <c r="B345"/>
  <c r="C404" s="1"/>
  <c r="C450" s="1"/>
  <c r="C549" s="1"/>
  <c r="G344"/>
  <c r="F344"/>
  <c r="B344"/>
  <c r="C403" s="1"/>
  <c r="C449" s="1"/>
  <c r="C548" s="1"/>
  <c r="C574" s="1"/>
  <c r="G343"/>
  <c r="F343"/>
  <c r="B343"/>
  <c r="C402" s="1"/>
  <c r="C448" s="1"/>
  <c r="C547" s="1"/>
  <c r="G342"/>
  <c r="F342"/>
  <c r="B342"/>
  <c r="C401" s="1"/>
  <c r="C447" s="1"/>
  <c r="C546" s="1"/>
  <c r="G341"/>
  <c r="F341"/>
  <c r="B341"/>
  <c r="C400" s="1"/>
  <c r="C446" s="1"/>
  <c r="C545" s="1"/>
  <c r="F340"/>
  <c r="B340"/>
  <c r="C399" s="1"/>
  <c r="C445" s="1"/>
  <c r="G339"/>
  <c r="F339"/>
  <c r="B339"/>
  <c r="C398" s="1"/>
  <c r="C444" s="1"/>
  <c r="G338"/>
  <c r="F338"/>
  <c r="B338"/>
  <c r="C397" s="1"/>
  <c r="C443" s="1"/>
  <c r="G334"/>
  <c r="G359" s="1"/>
  <c r="F334"/>
  <c r="F359" s="1"/>
  <c r="G333"/>
  <c r="G358" s="1"/>
  <c r="F333"/>
  <c r="B333"/>
  <c r="G332"/>
  <c r="G357" s="1"/>
  <c r="F514" s="1"/>
  <c r="G331"/>
  <c r="G356" s="1"/>
  <c r="F513" s="1"/>
  <c r="G330"/>
  <c r="G355" s="1"/>
  <c r="F512" s="1"/>
  <c r="G329"/>
  <c r="G354" s="1"/>
  <c r="F511" s="1"/>
  <c r="G328"/>
  <c r="G353" s="1"/>
  <c r="F510" s="1"/>
  <c r="G327"/>
  <c r="G352" s="1"/>
  <c r="F509" s="1"/>
  <c r="G326"/>
  <c r="G351" s="1"/>
  <c r="F508" s="1"/>
  <c r="H321"/>
  <c r="G321"/>
  <c r="H314"/>
  <c r="H440" s="1"/>
  <c r="H313"/>
  <c r="H439" s="1"/>
  <c r="H312"/>
  <c r="H438" s="1"/>
  <c r="B312"/>
  <c r="B438" s="1"/>
  <c r="B514" s="1"/>
  <c r="B311"/>
  <c r="B437" s="1"/>
  <c r="B310"/>
  <c r="B436" s="1"/>
  <c r="H309"/>
  <c r="H435" s="1"/>
  <c r="B309"/>
  <c r="B435" s="1"/>
  <c r="B511" s="1"/>
  <c r="H308"/>
  <c r="H434" s="1"/>
  <c r="B308"/>
  <c r="B434" s="1"/>
  <c r="B510" s="1"/>
  <c r="I307"/>
  <c r="I308" s="1"/>
  <c r="I309" s="1"/>
  <c r="B307"/>
  <c r="B433" s="1"/>
  <c r="B509" s="1"/>
  <c r="I306"/>
  <c r="B306"/>
  <c r="B432" s="1"/>
  <c r="B508" s="1"/>
  <c r="K304"/>
  <c r="I301"/>
  <c r="J301" s="1"/>
  <c r="G300"/>
  <c r="E300"/>
  <c r="I279"/>
  <c r="H279"/>
  <c r="H426" s="1"/>
  <c r="G279"/>
  <c r="G426" s="1"/>
  <c r="G276"/>
  <c r="G275"/>
  <c r="H275" s="1"/>
  <c r="J271"/>
  <c r="I261"/>
  <c r="I262" s="1"/>
  <c r="H260"/>
  <c r="H261" s="1"/>
  <c r="H262" s="1"/>
  <c r="H265" s="1"/>
  <c r="H266" s="1"/>
  <c r="H267" s="1"/>
  <c r="H268" s="1"/>
  <c r="H269" s="1"/>
  <c r="H270" s="1"/>
  <c r="H256"/>
  <c r="G254"/>
  <c r="G253"/>
  <c r="D253"/>
  <c r="D252"/>
  <c r="H251"/>
  <c r="H252" s="1"/>
  <c r="F251"/>
  <c r="D251"/>
  <c r="H247"/>
  <c r="I246"/>
  <c r="I326" s="1"/>
  <c r="I327" s="1"/>
  <c r="I328" s="1"/>
  <c r="I329" s="1"/>
  <c r="H246"/>
  <c r="H338" s="1"/>
  <c r="H339" s="1"/>
  <c r="J243"/>
  <c r="J238"/>
  <c r="J237"/>
  <c r="H229"/>
  <c r="F229"/>
  <c r="E301" s="1"/>
  <c r="G227"/>
  <c r="H320" s="1"/>
  <c r="F221"/>
  <c r="F220"/>
  <c r="F219"/>
  <c r="F268" s="1"/>
  <c r="F218"/>
  <c r="F217"/>
  <c r="I216"/>
  <c r="I217" s="1"/>
  <c r="I218" s="1"/>
  <c r="I219" s="1"/>
  <c r="I220" s="1"/>
  <c r="I221" s="1"/>
  <c r="H216"/>
  <c r="H217" s="1"/>
  <c r="F216"/>
  <c r="I213"/>
  <c r="F213"/>
  <c r="I212"/>
  <c r="H212"/>
  <c r="H213" s="1"/>
  <c r="G213" s="1"/>
  <c r="G262" s="1"/>
  <c r="G212"/>
  <c r="G261" s="1"/>
  <c r="F212"/>
  <c r="F261" s="1"/>
  <c r="G211"/>
  <c r="G236" s="1"/>
  <c r="J236" s="1"/>
  <c r="F211"/>
  <c r="F260" s="1"/>
  <c r="I205"/>
  <c r="I300" s="1"/>
  <c r="H205"/>
  <c r="F197"/>
  <c r="I196"/>
  <c r="I197" s="1"/>
  <c r="H196"/>
  <c r="H197" s="1"/>
  <c r="F196"/>
  <c r="I192"/>
  <c r="I193" s="1"/>
  <c r="I183"/>
  <c r="I184" s="1"/>
  <c r="I185" s="1"/>
  <c r="I186" s="1"/>
  <c r="I187" s="1"/>
  <c r="I188" s="1"/>
  <c r="I180"/>
  <c r="I179"/>
  <c r="H178"/>
  <c r="G178" s="1"/>
  <c r="I169"/>
  <c r="I170" s="1"/>
  <c r="I171" s="1"/>
  <c r="I172" s="1"/>
  <c r="I173" s="1"/>
  <c r="I165"/>
  <c r="I164"/>
  <c r="H164"/>
  <c r="H165" s="1"/>
  <c r="G163"/>
  <c r="I158"/>
  <c r="H158"/>
  <c r="J157"/>
  <c r="I146"/>
  <c r="I147" s="1"/>
  <c r="I148" s="1"/>
  <c r="I149" s="1"/>
  <c r="I150" s="1"/>
  <c r="I151" s="1"/>
  <c r="I154" s="1"/>
  <c r="I155" s="1"/>
  <c r="H146"/>
  <c r="H151" s="1"/>
  <c r="I143"/>
  <c r="H143"/>
  <c r="H148" s="1"/>
  <c r="G143"/>
  <c r="I142"/>
  <c r="H142"/>
  <c r="G142" s="1"/>
  <c r="G141"/>
  <c r="F130"/>
  <c r="B130"/>
  <c r="F129"/>
  <c r="I128"/>
  <c r="F128"/>
  <c r="B128"/>
  <c r="B156" s="1"/>
  <c r="B194" s="1"/>
  <c r="F127"/>
  <c r="F155" s="1"/>
  <c r="I126"/>
  <c r="I127" s="1"/>
  <c r="F126"/>
  <c r="F154" s="1"/>
  <c r="F122"/>
  <c r="B122"/>
  <c r="I121"/>
  <c r="I122" s="1"/>
  <c r="F121"/>
  <c r="B121"/>
  <c r="F120"/>
  <c r="B120"/>
  <c r="I119"/>
  <c r="H119"/>
  <c r="G119"/>
  <c r="F119"/>
  <c r="F311" s="1"/>
  <c r="B119"/>
  <c r="H118"/>
  <c r="G118"/>
  <c r="F118"/>
  <c r="F310" s="1"/>
  <c r="B118"/>
  <c r="H117"/>
  <c r="G117"/>
  <c r="F117"/>
  <c r="F309" s="1"/>
  <c r="B117"/>
  <c r="H116"/>
  <c r="G116"/>
  <c r="F116"/>
  <c r="B116"/>
  <c r="H115"/>
  <c r="G115"/>
  <c r="F115"/>
  <c r="B115"/>
  <c r="I114"/>
  <c r="I115" s="1"/>
  <c r="I116" s="1"/>
  <c r="I117" s="1"/>
  <c r="H114"/>
  <c r="G114"/>
  <c r="F114"/>
  <c r="F306" s="1"/>
  <c r="B111"/>
  <c r="B151" s="1"/>
  <c r="B103"/>
  <c r="B143" s="1"/>
  <c r="I102"/>
  <c r="I103" s="1"/>
  <c r="I98"/>
  <c r="I88"/>
  <c r="H88"/>
  <c r="H130" s="1"/>
  <c r="G88"/>
  <c r="G130" s="1"/>
  <c r="B87"/>
  <c r="B127" s="1"/>
  <c r="I86"/>
  <c r="I87" s="1"/>
  <c r="H86"/>
  <c r="H126" s="1"/>
  <c r="G86"/>
  <c r="G126" s="1"/>
  <c r="G154" s="1"/>
  <c r="B86"/>
  <c r="B126" s="1"/>
  <c r="B154" s="1"/>
  <c r="B192" s="1"/>
  <c r="H84"/>
  <c r="H128" s="1"/>
  <c r="G84"/>
  <c r="B83"/>
  <c r="B125" s="1"/>
  <c r="B153" s="1"/>
  <c r="B191" s="1"/>
  <c r="H79"/>
  <c r="H80" s="1"/>
  <c r="H81" s="1"/>
  <c r="I76"/>
  <c r="I77" s="1"/>
  <c r="G76"/>
  <c r="H76" s="1"/>
  <c r="H121" s="1"/>
  <c r="I74"/>
  <c r="I75" s="1"/>
  <c r="J73"/>
  <c r="V72"/>
  <c r="V71"/>
  <c r="V70"/>
  <c r="J70"/>
  <c r="I70"/>
  <c r="I71" s="1"/>
  <c r="V69"/>
  <c r="J69"/>
  <c r="B69"/>
  <c r="B114" s="1"/>
  <c r="B61"/>
  <c r="B106" s="1"/>
  <c r="B146" s="1"/>
  <c r="I57"/>
  <c r="I58" s="1"/>
  <c r="B56"/>
  <c r="B101" s="1"/>
  <c r="B141" s="1"/>
  <c r="I54"/>
  <c r="I48"/>
  <c r="F48"/>
  <c r="F54" s="1"/>
  <c r="J44"/>
  <c r="I43"/>
  <c r="H43"/>
  <c r="G43" s="1"/>
  <c r="I42"/>
  <c r="H42"/>
  <c r="H85" s="1"/>
  <c r="H129" s="1"/>
  <c r="H41"/>
  <c r="G41"/>
  <c r="G85" s="1"/>
  <c r="F37"/>
  <c r="F36"/>
  <c r="F35"/>
  <c r="F34"/>
  <c r="F63" s="1"/>
  <c r="F33"/>
  <c r="I32"/>
  <c r="I33" s="1"/>
  <c r="I34" s="1"/>
  <c r="I35" s="1"/>
  <c r="I36" s="1"/>
  <c r="I37" s="1"/>
  <c r="F32"/>
  <c r="F29"/>
  <c r="F58" s="1"/>
  <c r="I28"/>
  <c r="I29" s="1"/>
  <c r="F28"/>
  <c r="F57" s="1"/>
  <c r="H27"/>
  <c r="H56" s="1"/>
  <c r="H101" s="1"/>
  <c r="F27"/>
  <c r="F56" s="1"/>
  <c r="I25"/>
  <c r="H25"/>
  <c r="H54" s="1"/>
  <c r="H98" s="1"/>
  <c r="G25"/>
  <c r="G48" s="1"/>
  <c r="G92" s="1"/>
  <c r="T22"/>
  <c r="Q22"/>
  <c r="P22"/>
  <c r="O22"/>
  <c r="N22"/>
  <c r="T21"/>
  <c r="Q21"/>
  <c r="P21"/>
  <c r="O21"/>
  <c r="N21"/>
  <c r="Q20"/>
  <c r="P19"/>
  <c r="H77" s="1"/>
  <c r="H122" s="1"/>
  <c r="O19"/>
  <c r="G77" s="1"/>
  <c r="P18"/>
  <c r="O18"/>
  <c r="F18"/>
  <c r="F17"/>
  <c r="F16"/>
  <c r="F15"/>
  <c r="P14"/>
  <c r="H418" s="1"/>
  <c r="H468" s="1"/>
  <c r="O14"/>
  <c r="G418" s="1"/>
  <c r="F14"/>
  <c r="P13"/>
  <c r="H417" s="1"/>
  <c r="H467" s="1"/>
  <c r="O13"/>
  <c r="G417" s="1"/>
  <c r="G467" s="1"/>
  <c r="F13"/>
  <c r="P12"/>
  <c r="H416" s="1"/>
  <c r="H466" s="1"/>
  <c r="O12"/>
  <c r="G416" s="1"/>
  <c r="G466" s="1"/>
  <c r="P11"/>
  <c r="H415" s="1"/>
  <c r="H465" s="1"/>
  <c r="O11"/>
  <c r="G415" s="1"/>
  <c r="G465" s="1"/>
  <c r="J11"/>
  <c r="L11" s="1"/>
  <c r="F11"/>
  <c r="P10"/>
  <c r="H414" s="1"/>
  <c r="H464" s="1"/>
  <c r="O10"/>
  <c r="G414" s="1"/>
  <c r="G464" s="1"/>
  <c r="J10"/>
  <c r="L10" s="1"/>
  <c r="L12" s="1"/>
  <c r="F10"/>
  <c r="P9"/>
  <c r="H413" s="1"/>
  <c r="H463" s="1"/>
  <c r="O9"/>
  <c r="G413" s="1"/>
  <c r="G463" s="1"/>
  <c r="F9"/>
  <c r="U8"/>
  <c r="S8"/>
  <c r="T8" s="1"/>
  <c r="P8"/>
  <c r="H412" s="1"/>
  <c r="H462" s="1"/>
  <c r="O8"/>
  <c r="G412" s="1"/>
  <c r="G462" s="1"/>
  <c r="N1"/>
  <c r="M62" i="13"/>
  <c r="M61"/>
  <c r="M60"/>
  <c r="K60"/>
  <c r="M59"/>
  <c r="K59"/>
  <c r="M58"/>
  <c r="M57"/>
  <c r="K57"/>
  <c r="M54"/>
  <c r="K54"/>
  <c r="M53"/>
  <c r="M52"/>
  <c r="K52"/>
  <c r="M51"/>
  <c r="M50"/>
  <c r="M49"/>
  <c r="K49"/>
  <c r="M48"/>
  <c r="M47"/>
  <c r="K47"/>
  <c r="M46"/>
  <c r="M40"/>
  <c r="M39"/>
  <c r="K39"/>
  <c r="M38"/>
  <c r="K38"/>
  <c r="M31"/>
  <c r="K31"/>
  <c r="M29"/>
  <c r="K29"/>
  <c r="P19"/>
  <c r="I19"/>
  <c r="H19"/>
  <c r="G19"/>
  <c r="H45" i="12"/>
  <c r="G44"/>
  <c r="J36"/>
  <c r="J35"/>
  <c r="E20"/>
  <c r="A20"/>
  <c r="A25" s="1"/>
  <c r="A27" s="1"/>
  <c r="F18"/>
  <c r="F20" s="1"/>
  <c r="G52" i="11"/>
  <c r="L52" s="1"/>
  <c r="I47"/>
  <c r="L44"/>
  <c r="L45" s="1"/>
  <c r="I45" s="1"/>
  <c r="I42"/>
  <c r="M42" s="1"/>
  <c r="F41"/>
  <c r="I41" s="1"/>
  <c r="I40"/>
  <c r="M40" s="1"/>
  <c r="F39"/>
  <c r="F38"/>
  <c r="I38" s="1"/>
  <c r="L37"/>
  <c r="M37" s="1"/>
  <c r="L36"/>
  <c r="M36" s="1"/>
  <c r="K35"/>
  <c r="L35" s="1"/>
  <c r="H35"/>
  <c r="F35"/>
  <c r="K34"/>
  <c r="L34" s="1"/>
  <c r="H34"/>
  <c r="F34"/>
  <c r="K33"/>
  <c r="L33" s="1"/>
  <c r="H33"/>
  <c r="I33" s="1"/>
  <c r="F33"/>
  <c r="K32"/>
  <c r="J32"/>
  <c r="L32" s="1"/>
  <c r="M32" s="1"/>
  <c r="H32"/>
  <c r="F32"/>
  <c r="K31"/>
  <c r="J31"/>
  <c r="H31"/>
  <c r="F31"/>
  <c r="K30"/>
  <c r="J30"/>
  <c r="L30" s="1"/>
  <c r="H30"/>
  <c r="F30"/>
  <c r="K29"/>
  <c r="J29"/>
  <c r="L29" s="1"/>
  <c r="M29" s="1"/>
  <c r="H29"/>
  <c r="F29"/>
  <c r="K28"/>
  <c r="J28"/>
  <c r="H28"/>
  <c r="F28"/>
  <c r="K27"/>
  <c r="J27"/>
  <c r="L27" s="1"/>
  <c r="H27"/>
  <c r="F27"/>
  <c r="K26"/>
  <c r="L26" s="1"/>
  <c r="J26"/>
  <c r="F26"/>
  <c r="L25"/>
  <c r="K25"/>
  <c r="J25"/>
  <c r="F25"/>
  <c r="K23"/>
  <c r="J23"/>
  <c r="L23" s="1"/>
  <c r="F23"/>
  <c r="K22"/>
  <c r="L22" s="1"/>
  <c r="J22"/>
  <c r="F22"/>
  <c r="K20"/>
  <c r="J20"/>
  <c r="H20"/>
  <c r="F20"/>
  <c r="K19"/>
  <c r="J19"/>
  <c r="H19"/>
  <c r="F19"/>
  <c r="K18"/>
  <c r="J18"/>
  <c r="L18" s="1"/>
  <c r="M18" s="1"/>
  <c r="H18"/>
  <c r="F18"/>
  <c r="K17"/>
  <c r="L17" s="1"/>
  <c r="M17" s="1"/>
  <c r="J17"/>
  <c r="H17"/>
  <c r="F17"/>
  <c r="K16"/>
  <c r="J16"/>
  <c r="L16" s="1"/>
  <c r="H16"/>
  <c r="F16"/>
  <c r="H15"/>
  <c r="G15"/>
  <c r="F15"/>
  <c r="H14"/>
  <c r="G14"/>
  <c r="I14" s="1"/>
  <c r="F14"/>
  <c r="H13"/>
  <c r="G13"/>
  <c r="F13"/>
  <c r="H12"/>
  <c r="G12"/>
  <c r="I12" s="1"/>
  <c r="F12"/>
  <c r="M12" s="1"/>
  <c r="H11"/>
  <c r="I11" s="1"/>
  <c r="G11"/>
  <c r="F11"/>
  <c r="M10"/>
  <c r="H9"/>
  <c r="G9"/>
  <c r="I9" s="1"/>
  <c r="F9"/>
  <c r="H8"/>
  <c r="G8"/>
  <c r="I8" s="1"/>
  <c r="F8"/>
  <c r="M8" s="1"/>
  <c r="H7"/>
  <c r="G7"/>
  <c r="F7"/>
  <c r="H6"/>
  <c r="G6"/>
  <c r="I6" s="1"/>
  <c r="F6"/>
  <c r="H5"/>
  <c r="G5"/>
  <c r="I5" s="1"/>
  <c r="F5"/>
  <c r="H4"/>
  <c r="G4"/>
  <c r="I4" s="1"/>
  <c r="F4"/>
  <c r="E36" i="10"/>
  <c r="E33"/>
  <c r="E30"/>
  <c r="E27"/>
  <c r="I65" i="9"/>
  <c r="C65" s="1"/>
  <c r="I53"/>
  <c r="C53"/>
  <c r="K53" s="1"/>
  <c r="K52"/>
  <c r="O51"/>
  <c r="I48"/>
  <c r="G48"/>
  <c r="G47"/>
  <c r="O46"/>
  <c r="M45"/>
  <c r="K41"/>
  <c r="M42" s="1"/>
  <c r="O39"/>
  <c r="I35"/>
  <c r="I36" s="1"/>
  <c r="O34"/>
  <c r="E23"/>
  <c r="E19"/>
  <c r="E15"/>
  <c r="E31" s="1"/>
  <c r="E11"/>
  <c r="E27" s="1"/>
  <c r="C11"/>
  <c r="C15" s="1"/>
  <c r="C19" s="1"/>
  <c r="C23" s="1"/>
  <c r="C27" s="1"/>
  <c r="C31" s="1"/>
  <c r="C35" s="1"/>
  <c r="C36" s="1"/>
  <c r="G7"/>
  <c r="G23" s="1"/>
  <c r="P6"/>
  <c r="E36" s="1"/>
  <c r="G36" s="1"/>
  <c r="P3"/>
  <c r="E35" s="1"/>
  <c r="Q2"/>
  <c r="P2"/>
  <c r="P4" s="1"/>
  <c r="B6524" i="7"/>
  <c r="J6523"/>
  <c r="G6523"/>
  <c r="B6523"/>
  <c r="K545" i="4"/>
  <c r="L545" s="1"/>
  <c r="B6497" i="7"/>
  <c r="A6497"/>
  <c r="B6484"/>
  <c r="A6484"/>
  <c r="B6483"/>
  <c r="B6474"/>
  <c r="E6465"/>
  <c r="B6465"/>
  <c r="B6441"/>
  <c r="A6441"/>
  <c r="E6440"/>
  <c r="B6440"/>
  <c r="A6428"/>
  <c r="A6416"/>
  <c r="E6415"/>
  <c r="B6415"/>
  <c r="E6371"/>
  <c r="B6371"/>
  <c r="B6344"/>
  <c r="A6344"/>
  <c r="E6329"/>
  <c r="E6344" s="1"/>
  <c r="E6353" s="1"/>
  <c r="E6362" s="1"/>
  <c r="B6329"/>
  <c r="A6329"/>
  <c r="E6328"/>
  <c r="B6328"/>
  <c r="B6287"/>
  <c r="A6287"/>
  <c r="B6286"/>
  <c r="B6274"/>
  <c r="A6274"/>
  <c r="B6262"/>
  <c r="A6262"/>
  <c r="E6261"/>
  <c r="B6261"/>
  <c r="B6246"/>
  <c r="A6246"/>
  <c r="B6240"/>
  <c r="A6240"/>
  <c r="E6239"/>
  <c r="B6239"/>
  <c r="B6227"/>
  <c r="A6227"/>
  <c r="B6215"/>
  <c r="A6215"/>
  <c r="E6214"/>
  <c r="B6214"/>
  <c r="E6202"/>
  <c r="B6202"/>
  <c r="A6202"/>
  <c r="E6189"/>
  <c r="B6189"/>
  <c r="B6147"/>
  <c r="A6147"/>
  <c r="E6146"/>
  <c r="B6146"/>
  <c r="B6105"/>
  <c r="A6105"/>
  <c r="E6104"/>
  <c r="B6104"/>
  <c r="B6080"/>
  <c r="A6080"/>
  <c r="B6063"/>
  <c r="A6063"/>
  <c r="E6062"/>
  <c r="B6062"/>
  <c r="B6038"/>
  <c r="A6038"/>
  <c r="B6020"/>
  <c r="A6020"/>
  <c r="B6019"/>
  <c r="E5976"/>
  <c r="B5976"/>
  <c r="B5952"/>
  <c r="A5952"/>
  <c r="B5937"/>
  <c r="A5937"/>
  <c r="E5936"/>
  <c r="B5936"/>
  <c r="E5924"/>
  <c r="B5924"/>
  <c r="A5924"/>
  <c r="E5912"/>
  <c r="B5912"/>
  <c r="A5912"/>
  <c r="E5911"/>
  <c r="B5911"/>
  <c r="B5869"/>
  <c r="A5869"/>
  <c r="B5868"/>
  <c r="B5844"/>
  <c r="A5844"/>
  <c r="E5826"/>
  <c r="E5844" s="1"/>
  <c r="E5852" s="1"/>
  <c r="E5860" s="1"/>
  <c r="B5826"/>
  <c r="A5826"/>
  <c r="E5825"/>
  <c r="B5825"/>
  <c r="B5800"/>
  <c r="A5800"/>
  <c r="B5799"/>
  <c r="A5799"/>
  <c r="B5758"/>
  <c r="A5758"/>
  <c r="B5757"/>
  <c r="A5757"/>
  <c r="E5756"/>
  <c r="B5756"/>
  <c r="E5731"/>
  <c r="E5732" s="1"/>
  <c r="E5740" s="1"/>
  <c r="E5748" s="1"/>
  <c r="B5731"/>
  <c r="A5731"/>
  <c r="B5730"/>
  <c r="A5730"/>
  <c r="Q5699"/>
  <c r="E5689"/>
  <c r="E5706" s="1"/>
  <c r="E5714" s="1"/>
  <c r="E5722" s="1"/>
  <c r="B5689"/>
  <c r="A5689"/>
  <c r="B5688"/>
  <c r="A5688"/>
  <c r="E5687"/>
  <c r="B5687"/>
  <c r="B5662"/>
  <c r="A5662"/>
  <c r="B5661"/>
  <c r="A5661"/>
  <c r="B5620"/>
  <c r="A5620"/>
  <c r="E5619"/>
  <c r="B5619"/>
  <c r="A5619"/>
  <c r="B5618"/>
  <c r="B5593"/>
  <c r="A5593"/>
  <c r="B5592"/>
  <c r="A5592"/>
  <c r="G5562"/>
  <c r="B5548"/>
  <c r="A5548"/>
  <c r="B5547"/>
  <c r="A5547"/>
  <c r="B5546"/>
  <c r="Q5545"/>
  <c r="K5424"/>
  <c r="K5423"/>
  <c r="K5422"/>
  <c r="E5414"/>
  <c r="J5398"/>
  <c r="K5398" s="1"/>
  <c r="K5397"/>
  <c r="G5392"/>
  <c r="G5391"/>
  <c r="B5388"/>
  <c r="J5372"/>
  <c r="K5372" s="1"/>
  <c r="K5371"/>
  <c r="G5366"/>
  <c r="G5365"/>
  <c r="E5362"/>
  <c r="B5362"/>
  <c r="J5346"/>
  <c r="K5346" s="1"/>
  <c r="K5345"/>
  <c r="G5340"/>
  <c r="G5339"/>
  <c r="E5336"/>
  <c r="B5336"/>
  <c r="J5320"/>
  <c r="K5320" s="1"/>
  <c r="K5319"/>
  <c r="G5314"/>
  <c r="G5313"/>
  <c r="E5310"/>
  <c r="B5310"/>
  <c r="B5296"/>
  <c r="E5284"/>
  <c r="B5284"/>
  <c r="E5271"/>
  <c r="B5271"/>
  <c r="G5259"/>
  <c r="E5248"/>
  <c r="B5248"/>
  <c r="E5227"/>
  <c r="B5227"/>
  <c r="E5212"/>
  <c r="B5212"/>
  <c r="K5204"/>
  <c r="K5203"/>
  <c r="K5202"/>
  <c r="K5201"/>
  <c r="K5199"/>
  <c r="K5198"/>
  <c r="K5197"/>
  <c r="K5196"/>
  <c r="K5195"/>
  <c r="K5194"/>
  <c r="K5193"/>
  <c r="K5191"/>
  <c r="K5190"/>
  <c r="K5189"/>
  <c r="K5188"/>
  <c r="K5187"/>
  <c r="E5184"/>
  <c r="B5184"/>
  <c r="K5176"/>
  <c r="K5175"/>
  <c r="K5174"/>
  <c r="K5173"/>
  <c r="K5172"/>
  <c r="K5171"/>
  <c r="K5170"/>
  <c r="K5169"/>
  <c r="K5168"/>
  <c r="K5166"/>
  <c r="K5165"/>
  <c r="K5164"/>
  <c r="K5163"/>
  <c r="K5162"/>
  <c r="E5159"/>
  <c r="B5159"/>
  <c r="K5151"/>
  <c r="K5150"/>
  <c r="K5149"/>
  <c r="K5148"/>
  <c r="K5147"/>
  <c r="K5146"/>
  <c r="K5144"/>
  <c r="K5143"/>
  <c r="K5142"/>
  <c r="B5139"/>
  <c r="K5131"/>
  <c r="K5130"/>
  <c r="K5129"/>
  <c r="K5128"/>
  <c r="K5127"/>
  <c r="K5126"/>
  <c r="K5124"/>
  <c r="K5123"/>
  <c r="K5122"/>
  <c r="K5121"/>
  <c r="K5120"/>
  <c r="E5117"/>
  <c r="B5117"/>
  <c r="K5099"/>
  <c r="G5093"/>
  <c r="G5092"/>
  <c r="G5091"/>
  <c r="G5090"/>
  <c r="G5089"/>
  <c r="E5086"/>
  <c r="B5086"/>
  <c r="K5070"/>
  <c r="G5062"/>
  <c r="G5061"/>
  <c r="G5060"/>
  <c r="G5059"/>
  <c r="G5058"/>
  <c r="E5056"/>
  <c r="B5056"/>
  <c r="K5042"/>
  <c r="B5036"/>
  <c r="K5021"/>
  <c r="G5012"/>
  <c r="G5011"/>
  <c r="G5010"/>
  <c r="G5009"/>
  <c r="G5008"/>
  <c r="B5006"/>
  <c r="K4991"/>
  <c r="G4983"/>
  <c r="G4982"/>
  <c r="G4981"/>
  <c r="G4980"/>
  <c r="G4979"/>
  <c r="E4977"/>
  <c r="B4977"/>
  <c r="K4959"/>
  <c r="G4950"/>
  <c r="G4949"/>
  <c r="G4948"/>
  <c r="G4947"/>
  <c r="G4946"/>
  <c r="G4945"/>
  <c r="E4943"/>
  <c r="B4943"/>
  <c r="K4926"/>
  <c r="G4918"/>
  <c r="G4917"/>
  <c r="G4916"/>
  <c r="G4915"/>
  <c r="G4914"/>
  <c r="G4913"/>
  <c r="E4911"/>
  <c r="B4911"/>
  <c r="J4897"/>
  <c r="K4897" s="1"/>
  <c r="G4892"/>
  <c r="G4894" s="1"/>
  <c r="G4895" s="1"/>
  <c r="E4885"/>
  <c r="B4885"/>
  <c r="K4870"/>
  <c r="G4865"/>
  <c r="G4866" s="1"/>
  <c r="E4856"/>
  <c r="B4856"/>
  <c r="K4854"/>
  <c r="G4849"/>
  <c r="E4845"/>
  <c r="B4845"/>
  <c r="G4840"/>
  <c r="J4838"/>
  <c r="J4847" s="1"/>
  <c r="K4847" s="1"/>
  <c r="E4836"/>
  <c r="B4836"/>
  <c r="T4835"/>
  <c r="I4833" s="1"/>
  <c r="I4842" s="1"/>
  <c r="G4831"/>
  <c r="K4829"/>
  <c r="E4827"/>
  <c r="B4827"/>
  <c r="K4823"/>
  <c r="E4810"/>
  <c r="B4810"/>
  <c r="E4793"/>
  <c r="B4793"/>
  <c r="K4782"/>
  <c r="E4778"/>
  <c r="B4778"/>
  <c r="E4766"/>
  <c r="B4766"/>
  <c r="G4731"/>
  <c r="G4730"/>
  <c r="B4730"/>
  <c r="G4729"/>
  <c r="B4729"/>
  <c r="G4728"/>
  <c r="B4728"/>
  <c r="E4713"/>
  <c r="E4735" s="1"/>
  <c r="E4739" s="1"/>
  <c r="E4743" s="1"/>
  <c r="B4711"/>
  <c r="E4694"/>
  <c r="E4699" s="1"/>
  <c r="E4703" s="1"/>
  <c r="E4707" s="1"/>
  <c r="I4677"/>
  <c r="G4677"/>
  <c r="B4663"/>
  <c r="B4694" s="1"/>
  <c r="E4661"/>
  <c r="E4711" s="1"/>
  <c r="A4640"/>
  <c r="E4608"/>
  <c r="E4616" s="1"/>
  <c r="E4624" s="1"/>
  <c r="E4632" s="1"/>
  <c r="A4607"/>
  <c r="A4574"/>
  <c r="B4542"/>
  <c r="A4541"/>
  <c r="A4508"/>
  <c r="G4468"/>
  <c r="G4467"/>
  <c r="B4450"/>
  <c r="E4409"/>
  <c r="E4417" s="1"/>
  <c r="E4421" s="1"/>
  <c r="E4425" s="1"/>
  <c r="A4409"/>
  <c r="A4408"/>
  <c r="E4376"/>
  <c r="E4384" s="1"/>
  <c r="E4392" s="1"/>
  <c r="E4400" s="1"/>
  <c r="A4376"/>
  <c r="A4375"/>
  <c r="A4351"/>
  <c r="A4343"/>
  <c r="A4342"/>
  <c r="A4318"/>
  <c r="A4310"/>
  <c r="A4309"/>
  <c r="E4277"/>
  <c r="E4285" s="1"/>
  <c r="E4293" s="1"/>
  <c r="E4301" s="1"/>
  <c r="A4276"/>
  <c r="E4252"/>
  <c r="A4252"/>
  <c r="G4236"/>
  <c r="G4235"/>
  <c r="G4234"/>
  <c r="A4218"/>
  <c r="A4217"/>
  <c r="B4175"/>
  <c r="A4175"/>
  <c r="A4174"/>
  <c r="E4157"/>
  <c r="E4162" s="1"/>
  <c r="E4166" s="1"/>
  <c r="E4170" s="1"/>
  <c r="B4156"/>
  <c r="B4574" s="1"/>
  <c r="A4156"/>
  <c r="B4139"/>
  <c r="A4139"/>
  <c r="A4138"/>
  <c r="B4121"/>
  <c r="A4121"/>
  <c r="A4120"/>
  <c r="B4108"/>
  <c r="A4108"/>
  <c r="B4103"/>
  <c r="A4103"/>
  <c r="A4102"/>
  <c r="B4090"/>
  <c r="A4090"/>
  <c r="G4082"/>
  <c r="G4081"/>
  <c r="B4068"/>
  <c r="A4068"/>
  <c r="A4067"/>
  <c r="B4066"/>
  <c r="B4054"/>
  <c r="A4054"/>
  <c r="G4051"/>
  <c r="G4049"/>
  <c r="G4048"/>
  <c r="G4050" s="1"/>
  <c r="G4039"/>
  <c r="B4034"/>
  <c r="A4034"/>
  <c r="E4033"/>
  <c r="B4033"/>
  <c r="G4004"/>
  <c r="G4002"/>
  <c r="G4003" s="1"/>
  <c r="B4002"/>
  <c r="G3990"/>
  <c r="B3986"/>
  <c r="A3986"/>
  <c r="E3985"/>
  <c r="B3985"/>
  <c r="B3928"/>
  <c r="B3915"/>
  <c r="B3946" s="1"/>
  <c r="A3915"/>
  <c r="E3914"/>
  <c r="B3914"/>
  <c r="G3911"/>
  <c r="B3911"/>
  <c r="B3900"/>
  <c r="G3897"/>
  <c r="B3897"/>
  <c r="E3886"/>
  <c r="B3886"/>
  <c r="G3883"/>
  <c r="B3872"/>
  <c r="B3851"/>
  <c r="G3822"/>
  <c r="G3821"/>
  <c r="B3806"/>
  <c r="B3853" s="1"/>
  <c r="A3806"/>
  <c r="A3853" s="1"/>
  <c r="B3805"/>
  <c r="B3781"/>
  <c r="A3781"/>
  <c r="G3776"/>
  <c r="G3775"/>
  <c r="B3760"/>
  <c r="A3760"/>
  <c r="B3759"/>
  <c r="B3735"/>
  <c r="A3735"/>
  <c r="G3730"/>
  <c r="G3729"/>
  <c r="B3714"/>
  <c r="A3714"/>
  <c r="E3713"/>
  <c r="B3713"/>
  <c r="E3689"/>
  <c r="G3684"/>
  <c r="G3683"/>
  <c r="B3668"/>
  <c r="A3668"/>
  <c r="B3667"/>
  <c r="B3643"/>
  <c r="A3643"/>
  <c r="G3638"/>
  <c r="G3637"/>
  <c r="B3623"/>
  <c r="A3623"/>
  <c r="B3622"/>
  <c r="B3578"/>
  <c r="A3578"/>
  <c r="E3577"/>
  <c r="B3577"/>
  <c r="G3548"/>
  <c r="G3547"/>
  <c r="B3533"/>
  <c r="A3533"/>
  <c r="E3532"/>
  <c r="B3532"/>
  <c r="B3508"/>
  <c r="A3508"/>
  <c r="B3507"/>
  <c r="A3507"/>
  <c r="E3506"/>
  <c r="B3506"/>
  <c r="A3506"/>
  <c r="B3482"/>
  <c r="A3482"/>
  <c r="G3477"/>
  <c r="G3476"/>
  <c r="B3462"/>
  <c r="A3462"/>
  <c r="B3461"/>
  <c r="A3461"/>
  <c r="B3460"/>
  <c r="D3453"/>
  <c r="B3450"/>
  <c r="A3450"/>
  <c r="G3443"/>
  <c r="D3443"/>
  <c r="B3433"/>
  <c r="A3433"/>
  <c r="E3432"/>
  <c r="B3432"/>
  <c r="A3432"/>
  <c r="D3427"/>
  <c r="B3424"/>
  <c r="A3424"/>
  <c r="G3417"/>
  <c r="D3417"/>
  <c r="B3407"/>
  <c r="A3407"/>
  <c r="E3406"/>
  <c r="B3406"/>
  <c r="A3406"/>
  <c r="D3401"/>
  <c r="B3398"/>
  <c r="A3398"/>
  <c r="G3391"/>
  <c r="D3391"/>
  <c r="B3372"/>
  <c r="A3372"/>
  <c r="B3371"/>
  <c r="A3371"/>
  <c r="B3370"/>
  <c r="D3365"/>
  <c r="B3362"/>
  <c r="A3362"/>
  <c r="G3355"/>
  <c r="D3355"/>
  <c r="B3346"/>
  <c r="A3346"/>
  <c r="E3345"/>
  <c r="B3345"/>
  <c r="A3345"/>
  <c r="D3340"/>
  <c r="B3337"/>
  <c r="A3337"/>
  <c r="G3330"/>
  <c r="D3330"/>
  <c r="B3321"/>
  <c r="A3321"/>
  <c r="E3320"/>
  <c r="B3320"/>
  <c r="A3320"/>
  <c r="D3315"/>
  <c r="B3312"/>
  <c r="A3312"/>
  <c r="G3305"/>
  <c r="D3305"/>
  <c r="B3288"/>
  <c r="A3288"/>
  <c r="B3287"/>
  <c r="A3287"/>
  <c r="E3286"/>
  <c r="B3286"/>
  <c r="B3257"/>
  <c r="B3241"/>
  <c r="A3241"/>
  <c r="B3239"/>
  <c r="B3197"/>
  <c r="A3197"/>
  <c r="E3196"/>
  <c r="B3196"/>
  <c r="A3196"/>
  <c r="B3154"/>
  <c r="A3154"/>
  <c r="E3153"/>
  <c r="B3153"/>
  <c r="A3153"/>
  <c r="B3111"/>
  <c r="A3111"/>
  <c r="E3110"/>
  <c r="B3110"/>
  <c r="A3110"/>
  <c r="B3068"/>
  <c r="A3068"/>
  <c r="E3067"/>
  <c r="B3067"/>
  <c r="A3067"/>
  <c r="B3025"/>
  <c r="A3025"/>
  <c r="E3024"/>
  <c r="B3024"/>
  <c r="A3024"/>
  <c r="B2982"/>
  <c r="A2982"/>
  <c r="E2981"/>
  <c r="B2981"/>
  <c r="A2981"/>
  <c r="B2948"/>
  <c r="B3034" s="1"/>
  <c r="B3077" s="1"/>
  <c r="B3120" s="1"/>
  <c r="B3163" s="1"/>
  <c r="B3206" s="1"/>
  <c r="A2948"/>
  <c r="A3034" s="1"/>
  <c r="A3077" s="1"/>
  <c r="A3120" s="1"/>
  <c r="A3163" s="1"/>
  <c r="A3206" s="1"/>
  <c r="B2939"/>
  <c r="A2939"/>
  <c r="B2938"/>
  <c r="A2938"/>
  <c r="E2929"/>
  <c r="E2938" s="1"/>
  <c r="B2929"/>
  <c r="A2929"/>
  <c r="E2920"/>
  <c r="B2920"/>
  <c r="A2920"/>
  <c r="L2900"/>
  <c r="L2901" s="1"/>
  <c r="L2858"/>
  <c r="L2859" s="1"/>
  <c r="L2815"/>
  <c r="L2819" s="1"/>
  <c r="L2771"/>
  <c r="L2772" s="1"/>
  <c r="L2726"/>
  <c r="L2727" s="1"/>
  <c r="L2680"/>
  <c r="L2684" s="1"/>
  <c r="A2679"/>
  <c r="A2660"/>
  <c r="A2658"/>
  <c r="L2644"/>
  <c r="L2645" s="1"/>
  <c r="A2643"/>
  <c r="A2624"/>
  <c r="A2621"/>
  <c r="A2595"/>
  <c r="G2589"/>
  <c r="G2588"/>
  <c r="G2586"/>
  <c r="A2570"/>
  <c r="E2568"/>
  <c r="A2544"/>
  <c r="G2538"/>
  <c r="G2537"/>
  <c r="G2536"/>
  <c r="G2535"/>
  <c r="A2512"/>
  <c r="E2511"/>
  <c r="B2511"/>
  <c r="A2487"/>
  <c r="G2481"/>
  <c r="G2480"/>
  <c r="G2479"/>
  <c r="G2478"/>
  <c r="A2457"/>
  <c r="E2456"/>
  <c r="B2456"/>
  <c r="A2432"/>
  <c r="G2426"/>
  <c r="G2425"/>
  <c r="G2424"/>
  <c r="G2423"/>
  <c r="A2402"/>
  <c r="E2401"/>
  <c r="F2432" s="1"/>
  <c r="F2440" s="1"/>
  <c r="F2448" s="1"/>
  <c r="B2401"/>
  <c r="B2399"/>
  <c r="G2396"/>
  <c r="G2395"/>
  <c r="G2394"/>
  <c r="B2394"/>
  <c r="E2380"/>
  <c r="B2380"/>
  <c r="G2377"/>
  <c r="B2377"/>
  <c r="G2376"/>
  <c r="B2376"/>
  <c r="G2375"/>
  <c r="B2375"/>
  <c r="E2359"/>
  <c r="B2359"/>
  <c r="B2356"/>
  <c r="B2355"/>
  <c r="B2354"/>
  <c r="E2338"/>
  <c r="B2338"/>
  <c r="E2332"/>
  <c r="A2332"/>
  <c r="A2326"/>
  <c r="A2322"/>
  <c r="E2304"/>
  <c r="B2299"/>
  <c r="A2299"/>
  <c r="G2295"/>
  <c r="G2294"/>
  <c r="G2293"/>
  <c r="B2293"/>
  <c r="B2276"/>
  <c r="A2276"/>
  <c r="B2275"/>
  <c r="E2245"/>
  <c r="G2240"/>
  <c r="G2239"/>
  <c r="G2238"/>
  <c r="B2238"/>
  <c r="E2224"/>
  <c r="B2222"/>
  <c r="G2197"/>
  <c r="G2196"/>
  <c r="G2195"/>
  <c r="B2195"/>
  <c r="A2181"/>
  <c r="B2179"/>
  <c r="G2154"/>
  <c r="G2153"/>
  <c r="G2152"/>
  <c r="B2152"/>
  <c r="B2138"/>
  <c r="A2138"/>
  <c r="E2136"/>
  <c r="E2179" s="1"/>
  <c r="E2181" s="1"/>
  <c r="E2200" s="1"/>
  <c r="E2204" s="1"/>
  <c r="E2210" s="1"/>
  <c r="E2216" s="1"/>
  <c r="B2136"/>
  <c r="B2118"/>
  <c r="B2161" s="1"/>
  <c r="B2204" s="1"/>
  <c r="A2118"/>
  <c r="A2251" s="1"/>
  <c r="B2114"/>
  <c r="B2157" s="1"/>
  <c r="B2200" s="1"/>
  <c r="A2114"/>
  <c r="A2245" s="1"/>
  <c r="G2111"/>
  <c r="G2110"/>
  <c r="G2109"/>
  <c r="B2109"/>
  <c r="B2095"/>
  <c r="B2224" s="1"/>
  <c r="A2095"/>
  <c r="A2224" s="1"/>
  <c r="E2093"/>
  <c r="B2093"/>
  <c r="B2075"/>
  <c r="A2075"/>
  <c r="B2071"/>
  <c r="A2071"/>
  <c r="G2068"/>
  <c r="G2067"/>
  <c r="G2066"/>
  <c r="B2066"/>
  <c r="B2052"/>
  <c r="A2052"/>
  <c r="E2050"/>
  <c r="B2050"/>
  <c r="B2032"/>
  <c r="A2032"/>
  <c r="A2024"/>
  <c r="B2004"/>
  <c r="G1999"/>
  <c r="G1998"/>
  <c r="G1997"/>
  <c r="G2026" s="1"/>
  <c r="B1997"/>
  <c r="A1983"/>
  <c r="E1981"/>
  <c r="B1981"/>
  <c r="B1951"/>
  <c r="E1925"/>
  <c r="B1925"/>
  <c r="B1907"/>
  <c r="B1897"/>
  <c r="E1889"/>
  <c r="B1889"/>
  <c r="E1878"/>
  <c r="E1868"/>
  <c r="B1868"/>
  <c r="G1860"/>
  <c r="B1847"/>
  <c r="B1826"/>
  <c r="E1815"/>
  <c r="B1800"/>
  <c r="B1786"/>
  <c r="A1786"/>
  <c r="B1773"/>
  <c r="A1773"/>
  <c r="E1772"/>
  <c r="E1773" s="1"/>
  <c r="E1786" s="1"/>
  <c r="E1790" s="1"/>
  <c r="E1794" s="1"/>
  <c r="B1772"/>
  <c r="B1760"/>
  <c r="A1760"/>
  <c r="B1751"/>
  <c r="A1751"/>
  <c r="E1750"/>
  <c r="E1751" s="1"/>
  <c r="E1760" s="1"/>
  <c r="E1764" s="1"/>
  <c r="E1768" s="1"/>
  <c r="B1750"/>
  <c r="B1738"/>
  <c r="A1738"/>
  <c r="B1726"/>
  <c r="A1726"/>
  <c r="E1725"/>
  <c r="E1726" s="1"/>
  <c r="E1738" s="1"/>
  <c r="E1742" s="1"/>
  <c r="E1746" s="1"/>
  <c r="B1725"/>
  <c r="B1713"/>
  <c r="A1713"/>
  <c r="B1704"/>
  <c r="A1704"/>
  <c r="E1703"/>
  <c r="E1704" s="1"/>
  <c r="E1713" s="1"/>
  <c r="E1717" s="1"/>
  <c r="E1721" s="1"/>
  <c r="B1703"/>
  <c r="B1691"/>
  <c r="A1691"/>
  <c r="B1681"/>
  <c r="A1681"/>
  <c r="E1680"/>
  <c r="E1681" s="1"/>
  <c r="E1691" s="1"/>
  <c r="E1695" s="1"/>
  <c r="E1699" s="1"/>
  <c r="B1680"/>
  <c r="B1668"/>
  <c r="A1668"/>
  <c r="B1659"/>
  <c r="A1659"/>
  <c r="B1658"/>
  <c r="B1646"/>
  <c r="A1646"/>
  <c r="B1637"/>
  <c r="A1637"/>
  <c r="E1636"/>
  <c r="E1637" s="1"/>
  <c r="E1646" s="1"/>
  <c r="E1650" s="1"/>
  <c r="E1654" s="1"/>
  <c r="B1636"/>
  <c r="B1624"/>
  <c r="A1624"/>
  <c r="B1615"/>
  <c r="A1615"/>
  <c r="E1614"/>
  <c r="E1615" s="1"/>
  <c r="E1624" s="1"/>
  <c r="E1628" s="1"/>
  <c r="E1632" s="1"/>
  <c r="B1614"/>
  <c r="B1602"/>
  <c r="A1602"/>
  <c r="B1593"/>
  <c r="A1593"/>
  <c r="E1592"/>
  <c r="E1593" s="1"/>
  <c r="E1602" s="1"/>
  <c r="E1606" s="1"/>
  <c r="E1610" s="1"/>
  <c r="B1592"/>
  <c r="A1580"/>
  <c r="B1571"/>
  <c r="A1571"/>
  <c r="E1570"/>
  <c r="E1571" s="1"/>
  <c r="E1580" s="1"/>
  <c r="E1584" s="1"/>
  <c r="E1588" s="1"/>
  <c r="B1570"/>
  <c r="B1558"/>
  <c r="B1580" s="1"/>
  <c r="A1558"/>
  <c r="B1549"/>
  <c r="A1549"/>
  <c r="E1548"/>
  <c r="E1549" s="1"/>
  <c r="E1558" s="1"/>
  <c r="E1562" s="1"/>
  <c r="E1566" s="1"/>
  <c r="B1548"/>
  <c r="B1536"/>
  <c r="A1536"/>
  <c r="B1527"/>
  <c r="A1527"/>
  <c r="E1526"/>
  <c r="E1527" s="1"/>
  <c r="E1536" s="1"/>
  <c r="E1540" s="1"/>
  <c r="E1544" s="1"/>
  <c r="B1526"/>
  <c r="B1514"/>
  <c r="A1514"/>
  <c r="B1506"/>
  <c r="A1506"/>
  <c r="E1505"/>
  <c r="E1506" s="1"/>
  <c r="E1514" s="1"/>
  <c r="E1518" s="1"/>
  <c r="E1522" s="1"/>
  <c r="B1505"/>
  <c r="B1493"/>
  <c r="A1493"/>
  <c r="B1484"/>
  <c r="A1484"/>
  <c r="E1483"/>
  <c r="E1484" s="1"/>
  <c r="E1493" s="1"/>
  <c r="E1497" s="1"/>
  <c r="E1501" s="1"/>
  <c r="B1483"/>
  <c r="B1471"/>
  <c r="A1471"/>
  <c r="B1462"/>
  <c r="A1462"/>
  <c r="E1461"/>
  <c r="E1462" s="1"/>
  <c r="E1471" s="1"/>
  <c r="E1475" s="1"/>
  <c r="E1479" s="1"/>
  <c r="B1461"/>
  <c r="B1449"/>
  <c r="A1449"/>
  <c r="B1439"/>
  <c r="A1439"/>
  <c r="E1438"/>
  <c r="E1439" s="1"/>
  <c r="E1449" s="1"/>
  <c r="E1453" s="1"/>
  <c r="E1457" s="1"/>
  <c r="B1438"/>
  <c r="B1426"/>
  <c r="A1426"/>
  <c r="T1420"/>
  <c r="Q1420"/>
  <c r="T1419"/>
  <c r="Q1419"/>
  <c r="B1416"/>
  <c r="A1416"/>
  <c r="E1415"/>
  <c r="E1416" s="1"/>
  <c r="E1426" s="1"/>
  <c r="E1430" s="1"/>
  <c r="E1434" s="1"/>
  <c r="B1415"/>
  <c r="B1403"/>
  <c r="A1403"/>
  <c r="T1397"/>
  <c r="Q1397"/>
  <c r="T1396"/>
  <c r="Q1396"/>
  <c r="B1393"/>
  <c r="A1393"/>
  <c r="E1392"/>
  <c r="B1392"/>
  <c r="B1380"/>
  <c r="A1380"/>
  <c r="B1371"/>
  <c r="A1371"/>
  <c r="E1370"/>
  <c r="E1371" s="1"/>
  <c r="B1370"/>
  <c r="B1358"/>
  <c r="A1358"/>
  <c r="B1349"/>
  <c r="A1349"/>
  <c r="E1348"/>
  <c r="E1349" s="1"/>
  <c r="B1348"/>
  <c r="B1336"/>
  <c r="A1336"/>
  <c r="B1327"/>
  <c r="A1327"/>
  <c r="E1326"/>
  <c r="E1327" s="1"/>
  <c r="B1326"/>
  <c r="B1314"/>
  <c r="A1314"/>
  <c r="B1305"/>
  <c r="A1305"/>
  <c r="E1304"/>
  <c r="E1314" s="1"/>
  <c r="E1318" s="1"/>
  <c r="E1322" s="1"/>
  <c r="B1304"/>
  <c r="A1304"/>
  <c r="D1299"/>
  <c r="A1299"/>
  <c r="D1298"/>
  <c r="A1298"/>
  <c r="D1297"/>
  <c r="A1297"/>
  <c r="B1294"/>
  <c r="L1293"/>
  <c r="H1293"/>
  <c r="B1293"/>
  <c r="K1274"/>
  <c r="L1274" s="1"/>
  <c r="K1273"/>
  <c r="L1273" s="1"/>
  <c r="K1272"/>
  <c r="L1272" s="1"/>
  <c r="K1271"/>
  <c r="L1271" s="1"/>
  <c r="K1270"/>
  <c r="L1270" s="1"/>
  <c r="K1269"/>
  <c r="L1269" s="1"/>
  <c r="K1268"/>
  <c r="L1268" s="1"/>
  <c r="K1267"/>
  <c r="L1267" s="1"/>
  <c r="K1266"/>
  <c r="L1266" s="1"/>
  <c r="K1265"/>
  <c r="L1265" s="1"/>
  <c r="K1264"/>
  <c r="L1264" s="1"/>
  <c r="K1263"/>
  <c r="L1263" s="1"/>
  <c r="K1262"/>
  <c r="L1262" s="1"/>
  <c r="K1261"/>
  <c r="L1261" s="1"/>
  <c r="K1260"/>
  <c r="L1260" s="1"/>
  <c r="K1259"/>
  <c r="L1259" s="1"/>
  <c r="K1258"/>
  <c r="L1258" s="1"/>
  <c r="K1257"/>
  <c r="L1257" s="1"/>
  <c r="K1256"/>
  <c r="L1256" s="1"/>
  <c r="K1255"/>
  <c r="L1255" s="1"/>
  <c r="K1254"/>
  <c r="L1254" s="1"/>
  <c r="K1253"/>
  <c r="L1253" s="1"/>
  <c r="K1252"/>
  <c r="L1252" s="1"/>
  <c r="B1252"/>
  <c r="K1251"/>
  <c r="L1251" s="1"/>
  <c r="K1250"/>
  <c r="L1250" s="1"/>
  <c r="K1249"/>
  <c r="L1249" s="1"/>
  <c r="K1248"/>
  <c r="L1248" s="1"/>
  <c r="K1247"/>
  <c r="L1247" s="1"/>
  <c r="K1246"/>
  <c r="L1246" s="1"/>
  <c r="K1245"/>
  <c r="L1245" s="1"/>
  <c r="K1244"/>
  <c r="L1244" s="1"/>
  <c r="K1243"/>
  <c r="L1243" s="1"/>
  <c r="K1242"/>
  <c r="L1242" s="1"/>
  <c r="K1241"/>
  <c r="L1241" s="1"/>
  <c r="J6897" i="18"/>
  <c r="L6897" s="1"/>
  <c r="B1191" i="7"/>
  <c r="B1082"/>
  <c r="B1081"/>
  <c r="B1080"/>
  <c r="B1079"/>
  <c r="B1078"/>
  <c r="B1074"/>
  <c r="B1073"/>
  <c r="B1072"/>
  <c r="I1059"/>
  <c r="K1059" s="1"/>
  <c r="L1059" s="1"/>
  <c r="K1034"/>
  <c r="L1034" s="1"/>
  <c r="G1020"/>
  <c r="E6441" s="1"/>
  <c r="E6453" s="1"/>
  <c r="E6457" s="1"/>
  <c r="E6461" s="1"/>
  <c r="G1015"/>
  <c r="G1016" s="1"/>
  <c r="G1010"/>
  <c r="G1011" s="1"/>
  <c r="G1005"/>
  <c r="G1006" s="1"/>
  <c r="G1000"/>
  <c r="E6287" s="1"/>
  <c r="E6304" s="1"/>
  <c r="E6312" s="1"/>
  <c r="E6320" s="1"/>
  <c r="G995"/>
  <c r="G996" s="1"/>
  <c r="E6251" s="1"/>
  <c r="G990"/>
  <c r="G985"/>
  <c r="E6215" s="1"/>
  <c r="G980"/>
  <c r="G981" s="1"/>
  <c r="G975"/>
  <c r="E6147" s="1"/>
  <c r="E6165" s="1"/>
  <c r="E6173" s="1"/>
  <c r="E6181" s="1"/>
  <c r="G970"/>
  <c r="E6105" s="1"/>
  <c r="E6122" s="1"/>
  <c r="E6130" s="1"/>
  <c r="E6138" s="1"/>
  <c r="G965"/>
  <c r="G960"/>
  <c r="E6020" s="1"/>
  <c r="G955"/>
  <c r="G950"/>
  <c r="E5937" s="1"/>
  <c r="G945"/>
  <c r="G940"/>
  <c r="E5869" s="1"/>
  <c r="E5887" s="1"/>
  <c r="E5895" s="1"/>
  <c r="E5903" s="1"/>
  <c r="G935"/>
  <c r="G936" s="1"/>
  <c r="G930"/>
  <c r="G925"/>
  <c r="G919"/>
  <c r="G920" s="1"/>
  <c r="G914"/>
  <c r="E5006" s="1"/>
  <c r="G908"/>
  <c r="G903"/>
  <c r="G897"/>
  <c r="E5593" s="1"/>
  <c r="E5594" s="1"/>
  <c r="E5602" s="1"/>
  <c r="E5610" s="1"/>
  <c r="G892"/>
  <c r="E5548" s="1"/>
  <c r="E5568" s="1"/>
  <c r="E5576" s="1"/>
  <c r="E5584" s="1"/>
  <c r="Q889"/>
  <c r="K888"/>
  <c r="L888" s="1"/>
  <c r="K887"/>
  <c r="L887" s="1"/>
  <c r="K886"/>
  <c r="L886" s="1"/>
  <c r="K885"/>
  <c r="L885" s="1"/>
  <c r="K884"/>
  <c r="L884" s="1"/>
  <c r="K883"/>
  <c r="L883" s="1"/>
  <c r="K882"/>
  <c r="L882" s="1"/>
  <c r="K881"/>
  <c r="L881" s="1"/>
  <c r="K880"/>
  <c r="L880" s="1"/>
  <c r="Q836"/>
  <c r="G828"/>
  <c r="G819"/>
  <c r="E4663" s="1"/>
  <c r="E4681" s="1"/>
  <c r="E4685" s="1"/>
  <c r="E4689" s="1"/>
  <c r="G814"/>
  <c r="G815" s="1"/>
  <c r="G809"/>
  <c r="G810" s="1"/>
  <c r="G804"/>
  <c r="B803"/>
  <c r="B4640" s="1"/>
  <c r="G799"/>
  <c r="E4542" s="1"/>
  <c r="E4550" s="1"/>
  <c r="E4558" s="1"/>
  <c r="E4566" s="1"/>
  <c r="E4575" s="1"/>
  <c r="E4583" s="1"/>
  <c r="G794"/>
  <c r="G795" s="1"/>
  <c r="G789"/>
  <c r="E4451" s="1"/>
  <c r="E4484" s="1"/>
  <c r="E4492" s="1"/>
  <c r="E4500" s="1"/>
  <c r="G778"/>
  <c r="G773"/>
  <c r="B772"/>
  <c r="B4375" s="1"/>
  <c r="G768"/>
  <c r="G763"/>
  <c r="G758"/>
  <c r="G759" s="1"/>
  <c r="G753"/>
  <c r="G754" s="1"/>
  <c r="G742"/>
  <c r="B741"/>
  <c r="B4174" s="1"/>
  <c r="G737"/>
  <c r="G732"/>
  <c r="B731"/>
  <c r="B4138" s="1"/>
  <c r="G727"/>
  <c r="G722"/>
  <c r="G723" s="1"/>
  <c r="G717"/>
  <c r="G711"/>
  <c r="E4034" s="1"/>
  <c r="G706"/>
  <c r="E3986" s="1"/>
  <c r="E4009" s="1"/>
  <c r="E4017" s="1"/>
  <c r="E4025" s="1"/>
  <c r="G697"/>
  <c r="E3915" s="1"/>
  <c r="E3933" s="1"/>
  <c r="E3937" s="1"/>
  <c r="E3941" s="1"/>
  <c r="G684"/>
  <c r="G679"/>
  <c r="E3760" s="1"/>
  <c r="G674"/>
  <c r="G669"/>
  <c r="E2322" s="1"/>
  <c r="G664"/>
  <c r="E3623" s="1"/>
  <c r="G659"/>
  <c r="E3578" s="1"/>
  <c r="E3594" s="1"/>
  <c r="E3604" s="1"/>
  <c r="E3613" s="1"/>
  <c r="G654"/>
  <c r="E3533" s="1"/>
  <c r="E3553" s="1"/>
  <c r="E3561" s="1"/>
  <c r="E3569" s="1"/>
  <c r="G649"/>
  <c r="G644"/>
  <c r="G645" s="1"/>
  <c r="Q641"/>
  <c r="G639"/>
  <c r="E3433" s="1"/>
  <c r="G636"/>
  <c r="G633"/>
  <c r="G629"/>
  <c r="G626"/>
  <c r="E3321" s="1"/>
  <c r="G623"/>
  <c r="G617"/>
  <c r="E3241" s="1"/>
  <c r="E3262" s="1"/>
  <c r="E3270" s="1"/>
  <c r="E3278" s="1"/>
  <c r="G605"/>
  <c r="G592"/>
  <c r="G579"/>
  <c r="G566"/>
  <c r="G553"/>
  <c r="G540"/>
  <c r="B511"/>
  <c r="B506"/>
  <c r="B2866" i="18" s="1"/>
  <c r="B501" i="7"/>
  <c r="B496"/>
  <c r="B491"/>
  <c r="B486"/>
  <c r="B2728" i="18" s="1"/>
  <c r="B481" i="7"/>
  <c r="G449"/>
  <c r="G448"/>
  <c r="E2276" s="1"/>
  <c r="G443"/>
  <c r="G444" s="1"/>
  <c r="G442"/>
  <c r="G437"/>
  <c r="G438" s="1"/>
  <c r="G436"/>
  <c r="G431"/>
  <c r="G430"/>
  <c r="G425"/>
  <c r="G424"/>
  <c r="E2095" s="1"/>
  <c r="G419"/>
  <c r="E2071" s="1"/>
  <c r="G418"/>
  <c r="E2052" s="1"/>
  <c r="B394"/>
  <c r="B390"/>
  <c r="B386"/>
  <c r="B382"/>
  <c r="Q380"/>
  <c r="G376"/>
  <c r="G377" s="1"/>
  <c r="G371"/>
  <c r="G372" s="1"/>
  <c r="G366"/>
  <c r="G367" s="1"/>
  <c r="G361"/>
  <c r="G362" s="1"/>
  <c r="G356"/>
  <c r="G357" s="1"/>
  <c r="G351"/>
  <c r="G352" s="1"/>
  <c r="G346"/>
  <c r="G347" s="1"/>
  <c r="G341"/>
  <c r="G342" s="1"/>
  <c r="G336"/>
  <c r="G337" s="1"/>
  <c r="G331"/>
  <c r="G332" s="1"/>
  <c r="G326"/>
  <c r="G321"/>
  <c r="G322" s="1"/>
  <c r="E2038" s="1"/>
  <c r="G316"/>
  <c r="G317" s="1"/>
  <c r="G311"/>
  <c r="G306"/>
  <c r="G307" s="1"/>
  <c r="G301"/>
  <c r="G302" s="1"/>
  <c r="G296"/>
  <c r="G297" s="1"/>
  <c r="G291"/>
  <c r="E1393" s="1"/>
  <c r="E1403" s="1"/>
  <c r="E1407" s="1"/>
  <c r="E1411" s="1"/>
  <c r="G286"/>
  <c r="G287" s="1"/>
  <c r="G281"/>
  <c r="G282" s="1"/>
  <c r="G276"/>
  <c r="G277" s="1"/>
  <c r="A275"/>
  <c r="G271"/>
  <c r="Q269"/>
  <c r="D265"/>
  <c r="D264"/>
  <c r="D263"/>
  <c r="B259"/>
  <c r="L258"/>
  <c r="H258"/>
  <c r="B258"/>
  <c r="M252"/>
  <c r="G252"/>
  <c r="M251"/>
  <c r="G251"/>
  <c r="M250"/>
  <c r="G250"/>
  <c r="M249"/>
  <c r="G249"/>
  <c r="M248"/>
  <c r="G248"/>
  <c r="M247"/>
  <c r="G247"/>
  <c r="M246"/>
  <c r="G246"/>
  <c r="A246"/>
  <c r="A247" s="1"/>
  <c r="A248" s="1"/>
  <c r="A249" s="1"/>
  <c r="A250" s="1"/>
  <c r="A251" s="1"/>
  <c r="A252" s="1"/>
  <c r="A253" s="1"/>
  <c r="A254" s="1"/>
  <c r="H245"/>
  <c r="H246" s="1"/>
  <c r="H247" s="1"/>
  <c r="H248" s="1"/>
  <c r="H249" s="1"/>
  <c r="H250" s="1"/>
  <c r="H251" s="1"/>
  <c r="H252" s="1"/>
  <c r="H253" s="1"/>
  <c r="H254" s="1"/>
  <c r="G245"/>
  <c r="Q244"/>
  <c r="M238"/>
  <c r="A229"/>
  <c r="H229" s="1"/>
  <c r="H228"/>
  <c r="G227"/>
  <c r="K2301" s="1"/>
  <c r="DN117" i="4" s="1"/>
  <c r="M226" i="7"/>
  <c r="K2073" s="1"/>
  <c r="G226"/>
  <c r="J5259" s="1"/>
  <c r="M225"/>
  <c r="G225"/>
  <c r="H223"/>
  <c r="H224" s="1"/>
  <c r="H225" s="1"/>
  <c r="Q222"/>
  <c r="B200"/>
  <c r="I199"/>
  <c r="M196"/>
  <c r="K6243" s="1"/>
  <c r="M192"/>
  <c r="J5940" s="1"/>
  <c r="K5940" s="1"/>
  <c r="B190"/>
  <c r="M189"/>
  <c r="G189"/>
  <c r="M188"/>
  <c r="J5252" s="1"/>
  <c r="K5252" s="1"/>
  <c r="G188"/>
  <c r="G187"/>
  <c r="M186"/>
  <c r="M185"/>
  <c r="J5244" s="1"/>
  <c r="K5244" s="1"/>
  <c r="G184"/>
  <c r="G183"/>
  <c r="G182"/>
  <c r="G181"/>
  <c r="G180"/>
  <c r="M179"/>
  <c r="J5101" s="1"/>
  <c r="K5101" s="1"/>
  <c r="G179"/>
  <c r="M178"/>
  <c r="J5100" s="1"/>
  <c r="K5100" s="1"/>
  <c r="M177"/>
  <c r="G177"/>
  <c r="M176"/>
  <c r="G176"/>
  <c r="M174"/>
  <c r="G174"/>
  <c r="G5214" s="1"/>
  <c r="K5214" s="1"/>
  <c r="J5215" s="1"/>
  <c r="K5215" s="1"/>
  <c r="M173"/>
  <c r="H4811" s="1"/>
  <c r="K4812" s="1"/>
  <c r="G173"/>
  <c r="H4794" s="1"/>
  <c r="K4795" s="1"/>
  <c r="M170"/>
  <c r="I169"/>
  <c r="B67" s="1"/>
  <c r="B169"/>
  <c r="B65" s="1"/>
  <c r="I168"/>
  <c r="B168"/>
  <c r="B63" s="1"/>
  <c r="I167"/>
  <c r="B66" s="1"/>
  <c r="B167"/>
  <c r="B62" s="1"/>
  <c r="I166"/>
  <c r="B166"/>
  <c r="B53" s="1"/>
  <c r="I165"/>
  <c r="B165"/>
  <c r="I164"/>
  <c r="B164"/>
  <c r="B61" s="1"/>
  <c r="I163"/>
  <c r="B798" s="1"/>
  <c r="B4541" s="1"/>
  <c r="B163"/>
  <c r="B52" s="1"/>
  <c r="I161"/>
  <c r="B60" s="1"/>
  <c r="B161"/>
  <c r="B158"/>
  <c r="B157"/>
  <c r="I156"/>
  <c r="B156"/>
  <c r="I155"/>
  <c r="B155"/>
  <c r="I154"/>
  <c r="B154"/>
  <c r="I153"/>
  <c r="H153"/>
  <c r="H154" s="1"/>
  <c r="A154" s="1"/>
  <c r="B153"/>
  <c r="I152"/>
  <c r="Q151"/>
  <c r="D149"/>
  <c r="A149"/>
  <c r="A265" s="1"/>
  <c r="D148"/>
  <c r="A148"/>
  <c r="A264" s="1"/>
  <c r="D147"/>
  <c r="A147"/>
  <c r="A263" s="1"/>
  <c r="G145"/>
  <c r="CD361" i="111" s="1"/>
  <c r="S137" i="7"/>
  <c r="N137"/>
  <c r="S136"/>
  <c r="N136"/>
  <c r="S135"/>
  <c r="N135"/>
  <c r="N134"/>
  <c r="H126"/>
  <c r="L125"/>
  <c r="H118"/>
  <c r="H119" s="1"/>
  <c r="J119" s="1"/>
  <c r="J117"/>
  <c r="L117" s="1"/>
  <c r="R108"/>
  <c r="R107"/>
  <c r="R106"/>
  <c r="R105"/>
  <c r="R104"/>
  <c r="I106"/>
  <c r="D104"/>
  <c r="D105" s="1"/>
  <c r="D106" s="1"/>
  <c r="D107" s="1"/>
  <c r="D108" s="1"/>
  <c r="R103"/>
  <c r="I102"/>
  <c r="F102"/>
  <c r="P96"/>
  <c r="F85"/>
  <c r="G85" s="1"/>
  <c r="P76"/>
  <c r="I73"/>
  <c r="P77"/>
  <c r="I71"/>
  <c r="D70"/>
  <c r="P68"/>
  <c r="B58"/>
  <c r="B57"/>
  <c r="B56"/>
  <c r="I56"/>
  <c r="B55"/>
  <c r="I51"/>
  <c r="I38"/>
  <c r="O35"/>
  <c r="J34"/>
  <c r="J41" s="1"/>
  <c r="J33"/>
  <c r="J40" s="1"/>
  <c r="J32"/>
  <c r="J39" s="1"/>
  <c r="J31"/>
  <c r="J38" s="1"/>
  <c r="J30"/>
  <c r="J37" s="1"/>
  <c r="I31"/>
  <c r="J36"/>
  <c r="O28"/>
  <c r="J27"/>
  <c r="J25"/>
  <c r="J26" s="1"/>
  <c r="I26"/>
  <c r="D25"/>
  <c r="D26" s="1"/>
  <c r="B21"/>
  <c r="B20"/>
  <c r="B19"/>
  <c r="I17"/>
  <c r="J16"/>
  <c r="J14"/>
  <c r="J12"/>
  <c r="J22" s="1"/>
  <c r="J23" s="1"/>
  <c r="J11"/>
  <c r="J18" s="1"/>
  <c r="J10"/>
  <c r="J17" s="1"/>
  <c r="J9"/>
  <c r="J15" s="1"/>
  <c r="I18"/>
  <c r="D9"/>
  <c r="D10" s="1"/>
  <c r="D11" s="1"/>
  <c r="D12" s="1"/>
  <c r="A9"/>
  <c r="A10" s="1"/>
  <c r="A11" s="1"/>
  <c r="A12" s="1"/>
  <c r="A13" s="1"/>
  <c r="A14" s="1"/>
  <c r="A15" s="1"/>
  <c r="A16" s="1"/>
  <c r="A17" s="1"/>
  <c r="A18" s="1"/>
  <c r="A19" s="1"/>
  <c r="A20" s="1"/>
  <c r="A21" s="1"/>
  <c r="A22" s="1"/>
  <c r="A23" s="1"/>
  <c r="A24" s="1"/>
  <c r="A25" s="1"/>
  <c r="A26" s="1"/>
  <c r="A27" s="1"/>
  <c r="A28" s="1"/>
  <c r="A35" s="1"/>
  <c r="J374" i="17" l="1"/>
  <c r="B5828" i="18"/>
  <c r="B5779"/>
  <c r="B5836"/>
  <c r="J6926"/>
  <c r="L6926" s="1"/>
  <c r="J6905"/>
  <c r="L6905" s="1"/>
  <c r="J6929"/>
  <c r="L6929" s="1"/>
  <c r="J6907"/>
  <c r="L6907" s="1"/>
  <c r="J6930"/>
  <c r="L6930" s="1"/>
  <c r="B1193" i="7"/>
  <c r="J6908" i="18"/>
  <c r="L6908" s="1"/>
  <c r="J6919"/>
  <c r="L6919" s="1"/>
  <c r="J6931"/>
  <c r="L6931" s="1"/>
  <c r="J6898"/>
  <c r="L6898" s="1"/>
  <c r="J5689"/>
  <c r="L5689" s="1"/>
  <c r="J6899"/>
  <c r="L6899" s="1"/>
  <c r="J6910"/>
  <c r="L6910" s="1"/>
  <c r="J6922"/>
  <c r="L6922" s="1"/>
  <c r="J6927"/>
  <c r="L6927" s="1"/>
  <c r="J6917"/>
  <c r="L6917" s="1"/>
  <c r="B6909"/>
  <c r="J6909"/>
  <c r="L6909" s="1"/>
  <c r="J6900"/>
  <c r="L6900" s="1"/>
  <c r="J6911"/>
  <c r="L6911" s="1"/>
  <c r="J6923"/>
  <c r="L6923" s="1"/>
  <c r="J6914"/>
  <c r="L6914" s="1"/>
  <c r="J6904"/>
  <c r="L6904" s="1"/>
  <c r="J6928"/>
  <c r="L6928" s="1"/>
  <c r="J6921"/>
  <c r="L6921" s="1"/>
  <c r="J6901"/>
  <c r="L6901" s="1"/>
  <c r="J6912"/>
  <c r="L6912" s="1"/>
  <c r="J6924"/>
  <c r="L6924" s="1"/>
  <c r="J6903"/>
  <c r="L6903" s="1"/>
  <c r="J6915"/>
  <c r="L6915" s="1"/>
  <c r="J6916"/>
  <c r="L6916" s="1"/>
  <c r="J6920"/>
  <c r="L6920" s="1"/>
  <c r="J5510"/>
  <c r="L5510" s="1"/>
  <c r="J6902"/>
  <c r="L6902" s="1"/>
  <c r="J6913"/>
  <c r="L6913" s="1"/>
  <c r="J6925"/>
  <c r="L6925" s="1"/>
  <c r="I352" i="44"/>
  <c r="K352" s="1"/>
  <c r="L352" s="1"/>
  <c r="H4936" i="18"/>
  <c r="B5268"/>
  <c r="B3169"/>
  <c r="B5267"/>
  <c r="B3168"/>
  <c r="G340" i="17"/>
  <c r="G399"/>
  <c r="G445" s="1"/>
  <c r="G517" s="1"/>
  <c r="G500"/>
  <c r="J500" s="1"/>
  <c r="H3166" i="18"/>
  <c r="E5267"/>
  <c r="H5267" s="1"/>
  <c r="H3026"/>
  <c r="E5268"/>
  <c r="H5268" s="1"/>
  <c r="E4599" i="7"/>
  <c r="E4591"/>
  <c r="I4480"/>
  <c r="P4226"/>
  <c r="J4246"/>
  <c r="K4246" s="1"/>
  <c r="I4247" s="1"/>
  <c r="H2698"/>
  <c r="H2699" s="1"/>
  <c r="H2718" s="1"/>
  <c r="H2719" s="1"/>
  <c r="H2728" s="1"/>
  <c r="H2736" s="1"/>
  <c r="D71"/>
  <c r="D72"/>
  <c r="D73" s="1"/>
  <c r="D74" s="1"/>
  <c r="D75" s="1"/>
  <c r="D76" s="1"/>
  <c r="D77" s="1"/>
  <c r="D78" s="1"/>
  <c r="D80" s="1"/>
  <c r="D81" s="1"/>
  <c r="D82" s="1"/>
  <c r="K5537"/>
  <c r="K5538" s="1"/>
  <c r="G83"/>
  <c r="X83" s="1"/>
  <c r="G34"/>
  <c r="G8"/>
  <c r="X8" s="1"/>
  <c r="G102"/>
  <c r="U102" s="1"/>
  <c r="G36"/>
  <c r="N36" s="1"/>
  <c r="U36" s="1"/>
  <c r="V313" i="37"/>
  <c r="W313" s="1"/>
  <c r="Y313" s="1"/>
  <c r="V159"/>
  <c r="W159" s="1"/>
  <c r="Y159" s="1"/>
  <c r="I495" i="44"/>
  <c r="K495" s="1"/>
  <c r="L495" s="1"/>
  <c r="U177" i="37"/>
  <c r="V177" s="1"/>
  <c r="W177" s="1"/>
  <c r="Y177" s="1"/>
  <c r="I530" i="44"/>
  <c r="K530" s="1"/>
  <c r="L530" s="1"/>
  <c r="I488"/>
  <c r="K488" s="1"/>
  <c r="L488" s="1"/>
  <c r="K2609"/>
  <c r="K2612" s="1"/>
  <c r="K2757"/>
  <c r="K2759" s="1"/>
  <c r="I534" s="1"/>
  <c r="K534" s="1"/>
  <c r="L534" s="1"/>
  <c r="I361"/>
  <c r="K361" s="1"/>
  <c r="L361" s="1"/>
  <c r="K2020"/>
  <c r="K4138"/>
  <c r="I702" s="1"/>
  <c r="K702" s="1"/>
  <c r="L702" s="1"/>
  <c r="I507"/>
  <c r="K507" s="1"/>
  <c r="L507" s="1"/>
  <c r="I340"/>
  <c r="K340" s="1"/>
  <c r="L340" s="1"/>
  <c r="I363"/>
  <c r="K363" s="1"/>
  <c r="L363" s="1"/>
  <c r="F43" i="11"/>
  <c r="F46" s="1"/>
  <c r="M30"/>
  <c r="M5"/>
  <c r="I13"/>
  <c r="M13" s="1"/>
  <c r="L19"/>
  <c r="M19" s="1"/>
  <c r="M34"/>
  <c r="J300" i="17"/>
  <c r="J302" s="1"/>
  <c r="J303" s="1"/>
  <c r="I265"/>
  <c r="I266" s="1"/>
  <c r="I267" s="1"/>
  <c r="I268" s="1"/>
  <c r="I269" s="1"/>
  <c r="I270" s="1"/>
  <c r="I275" s="1"/>
  <c r="I276" s="1"/>
  <c r="J276" s="1"/>
  <c r="U5" i="37"/>
  <c r="U6" s="1"/>
  <c r="V6" s="1"/>
  <c r="W6" s="1"/>
  <c r="Y6" s="1"/>
  <c r="V369"/>
  <c r="W369" s="1"/>
  <c r="Y369" s="1"/>
  <c r="K4801" i="44"/>
  <c r="I853" s="1"/>
  <c r="K853" s="1"/>
  <c r="L853" s="1"/>
  <c r="K2531"/>
  <c r="K2533" s="1"/>
  <c r="I486" s="1"/>
  <c r="K486" s="1"/>
  <c r="L486" s="1"/>
  <c r="K1414"/>
  <c r="K1416" s="1"/>
  <c r="I331" s="1"/>
  <c r="K331" s="1"/>
  <c r="L331" s="1"/>
  <c r="I330"/>
  <c r="K330" s="1"/>
  <c r="L330" s="1"/>
  <c r="I15" i="11"/>
  <c r="J158" i="17"/>
  <c r="B332"/>
  <c r="B357" s="1"/>
  <c r="B376" s="1"/>
  <c r="J376"/>
  <c r="M38" i="11"/>
  <c r="V97" i="37"/>
  <c r="W97" s="1"/>
  <c r="Y97" s="1"/>
  <c r="M14" i="11"/>
  <c r="U192" i="37"/>
  <c r="V192" s="1"/>
  <c r="W192" s="1"/>
  <c r="Y192" s="1"/>
  <c r="T195" i="44"/>
  <c r="G195" s="1"/>
  <c r="K2765"/>
  <c r="K2767" s="1"/>
  <c r="K2769" s="1"/>
  <c r="I537" s="1"/>
  <c r="K537" s="1"/>
  <c r="L537" s="1"/>
  <c r="M27" i="11"/>
  <c r="V199" i="37"/>
  <c r="W199" s="1"/>
  <c r="Y199" s="1"/>
  <c r="K1444" i="44"/>
  <c r="K1446" s="1"/>
  <c r="K1438"/>
  <c r="K1440" s="1"/>
  <c r="I335" s="1"/>
  <c r="K335" s="1"/>
  <c r="L335" s="1"/>
  <c r="I334"/>
  <c r="K334" s="1"/>
  <c r="L334" s="1"/>
  <c r="M6" i="11"/>
  <c r="L20"/>
  <c r="M20" s="1"/>
  <c r="L28"/>
  <c r="M28" s="1"/>
  <c r="L31"/>
  <c r="M31" s="1"/>
  <c r="J43" i="17"/>
  <c r="J420"/>
  <c r="I7" i="11"/>
  <c r="M7" s="1"/>
  <c r="F12" i="17"/>
  <c r="B328"/>
  <c r="B353" s="1"/>
  <c r="B372" s="1"/>
  <c r="T224" i="7"/>
  <c r="G224" s="1"/>
  <c r="J3292" s="1"/>
  <c r="K3292" s="1"/>
  <c r="V134" i="37"/>
  <c r="W134" s="1"/>
  <c r="Y134" s="1"/>
  <c r="U188"/>
  <c r="V188" s="1"/>
  <c r="W188" s="1"/>
  <c r="Y188" s="1"/>
  <c r="M33" i="11"/>
  <c r="M41"/>
  <c r="D9" i="61"/>
  <c r="L103" i="7"/>
  <c r="G830"/>
  <c r="G832" s="1"/>
  <c r="G4696"/>
  <c r="G4750"/>
  <c r="GQ95" i="6"/>
  <c r="H194" i="17"/>
  <c r="H195" s="1"/>
  <c r="F1170" i="18"/>
  <c r="G1179"/>
  <c r="G3028" s="1"/>
  <c r="I399" i="17"/>
  <c r="I445" s="1"/>
  <c r="I544" s="1"/>
  <c r="I570" s="1"/>
  <c r="JA114" i="6"/>
  <c r="I229" i="17"/>
  <c r="I321" s="1"/>
  <c r="I385"/>
  <c r="I432" s="1"/>
  <c r="I433" s="1"/>
  <c r="I434" s="1"/>
  <c r="I435" s="1"/>
  <c r="I439" s="1"/>
  <c r="I440" s="1"/>
  <c r="J440" s="1"/>
  <c r="H1195" i="18"/>
  <c r="F9"/>
  <c r="F12" s="1"/>
  <c r="H1234"/>
  <c r="B2695"/>
  <c r="H2967"/>
  <c r="F2988"/>
  <c r="H2988" s="1"/>
  <c r="H2966"/>
  <c r="F2987"/>
  <c r="H2987" s="1"/>
  <c r="H2965"/>
  <c r="F2986"/>
  <c r="H2986" s="1"/>
  <c r="E6003" i="7"/>
  <c r="E6231"/>
  <c r="G966"/>
  <c r="G967" s="1"/>
  <c r="E6046"/>
  <c r="G956"/>
  <c r="G957" s="1"/>
  <c r="E5960"/>
  <c r="G312"/>
  <c r="G313" s="1"/>
  <c r="E2016"/>
  <c r="G685"/>
  <c r="G686" s="1"/>
  <c r="E3751"/>
  <c r="G327"/>
  <c r="G328" s="1"/>
  <c r="E2044"/>
  <c r="E4175"/>
  <c r="E4183" s="1"/>
  <c r="E4187" s="1"/>
  <c r="E4191" s="1"/>
  <c r="E3843"/>
  <c r="E3714"/>
  <c r="E3659"/>
  <c r="E4098"/>
  <c r="E3507"/>
  <c r="E3498"/>
  <c r="G937"/>
  <c r="G997"/>
  <c r="G1017"/>
  <c r="G1012"/>
  <c r="G1007"/>
  <c r="G921"/>
  <c r="G982"/>
  <c r="J4201"/>
  <c r="K4201" s="1"/>
  <c r="J4435"/>
  <c r="K4435" s="1"/>
  <c r="J4087"/>
  <c r="K4087" s="1"/>
  <c r="E3197"/>
  <c r="E3206" s="1"/>
  <c r="E3217" s="1"/>
  <c r="E3228" s="1"/>
  <c r="G606"/>
  <c r="G593"/>
  <c r="E3111"/>
  <c r="E3120" s="1"/>
  <c r="E3131" s="1"/>
  <c r="E3142" s="1"/>
  <c r="G580"/>
  <c r="G567"/>
  <c r="E3025"/>
  <c r="E3034" s="1"/>
  <c r="E3045" s="1"/>
  <c r="E3056" s="1"/>
  <c r="G554"/>
  <c r="E2982"/>
  <c r="E2991" s="1"/>
  <c r="E3002" s="1"/>
  <c r="E3013" s="1"/>
  <c r="G541"/>
  <c r="E2939"/>
  <c r="G528"/>
  <c r="E4094"/>
  <c r="G724"/>
  <c r="G760"/>
  <c r="G816"/>
  <c r="E3490"/>
  <c r="G646"/>
  <c r="E4068"/>
  <c r="E4058"/>
  <c r="G755"/>
  <c r="E4476" s="1"/>
  <c r="G796"/>
  <c r="G811"/>
  <c r="G779"/>
  <c r="E3864"/>
  <c r="G432"/>
  <c r="E2124"/>
  <c r="G445"/>
  <c r="E2114"/>
  <c r="E2081"/>
  <c r="G439"/>
  <c r="E2299"/>
  <c r="G451"/>
  <c r="G333"/>
  <c r="G353"/>
  <c r="G373"/>
  <c r="G272"/>
  <c r="G273" s="1"/>
  <c r="G288"/>
  <c r="G308"/>
  <c r="E2010"/>
  <c r="G348"/>
  <c r="G368"/>
  <c r="CD361" i="101"/>
  <c r="FD170" i="100"/>
  <c r="FC172" i="99"/>
  <c r="G283" i="7"/>
  <c r="E2004"/>
  <c r="G303"/>
  <c r="G323"/>
  <c r="G343"/>
  <c r="G363"/>
  <c r="G278"/>
  <c r="G298"/>
  <c r="E2032"/>
  <c r="G318"/>
  <c r="G338"/>
  <c r="G358"/>
  <c r="G378"/>
  <c r="D5" i="35"/>
  <c r="D25" s="1"/>
  <c r="A5"/>
  <c r="A25" s="1"/>
  <c r="D4"/>
  <c r="D24" s="1"/>
  <c r="A3"/>
  <c r="A23" s="1"/>
  <c r="A4"/>
  <c r="A24" s="1"/>
  <c r="A42" i="7"/>
  <c r="A43" s="1"/>
  <c r="A44" s="1"/>
  <c r="A45" s="1"/>
  <c r="A46" s="1"/>
  <c r="A47" s="1"/>
  <c r="A48" s="1"/>
  <c r="A49" s="1"/>
  <c r="A50" s="1"/>
  <c r="A51" s="1"/>
  <c r="A52" s="1"/>
  <c r="A69"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L65"/>
  <c r="O65" s="1"/>
  <c r="G764"/>
  <c r="E4196"/>
  <c r="E4204" s="1"/>
  <c r="E4208" s="1"/>
  <c r="E4212" s="1"/>
  <c r="E3872"/>
  <c r="E3945"/>
  <c r="G946"/>
  <c r="E4430"/>
  <c r="E4438" s="1"/>
  <c r="E4442" s="1"/>
  <c r="E4446" s="1"/>
  <c r="I23"/>
  <c r="K23" s="1"/>
  <c r="I11"/>
  <c r="X11" s="1"/>
  <c r="G498" i="17"/>
  <c r="J498" s="1"/>
  <c r="N59" i="7"/>
  <c r="F96"/>
  <c r="H2301" i="18"/>
  <c r="F2302"/>
  <c r="G2730"/>
  <c r="G2731" s="1"/>
  <c r="J5514" i="7"/>
  <c r="K5514" s="1"/>
  <c r="K5516" s="1"/>
  <c r="J5533"/>
  <c r="K5533" s="1"/>
  <c r="K5535" s="1"/>
  <c r="K5523"/>
  <c r="K5540"/>
  <c r="N71"/>
  <c r="U71" s="1"/>
  <c r="J5455"/>
  <c r="K5455" s="1"/>
  <c r="J5495"/>
  <c r="K5495" s="1"/>
  <c r="J5475"/>
  <c r="K5475" s="1"/>
  <c r="J5494"/>
  <c r="K5494" s="1"/>
  <c r="J5474"/>
  <c r="K5474" s="1"/>
  <c r="J5459"/>
  <c r="K5459" s="1"/>
  <c r="J5499"/>
  <c r="K36"/>
  <c r="N62"/>
  <c r="N63"/>
  <c r="J5439"/>
  <c r="K5439" s="1"/>
  <c r="J5479"/>
  <c r="K5479" s="1"/>
  <c r="G4919"/>
  <c r="G4920" s="1"/>
  <c r="G4921" s="1"/>
  <c r="G5094"/>
  <c r="G5095" s="1"/>
  <c r="G5096" s="1"/>
  <c r="G5315"/>
  <c r="G5316" s="1"/>
  <c r="G5317" s="1"/>
  <c r="J5434"/>
  <c r="K5434" s="1"/>
  <c r="J5454"/>
  <c r="K5454" s="1"/>
  <c r="L2916"/>
  <c r="L2917" s="1"/>
  <c r="F79"/>
  <c r="J5435"/>
  <c r="K5435" s="1"/>
  <c r="G5367"/>
  <c r="G5368" s="1"/>
  <c r="G5369" s="1"/>
  <c r="G5393"/>
  <c r="G5394" s="1"/>
  <c r="G5395" s="1"/>
  <c r="J3305"/>
  <c r="J3306" s="1"/>
  <c r="J3307" s="1"/>
  <c r="D3309" s="1"/>
  <c r="J3355"/>
  <c r="J3356" s="1"/>
  <c r="J3357" s="1"/>
  <c r="D3359" s="1"/>
  <c r="J3417"/>
  <c r="J3418" s="1"/>
  <c r="J3419" s="1"/>
  <c r="D3421" s="1"/>
  <c r="AV561" i="4"/>
  <c r="AV562" s="1"/>
  <c r="H45" i="13"/>
  <c r="H4368" i="18"/>
  <c r="H4369" s="1"/>
  <c r="J69" i="23"/>
  <c r="J73" s="1"/>
  <c r="J76" s="1"/>
  <c r="H570" i="4"/>
  <c r="B1815" i="7"/>
  <c r="G208" i="4"/>
  <c r="G17" i="12"/>
  <c r="I17" s="1"/>
  <c r="G11" i="63"/>
  <c r="DN118" i="4"/>
  <c r="DO118" s="1"/>
  <c r="DO117"/>
  <c r="B1878" i="7"/>
  <c r="G205" i="4"/>
  <c r="G618" i="7"/>
  <c r="G769"/>
  <c r="G770" s="1"/>
  <c r="G4951"/>
  <c r="D4944" s="1"/>
  <c r="G5063"/>
  <c r="G5064" s="1"/>
  <c r="G5065" s="1"/>
  <c r="B1857"/>
  <c r="DN447" i="4"/>
  <c r="DO447" s="1"/>
  <c r="DN83"/>
  <c r="DN84"/>
  <c r="K396"/>
  <c r="L396" s="1"/>
  <c r="L561" s="1"/>
  <c r="L562" s="1"/>
  <c r="G400"/>
  <c r="H400" s="1"/>
  <c r="J21" i="7"/>
  <c r="G4984"/>
  <c r="D4978" s="1"/>
  <c r="G5341"/>
  <c r="G5342" s="1"/>
  <c r="G5343" s="1"/>
  <c r="A1326"/>
  <c r="B1836"/>
  <c r="DN423" i="4"/>
  <c r="DO423" s="1"/>
  <c r="J46" i="7"/>
  <c r="U1397"/>
  <c r="U1419"/>
  <c r="J3443"/>
  <c r="J3444" s="1"/>
  <c r="J3445" s="1"/>
  <c r="D3447" s="1"/>
  <c r="G5013"/>
  <c r="D5007" s="1"/>
  <c r="DN518" i="4"/>
  <c r="DO518" s="1"/>
  <c r="DN524"/>
  <c r="DO524" s="1"/>
  <c r="DN530"/>
  <c r="DO530" s="1"/>
  <c r="DN494"/>
  <c r="DO494" s="1"/>
  <c r="DN512"/>
  <c r="DO512" s="1"/>
  <c r="DN506"/>
  <c r="DO506" s="1"/>
  <c r="DN500"/>
  <c r="DO500" s="1"/>
  <c r="DN543"/>
  <c r="DO543" s="1"/>
  <c r="DN540"/>
  <c r="DO540" s="1"/>
  <c r="DN541"/>
  <c r="DO541" s="1"/>
  <c r="DN538"/>
  <c r="DO538" s="1"/>
  <c r="DN539"/>
  <c r="DO539" s="1"/>
  <c r="DN542"/>
  <c r="DO542" s="1"/>
  <c r="DN537"/>
  <c r="DO537" s="1"/>
  <c r="DN469"/>
  <c r="DO469" s="1"/>
  <c r="DN451"/>
  <c r="DO451" s="1"/>
  <c r="DN463"/>
  <c r="DO463" s="1"/>
  <c r="DN457"/>
  <c r="DO457" s="1"/>
  <c r="DN445"/>
  <c r="DO445" s="1"/>
  <c r="DN481"/>
  <c r="DO481" s="1"/>
  <c r="DN475"/>
  <c r="DO475" s="1"/>
  <c r="DN478"/>
  <c r="DO478" s="1"/>
  <c r="DN448"/>
  <c r="DO448" s="1"/>
  <c r="DN521"/>
  <c r="DO521" s="1"/>
  <c r="DN497"/>
  <c r="DO497" s="1"/>
  <c r="DN526"/>
  <c r="DO526" s="1"/>
  <c r="DN532"/>
  <c r="DO532" s="1"/>
  <c r="DN496"/>
  <c r="DO496" s="1"/>
  <c r="DN508"/>
  <c r="DO508" s="1"/>
  <c r="DN520"/>
  <c r="DO520" s="1"/>
  <c r="DN482"/>
  <c r="DO482" s="1"/>
  <c r="DN476"/>
  <c r="DO476" s="1"/>
  <c r="DN470"/>
  <c r="DO470" s="1"/>
  <c r="DN464"/>
  <c r="DO464" s="1"/>
  <c r="DN452"/>
  <c r="DO452" s="1"/>
  <c r="DN458"/>
  <c r="DO458" s="1"/>
  <c r="CS242"/>
  <c r="CS240"/>
  <c r="CV240" s="1"/>
  <c r="CV239"/>
  <c r="J6918" i="18"/>
  <c r="L6918" s="1"/>
  <c r="J6906"/>
  <c r="L6906" s="1"/>
  <c r="I21" i="7"/>
  <c r="I12"/>
  <c r="K12" s="1"/>
  <c r="P78"/>
  <c r="J4555" i="18"/>
  <c r="L4555" s="1"/>
  <c r="J4559"/>
  <c r="L4559" s="1"/>
  <c r="A223" i="7"/>
  <c r="I70"/>
  <c r="K70" s="1"/>
  <c r="I104"/>
  <c r="K104" s="1"/>
  <c r="L104" s="1"/>
  <c r="B802" i="18"/>
  <c r="B2833"/>
  <c r="B5844"/>
  <c r="B5787"/>
  <c r="K45" i="27"/>
  <c r="J4554" i="18"/>
  <c r="L4554" s="1"/>
  <c r="J4558"/>
  <c r="L4558" s="1"/>
  <c r="J4562"/>
  <c r="L4562" s="1"/>
  <c r="I15" i="7"/>
  <c r="K15" s="1"/>
  <c r="K17"/>
  <c r="J2354" s="1"/>
  <c r="K2354" s="1"/>
  <c r="B54"/>
  <c r="A153"/>
  <c r="A230"/>
  <c r="A231" s="1"/>
  <c r="H231" s="1"/>
  <c r="G1024"/>
  <c r="B2245"/>
  <c r="B2800" i="18"/>
  <c r="B5852"/>
  <c r="B5820"/>
  <c r="B5795"/>
  <c r="J4557"/>
  <c r="L4557" s="1"/>
  <c r="J4561"/>
  <c r="L4561" s="1"/>
  <c r="G18" i="12"/>
  <c r="I55" i="7"/>
  <c r="K55" s="1"/>
  <c r="B777" i="18"/>
  <c r="B827"/>
  <c r="B2767"/>
  <c r="B2899"/>
  <c r="B6570"/>
  <c r="DO570" i="4"/>
  <c r="G70" i="9"/>
  <c r="E6970" i="18"/>
  <c r="H41" i="12"/>
  <c r="GQ170" i="6"/>
  <c r="J4556" i="18"/>
  <c r="L4556" s="1"/>
  <c r="J4560"/>
  <c r="L4560" s="1"/>
  <c r="K5425" i="7"/>
  <c r="I105"/>
  <c r="K105" s="1"/>
  <c r="L105" s="1"/>
  <c r="B752" i="18"/>
  <c r="A47"/>
  <c r="K1725" i="44"/>
  <c r="K1727" s="1"/>
  <c r="I372" s="1"/>
  <c r="K372" s="1"/>
  <c r="L372" s="1"/>
  <c r="K1985"/>
  <c r="K1990"/>
  <c r="K1994" s="1"/>
  <c r="K2000"/>
  <c r="G2040"/>
  <c r="K2040" s="1"/>
  <c r="G2050"/>
  <c r="K2050" s="1"/>
  <c r="K1981"/>
  <c r="G2030"/>
  <c r="K2030" s="1"/>
  <c r="K1822"/>
  <c r="K1824" s="1"/>
  <c r="I381" s="1"/>
  <c r="K381" s="1"/>
  <c r="L381" s="1"/>
  <c r="I78" i="17"/>
  <c r="J78" s="1"/>
  <c r="G486"/>
  <c r="G488"/>
  <c r="I72" i="7"/>
  <c r="I53"/>
  <c r="I54"/>
  <c r="K54" s="1"/>
  <c r="K51"/>
  <c r="J2063" i="44"/>
  <c r="K2063" s="1"/>
  <c r="K2065" s="1"/>
  <c r="K2071" s="1"/>
  <c r="K2076" s="1"/>
  <c r="K2077" s="1"/>
  <c r="N49"/>
  <c r="U49" s="1"/>
  <c r="X49"/>
  <c r="L49"/>
  <c r="O49" s="1"/>
  <c r="K1476"/>
  <c r="K1478" s="1"/>
  <c r="I342" s="1"/>
  <c r="K342" s="1"/>
  <c r="L342" s="1"/>
  <c r="I341"/>
  <c r="K341" s="1"/>
  <c r="L341" s="1"/>
  <c r="K2604"/>
  <c r="K2606" s="1"/>
  <c r="I499" s="1"/>
  <c r="K499" s="1"/>
  <c r="L499" s="1"/>
  <c r="I498"/>
  <c r="K498" s="1"/>
  <c r="L498" s="1"/>
  <c r="I4807"/>
  <c r="K4803"/>
  <c r="A154"/>
  <c r="H155"/>
  <c r="I4575"/>
  <c r="I756"/>
  <c r="K756" s="1"/>
  <c r="L756" s="1"/>
  <c r="K4689"/>
  <c r="I4705"/>
  <c r="K2775"/>
  <c r="K2782"/>
  <c r="K2785" s="1"/>
  <c r="AA1255"/>
  <c r="I305"/>
  <c r="K305" s="1"/>
  <c r="L305" s="1"/>
  <c r="K1796"/>
  <c r="I378"/>
  <c r="K378" s="1"/>
  <c r="L378" s="1"/>
  <c r="I257"/>
  <c r="K257" s="1"/>
  <c r="L257" s="1"/>
  <c r="AA1023"/>
  <c r="K1532"/>
  <c r="K1534" s="1"/>
  <c r="I350" s="1"/>
  <c r="K350" s="1"/>
  <c r="L350" s="1"/>
  <c r="I349"/>
  <c r="K349" s="1"/>
  <c r="L349" s="1"/>
  <c r="I4719"/>
  <c r="K4703"/>
  <c r="I4585"/>
  <c r="K4569"/>
  <c r="J4995"/>
  <c r="K4995" s="1"/>
  <c r="K4996" s="1"/>
  <c r="I876" s="1"/>
  <c r="K876" s="1"/>
  <c r="L876" s="1"/>
  <c r="O102"/>
  <c r="A206"/>
  <c r="H205"/>
  <c r="K1588"/>
  <c r="K1590" s="1"/>
  <c r="I358" s="1"/>
  <c r="K358" s="1"/>
  <c r="L358" s="1"/>
  <c r="I357"/>
  <c r="K357" s="1"/>
  <c r="L357" s="1"/>
  <c r="I4612"/>
  <c r="K4596"/>
  <c r="A1024"/>
  <c r="A261"/>
  <c r="H73"/>
  <c r="I72"/>
  <c r="K1504"/>
  <c r="K1506" s="1"/>
  <c r="I346" s="1"/>
  <c r="K346" s="1"/>
  <c r="L346" s="1"/>
  <c r="I345"/>
  <c r="K345" s="1"/>
  <c r="L345" s="1"/>
  <c r="K4566"/>
  <c r="K4568" s="1"/>
  <c r="I759" s="1"/>
  <c r="K759" s="1"/>
  <c r="L759" s="1"/>
  <c r="I4582"/>
  <c r="K1632"/>
  <c r="K1634" s="1"/>
  <c r="I365" s="1"/>
  <c r="K365" s="1"/>
  <c r="L365" s="1"/>
  <c r="K1630"/>
  <c r="I364" s="1"/>
  <c r="K364" s="1"/>
  <c r="L364" s="1"/>
  <c r="X63"/>
  <c r="K63"/>
  <c r="L63" s="1"/>
  <c r="O63" s="1"/>
  <c r="I4599"/>
  <c r="K4583"/>
  <c r="K4572"/>
  <c r="I4588"/>
  <c r="K1757"/>
  <c r="K1759" s="1"/>
  <c r="K1761" s="1"/>
  <c r="I374"/>
  <c r="K374" s="1"/>
  <c r="L374" s="1"/>
  <c r="K71"/>
  <c r="L71" s="1"/>
  <c r="O71" s="1"/>
  <c r="X71"/>
  <c r="I4695"/>
  <c r="I805"/>
  <c r="K805" s="1"/>
  <c r="L805" s="1"/>
  <c r="K1560"/>
  <c r="K1562" s="1"/>
  <c r="I354" s="1"/>
  <c r="K354" s="1"/>
  <c r="L354" s="1"/>
  <c r="I353"/>
  <c r="K353" s="1"/>
  <c r="L353" s="1"/>
  <c r="I4706"/>
  <c r="I4693"/>
  <c r="K4690"/>
  <c r="K4915"/>
  <c r="K4916" s="1"/>
  <c r="I869" s="1"/>
  <c r="K869" s="1"/>
  <c r="L869" s="1"/>
  <c r="K4692"/>
  <c r="I4708"/>
  <c r="J5000"/>
  <c r="K5000" s="1"/>
  <c r="K5001" s="1"/>
  <c r="I877" s="1"/>
  <c r="K877" s="1"/>
  <c r="L877" s="1"/>
  <c r="O103"/>
  <c r="K4804"/>
  <c r="I4808"/>
  <c r="I4732"/>
  <c r="K4716"/>
  <c r="I4702"/>
  <c r="K4686"/>
  <c r="K4688" s="1"/>
  <c r="I808" s="1"/>
  <c r="K808" s="1"/>
  <c r="L808" s="1"/>
  <c r="I4699"/>
  <c r="K4683"/>
  <c r="K4685" s="1"/>
  <c r="I807" s="1"/>
  <c r="K807" s="1"/>
  <c r="L807" s="1"/>
  <c r="I4595"/>
  <c r="K4579"/>
  <c r="K4581" s="1"/>
  <c r="I764" s="1"/>
  <c r="K764" s="1"/>
  <c r="L764" s="1"/>
  <c r="I4573"/>
  <c r="I4586"/>
  <c r="K4570"/>
  <c r="K36" i="9"/>
  <c r="C47"/>
  <c r="G15"/>
  <c r="G31" s="1"/>
  <c r="J373" i="17"/>
  <c r="E3208" i="18"/>
  <c r="E3210" s="1"/>
  <c r="E3022"/>
  <c r="H4869" s="1"/>
  <c r="FP108" i="6"/>
  <c r="I40" i="17" s="1"/>
  <c r="I41" s="1"/>
  <c r="J41" s="1"/>
  <c r="I84"/>
  <c r="I85" s="1"/>
  <c r="I129" s="1"/>
  <c r="I227"/>
  <c r="I320" s="1"/>
  <c r="E1563" i="18"/>
  <c r="E2738" s="1"/>
  <c r="H2738" s="1"/>
  <c r="F1366"/>
  <c r="F1367" s="1"/>
  <c r="F1368" s="1"/>
  <c r="H1368" s="1"/>
  <c r="E1414"/>
  <c r="E2731" s="1"/>
  <c r="E2734" s="1"/>
  <c r="E2735" s="1"/>
  <c r="H2735" s="1"/>
  <c r="J115" i="17"/>
  <c r="FD32" i="6"/>
  <c r="G3022" i="18" s="1"/>
  <c r="G3023" s="1"/>
  <c r="G1170"/>
  <c r="G1171" s="1"/>
  <c r="G3019"/>
  <c r="H3019" s="1"/>
  <c r="H768"/>
  <c r="H785"/>
  <c r="H801"/>
  <c r="H818"/>
  <c r="H4641"/>
  <c r="H4674"/>
  <c r="H4708"/>
  <c r="H4741"/>
  <c r="H4775"/>
  <c r="H4808"/>
  <c r="H4841"/>
  <c r="H5272"/>
  <c r="H4345"/>
  <c r="H930"/>
  <c r="H963"/>
  <c r="H996"/>
  <c r="H1280"/>
  <c r="H1312"/>
  <c r="H1328"/>
  <c r="H3318"/>
  <c r="H3351"/>
  <c r="H3383"/>
  <c r="H1997"/>
  <c r="H2030"/>
  <c r="H3108"/>
  <c r="H3141"/>
  <c r="H5104"/>
  <c r="J377" i="17"/>
  <c r="J251"/>
  <c r="J378"/>
  <c r="J116"/>
  <c r="J372"/>
  <c r="J371"/>
  <c r="J370"/>
  <c r="H311"/>
  <c r="H437" s="1"/>
  <c r="H469"/>
  <c r="H310"/>
  <c r="J419"/>
  <c r="J479"/>
  <c r="H326"/>
  <c r="H351" s="1"/>
  <c r="G508" s="1"/>
  <c r="J262"/>
  <c r="J375"/>
  <c r="G54"/>
  <c r="G98" s="1"/>
  <c r="J86"/>
  <c r="J25"/>
  <c r="H87"/>
  <c r="H127" s="1"/>
  <c r="J472"/>
  <c r="G42"/>
  <c r="J42" s="1"/>
  <c r="H180"/>
  <c r="G385"/>
  <c r="H386"/>
  <c r="G386" s="1"/>
  <c r="N31" i="7"/>
  <c r="U31" s="1"/>
  <c r="N33"/>
  <c r="U33" s="1"/>
  <c r="N39"/>
  <c r="U39" s="1"/>
  <c r="N92"/>
  <c r="N91"/>
  <c r="N88"/>
  <c r="J4544"/>
  <c r="K4544" s="1"/>
  <c r="I4545" s="1"/>
  <c r="N81"/>
  <c r="J4037"/>
  <c r="K4037" s="1"/>
  <c r="J4038"/>
  <c r="K4038" s="1"/>
  <c r="X24"/>
  <c r="N29"/>
  <c r="U29" s="1"/>
  <c r="N48"/>
  <c r="N32"/>
  <c r="U32" s="1"/>
  <c r="N61"/>
  <c r="J2842"/>
  <c r="K2842" s="1"/>
  <c r="N23"/>
  <c r="N41"/>
  <c r="U41" s="1"/>
  <c r="N37"/>
  <c r="U37" s="1"/>
  <c r="J2279"/>
  <c r="K2279" s="1"/>
  <c r="N15"/>
  <c r="J3969"/>
  <c r="K3969" s="1"/>
  <c r="J4378"/>
  <c r="N89"/>
  <c r="N90"/>
  <c r="N101"/>
  <c r="N60"/>
  <c r="X18"/>
  <c r="N22"/>
  <c r="U22" s="1"/>
  <c r="X26"/>
  <c r="J3970"/>
  <c r="N100"/>
  <c r="N95"/>
  <c r="J4646"/>
  <c r="K4646" s="1"/>
  <c r="J4668"/>
  <c r="K4668" s="1"/>
  <c r="J1955"/>
  <c r="K1955" s="1"/>
  <c r="J1986"/>
  <c r="K1986" s="1"/>
  <c r="J2340"/>
  <c r="K2340" s="1"/>
  <c r="J2054"/>
  <c r="K2054" s="1"/>
  <c r="F19" i="17"/>
  <c r="J466"/>
  <c r="J118"/>
  <c r="J261"/>
  <c r="J338"/>
  <c r="H147"/>
  <c r="G147" s="1"/>
  <c r="J88"/>
  <c r="G216"/>
  <c r="G265" s="1"/>
  <c r="J69" i="24"/>
  <c r="J73" s="1"/>
  <c r="J76" s="1"/>
  <c r="J78" s="1"/>
  <c r="J80" s="1"/>
  <c r="H826" i="18"/>
  <c r="H835"/>
  <c r="H851"/>
  <c r="H890"/>
  <c r="H3219"/>
  <c r="H3205"/>
  <c r="H5100"/>
  <c r="H2750"/>
  <c r="H2783"/>
  <c r="H2849"/>
  <c r="H1344"/>
  <c r="H2697"/>
  <c r="H5105"/>
  <c r="H4346"/>
  <c r="H5270"/>
  <c r="H5269"/>
  <c r="H5271"/>
  <c r="F5101"/>
  <c r="G5102" s="1"/>
  <c r="G5103" s="1"/>
  <c r="H5103" s="1"/>
  <c r="H5071"/>
  <c r="H5067"/>
  <c r="H4982"/>
  <c r="H5015"/>
  <c r="H5068"/>
  <c r="H5072"/>
  <c r="H5069"/>
  <c r="G5070"/>
  <c r="H5070" s="1"/>
  <c r="H4908"/>
  <c r="H4607"/>
  <c r="H2737"/>
  <c r="H4472"/>
  <c r="H3452"/>
  <c r="H3519"/>
  <c r="H3585"/>
  <c r="H3618"/>
  <c r="H3651"/>
  <c r="H3692"/>
  <c r="H3759"/>
  <c r="H3792"/>
  <c r="H3817"/>
  <c r="H3825"/>
  <c r="H3858"/>
  <c r="H3924"/>
  <c r="H3991"/>
  <c r="H4024"/>
  <c r="H4057"/>
  <c r="H4090"/>
  <c r="H4123"/>
  <c r="H4156"/>
  <c r="H4189"/>
  <c r="H4205"/>
  <c r="H4254"/>
  <c r="H4263"/>
  <c r="H4271"/>
  <c r="H4311"/>
  <c r="H4327"/>
  <c r="H4343"/>
  <c r="H4377"/>
  <c r="H4394"/>
  <c r="H4412"/>
  <c r="H4429"/>
  <c r="H4447"/>
  <c r="H3252"/>
  <c r="G3208"/>
  <c r="G3209" s="1"/>
  <c r="H3209" s="1"/>
  <c r="H3285"/>
  <c r="H3207"/>
  <c r="H3204"/>
  <c r="H3206"/>
  <c r="H3184"/>
  <c r="H3042"/>
  <c r="H3075"/>
  <c r="H3030"/>
  <c r="H3031"/>
  <c r="H2698"/>
  <c r="H2736"/>
  <c r="G2868"/>
  <c r="G2869" s="1"/>
  <c r="G2870" s="1"/>
  <c r="G2871" s="1"/>
  <c r="G2872" s="1"/>
  <c r="H2915"/>
  <c r="H2732"/>
  <c r="E2733"/>
  <c r="H2733" s="1"/>
  <c r="G2699"/>
  <c r="H1078"/>
  <c r="H1111"/>
  <c r="G1415"/>
  <c r="H3684"/>
  <c r="H1127"/>
  <c r="H4974"/>
  <c r="E1250"/>
  <c r="H1250" s="1"/>
  <c r="F1258"/>
  <c r="E1258" s="1"/>
  <c r="H1258" s="1"/>
  <c r="F1251"/>
  <c r="F1242"/>
  <c r="F1235"/>
  <c r="H1235" s="1"/>
  <c r="H1029"/>
  <c r="H1045"/>
  <c r="GC114" i="6"/>
  <c r="CV105"/>
  <c r="O106" s="1"/>
  <c r="H2711" i="18"/>
  <c r="H4438"/>
  <c r="H2882"/>
  <c r="H22"/>
  <c r="H760"/>
  <c r="H776"/>
  <c r="H793"/>
  <c r="H810"/>
  <c r="H843"/>
  <c r="H859"/>
  <c r="H882"/>
  <c r="H899"/>
  <c r="H922"/>
  <c r="H955"/>
  <c r="H988"/>
  <c r="H1004"/>
  <c r="H1037"/>
  <c r="H1070"/>
  <c r="H1086"/>
  <c r="H1119"/>
  <c r="H1272"/>
  <c r="H1304"/>
  <c r="H1320"/>
  <c r="H1336"/>
  <c r="H2005"/>
  <c r="H2038"/>
  <c r="H3067"/>
  <c r="H3100"/>
  <c r="H3133"/>
  <c r="H3244"/>
  <c r="H3310"/>
  <c r="H3343"/>
  <c r="H3375"/>
  <c r="H3392"/>
  <c r="H3409"/>
  <c r="H3460"/>
  <c r="H3493"/>
  <c r="H3527"/>
  <c r="H3552"/>
  <c r="H3560"/>
  <c r="H3593"/>
  <c r="H3626"/>
  <c r="H3659"/>
  <c r="H3751"/>
  <c r="H3850"/>
  <c r="H3891"/>
  <c r="H3983"/>
  <c r="H4049"/>
  <c r="H4082"/>
  <c r="H4115"/>
  <c r="H4148"/>
  <c r="H4181"/>
  <c r="H4197"/>
  <c r="H4246"/>
  <c r="H4319"/>
  <c r="H4335"/>
  <c r="H4360"/>
  <c r="H4385"/>
  <c r="H4403"/>
  <c r="H4421"/>
  <c r="H4480"/>
  <c r="H4615"/>
  <c r="H4649"/>
  <c r="H4682"/>
  <c r="H4716"/>
  <c r="H4749"/>
  <c r="H4783"/>
  <c r="H4816"/>
  <c r="H4849"/>
  <c r="H4883"/>
  <c r="H4916"/>
  <c r="H4949"/>
  <c r="H4582"/>
  <c r="H2808"/>
  <c r="H2841"/>
  <c r="H2940"/>
  <c r="H2816"/>
  <c r="H2775"/>
  <c r="H2907"/>
  <c r="Q5880" i="7"/>
  <c r="F98"/>
  <c r="F68"/>
  <c r="G68" s="1"/>
  <c r="F57"/>
  <c r="G57" s="1"/>
  <c r="K71"/>
  <c r="K56"/>
  <c r="K50"/>
  <c r="B767"/>
  <c r="E1305"/>
  <c r="E1358"/>
  <c r="E1362" s="1"/>
  <c r="E1366" s="1"/>
  <c r="B2251"/>
  <c r="B2304" s="1"/>
  <c r="J3330"/>
  <c r="J3331" s="1"/>
  <c r="J3332" s="1"/>
  <c r="D3334" s="1"/>
  <c r="J3391"/>
  <c r="J3392" s="1"/>
  <c r="J3393" s="1"/>
  <c r="D3395" s="1"/>
  <c r="A4748"/>
  <c r="I9"/>
  <c r="K9" s="1"/>
  <c r="I25"/>
  <c r="K25" s="1"/>
  <c r="I30"/>
  <c r="K30" s="1"/>
  <c r="L30" s="1"/>
  <c r="O30" s="1"/>
  <c r="K45"/>
  <c r="J118"/>
  <c r="L118" s="1"/>
  <c r="G718"/>
  <c r="E3900" s="1"/>
  <c r="G743"/>
  <c r="U1396"/>
  <c r="A2161"/>
  <c r="A2204" s="1"/>
  <c r="K29"/>
  <c r="B2181"/>
  <c r="G4867"/>
  <c r="I37"/>
  <c r="K37" s="1"/>
  <c r="U1420"/>
  <c r="K18"/>
  <c r="V135" i="37"/>
  <c r="W135" s="1"/>
  <c r="Y135" s="1"/>
  <c r="U136"/>
  <c r="U153"/>
  <c r="V152"/>
  <c r="W152" s="1"/>
  <c r="Y152" s="1"/>
  <c r="U14"/>
  <c r="V13"/>
  <c r="W13" s="1"/>
  <c r="Y13" s="1"/>
  <c r="U21"/>
  <c r="V20"/>
  <c r="W20" s="1"/>
  <c r="Y20" s="1"/>
  <c r="V98"/>
  <c r="W98" s="1"/>
  <c r="Y98" s="1"/>
  <c r="U99"/>
  <c r="U111"/>
  <c r="V110"/>
  <c r="W110" s="1"/>
  <c r="Y110" s="1"/>
  <c r="U126"/>
  <c r="V125"/>
  <c r="W125" s="1"/>
  <c r="Y125" s="1"/>
  <c r="U161"/>
  <c r="V160"/>
  <c r="W160" s="1"/>
  <c r="Y160" s="1"/>
  <c r="V5"/>
  <c r="W5" s="1"/>
  <c r="Y5" s="1"/>
  <c r="V12"/>
  <c r="W12" s="1"/>
  <c r="Y12" s="1"/>
  <c r="V109"/>
  <c r="W109" s="1"/>
  <c r="Y109" s="1"/>
  <c r="V151"/>
  <c r="W151" s="1"/>
  <c r="Y151" s="1"/>
  <c r="V200"/>
  <c r="W200" s="1"/>
  <c r="Y200" s="1"/>
  <c r="U201"/>
  <c r="V201" s="1"/>
  <c r="W201" s="1"/>
  <c r="Y201" s="1"/>
  <c r="U206"/>
  <c r="V205"/>
  <c r="W205" s="1"/>
  <c r="Y205" s="1"/>
  <c r="U371"/>
  <c r="V370"/>
  <c r="W370" s="1"/>
  <c r="Y370" s="1"/>
  <c r="V314"/>
  <c r="W314" s="1"/>
  <c r="Y314" s="1"/>
  <c r="U315"/>
  <c r="V8"/>
  <c r="W8" s="1"/>
  <c r="Y8" s="1"/>
  <c r="V19"/>
  <c r="W19" s="1"/>
  <c r="Y19" s="1"/>
  <c r="V124"/>
  <c r="W124" s="1"/>
  <c r="Y124" s="1"/>
  <c r="U178"/>
  <c r="U304"/>
  <c r="V304" s="1"/>
  <c r="W304" s="1"/>
  <c r="Y304" s="1"/>
  <c r="V303"/>
  <c r="W303" s="1"/>
  <c r="Y303" s="1"/>
  <c r="V308"/>
  <c r="W308" s="1"/>
  <c r="Y308" s="1"/>
  <c r="V204"/>
  <c r="W204" s="1"/>
  <c r="Y204" s="1"/>
  <c r="V302"/>
  <c r="W302" s="1"/>
  <c r="Y302" s="1"/>
  <c r="E80" i="24"/>
  <c r="D3" i="35"/>
  <c r="D23" s="1"/>
  <c r="I92" i="17"/>
  <c r="I134" s="1"/>
  <c r="I61"/>
  <c r="F435"/>
  <c r="F329"/>
  <c r="J309"/>
  <c r="F436"/>
  <c r="F330"/>
  <c r="F192"/>
  <c r="H340"/>
  <c r="H341" s="1"/>
  <c r="H342" s="1"/>
  <c r="H343" s="1"/>
  <c r="J339"/>
  <c r="B513"/>
  <c r="B479"/>
  <c r="B498" s="1"/>
  <c r="C544"/>
  <c r="C570" s="1"/>
  <c r="C517"/>
  <c r="G451"/>
  <c r="I557"/>
  <c r="I573"/>
  <c r="J450"/>
  <c r="F549"/>
  <c r="G485"/>
  <c r="F20"/>
  <c r="F101"/>
  <c r="F103"/>
  <c r="B178"/>
  <c r="B211"/>
  <c r="F432"/>
  <c r="J306"/>
  <c r="F326"/>
  <c r="G148"/>
  <c r="H149"/>
  <c r="G165"/>
  <c r="H168"/>
  <c r="H218"/>
  <c r="G217"/>
  <c r="G266" s="1"/>
  <c r="C571"/>
  <c r="C555"/>
  <c r="C575"/>
  <c r="C558"/>
  <c r="I355"/>
  <c r="I356" s="1"/>
  <c r="I357" s="1"/>
  <c r="I358"/>
  <c r="I359" s="1"/>
  <c r="H390"/>
  <c r="G389"/>
  <c r="J213"/>
  <c r="J71"/>
  <c r="I72"/>
  <c r="J72" s="1"/>
  <c r="B221"/>
  <c r="B188"/>
  <c r="C542"/>
  <c r="C568" s="1"/>
  <c r="C515"/>
  <c r="C556"/>
  <c r="C572"/>
  <c r="G487"/>
  <c r="J487" s="1"/>
  <c r="J464"/>
  <c r="G468"/>
  <c r="J468" s="1"/>
  <c r="J418"/>
  <c r="G122"/>
  <c r="J122" s="1"/>
  <c r="J77"/>
  <c r="F102"/>
  <c r="F92"/>
  <c r="B183"/>
  <c r="B216"/>
  <c r="B213"/>
  <c r="B180"/>
  <c r="F437"/>
  <c r="F331"/>
  <c r="G151"/>
  <c r="H154"/>
  <c r="H155" s="1"/>
  <c r="H156" s="1"/>
  <c r="J156" s="1"/>
  <c r="I330"/>
  <c r="I331" s="1"/>
  <c r="I332" s="1"/>
  <c r="I333"/>
  <c r="I334" s="1"/>
  <c r="H253"/>
  <c r="H254" s="1"/>
  <c r="J254" s="1"/>
  <c r="J252"/>
  <c r="I313"/>
  <c r="I310"/>
  <c r="I311" s="1"/>
  <c r="I312" s="1"/>
  <c r="C543"/>
  <c r="C569" s="1"/>
  <c r="C516"/>
  <c r="C573"/>
  <c r="C557"/>
  <c r="F486"/>
  <c r="J486" s="1"/>
  <c r="J463"/>
  <c r="E515"/>
  <c r="F542"/>
  <c r="F544"/>
  <c r="E517"/>
  <c r="F572"/>
  <c r="F556"/>
  <c r="F548"/>
  <c r="G27"/>
  <c r="H32"/>
  <c r="H48"/>
  <c r="H92" s="1"/>
  <c r="H134" s="1"/>
  <c r="F62"/>
  <c r="F66"/>
  <c r="J74"/>
  <c r="J76"/>
  <c r="I79"/>
  <c r="F108"/>
  <c r="J119"/>
  <c r="G121"/>
  <c r="J121" s="1"/>
  <c r="G146"/>
  <c r="G164"/>
  <c r="H179"/>
  <c r="G179" s="1"/>
  <c r="I206"/>
  <c r="J212"/>
  <c r="H227"/>
  <c r="G242"/>
  <c r="F267"/>
  <c r="F270"/>
  <c r="J279"/>
  <c r="J283" s="1"/>
  <c r="J284" s="1"/>
  <c r="E293" s="1"/>
  <c r="J293" s="1"/>
  <c r="F308"/>
  <c r="F312"/>
  <c r="F320"/>
  <c r="B327"/>
  <c r="B352" s="1"/>
  <c r="B371" s="1"/>
  <c r="B329"/>
  <c r="B354" s="1"/>
  <c r="B373" s="1"/>
  <c r="B331"/>
  <c r="B356" s="1"/>
  <c r="B375" s="1"/>
  <c r="H334"/>
  <c r="H359" s="1"/>
  <c r="J359" s="1"/>
  <c r="F358"/>
  <c r="F446"/>
  <c r="G497"/>
  <c r="J497" s="1"/>
  <c r="G543"/>
  <c r="G569" s="1"/>
  <c r="F516"/>
  <c r="G516"/>
  <c r="F518"/>
  <c r="G545"/>
  <c r="G557"/>
  <c r="G573"/>
  <c r="G575"/>
  <c r="G558"/>
  <c r="F485"/>
  <c r="J462"/>
  <c r="F488"/>
  <c r="J488" s="1"/>
  <c r="J465"/>
  <c r="F61"/>
  <c r="F65"/>
  <c r="J114"/>
  <c r="G129"/>
  <c r="G195" s="1"/>
  <c r="I130"/>
  <c r="J130" s="1"/>
  <c r="F193"/>
  <c r="J211"/>
  <c r="J214" s="1"/>
  <c r="F239"/>
  <c r="J239" s="1"/>
  <c r="J240" s="1"/>
  <c r="F242"/>
  <c r="J242" s="1"/>
  <c r="J244" s="1"/>
  <c r="I247"/>
  <c r="J247" s="1"/>
  <c r="G260"/>
  <c r="J260" s="1"/>
  <c r="F266"/>
  <c r="F307"/>
  <c r="H327"/>
  <c r="H352" s="1"/>
  <c r="G509" s="1"/>
  <c r="H329"/>
  <c r="H354" s="1"/>
  <c r="G511" s="1"/>
  <c r="H333"/>
  <c r="H358" s="1"/>
  <c r="G406"/>
  <c r="E516"/>
  <c r="J444"/>
  <c r="F543"/>
  <c r="J448"/>
  <c r="F547"/>
  <c r="F64"/>
  <c r="H75"/>
  <c r="H120" s="1"/>
  <c r="G128"/>
  <c r="G194" s="1"/>
  <c r="F265"/>
  <c r="F269"/>
  <c r="B326"/>
  <c r="B351" s="1"/>
  <c r="B370" s="1"/>
  <c r="B330"/>
  <c r="B355" s="1"/>
  <c r="B374" s="1"/>
  <c r="J426"/>
  <c r="J467"/>
  <c r="J473"/>
  <c r="H474"/>
  <c r="J474" s="1"/>
  <c r="B512"/>
  <c r="B478"/>
  <c r="B497" s="1"/>
  <c r="F515"/>
  <c r="G515"/>
  <c r="G542"/>
  <c r="G568" s="1"/>
  <c r="I571"/>
  <c r="I555"/>
  <c r="F519"/>
  <c r="G546"/>
  <c r="I575"/>
  <c r="I558"/>
  <c r="G490"/>
  <c r="J490" s="1"/>
  <c r="J471"/>
  <c r="H28"/>
  <c r="G75"/>
  <c r="J117"/>
  <c r="J126"/>
  <c r="H328"/>
  <c r="H353" s="1"/>
  <c r="G510" s="1"/>
  <c r="H332"/>
  <c r="H357" s="1"/>
  <c r="G514" s="1"/>
  <c r="J443"/>
  <c r="J491"/>
  <c r="J492"/>
  <c r="J493"/>
  <c r="G480"/>
  <c r="J480" s="1"/>
  <c r="J478"/>
  <c r="K23" i="9"/>
  <c r="K24" s="1"/>
  <c r="K54"/>
  <c r="M9" i="11"/>
  <c r="M11"/>
  <c r="P5" i="9"/>
  <c r="R5" s="1"/>
  <c r="R4"/>
  <c r="M35" i="11"/>
  <c r="M16"/>
  <c r="G35" i="9"/>
  <c r="K35" s="1"/>
  <c r="M15" i="11"/>
  <c r="G11" i="9"/>
  <c r="K15"/>
  <c r="K16" s="1"/>
  <c r="I39" i="11"/>
  <c r="I43" s="1"/>
  <c r="I46" s="1"/>
  <c r="R3" i="9"/>
  <c r="K7"/>
  <c r="K8" s="1"/>
  <c r="G19"/>
  <c r="K19" s="1"/>
  <c r="K20" s="1"/>
  <c r="M4" i="11"/>
  <c r="D14" i="7"/>
  <c r="D15" s="1"/>
  <c r="D16" s="1"/>
  <c r="D17" s="1"/>
  <c r="D18" s="1"/>
  <c r="D13"/>
  <c r="J2515"/>
  <c r="K2515" s="1"/>
  <c r="J2460"/>
  <c r="K2460" s="1"/>
  <c r="J2405"/>
  <c r="K2405" s="1"/>
  <c r="N11"/>
  <c r="I32"/>
  <c r="K31"/>
  <c r="J3889"/>
  <c r="K3889" s="1"/>
  <c r="K3890" s="1"/>
  <c r="N44"/>
  <c r="I74"/>
  <c r="K73"/>
  <c r="I107"/>
  <c r="K106"/>
  <c r="L106" s="1"/>
  <c r="J6524"/>
  <c r="L1294"/>
  <c r="L259"/>
  <c r="J4716"/>
  <c r="K4716" s="1"/>
  <c r="J4666"/>
  <c r="K4666" s="1"/>
  <c r="L52"/>
  <c r="O52" s="1"/>
  <c r="N52"/>
  <c r="X52"/>
  <c r="J4900"/>
  <c r="K4900" s="1"/>
  <c r="J4873"/>
  <c r="K4873" s="1"/>
  <c r="Q5879"/>
  <c r="F94"/>
  <c r="G94" s="1"/>
  <c r="J2526"/>
  <c r="K2526" s="1"/>
  <c r="J2471"/>
  <c r="K2471" s="1"/>
  <c r="J2416"/>
  <c r="J2472"/>
  <c r="K2472" s="1"/>
  <c r="J2417"/>
  <c r="J2527"/>
  <c r="K2527" s="1"/>
  <c r="N19"/>
  <c r="K26"/>
  <c r="N27"/>
  <c r="U27" s="1"/>
  <c r="N30"/>
  <c r="U30" s="1"/>
  <c r="N104"/>
  <c r="N105"/>
  <c r="N108"/>
  <c r="J2885"/>
  <c r="K2885" s="1"/>
  <c r="J2709"/>
  <c r="K2709" s="1"/>
  <c r="J4990"/>
  <c r="K4990" s="1"/>
  <c r="J4957"/>
  <c r="K4957" s="1"/>
  <c r="J5019"/>
  <c r="K5019" s="1"/>
  <c r="J5350"/>
  <c r="K5350" s="1"/>
  <c r="J5402"/>
  <c r="K5402" s="1"/>
  <c r="A225"/>
  <c r="H226"/>
  <c r="A226" s="1"/>
  <c r="A227" s="1"/>
  <c r="N20"/>
  <c r="D44"/>
  <c r="D27"/>
  <c r="D29" s="1"/>
  <c r="D30" s="1"/>
  <c r="D31" s="1"/>
  <c r="D32" s="1"/>
  <c r="D33" s="1"/>
  <c r="D34" s="1"/>
  <c r="D36" s="1"/>
  <c r="D37" s="1"/>
  <c r="D38" s="1"/>
  <c r="D39" s="1"/>
  <c r="D40" s="1"/>
  <c r="D41" s="1"/>
  <c r="I39"/>
  <c r="K38"/>
  <c r="L38" s="1"/>
  <c r="O38" s="1"/>
  <c r="N38"/>
  <c r="U38" s="1"/>
  <c r="N40"/>
  <c r="U40" s="1"/>
  <c r="N80"/>
  <c r="N99"/>
  <c r="F75"/>
  <c r="G75" s="1"/>
  <c r="F76"/>
  <c r="G76" s="1"/>
  <c r="F78"/>
  <c r="G78" s="1"/>
  <c r="F69"/>
  <c r="G69" s="1"/>
  <c r="F77"/>
  <c r="G77" s="1"/>
  <c r="Q5768"/>
  <c r="F87"/>
  <c r="G87" s="1"/>
  <c r="Q6115"/>
  <c r="F86"/>
  <c r="G86" s="1"/>
  <c r="N21"/>
  <c r="N85"/>
  <c r="U85" s="1"/>
  <c r="X103"/>
  <c r="N103"/>
  <c r="N107"/>
  <c r="J4868"/>
  <c r="K4868" s="1"/>
  <c r="J5039"/>
  <c r="K5039" s="1"/>
  <c r="J4988"/>
  <c r="J4955"/>
  <c r="K4955" s="1"/>
  <c r="J5067"/>
  <c r="K5067" s="1"/>
  <c r="J5098"/>
  <c r="K5098" s="1"/>
  <c r="J5017"/>
  <c r="J4923"/>
  <c r="K4923" s="1"/>
  <c r="J4895"/>
  <c r="K4895" s="1"/>
  <c r="I1073"/>
  <c r="K1073" s="1"/>
  <c r="L1073" s="1"/>
  <c r="J6196"/>
  <c r="K6196" s="1"/>
  <c r="J5942"/>
  <c r="K5942" s="1"/>
  <c r="J5417"/>
  <c r="K5417" s="1"/>
  <c r="J5300"/>
  <c r="K5300" s="1"/>
  <c r="J5231"/>
  <c r="K5231" s="1"/>
  <c r="J6221"/>
  <c r="K6221" s="1"/>
  <c r="J5917"/>
  <c r="K5917" s="1"/>
  <c r="J5554"/>
  <c r="K5554" s="1"/>
  <c r="J5078"/>
  <c r="K5078" s="1"/>
  <c r="J4969"/>
  <c r="K4969" s="1"/>
  <c r="J4935"/>
  <c r="K4935" s="1"/>
  <c r="J4787"/>
  <c r="K4787" s="1"/>
  <c r="J5109"/>
  <c r="K5109" s="1"/>
  <c r="J4877"/>
  <c r="K4877" s="1"/>
  <c r="J4818"/>
  <c r="K4818" s="1"/>
  <c r="J3906"/>
  <c r="K3906" s="1"/>
  <c r="J3675"/>
  <c r="K3675" s="1"/>
  <c r="J2892"/>
  <c r="K2892" s="1"/>
  <c r="J2714"/>
  <c r="K2714" s="1"/>
  <c r="J2669"/>
  <c r="K2669" s="1"/>
  <c r="J2522"/>
  <c r="K2522" s="1"/>
  <c r="J2287"/>
  <c r="K2287" s="1"/>
  <c r="J2232"/>
  <c r="K2232" s="1"/>
  <c r="J3813"/>
  <c r="K3813" s="1"/>
  <c r="J3630"/>
  <c r="K3630" s="1"/>
  <c r="J3540"/>
  <c r="K3540" s="1"/>
  <c r="J3469"/>
  <c r="K3469" s="1"/>
  <c r="J2467"/>
  <c r="K2467" s="1"/>
  <c r="J2346"/>
  <c r="K2346" s="1"/>
  <c r="J2189"/>
  <c r="K2189" s="1"/>
  <c r="J2146"/>
  <c r="K2146" s="1"/>
  <c r="J2103"/>
  <c r="K2103" s="1"/>
  <c r="J2060"/>
  <c r="K2060" s="1"/>
  <c r="J1991"/>
  <c r="K1991" s="1"/>
  <c r="J1934"/>
  <c r="K1934" s="1"/>
  <c r="J3767"/>
  <c r="K3767" s="1"/>
  <c r="J2804"/>
  <c r="K2804" s="1"/>
  <c r="J2632"/>
  <c r="K2632" s="1"/>
  <c r="J2412"/>
  <c r="K2412" s="1"/>
  <c r="J3892"/>
  <c r="K3892" s="1"/>
  <c r="J3721"/>
  <c r="K3721" s="1"/>
  <c r="J2847"/>
  <c r="K2847" s="1"/>
  <c r="J2760"/>
  <c r="K2760" s="1"/>
  <c r="J2578"/>
  <c r="K2578" s="1"/>
  <c r="J2367"/>
  <c r="K2367" s="1"/>
  <c r="J1777"/>
  <c r="K1777" s="1"/>
  <c r="J1419"/>
  <c r="J1442"/>
  <c r="K1442" s="1"/>
  <c r="J1960"/>
  <c r="K1960" s="1"/>
  <c r="J1685"/>
  <c r="K1685" s="1"/>
  <c r="J1396"/>
  <c r="K1396" s="1"/>
  <c r="B793"/>
  <c r="B757"/>
  <c r="K4813"/>
  <c r="K4814" s="1"/>
  <c r="G5238"/>
  <c r="K5238" s="1"/>
  <c r="J5239" s="1"/>
  <c r="K5239" s="1"/>
  <c r="K5245" s="1"/>
  <c r="G5246" s="1"/>
  <c r="K5246" s="1"/>
  <c r="Q5837"/>
  <c r="J5044"/>
  <c r="K5044" s="1"/>
  <c r="J5072"/>
  <c r="K5072" s="1"/>
  <c r="J5045"/>
  <c r="K5045" s="1"/>
  <c r="J5073"/>
  <c r="K5073" s="1"/>
  <c r="J5024"/>
  <c r="K5024" s="1"/>
  <c r="J4994"/>
  <c r="K4994" s="1"/>
  <c r="J4962"/>
  <c r="K4962" s="1"/>
  <c r="J4929"/>
  <c r="K4929" s="1"/>
  <c r="J5348"/>
  <c r="K5348" s="1"/>
  <c r="J5374"/>
  <c r="K5374" s="1"/>
  <c r="J5400"/>
  <c r="K5400" s="1"/>
  <c r="J5322"/>
  <c r="K5322" s="1"/>
  <c r="J5405"/>
  <c r="K5405" s="1"/>
  <c r="J5327"/>
  <c r="K5327" s="1"/>
  <c r="J5353"/>
  <c r="K5353" s="1"/>
  <c r="J5379"/>
  <c r="K5379" s="1"/>
  <c r="J5218"/>
  <c r="K5218" s="1"/>
  <c r="J5046"/>
  <c r="K5046" s="1"/>
  <c r="J5026"/>
  <c r="K5026" s="1"/>
  <c r="J4996"/>
  <c r="K4996" s="1"/>
  <c r="J5074"/>
  <c r="K5074" s="1"/>
  <c r="J5105"/>
  <c r="K5105" s="1"/>
  <c r="J4964"/>
  <c r="K4964" s="1"/>
  <c r="J4931"/>
  <c r="K4931" s="1"/>
  <c r="J4901"/>
  <c r="K4901" s="1"/>
  <c r="J4874"/>
  <c r="K4874" s="1"/>
  <c r="K2116"/>
  <c r="J13"/>
  <c r="J20" s="1"/>
  <c r="J19"/>
  <c r="I20"/>
  <c r="X71"/>
  <c r="L119"/>
  <c r="H127"/>
  <c r="G420"/>
  <c r="G450"/>
  <c r="G452" s="1"/>
  <c r="G530"/>
  <c r="G533" s="1"/>
  <c r="G650"/>
  <c r="G651" s="1"/>
  <c r="G670"/>
  <c r="G707"/>
  <c r="B721"/>
  <c r="DN555" i="4"/>
  <c r="DO555" s="1"/>
  <c r="DN560"/>
  <c r="DO560" s="1"/>
  <c r="DN557"/>
  <c r="DO557" s="1"/>
  <c r="I1074" i="7"/>
  <c r="K1074" s="1"/>
  <c r="L1074" s="1"/>
  <c r="DN556" i="4"/>
  <c r="DO556" s="1"/>
  <c r="J6419" i="7"/>
  <c r="K6419" s="1"/>
  <c r="J6265"/>
  <c r="K6265" s="1"/>
  <c r="J6222"/>
  <c r="K6222" s="1"/>
  <c r="J5918"/>
  <c r="K5918" s="1"/>
  <c r="J5624"/>
  <c r="K5624" s="1"/>
  <c r="J5555"/>
  <c r="K5555" s="1"/>
  <c r="J5383"/>
  <c r="K5383" s="1"/>
  <c r="J5222"/>
  <c r="K5222" s="1"/>
  <c r="J6024"/>
  <c r="K6024" s="1"/>
  <c r="J5693"/>
  <c r="K5693" s="1"/>
  <c r="J5409"/>
  <c r="K5409" s="1"/>
  <c r="J5302"/>
  <c r="K5302" s="1"/>
  <c r="J5276"/>
  <c r="K5276" s="1"/>
  <c r="J6488"/>
  <c r="K6488" s="1"/>
  <c r="J6478"/>
  <c r="K6478" s="1"/>
  <c r="J6331"/>
  <c r="K6331" s="1"/>
  <c r="K6332" s="1"/>
  <c r="I6346" s="1"/>
  <c r="J6197"/>
  <c r="K6197" s="1"/>
  <c r="J6151"/>
  <c r="K6151" s="1"/>
  <c r="J6109"/>
  <c r="K6109" s="1"/>
  <c r="J6067"/>
  <c r="K6067" s="1"/>
  <c r="J5981"/>
  <c r="K5981" s="1"/>
  <c r="J5943"/>
  <c r="K5943" s="1"/>
  <c r="J5418"/>
  <c r="K5418" s="1"/>
  <c r="J5331"/>
  <c r="K5331" s="1"/>
  <c r="J6500"/>
  <c r="K6500" s="1"/>
  <c r="J6468"/>
  <c r="K6468" s="1"/>
  <c r="J6444"/>
  <c r="K6444" s="1"/>
  <c r="J6375"/>
  <c r="K6375" s="1"/>
  <c r="J6290"/>
  <c r="K6290" s="1"/>
  <c r="J5873"/>
  <c r="K5873" s="1"/>
  <c r="J5830"/>
  <c r="K5830" s="1"/>
  <c r="J5762"/>
  <c r="K5762" s="1"/>
  <c r="J5357"/>
  <c r="K5357" s="1"/>
  <c r="J5288"/>
  <c r="K5288" s="1"/>
  <c r="J5232"/>
  <c r="K5232" s="1"/>
  <c r="J4905"/>
  <c r="K4905" s="1"/>
  <c r="J4788"/>
  <c r="K4788" s="1"/>
  <c r="J4819"/>
  <c r="K4819" s="1"/>
  <c r="J4227"/>
  <c r="K4227" s="1"/>
  <c r="J3924"/>
  <c r="K3924" s="1"/>
  <c r="J3907"/>
  <c r="K3907" s="1"/>
  <c r="J5080"/>
  <c r="K5080" s="1"/>
  <c r="J4971"/>
  <c r="K4971" s="1"/>
  <c r="J4937"/>
  <c r="K4937" s="1"/>
  <c r="J4802"/>
  <c r="K4802" s="1"/>
  <c r="J4773"/>
  <c r="K4773" s="1"/>
  <c r="J4724"/>
  <c r="K4724" s="1"/>
  <c r="J4077"/>
  <c r="K4077" s="1"/>
  <c r="J5111"/>
  <c r="K5111" s="1"/>
  <c r="J4879"/>
  <c r="K4879" s="1"/>
  <c r="J4672"/>
  <c r="K4672" s="1"/>
  <c r="J4460"/>
  <c r="K4460" s="1"/>
  <c r="J3995"/>
  <c r="K3995" s="1"/>
  <c r="J4044"/>
  <c r="K4044" s="1"/>
  <c r="J3893"/>
  <c r="K3893" s="1"/>
  <c r="J3722"/>
  <c r="K3722" s="1"/>
  <c r="J2413"/>
  <c r="K2413" s="1"/>
  <c r="J2389"/>
  <c r="K2389" s="1"/>
  <c r="J3676"/>
  <c r="K3676" s="1"/>
  <c r="J2579"/>
  <c r="K2579" s="1"/>
  <c r="J2368"/>
  <c r="K2368" s="1"/>
  <c r="J1881"/>
  <c r="K1881" s="1"/>
  <c r="K1883" s="1"/>
  <c r="J1850"/>
  <c r="K1850" s="1"/>
  <c r="K1852" s="1"/>
  <c r="J3879"/>
  <c r="K3879" s="1"/>
  <c r="J3814"/>
  <c r="K3814" s="1"/>
  <c r="J3631"/>
  <c r="K3631" s="1"/>
  <c r="J2523"/>
  <c r="K2523" s="1"/>
  <c r="J2288"/>
  <c r="K2288" s="1"/>
  <c r="J2233"/>
  <c r="K2233" s="1"/>
  <c r="J3855"/>
  <c r="K3855" s="1"/>
  <c r="K3856" s="1"/>
  <c r="J3768"/>
  <c r="K3768" s="1"/>
  <c r="J3583"/>
  <c r="K3583" s="1"/>
  <c r="J3541"/>
  <c r="K3541" s="1"/>
  <c r="J3470"/>
  <c r="K3470" s="1"/>
  <c r="J3249"/>
  <c r="K3249" s="1"/>
  <c r="J2468"/>
  <c r="K2468" s="1"/>
  <c r="J2347"/>
  <c r="K2347" s="1"/>
  <c r="J2190"/>
  <c r="K2190" s="1"/>
  <c r="J2147"/>
  <c r="K2147" s="1"/>
  <c r="J2104"/>
  <c r="K2104" s="1"/>
  <c r="J2061"/>
  <c r="K2061" s="1"/>
  <c r="J1992"/>
  <c r="K1992" s="1"/>
  <c r="J1935"/>
  <c r="K1935" s="1"/>
  <c r="J1910"/>
  <c r="K1910" s="1"/>
  <c r="K1915" s="1"/>
  <c r="J1871"/>
  <c r="K1871" s="1"/>
  <c r="K1873" s="1"/>
  <c r="J1901"/>
  <c r="K1901" s="1"/>
  <c r="J1860"/>
  <c r="K1860" s="1"/>
  <c r="K1862" s="1"/>
  <c r="J1818"/>
  <c r="K1818" s="1"/>
  <c r="K1820" s="1"/>
  <c r="J1730"/>
  <c r="K1730" s="1"/>
  <c r="J1707"/>
  <c r="K1707" s="1"/>
  <c r="K1708" s="1"/>
  <c r="K1710" s="1"/>
  <c r="J1684"/>
  <c r="K1684" s="1"/>
  <c r="J1640"/>
  <c r="K1640" s="1"/>
  <c r="K1641" s="1"/>
  <c r="K1643" s="1"/>
  <c r="J1596"/>
  <c r="K1596" s="1"/>
  <c r="K1597" s="1"/>
  <c r="K1599" s="1"/>
  <c r="J1552"/>
  <c r="K1552" s="1"/>
  <c r="K1553" s="1"/>
  <c r="K1555" s="1"/>
  <c r="J1309"/>
  <c r="K1309" s="1"/>
  <c r="J1829"/>
  <c r="K1829" s="1"/>
  <c r="K1831" s="1"/>
  <c r="J1755"/>
  <c r="K1755" s="1"/>
  <c r="J1509"/>
  <c r="K1509" s="1"/>
  <c r="K1510" s="1"/>
  <c r="K1512" s="1"/>
  <c r="J1465"/>
  <c r="K1465" s="1"/>
  <c r="K1466" s="1"/>
  <c r="K1468" s="1"/>
  <c r="J1397"/>
  <c r="K1397" s="1"/>
  <c r="J1374"/>
  <c r="K1374" s="1"/>
  <c r="K1375" s="1"/>
  <c r="K1377" s="1"/>
  <c r="J1330"/>
  <c r="K1330" s="1"/>
  <c r="K1331" s="1"/>
  <c r="J1892"/>
  <c r="K1892" s="1"/>
  <c r="K1894" s="1"/>
  <c r="K1803"/>
  <c r="K1805" s="1"/>
  <c r="J1778"/>
  <c r="K1778" s="1"/>
  <c r="J1662"/>
  <c r="K1662" s="1"/>
  <c r="K1663" s="1"/>
  <c r="K1665" s="1"/>
  <c r="J1618"/>
  <c r="K1618" s="1"/>
  <c r="K1619" s="1"/>
  <c r="K1621" s="1"/>
  <c r="J1574"/>
  <c r="K1574" s="1"/>
  <c r="K1575" s="1"/>
  <c r="K1577" s="1"/>
  <c r="J1530"/>
  <c r="K1530" s="1"/>
  <c r="K1531" s="1"/>
  <c r="K1533" s="1"/>
  <c r="J1420"/>
  <c r="K1420" s="1"/>
  <c r="J1961"/>
  <c r="K1961" s="1"/>
  <c r="J1900"/>
  <c r="K1900" s="1"/>
  <c r="J1839"/>
  <c r="K1839" s="1"/>
  <c r="K1841" s="1"/>
  <c r="J1487"/>
  <c r="K1487" s="1"/>
  <c r="K1488" s="1"/>
  <c r="K1490" s="1"/>
  <c r="J1443"/>
  <c r="K1443" s="1"/>
  <c r="J1352"/>
  <c r="K1352" s="1"/>
  <c r="K1353" s="1"/>
  <c r="K1355" s="1"/>
  <c r="J6150"/>
  <c r="K6150" s="1"/>
  <c r="J6108"/>
  <c r="K6108" s="1"/>
  <c r="J6066"/>
  <c r="K6066" s="1"/>
  <c r="J5980"/>
  <c r="K5980" s="1"/>
  <c r="J5330"/>
  <c r="K5330" s="1"/>
  <c r="J6443"/>
  <c r="K6443" s="1"/>
  <c r="J6374"/>
  <c r="K6374" s="1"/>
  <c r="J6289"/>
  <c r="K6289" s="1"/>
  <c r="J5872"/>
  <c r="K5872" s="1"/>
  <c r="J5829"/>
  <c r="K5829" s="1"/>
  <c r="J5761"/>
  <c r="K5761" s="1"/>
  <c r="J5356"/>
  <c r="K5356" s="1"/>
  <c r="J5287"/>
  <c r="K5287" s="1"/>
  <c r="J5274"/>
  <c r="J5263"/>
  <c r="K5263" s="1"/>
  <c r="J5206"/>
  <c r="K5206" s="1"/>
  <c r="J6418"/>
  <c r="K6418" s="1"/>
  <c r="J6264"/>
  <c r="K6264" s="1"/>
  <c r="J5623"/>
  <c r="K5623" s="1"/>
  <c r="J5382"/>
  <c r="K5382" s="1"/>
  <c r="J5221"/>
  <c r="K5221" s="1"/>
  <c r="J6023"/>
  <c r="K6023" s="1"/>
  <c r="J5692"/>
  <c r="K5692" s="1"/>
  <c r="J5408"/>
  <c r="K5408" s="1"/>
  <c r="J5301"/>
  <c r="K5301" s="1"/>
  <c r="J5299"/>
  <c r="K5299" s="1"/>
  <c r="J5178"/>
  <c r="K5178" s="1"/>
  <c r="J5077"/>
  <c r="K5077" s="1"/>
  <c r="J4968"/>
  <c r="K4968" s="1"/>
  <c r="J4934"/>
  <c r="K4934" s="1"/>
  <c r="J4801"/>
  <c r="K4801" s="1"/>
  <c r="J4772"/>
  <c r="K4772" s="1"/>
  <c r="J4723"/>
  <c r="K4723" s="1"/>
  <c r="J5153"/>
  <c r="K5153" s="1"/>
  <c r="J5108"/>
  <c r="K5108" s="1"/>
  <c r="J4876"/>
  <c r="K4876" s="1"/>
  <c r="J4671"/>
  <c r="K4671" s="1"/>
  <c r="J3994"/>
  <c r="K3994" s="1"/>
  <c r="J5029"/>
  <c r="K5029" s="1"/>
  <c r="J4999"/>
  <c r="K4999" s="1"/>
  <c r="J4904"/>
  <c r="K4904" s="1"/>
  <c r="J4785"/>
  <c r="K4785" s="1"/>
  <c r="J4075"/>
  <c r="K4075" s="1"/>
  <c r="J5133"/>
  <c r="K5133" s="1"/>
  <c r="J5049"/>
  <c r="K5049" s="1"/>
  <c r="J4458"/>
  <c r="K4458" s="1"/>
  <c r="J4226"/>
  <c r="K4226" s="1"/>
  <c r="J3923"/>
  <c r="K3923" s="1"/>
  <c r="J3375"/>
  <c r="K3375" s="1"/>
  <c r="J3291"/>
  <c r="K3291" s="1"/>
  <c r="J3878"/>
  <c r="K3878" s="1"/>
  <c r="J3248"/>
  <c r="K3248" s="1"/>
  <c r="J2366"/>
  <c r="K2366" s="1"/>
  <c r="J2388"/>
  <c r="K2388" s="1"/>
  <c r="J2286"/>
  <c r="K2286" s="1"/>
  <c r="J2284"/>
  <c r="K2284" s="1"/>
  <c r="J2231"/>
  <c r="K2231" s="1"/>
  <c r="J4043"/>
  <c r="K4043" s="1"/>
  <c r="J2345"/>
  <c r="K2345" s="1"/>
  <c r="J2188"/>
  <c r="K2188" s="1"/>
  <c r="J2145"/>
  <c r="K2145" s="1"/>
  <c r="J2102"/>
  <c r="K2102" s="1"/>
  <c r="J2059"/>
  <c r="K2059" s="1"/>
  <c r="J5020"/>
  <c r="K5020" s="1"/>
  <c r="J4958"/>
  <c r="K4958" s="1"/>
  <c r="J4925"/>
  <c r="K4925" s="1"/>
  <c r="J4963"/>
  <c r="K4963" s="1"/>
  <c r="J4930"/>
  <c r="K4930" s="1"/>
  <c r="J5025"/>
  <c r="K5025" s="1"/>
  <c r="J4995"/>
  <c r="K4995" s="1"/>
  <c r="J5257"/>
  <c r="K5257" s="1"/>
  <c r="J5254"/>
  <c r="K5254" s="1"/>
  <c r="I10"/>
  <c r="N49"/>
  <c r="N65"/>
  <c r="N84"/>
  <c r="U84" s="1"/>
  <c r="H155"/>
  <c r="A224"/>
  <c r="A280"/>
  <c r="G665"/>
  <c r="G666" s="1"/>
  <c r="G698"/>
  <c r="G699" s="1"/>
  <c r="G6524"/>
  <c r="H1294"/>
  <c r="J3379"/>
  <c r="K3379" s="1"/>
  <c r="J3295"/>
  <c r="K3295" s="1"/>
  <c r="B788"/>
  <c r="B716"/>
  <c r="K4796"/>
  <c r="K4797" s="1"/>
  <c r="J5376"/>
  <c r="K5376" s="1"/>
  <c r="J5324"/>
  <c r="K5324" s="1"/>
  <c r="J5018"/>
  <c r="K5018" s="1"/>
  <c r="J4924"/>
  <c r="K4924" s="1"/>
  <c r="J4896"/>
  <c r="K4896" s="1"/>
  <c r="J4869"/>
  <c r="K4869" s="1"/>
  <c r="J4989"/>
  <c r="K4989" s="1"/>
  <c r="J4956"/>
  <c r="K4956" s="1"/>
  <c r="J5399"/>
  <c r="K5399" s="1"/>
  <c r="J5321"/>
  <c r="K5321" s="1"/>
  <c r="J5347"/>
  <c r="K5347" s="1"/>
  <c r="J5373"/>
  <c r="K5373" s="1"/>
  <c r="J5103"/>
  <c r="K5103" s="1"/>
  <c r="J4871"/>
  <c r="J5217"/>
  <c r="K5217" s="1"/>
  <c r="Q6073"/>
  <c r="J4899"/>
  <c r="K4899" s="1"/>
  <c r="J4872"/>
  <c r="K4872" s="1"/>
  <c r="J5022"/>
  <c r="K5022" s="1"/>
  <c r="J4992"/>
  <c r="K4992" s="1"/>
  <c r="J4960"/>
  <c r="K4960" s="1"/>
  <c r="J4927"/>
  <c r="K4927" s="1"/>
  <c r="J5352"/>
  <c r="K5352" s="1"/>
  <c r="J5378"/>
  <c r="K5378" s="1"/>
  <c r="J5404"/>
  <c r="K5404" s="1"/>
  <c r="J5326"/>
  <c r="K5326" s="1"/>
  <c r="J3378"/>
  <c r="K3378" s="1"/>
  <c r="J3294"/>
  <c r="K3294" s="1"/>
  <c r="J3377"/>
  <c r="K3377" s="1"/>
  <c r="J3293"/>
  <c r="K3293" s="1"/>
  <c r="E1836"/>
  <c r="E1847"/>
  <c r="E1857"/>
  <c r="E3068"/>
  <c r="E2138"/>
  <c r="E2157" s="1"/>
  <c r="E2161" s="1"/>
  <c r="E2167" s="1"/>
  <c r="E2173" s="1"/>
  <c r="E3154"/>
  <c r="E3163" s="1"/>
  <c r="E3174" s="1"/>
  <c r="E3185" s="1"/>
  <c r="E3077"/>
  <c r="E3088" s="1"/>
  <c r="E3099" s="1"/>
  <c r="E3482"/>
  <c r="E3462"/>
  <c r="N73"/>
  <c r="N82"/>
  <c r="N106"/>
  <c r="X106"/>
  <c r="J126"/>
  <c r="L126" s="1"/>
  <c r="G292"/>
  <c r="G453"/>
  <c r="J4831"/>
  <c r="J3256"/>
  <c r="K3256" s="1"/>
  <c r="J4469"/>
  <c r="K4469" s="1"/>
  <c r="J4237"/>
  <c r="K4237" s="1"/>
  <c r="J4676"/>
  <c r="K4676" s="1"/>
  <c r="J4083"/>
  <c r="K4083" s="1"/>
  <c r="J4822"/>
  <c r="K4822" s="1"/>
  <c r="J4806"/>
  <c r="K4806" s="1"/>
  <c r="J6487"/>
  <c r="K6487" s="1"/>
  <c r="J6477"/>
  <c r="K6477" s="1"/>
  <c r="J6499"/>
  <c r="K6499" s="1"/>
  <c r="J5179"/>
  <c r="K5179" s="1"/>
  <c r="J5154"/>
  <c r="K5154" s="1"/>
  <c r="J5264"/>
  <c r="K5264" s="1"/>
  <c r="J5207"/>
  <c r="K5207" s="1"/>
  <c r="J5079"/>
  <c r="K5079" s="1"/>
  <c r="J5030"/>
  <c r="K5030" s="1"/>
  <c r="J5000"/>
  <c r="K5000" s="1"/>
  <c r="J4970"/>
  <c r="K4970" s="1"/>
  <c r="J4936"/>
  <c r="K4936" s="1"/>
  <c r="J4786"/>
  <c r="K4786" s="1"/>
  <c r="J4412"/>
  <c r="K4412" s="1"/>
  <c r="J4076"/>
  <c r="K4076" s="1"/>
  <c r="J5134"/>
  <c r="K5134" s="1"/>
  <c r="J5110"/>
  <c r="K5110" s="1"/>
  <c r="J5050"/>
  <c r="K5050" s="1"/>
  <c r="J4878"/>
  <c r="K4878" s="1"/>
  <c r="J4644"/>
  <c r="K4644" s="1"/>
  <c r="J4459"/>
  <c r="K4459" s="1"/>
  <c r="J4178"/>
  <c r="K4178" s="1"/>
  <c r="J2805"/>
  <c r="K2805" s="1"/>
  <c r="J2633"/>
  <c r="K2633" s="1"/>
  <c r="J2411"/>
  <c r="K2411" s="1"/>
  <c r="J2285"/>
  <c r="K2285" s="1"/>
  <c r="J2848"/>
  <c r="K2848" s="1"/>
  <c r="J2761"/>
  <c r="K2761" s="1"/>
  <c r="J2893"/>
  <c r="K2893" s="1"/>
  <c r="J2715"/>
  <c r="K2715" s="1"/>
  <c r="J2670"/>
  <c r="K2670" s="1"/>
  <c r="J2521"/>
  <c r="K2521" s="1"/>
  <c r="J3247"/>
  <c r="K3247" s="1"/>
  <c r="J2466"/>
  <c r="K2466" s="1"/>
  <c r="J1776"/>
  <c r="K1776" s="1"/>
  <c r="J1729"/>
  <c r="K1729" s="1"/>
  <c r="J1308"/>
  <c r="K1308" s="1"/>
  <c r="J1754"/>
  <c r="K1754" s="1"/>
  <c r="J5102"/>
  <c r="K5102" s="1"/>
  <c r="J5043"/>
  <c r="K5043" s="1"/>
  <c r="J5071"/>
  <c r="K5071" s="1"/>
  <c r="J4961"/>
  <c r="K4961" s="1"/>
  <c r="J4928"/>
  <c r="K4928" s="1"/>
  <c r="J5023"/>
  <c r="K5023" s="1"/>
  <c r="J4993"/>
  <c r="K4993" s="1"/>
  <c r="J5216"/>
  <c r="K5216" s="1"/>
  <c r="J5068"/>
  <c r="K5068" s="1"/>
  <c r="J5040"/>
  <c r="K5040" s="1"/>
  <c r="J5401"/>
  <c r="K5401" s="1"/>
  <c r="J5323"/>
  <c r="K5323" s="1"/>
  <c r="J5349"/>
  <c r="K5349" s="1"/>
  <c r="J5375"/>
  <c r="K5375" s="1"/>
  <c r="J5403"/>
  <c r="K5403" s="1"/>
  <c r="J5325"/>
  <c r="K5325" s="1"/>
  <c r="J5351"/>
  <c r="K5351" s="1"/>
  <c r="J5377"/>
  <c r="K5377" s="1"/>
  <c r="J6491"/>
  <c r="K6491" s="1"/>
  <c r="K6492" s="1"/>
  <c r="J6503"/>
  <c r="K6503" s="1"/>
  <c r="K6504" s="1"/>
  <c r="J1782"/>
  <c r="K1782" s="1"/>
  <c r="J1734"/>
  <c r="K1734" s="1"/>
  <c r="J5428"/>
  <c r="K5428" s="1"/>
  <c r="E2251"/>
  <c r="E3288"/>
  <c r="H259"/>
  <c r="G426"/>
  <c r="G427" s="1"/>
  <c r="B726"/>
  <c r="E4139"/>
  <c r="E4144" s="1"/>
  <c r="E4148" s="1"/>
  <c r="E4152" s="1"/>
  <c r="E3806"/>
  <c r="E5620"/>
  <c r="E5637" s="1"/>
  <c r="E5645" s="1"/>
  <c r="E5653" s="1"/>
  <c r="E4343"/>
  <c r="E4351" s="1"/>
  <c r="E4359" s="1"/>
  <c r="E4367" s="1"/>
  <c r="E6372"/>
  <c r="E5662"/>
  <c r="E5663" s="1"/>
  <c r="E5671" s="1"/>
  <c r="E5679" s="1"/>
  <c r="G660"/>
  <c r="G680"/>
  <c r="G733"/>
  <c r="G734" s="1"/>
  <c r="G738"/>
  <c r="G800"/>
  <c r="G904"/>
  <c r="G909"/>
  <c r="G941"/>
  <c r="G961"/>
  <c r="G962" s="1"/>
  <c r="G1001"/>
  <c r="E6256" s="1"/>
  <c r="G1021"/>
  <c r="G1022" s="1"/>
  <c r="E1336"/>
  <c r="E1340" s="1"/>
  <c r="E1344" s="1"/>
  <c r="E1380"/>
  <c r="E1384" s="1"/>
  <c r="E1388" s="1"/>
  <c r="E4121"/>
  <c r="E4126" s="1"/>
  <c r="E4130" s="1"/>
  <c r="E4134" s="1"/>
  <c r="E3668"/>
  <c r="E4509"/>
  <c r="E4517" s="1"/>
  <c r="E4525" s="1"/>
  <c r="E4533" s="1"/>
  <c r="E3860"/>
  <c r="G655"/>
  <c r="G675"/>
  <c r="G712"/>
  <c r="G713" s="1"/>
  <c r="G728"/>
  <c r="G774"/>
  <c r="B777"/>
  <c r="G829"/>
  <c r="G893"/>
  <c r="G894" s="1"/>
  <c r="G898"/>
  <c r="G899" s="1"/>
  <c r="G976"/>
  <c r="A2157"/>
  <c r="A2200" s="1"/>
  <c r="K2238"/>
  <c r="E5758"/>
  <c r="E5775" s="1"/>
  <c r="E5783" s="1"/>
  <c r="E5791" s="1"/>
  <c r="E5296"/>
  <c r="E5977"/>
  <c r="E5800"/>
  <c r="E5801" s="1"/>
  <c r="E5809" s="1"/>
  <c r="E5817" s="1"/>
  <c r="E5388"/>
  <c r="E6240"/>
  <c r="E4748"/>
  <c r="E4753" s="1"/>
  <c r="E4757" s="1"/>
  <c r="E4761" s="1"/>
  <c r="G790"/>
  <c r="G820"/>
  <c r="G821"/>
  <c r="G926"/>
  <c r="G927" s="1"/>
  <c r="G931"/>
  <c r="G932" s="1"/>
  <c r="G951"/>
  <c r="G971"/>
  <c r="G991"/>
  <c r="G992" s="1"/>
  <c r="K2293"/>
  <c r="E5036"/>
  <c r="E4641"/>
  <c r="E4649" s="1"/>
  <c r="E4653" s="1"/>
  <c r="E4657" s="1"/>
  <c r="G805"/>
  <c r="G915"/>
  <c r="G986"/>
  <c r="L2730"/>
  <c r="L2816"/>
  <c r="L2902"/>
  <c r="G4834"/>
  <c r="K4834" s="1"/>
  <c r="L2646"/>
  <c r="L2681"/>
  <c r="L2775"/>
  <c r="L2862"/>
  <c r="K4848"/>
  <c r="B4748"/>
  <c r="K4830"/>
  <c r="K5259"/>
  <c r="K4838"/>
  <c r="D84" l="1"/>
  <c r="D85" s="1"/>
  <c r="D86" s="1"/>
  <c r="D87" s="1"/>
  <c r="D88" s="1"/>
  <c r="D89" s="1"/>
  <c r="D90" s="1"/>
  <c r="D91" s="1"/>
  <c r="D92" s="1"/>
  <c r="D93" s="1"/>
  <c r="D94" s="1"/>
  <c r="D95" s="1"/>
  <c r="D96" s="1"/>
  <c r="D97" s="1"/>
  <c r="D98" s="1"/>
  <c r="D99" s="1"/>
  <c r="D100" s="1"/>
  <c r="D101" s="1"/>
  <c r="D102" s="1"/>
  <c r="D83"/>
  <c r="F517" i="17"/>
  <c r="H331"/>
  <c r="H356" s="1"/>
  <c r="G513" s="1"/>
  <c r="G544"/>
  <c r="G570" s="1"/>
  <c r="B1195" i="7"/>
  <c r="B6579" i="18"/>
  <c r="K2147" i="44"/>
  <c r="K2149" s="1"/>
  <c r="H2155" s="1"/>
  <c r="K2209"/>
  <c r="K2211" s="1"/>
  <c r="H2217" s="1"/>
  <c r="K2122"/>
  <c r="K2124" s="1"/>
  <c r="H2130" s="1"/>
  <c r="K2097"/>
  <c r="K2099" s="1"/>
  <c r="H2105" s="1"/>
  <c r="H2111" s="1"/>
  <c r="K2111" s="1"/>
  <c r="K2183"/>
  <c r="K2185" s="1"/>
  <c r="H2191" s="1"/>
  <c r="H2197" s="1"/>
  <c r="K2197" s="1"/>
  <c r="K1728"/>
  <c r="H3028" i="18"/>
  <c r="E3170"/>
  <c r="G3029"/>
  <c r="H3029" s="1"/>
  <c r="G3170"/>
  <c r="G3171" s="1"/>
  <c r="H3171" s="1"/>
  <c r="J445" i="17"/>
  <c r="I436"/>
  <c r="I437" s="1"/>
  <c r="I438" s="1"/>
  <c r="J432"/>
  <c r="J435"/>
  <c r="I389"/>
  <c r="I390" s="1"/>
  <c r="I386"/>
  <c r="J386" s="1"/>
  <c r="I405"/>
  <c r="I451" s="1"/>
  <c r="J451" s="1"/>
  <c r="J54"/>
  <c r="G134"/>
  <c r="F1177" i="18"/>
  <c r="H1177" s="1"/>
  <c r="E1170"/>
  <c r="H1170" s="1"/>
  <c r="F1171"/>
  <c r="E1171" s="1"/>
  <c r="I4546" i="7"/>
  <c r="H2729"/>
  <c r="I4248"/>
  <c r="E6388"/>
  <c r="E6397" s="1"/>
  <c r="E6406" s="1"/>
  <c r="K6346"/>
  <c r="I6347" s="1"/>
  <c r="N83"/>
  <c r="U83" s="1"/>
  <c r="D79"/>
  <c r="L83"/>
  <c r="O83" s="1"/>
  <c r="K3632"/>
  <c r="I3645" s="1"/>
  <c r="I2681"/>
  <c r="K2681" s="1"/>
  <c r="I2682" s="1"/>
  <c r="I2683" s="1"/>
  <c r="K2683" s="1"/>
  <c r="K2716"/>
  <c r="I2727" s="1"/>
  <c r="K2727" s="1"/>
  <c r="I2728" s="1"/>
  <c r="H2744"/>
  <c r="H2745" s="1"/>
  <c r="H2764" s="1"/>
  <c r="H2737"/>
  <c r="N34"/>
  <c r="U34" s="1"/>
  <c r="G96"/>
  <c r="N96" s="1"/>
  <c r="N8"/>
  <c r="U8" s="1"/>
  <c r="L36"/>
  <c r="O36" s="1"/>
  <c r="X102"/>
  <c r="J3980"/>
  <c r="K3980" s="1"/>
  <c r="J1920"/>
  <c r="L102"/>
  <c r="G98"/>
  <c r="N98" s="1"/>
  <c r="G79"/>
  <c r="N79" s="1"/>
  <c r="U79" s="1"/>
  <c r="D4912"/>
  <c r="K4228"/>
  <c r="I4254" s="1"/>
  <c r="K3925"/>
  <c r="K3935" s="1"/>
  <c r="K4045"/>
  <c r="K4056" s="1"/>
  <c r="K4060" s="1"/>
  <c r="K4064" s="1"/>
  <c r="K5223"/>
  <c r="K5224" s="1"/>
  <c r="K5384"/>
  <c r="J3376"/>
  <c r="K3376" s="1"/>
  <c r="K3380" s="1"/>
  <c r="K3382" s="1"/>
  <c r="K2235" i="44"/>
  <c r="K2237" s="1"/>
  <c r="H2243" s="1"/>
  <c r="H2249" s="1"/>
  <c r="K2249" s="1"/>
  <c r="K2619"/>
  <c r="K2622" s="1"/>
  <c r="K2624" s="1"/>
  <c r="K2626" s="1"/>
  <c r="I505" s="1"/>
  <c r="K505" s="1"/>
  <c r="L505" s="1"/>
  <c r="J2088"/>
  <c r="K2088" s="1"/>
  <c r="K2092" s="1"/>
  <c r="K2094" s="1"/>
  <c r="J2172"/>
  <c r="K2172" s="1"/>
  <c r="K2176" s="1"/>
  <c r="K2178" s="1"/>
  <c r="J275" i="17"/>
  <c r="K37" i="9"/>
  <c r="J263" i="17"/>
  <c r="J499"/>
  <c r="J501" s="1"/>
  <c r="D502" s="1"/>
  <c r="K502" s="1"/>
  <c r="J85"/>
  <c r="K2390" i="7"/>
  <c r="O2397" s="1"/>
  <c r="G87" i="17"/>
  <c r="G127" s="1"/>
  <c r="K1448" i="44"/>
  <c r="K1450" s="1"/>
  <c r="I338" s="1"/>
  <c r="K338" s="1"/>
  <c r="L338" s="1"/>
  <c r="I337"/>
  <c r="K337" s="1"/>
  <c r="L337" s="1"/>
  <c r="J265" i="17"/>
  <c r="J423"/>
  <c r="K4805" i="44"/>
  <c r="I855" s="1"/>
  <c r="K855" s="1"/>
  <c r="L855" s="1"/>
  <c r="L43" i="11"/>
  <c r="L46" s="1"/>
  <c r="L48" s="1"/>
  <c r="J229" i="17"/>
  <c r="J385"/>
  <c r="I230"/>
  <c r="J230" s="1"/>
  <c r="I536" i="44"/>
  <c r="K536" s="1"/>
  <c r="L536" s="1"/>
  <c r="U193" i="37"/>
  <c r="V193" s="1"/>
  <c r="W193" s="1"/>
  <c r="Y193" s="1"/>
  <c r="K1338" i="7"/>
  <c r="K1342" s="1"/>
  <c r="K1346" s="1"/>
  <c r="Z1346" s="1"/>
  <c r="K1333"/>
  <c r="AA1335" s="1"/>
  <c r="AA1338" s="1"/>
  <c r="H3022" i="18"/>
  <c r="G5014" i="7"/>
  <c r="G5015" s="1"/>
  <c r="G5017" s="1"/>
  <c r="K5017" s="1"/>
  <c r="K5031" s="1"/>
  <c r="K5033" s="1"/>
  <c r="K5035" s="1"/>
  <c r="I854" s="1"/>
  <c r="K854" s="1"/>
  <c r="L854" s="1"/>
  <c r="K21"/>
  <c r="L21" s="1"/>
  <c r="O21" s="1"/>
  <c r="K48"/>
  <c r="K3250"/>
  <c r="N68"/>
  <c r="K5944"/>
  <c r="K4972"/>
  <c r="O4972" s="1"/>
  <c r="K2417"/>
  <c r="K2416"/>
  <c r="K4966"/>
  <c r="G379"/>
  <c r="G339"/>
  <c r="G299"/>
  <c r="G364"/>
  <c r="G324"/>
  <c r="G284"/>
  <c r="G349"/>
  <c r="G374"/>
  <c r="G334"/>
  <c r="G440"/>
  <c r="G446"/>
  <c r="G812"/>
  <c r="G756"/>
  <c r="G647"/>
  <c r="G761"/>
  <c r="G595"/>
  <c r="G687"/>
  <c r="G536"/>
  <c r="G309"/>
  <c r="G274"/>
  <c r="G543"/>
  <c r="G569"/>
  <c r="G608"/>
  <c r="G735"/>
  <c r="G667"/>
  <c r="G652"/>
  <c r="G771"/>
  <c r="G359"/>
  <c r="G319"/>
  <c r="G279"/>
  <c r="G344"/>
  <c r="G304"/>
  <c r="G369"/>
  <c r="G354"/>
  <c r="G797"/>
  <c r="G817"/>
  <c r="G725"/>
  <c r="G582"/>
  <c r="G329"/>
  <c r="G314"/>
  <c r="E2024"/>
  <c r="G714"/>
  <c r="G428"/>
  <c r="G700"/>
  <c r="G289"/>
  <c r="G531"/>
  <c r="G556"/>
  <c r="N57"/>
  <c r="J4610"/>
  <c r="K4610" s="1"/>
  <c r="I4611" s="1"/>
  <c r="I4612" s="1"/>
  <c r="K4750"/>
  <c r="I4750"/>
  <c r="J4511"/>
  <c r="K4511" s="1"/>
  <c r="I4512" s="1"/>
  <c r="I4696"/>
  <c r="J4159"/>
  <c r="K4159" s="1"/>
  <c r="J4577"/>
  <c r="K4577" s="1"/>
  <c r="I4578" s="1"/>
  <c r="J227" i="17"/>
  <c r="I228"/>
  <c r="J228" s="1"/>
  <c r="I194"/>
  <c r="I195" s="1"/>
  <c r="J195" s="1"/>
  <c r="I401"/>
  <c r="I447" s="1"/>
  <c r="JA120" i="6"/>
  <c r="E2302" i="18"/>
  <c r="H2302" s="1"/>
  <c r="H2306" s="1"/>
  <c r="D2964" s="1"/>
  <c r="H2964" s="1"/>
  <c r="F6"/>
  <c r="F8" s="1"/>
  <c r="H1233"/>
  <c r="H1239" s="1"/>
  <c r="Q2000" i="7"/>
  <c r="Q2006"/>
  <c r="G900"/>
  <c r="G1013"/>
  <c r="G998"/>
  <c r="G928"/>
  <c r="G1023"/>
  <c r="G922"/>
  <c r="G958"/>
  <c r="G1018"/>
  <c r="G938"/>
  <c r="G993"/>
  <c r="G895"/>
  <c r="G983"/>
  <c r="G1008"/>
  <c r="G968"/>
  <c r="H2993" i="18"/>
  <c r="G688" i="7"/>
  <c r="G689" s="1"/>
  <c r="G690" s="1"/>
  <c r="G4985"/>
  <c r="G4986" s="1"/>
  <c r="G4988" s="1"/>
  <c r="K4988" s="1"/>
  <c r="K5001" s="1"/>
  <c r="K5003" s="1"/>
  <c r="K5005" s="1"/>
  <c r="I852" s="1"/>
  <c r="K852" s="1"/>
  <c r="L852" s="1"/>
  <c r="G4952"/>
  <c r="G4953" s="1"/>
  <c r="G963"/>
  <c r="E6210"/>
  <c r="G933"/>
  <c r="E5932"/>
  <c r="E3789"/>
  <c r="G916"/>
  <c r="G977"/>
  <c r="G910"/>
  <c r="G987"/>
  <c r="G952"/>
  <c r="G942"/>
  <c r="G972"/>
  <c r="G1002"/>
  <c r="G905"/>
  <c r="G947"/>
  <c r="L24"/>
  <c r="O24" s="1"/>
  <c r="J4180"/>
  <c r="K4180" s="1"/>
  <c r="J4414"/>
  <c r="K4414" s="1"/>
  <c r="N55"/>
  <c r="J4141"/>
  <c r="K4141" s="1"/>
  <c r="J4345"/>
  <c r="K4345" s="1"/>
  <c r="I4346" s="1"/>
  <c r="N53"/>
  <c r="J4105"/>
  <c r="K4105" s="1"/>
  <c r="J4279"/>
  <c r="K4279" s="1"/>
  <c r="I4280" s="1"/>
  <c r="J4123"/>
  <c r="K4123" s="1"/>
  <c r="J4312"/>
  <c r="K4312" s="1"/>
  <c r="I4313" s="1"/>
  <c r="N66"/>
  <c r="K4378"/>
  <c r="I4379" s="1"/>
  <c r="K4696"/>
  <c r="G619"/>
  <c r="L2918"/>
  <c r="G4872" i="18"/>
  <c r="H2730"/>
  <c r="E4090" i="7"/>
  <c r="K2234"/>
  <c r="J3903"/>
  <c r="K3903" s="1"/>
  <c r="K3904" s="1"/>
  <c r="K3542"/>
  <c r="I3555" s="1"/>
  <c r="G806"/>
  <c r="G791"/>
  <c r="G739"/>
  <c r="E3835"/>
  <c r="G729"/>
  <c r="G801"/>
  <c r="G661"/>
  <c r="G671"/>
  <c r="E3651"/>
  <c r="G823"/>
  <c r="G775"/>
  <c r="G656"/>
  <c r="E3743"/>
  <c r="G681"/>
  <c r="G708"/>
  <c r="G719"/>
  <c r="G780"/>
  <c r="G676"/>
  <c r="G744"/>
  <c r="G765"/>
  <c r="J2280"/>
  <c r="K2280" s="1"/>
  <c r="X1420"/>
  <c r="G433"/>
  <c r="G421"/>
  <c r="N10"/>
  <c r="J2462"/>
  <c r="K2462" s="1"/>
  <c r="J2361"/>
  <c r="K2361" s="1"/>
  <c r="X48"/>
  <c r="J4071"/>
  <c r="K4071" s="1"/>
  <c r="H43" i="13"/>
  <c r="J4717" i="7"/>
  <c r="K4717" s="1"/>
  <c r="J4223"/>
  <c r="K4223" s="1"/>
  <c r="N97"/>
  <c r="J2516"/>
  <c r="K2516" s="1"/>
  <c r="J2141"/>
  <c r="K2141" s="1"/>
  <c r="J3626"/>
  <c r="K3626" s="1"/>
  <c r="N12"/>
  <c r="J2184"/>
  <c r="K2184" s="1"/>
  <c r="J3990"/>
  <c r="K3990" s="1"/>
  <c r="L26"/>
  <c r="O26" s="1"/>
  <c r="L9"/>
  <c r="O9" s="1"/>
  <c r="G293"/>
  <c r="L47"/>
  <c r="O47" s="1"/>
  <c r="J2111"/>
  <c r="K2111" s="1"/>
  <c r="N26"/>
  <c r="K11"/>
  <c r="N16"/>
  <c r="N18"/>
  <c r="I1029"/>
  <c r="K1029" s="1"/>
  <c r="L1029" s="1"/>
  <c r="K6489"/>
  <c r="K6493" s="1"/>
  <c r="K6495" s="1"/>
  <c r="K6496" s="1"/>
  <c r="I1027" s="1"/>
  <c r="K1027" s="1"/>
  <c r="L1027" s="1"/>
  <c r="I1086"/>
  <c r="K1086" s="1"/>
  <c r="L1086" s="1"/>
  <c r="E3851"/>
  <c r="E3965"/>
  <c r="DN522" i="4"/>
  <c r="DO522" s="1"/>
  <c r="J4720" i="7"/>
  <c r="K4720" s="1"/>
  <c r="N14"/>
  <c r="J3918"/>
  <c r="K3918" s="1"/>
  <c r="N46"/>
  <c r="J2098"/>
  <c r="K2098" s="1"/>
  <c r="J2341"/>
  <c r="K2341" s="1"/>
  <c r="J2227"/>
  <c r="K2227" s="1"/>
  <c r="J3919"/>
  <c r="K3919" s="1"/>
  <c r="J3536"/>
  <c r="K3536" s="1"/>
  <c r="J4039"/>
  <c r="K4039" s="1"/>
  <c r="J3763"/>
  <c r="K3763" s="1"/>
  <c r="N17"/>
  <c r="J3989"/>
  <c r="K3989" s="1"/>
  <c r="J2461"/>
  <c r="K2461" s="1"/>
  <c r="I1040"/>
  <c r="K1040" s="1"/>
  <c r="L1040" s="1"/>
  <c r="J2573"/>
  <c r="K2573" s="1"/>
  <c r="O2977" s="1"/>
  <c r="O2980" s="1"/>
  <c r="X46"/>
  <c r="J2055"/>
  <c r="K2055" s="1"/>
  <c r="J2407"/>
  <c r="K2407" s="1"/>
  <c r="J1987"/>
  <c r="K1987" s="1"/>
  <c r="Q1987" s="1"/>
  <c r="J2517"/>
  <c r="K2517" s="1"/>
  <c r="J3465"/>
  <c r="K3465" s="1"/>
  <c r="J3809"/>
  <c r="K3809" s="1"/>
  <c r="J3671"/>
  <c r="K3671" s="1"/>
  <c r="N25"/>
  <c r="X17"/>
  <c r="J2406"/>
  <c r="K2406" s="1"/>
  <c r="J3684"/>
  <c r="K3684" s="1"/>
  <c r="J2383"/>
  <c r="K2383" s="1"/>
  <c r="J1930"/>
  <c r="K1930" s="1"/>
  <c r="J1956"/>
  <c r="K1956" s="1"/>
  <c r="J2574"/>
  <c r="K2574" s="1"/>
  <c r="J2384"/>
  <c r="K2384" s="1"/>
  <c r="J2362"/>
  <c r="K2362" s="1"/>
  <c r="J3717"/>
  <c r="K3717" s="1"/>
  <c r="J4454"/>
  <c r="K4454" s="1"/>
  <c r="J4221"/>
  <c r="K4221" s="1"/>
  <c r="L31"/>
  <c r="O31" s="1"/>
  <c r="K3970"/>
  <c r="K3972" s="1"/>
  <c r="J3978" s="1"/>
  <c r="X23"/>
  <c r="J3949"/>
  <c r="K3949" s="1"/>
  <c r="J3960"/>
  <c r="J5520"/>
  <c r="K5520" s="1"/>
  <c r="J3950"/>
  <c r="K3950" s="1"/>
  <c r="E3946"/>
  <c r="J2226"/>
  <c r="K2226" s="1"/>
  <c r="K46"/>
  <c r="J3775" s="1"/>
  <c r="K3775" s="1"/>
  <c r="J2097"/>
  <c r="K2097" s="1"/>
  <c r="N24"/>
  <c r="L27" i="13" s="1"/>
  <c r="X45" i="7"/>
  <c r="K1756"/>
  <c r="K1762" s="1"/>
  <c r="K1766" s="1"/>
  <c r="K1770" s="1"/>
  <c r="K4440"/>
  <c r="I14"/>
  <c r="K14" s="1"/>
  <c r="L14" s="1"/>
  <c r="O14" s="1"/>
  <c r="J1929"/>
  <c r="K1929" s="1"/>
  <c r="DN479" i="4"/>
  <c r="DO479" s="1"/>
  <c r="L55" i="7"/>
  <c r="O55" s="1"/>
  <c r="X47"/>
  <c r="H230"/>
  <c r="I1031"/>
  <c r="K1031" s="1"/>
  <c r="L1031" s="1"/>
  <c r="K5625"/>
  <c r="I5665" s="1"/>
  <c r="A232"/>
  <c r="H232" s="1"/>
  <c r="J5308"/>
  <c r="K5308" s="1"/>
  <c r="K5180"/>
  <c r="K5182" s="1"/>
  <c r="K5183" s="1"/>
  <c r="I862" s="1"/>
  <c r="K862" s="1"/>
  <c r="L862" s="1"/>
  <c r="K5874"/>
  <c r="I5889" s="1"/>
  <c r="K5889" s="1"/>
  <c r="K6420"/>
  <c r="K5982"/>
  <c r="I5997" s="1"/>
  <c r="K5997" s="1"/>
  <c r="U104"/>
  <c r="J2538"/>
  <c r="K2538" s="1"/>
  <c r="J3548"/>
  <c r="K3548" s="1"/>
  <c r="J3930"/>
  <c r="K3930" s="1"/>
  <c r="J2426"/>
  <c r="K2426" s="1"/>
  <c r="J4468"/>
  <c r="K4468" s="1"/>
  <c r="J2375"/>
  <c r="K2375" s="1"/>
  <c r="K5457"/>
  <c r="K1310"/>
  <c r="K1312" s="1"/>
  <c r="G3" i="56"/>
  <c r="B74" i="13"/>
  <c r="B18" i="35"/>
  <c r="B73" i="13"/>
  <c r="B17" i="35"/>
  <c r="H1428" i="18"/>
  <c r="F1429"/>
  <c r="K5497" i="7"/>
  <c r="K5135"/>
  <c r="K5137" s="1"/>
  <c r="K5138" s="1"/>
  <c r="I860" s="1"/>
  <c r="K860" s="1"/>
  <c r="L860" s="1"/>
  <c r="K1779"/>
  <c r="K1731"/>
  <c r="K1736" s="1"/>
  <c r="K1737" s="1"/>
  <c r="K2414"/>
  <c r="I2434" s="1"/>
  <c r="K6501"/>
  <c r="K6505" s="1"/>
  <c r="K6507" s="1"/>
  <c r="K6508" s="1"/>
  <c r="I1028" s="1"/>
  <c r="K1028" s="1"/>
  <c r="L1028" s="1"/>
  <c r="X1396"/>
  <c r="K2062"/>
  <c r="I2077" s="1"/>
  <c r="K2348"/>
  <c r="O2357" s="1"/>
  <c r="K4803"/>
  <c r="K4804" s="1"/>
  <c r="K4807" s="1"/>
  <c r="G4808" s="1"/>
  <c r="K4808" s="1"/>
  <c r="K4809" s="1"/>
  <c r="I839" s="1"/>
  <c r="K839" s="1"/>
  <c r="L839" s="1"/>
  <c r="K5694"/>
  <c r="K5358"/>
  <c r="K6291"/>
  <c r="K1686"/>
  <c r="J5505"/>
  <c r="K5505" s="1"/>
  <c r="J5524"/>
  <c r="K5524" s="1"/>
  <c r="K5477"/>
  <c r="N67"/>
  <c r="U67" s="1"/>
  <c r="K6068"/>
  <c r="I6082" s="1"/>
  <c r="U88"/>
  <c r="K3996"/>
  <c r="I4011" s="1"/>
  <c r="K5155"/>
  <c r="K5157" s="1"/>
  <c r="K5158" s="1"/>
  <c r="I861" s="1"/>
  <c r="K861" s="1"/>
  <c r="L861" s="1"/>
  <c r="K5332"/>
  <c r="K5208"/>
  <c r="K5210" s="1"/>
  <c r="K5211" s="1"/>
  <c r="I863" s="1"/>
  <c r="K863" s="1"/>
  <c r="L863" s="1"/>
  <c r="L56"/>
  <c r="O56" s="1"/>
  <c r="J3244"/>
  <c r="K3244" s="1"/>
  <c r="J5481"/>
  <c r="K5481" s="1"/>
  <c r="J5501"/>
  <c r="K5501" s="1"/>
  <c r="J5485"/>
  <c r="J5445"/>
  <c r="K5445" s="1"/>
  <c r="J4781"/>
  <c r="K4781" s="1"/>
  <c r="K4783" s="1"/>
  <c r="K5499"/>
  <c r="L71"/>
  <c r="O71" s="1"/>
  <c r="K5219"/>
  <c r="K2191"/>
  <c r="K4774"/>
  <c r="K4776" s="1"/>
  <c r="K4777" s="1"/>
  <c r="I837" s="1"/>
  <c r="K837" s="1"/>
  <c r="L837" s="1"/>
  <c r="K5410"/>
  <c r="O5410" s="1"/>
  <c r="K5289"/>
  <c r="K5291" s="1"/>
  <c r="K5292" s="1"/>
  <c r="K5293" s="1"/>
  <c r="K1902"/>
  <c r="K2369"/>
  <c r="O2378" s="1"/>
  <c r="N93"/>
  <c r="DN514" i="4"/>
  <c r="DO514" s="1"/>
  <c r="K5437" i="7"/>
  <c r="J5465"/>
  <c r="K5465" s="1"/>
  <c r="J5441"/>
  <c r="K5441" s="1"/>
  <c r="J5461"/>
  <c r="L73"/>
  <c r="O73" s="1"/>
  <c r="J2627"/>
  <c r="K2627" s="1"/>
  <c r="DN483" i="4"/>
  <c r="DO483" s="1"/>
  <c r="DN453"/>
  <c r="DO453" s="1"/>
  <c r="DN477"/>
  <c r="DO477" s="1"/>
  <c r="DN465"/>
  <c r="DO465" s="1"/>
  <c r="DN459"/>
  <c r="DO459" s="1"/>
  <c r="H4439" i="18"/>
  <c r="H4386"/>
  <c r="H4395"/>
  <c r="H4404"/>
  <c r="H4413"/>
  <c r="H4430"/>
  <c r="U49" i="7"/>
  <c r="DN105" i="4"/>
  <c r="K5406" i="7"/>
  <c r="DN533" i="4"/>
  <c r="DO533" s="1"/>
  <c r="DN460"/>
  <c r="DO460" s="1"/>
  <c r="DN471"/>
  <c r="DO471" s="1"/>
  <c r="DN101"/>
  <c r="DN441"/>
  <c r="DO83"/>
  <c r="EJ83" s="1"/>
  <c r="H205"/>
  <c r="G206"/>
  <c r="H206" s="1"/>
  <c r="G210"/>
  <c r="H210" s="1"/>
  <c r="H208"/>
  <c r="DN558"/>
  <c r="DO558" s="1"/>
  <c r="DN489"/>
  <c r="DO84"/>
  <c r="EJ84" s="1"/>
  <c r="DN502"/>
  <c r="DO502" s="1"/>
  <c r="DN454"/>
  <c r="DO454" s="1"/>
  <c r="DN509"/>
  <c r="DO509" s="1"/>
  <c r="DN527"/>
  <c r="DO527" s="1"/>
  <c r="DN484"/>
  <c r="DO484" s="1"/>
  <c r="DN466"/>
  <c r="DO466" s="1"/>
  <c r="L34" i="13"/>
  <c r="L15" i="7"/>
  <c r="O15" s="1"/>
  <c r="U21"/>
  <c r="U20"/>
  <c r="L17"/>
  <c r="O17" s="1"/>
  <c r="L29"/>
  <c r="O29" s="1"/>
  <c r="J1975"/>
  <c r="K1975" s="1"/>
  <c r="I1976" s="1"/>
  <c r="U82"/>
  <c r="L36" i="13"/>
  <c r="DN531" i="4"/>
  <c r="DO531" s="1"/>
  <c r="DN495"/>
  <c r="DO495" s="1"/>
  <c r="DN513"/>
  <c r="DO513" s="1"/>
  <c r="DN507"/>
  <c r="DO507" s="1"/>
  <c r="DN501"/>
  <c r="DO501" s="1"/>
  <c r="DN519"/>
  <c r="DO519" s="1"/>
  <c r="DN525"/>
  <c r="DO525" s="1"/>
  <c r="CS245"/>
  <c r="CS243"/>
  <c r="CW243" s="1"/>
  <c r="CW242"/>
  <c r="L45" i="7"/>
  <c r="L8"/>
  <c r="O8" s="1"/>
  <c r="J2886"/>
  <c r="K2886" s="1"/>
  <c r="J2183"/>
  <c r="K2183" s="1"/>
  <c r="L37"/>
  <c r="X54"/>
  <c r="N58"/>
  <c r="N47"/>
  <c r="N45"/>
  <c r="J1947"/>
  <c r="K1947" s="1"/>
  <c r="I1948" s="1"/>
  <c r="X56"/>
  <c r="J2026"/>
  <c r="K2026" s="1"/>
  <c r="I2027" s="1"/>
  <c r="K2027" s="1"/>
  <c r="N74"/>
  <c r="J2799"/>
  <c r="K2799" s="1"/>
  <c r="X104"/>
  <c r="X15"/>
  <c r="X55"/>
  <c r="N9"/>
  <c r="J2140"/>
  <c r="K2140" s="1"/>
  <c r="N13"/>
  <c r="N54"/>
  <c r="N56"/>
  <c r="E6063"/>
  <c r="E6080" s="1"/>
  <c r="E6088" s="1"/>
  <c r="E6096" s="1"/>
  <c r="B4408"/>
  <c r="E2118"/>
  <c r="U105"/>
  <c r="IA170" i="6"/>
  <c r="D50" i="12"/>
  <c r="J70" i="9"/>
  <c r="K6970" i="18"/>
  <c r="Q45" i="27"/>
  <c r="G20" i="12"/>
  <c r="I20" s="1"/>
  <c r="I18"/>
  <c r="G822" i="7"/>
  <c r="G831"/>
  <c r="E4054"/>
  <c r="E6038"/>
  <c r="B4662"/>
  <c r="B4712" s="1"/>
  <c r="A80" i="18"/>
  <c r="G454" i="7"/>
  <c r="U103"/>
  <c r="U108"/>
  <c r="B4342"/>
  <c r="K2806"/>
  <c r="I2816" s="1"/>
  <c r="E4218"/>
  <c r="G455"/>
  <c r="U106"/>
  <c r="E3643"/>
  <c r="B4102"/>
  <c r="B4276" s="1"/>
  <c r="B4508" s="1"/>
  <c r="B4693" s="1"/>
  <c r="B4747" s="1"/>
  <c r="E2948"/>
  <c r="E2954" s="1"/>
  <c r="E2959" s="1"/>
  <c r="E2965" s="1"/>
  <c r="E2970" s="1"/>
  <c r="E2976" s="1"/>
  <c r="U107"/>
  <c r="K2849"/>
  <c r="K2634"/>
  <c r="O2636" s="1"/>
  <c r="K2894"/>
  <c r="O2896" s="1"/>
  <c r="E6246"/>
  <c r="E5995"/>
  <c r="E4310"/>
  <c r="E4318" s="1"/>
  <c r="E4326" s="1"/>
  <c r="E4334" s="1"/>
  <c r="G1025"/>
  <c r="E3827"/>
  <c r="E4103"/>
  <c r="E4108" s="1"/>
  <c r="E4112" s="1"/>
  <c r="E4116" s="1"/>
  <c r="E3508"/>
  <c r="K2762"/>
  <c r="K1825" i="44"/>
  <c r="J334" i="17"/>
  <c r="K5328" i="7"/>
  <c r="K5380"/>
  <c r="L18"/>
  <c r="N72"/>
  <c r="L54"/>
  <c r="O54" s="1"/>
  <c r="J5794" i="18"/>
  <c r="L5794" s="1"/>
  <c r="K5354" i="7"/>
  <c r="I57"/>
  <c r="K57" s="1"/>
  <c r="L57" s="1"/>
  <c r="O57" s="1"/>
  <c r="L23"/>
  <c r="O23" s="1"/>
  <c r="I1087"/>
  <c r="K1087" s="1"/>
  <c r="L1087" s="1"/>
  <c r="I1032"/>
  <c r="K1032" s="1"/>
  <c r="L1032" s="1"/>
  <c r="J5802" i="18"/>
  <c r="L5802" s="1"/>
  <c r="K2524" i="7"/>
  <c r="I4611" i="44"/>
  <c r="K4595"/>
  <c r="K4597" s="1"/>
  <c r="I770" s="1"/>
  <c r="K770" s="1"/>
  <c r="L770" s="1"/>
  <c r="I4718"/>
  <c r="K4702"/>
  <c r="K4704" s="1"/>
  <c r="I814" s="1"/>
  <c r="K814" s="1"/>
  <c r="L814" s="1"/>
  <c r="H2161"/>
  <c r="K2161" s="1"/>
  <c r="K2155"/>
  <c r="I4628"/>
  <c r="K4612"/>
  <c r="A207"/>
  <c r="H206"/>
  <c r="I4601"/>
  <c r="K4585"/>
  <c r="K2787"/>
  <c r="K2789" s="1"/>
  <c r="I546" s="1"/>
  <c r="K546" s="1"/>
  <c r="L546" s="1"/>
  <c r="I545"/>
  <c r="K545" s="1"/>
  <c r="L545" s="1"/>
  <c r="A155"/>
  <c r="H156"/>
  <c r="K2079"/>
  <c r="K2081" s="1"/>
  <c r="I425" s="1"/>
  <c r="K425" s="1"/>
  <c r="L425" s="1"/>
  <c r="I424"/>
  <c r="K424" s="1"/>
  <c r="L424" s="1"/>
  <c r="I4812"/>
  <c r="K4808"/>
  <c r="I4724"/>
  <c r="K4708"/>
  <c r="K2614"/>
  <c r="K2616" s="1"/>
  <c r="I502" s="1"/>
  <c r="K502" s="1"/>
  <c r="L502" s="1"/>
  <c r="I501"/>
  <c r="K501" s="1"/>
  <c r="L501" s="1"/>
  <c r="I4722"/>
  <c r="K4706"/>
  <c r="H2136"/>
  <c r="K2136" s="1"/>
  <c r="K2130"/>
  <c r="I4711"/>
  <c r="K4695"/>
  <c r="K1762"/>
  <c r="I375"/>
  <c r="K375" s="1"/>
  <c r="L375" s="1"/>
  <c r="I4604"/>
  <c r="K4588"/>
  <c r="A1039"/>
  <c r="A264"/>
  <c r="I4591"/>
  <c r="K4575"/>
  <c r="K4807"/>
  <c r="I4811"/>
  <c r="K4571"/>
  <c r="I760" s="1"/>
  <c r="K760" s="1"/>
  <c r="L760" s="1"/>
  <c r="K4691"/>
  <c r="I809" s="1"/>
  <c r="K809" s="1"/>
  <c r="L809" s="1"/>
  <c r="I4589"/>
  <c r="I4576"/>
  <c r="K4573"/>
  <c r="K4574" s="1"/>
  <c r="I761" s="1"/>
  <c r="K761" s="1"/>
  <c r="L761" s="1"/>
  <c r="I4715"/>
  <c r="K4699"/>
  <c r="K4701" s="1"/>
  <c r="I813" s="1"/>
  <c r="K813" s="1"/>
  <c r="L813" s="1"/>
  <c r="I4748"/>
  <c r="K4732"/>
  <c r="I4709"/>
  <c r="I4696"/>
  <c r="K4693"/>
  <c r="K4694" s="1"/>
  <c r="I810" s="1"/>
  <c r="K810" s="1"/>
  <c r="L810" s="1"/>
  <c r="H2223"/>
  <c r="K2223" s="1"/>
  <c r="K2217"/>
  <c r="K4599"/>
  <c r="I4615"/>
  <c r="H75"/>
  <c r="H74"/>
  <c r="I74" s="1"/>
  <c r="K74" s="1"/>
  <c r="L74" s="1"/>
  <c r="O74" s="1"/>
  <c r="I73"/>
  <c r="K4719"/>
  <c r="I4735"/>
  <c r="I4721"/>
  <c r="K4705"/>
  <c r="I4602"/>
  <c r="K4586"/>
  <c r="I4598"/>
  <c r="K4582"/>
  <c r="K4584" s="1"/>
  <c r="I765" s="1"/>
  <c r="K765" s="1"/>
  <c r="L765" s="1"/>
  <c r="J1835"/>
  <c r="K72"/>
  <c r="L72" s="1"/>
  <c r="O72" s="1"/>
  <c r="X72"/>
  <c r="K2777"/>
  <c r="K2779" s="1"/>
  <c r="I543" s="1"/>
  <c r="K543" s="1"/>
  <c r="L543" s="1"/>
  <c r="I542"/>
  <c r="K542" s="1"/>
  <c r="L542" s="1"/>
  <c r="K2469" i="7"/>
  <c r="I2489" s="1"/>
  <c r="K6479"/>
  <c r="K6481" s="1"/>
  <c r="K6482" s="1"/>
  <c r="I1025" s="1"/>
  <c r="K1025" s="1"/>
  <c r="L1025" s="1"/>
  <c r="I1085"/>
  <c r="K1085" s="1"/>
  <c r="L1085" s="1"/>
  <c r="X1397"/>
  <c r="I1030"/>
  <c r="K1030" s="1"/>
  <c r="L1030" s="1"/>
  <c r="I1084"/>
  <c r="K1084" s="1"/>
  <c r="L1084" s="1"/>
  <c r="K3880"/>
  <c r="O3884" s="1"/>
  <c r="K6110"/>
  <c r="I6124" s="1"/>
  <c r="K47" i="9"/>
  <c r="C48"/>
  <c r="K48" s="1"/>
  <c r="H2734" i="18"/>
  <c r="H1169"/>
  <c r="E1241"/>
  <c r="H1241" s="1"/>
  <c r="E1367"/>
  <c r="H1367" s="1"/>
  <c r="F1397"/>
  <c r="F1398" s="1"/>
  <c r="F1399" s="1"/>
  <c r="H1399" s="1"/>
  <c r="K31" i="9"/>
  <c r="K32" s="1"/>
  <c r="H44" i="13"/>
  <c r="H51"/>
  <c r="K51" s="1"/>
  <c r="H2871" i="18"/>
  <c r="H4351"/>
  <c r="H4352" s="1"/>
  <c r="E1257"/>
  <c r="H1257" s="1"/>
  <c r="E1366"/>
  <c r="H1366" s="1"/>
  <c r="E2740"/>
  <c r="H2740" s="1"/>
  <c r="J84" i="17"/>
  <c r="J40"/>
  <c r="J45" s="1"/>
  <c r="E1249" i="18"/>
  <c r="H1249" s="1"/>
  <c r="H2731"/>
  <c r="E3023"/>
  <c r="E2702"/>
  <c r="E2873" s="1"/>
  <c r="F1563"/>
  <c r="J48" i="17"/>
  <c r="J340"/>
  <c r="J342"/>
  <c r="G3020" i="18"/>
  <c r="G3021" s="1"/>
  <c r="H3021" s="1"/>
  <c r="H3018"/>
  <c r="G3210"/>
  <c r="H3210" s="1"/>
  <c r="J481" i="17"/>
  <c r="D482" s="1"/>
  <c r="K482" s="1"/>
  <c r="J379"/>
  <c r="J380" s="1"/>
  <c r="H436"/>
  <c r="J436" s="1"/>
  <c r="H330"/>
  <c r="H355" s="1"/>
  <c r="G512" s="1"/>
  <c r="J253"/>
  <c r="J255" s="1"/>
  <c r="H183"/>
  <c r="G180"/>
  <c r="U99" i="7"/>
  <c r="U61"/>
  <c r="U89"/>
  <c r="U65"/>
  <c r="U60"/>
  <c r="U92"/>
  <c r="U81"/>
  <c r="U62"/>
  <c r="U100"/>
  <c r="U80"/>
  <c r="U90"/>
  <c r="U101"/>
  <c r="U73"/>
  <c r="U91"/>
  <c r="U95"/>
  <c r="U52"/>
  <c r="J128" i="17"/>
  <c r="J341"/>
  <c r="J216"/>
  <c r="U48" i="7"/>
  <c r="U44"/>
  <c r="U23"/>
  <c r="U19"/>
  <c r="U15"/>
  <c r="U11"/>
  <c r="G120"/>
  <c r="L120" s="1"/>
  <c r="F50" s="1"/>
  <c r="G50" s="1"/>
  <c r="H5273" i="18"/>
  <c r="H5101"/>
  <c r="H5102"/>
  <c r="H3208"/>
  <c r="H3032"/>
  <c r="H1171"/>
  <c r="H1147"/>
  <c r="H1148"/>
  <c r="H2868"/>
  <c r="H2869"/>
  <c r="H2870"/>
  <c r="G2873"/>
  <c r="H2872"/>
  <c r="G2700"/>
  <c r="H2699"/>
  <c r="F1259"/>
  <c r="H1251"/>
  <c r="F1243"/>
  <c r="E1242"/>
  <c r="H1242" s="1"/>
  <c r="K2473" i="7"/>
  <c r="J2068"/>
  <c r="K2068" s="1"/>
  <c r="J2396"/>
  <c r="K2396" s="1"/>
  <c r="J3477"/>
  <c r="K3477" s="1"/>
  <c r="J2295"/>
  <c r="K2295" s="1"/>
  <c r="J4004"/>
  <c r="K4004" s="1"/>
  <c r="J4730"/>
  <c r="K4730" s="1"/>
  <c r="J3822"/>
  <c r="K3822" s="1"/>
  <c r="J5562"/>
  <c r="K5562" s="1"/>
  <c r="K5563" s="1"/>
  <c r="J1942"/>
  <c r="K1942" s="1"/>
  <c r="J2356"/>
  <c r="K2356" s="1"/>
  <c r="J2481"/>
  <c r="K2481" s="1"/>
  <c r="J2240"/>
  <c r="K2240" s="1"/>
  <c r="J2589"/>
  <c r="K2589" s="1"/>
  <c r="J4051"/>
  <c r="K4051" s="1"/>
  <c r="J3730"/>
  <c r="K3730" s="1"/>
  <c r="J4235"/>
  <c r="K4235" s="1"/>
  <c r="J1999"/>
  <c r="K1999" s="1"/>
  <c r="J2154"/>
  <c r="K2154" s="1"/>
  <c r="J2197"/>
  <c r="K2197" s="1"/>
  <c r="J1968"/>
  <c r="K1968" s="1"/>
  <c r="J2377"/>
  <c r="K2377" s="1"/>
  <c r="J3776"/>
  <c r="K3776" s="1"/>
  <c r="J3638"/>
  <c r="K3638" s="1"/>
  <c r="J4082"/>
  <c r="K4082" s="1"/>
  <c r="I44"/>
  <c r="K44" s="1"/>
  <c r="K5258"/>
  <c r="K5260" s="1"/>
  <c r="K5261" s="1"/>
  <c r="K2289"/>
  <c r="K5919"/>
  <c r="K5926" s="1"/>
  <c r="K6198"/>
  <c r="K6204" s="1"/>
  <c r="K6208" s="1"/>
  <c r="K6212" s="1"/>
  <c r="K13"/>
  <c r="K20"/>
  <c r="L20" s="1"/>
  <c r="K4820"/>
  <c r="K4824" s="1"/>
  <c r="G4825" s="1"/>
  <c r="K4825" s="1"/>
  <c r="K4826" s="1"/>
  <c r="I840" s="1"/>
  <c r="K840" s="1"/>
  <c r="L840" s="1"/>
  <c r="I27"/>
  <c r="K27" s="1"/>
  <c r="L27" s="1"/>
  <c r="O27" s="1"/>
  <c r="K4078"/>
  <c r="V315" i="37"/>
  <c r="W315" s="1"/>
  <c r="Y315" s="1"/>
  <c r="U316"/>
  <c r="U372"/>
  <c r="V371"/>
  <c r="W371" s="1"/>
  <c r="Y371" s="1"/>
  <c r="U127"/>
  <c r="V126"/>
  <c r="W126" s="1"/>
  <c r="Y126" s="1"/>
  <c r="U15"/>
  <c r="V14"/>
  <c r="W14" s="1"/>
  <c r="Y14" s="1"/>
  <c r="V99"/>
  <c r="W99" s="1"/>
  <c r="Y99" s="1"/>
  <c r="U100"/>
  <c r="V136"/>
  <c r="W136" s="1"/>
  <c r="Y136" s="1"/>
  <c r="U137"/>
  <c r="V178"/>
  <c r="W178" s="1"/>
  <c r="Y178" s="1"/>
  <c r="U179"/>
  <c r="V206"/>
  <c r="W206" s="1"/>
  <c r="Y206" s="1"/>
  <c r="U209"/>
  <c r="V161"/>
  <c r="W161" s="1"/>
  <c r="Y161" s="1"/>
  <c r="U162"/>
  <c r="U112"/>
  <c r="V111"/>
  <c r="W111" s="1"/>
  <c r="Y111" s="1"/>
  <c r="U22"/>
  <c r="V21"/>
  <c r="W21" s="1"/>
  <c r="Y21" s="1"/>
  <c r="U154"/>
  <c r="V153"/>
  <c r="W153" s="1"/>
  <c r="Y153" s="1"/>
  <c r="G421" i="17"/>
  <c r="G469" s="1"/>
  <c r="J469" s="1"/>
  <c r="G196"/>
  <c r="J196" s="1"/>
  <c r="F573"/>
  <c r="J573" s="1"/>
  <c r="J547"/>
  <c r="F557"/>
  <c r="J557" s="1"/>
  <c r="G452"/>
  <c r="J320"/>
  <c r="F321"/>
  <c r="J321" s="1"/>
  <c r="F111"/>
  <c r="J542"/>
  <c r="F568"/>
  <c r="J568" s="1"/>
  <c r="J313"/>
  <c r="I314"/>
  <c r="J314" s="1"/>
  <c r="J331"/>
  <c r="F356"/>
  <c r="B389"/>
  <c r="B265"/>
  <c r="B242"/>
  <c r="D424"/>
  <c r="K424" s="1"/>
  <c r="J524"/>
  <c r="J531" s="1"/>
  <c r="G518"/>
  <c r="J485"/>
  <c r="J494" s="1"/>
  <c r="D495" s="1"/>
  <c r="K495" s="1"/>
  <c r="J154"/>
  <c r="H57"/>
  <c r="H102" s="1"/>
  <c r="H29"/>
  <c r="G28"/>
  <c r="G422"/>
  <c r="G470" s="1"/>
  <c r="J470" s="1"/>
  <c r="G197"/>
  <c r="J197" s="1"/>
  <c r="G571"/>
  <c r="G555"/>
  <c r="H61"/>
  <c r="H106" s="1"/>
  <c r="H33"/>
  <c r="G32"/>
  <c r="F570"/>
  <c r="J570" s="1"/>
  <c r="J544"/>
  <c r="B386"/>
  <c r="B261"/>
  <c r="B239"/>
  <c r="B243"/>
  <c r="B390"/>
  <c r="B270"/>
  <c r="G168"/>
  <c r="H169"/>
  <c r="F351"/>
  <c r="J326"/>
  <c r="I64"/>
  <c r="I62"/>
  <c r="J358"/>
  <c r="J311"/>
  <c r="J245"/>
  <c r="G246" s="1"/>
  <c r="J246" s="1"/>
  <c r="J248" s="1"/>
  <c r="E291" s="1"/>
  <c r="G120"/>
  <c r="J120" s="1"/>
  <c r="J123" s="1"/>
  <c r="J75"/>
  <c r="G572"/>
  <c r="G556"/>
  <c r="F109"/>
  <c r="F569"/>
  <c r="J569" s="1"/>
  <c r="J543"/>
  <c r="F106"/>
  <c r="J446"/>
  <c r="F545"/>
  <c r="F434"/>
  <c r="J434" s="1"/>
  <c r="F328"/>
  <c r="J308"/>
  <c r="F148"/>
  <c r="F98"/>
  <c r="J92"/>
  <c r="G390"/>
  <c r="H397"/>
  <c r="H219"/>
  <c r="G218"/>
  <c r="B260"/>
  <c r="B236"/>
  <c r="B385"/>
  <c r="F141"/>
  <c r="H344"/>
  <c r="J343"/>
  <c r="J439"/>
  <c r="G532" s="1"/>
  <c r="J266"/>
  <c r="J217"/>
  <c r="J129"/>
  <c r="J333"/>
  <c r="J310"/>
  <c r="F433"/>
  <c r="J433" s="1"/>
  <c r="F327"/>
  <c r="J307"/>
  <c r="F110"/>
  <c r="F438"/>
  <c r="F332"/>
  <c r="J312"/>
  <c r="J79"/>
  <c r="I80"/>
  <c r="F107"/>
  <c r="J27"/>
  <c r="G56"/>
  <c r="F574"/>
  <c r="F142"/>
  <c r="H150"/>
  <c r="G150" s="1"/>
  <c r="G149"/>
  <c r="F143"/>
  <c r="F558"/>
  <c r="J558" s="1"/>
  <c r="J549"/>
  <c r="F575"/>
  <c r="J575" s="1"/>
  <c r="F355"/>
  <c r="J329"/>
  <c r="F354"/>
  <c r="M46" i="11"/>
  <c r="I48"/>
  <c r="M48" s="1"/>
  <c r="M39"/>
  <c r="G27" i="9"/>
  <c r="K11"/>
  <c r="K12" s="1"/>
  <c r="O105" i="7"/>
  <c r="J4840"/>
  <c r="K4831"/>
  <c r="J2109"/>
  <c r="K2109" s="1"/>
  <c r="J2066"/>
  <c r="K2066" s="1"/>
  <c r="H156"/>
  <c r="A155"/>
  <c r="J1966"/>
  <c r="K1966" s="1"/>
  <c r="J1940"/>
  <c r="K1940" s="1"/>
  <c r="K5274"/>
  <c r="J5275"/>
  <c r="K5275" s="1"/>
  <c r="K1842"/>
  <c r="K1843" s="1"/>
  <c r="Z1535"/>
  <c r="K1534"/>
  <c r="K1535" s="1"/>
  <c r="K1538"/>
  <c r="K1542" s="1"/>
  <c r="K1546" s="1"/>
  <c r="K1378"/>
  <c r="K1379" s="1"/>
  <c r="K1382"/>
  <c r="K1386" s="1"/>
  <c r="K1390" s="1"/>
  <c r="Z1379"/>
  <c r="K1604"/>
  <c r="K1608" s="1"/>
  <c r="K1612" s="1"/>
  <c r="Z1601"/>
  <c r="K1600"/>
  <c r="K1601" s="1"/>
  <c r="K1874"/>
  <c r="K6335"/>
  <c r="K6336" s="1"/>
  <c r="DN559" i="4"/>
  <c r="DO559" s="1"/>
  <c r="I1063" i="7"/>
  <c r="K1063" s="1"/>
  <c r="L1063" s="1"/>
  <c r="I1081"/>
  <c r="K1081" s="1"/>
  <c r="L1081" s="1"/>
  <c r="J2797"/>
  <c r="K2797" s="1"/>
  <c r="J2707"/>
  <c r="K2707" s="1"/>
  <c r="J2662"/>
  <c r="K2662" s="1"/>
  <c r="N77"/>
  <c r="J2755"/>
  <c r="K2755" s="1"/>
  <c r="N75"/>
  <c r="J2195"/>
  <c r="K2195" s="1"/>
  <c r="J2152"/>
  <c r="K2152" s="1"/>
  <c r="D22"/>
  <c r="D23" s="1"/>
  <c r="D19"/>
  <c r="D20" s="1"/>
  <c r="D21" s="1"/>
  <c r="K2148"/>
  <c r="K5051"/>
  <c r="K4906"/>
  <c r="K4673"/>
  <c r="K4725"/>
  <c r="K5831"/>
  <c r="I5846" s="1"/>
  <c r="K6445"/>
  <c r="K6455" s="1"/>
  <c r="K6459" s="1"/>
  <c r="K6463" s="1"/>
  <c r="K1444"/>
  <c r="K1446" s="1"/>
  <c r="K2580"/>
  <c r="I2597" s="1"/>
  <c r="K3894"/>
  <c r="O3898" s="1"/>
  <c r="K3769"/>
  <c r="I3783" s="1"/>
  <c r="K3815"/>
  <c r="I3829" s="1"/>
  <c r="K3908"/>
  <c r="O3912" s="1"/>
  <c r="K5419"/>
  <c r="L25"/>
  <c r="O25" s="1"/>
  <c r="X73"/>
  <c r="K2528"/>
  <c r="E6190"/>
  <c r="E6262"/>
  <c r="E6274" s="1"/>
  <c r="E5952"/>
  <c r="Z1492"/>
  <c r="K1491"/>
  <c r="K1492" s="1"/>
  <c r="K1495"/>
  <c r="K1499" s="1"/>
  <c r="K1503" s="1"/>
  <c r="Z1667"/>
  <c r="K1666"/>
  <c r="K1667" s="1"/>
  <c r="K1670"/>
  <c r="K1674" s="1"/>
  <c r="K1678" s="1"/>
  <c r="Z1335"/>
  <c r="K1516"/>
  <c r="K1520" s="1"/>
  <c r="K1513"/>
  <c r="Z1513"/>
  <c r="K1560"/>
  <c r="K1564" s="1"/>
  <c r="K1568" s="1"/>
  <c r="Z1557"/>
  <c r="K1556"/>
  <c r="K1557" s="1"/>
  <c r="K1715"/>
  <c r="K1719" s="1"/>
  <c r="K1723" s="1"/>
  <c r="Z1712"/>
  <c r="K1711"/>
  <c r="K1712" s="1"/>
  <c r="K3857"/>
  <c r="K3858" s="1"/>
  <c r="K3859" s="1"/>
  <c r="O3858" s="1"/>
  <c r="K3862"/>
  <c r="K3866" s="1"/>
  <c r="K3870" s="1"/>
  <c r="K1884"/>
  <c r="K1885" s="1"/>
  <c r="K6469"/>
  <c r="K6470" s="1"/>
  <c r="K6472" s="1"/>
  <c r="K6473" s="1"/>
  <c r="I1024" s="1"/>
  <c r="K1024" s="1"/>
  <c r="L1024" s="1"/>
  <c r="I1082"/>
  <c r="K1082" s="1"/>
  <c r="L1082" s="1"/>
  <c r="I1069"/>
  <c r="K1069" s="1"/>
  <c r="L1069" s="1"/>
  <c r="I1079"/>
  <c r="K1079" s="1"/>
  <c r="L1079" s="1"/>
  <c r="O103"/>
  <c r="N86"/>
  <c r="J2664"/>
  <c r="K2664" s="1"/>
  <c r="J2754"/>
  <c r="K2754" s="1"/>
  <c r="N76"/>
  <c r="I108"/>
  <c r="I75"/>
  <c r="K2105"/>
  <c r="I2120" s="1"/>
  <c r="K3296"/>
  <c r="K3298" s="1"/>
  <c r="K4461"/>
  <c r="I4486" s="1"/>
  <c r="I4519" s="1"/>
  <c r="I4552" s="1"/>
  <c r="K4789"/>
  <c r="K5303"/>
  <c r="K6025"/>
  <c r="I6040" s="1"/>
  <c r="K6266"/>
  <c r="K5265"/>
  <c r="K5763"/>
  <c r="K6376"/>
  <c r="I6390" s="1"/>
  <c r="K6390" s="1"/>
  <c r="K6152"/>
  <c r="I6167" s="1"/>
  <c r="K1962"/>
  <c r="O1969" s="1"/>
  <c r="O1975" s="1"/>
  <c r="K3723"/>
  <c r="I3737" s="1"/>
  <c r="K3677"/>
  <c r="I3691" s="1"/>
  <c r="K6223"/>
  <c r="K4938"/>
  <c r="K4940" s="1"/>
  <c r="K4669"/>
  <c r="E6416"/>
  <c r="E6428" s="1"/>
  <c r="E6432" s="1"/>
  <c r="E6436" s="1"/>
  <c r="E6227"/>
  <c r="E3735"/>
  <c r="E2326"/>
  <c r="K1863"/>
  <c r="K1864" s="1"/>
  <c r="E3781"/>
  <c r="G693"/>
  <c r="B4120"/>
  <c r="B762"/>
  <c r="J3257"/>
  <c r="K3257" s="1"/>
  <c r="X72"/>
  <c r="K72"/>
  <c r="L72" s="1"/>
  <c r="J4898"/>
  <c r="K4898" s="1"/>
  <c r="K4902" s="1"/>
  <c r="K4871"/>
  <c r="K4880" s="1"/>
  <c r="K4882" s="1"/>
  <c r="B4067"/>
  <c r="B752"/>
  <c r="I22"/>
  <c r="I19"/>
  <c r="K19" s="1"/>
  <c r="L19" s="1"/>
  <c r="I16"/>
  <c r="Z1623"/>
  <c r="K1622"/>
  <c r="K1623" s="1"/>
  <c r="K1626"/>
  <c r="K1630" s="1"/>
  <c r="K1634" s="1"/>
  <c r="K1895"/>
  <c r="K1896" s="1"/>
  <c r="I397" s="1"/>
  <c r="K397" s="1"/>
  <c r="L397" s="1"/>
  <c r="K1469"/>
  <c r="K1470" s="1"/>
  <c r="K1473"/>
  <c r="K1477" s="1"/>
  <c r="K1481" s="1"/>
  <c r="Z1470"/>
  <c r="K1853"/>
  <c r="I1065"/>
  <c r="K1065" s="1"/>
  <c r="L1065" s="1"/>
  <c r="I1080"/>
  <c r="K1080" s="1"/>
  <c r="L1080" s="1"/>
  <c r="I1064"/>
  <c r="K1064" s="1"/>
  <c r="L1064" s="1"/>
  <c r="J127"/>
  <c r="L127" s="1"/>
  <c r="H128"/>
  <c r="N78"/>
  <c r="N94"/>
  <c r="K5112"/>
  <c r="K1993"/>
  <c r="K5075"/>
  <c r="X9"/>
  <c r="X12"/>
  <c r="X105"/>
  <c r="K4839"/>
  <c r="I4851"/>
  <c r="G4852" s="1"/>
  <c r="K4852" s="1"/>
  <c r="G4843"/>
  <c r="K4843" s="1"/>
  <c r="O106"/>
  <c r="I1072"/>
  <c r="K1072" s="1"/>
  <c r="L1072" s="1"/>
  <c r="I1070"/>
  <c r="K1070" s="1"/>
  <c r="L1070" s="1"/>
  <c r="X53"/>
  <c r="K53"/>
  <c r="J3928"/>
  <c r="K3928" s="1"/>
  <c r="J2394"/>
  <c r="K2394" s="1"/>
  <c r="J2586"/>
  <c r="K2586" s="1"/>
  <c r="J4048"/>
  <c r="K4048" s="1"/>
  <c r="N1997"/>
  <c r="A1348"/>
  <c r="A285"/>
  <c r="Z1357"/>
  <c r="K1356"/>
  <c r="K1357" s="1"/>
  <c r="K1360"/>
  <c r="K1364" s="1"/>
  <c r="K1368" s="1"/>
  <c r="Z1579"/>
  <c r="K1578"/>
  <c r="K1579" s="1"/>
  <c r="K1582"/>
  <c r="K1586" s="1"/>
  <c r="K1590" s="1"/>
  <c r="K1806"/>
  <c r="K1832"/>
  <c r="K1648"/>
  <c r="K1652" s="1"/>
  <c r="K1656" s="1"/>
  <c r="Z1645"/>
  <c r="K1644"/>
  <c r="K1645" s="1"/>
  <c r="K1821"/>
  <c r="K1822" s="1"/>
  <c r="I1078"/>
  <c r="K1078" s="1"/>
  <c r="L1078" s="1"/>
  <c r="I1075"/>
  <c r="K1075" s="1"/>
  <c r="L1075" s="1"/>
  <c r="E2075"/>
  <c r="E1826"/>
  <c r="E1658"/>
  <c r="E1659" s="1"/>
  <c r="E1668" s="1"/>
  <c r="E1672" s="1"/>
  <c r="E1676" s="1"/>
  <c r="K2247"/>
  <c r="K2159"/>
  <c r="X1419"/>
  <c r="K1419"/>
  <c r="K1421" s="1"/>
  <c r="K1423" s="1"/>
  <c r="N87"/>
  <c r="F70"/>
  <c r="G70" s="1"/>
  <c r="I40"/>
  <c r="K39"/>
  <c r="L39" s="1"/>
  <c r="O39" s="1"/>
  <c r="O104"/>
  <c r="I33"/>
  <c r="K32"/>
  <c r="L32" s="1"/>
  <c r="O32" s="1"/>
  <c r="K5081"/>
  <c r="O5081" s="1"/>
  <c r="K1398"/>
  <c r="K1400" s="1"/>
  <c r="K1936"/>
  <c r="O1943" s="1"/>
  <c r="O1947" s="1"/>
  <c r="K3471"/>
  <c r="K5556"/>
  <c r="K5233"/>
  <c r="K5235" s="1"/>
  <c r="K5236" s="1"/>
  <c r="K5247" s="1"/>
  <c r="I865" s="1"/>
  <c r="K865" s="1"/>
  <c r="L865" s="1"/>
  <c r="K5106"/>
  <c r="K5047"/>
  <c r="L12"/>
  <c r="O12" s="1"/>
  <c r="X25"/>
  <c r="I406" i="17" l="1"/>
  <c r="I452" s="1"/>
  <c r="J330"/>
  <c r="J5891" i="18"/>
  <c r="L5891" s="1"/>
  <c r="J5875"/>
  <c r="L5875" s="1"/>
  <c r="J5883"/>
  <c r="L5883" s="1"/>
  <c r="J5899"/>
  <c r="L5899" s="1"/>
  <c r="B1197" i="7"/>
  <c r="B6588" i="18"/>
  <c r="J4463"/>
  <c r="L4463" s="1"/>
  <c r="K2191" i="44"/>
  <c r="K2192" s="1"/>
  <c r="K2105"/>
  <c r="I504"/>
  <c r="K504" s="1"/>
  <c r="L504" s="1"/>
  <c r="K2243"/>
  <c r="K2106"/>
  <c r="K2107" s="1"/>
  <c r="I428" s="1"/>
  <c r="K428" s="1"/>
  <c r="L428" s="1"/>
  <c r="H1167" i="18"/>
  <c r="F1178"/>
  <c r="H3170"/>
  <c r="H3174" s="1"/>
  <c r="H3175" s="1"/>
  <c r="H3176" s="1"/>
  <c r="J437" i="17"/>
  <c r="J390"/>
  <c r="J438"/>
  <c r="J389"/>
  <c r="J391" s="1"/>
  <c r="J387"/>
  <c r="J194"/>
  <c r="J475"/>
  <c r="D476" s="1"/>
  <c r="K476" s="1"/>
  <c r="I4579" i="7"/>
  <c r="K4552"/>
  <c r="I4560" s="1"/>
  <c r="I4585"/>
  <c r="K4519"/>
  <c r="I4520" s="1"/>
  <c r="I4513"/>
  <c r="K4486"/>
  <c r="I4487" s="1"/>
  <c r="I4380"/>
  <c r="I4347"/>
  <c r="I4314"/>
  <c r="I4281"/>
  <c r="I6399"/>
  <c r="I6391"/>
  <c r="I6355"/>
  <c r="I6348"/>
  <c r="K6294"/>
  <c r="K6295" s="1"/>
  <c r="I6306"/>
  <c r="K6167"/>
  <c r="I6168" s="1"/>
  <c r="K6124"/>
  <c r="I6125" s="1"/>
  <c r="K6082"/>
  <c r="I6083" s="1"/>
  <c r="K6040"/>
  <c r="I6041" s="1"/>
  <c r="I6005"/>
  <c r="K6005" s="1"/>
  <c r="I5998"/>
  <c r="K5945"/>
  <c r="I5946" s="1"/>
  <c r="I5954"/>
  <c r="I5897"/>
  <c r="I5890"/>
  <c r="K5846"/>
  <c r="I5847" s="1"/>
  <c r="I5803"/>
  <c r="K5803" s="1"/>
  <c r="I5777"/>
  <c r="K5777" s="1"/>
  <c r="I5778" s="1"/>
  <c r="I5734"/>
  <c r="K5734" s="1"/>
  <c r="I5735" s="1"/>
  <c r="I5708"/>
  <c r="K5697"/>
  <c r="K5698" s="1"/>
  <c r="K5665"/>
  <c r="I5666" s="1"/>
  <c r="K5627"/>
  <c r="K5628" s="1"/>
  <c r="K5629" s="1"/>
  <c r="I5639"/>
  <c r="I5570"/>
  <c r="I5596" s="1"/>
  <c r="K4011"/>
  <c r="I4012" s="1"/>
  <c r="K3829"/>
  <c r="I3830" s="1"/>
  <c r="K3783"/>
  <c r="I3784" s="1"/>
  <c r="K3737"/>
  <c r="I3738" s="1"/>
  <c r="K3691"/>
  <c r="I3692" s="1"/>
  <c r="O2721"/>
  <c r="K3645"/>
  <c r="I3646" s="1"/>
  <c r="I3647" s="1"/>
  <c r="I3598"/>
  <c r="K3598" s="1"/>
  <c r="K4419"/>
  <c r="K3555"/>
  <c r="I3556" s="1"/>
  <c r="I3484"/>
  <c r="I3510"/>
  <c r="K2597"/>
  <c r="I2598" s="1"/>
  <c r="O2853"/>
  <c r="I2859"/>
  <c r="K2816"/>
  <c r="I2817" s="1"/>
  <c r="O2810"/>
  <c r="O2766"/>
  <c r="I2772"/>
  <c r="H2765"/>
  <c r="H2773"/>
  <c r="I2735"/>
  <c r="I2729"/>
  <c r="K2729" s="1"/>
  <c r="K2728"/>
  <c r="K2682"/>
  <c r="I2689"/>
  <c r="I2546"/>
  <c r="K2489"/>
  <c r="I2497" s="1"/>
  <c r="I2253"/>
  <c r="O4052"/>
  <c r="O4056" s="1"/>
  <c r="K5225"/>
  <c r="K5226" s="1"/>
  <c r="I864" s="1"/>
  <c r="K864" s="1"/>
  <c r="L864" s="1"/>
  <c r="U96"/>
  <c r="U98"/>
  <c r="O3931"/>
  <c r="O3935" s="1"/>
  <c r="J2142"/>
  <c r="K2142" s="1"/>
  <c r="K2143" s="1"/>
  <c r="H41" i="13"/>
  <c r="O102" i="7"/>
  <c r="L32" i="13"/>
  <c r="O37" i="7"/>
  <c r="K1912"/>
  <c r="K1916" s="1"/>
  <c r="I1807"/>
  <c r="I1808" s="1"/>
  <c r="K1808" s="1"/>
  <c r="F13" i="18"/>
  <c r="K5386" i="7"/>
  <c r="K5387" s="1"/>
  <c r="I872" s="1"/>
  <c r="K872" s="1"/>
  <c r="L872" s="1"/>
  <c r="J231" i="17"/>
  <c r="J232" s="1"/>
  <c r="E290" s="1"/>
  <c r="J394" s="1"/>
  <c r="J87"/>
  <c r="J89" s="1"/>
  <c r="K4707" i="44"/>
  <c r="I815" s="1"/>
  <c r="K815" s="1"/>
  <c r="L815" s="1"/>
  <c r="I1039" i="7"/>
  <c r="K1039" s="1"/>
  <c r="L1039" s="1"/>
  <c r="K2196" i="44"/>
  <c r="K2198" s="1"/>
  <c r="J2199" s="1"/>
  <c r="K2199" s="1"/>
  <c r="K2200" s="1"/>
  <c r="K2248"/>
  <c r="K2250" s="1"/>
  <c r="K2222"/>
  <c r="K2224" s="1"/>
  <c r="I442" s="1"/>
  <c r="K442" s="1"/>
  <c r="L442" s="1"/>
  <c r="K2179"/>
  <c r="K2180" s="1"/>
  <c r="K2118"/>
  <c r="K2119" s="1"/>
  <c r="K2131" s="1"/>
  <c r="K2132" s="1"/>
  <c r="I431" s="1"/>
  <c r="K431" s="1"/>
  <c r="L431" s="1"/>
  <c r="K2143"/>
  <c r="K2144" s="1"/>
  <c r="K2156" s="1"/>
  <c r="K2157" s="1"/>
  <c r="I434" s="1"/>
  <c r="K434" s="1"/>
  <c r="L434" s="1"/>
  <c r="K2110"/>
  <c r="K2112" s="1"/>
  <c r="J2113" s="1"/>
  <c r="K2113" s="1"/>
  <c r="K2160"/>
  <c r="K2162" s="1"/>
  <c r="K2135"/>
  <c r="K2137" s="1"/>
  <c r="J2138" s="1"/>
  <c r="K2138" s="1"/>
  <c r="K1904" i="7"/>
  <c r="K1905" s="1"/>
  <c r="K1906" s="1"/>
  <c r="Z1342"/>
  <c r="Z1690"/>
  <c r="K1688"/>
  <c r="K1689" s="1"/>
  <c r="K1690" s="1"/>
  <c r="K1692" s="1"/>
  <c r="I1049"/>
  <c r="K1049" s="1"/>
  <c r="L1049" s="1"/>
  <c r="K49"/>
  <c r="L49" s="1"/>
  <c r="O49" s="1"/>
  <c r="K5053"/>
  <c r="K5055" s="1"/>
  <c r="U12"/>
  <c r="U57"/>
  <c r="L48"/>
  <c r="K5426"/>
  <c r="K5427" s="1"/>
  <c r="K5429" s="1"/>
  <c r="I874" s="1"/>
  <c r="K874" s="1"/>
  <c r="L874" s="1"/>
  <c r="I1224"/>
  <c r="K1224" s="1"/>
  <c r="L1224" s="1"/>
  <c r="K2418"/>
  <c r="U68"/>
  <c r="E3797"/>
  <c r="G691"/>
  <c r="I2306"/>
  <c r="K2328"/>
  <c r="I2329" s="1"/>
  <c r="I2328"/>
  <c r="K2434"/>
  <c r="K4974"/>
  <c r="K4976" s="1"/>
  <c r="I850" s="1"/>
  <c r="K850" s="1"/>
  <c r="L850" s="1"/>
  <c r="U53"/>
  <c r="G294"/>
  <c r="G434"/>
  <c r="G745"/>
  <c r="G781"/>
  <c r="G709"/>
  <c r="G609"/>
  <c r="G544"/>
  <c r="K2077"/>
  <c r="G776"/>
  <c r="G662"/>
  <c r="G730"/>
  <c r="G792"/>
  <c r="G534"/>
  <c r="G766"/>
  <c r="G677"/>
  <c r="G720"/>
  <c r="G682"/>
  <c r="G740"/>
  <c r="G583"/>
  <c r="G570"/>
  <c r="G596"/>
  <c r="K2120"/>
  <c r="I2121" s="1"/>
  <c r="G422"/>
  <c r="G657"/>
  <c r="G672"/>
  <c r="G802"/>
  <c r="G807"/>
  <c r="G620"/>
  <c r="G557"/>
  <c r="I2163"/>
  <c r="I2028"/>
  <c r="K2028" s="1"/>
  <c r="K1976"/>
  <c r="I1977"/>
  <c r="K1977" s="1"/>
  <c r="K1948"/>
  <c r="I1949"/>
  <c r="K1949" s="1"/>
  <c r="O3478"/>
  <c r="Z1737"/>
  <c r="AA1737" s="1"/>
  <c r="G1197" i="18"/>
  <c r="H1197" s="1"/>
  <c r="H1200" s="1"/>
  <c r="H1201" s="1"/>
  <c r="I403" i="17"/>
  <c r="I449" s="1"/>
  <c r="I546"/>
  <c r="J447"/>
  <c r="K4683" i="7"/>
  <c r="K4687" s="1"/>
  <c r="K4691" s="1"/>
  <c r="K4701"/>
  <c r="K4705" s="1"/>
  <c r="K4709" s="1"/>
  <c r="K2034"/>
  <c r="K2040" s="1"/>
  <c r="K2046" s="1"/>
  <c r="K2006"/>
  <c r="K2012" s="1"/>
  <c r="K2018" s="1"/>
  <c r="K4651"/>
  <c r="O2069"/>
  <c r="O2073" s="1"/>
  <c r="X1421"/>
  <c r="G948"/>
  <c r="G1003"/>
  <c r="E6206"/>
  <c r="G953"/>
  <c r="G911"/>
  <c r="G917"/>
  <c r="G973"/>
  <c r="E5928"/>
  <c r="G943"/>
  <c r="G988"/>
  <c r="G978"/>
  <c r="H2971" i="18"/>
  <c r="J4455"/>
  <c r="L4455" s="1"/>
  <c r="K6229" i="7"/>
  <c r="K6233" s="1"/>
  <c r="K6248"/>
  <c r="K5877"/>
  <c r="K5878" s="1"/>
  <c r="K6422"/>
  <c r="K6423" s="1"/>
  <c r="K6424" s="1"/>
  <c r="K6430"/>
  <c r="K6434" s="1"/>
  <c r="K6438" s="1"/>
  <c r="K6113"/>
  <c r="K6114" s="1"/>
  <c r="K6071"/>
  <c r="K6072" s="1"/>
  <c r="K5985"/>
  <c r="K5986" s="1"/>
  <c r="U10"/>
  <c r="U26"/>
  <c r="U16"/>
  <c r="G906"/>
  <c r="E4268"/>
  <c r="O1324"/>
  <c r="K1316"/>
  <c r="K1320" s="1"/>
  <c r="K1324" s="1"/>
  <c r="O1320"/>
  <c r="K1524"/>
  <c r="L35" i="13"/>
  <c r="U18" i="7"/>
  <c r="U55"/>
  <c r="U66"/>
  <c r="L25" i="13"/>
  <c r="J2376" i="7"/>
  <c r="K2376" s="1"/>
  <c r="K2378" s="1"/>
  <c r="U46"/>
  <c r="K5412"/>
  <c r="K5413" s="1"/>
  <c r="I873" s="1"/>
  <c r="K873" s="1"/>
  <c r="L873" s="1"/>
  <c r="U14"/>
  <c r="U24"/>
  <c r="L30" i="13"/>
  <c r="K4835" i="7"/>
  <c r="I841" s="1"/>
  <c r="K841" s="1"/>
  <c r="L841" s="1"/>
  <c r="K2163"/>
  <c r="O2241"/>
  <c r="K2253"/>
  <c r="O2296"/>
  <c r="O2324" s="1"/>
  <c r="K2306"/>
  <c r="K2312" s="1"/>
  <c r="K3129"/>
  <c r="K2957"/>
  <c r="K2968" s="1"/>
  <c r="K2979" s="1"/>
  <c r="K1784"/>
  <c r="K1785" s="1"/>
  <c r="I376" s="1"/>
  <c r="K376" s="1"/>
  <c r="L376" s="1"/>
  <c r="K1788"/>
  <c r="K1792" s="1"/>
  <c r="K1796" s="1"/>
  <c r="K2952"/>
  <c r="K2963" s="1"/>
  <c r="K2974" s="1"/>
  <c r="K3124"/>
  <c r="O4005"/>
  <c r="K3038"/>
  <c r="K3049" s="1"/>
  <c r="K3060" s="1"/>
  <c r="K2995"/>
  <c r="K3006" s="1"/>
  <c r="K3017" s="1"/>
  <c r="K3043"/>
  <c r="K3054" s="1"/>
  <c r="K3065" s="1"/>
  <c r="K3000"/>
  <c r="K3011" s="1"/>
  <c r="K3022" s="1"/>
  <c r="K3086"/>
  <c r="O2524"/>
  <c r="H2419" i="18"/>
  <c r="H4872"/>
  <c r="H4871"/>
  <c r="J4447"/>
  <c r="L4447" s="1"/>
  <c r="DN498" i="4"/>
  <c r="DO498" s="1"/>
  <c r="U17" i="7"/>
  <c r="J4472" i="18"/>
  <c r="L4472" s="1"/>
  <c r="K3081" i="7"/>
  <c r="K3210" s="1"/>
  <c r="K3221" s="1"/>
  <c r="K3232" s="1"/>
  <c r="X1398"/>
  <c r="G824"/>
  <c r="G833"/>
  <c r="J3547"/>
  <c r="K3547" s="1"/>
  <c r="K3549" s="1"/>
  <c r="J2239"/>
  <c r="K2239" s="1"/>
  <c r="K2241" s="1"/>
  <c r="J4003"/>
  <c r="K4003" s="1"/>
  <c r="J4729"/>
  <c r="K4729" s="1"/>
  <c r="J2110"/>
  <c r="K2110" s="1"/>
  <c r="K2112" s="1"/>
  <c r="J1998"/>
  <c r="K1998" s="1"/>
  <c r="L46"/>
  <c r="O46" s="1"/>
  <c r="J3929"/>
  <c r="K3929" s="1"/>
  <c r="K3939" s="1"/>
  <c r="K3943" s="1"/>
  <c r="J3476"/>
  <c r="K3476" s="1"/>
  <c r="K3478" s="1"/>
  <c r="J4234"/>
  <c r="K4234" s="1"/>
  <c r="J2537"/>
  <c r="K2537" s="1"/>
  <c r="J2355"/>
  <c r="K2355" s="1"/>
  <c r="K2357" s="1"/>
  <c r="J2067"/>
  <c r="K2067" s="1"/>
  <c r="K2069" s="1"/>
  <c r="J4081"/>
  <c r="K4081" s="1"/>
  <c r="K4084" s="1"/>
  <c r="J2294"/>
  <c r="K2294" s="1"/>
  <c r="K2296" s="1"/>
  <c r="J3637"/>
  <c r="K3637" s="1"/>
  <c r="K3639" s="1"/>
  <c r="J1941"/>
  <c r="K1941" s="1"/>
  <c r="K1943" s="1"/>
  <c r="J3729"/>
  <c r="K3729" s="1"/>
  <c r="K3731" s="1"/>
  <c r="J3683"/>
  <c r="K3683" s="1"/>
  <c r="K3685" s="1"/>
  <c r="J2480"/>
  <c r="K2480" s="1"/>
  <c r="J2588"/>
  <c r="K2588" s="1"/>
  <c r="K2590" s="1"/>
  <c r="J2395"/>
  <c r="K2395" s="1"/>
  <c r="K2397" s="1"/>
  <c r="J2153"/>
  <c r="K2153" s="1"/>
  <c r="K2155" s="1"/>
  <c r="J5466"/>
  <c r="K5466" s="1"/>
  <c r="J2535"/>
  <c r="K2535" s="1"/>
  <c r="U25"/>
  <c r="DN449" i="4"/>
  <c r="DO449" s="1"/>
  <c r="J2423" i="7"/>
  <c r="J2424" s="1"/>
  <c r="K2424" s="1"/>
  <c r="U97"/>
  <c r="O2198"/>
  <c r="L11"/>
  <c r="O11" s="1"/>
  <c r="K5334"/>
  <c r="K5335" s="1"/>
  <c r="I870" s="1"/>
  <c r="K870" s="1"/>
  <c r="L870" s="1"/>
  <c r="I1061"/>
  <c r="K1061" s="1"/>
  <c r="L1061" s="1"/>
  <c r="O2000"/>
  <c r="O2026" s="1"/>
  <c r="O3258"/>
  <c r="O2429"/>
  <c r="J2478"/>
  <c r="K2478" s="1"/>
  <c r="O2591"/>
  <c r="Z1759"/>
  <c r="K1313"/>
  <c r="Z1785"/>
  <c r="J3821"/>
  <c r="K3821" s="1"/>
  <c r="K3823" s="1"/>
  <c r="O18"/>
  <c r="J2196"/>
  <c r="K2196" s="1"/>
  <c r="J5506"/>
  <c r="J1967"/>
  <c r="K1967" s="1"/>
  <c r="K1969" s="1"/>
  <c r="J3981"/>
  <c r="K3978"/>
  <c r="J5486"/>
  <c r="J5446"/>
  <c r="K5446" s="1"/>
  <c r="J4467"/>
  <c r="K4467" s="1"/>
  <c r="K4470" s="1"/>
  <c r="J2425"/>
  <c r="K2425" s="1"/>
  <c r="J4050"/>
  <c r="K4050" s="1"/>
  <c r="J5525"/>
  <c r="J3961"/>
  <c r="K3952"/>
  <c r="U58"/>
  <c r="I58"/>
  <c r="K4110"/>
  <c r="K4114" s="1"/>
  <c r="K4118" s="1"/>
  <c r="K4206"/>
  <c r="K4210" s="1"/>
  <c r="K4214" s="1"/>
  <c r="K1758"/>
  <c r="K1759" s="1"/>
  <c r="K1761" s="1"/>
  <c r="J4311" i="18"/>
  <c r="L4311" s="1"/>
  <c r="K3777" i="7"/>
  <c r="X14"/>
  <c r="J2479"/>
  <c r="K2479" s="1"/>
  <c r="J2536"/>
  <c r="K2536" s="1"/>
  <c r="U47"/>
  <c r="K4791"/>
  <c r="K4792" s="1"/>
  <c r="I838" s="1"/>
  <c r="K838" s="1"/>
  <c r="L838" s="1"/>
  <c r="J5486" i="18"/>
  <c r="L5486" s="1"/>
  <c r="A233" i="7"/>
  <c r="A234" s="1"/>
  <c r="K1693"/>
  <c r="K4185"/>
  <c r="U13"/>
  <c r="U45"/>
  <c r="U54"/>
  <c r="K1920"/>
  <c r="O45"/>
  <c r="I1041"/>
  <c r="K1041" s="1"/>
  <c r="L1041" s="1"/>
  <c r="Z1313"/>
  <c r="K1740"/>
  <c r="K1744" s="1"/>
  <c r="K1748" s="1"/>
  <c r="K5360"/>
  <c r="K5361" s="1"/>
  <c r="I871" s="1"/>
  <c r="K871" s="1"/>
  <c r="L871" s="1"/>
  <c r="G20" i="56"/>
  <c r="G4"/>
  <c r="G17"/>
  <c r="B19" i="43"/>
  <c r="B38" i="35"/>
  <c r="B37"/>
  <c r="B18" i="43"/>
  <c r="H1429" i="18"/>
  <c r="F1430"/>
  <c r="K5034" i="7"/>
  <c r="I853" s="1"/>
  <c r="K853" s="1"/>
  <c r="L853" s="1"/>
  <c r="K4164"/>
  <c r="K4168" s="1"/>
  <c r="K4172" s="1"/>
  <c r="U56"/>
  <c r="U93"/>
  <c r="E6474"/>
  <c r="I1043"/>
  <c r="K1043" s="1"/>
  <c r="L1043" s="1"/>
  <c r="O20"/>
  <c r="L24" i="13"/>
  <c r="M24" s="1"/>
  <c r="U9" i="7"/>
  <c r="K5461"/>
  <c r="H42" i="13"/>
  <c r="DN534" i="4"/>
  <c r="DO534" s="1"/>
  <c r="DN109"/>
  <c r="DO109" s="1"/>
  <c r="K4128" i="7"/>
  <c r="K4132" s="1"/>
  <c r="K4136" s="1"/>
  <c r="K4907"/>
  <c r="K4909" s="1"/>
  <c r="K4910" s="1"/>
  <c r="I846" s="1"/>
  <c r="K846" s="1"/>
  <c r="L846" s="1"/>
  <c r="G1026"/>
  <c r="G1027" s="1"/>
  <c r="K4092"/>
  <c r="K4096" s="1"/>
  <c r="K4100" s="1"/>
  <c r="X57"/>
  <c r="K5004"/>
  <c r="I851" s="1"/>
  <c r="K851" s="1"/>
  <c r="L851" s="1"/>
  <c r="I1058"/>
  <c r="K1058" s="1"/>
  <c r="L1058" s="1"/>
  <c r="U74"/>
  <c r="H561" i="4"/>
  <c r="H562" s="1"/>
  <c r="DN106"/>
  <c r="DO106" s="1"/>
  <c r="DO105"/>
  <c r="DN472"/>
  <c r="DO472" s="1"/>
  <c r="DN528"/>
  <c r="DO528" s="1"/>
  <c r="DN503"/>
  <c r="DO503" s="1"/>
  <c r="DN113"/>
  <c r="DN515"/>
  <c r="DO515" s="1"/>
  <c r="DN467"/>
  <c r="DO467" s="1"/>
  <c r="DN510"/>
  <c r="DO510" s="1"/>
  <c r="DN102"/>
  <c r="DO102" s="1"/>
  <c r="DO101"/>
  <c r="CW561"/>
  <c r="CW562" s="1"/>
  <c r="DN461"/>
  <c r="DO461" s="1"/>
  <c r="DN485"/>
  <c r="DO485" s="1"/>
  <c r="DO489"/>
  <c r="DN492"/>
  <c r="DO492" s="1"/>
  <c r="DO441"/>
  <c r="DN443"/>
  <c r="DO443" s="1"/>
  <c r="DN455"/>
  <c r="DO455" s="1"/>
  <c r="L33" i="13"/>
  <c r="L28"/>
  <c r="J4488" i="18"/>
  <c r="L4488" s="1"/>
  <c r="L26" i="13"/>
  <c r="I35"/>
  <c r="CS248" i="4"/>
  <c r="CS246"/>
  <c r="CX246" s="1"/>
  <c r="CX245"/>
  <c r="J3883" i="7"/>
  <c r="K3883" s="1"/>
  <c r="K3884" s="1"/>
  <c r="N1986"/>
  <c r="Q1986" s="1"/>
  <c r="X44"/>
  <c r="O3639"/>
  <c r="O3777"/>
  <c r="O2155"/>
  <c r="O2159" s="1"/>
  <c r="B4217"/>
  <c r="O3685"/>
  <c r="O3859"/>
  <c r="O3862"/>
  <c r="O3866" s="1"/>
  <c r="O3870" s="1"/>
  <c r="O3823"/>
  <c r="K4146"/>
  <c r="K4150" s="1"/>
  <c r="K4154" s="1"/>
  <c r="O4088"/>
  <c r="Z1716"/>
  <c r="Z1720" s="1"/>
  <c r="Z1724" s="1"/>
  <c r="I23" i="12"/>
  <c r="I29" s="1"/>
  <c r="O3549" i="7"/>
  <c r="O2482"/>
  <c r="O2540"/>
  <c r="K2202"/>
  <c r="K2206" s="1"/>
  <c r="A113" i="18"/>
  <c r="B4309" i="7"/>
  <c r="O3731"/>
  <c r="O2112"/>
  <c r="O2116" s="1"/>
  <c r="U72"/>
  <c r="J5777" i="18"/>
  <c r="L5777" s="1"/>
  <c r="J5786"/>
  <c r="L5786" s="1"/>
  <c r="J4404"/>
  <c r="L4404" s="1"/>
  <c r="J4413"/>
  <c r="L4413" s="1"/>
  <c r="O72" i="7"/>
  <c r="J1997"/>
  <c r="K1997" s="1"/>
  <c r="L13"/>
  <c r="O13" s="1"/>
  <c r="H24" i="13" s="1"/>
  <c r="K24" s="1"/>
  <c r="J5769" i="18"/>
  <c r="L5769" s="1"/>
  <c r="J5470"/>
  <c r="L5470" s="1"/>
  <c r="J5859"/>
  <c r="L5859" s="1"/>
  <c r="I1212" i="7"/>
  <c r="K1212" s="1"/>
  <c r="L1212" s="1"/>
  <c r="J5810" i="18"/>
  <c r="L5810" s="1"/>
  <c r="J5729"/>
  <c r="L5729" s="1"/>
  <c r="J5835"/>
  <c r="L5835" s="1"/>
  <c r="J5851"/>
  <c r="L5851" s="1"/>
  <c r="J4327"/>
  <c r="L4327" s="1"/>
  <c r="J5462"/>
  <c r="L5462" s="1"/>
  <c r="J5827"/>
  <c r="L5827" s="1"/>
  <c r="J5737"/>
  <c r="L5737" s="1"/>
  <c r="J5558"/>
  <c r="L5558" s="1"/>
  <c r="J5437"/>
  <c r="L5437" s="1"/>
  <c r="J5454"/>
  <c r="L5454" s="1"/>
  <c r="J5478"/>
  <c r="L5478" s="1"/>
  <c r="K5114" i="7"/>
  <c r="K5116" s="1"/>
  <c r="I859" s="1"/>
  <c r="K859" s="1"/>
  <c r="L859" s="1"/>
  <c r="Z1583"/>
  <c r="Z1587" s="1"/>
  <c r="Z1591" s="1"/>
  <c r="J4335" i="18"/>
  <c r="L4335" s="1"/>
  <c r="J5494"/>
  <c r="L5494" s="1"/>
  <c r="J5843"/>
  <c r="L5843" s="1"/>
  <c r="J5721"/>
  <c r="L5721" s="1"/>
  <c r="J5445"/>
  <c r="L5445" s="1"/>
  <c r="K4598" i="44"/>
  <c r="K4600" s="1"/>
  <c r="I771" s="1"/>
  <c r="K771" s="1"/>
  <c r="L771" s="1"/>
  <c r="I4614"/>
  <c r="I4618"/>
  <c r="K4602"/>
  <c r="I4751"/>
  <c r="K4735"/>
  <c r="H76"/>
  <c r="I75"/>
  <c r="I4712"/>
  <c r="K4696"/>
  <c r="I4605"/>
  <c r="K4589"/>
  <c r="K4590" s="1"/>
  <c r="I767" s="1"/>
  <c r="K767" s="1"/>
  <c r="L767" s="1"/>
  <c r="I4738"/>
  <c r="K4722"/>
  <c r="I4740"/>
  <c r="K4724"/>
  <c r="K4601"/>
  <c r="K4603" s="1"/>
  <c r="I772" s="1"/>
  <c r="K772" s="1"/>
  <c r="L772" s="1"/>
  <c r="I4617"/>
  <c r="I4644"/>
  <c r="K4628"/>
  <c r="I4627"/>
  <c r="K4611"/>
  <c r="K4613" s="1"/>
  <c r="I776" s="1"/>
  <c r="K776" s="1"/>
  <c r="L776" s="1"/>
  <c r="K4809"/>
  <c r="I857" s="1"/>
  <c r="K857" s="1"/>
  <c r="L857" s="1"/>
  <c r="I4737"/>
  <c r="K4721"/>
  <c r="I4764"/>
  <c r="K4748"/>
  <c r="I4592"/>
  <c r="K4576"/>
  <c r="I4815"/>
  <c r="K4811"/>
  <c r="A1053"/>
  <c r="A267"/>
  <c r="H157"/>
  <c r="A156"/>
  <c r="K4587"/>
  <c r="I766" s="1"/>
  <c r="K766" s="1"/>
  <c r="L766" s="1"/>
  <c r="K1835"/>
  <c r="K1836" s="1"/>
  <c r="K1837" s="1"/>
  <c r="K1841" s="1"/>
  <c r="K1843" s="1"/>
  <c r="K1844" s="1"/>
  <c r="J1857"/>
  <c r="K73"/>
  <c r="L73" s="1"/>
  <c r="O73" s="1"/>
  <c r="X73"/>
  <c r="I4607"/>
  <c r="K4591"/>
  <c r="I4620"/>
  <c r="K4604"/>
  <c r="I4727"/>
  <c r="K4711"/>
  <c r="K4812"/>
  <c r="I4816"/>
  <c r="A208"/>
  <c r="H207"/>
  <c r="I4734"/>
  <c r="K4718"/>
  <c r="K4720" s="1"/>
  <c r="I820" s="1"/>
  <c r="K820" s="1"/>
  <c r="L820" s="1"/>
  <c r="K2193"/>
  <c r="I438"/>
  <c r="K438" s="1"/>
  <c r="L438" s="1"/>
  <c r="I4631"/>
  <c r="K4615"/>
  <c r="I4725"/>
  <c r="K4709"/>
  <c r="K4710" s="1"/>
  <c r="I816" s="1"/>
  <c r="K816" s="1"/>
  <c r="L816" s="1"/>
  <c r="I4731"/>
  <c r="K4715"/>
  <c r="K4717" s="1"/>
  <c r="I819" s="1"/>
  <c r="K819" s="1"/>
  <c r="L819" s="1"/>
  <c r="K4577"/>
  <c r="I762" s="1"/>
  <c r="K762" s="1"/>
  <c r="L762" s="1"/>
  <c r="K4697"/>
  <c r="I811" s="1"/>
  <c r="K811" s="1"/>
  <c r="L811" s="1"/>
  <c r="J851" i="18"/>
  <c r="L851" s="1"/>
  <c r="I1210" i="7"/>
  <c r="K1210" s="1"/>
  <c r="L1210" s="1"/>
  <c r="I1211"/>
  <c r="K1211" s="1"/>
  <c r="L1211" s="1"/>
  <c r="Z1338"/>
  <c r="Z1605"/>
  <c r="Z1609" s="1"/>
  <c r="Z1613" s="1"/>
  <c r="K49" i="9"/>
  <c r="E1398" i="18"/>
  <c r="H1398" s="1"/>
  <c r="H1372"/>
  <c r="H1255"/>
  <c r="H2873"/>
  <c r="H2874" s="1"/>
  <c r="H1175"/>
  <c r="E1397"/>
  <c r="H1397" s="1"/>
  <c r="K27" i="9"/>
  <c r="K28" s="1"/>
  <c r="H50" i="13"/>
  <c r="K50" s="1"/>
  <c r="H3211" i="18"/>
  <c r="J366" i="17"/>
  <c r="J367" s="1"/>
  <c r="J381" s="1"/>
  <c r="D382" s="1"/>
  <c r="K382" s="1"/>
  <c r="J525"/>
  <c r="G256"/>
  <c r="J256" s="1"/>
  <c r="J257" s="1"/>
  <c r="E294" s="1"/>
  <c r="J294" s="1"/>
  <c r="H3020" i="18"/>
  <c r="J441" i="17"/>
  <c r="E4870" i="18"/>
  <c r="H4870" s="1"/>
  <c r="H3023"/>
  <c r="E2739"/>
  <c r="H2739" s="1"/>
  <c r="H1563"/>
  <c r="H1569" s="1"/>
  <c r="D2954" s="1"/>
  <c r="H3271"/>
  <c r="H3277" s="1"/>
  <c r="E2741"/>
  <c r="H2741" s="1"/>
  <c r="G183" i="17"/>
  <c r="H184"/>
  <c r="U94" i="7"/>
  <c r="H56" i="13"/>
  <c r="U78" i="7"/>
  <c r="U75"/>
  <c r="U76"/>
  <c r="U86"/>
  <c r="U77"/>
  <c r="U87"/>
  <c r="J315" i="17"/>
  <c r="J316" s="1"/>
  <c r="J317" s="1"/>
  <c r="D318" s="1"/>
  <c r="K318" s="1"/>
  <c r="F1179" i="18"/>
  <c r="H1179" s="1"/>
  <c r="H1178"/>
  <c r="G2701"/>
  <c r="H2700"/>
  <c r="F1414"/>
  <c r="H1413"/>
  <c r="H1259"/>
  <c r="H1263" s="1"/>
  <c r="H1243"/>
  <c r="H1247" s="1"/>
  <c r="I1057" i="7"/>
  <c r="K1057" s="1"/>
  <c r="L1057" s="1"/>
  <c r="J3897"/>
  <c r="K3897" s="1"/>
  <c r="K3898" s="1"/>
  <c r="K3899" s="1"/>
  <c r="L44"/>
  <c r="O44" s="1"/>
  <c r="O19"/>
  <c r="Z1561"/>
  <c r="Z1565" s="1"/>
  <c r="Z1569" s="1"/>
  <c r="K1334"/>
  <c r="K1335" s="1"/>
  <c r="I276" s="1"/>
  <c r="K276" s="1"/>
  <c r="L276" s="1"/>
  <c r="Z1474"/>
  <c r="Z1478" s="1"/>
  <c r="Z1482" s="1"/>
  <c r="Z1517"/>
  <c r="Z1521" s="1"/>
  <c r="K5277"/>
  <c r="K5279" s="1"/>
  <c r="K5280" s="1"/>
  <c r="K5281" s="1"/>
  <c r="K5266"/>
  <c r="K5268" s="1"/>
  <c r="K5269" s="1"/>
  <c r="I866" s="1"/>
  <c r="K866" s="1"/>
  <c r="L866" s="1"/>
  <c r="U155" i="37"/>
  <c r="V154"/>
  <c r="W154" s="1"/>
  <c r="Y154" s="1"/>
  <c r="U113"/>
  <c r="V112"/>
  <c r="W112" s="1"/>
  <c r="Y112" s="1"/>
  <c r="U128"/>
  <c r="V127"/>
  <c r="W127" s="1"/>
  <c r="Y127" s="1"/>
  <c r="V209"/>
  <c r="W209" s="1"/>
  <c r="Y209" s="1"/>
  <c r="U210"/>
  <c r="V179"/>
  <c r="W179" s="1"/>
  <c r="Y179" s="1"/>
  <c r="U180"/>
  <c r="V180" s="1"/>
  <c r="W180" s="1"/>
  <c r="Y180" s="1"/>
  <c r="V100"/>
  <c r="W100" s="1"/>
  <c r="Y100" s="1"/>
  <c r="U101"/>
  <c r="V316"/>
  <c r="W316" s="1"/>
  <c r="Y316" s="1"/>
  <c r="U317"/>
  <c r="U23"/>
  <c r="V22"/>
  <c r="W22" s="1"/>
  <c r="Y22" s="1"/>
  <c r="U16"/>
  <c r="V16" s="1"/>
  <c r="W16" s="1"/>
  <c r="Y16" s="1"/>
  <c r="V15"/>
  <c r="W15" s="1"/>
  <c r="Y15" s="1"/>
  <c r="U373"/>
  <c r="V372"/>
  <c r="W372" s="1"/>
  <c r="Y372" s="1"/>
  <c r="V162"/>
  <c r="W162" s="1"/>
  <c r="Y162" s="1"/>
  <c r="U163"/>
  <c r="V137"/>
  <c r="W137" s="1"/>
  <c r="Y137" s="1"/>
  <c r="U138"/>
  <c r="G101" i="17"/>
  <c r="J101" s="1"/>
  <c r="J56"/>
  <c r="I81"/>
  <c r="J81" s="1"/>
  <c r="J80"/>
  <c r="J327"/>
  <c r="F352"/>
  <c r="H345"/>
  <c r="J345" s="1"/>
  <c r="J344"/>
  <c r="H398"/>
  <c r="J397"/>
  <c r="E508"/>
  <c r="J351"/>
  <c r="H62"/>
  <c r="H107" s="1"/>
  <c r="H34"/>
  <c r="G33"/>
  <c r="J322"/>
  <c r="J323" s="1"/>
  <c r="D324" s="1"/>
  <c r="K324" s="1"/>
  <c r="E511"/>
  <c r="J354"/>
  <c r="F147"/>
  <c r="F357"/>
  <c r="J332"/>
  <c r="G219"/>
  <c r="H220"/>
  <c r="J98"/>
  <c r="F134"/>
  <c r="F353"/>
  <c r="J328"/>
  <c r="F146"/>
  <c r="F149"/>
  <c r="G61"/>
  <c r="J32"/>
  <c r="E513"/>
  <c r="J356"/>
  <c r="E512"/>
  <c r="J355"/>
  <c r="F180"/>
  <c r="J180" s="1"/>
  <c r="F165"/>
  <c r="J165" s="1"/>
  <c r="J143"/>
  <c r="J532"/>
  <c r="J536"/>
  <c r="G267"/>
  <c r="J267" s="1"/>
  <c r="J218"/>
  <c r="J395"/>
  <c r="J291"/>
  <c r="G155"/>
  <c r="J155" s="1"/>
  <c r="J159" s="1"/>
  <c r="J127"/>
  <c r="J131" s="1"/>
  <c r="G29"/>
  <c r="H58"/>
  <c r="H103" s="1"/>
  <c r="F151"/>
  <c r="G519"/>
  <c r="J452"/>
  <c r="F179"/>
  <c r="J179" s="1"/>
  <c r="J142"/>
  <c r="F164"/>
  <c r="J164" s="1"/>
  <c r="F150"/>
  <c r="J141"/>
  <c r="F178"/>
  <c r="J178" s="1"/>
  <c r="F163"/>
  <c r="J163" s="1"/>
  <c r="F185"/>
  <c r="J148"/>
  <c r="F170"/>
  <c r="F555"/>
  <c r="J555" s="1"/>
  <c r="J545"/>
  <c r="F571"/>
  <c r="J571" s="1"/>
  <c r="I65"/>
  <c r="I63"/>
  <c r="I66" s="1"/>
  <c r="H170"/>
  <c r="G169"/>
  <c r="G57"/>
  <c r="J28"/>
  <c r="K1714" i="7"/>
  <c r="K1716" s="1"/>
  <c r="K1718" s="1"/>
  <c r="K1720" s="1"/>
  <c r="K1722" s="1"/>
  <c r="K1724" s="1"/>
  <c r="I364" s="1"/>
  <c r="K364" s="1"/>
  <c r="L364" s="1"/>
  <c r="AA1712"/>
  <c r="I361"/>
  <c r="K361" s="1"/>
  <c r="L361" s="1"/>
  <c r="I1062"/>
  <c r="K1062" s="1"/>
  <c r="L1062" s="1"/>
  <c r="K1647"/>
  <c r="K1649" s="1"/>
  <c r="K1651" s="1"/>
  <c r="K1653" s="1"/>
  <c r="K1655" s="1"/>
  <c r="K1657" s="1"/>
  <c r="I349" s="1"/>
  <c r="K349" s="1"/>
  <c r="L349" s="1"/>
  <c r="AA1645"/>
  <c r="I346"/>
  <c r="K346" s="1"/>
  <c r="L346" s="1"/>
  <c r="K1472"/>
  <c r="K1474" s="1"/>
  <c r="K1476" s="1"/>
  <c r="K1478" s="1"/>
  <c r="K1480" s="1"/>
  <c r="K1482" s="1"/>
  <c r="I309" s="1"/>
  <c r="K309" s="1"/>
  <c r="L309" s="1"/>
  <c r="AA1470"/>
  <c r="I306"/>
  <c r="K306" s="1"/>
  <c r="L306" s="1"/>
  <c r="K1559"/>
  <c r="K1561" s="1"/>
  <c r="K1563" s="1"/>
  <c r="K1565" s="1"/>
  <c r="K1567" s="1"/>
  <c r="K1569" s="1"/>
  <c r="I329" s="1"/>
  <c r="K329" s="1"/>
  <c r="L329" s="1"/>
  <c r="AA1557"/>
  <c r="I326"/>
  <c r="K326" s="1"/>
  <c r="L326" s="1"/>
  <c r="K1537"/>
  <c r="K1539" s="1"/>
  <c r="K1541" s="1"/>
  <c r="K1543" s="1"/>
  <c r="K1545" s="1"/>
  <c r="K1547" s="1"/>
  <c r="I324" s="1"/>
  <c r="K324" s="1"/>
  <c r="L324" s="1"/>
  <c r="AA1535"/>
  <c r="I321"/>
  <c r="K321" s="1"/>
  <c r="L321" s="1"/>
  <c r="I1033"/>
  <c r="K1033" s="1"/>
  <c r="L1033" s="1"/>
  <c r="K2400"/>
  <c r="I459" s="1"/>
  <c r="K459" s="1"/>
  <c r="L459" s="1"/>
  <c r="K1359"/>
  <c r="K1361" s="1"/>
  <c r="K1363" s="1"/>
  <c r="K1365" s="1"/>
  <c r="K1367" s="1"/>
  <c r="K1369" s="1"/>
  <c r="I284" s="1"/>
  <c r="K284" s="1"/>
  <c r="L284" s="1"/>
  <c r="AA1357"/>
  <c r="I281"/>
  <c r="K281" s="1"/>
  <c r="L281" s="1"/>
  <c r="K1854"/>
  <c r="K1855" s="1"/>
  <c r="K1856" s="1"/>
  <c r="K1886"/>
  <c r="K1887" s="1"/>
  <c r="K1888" s="1"/>
  <c r="I395"/>
  <c r="K395" s="1"/>
  <c r="L395" s="1"/>
  <c r="K1823"/>
  <c r="K1824" s="1"/>
  <c r="K1825" s="1"/>
  <c r="I383"/>
  <c r="K383" s="1"/>
  <c r="L383" s="1"/>
  <c r="K1625"/>
  <c r="K1627" s="1"/>
  <c r="K1629" s="1"/>
  <c r="K1631" s="1"/>
  <c r="K1633" s="1"/>
  <c r="K1635" s="1"/>
  <c r="I344" s="1"/>
  <c r="K344" s="1"/>
  <c r="L344" s="1"/>
  <c r="AA1623"/>
  <c r="I341"/>
  <c r="K341" s="1"/>
  <c r="L341" s="1"/>
  <c r="I1083"/>
  <c r="K1083" s="1"/>
  <c r="L1083" s="1"/>
  <c r="J2887"/>
  <c r="K2887" s="1"/>
  <c r="J2626"/>
  <c r="K2626" s="1"/>
  <c r="L69"/>
  <c r="O69" s="1"/>
  <c r="N69"/>
  <c r="X69"/>
  <c r="K33"/>
  <c r="L33" s="1"/>
  <c r="O33" s="1"/>
  <c r="Z1402"/>
  <c r="K1401"/>
  <c r="K1402" s="1"/>
  <c r="K1405"/>
  <c r="K1409" s="1"/>
  <c r="K1413" s="1"/>
  <c r="A1370"/>
  <c r="A290"/>
  <c r="H129"/>
  <c r="J128"/>
  <c r="L128" s="1"/>
  <c r="K16"/>
  <c r="X16"/>
  <c r="K1739"/>
  <c r="I366"/>
  <c r="K366" s="1"/>
  <c r="L366" s="1"/>
  <c r="K108"/>
  <c r="L108" s="1"/>
  <c r="X108"/>
  <c r="Z1448"/>
  <c r="K1447"/>
  <c r="K1448" s="1"/>
  <c r="K1451"/>
  <c r="K1455" s="1"/>
  <c r="K1459" s="1"/>
  <c r="K4755"/>
  <c r="K4759" s="1"/>
  <c r="K4763" s="1"/>
  <c r="K4737"/>
  <c r="K4741" s="1"/>
  <c r="K4745" s="1"/>
  <c r="K3383"/>
  <c r="K3384" s="1"/>
  <c r="K3426"/>
  <c r="K3400"/>
  <c r="K3452"/>
  <c r="Z1649"/>
  <c r="Z1653" s="1"/>
  <c r="Z1657" s="1"/>
  <c r="Z1361"/>
  <c r="Z1365" s="1"/>
  <c r="Z1369" s="1"/>
  <c r="K5083"/>
  <c r="Z1627"/>
  <c r="Z1631" s="1"/>
  <c r="Z1635" s="1"/>
  <c r="I1213"/>
  <c r="K1213" s="1"/>
  <c r="L1213" s="1"/>
  <c r="Z1539"/>
  <c r="Z1543" s="1"/>
  <c r="Z1547" s="1"/>
  <c r="J2884"/>
  <c r="K2884" s="1"/>
  <c r="J2708"/>
  <c r="K2708" s="1"/>
  <c r="J2663"/>
  <c r="K2663" s="1"/>
  <c r="J2753"/>
  <c r="K2753" s="1"/>
  <c r="J2798"/>
  <c r="K2798" s="1"/>
  <c r="J2841"/>
  <c r="K2841" s="1"/>
  <c r="X70"/>
  <c r="N70"/>
  <c r="L70"/>
  <c r="O70" s="1"/>
  <c r="K1833"/>
  <c r="K1834" s="1"/>
  <c r="K1835" s="1"/>
  <c r="K1581"/>
  <c r="K1583" s="1"/>
  <c r="K1585" s="1"/>
  <c r="K1587" s="1"/>
  <c r="K1589" s="1"/>
  <c r="K1591" s="1"/>
  <c r="I334" s="1"/>
  <c r="K334" s="1"/>
  <c r="L334" s="1"/>
  <c r="AA1579"/>
  <c r="I331"/>
  <c r="K331" s="1"/>
  <c r="L331" s="1"/>
  <c r="J4728"/>
  <c r="K4728" s="1"/>
  <c r="L53"/>
  <c r="O53" s="1"/>
  <c r="K4884"/>
  <c r="I845" s="1"/>
  <c r="K845" s="1"/>
  <c r="L845" s="1"/>
  <c r="K4883"/>
  <c r="I844" s="1"/>
  <c r="K844" s="1"/>
  <c r="L844" s="1"/>
  <c r="Q1992"/>
  <c r="I1076"/>
  <c r="K1076" s="1"/>
  <c r="L1076" s="1"/>
  <c r="K10"/>
  <c r="X10"/>
  <c r="K1865"/>
  <c r="K1866" s="1"/>
  <c r="K1867" s="1"/>
  <c r="I391"/>
  <c r="K391" s="1"/>
  <c r="L391" s="1"/>
  <c r="K5766"/>
  <c r="K5767" s="1"/>
  <c r="K5305"/>
  <c r="K5306" s="1"/>
  <c r="K5307" s="1"/>
  <c r="K107"/>
  <c r="X107"/>
  <c r="K3861"/>
  <c r="K3863" s="1"/>
  <c r="K3865" s="1"/>
  <c r="K3867" s="1"/>
  <c r="K3869" s="1"/>
  <c r="K3871" s="1"/>
  <c r="I692" s="1"/>
  <c r="K692" s="1"/>
  <c r="L692" s="1"/>
  <c r="I689"/>
  <c r="K689" s="1"/>
  <c r="L689" s="1"/>
  <c r="K1515"/>
  <c r="K1517" s="1"/>
  <c r="K1519" s="1"/>
  <c r="K1521" s="1"/>
  <c r="AA1513"/>
  <c r="I316"/>
  <c r="K316" s="1"/>
  <c r="L316" s="1"/>
  <c r="K5834"/>
  <c r="K5835" s="1"/>
  <c r="K1875"/>
  <c r="K1876" s="1"/>
  <c r="K1877" s="1"/>
  <c r="K1603"/>
  <c r="K1605" s="1"/>
  <c r="K1607" s="1"/>
  <c r="K1609" s="1"/>
  <c r="K1611" s="1"/>
  <c r="K1613" s="1"/>
  <c r="AA1601"/>
  <c r="I336"/>
  <c r="K336" s="1"/>
  <c r="L336" s="1"/>
  <c r="A4753"/>
  <c r="K22"/>
  <c r="X22"/>
  <c r="K4941"/>
  <c r="I847" s="1"/>
  <c r="K847" s="1"/>
  <c r="L847" s="1"/>
  <c r="K4942"/>
  <c r="I848" s="1"/>
  <c r="K848" s="1"/>
  <c r="L848" s="1"/>
  <c r="K6378"/>
  <c r="K6379" s="1"/>
  <c r="K6380" s="1"/>
  <c r="K6028"/>
  <c r="K6029" s="1"/>
  <c r="K3314"/>
  <c r="K3364"/>
  <c r="K3339"/>
  <c r="K3347"/>
  <c r="K3348" s="1"/>
  <c r="K3322"/>
  <c r="K3323" s="1"/>
  <c r="I76"/>
  <c r="K1669"/>
  <c r="K1671" s="1"/>
  <c r="K1673" s="1"/>
  <c r="K1675" s="1"/>
  <c r="K1677" s="1"/>
  <c r="K1679" s="1"/>
  <c r="I354" s="1"/>
  <c r="K354" s="1"/>
  <c r="L354" s="1"/>
  <c r="AA1667"/>
  <c r="I351"/>
  <c r="K351" s="1"/>
  <c r="L351" s="1"/>
  <c r="K1494"/>
  <c r="K1496" s="1"/>
  <c r="K1498" s="1"/>
  <c r="K1500" s="1"/>
  <c r="K1502" s="1"/>
  <c r="K1504" s="1"/>
  <c r="I314" s="1"/>
  <c r="K314" s="1"/>
  <c r="L314" s="1"/>
  <c r="AA1492"/>
  <c r="I311"/>
  <c r="K311" s="1"/>
  <c r="L311" s="1"/>
  <c r="K6447"/>
  <c r="K6448" s="1"/>
  <c r="K6449" s="1"/>
  <c r="K1381"/>
  <c r="K1383" s="1"/>
  <c r="K1385" s="1"/>
  <c r="K1387" s="1"/>
  <c r="K1389" s="1"/>
  <c r="K1391" s="1"/>
  <c r="I289" s="1"/>
  <c r="K289" s="1"/>
  <c r="L289" s="1"/>
  <c r="AA1379"/>
  <c r="I286"/>
  <c r="K286" s="1"/>
  <c r="L286" s="1"/>
  <c r="K1844"/>
  <c r="K1845" s="1"/>
  <c r="K1846" s="1"/>
  <c r="I387"/>
  <c r="K387" s="1"/>
  <c r="L387" s="1"/>
  <c r="H157"/>
  <c r="A156"/>
  <c r="J4849"/>
  <c r="K4849" s="1"/>
  <c r="K4855" s="1"/>
  <c r="I843" s="1"/>
  <c r="K843" s="1"/>
  <c r="L843" s="1"/>
  <c r="K4840"/>
  <c r="K4844" s="1"/>
  <c r="I842" s="1"/>
  <c r="K842" s="1"/>
  <c r="L842" s="1"/>
  <c r="K40"/>
  <c r="L40" s="1"/>
  <c r="O40" s="1"/>
  <c r="Z1425"/>
  <c r="K1424"/>
  <c r="K1425" s="1"/>
  <c r="K1428"/>
  <c r="K1432" s="1"/>
  <c r="K1436" s="1"/>
  <c r="K6155"/>
  <c r="K6156" s="1"/>
  <c r="K6276"/>
  <c r="K6280" s="1"/>
  <c r="K6284" s="1"/>
  <c r="K6268"/>
  <c r="K6269" s="1"/>
  <c r="K6270" s="1"/>
  <c r="K74"/>
  <c r="L74" s="1"/>
  <c r="O74" s="1"/>
  <c r="X74"/>
  <c r="Z1671"/>
  <c r="Z1675" s="1"/>
  <c r="Z1679" s="1"/>
  <c r="Z1496"/>
  <c r="Z1500" s="1"/>
  <c r="Z1504" s="1"/>
  <c r="Z1383"/>
  <c r="Z1387" s="1"/>
  <c r="Z1391" s="1"/>
  <c r="B1199" l="1"/>
  <c r="B6597" i="18"/>
  <c r="J5818"/>
  <c r="L5818" s="1"/>
  <c r="J5867"/>
  <c r="L5867" s="1"/>
  <c r="J5681"/>
  <c r="L5681" s="1"/>
  <c r="J4552"/>
  <c r="L4552" s="1"/>
  <c r="J4536"/>
  <c r="L4536" s="1"/>
  <c r="J4403"/>
  <c r="L4403" s="1"/>
  <c r="J4480"/>
  <c r="L4480" s="1"/>
  <c r="K2114" i="44"/>
  <c r="K2115" s="1"/>
  <c r="I427" s="1"/>
  <c r="K427" s="1"/>
  <c r="L427" s="1"/>
  <c r="H4934" i="18"/>
  <c r="H4941" s="1"/>
  <c r="H5000" s="1"/>
  <c r="J392" i="17"/>
  <c r="J393" s="1"/>
  <c r="J290"/>
  <c r="K4585" i="7"/>
  <c r="I4586" s="1"/>
  <c r="I4618"/>
  <c r="K4618" s="1"/>
  <c r="H1184" i="18"/>
  <c r="H1185" s="1"/>
  <c r="I4553" i="7"/>
  <c r="I4554" s="1"/>
  <c r="K4560"/>
  <c r="I4561" s="1"/>
  <c r="I4527"/>
  <c r="K4527" s="1"/>
  <c r="I4528" s="1"/>
  <c r="I4521"/>
  <c r="I4488"/>
  <c r="I4494"/>
  <c r="I4287"/>
  <c r="I6392"/>
  <c r="K6399"/>
  <c r="I6400" s="1"/>
  <c r="K6306"/>
  <c r="I6307" s="1"/>
  <c r="I6175"/>
  <c r="K6175" s="1"/>
  <c r="I6176" s="1"/>
  <c r="I6132"/>
  <c r="K6132" s="1"/>
  <c r="I6133" s="1"/>
  <c r="I6169"/>
  <c r="I6126"/>
  <c r="I6090"/>
  <c r="I6084"/>
  <c r="I6042"/>
  <c r="I6048"/>
  <c r="I5999"/>
  <c r="I6013"/>
  <c r="K6013" s="1"/>
  <c r="I6014" s="1"/>
  <c r="I6006"/>
  <c r="K5954"/>
  <c r="I5955" s="1"/>
  <c r="I5947"/>
  <c r="I5891"/>
  <c r="K5897"/>
  <c r="I5905" s="1"/>
  <c r="I5848"/>
  <c r="I5854"/>
  <c r="I5811"/>
  <c r="I5804"/>
  <c r="I5779"/>
  <c r="I5785"/>
  <c r="I5742"/>
  <c r="I5736"/>
  <c r="K5708"/>
  <c r="I5709" s="1"/>
  <c r="I5673"/>
  <c r="I5667"/>
  <c r="K5639"/>
  <c r="I5640" s="1"/>
  <c r="K5596"/>
  <c r="I5597" s="1"/>
  <c r="K5570"/>
  <c r="I5571" s="1"/>
  <c r="I4019"/>
  <c r="I4013"/>
  <c r="I3831"/>
  <c r="I3837"/>
  <c r="I3791"/>
  <c r="K3791" s="1"/>
  <c r="I3785"/>
  <c r="I3739"/>
  <c r="I3745"/>
  <c r="I3699"/>
  <c r="I3693"/>
  <c r="I3653"/>
  <c r="K3653" s="1"/>
  <c r="I3654" s="1"/>
  <c r="I3607"/>
  <c r="I3599"/>
  <c r="I3563"/>
  <c r="I3557"/>
  <c r="K3510"/>
  <c r="I3511" s="1"/>
  <c r="I2605"/>
  <c r="I2599"/>
  <c r="K2599" s="1"/>
  <c r="K2598"/>
  <c r="K2859"/>
  <c r="I2860" s="1"/>
  <c r="I2818"/>
  <c r="I2824"/>
  <c r="H2774"/>
  <c r="H2781"/>
  <c r="K2772"/>
  <c r="I2773" s="1"/>
  <c r="K2735"/>
  <c r="I2736" s="1"/>
  <c r="K2689"/>
  <c r="I2697" s="1"/>
  <c r="K2697" s="1"/>
  <c r="I2698" s="1"/>
  <c r="I2490"/>
  <c r="K2490" s="1"/>
  <c r="K2546"/>
  <c r="I2547" s="1"/>
  <c r="K2547" s="1"/>
  <c r="K2497"/>
  <c r="O2497" s="1"/>
  <c r="J5440"/>
  <c r="K5440" s="1"/>
  <c r="K5442" s="1"/>
  <c r="I1053"/>
  <c r="K1053" s="1"/>
  <c r="L1053" s="1"/>
  <c r="J2385"/>
  <c r="K2385" s="1"/>
  <c r="K2386" s="1"/>
  <c r="I2391" s="1"/>
  <c r="I1054"/>
  <c r="K1054" s="1"/>
  <c r="L1054" s="1"/>
  <c r="I1037"/>
  <c r="K1037" s="1"/>
  <c r="L1037" s="1"/>
  <c r="I2261"/>
  <c r="J4455"/>
  <c r="K4455" s="1"/>
  <c r="K4456" s="1"/>
  <c r="J3920"/>
  <c r="K3920" s="1"/>
  <c r="K3921" s="1"/>
  <c r="J4544" i="18"/>
  <c r="L4544" s="1"/>
  <c r="O1921" i="7"/>
  <c r="J3810"/>
  <c r="K3810" s="1"/>
  <c r="K3811" s="1"/>
  <c r="K3816" s="1"/>
  <c r="J4040"/>
  <c r="K4040" s="1"/>
  <c r="K4041" s="1"/>
  <c r="J2056"/>
  <c r="K2056" s="1"/>
  <c r="K2057" s="1"/>
  <c r="I2063" s="1"/>
  <c r="J3875"/>
  <c r="K3875" s="1"/>
  <c r="K3876" s="1"/>
  <c r="K3885" s="1"/>
  <c r="O3885" s="1"/>
  <c r="J2342"/>
  <c r="K2342" s="1"/>
  <c r="K2343" s="1"/>
  <c r="K2349" s="1"/>
  <c r="K1807"/>
  <c r="K1809" s="1"/>
  <c r="J3537"/>
  <c r="K3537" s="1"/>
  <c r="K3538" s="1"/>
  <c r="I1917"/>
  <c r="K1917" s="1"/>
  <c r="J1988"/>
  <c r="K1988" s="1"/>
  <c r="Q1988" s="1"/>
  <c r="Q1989" s="1"/>
  <c r="J5500"/>
  <c r="K5500" s="1"/>
  <c r="K5502" s="1"/>
  <c r="I1035"/>
  <c r="K1035" s="1"/>
  <c r="L1035" s="1"/>
  <c r="J1957"/>
  <c r="K1957" s="1"/>
  <c r="K1958" s="1"/>
  <c r="J2408"/>
  <c r="K2408" s="1"/>
  <c r="K2409" s="1"/>
  <c r="I2419" s="1"/>
  <c r="I2420" s="1"/>
  <c r="K2420" s="1"/>
  <c r="J3718"/>
  <c r="K3718" s="1"/>
  <c r="K3719" s="1"/>
  <c r="J1931"/>
  <c r="K1931" s="1"/>
  <c r="K1932" s="1"/>
  <c r="I1937" s="1"/>
  <c r="J3672"/>
  <c r="K3672" s="1"/>
  <c r="K3673" s="1"/>
  <c r="K3678" s="1"/>
  <c r="X50"/>
  <c r="J4718"/>
  <c r="K4718" s="1"/>
  <c r="J2518"/>
  <c r="K2518" s="1"/>
  <c r="K2519" s="1"/>
  <c r="J3764"/>
  <c r="K3764" s="1"/>
  <c r="K3765" s="1"/>
  <c r="J4072"/>
  <c r="K4072" s="1"/>
  <c r="K4073" s="1"/>
  <c r="K4085" s="1"/>
  <c r="K4086" s="1"/>
  <c r="K4122" s="1"/>
  <c r="K4125" s="1"/>
  <c r="N50"/>
  <c r="J3991"/>
  <c r="K3991" s="1"/>
  <c r="K3992" s="1"/>
  <c r="K3997" s="1"/>
  <c r="J5551"/>
  <c r="K5551" s="1"/>
  <c r="K5552" s="1"/>
  <c r="J2363"/>
  <c r="K2363" s="1"/>
  <c r="K2364" s="1"/>
  <c r="K2370" s="1"/>
  <c r="J2228"/>
  <c r="K2228" s="1"/>
  <c r="K2229" s="1"/>
  <c r="I2235" s="1"/>
  <c r="H37" i="13"/>
  <c r="J4222" i="7"/>
  <c r="K4222" s="1"/>
  <c r="J2099"/>
  <c r="K2099" s="1"/>
  <c r="K2100" s="1"/>
  <c r="I2106" s="1"/>
  <c r="J2185"/>
  <c r="K2185" s="1"/>
  <c r="K2186" s="1"/>
  <c r="I2192" s="1"/>
  <c r="J2463"/>
  <c r="K2463" s="1"/>
  <c r="K2464" s="1"/>
  <c r="I2474" s="1"/>
  <c r="J2281"/>
  <c r="K2281" s="1"/>
  <c r="K2282" s="1"/>
  <c r="I2290" s="1"/>
  <c r="J5519"/>
  <c r="K5519" s="1"/>
  <c r="K5521" s="1"/>
  <c r="J3627"/>
  <c r="K3627" s="1"/>
  <c r="K3628" s="1"/>
  <c r="J3466"/>
  <c r="K3466" s="1"/>
  <c r="K3467" s="1"/>
  <c r="J5480"/>
  <c r="K5480" s="1"/>
  <c r="K5482" s="1"/>
  <c r="J5460"/>
  <c r="K5460" s="1"/>
  <c r="K5462" s="1"/>
  <c r="J2575"/>
  <c r="K2575" s="1"/>
  <c r="K2576" s="1"/>
  <c r="L50"/>
  <c r="O50" s="1"/>
  <c r="I398"/>
  <c r="K398" s="1"/>
  <c r="L398" s="1"/>
  <c r="K2126"/>
  <c r="I2127" s="1"/>
  <c r="K4975"/>
  <c r="I849" s="1"/>
  <c r="K849" s="1"/>
  <c r="L849" s="1"/>
  <c r="J2225" i="44"/>
  <c r="K2225" s="1"/>
  <c r="J5550" i="18"/>
  <c r="L5550" s="1"/>
  <c r="K2139" i="44"/>
  <c r="K2140" s="1"/>
  <c r="I430" s="1"/>
  <c r="K430" s="1"/>
  <c r="L430" s="1"/>
  <c r="I429"/>
  <c r="K429" s="1"/>
  <c r="L429" s="1"/>
  <c r="O48" i="7"/>
  <c r="J2163" i="44"/>
  <c r="K2163" s="1"/>
  <c r="K2164" s="1"/>
  <c r="K2165" s="1"/>
  <c r="I433" s="1"/>
  <c r="K433" s="1"/>
  <c r="L433" s="1"/>
  <c r="I435"/>
  <c r="K435" s="1"/>
  <c r="L435" s="1"/>
  <c r="J2251"/>
  <c r="K2251" s="1"/>
  <c r="I445"/>
  <c r="K445" s="1"/>
  <c r="L445" s="1"/>
  <c r="K2205"/>
  <c r="K2206" s="1"/>
  <c r="K2218" s="1"/>
  <c r="K2231"/>
  <c r="K2232" s="1"/>
  <c r="K2244" s="1"/>
  <c r="I1045" i="7"/>
  <c r="K1045" s="1"/>
  <c r="L1045" s="1"/>
  <c r="I432" i="44"/>
  <c r="K432" s="1"/>
  <c r="L432" s="1"/>
  <c r="I439"/>
  <c r="K439" s="1"/>
  <c r="L439" s="1"/>
  <c r="I1046" i="7"/>
  <c r="K1046" s="1"/>
  <c r="L1046" s="1"/>
  <c r="I1047"/>
  <c r="K1047" s="1"/>
  <c r="L1047" s="1"/>
  <c r="K4723" i="44"/>
  <c r="I821" s="1"/>
  <c r="K821" s="1"/>
  <c r="L821" s="1"/>
  <c r="O2301" i="7"/>
  <c r="O2306" s="1"/>
  <c r="K1741"/>
  <c r="K1743" s="1"/>
  <c r="K1745" s="1"/>
  <c r="K1747" s="1"/>
  <c r="K1749" s="1"/>
  <c r="I369" s="1"/>
  <c r="K369" s="1"/>
  <c r="L369" s="1"/>
  <c r="O1224"/>
  <c r="J6784" i="18"/>
  <c r="L6784" s="1"/>
  <c r="K5054" i="7"/>
  <c r="G692"/>
  <c r="K5309"/>
  <c r="I869" s="1"/>
  <c r="K869" s="1"/>
  <c r="L869" s="1"/>
  <c r="H34" i="13"/>
  <c r="H33"/>
  <c r="H32"/>
  <c r="H28"/>
  <c r="H27"/>
  <c r="H30"/>
  <c r="E6483" i="7"/>
  <c r="L107"/>
  <c r="O107" s="1"/>
  <c r="K2442"/>
  <c r="I2435"/>
  <c r="I2330"/>
  <c r="K2330" s="1"/>
  <c r="K2329"/>
  <c r="I2334"/>
  <c r="K2334" s="1"/>
  <c r="I2335" s="1"/>
  <c r="I2126"/>
  <c r="I2442"/>
  <c r="I2307"/>
  <c r="I2206"/>
  <c r="I2212" s="1"/>
  <c r="K2261"/>
  <c r="I2254"/>
  <c r="I2312"/>
  <c r="I2318" s="1"/>
  <c r="K2212"/>
  <c r="I2207"/>
  <c r="G825"/>
  <c r="G598"/>
  <c r="G585"/>
  <c r="E3705"/>
  <c r="E3524"/>
  <c r="K2083"/>
  <c r="I2078"/>
  <c r="G611"/>
  <c r="I2169"/>
  <c r="I2122"/>
  <c r="K2122" s="1"/>
  <c r="K2121"/>
  <c r="I2083"/>
  <c r="G834"/>
  <c r="G559"/>
  <c r="E2316"/>
  <c r="G572"/>
  <c r="G537"/>
  <c r="G546"/>
  <c r="K2169"/>
  <c r="I2164"/>
  <c r="I2149"/>
  <c r="K2149" s="1"/>
  <c r="O2077"/>
  <c r="Q3478"/>
  <c r="O3506"/>
  <c r="Z1741"/>
  <c r="Z1745" s="1"/>
  <c r="Z1749" s="1"/>
  <c r="I548" i="17"/>
  <c r="J449"/>
  <c r="J453" s="1"/>
  <c r="J454" s="1"/>
  <c r="I556"/>
  <c r="J556" s="1"/>
  <c r="J559" s="1"/>
  <c r="J560" s="1"/>
  <c r="J561" s="1"/>
  <c r="D562" s="1"/>
  <c r="K562" s="1"/>
  <c r="I572"/>
  <c r="J572" s="1"/>
  <c r="J546"/>
  <c r="O2247" i="7"/>
  <c r="R2247" s="1"/>
  <c r="R2241"/>
  <c r="R2000"/>
  <c r="J3367" i="18"/>
  <c r="L3367" s="1"/>
  <c r="J541"/>
  <c r="L541" s="1"/>
  <c r="J376"/>
  <c r="L376" s="1"/>
  <c r="J310"/>
  <c r="L310" s="1"/>
  <c r="J409"/>
  <c r="L409" s="1"/>
  <c r="J145"/>
  <c r="L145" s="1"/>
  <c r="J574"/>
  <c r="L574" s="1"/>
  <c r="J442"/>
  <c r="L442" s="1"/>
  <c r="J508"/>
  <c r="L508" s="1"/>
  <c r="J112"/>
  <c r="L112" s="1"/>
  <c r="J277"/>
  <c r="L277" s="1"/>
  <c r="J640"/>
  <c r="L640" s="1"/>
  <c r="E1430"/>
  <c r="H1430" s="1"/>
  <c r="H1434" s="1"/>
  <c r="H2954"/>
  <c r="H2945"/>
  <c r="AA1613" i="7"/>
  <c r="I339"/>
  <c r="K339" s="1"/>
  <c r="L339" s="1"/>
  <c r="K6237"/>
  <c r="AA1482"/>
  <c r="AA1569"/>
  <c r="I1066"/>
  <c r="K1066" s="1"/>
  <c r="L1066" s="1"/>
  <c r="I1036"/>
  <c r="K1036" s="1"/>
  <c r="L1036" s="1"/>
  <c r="AA1635"/>
  <c r="AA1369"/>
  <c r="AA1391"/>
  <c r="AA1657"/>
  <c r="Z1525"/>
  <c r="AA1521"/>
  <c r="K1523"/>
  <c r="K1525" s="1"/>
  <c r="I319" s="1"/>
  <c r="K319" s="1"/>
  <c r="L319" s="1"/>
  <c r="AA1679"/>
  <c r="AA1504"/>
  <c r="O3871"/>
  <c r="AA1591"/>
  <c r="AA1547"/>
  <c r="AA1724"/>
  <c r="AA1690"/>
  <c r="K1787"/>
  <c r="K1789" s="1"/>
  <c r="K1791" s="1"/>
  <c r="M35" i="13"/>
  <c r="I271" i="7"/>
  <c r="K271" s="1"/>
  <c r="L271" s="1"/>
  <c r="O1323"/>
  <c r="O1319"/>
  <c r="O1321" s="1"/>
  <c r="AA1785"/>
  <c r="J4343" i="18"/>
  <c r="L4343" s="1"/>
  <c r="AA1317" i="7"/>
  <c r="K3931"/>
  <c r="K3140"/>
  <c r="K3151" s="1"/>
  <c r="K3172"/>
  <c r="K3183" s="1"/>
  <c r="K3194" s="1"/>
  <c r="K3215"/>
  <c r="K3226" s="1"/>
  <c r="K3237" s="1"/>
  <c r="K3097"/>
  <c r="K3108" s="1"/>
  <c r="K3167"/>
  <c r="K3178" s="1"/>
  <c r="K3189" s="1"/>
  <c r="K3135"/>
  <c r="K3146" s="1"/>
  <c r="K3092"/>
  <c r="K3103" s="1"/>
  <c r="K2539"/>
  <c r="O3867"/>
  <c r="I691"/>
  <c r="K691" s="1"/>
  <c r="L691" s="1"/>
  <c r="O4011"/>
  <c r="O3939"/>
  <c r="O3943" s="1"/>
  <c r="O2006"/>
  <c r="K1315"/>
  <c r="K1317" s="1"/>
  <c r="O2434"/>
  <c r="K2000"/>
  <c r="J4528" i="18"/>
  <c r="L4528" s="1"/>
  <c r="O4185" i="7"/>
  <c r="K4189"/>
  <c r="K4193" s="1"/>
  <c r="AA1759"/>
  <c r="K2423"/>
  <c r="K2427" s="1"/>
  <c r="O2597"/>
  <c r="K2482"/>
  <c r="K2198"/>
  <c r="Z1763"/>
  <c r="Z1767" s="1"/>
  <c r="Z1771" s="1"/>
  <c r="I338"/>
  <c r="K338" s="1"/>
  <c r="L338" s="1"/>
  <c r="AA1609"/>
  <c r="I318"/>
  <c r="K318" s="1"/>
  <c r="L318" s="1"/>
  <c r="AA1587"/>
  <c r="I333"/>
  <c r="K333" s="1"/>
  <c r="L333" s="1"/>
  <c r="AA1365"/>
  <c r="I283"/>
  <c r="K283" s="1"/>
  <c r="L283" s="1"/>
  <c r="I308"/>
  <c r="K308" s="1"/>
  <c r="L308" s="1"/>
  <c r="AA1478"/>
  <c r="AA1720"/>
  <c r="I363"/>
  <c r="K363" s="1"/>
  <c r="L363" s="1"/>
  <c r="AA1321"/>
  <c r="I371"/>
  <c r="K371" s="1"/>
  <c r="L371" s="1"/>
  <c r="I353"/>
  <c r="K353" s="1"/>
  <c r="L353" s="1"/>
  <c r="AA1675"/>
  <c r="I328"/>
  <c r="K328" s="1"/>
  <c r="L328" s="1"/>
  <c r="AA1565"/>
  <c r="AA1653"/>
  <c r="I348"/>
  <c r="K348" s="1"/>
  <c r="L348" s="1"/>
  <c r="I288"/>
  <c r="K288" s="1"/>
  <c r="L288" s="1"/>
  <c r="AA1387"/>
  <c r="I313"/>
  <c r="K313" s="1"/>
  <c r="L313" s="1"/>
  <c r="AA1500"/>
  <c r="AA1631"/>
  <c r="I343"/>
  <c r="K343" s="1"/>
  <c r="L343" s="1"/>
  <c r="AA1543"/>
  <c r="I323"/>
  <c r="K323" s="1"/>
  <c r="L323" s="1"/>
  <c r="Z1694"/>
  <c r="K1697"/>
  <c r="K1701" s="1"/>
  <c r="Z1789"/>
  <c r="AA1313"/>
  <c r="J4319" i="18"/>
  <c r="L4319" s="1"/>
  <c r="K1763" i="7"/>
  <c r="I59"/>
  <c r="K59" s="1"/>
  <c r="L59" s="1"/>
  <c r="O59" s="1"/>
  <c r="J4412" i="18"/>
  <c r="L4412" s="1"/>
  <c r="K5270" i="7"/>
  <c r="K1694"/>
  <c r="K1696" s="1"/>
  <c r="I356"/>
  <c r="K356" s="1"/>
  <c r="L356" s="1"/>
  <c r="Z1317"/>
  <c r="H233"/>
  <c r="J5566" i="18"/>
  <c r="L5566" s="1"/>
  <c r="K1337" i="7"/>
  <c r="K1339" s="1"/>
  <c r="I1048"/>
  <c r="K1048" s="1"/>
  <c r="L1048" s="1"/>
  <c r="G14" i="56"/>
  <c r="J5616" i="18"/>
  <c r="L5616" s="1"/>
  <c r="K5115" i="7"/>
  <c r="I858" s="1"/>
  <c r="K858" s="1"/>
  <c r="L858" s="1"/>
  <c r="J4377" i="18"/>
  <c r="L4377" s="1"/>
  <c r="G21" i="56"/>
  <c r="G15"/>
  <c r="G18"/>
  <c r="G5"/>
  <c r="H1264" i="18"/>
  <c r="I63" i="7"/>
  <c r="K63" s="1"/>
  <c r="DN110" i="4"/>
  <c r="DO110" s="1"/>
  <c r="O2202" i="7"/>
  <c r="O2206" s="1"/>
  <c r="O3783"/>
  <c r="DN504" i="4"/>
  <c r="DO504" s="1"/>
  <c r="DN516"/>
  <c r="DO516" s="1"/>
  <c r="DN473"/>
  <c r="DO473" s="1"/>
  <c r="O2163" i="7"/>
  <c r="O3645"/>
  <c r="DN114" i="4"/>
  <c r="DO114" s="1"/>
  <c r="DO113"/>
  <c r="U70" i="7"/>
  <c r="U69"/>
  <c r="I36" i="13"/>
  <c r="M36" s="1"/>
  <c r="I30"/>
  <c r="M30" s="1"/>
  <c r="CS249" i="4"/>
  <c r="CS252"/>
  <c r="CZ248"/>
  <c r="G1028" i="7"/>
  <c r="O2034"/>
  <c r="O2040" s="1"/>
  <c r="O2046" s="1"/>
  <c r="O3555"/>
  <c r="O2120"/>
  <c r="O2489"/>
  <c r="O3829"/>
  <c r="O3691"/>
  <c r="J4496" i="18"/>
  <c r="L4496" s="1"/>
  <c r="O2328" i="7"/>
  <c r="I690"/>
  <c r="K690" s="1"/>
  <c r="L690" s="1"/>
  <c r="O3863"/>
  <c r="A146" i="18"/>
  <c r="O4092" i="7"/>
  <c r="O4096" s="1"/>
  <c r="O4100" s="1"/>
  <c r="O4106"/>
  <c r="O3737"/>
  <c r="I694"/>
  <c r="K694" s="1"/>
  <c r="L694" s="1"/>
  <c r="O3899"/>
  <c r="J5705" i="18"/>
  <c r="L5705" s="1"/>
  <c r="K58" i="7"/>
  <c r="L58" s="1"/>
  <c r="O58" s="1"/>
  <c r="X58"/>
  <c r="I61"/>
  <c r="I60"/>
  <c r="J4360" i="18"/>
  <c r="L4360" s="1"/>
  <c r="J4352"/>
  <c r="L4352" s="1"/>
  <c r="J5582"/>
  <c r="L5582" s="1"/>
  <c r="J4368"/>
  <c r="L4368" s="1"/>
  <c r="J6704"/>
  <c r="L6704" s="1"/>
  <c r="J5713"/>
  <c r="L5713" s="1"/>
  <c r="J6680"/>
  <c r="L6680" s="1"/>
  <c r="J4439"/>
  <c r="L4439" s="1"/>
  <c r="J4386"/>
  <c r="L4386" s="1"/>
  <c r="J6688"/>
  <c r="L6688" s="1"/>
  <c r="J6696"/>
  <c r="L6696" s="1"/>
  <c r="J3343"/>
  <c r="L3343" s="1"/>
  <c r="J4369"/>
  <c r="L4369" s="1"/>
  <c r="J5502"/>
  <c r="L5502" s="1"/>
  <c r="J5673"/>
  <c r="L5673" s="1"/>
  <c r="J4395"/>
  <c r="L4395" s="1"/>
  <c r="J4385"/>
  <c r="L4385" s="1"/>
  <c r="I4747" i="44"/>
  <c r="K4731"/>
  <c r="K4733" s="1"/>
  <c r="I825" s="1"/>
  <c r="K825" s="1"/>
  <c r="L825" s="1"/>
  <c r="I4750"/>
  <c r="K4734"/>
  <c r="K4736" s="1"/>
  <c r="I826" s="1"/>
  <c r="K826" s="1"/>
  <c r="L826" s="1"/>
  <c r="A209"/>
  <c r="H208"/>
  <c r="I4636"/>
  <c r="K4620"/>
  <c r="I4643"/>
  <c r="K4627"/>
  <c r="K4629" s="1"/>
  <c r="I782" s="1"/>
  <c r="K782" s="1"/>
  <c r="L782" s="1"/>
  <c r="I4754"/>
  <c r="K4738"/>
  <c r="I4621"/>
  <c r="K4605"/>
  <c r="K4606" s="1"/>
  <c r="I773" s="1"/>
  <c r="K773" s="1"/>
  <c r="L773" s="1"/>
  <c r="I4767"/>
  <c r="K4751"/>
  <c r="K4813"/>
  <c r="I859" s="1"/>
  <c r="K859" s="1"/>
  <c r="L859" s="1"/>
  <c r="I4647"/>
  <c r="K4631"/>
  <c r="I4608"/>
  <c r="K4592"/>
  <c r="K4593" s="1"/>
  <c r="I768" s="1"/>
  <c r="K768" s="1"/>
  <c r="L768" s="1"/>
  <c r="I4633"/>
  <c r="K4617"/>
  <c r="I4630"/>
  <c r="K4614"/>
  <c r="K4616" s="1"/>
  <c r="I777" s="1"/>
  <c r="K777" s="1"/>
  <c r="L777" s="1"/>
  <c r="I4741"/>
  <c r="K4725"/>
  <c r="I4743"/>
  <c r="K4727"/>
  <c r="I4623"/>
  <c r="K4607"/>
  <c r="R1845"/>
  <c r="S1845" s="1"/>
  <c r="K1845"/>
  <c r="I384"/>
  <c r="K384" s="1"/>
  <c r="L384" s="1"/>
  <c r="H158"/>
  <c r="A157"/>
  <c r="A1067"/>
  <c r="A270"/>
  <c r="I4660"/>
  <c r="K4660" s="1"/>
  <c r="K4644"/>
  <c r="I4756"/>
  <c r="K4740"/>
  <c r="I4728"/>
  <c r="K4712"/>
  <c r="K4713" s="1"/>
  <c r="I817" s="1"/>
  <c r="K817" s="1"/>
  <c r="L817" s="1"/>
  <c r="H79"/>
  <c r="H77"/>
  <c r="I77" s="1"/>
  <c r="K77" s="1"/>
  <c r="L77" s="1"/>
  <c r="O77" s="1"/>
  <c r="I76"/>
  <c r="I4634"/>
  <c r="K4618"/>
  <c r="K2201"/>
  <c r="I437"/>
  <c r="K437" s="1"/>
  <c r="L437" s="1"/>
  <c r="I4820"/>
  <c r="K4816"/>
  <c r="J1878"/>
  <c r="K1857"/>
  <c r="K1858" s="1"/>
  <c r="K1859" s="1"/>
  <c r="K1862" s="1"/>
  <c r="K1864" s="1"/>
  <c r="K1865" s="1"/>
  <c r="K4815"/>
  <c r="I4819"/>
  <c r="I4780"/>
  <c r="K4780" s="1"/>
  <c r="K4764"/>
  <c r="I4753"/>
  <c r="K4737"/>
  <c r="K75"/>
  <c r="L75" s="1"/>
  <c r="O75" s="1"/>
  <c r="X75"/>
  <c r="K4726"/>
  <c r="I822" s="1"/>
  <c r="K822" s="1"/>
  <c r="L822" s="1"/>
  <c r="J55" i="18"/>
  <c r="L55" s="1"/>
  <c r="J385"/>
  <c r="L385" s="1"/>
  <c r="J835"/>
  <c r="L835" s="1"/>
  <c r="J418"/>
  <c r="L418" s="1"/>
  <c r="J715"/>
  <c r="L715" s="1"/>
  <c r="J649"/>
  <c r="L649" s="1"/>
  <c r="J253"/>
  <c r="L253" s="1"/>
  <c r="J785"/>
  <c r="L785" s="1"/>
  <c r="J451"/>
  <c r="L451" s="1"/>
  <c r="J319"/>
  <c r="L319" s="1"/>
  <c r="J517"/>
  <c r="L517" s="1"/>
  <c r="J760"/>
  <c r="L760" s="1"/>
  <c r="J286"/>
  <c r="L286" s="1"/>
  <c r="J121"/>
  <c r="L121" s="1"/>
  <c r="J550"/>
  <c r="L550" s="1"/>
  <c r="J810"/>
  <c r="L810" s="1"/>
  <c r="J484"/>
  <c r="L484" s="1"/>
  <c r="J88"/>
  <c r="L88" s="1"/>
  <c r="J1346"/>
  <c r="J352"/>
  <c r="L352" s="1"/>
  <c r="J616"/>
  <c r="L616" s="1"/>
  <c r="H1403"/>
  <c r="H3024"/>
  <c r="H3033" s="1"/>
  <c r="H3034" s="1"/>
  <c r="J537" i="17"/>
  <c r="J538" s="1"/>
  <c r="D539" s="1"/>
  <c r="K539" s="1"/>
  <c r="J427"/>
  <c r="J428" s="1"/>
  <c r="J429" s="1"/>
  <c r="D430" s="1"/>
  <c r="K430" s="1"/>
  <c r="J181"/>
  <c r="H2742" i="18"/>
  <c r="J335" i="17"/>
  <c r="J336" s="1"/>
  <c r="J82"/>
  <c r="H185"/>
  <c r="G184"/>
  <c r="J144"/>
  <c r="J346"/>
  <c r="J347" s="1"/>
  <c r="H2701" i="18"/>
  <c r="G2702"/>
  <c r="H2702" s="1"/>
  <c r="F1415"/>
  <c r="H1415" s="1"/>
  <c r="H1414"/>
  <c r="I41" i="7"/>
  <c r="K41" s="1"/>
  <c r="L41" s="1"/>
  <c r="O41" s="1"/>
  <c r="I34"/>
  <c r="K34" s="1"/>
  <c r="L34" s="1"/>
  <c r="O34" s="1"/>
  <c r="I1068"/>
  <c r="K1068" s="1"/>
  <c r="L1068" s="1"/>
  <c r="U129" i="37"/>
  <c r="V128"/>
  <c r="W128" s="1"/>
  <c r="Y128" s="1"/>
  <c r="U156"/>
  <c r="V155"/>
  <c r="W155" s="1"/>
  <c r="Y155" s="1"/>
  <c r="V138"/>
  <c r="W138" s="1"/>
  <c r="Y138" s="1"/>
  <c r="U139"/>
  <c r="U164"/>
  <c r="V163"/>
  <c r="W163" s="1"/>
  <c r="Y163" s="1"/>
  <c r="V317"/>
  <c r="W317" s="1"/>
  <c r="Y317" s="1"/>
  <c r="U318"/>
  <c r="U374"/>
  <c r="V373"/>
  <c r="W373" s="1"/>
  <c r="Y373" s="1"/>
  <c r="U24"/>
  <c r="V23"/>
  <c r="W23" s="1"/>
  <c r="Y23" s="1"/>
  <c r="U114"/>
  <c r="V113"/>
  <c r="W113" s="1"/>
  <c r="Y113" s="1"/>
  <c r="V101"/>
  <c r="W101" s="1"/>
  <c r="Y101" s="1"/>
  <c r="U102"/>
  <c r="V210"/>
  <c r="W210" s="1"/>
  <c r="Y210" s="1"/>
  <c r="U211"/>
  <c r="H171" i="17"/>
  <c r="G170"/>
  <c r="J170" s="1"/>
  <c r="F188"/>
  <c r="J151"/>
  <c r="F173"/>
  <c r="H221"/>
  <c r="G221" s="1"/>
  <c r="G220"/>
  <c r="F169"/>
  <c r="J169" s="1"/>
  <c r="F184"/>
  <c r="J147"/>
  <c r="G34"/>
  <c r="H63"/>
  <c r="H108" s="1"/>
  <c r="H35"/>
  <c r="G106"/>
  <c r="J106" s="1"/>
  <c r="J61"/>
  <c r="F168"/>
  <c r="J168" s="1"/>
  <c r="F183"/>
  <c r="J183" s="1"/>
  <c r="J146"/>
  <c r="E514"/>
  <c r="J357"/>
  <c r="G62"/>
  <c r="J33"/>
  <c r="F205"/>
  <c r="J134"/>
  <c r="G102"/>
  <c r="J102" s="1"/>
  <c r="J57"/>
  <c r="G58"/>
  <c r="J29"/>
  <c r="J30" s="1"/>
  <c r="F172"/>
  <c r="F187"/>
  <c r="J150"/>
  <c r="F186"/>
  <c r="J149"/>
  <c r="F171"/>
  <c r="E510"/>
  <c r="J353"/>
  <c r="G268"/>
  <c r="J268" s="1"/>
  <c r="J219"/>
  <c r="H399"/>
  <c r="J398"/>
  <c r="J166"/>
  <c r="E509"/>
  <c r="J352"/>
  <c r="I389" i="7"/>
  <c r="K389" s="1"/>
  <c r="L389" s="1"/>
  <c r="K1427"/>
  <c r="K1429" s="1"/>
  <c r="K1431" s="1"/>
  <c r="K1433" s="1"/>
  <c r="K1435" s="1"/>
  <c r="K1437" s="1"/>
  <c r="I299" s="1"/>
  <c r="K299" s="1"/>
  <c r="L299" s="1"/>
  <c r="AA1425"/>
  <c r="I296"/>
  <c r="K296" s="1"/>
  <c r="L296" s="1"/>
  <c r="I393"/>
  <c r="K393" s="1"/>
  <c r="L393" s="1"/>
  <c r="K1450"/>
  <c r="K1452" s="1"/>
  <c r="K1454" s="1"/>
  <c r="K1456" s="1"/>
  <c r="K1458" s="1"/>
  <c r="K1460" s="1"/>
  <c r="I304" s="1"/>
  <c r="K304" s="1"/>
  <c r="L304" s="1"/>
  <c r="AA1448"/>
  <c r="I301"/>
  <c r="K301" s="1"/>
  <c r="L301" s="1"/>
  <c r="I385"/>
  <c r="K385" s="1"/>
  <c r="L385" s="1"/>
  <c r="I1055"/>
  <c r="K1055" s="1"/>
  <c r="L1055" s="1"/>
  <c r="I1056"/>
  <c r="K1056" s="1"/>
  <c r="L1056" s="1"/>
  <c r="AA1583"/>
  <c r="I332"/>
  <c r="K332" s="1"/>
  <c r="L332" s="1"/>
  <c r="K5084"/>
  <c r="I856" s="1"/>
  <c r="K856" s="1"/>
  <c r="L856" s="1"/>
  <c r="K5085"/>
  <c r="I857" s="1"/>
  <c r="K857" s="1"/>
  <c r="L857" s="1"/>
  <c r="I855"/>
  <c r="K855" s="1"/>
  <c r="L855" s="1"/>
  <c r="I1215"/>
  <c r="K1215" s="1"/>
  <c r="L1215" s="1"/>
  <c r="O108"/>
  <c r="K1404"/>
  <c r="K1406" s="1"/>
  <c r="K1408" s="1"/>
  <c r="K1410" s="1"/>
  <c r="K1412" s="1"/>
  <c r="K1414" s="1"/>
  <c r="I294" s="1"/>
  <c r="K294" s="1"/>
  <c r="L294" s="1"/>
  <c r="AA1402"/>
  <c r="I291"/>
  <c r="K291" s="1"/>
  <c r="L291" s="1"/>
  <c r="AA1361"/>
  <c r="I282"/>
  <c r="K282" s="1"/>
  <c r="L282" s="1"/>
  <c r="AA1561"/>
  <c r="I327"/>
  <c r="K327" s="1"/>
  <c r="L327" s="1"/>
  <c r="AA1383"/>
  <c r="I287"/>
  <c r="K287" s="1"/>
  <c r="L287" s="1"/>
  <c r="AA1517"/>
  <c r="I317"/>
  <c r="K317" s="1"/>
  <c r="L317" s="1"/>
  <c r="I392"/>
  <c r="K392" s="1"/>
  <c r="L392" s="1"/>
  <c r="K3409"/>
  <c r="K3410" s="1"/>
  <c r="K3435"/>
  <c r="K3436" s="1"/>
  <c r="H130"/>
  <c r="J129"/>
  <c r="L129" s="1"/>
  <c r="AA1627"/>
  <c r="I342"/>
  <c r="K342" s="1"/>
  <c r="L342" s="1"/>
  <c r="AA1474"/>
  <c r="I307"/>
  <c r="K307" s="1"/>
  <c r="L307" s="1"/>
  <c r="Z1406"/>
  <c r="Z1410" s="1"/>
  <c r="Z1414" s="1"/>
  <c r="I388"/>
  <c r="K388" s="1"/>
  <c r="L388" s="1"/>
  <c r="I77"/>
  <c r="J3911"/>
  <c r="K3911" s="1"/>
  <c r="K3912" s="1"/>
  <c r="K3913" s="1"/>
  <c r="L22"/>
  <c r="O22" s="1"/>
  <c r="B4753"/>
  <c r="AA1496"/>
  <c r="I312"/>
  <c r="K312" s="1"/>
  <c r="L312" s="1"/>
  <c r="K75"/>
  <c r="L75" s="1"/>
  <c r="O75" s="1"/>
  <c r="X75"/>
  <c r="L10"/>
  <c r="O10" s="1"/>
  <c r="A1392"/>
  <c r="A295"/>
  <c r="AA1649"/>
  <c r="I347"/>
  <c r="K347" s="1"/>
  <c r="L347" s="1"/>
  <c r="Z1429"/>
  <c r="Z1433" s="1"/>
  <c r="Z1437" s="1"/>
  <c r="Z1452"/>
  <c r="Z1456" s="1"/>
  <c r="Z1460" s="1"/>
  <c r="H158"/>
  <c r="A157"/>
  <c r="AA1671"/>
  <c r="I352"/>
  <c r="K352" s="1"/>
  <c r="L352" s="1"/>
  <c r="AA1605"/>
  <c r="I337"/>
  <c r="K337" s="1"/>
  <c r="L337" s="1"/>
  <c r="A235"/>
  <c r="H234"/>
  <c r="J4049"/>
  <c r="K4049" s="1"/>
  <c r="J4002"/>
  <c r="K4002" s="1"/>
  <c r="K4005" s="1"/>
  <c r="L16"/>
  <c r="O16" s="1"/>
  <c r="G9" i="9"/>
  <c r="M9" s="1"/>
  <c r="I384" i="7"/>
  <c r="K384" s="1"/>
  <c r="L384" s="1"/>
  <c r="I396"/>
  <c r="K396" s="1"/>
  <c r="L396" s="1"/>
  <c r="AA1539"/>
  <c r="I322"/>
  <c r="K322" s="1"/>
  <c r="L322" s="1"/>
  <c r="AA1716"/>
  <c r="I362"/>
  <c r="K362" s="1"/>
  <c r="L362" s="1"/>
  <c r="I4593" l="1"/>
  <c r="K4593" s="1"/>
  <c r="I4594" s="1"/>
  <c r="J5526" i="18"/>
  <c r="L5526" s="1"/>
  <c r="B1201" i="7"/>
  <c r="B6606" i="18"/>
  <c r="J3383"/>
  <c r="L3383" s="1"/>
  <c r="J3351"/>
  <c r="L3351" s="1"/>
  <c r="J682"/>
  <c r="L682" s="1"/>
  <c r="J5599"/>
  <c r="L5599" s="1"/>
  <c r="J5518"/>
  <c r="L5518" s="1"/>
  <c r="J5534"/>
  <c r="L5534" s="1"/>
  <c r="H5007"/>
  <c r="H4868"/>
  <c r="H4875" s="1"/>
  <c r="H4566"/>
  <c r="H4574" s="1"/>
  <c r="J184" i="17"/>
  <c r="I4626" i="7"/>
  <c r="I4619"/>
  <c r="I4620" s="1"/>
  <c r="I4587"/>
  <c r="I4568"/>
  <c r="K4568" s="1"/>
  <c r="I4569" s="1"/>
  <c r="I4562"/>
  <c r="I4535"/>
  <c r="K4535" s="1"/>
  <c r="I4536" s="1"/>
  <c r="I4529"/>
  <c r="K4494"/>
  <c r="I4495" s="1"/>
  <c r="K4462"/>
  <c r="K4287"/>
  <c r="I4295" s="1"/>
  <c r="I4320"/>
  <c r="I4353" s="1"/>
  <c r="E4244"/>
  <c r="I6408"/>
  <c r="K6408" s="1"/>
  <c r="I6409" s="1"/>
  <c r="I6410" s="1"/>
  <c r="I6401"/>
  <c r="I6314"/>
  <c r="K6314" s="1"/>
  <c r="I6315" s="1"/>
  <c r="I6308"/>
  <c r="I6177"/>
  <c r="I6183"/>
  <c r="K6183" s="1"/>
  <c r="I6184" s="1"/>
  <c r="I6134"/>
  <c r="I6140"/>
  <c r="K6140" s="1"/>
  <c r="I6141" s="1"/>
  <c r="K6090"/>
  <c r="K6048"/>
  <c r="I6049" s="1"/>
  <c r="I6007"/>
  <c r="I6015"/>
  <c r="I5962"/>
  <c r="K5962" s="1"/>
  <c r="I5963" s="1"/>
  <c r="I5956"/>
  <c r="K5905"/>
  <c r="I5906" s="1"/>
  <c r="I5898"/>
  <c r="K5854"/>
  <c r="I5805"/>
  <c r="K5811"/>
  <c r="I5812" s="1"/>
  <c r="K5785"/>
  <c r="I5786" s="1"/>
  <c r="K5742"/>
  <c r="I5743" s="1"/>
  <c r="I5716"/>
  <c r="I5710"/>
  <c r="K5673"/>
  <c r="I5674" s="1"/>
  <c r="I5647"/>
  <c r="I5641"/>
  <c r="I5604"/>
  <c r="K5604" s="1"/>
  <c r="I5605" s="1"/>
  <c r="I5598"/>
  <c r="I5578"/>
  <c r="I5572"/>
  <c r="K5557"/>
  <c r="I5558" s="1"/>
  <c r="K4019"/>
  <c r="I4020" s="1"/>
  <c r="I3998"/>
  <c r="K3837"/>
  <c r="I3838" s="1"/>
  <c r="I3817"/>
  <c r="I3792"/>
  <c r="I3793" s="1"/>
  <c r="I3799"/>
  <c r="K3799" s="1"/>
  <c r="I3800" s="1"/>
  <c r="I3801" s="1"/>
  <c r="O3791"/>
  <c r="K3770"/>
  <c r="K3745"/>
  <c r="I3746" s="1"/>
  <c r="K3724"/>
  <c r="O3653"/>
  <c r="K3699"/>
  <c r="I3700" s="1"/>
  <c r="I3679"/>
  <c r="I3661"/>
  <c r="K3661" s="1"/>
  <c r="I3662" s="1"/>
  <c r="I3663" s="1"/>
  <c r="I3655"/>
  <c r="O3510"/>
  <c r="I3633"/>
  <c r="K3607"/>
  <c r="I3616" s="1"/>
  <c r="K3616" s="1"/>
  <c r="I3617" s="1"/>
  <c r="I3600"/>
  <c r="K3563"/>
  <c r="I3564" s="1"/>
  <c r="I3543"/>
  <c r="I3512"/>
  <c r="I3518"/>
  <c r="K3484"/>
  <c r="I3492" s="1"/>
  <c r="I3472"/>
  <c r="K2605"/>
  <c r="I2606" s="1"/>
  <c r="K2581"/>
  <c r="I2867"/>
  <c r="K2867" s="1"/>
  <c r="I2868" s="1"/>
  <c r="I2861"/>
  <c r="K2824"/>
  <c r="I2825" s="1"/>
  <c r="I2774"/>
  <c r="K2774" s="1"/>
  <c r="K2773"/>
  <c r="I2780"/>
  <c r="I2491"/>
  <c r="K2491" s="1"/>
  <c r="H2782"/>
  <c r="H2789"/>
  <c r="O2525"/>
  <c r="O2526" s="1"/>
  <c r="I2737"/>
  <c r="K2737" s="1"/>
  <c r="K2736"/>
  <c r="O2546"/>
  <c r="I2743"/>
  <c r="K2743" s="1"/>
  <c r="I2744" s="1"/>
  <c r="I2699"/>
  <c r="K2699" s="1"/>
  <c r="K2698"/>
  <c r="I2548"/>
  <c r="K2548" s="1"/>
  <c r="I2554"/>
  <c r="I2498"/>
  <c r="I2499" s="1"/>
  <c r="K2499" s="1"/>
  <c r="I2505"/>
  <c r="K2505" s="1"/>
  <c r="K2530"/>
  <c r="I2450"/>
  <c r="J5649" i="18"/>
  <c r="L5649" s="1"/>
  <c r="I2269" i="7"/>
  <c r="K3932"/>
  <c r="I697" s="1"/>
  <c r="K697" s="1"/>
  <c r="L697" s="1"/>
  <c r="J859" i="18"/>
  <c r="L859" s="1"/>
  <c r="I1189" i="7"/>
  <c r="K1189" s="1"/>
  <c r="L1189" s="1"/>
  <c r="I1963"/>
  <c r="K1963" s="1"/>
  <c r="I2132"/>
  <c r="K2132"/>
  <c r="I2133" s="1"/>
  <c r="I2134" s="1"/>
  <c r="K2134" s="1"/>
  <c r="I1208"/>
  <c r="K1208" s="1"/>
  <c r="L1208" s="1"/>
  <c r="U50"/>
  <c r="I2350"/>
  <c r="I2351" s="1"/>
  <c r="K2351" s="1"/>
  <c r="K1989"/>
  <c r="J4394" i="18"/>
  <c r="L4394" s="1"/>
  <c r="J3327" i="7"/>
  <c r="K3327" s="1"/>
  <c r="I2371"/>
  <c r="K2371" s="1"/>
  <c r="I1209"/>
  <c r="K1209" s="1"/>
  <c r="L1209" s="1"/>
  <c r="I1042"/>
  <c r="K1042" s="1"/>
  <c r="L1042" s="1"/>
  <c r="J3388"/>
  <c r="K3388" s="1"/>
  <c r="J4719"/>
  <c r="K4719" s="1"/>
  <c r="K4721" s="1"/>
  <c r="I1918"/>
  <c r="K1918" s="1"/>
  <c r="K1921" s="1"/>
  <c r="K1922" s="1"/>
  <c r="K1923" s="1"/>
  <c r="K1924" s="1"/>
  <c r="J3440"/>
  <c r="K3440" s="1"/>
  <c r="I1207"/>
  <c r="K1207" s="1"/>
  <c r="L1207" s="1"/>
  <c r="J3302"/>
  <c r="K3302" s="1"/>
  <c r="J3414"/>
  <c r="K3414" s="1"/>
  <c r="I1205"/>
  <c r="K1205" s="1"/>
  <c r="L1205" s="1"/>
  <c r="J3352"/>
  <c r="K3352" s="1"/>
  <c r="I1206"/>
  <c r="K1206" s="1"/>
  <c r="L1206" s="1"/>
  <c r="O2126"/>
  <c r="O2334"/>
  <c r="K1810"/>
  <c r="K1811" s="1"/>
  <c r="I1214"/>
  <c r="K1214" s="1"/>
  <c r="L1214" s="1"/>
  <c r="K2419"/>
  <c r="K2421" s="1"/>
  <c r="K2428" s="1"/>
  <c r="K2429" s="1"/>
  <c r="J673" i="18"/>
  <c r="L673" s="1"/>
  <c r="K2245" i="44"/>
  <c r="I444"/>
  <c r="K444" s="1"/>
  <c r="L444" s="1"/>
  <c r="I441"/>
  <c r="K441" s="1"/>
  <c r="L441" s="1"/>
  <c r="K2226"/>
  <c r="K2219"/>
  <c r="K2252"/>
  <c r="K4739"/>
  <c r="I827" s="1"/>
  <c r="K827" s="1"/>
  <c r="L827" s="1"/>
  <c r="O2169" i="7"/>
  <c r="AA1741"/>
  <c r="I368"/>
  <c r="K368" s="1"/>
  <c r="L368" s="1"/>
  <c r="AA1749"/>
  <c r="I367"/>
  <c r="K367" s="1"/>
  <c r="L367" s="1"/>
  <c r="O2212"/>
  <c r="I1235"/>
  <c r="K1235" s="1"/>
  <c r="L1235" s="1"/>
  <c r="J4520" i="18"/>
  <c r="L4520" s="1"/>
  <c r="O2083" i="7"/>
  <c r="I2089"/>
  <c r="H35" i="13"/>
  <c r="K35" s="1"/>
  <c r="H26"/>
  <c r="H25"/>
  <c r="J22" i="18"/>
  <c r="L22" s="1"/>
  <c r="AA1745" i="7"/>
  <c r="I2336"/>
  <c r="K2336" s="1"/>
  <c r="K2335"/>
  <c r="I2443"/>
  <c r="K2450"/>
  <c r="I2451" s="1"/>
  <c r="I2436"/>
  <c r="K2436" s="1"/>
  <c r="K2435"/>
  <c r="Q2442"/>
  <c r="I2475"/>
  <c r="K2475" s="1"/>
  <c r="K2474"/>
  <c r="I2392"/>
  <c r="K2392" s="1"/>
  <c r="K2391"/>
  <c r="I2208"/>
  <c r="K2208" s="1"/>
  <c r="K2207"/>
  <c r="K2269"/>
  <c r="I2270" s="1"/>
  <c r="I2262"/>
  <c r="K2318"/>
  <c r="I2313"/>
  <c r="O2312"/>
  <c r="I2255"/>
  <c r="K2255" s="1"/>
  <c r="K2254"/>
  <c r="I2308"/>
  <c r="K2308" s="1"/>
  <c r="K2307"/>
  <c r="I2218"/>
  <c r="K2218"/>
  <c r="I2219" s="1"/>
  <c r="I2213"/>
  <c r="I2291"/>
  <c r="K2291" s="1"/>
  <c r="K2290"/>
  <c r="I2236"/>
  <c r="K2235"/>
  <c r="G612"/>
  <c r="G614"/>
  <c r="G588"/>
  <c r="G586"/>
  <c r="G826"/>
  <c r="K2175"/>
  <c r="I2176" s="1"/>
  <c r="I2170"/>
  <c r="G835"/>
  <c r="I2128"/>
  <c r="K2128" s="1"/>
  <c r="K2127"/>
  <c r="I2165"/>
  <c r="K2165" s="1"/>
  <c r="K2164"/>
  <c r="I2084"/>
  <c r="K2089"/>
  <c r="I2090" s="1"/>
  <c r="G601"/>
  <c r="G599"/>
  <c r="I2175"/>
  <c r="G547"/>
  <c r="G549"/>
  <c r="G575"/>
  <c r="G573"/>
  <c r="G560"/>
  <c r="G562"/>
  <c r="I2079"/>
  <c r="K2079" s="1"/>
  <c r="K2078"/>
  <c r="I2150"/>
  <c r="K2150" s="1"/>
  <c r="K2156" s="1"/>
  <c r="K2192"/>
  <c r="I2193"/>
  <c r="K2193" s="1"/>
  <c r="K2106"/>
  <c r="I2107"/>
  <c r="K2107" s="1"/>
  <c r="I2064"/>
  <c r="K2064" s="1"/>
  <c r="K2063"/>
  <c r="I1938"/>
  <c r="K1938" s="1"/>
  <c r="K1937"/>
  <c r="J504" i="17"/>
  <c r="J523" s="1"/>
  <c r="J526" s="1"/>
  <c r="D527" s="1"/>
  <c r="K527" s="1"/>
  <c r="J530"/>
  <c r="J533" s="1"/>
  <c r="D534" s="1"/>
  <c r="K534" s="1"/>
  <c r="J455"/>
  <c r="J458" s="1"/>
  <c r="D459" s="1"/>
  <c r="K459" s="1"/>
  <c r="I574"/>
  <c r="J574" s="1"/>
  <c r="J576" s="1"/>
  <c r="J577" s="1"/>
  <c r="D578" s="1"/>
  <c r="K578" s="1"/>
  <c r="J548"/>
  <c r="J550" s="1"/>
  <c r="J551" s="1"/>
  <c r="O2012" i="7"/>
  <c r="R2006"/>
  <c r="O2253"/>
  <c r="J500" i="18"/>
  <c r="L500" s="1"/>
  <c r="J434"/>
  <c r="L434" s="1"/>
  <c r="J467"/>
  <c r="L467" s="1"/>
  <c r="J3359"/>
  <c r="L3359" s="1"/>
  <c r="J475"/>
  <c r="L475" s="1"/>
  <c r="J211"/>
  <c r="L211" s="1"/>
  <c r="J302"/>
  <c r="L302" s="1"/>
  <c r="J566"/>
  <c r="L566" s="1"/>
  <c r="J343"/>
  <c r="L343" s="1"/>
  <c r="J178"/>
  <c r="L178" s="1"/>
  <c r="J244"/>
  <c r="L244" s="1"/>
  <c r="J368"/>
  <c r="L368" s="1"/>
  <c r="J533"/>
  <c r="L533" s="1"/>
  <c r="J632"/>
  <c r="L632" s="1"/>
  <c r="J104"/>
  <c r="L104" s="1"/>
  <c r="J335"/>
  <c r="L335" s="1"/>
  <c r="J137"/>
  <c r="L137" s="1"/>
  <c r="J401"/>
  <c r="L401" s="1"/>
  <c r="J269"/>
  <c r="L269" s="1"/>
  <c r="H2953"/>
  <c r="I357" i="7"/>
  <c r="K357" s="1"/>
  <c r="L357" s="1"/>
  <c r="AA1525"/>
  <c r="AA1437"/>
  <c r="AA1460"/>
  <c r="AA1414"/>
  <c r="O1325"/>
  <c r="AA1325"/>
  <c r="I377"/>
  <c r="K377" s="1"/>
  <c r="L377" s="1"/>
  <c r="AA1789"/>
  <c r="AA1694"/>
  <c r="K4052"/>
  <c r="K4053" s="1"/>
  <c r="O4053" s="1"/>
  <c r="O4060"/>
  <c r="O4064" s="1"/>
  <c r="K1698"/>
  <c r="I1052"/>
  <c r="K1052" s="1"/>
  <c r="L1052" s="1"/>
  <c r="Z1321"/>
  <c r="Z1698"/>
  <c r="Z1702" s="1"/>
  <c r="I372"/>
  <c r="K372" s="1"/>
  <c r="L372" s="1"/>
  <c r="K1765"/>
  <c r="K1767" s="1"/>
  <c r="I298"/>
  <c r="K298" s="1"/>
  <c r="L298" s="1"/>
  <c r="AA1433"/>
  <c r="K1793"/>
  <c r="AA1410"/>
  <c r="I293"/>
  <c r="K293" s="1"/>
  <c r="L293" s="1"/>
  <c r="AA1456"/>
  <c r="I303"/>
  <c r="K303" s="1"/>
  <c r="L303" s="1"/>
  <c r="I277"/>
  <c r="K277" s="1"/>
  <c r="L277" s="1"/>
  <c r="K1341"/>
  <c r="K1343" s="1"/>
  <c r="I272"/>
  <c r="K272" s="1"/>
  <c r="L272" s="1"/>
  <c r="K1319"/>
  <c r="K1321" s="1"/>
  <c r="Z1793"/>
  <c r="Z1797" s="1"/>
  <c r="K4089"/>
  <c r="O4089" s="1"/>
  <c r="AA1763"/>
  <c r="I1050"/>
  <c r="K1050" s="1"/>
  <c r="L1050" s="1"/>
  <c r="K4176"/>
  <c r="K4182" s="1"/>
  <c r="J4438" i="18"/>
  <c r="L4438" s="1"/>
  <c r="K4104" i="7"/>
  <c r="K4107" s="1"/>
  <c r="O4107" s="1"/>
  <c r="K4197"/>
  <c r="K4203" s="1"/>
  <c r="K3960"/>
  <c r="K3961"/>
  <c r="K4140"/>
  <c r="K4143" s="1"/>
  <c r="J583" i="18"/>
  <c r="L583" s="1"/>
  <c r="I693" i="7"/>
  <c r="K693" s="1"/>
  <c r="L693" s="1"/>
  <c r="I1051"/>
  <c r="K1051" s="1"/>
  <c r="L1051" s="1"/>
  <c r="J5591" i="18"/>
  <c r="L5591" s="1"/>
  <c r="L1346"/>
  <c r="G6" i="56"/>
  <c r="G19"/>
  <c r="G16"/>
  <c r="G22"/>
  <c r="H2947" i="18"/>
  <c r="I68" i="7"/>
  <c r="I62"/>
  <c r="K62" s="1"/>
  <c r="K3982" s="1"/>
  <c r="J5464"/>
  <c r="K5464" s="1"/>
  <c r="J5504"/>
  <c r="L63"/>
  <c r="O63" s="1"/>
  <c r="DO561" i="4"/>
  <c r="DO562" s="1"/>
  <c r="J5607" i="18"/>
  <c r="L5607" s="1"/>
  <c r="K30" i="13"/>
  <c r="I41"/>
  <c r="K41" s="1"/>
  <c r="CS258" i="4"/>
  <c r="CT252"/>
  <c r="CS253"/>
  <c r="CT253" s="1"/>
  <c r="CZ249"/>
  <c r="CS255"/>
  <c r="O4124" i="7"/>
  <c r="O4125" s="1"/>
  <c r="O4110"/>
  <c r="O4114" s="1"/>
  <c r="O4118" s="1"/>
  <c r="A179" i="18"/>
  <c r="I1067" i="7"/>
  <c r="K1067" s="1"/>
  <c r="L1067" s="1"/>
  <c r="I695"/>
  <c r="K695" s="1"/>
  <c r="L695" s="1"/>
  <c r="O3913"/>
  <c r="K60"/>
  <c r="L60" s="1"/>
  <c r="X60"/>
  <c r="I66"/>
  <c r="K66" s="1"/>
  <c r="K3981" s="1"/>
  <c r="K61"/>
  <c r="L61" s="1"/>
  <c r="O61" s="1"/>
  <c r="X61"/>
  <c r="I67"/>
  <c r="K67" s="1"/>
  <c r="K5525" s="1"/>
  <c r="K5526" s="1"/>
  <c r="K5527" s="1"/>
  <c r="K5528" s="1"/>
  <c r="K5529" s="1"/>
  <c r="J5761" i="18"/>
  <c r="L5761" s="1"/>
  <c r="J4430"/>
  <c r="L4430" s="1"/>
  <c r="J6720"/>
  <c r="L6720" s="1"/>
  <c r="J4421"/>
  <c r="L4421" s="1"/>
  <c r="J5657"/>
  <c r="L5657" s="1"/>
  <c r="J4429"/>
  <c r="J5745"/>
  <c r="L5745" s="1"/>
  <c r="J5665"/>
  <c r="L5665" s="1"/>
  <c r="I4769" i="44"/>
  <c r="K4753"/>
  <c r="J1899"/>
  <c r="K1878"/>
  <c r="K1879" s="1"/>
  <c r="K1880" s="1"/>
  <c r="K1883" s="1"/>
  <c r="K1885" s="1"/>
  <c r="K1886" s="1"/>
  <c r="A1080"/>
  <c r="A273"/>
  <c r="I4639"/>
  <c r="K4623"/>
  <c r="I4757"/>
  <c r="K4741"/>
  <c r="K4742" s="1"/>
  <c r="I828" s="1"/>
  <c r="K828" s="1"/>
  <c r="L828" s="1"/>
  <c r="I4783"/>
  <c r="K4783" s="1"/>
  <c r="K4767"/>
  <c r="I4770"/>
  <c r="K4754"/>
  <c r="I4652"/>
  <c r="K4636"/>
  <c r="I4766"/>
  <c r="K4750"/>
  <c r="K4752" s="1"/>
  <c r="I832" s="1"/>
  <c r="K832" s="1"/>
  <c r="L832" s="1"/>
  <c r="I4763"/>
  <c r="K4747"/>
  <c r="K4749" s="1"/>
  <c r="I831" s="1"/>
  <c r="K831" s="1"/>
  <c r="L831" s="1"/>
  <c r="K4817"/>
  <c r="I861" s="1"/>
  <c r="K861" s="1"/>
  <c r="L861" s="1"/>
  <c r="K4619"/>
  <c r="I778" s="1"/>
  <c r="K778" s="1"/>
  <c r="L778" s="1"/>
  <c r="I4772"/>
  <c r="K4756"/>
  <c r="I4663"/>
  <c r="K4663" s="1"/>
  <c r="K4647"/>
  <c r="I4823"/>
  <c r="K4823" s="1"/>
  <c r="K4819"/>
  <c r="K1866"/>
  <c r="R1866"/>
  <c r="S1866" s="1"/>
  <c r="K1976"/>
  <c r="I387"/>
  <c r="K387" s="1"/>
  <c r="L387" s="1"/>
  <c r="K76"/>
  <c r="L76" s="1"/>
  <c r="O76" s="1"/>
  <c r="X76"/>
  <c r="I4744"/>
  <c r="K4728"/>
  <c r="K4729" s="1"/>
  <c r="I823" s="1"/>
  <c r="K823" s="1"/>
  <c r="L823" s="1"/>
  <c r="A158"/>
  <c r="H159"/>
  <c r="I4646"/>
  <c r="K4630"/>
  <c r="K4632" s="1"/>
  <c r="I783" s="1"/>
  <c r="K783" s="1"/>
  <c r="L783" s="1"/>
  <c r="I4624"/>
  <c r="K4608"/>
  <c r="K4609"/>
  <c r="I774" s="1"/>
  <c r="K774" s="1"/>
  <c r="L774" s="1"/>
  <c r="K4820"/>
  <c r="I4824"/>
  <c r="K4824" s="1"/>
  <c r="I4650"/>
  <c r="K4634"/>
  <c r="I4759"/>
  <c r="K4743"/>
  <c r="I4637"/>
  <c r="K4621"/>
  <c r="K4622" s="1"/>
  <c r="I779" s="1"/>
  <c r="K779" s="1"/>
  <c r="L779" s="1"/>
  <c r="I4659"/>
  <c r="K4659" s="1"/>
  <c r="K4661" s="1"/>
  <c r="I794" s="1"/>
  <c r="K794" s="1"/>
  <c r="L794" s="1"/>
  <c r="K4643"/>
  <c r="K4645" s="1"/>
  <c r="I788" s="1"/>
  <c r="K788" s="1"/>
  <c r="L788" s="1"/>
  <c r="A210"/>
  <c r="H209"/>
  <c r="H80"/>
  <c r="I79"/>
  <c r="J2041"/>
  <c r="K2041" s="1"/>
  <c r="J1986"/>
  <c r="K1986" s="1"/>
  <c r="K1987" s="1"/>
  <c r="I407" s="1"/>
  <c r="K407" s="1"/>
  <c r="L407" s="1"/>
  <c r="J1982"/>
  <c r="K1982" s="1"/>
  <c r="K1983" s="1"/>
  <c r="I406" s="1"/>
  <c r="K406" s="1"/>
  <c r="L406" s="1"/>
  <c r="K1847"/>
  <c r="I4649"/>
  <c r="K4633"/>
  <c r="J768" i="18"/>
  <c r="L768" s="1"/>
  <c r="J393"/>
  <c r="L393" s="1"/>
  <c r="J96"/>
  <c r="L96" s="1"/>
  <c r="J154"/>
  <c r="L154" s="1"/>
  <c r="J187"/>
  <c r="L187" s="1"/>
  <c r="J261"/>
  <c r="L261" s="1"/>
  <c r="J818"/>
  <c r="L818" s="1"/>
  <c r="J327"/>
  <c r="L327" s="1"/>
  <c r="J220"/>
  <c r="L220" s="1"/>
  <c r="J801"/>
  <c r="L801" s="1"/>
  <c r="J558"/>
  <c r="L558" s="1"/>
  <c r="J360"/>
  <c r="L360" s="1"/>
  <c r="J843"/>
  <c r="L843" s="1"/>
  <c r="J525"/>
  <c r="L525" s="1"/>
  <c r="J294"/>
  <c r="L294" s="1"/>
  <c r="J826"/>
  <c r="L826" s="1"/>
  <c r="J624"/>
  <c r="L624" s="1"/>
  <c r="J459"/>
  <c r="L459" s="1"/>
  <c r="J793"/>
  <c r="L793" s="1"/>
  <c r="J492"/>
  <c r="L492" s="1"/>
  <c r="J129"/>
  <c r="L129" s="1"/>
  <c r="J426"/>
  <c r="L426" s="1"/>
  <c r="J776"/>
  <c r="L776" s="1"/>
  <c r="J348" i="17"/>
  <c r="J360"/>
  <c r="J361" s="1"/>
  <c r="G185"/>
  <c r="J185" s="1"/>
  <c r="H186"/>
  <c r="H5073" i="18"/>
  <c r="H2703"/>
  <c r="H1419"/>
  <c r="V211" i="37"/>
  <c r="W211" s="1"/>
  <c r="Y211" s="1"/>
  <c r="U212"/>
  <c r="U25"/>
  <c r="V25" s="1"/>
  <c r="W25" s="1"/>
  <c r="Y25" s="1"/>
  <c r="V24"/>
  <c r="W24" s="1"/>
  <c r="Y24" s="1"/>
  <c r="U130"/>
  <c r="V129"/>
  <c r="W129" s="1"/>
  <c r="Y129" s="1"/>
  <c r="V102"/>
  <c r="W102" s="1"/>
  <c r="Y102" s="1"/>
  <c r="U103"/>
  <c r="V318"/>
  <c r="U319"/>
  <c r="V139"/>
  <c r="W139" s="1"/>
  <c r="Y139" s="1"/>
  <c r="U140"/>
  <c r="U115"/>
  <c r="V114"/>
  <c r="W114" s="1"/>
  <c r="Y114" s="1"/>
  <c r="U375"/>
  <c r="V374"/>
  <c r="W374" s="1"/>
  <c r="Y374" s="1"/>
  <c r="U165"/>
  <c r="V164"/>
  <c r="W164" s="1"/>
  <c r="Y164" s="1"/>
  <c r="U157"/>
  <c r="V157" s="1"/>
  <c r="W157" s="1"/>
  <c r="Y157" s="1"/>
  <c r="V156"/>
  <c r="W156" s="1"/>
  <c r="Y156" s="1"/>
  <c r="G103" i="17"/>
  <c r="J103" s="1"/>
  <c r="J104" s="1"/>
  <c r="J58"/>
  <c r="J59" s="1"/>
  <c r="J205"/>
  <c r="F206"/>
  <c r="J206" s="1"/>
  <c r="G270"/>
  <c r="J270" s="1"/>
  <c r="J221"/>
  <c r="G171"/>
  <c r="H172"/>
  <c r="G107"/>
  <c r="J107" s="1"/>
  <c r="J62"/>
  <c r="G63"/>
  <c r="J34"/>
  <c r="G269"/>
  <c r="J269" s="1"/>
  <c r="J220"/>
  <c r="J222" s="1"/>
  <c r="J223" s="1"/>
  <c r="J224" s="1"/>
  <c r="E289" s="1"/>
  <c r="J289" s="1"/>
  <c r="H400"/>
  <c r="J399"/>
  <c r="J171"/>
  <c r="J152"/>
  <c r="J160" s="1"/>
  <c r="G35"/>
  <c r="H64"/>
  <c r="H109" s="1"/>
  <c r="H36"/>
  <c r="A236" i="7"/>
  <c r="H235"/>
  <c r="A158"/>
  <c r="H159"/>
  <c r="H160" s="1"/>
  <c r="I1142"/>
  <c r="K1142" s="1"/>
  <c r="L1142" s="1"/>
  <c r="A1415"/>
  <c r="A300"/>
  <c r="J130"/>
  <c r="L130" s="1"/>
  <c r="E131" s="1"/>
  <c r="L131" s="1"/>
  <c r="F51" s="1"/>
  <c r="G51" s="1"/>
  <c r="I1091"/>
  <c r="K1091" s="1"/>
  <c r="L1091" s="1"/>
  <c r="I1093"/>
  <c r="K1093" s="1"/>
  <c r="L1093" s="1"/>
  <c r="I1141"/>
  <c r="K1141" s="1"/>
  <c r="L1141" s="1"/>
  <c r="I78"/>
  <c r="I1139"/>
  <c r="K1139" s="1"/>
  <c r="L1139" s="1"/>
  <c r="I1140"/>
  <c r="K1140" s="1"/>
  <c r="L1140" s="1"/>
  <c r="K4127"/>
  <c r="K4129" s="1"/>
  <c r="K4131" s="1"/>
  <c r="K4133" s="1"/>
  <c r="I727"/>
  <c r="K727" s="1"/>
  <c r="L727" s="1"/>
  <c r="AA1406"/>
  <c r="I292"/>
  <c r="K292" s="1"/>
  <c r="L292" s="1"/>
  <c r="I1090"/>
  <c r="K1090" s="1"/>
  <c r="L1090" s="1"/>
  <c r="AA1429"/>
  <c r="I297"/>
  <c r="K297" s="1"/>
  <c r="L297" s="1"/>
  <c r="K76"/>
  <c r="L76" s="1"/>
  <c r="O76" s="1"/>
  <c r="X76"/>
  <c r="AA1452"/>
  <c r="I302"/>
  <c r="K302" s="1"/>
  <c r="L302" s="1"/>
  <c r="J5933" i="18" l="1"/>
  <c r="L5933" s="1"/>
  <c r="J5909"/>
  <c r="L5909" s="1"/>
  <c r="B1203" i="7"/>
  <c r="B6615" i="18"/>
  <c r="J5917"/>
  <c r="L5917" s="1"/>
  <c r="J5632"/>
  <c r="L5632" s="1"/>
  <c r="J5624"/>
  <c r="L5624" s="1"/>
  <c r="L5697"/>
  <c r="J657"/>
  <c r="L657" s="1"/>
  <c r="J3375"/>
  <c r="L3375" s="1"/>
  <c r="J6664"/>
  <c r="L6664" s="1"/>
  <c r="J6672"/>
  <c r="L6672" s="1"/>
  <c r="J3401"/>
  <c r="L3401" s="1"/>
  <c r="J6640"/>
  <c r="L6640" s="1"/>
  <c r="D505" i="17"/>
  <c r="K505" s="1"/>
  <c r="K4626" i="7"/>
  <c r="I4627" s="1"/>
  <c r="I4628" s="1"/>
  <c r="I4601"/>
  <c r="K4601" s="1"/>
  <c r="I4602" s="1"/>
  <c r="I4603" s="1"/>
  <c r="I4595"/>
  <c r="I4570"/>
  <c r="I4537"/>
  <c r="I4502"/>
  <c r="K4502" s="1"/>
  <c r="I4503" s="1"/>
  <c r="I4496"/>
  <c r="I4463"/>
  <c r="K4353"/>
  <c r="I4361" s="1"/>
  <c r="I4386"/>
  <c r="I4288"/>
  <c r="I4289" s="1"/>
  <c r="K4320"/>
  <c r="I4321" s="1"/>
  <c r="K4295"/>
  <c r="I4296" s="1"/>
  <c r="I6316"/>
  <c r="I6322"/>
  <c r="K6322" s="1"/>
  <c r="I6323" s="1"/>
  <c r="I6185"/>
  <c r="I6142"/>
  <c r="I6091"/>
  <c r="I6098"/>
  <c r="K6098" s="1"/>
  <c r="I6099" s="1"/>
  <c r="I6050"/>
  <c r="I6056"/>
  <c r="K6056" s="1"/>
  <c r="I6057" s="1"/>
  <c r="I5970"/>
  <c r="K5970" s="1"/>
  <c r="I5971" s="1"/>
  <c r="I5972" s="1"/>
  <c r="I5964"/>
  <c r="I5899"/>
  <c r="I5907"/>
  <c r="I5855"/>
  <c r="I5862"/>
  <c r="K5862" s="1"/>
  <c r="I5863" s="1"/>
  <c r="I5819"/>
  <c r="K5819" s="1"/>
  <c r="I5820" s="1"/>
  <c r="I5821" s="1"/>
  <c r="I5813"/>
  <c r="I5793"/>
  <c r="I5787"/>
  <c r="I5750"/>
  <c r="I5744"/>
  <c r="K5716"/>
  <c r="I5717" s="1"/>
  <c r="I5681"/>
  <c r="O4019"/>
  <c r="I5675"/>
  <c r="K5647"/>
  <c r="I5648" s="1"/>
  <c r="I5606"/>
  <c r="I5612"/>
  <c r="K5612" s="1"/>
  <c r="I5613" s="1"/>
  <c r="K5578"/>
  <c r="I5579" s="1"/>
  <c r="I4021"/>
  <c r="I4027"/>
  <c r="I3999"/>
  <c r="I3839"/>
  <c r="I3845"/>
  <c r="K3845" s="1"/>
  <c r="I3846" s="1"/>
  <c r="O3837"/>
  <c r="I3818"/>
  <c r="O3799"/>
  <c r="I3707"/>
  <c r="K3707" s="1"/>
  <c r="I3708" s="1"/>
  <c r="I3709" s="1"/>
  <c r="I3771"/>
  <c r="I3747"/>
  <c r="I3753"/>
  <c r="K3753" s="1"/>
  <c r="I3754" s="1"/>
  <c r="O3745"/>
  <c r="I3725"/>
  <c r="I3701"/>
  <c r="O3699"/>
  <c r="I3680"/>
  <c r="O3661"/>
  <c r="O2605"/>
  <c r="I3634"/>
  <c r="I3618"/>
  <c r="I3608"/>
  <c r="I3565"/>
  <c r="I3571"/>
  <c r="O3563"/>
  <c r="I3544"/>
  <c r="K3518"/>
  <c r="K3492"/>
  <c r="I3493" s="1"/>
  <c r="I3485"/>
  <c r="O3484"/>
  <c r="I3473"/>
  <c r="I2607"/>
  <c r="K2607" s="1"/>
  <c r="K2606"/>
  <c r="I2613"/>
  <c r="K2613" s="1"/>
  <c r="I2614" s="1"/>
  <c r="I2582"/>
  <c r="I2869"/>
  <c r="I2875"/>
  <c r="K2875" s="1"/>
  <c r="I2876" s="1"/>
  <c r="I2826"/>
  <c r="I2832"/>
  <c r="K2832" s="1"/>
  <c r="I2833" s="1"/>
  <c r="H2790"/>
  <c r="H2808"/>
  <c r="K2780"/>
  <c r="I2781" s="1"/>
  <c r="I2745"/>
  <c r="K2745" s="1"/>
  <c r="K2744"/>
  <c r="K2554"/>
  <c r="O2554" s="1"/>
  <c r="K2498"/>
  <c r="I2531"/>
  <c r="I2532" s="1"/>
  <c r="K2532" s="1"/>
  <c r="O2505"/>
  <c r="I2506"/>
  <c r="O3932"/>
  <c r="I1964"/>
  <c r="K1964" s="1"/>
  <c r="K1970" s="1"/>
  <c r="K1974" s="1"/>
  <c r="K1978" s="1"/>
  <c r="K3934"/>
  <c r="K3936" s="1"/>
  <c r="K3938" s="1"/>
  <c r="K3940" s="1"/>
  <c r="O3940" s="1"/>
  <c r="J6568" i="18"/>
  <c r="L6568" s="1"/>
  <c r="K2433" i="7"/>
  <c r="K2437" s="1"/>
  <c r="K2430"/>
  <c r="K2431" s="1"/>
  <c r="K2236"/>
  <c r="K2242" s="1"/>
  <c r="I1994"/>
  <c r="K1994" s="1"/>
  <c r="I2372"/>
  <c r="K2372" s="1"/>
  <c r="K2373" s="1"/>
  <c r="K2379" s="1"/>
  <c r="I457" s="1"/>
  <c r="K457" s="1"/>
  <c r="L457" s="1"/>
  <c r="K2133"/>
  <c r="O2132"/>
  <c r="K2350"/>
  <c r="K2352" s="1"/>
  <c r="K2358" s="1"/>
  <c r="O2358" s="1"/>
  <c r="I1038"/>
  <c r="K1038" s="1"/>
  <c r="L1038" s="1"/>
  <c r="J6648" i="18"/>
  <c r="L6648" s="1"/>
  <c r="J5574"/>
  <c r="L5574" s="1"/>
  <c r="O1924" i="7"/>
  <c r="H36" i="13"/>
  <c r="K36" s="1"/>
  <c r="I34"/>
  <c r="J6712" i="18"/>
  <c r="L6712" s="1"/>
  <c r="I1812" i="7"/>
  <c r="K1812" s="1"/>
  <c r="K1813" s="1"/>
  <c r="K1814" s="1"/>
  <c r="G28" i="106" s="1"/>
  <c r="O28" s="1"/>
  <c r="J665" i="18"/>
  <c r="L665" s="1"/>
  <c r="I443" i="44"/>
  <c r="K443" s="1"/>
  <c r="L443" s="1"/>
  <c r="K2253"/>
  <c r="W318" i="37"/>
  <c r="Y318" s="1"/>
  <c r="AC318"/>
  <c r="K4635" i="44"/>
  <c r="I784" s="1"/>
  <c r="K784" s="1"/>
  <c r="L784" s="1"/>
  <c r="K4825"/>
  <c r="I865" s="1"/>
  <c r="K865" s="1"/>
  <c r="L865" s="1"/>
  <c r="K2227"/>
  <c r="I440"/>
  <c r="K440" s="1"/>
  <c r="L440" s="1"/>
  <c r="D456" i="17"/>
  <c r="K456" s="1"/>
  <c r="O1235" i="7"/>
  <c r="J6872" i="18"/>
  <c r="L6872" s="1"/>
  <c r="O2089" i="7"/>
  <c r="I1232"/>
  <c r="K1232" s="1"/>
  <c r="L1232" s="1"/>
  <c r="I399"/>
  <c r="K399" s="1"/>
  <c r="L399" s="1"/>
  <c r="I2444"/>
  <c r="K2444" s="1"/>
  <c r="K2443"/>
  <c r="I2452"/>
  <c r="K2452" s="1"/>
  <c r="K2451"/>
  <c r="L4429" i="18"/>
  <c r="K2476" i="7"/>
  <c r="K2483" s="1"/>
  <c r="K2398"/>
  <c r="K2926"/>
  <c r="K2935" s="1"/>
  <c r="K2945" s="1"/>
  <c r="O2318"/>
  <c r="I2319"/>
  <c r="I2220"/>
  <c r="K2220" s="1"/>
  <c r="K2219"/>
  <c r="I2314"/>
  <c r="K2314" s="1"/>
  <c r="K2313"/>
  <c r="I2214"/>
  <c r="K2214" s="1"/>
  <c r="K2213"/>
  <c r="I2271"/>
  <c r="K2271" s="1"/>
  <c r="K2270"/>
  <c r="I2263"/>
  <c r="K2263" s="1"/>
  <c r="K2262"/>
  <c r="O2218"/>
  <c r="K2297"/>
  <c r="K2298" s="1"/>
  <c r="G87" i="106" s="1"/>
  <c r="O87" s="1"/>
  <c r="K2199" i="7"/>
  <c r="I430"/>
  <c r="K430" s="1"/>
  <c r="L430" s="1"/>
  <c r="K2158"/>
  <c r="K2160" s="1"/>
  <c r="O2160" s="1"/>
  <c r="O2156"/>
  <c r="G563"/>
  <c r="G602"/>
  <c r="K2084"/>
  <c r="I2085"/>
  <c r="K2085" s="1"/>
  <c r="I2177"/>
  <c r="K2177" s="1"/>
  <c r="K2176"/>
  <c r="G576"/>
  <c r="G550"/>
  <c r="I2091"/>
  <c r="K2091" s="1"/>
  <c r="K2090"/>
  <c r="I2171"/>
  <c r="K2171" s="1"/>
  <c r="K2170"/>
  <c r="G589"/>
  <c r="G615"/>
  <c r="O2175"/>
  <c r="K2113"/>
  <c r="K2070"/>
  <c r="K1944"/>
  <c r="J552" i="17"/>
  <c r="J564"/>
  <c r="D565" s="1"/>
  <c r="K565" s="1"/>
  <c r="O2018" i="7"/>
  <c r="R2018" s="1"/>
  <c r="R2012"/>
  <c r="O2261"/>
  <c r="R2253"/>
  <c r="J170" i="18"/>
  <c r="L170" s="1"/>
  <c r="J236"/>
  <c r="L236" s="1"/>
  <c r="J203"/>
  <c r="L203" s="1"/>
  <c r="H1577"/>
  <c r="D2948"/>
  <c r="H2948" s="1"/>
  <c r="H2960" s="1"/>
  <c r="K1769" i="7"/>
  <c r="K1771" s="1"/>
  <c r="I373"/>
  <c r="K373" s="1"/>
  <c r="L373" s="1"/>
  <c r="J591" i="18"/>
  <c r="L591" s="1"/>
  <c r="I729" i="7"/>
  <c r="K729" s="1"/>
  <c r="L729" s="1"/>
  <c r="K4135"/>
  <c r="K4137" s="1"/>
  <c r="I730" s="1"/>
  <c r="K730" s="1"/>
  <c r="L730" s="1"/>
  <c r="I358"/>
  <c r="K358" s="1"/>
  <c r="L358" s="1"/>
  <c r="K1700"/>
  <c r="K1702" s="1"/>
  <c r="I278"/>
  <c r="K278" s="1"/>
  <c r="L278" s="1"/>
  <c r="K1345"/>
  <c r="K1347" s="1"/>
  <c r="I279" s="1"/>
  <c r="K279" s="1"/>
  <c r="L279" s="1"/>
  <c r="J723" i="18"/>
  <c r="L723" s="1"/>
  <c r="I378" i="7"/>
  <c r="K378" s="1"/>
  <c r="L378" s="1"/>
  <c r="K1795"/>
  <c r="K1797" s="1"/>
  <c r="Z1325"/>
  <c r="I273"/>
  <c r="K273" s="1"/>
  <c r="L273" s="1"/>
  <c r="K1323"/>
  <c r="K1325" s="1"/>
  <c r="I274" s="1"/>
  <c r="K274" s="1"/>
  <c r="L274" s="1"/>
  <c r="AA1698"/>
  <c r="J690" i="18"/>
  <c r="L690" s="1"/>
  <c r="K4055" i="7"/>
  <c r="K4057" s="1"/>
  <c r="K4059" s="1"/>
  <c r="K4061" s="1"/>
  <c r="K4063" s="1"/>
  <c r="K4065" s="1"/>
  <c r="I747"/>
  <c r="K747" s="1"/>
  <c r="L747" s="1"/>
  <c r="I711"/>
  <c r="K711" s="1"/>
  <c r="L711" s="1"/>
  <c r="O4182"/>
  <c r="O4189"/>
  <c r="O4193" s="1"/>
  <c r="J30" i="18"/>
  <c r="L30" s="1"/>
  <c r="J5640"/>
  <c r="L5640" s="1"/>
  <c r="I717" i="7"/>
  <c r="K717" s="1"/>
  <c r="L717" s="1"/>
  <c r="AA1793"/>
  <c r="AA1767"/>
  <c r="J63" i="18"/>
  <c r="L63" s="1"/>
  <c r="J6656"/>
  <c r="L6656" s="1"/>
  <c r="K4158" i="7"/>
  <c r="K4161" s="1"/>
  <c r="I737" s="1"/>
  <c r="K737" s="1"/>
  <c r="L737" s="1"/>
  <c r="K4091"/>
  <c r="K4093" s="1"/>
  <c r="K4184"/>
  <c r="K4186" s="1"/>
  <c r="K4188" s="1"/>
  <c r="K4109"/>
  <c r="K4111" s="1"/>
  <c r="K4113" s="1"/>
  <c r="I722"/>
  <c r="K722" s="1"/>
  <c r="L722" s="1"/>
  <c r="I742"/>
  <c r="K742" s="1"/>
  <c r="L742" s="1"/>
  <c r="K3963"/>
  <c r="K3983"/>
  <c r="K3984" s="1"/>
  <c r="K3956"/>
  <c r="K3957" s="1"/>
  <c r="J3958" s="1"/>
  <c r="K4205"/>
  <c r="O4203"/>
  <c r="O4206"/>
  <c r="O4210" s="1"/>
  <c r="O4214" s="1"/>
  <c r="O60"/>
  <c r="G7" i="56"/>
  <c r="L66" i="7"/>
  <c r="O66" s="1"/>
  <c r="K5541"/>
  <c r="K5542" s="1"/>
  <c r="K5543" s="1"/>
  <c r="K5544" s="1"/>
  <c r="J5484"/>
  <c r="K5484" s="1"/>
  <c r="J5444"/>
  <c r="K5444" s="1"/>
  <c r="K5447" s="1"/>
  <c r="K5448" s="1"/>
  <c r="K5449" s="1"/>
  <c r="K5450" s="1"/>
  <c r="I875" s="1"/>
  <c r="K875" s="1"/>
  <c r="L875" s="1"/>
  <c r="L62"/>
  <c r="O62" s="1"/>
  <c r="J3392" i="18"/>
  <c r="L3392" s="1"/>
  <c r="L67" i="7"/>
  <c r="O67" s="1"/>
  <c r="K5506"/>
  <c r="J5753" i="18"/>
  <c r="L5753" s="1"/>
  <c r="M41" i="13"/>
  <c r="CS261" i="4"/>
  <c r="CV258"/>
  <c r="CS259"/>
  <c r="CV259" s="1"/>
  <c r="CU255"/>
  <c r="CS256"/>
  <c r="CU256" s="1"/>
  <c r="A212" i="18"/>
  <c r="O4128" i="7"/>
  <c r="O4142"/>
  <c r="O4143" s="1"/>
  <c r="I728"/>
  <c r="K728" s="1"/>
  <c r="L728" s="1"/>
  <c r="K68"/>
  <c r="X68"/>
  <c r="J3585" i="18"/>
  <c r="L3585" s="1"/>
  <c r="J6254"/>
  <c r="L6254" s="1"/>
  <c r="J6262"/>
  <c r="L6262" s="1"/>
  <c r="J6246"/>
  <c r="L6246" s="1"/>
  <c r="J6238"/>
  <c r="L6238" s="1"/>
  <c r="I4665" i="44"/>
  <c r="K4665" s="1"/>
  <c r="K4649"/>
  <c r="K2045"/>
  <c r="K2042"/>
  <c r="A211"/>
  <c r="H210"/>
  <c r="I4653"/>
  <c r="K4637"/>
  <c r="I4666"/>
  <c r="K4666" s="1"/>
  <c r="K4650"/>
  <c r="I4760"/>
  <c r="K4744"/>
  <c r="I4782"/>
  <c r="K4782" s="1"/>
  <c r="K4784" s="1"/>
  <c r="I844" s="1"/>
  <c r="K844" s="1"/>
  <c r="L844" s="1"/>
  <c r="K4766"/>
  <c r="K4768" s="1"/>
  <c r="I838" s="1"/>
  <c r="K838" s="1"/>
  <c r="L838" s="1"/>
  <c r="I4786"/>
  <c r="K4786" s="1"/>
  <c r="K4770"/>
  <c r="I4773"/>
  <c r="K4757"/>
  <c r="I4785"/>
  <c r="K4785" s="1"/>
  <c r="K4769"/>
  <c r="K4771" s="1"/>
  <c r="I839" s="1"/>
  <c r="K839" s="1"/>
  <c r="L839" s="1"/>
  <c r="K4821"/>
  <c r="I863" s="1"/>
  <c r="K863" s="1"/>
  <c r="L863" s="1"/>
  <c r="K4758"/>
  <c r="I834" s="1"/>
  <c r="K834" s="1"/>
  <c r="L834" s="1"/>
  <c r="I4662"/>
  <c r="K4662" s="1"/>
  <c r="K4664" s="1"/>
  <c r="I795" s="1"/>
  <c r="K795" s="1"/>
  <c r="L795" s="1"/>
  <c r="K4646"/>
  <c r="K4648" s="1"/>
  <c r="I789" s="1"/>
  <c r="K789" s="1"/>
  <c r="L789" s="1"/>
  <c r="K1977"/>
  <c r="K1978" s="1"/>
  <c r="K1979" s="1"/>
  <c r="I405" s="1"/>
  <c r="K405" s="1"/>
  <c r="L405" s="1"/>
  <c r="H81"/>
  <c r="I80"/>
  <c r="I4775"/>
  <c r="K4759"/>
  <c r="I4640"/>
  <c r="K4624"/>
  <c r="K4625" s="1"/>
  <c r="I780" s="1"/>
  <c r="K780" s="1"/>
  <c r="L780" s="1"/>
  <c r="J2011"/>
  <c r="K2011" s="1"/>
  <c r="K1868"/>
  <c r="J2031"/>
  <c r="K2031" s="1"/>
  <c r="A1094"/>
  <c r="A276"/>
  <c r="K4755"/>
  <c r="I833" s="1"/>
  <c r="K833" s="1"/>
  <c r="L833" s="1"/>
  <c r="K1848"/>
  <c r="K1849" s="1"/>
  <c r="K79"/>
  <c r="L79" s="1"/>
  <c r="O79" s="1"/>
  <c r="X79"/>
  <c r="A159"/>
  <c r="H160"/>
  <c r="I4779"/>
  <c r="K4779" s="1"/>
  <c r="K4781" s="1"/>
  <c r="I843" s="1"/>
  <c r="K843" s="1"/>
  <c r="L843" s="1"/>
  <c r="K4763"/>
  <c r="K4765" s="1"/>
  <c r="I837" s="1"/>
  <c r="K837" s="1"/>
  <c r="L837" s="1"/>
  <c r="I4668"/>
  <c r="K4668" s="1"/>
  <c r="K4652"/>
  <c r="I4655"/>
  <c r="K4639"/>
  <c r="J1919"/>
  <c r="K1899"/>
  <c r="K1900" s="1"/>
  <c r="K1901" s="1"/>
  <c r="K1904" s="1"/>
  <c r="K1906" s="1"/>
  <c r="K1907" s="1"/>
  <c r="K4745"/>
  <c r="I829" s="1"/>
  <c r="K829" s="1"/>
  <c r="L829" s="1"/>
  <c r="I4788"/>
  <c r="K4788" s="1"/>
  <c r="K4772"/>
  <c r="K1887"/>
  <c r="R1887"/>
  <c r="S1887" s="1"/>
  <c r="I390"/>
  <c r="K390" s="1"/>
  <c r="L390" s="1"/>
  <c r="K4638"/>
  <c r="I785" s="1"/>
  <c r="K785" s="1"/>
  <c r="L785" s="1"/>
  <c r="J228" i="18"/>
  <c r="L228" s="1"/>
  <c r="J195"/>
  <c r="L195" s="1"/>
  <c r="J162"/>
  <c r="L162" s="1"/>
  <c r="H5106"/>
  <c r="J362" i="17"/>
  <c r="D363" s="1"/>
  <c r="K363" s="1"/>
  <c r="J272"/>
  <c r="J273" s="1"/>
  <c r="J274" s="1"/>
  <c r="J277" s="1"/>
  <c r="E292" s="1"/>
  <c r="J396" s="1"/>
  <c r="G186"/>
  <c r="J186" s="1"/>
  <c r="H187"/>
  <c r="V140" i="37"/>
  <c r="W140" s="1"/>
  <c r="Y140" s="1"/>
  <c r="U141"/>
  <c r="V103"/>
  <c r="W103" s="1"/>
  <c r="Y103" s="1"/>
  <c r="U104"/>
  <c r="V165"/>
  <c r="W165" s="1"/>
  <c r="Y165" s="1"/>
  <c r="U166"/>
  <c r="U116"/>
  <c r="V115"/>
  <c r="W115" s="1"/>
  <c r="Y115" s="1"/>
  <c r="U131"/>
  <c r="V130"/>
  <c r="W130" s="1"/>
  <c r="Y130" s="1"/>
  <c r="V319"/>
  <c r="W319" s="1"/>
  <c r="Y319" s="1"/>
  <c r="U320"/>
  <c r="V212"/>
  <c r="W212" s="1"/>
  <c r="Y212" s="1"/>
  <c r="U213"/>
  <c r="U376"/>
  <c r="V375"/>
  <c r="W375" s="1"/>
  <c r="Y375" s="1"/>
  <c r="G172" i="17"/>
  <c r="J172" s="1"/>
  <c r="H173"/>
  <c r="G173" s="1"/>
  <c r="J173" s="1"/>
  <c r="G64"/>
  <c r="J35"/>
  <c r="G108"/>
  <c r="J108" s="1"/>
  <c r="J63"/>
  <c r="J207"/>
  <c r="J208" s="1"/>
  <c r="H65"/>
  <c r="H110" s="1"/>
  <c r="H37"/>
  <c r="G36"/>
  <c r="H401"/>
  <c r="J400"/>
  <c r="I1097" i="7"/>
  <c r="K1097" s="1"/>
  <c r="L1097" s="1"/>
  <c r="I1146"/>
  <c r="K1146" s="1"/>
  <c r="L1146" s="1"/>
  <c r="J2628"/>
  <c r="K77"/>
  <c r="L77" s="1"/>
  <c r="O77" s="1"/>
  <c r="X77"/>
  <c r="A237"/>
  <c r="H236"/>
  <c r="I1191"/>
  <c r="K1191" s="1"/>
  <c r="L1191" s="1"/>
  <c r="I1143"/>
  <c r="K1143" s="1"/>
  <c r="L1143" s="1"/>
  <c r="A1438"/>
  <c r="A305"/>
  <c r="I1096"/>
  <c r="K1096" s="1"/>
  <c r="L1096" s="1"/>
  <c r="I1145"/>
  <c r="K1145" s="1"/>
  <c r="L1145" s="1"/>
  <c r="K4145"/>
  <c r="K4147" s="1"/>
  <c r="K4149" s="1"/>
  <c r="K4151" s="1"/>
  <c r="I732"/>
  <c r="K732" s="1"/>
  <c r="L732" s="1"/>
  <c r="I80"/>
  <c r="H161"/>
  <c r="A160"/>
  <c r="G10" i="110" l="1"/>
  <c r="G38" i="9"/>
  <c r="M38" s="1"/>
  <c r="G111" i="106"/>
  <c r="O111" s="1"/>
  <c r="I4634" i="7"/>
  <c r="K4634" s="1"/>
  <c r="I4635" s="1"/>
  <c r="I4636" s="1"/>
  <c r="B6624" i="18"/>
  <c r="J3552"/>
  <c r="L3552" s="1"/>
  <c r="J3593"/>
  <c r="L3593" s="1"/>
  <c r="J3684"/>
  <c r="L3684" s="1"/>
  <c r="J3485"/>
  <c r="L3485" s="1"/>
  <c r="J292" i="17"/>
  <c r="I4504" i="7"/>
  <c r="I4464"/>
  <c r="I4354"/>
  <c r="I4355" s="1"/>
  <c r="K4386"/>
  <c r="I4387" s="1"/>
  <c r="K4361"/>
  <c r="I4362" s="1"/>
  <c r="I4322"/>
  <c r="I4328"/>
  <c r="I4297"/>
  <c r="I4303"/>
  <c r="K4303" s="1"/>
  <c r="I4304" s="1"/>
  <c r="I6324"/>
  <c r="I6100"/>
  <c r="I6092"/>
  <c r="I6058"/>
  <c r="I5864"/>
  <c r="I5856"/>
  <c r="I5724"/>
  <c r="I5718"/>
  <c r="I5649"/>
  <c r="I5655"/>
  <c r="I5614"/>
  <c r="I5586"/>
  <c r="K5586" s="1"/>
  <c r="I5587" s="1"/>
  <c r="I5588" s="1"/>
  <c r="I5580"/>
  <c r="I5559"/>
  <c r="O3845"/>
  <c r="I3847"/>
  <c r="O3707"/>
  <c r="I3772"/>
  <c r="O3753"/>
  <c r="I3755"/>
  <c r="I3726"/>
  <c r="I3609"/>
  <c r="I3519"/>
  <c r="O3518"/>
  <c r="I3526"/>
  <c r="K3526" s="1"/>
  <c r="I3527" s="1"/>
  <c r="I3486"/>
  <c r="I3494"/>
  <c r="Q3484"/>
  <c r="O3492"/>
  <c r="I3500"/>
  <c r="K3500" s="1"/>
  <c r="I3501" s="1"/>
  <c r="I2615"/>
  <c r="K2615" s="1"/>
  <c r="K2614"/>
  <c r="O2613"/>
  <c r="K2582"/>
  <c r="I2583"/>
  <c r="K2583" s="1"/>
  <c r="I2877"/>
  <c r="H2809"/>
  <c r="H2817"/>
  <c r="I2834"/>
  <c r="I2782"/>
  <c r="K2782" s="1"/>
  <c r="K2781"/>
  <c r="I2788"/>
  <c r="I2555"/>
  <c r="K2555" s="1"/>
  <c r="K2531"/>
  <c r="K2533" s="1"/>
  <c r="K2540" s="1"/>
  <c r="K2541" s="1"/>
  <c r="K2545" s="1"/>
  <c r="K2549" s="1"/>
  <c r="I2562"/>
  <c r="K2562" s="1"/>
  <c r="K2506"/>
  <c r="I2507"/>
  <c r="K2507" s="1"/>
  <c r="O3936"/>
  <c r="K3942"/>
  <c r="K3944" s="1"/>
  <c r="O3944" s="1"/>
  <c r="I699"/>
  <c r="K699" s="1"/>
  <c r="L699" s="1"/>
  <c r="I698"/>
  <c r="K698" s="1"/>
  <c r="L698" s="1"/>
  <c r="I1995"/>
  <c r="K1995" s="1"/>
  <c r="K2001" s="1"/>
  <c r="K2025" s="1"/>
  <c r="K2029" s="1"/>
  <c r="K2441"/>
  <c r="K2445" s="1"/>
  <c r="K2438"/>
  <c r="K2439" s="1"/>
  <c r="K2246"/>
  <c r="K2248" s="1"/>
  <c r="K2243"/>
  <c r="K2244" s="1"/>
  <c r="K1971"/>
  <c r="K1972" s="1"/>
  <c r="K1979"/>
  <c r="K1980" s="1"/>
  <c r="J5542" i="18"/>
  <c r="L5542" s="1"/>
  <c r="I381" i="7"/>
  <c r="K381" s="1"/>
  <c r="L381" s="1"/>
  <c r="J174" i="17"/>
  <c r="J175" s="1"/>
  <c r="K4787" i="44"/>
  <c r="I845" s="1"/>
  <c r="K845" s="1"/>
  <c r="L845" s="1"/>
  <c r="O1232" i="7"/>
  <c r="J6848" i="18"/>
  <c r="L6848" s="1"/>
  <c r="J873"/>
  <c r="L68" i="7"/>
  <c r="O68" s="1"/>
  <c r="J1336" i="18"/>
  <c r="L1336" s="1"/>
  <c r="O2483" i="7"/>
  <c r="K2484"/>
  <c r="O2398"/>
  <c r="I458"/>
  <c r="K458" s="1"/>
  <c r="L458" s="1"/>
  <c r="O2379"/>
  <c r="O2431"/>
  <c r="I461"/>
  <c r="K461" s="1"/>
  <c r="L461" s="1"/>
  <c r="I456"/>
  <c r="K456" s="1"/>
  <c r="L456" s="1"/>
  <c r="I2320"/>
  <c r="K2320" s="1"/>
  <c r="K2319"/>
  <c r="K2323"/>
  <c r="K2325" s="1"/>
  <c r="K2300"/>
  <c r="K2302" s="1"/>
  <c r="I448"/>
  <c r="K448" s="1"/>
  <c r="L448" s="1"/>
  <c r="O2297"/>
  <c r="I431"/>
  <c r="K431" s="1"/>
  <c r="L431" s="1"/>
  <c r="J1070" i="18"/>
  <c r="L1070" s="1"/>
  <c r="K2201" i="7"/>
  <c r="K2203" s="1"/>
  <c r="O2199"/>
  <c r="I436"/>
  <c r="K436" s="1"/>
  <c r="L436" s="1"/>
  <c r="K2162"/>
  <c r="K2166" s="1"/>
  <c r="K2168" s="1"/>
  <c r="K2115"/>
  <c r="K2117" s="1"/>
  <c r="I424"/>
  <c r="K424" s="1"/>
  <c r="L424" s="1"/>
  <c r="O2113"/>
  <c r="O2070"/>
  <c r="K2072"/>
  <c r="K2074" s="1"/>
  <c r="I418"/>
  <c r="K418" s="1"/>
  <c r="L418" s="1"/>
  <c r="O1944"/>
  <c r="K1946"/>
  <c r="K1950" s="1"/>
  <c r="I401"/>
  <c r="K401" s="1"/>
  <c r="L401" s="1"/>
  <c r="J3717" i="18"/>
  <c r="L3717" s="1"/>
  <c r="D553" i="17"/>
  <c r="K553" s="1"/>
  <c r="X555"/>
  <c r="J3601" i="18"/>
  <c r="L3601" s="1"/>
  <c r="J3609"/>
  <c r="L3609" s="1"/>
  <c r="O2269" i="7"/>
  <c r="R2269" s="1"/>
  <c r="R2261"/>
  <c r="J71" i="18"/>
  <c r="L71" s="1"/>
  <c r="J79"/>
  <c r="L79" s="1"/>
  <c r="J38"/>
  <c r="L38" s="1"/>
  <c r="J599"/>
  <c r="L599" s="1"/>
  <c r="J698"/>
  <c r="L698" s="1"/>
  <c r="J46"/>
  <c r="L46" s="1"/>
  <c r="J731"/>
  <c r="L731" s="1"/>
  <c r="AA1797" i="7"/>
  <c r="I379"/>
  <c r="K379" s="1"/>
  <c r="L379" s="1"/>
  <c r="AA1771"/>
  <c r="I374"/>
  <c r="K374" s="1"/>
  <c r="L374" s="1"/>
  <c r="AA1702"/>
  <c r="I359"/>
  <c r="K359" s="1"/>
  <c r="L359" s="1"/>
  <c r="O4065"/>
  <c r="I714"/>
  <c r="K714" s="1"/>
  <c r="L714" s="1"/>
  <c r="I734"/>
  <c r="K734" s="1"/>
  <c r="L734" s="1"/>
  <c r="K4153"/>
  <c r="K4155" s="1"/>
  <c r="I735" s="1"/>
  <c r="K735" s="1"/>
  <c r="L735" s="1"/>
  <c r="X51"/>
  <c r="O4061"/>
  <c r="I713"/>
  <c r="K713" s="1"/>
  <c r="L713" s="1"/>
  <c r="O4129"/>
  <c r="O4132"/>
  <c r="I712"/>
  <c r="K712" s="1"/>
  <c r="L712" s="1"/>
  <c r="O4057"/>
  <c r="O4186"/>
  <c r="K4190"/>
  <c r="K4192" s="1"/>
  <c r="K4194" s="1"/>
  <c r="I723"/>
  <c r="K723" s="1"/>
  <c r="L723" s="1"/>
  <c r="K4115"/>
  <c r="K4117" s="1"/>
  <c r="K4119" s="1"/>
  <c r="O4093"/>
  <c r="K4095"/>
  <c r="K4097" s="1"/>
  <c r="K4099" s="1"/>
  <c r="K4101" s="1"/>
  <c r="J3519" i="18"/>
  <c r="L3519" s="1"/>
  <c r="K4163" i="7"/>
  <c r="K4165" s="1"/>
  <c r="K4167" s="1"/>
  <c r="K4169" s="1"/>
  <c r="I743"/>
  <c r="K743" s="1"/>
  <c r="L743" s="1"/>
  <c r="M34" i="13"/>
  <c r="K34"/>
  <c r="O4111" i="7"/>
  <c r="N51"/>
  <c r="J3243"/>
  <c r="K3243" s="1"/>
  <c r="K3245" s="1"/>
  <c r="O3963"/>
  <c r="K3958"/>
  <c r="K3964" s="1"/>
  <c r="L51"/>
  <c r="O51" s="1"/>
  <c r="H23" i="13"/>
  <c r="K2988" i="7"/>
  <c r="O3984"/>
  <c r="I704"/>
  <c r="K704" s="1"/>
  <c r="L704" s="1"/>
  <c r="I718"/>
  <c r="K718" s="1"/>
  <c r="L718" s="1"/>
  <c r="K4207"/>
  <c r="K4209" s="1"/>
  <c r="K4211" s="1"/>
  <c r="G8" i="56"/>
  <c r="I26" i="13"/>
  <c r="M26" s="1"/>
  <c r="N26"/>
  <c r="CZ261" i="4"/>
  <c r="CS264"/>
  <c r="CS262"/>
  <c r="CZ262" s="1"/>
  <c r="CV561"/>
  <c r="CV562" s="1"/>
  <c r="A245" i="18"/>
  <c r="O4160" i="7"/>
  <c r="O4146"/>
  <c r="I733"/>
  <c r="K733" s="1"/>
  <c r="L733" s="1"/>
  <c r="I79"/>
  <c r="K79" s="1"/>
  <c r="L79" s="1"/>
  <c r="O79" s="1"/>
  <c r="J6279" i="18"/>
  <c r="L6279" s="1"/>
  <c r="J6287"/>
  <c r="L6287" s="1"/>
  <c r="J5950"/>
  <c r="L5950" s="1"/>
  <c r="J6577"/>
  <c r="L6577" s="1"/>
  <c r="J3618"/>
  <c r="L3618" s="1"/>
  <c r="J6270"/>
  <c r="L6270" s="1"/>
  <c r="J3651"/>
  <c r="L3651" s="1"/>
  <c r="J5958"/>
  <c r="L5958" s="1"/>
  <c r="K1850" i="44"/>
  <c r="I385"/>
  <c r="K385" s="1"/>
  <c r="L385" s="1"/>
  <c r="J2021"/>
  <c r="K2021" s="1"/>
  <c r="K1889"/>
  <c r="K1908"/>
  <c r="R1908"/>
  <c r="S1908" s="1"/>
  <c r="I393"/>
  <c r="K393" s="1"/>
  <c r="L393" s="1"/>
  <c r="H161"/>
  <c r="H162" s="1"/>
  <c r="A160"/>
  <c r="K80"/>
  <c r="L80" s="1"/>
  <c r="O80" s="1"/>
  <c r="X80"/>
  <c r="I4789"/>
  <c r="K4789" s="1"/>
  <c r="K4790" s="1"/>
  <c r="I846" s="1"/>
  <c r="K846" s="1"/>
  <c r="L846" s="1"/>
  <c r="K4773"/>
  <c r="A212"/>
  <c r="H211"/>
  <c r="K4774"/>
  <c r="I840" s="1"/>
  <c r="K840" s="1"/>
  <c r="L840" s="1"/>
  <c r="K4667"/>
  <c r="I796" s="1"/>
  <c r="K796" s="1"/>
  <c r="L796" s="1"/>
  <c r="J1938"/>
  <c r="K1919"/>
  <c r="K1920" s="1"/>
  <c r="K1921" s="1"/>
  <c r="K1924" s="1"/>
  <c r="K1926" s="1"/>
  <c r="K1927" s="1"/>
  <c r="I4671"/>
  <c r="K4671" s="1"/>
  <c r="K4655"/>
  <c r="A1108"/>
  <c r="A279"/>
  <c r="K2015"/>
  <c r="K2012"/>
  <c r="I4791"/>
  <c r="K4791" s="1"/>
  <c r="K4775"/>
  <c r="K4651"/>
  <c r="I790" s="1"/>
  <c r="K790" s="1"/>
  <c r="L790" s="1"/>
  <c r="K1869"/>
  <c r="K1870" s="1"/>
  <c r="I4776"/>
  <c r="K4760"/>
  <c r="K4761" s="1"/>
  <c r="I835" s="1"/>
  <c r="K835" s="1"/>
  <c r="L835" s="1"/>
  <c r="I4669"/>
  <c r="K4669" s="1"/>
  <c r="K4670" s="1"/>
  <c r="I797" s="1"/>
  <c r="K797" s="1"/>
  <c r="L797" s="1"/>
  <c r="K4653"/>
  <c r="K4654" s="1"/>
  <c r="I791" s="1"/>
  <c r="K791" s="1"/>
  <c r="L791" s="1"/>
  <c r="K2035"/>
  <c r="K2032"/>
  <c r="I4656"/>
  <c r="K4640"/>
  <c r="K4641" s="1"/>
  <c r="I786" s="1"/>
  <c r="K786" s="1"/>
  <c r="L786" s="1"/>
  <c r="H82"/>
  <c r="I81"/>
  <c r="K2044"/>
  <c r="K2047" s="1"/>
  <c r="I420"/>
  <c r="K420" s="1"/>
  <c r="L420" s="1"/>
  <c r="I1193" i="7"/>
  <c r="K1193" s="1"/>
  <c r="L1193" s="1"/>
  <c r="G187" i="17"/>
  <c r="J187" s="1"/>
  <c r="H188"/>
  <c r="V320" i="37"/>
  <c r="W320" s="1"/>
  <c r="Y320" s="1"/>
  <c r="U321"/>
  <c r="V104"/>
  <c r="W104" s="1"/>
  <c r="Y104" s="1"/>
  <c r="U105"/>
  <c r="U132"/>
  <c r="V132" s="1"/>
  <c r="W132" s="1"/>
  <c r="Y132" s="1"/>
  <c r="V131"/>
  <c r="W131" s="1"/>
  <c r="Y131" s="1"/>
  <c r="V213"/>
  <c r="W213" s="1"/>
  <c r="Y213" s="1"/>
  <c r="U214"/>
  <c r="V166"/>
  <c r="W166" s="1"/>
  <c r="Y166" s="1"/>
  <c r="U167"/>
  <c r="V141"/>
  <c r="W141" s="1"/>
  <c r="Y141" s="1"/>
  <c r="U142"/>
  <c r="U377"/>
  <c r="V376"/>
  <c r="W376" s="1"/>
  <c r="Y376" s="1"/>
  <c r="U117"/>
  <c r="V116"/>
  <c r="W116" s="1"/>
  <c r="Y116" s="1"/>
  <c r="G65" i="17"/>
  <c r="J36"/>
  <c r="H402"/>
  <c r="J401"/>
  <c r="J285"/>
  <c r="D286" s="1"/>
  <c r="K286" s="1"/>
  <c r="E288"/>
  <c r="J288" s="1"/>
  <c r="J295" s="1"/>
  <c r="D296" s="1"/>
  <c r="K296" s="1"/>
  <c r="G109"/>
  <c r="J109" s="1"/>
  <c r="J64"/>
  <c r="H66"/>
  <c r="H111" s="1"/>
  <c r="G37"/>
  <c r="I1148" i="7"/>
  <c r="K1148" s="1"/>
  <c r="L1148" s="1"/>
  <c r="J2665"/>
  <c r="K2628"/>
  <c r="K2629" s="1"/>
  <c r="K2630" s="1"/>
  <c r="K2636" s="1"/>
  <c r="I1152"/>
  <c r="K1152" s="1"/>
  <c r="L1152" s="1"/>
  <c r="K78"/>
  <c r="L78" s="1"/>
  <c r="O78" s="1"/>
  <c r="X78"/>
  <c r="A1461"/>
  <c r="A310"/>
  <c r="H237"/>
  <c r="A238"/>
  <c r="I1103"/>
  <c r="K1103" s="1"/>
  <c r="L1103" s="1"/>
  <c r="H162"/>
  <c r="A161"/>
  <c r="I1099"/>
  <c r="K1099" s="1"/>
  <c r="L1099" s="1"/>
  <c r="I1151"/>
  <c r="K1151" s="1"/>
  <c r="L1151" s="1"/>
  <c r="I1102"/>
  <c r="K1102" s="1"/>
  <c r="L1102" s="1"/>
  <c r="I81"/>
  <c r="O1972" l="1"/>
  <c r="G61" i="106"/>
  <c r="O61" s="1"/>
  <c r="J3409" i="18"/>
  <c r="L3409" s="1"/>
  <c r="J1078"/>
  <c r="L1078" s="1"/>
  <c r="J3626"/>
  <c r="L3626" s="1"/>
  <c r="J3560"/>
  <c r="L3560" s="1"/>
  <c r="J3692"/>
  <c r="L3692" s="1"/>
  <c r="I4394" i="7"/>
  <c r="K4394" s="1"/>
  <c r="I4395" s="1"/>
  <c r="I4388"/>
  <c r="I4369"/>
  <c r="K4369" s="1"/>
  <c r="I4370" s="1"/>
  <c r="I4371" s="1"/>
  <c r="I4363"/>
  <c r="K4328"/>
  <c r="I4329" s="1"/>
  <c r="I4305"/>
  <c r="K4213"/>
  <c r="K4215" s="1"/>
  <c r="O4215" s="1"/>
  <c r="I3528"/>
  <c r="O3526"/>
  <c r="I3520"/>
  <c r="I3502"/>
  <c r="Q3492"/>
  <c r="O3500"/>
  <c r="Q3500" s="1"/>
  <c r="K3251"/>
  <c r="K2584"/>
  <c r="K2591" s="1"/>
  <c r="K2592" s="1"/>
  <c r="I2556"/>
  <c r="K2556" s="1"/>
  <c r="H2818"/>
  <c r="K2818" s="1"/>
  <c r="H2825"/>
  <c r="K2817"/>
  <c r="I2637"/>
  <c r="I2563"/>
  <c r="O2562"/>
  <c r="I471"/>
  <c r="K471" s="1"/>
  <c r="L471" s="1"/>
  <c r="O2541"/>
  <c r="K2550"/>
  <c r="K2551" s="1"/>
  <c r="O2955" s="1"/>
  <c r="K2542"/>
  <c r="K2543" s="1"/>
  <c r="I700"/>
  <c r="K700" s="1"/>
  <c r="L700" s="1"/>
  <c r="J3417" i="18"/>
  <c r="L3417" s="1"/>
  <c r="K2553" i="7"/>
  <c r="I472"/>
  <c r="K472" s="1"/>
  <c r="L472" s="1"/>
  <c r="O2549"/>
  <c r="K2488"/>
  <c r="K2492" s="1"/>
  <c r="K2485"/>
  <c r="K2486" s="1"/>
  <c r="I404"/>
  <c r="K404" s="1"/>
  <c r="L404" s="1"/>
  <c r="K2252"/>
  <c r="K2256" s="1"/>
  <c r="K2249"/>
  <c r="K2250" s="1"/>
  <c r="I442"/>
  <c r="K442" s="1"/>
  <c r="L442" s="1"/>
  <c r="O2244"/>
  <c r="K2002"/>
  <c r="K2003" s="1"/>
  <c r="O2003" s="1"/>
  <c r="K2005"/>
  <c r="K2007" s="1"/>
  <c r="K2011" s="1"/>
  <c r="K2013" s="1"/>
  <c r="K2033"/>
  <c r="K2035" s="1"/>
  <c r="K2030"/>
  <c r="K2031" s="1"/>
  <c r="I1092"/>
  <c r="K1092" s="1"/>
  <c r="L1092" s="1"/>
  <c r="J751" i="18"/>
  <c r="L873"/>
  <c r="J1344"/>
  <c r="L1344" s="1"/>
  <c r="I466" i="7"/>
  <c r="K466" s="1"/>
  <c r="L466" s="1"/>
  <c r="O2437"/>
  <c r="O2442" s="1"/>
  <c r="K3301"/>
  <c r="K3303" s="1"/>
  <c r="H3309" s="1"/>
  <c r="K3351"/>
  <c r="K3353" s="1"/>
  <c r="H3359" s="1"/>
  <c r="K3387"/>
  <c r="K3389" s="1"/>
  <c r="H3395" s="1"/>
  <c r="K3326"/>
  <c r="K3328" s="1"/>
  <c r="H3334" s="1"/>
  <c r="K3413"/>
  <c r="K3415" s="1"/>
  <c r="H3421" s="1"/>
  <c r="K3439"/>
  <c r="K3441" s="1"/>
  <c r="H3447" s="1"/>
  <c r="I462"/>
  <c r="K462" s="1"/>
  <c r="L462" s="1"/>
  <c r="J1577" i="18"/>
  <c r="J1328"/>
  <c r="L1328" s="1"/>
  <c r="O2325" i="7"/>
  <c r="K2327"/>
  <c r="K2331" s="1"/>
  <c r="I453"/>
  <c r="K453" s="1"/>
  <c r="L453" s="1"/>
  <c r="O2302"/>
  <c r="K2303"/>
  <c r="K2305" s="1"/>
  <c r="K2309" s="1"/>
  <c r="I449"/>
  <c r="K449" s="1"/>
  <c r="L449" s="1"/>
  <c r="J1264" i="18"/>
  <c r="O2166" i="7"/>
  <c r="I432"/>
  <c r="K432" s="1"/>
  <c r="L432" s="1"/>
  <c r="I437"/>
  <c r="K437" s="1"/>
  <c r="L437" s="1"/>
  <c r="K2205"/>
  <c r="K2209" s="1"/>
  <c r="O2203"/>
  <c r="J1111" i="18"/>
  <c r="L1111" s="1"/>
  <c r="K2172" i="7"/>
  <c r="K2174" s="1"/>
  <c r="K2178" s="1"/>
  <c r="K2119"/>
  <c r="K2123" s="1"/>
  <c r="O2117"/>
  <c r="I425"/>
  <c r="K425" s="1"/>
  <c r="L425" s="1"/>
  <c r="J1029" i="18"/>
  <c r="L1029" s="1"/>
  <c r="O2074" i="7"/>
  <c r="K2076"/>
  <c r="I419"/>
  <c r="K419" s="1"/>
  <c r="L419" s="1"/>
  <c r="J988" i="18"/>
  <c r="L988" s="1"/>
  <c r="O1980" i="7"/>
  <c r="I405"/>
  <c r="K405" s="1"/>
  <c r="L405" s="1"/>
  <c r="I402"/>
  <c r="K402" s="1"/>
  <c r="L402" s="1"/>
  <c r="O1950"/>
  <c r="J882" i="18"/>
  <c r="L882" s="1"/>
  <c r="J3634"/>
  <c r="L3634" s="1"/>
  <c r="J3642"/>
  <c r="L3642" s="1"/>
  <c r="J607"/>
  <c r="L607" s="1"/>
  <c r="J739"/>
  <c r="L739" s="1"/>
  <c r="J3501"/>
  <c r="L3501" s="1"/>
  <c r="J3509"/>
  <c r="L3509" s="1"/>
  <c r="J706"/>
  <c r="L706" s="1"/>
  <c r="O4101" i="7"/>
  <c r="I720"/>
  <c r="K720" s="1"/>
  <c r="L720" s="1"/>
  <c r="O4119"/>
  <c r="I725"/>
  <c r="K725" s="1"/>
  <c r="L725" s="1"/>
  <c r="O4194"/>
  <c r="I745"/>
  <c r="K745" s="1"/>
  <c r="L745" s="1"/>
  <c r="O4133"/>
  <c r="O4136"/>
  <c r="O4137" s="1"/>
  <c r="I739"/>
  <c r="K739" s="1"/>
  <c r="L739" s="1"/>
  <c r="K4171"/>
  <c r="K4173" s="1"/>
  <c r="I740" s="1"/>
  <c r="K740" s="1"/>
  <c r="L740" s="1"/>
  <c r="O4115"/>
  <c r="I724"/>
  <c r="K724" s="1"/>
  <c r="L724" s="1"/>
  <c r="O4190"/>
  <c r="I744"/>
  <c r="K744" s="1"/>
  <c r="L744" s="1"/>
  <c r="O4211"/>
  <c r="I749"/>
  <c r="K749" s="1"/>
  <c r="L749" s="1"/>
  <c r="O4097"/>
  <c r="I719"/>
  <c r="K719" s="1"/>
  <c r="L719" s="1"/>
  <c r="J3493" i="18"/>
  <c r="L3493" s="1"/>
  <c r="I738" i="7"/>
  <c r="K738" s="1"/>
  <c r="L738" s="1"/>
  <c r="O4147"/>
  <c r="O4150"/>
  <c r="L23" i="13"/>
  <c r="U51" i="7"/>
  <c r="K3031"/>
  <c r="J3443" i="18"/>
  <c r="L3443" s="1"/>
  <c r="I702" i="7"/>
  <c r="K702" s="1"/>
  <c r="L702" s="1"/>
  <c r="O3964"/>
  <c r="J3527" i="18"/>
  <c r="L3527" s="1"/>
  <c r="O4207" i="7"/>
  <c r="I748"/>
  <c r="K748" s="1"/>
  <c r="L748" s="1"/>
  <c r="G9" i="56"/>
  <c r="K26" i="13"/>
  <c r="CX264" i="4"/>
  <c r="CS267"/>
  <c r="CS265"/>
  <c r="CX265" s="1"/>
  <c r="CZ561"/>
  <c r="CZ562" s="1"/>
  <c r="O4164" i="7"/>
  <c r="O4161"/>
  <c r="A278" i="18"/>
  <c r="J5999"/>
  <c r="L5999" s="1"/>
  <c r="J5991"/>
  <c r="L5991" s="1"/>
  <c r="J6320"/>
  <c r="L6320" s="1"/>
  <c r="J6303"/>
  <c r="L6303" s="1"/>
  <c r="J5974"/>
  <c r="L5974" s="1"/>
  <c r="J6586"/>
  <c r="L6586" s="1"/>
  <c r="J6328"/>
  <c r="L6328" s="1"/>
  <c r="K1871" i="44"/>
  <c r="I388"/>
  <c r="K388" s="1"/>
  <c r="L388" s="1"/>
  <c r="K81"/>
  <c r="L81" s="1"/>
  <c r="X81"/>
  <c r="K2034"/>
  <c r="K2037" s="1"/>
  <c r="I418"/>
  <c r="K418" s="1"/>
  <c r="L418" s="1"/>
  <c r="R1928"/>
  <c r="S1928" s="1"/>
  <c r="K1928"/>
  <c r="I396"/>
  <c r="K396" s="1"/>
  <c r="L396" s="1"/>
  <c r="K1890"/>
  <c r="K1891" s="1"/>
  <c r="I4672"/>
  <c r="K4672" s="1"/>
  <c r="K4673" s="1"/>
  <c r="I798" s="1"/>
  <c r="K798" s="1"/>
  <c r="L798" s="1"/>
  <c r="K4656"/>
  <c r="K4657" s="1"/>
  <c r="I792" s="1"/>
  <c r="K792" s="1"/>
  <c r="L792" s="1"/>
  <c r="J2001"/>
  <c r="K2001" s="1"/>
  <c r="K1910"/>
  <c r="J1959"/>
  <c r="K1959" s="1"/>
  <c r="K1960" s="1"/>
  <c r="K1961" s="1"/>
  <c r="K1964" s="1"/>
  <c r="K1966" s="1"/>
  <c r="K1967" s="1"/>
  <c r="K1938"/>
  <c r="K1939" s="1"/>
  <c r="K1940" s="1"/>
  <c r="K1943" s="1"/>
  <c r="K1945" s="1"/>
  <c r="K1946" s="1"/>
  <c r="K2025"/>
  <c r="K2022"/>
  <c r="I4792"/>
  <c r="K4792" s="1"/>
  <c r="K4776"/>
  <c r="K4777" s="1"/>
  <c r="I841" s="1"/>
  <c r="K841" s="1"/>
  <c r="L841" s="1"/>
  <c r="A1122"/>
  <c r="A282"/>
  <c r="H163"/>
  <c r="A162"/>
  <c r="K2014"/>
  <c r="K2017" s="1"/>
  <c r="I414"/>
  <c r="K414" s="1"/>
  <c r="L414" s="1"/>
  <c r="A213"/>
  <c r="H213" s="1"/>
  <c r="H212"/>
  <c r="K4793"/>
  <c r="I847" s="1"/>
  <c r="K847" s="1"/>
  <c r="L847" s="1"/>
  <c r="H83"/>
  <c r="I82"/>
  <c r="I1147" i="7"/>
  <c r="K1147" s="1"/>
  <c r="L1147" s="1"/>
  <c r="G13" i="9"/>
  <c r="M13" s="1"/>
  <c r="H192" i="17"/>
  <c r="G188"/>
  <c r="J188" s="1"/>
  <c r="J189" s="1"/>
  <c r="J190" s="1"/>
  <c r="V142" i="37"/>
  <c r="W142" s="1"/>
  <c r="Y142" s="1"/>
  <c r="U143"/>
  <c r="V214"/>
  <c r="W214" s="1"/>
  <c r="Y214" s="1"/>
  <c r="U215"/>
  <c r="V105"/>
  <c r="W105" s="1"/>
  <c r="Y105" s="1"/>
  <c r="U106"/>
  <c r="U378"/>
  <c r="V377"/>
  <c r="W377" s="1"/>
  <c r="Y377" s="1"/>
  <c r="U168"/>
  <c r="V168" s="1"/>
  <c r="W168" s="1"/>
  <c r="Y168" s="1"/>
  <c r="V167"/>
  <c r="W167" s="1"/>
  <c r="Y167" s="1"/>
  <c r="V321"/>
  <c r="W321" s="1"/>
  <c r="Y321" s="1"/>
  <c r="U322"/>
  <c r="U118"/>
  <c r="V117"/>
  <c r="W117" s="1"/>
  <c r="Y117" s="1"/>
  <c r="G110" i="17"/>
  <c r="J110" s="1"/>
  <c r="J65"/>
  <c r="G66"/>
  <c r="J37"/>
  <c r="J38" s="1"/>
  <c r="J46" s="1"/>
  <c r="J49" s="1"/>
  <c r="J50" s="1"/>
  <c r="D51" s="1"/>
  <c r="K51" s="1"/>
  <c r="H403"/>
  <c r="J402"/>
  <c r="I1108" i="7"/>
  <c r="K1108" s="1"/>
  <c r="L1108" s="1"/>
  <c r="H238"/>
  <c r="A239"/>
  <c r="I1195"/>
  <c r="K1195" s="1"/>
  <c r="L1195" s="1"/>
  <c r="A162"/>
  <c r="H163"/>
  <c r="I1109"/>
  <c r="K1109" s="1"/>
  <c r="L1109" s="1"/>
  <c r="J2710"/>
  <c r="K2665"/>
  <c r="K2666" s="1"/>
  <c r="K2667" s="1"/>
  <c r="K80"/>
  <c r="L80" s="1"/>
  <c r="O80" s="1"/>
  <c r="X80"/>
  <c r="I84"/>
  <c r="I1157"/>
  <c r="K1157" s="1"/>
  <c r="L1157" s="1"/>
  <c r="A1483"/>
  <c r="A315"/>
  <c r="I1154"/>
  <c r="K1154" s="1"/>
  <c r="L1154" s="1"/>
  <c r="I1105"/>
  <c r="K1105" s="1"/>
  <c r="L1105" s="1"/>
  <c r="I1158"/>
  <c r="K1158" s="1"/>
  <c r="L1158" s="1"/>
  <c r="I1149"/>
  <c r="K1149" s="1"/>
  <c r="L1149" s="1"/>
  <c r="J1086" i="18" l="1"/>
  <c r="L1086" s="1"/>
  <c r="J1167"/>
  <c r="L1167" s="1"/>
  <c r="I750" i="7"/>
  <c r="K750" s="1"/>
  <c r="L750" s="1"/>
  <c r="J899" i="18"/>
  <c r="L899" s="1"/>
  <c r="I4402" i="7"/>
  <c r="K4402" s="1"/>
  <c r="I4403" s="1"/>
  <c r="I4396"/>
  <c r="I4336"/>
  <c r="K4336" s="1"/>
  <c r="I4337" s="1"/>
  <c r="I4338" s="1"/>
  <c r="I4330"/>
  <c r="J3425" i="18"/>
  <c r="L3425" s="1"/>
  <c r="I3252" i="7"/>
  <c r="K2593"/>
  <c r="K2594" s="1"/>
  <c r="K2922" s="1"/>
  <c r="K2596"/>
  <c r="K2600" s="1"/>
  <c r="K2601" s="1"/>
  <c r="K2602" s="1"/>
  <c r="K2557"/>
  <c r="K2558" s="1"/>
  <c r="K2559" s="1"/>
  <c r="O2592"/>
  <c r="I476"/>
  <c r="K476" s="1"/>
  <c r="L476" s="1"/>
  <c r="H2833"/>
  <c r="H2826"/>
  <c r="K2826" s="1"/>
  <c r="K2825"/>
  <c r="O2675"/>
  <c r="K2671"/>
  <c r="I2638"/>
  <c r="K2638" s="1"/>
  <c r="K2637"/>
  <c r="K2563"/>
  <c r="I2564"/>
  <c r="K2564" s="1"/>
  <c r="G50" i="9"/>
  <c r="M50" s="1"/>
  <c r="J2030" i="18"/>
  <c r="L2030" s="1"/>
  <c r="J2038"/>
  <c r="L2038" s="1"/>
  <c r="I467" i="7"/>
  <c r="K467" s="1"/>
  <c r="L467" s="1"/>
  <c r="K2496"/>
  <c r="K2500" s="1"/>
  <c r="K2493"/>
  <c r="K2494" s="1"/>
  <c r="O2998" s="1"/>
  <c r="K2008"/>
  <c r="K2009" s="1"/>
  <c r="O2009" s="1"/>
  <c r="K2449"/>
  <c r="K2453" s="1"/>
  <c r="K2446"/>
  <c r="K2447" s="1"/>
  <c r="K2257"/>
  <c r="K2258" s="1"/>
  <c r="K2260"/>
  <c r="K2264" s="1"/>
  <c r="I443"/>
  <c r="K443" s="1"/>
  <c r="L443" s="1"/>
  <c r="G131" i="106" s="1"/>
  <c r="O131" s="1"/>
  <c r="O2250" i="7"/>
  <c r="I408"/>
  <c r="K408" s="1"/>
  <c r="L408" s="1"/>
  <c r="K2039"/>
  <c r="K2041" s="1"/>
  <c r="K2036"/>
  <c r="K2037" s="1"/>
  <c r="K2017"/>
  <c r="K2019" s="1"/>
  <c r="K2014"/>
  <c r="K2015" s="1"/>
  <c r="L751" i="18"/>
  <c r="J5925"/>
  <c r="L5925" s="1"/>
  <c r="I1098" i="7"/>
  <c r="K1098" s="1"/>
  <c r="L1098" s="1"/>
  <c r="I1094"/>
  <c r="K1094" s="1"/>
  <c r="L1094" s="1"/>
  <c r="I433"/>
  <c r="K433" s="1"/>
  <c r="L433" s="1"/>
  <c r="O2492"/>
  <c r="J1997" i="18"/>
  <c r="L1997" s="1"/>
  <c r="J1714"/>
  <c r="L1714" s="1"/>
  <c r="O2445" i="7"/>
  <c r="O2450" s="1"/>
  <c r="L1577" i="18"/>
  <c r="K3334" i="7"/>
  <c r="K3335" s="1"/>
  <c r="K3336" s="1"/>
  <c r="I626" s="1"/>
  <c r="K626" s="1"/>
  <c r="L626" s="1"/>
  <c r="H3340"/>
  <c r="K3340" s="1"/>
  <c r="K3341" s="1"/>
  <c r="H3315"/>
  <c r="K3315" s="1"/>
  <c r="K3316" s="1"/>
  <c r="K3309"/>
  <c r="K3310" s="1"/>
  <c r="K3311" s="1"/>
  <c r="I623" s="1"/>
  <c r="K623" s="1"/>
  <c r="L623" s="1"/>
  <c r="H3427"/>
  <c r="K3427" s="1"/>
  <c r="K3428" s="1"/>
  <c r="K3421"/>
  <c r="K3422" s="1"/>
  <c r="K3359"/>
  <c r="K3360" s="1"/>
  <c r="K3361" s="1"/>
  <c r="I629" s="1"/>
  <c r="K629" s="1"/>
  <c r="L629" s="1"/>
  <c r="H3365"/>
  <c r="K3365" s="1"/>
  <c r="K3366" s="1"/>
  <c r="K3447"/>
  <c r="K3448" s="1"/>
  <c r="H3453"/>
  <c r="K3453" s="1"/>
  <c r="K3454" s="1"/>
  <c r="K3395"/>
  <c r="K3396" s="1"/>
  <c r="H3401"/>
  <c r="K3401" s="1"/>
  <c r="K3402" s="1"/>
  <c r="I450"/>
  <c r="K450" s="1"/>
  <c r="L450" s="1"/>
  <c r="O2309"/>
  <c r="K2311"/>
  <c r="K2315" s="1"/>
  <c r="J1272" i="18"/>
  <c r="K2333" i="7"/>
  <c r="K2337" s="1"/>
  <c r="J1304" i="18"/>
  <c r="L1304" s="1"/>
  <c r="L1264"/>
  <c r="J1119"/>
  <c r="L1119" s="1"/>
  <c r="K2211" i="7"/>
  <c r="K2215" s="1"/>
  <c r="O2209"/>
  <c r="I438"/>
  <c r="K438" s="1"/>
  <c r="L438" s="1"/>
  <c r="O2172"/>
  <c r="I434"/>
  <c r="K434" s="1"/>
  <c r="L434" s="1"/>
  <c r="O2178"/>
  <c r="K2125"/>
  <c r="K2129" s="1"/>
  <c r="O2123"/>
  <c r="I426"/>
  <c r="K426" s="1"/>
  <c r="L426" s="1"/>
  <c r="J1037" i="18"/>
  <c r="L1037" s="1"/>
  <c r="K2080" i="7"/>
  <c r="K2082" s="1"/>
  <c r="K2086" s="1"/>
  <c r="J996" i="18"/>
  <c r="L996" s="1"/>
  <c r="I413" i="7"/>
  <c r="K413" s="1"/>
  <c r="L413" s="1"/>
  <c r="O2031"/>
  <c r="J912" i="18"/>
  <c r="J890"/>
  <c r="L890" s="1"/>
  <c r="J3733"/>
  <c r="L3733" s="1"/>
  <c r="J3725"/>
  <c r="L3725" s="1"/>
  <c r="J3568"/>
  <c r="L3568" s="1"/>
  <c r="J3667"/>
  <c r="L3667" s="1"/>
  <c r="J3675"/>
  <c r="L3675" s="1"/>
  <c r="J3708"/>
  <c r="L3708" s="1"/>
  <c r="J3576"/>
  <c r="L3576" s="1"/>
  <c r="J3535"/>
  <c r="L3535" s="1"/>
  <c r="J3700"/>
  <c r="L3700" s="1"/>
  <c r="J3543"/>
  <c r="L3543" s="1"/>
  <c r="O4151" i="7"/>
  <c r="O4154"/>
  <c r="O4155" s="1"/>
  <c r="J3659" i="18"/>
  <c r="L3659" s="1"/>
  <c r="O4165" i="7"/>
  <c r="O4168"/>
  <c r="K3074"/>
  <c r="N28" i="13"/>
  <c r="J3434" i="18"/>
  <c r="L3434" s="1"/>
  <c r="I28" i="13"/>
  <c r="M28" s="1"/>
  <c r="I27"/>
  <c r="K27" s="1"/>
  <c r="G10" i="56"/>
  <c r="N27" i="13"/>
  <c r="CX561" i="4"/>
  <c r="CX562" s="1"/>
  <c r="CY267"/>
  <c r="CS268"/>
  <c r="CY268" s="1"/>
  <c r="CS271"/>
  <c r="A311" i="18"/>
  <c r="I82" i="7"/>
  <c r="K82" s="1"/>
  <c r="J6015" i="18"/>
  <c r="L6015" s="1"/>
  <c r="J6369"/>
  <c r="L6369" s="1"/>
  <c r="J6295"/>
  <c r="L6295" s="1"/>
  <c r="J6361"/>
  <c r="L6361" s="1"/>
  <c r="J6040"/>
  <c r="L6040" s="1"/>
  <c r="J6595"/>
  <c r="L6595" s="1"/>
  <c r="J6311"/>
  <c r="L6311" s="1"/>
  <c r="J6344"/>
  <c r="L6344" s="1"/>
  <c r="J6032"/>
  <c r="L6032" s="1"/>
  <c r="K1892" i="44"/>
  <c r="I391"/>
  <c r="K391" s="1"/>
  <c r="L391" s="1"/>
  <c r="K82"/>
  <c r="L82" s="1"/>
  <c r="X82"/>
  <c r="A163"/>
  <c r="H164"/>
  <c r="K1968"/>
  <c r="K1970" s="1"/>
  <c r="R1968"/>
  <c r="S1968" s="1"/>
  <c r="I402"/>
  <c r="K402" s="1"/>
  <c r="L402" s="1"/>
  <c r="K2024"/>
  <c r="K2027" s="1"/>
  <c r="I416"/>
  <c r="K416" s="1"/>
  <c r="L416" s="1"/>
  <c r="J2051"/>
  <c r="K2051" s="1"/>
  <c r="K1930"/>
  <c r="H84"/>
  <c r="I83"/>
  <c r="K1947"/>
  <c r="R1947"/>
  <c r="S1947" s="1"/>
  <c r="I399"/>
  <c r="K399" s="1"/>
  <c r="L399" s="1"/>
  <c r="K2005"/>
  <c r="K2002"/>
  <c r="K1911"/>
  <c r="K1912" s="1"/>
  <c r="J3790"/>
  <c r="K3790" s="1"/>
  <c r="J3773"/>
  <c r="K3773" s="1"/>
  <c r="K3774" s="1"/>
  <c r="J3756"/>
  <c r="K3756" s="1"/>
  <c r="K3757" s="1"/>
  <c r="O81"/>
  <c r="A1136"/>
  <c r="A285"/>
  <c r="I1153" i="7"/>
  <c r="K1153" s="1"/>
  <c r="L1153" s="1"/>
  <c r="G17" i="9"/>
  <c r="M17" s="1"/>
  <c r="G192" i="17"/>
  <c r="J192" s="1"/>
  <c r="J198" s="1"/>
  <c r="J199" s="1"/>
  <c r="J200" s="1"/>
  <c r="J201" s="1"/>
  <c r="D202" s="1"/>
  <c r="K202" s="1"/>
  <c r="H193"/>
  <c r="G193" s="1"/>
  <c r="J193" s="1"/>
  <c r="V322" i="37"/>
  <c r="W322" s="1"/>
  <c r="Y322" s="1"/>
  <c r="U323"/>
  <c r="V215"/>
  <c r="W215" s="1"/>
  <c r="Y215" s="1"/>
  <c r="U216"/>
  <c r="U119"/>
  <c r="V118"/>
  <c r="W118" s="1"/>
  <c r="Y118" s="1"/>
  <c r="V106"/>
  <c r="W106" s="1"/>
  <c r="Y106" s="1"/>
  <c r="U107"/>
  <c r="V107" s="1"/>
  <c r="W107" s="1"/>
  <c r="Y107" s="1"/>
  <c r="V143"/>
  <c r="W143" s="1"/>
  <c r="Y143" s="1"/>
  <c r="U144"/>
  <c r="U379"/>
  <c r="V378"/>
  <c r="W378" s="1"/>
  <c r="Y378" s="1"/>
  <c r="G111" i="17"/>
  <c r="J111" s="1"/>
  <c r="J112" s="1"/>
  <c r="J132" s="1"/>
  <c r="J135" s="1"/>
  <c r="J136" s="1"/>
  <c r="D137" s="1"/>
  <c r="K137" s="1"/>
  <c r="J66"/>
  <c r="J67" s="1"/>
  <c r="J90" s="1"/>
  <c r="J93" s="1"/>
  <c r="J94" s="1"/>
  <c r="D95" s="1"/>
  <c r="K95" s="1"/>
  <c r="H404"/>
  <c r="J403"/>
  <c r="I1155" i="7"/>
  <c r="K1155" s="1"/>
  <c r="L1155" s="1"/>
  <c r="I1111"/>
  <c r="K1111" s="1"/>
  <c r="L1111" s="1"/>
  <c r="X81"/>
  <c r="K81"/>
  <c r="L81" s="1"/>
  <c r="O81" s="1"/>
  <c r="A240"/>
  <c r="H239"/>
  <c r="I1160"/>
  <c r="K1160" s="1"/>
  <c r="L1160" s="1"/>
  <c r="I85"/>
  <c r="A163"/>
  <c r="H164"/>
  <c r="I1197"/>
  <c r="K1197" s="1"/>
  <c r="L1197" s="1"/>
  <c r="K2710"/>
  <c r="K2711" s="1"/>
  <c r="K2712" s="1"/>
  <c r="K2717" s="1"/>
  <c r="J2756"/>
  <c r="I1115"/>
  <c r="K1115" s="1"/>
  <c r="L1115" s="1"/>
  <c r="I1164"/>
  <c r="K1164" s="1"/>
  <c r="L1164" s="1"/>
  <c r="A1505"/>
  <c r="A320"/>
  <c r="I1114"/>
  <c r="K1114" s="1"/>
  <c r="L1114" s="1"/>
  <c r="I1163"/>
  <c r="K1163" s="1"/>
  <c r="L1163" s="1"/>
  <c r="J1102" i="18" l="1"/>
  <c r="L1102" s="1"/>
  <c r="J1094"/>
  <c r="L1094" s="1"/>
  <c r="J2005"/>
  <c r="L2005" s="1"/>
  <c r="J2282"/>
  <c r="L2282" s="1"/>
  <c r="J3741"/>
  <c r="L3741" s="1"/>
  <c r="I4404" i="7"/>
  <c r="O2557"/>
  <c r="H3113"/>
  <c r="K3113" s="1"/>
  <c r="H3199"/>
  <c r="K3199" s="1"/>
  <c r="K2561"/>
  <c r="K2565" s="1"/>
  <c r="K2566" s="1"/>
  <c r="K2567" s="1"/>
  <c r="I474" s="1"/>
  <c r="K474" s="1"/>
  <c r="L474" s="1"/>
  <c r="K3070"/>
  <c r="K3027"/>
  <c r="I3253"/>
  <c r="K2931"/>
  <c r="K2984"/>
  <c r="H3156"/>
  <c r="K3156" s="1"/>
  <c r="K2941"/>
  <c r="I477"/>
  <c r="K477" s="1"/>
  <c r="L477" s="1"/>
  <c r="O2600"/>
  <c r="H2834"/>
  <c r="K2833"/>
  <c r="K2639"/>
  <c r="K2640" s="1"/>
  <c r="K2641" s="1"/>
  <c r="K2642" s="1"/>
  <c r="I2718"/>
  <c r="I2672"/>
  <c r="I473"/>
  <c r="K473" s="1"/>
  <c r="L473" s="1"/>
  <c r="O2966"/>
  <c r="I409"/>
  <c r="K409" s="1"/>
  <c r="L409" s="1"/>
  <c r="J1185" i="18"/>
  <c r="I444" i="7"/>
  <c r="K444" s="1"/>
  <c r="L444" s="1"/>
  <c r="O2258"/>
  <c r="K2265"/>
  <c r="K2266" s="1"/>
  <c r="K2268"/>
  <c r="K2272" s="1"/>
  <c r="J922" i="18"/>
  <c r="L922" s="1"/>
  <c r="K2045" i="7"/>
  <c r="K2047" s="1"/>
  <c r="K2042"/>
  <c r="K2043" s="1"/>
  <c r="K2020"/>
  <c r="K2021" s="1"/>
  <c r="J5941" i="18"/>
  <c r="L5941" s="1"/>
  <c r="I1100" i="7"/>
  <c r="K1100" s="1"/>
  <c r="L1100" s="1"/>
  <c r="I1104"/>
  <c r="K1104" s="1"/>
  <c r="L1104" s="1"/>
  <c r="J5966" i="18"/>
  <c r="L5966" s="1"/>
  <c r="N42" i="13"/>
  <c r="B16"/>
  <c r="H9" s="1"/>
  <c r="K9" s="1"/>
  <c r="K3397" i="7"/>
  <c r="I633"/>
  <c r="K633" s="1"/>
  <c r="L633" s="1"/>
  <c r="J3002" i="18"/>
  <c r="L3002" s="1"/>
  <c r="I624" i="7"/>
  <c r="K624" s="1"/>
  <c r="L624" s="1"/>
  <c r="J3317"/>
  <c r="K3317" s="1"/>
  <c r="K3318" s="1"/>
  <c r="K3319" s="1"/>
  <c r="I622" s="1"/>
  <c r="K622" s="1"/>
  <c r="L622" s="1"/>
  <c r="J3403"/>
  <c r="K3403" s="1"/>
  <c r="K3404" s="1"/>
  <c r="I634"/>
  <c r="K634" s="1"/>
  <c r="L634" s="1"/>
  <c r="J3367"/>
  <c r="K3367" s="1"/>
  <c r="K3368" s="1"/>
  <c r="K3369" s="1"/>
  <c r="I628" s="1"/>
  <c r="K628" s="1"/>
  <c r="L628" s="1"/>
  <c r="I630"/>
  <c r="K630" s="1"/>
  <c r="L630" s="1"/>
  <c r="J2996" i="18"/>
  <c r="L2996" s="1"/>
  <c r="K3449" i="7"/>
  <c r="I639"/>
  <c r="K639" s="1"/>
  <c r="L639" s="1"/>
  <c r="J3429"/>
  <c r="K3429" s="1"/>
  <c r="K3430" s="1"/>
  <c r="I637"/>
  <c r="K637" s="1"/>
  <c r="L637" s="1"/>
  <c r="J2999" i="18"/>
  <c r="L2999" s="1"/>
  <c r="I463" i="7"/>
  <c r="K463" s="1"/>
  <c r="L463" s="1"/>
  <c r="J3455"/>
  <c r="K3455" s="1"/>
  <c r="K3456" s="1"/>
  <c r="I640"/>
  <c r="K640" s="1"/>
  <c r="L640" s="1"/>
  <c r="I636"/>
  <c r="K636" s="1"/>
  <c r="L636" s="1"/>
  <c r="K3423"/>
  <c r="I627"/>
  <c r="K627" s="1"/>
  <c r="L627" s="1"/>
  <c r="J3342"/>
  <c r="K3342" s="1"/>
  <c r="K3343" s="1"/>
  <c r="K3344" s="1"/>
  <c r="I625" s="1"/>
  <c r="K625" s="1"/>
  <c r="L625" s="1"/>
  <c r="L1272" i="18"/>
  <c r="J1280"/>
  <c r="L1280" s="1"/>
  <c r="O2331" i="7"/>
  <c r="I454"/>
  <c r="K454" s="1"/>
  <c r="L454" s="1"/>
  <c r="O2337"/>
  <c r="I455"/>
  <c r="K455" s="1"/>
  <c r="L455" s="1"/>
  <c r="K2317"/>
  <c r="K2321" s="1"/>
  <c r="I451"/>
  <c r="K451" s="1"/>
  <c r="L451" s="1"/>
  <c r="O2315"/>
  <c r="J1127" i="18"/>
  <c r="L1127" s="1"/>
  <c r="I439" i="7"/>
  <c r="K439" s="1"/>
  <c r="L439" s="1"/>
  <c r="K2217"/>
  <c r="K2221" s="1"/>
  <c r="O2215"/>
  <c r="K2131"/>
  <c r="K2135" s="1"/>
  <c r="O2129"/>
  <c r="I427"/>
  <c r="K427" s="1"/>
  <c r="L427" s="1"/>
  <c r="J1045" i="18"/>
  <c r="L1045" s="1"/>
  <c r="O2086" i="7"/>
  <c r="K2088"/>
  <c r="K2092" s="1"/>
  <c r="I421"/>
  <c r="K421" s="1"/>
  <c r="L421" s="1"/>
  <c r="O2080"/>
  <c r="I420"/>
  <c r="K420" s="1"/>
  <c r="L420" s="1"/>
  <c r="J955" i="18"/>
  <c r="I414" i="7"/>
  <c r="K414" s="1"/>
  <c r="L414" s="1"/>
  <c r="O2037"/>
  <c r="I410"/>
  <c r="K410" s="1"/>
  <c r="L410" s="1"/>
  <c r="O2015"/>
  <c r="L912" i="18"/>
  <c r="O4169" i="7"/>
  <c r="O4172"/>
  <c r="O4173" s="1"/>
  <c r="H3117"/>
  <c r="K28" i="13"/>
  <c r="G11" i="56"/>
  <c r="M45" i="13"/>
  <c r="L82" i="7"/>
  <c r="O82" s="1"/>
  <c r="K5504"/>
  <c r="K5507" s="1"/>
  <c r="K5508" s="1"/>
  <c r="K5509" s="1"/>
  <c r="K5510" s="1"/>
  <c r="I878" s="1"/>
  <c r="K878" s="1"/>
  <c r="L878" s="1"/>
  <c r="CY561" i="4"/>
  <c r="CY562" s="1"/>
  <c r="I32" i="13"/>
  <c r="M32" s="1"/>
  <c r="N32"/>
  <c r="CT271" i="4"/>
  <c r="CS274"/>
  <c r="CS272"/>
  <c r="CT272" s="1"/>
  <c r="A344" i="18"/>
  <c r="J6604"/>
  <c r="L6604" s="1"/>
  <c r="J6402"/>
  <c r="L6402" s="1"/>
  <c r="J6352"/>
  <c r="L6352" s="1"/>
  <c r="J6073"/>
  <c r="L6073" s="1"/>
  <c r="J6410"/>
  <c r="L6410" s="1"/>
  <c r="J6385"/>
  <c r="L6385" s="1"/>
  <c r="J6056"/>
  <c r="L6056" s="1"/>
  <c r="J6336"/>
  <c r="L6336" s="1"/>
  <c r="J6081"/>
  <c r="L6081" s="1"/>
  <c r="K83" i="44"/>
  <c r="L83" s="1"/>
  <c r="X83"/>
  <c r="K1971"/>
  <c r="K1972" s="1"/>
  <c r="K3776"/>
  <c r="K3778" s="1"/>
  <c r="I657" s="1"/>
  <c r="K657" s="1"/>
  <c r="L657" s="1"/>
  <c r="I656"/>
  <c r="K656" s="1"/>
  <c r="L656" s="1"/>
  <c r="K2004"/>
  <c r="K2007" s="1"/>
  <c r="I412"/>
  <c r="K412" s="1"/>
  <c r="L412" s="1"/>
  <c r="K2055"/>
  <c r="K2052"/>
  <c r="K3759"/>
  <c r="K3761" s="1"/>
  <c r="I654" s="1"/>
  <c r="K654" s="1"/>
  <c r="L654" s="1"/>
  <c r="I653"/>
  <c r="K653" s="1"/>
  <c r="L653" s="1"/>
  <c r="K1931"/>
  <c r="K1932" s="1"/>
  <c r="J3603"/>
  <c r="K3603" s="1"/>
  <c r="K3604" s="1"/>
  <c r="J3627"/>
  <c r="K3627" s="1"/>
  <c r="K3628" s="1"/>
  <c r="O82"/>
  <c r="A1150"/>
  <c r="A288"/>
  <c r="J1991"/>
  <c r="K1991" s="1"/>
  <c r="K1949"/>
  <c r="K1913"/>
  <c r="I394"/>
  <c r="K394" s="1"/>
  <c r="L394" s="1"/>
  <c r="H85"/>
  <c r="I84"/>
  <c r="A164"/>
  <c r="H165"/>
  <c r="I1159" i="7"/>
  <c r="K1159" s="1"/>
  <c r="L1159" s="1"/>
  <c r="G21" i="9"/>
  <c r="M21" s="1"/>
  <c r="V216" i="37"/>
  <c r="W216" s="1"/>
  <c r="Y216" s="1"/>
  <c r="U217"/>
  <c r="U120"/>
  <c r="V119"/>
  <c r="W119" s="1"/>
  <c r="Y119" s="1"/>
  <c r="V144"/>
  <c r="W144" s="1"/>
  <c r="Y144" s="1"/>
  <c r="U145"/>
  <c r="V323"/>
  <c r="W323" s="1"/>
  <c r="Y323" s="1"/>
  <c r="U324"/>
  <c r="U380"/>
  <c r="V379"/>
  <c r="W379" s="1"/>
  <c r="Y379" s="1"/>
  <c r="H405" i="17"/>
  <c r="J404"/>
  <c r="I1169" i="7"/>
  <c r="K1169" s="1"/>
  <c r="L1169" s="1"/>
  <c r="K2756"/>
  <c r="K2757" s="1"/>
  <c r="K2758" s="1"/>
  <c r="K2763" s="1"/>
  <c r="J2800"/>
  <c r="K84"/>
  <c r="L84" s="1"/>
  <c r="X84"/>
  <c r="I1120"/>
  <c r="K1120" s="1"/>
  <c r="L1120" s="1"/>
  <c r="I1170"/>
  <c r="K1170" s="1"/>
  <c r="L1170" s="1"/>
  <c r="I1166"/>
  <c r="K1166" s="1"/>
  <c r="L1166" s="1"/>
  <c r="A241"/>
  <c r="H240"/>
  <c r="I1117"/>
  <c r="K1117" s="1"/>
  <c r="L1117" s="1"/>
  <c r="I1161"/>
  <c r="K1161" s="1"/>
  <c r="L1161" s="1"/>
  <c r="A1526"/>
  <c r="A325"/>
  <c r="A164"/>
  <c r="H165"/>
  <c r="I1121"/>
  <c r="K1121" s="1"/>
  <c r="L1121" s="1"/>
  <c r="I86"/>
  <c r="I1199"/>
  <c r="K1199" s="1"/>
  <c r="L1199" s="1"/>
  <c r="K2644" l="1"/>
  <c r="I2645" s="1"/>
  <c r="K2645" s="1"/>
  <c r="DR147" i="4" s="1"/>
  <c r="DS147" s="1"/>
  <c r="O3207" i="7"/>
  <c r="O3208" s="1"/>
  <c r="O3164"/>
  <c r="O2950"/>
  <c r="O3079"/>
  <c r="O3121"/>
  <c r="O3122" s="1"/>
  <c r="K2604"/>
  <c r="K2608" s="1"/>
  <c r="O2993"/>
  <c r="O3036"/>
  <c r="O2565"/>
  <c r="J2419" i="18"/>
  <c r="L2419" s="1"/>
  <c r="K2834" i="7"/>
  <c r="H2851"/>
  <c r="I2764"/>
  <c r="I482"/>
  <c r="K482" s="1"/>
  <c r="L482" s="1"/>
  <c r="O2640"/>
  <c r="R2642"/>
  <c r="S2642" s="1"/>
  <c r="J1201" i="18"/>
  <c r="L1201" s="1"/>
  <c r="K2718" i="7"/>
  <c r="I2719"/>
  <c r="K2719" s="1"/>
  <c r="J2923"/>
  <c r="K2923" s="1"/>
  <c r="K2924" s="1"/>
  <c r="I520" s="1"/>
  <c r="K520" s="1"/>
  <c r="L520" s="1"/>
  <c r="J2932"/>
  <c r="K2932" s="1"/>
  <c r="K2933" s="1"/>
  <c r="I523" s="1"/>
  <c r="K523" s="1"/>
  <c r="L523" s="1"/>
  <c r="J2936"/>
  <c r="J2927"/>
  <c r="J930" i="18"/>
  <c r="L930" s="1"/>
  <c r="I2673" i="7"/>
  <c r="K2673" s="1"/>
  <c r="K2672"/>
  <c r="J2054" i="18"/>
  <c r="L2054" s="1"/>
  <c r="J2046"/>
  <c r="L2046" s="1"/>
  <c r="K2504" i="7"/>
  <c r="K2501"/>
  <c r="K2502" s="1"/>
  <c r="I468" s="1"/>
  <c r="K468" s="1"/>
  <c r="L468" s="1"/>
  <c r="L1185" i="18"/>
  <c r="K2454" i="7"/>
  <c r="K2455" s="1"/>
  <c r="I464" s="1"/>
  <c r="K464" s="1"/>
  <c r="L464" s="1"/>
  <c r="K2273"/>
  <c r="K2274" s="1"/>
  <c r="K2048"/>
  <c r="K2049" s="1"/>
  <c r="J6007" i="18"/>
  <c r="L6007" s="1"/>
  <c r="J5982"/>
  <c r="L5982" s="1"/>
  <c r="I1110" i="7"/>
  <c r="K1110" s="1"/>
  <c r="L1110" s="1"/>
  <c r="I1106"/>
  <c r="K1106" s="1"/>
  <c r="L1106" s="1"/>
  <c r="N23" i="13"/>
  <c r="I23"/>
  <c r="M23" s="1"/>
  <c r="I56"/>
  <c r="M56" s="1"/>
  <c r="O2500" i="7"/>
  <c r="I42" i="13"/>
  <c r="M42" s="1"/>
  <c r="D16"/>
  <c r="N68" s="1"/>
  <c r="J2998" i="18"/>
  <c r="L2998" s="1"/>
  <c r="J3009"/>
  <c r="L3009" s="1"/>
  <c r="O2453" i="7"/>
  <c r="K3405"/>
  <c r="I632"/>
  <c r="K632" s="1"/>
  <c r="L632" s="1"/>
  <c r="J2997" i="18"/>
  <c r="L2997" s="1"/>
  <c r="K3431" i="7"/>
  <c r="I635"/>
  <c r="K635" s="1"/>
  <c r="L635" s="1"/>
  <c r="J1851" i="18"/>
  <c r="J3010"/>
  <c r="L3010" s="1"/>
  <c r="J3007"/>
  <c r="L3007" s="1"/>
  <c r="J2995"/>
  <c r="L2995" s="1"/>
  <c r="J3006"/>
  <c r="L3006" s="1"/>
  <c r="I638" i="7"/>
  <c r="K638" s="1"/>
  <c r="L638" s="1"/>
  <c r="K3457"/>
  <c r="J3001" i="18"/>
  <c r="L3001" s="1"/>
  <c r="J3000"/>
  <c r="L3000" s="1"/>
  <c r="J3013"/>
  <c r="L3013" s="1"/>
  <c r="J3012"/>
  <c r="L3012" s="1"/>
  <c r="J3003"/>
  <c r="L3003" s="1"/>
  <c r="J1320"/>
  <c r="L1320" s="1"/>
  <c r="I452" i="7"/>
  <c r="K452" s="1"/>
  <c r="L452" s="1"/>
  <c r="O2321"/>
  <c r="J1288" i="18"/>
  <c r="L1288" s="1"/>
  <c r="J1312"/>
  <c r="L1312" s="1"/>
  <c r="I445" i="7"/>
  <c r="K445" s="1"/>
  <c r="L445" s="1"/>
  <c r="O2266"/>
  <c r="J1135" i="18"/>
  <c r="L1135" s="1"/>
  <c r="I440" i="7"/>
  <c r="K440" s="1"/>
  <c r="L440" s="1"/>
  <c r="O2221"/>
  <c r="I428"/>
  <c r="K428" s="1"/>
  <c r="L428" s="1"/>
  <c r="O2135"/>
  <c r="J1053" i="18"/>
  <c r="L1053" s="1"/>
  <c r="J1004"/>
  <c r="L1004" s="1"/>
  <c r="O2092" i="7"/>
  <c r="I422"/>
  <c r="K422" s="1"/>
  <c r="L422" s="1"/>
  <c r="J1012" i="18"/>
  <c r="L1012" s="1"/>
  <c r="J938"/>
  <c r="L938" s="1"/>
  <c r="I415" i="7"/>
  <c r="K415" s="1"/>
  <c r="L415" s="1"/>
  <c r="O2043"/>
  <c r="L955" i="18"/>
  <c r="I411" i="7"/>
  <c r="K411" s="1"/>
  <c r="L411" s="1"/>
  <c r="O2021"/>
  <c r="J963" i="18"/>
  <c r="L963" s="1"/>
  <c r="H3160" i="7"/>
  <c r="K3117"/>
  <c r="G13" i="56"/>
  <c r="G12"/>
  <c r="K45" i="13"/>
  <c r="O84" i="7"/>
  <c r="K5467"/>
  <c r="K5468" s="1"/>
  <c r="K5469" s="1"/>
  <c r="K5470" s="1"/>
  <c r="I876" s="1"/>
  <c r="K876" s="1"/>
  <c r="L876" s="1"/>
  <c r="K32" i="13"/>
  <c r="CU274" i="4"/>
  <c r="CS275"/>
  <c r="CU275" s="1"/>
  <c r="CS278"/>
  <c r="A377" i="18"/>
  <c r="J6426"/>
  <c r="L6426" s="1"/>
  <c r="J6451"/>
  <c r="L6451" s="1"/>
  <c r="J6393"/>
  <c r="L6393" s="1"/>
  <c r="J6377"/>
  <c r="L6377" s="1"/>
  <c r="J6613"/>
  <c r="L6613" s="1"/>
  <c r="J6122"/>
  <c r="L6122" s="1"/>
  <c r="J6097"/>
  <c r="L6097" s="1"/>
  <c r="J6114"/>
  <c r="L6114" s="1"/>
  <c r="J6443"/>
  <c r="L6443" s="1"/>
  <c r="K1933" i="44"/>
  <c r="I397"/>
  <c r="K397" s="1"/>
  <c r="L397" s="1"/>
  <c r="K84"/>
  <c r="L84" s="1"/>
  <c r="X84"/>
  <c r="K1950"/>
  <c r="K1951" s="1"/>
  <c r="J3940"/>
  <c r="K3940" s="1"/>
  <c r="J3871"/>
  <c r="K3871" s="1"/>
  <c r="J3923"/>
  <c r="K3923" s="1"/>
  <c r="K3924" s="1"/>
  <c r="J3854"/>
  <c r="K3854" s="1"/>
  <c r="K3855" s="1"/>
  <c r="O83"/>
  <c r="K2054"/>
  <c r="K2057" s="1"/>
  <c r="I422"/>
  <c r="K422" s="1"/>
  <c r="L422" s="1"/>
  <c r="A165"/>
  <c r="H166"/>
  <c r="A1164"/>
  <c r="A291"/>
  <c r="K3612"/>
  <c r="K3614" s="1"/>
  <c r="I626" s="1"/>
  <c r="K626" s="1"/>
  <c r="L626" s="1"/>
  <c r="K3610"/>
  <c r="I625" s="1"/>
  <c r="K625" s="1"/>
  <c r="L625" s="1"/>
  <c r="K3606"/>
  <c r="K3608" s="1"/>
  <c r="I623" s="1"/>
  <c r="K623" s="1"/>
  <c r="L623" s="1"/>
  <c r="I622"/>
  <c r="K622" s="1"/>
  <c r="L622" s="1"/>
  <c r="K1973"/>
  <c r="I403"/>
  <c r="K403" s="1"/>
  <c r="L403" s="1"/>
  <c r="H86"/>
  <c r="I85"/>
  <c r="K1995"/>
  <c r="K1997" s="1"/>
  <c r="I410" s="1"/>
  <c r="K410" s="1"/>
  <c r="L410" s="1"/>
  <c r="K1992"/>
  <c r="I409" s="1"/>
  <c r="K409" s="1"/>
  <c r="L409" s="1"/>
  <c r="K3636"/>
  <c r="K3638" s="1"/>
  <c r="I633" s="1"/>
  <c r="K633" s="1"/>
  <c r="L633" s="1"/>
  <c r="K3634"/>
  <c r="I632" s="1"/>
  <c r="K632" s="1"/>
  <c r="L632" s="1"/>
  <c r="K3630"/>
  <c r="K3632" s="1"/>
  <c r="I630" s="1"/>
  <c r="K630" s="1"/>
  <c r="L630" s="1"/>
  <c r="I629"/>
  <c r="K629" s="1"/>
  <c r="L629" s="1"/>
  <c r="I1165" i="7"/>
  <c r="K1165" s="1"/>
  <c r="L1165" s="1"/>
  <c r="G25" i="9"/>
  <c r="M25" s="1"/>
  <c r="V324" i="37"/>
  <c r="W324" s="1"/>
  <c r="Y324" s="1"/>
  <c r="U325"/>
  <c r="U381"/>
  <c r="V380"/>
  <c r="W380" s="1"/>
  <c r="Y380" s="1"/>
  <c r="V145"/>
  <c r="W145" s="1"/>
  <c r="Y145" s="1"/>
  <c r="U146"/>
  <c r="V217"/>
  <c r="W217" s="1"/>
  <c r="Y217" s="1"/>
  <c r="U218"/>
  <c r="U121"/>
  <c r="V121" s="1"/>
  <c r="W121" s="1"/>
  <c r="Y121" s="1"/>
  <c r="V120"/>
  <c r="W120" s="1"/>
  <c r="Y120" s="1"/>
  <c r="H406" i="17"/>
  <c r="J406" s="1"/>
  <c r="J405"/>
  <c r="I1133" i="7"/>
  <c r="K1133" s="1"/>
  <c r="L1133" s="1"/>
  <c r="I1127"/>
  <c r="K1127" s="1"/>
  <c r="L1127" s="1"/>
  <c r="A1548"/>
  <c r="A330"/>
  <c r="I87"/>
  <c r="I1123"/>
  <c r="K1123" s="1"/>
  <c r="L1123" s="1"/>
  <c r="A242"/>
  <c r="H242" s="1"/>
  <c r="H241"/>
  <c r="I1132"/>
  <c r="K1132" s="1"/>
  <c r="L1132" s="1"/>
  <c r="I1126"/>
  <c r="K1126" s="1"/>
  <c r="L1126" s="1"/>
  <c r="I1181"/>
  <c r="K1181" s="1"/>
  <c r="L1181" s="1"/>
  <c r="I1175"/>
  <c r="K1175" s="1"/>
  <c r="L1175" s="1"/>
  <c r="K85"/>
  <c r="L85" s="1"/>
  <c r="O85" s="1"/>
  <c r="X85"/>
  <c r="A165"/>
  <c r="H166"/>
  <c r="I1167"/>
  <c r="K1167" s="1"/>
  <c r="L1167" s="1"/>
  <c r="I1172"/>
  <c r="K1172" s="1"/>
  <c r="L1172" s="1"/>
  <c r="I1182"/>
  <c r="K1182" s="1"/>
  <c r="L1182" s="1"/>
  <c r="I1176"/>
  <c r="K1176" s="1"/>
  <c r="L1176" s="1"/>
  <c r="I1203"/>
  <c r="K1203" s="1"/>
  <c r="L1203" s="1"/>
  <c r="J2843"/>
  <c r="K2800"/>
  <c r="K2801" s="1"/>
  <c r="K2802" s="1"/>
  <c r="I1201"/>
  <c r="K1201" s="1"/>
  <c r="L1201" s="1"/>
  <c r="O2645" l="1"/>
  <c r="K2650"/>
  <c r="K2655" s="1"/>
  <c r="DP147" i="4"/>
  <c r="DQ147" s="1"/>
  <c r="K2646" i="7"/>
  <c r="K2647" s="1"/>
  <c r="K2649" s="1"/>
  <c r="J2221" i="18"/>
  <c r="L2221" s="1"/>
  <c r="K2609" i="7"/>
  <c r="K2610" s="1"/>
  <c r="O2608"/>
  <c r="O3169"/>
  <c r="O3170" s="1"/>
  <c r="O3165"/>
  <c r="H2852"/>
  <c r="H2860"/>
  <c r="J2071" i="18"/>
  <c r="L2071" s="1"/>
  <c r="K2810" i="7"/>
  <c r="K2811" s="1"/>
  <c r="K2815" s="1"/>
  <c r="K2807"/>
  <c r="I2808" s="1"/>
  <c r="K2764"/>
  <c r="I2765"/>
  <c r="K2765" s="1"/>
  <c r="J2703" i="18"/>
  <c r="O2508" i="7"/>
  <c r="K2508"/>
  <c r="K2721"/>
  <c r="K2722" s="1"/>
  <c r="K2675"/>
  <c r="K2676" s="1"/>
  <c r="J2013" i="18"/>
  <c r="L2013" s="1"/>
  <c r="I446" i="7"/>
  <c r="K446" s="1"/>
  <c r="L446" s="1"/>
  <c r="O2274"/>
  <c r="J6048" i="18"/>
  <c r="L6048" s="1"/>
  <c r="I1112" i="7"/>
  <c r="K1112" s="1"/>
  <c r="L1112" s="1"/>
  <c r="J6023" i="18"/>
  <c r="L6023" s="1"/>
  <c r="I1116" i="7"/>
  <c r="K1116" s="1"/>
  <c r="L1116" s="1"/>
  <c r="K56" i="13"/>
  <c r="K23"/>
  <c r="K42"/>
  <c r="J1988" i="18"/>
  <c r="L1988" s="1"/>
  <c r="J3011"/>
  <c r="L3011" s="1"/>
  <c r="J3008"/>
  <c r="L3008" s="1"/>
  <c r="J3005"/>
  <c r="L3005" s="1"/>
  <c r="J1296"/>
  <c r="L1296" s="1"/>
  <c r="J1215"/>
  <c r="L1215" s="1"/>
  <c r="J1143"/>
  <c r="L1143" s="1"/>
  <c r="J1061"/>
  <c r="L1061" s="1"/>
  <c r="J1020"/>
  <c r="L1020" s="1"/>
  <c r="O2049" i="7"/>
  <c r="I416"/>
  <c r="K416" s="1"/>
  <c r="L416" s="1"/>
  <c r="J946" i="18"/>
  <c r="L946" s="1"/>
  <c r="J971"/>
  <c r="L971" s="1"/>
  <c r="J2086"/>
  <c r="H3203" i="7"/>
  <c r="K3203" s="1"/>
  <c r="K3160"/>
  <c r="K2936"/>
  <c r="K2937" s="1"/>
  <c r="I524" s="1"/>
  <c r="K524" s="1"/>
  <c r="L524" s="1"/>
  <c r="G146" i="106" s="1"/>
  <c r="O146" s="1"/>
  <c r="K2927" i="7"/>
  <c r="K2928" s="1"/>
  <c r="I521" s="1"/>
  <c r="K521" s="1"/>
  <c r="L521" s="1"/>
  <c r="G139" i="106" s="1"/>
  <c r="O139" s="1"/>
  <c r="CT278" i="4"/>
  <c r="CS279"/>
  <c r="CT279" s="1"/>
  <c r="CS281"/>
  <c r="A410" i="18"/>
  <c r="J6138"/>
  <c r="L6138" s="1"/>
  <c r="J6492"/>
  <c r="L6492" s="1"/>
  <c r="J6484"/>
  <c r="L6484" s="1"/>
  <c r="J6163"/>
  <c r="L6163" s="1"/>
  <c r="J6631"/>
  <c r="L6631" s="1"/>
  <c r="J6196"/>
  <c r="L6196" s="1"/>
  <c r="J6418"/>
  <c r="L6418" s="1"/>
  <c r="J6467"/>
  <c r="L6467" s="1"/>
  <c r="J6434"/>
  <c r="L6434" s="1"/>
  <c r="J6155"/>
  <c r="L6155" s="1"/>
  <c r="J6622"/>
  <c r="L6622" s="1"/>
  <c r="J6533"/>
  <c r="L6533" s="1"/>
  <c r="J6525"/>
  <c r="L6525" s="1"/>
  <c r="J6204"/>
  <c r="L6204" s="1"/>
  <c r="K85" i="44"/>
  <c r="L85" s="1"/>
  <c r="X85"/>
  <c r="A1178"/>
  <c r="A294"/>
  <c r="K3926"/>
  <c r="K3928" s="1"/>
  <c r="I684" s="1"/>
  <c r="K684" s="1"/>
  <c r="L684" s="1"/>
  <c r="I683"/>
  <c r="K683" s="1"/>
  <c r="L683" s="1"/>
  <c r="K3857"/>
  <c r="K3859" s="1"/>
  <c r="I672" s="1"/>
  <c r="K672" s="1"/>
  <c r="L672" s="1"/>
  <c r="I671"/>
  <c r="K671" s="1"/>
  <c r="L671" s="1"/>
  <c r="K1952"/>
  <c r="I400"/>
  <c r="K400" s="1"/>
  <c r="L400" s="1"/>
  <c r="H167"/>
  <c r="A166"/>
  <c r="J3721"/>
  <c r="K3721" s="1"/>
  <c r="K3722" s="1"/>
  <c r="J3739"/>
  <c r="K3739" s="1"/>
  <c r="O84"/>
  <c r="H87"/>
  <c r="I86"/>
  <c r="I1171" i="7"/>
  <c r="K1171" s="1"/>
  <c r="L1171" s="1"/>
  <c r="G29" i="9"/>
  <c r="M29" s="1"/>
  <c r="N22" s="1"/>
  <c r="J407" i="17"/>
  <c r="J408" s="1"/>
  <c r="J409" s="1"/>
  <c r="D410" s="1"/>
  <c r="K410" s="1"/>
  <c r="K588" s="1"/>
  <c r="I1183" i="7"/>
  <c r="K1183" s="1"/>
  <c r="L1183" s="1"/>
  <c r="V218" i="37"/>
  <c r="W218" s="1"/>
  <c r="Y218" s="1"/>
  <c r="U219"/>
  <c r="U220" s="1"/>
  <c r="V220" s="1"/>
  <c r="V146"/>
  <c r="W146" s="1"/>
  <c r="Y146" s="1"/>
  <c r="U147"/>
  <c r="V325"/>
  <c r="W325" s="1"/>
  <c r="Y325" s="1"/>
  <c r="U326"/>
  <c r="U382"/>
  <c r="V381"/>
  <c r="W381" s="1"/>
  <c r="Y381" s="1"/>
  <c r="I1184" i="7"/>
  <c r="K1184" s="1"/>
  <c r="L1184" s="1"/>
  <c r="I1178"/>
  <c r="K1178" s="1"/>
  <c r="L1178" s="1"/>
  <c r="I1173"/>
  <c r="K1173" s="1"/>
  <c r="L1173" s="1"/>
  <c r="I88"/>
  <c r="J2888"/>
  <c r="K2888" s="1"/>
  <c r="K2889" s="1"/>
  <c r="K2890" s="1"/>
  <c r="K2843"/>
  <c r="K2844" s="1"/>
  <c r="K2845" s="1"/>
  <c r="K2850" s="1"/>
  <c r="K86"/>
  <c r="L86" s="1"/>
  <c r="X86"/>
  <c r="A166"/>
  <c r="H167"/>
  <c r="I1135"/>
  <c r="K1135" s="1"/>
  <c r="L1135" s="1"/>
  <c r="I1129"/>
  <c r="K1129" s="1"/>
  <c r="L1129" s="1"/>
  <c r="A1570"/>
  <c r="A335"/>
  <c r="G12" i="110" l="1"/>
  <c r="I483" i="7"/>
  <c r="K483" s="1"/>
  <c r="L483" s="1"/>
  <c r="J2711" i="18" s="1"/>
  <c r="L2711" s="1"/>
  <c r="O2646" i="7"/>
  <c r="K2612"/>
  <c r="O3126"/>
  <c r="O3127" s="1"/>
  <c r="O3130" s="1"/>
  <c r="I478"/>
  <c r="K478" s="1"/>
  <c r="L478" s="1"/>
  <c r="O2961"/>
  <c r="Q2961" s="1"/>
  <c r="H2861"/>
  <c r="K2861" s="1"/>
  <c r="H2868"/>
  <c r="K2860"/>
  <c r="I2851"/>
  <c r="R2813"/>
  <c r="S2813" s="1"/>
  <c r="K2812"/>
  <c r="K2813" s="1"/>
  <c r="I2809"/>
  <c r="K2809" s="1"/>
  <c r="K2808"/>
  <c r="K2766"/>
  <c r="K2767" s="1"/>
  <c r="K2768" s="1"/>
  <c r="K2769" s="1"/>
  <c r="L2703" i="18"/>
  <c r="J1229"/>
  <c r="L1229" s="1"/>
  <c r="O2722" i="7"/>
  <c r="K2726"/>
  <c r="K2730" s="1"/>
  <c r="K2723"/>
  <c r="K2724" s="1"/>
  <c r="I492"/>
  <c r="K492" s="1"/>
  <c r="L492" s="1"/>
  <c r="R2724"/>
  <c r="S2724" s="1"/>
  <c r="K2677"/>
  <c r="K2678" s="1"/>
  <c r="R2678"/>
  <c r="S2678" s="1"/>
  <c r="I487"/>
  <c r="K487" s="1"/>
  <c r="L487" s="1"/>
  <c r="K2916"/>
  <c r="O2676"/>
  <c r="K2509"/>
  <c r="K2510" s="1"/>
  <c r="I469" s="1"/>
  <c r="K469" s="1"/>
  <c r="L469" s="1"/>
  <c r="I1122"/>
  <c r="K1122" s="1"/>
  <c r="L1122" s="1"/>
  <c r="I1118"/>
  <c r="K1118" s="1"/>
  <c r="L1118" s="1"/>
  <c r="J6064" i="18"/>
  <c r="L6064" s="1"/>
  <c r="J6089"/>
  <c r="L6089" s="1"/>
  <c r="L2086"/>
  <c r="J979"/>
  <c r="L979" s="1"/>
  <c r="J1380"/>
  <c r="J1516"/>
  <c r="L1516" s="1"/>
  <c r="J1364"/>
  <c r="O2650" i="7"/>
  <c r="O2655" s="1"/>
  <c r="K2651"/>
  <c r="O2727"/>
  <c r="DP153" i="4"/>
  <c r="DQ153" s="1"/>
  <c r="DR153"/>
  <c r="DS153" s="1"/>
  <c r="CT561"/>
  <c r="CT562" s="1"/>
  <c r="CU281"/>
  <c r="CS282"/>
  <c r="CU282" s="1"/>
  <c r="A443" i="18"/>
  <c r="K2896" i="7"/>
  <c r="K2897" s="1"/>
  <c r="I502"/>
  <c r="K502" s="1"/>
  <c r="L502" s="1"/>
  <c r="O2811"/>
  <c r="J6179" i="18"/>
  <c r="L6179" s="1"/>
  <c r="J6220"/>
  <c r="L6220" s="1"/>
  <c r="J6475"/>
  <c r="L6475" s="1"/>
  <c r="J6508"/>
  <c r="L6508" s="1"/>
  <c r="J6541"/>
  <c r="L6541" s="1"/>
  <c r="J6549"/>
  <c r="L6549" s="1"/>
  <c r="J6459"/>
  <c r="L6459" s="1"/>
  <c r="K86" i="44"/>
  <c r="L86" s="1"/>
  <c r="X86"/>
  <c r="K3724"/>
  <c r="K3726" s="1"/>
  <c r="I648" s="1"/>
  <c r="K648" s="1"/>
  <c r="L648" s="1"/>
  <c r="I647"/>
  <c r="K647" s="1"/>
  <c r="L647" s="1"/>
  <c r="J3886"/>
  <c r="K3886" s="1"/>
  <c r="K3887" s="1"/>
  <c r="J2320"/>
  <c r="K2320" s="1"/>
  <c r="K2321" s="1"/>
  <c r="O85"/>
  <c r="H168"/>
  <c r="A167"/>
  <c r="H88"/>
  <c r="I87"/>
  <c r="A1193"/>
  <c r="A297"/>
  <c r="I1177" i="7"/>
  <c r="K1177" s="1"/>
  <c r="L1177" s="1"/>
  <c r="G33" i="9"/>
  <c r="M33" s="1"/>
  <c r="N33" s="1"/>
  <c r="V147" i="37"/>
  <c r="W147" s="1"/>
  <c r="Y147" s="1"/>
  <c r="U148"/>
  <c r="V326"/>
  <c r="W326" s="1"/>
  <c r="Y326" s="1"/>
  <c r="U327"/>
  <c r="V219"/>
  <c r="W219" s="1"/>
  <c r="Y219" s="1"/>
  <c r="U383"/>
  <c r="V382"/>
  <c r="W382" s="1"/>
  <c r="Y382" s="1"/>
  <c r="J6157" i="7"/>
  <c r="K6157" s="1"/>
  <c r="J6115"/>
  <c r="K6115" s="1"/>
  <c r="K6116" s="1"/>
  <c r="I6117" s="1"/>
  <c r="J6073"/>
  <c r="K6073" s="1"/>
  <c r="K6074" s="1"/>
  <c r="O86"/>
  <c r="I89"/>
  <c r="K87"/>
  <c r="L87" s="1"/>
  <c r="X87"/>
  <c r="A1592"/>
  <c r="A340"/>
  <c r="A167"/>
  <c r="H168"/>
  <c r="I1185"/>
  <c r="K1185" s="1"/>
  <c r="L1185" s="1"/>
  <c r="I1179"/>
  <c r="K1179" s="1"/>
  <c r="L1179" s="1"/>
  <c r="J2841" i="18" l="1"/>
  <c r="L2841" s="1"/>
  <c r="I6118" i="7"/>
  <c r="I6075"/>
  <c r="K2616"/>
  <c r="K2617" s="1"/>
  <c r="K2618" s="1"/>
  <c r="I479" s="1"/>
  <c r="K479" s="1"/>
  <c r="L479" s="1"/>
  <c r="J2556" i="18"/>
  <c r="L2556" s="1"/>
  <c r="H2869" i="7"/>
  <c r="K2869" s="1"/>
  <c r="H2876"/>
  <c r="K2868"/>
  <c r="I2852"/>
  <c r="K2852" s="1"/>
  <c r="K2851"/>
  <c r="R2769"/>
  <c r="S2769" s="1"/>
  <c r="O2767"/>
  <c r="I497"/>
  <c r="K497" s="1"/>
  <c r="L497" s="1"/>
  <c r="K2734"/>
  <c r="K2738" s="1"/>
  <c r="K2731"/>
  <c r="K2732" s="1"/>
  <c r="J2775" i="18"/>
  <c r="L2775" s="1"/>
  <c r="J3071" i="7"/>
  <c r="K3071" s="1"/>
  <c r="J3075"/>
  <c r="O3080" s="1"/>
  <c r="O3081" s="1"/>
  <c r="O3082" s="1"/>
  <c r="K2917"/>
  <c r="K2918" s="1"/>
  <c r="K2919" s="1"/>
  <c r="I517" s="1"/>
  <c r="K517" s="1"/>
  <c r="L517" s="1"/>
  <c r="J3157"/>
  <c r="J3114"/>
  <c r="K3114" s="1"/>
  <c r="J3161"/>
  <c r="J3032"/>
  <c r="J3118"/>
  <c r="J3028"/>
  <c r="K3028" s="1"/>
  <c r="K2680"/>
  <c r="K2684" s="1"/>
  <c r="J2742" i="18"/>
  <c r="J2021"/>
  <c r="L2021" s="1"/>
  <c r="J6105"/>
  <c r="L6105" s="1"/>
  <c r="I1124" i="7"/>
  <c r="K1124" s="1"/>
  <c r="L1124" s="1"/>
  <c r="I1128"/>
  <c r="K1128" s="1"/>
  <c r="L1128" s="1"/>
  <c r="I1134"/>
  <c r="K1134" s="1"/>
  <c r="L1134" s="1"/>
  <c r="J6130" i="18"/>
  <c r="L6130" s="1"/>
  <c r="L1380"/>
  <c r="L1364"/>
  <c r="O2651" i="7"/>
  <c r="K2652"/>
  <c r="J3204"/>
  <c r="O3209" s="1"/>
  <c r="O2730"/>
  <c r="F4" i="56"/>
  <c r="H4"/>
  <c r="H5"/>
  <c r="F5"/>
  <c r="F3"/>
  <c r="CU561" i="4"/>
  <c r="CU562" s="1"/>
  <c r="A476" i="18"/>
  <c r="O2897" i="7"/>
  <c r="I512"/>
  <c r="K512" s="1"/>
  <c r="L512" s="1"/>
  <c r="R2898"/>
  <c r="S2898" s="1"/>
  <c r="K2898"/>
  <c r="K2900" s="1"/>
  <c r="J3200"/>
  <c r="K3200" s="1"/>
  <c r="K3209" s="1"/>
  <c r="K3220" s="1"/>
  <c r="K3231" s="1"/>
  <c r="I493"/>
  <c r="K493" s="1"/>
  <c r="L493" s="1"/>
  <c r="J6500" i="18"/>
  <c r="L6500" s="1"/>
  <c r="J6516"/>
  <c r="L6516" s="1"/>
  <c r="J6557"/>
  <c r="L6557" s="1"/>
  <c r="K87" i="44"/>
  <c r="L87" s="1"/>
  <c r="X87"/>
  <c r="H169"/>
  <c r="A168"/>
  <c r="K3890"/>
  <c r="K3892" s="1"/>
  <c r="K3893" s="1"/>
  <c r="I678" s="1"/>
  <c r="K678" s="1"/>
  <c r="L678" s="1"/>
  <c r="K3888"/>
  <c r="I677" s="1"/>
  <c r="K677" s="1"/>
  <c r="L677" s="1"/>
  <c r="J3679"/>
  <c r="K3679" s="1"/>
  <c r="K3684" s="1"/>
  <c r="K3686" s="1"/>
  <c r="K3687" s="1"/>
  <c r="O86"/>
  <c r="K2325"/>
  <c r="K2327" s="1"/>
  <c r="I459" s="1"/>
  <c r="K459" s="1"/>
  <c r="L459" s="1"/>
  <c r="K2322"/>
  <c r="I458" s="1"/>
  <c r="K458" s="1"/>
  <c r="L458" s="1"/>
  <c r="A1207"/>
  <c r="A300"/>
  <c r="H89"/>
  <c r="I88"/>
  <c r="V148" i="37"/>
  <c r="W148" s="1"/>
  <c r="Y148" s="1"/>
  <c r="U149"/>
  <c r="V149" s="1"/>
  <c r="W149" s="1"/>
  <c r="Y149" s="1"/>
  <c r="W220"/>
  <c r="Y220" s="1"/>
  <c r="U221"/>
  <c r="U384"/>
  <c r="V383"/>
  <c r="W383" s="1"/>
  <c r="Y383" s="1"/>
  <c r="V327"/>
  <c r="W327" s="1"/>
  <c r="Y327" s="1"/>
  <c r="U328"/>
  <c r="J5768" i="7"/>
  <c r="K5768" s="1"/>
  <c r="J5699"/>
  <c r="K5699" s="1"/>
  <c r="K5700" s="1"/>
  <c r="I5701" s="1"/>
  <c r="O87"/>
  <c r="X88"/>
  <c r="K88"/>
  <c r="L88" s="1"/>
  <c r="A1614"/>
  <c r="A345"/>
  <c r="A168"/>
  <c r="H169"/>
  <c r="I90"/>
  <c r="J2783" i="18" l="1"/>
  <c r="L2783" s="1"/>
  <c r="I6076" i="7"/>
  <c r="K5769"/>
  <c r="I5770" s="1"/>
  <c r="I5702"/>
  <c r="O2616"/>
  <c r="K2853"/>
  <c r="K2854" s="1"/>
  <c r="O2854" s="1"/>
  <c r="J2693" i="18"/>
  <c r="L2693" s="1"/>
  <c r="H2877" i="7"/>
  <c r="K2876"/>
  <c r="J2985"/>
  <c r="K2771"/>
  <c r="K2775" s="1"/>
  <c r="J2989"/>
  <c r="O2999" s="1"/>
  <c r="O3000" s="1"/>
  <c r="O3001" s="1"/>
  <c r="J2808" i="18"/>
  <c r="K3075" i="7"/>
  <c r="K3085" s="1"/>
  <c r="K3096" s="1"/>
  <c r="K3107" s="1"/>
  <c r="K2742"/>
  <c r="K2746" s="1"/>
  <c r="K2739"/>
  <c r="K2740" s="1"/>
  <c r="K3080"/>
  <c r="K3091" s="1"/>
  <c r="K3102" s="1"/>
  <c r="K3072"/>
  <c r="L2742" i="18"/>
  <c r="O3123" i="7"/>
  <c r="O3124" s="1"/>
  <c r="O3125" s="1"/>
  <c r="K3118"/>
  <c r="O3171"/>
  <c r="K3161"/>
  <c r="K3115"/>
  <c r="K3123"/>
  <c r="K3134" s="1"/>
  <c r="K3145" s="1"/>
  <c r="O3166"/>
  <c r="O3167" s="1"/>
  <c r="O3168" s="1"/>
  <c r="K3157"/>
  <c r="O3037"/>
  <c r="O3038" s="1"/>
  <c r="O3039" s="1"/>
  <c r="K3032"/>
  <c r="J2940" i="18"/>
  <c r="L2940" s="1"/>
  <c r="K3029" i="7"/>
  <c r="Q3028"/>
  <c r="K3037"/>
  <c r="K3048" s="1"/>
  <c r="K3059" s="1"/>
  <c r="J6171" i="18"/>
  <c r="L6171" s="1"/>
  <c r="J6212"/>
  <c r="L6212" s="1"/>
  <c r="J6146"/>
  <c r="L6146" s="1"/>
  <c r="I1136" i="7"/>
  <c r="K1136" s="1"/>
  <c r="L1136" s="1"/>
  <c r="I1130"/>
  <c r="K1130" s="1"/>
  <c r="L1130" s="1"/>
  <c r="I484"/>
  <c r="K484" s="1"/>
  <c r="L484" s="1"/>
  <c r="K2654"/>
  <c r="K2656" s="1"/>
  <c r="K2901"/>
  <c r="K2906" s="1"/>
  <c r="K2911" s="1"/>
  <c r="O3210"/>
  <c r="O3211" s="1"/>
  <c r="K3201"/>
  <c r="O2735"/>
  <c r="O2743" s="1"/>
  <c r="H3" i="56"/>
  <c r="F6"/>
  <c r="H6"/>
  <c r="O2816" i="7"/>
  <c r="DP159" i="4"/>
  <c r="DQ159" s="1"/>
  <c r="DR159"/>
  <c r="DS159" s="1"/>
  <c r="A509" i="18"/>
  <c r="J2907"/>
  <c r="L2907" s="1"/>
  <c r="K88" i="44"/>
  <c r="L88" s="1"/>
  <c r="X88"/>
  <c r="H90"/>
  <c r="H93"/>
  <c r="I89"/>
  <c r="J3669"/>
  <c r="K3669" s="1"/>
  <c r="J3651"/>
  <c r="K3651" s="1"/>
  <c r="K3652" s="1"/>
  <c r="O87"/>
  <c r="K3689"/>
  <c r="K3691" s="1"/>
  <c r="I642" s="1"/>
  <c r="K642" s="1"/>
  <c r="L642" s="1"/>
  <c r="I641"/>
  <c r="K641" s="1"/>
  <c r="L641" s="1"/>
  <c r="H170"/>
  <c r="A169"/>
  <c r="A1224"/>
  <c r="A303"/>
  <c r="K2819" i="7"/>
  <c r="K2823" s="1"/>
  <c r="U385" i="37"/>
  <c r="V384"/>
  <c r="W384" s="1"/>
  <c r="Y384" s="1"/>
  <c r="V328"/>
  <c r="W328" s="1"/>
  <c r="Y328" s="1"/>
  <c r="U329"/>
  <c r="V221"/>
  <c r="W221" s="1"/>
  <c r="Y221" s="1"/>
  <c r="U222"/>
  <c r="I91" i="7"/>
  <c r="J6426"/>
  <c r="K6426" s="1"/>
  <c r="K6427" s="1"/>
  <c r="J6272"/>
  <c r="K6272" s="1"/>
  <c r="K6273" s="1"/>
  <c r="J6451"/>
  <c r="K6451" s="1"/>
  <c r="J6297"/>
  <c r="K6297" s="1"/>
  <c r="O88"/>
  <c r="K89"/>
  <c r="X89"/>
  <c r="H170"/>
  <c r="H171" s="1"/>
  <c r="A169"/>
  <c r="A1636"/>
  <c r="A350"/>
  <c r="I5771" l="1"/>
  <c r="K2855"/>
  <c r="K2856" s="1"/>
  <c r="J2942" s="1"/>
  <c r="Q2962" s="1"/>
  <c r="K2858"/>
  <c r="K2862" s="1"/>
  <c r="K2863" s="1"/>
  <c r="K2864" s="1"/>
  <c r="I507"/>
  <c r="K507" s="1"/>
  <c r="L507" s="1"/>
  <c r="K2877"/>
  <c r="H3252"/>
  <c r="R2856"/>
  <c r="S2856" s="1"/>
  <c r="K3076"/>
  <c r="I567" s="1"/>
  <c r="K567" s="1"/>
  <c r="L567" s="1"/>
  <c r="K3204"/>
  <c r="K3214" s="1"/>
  <c r="K3225" s="1"/>
  <c r="K3236" s="1"/>
  <c r="K2820"/>
  <c r="K2821" s="1"/>
  <c r="L2808" i="18"/>
  <c r="K2776" i="7"/>
  <c r="K2777" s="1"/>
  <c r="K2788" s="1"/>
  <c r="I2789" s="1"/>
  <c r="K2985"/>
  <c r="O2994"/>
  <c r="O2995" s="1"/>
  <c r="O2996" s="1"/>
  <c r="K2747"/>
  <c r="K2748" s="1"/>
  <c r="I566"/>
  <c r="K566" s="1"/>
  <c r="L566" s="1"/>
  <c r="K3079"/>
  <c r="K3082" s="1"/>
  <c r="K2688"/>
  <c r="K2685"/>
  <c r="K2686" s="1"/>
  <c r="I488"/>
  <c r="K488" s="1"/>
  <c r="L488" s="1"/>
  <c r="K3166"/>
  <c r="K3177" s="1"/>
  <c r="K3188" s="1"/>
  <c r="K3158"/>
  <c r="O3172"/>
  <c r="O3173" s="1"/>
  <c r="K3036"/>
  <c r="K3039" s="1"/>
  <c r="I553"/>
  <c r="K553" s="1"/>
  <c r="L553" s="1"/>
  <c r="DR150" i="4"/>
  <c r="DS150" s="1"/>
  <c r="O2681" i="7"/>
  <c r="DP150" i="4"/>
  <c r="DQ150" s="1"/>
  <c r="K3128" i="7"/>
  <c r="K3139" s="1"/>
  <c r="K3150" s="1"/>
  <c r="K3119"/>
  <c r="K3171"/>
  <c r="K3182" s="1"/>
  <c r="K3193" s="1"/>
  <c r="K3162"/>
  <c r="K3033"/>
  <c r="K3042"/>
  <c r="K3053" s="1"/>
  <c r="K3064" s="1"/>
  <c r="Q3032"/>
  <c r="K3122"/>
  <c r="K3125" s="1"/>
  <c r="I579"/>
  <c r="K579" s="1"/>
  <c r="L579" s="1"/>
  <c r="J6187" i="18"/>
  <c r="L6187" s="1"/>
  <c r="J6228"/>
  <c r="L6228" s="1"/>
  <c r="J2719"/>
  <c r="L2719" s="1"/>
  <c r="L1851"/>
  <c r="O2656" i="7"/>
  <c r="K2657"/>
  <c r="I485" s="1"/>
  <c r="K485" s="1"/>
  <c r="L485" s="1"/>
  <c r="O2901"/>
  <c r="DR165" i="4"/>
  <c r="DP165"/>
  <c r="K2902" i="7"/>
  <c r="K2903" s="1"/>
  <c r="K2905" s="1"/>
  <c r="I605"/>
  <c r="K605" s="1"/>
  <c r="L605" s="1"/>
  <c r="K3208"/>
  <c r="K3211" s="1"/>
  <c r="K3219" s="1"/>
  <c r="Q2963"/>
  <c r="Q2964" s="1"/>
  <c r="F7" i="56"/>
  <c r="L89" i="7"/>
  <c r="O89" s="1"/>
  <c r="K5486"/>
  <c r="O2819"/>
  <c r="A542" i="18"/>
  <c r="I503" i="7"/>
  <c r="K503" s="1"/>
  <c r="L503" s="1"/>
  <c r="K89" i="44"/>
  <c r="L89" s="1"/>
  <c r="X89"/>
  <c r="J3904"/>
  <c r="K3904" s="1"/>
  <c r="K3905" s="1"/>
  <c r="J3870"/>
  <c r="K3870" s="1"/>
  <c r="K3872" s="1"/>
  <c r="O88"/>
  <c r="A1238"/>
  <c r="A307"/>
  <c r="A170"/>
  <c r="H171"/>
  <c r="K3654"/>
  <c r="K3656" s="1"/>
  <c r="I636" s="1"/>
  <c r="K636" s="1"/>
  <c r="L636" s="1"/>
  <c r="I635"/>
  <c r="K635" s="1"/>
  <c r="L635" s="1"/>
  <c r="H91"/>
  <c r="H94"/>
  <c r="I90"/>
  <c r="H95"/>
  <c r="I95" s="1"/>
  <c r="I93"/>
  <c r="U386" i="37"/>
  <c r="V385"/>
  <c r="W385" s="1"/>
  <c r="Y385" s="1"/>
  <c r="V222"/>
  <c r="W222" s="1"/>
  <c r="Y222" s="1"/>
  <c r="U223"/>
  <c r="V329"/>
  <c r="W329" s="1"/>
  <c r="Y329" s="1"/>
  <c r="U330"/>
  <c r="K6275" i="7"/>
  <c r="K6277" s="1"/>
  <c r="I995"/>
  <c r="K995" s="1"/>
  <c r="L995" s="1"/>
  <c r="A1658"/>
  <c r="A355"/>
  <c r="I92"/>
  <c r="H172"/>
  <c r="A171"/>
  <c r="K90"/>
  <c r="L90" s="1"/>
  <c r="X90"/>
  <c r="K6429"/>
  <c r="K6431" s="1"/>
  <c r="I1015"/>
  <c r="K1015" s="1"/>
  <c r="L1015" s="1"/>
  <c r="K2942" l="1"/>
  <c r="K2943" s="1"/>
  <c r="J2849" i="18"/>
  <c r="L2849" s="1"/>
  <c r="J1501"/>
  <c r="J2874"/>
  <c r="J2946" i="7"/>
  <c r="O2967" s="1"/>
  <c r="O2968" s="1"/>
  <c r="O2962"/>
  <c r="O2963" s="1"/>
  <c r="O2964" s="1"/>
  <c r="K2866"/>
  <c r="H3253"/>
  <c r="K3252"/>
  <c r="K3205"/>
  <c r="K3213" s="1"/>
  <c r="K3216" s="1"/>
  <c r="K3224" s="1"/>
  <c r="K3227" s="1"/>
  <c r="K3084"/>
  <c r="K3087" s="1"/>
  <c r="I570" s="1"/>
  <c r="K570" s="1"/>
  <c r="L570" s="1"/>
  <c r="I2790"/>
  <c r="K2790" s="1"/>
  <c r="K2789"/>
  <c r="K2989"/>
  <c r="K2779"/>
  <c r="K2783" s="1"/>
  <c r="I498"/>
  <c r="K498" s="1"/>
  <c r="L498" s="1"/>
  <c r="O2772"/>
  <c r="O2780" s="1"/>
  <c r="DP156" i="4"/>
  <c r="DQ156" s="1"/>
  <c r="DR156"/>
  <c r="DS156" s="1"/>
  <c r="K2994" i="7"/>
  <c r="K3005" s="1"/>
  <c r="K3016" s="1"/>
  <c r="K2986"/>
  <c r="Q2985"/>
  <c r="K3090"/>
  <c r="K3093" s="1"/>
  <c r="I569"/>
  <c r="K569" s="1"/>
  <c r="L569" s="1"/>
  <c r="J2206" i="18"/>
  <c r="I2690" i="7"/>
  <c r="J2131" i="18"/>
  <c r="I582" i="7"/>
  <c r="K582" s="1"/>
  <c r="L582" s="1"/>
  <c r="K3133"/>
  <c r="K3136" s="1"/>
  <c r="J2266" i="18"/>
  <c r="L2266" s="1"/>
  <c r="J2281"/>
  <c r="K3047" i="7"/>
  <c r="K3050" s="1"/>
  <c r="I556"/>
  <c r="K556" s="1"/>
  <c r="L556" s="1"/>
  <c r="I580"/>
  <c r="K580" s="1"/>
  <c r="L580" s="1"/>
  <c r="G183" i="106" s="1"/>
  <c r="O183" s="1"/>
  <c r="K3127" i="7"/>
  <c r="K3130" s="1"/>
  <c r="I592"/>
  <c r="K592" s="1"/>
  <c r="L592" s="1"/>
  <c r="K3165"/>
  <c r="K3168" s="1"/>
  <c r="J2750" i="18"/>
  <c r="L2750" s="1"/>
  <c r="K3041" i="7"/>
  <c r="K3044" s="1"/>
  <c r="I554"/>
  <c r="K554" s="1"/>
  <c r="L554" s="1"/>
  <c r="G177" i="106" s="1"/>
  <c r="O177" s="1"/>
  <c r="K3170" i="7"/>
  <c r="K3173" s="1"/>
  <c r="I593"/>
  <c r="K593" s="1"/>
  <c r="L593" s="1"/>
  <c r="O2689"/>
  <c r="O2697" s="1"/>
  <c r="O2684"/>
  <c r="O2859"/>
  <c r="I513"/>
  <c r="K513" s="1"/>
  <c r="L513" s="1"/>
  <c r="J2161" i="18"/>
  <c r="J2727"/>
  <c r="L2727" s="1"/>
  <c r="I1016" i="7"/>
  <c r="K1016" s="1"/>
  <c r="L1016" s="1"/>
  <c r="K6433"/>
  <c r="K6435" s="1"/>
  <c r="I996"/>
  <c r="K996" s="1"/>
  <c r="L996" s="1"/>
  <c r="K6279"/>
  <c r="K6281" s="1"/>
  <c r="O2902"/>
  <c r="DR162" i="4"/>
  <c r="DS162" s="1"/>
  <c r="DP162"/>
  <c r="DQ162" s="1"/>
  <c r="K2951" i="7"/>
  <c r="K2962" s="1"/>
  <c r="K2973" s="1"/>
  <c r="K3222"/>
  <c r="I608"/>
  <c r="K608" s="1"/>
  <c r="L608" s="1"/>
  <c r="O2906"/>
  <c r="O2911" s="1"/>
  <c r="O2824"/>
  <c r="O2832" s="1"/>
  <c r="O2738"/>
  <c r="J6031"/>
  <c r="K6031" s="1"/>
  <c r="H7" i="56"/>
  <c r="J5988" i="7"/>
  <c r="K5988" s="1"/>
  <c r="A575" i="18"/>
  <c r="J5240"/>
  <c r="L5240" s="1"/>
  <c r="J5372"/>
  <c r="L5372" s="1"/>
  <c r="K93" i="44"/>
  <c r="L93" s="1"/>
  <c r="X93"/>
  <c r="H92"/>
  <c r="I92" s="1"/>
  <c r="I91"/>
  <c r="J3738"/>
  <c r="K3738" s="1"/>
  <c r="K3740" s="1"/>
  <c r="J3668"/>
  <c r="K3668" s="1"/>
  <c r="K3670" s="1"/>
  <c r="J3791"/>
  <c r="K3791" s="1"/>
  <c r="K3792" s="1"/>
  <c r="J3579"/>
  <c r="K3579" s="1"/>
  <c r="K3580" s="1"/>
  <c r="O89"/>
  <c r="H96"/>
  <c r="I96" s="1"/>
  <c r="I94"/>
  <c r="A171"/>
  <c r="H172"/>
  <c r="K90"/>
  <c r="L90" s="1"/>
  <c r="X90"/>
  <c r="A1258"/>
  <c r="A308"/>
  <c r="K3908"/>
  <c r="K3910" s="1"/>
  <c r="K3911" s="1"/>
  <c r="I681" s="1"/>
  <c r="K681" s="1"/>
  <c r="L681" s="1"/>
  <c r="K3906"/>
  <c r="I680" s="1"/>
  <c r="K680" s="1"/>
  <c r="L680" s="1"/>
  <c r="K95"/>
  <c r="L95" s="1"/>
  <c r="O95" s="1"/>
  <c r="X95"/>
  <c r="K3874"/>
  <c r="K3876" s="1"/>
  <c r="I675" s="1"/>
  <c r="K675" s="1"/>
  <c r="L675" s="1"/>
  <c r="I674"/>
  <c r="K674" s="1"/>
  <c r="L674" s="1"/>
  <c r="U387" i="37"/>
  <c r="V386"/>
  <c r="W386" s="1"/>
  <c r="Y386" s="1"/>
  <c r="V330"/>
  <c r="W330" s="1"/>
  <c r="Y330" s="1"/>
  <c r="U331"/>
  <c r="V223"/>
  <c r="W223" s="1"/>
  <c r="Y223" s="1"/>
  <c r="U224"/>
  <c r="A1680" i="7"/>
  <c r="A360"/>
  <c r="K91"/>
  <c r="L91" s="1"/>
  <c r="X91"/>
  <c r="H173"/>
  <c r="A172"/>
  <c r="J6337"/>
  <c r="K6337" s="1"/>
  <c r="J3585"/>
  <c r="K3585" s="1"/>
  <c r="K3586" s="1"/>
  <c r="O90"/>
  <c r="I93"/>
  <c r="J5380" i="18" l="1"/>
  <c r="L5380" s="1"/>
  <c r="J2915"/>
  <c r="L2915" s="1"/>
  <c r="L1501"/>
  <c r="J5248"/>
  <c r="L5248" s="1"/>
  <c r="O2969" i="7"/>
  <c r="O2956"/>
  <c r="O2957" s="1"/>
  <c r="O2958" s="1"/>
  <c r="J1698" i="18"/>
  <c r="L1698" s="1"/>
  <c r="O2951" i="7"/>
  <c r="O2952" s="1"/>
  <c r="O2953" s="1"/>
  <c r="K2946"/>
  <c r="L2874" i="18"/>
  <c r="K5989" i="7"/>
  <c r="I3587"/>
  <c r="I3588" s="1"/>
  <c r="K3095"/>
  <c r="K3098" s="1"/>
  <c r="I573" s="1"/>
  <c r="K573" s="1"/>
  <c r="L573" s="1"/>
  <c r="K3253"/>
  <c r="K3254" s="1"/>
  <c r="H3265"/>
  <c r="I609"/>
  <c r="K609" s="1"/>
  <c r="L609" s="1"/>
  <c r="I606"/>
  <c r="K606" s="1"/>
  <c r="L606" s="1"/>
  <c r="DQ561" i="4"/>
  <c r="DQ562" s="1"/>
  <c r="O2788" i="7"/>
  <c r="O2775"/>
  <c r="J2816" i="18"/>
  <c r="L2816" s="1"/>
  <c r="DS561" i="4"/>
  <c r="DS562" s="1"/>
  <c r="I540" i="7"/>
  <c r="K540" s="1"/>
  <c r="L540" s="1"/>
  <c r="K2993"/>
  <c r="K2996" s="1"/>
  <c r="K2784"/>
  <c r="K2785" s="1"/>
  <c r="K2999"/>
  <c r="K3010" s="1"/>
  <c r="K3021" s="1"/>
  <c r="K2990"/>
  <c r="L2206" i="18"/>
  <c r="J2403"/>
  <c r="L2403" s="1"/>
  <c r="I572" i="7"/>
  <c r="K572" s="1"/>
  <c r="L572" s="1"/>
  <c r="K3101"/>
  <c r="K3104" s="1"/>
  <c r="I575" s="1"/>
  <c r="K575" s="1"/>
  <c r="L575" s="1"/>
  <c r="K2690"/>
  <c r="I2691"/>
  <c r="K2691" s="1"/>
  <c r="K3138"/>
  <c r="K3141" s="1"/>
  <c r="I583"/>
  <c r="K583" s="1"/>
  <c r="L583" s="1"/>
  <c r="I559"/>
  <c r="K559" s="1"/>
  <c r="L559" s="1"/>
  <c r="K3058"/>
  <c r="K3061" s="1"/>
  <c r="I562" s="1"/>
  <c r="K562" s="1"/>
  <c r="L562" s="1"/>
  <c r="J1486" i="18"/>
  <c r="L2281"/>
  <c r="J1561"/>
  <c r="L1561" s="1"/>
  <c r="J1576"/>
  <c r="K3052" i="7"/>
  <c r="K3055" s="1"/>
  <c r="I557"/>
  <c r="K557" s="1"/>
  <c r="L557" s="1"/>
  <c r="I585"/>
  <c r="K585" s="1"/>
  <c r="L585" s="1"/>
  <c r="K3144"/>
  <c r="K3147" s="1"/>
  <c r="I588" s="1"/>
  <c r="K588" s="1"/>
  <c r="L588" s="1"/>
  <c r="J1426" i="18"/>
  <c r="K3181" i="7"/>
  <c r="K3184" s="1"/>
  <c r="I596"/>
  <c r="K596" s="1"/>
  <c r="L596" s="1"/>
  <c r="J2328" i="18"/>
  <c r="L2328" s="1"/>
  <c r="J2418"/>
  <c r="L2418" s="1"/>
  <c r="L2131"/>
  <c r="J2191"/>
  <c r="K3176" i="7"/>
  <c r="K3179" s="1"/>
  <c r="I595"/>
  <c r="K595" s="1"/>
  <c r="L595" s="1"/>
  <c r="O2862"/>
  <c r="L2161" i="18"/>
  <c r="J2358"/>
  <c r="L2358" s="1"/>
  <c r="K6283" i="7"/>
  <c r="K6285" s="1"/>
  <c r="I998" s="1"/>
  <c r="K998" s="1"/>
  <c r="L998" s="1"/>
  <c r="I997"/>
  <c r="K997" s="1"/>
  <c r="L997" s="1"/>
  <c r="K6437"/>
  <c r="K6439" s="1"/>
  <c r="I1018" s="1"/>
  <c r="K1018" s="1"/>
  <c r="L1018" s="1"/>
  <c r="I1017"/>
  <c r="K1017" s="1"/>
  <c r="L1017" s="1"/>
  <c r="K6338"/>
  <c r="I612"/>
  <c r="K612" s="1"/>
  <c r="L612" s="1"/>
  <c r="K3235"/>
  <c r="K3238" s="1"/>
  <c r="I615" s="1"/>
  <c r="K615" s="1"/>
  <c r="L615" s="1"/>
  <c r="I611"/>
  <c r="K611" s="1"/>
  <c r="L611" s="1"/>
  <c r="K3230"/>
  <c r="K3233" s="1"/>
  <c r="I614" s="1"/>
  <c r="K614" s="1"/>
  <c r="L614" s="1"/>
  <c r="I494"/>
  <c r="K494" s="1"/>
  <c r="L494" s="1"/>
  <c r="K2870"/>
  <c r="I508"/>
  <c r="K508" s="1"/>
  <c r="L508" s="1"/>
  <c r="I527"/>
  <c r="K527" s="1"/>
  <c r="L527" s="1"/>
  <c r="K2950"/>
  <c r="K2953" s="1"/>
  <c r="K2907"/>
  <c r="O2867"/>
  <c r="O2875" s="1"/>
  <c r="K2827"/>
  <c r="A608" i="18"/>
  <c r="A1268" i="44"/>
  <c r="A311"/>
  <c r="H173"/>
  <c r="A172"/>
  <c r="K3742"/>
  <c r="K3744" s="1"/>
  <c r="I651" s="1"/>
  <c r="K651" s="1"/>
  <c r="L651" s="1"/>
  <c r="I650"/>
  <c r="K650" s="1"/>
  <c r="L650" s="1"/>
  <c r="J3818"/>
  <c r="K3818" s="1"/>
  <c r="K3819" s="1"/>
  <c r="K3825" s="1"/>
  <c r="J3801"/>
  <c r="K3801" s="1"/>
  <c r="K3802" s="1"/>
  <c r="K3808" s="1"/>
  <c r="K3809" s="1"/>
  <c r="O93"/>
  <c r="J3939"/>
  <c r="K3939" s="1"/>
  <c r="K3941" s="1"/>
  <c r="O90"/>
  <c r="K3672"/>
  <c r="K3674" s="1"/>
  <c r="I639" s="1"/>
  <c r="K639" s="1"/>
  <c r="L639" s="1"/>
  <c r="I638"/>
  <c r="K638" s="1"/>
  <c r="L638" s="1"/>
  <c r="K96"/>
  <c r="L96" s="1"/>
  <c r="X96"/>
  <c r="K94"/>
  <c r="L94" s="1"/>
  <c r="X94"/>
  <c r="K3794"/>
  <c r="K3796" s="1"/>
  <c r="I660" s="1"/>
  <c r="K660" s="1"/>
  <c r="L660" s="1"/>
  <c r="I659"/>
  <c r="K659" s="1"/>
  <c r="L659" s="1"/>
  <c r="K92"/>
  <c r="X92"/>
  <c r="K3588"/>
  <c r="K3590" s="1"/>
  <c r="I619" s="1"/>
  <c r="K619" s="1"/>
  <c r="L619" s="1"/>
  <c r="K3586"/>
  <c r="I618" s="1"/>
  <c r="K618" s="1"/>
  <c r="L618" s="1"/>
  <c r="K3582"/>
  <c r="K3584" s="1"/>
  <c r="I616" s="1"/>
  <c r="K616" s="1"/>
  <c r="L616" s="1"/>
  <c r="I615"/>
  <c r="K615" s="1"/>
  <c r="L615" s="1"/>
  <c r="X91"/>
  <c r="K91"/>
  <c r="L91" s="1"/>
  <c r="O91" s="1"/>
  <c r="U388" i="37"/>
  <c r="V387"/>
  <c r="W387" s="1"/>
  <c r="Y387" s="1"/>
  <c r="V224"/>
  <c r="W224" s="1"/>
  <c r="Y224" s="1"/>
  <c r="U225"/>
  <c r="V331"/>
  <c r="W331" s="1"/>
  <c r="Y331" s="1"/>
  <c r="U332"/>
  <c r="I94" i="7"/>
  <c r="A173"/>
  <c r="H174"/>
  <c r="A1703"/>
  <c r="A365"/>
  <c r="K92"/>
  <c r="L92" s="1"/>
  <c r="X92"/>
  <c r="J5915"/>
  <c r="K5915" s="1"/>
  <c r="K5920" s="1"/>
  <c r="K5922" s="1"/>
  <c r="K5923" s="1"/>
  <c r="K5930" s="1"/>
  <c r="K5934" s="1"/>
  <c r="O91"/>
  <c r="J2882" i="18" l="1"/>
  <c r="L2882" s="1"/>
  <c r="J1456"/>
  <c r="L1456" s="1"/>
  <c r="J1835"/>
  <c r="L1835" s="1"/>
  <c r="K2956" i="7"/>
  <c r="K2967" s="1"/>
  <c r="K2978" s="1"/>
  <c r="K2947"/>
  <c r="I6339"/>
  <c r="I5990"/>
  <c r="K3106"/>
  <c r="K3109" s="1"/>
  <c r="I576" s="1"/>
  <c r="K576" s="1"/>
  <c r="L576" s="1"/>
  <c r="J1653" i="18"/>
  <c r="L1653" s="1"/>
  <c r="H3266" i="7"/>
  <c r="H3273"/>
  <c r="K3258"/>
  <c r="K3259" s="1"/>
  <c r="I3264"/>
  <c r="K2871"/>
  <c r="K2872" s="1"/>
  <c r="K2874"/>
  <c r="K2828"/>
  <c r="K2829" s="1"/>
  <c r="K2831"/>
  <c r="K3004"/>
  <c r="K3007" s="1"/>
  <c r="I543"/>
  <c r="K543" s="1"/>
  <c r="L543" s="1"/>
  <c r="J2251" i="18"/>
  <c r="L2251" s="1"/>
  <c r="J2146"/>
  <c r="J2236"/>
  <c r="L2236" s="1"/>
  <c r="J2101"/>
  <c r="I541" i="7"/>
  <c r="K541" s="1"/>
  <c r="L541" s="1"/>
  <c r="G160" i="106" s="1"/>
  <c r="O160" s="1"/>
  <c r="K2998" i="7"/>
  <c r="K3001" s="1"/>
  <c r="O2783"/>
  <c r="K2692"/>
  <c r="J2677" i="18"/>
  <c r="L2677" s="1"/>
  <c r="J2540"/>
  <c r="L2540" s="1"/>
  <c r="L1576"/>
  <c r="J2388"/>
  <c r="L2388" s="1"/>
  <c r="I598" i="7"/>
  <c r="K598" s="1"/>
  <c r="L598" s="1"/>
  <c r="K3187"/>
  <c r="K3190" s="1"/>
  <c r="I601" s="1"/>
  <c r="K601" s="1"/>
  <c r="L601" s="1"/>
  <c r="L1426" i="18"/>
  <c r="L2191"/>
  <c r="J2602"/>
  <c r="L2602" s="1"/>
  <c r="L1486"/>
  <c r="K3192" i="7"/>
  <c r="K3195" s="1"/>
  <c r="I602" s="1"/>
  <c r="K602" s="1"/>
  <c r="L602" s="1"/>
  <c r="I599"/>
  <c r="K599" s="1"/>
  <c r="L599" s="1"/>
  <c r="J2465" i="18"/>
  <c r="J2692"/>
  <c r="L2692" s="1"/>
  <c r="J1683"/>
  <c r="L1683" s="1"/>
  <c r="J1713"/>
  <c r="L1713" s="1"/>
  <c r="J2555"/>
  <c r="L2555" s="1"/>
  <c r="I560" i="7"/>
  <c r="K560" s="1"/>
  <c r="L560" s="1"/>
  <c r="K3063"/>
  <c r="K3066" s="1"/>
  <c r="I563" s="1"/>
  <c r="K563" s="1"/>
  <c r="L563" s="1"/>
  <c r="J1623" i="18"/>
  <c r="L1623" s="1"/>
  <c r="K3149" i="7"/>
  <c r="K3152" s="1"/>
  <c r="I589" s="1"/>
  <c r="K589" s="1"/>
  <c r="L589" s="1"/>
  <c r="I586"/>
  <c r="K586" s="1"/>
  <c r="L586" s="1"/>
  <c r="N43" i="13"/>
  <c r="N44"/>
  <c r="J1790" i="18"/>
  <c r="J5388"/>
  <c r="L5388" s="1"/>
  <c r="J1927"/>
  <c r="L1927" s="1"/>
  <c r="J5264"/>
  <c r="L5264" s="1"/>
  <c r="J2791"/>
  <c r="L2791" s="1"/>
  <c r="J2495"/>
  <c r="L2495" s="1"/>
  <c r="J5256"/>
  <c r="L5256" s="1"/>
  <c r="J2176"/>
  <c r="L2176" s="1"/>
  <c r="J2116"/>
  <c r="J2632"/>
  <c r="L2632" s="1"/>
  <c r="J5396"/>
  <c r="L5396" s="1"/>
  <c r="K6345" i="7"/>
  <c r="O2746"/>
  <c r="I495"/>
  <c r="K495" s="1"/>
  <c r="L495" s="1"/>
  <c r="I530"/>
  <c r="K530" s="1"/>
  <c r="L530" s="1"/>
  <c r="K2961"/>
  <c r="R2961" s="1"/>
  <c r="O2907"/>
  <c r="K2908"/>
  <c r="O2827"/>
  <c r="F8" i="56"/>
  <c r="H9"/>
  <c r="F9"/>
  <c r="H10"/>
  <c r="F10"/>
  <c r="A641" i="18"/>
  <c r="J3391" i="44"/>
  <c r="K3391" s="1"/>
  <c r="K3392" s="1"/>
  <c r="I588" s="1"/>
  <c r="K588" s="1"/>
  <c r="L588" s="1"/>
  <c r="O96"/>
  <c r="K3943"/>
  <c r="K3945" s="1"/>
  <c r="I687" s="1"/>
  <c r="K687" s="1"/>
  <c r="L687" s="1"/>
  <c r="I686"/>
  <c r="K686" s="1"/>
  <c r="L686" s="1"/>
  <c r="A1279"/>
  <c r="A312"/>
  <c r="K3826"/>
  <c r="K3834"/>
  <c r="K3836" s="1"/>
  <c r="K3837" s="1"/>
  <c r="H174"/>
  <c r="A173"/>
  <c r="J2657"/>
  <c r="K2657" s="1"/>
  <c r="K2659" s="1"/>
  <c r="K2660" s="1"/>
  <c r="K2661" s="1"/>
  <c r="J2857"/>
  <c r="K2857" s="1"/>
  <c r="K2858" s="1"/>
  <c r="K2859" s="1"/>
  <c r="K2860" s="1"/>
  <c r="J2819"/>
  <c r="K2819" s="1"/>
  <c r="K2820" s="1"/>
  <c r="K2821" s="1"/>
  <c r="K2822" s="1"/>
  <c r="L92"/>
  <c r="O92" s="1"/>
  <c r="J3403"/>
  <c r="K3403" s="1"/>
  <c r="K3404" s="1"/>
  <c r="I589" s="1"/>
  <c r="K589" s="1"/>
  <c r="L589" s="1"/>
  <c r="O94"/>
  <c r="K3811"/>
  <c r="K3813" s="1"/>
  <c r="I663" s="1"/>
  <c r="K663" s="1"/>
  <c r="L663" s="1"/>
  <c r="I662"/>
  <c r="K662" s="1"/>
  <c r="L662" s="1"/>
  <c r="U389" i="37"/>
  <c r="V388"/>
  <c r="W388" s="1"/>
  <c r="Y388" s="1"/>
  <c r="V332"/>
  <c r="W332" s="1"/>
  <c r="Y332" s="1"/>
  <c r="U333"/>
  <c r="V225"/>
  <c r="W225" s="1"/>
  <c r="Y225" s="1"/>
  <c r="U226"/>
  <c r="I98" i="7"/>
  <c r="I95"/>
  <c r="K93"/>
  <c r="X93"/>
  <c r="A1725"/>
  <c r="A370"/>
  <c r="K5925"/>
  <c r="K5927" s="1"/>
  <c r="I945"/>
  <c r="K945" s="1"/>
  <c r="L945" s="1"/>
  <c r="J5880"/>
  <c r="K5880" s="1"/>
  <c r="J5837"/>
  <c r="K5837" s="1"/>
  <c r="O92"/>
  <c r="A174"/>
  <c r="H175"/>
  <c r="G14" i="110" l="1"/>
  <c r="J1972" i="18"/>
  <c r="L1972" s="1"/>
  <c r="K2955" i="7"/>
  <c r="K2958" s="1"/>
  <c r="I528"/>
  <c r="K528" s="1"/>
  <c r="L528" s="1"/>
  <c r="G173" i="106" s="1"/>
  <c r="O173" s="1"/>
  <c r="I6340" i="7"/>
  <c r="I5991"/>
  <c r="K5838"/>
  <c r="I5839" s="1"/>
  <c r="K3264"/>
  <c r="I3272" s="1"/>
  <c r="K3263"/>
  <c r="K3260"/>
  <c r="K3261" s="1"/>
  <c r="H3274"/>
  <c r="H3281"/>
  <c r="H3282" s="1"/>
  <c r="H3472" s="1"/>
  <c r="J1531" i="18"/>
  <c r="L1531" s="1"/>
  <c r="J1395"/>
  <c r="J1546"/>
  <c r="L1546" s="1"/>
  <c r="J1441"/>
  <c r="L2101"/>
  <c r="L2146"/>
  <c r="K2787" i="7"/>
  <c r="I499"/>
  <c r="K499" s="1"/>
  <c r="L499" s="1"/>
  <c r="J2343" i="18"/>
  <c r="L2343" s="1"/>
  <c r="J2298"/>
  <c r="L2298" s="1"/>
  <c r="I544" i="7"/>
  <c r="K544" s="1"/>
  <c r="L544" s="1"/>
  <c r="K3009"/>
  <c r="K3012" s="1"/>
  <c r="I546"/>
  <c r="K546" s="1"/>
  <c r="L546" s="1"/>
  <c r="K3015"/>
  <c r="K3018" s="1"/>
  <c r="I549" s="1"/>
  <c r="K549" s="1"/>
  <c r="L549" s="1"/>
  <c r="K2696"/>
  <c r="K2700" s="1"/>
  <c r="O2700" s="1"/>
  <c r="O2692"/>
  <c r="K2693"/>
  <c r="K2694" s="1"/>
  <c r="I489" s="1"/>
  <c r="K489" s="1"/>
  <c r="L489" s="1"/>
  <c r="J2662" i="18"/>
  <c r="L2662" s="1"/>
  <c r="J1987"/>
  <c r="L1987" s="1"/>
  <c r="J2525"/>
  <c r="L2525" s="1"/>
  <c r="J1820"/>
  <c r="L1820" s="1"/>
  <c r="J1897"/>
  <c r="L1897" s="1"/>
  <c r="J1957"/>
  <c r="L1957" s="1"/>
  <c r="J1760"/>
  <c r="L1760" s="1"/>
  <c r="J1850"/>
  <c r="L1850" s="1"/>
  <c r="L2116"/>
  <c r="I43" i="13"/>
  <c r="K43" s="1"/>
  <c r="G28" i="35"/>
  <c r="I44" i="13"/>
  <c r="M44" s="1"/>
  <c r="J2799" i="18"/>
  <c r="L2799" s="1"/>
  <c r="L2465"/>
  <c r="J2313"/>
  <c r="L2313" s="1"/>
  <c r="J2373"/>
  <c r="L2373" s="1"/>
  <c r="I946" i="7"/>
  <c r="K946" s="1"/>
  <c r="L946" s="1"/>
  <c r="K5929"/>
  <c r="K5931" s="1"/>
  <c r="I514"/>
  <c r="K514" s="1"/>
  <c r="L514" s="1"/>
  <c r="K2910"/>
  <c r="K2912" s="1"/>
  <c r="I504"/>
  <c r="K504" s="1"/>
  <c r="L504" s="1"/>
  <c r="K2835"/>
  <c r="K2836" s="1"/>
  <c r="K2837" s="1"/>
  <c r="K2964"/>
  <c r="O2870"/>
  <c r="H8" i="56"/>
  <c r="L93" i="7"/>
  <c r="J6296" s="1"/>
  <c r="K6296" s="1"/>
  <c r="K6298" s="1"/>
  <c r="I6299" s="1"/>
  <c r="K5485"/>
  <c r="K5487" s="1"/>
  <c r="K5488" s="1"/>
  <c r="K5489" s="1"/>
  <c r="K5490" s="1"/>
  <c r="I877" s="1"/>
  <c r="K877" s="1"/>
  <c r="L877" s="1"/>
  <c r="A674" i="18"/>
  <c r="K2829" i="44"/>
  <c r="K2832" s="1"/>
  <c r="K2824"/>
  <c r="K2826" s="1"/>
  <c r="I550" s="1"/>
  <c r="K550" s="1"/>
  <c r="L550" s="1"/>
  <c r="I548"/>
  <c r="K548" s="1"/>
  <c r="L548" s="1"/>
  <c r="A174"/>
  <c r="H175"/>
  <c r="A1289"/>
  <c r="A315"/>
  <c r="K2711"/>
  <c r="K2717" s="1"/>
  <c r="K2671"/>
  <c r="K2674" s="1"/>
  <c r="K2664"/>
  <c r="K2681"/>
  <c r="K3828"/>
  <c r="K3830" s="1"/>
  <c r="I666" s="1"/>
  <c r="K666" s="1"/>
  <c r="L666" s="1"/>
  <c r="I665"/>
  <c r="K665" s="1"/>
  <c r="L665" s="1"/>
  <c r="K2867"/>
  <c r="K2870" s="1"/>
  <c r="K2862"/>
  <c r="K2864" s="1"/>
  <c r="I555" s="1"/>
  <c r="K555" s="1"/>
  <c r="L555" s="1"/>
  <c r="I553"/>
  <c r="K553" s="1"/>
  <c r="L553" s="1"/>
  <c r="K3839"/>
  <c r="K3841" s="1"/>
  <c r="I668"/>
  <c r="K668" s="1"/>
  <c r="L668" s="1"/>
  <c r="J4908" i="18"/>
  <c r="L4908" s="1"/>
  <c r="V333" i="37"/>
  <c r="W333" s="1"/>
  <c r="Y333" s="1"/>
  <c r="U334"/>
  <c r="U390"/>
  <c r="V389"/>
  <c r="W389" s="1"/>
  <c r="Y389" s="1"/>
  <c r="V226"/>
  <c r="W226" s="1"/>
  <c r="Y226" s="1"/>
  <c r="U227"/>
  <c r="A1750" i="7"/>
  <c r="A375"/>
  <c r="K94"/>
  <c r="L94" s="1"/>
  <c r="X94"/>
  <c r="I100"/>
  <c r="A175"/>
  <c r="H176"/>
  <c r="I96"/>
  <c r="I99"/>
  <c r="J4916" i="18" l="1"/>
  <c r="L4916" s="1"/>
  <c r="J1471"/>
  <c r="L1471" s="1"/>
  <c r="J1411"/>
  <c r="I531" i="7"/>
  <c r="K531" s="1"/>
  <c r="L531" s="1"/>
  <c r="K2966"/>
  <c r="K2969" s="1"/>
  <c r="I6300"/>
  <c r="I5840"/>
  <c r="K3267"/>
  <c r="K3271" s="1"/>
  <c r="H3473"/>
  <c r="K3472"/>
  <c r="I617"/>
  <c r="K617" s="1"/>
  <c r="L617" s="1"/>
  <c r="G194" i="106" s="1"/>
  <c r="O194" s="1"/>
  <c r="O3261" i="7"/>
  <c r="K3272"/>
  <c r="I3273" s="1"/>
  <c r="I3265"/>
  <c r="O3264"/>
  <c r="K2701"/>
  <c r="K2702" s="1"/>
  <c r="I490" s="1"/>
  <c r="K490" s="1"/>
  <c r="L490" s="1"/>
  <c r="K2791"/>
  <c r="K2792" s="1"/>
  <c r="K2793" s="1"/>
  <c r="I500" s="1"/>
  <c r="K500" s="1"/>
  <c r="L500" s="1"/>
  <c r="J2758" i="18"/>
  <c r="L2758" s="1"/>
  <c r="J2572"/>
  <c r="L2572" s="1"/>
  <c r="J2617"/>
  <c r="L2617" s="1"/>
  <c r="J2480"/>
  <c r="L2480" s="1"/>
  <c r="J2435"/>
  <c r="L2435" s="1"/>
  <c r="L1441"/>
  <c r="J2824"/>
  <c r="L2824" s="1"/>
  <c r="I547" i="7"/>
  <c r="K547" s="1"/>
  <c r="L547" s="1"/>
  <c r="K3020"/>
  <c r="K3023" s="1"/>
  <c r="I550" s="1"/>
  <c r="K550" s="1"/>
  <c r="L550" s="1"/>
  <c r="J1638" i="18"/>
  <c r="L1638" s="1"/>
  <c r="J1593"/>
  <c r="L1593" s="1"/>
  <c r="L1395"/>
  <c r="K44" i="13"/>
  <c r="M43"/>
  <c r="D4" i="61"/>
  <c r="D5" s="1"/>
  <c r="G8" i="43"/>
  <c r="G8" i="35"/>
  <c r="J4" i="61" s="1"/>
  <c r="J2923" i="18"/>
  <c r="L2923" s="1"/>
  <c r="J2857"/>
  <c r="L2857" s="1"/>
  <c r="L1790"/>
  <c r="K5933" i="7"/>
  <c r="K5935" s="1"/>
  <c r="I948" s="1"/>
  <c r="K948" s="1"/>
  <c r="L948" s="1"/>
  <c r="I947"/>
  <c r="K947" s="1"/>
  <c r="L947" s="1"/>
  <c r="I533"/>
  <c r="K533" s="1"/>
  <c r="L533" s="1"/>
  <c r="K2972"/>
  <c r="O2912"/>
  <c r="K2913"/>
  <c r="I515" s="1"/>
  <c r="K515" s="1"/>
  <c r="L515" s="1"/>
  <c r="I509"/>
  <c r="K509" s="1"/>
  <c r="L509" s="1"/>
  <c r="K2878"/>
  <c r="K2879" s="1"/>
  <c r="K2880" s="1"/>
  <c r="O2835"/>
  <c r="I505"/>
  <c r="K505" s="1"/>
  <c r="L505" s="1"/>
  <c r="F11" i="56"/>
  <c r="O93" i="7"/>
  <c r="J6381"/>
  <c r="K6381" s="1"/>
  <c r="A707" i="18"/>
  <c r="K3842" i="44"/>
  <c r="I669"/>
  <c r="K669" s="1"/>
  <c r="L669" s="1"/>
  <c r="K2676"/>
  <c r="K2678" s="1"/>
  <c r="I515" s="1"/>
  <c r="K515" s="1"/>
  <c r="L515" s="1"/>
  <c r="I514"/>
  <c r="K514" s="1"/>
  <c r="L514" s="1"/>
  <c r="A175"/>
  <c r="H176"/>
  <c r="K2834"/>
  <c r="K2836" s="1"/>
  <c r="I551" s="1"/>
  <c r="K551" s="1"/>
  <c r="L551" s="1"/>
  <c r="I549"/>
  <c r="K549" s="1"/>
  <c r="L549" s="1"/>
  <c r="K2872"/>
  <c r="K2874" s="1"/>
  <c r="I556" s="1"/>
  <c r="K556" s="1"/>
  <c r="L556" s="1"/>
  <c r="I554"/>
  <c r="K554" s="1"/>
  <c r="L554" s="1"/>
  <c r="K2666"/>
  <c r="K2668" s="1"/>
  <c r="I512" s="1"/>
  <c r="K512" s="1"/>
  <c r="L512" s="1"/>
  <c r="I511"/>
  <c r="K511" s="1"/>
  <c r="L511" s="1"/>
  <c r="K2691"/>
  <c r="K2684"/>
  <c r="A1300"/>
  <c r="A316"/>
  <c r="K2719"/>
  <c r="K2721" s="1"/>
  <c r="I527" s="1"/>
  <c r="K527" s="1"/>
  <c r="L527" s="1"/>
  <c r="I526"/>
  <c r="K526" s="1"/>
  <c r="L526" s="1"/>
  <c r="V227" i="37"/>
  <c r="W227" s="1"/>
  <c r="Y227" s="1"/>
  <c r="U228"/>
  <c r="V334"/>
  <c r="W334" s="1"/>
  <c r="Y334" s="1"/>
  <c r="U335"/>
  <c r="U391"/>
  <c r="V390"/>
  <c r="W390" s="1"/>
  <c r="Y390" s="1"/>
  <c r="A1772" i="7"/>
  <c r="A381"/>
  <c r="A176"/>
  <c r="H177"/>
  <c r="J5879"/>
  <c r="K5879" s="1"/>
  <c r="K5881" s="1"/>
  <c r="I5882" s="1"/>
  <c r="J6158"/>
  <c r="K6158" s="1"/>
  <c r="K6159" s="1"/>
  <c r="I6160" s="1"/>
  <c r="J5630"/>
  <c r="K5630" s="1"/>
  <c r="J6030"/>
  <c r="K6030" s="1"/>
  <c r="K6032" s="1"/>
  <c r="I6033" s="1"/>
  <c r="O94"/>
  <c r="K98"/>
  <c r="L98" s="1"/>
  <c r="X98"/>
  <c r="I101"/>
  <c r="I97"/>
  <c r="K100"/>
  <c r="L100" s="1"/>
  <c r="O100" s="1"/>
  <c r="X100"/>
  <c r="K95"/>
  <c r="L95" s="1"/>
  <c r="X95"/>
  <c r="J2766" i="18" l="1"/>
  <c r="L2766" s="1"/>
  <c r="K2977" i="7"/>
  <c r="K2980" s="1"/>
  <c r="I537" s="1"/>
  <c r="K537" s="1"/>
  <c r="L537" s="1"/>
  <c r="I534"/>
  <c r="K534" s="1"/>
  <c r="L534" s="1"/>
  <c r="J1668" i="18"/>
  <c r="L1668" s="1"/>
  <c r="J1608"/>
  <c r="L1608" s="1"/>
  <c r="L1411"/>
  <c r="K3268" i="7"/>
  <c r="K3269" s="1"/>
  <c r="I618" s="1"/>
  <c r="K618" s="1"/>
  <c r="L618" s="1"/>
  <c r="I6161"/>
  <c r="I6034"/>
  <c r="I5883"/>
  <c r="K5631"/>
  <c r="I5632" s="1"/>
  <c r="O3272"/>
  <c r="O2791"/>
  <c r="I3280"/>
  <c r="K3280" s="1"/>
  <c r="I3281" s="1"/>
  <c r="I3282" s="1"/>
  <c r="K3282" s="1"/>
  <c r="K3473"/>
  <c r="K3474" s="1"/>
  <c r="K3479" s="1"/>
  <c r="H3485"/>
  <c r="K3275"/>
  <c r="I3266"/>
  <c r="K3266" s="1"/>
  <c r="K3265"/>
  <c r="I3274"/>
  <c r="K3274" s="1"/>
  <c r="K3273"/>
  <c r="J2960" i="18"/>
  <c r="J1775"/>
  <c r="L1775" s="1"/>
  <c r="J1730"/>
  <c r="L1730" s="1"/>
  <c r="J1867"/>
  <c r="L1867" s="1"/>
  <c r="J1912"/>
  <c r="L1912" s="1"/>
  <c r="J2832"/>
  <c r="L2832" s="1"/>
  <c r="E4" i="61"/>
  <c r="J2450" i="18"/>
  <c r="L2450" s="1"/>
  <c r="J2510"/>
  <c r="L2510" s="1"/>
  <c r="J4932"/>
  <c r="L4932" s="1"/>
  <c r="J4924"/>
  <c r="L4924" s="1"/>
  <c r="J2865"/>
  <c r="L2865" s="1"/>
  <c r="J2931"/>
  <c r="L2931" s="1"/>
  <c r="J2890"/>
  <c r="L2890" s="1"/>
  <c r="K6382" i="7"/>
  <c r="K2975"/>
  <c r="I536" s="1"/>
  <c r="K536" s="1"/>
  <c r="L536" s="1"/>
  <c r="R2972"/>
  <c r="O2878"/>
  <c r="I510"/>
  <c r="K510" s="1"/>
  <c r="L510" s="1"/>
  <c r="F12" i="56"/>
  <c r="H12"/>
  <c r="H11"/>
  <c r="K2701" i="44"/>
  <c r="K2704" s="1"/>
  <c r="K2694"/>
  <c r="K2686"/>
  <c r="K2688" s="1"/>
  <c r="I518" s="1"/>
  <c r="K518" s="1"/>
  <c r="L518" s="1"/>
  <c r="I517"/>
  <c r="K517" s="1"/>
  <c r="L517" s="1"/>
  <c r="H177"/>
  <c r="A176"/>
  <c r="A1310"/>
  <c r="A319"/>
  <c r="V335" i="37"/>
  <c r="W335" s="1"/>
  <c r="Y335" s="1"/>
  <c r="U336"/>
  <c r="U392"/>
  <c r="V391"/>
  <c r="W391" s="1"/>
  <c r="Y391" s="1"/>
  <c r="V228"/>
  <c r="W228" s="1"/>
  <c r="Y228" s="1"/>
  <c r="U229"/>
  <c r="A177" i="7"/>
  <c r="H178"/>
  <c r="K101"/>
  <c r="L101" s="1"/>
  <c r="X101"/>
  <c r="K96"/>
  <c r="L96" s="1"/>
  <c r="O96" s="1"/>
  <c r="X96"/>
  <c r="K99"/>
  <c r="L99" s="1"/>
  <c r="X99"/>
  <c r="J6450"/>
  <c r="K6450" s="1"/>
  <c r="K6452" s="1"/>
  <c r="O95"/>
  <c r="K97"/>
  <c r="X97"/>
  <c r="J6193"/>
  <c r="K6193" s="1"/>
  <c r="K6194" s="1"/>
  <c r="K6200" s="1"/>
  <c r="K6201" s="1"/>
  <c r="J6218"/>
  <c r="K6218" s="1"/>
  <c r="K6219" s="1"/>
  <c r="K6225" s="1"/>
  <c r="O98"/>
  <c r="A1800"/>
  <c r="A382"/>
  <c r="O3269" l="1"/>
  <c r="J1805" i="18"/>
  <c r="L1805" s="1"/>
  <c r="J1745"/>
  <c r="L1745" s="1"/>
  <c r="J1942"/>
  <c r="L1942" s="1"/>
  <c r="J1882"/>
  <c r="L1882" s="1"/>
  <c r="K6389" i="7"/>
  <c r="I6383"/>
  <c r="I5633"/>
  <c r="K3509"/>
  <c r="K3507"/>
  <c r="K3281"/>
  <c r="H3493"/>
  <c r="H3486"/>
  <c r="K3486" s="1"/>
  <c r="K3485"/>
  <c r="O3280"/>
  <c r="K3483"/>
  <c r="K3480"/>
  <c r="K3481" s="1"/>
  <c r="L2960" i="18"/>
  <c r="K3276" i="7"/>
  <c r="K3277" s="1"/>
  <c r="K3279"/>
  <c r="K3283" s="1"/>
  <c r="K3284" s="1"/>
  <c r="K3285" s="1"/>
  <c r="J2971" i="18"/>
  <c r="L2971" s="1"/>
  <c r="J2587"/>
  <c r="L2587" s="1"/>
  <c r="J2647"/>
  <c r="L2647" s="1"/>
  <c r="J2898"/>
  <c r="L2898" s="1"/>
  <c r="F13" i="56"/>
  <c r="H14"/>
  <c r="F14"/>
  <c r="A752" i="18"/>
  <c r="H178" i="44"/>
  <c r="A177"/>
  <c r="K2706"/>
  <c r="K2708" s="1"/>
  <c r="I524" s="1"/>
  <c r="K524" s="1"/>
  <c r="L524" s="1"/>
  <c r="I523"/>
  <c r="K523" s="1"/>
  <c r="L523" s="1"/>
  <c r="K2696"/>
  <c r="K2698" s="1"/>
  <c r="I521" s="1"/>
  <c r="K521" s="1"/>
  <c r="L521" s="1"/>
  <c r="I520"/>
  <c r="K520" s="1"/>
  <c r="L520" s="1"/>
  <c r="A1321"/>
  <c r="A320"/>
  <c r="V229" i="37"/>
  <c r="W229" s="1"/>
  <c r="Y229" s="1"/>
  <c r="U230"/>
  <c r="V336"/>
  <c r="W336" s="1"/>
  <c r="Y336" s="1"/>
  <c r="U337"/>
  <c r="U393"/>
  <c r="V392"/>
  <c r="W392" s="1"/>
  <c r="Y392" s="1"/>
  <c r="K6454" i="7"/>
  <c r="K6456" s="1"/>
  <c r="I1020"/>
  <c r="K1020" s="1"/>
  <c r="L1020" s="1"/>
  <c r="K6203"/>
  <c r="K6205" s="1"/>
  <c r="I980"/>
  <c r="K980" s="1"/>
  <c r="L980" s="1"/>
  <c r="J5282"/>
  <c r="K5282" s="1"/>
  <c r="K5283" s="1"/>
  <c r="I867" s="1"/>
  <c r="K867" s="1"/>
  <c r="L867" s="1"/>
  <c r="O101"/>
  <c r="J4731"/>
  <c r="K4731" s="1"/>
  <c r="J4677"/>
  <c r="K4677" s="1"/>
  <c r="J4236"/>
  <c r="K4236" s="1"/>
  <c r="K4238" s="1"/>
  <c r="L97"/>
  <c r="O97" s="1"/>
  <c r="J5294"/>
  <c r="K5294" s="1"/>
  <c r="K5295" s="1"/>
  <c r="I868" s="1"/>
  <c r="K868" s="1"/>
  <c r="L868" s="1"/>
  <c r="O99"/>
  <c r="K6226"/>
  <c r="K6242"/>
  <c r="K6244" s="1"/>
  <c r="K6245" s="1"/>
  <c r="A1815"/>
  <c r="A385"/>
  <c r="A178"/>
  <c r="H179"/>
  <c r="I6384" l="1"/>
  <c r="K3487"/>
  <c r="K3488" s="1"/>
  <c r="K3489" s="1"/>
  <c r="H3494"/>
  <c r="K3493"/>
  <c r="O3481"/>
  <c r="I644"/>
  <c r="K644" s="1"/>
  <c r="L644" s="1"/>
  <c r="G247" i="106" s="1"/>
  <c r="O247" s="1"/>
  <c r="I619" i="7"/>
  <c r="K619" s="1"/>
  <c r="L619" s="1"/>
  <c r="O3277"/>
  <c r="I620"/>
  <c r="K620" s="1"/>
  <c r="L620" s="1"/>
  <c r="O3285"/>
  <c r="N37" i="13"/>
  <c r="E84" i="23"/>
  <c r="N33" i="13"/>
  <c r="I33"/>
  <c r="I1021" i="7"/>
  <c r="K1021" s="1"/>
  <c r="L1021" s="1"/>
  <c r="K6458"/>
  <c r="K6460" s="1"/>
  <c r="I981"/>
  <c r="K981" s="1"/>
  <c r="L981" s="1"/>
  <c r="K6207"/>
  <c r="K6209" s="1"/>
  <c r="K4732"/>
  <c r="K4733" s="1"/>
  <c r="K4734" s="1"/>
  <c r="K4749" s="1"/>
  <c r="K4678"/>
  <c r="K4679" s="1"/>
  <c r="K4680" s="1"/>
  <c r="I819" s="1"/>
  <c r="K819" s="1"/>
  <c r="L819" s="1"/>
  <c r="H13" i="56"/>
  <c r="A769" i="18"/>
  <c r="J4504"/>
  <c r="L4504" s="1"/>
  <c r="J5405"/>
  <c r="L5405" s="1"/>
  <c r="J4512"/>
  <c r="L4512" s="1"/>
  <c r="J5141"/>
  <c r="L5141" s="1"/>
  <c r="A1331" i="44"/>
  <c r="A323"/>
  <c r="A178"/>
  <c r="H179"/>
  <c r="U394" i="37"/>
  <c r="V393"/>
  <c r="W393" s="1"/>
  <c r="Y393" s="1"/>
  <c r="V230"/>
  <c r="W230" s="1"/>
  <c r="Y230" s="1"/>
  <c r="U231"/>
  <c r="V337"/>
  <c r="W337" s="1"/>
  <c r="Y337" s="1"/>
  <c r="U338"/>
  <c r="K6247" i="7"/>
  <c r="K6249" s="1"/>
  <c r="I990"/>
  <c r="K990" s="1"/>
  <c r="L990" s="1"/>
  <c r="A179"/>
  <c r="H180"/>
  <c r="K6228"/>
  <c r="K6253" s="1"/>
  <c r="K6258" s="1"/>
  <c r="I985"/>
  <c r="K985" s="1"/>
  <c r="L985" s="1"/>
  <c r="A1826"/>
  <c r="A386"/>
  <c r="J5149" i="18" l="1"/>
  <c r="L5149" s="1"/>
  <c r="K3491" i="7"/>
  <c r="H3501"/>
  <c r="H3511" s="1"/>
  <c r="K3494"/>
  <c r="O3489"/>
  <c r="I645"/>
  <c r="K645" s="1"/>
  <c r="L645" s="1"/>
  <c r="J3034" i="18"/>
  <c r="O3507" i="7"/>
  <c r="I649"/>
  <c r="K649" s="1"/>
  <c r="L649" s="1"/>
  <c r="J2993" i="18"/>
  <c r="L2993" s="1"/>
  <c r="J2982"/>
  <c r="L2982" s="1"/>
  <c r="I37" i="13"/>
  <c r="M37" s="1"/>
  <c r="E84" i="24"/>
  <c r="E81"/>
  <c r="N25" i="13"/>
  <c r="I25"/>
  <c r="M33"/>
  <c r="K33"/>
  <c r="J5413" i="18"/>
  <c r="L5413" s="1"/>
  <c r="K6211" i="7"/>
  <c r="K6213" s="1"/>
  <c r="I983" s="1"/>
  <c r="K983" s="1"/>
  <c r="L983" s="1"/>
  <c r="I982"/>
  <c r="K982" s="1"/>
  <c r="L982" s="1"/>
  <c r="K6462"/>
  <c r="K6464" s="1"/>
  <c r="I1023" s="1"/>
  <c r="K1023" s="1"/>
  <c r="L1023" s="1"/>
  <c r="I1022"/>
  <c r="K1022" s="1"/>
  <c r="L1022" s="1"/>
  <c r="K6230"/>
  <c r="I986" s="1"/>
  <c r="K986" s="1"/>
  <c r="L986" s="1"/>
  <c r="K4736"/>
  <c r="K4738" s="1"/>
  <c r="I830" s="1"/>
  <c r="K830" s="1"/>
  <c r="L830" s="1"/>
  <c r="K4752"/>
  <c r="K4754" s="1"/>
  <c r="K4756" s="1"/>
  <c r="I828"/>
  <c r="K828" s="1"/>
  <c r="L828" s="1"/>
  <c r="K4695"/>
  <c r="K4682"/>
  <c r="K4684" s="1"/>
  <c r="K4686" s="1"/>
  <c r="K4688" s="1"/>
  <c r="F16" i="56"/>
  <c r="H16"/>
  <c r="H15"/>
  <c r="F15"/>
  <c r="A777" i="18"/>
  <c r="J5174"/>
  <c r="L5174" s="1"/>
  <c r="J4181"/>
  <c r="L4181" s="1"/>
  <c r="J5207"/>
  <c r="L5207" s="1"/>
  <c r="A179" i="44"/>
  <c r="H180"/>
  <c r="A1342"/>
  <c r="A324"/>
  <c r="U395" i="37"/>
  <c r="V394"/>
  <c r="W394" s="1"/>
  <c r="Y394" s="1"/>
  <c r="V338"/>
  <c r="W338" s="1"/>
  <c r="Y338" s="1"/>
  <c r="U339"/>
  <c r="V231"/>
  <c r="W231" s="1"/>
  <c r="Y231" s="1"/>
  <c r="U232"/>
  <c r="K6250" i="7"/>
  <c r="K6252" s="1"/>
  <c r="I991"/>
  <c r="K991" s="1"/>
  <c r="L991" s="1"/>
  <c r="A1836"/>
  <c r="A389"/>
  <c r="A180"/>
  <c r="H181"/>
  <c r="J5182" i="18" l="1"/>
  <c r="L5182" s="1"/>
  <c r="K3495" i="7"/>
  <c r="K3499" s="1"/>
  <c r="H3512"/>
  <c r="K3511"/>
  <c r="J3042" i="18"/>
  <c r="L3042" s="1"/>
  <c r="H3502" i="7"/>
  <c r="K3502" s="1"/>
  <c r="K3501"/>
  <c r="J3067" i="18"/>
  <c r="L3067" s="1"/>
  <c r="L3034"/>
  <c r="G10" i="61"/>
  <c r="K37" i="13"/>
  <c r="E83" i="24"/>
  <c r="E88" s="1"/>
  <c r="J81" s="1"/>
  <c r="J82" s="1"/>
  <c r="E83" i="23"/>
  <c r="E81"/>
  <c r="K25" i="13"/>
  <c r="M25"/>
  <c r="M63" s="1"/>
  <c r="J5165" i="18"/>
  <c r="L5165" s="1"/>
  <c r="J5157"/>
  <c r="L5157" s="1"/>
  <c r="J5429"/>
  <c r="L5429" s="1"/>
  <c r="J5421"/>
  <c r="L5421" s="1"/>
  <c r="K6254" i="7"/>
  <c r="K6255" s="1"/>
  <c r="K6232"/>
  <c r="K6234" s="1"/>
  <c r="I823"/>
  <c r="K823" s="1"/>
  <c r="L823" s="1"/>
  <c r="K4690"/>
  <c r="K4692" s="1"/>
  <c r="I825" s="1"/>
  <c r="K825" s="1"/>
  <c r="L825" s="1"/>
  <c r="J4246" i="18"/>
  <c r="L4246" s="1"/>
  <c r="K4698" i="7"/>
  <c r="K4700" s="1"/>
  <c r="K4702" s="1"/>
  <c r="I822" s="1"/>
  <c r="K822" s="1"/>
  <c r="L822" s="1"/>
  <c r="J4263" i="18"/>
  <c r="L4263" s="1"/>
  <c r="K4740" i="7"/>
  <c r="K4742" s="1"/>
  <c r="I829"/>
  <c r="K829" s="1"/>
  <c r="L829" s="1"/>
  <c r="I831"/>
  <c r="K831" s="1"/>
  <c r="L831" s="1"/>
  <c r="K4758"/>
  <c r="K4760" s="1"/>
  <c r="I821"/>
  <c r="K821" s="1"/>
  <c r="L821" s="1"/>
  <c r="A794" i="18"/>
  <c r="J5215"/>
  <c r="L5215" s="1"/>
  <c r="A1350" i="44"/>
  <c r="A325"/>
  <c r="A180"/>
  <c r="A181" s="1"/>
  <c r="H181"/>
  <c r="H182" s="1"/>
  <c r="H183" s="1"/>
  <c r="U396" i="37"/>
  <c r="V395"/>
  <c r="W395" s="1"/>
  <c r="Y395" s="1"/>
  <c r="V232"/>
  <c r="W232" s="1"/>
  <c r="Y232" s="1"/>
  <c r="U233"/>
  <c r="V339"/>
  <c r="W339" s="1"/>
  <c r="Y339" s="1"/>
  <c r="U340"/>
  <c r="A181" i="7"/>
  <c r="H182"/>
  <c r="A1847"/>
  <c r="A390"/>
  <c r="J4271" i="18" l="1"/>
  <c r="L4271" s="1"/>
  <c r="J4254"/>
  <c r="L4254" s="1"/>
  <c r="K3496" i="7"/>
  <c r="K3497" s="1"/>
  <c r="O3497" s="1"/>
  <c r="H3519"/>
  <c r="K3512"/>
  <c r="K3513" s="1"/>
  <c r="K3503"/>
  <c r="K3504" s="1"/>
  <c r="K3505" s="1"/>
  <c r="N13" i="13"/>
  <c r="M67"/>
  <c r="E88" i="23"/>
  <c r="J78" s="1"/>
  <c r="J79" s="1"/>
  <c r="J4229" i="18"/>
  <c r="L4229" s="1"/>
  <c r="J4213"/>
  <c r="L4213" s="1"/>
  <c r="K6257" i="7"/>
  <c r="K6259" s="1"/>
  <c r="K6260" s="1"/>
  <c r="I993" s="1"/>
  <c r="K993" s="1"/>
  <c r="L993" s="1"/>
  <c r="I992"/>
  <c r="K992" s="1"/>
  <c r="L992" s="1"/>
  <c r="K6236"/>
  <c r="K6238" s="1"/>
  <c r="I988" s="1"/>
  <c r="K988" s="1"/>
  <c r="L988" s="1"/>
  <c r="I987"/>
  <c r="K987" s="1"/>
  <c r="L987" s="1"/>
  <c r="I833"/>
  <c r="K833" s="1"/>
  <c r="L833" s="1"/>
  <c r="K4762"/>
  <c r="K4764" s="1"/>
  <c r="I835" s="1"/>
  <c r="K835" s="1"/>
  <c r="L835" s="1"/>
  <c r="I832"/>
  <c r="K832" s="1"/>
  <c r="L832" s="1"/>
  <c r="K4744"/>
  <c r="K4746" s="1"/>
  <c r="I834" s="1"/>
  <c r="K834" s="1"/>
  <c r="L834" s="1"/>
  <c r="I820"/>
  <c r="K820" s="1"/>
  <c r="L820" s="1"/>
  <c r="K4704"/>
  <c r="K4706" s="1"/>
  <c r="J4205" i="18"/>
  <c r="L4205" s="1"/>
  <c r="J4197"/>
  <c r="L4197" s="1"/>
  <c r="H17" i="56"/>
  <c r="A802" i="18"/>
  <c r="A183" i="44"/>
  <c r="H184"/>
  <c r="A1360"/>
  <c r="A326"/>
  <c r="U397" i="37"/>
  <c r="V396"/>
  <c r="W396" s="1"/>
  <c r="Y396" s="1"/>
  <c r="V340"/>
  <c r="W340" s="1"/>
  <c r="Y340" s="1"/>
  <c r="U341"/>
  <c r="V233"/>
  <c r="W233" s="1"/>
  <c r="Y233" s="1"/>
  <c r="U234"/>
  <c r="H183" i="7"/>
  <c r="A182"/>
  <c r="A1857"/>
  <c r="A393"/>
  <c r="J4189" i="18" l="1"/>
  <c r="L4189" s="1"/>
  <c r="I646" i="7"/>
  <c r="K646" s="1"/>
  <c r="L646" s="1"/>
  <c r="J3050" i="18" s="1"/>
  <c r="L3050" s="1"/>
  <c r="K3517" i="7"/>
  <c r="K3514"/>
  <c r="K3515" s="1"/>
  <c r="H3520"/>
  <c r="K3519"/>
  <c r="I647"/>
  <c r="K647" s="1"/>
  <c r="L647" s="1"/>
  <c r="O3505"/>
  <c r="N40" i="13"/>
  <c r="K40"/>
  <c r="H58"/>
  <c r="K58" s="1"/>
  <c r="J4287" i="18"/>
  <c r="L4287" s="1"/>
  <c r="J4279"/>
  <c r="L4279" s="1"/>
  <c r="J4295"/>
  <c r="L4295" s="1"/>
  <c r="J4303"/>
  <c r="L4303" s="1"/>
  <c r="J5223"/>
  <c r="L5223" s="1"/>
  <c r="J5198"/>
  <c r="L5198" s="1"/>
  <c r="J5190"/>
  <c r="L5190" s="1"/>
  <c r="J5231"/>
  <c r="L5231" s="1"/>
  <c r="I824" i="7"/>
  <c r="K824" s="1"/>
  <c r="L824" s="1"/>
  <c r="K4708"/>
  <c r="K4710" s="1"/>
  <c r="I826" s="1"/>
  <c r="K826" s="1"/>
  <c r="L826" s="1"/>
  <c r="F17" i="56"/>
  <c r="F18"/>
  <c r="H18"/>
  <c r="A819" i="18"/>
  <c r="H185" i="44"/>
  <c r="A184"/>
  <c r="A1371"/>
  <c r="A329"/>
  <c r="V341" i="37"/>
  <c r="W341" s="1"/>
  <c r="Y341" s="1"/>
  <c r="U342"/>
  <c r="U398"/>
  <c r="V397"/>
  <c r="W397" s="1"/>
  <c r="Y397" s="1"/>
  <c r="V234"/>
  <c r="W234" s="1"/>
  <c r="Y234" s="1"/>
  <c r="U235"/>
  <c r="A183" i="7"/>
  <c r="H184"/>
  <c r="A1868"/>
  <c r="A394"/>
  <c r="H3527" l="1"/>
  <c r="K3520"/>
  <c r="K3521" s="1"/>
  <c r="O3515"/>
  <c r="I650"/>
  <c r="K650" s="1"/>
  <c r="L650" s="1"/>
  <c r="J3058" i="18"/>
  <c r="L3058" s="1"/>
  <c r="D6" i="61"/>
  <c r="J4221" i="18"/>
  <c r="L4221" s="1"/>
  <c r="J4237"/>
  <c r="L4237" s="1"/>
  <c r="F19" i="56"/>
  <c r="H19"/>
  <c r="A827" i="18"/>
  <c r="A185" i="44"/>
  <c r="H186"/>
  <c r="A1394"/>
  <c r="A332"/>
  <c r="V235" i="37"/>
  <c r="W235" s="1"/>
  <c r="Y235" s="1"/>
  <c r="U236"/>
  <c r="V342"/>
  <c r="W342" s="1"/>
  <c r="Y342" s="1"/>
  <c r="U343"/>
  <c r="U399"/>
  <c r="V398"/>
  <c r="W398" s="1"/>
  <c r="Y398" s="1"/>
  <c r="A1878" i="7"/>
  <c r="A397"/>
  <c r="A184"/>
  <c r="H185"/>
  <c r="J3075" i="18" l="1"/>
  <c r="L3075" s="1"/>
  <c r="K3522" i="7"/>
  <c r="K3523" s="1"/>
  <c r="K3525"/>
  <c r="H3528"/>
  <c r="K3527"/>
  <c r="F20" i="56"/>
  <c r="H20"/>
  <c r="A844" i="18"/>
  <c r="A1417" i="44"/>
  <c r="A339"/>
  <c r="H187"/>
  <c r="A186"/>
  <c r="V343" i="37"/>
  <c r="W343" s="1"/>
  <c r="Y343" s="1"/>
  <c r="U344"/>
  <c r="U400"/>
  <c r="V399"/>
  <c r="W399" s="1"/>
  <c r="Y399" s="1"/>
  <c r="V236"/>
  <c r="W236" s="1"/>
  <c r="Y236" s="1"/>
  <c r="U237"/>
  <c r="A185" i="7"/>
  <c r="H186"/>
  <c r="A1889"/>
  <c r="A398"/>
  <c r="K3528" l="1"/>
  <c r="K3529" s="1"/>
  <c r="K3530" s="1"/>
  <c r="K3531" s="1"/>
  <c r="H3543"/>
  <c r="I651"/>
  <c r="K651" s="1"/>
  <c r="L651" s="1"/>
  <c r="O3523"/>
  <c r="F22" i="56"/>
  <c r="F21"/>
  <c r="A852" i="18"/>
  <c r="A1451" i="44"/>
  <c r="A343"/>
  <c r="A187"/>
  <c r="H188"/>
  <c r="V237" i="37"/>
  <c r="W237" s="1"/>
  <c r="Y237" s="1"/>
  <c r="U238"/>
  <c r="V344"/>
  <c r="W344" s="1"/>
  <c r="Y344" s="1"/>
  <c r="U345"/>
  <c r="U401"/>
  <c r="V401" s="1"/>
  <c r="W401" s="1"/>
  <c r="Y401" s="1"/>
  <c r="V400"/>
  <c r="W400" s="1"/>
  <c r="Y400" s="1"/>
  <c r="A1897" i="7"/>
  <c r="A399"/>
  <c r="H187"/>
  <c r="A186"/>
  <c r="H3544" l="1"/>
  <c r="K3543"/>
  <c r="J3083" i="18"/>
  <c r="L3083" s="1"/>
  <c r="O3531" i="7"/>
  <c r="I652"/>
  <c r="K652" s="1"/>
  <c r="L652" s="1"/>
  <c r="H22" i="56"/>
  <c r="H21"/>
  <c r="H189" i="44"/>
  <c r="A188"/>
  <c r="A1479"/>
  <c r="A347"/>
  <c r="V238" i="37"/>
  <c r="W238" s="1"/>
  <c r="Y238" s="1"/>
  <c r="U239"/>
  <c r="V345"/>
  <c r="W345" s="1"/>
  <c r="Y345" s="1"/>
  <c r="U346"/>
  <c r="H188" i="7"/>
  <c r="A187"/>
  <c r="A1907"/>
  <c r="A400"/>
  <c r="K3544" l="1"/>
  <c r="K3545" s="1"/>
  <c r="K3550" s="1"/>
  <c r="K3554" s="1"/>
  <c r="H3556"/>
  <c r="J3091" i="18"/>
  <c r="L3091" s="1"/>
  <c r="H23" i="56"/>
  <c r="A874" i="18"/>
  <c r="A1507" i="44"/>
  <c r="A351"/>
  <c r="H190"/>
  <c r="A189"/>
  <c r="A190" s="1"/>
  <c r="A191" s="1"/>
  <c r="V346" i="37"/>
  <c r="W346" s="1"/>
  <c r="Y346" s="1"/>
  <c r="U347"/>
  <c r="V239"/>
  <c r="W239" s="1"/>
  <c r="Y239" s="1"/>
  <c r="U240"/>
  <c r="H189" i="7"/>
  <c r="A188"/>
  <c r="A1925"/>
  <c r="A403"/>
  <c r="H3557" l="1"/>
  <c r="K3557" s="1"/>
  <c r="H3564"/>
  <c r="K3556"/>
  <c r="K3551"/>
  <c r="K3552" s="1"/>
  <c r="K3579" s="1"/>
  <c r="A1535" i="44"/>
  <c r="A355"/>
  <c r="V240" i="37"/>
  <c r="W240" s="1"/>
  <c r="Y240" s="1"/>
  <c r="U241"/>
  <c r="V347"/>
  <c r="W347" s="1"/>
  <c r="Y347" s="1"/>
  <c r="U348"/>
  <c r="H190" i="7"/>
  <c r="H191" s="1"/>
  <c r="H192" s="1"/>
  <c r="A189"/>
  <c r="A190" s="1"/>
  <c r="A1951"/>
  <c r="A406"/>
  <c r="K3558" l="1"/>
  <c r="K3562" s="1"/>
  <c r="K3595"/>
  <c r="H3572"/>
  <c r="H3573" s="1"/>
  <c r="H3587" s="1"/>
  <c r="H3599" s="1"/>
  <c r="H3608" s="1"/>
  <c r="H3565"/>
  <c r="K3565" s="1"/>
  <c r="K3564"/>
  <c r="K3571"/>
  <c r="O3552"/>
  <c r="I654"/>
  <c r="K654" s="1"/>
  <c r="L654" s="1"/>
  <c r="A913" i="18"/>
  <c r="A1563" i="44"/>
  <c r="A359"/>
  <c r="V348" i="37"/>
  <c r="W348" s="1"/>
  <c r="Y348" s="1"/>
  <c r="U349"/>
  <c r="V241"/>
  <c r="W241" s="1"/>
  <c r="Y241" s="1"/>
  <c r="U242"/>
  <c r="A192" i="7"/>
  <c r="H193"/>
  <c r="A1981"/>
  <c r="A417"/>
  <c r="K3559" l="1"/>
  <c r="K3560" s="1"/>
  <c r="I655" s="1"/>
  <c r="K655" s="1"/>
  <c r="L655" s="1"/>
  <c r="K3566"/>
  <c r="K3567" s="1"/>
  <c r="K3568" s="1"/>
  <c r="H3609"/>
  <c r="K3609" s="1"/>
  <c r="H3617"/>
  <c r="K3608"/>
  <c r="H3600"/>
  <c r="K3600" s="1"/>
  <c r="K3599"/>
  <c r="K3587"/>
  <c r="H3588"/>
  <c r="K3588" s="1"/>
  <c r="I3572"/>
  <c r="O3571"/>
  <c r="J3100" i="18"/>
  <c r="L3100" s="1"/>
  <c r="O3564" i="7"/>
  <c r="I656"/>
  <c r="K656" s="1"/>
  <c r="L656" s="1"/>
  <c r="K65" i="13"/>
  <c r="A980" i="18"/>
  <c r="A1591" i="44"/>
  <c r="A366"/>
  <c r="V242" i="37"/>
  <c r="W242" s="1"/>
  <c r="Y242" s="1"/>
  <c r="U243"/>
  <c r="V349"/>
  <c r="W349" s="1"/>
  <c r="Y349" s="1"/>
  <c r="U350"/>
  <c r="A2050" i="7"/>
  <c r="A423"/>
  <c r="H194"/>
  <c r="A193"/>
  <c r="O3560" l="1"/>
  <c r="K3610"/>
  <c r="K3611" s="1"/>
  <c r="J3108" i="18"/>
  <c r="L3108" s="1"/>
  <c r="K3570" i="7"/>
  <c r="K3601"/>
  <c r="K3602" s="1"/>
  <c r="H3618"/>
  <c r="K3617"/>
  <c r="K3589"/>
  <c r="K3590" s="1"/>
  <c r="I3573"/>
  <c r="K3573" s="1"/>
  <c r="K3572"/>
  <c r="J3116" i="18"/>
  <c r="L3116" s="1"/>
  <c r="A1021"/>
  <c r="A1635" i="44"/>
  <c r="A367"/>
  <c r="V350" i="37"/>
  <c r="W350" s="1"/>
  <c r="Y350" s="1"/>
  <c r="U351"/>
  <c r="V243"/>
  <c r="W243" s="1"/>
  <c r="Y243" s="1"/>
  <c r="U244"/>
  <c r="H195" i="7"/>
  <c r="A194"/>
  <c r="A2093"/>
  <c r="A429"/>
  <c r="K3618" l="1"/>
  <c r="K3619" s="1"/>
  <c r="K3620" s="1"/>
  <c r="H3633"/>
  <c r="K3574"/>
  <c r="K3575" s="1"/>
  <c r="K3576" s="1"/>
  <c r="K3591"/>
  <c r="K3592" s="1"/>
  <c r="K3593" s="1"/>
  <c r="O3592"/>
  <c r="O3598" s="1"/>
  <c r="O3607" s="1"/>
  <c r="O3616" s="1"/>
  <c r="A1062" i="18"/>
  <c r="A1655" i="44"/>
  <c r="A368"/>
  <c r="V244" i="37"/>
  <c r="W244" s="1"/>
  <c r="Y244" s="1"/>
  <c r="U245"/>
  <c r="V351"/>
  <c r="W351" s="1"/>
  <c r="Y351" s="1"/>
  <c r="U352"/>
  <c r="A2136" i="7"/>
  <c r="A435"/>
  <c r="H196"/>
  <c r="A195"/>
  <c r="H3634" l="1"/>
  <c r="K3633"/>
  <c r="I657"/>
  <c r="K657" s="1"/>
  <c r="L657" s="1"/>
  <c r="O3576"/>
  <c r="K3596"/>
  <c r="K3597" s="1"/>
  <c r="A1103" i="18"/>
  <c r="A1675" i="44"/>
  <c r="A369"/>
  <c r="V352" i="37"/>
  <c r="W352" s="1"/>
  <c r="Y352" s="1"/>
  <c r="U353"/>
  <c r="V245"/>
  <c r="W245" s="1"/>
  <c r="Y245" s="1"/>
  <c r="U246"/>
  <c r="H197" i="7"/>
  <c r="A196"/>
  <c r="A2179"/>
  <c r="A441"/>
  <c r="K3634" l="1"/>
  <c r="K3635" s="1"/>
  <c r="K3640" s="1"/>
  <c r="K3644" s="1"/>
  <c r="H3646"/>
  <c r="H3654" s="1"/>
  <c r="K3603"/>
  <c r="K3605"/>
  <c r="J3124" i="18"/>
  <c r="L3124" s="1"/>
  <c r="O3593" i="7"/>
  <c r="I659"/>
  <c r="K659" s="1"/>
  <c r="L659" s="1"/>
  <c r="A1693" i="44"/>
  <c r="A370"/>
  <c r="V246" i="37"/>
  <c r="W246" s="1"/>
  <c r="Y246" s="1"/>
  <c r="U247"/>
  <c r="V353"/>
  <c r="W353" s="1"/>
  <c r="Y353" s="1"/>
  <c r="U354"/>
  <c r="H198" i="7"/>
  <c r="A197"/>
  <c r="A2222"/>
  <c r="A447"/>
  <c r="H3655" l="1"/>
  <c r="K3655" s="1"/>
  <c r="H3662"/>
  <c r="K3654"/>
  <c r="H3647"/>
  <c r="K3647" s="1"/>
  <c r="K3646"/>
  <c r="K3641"/>
  <c r="K3642" s="1"/>
  <c r="K3614"/>
  <c r="K3621" s="1"/>
  <c r="K3612"/>
  <c r="O3603"/>
  <c r="I660"/>
  <c r="K660" s="1"/>
  <c r="L660" s="1"/>
  <c r="J3133" i="18"/>
  <c r="A1230"/>
  <c r="A1695" i="44"/>
  <c r="A373"/>
  <c r="V354" i="37"/>
  <c r="W354" s="1"/>
  <c r="Y354" s="1"/>
  <c r="U355"/>
  <c r="V247"/>
  <c r="W247" s="1"/>
  <c r="Y247" s="1"/>
  <c r="U248"/>
  <c r="H199" i="7"/>
  <c r="A198"/>
  <c r="A199" s="1"/>
  <c r="A200" s="1"/>
  <c r="A2275"/>
  <c r="A456"/>
  <c r="K3648" l="1"/>
  <c r="K3652" s="1"/>
  <c r="K3656" s="1"/>
  <c r="K3657" s="1"/>
  <c r="K3658" s="1"/>
  <c r="H3663"/>
  <c r="K3662"/>
  <c r="I664"/>
  <c r="K664" s="1"/>
  <c r="L664" s="1"/>
  <c r="G269" i="106" s="1"/>
  <c r="O269" s="1"/>
  <c r="O3642" i="7"/>
  <c r="L3133" i="18"/>
  <c r="I661" i="7"/>
  <c r="K661" s="1"/>
  <c r="L661" s="1"/>
  <c r="O3612"/>
  <c r="J3141" i="18"/>
  <c r="L3141" s="1"/>
  <c r="A1321"/>
  <c r="A1729" i="44"/>
  <c r="A376"/>
  <c r="V248" i="37"/>
  <c r="W248" s="1"/>
  <c r="Y248" s="1"/>
  <c r="U249"/>
  <c r="V355"/>
  <c r="W355" s="1"/>
  <c r="Y355" s="1"/>
  <c r="U356"/>
  <c r="A2338" i="7"/>
  <c r="A457"/>
  <c r="K3649" l="1"/>
  <c r="K3650" s="1"/>
  <c r="I665" s="1"/>
  <c r="K665" s="1"/>
  <c r="L665" s="1"/>
  <c r="K3663"/>
  <c r="H3679"/>
  <c r="J3176" i="18"/>
  <c r="K3660" i="7"/>
  <c r="O3621"/>
  <c r="I662"/>
  <c r="K662" s="1"/>
  <c r="L662" s="1"/>
  <c r="J3149" i="18"/>
  <c r="L3149" s="1"/>
  <c r="A1329"/>
  <c r="A1763" i="44"/>
  <c r="A379"/>
  <c r="V356" i="37"/>
  <c r="W356" s="1"/>
  <c r="Y356" s="1"/>
  <c r="U357"/>
  <c r="V249"/>
  <c r="W249" s="1"/>
  <c r="Y249" s="1"/>
  <c r="U250"/>
  <c r="A2359" i="7"/>
  <c r="A458"/>
  <c r="K3664" l="1"/>
  <c r="K3665" s="1"/>
  <c r="K3666" s="1"/>
  <c r="I667" s="1"/>
  <c r="K667" s="1"/>
  <c r="L667" s="1"/>
  <c r="O3650"/>
  <c r="L3176" i="18"/>
  <c r="J3184"/>
  <c r="L3184" s="1"/>
  <c r="H3680" i="7"/>
  <c r="K3679"/>
  <c r="O3658"/>
  <c r="I666"/>
  <c r="K666" s="1"/>
  <c r="L666" s="1"/>
  <c r="J3157" i="18"/>
  <c r="L3157" s="1"/>
  <c r="A1337"/>
  <c r="A1797" i="44"/>
  <c r="A382"/>
  <c r="V250" i="37"/>
  <c r="W250" s="1"/>
  <c r="Y250" s="1"/>
  <c r="U251"/>
  <c r="V357"/>
  <c r="W357" s="1"/>
  <c r="Y357" s="1"/>
  <c r="U358"/>
  <c r="A2380" i="7"/>
  <c r="A459"/>
  <c r="O3666" l="1"/>
  <c r="K3680"/>
  <c r="K3681" s="1"/>
  <c r="K3686" s="1"/>
  <c r="H3692"/>
  <c r="J3192" i="18"/>
  <c r="L3192" s="1"/>
  <c r="J3200"/>
  <c r="L3200" s="1"/>
  <c r="A1826" i="44"/>
  <c r="A423"/>
  <c r="V358" i="37"/>
  <c r="W358" s="1"/>
  <c r="Y358" s="1"/>
  <c r="U359"/>
  <c r="V251"/>
  <c r="W251" s="1"/>
  <c r="Y251" s="1"/>
  <c r="U252"/>
  <c r="A2399" i="7"/>
  <c r="A460"/>
  <c r="K3690" l="1"/>
  <c r="K3687"/>
  <c r="K3688" s="1"/>
  <c r="O3688" s="1"/>
  <c r="H3693"/>
  <c r="K3693" s="1"/>
  <c r="H3700"/>
  <c r="K3692"/>
  <c r="A2059" i="44"/>
  <c r="A426"/>
  <c r="V252" i="37"/>
  <c r="W252" s="1"/>
  <c r="Y252" s="1"/>
  <c r="U253"/>
  <c r="V359"/>
  <c r="W359" s="1"/>
  <c r="Y359" s="1"/>
  <c r="U360"/>
  <c r="A2401" i="7"/>
  <c r="A465"/>
  <c r="K3694" l="1"/>
  <c r="K3698" s="1"/>
  <c r="I669"/>
  <c r="K669" s="1"/>
  <c r="L669" s="1"/>
  <c r="H3708"/>
  <c r="H3701"/>
  <c r="K3701" s="1"/>
  <c r="K3700"/>
  <c r="A1989" i="18"/>
  <c r="A2082" i="44"/>
  <c r="A436"/>
  <c r="V360" i="37"/>
  <c r="W360" s="1"/>
  <c r="Y360" s="1"/>
  <c r="U361"/>
  <c r="V253"/>
  <c r="W253" s="1"/>
  <c r="Y253" s="1"/>
  <c r="U254"/>
  <c r="A2456" i="7"/>
  <c r="A470"/>
  <c r="K3695" l="1"/>
  <c r="K3696" s="1"/>
  <c r="I670" s="1"/>
  <c r="K670" s="1"/>
  <c r="L670" s="1"/>
  <c r="K3702"/>
  <c r="K3703" s="1"/>
  <c r="K3704" s="1"/>
  <c r="I671" s="1"/>
  <c r="K671" s="1"/>
  <c r="L671" s="1"/>
  <c r="H3709"/>
  <c r="K3708"/>
  <c r="J3211" i="18"/>
  <c r="L3211" s="1"/>
  <c r="A2022"/>
  <c r="A2166" i="44"/>
  <c r="A447"/>
  <c r="V254" i="37"/>
  <c r="W254" s="1"/>
  <c r="Y254" s="1"/>
  <c r="U255"/>
  <c r="V361"/>
  <c r="W361" s="1"/>
  <c r="Y361" s="1"/>
  <c r="U362"/>
  <c r="A2511" i="7"/>
  <c r="A475"/>
  <c r="O3696" l="1"/>
  <c r="J3227" i="18"/>
  <c r="L3227" s="1"/>
  <c r="K3709" i="7"/>
  <c r="H3725"/>
  <c r="K3706"/>
  <c r="O3704"/>
  <c r="J3219" i="18"/>
  <c r="L3219" s="1"/>
  <c r="A2055"/>
  <c r="A2256" i="44"/>
  <c r="A454"/>
  <c r="V362" i="37"/>
  <c r="W362" s="1"/>
  <c r="Y362" s="1"/>
  <c r="U363"/>
  <c r="V255"/>
  <c r="W255" s="1"/>
  <c r="Y255" s="1"/>
  <c r="U256"/>
  <c r="A2568" i="7"/>
  <c r="A480"/>
  <c r="K3710" l="1"/>
  <c r="K3711" s="1"/>
  <c r="K3712" s="1"/>
  <c r="I672" s="1"/>
  <c r="K672" s="1"/>
  <c r="L672" s="1"/>
  <c r="H3726"/>
  <c r="K3725"/>
  <c r="A518"/>
  <c r="A616" s="1"/>
  <c r="A2694" i="18"/>
  <c r="A2288" i="44"/>
  <c r="A457"/>
  <c r="V256" i="37"/>
  <c r="W256" s="1"/>
  <c r="Y256" s="1"/>
  <c r="U257"/>
  <c r="V363"/>
  <c r="W363" s="1"/>
  <c r="Y363" s="1"/>
  <c r="U364"/>
  <c r="A2619" i="7"/>
  <c r="O3712" l="1"/>
  <c r="K3726"/>
  <c r="K3727" s="1"/>
  <c r="K3732" s="1"/>
  <c r="H3738"/>
  <c r="J3235" i="18"/>
  <c r="L3235" s="1"/>
  <c r="A2309" i="44"/>
  <c r="A460"/>
  <c r="V364" i="37"/>
  <c r="W364" s="1"/>
  <c r="Y364" s="1"/>
  <c r="U365"/>
  <c r="V365" s="1"/>
  <c r="W365" s="1"/>
  <c r="Y365" s="1"/>
  <c r="V257"/>
  <c r="W257" s="1"/>
  <c r="Y257" s="1"/>
  <c r="U258"/>
  <c r="A3239" i="7"/>
  <c r="A621"/>
  <c r="K3736" l="1"/>
  <c r="K3733"/>
  <c r="K3734" s="1"/>
  <c r="I674" s="1"/>
  <c r="K674" s="1"/>
  <c r="L674" s="1"/>
  <c r="H3739"/>
  <c r="K3739" s="1"/>
  <c r="H3746"/>
  <c r="K3738"/>
  <c r="A2994" i="18"/>
  <c r="A2328" i="44"/>
  <c r="A463"/>
  <c r="V258" i="37"/>
  <c r="W258" s="1"/>
  <c r="Y258" s="1"/>
  <c r="U259"/>
  <c r="A3286" i="7"/>
  <c r="A631"/>
  <c r="O3734" l="1"/>
  <c r="J3244" i="18"/>
  <c r="L3244" s="1"/>
  <c r="H3747" i="7"/>
  <c r="K3746"/>
  <c r="K3740"/>
  <c r="A3004" i="18"/>
  <c r="A2349" i="44"/>
  <c r="A466"/>
  <c r="V259" i="37"/>
  <c r="W259" s="1"/>
  <c r="Y259" s="1"/>
  <c r="U260"/>
  <c r="A3370" i="7"/>
  <c r="A642"/>
  <c r="K3741" l="1"/>
  <c r="K3742" s="1"/>
  <c r="I675" s="1"/>
  <c r="K675" s="1"/>
  <c r="L675" s="1"/>
  <c r="K3744"/>
  <c r="H3754"/>
  <c r="K3747"/>
  <c r="A2370" i="44"/>
  <c r="A469"/>
  <c r="V260" i="37"/>
  <c r="W260" s="1"/>
  <c r="Y260" s="1"/>
  <c r="U261"/>
  <c r="A3460" i="7"/>
  <c r="A653"/>
  <c r="O3742" l="1"/>
  <c r="K3748"/>
  <c r="J3252" i="18"/>
  <c r="L3252" s="1"/>
  <c r="H3755" i="7"/>
  <c r="K3754"/>
  <c r="A3092" i="18"/>
  <c r="A2391" i="44"/>
  <c r="A472"/>
  <c r="V261" i="37"/>
  <c r="W261" s="1"/>
  <c r="Y261" s="1"/>
  <c r="U262"/>
  <c r="A3532" i="7"/>
  <c r="A658"/>
  <c r="K3749" l="1"/>
  <c r="K3750" s="1"/>
  <c r="I676" s="1"/>
  <c r="K676" s="1"/>
  <c r="L676" s="1"/>
  <c r="K3752"/>
  <c r="K3755"/>
  <c r="H3771"/>
  <c r="A3125" i="18"/>
  <c r="A2412" i="44"/>
  <c r="A475"/>
  <c r="V262" i="37"/>
  <c r="W262" s="1"/>
  <c r="Y262" s="1"/>
  <c r="U263"/>
  <c r="A3577" i="7"/>
  <c r="A663"/>
  <c r="J3260" i="18" l="1"/>
  <c r="L3260" s="1"/>
  <c r="O3750" i="7"/>
  <c r="K3756"/>
  <c r="K3757" s="1"/>
  <c r="K3758" s="1"/>
  <c r="O3758" s="1"/>
  <c r="H3772"/>
  <c r="K3771"/>
  <c r="A2433" i="44"/>
  <c r="A478"/>
  <c r="V263" i="37"/>
  <c r="W263" s="1"/>
  <c r="Y263" s="1"/>
  <c r="U264"/>
  <c r="A3622" i="7"/>
  <c r="A668"/>
  <c r="I677" l="1"/>
  <c r="K677" s="1"/>
  <c r="L677" s="1"/>
  <c r="K3772"/>
  <c r="K3773" s="1"/>
  <c r="K3778" s="1"/>
  <c r="K3782" s="1"/>
  <c r="H3784"/>
  <c r="A3201" i="18"/>
  <c r="A2446" i="44"/>
  <c r="A479"/>
  <c r="V264" i="37"/>
  <c r="W264" s="1"/>
  <c r="Y264" s="1"/>
  <c r="U265"/>
  <c r="A3667" i="7"/>
  <c r="A673"/>
  <c r="J3268" i="18" l="1"/>
  <c r="L3268" s="1"/>
  <c r="K3779" i="7"/>
  <c r="K3780" s="1"/>
  <c r="O3780" s="1"/>
  <c r="H3785"/>
  <c r="K3784"/>
  <c r="A2460" i="44"/>
  <c r="A480"/>
  <c r="V265" i="37"/>
  <c r="W265" s="1"/>
  <c r="Y265" s="1"/>
  <c r="U266"/>
  <c r="A3713" i="7"/>
  <c r="A678"/>
  <c r="I679" l="1"/>
  <c r="K679" s="1"/>
  <c r="L679" s="1"/>
  <c r="G233" i="106" s="1"/>
  <c r="O233" s="1"/>
  <c r="H3792" i="7"/>
  <c r="K3785"/>
  <c r="K3786" s="1"/>
  <c r="K3787" s="1"/>
  <c r="K3788" s="1"/>
  <c r="A2474" i="44"/>
  <c r="A481"/>
  <c r="V266" i="37"/>
  <c r="W266" s="1"/>
  <c r="Y266" s="1"/>
  <c r="U267"/>
  <c r="A3759" i="7"/>
  <c r="A683"/>
  <c r="G24" i="110" l="1"/>
  <c r="J3277" i="18"/>
  <c r="L3277" s="1"/>
  <c r="K3790" i="7"/>
  <c r="I680"/>
  <c r="K680" s="1"/>
  <c r="L680" s="1"/>
  <c r="O3788"/>
  <c r="H3793"/>
  <c r="K3792"/>
  <c r="A3302" i="18"/>
  <c r="A2488" i="44"/>
  <c r="A484"/>
  <c r="V267" i="37"/>
  <c r="W267" s="1"/>
  <c r="Y267" s="1"/>
  <c r="U268"/>
  <c r="A3805" i="7"/>
  <c r="A688"/>
  <c r="J3285" i="18" l="1"/>
  <c r="L3285" s="1"/>
  <c r="H3800" i="7"/>
  <c r="K3793"/>
  <c r="K3794" s="1"/>
  <c r="K3795" s="1"/>
  <c r="K3796" s="1"/>
  <c r="A3335" i="18"/>
  <c r="A2511" i="44"/>
  <c r="A487"/>
  <c r="V268" i="37"/>
  <c r="W268" s="1"/>
  <c r="Y268" s="1"/>
  <c r="U269"/>
  <c r="A3851" i="7"/>
  <c r="A693"/>
  <c r="I681" l="1"/>
  <c r="K681" s="1"/>
  <c r="L681" s="1"/>
  <c r="K3798"/>
  <c r="O3796"/>
  <c r="H3801"/>
  <c r="H3817" s="1"/>
  <c r="K3800"/>
  <c r="A3368" i="18"/>
  <c r="A2534" i="44"/>
  <c r="A490"/>
  <c r="V269" i="37"/>
  <c r="W269" s="1"/>
  <c r="Y269" s="1"/>
  <c r="U270"/>
  <c r="A3872" i="7"/>
  <c r="A694"/>
  <c r="H3818" l="1"/>
  <c r="K3817"/>
  <c r="K3801"/>
  <c r="K3802" s="1"/>
  <c r="K3803" s="1"/>
  <c r="K3804" s="1"/>
  <c r="J3293" i="18"/>
  <c r="L3293" s="1"/>
  <c r="A3376"/>
  <c r="A2559" i="44"/>
  <c r="A509"/>
  <c r="V270" i="37"/>
  <c r="W270" s="1"/>
  <c r="Y270" s="1"/>
  <c r="U271"/>
  <c r="A3886" i="7"/>
  <c r="A695"/>
  <c r="K3818" l="1"/>
  <c r="K3819" s="1"/>
  <c r="K3824" s="1"/>
  <c r="H3830"/>
  <c r="O3804"/>
  <c r="I682"/>
  <c r="K682" s="1"/>
  <c r="L682" s="1"/>
  <c r="A3384" i="18"/>
  <c r="A2640" i="44"/>
  <c r="A528"/>
  <c r="V271" i="37"/>
  <c r="W271" s="1"/>
  <c r="Y271" s="1"/>
  <c r="U272"/>
  <c r="A3900" i="7"/>
  <c r="A696"/>
  <c r="K3828" l="1"/>
  <c r="K3825"/>
  <c r="K3826" s="1"/>
  <c r="O3826" s="1"/>
  <c r="H3831"/>
  <c r="K3831" s="1"/>
  <c r="H3838"/>
  <c r="K3830"/>
  <c r="J3301" i="18"/>
  <c r="L3301" s="1"/>
  <c r="A701" i="7"/>
  <c r="A3393" i="18"/>
  <c r="A2722" i="44"/>
  <c r="A547"/>
  <c r="V272" i="37"/>
  <c r="W272" s="1"/>
  <c r="Y272" s="1"/>
  <c r="U273"/>
  <c r="A3914" i="7"/>
  <c r="I684" l="1"/>
  <c r="K684" s="1"/>
  <c r="L684" s="1"/>
  <c r="G55" i="9" s="1"/>
  <c r="M55" s="1"/>
  <c r="M61" s="1"/>
  <c r="H3846" i="7"/>
  <c r="H3839"/>
  <c r="K3839" s="1"/>
  <c r="K3838"/>
  <c r="K3832"/>
  <c r="A703"/>
  <c r="A3426" i="18"/>
  <c r="A3945" i="7"/>
  <c r="A2803" i="44"/>
  <c r="A552"/>
  <c r="V273" i="37"/>
  <c r="W273" s="1"/>
  <c r="Y273" s="1"/>
  <c r="U274"/>
  <c r="J3310" i="18" l="1"/>
  <c r="K3836" i="7"/>
  <c r="K3840" s="1"/>
  <c r="K3841" s="1"/>
  <c r="K3842" s="1"/>
  <c r="I686" s="1"/>
  <c r="K686" s="1"/>
  <c r="L686" s="1"/>
  <c r="K3833"/>
  <c r="K3834" s="1"/>
  <c r="H3847"/>
  <c r="K3846"/>
  <c r="A3435" i="18"/>
  <c r="A3965" i="7"/>
  <c r="A705"/>
  <c r="A2837" i="44"/>
  <c r="A558"/>
  <c r="V274" i="37"/>
  <c r="W274" s="1"/>
  <c r="Y274" s="1"/>
  <c r="U275"/>
  <c r="K3844" i="7" l="1"/>
  <c r="O3842"/>
  <c r="L3310" i="18"/>
  <c r="K3847" i="7"/>
  <c r="H3998"/>
  <c r="I685"/>
  <c r="K685" s="1"/>
  <c r="L685" s="1"/>
  <c r="O3834"/>
  <c r="J3326" i="18"/>
  <c r="L3326" s="1"/>
  <c r="A3985" i="7"/>
  <c r="A710"/>
  <c r="A3444" i="18"/>
  <c r="A2876" i="44"/>
  <c r="A559"/>
  <c r="V275" i="37"/>
  <c r="W275" s="1"/>
  <c r="Y275" s="1"/>
  <c r="U276"/>
  <c r="K3848" i="7" l="1"/>
  <c r="K3849" s="1"/>
  <c r="K3850" s="1"/>
  <c r="I687" s="1"/>
  <c r="K687" s="1"/>
  <c r="L687" s="1"/>
  <c r="A3477" i="18"/>
  <c r="H3999" i="7"/>
  <c r="K3998"/>
  <c r="J3318" i="18"/>
  <c r="L3318" s="1"/>
  <c r="A4033" i="7"/>
  <c r="A715"/>
  <c r="A2888" i="44"/>
  <c r="A560"/>
  <c r="V276" i="37"/>
  <c r="W276" s="1"/>
  <c r="Y276" s="1"/>
  <c r="U277"/>
  <c r="O3850" i="7" l="1"/>
  <c r="J3334" i="18"/>
  <c r="L3334" s="1"/>
  <c r="K3999" i="7"/>
  <c r="K4000" s="1"/>
  <c r="K4006" s="1"/>
  <c r="H4012"/>
  <c r="A4066"/>
  <c r="A3510" i="18"/>
  <c r="A751" i="7"/>
  <c r="A2903" i="44"/>
  <c r="A561"/>
  <c r="V277" i="37"/>
  <c r="W277" s="1"/>
  <c r="Y277" s="1"/>
  <c r="U278"/>
  <c r="K4007" i="7" l="1"/>
  <c r="K4008" s="1"/>
  <c r="K4010"/>
  <c r="H4013"/>
  <c r="K4012"/>
  <c r="A787"/>
  <c r="A4216"/>
  <c r="A2920" i="44"/>
  <c r="A562"/>
  <c r="V278" i="37"/>
  <c r="W278" s="1"/>
  <c r="Y278" s="1"/>
  <c r="U279"/>
  <c r="O4008" i="7" l="1"/>
  <c r="I706"/>
  <c r="K706" s="1"/>
  <c r="L706" s="1"/>
  <c r="H4020"/>
  <c r="K4013"/>
  <c r="K4027" s="1"/>
  <c r="A4450"/>
  <c r="A818"/>
  <c r="A2937" i="44"/>
  <c r="A563"/>
  <c r="V279" i="37"/>
  <c r="W279" s="1"/>
  <c r="Y279" s="1"/>
  <c r="U280"/>
  <c r="K4014" i="7" l="1"/>
  <c r="H4021"/>
  <c r="K4020"/>
  <c r="J3452" i="18"/>
  <c r="L3452" s="1"/>
  <c r="I4028" i="7"/>
  <c r="O4027"/>
  <c r="A4661"/>
  <c r="A4173" i="18"/>
  <c r="A827" i="7"/>
  <c r="A2946" i="44"/>
  <c r="A564"/>
  <c r="V280" i="37"/>
  <c r="W280" s="1"/>
  <c r="Y280" s="1"/>
  <c r="U281"/>
  <c r="I4029" i="7" l="1"/>
  <c r="H4028"/>
  <c r="H4029" s="1"/>
  <c r="H4230" s="1"/>
  <c r="H4231" s="1"/>
  <c r="H4247" s="1"/>
  <c r="K4021"/>
  <c r="K4018"/>
  <c r="K4015"/>
  <c r="K4016" s="1"/>
  <c r="A4711"/>
  <c r="A4238" i="18"/>
  <c r="A837" i="7"/>
  <c r="A2955" i="44"/>
  <c r="A565"/>
  <c r="V281" i="37"/>
  <c r="W281" s="1"/>
  <c r="Y281" s="1"/>
  <c r="U282"/>
  <c r="H4248" i="7" l="1"/>
  <c r="K4248" s="1"/>
  <c r="K4247"/>
  <c r="K4022"/>
  <c r="K4026" s="1"/>
  <c r="K4028"/>
  <c r="O4016"/>
  <c r="I707"/>
  <c r="K707" s="1"/>
  <c r="L707" s="1"/>
  <c r="K4029"/>
  <c r="A4766"/>
  <c r="A4304" i="18"/>
  <c r="A838" i="7"/>
  <c r="A2966" i="44"/>
  <c r="A567"/>
  <c r="V282" i="37"/>
  <c r="W282" s="1"/>
  <c r="Y282" s="1"/>
  <c r="U283"/>
  <c r="K4023" i="7" l="1"/>
  <c r="K4024" s="1"/>
  <c r="O4024" s="1"/>
  <c r="H4255"/>
  <c r="H4256" s="1"/>
  <c r="H4263" s="1"/>
  <c r="H4264" s="1"/>
  <c r="J3460" i="18"/>
  <c r="L3460" s="1"/>
  <c r="K4030" i="7"/>
  <c r="A4778"/>
  <c r="A4312" i="18"/>
  <c r="A839" i="7"/>
  <c r="A2995" i="44"/>
  <c r="A568"/>
  <c r="V283" i="37"/>
  <c r="W283" s="1"/>
  <c r="Y283" s="1"/>
  <c r="U284"/>
  <c r="I708" i="7" l="1"/>
  <c r="K708" s="1"/>
  <c r="L708" s="1"/>
  <c r="H4271"/>
  <c r="H4272" s="1"/>
  <c r="H5558" s="1"/>
  <c r="H5559" s="1"/>
  <c r="H4280"/>
  <c r="K4031"/>
  <c r="K4032" s="1"/>
  <c r="A4793"/>
  <c r="A4320" i="18"/>
  <c r="A840" i="7"/>
  <c r="A3021" i="44"/>
  <c r="A570"/>
  <c r="V284" i="37"/>
  <c r="W284" s="1"/>
  <c r="Y284" s="1"/>
  <c r="U285"/>
  <c r="J3468" i="18" l="1"/>
  <c r="L3468" s="1"/>
  <c r="K5558" i="7"/>
  <c r="H4281"/>
  <c r="K4280"/>
  <c r="K5559"/>
  <c r="H5571"/>
  <c r="O4032"/>
  <c r="I709"/>
  <c r="K709" s="1"/>
  <c r="L709" s="1"/>
  <c r="A4810"/>
  <c r="A4328" i="18"/>
  <c r="A841" i="7"/>
  <c r="A3053" i="44"/>
  <c r="A572"/>
  <c r="V285" i="37"/>
  <c r="W285" s="1"/>
  <c r="Y285" s="1"/>
  <c r="U286"/>
  <c r="K5560" i="7" l="1"/>
  <c r="K5564" s="1"/>
  <c r="K5565" s="1"/>
  <c r="K5595" s="1"/>
  <c r="K4281"/>
  <c r="H4288"/>
  <c r="H5579"/>
  <c r="H5572"/>
  <c r="K5572" s="1"/>
  <c r="K5571"/>
  <c r="J3476" i="18"/>
  <c r="L3476" s="1"/>
  <c r="A4827" i="7"/>
  <c r="A4336" i="18"/>
  <c r="A842" i="7"/>
  <c r="A3086" i="44"/>
  <c r="A574"/>
  <c r="V286" i="37"/>
  <c r="W286" s="1"/>
  <c r="Y286" s="1"/>
  <c r="U287"/>
  <c r="K5569" i="7" l="1"/>
  <c r="K5573" s="1"/>
  <c r="K5593"/>
  <c r="I897" s="1"/>
  <c r="K897" s="1"/>
  <c r="L897" s="1"/>
  <c r="J4607" i="18" s="1"/>
  <c r="L4607" s="1"/>
  <c r="K5566" i="7"/>
  <c r="K5567" s="1"/>
  <c r="I892" s="1"/>
  <c r="K892" s="1"/>
  <c r="L892" s="1"/>
  <c r="J4574" i="18" s="1"/>
  <c r="H4289" i="7"/>
  <c r="K4288"/>
  <c r="H5580"/>
  <c r="K5579"/>
  <c r="A4836"/>
  <c r="A4344" i="18"/>
  <c r="A843" i="7"/>
  <c r="A3115" i="44"/>
  <c r="A576"/>
  <c r="V287" i="37"/>
  <c r="W287" s="1"/>
  <c r="Y287" s="1"/>
  <c r="U288"/>
  <c r="H4296" i="7" l="1"/>
  <c r="K4289"/>
  <c r="K5577"/>
  <c r="K5574"/>
  <c r="K5575" s="1"/>
  <c r="H5587"/>
  <c r="H5597" s="1"/>
  <c r="K5580"/>
  <c r="L4574" i="18"/>
  <c r="A4845" i="7"/>
  <c r="A4353" i="18"/>
  <c r="A844" i="7"/>
  <c r="A3145" i="44"/>
  <c r="A577"/>
  <c r="V288" i="37"/>
  <c r="W288" s="1"/>
  <c r="Y288" s="1"/>
  <c r="U289"/>
  <c r="H4297" i="7" l="1"/>
  <c r="H4313" s="1"/>
  <c r="K4296"/>
  <c r="K5581"/>
  <c r="K5585" s="1"/>
  <c r="H5598"/>
  <c r="K5597"/>
  <c r="I893"/>
  <c r="K893" s="1"/>
  <c r="L893" s="1"/>
  <c r="H5588"/>
  <c r="K5588" s="1"/>
  <c r="K5587"/>
  <c r="A4856"/>
  <c r="A846"/>
  <c r="A4361" i="18"/>
  <c r="A3165" i="44"/>
  <c r="A579"/>
  <c r="V289" i="37"/>
  <c r="W289" s="1"/>
  <c r="Y289" s="1"/>
  <c r="U290"/>
  <c r="K5582" i="7" l="1"/>
  <c r="K5583" s="1"/>
  <c r="I894" s="1"/>
  <c r="K894" s="1"/>
  <c r="L894" s="1"/>
  <c r="H4314"/>
  <c r="K4313"/>
  <c r="H4304"/>
  <c r="K4297"/>
  <c r="H5605"/>
  <c r="K5598"/>
  <c r="K5599" s="1"/>
  <c r="J4582" i="18"/>
  <c r="L4582" s="1"/>
  <c r="K5589" i="7"/>
  <c r="K5590" s="1"/>
  <c r="K5591" s="1"/>
  <c r="I895" s="1"/>
  <c r="K895" s="1"/>
  <c r="L895" s="1"/>
  <c r="A4885"/>
  <c r="A4370" i="18"/>
  <c r="A847" i="7"/>
  <c r="A3195" i="44"/>
  <c r="A581"/>
  <c r="V290" i="37"/>
  <c r="W290" s="1"/>
  <c r="Y290" s="1"/>
  <c r="U291"/>
  <c r="K4314" i="7" l="1"/>
  <c r="H4321"/>
  <c r="H4305"/>
  <c r="K4305" s="1"/>
  <c r="K4304"/>
  <c r="K5603"/>
  <c r="K5600"/>
  <c r="K5601" s="1"/>
  <c r="I898" s="1"/>
  <c r="K898" s="1"/>
  <c r="L898" s="1"/>
  <c r="H5606"/>
  <c r="K5605"/>
  <c r="J4590" i="18"/>
  <c r="L4590" s="1"/>
  <c r="J4598"/>
  <c r="L4598" s="1"/>
  <c r="A4911" i="7"/>
  <c r="A4378" i="18"/>
  <c r="A849" i="7"/>
  <c r="A3226" i="44"/>
  <c r="A582"/>
  <c r="V291" i="37"/>
  <c r="W291" s="1"/>
  <c r="Y291" s="1"/>
  <c r="U292"/>
  <c r="H4322" i="7" l="1"/>
  <c r="K4321"/>
  <c r="H5613"/>
  <c r="K5606"/>
  <c r="J4615" i="18"/>
  <c r="L4615" s="1"/>
  <c r="K5607" i="7"/>
  <c r="A4943"/>
  <c r="A4387" i="18"/>
  <c r="A851" i="7"/>
  <c r="A3248" i="44"/>
  <c r="A583"/>
  <c r="V292" i="37"/>
  <c r="W292" s="1"/>
  <c r="Y292" s="1"/>
  <c r="U293"/>
  <c r="H4329" i="7" l="1"/>
  <c r="K4322"/>
  <c r="K5611"/>
  <c r="K5608"/>
  <c r="K5609" s="1"/>
  <c r="I899" s="1"/>
  <c r="K899" s="1"/>
  <c r="L899" s="1"/>
  <c r="H5614"/>
  <c r="K5613"/>
  <c r="A4977"/>
  <c r="A4396" i="18"/>
  <c r="A853" i="7"/>
  <c r="A3268" i="44"/>
  <c r="A584"/>
  <c r="V293" i="37"/>
  <c r="W293" s="1"/>
  <c r="Y293" s="1"/>
  <c r="U294"/>
  <c r="H4330" i="7" l="1"/>
  <c r="H4346" s="1"/>
  <c r="K4329"/>
  <c r="K5614"/>
  <c r="K5615" s="1"/>
  <c r="K5616" s="1"/>
  <c r="K5617" s="1"/>
  <c r="I900" s="1"/>
  <c r="K900" s="1"/>
  <c r="L900" s="1"/>
  <c r="H5632"/>
  <c r="J4623" i="18"/>
  <c r="L4623" s="1"/>
  <c r="A5006" i="7"/>
  <c r="A4405" i="18"/>
  <c r="A855" i="7"/>
  <c r="A3293" i="44"/>
  <c r="A585"/>
  <c r="V294" i="37"/>
  <c r="W294" s="1"/>
  <c r="Y294" s="1"/>
  <c r="U295"/>
  <c r="H4347" i="7" l="1"/>
  <c r="K4346"/>
  <c r="H4337"/>
  <c r="K4330"/>
  <c r="H5633"/>
  <c r="K5632"/>
  <c r="J4631" i="18"/>
  <c r="L4631" s="1"/>
  <c r="A5036" i="7"/>
  <c r="A4414" i="18"/>
  <c r="A856" i="7"/>
  <c r="A3321" i="44"/>
  <c r="A586"/>
  <c r="V295" i="37"/>
  <c r="W295" s="1"/>
  <c r="Y295" s="1"/>
  <c r="U296"/>
  <c r="K4347" i="7" l="1"/>
  <c r="H4354"/>
  <c r="H4338"/>
  <c r="K4338" s="1"/>
  <c r="K4337"/>
  <c r="K5633"/>
  <c r="K5634" s="1"/>
  <c r="K5662" s="1"/>
  <c r="K5664" s="1"/>
  <c r="H5640"/>
  <c r="A5056"/>
  <c r="A4422" i="18"/>
  <c r="A858" i="7"/>
  <c r="A3336" i="44"/>
  <c r="A587"/>
  <c r="V296" i="37"/>
  <c r="W296" s="1"/>
  <c r="Y296" s="1"/>
  <c r="U297"/>
  <c r="H4355" i="7" l="1"/>
  <c r="K4354"/>
  <c r="K5638"/>
  <c r="K5635"/>
  <c r="K5636" s="1"/>
  <c r="I903" s="1"/>
  <c r="K903" s="1"/>
  <c r="L903" s="1"/>
  <c r="G338" i="106" s="1"/>
  <c r="O338" s="1"/>
  <c r="H5641" i="7"/>
  <c r="K5640"/>
  <c r="I908"/>
  <c r="K908" s="1"/>
  <c r="L908" s="1"/>
  <c r="A5086"/>
  <c r="A4431" i="18"/>
  <c r="A860" i="7"/>
  <c r="A3357" i="44"/>
  <c r="A588"/>
  <c r="V297" i="37"/>
  <c r="W297" s="1"/>
  <c r="Y297" s="1"/>
  <c r="U298"/>
  <c r="H4362" i="7" l="1"/>
  <c r="K4355"/>
  <c r="H5648"/>
  <c r="K5641"/>
  <c r="K5655" s="1"/>
  <c r="I5656" s="1"/>
  <c r="J4674" i="18"/>
  <c r="L4674" s="1"/>
  <c r="J4641"/>
  <c r="L4641" s="1"/>
  <c r="A5117" i="7"/>
  <c r="A4440" i="18"/>
  <c r="A861" i="7"/>
  <c r="A3380" i="44"/>
  <c r="A589"/>
  <c r="V298" i="37"/>
  <c r="W298" s="1"/>
  <c r="Y298" s="1"/>
  <c r="U299"/>
  <c r="V299" s="1"/>
  <c r="W299" s="1"/>
  <c r="Y299" s="1"/>
  <c r="H4363" i="7" l="1"/>
  <c r="H4379" s="1"/>
  <c r="K4362"/>
  <c r="K5642"/>
  <c r="K5646" s="1"/>
  <c r="I5657"/>
  <c r="H5649"/>
  <c r="K5648"/>
  <c r="A5139"/>
  <c r="A4448" i="18"/>
  <c r="A862" i="7"/>
  <c r="A3393" i="44"/>
  <c r="A590"/>
  <c r="H4380" i="7" l="1"/>
  <c r="K4379"/>
  <c r="H4370"/>
  <c r="K4363"/>
  <c r="K5643"/>
  <c r="K5644" s="1"/>
  <c r="I904" s="1"/>
  <c r="K904" s="1"/>
  <c r="L904" s="1"/>
  <c r="H5656"/>
  <c r="K5649"/>
  <c r="K5650" s="1"/>
  <c r="A5159"/>
  <c r="A4456" i="18"/>
  <c r="A863" i="7"/>
  <c r="A3405" i="44"/>
  <c r="A591"/>
  <c r="K4380" i="7" l="1"/>
  <c r="H4387"/>
  <c r="H4371"/>
  <c r="K4371" s="1"/>
  <c r="K4370"/>
  <c r="J4649" i="18"/>
  <c r="L4649" s="1"/>
  <c r="K5651" i="7"/>
  <c r="K5652" s="1"/>
  <c r="K5654"/>
  <c r="H5657"/>
  <c r="K5656"/>
  <c r="A864"/>
  <c r="A4465" i="18"/>
  <c r="A5184" i="7"/>
  <c r="A3419" i="44"/>
  <c r="A592"/>
  <c r="H4388" i="7" l="1"/>
  <c r="K4387"/>
  <c r="K5657"/>
  <c r="K5658" s="1"/>
  <c r="K5659" s="1"/>
  <c r="K5660" s="1"/>
  <c r="I906" s="1"/>
  <c r="K906" s="1"/>
  <c r="L906" s="1"/>
  <c r="H5666"/>
  <c r="I905"/>
  <c r="K905" s="1"/>
  <c r="L905" s="1"/>
  <c r="A865"/>
  <c r="A4473" i="18"/>
  <c r="A5212" i="7"/>
  <c r="A3445" i="44"/>
  <c r="A593"/>
  <c r="H4395" i="7" l="1"/>
  <c r="K4388"/>
  <c r="H5667"/>
  <c r="K5666"/>
  <c r="J4665" i="18"/>
  <c r="L4665" s="1"/>
  <c r="J4657"/>
  <c r="L4657" s="1"/>
  <c r="A4481"/>
  <c r="A866" i="7"/>
  <c r="A5227"/>
  <c r="A3471" i="44"/>
  <c r="A594"/>
  <c r="H4396" i="7" l="1"/>
  <c r="K4395"/>
  <c r="H5674"/>
  <c r="K5667"/>
  <c r="K5681" s="1"/>
  <c r="I5682" s="1"/>
  <c r="A867"/>
  <c r="A5248"/>
  <c r="A4489" i="18"/>
  <c r="A3497" i="44"/>
  <c r="A606"/>
  <c r="A595"/>
  <c r="H4403" i="7" l="1"/>
  <c r="K4396"/>
  <c r="H5675"/>
  <c r="K5674"/>
  <c r="K5668"/>
  <c r="I5683"/>
  <c r="A868"/>
  <c r="A4497" i="18"/>
  <c r="A5271" i="7"/>
  <c r="A3540" i="44"/>
  <c r="A613"/>
  <c r="H4404" i="7" l="1"/>
  <c r="K4403"/>
  <c r="K5672"/>
  <c r="K5669"/>
  <c r="K5670" s="1"/>
  <c r="I909" s="1"/>
  <c r="K909" s="1"/>
  <c r="L909" s="1"/>
  <c r="H5682"/>
  <c r="K5675"/>
  <c r="A5284"/>
  <c r="A4505" i="18"/>
  <c r="A869" i="7"/>
  <c r="A3567" i="44"/>
  <c r="A620"/>
  <c r="K4404" i="7" l="1"/>
  <c r="H4463"/>
  <c r="K5676"/>
  <c r="K5680" s="1"/>
  <c r="J4682" i="18"/>
  <c r="L4682" s="1"/>
  <c r="H5683" i="7"/>
  <c r="K5682"/>
  <c r="A4513" i="18"/>
  <c r="A870" i="7"/>
  <c r="A5296"/>
  <c r="A3591" i="44"/>
  <c r="A627"/>
  <c r="K5677" i="7" l="1"/>
  <c r="K5678" s="1"/>
  <c r="I910" s="1"/>
  <c r="K910" s="1"/>
  <c r="L910" s="1"/>
  <c r="J4690" i="18" s="1"/>
  <c r="L4690" s="1"/>
  <c r="H4479" i="7"/>
  <c r="H4464"/>
  <c r="K4464" s="1"/>
  <c r="K4463"/>
  <c r="K5683"/>
  <c r="K5684" s="1"/>
  <c r="H5701"/>
  <c r="A871"/>
  <c r="A4521" i="18"/>
  <c r="A5310" i="7"/>
  <c r="A3615" i="44"/>
  <c r="A634"/>
  <c r="K4465" i="7" l="1"/>
  <c r="K4471" s="1"/>
  <c r="K4472" s="1"/>
  <c r="K4477" s="1"/>
  <c r="H4480"/>
  <c r="K4479"/>
  <c r="H5702"/>
  <c r="K5701"/>
  <c r="K5685"/>
  <c r="K5686" s="1"/>
  <c r="I911" s="1"/>
  <c r="K911" s="1"/>
  <c r="L911" s="1"/>
  <c r="A4529" i="18"/>
  <c r="A872" i="7"/>
  <c r="A5336"/>
  <c r="A3639" i="44"/>
  <c r="A637"/>
  <c r="K4642" i="7" l="1"/>
  <c r="K4648" s="1"/>
  <c r="K4655" s="1"/>
  <c r="K4543"/>
  <c r="K4576" s="1"/>
  <c r="K4510"/>
  <c r="K4473"/>
  <c r="K4474" s="1"/>
  <c r="I789" s="1"/>
  <c r="K789" s="1"/>
  <c r="L789" s="1"/>
  <c r="G315" i="106" s="1"/>
  <c r="O315" s="1"/>
  <c r="K4480" i="7"/>
  <c r="K4481" s="1"/>
  <c r="H4487"/>
  <c r="H5709"/>
  <c r="K5702"/>
  <c r="K5703" s="1"/>
  <c r="J4698" i="18"/>
  <c r="L4698" s="1"/>
  <c r="A873" i="7"/>
  <c r="A4537" i="18"/>
  <c r="A5362" i="7"/>
  <c r="A3657" i="44"/>
  <c r="A640"/>
  <c r="G29" i="110" l="1"/>
  <c r="K4650" i="7"/>
  <c r="K4652" s="1"/>
  <c r="K4659" s="1"/>
  <c r="I804"/>
  <c r="K804" s="1"/>
  <c r="L804" s="1"/>
  <c r="J4082" i="18" s="1"/>
  <c r="L4082" s="1"/>
  <c r="H4488" i="7"/>
  <c r="K4487"/>
  <c r="K4482"/>
  <c r="K4483" s="1"/>
  <c r="K4485"/>
  <c r="J3983" i="18"/>
  <c r="L3983" s="1"/>
  <c r="K4609" i="7"/>
  <c r="K5731"/>
  <c r="I919" s="1"/>
  <c r="K919" s="1"/>
  <c r="L919" s="1"/>
  <c r="K5707"/>
  <c r="K5704"/>
  <c r="K5705" s="1"/>
  <c r="H5710"/>
  <c r="K5709"/>
  <c r="A874"/>
  <c r="A4545" i="18"/>
  <c r="A5388" i="7"/>
  <c r="A3675" i="44"/>
  <c r="A643"/>
  <c r="K4654" i="7" l="1"/>
  <c r="K4656" s="1"/>
  <c r="I806" s="1"/>
  <c r="K806" s="1"/>
  <c r="L806" s="1"/>
  <c r="I805"/>
  <c r="K805" s="1"/>
  <c r="L805" s="1"/>
  <c r="J4090" i="18" s="1"/>
  <c r="L4090" s="1"/>
  <c r="H4495" i="7"/>
  <c r="K4488"/>
  <c r="K4489" s="1"/>
  <c r="I914"/>
  <c r="K914" s="1"/>
  <c r="L914" s="1"/>
  <c r="K5733"/>
  <c r="H5717"/>
  <c r="K5710"/>
  <c r="K5724" s="1"/>
  <c r="I5725" s="1"/>
  <c r="J4741" i="18"/>
  <c r="L4741" s="1"/>
  <c r="A5414" i="7"/>
  <c r="A875"/>
  <c r="A3692" i="44"/>
  <c r="A646"/>
  <c r="K4658" i="7" l="1"/>
  <c r="K4660" s="1"/>
  <c r="I817" s="1"/>
  <c r="K817" s="1"/>
  <c r="L817" s="1"/>
  <c r="J4172" i="18" s="1"/>
  <c r="L4172" s="1"/>
  <c r="K4493" i="7"/>
  <c r="K4490"/>
  <c r="K4491" s="1"/>
  <c r="I790" s="1"/>
  <c r="K790" s="1"/>
  <c r="L790" s="1"/>
  <c r="H4496"/>
  <c r="H4512" s="1"/>
  <c r="K4495"/>
  <c r="J4098" i="18"/>
  <c r="L4098" s="1"/>
  <c r="J4708"/>
  <c r="L4708" s="1"/>
  <c r="I5726" i="7"/>
  <c r="H5718"/>
  <c r="K5717"/>
  <c r="K5711"/>
  <c r="A876"/>
  <c r="A5431"/>
  <c r="A3709" i="44"/>
  <c r="A649"/>
  <c r="H4513" i="7" l="1"/>
  <c r="K4512"/>
  <c r="H4503"/>
  <c r="K4496"/>
  <c r="K4497" s="1"/>
  <c r="J3991" i="18"/>
  <c r="L3991" s="1"/>
  <c r="K5715" i="7"/>
  <c r="K5712"/>
  <c r="K5713" s="1"/>
  <c r="H5725"/>
  <c r="K5718"/>
  <c r="A5451"/>
  <c r="A877"/>
  <c r="A3727" i="44"/>
  <c r="A652"/>
  <c r="H4520" i="7" l="1"/>
  <c r="K4513"/>
  <c r="K4514" s="1"/>
  <c r="K4501"/>
  <c r="K4498"/>
  <c r="K4499" s="1"/>
  <c r="I791" s="1"/>
  <c r="K791" s="1"/>
  <c r="L791" s="1"/>
  <c r="H4504"/>
  <c r="K4504" s="1"/>
  <c r="K4503"/>
  <c r="K5741"/>
  <c r="I915"/>
  <c r="K915" s="1"/>
  <c r="L915" s="1"/>
  <c r="H5726"/>
  <c r="K5725"/>
  <c r="K5719"/>
  <c r="A878"/>
  <c r="A5471"/>
  <c r="A3745" i="44"/>
  <c r="A655"/>
  <c r="K4518" i="7" l="1"/>
  <c r="K4515"/>
  <c r="K4516" s="1"/>
  <c r="I794" s="1"/>
  <c r="K794" s="1"/>
  <c r="L794" s="1"/>
  <c r="H4521"/>
  <c r="K4520"/>
  <c r="J3999" i="18"/>
  <c r="L3999" s="1"/>
  <c r="K4505" i="7"/>
  <c r="K4506" s="1"/>
  <c r="K4507" s="1"/>
  <c r="I792" s="1"/>
  <c r="K792" s="1"/>
  <c r="L792" s="1"/>
  <c r="K5726"/>
  <c r="H5735"/>
  <c r="K5720"/>
  <c r="K5721" s="1"/>
  <c r="K5723"/>
  <c r="J4716" i="18"/>
  <c r="L4716" s="1"/>
  <c r="A5491" i="7"/>
  <c r="A879"/>
  <c r="A3762" i="44"/>
  <c r="A658"/>
  <c r="H4528" i="7" l="1"/>
  <c r="K4521"/>
  <c r="K4522" s="1"/>
  <c r="J4016" i="18"/>
  <c r="L4016" s="1"/>
  <c r="K5727" i="7"/>
  <c r="K5728" s="1"/>
  <c r="K5729" s="1"/>
  <c r="J4007" i="18"/>
  <c r="L4007" s="1"/>
  <c r="H5736" i="7"/>
  <c r="K5735"/>
  <c r="I916"/>
  <c r="K916" s="1"/>
  <c r="L916" s="1"/>
  <c r="K5749"/>
  <c r="A4553" i="18"/>
  <c r="A890" i="7"/>
  <c r="A3779" i="44"/>
  <c r="A661"/>
  <c r="K4526" i="7" l="1"/>
  <c r="K4523"/>
  <c r="K4524" s="1"/>
  <c r="I795" s="1"/>
  <c r="K795" s="1"/>
  <c r="L795" s="1"/>
  <c r="H4529"/>
  <c r="H4545" s="1"/>
  <c r="K4528"/>
  <c r="H5743"/>
  <c r="K5736"/>
  <c r="K5750" s="1"/>
  <c r="I5751" s="1"/>
  <c r="J4724" i="18"/>
  <c r="L4724" s="1"/>
  <c r="I917" i="7"/>
  <c r="K917" s="1"/>
  <c r="L917" s="1"/>
  <c r="A901"/>
  <c r="A5546"/>
  <c r="A3797" i="44"/>
  <c r="A664"/>
  <c r="H4546" i="7" l="1"/>
  <c r="K4545"/>
  <c r="J4024" i="18"/>
  <c r="L4024" s="1"/>
  <c r="H4536" i="7"/>
  <c r="K4529"/>
  <c r="K4530" s="1"/>
  <c r="K5737"/>
  <c r="K5738" s="1"/>
  <c r="K5739" s="1"/>
  <c r="I920" s="1"/>
  <c r="K920" s="1"/>
  <c r="L920" s="1"/>
  <c r="I5752"/>
  <c r="H5744"/>
  <c r="K5743"/>
  <c r="J4732" i="18"/>
  <c r="L4732" s="1"/>
  <c r="A4632"/>
  <c r="A912" i="7"/>
  <c r="A5618"/>
  <c r="A3814" i="44"/>
  <c r="A667"/>
  <c r="H4553" i="7" l="1"/>
  <c r="K4546"/>
  <c r="K4547" s="1"/>
  <c r="H4537"/>
  <c r="K4537" s="1"/>
  <c r="K4536"/>
  <c r="K4534"/>
  <c r="K4531"/>
  <c r="K4532" s="1"/>
  <c r="I796" s="1"/>
  <c r="K796" s="1"/>
  <c r="L796" s="1"/>
  <c r="H5751"/>
  <c r="K5744"/>
  <c r="K5745" s="1"/>
  <c r="K5746" s="1"/>
  <c r="K5747" s="1"/>
  <c r="I921" s="1"/>
  <c r="K921" s="1"/>
  <c r="L921" s="1"/>
  <c r="J4749" i="18"/>
  <c r="L4749" s="1"/>
  <c r="A5687" i="7"/>
  <c r="A923"/>
  <c r="A4699" i="18"/>
  <c r="A3831" i="44"/>
  <c r="A670"/>
  <c r="K4551" i="7" l="1"/>
  <c r="K4548"/>
  <c r="K4549" s="1"/>
  <c r="I799" s="1"/>
  <c r="K799" s="1"/>
  <c r="L799" s="1"/>
  <c r="H4554"/>
  <c r="K4553"/>
  <c r="J4032" i="18"/>
  <c r="L4032" s="1"/>
  <c r="K4538" i="7"/>
  <c r="K4539" s="1"/>
  <c r="K4540" s="1"/>
  <c r="I797" s="1"/>
  <c r="K797" s="1"/>
  <c r="L797" s="1"/>
  <c r="J4757" i="18"/>
  <c r="L4757" s="1"/>
  <c r="H5752" i="7"/>
  <c r="K5751"/>
  <c r="A934"/>
  <c r="A5756"/>
  <c r="A4766" i="18"/>
  <c r="A3843" i="44"/>
  <c r="A673"/>
  <c r="H4561" i="7" l="1"/>
  <c r="K4554"/>
  <c r="K4555" s="1"/>
  <c r="J4049" i="18"/>
  <c r="L4049" s="1"/>
  <c r="J4040"/>
  <c r="L4040" s="1"/>
  <c r="K5752" i="7"/>
  <c r="K5753" s="1"/>
  <c r="K5754" s="1"/>
  <c r="K5755" s="1"/>
  <c r="I922" s="1"/>
  <c r="K922" s="1"/>
  <c r="L922" s="1"/>
  <c r="H5770"/>
  <c r="A939"/>
  <c r="A4833" i="18"/>
  <c r="A5825" i="7"/>
  <c r="A3860" i="44"/>
  <c r="A676"/>
  <c r="J4765" i="18" l="1"/>
  <c r="L4765" s="1"/>
  <c r="K4559" i="7"/>
  <c r="K4556"/>
  <c r="K4557" s="1"/>
  <c r="I800" s="1"/>
  <c r="K800" s="1"/>
  <c r="L800" s="1"/>
  <c r="H4562"/>
  <c r="H4578" s="1"/>
  <c r="K4561"/>
  <c r="H5771"/>
  <c r="K5770"/>
  <c r="A5868"/>
  <c r="A944"/>
  <c r="A3877" i="44"/>
  <c r="A679"/>
  <c r="H4579" i="7" l="1"/>
  <c r="K4578"/>
  <c r="J4057" i="18"/>
  <c r="L4057" s="1"/>
  <c r="H4569" i="7"/>
  <c r="K4562"/>
  <c r="K4563" s="1"/>
  <c r="K5771"/>
  <c r="K5772" s="1"/>
  <c r="K5802" s="1"/>
  <c r="H5778"/>
  <c r="A949"/>
  <c r="A4900" i="18"/>
  <c r="A5911" i="7"/>
  <c r="A3894" i="44"/>
  <c r="A682"/>
  <c r="H4586" i="7" l="1"/>
  <c r="K4579"/>
  <c r="K4580" s="1"/>
  <c r="K4567"/>
  <c r="K4564"/>
  <c r="K4565" s="1"/>
  <c r="H4570"/>
  <c r="K4570" s="1"/>
  <c r="K4569"/>
  <c r="K5800"/>
  <c r="I930" s="1"/>
  <c r="K930" s="1"/>
  <c r="L930" s="1"/>
  <c r="K5776"/>
  <c r="K5773"/>
  <c r="K5774" s="1"/>
  <c r="I925" s="1"/>
  <c r="K925" s="1"/>
  <c r="L925" s="1"/>
  <c r="H5779"/>
  <c r="K5778"/>
  <c r="A954"/>
  <c r="A5936"/>
  <c r="A3912" i="44"/>
  <c r="A685"/>
  <c r="K4584" i="7" l="1"/>
  <c r="K4581"/>
  <c r="K4582" s="1"/>
  <c r="I809" s="1"/>
  <c r="K809" s="1"/>
  <c r="L809" s="1"/>
  <c r="H4587"/>
  <c r="K4586"/>
  <c r="K4571"/>
  <c r="K4572" s="1"/>
  <c r="K4573" s="1"/>
  <c r="I802" s="1"/>
  <c r="K802" s="1"/>
  <c r="L802" s="1"/>
  <c r="H5786"/>
  <c r="K5779"/>
  <c r="K5793" s="1"/>
  <c r="I5794" s="1"/>
  <c r="J4808" i="18"/>
  <c r="L4808" s="1"/>
  <c r="J4775"/>
  <c r="A5976" i="7"/>
  <c r="A4966" i="18"/>
  <c r="A959" i="7"/>
  <c r="A3929" i="44"/>
  <c r="A688"/>
  <c r="J4115" i="18" l="1"/>
  <c r="L4115" s="1"/>
  <c r="H4594" i="7"/>
  <c r="K4587"/>
  <c r="K4588" s="1"/>
  <c r="J4073" i="18"/>
  <c r="L4073" s="1"/>
  <c r="H5787" i="7"/>
  <c r="K5786"/>
  <c r="I5795"/>
  <c r="K5780"/>
  <c r="L4775" i="18"/>
  <c r="A964" i="7"/>
  <c r="A6019"/>
  <c r="A3946" i="44"/>
  <c r="A689"/>
  <c r="H4595" i="7" l="1"/>
  <c r="H4611" s="1"/>
  <c r="K4594"/>
  <c r="K4592"/>
  <c r="K4589"/>
  <c r="K4590" s="1"/>
  <c r="K5784"/>
  <c r="K5781"/>
  <c r="K5782" s="1"/>
  <c r="H5794"/>
  <c r="K5787"/>
  <c r="A5032" i="18"/>
  <c r="A969" i="7"/>
  <c r="A6062"/>
  <c r="A3955" i="44"/>
  <c r="A690"/>
  <c r="H4612" i="7" l="1"/>
  <c r="K4611"/>
  <c r="I810"/>
  <c r="K810" s="1"/>
  <c r="L810" s="1"/>
  <c r="H4602"/>
  <c r="K4595"/>
  <c r="K4596" s="1"/>
  <c r="H5795"/>
  <c r="K5794"/>
  <c r="I926"/>
  <c r="K926" s="1"/>
  <c r="L926" s="1"/>
  <c r="K5810"/>
  <c r="K5788"/>
  <c r="A5065" i="18"/>
  <c r="A974" i="7"/>
  <c r="A6104"/>
  <c r="A3964" i="44"/>
  <c r="A693"/>
  <c r="H4619" i="7" l="1"/>
  <c r="K4612"/>
  <c r="K4613" s="1"/>
  <c r="K4600"/>
  <c r="K4597"/>
  <c r="K4598" s="1"/>
  <c r="J4123" i="18"/>
  <c r="L4123" s="1"/>
  <c r="H4603" i="7"/>
  <c r="K4603" s="1"/>
  <c r="K4602"/>
  <c r="K5795"/>
  <c r="H5804"/>
  <c r="J4783" i="18"/>
  <c r="L4783" s="1"/>
  <c r="K5789" i="7"/>
  <c r="K5790" s="1"/>
  <c r="K5792"/>
  <c r="A5098" i="18"/>
  <c r="A979" i="7"/>
  <c r="A6146"/>
  <c r="A3990" i="44"/>
  <c r="A694"/>
  <c r="K4614" i="7" l="1"/>
  <c r="K4615" s="1"/>
  <c r="I814" s="1"/>
  <c r="K814" s="1"/>
  <c r="L814" s="1"/>
  <c r="K4617"/>
  <c r="H4620"/>
  <c r="K4619"/>
  <c r="K5796"/>
  <c r="K5797" s="1"/>
  <c r="K5798" s="1"/>
  <c r="I928" s="1"/>
  <c r="K928" s="1"/>
  <c r="L928" s="1"/>
  <c r="K4604"/>
  <c r="K4605" s="1"/>
  <c r="K4606" s="1"/>
  <c r="H5805"/>
  <c r="K5804"/>
  <c r="I927"/>
  <c r="K927" s="1"/>
  <c r="L927" s="1"/>
  <c r="K5818"/>
  <c r="A5133" i="18"/>
  <c r="A984" i="7"/>
  <c r="A6189"/>
  <c r="A4003" i="44"/>
  <c r="A695"/>
  <c r="J4799" i="18" l="1"/>
  <c r="L4799" s="1"/>
  <c r="H4627" i="7"/>
  <c r="K4620"/>
  <c r="K4621" s="1"/>
  <c r="J4148" i="18"/>
  <c r="L4148" s="1"/>
  <c r="I801" i="7"/>
  <c r="K801" s="1"/>
  <c r="L801" s="1"/>
  <c r="I807"/>
  <c r="K807" s="1"/>
  <c r="L807" s="1"/>
  <c r="I811"/>
  <c r="K811" s="1"/>
  <c r="L811" s="1"/>
  <c r="H5812"/>
  <c r="K5805"/>
  <c r="K5806" s="1"/>
  <c r="K5807" s="1"/>
  <c r="K5808" s="1"/>
  <c r="I931" s="1"/>
  <c r="K931" s="1"/>
  <c r="L931" s="1"/>
  <c r="J4791" i="18"/>
  <c r="L4791" s="1"/>
  <c r="A6214" i="7"/>
  <c r="A989"/>
  <c r="A5166" i="18"/>
  <c r="A4016" i="44"/>
  <c r="A696"/>
  <c r="K4625" i="7" l="1"/>
  <c r="K4622"/>
  <c r="K4623" s="1"/>
  <c r="I815" s="1"/>
  <c r="K815" s="1"/>
  <c r="L815" s="1"/>
  <c r="H4628"/>
  <c r="K4627"/>
  <c r="J4131" i="18"/>
  <c r="L4131" s="1"/>
  <c r="J4106"/>
  <c r="L4106" s="1"/>
  <c r="J4065"/>
  <c r="L4065" s="1"/>
  <c r="J4816"/>
  <c r="L4816" s="1"/>
  <c r="H5813" i="7"/>
  <c r="K5812"/>
  <c r="A994"/>
  <c r="A6239"/>
  <c r="A5199" i="18"/>
  <c r="A4024" i="44"/>
  <c r="A697"/>
  <c r="J4156" i="18" l="1"/>
  <c r="L4156" s="1"/>
  <c r="H4635" i="7"/>
  <c r="K4628"/>
  <c r="K4629" s="1"/>
  <c r="H5820"/>
  <c r="K5813"/>
  <c r="K5814" s="1"/>
  <c r="K5815" s="1"/>
  <c r="K5816" s="1"/>
  <c r="I932" s="1"/>
  <c r="K932" s="1"/>
  <c r="L932" s="1"/>
  <c r="A999"/>
  <c r="A6261"/>
  <c r="A5232" i="18"/>
  <c r="A4032" i="44"/>
  <c r="A698"/>
  <c r="A699" s="1"/>
  <c r="K4633" i="7" l="1"/>
  <c r="K4630"/>
  <c r="K4631" s="1"/>
  <c r="I816" s="1"/>
  <c r="K816" s="1"/>
  <c r="L816" s="1"/>
  <c r="H4636"/>
  <c r="K4636" s="1"/>
  <c r="K4635"/>
  <c r="J4824" i="18"/>
  <c r="L4824" s="1"/>
  <c r="H5821" i="7"/>
  <c r="K5820"/>
  <c r="A6286"/>
  <c r="A1004"/>
  <c r="A4046" i="44"/>
  <c r="A700"/>
  <c r="J4164" i="18" l="1"/>
  <c r="L4164" s="1"/>
  <c r="K4637" i="7"/>
  <c r="K4638" s="1"/>
  <c r="K4639" s="1"/>
  <c r="I812" s="1"/>
  <c r="K812" s="1"/>
  <c r="L812" s="1"/>
  <c r="K5821"/>
  <c r="K5822" s="1"/>
  <c r="K5823" s="1"/>
  <c r="K5824" s="1"/>
  <c r="I933" s="1"/>
  <c r="K933" s="1"/>
  <c r="L933" s="1"/>
  <c r="H5839"/>
  <c r="A6328"/>
  <c r="A1009"/>
  <c r="A5298" i="18"/>
  <c r="A4063" i="44"/>
  <c r="A701"/>
  <c r="J4139" i="18" l="1"/>
  <c r="L4139" s="1"/>
  <c r="H5840" i="7"/>
  <c r="K5839"/>
  <c r="J4832" i="18"/>
  <c r="L4832" s="1"/>
  <c r="A5331"/>
  <c r="A1014" i="7"/>
  <c r="A6371"/>
  <c r="A4077" i="44"/>
  <c r="A702"/>
  <c r="K5840" i="7" l="1"/>
  <c r="K5841" s="1"/>
  <c r="H5847"/>
  <c r="A6415"/>
  <c r="A1019"/>
  <c r="A5364" i="18"/>
  <c r="A4109" i="44"/>
  <c r="A703"/>
  <c r="K5845" i="7" l="1"/>
  <c r="K5842"/>
  <c r="K5843" s="1"/>
  <c r="I935" s="1"/>
  <c r="K935" s="1"/>
  <c r="L935" s="1"/>
  <c r="H5848"/>
  <c r="K5847"/>
  <c r="A1024"/>
  <c r="A6440"/>
  <c r="A5397" i="18"/>
  <c r="A4139" i="44"/>
  <c r="A704"/>
  <c r="J4841" i="18" l="1"/>
  <c r="L4841" s="1"/>
  <c r="H5855" i="7"/>
  <c r="K5848"/>
  <c r="K5849" s="1"/>
  <c r="A5430" i="18"/>
  <c r="A6465" i="7"/>
  <c r="A1025"/>
  <c r="A4147" i="44"/>
  <c r="A705"/>
  <c r="K5853" i="7" l="1"/>
  <c r="K5850"/>
  <c r="K5851" s="1"/>
  <c r="I936" s="1"/>
  <c r="K936" s="1"/>
  <c r="L936" s="1"/>
  <c r="H5856"/>
  <c r="K5855"/>
  <c r="A6474"/>
  <c r="A5438" i="18"/>
  <c r="A1026" i="7"/>
  <c r="A4155" i="44"/>
  <c r="A706"/>
  <c r="H5863" i="7" l="1"/>
  <c r="K5856"/>
  <c r="K5857" s="1"/>
  <c r="J4849" i="18"/>
  <c r="L4849" s="1"/>
  <c r="A6483" i="7"/>
  <c r="A1029"/>
  <c r="A5446" i="18"/>
  <c r="A4166" i="44"/>
  <c r="A707"/>
  <c r="K5858" i="7" l="1"/>
  <c r="K5859" s="1"/>
  <c r="I937" s="1"/>
  <c r="K937" s="1"/>
  <c r="L937" s="1"/>
  <c r="K5861"/>
  <c r="H5864"/>
  <c r="K5863"/>
  <c r="A5463" i="18"/>
  <c r="A1030" i="7"/>
  <c r="A4184" i="44"/>
  <c r="A708"/>
  <c r="K5864" i="7" l="1"/>
  <c r="K5865" s="1"/>
  <c r="K5866" s="1"/>
  <c r="K5867" s="1"/>
  <c r="I938" s="1"/>
  <c r="K938" s="1"/>
  <c r="L938" s="1"/>
  <c r="H5882"/>
  <c r="J4857" i="18"/>
  <c r="L4857" s="1"/>
  <c r="A1031" i="7"/>
  <c r="A5471" i="18"/>
  <c r="A4198" i="44"/>
  <c r="A712"/>
  <c r="H5883" i="7" l="1"/>
  <c r="K5882"/>
  <c r="J4865" i="18"/>
  <c r="L4865" s="1"/>
  <c r="A5479"/>
  <c r="A1032" i="7"/>
  <c r="A4224" i="44"/>
  <c r="A716"/>
  <c r="K5883" i="7" l="1"/>
  <c r="K5884" s="1"/>
  <c r="K5888" s="1"/>
  <c r="H5890"/>
  <c r="A1033"/>
  <c r="A5487" i="18"/>
  <c r="A4253" i="44"/>
  <c r="A720"/>
  <c r="H5891" i="7" l="1"/>
  <c r="K5890"/>
  <c r="K5885"/>
  <c r="K5886" s="1"/>
  <c r="A1034"/>
  <c r="A5495" i="18"/>
  <c r="A4276" i="44"/>
  <c r="A721"/>
  <c r="H5898" i="7" l="1"/>
  <c r="K5891"/>
  <c r="K5892" s="1"/>
  <c r="I940"/>
  <c r="K940" s="1"/>
  <c r="L940" s="1"/>
  <c r="G357" i="106" s="1"/>
  <c r="O357" s="1"/>
  <c r="A5503" i="18"/>
  <c r="A1035" i="7"/>
  <c r="A4300" i="44"/>
  <c r="A722"/>
  <c r="G32" i="110" l="1"/>
  <c r="K5896" i="7"/>
  <c r="K5893"/>
  <c r="K5894" s="1"/>
  <c r="I941" s="1"/>
  <c r="K941" s="1"/>
  <c r="L941" s="1"/>
  <c r="H5899"/>
  <c r="K5898"/>
  <c r="J4875" i="18"/>
  <c r="A5511"/>
  <c r="A1036" i="7"/>
  <c r="A4316" i="44"/>
  <c r="A723"/>
  <c r="H5906" i="7" l="1"/>
  <c r="K5899"/>
  <c r="K5900" s="1"/>
  <c r="J4883" i="18"/>
  <c r="L4883" s="1"/>
  <c r="L4875"/>
  <c r="A1037" i="7"/>
  <c r="A5519" i="18"/>
  <c r="A4354" i="44"/>
  <c r="A724"/>
  <c r="K5901" i="7" l="1"/>
  <c r="K5902" s="1"/>
  <c r="I942" s="1"/>
  <c r="K942" s="1"/>
  <c r="L942" s="1"/>
  <c r="K5904"/>
  <c r="H5907"/>
  <c r="K5906"/>
  <c r="A1038"/>
  <c r="A5527" i="18"/>
  <c r="A4361" i="44"/>
  <c r="A725"/>
  <c r="J4891" i="18" l="1"/>
  <c r="L4891" s="1"/>
  <c r="K5907" i="7"/>
  <c r="K5908" s="1"/>
  <c r="K5909" s="1"/>
  <c r="K5910" s="1"/>
  <c r="I943" s="1"/>
  <c r="K943" s="1"/>
  <c r="L943" s="1"/>
  <c r="H5946"/>
  <c r="A1039"/>
  <c r="A5535" i="18"/>
  <c r="A4371" i="44"/>
  <c r="A726"/>
  <c r="J4899" i="18" l="1"/>
  <c r="L4899" s="1"/>
  <c r="H5947" i="7"/>
  <c r="K5946"/>
  <c r="A1040"/>
  <c r="A5543" i="18"/>
  <c r="A4379" i="44"/>
  <c r="A727"/>
  <c r="K5947" i="7" l="1"/>
  <c r="K5948" s="1"/>
  <c r="H5955"/>
  <c r="A5551" i="18"/>
  <c r="A1041" i="7"/>
  <c r="A4387" i="44"/>
  <c r="A728"/>
  <c r="H5956" i="7" l="1"/>
  <c r="K5955"/>
  <c r="K5949"/>
  <c r="K5950" s="1"/>
  <c r="K5951" s="1"/>
  <c r="K5953"/>
  <c r="A1042"/>
  <c r="A5559" i="18"/>
  <c r="A4395" i="44"/>
  <c r="A729"/>
  <c r="H5963" i="7" l="1"/>
  <c r="K5956"/>
  <c r="K5957" s="1"/>
  <c r="K5958" s="1"/>
  <c r="K5959" s="1"/>
  <c r="I950"/>
  <c r="K950" s="1"/>
  <c r="L950" s="1"/>
  <c r="G330" i="106" s="1"/>
  <c r="O330" s="1"/>
  <c r="A1043" i="7"/>
  <c r="A5567" i="18"/>
  <c r="A4400" i="44"/>
  <c r="A730"/>
  <c r="H5964" i="7" l="1"/>
  <c r="K5963"/>
  <c r="I951"/>
  <c r="K951" s="1"/>
  <c r="L951" s="1"/>
  <c r="K5961"/>
  <c r="J4941" i="18"/>
  <c r="A5575"/>
  <c r="A1044" i="7"/>
  <c r="A4405" i="44"/>
  <c r="A731"/>
  <c r="H5971" i="7" l="1"/>
  <c r="K5964"/>
  <c r="K5965" s="1"/>
  <c r="K5966" s="1"/>
  <c r="K5967" s="1"/>
  <c r="L4941" i="18"/>
  <c r="J4949"/>
  <c r="L4949" s="1"/>
  <c r="A5583"/>
  <c r="A1048" i="7"/>
  <c r="A4419" i="44"/>
  <c r="A732"/>
  <c r="K5969" i="7" l="1"/>
  <c r="I952"/>
  <c r="K952" s="1"/>
  <c r="L952" s="1"/>
  <c r="H5972"/>
  <c r="K5971"/>
  <c r="A5608" i="18"/>
  <c r="A1053" i="7"/>
  <c r="A4429" i="44"/>
  <c r="A733"/>
  <c r="J4957" i="18" l="1"/>
  <c r="L4957" s="1"/>
  <c r="K5972" i="7"/>
  <c r="K5973" s="1"/>
  <c r="K5974" s="1"/>
  <c r="K5975" s="1"/>
  <c r="I953" s="1"/>
  <c r="K953" s="1"/>
  <c r="L953" s="1"/>
  <c r="H5990"/>
  <c r="A5641" i="18"/>
  <c r="A1057" i="7"/>
  <c r="A4435" i="44"/>
  <c r="A737"/>
  <c r="J4965" i="18" l="1"/>
  <c r="L4965" s="1"/>
  <c r="H5991" i="7"/>
  <c r="K5990"/>
  <c r="A5666" i="18"/>
  <c r="A1058" i="7"/>
  <c r="A4452" i="44"/>
  <c r="A738"/>
  <c r="K5991" i="7" l="1"/>
  <c r="K5992" s="1"/>
  <c r="K5996" s="1"/>
  <c r="H5998"/>
  <c r="A1059"/>
  <c r="A5674" i="18"/>
  <c r="A4460" i="44"/>
  <c r="A739"/>
  <c r="K5993" i="7" l="1"/>
  <c r="K5994" s="1"/>
  <c r="I955" s="1"/>
  <c r="K955" s="1"/>
  <c r="L955" s="1"/>
  <c r="H5999"/>
  <c r="K5998"/>
  <c r="A1060"/>
  <c r="A5682" i="18"/>
  <c r="A4469" i="44"/>
  <c r="A745"/>
  <c r="J4974" i="18" l="1"/>
  <c r="L4974" s="1"/>
  <c r="H6006" i="7"/>
  <c r="K5999"/>
  <c r="K6000" s="1"/>
  <c r="A5690" i="18"/>
  <c r="A1061" i="7"/>
  <c r="A4506" i="44"/>
  <c r="A746"/>
  <c r="K6004" i="7" l="1"/>
  <c r="K6001"/>
  <c r="K6002" s="1"/>
  <c r="I956" s="1"/>
  <c r="K956" s="1"/>
  <c r="L956" s="1"/>
  <c r="H6007"/>
  <c r="K6006"/>
  <c r="A5698" i="18"/>
  <c r="A1062" i="7"/>
  <c r="A4514" i="44"/>
  <c r="A747"/>
  <c r="H6014" i="7" l="1"/>
  <c r="K6007"/>
  <c r="K6008" s="1"/>
  <c r="J4982" i="18"/>
  <c r="L4982" s="1"/>
  <c r="A1063" i="7"/>
  <c r="A5706" i="18"/>
  <c r="A4523" i="44"/>
  <c r="A748"/>
  <c r="K6009" i="7" l="1"/>
  <c r="K6010" s="1"/>
  <c r="I957" s="1"/>
  <c r="K957" s="1"/>
  <c r="L957" s="1"/>
  <c r="K6012"/>
  <c r="H6015"/>
  <c r="K6014"/>
  <c r="A1064"/>
  <c r="A5714" i="18"/>
  <c r="A4534" i="44"/>
  <c r="A749"/>
  <c r="K6015" i="7" l="1"/>
  <c r="K6016" s="1"/>
  <c r="K6017" s="1"/>
  <c r="K6018" s="1"/>
  <c r="I958" s="1"/>
  <c r="K958" s="1"/>
  <c r="L958" s="1"/>
  <c r="H6033"/>
  <c r="J4990" i="18"/>
  <c r="L4990" s="1"/>
  <c r="A1065" i="7"/>
  <c r="A5722" i="18"/>
  <c r="A4543" i="44"/>
  <c r="A750"/>
  <c r="H6034" i="7" l="1"/>
  <c r="K6033"/>
  <c r="J4998" i="18"/>
  <c r="L4998" s="1"/>
  <c r="A5730"/>
  <c r="A1066" i="7"/>
  <c r="A4554" i="44"/>
  <c r="A799"/>
  <c r="K6034" i="7" l="1"/>
  <c r="K6035" s="1"/>
  <c r="H6041"/>
  <c r="A1067"/>
  <c r="A5738" i="18"/>
  <c r="A4674" i="44"/>
  <c r="A849"/>
  <c r="K6036" i="7" l="1"/>
  <c r="K6037" s="1"/>
  <c r="I960" s="1"/>
  <c r="K960" s="1"/>
  <c r="L960" s="1"/>
  <c r="G365" i="106" s="1"/>
  <c r="O365" s="1"/>
  <c r="K6039" i="7"/>
  <c r="H6042"/>
  <c r="K6041"/>
  <c r="A1068"/>
  <c r="A5746" i="18"/>
  <c r="A4794" i="44"/>
  <c r="A867"/>
  <c r="J5007" i="18" l="1"/>
  <c r="L5007" s="1"/>
  <c r="H6049" i="7"/>
  <c r="K6042"/>
  <c r="K6043" s="1"/>
  <c r="A1069"/>
  <c r="A5754" i="18"/>
  <c r="A4826" i="44"/>
  <c r="A868"/>
  <c r="K6047" i="7" l="1"/>
  <c r="K6044"/>
  <c r="K6045" s="1"/>
  <c r="I961" s="1"/>
  <c r="K961" s="1"/>
  <c r="L961" s="1"/>
  <c r="H6050"/>
  <c r="K6049"/>
  <c r="A5762" i="18"/>
  <c r="A1070" i="7"/>
  <c r="A4857" i="44"/>
  <c r="A869"/>
  <c r="H6057" i="7" l="1"/>
  <c r="H6075" s="1"/>
  <c r="K6050"/>
  <c r="K6051" s="1"/>
  <c r="J5015" i="18"/>
  <c r="L5015" s="1"/>
  <c r="A1071" i="7"/>
  <c r="A5770" i="18"/>
  <c r="A4888" i="44"/>
  <c r="A870"/>
  <c r="H6076" i="7" l="1"/>
  <c r="K6075"/>
  <c r="K6052"/>
  <c r="K6053" s="1"/>
  <c r="I962" s="1"/>
  <c r="K962" s="1"/>
  <c r="L962" s="1"/>
  <c r="K6055"/>
  <c r="H6058"/>
  <c r="K6058" s="1"/>
  <c r="K6057"/>
  <c r="A1075"/>
  <c r="A5778" i="18"/>
  <c r="A4917" i="44"/>
  <c r="A871"/>
  <c r="K6076" i="7" l="1"/>
  <c r="K6077" s="1"/>
  <c r="H6083"/>
  <c r="K6059"/>
  <c r="J5023" i="18"/>
  <c r="L5023" s="1"/>
  <c r="A1076" i="7"/>
  <c r="A5803" i="18"/>
  <c r="A4945" i="44"/>
  <c r="A872"/>
  <c r="K6081" i="7" l="1"/>
  <c r="K6078"/>
  <c r="K6079" s="1"/>
  <c r="I965" s="1"/>
  <c r="K965" s="1"/>
  <c r="L965" s="1"/>
  <c r="H6084"/>
  <c r="K6083"/>
  <c r="K6060"/>
  <c r="K6061" s="1"/>
  <c r="I963" s="1"/>
  <c r="K963" s="1"/>
  <c r="L963" s="1"/>
  <c r="A5811" i="18"/>
  <c r="A1077" i="7"/>
  <c r="A4972" i="44"/>
  <c r="A873"/>
  <c r="J5040" i="18" l="1"/>
  <c r="L5040" s="1"/>
  <c r="H6091" i="7"/>
  <c r="K6084"/>
  <c r="K6085" s="1"/>
  <c r="J5031" i="18"/>
  <c r="L5031" s="1"/>
  <c r="A5819"/>
  <c r="A1083" i="7"/>
  <c r="A4977" i="44"/>
  <c r="A874"/>
  <c r="K6089" i="7" l="1"/>
  <c r="K6086"/>
  <c r="K6087" s="1"/>
  <c r="I966" s="1"/>
  <c r="K966" s="1"/>
  <c r="L966" s="1"/>
  <c r="H6092"/>
  <c r="K6091"/>
  <c r="A5860" i="18"/>
  <c r="A1084" i="7"/>
  <c r="A4982" i="44"/>
  <c r="A875"/>
  <c r="J5048" i="18" l="1"/>
  <c r="L5048" s="1"/>
  <c r="H6099" i="7"/>
  <c r="H6117" s="1"/>
  <c r="K6092"/>
  <c r="K6093" s="1"/>
  <c r="A1085"/>
  <c r="A5868" i="18"/>
  <c r="A4987" i="44"/>
  <c r="A876"/>
  <c r="H6118" i="7" l="1"/>
  <c r="K6117"/>
  <c r="K6094"/>
  <c r="K6095" s="1"/>
  <c r="I967" s="1"/>
  <c r="K967" s="1"/>
  <c r="L967" s="1"/>
  <c r="K6097"/>
  <c r="H6100"/>
  <c r="K6100" s="1"/>
  <c r="K6099"/>
  <c r="A5876" i="18"/>
  <c r="A1086" i="7"/>
  <c r="A4992" i="44"/>
  <c r="A877"/>
  <c r="K6118" i="7" l="1"/>
  <c r="K6119" s="1"/>
  <c r="K6120" s="1"/>
  <c r="K6121" s="1"/>
  <c r="H6125"/>
  <c r="K6101"/>
  <c r="K6102" s="1"/>
  <c r="K6103" s="1"/>
  <c r="I968" s="1"/>
  <c r="K968" s="1"/>
  <c r="L968" s="1"/>
  <c r="J5056" i="18"/>
  <c r="L5056" s="1"/>
  <c r="A5884"/>
  <c r="A1087" i="7"/>
  <c r="A4997" i="44"/>
  <c r="A878"/>
  <c r="A879" s="1"/>
  <c r="A880" s="1"/>
  <c r="A881" s="1"/>
  <c r="A882" s="1"/>
  <c r="A883" s="1"/>
  <c r="A884" s="1"/>
  <c r="A885" s="1"/>
  <c r="A886" s="1"/>
  <c r="A887" s="1"/>
  <c r="A888" s="1"/>
  <c r="A889" s="1"/>
  <c r="A890" s="1"/>
  <c r="A891" s="1"/>
  <c r="A892" s="1"/>
  <c r="A893" s="1"/>
  <c r="A894" s="1"/>
  <c r="A895" s="1"/>
  <c r="A896" s="1"/>
  <c r="A897" s="1"/>
  <c r="A898" s="1"/>
  <c r="A899" s="1"/>
  <c r="A900" s="1"/>
  <c r="A901" s="1"/>
  <c r="A902" s="1"/>
  <c r="A911" s="1"/>
  <c r="A912" s="1"/>
  <c r="A913" s="1"/>
  <c r="A914" s="1"/>
  <c r="A915" s="1"/>
  <c r="A916" s="1"/>
  <c r="H6126" i="7" l="1"/>
  <c r="K6125"/>
  <c r="K6123"/>
  <c r="I970"/>
  <c r="K970" s="1"/>
  <c r="L970" s="1"/>
  <c r="J5064" i="18"/>
  <c r="L5064" s="1"/>
  <c r="A1088" i="7"/>
  <c r="A5892" i="18"/>
  <c r="H6133" i="7" l="1"/>
  <c r="K6126"/>
  <c r="K6127" s="1"/>
  <c r="K6128" s="1"/>
  <c r="K6129" s="1"/>
  <c r="J5073" i="18"/>
  <c r="L5073" s="1"/>
  <c r="A5900"/>
  <c r="A1137" i="7"/>
  <c r="I971" l="1"/>
  <c r="K971" s="1"/>
  <c r="L971" s="1"/>
  <c r="K6131"/>
  <c r="H6134"/>
  <c r="K6133"/>
  <c r="A6229" i="18"/>
  <c r="A1187" i="7"/>
  <c r="J5081" i="18" l="1"/>
  <c r="L5081" s="1"/>
  <c r="H6141" i="7"/>
  <c r="K6134"/>
  <c r="K6135" s="1"/>
  <c r="K6136" s="1"/>
  <c r="K6137" s="1"/>
  <c r="A1205"/>
  <c r="A6559" i="18"/>
  <c r="K6139" i="7" l="1"/>
  <c r="I972"/>
  <c r="K972" s="1"/>
  <c r="L972" s="1"/>
  <c r="H6142"/>
  <c r="K6141"/>
  <c r="A6633" i="18"/>
  <c r="A1206" i="7"/>
  <c r="K6142" l="1"/>
  <c r="K6143" s="1"/>
  <c r="K6144" s="1"/>
  <c r="K6145" s="1"/>
  <c r="I973" s="1"/>
  <c r="K973" s="1"/>
  <c r="L973" s="1"/>
  <c r="H6160"/>
  <c r="J5089" i="18"/>
  <c r="L5089" s="1"/>
  <c r="A1207" i="7"/>
  <c r="A6641" i="18"/>
  <c r="H6161" i="7" l="1"/>
  <c r="K6160"/>
  <c r="J5097" i="18"/>
  <c r="L5097" s="1"/>
  <c r="A1208" i="7"/>
  <c r="A6649" i="18"/>
  <c r="K6161" i="7" l="1"/>
  <c r="K6162" s="1"/>
  <c r="H6168"/>
  <c r="A6657" i="18"/>
  <c r="A1209" i="7"/>
  <c r="H6169" l="1"/>
  <c r="K6168"/>
  <c r="K6166"/>
  <c r="K6163"/>
  <c r="K6164" s="1"/>
  <c r="I975" s="1"/>
  <c r="K975" s="1"/>
  <c r="L975" s="1"/>
  <c r="A1210"/>
  <c r="A6665" i="18"/>
  <c r="H6176" i="7" l="1"/>
  <c r="K6169"/>
  <c r="K6170" s="1"/>
  <c r="K6171" s="1"/>
  <c r="K6172" s="1"/>
  <c r="J5106" i="18"/>
  <c r="A1211" i="7"/>
  <c r="A6673" i="18"/>
  <c r="I976" i="7" l="1"/>
  <c r="K976" s="1"/>
  <c r="L976" s="1"/>
  <c r="K6174"/>
  <c r="H6177"/>
  <c r="K6176"/>
  <c r="L5106" i="18"/>
  <c r="A1212" i="7"/>
  <c r="A6681" i="18"/>
  <c r="J5114" l="1"/>
  <c r="L5114" s="1"/>
  <c r="H6184" i="7"/>
  <c r="K6177"/>
  <c r="K6178" s="1"/>
  <c r="K6179" s="1"/>
  <c r="K6180" s="1"/>
  <c r="A1213"/>
  <c r="A6689" i="18"/>
  <c r="K6182" i="7" l="1"/>
  <c r="I977"/>
  <c r="K977" s="1"/>
  <c r="L977" s="1"/>
  <c r="H6185"/>
  <c r="K6184"/>
  <c r="A6697" i="18"/>
  <c r="A1214" i="7"/>
  <c r="K6185" l="1"/>
  <c r="K6186" s="1"/>
  <c r="K6187" s="1"/>
  <c r="K6188" s="1"/>
  <c r="I978" s="1"/>
  <c r="K978" s="1"/>
  <c r="L978" s="1"/>
  <c r="H6299"/>
  <c r="J5124" i="18"/>
  <c r="L5124" s="1"/>
  <c r="A6705"/>
  <c r="A1215" i="7"/>
  <c r="A1217" l="1"/>
  <c r="H6300"/>
  <c r="K6299"/>
  <c r="J5132" i="18"/>
  <c r="L5132" s="1"/>
  <c r="A1218" i="7"/>
  <c r="A6721" i="18"/>
  <c r="A6713"/>
  <c r="K6300" i="7" l="1"/>
  <c r="K6301" s="1"/>
  <c r="K6302" s="1"/>
  <c r="K6303" s="1"/>
  <c r="H6307"/>
  <c r="A1219"/>
  <c r="A6729" i="18"/>
  <c r="H6308" i="7" l="1"/>
  <c r="K6307"/>
  <c r="K6305"/>
  <c r="I1000"/>
  <c r="K1000" s="1"/>
  <c r="L1000" s="1"/>
  <c r="G346" i="106" s="1"/>
  <c r="O346" s="1"/>
  <c r="A1220" i="7"/>
  <c r="A6737" i="18"/>
  <c r="G34" i="110" l="1"/>
  <c r="H6315" i="7"/>
  <c r="K6308"/>
  <c r="K6309" s="1"/>
  <c r="K6310" s="1"/>
  <c r="K6311" s="1"/>
  <c r="J5273" i="18"/>
  <c r="A1221" i="7"/>
  <c r="A6745" i="18"/>
  <c r="I1001" i="7" l="1"/>
  <c r="K1001" s="1"/>
  <c r="L1001" s="1"/>
  <c r="K6313"/>
  <c r="H6316"/>
  <c r="K6315"/>
  <c r="L5273" i="18"/>
  <c r="A1222" i="7"/>
  <c r="A6753" i="18"/>
  <c r="J5281" l="1"/>
  <c r="L5281" s="1"/>
  <c r="H6323" i="7"/>
  <c r="K6316"/>
  <c r="K6317" s="1"/>
  <c r="K6318" s="1"/>
  <c r="K6319" s="1"/>
  <c r="A1223"/>
  <c r="A6761" i="18"/>
  <c r="H6324" i="7" l="1"/>
  <c r="K6323"/>
  <c r="K6321"/>
  <c r="I1002"/>
  <c r="K1002" s="1"/>
  <c r="L1002" s="1"/>
  <c r="A1224"/>
  <c r="A6769" i="18"/>
  <c r="K6324" i="7" l="1"/>
  <c r="K6325" s="1"/>
  <c r="H6339"/>
  <c r="J5289" i="18"/>
  <c r="L5289" s="1"/>
  <c r="A1225" i="7"/>
  <c r="A6777" i="18"/>
  <c r="H6340" i="7" l="1"/>
  <c r="K6339"/>
  <c r="K6326"/>
  <c r="K6327" s="1"/>
  <c r="A1226"/>
  <c r="A6785" i="18"/>
  <c r="K6340" i="7" l="1"/>
  <c r="K6341" s="1"/>
  <c r="K6342" s="1"/>
  <c r="K6343" s="1"/>
  <c r="I1005" s="1"/>
  <c r="K1005" s="1"/>
  <c r="L1005" s="1"/>
  <c r="H6347"/>
  <c r="I1003"/>
  <c r="K1003" s="1"/>
  <c r="L1003" s="1"/>
  <c r="A1227"/>
  <c r="A6793" i="18"/>
  <c r="H6348" i="7" l="1"/>
  <c r="K6347"/>
  <c r="J5306" i="18"/>
  <c r="L5306" s="1"/>
  <c r="J5297"/>
  <c r="L5297" s="1"/>
  <c r="A1228" i="7"/>
  <c r="A6801" i="18"/>
  <c r="K6355" i="7" l="1"/>
  <c r="H6356"/>
  <c r="H6357" s="1"/>
  <c r="H6365" s="1"/>
  <c r="H6366" s="1"/>
  <c r="H6383" s="1"/>
  <c r="H6391" s="1"/>
  <c r="K6348"/>
  <c r="K6349" s="1"/>
  <c r="A1229"/>
  <c r="A6809" i="18"/>
  <c r="H6392" i="7" l="1"/>
  <c r="K6391"/>
  <c r="H6384"/>
  <c r="K6384" s="1"/>
  <c r="K6383"/>
  <c r="K6354"/>
  <c r="K6350"/>
  <c r="K6351" s="1"/>
  <c r="K6352" s="1"/>
  <c r="I1006" s="1"/>
  <c r="K1006" s="1"/>
  <c r="L1006" s="1"/>
  <c r="I6356"/>
  <c r="I6364"/>
  <c r="K6364" s="1"/>
  <c r="I6365" s="1"/>
  <c r="A1230"/>
  <c r="A6817" i="18"/>
  <c r="K6385" i="7" l="1"/>
  <c r="K6386" s="1"/>
  <c r="K6387" s="1"/>
  <c r="I1010" s="1"/>
  <c r="K1010" s="1"/>
  <c r="L1010" s="1"/>
  <c r="H6400"/>
  <c r="K6392"/>
  <c r="K6393" s="1"/>
  <c r="K6394" s="1"/>
  <c r="K6395" s="1"/>
  <c r="I6366"/>
  <c r="K6366" s="1"/>
  <c r="K6365"/>
  <c r="I6357"/>
  <c r="K6357" s="1"/>
  <c r="K6356"/>
  <c r="J5314" i="18"/>
  <c r="L5314" s="1"/>
  <c r="A1231" i="7"/>
  <c r="A6825" i="18"/>
  <c r="J5339" l="1"/>
  <c r="L5339" s="1"/>
  <c r="K6358" i="7"/>
  <c r="K6359" s="1"/>
  <c r="K6360" s="1"/>
  <c r="I1007" s="1"/>
  <c r="K1007" s="1"/>
  <c r="L1007" s="1"/>
  <c r="K6396"/>
  <c r="I1011" s="1"/>
  <c r="K1011" s="1"/>
  <c r="L1011" s="1"/>
  <c r="K6398"/>
  <c r="H6401"/>
  <c r="K6400"/>
  <c r="A1232"/>
  <c r="A6833" i="18"/>
  <c r="K6363" i="7" l="1"/>
  <c r="K6367" s="1"/>
  <c r="K6368" s="1"/>
  <c r="K6369" s="1"/>
  <c r="K6370" s="1"/>
  <c r="I1008" s="1"/>
  <c r="K1008" s="1"/>
  <c r="L1008" s="1"/>
  <c r="J5330" i="18" s="1"/>
  <c r="L5330" s="1"/>
  <c r="K6361" i="7"/>
  <c r="H6409"/>
  <c r="K6401"/>
  <c r="K6402" s="1"/>
  <c r="K6403" s="1"/>
  <c r="K6404" s="1"/>
  <c r="J5347" i="18"/>
  <c r="L5347" s="1"/>
  <c r="J5322"/>
  <c r="L5322" s="1"/>
  <c r="A1233" i="7"/>
  <c r="A6841" i="18"/>
  <c r="K6407" i="7" l="1"/>
  <c r="K6405"/>
  <c r="I1012" s="1"/>
  <c r="K1012" s="1"/>
  <c r="L1012" s="1"/>
  <c r="H6410"/>
  <c r="K6410" s="1"/>
  <c r="K6409"/>
  <c r="A1234"/>
  <c r="A6849" i="18"/>
  <c r="J5355" l="1"/>
  <c r="L5355" s="1"/>
  <c r="K6411" i="7"/>
  <c r="K6412" s="1"/>
  <c r="K6413" s="1"/>
  <c r="K6414" s="1"/>
  <c r="I1013" s="1"/>
  <c r="K1013" s="1"/>
  <c r="L1013" s="1"/>
  <c r="A1235"/>
  <c r="A6857" i="18"/>
  <c r="J5363" l="1"/>
  <c r="L5363" s="1"/>
  <c r="A1236" i="7"/>
  <c r="A6865" i="18"/>
  <c r="A1237" i="7" l="1"/>
  <c r="A6873" i="18"/>
  <c r="A1238" i="7" l="1"/>
  <c r="A6881" i="18"/>
  <c r="A1240" i="7" l="1"/>
  <c r="A6889" i="18"/>
  <c r="A1241" i="7" l="1"/>
  <c r="A6897" i="18"/>
  <c r="A1242" i="7" l="1"/>
  <c r="A6898" i="18"/>
  <c r="A1243" i="7" l="1"/>
  <c r="A6899" i="18"/>
  <c r="A1244" i="7" l="1"/>
  <c r="A6900" i="18"/>
  <c r="A6901" l="1"/>
  <c r="A1245" i="7"/>
  <c r="A1246" l="1"/>
  <c r="A6902" i="18"/>
  <c r="H46" i="13"/>
  <c r="K46" s="1"/>
  <c r="D8" i="61" l="1"/>
  <c r="A1247" i="7"/>
  <c r="A6903" i="18"/>
  <c r="E9" i="61"/>
  <c r="A6904" i="18" l="1"/>
  <c r="A1248" i="7"/>
  <c r="A6905" i="18" l="1"/>
  <c r="A1249" i="7"/>
  <c r="A1250" l="1"/>
  <c r="A6906" i="18"/>
  <c r="A6907" l="1"/>
  <c r="A1251" i="7"/>
  <c r="A1252" l="1"/>
  <c r="A6908" i="18"/>
  <c r="A1253" i="7" l="1"/>
  <c r="A6909" i="18"/>
  <c r="A1254" i="7" l="1"/>
  <c r="A6910" i="18"/>
  <c r="A1255" i="7" l="1"/>
  <c r="A6911" i="18"/>
  <c r="A1256" i="7" l="1"/>
  <c r="A6912" i="18"/>
  <c r="A1257" i="7" l="1"/>
  <c r="A6913" i="18"/>
  <c r="A1258" i="7" l="1"/>
  <c r="A6914" i="18"/>
  <c r="A6915" l="1"/>
  <c r="A1259" i="7"/>
  <c r="A1260" l="1"/>
  <c r="A6916" i="18"/>
  <c r="A1261" i="7" l="1"/>
  <c r="A6917" i="18"/>
  <c r="A6918" l="1"/>
  <c r="A1262" i="7"/>
  <c r="A1263" l="1"/>
  <c r="A6919" i="18"/>
  <c r="A6920" l="1"/>
  <c r="A1264" i="7"/>
  <c r="A6921" i="18" l="1"/>
  <c r="A1273" i="7"/>
  <c r="A1274" l="1"/>
  <c r="A6930" i="18"/>
  <c r="A1275" i="7" l="1"/>
  <c r="A1276" s="1"/>
  <c r="A1277" s="1"/>
  <c r="A1278" s="1"/>
  <c r="A6931" i="18"/>
  <c r="K4224" i="7" l="1"/>
  <c r="K4229" s="1"/>
  <c r="I4230" l="1"/>
  <c r="K4230" l="1"/>
  <c r="I4231"/>
  <c r="K4231" s="1"/>
  <c r="K4232" l="1"/>
  <c r="K4239" s="1"/>
  <c r="K4240" s="1"/>
  <c r="K4278" s="1"/>
  <c r="K4282" s="1"/>
  <c r="K4283" l="1"/>
  <c r="K4284" s="1"/>
  <c r="K4286"/>
  <c r="K4290" s="1"/>
  <c r="K4245"/>
  <c r="K4241"/>
  <c r="K4242" s="1"/>
  <c r="I753" s="1"/>
  <c r="K753" s="1"/>
  <c r="L753" s="1"/>
  <c r="K4311"/>
  <c r="K4315" s="1"/>
  <c r="K4410"/>
  <c r="K4316" l="1"/>
  <c r="K4317" s="1"/>
  <c r="K4319"/>
  <c r="K4323" s="1"/>
  <c r="K4324" s="1"/>
  <c r="K4325" s="1"/>
  <c r="K4294"/>
  <c r="K4291"/>
  <c r="K4292" s="1"/>
  <c r="K4249"/>
  <c r="J3751" i="18"/>
  <c r="L3751" s="1"/>
  <c r="I758" i="7"/>
  <c r="K758" s="1"/>
  <c r="L758" s="1"/>
  <c r="G297" i="106" s="1"/>
  <c r="O297" s="1"/>
  <c r="K4416" i="7"/>
  <c r="K4431"/>
  <c r="K4437" s="1"/>
  <c r="K4344"/>
  <c r="K4348" s="1"/>
  <c r="K4254"/>
  <c r="O396" i="106" l="1"/>
  <c r="O397" s="1"/>
  <c r="K4352" i="7"/>
  <c r="K4356" s="1"/>
  <c r="K4349"/>
  <c r="K4350" s="1"/>
  <c r="I4255"/>
  <c r="K4255" s="1"/>
  <c r="I4262"/>
  <c r="K4250"/>
  <c r="K4251" s="1"/>
  <c r="K4253"/>
  <c r="I763"/>
  <c r="K763" s="1"/>
  <c r="L763" s="1"/>
  <c r="K4377"/>
  <c r="K4381" s="1"/>
  <c r="K4418"/>
  <c r="K4420" s="1"/>
  <c r="K4423"/>
  <c r="I778"/>
  <c r="K778" s="1"/>
  <c r="L778" s="1"/>
  <c r="I759"/>
  <c r="K759" s="1"/>
  <c r="L759" s="1"/>
  <c r="K4298"/>
  <c r="K4302" s="1"/>
  <c r="K4439"/>
  <c r="K4441" s="1"/>
  <c r="I783"/>
  <c r="K783" s="1"/>
  <c r="L783" s="1"/>
  <c r="K4444"/>
  <c r="J3784" i="18"/>
  <c r="L3784" s="1"/>
  <c r="G28" i="110" l="1"/>
  <c r="O403" i="106"/>
  <c r="O401"/>
  <c r="O399"/>
  <c r="O400" s="1"/>
  <c r="S397"/>
  <c r="I4256" i="7"/>
  <c r="K4256" s="1"/>
  <c r="K4257" s="1"/>
  <c r="K4261" s="1"/>
  <c r="K4382"/>
  <c r="K4383" s="1"/>
  <c r="I773" s="1"/>
  <c r="K773" s="1"/>
  <c r="L773" s="1"/>
  <c r="K4385"/>
  <c r="K4389" s="1"/>
  <c r="K4357"/>
  <c r="K4358" s="1"/>
  <c r="K4360"/>
  <c r="K4299"/>
  <c r="K4300" s="1"/>
  <c r="J3916" i="18"/>
  <c r="L3916" s="1"/>
  <c r="I779" i="7"/>
  <c r="K779" s="1"/>
  <c r="L779" s="1"/>
  <c r="K4422"/>
  <c r="K4424" s="1"/>
  <c r="K4427"/>
  <c r="I768"/>
  <c r="K768" s="1"/>
  <c r="L768" s="1"/>
  <c r="K4262"/>
  <c r="I4263" s="1"/>
  <c r="J3792" i="18"/>
  <c r="L3792" s="1"/>
  <c r="J3817"/>
  <c r="L3817" s="1"/>
  <c r="K4327" i="7"/>
  <c r="K4331" s="1"/>
  <c r="I764"/>
  <c r="K764" s="1"/>
  <c r="L764" s="1"/>
  <c r="J3949" i="18"/>
  <c r="L3949" s="1"/>
  <c r="I784" i="7"/>
  <c r="K784" s="1"/>
  <c r="L784" s="1"/>
  <c r="K4443"/>
  <c r="K4445" s="1"/>
  <c r="K4448"/>
  <c r="G43" i="110" l="1"/>
  <c r="C2"/>
  <c r="O408" i="106"/>
  <c r="K4258" i="7"/>
  <c r="K4259" s="1"/>
  <c r="I754" s="1"/>
  <c r="K754" s="1"/>
  <c r="L754" s="1"/>
  <c r="K4393"/>
  <c r="K4397" s="1"/>
  <c r="K4401" s="1"/>
  <c r="K4390"/>
  <c r="K4391" s="1"/>
  <c r="I774" s="1"/>
  <c r="K774" s="1"/>
  <c r="L774" s="1"/>
  <c r="K4332"/>
  <c r="K4333" s="1"/>
  <c r="I4270"/>
  <c r="I760"/>
  <c r="K760" s="1"/>
  <c r="L760" s="1"/>
  <c r="K4306"/>
  <c r="K4263"/>
  <c r="I4264"/>
  <c r="K4264" s="1"/>
  <c r="J3957" i="18"/>
  <c r="L3957" s="1"/>
  <c r="J3850"/>
  <c r="L3850" s="1"/>
  <c r="I769" i="7"/>
  <c r="K769" s="1"/>
  <c r="L769" s="1"/>
  <c r="K4364"/>
  <c r="K4368" s="1"/>
  <c r="I780"/>
  <c r="K780" s="1"/>
  <c r="L780" s="1"/>
  <c r="K4426"/>
  <c r="K4428" s="1"/>
  <c r="I781" s="1"/>
  <c r="K781" s="1"/>
  <c r="L781" s="1"/>
  <c r="J3825" i="18"/>
  <c r="L3825" s="1"/>
  <c r="J3924"/>
  <c r="L3924" s="1"/>
  <c r="J3883"/>
  <c r="L3883" s="1"/>
  <c r="K4447" i="7"/>
  <c r="K4449" s="1"/>
  <c r="I786" s="1"/>
  <c r="K786" s="1"/>
  <c r="L786" s="1"/>
  <c r="I785"/>
  <c r="K785" s="1"/>
  <c r="L785" s="1"/>
  <c r="K4270"/>
  <c r="I4271" s="1"/>
  <c r="J3800" i="18" l="1"/>
  <c r="L3800" s="1"/>
  <c r="K4398" i="7"/>
  <c r="K4399" s="1"/>
  <c r="K4365"/>
  <c r="K4366" s="1"/>
  <c r="I765"/>
  <c r="K765" s="1"/>
  <c r="L765" s="1"/>
  <c r="K4335"/>
  <c r="K4307"/>
  <c r="K4308" s="1"/>
  <c r="I761" s="1"/>
  <c r="K761" s="1"/>
  <c r="L761" s="1"/>
  <c r="J3965" i="18"/>
  <c r="L3965" s="1"/>
  <c r="K4271" i="7"/>
  <c r="I4272"/>
  <c r="K4272" s="1"/>
  <c r="K4265"/>
  <c r="K4269" s="1"/>
  <c r="J3940" i="18"/>
  <c r="L3940" s="1"/>
  <c r="J3973"/>
  <c r="L3973" s="1"/>
  <c r="J3932"/>
  <c r="L3932" s="1"/>
  <c r="J3891"/>
  <c r="L3891" s="1"/>
  <c r="J3858"/>
  <c r="L3858" s="1"/>
  <c r="J3759"/>
  <c r="L3759" s="1"/>
  <c r="J3833" l="1"/>
  <c r="L3833" s="1"/>
  <c r="I775" i="7"/>
  <c r="K775" s="1"/>
  <c r="L775" s="1"/>
  <c r="I770"/>
  <c r="K770" s="1"/>
  <c r="L770" s="1"/>
  <c r="K4339"/>
  <c r="J3808" i="18"/>
  <c r="L3808" s="1"/>
  <c r="K4266" i="7"/>
  <c r="K4267" s="1"/>
  <c r="J3899" i="18" l="1"/>
  <c r="L3899" s="1"/>
  <c r="K4405" i="7"/>
  <c r="J3866" i="18"/>
  <c r="L3866" s="1"/>
  <c r="K4372" i="7"/>
  <c r="K4340"/>
  <c r="K4341" s="1"/>
  <c r="I766" s="1"/>
  <c r="K766" s="1"/>
  <c r="L766" s="1"/>
  <c r="I755"/>
  <c r="K755" s="1"/>
  <c r="L755" s="1"/>
  <c r="K4273"/>
  <c r="K4406" l="1"/>
  <c r="K4407" s="1"/>
  <c r="I776" s="1"/>
  <c r="K776" s="1"/>
  <c r="L776" s="1"/>
  <c r="K4373"/>
  <c r="K4374" s="1"/>
  <c r="I771" s="1"/>
  <c r="K771" s="1"/>
  <c r="L771" s="1"/>
  <c r="J3841" i="18"/>
  <c r="L3841" s="1"/>
  <c r="K4274" i="7"/>
  <c r="K4275" s="1"/>
  <c r="I756" s="1"/>
  <c r="K756" s="1"/>
  <c r="L756" s="1"/>
  <c r="J3767" i="18"/>
  <c r="L3767" s="1"/>
  <c r="L6962" l="1"/>
  <c r="J3907"/>
  <c r="L3907" s="1"/>
  <c r="J3874"/>
  <c r="L3874" s="1"/>
  <c r="J3775"/>
  <c r="L3775" s="1"/>
  <c r="N3" l="1"/>
  <c r="N2"/>
  <c r="N4" l="1"/>
  <c r="D10" i="61" l="1"/>
  <c r="N48" i="13"/>
  <c r="H48"/>
  <c r="K48" s="1"/>
  <c r="K63" s="1"/>
  <c r="Q2" i="18" l="1"/>
  <c r="D11" i="61"/>
  <c r="E10"/>
  <c r="G9" i="43"/>
  <c r="G29" i="35"/>
  <c r="K31" l="1"/>
  <c r="D13" i="61"/>
  <c r="P2" i="18"/>
  <c r="E9" i="23"/>
  <c r="E9" i="24"/>
  <c r="M12" i="13" l="1"/>
  <c r="K64"/>
  <c r="K66" s="1"/>
  <c r="E15" i="61"/>
  <c r="G10" i="43" l="1"/>
  <c r="G11" s="1"/>
  <c r="G30" i="35"/>
  <c r="G31" s="1"/>
  <c r="L31" s="1"/>
  <c r="K67" i="13"/>
  <c r="E16"/>
  <c r="N67"/>
  <c r="N69" s="1"/>
  <c r="K11" i="35"/>
  <c r="G11"/>
  <c r="F10" i="61"/>
  <c r="H10" s="1"/>
  <c r="D12"/>
  <c r="D14" s="1"/>
  <c r="D15" s="1"/>
  <c r="F15" s="1"/>
  <c r="K9" i="35"/>
  <c r="J16" i="13" l="1"/>
  <c r="K16" s="1"/>
  <c r="J17" s="1"/>
  <c r="E19"/>
  <c r="K19" s="1"/>
  <c r="O69"/>
  <c r="P69" s="1"/>
  <c r="G9" i="35"/>
  <c r="L11"/>
  <c r="G15" i="61"/>
  <c r="G16" s="1"/>
  <c r="D10" i="13" l="1"/>
  <c r="M16"/>
  <c r="M13"/>
  <c r="O13" s="1"/>
  <c r="D17"/>
  <c r="L9" i="35"/>
  <c r="J5" i="61" l="1"/>
  <c r="J6" s="1"/>
  <c r="I10"/>
  <c r="J10" s="1"/>
</calcChain>
</file>

<file path=xl/sharedStrings.xml><?xml version="1.0" encoding="utf-8"?>
<sst xmlns="http://schemas.openxmlformats.org/spreadsheetml/2006/main" count="38421" uniqueCount="4269">
  <si>
    <t>LEAD STATEMENT</t>
  </si>
  <si>
    <t>Unit</t>
  </si>
  <si>
    <t>Labour</t>
  </si>
  <si>
    <t>T&amp;P</t>
  </si>
  <si>
    <t>F Sand</t>
  </si>
  <si>
    <t>M Sand</t>
  </si>
  <si>
    <t>Chips</t>
  </si>
  <si>
    <t>Metal</t>
  </si>
  <si>
    <t>Cement</t>
  </si>
  <si>
    <t>Brick</t>
  </si>
  <si>
    <t>Laterite</t>
  </si>
  <si>
    <t>Moorum</t>
  </si>
  <si>
    <t>Steel</t>
  </si>
  <si>
    <t>Tile</t>
  </si>
  <si>
    <t>Paint</t>
  </si>
  <si>
    <t>Wood</t>
  </si>
  <si>
    <t>NAME OF THE WORK:-</t>
  </si>
  <si>
    <t>CONSTRUCTION OF</t>
  </si>
  <si>
    <t>NAME OF THE G.P.:-</t>
  </si>
  <si>
    <t>Badasuanlo</t>
  </si>
  <si>
    <t>NAME OF THE SCHEME:-</t>
  </si>
  <si>
    <t>4th SFC Devolution Fund</t>
  </si>
  <si>
    <t>Sl</t>
  </si>
  <si>
    <t>Particular Material</t>
  </si>
  <si>
    <t>Unit per</t>
  </si>
  <si>
    <t>Name of</t>
  </si>
  <si>
    <t>Material</t>
  </si>
  <si>
    <t>Material +</t>
  </si>
  <si>
    <t>Lead</t>
  </si>
  <si>
    <t>Royality</t>
  </si>
  <si>
    <t>Lead +</t>
  </si>
  <si>
    <t>Total cost</t>
  </si>
  <si>
    <t xml:space="preserve">GST </t>
  </si>
  <si>
    <t>B cost + Lead</t>
  </si>
  <si>
    <t>GST %</t>
  </si>
  <si>
    <t>Northern Zone</t>
  </si>
  <si>
    <t>cost without Vat</t>
  </si>
  <si>
    <t>No</t>
  </si>
  <si>
    <t>Each</t>
  </si>
  <si>
    <t>Quarry</t>
  </si>
  <si>
    <t>cost (Rs)</t>
  </si>
  <si>
    <t>GST</t>
  </si>
  <si>
    <t>In Km</t>
  </si>
  <si>
    <t>Cost(Rs)</t>
  </si>
  <si>
    <t>(Rs)</t>
  </si>
  <si>
    <t>Royality (Rs)</t>
  </si>
  <si>
    <t>Central Zone</t>
  </si>
  <si>
    <t>Southern Zone</t>
  </si>
  <si>
    <t>40mm size CB Metal</t>
  </si>
  <si>
    <t>Cum</t>
  </si>
  <si>
    <t>Gudiakateni</t>
  </si>
  <si>
    <t>40mm size HB Metal</t>
  </si>
  <si>
    <t>25mm size CB Metal</t>
  </si>
  <si>
    <t>20mm size CB Chips</t>
  </si>
  <si>
    <t>12mm size CB Chips</t>
  </si>
  <si>
    <t>12m size HB Chips</t>
  </si>
  <si>
    <t>10mm size CB Chips</t>
  </si>
  <si>
    <t>6.7mm size CB Chips</t>
  </si>
  <si>
    <t>4.7 mm size CB Chips</t>
  </si>
  <si>
    <t>H.G stone</t>
  </si>
  <si>
    <t>40mm to 90mm size soling stone</t>
  </si>
  <si>
    <t>Soling stone</t>
  </si>
  <si>
    <t>I.R.C. Gr-I ( 90mm to 45mm )</t>
  </si>
  <si>
    <t>I.R.C. Gr-II ( 63mm to 45mm )</t>
  </si>
  <si>
    <t>I.R.C. Gr-III ( 53mm to 22.4mm )</t>
  </si>
  <si>
    <t>Stone other than Granite 4cm size</t>
  </si>
  <si>
    <t xml:space="preserve">5cm Size HGHB Metal </t>
  </si>
  <si>
    <t>Fly Ash Bricks</t>
  </si>
  <si>
    <t>1000 Nos</t>
  </si>
  <si>
    <t>Kamakhya</t>
  </si>
  <si>
    <t>W.B.K.B. Bricks(25cm)</t>
  </si>
  <si>
    <t>C.B. Bricks(25cm)</t>
  </si>
  <si>
    <t>Fly Ash Blocks</t>
  </si>
  <si>
    <t>Cement concrete Solid Blocks</t>
  </si>
  <si>
    <t>400mm x 200mm x 200mm Size.</t>
  </si>
  <si>
    <t>400mm x 150mm x 200mm Size.</t>
  </si>
  <si>
    <t>400mm x 100mm x 150mm Size.</t>
  </si>
  <si>
    <t>300mm x 200mm x 150mm Size.</t>
  </si>
  <si>
    <t>300mm x 150mm x 150mm Size.</t>
  </si>
  <si>
    <t>300mm x 100mm x 150mm Size.</t>
  </si>
  <si>
    <t>Cement concrete Hollow Blocks</t>
  </si>
  <si>
    <t>400mm x 100mm x 200mm Size.</t>
  </si>
  <si>
    <t>K.B. Brick Khoa</t>
  </si>
  <si>
    <t>Sand for Filling</t>
  </si>
  <si>
    <t>Ramial</t>
  </si>
  <si>
    <t>Sand for Mortar</t>
  </si>
  <si>
    <t>Brahmani</t>
  </si>
  <si>
    <t>Laterite Stone</t>
  </si>
  <si>
    <t>K.Kateni</t>
  </si>
  <si>
    <t>Local</t>
  </si>
  <si>
    <t>Earth</t>
  </si>
  <si>
    <t>Mt</t>
  </si>
  <si>
    <t>Sqm</t>
  </si>
  <si>
    <t>1000 nos</t>
  </si>
  <si>
    <t>Binding wire</t>
  </si>
  <si>
    <t>Kg</t>
  </si>
  <si>
    <t>80mm dia non sal bullah</t>
  </si>
  <si>
    <t>Rmtr</t>
  </si>
  <si>
    <t>34d</t>
  </si>
  <si>
    <t>120mm dia non sal bullah</t>
  </si>
  <si>
    <t>80mm sal bullah</t>
  </si>
  <si>
    <t>css</t>
  </si>
  <si>
    <t>120mm sal bullah</t>
  </si>
  <si>
    <t>Non sal wood scantling.</t>
  </si>
  <si>
    <t>Non sal Plank</t>
  </si>
  <si>
    <t>Seasoned sal wood Scantling</t>
  </si>
  <si>
    <t>Seasoned sal wood beam</t>
  </si>
  <si>
    <t>Seasoned sal wood plank</t>
  </si>
  <si>
    <t>Piasal wood for shutter</t>
  </si>
  <si>
    <t>Fire Wood</t>
  </si>
  <si>
    <t>MS door &amp; window pannel</t>
  </si>
  <si>
    <t>MS window grill</t>
  </si>
  <si>
    <t>Distemper</t>
  </si>
  <si>
    <t>Cement Paint</t>
  </si>
  <si>
    <t>Enamel Paint</t>
  </si>
  <si>
    <t>Plastic Emulsion paint</t>
  </si>
  <si>
    <t>Ltr</t>
  </si>
  <si>
    <t>Coal Tar</t>
  </si>
  <si>
    <t>Plaster of Paris</t>
  </si>
  <si>
    <t>Weather seal paint</t>
  </si>
  <si>
    <t>Red oxide primer</t>
  </si>
  <si>
    <t>Wall Primer</t>
  </si>
  <si>
    <t>Wood Primer</t>
  </si>
  <si>
    <t>Putty ( Water based)</t>
  </si>
  <si>
    <t>White cement</t>
  </si>
  <si>
    <t>Qntl</t>
  </si>
  <si>
    <t>Shell lime</t>
  </si>
  <si>
    <t>AC Sheets</t>
  </si>
  <si>
    <t>AC Ridges</t>
  </si>
  <si>
    <t>Pair</t>
  </si>
  <si>
    <t>GCI Sheet ( 0.30mm thick)</t>
  </si>
  <si>
    <t>Empty cement Bag</t>
  </si>
  <si>
    <t>NP3 Pipe</t>
  </si>
  <si>
    <t>NP2</t>
  </si>
  <si>
    <t>NP4</t>
  </si>
  <si>
    <t>300mm dia NP3 HP</t>
  </si>
  <si>
    <t>Mtr</t>
  </si>
  <si>
    <t>Dhenkanal</t>
  </si>
  <si>
    <t>450mm dia NP3 HP</t>
  </si>
  <si>
    <t>600mm dia NP3 HP</t>
  </si>
  <si>
    <t>900mm dia NP3 HP</t>
  </si>
  <si>
    <t>1000mm dia NP3 HP</t>
  </si>
  <si>
    <t>1200mm dia NP3 HP</t>
  </si>
  <si>
    <t>Certified that the lead provided in this estimate is correct &amp; minimum to the best of my Knowledge</t>
  </si>
  <si>
    <t>RATE OF CEMENT (At Cuttack)</t>
  </si>
  <si>
    <t>Manufacture Name</t>
  </si>
  <si>
    <t>Ref</t>
  </si>
  <si>
    <t>Grade of</t>
  </si>
  <si>
    <t>Rate per</t>
  </si>
  <si>
    <t>Deduct GST
28%</t>
  </si>
  <si>
    <t>Total Cost</t>
  </si>
  <si>
    <t>Per</t>
  </si>
  <si>
    <t>Mt. (Rs)</t>
  </si>
  <si>
    <t>Orissa Cement Ltd</t>
  </si>
  <si>
    <t>23.06.10</t>
  </si>
  <si>
    <t>P.S.C.</t>
  </si>
  <si>
    <t>A.C.C. Ltd</t>
  </si>
  <si>
    <t>Ultratech cement Ltd</t>
  </si>
  <si>
    <t>28.06.10</t>
  </si>
  <si>
    <t>P.P.C.</t>
  </si>
  <si>
    <t>Average Rate per one Mt.</t>
  </si>
  <si>
    <t>Rs.</t>
  </si>
  <si>
    <t>./  3  =</t>
  </si>
  <si>
    <t>RATE OF STEEL (At Bhubaneswar)</t>
  </si>
  <si>
    <t>Dia. of Steel</t>
  </si>
  <si>
    <t>Rate per Mt. (Rs)</t>
  </si>
  <si>
    <t>VAT 5% (Rs)</t>
  </si>
  <si>
    <t>Deduct GST
18%</t>
  </si>
  <si>
    <t>S.A.I.L.</t>
  </si>
  <si>
    <t>8 mm</t>
  </si>
  <si>
    <t>10 mm</t>
  </si>
  <si>
    <t>12 mm</t>
  </si>
  <si>
    <t>GST 1.07.17</t>
  </si>
  <si>
    <t>16 mm</t>
  </si>
  <si>
    <t>20 mm</t>
  </si>
  <si>
    <t>1.4.16-31.3.17</t>
  </si>
  <si>
    <t>1.4.18-………</t>
  </si>
  <si>
    <t>25 mm</t>
  </si>
  <si>
    <t>24.07.15 -31.3.16</t>
  </si>
  <si>
    <t>1.4.17-31.3.18</t>
  </si>
  <si>
    <t>./ 6   =</t>
  </si>
  <si>
    <t>RATE OF LABOUR</t>
  </si>
  <si>
    <t>Total Rate</t>
  </si>
  <si>
    <t>NREGS</t>
  </si>
  <si>
    <t>Unskilled Labour</t>
  </si>
  <si>
    <t>Semiskilled Labour</t>
  </si>
  <si>
    <t>Skilled Labour</t>
  </si>
  <si>
    <t>Highskilled Labour</t>
  </si>
  <si>
    <t>Junior Engineer/GPTA</t>
  </si>
  <si>
    <t>Assistant Executive Engineer</t>
  </si>
  <si>
    <t>Block Development Officer</t>
  </si>
  <si>
    <t>Kamakhyanagar Block</t>
  </si>
  <si>
    <t>RATE OF MISC. MATERIALS &amp; HIRE &amp; RUNNING CHARGES OF MACHINERIES</t>
  </si>
  <si>
    <t>RATE OF MISC. MATERIALS (Central Zone)</t>
  </si>
  <si>
    <t>(Central Zone)</t>
  </si>
  <si>
    <t>(Northern Zone)</t>
  </si>
  <si>
    <t>(Southern Zone)</t>
  </si>
  <si>
    <t>Materials link with Analysis</t>
  </si>
  <si>
    <t>Unit /</t>
  </si>
  <si>
    <t>Amt. (Rs.)</t>
  </si>
  <si>
    <t>Unit/</t>
  </si>
  <si>
    <t>A</t>
  </si>
  <si>
    <t>FOR RCC WORK</t>
  </si>
  <si>
    <t>RCC work</t>
  </si>
  <si>
    <t>Sal bullah120mm dia</t>
  </si>
  <si>
    <t>.</t>
  </si>
  <si>
    <t xml:space="preserve">Binding Wire </t>
  </si>
  <si>
    <t>Nonsal bullah 80mm dia</t>
  </si>
  <si>
    <t>Nnonsal planks / scanting</t>
  </si>
  <si>
    <t>Nonsal bullah120mm dia</t>
  </si>
  <si>
    <t>Piasal wood Planks</t>
  </si>
  <si>
    <t>Teak wood Planks</t>
  </si>
  <si>
    <t>Non Sal reepers</t>
  </si>
  <si>
    <t>Fire wood</t>
  </si>
  <si>
    <t>Bag</t>
  </si>
  <si>
    <t>Cost of GCI Sheet 0.30mm thick</t>
  </si>
  <si>
    <t xml:space="preserve">Bentonite Powder </t>
  </si>
  <si>
    <t xml:space="preserve">Cost of GCI Sheet </t>
  </si>
  <si>
    <t>1Pair</t>
  </si>
  <si>
    <t>AC sheet</t>
  </si>
  <si>
    <t>B</t>
  </si>
  <si>
    <t>FOR TILE FLOORING</t>
  </si>
  <si>
    <t>Chequred tile</t>
  </si>
  <si>
    <t>Tile Flooring</t>
  </si>
  <si>
    <t>Marble tile (size0.10-0.40sqm)</t>
  </si>
  <si>
    <t>Kota tile (size above 0.10sqm)</t>
  </si>
  <si>
    <t>Marble tile upto 0.10Sqm</t>
  </si>
  <si>
    <t>Marble tle (0.4Sqm -1Sqm)</t>
  </si>
  <si>
    <t>Ceramic floor tile</t>
  </si>
  <si>
    <t>Ceramic Wall tile</t>
  </si>
  <si>
    <t>Vertified tile ( 600x 600)Printed</t>
  </si>
  <si>
    <t>Vertified industrial tile (300 x300)</t>
  </si>
  <si>
    <t>Granite Tile upto 0.10 Sqm</t>
  </si>
  <si>
    <t>Granite tiles (0.10 Sqm-0.40Sqm)</t>
  </si>
  <si>
    <t>Khondolite (upto 0.06Sqm)</t>
  </si>
  <si>
    <t>Kota tile upto (0.10Sqm)</t>
  </si>
  <si>
    <t>Vertified tile ( 600x 600)Plain</t>
  </si>
  <si>
    <t>Dholpuri stone tiles</t>
  </si>
  <si>
    <t>Nuria Tile (20cmx25cm)</t>
  </si>
  <si>
    <t>Kodapa tiles(0.1Sqm-0.4Sqm)</t>
  </si>
  <si>
    <t>Nuria Tile (25cmx30cm)</t>
  </si>
  <si>
    <t>Kodapa tiles(above 0.4Sqm)</t>
  </si>
  <si>
    <t>Ridge Tiles</t>
  </si>
  <si>
    <t>Terazoo Tiles (with White cement)</t>
  </si>
  <si>
    <t>C</t>
  </si>
  <si>
    <t>FOR DOOR AND WINDOWS</t>
  </si>
  <si>
    <t>Cost of Grill (As per E.P.M.Rate)</t>
  </si>
  <si>
    <t>Qtl</t>
  </si>
  <si>
    <t>Doors &amp; Windows</t>
  </si>
  <si>
    <t>Sal wood scantling sawn</t>
  </si>
  <si>
    <t>Peasal wood planks for shutter</t>
  </si>
  <si>
    <t>Seasoned sal wood Beam</t>
  </si>
  <si>
    <t>Seasoned Sal wood Plank</t>
  </si>
  <si>
    <t>Sal wood Chaukath(5"x2.5") as per D.I.C. Rate =</t>
  </si>
  <si>
    <t>Peasal wood Shutter as per D.I.C. Rate =</t>
  </si>
  <si>
    <t>Cost of PVC choukath as per EPM Rate</t>
  </si>
  <si>
    <t>Cost of PVC Shutter As per E.P.M. Rate</t>
  </si>
  <si>
    <t>12 mm thick pre-laminated Novapan board</t>
  </si>
  <si>
    <t>5mm black glass</t>
  </si>
  <si>
    <t>PVC Rawl Plug</t>
  </si>
  <si>
    <t>Al. wheel runner</t>
  </si>
  <si>
    <t>Screw 3"</t>
  </si>
  <si>
    <t>Nos</t>
  </si>
  <si>
    <t>Handle with lock</t>
  </si>
  <si>
    <t>Screw 50mm x 8mm</t>
  </si>
  <si>
    <t xml:space="preserve">Handle </t>
  </si>
  <si>
    <t>4" Anodised Al Hinges</t>
  </si>
  <si>
    <t>Friction stay</t>
  </si>
  <si>
    <t>U rubber beading</t>
  </si>
  <si>
    <t>4mm black glass</t>
  </si>
  <si>
    <t>Door stopper</t>
  </si>
  <si>
    <t>4" steel but Hinges</t>
  </si>
  <si>
    <t>Handle</t>
  </si>
  <si>
    <t>Aluminum Handle 4" (150mm x 35mm flat)</t>
  </si>
  <si>
    <t>6 Level mortice lock</t>
  </si>
  <si>
    <t>Aluminum Tower Bolt 6" (150mm x 10mm)</t>
  </si>
  <si>
    <t>Automatic door closure</t>
  </si>
  <si>
    <t>Aluminum Aldrop (250mm x 16mm)</t>
  </si>
  <si>
    <t>6mm black glass</t>
  </si>
  <si>
    <t>N.F. Screw (30mm x 5 mm)</t>
  </si>
  <si>
    <t>Al section &amp; angle</t>
  </si>
  <si>
    <t>PVC Plug</t>
  </si>
  <si>
    <t>9" connecting hooks with nut &amp; washer</t>
  </si>
  <si>
    <t>G.I. Wire</t>
  </si>
  <si>
    <t>kg</t>
  </si>
  <si>
    <t>Railling 50mm outer dia of 2mm thick</t>
  </si>
  <si>
    <t>65mm PVC Plug</t>
  </si>
  <si>
    <t>Balustrade / Stainless steel square</t>
  </si>
  <si>
    <t>1PC</t>
  </si>
  <si>
    <t>Empty Gunny Bag.</t>
  </si>
  <si>
    <t>12.5mm thick gypsum board</t>
  </si>
  <si>
    <t>D</t>
  </si>
  <si>
    <t>FOR PAINTINGS</t>
  </si>
  <si>
    <t>Cement Primer</t>
  </si>
  <si>
    <t>Lit</t>
  </si>
  <si>
    <t>Paintings</t>
  </si>
  <si>
    <t>Cement Paints</t>
  </si>
  <si>
    <t>Cement Putty</t>
  </si>
  <si>
    <t>Weather coat Paint</t>
  </si>
  <si>
    <t>Plastic Emulsion paints</t>
  </si>
  <si>
    <t>Iron Primer</t>
  </si>
  <si>
    <t>Colour extra for three coat</t>
  </si>
  <si>
    <t>4mm White glass</t>
  </si>
  <si>
    <t>Polymer modified adhessive</t>
  </si>
  <si>
    <t>coal tar</t>
  </si>
  <si>
    <t>1Kg</t>
  </si>
  <si>
    <t>Varnish</t>
  </si>
  <si>
    <t>Alluminium Paint</t>
  </si>
  <si>
    <t>E</t>
  </si>
  <si>
    <t>HIRE &amp; RUNNING CHARGES OF MACHINERIES</t>
  </si>
  <si>
    <t>Machineries link with Analysis</t>
  </si>
  <si>
    <t>Concrete Mixer 0.28/0.40 cum capacity</t>
  </si>
  <si>
    <t>hour</t>
  </si>
  <si>
    <t>Generator 33KVA</t>
  </si>
  <si>
    <t>Winch Operator</t>
  </si>
  <si>
    <t>day</t>
  </si>
  <si>
    <t>Hire &amp; running charges of Winch</t>
  </si>
  <si>
    <t>Hire &amp; running charges of Tripod</t>
  </si>
  <si>
    <t>Hire  charges  of  drilling  machine</t>
  </si>
  <si>
    <t>Day</t>
  </si>
  <si>
    <t>Febrication charges</t>
  </si>
  <si>
    <t>Add for superstructure (Brick work)</t>
  </si>
  <si>
    <t>Add for superstructure (Stone work)</t>
  </si>
  <si>
    <t>Dozer D-50 -A 15</t>
  </si>
  <si>
    <t>Bitumen pressure distributor @1750Sqm per hour</t>
  </si>
  <si>
    <t>Motor grader 3.35m blade</t>
  </si>
  <si>
    <t>Emulsion pressure distributor @1750Sqm per hour</t>
  </si>
  <si>
    <t>Hydraulic Exavator 1 cum bucket cap.@ 60cum</t>
  </si>
  <si>
    <t>Batch Mix HMP 100-120 TPH @ 75 tonne/ hour</t>
  </si>
  <si>
    <t xml:space="preserve">F E loader 1 cum bucket capacity </t>
  </si>
  <si>
    <t>Paver finsher hydrostatics with sensor control @75cum/hour</t>
  </si>
  <si>
    <t>Tipper 5 cum capacity</t>
  </si>
  <si>
    <t>Paver finsher Mechanical 100TPH</t>
  </si>
  <si>
    <t>Tipper 10 ton capacity</t>
  </si>
  <si>
    <t>t x km</t>
  </si>
  <si>
    <t>Hydraulic self propelled chips spreader @1500sqm/hour</t>
  </si>
  <si>
    <t>Vibratory road roller 8-10 ton capacity</t>
  </si>
  <si>
    <t>Tandem Road Roller</t>
  </si>
  <si>
    <t>Smoth Wheeled Roller 8-10ton capacity</t>
  </si>
  <si>
    <t>Tar boiler</t>
  </si>
  <si>
    <t>Water tanker 6 KL capacity</t>
  </si>
  <si>
    <t>Tractor trolley</t>
  </si>
  <si>
    <t xml:space="preserve"> Vibrator</t>
  </si>
  <si>
    <t>Tractor rotavator</t>
  </si>
  <si>
    <t>Concrete joint cutting machine</t>
  </si>
  <si>
    <t xml:space="preserve">Tractor with ripper </t>
  </si>
  <si>
    <t>Air compressor 250 clm</t>
  </si>
  <si>
    <t>Electric generator 125 KVA</t>
  </si>
  <si>
    <t>Wet Mix Plant 75 tonnes hourly capacity</t>
  </si>
  <si>
    <t>Electric generator 250 KVA</t>
  </si>
  <si>
    <t>Mechanical Broom hydraulic</t>
  </si>
  <si>
    <t>Road marking machine @ 60 sqm per hour</t>
  </si>
  <si>
    <t>F</t>
  </si>
  <si>
    <t>RATE OF MISC. MATERIALS  (Central Zone)</t>
  </si>
  <si>
    <t>Water</t>
  </si>
  <si>
    <t>KL</t>
  </si>
  <si>
    <t>Polithene sheet 125 micron thick</t>
  </si>
  <si>
    <t>sqm</t>
  </si>
  <si>
    <t xml:space="preserve">Cut out rubber filler board fr similar polythene sheating, covering 2/3rd dowel bars (20x23) </t>
  </si>
  <si>
    <t>Bituen Primer</t>
  </si>
  <si>
    <t xml:space="preserve">Plastisizer admixture IS marked as per  9103-1999 </t>
  </si>
  <si>
    <t>Bitumen Primer</t>
  </si>
  <si>
    <t>Bituminous Joint sealant</t>
  </si>
  <si>
    <t>Curing compound</t>
  </si>
  <si>
    <t>Jute Rope 12mm dia</t>
  </si>
  <si>
    <t>Joint Filler board 25mm thick</t>
  </si>
  <si>
    <t>Debonding strips 3.75m(length) x 10mm (width) x 5mmm(thick)</t>
  </si>
  <si>
    <t>AC pipe 100mm dia</t>
  </si>
  <si>
    <t>Hot applied thermoplastic compound</t>
  </si>
  <si>
    <t>Litre</t>
  </si>
  <si>
    <t>M.S. Clamp</t>
  </si>
  <si>
    <t>Reflectorising glass beads</t>
  </si>
  <si>
    <t>Collar for A.C. Pipe</t>
  </si>
  <si>
    <t xml:space="preserve"> </t>
  </si>
  <si>
    <t>ABSTRACT OF ANALYSIS</t>
  </si>
  <si>
    <t>Sl.</t>
  </si>
  <si>
    <t>Particular Items</t>
  </si>
  <si>
    <t>Cost / Unit</t>
  </si>
  <si>
    <t>Rate per unit (Rs)</t>
  </si>
  <si>
    <t>Or, Say</t>
  </si>
  <si>
    <t>A) Dismantling of Different Items</t>
  </si>
  <si>
    <t>Each Cum</t>
  </si>
  <si>
    <t>ODACT229</t>
  </si>
  <si>
    <t>(i)</t>
  </si>
  <si>
    <t>Ground Floor</t>
  </si>
  <si>
    <t>Column,Beam,Slab</t>
  </si>
  <si>
    <t>(ii)</t>
  </si>
  <si>
    <t>First Floor</t>
  </si>
  <si>
    <t>Brick stone masonry</t>
  </si>
  <si>
    <t>ODACT228</t>
  </si>
  <si>
    <t>Each Sqm</t>
  </si>
  <si>
    <t>2.5 CM AS flooring</t>
  </si>
  <si>
    <t>Cement Plaster</t>
  </si>
  <si>
    <t>ODACT230</t>
  </si>
  <si>
    <t>GCI or AC Sheet</t>
  </si>
  <si>
    <t>Framed Timber</t>
  </si>
  <si>
    <t>Door,Window,Ventilator</t>
  </si>
  <si>
    <t>ODACT231</t>
  </si>
  <si>
    <t>Grading Concrete</t>
  </si>
  <si>
    <t>Grading Plaster</t>
  </si>
  <si>
    <t>Cement Concrete</t>
  </si>
  <si>
    <t>RCC Chajja Shelves &amp; Fins</t>
  </si>
  <si>
    <t>Marble Chips Flooring</t>
  </si>
  <si>
    <t>Marble Chips in Dadoo</t>
  </si>
  <si>
    <t>Old Tile Flooring</t>
  </si>
  <si>
    <t>Old Tile Cladding</t>
  </si>
  <si>
    <t xml:space="preserve">Pan &amp; Nuria Tile </t>
  </si>
  <si>
    <t>Flat &amp; Pan Tile</t>
  </si>
  <si>
    <t>Reepers under Tile Roof</t>
  </si>
  <si>
    <t>Old Tarfelt</t>
  </si>
  <si>
    <t>B) Foundation, Substructure, Superstructure (All Masonry work, All PCC/RCC work)</t>
  </si>
  <si>
    <t>NREGA</t>
  </si>
  <si>
    <t>PIT EXCAVATION</t>
  </si>
  <si>
    <t>i</t>
  </si>
  <si>
    <t>NREGS PIT EXCAVATION</t>
  </si>
  <si>
    <t>ii</t>
  </si>
  <si>
    <t>NREGS FOUNDATION EXCAVATION</t>
  </si>
  <si>
    <t>FOUNDATION EXCAVATION</t>
  </si>
  <si>
    <t>ODACT272</t>
  </si>
  <si>
    <t>Sand Filling</t>
  </si>
  <si>
    <t>ODACT133</t>
  </si>
  <si>
    <t>A. HB METAL</t>
  </si>
  <si>
    <t>ODACT044</t>
  </si>
  <si>
    <t>B. CB METAL</t>
  </si>
  <si>
    <t>ODACT045</t>
  </si>
  <si>
    <t>ODACT042</t>
  </si>
  <si>
    <t>ODACT043</t>
  </si>
  <si>
    <t>ODACT034</t>
  </si>
  <si>
    <t>ODACT041</t>
  </si>
  <si>
    <t>Foundation &amp; Plinth</t>
  </si>
  <si>
    <t>Superstructure of Ground Floor</t>
  </si>
  <si>
    <t>ODACT029</t>
  </si>
  <si>
    <t>(iii)</t>
  </si>
  <si>
    <t>Superstructure of First Floor</t>
  </si>
  <si>
    <t>ODACT027</t>
  </si>
  <si>
    <t>ODACT028</t>
  </si>
  <si>
    <t>ODACT030</t>
  </si>
  <si>
    <t>ODACT031</t>
  </si>
  <si>
    <t>Fly Ash Brick Masonry</t>
  </si>
  <si>
    <t>ODACT269</t>
  </si>
  <si>
    <t>ODACT270</t>
  </si>
  <si>
    <t>ODACT171</t>
  </si>
  <si>
    <t>Super Structure 1st Floor</t>
  </si>
  <si>
    <t>(iv)</t>
  </si>
  <si>
    <t>Well Stening upto 1.50 m Depth</t>
  </si>
  <si>
    <t>(v)</t>
  </si>
  <si>
    <t>Well Stening upto 1.50 m  to 4.50 m Depth</t>
  </si>
  <si>
    <t>(vi)</t>
  </si>
  <si>
    <t>Well Stening upto 4.50 m to 7.50m  Depth</t>
  </si>
  <si>
    <t>ODACT010</t>
  </si>
  <si>
    <t>ODACT262</t>
  </si>
  <si>
    <t>ODACT049</t>
  </si>
  <si>
    <t>ODACT050</t>
  </si>
  <si>
    <t>ODACT046</t>
  </si>
  <si>
    <t>ODACT047</t>
  </si>
  <si>
    <t>ODACT040</t>
  </si>
  <si>
    <t>Rigid Smooth centering and shuttering for RCC work using wooden planks and bullahs etc complete.</t>
  </si>
  <si>
    <t>ODACT054</t>
  </si>
  <si>
    <t>a</t>
  </si>
  <si>
    <t>b</t>
  </si>
  <si>
    <t>c</t>
  </si>
  <si>
    <t>d</t>
  </si>
  <si>
    <t>e</t>
  </si>
  <si>
    <t>f</t>
  </si>
  <si>
    <t>g)</t>
  </si>
  <si>
    <t>h)</t>
  </si>
  <si>
    <t>RCC Slab for Culvert &amp; Bridges Upto 8 mtr. Span.</t>
  </si>
  <si>
    <t>Upto 4mtr. Height</t>
  </si>
  <si>
    <t>A)</t>
  </si>
  <si>
    <t>Foundation Raft,Column base / Pilecaps</t>
  </si>
  <si>
    <t>B)</t>
  </si>
  <si>
    <t>Plinth Band</t>
  </si>
  <si>
    <t>C)</t>
  </si>
  <si>
    <t>Lintel</t>
  </si>
  <si>
    <t>D)</t>
  </si>
  <si>
    <t>Column &amp; Beam</t>
  </si>
  <si>
    <t>E)</t>
  </si>
  <si>
    <t>Roof Slab</t>
  </si>
  <si>
    <t>F)</t>
  </si>
  <si>
    <t>Stair Case</t>
  </si>
  <si>
    <t>G)</t>
  </si>
  <si>
    <t>Chajja</t>
  </si>
  <si>
    <t>H)</t>
  </si>
  <si>
    <t>Shelve</t>
  </si>
  <si>
    <t>I)</t>
  </si>
  <si>
    <t>Fins, Parapet and Hand Rail</t>
  </si>
  <si>
    <t>Each Qtl</t>
  </si>
  <si>
    <t>ODACT166</t>
  </si>
  <si>
    <t>Each No</t>
  </si>
  <si>
    <t>375mm dia 10.00m long</t>
  </si>
  <si>
    <t xml:space="preserve"> 375mm dia 6.00m long</t>
  </si>
  <si>
    <t>For additional / less depth of 1.00m beyond initial depth</t>
  </si>
  <si>
    <t>Each Mtr</t>
  </si>
  <si>
    <t>300mm dia 10.00m long</t>
  </si>
  <si>
    <t xml:space="preserve"> 300mm dia 6.00m long</t>
  </si>
  <si>
    <t>250mm dia 10.00m long</t>
  </si>
  <si>
    <t xml:space="preserve"> 250mm dia 6.00m long</t>
  </si>
  <si>
    <t>C) Plastering, Flooring &amp; Grading concrete</t>
  </si>
  <si>
    <t>On Brick wall</t>
  </si>
  <si>
    <t>ODACT003</t>
  </si>
  <si>
    <t>Inside Plastering</t>
  </si>
  <si>
    <t>Outside Plastering</t>
  </si>
  <si>
    <t>Dadoo or Skirting on walls</t>
  </si>
  <si>
    <t>ODACT006</t>
  </si>
  <si>
    <t>Wall top Levelling coarse</t>
  </si>
  <si>
    <t>ODACT005</t>
  </si>
  <si>
    <t>On stone masonry wall</t>
  </si>
  <si>
    <t>ODACT007</t>
  </si>
  <si>
    <t>Dadoo or skirting on walls</t>
  </si>
  <si>
    <t>ODACT008</t>
  </si>
  <si>
    <t>Ceiling &amp; RCC works</t>
  </si>
  <si>
    <t>ODACT018</t>
  </si>
  <si>
    <t>ODACT014</t>
  </si>
  <si>
    <t>ODACT012</t>
  </si>
  <si>
    <t>Cheeping RCC work</t>
  </si>
  <si>
    <t>Below AS flooring</t>
  </si>
  <si>
    <t>ODACT 001</t>
  </si>
  <si>
    <t>ODACT 002</t>
  </si>
  <si>
    <t>ODACT 011</t>
  </si>
  <si>
    <t>On New work.</t>
  </si>
  <si>
    <t>On Old work.</t>
  </si>
  <si>
    <t>OLD 2006</t>
  </si>
  <si>
    <t>ODACT156</t>
  </si>
  <si>
    <t>NEW 2012</t>
  </si>
  <si>
    <t>AS per AR 2006</t>
  </si>
  <si>
    <t>ODACT155</t>
  </si>
  <si>
    <t>Dadoo</t>
  </si>
  <si>
    <t xml:space="preserve">Ceramic Floor tile </t>
  </si>
  <si>
    <t xml:space="preserve">Ceramic Wall tile </t>
  </si>
  <si>
    <t>Toilet Wall</t>
  </si>
  <si>
    <t>Repair work AR 2012</t>
  </si>
  <si>
    <t>Printed</t>
  </si>
  <si>
    <t>Plain</t>
  </si>
  <si>
    <t>New work AR 2012</t>
  </si>
  <si>
    <t>D) Doors, Windows, Ventilators, Railiings etc.</t>
  </si>
  <si>
    <t>CHAUKATH FRAME</t>
  </si>
  <si>
    <t>SR</t>
  </si>
  <si>
    <t>SHUTTER</t>
  </si>
  <si>
    <t>ODACT017</t>
  </si>
  <si>
    <t>EPM</t>
  </si>
  <si>
    <t>ODACT097</t>
  </si>
  <si>
    <t>ODACT184</t>
  </si>
  <si>
    <t>Each Kg</t>
  </si>
  <si>
    <t>ODACT185</t>
  </si>
  <si>
    <t>12mm board + Black glass</t>
  </si>
  <si>
    <t>AL Section</t>
  </si>
  <si>
    <t>ODACT169</t>
  </si>
  <si>
    <t>ODACT168</t>
  </si>
  <si>
    <t>AR 2006 Novapan Board</t>
  </si>
  <si>
    <t>ODACT183</t>
  </si>
  <si>
    <t>AR 2006 Gypsum Board</t>
  </si>
  <si>
    <t>SR 2012 Novapan Board</t>
  </si>
  <si>
    <t>SR 2012 Gypsum Board</t>
  </si>
  <si>
    <t>Cost of Fittings</t>
  </si>
  <si>
    <t>a)</t>
  </si>
  <si>
    <t>W.I Clamps</t>
  </si>
  <si>
    <t>b)</t>
  </si>
  <si>
    <t>G.I. "L" &amp; "J" hooks</t>
  </si>
  <si>
    <t>c)</t>
  </si>
  <si>
    <t>Steel Butt hinges (I.S.I.)&gt; 125x65x2.12mm</t>
  </si>
  <si>
    <t>d)</t>
  </si>
  <si>
    <t>Steel Butt hinges (I.S.I.)&gt; 100x58x1.9mm</t>
  </si>
  <si>
    <t>e)</t>
  </si>
  <si>
    <t>M.S. Aldrop (I.S.I.)&gt; 300x16mm</t>
  </si>
  <si>
    <t>f)</t>
  </si>
  <si>
    <t>M.S. Handel (I.S.I.)&gt; 150mm</t>
  </si>
  <si>
    <t>M.S. Handel (I.S.I.)&gt; 100mm</t>
  </si>
  <si>
    <t>M.S. tower bolt (I.S.I.)&gt; 150x10mm</t>
  </si>
  <si>
    <t>i)</t>
  </si>
  <si>
    <t>M.S. tower bolt (I.S.I.)&gt; 100x10mm</t>
  </si>
  <si>
    <t>E) Painting</t>
  </si>
  <si>
    <t>ODACT053</t>
  </si>
  <si>
    <t>Inside Surface</t>
  </si>
  <si>
    <t>Outside Surface</t>
  </si>
  <si>
    <t>Wall priming</t>
  </si>
  <si>
    <t>Old work</t>
  </si>
  <si>
    <t>ODACT139</t>
  </si>
  <si>
    <t>New work</t>
  </si>
  <si>
    <t>Excluding Primer</t>
  </si>
  <si>
    <t>Including Primer</t>
  </si>
  <si>
    <t>ODACT137</t>
  </si>
  <si>
    <t>ODACT094</t>
  </si>
  <si>
    <t>ODACT095</t>
  </si>
  <si>
    <t>Old iron work</t>
  </si>
  <si>
    <t>Iron Work</t>
  </si>
  <si>
    <t>New iron work including primer</t>
  </si>
  <si>
    <t>ODACT260</t>
  </si>
  <si>
    <t>Wood Work</t>
  </si>
  <si>
    <t>ODACT261</t>
  </si>
  <si>
    <t>Old wood work</t>
  </si>
  <si>
    <t>New wood work including primer</t>
  </si>
  <si>
    <t>Fine Dressing (CC Road)</t>
  </si>
  <si>
    <t>ODACT226</t>
  </si>
  <si>
    <t>ODACT056</t>
  </si>
  <si>
    <t>Light Jungle</t>
  </si>
  <si>
    <t>Thorney Jungle</t>
  </si>
  <si>
    <t>Dismantling dry brick pitching or brick soling including T&amp;P, sorting the dismantled material , disposal of unseviceable material and stacking the serviciable material with all lifts and lead of 1000 mtres.</t>
  </si>
  <si>
    <t>Dismantling Stone pitching /dry stone spalls including T&amp;P, sorting the dismantled material disposal of unservicible material and stacking the serviciable material with all lifts and lead of 1000 mtres.</t>
  </si>
  <si>
    <t>Scraping of bricks dismantled from brick workin cement mortar including T&amp;P sorting the material disposal of unserviciable material and stacking the serviciable material with all lifts and lead of 1000mtres</t>
  </si>
  <si>
    <t>Scraping of bricks dismantled from brick workin mud mortar including T&amp;P sorting the material disposal of unserviciable material and stacking the serviciable material with all lifts and lead of 1000mtres</t>
  </si>
  <si>
    <t>Rolling and compacting to sub grade or formation loosening by cutting hard soil for 0.15m depth including watering and rolling by PRR as per specifications and direction of Engineer-in-Charge.</t>
  </si>
  <si>
    <t>ODACT102</t>
  </si>
  <si>
    <t>ODACT253</t>
  </si>
  <si>
    <t>Metal spall backing in the rear of wall steining or weep holes of abutments and for deep drains.</t>
  </si>
  <si>
    <t>ODACT099</t>
  </si>
  <si>
    <t>ODACT060</t>
  </si>
  <si>
    <t>Providing spreading metal and packing the voids with small stones and hand packing the same to proper camber including conveying spreding of filler materials and filling the interstices by spreading the same over the surface watering and consolidation with PRR including Hire and running Charges of PRR complete</t>
  </si>
  <si>
    <t>IRC Gr-I</t>
  </si>
  <si>
    <t>IRC Gr-II</t>
  </si>
  <si>
    <t>IRC Gr-III</t>
  </si>
  <si>
    <t>Compaction with PRR</t>
  </si>
  <si>
    <t>Compaction with HRR</t>
  </si>
  <si>
    <t>Compaction with PRR at OMC</t>
  </si>
  <si>
    <t>Earth work in embankment obtained from borrow pits with excavation  carriage loading by mechanical means within 5km initial lead etc  complete as per specification.</t>
  </si>
  <si>
    <t>With VRR</t>
  </si>
  <si>
    <t>Irrigation work</t>
  </si>
  <si>
    <t>ODACT059</t>
  </si>
  <si>
    <t>ODACT061</t>
  </si>
  <si>
    <t>Labour for sppreading moorum and consolidation with HRR including watering etc complete.</t>
  </si>
  <si>
    <t>With HRR without cost of moorum</t>
  </si>
  <si>
    <t>ODACT075</t>
  </si>
  <si>
    <t>Flank dressing to proper camber etc complete. As per specificcation.</t>
  </si>
  <si>
    <t>Sectioning old gravelled surface to proper Camber etc complete.</t>
  </si>
  <si>
    <t>Without PRR</t>
  </si>
  <si>
    <t>With PRR</t>
  </si>
  <si>
    <t>ODACT076</t>
  </si>
  <si>
    <t>ODACT126</t>
  </si>
  <si>
    <t>a.</t>
  </si>
  <si>
    <t>b.</t>
  </si>
  <si>
    <t>c.</t>
  </si>
  <si>
    <t>ODACT188</t>
  </si>
  <si>
    <t>Sinking masonry well 1.50 M dia in ordinary soil upto 4.55M deep (Labour only)</t>
  </si>
  <si>
    <t>Sinking masonry well 1.50 M dia in Hard soil upto 4.55M deep (Labour only)</t>
  </si>
  <si>
    <t>Earrth work Excavation for Open well within Initial lead etc complete as per Specification.</t>
  </si>
  <si>
    <t>A.</t>
  </si>
  <si>
    <t>1ST DEPTH OF 1.5MTR.</t>
  </si>
  <si>
    <t>i.Ordinary Soil.</t>
  </si>
  <si>
    <t>ii.Slushy Soil</t>
  </si>
  <si>
    <t>iii</t>
  </si>
  <si>
    <t>iii.Hard Sooil</t>
  </si>
  <si>
    <t>iv</t>
  </si>
  <si>
    <t>IV.Stony Earth</t>
  </si>
  <si>
    <t>v</t>
  </si>
  <si>
    <t>V.All Kinds of Soil</t>
  </si>
  <si>
    <t xml:space="preserve">B. </t>
  </si>
  <si>
    <t>2ND DEPTH OF 1.5MTR.</t>
  </si>
  <si>
    <t>C.</t>
  </si>
  <si>
    <t xml:space="preserve"> 3RD DEPTH OF 1.5MTR.</t>
  </si>
  <si>
    <t>D.</t>
  </si>
  <si>
    <t>4TH DEPTH OF 1.5MTR.</t>
  </si>
  <si>
    <t>E.</t>
  </si>
  <si>
    <t>5TH DEPTH OF 1.5MTR.</t>
  </si>
  <si>
    <t>F.</t>
  </si>
  <si>
    <t>6TH DEPTH OF 1.5MTR.</t>
  </si>
  <si>
    <t>G.</t>
  </si>
  <si>
    <t>7TH DEPTH OF 1.5MTR.</t>
  </si>
  <si>
    <t>H.</t>
  </si>
  <si>
    <t>8TH DEPTH OF 1.5MTR.</t>
  </si>
  <si>
    <t>Earrth work Excavation for Open well in disintigrated rock within Initial lead etc complete as per Specification.</t>
  </si>
  <si>
    <t>i.Disintegrated Rock</t>
  </si>
  <si>
    <t>3RD DEPTH OF 1.5MTR.</t>
  </si>
  <si>
    <t>Making R.C.C. jally as per approved design 2.5 cm to 5.00 cm thick and fixing in cement mortar in position after cutting the grooves, etc. complete including cost of all materials.</t>
  </si>
  <si>
    <t xml:space="preserve"> Providing and fixing in position 50mm, thick precast cement concere jally (1:2:4) hard granite chips including roughening, cleaning, fixing and finishing in cement mortar (1:3) etc., complete</t>
  </si>
  <si>
    <t>5 c.m. thick R.C.C. shelves (1:2:4) with hard granite chips 12mm size fitted and fixed in position finished smooth complete with all materials.</t>
  </si>
  <si>
    <t>RCC Shelves</t>
  </si>
  <si>
    <t>R.C.C. boundary stones (1:2:4) with washed shingles or hard stone chips 10cm × 10cm and 1.2M high fitted and fixed complete</t>
  </si>
  <si>
    <t xml:space="preserve">Each </t>
  </si>
  <si>
    <t>R.C.C. post (1:2:4) using 12mm size hard granite chips using 75Kgs of steel reinforcement per Cu.M. including cost of all materials and labour fitting and fixing in position etc.</t>
  </si>
  <si>
    <t>Supplying and fixing 15cm dia and 1.00 M. long guard posts of cement concrete (1:2:4) with hard granite chips including cost of all reinforcement.</t>
  </si>
  <si>
    <t>Labour for fixing 15 cm dia and 1 m long R.C.C. guard posts in position 45cm below ground level.</t>
  </si>
  <si>
    <t>RCC Railing (1:2:4) 8cm thick 90cm high with hard granite chips 6mm to 20mm size complete as per approved design.</t>
  </si>
  <si>
    <t>Each RMt</t>
  </si>
  <si>
    <t>Providing fitting fixing with sal wood battens 7.5cmx1.2cm with 6mm mesh wire netting or expanded metal including painting etc complete.</t>
  </si>
  <si>
    <t>Labour for taking out wooden/steel door frame and refixing the same after necessary repair including making good damages to walls.</t>
  </si>
  <si>
    <t>Labour for taking out wooden/steel window frame and refixing the same after necessary repair including making good damages to walls.</t>
  </si>
  <si>
    <t>Labour for taking out door &amp; window shutters and refixing the same after necessary repair including screws as may be required.</t>
  </si>
  <si>
    <t>Doors</t>
  </si>
  <si>
    <t>Windows</t>
  </si>
  <si>
    <t>Cutting grooves in laterite stone masonry for fixing choukaths of doors aand windows.</t>
  </si>
  <si>
    <t>Leak repair to corrugated asbestos or GI sheet roofing with pitch and coaltar putty and paint arround the holes.</t>
  </si>
  <si>
    <t>100 Nos</t>
  </si>
  <si>
    <t>labour for fixing J L or U hooks for repair works only.</t>
  </si>
  <si>
    <t>Bambo ceiling with old sall frame including all materials etc complete.</t>
  </si>
  <si>
    <t>Labour for fitting fixing flat iron wind ties including drilling holes and supplying holes and nuts.</t>
  </si>
  <si>
    <t>1Qntl</t>
  </si>
  <si>
    <t>Labour for fabrication</t>
  </si>
  <si>
    <t>Labour for fitting fixing MS window grills including cost of screws etc complete.</t>
  </si>
  <si>
    <t>Labour for fitting fixing MS gates as per approved design including cost of all materials complete.</t>
  </si>
  <si>
    <t>Labour for rubbing out heavy moss from shift walls exposed to weather.</t>
  </si>
  <si>
    <t>100Sqm</t>
  </si>
  <si>
    <t>Painting figures and letters of various size upto 120mm.</t>
  </si>
  <si>
    <t>Scraping old paint with scrappers sand papering and washing with soap water or soda including scaffolding charges upto 5mt height.</t>
  </si>
  <si>
    <t>Labour for laying and fixing in position RCC spun pipes with collar jointed with cement mortar (1:3) complete excluding cost of spun pipes and collars.</t>
  </si>
  <si>
    <t>100mm dia RCC Pipe</t>
  </si>
  <si>
    <t>Rmt</t>
  </si>
  <si>
    <t>150mm dia RCC Pipe</t>
  </si>
  <si>
    <t>250mm dia RCC Pipe</t>
  </si>
  <si>
    <t>300mm dia RCC Pipe</t>
  </si>
  <si>
    <t>450mm dia RCC Pipe</t>
  </si>
  <si>
    <t>vi</t>
  </si>
  <si>
    <t>600mm dia RCC Pipe</t>
  </si>
  <si>
    <t>vii</t>
  </si>
  <si>
    <t>900mm dia RCC Pipe</t>
  </si>
  <si>
    <t>viii</t>
  </si>
  <si>
    <t>1200mm dia RCC Pipe</t>
  </si>
  <si>
    <t>ANALYSIS</t>
  </si>
  <si>
    <t xml:space="preserve">Particular Item    </t>
  </si>
  <si>
    <t>Quantity</t>
  </si>
  <si>
    <t>Rate</t>
  </si>
  <si>
    <t>Amount</t>
  </si>
  <si>
    <t>Remarks</t>
  </si>
  <si>
    <t>Row hide</t>
  </si>
  <si>
    <t>Dismantling of Different Items</t>
  </si>
  <si>
    <t>Dismantling of Different Items (15)</t>
  </si>
  <si>
    <t xml:space="preserve">(Data Per 1 Cum) </t>
  </si>
  <si>
    <t>a) Labour</t>
  </si>
  <si>
    <t>Semiskilled Mulia</t>
  </si>
  <si>
    <t>Mulia</t>
  </si>
  <si>
    <t>T</t>
  </si>
  <si>
    <t>b) Sundries and T&amp;P 2%</t>
  </si>
  <si>
    <t>Rate Per 1 Cum (a+b)</t>
  </si>
  <si>
    <t>Per Cum</t>
  </si>
  <si>
    <t>Basic Rate in Ground Floor.</t>
  </si>
  <si>
    <t xml:space="preserve">Add 5% extra labour </t>
  </si>
  <si>
    <t xml:space="preserve">(Data Per 2.83 Cum) </t>
  </si>
  <si>
    <t>Rate Per 2.83 Cum (a+b)</t>
  </si>
  <si>
    <t>Rate Per 1 Cum (a+b)/2.83</t>
  </si>
  <si>
    <t xml:space="preserve">(Data Per 9.3 Sqm) </t>
  </si>
  <si>
    <t>Rate per 9.30 Sqm=(a+b)</t>
  </si>
  <si>
    <t>Rate Per 1 Sqm (a+b)/9.3</t>
  </si>
  <si>
    <t>Per Sqm</t>
  </si>
  <si>
    <t>Fitter 2nd Class</t>
  </si>
  <si>
    <t xml:space="preserve">(Data Per 0.0283 Cum) </t>
  </si>
  <si>
    <t>Carpenter 2nd Class</t>
  </si>
  <si>
    <t>Rate Per 0.0283 Cum (a+b)</t>
  </si>
  <si>
    <t>Rate Per 1 Cum (a+b)/0.0283</t>
  </si>
  <si>
    <t xml:space="preserve">(Data Per 2.6 Sqm) </t>
  </si>
  <si>
    <t>Rate per 2.60 Sqm= (a+b)</t>
  </si>
  <si>
    <t>Rate Per 1 Sqm (a+b)/2.6</t>
  </si>
  <si>
    <t xml:space="preserve">(Data Per 1.0 Cum) </t>
  </si>
  <si>
    <t>Rate Per 1 Sqm (a+b)</t>
  </si>
  <si>
    <t>Add 5% extra labour</t>
  </si>
  <si>
    <t>Carpenter 2nd class</t>
  </si>
  <si>
    <t xml:space="preserve">(Data Per 100 Sqm) </t>
  </si>
  <si>
    <t>Mate</t>
  </si>
  <si>
    <t>b) Machinery</t>
  </si>
  <si>
    <t>Tractor-Trolly</t>
  </si>
  <si>
    <t>Hr</t>
  </si>
  <si>
    <t>Rate per 100Sqm=(a+b)</t>
  </si>
  <si>
    <t>Rate Per 1 Sqm (a+b)/100</t>
  </si>
  <si>
    <t xml:space="preserve">(Data Per 1000 Nos) </t>
  </si>
  <si>
    <t>Rate per 1000 Nos=(a+b)</t>
  </si>
  <si>
    <t>Rate Per 1 No (a+b)/1000</t>
  </si>
  <si>
    <t>Per No</t>
  </si>
  <si>
    <t xml:space="preserve">(Data Per 1.25 Cum) </t>
  </si>
  <si>
    <t>Rate per 1.25 Cum=(a+b)</t>
  </si>
  <si>
    <t>Rate Per 1Cum (a+b)/1.25</t>
  </si>
  <si>
    <t>Construction Work</t>
  </si>
  <si>
    <t>Foundation, Substructure, Superstructure (All Masonry work, All PCC/RCC work)</t>
  </si>
  <si>
    <t xml:space="preserve">( Data Per 100 Cum ) </t>
  </si>
  <si>
    <t>Total (a+b)</t>
  </si>
  <si>
    <t xml:space="preserve">c) Add 20% for dressing &amp; levelling of trench </t>
  </si>
  <si>
    <t>Rate Per 100 Cum (a+b+c)</t>
  </si>
  <si>
    <t>Rate Per 1 Cum</t>
  </si>
  <si>
    <t xml:space="preserve">(Data Per 100 Cum) </t>
  </si>
  <si>
    <t>For Pit excavation</t>
  </si>
  <si>
    <t>Rate Per 1 Cum (a+b+c)</t>
  </si>
  <si>
    <t>For foundation Excavation</t>
  </si>
  <si>
    <t>Man Mulia</t>
  </si>
  <si>
    <t xml:space="preserve">(Data Per 100Cum) </t>
  </si>
  <si>
    <t>Female Mulia</t>
  </si>
  <si>
    <t>Total (a)</t>
  </si>
  <si>
    <t>Per 100 Cum</t>
  </si>
  <si>
    <t>(a+b)</t>
  </si>
  <si>
    <t>c) Materials</t>
  </si>
  <si>
    <t>Sand</t>
  </si>
  <si>
    <t>Total Cost Per 100 Cum (a+b+c)</t>
  </si>
  <si>
    <t>Data per 1 cum</t>
  </si>
  <si>
    <t>Using 40mm Hand Broken Metal</t>
  </si>
  <si>
    <t xml:space="preserve">a ) Materials </t>
  </si>
  <si>
    <t>.h.g.h.b. metal</t>
  </si>
  <si>
    <t xml:space="preserve">b ) Labour </t>
  </si>
  <si>
    <t>Mason 2nd Class</t>
  </si>
  <si>
    <t>c ) Lead &amp; Royality of Materials</t>
  </si>
  <si>
    <t>B.h.g.c.b. metal</t>
  </si>
  <si>
    <t>Rate Per Each Cum = (a+b+c)</t>
  </si>
  <si>
    <t>Using 40mm Crusher Broken Metal</t>
  </si>
  <si>
    <t>Rate as item A above</t>
  </si>
  <si>
    <t>Add differential cost of CB metal</t>
  </si>
  <si>
    <t>B.h.g.h.b. metal</t>
  </si>
  <si>
    <t>Using 12mm Hand Broken Chips</t>
  </si>
  <si>
    <t>B.h.g.c.b. Chips</t>
  </si>
  <si>
    <t>d ) Lead &amp; Royality of Materials</t>
  </si>
  <si>
    <t>Rate Per Each Cum = (a+b+c+d)</t>
  </si>
  <si>
    <t>Rate In  Ground Floor.</t>
  </si>
  <si>
    <t xml:space="preserve">Add extra 15% labour charges </t>
  </si>
  <si>
    <t>W.B.K.B. brick 25cm x 12cm x 8cm size</t>
  </si>
  <si>
    <t>Mason Sp. Class</t>
  </si>
  <si>
    <t>c) Lead &amp; Royality of Materials</t>
  </si>
  <si>
    <t>Rate In Foundation and Plinth</t>
  </si>
  <si>
    <t>Add extra to wards extra labour &amp; scafolding</t>
  </si>
  <si>
    <t>Rate In Superstructure of Ground Floor.</t>
  </si>
  <si>
    <t>W.B.C.B. brick 25cm x 12cm x 8cm size</t>
  </si>
  <si>
    <t>Fly Ash  brick 25cm x 12cm x 8cm size</t>
  </si>
  <si>
    <t>Mason Spl Class</t>
  </si>
  <si>
    <t>Laterite stone</t>
  </si>
  <si>
    <t>Stone dresser</t>
  </si>
  <si>
    <t>Sangi Mulia</t>
  </si>
  <si>
    <t xml:space="preserve">In Well Stenning </t>
  </si>
  <si>
    <t>Add for Scaffolding Extra labour</t>
  </si>
  <si>
    <t>In Well Stenning (1.50 m to 4.5m depth)</t>
  </si>
  <si>
    <t>In Well Stenning (4.50 m to 7.5m depth)</t>
  </si>
  <si>
    <t xml:space="preserve">Add extra 20% labour charges </t>
  </si>
  <si>
    <t>a)Material</t>
  </si>
  <si>
    <t>H.G. stone</t>
  </si>
  <si>
    <t>cement</t>
  </si>
  <si>
    <t>b) Labour</t>
  </si>
  <si>
    <t>Mason Special class</t>
  </si>
  <si>
    <t>Mason 2nd class</t>
  </si>
  <si>
    <t>c) Carriage &amp; Royality</t>
  </si>
  <si>
    <t>Total Cost Per 1 Sqm (a+b+c)</t>
  </si>
  <si>
    <t>Data per 1 sqm</t>
  </si>
  <si>
    <t>a ) Materials</t>
  </si>
  <si>
    <t>B.h.g.c.b. chips</t>
  </si>
  <si>
    <t>Mason special Class</t>
  </si>
  <si>
    <t>Rate Per Each Sqm (a+b+c)</t>
  </si>
  <si>
    <t>a) Labour for back filling</t>
  </si>
  <si>
    <t>2/3rd Rate of Item No - 1</t>
  </si>
  <si>
    <t>Data per 15 Cum</t>
  </si>
  <si>
    <t>a) Materials</t>
  </si>
  <si>
    <t>Crushed stone aggregates 20mm size</t>
  </si>
  <si>
    <t>Crushed stone aggregates 10mm size</t>
  </si>
  <si>
    <t>Coarse sand</t>
  </si>
  <si>
    <t>c) Machinery</t>
  </si>
  <si>
    <t xml:space="preserve">Concrete mixer </t>
  </si>
  <si>
    <t>Total (a+b+c)</t>
  </si>
  <si>
    <t>d ) Lead and Royality of Materials.</t>
  </si>
  <si>
    <t>Total cost per 15 cum (a+b+c+d)</t>
  </si>
  <si>
    <t>Total cost per 1 cum (a+b+c+d)/ 15</t>
  </si>
  <si>
    <t>Or,Say</t>
  </si>
  <si>
    <t>Rate of ground floor</t>
  </si>
  <si>
    <t>Add extra for 1st floor @ 15% over labour for lifting of concrete.</t>
  </si>
  <si>
    <t>Data per 1 Cum</t>
  </si>
  <si>
    <t>Total cost per 1 cum (a+b+c+d)</t>
  </si>
  <si>
    <t>Total cost per 1 cum (a+b+c+d)/ 1</t>
  </si>
  <si>
    <t>i )</t>
  </si>
  <si>
    <t>R.C.C.(1:1.5:3)  without frame work</t>
  </si>
  <si>
    <t>Crushed stone aggregates 12 mm size</t>
  </si>
  <si>
    <t>Rigid and smooth centering &amp; shuttering</t>
  </si>
  <si>
    <t>in RCC works</t>
  </si>
  <si>
    <t>RCC foundation and plinth bend bases of columns  mass concrete precast slab.</t>
  </si>
  <si>
    <t>Data per10 sqm</t>
  </si>
  <si>
    <t>Ground floor</t>
  </si>
  <si>
    <t>a. Material</t>
  </si>
  <si>
    <t>25mm thick nonsal planks</t>
  </si>
  <si>
    <t>Carriage of wood</t>
  </si>
  <si>
    <t>Considering 10 times use, For once</t>
  </si>
  <si>
    <t>b.Labour</t>
  </si>
  <si>
    <t>Semiskilled mulia</t>
  </si>
  <si>
    <t>Rate per sqm</t>
  </si>
  <si>
    <t>1st floor</t>
  </si>
  <si>
    <t>Rtae as ground floor</t>
  </si>
  <si>
    <t>Add @ 20% extra for 1st floor</t>
  </si>
  <si>
    <t>RCC floor &amp; roof slab,landing,balconies, projecting sunshade &amp; chajja upto 4.3m ht.</t>
  </si>
  <si>
    <t>Data per 9 sqm</t>
  </si>
  <si>
    <t>Nonsal wood scanting</t>
  </si>
  <si>
    <t>38mm thick nonsal planks</t>
  </si>
  <si>
    <t>(c)</t>
  </si>
  <si>
    <t>RCC stairs excluding landing, but including railing.</t>
  </si>
  <si>
    <t>Data per 5 sqm</t>
  </si>
  <si>
    <t>Non sal bullah120mm dia</t>
  </si>
  <si>
    <t>(d)</t>
  </si>
  <si>
    <t>RCC beam, column, girder and bressmer etc.</t>
  </si>
  <si>
    <t>Data per 4.2 sqm</t>
  </si>
  <si>
    <t>Sal bullah 80mm dia</t>
  </si>
  <si>
    <t>(e)</t>
  </si>
  <si>
    <t>RCC wall &amp;  Fins including attach pillaster</t>
  </si>
  <si>
    <t>Data per 23.9 sqm</t>
  </si>
  <si>
    <t>(f)</t>
  </si>
  <si>
    <t>RCC lintels</t>
  </si>
  <si>
    <t>Data per 7.8 sqm</t>
  </si>
  <si>
    <t>RH</t>
  </si>
  <si>
    <t>(g)</t>
  </si>
  <si>
    <t>Centering and shuttering for slope roof upto 3.6m height</t>
  </si>
  <si>
    <t>Data per 9.3 sqm</t>
  </si>
  <si>
    <t>sal bullah120mm dia</t>
  </si>
  <si>
    <t>Nonsal bullah80mm dia</t>
  </si>
  <si>
    <t>25mm thick nonsal wood scantling</t>
  </si>
  <si>
    <t>(h)</t>
  </si>
  <si>
    <t>Centering and shuttering for RCC Slab of culvert upto 8m Span and upto 4m height.</t>
  </si>
  <si>
    <t>Rate as per item no-43 (b) for Roof slab and landings.</t>
  </si>
  <si>
    <t>Add @ 20% extra for strong post and bracings.</t>
  </si>
  <si>
    <t>Basic Rate of R.C.C.</t>
  </si>
  <si>
    <t>Add for centering &amp; Shuttering</t>
  </si>
  <si>
    <t>Sqm @ Rs</t>
  </si>
  <si>
    <t>Sam @ Rs</t>
  </si>
  <si>
    <t>Basic Rate of R.C.C. in Ground Floor.</t>
  </si>
  <si>
    <t>Add 20% extra centering &amp; Shuttering</t>
  </si>
  <si>
    <t xml:space="preserve">Add 15% extra labor for lifting of concrete </t>
  </si>
  <si>
    <t xml:space="preserve">Add 15% extra labour for lifting of concrete </t>
  </si>
  <si>
    <t>Add 15% extra labour for lifting of concrete</t>
  </si>
  <si>
    <t>x</t>
  </si>
  <si>
    <t>Taking out put-1 Mt</t>
  </si>
  <si>
    <t>HYSD bars including 5% for Laps &amp; Wastage</t>
  </si>
  <si>
    <t>b ) Labour</t>
  </si>
  <si>
    <t>Blacksmith special</t>
  </si>
  <si>
    <t>Mazdoor unskilled</t>
  </si>
  <si>
    <t>Total for (a+b)</t>
  </si>
  <si>
    <t>c ) Lead  of Materials.</t>
  </si>
  <si>
    <t>Rate per one MT (a+b+c)</t>
  </si>
  <si>
    <t>Rate per Qtl</t>
  </si>
  <si>
    <t>Per Qtl</t>
  </si>
  <si>
    <t>Basic Rate of Reinforcement in Ground Floor.</t>
  </si>
  <si>
    <t xml:space="preserve">Add 5% extra labour for lifting </t>
  </si>
  <si>
    <t>Data per 375mm dia 6.00m long</t>
  </si>
  <si>
    <t>a ) Excavation of bore hole</t>
  </si>
  <si>
    <t>Boring Mistry Special</t>
  </si>
  <si>
    <t>Hour</t>
  </si>
  <si>
    <t>(x)</t>
  </si>
  <si>
    <t xml:space="preserve">b ) RCC M-20 </t>
  </si>
  <si>
    <t>(i) Rate of RCC</t>
  </si>
  <si>
    <t>Rate Vide calculated Item of RCC</t>
  </si>
  <si>
    <t>Add 10% Extra Cement</t>
  </si>
  <si>
    <t>(ii)  Volume of RCC</t>
  </si>
  <si>
    <t>.=</t>
  </si>
  <si>
    <t>Cum +</t>
  </si>
  <si>
    <t>Cum       =</t>
  </si>
  <si>
    <t>Add 20% Extra Concrete for Bore Compaction</t>
  </si>
  <si>
    <t>Total</t>
  </si>
  <si>
    <t>(iii)  Cost of RCC</t>
  </si>
  <si>
    <t>Cum    @     Rs</t>
  </si>
  <si>
    <t>Per Cum =</t>
  </si>
  <si>
    <t>Rs</t>
  </si>
  <si>
    <t>Total  cost  per  pile = (a+b)</t>
  </si>
  <si>
    <t>Per Pile</t>
  </si>
  <si>
    <t>Take 12% of above Item (x)</t>
  </si>
  <si>
    <t>Cost of RCC</t>
  </si>
  <si>
    <t>Per Mtr</t>
  </si>
  <si>
    <t>For additional 4.00m depth beyond 6.00m depth</t>
  </si>
  <si>
    <t>Total  cost  per  pile = (i+ii)</t>
  </si>
  <si>
    <t>For 300mm dia 6.00m length  Taking 90% of above value</t>
  </si>
  <si>
    <t>For 250mm dia 6.00m length  Taking 83% of above value</t>
  </si>
  <si>
    <t>Each Pile</t>
  </si>
  <si>
    <t>Add 25% Extra for Double Under reamed</t>
  </si>
  <si>
    <t>Data per 400mm dia 6.00m long</t>
  </si>
  <si>
    <t>Finishing work</t>
  </si>
  <si>
    <t>Plastering, Flooring &amp; Grading concrete</t>
  </si>
  <si>
    <t>Plastering, Flooring &amp; Grading concrete(12)</t>
  </si>
  <si>
    <t xml:space="preserve">Add 3% extra labour </t>
  </si>
  <si>
    <t>2nd floor</t>
  </si>
  <si>
    <t>Basic Rate in First Floor.</t>
  </si>
  <si>
    <t>Rate per Plastering &amp; Punning</t>
  </si>
  <si>
    <t>Coaltaring one coat</t>
  </si>
  <si>
    <t>Data per 9.30 sqm</t>
  </si>
  <si>
    <t xml:space="preserve">a ) Labour </t>
  </si>
  <si>
    <t xml:space="preserve">b ) Sundries, brush and T&amp;P etc 2% </t>
  </si>
  <si>
    <t>Rate per 9.30 sqm (a+b)</t>
  </si>
  <si>
    <t>Rate per 1.00 sqm (a+b)/9.30</t>
  </si>
  <si>
    <t>Add cost of Coaltar</t>
  </si>
  <si>
    <t>Add for bitumen coating</t>
  </si>
  <si>
    <t>Add for Coaltaring</t>
  </si>
  <si>
    <t>Basic rate of Ground floor</t>
  </si>
  <si>
    <t xml:space="preserve"> ) Lead &amp; Royality of Materials</t>
  </si>
  <si>
    <t>Rate Per Each Sqm (a+b+c+d)</t>
  </si>
  <si>
    <t>Data per 10 sqm</t>
  </si>
  <si>
    <t xml:space="preserve">A ) Labour </t>
  </si>
  <si>
    <t>B) Add for Sundries &amp; T&amp;P 2%</t>
  </si>
  <si>
    <t>Rate Per 10 Sqm (a+b)</t>
  </si>
  <si>
    <t>Rate per 1Sqm=(a+b)/10</t>
  </si>
  <si>
    <t>Mason Spl class</t>
  </si>
  <si>
    <t>Rate Per 1 Sqm (a+b+c)</t>
  </si>
  <si>
    <t>Epidorite metal/Hard metal</t>
  </si>
  <si>
    <t>B.h.g.c.b. chips 4.7mm size</t>
  </si>
  <si>
    <t>B.h.g.c.b. chips 12mm size</t>
  </si>
  <si>
    <t>AS PER AR 2006</t>
  </si>
  <si>
    <t>Mason Special Class</t>
  </si>
  <si>
    <t>S Skilled Mulia</t>
  </si>
  <si>
    <t>Rate Per 10 Sqm (a+b+c)</t>
  </si>
  <si>
    <t>Rate Per Each Sqm (a+b+c)/10</t>
  </si>
  <si>
    <t>Add Cost of Tile</t>
  </si>
  <si>
    <t xml:space="preserve">Cost of Labour for fitting fixing </t>
  </si>
  <si>
    <t>Wax Polishing</t>
  </si>
  <si>
    <t>AS PER SR 2012</t>
  </si>
  <si>
    <t>Wax Policing</t>
  </si>
  <si>
    <t>Rate Per 10 Sqm (a+b+c+d)</t>
  </si>
  <si>
    <t>Rate Per Each Sqm (a+b+c+d)/10</t>
  </si>
  <si>
    <t>Ceramic Wall Tile</t>
  </si>
  <si>
    <t>Repair work as per AR 2012</t>
  </si>
  <si>
    <t>Repair Work</t>
  </si>
  <si>
    <t>White Cement</t>
  </si>
  <si>
    <t>Basic Rate of vertified tile printed</t>
  </si>
  <si>
    <t>Deduct Differential cost of Tile</t>
  </si>
  <si>
    <t>New work as per AR 2012</t>
  </si>
  <si>
    <t>New Work</t>
  </si>
  <si>
    <t>Cement Slurry</t>
  </si>
  <si>
    <t>Doors, Windows, Ventilators, Railiings etc.</t>
  </si>
  <si>
    <t>Doors, Windows, Ventilators, Railiings etc.(16)</t>
  </si>
  <si>
    <t>Data per 0.028 cum</t>
  </si>
  <si>
    <t>Sal wood Scantling Sawn</t>
  </si>
  <si>
    <t>Carpenter Special Class</t>
  </si>
  <si>
    <t>Rate per Cum (a+b) / 0.028</t>
  </si>
  <si>
    <t>Data per 1.88 Sqm</t>
  </si>
  <si>
    <t>Wooden hinged cleats</t>
  </si>
  <si>
    <t>Helper</t>
  </si>
  <si>
    <t>Rate per Sqm (a+b) / 1.880</t>
  </si>
  <si>
    <t>Cost of Chaukath(5"x2.5") as per D.I.C. Rate =</t>
  </si>
  <si>
    <t>Per Cft</t>
  </si>
  <si>
    <t>Rate Per  1 Cum</t>
  </si>
  <si>
    <t>Add 12% O.S.T</t>
  </si>
  <si>
    <t>Labour for Fixing</t>
  </si>
  <si>
    <t>a ) Labour for Fitting &amp; fixing</t>
  </si>
  <si>
    <t>Carpenter special Class</t>
  </si>
  <si>
    <t>Taking 30%  of above Labour for Fixing only</t>
  </si>
  <si>
    <t>b ) Carriage of wood</t>
  </si>
  <si>
    <t>Rate Per 0.028 cum (a+b)</t>
  </si>
  <si>
    <t>Rate per 1 cum</t>
  </si>
  <si>
    <t>./</t>
  </si>
  <si>
    <t>Total Cost Per 1 Cum (A+B)</t>
  </si>
  <si>
    <t>Cost of Shutter as per D.I.C. Rate =</t>
  </si>
  <si>
    <t>Per Sft</t>
  </si>
  <si>
    <t>Rate Per  1 Sqm</t>
  </si>
  <si>
    <t>Data per 1.88 sqm</t>
  </si>
  <si>
    <t>c ) Add for Wooden hinged cleats</t>
  </si>
  <si>
    <t>Rate Per 1.88 Sqm (a+b+c+d)</t>
  </si>
  <si>
    <t>Rate per 1 Sqm</t>
  </si>
  <si>
    <t>Data per 1 Qtl</t>
  </si>
  <si>
    <t>a ) Cost of Grill (As per E.P.M.Rate)</t>
  </si>
  <si>
    <t>b ) Add VAT @ 14.5%</t>
  </si>
  <si>
    <t>c ) Carriage</t>
  </si>
  <si>
    <t>d ) Labour for fixing of grills</t>
  </si>
  <si>
    <t>1 Sqm &gt;25kg Rate per Sqm for fitting with screw    =    Rs</t>
  </si>
  <si>
    <t>Total Rate per Qtl</t>
  </si>
  <si>
    <t xml:space="preserve">c ) Carriage </t>
  </si>
  <si>
    <t>1 Sqm &gt;35kg Rate per Sqm for fitting with screw    =    Rs</t>
  </si>
  <si>
    <t>1 Sqm &gt;30Kg Rate per Sqm for fitting with screw    =    Rs</t>
  </si>
  <si>
    <t>Cost of Glass of 4mm plain</t>
  </si>
  <si>
    <t>Data per 6'-10" x 7'-6"=51.22Sft= 4.76 Sqm</t>
  </si>
  <si>
    <t>Al section No 9210 vertical=2.08, horizental=2.286=4.37m</t>
  </si>
  <si>
    <t>Total length=8.74m @ 1.37Kg/Mtr</t>
  </si>
  <si>
    <t>=</t>
  </si>
  <si>
    <t>Al section No 9207 vertical &amp; horizental=(2.08+2.286)=4.37m</t>
  </si>
  <si>
    <t>Total length=4.37m @ 1.42Kg/Mtr</t>
  </si>
  <si>
    <t>Tappered clip section No-4660=34.94m @0.169Kg/M</t>
  </si>
  <si>
    <t>Al. Angle section No-1855 12 nos=0.60m @ 0.518Kg/M</t>
  </si>
  <si>
    <t>Add 5% wastage</t>
  </si>
  <si>
    <t>12mm thick prelaminated particle board (with 10% wastage)</t>
  </si>
  <si>
    <t>T Rubber beads</t>
  </si>
  <si>
    <t>Carpenter 1st Class</t>
  </si>
  <si>
    <t>Fitter 2nd class</t>
  </si>
  <si>
    <t>Helper to Carpenter</t>
  </si>
  <si>
    <t>Rate per 4.76 Sqm/24.39Kg= (a+b)</t>
  </si>
  <si>
    <t>Rate per 1 Sqm =(a+b) / 4.76</t>
  </si>
  <si>
    <t>AR 2012</t>
  </si>
  <si>
    <t>Rate per 1Kg=(a+b) / 24.39</t>
  </si>
  <si>
    <t>Per Kg</t>
  </si>
  <si>
    <t>Al section No 9210 Total length=8.74m @ 1.377Kg/Mtr</t>
  </si>
  <si>
    <t>Al section No 9207 Total length=4.37m @ 1.42Kg/Mtr</t>
  </si>
  <si>
    <t>Al. Angle section No-1855 4.88m @ 0.518Kg/M</t>
  </si>
  <si>
    <t>a.Material</t>
  </si>
  <si>
    <t>U Rubber beads</t>
  </si>
  <si>
    <t>Total (A)</t>
  </si>
  <si>
    <t>Total (B)</t>
  </si>
  <si>
    <t>Rate per 4.76 Sqm=(a+b)</t>
  </si>
  <si>
    <t>Rate per 1Sqm =(a+b) / 4.76</t>
  </si>
  <si>
    <t>Data per  3'6" x 6'-8"=23.31 Sft =2.16 Sqm</t>
  </si>
  <si>
    <t>Vertical section No-9202 4.06 Mtr @ 1.201Kg/Mtr</t>
  </si>
  <si>
    <t>Middle and bottom Al section No-9200 2.14 Mtr @ 1.97Kg/Mtr</t>
  </si>
  <si>
    <t>Top Al section No-9201 2.13 Mtr @ 1.298Kg/Mtr</t>
  </si>
  <si>
    <t>Tapper Clip Al section No-4660 16.65 Mtr @ 0.169Kg/Mtr</t>
  </si>
  <si>
    <t>Al Angle section No-1855 0.42 Mtr @ 0.518Kg/Mtr</t>
  </si>
  <si>
    <t>Al frame section No-9221 6.2 Mtr @ 1.975Kg/Mtr</t>
  </si>
  <si>
    <t>Wastage @ 5%</t>
  </si>
  <si>
    <t>a ) Profile</t>
  </si>
  <si>
    <t>Aluminium Screws adhesive</t>
  </si>
  <si>
    <t>L.S.</t>
  </si>
  <si>
    <t>Rate per 2.16 Sqm/27.13Kg (a+b)</t>
  </si>
  <si>
    <t>Rate per 1 Sqm (a+b) / 2.16</t>
  </si>
  <si>
    <t>Rate per 1Kg (a+b) / 27.13</t>
  </si>
  <si>
    <t>Data per  3'-0" x 6'-6"=19.50 Sft =1.81 Sqm</t>
  </si>
  <si>
    <t>Vertical section No-9202 3.96 Mtr @ 1.201Kg/Mtr</t>
  </si>
  <si>
    <t>Middle and bottom Al section No-9200 1.82 Mtr @ 1.974Kg/Mtr</t>
  </si>
  <si>
    <t>Top Al section No-9201 0.90 Mtr @ 1.298Kg/Mtr</t>
  </si>
  <si>
    <t>Tapper Clip Al section No-4660 15.24 Mtr @ 0.169Kg/Mtr</t>
  </si>
  <si>
    <t>Al frame section No-9221 5.80 Mtr @ 1.975Kg/Mtr</t>
  </si>
  <si>
    <t>Rate per 1.81 Sqm/23.76Kg= (a+b+c)</t>
  </si>
  <si>
    <t>Rate per 1 Sqm (a+b+c) / 1.81</t>
  </si>
  <si>
    <t>Rate per 1Kg=(a+b+c)/23.76</t>
  </si>
  <si>
    <t>Data per  3'-6" x 6'-8"=23.31 Sft =2.16 Sqm</t>
  </si>
  <si>
    <t>Vertical section No-9202 4.06 Mtr @ 1.202Kg/Mtr</t>
  </si>
  <si>
    <t>Middle and bottom Al section No-9200 2.13 Mtr @ 1.974Kg/Mtr</t>
  </si>
  <si>
    <t>Top Al section No-9201 1.07 Mtr @ 1.299Kg/Mtr</t>
  </si>
  <si>
    <t>Al Angle section No-1855 2.44 Mtr @ 0.518Kg/Mtr</t>
  </si>
  <si>
    <t>Wastage @ 10%</t>
  </si>
  <si>
    <t>High Skilled</t>
  </si>
  <si>
    <t>Semi Skilled</t>
  </si>
  <si>
    <t>Rate per 2.16 Sqm/14.54 Kg= (a+b)</t>
  </si>
  <si>
    <t>Rate per 1Kg =(a+b) / 14.54</t>
  </si>
  <si>
    <t>Vertical section No-9202 3.96 Mtr @ 1.202Kg/Mtr</t>
  </si>
  <si>
    <t>Middle and bottom Al section No-9200 1.83 Mtr @ 1.974Kg/Mtr</t>
  </si>
  <si>
    <t>Top Al section No-9201 0.91 Mtr @ 1.299Kg/Mtr</t>
  </si>
  <si>
    <t>Rate per 1.81 Sqm/13.39 Kg= (a+b+c)</t>
  </si>
  <si>
    <t>Rate per 1Kg =(a+b) / 13.39</t>
  </si>
  <si>
    <t>Data per 1.49 Sqm</t>
  </si>
  <si>
    <t>Old</t>
  </si>
  <si>
    <t>Aluminium Screws different size</t>
  </si>
  <si>
    <t>Rate per 1.49 Sqm (a+b)</t>
  </si>
  <si>
    <t>Rate per 1 Sqm (a+b) / 1.49</t>
  </si>
  <si>
    <t>Rate per Kg (a+b)/8.53</t>
  </si>
  <si>
    <t>AS per SR 2006</t>
  </si>
  <si>
    <t>Data for 4'-0"x4'-0"=16   sft= 1.49 Sqm</t>
  </si>
  <si>
    <t>Al. section bottom frame-4095 , 1.2 Mtr @ 0.875Kg/Mtr</t>
  </si>
  <si>
    <t>Top &amp; side frame section No-4096 , 3.6 Mtr @ 0.747Kg/Mtr</t>
  </si>
  <si>
    <t>Inter Lock section No-9778, 2.4 Mtr @ 0.609Kg/Mtr</t>
  </si>
  <si>
    <t>Vertical shutter section No-3994, 2.4 Mtr @ 0.379Kg/Mtr</t>
  </si>
  <si>
    <t>Horizental shutter section No-9777, 2.4 Mtr @ 0.489Kg/Mtr</t>
  </si>
  <si>
    <t>Rate per Kg (a+b)/7.28</t>
  </si>
  <si>
    <t>AS per SR 2012</t>
  </si>
  <si>
    <t>Data per 2.23 Sqm/ 10.54 Kg</t>
  </si>
  <si>
    <t>Data per  6'-0" x 4'-0"=24.00 Sft =2.23 Sqm</t>
  </si>
  <si>
    <t>Outer Al. section No-2082 , 6.09 Mtr @ 0.554Kg/Mtr</t>
  </si>
  <si>
    <t>Mullion section No-9139 , 2.44 Mtr @ 0.81Kg/Mtr</t>
  </si>
  <si>
    <t>Shutter  section No-4124, 6.09 Mtr @ 0.493Kg/Mtr</t>
  </si>
  <si>
    <t>Tapper Clip Al section No-4125, 10.97 Mtr @ 0.183Kg/Mtr</t>
  </si>
  <si>
    <t>Al Angle section No-1772, 0.28 Mtr @ 0.64Kg/Mtr</t>
  </si>
  <si>
    <t>PVC  Rawl Plug</t>
  </si>
  <si>
    <t>Rate per 1 Sqm (a+b) / 2.23</t>
  </si>
  <si>
    <t>As Per AR 2006</t>
  </si>
  <si>
    <t>Rate per Kg (a+b)/10.54</t>
  </si>
  <si>
    <t>Data per 2.32 Sqm</t>
  </si>
  <si>
    <t>Outer frames (side/top) Po-255</t>
  </si>
  <si>
    <t>Outer frames (bottom) Po-256</t>
  </si>
  <si>
    <t>Sliding Shutter Po-254</t>
  </si>
  <si>
    <t>Sliding Track (SS) Po-257</t>
  </si>
  <si>
    <t>Sash bar at shutter Po-107</t>
  </si>
  <si>
    <t>b ) Accessories</t>
  </si>
  <si>
    <t>Sliding outer frame assembly Pc</t>
  </si>
  <si>
    <t>Sliding Shutter Pc</t>
  </si>
  <si>
    <t>Sash bar</t>
  </si>
  <si>
    <t>Wall fixing with polmide anchor at 600mm c/c</t>
  </si>
  <si>
    <t>c ) Gasket to shutter</t>
  </si>
  <si>
    <t>d ) Cost of 5mm thick reflective glass</t>
  </si>
  <si>
    <t>e ) Labour</t>
  </si>
  <si>
    <t>Semiskilled</t>
  </si>
  <si>
    <t>Rate per 2.32 Sqm (a+b+c+d+e)</t>
  </si>
  <si>
    <t>Rate per 1 Sqm (a+b+c+d+e) / 2.32</t>
  </si>
  <si>
    <t>Data per 1.40 Sqm</t>
  </si>
  <si>
    <t>Outer frames (side/top) Po-527</t>
  </si>
  <si>
    <t>Intermediate mullion Po-528</t>
  </si>
  <si>
    <t>Fixed beading Po-179</t>
  </si>
  <si>
    <t>Sliding outer frame corner</t>
  </si>
  <si>
    <t>Fixed mullion</t>
  </si>
  <si>
    <t>Fixed glazing</t>
  </si>
  <si>
    <t>Rate per 1.40 Sqm (a+b+c+d+e)</t>
  </si>
  <si>
    <t>Rate per 1 Sqm (a+b+c+d+e) / 1.40</t>
  </si>
  <si>
    <t>Shutter frame Po-113</t>
  </si>
  <si>
    <t>Lovered horizontal (Top &amp; Bottom) p o-193A</t>
  </si>
  <si>
    <t>Outer frame corner</t>
  </si>
  <si>
    <t>Top hung shutter/pc</t>
  </si>
  <si>
    <t>Lovered blade</t>
  </si>
  <si>
    <t xml:space="preserve">    Gasket to beading</t>
  </si>
  <si>
    <t>Data per 4.18 Sqm</t>
  </si>
  <si>
    <t>Shutter frame Po-153</t>
  </si>
  <si>
    <t>32 x 57 Box section</t>
  </si>
  <si>
    <t>Sash Bar Po-101</t>
  </si>
  <si>
    <t>Swing door shutter /Pc</t>
  </si>
  <si>
    <t>Door lock /Pc</t>
  </si>
  <si>
    <t>Sash Bar /Pc</t>
  </si>
  <si>
    <t>Cost of floor spring</t>
  </si>
  <si>
    <t>c ) Gasket</t>
  </si>
  <si>
    <t>For Sash bar Po-101</t>
  </si>
  <si>
    <t>For Shutter Po-153</t>
  </si>
  <si>
    <t>d ) Cost of 6mm thick clear glass</t>
  </si>
  <si>
    <t>Rate per 4.18 Sqm (a+b+c+d+e)</t>
  </si>
  <si>
    <t>Rate per 1 Sqm (a+b+c+d+e) / 4.18</t>
  </si>
  <si>
    <t>(+ VAT 12.5% =) Rs.</t>
  </si>
  <si>
    <t>Cost of choukath</t>
  </si>
  <si>
    <t xml:space="preserve">P.V.C. Plug </t>
  </si>
  <si>
    <t>Hire charges of drilling machine</t>
  </si>
  <si>
    <t>b) Labour for Fitting &amp; fixing</t>
  </si>
  <si>
    <t>Rate per 4.72 mtr.(a+b)</t>
  </si>
  <si>
    <t>Rate per 1 mtr.(a+b)/4.72</t>
  </si>
  <si>
    <t>Per 1.88 sqmTotal (a)</t>
  </si>
  <si>
    <t>Per 1 sqmTotal (a)/1.88</t>
  </si>
  <si>
    <t>Cost of Shutter</t>
  </si>
  <si>
    <t>Per 1 sqmTotal</t>
  </si>
  <si>
    <t>.=Rs</t>
  </si>
  <si>
    <t>Total Cost including fitting &amp; fixing (A+B)</t>
  </si>
  <si>
    <t>Data per 3.26Rmt</t>
  </si>
  <si>
    <t>3.26mtr @ 3.5kg / mtr = 11.41kg</t>
  </si>
  <si>
    <t>Balustrade of size 32mm x 32mm x 2mm</t>
  </si>
  <si>
    <t>4 x 0.90m=3.60m @ 1.70kg/m  = 6.12kg</t>
  </si>
  <si>
    <t>Stainless steel square pipe bracing of size</t>
  </si>
  <si>
    <t>32mm x 32mm x 2mm in 3 rows</t>
  </si>
  <si>
    <t>3x3.26m=9.76m @ 1.70kg/m = 16.625kg</t>
  </si>
  <si>
    <t xml:space="preserve">Febrication </t>
  </si>
  <si>
    <t>Buffing &amp; Polishing etc 2%</t>
  </si>
  <si>
    <t>Total cost per 3.26mtr (a+b)/34.16 Kg</t>
  </si>
  <si>
    <t>Total cost per 1mtr (a+b) / 3.26</t>
  </si>
  <si>
    <t>Total cost per Kg (a+b)/34.16</t>
  </si>
  <si>
    <t>Fitter special Class</t>
  </si>
  <si>
    <t>c )  T&amp;P 2 % on (a)</t>
  </si>
  <si>
    <t>Rate Per Sqm</t>
  </si>
  <si>
    <t>Cost Carriage Of GCI Sheet (add 10% for Lapping)</t>
  </si>
  <si>
    <t>c ) Sundries T&amp;P 2 % on (a)</t>
  </si>
  <si>
    <t>Cost &amp; Carriage Of AC Sheet (add 10% for Lapping)</t>
  </si>
  <si>
    <t>Data per 30.48 mtr</t>
  </si>
  <si>
    <t>Fitter 1st class</t>
  </si>
  <si>
    <t>Cost Of AC Sheet (add 10% for Lapping)</t>
  </si>
  <si>
    <t>Rm</t>
  </si>
  <si>
    <t>Data per 19.53 sqm</t>
  </si>
  <si>
    <t>Data per  14'-6" x 14'-6"=210.25 Sft =19.53 Sqm</t>
  </si>
  <si>
    <t>Al. anodised T section No-3215 , 70.56 Mtr @ 0.258Kg/Mtr</t>
  </si>
  <si>
    <t>Perieter Angle section No-1785 , 17.64 Mtr @ 0.233Kg/Mtr</t>
  </si>
  <si>
    <t>Aluminum Anodized T section No-3215</t>
  </si>
  <si>
    <t>Perimeter Angle section No-1705</t>
  </si>
  <si>
    <t>PVC rawl Plug</t>
  </si>
  <si>
    <t>Total cost per 19.53 Sqm (a+b)</t>
  </si>
  <si>
    <t>Rate Per Each Sqm (a+b)/19.53</t>
  </si>
  <si>
    <t>12.5mm thick Gypsum board</t>
  </si>
  <si>
    <t>6mm thick A.C. sheet flat ceiling fitted and fixed
complete excluding cost of A.C. sheets but including batttens 5cm ×3cm×1cm</t>
  </si>
  <si>
    <t>Data per 9.30 Sqm</t>
  </si>
  <si>
    <t>Carpenter 2nd  Class</t>
  </si>
  <si>
    <t xml:space="preserve">b ) Material </t>
  </si>
  <si>
    <t>50mm x 30mm x 10mm Sal wooden strips including</t>
  </si>
  <si>
    <t>framing and beading the edges</t>
  </si>
  <si>
    <t>4cm Nail</t>
  </si>
  <si>
    <t>5cm Long wood screw</t>
  </si>
  <si>
    <t>Painting</t>
  </si>
  <si>
    <t>Data per 93 sqm</t>
  </si>
  <si>
    <t>Painter 2nd Class</t>
  </si>
  <si>
    <t>Rate Per 93 Sqm (a+b+c)</t>
  </si>
  <si>
    <t>Rate Per Each Sqm (a+b+c)/93</t>
  </si>
  <si>
    <t>1st Floor</t>
  </si>
  <si>
    <t>Painter Spl Class</t>
  </si>
  <si>
    <t>b ) Sundries,brushes and T&amp;P etc.2% on (a)</t>
  </si>
  <si>
    <t>Rate Per Each Sqm (a+b)/10</t>
  </si>
  <si>
    <t>Add Cost of cement primer</t>
  </si>
  <si>
    <t>Painter Special Class</t>
  </si>
  <si>
    <t xml:space="preserve"> b) Sundries,brushes and T&amp;P etc.2% on (a)</t>
  </si>
  <si>
    <t>Add Cost of cement paints</t>
  </si>
  <si>
    <t>Add Cost of weather coat paints</t>
  </si>
  <si>
    <t>Add Cost of Primer</t>
  </si>
  <si>
    <t>Data per 10 Sqm</t>
  </si>
  <si>
    <t>Painter 2nd class</t>
  </si>
  <si>
    <t>Total cost per 10 sqm (a+b)</t>
  </si>
  <si>
    <t>Total cost per 1 sqm (a+b) / 10</t>
  </si>
  <si>
    <t>As Per AR 2006/2012</t>
  </si>
  <si>
    <t>Cement putty</t>
  </si>
  <si>
    <t>Add Cost of Plastic Emulsion paints</t>
  </si>
  <si>
    <t>Add Cost of Distemper</t>
  </si>
  <si>
    <t>b) Sundries,brushes and T&amp;P etc.2% on (a)</t>
  </si>
  <si>
    <t>(Data per 93 Sqm)</t>
  </si>
  <si>
    <t>Shell lime unslacked</t>
  </si>
  <si>
    <t>Total Cost Per 93 Sqm (a+b)</t>
  </si>
  <si>
    <t>Rate Per 1 Sqm</t>
  </si>
  <si>
    <t>a) Labour &amp; Materials Same in White washing Item</t>
  </si>
  <si>
    <t>b) Add for extra labour &amp; colouring materials</t>
  </si>
  <si>
    <t>Cost of Labour (Data per 9.3 Sqm)</t>
  </si>
  <si>
    <t>Painter special Class</t>
  </si>
  <si>
    <t>Sundries and T&amp;P etc 2%</t>
  </si>
  <si>
    <t>Cost of enamel paint</t>
  </si>
  <si>
    <t>Total Cost per 1 Sqm</t>
  </si>
  <si>
    <t>Cost of primer</t>
  </si>
  <si>
    <t>Cost of coaltar</t>
  </si>
  <si>
    <t>or say</t>
  </si>
  <si>
    <t>(Data Per 100 Sqm)</t>
  </si>
  <si>
    <t>Mulia unskilled</t>
  </si>
  <si>
    <t>Rate Per 100 Sqm</t>
  </si>
  <si>
    <t>(Data Per 1Hectare)</t>
  </si>
  <si>
    <t>Rate Per 10000 Sqm</t>
  </si>
  <si>
    <t>Tractor with trolly</t>
  </si>
  <si>
    <t>(Data Per 1.25Cum)</t>
  </si>
  <si>
    <t>Rate Per 1.25Cum</t>
  </si>
  <si>
    <t>(Data Per 1000 Nos)</t>
  </si>
  <si>
    <t>Rate Per 1000 Nos</t>
  </si>
  <si>
    <t>Rate Per No</t>
  </si>
  <si>
    <t>(Data per 100Sqm or 15cum)</t>
  </si>
  <si>
    <t>a ) Earth work by initial lead &amp; lifts</t>
  </si>
  <si>
    <t>Rate vide item no - 1 a</t>
  </si>
  <si>
    <t>100cum</t>
  </si>
  <si>
    <t>b) Compaction at OMC with PRR</t>
  </si>
  <si>
    <t>i) Hire charges of PRR</t>
  </si>
  <si>
    <t>ii)Cost of water</t>
  </si>
  <si>
    <t>Trip</t>
  </si>
  <si>
    <t>iii) labour for Sprinkling water</t>
  </si>
  <si>
    <t>Rate per cum</t>
  </si>
  <si>
    <t>for 15 cum</t>
  </si>
  <si>
    <t xml:space="preserve">Total (a+b) </t>
  </si>
  <si>
    <t>Rate per Cum (a+b+c+d)/15</t>
  </si>
  <si>
    <t>a) Cost of materials and labour</t>
  </si>
  <si>
    <t>b) Carriage &amp; Royality</t>
  </si>
  <si>
    <t>Total Cost Per 1 Sqm</t>
  </si>
  <si>
    <t>A+B</t>
  </si>
  <si>
    <t>Cement Mortar (1:3)</t>
  </si>
  <si>
    <t>Mozdoor</t>
  </si>
  <si>
    <t>Total cost per Cum (a+b+c)</t>
  </si>
  <si>
    <t>Weep Holes</t>
  </si>
  <si>
    <t>Data per 30 mtr</t>
  </si>
  <si>
    <t>AC Pipe 100mm dia</t>
  </si>
  <si>
    <t xml:space="preserve"> (with wastage 5%)</t>
  </si>
  <si>
    <t>MS Clamp</t>
  </si>
  <si>
    <t>Colar for AC Pipe</t>
  </si>
  <si>
    <t>Rate Per 30 mtr (a+b)</t>
  </si>
  <si>
    <t>Rate Per Mtr (a+b)/30</t>
  </si>
  <si>
    <t>A ) Cement Plater (Data per 1 sqm)</t>
  </si>
  <si>
    <t>B ) Cement Punning (Data per 1 sqm)</t>
  </si>
  <si>
    <t>Total cost (A+B)</t>
  </si>
  <si>
    <t>Cost of gravel (moorum)</t>
  </si>
  <si>
    <t>Labour     Mulia</t>
  </si>
  <si>
    <t>Carriage &amp; Royality of moorum</t>
  </si>
  <si>
    <t>Total Cost Per 1 Cum</t>
  </si>
  <si>
    <t xml:space="preserve">Metal spall backing in the rear of wall steining or weep holes of abutments and for deep drains.
</t>
  </si>
  <si>
    <t>Cost 5cm Size HB HG Metal</t>
  </si>
  <si>
    <t>Cost of H.G. stone</t>
  </si>
  <si>
    <t xml:space="preserve">Labour  </t>
  </si>
  <si>
    <t>Carriage &amp; Royality of H.G. stone</t>
  </si>
  <si>
    <t>Unit =Each Sqm</t>
  </si>
  <si>
    <t>25mm size metal</t>
  </si>
  <si>
    <t>Data per 2.83 Cum</t>
  </si>
  <si>
    <t>a) Labour &amp; Machinaries</t>
  </si>
  <si>
    <t>Stone Packer</t>
  </si>
  <si>
    <t>Rate per 2.83 cum</t>
  </si>
  <si>
    <t>c) Materials(1 cum)</t>
  </si>
  <si>
    <t>Soling stone 40mm to 90mm</t>
  </si>
  <si>
    <t>a+b</t>
  </si>
  <si>
    <t>Providing spreading metal and packing the voids with small stones and hand packing the same to proper camber including conveying spreding of filler materials and filling the interstices by spreading the same over the surface watering and consolidation with PRR including Hire and running Charges of PRR complete.</t>
  </si>
  <si>
    <t>IRC Gr-I Metal</t>
  </si>
  <si>
    <t>Women Mulia for removing from stacks spreading metal</t>
  </si>
  <si>
    <t>Hire &amp; running charges of PRR</t>
  </si>
  <si>
    <t>Per Hr</t>
  </si>
  <si>
    <t>Gr-I Metal</t>
  </si>
  <si>
    <t>IRC Gr-II Metal</t>
  </si>
  <si>
    <t>Gr-II Metal</t>
  </si>
  <si>
    <t>IRC Gr-III Metal</t>
  </si>
  <si>
    <t>Gr-III Metal</t>
  </si>
  <si>
    <t>Data per 1Cum</t>
  </si>
  <si>
    <t>Rate per 1cum</t>
  </si>
  <si>
    <t>Carriage by mechanical means within 5km</t>
  </si>
  <si>
    <t>Add royalty</t>
  </si>
  <si>
    <t>Deduct loading</t>
  </si>
  <si>
    <t>2/3 rate of loading &amp; unloading</t>
  </si>
  <si>
    <t>Earth work without compaction</t>
  </si>
  <si>
    <t>Deduct loading &amp; unloading</t>
  </si>
  <si>
    <t>Labour + Carriage of Earth</t>
  </si>
  <si>
    <t>Add for Ordinary Compaction with PRR</t>
  </si>
  <si>
    <t>Hydraulic Excavator</t>
  </si>
  <si>
    <t>Carriage of Earth by mechanical means within 5km</t>
  </si>
  <si>
    <t>Add for Ordinary Compaction with HRR</t>
  </si>
  <si>
    <t>Taking output = 100 Cum</t>
  </si>
  <si>
    <t>a)Labour</t>
  </si>
  <si>
    <t>Mazdoor</t>
  </si>
  <si>
    <t>b)Machinery</t>
  </si>
  <si>
    <t>Hydrolic excavator</t>
  </si>
  <si>
    <t>Tipper</t>
  </si>
  <si>
    <t>(taking 5km lead)</t>
  </si>
  <si>
    <t>Add 10% of cost of carriage to cover cost of</t>
  </si>
  <si>
    <t>Dozer</t>
  </si>
  <si>
    <t>Motor grader for grading @100 cum per hour</t>
  </si>
  <si>
    <t>Water Tanker</t>
  </si>
  <si>
    <t>Vibrotor roller</t>
  </si>
  <si>
    <t>c)Material</t>
  </si>
  <si>
    <t>Cost for 100 cum (a+b+c)</t>
  </si>
  <si>
    <t>Rate for 1 cum (a+b+c)/100</t>
  </si>
  <si>
    <t>Add royality</t>
  </si>
  <si>
    <t>Cost for 100 cum (a+b+c+d)</t>
  </si>
  <si>
    <t>Rate for 1 cum (a+b+c+d)/100</t>
  </si>
  <si>
    <t>Taking output = 1 Cum</t>
  </si>
  <si>
    <t>a) Excavation by Mechanical means.</t>
  </si>
  <si>
    <t>Considering Hitachi Excavator of the following specification :</t>
  </si>
  <si>
    <t xml:space="preserve">Capacity of bucket </t>
  </si>
  <si>
    <t>Cycle time for one bucket excavation</t>
  </si>
  <si>
    <t>Sec</t>
  </si>
  <si>
    <t xml:space="preserve">Bucket fill factor </t>
  </si>
  <si>
    <t xml:space="preserve">Overall efficiency </t>
  </si>
  <si>
    <t>Considering effective working of 50 min./ hour</t>
  </si>
  <si>
    <t>Min/Hr</t>
  </si>
  <si>
    <t>Production per hour (loose earth)= (50 x 60 x 0.91 x 0.9 x 0.83)/16</t>
  </si>
  <si>
    <t xml:space="preserve">Hire charge excluding supervision charge per hour </t>
  </si>
  <si>
    <t xml:space="preserve">Cost of mechanical excavation per 1 cum </t>
  </si>
  <si>
    <t xml:space="preserve">Capacity of Tipper (loose soil) </t>
  </si>
  <si>
    <t>Taking 80% carrying capacity, the capacity of Tipper</t>
  </si>
  <si>
    <t xml:space="preserve">Lead </t>
  </si>
  <si>
    <t>K.M.</t>
  </si>
  <si>
    <t>a) Loading time = (Body capacity/Excavator output per min)</t>
  </si>
  <si>
    <t>Min</t>
  </si>
  <si>
    <t>b) Loaded haul @ 25km/hr = 2.40 min</t>
  </si>
  <si>
    <t>c) Empty haul @ 25km/hr = 2.40 min</t>
  </si>
  <si>
    <t>d) Spotting, turning and unloading time</t>
  </si>
  <si>
    <t>Total cycle time = 8.35 min</t>
  </si>
  <si>
    <t>Say 8.00 min</t>
  </si>
  <si>
    <t>Quantity to be carried per hour = (50 / 8.00 x 4.56)</t>
  </si>
  <si>
    <t>Hire charge of TATA Tipper excluding supervision charge/hr</t>
  </si>
  <si>
    <t xml:space="preserve">Depriciation of tyres &amp; tubes :-(6 x 6000 )/(2 x 2000) </t>
  </si>
  <si>
    <t xml:space="preserve">Hire charge of Tipper per hour </t>
  </si>
  <si>
    <t xml:space="preserve">Cost of transportation of loose earth within initial lead of 1km = (507.31/28.50) </t>
  </si>
  <si>
    <t>Add construction &amp; maintenance of haul roads (L.S.)</t>
  </si>
  <si>
    <t>Add for spreading earth (L.S.)</t>
  </si>
  <si>
    <t>Total prime cost = Rs36.78</t>
  </si>
  <si>
    <t>Add overhead charges (10% of prime cost) = Rs3.68</t>
  </si>
  <si>
    <t xml:space="preserve">Total </t>
  </si>
  <si>
    <t>For an average soil 120 cum of loose earth when compacted</t>
  </si>
  <si>
    <t>to 95% Proctor density under O.M.C. condition will measure</t>
  </si>
  <si>
    <t>100 cum.</t>
  </si>
  <si>
    <t xml:space="preserve">So rate per 1 cum of compacted earth = Rs.40.46X120/100 </t>
  </si>
  <si>
    <t>Or say Rs48.60 /cum</t>
  </si>
  <si>
    <t>Basic cost of moorum</t>
  </si>
  <si>
    <t>Carriage of moorum</t>
  </si>
  <si>
    <t>Royalty of moorum</t>
  </si>
  <si>
    <t>Taking output =93 Sqm</t>
  </si>
  <si>
    <t>Rate per 93 Sqm</t>
  </si>
  <si>
    <t>Rate per 100 Sqm</t>
  </si>
  <si>
    <t>i.e. for 0.60 Cum</t>
  </si>
  <si>
    <t>Taking output =2.83Cum</t>
  </si>
  <si>
    <t>Rate per 2.83 Cum</t>
  </si>
  <si>
    <t>Taking output =9.30Sqm</t>
  </si>
  <si>
    <t>Mulia Man</t>
  </si>
  <si>
    <t>Rate per 9.30 Sqm</t>
  </si>
  <si>
    <t>Sundries and T&amp;P 2%</t>
  </si>
  <si>
    <t>Rate as above item-147 (For Collection)</t>
  </si>
  <si>
    <t>Rate as above item-148 (For Spreading)</t>
  </si>
  <si>
    <t>Collection and spreding of moorum</t>
  </si>
  <si>
    <t>( Rate as item no 133 )</t>
  </si>
  <si>
    <t>Smoth Wheeled Roller 8-10ton capacity ( 425Cum/Day )</t>
  </si>
  <si>
    <t>( 8 /425=0.01882 Hr )</t>
  </si>
  <si>
    <t>Smoth Wheeled Roller 8-10ton capacity (425Cum/Day)</t>
  </si>
  <si>
    <t>( 8 x 2.83 /425=0.05327 Hr )</t>
  </si>
  <si>
    <t xml:space="preserve">Moorum </t>
  </si>
  <si>
    <t>Taking output = 100 Sqm</t>
  </si>
  <si>
    <t>b) Sundries and T&amp;P etc. @ 2% on (a)</t>
  </si>
  <si>
    <t xml:space="preserve">Transportation of Turf </t>
  </si>
  <si>
    <t>Rate per 100 sqm</t>
  </si>
  <si>
    <t>Rate per 1 sqm</t>
  </si>
  <si>
    <t>Hire and running charges of PRR as per mechanical wings</t>
  </si>
  <si>
    <t>Per Hour</t>
  </si>
  <si>
    <t xml:space="preserve">Out turn </t>
  </si>
  <si>
    <t>Cum per Day</t>
  </si>
  <si>
    <t>Per 708 Cum</t>
  </si>
  <si>
    <t>Per 1 Cum</t>
  </si>
  <si>
    <t>per</t>
  </si>
  <si>
    <t>100Cum</t>
  </si>
  <si>
    <t>Per 425 Cum</t>
  </si>
  <si>
    <t>cost of watering with an av. Lead of 5km by truck ( Cosidering carrying water 20nos of Maxphalt drums in each trip) 5trips of water required for 390 cum of earth.</t>
  </si>
  <si>
    <t>Water required for</t>
  </si>
  <si>
    <t>Cum Earth</t>
  </si>
  <si>
    <t>Trips</t>
  </si>
  <si>
    <t>Hire and running charges of water tanker</t>
  </si>
  <si>
    <t>For 1.28 trips</t>
  </si>
  <si>
    <t>Labour chages of spinkling water,labour required for 390 cum 50 Nos</t>
  </si>
  <si>
    <t>Labour required</t>
  </si>
  <si>
    <t>Comaction with PRR at OMC</t>
  </si>
  <si>
    <t>( a+b+c )</t>
  </si>
  <si>
    <t xml:space="preserve">a) Labour </t>
  </si>
  <si>
    <t>Cost for 100 cum (a+b)</t>
  </si>
  <si>
    <t>Rate for 1 cum (a+b)/100</t>
  </si>
  <si>
    <t>Taking output = 28.31Cum</t>
  </si>
  <si>
    <t>Cost for 28.31 cum (a+b)</t>
  </si>
  <si>
    <t>Rate for 1 cum (a+b)/28.31</t>
  </si>
  <si>
    <t>Data per 100 Cum</t>
  </si>
  <si>
    <t>50M to 75M</t>
  </si>
  <si>
    <t>75M to 100M</t>
  </si>
  <si>
    <t>100M to 125M</t>
  </si>
  <si>
    <t>125M to 150M</t>
  </si>
  <si>
    <t>150M to 175M</t>
  </si>
  <si>
    <t>First extra lift of 1.5M ( upto 7.5M)</t>
  </si>
  <si>
    <t>Data for 0.3048Mtr</t>
  </si>
  <si>
    <t>Well Sinker (Open well)</t>
  </si>
  <si>
    <t>Man mulia to dig trenches</t>
  </si>
  <si>
    <t>Cost for 0.3048Mtr (a+b)</t>
  </si>
  <si>
    <t>Rate for 1 Mtr (a+b)/0.3048</t>
  </si>
  <si>
    <t>Add Extra labour for hard soil (Enhance rate from 2006-2014)</t>
  </si>
  <si>
    <t>((200/55)X 21.21)</t>
  </si>
  <si>
    <t>((200/55)X 30.19)</t>
  </si>
  <si>
    <t>A. 1ST DEPTH OF 1.5MTR.</t>
  </si>
  <si>
    <t>Rate as Earth work for Foundation Excavation.</t>
  </si>
  <si>
    <t>B. 2ND DEPTH OF 1.5MTR.</t>
  </si>
  <si>
    <t>(1.5 times initial rate )</t>
  </si>
  <si>
    <t>(1.5 times initial rate of Lift )</t>
  </si>
  <si>
    <t>C. 3RD DEPTH OF 1.5MTR</t>
  </si>
  <si>
    <t>(2 times initial rate )</t>
  </si>
  <si>
    <t>(2.5 times initial rate of Lift )</t>
  </si>
  <si>
    <t>D. 4TH DEPTH OF 1.5MTR</t>
  </si>
  <si>
    <t>(2.5 times initial rate )</t>
  </si>
  <si>
    <t>(3.5 times initial rate of Lift )</t>
  </si>
  <si>
    <t>E. 5TH DEPTH OF 1.5MTR</t>
  </si>
  <si>
    <t>(3 times initial rate )</t>
  </si>
  <si>
    <t>(4.5 times initial rate of Lift )</t>
  </si>
  <si>
    <t>F. 6TH DEPTH OF 1.5MTR</t>
  </si>
  <si>
    <t>(3.5 times initial rate )</t>
  </si>
  <si>
    <t>(5.5 times initial rate of Lift )</t>
  </si>
  <si>
    <t>G. 7TH DEPTH OF 1.5MTR</t>
  </si>
  <si>
    <t>(4 times initial rate )</t>
  </si>
  <si>
    <t>(6.5 times initial rate of Lift )</t>
  </si>
  <si>
    <t>H. 8TH DEPTH OF 1.5MTR.</t>
  </si>
  <si>
    <t>(4.5 times initial rate )</t>
  </si>
  <si>
    <t>(7.5 times initial rate of Lift )</t>
  </si>
  <si>
    <t>i.Disintigrated Rock.</t>
  </si>
  <si>
    <t>Crushed stone aggregates 40mm size</t>
  </si>
  <si>
    <t>Total (a+b+c+d)</t>
  </si>
  <si>
    <t>Total cost per 1 cum (a+b+c+d)/15</t>
  </si>
  <si>
    <t>Add 4% for centering &amp; Shuttering charges</t>
  </si>
  <si>
    <t>d) Lead and Royality of Materials.</t>
  </si>
  <si>
    <t>Each Cum.</t>
  </si>
  <si>
    <t>R.C.C. M-20  Grade  without frame work</t>
  </si>
  <si>
    <t>c ) Machinery</t>
  </si>
  <si>
    <t>Each Mtr.</t>
  </si>
  <si>
    <t>Labour for fixing</t>
  </si>
  <si>
    <t>Due to Enhance of Labour rate from 2006 to 2014</t>
  </si>
  <si>
    <t xml:space="preserve">Cost &amp; Carriage of Hume Pipe </t>
  </si>
  <si>
    <t>Total Cost Per 1 Mtr</t>
  </si>
  <si>
    <t>Analysis Complete</t>
  </si>
  <si>
    <t>Sl No</t>
  </si>
  <si>
    <t>Bricks</t>
  </si>
  <si>
    <t>./Qntl</t>
  </si>
  <si>
    <t>LS</t>
  </si>
  <si>
    <t>./Sqm</t>
  </si>
  <si>
    <t>./Kg</t>
  </si>
  <si>
    <t>./Cum</t>
  </si>
  <si>
    <t>./Mtr</t>
  </si>
  <si>
    <t>Hume Pipe</t>
  </si>
  <si>
    <t>Tiles</t>
  </si>
  <si>
    <t>GCI Sheet</t>
  </si>
  <si>
    <t>AC Sheet</t>
  </si>
  <si>
    <t>./Hr</t>
  </si>
  <si>
    <t>Drinking water Facility</t>
  </si>
  <si>
    <t>Cess</t>
  </si>
  <si>
    <t>Royalty</t>
  </si>
  <si>
    <t>Unskilled</t>
  </si>
  <si>
    <t>Skilled</t>
  </si>
  <si>
    <t>Highly Skilled</t>
  </si>
  <si>
    <t>DEDUCTION</t>
  </si>
  <si>
    <t>SD</t>
  </si>
  <si>
    <t>ECB</t>
  </si>
  <si>
    <t>TOTAL</t>
  </si>
  <si>
    <t>IFSC Code</t>
  </si>
  <si>
    <t>Bags</t>
  </si>
  <si>
    <t>Ceramic wall tile</t>
  </si>
  <si>
    <t>Plastic emulsion paint</t>
  </si>
  <si>
    <t>ESTIMATE</t>
  </si>
  <si>
    <t>I/S</t>
  </si>
  <si>
    <t>O/S</t>
  </si>
  <si>
    <t>Excavation</t>
  </si>
  <si>
    <t>Name of the Work :</t>
  </si>
  <si>
    <t xml:space="preserve">Digging of Dug Well of </t>
  </si>
  <si>
    <t>Dia of Well</t>
  </si>
  <si>
    <t>Name of the G.P :</t>
  </si>
  <si>
    <t>R</t>
  </si>
  <si>
    <t>Name of the Scheme :</t>
  </si>
  <si>
    <t>NREGS 2017-18</t>
  </si>
  <si>
    <t>Masonry work</t>
  </si>
  <si>
    <t>1st. Depth of 1.50mtr.</t>
  </si>
  <si>
    <t>Cum.</t>
  </si>
  <si>
    <t>Total.</t>
  </si>
  <si>
    <t>@</t>
  </si>
  <si>
    <t>/ cum.</t>
  </si>
  <si>
    <t>2nd. Depth 1.50mtr. To 3.0m.</t>
  </si>
  <si>
    <t>3rd. Depth 3.0mtr. To 4.5m.</t>
  </si>
  <si>
    <t>4rth. Depth 4.5mtr. To 6.0m.</t>
  </si>
  <si>
    <t>5th. Depth 6.0mtr. To 7.5m.</t>
  </si>
  <si>
    <t>6th. Depth 7.50mtr. To 9.00m.</t>
  </si>
  <si>
    <t>7th. Depth 9.0mtr. To 10.5m.</t>
  </si>
  <si>
    <t>/cum.</t>
  </si>
  <si>
    <t>Sand filling on road surface including watering and ramming all complete</t>
  </si>
  <si>
    <t>1st Footing</t>
  </si>
  <si>
    <t>Cost of  RCC ring of Size ((6'-0"x0'-10"x0'-2.5") complete.</t>
  </si>
  <si>
    <t>6' dia RCC Ring</t>
  </si>
  <si>
    <t>/ No</t>
  </si>
  <si>
    <t>Labour Charges for Lowering Levelling and fixing RCC Ring to the well. ( The lowering of RCC ring is a non standard Job there are 3 persons required to hold the ropes attached to the RCC ring &amp; person to place it below while lowering upto 8'-0" depth in a day.)</t>
  </si>
  <si>
    <t>Cost of Sign board.</t>
  </si>
  <si>
    <t>Provision for drinking water</t>
  </si>
  <si>
    <t>Provision for First Aid</t>
  </si>
  <si>
    <t>Other Misc Items</t>
  </si>
  <si>
    <t>Add. For Cess.</t>
  </si>
  <si>
    <t>Grand Total</t>
  </si>
  <si>
    <t>(Rupees Sixty Three Thousand) Only.</t>
  </si>
  <si>
    <t>STATE : ODISHA</t>
  </si>
  <si>
    <t>DISTRICT : DHENKANAL</t>
  </si>
  <si>
    <t>SUB-DIVISION : KAMAKHYA NAGAR</t>
  </si>
  <si>
    <t>BLOCK : KAMAKHYANAGAR, DHENKANAL</t>
  </si>
  <si>
    <t xml:space="preserve">NAME OF THE WORK : </t>
  </si>
  <si>
    <t>NAME OF THE G.P.:</t>
  </si>
  <si>
    <t xml:space="preserve">NAME OF THE SCHEME : </t>
  </si>
  <si>
    <t>ESTIMATED COST :Rs</t>
  </si>
  <si>
    <t>IN WORDS</t>
  </si>
  <si>
    <t>PANCHAYAT SAMITI OFFICE KAMAKHYANAGAR.</t>
  </si>
  <si>
    <t>ABSTRACT OF ESTIMATE.</t>
  </si>
  <si>
    <t>As per Total Estimate</t>
  </si>
  <si>
    <t>NREGA PART</t>
  </si>
  <si>
    <t>W &amp; CD PART</t>
  </si>
  <si>
    <t>Remark</t>
  </si>
  <si>
    <t>Item of work</t>
  </si>
  <si>
    <t>E/W in excavation of foundation trenches in hard soil including dressing of sides and levelling the bed complete as directed by the Engineer in charge.</t>
  </si>
  <si>
    <t>Supplying and filling in foundation trenches and plinth, ditches with sand well watered and rammed  etc. complete in all respect as per direction by the Engineer in charge.</t>
  </si>
  <si>
    <t>Providing and laying P.C.C. (1:3:6) in foundation and floors using 4 cm. size black hard crusher broken granite stone metal and screened and washed sharp sand for mortar  etc complete as per the direction of the Engineer -in –charge.</t>
  </si>
  <si>
    <t>Laterite stone masonry in cement mortar (1:6) using laterite stone of approved quality from approved quarry  etc. complete in all respect as directed by the Engineer-in-charge.</t>
  </si>
  <si>
    <t>R.C.C. work of (1:1.5:3)  using  12 mm  size black hard crusher broken granite stone chips of approved quality and from approved quarry  etc. complete in all respect .</t>
  </si>
  <si>
    <t>Straightening cutting, bending bent up or coiled rods, including cranking, hooking, welding or jointing the M.S. rodsetc. complete as directed by the Engineer- in-Charge.</t>
  </si>
  <si>
    <t>Fly Ash brick masonry in cement mortar (1:6) using kiln Burnt bricks of 10”  etc. complete in all respect as directed by the Engineer-in-charge.</t>
  </si>
  <si>
    <t>Providing 12 mm thick C.P. with C.M. (1:6) with screened and washed sharp sand for mortar and finished smooth to the rough surface of walls in all heights after racking out joints etc. complete in all respect as directed by the Engineer in charge.</t>
  </si>
  <si>
    <t>Providing 12 mm thick CP with CM (1:4) and punning  for skirting in walls for dadoo with screened and washed sharp sand for mortar and finished smooth to the rough surface of walls including watering and curing etc. complete in all respect as directed by the Engineer in charge.</t>
  </si>
  <si>
    <t>Providing 16 mm thick C.P. with C.M. (1:6) with screened and washed sharp sand for mortar and finished smooth to the rough surface of walls in all heights after racking out joints  etc. complete in all respect as directed by the Engineer in charge.</t>
  </si>
  <si>
    <t>Providing 20 mm thick C.P. with C.M. (1:4) with screened and washed sharp sand for mortar and finished smooth to the rough surface of walls in all heights after racking out joints  etc. complete in all respect as directed by the Engineer in charge.</t>
  </si>
  <si>
    <t>Providing 2.5cm thick A.S. Flooring with cement concrete (1:2:4) using 12mm size black hard granite crusher broken chips and screened &amp; washed sharp sand for mortar and finished smooth to the rough surface of floor and punning including watering and curing  etc. complete in all respect as directed by the Engineer in charge.</t>
  </si>
  <si>
    <t xml:space="preserve">Supplying, fitting, fixing of tile in floors marbonite or equivalent make in all floors over 25mm thick bed of cement mortar (1:4) jointed with neat cement slurry mixed with pigment to match the shades of the tiles  etc. complete as per the direction of the Engineer-in-charge. </t>
  </si>
  <si>
    <t>Vertified</t>
  </si>
  <si>
    <t>Ceramic</t>
  </si>
  <si>
    <t xml:space="preserve">Supplying, fitting, fixing of tile in Dadoo marbonite or equivalent make in all floors over 12mm thick cement plaster (1:3) jointed with neat cement slurry mixed with pigment to match the shades of the tiles  etc. complete as per the direction of the Engineer-in-charge. </t>
  </si>
  <si>
    <t xml:space="preserve">Finishing plastered surfaces with cement washing one coat using cement  etc. required for the work complete in all respect as per the direction of the Engineer-in-charge. </t>
  </si>
  <si>
    <t xml:space="preserve">Finishing plastered surfaces with wall primer one coat using cement including  etc. required for the work complete in all respect as per the direction of the Engineer-in-charge. </t>
  </si>
  <si>
    <t>Painting two coats with approved weather seal paints of approved colour, shade on wall surface  including sand papering, polishing the surface,  etc, complete as per specification &amp; direction of Engineer-in-charge.</t>
  </si>
  <si>
    <t xml:space="preserve">Painting two coats with distemper  on new work to make an even finished surface in all floors and heights to wall surface of approved make and shade including sand papering, applying putty wherever necessary &amp; cost of scaffolding, staging charges  etc. complete as per the direction of the Engineer-in-charge. </t>
  </si>
  <si>
    <t>Painting two coats with approved enamel paints of approved colour, shade  over old Wood work including sand papering, polishing the surface,  etc, complete as per specification &amp; direction of Engineer-in-charge.</t>
  </si>
  <si>
    <t>Cost &amp; carriage of MS door &amp; window etc</t>
  </si>
  <si>
    <t xml:space="preserve">Add for Black Board,Sky light,Hand Rail,Shelf Etc. </t>
  </si>
  <si>
    <t>Add for Sky Light</t>
  </si>
  <si>
    <t>Add for Hand Rail</t>
  </si>
  <si>
    <t>Add for Electrification @ 4%</t>
  </si>
  <si>
    <t>Add for Water supply &amp; sanitation @ 5.5%</t>
  </si>
  <si>
    <t>Add for Mate</t>
  </si>
  <si>
    <t>Add for First Aid</t>
  </si>
  <si>
    <t>Add for Crech</t>
  </si>
  <si>
    <t>Add for TB</t>
  </si>
  <si>
    <t>Add Contigency</t>
  </si>
  <si>
    <t>Add Cess</t>
  </si>
  <si>
    <t>Or Say</t>
  </si>
  <si>
    <t>Add Labour</t>
  </si>
  <si>
    <t>Deduct Labour</t>
  </si>
  <si>
    <t>GENERAL ABSTRACT</t>
  </si>
  <si>
    <t>Description</t>
  </si>
  <si>
    <t>Civil Cost of Building</t>
  </si>
  <si>
    <t>Days</t>
  </si>
  <si>
    <t>Add Unskilled Wage from W&amp;CD Part</t>
  </si>
  <si>
    <t>Add Cess @ 1%</t>
  </si>
  <si>
    <t>Limited to Rs</t>
  </si>
  <si>
    <t>Rupees Five Lakh  Only</t>
  </si>
  <si>
    <t>Technically Sanctioned Rs</t>
  </si>
  <si>
    <t>Administratively Approved Rs</t>
  </si>
  <si>
    <t xml:space="preserve">Activity and Material with correct Activity and Material </t>
  </si>
  <si>
    <t>State-</t>
  </si>
  <si>
    <t>Odisha</t>
  </si>
  <si>
    <t xml:space="preserve">District- </t>
  </si>
  <si>
    <t>Dhenknal</t>
  </si>
  <si>
    <t>Block-</t>
  </si>
  <si>
    <t>Kamakhyanagar</t>
  </si>
  <si>
    <t>G.P-</t>
  </si>
  <si>
    <t>Financial Year</t>
  </si>
  <si>
    <t>Proposal date</t>
  </si>
  <si>
    <t>Name of Work:-</t>
  </si>
  <si>
    <t>Start Locotion</t>
  </si>
  <si>
    <t>a)Village</t>
  </si>
  <si>
    <t>b)Khata No-</t>
  </si>
  <si>
    <t>c)Plot No-</t>
  </si>
  <si>
    <t>End Locotion</t>
  </si>
  <si>
    <t>Total Distance Covered:-</t>
  </si>
  <si>
    <t>KM</t>
  </si>
  <si>
    <t>Start Status</t>
  </si>
  <si>
    <t>Earthen</t>
  </si>
  <si>
    <t>End Status</t>
  </si>
  <si>
    <t>Moorum Top</t>
  </si>
  <si>
    <t>Executive agency-</t>
  </si>
  <si>
    <t>PS</t>
  </si>
  <si>
    <t>Estimated time of Completion</t>
  </si>
  <si>
    <t>Expected mandays</t>
  </si>
  <si>
    <t>Av no of labour requird per day</t>
  </si>
  <si>
    <t>Techenical sanction Amount:-</t>
  </si>
  <si>
    <t>Estimate cost as per Techenical data</t>
  </si>
  <si>
    <t>MGNREGA</t>
  </si>
  <si>
    <t>Scheme-1</t>
  </si>
  <si>
    <t>Scheme-2</t>
  </si>
  <si>
    <t>Scheme-3</t>
  </si>
  <si>
    <t>Scheme-4</t>
  </si>
  <si>
    <t>Grant Total</t>
  </si>
  <si>
    <t xml:space="preserve">Rate </t>
  </si>
  <si>
    <t>Financial sanction data</t>
  </si>
  <si>
    <t xml:space="preserve">Material data </t>
  </si>
  <si>
    <t>Act Code</t>
  </si>
  <si>
    <t>Activity</t>
  </si>
  <si>
    <t>Unit Price</t>
  </si>
  <si>
    <t>Total Price</t>
  </si>
  <si>
    <t>Vat</t>
  </si>
  <si>
    <t xml:space="preserve">ODMT007 </t>
  </si>
  <si>
    <t xml:space="preserve">HYSD Bar </t>
  </si>
  <si>
    <t>Qtl.</t>
  </si>
  <si>
    <t>ODMT008  .</t>
  </si>
  <si>
    <t xml:space="preserve">12 mm HG Chips(Hand Broken) </t>
  </si>
  <si>
    <t>ODMT010</t>
  </si>
  <si>
    <t>Screened and washed sharp sand</t>
  </si>
  <si>
    <t>ODMT012 .</t>
  </si>
  <si>
    <t xml:space="preserve">Filling Sand. </t>
  </si>
  <si>
    <t>ODMT124</t>
  </si>
  <si>
    <t xml:space="preserve">ODMT031  </t>
  </si>
  <si>
    <t xml:space="preserve">Laterite Stone </t>
  </si>
  <si>
    <t xml:space="preserve">ODMT033  </t>
  </si>
  <si>
    <t>Hard Stone(Otherthan Granite)</t>
  </si>
  <si>
    <t xml:space="preserve">ODMT034 </t>
  </si>
  <si>
    <t>H.G.Stone Granite Boulder</t>
  </si>
  <si>
    <t xml:space="preserve">ODMT035 </t>
  </si>
  <si>
    <t xml:space="preserve">Hard Stone other than Granite Boulder </t>
  </si>
  <si>
    <t>ODMT043</t>
  </si>
  <si>
    <t>40 mm size HG metal(Crusher Broken</t>
  </si>
  <si>
    <t xml:space="preserve">ODMT047  </t>
  </si>
  <si>
    <t>12 mm size HG chips(Crosser Broken)</t>
  </si>
  <si>
    <t xml:space="preserve">ODMT048 </t>
  </si>
  <si>
    <t xml:space="preserve">6.7 mm Size HG Chips(Crosser Broken) </t>
  </si>
  <si>
    <t>ODMT053</t>
  </si>
  <si>
    <t>Hard broken soling stone other than granite(40 to 90 mm )</t>
  </si>
  <si>
    <t xml:space="preserve">ODMT056  </t>
  </si>
  <si>
    <t xml:space="preserve">Gravel or moorum </t>
  </si>
  <si>
    <t xml:space="preserve">ODMT074 </t>
  </si>
  <si>
    <t xml:space="preserve">Cement </t>
  </si>
  <si>
    <t>ODMT235</t>
  </si>
  <si>
    <t>Transportation Charges.(hiring, fuel and maintainance etc.)</t>
  </si>
  <si>
    <t>ODMT122</t>
  </si>
  <si>
    <t>Fixing HP</t>
  </si>
  <si>
    <t>ODMT196</t>
  </si>
  <si>
    <t>Conveyance charge of materials-Cement</t>
  </si>
  <si>
    <t xml:space="preserve">ODMT077 </t>
  </si>
  <si>
    <t xml:space="preserve">Empty Cement Bag </t>
  </si>
  <si>
    <t xml:space="preserve">ODMT091 </t>
  </si>
  <si>
    <t>1 st class mason   (Specialmason,carpenter,painter,blacksmith,stone dresser</t>
  </si>
  <si>
    <t>Per day</t>
  </si>
  <si>
    <t xml:space="preserve">ODMT092 </t>
  </si>
  <si>
    <t>2nd class mason   (Specialmason,carpenter,painter,blacksmith,stone dresser</t>
  </si>
  <si>
    <t>Per Day.</t>
  </si>
  <si>
    <t xml:space="preserve">ODMT093 </t>
  </si>
  <si>
    <t>Semi skilled labour(Stone Packer, Mate, Sangi mulia)</t>
  </si>
  <si>
    <t xml:space="preserve">ODMT094 </t>
  </si>
  <si>
    <t xml:space="preserve">Unskilled Labour. </t>
  </si>
  <si>
    <t xml:space="preserve">ODMT096  </t>
  </si>
  <si>
    <t xml:space="preserve">Centering and Shuttering </t>
  </si>
  <si>
    <t>ODMT101</t>
  </si>
  <si>
    <t>First aid box Rs.</t>
  </si>
  <si>
    <t xml:space="preserve">ODMT103 </t>
  </si>
  <si>
    <t>Cost of Disply Board Rs.</t>
  </si>
  <si>
    <t xml:space="preserve">ODMT104 </t>
  </si>
  <si>
    <t>Creche facility Rs.</t>
  </si>
  <si>
    <t xml:space="preserve">ODMT105  </t>
  </si>
  <si>
    <t>Gram Sanjojak Wage Per Day.</t>
  </si>
  <si>
    <t xml:space="preserve">ODMT106  </t>
  </si>
  <si>
    <t>Provision for Drinking Water Facility Rs.</t>
  </si>
  <si>
    <t xml:space="preserve">ODMT107  </t>
  </si>
  <si>
    <t>Rest Shed Rs.</t>
  </si>
  <si>
    <t xml:space="preserve">ODMT108  </t>
  </si>
  <si>
    <t>Earthern road T &amp; P Rs.</t>
  </si>
  <si>
    <t xml:space="preserve">ODMT109  </t>
  </si>
  <si>
    <t>VAT. Rs.</t>
  </si>
  <si>
    <t>ODMT119</t>
  </si>
  <si>
    <t>Electrification</t>
  </si>
  <si>
    <t xml:space="preserve">ODMT113 </t>
  </si>
  <si>
    <t>Binding wire Kg.</t>
  </si>
  <si>
    <t xml:space="preserve">ODMT116  </t>
  </si>
  <si>
    <t>Labours for M.S BarsCutting,Bending,Binding Qtl.</t>
  </si>
  <si>
    <t xml:space="preserve">ODMT118  </t>
  </si>
  <si>
    <t xml:space="preserve">Transportation Charges. </t>
  </si>
  <si>
    <t xml:space="preserve">ODMT127  </t>
  </si>
  <si>
    <t>Hire and Running charges of PRR</t>
  </si>
  <si>
    <t>Per Hour.</t>
  </si>
  <si>
    <t xml:space="preserve">ODMT128 </t>
  </si>
  <si>
    <t>Nos.</t>
  </si>
  <si>
    <t>ODMT175</t>
  </si>
  <si>
    <t>Misc Expenditure</t>
  </si>
  <si>
    <t xml:space="preserve">ODMT131  </t>
  </si>
  <si>
    <t>Other unforseen items Rs.</t>
  </si>
  <si>
    <t xml:space="preserve">ODMT098 </t>
  </si>
  <si>
    <t>Cess Rs.</t>
  </si>
  <si>
    <t>Say</t>
  </si>
  <si>
    <t>DETAIL ESTIMATE</t>
  </si>
  <si>
    <t>Description of</t>
  </si>
  <si>
    <t>Length</t>
  </si>
  <si>
    <t>Width</t>
  </si>
  <si>
    <t>Depth</t>
  </si>
  <si>
    <t>Items</t>
  </si>
  <si>
    <t>in Mtr</t>
  </si>
  <si>
    <t>Rooms</t>
  </si>
  <si>
    <t>Column</t>
  </si>
  <si>
    <t>C to C lenth of 10" wall</t>
  </si>
  <si>
    <t>Hall</t>
  </si>
  <si>
    <t>C/C Length Long wall</t>
  </si>
  <si>
    <t>C to C length of peripheral wall</t>
  </si>
  <si>
    <t>Kitchen</t>
  </si>
  <si>
    <t>Store</t>
  </si>
  <si>
    <t>Verandah</t>
  </si>
  <si>
    <t>Q</t>
  </si>
  <si>
    <t>Toilet-1</t>
  </si>
  <si>
    <t>Plinth Bend</t>
  </si>
  <si>
    <t>C/C Cross wall</t>
  </si>
  <si>
    <t>Toilet-2</t>
  </si>
  <si>
    <t>Toilet</t>
  </si>
  <si>
    <t>WP</t>
  </si>
  <si>
    <t>Wall Ht</t>
  </si>
  <si>
    <t>Landing</t>
  </si>
  <si>
    <t>Ramp</t>
  </si>
  <si>
    <t>Wall Beam</t>
  </si>
  <si>
    <t>Chaja</t>
  </si>
  <si>
    <t>Wasing Platform</t>
  </si>
  <si>
    <t xml:space="preserve">A) </t>
  </si>
  <si>
    <t>COLUMN</t>
  </si>
  <si>
    <t>Column Base-1</t>
  </si>
  <si>
    <t xml:space="preserve">B) </t>
  </si>
  <si>
    <t>LONG WALL</t>
  </si>
  <si>
    <t>Long wall -1</t>
  </si>
  <si>
    <t xml:space="preserve">C) </t>
  </si>
  <si>
    <t>SHORT WALL</t>
  </si>
  <si>
    <t>Cross wall -1</t>
  </si>
  <si>
    <t>STEPS &amp; RAMP &amp; Platform</t>
  </si>
  <si>
    <t>Step</t>
  </si>
  <si>
    <t>Landing &amp; Ramp</t>
  </si>
  <si>
    <t>Septic Tank</t>
  </si>
  <si>
    <t>Total =( A+B+C+D )</t>
  </si>
  <si>
    <t>Deduction.</t>
  </si>
  <si>
    <t>Columns</t>
  </si>
  <si>
    <t>Net</t>
  </si>
  <si>
    <t xml:space="preserve">Cum  @ </t>
  </si>
  <si>
    <t>Per    Cum   =  Rs.</t>
  </si>
  <si>
    <t>INSIDE BUILDING</t>
  </si>
  <si>
    <t>Bath</t>
  </si>
  <si>
    <t>Passage</t>
  </si>
  <si>
    <t>Total =( A+B+C+D+E )</t>
  </si>
  <si>
    <t xml:space="preserve">D) </t>
  </si>
  <si>
    <t>Inside the Building</t>
  </si>
  <si>
    <t>1ST FOOTING</t>
  </si>
  <si>
    <t>2ND FOOTING</t>
  </si>
  <si>
    <t>PLINTH WALL</t>
  </si>
  <si>
    <t>Total (C)</t>
  </si>
  <si>
    <t>Total (A+B+C)</t>
  </si>
  <si>
    <t>Column Base</t>
  </si>
  <si>
    <t>Straight Portion</t>
  </si>
  <si>
    <t>Conical Portion.</t>
  </si>
  <si>
    <t>((0.40x0.40)+(1.20x1.20))/2</t>
  </si>
  <si>
    <t>Plinth beam</t>
  </si>
  <si>
    <t xml:space="preserve">Column </t>
  </si>
  <si>
    <t>Upto Plinth Level</t>
  </si>
  <si>
    <t>From Plinth Level to roof level</t>
  </si>
  <si>
    <t>Effective Length of lintel Band</t>
  </si>
  <si>
    <t>Quantity of Lintel Band</t>
  </si>
  <si>
    <t>Deduct Column</t>
  </si>
  <si>
    <t xml:space="preserve">Chajja </t>
  </si>
  <si>
    <t>Chajja (65mm Thick)</t>
  </si>
  <si>
    <t xml:space="preserve">Verandah </t>
  </si>
  <si>
    <t>Hanging Beam</t>
  </si>
  <si>
    <t>Roof slab</t>
  </si>
  <si>
    <t>Main Building</t>
  </si>
  <si>
    <t>Total(A+B+C+D)</t>
  </si>
  <si>
    <t xml:space="preserve">Cum @ </t>
  </si>
  <si>
    <t>Per    Cum    =  Rs.</t>
  </si>
  <si>
    <t>Cum @</t>
  </si>
  <si>
    <t>Qtl/Cum =</t>
  </si>
  <si>
    <t>Plinth Beam</t>
  </si>
  <si>
    <t>d.</t>
  </si>
  <si>
    <t>Lintel Band</t>
  </si>
  <si>
    <t>e.</t>
  </si>
  <si>
    <t>Roof Beam</t>
  </si>
  <si>
    <t>f.</t>
  </si>
  <si>
    <t>g.</t>
  </si>
  <si>
    <t>Qtl/Sqm =</t>
  </si>
  <si>
    <t xml:space="preserve">Qtl    @ </t>
  </si>
  <si>
    <t>Per    Qtl    =  Rs.</t>
  </si>
  <si>
    <t>i.Column Base</t>
  </si>
  <si>
    <t>Slope portion</t>
  </si>
  <si>
    <t>(0.40+1.05)/2</t>
  </si>
  <si>
    <t xml:space="preserve">Sqm  @ </t>
  </si>
  <si>
    <t>Per    Sqm   =  Rs.</t>
  </si>
  <si>
    <t>ii.Plinth beam</t>
  </si>
  <si>
    <t>Out side of building</t>
  </si>
  <si>
    <t xml:space="preserve">Sqm @ </t>
  </si>
  <si>
    <t>From Lintel Level to roof level</t>
  </si>
  <si>
    <t>i.Lintel</t>
  </si>
  <si>
    <t>Door and window soffit</t>
  </si>
  <si>
    <t>Per    Sqm  =  Rs.</t>
  </si>
  <si>
    <t>ii.Wall Beam</t>
  </si>
  <si>
    <t>i.Chajja (65mm Thick)</t>
  </si>
  <si>
    <t>As in RCC</t>
  </si>
  <si>
    <t>ii.Roof slab</t>
  </si>
  <si>
    <t>Carnice</t>
  </si>
  <si>
    <t>Total(A+B)</t>
  </si>
  <si>
    <t>P</t>
  </si>
  <si>
    <t>Lintel Bands</t>
  </si>
  <si>
    <t>Roof Band</t>
  </si>
  <si>
    <t>Openings</t>
  </si>
  <si>
    <t>Total Deduction</t>
  </si>
  <si>
    <t>Net (P-Q)</t>
  </si>
  <si>
    <t>Steps</t>
  </si>
  <si>
    <t>Mainbuilding</t>
  </si>
  <si>
    <t>Centering area of Chajja</t>
  </si>
  <si>
    <t>Deduction</t>
  </si>
  <si>
    <t>Total Deduction Quantity</t>
  </si>
  <si>
    <t>Take 50% of above quantity</t>
  </si>
  <si>
    <t>Vertified Floor tile</t>
  </si>
  <si>
    <t>Door Seals</t>
  </si>
  <si>
    <t>Verttified Tile</t>
  </si>
  <si>
    <t>Deduct Opening</t>
  </si>
  <si>
    <t>Door</t>
  </si>
  <si>
    <t>As Plastered area</t>
  </si>
  <si>
    <t>Item No-7-A</t>
  </si>
  <si>
    <t>Deduct opening</t>
  </si>
  <si>
    <t>Plastered area</t>
  </si>
  <si>
    <t>Ceiling area</t>
  </si>
  <si>
    <t>As Flooring area item No-5</t>
  </si>
  <si>
    <t>Below Chajja</t>
  </si>
  <si>
    <t>as centering area for chajja</t>
  </si>
  <si>
    <t>Plastering area as item No-7 A</t>
  </si>
  <si>
    <t xml:space="preserve">Ceiling Area </t>
  </si>
  <si>
    <t>Deduct Outside area</t>
  </si>
  <si>
    <t>item -11 (P+Q)</t>
  </si>
  <si>
    <t>Outside building</t>
  </si>
  <si>
    <t>Chhaja Area</t>
  </si>
  <si>
    <t>Supplying of M.S. Grills, M.S.Doors, Shutters etc including cost,conveyance of all materials etc.complete as per the instruction of Engineer-in-Charge .</t>
  </si>
  <si>
    <t>Openings of  Windows,Ver. Grill</t>
  </si>
  <si>
    <t>X</t>
  </si>
  <si>
    <t>Kg / Sqm =</t>
  </si>
  <si>
    <t xml:space="preserve">Kg   @ </t>
  </si>
  <si>
    <t>Per    Kg    =  Rs.</t>
  </si>
  <si>
    <t>Providing fitting fixing MS grill with cost of all labour and materials etc complete.</t>
  </si>
  <si>
    <t>Labour for fitting and fixing MS door and window etc complete.</t>
  </si>
  <si>
    <t>Total quantity ( as per item no 19 &amp; 20 = (A+B)</t>
  </si>
  <si>
    <t>Per    Sqm    =  Rs.</t>
  </si>
  <si>
    <t>(As per SR 2006 P-111)</t>
  </si>
  <si>
    <t>MS Windows</t>
  </si>
  <si>
    <t>MS Doors</t>
  </si>
  <si>
    <t>Providing fitting fixing PVC doors with cost of all labour and materials etc complete.</t>
  </si>
  <si>
    <t>Doors for Toilet</t>
  </si>
  <si>
    <t xml:space="preserve">Sqm   @ </t>
  </si>
  <si>
    <t>(As per  market rate )</t>
  </si>
  <si>
    <t>Column base</t>
  </si>
  <si>
    <t>Qntl/Cum</t>
  </si>
  <si>
    <t>Plinth Band/Grade Beam</t>
  </si>
  <si>
    <t>Window seal Slab</t>
  </si>
  <si>
    <t>Fins</t>
  </si>
  <si>
    <t>ix</t>
  </si>
  <si>
    <t>Jally</t>
  </si>
  <si>
    <t>Shelves</t>
  </si>
  <si>
    <t>xi</t>
  </si>
  <si>
    <t>xii</t>
  </si>
  <si>
    <t>xiii</t>
  </si>
  <si>
    <t>Cut Off</t>
  </si>
  <si>
    <t>xiv</t>
  </si>
  <si>
    <t>Foundation Raft</t>
  </si>
  <si>
    <t>xv</t>
  </si>
  <si>
    <t>Box Pier</t>
  </si>
  <si>
    <t>xvi</t>
  </si>
  <si>
    <t>Wing Wall</t>
  </si>
  <si>
    <t>xvii</t>
  </si>
  <si>
    <t>Culvert Slab</t>
  </si>
  <si>
    <t>PCC (1:3:6)</t>
  </si>
  <si>
    <t>RCC (1:1.5:3)</t>
  </si>
  <si>
    <t>T Beam</t>
  </si>
  <si>
    <t>2nd Footing</t>
  </si>
  <si>
    <t>3rd Footing</t>
  </si>
  <si>
    <t>Plinth Wall</t>
  </si>
  <si>
    <t>Window</t>
  </si>
  <si>
    <t>DOOR WINDOW SPECIFICATION</t>
  </si>
  <si>
    <t>D1</t>
  </si>
  <si>
    <t>D2</t>
  </si>
  <si>
    <t>W</t>
  </si>
  <si>
    <t>W1</t>
  </si>
  <si>
    <t>V</t>
  </si>
  <si>
    <t>GD</t>
  </si>
  <si>
    <t>PANCHAYAT SAMITI OFFICE, KAMAKHYANAGAR</t>
  </si>
  <si>
    <t>FORM No. XXXVII</t>
  </si>
  <si>
    <t>( Rule 109 )</t>
  </si>
  <si>
    <t>RUNNING / FINAL ACCOUNT BILL FORM</t>
  </si>
  <si>
    <t>1.Cash Book Voucher No:-</t>
  </si>
  <si>
    <t>(To be used for payment for work actually measured)</t>
  </si>
  <si>
    <t>2.Name of the work:-</t>
  </si>
  <si>
    <t>3.Estimated cost:-</t>
  </si>
  <si>
    <t>4.Name of the Executant:-</t>
  </si>
  <si>
    <t>Head Of account:-</t>
  </si>
  <si>
    <t>5.Name of the Junior Engineer/GPTA:-</t>
  </si>
  <si>
    <t>6.Serial Number of this Bill:-</t>
  </si>
  <si>
    <t>7.Date of commencement of the work:-</t>
  </si>
  <si>
    <t>MB NO-</t>
  </si>
  <si>
    <t>8.Date of completion of the work:-</t>
  </si>
  <si>
    <t>PAGE-</t>
  </si>
  <si>
    <t>9.Date of measurement of the work:-</t>
  </si>
  <si>
    <t>1. Account of work done</t>
  </si>
  <si>
    <t>SL NO</t>
  </si>
  <si>
    <t>ITEM OF THE WOK</t>
  </si>
  <si>
    <t xml:space="preserve">Unit </t>
  </si>
  <si>
    <t>Amount up to date</t>
  </si>
  <si>
    <t>C/O Rs.</t>
  </si>
  <si>
    <t>BF Rs.</t>
  </si>
  <si>
    <t>Add for work Contigency</t>
  </si>
  <si>
    <t>Add for Cess</t>
  </si>
  <si>
    <t>Total Rs</t>
  </si>
  <si>
    <t xml:space="preserve">SD @ </t>
  </si>
  <si>
    <t>=     Rs</t>
  </si>
  <si>
    <t>Contigency</t>
  </si>
  <si>
    <t>Witheld for Rectification work.</t>
  </si>
  <si>
    <t>Total Rs.</t>
  </si>
  <si>
    <t>Total value of Work done</t>
  </si>
  <si>
    <t>Deduct excess value of work done</t>
  </si>
  <si>
    <t>Net Value of work</t>
  </si>
  <si>
    <t>( II ) CERTIFICATE AND SIGNATURE</t>
  </si>
  <si>
    <t xml:space="preserve">           The measurement were made by me on</t>
  </si>
  <si>
    <t xml:space="preserve">and are recorded at page </t>
  </si>
  <si>
    <t>of the measurent</t>
  </si>
  <si>
    <t>Book No-</t>
  </si>
  <si>
    <t>No advance payments has been made previously with measurement.</t>
  </si>
  <si>
    <t xml:space="preserve">Dated Signature of </t>
  </si>
  <si>
    <t>Contractor or</t>
  </si>
  <si>
    <t>Village leader</t>
  </si>
  <si>
    <t>Rank</t>
  </si>
  <si>
    <t>Date</t>
  </si>
  <si>
    <t>( III ) MEMORANDUM OF PAYMENT</t>
  </si>
  <si>
    <t>Manoj Kumar Das</t>
  </si>
  <si>
    <t>Net to be Paid</t>
  </si>
  <si>
    <t>Add upto Previous bill Paid</t>
  </si>
  <si>
    <t>Cumulative Total Rs</t>
  </si>
  <si>
    <t>Deduct upto previous bill Paid</t>
  </si>
  <si>
    <t>Net Rs</t>
  </si>
  <si>
    <t>Dedction</t>
  </si>
  <si>
    <t>Net Amount to be Paid Rs</t>
  </si>
  <si>
    <t>BAR CHART</t>
  </si>
  <si>
    <t>Birashal</t>
  </si>
  <si>
    <t>Loknnathpur Village</t>
  </si>
  <si>
    <t>Loknnathpur Square</t>
  </si>
  <si>
    <t>NH-53</t>
  </si>
  <si>
    <t>Bhuban</t>
  </si>
  <si>
    <t>Dhaba</t>
  </si>
  <si>
    <t>80 Mtr</t>
  </si>
  <si>
    <t>Newly Done CC Road.</t>
  </si>
  <si>
    <t>MATERIAL &amp; LABOUR STATEMENT</t>
  </si>
  <si>
    <t>MATERIAL</t>
  </si>
  <si>
    <t>LABOUR STATEMENT</t>
  </si>
  <si>
    <t>MACHINERIES</t>
  </si>
  <si>
    <t>Sand for filling</t>
  </si>
  <si>
    <t>Sand for mortar</t>
  </si>
  <si>
    <t>Metal 40mm</t>
  </si>
  <si>
    <t>Brick Khoa</t>
  </si>
  <si>
    <t>5cm Size HGHB Metal</t>
  </si>
  <si>
    <t>HG Stone</t>
  </si>
  <si>
    <t>Soling Stone</t>
  </si>
  <si>
    <t>Stone Other than Granite/ Epidorite Metal</t>
  </si>
  <si>
    <t>Red Oxide Primer</t>
  </si>
  <si>
    <t>Weather seal Paint</t>
  </si>
  <si>
    <t>Enamel paint</t>
  </si>
  <si>
    <t>Plastic emulsion paint.</t>
  </si>
  <si>
    <t>Putty</t>
  </si>
  <si>
    <t>Shell Lime</t>
  </si>
  <si>
    <t>WOOD</t>
  </si>
  <si>
    <t>Sal wood</t>
  </si>
  <si>
    <t>PiaSal wood</t>
  </si>
  <si>
    <t>Humepipe</t>
  </si>
  <si>
    <t>Asbestus Sheet Ridges</t>
  </si>
  <si>
    <t>PRR</t>
  </si>
  <si>
    <t>Concrete Mixer</t>
  </si>
  <si>
    <t>Tripper</t>
  </si>
  <si>
    <t>Vibrator</t>
  </si>
  <si>
    <t>Excavator</t>
  </si>
  <si>
    <t>Tractor trolly</t>
  </si>
  <si>
    <t>HBG</t>
  </si>
  <si>
    <t>CBG</t>
  </si>
  <si>
    <t>25mm</t>
  </si>
  <si>
    <t>20mm</t>
  </si>
  <si>
    <t>12mm</t>
  </si>
  <si>
    <t>10mm</t>
  </si>
  <si>
    <t>6mm</t>
  </si>
  <si>
    <t>4.7mm</t>
  </si>
  <si>
    <t>Gr-I</t>
  </si>
  <si>
    <t>Gr-II</t>
  </si>
  <si>
    <t>Gr-III</t>
  </si>
  <si>
    <t>Marble Tile</t>
  </si>
  <si>
    <t>Granite Tile</t>
  </si>
  <si>
    <t>Nuria Tiles</t>
  </si>
  <si>
    <t>Kodapa Tiles</t>
  </si>
  <si>
    <t>Terazoo Tiles</t>
  </si>
  <si>
    <t>Glazed Tile</t>
  </si>
  <si>
    <t>A. Ground Floor</t>
  </si>
  <si>
    <t>B. First Floor</t>
  </si>
  <si>
    <t>HB METAL</t>
  </si>
  <si>
    <t>CB METAL</t>
  </si>
  <si>
    <t>A.      i. Ground Floor (F&amp;P)</t>
  </si>
  <si>
    <t xml:space="preserve">         ii.Ground Floor (S/S)</t>
  </si>
  <si>
    <t>G</t>
  </si>
  <si>
    <t>ODMT</t>
  </si>
  <si>
    <t>To be Paid Through</t>
  </si>
  <si>
    <t>MR</t>
  </si>
  <si>
    <t>Vendor</t>
  </si>
  <si>
    <t>VLL</t>
  </si>
  <si>
    <t>HIRE CHARGES OF PLANTS AND MACHINERIES 2014</t>
  </si>
  <si>
    <t>DESCRIPTIONS</t>
  </si>
  <si>
    <t>OUTPUT</t>
  </si>
  <si>
    <t>USAGE RATE IN Rs.</t>
  </si>
  <si>
    <t>MACHINE</t>
  </si>
  <si>
    <t>ACTIVITY</t>
  </si>
  <si>
    <t>UNIT</t>
  </si>
  <si>
    <t>GST%</t>
  </si>
  <si>
    <t>GST Amount</t>
  </si>
  <si>
    <t>Dozer D-50-A 15</t>
  </si>
  <si>
    <t>Spreading</t>
  </si>
  <si>
    <t>200 Cum/Hour</t>
  </si>
  <si>
    <t>Cutting</t>
  </si>
  <si>
    <t>100 Cum/Hour</t>
  </si>
  <si>
    <t>Cleaning</t>
  </si>
  <si>
    <t>150 Cum/Hour</t>
  </si>
  <si>
    <t>Dozer D-80-A 12</t>
  </si>
  <si>
    <t>300 Cum/Hour</t>
  </si>
  <si>
    <t>250 Cum/Hour</t>
  </si>
  <si>
    <t>Motor Grader 3.35 meter blade</t>
  </si>
  <si>
    <t>Clearing</t>
  </si>
  <si>
    <t>GSB</t>
  </si>
  <si>
    <t>50 Cum/Hour</t>
  </si>
  <si>
    <t>WMM</t>
  </si>
  <si>
    <t>Tractor with ordinary Grader</t>
  </si>
  <si>
    <t>Hydraulic excavator of 1Cum bucket</t>
  </si>
  <si>
    <t>Soil Ordinary</t>
  </si>
  <si>
    <t>60 Cum/Hour</t>
  </si>
  <si>
    <t>Soil Marshy</t>
  </si>
  <si>
    <t>Soil Unsuitable</t>
  </si>
  <si>
    <t>Hydraulic excavator of 2Cum bucket</t>
  </si>
  <si>
    <t>Soil</t>
  </si>
  <si>
    <t>Front end loader 1Cum bucket capacity</t>
  </si>
  <si>
    <t>Soil loading</t>
  </si>
  <si>
    <t>Aggregate loading</t>
  </si>
  <si>
    <t>25 Cum/Hour</t>
  </si>
  <si>
    <t>Tipper 5 Cum</t>
  </si>
  <si>
    <t>Transportation of Soil,GSB,WMM,Hotmix etc.</t>
  </si>
  <si>
    <t>5.50 Cum</t>
  </si>
  <si>
    <t>Per KM</t>
  </si>
  <si>
    <t>Per tonne KM</t>
  </si>
  <si>
    <t>Vibratory roller 8-10 tonne</t>
  </si>
  <si>
    <t>Earth/Soil</t>
  </si>
  <si>
    <t>Smooth wheeled roller 8-10 tonne</t>
  </si>
  <si>
    <t>Soil Compaction</t>
  </si>
  <si>
    <t>70 Cum/Hour</t>
  </si>
  <si>
    <t>001</t>
  </si>
  <si>
    <t>BM Compaction</t>
  </si>
  <si>
    <t>Sheep foot Roller</t>
  </si>
  <si>
    <t>Truck mounted water tanker</t>
  </si>
  <si>
    <t>Water transport</t>
  </si>
  <si>
    <t>6 KL</t>
  </si>
  <si>
    <t>Tractor</t>
  </si>
  <si>
    <t>Pulling</t>
  </si>
  <si>
    <t>50 HP</t>
  </si>
  <si>
    <t>Rotavator</t>
  </si>
  <si>
    <t>Mixing</t>
  </si>
  <si>
    <t>Ripper</t>
  </si>
  <si>
    <t>Scarifying</t>
  </si>
  <si>
    <t>Air Compressor</t>
  </si>
  <si>
    <t>General purpose</t>
  </si>
  <si>
    <t>170/250 CFM</t>
  </si>
  <si>
    <t>Diesel Compressor</t>
  </si>
  <si>
    <t>400 CFM</t>
  </si>
  <si>
    <t>300 CFM</t>
  </si>
  <si>
    <t>Electrical Compressor</t>
  </si>
  <si>
    <t>500 CFM</t>
  </si>
  <si>
    <t>Wet Mix Plant 60 TPH</t>
  </si>
  <si>
    <t>Wet Mix</t>
  </si>
  <si>
    <t>Wet Mix Plant 75 TPH</t>
  </si>
  <si>
    <t>34 Cum/Hour</t>
  </si>
  <si>
    <t>Mechanical Broom Hydraulic</t>
  </si>
  <si>
    <t>Surface cleaning</t>
  </si>
  <si>
    <t>1250 Sqm/Hour</t>
  </si>
  <si>
    <t>Bitumen pressure distributor</t>
  </si>
  <si>
    <t>Applying bitumen tack coat</t>
  </si>
  <si>
    <t>1750 Sqm/Hour</t>
  </si>
  <si>
    <t>Emulsion pressure distributor</t>
  </si>
  <si>
    <t>Applying emulsion tack coat</t>
  </si>
  <si>
    <t>Hot Mix Plant-120 TPH</t>
  </si>
  <si>
    <t>DBM/BM/SDC/Premix</t>
  </si>
  <si>
    <t>40 Cum/Hour</t>
  </si>
  <si>
    <t>Hot Mix Plant-100 TPH</t>
  </si>
  <si>
    <t>30 Cum/Hour</t>
  </si>
  <si>
    <t>Hot Mix Plant-60 to 90  TPH</t>
  </si>
  <si>
    <t>Hot Mix Plant-40 to 60  TPH</t>
  </si>
  <si>
    <t>17 Cum/Hour</t>
  </si>
  <si>
    <t>Hot Mix Plant-8 to 10 TPH</t>
  </si>
  <si>
    <t>Premix</t>
  </si>
  <si>
    <t>Cum/Hour</t>
  </si>
  <si>
    <t>Paver finisher Hydrostatic with sensor control 100 TPH</t>
  </si>
  <si>
    <t>Paving of DBM/BM/SDC/Premix</t>
  </si>
  <si>
    <t>Paver finisher Mechanical 100 TPH</t>
  </si>
  <si>
    <t>Paving of WMM/PMC</t>
  </si>
  <si>
    <t>Paving of DLC</t>
  </si>
  <si>
    <t xml:space="preserve">Paver finisher Mechanical </t>
  </si>
  <si>
    <t>75 Cum/Hour</t>
  </si>
  <si>
    <t>Hydraulic chips spreader</t>
  </si>
  <si>
    <t>Surface dressing</t>
  </si>
  <si>
    <t>1500 Sqm/Hour</t>
  </si>
  <si>
    <t>Tandem road roller</t>
  </si>
  <si>
    <t>Rolling of asphalt surface</t>
  </si>
  <si>
    <t>Pneumetic road roller</t>
  </si>
  <si>
    <t>Pot hole repair machine</t>
  </si>
  <si>
    <t>Repair of pot holes</t>
  </si>
  <si>
    <t>4 Cum/Hour</t>
  </si>
  <si>
    <t>Bitumen boiler oil fired</t>
  </si>
  <si>
    <t>Bitumen spraying</t>
  </si>
  <si>
    <t>1500 Litre</t>
  </si>
  <si>
    <t>GSB Plant 50 Cum</t>
  </si>
  <si>
    <t>Producing GSB</t>
  </si>
  <si>
    <t>Mastic cooker</t>
  </si>
  <si>
    <t>Mastic wearing coat</t>
  </si>
  <si>
    <t>1 tonne</t>
  </si>
  <si>
    <t>Batching &amp; Mixing Plant 15-20 Cum</t>
  </si>
  <si>
    <t>Concrete Mixing</t>
  </si>
  <si>
    <t>13 Cum/Hour</t>
  </si>
  <si>
    <t>Batching &amp; Mixing Plant 30 Cum</t>
  </si>
  <si>
    <t>20 Cum/Hour</t>
  </si>
  <si>
    <t>Batching &amp; Mixing Plant 112.50 Cum</t>
  </si>
  <si>
    <t>Batching &amp; Mixing Plant 262.50 Cum</t>
  </si>
  <si>
    <t>175 Cum/Hour</t>
  </si>
  <si>
    <t>Transit Mixer</t>
  </si>
  <si>
    <t>Transportation of concrete mix to site</t>
  </si>
  <si>
    <t>4.5 Cum/Hour</t>
  </si>
  <si>
    <t>3 Cum/Hour</t>
  </si>
  <si>
    <t>Grout Pump</t>
  </si>
  <si>
    <t>Concrete pump of 45 &amp; 30 Cum</t>
  </si>
  <si>
    <t>Pumping concrete</t>
  </si>
  <si>
    <t>33 Cum/Hour, 22Cum/Hour</t>
  </si>
  <si>
    <t>Pump with 5HP Diesel engine</t>
  </si>
  <si>
    <t>Pumping water</t>
  </si>
  <si>
    <t>002</t>
  </si>
  <si>
    <t>Pump with 10HP Diesel engine</t>
  </si>
  <si>
    <t>Pump with 20HP Diesel engine</t>
  </si>
  <si>
    <t>Pump with 40HP Diesel engine</t>
  </si>
  <si>
    <t>Pump with 40HP Electrcal</t>
  </si>
  <si>
    <t>Pump with 50HP Electrcal</t>
  </si>
  <si>
    <t>Cranes 80 tonnes</t>
  </si>
  <si>
    <t>Lifting Purpose</t>
  </si>
  <si>
    <t>Cranes 35 tonnes</t>
  </si>
  <si>
    <t>Cranes 3 tonnes</t>
  </si>
  <si>
    <t>Crawler mounted crane(18T)</t>
  </si>
  <si>
    <t>Tower Crane</t>
  </si>
  <si>
    <t>Welding transformer</t>
  </si>
  <si>
    <t>Welding</t>
  </si>
  <si>
    <t>Gunneting machine with out compressor</t>
  </si>
  <si>
    <t>Mechanical winch (10T)</t>
  </si>
  <si>
    <t>Power winch (40HP)</t>
  </si>
  <si>
    <t>Concrete bucket</t>
  </si>
  <si>
    <t>For pouring concrete</t>
  </si>
  <si>
    <t>1Cum</t>
  </si>
  <si>
    <t>Kerb casting machine</t>
  </si>
  <si>
    <t>Kerb making</t>
  </si>
  <si>
    <t>80 RM/Hour</t>
  </si>
  <si>
    <t>Concrete mixer (a)04/0.28 Cum</t>
  </si>
  <si>
    <t>2.50Cum/Hour</t>
  </si>
  <si>
    <t>004</t>
  </si>
  <si>
    <t>(b)01 Cum</t>
  </si>
  <si>
    <t>7.50Cum/Hour</t>
  </si>
  <si>
    <t>Vibrator (3HP Diesel)</t>
  </si>
  <si>
    <t>Compacting concrete</t>
  </si>
  <si>
    <t>003</t>
  </si>
  <si>
    <t>Pilling rig with bantonite pump</t>
  </si>
  <si>
    <t>0.75m dia to 1.20m dia Boring attachment</t>
  </si>
  <si>
    <t>2 to 3 RM/Hour</t>
  </si>
  <si>
    <t>Concrete paver finisher with 40HP motor</t>
  </si>
  <si>
    <t>Paving of concrete surface</t>
  </si>
  <si>
    <t>Integrated stone crusher</t>
  </si>
  <si>
    <t>Crushing of spalls</t>
  </si>
  <si>
    <t>100 TPH</t>
  </si>
  <si>
    <t>200 TPH</t>
  </si>
  <si>
    <t>Stone crusher (Electrical)</t>
  </si>
  <si>
    <t>Crushing &amp; Processing plant (electrical)</t>
  </si>
  <si>
    <t>Prestressing jack with pump &amp; Access</t>
  </si>
  <si>
    <t>Stressing of steel wires /stands</t>
  </si>
  <si>
    <t>Generator 100 KVA</t>
  </si>
  <si>
    <t>Generation of electric energy</t>
  </si>
  <si>
    <t>100 KVA</t>
  </si>
  <si>
    <t>005</t>
  </si>
  <si>
    <t>Generator 250 KVA</t>
  </si>
  <si>
    <t>Generator 33 KVA</t>
  </si>
  <si>
    <t>50 KVA</t>
  </si>
  <si>
    <t>Generator 40 KVA</t>
  </si>
  <si>
    <t>KVA</t>
  </si>
  <si>
    <t>Generator 125 KVA</t>
  </si>
  <si>
    <t>Pneumatic sinking plant</t>
  </si>
  <si>
    <t>Pneumatic sinking of wells</t>
  </si>
  <si>
    <t>1.50 to 2.00 Cum/ Hour</t>
  </si>
  <si>
    <t>Truck 5.50 Cum per 10 tonnes</t>
  </si>
  <si>
    <t>Material transport</t>
  </si>
  <si>
    <t>4.50 Cum</t>
  </si>
  <si>
    <t>Road marking machine</t>
  </si>
  <si>
    <t>Road marking</t>
  </si>
  <si>
    <t>100 Sqm/Hour</t>
  </si>
  <si>
    <t>Mobile slurry seal equipment</t>
  </si>
  <si>
    <t>Mixing and laying slurry seal</t>
  </si>
  <si>
    <t>2700 Sqm/Hour</t>
  </si>
  <si>
    <t>Wagon drill</t>
  </si>
  <si>
    <t>Dimond drill</t>
  </si>
  <si>
    <t>Inwell rings</t>
  </si>
  <si>
    <t>Jack hammer</t>
  </si>
  <si>
    <t>Pneumatic rammer</t>
  </si>
  <si>
    <t>Pusher leg</t>
  </si>
  <si>
    <t>BASIC RATES OF MATERIALS ( CENTRAL SOUTHERN AND NORTHEN ZONE )</t>
  </si>
  <si>
    <t>Name of items</t>
  </si>
  <si>
    <t>Central zone 2007</t>
  </si>
  <si>
    <t>Northen zone 2007</t>
  </si>
  <si>
    <t>Southern Zone 2007</t>
  </si>
  <si>
    <t>Central zone2008</t>
  </si>
  <si>
    <t>Northen zone 2008</t>
  </si>
  <si>
    <t>Southern Zone 2008</t>
  </si>
  <si>
    <t>Central zone2013</t>
  </si>
  <si>
    <t>Northen zone 2014/Dhenkanal</t>
  </si>
  <si>
    <t>Southern Zone 2013</t>
  </si>
  <si>
    <t>Central zone2012</t>
  </si>
  <si>
    <t>Northen zone 2012</t>
  </si>
  <si>
    <t>Southern Zone 2012</t>
  </si>
  <si>
    <t>Code</t>
  </si>
  <si>
    <r>
      <t>Well burnt clamp burnt bricks (25 cm x 12cm x 8cm) having crushing strength not less than 35Kg / Cm</t>
    </r>
    <r>
      <rPr>
        <b/>
        <sz val="14"/>
        <rFont val="Arial"/>
        <family val="2"/>
      </rPr>
      <t>²</t>
    </r>
    <r>
      <rPr>
        <b/>
        <sz val="14"/>
        <rFont val="Times New Roman"/>
        <family val="1"/>
      </rPr>
      <t xml:space="preserve"> with dimensional tolerance 8 percent.</t>
    </r>
  </si>
  <si>
    <t>015</t>
  </si>
  <si>
    <r>
      <rPr>
        <b/>
        <sz val="14"/>
        <rFont val="Times New Roman"/>
        <family val="1"/>
      </rPr>
      <t>Well burnt clamp burnt bricks (23 cm x 11cm x 8cm)</t>
    </r>
    <r>
      <rPr>
        <sz val="14"/>
        <rFont val="Times New Roman"/>
        <family val="1"/>
      </rPr>
      <t xml:space="preserve"> having crushing strength not less than 35Kg / Cm</t>
    </r>
    <r>
      <rPr>
        <sz val="14"/>
        <rFont val="Arial"/>
        <family val="2"/>
      </rPr>
      <t>²</t>
    </r>
    <r>
      <rPr>
        <sz val="14"/>
        <rFont val="Times New Roman"/>
        <family val="1"/>
      </rPr>
      <t xml:space="preserve"> with dimensional tolerance 8 percent.</t>
    </r>
  </si>
  <si>
    <r>
      <t>K.B. bricks (25 cm x 12cm x 8cm) having crushing strength not less than 75Kg / Cm</t>
    </r>
    <r>
      <rPr>
        <b/>
        <sz val="14"/>
        <rFont val="Arial"/>
        <family val="2"/>
      </rPr>
      <t>²</t>
    </r>
    <r>
      <rPr>
        <b/>
        <sz val="14"/>
        <rFont val="Times New Roman"/>
        <family val="1"/>
      </rPr>
      <t xml:space="preserve"> with dimensional tolerance 8 percent.</t>
    </r>
  </si>
  <si>
    <t>013</t>
  </si>
  <si>
    <r>
      <rPr>
        <b/>
        <sz val="14"/>
        <rFont val="Times New Roman"/>
        <family val="1"/>
      </rPr>
      <t>K.B. bricks (23 cm x 11cm x 8cm)</t>
    </r>
    <r>
      <rPr>
        <sz val="14"/>
        <rFont val="Times New Roman"/>
        <family val="1"/>
      </rPr>
      <t xml:space="preserve"> having crushing strength not less than 75Kg / Cm</t>
    </r>
    <r>
      <rPr>
        <sz val="14"/>
        <rFont val="Arial"/>
        <family val="2"/>
      </rPr>
      <t>²</t>
    </r>
    <r>
      <rPr>
        <sz val="14"/>
        <rFont val="Times New Roman"/>
        <family val="1"/>
      </rPr>
      <t xml:space="preserve"> with dimensional tolerance 8 percent.</t>
    </r>
  </si>
  <si>
    <r>
      <t>Fly Ash bricks of (25 cm x 12cm x 8cm) having crushing strength not less than 75Kg / Cm</t>
    </r>
    <r>
      <rPr>
        <b/>
        <sz val="14"/>
        <rFont val="Arial"/>
        <family val="2"/>
      </rPr>
      <t>²</t>
    </r>
    <r>
      <rPr>
        <b/>
        <sz val="14"/>
        <rFont val="Times New Roman"/>
        <family val="1"/>
      </rPr>
      <t xml:space="preserve"> with dimensional tolerance 2 percent.</t>
    </r>
  </si>
  <si>
    <t>124</t>
  </si>
  <si>
    <r>
      <rPr>
        <b/>
        <sz val="14"/>
        <rFont val="Times New Roman"/>
        <family val="1"/>
      </rPr>
      <t>Fly ash bricks (23 cm x 11cm x 8cm)</t>
    </r>
    <r>
      <rPr>
        <sz val="14"/>
        <rFont val="Times New Roman"/>
        <family val="1"/>
      </rPr>
      <t xml:space="preserve"> having crushing strength not less than 75Kg / Cm</t>
    </r>
    <r>
      <rPr>
        <sz val="14"/>
        <rFont val="Arial"/>
        <family val="2"/>
      </rPr>
      <t>²</t>
    </r>
    <r>
      <rPr>
        <sz val="14"/>
        <rFont val="Times New Roman"/>
        <family val="1"/>
      </rPr>
      <t xml:space="preserve"> with dimensional tolerance 2 percent.</t>
    </r>
  </si>
  <si>
    <r>
      <rPr>
        <b/>
        <sz val="14"/>
        <rFont val="Times New Roman"/>
        <family val="1"/>
      </rPr>
      <t>Fly ash blocks (30 cm x 20cm x 15cm)</t>
    </r>
    <r>
      <rPr>
        <sz val="14"/>
        <rFont val="Times New Roman"/>
        <family val="1"/>
      </rPr>
      <t xml:space="preserve"> having crushing strength not less than 75Kg / Cm</t>
    </r>
    <r>
      <rPr>
        <sz val="14"/>
        <rFont val="Arial"/>
        <family val="2"/>
      </rPr>
      <t>²</t>
    </r>
    <r>
      <rPr>
        <sz val="14"/>
        <rFont val="Times New Roman"/>
        <family val="1"/>
      </rPr>
      <t xml:space="preserve"> with dimensional tolerance 2 percent.</t>
    </r>
  </si>
  <si>
    <r>
      <rPr>
        <b/>
        <sz val="14"/>
        <rFont val="Times New Roman"/>
        <family val="1"/>
      </rPr>
      <t>Cement concrete solid block</t>
    </r>
    <r>
      <rPr>
        <sz val="14"/>
        <rFont val="Times New Roman"/>
        <family val="1"/>
      </rPr>
      <t xml:space="preserve"> machine mixed and hydraulic compressed having crushing strength not less than 75 Kg/Cm</t>
    </r>
    <r>
      <rPr>
        <sz val="14"/>
        <rFont val="Arial"/>
        <family val="2"/>
      </rPr>
      <t>²</t>
    </r>
  </si>
  <si>
    <t>075</t>
  </si>
  <si>
    <r>
      <t>Cement concrete hollow blocks machine mixed and hydraulic compressed having crushing strength not less than 70 Kg/Cm</t>
    </r>
    <r>
      <rPr>
        <sz val="14"/>
        <rFont val="Arial"/>
        <family val="2"/>
      </rPr>
      <t>²</t>
    </r>
  </si>
  <si>
    <t>K.B. Khoa 4 Cm size.</t>
  </si>
  <si>
    <t>014</t>
  </si>
  <si>
    <t>Clamp burnt brick Khoa 4Cm size</t>
  </si>
  <si>
    <t>016</t>
  </si>
  <si>
    <t>Surki of clamp burnt bricks.</t>
  </si>
  <si>
    <t>Surki of Kiln burnt bricks.</t>
  </si>
  <si>
    <t>Screen washed Gravel for concrete (12 to 20mm)</t>
  </si>
  <si>
    <t>15.(a)</t>
  </si>
  <si>
    <t>Grvel or Moorum satisfying  the P.I. value with sand admixture if required.</t>
  </si>
  <si>
    <t>056</t>
  </si>
  <si>
    <t>(b)</t>
  </si>
  <si>
    <t>Gravel or Moorum having P.I value more than 6</t>
  </si>
  <si>
    <t>Stone screened dust passing through 2.36mm sieve and retained on 0.075mm sieve.</t>
  </si>
  <si>
    <t>River single Bajri.(12mm to 20mm )</t>
  </si>
  <si>
    <t>010</t>
  </si>
  <si>
    <t>Sand for filling and road blinding.</t>
  </si>
  <si>
    <t>012</t>
  </si>
  <si>
    <t>Clay mortar for masonry work with admixture of sand.</t>
  </si>
  <si>
    <t>Stone lime unslked.</t>
  </si>
  <si>
    <t>Ghooting lime unslked.</t>
  </si>
  <si>
    <t>Shell lime unslked.</t>
  </si>
  <si>
    <t>24.(a)</t>
  </si>
  <si>
    <t>Granite broken stone of size not less than 0.025 cum stacked</t>
  </si>
  <si>
    <t>034</t>
  </si>
  <si>
    <t>Granite broken stone of size not less than 0.025 cum picked up.</t>
  </si>
  <si>
    <t>Stone other than granite quarried broken and stacked 0.0015 cum to 0.003 Cum.</t>
  </si>
  <si>
    <t>Stone other than granite picked up broken and stacked 0.0015cum to 0.003Cum</t>
  </si>
  <si>
    <t>Stone other than granite quarried broken and stacked above 0.003 Cum.</t>
  </si>
  <si>
    <t>035</t>
  </si>
  <si>
    <t>Stone other than granite picked up broken and stacked above 0.003 Cum.</t>
  </si>
  <si>
    <r>
      <t xml:space="preserve">Granite stone broken </t>
    </r>
    <r>
      <rPr>
        <b/>
        <sz val="14"/>
        <rFont val="Times New Roman"/>
        <family val="1"/>
      </rPr>
      <t>Metal 63mm size</t>
    </r>
    <r>
      <rPr>
        <sz val="14"/>
        <rFont val="Times New Roman"/>
        <family val="1"/>
      </rPr>
      <t xml:space="preserve"> ( passing through 90mm sieve and retained on 53mm sieve)</t>
    </r>
  </si>
  <si>
    <t>(a)</t>
  </si>
  <si>
    <t>Crusher broken</t>
  </si>
  <si>
    <t>Hand broken</t>
  </si>
  <si>
    <r>
      <t xml:space="preserve">Granite stone broken </t>
    </r>
    <r>
      <rPr>
        <b/>
        <sz val="14"/>
        <rFont val="Times New Roman"/>
        <family val="1"/>
      </rPr>
      <t>Metal 45mm size</t>
    </r>
    <r>
      <rPr>
        <sz val="14"/>
        <rFont val="Times New Roman"/>
        <family val="1"/>
      </rPr>
      <t xml:space="preserve"> ( passing through 53mm sieve and retained on 26.5mm sieve)</t>
    </r>
  </si>
  <si>
    <r>
      <t xml:space="preserve">Granite stone broken </t>
    </r>
    <r>
      <rPr>
        <b/>
        <sz val="14"/>
        <rFont val="Times New Roman"/>
        <family val="1"/>
      </rPr>
      <t>Metal 40mm size</t>
    </r>
    <r>
      <rPr>
        <sz val="14"/>
        <rFont val="Times New Roman"/>
        <family val="1"/>
      </rPr>
      <t xml:space="preserve"> </t>
    </r>
  </si>
  <si>
    <t>043</t>
  </si>
  <si>
    <t>052</t>
  </si>
  <si>
    <r>
      <t xml:space="preserve">Granite stone broken </t>
    </r>
    <r>
      <rPr>
        <b/>
        <sz val="14"/>
        <rFont val="Times New Roman"/>
        <family val="1"/>
      </rPr>
      <t>Metal 26.5mm size</t>
    </r>
    <r>
      <rPr>
        <sz val="14"/>
        <rFont val="Times New Roman"/>
        <family val="1"/>
      </rPr>
      <t xml:space="preserve"> ( passing through 45mm sieve and retained on 22.4mm sieve)</t>
    </r>
  </si>
  <si>
    <r>
      <t xml:space="preserve">Granite stone broken </t>
    </r>
    <r>
      <rPr>
        <b/>
        <sz val="14"/>
        <rFont val="Times New Roman"/>
        <family val="1"/>
      </rPr>
      <t>Metal 25mm size</t>
    </r>
    <r>
      <rPr>
        <sz val="14"/>
        <rFont val="Times New Roman"/>
        <family val="1"/>
      </rPr>
      <t xml:space="preserve"> ( passing through 40mm sieve and retained on 20mm sieve)</t>
    </r>
  </si>
  <si>
    <r>
      <t xml:space="preserve">Granite stone broken </t>
    </r>
    <r>
      <rPr>
        <b/>
        <sz val="14"/>
        <rFont val="Times New Roman"/>
        <family val="1"/>
      </rPr>
      <t>Metal 22.4mm size</t>
    </r>
    <r>
      <rPr>
        <sz val="14"/>
        <rFont val="Times New Roman"/>
        <family val="1"/>
      </rPr>
      <t xml:space="preserve"> ( passing through 26.5mm sieve and retained on 11.2mm sieve)</t>
    </r>
  </si>
  <si>
    <r>
      <t xml:space="preserve">Granite stone broken </t>
    </r>
    <r>
      <rPr>
        <b/>
        <sz val="14"/>
        <rFont val="Times New Roman"/>
        <family val="1"/>
      </rPr>
      <t>Chips 20mm size</t>
    </r>
    <r>
      <rPr>
        <sz val="14"/>
        <rFont val="Times New Roman"/>
        <family val="1"/>
      </rPr>
      <t xml:space="preserve"> ( passing through 19mm sieve and retained on 13.2mm sieve)</t>
    </r>
  </si>
  <si>
    <t>045</t>
  </si>
  <si>
    <t>044</t>
  </si>
  <si>
    <r>
      <t xml:space="preserve">Granite stone broken </t>
    </r>
    <r>
      <rPr>
        <b/>
        <sz val="14"/>
        <rFont val="Times New Roman"/>
        <family val="1"/>
      </rPr>
      <t>Chips 13.2mm size</t>
    </r>
    <r>
      <rPr>
        <sz val="14"/>
        <rFont val="Times New Roman"/>
        <family val="1"/>
      </rPr>
      <t xml:space="preserve"> ( passing through 22.4mm sieve and retained on 11.2mm sieve)</t>
    </r>
  </si>
  <si>
    <r>
      <t xml:space="preserve">Granite stone broken </t>
    </r>
    <r>
      <rPr>
        <b/>
        <sz val="14"/>
        <rFont val="Times New Roman"/>
        <family val="1"/>
      </rPr>
      <t>Chips 12mm size</t>
    </r>
    <r>
      <rPr>
        <sz val="14"/>
        <rFont val="Times New Roman"/>
        <family val="1"/>
      </rPr>
      <t xml:space="preserve"> ( passing through 13.2mm sieve and retained on 9.5mm sieve)</t>
    </r>
  </si>
  <si>
    <t>047</t>
  </si>
  <si>
    <t>009</t>
  </si>
  <si>
    <r>
      <t xml:space="preserve">Granite stone broken </t>
    </r>
    <r>
      <rPr>
        <b/>
        <sz val="14"/>
        <rFont val="Times New Roman"/>
        <family val="1"/>
      </rPr>
      <t>Chips 11.2mm size</t>
    </r>
    <r>
      <rPr>
        <sz val="14"/>
        <rFont val="Times New Roman"/>
        <family val="1"/>
      </rPr>
      <t xml:space="preserve"> ( passing through 13.2mm sieve and retained on 5.6mm sieve)</t>
    </r>
  </si>
  <si>
    <r>
      <t xml:space="preserve">Granite stone broken </t>
    </r>
    <r>
      <rPr>
        <b/>
        <sz val="14"/>
        <rFont val="Times New Roman"/>
        <family val="1"/>
      </rPr>
      <t>Chips 10mm size</t>
    </r>
    <r>
      <rPr>
        <sz val="14"/>
        <rFont val="Times New Roman"/>
        <family val="1"/>
      </rPr>
      <t xml:space="preserve"> ( passing through 9.5mm sieve and retained on 6.3mm sieve)</t>
    </r>
  </si>
  <si>
    <t>046</t>
  </si>
  <si>
    <t>008</t>
  </si>
  <si>
    <r>
      <t xml:space="preserve">Granite stone broken </t>
    </r>
    <r>
      <rPr>
        <b/>
        <sz val="14"/>
        <rFont val="Times New Roman"/>
        <family val="1"/>
      </rPr>
      <t>Chips 6.7mm size</t>
    </r>
    <r>
      <rPr>
        <sz val="14"/>
        <rFont val="Times New Roman"/>
        <family val="1"/>
      </rPr>
      <t xml:space="preserve"> (passing through 11.2mm sieve &amp; retained on 2.8mm sieve.</t>
    </r>
  </si>
  <si>
    <t>048</t>
  </si>
  <si>
    <t>B.</t>
  </si>
  <si>
    <r>
      <rPr>
        <b/>
        <sz val="14"/>
        <rFont val="Times New Roman"/>
        <family val="1"/>
      </rPr>
      <t>Granite stone Screening</t>
    </r>
    <r>
      <rPr>
        <sz val="14"/>
        <rFont val="Times New Roman"/>
        <family val="1"/>
      </rPr>
      <t xml:space="preserve"> (passing through 2.36mm sieve &amp; retained on 180micron sieve.</t>
    </r>
  </si>
  <si>
    <r>
      <t xml:space="preserve">Granite stone broken </t>
    </r>
    <r>
      <rPr>
        <b/>
        <sz val="14"/>
        <rFont val="Times New Roman"/>
        <family val="1"/>
      </rPr>
      <t>Chips 4.7mm size</t>
    </r>
    <r>
      <rPr>
        <sz val="14"/>
        <rFont val="Times New Roman"/>
        <family val="1"/>
      </rPr>
      <t xml:space="preserve"> (passing through 6.7mm sieve &amp; retained on 2.36mm sieve.</t>
    </r>
  </si>
  <si>
    <t>055</t>
  </si>
  <si>
    <t>Stone other than granite broken to 5cm size.</t>
  </si>
  <si>
    <t>Stone other than granite broken to 4cm size.</t>
  </si>
  <si>
    <t>Stone other than granite broken to 2cm size.</t>
  </si>
  <si>
    <t>Stone other than granite broken to 1cm size.</t>
  </si>
  <si>
    <t>Stone boulder 15cm &amp; above size granite picked up  and nullah boulder.</t>
  </si>
  <si>
    <t>soling stone boulder 15cm &amp; above size picked up  and nullah boulder.</t>
  </si>
  <si>
    <t>Stone boulder 15cm &amp; above size other than  granite and laterite picked up  and nullah boulder.</t>
  </si>
  <si>
    <t>soling stone boulder 15cm &amp; above size other than granite &amp; laterite picked up  and nullah boulder broken.</t>
  </si>
  <si>
    <t>Soling stone boulder 10cm size picked up other than granite.</t>
  </si>
  <si>
    <t>Hard broken soling stone other than granite (40mm to 90mm size)</t>
  </si>
  <si>
    <t>053</t>
  </si>
  <si>
    <t>054</t>
  </si>
  <si>
    <t>Laterite soling stone 23mm size</t>
  </si>
  <si>
    <t>Laterite stone rough dressed</t>
  </si>
  <si>
    <t>Bamboo mat or talal</t>
  </si>
  <si>
    <t>Bamboo 1st class 7cm to 10cm dia &amp; above 6m long.</t>
  </si>
  <si>
    <t>58(a)</t>
  </si>
  <si>
    <t>Belongi bamboo 2.51cm to 4cm dia &amp; above 5m. long.</t>
  </si>
  <si>
    <t>Belongi bamboo above 4cm dia &amp; upto 7cm dia &amp; above 5m. long.</t>
  </si>
  <si>
    <r>
      <rPr>
        <b/>
        <sz val="14"/>
        <rFont val="Times New Roman"/>
        <family val="1"/>
      </rPr>
      <t>Sal bullah 75mm to 120mm dia</t>
    </r>
    <r>
      <rPr>
        <sz val="14"/>
        <rFont val="Times New Roman"/>
        <family val="1"/>
      </rPr>
      <t xml:space="preserve"> &amp; upto 5.5 m long.</t>
    </r>
  </si>
  <si>
    <r>
      <rPr>
        <b/>
        <sz val="14"/>
        <rFont val="Times New Roman"/>
        <family val="1"/>
      </rPr>
      <t>Sal bullah 150mm to 200mm dia</t>
    </r>
    <r>
      <rPr>
        <sz val="14"/>
        <rFont val="Times New Roman"/>
        <family val="1"/>
      </rPr>
      <t xml:space="preserve"> &amp; upto 5.5 m long.</t>
    </r>
  </si>
  <si>
    <r>
      <rPr>
        <b/>
        <sz val="14"/>
        <rFont val="Times New Roman"/>
        <family val="1"/>
      </rPr>
      <t>Sal bullah 200mm &amp; upto 250mm mean dia</t>
    </r>
    <r>
      <rPr>
        <sz val="14"/>
        <rFont val="Times New Roman"/>
        <family val="1"/>
      </rPr>
      <t xml:space="preserve"> &amp; upto 2.75m long.</t>
    </r>
  </si>
  <si>
    <r>
      <rPr>
        <b/>
        <sz val="14"/>
        <rFont val="Times New Roman"/>
        <family val="1"/>
      </rPr>
      <t>Sal bullah 200mm &amp; upto 250mm mean dia</t>
    </r>
    <r>
      <rPr>
        <sz val="14"/>
        <rFont val="Times New Roman"/>
        <family val="1"/>
      </rPr>
      <t xml:space="preserve"> &amp; upto 2.75m long &amp; upto 4.75m long.</t>
    </r>
  </si>
  <si>
    <r>
      <rPr>
        <b/>
        <sz val="14"/>
        <rFont val="Times New Roman"/>
        <family val="1"/>
      </rPr>
      <t>Sal bullah 200mm &amp; upto 250mm mean dia</t>
    </r>
    <r>
      <rPr>
        <sz val="14"/>
        <rFont val="Times New Roman"/>
        <family val="1"/>
      </rPr>
      <t xml:space="preserve"> &amp; upto 4.75m long.</t>
    </r>
  </si>
  <si>
    <r>
      <rPr>
        <b/>
        <sz val="14"/>
        <rFont val="Times New Roman"/>
        <family val="1"/>
      </rPr>
      <t>Sal bullah 250mm &amp; upto 380mm mean dia</t>
    </r>
    <r>
      <rPr>
        <sz val="14"/>
        <rFont val="Times New Roman"/>
        <family val="1"/>
      </rPr>
      <t xml:space="preserve"> &amp; upto 2.75m long.</t>
    </r>
  </si>
  <si>
    <r>
      <rPr>
        <b/>
        <sz val="14"/>
        <rFont val="Times New Roman"/>
        <family val="1"/>
      </rPr>
      <t>Sal bullah 250mm &amp; upto 380mm mean dia</t>
    </r>
    <r>
      <rPr>
        <sz val="14"/>
        <rFont val="Times New Roman"/>
        <family val="1"/>
      </rPr>
      <t xml:space="preserve"> &amp; upto 2.75m long &amp; upto 4.75m long.</t>
    </r>
  </si>
  <si>
    <r>
      <rPr>
        <b/>
        <sz val="14"/>
        <rFont val="Times New Roman"/>
        <family val="1"/>
      </rPr>
      <t>Sal bullah above 250mm &amp; upto 380mm mean dia</t>
    </r>
    <r>
      <rPr>
        <sz val="14"/>
        <rFont val="Times New Roman"/>
        <family val="1"/>
      </rPr>
      <t xml:space="preserve"> &amp; above 4.75m long.</t>
    </r>
  </si>
  <si>
    <r>
      <rPr>
        <b/>
        <sz val="14"/>
        <rFont val="Times New Roman"/>
        <family val="1"/>
      </rPr>
      <t>Non sal bullah 75 mm mean dia</t>
    </r>
    <r>
      <rPr>
        <sz val="14"/>
        <rFont val="Times New Roman"/>
        <family val="1"/>
      </rPr>
      <t xml:space="preserve"> of any length.</t>
    </r>
  </si>
  <si>
    <r>
      <rPr>
        <b/>
        <sz val="14"/>
        <rFont val="Times New Roman"/>
        <family val="1"/>
      </rPr>
      <t>Non sal bullah 100 mm mean dia</t>
    </r>
    <r>
      <rPr>
        <sz val="14"/>
        <rFont val="Times New Roman"/>
        <family val="1"/>
      </rPr>
      <t xml:space="preserve"> of any length.</t>
    </r>
  </si>
  <si>
    <r>
      <rPr>
        <b/>
        <sz val="14"/>
        <rFont val="Times New Roman"/>
        <family val="1"/>
      </rPr>
      <t>Non sal bullah 125 mm mean dia</t>
    </r>
    <r>
      <rPr>
        <sz val="14"/>
        <rFont val="Times New Roman"/>
        <family val="1"/>
      </rPr>
      <t xml:space="preserve"> of any length.</t>
    </r>
  </si>
  <si>
    <r>
      <rPr>
        <b/>
        <sz val="14"/>
        <rFont val="Times New Roman"/>
        <family val="1"/>
      </rPr>
      <t>Non sal bullah 150 mm to 200mm  mean dia</t>
    </r>
    <r>
      <rPr>
        <sz val="14"/>
        <rFont val="Times New Roman"/>
        <family val="1"/>
      </rPr>
      <t xml:space="preserve"> of any length.</t>
    </r>
  </si>
  <si>
    <r>
      <rPr>
        <b/>
        <sz val="14"/>
        <rFont val="Times New Roman"/>
        <family val="1"/>
      </rPr>
      <t>Non sal bullah above 200 mm &amp; upto 200mm</t>
    </r>
    <r>
      <rPr>
        <sz val="14"/>
        <rFont val="Times New Roman"/>
        <family val="1"/>
      </rPr>
      <t xml:space="preserve">  mean dia upto 2.5m long.</t>
    </r>
  </si>
  <si>
    <r>
      <rPr>
        <b/>
        <sz val="14"/>
        <rFont val="Times New Roman"/>
        <family val="1"/>
      </rPr>
      <t>Non sal bullah above 200 mm &amp; upto 200mm</t>
    </r>
    <r>
      <rPr>
        <sz val="14"/>
        <rFont val="Times New Roman"/>
        <family val="1"/>
      </rPr>
      <t xml:space="preserve">  mean dia above 2.5m long.</t>
    </r>
  </si>
  <si>
    <r>
      <rPr>
        <b/>
        <sz val="14"/>
        <rFont val="Times New Roman"/>
        <family val="1"/>
      </rPr>
      <t>Seasoned rough dressed sawn sal wood</t>
    </r>
    <r>
      <rPr>
        <sz val="14"/>
        <rFont val="Times New Roman"/>
        <family val="1"/>
      </rPr>
      <t xml:space="preserve"> having minimum dimension 50mm to 150mm &amp; upto 2.75m long.</t>
    </r>
  </si>
  <si>
    <r>
      <rPr>
        <b/>
        <sz val="14"/>
        <rFont val="Times New Roman"/>
        <family val="1"/>
      </rPr>
      <t>Seasoned rough dressed sawn sal wood</t>
    </r>
    <r>
      <rPr>
        <sz val="14"/>
        <rFont val="Times New Roman"/>
        <family val="1"/>
      </rPr>
      <t xml:space="preserve"> having minimum dimension 50mm to 150mm &amp; above 2.75m long.</t>
    </r>
  </si>
  <si>
    <r>
      <rPr>
        <b/>
        <sz val="14"/>
        <rFont val="Times New Roman"/>
        <family val="1"/>
      </rPr>
      <t>Seasoned sal wood beam</t>
    </r>
    <r>
      <rPr>
        <sz val="14"/>
        <rFont val="Times New Roman"/>
        <family val="1"/>
      </rPr>
      <t xml:space="preserve"> of cross sectional area not less than 150 Cm² &amp; least lateral dimension 100mm &amp; above 2.75m long.</t>
    </r>
  </si>
  <si>
    <r>
      <rPr>
        <b/>
        <sz val="14"/>
        <rFont val="Times New Roman"/>
        <family val="1"/>
      </rPr>
      <t>Seasoned sal wood planks</t>
    </r>
    <r>
      <rPr>
        <sz val="14"/>
        <rFont val="Times New Roman"/>
        <family val="1"/>
      </rPr>
      <t xml:space="preserve"> not more than 75mm thick and not less than 200mm width.</t>
    </r>
  </si>
  <si>
    <r>
      <rPr>
        <b/>
        <sz val="14"/>
        <rFont val="Times New Roman"/>
        <family val="1"/>
      </rPr>
      <t>Seasoned piasal wood planks</t>
    </r>
    <r>
      <rPr>
        <sz val="14"/>
        <rFont val="Times New Roman"/>
        <family val="1"/>
      </rPr>
      <t xml:space="preserve"> for shutter.</t>
    </r>
  </si>
  <si>
    <r>
      <rPr>
        <b/>
        <sz val="14"/>
        <rFont val="Times New Roman"/>
        <family val="1"/>
      </rPr>
      <t>Seasoned teak wood planks</t>
    </r>
    <r>
      <rPr>
        <sz val="14"/>
        <rFont val="Times New Roman"/>
        <family val="1"/>
      </rPr>
      <t xml:space="preserve"> for shutter.</t>
    </r>
  </si>
  <si>
    <r>
      <rPr>
        <b/>
        <sz val="14"/>
        <rFont val="Times New Roman"/>
        <family val="1"/>
      </rPr>
      <t>Non sal wood scantling and planks</t>
    </r>
    <r>
      <rPr>
        <sz val="14"/>
        <rFont val="Times New Roman"/>
        <family val="1"/>
      </rPr>
      <t xml:space="preserve"> ( tentera,Kasi,Gamhari,Kuruma )</t>
    </r>
  </si>
  <si>
    <t>Non sal reapers.</t>
  </si>
  <si>
    <t>Fire wood.</t>
  </si>
  <si>
    <t>1st class Raniganj or mangalore pattern tiles.</t>
  </si>
  <si>
    <t>Ridges of  Raniganj or mangalore pattern tiles.</t>
  </si>
  <si>
    <t>Flat tiles ( 14 Cm x 14 Cm x 1 Cm )</t>
  </si>
  <si>
    <t>028</t>
  </si>
  <si>
    <t>Flat tiles ( 15 Cm x 15 Cm x 1.20 Cm )</t>
  </si>
  <si>
    <t>Flat tiles ( 30 Cm x 15 Cm x 2.50 Cm )</t>
  </si>
  <si>
    <t>Flat tiles ( 30 Cm x 30 Cm x 2.50 Cm )</t>
  </si>
  <si>
    <t>Pan tiles</t>
  </si>
  <si>
    <t>Nuria tiles  ( 20 cm to 25 cm )</t>
  </si>
  <si>
    <t>018</t>
  </si>
  <si>
    <t>Nuria tiles  ( 25 cm to 30 cm )</t>
  </si>
  <si>
    <t xml:space="preserve">Ridge tiles </t>
  </si>
  <si>
    <t>Marble tiles of minimum 16mm thick dunguri veriety.</t>
  </si>
  <si>
    <t>Upto 0.10 Sqm</t>
  </si>
  <si>
    <t>032</t>
  </si>
  <si>
    <t>above 0.10 Sqm to 0.40 Sqm</t>
  </si>
  <si>
    <t>above 0.40 Sqm to 1.00 Sqm</t>
  </si>
  <si>
    <t>Kota tiles of minimum 16mm thick.</t>
  </si>
  <si>
    <t xml:space="preserve">above 0.10 Sqm </t>
  </si>
  <si>
    <t>Khandolites ( upto 0.06 Sqm )</t>
  </si>
  <si>
    <t>Granite tiles</t>
  </si>
  <si>
    <t>017</t>
  </si>
  <si>
    <t>Upto 0.10 Sqm ( 10mm thick )</t>
  </si>
  <si>
    <t>above 0.10 Sqm &amp; upto 0.40 Sqm ( 10mm thick )</t>
  </si>
  <si>
    <t>above 0.40 Sqm ( 20mm thick )</t>
  </si>
  <si>
    <t>Kodapa tiles of 10mm thick</t>
  </si>
  <si>
    <t>above 0.10 Sqm &amp; upto 0.40 Sqm</t>
  </si>
  <si>
    <t>027</t>
  </si>
  <si>
    <t>above 0.40 Sqm</t>
  </si>
  <si>
    <t>Dholpuri stone tiles.</t>
  </si>
  <si>
    <t>019</t>
  </si>
  <si>
    <t>Ceramic wall tiles of premium grade having thickness 6.5mm to 6.7mm confirming to IS 13753 of following sizes.</t>
  </si>
  <si>
    <t>021</t>
  </si>
  <si>
    <t>30cm x20cm /20cm x 20cm special plain /printed series.</t>
  </si>
  <si>
    <t>Ceramic Floor tiles of premium grade having thickness 7mm to 8mm confirming to IS 13755 of following sizes.</t>
  </si>
  <si>
    <t>020</t>
  </si>
  <si>
    <t>30cm x30cm /40cm x 40cm special plain /printed series.</t>
  </si>
  <si>
    <t>Vitrified Floor tiles of premium grade having thickness 8mm to 10mm confirming to IS 13756 of following sizes.</t>
  </si>
  <si>
    <t>60cm x 60cm Plain (Ivory )</t>
  </si>
  <si>
    <t>026</t>
  </si>
  <si>
    <t>60cm x 60cm coloured /printed series</t>
  </si>
  <si>
    <t>Vitrified Industrial floor tiles of premium grade having thickness 8mm to 10mm confirming to IS 13756 of  sizes (30cm x30 cm ).</t>
  </si>
  <si>
    <t>024</t>
  </si>
  <si>
    <t>Chequred tiles.</t>
  </si>
  <si>
    <t>023</t>
  </si>
  <si>
    <t>Terrazo tiles.</t>
  </si>
  <si>
    <t>With grey cement</t>
  </si>
  <si>
    <t>With white cement</t>
  </si>
  <si>
    <t>058</t>
  </si>
  <si>
    <t>Wood primer</t>
  </si>
  <si>
    <t>057</t>
  </si>
  <si>
    <t xml:space="preserve">Wood shine paint </t>
  </si>
  <si>
    <t>063</t>
  </si>
  <si>
    <t>061</t>
  </si>
  <si>
    <t>064</t>
  </si>
  <si>
    <t>Cement paint</t>
  </si>
  <si>
    <t>060</t>
  </si>
  <si>
    <t>Red oxide powder</t>
  </si>
  <si>
    <t>French polish</t>
  </si>
  <si>
    <t>066</t>
  </si>
  <si>
    <t xml:space="preserve">Varnish </t>
  </si>
  <si>
    <t>067</t>
  </si>
  <si>
    <t>Plaster of parish</t>
  </si>
  <si>
    <t>068</t>
  </si>
  <si>
    <t>Coal tar</t>
  </si>
  <si>
    <t>069</t>
  </si>
  <si>
    <t>G.C.I sheet</t>
  </si>
  <si>
    <t>a) 0.30mm Thick</t>
  </si>
  <si>
    <t>070</t>
  </si>
  <si>
    <t>b) 0.40mm Thick</t>
  </si>
  <si>
    <t>A.C sheet</t>
  </si>
  <si>
    <t>071</t>
  </si>
  <si>
    <t>A.C Ridges</t>
  </si>
  <si>
    <t>1 Pair</t>
  </si>
  <si>
    <t>072</t>
  </si>
  <si>
    <t>6mm thick plain A.C sheet</t>
  </si>
  <si>
    <t>Tar paper</t>
  </si>
  <si>
    <t>Putty ( Wood )</t>
  </si>
  <si>
    <t>073</t>
  </si>
  <si>
    <t>Putty ( Iron )</t>
  </si>
  <si>
    <t>Wire nails</t>
  </si>
  <si>
    <t>M.S. angle</t>
  </si>
  <si>
    <t>Rate as Fixed by SAIL</t>
  </si>
  <si>
    <t>M.S. channel</t>
  </si>
  <si>
    <t>130</t>
  </si>
  <si>
    <t>Bolt, Nut &amp; Washers.</t>
  </si>
  <si>
    <t>Holding down bolts minimum 60cm long with 15cm x 15cm x 6cm size washer plate.</t>
  </si>
  <si>
    <t>113</t>
  </si>
  <si>
    <t>Coir string</t>
  </si>
  <si>
    <t>127.a.</t>
  </si>
  <si>
    <t>Empty cement bags (HDPE) by lot &amp; not shorted out.</t>
  </si>
  <si>
    <t>077</t>
  </si>
  <si>
    <t>Empty cement gunny bags  by lot &amp; not shorted out.</t>
  </si>
  <si>
    <t>101 Nos</t>
  </si>
  <si>
    <t>Empty bitumen drum</t>
  </si>
  <si>
    <t>Empty bitumen emulsion drum.</t>
  </si>
  <si>
    <t>Straw in bundle</t>
  </si>
  <si>
    <t>Marble chips</t>
  </si>
  <si>
    <t>Marble powder</t>
  </si>
  <si>
    <t>Avg rate of three manufacturers</t>
  </si>
  <si>
    <t>33 Grade</t>
  </si>
  <si>
    <t>Avg rate of three manufacturers of cement inside the State</t>
  </si>
  <si>
    <t>074</t>
  </si>
  <si>
    <t>43 Grade</t>
  </si>
  <si>
    <t>53 Grade</t>
  </si>
  <si>
    <t>078</t>
  </si>
  <si>
    <t>Mild steel</t>
  </si>
  <si>
    <t>006</t>
  </si>
  <si>
    <t>HYSD ( Fe 415 )</t>
  </si>
  <si>
    <t>007</t>
  </si>
  <si>
    <t>Z' type steel sheet piles</t>
  </si>
  <si>
    <t>Bentonite powder</t>
  </si>
  <si>
    <t>Oxidised mild steel fittings  ( I.S.I )</t>
  </si>
  <si>
    <t>Butt hinges</t>
  </si>
  <si>
    <t>50 x 37 x 1.50mm</t>
  </si>
  <si>
    <t>75 x 47 x 0.70mm</t>
  </si>
  <si>
    <t>100 x 58 x 1.90mm</t>
  </si>
  <si>
    <t>125 x 65 x 2.12mm</t>
  </si>
  <si>
    <t>M.S. Aldrop ( I.S.I )</t>
  </si>
  <si>
    <t>250 x 16 mm</t>
  </si>
  <si>
    <t>300 x 16 mm</t>
  </si>
  <si>
    <t>M.S Handle ( I.S.I )</t>
  </si>
  <si>
    <t>100 mm</t>
  </si>
  <si>
    <t>125 mm</t>
  </si>
  <si>
    <t>150 mm</t>
  </si>
  <si>
    <t>M.S Tower Bolt ( I.S.I )</t>
  </si>
  <si>
    <t>100 x 10 mm</t>
  </si>
  <si>
    <t>150 x 10 mm</t>
  </si>
  <si>
    <t>200 x 10 mm</t>
  </si>
  <si>
    <t>M.S Screw ( I.S.I )</t>
  </si>
  <si>
    <t>12 x 3 mm</t>
  </si>
  <si>
    <t>100 Pcs</t>
  </si>
  <si>
    <t>13 x 4 mm</t>
  </si>
  <si>
    <t>20x 4 mm</t>
  </si>
  <si>
    <t>20x 5 mm</t>
  </si>
  <si>
    <t>25x 4 mm</t>
  </si>
  <si>
    <t>25x 5 mm</t>
  </si>
  <si>
    <t>30x 4 mm</t>
  </si>
  <si>
    <t>h.</t>
  </si>
  <si>
    <t>30x 5 mm</t>
  </si>
  <si>
    <t>i.</t>
  </si>
  <si>
    <t>30 x 6 mm</t>
  </si>
  <si>
    <t>j.</t>
  </si>
  <si>
    <t>35 x 6 mm</t>
  </si>
  <si>
    <t>k.</t>
  </si>
  <si>
    <t>35 x 7 mm</t>
  </si>
  <si>
    <t>l.</t>
  </si>
  <si>
    <t>35 x 8 mm</t>
  </si>
  <si>
    <t>m.</t>
  </si>
  <si>
    <t>50 x 7 mm</t>
  </si>
  <si>
    <t>n.</t>
  </si>
  <si>
    <t>50 x 8 mm</t>
  </si>
  <si>
    <t>Steel window stay Bar ( I S I )</t>
  </si>
  <si>
    <t>200 mm</t>
  </si>
  <si>
    <t>250 mm</t>
  </si>
  <si>
    <t>300 mm</t>
  </si>
  <si>
    <t xml:space="preserve">Steel window handle including Nut,Bolt &amp; Washer(I S I) </t>
  </si>
  <si>
    <t>Welded Mesh</t>
  </si>
  <si>
    <t>25 mm x 25 mm x 11 gauge.</t>
  </si>
  <si>
    <t>25 mm x 25 mm x 13 gauge.</t>
  </si>
  <si>
    <t>50 mm x 25 mm x 11 gauge.</t>
  </si>
  <si>
    <t>50 mm x 25 mm x 13 gauge.</t>
  </si>
  <si>
    <t>G.I. 'L' &amp; 'J' hook</t>
  </si>
  <si>
    <t>W.I clamp</t>
  </si>
  <si>
    <t>ALLUMINIUM FITTINGS ( I.S.I )</t>
  </si>
  <si>
    <t>Butt hinges ( I.S.I )</t>
  </si>
  <si>
    <t>125mm x 75mm x 4mm</t>
  </si>
  <si>
    <t>125mm x 63mm x 4mm</t>
  </si>
  <si>
    <t>100mm x 75mm x 4mm</t>
  </si>
  <si>
    <t>100mm x 63mm x 4mm</t>
  </si>
  <si>
    <t>75mm x 63mm x 4mm</t>
  </si>
  <si>
    <t>50mm x 35mm x 3.2mm</t>
  </si>
  <si>
    <t>Alluminium Handle ( I.S.I )</t>
  </si>
  <si>
    <t>150mm with 175mm x 40mm flat</t>
  </si>
  <si>
    <t>125mm with 175mm x 40mm flat</t>
  </si>
  <si>
    <t>100mm with 150mm x 33mm flat</t>
  </si>
  <si>
    <t>75mm with 118mm x 33mm flat</t>
  </si>
  <si>
    <t>Alluminium tower bolt ( Barrel type) ( I.S.I )</t>
  </si>
  <si>
    <t>300 mm x 10 mm</t>
  </si>
  <si>
    <t>250 mm x 10 mm</t>
  </si>
  <si>
    <t>200 mm x 10 mm</t>
  </si>
  <si>
    <t>150 mm x 10 mm</t>
  </si>
  <si>
    <t>100 mm x 10 mm</t>
  </si>
  <si>
    <t>Sliding door bolt ( Aldrop ) ( I.S.I )</t>
  </si>
  <si>
    <t>300 mm x 16 mm</t>
  </si>
  <si>
    <t>250 mm x 16 mm</t>
  </si>
  <si>
    <t>Brass fittings ( I.S.I ) Butt hinges (light/ordinary) ( I.S.I )</t>
  </si>
  <si>
    <t>125mm x 70mm x 4mm</t>
  </si>
  <si>
    <t>100mm x 70mm x 4mm</t>
  </si>
  <si>
    <t>75mm x 40mm x 2.5mm</t>
  </si>
  <si>
    <t>50mm x 40mm x 2.5mm</t>
  </si>
  <si>
    <t>125mm x 85mm x 5.5mm (0.07Kg)</t>
  </si>
  <si>
    <t>100mm x 85mm x 5.5mm (0.056Kg)</t>
  </si>
  <si>
    <t>75mm x 65mm x 4mm (0.02Kg)</t>
  </si>
  <si>
    <t>Brass tower bolt ( Barrel type ) ( I.S.I )</t>
  </si>
  <si>
    <t>Brass Screws ( I.S.I )</t>
  </si>
  <si>
    <t>50 mm</t>
  </si>
  <si>
    <t>40mm</t>
  </si>
  <si>
    <t>30mm</t>
  </si>
  <si>
    <t>Chromium plated fittings (Brass)(ISI) Handle(ISI)</t>
  </si>
  <si>
    <t>125mm with 175mm x 32mm plate</t>
  </si>
  <si>
    <t>100mm with 150mm x 25mm plate</t>
  </si>
  <si>
    <t>75mm with 125mm x 25mm plate</t>
  </si>
  <si>
    <t>Wall cement Primer ( I.S.I )</t>
  </si>
  <si>
    <t>Oil bound</t>
  </si>
  <si>
    <t>1ltr</t>
  </si>
  <si>
    <t>Water bound</t>
  </si>
  <si>
    <t>Alluminium paint (ISI)</t>
  </si>
  <si>
    <t>059</t>
  </si>
  <si>
    <t>Weather coat</t>
  </si>
  <si>
    <t>065</t>
  </si>
  <si>
    <t>Adhesive (ISI)</t>
  </si>
  <si>
    <t>Bituminous expansion joint board (ISI)</t>
  </si>
  <si>
    <t>12mm thick</t>
  </si>
  <si>
    <t>16mm thick</t>
  </si>
  <si>
    <t>25mm thick</t>
  </si>
  <si>
    <t>Barbed wire (ISI)</t>
  </si>
  <si>
    <t>Glass plain (ISI)</t>
  </si>
  <si>
    <t>3 mm</t>
  </si>
  <si>
    <t>4 mm</t>
  </si>
  <si>
    <t>5 mm</t>
  </si>
  <si>
    <t>6 mm</t>
  </si>
  <si>
    <t>080</t>
  </si>
  <si>
    <t>081</t>
  </si>
  <si>
    <t>Glass Pin Headed (ISI)</t>
  </si>
  <si>
    <t>Black glass (ISI)</t>
  </si>
  <si>
    <t>082</t>
  </si>
  <si>
    <t>083</t>
  </si>
  <si>
    <t>Frosted glass (ISI)</t>
  </si>
  <si>
    <t>Wire glass 6mm (ISI)</t>
  </si>
  <si>
    <t>Sun control Film (ISI)</t>
  </si>
  <si>
    <t xml:space="preserve">Reflective </t>
  </si>
  <si>
    <t>Non-reflective</t>
  </si>
  <si>
    <t>Prelaminated particle board (Novapan tandard type ) (ISI)</t>
  </si>
  <si>
    <t>9 mm</t>
  </si>
  <si>
    <t>084</t>
  </si>
  <si>
    <t>18 mm</t>
  </si>
  <si>
    <t>BWR Ply Wood (ISI)</t>
  </si>
  <si>
    <t>19 mm</t>
  </si>
  <si>
    <t xml:space="preserve">25mm </t>
  </si>
  <si>
    <t>BWR Block board (ISI)</t>
  </si>
  <si>
    <t>32 mm</t>
  </si>
  <si>
    <t>Vinyle flooring (ISI)</t>
  </si>
  <si>
    <t>Homogeneous Range (ISI)</t>
  </si>
  <si>
    <t>PVC (MF) classic roll 1.00mm thick</t>
  </si>
  <si>
    <t>PVC (MF) classic tile 1.00mm thick</t>
  </si>
  <si>
    <t>PVC (MF) impress roll 1.50mm thick</t>
  </si>
  <si>
    <t>PVC (MF) impress tile 1.50mm thick</t>
  </si>
  <si>
    <t>PVC (MF) super roll 2.00mm thick</t>
  </si>
  <si>
    <t>PVC (MF) super tile 2.00mm thick</t>
  </si>
  <si>
    <t>Heterogeneous Range (ISI)</t>
  </si>
  <si>
    <t>PVC (MF) Hetero roll 2.00mm thick</t>
  </si>
  <si>
    <t>PVC (MF) Hetero tile 2.00mm thick</t>
  </si>
  <si>
    <t>Aluminium extruded section</t>
  </si>
  <si>
    <t>Roll framed sections made of prepainted steel (base steel as per IS-513 of 0.6mm thick "D" quality.galvanised as per IS-227with zinc of 120gm/Sqm.</t>
  </si>
  <si>
    <t>Outer frame Po-527</t>
  </si>
  <si>
    <t>Fixed beeding Po-179</t>
  </si>
  <si>
    <t>Sliding shutter Po-254</t>
  </si>
  <si>
    <t>Outer frame (side/Top)Po-255</t>
  </si>
  <si>
    <t>Outer frame (bottom)Po-256</t>
  </si>
  <si>
    <t>Sliding track (SS) Po-257</t>
  </si>
  <si>
    <t>Sashbar Po-101</t>
  </si>
  <si>
    <t>Sashbar at shutter Po-107</t>
  </si>
  <si>
    <t>Louvered horizontal (Top/Bottom) Po-193A</t>
  </si>
  <si>
    <t>33 x 57 Box section</t>
  </si>
  <si>
    <t>100 x 50mm box section</t>
  </si>
  <si>
    <t>Small Z Section</t>
  </si>
  <si>
    <t>o.</t>
  </si>
  <si>
    <t>Extended Z Section</t>
  </si>
  <si>
    <t>p.</t>
  </si>
  <si>
    <t>Cover Profile</t>
  </si>
  <si>
    <t>ACCESSORIES</t>
  </si>
  <si>
    <t>Sliding outer frame assembly /PC</t>
  </si>
  <si>
    <t>Sliding shutter /PC</t>
  </si>
  <si>
    <t xml:space="preserve">Sashbar </t>
  </si>
  <si>
    <t>Wall fixing with polymide anchor at every 600mm c/c of outer frame.</t>
  </si>
  <si>
    <t>Top hung shutter /PC</t>
  </si>
  <si>
    <t>Louvered blade</t>
  </si>
  <si>
    <t>Side hung door/PC</t>
  </si>
  <si>
    <t>Door luck /PC</t>
  </si>
  <si>
    <t>Swing door shutter/PC</t>
  </si>
  <si>
    <t>Floor spring (Godrej make)</t>
  </si>
  <si>
    <t>GASKET</t>
  </si>
  <si>
    <t>For shutter Po-153</t>
  </si>
  <si>
    <t>For beading Po-179</t>
  </si>
  <si>
    <t>For Sashbar Po-101</t>
  </si>
  <si>
    <t>Rate of 60 micron powder coating (Including labour Charges and material for powder coating ) for aluminium section.</t>
  </si>
  <si>
    <t>Kg of aluminium</t>
  </si>
  <si>
    <t>12.5mm thick gypsum board of size 6'-0"x4'-0"</t>
  </si>
  <si>
    <t>One Piece</t>
  </si>
  <si>
    <t>Waste Plastic du y c eaned and shredded corformrng to the size passing 2 36mm stev€ and retaried on 600 micron se ve and</t>
  </si>
  <si>
    <t>UNSKILLED</t>
  </si>
  <si>
    <t>Male Mulia</t>
  </si>
  <si>
    <t>Per Day</t>
  </si>
  <si>
    <t>094</t>
  </si>
  <si>
    <t>Survey Khalasi/Chainman</t>
  </si>
  <si>
    <t>Scavanger</t>
  </si>
  <si>
    <t>SEMISKILLED</t>
  </si>
  <si>
    <t>Mulia working in water or ardous nature of work</t>
  </si>
  <si>
    <t>093</t>
  </si>
  <si>
    <t>Night mulia or attendent working in flood and other emergent work</t>
  </si>
  <si>
    <t>Mulia for handling hot binder and tar boiler men</t>
  </si>
  <si>
    <t>Pile driving mate (Guide Man)</t>
  </si>
  <si>
    <t>Helper to carpenter/ Blacksmith/ Painter/ Blaster/ Plumber/Electrician/Fitter/Welder</t>
  </si>
  <si>
    <t>Hammer man</t>
  </si>
  <si>
    <t>Thatcher/Gharami</t>
  </si>
  <si>
    <t>Tile turner</t>
  </si>
  <si>
    <t>Boatman</t>
  </si>
  <si>
    <t>Bhisti</t>
  </si>
  <si>
    <t>Well sinker</t>
  </si>
  <si>
    <t>Rod binder &amp; Bender</t>
  </si>
  <si>
    <t>Cleaner/Sweeper</t>
  </si>
  <si>
    <t>Stone packer</t>
  </si>
  <si>
    <t>Pump helper</t>
  </si>
  <si>
    <t>Watchman (store)/Gurkha/Security Guard</t>
  </si>
  <si>
    <t>Bellow man</t>
  </si>
  <si>
    <t>SKILLED</t>
  </si>
  <si>
    <t>Blaster ( Second class)</t>
  </si>
  <si>
    <t>092</t>
  </si>
  <si>
    <t>Masson ( Second class)</t>
  </si>
  <si>
    <t>Blacksmith ( Second class)</t>
  </si>
  <si>
    <t>Carpenter( Second class)</t>
  </si>
  <si>
    <t>Fitter ( Second class)</t>
  </si>
  <si>
    <t>Painter/Polisher ( Second class)</t>
  </si>
  <si>
    <t>Welder ( Second class)</t>
  </si>
  <si>
    <t>Plumber ( Second class)</t>
  </si>
  <si>
    <t>Driller ( Second class)</t>
  </si>
  <si>
    <t>Stone dresser/Cutter ( Second Class )</t>
  </si>
  <si>
    <t>Cobbler with tools ( Second Class )</t>
  </si>
  <si>
    <t>Wireman/ Lift Operator/Diesel/Pump driver/ Telephone operator (Second Class)</t>
  </si>
  <si>
    <t>Boring Mistri/Pipe driver</t>
  </si>
  <si>
    <t>Electrician/ Rigger/ Line Man/ Telephone attendent.</t>
  </si>
  <si>
    <t>Gardener</t>
  </si>
  <si>
    <t>Amin</t>
  </si>
  <si>
    <t>Tracer</t>
  </si>
  <si>
    <t>Jr. progress recorder</t>
  </si>
  <si>
    <t>Store keeper Gr-II/ Store Asst./ Account clerk/ Clerk/ Typist/ Tool Keeper/ Time Keeper/ Munsi.</t>
  </si>
  <si>
    <t>HIGHLY SKILLED</t>
  </si>
  <si>
    <t>Blaster ( Licensed )</t>
  </si>
  <si>
    <t>091</t>
  </si>
  <si>
    <t>Masson ( Special)</t>
  </si>
  <si>
    <t>Blacksmith (  Special)</t>
  </si>
  <si>
    <t>Carpenter(  Special)</t>
  </si>
  <si>
    <t>Fitter (  Special)</t>
  </si>
  <si>
    <t>Painter/Polisher ( Special)</t>
  </si>
  <si>
    <t>Welder (  Special)</t>
  </si>
  <si>
    <t>Plumber (  Special)</t>
  </si>
  <si>
    <t>Driller (  Special)</t>
  </si>
  <si>
    <t>Stone dresser/Cutter (  Special )</t>
  </si>
  <si>
    <t>Diver for well sinking in bridge (per shift of 4 hours)</t>
  </si>
  <si>
    <t>Electrician/ Air conditioned plant operator/ wire man/Lift operator/Diesel pump operator(Special)</t>
  </si>
  <si>
    <t>Jeep driver/ Tractor driver/Truck driver/ Dozer driver/ Roller driver/ Concrete mixture operator/Crane operator.</t>
  </si>
  <si>
    <t>Auto electrician</t>
  </si>
  <si>
    <t>Guiniting Machine operator</t>
  </si>
  <si>
    <t>Senior accoutant/Stenographer</t>
  </si>
  <si>
    <t>Superviser/Manager</t>
  </si>
  <si>
    <t>Testing Laboratory Assistant/Instrument Mechanic/Telephone Mechanic.</t>
  </si>
  <si>
    <t>Rigger and Cobber with Tools driver (Heavy Vehicle)</t>
  </si>
  <si>
    <t>OTHERS</t>
  </si>
  <si>
    <t>Boring Mistry ( special )</t>
  </si>
  <si>
    <t>Well sinker ( Special 0</t>
  </si>
  <si>
    <t>Helper to well Sinker</t>
  </si>
  <si>
    <t>Computer programmer/Analyzer</t>
  </si>
  <si>
    <t>Per Month</t>
  </si>
  <si>
    <t>Computer operator</t>
  </si>
  <si>
    <t>Helpr to operator of heavy construction Mechineries</t>
  </si>
  <si>
    <t>Mechanic for Heavy construction</t>
  </si>
  <si>
    <t>Helper to Mechanic for heavy construction mechines</t>
  </si>
  <si>
    <t>Operator for heavy construction</t>
  </si>
  <si>
    <t>Junior Research Assistant ( Technical Assistant )</t>
  </si>
  <si>
    <t>RATE FOR CONVEYANCE OF MATERIAL 2014</t>
  </si>
  <si>
    <t>RATE FOR CONVEYANCE OF MATERIAL 2012</t>
  </si>
  <si>
    <t>RATE FOR CONVEYANCE OF MATERIAL 2008</t>
  </si>
  <si>
    <t>RATE FOR CONVEYANCE OF MATERIAL2007</t>
  </si>
  <si>
    <t>RATE FOR CONVEYANCE OF MATERIAL 2006</t>
  </si>
  <si>
    <t>Distance to be carried</t>
  </si>
  <si>
    <t>Rough stone, Metal, Khoa, Chips, Sand, Surki, Quarry rubbish, Moorum, Laterite stone, Washed Gravel, Flyash &amp; Earth 
( Per 1 Cum )</t>
  </si>
  <si>
    <t>Bricks 23 Cm=2500 Nos</t>
  </si>
  <si>
    <t>Iron, Grills, Cement, Bitumen, A.c. Sheet, GCI Sheet, and Paint etc.         
( Per 1000 Kg. )
 Wood 
( Per 1.25 Cum )</t>
  </si>
  <si>
    <t>Bulky materials like machineries, Generators, Concrete pipe and Furnitures etc.
 (Per Truck)</t>
  </si>
  <si>
    <t>Rough stone, Metal, Khoa, Chips, Sand, Surki, Quarry rubbish, Moorum, Laterite stone, Washed Gravel, Flyash &amp; Earth ( Per 1 Cum )</t>
  </si>
  <si>
    <t>Iron, Grills, Cement, Bitumen, A.c. Sheet, GCI Sheet, and Paint etc.         ( Per 1000 Kg. ) Wood        ( Per 1.25 Cum )</t>
  </si>
  <si>
    <t>Bulky materials like machineries, Generators, Concrete pipe and Furnitures etc. ( Per Truck )</t>
  </si>
  <si>
    <t>Iron, Grills, Cement, Bitumen, A.c. Sheet, GCI Sheet, and Paint etc.         ( Per 1000 Kg. )
 Wood ( Per 1.25 Cum )</t>
  </si>
  <si>
    <t>Bricks 25 Cm=2000 Nos</t>
  </si>
  <si>
    <t>Cement concrete &amp; Flyash Blocks.</t>
  </si>
  <si>
    <t>400mm x 200mm x 200mm =300 Nos</t>
  </si>
  <si>
    <t>400mm x 150mm x 200mm =400 Nos</t>
  </si>
  <si>
    <t>400mm x 100mm x 200mm =600 Nos</t>
  </si>
  <si>
    <t>300mm x 200mm x150mm =550 Nos</t>
  </si>
  <si>
    <t>300mm x 150mm x150mm =730 Nos</t>
  </si>
  <si>
    <t>300mm x 100mm x 150mm =1100 Nos</t>
  </si>
  <si>
    <t>300mm x 100mm x 150mm =300 Nos</t>
  </si>
  <si>
    <t>All kinds of Tiles = 180 Sqm.</t>
  </si>
  <si>
    <t>( Per Truck )</t>
  </si>
  <si>
    <t>Railway Station</t>
  </si>
  <si>
    <t>Other places</t>
  </si>
  <si>
    <t>Up to 5 KM</t>
  </si>
  <si>
    <t>Every extra KM beyond 5 KM and upto 50 KM</t>
  </si>
  <si>
    <t>Every extra KM beyond 50 KM</t>
  </si>
  <si>
    <t>Note :- Extra percentage to be allowed over the rates.</t>
  </si>
  <si>
    <t xml:space="preserve">For earthen roads or village tracks or cross country tracks 20% extra may be allowed on </t>
  </si>
  <si>
    <t>certificate of Executive engineer after his inspection and duly approved by S.E.</t>
  </si>
  <si>
    <t>For declared ghat road add extra length of ghat road portion.</t>
  </si>
  <si>
    <t>LOADING AND UNLOADING FROM TRUCKS.</t>
  </si>
  <si>
    <t>Details of Materials</t>
  </si>
  <si>
    <t>Rate in Rs.</t>
  </si>
  <si>
    <t xml:space="preserve">Rough stone, Metal, Khoa, Chips, Sand, Surki, Quarry rubbish, Moorum, Laterite stone, Washed Gravel, Flyash &amp; Earth </t>
  </si>
  <si>
    <t>1 Cum</t>
  </si>
  <si>
    <t>Iron, Grills, Cement, Bitumen, A.c. Sheet, GCI Sheet, Coke, Coal lime  etc.</t>
  </si>
  <si>
    <t>1 Qtl</t>
  </si>
  <si>
    <t>1 Truck load</t>
  </si>
  <si>
    <t xml:space="preserve">Bulky materials such as        (a)  Concrete pipe and Furnitures etc. </t>
  </si>
  <si>
    <t>(b) Heavy Machineries such as Compressor, Concrete Mixer, Hotmix Plant etc.</t>
  </si>
  <si>
    <t>Note:-</t>
  </si>
  <si>
    <t>For item No-1</t>
  </si>
  <si>
    <t>2/3 of rate is considered for loading,1/3 of rate is considered for unloading.</t>
  </si>
  <si>
    <t>For Item No-2,3&amp;4</t>
  </si>
  <si>
    <t>50% of rate is considered for loading,50% of rate is considered for unloading.</t>
  </si>
  <si>
    <t>CARRIAGE BY BULLOCK CART INCLUDING LOADING AND UNLOADING</t>
  </si>
  <si>
    <t>First KM</t>
  </si>
  <si>
    <t>1cart load</t>
  </si>
  <si>
    <t>Subsequent KM</t>
  </si>
  <si>
    <t>CARRIAGE BY BOAT INCLUDING LOADING AND UNLOADING</t>
  </si>
  <si>
    <t>A.In River</t>
  </si>
  <si>
    <t>i.Up to 5 KM</t>
  </si>
  <si>
    <t>ii.Every extra KM beyond 5 KM and upto 16 KM</t>
  </si>
  <si>
    <t>iii.Every extra KM beyond 16 KM</t>
  </si>
  <si>
    <t>B. In canal</t>
  </si>
  <si>
    <t>CAPACITY OF TRUCKS</t>
  </si>
  <si>
    <t>Description of item</t>
  </si>
  <si>
    <t>Capacity</t>
  </si>
  <si>
    <t>Rough stone and cut laterite stones</t>
  </si>
  <si>
    <t>Rough stone ( Boulders )</t>
  </si>
  <si>
    <t>4.00 Cum</t>
  </si>
  <si>
    <t>ii.</t>
  </si>
  <si>
    <t>Cut laterite stone</t>
  </si>
  <si>
    <t>5.00 Cum</t>
  </si>
  <si>
    <t>Gravel, Sand and Surki</t>
  </si>
  <si>
    <t>5.50 cum</t>
  </si>
  <si>
    <t>6.00 cum</t>
  </si>
  <si>
    <t>Cut stone ( Granite &amp; Hard stone )</t>
  </si>
  <si>
    <t>Lime</t>
  </si>
  <si>
    <t>6.               (a)</t>
  </si>
  <si>
    <t>Bricks 25 Cm</t>
  </si>
  <si>
    <t>2000 Nos</t>
  </si>
  <si>
    <t>6.(a)</t>
  </si>
  <si>
    <t>Bricks 23 Cm</t>
  </si>
  <si>
    <t>2500 Nos</t>
  </si>
  <si>
    <t>©</t>
  </si>
  <si>
    <t>Cement concrete &amp; Flyash blocks.</t>
  </si>
  <si>
    <t xml:space="preserve">400mm x 200mm x 200mm </t>
  </si>
  <si>
    <t>300 Nos</t>
  </si>
  <si>
    <t xml:space="preserve">400mm x 150mm x 200mm </t>
  </si>
  <si>
    <t>400 Nos</t>
  </si>
  <si>
    <t xml:space="preserve">400mm x 100mm x 200mm </t>
  </si>
  <si>
    <t>600 Nos</t>
  </si>
  <si>
    <t xml:space="preserve">300mm x 200mm x150mm </t>
  </si>
  <si>
    <t>550 Nos</t>
  </si>
  <si>
    <t xml:space="preserve">300mm x 150mm x150mm </t>
  </si>
  <si>
    <t>730 Nos</t>
  </si>
  <si>
    <t xml:space="preserve">300mm x 100mm x 150mm </t>
  </si>
  <si>
    <t>1100 Nos</t>
  </si>
  <si>
    <t>All kind of tiles</t>
  </si>
  <si>
    <t>180 Sqm</t>
  </si>
  <si>
    <t>Iron, tar, pitch, and other materials considered by weight</t>
  </si>
  <si>
    <t>7.00 tonnes</t>
  </si>
  <si>
    <t>8.00 tonnes</t>
  </si>
  <si>
    <t>Straw for thatching</t>
  </si>
  <si>
    <t>1000 Nos or 100 head loads or 50 Bhar loads</t>
  </si>
  <si>
    <t>Bamboos</t>
  </si>
  <si>
    <t>30 Bhar loads</t>
  </si>
  <si>
    <t>Hume pipe up to 600mm diameter</t>
  </si>
  <si>
    <t>5.00 Nos</t>
  </si>
  <si>
    <t>-</t>
  </si>
  <si>
    <t>Hume pipe 900mm and above diameter</t>
  </si>
  <si>
    <t>3.00 Nos</t>
  </si>
  <si>
    <t>HEAD LOADS</t>
  </si>
  <si>
    <t>Each head load of straw</t>
  </si>
  <si>
    <t>1 boundle of 1.5 mtr. In girth</t>
  </si>
  <si>
    <t>Each Bhar load of straw</t>
  </si>
  <si>
    <t>2 boundle of 1.5 mtr. In girth</t>
  </si>
  <si>
    <t>Each head load of Bamboo</t>
  </si>
  <si>
    <t>Belongi 10 Nos,muli 3 Nos</t>
  </si>
  <si>
    <t>Each Bhar load of Bamboo</t>
  </si>
  <si>
    <t>Belongi 20 Nos,muli 6 Nos</t>
  </si>
  <si>
    <t>CART LOAD OF MATERIAL</t>
  </si>
  <si>
    <t>SL No</t>
  </si>
  <si>
    <t>Quantity per cart load</t>
  </si>
  <si>
    <t>Plain road</t>
  </si>
  <si>
    <t>Hilly road</t>
  </si>
  <si>
    <t>Rough stone cut laterite stone</t>
  </si>
  <si>
    <t>0.28 Cum</t>
  </si>
  <si>
    <t>0.23 Cum</t>
  </si>
  <si>
    <t>Gravel, Sand, and Surki</t>
  </si>
  <si>
    <t>0.36 Cum</t>
  </si>
  <si>
    <t>Cut stone ( Granite and Hard stone )</t>
  </si>
  <si>
    <t>0.20 Cum</t>
  </si>
  <si>
    <t>0.15 Cum</t>
  </si>
  <si>
    <t>Lime and wood</t>
  </si>
  <si>
    <t>0.60 Cum</t>
  </si>
  <si>
    <t>0.42 Cum</t>
  </si>
  <si>
    <t>200 Nos</t>
  </si>
  <si>
    <t>150 Nos</t>
  </si>
  <si>
    <t>30 Nos</t>
  </si>
  <si>
    <t>22 Nos</t>
  </si>
  <si>
    <t>40 Nos</t>
  </si>
  <si>
    <t>60 Nos</t>
  </si>
  <si>
    <t>45 Nos</t>
  </si>
  <si>
    <t>55 Nos</t>
  </si>
  <si>
    <t>41 Nos</t>
  </si>
  <si>
    <t>73 Nos</t>
  </si>
  <si>
    <t>110 nos</t>
  </si>
  <si>
    <t>82 nos</t>
  </si>
  <si>
    <t>800 Nos</t>
  </si>
  <si>
    <t>Flat tiles</t>
  </si>
  <si>
    <t>15 cm x 15 cm x 1.25 cm</t>
  </si>
  <si>
    <t>1600 Nos</t>
  </si>
  <si>
    <t>30 cm x 15 cm x 2.5 cm</t>
  </si>
  <si>
    <t>500 Nos</t>
  </si>
  <si>
    <t>30 cm x 30 cm x 1.25 cm</t>
  </si>
  <si>
    <t>250 nos</t>
  </si>
  <si>
    <t>200 nos</t>
  </si>
  <si>
    <t>Nuria tiles- 20 cm x 25 cm</t>
  </si>
  <si>
    <t>Mangalore and Ranigang tiles</t>
  </si>
  <si>
    <t>250 Nos</t>
  </si>
  <si>
    <t>Iron, Cement, tar, Pitch and other materils by weight.</t>
  </si>
  <si>
    <t>454 Kg</t>
  </si>
  <si>
    <t>363 Kg</t>
  </si>
  <si>
    <t xml:space="preserve"> UNLOADING FROM RAILWAY WAGON</t>
  </si>
  <si>
    <t>Unloading from railway wagon and stacking on platform 1.0m in clear of rails within 15m lead</t>
  </si>
  <si>
    <t>(a) Cement, Bitumen , Coal, Paint etc.</t>
  </si>
  <si>
    <t>1 Qtl.</t>
  </si>
  <si>
    <t>(b) Steel, A.C. Sheet, GCI Sheet, etc.</t>
  </si>
  <si>
    <t>Removing from railway platform and loading into trucks.</t>
  </si>
  <si>
    <t>CONVEYANCE BY HEAD LOAD INCLUDING LOADING AND UNLOADING AND STACKING</t>
  </si>
  <si>
    <t>Upto 50 Mtr.</t>
  </si>
  <si>
    <t>Beyond 50 Mtr and upto 100 Mtr.</t>
  </si>
  <si>
    <t>Beyond 100 Mtr and upto 150 Mtr.</t>
  </si>
  <si>
    <t>Protect Sheet</t>
  </si>
  <si>
    <t>Select cells which is to be edited</t>
  </si>
  <si>
    <t>then Right click</t>
  </si>
  <si>
    <t>Select Protection</t>
  </si>
  <si>
    <t>Select locked cells</t>
  </si>
  <si>
    <t xml:space="preserve">Select Review </t>
  </si>
  <si>
    <t>Select protect sheet</t>
  </si>
  <si>
    <t xml:space="preserve">enter password </t>
  </si>
  <si>
    <t>press ok</t>
  </si>
  <si>
    <t>again enter password</t>
  </si>
  <si>
    <t>now the sheet is protected.</t>
  </si>
  <si>
    <t>Dia of Rod</t>
  </si>
  <si>
    <t>Month</t>
  </si>
  <si>
    <t>July</t>
  </si>
  <si>
    <t>Aug</t>
  </si>
  <si>
    <t>Sep</t>
  </si>
  <si>
    <t>Oct</t>
  </si>
  <si>
    <t>Nov</t>
  </si>
  <si>
    <t>Dec</t>
  </si>
  <si>
    <t>Jan</t>
  </si>
  <si>
    <t>Feb</t>
  </si>
  <si>
    <t>Mar</t>
  </si>
  <si>
    <t>April</t>
  </si>
  <si>
    <t>May</t>
  </si>
  <si>
    <t>June</t>
  </si>
  <si>
    <t>8mm</t>
  </si>
  <si>
    <t>16mm</t>
  </si>
  <si>
    <t>28mm</t>
  </si>
  <si>
    <t>I</t>
  </si>
  <si>
    <t>II</t>
  </si>
  <si>
    <t>Room</t>
  </si>
  <si>
    <t>GL</t>
  </si>
  <si>
    <t>PL</t>
  </si>
  <si>
    <t>Inside Verandah</t>
  </si>
  <si>
    <t>Long wall</t>
  </si>
  <si>
    <t>Short wall</t>
  </si>
  <si>
    <t>Total (A+B+C+D)</t>
  </si>
  <si>
    <t>As per Excavated Earth</t>
  </si>
  <si>
    <t>Front Verandah</t>
  </si>
  <si>
    <t>Inside room</t>
  </si>
  <si>
    <t>Outside Building</t>
  </si>
  <si>
    <t>Roof  Slab</t>
  </si>
  <si>
    <t>Ver</t>
  </si>
  <si>
    <t>Door Seal</t>
  </si>
  <si>
    <t>Deduct Openings</t>
  </si>
  <si>
    <t>Grading Plaster on Roof Slab</t>
  </si>
  <si>
    <t>As platered Area</t>
  </si>
  <si>
    <t>Inside Building</t>
  </si>
  <si>
    <t>Ceiling Area</t>
  </si>
  <si>
    <t>Out side area</t>
  </si>
  <si>
    <t>Kg/Sqm</t>
  </si>
  <si>
    <t>DRAWING NOT TO SCALE</t>
  </si>
  <si>
    <t>ALL DIMENSIONS ARE IN MTR.</t>
  </si>
  <si>
    <t>Metalling</t>
  </si>
  <si>
    <t>HALL</t>
  </si>
  <si>
    <t>Description of Items</t>
  </si>
  <si>
    <t>Length in Mtr</t>
  </si>
  <si>
    <t>Width in Mtr</t>
  </si>
  <si>
    <t>Depth in Mtr</t>
  </si>
  <si>
    <t>Ground Floor.</t>
  </si>
  <si>
    <t>W2</t>
  </si>
  <si>
    <t>Vendor/VLL</t>
  </si>
  <si>
    <t>Dismantling &amp; removing RCC Columns / Beams / Slab including stacking the useful materials for reuse  &amp;  removing the debris within 50m lead  with  cost  of  all labour etc. complete.</t>
  </si>
  <si>
    <t>Dismantling &amp; removing Brick / Stone Masonry in C.M./L.M. including stacking the useful materials for reuse  &amp;  removing the debris within 50m lead  with  cost  of  all labour etc. complete.</t>
  </si>
  <si>
    <t>Dismantling &amp; removing 2.5cm thick A.S. Flooring including stacking the useful materials for reuse  &amp;  removing the debris within 50m lead  with  cost  of  all labour etc. complete.</t>
  </si>
  <si>
    <t>Removing Old lime or cement plaster including raking out joints 12mm deep and removing the debris within 50m lead  with  cost  of  all labour etc. complete.</t>
  </si>
  <si>
    <t>Dismantling G.C.I. Sheet or A.C. Sheet roofing after carefully removing nuts &amp; bolts including stacking the useful materials for reuse  &amp;  removing the debris within 50m lead  with  cost  of  all labour etc. complete.</t>
  </si>
  <si>
    <t>Dismantling wrought and framed timber in roof frame work or floors after carefully removing nails, nuts &amp; bolts including stacking the useful materials for reuse  &amp;  removing the debris within 50m lead  with  cost  of  all labour etc. complete.</t>
  </si>
  <si>
    <t>Dismantling &amp; removing doors, windows &amp; ventilators including removal of frame, hinges, fastening  and stacking the useful materials for reuse  &amp;  removing the debris within 50m lead  with  cost  of  all labour etc. complete.</t>
  </si>
  <si>
    <t>Dismantling &amp; Removing 2.5cm thick grading concrete from roof slab including removing the debris within 50m lead  with  cost  of  all labour etc. complete.</t>
  </si>
  <si>
    <t>Removing grading plaster from roof slab including removing the debris within 50m lead  with  cost  of  all labour etc. complete.</t>
  </si>
  <si>
    <t>Dismantling &amp; Removing cement concrete including stacking the useful materials for reuse and removing the debris within 50m lead  with  cost  of  all labour etc. complete.</t>
  </si>
  <si>
    <t>Dismantling &amp; Removing RCC Chajja, Shelve, Fins including stacking the useful materials for reuse and removing the debris within 50m lead  with  cost  of  all labour etc. complete.</t>
  </si>
  <si>
    <t>Dismantling &amp; Removing marble chips flooring including stacking the useful materials for reuse and removing the debris within 50m lead  with  cost  of  all labour etc. complete.</t>
  </si>
  <si>
    <t>Dismantling &amp; Removing marble chips dadoos &amp; skirting including stacking the useful materials for reuse and removing the debris within 50m lead  with  cost  of  all labour etc. complete.</t>
  </si>
  <si>
    <t>Dismantling &amp; Removing old tile flooring including stacking the useful materials for reuse and removing the debris within 50m lead  with  cost  of  all labour etc. complete.</t>
  </si>
  <si>
    <t>Dismantling &amp; Removing old tile cladding from walls including stacking the useful materials for reuse and removing the debris within 50m lead  with  cost  of  all labour etc. complete.</t>
  </si>
  <si>
    <t>Dismantling &amp; Removing pan or single nuria or Mangalore tile roofing (Tiles only)  including stacking the useful materials for reuse and removing the debris within 50m lead  with  cost  of  all labour etc. complete.</t>
  </si>
  <si>
    <t>Dismantling &amp; Removing flat and pan tile roofing (Tiles only)  including stacking the useful materials for reuse and removing the debris within 50m lead  with  cost  of  all labour etc. complete.</t>
  </si>
  <si>
    <t>Dismantling reepers under tiled roof ( Pan, flat or nuria tiles after careful removal of nails including stacking the useful materials for reuse and removing the debris within 50m lead  with  cost  of  all labour etc. complete.</t>
  </si>
  <si>
    <t>Dismantling and removing old tarfelt from roof slab, cleaning the surface,lowering and removing the debris within 50m lead etc complete as per specification and direction of Engineer-in-Charge.</t>
  </si>
  <si>
    <t>Scarping Plaster in Lime or Cement Mortar from Brick/ Stone Masonry including T&amp;P, sorting the dismantled material, disposal of unserviceable material and stacking the serviceable material with all lifts and lead of 1000 metres etc complete as per specification and direction of Engineer-in-Charge.</t>
  </si>
  <si>
    <t>Scraping of Bricks dismantled from Brick Work in lime or cement mortar including T&amp;P, sorting the dismantled material, disposal of unserviceable material and stacking the serviceable material with all lifts and lead of 1000 metres etc complete as per specification and direction of Engineer-in-Charge.</t>
  </si>
  <si>
    <t>Dismantling Wood Work wrought framed and fixed in frames of trusses upto a height of 5 m above plinth level including T&amp;P and scaffolding wherever necessary, sorting the dismantled material, disposal of unserviceable material and stacking the serviceable material with all lifts and lead of 1000 metres etc complete as per specification and direction of Engineer-in-Charge.</t>
  </si>
  <si>
    <t>E/W in excavation of foundation trenches in ordinary soil including dressing of sides and levelling the bed complete as directed by the Engineer in charge.</t>
  </si>
  <si>
    <t>E/W in excavation of foundation trenches in slushy  soil including dressing of sides and levelling the bed complete as directed by the Engineer in charge.</t>
  </si>
  <si>
    <t>E/W in excavation of foundation trenches in stoney earth including dressing of sides and levelling the bed complete as directed by the Engineer in charge.</t>
  </si>
  <si>
    <t>E/W in excavation of foundation trenches in Laterite rock or any hard rock other than granite removed by  chiselling including dressing of sides and levelling the bed not exceeding 1.5m in depth and depositing the soil within initial lead of 50m  complete as directed by the Engineer in charge.</t>
  </si>
  <si>
    <t>Providing and laying P.C.C. (1:4:8) in foundation and floors using 4 cm. size black hard Hand broken granite stone metal and screened and washed sharp sand for mortar  etc complete as per the direction of the Engineer -in –charge.</t>
  </si>
  <si>
    <t>Providing and laying P.C.C. (1:2:4) in foundation and floors using 12 mm. size black hard crusher broken granite stone chips and screened and washed sharp sand for mortar  etc complete as per the direction of the Engineer -in –charge.</t>
  </si>
  <si>
    <t>W.B.K.B brick masonry in cement mortar (1:4) using kiln Burnt bricks of 10” size etc. complete in all respect as directed by the Engineer-in-charge.</t>
  </si>
  <si>
    <t>W.B.K.B brick masonry in cement mortar (1:6) using kiln Burnt bricks of 10”  etc. complete in all respect as directed by the Engineer-in-charge.</t>
  </si>
  <si>
    <t>W.B.C.B brick masonry in cement mortar (1:6) using kiln Burnt bricks of 10”  etc. complete in all respect as directed by the Engineer-in-charge.</t>
  </si>
  <si>
    <t>R.R.H.G. Stone Masonry in cement mortar (1:4) in foundation &amp; plinth including cost,conveyance &amp; royality of all materials and labour charges etc. complete. in all respect as directed by the Engineer-in-charge.</t>
  </si>
  <si>
    <t>R.R.H.G. Stone Masonry in cement mortar (1:6) in foundation &amp; plinth including cost,conveyance &amp; royality of all materials and labour charges etc. complete. in all respect as directed by the Engineer-in-charge.</t>
  </si>
  <si>
    <t>Providing 2.5cm thick Damp Proof Course with cement concrete (1:2:4) using 12mm size black hard granite crusher broken chips and screened &amp; washed sharp sand for mortar  etc. complete in all respect as directed by the Engineer in charge.</t>
  </si>
  <si>
    <t>Back Filling of surplus excavated earth at work site by initial lead of 50.00mtr and initial lift of 1.50mtr including cost of all labour T&amp;P required for the work etc. complete as directed by Engineer-In-Charge</t>
  </si>
  <si>
    <t>R.C.C. M20  using  20 mm to 10mm  size black hard crusher broken granite stone chips of approved quality and from approved quarry  etc. complete in all respect .</t>
  </si>
  <si>
    <t>R.C.C. M15  using   20 mm to 10mm  size black hard crusher broken granite stone chips of approved quality and from approved quarry  etc. complete in all respect .</t>
  </si>
  <si>
    <t>R.C.C. M25  using   20 mm to 10mm  size black hard crusher broken granite stone chips of approved quality and from approved quarry  etc. complete in all respect .</t>
  </si>
  <si>
    <t>Single Under reamed Bore Compacted Piles of different size in foundation with RCC M-20 including cost of boaring, all cost of RCC work excluding cost of steel with labour for bending binding etc.complete as per the instruction of Engineer-in-Charge .</t>
  </si>
  <si>
    <t>Double Under reamed Bore Compacted Piles of different size in foundation with RCC M-20 including cost of boaring, all cost of RCC work excluding cost of steel with labour for bending binding etc.complete as per the instruction of Engineer-in-Charge .</t>
  </si>
  <si>
    <t>Providing 12 mm thick CP with CM (1:4)punning &amp; coaltaring onecoat on top of wall surface with screened and washed sharp sand for mortar and finished smooth to the rough surface of walls  including watering and curing  etc. complete in all respect as directed by the Engineer in charge.</t>
  </si>
  <si>
    <t>Providing 16 mm thick C.P. with C.M. (1:6) with Punning with screened and washed sharp sand for mortar and finished smooth to the rough surface of walls in all heights after racking out joints  etc. complete in all respect as directed by the Engineer in charge.</t>
  </si>
  <si>
    <t>Providing 6 mm thick C.P. with C.M. (1:4) with screened and washed sharp sand for mortar and finished smooth to R.C.C. work after closed deep chipping &amp; slurry treatment including watering and curing,  etc. complete in all respect as directed by the Engineer in charge.</t>
  </si>
  <si>
    <t>Providing 20 mm thick C.P. with C.M. (1:6) with screened and washed sharp sand for mortar and finished smooth to the rough surface of walls in all heights after racking out joints  etc. complete in all respect as directed by the Engineer in charge.</t>
  </si>
  <si>
    <t>Closed deep chipping and cleaning to R.C.C surface for receiving cement plaster per 1</t>
  </si>
  <si>
    <t>Providing Cement Punning to the plastered surface of wall etc complete.</t>
  </si>
  <si>
    <t xml:space="preserve">10cm  thick  dry  brick  khoa  using 4cm size including well watered  &amp; rammed to receive A.S. Flooring with cost, conveyance of  brick khoa and cost of labour etc. complete as per the direction of the Engineer-in-charge. </t>
  </si>
  <si>
    <t xml:space="preserve">10cm  thick  dry  epidorite metal or any other hard metal using 4cm size including well watered  &amp; rammed to receive A.S. Flooring with cost, conveyance of epidorite metal/any hard metal and cost of labour etc. complete as per the direction of the Engineer-in-charge. </t>
  </si>
  <si>
    <t>Providing 2.5cm thick Grading Concrete over roof slab with cement concrete (1:2:2) using 6mm size black hard granite crusher broken chips and screened &amp; washed sharp sand for mortar and finished smooth to the rough surface of slab including watering and curing  etc. complete in all respect as directed by the Engineer in charge.</t>
  </si>
  <si>
    <t>Providing 4cm thick Grading Concrete over roof slab with cement concrete (1:2:4) using 12mm size black hard granite crusher broken chips and screened &amp; washed sharp sand for mortar and finished smooth to the rough surface of slab including watering and curing with cost, conveyance, royalties and taxes of all materials with cost of all labour, and T&amp;P required for the work etc. complete in all respect as directed by the Engineer in charge.</t>
  </si>
  <si>
    <t xml:space="preserve">Supplying, fitting, fixing of tile in floors marbonite or equivalent make in all floors over 25mm thick bed of cement mortar (1:1) jointed with neat cement slurry mixed with pigment to match the shades of the tiles  etc. complete as per the direction of the Engineer-in-charge. </t>
  </si>
  <si>
    <t xml:space="preserve">Supplying, fitting, fixing of tile in dadoo marbonite or equivalent make in all floors over 12mm thick cement plaster (1:3) jointed with neat cement slurry mixed with pigment to match the shades of the tiles  etc. complete as per the direction of the Engineer-in-charge. </t>
  </si>
  <si>
    <t xml:space="preserve">Supplying, fitting, fixing of vertified tile in floors of size 600mm x 600mm of approved make Confirming to IS-13755 with application of polymer modified cement based water resistant adhesive bed of required thickness of 3mm and filling joints with epoxy grout of approved quality including cost, conveyance and taxes of all materials, cost of all labour, T&amp;P etc. complete as per the direction of the Engineer-in-charge. </t>
  </si>
  <si>
    <t xml:space="preserve">Supplying, fitting, fixing of vertified tile in floors of size 600mm x 600mm of approved make conforming to IS-13755 laid on 20mm thick  bed of cement mortar (1:4) and filling joints with white cementt of approved quality including cost, conveyance and taxes of all materials, cost of all labour, T&amp;P etc. complete as per the direction of the Engineer-in-charge. </t>
  </si>
  <si>
    <t>Dressed seasoned sal wood work framed &amp; fixed in frames of doors &amp; windows including cost,conveyance of all materials and cost of labour for fitting, fixing etc.complete as per the instruction of Engineer-in-Charge .</t>
  </si>
  <si>
    <t>32mm piasal wood panelled shutters (of 32mm style  with  18mm panel) including cost conveyance of all materials and labour for fitting, fixing excluding  cost  of  iron fittings  etc.complete as per the instruction of Engineer-in-Charge .</t>
  </si>
  <si>
    <t>Supplying of M.S. Grills etc including cost,conveyance of all materials etc.complete as per the instruction of Engineer-in-Charge .</t>
  </si>
  <si>
    <t>Supplying of M.S.Doors, M.S. Gate etc including cost, conveyance of all materials etc.complete as per the instruction of Engineer-in-Charge .</t>
  </si>
  <si>
    <t>Supplying of M.S.Windows/ Ventilator of fully glazed etc including cost, conveyance of all materials etc.complete as per the instruction of Engineer-in-Charge (Weight taken for measurement without glass)</t>
  </si>
  <si>
    <t>Providing fitting, fixing of partition walling OEL anodized Al. section of 9210 and 9207 as single groove and double groove respectively as horizontal and vertical member and OEL section 4660 as tapered clip for fixing of 12mm thick pre-laminated board and jointing angle no 1855 etc. including all cost of labour, T&amp;P, hire charges of drilling machine, labour charges etc. complete as per direction of Engineer-in-charge.</t>
  </si>
  <si>
    <t>Providing fitting, fixing of Aluminium Door with OEL anodized Al. door section of 9202 as vertical member, 9200 as top  and   bottom  member.  9232 as middle member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t>
  </si>
  <si>
    <t>Providing fitting, fixing of Aluminium Door with OEL anodized Al. door section of 9202 as vertical member, 9201 as top  and 9200 as bottom  and middle member and 6mm black glass in top portion with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t>
  </si>
  <si>
    <t>Supplying, fitting, fixing of Window (Sliding type) made of aluminium section 151-154, 151-155, as window frame section No-151-155, 151-153 and 151-167 as shutter frame with 5mm thick black glass as panel fitted with rubber beading including locking arrangement including cost of materials all taxes labour, T&amp;P etc.complete as per direction of Engineer-in-charge.</t>
  </si>
  <si>
    <t>Supplying, fitting, fixing of Window (Sliding type) made of aluminium section 9778 as window frame section No-4095,4096 and 9777,3994 as shutter frame with 5mm thick black glass as panel fitted with rubber beading including locking arrangement including cost of materials all taxes labour, T&amp;P etc.complete as per direction of Engineer-in-charge.</t>
  </si>
  <si>
    <t>Supplying, fitting, fixing of  fully glazed openable window using 15 micron anidized OEL aluminum section 2062 as out section, 9139 as mullion section, 4124 as a shutter section framed with tapered clip of section 4125, aluminum angle, rubber beading, friction stay and handle etc with 5mm black glass including cost of materials all taxes labour, T&amp;P etc.complete as per direction of Engineer-in-charge.</t>
  </si>
  <si>
    <t xml:space="preserve">Providing and fixing of Sliding windows of approved make to be fabricated from roll formed sections made of pre-painted steel (base steel as per IS-513 of 0.6 mm thick “D” quality, galvanized as per IS-277with zinc of 120 Gm/Sq.mtr) with total coated thickness of 0.55 mm.  Sections for external frame bottom and top should be of 79 x 45 mm. external frame sides should be of 69 x 24 mm, guide for top and bottom should be of 69 x 26mm (Stainless Steel).Section for shutter should be of 26 x 30 mm, Sash bar should be of 23 x 57mm.Accessories / gaskets are to be used as per the manufacturer’s supply and specification like gasket will be made of EPDM. All corner brackets for internal and external are to be made of glass filled nylon. The sections are to be cut to length jointed  and assembled by means of corner bracket and frames are fixed to the concrete/masonry walls by means of self expanding screws and glass to be used of 5 mm reflective with cost, conveyance and taxes of all materials, cost of all labour, T&amp;P etc. complete as per the direction of the Engineer-in-charge. </t>
  </si>
  <si>
    <t xml:space="preserve">Providing and fixing of Fixed Ventilators of approved make to be fabricated from roll formed sections made of pre-painted steel (base steel as per IS-513 of 0.6 mm thick “D” quality, galvanized as per IS-277 with zinc of 120 Gm/Sq.mtr) with paint specification being with primer of 5-7 microns and finished paint with polyster paint of 12-16 microns along with the alkyd backer at the back of 5-7 microns and the sizes of outer frame being of 46x52 mm and with all vertical and horizontal mullions are of 46x70 mm and fixed beadings are of 18x25 mm.Accessories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 mm reflective with cost, conveyance and taxes of all materials, cost of all labour, T&amp;P etc. complete as per the direction of the Engineer-in-charge. </t>
  </si>
  <si>
    <t xml:space="preserve">Providing and fixing of Partly fixed, partly top hung and partly louvered windows of approved make to be fabricated from roll formed sections made of pre-painted steel (base steel as per IS- 513 of 0.6 mm thick “D” quality, galvanized as per IS-277 with zinc of 120 Gm/Sq.mtr) with paint pecification being with primer of 5-7 microns and finished paint with polyster paint of 12-16 microns alongwith the alkyd backer at the back of 5-7 microns and the sizes of outer frame being of 46x52 mm and with all vertical and horizontal mullions are of 46x70 mm and fixed beadings are of 18x25 mm. Section for internal top and bottom frames in the louvered areas should be 18 x 40 mm.Top hung shutter should be of 46 x 46 mm. 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5mm reflective with cost, conveyance and taxes of all materials, cost of all labour, T&amp;P etc. complete as per the direction of the Engineer-in-charge. </t>
  </si>
  <si>
    <t>Providing and fixing of Swing Door of approved make  to be fabricated from roll formed sections made of pre-painted steel (base steel as per IS-513 of 0.6 mm thick “D” quality, galvanized as per IS-277with zinc of 120 Gm/Sq.mtr) with paint specification being with primer of 5-7 microns and finished paint with polyster paint (Black /Pearl white/ Chocolate Brown) of 12-16 microns along with the alkyd backer at the back of 5-7 microns and sizes of outer frame being of 33 x 57 mm and shutter being of 46x52mm and 46x46mm and lock rail should be of 23x130mm Accessories / gaskets are to be used as per the manufacturer’s supply and specification like handle, lock and floor spring of approved quality. Gasket will be made of EPDM. All corner brackets are to be made of CRCA wth zinc phosphating.The sectio are to be  cut to length, mitre jointed with corner bracket and frames are fixed to the concrete/masonry walls by means of self expanding screws and glass to be used of 6 mm clear taxes etc. complete as per the direction of the Engineer-in-charge.</t>
  </si>
  <si>
    <t xml:space="preserve">Factory made FRP Door / Window frame (alternately called GRP) of size 75mmx100mm fabricated using E-glass Chopped Strand Mat (CSM) U.V stabilised Inopthalic Gel coat and impregnated with Inopthalic resin. The thickness of the GRP skins shall not be less than 2.00mm. The doorframe consists of four segments, which are provided with plug-in-socket arrangement in-situ in the mould. The segments are plugged in and are joined together by means of screw. The GRP frame shall be provided with wooden reinforcement on six locations for high screw holding capacity for for fixing metallic hold fast and shall be consolidated by filling with medium density foam/plaster of paris with fibre reinforcement. The material and process for manufacturing the door frames shall conform to RV-TIFAC composites Design Centre's standards and specifications. The finish of door frame will be plain and different colour using high quality pigments complete in all respect as per specification and direction of the Engineer in charge. </t>
  </si>
  <si>
    <t xml:space="preserve">Factory made single leaf rigid FRP sandwich composite door / window shutter (alternately called GRP) of 32mm thick laminated with two GRP skins with wood grain finish fabricated using UV-stabilised Isopthalic Gelcoat and one layer of 450 gsm E-glass Chopped Strand Mat (CSM) mpregnated with orthopthalic polyester resin. The thickness of the skins shall not be less than 1.50mm Expanded Polystyrone (EPS) structural foam panel of 29mm thickness and a density of 20kg/cu.mtr shall be used as core material. Wooden reinforcements made of seasoned sal wood block of cross section not less than 28mm x 32mm and also necessary sal wood reinforcements for fitting the metal fittings such as tower bolts, aldrops, handles etc shall be provided. A structural adhesive compatible with (EPS) foam shall be used for bending the core material. The material and process for manufacturing the door shutters shall conform to RV-TIFAC composites Design Centre's standards and specifications and the door shutters tested in conformation to IS: 4020-1998. The finish of door shutter will be plain colour as per specification and direction of the Engineer in charge. </t>
  </si>
  <si>
    <t xml:space="preserve">Supplying, fitting and fixing hand railing of Stainless steel of 304 grade using 50mm dia of 2mm thick circular pipe with Balustrade of size 32mm x 32mm x 2mm @ 0.90mtr. C/C and stainless square pipe bracing of size 32mm x 32mm x 2mm in 3 rows in stair case as per approved design and specification, buffing, polishing etc with cost, conveyance, taxes of all materials, cost of all labour, T&amp;P etc. required for the complete in all respect as per direction of the Engineer-in-charge. </t>
  </si>
  <si>
    <t>Supplying, Fitting &amp; Fixing  GCI Sheet of 0.4mm thick in Roofing including cost, conveyance of all materials  and labour for fitting fixing etc.complete as per the instruction of Engineer-in-Charge .</t>
  </si>
  <si>
    <t>Supplying, Fitting &amp; Fixing  AC Sheet in Roofing including cost, conveyance of all materials  and labour for fitting fixing etc.complete as per the instruction of Engineer-in-Charge .</t>
  </si>
  <si>
    <t>Supplying, Fitting &amp; Fixing  Asbestos sheet ridges or valleys (double) per RM  and labour for fitting fixing etc.complete as per the instruction of Engineer-in-Charge .</t>
  </si>
  <si>
    <t>Providing, Fitting &amp; Fixing of False Ceiling  with 12 mm thick pre-laminated Novapan board,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</si>
  <si>
    <t>Providing, Fitting &amp; Fixing of False Ceiling  with 12.5 mm thick Gypsum board,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</si>
  <si>
    <t>Providing, Fitting &amp; Fixing of False Ceiling  with 12 mm thick pre-laminated Novapan board,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</si>
  <si>
    <t>Providing, Fitting &amp; Fixing of False Ceiling  with 12.5 mm thick Gypsum board,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</si>
  <si>
    <t xml:space="preserve">Finishing plastered surfaces one coat with water proofing cement paint  of approved shade on old work in all floors, all heights with staging wherever necessary  etc. required for the work complete in all respect as per the direction of the Engineer-in-charge. </t>
  </si>
  <si>
    <t xml:space="preserve">Finishing plastered surfaces two coats with water proofing cement paint of approved shade on new work  in all floors, all heights with staging wherever necessary  etc. required for the work complete in all respect as per the direction of the Engineer-in-charge. </t>
  </si>
  <si>
    <t>Painting two coats with approved weather seal paints of approved colour, shade on wall surface over a coat of wall primer including sand papering, polishing the surface,  etc, complete as per specification &amp; direction of Engineer-in-charge.</t>
  </si>
  <si>
    <t xml:space="preserve">Finishing plastered surfaces with Plaster of Paris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t>
  </si>
  <si>
    <t xml:space="preserve">Finishing plastered surfaces with cement putty (water based)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t>
  </si>
  <si>
    <t xml:space="preserve">Painting two coats with plastic emulsion paint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t>
  </si>
  <si>
    <t xml:space="preserve">Painting two coats with plastic emulsion paint over a coat of water bond cement primer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t>
  </si>
  <si>
    <t xml:space="preserve">Painting one coats with distemper  on old work to make an even finished surface in all floors and heights to wall surface of approved make and shade including sand papering, applying putty wherever necessary &amp; cost of scaffolding, staging charges  etc. complete as per the direction of the Engineer-in-charge. </t>
  </si>
  <si>
    <t xml:space="preserve">Painting two coats with distemper over one coat of primer to make an even finished surface in all floors and heights to wall surface of approved make and shade including sand papering, applying putty wherever necessary  etc. complete as per the direction of the Engineer-in-charge. </t>
  </si>
  <si>
    <t xml:space="preserve">White washing two coat using shell lime with cost,conveyance of shell lime and cost of  all  labour etc. complete in all respect as per direction of the Engineer-in-charge. </t>
  </si>
  <si>
    <t xml:space="preserve">White washing three coat using shell lime with cost,conveyance of shell lime and cost of  all  labour etc. complete in all respect as per direction of the Engineer-in-charge. </t>
  </si>
  <si>
    <t>Colour washing three coat using shell lime with cost, conveyance of shell lime,colouring materials and cost of labour etc complete in all respect as per direction of the Engineer-in-charge.</t>
  </si>
  <si>
    <t>Painting two coats with approved enamel paints of approved colour, shade  over old Iron work including sand papering, polishing the surface, etc, complete as per specification &amp; direction of Engineer-in-charge.</t>
  </si>
  <si>
    <t>Painting two coats with approved enamel paints of approved colour, shade over a coat of  primer over new Iron work including sand papering, polishing the surface, etc, complete as per specification &amp; direction of Engineer-in-charge.</t>
  </si>
  <si>
    <t>Coaltaring two coat on wood surface used in purlin and rafter for AC sheet roofing etc complete.</t>
  </si>
  <si>
    <t>Priming One coat on iron work with red oxide primer etc complete.</t>
  </si>
  <si>
    <t>Painting two coats with approved enamel paints of approved colour, shade over a coat of  primer over new Wood work including sand papering, polishing the surface,  etc, complete as per specification &amp; direction of Engineer-in-charge.</t>
  </si>
  <si>
    <t>Fine dressing of earth work in Ordinary or Hard Soil in road formation according to the direction of the department including cutting or filling earth upto 0.15m depth of surface.</t>
  </si>
  <si>
    <t>Cleaning grass and removal of rubbish upto a distance of 50metres outside the peryphery of the area etc complete as per specification.</t>
  </si>
  <si>
    <t>Cleaning and grubbing road land including uprooting rank vegetation, grass, bushes, shrubs, sapling and trees girth up to 300mm, removal of stumps of trees cut earlier and disposal of unserviceable materials and stacking of serviceable materials to be used or auctioned, up to lead of 1000m including removal and disposal of top organic soil not exceeding 150mm in thickness. (in area of light jungle)</t>
  </si>
  <si>
    <t>Providing, Fitting &amp; Fixing of 100mm dia PVC Rain water pipe  with cost, conveyance, royalties and taxes of all materials with cost of all labour, and T&amp;P required for the work etc. complete in all respect as directed by the Engineer in charge.</t>
  </si>
  <si>
    <t>Random Ruble hard granite stone masonry in cement mortar(1:4) as per approved drawing &amp; technical specifications including cost, conveyance and royalty of all materials etc complete.</t>
  </si>
  <si>
    <t>Rough stone dry masonry with sand grouted for the walls with hard granite stones as per approved drawing &amp; technical specifications including all cost of labour and material etc complete.</t>
  </si>
  <si>
    <t>Providing Weep Holes in Brick Masonry / Plain / Reinforced cement concrete abutment, wing wall, return wall with 100mm dia A.C. Pipe, extending through the full width of the structure with slope1:20 etc complete as per drawing and Technical specifications</t>
  </si>
  <si>
    <t>20mm thick cement plaster (1:4) with punning over stone masonry including all cost of labour and material etc complete as per specification.</t>
  </si>
  <si>
    <t>Gravel backing to revetments as per approved drawing &amp; technical specifications Including all cost of labour and material etc complete.</t>
  </si>
  <si>
    <t>Rough stone dry packing in aprons and revetments as per approved drawing &amp; technical specifications including all cost of labour and material etc complete.</t>
  </si>
  <si>
    <t>Grouting to Aprons and revetments with cement concrete (1:4:8)  using 2.5cm size h.g.c.b.metal of 23cm deep including curing and cost, conveyance &amp; royalities of materials and labour charges etc.complete as per approved drawing &amp; technical specifications and as per direction of Engineer In Charge.</t>
  </si>
  <si>
    <t>Providing 40mm to 90mm, size hard stone metal other than granite in filter media including spreading in uniform  thickness, hand packing, rolling with HRR or ramming with rammer to proper level, grade &amp; camber with sand to fill up the interstices for finished item of works as per direction of Engineer In Charge.</t>
  </si>
  <si>
    <t>Earth Work in embankment in hard soil obtained from borrow pits carried to site by transporting including rough dressing and rolling with PRR, watering upto OMC laying in layers not exceeding 0.23m with hire &amp; running charges of PRR and labour charges etc complete.</t>
  </si>
  <si>
    <t>Earth work in embankment obtained from borrow pits with carriage by mechanical means as per approved drawing &amp; technical specifications and as per Clause -305 of  MoRT&amp;H specifications for Road &amp; Bridge works (Latest Revision ).</t>
  </si>
  <si>
    <t>Earth work in embankment with excavated earth as per approved drawing &amp; technical specifications and as per Clause -305 of  MoRT&amp;H specifications for Road &amp; Bridge works (Latest Revision ).</t>
  </si>
  <si>
    <t xml:space="preserve">Collecting supplying and stacking good laterite moorum from approved quarry of approved quality on road side in box heaps of size 1.50 x1.50x0.44  measured as 1cum </t>
  </si>
  <si>
    <t>Conveying from stack spreading moorum to proper camber on road surface including dressing  etc complete as per specification.</t>
  </si>
  <si>
    <t>Collecting supplying stacking  good laterite moorum from approved quarry and spreading in proper section etc complete as per specification.</t>
  </si>
  <si>
    <t>Collecting supplying stacking  good laterite moorum from approved quarry and spreading in proper section  and rolling with PRR etc complete as per specification.</t>
  </si>
  <si>
    <t>Providing compacted granular materials in road sub-base/shoulder by using moorum in layers not exceeding 100mm watering and compacting to the required density in OMC with PRR including cost of all labour and maaterial etc complete.</t>
  </si>
  <si>
    <t>Turfing the slopes of embankment with compact turf grass as per approved drawing &amp; technical specifications etc complete.</t>
  </si>
  <si>
    <t>Ordinary compaction by PRR per day 708 cum.</t>
  </si>
  <si>
    <t>Compacting and watering upto OMC rolling earth work with PRR in embankment in layers not exceeding 0.23m by PRR including hire and running charges of the roller.</t>
  </si>
  <si>
    <t>Sectioning and cambering earth work in road formation to proper specification approved by the department.</t>
  </si>
  <si>
    <t>Ramming or rolling earth work with light HRR in embankment in layers not exceeding 0.30m</t>
  </si>
  <si>
    <t>Extra lead of 25mtr or part there of over the initial lead of 50m for earth work in all kinds of embankment and road works and ordinary earth work in general.</t>
  </si>
  <si>
    <t>Extra lift of 1.5mtr or part there of over the initial lift of 1.5m in all kinds of embankment and road works and ordinary earth work in general.</t>
  </si>
  <si>
    <t>P.C.C.M-15 Grade using 40mm to 10mm size crushed stone aggregates mixed by concrete mixer, laying in layers and compacting by vibrator &amp; all leads and lifts including frame works etc complete.</t>
  </si>
  <si>
    <t>P.C.C.M-20 Grade using 40mm to 10mm size crushed stone aggregates mixed by concrete mixer, laying in layers and compacting by vibrator &amp; all leads and lifts including frame works etc complete.</t>
  </si>
  <si>
    <t>P.C.C.M-25 Grade using 40mm to 10mm size crushed stone aggregates mixed by concrete mixer, laying in layers and compacting by vibrator &amp; all leads and lifts including frame works etc complete.</t>
  </si>
  <si>
    <t>R.C.C. M-20 grade in structure of C.D. work as per approved drawing &amp; technical specifications including all cost of labour and material etc complete as per direction of EIC</t>
  </si>
  <si>
    <t>R.C.C. M-30 grade in wearing coat of C.D. work as per approved drawing &amp; technical specifications including all cost of labour and material etc complete.</t>
  </si>
  <si>
    <t>Laying of NP3 Hume Pipe of 300mm dia. for pipe culverts as per approved drawing &amp; technical specifications including cost of pipe etc complete</t>
  </si>
  <si>
    <t>Laying of NP3 Hume Pipe of 450mm dia. for pipe culverts as per approved drawing &amp; technical specifications including cost of pipe etc complete</t>
  </si>
  <si>
    <t>Laying of NP3 Hume Pipe of 600mm dia. for pipe culverts as per approved drawing &amp; technical specifications including cost of pipe etc complete.</t>
  </si>
  <si>
    <t>Laying of NP3 Hume Pipe of 900mm dia. for pipe culverts as per approved drawing &amp; technical specifications including cost of pipe etc complete</t>
  </si>
  <si>
    <t>Laying of NP3 Hume Pipe of 1000mm dia. for pipe culverts as per approved drawing &amp; technical specifications including cost of pipe etc complete.</t>
  </si>
  <si>
    <t>Laying of NP3 Hume Pipe of 1200mm dia. for pipe culverts as per approved drawing &amp; technical specifications including cost of pipe etc complete</t>
  </si>
  <si>
    <t>1st RA Bill</t>
  </si>
  <si>
    <t>2nd RA Bill</t>
  </si>
  <si>
    <t>Administrative approval for Rs 63,000.00</t>
  </si>
  <si>
    <t>Technically sanctioned for Rs 63,000.00</t>
  </si>
  <si>
    <t>Lab</t>
  </si>
  <si>
    <t>/Sqm</t>
  </si>
  <si>
    <t>Bed Room</t>
  </si>
  <si>
    <t>Drawing Room</t>
  </si>
  <si>
    <t>Kankadahad Block</t>
  </si>
  <si>
    <t>Assistant Engineer</t>
  </si>
  <si>
    <t>Drawing Not to scale</t>
  </si>
  <si>
    <t>All dimensions are as shown</t>
  </si>
  <si>
    <t>SPECIFICATION</t>
  </si>
  <si>
    <t>SCHOOL BUILDING</t>
  </si>
  <si>
    <t>nos</t>
  </si>
  <si>
    <t>`</t>
  </si>
  <si>
    <t>o/o</t>
  </si>
  <si>
    <t>C/C</t>
  </si>
  <si>
    <t>PCC (1:4:8)</t>
  </si>
  <si>
    <t>O/O</t>
  </si>
  <si>
    <t>CLASS ROOM</t>
  </si>
  <si>
    <t>20.3.18</t>
  </si>
  <si>
    <t>ODACT 055</t>
  </si>
  <si>
    <t>ODACT 088</t>
  </si>
  <si>
    <t>ODACT 098</t>
  </si>
  <si>
    <t>ODACT 182</t>
  </si>
  <si>
    <t>Add for Rest Shed</t>
  </si>
  <si>
    <t>ODACT 192</t>
  </si>
  <si>
    <t>ODACT 227</t>
  </si>
  <si>
    <t>ODACT 140</t>
  </si>
  <si>
    <t>ODACT254</t>
  </si>
  <si>
    <t>ODACT283</t>
  </si>
  <si>
    <t>ODACT281</t>
  </si>
  <si>
    <t>ODACT225</t>
  </si>
  <si>
    <t>ODACT207</t>
  </si>
  <si>
    <t>ODACT208</t>
  </si>
  <si>
    <t>ODACT209</t>
  </si>
  <si>
    <t>ODACT210.</t>
  </si>
  <si>
    <t>ODACT211</t>
  </si>
  <si>
    <t>ODACT212</t>
  </si>
  <si>
    <t>ODACT213</t>
  </si>
  <si>
    <t>ODACT214</t>
  </si>
  <si>
    <t>ODACT202</t>
  </si>
  <si>
    <t>ODACT 201</t>
  </si>
  <si>
    <t>Hire Charges of Road Roller</t>
  </si>
  <si>
    <t>ODACT163</t>
  </si>
  <si>
    <t>Each Hr</t>
  </si>
  <si>
    <t>ODACT070</t>
  </si>
  <si>
    <t>ODACT073</t>
  </si>
  <si>
    <t>Cost of MS Rod</t>
  </si>
  <si>
    <t>ODACT082</t>
  </si>
  <si>
    <t>Each Qntl</t>
  </si>
  <si>
    <t>ODACT103</t>
  </si>
  <si>
    <t>ODACT104</t>
  </si>
  <si>
    <t>ODACT106</t>
  </si>
  <si>
    <t>ODACT123</t>
  </si>
  <si>
    <t>ODACT124</t>
  </si>
  <si>
    <t>Demarkation and Layout</t>
  </si>
  <si>
    <t>ODACT172</t>
  </si>
  <si>
    <t>Cost of Cement</t>
  </si>
  <si>
    <t>ODACT</t>
  </si>
  <si>
    <t>ABSTRACT OF NET BILL.</t>
  </si>
  <si>
    <r>
      <t xml:space="preserve">CMO / REC / BS / BHU / 7/10.-11 / Dated - </t>
    </r>
    <r>
      <rPr>
        <b/>
        <sz val="9"/>
        <rFont val="Arial Narrow"/>
        <family val="2"/>
      </rPr>
      <t>23.08.16</t>
    </r>
  </si>
  <si>
    <r>
      <t>93m</t>
    </r>
    <r>
      <rPr>
        <vertAlign val="superscript"/>
        <sz val="9"/>
        <rFont val="Arial Narrow"/>
        <family val="2"/>
      </rPr>
      <t>2</t>
    </r>
  </si>
  <si>
    <r>
      <t xml:space="preserve">Dismantling &amp; removing </t>
    </r>
    <r>
      <rPr>
        <b/>
        <sz val="9"/>
        <rFont val="Arial Narrow"/>
        <family val="2"/>
      </rPr>
      <t>RCC Columns / Beams / Slab</t>
    </r>
    <r>
      <rPr>
        <sz val="9"/>
        <rFont val="Arial Narrow"/>
        <family val="2"/>
      </rPr>
      <t xml:space="preserve"> including stacking the useful materials for reuse  &amp;  removing the debris within 50m lead  with  cost  of  all labour etc. complete.</t>
    </r>
  </si>
  <si>
    <r>
      <t xml:space="preserve">Dismantling &amp; removing </t>
    </r>
    <r>
      <rPr>
        <b/>
        <sz val="9"/>
        <rFont val="Arial Narrow"/>
        <family val="2"/>
      </rPr>
      <t>Brick / Stone Masonry</t>
    </r>
    <r>
      <rPr>
        <sz val="9"/>
        <rFont val="Arial Narrow"/>
        <family val="2"/>
      </rPr>
      <t xml:space="preserve"> in C.M./L.M. including stacking the useful materials for reuse  &amp;  removing the debris within 50m lead  with  cost  of  all labour etc. complete.</t>
    </r>
  </si>
  <si>
    <r>
      <t xml:space="preserve">Dismantling &amp; removing </t>
    </r>
    <r>
      <rPr>
        <b/>
        <sz val="9"/>
        <rFont val="Arial Narrow"/>
        <family val="2"/>
      </rPr>
      <t>2.5cm thick A.S. Flooring</t>
    </r>
    <r>
      <rPr>
        <sz val="9"/>
        <rFont val="Arial Narrow"/>
        <family val="2"/>
      </rPr>
      <t xml:space="preserve"> including stacking the useful materials for reuse  &amp;  removing the debris within 50m lead  with  cost  of  all labour etc. complete.</t>
    </r>
  </si>
  <si>
    <r>
      <t xml:space="preserve">Removing Old lime or </t>
    </r>
    <r>
      <rPr>
        <b/>
        <sz val="9"/>
        <rFont val="Arial Narrow"/>
        <family val="2"/>
      </rPr>
      <t>cement plaster</t>
    </r>
    <r>
      <rPr>
        <sz val="9"/>
        <rFont val="Arial Narrow"/>
        <family val="2"/>
      </rPr>
      <t xml:space="preserve"> including raking out joints 12mm deep and removing the debris within 50m lead  with  cost  of  all labour etc. complete.</t>
    </r>
  </si>
  <si>
    <r>
      <t xml:space="preserve">Dismantling </t>
    </r>
    <r>
      <rPr>
        <b/>
        <sz val="9"/>
        <rFont val="Arial Narrow"/>
        <family val="2"/>
      </rPr>
      <t>G.C.I. Sheet or A.C. Sheet roofing</t>
    </r>
    <r>
      <rPr>
        <sz val="9"/>
        <rFont val="Arial Narrow"/>
        <family val="2"/>
      </rPr>
      <t xml:space="preserve"> after carefully removing nuts &amp; bolts including stacking the useful materials for reuse  &amp;  removing the debris within 50m lead  with  cost  of  all labour etc. complete.</t>
    </r>
  </si>
  <si>
    <r>
      <t xml:space="preserve">Dismantling wrought and framed </t>
    </r>
    <r>
      <rPr>
        <b/>
        <sz val="9"/>
        <rFont val="Arial Narrow"/>
        <family val="2"/>
      </rPr>
      <t>timber in roof frame</t>
    </r>
    <r>
      <rPr>
        <sz val="9"/>
        <rFont val="Arial Narrow"/>
        <family val="2"/>
      </rPr>
      <t xml:space="preserve"> work or floors after carefully removing nails, nuts &amp; bolts including stacking the useful materials for reuse  &amp;  removing the debris within 50m lead  with  cost  of  all labour etc. complete.</t>
    </r>
  </si>
  <si>
    <r>
      <t xml:space="preserve">Dismantling &amp; removing </t>
    </r>
    <r>
      <rPr>
        <b/>
        <sz val="9"/>
        <rFont val="Arial Narrow"/>
        <family val="2"/>
      </rPr>
      <t>doors, windows &amp; ventilators</t>
    </r>
    <r>
      <rPr>
        <sz val="9"/>
        <rFont val="Arial Narrow"/>
        <family val="2"/>
      </rPr>
      <t xml:space="preserve"> including removal of frame, hinges, fastening  and stacking the useful materials for reuse  &amp;  removing the debris within 50m lead  with  cost  of  all labour etc. complete.</t>
    </r>
  </si>
  <si>
    <r>
      <t xml:space="preserve">Dismantling &amp; Removing </t>
    </r>
    <r>
      <rPr>
        <b/>
        <sz val="9"/>
        <rFont val="Arial Narrow"/>
        <family val="2"/>
      </rPr>
      <t xml:space="preserve">2.5cm thick grading concrete </t>
    </r>
    <r>
      <rPr>
        <sz val="9"/>
        <rFont val="Arial Narrow"/>
        <family val="2"/>
      </rPr>
      <t>from roof slab including removing the debris within 50m lead  with  cost  of  all labour etc. complete.</t>
    </r>
  </si>
  <si>
    <r>
      <t xml:space="preserve">Removing </t>
    </r>
    <r>
      <rPr>
        <b/>
        <sz val="9"/>
        <rFont val="Arial Narrow"/>
        <family val="2"/>
      </rPr>
      <t>grading plaster from roof slab</t>
    </r>
    <r>
      <rPr>
        <sz val="9"/>
        <rFont val="Arial Narrow"/>
        <family val="2"/>
      </rPr>
      <t xml:space="preserve"> including removing the debris within 50m lead  with  cost  of  all labour etc. complete.</t>
    </r>
  </si>
  <si>
    <r>
      <t xml:space="preserve">Dismantling &amp; Removing </t>
    </r>
    <r>
      <rPr>
        <b/>
        <sz val="9"/>
        <rFont val="Arial Narrow"/>
        <family val="2"/>
      </rPr>
      <t>cement concrete</t>
    </r>
    <r>
      <rPr>
        <sz val="9"/>
        <rFont val="Arial Narrow"/>
        <family val="2"/>
      </rPr>
      <t xml:space="preserve"> including stacking the useful materials for reuse and removing the debris within 50m lead  with  cost  of  all labour etc. complete.</t>
    </r>
  </si>
  <si>
    <r>
      <t xml:space="preserve">Dismantling &amp; Removing </t>
    </r>
    <r>
      <rPr>
        <b/>
        <sz val="9"/>
        <rFont val="Arial Narrow"/>
        <family val="2"/>
      </rPr>
      <t>RCC Chajja, Shelve, Fins</t>
    </r>
    <r>
      <rPr>
        <sz val="9"/>
        <rFont val="Arial Narrow"/>
        <family val="2"/>
      </rPr>
      <t xml:space="preserve"> including stacking the useful materials for reuse and removing the debris within 50m lead  with  cost  of  all labour etc. complete.</t>
    </r>
  </si>
  <si>
    <r>
      <t xml:space="preserve">Dismantling &amp; Removing </t>
    </r>
    <r>
      <rPr>
        <b/>
        <sz val="9"/>
        <rFont val="Arial Narrow"/>
        <family val="2"/>
      </rPr>
      <t>marble chips flooring</t>
    </r>
    <r>
      <rPr>
        <sz val="9"/>
        <rFont val="Arial Narrow"/>
        <family val="2"/>
      </rPr>
      <t xml:space="preserve"> including stacking the useful materials for reuse and removing the debris within 50m lead  with  cost  of  all labour etc. complete.</t>
    </r>
  </si>
  <si>
    <r>
      <t xml:space="preserve">Dismantling &amp; Removing </t>
    </r>
    <r>
      <rPr>
        <b/>
        <sz val="9"/>
        <rFont val="Arial Narrow"/>
        <family val="2"/>
      </rPr>
      <t>marble chips dadoos</t>
    </r>
    <r>
      <rPr>
        <sz val="9"/>
        <rFont val="Arial Narrow"/>
        <family val="2"/>
      </rPr>
      <t xml:space="preserve"> &amp; skirting including stacking the useful materials for reuse and removing the debris within 50m lead  with  cost  of  all labour etc. complete.</t>
    </r>
  </si>
  <si>
    <r>
      <t xml:space="preserve">Dismantling &amp; Removing </t>
    </r>
    <r>
      <rPr>
        <b/>
        <sz val="9"/>
        <rFont val="Arial Narrow"/>
        <family val="2"/>
      </rPr>
      <t>old tile flooring</t>
    </r>
    <r>
      <rPr>
        <sz val="9"/>
        <rFont val="Arial Narrow"/>
        <family val="2"/>
      </rPr>
      <t xml:space="preserve"> including stacking the useful materials for reuse and removing the debris within 50m lead  with  cost  of  all labour etc. complete.</t>
    </r>
  </si>
  <si>
    <r>
      <t xml:space="preserve">Dismantling &amp; Removing </t>
    </r>
    <r>
      <rPr>
        <b/>
        <sz val="9"/>
        <rFont val="Arial Narrow"/>
        <family val="2"/>
      </rPr>
      <t>old tile cladding</t>
    </r>
    <r>
      <rPr>
        <sz val="9"/>
        <rFont val="Arial Narrow"/>
        <family val="2"/>
      </rPr>
      <t xml:space="preserve"> from walls including stacking the useful materials for reuse and removing the debris within 50m lead  with  cost  of  all labour etc. complete.</t>
    </r>
  </si>
  <si>
    <r>
      <t xml:space="preserve">Dismantling &amp; Removing </t>
    </r>
    <r>
      <rPr>
        <b/>
        <sz val="9"/>
        <rFont val="Arial Narrow"/>
        <family val="2"/>
      </rPr>
      <t xml:space="preserve">pan or single nuria or Mangalore tile roofing (Tiles only) </t>
    </r>
    <r>
      <rPr>
        <sz val="9"/>
        <rFont val="Arial Narrow"/>
        <family val="2"/>
      </rPr>
      <t xml:space="preserve"> including stacking the useful materials for reuse and removing the debris within 50m lead  with  cost  of  all labour etc. complete.</t>
    </r>
  </si>
  <si>
    <r>
      <t xml:space="preserve">Dismantling &amp; Removing </t>
    </r>
    <r>
      <rPr>
        <b/>
        <sz val="9"/>
        <rFont val="Arial Narrow"/>
        <family val="2"/>
      </rPr>
      <t xml:space="preserve">flat and pan tile roofing (Tiles only) </t>
    </r>
    <r>
      <rPr>
        <sz val="9"/>
        <rFont val="Arial Narrow"/>
        <family val="2"/>
      </rPr>
      <t xml:space="preserve"> including stacking the useful materials for reuse and removing the debris within 50m lead  with  cost  of  all labour etc. complete.</t>
    </r>
  </si>
  <si>
    <r>
      <t>Dismantling</t>
    </r>
    <r>
      <rPr>
        <b/>
        <sz val="9"/>
        <rFont val="Arial Narrow"/>
        <family val="2"/>
      </rPr>
      <t xml:space="preserve"> reepers under tiled roof ( Pan, flat or nuria tiles</t>
    </r>
    <r>
      <rPr>
        <sz val="9"/>
        <rFont val="Arial Narrow"/>
        <family val="2"/>
      </rPr>
      <t xml:space="preserve"> after careful removal of nails including stacking the useful materials for reuse and removing the debris within 50m lead  with  cost  of  all labour etc. complete.</t>
    </r>
  </si>
  <si>
    <r>
      <t xml:space="preserve">Dismantling and removing </t>
    </r>
    <r>
      <rPr>
        <b/>
        <sz val="9"/>
        <rFont val="Arial Narrow"/>
        <family val="2"/>
      </rPr>
      <t>old tarfelt from roof slab</t>
    </r>
    <r>
      <rPr>
        <sz val="9"/>
        <rFont val="Arial Narrow"/>
        <family val="2"/>
      </rPr>
      <t>, cleaning the surface,lowering and removing the debris within 50m lead etc complete as per specification and direction of Engineer-in-Charge.</t>
    </r>
  </si>
  <si>
    <r>
      <rPr>
        <b/>
        <sz val="9"/>
        <rFont val="Arial Narrow"/>
        <family val="2"/>
      </rPr>
      <t>Scarping Plaster in Lime or Cement Mortar from Brick/ Stone Masonry including</t>
    </r>
    <r>
      <rPr>
        <sz val="9"/>
        <rFont val="Arial Narrow"/>
        <family val="2"/>
      </rPr>
      <t xml:space="preserve"> T&amp;P, sorting the dismantled material, disposal of unserviceable material and stacking the serviceable material with all lifts and lead of 1000 metres etc complete as per specification and direction of Engineer-in-Charge.</t>
    </r>
  </si>
  <si>
    <r>
      <rPr>
        <b/>
        <sz val="9"/>
        <rFont val="Arial Narrow"/>
        <family val="2"/>
      </rPr>
      <t>Scraping of Bricks dismantled from Brick Work</t>
    </r>
    <r>
      <rPr>
        <sz val="9"/>
        <rFont val="Arial Narrow"/>
        <family val="2"/>
      </rPr>
      <t xml:space="preserve"> in lime or cement mortar including T&amp;P, sorting the dismantled material, disposal of unserviceable material and stacking the serviceable material with all lifts and lead of 1000 metres etc complete as per specification and direction of Engineer-in-Charge.</t>
    </r>
  </si>
  <si>
    <r>
      <rPr>
        <b/>
        <sz val="9"/>
        <rFont val="Arial Narrow"/>
        <family val="2"/>
      </rPr>
      <t xml:space="preserve">Dismantling Wood Work wrought framed and fixed in frames of trusses </t>
    </r>
    <r>
      <rPr>
        <sz val="9"/>
        <rFont val="Arial Narrow"/>
        <family val="2"/>
      </rPr>
      <t>upto a height of 5 m above plinth level including T&amp;P and scaffolding wherever necessary, sorting the dismantled material, disposal of unserviceable material and stacking the serviceable material with all lifts and lead of 1000 metres etc complete as per specification and direction of Engineer-in-Charge.</t>
    </r>
  </si>
  <si>
    <r>
      <t>E/W in excavation of foundation</t>
    </r>
    <r>
      <rPr>
        <sz val="9"/>
        <rFont val="Arial Narrow"/>
        <family val="2"/>
      </rPr>
      <t xml:space="preserve"> trenches in </t>
    </r>
    <r>
      <rPr>
        <b/>
        <sz val="9"/>
        <rFont val="Arial Narrow"/>
        <family val="2"/>
      </rPr>
      <t>hard soi</t>
    </r>
    <r>
      <rPr>
        <sz val="9"/>
        <rFont val="Arial Narrow"/>
        <family val="2"/>
      </rPr>
      <t>l including dressing of sides and levelling the bed complete as directed by the Engineer in charge.</t>
    </r>
  </si>
  <si>
    <r>
      <t>E/W in excavation of foundation</t>
    </r>
    <r>
      <rPr>
        <sz val="9"/>
        <rFont val="Arial Narrow"/>
        <family val="2"/>
      </rPr>
      <t xml:space="preserve"> trenches in </t>
    </r>
    <r>
      <rPr>
        <b/>
        <sz val="9"/>
        <rFont val="Arial Narrow"/>
        <family val="2"/>
      </rPr>
      <t>ordinary soil</t>
    </r>
    <r>
      <rPr>
        <sz val="9"/>
        <rFont val="Arial Narrow"/>
        <family val="2"/>
      </rPr>
      <t xml:space="preserve"> including dressing of sides and levelling the bed complete as directed by the Engineer in charge.</t>
    </r>
  </si>
  <si>
    <r>
      <t xml:space="preserve">E/W in excavation of foundation trenches in </t>
    </r>
    <r>
      <rPr>
        <b/>
        <sz val="9"/>
        <rFont val="Arial Narrow"/>
        <family val="2"/>
      </rPr>
      <t>slushy  soil</t>
    </r>
    <r>
      <rPr>
        <sz val="9"/>
        <rFont val="Arial Narrow"/>
        <family val="2"/>
      </rPr>
      <t xml:space="preserve"> including dressing of sides and levelling the bed complete as directed by the Engineer in charge.</t>
    </r>
  </si>
  <si>
    <r>
      <t>E/W in excavation of foundation trenches in</t>
    </r>
    <r>
      <rPr>
        <b/>
        <sz val="9"/>
        <rFont val="Arial Narrow"/>
        <family val="2"/>
      </rPr>
      <t xml:space="preserve"> stoney earth</t>
    </r>
    <r>
      <rPr>
        <sz val="9"/>
        <rFont val="Arial Narrow"/>
        <family val="2"/>
      </rPr>
      <t xml:space="preserve"> including dressing of sides and levelling the bed complete as directed by the Engineer in charge.</t>
    </r>
  </si>
  <si>
    <r>
      <t>E/W in excavation of foundation trenches in</t>
    </r>
    <r>
      <rPr>
        <b/>
        <sz val="9"/>
        <rFont val="Arial Narrow"/>
        <family val="2"/>
      </rPr>
      <t xml:space="preserve"> Laterite rock or any hard rock other than granite removed by </t>
    </r>
    <r>
      <rPr>
        <sz val="9"/>
        <rFont val="Arial Narrow"/>
        <family val="2"/>
      </rPr>
      <t xml:space="preserve"> chiselling including dressing of sides and levelling the bed not exceeding 1.5m in depth and depositing the soil within initial lead of 50m  complete as directed by the Engineer in charge.</t>
    </r>
  </si>
  <si>
    <r>
      <rPr>
        <b/>
        <sz val="9"/>
        <rFont val="Arial Narrow"/>
        <family val="2"/>
      </rPr>
      <t xml:space="preserve">Cutting in disintegrated rock </t>
    </r>
    <r>
      <rPr>
        <sz val="9"/>
        <color theme="1"/>
        <rFont val="Arial Narrow"/>
        <family val="2"/>
      </rPr>
      <t>not requiring blasting to be removed by pick axes and crow bars and depositing materials within 50m initial lead and 1.5m initial lift including rough dressing as per direction and specification of the department including stacking the useful materials separately as ordered.</t>
    </r>
  </si>
  <si>
    <r>
      <t xml:space="preserve">Supplying and </t>
    </r>
    <r>
      <rPr>
        <b/>
        <sz val="9"/>
        <rFont val="Arial Narrow"/>
        <family val="2"/>
      </rPr>
      <t>filling in foundation trenches and plinth, ditches with sand</t>
    </r>
    <r>
      <rPr>
        <sz val="9"/>
        <rFont val="Arial Narrow"/>
        <family val="2"/>
      </rPr>
      <t xml:space="preserve"> well watered and rammed  etc. complete in all respect as per direction by the Engineer in charge.</t>
    </r>
  </si>
  <si>
    <r>
      <t xml:space="preserve">Providing and laying </t>
    </r>
    <r>
      <rPr>
        <b/>
        <sz val="9"/>
        <rFont val="Arial Narrow"/>
        <family val="2"/>
      </rPr>
      <t>P.C.C. (1:4:8)</t>
    </r>
    <r>
      <rPr>
        <sz val="9"/>
        <rFont val="Arial Narrow"/>
        <family val="2"/>
      </rPr>
      <t xml:space="preserve"> in foundation and floors using 4 cm. size black hard Hand broken granite stone metal and screened and washed sharp sand for mortar  etc complete as per the direction of the Engineer -in –charge.</t>
    </r>
  </si>
  <si>
    <r>
      <t xml:space="preserve">Providing and laying </t>
    </r>
    <r>
      <rPr>
        <b/>
        <sz val="9"/>
        <rFont val="Arial Narrow"/>
        <family val="2"/>
      </rPr>
      <t>P.C.C. (1:3:6)</t>
    </r>
    <r>
      <rPr>
        <sz val="9"/>
        <rFont val="Arial Narrow"/>
        <family val="2"/>
      </rPr>
      <t xml:space="preserve"> in foundation and floors using 4 cm. size black hard crusher broken granite stone metal and screened and washed sharp sand for mortar  etc complete as per the direction of the Engineer -in –charge.</t>
    </r>
  </si>
  <si>
    <r>
      <t xml:space="preserve">Providing and laying </t>
    </r>
    <r>
      <rPr>
        <b/>
        <sz val="9"/>
        <rFont val="Arial Narrow"/>
        <family val="2"/>
      </rPr>
      <t>P.C.C. (1:2:4)</t>
    </r>
    <r>
      <rPr>
        <sz val="9"/>
        <rFont val="Arial Narrow"/>
        <family val="2"/>
      </rPr>
      <t xml:space="preserve"> in foundation and floors using 12 mm. size black hard crusher broken granite stone chips and screened and washed sharp sand for mortar  etc complete as per the direction of the Engineer -in –charge.</t>
    </r>
  </si>
  <si>
    <r>
      <t>W.B.K.B brick masonry in cement mortar (1:4)</t>
    </r>
    <r>
      <rPr>
        <sz val="9"/>
        <rFont val="Arial Narrow"/>
        <family val="2"/>
      </rPr>
      <t xml:space="preserve"> using kiln Burnt bricks of 10” size etc. complete in all respect as directed by the Engineer-in-charge.</t>
    </r>
  </si>
  <si>
    <r>
      <t>W.B.K.B brick masonry in cement mortar (1:6)</t>
    </r>
    <r>
      <rPr>
        <sz val="9"/>
        <rFont val="Arial Narrow"/>
        <family val="2"/>
      </rPr>
      <t xml:space="preserve"> using kiln Burnt bricks of 10”  etc. complete in all respect as directed by the Engineer-in-charge.</t>
    </r>
  </si>
  <si>
    <r>
      <t>W.B.C.B brick masonry in cement mortar (1:6)</t>
    </r>
    <r>
      <rPr>
        <sz val="9"/>
        <rFont val="Arial Narrow"/>
        <family val="2"/>
      </rPr>
      <t xml:space="preserve"> using kiln Burnt bricks of 10”  etc. complete in all respect as directed by the Engineer-in-charge.</t>
    </r>
  </si>
  <si>
    <r>
      <t>W.B.C.B brick masonry in cement mortar (1:4)</t>
    </r>
    <r>
      <rPr>
        <sz val="9"/>
        <rFont val="Arial Narrow"/>
        <family val="2"/>
      </rPr>
      <t xml:space="preserve"> using kiln Burnt bricks of 10”  etc. complete in all respect as directed by the Engineer-in-charge.</t>
    </r>
  </si>
  <si>
    <r>
      <t>Laterite stone masonry in cement mortar (1:6)</t>
    </r>
    <r>
      <rPr>
        <sz val="9"/>
        <rFont val="Arial Narrow"/>
        <family val="2"/>
      </rPr>
      <t xml:space="preserve"> using laterite stone of approved quality from approved quarry  etc. complete in all respect as directed by the Engineer-in-charge.</t>
    </r>
  </si>
  <si>
    <r>
      <t>R.R.H.G. Stone Masonry in cement mortar (1:4)</t>
    </r>
    <r>
      <rPr>
        <sz val="9"/>
        <rFont val="Arial Narrow"/>
        <family val="2"/>
      </rPr>
      <t xml:space="preserve"> in foundation &amp; plinth including cost,conveyance &amp; royality of all materials and labour charges etc. complete. in all respect as directed by the Engineer-in-charge.</t>
    </r>
  </si>
  <si>
    <r>
      <t>R.R.H.G. Stone Masonry in cement mortar (1:6)</t>
    </r>
    <r>
      <rPr>
        <sz val="9"/>
        <rFont val="Arial Narrow"/>
        <family val="2"/>
      </rPr>
      <t xml:space="preserve"> in foundation &amp; plinth including cost,conveyance &amp; royality of all materials and labour charges etc. complete. in all respect as directed by the Engineer-in-charge.</t>
    </r>
  </si>
  <si>
    <r>
      <t xml:space="preserve">Providing </t>
    </r>
    <r>
      <rPr>
        <b/>
        <sz val="9"/>
        <rFont val="Arial Narrow"/>
        <family val="2"/>
      </rPr>
      <t>2.5cm thick Damp Proof Course</t>
    </r>
    <r>
      <rPr>
        <sz val="9"/>
        <rFont val="Arial Narrow"/>
        <family val="2"/>
      </rPr>
      <t xml:space="preserve"> with cement concrete (1:2:4) using 12mm size black hard granite crusher broken chips and screened &amp; washed sharp sand for mortar  etc. complete in all respect as directed by the Engineer in charge.</t>
    </r>
  </si>
  <si>
    <r>
      <t>Back Filling of surplus excavated earth</t>
    </r>
    <r>
      <rPr>
        <sz val="9"/>
        <rFont val="Arial Narrow"/>
        <family val="2"/>
      </rPr>
      <t xml:space="preserve"> at work site by initial lead of 50.00mtr and initial lift of 1.50mtr including cost of all labour T&amp;P required for the work etc. complete as directed by Engineer-In-Charge</t>
    </r>
  </si>
  <si>
    <r>
      <t xml:space="preserve">R.C.C. M20 </t>
    </r>
    <r>
      <rPr>
        <sz val="9"/>
        <rFont val="Arial Narrow"/>
        <family val="2"/>
      </rPr>
      <t xml:space="preserve"> using  20 mm to 10mm  size black hard crusher broken granite stone chips of approved quality and from approved quarry  etc. complete in all respect .</t>
    </r>
  </si>
  <si>
    <r>
      <t xml:space="preserve">R.C.C. M15 </t>
    </r>
    <r>
      <rPr>
        <sz val="9"/>
        <rFont val="Arial Narrow"/>
        <family val="2"/>
      </rPr>
      <t xml:space="preserve"> using   20 mm to 10mm  size black hard crusher broken granite stone chips of approved quality and from approved quarry  etc. complete in all respect .</t>
    </r>
  </si>
  <si>
    <r>
      <t xml:space="preserve">R.C.C. M25 </t>
    </r>
    <r>
      <rPr>
        <sz val="9"/>
        <rFont val="Arial Narrow"/>
        <family val="2"/>
      </rPr>
      <t xml:space="preserve"> using   20 mm to 10mm  size black hard crusher broken granite stone chips of approved quality and from approved quarry  etc. complete in all respect .</t>
    </r>
  </si>
  <si>
    <r>
      <t xml:space="preserve">R.C.C. work of (1:1.5:3) </t>
    </r>
    <r>
      <rPr>
        <sz val="9"/>
        <rFont val="Arial Narrow"/>
        <family val="2"/>
      </rPr>
      <t xml:space="preserve"> using  12 mm  size black hard crusher broken granite stone chips of approved quality and from approved quarry  etc. complete in all respect .</t>
    </r>
  </si>
  <si>
    <r>
      <t>Single Under reamed Bore Compacted Piles</t>
    </r>
    <r>
      <rPr>
        <sz val="9"/>
        <rFont val="Arial Narrow"/>
        <family val="2"/>
      </rPr>
      <t xml:space="preserve"> of different size in foundation with RCC M-20 including cost of boaring, all cost of RCC work excluding cost of steel with labour for bending binding etc.complete as per the instruction of Engineer-in-Charge .</t>
    </r>
  </si>
  <si>
    <r>
      <t>Double Under reamed Bore Compacted Piles</t>
    </r>
    <r>
      <rPr>
        <sz val="9"/>
        <rFont val="Arial Narrow"/>
        <family val="2"/>
      </rPr>
      <t xml:space="preserve"> of different size in foundation with RCC M-20 including cost of boaring, all cost of RCC work excluding cost of steel with labour for bending binding etc.complete as per the instruction of Engineer-in-Charge .</t>
    </r>
  </si>
  <si>
    <r>
      <t xml:space="preserve">Providing </t>
    </r>
    <r>
      <rPr>
        <b/>
        <sz val="9"/>
        <rFont val="Arial Narrow"/>
        <family val="2"/>
      </rPr>
      <t>12 mm thick C.P. with C.M. (1:6)</t>
    </r>
    <r>
      <rPr>
        <sz val="9"/>
        <rFont val="Arial Narrow"/>
        <family val="2"/>
      </rPr>
      <t xml:space="preserve"> with screened and washed sharp sand for mortar and finished smooth to the rough surface of walls in all heights after racking out joints etc. complete in all respect as directed by the Engineer in charge.</t>
    </r>
  </si>
  <si>
    <r>
      <t xml:space="preserve">Providing </t>
    </r>
    <r>
      <rPr>
        <b/>
        <sz val="9"/>
        <rFont val="Arial Narrow"/>
        <family val="2"/>
      </rPr>
      <t>12 mm thick CP with CM (1:4)</t>
    </r>
    <r>
      <rPr>
        <sz val="9"/>
        <rFont val="Arial Narrow"/>
        <family val="2"/>
      </rPr>
      <t xml:space="preserve"> </t>
    </r>
    <r>
      <rPr>
        <b/>
        <sz val="9"/>
        <rFont val="Arial Narrow"/>
        <family val="2"/>
      </rPr>
      <t xml:space="preserve">and punning  for skirting in walls for dadoo </t>
    </r>
    <r>
      <rPr>
        <sz val="9"/>
        <rFont val="Arial Narrow"/>
        <family val="2"/>
      </rPr>
      <t>with screened and washed sharp sand for mortar and finished smooth to the rough surface of walls including watering and curing etc. complete in all respect as directed by the Engineer in charge.</t>
    </r>
  </si>
  <si>
    <r>
      <t xml:space="preserve">Providing </t>
    </r>
    <r>
      <rPr>
        <b/>
        <sz val="9"/>
        <rFont val="Arial Narrow"/>
        <family val="2"/>
      </rPr>
      <t xml:space="preserve">12 mm thick CP with CM (1:4)punning &amp; coaltaring onecoat on top of wall surface </t>
    </r>
    <r>
      <rPr>
        <sz val="9"/>
        <rFont val="Arial Narrow"/>
        <family val="2"/>
      </rPr>
      <t>with screened and washed sharp sand for mortar and finished smooth to the rough surface of walls  including watering and curing  etc. complete in all respect as directed by the Engineer in charge.</t>
    </r>
  </si>
  <si>
    <r>
      <t xml:space="preserve">Providing </t>
    </r>
    <r>
      <rPr>
        <b/>
        <sz val="9"/>
        <rFont val="Arial Narrow"/>
        <family val="2"/>
      </rPr>
      <t>16 mm thick C.P. with C.M. (1:6)</t>
    </r>
    <r>
      <rPr>
        <sz val="9"/>
        <rFont val="Arial Narrow"/>
        <family val="2"/>
      </rPr>
      <t xml:space="preserve"> with screened and washed sharp sand for mortar and finished smooth to the rough surface of walls in all heights after racking out joints  etc. complete in all respect as directed by the Engineer in charge.</t>
    </r>
  </si>
  <si>
    <r>
      <t xml:space="preserve">Providing </t>
    </r>
    <r>
      <rPr>
        <b/>
        <sz val="9"/>
        <rFont val="Arial Narrow"/>
        <family val="2"/>
      </rPr>
      <t>16 mm thick C.P. with C.M. (1:6) with Punning</t>
    </r>
    <r>
      <rPr>
        <sz val="9"/>
        <rFont val="Arial Narrow"/>
        <family val="2"/>
      </rPr>
      <t xml:space="preserve"> with screened and washed sharp sand for mortar and finished smooth to the rough surface of walls in all heights after racking out joints  etc. complete in all respect as directed by the Engineer in charge.</t>
    </r>
  </si>
  <si>
    <r>
      <t xml:space="preserve">Providing </t>
    </r>
    <r>
      <rPr>
        <b/>
        <sz val="9"/>
        <rFont val="Arial Narrow"/>
        <family val="2"/>
      </rPr>
      <t>6 mm thick C.P. with C.M. (1:4)</t>
    </r>
    <r>
      <rPr>
        <sz val="9"/>
        <rFont val="Arial Narrow"/>
        <family val="2"/>
      </rPr>
      <t xml:space="preserve"> with screened and washed sharp sand for mortar and finished smooth to R.C.C. work after closed deep chipping &amp; slurry treatment including watering and curing,  etc. complete in all respect as directed by the Engineer in charge.</t>
    </r>
  </si>
  <si>
    <r>
      <t xml:space="preserve">Providing </t>
    </r>
    <r>
      <rPr>
        <b/>
        <sz val="9"/>
        <rFont val="Arial Narrow"/>
        <family val="2"/>
      </rPr>
      <t>20 mm thick C.P. with C.M. (1:4)</t>
    </r>
    <r>
      <rPr>
        <sz val="9"/>
        <rFont val="Arial Narrow"/>
        <family val="2"/>
      </rPr>
      <t xml:space="preserve"> with screened and washed sharp sand for mortar and finished smooth to the rough surface of walls in all heights after racking out joints  etc. complete in all respect as directed by the Engineer in charge.</t>
    </r>
  </si>
  <si>
    <r>
      <t xml:space="preserve">Providing </t>
    </r>
    <r>
      <rPr>
        <b/>
        <sz val="9"/>
        <rFont val="Arial Narrow"/>
        <family val="2"/>
      </rPr>
      <t>20 mm thick C.P. with C.M. (1:6)</t>
    </r>
    <r>
      <rPr>
        <sz val="9"/>
        <rFont val="Arial Narrow"/>
        <family val="2"/>
      </rPr>
      <t xml:space="preserve"> with screened and washed sharp sand for mortar and finished smooth to the rough surface of walls in all heights after racking out joints  etc. complete in all respect as directed by the Engineer in charge.</t>
    </r>
  </si>
  <si>
    <r>
      <t xml:space="preserve">Closed </t>
    </r>
    <r>
      <rPr>
        <b/>
        <sz val="9"/>
        <rFont val="Arial Narrow"/>
        <family val="2"/>
      </rPr>
      <t>deep chipping and cleaning to R.C.C surface</t>
    </r>
    <r>
      <rPr>
        <sz val="9"/>
        <rFont val="Arial Narrow"/>
        <family val="2"/>
      </rPr>
      <t xml:space="preserve"> for receiving cement plaster per 1</t>
    </r>
  </si>
  <si>
    <r>
      <t xml:space="preserve">Providing Cement Punning </t>
    </r>
    <r>
      <rPr>
        <sz val="9"/>
        <rFont val="Arial Narrow"/>
        <family val="2"/>
      </rPr>
      <t>to the plastered surface of wall etc complete.</t>
    </r>
  </si>
  <si>
    <r>
      <t>10cm  thick  dry  brick  khoa</t>
    </r>
    <r>
      <rPr>
        <sz val="9"/>
        <rFont val="Arial Narrow"/>
        <family val="2"/>
      </rPr>
      <t xml:space="preserve">  using 4cm size including well watered  &amp; rammed to receive A.S. Flooring with cost, conveyance of  brick khoa and cost of labour etc. complete as per the direction of the Engineer-in-charge. </t>
    </r>
  </si>
  <si>
    <r>
      <t>10cm  thick  dry  epidorite metal or any other hard metal</t>
    </r>
    <r>
      <rPr>
        <sz val="9"/>
        <rFont val="Arial Narrow"/>
        <family val="2"/>
      </rPr>
      <t xml:space="preserve"> using 4cm size including well watered  &amp; rammed to receive A.S. Flooring with cost, conveyance of epidorite metal/any hard metal and cost of labour etc. complete as per the direction of the Engineer-in-charge. </t>
    </r>
  </si>
  <si>
    <r>
      <t xml:space="preserve">Providing </t>
    </r>
    <r>
      <rPr>
        <b/>
        <sz val="9"/>
        <rFont val="Arial Narrow"/>
        <family val="2"/>
      </rPr>
      <t>2.5cm thick A.S. Flooring</t>
    </r>
    <r>
      <rPr>
        <sz val="9"/>
        <rFont val="Arial Narrow"/>
        <family val="2"/>
      </rPr>
      <t xml:space="preserve"> with cement concrete (1:2:4) using 12mm size black hard granite crusher broken chips and screened &amp; washed sharp sand for mortar and finished smooth to the rough surface of floor and punning including watering and curing  etc. complete in all respect as directed by the Engineer in charge.</t>
    </r>
  </si>
  <si>
    <r>
      <t xml:space="preserve">Providing </t>
    </r>
    <r>
      <rPr>
        <b/>
        <sz val="9"/>
        <rFont val="Arial Narrow"/>
        <family val="2"/>
      </rPr>
      <t>2.5cm thick Grading Concrete</t>
    </r>
    <r>
      <rPr>
        <sz val="9"/>
        <rFont val="Arial Narrow"/>
        <family val="2"/>
      </rPr>
      <t xml:space="preserve"> over roof slab with cement concrete (1:2:2) using 6mm size black hard granite crusher broken chips and screened &amp; washed sharp sand for mortar and finished smooth to the rough surface of slab including watering and curing  etc. complete in all respect as directed by the Engineer in charge.</t>
    </r>
  </si>
  <si>
    <r>
      <t xml:space="preserve">Providing </t>
    </r>
    <r>
      <rPr>
        <b/>
        <sz val="9"/>
        <rFont val="Arial Narrow"/>
        <family val="2"/>
      </rPr>
      <t>4cm thick Grading Concrete</t>
    </r>
    <r>
      <rPr>
        <sz val="9"/>
        <rFont val="Arial Narrow"/>
        <family val="2"/>
      </rPr>
      <t xml:space="preserve"> over roof slab with cement concrete (1:2:4) using 12mm size black hard granite crusher broken chips and screened &amp; washed sharp sand for mortar and finished smooth to the rough surface of slab including watering and curing with cost, conveyance, royalties and taxes of all materials with cost of all labour, and T&amp;P required for the work etc. complete in all respect as directed by the Engineer in charge.</t>
    </r>
  </si>
  <si>
    <r>
      <t>Supplying, fitting, fixing of tile in floors</t>
    </r>
    <r>
      <rPr>
        <sz val="9"/>
        <rFont val="Arial Narrow"/>
        <family val="2"/>
      </rPr>
      <t xml:space="preserve"> marbonite or equivalent make in all floors over 25mm thick bed of cement mortar (1:1) jointed with neat cement slurry mixed with pigment to match the shades of the tiles  etc. complete as per the direction of the Engineer-in-charge. </t>
    </r>
  </si>
  <si>
    <r>
      <t>Supplying, fitting, fixing of tile in floors</t>
    </r>
    <r>
      <rPr>
        <sz val="9"/>
        <rFont val="Arial Narrow"/>
        <family val="2"/>
      </rPr>
      <t xml:space="preserve"> marbonite or equivalent make in all floors over 25mm thick bed of cement mortar (1:4) jointed with neat cement slurry mixed with pigment to match the shades of the tiles  etc. complete as per the direction of the Engineer-in-charge. </t>
    </r>
  </si>
  <si>
    <r>
      <t>Supplying, fitting, fixing of tile in dadoo</t>
    </r>
    <r>
      <rPr>
        <sz val="9"/>
        <rFont val="Arial Narrow"/>
        <family val="2"/>
      </rPr>
      <t xml:space="preserve"> marbonite or equivalent make in all floors over 12mm thick cement plaster (1:3) jointed with neat cement slurry mixed with pigment to match the shades of the tiles  etc. complete as per the direction of the Engineer-in-charge. </t>
    </r>
  </si>
  <si>
    <r>
      <t xml:space="preserve">Supplying, fitting, fixing of </t>
    </r>
    <r>
      <rPr>
        <b/>
        <sz val="9"/>
        <rFont val="Arial Narrow"/>
        <family val="2"/>
      </rPr>
      <t>vertified tile in floors</t>
    </r>
    <r>
      <rPr>
        <sz val="9"/>
        <rFont val="Arial Narrow"/>
        <family val="2"/>
      </rPr>
      <t xml:space="preserve"> of size 600mm x 600mm of approved make Confirming to IS-13755 with application of polymer modified cement based water resistant adhesive bed of required thickness of 3mm and filling joints with epoxy grout of approved quality including cost, conveyance and taxes of all materials, cost of all labour, T&amp;P etc. complete as per the direction of the Engineer-in-charge. </t>
    </r>
  </si>
  <si>
    <r>
      <t xml:space="preserve">Supplying, fitting, fixing of </t>
    </r>
    <r>
      <rPr>
        <b/>
        <sz val="9"/>
        <rFont val="Arial Narrow"/>
        <family val="2"/>
      </rPr>
      <t>vertified tile in floors</t>
    </r>
    <r>
      <rPr>
        <sz val="9"/>
        <rFont val="Arial Narrow"/>
        <family val="2"/>
      </rPr>
      <t xml:space="preserve"> of size 600mm x 600mm of approved make conforming to IS-13755 laid on 20mm thick  bed of cement mortar (1:4) and filling joints with white cementt of approved quality including cost, conveyance and taxes of all materials, cost of all labour, T&amp;P etc. complete as per the direction of the Engineer-in-charge. </t>
    </r>
  </si>
  <si>
    <r>
      <t xml:space="preserve">Dressed seasoned </t>
    </r>
    <r>
      <rPr>
        <b/>
        <sz val="9"/>
        <rFont val="Arial Narrow"/>
        <family val="2"/>
      </rPr>
      <t>sal wood work framed &amp; fixed in frames of doors &amp; windows</t>
    </r>
    <r>
      <rPr>
        <sz val="9"/>
        <rFont val="Arial Narrow"/>
        <family val="2"/>
      </rPr>
      <t xml:space="preserve"> including cost,conveyance of all materials and cost of labour for fitting, fixing etc.complete as per the instruction of Engineer-in-Charge .</t>
    </r>
  </si>
  <si>
    <r>
      <t>32mm piasal wood panelled shutters</t>
    </r>
    <r>
      <rPr>
        <sz val="9"/>
        <rFont val="Arial Narrow"/>
        <family val="2"/>
      </rPr>
      <t xml:space="preserve"> (of 32mm style  with  18mm panel) including cost conveyance of all materials and labour for fitting, fixing excluding  cost  of  iron fittings  etc.complete as per the instruction of Engineer-in-Charge .</t>
    </r>
  </si>
  <si>
    <r>
      <t xml:space="preserve">Supplying of </t>
    </r>
    <r>
      <rPr>
        <b/>
        <sz val="9"/>
        <rFont val="Arial Narrow"/>
        <family val="2"/>
      </rPr>
      <t>M.S. Grills</t>
    </r>
    <r>
      <rPr>
        <sz val="9"/>
        <rFont val="Arial Narrow"/>
        <family val="2"/>
      </rPr>
      <t xml:space="preserve"> etc including cost,conveyance of all materials etc.complete as per the instruction of Engineer-in-Charge .</t>
    </r>
  </si>
  <si>
    <r>
      <t xml:space="preserve">Supplying of </t>
    </r>
    <r>
      <rPr>
        <b/>
        <sz val="9"/>
        <rFont val="Arial Narrow"/>
        <family val="2"/>
      </rPr>
      <t>M.S.Doors, M.S. Gate</t>
    </r>
    <r>
      <rPr>
        <sz val="9"/>
        <rFont val="Arial Narrow"/>
        <family val="2"/>
      </rPr>
      <t xml:space="preserve"> etc including cost, conveyance of all materials etc.complete as per the instruction of Engineer-in-Charge .</t>
    </r>
  </si>
  <si>
    <r>
      <t xml:space="preserve">Supplying of </t>
    </r>
    <r>
      <rPr>
        <b/>
        <sz val="9"/>
        <rFont val="Arial Narrow"/>
        <family val="2"/>
      </rPr>
      <t>M.S.Windows/ Ventilator of fully glazed</t>
    </r>
    <r>
      <rPr>
        <sz val="9"/>
        <rFont val="Arial Narrow"/>
        <family val="2"/>
      </rPr>
      <t xml:space="preserve"> etc including cost, conveyance of all materials etc.complete as per the instruction of Engineer-in-Charge (Weight taken for measurement without glass)</t>
    </r>
  </si>
  <si>
    <r>
      <t xml:space="preserve">Providing fitting, fixing of </t>
    </r>
    <r>
      <rPr>
        <b/>
        <sz val="9"/>
        <rFont val="Arial Narrow"/>
        <family val="2"/>
      </rPr>
      <t>partition walling OEL</t>
    </r>
    <r>
      <rPr>
        <sz val="9"/>
        <rFont val="Arial Narrow"/>
        <family val="2"/>
      </rPr>
      <t xml:space="preserve"> anodized Al. section of 9210 and 9207 as single groove and double groove respectively as horizontal and vertical member and OEL section 4660 as tapered clip for fixing of </t>
    </r>
    <r>
      <rPr>
        <b/>
        <sz val="9"/>
        <rFont val="Arial Narrow"/>
        <family val="2"/>
      </rPr>
      <t>12mm thick pre-laminated board and jointing angle no 1855</t>
    </r>
    <r>
      <rPr>
        <sz val="9"/>
        <rFont val="Arial Narrow"/>
        <family val="2"/>
      </rPr>
      <t xml:space="preserve"> etc. including all cost of labour, T&amp;P, hire charges of drilling machine, labour charges etc. complete as per direction of Engineer-in-charge.</t>
    </r>
  </si>
  <si>
    <r>
      <t xml:space="preserve">Providing fitting, fixing of </t>
    </r>
    <r>
      <rPr>
        <b/>
        <sz val="9"/>
        <rFont val="Arial Narrow"/>
        <family val="2"/>
      </rPr>
      <t>Aluminium Door with OEL</t>
    </r>
    <r>
      <rPr>
        <sz val="9"/>
        <rFont val="Arial Narrow"/>
        <family val="2"/>
      </rPr>
      <t xml:space="preserve"> anodized Al. door section of 9202 as vertical member, 9200 as top  and   bottom  member.  9232 as middle member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t>
    </r>
  </si>
  <si>
    <r>
      <t xml:space="preserve">Providing fitting, fixing of </t>
    </r>
    <r>
      <rPr>
        <b/>
        <sz val="9"/>
        <rFont val="Arial Narrow"/>
        <family val="2"/>
      </rPr>
      <t>Aluminium Door with OEL</t>
    </r>
    <r>
      <rPr>
        <sz val="9"/>
        <rFont val="Arial Narrow"/>
        <family val="2"/>
      </rPr>
      <t xml:space="preserve"> anodized Al. door section of 9202 as vertical member, 9201 as top  and 9200 as bottom  and middle member and 6mm black glass in top portion with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t>
    </r>
  </si>
  <si>
    <r>
      <t xml:space="preserve">Supplying, fitting, fixing of </t>
    </r>
    <r>
      <rPr>
        <b/>
        <sz val="9"/>
        <rFont val="Arial Narrow"/>
        <family val="2"/>
      </rPr>
      <t>Window (Sliding type)</t>
    </r>
    <r>
      <rPr>
        <sz val="9"/>
        <rFont val="Arial Narrow"/>
        <family val="2"/>
      </rPr>
      <t xml:space="preserve"> made of aluminium section 151-154, 151-155, as window frame section No-151-155, 151-153 and 151-167 as shutter frame with 5mm thick black glass as panel fitted with rubber beading including locking arrangement including cost of materials all taxes labour, T&amp;P etc.complete as per direction of Engineer-in-charge.</t>
    </r>
  </si>
  <si>
    <r>
      <t xml:space="preserve">Supplying, fitting, fixing of </t>
    </r>
    <r>
      <rPr>
        <b/>
        <sz val="9"/>
        <rFont val="Arial Narrow"/>
        <family val="2"/>
      </rPr>
      <t>Window (Sliding type)</t>
    </r>
    <r>
      <rPr>
        <sz val="9"/>
        <rFont val="Arial Narrow"/>
        <family val="2"/>
      </rPr>
      <t xml:space="preserve"> made of aluminium section 9778 as window frame section No-4095,4096 and 9777,3994 as shutter frame with 5mm thick black glass as panel fitted with rubber beading including locking arrangement including cost of materials all taxes labour, T&amp;P etc.complete as per direction of Engineer-in-charge.</t>
    </r>
  </si>
  <si>
    <r>
      <t xml:space="preserve">Supplying, fitting, fixing of  fully glazed </t>
    </r>
    <r>
      <rPr>
        <b/>
        <sz val="9"/>
        <rFont val="Arial Narrow"/>
        <family val="2"/>
      </rPr>
      <t>openable</t>
    </r>
    <r>
      <rPr>
        <sz val="9"/>
        <rFont val="Arial Narrow"/>
        <family val="2"/>
      </rPr>
      <t xml:space="preserve"> </t>
    </r>
    <r>
      <rPr>
        <b/>
        <sz val="9"/>
        <rFont val="Arial Narrow"/>
        <family val="2"/>
      </rPr>
      <t>window</t>
    </r>
    <r>
      <rPr>
        <sz val="9"/>
        <rFont val="Arial Narrow"/>
        <family val="2"/>
      </rPr>
      <t xml:space="preserve"> using 15 micron anidized OEL aluminum section 2062 as out section, 9139 as mullion section, 4124 as a shutter section framed with tapered clip of section 4125, aluminum angle, rubber beading, friction stay and handle etc with 5mm black glass including cost of materials all taxes labour, T&amp;P etc.complete as per direction of Engineer-in-charge.</t>
    </r>
  </si>
  <si>
    <r>
      <t xml:space="preserve">Providing and fixing of </t>
    </r>
    <r>
      <rPr>
        <b/>
        <sz val="9"/>
        <rFont val="Arial Narrow"/>
        <family val="2"/>
      </rPr>
      <t>Sliding windows of approved make</t>
    </r>
    <r>
      <rPr>
        <sz val="9"/>
        <rFont val="Arial Narrow"/>
        <family val="2"/>
      </rPr>
      <t xml:space="preserve"> to be fabricated from roll formed sections made of pre-painted steel (base steel as per IS-513 of 0.6 mm thick “D” quality, galvanized as per IS-277with zinc of 120 Gm/Sq.mtr) with total coated thickness of 0.55 mm.  Sections for external frame bottom and top should be of 79 x 45 mm. external frame sides should be of 69 x 24 mm, guide for top and bottom should be of 69 x 26mm (Stainless Steel).Section for shutter should be of 26 x 30 mm, Sash bar should be of 23 x 57mm.Accessories / gaskets are to be used as per the manufacturer’s supply and specification like gasket will be made of EPDM. All corner brackets for internal and external are to be made of glass filled nylon. The sections are to be cut to length jointed  and assembled by means of corner bracket and frames are fixed to the concrete/masonry walls by means of self expanding screws and glass to be used of 5 mm reflective with cost, conveyance and taxes of all materials, cost of all labour, T&amp;P etc. complete as per the direction of the Engineer-in-charge. </t>
    </r>
  </si>
  <si>
    <r>
      <t xml:space="preserve">Providing and fixing of </t>
    </r>
    <r>
      <rPr>
        <b/>
        <sz val="9"/>
        <rFont val="Arial Narrow"/>
        <family val="2"/>
      </rPr>
      <t>Fixed Ventilators</t>
    </r>
    <r>
      <rPr>
        <sz val="9"/>
        <rFont val="Arial Narrow"/>
        <family val="2"/>
      </rPr>
      <t xml:space="preserve"> of approved make to be fabricated from roll formed sections made of pre-painted steel (base steel as per IS-513 of 0.6 mm thick “D” quality, galvanized as per IS-277 with zinc of 120 Gm/Sq.mtr) with paint specification being with primer of 5-7 microns and finished paint with polyster paint of 12-16 microns along with the alkyd backer at the back of 5-7 microns and the sizes of outer frame being of 46x52 mm and with all vertical and horizontal mullions are of 46x70 mm and fixed beadings are of 18x25 mm.Accessories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 mm reflective with cost, conveyance and taxes of all materials, cost of all labour, T&amp;P etc. complete as per the direction of the Engineer-in-charge. </t>
    </r>
  </si>
  <si>
    <r>
      <t xml:space="preserve">Providing and fixing of </t>
    </r>
    <r>
      <rPr>
        <b/>
        <sz val="9"/>
        <rFont val="Arial Narrow"/>
        <family val="2"/>
      </rPr>
      <t>Partly fixed, partly top hung and partly louvered</t>
    </r>
    <r>
      <rPr>
        <sz val="9"/>
        <rFont val="Arial Narrow"/>
        <family val="2"/>
      </rPr>
      <t xml:space="preserve"> windows of approved make to be fabricated from roll formed sections made of pre-painted steel (base steel as per IS- 513 of 0.6 mm thick “D” quality, galvanized as per IS-277 with zinc of 120 Gm/Sq.mtr) with paint pecification being with primer of 5-7 microns and finished paint with polyster paint of 12-16 microns alongwith the alkyd backer at the back of 5-7 microns and the sizes of outer frame being of 46x52 mm and with all vertical and horizontal mullions are of 46x70 mm and fixed beadings are of 18x25 mm. Section for internal top and bottom frames in the louvered areas should be 18 x 40 mm.Top hung shutter should be of 46 x 46 mm. 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5mm reflective with cost, conveyance and taxes of all materials, cost of all labour, T&amp;P etc. complete as per the direction of the Engineer-in-charge. </t>
    </r>
  </si>
  <si>
    <r>
      <t xml:space="preserve">Providing and fixing of </t>
    </r>
    <r>
      <rPr>
        <b/>
        <sz val="9"/>
        <rFont val="Arial Narrow"/>
        <family val="2"/>
      </rPr>
      <t>Swing Door of approved make</t>
    </r>
    <r>
      <rPr>
        <sz val="9"/>
        <rFont val="Arial Narrow"/>
        <family val="2"/>
      </rPr>
      <t xml:space="preserve">  to be fabricated from roll formed sections made of pre-painted steel (base steel as per IS-513 of 0.6 mm thick “D” quality, galvanized as per IS-277with zinc of 120 Gm/Sq.mtr) with paint specification being with primer of 5-7 microns and finished paint with polyster paint (Black /Pearl white/ Chocolate Brown) of 12-16 microns along with the alkyd backer at the back of 5-7 microns and sizes of outer frame being of 33 x 57 mm and shutter being of 46x52mm and 46x46mm and lock rail should be of 23x130mm Accessories / gaskets are to be used as per the manufacturer’s supply and specification like handle, lock and floor spring of approved quality. Gasket will be made of EPDM. All corner brackets are to be made of CRCA wth zinc phosphating.The sectio are to be  cut to length, mitre jointed with corner bracket and frames are fixed to the concrete/masonry walls by means of self expanding screws and glass to be used of 6 mm clear taxes etc. complete as per the direction of the Engineer-in-charge.</t>
    </r>
  </si>
  <si>
    <r>
      <t xml:space="preserve">Factory made </t>
    </r>
    <r>
      <rPr>
        <b/>
        <sz val="9"/>
        <rFont val="Arial Narrow"/>
        <family val="2"/>
      </rPr>
      <t>FRP Door / Window frame</t>
    </r>
    <r>
      <rPr>
        <sz val="9"/>
        <rFont val="Arial Narrow"/>
        <family val="2"/>
      </rPr>
      <t xml:space="preserve"> (alternately called GRP) of size 75mmx100mm fabricated using E-glass Chopped Strand Mat (CSM) U.V stabilised Inopthalic Gel coat and impregnated with Inopthalic resin. The thickness of the GRP skins shall not be less than 2.00mm. The doorframe consists of four segments, which are provided with plug-in-socket arrangement in-situ in the mould. The segments are plugged in and are joined together by means of screw. The GRP frame shall be provided with wooden reinforcement on six locations for high screw holding capacity for for fixing metallic hold fast and shall be consolidated by filling with medium density foam/plaster of paris with fibre reinforcement. The material and process for manufacturing the door frames shall conform to RV-TIFAC composites Design Centre's standards and specifications. The finish of door frame will be plain and different colour using high quality pigments complete in all respect as per specification and direction of the Engineer in charge. </t>
    </r>
  </si>
  <si>
    <r>
      <t xml:space="preserve">Factory made single leaf rigid </t>
    </r>
    <r>
      <rPr>
        <b/>
        <sz val="9"/>
        <rFont val="Arial Narrow"/>
        <family val="2"/>
      </rPr>
      <t>FRP sandwich composite door / window shutter</t>
    </r>
    <r>
      <rPr>
        <sz val="9"/>
        <rFont val="Arial Narrow"/>
        <family val="2"/>
      </rPr>
      <t xml:space="preserve"> (alternately called GRP) of 32mm thick laminated with two GRP skins with wood grain finish fabricated using UV-stabilised Isopthalic Gelcoat and one layer of 450 gsm E-glass Chopped Strand Mat (CSM) mpregnated with orthopthalic polyester resin. The thickness of the skins shall not be less than 1.50mm Expanded Polystyrone (EPS) structural foam panel of 29mm thickness and a density of 20kg/cu.mtr shall be used as core material. Wooden reinforcements made of seasoned sal wood block of cross section not less than 28mm x 32mm and also necessary sal wood reinforcements for fitting the metal fittings such as tower bolts, aldrops, handles etc shall be provided. A structural adhesive compatible with (EPS) foam shall be used for bending the core material. The material and process for manufacturing the door shutters shall conform to RV-TIFAC composites Design Centre's standards and specifications and the door shutters tested in conformation to IS: 4020-1998. The finish of door shutter will be plain colour as per specification and direction of the Engineer in charge. </t>
    </r>
  </si>
  <si>
    <r>
      <t xml:space="preserve">Supplying, fitting and fixing </t>
    </r>
    <r>
      <rPr>
        <b/>
        <sz val="9"/>
        <rFont val="Arial Narrow"/>
        <family val="2"/>
      </rPr>
      <t xml:space="preserve">hand railing of Stainless steel of 304 grade </t>
    </r>
    <r>
      <rPr>
        <sz val="9"/>
        <rFont val="Arial Narrow"/>
        <family val="2"/>
      </rPr>
      <t xml:space="preserve">using 50mm dia of 2mm thick circular pipe with Balustrade of size 32mm x 32mm x 2mm @ 0.90mtr. C/C and stainless square pipe bracing of size 32mm x 32mm x 2mm in 3 rows in stair case as per approved design and specification, buffing, polishing etc with cost, conveyance, taxes of all materials, cost of all labour, T&amp;P etc. required for the complete in all respect as per direction of the Engineer-in-charge. </t>
    </r>
  </si>
  <si>
    <r>
      <t>Supplying,</t>
    </r>
    <r>
      <rPr>
        <b/>
        <sz val="9"/>
        <rFont val="Arial Narrow"/>
        <family val="2"/>
      </rPr>
      <t xml:space="preserve"> Fitting &amp; Fixing  GCI Sheet of 0.4mm thick</t>
    </r>
    <r>
      <rPr>
        <sz val="9"/>
        <rFont val="Arial Narrow"/>
        <family val="2"/>
      </rPr>
      <t xml:space="preserve"> in Roofing including cost, conveyance of all materials  and labour for fitting fixing etc.complete as per the instruction of Engineer-in-Charge .</t>
    </r>
  </si>
  <si>
    <r>
      <t>Supplying,</t>
    </r>
    <r>
      <rPr>
        <b/>
        <sz val="9"/>
        <rFont val="Arial Narrow"/>
        <family val="2"/>
      </rPr>
      <t xml:space="preserve"> Fitting &amp; Fixing  AC Sheet in Roofing</t>
    </r>
    <r>
      <rPr>
        <sz val="9"/>
        <rFont val="Arial Narrow"/>
        <family val="2"/>
      </rPr>
      <t xml:space="preserve"> including cost, conveyance of all materials  and labour for fitting fixing etc.complete as per the instruction of Engineer-in-Charge .</t>
    </r>
  </si>
  <si>
    <r>
      <t>Supplying,</t>
    </r>
    <r>
      <rPr>
        <b/>
        <sz val="9"/>
        <rFont val="Arial Narrow"/>
        <family val="2"/>
      </rPr>
      <t xml:space="preserve"> Fitting &amp; Fixing  Asbestos sheet ridges</t>
    </r>
    <r>
      <rPr>
        <sz val="9"/>
        <rFont val="Arial Narrow"/>
        <family val="2"/>
      </rPr>
      <t xml:space="preserve"> or valleys (double) per RM  and labour for fitting fixing etc.complete as per the instruction of Engineer-in-Charge .</t>
    </r>
  </si>
  <si>
    <r>
      <t xml:space="preserve">Providing, Fitting &amp; Fixing of </t>
    </r>
    <r>
      <rPr>
        <b/>
        <sz val="9"/>
        <rFont val="Arial Narrow"/>
        <family val="2"/>
      </rPr>
      <t>False Ceiling  with 12 mm thick pre-laminated Novapan board,</t>
    </r>
    <r>
      <rPr>
        <sz val="9"/>
        <rFont val="Arial Narrow"/>
        <family val="2"/>
      </rPr>
      <t xml:space="preserve">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r>
  </si>
  <si>
    <r>
      <t xml:space="preserve">Providing, Fitting &amp; Fixing of </t>
    </r>
    <r>
      <rPr>
        <b/>
        <sz val="9"/>
        <rFont val="Arial Narrow"/>
        <family val="2"/>
      </rPr>
      <t>False Ceiling  with 12.5 mm thick Gypsum board,</t>
    </r>
    <r>
      <rPr>
        <sz val="9"/>
        <rFont val="Arial Narrow"/>
        <family val="2"/>
      </rPr>
      <t xml:space="preserve">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r>
  </si>
  <si>
    <r>
      <t xml:space="preserve">Providing, Fitting &amp; Fixing of </t>
    </r>
    <r>
      <rPr>
        <b/>
        <sz val="9"/>
        <rFont val="Arial Narrow"/>
        <family val="2"/>
      </rPr>
      <t>False Ceiling  with 12 mm thick pre-laminated Novapan board,</t>
    </r>
    <r>
      <rPr>
        <sz val="9"/>
        <rFont val="Arial Narrow"/>
        <family val="2"/>
      </rPr>
      <t xml:space="preserve">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r>
  </si>
  <si>
    <r>
      <t xml:space="preserve">Providing, Fitting &amp; Fixing of </t>
    </r>
    <r>
      <rPr>
        <b/>
        <sz val="9"/>
        <rFont val="Arial Narrow"/>
        <family val="2"/>
      </rPr>
      <t>False Ceiling  with 12.5 mm thick Gypsum board,</t>
    </r>
    <r>
      <rPr>
        <sz val="9"/>
        <rFont val="Arial Narrow"/>
        <family val="2"/>
      </rPr>
      <t xml:space="preserve">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r>
  </si>
  <si>
    <r>
      <t xml:space="preserve">Finishing plastered surfaces with </t>
    </r>
    <r>
      <rPr>
        <b/>
        <sz val="9"/>
        <rFont val="Arial Narrow"/>
        <family val="2"/>
      </rPr>
      <t>cement washing</t>
    </r>
    <r>
      <rPr>
        <sz val="9"/>
        <rFont val="Arial Narrow"/>
        <family val="2"/>
      </rPr>
      <t xml:space="preserve"> </t>
    </r>
    <r>
      <rPr>
        <b/>
        <sz val="9"/>
        <rFont val="Arial Narrow"/>
        <family val="2"/>
      </rPr>
      <t>one coat</t>
    </r>
    <r>
      <rPr>
        <sz val="9"/>
        <rFont val="Arial Narrow"/>
        <family val="2"/>
      </rPr>
      <t xml:space="preserve"> using cement  etc. required for the work complete in all respect as per the direction of the Engineer-in-charge. </t>
    </r>
  </si>
  <si>
    <r>
      <t xml:space="preserve">Finishing plastered surfaces with </t>
    </r>
    <r>
      <rPr>
        <b/>
        <sz val="9"/>
        <rFont val="Arial Narrow"/>
        <family val="2"/>
      </rPr>
      <t>wall primer one coat</t>
    </r>
    <r>
      <rPr>
        <sz val="9"/>
        <rFont val="Arial Narrow"/>
        <family val="2"/>
      </rPr>
      <t xml:space="preserve"> using cement including  etc. required for the work complete in all respect as per the direction of the Engineer-in-charge. </t>
    </r>
  </si>
  <si>
    <r>
      <t xml:space="preserve">Finishing plastered surfaces </t>
    </r>
    <r>
      <rPr>
        <b/>
        <sz val="9"/>
        <rFont val="Arial Narrow"/>
        <family val="2"/>
      </rPr>
      <t>one coat</t>
    </r>
    <r>
      <rPr>
        <sz val="9"/>
        <rFont val="Arial Narrow"/>
        <family val="2"/>
      </rPr>
      <t xml:space="preserve"> with </t>
    </r>
    <r>
      <rPr>
        <b/>
        <sz val="9"/>
        <rFont val="Arial Narrow"/>
        <family val="2"/>
      </rPr>
      <t xml:space="preserve">water proofing cement paint  </t>
    </r>
    <r>
      <rPr>
        <sz val="9"/>
        <rFont val="Arial Narrow"/>
        <family val="2"/>
      </rPr>
      <t xml:space="preserve">of approved shade on old work in all floors, all heights with staging wherever necessary  etc. required for the work complete in all respect as per the direction of the Engineer-in-charge. </t>
    </r>
  </si>
  <si>
    <r>
      <t>Finishing plastered surfaces</t>
    </r>
    <r>
      <rPr>
        <b/>
        <sz val="9"/>
        <rFont val="Arial Narrow"/>
        <family val="2"/>
      </rPr>
      <t xml:space="preserve"> two coats</t>
    </r>
    <r>
      <rPr>
        <sz val="9"/>
        <rFont val="Arial Narrow"/>
        <family val="2"/>
      </rPr>
      <t xml:space="preserve"> with </t>
    </r>
    <r>
      <rPr>
        <b/>
        <sz val="9"/>
        <rFont val="Arial Narrow"/>
        <family val="2"/>
      </rPr>
      <t>water proofing cement paint</t>
    </r>
    <r>
      <rPr>
        <sz val="9"/>
        <rFont val="Arial Narrow"/>
        <family val="2"/>
      </rPr>
      <t xml:space="preserve"> of approved shade on new work  in all floors, all heights with staging wherever necessary  etc. required for the work complete in all respect as per the direction of the Engineer-in-charge. </t>
    </r>
  </si>
  <si>
    <r>
      <t xml:space="preserve">Painting </t>
    </r>
    <r>
      <rPr>
        <b/>
        <sz val="9"/>
        <rFont val="Arial Narrow"/>
        <family val="2"/>
      </rPr>
      <t xml:space="preserve">two coats </t>
    </r>
    <r>
      <rPr>
        <sz val="9"/>
        <rFont val="Arial Narrow"/>
        <family val="2"/>
      </rPr>
      <t xml:space="preserve">with approved </t>
    </r>
    <r>
      <rPr>
        <b/>
        <sz val="9"/>
        <rFont val="Arial Narrow"/>
        <family val="2"/>
      </rPr>
      <t>weather seal paints</t>
    </r>
    <r>
      <rPr>
        <sz val="9"/>
        <rFont val="Arial Narrow"/>
        <family val="2"/>
      </rPr>
      <t xml:space="preserve"> of approved colour, shade on wall surface  including sand papering, polishing the surface,  etc, complete as per specification &amp; direction of Engineer-in-charge.</t>
    </r>
  </si>
  <si>
    <r>
      <t xml:space="preserve">Painting two coats with approved </t>
    </r>
    <r>
      <rPr>
        <b/>
        <sz val="9"/>
        <rFont val="Arial Narrow"/>
        <family val="2"/>
      </rPr>
      <t>weather seal paints</t>
    </r>
    <r>
      <rPr>
        <sz val="9"/>
        <rFont val="Arial Narrow"/>
        <family val="2"/>
      </rPr>
      <t xml:space="preserve"> of approved colour, shade on wall surface over a coat of wall primer including sand papering, polishing the surface,  etc, complete as per specification &amp; direction of Engineer-in-charge.</t>
    </r>
  </si>
  <si>
    <r>
      <t>Finishing plastered surfaces with</t>
    </r>
    <r>
      <rPr>
        <b/>
        <sz val="9"/>
        <rFont val="Arial Narrow"/>
        <family val="2"/>
      </rPr>
      <t xml:space="preserve"> Plaster of Paris</t>
    </r>
    <r>
      <rPr>
        <sz val="9"/>
        <rFont val="Arial Narrow"/>
        <family val="2"/>
      </rPr>
      <t xml:space="preserve">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t>
    </r>
  </si>
  <si>
    <r>
      <t>Finishing plastered surfaces with</t>
    </r>
    <r>
      <rPr>
        <b/>
        <sz val="9"/>
        <rFont val="Arial Narrow"/>
        <family val="2"/>
      </rPr>
      <t xml:space="preserve"> cement putty</t>
    </r>
    <r>
      <rPr>
        <sz val="9"/>
        <rFont val="Arial Narrow"/>
        <family val="2"/>
      </rPr>
      <t xml:space="preserve"> (water based)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t>
    </r>
  </si>
  <si>
    <r>
      <t xml:space="preserve">Painting two coats with </t>
    </r>
    <r>
      <rPr>
        <b/>
        <sz val="9"/>
        <rFont val="Arial Narrow"/>
        <family val="2"/>
      </rPr>
      <t>plastic emulsion paint</t>
    </r>
    <r>
      <rPr>
        <sz val="9"/>
        <rFont val="Arial Narrow"/>
        <family val="2"/>
      </rPr>
      <t xml:space="preserve">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t>
    </r>
  </si>
  <si>
    <r>
      <t xml:space="preserve">Painting two coats with </t>
    </r>
    <r>
      <rPr>
        <b/>
        <sz val="9"/>
        <rFont val="Arial Narrow"/>
        <family val="2"/>
      </rPr>
      <t>plastic emulsion paint</t>
    </r>
    <r>
      <rPr>
        <sz val="9"/>
        <rFont val="Arial Narrow"/>
        <family val="2"/>
      </rPr>
      <t xml:space="preserve"> over a coat of water bond cement primer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t>
    </r>
  </si>
  <si>
    <r>
      <t xml:space="preserve">Painting </t>
    </r>
    <r>
      <rPr>
        <b/>
        <sz val="9"/>
        <rFont val="Arial Narrow"/>
        <family val="2"/>
      </rPr>
      <t>one coats with distemper</t>
    </r>
    <r>
      <rPr>
        <sz val="9"/>
        <rFont val="Arial Narrow"/>
        <family val="2"/>
      </rPr>
      <t xml:space="preserve">  on old work to make an even finished surface in all floors and heights to wall surface of approved make and shade including sand papering, applying putty wherever necessary &amp; cost of scaffolding, staging charges  etc. complete as per the direction of the Engineer-in-charge. </t>
    </r>
  </si>
  <si>
    <r>
      <t xml:space="preserve">Painting </t>
    </r>
    <r>
      <rPr>
        <b/>
        <sz val="9"/>
        <rFont val="Arial Narrow"/>
        <family val="2"/>
      </rPr>
      <t>two coats with distemper</t>
    </r>
    <r>
      <rPr>
        <sz val="9"/>
        <rFont val="Arial Narrow"/>
        <family val="2"/>
      </rPr>
      <t xml:space="preserve">  on new work to make an even finished surface in all floors and heights to wall surface of approved make and shade including sand papering, applying putty wherever necessary &amp; cost of scaffolding, staging charges  etc. complete as per the direction of the Engineer-in-charge. </t>
    </r>
  </si>
  <si>
    <r>
      <t xml:space="preserve">Painting </t>
    </r>
    <r>
      <rPr>
        <b/>
        <sz val="9"/>
        <rFont val="Arial Narrow"/>
        <family val="2"/>
      </rPr>
      <t>two coats with distemper over one coat of primer</t>
    </r>
    <r>
      <rPr>
        <sz val="9"/>
        <rFont val="Arial Narrow"/>
        <family val="2"/>
      </rPr>
      <t xml:space="preserve"> to make an even finished surface in all floors and heights to wall surface of approved make and shade including sand papering, applying putty wherever necessary  etc. complete as per the direction of the Engineer-in-charge. </t>
    </r>
  </si>
  <si>
    <r>
      <t xml:space="preserve">White washing two coat </t>
    </r>
    <r>
      <rPr>
        <sz val="9"/>
        <rFont val="Arial Narrow"/>
        <family val="2"/>
      </rPr>
      <t xml:space="preserve">using shell lime with cost,conveyance of shell lime and cost of  all  labour etc. complete in all respect as per direction of the Engineer-in-charge. </t>
    </r>
  </si>
  <si>
    <r>
      <t xml:space="preserve">White washing three coat </t>
    </r>
    <r>
      <rPr>
        <sz val="9"/>
        <rFont val="Arial Narrow"/>
        <family val="2"/>
      </rPr>
      <t xml:space="preserve">using shell lime with cost,conveyance of shell lime and cost of  all  labour etc. complete in all respect as per direction of the Engineer-in-charge. </t>
    </r>
  </si>
  <si>
    <r>
      <t>Colour washing three coat</t>
    </r>
    <r>
      <rPr>
        <sz val="9"/>
        <rFont val="Arial Narrow"/>
        <family val="2"/>
      </rPr>
      <t xml:space="preserve"> using shell lime with cost, conveyance of shell lime,colouring materials and cost of labour etc complete in all respect as per direction of the Engineer-in-charge.</t>
    </r>
  </si>
  <si>
    <r>
      <t xml:space="preserve">Painting </t>
    </r>
    <r>
      <rPr>
        <b/>
        <sz val="9"/>
        <rFont val="Arial Narrow"/>
        <family val="2"/>
      </rPr>
      <t>two coats with approved enamel paints</t>
    </r>
    <r>
      <rPr>
        <sz val="9"/>
        <rFont val="Arial Narrow"/>
        <family val="2"/>
      </rPr>
      <t xml:space="preserve"> of approved colour, shade  over old Iron work including sand papering, polishing the surface, etc, complete as per specification &amp; direction of Engineer-in-charge.</t>
    </r>
  </si>
  <si>
    <r>
      <t xml:space="preserve">Painting </t>
    </r>
    <r>
      <rPr>
        <b/>
        <sz val="9"/>
        <rFont val="Arial Narrow"/>
        <family val="2"/>
      </rPr>
      <t>two coats with approved enamel paints</t>
    </r>
    <r>
      <rPr>
        <sz val="9"/>
        <rFont val="Arial Narrow"/>
        <family val="2"/>
      </rPr>
      <t xml:space="preserve"> of approved colour, shade over a coat of  primer over new Iron work including sand papering, polishing the surface, etc, complete as per specification &amp; direction of Engineer-in-charge.</t>
    </r>
  </si>
  <si>
    <r>
      <t xml:space="preserve">Coaltaring two coat on wood surface </t>
    </r>
    <r>
      <rPr>
        <sz val="9"/>
        <rFont val="Arial Narrow"/>
        <family val="2"/>
      </rPr>
      <t>used in purlin and rafter for AC sheet roofing etc complete.</t>
    </r>
  </si>
  <si>
    <r>
      <rPr>
        <b/>
        <sz val="9"/>
        <rFont val="Arial Narrow"/>
        <family val="2"/>
      </rPr>
      <t xml:space="preserve">Priming One coat on iron work </t>
    </r>
    <r>
      <rPr>
        <sz val="9"/>
        <rFont val="Arial Narrow"/>
        <family val="2"/>
      </rPr>
      <t>with red oxide primer etc complete.</t>
    </r>
  </si>
  <si>
    <r>
      <t xml:space="preserve">Painting </t>
    </r>
    <r>
      <rPr>
        <b/>
        <sz val="9"/>
        <rFont val="Arial Narrow"/>
        <family val="2"/>
      </rPr>
      <t>two coats with approved enamel paints</t>
    </r>
    <r>
      <rPr>
        <sz val="9"/>
        <rFont val="Arial Narrow"/>
        <family val="2"/>
      </rPr>
      <t xml:space="preserve"> of approved colour, shade  over old Wood work including sand papering, polishing the surface,  etc, complete as per specification &amp; direction of Engineer-in-charge.</t>
    </r>
  </si>
  <si>
    <r>
      <t xml:space="preserve">Painting </t>
    </r>
    <r>
      <rPr>
        <b/>
        <sz val="9"/>
        <rFont val="Arial Narrow"/>
        <family val="2"/>
      </rPr>
      <t>two coats with approved enamel paints</t>
    </r>
    <r>
      <rPr>
        <sz val="9"/>
        <rFont val="Arial Narrow"/>
        <family val="2"/>
      </rPr>
      <t xml:space="preserve"> of approved colour, shade over a coat of  primer over new Wood work including sand papering, polishing the surface,  etc, complete as per specification &amp; direction of Engineer-in-charge.</t>
    </r>
  </si>
  <si>
    <r>
      <rPr>
        <b/>
        <sz val="9"/>
        <rFont val="Arial Narrow"/>
        <family val="2"/>
      </rPr>
      <t>Fine dressing of earth work</t>
    </r>
    <r>
      <rPr>
        <sz val="9"/>
        <rFont val="Arial Narrow"/>
        <family val="2"/>
      </rPr>
      <t xml:space="preserve"> in Ordinary or Hard Soil in road formation according to the direction of the department including cutting or filling earth upto 0.15m depth of surface.</t>
    </r>
  </si>
  <si>
    <r>
      <rPr>
        <b/>
        <sz val="9"/>
        <rFont val="Arial Narrow"/>
        <family val="2"/>
      </rPr>
      <t xml:space="preserve">Cleaning grass and removal of rubbish </t>
    </r>
    <r>
      <rPr>
        <sz val="9"/>
        <rFont val="Arial Narrow"/>
        <family val="2"/>
      </rPr>
      <t>upto a distance of 50metres outside the peryphery of the area etc complete as per specification.</t>
    </r>
  </si>
  <si>
    <r>
      <rPr>
        <b/>
        <sz val="9"/>
        <rFont val="Arial Narrow"/>
        <family val="2"/>
      </rPr>
      <t xml:space="preserve">Cleaning and grubbing road land </t>
    </r>
    <r>
      <rPr>
        <sz val="9"/>
        <rFont val="Arial Narrow"/>
        <family val="2"/>
      </rPr>
      <t>including uprooting rank vegetation, grass, bushes, shrubs, sapling and trees girth up to 300mm, removal of stumps of trees cut earlier and disposal of unserviceable materials and stacking of serviceable materials to be used or auctioned, up to lead of 1000m including removal and disposal of top organic soil not exceeding 150mm in thickness. (in area of light jungle)</t>
    </r>
  </si>
  <si>
    <r>
      <rPr>
        <b/>
        <sz val="9"/>
        <rFont val="Arial Narrow"/>
        <family val="2"/>
      </rPr>
      <t>Providing, Fitting &amp; Fixing of 100mm dia PVC Rain water pipe</t>
    </r>
    <r>
      <rPr>
        <sz val="9"/>
        <rFont val="Arial Narrow"/>
        <family val="2"/>
      </rPr>
      <t xml:space="preserve">  with cost, conveyance, royalties and taxes of all materials with cost of all labour, and T&amp;P required for the work etc. complete in all respect as directed by the Engineer in charge.</t>
    </r>
  </si>
  <si>
    <r>
      <t>Providing Weep Holes</t>
    </r>
    <r>
      <rPr>
        <sz val="9"/>
        <rFont val="Arial Narrow"/>
        <family val="2"/>
      </rPr>
      <t xml:space="preserve"> in Brick Masonry / Plain / Reinforced cement concrete abutment, wing wall, return wall with 100mm dia A.C. Pipe, extending through the full width of the structure with slope1:20 etc complete as per drawing and Technical specifications</t>
    </r>
  </si>
  <si>
    <r>
      <t xml:space="preserve">20mm thick cement plaster (1:4) with punning </t>
    </r>
    <r>
      <rPr>
        <sz val="9"/>
        <rFont val="Arial Narrow"/>
        <family val="2"/>
      </rPr>
      <t>over stone masonry including all cost of labour and material etc complete as per specification.</t>
    </r>
  </si>
  <si>
    <r>
      <t>Gravel backing to revetments</t>
    </r>
    <r>
      <rPr>
        <sz val="9"/>
        <rFont val="Arial Narrow"/>
        <family val="2"/>
      </rPr>
      <t xml:space="preserve"> as per approved drawing &amp; technical specifications Including all cost of labour and material etc complete.</t>
    </r>
  </si>
  <si>
    <r>
      <t>Grouting to Aprons and revetments</t>
    </r>
    <r>
      <rPr>
        <sz val="9"/>
        <rFont val="Arial Narrow"/>
        <family val="2"/>
      </rPr>
      <t xml:space="preserve"> with cement concrete (1:4:8)  using 2.5cm size h.g.c.b.metal of 23cm deep including curing and cost, conveyance &amp; royalities of materials and labour charges etc.complete as per approved drawing &amp; technical specifications and as per direction of Engineer In Charge.</t>
    </r>
  </si>
  <si>
    <r>
      <rPr>
        <b/>
        <sz val="9"/>
        <rFont val="Arial Narrow"/>
        <family val="2"/>
      </rPr>
      <t xml:space="preserve">Providing 40mm to 90mm, size hard stone metal </t>
    </r>
    <r>
      <rPr>
        <sz val="9"/>
        <rFont val="Arial Narrow"/>
        <family val="2"/>
      </rPr>
      <t xml:space="preserve">other than granite in </t>
    </r>
    <r>
      <rPr>
        <b/>
        <sz val="9"/>
        <rFont val="Arial Narrow"/>
        <family val="2"/>
      </rPr>
      <t>filter media</t>
    </r>
    <r>
      <rPr>
        <sz val="9"/>
        <rFont val="Arial Narrow"/>
        <family val="2"/>
      </rPr>
      <t xml:space="preserve"> including spreading in uniform  thickness, hand packing, rolling with HRR or ramming with rammer to proper level, grade &amp; camber with sand to fill up the interstices for finished item of works as per direction of Engineer In Charge.</t>
    </r>
  </si>
  <si>
    <r>
      <t>Earth Work in embankment in hard soil</t>
    </r>
    <r>
      <rPr>
        <sz val="9"/>
        <rFont val="Arial Narrow"/>
        <family val="2"/>
      </rPr>
      <t xml:space="preserve"> obtained from borrow pits carried to site by transporting including rough dressing and rolling with PRR, watering upto OMC laying in layers not exceeding 0.23m with hire &amp; running charges of PRR and labour charges etc complete.</t>
    </r>
  </si>
  <si>
    <r>
      <t>Earth work in embankment</t>
    </r>
    <r>
      <rPr>
        <sz val="9"/>
        <rFont val="Arial Narrow"/>
        <family val="2"/>
      </rPr>
      <t xml:space="preserve"> obtained from borrow pits with carriage </t>
    </r>
    <r>
      <rPr>
        <b/>
        <sz val="9"/>
        <rFont val="Arial Narrow"/>
        <family val="2"/>
      </rPr>
      <t>by mechanical means</t>
    </r>
    <r>
      <rPr>
        <sz val="9"/>
        <rFont val="Arial Narrow"/>
        <family val="2"/>
      </rPr>
      <t xml:space="preserve"> as per approved drawing &amp; technical specifications and as per Clause -305 of  MoRT&amp;H specifications for Road &amp; Bridge works (Latest Revision ).</t>
    </r>
  </si>
  <si>
    <r>
      <t>Earth work in embankment with excavated earth</t>
    </r>
    <r>
      <rPr>
        <sz val="9"/>
        <rFont val="Arial Narrow"/>
        <family val="2"/>
      </rPr>
      <t xml:space="preserve"> as per approved drawing &amp; technical specifications and as per Clause -305 of  MoRT&amp;H specifications for Road &amp; Bridge works (Latest Revision ).</t>
    </r>
  </si>
  <si>
    <r>
      <rPr>
        <b/>
        <sz val="9"/>
        <rFont val="Arial Narrow"/>
        <family val="2"/>
      </rPr>
      <t xml:space="preserve">Excavation of any approved type of soil </t>
    </r>
    <r>
      <rPr>
        <sz val="9"/>
        <rFont val="Arial Narrow"/>
        <family val="2"/>
      </rPr>
      <t>in approved borrow area by mechanical means loading into and transportation by mechanical means and unloading the soil within initial lead of 1km on properly prepared and scientifically approved surface including spreading and levelling the earth in 22.5 cm layers to make ready for watering and compaction with sheep foot rollers and dozers but excluding watering and compaction in dams and dykes for all heights including construction, maintenance, watering and lighting of haul road and borrow area etc. complete as per the direction of Engineer-incharge.(measurement of the fill to be taken on the finished compacted section under OMC condition.)</t>
    </r>
  </si>
  <si>
    <r>
      <t>Collecting supplying and stacking</t>
    </r>
    <r>
      <rPr>
        <b/>
        <sz val="9"/>
        <rFont val="Arial Narrow"/>
        <family val="2"/>
      </rPr>
      <t xml:space="preserve"> good laterite moorum</t>
    </r>
    <r>
      <rPr>
        <sz val="9"/>
        <rFont val="Arial Narrow"/>
        <family val="2"/>
      </rPr>
      <t xml:space="preserve"> from approved quarry of approved quality on road side in box heaps of size 1.50 x1.50x0.44  measured as 1cum </t>
    </r>
  </si>
  <si>
    <r>
      <t xml:space="preserve">Conveying </t>
    </r>
    <r>
      <rPr>
        <b/>
        <sz val="9"/>
        <rFont val="Arial Narrow"/>
        <family val="2"/>
      </rPr>
      <t>from stack spreading moorum</t>
    </r>
    <r>
      <rPr>
        <sz val="9"/>
        <rFont val="Arial Narrow"/>
        <family val="2"/>
      </rPr>
      <t xml:space="preserve"> to proper camber on road surface including dressing  etc complete as per specification.</t>
    </r>
  </si>
  <si>
    <r>
      <rPr>
        <b/>
        <sz val="9"/>
        <rFont val="Arial Narrow"/>
        <family val="2"/>
      </rPr>
      <t xml:space="preserve">Collecting supplying stacking  good laterite moorum </t>
    </r>
    <r>
      <rPr>
        <sz val="9"/>
        <rFont val="Arial Narrow"/>
        <family val="2"/>
      </rPr>
      <t>from approved quarry and spreading in proper section etc complete as per specification.</t>
    </r>
  </si>
  <si>
    <r>
      <rPr>
        <b/>
        <sz val="9"/>
        <rFont val="Arial Narrow"/>
        <family val="2"/>
      </rPr>
      <t xml:space="preserve">Collecting supplying stacking  good laterite moorum </t>
    </r>
    <r>
      <rPr>
        <sz val="9"/>
        <rFont val="Arial Narrow"/>
        <family val="2"/>
      </rPr>
      <t>from approved quarry and spreading in proper section  and rolling with PRR etc complete as per specification.</t>
    </r>
  </si>
  <si>
    <r>
      <t xml:space="preserve">Providing compacted </t>
    </r>
    <r>
      <rPr>
        <b/>
        <sz val="9"/>
        <rFont val="Arial Narrow"/>
        <family val="2"/>
      </rPr>
      <t>granular materials in road sub-base/shoulder by using moorum</t>
    </r>
    <r>
      <rPr>
        <sz val="9"/>
        <rFont val="Arial Narrow"/>
        <family val="2"/>
      </rPr>
      <t xml:space="preserve"> in layers not exceeding 100mm watering and compacting to the required density in OMC with PRR including cost of all labour and maaterial etc complete.</t>
    </r>
  </si>
  <si>
    <r>
      <rPr>
        <b/>
        <sz val="9"/>
        <rFont val="Arial Narrow"/>
        <family val="2"/>
      </rPr>
      <t xml:space="preserve">Ordinary compaction by PRR </t>
    </r>
    <r>
      <rPr>
        <sz val="9"/>
        <rFont val="Arial Narrow"/>
        <family val="2"/>
      </rPr>
      <t>per day 708 cum.</t>
    </r>
  </si>
  <si>
    <r>
      <t xml:space="preserve">Compacting and watering upto </t>
    </r>
    <r>
      <rPr>
        <b/>
        <sz val="9"/>
        <rFont val="Arial Narrow"/>
        <family val="2"/>
      </rPr>
      <t>OMC rolling earth work with PRR</t>
    </r>
    <r>
      <rPr>
        <sz val="9"/>
        <rFont val="Arial Narrow"/>
        <family val="2"/>
      </rPr>
      <t xml:space="preserve"> in embankment in layers not exceeding 0.23m by PRR including hire and running charges of the roller.</t>
    </r>
  </si>
  <si>
    <r>
      <rPr>
        <b/>
        <sz val="9"/>
        <rFont val="Arial Narrow"/>
        <family val="2"/>
      </rPr>
      <t xml:space="preserve">Sectioning and cambering earth work </t>
    </r>
    <r>
      <rPr>
        <sz val="9"/>
        <rFont val="Arial Narrow"/>
        <family val="2"/>
      </rPr>
      <t>in road formation to proper specification approved by the department.</t>
    </r>
  </si>
  <si>
    <r>
      <rPr>
        <b/>
        <sz val="9"/>
        <rFont val="Arial Narrow"/>
        <family val="2"/>
      </rPr>
      <t xml:space="preserve">Ramming or rolling earth work with light HRR </t>
    </r>
    <r>
      <rPr>
        <sz val="9"/>
        <rFont val="Arial Narrow"/>
        <family val="2"/>
      </rPr>
      <t>in embankment in layers not exceeding 0.30m</t>
    </r>
  </si>
  <si>
    <r>
      <rPr>
        <b/>
        <sz val="9"/>
        <rFont val="Arial Narrow"/>
        <family val="2"/>
      </rPr>
      <t>Extra lead of 25mtr or part there of over the initial lead of 50m</t>
    </r>
    <r>
      <rPr>
        <sz val="9"/>
        <rFont val="Arial Narrow"/>
        <family val="2"/>
      </rPr>
      <t xml:space="preserve"> for earth work in all kinds of embankment and road works and ordinary earth work in general.</t>
    </r>
  </si>
  <si>
    <r>
      <rPr>
        <b/>
        <sz val="9"/>
        <rFont val="Arial Narrow"/>
        <family val="2"/>
      </rPr>
      <t xml:space="preserve">Extra lift of 1.5mtr or part there of over the initial lift of 1.5m </t>
    </r>
    <r>
      <rPr>
        <sz val="9"/>
        <rFont val="Arial Narrow"/>
        <family val="2"/>
      </rPr>
      <t>in all kinds of embankment and road works and ordinary earth work in general.</t>
    </r>
  </si>
  <si>
    <r>
      <t xml:space="preserve">P.C.C.M-15 Grade </t>
    </r>
    <r>
      <rPr>
        <sz val="9"/>
        <rFont val="Arial Narrow"/>
        <family val="2"/>
      </rPr>
      <t>using 40mm to 10mm size crushed stone aggregates mixed by concrete mixer, laying in layers and compacting by vibrator &amp; all leads and lifts including frame works etc complete.</t>
    </r>
  </si>
  <si>
    <r>
      <t xml:space="preserve">P.C.C.M-20 Grade </t>
    </r>
    <r>
      <rPr>
        <sz val="9"/>
        <rFont val="Arial Narrow"/>
        <family val="2"/>
      </rPr>
      <t>using 40mm to 10mm size crushed stone aggregates mixed by concrete mixer, laying in layers and compacting by vibrator &amp; all leads and lifts including frame works etc complete.</t>
    </r>
  </si>
  <si>
    <r>
      <t xml:space="preserve">P.C.C.M-25 Grade </t>
    </r>
    <r>
      <rPr>
        <sz val="9"/>
        <rFont val="Arial Narrow"/>
        <family val="2"/>
      </rPr>
      <t>using 40mm to 10mm size crushed stone aggregates mixed by concrete mixer, laying in layers and compacting by vibrator &amp; all leads and lifts including frame works etc complete.</t>
    </r>
  </si>
  <si>
    <r>
      <t>R.C.C. M-20 grade in structure of C.D. work</t>
    </r>
    <r>
      <rPr>
        <sz val="9"/>
        <rFont val="Arial Narrow"/>
        <family val="2"/>
      </rPr>
      <t xml:space="preserve"> as per approved drawing &amp; technical specifications including all cost of labour and material etc complete as per direction of EIC</t>
    </r>
  </si>
  <si>
    <r>
      <t>R.C.C. M-30 grade in wearing coat</t>
    </r>
    <r>
      <rPr>
        <sz val="9"/>
        <rFont val="Arial Narrow"/>
        <family val="2"/>
      </rPr>
      <t xml:space="preserve"> of C.D. work as per approved drawing &amp; technical specifications including all cost of labour and material etc complete.</t>
    </r>
  </si>
  <si>
    <r>
      <t xml:space="preserve">Laying of </t>
    </r>
    <r>
      <rPr>
        <b/>
        <sz val="9"/>
        <rFont val="Arial Narrow"/>
        <family val="2"/>
      </rPr>
      <t>NP3 Hume Pipe of 300mm dia.</t>
    </r>
    <r>
      <rPr>
        <sz val="9"/>
        <rFont val="Arial Narrow"/>
        <family val="2"/>
      </rPr>
      <t xml:space="preserve"> for pipe culverts as per approved drawing &amp; technical specifications including cost of pipe etc complete</t>
    </r>
  </si>
  <si>
    <r>
      <t xml:space="preserve">Laying of </t>
    </r>
    <r>
      <rPr>
        <b/>
        <sz val="9"/>
        <rFont val="Arial Narrow"/>
        <family val="2"/>
      </rPr>
      <t>NP3 Hume Pipe of 450mm dia.</t>
    </r>
    <r>
      <rPr>
        <sz val="9"/>
        <rFont val="Arial Narrow"/>
        <family val="2"/>
      </rPr>
      <t xml:space="preserve"> for pipe culverts as per approved drawing &amp; technical specifications including cost of pipe etc complete</t>
    </r>
  </si>
  <si>
    <r>
      <t xml:space="preserve">Laying of </t>
    </r>
    <r>
      <rPr>
        <b/>
        <sz val="9"/>
        <rFont val="Arial Narrow"/>
        <family val="2"/>
      </rPr>
      <t>NP3 Hume Pipe of 600mm dia.</t>
    </r>
    <r>
      <rPr>
        <sz val="9"/>
        <rFont val="Arial Narrow"/>
        <family val="2"/>
      </rPr>
      <t xml:space="preserve"> for pipe culverts as per approved drawing &amp; technical specifications including cost of pipe etc complete.</t>
    </r>
  </si>
  <si>
    <r>
      <t xml:space="preserve">Laying of </t>
    </r>
    <r>
      <rPr>
        <b/>
        <sz val="9"/>
        <rFont val="Arial Narrow"/>
        <family val="2"/>
      </rPr>
      <t>NP3 Hume Pipe of 900mm dia.</t>
    </r>
    <r>
      <rPr>
        <sz val="9"/>
        <rFont val="Arial Narrow"/>
        <family val="2"/>
      </rPr>
      <t xml:space="preserve"> for pipe culverts as per approved drawing &amp; technical specifications including cost of pipe etc complete</t>
    </r>
  </si>
  <si>
    <r>
      <t xml:space="preserve">Laying of </t>
    </r>
    <r>
      <rPr>
        <b/>
        <sz val="9"/>
        <rFont val="Arial Narrow"/>
        <family val="2"/>
      </rPr>
      <t>NP3 Hume Pipe of 1000mm dia.</t>
    </r>
    <r>
      <rPr>
        <sz val="9"/>
        <rFont val="Arial Narrow"/>
        <family val="2"/>
      </rPr>
      <t xml:space="preserve"> for pipe culverts as per approved drawing &amp; technical specifications including cost of pipe etc complete.</t>
    </r>
  </si>
  <si>
    <r>
      <t xml:space="preserve">Laying of </t>
    </r>
    <r>
      <rPr>
        <b/>
        <sz val="9"/>
        <rFont val="Arial Narrow"/>
        <family val="2"/>
      </rPr>
      <t>NP3 Hume Pipe of 1200mm dia.</t>
    </r>
    <r>
      <rPr>
        <sz val="9"/>
        <rFont val="Arial Narrow"/>
        <family val="2"/>
      </rPr>
      <t xml:space="preserve"> for pipe culverts as per approved drawing &amp; technical specifications including cost of pipe etc complete</t>
    </r>
  </si>
  <si>
    <r>
      <t xml:space="preserve">Providing fitting fixing with </t>
    </r>
    <r>
      <rPr>
        <b/>
        <sz val="9"/>
        <rFont val="Arial Narrow"/>
        <family val="2"/>
      </rPr>
      <t>sal wood battens 7.5cmx1.2cm with 6mm</t>
    </r>
    <r>
      <rPr>
        <sz val="9"/>
        <rFont val="Arial Narrow"/>
        <family val="2"/>
      </rPr>
      <t xml:space="preserve"> mesh wire netting or expanded metal including painting etc complete.</t>
    </r>
  </si>
  <si>
    <r>
      <t>3.14 / 4 x (0.375m)</t>
    </r>
    <r>
      <rPr>
        <vertAlign val="superscript"/>
        <sz val="9"/>
        <rFont val="Arial Narrow"/>
        <family val="2"/>
      </rPr>
      <t>2</t>
    </r>
    <r>
      <rPr>
        <sz val="9"/>
        <rFont val="Arial Narrow"/>
        <family val="2"/>
      </rPr>
      <t xml:space="preserve"> x 6.00m+ 4.13 x (0.375m)</t>
    </r>
    <r>
      <rPr>
        <vertAlign val="superscript"/>
        <sz val="9"/>
        <rFont val="Arial Narrow"/>
        <family val="2"/>
      </rPr>
      <t>3</t>
    </r>
    <r>
      <rPr>
        <sz val="9"/>
        <rFont val="Arial Narrow"/>
        <family val="2"/>
      </rPr>
      <t xml:space="preserve"> =</t>
    </r>
  </si>
  <si>
    <r>
      <t>3.14 / 4 x (0.300m)</t>
    </r>
    <r>
      <rPr>
        <vertAlign val="superscript"/>
        <sz val="9"/>
        <rFont val="Arial Narrow"/>
        <family val="2"/>
      </rPr>
      <t>2</t>
    </r>
    <r>
      <rPr>
        <sz val="9"/>
        <rFont val="Arial Narrow"/>
        <family val="2"/>
      </rPr>
      <t xml:space="preserve"> x 6.00m+ 4.13 x (0.300m)</t>
    </r>
    <r>
      <rPr>
        <vertAlign val="superscript"/>
        <sz val="9"/>
        <rFont val="Arial Narrow"/>
        <family val="2"/>
      </rPr>
      <t>3</t>
    </r>
    <r>
      <rPr>
        <sz val="9"/>
        <rFont val="Arial Narrow"/>
        <family val="2"/>
      </rPr>
      <t xml:space="preserve"> =</t>
    </r>
  </si>
  <si>
    <r>
      <t>3.14 / 4 x (0.250m)</t>
    </r>
    <r>
      <rPr>
        <vertAlign val="superscript"/>
        <sz val="9"/>
        <rFont val="Arial Narrow"/>
        <family val="2"/>
      </rPr>
      <t>2</t>
    </r>
    <r>
      <rPr>
        <sz val="9"/>
        <rFont val="Arial Narrow"/>
        <family val="2"/>
      </rPr>
      <t xml:space="preserve"> x 6.00m+ 4.13 x (0.250m)</t>
    </r>
    <r>
      <rPr>
        <vertAlign val="superscript"/>
        <sz val="9"/>
        <rFont val="Arial Narrow"/>
        <family val="2"/>
      </rPr>
      <t>3</t>
    </r>
    <r>
      <rPr>
        <sz val="9"/>
        <rFont val="Arial Narrow"/>
        <family val="2"/>
      </rPr>
      <t xml:space="preserve"> =</t>
    </r>
  </si>
  <si>
    <r>
      <t>3.14 / 4 x (0.375m)</t>
    </r>
    <r>
      <rPr>
        <vertAlign val="superscript"/>
        <sz val="9"/>
        <rFont val="Arial Narrow"/>
        <family val="2"/>
      </rPr>
      <t>2</t>
    </r>
    <r>
      <rPr>
        <sz val="9"/>
        <rFont val="Arial Narrow"/>
        <family val="2"/>
      </rPr>
      <t xml:space="preserve"> x 6.00m+ 8.26 x (0.375m)</t>
    </r>
    <r>
      <rPr>
        <vertAlign val="superscript"/>
        <sz val="9"/>
        <rFont val="Arial Narrow"/>
        <family val="2"/>
      </rPr>
      <t>3</t>
    </r>
    <r>
      <rPr>
        <sz val="9"/>
        <rFont val="Arial Narrow"/>
        <family val="2"/>
      </rPr>
      <t xml:space="preserve"> =</t>
    </r>
  </si>
  <si>
    <r>
      <t>3.14 / 4 x (0.300m)</t>
    </r>
    <r>
      <rPr>
        <vertAlign val="superscript"/>
        <sz val="9"/>
        <rFont val="Arial Narrow"/>
        <family val="2"/>
      </rPr>
      <t>2</t>
    </r>
    <r>
      <rPr>
        <sz val="9"/>
        <rFont val="Arial Narrow"/>
        <family val="2"/>
      </rPr>
      <t xml:space="preserve"> x 6.00m+ 8.26 x (0.300m)</t>
    </r>
    <r>
      <rPr>
        <vertAlign val="superscript"/>
        <sz val="9"/>
        <rFont val="Arial Narrow"/>
        <family val="2"/>
      </rPr>
      <t>3</t>
    </r>
    <r>
      <rPr>
        <sz val="9"/>
        <rFont val="Arial Narrow"/>
        <family val="2"/>
      </rPr>
      <t xml:space="preserve"> =</t>
    </r>
  </si>
  <si>
    <r>
      <t>3.14 / 4 x (0.250m)</t>
    </r>
    <r>
      <rPr>
        <vertAlign val="superscript"/>
        <sz val="9"/>
        <rFont val="Arial Narrow"/>
        <family val="2"/>
      </rPr>
      <t>2</t>
    </r>
    <r>
      <rPr>
        <sz val="9"/>
        <rFont val="Arial Narrow"/>
        <family val="2"/>
      </rPr>
      <t xml:space="preserve"> x 6.00m+ 8.26 x (0.250m)</t>
    </r>
    <r>
      <rPr>
        <vertAlign val="superscript"/>
        <sz val="9"/>
        <rFont val="Arial Narrow"/>
        <family val="2"/>
      </rPr>
      <t>3</t>
    </r>
    <r>
      <rPr>
        <sz val="9"/>
        <rFont val="Arial Narrow"/>
        <family val="2"/>
      </rPr>
      <t xml:space="preserve"> =</t>
    </r>
  </si>
  <si>
    <r>
      <t>Data per</t>
    </r>
    <r>
      <rPr>
        <sz val="9"/>
        <rFont val="Arial Narrow"/>
        <family val="2"/>
      </rPr>
      <t xml:space="preserve"> (2'-6" x 6'-6" = 15'-6" or,)</t>
    </r>
    <r>
      <rPr>
        <b/>
        <sz val="9"/>
        <rFont val="Arial Narrow"/>
        <family val="2"/>
      </rPr>
      <t xml:space="preserve"> 4.72mtr</t>
    </r>
    <r>
      <rPr>
        <sz val="9"/>
        <rFont val="Arial Narrow"/>
        <family val="2"/>
      </rPr>
      <t>.</t>
    </r>
  </si>
  <si>
    <r>
      <t>a)Cost of choukath</t>
    </r>
    <r>
      <rPr>
        <sz val="9"/>
        <rFont val="Arial Narrow"/>
        <family val="2"/>
      </rPr>
      <t xml:space="preserve"> as per EPM Rate per mtr=Rs</t>
    </r>
  </si>
  <si>
    <r>
      <t>Data per</t>
    </r>
    <r>
      <rPr>
        <sz val="9"/>
        <rFont val="Arial Narrow"/>
        <family val="2"/>
      </rPr>
      <t xml:space="preserve"> (2'-2"x 6'-4"=13.717sqm Or) </t>
    </r>
    <r>
      <rPr>
        <b/>
        <sz val="9"/>
        <rFont val="Arial Narrow"/>
        <family val="2"/>
      </rPr>
      <t>1.274sqm</t>
    </r>
  </si>
  <si>
    <r>
      <t>Cost of Shutter</t>
    </r>
    <r>
      <rPr>
        <sz val="9"/>
        <rFont val="Arial Narrow"/>
        <family val="2"/>
      </rPr>
      <t xml:space="preserve"> As per E.P.M. Rate per mtr = Rs</t>
    </r>
  </si>
  <si>
    <r>
      <rPr>
        <b/>
        <sz val="9"/>
        <rFont val="Arial Narrow"/>
        <family val="2"/>
      </rPr>
      <t xml:space="preserve">b) </t>
    </r>
    <r>
      <rPr>
        <sz val="9"/>
        <rFont val="Arial Narrow"/>
        <family val="2"/>
      </rPr>
      <t>Sundries and T&amp;P 2%</t>
    </r>
  </si>
  <si>
    <r>
      <t xml:space="preserve">(B) </t>
    </r>
    <r>
      <rPr>
        <b/>
        <sz val="9"/>
        <rFont val="Arial Narrow"/>
        <family val="2"/>
      </rPr>
      <t>Trasportation cost :</t>
    </r>
  </si>
  <si>
    <t xml:space="preserve">CR No :- </t>
  </si>
  <si>
    <t>(</t>
  </si>
  <si>
    <t>)</t>
  </si>
  <si>
    <t>Irrigation work Tank Excavation</t>
  </si>
  <si>
    <t>Roofing</t>
  </si>
  <si>
    <t>6mm thick A.C. sheet flat ceiling fitted and fixed complete excluding cost of A.C. sheets but including batttens 5cm ×3cm×1cm</t>
  </si>
  <si>
    <t>20cm to 25cm Single Nuria tiles Roofing with cement Mortar (1:6) borders 23cmx5cm at 1.80mtrs intervals complete per 1Sqm.</t>
  </si>
  <si>
    <t>Gharmi/Thacher</t>
  </si>
  <si>
    <t>Nuria tiles 20cm to 25cm long.</t>
  </si>
  <si>
    <t>Rate Per 9.30Sqm</t>
  </si>
  <si>
    <t>25cm to 30cm Single Nuria tiles Roofing with cement Mortar (1:6) borders 23cmx5cm at 1.80mtrs intervals complete per 1Sqm.</t>
  </si>
  <si>
    <t>Nuria tiles 25cm to 30cm long.</t>
  </si>
  <si>
    <t>20cm to 25cm Double Nuria tiles Roofing with cement Mortar (1:6) borders 23cmx5cm at 1.80mtrs intervals complete per 1Sqm.</t>
  </si>
  <si>
    <t>Pan Tiles</t>
  </si>
  <si>
    <t>20cm to 30cm Double Nuria tiles Roofing with cement Mortar (1:6) borders 23cmx5cm at 1.80mtrs intervals complete per 1Sqm.</t>
  </si>
  <si>
    <t xml:space="preserve">Roofing with pan tiles with cement mortar(1:6) border 23cm×5cm at 1.80 meter intervals, complete
</t>
  </si>
  <si>
    <t xml:space="preserve">Pan Tiles </t>
  </si>
  <si>
    <t xml:space="preserve">Roofing with pan tiles over existing G.C.I. Sheet or A.C. sheet per 1 sqm
</t>
  </si>
  <si>
    <t>Without Compaction.</t>
  </si>
  <si>
    <t>Avg.</t>
  </si>
  <si>
    <t>ABSTRACT OF WAGE PAYMENT.</t>
  </si>
  <si>
    <t>NAME OF LABOUR</t>
  </si>
  <si>
    <t>BANK NAME</t>
  </si>
  <si>
    <t>IFSC CODE</t>
  </si>
  <si>
    <t>ACCOUNT  NO</t>
  </si>
  <si>
    <t>AMOUNT IN RS</t>
  </si>
  <si>
    <t>MAN DAYS</t>
  </si>
  <si>
    <t>WAGE PER DAY</t>
  </si>
  <si>
    <t>TOTAL RS</t>
  </si>
  <si>
    <t>Beams</t>
  </si>
  <si>
    <t>Beam</t>
  </si>
  <si>
    <t>Total (A+B+C+D+E)</t>
  </si>
  <si>
    <t>TYPICAL CROSS SECTION OF DRAIN</t>
  </si>
  <si>
    <t>RCC DRAIN</t>
  </si>
  <si>
    <t>TYPICAL CROSS SECTION OF BOUNDARY WALL</t>
  </si>
  <si>
    <t>B WALL LATERITE FOUNDATION</t>
  </si>
  <si>
    <t>B WALL BRICK FOUNDATION</t>
  </si>
  <si>
    <t>PCC (1:3:6) DRAIN Batter Wall</t>
  </si>
  <si>
    <t>PCC (1:3:6) DRAIN Straight Wall</t>
  </si>
  <si>
    <t xml:space="preserve">RCC DRAIN </t>
  </si>
  <si>
    <t>ABSTRACT OF GROSS BILL</t>
  </si>
  <si>
    <t>Cost (Rs)</t>
  </si>
  <si>
    <t>Detail EST</t>
  </si>
  <si>
    <t>Abstract Est</t>
  </si>
  <si>
    <t>H</t>
  </si>
  <si>
    <t>Windowseal Slab</t>
  </si>
  <si>
    <t>J</t>
  </si>
  <si>
    <t>K</t>
  </si>
  <si>
    <t>L</t>
  </si>
  <si>
    <t>M</t>
  </si>
  <si>
    <t>N</t>
  </si>
  <si>
    <t>Supplying fitting fixing MS Door window  Grills etc complete as per specification.</t>
  </si>
  <si>
    <t>Supplying fitting fixing MS Door window shutters  etc complete as per specification.</t>
  </si>
  <si>
    <t>Centering &amp; Shuttering</t>
  </si>
  <si>
    <t>Transperency Board.</t>
  </si>
  <si>
    <t>WAGE BILL OF MATE</t>
  </si>
  <si>
    <t>Name of the Mate</t>
  </si>
  <si>
    <t>Name of the Bank :-</t>
  </si>
  <si>
    <t>Bank AC No</t>
  </si>
  <si>
    <t>ODMT 105</t>
  </si>
  <si>
    <t>Wages of Mate per Day</t>
  </si>
  <si>
    <t>Signature of Mate</t>
  </si>
  <si>
    <t>Hr/Cum</t>
  </si>
  <si>
    <t>1.4.18-29.10.18</t>
  </si>
  <si>
    <t>GST 1.07.17.............</t>
  </si>
  <si>
    <t>A. HB CHIPS</t>
  </si>
  <si>
    <t>B. CB CHIPS</t>
  </si>
  <si>
    <t>Check</t>
  </si>
  <si>
    <t>Hire and running charges of Plate vibrator.</t>
  </si>
  <si>
    <t>PCC (1:2:4)</t>
  </si>
  <si>
    <t>ABSTRACT OF VOUCHER</t>
  </si>
  <si>
    <t>Net Bill</t>
  </si>
  <si>
    <t>GT</t>
  </si>
  <si>
    <t>Hire Charges of Plate Vibrator</t>
  </si>
  <si>
    <t>Vendor Pad</t>
  </si>
  <si>
    <t>Deduct SD</t>
  </si>
  <si>
    <t>Deduct Excess Bill</t>
  </si>
  <si>
    <t>Bill</t>
  </si>
  <si>
    <t>% of Unskilled Wage</t>
  </si>
  <si>
    <t>% of Mterial</t>
  </si>
  <si>
    <t>E-TYPE STAFF QUARTER FOR GOVT. HIGH SCHOOL TARINIPASI.</t>
  </si>
  <si>
    <t>0'-6"</t>
  </si>
  <si>
    <t>6'-8"</t>
  </si>
  <si>
    <t>0'-9"</t>
  </si>
  <si>
    <t>1'-3"</t>
  </si>
  <si>
    <t>1'-0"</t>
  </si>
  <si>
    <t>7'-10"</t>
  </si>
  <si>
    <t>1'-8"</t>
  </si>
  <si>
    <t>9'-10"</t>
  </si>
  <si>
    <t>Dinning</t>
  </si>
  <si>
    <t>Bath Room</t>
  </si>
  <si>
    <t>7'-0" x 9'-0"</t>
  </si>
  <si>
    <t>2'-6"</t>
  </si>
  <si>
    <t>10'-10"</t>
  </si>
  <si>
    <t>14'-10"</t>
  </si>
  <si>
    <t>Wall almirah</t>
  </si>
  <si>
    <t>VW</t>
  </si>
  <si>
    <t>Grill door</t>
  </si>
  <si>
    <t>3'-0" x 6'-8" x 5nos</t>
  </si>
  <si>
    <t>2'-6" x 6'-8" x 2nos</t>
  </si>
  <si>
    <t>4'-0" x 4'-8" x 5nos</t>
  </si>
  <si>
    <t>3'-0" x 4'-8" x 2nos</t>
  </si>
  <si>
    <t>2'-6" x 4'-8" x 2nos</t>
  </si>
  <si>
    <t>3'-6" x 6'-8" x 2nos</t>
  </si>
  <si>
    <t>2'-0" x 1'-0" x 2 nos</t>
  </si>
  <si>
    <t>4'-6" x 6'-8" x 1 no</t>
  </si>
  <si>
    <t>WG</t>
  </si>
  <si>
    <t>5'-0" x 4'-8"x 2nos</t>
  </si>
  <si>
    <t>W back</t>
  </si>
  <si>
    <t>5'-0" x 4'-8" x 1no</t>
  </si>
  <si>
    <t>2'-10"</t>
  </si>
  <si>
    <t>1'-6"</t>
  </si>
  <si>
    <t>5'-10"</t>
  </si>
  <si>
    <t>7'-0"</t>
  </si>
  <si>
    <t>4'-10"</t>
  </si>
  <si>
    <t>5'-0" x 4'-0"</t>
  </si>
  <si>
    <t>13'-2" x 9'-0"</t>
  </si>
  <si>
    <t>5'-0"</t>
  </si>
  <si>
    <t>5'-0" x 3'-9"</t>
  </si>
  <si>
    <t>w2</t>
  </si>
  <si>
    <t>w</t>
  </si>
  <si>
    <t>14'-0" x 10'-0"</t>
  </si>
  <si>
    <t>12'-0" x 14'-0"</t>
  </si>
  <si>
    <t>8'-10"</t>
  </si>
  <si>
    <t>8'-0" x 14'-0"</t>
  </si>
  <si>
    <t>12'-10"</t>
  </si>
  <si>
    <t>OFFICE ROOM</t>
  </si>
  <si>
    <t>Junior Engineer</t>
  </si>
  <si>
    <t>30.10.18 to 31.03.19</t>
  </si>
  <si>
    <t>Opening</t>
  </si>
  <si>
    <t>1.4.19 to 30.09.19</t>
  </si>
  <si>
    <t>Sand Bed</t>
  </si>
  <si>
    <t>Sand Filter</t>
  </si>
  <si>
    <t>Paver Block 250mmx80mm</t>
  </si>
  <si>
    <t>(80mm lowest quoted rate @ 51.00/Sft</t>
  </si>
  <si>
    <t>Add watering charges</t>
  </si>
  <si>
    <t>Paver Block 60mm Thick</t>
  </si>
  <si>
    <t>Paver Block 80mm Thick</t>
  </si>
  <si>
    <t>(60mm lowest quoted rate @ 43.00/Sft</t>
  </si>
  <si>
    <t>Paver Block 250mm x 60mm</t>
  </si>
  <si>
    <t xml:space="preserve">ମହାତ୍ମା ଗାନ୍ଧୀ </t>
  </si>
  <si>
    <t xml:space="preserve">ଜାତୀୟ ଗ୍ରାମୀଣ ନିଶ୍ଚିତ କର୍ମ ନିଯୁକ୍ତି ଯୋଜନା </t>
  </si>
  <si>
    <t xml:space="preserve">ଓଡିଶା </t>
  </si>
  <si>
    <t xml:space="preserve">ଅଟକଳ ଅନୁଯାଇ ସାମଗ୍ରୀ </t>
  </si>
  <si>
    <t xml:space="preserve">ଅର୍ଦ୍ଧକୁଶଳୀ ଶ୍ରମିକ............................... ଜଣ </t>
  </si>
  <si>
    <t xml:space="preserve">କୁଶଳୀ ଶ୍ରମିକ............................... ଜଣ </t>
  </si>
  <si>
    <t xml:space="preserve">ଅତିକୁଶଳୀ ଶ୍ରମିକ............................... ଜଣ </t>
  </si>
  <si>
    <t xml:space="preserve">ପଥର...........................  ଟ୍ରିପ </t>
  </si>
  <si>
    <t xml:space="preserve">ମେଟାଲ .........................ଟ୍ରିପ </t>
  </si>
  <si>
    <t xml:space="preserve">ଛଡ............................... କ୍ୱିଣ୍ଟାଲ </t>
  </si>
  <si>
    <t xml:space="preserve">ବାଲି ..............................ଟ୍ରିପ </t>
  </si>
  <si>
    <t xml:space="preserve">ଇଟା ଖଣ୍ଡ </t>
  </si>
  <si>
    <t xml:space="preserve">ଚିପ୍ସ ଟ୍ରିପ </t>
  </si>
  <si>
    <t xml:space="preserve">ସିମେଣ୍ଟ ବସ୍ତା </t>
  </si>
  <si>
    <t xml:space="preserve">ମୋରମ ଟ୍ରିପ </t>
  </si>
  <si>
    <t xml:space="preserve">୧୦୦ ଘନଫୁଟ ମାଟି କାମ ର ଦର </t>
  </si>
  <si>
    <t xml:space="preserve">ମାଟିର ପ୍ରକାର                      କାମର ଦ୍ୱାରା ଦୈନିକ                      ବିଭିନ୍ନ ବର୍ଗର ଶ୍ରମିକ                ଦୈନିକ ମଜୁରୀ </t>
  </si>
  <si>
    <t xml:space="preserve">ସାଧାରଣ ମାଟି                                                                          ଅର୍ଦ୍ଧକୁଶଳୀ </t>
  </si>
  <si>
    <t xml:space="preserve">କଠିନ ମାଟି                                                                               କୁଶଳୀ </t>
  </si>
  <si>
    <t xml:space="preserve">ପଥୁରିଆ ମାଟି                                                                            ଅତିକୁଶଳୀ </t>
  </si>
  <si>
    <t xml:space="preserve">ଆମ୍ବୁଡ୍ସମାନ / ସାମାଜିକ ସମିକ୍ଷକ ଙ୍କ ନାମ ଓ ଯୋଗାଯୋଗ ନମ୍ବର ବା </t>
  </si>
  <si>
    <t xml:space="preserve">ଅଭିଯୋଗ ନିମନ୍ତେ ଟୋଲ ଫ୍ରି ନମ୍ବର : ୧୮୦୦ ୩୪୫ ୬୭୬୮  </t>
  </si>
  <si>
    <t xml:space="preserve">ମାଟିର ପ୍ରକାର   </t>
  </si>
  <si>
    <t xml:space="preserve">କାମର ଦର ଦୈନିକ  </t>
  </si>
  <si>
    <t xml:space="preserve">ବିଭିନ୍ନ ବର୍ଗର ଶ୍ରମିକ  </t>
  </si>
  <si>
    <t xml:space="preserve"> ଦୈନିକ ମଜୁରୀ </t>
  </si>
  <si>
    <t xml:space="preserve">ଅର୍ଦ୍ଧକୁଶଳୀ </t>
  </si>
  <si>
    <t xml:space="preserve">କୁଶଳୀ </t>
  </si>
  <si>
    <t xml:space="preserve">ଅତିକୁଶଳୀ </t>
  </si>
  <si>
    <t xml:space="preserve">ସାଧାରଣ ମାଟି     </t>
  </si>
  <si>
    <t xml:space="preserve">କଠିନ ମାଟି </t>
  </si>
  <si>
    <t xml:space="preserve">ପଥୁରିଆ ମାଟି  </t>
  </si>
  <si>
    <t xml:space="preserve">ଅଟକଳ ଅନୁଯାଇ ସାମଗ୍ରୀ- </t>
  </si>
  <si>
    <t>ଏହି ଯୋଜନାରେ ଅଣକୁଶଳୀ କାର୍ଯ୍ୟ କରିବାକୁ ଇଛୁକ ଥିବା ପ୍ରତ୍ୟେକ ଗ୍ରାମୀଣ ପରିବାରକୁ ବର୍ଷରେ ୧୦୦ ଦିନର ନିଶ୍ଚିତ କାମ ଯୋଗାଇ ଦିଆଯାଏ .</t>
  </si>
  <si>
    <t xml:space="preserve">ଗ୍ରାମପଞ୍ଚାୟତରେ ନାମ ପଂଜିକୃତ ହେବାର ୧୫ ଦିନ ମଧ୍ୟରେ ଜବ କାର୍ଡ ଯୋଗାଇ ଦିଆଯାଇଥାଏ </t>
  </si>
  <si>
    <t xml:space="preserve">ଗ୍ରାମପଂହାୟତରେ ଲିଖିତ କିମ୍ବା ମୌଖିକ ଭାବେ ଆବେଦନ କରିବାର ୧୫ ଦିନ ମଧ୍ୟରେ ଘର ଠାରୁ ୫ କି .ମି. ଦୂରତା ମଧ୍ୟରେ କାମ ଯୋଗାଇ ଦିଆଯାଏ </t>
  </si>
  <si>
    <t>ଆବେଦନ କରିବାର ୧୫ ଦିନ ମଧ୍ୟରେ କାମ ଯୋଗାଇ ନଦେଲେ ବେରୋଜଗାରୀ ଭତ୍ତା ପ୍ରଦାନ କରିବାର ବ୍ୟବସ୍ଥା ଅଛି .</t>
  </si>
  <si>
    <t>କାମ କରିବାର ୧୫ ଦିନ ମଧ୍ୟରେ ମଜୁରୀ ପ୍ରଦାନ କରାଯାଏ .</t>
  </si>
  <si>
    <t xml:space="preserve">୧୫ ଦିନ ମଧ୍ୟରେ ମଜୁରୀ ପ୍ରଦାନ ନକରାଗଲେ ଶ୍ରମିକ ମାନେ ଦିନକୁ ୦.୦୫ % ହିସାବରେ କ୍ଷତିପୂରଣ ଭତ୍ତା ପାଇବେ . </t>
  </si>
  <si>
    <t xml:space="preserve">କାର୍ଯ୍ୟକ୍ଷେତ୍ରରେ ଅନ୍ୟୁନ ୩୩ % ମହିଳା କାମ କରିବେ </t>
  </si>
  <si>
    <t>ନିଜ ଆଧାର କାର୍ଡ କୁ ଜବ କାର୍ଡ ଓ ବାଙ୍କ ଖାତା ସହିତ ସଂଯୋଗ କରନ୍ତୁ .</t>
  </si>
  <si>
    <t>ପୁରୁଷ ବା ମହିଳା ଶ୍ରମିକ ସମସ୍ତଙ୍କୁ ସମାନ ମଜୁରୀ ଦୈନିକ ୨୦୭ ଟଙ୍କା ପ୍ରଦାନ କରାଯାଇଥାଏ .</t>
  </si>
  <si>
    <t>କାମକଳାବେଳେ ଦୁର୍ଘଟଣା ହେଲେ ଚିକିତ୍ସାର ଖର୍ଚ ସରକାରଙ୍କ ଦ୍ୱାରା ବହନ କରାଯାଇଥାଏ .</t>
  </si>
  <si>
    <t xml:space="preserve">କାର୍ଯ୍ୟର ନାମ:- </t>
  </si>
  <si>
    <t>ଅଣକୁଶଳୀ ଶ୍ରମଦିବସ (ଅଟକଳ):-</t>
  </si>
  <si>
    <t>ଅଣକୁଶଳୀ ଶ୍ରମଦିବସ (ସୃଷ୍ଟି):-</t>
  </si>
  <si>
    <t>ମାପର ଏକକ :-</t>
  </si>
  <si>
    <t>ଗ୍ରାମ:-</t>
  </si>
  <si>
    <t>Office</t>
  </si>
  <si>
    <t>Kiosk</t>
  </si>
  <si>
    <t>MISSION SHAKTI BUILDING</t>
  </si>
  <si>
    <t>RS</t>
  </si>
  <si>
    <t>1.10.19 to  31.3.19</t>
  </si>
  <si>
    <t>ଜିଲ୍ଲା:- ଢେଙ୍କାନାଳ</t>
  </si>
  <si>
    <t>ବ୍ଲକ:- କାମାକ୍ଷାନଗର</t>
  </si>
  <si>
    <t>ଗ୍ରାମ ପଞ୍ଚାୟତ :-</t>
  </si>
  <si>
    <t>କାର୍ଯ୍ୟର କୋଡ ନମ୍ବର:-୨୪୦୭୦୦୪ ............./WC/WH/RC/AV/.................................</t>
  </si>
  <si>
    <t>ପ୍ରକଳ୍ପ ଅଟକଳ ପରିମାଣ:- ଟ</t>
  </si>
  <si>
    <t>କାର୍ଯ୍ୟ ଆରମ୍ଭ ତାରିଖ:-ତା</t>
  </si>
  <si>
    <t>କାର୍ଯ୍ୟ ଶେଷ ତାରିଖ:- ତା</t>
  </si>
  <si>
    <t xml:space="preserve">କାର୍ଯ୍ୟ  ଦିବସ </t>
  </si>
  <si>
    <t xml:space="preserve">ଅର୍ଦ୍ଧକୁଶଳୀ ଶ୍ରମିକ..................କାର୍ଯ୍ୟ  ଦିବସ </t>
  </si>
  <si>
    <t xml:space="preserve">କୁଶଳୀ ଶ୍ରମିକ........................କାର୍ଯ୍ୟ  ଦିବସ </t>
  </si>
  <si>
    <t xml:space="preserve">ଅତିକୁଶଳୀ ଶ୍ରମିକ...................କାର୍ଯ୍ୟ  ଦିବସ </t>
  </si>
  <si>
    <t>ଘନ ମି.</t>
  </si>
  <si>
    <t>ପଥର........................ଘନ ମି.</t>
  </si>
  <si>
    <t>ମେଟାଲ ...................ଘନ ମି.</t>
  </si>
  <si>
    <t xml:space="preserve">ଛଡ......................... କ୍ୱିଣ୍ଟାଲ </t>
  </si>
  <si>
    <t>ବାଲି ........................ଘନ ମି.</t>
  </si>
  <si>
    <t>ଚିପ୍ସ…………………………ଘନ ମି.</t>
  </si>
  <si>
    <t>ମୋରମ……………………ଘନ ମି.</t>
  </si>
  <si>
    <t xml:space="preserve">ସିମେଣ୍ଟ………...……….. ବସ୍ତା </t>
  </si>
  <si>
    <t xml:space="preserve">ଇଟା…………………….. ଖଣ୍ଡ </t>
  </si>
  <si>
    <t xml:space="preserve">ଅଣକୁଶଳୀ ଶ୍ରମିକ ଅଂଶ:.........................................ଟଙ୍କା </t>
  </si>
  <si>
    <t xml:space="preserve">ସାମଗ୍ରୀ ଅଂଶ:...................................................... ଟଙ୍କା </t>
  </si>
  <si>
    <t>1.04.20 to 30.9.20</t>
  </si>
  <si>
    <t>VERANDAH</t>
  </si>
  <si>
    <t>RCC M20</t>
  </si>
  <si>
    <t>29.12.20</t>
  </si>
  <si>
    <t>30.3.21</t>
  </si>
  <si>
    <t>Cemet/Qntl (Including GST)</t>
  </si>
  <si>
    <t>Steel/Qntl (Including GST)</t>
  </si>
  <si>
    <t>Before 29.12.20</t>
  </si>
  <si>
    <t>NREGS Date</t>
  </si>
  <si>
    <t>1.10.20 to  31.3.21</t>
  </si>
  <si>
    <t>HANG BEAM LONG</t>
  </si>
  <si>
    <t>HANG BEAM CROSS</t>
  </si>
  <si>
    <t>HEAD MASTER ROOM</t>
  </si>
  <si>
    <t>CLASS ROOM-2</t>
  </si>
  <si>
    <t>CLASS ROOM-3</t>
  </si>
  <si>
    <t>CLASS ROOM-1</t>
  </si>
  <si>
    <t>CLASS ROOM-4</t>
  </si>
  <si>
    <t>OPEN TO SKY</t>
  </si>
  <si>
    <t>2.00 Mtr Wide Corridor</t>
  </si>
  <si>
    <t>CLASS ROOM-5</t>
  </si>
  <si>
    <t>SCIENCE LAB</t>
  </si>
  <si>
    <t>CLASS ROOM-6</t>
  </si>
  <si>
    <t>CLASS ROOM-7</t>
  </si>
  <si>
    <t xml:space="preserve">ଆର୍ଥିକ ବର୍ଷ:-୨୦୨୦-୨୧/୨୦୨୧-୨୨  </t>
  </si>
  <si>
    <t xml:space="preserve">ଦୈନିକ ମଜୁରୀ :-୧୮୮.୦୦/ ୨୦୭.୦୦/ ୨୧୫.୦୦   ଟଙ୍କା </t>
  </si>
  <si>
    <t xml:space="preserve">କାର୍ଯ୍ୟନିର୍ବାହୀ ସଂସ୍ଥାର ନାମ :- ପଞ୍ଚାୟତ  ସମିତି କାମାକ୍ଷାନଗର/ ଗ୍ରାମ ପଞ୍ଚାୟତ କୋଟଗର </t>
  </si>
  <si>
    <t>28.6.21</t>
  </si>
  <si>
    <t>Second Floor</t>
  </si>
  <si>
    <t>Superstructure of Second Floor</t>
  </si>
  <si>
    <t>Rate In  First Floor.</t>
  </si>
  <si>
    <t>Rate In Superstructure of First Floor.</t>
  </si>
  <si>
    <t>Rate of First floor</t>
  </si>
  <si>
    <t>Add extra for 2nd floor @ 15% over labour for lifting of concrete.</t>
  </si>
  <si>
    <t>Rtae as 1st floor</t>
  </si>
  <si>
    <t>Add @ 20% extra for 2nd floor</t>
  </si>
  <si>
    <t>Basic Rate of Reinforcement in 1st Floor.</t>
  </si>
  <si>
    <t>2nd Floor</t>
  </si>
  <si>
    <t>Basic Rate in 1st Floor.</t>
  </si>
  <si>
    <t>1.4.21 to  30.9.21</t>
  </si>
  <si>
    <t>27.09.21</t>
  </si>
  <si>
    <t>RCC including Centering and shuttering</t>
  </si>
  <si>
    <t>III</t>
  </si>
  <si>
    <t>Basic Rate of R.C.C. in 1st Floor</t>
  </si>
  <si>
    <t>Basic Rate of R.C.C. in  1st Floor</t>
  </si>
  <si>
    <t>Add @ 20% extra for GF</t>
  </si>
  <si>
    <t>Rtae as GF</t>
  </si>
  <si>
    <t>Third Floor</t>
  </si>
  <si>
    <t>Superstructure of Third Floor</t>
  </si>
  <si>
    <t>(vii)</t>
  </si>
  <si>
    <t>(viii)</t>
  </si>
  <si>
    <t>3rd Floor</t>
  </si>
  <si>
    <t>Basic Rate in 2nd Floor.</t>
  </si>
  <si>
    <t>IV</t>
  </si>
  <si>
    <t>Superstructure of  Second Floor</t>
  </si>
  <si>
    <t>LINTEL</t>
  </si>
  <si>
    <t>COLUMN AND BEAM</t>
  </si>
  <si>
    <t>ROOF SLAB</t>
  </si>
  <si>
    <t>PLINTH BAND</t>
  </si>
  <si>
    <t>FOUNDATION RAFT COLUMN BASE AND PILE CAPS</t>
  </si>
  <si>
    <t>STAIR CASE</t>
  </si>
  <si>
    <t>CHAJJA</t>
  </si>
  <si>
    <t>SHELVES</t>
  </si>
  <si>
    <t>FINS PARAPET AND HAND RAILS</t>
  </si>
  <si>
    <t>Ground Floor (M20)/(1:1.5:3)</t>
  </si>
  <si>
    <t>First Floor (M20)/(1:1.5:3)</t>
  </si>
  <si>
    <t>2nd Floor (M20)/(1:1.5:3)</t>
  </si>
  <si>
    <t>3rd Floor (M20)/(1:1.5:3)</t>
  </si>
  <si>
    <t>O</t>
  </si>
  <si>
    <t>1.4.21</t>
  </si>
  <si>
    <t>1.4.16</t>
  </si>
  <si>
    <t>1.4.17</t>
  </si>
  <si>
    <t>1.4.18</t>
  </si>
  <si>
    <t>1.4.19</t>
  </si>
  <si>
    <t>1.4.20</t>
  </si>
  <si>
    <t>Piasal wood planks for shutter</t>
  </si>
  <si>
    <t>d) Contractor Profit @ 7.50%</t>
  </si>
  <si>
    <t>c) Overhead Charges @ 7.50%</t>
  </si>
  <si>
    <t>e ) Lead &amp; Royality of Materials</t>
  </si>
  <si>
    <t xml:space="preserve"> Overhead Charges @ 7.50%</t>
  </si>
  <si>
    <t xml:space="preserve"> Contractor Profit @ 7.50%</t>
  </si>
  <si>
    <t>Rate In Second Floor</t>
  </si>
  <si>
    <t>e) Lead &amp; Royality of Materials</t>
  </si>
  <si>
    <t>Rate Per Each Cum = (a+b+c+d+e)</t>
  </si>
  <si>
    <t>d) Carriage &amp; Royality</t>
  </si>
  <si>
    <t>27.12.21</t>
  </si>
  <si>
    <t>Sqm @</t>
  </si>
  <si>
    <t>/Sft</t>
  </si>
  <si>
    <t>17.3.22</t>
  </si>
  <si>
    <t>1.10.21 to  31.3.22</t>
  </si>
  <si>
    <t>Sft</t>
  </si>
  <si>
    <t>Collabssible Gate</t>
  </si>
  <si>
    <t>Rolling Shutter</t>
  </si>
  <si>
    <t>Steel Railing/Parapet</t>
  </si>
  <si>
    <t>Steel Gate</t>
  </si>
  <si>
    <t>KNAGAR</t>
  </si>
  <si>
    <t>JSPUR</t>
  </si>
  <si>
    <t>Kg/Sft</t>
  </si>
  <si>
    <t>2"</t>
  </si>
  <si>
    <t>20Ft</t>
  </si>
  <si>
    <t>1"</t>
  </si>
  <si>
    <t>5.50Kg</t>
  </si>
  <si>
    <t>3/4"</t>
  </si>
  <si>
    <t>0.60Kg/Ft</t>
  </si>
  <si>
    <t>0.275Kg/Sft</t>
  </si>
  <si>
    <t>0.20Kg/Sft</t>
  </si>
  <si>
    <t>1.97Kg/Mtr</t>
  </si>
  <si>
    <t>0.90Kg/Mtr</t>
  </si>
  <si>
    <t>0.66Kg/Mtr</t>
  </si>
  <si>
    <t>0.70Kg/Ft</t>
  </si>
  <si>
    <t>0.40Kg/Sft</t>
  </si>
  <si>
    <t>0.30Kg/Sft</t>
  </si>
  <si>
    <t>2.29Kg/Mtr</t>
  </si>
  <si>
    <t>1.31Kg/Mtr</t>
  </si>
  <si>
    <t>0.98Kg/Mtr</t>
  </si>
  <si>
    <t>12.00 Kg</t>
  </si>
  <si>
    <t>4.00Kg</t>
  </si>
  <si>
    <t>27.6.22</t>
  </si>
  <si>
    <t>AS PER SR 2006</t>
  </si>
  <si>
    <t>Long Wall</t>
  </si>
  <si>
    <t>Short Wall</t>
  </si>
  <si>
    <t>./Sft</t>
  </si>
  <si>
    <t>./Ft</t>
  </si>
  <si>
    <t>FOR Wall Panelling Cup Board Etc.</t>
  </si>
  <si>
    <t>Brass Butt hinges heavy type ( I.S.I )</t>
  </si>
  <si>
    <t>GI Pipe</t>
  </si>
  <si>
    <t>Steel Pipe</t>
  </si>
  <si>
    <t>14.00 Kg</t>
  </si>
  <si>
    <t>8.00Kg</t>
  </si>
  <si>
    <t>6.00Kg</t>
  </si>
  <si>
    <t>29.9.22</t>
  </si>
  <si>
    <t>1.4.22 to  30.9.22</t>
  </si>
  <si>
    <t>1.10.22 to  31.3.23</t>
  </si>
  <si>
    <t>1.4.22</t>
  </si>
  <si>
    <t>26.12.22</t>
  </si>
  <si>
    <t>NON NREGS</t>
  </si>
  <si>
    <t>1.4.23 to  30.9.23</t>
  </si>
  <si>
    <t>27.3.23</t>
  </si>
  <si>
    <t>NEW MISCELLANEOUS MATERIALS</t>
  </si>
  <si>
    <t>Epoxy Coating
Providing fusion bonded epoxy coating not less than 175 microne thickness and upto 300 micron to reinforcement of all diameters as per IS 13620-1993 including testing of coating at plant.</t>
  </si>
  <si>
    <t>32mm</t>
  </si>
  <si>
    <t>b) Overhead Charges @ 7.50%</t>
  </si>
  <si>
    <t>c) Contractor Profit @ 7.50%</t>
  </si>
  <si>
    <t xml:space="preserve">d) Add 20% for dressing &amp; levelling of trench </t>
  </si>
  <si>
    <t>e) Add Cess @ 1.00%</t>
  </si>
  <si>
    <t>Rate Per 100 Cum (a+b+c+d)</t>
  </si>
  <si>
    <t>Rate Per 100 Cum (a+b+c+d+e)</t>
  </si>
  <si>
    <t>b) Materials</t>
  </si>
  <si>
    <t>e) Materials (Lead +Royalty)</t>
  </si>
  <si>
    <t>Total Cost Per 100 Cum (a+b+c+d+e)</t>
  </si>
  <si>
    <t>d) Add for Cess @ 1%</t>
  </si>
  <si>
    <t>f) Add for Cess @ 1%</t>
  </si>
  <si>
    <t>Total Cost Per 100 Cum (a+b+c+d+e+f)</t>
  </si>
  <si>
    <t xml:space="preserve"> Add for Cess @ 1%</t>
  </si>
  <si>
    <t>Using 12mm Crusher Broken Chips</t>
  </si>
  <si>
    <t>b)Material</t>
  </si>
  <si>
    <t>T(a+b)</t>
  </si>
  <si>
    <t>Total (a+b+c+d+e)</t>
  </si>
  <si>
    <t>T (a+b)</t>
  </si>
  <si>
    <t xml:space="preserve"> e) Lead &amp; Royality of Materials</t>
  </si>
  <si>
    <t xml:space="preserve"> f)Add for Cess @ 1%</t>
  </si>
  <si>
    <t>Rate Per Each Sqm (a+b+c+d+e+f)</t>
  </si>
  <si>
    <t xml:space="preserve">Rate Per Each Sqm </t>
  </si>
  <si>
    <t>Rate Per Each Sqm</t>
  </si>
  <si>
    <t>Vertified Tile (600mmx600mm) Printed</t>
  </si>
  <si>
    <t>Royality+10%DMF+5%EMF+Addl Charges</t>
  </si>
  <si>
    <t>Column C1</t>
  </si>
  <si>
    <t>Column C2</t>
  </si>
  <si>
    <t>Lang Wall</t>
  </si>
  <si>
    <t>Inside Plinth</t>
  </si>
  <si>
    <t>Sorround Column</t>
  </si>
  <si>
    <t>2nd footing</t>
  </si>
  <si>
    <t>3rd footing /Plinth Wall</t>
  </si>
  <si>
    <t>C1</t>
  </si>
  <si>
    <t>C2</t>
  </si>
  <si>
    <t>Steps Tread</t>
  </si>
  <si>
    <t>Steps riser</t>
  </si>
  <si>
    <t>Deduct Door</t>
  </si>
  <si>
    <t>Ceiling</t>
  </si>
  <si>
    <t>Supply of Podium</t>
  </si>
  <si>
    <t>Supplying fitting fixing Panel Board for smart board with White and Green board and bottom part cupboard</t>
  </si>
  <si>
    <t>White and Green Board</t>
  </si>
  <si>
    <r>
      <t xml:space="preserve">CMO / REC / BS / BHU / 7/10.-11 / Dated - </t>
    </r>
    <r>
      <rPr>
        <b/>
        <sz val="9"/>
        <rFont val="Arial"/>
        <family val="2"/>
      </rPr>
      <t>23.08.16</t>
    </r>
  </si>
  <si>
    <r>
      <t>93m</t>
    </r>
    <r>
      <rPr>
        <vertAlign val="superscript"/>
        <sz val="9"/>
        <rFont val="Arial"/>
        <family val="2"/>
      </rPr>
      <t>2</t>
    </r>
  </si>
  <si>
    <r>
      <t xml:space="preserve">Dismantling &amp; removing </t>
    </r>
    <r>
      <rPr>
        <b/>
        <sz val="9"/>
        <rFont val="Arial"/>
        <family val="2"/>
      </rPr>
      <t>RCC Columns / Beams / Slab</t>
    </r>
    <r>
      <rPr>
        <sz val="9"/>
        <rFont val="Arial"/>
        <family val="2"/>
      </rPr>
      <t xml:space="preserve"> including stacking the useful materials for reuse  &amp;  removing the debris within 50m lead  with  cost  of  all labour etc. complete.</t>
    </r>
  </si>
  <si>
    <r>
      <t xml:space="preserve">Dismantling &amp; removing </t>
    </r>
    <r>
      <rPr>
        <b/>
        <sz val="9"/>
        <rFont val="Arial"/>
        <family val="2"/>
      </rPr>
      <t>Brick / Stone Masonry</t>
    </r>
    <r>
      <rPr>
        <sz val="9"/>
        <rFont val="Arial"/>
        <family val="2"/>
      </rPr>
      <t xml:space="preserve"> in C.M./L.M. including stacking the useful materials for reuse  &amp;  removing the debris within 50m lead  with  cost  of  all labour etc. complete.</t>
    </r>
  </si>
  <si>
    <r>
      <t xml:space="preserve">Dismantling &amp; removing </t>
    </r>
    <r>
      <rPr>
        <b/>
        <sz val="9"/>
        <rFont val="Arial"/>
        <family val="2"/>
      </rPr>
      <t>2.5cm thick A.S. Flooring</t>
    </r>
    <r>
      <rPr>
        <sz val="9"/>
        <rFont val="Arial"/>
        <family val="2"/>
      </rPr>
      <t xml:space="preserve"> including stacking the useful materials for reuse  &amp;  removing the debris within 50m lead  with  cost  of  all labour etc. complete.</t>
    </r>
  </si>
  <si>
    <r>
      <t xml:space="preserve">Removing Old lime or </t>
    </r>
    <r>
      <rPr>
        <b/>
        <sz val="9"/>
        <rFont val="Arial"/>
        <family val="2"/>
      </rPr>
      <t>cement plaster</t>
    </r>
    <r>
      <rPr>
        <sz val="9"/>
        <rFont val="Arial"/>
        <family val="2"/>
      </rPr>
      <t xml:space="preserve"> including raking out joints 12mm deep and removing the debris within 50m lead  with  cost  of  all labour etc. complete.</t>
    </r>
  </si>
  <si>
    <r>
      <t xml:space="preserve">Dismantling </t>
    </r>
    <r>
      <rPr>
        <b/>
        <sz val="9"/>
        <rFont val="Arial"/>
        <family val="2"/>
      </rPr>
      <t>G.C.I. Sheet or A.C. Sheet roofing</t>
    </r>
    <r>
      <rPr>
        <sz val="9"/>
        <rFont val="Arial"/>
        <family val="2"/>
      </rPr>
      <t xml:space="preserve"> after carefully removing nuts &amp; bolts including stacking the useful materials for reuse  &amp;  removing the debris within 50m lead  with  cost  of  all labour etc. complete.</t>
    </r>
  </si>
  <si>
    <r>
      <t xml:space="preserve">Dismantling wrought and framed </t>
    </r>
    <r>
      <rPr>
        <b/>
        <sz val="9"/>
        <rFont val="Arial"/>
        <family val="2"/>
      </rPr>
      <t>timber in roof frame</t>
    </r>
    <r>
      <rPr>
        <sz val="9"/>
        <rFont val="Arial"/>
        <family val="2"/>
      </rPr>
      <t xml:space="preserve"> work or floors after carefully removing nails, nuts &amp; bolts including stacking the useful materials for reuse  &amp;  removing the debris within 50m lead  with  cost  of  all labour etc. complete.</t>
    </r>
  </si>
  <si>
    <r>
      <t xml:space="preserve">Dismantling &amp; removing </t>
    </r>
    <r>
      <rPr>
        <b/>
        <sz val="9"/>
        <rFont val="Arial"/>
        <family val="2"/>
      </rPr>
      <t>doors, windows &amp; ventilators</t>
    </r>
    <r>
      <rPr>
        <sz val="9"/>
        <rFont val="Arial"/>
        <family val="2"/>
      </rPr>
      <t xml:space="preserve"> including removal of frame, hinges, fastening  and stacking the useful materials for reuse  &amp;  removing the debris within 50m lead  with  cost  of  all labour etc. complete.</t>
    </r>
  </si>
  <si>
    <r>
      <t xml:space="preserve">Dismantling &amp; Removing </t>
    </r>
    <r>
      <rPr>
        <b/>
        <sz val="9"/>
        <rFont val="Arial"/>
        <family val="2"/>
      </rPr>
      <t xml:space="preserve">2.5cm thick grading concrete </t>
    </r>
    <r>
      <rPr>
        <sz val="9"/>
        <rFont val="Arial"/>
        <family val="2"/>
      </rPr>
      <t>from roof slab including removing the debris within 50m lead  with  cost  of  all labour etc. complete.</t>
    </r>
  </si>
  <si>
    <r>
      <t xml:space="preserve">Removing </t>
    </r>
    <r>
      <rPr>
        <b/>
        <sz val="9"/>
        <rFont val="Arial"/>
        <family val="2"/>
      </rPr>
      <t>grading plaster from roof slab</t>
    </r>
    <r>
      <rPr>
        <sz val="9"/>
        <rFont val="Arial"/>
        <family val="2"/>
      </rPr>
      <t xml:space="preserve"> including removing the debris within 50m lead  with  cost  of  all labour etc. complete.</t>
    </r>
  </si>
  <si>
    <r>
      <t xml:space="preserve">Dismantling &amp; Removing </t>
    </r>
    <r>
      <rPr>
        <b/>
        <sz val="9"/>
        <rFont val="Arial"/>
        <family val="2"/>
      </rPr>
      <t>cement concrete</t>
    </r>
    <r>
      <rPr>
        <sz val="9"/>
        <rFont val="Arial"/>
        <family val="2"/>
      </rPr>
      <t xml:space="preserve"> including stacking the useful materials for reuse and removing the debris within 50m lead  with  cost  of  all labour etc. complete.</t>
    </r>
  </si>
  <si>
    <r>
      <t xml:space="preserve">Dismantling &amp; Removing </t>
    </r>
    <r>
      <rPr>
        <b/>
        <sz val="9"/>
        <rFont val="Arial"/>
        <family val="2"/>
      </rPr>
      <t>RCC Chajja, Shelve, Fins</t>
    </r>
    <r>
      <rPr>
        <sz val="9"/>
        <rFont val="Arial"/>
        <family val="2"/>
      </rPr>
      <t xml:space="preserve"> including stacking the useful materials for reuse and removing the debris within 50m lead  with  cost  of  all labour etc. complete.</t>
    </r>
  </si>
  <si>
    <r>
      <t xml:space="preserve">Dismantling &amp; Removing </t>
    </r>
    <r>
      <rPr>
        <b/>
        <sz val="9"/>
        <rFont val="Arial"/>
        <family val="2"/>
      </rPr>
      <t>marble chips flooring</t>
    </r>
    <r>
      <rPr>
        <sz val="9"/>
        <rFont val="Arial"/>
        <family val="2"/>
      </rPr>
      <t xml:space="preserve"> including stacking the useful materials for reuse and removing the debris within 50m lead  with  cost  of  all labour etc. complete.</t>
    </r>
  </si>
  <si>
    <r>
      <t xml:space="preserve">Dismantling &amp; Removing </t>
    </r>
    <r>
      <rPr>
        <b/>
        <sz val="9"/>
        <rFont val="Arial"/>
        <family val="2"/>
      </rPr>
      <t>marble chips dadoos</t>
    </r>
    <r>
      <rPr>
        <sz val="9"/>
        <rFont val="Arial"/>
        <family val="2"/>
      </rPr>
      <t xml:space="preserve"> &amp; skirting including stacking the useful materials for reuse and removing the debris within 50m lead  with  cost  of  all labour etc. complete.</t>
    </r>
  </si>
  <si>
    <r>
      <t xml:space="preserve">Dismantling &amp; Removing </t>
    </r>
    <r>
      <rPr>
        <b/>
        <sz val="9"/>
        <rFont val="Arial"/>
        <family val="2"/>
      </rPr>
      <t>old tile flooring</t>
    </r>
    <r>
      <rPr>
        <sz val="9"/>
        <rFont val="Arial"/>
        <family val="2"/>
      </rPr>
      <t xml:space="preserve"> including stacking the useful materials for reuse and removing the debris within 50m lead  with  cost  of  all labour etc. complete.</t>
    </r>
  </si>
  <si>
    <r>
      <t xml:space="preserve">Dismantling &amp; Removing </t>
    </r>
    <r>
      <rPr>
        <b/>
        <sz val="9"/>
        <rFont val="Arial"/>
        <family val="2"/>
      </rPr>
      <t>old tile cladding</t>
    </r>
    <r>
      <rPr>
        <sz val="9"/>
        <rFont val="Arial"/>
        <family val="2"/>
      </rPr>
      <t xml:space="preserve"> from walls including stacking the useful materials for reuse and removing the debris within 50m lead  with  cost  of  all labour etc. complete.</t>
    </r>
  </si>
  <si>
    <r>
      <t xml:space="preserve">Dismantling &amp; Removing </t>
    </r>
    <r>
      <rPr>
        <b/>
        <sz val="9"/>
        <rFont val="Arial"/>
        <family val="2"/>
      </rPr>
      <t xml:space="preserve">pan or single nuria or Mangalore tile roofing (Tiles only) </t>
    </r>
    <r>
      <rPr>
        <sz val="9"/>
        <rFont val="Arial"/>
        <family val="2"/>
      </rPr>
      <t xml:space="preserve"> including stacking the useful materials for reuse and removing the debris within 50m lead  with  cost  of  all labour etc. complete.</t>
    </r>
  </si>
  <si>
    <r>
      <t xml:space="preserve">Dismantling &amp; Removing </t>
    </r>
    <r>
      <rPr>
        <b/>
        <sz val="9"/>
        <rFont val="Arial"/>
        <family val="2"/>
      </rPr>
      <t xml:space="preserve">flat and pan tile roofing (Tiles only) </t>
    </r>
    <r>
      <rPr>
        <sz val="9"/>
        <rFont val="Arial"/>
        <family val="2"/>
      </rPr>
      <t xml:space="preserve"> including stacking the useful materials for reuse and removing the debris within 50m lead  with  cost  of  all labour etc. complete.</t>
    </r>
  </si>
  <si>
    <r>
      <t>Dismantling</t>
    </r>
    <r>
      <rPr>
        <b/>
        <sz val="9"/>
        <rFont val="Arial"/>
        <family val="2"/>
      </rPr>
      <t xml:space="preserve"> reepers under tiled roof ( Pan, flat or nuria tiles</t>
    </r>
    <r>
      <rPr>
        <sz val="9"/>
        <rFont val="Arial"/>
        <family val="2"/>
      </rPr>
      <t xml:space="preserve"> after careful removal of nails including stacking the useful materials for reuse and removing the debris within 50m lead  with  cost  of  all labour etc. complete.</t>
    </r>
  </si>
  <si>
    <r>
      <t xml:space="preserve">Dismantling and removing </t>
    </r>
    <r>
      <rPr>
        <b/>
        <sz val="9"/>
        <rFont val="Arial"/>
        <family val="2"/>
      </rPr>
      <t>old tarfelt from roof slab</t>
    </r>
    <r>
      <rPr>
        <sz val="9"/>
        <rFont val="Arial"/>
        <family val="2"/>
      </rPr>
      <t>, cleaning the surface,lowering and removing the debris within 50m lead etc complete as per specification and direction of Engineer-in-Charge.</t>
    </r>
  </si>
  <si>
    <r>
      <rPr>
        <b/>
        <sz val="9"/>
        <rFont val="Arial"/>
        <family val="2"/>
      </rPr>
      <t>Scarping Plaster in Lime or Cement Mortar from Brick/ Stone Masonry including</t>
    </r>
    <r>
      <rPr>
        <sz val="9"/>
        <rFont val="Arial"/>
        <family val="2"/>
      </rPr>
      <t xml:space="preserve"> T&amp;P, sorting the dismantled material, disposal of unserviceable material and stacking the serviceable material with all lifts and lead of 1000 metres etc complete as per specification and direction of Engineer-in-Charge.</t>
    </r>
  </si>
  <si>
    <r>
      <rPr>
        <b/>
        <sz val="9"/>
        <rFont val="Arial"/>
        <family val="2"/>
      </rPr>
      <t>Scraping of Bricks dismantled from Brick Work</t>
    </r>
    <r>
      <rPr>
        <sz val="9"/>
        <rFont val="Arial"/>
        <family val="2"/>
      </rPr>
      <t xml:space="preserve"> in lime or cement mortar including T&amp;P, sorting the dismantled material, disposal of unserviceable material and stacking the serviceable material with all lifts and lead of 1000 metres etc complete as per specification and direction of Engineer-in-Charge.</t>
    </r>
  </si>
  <si>
    <r>
      <rPr>
        <b/>
        <sz val="9"/>
        <rFont val="Arial"/>
        <family val="2"/>
      </rPr>
      <t xml:space="preserve">Dismantling Wood Work wrought framed and fixed in frames of trusses </t>
    </r>
    <r>
      <rPr>
        <sz val="9"/>
        <rFont val="Arial"/>
        <family val="2"/>
      </rPr>
      <t>upto a height of 5 m above plinth level including T&amp;P and scaffolding wherever necessary, sorting the dismantled material, disposal of unserviceable material and stacking the serviceable material with all lifts and lead of 1000 metres etc complete as per specification and direction of Engineer-in-Charge.</t>
    </r>
  </si>
  <si>
    <r>
      <t>E/W in excavation of foundation</t>
    </r>
    <r>
      <rPr>
        <sz val="9"/>
        <rFont val="Arial"/>
        <family val="2"/>
      </rPr>
      <t xml:space="preserve"> trenches in </t>
    </r>
    <r>
      <rPr>
        <b/>
        <sz val="9"/>
        <rFont val="Arial"/>
        <family val="2"/>
      </rPr>
      <t>hard soi</t>
    </r>
    <r>
      <rPr>
        <sz val="9"/>
        <rFont val="Arial"/>
        <family val="2"/>
      </rPr>
      <t>l including dressing of sides and levelling the bed complete as directed by the Engineer in charge.</t>
    </r>
  </si>
  <si>
    <r>
      <t>E/W in excavation of foundation</t>
    </r>
    <r>
      <rPr>
        <sz val="9"/>
        <rFont val="Arial"/>
        <family val="2"/>
      </rPr>
      <t xml:space="preserve"> trenches in </t>
    </r>
    <r>
      <rPr>
        <b/>
        <sz val="9"/>
        <rFont val="Arial"/>
        <family val="2"/>
      </rPr>
      <t>ordinary soil</t>
    </r>
    <r>
      <rPr>
        <sz val="9"/>
        <rFont val="Arial"/>
        <family val="2"/>
      </rPr>
      <t xml:space="preserve"> including dressing of sides and levelling the bed complete as directed by the Engineer in charge.</t>
    </r>
  </si>
  <si>
    <r>
      <t xml:space="preserve">E/W in excavation of foundation trenches in </t>
    </r>
    <r>
      <rPr>
        <b/>
        <sz val="9"/>
        <rFont val="Arial"/>
        <family val="2"/>
      </rPr>
      <t>slushy  soil</t>
    </r>
    <r>
      <rPr>
        <sz val="9"/>
        <rFont val="Arial"/>
        <family val="2"/>
      </rPr>
      <t xml:space="preserve"> including dressing of sides and levelling the bed complete as directed by the Engineer in charge.</t>
    </r>
  </si>
  <si>
    <r>
      <t>E/W in excavation of foundation trenches in</t>
    </r>
    <r>
      <rPr>
        <b/>
        <sz val="9"/>
        <rFont val="Arial"/>
        <family val="2"/>
      </rPr>
      <t xml:space="preserve"> stoney earth</t>
    </r>
    <r>
      <rPr>
        <sz val="9"/>
        <rFont val="Arial"/>
        <family val="2"/>
      </rPr>
      <t xml:space="preserve"> including dressing of sides and levelling the bed complete as directed by the Engineer in charge.</t>
    </r>
  </si>
  <si>
    <r>
      <t>E/W in excavation of foundation trenches in</t>
    </r>
    <r>
      <rPr>
        <b/>
        <sz val="9"/>
        <rFont val="Arial"/>
        <family val="2"/>
      </rPr>
      <t xml:space="preserve"> Laterite rock or any hard rock other than granite removed by </t>
    </r>
    <r>
      <rPr>
        <sz val="9"/>
        <rFont val="Arial"/>
        <family val="2"/>
      </rPr>
      <t xml:space="preserve"> chiselling including dressing of sides and levelling the bed not exceeding 1.5m in depth and depositing the soil within initial lead of 50m  complete as directed by the Engineer in charge.</t>
    </r>
  </si>
  <si>
    <r>
      <rPr>
        <b/>
        <sz val="9"/>
        <rFont val="Arial"/>
        <family val="2"/>
      </rPr>
      <t xml:space="preserve">Cutting in disintegrated rock </t>
    </r>
    <r>
      <rPr>
        <sz val="9"/>
        <color theme="1"/>
        <rFont val="Arial"/>
        <family val="2"/>
      </rPr>
      <t>not requiring blasting to be removed by pick axes and crow bars and depositing materials within 50m initial lead and 1.5m initial lift including rough dressing as per direction and specification of the department including stacking the useful materials separately as ordered.</t>
    </r>
  </si>
  <si>
    <r>
      <t xml:space="preserve">Supplying and </t>
    </r>
    <r>
      <rPr>
        <b/>
        <sz val="9"/>
        <rFont val="Arial"/>
        <family val="2"/>
      </rPr>
      <t>filling in foundation trenches and plinth, ditches with sand</t>
    </r>
    <r>
      <rPr>
        <sz val="9"/>
        <rFont val="Arial"/>
        <family val="2"/>
      </rPr>
      <t xml:space="preserve"> well watered and rammed  etc. complete in all respect as per direction by the Engineer in charge.</t>
    </r>
  </si>
  <si>
    <r>
      <t xml:space="preserve">Providing and laying </t>
    </r>
    <r>
      <rPr>
        <b/>
        <sz val="9"/>
        <rFont val="Arial"/>
        <family val="2"/>
      </rPr>
      <t>P.C.C. (1:4:8)</t>
    </r>
    <r>
      <rPr>
        <sz val="9"/>
        <rFont val="Arial"/>
        <family val="2"/>
      </rPr>
      <t xml:space="preserve"> in foundation and floors using 4 cm. size black hard Hand broken granite stone metal and screened and washed sharp sand for mortar  etc complete as per the direction of the Engineer -in –charge.</t>
    </r>
  </si>
  <si>
    <r>
      <t xml:space="preserve">Providing and laying </t>
    </r>
    <r>
      <rPr>
        <b/>
        <sz val="9"/>
        <rFont val="Arial"/>
        <family val="2"/>
      </rPr>
      <t>P.C.C. (1:3:6)</t>
    </r>
    <r>
      <rPr>
        <sz val="9"/>
        <rFont val="Arial"/>
        <family val="2"/>
      </rPr>
      <t xml:space="preserve"> in foundation and floors using 4 cm. size black hard crusher broken granite stone metal and screened and washed sharp sand for mortar  etc complete as per the direction of the Engineer -in –charge.</t>
    </r>
  </si>
  <si>
    <r>
      <t xml:space="preserve">Providing and laying </t>
    </r>
    <r>
      <rPr>
        <b/>
        <sz val="9"/>
        <rFont val="Arial"/>
        <family val="2"/>
      </rPr>
      <t>P.C.C. (1:2:4)</t>
    </r>
    <r>
      <rPr>
        <sz val="9"/>
        <rFont val="Arial"/>
        <family val="2"/>
      </rPr>
      <t xml:space="preserve"> in foundation and floors using 12 mm. size black hard crusher broken granite stone chips and screened and washed sharp sand for mortar  etc complete as per the direction of the Engineer -in –charge.</t>
    </r>
  </si>
  <si>
    <r>
      <t>W.B.K.B brick masonry in cement mortar (1:4)</t>
    </r>
    <r>
      <rPr>
        <sz val="9"/>
        <rFont val="Arial"/>
        <family val="2"/>
      </rPr>
      <t xml:space="preserve"> using kiln Burnt bricks of 10” size etc. complete in all respect as directed by the Engineer-in-charge.</t>
    </r>
  </si>
  <si>
    <r>
      <t>W.B.K.B brick masonry in cement mortar (1:6)</t>
    </r>
    <r>
      <rPr>
        <sz val="9"/>
        <rFont val="Arial"/>
        <family val="2"/>
      </rPr>
      <t xml:space="preserve"> using kiln Burnt bricks of 10”  etc. complete in all respect as directed by the Engineer-in-charge.</t>
    </r>
  </si>
  <si>
    <r>
      <t>W.B.C.B brick masonry in cement mortar (1:6)</t>
    </r>
    <r>
      <rPr>
        <sz val="9"/>
        <rFont val="Arial"/>
        <family val="2"/>
      </rPr>
      <t xml:space="preserve"> using kiln Burnt bricks of 10”  etc. complete in all respect as directed by the Engineer-in-charge.</t>
    </r>
  </si>
  <si>
    <r>
      <t>W.B.C.B brick masonry in cement mortar (1:4)</t>
    </r>
    <r>
      <rPr>
        <sz val="9"/>
        <rFont val="Arial"/>
        <family val="2"/>
      </rPr>
      <t xml:space="preserve"> using kiln Burnt bricks of 10”  etc. complete in all respect as directed by the Engineer-in-charge.</t>
    </r>
  </si>
  <si>
    <r>
      <rPr>
        <b/>
        <sz val="9"/>
        <rFont val="Arial"/>
        <family val="2"/>
      </rPr>
      <t xml:space="preserve">Fly Ash brick masonry </t>
    </r>
    <r>
      <rPr>
        <sz val="9"/>
        <rFont val="Arial"/>
        <family val="2"/>
      </rPr>
      <t>in cement mortar (1:6) using kiln Burnt bricks of 10”  etc. complete in all respect as directed by the Engineer-in-charge.</t>
    </r>
  </si>
  <si>
    <r>
      <t>Laterite stone masonry in cement mortar (1:6)</t>
    </r>
    <r>
      <rPr>
        <sz val="9"/>
        <rFont val="Arial"/>
        <family val="2"/>
      </rPr>
      <t xml:space="preserve"> using laterite stone of approved quality from approved quarry  etc. complete in all respect as directed by the Engineer-in-charge.</t>
    </r>
  </si>
  <si>
    <r>
      <t>R.R.H.G. Stone Masonry in cement mortar (1:4)</t>
    </r>
    <r>
      <rPr>
        <sz val="9"/>
        <rFont val="Arial"/>
        <family val="2"/>
      </rPr>
      <t xml:space="preserve"> in foundation &amp; plinth including cost,conveyance &amp; royality of all materials and labour charges etc. complete. in all respect as directed by the Engineer-in-charge.</t>
    </r>
  </si>
  <si>
    <r>
      <t>R.R.H.G. Stone Masonry in cement mortar (1:6)</t>
    </r>
    <r>
      <rPr>
        <sz val="9"/>
        <rFont val="Arial"/>
        <family val="2"/>
      </rPr>
      <t xml:space="preserve"> in foundation &amp; plinth including cost,conveyance &amp; royality of all materials and labour charges etc. complete. in all respect as directed by the Engineer-in-charge.</t>
    </r>
  </si>
  <si>
    <r>
      <t xml:space="preserve">Providing </t>
    </r>
    <r>
      <rPr>
        <b/>
        <sz val="9"/>
        <rFont val="Arial"/>
        <family val="2"/>
      </rPr>
      <t>2.5cm thick Damp Proof Course</t>
    </r>
    <r>
      <rPr>
        <sz val="9"/>
        <rFont val="Arial"/>
        <family val="2"/>
      </rPr>
      <t xml:space="preserve"> with cement concrete (1:2:4) using 12mm size black hard granite crusher broken chips and screened &amp; washed sharp sand for mortar  etc. complete in all respect as directed by the Engineer in charge.</t>
    </r>
  </si>
  <si>
    <r>
      <t>Back Filling of surplus excavated earth</t>
    </r>
    <r>
      <rPr>
        <sz val="9"/>
        <rFont val="Arial"/>
        <family val="2"/>
      </rPr>
      <t xml:space="preserve"> at work site by initial lead of 50.00mtr and initial lift of 1.50mtr including cost of all labour T&amp;P required for the work etc. complete as directed by Engineer-In-Charge</t>
    </r>
  </si>
  <si>
    <r>
      <t xml:space="preserve">R.C.C. M20 </t>
    </r>
    <r>
      <rPr>
        <sz val="9"/>
        <rFont val="Arial"/>
        <family val="2"/>
      </rPr>
      <t xml:space="preserve"> using  20 mm to 10mm  size black hard crusher broken granite stone chips of approved quality and from approved quarry  etc. complete in all respect .</t>
    </r>
  </si>
  <si>
    <r>
      <t xml:space="preserve">R.C.C. M15 </t>
    </r>
    <r>
      <rPr>
        <sz val="9"/>
        <rFont val="Arial"/>
        <family val="2"/>
      </rPr>
      <t xml:space="preserve"> using   20 mm to 10mm  size black hard crusher broken granite stone chips of approved quality and from approved quarry  etc. complete in all respect .</t>
    </r>
  </si>
  <si>
    <r>
      <t xml:space="preserve">R.C.C. M25 </t>
    </r>
    <r>
      <rPr>
        <sz val="9"/>
        <rFont val="Arial"/>
        <family val="2"/>
      </rPr>
      <t xml:space="preserve"> using   20 mm to 10mm  size black hard crusher broken granite stone chips of approved quality and from approved quarry  etc. complete in all respect .</t>
    </r>
  </si>
  <si>
    <r>
      <t xml:space="preserve">R.C.C. work of (1:1.5:3) </t>
    </r>
    <r>
      <rPr>
        <sz val="9"/>
        <rFont val="Arial"/>
        <family val="2"/>
      </rPr>
      <t xml:space="preserve"> using  12 mm  size black hard crusher broken granite stone chips of approved quality and from approved quarry  etc. complete in all respect .</t>
    </r>
  </si>
  <si>
    <r>
      <rPr>
        <b/>
        <sz val="9"/>
        <rFont val="Arial"/>
        <family val="2"/>
      </rPr>
      <t>Straightening cutting, bending bent up or coiled</t>
    </r>
    <r>
      <rPr>
        <sz val="9"/>
        <rFont val="Arial"/>
        <family val="2"/>
      </rPr>
      <t xml:space="preserve"> rods, including cranking, hooking, welding or jointing the M.S. rodsetc. complete as directed by the Engineer- in-Charge.</t>
    </r>
  </si>
  <si>
    <r>
      <t>Single Under reamed Bore Compacted Piles</t>
    </r>
    <r>
      <rPr>
        <sz val="9"/>
        <rFont val="Arial"/>
        <family val="2"/>
      </rPr>
      <t xml:space="preserve"> of different size in foundation with RCC M-20 including cost of boaring, all cost of RCC work excluding cost of steel with labour for bending binding etc.complete as per the instruction of Engineer-in-Charge .</t>
    </r>
  </si>
  <si>
    <r>
      <t>Double Under reamed Bore Compacted Piles</t>
    </r>
    <r>
      <rPr>
        <sz val="9"/>
        <rFont val="Arial"/>
        <family val="2"/>
      </rPr>
      <t xml:space="preserve"> of different size in foundation with RCC M-20 including cost of boaring, all cost of RCC work excluding cost of steel with labour for bending binding etc.complete as per the instruction of Engineer-in-Charge .</t>
    </r>
  </si>
  <si>
    <r>
      <t xml:space="preserve">Providing </t>
    </r>
    <r>
      <rPr>
        <b/>
        <sz val="9"/>
        <rFont val="Arial"/>
        <family val="2"/>
      </rPr>
      <t>12 mm thick C.P. with C.M. (1:6)</t>
    </r>
    <r>
      <rPr>
        <sz val="9"/>
        <rFont val="Arial"/>
        <family val="2"/>
      </rPr>
      <t xml:space="preserve"> with screened and washed sharp sand for mortar and finished smooth to the rough surface of walls in all heights after racking out joints etc. complete in all respect as directed by the Engineer in charge.</t>
    </r>
  </si>
  <si>
    <r>
      <t xml:space="preserve">Providing </t>
    </r>
    <r>
      <rPr>
        <b/>
        <sz val="9"/>
        <rFont val="Arial"/>
        <family val="2"/>
      </rPr>
      <t>12 mm thick CP with CM (1:4)</t>
    </r>
    <r>
      <rPr>
        <sz val="9"/>
        <rFont val="Arial"/>
        <family val="2"/>
      </rPr>
      <t xml:space="preserve"> </t>
    </r>
    <r>
      <rPr>
        <b/>
        <sz val="9"/>
        <rFont val="Arial"/>
        <family val="2"/>
      </rPr>
      <t xml:space="preserve">and punning  for skirting in walls for dadoo </t>
    </r>
    <r>
      <rPr>
        <sz val="9"/>
        <rFont val="Arial"/>
        <family val="2"/>
      </rPr>
      <t>with screened and washed sharp sand for mortar and finished smooth to the rough surface of walls including watering and curing etc. complete in all respect as directed by the Engineer in charge.</t>
    </r>
  </si>
  <si>
    <r>
      <t xml:space="preserve">Providing </t>
    </r>
    <r>
      <rPr>
        <b/>
        <sz val="9"/>
        <rFont val="Arial"/>
        <family val="2"/>
      </rPr>
      <t xml:space="preserve">12 mm thick CP with CM (1:4)punning &amp; coaltaring onecoat on top of wall surface </t>
    </r>
    <r>
      <rPr>
        <sz val="9"/>
        <rFont val="Arial"/>
        <family val="2"/>
      </rPr>
      <t>with screened and washed sharp sand for mortar and finished smooth to the rough surface of walls  including watering and curing  etc. complete in all respect as directed by the Engineer in charge.</t>
    </r>
  </si>
  <si>
    <r>
      <t xml:space="preserve">Providing </t>
    </r>
    <r>
      <rPr>
        <b/>
        <sz val="9"/>
        <rFont val="Arial"/>
        <family val="2"/>
      </rPr>
      <t>16 mm thick C.P. with C.M. (1:6)</t>
    </r>
    <r>
      <rPr>
        <sz val="9"/>
        <rFont val="Arial"/>
        <family val="2"/>
      </rPr>
      <t xml:space="preserve"> with screened and washed sharp sand for mortar and finished smooth to the rough surface of walls in all heights after racking out joints  etc. complete in all respect as directed by the Engineer in charge.</t>
    </r>
  </si>
  <si>
    <r>
      <t xml:space="preserve">Providing </t>
    </r>
    <r>
      <rPr>
        <b/>
        <sz val="9"/>
        <rFont val="Arial"/>
        <family val="2"/>
      </rPr>
      <t>16 mm thick C.P. with C.M. (1:6) with Punning</t>
    </r>
    <r>
      <rPr>
        <sz val="9"/>
        <rFont val="Arial"/>
        <family val="2"/>
      </rPr>
      <t xml:space="preserve"> with screened and washed sharp sand for mortar and finished smooth to the rough surface of walls in all heights after racking out joints  etc. complete in all respect as directed by the Engineer in charge.</t>
    </r>
  </si>
  <si>
    <r>
      <t xml:space="preserve">Providing </t>
    </r>
    <r>
      <rPr>
        <b/>
        <sz val="9"/>
        <rFont val="Arial"/>
        <family val="2"/>
      </rPr>
      <t>6 mm thick C.P. with C.M. (1:4)</t>
    </r>
    <r>
      <rPr>
        <sz val="9"/>
        <rFont val="Arial"/>
        <family val="2"/>
      </rPr>
      <t xml:space="preserve"> with screened and washed sharp sand for mortar and finished smooth to R.C.C. work after closed deep chipping &amp; slurry treatment including watering and curing,  etc. complete in all respect as directed by the Engineer in charge.</t>
    </r>
  </si>
  <si>
    <r>
      <t xml:space="preserve">Providing </t>
    </r>
    <r>
      <rPr>
        <b/>
        <sz val="9"/>
        <rFont val="Arial"/>
        <family val="2"/>
      </rPr>
      <t>20 mm thick C.P. with C.M. (1:4)</t>
    </r>
    <r>
      <rPr>
        <sz val="9"/>
        <rFont val="Arial"/>
        <family val="2"/>
      </rPr>
      <t xml:space="preserve"> with screened and washed sharp sand for mortar and finished smooth to the rough surface of walls in all heights after racking out joints  etc. complete in all respect as directed by the Engineer in charge.</t>
    </r>
  </si>
  <si>
    <r>
      <t xml:space="preserve">Providing </t>
    </r>
    <r>
      <rPr>
        <b/>
        <sz val="9"/>
        <rFont val="Arial"/>
        <family val="2"/>
      </rPr>
      <t>20 mm thick C.P. with C.M. (1:6)</t>
    </r>
    <r>
      <rPr>
        <sz val="9"/>
        <rFont val="Arial"/>
        <family val="2"/>
      </rPr>
      <t xml:space="preserve"> with screened and washed sharp sand for mortar and finished smooth to the rough surface of walls in all heights after racking out joints  etc. complete in all respect as directed by the Engineer in charge.</t>
    </r>
  </si>
  <si>
    <r>
      <t xml:space="preserve">Closed </t>
    </r>
    <r>
      <rPr>
        <b/>
        <sz val="9"/>
        <rFont val="Arial"/>
        <family val="2"/>
      </rPr>
      <t>deep chipping and cleaning to R.C.C surface</t>
    </r>
    <r>
      <rPr>
        <sz val="9"/>
        <rFont val="Arial"/>
        <family val="2"/>
      </rPr>
      <t xml:space="preserve"> for receiving cement plaster per 1</t>
    </r>
  </si>
  <si>
    <r>
      <t xml:space="preserve">Providing Cement Punning </t>
    </r>
    <r>
      <rPr>
        <sz val="9"/>
        <rFont val="Arial"/>
        <family val="2"/>
      </rPr>
      <t>to the plastered surface of wall etc complete.</t>
    </r>
  </si>
  <si>
    <r>
      <t>10cm  thick  dry  brick  khoa</t>
    </r>
    <r>
      <rPr>
        <sz val="9"/>
        <rFont val="Arial"/>
        <family val="2"/>
      </rPr>
      <t xml:space="preserve">  using 4cm size including well watered  &amp; rammed to receive A.S. Flooring with cost, conveyance of  brick khoa and cost of labour etc. complete as per the direction of the Engineer-in-charge. </t>
    </r>
  </si>
  <si>
    <r>
      <t>10cm  thick  dry  epidorite metal or any other hard metal</t>
    </r>
    <r>
      <rPr>
        <sz val="9"/>
        <rFont val="Arial"/>
        <family val="2"/>
      </rPr>
      <t xml:space="preserve"> using 4cm size including well watered  &amp; rammed to receive A.S. Flooring with cost, conveyance of epidorite metal/any hard metal and cost of labour etc. complete as per the direction of the Engineer-in-charge. </t>
    </r>
  </si>
  <si>
    <r>
      <t xml:space="preserve">Providing </t>
    </r>
    <r>
      <rPr>
        <b/>
        <sz val="9"/>
        <rFont val="Arial"/>
        <family val="2"/>
      </rPr>
      <t>2.5cm thick A.S. Flooring</t>
    </r>
    <r>
      <rPr>
        <sz val="9"/>
        <rFont val="Arial"/>
        <family val="2"/>
      </rPr>
      <t xml:space="preserve"> with cement concrete (1:2:4) using 12mm size black hard granite crusher broken chips and screened &amp; washed sharp sand for mortar and finished smooth to the rough surface of floor and punning including watering and curing  etc. complete in all respect as directed by the Engineer in charge.</t>
    </r>
  </si>
  <si>
    <r>
      <t xml:space="preserve">Providing laying  of </t>
    </r>
    <r>
      <rPr>
        <b/>
        <sz val="9"/>
        <rFont val="Arial"/>
        <family val="2"/>
      </rPr>
      <t>60mm thick factory made cement concrete Paver Block</t>
    </r>
    <r>
      <rPr>
        <sz val="9"/>
        <rFont val="Arial"/>
        <family val="2"/>
      </rPr>
      <t xml:space="preserve"> of M35 grade of concrete and of approved veriety in colour and size made by block making mechine with strong vibratory compaction of approved design &amp; shape laid in required colour and pattern over 50mm thick compacted bed of course sand filling the joints with fine sand etc all complete including cost of all materials all labour T&amp;P etc required for the work complete in all respectas per the direction of the Engineer-in- Charge.</t>
    </r>
  </si>
  <si>
    <r>
      <t>Providing laying  of 8</t>
    </r>
    <r>
      <rPr>
        <b/>
        <sz val="9"/>
        <rFont val="Arial"/>
        <family val="2"/>
      </rPr>
      <t>0mm thick factory made cement concrete Paver Block</t>
    </r>
    <r>
      <rPr>
        <sz val="9"/>
        <rFont val="Arial"/>
        <family val="2"/>
      </rPr>
      <t xml:space="preserve"> of M35 grade of concrete and of approved veriety in colour and size made by block making mechine with strong vibratory compaction of approved design &amp; shape laid in required colour and pattern over 50mm thick compacted bed of course sand filling the joints with fine sand etc all complete including cost of all materials all labour T&amp;P etc required for the work complete in all respectas per the direction of the Engineer-in- Charge.</t>
    </r>
  </si>
  <si>
    <r>
      <t xml:space="preserve">Providing </t>
    </r>
    <r>
      <rPr>
        <b/>
        <sz val="9"/>
        <rFont val="Arial"/>
        <family val="2"/>
      </rPr>
      <t>2.5cm thick Grading Concrete</t>
    </r>
    <r>
      <rPr>
        <sz val="9"/>
        <rFont val="Arial"/>
        <family val="2"/>
      </rPr>
      <t xml:space="preserve"> over roof slab with cement concrete (1:2:2) using 6mm size black hard granite crusher broken chips and screened &amp; washed sharp sand for mortar and finished smooth to the rough surface of slab including watering and curing  etc. complete in all respect as directed by the Engineer in charge.</t>
    </r>
  </si>
  <si>
    <r>
      <t xml:space="preserve">Providing </t>
    </r>
    <r>
      <rPr>
        <b/>
        <sz val="9"/>
        <rFont val="Arial"/>
        <family val="2"/>
      </rPr>
      <t>4cm thick Grading Concrete</t>
    </r>
    <r>
      <rPr>
        <sz val="9"/>
        <rFont val="Arial"/>
        <family val="2"/>
      </rPr>
      <t xml:space="preserve"> over roof slab with cement concrete (1:2:4) using 12mm size black hard granite crusher broken chips and screened &amp; washed sharp sand for mortar and finished smooth to the rough surface of slab including watering and curing with cost, conveyance, royalties and taxes of all materials with cost of all labour, and T&amp;P required for the work etc. complete in all respect as directed by the Engineer in charge.</t>
    </r>
  </si>
  <si>
    <r>
      <t>Supplying, fitting, fixing of tile in floors</t>
    </r>
    <r>
      <rPr>
        <sz val="9"/>
        <rFont val="Arial"/>
        <family val="2"/>
      </rPr>
      <t xml:space="preserve"> marbonite or equivalent make in all floors over 25mm thick bed of cement mortar (1:1) jointed with neat cement slurry mixed with pigment to match the shades of the tiles  etc. complete as per the direction of the Engineer-in-charge. </t>
    </r>
  </si>
  <si>
    <r>
      <t>Supplying, fitting, fixing of tile in floors</t>
    </r>
    <r>
      <rPr>
        <sz val="9"/>
        <rFont val="Arial"/>
        <family val="2"/>
      </rPr>
      <t xml:space="preserve"> marbonite or equivalent make in all floors over 25mm thick bed of cement mortar (1:4) jointed with neat cement slurry mixed with pigment to match the shades of the tiles  etc. complete as per the direction of the Engineer-in-charge. </t>
    </r>
  </si>
  <si>
    <r>
      <t>Supplying, fitting, fixing of tile in dadoo</t>
    </r>
    <r>
      <rPr>
        <sz val="9"/>
        <rFont val="Arial"/>
        <family val="2"/>
      </rPr>
      <t xml:space="preserve"> marbonite or equivalent make in all floors over 12mm thick cement plaster (1:3) jointed with neat cement slurry mixed with pigment to match the shades of the tiles  etc. complete as per the direction of the Engineer-in-charge. </t>
    </r>
  </si>
  <si>
    <r>
      <t xml:space="preserve">Supplying, fitting, fixing of </t>
    </r>
    <r>
      <rPr>
        <b/>
        <sz val="9"/>
        <rFont val="Arial"/>
        <family val="2"/>
      </rPr>
      <t>vertified tile in floors</t>
    </r>
    <r>
      <rPr>
        <sz val="9"/>
        <rFont val="Arial"/>
        <family val="2"/>
      </rPr>
      <t xml:space="preserve"> of size 600mm x 600mm of approved make Confirming to IS-13755 with application of polymer modified cement based water resistant adhesive bed of required thickness of 3mm and filling joints with epoxy grout of approved quality including cost, conveyance and taxes of all materials, cost of all labour, T&amp;P etc. complete as per the direction of the Engineer-in-charge. </t>
    </r>
  </si>
  <si>
    <r>
      <t xml:space="preserve">Supplying, fitting, fixing of </t>
    </r>
    <r>
      <rPr>
        <b/>
        <sz val="9"/>
        <rFont val="Arial"/>
        <family val="2"/>
      </rPr>
      <t>vertified tile in floors</t>
    </r>
    <r>
      <rPr>
        <sz val="9"/>
        <rFont val="Arial"/>
        <family val="2"/>
      </rPr>
      <t xml:space="preserve"> of size 600mm x 600mm of approved make conforming to IS-13755 laid on 20mm thick  bed of cement mortar (1:4) and filling joints with white cementt of approved quality including cost, conveyance and taxes of all materials, cost of all labour, T&amp;P etc. complete as per the direction of the Engineer-in-charge. </t>
    </r>
  </si>
  <si>
    <r>
      <t xml:space="preserve">Dressed seasoned </t>
    </r>
    <r>
      <rPr>
        <b/>
        <sz val="9"/>
        <rFont val="Arial"/>
        <family val="2"/>
      </rPr>
      <t>sal wood work framed &amp; fixed in frames of doors &amp; windows</t>
    </r>
    <r>
      <rPr>
        <sz val="9"/>
        <rFont val="Arial"/>
        <family val="2"/>
      </rPr>
      <t xml:space="preserve"> including cost,conveyance of all materials and cost of labour for fitting, fixing etc.complete as per the instruction of Engineer-in-Charge .</t>
    </r>
  </si>
  <si>
    <r>
      <t>32mm piasal wood panelled shutters</t>
    </r>
    <r>
      <rPr>
        <sz val="9"/>
        <rFont val="Arial"/>
        <family val="2"/>
      </rPr>
      <t xml:space="preserve"> (of 32mm style  with  18mm panel) including cost conveyance of all materials and labour for fitting, fixing excluding  cost  of  iron fittings  etc.complete as per the instruction of Engineer-in-Charge .</t>
    </r>
  </si>
  <si>
    <r>
      <t xml:space="preserve">Supplying of </t>
    </r>
    <r>
      <rPr>
        <b/>
        <sz val="9"/>
        <rFont val="Arial"/>
        <family val="2"/>
      </rPr>
      <t>M.S. Grills</t>
    </r>
    <r>
      <rPr>
        <sz val="9"/>
        <rFont val="Arial"/>
        <family val="2"/>
      </rPr>
      <t xml:space="preserve"> etc including cost,conveyance of all materials etc.complete as per the instruction of Engineer-in-Charge .</t>
    </r>
  </si>
  <si>
    <r>
      <t xml:space="preserve">Supplying of </t>
    </r>
    <r>
      <rPr>
        <b/>
        <sz val="9"/>
        <rFont val="Arial"/>
        <family val="2"/>
      </rPr>
      <t>M.S.Doors, M.S. Gate</t>
    </r>
    <r>
      <rPr>
        <sz val="9"/>
        <rFont val="Arial"/>
        <family val="2"/>
      </rPr>
      <t xml:space="preserve"> etc including cost, conveyance of all materials etc.complete as per the instruction of Engineer-in-Charge .</t>
    </r>
  </si>
  <si>
    <r>
      <t xml:space="preserve">Supplying of </t>
    </r>
    <r>
      <rPr>
        <b/>
        <sz val="9"/>
        <rFont val="Arial"/>
        <family val="2"/>
      </rPr>
      <t>M.S.Windows/ Ventilator of fully glazed</t>
    </r>
    <r>
      <rPr>
        <sz val="9"/>
        <rFont val="Arial"/>
        <family val="2"/>
      </rPr>
      <t xml:space="preserve"> etc including cost, conveyance of all materials etc.complete as per the instruction of Engineer-in-Charge (Weight taken for measurement without glass)</t>
    </r>
  </si>
  <si>
    <r>
      <t xml:space="preserve">Providing fitting, fixing of </t>
    </r>
    <r>
      <rPr>
        <b/>
        <sz val="9"/>
        <rFont val="Arial"/>
        <family val="2"/>
      </rPr>
      <t>partition walling OEL</t>
    </r>
    <r>
      <rPr>
        <sz val="9"/>
        <rFont val="Arial"/>
        <family val="2"/>
      </rPr>
      <t xml:space="preserve"> anodized Al. section of 9210 and 9207 as single groove and double groove respectively as horizontal and vertical member and OEL section 4660 as tapered clip for fixing of </t>
    </r>
    <r>
      <rPr>
        <b/>
        <sz val="9"/>
        <rFont val="Arial"/>
        <family val="2"/>
      </rPr>
      <t>12mm thick pre-laminated board and jointing angle no 1855</t>
    </r>
    <r>
      <rPr>
        <sz val="9"/>
        <rFont val="Arial"/>
        <family val="2"/>
      </rPr>
      <t xml:space="preserve"> etc. including all cost of labour, T&amp;P, hire charges of drilling machine, labour charges etc. complete as per direction of Engineer-in-charge.</t>
    </r>
  </si>
  <si>
    <r>
      <t xml:space="preserve">Providing fitting, fixing of </t>
    </r>
    <r>
      <rPr>
        <b/>
        <sz val="9"/>
        <rFont val="Arial"/>
        <family val="2"/>
      </rPr>
      <t>Aluminium Door with OEL</t>
    </r>
    <r>
      <rPr>
        <sz val="9"/>
        <rFont val="Arial"/>
        <family val="2"/>
      </rPr>
      <t xml:space="preserve"> anodized Al. door section of 9202 as vertical member, 9200 as top  and   bottom  member.  9232 as middle member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t>
    </r>
  </si>
  <si>
    <r>
      <t xml:space="preserve">Providing fitting, fixing of </t>
    </r>
    <r>
      <rPr>
        <b/>
        <sz val="9"/>
        <rFont val="Arial"/>
        <family val="2"/>
      </rPr>
      <t>Aluminium Door with OEL</t>
    </r>
    <r>
      <rPr>
        <sz val="9"/>
        <rFont val="Arial"/>
        <family val="2"/>
      </rPr>
      <t xml:space="preserve"> anodized Al. door section of 9202 as vertical member, 9201 as top  and 9200 as bottom  and middle member and 6mm black glass in top portion with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t>
    </r>
  </si>
  <si>
    <r>
      <t xml:space="preserve">Supplying, fitting, fixing of </t>
    </r>
    <r>
      <rPr>
        <b/>
        <sz val="9"/>
        <rFont val="Arial"/>
        <family val="2"/>
      </rPr>
      <t>Window (Sliding type)</t>
    </r>
    <r>
      <rPr>
        <sz val="9"/>
        <rFont val="Arial"/>
        <family val="2"/>
      </rPr>
      <t xml:space="preserve"> made of aluminium section 151-154, 151-155, as window frame section No-151-155, 151-153 and 151-167 as shutter frame with 5mm thick black glass as panel fitted with rubber beading including locking arrangement including cost of materials all taxes labour, T&amp;P etc.complete as per direction of Engineer-in-charge.</t>
    </r>
  </si>
  <si>
    <r>
      <t xml:space="preserve">Supplying, fitting, fixing of </t>
    </r>
    <r>
      <rPr>
        <b/>
        <sz val="9"/>
        <rFont val="Arial"/>
        <family val="2"/>
      </rPr>
      <t>Window (Sliding type)</t>
    </r>
    <r>
      <rPr>
        <sz val="9"/>
        <rFont val="Arial"/>
        <family val="2"/>
      </rPr>
      <t xml:space="preserve"> made of aluminium section 9778 as window frame section No-4095,4096 and 9777,3994 as shutter frame with 5mm thick black glass as panel fitted with rubber beading including locking arrangement including cost of materials all taxes labour, T&amp;P etc.complete as per direction of Engineer-in-charge.</t>
    </r>
  </si>
  <si>
    <r>
      <t xml:space="preserve">Supplying, fitting, fixing of  fully glazed </t>
    </r>
    <r>
      <rPr>
        <b/>
        <sz val="9"/>
        <rFont val="Arial"/>
        <family val="2"/>
      </rPr>
      <t>openable</t>
    </r>
    <r>
      <rPr>
        <sz val="9"/>
        <rFont val="Arial"/>
        <family val="2"/>
      </rPr>
      <t xml:space="preserve"> </t>
    </r>
    <r>
      <rPr>
        <b/>
        <sz val="9"/>
        <rFont val="Arial"/>
        <family val="2"/>
      </rPr>
      <t>window</t>
    </r>
    <r>
      <rPr>
        <sz val="9"/>
        <rFont val="Arial"/>
        <family val="2"/>
      </rPr>
      <t xml:space="preserve"> using 15 micron anidized OEL aluminum section 2062 as out section, 9139 as mullion section, 4124 as a shutter section framed with tapered clip of section 4125, aluminum angle, rubber beading, friction stay and handle etc with 5mm black glass including cost of materials all taxes labour, T&amp;P etc.complete as per direction of Engineer-in-charge.</t>
    </r>
  </si>
  <si>
    <r>
      <t xml:space="preserve">Providing and fixing of </t>
    </r>
    <r>
      <rPr>
        <b/>
        <sz val="9"/>
        <rFont val="Arial"/>
        <family val="2"/>
      </rPr>
      <t>Sliding windows of approved make</t>
    </r>
    <r>
      <rPr>
        <sz val="9"/>
        <rFont val="Arial"/>
        <family val="2"/>
      </rPr>
      <t xml:space="preserve"> to be fabricated from roll formed sections made of pre-painted steel (base steel as per IS-513 of 0.6 mm thick “D” quality, galvanized as per IS-277with zinc of 120 Gm/Sq.mtr) with total coated thickness of 0.55 mm.  Sections for external frame bottom and top should be of 79 x 45 mm. external frame sides should be of 69 x 24 mm, guide for top and bottom should be of 69 x 26mm (Stainless Steel).Section for shutter should be of 26 x 30 mm, Sash bar should be of 23 x 57mm.Accessories / gaskets are to be used as per the manufacturer’s supply and specification like gasket will be made of EPDM. All corner brackets for internal and external are to be made of glass filled nylon. The sections are to be cut to length jointed  and assembled by means of corner bracket and frames are fixed to the concrete/masonry walls by means of self expanding screws and glass to be used of 5 mm reflective with cost, conveyance and taxes of all materials, cost of all labour, T&amp;P etc. complete as per the direction of the Engineer-in-charge. </t>
    </r>
  </si>
  <si>
    <r>
      <t xml:space="preserve">Providing and fixing of </t>
    </r>
    <r>
      <rPr>
        <b/>
        <sz val="9"/>
        <rFont val="Arial"/>
        <family val="2"/>
      </rPr>
      <t>Fixed Ventilators</t>
    </r>
    <r>
      <rPr>
        <sz val="9"/>
        <rFont val="Arial"/>
        <family val="2"/>
      </rPr>
      <t xml:space="preserve"> of approved make to be fabricated from roll formed sections made of pre-painted steel (base steel as per IS-513 of 0.6 mm thick “D” quality, galvanized as per IS-277 with zinc of 120 Gm/Sq.mtr) with paint specification being with primer of 5-7 microns and finished paint with polyster paint of 12-16 microns along with the alkyd backer at the back of 5-7 microns and the sizes of outer frame being of 46x52 mm and with all vertical and horizontal mullions are of 46x70 mm and fixed beadings are of 18x25 mm.Accessories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 mm reflective with cost, conveyance and taxes of all materials, cost of all labour, T&amp;P etc. complete as per the direction of the Engineer-in-charge. </t>
    </r>
  </si>
  <si>
    <r>
      <t xml:space="preserve">Providing and fixing of </t>
    </r>
    <r>
      <rPr>
        <b/>
        <sz val="9"/>
        <rFont val="Arial"/>
        <family val="2"/>
      </rPr>
      <t>Partly fixed, partly top hung and partly louvered</t>
    </r>
    <r>
      <rPr>
        <sz val="9"/>
        <rFont val="Arial"/>
        <family val="2"/>
      </rPr>
      <t xml:space="preserve"> windows of approved make to be fabricated from roll formed sections made of pre-painted steel (base steel as per IS- 513 of 0.6 mm thick “D” quality, galvanized as per IS-277 with zinc of 120 Gm/Sq.mtr) with paint pecification being with primer of 5-7 microns and finished paint with polyster paint of 12-16 microns alongwith the alkyd backer at the back of 5-7 microns and the sizes of outer frame being of 46x52 mm and with all vertical and horizontal mullions are of 46x70 mm and fixed beadings are of 18x25 mm. Section for internal top and bottom frames in the louvered areas should be 18 x 40 mm.Top hung shutter should be of 46 x 46 mm. 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5mm reflective with cost, conveyance and taxes of all materials, cost of all labour, T&amp;P etc. complete as per the direction of the Engineer-in-charge. </t>
    </r>
  </si>
  <si>
    <r>
      <t xml:space="preserve">Providing and fixing of </t>
    </r>
    <r>
      <rPr>
        <b/>
        <sz val="9"/>
        <rFont val="Arial"/>
        <family val="2"/>
      </rPr>
      <t>Swing Door of approved make</t>
    </r>
    <r>
      <rPr>
        <sz val="9"/>
        <rFont val="Arial"/>
        <family val="2"/>
      </rPr>
      <t xml:space="preserve">  to be fabricated from roll formed sections made of pre-painted steel (base steel as per IS-513 of 0.6 mm thick “D” quality, galvanized as per IS-277with zinc of 120 Gm/Sq.mtr) with paint specification being with primer of 5-7 microns and finished paint with polyster paint (Black /Pearl white/ Chocolate Brown) of 12-16 microns along with the alkyd backer at the back of 5-7 microns and sizes of outer frame being of 33 x 57 mm and shutter being of 46x52mm and 46x46mm and lock rail should be of 23x130mm Accessories / gaskets are to be used as per the manufacturer’s supply and specification like handle, lock and floor spring of approved quality. Gasket will be made of EPDM. All corner brackets are to be made of CRCA wth zinc phosphating.The sectio are to be  cut to length, mitre jointed with corner bracket and frames are fixed to the concrete/masonry walls by means of self expanding screws and glass to be used of 6 mm clear taxes etc. complete as per the direction of the Engineer-in-charge.</t>
    </r>
  </si>
  <si>
    <r>
      <t xml:space="preserve">Factory made </t>
    </r>
    <r>
      <rPr>
        <b/>
        <sz val="9"/>
        <rFont val="Arial"/>
        <family val="2"/>
      </rPr>
      <t>FRP Door / Window frame</t>
    </r>
    <r>
      <rPr>
        <sz val="9"/>
        <rFont val="Arial"/>
        <family val="2"/>
      </rPr>
      <t xml:space="preserve"> (alternately called GRP) of size 75mmx100mm fabricated using E-glass Chopped Strand Mat (CSM) U.V stabilised Inopthalic Gel coat and impregnated with Inopthalic resin. The thickness of the GRP skins shall not be less than 2.00mm. The doorframe consists of four segments, which are provided with plug-in-socket arrangement in-situ in the mould. The segments are plugged in and are joined together by means of screw. The GRP frame shall be provided with wooden reinforcement on six locations for high screw holding capacity for for fixing metallic hold fast and shall be consolidated by filling with medium density foam/plaster of paris with fibre reinforcement. The material and process for manufacturing the door frames shall conform to RV-TIFAC composites Design Centre's standards and specifications. The finish of door frame will be plain and different colour using high quality pigments complete in all respect as per specification and direction of the Engineer in charge. </t>
    </r>
  </si>
  <si>
    <r>
      <t xml:space="preserve">Factory made single leaf rigid </t>
    </r>
    <r>
      <rPr>
        <b/>
        <sz val="9"/>
        <rFont val="Arial"/>
        <family val="2"/>
      </rPr>
      <t>FRP sandwich composite door / window shutter</t>
    </r>
    <r>
      <rPr>
        <sz val="9"/>
        <rFont val="Arial"/>
        <family val="2"/>
      </rPr>
      <t xml:space="preserve"> (alternately called GRP) of 32mm thick laminated with two GRP skins with wood grain finish fabricated using UV-stabilised Isopthalic Gelcoat and one layer of 450 gsm E-glass Chopped Strand Mat (CSM) mpregnated with orthopthalic polyester resin. The thickness of the skins shall not be less than 1.50mm Expanded Polystyrone (EPS) structural foam panel of 29mm thickness and a density of 20kg/cu.mtr shall be used as core material. Wooden reinforcements made of seasoned sal wood block of cross section not less than 28mm x 32mm and also necessary sal wood reinforcements for fitting the metal fittings such as tower bolts, aldrops, handles etc shall be provided. A structural adhesive compatible with (EPS) foam shall be used for bending the core material. The material and process for manufacturing the door shutters shall conform to RV-TIFAC composites Design Centre's standards and specifications and the door shutters tested in conformation to IS: 4020-1998. The finish of door shutter will be plain colour as per specification and direction of the Engineer in charge. </t>
    </r>
  </si>
  <si>
    <r>
      <t xml:space="preserve">Supplying, fitting and fixing </t>
    </r>
    <r>
      <rPr>
        <b/>
        <sz val="9"/>
        <rFont val="Arial"/>
        <family val="2"/>
      </rPr>
      <t xml:space="preserve">hand railing of Stainless steel of 304 grade </t>
    </r>
    <r>
      <rPr>
        <sz val="9"/>
        <rFont val="Arial"/>
        <family val="2"/>
      </rPr>
      <t xml:space="preserve">using 50mm dia of 2mm thick circular pipe with Balustrade of size 32mm x 32mm x 2mm @ 0.90mtr. C/C and stainless square pipe bracing of size 32mm x 32mm x 2mm in 3 rows in stair case as per approved design and specification, buffing, polishing etc with cost, conveyance, taxes of all materials, cost of all labour, T&amp;P etc. required for the complete in all respect as per direction of the Engineer-in-charge. </t>
    </r>
  </si>
  <si>
    <r>
      <t>Supplying,</t>
    </r>
    <r>
      <rPr>
        <b/>
        <sz val="9"/>
        <rFont val="Arial"/>
        <family val="2"/>
      </rPr>
      <t xml:space="preserve"> Fitting &amp; Fixing  GCI Sheet of 0.4mm thick</t>
    </r>
    <r>
      <rPr>
        <sz val="9"/>
        <rFont val="Arial"/>
        <family val="2"/>
      </rPr>
      <t xml:space="preserve"> in Roofing including cost, conveyance of all materials  and labour for fitting fixing etc.complete as per the instruction of Engineer-in-Charge .</t>
    </r>
  </si>
  <si>
    <r>
      <t>Supplying,</t>
    </r>
    <r>
      <rPr>
        <b/>
        <sz val="9"/>
        <rFont val="Arial"/>
        <family val="2"/>
      </rPr>
      <t xml:space="preserve"> Fitting &amp; Fixing  AC Sheet in Roofing</t>
    </r>
    <r>
      <rPr>
        <sz val="9"/>
        <rFont val="Arial"/>
        <family val="2"/>
      </rPr>
      <t xml:space="preserve"> including cost, conveyance of all materials  and labour for fitting fixing etc.complete as per the instruction of Engineer-in-Charge .</t>
    </r>
  </si>
  <si>
    <r>
      <t>Supplying,</t>
    </r>
    <r>
      <rPr>
        <b/>
        <sz val="9"/>
        <rFont val="Arial"/>
        <family val="2"/>
      </rPr>
      <t xml:space="preserve"> Fitting &amp; Fixing  Asbestos sheet ridges</t>
    </r>
    <r>
      <rPr>
        <sz val="9"/>
        <rFont val="Arial"/>
        <family val="2"/>
      </rPr>
      <t xml:space="preserve"> or valleys (double) per RM  and labour for fitting fixing etc.complete as per the instruction of Engineer-in-Charge .</t>
    </r>
  </si>
  <si>
    <r>
      <t xml:space="preserve">Providing, Fitting &amp; Fixing of </t>
    </r>
    <r>
      <rPr>
        <b/>
        <sz val="9"/>
        <rFont val="Arial"/>
        <family val="2"/>
      </rPr>
      <t>False Ceiling  with 12 mm thick pre-laminated Novapan board,</t>
    </r>
    <r>
      <rPr>
        <sz val="9"/>
        <rFont val="Arial"/>
        <family val="2"/>
      </rPr>
      <t xml:space="preserve">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r>
  </si>
  <si>
    <r>
      <t xml:space="preserve">Providing, Fitting &amp; Fixing of </t>
    </r>
    <r>
      <rPr>
        <b/>
        <sz val="9"/>
        <rFont val="Arial"/>
        <family val="2"/>
      </rPr>
      <t>False Ceiling  with 12.5 mm thick Gypsum board,</t>
    </r>
    <r>
      <rPr>
        <sz val="9"/>
        <rFont val="Arial"/>
        <family val="2"/>
      </rPr>
      <t xml:space="preserve">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r>
  </si>
  <si>
    <r>
      <t xml:space="preserve">Providing, Fitting &amp; Fixing of </t>
    </r>
    <r>
      <rPr>
        <b/>
        <sz val="9"/>
        <rFont val="Arial"/>
        <family val="2"/>
      </rPr>
      <t>False Ceiling  with 12 mm thick pre-laminated Novapan board,</t>
    </r>
    <r>
      <rPr>
        <sz val="9"/>
        <rFont val="Arial"/>
        <family val="2"/>
      </rPr>
      <t xml:space="preserve">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r>
  </si>
  <si>
    <r>
      <t xml:space="preserve">Providing, Fitting &amp; Fixing of </t>
    </r>
    <r>
      <rPr>
        <b/>
        <sz val="9"/>
        <rFont val="Arial"/>
        <family val="2"/>
      </rPr>
      <t>False Ceiling  with 12.5 mm thick Gypsum board,</t>
    </r>
    <r>
      <rPr>
        <sz val="9"/>
        <rFont val="Arial"/>
        <family val="2"/>
      </rPr>
      <t xml:space="preserve">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t>
    </r>
  </si>
  <si>
    <r>
      <t xml:space="preserve">Finishing plastered surfaces with </t>
    </r>
    <r>
      <rPr>
        <b/>
        <sz val="9"/>
        <rFont val="Arial"/>
        <family val="2"/>
      </rPr>
      <t>cement washing</t>
    </r>
    <r>
      <rPr>
        <sz val="9"/>
        <rFont val="Arial"/>
        <family val="2"/>
      </rPr>
      <t xml:space="preserve"> </t>
    </r>
    <r>
      <rPr>
        <b/>
        <sz val="9"/>
        <rFont val="Arial"/>
        <family val="2"/>
      </rPr>
      <t>one coat</t>
    </r>
    <r>
      <rPr>
        <sz val="9"/>
        <rFont val="Arial"/>
        <family val="2"/>
      </rPr>
      <t xml:space="preserve"> using cement  etc. required for the work complete in all respect as per the direction of the Engineer-in-charge. </t>
    </r>
  </si>
  <si>
    <r>
      <t xml:space="preserve">Finishing plastered surfaces with </t>
    </r>
    <r>
      <rPr>
        <b/>
        <sz val="9"/>
        <rFont val="Arial"/>
        <family val="2"/>
      </rPr>
      <t>wall primer one coat</t>
    </r>
    <r>
      <rPr>
        <sz val="9"/>
        <rFont val="Arial"/>
        <family val="2"/>
      </rPr>
      <t xml:space="preserve"> using cement including  etc. required for the work complete in all respect as per the direction of the Engineer-in-charge. </t>
    </r>
  </si>
  <si>
    <r>
      <t xml:space="preserve">Finishing plastered surfaces </t>
    </r>
    <r>
      <rPr>
        <b/>
        <sz val="9"/>
        <rFont val="Arial"/>
        <family val="2"/>
      </rPr>
      <t>one coat</t>
    </r>
    <r>
      <rPr>
        <sz val="9"/>
        <rFont val="Arial"/>
        <family val="2"/>
      </rPr>
      <t xml:space="preserve"> with </t>
    </r>
    <r>
      <rPr>
        <b/>
        <sz val="9"/>
        <rFont val="Arial"/>
        <family val="2"/>
      </rPr>
      <t xml:space="preserve">water proofing cement paint  </t>
    </r>
    <r>
      <rPr>
        <sz val="9"/>
        <rFont val="Arial"/>
        <family val="2"/>
      </rPr>
      <t xml:space="preserve">of approved shade on old work in all floors, all heights with staging wherever necessary  etc. required for the work complete in all respect as per the direction of the Engineer-in-charge. </t>
    </r>
  </si>
  <si>
    <r>
      <t>Finishing plastered surfaces</t>
    </r>
    <r>
      <rPr>
        <b/>
        <sz val="9"/>
        <rFont val="Arial"/>
        <family val="2"/>
      </rPr>
      <t xml:space="preserve"> two coats</t>
    </r>
    <r>
      <rPr>
        <sz val="9"/>
        <rFont val="Arial"/>
        <family val="2"/>
      </rPr>
      <t xml:space="preserve"> with </t>
    </r>
    <r>
      <rPr>
        <b/>
        <sz val="9"/>
        <rFont val="Arial"/>
        <family val="2"/>
      </rPr>
      <t>water proofing cement paint</t>
    </r>
    <r>
      <rPr>
        <sz val="9"/>
        <rFont val="Arial"/>
        <family val="2"/>
      </rPr>
      <t xml:space="preserve"> of approved shade on new work  in all floors, all heights with staging wherever necessary  etc. required for the work complete in all respect as per the direction of the Engineer-in-charge. </t>
    </r>
  </si>
  <si>
    <r>
      <t xml:space="preserve">Painting </t>
    </r>
    <r>
      <rPr>
        <b/>
        <sz val="9"/>
        <rFont val="Arial"/>
        <family val="2"/>
      </rPr>
      <t xml:space="preserve">two coats </t>
    </r>
    <r>
      <rPr>
        <sz val="9"/>
        <rFont val="Arial"/>
        <family val="2"/>
      </rPr>
      <t xml:space="preserve">with approved </t>
    </r>
    <r>
      <rPr>
        <b/>
        <sz val="9"/>
        <rFont val="Arial"/>
        <family val="2"/>
      </rPr>
      <t>weather seal paints</t>
    </r>
    <r>
      <rPr>
        <sz val="9"/>
        <rFont val="Arial"/>
        <family val="2"/>
      </rPr>
      <t xml:space="preserve"> of approved colour, shade on wall surface  including sand papering, polishing the surface,  etc, complete as per specification &amp; direction of Engineer-in-charge.</t>
    </r>
  </si>
  <si>
    <r>
      <t xml:space="preserve">Painting two coats with approved </t>
    </r>
    <r>
      <rPr>
        <b/>
        <sz val="9"/>
        <rFont val="Arial"/>
        <family val="2"/>
      </rPr>
      <t>weather seal paints</t>
    </r>
    <r>
      <rPr>
        <sz val="9"/>
        <rFont val="Arial"/>
        <family val="2"/>
      </rPr>
      <t xml:space="preserve"> of approved colour, shade on wall surface over a coat of wall primer including sand papering, polishing the surface,  etc, complete as per specification &amp; direction of Engineer-in-charge.</t>
    </r>
  </si>
  <si>
    <r>
      <t>Finishing plastered surfaces with</t>
    </r>
    <r>
      <rPr>
        <b/>
        <sz val="9"/>
        <rFont val="Arial"/>
        <family val="2"/>
      </rPr>
      <t xml:space="preserve"> Plaster of Paris</t>
    </r>
    <r>
      <rPr>
        <sz val="9"/>
        <rFont val="Arial"/>
        <family val="2"/>
      </rPr>
      <t xml:space="preserve">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t>
    </r>
  </si>
  <si>
    <r>
      <t>Finishing plastered surfaces with</t>
    </r>
    <r>
      <rPr>
        <b/>
        <sz val="9"/>
        <rFont val="Arial"/>
        <family val="2"/>
      </rPr>
      <t xml:space="preserve"> cement putty</t>
    </r>
    <r>
      <rPr>
        <sz val="9"/>
        <rFont val="Arial"/>
        <family val="2"/>
      </rPr>
      <t xml:space="preserve"> (water based)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t>
    </r>
  </si>
  <si>
    <r>
      <t xml:space="preserve">Painting two coats with </t>
    </r>
    <r>
      <rPr>
        <b/>
        <sz val="9"/>
        <rFont val="Arial"/>
        <family val="2"/>
      </rPr>
      <t>plastic emulsion paint</t>
    </r>
    <r>
      <rPr>
        <sz val="9"/>
        <rFont val="Arial"/>
        <family val="2"/>
      </rPr>
      <t xml:space="preserve">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t>
    </r>
  </si>
  <si>
    <r>
      <t xml:space="preserve">Painting two coats with </t>
    </r>
    <r>
      <rPr>
        <b/>
        <sz val="9"/>
        <rFont val="Arial"/>
        <family val="2"/>
      </rPr>
      <t>plastic emulsion paint</t>
    </r>
    <r>
      <rPr>
        <sz val="9"/>
        <rFont val="Arial"/>
        <family val="2"/>
      </rPr>
      <t xml:space="preserve"> over a coat of water bond cement primer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t>
    </r>
  </si>
  <si>
    <r>
      <t xml:space="preserve">Painting </t>
    </r>
    <r>
      <rPr>
        <b/>
        <sz val="9"/>
        <rFont val="Arial"/>
        <family val="2"/>
      </rPr>
      <t>one coats with distemper</t>
    </r>
    <r>
      <rPr>
        <sz val="9"/>
        <rFont val="Arial"/>
        <family val="2"/>
      </rPr>
      <t xml:space="preserve">  on old work to make an even finished surface in all floors and heights to wall surface of approved make and shade including sand papering, applying putty wherever necessary &amp; cost of scaffolding, staging charges  etc. complete as per the direction of the Engineer-in-charge. </t>
    </r>
  </si>
  <si>
    <r>
      <t xml:space="preserve">Painting </t>
    </r>
    <r>
      <rPr>
        <b/>
        <sz val="9"/>
        <rFont val="Arial"/>
        <family val="2"/>
      </rPr>
      <t>two coats with distemper</t>
    </r>
    <r>
      <rPr>
        <sz val="9"/>
        <rFont val="Arial"/>
        <family val="2"/>
      </rPr>
      <t xml:space="preserve">  on new work to make an even finished surface in all floors and heights to wall surface of approved make and shade including sand papering, applying putty wherever necessary &amp; cost of scaffolding, staging charges  etc. complete as per the direction of the Engineer-in-charge. </t>
    </r>
  </si>
  <si>
    <r>
      <t xml:space="preserve">Painting </t>
    </r>
    <r>
      <rPr>
        <b/>
        <sz val="9"/>
        <rFont val="Arial"/>
        <family val="2"/>
      </rPr>
      <t>two coats with distemper over one coat of primer</t>
    </r>
    <r>
      <rPr>
        <sz val="9"/>
        <rFont val="Arial"/>
        <family val="2"/>
      </rPr>
      <t xml:space="preserve"> to make an even finished surface in all floors and heights to wall surface of approved make and shade including sand papering, applying putty wherever necessary  etc. complete as per the direction of the Engineer-in-charge. </t>
    </r>
  </si>
  <si>
    <r>
      <t xml:space="preserve">White washing two coat </t>
    </r>
    <r>
      <rPr>
        <sz val="9"/>
        <rFont val="Arial"/>
        <family val="2"/>
      </rPr>
      <t xml:space="preserve">using shell lime with cost,conveyance of shell lime and cost of  all  labour etc. complete in all respect as per direction of the Engineer-in-charge. </t>
    </r>
  </si>
  <si>
    <r>
      <t xml:space="preserve">White washing three coat </t>
    </r>
    <r>
      <rPr>
        <sz val="9"/>
        <rFont val="Arial"/>
        <family val="2"/>
      </rPr>
      <t xml:space="preserve">using shell lime with cost,conveyance of shell lime and cost of  all  labour etc. complete in all respect as per direction of the Engineer-in-charge. </t>
    </r>
  </si>
  <si>
    <r>
      <t>Colour washing three coat</t>
    </r>
    <r>
      <rPr>
        <sz val="9"/>
        <rFont val="Arial"/>
        <family val="2"/>
      </rPr>
      <t xml:space="preserve"> using shell lime with cost, conveyance of shell lime,colouring materials and cost of labour etc complete in all respect as per direction of the Engineer-in-charge.</t>
    </r>
  </si>
  <si>
    <r>
      <t xml:space="preserve">Painting </t>
    </r>
    <r>
      <rPr>
        <b/>
        <sz val="9"/>
        <rFont val="Arial"/>
        <family val="2"/>
      </rPr>
      <t>two coats with approved enamel paints</t>
    </r>
    <r>
      <rPr>
        <sz val="9"/>
        <rFont val="Arial"/>
        <family val="2"/>
      </rPr>
      <t xml:space="preserve"> of approved colour, shade  over old Iron work including sand papering, polishing the surface, etc, complete as per specification &amp; direction of Engineer-in-charge.</t>
    </r>
  </si>
  <si>
    <r>
      <t xml:space="preserve">Painting </t>
    </r>
    <r>
      <rPr>
        <b/>
        <sz val="9"/>
        <rFont val="Arial"/>
        <family val="2"/>
      </rPr>
      <t>two coats with approved enamel paints</t>
    </r>
    <r>
      <rPr>
        <sz val="9"/>
        <rFont val="Arial"/>
        <family val="2"/>
      </rPr>
      <t xml:space="preserve"> of approved colour, shade over a coat of  primer over new Iron work including sand papering, polishing the surface, etc, complete as per specification &amp; direction of Engineer-in-charge.</t>
    </r>
  </si>
  <si>
    <r>
      <t xml:space="preserve">Coaltaring two coat on wood surface </t>
    </r>
    <r>
      <rPr>
        <sz val="9"/>
        <rFont val="Arial"/>
        <family val="2"/>
      </rPr>
      <t>used in purlin and rafter for AC sheet roofing etc complete.</t>
    </r>
  </si>
  <si>
    <r>
      <rPr>
        <b/>
        <sz val="9"/>
        <rFont val="Arial"/>
        <family val="2"/>
      </rPr>
      <t xml:space="preserve">Priming One coat on iron work </t>
    </r>
    <r>
      <rPr>
        <sz val="9"/>
        <rFont val="Arial"/>
        <family val="2"/>
      </rPr>
      <t>with red oxide primer etc complete.</t>
    </r>
  </si>
  <si>
    <r>
      <t xml:space="preserve">Painting </t>
    </r>
    <r>
      <rPr>
        <b/>
        <sz val="9"/>
        <rFont val="Arial"/>
        <family val="2"/>
      </rPr>
      <t>two coats with approved enamel paints</t>
    </r>
    <r>
      <rPr>
        <sz val="9"/>
        <rFont val="Arial"/>
        <family val="2"/>
      </rPr>
      <t xml:space="preserve"> of approved colour, shade  over old Wood work including sand papering, polishing the surface,  etc, complete as per specification &amp; direction of Engineer-in-charge.</t>
    </r>
  </si>
  <si>
    <r>
      <t xml:space="preserve">Painting </t>
    </r>
    <r>
      <rPr>
        <b/>
        <sz val="9"/>
        <rFont val="Arial"/>
        <family val="2"/>
      </rPr>
      <t>two coats with approved enamel paints</t>
    </r>
    <r>
      <rPr>
        <sz val="9"/>
        <rFont val="Arial"/>
        <family val="2"/>
      </rPr>
      <t xml:space="preserve"> of approved colour, shade over a coat of  primer over new Wood work including sand papering, polishing the surface,  etc, complete as per specification &amp; direction of Engineer-in-charge.</t>
    </r>
  </si>
  <si>
    <r>
      <rPr>
        <b/>
        <sz val="9"/>
        <rFont val="Arial"/>
        <family val="2"/>
      </rPr>
      <t>Fine dressing of earth work</t>
    </r>
    <r>
      <rPr>
        <sz val="9"/>
        <rFont val="Arial"/>
        <family val="2"/>
      </rPr>
      <t xml:space="preserve"> in Ordinary or Hard Soil in road formation according to the direction of the department including cutting or filling earth upto 0.15m depth of surface.</t>
    </r>
  </si>
  <si>
    <r>
      <rPr>
        <b/>
        <sz val="9"/>
        <rFont val="Arial"/>
        <family val="2"/>
      </rPr>
      <t xml:space="preserve">Cleaning grass and removal of rubbish </t>
    </r>
    <r>
      <rPr>
        <sz val="9"/>
        <rFont val="Arial"/>
        <family val="2"/>
      </rPr>
      <t>upto a distance of 50metres outside the peryphery of the area etc complete as per specification.</t>
    </r>
  </si>
  <si>
    <r>
      <rPr>
        <b/>
        <sz val="9"/>
        <rFont val="Arial"/>
        <family val="2"/>
      </rPr>
      <t xml:space="preserve">Cleaning and grubbing road land </t>
    </r>
    <r>
      <rPr>
        <sz val="9"/>
        <rFont val="Arial"/>
        <family val="2"/>
      </rPr>
      <t>including uprooting rank vegetation, grass, bushes, shrubs, sapling and trees girth up to 300mm, removal of stumps of trees cut earlier and disposal of unserviceable materials and stacking of serviceable materials to be used or auctioned, up to lead of 1000m including removal and disposal of top organic soil not exceeding 150mm in thickness. (in area of light jungle)</t>
    </r>
  </si>
  <si>
    <r>
      <rPr>
        <b/>
        <sz val="9"/>
        <rFont val="Arial"/>
        <family val="2"/>
      </rPr>
      <t>Dismantling dry brick pitching</t>
    </r>
    <r>
      <rPr>
        <sz val="9"/>
        <rFont val="Arial"/>
        <family val="2"/>
      </rPr>
      <t xml:space="preserve"> or brick soling including T&amp;P, sorting the dismantled material , disposal of unseviceable material and stacking the serviciable material with all lifts and lead of 1000 mtres.</t>
    </r>
  </si>
  <si>
    <r>
      <rPr>
        <b/>
        <sz val="9"/>
        <rFont val="Arial"/>
        <family val="2"/>
      </rPr>
      <t>Dismantling Stone pitching</t>
    </r>
    <r>
      <rPr>
        <sz val="9"/>
        <rFont val="Arial"/>
        <family val="2"/>
      </rPr>
      <t xml:space="preserve"> /dry stone spalls including T&amp;P, sorting the dismantled material disposal of unservicible material and stacking the serviciable material with all lifts and lead of 1000 mtres.</t>
    </r>
  </si>
  <si>
    <r>
      <rPr>
        <b/>
        <sz val="9"/>
        <rFont val="Arial"/>
        <family val="2"/>
      </rPr>
      <t>Scraping of bricks</t>
    </r>
    <r>
      <rPr>
        <sz val="9"/>
        <rFont val="Arial"/>
        <family val="2"/>
      </rPr>
      <t xml:space="preserve"> dismantled from brick workin cement mortar including T&amp;P sorting the material disposal of unserviciable material and stacking the serviciable material with all lifts and lead of 1000mtres</t>
    </r>
  </si>
  <si>
    <r>
      <rPr>
        <b/>
        <sz val="9"/>
        <rFont val="Arial"/>
        <family val="2"/>
      </rPr>
      <t>Scraping of bricks dismantled</t>
    </r>
    <r>
      <rPr>
        <sz val="9"/>
        <rFont val="Arial"/>
        <family val="2"/>
      </rPr>
      <t xml:space="preserve"> from brick workin mud mortar including T&amp;P sorting the material disposal of unserviciable material and stacking the serviciable material with all lifts and lead of 1000mtres</t>
    </r>
  </si>
  <si>
    <r>
      <rPr>
        <b/>
        <sz val="9"/>
        <rFont val="Arial"/>
        <family val="2"/>
      </rPr>
      <t>Providing, Fitting &amp; Fixing of 100mm dia PVC Rain water pipe</t>
    </r>
    <r>
      <rPr>
        <sz val="9"/>
        <rFont val="Arial"/>
        <family val="2"/>
      </rPr>
      <t xml:space="preserve">  with cost, conveyance, royalties and taxes of all materials with cost of all labour, and T&amp;P required for the work etc. complete in all respect as directed by the Engineer in charge.</t>
    </r>
  </si>
  <si>
    <r>
      <rPr>
        <b/>
        <sz val="9"/>
        <rFont val="Arial"/>
        <family val="2"/>
      </rPr>
      <t>Random Ruble hard granite stone masonry</t>
    </r>
    <r>
      <rPr>
        <sz val="9"/>
        <rFont val="Arial"/>
        <family val="2"/>
      </rPr>
      <t xml:space="preserve"> in cement mortar(1:4) as per approved drawing &amp; technical specifications including cost, conveyance and royalty of all materials etc complete.</t>
    </r>
  </si>
  <si>
    <r>
      <rPr>
        <b/>
        <sz val="9"/>
        <rFont val="Arial"/>
        <family val="2"/>
      </rPr>
      <t>Rough stone dry masonry</t>
    </r>
    <r>
      <rPr>
        <sz val="9"/>
        <rFont val="Arial"/>
        <family val="2"/>
      </rPr>
      <t xml:space="preserve"> with sand grouted for the walls with hard granite stones as per approved drawing &amp; technical specifications including all cost of labour and material etc complete.</t>
    </r>
  </si>
  <si>
    <r>
      <t>Providing Weep Holes</t>
    </r>
    <r>
      <rPr>
        <sz val="9"/>
        <rFont val="Arial"/>
        <family val="2"/>
      </rPr>
      <t xml:space="preserve"> in Brick Masonry / Plain / Reinforced cement concrete abutment, wing wall, return wall with 100mm dia A.C. Pipe, extending through the full width of the structure with slope1:20 etc complete as per drawing and Technical specifications</t>
    </r>
  </si>
  <si>
    <r>
      <t xml:space="preserve">20mm thick cement plaster (1:4) with punning </t>
    </r>
    <r>
      <rPr>
        <sz val="9"/>
        <rFont val="Arial"/>
        <family val="2"/>
      </rPr>
      <t>over stone masonry including all cost of labour and material etc complete as per specification.</t>
    </r>
  </si>
  <si>
    <r>
      <t>Gravel backing to revetments</t>
    </r>
    <r>
      <rPr>
        <sz val="9"/>
        <rFont val="Arial"/>
        <family val="2"/>
      </rPr>
      <t xml:space="preserve"> as per approved drawing &amp; technical specifications Including all cost of labour and material etc complete.</t>
    </r>
  </si>
  <si>
    <r>
      <rPr>
        <b/>
        <sz val="9"/>
        <rFont val="Arial"/>
        <family val="2"/>
      </rPr>
      <t>Rough stone dry packing in aprons</t>
    </r>
    <r>
      <rPr>
        <sz val="9"/>
        <rFont val="Arial"/>
        <family val="2"/>
      </rPr>
      <t xml:space="preserve"> and revetments as per approved drawing &amp; technical specifications including all cost of labour and material etc complete.</t>
    </r>
  </si>
  <si>
    <r>
      <t>Grouting to Aprons and revetments</t>
    </r>
    <r>
      <rPr>
        <sz val="9"/>
        <rFont val="Arial"/>
        <family val="2"/>
      </rPr>
      <t xml:space="preserve"> with cement concrete (1:4:8)  using 2.5cm size h.g.c.b.metal of 23cm deep including curing and cost, conveyance &amp; royalities of materials and labour charges etc.complete as per approved drawing &amp; technical specifications and as per direction of Engineer In Charge.</t>
    </r>
  </si>
  <si>
    <r>
      <rPr>
        <b/>
        <sz val="9"/>
        <rFont val="Arial"/>
        <family val="2"/>
      </rPr>
      <t xml:space="preserve">Providing 40mm to 90mm, size hard stone metal </t>
    </r>
    <r>
      <rPr>
        <sz val="9"/>
        <rFont val="Arial"/>
        <family val="2"/>
      </rPr>
      <t xml:space="preserve">other than granite in </t>
    </r>
    <r>
      <rPr>
        <b/>
        <sz val="9"/>
        <rFont val="Arial"/>
        <family val="2"/>
      </rPr>
      <t>filter media</t>
    </r>
    <r>
      <rPr>
        <sz val="9"/>
        <rFont val="Arial"/>
        <family val="2"/>
      </rPr>
      <t xml:space="preserve"> including spreading in uniform  thickness, hand packing, rolling with HRR or ramming with rammer to proper level, grade &amp; camber with sand to fill up the interstices for finished item of works as per direction of Engineer In Charge.</t>
    </r>
  </si>
  <si>
    <r>
      <t>Earth Work in embankment in hard soil</t>
    </r>
    <r>
      <rPr>
        <sz val="9"/>
        <rFont val="Arial"/>
        <family val="2"/>
      </rPr>
      <t xml:space="preserve"> obtained from borrow pits carried to site by transporting including rough dressing and rolling with PRR, watering upto OMC laying in layers not exceeding 0.23m with hire &amp; running charges of PRR and labour charges etc complete.</t>
    </r>
  </si>
  <si>
    <r>
      <t>Earth work in embankment</t>
    </r>
    <r>
      <rPr>
        <sz val="9"/>
        <rFont val="Arial"/>
        <family val="2"/>
      </rPr>
      <t xml:space="preserve"> obtained from borrow pits with carriage </t>
    </r>
    <r>
      <rPr>
        <b/>
        <sz val="9"/>
        <rFont val="Arial"/>
        <family val="2"/>
      </rPr>
      <t>by mechanical means</t>
    </r>
    <r>
      <rPr>
        <sz val="9"/>
        <rFont val="Arial"/>
        <family val="2"/>
      </rPr>
      <t xml:space="preserve"> as per approved drawing &amp; technical specifications and as per Clause -305 of  MoRT&amp;H specifications for Road &amp; Bridge works (Latest Revision ).</t>
    </r>
  </si>
  <si>
    <r>
      <t>Earth work in embankment with excavated earth</t>
    </r>
    <r>
      <rPr>
        <sz val="9"/>
        <rFont val="Arial"/>
        <family val="2"/>
      </rPr>
      <t xml:space="preserve"> as per approved drawing &amp; technical specifications and as per Clause -305 of  MoRT&amp;H specifications for Road &amp; Bridge works (Latest Revision ).</t>
    </r>
  </si>
  <si>
    <r>
      <rPr>
        <b/>
        <sz val="9"/>
        <rFont val="Arial"/>
        <family val="2"/>
      </rPr>
      <t xml:space="preserve">Excavation of any approved type of soil </t>
    </r>
    <r>
      <rPr>
        <sz val="9"/>
        <rFont val="Arial"/>
        <family val="2"/>
      </rPr>
      <t>in approved borrow area by mechanical means loading into and transportation by mechanical means and unloading the soil within initial lead of 1km on properly prepared and scientifically approved surface including spreading and levelling the earth in 22.5 cm layers to make ready for watering and compaction with sheep foot rollers and dozers but excluding watering and compaction in dams and dykes for all heights including construction, maintenance, watering and lighting of haul road and borrow area etc. complete as per the direction of Engineer-incharge.(measurement of the fill to be taken on the finished compacted section under OMC condition.)</t>
    </r>
  </si>
  <si>
    <r>
      <rPr>
        <b/>
        <sz val="9"/>
        <rFont val="Arial"/>
        <family val="2"/>
      </rPr>
      <t>Excavation loading unloading and carriage by mechanical means</t>
    </r>
    <r>
      <rPr>
        <sz val="9"/>
        <rFont val="Arial"/>
        <family val="2"/>
      </rPr>
      <t xml:space="preserve"> of all kinds of soil including stoney earth gravel &amp; moorum etc interspread with boulders upto 1/2cum size with all lifts and delifts including trimming of slopes and bed to design section and depositing the excavated materials away from work site as per the specification and as directed by the Engineer-in-Charge within an initial lead of 1Km from the place of Excavation Complete</t>
    </r>
  </si>
  <si>
    <r>
      <t>Collecting supplying and stacking</t>
    </r>
    <r>
      <rPr>
        <b/>
        <sz val="9"/>
        <rFont val="Arial"/>
        <family val="2"/>
      </rPr>
      <t xml:space="preserve"> good laterite moorum</t>
    </r>
    <r>
      <rPr>
        <sz val="9"/>
        <rFont val="Arial"/>
        <family val="2"/>
      </rPr>
      <t xml:space="preserve"> from approved quarry of approved quality on road side in box heaps of size 1.50 x1.50x0.44  measured as 1cum </t>
    </r>
  </si>
  <si>
    <r>
      <t xml:space="preserve">Conveying </t>
    </r>
    <r>
      <rPr>
        <b/>
        <sz val="9"/>
        <rFont val="Arial"/>
        <family val="2"/>
      </rPr>
      <t>from stack spreading moorum</t>
    </r>
    <r>
      <rPr>
        <sz val="9"/>
        <rFont val="Arial"/>
        <family val="2"/>
      </rPr>
      <t xml:space="preserve"> to proper camber on road surface including dressing  etc complete as per specification.</t>
    </r>
  </si>
  <si>
    <r>
      <rPr>
        <b/>
        <sz val="9"/>
        <rFont val="Arial"/>
        <family val="2"/>
      </rPr>
      <t>Labour for sppreading moorum</t>
    </r>
    <r>
      <rPr>
        <sz val="9"/>
        <rFont val="Arial"/>
        <family val="2"/>
      </rPr>
      <t xml:space="preserve"> and consolidation with HRR including watering etc complete.</t>
    </r>
  </si>
  <si>
    <r>
      <rPr>
        <b/>
        <sz val="9"/>
        <rFont val="Arial"/>
        <family val="2"/>
      </rPr>
      <t xml:space="preserve">Flank dressing </t>
    </r>
    <r>
      <rPr>
        <sz val="9"/>
        <rFont val="Arial"/>
        <family val="2"/>
      </rPr>
      <t>to proper camber etc complete. As per specificcation.</t>
    </r>
  </si>
  <si>
    <r>
      <rPr>
        <b/>
        <sz val="9"/>
        <rFont val="Arial"/>
        <family val="2"/>
      </rPr>
      <t>Sectioning old gravelled surface</t>
    </r>
    <r>
      <rPr>
        <sz val="9"/>
        <rFont val="Arial"/>
        <family val="2"/>
      </rPr>
      <t xml:space="preserve"> to proper Camber etc complete.</t>
    </r>
  </si>
  <si>
    <r>
      <rPr>
        <b/>
        <sz val="9"/>
        <rFont val="Arial"/>
        <family val="2"/>
      </rPr>
      <t xml:space="preserve">Collecting supplying stacking  good laterite moorum </t>
    </r>
    <r>
      <rPr>
        <sz val="9"/>
        <rFont val="Arial"/>
        <family val="2"/>
      </rPr>
      <t>from approved quarry and spreading in proper section etc complete as per specification.</t>
    </r>
  </si>
  <si>
    <r>
      <rPr>
        <b/>
        <sz val="9"/>
        <rFont val="Arial"/>
        <family val="2"/>
      </rPr>
      <t xml:space="preserve">Collecting supplying stacking  good laterite moorum </t>
    </r>
    <r>
      <rPr>
        <sz val="9"/>
        <rFont val="Arial"/>
        <family val="2"/>
      </rPr>
      <t>from approved quarry and spreading in proper section  and rolling with PRR etc complete as per specification.</t>
    </r>
  </si>
  <si>
    <r>
      <t xml:space="preserve">Providing compacted </t>
    </r>
    <r>
      <rPr>
        <b/>
        <sz val="9"/>
        <rFont val="Arial"/>
        <family val="2"/>
      </rPr>
      <t>granular materials in road sub-base/shoulder by using moorum</t>
    </r>
    <r>
      <rPr>
        <sz val="9"/>
        <rFont val="Arial"/>
        <family val="2"/>
      </rPr>
      <t xml:space="preserve"> in layers not exceeding 100mm watering and compacting to the required density in OMC with PRR including cost of all labour and maaterial etc complete.</t>
    </r>
  </si>
  <si>
    <r>
      <rPr>
        <b/>
        <sz val="9"/>
        <rFont val="Arial"/>
        <family val="2"/>
      </rPr>
      <t>Turfing the slopes of embankment</t>
    </r>
    <r>
      <rPr>
        <sz val="9"/>
        <rFont val="Arial"/>
        <family val="2"/>
      </rPr>
      <t xml:space="preserve"> with compact turf grass as per approved drawing &amp; technical specifications etc complete.</t>
    </r>
  </si>
  <si>
    <r>
      <rPr>
        <b/>
        <sz val="9"/>
        <rFont val="Arial"/>
        <family val="2"/>
      </rPr>
      <t xml:space="preserve">Ordinary compaction by PRR </t>
    </r>
    <r>
      <rPr>
        <sz val="9"/>
        <rFont val="Arial"/>
        <family val="2"/>
      </rPr>
      <t>per day 708 cum.</t>
    </r>
  </si>
  <si>
    <r>
      <t xml:space="preserve">Compacting and watering upto </t>
    </r>
    <r>
      <rPr>
        <b/>
        <sz val="9"/>
        <rFont val="Arial"/>
        <family val="2"/>
      </rPr>
      <t>OMC rolling earth work with PRR</t>
    </r>
    <r>
      <rPr>
        <sz val="9"/>
        <rFont val="Arial"/>
        <family val="2"/>
      </rPr>
      <t xml:space="preserve"> in embankment in layers not exceeding 0.23m by PRR including hire and running charges of the roller.</t>
    </r>
  </si>
  <si>
    <r>
      <rPr>
        <b/>
        <sz val="9"/>
        <rFont val="Arial"/>
        <family val="2"/>
      </rPr>
      <t xml:space="preserve">Sectioning and cambering earth work </t>
    </r>
    <r>
      <rPr>
        <sz val="9"/>
        <rFont val="Arial"/>
        <family val="2"/>
      </rPr>
      <t>in road formation to proper specification approved by the department.</t>
    </r>
  </si>
  <si>
    <r>
      <rPr>
        <b/>
        <sz val="9"/>
        <rFont val="Arial"/>
        <family val="2"/>
      </rPr>
      <t xml:space="preserve">Ramming or rolling earth work with light HRR </t>
    </r>
    <r>
      <rPr>
        <sz val="9"/>
        <rFont val="Arial"/>
        <family val="2"/>
      </rPr>
      <t>in embankment in layers not exceeding 0.30m</t>
    </r>
  </si>
  <si>
    <r>
      <rPr>
        <b/>
        <sz val="9"/>
        <rFont val="Arial"/>
        <family val="2"/>
      </rPr>
      <t>Extra lead of 25mtr or part there of over the initial lead of 50m</t>
    </r>
    <r>
      <rPr>
        <sz val="9"/>
        <rFont val="Arial"/>
        <family val="2"/>
      </rPr>
      <t xml:space="preserve"> for earth work in all kinds of embankment and road works and ordinary earth work in general.</t>
    </r>
  </si>
  <si>
    <r>
      <rPr>
        <b/>
        <sz val="9"/>
        <rFont val="Arial"/>
        <family val="2"/>
      </rPr>
      <t xml:space="preserve">Extra lift of 1.5mtr or part there of over the initial lift of 1.5m </t>
    </r>
    <r>
      <rPr>
        <sz val="9"/>
        <rFont val="Arial"/>
        <family val="2"/>
      </rPr>
      <t>in all kinds of embankment and road works and ordinary earth work in general.</t>
    </r>
  </si>
  <si>
    <r>
      <t xml:space="preserve">P.C.C.M-15 Grade </t>
    </r>
    <r>
      <rPr>
        <sz val="9"/>
        <rFont val="Arial"/>
        <family val="2"/>
      </rPr>
      <t>using 40mm to 10mm size crushed stone aggregates mixed by concrete mixer, laying in layers and compacting by vibrator &amp; all leads and lifts including frame works etc complete.</t>
    </r>
  </si>
  <si>
    <r>
      <t xml:space="preserve">P.C.C.M-20 Grade </t>
    </r>
    <r>
      <rPr>
        <sz val="9"/>
        <rFont val="Arial"/>
        <family val="2"/>
      </rPr>
      <t>using 40mm to 10mm size crushed stone aggregates mixed by concrete mixer, laying in layers and compacting by vibrator &amp; all leads and lifts including frame works etc complete.</t>
    </r>
  </si>
  <si>
    <r>
      <t xml:space="preserve">P.C.C.M-25 Grade </t>
    </r>
    <r>
      <rPr>
        <sz val="9"/>
        <rFont val="Arial"/>
        <family val="2"/>
      </rPr>
      <t>using 40mm to 10mm size crushed stone aggregates mixed by concrete mixer, laying in layers and compacting by vibrator &amp; all leads and lifts including frame works etc complete.</t>
    </r>
  </si>
  <si>
    <r>
      <t>R.C.C. M-20 grade in structure of C.D. work</t>
    </r>
    <r>
      <rPr>
        <sz val="9"/>
        <rFont val="Arial"/>
        <family val="2"/>
      </rPr>
      <t xml:space="preserve"> as per approved drawing &amp; technical specifications including all cost of labour and material etc complete as per direction of EIC</t>
    </r>
  </si>
  <si>
    <r>
      <t>R.C.C. M-30 grade in wearing coat</t>
    </r>
    <r>
      <rPr>
        <sz val="9"/>
        <rFont val="Arial"/>
        <family val="2"/>
      </rPr>
      <t xml:space="preserve"> of C.D. work as per approved drawing &amp; technical specifications including all cost of labour and material etc complete.</t>
    </r>
  </si>
  <si>
    <r>
      <t xml:space="preserve">Laying of </t>
    </r>
    <r>
      <rPr>
        <b/>
        <sz val="9"/>
        <rFont val="Arial"/>
        <family val="2"/>
      </rPr>
      <t>NP3 Hume Pipe of 300mm dia.</t>
    </r>
    <r>
      <rPr>
        <sz val="9"/>
        <rFont val="Arial"/>
        <family val="2"/>
      </rPr>
      <t xml:space="preserve"> for pipe culverts as per approved drawing &amp; technical specifications including cost of pipe etc complete</t>
    </r>
  </si>
  <si>
    <r>
      <t xml:space="preserve">Laying of </t>
    </r>
    <r>
      <rPr>
        <b/>
        <sz val="9"/>
        <rFont val="Arial"/>
        <family val="2"/>
      </rPr>
      <t>NP3 Hume Pipe of 450mm dia.</t>
    </r>
    <r>
      <rPr>
        <sz val="9"/>
        <rFont val="Arial"/>
        <family val="2"/>
      </rPr>
      <t xml:space="preserve"> for pipe culverts as per approved drawing &amp; technical specifications including cost of pipe etc complete</t>
    </r>
  </si>
  <si>
    <r>
      <t xml:space="preserve">Laying of </t>
    </r>
    <r>
      <rPr>
        <b/>
        <sz val="9"/>
        <rFont val="Arial"/>
        <family val="2"/>
      </rPr>
      <t>NP3 Hume Pipe of 600mm dia.</t>
    </r>
    <r>
      <rPr>
        <sz val="9"/>
        <rFont val="Arial"/>
        <family val="2"/>
      </rPr>
      <t xml:space="preserve"> for pipe culverts as per approved drawing &amp; technical specifications including cost of pipe etc complete.</t>
    </r>
  </si>
  <si>
    <r>
      <t xml:space="preserve">Laying of </t>
    </r>
    <r>
      <rPr>
        <b/>
        <sz val="9"/>
        <rFont val="Arial"/>
        <family val="2"/>
      </rPr>
      <t>NP3 Hume Pipe of 900mm dia.</t>
    </r>
    <r>
      <rPr>
        <sz val="9"/>
        <rFont val="Arial"/>
        <family val="2"/>
      </rPr>
      <t xml:space="preserve"> for pipe culverts as per approved drawing &amp; technical specifications including cost of pipe etc complete</t>
    </r>
  </si>
  <si>
    <r>
      <t xml:space="preserve">Laying of </t>
    </r>
    <r>
      <rPr>
        <b/>
        <sz val="9"/>
        <rFont val="Arial"/>
        <family val="2"/>
      </rPr>
      <t>NP3 Hume Pipe of 1000mm dia.</t>
    </r>
    <r>
      <rPr>
        <sz val="9"/>
        <rFont val="Arial"/>
        <family val="2"/>
      </rPr>
      <t xml:space="preserve"> for pipe culverts as per approved drawing &amp; technical specifications including cost of pipe etc complete.</t>
    </r>
  </si>
  <si>
    <r>
      <t xml:space="preserve">Laying of </t>
    </r>
    <r>
      <rPr>
        <b/>
        <sz val="9"/>
        <rFont val="Arial"/>
        <family val="2"/>
      </rPr>
      <t>NP3 Hume Pipe of 1200mm dia.</t>
    </r>
    <r>
      <rPr>
        <sz val="9"/>
        <rFont val="Arial"/>
        <family val="2"/>
      </rPr>
      <t xml:space="preserve"> for pipe culverts as per approved drawing &amp; technical specifications including cost of pipe etc complete</t>
    </r>
  </si>
  <si>
    <r>
      <t xml:space="preserve">Providing fitting fixing </t>
    </r>
    <r>
      <rPr>
        <b/>
        <sz val="9"/>
        <rFont val="Arial"/>
        <family val="2"/>
      </rPr>
      <t>wall papers/ wall coverings (paper backed vinyl</t>
    </r>
    <r>
      <rPr>
        <sz val="9"/>
        <rFont val="Arial"/>
        <family val="2"/>
      </rPr>
      <t>) to the interior walls with application of extra strong all purpose wall paper adhesive with recommended approved design and shade texture including cost of all materials all labour all T&amp;P etc complete required for the work in all respect as per direction of the Engineer in Charge.</t>
    </r>
  </si>
  <si>
    <r>
      <t xml:space="preserve">Supplying fitting and fixing of </t>
    </r>
    <r>
      <rPr>
        <b/>
        <sz val="9"/>
        <rFont val="Arial"/>
        <family val="2"/>
      </rPr>
      <t>Computer table</t>
    </r>
    <r>
      <rPr>
        <sz val="9"/>
        <rFont val="Arial"/>
        <family val="2"/>
      </rPr>
      <t xml:space="preserve"> with 19mm BWR Block Board and pested with 1mm thick sanmaica of approved shade to all exposed sides  back with 19mm BWR ply with sanmaica one side with side drawer and cupboard with all fitting and fixtures of godrej make including tralee channel including cost of all material and labour and all inside pested with 1mm sanmaica etc and installed at site etc, complete excuding GST on materials.</t>
    </r>
  </si>
  <si>
    <r>
      <t>Supplying fitting</t>
    </r>
    <r>
      <rPr>
        <b/>
        <sz val="9"/>
        <rFont val="Arial"/>
        <family val="2"/>
      </rPr>
      <t xml:space="preserve"> wall panneling</t>
    </r>
    <r>
      <rPr>
        <sz val="9"/>
        <rFont val="Arial"/>
        <family val="2"/>
      </rPr>
      <t xml:space="preserve"> made out of alluminium secion B 9835 as horizental and vertical member placed @ 600mm c/c covered with 9mm thick BWR Ply  and 3mm thick ACP (wooden Finish of Timex Bond) &amp; applied with approved jointing materials (Silicon) with cost of all materials labours &amp;T&amp;P etc complete excluding GST</t>
    </r>
  </si>
  <si>
    <r>
      <t>Providing and fixing of</t>
    </r>
    <r>
      <rPr>
        <b/>
        <sz val="9"/>
        <rFont val="Arial"/>
        <family val="2"/>
      </rPr>
      <t xml:space="preserve"> wall panneling</t>
    </r>
    <r>
      <rPr>
        <sz val="9"/>
        <rFont val="Arial"/>
        <family val="2"/>
      </rPr>
      <t xml:space="preserve"> made out of with 9mm thick BWR Ply and pested with 3mm wooden stone &amp; Marble timex brand with cost of all materials labours &amp; T&amp;P etc complete Excluding GST</t>
    </r>
  </si>
  <si>
    <r>
      <t xml:space="preserve">Providing fitting and fixing of </t>
    </r>
    <r>
      <rPr>
        <b/>
        <sz val="9"/>
        <rFont val="Arial"/>
        <family val="2"/>
      </rPr>
      <t>3mm alluminium composite Panneling (ACP)</t>
    </r>
    <r>
      <rPr>
        <sz val="9"/>
        <rFont val="Arial"/>
        <family val="2"/>
      </rPr>
      <t xml:space="preserve"> over 9mm thick BWR Ply fixed on alluminium section no 9835 as horizental and vertical members spaced at 2'-0" C to C including materials all labour  T&amp;P etc approved for the work complete in all respect as per direction of Engineer in Charge.</t>
    </r>
  </si>
  <si>
    <r>
      <t xml:space="preserve">Providing fitting and fixing of </t>
    </r>
    <r>
      <rPr>
        <b/>
        <sz val="9"/>
        <rFont val="Arial"/>
        <family val="2"/>
      </rPr>
      <t>3mm ACP on existing Ply board</t>
    </r>
    <r>
      <rPr>
        <sz val="9"/>
        <rFont val="Arial"/>
        <family val="2"/>
      </rPr>
      <t xml:space="preserve">   including all cost of materials all labour  T&amp;P etc approved for the work complete in all respect as per direction of Engineer in Charge.</t>
    </r>
  </si>
  <si>
    <r>
      <t xml:space="preserve">Providing fitting and fixing of </t>
    </r>
    <r>
      <rPr>
        <b/>
        <sz val="9"/>
        <rFont val="Arial"/>
        <family val="2"/>
      </rPr>
      <t>32mm flush door shutter</t>
    </r>
    <r>
      <rPr>
        <sz val="9"/>
        <rFont val="Arial"/>
        <family val="2"/>
      </rPr>
      <t xml:space="preserve"> made out of 32mm BWR block board and pested with both side 3mm thick ACP timex bond silver brushed   including all cost of materials all labour  T&amp;P etc approved for the work complete in all respect as per direction of Engineer in Charge.</t>
    </r>
  </si>
  <si>
    <r>
      <t xml:space="preserve">Providing fitting and fixing of  </t>
    </r>
    <r>
      <rPr>
        <b/>
        <sz val="9"/>
        <rFont val="Arial"/>
        <family val="2"/>
      </rPr>
      <t>Polycarbonate multiwall sheet (Clear)</t>
    </r>
    <r>
      <rPr>
        <sz val="9"/>
        <rFont val="Arial"/>
        <family val="2"/>
      </rPr>
      <t xml:space="preserve"> with 25mm MS square pipe frame   including all cost of materials all labour  T&amp;P etc approved for the work complete in all respect as per direction of Engineer in Charge.</t>
    </r>
  </si>
  <si>
    <r>
      <t xml:space="preserve">Providing fitting and fixing of </t>
    </r>
    <r>
      <rPr>
        <b/>
        <sz val="9"/>
        <rFont val="Arial"/>
        <family val="2"/>
      </rPr>
      <t xml:space="preserve"> Wall panneling made out of alluminium Section B 9835</t>
    </r>
    <r>
      <rPr>
        <sz val="9"/>
        <rFont val="Arial"/>
        <family val="2"/>
      </rPr>
      <t xml:space="preserve"> as horizental and vertical member places  @ 600mm C/C covered with 19mm thick BWR Ply and 4mm thick Archid American white ceder veneers of white Oak and applied with approved Malamine polish with cost of all materials labour T&amp;P etc complete as per direction of Engineer in Charge.</t>
    </r>
  </si>
  <si>
    <r>
      <t xml:space="preserve">Providing fitting and fixing of  </t>
    </r>
    <r>
      <rPr>
        <b/>
        <sz val="9"/>
        <rFont val="Arial"/>
        <family val="2"/>
      </rPr>
      <t>Library Computer Table</t>
    </r>
    <r>
      <rPr>
        <sz val="9"/>
        <rFont val="Arial"/>
        <family val="2"/>
      </rPr>
      <t xml:space="preserve"> with 19mm BWR Ply Wood and pasted with 1mm thick Micca of approved shade to all exposed sides front with 19mm BWR Ply with Micca both side fitted with trolly for key board and top wall walling with 12mm ply and pasted with micca of approved quality and all partition wall with 12mm white plain glass with 3 side moulding etc complete including GST of all materials. as per direction of Engineer in Charge.</t>
    </r>
  </si>
  <si>
    <r>
      <t xml:space="preserve">Providing fitting and fixing of  </t>
    </r>
    <r>
      <rPr>
        <b/>
        <sz val="9"/>
        <rFont val="Arial"/>
        <family val="2"/>
      </rPr>
      <t xml:space="preserve">Librarian Table </t>
    </r>
    <r>
      <rPr>
        <sz val="9"/>
        <rFont val="Arial"/>
        <family val="2"/>
      </rPr>
      <t>with 19mm BWR Ply Wood and pasted with 1mm thick Micca of approved shade to all exposed sides front with 19mm BWR Ply border with Micca both side with all fittings and fixture of Godrej make with a drawer including cost of materials and labours as approved specification and initiated at site etc completeincluding GST of all Materials. as per direction of Engineer in Charge.</t>
    </r>
  </si>
  <si>
    <r>
      <t xml:space="preserve">Supplying fitting and fixing of  </t>
    </r>
    <r>
      <rPr>
        <b/>
        <sz val="9"/>
        <rFont val="Arial"/>
        <family val="2"/>
      </rPr>
      <t>Library open Book Rack</t>
    </r>
    <r>
      <rPr>
        <sz val="9"/>
        <rFont val="Arial"/>
        <family val="2"/>
      </rPr>
      <t xml:space="preserve"> with 19mm BWR Ply Wood and pasted with 1mm thick Micca of approved shade to all exposed sides f with all fittings and fixture of Godrej make including cost of all material and labours as approved specification and initiated at site etc complete including GST of all Materials. as per direction of Engineer in Charge.</t>
    </r>
  </si>
  <si>
    <r>
      <t xml:space="preserve">Supplying fitting and fixing of  </t>
    </r>
    <r>
      <rPr>
        <b/>
        <sz val="9"/>
        <rFont val="Arial"/>
        <family val="2"/>
      </rPr>
      <t>Library open Book Rack-II</t>
    </r>
    <r>
      <rPr>
        <sz val="9"/>
        <rFont val="Arial"/>
        <family val="2"/>
      </rPr>
      <t xml:space="preserve"> with 19mm BWR Ply Wood and pasted with 1mm thick Micca of approved shade to all exposed sides f with all fittings and fixture of Godrej make including cost of all material and labours as approved specification and initiated at site etc complete including GST of all Materials. as per direction of Engineer in Charge.</t>
    </r>
  </si>
  <si>
    <r>
      <t xml:space="preserve">Supplying fitting and fixing of  </t>
    </r>
    <r>
      <rPr>
        <b/>
        <sz val="9"/>
        <rFont val="Arial"/>
        <family val="2"/>
      </rPr>
      <t xml:space="preserve">Center Reading Table for Student  </t>
    </r>
    <r>
      <rPr>
        <sz val="9"/>
        <rFont val="Arial"/>
        <family val="2"/>
      </rPr>
      <t>with 19mm BWR Ply Wood and pasted with 1mm thick Micca of approved shade to all exposed sides front with 19mm BWR Ply Border with micca both sides with all fittings and fixture of Godrej make including cost of all material and labours as approved specification and initiated at site etc complete including GST of all Materials. as per direction of Engineer in Charge.</t>
    </r>
  </si>
  <si>
    <r>
      <t xml:space="preserve">Supplying fitting and fixing of </t>
    </r>
    <r>
      <rPr>
        <b/>
        <sz val="9"/>
        <rFont val="Arial"/>
        <family val="2"/>
      </rPr>
      <t xml:space="preserve"> Library Book Shelf</t>
    </r>
    <r>
      <rPr>
        <sz val="9"/>
        <rFont val="Arial"/>
        <family val="2"/>
      </rPr>
      <t xml:space="preserve"> with 19mm BWR Ply Wood and pasted with 1mm thick Micca of approved shade to all exposed sides front with 19mm BWR Ply Border with micca both sidesfitted with front doors with 5mm thick white Glass bottom cupboard with dual shutter fitted both side 1mm micca and all accessories of Godrej make including all cost of Material and labour charges etc comple as per specification.</t>
    </r>
  </si>
  <si>
    <r>
      <t xml:space="preserve">Supplying fitting and fixing of  </t>
    </r>
    <r>
      <rPr>
        <b/>
        <sz val="9"/>
        <rFont val="Arial"/>
        <family val="2"/>
      </rPr>
      <t xml:space="preserve">window pannel moddel 1 </t>
    </r>
    <r>
      <rPr>
        <sz val="9"/>
        <rFont val="Arial"/>
        <family val="2"/>
      </rPr>
      <t>with 12mm BWR Ply Wood and pasted with 1mm thick Micca of approved shade to all exposed sides  with all fittings and fixture of Godrej make including cost of all material and labours as approved specification and initiated at site etc complete including GST of all Materials. as per direction of Engineer in Charge.</t>
    </r>
  </si>
  <si>
    <r>
      <t xml:space="preserve">Supplying fitting and fixing of  </t>
    </r>
    <r>
      <rPr>
        <b/>
        <sz val="9"/>
        <rFont val="Arial"/>
        <family val="2"/>
      </rPr>
      <t>window pannel moddel 2</t>
    </r>
    <r>
      <rPr>
        <sz val="9"/>
        <rFont val="Arial"/>
        <family val="2"/>
      </rPr>
      <t xml:space="preserve"> with 12mm BWR Ply Wood and pasted with 1mm thick Micca of approved shade to all exposed sides  with all fittings and fixture of Godrej make including cost of all material and labours as approved specification and initiated at site etc complete including GST of all Materials. as per direction of Engineer in Charge.</t>
    </r>
  </si>
  <si>
    <r>
      <t xml:space="preserve">Supplying fitting and fixing of </t>
    </r>
    <r>
      <rPr>
        <b/>
        <sz val="9"/>
        <rFont val="Arial"/>
        <family val="2"/>
      </rPr>
      <t xml:space="preserve"> Door pannel moddel 1</t>
    </r>
    <r>
      <rPr>
        <sz val="9"/>
        <rFont val="Arial"/>
        <family val="2"/>
      </rPr>
      <t xml:space="preserve"> with 12mm BWR Ply Wood and pasted with 1mm thick Micca of approved shade to all exposed sides  with all fittings and fixture of Godrej make including cost of all material and labours as approved specification and initiated at site etc complete including GST of all Materials. as per direction of Engineer in Charge.</t>
    </r>
  </si>
  <si>
    <r>
      <t xml:space="preserve">Supplying fitting and fixing of </t>
    </r>
    <r>
      <rPr>
        <b/>
        <sz val="9"/>
        <rFont val="Arial"/>
        <family val="2"/>
      </rPr>
      <t>Sc Lab Practical Table</t>
    </r>
    <r>
      <rPr>
        <sz val="9"/>
        <rFont val="Arial"/>
        <family val="2"/>
      </rPr>
      <t xml:space="preserve"> with 19mm BWR Ply Wood and pasted with 1mm thick Micca of approved shade to all exposed sides including both side cup board fitted with shorter and top platform pasted with green granite pesting with pidilite past with one side hand wash system with a sink 600mmx450mm long tap with all accessories of water supply system and fitted with a toprack of 10mm ply and 1mm thick micca pasting in all exposed side pasted with pidilight paste on granite base  including all cost of Material and labour charges but excluding cost of watersupply system. etc comple as per specification.</t>
    </r>
  </si>
  <si>
    <r>
      <t xml:space="preserve">Supplying fitting and fixing of  </t>
    </r>
    <r>
      <rPr>
        <b/>
        <sz val="9"/>
        <rFont val="Arial"/>
        <family val="2"/>
      </rPr>
      <t>Podium</t>
    </r>
    <r>
      <rPr>
        <sz val="9"/>
        <rFont val="Arial"/>
        <family val="2"/>
      </rPr>
      <t xml:space="preserve"> with 19mm BWR Ply Wood and pasted with 1mm thick Micca of approved shade to all exposed sides  front with 19mm BWR Ply Border with micca both sides with all fittings and fixture of Godrej make including cost of all material and labours as approved specification and initiated at site etc complete including GST of all Materials. as per direction of Engineer in Charge.</t>
    </r>
  </si>
  <si>
    <r>
      <t xml:space="preserve">Supplying fitting and fixing of </t>
    </r>
    <r>
      <rPr>
        <b/>
        <sz val="9"/>
        <rFont val="Arial"/>
        <family val="2"/>
      </rPr>
      <t>Flash Pannel Board Platform</t>
    </r>
    <r>
      <rPr>
        <sz val="9"/>
        <rFont val="Arial"/>
        <family val="2"/>
      </rPr>
      <t xml:space="preserve"> with 19mm BWR Ply Wood and pasted with 1mm thick Micca of approved shade to all exposed sides ffont with 19mm BWR Ply with micca both sides fitted with top Platform fitted with full sliding shutter including fitting fixing of two sets of alluminium sliding channel with wheels &amp; pasting the site border with pedilite pest and bottom cup board with dual shutter fitted both side with 1mm thick micca and all accessories of Gorej make including  all cost of Material and labour charges. etc comple as per specification.</t>
    </r>
  </si>
  <si>
    <r>
      <t xml:space="preserve">Supplying fitting and fixing of  </t>
    </r>
    <r>
      <rPr>
        <b/>
        <sz val="9"/>
        <rFont val="Arial"/>
        <family val="2"/>
      </rPr>
      <t xml:space="preserve">ICT Activity Soft Board </t>
    </r>
    <r>
      <rPr>
        <sz val="9"/>
        <rFont val="Arial"/>
        <family val="2"/>
      </rPr>
      <t xml:space="preserve"> with 9mm BWR Ply Wood Back Side and site border with 19mm BWR Ply pasted with 1mm thick Micca of approved shade to all exposed sides including fixing of soft board &amp; Valvet cloth including all cost conveyance taxesl and all  labours charges for fitting and fixing etc complete.</t>
    </r>
  </si>
  <si>
    <r>
      <t xml:space="preserve">Providing fitting fixing with </t>
    </r>
    <r>
      <rPr>
        <b/>
        <sz val="9"/>
        <rFont val="Arial"/>
        <family val="2"/>
      </rPr>
      <t>sal wood battens 7.5cmx1.2cm with 6mm</t>
    </r>
    <r>
      <rPr>
        <sz val="9"/>
        <rFont val="Arial"/>
        <family val="2"/>
      </rPr>
      <t xml:space="preserve"> mesh wire netting or expanded metal including painting etc complete.</t>
    </r>
  </si>
  <si>
    <r>
      <t>3.14 / 4 x (0.375m)</t>
    </r>
    <r>
      <rPr>
        <vertAlign val="superscript"/>
        <sz val="10"/>
        <rFont val="Arial"/>
        <family val="2"/>
      </rPr>
      <t>2</t>
    </r>
    <r>
      <rPr>
        <sz val="10"/>
        <rFont val="Arial"/>
        <family val="2"/>
      </rPr>
      <t xml:space="preserve"> x 6.00m+ 4.13 x (0.375m)</t>
    </r>
    <r>
      <rPr>
        <vertAlign val="superscript"/>
        <sz val="10"/>
        <rFont val="Arial"/>
        <family val="2"/>
      </rPr>
      <t>3</t>
    </r>
    <r>
      <rPr>
        <sz val="10"/>
        <rFont val="Arial"/>
        <family val="2"/>
      </rPr>
      <t xml:space="preserve"> =</t>
    </r>
  </si>
  <si>
    <r>
      <t>3.14 / 4 x (0.300m)</t>
    </r>
    <r>
      <rPr>
        <vertAlign val="superscript"/>
        <sz val="10"/>
        <rFont val="Arial"/>
        <family val="2"/>
      </rPr>
      <t>2</t>
    </r>
    <r>
      <rPr>
        <sz val="10"/>
        <rFont val="Arial"/>
        <family val="2"/>
      </rPr>
      <t xml:space="preserve"> x 6.00m+ 4.13 x (0.300m)</t>
    </r>
    <r>
      <rPr>
        <vertAlign val="superscript"/>
        <sz val="10"/>
        <rFont val="Arial"/>
        <family val="2"/>
      </rPr>
      <t>3</t>
    </r>
    <r>
      <rPr>
        <sz val="10"/>
        <rFont val="Arial"/>
        <family val="2"/>
      </rPr>
      <t xml:space="preserve"> =</t>
    </r>
  </si>
  <si>
    <r>
      <t>3.14 / 4 x (0.250m)</t>
    </r>
    <r>
      <rPr>
        <vertAlign val="superscript"/>
        <sz val="10"/>
        <rFont val="Arial"/>
        <family val="2"/>
      </rPr>
      <t>2</t>
    </r>
    <r>
      <rPr>
        <sz val="10"/>
        <rFont val="Arial"/>
        <family val="2"/>
      </rPr>
      <t xml:space="preserve"> x 6.00m+ 4.13 x (0.250m)</t>
    </r>
    <r>
      <rPr>
        <vertAlign val="superscript"/>
        <sz val="10"/>
        <rFont val="Arial"/>
        <family val="2"/>
      </rPr>
      <t>3</t>
    </r>
    <r>
      <rPr>
        <sz val="10"/>
        <rFont val="Arial"/>
        <family val="2"/>
      </rPr>
      <t xml:space="preserve"> =</t>
    </r>
  </si>
  <si>
    <r>
      <t>3.14 / 4 x (0.375m)</t>
    </r>
    <r>
      <rPr>
        <vertAlign val="superscript"/>
        <sz val="10"/>
        <rFont val="Arial"/>
        <family val="2"/>
      </rPr>
      <t>2</t>
    </r>
    <r>
      <rPr>
        <sz val="10"/>
        <rFont val="Arial"/>
        <family val="2"/>
      </rPr>
      <t xml:space="preserve"> x 6.00m+ 8.26 x (0.375m)</t>
    </r>
    <r>
      <rPr>
        <vertAlign val="superscript"/>
        <sz val="10"/>
        <rFont val="Arial"/>
        <family val="2"/>
      </rPr>
      <t>3</t>
    </r>
    <r>
      <rPr>
        <sz val="10"/>
        <rFont val="Arial"/>
        <family val="2"/>
      </rPr>
      <t xml:space="preserve"> =</t>
    </r>
  </si>
  <si>
    <r>
      <t>3.14 / 4 x (0.300m)</t>
    </r>
    <r>
      <rPr>
        <vertAlign val="superscript"/>
        <sz val="10"/>
        <rFont val="Arial"/>
        <family val="2"/>
      </rPr>
      <t>2</t>
    </r>
    <r>
      <rPr>
        <sz val="10"/>
        <rFont val="Arial"/>
        <family val="2"/>
      </rPr>
      <t xml:space="preserve"> x 6.00m+ 8.26 x (0.300m)</t>
    </r>
    <r>
      <rPr>
        <vertAlign val="superscript"/>
        <sz val="10"/>
        <rFont val="Arial"/>
        <family val="2"/>
      </rPr>
      <t>3</t>
    </r>
    <r>
      <rPr>
        <sz val="10"/>
        <rFont val="Arial"/>
        <family val="2"/>
      </rPr>
      <t xml:space="preserve"> =</t>
    </r>
  </si>
  <si>
    <r>
      <t>3.14 / 4 x (0.250m)</t>
    </r>
    <r>
      <rPr>
        <vertAlign val="superscript"/>
        <sz val="10"/>
        <rFont val="Arial"/>
        <family val="2"/>
      </rPr>
      <t>2</t>
    </r>
    <r>
      <rPr>
        <sz val="10"/>
        <rFont val="Arial"/>
        <family val="2"/>
      </rPr>
      <t xml:space="preserve"> x 6.00m+ 8.26 x (0.250m)</t>
    </r>
    <r>
      <rPr>
        <vertAlign val="superscript"/>
        <sz val="10"/>
        <rFont val="Arial"/>
        <family val="2"/>
      </rPr>
      <t>3</t>
    </r>
    <r>
      <rPr>
        <sz val="10"/>
        <rFont val="Arial"/>
        <family val="2"/>
      </rPr>
      <t xml:space="preserve"> =</t>
    </r>
  </si>
  <si>
    <r>
      <t>Data per</t>
    </r>
    <r>
      <rPr>
        <sz val="10"/>
        <rFont val="Arial"/>
        <family val="2"/>
      </rPr>
      <t xml:space="preserve"> (2'-6" x 6'-6" = 15'-6" or,)</t>
    </r>
    <r>
      <rPr>
        <b/>
        <sz val="10"/>
        <rFont val="Arial"/>
        <family val="2"/>
      </rPr>
      <t xml:space="preserve"> 4.72mtr</t>
    </r>
    <r>
      <rPr>
        <sz val="10"/>
        <rFont val="Arial"/>
        <family val="2"/>
      </rPr>
      <t>.</t>
    </r>
  </si>
  <si>
    <r>
      <t>a)Cost of choukath</t>
    </r>
    <r>
      <rPr>
        <sz val="10"/>
        <rFont val="Arial"/>
        <family val="2"/>
      </rPr>
      <t xml:space="preserve"> as per EPM Rate per mtr=Rs</t>
    </r>
  </si>
  <si>
    <r>
      <t>Data per</t>
    </r>
    <r>
      <rPr>
        <sz val="10"/>
        <rFont val="Arial"/>
        <family val="2"/>
      </rPr>
      <t xml:space="preserve"> (2'-2"x 6'-4"=13.717sqm Or) </t>
    </r>
    <r>
      <rPr>
        <b/>
        <sz val="10"/>
        <rFont val="Arial"/>
        <family val="2"/>
      </rPr>
      <t>1.274sqm</t>
    </r>
  </si>
  <si>
    <r>
      <t>Cost of Shutter</t>
    </r>
    <r>
      <rPr>
        <sz val="10"/>
        <rFont val="Arial"/>
        <family val="2"/>
      </rPr>
      <t xml:space="preserve"> As per E.P.M. Rate per mtr = Rs</t>
    </r>
  </si>
  <si>
    <t>Dining Hall of Damasal School</t>
  </si>
  <si>
    <t xml:space="preserve"> ESTIMATE  :-</t>
  </si>
  <si>
    <t>Construction of Dining Hall  in Govt High School ,Damasal(Boys)</t>
  </si>
  <si>
    <t xml:space="preserve">ESTIMATED COST  :-  Rs </t>
  </si>
  <si>
    <t>SCHEME                 :-   Rs</t>
  </si>
  <si>
    <t>SC,ST/2021-22</t>
  </si>
  <si>
    <t>All dimensions are in ft.</t>
  </si>
  <si>
    <t>Centre Line Method</t>
  </si>
  <si>
    <t>Horaizontal walls</t>
  </si>
  <si>
    <t xml:space="preserve">No of T Joints </t>
  </si>
  <si>
    <t>Vertical walls</t>
  </si>
  <si>
    <t>Plinth Area</t>
  </si>
  <si>
    <t>Rft</t>
  </si>
  <si>
    <t>Earth work excavation of foundation in hard soil rough dressing &amp; levelling bed &amp; depositing the excavated earth away from work site withen 50 M initial lead and 1.5 M initial lift with cost of labour, T.&amp; P. etc. required for the work complete as per the specification and direction of the Engineer in charge.</t>
  </si>
  <si>
    <t>cft</t>
  </si>
  <si>
    <t>Walling       LW</t>
  </si>
  <si>
    <t>SW</t>
  </si>
  <si>
    <t xml:space="preserve"> Ramp</t>
  </si>
  <si>
    <t>(-)</t>
  </si>
  <si>
    <t>Net Qnty</t>
  </si>
  <si>
    <t>cum</t>
  </si>
  <si>
    <t>/</t>
  </si>
  <si>
    <t>Excavation of founation in laterite rock or any hard rock (other than granite or disintigrated rock) removed by chiselling including dressing and levelling the bed not exceeding 1.5m in depth and depositing the soil within initial lead of 50m  with cost of labour, T.&amp; P. etc. required for the work complete as per the specification and direction of the EIC</t>
  </si>
  <si>
    <t>Providing &amp; laying Cement Concrete ( 1:3:6 ) using  40mm  Crusher broken granite metal including cost, conveyance, royality &amp; taxes etc. of all materials, mixing &amp; laying concrete, watering &amp; curing, labour charges etc. complete as per the specification &amp; direction of Engineer in charge.</t>
  </si>
  <si>
    <t>Floor metaling</t>
  </si>
  <si>
    <t>ramp</t>
  </si>
  <si>
    <t xml:space="preserve">Office </t>
  </si>
  <si>
    <t>LW</t>
  </si>
  <si>
    <t>cuft</t>
  </si>
  <si>
    <t>cft.</t>
  </si>
  <si>
    <t>Net Qnty.</t>
  </si>
  <si>
    <t>Filling foundation &amp; plinth with filling sand well watered  &amp; rammed  including cost, conveyance, royality &amp; taxes etc. of all materials required for the work, labour charges etc. complete as per the specification &amp; direction of Engineer in charge.</t>
  </si>
  <si>
    <t>Foundation</t>
  </si>
  <si>
    <t>Walling    LW</t>
  </si>
  <si>
    <t>Plinth filling</t>
  </si>
  <si>
    <t>Lobby</t>
  </si>
  <si>
    <t>Fly-ash Brick  Masonry in Cement mortar (1:6) in superstructure  including cost, conveyance, royality &amp; taxes etc. of all materials, mixing &amp; laying, watering, curing, labour charges etc. complete as per the specification &amp; direction of Engineer in charge.</t>
  </si>
  <si>
    <t>Lintel band</t>
  </si>
  <si>
    <r>
      <t>Openings</t>
    </r>
    <r>
      <rPr>
        <sz val="11.5"/>
        <rFont val="Arial"/>
        <family val="2"/>
      </rPr>
      <t xml:space="preserve">        D</t>
    </r>
  </si>
  <si>
    <t>Window sill</t>
  </si>
  <si>
    <t xml:space="preserve"> D2</t>
  </si>
  <si>
    <t>A) Column Base</t>
  </si>
  <si>
    <t xml:space="preserve">15" x 10" column </t>
  </si>
  <si>
    <t>Base</t>
  </si>
  <si>
    <t xml:space="preserve">B) Plinth Band </t>
  </si>
  <si>
    <t>B) Column,Beam</t>
  </si>
  <si>
    <t>Column up to PL</t>
  </si>
  <si>
    <t>Column up to RL</t>
  </si>
  <si>
    <t>Intermediate beam</t>
  </si>
  <si>
    <t>C) Lintelband</t>
  </si>
  <si>
    <t>D) Roof slab</t>
  </si>
  <si>
    <t>Slab</t>
  </si>
  <si>
    <t>F) Chajja</t>
  </si>
  <si>
    <t>sft</t>
  </si>
  <si>
    <t xml:space="preserve"> Window</t>
  </si>
  <si>
    <t>Supplying, providing and straightening the coiled or bent up M.S. / HYSD bars, cutting, bending and tying grills and placing in position with ties, spacers and binding the grills in binding wire 18 to 20 mm. gauge for R.C.C. works as per approved design and drawings with all leads, lifts and delifts and all cost, carriage, taxes of the reinfocement bars and binding wire and labour charges etc. complete as per the specification &amp; direction of Engineer in charge.( Weight of binding wire shall not be considered for payment in any shape at all ).</t>
  </si>
  <si>
    <t>MS Rod Required ( Provisional )</t>
  </si>
  <si>
    <t>Kg / cft</t>
  </si>
  <si>
    <t>B) Beam&amp;Column</t>
  </si>
  <si>
    <t>E) Fin /Chajja</t>
  </si>
  <si>
    <t>Kg / sft</t>
  </si>
  <si>
    <t>Qntl.</t>
  </si>
  <si>
    <t>Providing &amp; laying 25mm grading concrete ( 1:2:2 ) on roof slab using  6mm size crusher broken hard granite chips  including cost, conveyance, royality &amp; taxes etc. of all materials, mixing &amp; laying concrete, watering &amp; curing, labour charges etc. complete as per the specification &amp; direction of Engineer in charge.</t>
  </si>
  <si>
    <t>Supplying  GI  door &amp; window shutter with grills (Framed&amp;Fixed) made out ofGI angles, flats and sheets etc of approved design &amp; fabrication  including cost, conveyance &amp; taxes etc. of all materials required for the work and labour charges etc. complete as per the specification &amp; direction of Engineer in charge.</t>
  </si>
  <si>
    <t>Provisional  ( To be paid as per local market Rate )</t>
  </si>
  <si>
    <t xml:space="preserve"> Door </t>
  </si>
  <si>
    <t>sqft</t>
  </si>
  <si>
    <t xml:space="preserve">Grill </t>
  </si>
  <si>
    <t xml:space="preserve"> Grand Total </t>
  </si>
  <si>
    <t xml:space="preserve">Kg </t>
  </si>
  <si>
    <t>Labour for fitting and fixing of MS doors, windows and gates as per approved design including fixing of door and windows clamps with cement concrete   (1:3:6) using 12mm size hard broken granite chips and curing for 7 days after fixing the clams including cost, conveyance, royality, taxes etc. of all materials required for the work and labour charges etc. complete as per the specification &amp; direction of Engineer in charge.</t>
  </si>
  <si>
    <t xml:space="preserve"> Door</t>
  </si>
  <si>
    <t>20 mm thick cement plaster over stone masonry after racking out joints in cement mortar ( 1 : 6 ) including cost, conveyance, royality &amp; taxes etc. of all materials required for the work,watering, curing, labour charges etc. complete as per the specification &amp; direction of Engineer in charge.</t>
  </si>
  <si>
    <t>Plinth</t>
  </si>
  <si>
    <t>12 mm thick cement plaster over brick masonry after racking out joints in cement mortar ( 1 : 6 ) including cost, conveyance, royality &amp; taxes etc. of all materials required for the work,watering, curing, labour charges etc. complete as per the specification &amp; direction of Engineer in charge.</t>
  </si>
  <si>
    <t xml:space="preserve"> Ventilator </t>
  </si>
  <si>
    <t>V.Gap</t>
  </si>
  <si>
    <t>16 mm thick cement plaster over brick masonry after racking out joints in cement mortar ( 1 : 6 ) including cost, conveyance, royality &amp; taxes etc. of all materials required for the work,watering, curing, labour charges etc. complete as per the specification &amp; direction of Engineer in charge.</t>
  </si>
  <si>
    <t xml:space="preserve"> Verandha G</t>
  </si>
  <si>
    <t xml:space="preserve"> Toilet</t>
  </si>
  <si>
    <t xml:space="preserve"> MD </t>
  </si>
  <si>
    <t>Ventilator</t>
  </si>
  <si>
    <t>6 mm thick cement plaster  in cement mortar ( 1 : 4 ) including closed deep chipping &amp; slurry treatmant including cost, conveyance, royality &amp; taxes etc. of all materials required for the work,watering, curing, labour charges etc. complete as per the specification &amp; direction of Engineer in charge.</t>
  </si>
  <si>
    <r>
      <rPr>
        <b/>
        <sz val="11.5"/>
        <rFont val="Arial"/>
        <family val="2"/>
      </rPr>
      <t>Ceiling</t>
    </r>
    <r>
      <rPr>
        <sz val="11.5"/>
        <rFont val="Arial"/>
        <family val="2"/>
      </rPr>
      <t xml:space="preserve"> </t>
    </r>
  </si>
  <si>
    <t xml:space="preserve"> Hall</t>
  </si>
  <si>
    <t>office</t>
  </si>
  <si>
    <t xml:space="preserve"> Beam</t>
  </si>
  <si>
    <t>Cornice</t>
  </si>
  <si>
    <t xml:space="preserve"> Chajja</t>
  </si>
  <si>
    <t>Chajja Seal</t>
  </si>
  <si>
    <t xml:space="preserve"> Verandha</t>
  </si>
  <si>
    <t>Door seal</t>
  </si>
  <si>
    <t xml:space="preserve"> V.gap</t>
  </si>
  <si>
    <t>Fixing tiles  Vitrified Tile 600x600mm in dadoos Skirting and rises of steps on 12mm thick cement plaster ( 1:3) jointed with neat cement slurry mixed with pigments to match the shade of the tiles including rubbing and polishing complete as per direction of Engineer-in-charge.</t>
  </si>
  <si>
    <t>Deduct</t>
  </si>
  <si>
    <t>Nte total</t>
  </si>
  <si>
    <r>
      <t xml:space="preserve">Fixing tiles in Dado,skirting &amp; rises of steps  on 12mm thick  cement plaster 1:3 jointed with neat cement slurry mixed with pigment to match the shades of the tiles including rubbing &amp; polishing using </t>
    </r>
    <r>
      <rPr>
        <b/>
        <sz val="11.5"/>
        <rFont val="Arial"/>
        <family val="2"/>
      </rPr>
      <t>Ceramic Wall Tile ( 200 x 200 / 200 x 300 )mm</t>
    </r>
    <r>
      <rPr>
        <sz val="11.5"/>
        <rFont val="Arial"/>
        <family val="2"/>
      </rPr>
      <t xml:space="preserve"> ……etc  compl.</t>
    </r>
  </si>
  <si>
    <t xml:space="preserve">Toilet </t>
  </si>
  <si>
    <t>12mm Cement Plastered area  vide Item No 12</t>
  </si>
  <si>
    <t>16mm Cement Plastered area  vide Item No 13</t>
  </si>
  <si>
    <t>6mm Cement Plastered area  vide Item No 14</t>
  </si>
  <si>
    <t>20mm Cement Plastered area  vide Item No 11</t>
  </si>
  <si>
    <t>Painting two coats with approved enamel paint over a coat of primer of approved quality  including cost of enamel paint, primer,brushes &amp; other materials, T. &amp; P. and taxes etc. of all materials required for the work and labour charges etc. complete as per the specification &amp; direction of Engineer in charge.</t>
  </si>
  <si>
    <t>Wall painting two coats with weather coat  of approved shade on new work to give an even shade including  including cost, carriage and taxes etc. of all materials required for the work and labour charges etc. compl as per the specification &amp; direction of EIC</t>
  </si>
  <si>
    <t xml:space="preserve">Out side Plaster area 12 mm </t>
  </si>
  <si>
    <t>Wall painting two coats with plastic emulsion paint  of approved shade on new work to give an even shade including  including cost, carriage and taxes etc. of all materials required for the work and labour charges etc. complete</t>
  </si>
  <si>
    <t xml:space="preserve">Deduction </t>
  </si>
  <si>
    <t>6 mm Plaster area</t>
  </si>
  <si>
    <t xml:space="preserve"> Net Qty </t>
  </si>
  <si>
    <t>Supplying, fitting, fixing up window ( sliding type ) made up Aluminium Section No 9778 as window frame, Section No 4095, 4096 &amp; 9777, 3994 as shutter frame with 5mm thick black glass as panel fitted with rubber breading including locking arrengement including all fittings including cost of all materials all taxes labour, T&amp;P etc  compl. as per direction  of Engineer in charge.</t>
  </si>
  <si>
    <t xml:space="preserve">Window </t>
  </si>
  <si>
    <t xml:space="preserve">Provision for Electrification </t>
  </si>
  <si>
    <t xml:space="preserve"> Provision For Septic tank, sanitary fittings, Watersupply, PVC Door Electric fIcation  etc </t>
  </si>
  <si>
    <t xml:space="preserve">Ls </t>
  </si>
  <si>
    <t xml:space="preserve">Rs </t>
  </si>
  <si>
    <t xml:space="preserve"> Provision for Missalaneous exp, Beautification, enhanced rate of Material, labour ..etc </t>
  </si>
  <si>
    <t xml:space="preserve"> Rs</t>
  </si>
  <si>
    <t>Providing &amp; laying Cement Concrete ( 1:2:4 ) using  12mm size crusher broken hard granite chips including cost, conveyance, royality &amp; taxes etc. of all materials, mixing &amp; laying concrete, watering &amp; curing for 21 days, labour charges etc. complete as per the specification &amp; direction of EIC</t>
  </si>
  <si>
    <t xml:space="preserve">Window Sill Bed block </t>
  </si>
  <si>
    <r>
      <t xml:space="preserve">Fixing </t>
    </r>
    <r>
      <rPr>
        <b/>
        <sz val="11.5"/>
        <color indexed="8"/>
        <rFont val="Arial"/>
        <family val="2"/>
      </rPr>
      <t>water closet, squatting pan (Indian type W.C pan) Orissa Pattern 500x440mm</t>
    </r>
    <r>
      <rPr>
        <sz val="11.5"/>
        <color indexed="8"/>
        <rFont val="Arial"/>
        <family val="2"/>
      </rPr>
      <t xml:space="preserve"> conforming to IS: 2556:part-3-2004 duly embedded in C.C(1:4:8) using 40mm size metal all complete as per specification.</t>
    </r>
  </si>
  <si>
    <r>
      <t xml:space="preserve">Providing and Fixing of </t>
    </r>
    <r>
      <rPr>
        <b/>
        <sz val="11.5"/>
        <color indexed="8"/>
        <rFont val="Arial"/>
        <family val="2"/>
      </rPr>
      <t>PVC  low level flushing cistern</t>
    </r>
    <r>
      <rPr>
        <sz val="11.5"/>
        <color indexed="8"/>
        <rFont val="Arial"/>
        <family val="2"/>
      </rPr>
      <t xml:space="preserve"> conforming to IS: 7231 with all fittings and fixtures complete.(</t>
    </r>
    <r>
      <rPr>
        <b/>
        <sz val="11.5"/>
        <color indexed="8"/>
        <rFont val="Arial"/>
        <family val="2"/>
      </rPr>
      <t>White Colour)</t>
    </r>
  </si>
  <si>
    <r>
      <t xml:space="preserve">Fixing 100 mm size </t>
    </r>
    <r>
      <rPr>
        <b/>
        <sz val="11.5"/>
        <color indexed="8"/>
        <rFont val="Arial"/>
        <family val="2"/>
      </rPr>
      <t>P or S trap</t>
    </r>
    <r>
      <rPr>
        <sz val="11.5"/>
        <color indexed="8"/>
        <rFont val="Arial"/>
        <family val="2"/>
      </rPr>
      <t xml:space="preserve"> for water closet squating pan including jointing the trap with pan in cement mortar (1:1) as per specification</t>
    </r>
  </si>
  <si>
    <t xml:space="preserve"> Amount For Tender</t>
  </si>
  <si>
    <t xml:space="preserve"> GST 18 % </t>
  </si>
  <si>
    <t xml:space="preserve"> Provision for Electrical Work</t>
  </si>
  <si>
    <t xml:space="preserve"> Provision for Sanitary Work</t>
  </si>
  <si>
    <t xml:space="preserve"> Work Contigency </t>
  </si>
  <si>
    <t>Transparency Board &amp; Photo</t>
  </si>
  <si>
    <t xml:space="preserve">GRAND TOTAL </t>
  </si>
  <si>
    <t>( Rupees  Fifteen  Lakhs   ) Only</t>
  </si>
  <si>
    <t>JUNIOR ENGINEER</t>
  </si>
  <si>
    <t>ASST EXE ENGINEER</t>
  </si>
  <si>
    <t>BLOCK DEV OFFICER</t>
  </si>
  <si>
    <t>BHUBAN BLOCK</t>
  </si>
  <si>
    <t>BLOCK : BHUBAN</t>
  </si>
  <si>
    <t>ODISHA</t>
  </si>
  <si>
    <t>SC/ST Dev Fund</t>
  </si>
  <si>
    <t>IN WORDS:</t>
  </si>
  <si>
    <t>PANCHAYAT SAMITI BHUBAN</t>
  </si>
  <si>
    <t>REPORT :</t>
  </si>
  <si>
    <t xml:space="preserve">           The detail Estimate Amounting to Rs 150,00,000.00 ( Rupees  Fiften   lakhs  ) only has been framed to meet the probable cost of expenditure for ther work " Construction of  dining hall   in Govt High school, Damasal(Boys)of   Odisha G.P. 
           .</t>
  </si>
  <si>
    <t xml:space="preserve">            The following Provisions has been made in this estimate to complete the building in all respect.</t>
  </si>
  <si>
    <t>1. Earth work excavation in Foundation for  wall. And column.</t>
  </si>
  <si>
    <t>2. Sand Filling in F&amp;P</t>
  </si>
  <si>
    <t>3. PCC  (1:3:6 ) in Flooring &amp; below Foundation</t>
  </si>
  <si>
    <t>4.Laterite Stone Masonry  work in CM (1:6) in F&amp;P</t>
  </si>
  <si>
    <t>5.Fly Ash Brick work in S/S</t>
  </si>
  <si>
    <t>6. RCC M20 in Column base, Column,Plinth Band, Beams, Lintel,Roof slab, Stairs Etc including Centering , Shuttering .</t>
  </si>
  <si>
    <t>7. Cutting Bending Binding steel to RCC structure.</t>
  </si>
  <si>
    <t>8. 2.5cm thick Grading Concrete on Roof Slab.</t>
  </si>
  <si>
    <t>9. CP 16mm thick in CM (1:6)</t>
  </si>
  <si>
    <t>10. CP 12mm thick in CM (1:6)</t>
  </si>
  <si>
    <t xml:space="preserve">11. Vertified Tile flooring </t>
  </si>
  <si>
    <t>12. Skirting tile in dados in Toilet</t>
  </si>
  <si>
    <t>13. Ceramic Tile flooring to toilet.</t>
  </si>
  <si>
    <t>14. Cement washing one coat</t>
  </si>
  <si>
    <t>15. Plastic Emulsion Painting two Coat</t>
  </si>
  <si>
    <t>16. Weather seal Painting Two Coat.</t>
  </si>
  <si>
    <t>17.Fitting fixing of MS  window  grills</t>
  </si>
  <si>
    <t>18. Enamel Painting. on Iron work.</t>
  </si>
  <si>
    <t>19. Supplying Fitting fixing Alluminium doors</t>
  </si>
  <si>
    <t>20. Supplying Fitting fixing Alluminium Windows Sliding Type.</t>
  </si>
  <si>
    <t>8. PCC (1:2:4)  for wearing coat.</t>
  </si>
  <si>
    <t xml:space="preserve">5. Centering and shuttering to  Concrete work </t>
  </si>
  <si>
    <t>9. Back filling excavated earth both side edge of Road.</t>
  </si>
  <si>
    <t>10. Cement Painting 2coat over Plaster Surface.</t>
  </si>
  <si>
    <t>6. supplying and providing &amp; laying of RCC NP-3hume pipe .</t>
  </si>
  <si>
    <t xml:space="preserve">           The Estimate has been framed basing upon the schedule of rates 2014 with enhanced labour rates now in force.</t>
  </si>
  <si>
    <t xml:space="preserve">           The detailed orissa standard specification will be followed during execution of the work.</t>
  </si>
  <si>
    <t>Block Dev Officer</t>
  </si>
  <si>
    <t>DINING HALL AT GOVT HIGH  SCHOOL   DAMASALA (BOYS)</t>
  </si>
  <si>
    <t>4'0"</t>
  </si>
  <si>
    <t>7'0"</t>
  </si>
  <si>
    <t>2'0"</t>
  </si>
  <si>
    <t>1'0"</t>
  </si>
  <si>
    <t>00'5"</t>
  </si>
  <si>
    <t>2'6"</t>
  </si>
  <si>
    <t>11'0"</t>
  </si>
  <si>
    <t>0'9"</t>
  </si>
  <si>
    <t>0'6"</t>
  </si>
  <si>
    <t>DINING HALL</t>
  </si>
  <si>
    <t>3'6"</t>
  </si>
  <si>
    <t>7'10"</t>
  </si>
  <si>
    <t>Bhuban Block</t>
  </si>
  <si>
    <t>AMOUNT PUT TO TENDER:-</t>
  </si>
  <si>
    <t>SL. No</t>
  </si>
  <si>
    <t>ITEM OF WORK</t>
  </si>
  <si>
    <t>QUANTITY</t>
  </si>
  <si>
    <t>RATE</t>
  </si>
  <si>
    <t>RATE IN WORDS</t>
  </si>
  <si>
    <t>AMOUNT</t>
  </si>
  <si>
    <t>Supplying all labour, T&amp;P for Earth work in excavation of F&amp;P in hard soil within 50m. initial lead &amp; 1.5m. initial lift including rough dressing &amp; breaking clods etc. all complete as per specification and direction of the Engineer-in-charge.</t>
  </si>
  <si>
    <t>Supplying all labour, T&amp;P for filling in F&amp;P with sand watered and rammed including cost of sand, royality and transportation etc. all complete as per specification and direction of the E.I.C.</t>
  </si>
  <si>
    <t>Supplying all materials, labour, T&amp;P for C.C. (1:3:6) with 4cm size hard granite metal including curing etc. including cost, royality and transportation etc. all complete as per direction of the E.I.C.</t>
  </si>
  <si>
    <t>Rupees Four Thousand   Eight  hundred Eighty three &amp;fifty One Paise Only</t>
  </si>
  <si>
    <t>Supplying all materials, labour, T&amp;P for Laterite Stone masonary  with  in C.M. (1:6) including cost, royality and transportation etc. all complete as per the specification and direction of the Engineer-in-charge.</t>
  </si>
  <si>
    <t xml:space="preserve">Coumn base </t>
  </si>
  <si>
    <t xml:space="preserve">Plinth Beam </t>
  </si>
  <si>
    <t xml:space="preserve"> Column&amp; Beam </t>
  </si>
  <si>
    <t xml:space="preserve"> Lintelband</t>
  </si>
  <si>
    <t xml:space="preserve">Slab </t>
  </si>
  <si>
    <t xml:space="preserve"> Chajja </t>
  </si>
  <si>
    <t>Supplying all materials, labour, T&amp;P for providing 12mm. thic cement plaster (1:6) including all cost, lead, royalities cutting etc. all complete as per specification &amp; direction of the E.I.C.</t>
  </si>
  <si>
    <t>Supplying all materials, labour, T&amp;P for providing 16mm. thic cement plaster (1:6) including all cost, lead, royalities cutting etc. all complete as per specification &amp; direction of the E.I.C.</t>
  </si>
  <si>
    <t>Say,</t>
  </si>
  <si>
    <t>My / Our quoted rate of ___________________ ______________________( both in figures &amp; words ) Excess over / Less than / Equal to the above estimated cost and tendered amount is Rs. ……………………. ………………...…Only</t>
  </si>
  <si>
    <t>Total No. of pages ( Enclosed ) other than DTCN ___________________pages</t>
  </si>
  <si>
    <t>Notes :- The Contractor should not write any thing except quoting of Percentage , Excess / Less / Equal to the Estimate up to two decimal points only.</t>
  </si>
  <si>
    <t>CONDITIONS :- All materials, Labour, Machinaries and Equipments required to complete the work in all respect be arranged by the tenderer at his own cost . The Employer will bear no responsibility in this aspect.</t>
  </si>
  <si>
    <t>Adminstrative approval of   Rs 15,00,000     ( Rupees  Fifteen  lakhs only)</t>
  </si>
  <si>
    <t>Iside</t>
  </si>
  <si>
    <t>Outside</t>
  </si>
  <si>
    <t>10'0"</t>
  </si>
  <si>
    <t>33'4"</t>
  </si>
  <si>
    <t>21'8"</t>
  </si>
  <si>
    <t>22'6"</t>
  </si>
  <si>
    <t>Rupees Eight Hundred  six  &amp;  Thirty    Paise   only</t>
  </si>
  <si>
    <t>Technically Sanctioned of Rs 15,00,000   ( Rupees Fifteen  lakhs only)</t>
  </si>
  <si>
    <t>31'08"</t>
  </si>
  <si>
    <t>10'10"</t>
  </si>
  <si>
    <t>32'06"</t>
  </si>
  <si>
    <t>15'0"</t>
  </si>
  <si>
    <t>15'10"</t>
  </si>
  <si>
    <t>5'0"</t>
  </si>
  <si>
    <r>
      <t xml:space="preserve">Flyash Brick  Masonry in Cement mortar (1:6) in </t>
    </r>
    <r>
      <rPr>
        <b/>
        <sz val="11"/>
        <rFont val="Arial"/>
        <family val="2"/>
      </rPr>
      <t>Superstructure</t>
    </r>
    <r>
      <rPr>
        <sz val="11"/>
        <rFont val="Arial"/>
        <family val="2"/>
      </rPr>
      <t xml:space="preserve"> including cost, conveyance, royality &amp; taxes etc. of all materials, mixing &amp; laying, watering, curing, labour charges etc. complete as per the specification &amp; direction of Engineer in charge.</t>
    </r>
  </si>
  <si>
    <t>Block Dev Officer                     Bhuban Block</t>
  </si>
  <si>
    <t>Addl EO(Tech)</t>
  </si>
  <si>
    <t>ZillaParishad, Dhenkanal</t>
  </si>
  <si>
    <t xml:space="preserve">above  tendered amount of Rs                                          </t>
  </si>
  <si>
    <t>Only</t>
  </si>
  <si>
    <t xml:space="preserve">My/Our Quoted rate is                                                             (both in figure &amp; Words) Excess over/Less than/Equal to the </t>
  </si>
  <si>
    <t>10 mm bar 125 mm C/C</t>
  </si>
  <si>
    <t>4 Nos 16 mm bar</t>
  </si>
  <si>
    <t>2 Nos 12 mm bar</t>
  </si>
  <si>
    <t>5.075 mtr</t>
  </si>
  <si>
    <t>8 mm stirrups 200mm c/c</t>
  </si>
  <si>
    <t>Wall Beam with Roof Slab</t>
  </si>
  <si>
    <t xml:space="preserve">4 nos 12 mm </t>
  </si>
  <si>
    <t>Roof Beam with roof Slab</t>
  </si>
  <si>
    <t>3 nos 16mm at Top</t>
  </si>
  <si>
    <t>3 nos 16mm at Bottom</t>
  </si>
  <si>
    <t>Roof Slab Details</t>
  </si>
  <si>
    <t>L/5</t>
  </si>
  <si>
    <t>10 mm main bar @125 mm C/C</t>
  </si>
  <si>
    <t>8 mm distry bar @125 mm C/C</t>
  </si>
  <si>
    <t>Name of the Work-</t>
  </si>
  <si>
    <t>Name of the Scheme-</t>
  </si>
  <si>
    <t>Footing Jally</t>
  </si>
  <si>
    <t>Junior Engineer                Bhuban Block</t>
  </si>
  <si>
    <t>Asst Exe  Engineer                Bhuban Block</t>
  </si>
  <si>
    <t>Block Dev Officer            Bhuban Block</t>
  </si>
  <si>
    <t>Bhuban  Block</t>
  </si>
  <si>
    <t>Contractor</t>
  </si>
  <si>
    <t>Asst Exe Engineer     Bhuban Block</t>
  </si>
  <si>
    <t>Name of the work :- Construction of  Additional ClassRoom at Govt Pry Schol,Balarampur</t>
  </si>
  <si>
    <r>
      <t xml:space="preserve">Flyash Brick  Masonry in Cement mortar (1:6) in </t>
    </r>
    <r>
      <rPr>
        <b/>
        <sz val="11"/>
        <rFont val="Arial"/>
        <family val="2"/>
      </rPr>
      <t xml:space="preserve"> F &amp; P</t>
    </r>
    <r>
      <rPr>
        <sz val="11"/>
        <rFont val="Arial"/>
        <family val="2"/>
      </rPr>
      <t xml:space="preserve"> including cost, conveyance, royality &amp; taxes etc. of all materials, mixing &amp; laying, watering, curing, labour charges etc. complete as per the specification &amp; direction of Engineer in charge.</t>
    </r>
  </si>
  <si>
    <t>mtr</t>
  </si>
  <si>
    <t>( Ruppes   Tweleve  lakh  FiftyOne   thousand  Three  hundred  Six &amp; NintyEight Paise ) Only</t>
  </si>
  <si>
    <t>.a</t>
  </si>
  <si>
    <t>.b</t>
  </si>
  <si>
    <t>.c</t>
  </si>
  <si>
    <t>.d</t>
  </si>
  <si>
    <t>.e</t>
  </si>
  <si>
    <t>.f</t>
  </si>
  <si>
    <t>Rupees Two hundred Sixty nine  &amp; Seventy  Paise Only</t>
  </si>
  <si>
    <t>Rupees  Seven  hundred Ninty six   &amp; Fifteen  Paise Only</t>
  </si>
  <si>
    <t>Rupees Six Thousand   Six  hundred  twentysix &amp; nine Paise Only</t>
  </si>
  <si>
    <t>Rupees Five  Thousand  five  hundred  Sixtynine  &amp; SixtyTwo  Paise Only</t>
  </si>
  <si>
    <t>Rupees Eight  Thousand  eightynine  &amp; FiftySeven   Paise Only</t>
  </si>
  <si>
    <t>Rupees Fourteen   thousand   Eight hundred Sixtysix   and fiftysix  paisa only</t>
  </si>
  <si>
    <t>Rupees Fourteen   thousand four  Hundred   twentynine  and Nintytwo    paisa only</t>
  </si>
  <si>
    <t>Rupees Tweleve  Hundred   Sixtytwo  and  Fourtyeight  paisa only</t>
  </si>
  <si>
    <t>Rupees Five Thousand  Six  hundred Two  &amp;  Sixtytwo   Paise Only</t>
  </si>
  <si>
    <t>Rupees Three   hundred  Nintythree  &amp; Seventy Eight   Paise Only</t>
  </si>
  <si>
    <t>Rupees Nine  thousand  Thirteen   and  Thitythree   paisa only</t>
  </si>
  <si>
    <t>Rupees Eight Thousand two  Hundred  Seventy three  &amp;  three  Paise   only</t>
  </si>
  <si>
    <t>Rupees  Eighty Eight &amp;  twenty three  paise only</t>
  </si>
  <si>
    <t>Rupees  Seven  Thousand   only</t>
  </si>
  <si>
    <t>Rupees   Two Hundred  Thirteen  &amp;  Eight  Paise   only</t>
  </si>
  <si>
    <t>Rupees  One  Hundred  Ninty &amp;  &amp; Fiftyfour    Paise   only</t>
  </si>
  <si>
    <t>Rupees two  Hundred  Seventythree &amp; Seventyfour paise     only</t>
  </si>
  <si>
    <t>Rupees two  Hundred  Tweleve  &amp;  Tweleve  Paise   only</t>
  </si>
  <si>
    <t>Rupees eleven  Hundred  Seventy    &amp; TwentyNine  Paise   only</t>
  </si>
  <si>
    <t>Rupees One Thousand Four Hundred FiftyEight  &amp; Fourtysix   Paise   only</t>
  </si>
  <si>
    <t>Rupees  Eightyfive   &amp;   Thirtysixy Paise   only</t>
  </si>
  <si>
    <t>Rupees  SeventyNine  &amp;  Six   Paise   only</t>
  </si>
  <si>
    <t>Rupees Nintyfive &amp; SixtyEight Paise     only</t>
  </si>
  <si>
    <t>Rupees Two  Hundred FiftyFour &amp; SeventySeven    Paise   only</t>
  </si>
  <si>
    <t>Rupees Two Thousand  Seven Hundred  seventyfive   &amp;  Fiftyfour  Paise   only</t>
  </si>
  <si>
    <t>Rupees seven Thousand  Two  hundred thirteen  &amp; FiftySix  Paise Only</t>
  </si>
  <si>
    <t>Rupees  Sixteen   Thousand  Three   hundred SixtySix  &amp; Fourtyfour  Paise Only</t>
  </si>
  <si>
    <t>Rupees Eighty Six &amp;   &amp; Thirtyfive   Paise   only</t>
  </si>
  <si>
    <t>Approved for 23 (Twenty Three) Items Only</t>
  </si>
  <si>
    <t>Contract No :-</t>
  </si>
  <si>
    <t>Name of The Bidder  :-</t>
  </si>
  <si>
    <t>N.B :- GST, Income Tasx, Royalities, Labour cess,EMF,DMF,additional charges as applicable will be deducted from the bill of the contractor for all above works the minimum grade of cement shall be OPC &amp;  TMT High strength steel Fe - 500 like SAIL  or equivalent</t>
  </si>
  <si>
    <t>Asst Engineer     ,                                                Bhuban Block</t>
  </si>
  <si>
    <t>CONTRACTOR</t>
  </si>
  <si>
    <t>BLOCK DEVELOPMENT OFFICER,BHUBAN</t>
  </si>
  <si>
    <t>BILL  OF  QUANTITIES</t>
  </si>
  <si>
    <t>Block Development Officer  Bhuban Block</t>
  </si>
  <si>
    <t>Name of the work :- Construction of  Additional Class Room at Govt Pry Schol,Balarampur</t>
  </si>
</sst>
</file>

<file path=xl/styles.xml><?xml version="1.0" encoding="utf-8"?>
<styleSheet xmlns="http://schemas.openxmlformats.org/spreadsheetml/2006/main">
  <numFmts count="18">
    <numFmt numFmtId="164" formatCode="_(&quot;$&quot;* #,##0.00_);_(&quot;$&quot;* \(#,##0.00\);_(&quot;$&quot;* &quot;-&quot;??_);_(@_)"/>
    <numFmt numFmtId="165" formatCode="_(* #,##0.00_);_(* \(#,##0.00\);_(* &quot;-&quot;??_);_(@_)"/>
    <numFmt numFmtId="166" formatCode="&quot;Rs.&quot;#,##0.00;[Red]\-&quot;Rs.&quot;#,##0.00"/>
    <numFmt numFmtId="167" formatCode="&quot;Rs.&quot;#,##0.000;[Red]\-&quot;Rs.&quot;#,##0.000"/>
    <numFmt numFmtId="168" formatCode="0.00_);\(0.00\)"/>
    <numFmt numFmtId="169" formatCode="0.000"/>
    <numFmt numFmtId="170" formatCode="0.0000"/>
    <numFmt numFmtId="171" formatCode="0.000000"/>
    <numFmt numFmtId="172" formatCode="0.00000"/>
    <numFmt numFmtId="173" formatCode="0.0"/>
    <numFmt numFmtId="174" formatCode="#,##0.00;[Red]#,##0.00"/>
    <numFmt numFmtId="175" formatCode="0.00000E+00"/>
    <numFmt numFmtId="176" formatCode="0.00;[Red]0.00"/>
    <numFmt numFmtId="177" formatCode="[$-8000448]0"/>
    <numFmt numFmtId="178" formatCode="[$-8000448]0.##"/>
    <numFmt numFmtId="179" formatCode="&quot;Rs.&quot;#,##0.0;[Red]\-&quot;Rs.&quot;#,##0.0"/>
    <numFmt numFmtId="180" formatCode="&quot;This estimate amounting to Rs.&quot;0.00"/>
    <numFmt numFmtId="181" formatCode="&quot;Rs.&quot;\ 0.00"/>
  </numFmts>
  <fonts count="151">
    <font>
      <sz val="11"/>
      <color theme="1"/>
      <name val="Calibri"/>
      <family val="2"/>
      <scheme val="minor"/>
    </font>
    <font>
      <sz val="11"/>
      <color theme="1"/>
      <name val="Calibri"/>
      <family val="2"/>
      <scheme val="minor"/>
    </font>
    <font>
      <sz val="10"/>
      <name val="Arial"/>
      <family val="2"/>
    </font>
    <font>
      <sz val="9"/>
      <name val="Arial"/>
      <family val="2"/>
    </font>
    <font>
      <b/>
      <sz val="9"/>
      <name val="Arial"/>
      <family val="2"/>
    </font>
    <font>
      <b/>
      <sz val="10"/>
      <name val="Arial"/>
      <family val="2"/>
    </font>
    <font>
      <b/>
      <sz val="11"/>
      <name val="Arial"/>
      <family val="2"/>
    </font>
    <font>
      <sz val="10"/>
      <name val="Arial"/>
      <family val="2"/>
    </font>
    <font>
      <b/>
      <sz val="8"/>
      <name val="Arial"/>
      <family val="2"/>
    </font>
    <font>
      <sz val="8"/>
      <name val="Arial"/>
      <family val="2"/>
    </font>
    <font>
      <b/>
      <u/>
      <sz val="9"/>
      <name val="Arial"/>
      <family val="2"/>
    </font>
    <font>
      <b/>
      <sz val="12"/>
      <name val="Arial"/>
      <family val="2"/>
    </font>
    <font>
      <sz val="7"/>
      <name val="Arial"/>
      <family val="2"/>
    </font>
    <font>
      <sz val="8"/>
      <color indexed="10"/>
      <name val="Arial"/>
      <family val="2"/>
    </font>
    <font>
      <sz val="12"/>
      <name val="Arial"/>
      <family val="2"/>
    </font>
    <font>
      <b/>
      <u/>
      <sz val="16"/>
      <name val="Arial"/>
      <family val="2"/>
    </font>
    <font>
      <b/>
      <sz val="14"/>
      <name val="Arial"/>
      <family val="2"/>
    </font>
    <font>
      <u/>
      <sz val="10"/>
      <color indexed="12"/>
      <name val="Arial"/>
      <family val="2"/>
    </font>
    <font>
      <b/>
      <u/>
      <sz val="10"/>
      <name val="Arial"/>
      <family val="2"/>
    </font>
    <font>
      <sz val="14"/>
      <name val="Arial"/>
      <family val="2"/>
    </font>
    <font>
      <sz val="12"/>
      <name val="Arial"/>
      <family val="2"/>
    </font>
    <font>
      <sz val="11"/>
      <name val="Arial"/>
      <family val="2"/>
    </font>
    <font>
      <b/>
      <sz val="16"/>
      <name val="Times New Roman"/>
      <family val="1"/>
    </font>
    <font>
      <b/>
      <sz val="12"/>
      <name val="Times New Roman"/>
      <family val="1"/>
    </font>
    <font>
      <sz val="16"/>
      <name val="Arial"/>
      <family val="2"/>
    </font>
    <font>
      <b/>
      <i/>
      <sz val="13"/>
      <name val="Times New Roman"/>
      <family val="1"/>
    </font>
    <font>
      <b/>
      <sz val="16"/>
      <name val="Arial"/>
      <family val="2"/>
    </font>
    <font>
      <b/>
      <i/>
      <sz val="10"/>
      <name val="Arial"/>
      <family val="2"/>
    </font>
    <font>
      <sz val="14"/>
      <name val="Times New Roman"/>
      <family val="1"/>
    </font>
    <font>
      <b/>
      <sz val="14"/>
      <name val="Times New Roman"/>
      <family val="1"/>
    </font>
    <font>
      <b/>
      <sz val="11"/>
      <name val="Times New Roman"/>
      <family val="1"/>
    </font>
    <font>
      <sz val="10"/>
      <name val="Times New Roman"/>
      <family val="1"/>
    </font>
    <font>
      <b/>
      <u/>
      <sz val="26"/>
      <name val="Times New Roman"/>
      <family val="1"/>
    </font>
    <font>
      <b/>
      <sz val="24"/>
      <name val="Times New Roman"/>
      <family val="1"/>
    </font>
    <font>
      <b/>
      <sz val="20"/>
      <name val="BankGothic Md BT"/>
      <family val="2"/>
    </font>
    <font>
      <b/>
      <sz val="14"/>
      <name val="BankGothic Md BT"/>
      <family val="2"/>
    </font>
    <font>
      <b/>
      <sz val="10"/>
      <name val="Times New Roman"/>
      <family val="1"/>
    </font>
    <font>
      <sz val="9"/>
      <color theme="1"/>
      <name val="Calibri"/>
      <family val="2"/>
      <scheme val="minor"/>
    </font>
    <font>
      <sz val="8"/>
      <color theme="1"/>
      <name val="Calibri"/>
      <family val="2"/>
      <scheme val="minor"/>
    </font>
    <font>
      <sz val="8"/>
      <name val="Comic Sans MS"/>
      <family val="4"/>
    </font>
    <font>
      <sz val="9"/>
      <name val="Comic Sans MS"/>
      <family val="4"/>
    </font>
    <font>
      <b/>
      <i/>
      <sz val="12"/>
      <name val="Times New Roman"/>
      <family val="1"/>
    </font>
    <font>
      <b/>
      <sz val="20"/>
      <color theme="1"/>
      <name val="Calibri"/>
      <family val="2"/>
      <scheme val="minor"/>
    </font>
    <font>
      <sz val="10"/>
      <color theme="1"/>
      <name val="Calibri"/>
      <family val="2"/>
      <scheme val="minor"/>
    </font>
    <font>
      <b/>
      <i/>
      <sz val="14"/>
      <name val="Times New Roman"/>
      <family val="1"/>
    </font>
    <font>
      <sz val="8"/>
      <color theme="1"/>
      <name val="Calibri"/>
      <family val="2"/>
    </font>
    <font>
      <sz val="9"/>
      <color theme="1"/>
      <name val="Calibri"/>
      <family val="2"/>
    </font>
    <font>
      <sz val="9"/>
      <name val="Calibri"/>
      <family val="2"/>
    </font>
    <font>
      <b/>
      <sz val="9"/>
      <name val="Calibri"/>
      <family val="2"/>
    </font>
    <font>
      <b/>
      <sz val="9"/>
      <color theme="1"/>
      <name val="Calibri"/>
      <family val="2"/>
    </font>
    <font>
      <b/>
      <sz val="20"/>
      <name val="Times New Roman"/>
      <family val="1"/>
    </font>
    <font>
      <b/>
      <u/>
      <sz val="16"/>
      <name val="Times New Roman"/>
      <family val="1"/>
    </font>
    <font>
      <b/>
      <u/>
      <sz val="18"/>
      <name val="Arial"/>
      <family val="2"/>
    </font>
    <font>
      <sz val="10"/>
      <color indexed="10"/>
      <name val="Arial"/>
      <family val="2"/>
    </font>
    <font>
      <sz val="7"/>
      <color indexed="10"/>
      <name val="Arial"/>
      <family val="2"/>
    </font>
    <font>
      <sz val="6"/>
      <name val="Arial"/>
      <family val="2"/>
    </font>
    <font>
      <sz val="10"/>
      <color theme="1"/>
      <name val="Calibri"/>
      <family val="2"/>
    </font>
    <font>
      <b/>
      <u/>
      <sz val="12"/>
      <name val="Arial Narrow"/>
      <family val="2"/>
    </font>
    <font>
      <sz val="12"/>
      <name val="Arial Narrow"/>
      <family val="2"/>
    </font>
    <font>
      <sz val="11"/>
      <name val="Times New Roman"/>
      <family val="1"/>
    </font>
    <font>
      <b/>
      <i/>
      <sz val="10"/>
      <name val="Times New Roman"/>
      <family val="1"/>
    </font>
    <font>
      <sz val="11"/>
      <name val="Arial Narrow"/>
      <family val="2"/>
    </font>
    <font>
      <b/>
      <sz val="11"/>
      <name val="Arial Narrow"/>
      <family val="2"/>
    </font>
    <font>
      <b/>
      <sz val="12"/>
      <name val="Arial Narrow"/>
      <family val="2"/>
    </font>
    <font>
      <b/>
      <u/>
      <sz val="10"/>
      <name val="Arial Narrow"/>
      <family val="2"/>
    </font>
    <font>
      <sz val="10"/>
      <name val="Arial Narrow"/>
      <family val="2"/>
    </font>
    <font>
      <b/>
      <sz val="10"/>
      <name val="Arial Narrow"/>
      <family val="2"/>
    </font>
    <font>
      <b/>
      <u/>
      <sz val="9"/>
      <name val="Arial Narrow"/>
      <family val="2"/>
    </font>
    <font>
      <sz val="9"/>
      <name val="Arial Narrow"/>
      <family val="2"/>
    </font>
    <font>
      <b/>
      <sz val="9"/>
      <name val="Arial Narrow"/>
      <family val="2"/>
    </font>
    <font>
      <b/>
      <i/>
      <sz val="10"/>
      <name val="Arial Narrow"/>
      <family val="2"/>
    </font>
    <font>
      <b/>
      <i/>
      <sz val="9"/>
      <name val="Arial Narrow"/>
      <family val="2"/>
    </font>
    <font>
      <sz val="9"/>
      <color indexed="10"/>
      <name val="Arial Narrow"/>
      <family val="2"/>
    </font>
    <font>
      <b/>
      <sz val="9"/>
      <color indexed="10"/>
      <name val="Arial Narrow"/>
      <family val="2"/>
    </font>
    <font>
      <sz val="9"/>
      <color indexed="8"/>
      <name val="Arial Narrow"/>
      <family val="2"/>
    </font>
    <font>
      <vertAlign val="superscript"/>
      <sz val="9"/>
      <name val="Arial Narrow"/>
      <family val="2"/>
    </font>
    <font>
      <sz val="9"/>
      <color theme="1"/>
      <name val="Arial Narrow"/>
      <family val="2"/>
    </font>
    <font>
      <b/>
      <sz val="20"/>
      <name val="Arial Narrow"/>
      <family val="2"/>
    </font>
    <font>
      <b/>
      <i/>
      <u/>
      <sz val="14"/>
      <name val="Arial Narrow"/>
      <family val="2"/>
    </font>
    <font>
      <i/>
      <sz val="10"/>
      <name val="Arial Narrow"/>
      <family val="2"/>
    </font>
    <font>
      <i/>
      <sz val="9"/>
      <name val="Arial Narrow"/>
      <family val="2"/>
    </font>
    <font>
      <b/>
      <u/>
      <sz val="14"/>
      <name val="Arial Narrow"/>
      <family val="2"/>
    </font>
    <font>
      <sz val="10"/>
      <color rgb="FFFF0000"/>
      <name val="Arial Narrow"/>
      <family val="2"/>
    </font>
    <font>
      <b/>
      <sz val="16"/>
      <name val="Arial Narrow"/>
      <family val="2"/>
    </font>
    <font>
      <b/>
      <sz val="18"/>
      <name val="Arial Narrow"/>
      <family val="2"/>
    </font>
    <font>
      <b/>
      <sz val="14"/>
      <name val="Arial Narrow"/>
      <family val="2"/>
    </font>
    <font>
      <b/>
      <sz val="8"/>
      <name val="Arial Narrow"/>
      <family val="2"/>
    </font>
    <font>
      <sz val="11"/>
      <color rgb="FFFF0000"/>
      <name val="Calibri"/>
      <family val="2"/>
      <scheme val="minor"/>
    </font>
    <font>
      <b/>
      <sz val="11"/>
      <color theme="1"/>
      <name val="Calibri"/>
      <family val="2"/>
      <scheme val="minor"/>
    </font>
    <font>
      <b/>
      <u/>
      <sz val="16"/>
      <color theme="1"/>
      <name val="Calibri"/>
      <family val="2"/>
      <scheme val="minor"/>
    </font>
    <font>
      <b/>
      <sz val="12"/>
      <color theme="1"/>
      <name val="Calibri"/>
      <family val="2"/>
      <scheme val="minor"/>
    </font>
    <font>
      <i/>
      <sz val="12"/>
      <name val="Arial Narrow"/>
      <family val="2"/>
    </font>
    <font>
      <sz val="6"/>
      <color theme="1"/>
      <name val="Calibri"/>
      <family val="2"/>
      <scheme val="minor"/>
    </font>
    <font>
      <b/>
      <sz val="14"/>
      <color theme="1"/>
      <name val="Arial Narrow"/>
      <family val="2"/>
    </font>
    <font>
      <sz val="14"/>
      <color theme="1"/>
      <name val="Arial Narrow"/>
      <family val="2"/>
    </font>
    <font>
      <b/>
      <u/>
      <sz val="11"/>
      <name val="Arial"/>
      <family val="2"/>
    </font>
    <font>
      <sz val="12"/>
      <color theme="1"/>
      <name val="Arial Narrow"/>
      <family val="2"/>
    </font>
    <font>
      <sz val="12"/>
      <color theme="1"/>
      <name val="Calibri"/>
      <family val="2"/>
      <scheme val="minor"/>
    </font>
    <font>
      <sz val="14"/>
      <color theme="1"/>
      <name val="Calibri"/>
      <family val="2"/>
      <scheme val="minor"/>
    </font>
    <font>
      <sz val="16"/>
      <color theme="1"/>
      <name val="Calibri"/>
      <family val="2"/>
      <scheme val="minor"/>
    </font>
    <font>
      <b/>
      <sz val="14"/>
      <color theme="1"/>
      <name val="Calibri"/>
      <family val="2"/>
      <scheme val="minor"/>
    </font>
    <font>
      <sz val="10"/>
      <name val="Arial"/>
      <family val="2"/>
    </font>
    <font>
      <sz val="10"/>
      <color rgb="FFFF0000"/>
      <name val="Arial"/>
      <family val="2"/>
    </font>
    <font>
      <sz val="8"/>
      <color rgb="FFFF0000"/>
      <name val="Arial"/>
      <family val="2"/>
    </font>
    <font>
      <b/>
      <sz val="16"/>
      <color theme="1"/>
      <name val="Calibri"/>
      <family val="2"/>
      <scheme val="minor"/>
    </font>
    <font>
      <b/>
      <sz val="15"/>
      <color theme="1"/>
      <name val="Calibri"/>
      <family val="2"/>
      <scheme val="minor"/>
    </font>
    <font>
      <u/>
      <sz val="9"/>
      <color theme="1"/>
      <name val="Calibri"/>
      <family val="2"/>
    </font>
    <font>
      <sz val="11"/>
      <color theme="1"/>
      <name val="Calibri"/>
      <family val="2"/>
    </font>
    <font>
      <sz val="12"/>
      <color theme="1"/>
      <name val="Calibri"/>
      <family val="2"/>
    </font>
    <font>
      <b/>
      <sz val="26"/>
      <color theme="1"/>
      <name val="Calibri"/>
      <family val="2"/>
      <scheme val="minor"/>
    </font>
    <font>
      <i/>
      <sz val="11"/>
      <name val="Arial Narrow"/>
      <family val="2"/>
    </font>
    <font>
      <b/>
      <u/>
      <sz val="12"/>
      <name val="Arial"/>
      <family val="2"/>
    </font>
    <font>
      <sz val="9"/>
      <color rgb="FFFF0000"/>
      <name val="Arial"/>
      <family val="2"/>
    </font>
    <font>
      <b/>
      <i/>
      <sz val="9"/>
      <name val="Arial"/>
      <family val="2"/>
    </font>
    <font>
      <sz val="9"/>
      <color indexed="10"/>
      <name val="Arial"/>
      <family val="2"/>
    </font>
    <font>
      <b/>
      <sz val="9"/>
      <color indexed="10"/>
      <name val="Arial"/>
      <family val="2"/>
    </font>
    <font>
      <sz val="9"/>
      <color indexed="8"/>
      <name val="Arial"/>
      <family val="2"/>
    </font>
    <font>
      <vertAlign val="superscript"/>
      <sz val="9"/>
      <name val="Arial"/>
      <family val="2"/>
    </font>
    <font>
      <b/>
      <sz val="9"/>
      <color rgb="FFFF0000"/>
      <name val="Arial"/>
      <family val="2"/>
    </font>
    <font>
      <i/>
      <sz val="9"/>
      <name val="Arial"/>
      <family val="2"/>
    </font>
    <font>
      <sz val="9"/>
      <color theme="1"/>
      <name val="Arial"/>
      <family val="2"/>
    </font>
    <font>
      <vertAlign val="superscript"/>
      <sz val="10"/>
      <name val="Arial"/>
      <family val="2"/>
    </font>
    <font>
      <b/>
      <sz val="11.5"/>
      <name val="Arial"/>
      <family val="2"/>
    </font>
    <font>
      <sz val="11.5"/>
      <name val="Arial"/>
      <family val="2"/>
    </font>
    <font>
      <b/>
      <u/>
      <sz val="11.5"/>
      <name val="Arial"/>
      <family val="2"/>
    </font>
    <font>
      <sz val="11.5"/>
      <color rgb="FFFF0000"/>
      <name val="Arial"/>
      <family val="2"/>
    </font>
    <font>
      <sz val="11.5"/>
      <color indexed="10"/>
      <name val="Arial"/>
      <family val="2"/>
    </font>
    <font>
      <sz val="11.5"/>
      <color rgb="FFFF0000"/>
      <name val="Calibri"/>
      <family val="2"/>
      <scheme val="minor"/>
    </font>
    <font>
      <b/>
      <sz val="11.5"/>
      <color indexed="10"/>
      <name val="Arial"/>
      <family val="2"/>
    </font>
    <font>
      <sz val="11.5"/>
      <color indexed="8"/>
      <name val="Arial"/>
      <family val="2"/>
    </font>
    <font>
      <b/>
      <sz val="11.5"/>
      <color indexed="8"/>
      <name val="Arial"/>
      <family val="2"/>
    </font>
    <font>
      <i/>
      <sz val="11.5"/>
      <name val="Arial"/>
      <family val="2"/>
    </font>
    <font>
      <b/>
      <i/>
      <sz val="12"/>
      <name val="Arial"/>
      <family val="2"/>
    </font>
    <font>
      <b/>
      <i/>
      <sz val="16"/>
      <name val="Arial"/>
      <family val="2"/>
    </font>
    <font>
      <b/>
      <i/>
      <sz val="15"/>
      <name val="Arial"/>
      <family val="2"/>
    </font>
    <font>
      <b/>
      <i/>
      <sz val="13"/>
      <name val="Arial"/>
      <family val="2"/>
    </font>
    <font>
      <b/>
      <i/>
      <u/>
      <sz val="12"/>
      <name val="Arial"/>
      <family val="2"/>
    </font>
    <font>
      <u/>
      <sz val="12"/>
      <name val="Arial"/>
      <family val="2"/>
    </font>
    <font>
      <sz val="7"/>
      <color theme="1"/>
      <name val="Arial"/>
      <family val="2"/>
    </font>
    <font>
      <sz val="10"/>
      <color theme="1"/>
      <name val="Arial"/>
      <family val="2"/>
    </font>
    <font>
      <sz val="11"/>
      <color theme="1"/>
      <name val="Arial"/>
      <family val="2"/>
    </font>
    <font>
      <sz val="11"/>
      <color indexed="8"/>
      <name val="Arial"/>
      <family val="2"/>
    </font>
    <font>
      <u/>
      <sz val="11"/>
      <color theme="1"/>
      <name val="Arial"/>
      <family val="2"/>
    </font>
    <font>
      <sz val="11"/>
      <color indexed="63"/>
      <name val="Arial"/>
      <family val="2"/>
    </font>
    <font>
      <b/>
      <i/>
      <sz val="11"/>
      <name val="Arial"/>
      <family val="2"/>
    </font>
    <font>
      <b/>
      <sz val="11"/>
      <color theme="1"/>
      <name val="Arial"/>
      <family val="2"/>
    </font>
    <font>
      <sz val="12"/>
      <color theme="1"/>
      <name val="Arial"/>
      <family val="2"/>
    </font>
    <font>
      <sz val="11.5"/>
      <color theme="1"/>
      <name val="Arial"/>
      <family val="2"/>
    </font>
    <font>
      <u/>
      <sz val="9"/>
      <color theme="1"/>
      <name val="Arial"/>
      <family val="2"/>
    </font>
    <font>
      <i/>
      <sz val="13"/>
      <name val="Arial"/>
      <family val="2"/>
    </font>
    <font>
      <b/>
      <i/>
      <sz val="24"/>
      <name val="Arial"/>
      <family val="2"/>
    </font>
  </fonts>
  <fills count="12">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8"/>
        <bgColor indexed="64"/>
      </patternFill>
    </fill>
    <fill>
      <patternFill patternType="mediumGray"/>
    </fill>
    <fill>
      <patternFill patternType="solid">
        <fgColor indexed="40"/>
        <bgColor indexed="64"/>
      </patternFill>
    </fill>
    <fill>
      <patternFill patternType="solid">
        <fgColor indexed="51"/>
        <bgColor indexed="64"/>
      </patternFill>
    </fill>
    <fill>
      <patternFill patternType="solid">
        <fgColor rgb="FFFFFF00"/>
        <bgColor indexed="64"/>
      </patternFill>
    </fill>
    <fill>
      <patternFill patternType="solid">
        <fgColor theme="1"/>
        <bgColor indexed="64"/>
      </patternFill>
    </fill>
    <fill>
      <patternFill patternType="solid">
        <fgColor rgb="FFFFC000"/>
        <bgColor indexed="64"/>
      </patternFill>
    </fill>
    <fill>
      <patternFill patternType="solid">
        <fgColor theme="0"/>
        <bgColor indexed="64"/>
      </patternFill>
    </fill>
  </fills>
  <borders count="150">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diagonalUp="1">
      <left style="thin">
        <color indexed="64"/>
      </left>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style="dashed">
        <color indexed="64"/>
      </left>
      <right/>
      <top/>
      <bottom/>
      <diagonal/>
    </border>
    <border>
      <left/>
      <right style="dashed">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ashed">
        <color indexed="64"/>
      </top>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top style="dashed">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ashed">
        <color indexed="64"/>
      </left>
      <right/>
      <top/>
      <bottom style="dashed">
        <color indexed="64"/>
      </bottom>
      <diagonal/>
    </border>
    <border diagonalDown="1">
      <left style="thin">
        <color indexed="64"/>
      </left>
      <right/>
      <top/>
      <bottom/>
      <diagonal style="thin">
        <color indexed="64"/>
      </diagonal>
    </border>
    <border>
      <left/>
      <right style="dashed">
        <color indexed="64"/>
      </right>
      <top/>
      <bottom style="dashed">
        <color indexed="64"/>
      </bottom>
      <diagonal/>
    </border>
    <border>
      <left style="thin">
        <color indexed="64"/>
      </left>
      <right/>
      <top/>
      <bottom style="dashed">
        <color indexed="64"/>
      </bottom>
      <diagonal/>
    </border>
    <border>
      <left style="dashed">
        <color indexed="64"/>
      </left>
      <right style="dashed">
        <color indexed="64"/>
      </right>
      <top/>
      <bottom/>
      <diagonal/>
    </border>
    <border diagonalUp="1">
      <left/>
      <right/>
      <top style="thin">
        <color indexed="64"/>
      </top>
      <bottom/>
      <diagonal style="thin">
        <color indexed="64"/>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diagonalUp="1">
      <left/>
      <right/>
      <top/>
      <bottom/>
      <diagonal style="thin">
        <color indexed="64"/>
      </diagonal>
    </border>
    <border diagonalDown="1">
      <left/>
      <right/>
      <top/>
      <bottom/>
      <diagonal style="thin">
        <color indexed="64"/>
      </diagonal>
    </border>
    <border diagonalUp="1">
      <left/>
      <right/>
      <top/>
      <bottom style="thin">
        <color indexed="64"/>
      </bottom>
      <diagonal style="thin">
        <color indexed="64"/>
      </diagonal>
    </border>
    <border diagonalDown="1">
      <left/>
      <right/>
      <top/>
      <bottom style="thin">
        <color indexed="64"/>
      </bottom>
      <diagonal style="thin">
        <color indexed="64"/>
      </diagonal>
    </border>
    <border>
      <left/>
      <right/>
      <top/>
      <bottom style="double">
        <color indexed="64"/>
      </bottom>
      <diagonal/>
    </border>
    <border diagonalDown="1">
      <left/>
      <right/>
      <top style="thin">
        <color indexed="64"/>
      </top>
      <bottom/>
      <diagonal style="thin">
        <color indexed="64"/>
      </diagonal>
    </border>
    <border>
      <left style="thin">
        <color indexed="64"/>
      </left>
      <right style="dashed">
        <color indexed="64"/>
      </right>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style="double">
        <color indexed="64"/>
      </right>
      <top/>
      <bottom style="thin">
        <color indexed="64"/>
      </bottom>
      <diagonal/>
    </border>
    <border>
      <left style="thin">
        <color indexed="64"/>
      </left>
      <right/>
      <top style="dashed">
        <color indexed="64"/>
      </top>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diagonal/>
    </border>
    <border>
      <left style="thin">
        <color indexed="64"/>
      </left>
      <right style="double">
        <color indexed="64"/>
      </right>
      <top style="thin">
        <color indexed="64"/>
      </top>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diagonalUp="1">
      <left style="thin">
        <color indexed="64"/>
      </left>
      <right/>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bottom style="double">
        <color indexed="64"/>
      </bottom>
      <diagonal/>
    </border>
    <border>
      <left style="dashed">
        <color indexed="64"/>
      </left>
      <right/>
      <top style="medium">
        <color indexed="64"/>
      </top>
      <bottom/>
      <diagonal/>
    </border>
    <border>
      <left style="dashed">
        <color indexed="64"/>
      </left>
      <right style="dashed">
        <color indexed="64"/>
      </right>
      <top style="medium">
        <color indexed="64"/>
      </top>
      <bottom/>
      <diagonal/>
    </border>
    <border>
      <left style="dashed">
        <color indexed="64"/>
      </left>
      <right style="thin">
        <color indexed="64"/>
      </right>
      <top/>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diagonalDown="1">
      <left/>
      <right style="thin">
        <color indexed="64"/>
      </right>
      <top/>
      <bottom/>
      <diagonal style="thin">
        <color indexed="64"/>
      </diagonal>
    </border>
    <border>
      <left style="dashed">
        <color indexed="64"/>
      </left>
      <right/>
      <top style="thin">
        <color indexed="64"/>
      </top>
      <bottom style="thin">
        <color indexed="64"/>
      </bottom>
      <diagonal/>
    </border>
    <border>
      <left style="dashed">
        <color indexed="64"/>
      </left>
      <right style="thin">
        <color indexed="64"/>
      </right>
      <top style="dashed">
        <color indexed="64"/>
      </top>
      <bottom style="thin">
        <color indexed="64"/>
      </bottom>
      <diagonal/>
    </border>
    <border diagonalUp="1">
      <left/>
      <right/>
      <top/>
      <bottom/>
      <diagonal style="thick">
        <color indexed="64"/>
      </diagonal>
    </border>
    <border diagonalDown="1">
      <left/>
      <right/>
      <top/>
      <bottom/>
      <diagonal style="thick">
        <color indexed="64"/>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right/>
      <top/>
      <bottom style="dashDot">
        <color indexed="64"/>
      </bottom>
      <diagonal/>
    </border>
    <border>
      <left/>
      <right/>
      <top style="dashDot">
        <color indexed="64"/>
      </top>
      <bottom style="mediumDashed">
        <color indexed="64"/>
      </bottom>
      <diagonal/>
    </border>
    <border>
      <left/>
      <right style="thin">
        <color indexed="64"/>
      </right>
      <top style="dashDot">
        <color indexed="64"/>
      </top>
      <bottom style="mediumDashed">
        <color indexed="64"/>
      </bottom>
      <diagonal/>
    </border>
    <border>
      <left style="double">
        <color indexed="64"/>
      </left>
      <right/>
      <top/>
      <bottom/>
      <diagonal/>
    </border>
    <border>
      <left style="thin">
        <color indexed="64"/>
      </left>
      <right/>
      <top style="double">
        <color auto="1"/>
      </top>
      <bottom style="thin">
        <color indexed="64"/>
      </bottom>
      <diagonal/>
    </border>
    <border>
      <left/>
      <right/>
      <top style="double">
        <color auto="1"/>
      </top>
      <bottom style="thin">
        <color indexed="64"/>
      </bottom>
      <diagonal/>
    </border>
    <border>
      <left/>
      <right style="thin">
        <color indexed="64"/>
      </right>
      <top style="double">
        <color auto="1"/>
      </top>
      <bottom style="thin">
        <color indexed="64"/>
      </bottom>
      <diagonal/>
    </border>
    <border>
      <left style="double">
        <color indexed="64"/>
      </left>
      <right/>
      <top/>
      <bottom style="medium">
        <color indexed="64"/>
      </bottom>
      <diagonal/>
    </border>
    <border>
      <left style="double">
        <color indexed="64"/>
      </left>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right/>
      <top/>
      <bottom style="medium">
        <color indexed="64"/>
      </bottom>
      <diagonal style="thin">
        <color indexed="64"/>
      </diagonal>
    </border>
    <border diagonalDown="1">
      <left/>
      <right/>
      <top/>
      <bottom style="medium">
        <color indexed="64"/>
      </bottom>
      <diagonal style="thin">
        <color indexed="64"/>
      </diagonal>
    </border>
  </borders>
  <cellStyleXfs count="22">
    <xf numFmtId="0" fontId="0" fillId="0" borderId="0"/>
    <xf numFmtId="0" fontId="2" fillId="0" borderId="0"/>
    <xf numFmtId="0" fontId="7" fillId="0" borderId="0"/>
    <xf numFmtId="0" fontId="17" fillId="0" borderId="0" applyNumberFormat="0" applyFill="0" applyBorder="0" applyAlignment="0" applyProtection="0">
      <alignment vertical="top"/>
      <protection locked="0"/>
    </xf>
    <xf numFmtId="165" fontId="2" fillId="0" borderId="0" applyFon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 fillId="0" borderId="0"/>
    <xf numFmtId="0" fontId="2" fillId="0" borderId="0">
      <alignment horizontal="center" vertical="top" wrapText="1"/>
    </xf>
    <xf numFmtId="0" fontId="2" fillId="0" borderId="0">
      <alignment horizontal="center" vertical="top" wrapText="1"/>
    </xf>
    <xf numFmtId="0" fontId="2" fillId="0" borderId="0">
      <alignment horizontal="center" vertical="top" wrapText="1"/>
    </xf>
    <xf numFmtId="0" fontId="2" fillId="0" borderId="0"/>
    <xf numFmtId="0" fontId="2" fillId="0" borderId="0">
      <alignment horizontal="center" vertical="top" wrapText="1"/>
    </xf>
    <xf numFmtId="0" fontId="20" fillId="0" borderId="0"/>
    <xf numFmtId="9" fontId="14" fillId="0" borderId="0" applyFont="0" applyFill="0" applyBorder="0" applyAlignment="0" applyProtection="0"/>
    <xf numFmtId="0" fontId="7" fillId="0" borderId="0">
      <alignment horizontal="center" vertical="top" wrapText="1"/>
    </xf>
    <xf numFmtId="0" fontId="2" fillId="0" borderId="0"/>
    <xf numFmtId="0" fontId="101" fillId="0" borderId="0"/>
    <xf numFmtId="0" fontId="2" fillId="0" borderId="0"/>
    <xf numFmtId="0" fontId="2" fillId="0" borderId="0" applyFont="0" applyFill="0" applyBorder="0" applyAlignment="0" applyProtection="0"/>
    <xf numFmtId="164" fontId="2" fillId="0" borderId="0" applyFont="0" applyFill="0" applyBorder="0" applyAlignment="0" applyProtection="0"/>
  </cellStyleXfs>
  <cellXfs count="3654">
    <xf numFmtId="0" fontId="0" fillId="0" borderId="0" xfId="0"/>
    <xf numFmtId="0" fontId="5" fillId="0" borderId="3" xfId="2" applyFont="1" applyBorder="1" applyAlignment="1">
      <alignment horizontal="center"/>
    </xf>
    <xf numFmtId="0" fontId="5" fillId="0" borderId="0" xfId="2" applyFont="1"/>
    <xf numFmtId="0" fontId="7" fillId="0" borderId="0" xfId="2"/>
    <xf numFmtId="0" fontId="7" fillId="0" borderId="3" xfId="2" applyBorder="1"/>
    <xf numFmtId="0" fontId="5" fillId="0" borderId="3" xfId="2" applyFont="1" applyBorder="1"/>
    <xf numFmtId="0" fontId="2" fillId="0" borderId="0" xfId="2" applyFont="1"/>
    <xf numFmtId="0" fontId="7" fillId="0" borderId="12" xfId="2" applyBorder="1"/>
    <xf numFmtId="0" fontId="7" fillId="0" borderId="1" xfId="2" applyBorder="1"/>
    <xf numFmtId="2" fontId="7" fillId="0" borderId="3" xfId="2" applyNumberFormat="1" applyBorder="1"/>
    <xf numFmtId="0" fontId="5" fillId="0" borderId="0" xfId="2" applyFont="1" applyAlignment="1">
      <alignment horizontal="center"/>
    </xf>
    <xf numFmtId="0" fontId="5" fillId="0" borderId="0" xfId="2" applyFont="1" applyAlignment="1">
      <alignment vertical="top"/>
    </xf>
    <xf numFmtId="0" fontId="2" fillId="0" borderId="0" xfId="2" applyFont="1" applyAlignment="1">
      <alignment vertical="top"/>
    </xf>
    <xf numFmtId="0" fontId="2" fillId="0" borderId="0" xfId="1"/>
    <xf numFmtId="0" fontId="6" fillId="0" borderId="0" xfId="1" applyFont="1"/>
    <xf numFmtId="0" fontId="11" fillId="0" borderId="0" xfId="1" applyFont="1"/>
    <xf numFmtId="0" fontId="14" fillId="0" borderId="0" xfId="1" applyFont="1"/>
    <xf numFmtId="0" fontId="5" fillId="0" borderId="3" xfId="1" applyFont="1" applyBorder="1" applyAlignment="1">
      <alignment horizontal="center" vertical="center"/>
    </xf>
    <xf numFmtId="0" fontId="21" fillId="0" borderId="3" xfId="1" applyFont="1" applyBorder="1" applyAlignment="1">
      <alignment horizontal="left"/>
    </xf>
    <xf numFmtId="0" fontId="2" fillId="0" borderId="3" xfId="1" applyBorder="1"/>
    <xf numFmtId="0" fontId="21" fillId="0" borderId="0" xfId="1" applyFont="1"/>
    <xf numFmtId="0" fontId="5" fillId="0" borderId="3" xfId="1" applyFont="1" applyBorder="1" applyAlignment="1">
      <alignment horizontal="center"/>
    </xf>
    <xf numFmtId="0" fontId="11" fillId="0" borderId="42" xfId="1" applyFont="1" applyBorder="1" applyAlignment="1">
      <alignment horizontal="center"/>
    </xf>
    <xf numFmtId="0" fontId="11" fillId="0" borderId="18" xfId="1" applyFont="1" applyBorder="1" applyAlignment="1">
      <alignment horizontal="center"/>
    </xf>
    <xf numFmtId="0" fontId="11" fillId="0" borderId="43" xfId="1" applyFont="1" applyBorder="1" applyAlignment="1">
      <alignment horizontal="center"/>
    </xf>
    <xf numFmtId="0" fontId="14" fillId="0" borderId="27" xfId="1" applyFont="1" applyBorder="1" applyAlignment="1">
      <alignment horizontal="center"/>
    </xf>
    <xf numFmtId="0" fontId="14" fillId="0" borderId="0" xfId="1" applyFont="1" applyAlignment="1">
      <alignment horizontal="center"/>
    </xf>
    <xf numFmtId="0" fontId="14" fillId="0" borderId="28" xfId="1" applyFont="1" applyBorder="1" applyAlignment="1">
      <alignment horizontal="center"/>
    </xf>
    <xf numFmtId="0" fontId="22" fillId="0" borderId="27" xfId="1" applyFont="1" applyBorder="1" applyAlignment="1">
      <alignment horizontal="center"/>
    </xf>
    <xf numFmtId="0" fontId="22" fillId="0" borderId="0" xfId="1" applyFont="1" applyAlignment="1">
      <alignment horizontal="center"/>
    </xf>
    <xf numFmtId="0" fontId="22" fillId="0" borderId="28" xfId="1" applyFont="1" applyBorder="1" applyAlignment="1">
      <alignment horizontal="center"/>
    </xf>
    <xf numFmtId="0" fontId="23" fillId="0" borderId="27" xfId="1" applyFont="1" applyBorder="1" applyAlignment="1">
      <alignment horizontal="center"/>
    </xf>
    <xf numFmtId="0" fontId="23" fillId="0" borderId="0" xfId="1" applyFont="1" applyAlignment="1">
      <alignment horizontal="center"/>
    </xf>
    <xf numFmtId="0" fontId="23" fillId="0" borderId="28" xfId="1" applyFont="1" applyBorder="1" applyAlignment="1">
      <alignment horizontal="center"/>
    </xf>
    <xf numFmtId="0" fontId="24" fillId="0" borderId="0" xfId="1" applyFont="1" applyAlignment="1">
      <alignment horizontal="center"/>
    </xf>
    <xf numFmtId="0" fontId="24" fillId="0" borderId="28" xfId="1" applyFont="1" applyBorder="1" applyAlignment="1">
      <alignment horizontal="center"/>
    </xf>
    <xf numFmtId="0" fontId="24" fillId="0" borderId="0" xfId="1" applyFont="1" applyAlignment="1">
      <alignment horizontal="right"/>
    </xf>
    <xf numFmtId="0" fontId="11" fillId="0" borderId="0" xfId="2" applyFont="1"/>
    <xf numFmtId="0" fontId="2" fillId="0" borderId="36" xfId="1" applyBorder="1"/>
    <xf numFmtId="0" fontId="2" fillId="0" borderId="30" xfId="1" applyBorder="1"/>
    <xf numFmtId="0" fontId="2" fillId="0" borderId="44" xfId="1" applyBorder="1"/>
    <xf numFmtId="0" fontId="2" fillId="0" borderId="1" xfId="1" applyBorder="1"/>
    <xf numFmtId="0" fontId="15" fillId="0" borderId="0" xfId="2" applyFont="1" applyAlignment="1">
      <alignment horizontal="center" vertical="top"/>
    </xf>
    <xf numFmtId="0" fontId="3" fillId="0" borderId="0" xfId="2" applyFont="1" applyAlignment="1">
      <alignment vertical="top"/>
    </xf>
    <xf numFmtId="0" fontId="4" fillId="0" borderId="2" xfId="2" applyFont="1" applyBorder="1" applyAlignment="1">
      <alignment horizontal="center" vertical="top"/>
    </xf>
    <xf numFmtId="0" fontId="4" fillId="0" borderId="2" xfId="2" applyFont="1" applyBorder="1" applyAlignment="1">
      <alignment horizontal="justify"/>
    </xf>
    <xf numFmtId="0" fontId="4" fillId="0" borderId="6" xfId="2" applyFont="1" applyBorder="1" applyAlignment="1">
      <alignment horizontal="center" vertical="top"/>
    </xf>
    <xf numFmtId="0" fontId="4" fillId="0" borderId="6" xfId="2" applyFont="1" applyBorder="1" applyAlignment="1">
      <alignment horizontal="justify"/>
    </xf>
    <xf numFmtId="0" fontId="4" fillId="0" borderId="6" xfId="2" applyFont="1" applyBorder="1" applyAlignment="1">
      <alignment horizontal="right" vertical="top"/>
    </xf>
    <xf numFmtId="0" fontId="4" fillId="0" borderId="4" xfId="2" applyFont="1" applyBorder="1" applyAlignment="1">
      <alignment horizontal="center" vertical="top"/>
    </xf>
    <xf numFmtId="0" fontId="4" fillId="0" borderId="5" xfId="2" applyFont="1" applyBorder="1" applyAlignment="1">
      <alignment horizontal="left" vertical="top"/>
    </xf>
    <xf numFmtId="0" fontId="3" fillId="0" borderId="5" xfId="2" applyFont="1" applyBorder="1" applyAlignment="1">
      <alignment horizontal="center" vertical="top"/>
    </xf>
    <xf numFmtId="0" fontId="3" fillId="0" borderId="5" xfId="2" applyFont="1" applyBorder="1" applyAlignment="1">
      <alignment horizontal="justify"/>
    </xf>
    <xf numFmtId="0" fontId="9" fillId="0" borderId="5" xfId="2" applyFont="1" applyBorder="1" applyAlignment="1">
      <alignment vertical="top" wrapText="1"/>
    </xf>
    <xf numFmtId="2" fontId="3" fillId="0" borderId="5" xfId="2" applyNumberFormat="1" applyFont="1" applyBorder="1" applyAlignment="1">
      <alignment vertical="top"/>
    </xf>
    <xf numFmtId="2" fontId="3" fillId="0" borderId="3" xfId="2" applyNumberFormat="1" applyFont="1" applyBorder="1" applyAlignment="1">
      <alignment vertical="top"/>
    </xf>
    <xf numFmtId="0" fontId="3" fillId="0" borderId="3" xfId="2" applyFont="1" applyBorder="1" applyAlignment="1">
      <alignment horizontal="center" vertical="top"/>
    </xf>
    <xf numFmtId="2" fontId="3" fillId="0" borderId="0" xfId="2" applyNumberFormat="1" applyFont="1" applyAlignment="1">
      <alignment vertical="top"/>
    </xf>
    <xf numFmtId="0" fontId="4" fillId="0" borderId="11" xfId="2" applyFont="1" applyBorder="1" applyAlignment="1">
      <alignment horizontal="center" vertical="top"/>
    </xf>
    <xf numFmtId="0" fontId="3" fillId="0" borderId="0" xfId="2" applyFont="1" applyAlignment="1">
      <alignment horizontal="left" vertical="top"/>
    </xf>
    <xf numFmtId="0" fontId="3" fillId="0" borderId="0" xfId="2" applyFont="1" applyAlignment="1">
      <alignment horizontal="justify"/>
    </xf>
    <xf numFmtId="0" fontId="4" fillId="0" borderId="0" xfId="2" applyFont="1" applyAlignment="1">
      <alignment vertical="top"/>
    </xf>
    <xf numFmtId="0" fontId="3" fillId="0" borderId="13" xfId="2" applyFont="1" applyBorder="1" applyAlignment="1">
      <alignment vertical="top"/>
    </xf>
    <xf numFmtId="0" fontId="3" fillId="0" borderId="0" xfId="2" applyFont="1" applyAlignment="1">
      <alignment horizontal="center" vertical="top"/>
    </xf>
    <xf numFmtId="2" fontId="3" fillId="0" borderId="13" xfId="2" applyNumberFormat="1" applyFont="1" applyBorder="1" applyAlignment="1">
      <alignment vertical="top"/>
    </xf>
    <xf numFmtId="2" fontId="3" fillId="0" borderId="0" xfId="2" applyNumberFormat="1" applyFont="1" applyAlignment="1">
      <alignment horizontal="right" vertical="top"/>
    </xf>
    <xf numFmtId="0" fontId="3" fillId="0" borderId="0" xfId="2" applyFont="1" applyAlignment="1">
      <alignment horizontal="right" vertical="top"/>
    </xf>
    <xf numFmtId="2" fontId="3" fillId="0" borderId="1" xfId="2" applyNumberFormat="1" applyFont="1" applyBorder="1" applyAlignment="1">
      <alignment vertical="top"/>
    </xf>
    <xf numFmtId="0" fontId="3" fillId="0" borderId="1" xfId="2" applyFont="1" applyBorder="1" applyAlignment="1">
      <alignment horizontal="center" vertical="top"/>
    </xf>
    <xf numFmtId="2" fontId="3" fillId="0" borderId="2" xfId="2" applyNumberFormat="1" applyFont="1" applyBorder="1" applyAlignment="1">
      <alignment vertical="top"/>
    </xf>
    <xf numFmtId="0" fontId="4" fillId="0" borderId="0" xfId="2" applyFont="1" applyAlignment="1">
      <alignment horizontal="left" vertical="top"/>
    </xf>
    <xf numFmtId="0" fontId="4" fillId="0" borderId="0" xfId="2" applyFont="1" applyAlignment="1">
      <alignment horizontal="justify"/>
    </xf>
    <xf numFmtId="0" fontId="4" fillId="0" borderId="0" xfId="2" applyFont="1" applyAlignment="1">
      <alignment horizontal="center" vertical="top"/>
    </xf>
    <xf numFmtId="2" fontId="4" fillId="0" borderId="0" xfId="2" applyNumberFormat="1" applyFont="1" applyAlignment="1">
      <alignment horizontal="right" vertical="top"/>
    </xf>
    <xf numFmtId="2" fontId="4" fillId="0" borderId="0" xfId="2" applyNumberFormat="1" applyFont="1" applyAlignment="1">
      <alignment vertical="top"/>
    </xf>
    <xf numFmtId="2" fontId="4" fillId="0" borderId="13" xfId="2" applyNumberFormat="1" applyFont="1" applyBorder="1" applyAlignment="1">
      <alignment vertical="top"/>
    </xf>
    <xf numFmtId="0" fontId="3" fillId="0" borderId="3" xfId="2" applyFont="1" applyBorder="1" applyAlignment="1">
      <alignment vertical="top"/>
    </xf>
    <xf numFmtId="2" fontId="4" fillId="0" borderId="0" xfId="2" applyNumberFormat="1" applyFont="1" applyAlignment="1">
      <alignment horizontal="center" vertical="top"/>
    </xf>
    <xf numFmtId="2" fontId="3" fillId="0" borderId="3" xfId="2" applyNumberFormat="1" applyFont="1" applyBorder="1" applyAlignment="1">
      <alignment horizontal="right" vertical="top"/>
    </xf>
    <xf numFmtId="0" fontId="4" fillId="0" borderId="7" xfId="2" applyFont="1" applyBorder="1" applyAlignment="1">
      <alignment horizontal="center" vertical="top"/>
    </xf>
    <xf numFmtId="0" fontId="4" fillId="0" borderId="1" xfId="2" applyFont="1" applyBorder="1" applyAlignment="1">
      <alignment horizontal="center" vertical="top"/>
    </xf>
    <xf numFmtId="0" fontId="3" fillId="0" borderId="1" xfId="2" applyFont="1" applyBorder="1" applyAlignment="1">
      <alignment horizontal="left" vertical="top"/>
    </xf>
    <xf numFmtId="0" fontId="3" fillId="0" borderId="1" xfId="2" applyFont="1" applyBorder="1" applyAlignment="1">
      <alignment horizontal="justify"/>
    </xf>
    <xf numFmtId="0" fontId="3" fillId="0" borderId="1" xfId="2" applyFont="1" applyBorder="1" applyAlignment="1">
      <alignment vertical="top"/>
    </xf>
    <xf numFmtId="2" fontId="4" fillId="0" borderId="1" xfId="2" applyNumberFormat="1" applyFont="1" applyBorder="1" applyAlignment="1">
      <alignment horizontal="right" vertical="top"/>
    </xf>
    <xf numFmtId="0" fontId="4" fillId="0" borderId="1" xfId="2" applyFont="1" applyBorder="1" applyAlignment="1">
      <alignment vertical="top"/>
    </xf>
    <xf numFmtId="0" fontId="3" fillId="0" borderId="14" xfId="2" applyFont="1" applyBorder="1" applyAlignment="1">
      <alignment vertical="top"/>
    </xf>
    <xf numFmtId="1" fontId="3" fillId="0" borderId="0" xfId="2" applyNumberFormat="1" applyFont="1" applyAlignment="1">
      <alignment horizontal="center" vertical="top"/>
    </xf>
    <xf numFmtId="169" fontId="3" fillId="0" borderId="0" xfId="2" applyNumberFormat="1" applyFont="1" applyAlignment="1">
      <alignment vertical="top"/>
    </xf>
    <xf numFmtId="169" fontId="3" fillId="0" borderId="0" xfId="2" applyNumberFormat="1" applyFont="1" applyAlignment="1">
      <alignment horizontal="right" vertical="top"/>
    </xf>
    <xf numFmtId="169" fontId="4" fillId="0" borderId="0" xfId="2" applyNumberFormat="1" applyFont="1" applyAlignment="1">
      <alignment vertical="top"/>
    </xf>
    <xf numFmtId="169" fontId="9" fillId="0" borderId="0" xfId="2" applyNumberFormat="1" applyFont="1" applyAlignment="1">
      <alignment vertical="top"/>
    </xf>
    <xf numFmtId="169" fontId="8" fillId="0" borderId="0" xfId="2" applyNumberFormat="1" applyFont="1" applyAlignment="1">
      <alignment vertical="top"/>
    </xf>
    <xf numFmtId="2" fontId="3" fillId="0" borderId="0" xfId="2" applyNumberFormat="1" applyFont="1" applyAlignment="1">
      <alignment horizontal="center" vertical="top"/>
    </xf>
    <xf numFmtId="169" fontId="3" fillId="0" borderId="0" xfId="2" applyNumberFormat="1" applyFont="1" applyAlignment="1">
      <alignment horizontal="center" vertical="top"/>
    </xf>
    <xf numFmtId="169" fontId="3" fillId="0" borderId="1" xfId="2" applyNumberFormat="1" applyFont="1" applyBorder="1" applyAlignment="1">
      <alignment vertical="top"/>
    </xf>
    <xf numFmtId="1" fontId="4" fillId="0" borderId="0" xfId="2" applyNumberFormat="1" applyFont="1" applyAlignment="1">
      <alignment horizontal="center" vertical="top"/>
    </xf>
    <xf numFmtId="169" fontId="4" fillId="0" borderId="0" xfId="2" applyNumberFormat="1" applyFont="1" applyAlignment="1">
      <alignment horizontal="center" vertical="top"/>
    </xf>
    <xf numFmtId="0" fontId="5" fillId="0" borderId="0" xfId="2" applyFont="1" applyAlignment="1">
      <alignment horizontal="center" vertical="top"/>
    </xf>
    <xf numFmtId="0" fontId="5" fillId="0" borderId="0" xfId="2" applyFont="1" applyAlignment="1">
      <alignment horizontal="right" vertical="top"/>
    </xf>
    <xf numFmtId="1" fontId="5" fillId="0" borderId="0" xfId="2" applyNumberFormat="1" applyFont="1" applyAlignment="1">
      <alignment horizontal="left" vertical="top"/>
    </xf>
    <xf numFmtId="169" fontId="5" fillId="0" borderId="0" xfId="2" applyNumberFormat="1" applyFont="1" applyAlignment="1">
      <alignment horizontal="right" vertical="top"/>
    </xf>
    <xf numFmtId="2" fontId="5" fillId="0" borderId="0" xfId="2" applyNumberFormat="1" applyFont="1" applyAlignment="1">
      <alignment horizontal="right" vertical="top"/>
    </xf>
    <xf numFmtId="2" fontId="5" fillId="0" borderId="0" xfId="2" applyNumberFormat="1" applyFont="1" applyAlignment="1">
      <alignment vertical="top"/>
    </xf>
    <xf numFmtId="0" fontId="7" fillId="0" borderId="0" xfId="2" applyAlignment="1">
      <alignment vertical="top"/>
    </xf>
    <xf numFmtId="0" fontId="10" fillId="0" borderId="0" xfId="2" applyFont="1" applyAlignment="1">
      <alignment vertical="top"/>
    </xf>
    <xf numFmtId="169" fontId="8" fillId="0" borderId="0" xfId="2" applyNumberFormat="1" applyFont="1" applyAlignment="1">
      <alignment horizontal="right" vertical="top"/>
    </xf>
    <xf numFmtId="169" fontId="4" fillId="0" borderId="0" xfId="2" applyNumberFormat="1" applyFont="1" applyAlignment="1">
      <alignment horizontal="right" vertical="top"/>
    </xf>
    <xf numFmtId="0" fontId="4" fillId="0" borderId="0" xfId="2" applyFont="1" applyAlignment="1">
      <alignment horizontal="justify" vertical="top"/>
    </xf>
    <xf numFmtId="0" fontId="3" fillId="0" borderId="0" xfId="2" applyFont="1" applyAlignment="1">
      <alignment horizontal="justify" vertical="top"/>
    </xf>
    <xf numFmtId="169" fontId="5" fillId="0" borderId="0" xfId="2" applyNumberFormat="1" applyFont="1" applyAlignment="1">
      <alignment horizontal="center" vertical="top"/>
    </xf>
    <xf numFmtId="169" fontId="5" fillId="0" borderId="0" xfId="2" applyNumberFormat="1" applyFont="1" applyAlignment="1">
      <alignment horizontal="justify"/>
    </xf>
    <xf numFmtId="169" fontId="5" fillId="0" borderId="0" xfId="2" applyNumberFormat="1" applyFont="1" applyAlignment="1">
      <alignment vertical="top"/>
    </xf>
    <xf numFmtId="2" fontId="5" fillId="0" borderId="0" xfId="2" applyNumberFormat="1" applyFont="1" applyAlignment="1">
      <alignment horizontal="center" vertical="top"/>
    </xf>
    <xf numFmtId="2" fontId="7" fillId="0" borderId="0" xfId="2" applyNumberFormat="1" applyAlignment="1">
      <alignment vertical="top"/>
    </xf>
    <xf numFmtId="166" fontId="5" fillId="0" borderId="0" xfId="2" applyNumberFormat="1" applyFont="1" applyAlignment="1">
      <alignment horizontal="center" vertical="top"/>
    </xf>
    <xf numFmtId="1" fontId="3" fillId="0" borderId="0" xfId="2" applyNumberFormat="1" applyFont="1" applyAlignment="1">
      <alignment horizontal="justify"/>
    </xf>
    <xf numFmtId="2" fontId="3" fillId="0" borderId="0" xfId="2" applyNumberFormat="1" applyFont="1" applyAlignment="1">
      <alignment horizontal="justify" vertical="top"/>
    </xf>
    <xf numFmtId="2" fontId="2" fillId="0" borderId="0" xfId="2" applyNumberFormat="1" applyFont="1" applyAlignment="1">
      <alignment vertical="top"/>
    </xf>
    <xf numFmtId="1" fontId="5" fillId="0" borderId="0" xfId="2" applyNumberFormat="1" applyFont="1" applyAlignment="1">
      <alignment horizontal="right" vertical="top"/>
    </xf>
    <xf numFmtId="0" fontId="3" fillId="0" borderId="12" xfId="2" applyFont="1" applyBorder="1" applyAlignment="1">
      <alignment vertical="top"/>
    </xf>
    <xf numFmtId="0" fontId="4" fillId="0" borderId="0" xfId="2" applyFont="1" applyAlignment="1">
      <alignment horizontal="center"/>
    </xf>
    <xf numFmtId="0" fontId="10" fillId="0" borderId="0" xfId="2" applyFont="1" applyAlignment="1">
      <alignment horizontal="justify" vertical="top"/>
    </xf>
    <xf numFmtId="0" fontId="18" fillId="0" borderId="0" xfId="2" applyFont="1" applyAlignment="1">
      <alignment vertical="top"/>
    </xf>
    <xf numFmtId="1" fontId="3" fillId="0" borderId="0" xfId="2" applyNumberFormat="1" applyFont="1" applyAlignment="1">
      <alignment horizontal="center"/>
    </xf>
    <xf numFmtId="1" fontId="3" fillId="0" borderId="0" xfId="2" applyNumberFormat="1" applyFont="1" applyAlignment="1">
      <alignment horizontal="justify" vertical="top"/>
    </xf>
    <xf numFmtId="169" fontId="5" fillId="0" borderId="1" xfId="2" applyNumberFormat="1" applyFont="1" applyBorder="1" applyAlignment="1">
      <alignment horizontal="right" vertical="top"/>
    </xf>
    <xf numFmtId="174" fontId="5" fillId="0" borderId="0" xfId="2" applyNumberFormat="1" applyFont="1" applyAlignment="1">
      <alignment horizontal="center" vertical="top"/>
    </xf>
    <xf numFmtId="2" fontId="3" fillId="0" borderId="0" xfId="2" applyNumberFormat="1" applyFont="1" applyAlignment="1">
      <alignment horizontal="justify"/>
    </xf>
    <xf numFmtId="175" fontId="5" fillId="0" borderId="0" xfId="2" applyNumberFormat="1" applyFont="1" applyAlignment="1">
      <alignment horizontal="center" vertical="top"/>
    </xf>
    <xf numFmtId="169" fontId="2" fillId="0" borderId="0" xfId="2" applyNumberFormat="1" applyFont="1" applyAlignment="1">
      <alignment horizontal="right" vertical="top"/>
    </xf>
    <xf numFmtId="0" fontId="5" fillId="0" borderId="0" xfId="2" applyFont="1" applyAlignment="1">
      <alignment horizontal="justify"/>
    </xf>
    <xf numFmtId="1" fontId="2" fillId="0" borderId="0" xfId="2" applyNumberFormat="1" applyFont="1" applyAlignment="1">
      <alignment horizontal="center" vertical="top"/>
    </xf>
    <xf numFmtId="169" fontId="2" fillId="0" borderId="0" xfId="2" applyNumberFormat="1" applyFont="1" applyAlignment="1">
      <alignment vertical="top"/>
    </xf>
    <xf numFmtId="2" fontId="11" fillId="0" borderId="0" xfId="2" applyNumberFormat="1" applyFont="1" applyAlignment="1">
      <alignment vertical="top"/>
    </xf>
    <xf numFmtId="0" fontId="4" fillId="0" borderId="0" xfId="2" applyFont="1" applyAlignment="1">
      <alignment horizontal="center" vertical="center"/>
    </xf>
    <xf numFmtId="0" fontId="4" fillId="0" borderId="0" xfId="2" applyFont="1" applyAlignment="1">
      <alignment vertical="center"/>
    </xf>
    <xf numFmtId="0" fontId="3" fillId="0" borderId="0" xfId="2" applyFont="1" applyAlignment="1">
      <alignment vertical="center"/>
    </xf>
    <xf numFmtId="0" fontId="3" fillId="0" borderId="0" xfId="2" applyFont="1" applyAlignment="1">
      <alignment horizontal="center" vertical="center"/>
    </xf>
    <xf numFmtId="2" fontId="2" fillId="0" borderId="0" xfId="1" applyNumberFormat="1"/>
    <xf numFmtId="0" fontId="3" fillId="0" borderId="0" xfId="1" applyFont="1"/>
    <xf numFmtId="0" fontId="9" fillId="0" borderId="0" xfId="1" applyFont="1" applyAlignment="1">
      <alignment vertical="center" textRotation="90"/>
    </xf>
    <xf numFmtId="0" fontId="9" fillId="0" borderId="0" xfId="1" applyFont="1"/>
    <xf numFmtId="0" fontId="12" fillId="0" borderId="0" xfId="1" applyFont="1"/>
    <xf numFmtId="0" fontId="2" fillId="4" borderId="5" xfId="1" applyFill="1" applyBorder="1"/>
    <xf numFmtId="0" fontId="2" fillId="4" borderId="11" xfId="1" applyFill="1" applyBorder="1"/>
    <xf numFmtId="0" fontId="2" fillId="4" borderId="13" xfId="1" applyFill="1" applyBorder="1"/>
    <xf numFmtId="0" fontId="2" fillId="4" borderId="2" xfId="1" applyFill="1" applyBorder="1"/>
    <xf numFmtId="0" fontId="2" fillId="4" borderId="4" xfId="1" applyFill="1" applyBorder="1"/>
    <xf numFmtId="0" fontId="2" fillId="4" borderId="12" xfId="1" applyFill="1" applyBorder="1"/>
    <xf numFmtId="0" fontId="2" fillId="0" borderId="4" xfId="1" applyBorder="1"/>
    <xf numFmtId="0" fontId="2" fillId="0" borderId="5" xfId="1" applyBorder="1"/>
    <xf numFmtId="0" fontId="2" fillId="4" borderId="10" xfId="1" applyFill="1" applyBorder="1"/>
    <xf numFmtId="0" fontId="2" fillId="0" borderId="11" xfId="1" applyBorder="1"/>
    <xf numFmtId="0" fontId="2" fillId="0" borderId="13" xfId="1" applyBorder="1"/>
    <xf numFmtId="0" fontId="2" fillId="0" borderId="10" xfId="1" applyBorder="1"/>
    <xf numFmtId="0" fontId="2" fillId="0" borderId="7" xfId="1" applyBorder="1"/>
    <xf numFmtId="0" fontId="2" fillId="4" borderId="0" xfId="1" applyFill="1"/>
    <xf numFmtId="0" fontId="3" fillId="0" borderId="10" xfId="1" applyFont="1" applyBorder="1"/>
    <xf numFmtId="0" fontId="2" fillId="0" borderId="14" xfId="1" applyBorder="1"/>
    <xf numFmtId="0" fontId="3" fillId="0" borderId="0" xfId="1" applyFont="1" applyAlignment="1">
      <alignment vertical="center" textRotation="90"/>
    </xf>
    <xf numFmtId="0" fontId="9" fillId="0" borderId="5" xfId="1" applyFont="1" applyBorder="1" applyAlignment="1">
      <alignment vertical="center" textRotation="90"/>
    </xf>
    <xf numFmtId="0" fontId="2" fillId="0" borderId="12" xfId="1" applyBorder="1"/>
    <xf numFmtId="0" fontId="9" fillId="0" borderId="1" xfId="1" applyFont="1" applyBorder="1" applyAlignment="1">
      <alignment vertical="center" textRotation="90"/>
    </xf>
    <xf numFmtId="0" fontId="3" fillId="0" borderId="11" xfId="1" applyFont="1" applyBorder="1"/>
    <xf numFmtId="0" fontId="3" fillId="0" borderId="4" xfId="1" applyFont="1" applyBorder="1"/>
    <xf numFmtId="0" fontId="3" fillId="0" borderId="1" xfId="1" applyFont="1" applyBorder="1"/>
    <xf numFmtId="0" fontId="3" fillId="0" borderId="13" xfId="1" applyFont="1" applyBorder="1"/>
    <xf numFmtId="0" fontId="9" fillId="0" borderId="13" xfId="1" applyFont="1" applyBorder="1"/>
    <xf numFmtId="0" fontId="9" fillId="0" borderId="5" xfId="1" applyFont="1" applyBorder="1"/>
    <xf numFmtId="0" fontId="9" fillId="0" borderId="12" xfId="1" applyFont="1" applyBorder="1"/>
    <xf numFmtId="0" fontId="9" fillId="0" borderId="1" xfId="1" applyFont="1" applyBorder="1"/>
    <xf numFmtId="0" fontId="9" fillId="0" borderId="14" xfId="1" applyFont="1" applyBorder="1"/>
    <xf numFmtId="0" fontId="9" fillId="0" borderId="11" xfId="1" applyFont="1" applyBorder="1"/>
    <xf numFmtId="0" fontId="9" fillId="0" borderId="7" xfId="1" applyFont="1" applyBorder="1"/>
    <xf numFmtId="0" fontId="3" fillId="0" borderId="0" xfId="1" applyFont="1" applyAlignment="1">
      <alignment vertical="center"/>
    </xf>
    <xf numFmtId="2" fontId="9" fillId="0" borderId="0" xfId="1" applyNumberFormat="1" applyFont="1" applyAlignment="1">
      <alignment vertical="center"/>
    </xf>
    <xf numFmtId="0" fontId="2" fillId="0" borderId="46" xfId="1" applyBorder="1"/>
    <xf numFmtId="0" fontId="2" fillId="0" borderId="47" xfId="1" applyBorder="1"/>
    <xf numFmtId="0" fontId="5" fillId="0" borderId="0" xfId="1" applyFont="1" applyAlignment="1">
      <alignment horizontal="right"/>
    </xf>
    <xf numFmtId="0" fontId="2" fillId="0" borderId="50" xfId="1" applyBorder="1"/>
    <xf numFmtId="0" fontId="2" fillId="0" borderId="51" xfId="1" applyBorder="1"/>
    <xf numFmtId="1" fontId="5" fillId="0" borderId="4" xfId="1" applyNumberFormat="1" applyFont="1" applyBorder="1" applyAlignment="1">
      <alignment horizontal="center"/>
    </xf>
    <xf numFmtId="0" fontId="5" fillId="0" borderId="12" xfId="1" applyFont="1" applyBorder="1" applyAlignment="1">
      <alignment horizontal="center"/>
    </xf>
    <xf numFmtId="1" fontId="5" fillId="0" borderId="11" xfId="1" applyNumberFormat="1" applyFont="1" applyBorder="1" applyAlignment="1">
      <alignment horizontal="center"/>
    </xf>
    <xf numFmtId="0" fontId="5" fillId="0" borderId="13" xfId="1" applyFont="1" applyBorder="1" applyAlignment="1">
      <alignment horizontal="center"/>
    </xf>
    <xf numFmtId="2" fontId="5" fillId="0" borderId="13" xfId="1" applyNumberFormat="1" applyFont="1" applyBorder="1"/>
    <xf numFmtId="2" fontId="5" fillId="0" borderId="11" xfId="1" applyNumberFormat="1" applyFont="1" applyBorder="1" applyAlignment="1">
      <alignment horizontal="center"/>
    </xf>
    <xf numFmtId="0" fontId="5" fillId="0" borderId="0" xfId="1" applyFont="1" applyAlignment="1">
      <alignment horizontal="center"/>
    </xf>
    <xf numFmtId="0" fontId="2" fillId="0" borderId="10" xfId="1" applyBorder="1" applyAlignment="1">
      <alignment horizontal="center"/>
    </xf>
    <xf numFmtId="2" fontId="5" fillId="0" borderId="10" xfId="1" applyNumberFormat="1" applyFont="1" applyBorder="1"/>
    <xf numFmtId="2" fontId="5" fillId="0" borderId="11" xfId="1" applyNumberFormat="1" applyFont="1" applyBorder="1"/>
    <xf numFmtId="0" fontId="5" fillId="0" borderId="0" xfId="1" applyFont="1" applyAlignment="1">
      <alignment vertical="top"/>
    </xf>
    <xf numFmtId="0" fontId="5" fillId="0" borderId="10" xfId="1" applyFont="1" applyBorder="1" applyAlignment="1">
      <alignment horizontal="center"/>
    </xf>
    <xf numFmtId="2" fontId="2" fillId="0" borderId="11" xfId="1" applyNumberFormat="1" applyBorder="1"/>
    <xf numFmtId="0" fontId="5" fillId="0" borderId="0" xfId="1" applyFont="1" applyAlignment="1">
      <alignment horizontal="justify" vertical="top"/>
    </xf>
    <xf numFmtId="0" fontId="4" fillId="0" borderId="0" xfId="1" applyFont="1" applyAlignment="1">
      <alignment horizontal="center" vertical="top"/>
    </xf>
    <xf numFmtId="0" fontId="4" fillId="0" borderId="13" xfId="1" applyFont="1" applyBorder="1" applyAlignment="1">
      <alignment horizontal="justify" vertical="top"/>
    </xf>
    <xf numFmtId="0" fontId="2" fillId="0" borderId="6" xfId="1" applyBorder="1"/>
    <xf numFmtId="2" fontId="27" fillId="0" borderId="7" xfId="1" applyNumberFormat="1" applyFont="1" applyBorder="1" applyAlignment="1">
      <alignment horizontal="center"/>
    </xf>
    <xf numFmtId="2" fontId="5" fillId="0" borderId="6" xfId="1" applyNumberFormat="1" applyFont="1" applyBorder="1"/>
    <xf numFmtId="0" fontId="5" fillId="0" borderId="4" xfId="1" applyFont="1" applyBorder="1" applyAlignment="1">
      <alignment horizontal="center"/>
    </xf>
    <xf numFmtId="0" fontId="5" fillId="0" borderId="5" xfId="1" applyFont="1" applyBorder="1" applyAlignment="1">
      <alignment horizontal="center"/>
    </xf>
    <xf numFmtId="0" fontId="5" fillId="0" borderId="2" xfId="1" applyFont="1" applyBorder="1" applyAlignment="1">
      <alignment horizontal="center"/>
    </xf>
    <xf numFmtId="0" fontId="27" fillId="0" borderId="4" xfId="1" applyFont="1" applyBorder="1" applyAlignment="1">
      <alignment horizontal="center"/>
    </xf>
    <xf numFmtId="2" fontId="5" fillId="0" borderId="4" xfId="1" applyNumberFormat="1" applyFont="1" applyBorder="1" applyAlignment="1">
      <alignment horizontal="right"/>
    </xf>
    <xf numFmtId="0" fontId="5" fillId="0" borderId="11" xfId="1" applyFont="1" applyBorder="1" applyAlignment="1">
      <alignment horizontal="center"/>
    </xf>
    <xf numFmtId="0" fontId="27" fillId="0" borderId="11" xfId="1" applyFont="1" applyBorder="1" applyAlignment="1">
      <alignment horizontal="center"/>
    </xf>
    <xf numFmtId="2" fontId="5" fillId="0" borderId="11" xfId="1" applyNumberFormat="1" applyFont="1" applyBorder="1" applyAlignment="1">
      <alignment horizontal="right"/>
    </xf>
    <xf numFmtId="0" fontId="5" fillId="0" borderId="6" xfId="1" applyFont="1" applyBorder="1" applyAlignment="1">
      <alignment horizontal="center"/>
    </xf>
    <xf numFmtId="0" fontId="5" fillId="0" borderId="1" xfId="1" applyFont="1" applyBorder="1" applyAlignment="1">
      <alignment horizontal="center"/>
    </xf>
    <xf numFmtId="0" fontId="5" fillId="0" borderId="7" xfId="1" applyFont="1" applyBorder="1" applyAlignment="1">
      <alignment horizontal="center"/>
    </xf>
    <xf numFmtId="0" fontId="27" fillId="0" borderId="7" xfId="1" applyFont="1" applyBorder="1" applyAlignment="1">
      <alignment horizontal="center"/>
    </xf>
    <xf numFmtId="2" fontId="5" fillId="0" borderId="7" xfId="1" applyNumberFormat="1" applyFont="1" applyBorder="1" applyAlignment="1">
      <alignment horizontal="right"/>
    </xf>
    <xf numFmtId="0" fontId="7" fillId="0" borderId="11" xfId="2" applyBorder="1"/>
    <xf numFmtId="0" fontId="2" fillId="0" borderId="3" xfId="1" applyBorder="1" applyAlignment="1">
      <alignment horizontal="center"/>
    </xf>
    <xf numFmtId="0" fontId="2" fillId="0" borderId="9" xfId="1" applyBorder="1"/>
    <xf numFmtId="0" fontId="5" fillId="0" borderId="0" xfId="1" applyFont="1"/>
    <xf numFmtId="0" fontId="11" fillId="0" borderId="3" xfId="2" applyFont="1" applyBorder="1"/>
    <xf numFmtId="0" fontId="26" fillId="0" borderId="0" xfId="1" applyFont="1" applyAlignment="1">
      <alignment horizontal="center"/>
    </xf>
    <xf numFmtId="0" fontId="26" fillId="0" borderId="0" xfId="1" applyFont="1"/>
    <xf numFmtId="0" fontId="11" fillId="0" borderId="0" xfId="1" applyFont="1" applyAlignment="1">
      <alignment horizontal="center"/>
    </xf>
    <xf numFmtId="0" fontId="5" fillId="0" borderId="14" xfId="1" applyFont="1" applyBorder="1" applyAlignment="1">
      <alignment horizontal="center"/>
    </xf>
    <xf numFmtId="0" fontId="2" fillId="0" borderId="2" xfId="1" applyBorder="1"/>
    <xf numFmtId="2" fontId="5" fillId="0" borderId="3" xfId="1" applyNumberFormat="1" applyFont="1" applyBorder="1" applyAlignment="1">
      <alignment horizontal="center"/>
    </xf>
    <xf numFmtId="2" fontId="5" fillId="3" borderId="3" xfId="1" applyNumberFormat="1" applyFont="1" applyFill="1" applyBorder="1" applyAlignment="1">
      <alignment horizontal="center"/>
    </xf>
    <xf numFmtId="0" fontId="5" fillId="0" borderId="3" xfId="1" applyFont="1" applyBorder="1" applyAlignment="1">
      <alignment horizontal="center" vertical="top"/>
    </xf>
    <xf numFmtId="0" fontId="2" fillId="0" borderId="3" xfId="1" applyBorder="1" applyAlignment="1">
      <alignment vertical="top"/>
    </xf>
    <xf numFmtId="0" fontId="2" fillId="0" borderId="3" xfId="1" applyBorder="1" applyAlignment="1">
      <alignment horizontal="center" wrapText="1"/>
    </xf>
    <xf numFmtId="0" fontId="2" fillId="0" borderId="3" xfId="1" applyBorder="1" applyAlignment="1">
      <alignment horizontal="center" vertical="top"/>
    </xf>
    <xf numFmtId="2" fontId="5" fillId="0" borderId="3" xfId="1" applyNumberFormat="1" applyFont="1" applyBorder="1" applyAlignment="1">
      <alignment horizontal="center" vertical="top"/>
    </xf>
    <xf numFmtId="2" fontId="5" fillId="3" borderId="3" xfId="1" applyNumberFormat="1" applyFont="1" applyFill="1" applyBorder="1" applyAlignment="1">
      <alignment horizontal="center" vertical="top"/>
    </xf>
    <xf numFmtId="0" fontId="5" fillId="0" borderId="2" xfId="1" applyFont="1" applyBorder="1" applyAlignment="1">
      <alignment horizontal="center" vertical="top"/>
    </xf>
    <xf numFmtId="0" fontId="2" fillId="0" borderId="2" xfId="1" applyBorder="1" applyAlignment="1">
      <alignment horizontal="justify" vertical="top" wrapText="1"/>
    </xf>
    <xf numFmtId="0" fontId="2" fillId="0" borderId="12" xfId="1" applyBorder="1" applyAlignment="1">
      <alignment vertical="top"/>
    </xf>
    <xf numFmtId="0" fontId="2" fillId="0" borderId="9" xfId="1" applyBorder="1" applyAlignment="1">
      <alignment horizontal="center" wrapText="1"/>
    </xf>
    <xf numFmtId="0" fontId="2" fillId="0" borderId="9" xfId="1" applyBorder="1" applyAlignment="1">
      <alignment horizontal="center"/>
    </xf>
    <xf numFmtId="0" fontId="5" fillId="0" borderId="6" xfId="1" applyFont="1" applyBorder="1" applyAlignment="1">
      <alignment horizontal="center" vertical="top"/>
    </xf>
    <xf numFmtId="0" fontId="2" fillId="0" borderId="3" xfId="1" applyBorder="1" applyAlignment="1">
      <alignment horizontal="center" vertical="top" wrapText="1"/>
    </xf>
    <xf numFmtId="0" fontId="2" fillId="0" borderId="2" xfId="1" applyBorder="1" applyAlignment="1">
      <alignment horizontal="center" wrapText="1"/>
    </xf>
    <xf numFmtId="0" fontId="2" fillId="0" borderId="2" xfId="1" applyBorder="1" applyAlignment="1">
      <alignment horizontal="center" vertical="top"/>
    </xf>
    <xf numFmtId="0" fontId="5" fillId="0" borderId="10" xfId="1" applyFont="1" applyBorder="1" applyAlignment="1">
      <alignment horizontal="center" vertical="top"/>
    </xf>
    <xf numFmtId="0" fontId="2" fillId="0" borderId="13" xfId="1" applyBorder="1" applyAlignment="1">
      <alignment vertical="top"/>
    </xf>
    <xf numFmtId="0" fontId="2" fillId="0" borderId="14" xfId="1" applyBorder="1" applyAlignment="1">
      <alignment vertical="top"/>
    </xf>
    <xf numFmtId="0" fontId="2" fillId="0" borderId="6" xfId="1" applyBorder="1" applyAlignment="1">
      <alignment horizontal="center"/>
    </xf>
    <xf numFmtId="0" fontId="28" fillId="0" borderId="0" xfId="1" applyFont="1"/>
    <xf numFmtId="0" fontId="29" fillId="0" borderId="3" xfId="1" applyFont="1" applyBorder="1" applyAlignment="1">
      <alignment vertical="center"/>
    </xf>
    <xf numFmtId="0" fontId="29" fillId="0" borderId="3" xfId="1" applyFont="1" applyBorder="1" applyAlignment="1">
      <alignment horizontal="center" vertical="center" wrapText="1"/>
    </xf>
    <xf numFmtId="0" fontId="29" fillId="0" borderId="3" xfId="1" applyFont="1" applyBorder="1" applyAlignment="1">
      <alignment horizontal="center" vertical="center"/>
    </xf>
    <xf numFmtId="176" fontId="29" fillId="0" borderId="3" xfId="1" applyNumberFormat="1" applyFont="1" applyBorder="1" applyAlignment="1">
      <alignment horizontal="center" vertical="center" wrapText="1"/>
    </xf>
    <xf numFmtId="176" fontId="29" fillId="6" borderId="3" xfId="1" applyNumberFormat="1" applyFont="1" applyFill="1" applyBorder="1" applyAlignment="1">
      <alignment horizontal="center" vertical="center" wrapText="1"/>
    </xf>
    <xf numFmtId="176" fontId="29" fillId="3" borderId="3" xfId="1" applyNumberFormat="1" applyFont="1" applyFill="1" applyBorder="1" applyAlignment="1">
      <alignment horizontal="center" vertical="center" wrapText="1"/>
    </xf>
    <xf numFmtId="0" fontId="28" fillId="0" borderId="3" xfId="1" applyFont="1" applyBorder="1"/>
    <xf numFmtId="176" fontId="29" fillId="7" borderId="3" xfId="1" applyNumberFormat="1" applyFont="1" applyFill="1" applyBorder="1" applyAlignment="1">
      <alignment horizontal="center" vertical="center" wrapText="1"/>
    </xf>
    <xf numFmtId="0" fontId="28" fillId="0" borderId="8" xfId="1" applyFont="1" applyBorder="1"/>
    <xf numFmtId="0" fontId="11" fillId="0" borderId="3" xfId="2" applyFont="1" applyBorder="1" applyAlignment="1">
      <alignment horizontal="center" vertical="center" wrapText="1"/>
    </xf>
    <xf numFmtId="0" fontId="29" fillId="0" borderId="6" xfId="1" applyFont="1" applyBorder="1" applyAlignment="1">
      <alignment horizontal="center" vertical="top"/>
    </xf>
    <xf numFmtId="0" fontId="29" fillId="0" borderId="6" xfId="1" applyFont="1" applyBorder="1" applyAlignment="1">
      <alignment horizontal="justify" vertical="top" wrapText="1"/>
    </xf>
    <xf numFmtId="176" fontId="29" fillId="0" borderId="6" xfId="1" applyNumberFormat="1" applyFont="1" applyBorder="1"/>
    <xf numFmtId="176" fontId="29" fillId="0" borderId="10" xfId="1" applyNumberFormat="1" applyFont="1" applyBorder="1"/>
    <xf numFmtId="176" fontId="29" fillId="7" borderId="10" xfId="1" applyNumberFormat="1" applyFont="1" applyFill="1" applyBorder="1"/>
    <xf numFmtId="0" fontId="29" fillId="0" borderId="3" xfId="1" applyFont="1" applyBorder="1"/>
    <xf numFmtId="0" fontId="29" fillId="0" borderId="3" xfId="2" applyFont="1" applyBorder="1"/>
    <xf numFmtId="0" fontId="29" fillId="0" borderId="3" xfId="1" applyFont="1" applyBorder="1" applyAlignment="1">
      <alignment horizontal="center" vertical="top"/>
    </xf>
    <xf numFmtId="0" fontId="28" fillId="0" borderId="3" xfId="1" applyFont="1" applyBorder="1" applyAlignment="1">
      <alignment horizontal="justify" vertical="top" wrapText="1"/>
    </xf>
    <xf numFmtId="176" fontId="29" fillId="0" borderId="3" xfId="1" applyNumberFormat="1" applyFont="1" applyBorder="1"/>
    <xf numFmtId="176" fontId="29" fillId="0" borderId="9" xfId="1" applyNumberFormat="1" applyFont="1" applyBorder="1"/>
    <xf numFmtId="176" fontId="29" fillId="3" borderId="3" xfId="1" applyNumberFormat="1" applyFont="1" applyFill="1" applyBorder="1"/>
    <xf numFmtId="176" fontId="29" fillId="7" borderId="3" xfId="1" applyNumberFormat="1" applyFont="1" applyFill="1" applyBorder="1"/>
    <xf numFmtId="0" fontId="29" fillId="0" borderId="3" xfId="1" applyFont="1" applyBorder="1" applyAlignment="1">
      <alignment horizontal="justify" vertical="top" wrapText="1"/>
    </xf>
    <xf numFmtId="176" fontId="29" fillId="7" borderId="6" xfId="1" applyNumberFormat="1" applyFont="1" applyFill="1" applyBorder="1"/>
    <xf numFmtId="0" fontId="29" fillId="0" borderId="3" xfId="1" applyFont="1" applyBorder="1" applyAlignment="1">
      <alignment horizontal="right"/>
    </xf>
    <xf numFmtId="0" fontId="28" fillId="0" borderId="3" xfId="1" applyFont="1" applyBorder="1" applyAlignment="1">
      <alignment wrapText="1"/>
    </xf>
    <xf numFmtId="0" fontId="28" fillId="0" borderId="3" xfId="1" applyFont="1" applyBorder="1" applyAlignment="1">
      <alignment horizontal="justify" wrapText="1"/>
    </xf>
    <xf numFmtId="0" fontId="29" fillId="0" borderId="3" xfId="1" applyFont="1" applyBorder="1" applyAlignment="1">
      <alignment horizontal="justify" wrapText="1"/>
    </xf>
    <xf numFmtId="49" fontId="29" fillId="0" borderId="3" xfId="2" applyNumberFormat="1" applyFont="1" applyBorder="1"/>
    <xf numFmtId="0" fontId="29" fillId="0" borderId="3" xfId="1" applyFont="1" applyBorder="1" applyAlignment="1">
      <alignment horizontal="right" vertical="top"/>
    </xf>
    <xf numFmtId="0" fontId="29" fillId="0" borderId="3" xfId="1" applyFont="1" applyBorder="1" applyAlignment="1">
      <alignment horizontal="center"/>
    </xf>
    <xf numFmtId="0" fontId="28" fillId="0" borderId="3" xfId="1" applyFont="1" applyBorder="1" applyAlignment="1">
      <alignment vertical="top" wrapText="1"/>
    </xf>
    <xf numFmtId="0" fontId="29" fillId="0" borderId="3" xfId="1" applyFont="1" applyBorder="1" applyAlignment="1">
      <alignment wrapText="1"/>
    </xf>
    <xf numFmtId="0" fontId="28" fillId="0" borderId="3" xfId="1" applyFont="1" applyBorder="1" applyAlignment="1">
      <alignment horizontal="justify" vertical="center" wrapText="1"/>
    </xf>
    <xf numFmtId="0" fontId="29" fillId="0" borderId="3" xfId="1" applyFont="1" applyBorder="1" applyAlignment="1">
      <alignment vertical="center" wrapText="1"/>
    </xf>
    <xf numFmtId="176" fontId="30" fillId="0" borderId="3" xfId="1" applyNumberFormat="1" applyFont="1" applyBorder="1"/>
    <xf numFmtId="176" fontId="30" fillId="7" borderId="3" xfId="1" applyNumberFormat="1" applyFont="1" applyFill="1" applyBorder="1"/>
    <xf numFmtId="0" fontId="28" fillId="0" borderId="3" xfId="1" quotePrefix="1" applyFont="1" applyBorder="1" applyAlignment="1">
      <alignment wrapText="1"/>
    </xf>
    <xf numFmtId="0" fontId="29" fillId="0" borderId="3" xfId="1" applyFont="1" applyBorder="1" applyAlignment="1">
      <alignment vertical="top"/>
    </xf>
    <xf numFmtId="49" fontId="29" fillId="0" borderId="3" xfId="1" applyNumberFormat="1" applyFont="1" applyBorder="1" applyAlignment="1">
      <alignment horizontal="right"/>
    </xf>
    <xf numFmtId="176" fontId="29" fillId="7" borderId="0" xfId="1" applyNumberFormat="1" applyFont="1" applyFill="1"/>
    <xf numFmtId="176" fontId="29" fillId="0" borderId="0" xfId="1" applyNumberFormat="1" applyFont="1"/>
    <xf numFmtId="0" fontId="33" fillId="0" borderId="9" xfId="1" applyFont="1" applyBorder="1" applyAlignment="1">
      <alignment wrapText="1"/>
    </xf>
    <xf numFmtId="0" fontId="33" fillId="7" borderId="0" xfId="1" applyFont="1" applyFill="1" applyAlignment="1">
      <alignment horizontal="center"/>
    </xf>
    <xf numFmtId="0" fontId="32" fillId="0" borderId="3" xfId="1" applyFont="1" applyBorder="1" applyAlignment="1">
      <alignment horizontal="center" wrapText="1"/>
    </xf>
    <xf numFmtId="0" fontId="29" fillId="0" borderId="0" xfId="1" applyFont="1"/>
    <xf numFmtId="0" fontId="29" fillId="0" borderId="2" xfId="1" applyFont="1" applyBorder="1"/>
    <xf numFmtId="0" fontId="28" fillId="0" borderId="2" xfId="1" applyFont="1" applyBorder="1" applyAlignment="1">
      <alignment wrapText="1"/>
    </xf>
    <xf numFmtId="176" fontId="29" fillId="0" borderId="2" xfId="1" applyNumberFormat="1" applyFont="1" applyBorder="1"/>
    <xf numFmtId="176" fontId="29" fillId="7" borderId="2" xfId="1" applyNumberFormat="1" applyFont="1" applyFill="1" applyBorder="1"/>
    <xf numFmtId="0" fontId="28" fillId="0" borderId="0" xfId="1" applyFont="1" applyAlignment="1">
      <alignment wrapText="1"/>
    </xf>
    <xf numFmtId="0" fontId="21" fillId="0" borderId="2" xfId="1" applyFont="1" applyBorder="1" applyAlignment="1">
      <alignment horizontal="center"/>
    </xf>
    <xf numFmtId="0" fontId="21" fillId="0" borderId="10" xfId="1" applyFont="1" applyBorder="1" applyAlignment="1">
      <alignment horizontal="center"/>
    </xf>
    <xf numFmtId="0" fontId="21" fillId="0" borderId="6" xfId="1" applyFont="1" applyBorder="1" applyAlignment="1">
      <alignment horizontal="center"/>
    </xf>
    <xf numFmtId="0" fontId="14" fillId="0" borderId="2" xfId="1" applyFont="1" applyBorder="1"/>
    <xf numFmtId="0" fontId="14" fillId="0" borderId="5" xfId="1" applyFont="1" applyBorder="1"/>
    <xf numFmtId="0" fontId="14" fillId="0" borderId="6" xfId="1" applyFont="1" applyBorder="1"/>
    <xf numFmtId="0" fontId="14" fillId="0" borderId="1" xfId="1" applyFont="1" applyBorder="1"/>
    <xf numFmtId="0" fontId="11" fillId="0" borderId="3" xfId="1" applyFont="1" applyBorder="1" applyAlignment="1">
      <alignment horizontal="center"/>
    </xf>
    <xf numFmtId="0" fontId="14" fillId="0" borderId="3" xfId="1" applyFont="1" applyBorder="1" applyAlignment="1">
      <alignment horizontal="justify" vertical="top" wrapText="1"/>
    </xf>
    <xf numFmtId="2" fontId="11" fillId="0" borderId="3" xfId="1" applyNumberFormat="1" applyFont="1" applyBorder="1" applyAlignment="1">
      <alignment horizontal="center"/>
    </xf>
    <xf numFmtId="2" fontId="14" fillId="0" borderId="0" xfId="1" applyNumberFormat="1" applyFont="1"/>
    <xf numFmtId="0" fontId="11" fillId="0" borderId="2" xfId="1" applyFont="1" applyBorder="1" applyAlignment="1">
      <alignment horizontal="center"/>
    </xf>
    <xf numFmtId="0" fontId="11" fillId="0" borderId="6" xfId="1" applyFont="1" applyBorder="1" applyAlignment="1">
      <alignment horizontal="center"/>
    </xf>
    <xf numFmtId="0" fontId="21" fillId="0" borderId="0" xfId="1" applyFont="1" applyAlignment="1">
      <alignment horizontal="left"/>
    </xf>
    <xf numFmtId="0" fontId="11" fillId="0" borderId="10" xfId="1" applyFont="1" applyBorder="1" applyAlignment="1">
      <alignment horizontal="center"/>
    </xf>
    <xf numFmtId="0" fontId="11" fillId="0" borderId="6" xfId="1" applyFont="1" applyBorder="1"/>
    <xf numFmtId="0" fontId="11" fillId="0" borderId="0" xfId="1" applyFont="1" applyAlignment="1">
      <alignment vertical="top"/>
    </xf>
    <xf numFmtId="0" fontId="14" fillId="0" borderId="0" xfId="1" applyFont="1" applyAlignment="1">
      <alignment vertical="top" wrapText="1"/>
    </xf>
    <xf numFmtId="0" fontId="14" fillId="0" borderId="0" xfId="1" applyFont="1" applyAlignment="1">
      <alignment vertical="top"/>
    </xf>
    <xf numFmtId="0" fontId="21" fillId="0" borderId="0" xfId="1" applyFont="1" applyAlignment="1">
      <alignment vertical="top" wrapText="1"/>
    </xf>
    <xf numFmtId="0" fontId="14" fillId="0" borderId="8" xfId="1" applyFont="1" applyBorder="1"/>
    <xf numFmtId="0" fontId="14" fillId="0" borderId="15" xfId="1" applyFont="1" applyBorder="1"/>
    <xf numFmtId="0" fontId="14" fillId="0" borderId="9" xfId="1" applyFont="1" applyBorder="1"/>
    <xf numFmtId="0" fontId="14" fillId="0" borderId="3" xfId="1" applyFont="1" applyBorder="1"/>
    <xf numFmtId="2" fontId="11" fillId="0" borderId="3" xfId="1" applyNumberFormat="1" applyFont="1" applyBorder="1" applyAlignment="1">
      <alignment horizontal="center" vertical="center"/>
    </xf>
    <xf numFmtId="0" fontId="14" fillId="0" borderId="3" xfId="1" applyFont="1" applyBorder="1" applyAlignment="1">
      <alignment horizontal="center"/>
    </xf>
    <xf numFmtId="0" fontId="11" fillId="0" borderId="3" xfId="1" applyFont="1" applyBorder="1" applyAlignment="1">
      <alignment wrapText="1"/>
    </xf>
    <xf numFmtId="0" fontId="14" fillId="0" borderId="3" xfId="1" applyFont="1" applyBorder="1" applyAlignment="1">
      <alignment wrapText="1"/>
    </xf>
    <xf numFmtId="0" fontId="11" fillId="0" borderId="3" xfId="1" applyFont="1" applyBorder="1"/>
    <xf numFmtId="0" fontId="14" fillId="0" borderId="3" xfId="1" applyFont="1" applyBorder="1" applyAlignment="1">
      <alignment horizontal="justify" wrapText="1"/>
    </xf>
    <xf numFmtId="0" fontId="14" fillId="0" borderId="4" xfId="1" applyFont="1" applyBorder="1"/>
    <xf numFmtId="0" fontId="14" fillId="0" borderId="12" xfId="1" applyFont="1" applyBorder="1"/>
    <xf numFmtId="0" fontId="11" fillId="0" borderId="12" xfId="1" applyFont="1" applyBorder="1" applyAlignment="1">
      <alignment horizontal="center"/>
    </xf>
    <xf numFmtId="0" fontId="14" fillId="0" borderId="2" xfId="1" applyFont="1" applyBorder="1" applyAlignment="1">
      <alignment horizontal="center"/>
    </xf>
    <xf numFmtId="0" fontId="14" fillId="0" borderId="12" xfId="1" applyFont="1" applyBorder="1" applyAlignment="1">
      <alignment horizontal="center"/>
    </xf>
    <xf numFmtId="0" fontId="21" fillId="0" borderId="11" xfId="1" applyFont="1" applyBorder="1" applyAlignment="1">
      <alignment horizontal="left"/>
    </xf>
    <xf numFmtId="0" fontId="14" fillId="0" borderId="13" xfId="1" applyFont="1" applyBorder="1"/>
    <xf numFmtId="0" fontId="14" fillId="0" borderId="10" xfId="1" applyFont="1" applyBorder="1" applyAlignment="1">
      <alignment horizontal="center"/>
    </xf>
    <xf numFmtId="0" fontId="21" fillId="0" borderId="7" xfId="1" applyFont="1" applyBorder="1" applyAlignment="1">
      <alignment horizontal="left"/>
    </xf>
    <xf numFmtId="0" fontId="14" fillId="0" borderId="14" xfId="1" applyFont="1" applyBorder="1"/>
    <xf numFmtId="0" fontId="14" fillId="0" borderId="6" xfId="1" applyFont="1" applyBorder="1" applyAlignment="1">
      <alignment horizontal="center"/>
    </xf>
    <xf numFmtId="0" fontId="14" fillId="0" borderId="11" xfId="1" applyFont="1" applyBorder="1"/>
    <xf numFmtId="0" fontId="14" fillId="0" borderId="7" xfId="1" applyFont="1" applyBorder="1"/>
    <xf numFmtId="0" fontId="11" fillId="0" borderId="3" xfId="1" applyFont="1" applyBorder="1" applyAlignment="1">
      <alignment horizontal="center" vertical="center"/>
    </xf>
    <xf numFmtId="0" fontId="11" fillId="0" borderId="2" xfId="1" applyFont="1" applyBorder="1" applyAlignment="1">
      <alignment horizontal="center" vertical="center"/>
    </xf>
    <xf numFmtId="2" fontId="11" fillId="0" borderId="2" xfId="1" applyNumberFormat="1" applyFont="1" applyBorder="1" applyAlignment="1">
      <alignment horizontal="center" vertical="center"/>
    </xf>
    <xf numFmtId="0" fontId="6" fillId="0" borderId="3" xfId="1" applyFont="1" applyBorder="1" applyAlignment="1">
      <alignment horizontal="center" vertical="top" wrapText="1"/>
    </xf>
    <xf numFmtId="2" fontId="6" fillId="0" borderId="3" xfId="1" applyNumberFormat="1" applyFont="1" applyBorder="1" applyAlignment="1">
      <alignment horizontal="center" vertical="top" wrapText="1"/>
    </xf>
    <xf numFmtId="2" fontId="6" fillId="0" borderId="2" xfId="1" applyNumberFormat="1" applyFont="1" applyBorder="1" applyAlignment="1">
      <alignment horizontal="center" vertical="top" wrapText="1"/>
    </xf>
    <xf numFmtId="2" fontId="11" fillId="0" borderId="4" xfId="1" applyNumberFormat="1" applyFont="1" applyBorder="1" applyAlignment="1">
      <alignment vertical="top" wrapText="1"/>
    </xf>
    <xf numFmtId="2" fontId="11" fillId="0" borderId="5" xfId="1" applyNumberFormat="1" applyFont="1" applyBorder="1" applyAlignment="1">
      <alignment vertical="top" wrapText="1"/>
    </xf>
    <xf numFmtId="2" fontId="11" fillId="0" borderId="12" xfId="1" applyNumberFormat="1" applyFont="1" applyBorder="1" applyAlignment="1">
      <alignment vertical="top" wrapText="1"/>
    </xf>
    <xf numFmtId="2" fontId="6" fillId="0" borderId="10" xfId="1" applyNumberFormat="1" applyFont="1" applyBorder="1" applyAlignment="1">
      <alignment horizontal="center" vertical="top" wrapText="1"/>
    </xf>
    <xf numFmtId="2" fontId="6" fillId="0" borderId="6" xfId="1" applyNumberFormat="1" applyFont="1" applyBorder="1" applyAlignment="1">
      <alignment horizontal="center" vertical="top" wrapText="1"/>
    </xf>
    <xf numFmtId="2" fontId="11" fillId="0" borderId="7" xfId="1" applyNumberFormat="1" applyFont="1" applyBorder="1" applyAlignment="1">
      <alignment vertical="top" wrapText="1"/>
    </xf>
    <xf numFmtId="2" fontId="11" fillId="0" borderId="1" xfId="1" applyNumberFormat="1" applyFont="1" applyBorder="1" applyAlignment="1">
      <alignment vertical="top" wrapText="1"/>
    </xf>
    <xf numFmtId="2" fontId="11" fillId="0" borderId="14" xfId="1" applyNumberFormat="1" applyFont="1" applyBorder="1" applyAlignment="1">
      <alignment vertical="top" wrapText="1"/>
    </xf>
    <xf numFmtId="2" fontId="11" fillId="0" borderId="6" xfId="1" applyNumberFormat="1" applyFont="1" applyBorder="1" applyAlignment="1">
      <alignment horizontal="center"/>
    </xf>
    <xf numFmtId="2" fontId="11" fillId="0" borderId="7" xfId="1" applyNumberFormat="1" applyFont="1" applyBorder="1"/>
    <xf numFmtId="2" fontId="11" fillId="0" borderId="1" xfId="1" applyNumberFormat="1" applyFont="1" applyBorder="1"/>
    <xf numFmtId="2" fontId="11" fillId="0" borderId="14" xfId="1" applyNumberFormat="1" applyFont="1" applyBorder="1"/>
    <xf numFmtId="0" fontId="2" fillId="0" borderId="8" xfId="1" applyBorder="1"/>
    <xf numFmtId="0" fontId="2" fillId="0" borderId="15" xfId="1" applyBorder="1"/>
    <xf numFmtId="0" fontId="2" fillId="0" borderId="61" xfId="1" applyBorder="1"/>
    <xf numFmtId="0" fontId="2" fillId="0" borderId="62" xfId="1" applyBorder="1"/>
    <xf numFmtId="0" fontId="2" fillId="0" borderId="63" xfId="1" applyBorder="1"/>
    <xf numFmtId="0" fontId="2" fillId="0" borderId="64" xfId="1" applyBorder="1"/>
    <xf numFmtId="0" fontId="2" fillId="0" borderId="65" xfId="1" applyBorder="1"/>
    <xf numFmtId="0" fontId="2" fillId="0" borderId="66" xfId="1" applyBorder="1"/>
    <xf numFmtId="0" fontId="2" fillId="0" borderId="67" xfId="1" applyBorder="1"/>
    <xf numFmtId="0" fontId="2" fillId="0" borderId="68" xfId="1" applyBorder="1"/>
    <xf numFmtId="0" fontId="2" fillId="0" borderId="69" xfId="1" applyBorder="1"/>
    <xf numFmtId="0" fontId="2" fillId="4" borderId="7" xfId="1" applyFill="1" applyBorder="1"/>
    <xf numFmtId="0" fontId="2" fillId="4" borderId="14" xfId="1" applyFill="1" applyBorder="1"/>
    <xf numFmtId="0" fontId="2" fillId="0" borderId="70" xfId="1" applyBorder="1"/>
    <xf numFmtId="0" fontId="2" fillId="0" borderId="71" xfId="1" applyBorder="1"/>
    <xf numFmtId="0" fontId="2" fillId="0" borderId="72" xfId="1" applyBorder="1"/>
    <xf numFmtId="0" fontId="2" fillId="0" borderId="73" xfId="1" applyBorder="1"/>
    <xf numFmtId="0" fontId="2" fillId="0" borderId="74" xfId="1" applyBorder="1"/>
    <xf numFmtId="0" fontId="2" fillId="0" borderId="75" xfId="1" applyBorder="1"/>
    <xf numFmtId="0" fontId="2" fillId="0" borderId="76" xfId="1" applyBorder="1"/>
    <xf numFmtId="0" fontId="2" fillId="0" borderId="77" xfId="1" applyBorder="1"/>
    <xf numFmtId="0" fontId="2" fillId="0" borderId="78" xfId="1" applyBorder="1"/>
    <xf numFmtId="0" fontId="2" fillId="0" borderId="79" xfId="1" applyBorder="1"/>
    <xf numFmtId="0" fontId="9" fillId="0" borderId="65" xfId="1" applyFont="1" applyBorder="1"/>
    <xf numFmtId="0" fontId="2" fillId="0" borderId="80" xfId="1" applyBorder="1"/>
    <xf numFmtId="0" fontId="12" fillId="0" borderId="11" xfId="1" applyFont="1" applyBorder="1"/>
    <xf numFmtId="0" fontId="11" fillId="0" borderId="3" xfId="2" applyFont="1" applyBorder="1" applyAlignment="1">
      <alignment horizontal="center"/>
    </xf>
    <xf numFmtId="0" fontId="11" fillId="0" borderId="3" xfId="2" applyFont="1" applyBorder="1" applyAlignment="1">
      <alignment horizontal="center" vertical="center"/>
    </xf>
    <xf numFmtId="0" fontId="11" fillId="0" borderId="0" xfId="2" applyFont="1" applyAlignment="1">
      <alignment horizontal="center"/>
    </xf>
    <xf numFmtId="0" fontId="29" fillId="0" borderId="6" xfId="1" applyFont="1" applyBorder="1" applyAlignment="1">
      <alignment horizontal="center"/>
    </xf>
    <xf numFmtId="176" fontId="29" fillId="0" borderId="10" xfId="1" applyNumberFormat="1" applyFont="1" applyBorder="1" applyAlignment="1">
      <alignment horizontal="center"/>
    </xf>
    <xf numFmtId="176" fontId="29" fillId="6" borderId="10" xfId="1" applyNumberFormat="1" applyFont="1" applyFill="1" applyBorder="1" applyAlignment="1">
      <alignment horizontal="center"/>
    </xf>
    <xf numFmtId="176" fontId="29" fillId="0" borderId="6" xfId="1" applyNumberFormat="1" applyFont="1" applyBorder="1" applyAlignment="1">
      <alignment horizontal="center"/>
    </xf>
    <xf numFmtId="176" fontId="29" fillId="3" borderId="10" xfId="1" applyNumberFormat="1" applyFont="1" applyFill="1" applyBorder="1" applyAlignment="1">
      <alignment horizontal="center"/>
    </xf>
    <xf numFmtId="0" fontId="29" fillId="0" borderId="8" xfId="1" applyFont="1" applyBorder="1" applyAlignment="1">
      <alignment horizontal="center"/>
    </xf>
    <xf numFmtId="176" fontId="29" fillId="0" borderId="3" xfId="1" applyNumberFormat="1" applyFont="1" applyBorder="1" applyAlignment="1">
      <alignment horizontal="center"/>
    </xf>
    <xf numFmtId="176" fontId="29" fillId="6" borderId="3" xfId="1" applyNumberFormat="1" applyFont="1" applyFill="1" applyBorder="1" applyAlignment="1">
      <alignment horizontal="center"/>
    </xf>
    <xf numFmtId="176" fontId="29" fillId="0" borderId="9" xfId="1" applyNumberFormat="1" applyFont="1" applyBorder="1" applyAlignment="1">
      <alignment horizontal="center"/>
    </xf>
    <xf numFmtId="176" fontId="29" fillId="3" borderId="3" xfId="1" applyNumberFormat="1" applyFont="1" applyFill="1" applyBorder="1" applyAlignment="1">
      <alignment horizontal="center"/>
    </xf>
    <xf numFmtId="176" fontId="29" fillId="6" borderId="6" xfId="1" applyNumberFormat="1" applyFont="1" applyFill="1" applyBorder="1" applyAlignment="1">
      <alignment horizontal="center"/>
    </xf>
    <xf numFmtId="176" fontId="29" fillId="3" borderId="6" xfId="1" applyNumberFormat="1" applyFont="1" applyFill="1" applyBorder="1" applyAlignment="1">
      <alignment horizontal="center"/>
    </xf>
    <xf numFmtId="176" fontId="30" fillId="0" borderId="3" xfId="1" applyNumberFormat="1" applyFont="1" applyBorder="1" applyAlignment="1">
      <alignment horizontal="center"/>
    </xf>
    <xf numFmtId="176" fontId="30" fillId="6" borderId="3" xfId="1" applyNumberFormat="1" applyFont="1" applyFill="1" applyBorder="1" applyAlignment="1">
      <alignment horizontal="center"/>
    </xf>
    <xf numFmtId="176" fontId="30" fillId="3" borderId="3" xfId="1" applyNumberFormat="1" applyFont="1" applyFill="1" applyBorder="1" applyAlignment="1">
      <alignment horizontal="center"/>
    </xf>
    <xf numFmtId="0" fontId="29" fillId="0" borderId="2" xfId="1" applyFont="1" applyBorder="1" applyAlignment="1">
      <alignment horizontal="center"/>
    </xf>
    <xf numFmtId="176" fontId="29" fillId="0" borderId="2" xfId="1" applyNumberFormat="1" applyFont="1" applyBorder="1" applyAlignment="1">
      <alignment horizontal="center"/>
    </xf>
    <xf numFmtId="176" fontId="29" fillId="6" borderId="2" xfId="1" applyNumberFormat="1" applyFont="1" applyFill="1" applyBorder="1" applyAlignment="1">
      <alignment horizontal="center"/>
    </xf>
    <xf numFmtId="176" fontId="29" fillId="3" borderId="2" xfId="1" applyNumberFormat="1" applyFont="1" applyFill="1" applyBorder="1" applyAlignment="1">
      <alignment horizontal="center"/>
    </xf>
    <xf numFmtId="0" fontId="29" fillId="0" borderId="0" xfId="1" applyFont="1" applyAlignment="1">
      <alignment horizontal="center"/>
    </xf>
    <xf numFmtId="176" fontId="29" fillId="0" borderId="0" xfId="1" applyNumberFormat="1" applyFont="1" applyAlignment="1">
      <alignment horizontal="center"/>
    </xf>
    <xf numFmtId="176" fontId="29" fillId="6" borderId="0" xfId="1" applyNumberFormat="1" applyFont="1" applyFill="1" applyAlignment="1">
      <alignment horizontal="center"/>
    </xf>
    <xf numFmtId="176" fontId="29" fillId="3" borderId="0" xfId="1" applyNumberFormat="1" applyFont="1" applyFill="1" applyAlignment="1">
      <alignment horizontal="center"/>
    </xf>
    <xf numFmtId="0" fontId="0" fillId="0" borderId="4" xfId="0" applyBorder="1"/>
    <xf numFmtId="0" fontId="0" fillId="0" borderId="5" xfId="0" applyBorder="1"/>
    <xf numFmtId="0" fontId="0" fillId="0" borderId="12" xfId="0" applyBorder="1"/>
    <xf numFmtId="0" fontId="0" fillId="0" borderId="11" xfId="0" applyBorder="1"/>
    <xf numFmtId="0" fontId="0" fillId="0" borderId="13" xfId="0" applyBorder="1"/>
    <xf numFmtId="0" fontId="0" fillId="0" borderId="7" xfId="0" applyBorder="1"/>
    <xf numFmtId="0" fontId="0" fillId="0" borderId="1" xfId="0" applyBorder="1"/>
    <xf numFmtId="0" fontId="0" fillId="0" borderId="14" xfId="0" applyBorder="1"/>
    <xf numFmtId="0" fontId="0" fillId="0" borderId="8" xfId="0" applyBorder="1"/>
    <xf numFmtId="0" fontId="0" fillId="0" borderId="15" xfId="0" applyBorder="1"/>
    <xf numFmtId="0" fontId="0" fillId="0" borderId="9" xfId="0" applyBorder="1"/>
    <xf numFmtId="0" fontId="0" fillId="0" borderId="66" xfId="0" applyBorder="1"/>
    <xf numFmtId="0" fontId="0" fillId="0" borderId="67" xfId="0" applyBorder="1"/>
    <xf numFmtId="0" fontId="0" fillId="0" borderId="68" xfId="0" applyBorder="1"/>
    <xf numFmtId="0" fontId="0" fillId="0" borderId="42" xfId="0" applyBorder="1"/>
    <xf numFmtId="0" fontId="0" fillId="0" borderId="18" xfId="0" applyBorder="1"/>
    <xf numFmtId="0" fontId="0" fillId="0" borderId="43" xfId="0" applyBorder="1"/>
    <xf numFmtId="0" fontId="0" fillId="0" borderId="36" xfId="0" applyBorder="1"/>
    <xf numFmtId="0" fontId="0" fillId="0" borderId="30" xfId="0" applyBorder="1"/>
    <xf numFmtId="0" fontId="0" fillId="0" borderId="44" xfId="0" applyBorder="1"/>
    <xf numFmtId="0" fontId="0" fillId="0" borderId="28" xfId="0" applyBorder="1"/>
    <xf numFmtId="0" fontId="0" fillId="0" borderId="27" xfId="0" applyBorder="1"/>
    <xf numFmtId="0" fontId="0" fillId="0" borderId="81" xfId="0" applyBorder="1"/>
    <xf numFmtId="0" fontId="0" fillId="0" borderId="50" xfId="0" applyBorder="1"/>
    <xf numFmtId="0" fontId="0" fillId="0" borderId="83" xfId="0" applyBorder="1"/>
    <xf numFmtId="0" fontId="0" fillId="0" borderId="46" xfId="0" applyBorder="1"/>
    <xf numFmtId="0" fontId="0" fillId="0" borderId="72" xfId="0" applyBorder="1"/>
    <xf numFmtId="0" fontId="0" fillId="0" borderId="69" xfId="0" applyBorder="1"/>
    <xf numFmtId="0" fontId="0" fillId="0" borderId="64" xfId="0" applyBorder="1"/>
    <xf numFmtId="0" fontId="0" fillId="0" borderId="65" xfId="0" applyBorder="1"/>
    <xf numFmtId="0" fontId="0" fillId="0" borderId="85" xfId="0" applyBorder="1"/>
    <xf numFmtId="0" fontId="0" fillId="0" borderId="86" xfId="0" applyBorder="1"/>
    <xf numFmtId="0" fontId="0" fillId="0" borderId="75" xfId="0" applyBorder="1"/>
    <xf numFmtId="0" fontId="0" fillId="0" borderId="77" xfId="0" applyBorder="1"/>
    <xf numFmtId="0" fontId="0" fillId="0" borderId="2" xfId="0" applyBorder="1"/>
    <xf numFmtId="0" fontId="0" fillId="0" borderId="10" xfId="0" applyBorder="1"/>
    <xf numFmtId="0" fontId="0" fillId="0" borderId="6" xfId="0" applyBorder="1"/>
    <xf numFmtId="0" fontId="0" fillId="0" borderId="1" xfId="0" applyBorder="1" applyAlignment="1">
      <alignment vertical="center"/>
    </xf>
    <xf numFmtId="169" fontId="0" fillId="0" borderId="0" xfId="0" applyNumberFormat="1"/>
    <xf numFmtId="0" fontId="0" fillId="9" borderId="4" xfId="0" applyFill="1" applyBorder="1"/>
    <xf numFmtId="0" fontId="0" fillId="9" borderId="5" xfId="0" applyFill="1" applyBorder="1"/>
    <xf numFmtId="0" fontId="0" fillId="9" borderId="12" xfId="0" applyFill="1" applyBorder="1"/>
    <xf numFmtId="0" fontId="0" fillId="9" borderId="11" xfId="0" applyFill="1" applyBorder="1"/>
    <xf numFmtId="0" fontId="0" fillId="9" borderId="0" xfId="0" applyFill="1"/>
    <xf numFmtId="0" fontId="0" fillId="9" borderId="13" xfId="0" applyFill="1" applyBorder="1"/>
    <xf numFmtId="0" fontId="0" fillId="9" borderId="7" xfId="0" applyFill="1" applyBorder="1"/>
    <xf numFmtId="0" fontId="0" fillId="9" borderId="1" xfId="0" applyFill="1" applyBorder="1"/>
    <xf numFmtId="0" fontId="0" fillId="9" borderId="14" xfId="0" applyFill="1" applyBorder="1"/>
    <xf numFmtId="0" fontId="0" fillId="9" borderId="8" xfId="0" applyFill="1" applyBorder="1"/>
    <xf numFmtId="0" fontId="0" fillId="9" borderId="15" xfId="0" applyFill="1" applyBorder="1"/>
    <xf numFmtId="0" fontId="0" fillId="9" borderId="9" xfId="0" applyFill="1" applyBorder="1"/>
    <xf numFmtId="169" fontId="0" fillId="0" borderId="15" xfId="0" applyNumberFormat="1" applyBorder="1"/>
    <xf numFmtId="169" fontId="0" fillId="0" borderId="9" xfId="0" applyNumberFormat="1" applyBorder="1"/>
    <xf numFmtId="0" fontId="9" fillId="0" borderId="0" xfId="0" applyFont="1"/>
    <xf numFmtId="0" fontId="9" fillId="0" borderId="0" xfId="0" applyFont="1" applyAlignment="1">
      <alignment vertical="center"/>
    </xf>
    <xf numFmtId="0" fontId="9" fillId="0" borderId="1" xfId="0" applyFont="1" applyBorder="1"/>
    <xf numFmtId="0" fontId="9" fillId="0" borderId="5" xfId="0" applyFont="1" applyBorder="1" applyAlignment="1">
      <alignment vertical="center"/>
    </xf>
    <xf numFmtId="0" fontId="9" fillId="0" borderId="12" xfId="0" applyFont="1" applyBorder="1" applyAlignment="1">
      <alignment vertical="center"/>
    </xf>
    <xf numFmtId="0" fontId="9" fillId="0" borderId="13" xfId="0" applyFont="1" applyBorder="1" applyAlignment="1">
      <alignment vertical="center"/>
    </xf>
    <xf numFmtId="0" fontId="9" fillId="0" borderId="4" xfId="0" applyFont="1" applyBorder="1" applyAlignment="1">
      <alignment vertical="center"/>
    </xf>
    <xf numFmtId="0" fontId="9" fillId="0" borderId="11" xfId="0" applyFont="1" applyBorder="1" applyAlignment="1">
      <alignment vertical="center"/>
    </xf>
    <xf numFmtId="0" fontId="9" fillId="0" borderId="1" xfId="0" applyFont="1" applyBorder="1" applyAlignment="1">
      <alignment vertical="center"/>
    </xf>
    <xf numFmtId="0" fontId="9" fillId="0" borderId="14" xfId="0" applyFont="1" applyBorder="1" applyAlignment="1">
      <alignment vertical="center"/>
    </xf>
    <xf numFmtId="0" fontId="9" fillId="0" borderId="7" xfId="0" applyFont="1" applyBorder="1" applyAlignment="1">
      <alignment vertical="center"/>
    </xf>
    <xf numFmtId="1" fontId="9" fillId="0" borderId="0" xfId="0" applyNumberFormat="1" applyFont="1"/>
    <xf numFmtId="2" fontId="9" fillId="0" borderId="0" xfId="0" applyNumberFormat="1" applyFont="1"/>
    <xf numFmtId="0" fontId="39" fillId="0" borderId="0" xfId="0" applyFont="1" applyAlignment="1">
      <alignment vertical="center"/>
    </xf>
    <xf numFmtId="0" fontId="37" fillId="0" borderId="0" xfId="0" applyFont="1"/>
    <xf numFmtId="0" fontId="40" fillId="0" borderId="0" xfId="0" applyFont="1" applyAlignment="1">
      <alignment vertical="center"/>
    </xf>
    <xf numFmtId="169" fontId="0" fillId="0" borderId="1" xfId="0" applyNumberFormat="1" applyBorder="1"/>
    <xf numFmtId="2" fontId="38" fillId="0" borderId="0" xfId="0" applyNumberFormat="1" applyFont="1" applyAlignment="1">
      <alignment vertical="center" textRotation="90"/>
    </xf>
    <xf numFmtId="2" fontId="38" fillId="0" borderId="13" xfId="0" applyNumberFormat="1" applyFont="1" applyBorder="1" applyAlignment="1">
      <alignment vertical="center" textRotation="90"/>
    </xf>
    <xf numFmtId="173" fontId="37" fillId="0" borderId="0" xfId="0" applyNumberFormat="1" applyFont="1"/>
    <xf numFmtId="173" fontId="0" fillId="0" borderId="0" xfId="0" applyNumberFormat="1"/>
    <xf numFmtId="173" fontId="0" fillId="0" borderId="1" xfId="0" applyNumberFormat="1" applyBorder="1"/>
    <xf numFmtId="2" fontId="38" fillId="0" borderId="30" xfId="0" applyNumberFormat="1" applyFont="1" applyBorder="1" applyAlignment="1">
      <alignment vertical="center" textRotation="90"/>
    </xf>
    <xf numFmtId="0" fontId="0" fillId="0" borderId="51" xfId="0" applyBorder="1"/>
    <xf numFmtId="0" fontId="0" fillId="0" borderId="47" xfId="0" applyBorder="1"/>
    <xf numFmtId="0" fontId="14" fillId="0" borderId="11" xfId="1" applyFont="1" applyBorder="1" applyAlignment="1">
      <alignment horizontal="center"/>
    </xf>
    <xf numFmtId="0" fontId="23" fillId="0" borderId="11" xfId="1" applyFont="1" applyBorder="1" applyAlignment="1">
      <alignment horizontal="center"/>
    </xf>
    <xf numFmtId="0" fontId="24" fillId="0" borderId="11" xfId="1" applyFont="1" applyBorder="1" applyAlignment="1">
      <alignment horizontal="center"/>
    </xf>
    <xf numFmtId="0" fontId="44" fillId="0" borderId="0" xfId="2" applyFont="1" applyAlignment="1">
      <alignment horizontal="left"/>
    </xf>
    <xf numFmtId="0" fontId="16" fillId="0" borderId="0" xfId="2" applyFont="1" applyAlignment="1">
      <alignment horizontal="left"/>
    </xf>
    <xf numFmtId="0" fontId="46" fillId="0" borderId="0" xfId="0" applyFont="1"/>
    <xf numFmtId="0" fontId="47" fillId="0" borderId="0" xfId="0" applyFont="1"/>
    <xf numFmtId="0" fontId="47" fillId="0" borderId="0" xfId="0" applyFont="1" applyAlignment="1">
      <alignment vertical="center"/>
    </xf>
    <xf numFmtId="0" fontId="47" fillId="0" borderId="1" xfId="0" applyFont="1" applyBorder="1"/>
    <xf numFmtId="0" fontId="47" fillId="0" borderId="5" xfId="0" applyFont="1" applyBorder="1" applyAlignment="1">
      <alignment vertical="center"/>
    </xf>
    <xf numFmtId="0" fontId="47" fillId="0" borderId="12" xfId="0" applyFont="1" applyBorder="1" applyAlignment="1">
      <alignment vertical="center"/>
    </xf>
    <xf numFmtId="0" fontId="47" fillId="0" borderId="13" xfId="0" applyFont="1" applyBorder="1" applyAlignment="1">
      <alignment vertical="center"/>
    </xf>
    <xf numFmtId="0" fontId="47" fillId="0" borderId="4" xfId="0" applyFont="1" applyBorder="1" applyAlignment="1">
      <alignment vertical="center"/>
    </xf>
    <xf numFmtId="0" fontId="47" fillId="0" borderId="11" xfId="0" applyFont="1" applyBorder="1" applyAlignment="1">
      <alignment vertical="center"/>
    </xf>
    <xf numFmtId="0" fontId="47" fillId="0" borderId="1" xfId="0" applyFont="1" applyBorder="1" applyAlignment="1">
      <alignment vertical="center"/>
    </xf>
    <xf numFmtId="0" fontId="47" fillId="0" borderId="14" xfId="0" applyFont="1" applyBorder="1" applyAlignment="1">
      <alignment vertical="center"/>
    </xf>
    <xf numFmtId="0" fontId="47" fillId="0" borderId="7" xfId="0" applyFont="1" applyBorder="1" applyAlignment="1">
      <alignment vertical="center"/>
    </xf>
    <xf numFmtId="1" fontId="47" fillId="0" borderId="0" xfId="0" applyNumberFormat="1" applyFont="1"/>
    <xf numFmtId="2" fontId="47" fillId="0" borderId="0" xfId="0" applyNumberFormat="1" applyFont="1"/>
    <xf numFmtId="0" fontId="46" fillId="9" borderId="8" xfId="0" applyFont="1" applyFill="1" applyBorder="1"/>
    <xf numFmtId="0" fontId="46" fillId="9" borderId="15" xfId="0" applyFont="1" applyFill="1" applyBorder="1"/>
    <xf numFmtId="0" fontId="46" fillId="9" borderId="9" xfId="0" applyFont="1" applyFill="1" applyBorder="1"/>
    <xf numFmtId="0" fontId="46" fillId="0" borderId="8" xfId="0" applyFont="1" applyBorder="1"/>
    <xf numFmtId="0" fontId="46" fillId="0" borderId="15" xfId="0" applyFont="1" applyBorder="1"/>
    <xf numFmtId="0" fontId="46" fillId="0" borderId="9" xfId="0" applyFont="1" applyBorder="1"/>
    <xf numFmtId="0" fontId="46" fillId="0" borderId="5" xfId="0" applyFont="1" applyBorder="1"/>
    <xf numFmtId="0" fontId="46" fillId="0" borderId="4" xfId="0" applyFont="1" applyBorder="1"/>
    <xf numFmtId="0" fontId="46" fillId="0" borderId="11" xfId="0" applyFont="1" applyBorder="1"/>
    <xf numFmtId="0" fontId="46" fillId="0" borderId="13" xfId="0" applyFont="1" applyBorder="1"/>
    <xf numFmtId="0" fontId="46" fillId="0" borderId="12" xfId="0" applyFont="1" applyBorder="1"/>
    <xf numFmtId="0" fontId="46" fillId="9" borderId="4" xfId="0" applyFont="1" applyFill="1" applyBorder="1"/>
    <xf numFmtId="0" fontId="46" fillId="9" borderId="5" xfId="0" applyFont="1" applyFill="1" applyBorder="1"/>
    <xf numFmtId="0" fontId="46" fillId="9" borderId="12" xfId="0" applyFont="1" applyFill="1" applyBorder="1"/>
    <xf numFmtId="0" fontId="46" fillId="9" borderId="11" xfId="0" applyFont="1" applyFill="1" applyBorder="1"/>
    <xf numFmtId="0" fontId="46" fillId="9" borderId="0" xfId="0" applyFont="1" applyFill="1"/>
    <xf numFmtId="0" fontId="46" fillId="9" borderId="13" xfId="0" applyFont="1" applyFill="1" applyBorder="1"/>
    <xf numFmtId="0" fontId="46" fillId="0" borderId="2" xfId="0" applyFont="1" applyBorder="1"/>
    <xf numFmtId="0" fontId="46" fillId="0" borderId="10" xfId="0" applyFont="1" applyBorder="1"/>
    <xf numFmtId="0" fontId="46" fillId="9" borderId="7" xfId="0" applyFont="1" applyFill="1" applyBorder="1"/>
    <xf numFmtId="0" fontId="46" fillId="9" borderId="1" xfId="0" applyFont="1" applyFill="1" applyBorder="1"/>
    <xf numFmtId="0" fontId="46" fillId="9" borderId="14" xfId="0" applyFont="1" applyFill="1" applyBorder="1"/>
    <xf numFmtId="0" fontId="46" fillId="0" borderId="7" xfId="0" applyFont="1" applyBorder="1"/>
    <xf numFmtId="0" fontId="46" fillId="0" borderId="14" xfId="0" applyFont="1" applyBorder="1"/>
    <xf numFmtId="0" fontId="46" fillId="0" borderId="1" xfId="0" applyFont="1" applyBorder="1"/>
    <xf numFmtId="0" fontId="46" fillId="0" borderId="6" xfId="0" applyFont="1" applyBorder="1"/>
    <xf numFmtId="169" fontId="46" fillId="0" borderId="0" xfId="0" applyNumberFormat="1" applyFont="1"/>
    <xf numFmtId="0" fontId="46" fillId="0" borderId="1" xfId="0" applyFont="1" applyBorder="1" applyAlignment="1">
      <alignment vertical="center"/>
    </xf>
    <xf numFmtId="0" fontId="46" fillId="0" borderId="72" xfId="0" applyFont="1" applyBorder="1"/>
    <xf numFmtId="0" fontId="46" fillId="0" borderId="50" xfId="0" applyFont="1" applyBorder="1"/>
    <xf numFmtId="0" fontId="46" fillId="0" borderId="69" xfId="0" applyFont="1" applyBorder="1"/>
    <xf numFmtId="0" fontId="46" fillId="0" borderId="64" xfId="0" applyFont="1" applyBorder="1"/>
    <xf numFmtId="0" fontId="46" fillId="0" borderId="65" xfId="0" applyFont="1" applyBorder="1"/>
    <xf numFmtId="0" fontId="46" fillId="0" borderId="85" xfId="0" applyFont="1" applyBorder="1"/>
    <xf numFmtId="0" fontId="46" fillId="0" borderId="86" xfId="0" applyFont="1" applyBorder="1"/>
    <xf numFmtId="0" fontId="46" fillId="0" borderId="66" xfId="0" applyFont="1" applyBorder="1"/>
    <xf numFmtId="0" fontId="46" fillId="0" borderId="67" xfId="0" applyFont="1" applyBorder="1"/>
    <xf numFmtId="0" fontId="46" fillId="0" borderId="68" xfId="0" applyFont="1" applyBorder="1"/>
    <xf numFmtId="0" fontId="46" fillId="0" borderId="42" xfId="0" applyFont="1" applyBorder="1"/>
    <xf numFmtId="0" fontId="46" fillId="0" borderId="43" xfId="0" applyFont="1" applyBorder="1"/>
    <xf numFmtId="0" fontId="46" fillId="0" borderId="27" xfId="0" applyFont="1" applyBorder="1"/>
    <xf numFmtId="0" fontId="46" fillId="0" borderId="28" xfId="0" applyFont="1" applyBorder="1"/>
    <xf numFmtId="0" fontId="46" fillId="0" borderId="18" xfId="0" applyFont="1" applyBorder="1"/>
    <xf numFmtId="0" fontId="46" fillId="0" borderId="81" xfId="0" applyFont="1" applyBorder="1"/>
    <xf numFmtId="0" fontId="46" fillId="0" borderId="82" xfId="0" applyFont="1" applyBorder="1"/>
    <xf numFmtId="0" fontId="46" fillId="0" borderId="36" xfId="0" applyFont="1" applyBorder="1"/>
    <xf numFmtId="0" fontId="46" fillId="0" borderId="30" xfId="0" applyFont="1" applyBorder="1"/>
    <xf numFmtId="0" fontId="46" fillId="0" borderId="44" xfId="0" applyFont="1" applyBorder="1"/>
    <xf numFmtId="0" fontId="46" fillId="0" borderId="83" xfId="0" applyFont="1" applyBorder="1"/>
    <xf numFmtId="0" fontId="46" fillId="0" borderId="46" xfId="0" applyFont="1" applyBorder="1"/>
    <xf numFmtId="0" fontId="46" fillId="0" borderId="84" xfId="0" applyFont="1" applyBorder="1"/>
    <xf numFmtId="0" fontId="46" fillId="0" borderId="75" xfId="0" applyFont="1" applyBorder="1"/>
    <xf numFmtId="0" fontId="46" fillId="0" borderId="77" xfId="0" applyFont="1" applyBorder="1"/>
    <xf numFmtId="0" fontId="49" fillId="0" borderId="0" xfId="0" applyFont="1"/>
    <xf numFmtId="0" fontId="48" fillId="0" borderId="0" xfId="0" applyFont="1" applyAlignment="1">
      <alignment vertical="center"/>
    </xf>
    <xf numFmtId="169" fontId="46" fillId="0" borderId="15" xfId="0" applyNumberFormat="1" applyFont="1" applyBorder="1" applyAlignment="1">
      <alignment vertical="center"/>
    </xf>
    <xf numFmtId="169" fontId="46" fillId="0" borderId="9" xfId="0" applyNumberFormat="1" applyFont="1" applyBorder="1" applyAlignment="1">
      <alignment vertical="center"/>
    </xf>
    <xf numFmtId="169" fontId="46" fillId="0" borderId="0" xfId="0" applyNumberFormat="1" applyFont="1" applyAlignment="1">
      <alignment vertical="center"/>
    </xf>
    <xf numFmtId="2" fontId="5" fillId="3" borderId="3" xfId="1" applyNumberFormat="1" applyFont="1" applyFill="1" applyBorder="1" applyAlignment="1">
      <alignment horizontal="center" vertical="center"/>
    </xf>
    <xf numFmtId="0" fontId="2" fillId="0" borderId="11" xfId="1" applyBorder="1" applyAlignment="1">
      <alignment vertical="top"/>
    </xf>
    <xf numFmtId="0" fontId="2" fillId="0" borderId="0" xfId="1" applyAlignment="1">
      <alignment vertical="top"/>
    </xf>
    <xf numFmtId="176" fontId="11" fillId="0" borderId="0" xfId="2" applyNumberFormat="1" applyFont="1"/>
    <xf numFmtId="0" fontId="50" fillId="0" borderId="3" xfId="1" applyFont="1" applyBorder="1" applyAlignment="1">
      <alignment horizontal="right" vertical="top"/>
    </xf>
    <xf numFmtId="2" fontId="5" fillId="0" borderId="0" xfId="2" applyNumberFormat="1" applyFont="1"/>
    <xf numFmtId="2" fontId="11" fillId="0" borderId="0" xfId="1" applyNumberFormat="1" applyFont="1"/>
    <xf numFmtId="0" fontId="11" fillId="0" borderId="0" xfId="2" applyFont="1" applyAlignment="1">
      <alignment horizontal="right"/>
    </xf>
    <xf numFmtId="2" fontId="0" fillId="0" borderId="0" xfId="0" applyNumberFormat="1"/>
    <xf numFmtId="0" fontId="9" fillId="0" borderId="0" xfId="1" applyFont="1" applyAlignment="1">
      <alignment vertical="center"/>
    </xf>
    <xf numFmtId="0" fontId="9" fillId="0" borderId="13" xfId="1" applyFont="1" applyBorder="1" applyAlignment="1">
      <alignment vertical="center"/>
    </xf>
    <xf numFmtId="0" fontId="9" fillId="0" borderId="4" xfId="1" applyFont="1" applyBorder="1"/>
    <xf numFmtId="169" fontId="9" fillId="0" borderId="0" xfId="1" applyNumberFormat="1" applyFont="1" applyAlignment="1">
      <alignment vertical="center" textRotation="90"/>
    </xf>
    <xf numFmtId="169" fontId="9" fillId="0" borderId="0" xfId="1" applyNumberFormat="1" applyFont="1" applyAlignment="1">
      <alignment vertical="center"/>
    </xf>
    <xf numFmtId="0" fontId="9" fillId="0" borderId="0" xfId="1" applyFont="1" applyAlignment="1">
      <alignment horizontal="center" vertical="center"/>
    </xf>
    <xf numFmtId="169" fontId="9" fillId="0" borderId="64" xfId="1" applyNumberFormat="1" applyFont="1" applyBorder="1" applyAlignment="1">
      <alignment vertical="center"/>
    </xf>
    <xf numFmtId="0" fontId="9" fillId="0" borderId="64" xfId="1" applyFont="1" applyBorder="1"/>
    <xf numFmtId="169" fontId="9" fillId="0" borderId="1" xfId="1" applyNumberFormat="1" applyFont="1" applyBorder="1" applyAlignment="1">
      <alignment vertical="center"/>
    </xf>
    <xf numFmtId="169" fontId="9" fillId="0" borderId="11" xfId="1" applyNumberFormat="1" applyFont="1" applyBorder="1" applyAlignment="1">
      <alignment vertical="center"/>
    </xf>
    <xf numFmtId="2" fontId="9" fillId="0" borderId="11" xfId="1" applyNumberFormat="1" applyFont="1" applyBorder="1" applyAlignment="1">
      <alignment vertical="center"/>
    </xf>
    <xf numFmtId="0" fontId="9" fillId="0" borderId="1" xfId="1" applyFont="1" applyBorder="1" applyAlignment="1">
      <alignment horizontal="center" vertical="center"/>
    </xf>
    <xf numFmtId="0" fontId="9" fillId="0" borderId="5" xfId="1" applyFont="1" applyBorder="1" applyAlignment="1">
      <alignment horizontal="center" vertical="center"/>
    </xf>
    <xf numFmtId="169" fontId="9" fillId="0" borderId="5" xfId="1" applyNumberFormat="1" applyFont="1" applyBorder="1" applyAlignment="1">
      <alignment vertical="center" textRotation="90"/>
    </xf>
    <xf numFmtId="169" fontId="9" fillId="0" borderId="13" xfId="1" applyNumberFormat="1" applyFont="1" applyBorder="1" applyAlignment="1">
      <alignment vertical="center"/>
    </xf>
    <xf numFmtId="0" fontId="9" fillId="0" borderId="13" xfId="1" applyFont="1" applyBorder="1" applyAlignment="1">
      <alignment horizontal="center" vertical="center"/>
    </xf>
    <xf numFmtId="0" fontId="9" fillId="0" borderId="11" xfId="1" applyFont="1" applyBorder="1" applyAlignment="1">
      <alignment horizontal="center" vertical="center"/>
    </xf>
    <xf numFmtId="2" fontId="9" fillId="0" borderId="0" xfId="1" applyNumberFormat="1" applyFont="1" applyAlignment="1">
      <alignment horizontal="center" vertical="center"/>
    </xf>
    <xf numFmtId="2" fontId="9" fillId="0" borderId="13" xfId="1" applyNumberFormat="1" applyFont="1" applyBorder="1" applyAlignment="1">
      <alignment horizontal="center" vertical="center"/>
    </xf>
    <xf numFmtId="0" fontId="53" fillId="0" borderId="0" xfId="1" applyFont="1"/>
    <xf numFmtId="0" fontId="2" fillId="0" borderId="103" xfId="1" applyBorder="1"/>
    <xf numFmtId="0" fontId="2" fillId="0" borderId="104" xfId="1" applyBorder="1"/>
    <xf numFmtId="0" fontId="13" fillId="0" borderId="0" xfId="1" applyFont="1" applyAlignment="1">
      <alignment vertical="center"/>
    </xf>
    <xf numFmtId="0" fontId="53" fillId="0" borderId="13" xfId="1" applyFont="1" applyBorder="1"/>
    <xf numFmtId="0" fontId="53" fillId="0" borderId="10" xfId="1" applyFont="1" applyBorder="1"/>
    <xf numFmtId="0" fontId="53" fillId="0" borderId="11" xfId="1" applyFont="1" applyBorder="1"/>
    <xf numFmtId="0" fontId="53" fillId="0" borderId="1" xfId="1" applyFont="1" applyBorder="1"/>
    <xf numFmtId="2" fontId="9" fillId="0" borderId="14" xfId="1" applyNumberFormat="1" applyFont="1" applyBorder="1" applyAlignment="1">
      <alignment vertical="center"/>
    </xf>
    <xf numFmtId="0" fontId="2" fillId="0" borderId="105" xfId="1" applyBorder="1"/>
    <xf numFmtId="0" fontId="53" fillId="0" borderId="7" xfId="1" applyFont="1" applyBorder="1"/>
    <xf numFmtId="0" fontId="53" fillId="0" borderId="91" xfId="1" applyFont="1" applyBorder="1"/>
    <xf numFmtId="0" fontId="2" fillId="0" borderId="106" xfId="1" applyBorder="1"/>
    <xf numFmtId="2" fontId="9" fillId="0" borderId="63" xfId="1" applyNumberFormat="1" applyFont="1" applyBorder="1" applyAlignment="1">
      <alignment vertical="center"/>
    </xf>
    <xf numFmtId="0" fontId="53" fillId="0" borderId="80" xfId="1" applyFont="1" applyBorder="1"/>
    <xf numFmtId="0" fontId="9" fillId="0" borderId="91" xfId="1" applyFont="1" applyBorder="1"/>
    <xf numFmtId="0" fontId="9" fillId="0" borderId="63" xfId="1" applyFont="1" applyBorder="1" applyAlignment="1">
      <alignment vertical="center" textRotation="90"/>
    </xf>
    <xf numFmtId="0" fontId="9" fillId="0" borderId="4" xfId="1" applyFont="1" applyBorder="1" applyAlignment="1">
      <alignment vertical="center" textRotation="90"/>
    </xf>
    <xf numFmtId="0" fontId="9" fillId="0" borderId="11" xfId="1" applyFont="1" applyBorder="1" applyAlignment="1">
      <alignment vertical="center" textRotation="90"/>
    </xf>
    <xf numFmtId="0" fontId="9" fillId="4" borderId="2" xfId="1" applyFont="1" applyFill="1" applyBorder="1"/>
    <xf numFmtId="0" fontId="9" fillId="4" borderId="10" xfId="1" applyFont="1" applyFill="1" applyBorder="1"/>
    <xf numFmtId="0" fontId="2" fillId="0" borderId="91" xfId="1" applyBorder="1"/>
    <xf numFmtId="0" fontId="9" fillId="4" borderId="6" xfId="1" applyFont="1" applyFill="1" applyBorder="1"/>
    <xf numFmtId="0" fontId="9" fillId="4" borderId="4" xfId="1" applyFont="1" applyFill="1" applyBorder="1"/>
    <xf numFmtId="0" fontId="2" fillId="4" borderId="66" xfId="1" applyFill="1" applyBorder="1"/>
    <xf numFmtId="0" fontId="2" fillId="4" borderId="67" xfId="1" applyFill="1" applyBorder="1"/>
    <xf numFmtId="0" fontId="9" fillId="4" borderId="5" xfId="1" applyFont="1" applyFill="1" applyBorder="1"/>
    <xf numFmtId="0" fontId="9" fillId="4" borderId="12" xfId="1" applyFont="1" applyFill="1" applyBorder="1"/>
    <xf numFmtId="0" fontId="9" fillId="0" borderId="66" xfId="1" applyFont="1" applyBorder="1"/>
    <xf numFmtId="0" fontId="9" fillId="0" borderId="67" xfId="1" applyFont="1" applyBorder="1"/>
    <xf numFmtId="0" fontId="9" fillId="4" borderId="11" xfId="1" applyFont="1" applyFill="1" applyBorder="1"/>
    <xf numFmtId="0" fontId="2" fillId="0" borderId="0" xfId="1" applyAlignment="1">
      <alignment vertical="center" textRotation="90"/>
    </xf>
    <xf numFmtId="0" fontId="2" fillId="4" borderId="1" xfId="1" applyFill="1" applyBorder="1"/>
    <xf numFmtId="0" fontId="9" fillId="4" borderId="1" xfId="1" applyFont="1" applyFill="1" applyBorder="1"/>
    <xf numFmtId="0" fontId="9" fillId="4" borderId="14" xfId="1" applyFont="1" applyFill="1" applyBorder="1"/>
    <xf numFmtId="0" fontId="9" fillId="4" borderId="7" xfId="1" applyFont="1" applyFill="1" applyBorder="1"/>
    <xf numFmtId="0" fontId="9" fillId="4" borderId="0" xfId="1" applyFont="1" applyFill="1"/>
    <xf numFmtId="0" fontId="2" fillId="0" borderId="11" xfId="1" applyBorder="1" applyAlignment="1">
      <alignment vertical="center" textRotation="90"/>
    </xf>
    <xf numFmtId="0" fontId="2" fillId="0" borderId="13" xfId="1" applyBorder="1" applyAlignment="1">
      <alignment vertical="center" textRotation="90"/>
    </xf>
    <xf numFmtId="0" fontId="9" fillId="0" borderId="61" xfId="1" applyFont="1" applyBorder="1" applyAlignment="1">
      <alignment vertical="center" textRotation="90"/>
    </xf>
    <xf numFmtId="0" fontId="9" fillId="0" borderId="64" xfId="1" applyFont="1" applyBorder="1" applyAlignment="1">
      <alignment vertical="center" textRotation="90"/>
    </xf>
    <xf numFmtId="0" fontId="9" fillId="0" borderId="65" xfId="1" applyFont="1" applyBorder="1" applyAlignment="1">
      <alignment vertical="center" textRotation="90"/>
    </xf>
    <xf numFmtId="0" fontId="3" fillId="0" borderId="11" xfId="1" applyFont="1" applyBorder="1" applyAlignment="1">
      <alignment vertical="center" textRotation="90"/>
    </xf>
    <xf numFmtId="2" fontId="9" fillId="0" borderId="13" xfId="1" applyNumberFormat="1" applyFont="1" applyBorder="1" applyAlignment="1">
      <alignment vertical="center"/>
    </xf>
    <xf numFmtId="0" fontId="12" fillId="0" borderId="0" xfId="1" applyFont="1" applyAlignment="1">
      <alignment vertical="center" textRotation="90"/>
    </xf>
    <xf numFmtId="2" fontId="9" fillId="0" borderId="61" xfId="1" applyNumberFormat="1" applyFont="1" applyBorder="1" applyAlignment="1">
      <alignment vertical="center"/>
    </xf>
    <xf numFmtId="2" fontId="9" fillId="0" borderId="1" xfId="1" applyNumberFormat="1" applyFont="1" applyBorder="1" applyAlignment="1">
      <alignment vertical="center"/>
    </xf>
    <xf numFmtId="0" fontId="12" fillId="0" borderId="13" xfId="1" applyFont="1" applyBorder="1"/>
    <xf numFmtId="0" fontId="9" fillId="0" borderId="12" xfId="1" applyFont="1" applyBorder="1" applyAlignment="1">
      <alignment horizontal="center" vertical="center"/>
    </xf>
    <xf numFmtId="0" fontId="9" fillId="0" borderId="13" xfId="1" applyFont="1" applyBorder="1" applyAlignment="1">
      <alignment vertical="center" textRotation="90"/>
    </xf>
    <xf numFmtId="0" fontId="3" fillId="0" borderId="13" xfId="1" applyFont="1" applyBorder="1" applyAlignment="1">
      <alignment vertical="center" textRotation="90"/>
    </xf>
    <xf numFmtId="169" fontId="9" fillId="0" borderId="11" xfId="1" applyNumberFormat="1" applyFont="1" applyBorder="1" applyAlignment="1">
      <alignment vertical="center" textRotation="90"/>
    </xf>
    <xf numFmtId="0" fontId="2" fillId="0" borderId="46" xfId="1" applyBorder="1" applyAlignment="1">
      <alignment vertical="center" textRotation="90"/>
    </xf>
    <xf numFmtId="0" fontId="2" fillId="0" borderId="47" xfId="1" applyBorder="1" applyAlignment="1">
      <alignment vertical="center" textRotation="90"/>
    </xf>
    <xf numFmtId="0" fontId="3" fillId="0" borderId="61" xfId="1" applyFont="1" applyBorder="1"/>
    <xf numFmtId="0" fontId="3" fillId="0" borderId="63" xfId="1" applyFont="1" applyBorder="1"/>
    <xf numFmtId="0" fontId="9" fillId="0" borderId="7" xfId="1" applyFont="1" applyBorder="1" applyAlignment="1">
      <alignment vertical="center" textRotation="90"/>
    </xf>
    <xf numFmtId="169" fontId="9" fillId="0" borderId="1" xfId="1" applyNumberFormat="1" applyFont="1" applyBorder="1" applyAlignment="1">
      <alignment vertical="center" textRotation="90"/>
    </xf>
    <xf numFmtId="0" fontId="9" fillId="0" borderId="1" xfId="1" applyFont="1" applyBorder="1" applyAlignment="1">
      <alignment vertical="center"/>
    </xf>
    <xf numFmtId="0" fontId="9" fillId="0" borderId="14" xfId="1" applyFont="1" applyBorder="1" applyAlignment="1">
      <alignment vertical="center"/>
    </xf>
    <xf numFmtId="0" fontId="9" fillId="0" borderId="63" xfId="1" applyFont="1" applyBorder="1" applyAlignment="1">
      <alignment vertical="center"/>
    </xf>
    <xf numFmtId="0" fontId="2" fillId="0" borderId="85" xfId="1" applyBorder="1"/>
    <xf numFmtId="0" fontId="2" fillId="0" borderId="86" xfId="1" applyBorder="1"/>
    <xf numFmtId="0" fontId="2" fillId="0" borderId="99" xfId="1" applyBorder="1"/>
    <xf numFmtId="0" fontId="3" fillId="0" borderId="1" xfId="1" applyFont="1" applyBorder="1" applyAlignment="1">
      <alignment vertical="center" textRotation="90"/>
    </xf>
    <xf numFmtId="2" fontId="5" fillId="0" borderId="0" xfId="1" applyNumberFormat="1" applyFont="1"/>
    <xf numFmtId="2" fontId="11" fillId="0" borderId="0" xfId="2" applyNumberFormat="1" applyFont="1"/>
    <xf numFmtId="2" fontId="11" fillId="0" borderId="0" xfId="2" applyNumberFormat="1" applyFont="1" applyAlignment="1">
      <alignment horizontal="right"/>
    </xf>
    <xf numFmtId="0" fontId="56" fillId="0" borderId="0" xfId="0" applyFont="1"/>
    <xf numFmtId="0" fontId="56" fillId="0" borderId="11" xfId="0" applyFont="1" applyBorder="1"/>
    <xf numFmtId="0" fontId="56" fillId="0" borderId="13" xfId="0" applyFont="1" applyBorder="1"/>
    <xf numFmtId="0" fontId="56" fillId="0" borderId="1" xfId="0" applyFont="1" applyBorder="1"/>
    <xf numFmtId="0" fontId="56" fillId="0" borderId="7" xfId="0" applyFont="1" applyBorder="1"/>
    <xf numFmtId="0" fontId="56" fillId="0" borderId="5" xfId="0" applyFont="1" applyBorder="1"/>
    <xf numFmtId="0" fontId="56" fillId="0" borderId="4" xfId="0" applyFont="1" applyBorder="1"/>
    <xf numFmtId="0" fontId="56" fillId="0" borderId="42" xfId="0" applyFont="1" applyBorder="1"/>
    <xf numFmtId="0" fontId="56" fillId="0" borderId="43" xfId="0" applyFont="1" applyBorder="1"/>
    <xf numFmtId="0" fontId="31" fillId="0" borderId="0" xfId="2" applyFont="1"/>
    <xf numFmtId="0" fontId="31" fillId="0" borderId="10" xfId="2" applyFont="1" applyBorder="1"/>
    <xf numFmtId="0" fontId="31" fillId="0" borderId="0" xfId="2" applyFont="1" applyAlignment="1">
      <alignment vertical="center"/>
    </xf>
    <xf numFmtId="2" fontId="11" fillId="0" borderId="1" xfId="2" applyNumberFormat="1" applyFont="1" applyBorder="1"/>
    <xf numFmtId="0" fontId="2" fillId="0" borderId="0" xfId="1" applyAlignment="1">
      <alignment horizontal="justify" vertical="top"/>
    </xf>
    <xf numFmtId="0" fontId="2" fillId="0" borderId="13" xfId="1" applyBorder="1" applyAlignment="1">
      <alignment horizontal="justify" vertical="top"/>
    </xf>
    <xf numFmtId="0" fontId="62" fillId="0" borderId="0" xfId="2" applyFont="1"/>
    <xf numFmtId="0" fontId="58" fillId="0" borderId="0" xfId="2" applyFont="1"/>
    <xf numFmtId="2" fontId="58" fillId="0" borderId="0" xfId="2" applyNumberFormat="1" applyFont="1"/>
    <xf numFmtId="0" fontId="2" fillId="0" borderId="13" xfId="1" applyBorder="1" applyAlignment="1">
      <alignment horizontal="center"/>
    </xf>
    <xf numFmtId="2" fontId="2" fillId="0" borderId="12" xfId="1" applyNumberFormat="1" applyBorder="1"/>
    <xf numFmtId="2" fontId="2" fillId="0" borderId="13" xfId="1" applyNumberFormat="1" applyBorder="1"/>
    <xf numFmtId="2" fontId="2" fillId="0" borderId="10" xfId="1" applyNumberFormat="1" applyBorder="1"/>
    <xf numFmtId="0" fontId="2" fillId="0" borderId="11" xfId="1" applyBorder="1" applyAlignment="1">
      <alignment horizontal="center"/>
    </xf>
    <xf numFmtId="0" fontId="2" fillId="0" borderId="0" xfId="1" applyAlignment="1">
      <alignment horizontal="center"/>
    </xf>
    <xf numFmtId="2" fontId="2" fillId="0" borderId="7" xfId="1" applyNumberFormat="1" applyBorder="1"/>
    <xf numFmtId="0" fontId="58" fillId="0" borderId="3" xfId="2" applyFont="1" applyBorder="1"/>
    <xf numFmtId="0" fontId="61" fillId="0" borderId="0" xfId="2" applyFont="1"/>
    <xf numFmtId="2" fontId="62" fillId="0" borderId="3" xfId="2" applyNumberFormat="1" applyFont="1" applyBorder="1"/>
    <xf numFmtId="0" fontId="61" fillId="0" borderId="3" xfId="2" applyFont="1" applyBorder="1"/>
    <xf numFmtId="0" fontId="65" fillId="0" borderId="0" xfId="2" applyFont="1" applyAlignment="1">
      <alignment vertical="top"/>
    </xf>
    <xf numFmtId="0" fontId="66" fillId="0" borderId="0" xfId="2" applyFont="1" applyAlignment="1">
      <alignment vertical="top"/>
    </xf>
    <xf numFmtId="0" fontId="66" fillId="0" borderId="3" xfId="2" applyFont="1" applyBorder="1" applyAlignment="1">
      <alignment horizontal="center" vertical="top"/>
    </xf>
    <xf numFmtId="0" fontId="66" fillId="0" borderId="3" xfId="2" applyFont="1" applyBorder="1"/>
    <xf numFmtId="2" fontId="66" fillId="0" borderId="3" xfId="2" applyNumberFormat="1" applyFont="1" applyBorder="1"/>
    <xf numFmtId="0" fontId="65" fillId="0" borderId="3" xfId="2" applyFont="1" applyBorder="1"/>
    <xf numFmtId="0" fontId="66" fillId="0" borderId="0" xfId="2" applyFont="1" applyAlignment="1">
      <alignment horizontal="center" vertical="top"/>
    </xf>
    <xf numFmtId="0" fontId="65" fillId="0" borderId="0" xfId="2" applyFont="1" applyAlignment="1">
      <alignment horizontal="justify" vertical="top" wrapText="1"/>
    </xf>
    <xf numFmtId="0" fontId="65" fillId="0" borderId="0" xfId="2" applyFont="1"/>
    <xf numFmtId="0" fontId="65" fillId="0" borderId="0" xfId="2" applyFont="1" applyAlignment="1">
      <alignment horizontal="center"/>
    </xf>
    <xf numFmtId="2" fontId="66" fillId="0" borderId="0" xfId="2" applyNumberFormat="1" applyFont="1" applyAlignment="1">
      <alignment vertical="top"/>
    </xf>
    <xf numFmtId="2" fontId="65" fillId="0" borderId="0" xfId="2" applyNumberFormat="1" applyFont="1"/>
    <xf numFmtId="0" fontId="66" fillId="0" borderId="0" xfId="2" applyFont="1"/>
    <xf numFmtId="0" fontId="65" fillId="0" borderId="0" xfId="2" applyFont="1" applyAlignment="1">
      <alignment horizontal="center" vertical="center"/>
    </xf>
    <xf numFmtId="0" fontId="65" fillId="0" borderId="0" xfId="2" applyFont="1" applyAlignment="1">
      <alignment vertical="center"/>
    </xf>
    <xf numFmtId="0" fontId="66" fillId="0" borderId="0" xfId="2" applyFont="1" applyAlignment="1">
      <alignment horizontal="center" vertical="center"/>
    </xf>
    <xf numFmtId="0" fontId="66" fillId="0" borderId="0" xfId="2" applyFont="1" applyAlignment="1">
      <alignment horizontal="center"/>
    </xf>
    <xf numFmtId="0" fontId="65" fillId="0" borderId="0" xfId="2" applyFont="1" applyAlignment="1">
      <alignment horizontal="center" vertical="top"/>
    </xf>
    <xf numFmtId="0" fontId="68" fillId="0" borderId="0" xfId="2" applyFont="1" applyAlignment="1">
      <alignment vertical="top"/>
    </xf>
    <xf numFmtId="0" fontId="69" fillId="0" borderId="0" xfId="2" applyFont="1" applyAlignment="1">
      <alignment vertical="top"/>
    </xf>
    <xf numFmtId="0" fontId="69" fillId="0" borderId="3" xfId="2" applyFont="1" applyBorder="1"/>
    <xf numFmtId="2" fontId="69" fillId="0" borderId="3" xfId="2" applyNumberFormat="1" applyFont="1" applyBorder="1"/>
    <xf numFmtId="0" fontId="68" fillId="0" borderId="3" xfId="2" applyFont="1" applyBorder="1"/>
    <xf numFmtId="0" fontId="68" fillId="0" borderId="0" xfId="2" applyFont="1"/>
    <xf numFmtId="2" fontId="68" fillId="0" borderId="0" xfId="2" applyNumberFormat="1" applyFont="1"/>
    <xf numFmtId="0" fontId="69" fillId="0" borderId="0" xfId="2" applyFont="1"/>
    <xf numFmtId="0" fontId="66" fillId="0" borderId="3" xfId="2" applyFont="1" applyBorder="1" applyAlignment="1">
      <alignment horizontal="center"/>
    </xf>
    <xf numFmtId="2" fontId="65" fillId="0" borderId="3" xfId="2" applyNumberFormat="1" applyFont="1" applyBorder="1"/>
    <xf numFmtId="0" fontId="65" fillId="0" borderId="3" xfId="2" applyFont="1" applyBorder="1" applyAlignment="1">
      <alignment horizontal="center"/>
    </xf>
    <xf numFmtId="0" fontId="65" fillId="0" borderId="11" xfId="2" applyFont="1" applyBorder="1"/>
    <xf numFmtId="0" fontId="67" fillId="0" borderId="0" xfId="1" applyFont="1" applyAlignment="1">
      <alignment horizontal="center" vertical="top"/>
    </xf>
    <xf numFmtId="0" fontId="68" fillId="0" borderId="0" xfId="1" applyFont="1" applyAlignment="1">
      <alignment vertical="top"/>
    </xf>
    <xf numFmtId="0" fontId="69" fillId="0" borderId="0" xfId="1" applyFont="1" applyAlignment="1">
      <alignment vertical="top"/>
    </xf>
    <xf numFmtId="0" fontId="68" fillId="0" borderId="0" xfId="1" applyFont="1" applyAlignment="1">
      <alignment horizontal="center" vertical="top"/>
    </xf>
    <xf numFmtId="0" fontId="69" fillId="0" borderId="0" xfId="1" applyFont="1" applyAlignment="1" applyProtection="1">
      <alignment horizontal="left" vertical="top" wrapText="1"/>
      <protection locked="0"/>
    </xf>
    <xf numFmtId="2" fontId="68" fillId="0" borderId="0" xfId="1" applyNumberFormat="1" applyFont="1" applyAlignment="1">
      <alignment vertical="top"/>
    </xf>
    <xf numFmtId="0" fontId="69" fillId="0" borderId="2" xfId="1" applyFont="1" applyBorder="1" applyAlignment="1">
      <alignment horizontal="center" vertical="center"/>
    </xf>
    <xf numFmtId="0" fontId="69" fillId="0" borderId="3" xfId="1" applyFont="1" applyBorder="1" applyAlignment="1">
      <alignment horizontal="center" vertical="center"/>
    </xf>
    <xf numFmtId="0" fontId="69" fillId="0" borderId="3" xfId="2" applyFont="1" applyBorder="1" applyAlignment="1">
      <alignment horizontal="center"/>
    </xf>
    <xf numFmtId="0" fontId="68" fillId="0" borderId="3" xfId="1" applyFont="1" applyBorder="1" applyAlignment="1">
      <alignment vertical="center"/>
    </xf>
    <xf numFmtId="0" fontId="68" fillId="0" borderId="0" xfId="1" applyFont="1" applyAlignment="1">
      <alignment vertical="center"/>
    </xf>
    <xf numFmtId="0" fontId="69" fillId="0" borderId="6" xfId="1" applyFont="1" applyBorder="1" applyAlignment="1">
      <alignment horizontal="center" vertical="center"/>
    </xf>
    <xf numFmtId="0" fontId="68" fillId="0" borderId="0" xfId="1" applyFont="1"/>
    <xf numFmtId="0" fontId="68" fillId="0" borderId="3" xfId="1" applyFont="1" applyBorder="1" applyAlignment="1">
      <alignment horizontal="center" vertical="center"/>
    </xf>
    <xf numFmtId="2" fontId="69" fillId="0" borderId="8" xfId="1" applyNumberFormat="1" applyFont="1" applyBorder="1" applyAlignment="1">
      <alignment vertical="top"/>
    </xf>
    <xf numFmtId="0" fontId="69" fillId="3" borderId="3" xfId="1" applyFont="1" applyFill="1" applyBorder="1" applyAlignment="1" applyProtection="1">
      <alignment horizontal="center" vertical="center"/>
      <protection locked="0"/>
    </xf>
    <xf numFmtId="2" fontId="68" fillId="0" borderId="3" xfId="1" applyNumberFormat="1" applyFont="1" applyBorder="1" applyAlignment="1">
      <alignment vertical="center"/>
    </xf>
    <xf numFmtId="2" fontId="68" fillId="0" borderId="3" xfId="1" applyNumberFormat="1" applyFont="1" applyBorder="1" applyAlignment="1">
      <alignment horizontal="right" vertical="center"/>
    </xf>
    <xf numFmtId="2" fontId="69" fillId="2" borderId="6" xfId="1" applyNumberFormat="1" applyFont="1" applyFill="1" applyBorder="1" applyAlignment="1">
      <alignment vertical="top"/>
    </xf>
    <xf numFmtId="2" fontId="68" fillId="0" borderId="6" xfId="1" applyNumberFormat="1" applyFont="1" applyBorder="1" applyAlignment="1">
      <alignment vertical="center"/>
    </xf>
    <xf numFmtId="2" fontId="69" fillId="2" borderId="9" xfId="1" applyNumberFormat="1" applyFont="1" applyFill="1" applyBorder="1" applyAlignment="1">
      <alignment vertical="top"/>
    </xf>
    <xf numFmtId="2" fontId="68" fillId="0" borderId="0" xfId="1" applyNumberFormat="1" applyFont="1" applyAlignment="1">
      <alignment vertical="center"/>
    </xf>
    <xf numFmtId="0" fontId="69" fillId="0" borderId="3" xfId="1" applyFont="1" applyBorder="1" applyAlignment="1" applyProtection="1">
      <alignment horizontal="center" vertical="center"/>
      <protection locked="0"/>
    </xf>
    <xf numFmtId="2" fontId="69" fillId="2" borderId="3" xfId="1" applyNumberFormat="1" applyFont="1" applyFill="1" applyBorder="1" applyAlignment="1">
      <alignment vertical="top"/>
    </xf>
    <xf numFmtId="0" fontId="68" fillId="0" borderId="2" xfId="1" applyFont="1" applyBorder="1" applyAlignment="1">
      <alignment horizontal="center" vertical="center"/>
    </xf>
    <xf numFmtId="0" fontId="69" fillId="0" borderId="6" xfId="1" applyFont="1" applyBorder="1" applyAlignment="1" applyProtection="1">
      <alignment horizontal="center" vertical="center"/>
      <protection locked="0"/>
    </xf>
    <xf numFmtId="2" fontId="68" fillId="0" borderId="2" xfId="1" applyNumberFormat="1" applyFont="1" applyBorder="1" applyAlignment="1">
      <alignment vertical="center"/>
    </xf>
    <xf numFmtId="0" fontId="68" fillId="0" borderId="3" xfId="1" applyFont="1" applyBorder="1" applyAlignment="1">
      <alignment wrapText="1"/>
    </xf>
    <xf numFmtId="0" fontId="69" fillId="3" borderId="6" xfId="1" applyFont="1" applyFill="1" applyBorder="1" applyAlignment="1" applyProtection="1">
      <alignment horizontal="center" vertical="center"/>
      <protection locked="0"/>
    </xf>
    <xf numFmtId="0" fontId="68" fillId="0" borderId="6" xfId="2" applyFont="1" applyBorder="1"/>
    <xf numFmtId="2" fontId="69" fillId="2" borderId="3" xfId="1" applyNumberFormat="1" applyFont="1" applyFill="1" applyBorder="1" applyAlignment="1">
      <alignment vertical="center"/>
    </xf>
    <xf numFmtId="2" fontId="69" fillId="2" borderId="9" xfId="1" applyNumberFormat="1" applyFont="1" applyFill="1" applyBorder="1" applyAlignment="1">
      <alignment vertical="center"/>
    </xf>
    <xf numFmtId="0" fontId="68" fillId="0" borderId="9" xfId="1" applyFont="1" applyBorder="1" applyAlignment="1">
      <alignment vertical="center"/>
    </xf>
    <xf numFmtId="0" fontId="68" fillId="0" borderId="11" xfId="1" applyFont="1" applyBorder="1" applyAlignment="1">
      <alignment vertical="center"/>
    </xf>
    <xf numFmtId="2" fontId="69" fillId="3" borderId="8" xfId="1" applyNumberFormat="1" applyFont="1" applyFill="1" applyBorder="1" applyAlignment="1" applyProtection="1">
      <alignment vertical="center"/>
      <protection locked="0"/>
    </xf>
    <xf numFmtId="2" fontId="69" fillId="0" borderId="3" xfId="1" applyNumberFormat="1" applyFont="1" applyBorder="1" applyAlignment="1">
      <alignment vertical="center"/>
    </xf>
    <xf numFmtId="2" fontId="69" fillId="0" borderId="9" xfId="1" applyNumberFormat="1" applyFont="1" applyBorder="1" applyAlignment="1">
      <alignment vertical="center"/>
    </xf>
    <xf numFmtId="0" fontId="68" fillId="0" borderId="3" xfId="1" applyFont="1" applyBorder="1" applyAlignment="1">
      <alignment horizontal="left" vertical="center"/>
    </xf>
    <xf numFmtId="2" fontId="69" fillId="0" borderId="8" xfId="1" applyNumberFormat="1" applyFont="1" applyBorder="1" applyAlignment="1">
      <alignment vertical="center"/>
    </xf>
    <xf numFmtId="0" fontId="69" fillId="0" borderId="3" xfId="1" applyFont="1" applyBorder="1" applyAlignment="1">
      <alignment vertical="center"/>
    </xf>
    <xf numFmtId="2" fontId="68" fillId="0" borderId="0" xfId="1" applyNumberFormat="1" applyFont="1" applyAlignment="1">
      <alignment horizontal="right" vertical="top"/>
    </xf>
    <xf numFmtId="0" fontId="69" fillId="0" borderId="0" xfId="1" applyFont="1" applyAlignment="1">
      <alignment vertical="center"/>
    </xf>
    <xf numFmtId="0" fontId="68" fillId="0" borderId="0" xfId="1" applyFont="1" applyAlignment="1">
      <alignment horizontal="right" vertical="center"/>
    </xf>
    <xf numFmtId="0" fontId="68" fillId="0" borderId="0" xfId="1" applyFont="1" applyAlignment="1">
      <alignment horizontal="center" vertical="center"/>
    </xf>
    <xf numFmtId="2" fontId="69" fillId="3" borderId="3" xfId="1" applyNumberFormat="1" applyFont="1" applyFill="1" applyBorder="1" applyAlignment="1">
      <alignment vertical="center"/>
    </xf>
    <xf numFmtId="2" fontId="69" fillId="0" borderId="3" xfId="1" applyNumberFormat="1" applyFont="1" applyBorder="1" applyAlignment="1">
      <alignment horizontal="right" vertical="top"/>
    </xf>
    <xf numFmtId="2" fontId="69" fillId="0" borderId="3" xfId="1" applyNumberFormat="1" applyFont="1" applyBorder="1" applyAlignment="1">
      <alignment horizontal="center" vertical="center"/>
    </xf>
    <xf numFmtId="0" fontId="69" fillId="0" borderId="0" xfId="1" applyFont="1" applyAlignment="1">
      <alignment horizontal="center" vertical="center"/>
    </xf>
    <xf numFmtId="2" fontId="69" fillId="0" borderId="0" xfId="1" applyNumberFormat="1" applyFont="1" applyAlignment="1">
      <alignment vertical="center"/>
    </xf>
    <xf numFmtId="2" fontId="69" fillId="0" borderId="0" xfId="1" applyNumberFormat="1" applyFont="1" applyAlignment="1">
      <alignment horizontal="right" vertical="center"/>
    </xf>
    <xf numFmtId="2" fontId="68" fillId="0" borderId="0" xfId="1" applyNumberFormat="1" applyFont="1" applyAlignment="1">
      <alignment horizontal="right" vertical="center"/>
    </xf>
    <xf numFmtId="0" fontId="71" fillId="0" borderId="0" xfId="1" applyFont="1" applyAlignment="1">
      <alignment horizontal="center" vertical="center"/>
    </xf>
    <xf numFmtId="0" fontId="67" fillId="3" borderId="0" xfId="1" applyFont="1" applyFill="1" applyAlignment="1">
      <alignment horizontal="left" vertical="center"/>
    </xf>
    <xf numFmtId="0" fontId="69" fillId="3" borderId="2" xfId="1" applyFont="1" applyFill="1" applyBorder="1" applyAlignment="1">
      <alignment horizontal="center" vertical="center"/>
    </xf>
    <xf numFmtId="0" fontId="69" fillId="3" borderId="12" xfId="1" applyFont="1" applyFill="1" applyBorder="1" applyAlignment="1">
      <alignment horizontal="center" vertical="center"/>
    </xf>
    <xf numFmtId="0" fontId="68" fillId="3" borderId="3" xfId="1" applyFont="1" applyFill="1" applyBorder="1" applyAlignment="1">
      <alignment vertical="center"/>
    </xf>
    <xf numFmtId="2" fontId="69" fillId="3" borderId="0" xfId="1" applyNumberFormat="1" applyFont="1" applyFill="1" applyAlignment="1">
      <alignment horizontal="center" vertical="center"/>
    </xf>
    <xf numFmtId="0" fontId="69" fillId="3" borderId="10" xfId="1" applyFont="1" applyFill="1" applyBorder="1" applyAlignment="1">
      <alignment horizontal="center" vertical="center"/>
    </xf>
    <xf numFmtId="0" fontId="69" fillId="3" borderId="13" xfId="1" applyFont="1" applyFill="1" applyBorder="1" applyAlignment="1">
      <alignment horizontal="center" vertical="center"/>
    </xf>
    <xf numFmtId="0" fontId="69" fillId="3" borderId="11" xfId="1" applyFont="1" applyFill="1" applyBorder="1" applyAlignment="1">
      <alignment horizontal="center" vertical="center"/>
    </xf>
    <xf numFmtId="0" fontId="68" fillId="3" borderId="0" xfId="2" applyFont="1" applyFill="1"/>
    <xf numFmtId="0" fontId="68" fillId="3" borderId="13" xfId="2" applyFont="1" applyFill="1" applyBorder="1"/>
    <xf numFmtId="0" fontId="69" fillId="3" borderId="6" xfId="1" applyFont="1" applyFill="1" applyBorder="1" applyAlignment="1">
      <alignment horizontal="center" vertical="center"/>
    </xf>
    <xf numFmtId="0" fontId="69" fillId="3" borderId="14" xfId="1" applyFont="1" applyFill="1" applyBorder="1" applyAlignment="1">
      <alignment horizontal="center" vertical="center"/>
    </xf>
    <xf numFmtId="0" fontId="69" fillId="3" borderId="0" xfId="1" applyFont="1" applyFill="1" applyAlignment="1">
      <alignment horizontal="center" vertical="center"/>
    </xf>
    <xf numFmtId="0" fontId="68" fillId="3" borderId="3" xfId="1" applyFont="1" applyFill="1" applyBorder="1" applyAlignment="1">
      <alignment horizontal="center" vertical="top"/>
    </xf>
    <xf numFmtId="0" fontId="68" fillId="3" borderId="3" xfId="1" applyFont="1" applyFill="1" applyBorder="1" applyAlignment="1">
      <alignment horizontal="left" vertical="top"/>
    </xf>
    <xf numFmtId="0" fontId="69" fillId="3" borderId="3" xfId="1" applyFont="1" applyFill="1" applyBorder="1" applyAlignment="1">
      <alignment horizontal="center"/>
    </xf>
    <xf numFmtId="0" fontId="68" fillId="3" borderId="9" xfId="1" applyFont="1" applyFill="1" applyBorder="1" applyAlignment="1">
      <alignment horizontal="center" vertical="top"/>
    </xf>
    <xf numFmtId="2" fontId="68" fillId="3" borderId="8" xfId="1" applyNumberFormat="1" applyFont="1" applyFill="1" applyBorder="1" applyAlignment="1">
      <alignment vertical="top"/>
    </xf>
    <xf numFmtId="2" fontId="69" fillId="3" borderId="0" xfId="1" applyNumberFormat="1" applyFont="1" applyFill="1" applyAlignment="1">
      <alignment horizontal="right" vertical="top"/>
    </xf>
    <xf numFmtId="0" fontId="68" fillId="3" borderId="3" xfId="1" applyFont="1" applyFill="1" applyBorder="1" applyAlignment="1">
      <alignment horizontal="center"/>
    </xf>
    <xf numFmtId="0" fontId="69" fillId="3" borderId="11" xfId="1" applyFont="1" applyFill="1" applyBorder="1" applyAlignment="1">
      <alignment horizontal="center" vertical="justify"/>
    </xf>
    <xf numFmtId="0" fontId="69" fillId="3" borderId="0" xfId="1" applyFont="1" applyFill="1" applyAlignment="1">
      <alignment horizontal="left" vertical="center"/>
    </xf>
    <xf numFmtId="0" fontId="68" fillId="3" borderId="0" xfId="1" applyFont="1" applyFill="1" applyAlignment="1">
      <alignment horizontal="center" vertical="center"/>
    </xf>
    <xf numFmtId="0" fontId="68" fillId="3" borderId="0" xfId="1" applyFont="1" applyFill="1" applyAlignment="1">
      <alignment vertical="center"/>
    </xf>
    <xf numFmtId="166" fontId="69" fillId="3" borderId="0" xfId="1" applyNumberFormat="1" applyFont="1" applyFill="1" applyAlignment="1">
      <alignment horizontal="left"/>
    </xf>
    <xf numFmtId="0" fontId="67" fillId="3" borderId="1" xfId="1" applyFont="1" applyFill="1" applyBorder="1" applyAlignment="1">
      <alignment vertical="center"/>
    </xf>
    <xf numFmtId="0" fontId="67" fillId="3" borderId="1" xfId="1" applyFont="1" applyFill="1" applyBorder="1" applyAlignment="1">
      <alignment horizontal="justify"/>
    </xf>
    <xf numFmtId="0" fontId="67" fillId="3" borderId="0" xfId="1" applyFont="1" applyFill="1" applyAlignment="1">
      <alignment vertical="center"/>
    </xf>
    <xf numFmtId="0" fontId="68" fillId="3" borderId="0" xfId="1" applyFont="1" applyFill="1"/>
    <xf numFmtId="0" fontId="67" fillId="8" borderId="0" xfId="1" applyFont="1" applyFill="1" applyAlignment="1">
      <alignment horizontal="right" vertical="center"/>
    </xf>
    <xf numFmtId="0" fontId="67" fillId="3" borderId="0" xfId="1" applyFont="1" applyFill="1" applyAlignment="1">
      <alignment horizontal="right" vertical="center"/>
    </xf>
    <xf numFmtId="0" fontId="69" fillId="3" borderId="5" xfId="1" applyFont="1" applyFill="1" applyBorder="1" applyAlignment="1">
      <alignment horizontal="center" vertical="center"/>
    </xf>
    <xf numFmtId="0" fontId="68" fillId="3" borderId="3" xfId="2" applyFont="1" applyFill="1" applyBorder="1" applyAlignment="1">
      <alignment horizontal="center"/>
    </xf>
    <xf numFmtId="2" fontId="69" fillId="3" borderId="0" xfId="1" applyNumberFormat="1" applyFont="1" applyFill="1" applyAlignment="1">
      <alignment horizontal="right" vertical="center"/>
    </xf>
    <xf numFmtId="2" fontId="69" fillId="8" borderId="0" xfId="1" applyNumberFormat="1" applyFont="1" applyFill="1" applyAlignment="1">
      <alignment horizontal="center" vertical="center"/>
    </xf>
    <xf numFmtId="0" fontId="68" fillId="8" borderId="0" xfId="2" applyFont="1" applyFill="1"/>
    <xf numFmtId="0" fontId="69" fillId="3" borderId="1" xfId="1" applyFont="1" applyFill="1" applyBorder="1" applyAlignment="1">
      <alignment horizontal="center" vertical="center"/>
    </xf>
    <xf numFmtId="0" fontId="69" fillId="3" borderId="0" xfId="1" applyFont="1" applyFill="1" applyAlignment="1">
      <alignment horizontal="right" vertical="center"/>
    </xf>
    <xf numFmtId="0" fontId="69" fillId="3" borderId="2" xfId="1" applyFont="1" applyFill="1" applyBorder="1" applyAlignment="1">
      <alignment horizontal="center" vertical="justify"/>
    </xf>
    <xf numFmtId="0" fontId="69" fillId="3" borderId="12" xfId="1" applyFont="1" applyFill="1" applyBorder="1" applyAlignment="1">
      <alignment horizontal="left" vertical="top"/>
    </xf>
    <xf numFmtId="0" fontId="68" fillId="3" borderId="8" xfId="1" applyFont="1" applyFill="1" applyBorder="1" applyAlignment="1">
      <alignment horizontal="center" vertical="top"/>
    </xf>
    <xf numFmtId="0" fontId="68" fillId="3" borderId="3" xfId="2" applyFont="1" applyFill="1" applyBorder="1"/>
    <xf numFmtId="0" fontId="69" fillId="3" borderId="9" xfId="1" applyFont="1" applyFill="1" applyBorder="1" applyAlignment="1">
      <alignment horizontal="center" vertical="top"/>
    </xf>
    <xf numFmtId="2" fontId="69" fillId="3" borderId="8" xfId="1" applyNumberFormat="1" applyFont="1" applyFill="1" applyBorder="1" applyAlignment="1">
      <alignment vertical="top"/>
    </xf>
    <xf numFmtId="2" fontId="68" fillId="3" borderId="3" xfId="1" applyNumberFormat="1" applyFont="1" applyFill="1" applyBorder="1" applyAlignment="1">
      <alignment vertical="center"/>
    </xf>
    <xf numFmtId="2" fontId="68" fillId="3" borderId="3" xfId="1" applyNumberFormat="1" applyFont="1" applyFill="1" applyBorder="1" applyAlignment="1">
      <alignment horizontal="center" vertical="center"/>
    </xf>
    <xf numFmtId="2" fontId="69" fillId="3" borderId="0" xfId="1" applyNumberFormat="1" applyFont="1" applyFill="1" applyAlignment="1">
      <alignment horizontal="right"/>
    </xf>
    <xf numFmtId="0" fontId="68" fillId="3" borderId="10" xfId="1" applyFont="1" applyFill="1" applyBorder="1" applyAlignment="1">
      <alignment horizontal="center" vertical="justify"/>
    </xf>
    <xf numFmtId="0" fontId="68" fillId="3" borderId="13" xfId="1" applyFont="1" applyFill="1" applyBorder="1" applyAlignment="1">
      <alignment horizontal="left" vertical="center"/>
    </xf>
    <xf numFmtId="0" fontId="69" fillId="3" borderId="10" xfId="1" applyFont="1" applyFill="1" applyBorder="1" applyAlignment="1">
      <alignment horizontal="center" vertical="justify"/>
    </xf>
    <xf numFmtId="0" fontId="68" fillId="3" borderId="13" xfId="1" applyFont="1" applyFill="1" applyBorder="1" applyAlignment="1">
      <alignment horizontal="center" vertical="center"/>
    </xf>
    <xf numFmtId="2" fontId="69" fillId="0" borderId="0" xfId="1" applyNumberFormat="1" applyFont="1" applyAlignment="1">
      <alignment horizontal="right" vertical="top"/>
    </xf>
    <xf numFmtId="0" fontId="69" fillId="3" borderId="6" xfId="1" applyFont="1" applyFill="1" applyBorder="1" applyAlignment="1">
      <alignment horizontal="center" vertical="justify"/>
    </xf>
    <xf numFmtId="0" fontId="68" fillId="3" borderId="6" xfId="1" applyFont="1" applyFill="1" applyBorder="1" applyAlignment="1">
      <alignment horizontal="center" vertical="center"/>
    </xf>
    <xf numFmtId="2" fontId="69" fillId="0" borderId="0" xfId="1" applyNumberFormat="1" applyFont="1" applyAlignment="1">
      <alignment horizontal="center" vertical="top"/>
    </xf>
    <xf numFmtId="167" fontId="69" fillId="3" borderId="0" xfId="1" applyNumberFormat="1" applyFont="1" applyFill="1" applyAlignment="1">
      <alignment horizontal="left"/>
    </xf>
    <xf numFmtId="0" fontId="69" fillId="0" borderId="0" xfId="1" applyFont="1" applyAlignment="1">
      <alignment horizontal="center" vertical="justify"/>
    </xf>
    <xf numFmtId="0" fontId="69" fillId="0" borderId="0" xfId="1" applyFont="1" applyAlignment="1">
      <alignment horizontal="left" vertical="center"/>
    </xf>
    <xf numFmtId="0" fontId="69" fillId="0" borderId="0" xfId="1" applyFont="1" applyAlignment="1">
      <alignment horizontal="right" vertical="center"/>
    </xf>
    <xf numFmtId="2" fontId="69" fillId="0" borderId="0" xfId="1" applyNumberFormat="1" applyFont="1" applyAlignment="1">
      <alignment horizontal="right"/>
    </xf>
    <xf numFmtId="166" fontId="69" fillId="0" borderId="0" xfId="1" applyNumberFormat="1" applyFont="1" applyAlignment="1">
      <alignment horizontal="right"/>
    </xf>
    <xf numFmtId="167" fontId="69" fillId="0" borderId="0" xfId="1" applyNumberFormat="1" applyFont="1" applyAlignment="1">
      <alignment horizontal="left"/>
    </xf>
    <xf numFmtId="0" fontId="67" fillId="0" borderId="0" xfId="1" applyFont="1" applyAlignment="1">
      <alignment vertical="center"/>
    </xf>
    <xf numFmtId="0" fontId="69" fillId="0" borderId="0" xfId="1" applyFont="1" applyAlignment="1">
      <alignment horizontal="center" vertical="top"/>
    </xf>
    <xf numFmtId="0" fontId="69" fillId="0" borderId="8" xfId="1" applyFont="1" applyBorder="1" applyAlignment="1">
      <alignment horizontal="left" vertical="center"/>
    </xf>
    <xf numFmtId="0" fontId="68" fillId="0" borderId="15" xfId="1" applyFont="1" applyBorder="1" applyAlignment="1">
      <alignment vertical="center"/>
    </xf>
    <xf numFmtId="0" fontId="69" fillId="0" borderId="3" xfId="2" applyFont="1" applyBorder="1" applyAlignment="1">
      <alignment horizontal="right"/>
    </xf>
    <xf numFmtId="0" fontId="69" fillId="0" borderId="0" xfId="2" applyFont="1" applyAlignment="1">
      <alignment horizontal="center"/>
    </xf>
    <xf numFmtId="0" fontId="67" fillId="3" borderId="0" xfId="1" applyFont="1" applyFill="1" applyAlignment="1">
      <alignment horizontal="center" vertical="center"/>
    </xf>
    <xf numFmtId="0" fontId="69" fillId="0" borderId="0" xfId="1" applyFont="1"/>
    <xf numFmtId="0" fontId="69" fillId="3" borderId="0" xfId="1" applyFont="1" applyFill="1" applyAlignment="1">
      <alignment horizontal="left" vertical="top"/>
    </xf>
    <xf numFmtId="0" fontId="68" fillId="3" borderId="0" xfId="1" applyFont="1" applyFill="1" applyAlignment="1">
      <alignment horizontal="left" vertical="center"/>
    </xf>
    <xf numFmtId="2" fontId="68" fillId="3" borderId="0" xfId="1" applyNumberFormat="1" applyFont="1" applyFill="1" applyAlignment="1">
      <alignment vertical="center"/>
    </xf>
    <xf numFmtId="2" fontId="69" fillId="3" borderId="0" xfId="1" applyNumberFormat="1" applyFont="1" applyFill="1" applyAlignment="1">
      <alignment vertical="center"/>
    </xf>
    <xf numFmtId="0" fontId="68" fillId="0" borderId="3" xfId="1" applyFont="1" applyBorder="1"/>
    <xf numFmtId="0" fontId="69" fillId="3" borderId="9" xfId="1" applyFont="1" applyFill="1" applyBorder="1" applyAlignment="1">
      <alignment horizontal="center" vertical="center"/>
    </xf>
    <xf numFmtId="0" fontId="69" fillId="3" borderId="15" xfId="1" applyFont="1" applyFill="1" applyBorder="1" applyAlignment="1">
      <alignment horizontal="center" vertical="center"/>
    </xf>
    <xf numFmtId="0" fontId="69" fillId="3" borderId="8" xfId="1" applyFont="1" applyFill="1" applyBorder="1" applyAlignment="1">
      <alignment horizontal="center" vertical="center"/>
    </xf>
    <xf numFmtId="0" fontId="69" fillId="3" borderId="3" xfId="1" applyFont="1" applyFill="1" applyBorder="1" applyAlignment="1">
      <alignment horizontal="center" vertical="center"/>
    </xf>
    <xf numFmtId="0" fontId="69" fillId="3" borderId="11" xfId="1" applyFont="1" applyFill="1" applyBorder="1" applyAlignment="1">
      <alignment vertical="center"/>
    </xf>
    <xf numFmtId="0" fontId="68" fillId="0" borderId="6" xfId="1" applyFont="1" applyBorder="1" applyAlignment="1">
      <alignment vertical="center"/>
    </xf>
    <xf numFmtId="0" fontId="69" fillId="2" borderId="6" xfId="1" applyFont="1" applyFill="1" applyBorder="1" applyAlignment="1">
      <alignment vertical="center"/>
    </xf>
    <xf numFmtId="0" fontId="69" fillId="0" borderId="6" xfId="1" applyFont="1" applyBorder="1" applyAlignment="1">
      <alignment vertical="center"/>
    </xf>
    <xf numFmtId="0" fontId="69" fillId="3" borderId="3" xfId="1" applyFont="1" applyFill="1" applyBorder="1" applyAlignment="1">
      <alignment vertical="center"/>
    </xf>
    <xf numFmtId="0" fontId="69" fillId="3" borderId="15" xfId="1" applyFont="1" applyFill="1" applyBorder="1" applyAlignment="1">
      <alignment vertical="center"/>
    </xf>
    <xf numFmtId="0" fontId="69" fillId="3" borderId="9" xfId="1" applyFont="1" applyFill="1" applyBorder="1" applyAlignment="1">
      <alignment vertical="center"/>
    </xf>
    <xf numFmtId="0" fontId="69" fillId="3" borderId="3" xfId="1" applyFont="1" applyFill="1" applyBorder="1" applyAlignment="1">
      <alignment horizontal="right" vertical="center"/>
    </xf>
    <xf numFmtId="0" fontId="68" fillId="3" borderId="8" xfId="1" applyFont="1" applyFill="1" applyBorder="1" applyAlignment="1">
      <alignment vertical="center"/>
    </xf>
    <xf numFmtId="0" fontId="68" fillId="3" borderId="9" xfId="1" applyFont="1" applyFill="1" applyBorder="1" applyAlignment="1">
      <alignment vertical="center"/>
    </xf>
    <xf numFmtId="0" fontId="68" fillId="3" borderId="3" xfId="1" applyFont="1" applyFill="1" applyBorder="1" applyAlignment="1">
      <alignment horizontal="center" vertical="center"/>
    </xf>
    <xf numFmtId="2" fontId="68" fillId="3" borderId="8" xfId="1" applyNumberFormat="1" applyFont="1" applyFill="1" applyBorder="1" applyAlignment="1">
      <alignment vertical="center"/>
    </xf>
    <xf numFmtId="1" fontId="68" fillId="3" borderId="11" xfId="1" applyNumberFormat="1" applyFont="1" applyFill="1" applyBorder="1" applyAlignment="1">
      <alignment vertical="center"/>
    </xf>
    <xf numFmtId="0" fontId="69" fillId="0" borderId="8" xfId="1" applyFont="1" applyBorder="1" applyAlignment="1">
      <alignment vertical="center"/>
    </xf>
    <xf numFmtId="0" fontId="69" fillId="0" borderId="3" xfId="1" applyFont="1" applyBorder="1" applyAlignment="1" applyProtection="1">
      <alignment vertical="center"/>
      <protection locked="0"/>
    </xf>
    <xf numFmtId="2" fontId="68" fillId="2" borderId="3" xfId="1" applyNumberFormat="1" applyFont="1" applyFill="1" applyBorder="1" applyAlignment="1">
      <alignment vertical="center"/>
    </xf>
    <xf numFmtId="0" fontId="68" fillId="0" borderId="8" xfId="1" applyFont="1" applyBorder="1" applyAlignment="1">
      <alignment vertical="center"/>
    </xf>
    <xf numFmtId="0" fontId="68" fillId="0" borderId="11" xfId="1" applyFont="1" applyBorder="1"/>
    <xf numFmtId="0" fontId="68" fillId="3" borderId="1" xfId="1" applyFont="1" applyFill="1" applyBorder="1" applyAlignment="1">
      <alignment vertical="center"/>
    </xf>
    <xf numFmtId="2" fontId="68" fillId="3" borderId="3" xfId="1" applyNumberFormat="1" applyFont="1" applyFill="1" applyBorder="1" applyAlignment="1">
      <alignment horizontal="right" vertical="center"/>
    </xf>
    <xf numFmtId="0" fontId="68" fillId="3" borderId="15" xfId="1" applyFont="1" applyFill="1" applyBorder="1" applyAlignment="1">
      <alignment vertical="center"/>
    </xf>
    <xf numFmtId="2" fontId="69" fillId="0" borderId="3" xfId="1" applyNumberFormat="1" applyFont="1" applyBorder="1" applyAlignment="1" applyProtection="1">
      <alignment horizontal="right" vertical="center"/>
      <protection locked="0"/>
    </xf>
    <xf numFmtId="2" fontId="69" fillId="2" borderId="3" xfId="1" applyNumberFormat="1" applyFont="1" applyFill="1" applyBorder="1" applyAlignment="1" applyProtection="1">
      <alignment vertical="center"/>
      <protection locked="0"/>
    </xf>
    <xf numFmtId="0" fontId="69" fillId="3" borderId="5" xfId="1" applyFont="1" applyFill="1" applyBorder="1" applyAlignment="1">
      <alignment vertical="center"/>
    </xf>
    <xf numFmtId="0" fontId="68" fillId="3" borderId="5" xfId="1" applyFont="1" applyFill="1" applyBorder="1" applyAlignment="1">
      <alignment vertical="center"/>
    </xf>
    <xf numFmtId="2" fontId="69" fillId="0" borderId="3" xfId="1" applyNumberFormat="1" applyFont="1" applyBorder="1" applyAlignment="1" applyProtection="1">
      <alignment vertical="center"/>
      <protection locked="0"/>
    </xf>
    <xf numFmtId="0" fontId="68" fillId="3" borderId="9" xfId="1" applyFont="1" applyFill="1" applyBorder="1" applyAlignment="1">
      <alignment horizontal="center" vertical="center"/>
    </xf>
    <xf numFmtId="0" fontId="68" fillId="0" borderId="4" xfId="1" applyFont="1" applyBorder="1" applyAlignment="1">
      <alignment vertical="center"/>
    </xf>
    <xf numFmtId="0" fontId="69" fillId="3" borderId="3" xfId="1" applyFont="1" applyFill="1" applyBorder="1"/>
    <xf numFmtId="0" fontId="68" fillId="3" borderId="8" xfId="1" applyFont="1" applyFill="1" applyBorder="1" applyAlignment="1">
      <alignment horizontal="left" vertical="center"/>
    </xf>
    <xf numFmtId="0" fontId="68" fillId="0" borderId="8" xfId="1" applyFont="1" applyBorder="1" applyAlignment="1">
      <alignment horizontal="left" vertical="center"/>
    </xf>
    <xf numFmtId="0" fontId="68" fillId="3" borderId="1" xfId="1" applyFont="1" applyFill="1" applyBorder="1" applyAlignment="1">
      <alignment horizontal="left" vertical="center"/>
    </xf>
    <xf numFmtId="0" fontId="68" fillId="3" borderId="15" xfId="1" applyFont="1" applyFill="1" applyBorder="1" applyAlignment="1">
      <alignment horizontal="left" vertical="center"/>
    </xf>
    <xf numFmtId="0" fontId="68" fillId="3" borderId="5" xfId="1" applyFont="1" applyFill="1" applyBorder="1" applyAlignment="1">
      <alignment horizontal="left" vertical="center"/>
    </xf>
    <xf numFmtId="0" fontId="68" fillId="8" borderId="3" xfId="1" applyFont="1" applyFill="1" applyBorder="1" applyAlignment="1">
      <alignment horizontal="center" vertical="center"/>
    </xf>
    <xf numFmtId="0" fontId="68" fillId="8" borderId="3" xfId="2" applyFont="1" applyFill="1" applyBorder="1"/>
    <xf numFmtId="2" fontId="72" fillId="0" borderId="3" xfId="1" applyNumberFormat="1" applyFont="1" applyBorder="1" applyAlignment="1" applyProtection="1">
      <alignment vertical="center"/>
      <protection locked="0"/>
    </xf>
    <xf numFmtId="0" fontId="73" fillId="0" borderId="3" xfId="1" applyFont="1" applyBorder="1" applyAlignment="1">
      <alignment vertical="center"/>
    </xf>
    <xf numFmtId="2" fontId="72" fillId="0" borderId="3" xfId="1" applyNumberFormat="1" applyFont="1" applyBorder="1" applyAlignment="1">
      <alignment vertical="center"/>
    </xf>
    <xf numFmtId="2" fontId="72" fillId="0" borderId="3" xfId="1" applyNumberFormat="1" applyFont="1" applyBorder="1" applyAlignment="1">
      <alignment horizontal="right" vertical="center"/>
    </xf>
    <xf numFmtId="2" fontId="72" fillId="0" borderId="3" xfId="1" applyNumberFormat="1" applyFont="1" applyBorder="1" applyAlignment="1" applyProtection="1">
      <alignment horizontal="right" vertical="center"/>
      <protection locked="0"/>
    </xf>
    <xf numFmtId="2" fontId="69" fillId="3" borderId="3" xfId="1" applyNumberFormat="1" applyFont="1" applyFill="1" applyBorder="1" applyAlignment="1" applyProtection="1">
      <alignment vertical="center"/>
      <protection locked="0"/>
    </xf>
    <xf numFmtId="2" fontId="72" fillId="3" borderId="3" xfId="1" applyNumberFormat="1" applyFont="1" applyFill="1" applyBorder="1" applyAlignment="1" applyProtection="1">
      <alignment vertical="center"/>
      <protection locked="0"/>
    </xf>
    <xf numFmtId="2" fontId="74" fillId="0" borderId="3" xfId="1" applyNumberFormat="1" applyFont="1" applyBorder="1" applyAlignment="1">
      <alignment vertical="center"/>
    </xf>
    <xf numFmtId="2" fontId="69" fillId="3" borderId="3" xfId="1" applyNumberFormat="1" applyFont="1" applyFill="1" applyBorder="1" applyAlignment="1" applyProtection="1">
      <alignment horizontal="right" vertical="center"/>
      <protection locked="0"/>
    </xf>
    <xf numFmtId="0" fontId="68" fillId="3" borderId="4" xfId="1" applyFont="1" applyFill="1" applyBorder="1" applyAlignment="1">
      <alignment vertical="center"/>
    </xf>
    <xf numFmtId="0" fontId="69" fillId="3" borderId="8" xfId="1" applyFont="1" applyFill="1" applyBorder="1" applyAlignment="1">
      <alignment vertical="center"/>
    </xf>
    <xf numFmtId="2" fontId="68" fillId="3" borderId="3" xfId="1" applyNumberFormat="1" applyFont="1" applyFill="1" applyBorder="1" applyAlignment="1" applyProtection="1">
      <alignment vertical="center"/>
      <protection locked="0"/>
    </xf>
    <xf numFmtId="0" fontId="68" fillId="3" borderId="7" xfId="1" applyFont="1" applyFill="1" applyBorder="1" applyAlignment="1">
      <alignment vertical="center"/>
    </xf>
    <xf numFmtId="2" fontId="73" fillId="3" borderId="3" xfId="1" applyNumberFormat="1" applyFont="1" applyFill="1" applyBorder="1" applyAlignment="1" applyProtection="1">
      <alignment vertical="center"/>
      <protection locked="0"/>
    </xf>
    <xf numFmtId="2" fontId="68" fillId="0" borderId="3" xfId="1" applyNumberFormat="1" applyFont="1" applyBorder="1" applyAlignment="1" applyProtection="1">
      <alignment vertical="center"/>
      <protection locked="0"/>
    </xf>
    <xf numFmtId="1" fontId="68" fillId="3" borderId="0" xfId="1" applyNumberFormat="1" applyFont="1" applyFill="1" applyAlignment="1">
      <alignment vertical="center"/>
    </xf>
    <xf numFmtId="0" fontId="68" fillId="0" borderId="2" xfId="1" applyFont="1" applyBorder="1" applyAlignment="1">
      <alignment vertical="center"/>
    </xf>
    <xf numFmtId="2" fontId="69" fillId="0" borderId="2" xfId="1" applyNumberFormat="1" applyFont="1" applyBorder="1" applyAlignment="1" applyProtection="1">
      <alignment vertical="center"/>
      <protection locked="0"/>
    </xf>
    <xf numFmtId="2" fontId="68" fillId="3" borderId="2" xfId="1" applyNumberFormat="1" applyFont="1" applyFill="1" applyBorder="1" applyAlignment="1" applyProtection="1">
      <alignment vertical="center"/>
      <protection locked="0"/>
    </xf>
    <xf numFmtId="0" fontId="69" fillId="3" borderId="0" xfId="1" applyFont="1" applyFill="1"/>
    <xf numFmtId="0" fontId="67" fillId="3" borderId="3" xfId="1" applyFont="1" applyFill="1" applyBorder="1" applyAlignment="1">
      <alignment vertical="center"/>
    </xf>
    <xf numFmtId="0" fontId="68" fillId="3" borderId="15" xfId="1" applyFont="1" applyFill="1" applyBorder="1" applyAlignment="1">
      <alignment horizontal="center" vertical="center"/>
    </xf>
    <xf numFmtId="0" fontId="68" fillId="3" borderId="3" xfId="1" applyFont="1" applyFill="1" applyBorder="1"/>
    <xf numFmtId="2" fontId="68" fillId="3" borderId="15" xfId="1" applyNumberFormat="1" applyFont="1" applyFill="1" applyBorder="1" applyAlignment="1">
      <alignment vertical="center"/>
    </xf>
    <xf numFmtId="0" fontId="68" fillId="3" borderId="9" xfId="1" applyFont="1" applyFill="1" applyBorder="1"/>
    <xf numFmtId="2" fontId="69" fillId="3" borderId="8" xfId="1" applyNumberFormat="1" applyFont="1" applyFill="1" applyBorder="1" applyAlignment="1">
      <alignment vertical="center"/>
    </xf>
    <xf numFmtId="0" fontId="68" fillId="0" borderId="3" xfId="1" applyFont="1" applyBorder="1" applyAlignment="1">
      <alignment vertical="top"/>
    </xf>
    <xf numFmtId="0" fontId="69" fillId="0" borderId="3" xfId="1" applyFont="1" applyBorder="1" applyAlignment="1" applyProtection="1">
      <alignment vertical="top"/>
      <protection locked="0"/>
    </xf>
    <xf numFmtId="0" fontId="69" fillId="0" borderId="3" xfId="1" applyFont="1" applyBorder="1" applyAlignment="1" applyProtection="1">
      <alignment horizontal="center"/>
      <protection locked="0"/>
    </xf>
    <xf numFmtId="2" fontId="68" fillId="0" borderId="3" xfId="1" applyNumberFormat="1" applyFont="1" applyBorder="1" applyAlignment="1" applyProtection="1">
      <alignment horizontal="right" vertical="center"/>
      <protection locked="0"/>
    </xf>
    <xf numFmtId="0" fontId="69" fillId="3" borderId="5" xfId="1" applyFont="1" applyFill="1" applyBorder="1" applyAlignment="1">
      <alignment horizontal="right" vertical="center"/>
    </xf>
    <xf numFmtId="2" fontId="69" fillId="3" borderId="5" xfId="1" applyNumberFormat="1" applyFont="1" applyFill="1" applyBorder="1" applyAlignment="1">
      <alignment horizontal="right" vertical="center"/>
    </xf>
    <xf numFmtId="2" fontId="69" fillId="3" borderId="5" xfId="1" applyNumberFormat="1" applyFont="1" applyFill="1" applyBorder="1" applyAlignment="1">
      <alignment vertical="center"/>
    </xf>
    <xf numFmtId="0" fontId="68" fillId="0" borderId="0" xfId="1" applyFont="1" applyAlignment="1" applyProtection="1">
      <alignment vertical="center"/>
      <protection locked="0"/>
    </xf>
    <xf numFmtId="0" fontId="68" fillId="3" borderId="3" xfId="2" applyFont="1" applyFill="1" applyBorder="1" applyAlignment="1">
      <alignment horizontal="right" vertical="center"/>
    </xf>
    <xf numFmtId="0" fontId="68" fillId="3" borderId="8" xfId="2" applyFont="1" applyFill="1" applyBorder="1" applyAlignment="1">
      <alignment vertical="center"/>
    </xf>
    <xf numFmtId="0" fontId="68" fillId="3" borderId="15" xfId="2" applyFont="1" applyFill="1" applyBorder="1" applyAlignment="1">
      <alignment vertical="center"/>
    </xf>
    <xf numFmtId="0" fontId="68" fillId="3" borderId="9" xfId="2" applyFont="1" applyFill="1" applyBorder="1"/>
    <xf numFmtId="0" fontId="68" fillId="3" borderId="9" xfId="2" applyFont="1" applyFill="1" applyBorder="1" applyAlignment="1">
      <alignment horizontal="center" vertical="center"/>
    </xf>
    <xf numFmtId="0" fontId="68" fillId="3" borderId="15" xfId="2" applyFont="1" applyFill="1" applyBorder="1" applyAlignment="1">
      <alignment horizontal="center" vertical="center"/>
    </xf>
    <xf numFmtId="2" fontId="68" fillId="3" borderId="8" xfId="2" applyNumberFormat="1" applyFont="1" applyFill="1" applyBorder="1"/>
    <xf numFmtId="0" fontId="68" fillId="3" borderId="3" xfId="2" applyFont="1" applyFill="1" applyBorder="1" applyAlignment="1">
      <alignment horizontal="center" vertical="center"/>
    </xf>
    <xf numFmtId="2" fontId="68" fillId="3" borderId="8" xfId="2" applyNumberFormat="1" applyFont="1" applyFill="1" applyBorder="1" applyAlignment="1">
      <alignment horizontal="right" vertical="center"/>
    </xf>
    <xf numFmtId="0" fontId="68" fillId="0" borderId="8" xfId="2" applyFont="1" applyBorder="1" applyAlignment="1">
      <alignment vertical="center"/>
    </xf>
    <xf numFmtId="2" fontId="68" fillId="0" borderId="8" xfId="2" applyNumberFormat="1" applyFont="1" applyBorder="1"/>
    <xf numFmtId="2" fontId="68" fillId="0" borderId="3" xfId="2" applyNumberFormat="1" applyFont="1" applyBorder="1" applyAlignment="1">
      <alignment horizontal="right" vertical="center"/>
    </xf>
    <xf numFmtId="2" fontId="69" fillId="0" borderId="8" xfId="2" applyNumberFormat="1" applyFont="1" applyBorder="1" applyProtection="1">
      <protection locked="0"/>
    </xf>
    <xf numFmtId="2" fontId="68" fillId="0" borderId="3" xfId="2" applyNumberFormat="1" applyFont="1" applyBorder="1" applyAlignment="1" applyProtection="1">
      <alignment horizontal="right" vertical="center"/>
      <protection locked="0"/>
    </xf>
    <xf numFmtId="0" fontId="68" fillId="0" borderId="15" xfId="2" applyFont="1" applyBorder="1" applyAlignment="1">
      <alignment vertical="center"/>
    </xf>
    <xf numFmtId="2" fontId="68" fillId="0" borderId="3" xfId="2" applyNumberFormat="1" applyFont="1" applyBorder="1" applyAlignment="1">
      <alignment horizontal="right"/>
    </xf>
    <xf numFmtId="2" fontId="68" fillId="0" borderId="3" xfId="2" applyNumberFormat="1" applyFont="1" applyBorder="1" applyAlignment="1" applyProtection="1">
      <alignment horizontal="right"/>
      <protection locked="0"/>
    </xf>
    <xf numFmtId="2" fontId="69" fillId="0" borderId="3" xfId="2" applyNumberFormat="1" applyFont="1" applyBorder="1" applyAlignment="1">
      <alignment horizontal="right"/>
    </xf>
    <xf numFmtId="2" fontId="69" fillId="0" borderId="3" xfId="2" applyNumberFormat="1" applyFont="1" applyBorder="1" applyAlignment="1" applyProtection="1">
      <alignment horizontal="right"/>
      <protection locked="0"/>
    </xf>
    <xf numFmtId="2" fontId="72" fillId="0" borderId="3" xfId="2" applyNumberFormat="1" applyFont="1" applyBorder="1" applyAlignment="1" applyProtection="1">
      <alignment horizontal="right"/>
      <protection locked="0"/>
    </xf>
    <xf numFmtId="0" fontId="68" fillId="3" borderId="15" xfId="2" applyFont="1" applyFill="1" applyBorder="1" applyAlignment="1">
      <alignment vertical="top"/>
    </xf>
    <xf numFmtId="0" fontId="68" fillId="0" borderId="15" xfId="2" applyFont="1" applyBorder="1" applyAlignment="1">
      <alignment vertical="top"/>
    </xf>
    <xf numFmtId="2" fontId="68" fillId="0" borderId="8" xfId="2" applyNumberFormat="1" applyFont="1" applyBorder="1" applyAlignment="1">
      <alignment vertical="center"/>
    </xf>
    <xf numFmtId="2" fontId="69" fillId="0" borderId="8" xfId="2" applyNumberFormat="1" applyFont="1" applyBorder="1" applyAlignment="1" applyProtection="1">
      <alignment vertical="center"/>
      <protection locked="0"/>
    </xf>
    <xf numFmtId="0" fontId="69" fillId="3" borderId="0" xfId="2" applyFont="1" applyFill="1"/>
    <xf numFmtId="0" fontId="67" fillId="3" borderId="0" xfId="2" applyFont="1" applyFill="1" applyAlignment="1">
      <alignment vertical="center"/>
    </xf>
    <xf numFmtId="0" fontId="68" fillId="3" borderId="0" xfId="2" applyFont="1" applyFill="1" applyAlignment="1">
      <alignment horizontal="center" vertical="center"/>
    </xf>
    <xf numFmtId="0" fontId="68" fillId="3" borderId="0" xfId="2" applyFont="1" applyFill="1" applyAlignment="1">
      <alignment vertical="center"/>
    </xf>
    <xf numFmtId="0" fontId="68" fillId="3" borderId="0" xfId="2" applyFont="1" applyFill="1" applyAlignment="1">
      <alignment horizontal="center"/>
    </xf>
    <xf numFmtId="2" fontId="68" fillId="3" borderId="0" xfId="2" applyNumberFormat="1" applyFont="1" applyFill="1" applyAlignment="1">
      <alignment vertical="center"/>
    </xf>
    <xf numFmtId="0" fontId="69" fillId="3" borderId="0" xfId="2" applyFont="1" applyFill="1" applyAlignment="1">
      <alignment horizontal="center" vertical="center"/>
    </xf>
    <xf numFmtId="2" fontId="69" fillId="3" borderId="0" xfId="2" applyNumberFormat="1" applyFont="1" applyFill="1" applyAlignment="1">
      <alignment vertical="center"/>
    </xf>
    <xf numFmtId="0" fontId="68" fillId="0" borderId="11" xfId="2" applyFont="1" applyBorder="1"/>
    <xf numFmtId="0" fontId="69" fillId="3" borderId="3" xfId="2" applyFont="1" applyFill="1" applyBorder="1" applyAlignment="1">
      <alignment horizontal="center" vertical="center"/>
    </xf>
    <xf numFmtId="0" fontId="69" fillId="3" borderId="9" xfId="2" applyFont="1" applyFill="1" applyBorder="1" applyAlignment="1">
      <alignment horizontal="center" vertical="center"/>
    </xf>
    <xf numFmtId="0" fontId="69" fillId="3" borderId="8" xfId="2" applyFont="1" applyFill="1" applyBorder="1" applyAlignment="1">
      <alignment horizontal="center"/>
    </xf>
    <xf numFmtId="1" fontId="68" fillId="3" borderId="11" xfId="1" applyNumberFormat="1" applyFont="1" applyFill="1" applyBorder="1" applyAlignment="1">
      <alignment horizontal="center" vertical="center"/>
    </xf>
    <xf numFmtId="0" fontId="69" fillId="0" borderId="3" xfId="2" applyFont="1" applyBorder="1" applyAlignment="1">
      <alignment horizontal="left" vertical="center"/>
    </xf>
    <xf numFmtId="0" fontId="69" fillId="2" borderId="3" xfId="2" applyFont="1" applyFill="1" applyBorder="1" applyAlignment="1">
      <alignment horizontal="center" vertical="center"/>
    </xf>
    <xf numFmtId="0" fontId="69" fillId="0" borderId="3" xfId="2" applyFont="1" applyBorder="1" applyAlignment="1">
      <alignment horizontal="center" vertical="center"/>
    </xf>
    <xf numFmtId="0" fontId="69" fillId="2" borderId="3" xfId="2" applyFont="1" applyFill="1" applyBorder="1" applyAlignment="1" applyProtection="1">
      <alignment horizontal="center" vertical="center"/>
      <protection locked="0"/>
    </xf>
    <xf numFmtId="0" fontId="69" fillId="2" borderId="8" xfId="2" applyFont="1" applyFill="1" applyBorder="1" applyAlignment="1">
      <alignment horizontal="center" vertical="center"/>
    </xf>
    <xf numFmtId="0" fontId="68" fillId="0" borderId="3" xfId="2" applyFont="1" applyBorder="1" applyAlignment="1">
      <alignment horizontal="center"/>
    </xf>
    <xf numFmtId="0" fontId="68" fillId="0" borderId="11" xfId="1" applyFont="1" applyBorder="1" applyAlignment="1">
      <alignment horizontal="center"/>
    </xf>
    <xf numFmtId="0" fontId="68" fillId="0" borderId="0" xfId="1" applyFont="1" applyAlignment="1">
      <alignment horizontal="center"/>
    </xf>
    <xf numFmtId="0" fontId="68" fillId="0" borderId="0" xfId="2" applyFont="1" applyAlignment="1">
      <alignment horizontal="center"/>
    </xf>
    <xf numFmtId="0" fontId="68" fillId="3" borderId="9" xfId="2" applyFont="1" applyFill="1" applyBorder="1" applyAlignment="1">
      <alignment vertical="center"/>
    </xf>
    <xf numFmtId="2" fontId="68" fillId="3" borderId="8" xfId="2" applyNumberFormat="1" applyFont="1" applyFill="1" applyBorder="1" applyAlignment="1">
      <alignment horizontal="right"/>
    </xf>
    <xf numFmtId="0" fontId="68" fillId="0" borderId="3" xfId="2" applyFont="1" applyBorder="1" applyAlignment="1">
      <alignment vertical="center"/>
    </xf>
    <xf numFmtId="0" fontId="68" fillId="3" borderId="8" xfId="2" applyFont="1" applyFill="1" applyBorder="1" applyAlignment="1">
      <alignment horizontal="left" vertical="center"/>
    </xf>
    <xf numFmtId="0" fontId="68" fillId="3" borderId="15" xfId="2" applyFont="1" applyFill="1" applyBorder="1" applyAlignment="1">
      <alignment horizontal="left" vertical="center"/>
    </xf>
    <xf numFmtId="0" fontId="68" fillId="3" borderId="9" xfId="2" applyFont="1" applyFill="1" applyBorder="1" applyAlignment="1">
      <alignment horizontal="left"/>
    </xf>
    <xf numFmtId="0" fontId="68" fillId="0" borderId="10" xfId="2" applyFont="1" applyBorder="1"/>
    <xf numFmtId="0" fontId="68" fillId="3" borderId="8" xfId="2" applyFont="1" applyFill="1" applyBorder="1" applyAlignment="1">
      <alignment vertical="top"/>
    </xf>
    <xf numFmtId="0" fontId="68" fillId="3" borderId="3" xfId="2" applyFont="1" applyFill="1" applyBorder="1" applyAlignment="1">
      <alignment horizontal="center" vertical="top"/>
    </xf>
    <xf numFmtId="0" fontId="68" fillId="0" borderId="8" xfId="2" applyFont="1" applyBorder="1" applyAlignment="1">
      <alignment vertical="top"/>
    </xf>
    <xf numFmtId="168" fontId="68" fillId="3" borderId="3" xfId="2" applyNumberFormat="1" applyFont="1" applyFill="1" applyBorder="1" applyAlignment="1">
      <alignment horizontal="center" vertical="top" wrapText="1"/>
    </xf>
    <xf numFmtId="0" fontId="69" fillId="3" borderId="15" xfId="2" applyFont="1" applyFill="1" applyBorder="1" applyAlignment="1">
      <alignment vertical="top"/>
    </xf>
    <xf numFmtId="2" fontId="69" fillId="2" borderId="8" xfId="2" applyNumberFormat="1" applyFont="1" applyFill="1" applyBorder="1" applyAlignment="1">
      <alignment vertical="center"/>
    </xf>
    <xf numFmtId="2" fontId="69" fillId="2" borderId="8" xfId="2" applyNumberFormat="1" applyFont="1" applyFill="1" applyBorder="1" applyAlignment="1" applyProtection="1">
      <alignment vertical="center"/>
      <protection locked="0"/>
    </xf>
    <xf numFmtId="2" fontId="68" fillId="2" borderId="3" xfId="2" applyNumberFormat="1" applyFont="1" applyFill="1" applyBorder="1" applyAlignment="1" applyProtection="1">
      <alignment horizontal="right" vertical="center"/>
      <protection locked="0"/>
    </xf>
    <xf numFmtId="2" fontId="68" fillId="2" borderId="3" xfId="2" applyNumberFormat="1" applyFont="1" applyFill="1" applyBorder="1" applyAlignment="1">
      <alignment horizontal="right" vertical="center"/>
    </xf>
    <xf numFmtId="2" fontId="68" fillId="2" borderId="8" xfId="2" applyNumberFormat="1" applyFont="1" applyFill="1" applyBorder="1" applyAlignment="1">
      <alignment vertical="center"/>
    </xf>
    <xf numFmtId="0" fontId="68" fillId="3" borderId="0" xfId="1" applyFont="1" applyFill="1" applyAlignment="1">
      <alignment horizontal="justify" vertical="center"/>
    </xf>
    <xf numFmtId="0" fontId="69" fillId="0" borderId="0" xfId="1" applyFont="1" applyAlignment="1">
      <alignment horizontal="center"/>
    </xf>
    <xf numFmtId="169" fontId="68" fillId="0" borderId="0" xfId="1" applyNumberFormat="1" applyFont="1" applyAlignment="1">
      <alignment vertical="top"/>
    </xf>
    <xf numFmtId="0" fontId="67" fillId="0" borderId="0" xfId="1" applyFont="1" applyAlignment="1">
      <alignment horizontal="center" vertical="center"/>
    </xf>
    <xf numFmtId="0" fontId="69" fillId="0" borderId="0" xfId="1" applyFont="1" applyAlignment="1">
      <alignment horizontal="left" vertical="top" wrapText="1"/>
    </xf>
    <xf numFmtId="0" fontId="69" fillId="0" borderId="16" xfId="1" applyFont="1" applyBorder="1" applyAlignment="1">
      <alignment horizontal="center" vertical="center"/>
    </xf>
    <xf numFmtId="0" fontId="69" fillId="0" borderId="22" xfId="1" applyFont="1" applyBorder="1" applyAlignment="1">
      <alignment horizontal="center" vertical="center"/>
    </xf>
    <xf numFmtId="0" fontId="69" fillId="0" borderId="24" xfId="1" applyFont="1" applyBorder="1" applyAlignment="1">
      <alignment horizontal="center" vertical="center"/>
    </xf>
    <xf numFmtId="0" fontId="69" fillId="0" borderId="8" xfId="1" applyFont="1" applyBorder="1" applyAlignment="1">
      <alignment horizontal="center" vertical="center"/>
    </xf>
    <xf numFmtId="0" fontId="69" fillId="0" borderId="29" xfId="1" applyFont="1" applyBorder="1" applyAlignment="1">
      <alignment vertical="top"/>
    </xf>
    <xf numFmtId="0" fontId="69" fillId="0" borderId="15" xfId="1" applyFont="1" applyBorder="1" applyAlignment="1">
      <alignment horizontal="left" vertical="center"/>
    </xf>
    <xf numFmtId="0" fontId="68" fillId="0" borderId="15" xfId="2" applyFont="1" applyBorder="1"/>
    <xf numFmtId="0" fontId="68" fillId="0" borderId="15" xfId="1" applyFont="1" applyBorder="1" applyAlignment="1">
      <alignment horizontal="left" vertical="center"/>
    </xf>
    <xf numFmtId="0" fontId="68" fillId="0" borderId="24" xfId="1" applyFont="1" applyBorder="1" applyAlignment="1">
      <alignment horizontal="center" vertical="center"/>
    </xf>
    <xf numFmtId="0" fontId="68" fillId="0" borderId="8" xfId="2" applyFont="1" applyBorder="1"/>
    <xf numFmtId="0" fontId="68" fillId="0" borderId="9" xfId="2" applyFont="1" applyBorder="1"/>
    <xf numFmtId="0" fontId="68" fillId="0" borderId="9" xfId="1" applyFont="1" applyBorder="1" applyAlignment="1">
      <alignment horizontal="left" vertical="center"/>
    </xf>
    <xf numFmtId="0" fontId="68" fillId="0" borderId="8" xfId="1" applyFont="1" applyBorder="1" applyAlignment="1">
      <alignment vertical="top"/>
    </xf>
    <xf numFmtId="0" fontId="69" fillId="0" borderId="29" xfId="1" applyFont="1" applyBorder="1" applyAlignment="1">
      <alignment horizontal="left" vertical="top"/>
    </xf>
    <xf numFmtId="0" fontId="69" fillId="0" borderId="9" xfId="1" applyFont="1" applyBorder="1" applyAlignment="1">
      <alignment horizontal="center" vertical="center"/>
    </xf>
    <xf numFmtId="0" fontId="69" fillId="0" borderId="8" xfId="1" applyFont="1" applyBorder="1" applyAlignment="1" applyProtection="1">
      <alignment horizontal="center" vertical="center"/>
      <protection locked="0"/>
    </xf>
    <xf numFmtId="0" fontId="69" fillId="0" borderId="26" xfId="1" applyFont="1" applyBorder="1" applyAlignment="1" applyProtection="1">
      <alignment horizontal="center" vertical="center"/>
      <protection locked="0"/>
    </xf>
    <xf numFmtId="0" fontId="69" fillId="0" borderId="8" xfId="1" applyFont="1" applyBorder="1" applyAlignment="1">
      <alignment vertical="top"/>
    </xf>
    <xf numFmtId="0" fontId="69" fillId="0" borderId="15" xfId="1" applyFont="1" applyBorder="1" applyAlignment="1">
      <alignment vertical="center"/>
    </xf>
    <xf numFmtId="0" fontId="69" fillId="0" borderId="24" xfId="1" applyFont="1" applyBorder="1" applyAlignment="1">
      <alignment horizontal="center"/>
    </xf>
    <xf numFmtId="0" fontId="69" fillId="0" borderId="8" xfId="1" applyFont="1" applyBorder="1" applyAlignment="1">
      <alignment horizontal="left"/>
    </xf>
    <xf numFmtId="0" fontId="68" fillId="0" borderId="15" xfId="1" applyFont="1" applyBorder="1" applyAlignment="1">
      <alignment horizontal="left"/>
    </xf>
    <xf numFmtId="2" fontId="68" fillId="0" borderId="3" xfId="1" applyNumberFormat="1" applyFont="1" applyBorder="1" applyAlignment="1">
      <alignment horizontal="right"/>
    </xf>
    <xf numFmtId="2" fontId="68" fillId="0" borderId="3" xfId="1" applyNumberFormat="1" applyFont="1" applyBorder="1"/>
    <xf numFmtId="1" fontId="69" fillId="0" borderId="0" xfId="1" applyNumberFormat="1" applyFont="1" applyAlignment="1">
      <alignment horizontal="right"/>
    </xf>
    <xf numFmtId="1" fontId="69" fillId="0" borderId="0" xfId="1" applyNumberFormat="1" applyFont="1"/>
    <xf numFmtId="2" fontId="69" fillId="0" borderId="0" xfId="1" applyNumberFormat="1" applyFont="1"/>
    <xf numFmtId="0" fontId="68" fillId="0" borderId="15" xfId="1" applyFont="1" applyBorder="1"/>
    <xf numFmtId="0" fontId="69" fillId="0" borderId="15" xfId="2" applyFont="1" applyBorder="1" applyAlignment="1">
      <alignment horizontal="center"/>
    </xf>
    <xf numFmtId="1" fontId="69" fillId="0" borderId="0" xfId="1" applyNumberFormat="1" applyFont="1" applyAlignment="1">
      <alignment horizontal="left"/>
    </xf>
    <xf numFmtId="0" fontId="68" fillId="0" borderId="15" xfId="1" applyFont="1" applyBorder="1" applyAlignment="1">
      <alignment horizontal="center" vertical="top"/>
    </xf>
    <xf numFmtId="0" fontId="68" fillId="0" borderId="15" xfId="1" applyFont="1" applyBorder="1" applyAlignment="1">
      <alignment vertical="top"/>
    </xf>
    <xf numFmtId="0" fontId="69" fillId="0" borderId="15" xfId="1" applyFont="1" applyBorder="1" applyAlignment="1">
      <alignment vertical="top"/>
    </xf>
    <xf numFmtId="1" fontId="69" fillId="0" borderId="0" xfId="1" applyNumberFormat="1" applyFont="1" applyAlignment="1">
      <alignment horizontal="center" vertical="center"/>
    </xf>
    <xf numFmtId="2" fontId="68" fillId="0" borderId="8" xfId="1" applyNumberFormat="1" applyFont="1" applyBorder="1" applyAlignment="1">
      <alignment vertical="center"/>
    </xf>
    <xf numFmtId="1" fontId="69" fillId="0" borderId="0" xfId="1" applyNumberFormat="1" applyFont="1" applyAlignment="1">
      <alignment horizontal="right" vertical="center"/>
    </xf>
    <xf numFmtId="0" fontId="69" fillId="3" borderId="9" xfId="1" applyFont="1" applyFill="1" applyBorder="1" applyAlignment="1">
      <alignment horizontal="left" vertical="center"/>
    </xf>
    <xf numFmtId="0" fontId="69" fillId="0" borderId="29" xfId="1" applyFont="1" applyBorder="1" applyAlignment="1">
      <alignment horizontal="center" vertical="center"/>
    </xf>
    <xf numFmtId="1" fontId="69" fillId="0" borderId="0" xfId="1" applyNumberFormat="1" applyFont="1" applyAlignment="1">
      <alignment horizontal="left" vertical="center"/>
    </xf>
    <xf numFmtId="0" fontId="69" fillId="0" borderId="15" xfId="1" applyFont="1" applyBorder="1" applyAlignment="1">
      <alignment horizontal="left"/>
    </xf>
    <xf numFmtId="0" fontId="69" fillId="0" borderId="15" xfId="1" applyFont="1" applyBorder="1"/>
    <xf numFmtId="2" fontId="69" fillId="0" borderId="8" xfId="1" applyNumberFormat="1" applyFont="1" applyBorder="1" applyAlignment="1" applyProtection="1">
      <alignment horizontal="right" vertical="center"/>
      <protection locked="0"/>
    </xf>
    <xf numFmtId="2" fontId="69" fillId="0" borderId="26" xfId="1" applyNumberFormat="1" applyFont="1" applyBorder="1" applyAlignment="1" applyProtection="1">
      <alignment horizontal="right" vertical="center"/>
      <protection locked="0"/>
    </xf>
    <xf numFmtId="0" fontId="68" fillId="0" borderId="29" xfId="1" applyFont="1" applyBorder="1" applyAlignment="1">
      <alignment horizontal="center" vertical="center"/>
    </xf>
    <xf numFmtId="0" fontId="68" fillId="0" borderId="8" xfId="1" applyFont="1" applyBorder="1" applyAlignment="1">
      <alignment horizontal="center" vertical="center"/>
    </xf>
    <xf numFmtId="0" fontId="68" fillId="0" borderId="9" xfId="1" applyFont="1" applyBorder="1" applyAlignment="1">
      <alignment horizontal="center" vertical="center"/>
    </xf>
    <xf numFmtId="2" fontId="69" fillId="0" borderId="2" xfId="1" applyNumberFormat="1" applyFont="1" applyBorder="1" applyAlignment="1">
      <alignment vertical="center"/>
    </xf>
    <xf numFmtId="0" fontId="69" fillId="0" borderId="11" xfId="2" applyFont="1" applyBorder="1"/>
    <xf numFmtId="2" fontId="69" fillId="0" borderId="10" xfId="1" applyNumberFormat="1" applyFont="1" applyBorder="1" applyAlignment="1">
      <alignment vertical="center"/>
    </xf>
    <xf numFmtId="2" fontId="69" fillId="0" borderId="6" xfId="1" applyNumberFormat="1" applyFont="1" applyBorder="1" applyAlignment="1">
      <alignment vertical="center"/>
    </xf>
    <xf numFmtId="0" fontId="69" fillId="0" borderId="2" xfId="1" applyFont="1" applyBorder="1" applyAlignment="1">
      <alignment vertical="center"/>
    </xf>
    <xf numFmtId="0" fontId="69" fillId="0" borderId="10" xfId="1" applyFont="1" applyBorder="1" applyAlignment="1">
      <alignment vertical="center"/>
    </xf>
    <xf numFmtId="0" fontId="69" fillId="0" borderId="10" xfId="2" applyFont="1" applyBorder="1"/>
    <xf numFmtId="0" fontId="69" fillId="0" borderId="6" xfId="2" applyFont="1" applyBorder="1"/>
    <xf numFmtId="0" fontId="69" fillId="0" borderId="3" xfId="1" applyFont="1" applyBorder="1" applyAlignment="1">
      <alignment vertical="top"/>
    </xf>
    <xf numFmtId="0" fontId="69" fillId="0" borderId="24" xfId="1" applyFont="1" applyBorder="1" applyAlignment="1">
      <alignment horizontal="right" vertical="center"/>
    </xf>
    <xf numFmtId="0" fontId="68" fillId="0" borderId="24" xfId="1" applyFont="1" applyBorder="1" applyAlignment="1">
      <alignment horizontal="right" vertical="center"/>
    </xf>
    <xf numFmtId="2" fontId="69" fillId="0" borderId="0" xfId="1" applyNumberFormat="1" applyFont="1" applyAlignment="1">
      <alignment horizontal="left" vertical="center"/>
    </xf>
    <xf numFmtId="0" fontId="68" fillId="0" borderId="15" xfId="2" applyFont="1" applyBorder="1" applyAlignment="1">
      <alignment horizontal="center"/>
    </xf>
    <xf numFmtId="0" fontId="68" fillId="0" borderId="15" xfId="1" applyFont="1" applyBorder="1" applyAlignment="1">
      <alignment horizontal="center" vertical="center"/>
    </xf>
    <xf numFmtId="0" fontId="69" fillId="0" borderId="8" xfId="2" applyFont="1" applyBorder="1" applyAlignment="1">
      <alignment vertical="center"/>
    </xf>
    <xf numFmtId="0" fontId="69" fillId="0" borderId="15" xfId="2" applyFont="1" applyBorder="1" applyAlignment="1">
      <alignment vertical="center"/>
    </xf>
    <xf numFmtId="2" fontId="69" fillId="0" borderId="0" xfId="2" applyNumberFormat="1" applyFont="1" applyAlignment="1">
      <alignment vertical="center"/>
    </xf>
    <xf numFmtId="0" fontId="69" fillId="0" borderId="0" xfId="2" applyFont="1" applyAlignment="1">
      <alignment vertical="center"/>
    </xf>
    <xf numFmtId="2" fontId="68" fillId="0" borderId="0" xfId="2" applyNumberFormat="1" applyFont="1" applyAlignment="1">
      <alignment vertical="center"/>
    </xf>
    <xf numFmtId="0" fontId="68" fillId="0" borderId="0" xfId="2" applyFont="1" applyAlignment="1">
      <alignment vertical="center"/>
    </xf>
    <xf numFmtId="2" fontId="68" fillId="0" borderId="3" xfId="2" applyNumberFormat="1" applyFont="1" applyBorder="1"/>
    <xf numFmtId="0" fontId="69" fillId="0" borderId="29" xfId="2" applyFont="1" applyBorder="1" applyAlignment="1">
      <alignment horizontal="left" vertical="center"/>
    </xf>
    <xf numFmtId="0" fontId="69" fillId="0" borderId="8" xfId="2" applyFont="1" applyBorder="1" applyAlignment="1">
      <alignment horizontal="left" vertical="center"/>
    </xf>
    <xf numFmtId="0" fontId="69" fillId="0" borderId="0" xfId="2" applyFont="1" applyAlignment="1">
      <alignment horizontal="left" vertical="center"/>
    </xf>
    <xf numFmtId="0" fontId="69" fillId="0" borderId="29" xfId="2" applyFont="1" applyBorder="1" applyAlignment="1">
      <alignment horizontal="right" vertical="center"/>
    </xf>
    <xf numFmtId="0" fontId="69" fillId="0" borderId="15" xfId="2" applyFont="1" applyBorder="1" applyAlignment="1">
      <alignment horizontal="left" vertical="center"/>
    </xf>
    <xf numFmtId="2" fontId="68" fillId="0" borderId="3" xfId="2" applyNumberFormat="1" applyFont="1" applyBorder="1" applyAlignment="1">
      <alignment vertical="center"/>
    </xf>
    <xf numFmtId="0" fontId="69" fillId="0" borderId="9" xfId="2" applyFont="1" applyBorder="1" applyAlignment="1">
      <alignment horizontal="center"/>
    </xf>
    <xf numFmtId="0" fontId="69" fillId="0" borderId="24" xfId="2" applyFont="1" applyBorder="1" applyAlignment="1">
      <alignment horizontal="right" vertical="center"/>
    </xf>
    <xf numFmtId="0" fontId="69" fillId="0" borderId="24" xfId="2" applyFont="1" applyBorder="1" applyAlignment="1">
      <alignment horizontal="center" vertical="center"/>
    </xf>
    <xf numFmtId="2" fontId="68" fillId="3" borderId="3" xfId="2" applyNumberFormat="1" applyFont="1" applyFill="1" applyBorder="1" applyAlignment="1">
      <alignment horizontal="right" vertical="center"/>
    </xf>
    <xf numFmtId="2" fontId="68" fillId="3" borderId="3" xfId="2" applyNumberFormat="1" applyFont="1" applyFill="1" applyBorder="1" applyAlignment="1">
      <alignment vertical="center"/>
    </xf>
    <xf numFmtId="2" fontId="69" fillId="0" borderId="8" xfId="2" applyNumberFormat="1" applyFont="1" applyBorder="1" applyAlignment="1" applyProtection="1">
      <alignment horizontal="right" vertical="center"/>
      <protection locked="0"/>
    </xf>
    <xf numFmtId="2" fontId="69" fillId="0" borderId="26" xfId="2" applyNumberFormat="1" applyFont="1" applyBorder="1" applyAlignment="1" applyProtection="1">
      <alignment horizontal="right" vertical="center"/>
      <protection locked="0"/>
    </xf>
    <xf numFmtId="2" fontId="68" fillId="0" borderId="3" xfId="2" applyNumberFormat="1" applyFont="1" applyBorder="1" applyAlignment="1">
      <alignment horizontal="center" vertical="center"/>
    </xf>
    <xf numFmtId="0" fontId="68" fillId="0" borderId="9" xfId="2" applyFont="1" applyBorder="1" applyAlignment="1">
      <alignment vertical="center"/>
    </xf>
    <xf numFmtId="0" fontId="68" fillId="0" borderId="0" xfId="1" applyFont="1" applyAlignment="1">
      <alignment horizontal="left" vertical="center"/>
    </xf>
    <xf numFmtId="2" fontId="69" fillId="0" borderId="0" xfId="1" applyNumberFormat="1" applyFont="1" applyAlignment="1">
      <alignment horizontal="center" vertical="center"/>
    </xf>
    <xf numFmtId="0" fontId="69" fillId="0" borderId="0" xfId="1" applyFont="1" applyAlignment="1">
      <alignment horizontal="justify" vertical="top"/>
    </xf>
    <xf numFmtId="0" fontId="69" fillId="0" borderId="2" xfId="1" applyFont="1" applyBorder="1" applyAlignment="1">
      <alignment horizontal="center" vertical="top"/>
    </xf>
    <xf numFmtId="0" fontId="69" fillId="0" borderId="12" xfId="1" applyFont="1" applyBorder="1" applyAlignment="1">
      <alignment horizontal="center" vertical="top"/>
    </xf>
    <xf numFmtId="0" fontId="69" fillId="0" borderId="6" xfId="1" applyFont="1" applyBorder="1" applyAlignment="1">
      <alignment horizontal="center" vertical="top"/>
    </xf>
    <xf numFmtId="0" fontId="69" fillId="0" borderId="14" xfId="1" applyFont="1" applyBorder="1" applyAlignment="1">
      <alignment horizontal="center" vertical="top"/>
    </xf>
    <xf numFmtId="0" fontId="69" fillId="0" borderId="7" xfId="1" applyFont="1" applyBorder="1" applyAlignment="1">
      <alignment horizontal="left" vertical="top"/>
    </xf>
    <xf numFmtId="0" fontId="68" fillId="0" borderId="14" xfId="1" applyFont="1" applyBorder="1" applyAlignment="1">
      <alignment horizontal="left" vertical="top"/>
    </xf>
    <xf numFmtId="0" fontId="68" fillId="0" borderId="0" xfId="1" applyFont="1" applyAlignment="1">
      <alignment horizontal="left" vertical="top"/>
    </xf>
    <xf numFmtId="0" fontId="69" fillId="0" borderId="3" xfId="1" applyFont="1" applyBorder="1" applyAlignment="1">
      <alignment horizontal="center" vertical="top"/>
    </xf>
    <xf numFmtId="0" fontId="69" fillId="0" borderId="9" xfId="1" applyFont="1" applyBorder="1" applyAlignment="1">
      <alignment horizontal="center"/>
    </xf>
    <xf numFmtId="0" fontId="69" fillId="0" borderId="9" xfId="1" applyFont="1" applyBorder="1" applyAlignment="1">
      <alignment horizontal="center" vertical="top"/>
    </xf>
    <xf numFmtId="0" fontId="69" fillId="0" borderId="5" xfId="1" applyFont="1" applyBorder="1" applyAlignment="1">
      <alignment vertical="top"/>
    </xf>
    <xf numFmtId="2" fontId="69" fillId="0" borderId="0" xfId="1" applyNumberFormat="1" applyFont="1" applyAlignment="1">
      <alignment horizontal="justify"/>
    </xf>
    <xf numFmtId="0" fontId="69" fillId="0" borderId="0" xfId="1" applyFont="1" applyAlignment="1">
      <alignment horizontal="left" vertical="top"/>
    </xf>
    <xf numFmtId="0" fontId="68" fillId="0" borderId="0" xfId="1" applyFont="1" applyAlignment="1">
      <alignment horizontal="justify" vertical="top"/>
    </xf>
    <xf numFmtId="2" fontId="69" fillId="0" borderId="0" xfId="1" applyNumberFormat="1" applyFont="1" applyAlignment="1">
      <alignment horizontal="center"/>
    </xf>
    <xf numFmtId="0" fontId="68" fillId="0" borderId="0" xfId="1" applyFont="1" applyAlignment="1">
      <alignment horizontal="justify"/>
    </xf>
    <xf numFmtId="2" fontId="69" fillId="0" borderId="0" xfId="1" applyNumberFormat="1" applyFont="1" applyAlignment="1">
      <alignment vertical="top"/>
    </xf>
    <xf numFmtId="170" fontId="68" fillId="0" borderId="0" xfId="1" applyNumberFormat="1" applyFont="1" applyAlignment="1">
      <alignment vertical="top"/>
    </xf>
    <xf numFmtId="171" fontId="69" fillId="0" borderId="0" xfId="1" applyNumberFormat="1" applyFont="1" applyAlignment="1">
      <alignment vertical="top"/>
    </xf>
    <xf numFmtId="171" fontId="68" fillId="0" borderId="0" xfId="1" applyNumberFormat="1" applyFont="1" applyAlignment="1">
      <alignment vertical="top"/>
    </xf>
    <xf numFmtId="2" fontId="68" fillId="0" borderId="0" xfId="1" applyNumberFormat="1" applyFont="1" applyAlignment="1">
      <alignment horizontal="left" vertical="top"/>
    </xf>
    <xf numFmtId="2" fontId="68" fillId="0" borderId="0" xfId="1" applyNumberFormat="1" applyFont="1" applyAlignment="1">
      <alignment horizontal="center" vertical="top"/>
    </xf>
    <xf numFmtId="2" fontId="68" fillId="0" borderId="1" xfId="1" applyNumberFormat="1" applyFont="1" applyBorder="1" applyAlignment="1">
      <alignment vertical="top"/>
    </xf>
    <xf numFmtId="169" fontId="69" fillId="0" borderId="0" xfId="1" applyNumberFormat="1" applyFont="1" applyAlignment="1">
      <alignment vertical="top"/>
    </xf>
    <xf numFmtId="0" fontId="68" fillId="0" borderId="0" xfId="1" applyFont="1" applyAlignment="1">
      <alignment vertical="justify"/>
    </xf>
    <xf numFmtId="169" fontId="68" fillId="0" borderId="0" xfId="1" applyNumberFormat="1" applyFont="1" applyAlignment="1">
      <alignment vertical="center"/>
    </xf>
    <xf numFmtId="2" fontId="68" fillId="0" borderId="0" xfId="1" applyNumberFormat="1" applyFont="1"/>
    <xf numFmtId="0" fontId="69" fillId="0" borderId="0" xfId="1" applyFont="1" applyAlignment="1">
      <alignment vertical="justify"/>
    </xf>
    <xf numFmtId="0" fontId="69" fillId="0" borderId="0" xfId="1" applyFont="1" applyAlignment="1">
      <alignment horizontal="justify"/>
    </xf>
    <xf numFmtId="169" fontId="69" fillId="0" borderId="0" xfId="1" applyNumberFormat="1" applyFont="1" applyAlignment="1">
      <alignment horizontal="center" vertical="center"/>
    </xf>
    <xf numFmtId="169" fontId="68" fillId="0" borderId="0" xfId="1" applyNumberFormat="1" applyFont="1" applyAlignment="1">
      <alignment horizontal="center" vertical="top"/>
    </xf>
    <xf numFmtId="172" fontId="68" fillId="0" borderId="0" xfId="1" applyNumberFormat="1" applyFont="1" applyAlignment="1">
      <alignment vertical="center"/>
    </xf>
    <xf numFmtId="0" fontId="67" fillId="0" borderId="0" xfId="1" applyFont="1" applyAlignment="1">
      <alignment vertical="top"/>
    </xf>
    <xf numFmtId="0" fontId="67" fillId="0" borderId="0" xfId="3" applyFont="1" applyFill="1" applyBorder="1" applyAlignment="1" applyProtection="1">
      <alignment horizontal="center"/>
    </xf>
    <xf numFmtId="0" fontId="68" fillId="0" borderId="0" xfId="1" applyFont="1" applyAlignment="1">
      <alignment horizontal="right" vertical="top"/>
    </xf>
    <xf numFmtId="0" fontId="69" fillId="0" borderId="0" xfId="1" applyFont="1" applyAlignment="1">
      <alignment horizontal="right" vertical="top"/>
    </xf>
    <xf numFmtId="0" fontId="67" fillId="0" borderId="0" xfId="1" applyFont="1" applyAlignment="1">
      <alignment horizontal="left" vertical="center"/>
    </xf>
    <xf numFmtId="2" fontId="68" fillId="3" borderId="0" xfId="1" applyNumberFormat="1" applyFont="1" applyFill="1" applyAlignment="1">
      <alignment vertical="top"/>
    </xf>
    <xf numFmtId="2" fontId="68" fillId="0" borderId="0" xfId="1" applyNumberFormat="1" applyFont="1" applyAlignment="1">
      <alignment horizontal="center" vertical="center"/>
    </xf>
    <xf numFmtId="172" fontId="68" fillId="0" borderId="0" xfId="1" applyNumberFormat="1" applyFont="1" applyAlignment="1">
      <alignment vertical="top"/>
    </xf>
    <xf numFmtId="166" fontId="69" fillId="0" borderId="0" xfId="1" applyNumberFormat="1" applyFont="1" applyAlignment="1">
      <alignment horizontal="left" vertical="top"/>
    </xf>
    <xf numFmtId="169" fontId="69" fillId="0" borderId="0" xfId="1" applyNumberFormat="1" applyFont="1" applyAlignment="1">
      <alignment horizontal="center"/>
    </xf>
    <xf numFmtId="166" fontId="69" fillId="0" borderId="0" xfId="1" applyNumberFormat="1" applyFont="1" applyAlignment="1">
      <alignment horizontal="center" vertical="top"/>
    </xf>
    <xf numFmtId="2" fontId="69" fillId="0" borderId="0" xfId="1" applyNumberFormat="1" applyFont="1" applyAlignment="1">
      <alignment horizontal="left" vertical="top"/>
    </xf>
    <xf numFmtId="2" fontId="68" fillId="3" borderId="0" xfId="1" applyNumberFormat="1" applyFont="1" applyFill="1" applyAlignment="1">
      <alignment horizontal="center" vertical="top"/>
    </xf>
    <xf numFmtId="1" fontId="68" fillId="0" borderId="0" xfId="1" applyNumberFormat="1" applyFont="1" applyAlignment="1">
      <alignment horizontal="center" vertical="top"/>
    </xf>
    <xf numFmtId="0" fontId="69" fillId="3" borderId="0" xfId="1" applyFont="1" applyFill="1" applyAlignment="1">
      <alignment vertical="top"/>
    </xf>
    <xf numFmtId="2" fontId="68" fillId="0" borderId="1" xfId="1" applyNumberFormat="1" applyFont="1" applyBorder="1" applyAlignment="1">
      <alignment horizontal="right" vertical="top"/>
    </xf>
    <xf numFmtId="2" fontId="68" fillId="0" borderId="1" xfId="1" applyNumberFormat="1" applyFont="1" applyBorder="1" applyAlignment="1">
      <alignment horizontal="center" vertical="top"/>
    </xf>
    <xf numFmtId="169" fontId="68" fillId="0" borderId="0" xfId="1" applyNumberFormat="1" applyFont="1" applyAlignment="1">
      <alignment horizontal="right" vertical="top"/>
    </xf>
    <xf numFmtId="173" fontId="68" fillId="0" borderId="0" xfId="1" applyNumberFormat="1" applyFont="1" applyAlignment="1">
      <alignment horizontal="center" vertical="top"/>
    </xf>
    <xf numFmtId="1" fontId="68" fillId="0" borderId="0" xfId="1" applyNumberFormat="1" applyFont="1" applyAlignment="1">
      <alignment vertical="top"/>
    </xf>
    <xf numFmtId="1" fontId="69" fillId="0" borderId="0" xfId="1" applyNumberFormat="1" applyFont="1" applyAlignment="1">
      <alignment horizontal="center" vertical="top"/>
    </xf>
    <xf numFmtId="169" fontId="69" fillId="0" borderId="0" xfId="1" applyNumberFormat="1" applyFont="1" applyAlignment="1">
      <alignment horizontal="center" vertical="top"/>
    </xf>
    <xf numFmtId="0" fontId="68" fillId="3" borderId="0" xfId="1" applyFont="1" applyFill="1" applyAlignment="1">
      <alignment vertical="top"/>
    </xf>
    <xf numFmtId="0" fontId="69" fillId="3" borderId="0" xfId="1" applyFont="1" applyFill="1" applyAlignment="1">
      <alignment horizontal="center"/>
    </xf>
    <xf numFmtId="169" fontId="68" fillId="3" borderId="0" xfId="1" applyNumberFormat="1" applyFont="1" applyFill="1" applyAlignment="1">
      <alignment vertical="top"/>
    </xf>
    <xf numFmtId="0" fontId="68" fillId="3" borderId="0" xfId="1" applyFont="1" applyFill="1" applyAlignment="1">
      <alignment horizontal="left" vertical="top"/>
    </xf>
    <xf numFmtId="0" fontId="68" fillId="3" borderId="0" xfId="1" applyFont="1" applyFill="1" applyAlignment="1">
      <alignment horizontal="center" vertical="top"/>
    </xf>
    <xf numFmtId="169" fontId="68" fillId="0" borderId="0" xfId="1" applyNumberFormat="1" applyFont="1"/>
    <xf numFmtId="2" fontId="69" fillId="0" borderId="0" xfId="2" applyNumberFormat="1" applyFont="1" applyAlignment="1">
      <alignment horizontal="justify"/>
    </xf>
    <xf numFmtId="0" fontId="68" fillId="0" borderId="0" xfId="2" applyFont="1" applyAlignment="1">
      <alignment horizontal="left" vertical="center"/>
    </xf>
    <xf numFmtId="0" fontId="68" fillId="0" borderId="0" xfId="2" applyFont="1" applyAlignment="1">
      <alignment horizontal="center" vertical="center"/>
    </xf>
    <xf numFmtId="0" fontId="69" fillId="0" borderId="0" xfId="2" applyFont="1" applyAlignment="1">
      <alignment horizontal="center" vertical="justify"/>
    </xf>
    <xf numFmtId="0" fontId="68" fillId="0" borderId="0" xfId="2" applyFont="1" applyAlignment="1">
      <alignment horizontal="justify"/>
    </xf>
    <xf numFmtId="169" fontId="68" fillId="0" borderId="0" xfId="2" applyNumberFormat="1" applyFont="1" applyAlignment="1">
      <alignment vertical="center"/>
    </xf>
    <xf numFmtId="2" fontId="69" fillId="0" borderId="0" xfId="2" applyNumberFormat="1" applyFont="1" applyAlignment="1">
      <alignment horizontal="center" vertical="center"/>
    </xf>
    <xf numFmtId="0" fontId="69" fillId="0" borderId="0" xfId="2" applyFont="1" applyAlignment="1">
      <alignment horizontal="justify"/>
    </xf>
    <xf numFmtId="169" fontId="69" fillId="0" borderId="0" xfId="2" applyNumberFormat="1" applyFont="1" applyAlignment="1">
      <alignment vertical="center"/>
    </xf>
    <xf numFmtId="0" fontId="69" fillId="0" borderId="0" xfId="2" applyFont="1" applyAlignment="1">
      <alignment horizontal="center" vertical="center"/>
    </xf>
    <xf numFmtId="0" fontId="69" fillId="0" borderId="0" xfId="2" applyFont="1" applyAlignment="1">
      <alignment horizontal="justify" vertical="top"/>
    </xf>
    <xf numFmtId="0" fontId="68" fillId="0" borderId="0" xfId="2" applyFont="1" applyAlignment="1">
      <alignment horizontal="justify" vertical="top"/>
    </xf>
    <xf numFmtId="2" fontId="69" fillId="0" borderId="0" xfId="2" applyNumberFormat="1" applyFont="1" applyAlignment="1">
      <alignment horizontal="center" vertical="center" wrapText="1"/>
    </xf>
    <xf numFmtId="0" fontId="68" fillId="0" borderId="0" xfId="2" applyFont="1" applyAlignment="1">
      <alignment vertical="justify"/>
    </xf>
    <xf numFmtId="2" fontId="68" fillId="0" borderId="0" xfId="2" applyNumberFormat="1" applyFont="1" applyAlignment="1">
      <alignment horizontal="right" vertical="center"/>
    </xf>
    <xf numFmtId="170" fontId="68" fillId="0" borderId="0" xfId="2" applyNumberFormat="1" applyFont="1" applyAlignment="1">
      <alignment vertical="center"/>
    </xf>
    <xf numFmtId="0" fontId="69" fillId="0" borderId="0" xfId="2" applyFont="1" applyAlignment="1">
      <alignment vertical="justify"/>
    </xf>
    <xf numFmtId="172" fontId="68" fillId="0" borderId="0" xfId="2" applyNumberFormat="1" applyFont="1" applyAlignment="1">
      <alignment vertical="center"/>
    </xf>
    <xf numFmtId="0" fontId="69" fillId="0" borderId="0" xfId="2" applyFont="1" applyAlignment="1">
      <alignment horizontal="center" vertical="top"/>
    </xf>
    <xf numFmtId="169" fontId="68" fillId="0" borderId="0" xfId="2" applyNumberFormat="1" applyFont="1" applyAlignment="1">
      <alignment vertical="top"/>
    </xf>
    <xf numFmtId="0" fontId="68" fillId="0" borderId="0" xfId="2" applyFont="1" applyAlignment="1">
      <alignment horizontal="center" vertical="top"/>
    </xf>
    <xf numFmtId="2" fontId="68" fillId="0" borderId="0" xfId="2" applyNumberFormat="1" applyFont="1" applyAlignment="1">
      <alignment vertical="top"/>
    </xf>
    <xf numFmtId="2" fontId="68" fillId="0" borderId="0" xfId="2" applyNumberFormat="1" applyFont="1" applyAlignment="1">
      <alignment horizontal="center" vertical="top"/>
    </xf>
    <xf numFmtId="169" fontId="68" fillId="0" borderId="0" xfId="2" applyNumberFormat="1" applyFont="1" applyAlignment="1">
      <alignment horizontal="center" vertical="top"/>
    </xf>
    <xf numFmtId="2" fontId="69" fillId="0" borderId="0" xfId="2" applyNumberFormat="1" applyFont="1" applyAlignment="1">
      <alignment vertical="top"/>
    </xf>
    <xf numFmtId="0" fontId="68" fillId="0" borderId="0" xfId="2" applyFont="1" applyAlignment="1">
      <alignment horizontal="right" vertical="top"/>
    </xf>
    <xf numFmtId="1" fontId="68" fillId="0" borderId="0" xfId="2" applyNumberFormat="1" applyFont="1" applyAlignment="1">
      <alignment vertical="top"/>
    </xf>
    <xf numFmtId="2" fontId="68" fillId="0" borderId="0" xfId="2" applyNumberFormat="1" applyFont="1" applyAlignment="1">
      <alignment horizontal="center" vertical="center"/>
    </xf>
    <xf numFmtId="169" fontId="68" fillId="0" borderId="0" xfId="2" applyNumberFormat="1" applyFont="1" applyAlignment="1">
      <alignment horizontal="center" vertical="center"/>
    </xf>
    <xf numFmtId="0" fontId="67" fillId="0" borderId="0" xfId="2" applyFont="1" applyAlignment="1">
      <alignment vertical="center"/>
    </xf>
    <xf numFmtId="169" fontId="69" fillId="0" borderId="0" xfId="2" applyNumberFormat="1" applyFont="1" applyAlignment="1">
      <alignment horizontal="center" vertical="center"/>
    </xf>
    <xf numFmtId="0" fontId="69" fillId="0" borderId="0" xfId="2" applyFont="1" applyAlignment="1">
      <alignment horizontal="right" vertical="justify"/>
    </xf>
    <xf numFmtId="0" fontId="69" fillId="0" borderId="0" xfId="2" applyFont="1" applyAlignment="1">
      <alignment horizontal="right"/>
    </xf>
    <xf numFmtId="0" fontId="68" fillId="0" borderId="0" xfId="2" applyFont="1" applyAlignment="1">
      <alignment horizontal="center" vertical="justify"/>
    </xf>
    <xf numFmtId="0" fontId="68" fillId="0" borderId="0" xfId="2" applyFont="1" applyAlignment="1">
      <alignment horizontal="right" vertical="justify"/>
    </xf>
    <xf numFmtId="0" fontId="68" fillId="0" borderId="0" xfId="2" applyFont="1" applyAlignment="1">
      <alignment horizontal="right" vertical="center"/>
    </xf>
    <xf numFmtId="0" fontId="68" fillId="0" borderId="0" xfId="2" applyFont="1" applyAlignment="1">
      <alignment horizontal="justify" vertical="justify"/>
    </xf>
    <xf numFmtId="169" fontId="68" fillId="0" borderId="0" xfId="2" applyNumberFormat="1" applyFont="1"/>
    <xf numFmtId="9" fontId="68" fillId="0" borderId="0" xfId="2" applyNumberFormat="1" applyFont="1" applyAlignment="1">
      <alignment horizontal="center" vertical="center"/>
    </xf>
    <xf numFmtId="2" fontId="68" fillId="0" borderId="1" xfId="2" applyNumberFormat="1" applyFont="1" applyBorder="1" applyAlignment="1">
      <alignment horizontal="right" vertical="center"/>
    </xf>
    <xf numFmtId="0" fontId="68" fillId="0" borderId="1" xfId="2" applyFont="1" applyBorder="1" applyAlignment="1">
      <alignment horizontal="right" vertical="center"/>
    </xf>
    <xf numFmtId="0" fontId="69" fillId="0" borderId="0" xfId="2" applyFont="1" applyAlignment="1">
      <alignment horizontal="justify" vertical="justify"/>
    </xf>
    <xf numFmtId="172" fontId="68" fillId="0" borderId="0" xfId="2" applyNumberFormat="1" applyFont="1" applyAlignment="1">
      <alignment horizontal="right" vertical="center"/>
    </xf>
    <xf numFmtId="2" fontId="68" fillId="0" borderId="0" xfId="2" applyNumberFormat="1" applyFont="1" applyAlignment="1">
      <alignment horizontal="left" vertical="center"/>
    </xf>
    <xf numFmtId="0" fontId="68" fillId="0" borderId="0" xfId="2" applyFont="1" applyAlignment="1">
      <alignment horizontal="left" vertical="top"/>
    </xf>
    <xf numFmtId="0" fontId="69" fillId="0" borderId="0" xfId="2" applyFont="1" applyAlignment="1">
      <alignment horizontal="left" vertical="top"/>
    </xf>
    <xf numFmtId="2" fontId="68" fillId="0" borderId="0" xfId="2" applyNumberFormat="1" applyFont="1" applyAlignment="1">
      <alignment horizontal="right" vertical="top"/>
    </xf>
    <xf numFmtId="2" fontId="68" fillId="8" borderId="0" xfId="2" applyNumberFormat="1" applyFont="1" applyFill="1"/>
    <xf numFmtId="0" fontId="68" fillId="0" borderId="0" xfId="1" applyFont="1" applyAlignment="1">
      <alignment horizontal="justify" vertical="center"/>
    </xf>
    <xf numFmtId="0" fontId="69" fillId="0" borderId="38" xfId="1" applyFont="1" applyBorder="1" applyAlignment="1">
      <alignment horizontal="center" vertical="center"/>
    </xf>
    <xf numFmtId="0" fontId="68" fillId="0" borderId="32" xfId="1" applyFont="1" applyBorder="1" applyAlignment="1">
      <alignment horizontal="left" vertical="center"/>
    </xf>
    <xf numFmtId="0" fontId="68" fillId="0" borderId="31" xfId="1" applyFont="1" applyBorder="1" applyAlignment="1">
      <alignment horizontal="center" vertical="center"/>
    </xf>
    <xf numFmtId="0" fontId="69" fillId="0" borderId="33" xfId="1" applyFont="1" applyBorder="1" applyAlignment="1">
      <alignment horizontal="center" vertical="center"/>
    </xf>
    <xf numFmtId="2" fontId="68" fillId="0" borderId="34" xfId="2" applyNumberFormat="1" applyFont="1" applyBorder="1" applyAlignment="1">
      <alignment horizontal="right" vertical="center"/>
    </xf>
    <xf numFmtId="2" fontId="68" fillId="0" borderId="34" xfId="2" applyNumberFormat="1" applyFont="1" applyBorder="1" applyAlignment="1">
      <alignment vertical="center"/>
    </xf>
    <xf numFmtId="0" fontId="60" fillId="0" borderId="0" xfId="2" applyFont="1"/>
    <xf numFmtId="0" fontId="60" fillId="0" borderId="0" xfId="2" applyFont="1" applyAlignment="1">
      <alignment horizontal="center"/>
    </xf>
    <xf numFmtId="0" fontId="78" fillId="0" borderId="0" xfId="1" applyFont="1" applyAlignment="1">
      <alignment horizontal="center"/>
    </xf>
    <xf numFmtId="0" fontId="65" fillId="0" borderId="0" xfId="1" applyFont="1"/>
    <xf numFmtId="0" fontId="63" fillId="0" borderId="0" xfId="1" applyFont="1"/>
    <xf numFmtId="0" fontId="58" fillId="0" borderId="0" xfId="1" applyFont="1"/>
    <xf numFmtId="2" fontId="65" fillId="0" borderId="0" xfId="1" applyNumberFormat="1" applyFont="1"/>
    <xf numFmtId="0" fontId="65" fillId="0" borderId="14" xfId="1" applyFont="1" applyBorder="1"/>
    <xf numFmtId="0" fontId="66" fillId="0" borderId="0" xfId="1" applyFont="1" applyAlignment="1">
      <alignment horizontal="right"/>
    </xf>
    <xf numFmtId="0" fontId="66" fillId="0" borderId="0" xfId="1" applyFont="1" applyAlignment="1">
      <alignment horizontal="center"/>
    </xf>
    <xf numFmtId="169" fontId="65" fillId="0" borderId="0" xfId="1" applyNumberFormat="1" applyFont="1"/>
    <xf numFmtId="170" fontId="65" fillId="0" borderId="0" xfId="1" applyNumberFormat="1" applyFont="1"/>
    <xf numFmtId="0" fontId="70" fillId="0" borderId="0" xfId="1" applyFont="1"/>
    <xf numFmtId="49" fontId="65" fillId="0" borderId="0" xfId="1" applyNumberFormat="1" applyFont="1"/>
    <xf numFmtId="0" fontId="65" fillId="0" borderId="0" xfId="1" applyFont="1" applyAlignment="1">
      <alignment horizontal="center"/>
    </xf>
    <xf numFmtId="2" fontId="65" fillId="0" borderId="0" xfId="1" applyNumberFormat="1" applyFont="1" applyAlignment="1">
      <alignment horizontal="center"/>
    </xf>
    <xf numFmtId="2" fontId="70" fillId="0" borderId="0" xfId="1" applyNumberFormat="1" applyFont="1"/>
    <xf numFmtId="0" fontId="71" fillId="0" borderId="54" xfId="1" applyFont="1" applyBorder="1" applyAlignment="1">
      <alignment horizontal="center"/>
    </xf>
    <xf numFmtId="0" fontId="69" fillId="0" borderId="3" xfId="1" applyFont="1" applyBorder="1" applyAlignment="1">
      <alignment horizontal="center" vertical="center" wrapText="1"/>
    </xf>
    <xf numFmtId="0" fontId="69" fillId="0" borderId="23" xfId="1" applyFont="1" applyBorder="1" applyAlignment="1">
      <alignment horizontal="center" vertical="center" wrapText="1"/>
    </xf>
    <xf numFmtId="0" fontId="69" fillId="0" borderId="9" xfId="1" applyFont="1" applyBorder="1" applyAlignment="1">
      <alignment horizontal="center" vertical="center" wrapText="1"/>
    </xf>
    <xf numFmtId="0" fontId="69" fillId="0" borderId="15" xfId="1" applyFont="1" applyBorder="1" applyAlignment="1">
      <alignment horizontal="center" vertical="center" wrapText="1"/>
    </xf>
    <xf numFmtId="0" fontId="68" fillId="0" borderId="23" xfId="1" applyFont="1" applyBorder="1"/>
    <xf numFmtId="2" fontId="68" fillId="0" borderId="9" xfId="1" applyNumberFormat="1" applyFont="1" applyBorder="1" applyProtection="1">
      <protection locked="0"/>
    </xf>
    <xf numFmtId="2" fontId="68" fillId="0" borderId="23" xfId="1" applyNumberFormat="1" applyFont="1" applyBorder="1"/>
    <xf numFmtId="0" fontId="68" fillId="0" borderId="24" xfId="1" applyFont="1" applyBorder="1" applyAlignment="1">
      <alignment horizontal="center"/>
    </xf>
    <xf numFmtId="2" fontId="68" fillId="0" borderId="3" xfId="1" applyNumberFormat="1" applyFont="1" applyBorder="1" applyAlignment="1">
      <alignment horizontal="center"/>
    </xf>
    <xf numFmtId="0" fontId="68" fillId="0" borderId="3" xfId="1" applyFont="1" applyBorder="1" applyAlignment="1">
      <alignment horizontal="center"/>
    </xf>
    <xf numFmtId="169" fontId="68" fillId="0" borderId="3" xfId="1" applyNumberFormat="1" applyFont="1" applyBorder="1" applyAlignment="1">
      <alignment horizontal="center"/>
    </xf>
    <xf numFmtId="2" fontId="68" fillId="0" borderId="23" xfId="1" applyNumberFormat="1" applyFont="1" applyBorder="1" applyAlignment="1">
      <alignment horizontal="center"/>
    </xf>
    <xf numFmtId="2" fontId="68" fillId="0" borderId="9" xfId="1" applyNumberFormat="1" applyFont="1" applyBorder="1" applyAlignment="1">
      <alignment horizontal="center"/>
    </xf>
    <xf numFmtId="2" fontId="68" fillId="0" borderId="26" xfId="1" applyNumberFormat="1" applyFont="1" applyBorder="1" applyAlignment="1">
      <alignment horizontal="center"/>
    </xf>
    <xf numFmtId="0" fontId="68" fillId="0" borderId="24" xfId="1" applyFont="1" applyBorder="1"/>
    <xf numFmtId="0" fontId="69" fillId="0" borderId="3" xfId="1" applyFont="1" applyBorder="1" applyAlignment="1">
      <alignment vertical="center" wrapText="1"/>
    </xf>
    <xf numFmtId="169" fontId="68" fillId="0" borderId="24" xfId="1" applyNumberFormat="1" applyFont="1" applyBorder="1"/>
    <xf numFmtId="169" fontId="68" fillId="0" borderId="3" xfId="1" applyNumberFormat="1" applyFont="1" applyBorder="1"/>
    <xf numFmtId="170" fontId="68" fillId="0" borderId="9" xfId="1" applyNumberFormat="1" applyFont="1" applyBorder="1"/>
    <xf numFmtId="2" fontId="68" fillId="0" borderId="26" xfId="1" applyNumberFormat="1" applyFont="1" applyBorder="1"/>
    <xf numFmtId="172" fontId="68" fillId="0" borderId="3" xfId="1" applyNumberFormat="1" applyFont="1" applyBorder="1"/>
    <xf numFmtId="2" fontId="68" fillId="0" borderId="9" xfId="1" applyNumberFormat="1" applyFont="1" applyBorder="1"/>
    <xf numFmtId="171" fontId="68" fillId="0" borderId="24" xfId="1" applyNumberFormat="1" applyFont="1" applyBorder="1"/>
    <xf numFmtId="170" fontId="68" fillId="0" borderId="24" xfId="1" applyNumberFormat="1" applyFont="1" applyBorder="1"/>
    <xf numFmtId="2" fontId="68" fillId="0" borderId="15" xfId="1" applyNumberFormat="1" applyFont="1" applyBorder="1"/>
    <xf numFmtId="2" fontId="68" fillId="0" borderId="8" xfId="1" applyNumberFormat="1" applyFont="1" applyBorder="1"/>
    <xf numFmtId="0" fontId="68" fillId="0" borderId="26" xfId="2" applyFont="1" applyBorder="1"/>
    <xf numFmtId="0" fontId="68" fillId="0" borderId="24" xfId="2" applyFont="1" applyBorder="1"/>
    <xf numFmtId="170" fontId="68" fillId="0" borderId="3" xfId="1" applyNumberFormat="1" applyFont="1" applyBorder="1"/>
    <xf numFmtId="169" fontId="68" fillId="0" borderId="3" xfId="2" applyNumberFormat="1" applyFont="1" applyBorder="1"/>
    <xf numFmtId="0" fontId="68" fillId="0" borderId="9" xfId="1" applyFont="1" applyBorder="1"/>
    <xf numFmtId="2" fontId="68" fillId="0" borderId="6" xfId="1" applyNumberFormat="1" applyFont="1" applyBorder="1"/>
    <xf numFmtId="0" fontId="68" fillId="0" borderId="14" xfId="1" applyFont="1" applyBorder="1"/>
    <xf numFmtId="0" fontId="68" fillId="0" borderId="25" xfId="1" applyFont="1" applyBorder="1"/>
    <xf numFmtId="2" fontId="68" fillId="0" borderId="24" xfId="1" applyNumberFormat="1" applyFont="1" applyBorder="1"/>
    <xf numFmtId="2" fontId="68" fillId="0" borderId="59" xfId="1" applyNumberFormat="1" applyFont="1" applyBorder="1"/>
    <xf numFmtId="169" fontId="68" fillId="0" borderId="9" xfId="1" applyNumberFormat="1" applyFont="1" applyBorder="1"/>
    <xf numFmtId="0" fontId="69" fillId="0" borderId="23" xfId="1" applyFont="1" applyBorder="1"/>
    <xf numFmtId="169" fontId="68" fillId="0" borderId="15" xfId="1" applyNumberFormat="1" applyFont="1" applyBorder="1"/>
    <xf numFmtId="171" fontId="68" fillId="0" borderId="3" xfId="1" applyNumberFormat="1" applyFont="1" applyBorder="1"/>
    <xf numFmtId="172" fontId="68" fillId="0" borderId="9" xfId="1" applyNumberFormat="1" applyFont="1" applyBorder="1"/>
    <xf numFmtId="173" fontId="68" fillId="0" borderId="3" xfId="1" applyNumberFormat="1" applyFont="1" applyBorder="1"/>
    <xf numFmtId="2" fontId="69" fillId="0" borderId="3" xfId="1" applyNumberFormat="1" applyFont="1" applyBorder="1"/>
    <xf numFmtId="0" fontId="69" fillId="0" borderId="3" xfId="1" applyFont="1" applyBorder="1"/>
    <xf numFmtId="2" fontId="69" fillId="0" borderId="23" xfId="1" applyNumberFormat="1" applyFont="1" applyBorder="1"/>
    <xf numFmtId="2" fontId="69" fillId="0" borderId="9" xfId="1" applyNumberFormat="1" applyFont="1" applyBorder="1"/>
    <xf numFmtId="0" fontId="69" fillId="0" borderId="38" xfId="1" applyFont="1" applyBorder="1" applyAlignment="1">
      <alignment horizontal="center"/>
    </xf>
    <xf numFmtId="0" fontId="68" fillId="0" borderId="41" xfId="1" applyFont="1" applyBorder="1"/>
    <xf numFmtId="2" fontId="69" fillId="0" borderId="34" xfId="1" applyNumberFormat="1" applyFont="1" applyBorder="1"/>
    <xf numFmtId="0" fontId="69" fillId="0" borderId="34" xfId="1" applyFont="1" applyBorder="1"/>
    <xf numFmtId="2" fontId="69" fillId="0" borderId="41" xfId="1" applyNumberFormat="1" applyFont="1" applyBorder="1"/>
    <xf numFmtId="0" fontId="69" fillId="0" borderId="38" xfId="1" applyFont="1" applyBorder="1"/>
    <xf numFmtId="2" fontId="68" fillId="0" borderId="38" xfId="1" applyNumberFormat="1" applyFont="1" applyBorder="1"/>
    <xf numFmtId="2" fontId="69" fillId="0" borderId="33" xfId="1" applyNumberFormat="1" applyFont="1" applyBorder="1"/>
    <xf numFmtId="0" fontId="69" fillId="0" borderId="0" xfId="1" applyFont="1" applyAlignment="1">
      <alignment horizontal="right"/>
    </xf>
    <xf numFmtId="0" fontId="65" fillId="0" borderId="0" xfId="1" applyFont="1" applyAlignment="1">
      <alignment horizontal="right"/>
    </xf>
    <xf numFmtId="0" fontId="66" fillId="0" borderId="3" xfId="1" applyFont="1" applyBorder="1" applyAlignment="1">
      <alignment horizontal="center" vertical="center"/>
    </xf>
    <xf numFmtId="0" fontId="65" fillId="0" borderId="0" xfId="2" applyFont="1" applyAlignment="1">
      <alignment horizontal="right"/>
    </xf>
    <xf numFmtId="0" fontId="65" fillId="0" borderId="3" xfId="1" applyFont="1" applyBorder="1" applyAlignment="1">
      <alignment horizontal="left" vertical="center"/>
    </xf>
    <xf numFmtId="2" fontId="65" fillId="8" borderId="3" xfId="2" applyNumberFormat="1" applyFont="1" applyFill="1" applyBorder="1"/>
    <xf numFmtId="0" fontId="65" fillId="0" borderId="1" xfId="2" applyFont="1" applyBorder="1"/>
    <xf numFmtId="0" fontId="66" fillId="0" borderId="3" xfId="2" applyFont="1" applyBorder="1" applyAlignment="1">
      <alignment horizontal="center" vertical="center"/>
    </xf>
    <xf numFmtId="0" fontId="63" fillId="0" borderId="0" xfId="2" applyFont="1" applyAlignment="1">
      <alignment horizontal="center"/>
    </xf>
    <xf numFmtId="0" fontId="63" fillId="0" borderId="4" xfId="2" applyFont="1" applyBorder="1"/>
    <xf numFmtId="0" fontId="63" fillId="0" borderId="5" xfId="2" applyFont="1" applyBorder="1"/>
    <xf numFmtId="0" fontId="63" fillId="0" borderId="12" xfId="2" applyFont="1" applyBorder="1"/>
    <xf numFmtId="0" fontId="63" fillId="0" borderId="11" xfId="2" applyFont="1" applyBorder="1"/>
    <xf numFmtId="0" fontId="63" fillId="0" borderId="0" xfId="2" applyFont="1"/>
    <xf numFmtId="0" fontId="63" fillId="0" borderId="13" xfId="2" applyFont="1" applyBorder="1"/>
    <xf numFmtId="0" fontId="58" fillId="0" borderId="7" xfId="2" applyFont="1" applyBorder="1"/>
    <xf numFmtId="0" fontId="58" fillId="0" borderId="1" xfId="2" applyFont="1" applyBorder="1"/>
    <xf numFmtId="0" fontId="58" fillId="0" borderId="14" xfId="2" applyFont="1" applyBorder="1"/>
    <xf numFmtId="0" fontId="63" fillId="0" borderId="3" xfId="2" applyFont="1" applyBorder="1" applyAlignment="1">
      <alignment horizontal="center" vertical="center"/>
    </xf>
    <xf numFmtId="0" fontId="63" fillId="0" borderId="8" xfId="2" applyFont="1" applyBorder="1" applyAlignment="1">
      <alignment horizontal="center" vertical="center"/>
    </xf>
    <xf numFmtId="0" fontId="63" fillId="0" borderId="9" xfId="2" applyFont="1" applyBorder="1" applyAlignment="1">
      <alignment horizontal="center" vertical="center"/>
    </xf>
    <xf numFmtId="0" fontId="66" fillId="0" borderId="0" xfId="2" applyFont="1" applyAlignment="1">
      <alignment horizontal="left" vertical="top"/>
    </xf>
    <xf numFmtId="0" fontId="70" fillId="0" borderId="0" xfId="2" applyFont="1" applyAlignment="1">
      <alignment horizontal="center" vertical="top"/>
    </xf>
    <xf numFmtId="0" fontId="70" fillId="0" borderId="0" xfId="2" applyFont="1" applyAlignment="1">
      <alignment horizontal="center"/>
    </xf>
    <xf numFmtId="0" fontId="70" fillId="0" borderId="0" xfId="2" applyFont="1"/>
    <xf numFmtId="2" fontId="66" fillId="0" borderId="8" xfId="2" applyNumberFormat="1" applyFont="1" applyBorder="1"/>
    <xf numFmtId="0" fontId="79" fillId="0" borderId="0" xfId="2" applyFont="1" applyAlignment="1">
      <alignment horizontal="center"/>
    </xf>
    <xf numFmtId="0" fontId="79" fillId="0" borderId="0" xfId="2" applyFont="1"/>
    <xf numFmtId="0" fontId="59" fillId="0" borderId="0" xfId="2" applyFont="1"/>
    <xf numFmtId="0" fontId="59" fillId="0" borderId="10" xfId="2" applyFont="1" applyBorder="1"/>
    <xf numFmtId="0" fontId="59" fillId="0" borderId="5" xfId="2" applyFont="1" applyBorder="1"/>
    <xf numFmtId="0" fontId="59" fillId="0" borderId="1" xfId="2" applyFont="1" applyBorder="1"/>
    <xf numFmtId="0" fontId="59" fillId="0" borderId="12" xfId="2" applyFont="1" applyBorder="1"/>
    <xf numFmtId="0" fontId="59" fillId="0" borderId="4" xfId="2" applyFont="1" applyBorder="1"/>
    <xf numFmtId="0" fontId="59" fillId="5" borderId="2" xfId="2" applyFont="1" applyFill="1" applyBorder="1"/>
    <xf numFmtId="0" fontId="59" fillId="5" borderId="10" xfId="2" applyFont="1" applyFill="1" applyBorder="1"/>
    <xf numFmtId="0" fontId="59" fillId="0" borderId="14" xfId="2" applyFont="1" applyBorder="1"/>
    <xf numFmtId="0" fontId="59" fillId="0" borderId="13" xfId="2" applyFont="1" applyBorder="1"/>
    <xf numFmtId="0" fontId="59" fillId="0" borderId="0" xfId="2" applyFont="1" applyAlignment="1">
      <alignment vertical="center"/>
    </xf>
    <xf numFmtId="0" fontId="59" fillId="0" borderId="5" xfId="2" applyFont="1" applyBorder="1" applyAlignment="1">
      <alignment vertical="center"/>
    </xf>
    <xf numFmtId="0" fontId="59" fillId="0" borderId="12" xfId="2" applyFont="1" applyBorder="1" applyAlignment="1">
      <alignment vertical="center"/>
    </xf>
    <xf numFmtId="0" fontId="59" fillId="0" borderId="11" xfId="2" applyFont="1" applyBorder="1" applyAlignment="1">
      <alignment vertical="center"/>
    </xf>
    <xf numFmtId="0" fontId="59" fillId="0" borderId="1" xfId="2" applyFont="1" applyBorder="1" applyAlignment="1">
      <alignment vertical="center"/>
    </xf>
    <xf numFmtId="0" fontId="59" fillId="0" borderId="14" xfId="2" applyFont="1" applyBorder="1" applyAlignment="1">
      <alignment vertical="center"/>
    </xf>
    <xf numFmtId="0" fontId="59" fillId="5" borderId="6" xfId="2" applyFont="1" applyFill="1" applyBorder="1"/>
    <xf numFmtId="0" fontId="65" fillId="0" borderId="8" xfId="2" applyFont="1" applyBorder="1"/>
    <xf numFmtId="2" fontId="11" fillId="0" borderId="3" xfId="2" applyNumberFormat="1" applyFont="1" applyBorder="1"/>
    <xf numFmtId="0" fontId="70" fillId="0" borderId="11" xfId="1" applyFont="1" applyBorder="1"/>
    <xf numFmtId="0" fontId="65" fillId="0" borderId="45" xfId="1" applyFont="1" applyBorder="1"/>
    <xf numFmtId="0" fontId="65" fillId="0" borderId="12" xfId="1" applyFont="1" applyBorder="1"/>
    <xf numFmtId="0" fontId="65" fillId="0" borderId="13" xfId="1" applyFont="1" applyBorder="1"/>
    <xf numFmtId="0" fontId="70" fillId="0" borderId="46" xfId="1" applyFont="1" applyBorder="1"/>
    <xf numFmtId="0" fontId="65" fillId="0" borderId="46" xfId="1" applyFont="1" applyBorder="1"/>
    <xf numFmtId="0" fontId="65" fillId="0" borderId="47" xfId="1" applyFont="1" applyBorder="1"/>
    <xf numFmtId="0" fontId="70" fillId="0" borderId="48" xfId="1" applyFont="1" applyBorder="1"/>
    <xf numFmtId="0" fontId="65" fillId="0" borderId="48" xfId="1" applyFont="1" applyBorder="1"/>
    <xf numFmtId="0" fontId="65" fillId="0" borderId="49" xfId="1" applyFont="1" applyBorder="1"/>
    <xf numFmtId="2" fontId="70" fillId="0" borderId="46" xfId="1" applyNumberFormat="1" applyFont="1" applyBorder="1" applyAlignment="1">
      <alignment horizontal="left"/>
    </xf>
    <xf numFmtId="0" fontId="70" fillId="0" borderId="50" xfId="1" applyFont="1" applyBorder="1"/>
    <xf numFmtId="0" fontId="65" fillId="0" borderId="50" xfId="1" applyFont="1" applyBorder="1"/>
    <xf numFmtId="0" fontId="65" fillId="0" borderId="51" xfId="1" applyFont="1" applyBorder="1"/>
    <xf numFmtId="0" fontId="66" fillId="0" borderId="46" xfId="1" applyFont="1" applyBorder="1"/>
    <xf numFmtId="0" fontId="70" fillId="0" borderId="13" xfId="1" applyFont="1" applyBorder="1" applyAlignment="1">
      <alignment horizontal="right"/>
    </xf>
    <xf numFmtId="0" fontId="65" fillId="0" borderId="7" xfId="1" applyFont="1" applyBorder="1"/>
    <xf numFmtId="0" fontId="65" fillId="0" borderId="1" xfId="1" applyFont="1" applyBorder="1"/>
    <xf numFmtId="0" fontId="66" fillId="0" borderId="8" xfId="1" applyFont="1" applyBorder="1" applyAlignment="1">
      <alignment horizontal="center" vertical="center"/>
    </xf>
    <xf numFmtId="0" fontId="66" fillId="0" borderId="9" xfId="1" applyFont="1" applyBorder="1" applyAlignment="1">
      <alignment horizontal="center" vertical="center"/>
    </xf>
    <xf numFmtId="1" fontId="66" fillId="0" borderId="4" xfId="1" applyNumberFormat="1" applyFont="1" applyBorder="1" applyAlignment="1">
      <alignment horizontal="center"/>
    </xf>
    <xf numFmtId="0" fontId="65" fillId="0" borderId="13" xfId="1" applyFont="1" applyBorder="1" applyAlignment="1">
      <alignment vertical="top"/>
    </xf>
    <xf numFmtId="0" fontId="65" fillId="0" borderId="13" xfId="1" applyFont="1" applyBorder="1" applyAlignment="1">
      <alignment horizontal="center"/>
    </xf>
    <xf numFmtId="2" fontId="65" fillId="0" borderId="12" xfId="1" applyNumberFormat="1" applyFont="1" applyBorder="1"/>
    <xf numFmtId="0" fontId="66" fillId="0" borderId="12" xfId="1" applyFont="1" applyBorder="1" applyAlignment="1">
      <alignment horizontal="center"/>
    </xf>
    <xf numFmtId="1" fontId="66" fillId="0" borderId="11" xfId="1" applyNumberFormat="1" applyFont="1" applyBorder="1" applyAlignment="1">
      <alignment horizontal="center"/>
    </xf>
    <xf numFmtId="2" fontId="65" fillId="0" borderId="13" xfId="1" applyNumberFormat="1" applyFont="1" applyBorder="1"/>
    <xf numFmtId="0" fontId="66" fillId="0" borderId="13" xfId="1" applyFont="1" applyBorder="1" applyAlignment="1">
      <alignment horizontal="center"/>
    </xf>
    <xf numFmtId="2" fontId="66" fillId="0" borderId="13" xfId="1" applyNumberFormat="1" applyFont="1" applyBorder="1"/>
    <xf numFmtId="2" fontId="66" fillId="0" borderId="11" xfId="1" applyNumberFormat="1" applyFont="1" applyBorder="1" applyAlignment="1">
      <alignment horizontal="center"/>
    </xf>
    <xf numFmtId="0" fontId="65" fillId="0" borderId="0" xfId="1" applyFont="1" applyAlignment="1">
      <alignment horizontal="justify" vertical="top"/>
    </xf>
    <xf numFmtId="0" fontId="65" fillId="0" borderId="13" xfId="1" applyFont="1" applyBorder="1" applyAlignment="1">
      <alignment horizontal="justify" vertical="top"/>
    </xf>
    <xf numFmtId="0" fontId="65" fillId="0" borderId="10" xfId="1" applyFont="1" applyBorder="1" applyAlignment="1">
      <alignment horizontal="center"/>
    </xf>
    <xf numFmtId="2" fontId="65" fillId="0" borderId="10" xfId="1" applyNumberFormat="1" applyFont="1" applyBorder="1"/>
    <xf numFmtId="0" fontId="65" fillId="0" borderId="10" xfId="1" applyFont="1" applyBorder="1"/>
    <xf numFmtId="2" fontId="66" fillId="0" borderId="10" xfId="1" applyNumberFormat="1" applyFont="1" applyBorder="1"/>
    <xf numFmtId="2" fontId="66" fillId="0" borderId="11" xfId="1" applyNumberFormat="1" applyFont="1" applyBorder="1"/>
    <xf numFmtId="0" fontId="66" fillId="0" borderId="0" xfId="1" applyFont="1" applyAlignment="1">
      <alignment vertical="top"/>
    </xf>
    <xf numFmtId="0" fontId="66" fillId="0" borderId="10" xfId="1" applyFont="1" applyBorder="1" applyAlignment="1">
      <alignment horizontal="center"/>
    </xf>
    <xf numFmtId="2" fontId="65" fillId="0" borderId="11" xfId="1" applyNumberFormat="1" applyFont="1" applyBorder="1"/>
    <xf numFmtId="0" fontId="65" fillId="0" borderId="0" xfId="1" applyFont="1" applyAlignment="1">
      <alignment vertical="top"/>
    </xf>
    <xf numFmtId="0" fontId="66" fillId="0" borderId="0" xfId="1" applyFont="1" applyAlignment="1">
      <alignment horizontal="justify" vertical="top"/>
    </xf>
    <xf numFmtId="0" fontId="69" fillId="0" borderId="13" xfId="1" applyFont="1" applyBorder="1" applyAlignment="1">
      <alignment horizontal="justify" vertical="top"/>
    </xf>
    <xf numFmtId="0" fontId="65" fillId="0" borderId="11" xfId="1" applyFont="1" applyBorder="1" applyAlignment="1">
      <alignment horizontal="center"/>
    </xf>
    <xf numFmtId="0" fontId="66" fillId="0" borderId="11" xfId="1" applyFont="1" applyBorder="1"/>
    <xf numFmtId="0" fontId="65" fillId="0" borderId="11" xfId="1" applyFont="1" applyBorder="1"/>
    <xf numFmtId="0" fontId="65" fillId="0" borderId="6" xfId="1" applyFont="1" applyBorder="1"/>
    <xf numFmtId="2" fontId="65" fillId="0" borderId="7" xfId="1" applyNumberFormat="1" applyFont="1" applyBorder="1"/>
    <xf numFmtId="2" fontId="70" fillId="0" borderId="7" xfId="1" applyNumberFormat="1" applyFont="1" applyBorder="1" applyAlignment="1">
      <alignment horizontal="center"/>
    </xf>
    <xf numFmtId="2" fontId="66" fillId="0" borderId="6" xfId="1" applyNumberFormat="1" applyFont="1" applyBorder="1"/>
    <xf numFmtId="0" fontId="66" fillId="0" borderId="4" xfId="1" applyFont="1" applyBorder="1" applyAlignment="1">
      <alignment horizontal="center"/>
    </xf>
    <xf numFmtId="0" fontId="66" fillId="0" borderId="5" xfId="1" applyFont="1" applyBorder="1" applyAlignment="1">
      <alignment horizontal="center"/>
    </xf>
    <xf numFmtId="0" fontId="70" fillId="0" borderId="12" xfId="1" applyFont="1" applyBorder="1" applyAlignment="1">
      <alignment horizontal="center"/>
    </xf>
    <xf numFmtId="2" fontId="66" fillId="0" borderId="12" xfId="1" applyNumberFormat="1" applyFont="1" applyBorder="1" applyAlignment="1">
      <alignment horizontal="right"/>
    </xf>
    <xf numFmtId="2" fontId="66" fillId="0" borderId="11" xfId="1" applyNumberFormat="1" applyFont="1" applyBorder="1" applyAlignment="1">
      <alignment horizontal="left"/>
    </xf>
    <xf numFmtId="2" fontId="66" fillId="0" borderId="0" xfId="1" applyNumberFormat="1" applyFont="1"/>
    <xf numFmtId="2" fontId="65" fillId="0" borderId="6" xfId="1" applyNumberFormat="1" applyFont="1" applyBorder="1"/>
    <xf numFmtId="0" fontId="86" fillId="0" borderId="0" xfId="1" applyFont="1" applyAlignment="1">
      <alignment horizontal="justify" vertical="top"/>
    </xf>
    <xf numFmtId="2" fontId="66" fillId="0" borderId="0" xfId="1" applyNumberFormat="1" applyFont="1" applyAlignment="1">
      <alignment horizontal="center"/>
    </xf>
    <xf numFmtId="2" fontId="66" fillId="0" borderId="0" xfId="1" applyNumberFormat="1" applyFont="1" applyAlignment="1">
      <alignment horizontal="right"/>
    </xf>
    <xf numFmtId="0" fontId="64" fillId="0" borderId="11" xfId="1" applyFont="1" applyBorder="1"/>
    <xf numFmtId="2" fontId="66" fillId="0" borderId="13" xfId="1" applyNumberFormat="1" applyFont="1" applyBorder="1" applyAlignment="1">
      <alignment horizontal="center"/>
    </xf>
    <xf numFmtId="0" fontId="66" fillId="0" borderId="11" xfId="1" applyFont="1" applyBorder="1" applyAlignment="1">
      <alignment vertical="top"/>
    </xf>
    <xf numFmtId="9" fontId="66" fillId="0" borderId="0" xfId="1" applyNumberFormat="1" applyFont="1" applyAlignment="1">
      <alignment horizontal="left"/>
    </xf>
    <xf numFmtId="49" fontId="65" fillId="0" borderId="0" xfId="1" applyNumberFormat="1" applyFont="1" applyAlignment="1">
      <alignment horizontal="center"/>
    </xf>
    <xf numFmtId="49" fontId="70" fillId="0" borderId="0" xfId="1" applyNumberFormat="1" applyFont="1" applyAlignment="1">
      <alignment horizontal="center"/>
    </xf>
    <xf numFmtId="2" fontId="70" fillId="0" borderId="13" xfId="1" applyNumberFormat="1" applyFont="1" applyBorder="1"/>
    <xf numFmtId="2" fontId="65" fillId="0" borderId="14" xfId="1" applyNumberFormat="1" applyFont="1" applyBorder="1"/>
    <xf numFmtId="0" fontId="65" fillId="0" borderId="4" xfId="1" applyFont="1" applyBorder="1"/>
    <xf numFmtId="0" fontId="65" fillId="0" borderId="5" xfId="1" applyFont="1" applyBorder="1"/>
    <xf numFmtId="0" fontId="65" fillId="0" borderId="0" xfId="1" applyFont="1" applyAlignment="1">
      <alignment horizontal="justify"/>
    </xf>
    <xf numFmtId="0" fontId="65" fillId="0" borderId="11" xfId="1" applyFont="1" applyBorder="1" applyAlignment="1">
      <alignment horizontal="left"/>
    </xf>
    <xf numFmtId="0" fontId="69" fillId="0" borderId="0" xfId="1" applyFont="1" applyAlignment="1">
      <alignment horizontal="left"/>
    </xf>
    <xf numFmtId="0" fontId="65" fillId="0" borderId="1" xfId="1" applyFont="1" applyBorder="1" applyAlignment="1">
      <alignment horizontal="right"/>
    </xf>
    <xf numFmtId="0" fontId="63" fillId="0" borderId="0" xfId="1" applyFont="1" applyAlignment="1">
      <alignment vertical="center" wrapText="1"/>
    </xf>
    <xf numFmtId="2" fontId="66" fillId="0" borderId="13" xfId="1" applyNumberFormat="1" applyFont="1" applyBorder="1" applyAlignment="1">
      <alignment horizontal="right"/>
    </xf>
    <xf numFmtId="0" fontId="65" fillId="0" borderId="11" xfId="1" applyFont="1" applyBorder="1" applyAlignment="1">
      <alignment vertical="top"/>
    </xf>
    <xf numFmtId="0" fontId="66" fillId="0" borderId="11" xfId="1" applyFont="1" applyBorder="1" applyAlignment="1">
      <alignment horizontal="center"/>
    </xf>
    <xf numFmtId="0" fontId="65" fillId="0" borderId="2" xfId="1" applyFont="1" applyBorder="1"/>
    <xf numFmtId="0" fontId="65" fillId="0" borderId="10" xfId="1" applyFont="1" applyBorder="1" applyAlignment="1">
      <alignment horizontal="justify" vertical="top"/>
    </xf>
    <xf numFmtId="2" fontId="70" fillId="0" borderId="46" xfId="1" applyNumberFormat="1" applyFont="1" applyBorder="1"/>
    <xf numFmtId="2" fontId="82" fillId="8" borderId="3" xfId="2" applyNumberFormat="1" applyFont="1" applyFill="1" applyBorder="1"/>
    <xf numFmtId="0" fontId="2" fillId="0" borderId="3" xfId="2" applyFont="1" applyBorder="1" applyAlignment="1">
      <alignment horizontal="right"/>
    </xf>
    <xf numFmtId="0" fontId="0" fillId="0" borderId="3" xfId="0" applyBorder="1"/>
    <xf numFmtId="2" fontId="0" fillId="0" borderId="3" xfId="0" applyNumberFormat="1" applyBorder="1"/>
    <xf numFmtId="0" fontId="88" fillId="0" borderId="0" xfId="0" applyFont="1"/>
    <xf numFmtId="0" fontId="0" fillId="0" borderId="3" xfId="0" applyBorder="1" applyAlignment="1">
      <alignment horizontal="center"/>
    </xf>
    <xf numFmtId="0" fontId="88" fillId="0" borderId="3" xfId="0" applyFont="1" applyBorder="1" applyAlignment="1">
      <alignment horizontal="center"/>
    </xf>
    <xf numFmtId="0" fontId="88" fillId="0" borderId="3" xfId="0" applyFont="1" applyBorder="1" applyAlignment="1">
      <alignment horizontal="center" vertical="center" wrapText="1"/>
    </xf>
    <xf numFmtId="0" fontId="0" fillId="0" borderId="0" xfId="0" applyAlignment="1">
      <alignment horizontal="center" vertical="center" wrapText="1"/>
    </xf>
    <xf numFmtId="2" fontId="88" fillId="0" borderId="3" xfId="0" applyNumberFormat="1" applyFont="1" applyBorder="1"/>
    <xf numFmtId="0" fontId="91" fillId="0" borderId="0" xfId="2" applyFont="1" applyAlignment="1">
      <alignment horizontal="center"/>
    </xf>
    <xf numFmtId="0" fontId="0" fillId="0" borderId="0" xfId="0" applyAlignment="1">
      <alignment horizontal="center"/>
    </xf>
    <xf numFmtId="169" fontId="0" fillId="0" borderId="13" xfId="0" applyNumberFormat="1" applyBorder="1"/>
    <xf numFmtId="169" fontId="0" fillId="0" borderId="14" xfId="0" applyNumberFormat="1" applyBorder="1"/>
    <xf numFmtId="0" fontId="5" fillId="0" borderId="3" xfId="2" applyFont="1" applyBorder="1" applyAlignment="1">
      <alignment horizontal="center" vertical="center"/>
    </xf>
    <xf numFmtId="0" fontId="37" fillId="0" borderId="0" xfId="0" applyFont="1" applyAlignment="1">
      <alignment vertical="center"/>
    </xf>
    <xf numFmtId="0" fontId="66" fillId="0" borderId="0" xfId="2" applyFont="1" applyAlignment="1">
      <alignment vertical="center"/>
    </xf>
    <xf numFmtId="0" fontId="58" fillId="0" borderId="11" xfId="2" applyFont="1" applyBorder="1"/>
    <xf numFmtId="0" fontId="58" fillId="0" borderId="13" xfId="2" applyFont="1" applyBorder="1"/>
    <xf numFmtId="0" fontId="63" fillId="0" borderId="6" xfId="2" applyFont="1" applyBorder="1" applyAlignment="1">
      <alignment horizontal="center" vertical="center"/>
    </xf>
    <xf numFmtId="0" fontId="70" fillId="0" borderId="0" xfId="2" applyFont="1" applyAlignment="1">
      <alignment horizontal="center" vertical="center"/>
    </xf>
    <xf numFmtId="0" fontId="63" fillId="0" borderId="2" xfId="2" applyFont="1" applyBorder="1" applyAlignment="1">
      <alignment horizontal="center" vertical="center"/>
    </xf>
    <xf numFmtId="0" fontId="66" fillId="0" borderId="15" xfId="2" applyFont="1" applyBorder="1" applyAlignment="1">
      <alignment horizontal="center"/>
    </xf>
    <xf numFmtId="0" fontId="66" fillId="0" borderId="9" xfId="2" applyFont="1" applyBorder="1" applyAlignment="1">
      <alignment horizontal="center"/>
    </xf>
    <xf numFmtId="0" fontId="93" fillId="0" borderId="3" xfId="0" applyFont="1" applyBorder="1" applyAlignment="1">
      <alignment horizontal="center"/>
    </xf>
    <xf numFmtId="0" fontId="2" fillId="0" borderId="0" xfId="17"/>
    <xf numFmtId="0" fontId="5" fillId="0" borderId="0" xfId="17" applyFont="1" applyAlignment="1">
      <alignment horizontal="center"/>
    </xf>
    <xf numFmtId="0" fontId="5" fillId="0" borderId="11" xfId="17" applyFont="1" applyBorder="1"/>
    <xf numFmtId="0" fontId="5" fillId="0" borderId="0" xfId="17" applyFont="1"/>
    <xf numFmtId="0" fontId="5" fillId="0" borderId="0" xfId="17" applyFont="1" applyAlignment="1">
      <alignment horizontal="right"/>
    </xf>
    <xf numFmtId="0" fontId="5" fillId="0" borderId="0" xfId="17" applyFont="1" applyAlignment="1">
      <alignment horizontal="left"/>
    </xf>
    <xf numFmtId="0" fontId="2" fillId="0" borderId="7" xfId="17" applyBorder="1"/>
    <xf numFmtId="0" fontId="2" fillId="0" borderId="1" xfId="17" applyBorder="1"/>
    <xf numFmtId="0" fontId="6" fillId="0" borderId="3" xfId="17" applyFont="1" applyBorder="1" applyAlignment="1">
      <alignment horizontal="center" vertical="center"/>
    </xf>
    <xf numFmtId="0" fontId="6" fillId="0" borderId="9" xfId="17" applyFont="1" applyBorder="1" applyAlignment="1">
      <alignment horizontal="center" vertical="center"/>
    </xf>
    <xf numFmtId="2" fontId="6" fillId="0" borderId="9" xfId="17" applyNumberFormat="1" applyFont="1" applyBorder="1" applyAlignment="1">
      <alignment horizontal="center" vertical="center"/>
    </xf>
    <xf numFmtId="0" fontId="65" fillId="0" borderId="8" xfId="2" applyFont="1" applyBorder="1" applyAlignment="1">
      <alignment horizontal="left"/>
    </xf>
    <xf numFmtId="0" fontId="94" fillId="0" borderId="3" xfId="0" applyFont="1" applyBorder="1" applyAlignment="1">
      <alignment horizontal="center"/>
    </xf>
    <xf numFmtId="0" fontId="94" fillId="0" borderId="3" xfId="0" applyFont="1" applyBorder="1"/>
    <xf numFmtId="2" fontId="94" fillId="0" borderId="3" xfId="0" applyNumberFormat="1" applyFont="1" applyBorder="1"/>
    <xf numFmtId="2" fontId="93" fillId="0" borderId="3" xfId="0" applyNumberFormat="1" applyFont="1" applyBorder="1"/>
    <xf numFmtId="0" fontId="58" fillId="0" borderId="0" xfId="2" applyFont="1" applyAlignment="1">
      <alignment horizontal="right"/>
    </xf>
    <xf numFmtId="2" fontId="0" fillId="0" borderId="0" xfId="0" applyNumberFormat="1" applyAlignment="1">
      <alignment horizontal="right"/>
    </xf>
    <xf numFmtId="2" fontId="87" fillId="0" borderId="0" xfId="0" applyNumberFormat="1" applyFont="1"/>
    <xf numFmtId="0" fontId="87" fillId="0" borderId="0" xfId="0" applyFont="1" applyAlignment="1">
      <alignment horizontal="right"/>
    </xf>
    <xf numFmtId="0" fontId="0" fillId="0" borderId="0" xfId="0" applyAlignment="1">
      <alignment horizontal="right"/>
    </xf>
    <xf numFmtId="0" fontId="94" fillId="0" borderId="6" xfId="0" applyFont="1" applyBorder="1" applyAlignment="1">
      <alignment horizontal="left" vertical="center"/>
    </xf>
    <xf numFmtId="0" fontId="96" fillId="0" borderId="3" xfId="0" applyFont="1" applyBorder="1" applyAlignment="1">
      <alignment horizontal="center"/>
    </xf>
    <xf numFmtId="2" fontId="65" fillId="0" borderId="3" xfId="2" applyNumberFormat="1" applyFont="1" applyBorder="1" applyAlignment="1">
      <alignment horizontal="center"/>
    </xf>
    <xf numFmtId="0" fontId="2" fillId="0" borderId="93" xfId="1" applyBorder="1"/>
    <xf numFmtId="0" fontId="2" fillId="0" borderId="97" xfId="1" applyBorder="1"/>
    <xf numFmtId="0" fontId="9" fillId="0" borderId="0" xfId="1" applyFont="1" applyAlignment="1">
      <alignment horizontal="center"/>
    </xf>
    <xf numFmtId="0" fontId="2" fillId="9" borderId="11" xfId="1" applyFill="1" applyBorder="1"/>
    <xf numFmtId="0" fontId="2" fillId="9" borderId="0" xfId="1" applyFill="1"/>
    <xf numFmtId="0" fontId="2" fillId="9" borderId="13" xfId="1" applyFill="1" applyBorder="1"/>
    <xf numFmtId="0" fontId="2" fillId="9" borderId="7" xfId="1" applyFill="1" applyBorder="1"/>
    <xf numFmtId="0" fontId="2" fillId="9" borderId="1" xfId="1" applyFill="1" applyBorder="1"/>
    <xf numFmtId="0" fontId="2" fillId="9" borderId="14" xfId="1" applyFill="1" applyBorder="1"/>
    <xf numFmtId="0" fontId="2" fillId="9" borderId="4" xfId="1" applyFill="1" applyBorder="1"/>
    <xf numFmtId="0" fontId="2" fillId="9" borderId="5" xfId="1" applyFill="1" applyBorder="1"/>
    <xf numFmtId="0" fontId="2" fillId="9" borderId="12" xfId="1" applyFill="1" applyBorder="1"/>
    <xf numFmtId="0" fontId="2" fillId="0" borderId="42" xfId="1" applyBorder="1"/>
    <xf numFmtId="0" fontId="2" fillId="0" borderId="43" xfId="1" applyBorder="1"/>
    <xf numFmtId="0" fontId="2" fillId="0" borderId="109" xfId="1" applyBorder="1"/>
    <xf numFmtId="0" fontId="2" fillId="0" borderId="48" xfId="1" applyBorder="1"/>
    <xf numFmtId="0" fontId="5" fillId="0" borderId="48" xfId="1" applyFont="1" applyBorder="1"/>
    <xf numFmtId="0" fontId="2" fillId="0" borderId="110" xfId="1" applyBorder="1"/>
    <xf numFmtId="0" fontId="2" fillId="0" borderId="111" xfId="1" applyBorder="1"/>
    <xf numFmtId="0" fontId="5" fillId="0" borderId="93" xfId="1" applyFont="1" applyBorder="1"/>
    <xf numFmtId="0" fontId="2" fillId="0" borderId="83" xfId="1" applyBorder="1"/>
    <xf numFmtId="0" fontId="2" fillId="0" borderId="84" xfId="1" applyBorder="1"/>
    <xf numFmtId="0" fontId="2" fillId="0" borderId="112" xfId="1" applyBorder="1"/>
    <xf numFmtId="0" fontId="2" fillId="0" borderId="113" xfId="1" applyBorder="1"/>
    <xf numFmtId="0" fontId="2" fillId="0" borderId="114" xfId="1" applyBorder="1"/>
    <xf numFmtId="0" fontId="2" fillId="9" borderId="2" xfId="1" applyFill="1" applyBorder="1"/>
    <xf numFmtId="0" fontId="2" fillId="9" borderId="10" xfId="1" applyFill="1" applyBorder="1"/>
    <xf numFmtId="0" fontId="2" fillId="9" borderId="6" xfId="1" applyFill="1" applyBorder="1"/>
    <xf numFmtId="0" fontId="9" fillId="0" borderId="14" xfId="1" applyFont="1" applyBorder="1" applyAlignment="1">
      <alignment vertical="center" textRotation="90"/>
    </xf>
    <xf numFmtId="0" fontId="9" fillId="0" borderId="12" xfId="1" applyFont="1" applyBorder="1" applyAlignment="1">
      <alignment vertical="center" textRotation="90"/>
    </xf>
    <xf numFmtId="0" fontId="2" fillId="0" borderId="115" xfId="1" applyBorder="1" applyAlignment="1">
      <alignment vertical="center" textRotation="90"/>
    </xf>
    <xf numFmtId="0" fontId="2" fillId="0" borderId="50" xfId="1" applyBorder="1" applyAlignment="1">
      <alignment vertical="center" textRotation="90"/>
    </xf>
    <xf numFmtId="0" fontId="2" fillId="0" borderId="4" xfId="1" applyBorder="1" applyAlignment="1">
      <alignment vertical="center" textRotation="90"/>
    </xf>
    <xf numFmtId="0" fontId="2" fillId="0" borderId="108" xfId="1" applyBorder="1" applyAlignment="1">
      <alignment vertical="center" textRotation="90"/>
    </xf>
    <xf numFmtId="0" fontId="2" fillId="0" borderId="10" xfId="1" applyBorder="1" applyAlignment="1">
      <alignment vertical="center" textRotation="90"/>
    </xf>
    <xf numFmtId="0" fontId="2" fillId="0" borderId="73" xfId="1" applyBorder="1" applyAlignment="1">
      <alignment vertical="center" textRotation="90"/>
    </xf>
    <xf numFmtId="0" fontId="2" fillId="0" borderId="7" xfId="1" applyBorder="1" applyAlignment="1">
      <alignment vertical="center" textRotation="90"/>
    </xf>
    <xf numFmtId="0" fontId="2" fillId="0" borderId="74" xfId="1" applyBorder="1" applyAlignment="1">
      <alignment vertical="center" textRotation="90"/>
    </xf>
    <xf numFmtId="0" fontId="2" fillId="0" borderId="116" xfId="1" applyBorder="1" applyAlignment="1">
      <alignment vertical="center" textRotation="90"/>
    </xf>
    <xf numFmtId="0" fontId="12" fillId="0" borderId="13" xfId="1" applyFont="1" applyBorder="1" applyAlignment="1">
      <alignment vertical="center" textRotation="90"/>
    </xf>
    <xf numFmtId="0" fontId="2" fillId="0" borderId="118" xfId="1" applyBorder="1"/>
    <xf numFmtId="0" fontId="2" fillId="0" borderId="100" xfId="1" applyBorder="1"/>
    <xf numFmtId="0" fontId="2" fillId="9" borderId="119" xfId="1" applyFill="1" applyBorder="1"/>
    <xf numFmtId="0" fontId="102" fillId="0" borderId="0" xfId="1" applyFont="1"/>
    <xf numFmtId="0" fontId="103" fillId="0" borderId="0" xfId="1" applyFont="1" applyAlignment="1">
      <alignment vertical="center"/>
    </xf>
    <xf numFmtId="0" fontId="2" fillId="0" borderId="95" xfId="1" applyBorder="1"/>
    <xf numFmtId="0" fontId="2" fillId="0" borderId="101" xfId="1" applyBorder="1"/>
    <xf numFmtId="0" fontId="2" fillId="0" borderId="115" xfId="1" applyBorder="1"/>
    <xf numFmtId="0" fontId="2" fillId="0" borderId="102" xfId="1" applyBorder="1"/>
    <xf numFmtId="0" fontId="2" fillId="0" borderId="96" xfId="1" applyBorder="1"/>
    <xf numFmtId="0" fontId="2" fillId="0" borderId="98" xfId="1" applyBorder="1"/>
    <xf numFmtId="0" fontId="2" fillId="0" borderId="116" xfId="1" applyBorder="1"/>
    <xf numFmtId="0" fontId="9" fillId="0" borderId="13" xfId="18" applyFont="1" applyBorder="1"/>
    <xf numFmtId="0" fontId="9" fillId="0" borderId="1" xfId="18" applyFont="1" applyBorder="1"/>
    <xf numFmtId="0" fontId="9" fillId="0" borderId="14" xfId="18" applyFont="1" applyBorder="1"/>
    <xf numFmtId="0" fontId="9" fillId="0" borderId="11" xfId="1" applyFont="1" applyBorder="1" applyAlignment="1">
      <alignment vertical="center"/>
    </xf>
    <xf numFmtId="0" fontId="9" fillId="0" borderId="5" xfId="18" applyFont="1" applyBorder="1"/>
    <xf numFmtId="0" fontId="9" fillId="0" borderId="12" xfId="18" applyFont="1" applyBorder="1"/>
    <xf numFmtId="0" fontId="9" fillId="0" borderId="0" xfId="18" applyFont="1"/>
    <xf numFmtId="0" fontId="3" fillId="0" borderId="51" xfId="1" applyFont="1" applyBorder="1"/>
    <xf numFmtId="0" fontId="3" fillId="0" borderId="115" xfId="1" applyFont="1" applyBorder="1"/>
    <xf numFmtId="0" fontId="3" fillId="0" borderId="108" xfId="1" applyFont="1" applyBorder="1"/>
    <xf numFmtId="0" fontId="3" fillId="0" borderId="73" xfId="1" applyFont="1" applyBorder="1"/>
    <xf numFmtId="0" fontId="9" fillId="0" borderId="5" xfId="1" applyFont="1" applyBorder="1" applyAlignment="1">
      <alignment horizontal="center"/>
    </xf>
    <xf numFmtId="0" fontId="9" fillId="0" borderId="1" xfId="1" applyFont="1" applyBorder="1" applyAlignment="1">
      <alignment horizontal="center"/>
    </xf>
    <xf numFmtId="0" fontId="9" fillId="0" borderId="46" xfId="1" applyFont="1" applyBorder="1" applyAlignment="1">
      <alignment horizontal="center"/>
    </xf>
    <xf numFmtId="0" fontId="2" fillId="0" borderId="3" xfId="17" applyBorder="1"/>
    <xf numFmtId="0" fontId="5" fillId="0" borderId="3" xfId="17" applyFont="1" applyBorder="1"/>
    <xf numFmtId="0" fontId="5" fillId="0" borderId="8" xfId="2" applyFont="1" applyBorder="1" applyAlignment="1">
      <alignment horizontal="center"/>
    </xf>
    <xf numFmtId="0" fontId="46" fillId="0" borderId="0" xfId="0" applyFont="1" applyAlignment="1">
      <alignment vertical="center"/>
    </xf>
    <xf numFmtId="2" fontId="46" fillId="0" borderId="0" xfId="0" applyNumberFormat="1" applyFont="1" applyAlignment="1">
      <alignment vertical="center"/>
    </xf>
    <xf numFmtId="2" fontId="56" fillId="0" borderId="0" xfId="0" applyNumberFormat="1" applyFont="1" applyAlignment="1">
      <alignment vertical="center" textRotation="90"/>
    </xf>
    <xf numFmtId="0" fontId="56" fillId="0" borderId="0" xfId="0" applyFont="1" applyAlignment="1">
      <alignment vertical="center" textRotation="90"/>
    </xf>
    <xf numFmtId="2" fontId="45" fillId="0" borderId="0" xfId="0" applyNumberFormat="1" applyFont="1" applyAlignment="1">
      <alignment textRotation="90"/>
    </xf>
    <xf numFmtId="0" fontId="90" fillId="0" borderId="0" xfId="0" applyFont="1"/>
    <xf numFmtId="0" fontId="97" fillId="0" borderId="0" xfId="0" applyFont="1"/>
    <xf numFmtId="0" fontId="100" fillId="0" borderId="0" xfId="0" applyFont="1"/>
    <xf numFmtId="0" fontId="100" fillId="0" borderId="0" xfId="0" applyFont="1" applyAlignment="1">
      <alignment horizontal="center"/>
    </xf>
    <xf numFmtId="0" fontId="90" fillId="0" borderId="0" xfId="0" applyFont="1" applyAlignment="1">
      <alignment horizontal="center" vertical="center"/>
    </xf>
    <xf numFmtId="0" fontId="90" fillId="0" borderId="0" xfId="0" applyFont="1" applyAlignment="1">
      <alignment vertical="center"/>
    </xf>
    <xf numFmtId="0" fontId="98" fillId="0" borderId="0" xfId="0" applyFont="1"/>
    <xf numFmtId="0" fontId="99" fillId="0" borderId="0" xfId="0" applyFont="1"/>
    <xf numFmtId="0" fontId="99" fillId="0" borderId="0" xfId="0" applyFont="1" applyAlignment="1">
      <alignment horizontal="center"/>
    </xf>
    <xf numFmtId="0" fontId="105" fillId="0" borderId="0" xfId="0" applyFont="1" applyAlignment="1">
      <alignment vertical="center"/>
    </xf>
    <xf numFmtId="0" fontId="105" fillId="0" borderId="0" xfId="0" applyFont="1" applyAlignment="1">
      <alignment horizontal="center" vertical="center"/>
    </xf>
    <xf numFmtId="0" fontId="98" fillId="0" borderId="0" xfId="0" applyFont="1" applyAlignment="1">
      <alignment horizontal="right"/>
    </xf>
    <xf numFmtId="0" fontId="0" fillId="0" borderId="120" xfId="0" applyBorder="1"/>
    <xf numFmtId="0" fontId="0" fillId="0" borderId="121" xfId="0" applyBorder="1"/>
    <xf numFmtId="0" fontId="0" fillId="0" borderId="122" xfId="0" applyBorder="1"/>
    <xf numFmtId="0" fontId="0" fillId="0" borderId="123" xfId="0" applyBorder="1"/>
    <xf numFmtId="0" fontId="0" fillId="0" borderId="125" xfId="0" applyBorder="1"/>
    <xf numFmtId="0" fontId="0" fillId="0" borderId="126" xfId="0" applyBorder="1"/>
    <xf numFmtId="0" fontId="88" fillId="0" borderId="5" xfId="0" applyFont="1" applyBorder="1"/>
    <xf numFmtId="0" fontId="0" fillId="0" borderId="132" xfId="0" applyBorder="1"/>
    <xf numFmtId="0" fontId="100" fillId="0" borderId="131" xfId="0" applyFont="1" applyBorder="1" applyAlignment="1">
      <alignment horizontal="center"/>
    </xf>
    <xf numFmtId="0" fontId="100" fillId="0" borderId="5" xfId="0" applyFont="1" applyBorder="1" applyAlignment="1">
      <alignment horizontal="center"/>
    </xf>
    <xf numFmtId="177" fontId="100" fillId="0" borderId="5" xfId="0" applyNumberFormat="1" applyFont="1" applyBorder="1" applyAlignment="1">
      <alignment horizontal="center"/>
    </xf>
    <xf numFmtId="0" fontId="100" fillId="0" borderId="132" xfId="0" applyFont="1" applyBorder="1" applyAlignment="1">
      <alignment horizontal="center"/>
    </xf>
    <xf numFmtId="173" fontId="38" fillId="0" borderId="0" xfId="0" applyNumberFormat="1" applyFont="1"/>
    <xf numFmtId="173" fontId="38" fillId="0" borderId="13" xfId="0" applyNumberFormat="1" applyFont="1" applyBorder="1"/>
    <xf numFmtId="2" fontId="38" fillId="0" borderId="11" xfId="0" applyNumberFormat="1" applyFont="1" applyBorder="1" applyAlignment="1">
      <alignment vertical="center" textRotation="90"/>
    </xf>
    <xf numFmtId="0" fontId="0" fillId="0" borderId="99" xfId="0" applyBorder="1"/>
    <xf numFmtId="0" fontId="0" fillId="0" borderId="78" xfId="0" applyBorder="1"/>
    <xf numFmtId="0" fontId="0" fillId="0" borderId="133" xfId="0" applyBorder="1"/>
    <xf numFmtId="0" fontId="0" fillId="0" borderId="108" xfId="0" applyBorder="1"/>
    <xf numFmtId="0" fontId="0" fillId="0" borderId="73" xfId="0" applyBorder="1"/>
    <xf numFmtId="0" fontId="0" fillId="0" borderId="74" xfId="0" applyBorder="1"/>
    <xf numFmtId="0" fontId="0" fillId="0" borderId="134" xfId="0" applyBorder="1"/>
    <xf numFmtId="0" fontId="0" fillId="0" borderId="135" xfId="0" applyBorder="1"/>
    <xf numFmtId="0" fontId="0" fillId="9" borderId="124" xfId="0" applyFill="1" applyBorder="1"/>
    <xf numFmtId="0" fontId="0" fillId="9" borderId="125" xfId="0" applyFill="1" applyBorder="1"/>
    <xf numFmtId="0" fontId="0" fillId="9" borderId="126" xfId="0" applyFill="1" applyBorder="1"/>
    <xf numFmtId="0" fontId="100" fillId="0" borderId="0" xfId="0" applyFont="1" applyAlignment="1">
      <alignment vertical="center"/>
    </xf>
    <xf numFmtId="0" fontId="98" fillId="0" borderId="0" xfId="0" applyFont="1" applyAlignment="1">
      <alignment vertical="center"/>
    </xf>
    <xf numFmtId="0" fontId="100" fillId="0" borderId="0" xfId="0" applyFont="1" applyAlignment="1">
      <alignment horizontal="left" vertical="center"/>
    </xf>
    <xf numFmtId="0" fontId="0" fillId="0" borderId="131" xfId="0" applyBorder="1" applyAlignment="1">
      <alignment vertical="center"/>
    </xf>
    <xf numFmtId="0" fontId="0" fillId="0" borderId="122" xfId="0" applyBorder="1" applyAlignment="1">
      <alignment vertical="center"/>
    </xf>
    <xf numFmtId="0" fontId="0" fillId="0" borderId="124" xfId="0" applyBorder="1" applyAlignment="1">
      <alignment vertical="center"/>
    </xf>
    <xf numFmtId="0" fontId="0" fillId="0" borderId="0" xfId="0" applyAlignment="1">
      <alignment horizontal="left"/>
    </xf>
    <xf numFmtId="169" fontId="46" fillId="0" borderId="0" xfId="0" applyNumberFormat="1" applyFont="1" applyAlignment="1">
      <alignment horizontal="center" vertical="center"/>
    </xf>
    <xf numFmtId="0" fontId="46" fillId="0" borderId="99" xfId="0" applyFont="1" applyBorder="1"/>
    <xf numFmtId="0" fontId="46" fillId="0" borderId="51" xfId="0" applyFont="1" applyBorder="1"/>
    <xf numFmtId="0" fontId="46" fillId="0" borderId="78" xfId="0" applyFont="1" applyBorder="1"/>
    <xf numFmtId="0" fontId="46" fillId="0" borderId="47" xfId="0" applyFont="1" applyBorder="1"/>
    <xf numFmtId="0" fontId="46" fillId="0" borderId="70" xfId="0" applyFont="1" applyBorder="1"/>
    <xf numFmtId="0" fontId="46" fillId="0" borderId="71" xfId="0" applyFont="1" applyBorder="1"/>
    <xf numFmtId="0" fontId="46" fillId="9" borderId="99" xfId="0" applyFont="1" applyFill="1" applyBorder="1"/>
    <xf numFmtId="0" fontId="46" fillId="9" borderId="51" xfId="0" applyFont="1" applyFill="1" applyBorder="1"/>
    <xf numFmtId="0" fontId="46" fillId="9" borderId="78" xfId="0" applyFont="1" applyFill="1" applyBorder="1"/>
    <xf numFmtId="0" fontId="46" fillId="9" borderId="47" xfId="0" applyFont="1" applyFill="1" applyBorder="1"/>
    <xf numFmtId="0" fontId="56" fillId="0" borderId="70" xfId="0" applyFont="1" applyBorder="1"/>
    <xf numFmtId="0" fontId="56" fillId="0" borderId="71" xfId="0" applyFont="1" applyBorder="1"/>
    <xf numFmtId="0" fontId="56" fillId="0" borderId="64" xfId="0" applyFont="1" applyBorder="1"/>
    <xf numFmtId="0" fontId="56" fillId="0" borderId="65" xfId="0" applyFont="1" applyBorder="1"/>
    <xf numFmtId="0" fontId="46" fillId="9" borderId="72" xfId="0" applyFont="1" applyFill="1" applyBorder="1"/>
    <xf numFmtId="0" fontId="46" fillId="9" borderId="69" xfId="0" applyFont="1" applyFill="1" applyBorder="1"/>
    <xf numFmtId="0" fontId="46" fillId="9" borderId="75" xfId="0" applyFont="1" applyFill="1" applyBorder="1"/>
    <xf numFmtId="0" fontId="46" fillId="9" borderId="77" xfId="0" applyFont="1" applyFill="1" applyBorder="1"/>
    <xf numFmtId="173" fontId="46" fillId="0" borderId="0" xfId="0" applyNumberFormat="1" applyFont="1"/>
    <xf numFmtId="2" fontId="45" fillId="0" borderId="64" xfId="0" applyNumberFormat="1" applyFont="1" applyBorder="1" applyAlignment="1">
      <alignment vertical="center" textRotation="90"/>
    </xf>
    <xf numFmtId="2" fontId="45" fillId="0" borderId="0" xfId="0" applyNumberFormat="1" applyFont="1" applyAlignment="1">
      <alignment vertical="center" textRotation="90"/>
    </xf>
    <xf numFmtId="2" fontId="45" fillId="0" borderId="75" xfId="0" applyNumberFormat="1" applyFont="1" applyBorder="1" applyAlignment="1">
      <alignment vertical="center" textRotation="90"/>
    </xf>
    <xf numFmtId="2" fontId="45" fillId="0" borderId="46" xfId="0" applyNumberFormat="1" applyFont="1" applyBorder="1" applyAlignment="1">
      <alignment vertical="center" textRotation="90"/>
    </xf>
    <xf numFmtId="2" fontId="45" fillId="0" borderId="65" xfId="0" applyNumberFormat="1" applyFont="1" applyBorder="1" applyAlignment="1">
      <alignment textRotation="90"/>
    </xf>
    <xf numFmtId="0" fontId="56" fillId="0" borderId="12" xfId="0" applyFont="1" applyBorder="1"/>
    <xf numFmtId="0" fontId="56" fillId="0" borderId="14" xfId="0" applyFont="1" applyBorder="1"/>
    <xf numFmtId="0" fontId="56" fillId="0" borderId="108" xfId="0" applyFont="1" applyBorder="1"/>
    <xf numFmtId="0" fontId="56" fillId="0" borderId="73" xfId="0" applyFont="1" applyBorder="1"/>
    <xf numFmtId="0" fontId="56" fillId="0" borderId="74" xfId="0" applyFont="1" applyBorder="1"/>
    <xf numFmtId="173" fontId="46" fillId="0" borderId="11" xfId="0" applyNumberFormat="1" applyFont="1" applyBorder="1"/>
    <xf numFmtId="2" fontId="45" fillId="0" borderId="85" xfId="0" applyNumberFormat="1" applyFont="1" applyBorder="1" applyAlignment="1">
      <alignment vertical="center" textRotation="90"/>
    </xf>
    <xf numFmtId="2" fontId="45" fillId="0" borderId="1" xfId="0" applyNumberFormat="1" applyFont="1" applyBorder="1" applyAlignment="1">
      <alignment vertical="center" textRotation="90"/>
    </xf>
    <xf numFmtId="173" fontId="46" fillId="0" borderId="1" xfId="0" applyNumberFormat="1" applyFont="1" applyBorder="1"/>
    <xf numFmtId="173" fontId="46" fillId="0" borderId="7" xfId="0" applyNumberFormat="1" applyFont="1" applyBorder="1"/>
    <xf numFmtId="2" fontId="45" fillId="0" borderId="1" xfId="0" applyNumberFormat="1" applyFont="1" applyBorder="1" applyAlignment="1">
      <alignment textRotation="90"/>
    </xf>
    <xf numFmtId="2" fontId="45" fillId="0" borderId="86" xfId="0" applyNumberFormat="1" applyFont="1" applyBorder="1" applyAlignment="1">
      <alignment textRotation="90"/>
    </xf>
    <xf numFmtId="0" fontId="46" fillId="0" borderId="3" xfId="0" applyFont="1" applyBorder="1"/>
    <xf numFmtId="0" fontId="46" fillId="0" borderId="137" xfId="0" applyFont="1" applyBorder="1"/>
    <xf numFmtId="0" fontId="46" fillId="0" borderId="138" xfId="0" applyFont="1" applyBorder="1"/>
    <xf numFmtId="0" fontId="46" fillId="0" borderId="139" xfId="0" applyFont="1" applyBorder="1"/>
    <xf numFmtId="2" fontId="56" fillId="0" borderId="0" xfId="0" applyNumberFormat="1" applyFont="1" applyAlignment="1">
      <alignment vertical="center"/>
    </xf>
    <xf numFmtId="0" fontId="56" fillId="0" borderId="0" xfId="0" applyFont="1" applyAlignment="1">
      <alignment vertical="center"/>
    </xf>
    <xf numFmtId="169" fontId="56" fillId="0" borderId="0" xfId="0" applyNumberFormat="1" applyFont="1" applyAlignment="1">
      <alignment vertical="center" textRotation="90"/>
    </xf>
    <xf numFmtId="169" fontId="56" fillId="0" borderId="0" xfId="0" applyNumberFormat="1" applyFont="1" applyAlignment="1">
      <alignment vertical="center"/>
    </xf>
    <xf numFmtId="0" fontId="56" fillId="0" borderId="1" xfId="0" applyFont="1" applyBorder="1" applyAlignment="1">
      <alignment vertical="center"/>
    </xf>
    <xf numFmtId="169" fontId="56" fillId="0" borderId="1" xfId="0" applyNumberFormat="1" applyFont="1" applyBorder="1" applyAlignment="1">
      <alignment vertical="center" textRotation="90"/>
    </xf>
    <xf numFmtId="169" fontId="56" fillId="0" borderId="13" xfId="0" applyNumberFormat="1" applyFont="1" applyBorder="1" applyAlignment="1">
      <alignment vertical="center" textRotation="90"/>
    </xf>
    <xf numFmtId="169" fontId="56" fillId="0" borderId="5" xfId="0" applyNumberFormat="1" applyFont="1" applyBorder="1" applyAlignment="1">
      <alignment vertical="center" textRotation="90"/>
    </xf>
    <xf numFmtId="169" fontId="56" fillId="0" borderId="12" xfId="0" applyNumberFormat="1" applyFont="1" applyBorder="1" applyAlignment="1">
      <alignment vertical="center" textRotation="90"/>
    </xf>
    <xf numFmtId="169" fontId="56" fillId="0" borderId="14" xfId="0" applyNumberFormat="1" applyFont="1" applyBorder="1" applyAlignment="1">
      <alignment vertical="center" textRotation="90"/>
    </xf>
    <xf numFmtId="0" fontId="56" fillId="0" borderId="67" xfId="0" applyFont="1" applyBorder="1"/>
    <xf numFmtId="169" fontId="56" fillId="0" borderId="67" xfId="0" applyNumberFormat="1" applyFont="1" applyBorder="1" applyAlignment="1">
      <alignment vertical="center" textRotation="90"/>
    </xf>
    <xf numFmtId="169" fontId="56" fillId="0" borderId="68" xfId="0" applyNumberFormat="1" applyFont="1" applyBorder="1" applyAlignment="1">
      <alignment vertical="center" textRotation="90"/>
    </xf>
    <xf numFmtId="0" fontId="46" fillId="0" borderId="73" xfId="0" applyFont="1" applyBorder="1"/>
    <xf numFmtId="0" fontId="46" fillId="0" borderId="108" xfId="0" applyFont="1" applyBorder="1"/>
    <xf numFmtId="0" fontId="56" fillId="0" borderId="75" xfId="0" applyFont="1" applyBorder="1"/>
    <xf numFmtId="0" fontId="56" fillId="0" borderId="46" xfId="0" applyFont="1" applyBorder="1"/>
    <xf numFmtId="0" fontId="56" fillId="0" borderId="77" xfId="0" applyFont="1" applyBorder="1"/>
    <xf numFmtId="0" fontId="56" fillId="9" borderId="0" xfId="0" applyFont="1" applyFill="1"/>
    <xf numFmtId="0" fontId="56" fillId="9" borderId="13" xfId="0" applyFont="1" applyFill="1" applyBorder="1"/>
    <xf numFmtId="0" fontId="46" fillId="9" borderId="27" xfId="0" applyFont="1" applyFill="1" applyBorder="1"/>
    <xf numFmtId="0" fontId="46" fillId="9" borderId="36" xfId="0" applyFont="1" applyFill="1" applyBorder="1"/>
    <xf numFmtId="0" fontId="46" fillId="9" borderId="30" xfId="0" applyFont="1" applyFill="1" applyBorder="1"/>
    <xf numFmtId="0" fontId="46" fillId="9" borderId="28" xfId="0" applyFont="1" applyFill="1" applyBorder="1"/>
    <xf numFmtId="0" fontId="46" fillId="9" borderId="44" xfId="0" applyFont="1" applyFill="1" applyBorder="1"/>
    <xf numFmtId="169" fontId="47" fillId="0" borderId="12" xfId="0" applyNumberFormat="1" applyFont="1" applyBorder="1" applyAlignment="1">
      <alignment vertical="center"/>
    </xf>
    <xf numFmtId="169" fontId="47" fillId="0" borderId="14" xfId="0" applyNumberFormat="1" applyFont="1" applyBorder="1" applyAlignment="1">
      <alignment vertical="center"/>
    </xf>
    <xf numFmtId="0" fontId="0" fillId="0" borderId="136" xfId="0" applyBorder="1"/>
    <xf numFmtId="0" fontId="0" fillId="0" borderId="140" xfId="0" applyBorder="1"/>
    <xf numFmtId="0" fontId="0" fillId="0" borderId="141" xfId="0" applyBorder="1"/>
    <xf numFmtId="0" fontId="29" fillId="0" borderId="3" xfId="1" applyFont="1" applyBorder="1" applyAlignment="1">
      <alignment horizontal="center" wrapText="1"/>
    </xf>
    <xf numFmtId="0" fontId="29" fillId="0" borderId="3" xfId="17" applyFont="1" applyBorder="1"/>
    <xf numFmtId="0" fontId="11" fillId="0" borderId="3" xfId="17" applyFont="1" applyBorder="1" applyAlignment="1">
      <alignment horizontal="center"/>
    </xf>
    <xf numFmtId="0" fontId="11" fillId="0" borderId="3" xfId="17" applyFont="1" applyBorder="1"/>
    <xf numFmtId="0" fontId="11" fillId="0" borderId="0" xfId="17" applyFont="1"/>
    <xf numFmtId="176" fontId="29" fillId="0" borderId="12" xfId="1" applyNumberFormat="1" applyFont="1" applyBorder="1"/>
    <xf numFmtId="0" fontId="29" fillId="0" borderId="2" xfId="17" applyFont="1" applyBorder="1"/>
    <xf numFmtId="0" fontId="62" fillId="0" borderId="3" xfId="2" applyFont="1" applyBorder="1"/>
    <xf numFmtId="0" fontId="66" fillId="0" borderId="8" xfId="2" applyFont="1" applyBorder="1" applyAlignment="1">
      <alignment horizontal="center" vertical="top"/>
    </xf>
    <xf numFmtId="0" fontId="66" fillId="0" borderId="3" xfId="2" applyFont="1" applyBorder="1" applyAlignment="1">
      <alignment vertical="top"/>
    </xf>
    <xf numFmtId="2" fontId="66" fillId="0" borderId="3" xfId="2" applyNumberFormat="1" applyFont="1" applyBorder="1" applyAlignment="1">
      <alignment vertical="top"/>
    </xf>
    <xf numFmtId="0" fontId="63" fillId="0" borderId="0" xfId="2" applyFont="1" applyAlignment="1">
      <alignment horizontal="center" vertical="top"/>
    </xf>
    <xf numFmtId="0" fontId="65" fillId="0" borderId="3" xfId="2" applyFont="1" applyBorder="1" applyAlignment="1">
      <alignment vertical="top"/>
    </xf>
    <xf numFmtId="0" fontId="62" fillId="0" borderId="6" xfId="2" applyFont="1" applyBorder="1" applyAlignment="1">
      <alignment horizontal="center" vertical="top"/>
    </xf>
    <xf numFmtId="0" fontId="61" fillId="0" borderId="6" xfId="2" applyFont="1" applyBorder="1" applyAlignment="1">
      <alignment horizontal="justify" vertical="top" wrapText="1"/>
    </xf>
    <xf numFmtId="0" fontId="61" fillId="0" borderId="6" xfId="2" applyFont="1" applyBorder="1" applyAlignment="1">
      <alignment horizontal="center" vertical="top"/>
    </xf>
    <xf numFmtId="0" fontId="61" fillId="0" borderId="6" xfId="2" applyFont="1" applyBorder="1" applyAlignment="1">
      <alignment vertical="top" wrapText="1"/>
    </xf>
    <xf numFmtId="0" fontId="61" fillId="0" borderId="6" xfId="2" applyFont="1" applyBorder="1" applyAlignment="1">
      <alignment horizontal="justify"/>
    </xf>
    <xf numFmtId="0" fontId="61" fillId="0" borderId="6" xfId="2" applyFont="1" applyBorder="1" applyAlignment="1">
      <alignment vertical="top"/>
    </xf>
    <xf numFmtId="0" fontId="65" fillId="0" borderId="4" xfId="2" applyFont="1" applyBorder="1" applyAlignment="1">
      <alignment vertical="top"/>
    </xf>
    <xf numFmtId="0" fontId="65" fillId="0" borderId="5" xfId="2" applyFont="1" applyBorder="1" applyAlignment="1">
      <alignment vertical="top"/>
    </xf>
    <xf numFmtId="0" fontId="62" fillId="0" borderId="3" xfId="2" applyFont="1" applyBorder="1" applyAlignment="1">
      <alignment horizontal="center" vertical="top"/>
    </xf>
    <xf numFmtId="0" fontId="61" fillId="0" borderId="3" xfId="2" applyFont="1" applyBorder="1" applyAlignment="1">
      <alignment horizontal="justify" vertical="top" wrapText="1"/>
    </xf>
    <xf numFmtId="169" fontId="61" fillId="0" borderId="3" xfId="17" applyNumberFormat="1" applyFont="1" applyBorder="1" applyAlignment="1">
      <alignment vertical="top"/>
    </xf>
    <xf numFmtId="2" fontId="61" fillId="0" borderId="3" xfId="2" applyNumberFormat="1" applyFont="1" applyBorder="1" applyAlignment="1">
      <alignment vertical="top"/>
    </xf>
    <xf numFmtId="0" fontId="61" fillId="0" borderId="3" xfId="2" applyFont="1" applyBorder="1" applyAlignment="1">
      <alignment vertical="top"/>
    </xf>
    <xf numFmtId="0" fontId="65" fillId="0" borderId="11" xfId="2" applyFont="1" applyBorder="1" applyAlignment="1">
      <alignment vertical="top"/>
    </xf>
    <xf numFmtId="2" fontId="62" fillId="0" borderId="3" xfId="2" applyNumberFormat="1" applyFont="1" applyBorder="1" applyAlignment="1">
      <alignment horizontal="right" vertical="top"/>
    </xf>
    <xf numFmtId="169" fontId="61" fillId="0" borderId="3" xfId="17" applyNumberFormat="1" applyFont="1" applyBorder="1" applyAlignment="1">
      <alignment horizontal="right" vertical="top"/>
    </xf>
    <xf numFmtId="0" fontId="62" fillId="0" borderId="3" xfId="17" applyFont="1" applyBorder="1" applyAlignment="1">
      <alignment horizontal="center" vertical="top"/>
    </xf>
    <xf numFmtId="0" fontId="61" fillId="0" borderId="3" xfId="17" applyFont="1" applyBorder="1" applyAlignment="1">
      <alignment horizontal="justify" vertical="top" wrapText="1"/>
    </xf>
    <xf numFmtId="2" fontId="61" fillId="0" borderId="3" xfId="17" applyNumberFormat="1" applyFont="1" applyBorder="1" applyAlignment="1">
      <alignment vertical="top"/>
    </xf>
    <xf numFmtId="0" fontId="61" fillId="0" borderId="3" xfId="17" applyFont="1" applyBorder="1" applyAlignment="1">
      <alignment vertical="top"/>
    </xf>
    <xf numFmtId="0" fontId="65" fillId="0" borderId="0" xfId="17" applyFont="1" applyAlignment="1">
      <alignment vertical="top"/>
    </xf>
    <xf numFmtId="2" fontId="62" fillId="0" borderId="3" xfId="2" applyNumberFormat="1" applyFont="1" applyBorder="1" applyAlignment="1">
      <alignment horizontal="center" vertical="top"/>
    </xf>
    <xf numFmtId="2" fontId="62" fillId="0" borderId="3" xfId="2" applyNumberFormat="1" applyFont="1" applyBorder="1" applyAlignment="1">
      <alignment vertical="top"/>
    </xf>
    <xf numFmtId="0" fontId="62" fillId="0" borderId="0" xfId="2" applyFont="1" applyAlignment="1">
      <alignment horizontal="center" vertical="top"/>
    </xf>
    <xf numFmtId="0" fontId="61" fillId="0" borderId="0" xfId="2" applyFont="1" applyAlignment="1">
      <alignment horizontal="justify" vertical="top" wrapText="1"/>
    </xf>
    <xf numFmtId="0" fontId="61" fillId="0" borderId="0" xfId="2" applyFont="1" applyAlignment="1">
      <alignment horizontal="center"/>
    </xf>
    <xf numFmtId="0" fontId="62" fillId="0" borderId="0" xfId="2" applyFont="1" applyAlignment="1">
      <alignment vertical="top"/>
    </xf>
    <xf numFmtId="2" fontId="62" fillId="0" borderId="0" xfId="2" applyNumberFormat="1" applyFont="1" applyAlignment="1">
      <alignment vertical="top"/>
    </xf>
    <xf numFmtId="0" fontId="61" fillId="0" borderId="0" xfId="2" applyFont="1" applyAlignment="1">
      <alignment horizontal="center" vertical="top"/>
    </xf>
    <xf numFmtId="2" fontId="61" fillId="0" borderId="0" xfId="2" applyNumberFormat="1" applyFont="1"/>
    <xf numFmtId="2" fontId="61" fillId="0" borderId="0" xfId="2" applyNumberFormat="1" applyFont="1" applyAlignment="1">
      <alignment vertical="top"/>
    </xf>
    <xf numFmtId="2" fontId="62" fillId="0" borderId="0" xfId="2" applyNumberFormat="1" applyFont="1"/>
    <xf numFmtId="0" fontId="61" fillId="0" borderId="0" xfId="2" applyFont="1" applyAlignment="1">
      <alignment vertical="top"/>
    </xf>
    <xf numFmtId="0" fontId="62" fillId="0" borderId="0" xfId="2" applyFont="1" applyAlignment="1">
      <alignment horizontal="justify" vertical="top" wrapText="1"/>
    </xf>
    <xf numFmtId="0" fontId="61" fillId="0" borderId="0" xfId="17" applyFont="1" applyAlignment="1">
      <alignment horizontal="justify" vertical="top" wrapText="1"/>
    </xf>
    <xf numFmtId="0" fontId="61" fillId="0" borderId="0" xfId="17" applyFont="1"/>
    <xf numFmtId="0" fontId="61" fillId="0" borderId="0" xfId="17" applyFont="1" applyAlignment="1">
      <alignment horizontal="center"/>
    </xf>
    <xf numFmtId="2" fontId="61" fillId="0" borderId="0" xfId="17" applyNumberFormat="1" applyFont="1"/>
    <xf numFmtId="2" fontId="61" fillId="0" borderId="0" xfId="17" applyNumberFormat="1" applyFont="1" applyAlignment="1">
      <alignment vertical="top"/>
    </xf>
    <xf numFmtId="169" fontId="61" fillId="0" borderId="0" xfId="17" applyNumberFormat="1" applyFont="1"/>
    <xf numFmtId="169" fontId="61" fillId="0" borderId="0" xfId="2" applyNumberFormat="1" applyFont="1"/>
    <xf numFmtId="169" fontId="61" fillId="0" borderId="0" xfId="2" applyNumberFormat="1" applyFont="1" applyAlignment="1">
      <alignment vertical="top"/>
    </xf>
    <xf numFmtId="2" fontId="62" fillId="0" borderId="0" xfId="2" applyNumberFormat="1" applyFont="1" applyAlignment="1">
      <alignment horizontal="right" vertical="top"/>
    </xf>
    <xf numFmtId="2" fontId="62" fillId="0" borderId="0" xfId="2" applyNumberFormat="1" applyFont="1" applyAlignment="1">
      <alignment horizontal="center" vertical="top"/>
    </xf>
    <xf numFmtId="2" fontId="62" fillId="0" borderId="0" xfId="2" applyNumberFormat="1" applyFont="1" applyAlignment="1">
      <alignment horizontal="right"/>
    </xf>
    <xf numFmtId="0" fontId="110" fillId="0" borderId="0" xfId="2" applyFont="1" applyAlignment="1">
      <alignment horizontal="right"/>
    </xf>
    <xf numFmtId="0" fontId="110" fillId="0" borderId="0" xfId="2" applyFont="1" applyAlignment="1">
      <alignment horizontal="justify" vertical="top" wrapText="1"/>
    </xf>
    <xf numFmtId="2" fontId="61" fillId="0" borderId="0" xfId="2" applyNumberFormat="1" applyFont="1" applyAlignment="1">
      <alignment horizontal="center"/>
    </xf>
    <xf numFmtId="1" fontId="61" fillId="0" borderId="0" xfId="2" applyNumberFormat="1" applyFont="1" applyAlignment="1">
      <alignment horizontal="center"/>
    </xf>
    <xf numFmtId="2" fontId="61" fillId="0" borderId="0" xfId="2" applyNumberFormat="1" applyFont="1" applyAlignment="1">
      <alignment horizontal="right"/>
    </xf>
    <xf numFmtId="0" fontId="62" fillId="0" borderId="0" xfId="2" applyFont="1" applyAlignment="1">
      <alignment horizontal="left" vertical="top"/>
    </xf>
    <xf numFmtId="0" fontId="61" fillId="0" borderId="0" xfId="2" applyFont="1" applyAlignment="1">
      <alignment horizontal="center" vertical="top" wrapText="1"/>
    </xf>
    <xf numFmtId="0" fontId="61" fillId="0" borderId="0" xfId="2" applyFont="1" applyAlignment="1">
      <alignment horizontal="justify" wrapText="1"/>
    </xf>
    <xf numFmtId="49" fontId="62" fillId="0" borderId="0" xfId="2" applyNumberFormat="1" applyFont="1" applyAlignment="1">
      <alignment horizontal="center"/>
    </xf>
    <xf numFmtId="0" fontId="62" fillId="0" borderId="0" xfId="2" applyFont="1" applyAlignment="1">
      <alignment horizontal="center"/>
    </xf>
    <xf numFmtId="0" fontId="66" fillId="0" borderId="0" xfId="2" applyFont="1" applyAlignment="1">
      <alignment horizontal="center" vertical="top" wrapText="1"/>
    </xf>
    <xf numFmtId="0" fontId="14" fillId="0" borderId="0" xfId="1" applyFont="1" applyAlignment="1">
      <alignment horizontal="center" vertical="top" wrapText="1"/>
    </xf>
    <xf numFmtId="0" fontId="3" fillId="0" borderId="0" xfId="1" applyFont="1" applyAlignment="1">
      <alignment horizontal="center"/>
    </xf>
    <xf numFmtId="0" fontId="3" fillId="0" borderId="11" xfId="1" applyFont="1" applyBorder="1" applyAlignment="1">
      <alignment horizontal="center"/>
    </xf>
    <xf numFmtId="0" fontId="4" fillId="0" borderId="0" xfId="1" applyFont="1" applyAlignment="1">
      <alignment horizontal="center"/>
    </xf>
    <xf numFmtId="0" fontId="5" fillId="0" borderId="0" xfId="1" applyFont="1" applyAlignment="1">
      <alignment horizontal="center" vertical="center"/>
    </xf>
    <xf numFmtId="0" fontId="2" fillId="0" borderId="0" xfId="1" applyAlignment="1">
      <alignment horizontal="center" vertical="center"/>
    </xf>
    <xf numFmtId="0" fontId="10" fillId="0" borderId="0" xfId="1" applyFont="1" applyAlignment="1">
      <alignment horizontal="center" vertical="top"/>
    </xf>
    <xf numFmtId="0" fontId="3" fillId="0" borderId="0" xfId="1" applyFont="1" applyAlignment="1">
      <alignment vertical="top"/>
    </xf>
    <xf numFmtId="0" fontId="4" fillId="0" borderId="0" xfId="1" applyFont="1" applyAlignment="1">
      <alignment vertical="top"/>
    </xf>
    <xf numFmtId="0" fontId="3" fillId="0" borderId="0" xfId="1" applyFont="1" applyAlignment="1">
      <alignment horizontal="center" vertical="top"/>
    </xf>
    <xf numFmtId="0" fontId="4" fillId="0" borderId="0" xfId="1" applyFont="1" applyAlignment="1" applyProtection="1">
      <alignment horizontal="left" vertical="top" wrapText="1"/>
      <protection locked="0"/>
    </xf>
    <xf numFmtId="2" fontId="3" fillId="0" borderId="0" xfId="1" applyNumberFormat="1" applyFont="1" applyAlignment="1">
      <alignment vertical="top"/>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3" xfId="2" applyFont="1" applyBorder="1" applyAlignment="1">
      <alignment horizontal="center" vertical="center"/>
    </xf>
    <xf numFmtId="0" fontId="4" fillId="0" borderId="3" xfId="1" applyFont="1" applyBorder="1" applyAlignment="1">
      <alignment horizontal="center" vertical="center" wrapText="1"/>
    </xf>
    <xf numFmtId="0" fontId="3" fillId="0" borderId="3" xfId="1" applyFont="1" applyBorder="1" applyAlignment="1">
      <alignment vertical="center"/>
    </xf>
    <xf numFmtId="0" fontId="4" fillId="0" borderId="6" xfId="1" applyFont="1" applyBorder="1" applyAlignment="1">
      <alignment horizontal="center" vertical="center"/>
    </xf>
    <xf numFmtId="0" fontId="4" fillId="0" borderId="3" xfId="2" applyFont="1" applyBorder="1" applyAlignment="1">
      <alignment horizontal="center"/>
    </xf>
    <xf numFmtId="0" fontId="4" fillId="2" borderId="3" xfId="1" applyFont="1" applyFill="1" applyBorder="1" applyAlignment="1">
      <alignment vertical="center" wrapText="1"/>
    </xf>
    <xf numFmtId="0" fontId="3" fillId="0" borderId="3" xfId="1" applyFont="1" applyBorder="1" applyAlignment="1">
      <alignment horizontal="center" vertical="center"/>
    </xf>
    <xf numFmtId="0" fontId="4" fillId="3" borderId="3" xfId="1" applyFont="1" applyFill="1" applyBorder="1" applyAlignment="1" applyProtection="1">
      <alignment horizontal="center" vertical="center"/>
      <protection locked="0"/>
    </xf>
    <xf numFmtId="2" fontId="4" fillId="0" borderId="8" xfId="1" applyNumberFormat="1" applyFont="1" applyBorder="1" applyAlignment="1">
      <alignment vertical="top"/>
    </xf>
    <xf numFmtId="2" fontId="3" fillId="0" borderId="3" xfId="1" applyNumberFormat="1" applyFont="1" applyBorder="1" applyAlignment="1">
      <alignment vertical="center"/>
    </xf>
    <xf numFmtId="2" fontId="3" fillId="8" borderId="0" xfId="2" applyNumberFormat="1" applyFont="1" applyFill="1"/>
    <xf numFmtId="2" fontId="3" fillId="0" borderId="3" xfId="1" applyNumberFormat="1" applyFont="1" applyBorder="1" applyAlignment="1">
      <alignment horizontal="right" vertical="center"/>
    </xf>
    <xf numFmtId="2" fontId="4" fillId="2" borderId="6" xfId="1" applyNumberFormat="1" applyFont="1" applyFill="1" applyBorder="1" applyAlignment="1">
      <alignment vertical="top"/>
    </xf>
    <xf numFmtId="2" fontId="4" fillId="0" borderId="0" xfId="1" applyNumberFormat="1" applyFont="1" applyAlignment="1">
      <alignment vertical="center"/>
    </xf>
    <xf numFmtId="2" fontId="3" fillId="0" borderId="6" xfId="1" applyNumberFormat="1" applyFont="1" applyBorder="1" applyAlignment="1">
      <alignment vertical="center"/>
    </xf>
    <xf numFmtId="2" fontId="4" fillId="2" borderId="9" xfId="1" applyNumberFormat="1" applyFont="1" applyFill="1" applyBorder="1" applyAlignment="1">
      <alignment vertical="top"/>
    </xf>
    <xf numFmtId="2" fontId="3" fillId="0" borderId="0" xfId="1" applyNumberFormat="1" applyFont="1" applyAlignment="1">
      <alignment vertical="center"/>
    </xf>
    <xf numFmtId="0" fontId="4" fillId="0" borderId="3" xfId="1" applyFont="1" applyBorder="1" applyAlignment="1" applyProtection="1">
      <alignment horizontal="center" vertical="center"/>
      <protection locked="0"/>
    </xf>
    <xf numFmtId="2" fontId="4" fillId="2" borderId="3" xfId="1" applyNumberFormat="1" applyFont="1" applyFill="1" applyBorder="1" applyAlignment="1">
      <alignment vertical="top"/>
    </xf>
    <xf numFmtId="2" fontId="3" fillId="8" borderId="3" xfId="2" applyNumberFormat="1" applyFont="1" applyFill="1" applyBorder="1"/>
    <xf numFmtId="2" fontId="112" fillId="8" borderId="3" xfId="1" applyNumberFormat="1" applyFont="1" applyFill="1" applyBorder="1" applyAlignment="1">
      <alignment horizontal="right" vertical="center"/>
    </xf>
    <xf numFmtId="0" fontId="3" fillId="0" borderId="2" xfId="1" applyFont="1" applyBorder="1" applyAlignment="1">
      <alignment horizontal="center" vertical="center"/>
    </xf>
    <xf numFmtId="0" fontId="4" fillId="0" borderId="6" xfId="1" applyFont="1" applyBorder="1" applyAlignment="1" applyProtection="1">
      <alignment horizontal="center" vertical="center"/>
      <protection locked="0"/>
    </xf>
    <xf numFmtId="0" fontId="4" fillId="0" borderId="0" xfId="2" applyFont="1"/>
    <xf numFmtId="0" fontId="3" fillId="0" borderId="9" xfId="2" applyFont="1" applyBorder="1"/>
    <xf numFmtId="2" fontId="3" fillId="0" borderId="2" xfId="1" applyNumberFormat="1" applyFont="1" applyBorder="1" applyAlignment="1">
      <alignment vertical="center"/>
    </xf>
    <xf numFmtId="0" fontId="3" fillId="0" borderId="3" xfId="1" applyFont="1" applyBorder="1" applyAlignment="1">
      <alignment wrapText="1"/>
    </xf>
    <xf numFmtId="0" fontId="3" fillId="0" borderId="0" xfId="2" applyFont="1" applyAlignment="1">
      <alignment horizontal="center"/>
    </xf>
    <xf numFmtId="0" fontId="4" fillId="3" borderId="6" xfId="1" applyFont="1" applyFill="1" applyBorder="1" applyAlignment="1" applyProtection="1">
      <alignment horizontal="center" vertical="center"/>
      <protection locked="0"/>
    </xf>
    <xf numFmtId="0" fontId="3" fillId="0" borderId="0" xfId="2" applyFont="1"/>
    <xf numFmtId="0" fontId="3" fillId="0" borderId="3" xfId="2" applyFont="1" applyBorder="1"/>
    <xf numFmtId="0" fontId="3" fillId="0" borderId="6" xfId="2" applyFont="1" applyBorder="1"/>
    <xf numFmtId="0" fontId="4" fillId="8" borderId="6" xfId="1" applyFont="1" applyFill="1" applyBorder="1" applyAlignment="1" applyProtection="1">
      <alignment horizontal="center" vertical="center"/>
      <protection locked="0"/>
    </xf>
    <xf numFmtId="2" fontId="3" fillId="8" borderId="3" xfId="1" applyNumberFormat="1" applyFont="1" applyFill="1" applyBorder="1" applyAlignment="1">
      <alignment vertical="center"/>
    </xf>
    <xf numFmtId="0" fontId="3" fillId="0" borderId="14" xfId="2" applyFont="1" applyBorder="1"/>
    <xf numFmtId="2" fontId="4" fillId="2" borderId="3" xfId="1" applyNumberFormat="1" applyFont="1" applyFill="1" applyBorder="1" applyAlignment="1">
      <alignment vertical="center"/>
    </xf>
    <xf numFmtId="2" fontId="4" fillId="2" borderId="9" xfId="1" applyNumberFormat="1" applyFont="1" applyFill="1" applyBorder="1" applyAlignment="1">
      <alignment vertical="center"/>
    </xf>
    <xf numFmtId="0" fontId="3" fillId="0" borderId="9" xfId="1" applyFont="1" applyBorder="1" applyAlignment="1">
      <alignment vertical="center"/>
    </xf>
    <xf numFmtId="0" fontId="3" fillId="0" borderId="11" xfId="1" applyFont="1" applyBorder="1" applyAlignment="1">
      <alignment vertical="center"/>
    </xf>
    <xf numFmtId="2" fontId="4" fillId="3" borderId="8" xfId="1" applyNumberFormat="1" applyFont="1" applyFill="1" applyBorder="1" applyAlignment="1" applyProtection="1">
      <alignment vertical="center"/>
      <protection locked="0"/>
    </xf>
    <xf numFmtId="2" fontId="4" fillId="0" borderId="3" xfId="1" applyNumberFormat="1" applyFont="1" applyBorder="1" applyAlignment="1">
      <alignment vertical="center"/>
    </xf>
    <xf numFmtId="2" fontId="4" fillId="0" borderId="9" xfId="1" applyNumberFormat="1" applyFont="1" applyBorder="1" applyAlignment="1">
      <alignment vertical="center"/>
    </xf>
    <xf numFmtId="173" fontId="3" fillId="0" borderId="3" xfId="1" applyNumberFormat="1" applyFont="1" applyBorder="1" applyAlignment="1">
      <alignment horizontal="right" vertical="center"/>
    </xf>
    <xf numFmtId="0" fontId="3" fillId="0" borderId="3" xfId="1" applyFont="1" applyBorder="1" applyAlignment="1">
      <alignment horizontal="left" vertical="center"/>
    </xf>
    <xf numFmtId="2" fontId="4" fillId="0" borderId="8" xfId="1" applyNumberFormat="1" applyFont="1" applyBorder="1" applyAlignment="1">
      <alignment vertical="center"/>
    </xf>
    <xf numFmtId="0" fontId="4" fillId="0" borderId="3" xfId="1" applyFont="1" applyBorder="1" applyAlignment="1">
      <alignment vertical="center"/>
    </xf>
    <xf numFmtId="2" fontId="3" fillId="0" borderId="0" xfId="1" applyNumberFormat="1" applyFont="1" applyAlignment="1">
      <alignment horizontal="right" vertical="top"/>
    </xf>
    <xf numFmtId="0" fontId="4" fillId="0" borderId="0" xfId="1" applyFont="1" applyAlignment="1">
      <alignment vertical="center"/>
    </xf>
    <xf numFmtId="2" fontId="4" fillId="8" borderId="8" xfId="1" applyNumberFormat="1" applyFont="1" applyFill="1" applyBorder="1" applyAlignment="1">
      <alignment vertical="center"/>
    </xf>
    <xf numFmtId="0" fontId="3" fillId="0" borderId="0" xfId="1" applyFont="1" applyAlignment="1">
      <alignment horizontal="right" vertical="center"/>
    </xf>
    <xf numFmtId="0" fontId="3" fillId="0" borderId="0" xfId="1" applyFont="1" applyAlignment="1">
      <alignment horizontal="center" vertical="center"/>
    </xf>
    <xf numFmtId="2" fontId="4" fillId="3" borderId="3" xfId="1" applyNumberFormat="1" applyFont="1" applyFill="1" applyBorder="1" applyAlignment="1">
      <alignment vertical="center"/>
    </xf>
    <xf numFmtId="2" fontId="4" fillId="0" borderId="3" xfId="1" applyNumberFormat="1" applyFont="1" applyBorder="1" applyAlignment="1">
      <alignment horizontal="right" vertical="top"/>
    </xf>
    <xf numFmtId="2" fontId="4" fillId="0" borderId="3" xfId="1" applyNumberFormat="1" applyFont="1" applyBorder="1" applyAlignment="1">
      <alignment horizontal="center" vertical="center"/>
    </xf>
    <xf numFmtId="0" fontId="4" fillId="0" borderId="0" xfId="1" applyFont="1" applyAlignment="1">
      <alignment horizontal="center" vertical="center"/>
    </xf>
    <xf numFmtId="2" fontId="4" fillId="0" borderId="0" xfId="1" applyNumberFormat="1" applyFont="1" applyAlignment="1">
      <alignment horizontal="right" vertical="center"/>
    </xf>
    <xf numFmtId="2" fontId="3" fillId="0" borderId="0" xfId="1" applyNumberFormat="1" applyFont="1" applyAlignment="1">
      <alignment horizontal="right" vertical="center"/>
    </xf>
    <xf numFmtId="0" fontId="113" fillId="0" borderId="0" xfId="1" applyFont="1" applyAlignment="1">
      <alignment horizontal="center" vertical="center"/>
    </xf>
    <xf numFmtId="2" fontId="4" fillId="3" borderId="0" xfId="1" applyNumberFormat="1" applyFont="1" applyFill="1" applyAlignment="1">
      <alignment horizontal="center" vertical="center"/>
    </xf>
    <xf numFmtId="2" fontId="4" fillId="3" borderId="0" xfId="1" applyNumberFormat="1" applyFont="1" applyFill="1" applyAlignment="1">
      <alignment horizontal="left" vertical="center"/>
    </xf>
    <xf numFmtId="0" fontId="4" fillId="3" borderId="3" xfId="1" applyFont="1" applyFill="1" applyBorder="1" applyAlignment="1">
      <alignment horizontal="center" vertical="center"/>
    </xf>
    <xf numFmtId="0" fontId="3" fillId="3" borderId="3" xfId="1" applyFont="1" applyFill="1" applyBorder="1" applyAlignment="1">
      <alignment vertical="center"/>
    </xf>
    <xf numFmtId="0" fontId="3" fillId="3" borderId="3" xfId="2" applyFont="1" applyFill="1" applyBorder="1"/>
    <xf numFmtId="0" fontId="4" fillId="3" borderId="0" xfId="1" applyFont="1" applyFill="1" applyAlignment="1">
      <alignment horizontal="center" vertical="center"/>
    </xf>
    <xf numFmtId="2" fontId="4" fillId="3" borderId="0" xfId="1" applyNumberFormat="1" applyFont="1" applyFill="1" applyAlignment="1">
      <alignment horizontal="center" vertical="top"/>
    </xf>
    <xf numFmtId="0" fontId="3" fillId="3" borderId="3" xfId="1" applyFont="1" applyFill="1" applyBorder="1" applyAlignment="1">
      <alignment horizontal="center" vertical="top"/>
    </xf>
    <xf numFmtId="0" fontId="3" fillId="3" borderId="3" xfId="1" applyFont="1" applyFill="1" applyBorder="1" applyAlignment="1">
      <alignment horizontal="left" vertical="top"/>
    </xf>
    <xf numFmtId="0" fontId="4" fillId="3" borderId="3" xfId="1" applyFont="1" applyFill="1" applyBorder="1" applyAlignment="1">
      <alignment horizontal="center"/>
    </xf>
    <xf numFmtId="2" fontId="3" fillId="3" borderId="3" xfId="1" applyNumberFormat="1" applyFont="1" applyFill="1" applyBorder="1" applyAlignment="1">
      <alignment vertical="top"/>
    </xf>
    <xf numFmtId="2" fontId="4" fillId="3" borderId="0" xfId="1" applyNumberFormat="1" applyFont="1" applyFill="1" applyAlignment="1">
      <alignment horizontal="right" vertical="top"/>
    </xf>
    <xf numFmtId="2" fontId="4" fillId="0" borderId="3" xfId="1" applyNumberFormat="1" applyFont="1" applyBorder="1" applyAlignment="1">
      <alignment horizontal="center" vertical="top"/>
    </xf>
    <xf numFmtId="0" fontId="3" fillId="3" borderId="3" xfId="1" applyFont="1" applyFill="1" applyBorder="1" applyAlignment="1">
      <alignment horizontal="center"/>
    </xf>
    <xf numFmtId="166" fontId="4" fillId="3" borderId="0" xfId="1" applyNumberFormat="1" applyFont="1" applyFill="1" applyAlignment="1">
      <alignment horizontal="center"/>
    </xf>
    <xf numFmtId="0" fontId="4" fillId="3" borderId="3" xfId="1" applyFont="1" applyFill="1" applyBorder="1" applyAlignment="1">
      <alignment horizontal="center" vertical="justify"/>
    </xf>
    <xf numFmtId="0" fontId="4" fillId="3" borderId="3" xfId="1" applyFont="1" applyFill="1" applyBorder="1" applyAlignment="1">
      <alignment horizontal="left" vertical="center"/>
    </xf>
    <xf numFmtId="0" fontId="3" fillId="3" borderId="3" xfId="1" applyFont="1" applyFill="1" applyBorder="1" applyAlignment="1">
      <alignment horizontal="center" vertical="center"/>
    </xf>
    <xf numFmtId="166" fontId="4" fillId="3" borderId="0" xfId="1" applyNumberFormat="1" applyFont="1" applyFill="1" applyAlignment="1">
      <alignment horizontal="left"/>
    </xf>
    <xf numFmtId="0" fontId="10" fillId="3" borderId="1" xfId="1" applyFont="1" applyFill="1" applyBorder="1" applyAlignment="1">
      <alignment vertical="center"/>
    </xf>
    <xf numFmtId="0" fontId="10" fillId="3" borderId="1" xfId="1" applyFont="1" applyFill="1" applyBorder="1" applyAlignment="1">
      <alignment horizontal="justify"/>
    </xf>
    <xf numFmtId="0" fontId="3" fillId="3" borderId="0" xfId="2" applyFont="1" applyFill="1"/>
    <xf numFmtId="0" fontId="10" fillId="3" borderId="0" xfId="1" applyFont="1" applyFill="1" applyAlignment="1">
      <alignment vertical="center"/>
    </xf>
    <xf numFmtId="0" fontId="3" fillId="3" borderId="0" xfId="1" applyFont="1" applyFill="1"/>
    <xf numFmtId="0" fontId="10" fillId="8" borderId="0" xfId="1" applyFont="1" applyFill="1" applyAlignment="1">
      <alignment horizontal="right" vertical="center"/>
    </xf>
    <xf numFmtId="0" fontId="10" fillId="3" borderId="0" xfId="1" applyFont="1" applyFill="1" applyAlignment="1">
      <alignment horizontal="right" vertical="center"/>
    </xf>
    <xf numFmtId="0" fontId="4" fillId="3" borderId="3" xfId="1" applyFont="1" applyFill="1" applyBorder="1" applyAlignment="1">
      <alignment horizontal="center" vertical="top"/>
    </xf>
    <xf numFmtId="2" fontId="4" fillId="3" borderId="0" xfId="1" applyNumberFormat="1" applyFont="1" applyFill="1" applyAlignment="1">
      <alignment horizontal="right" vertical="center"/>
    </xf>
    <xf numFmtId="0" fontId="4" fillId="3" borderId="0" xfId="1" applyFont="1" applyFill="1" applyAlignment="1">
      <alignment horizontal="right" vertical="center"/>
    </xf>
    <xf numFmtId="0" fontId="4" fillId="3" borderId="3" xfId="1" applyFont="1" applyFill="1" applyBorder="1" applyAlignment="1">
      <alignment horizontal="left" vertical="top"/>
    </xf>
    <xf numFmtId="2" fontId="4" fillId="0" borderId="3" xfId="1" applyNumberFormat="1" applyFont="1" applyBorder="1" applyAlignment="1">
      <alignment vertical="top"/>
    </xf>
    <xf numFmtId="2" fontId="3" fillId="3" borderId="3" xfId="1" applyNumberFormat="1" applyFont="1" applyFill="1" applyBorder="1" applyAlignment="1">
      <alignment vertical="center"/>
    </xf>
    <xf numFmtId="2" fontId="3" fillId="3" borderId="3" xfId="1" applyNumberFormat="1" applyFont="1" applyFill="1" applyBorder="1" applyAlignment="1">
      <alignment horizontal="center" vertical="center"/>
    </xf>
    <xf numFmtId="2" fontId="4" fillId="3" borderId="0" xfId="1" applyNumberFormat="1" applyFont="1" applyFill="1" applyAlignment="1">
      <alignment horizontal="center"/>
    </xf>
    <xf numFmtId="2" fontId="4" fillId="3" borderId="0" xfId="1" applyNumberFormat="1" applyFont="1" applyFill="1" applyAlignment="1">
      <alignment horizontal="right"/>
    </xf>
    <xf numFmtId="0" fontId="3" fillId="3" borderId="3" xfId="1" applyFont="1" applyFill="1" applyBorder="1" applyAlignment="1">
      <alignment horizontal="center" vertical="justify"/>
    </xf>
    <xf numFmtId="0" fontId="3" fillId="3" borderId="3" xfId="1" applyFont="1" applyFill="1" applyBorder="1" applyAlignment="1">
      <alignment horizontal="left" vertical="center"/>
    </xf>
    <xf numFmtId="2" fontId="4" fillId="3" borderId="3" xfId="1" applyNumberFormat="1" applyFont="1" applyFill="1" applyBorder="1" applyAlignment="1">
      <alignment vertical="top"/>
    </xf>
    <xf numFmtId="2" fontId="3" fillId="0" borderId="3" xfId="1" applyNumberFormat="1" applyFont="1" applyBorder="1" applyAlignment="1">
      <alignment horizontal="right" vertical="top"/>
    </xf>
    <xf numFmtId="0" fontId="4" fillId="0" borderId="8" xfId="1" applyFont="1" applyBorder="1" applyAlignment="1">
      <alignment horizontal="center" vertical="center"/>
    </xf>
    <xf numFmtId="0" fontId="4" fillId="0" borderId="9" xfId="1" applyFont="1" applyBorder="1" applyAlignment="1">
      <alignment horizontal="center" vertical="center"/>
    </xf>
    <xf numFmtId="0" fontId="4" fillId="3" borderId="3" xfId="1" applyFont="1" applyFill="1" applyBorder="1" applyAlignment="1">
      <alignment horizontal="right" vertical="center"/>
    </xf>
    <xf numFmtId="2" fontId="4" fillId="3" borderId="3" xfId="1" applyNumberFormat="1" applyFont="1" applyFill="1" applyBorder="1" applyAlignment="1">
      <alignment horizontal="right" vertical="center"/>
    </xf>
    <xf numFmtId="167" fontId="4" fillId="3" borderId="0" xfId="1" applyNumberFormat="1" applyFont="1" applyFill="1" applyAlignment="1">
      <alignment horizontal="center"/>
    </xf>
    <xf numFmtId="167" fontId="4" fillId="3" borderId="0" xfId="1" applyNumberFormat="1" applyFont="1" applyFill="1" applyAlignment="1">
      <alignment horizontal="left"/>
    </xf>
    <xf numFmtId="0" fontId="4" fillId="0" borderId="0" xfId="1" applyFont="1" applyAlignment="1">
      <alignment horizontal="center" vertical="justify"/>
    </xf>
    <xf numFmtId="0" fontId="4" fillId="0" borderId="0" xfId="1" applyFont="1" applyAlignment="1">
      <alignment horizontal="left" vertical="center"/>
    </xf>
    <xf numFmtId="0" fontId="4" fillId="0" borderId="0" xfId="1" applyFont="1" applyAlignment="1">
      <alignment horizontal="right" vertical="center"/>
    </xf>
    <xf numFmtId="2" fontId="4" fillId="0" borderId="0" xfId="1" applyNumberFormat="1" applyFont="1" applyAlignment="1">
      <alignment horizontal="right"/>
    </xf>
    <xf numFmtId="166" fontId="4" fillId="0" borderId="0" xfId="1" applyNumberFormat="1" applyFont="1" applyAlignment="1">
      <alignment horizontal="right"/>
    </xf>
    <xf numFmtId="167" fontId="4" fillId="0" borderId="0" xfId="1" applyNumberFormat="1" applyFont="1" applyAlignment="1">
      <alignment horizontal="center"/>
    </xf>
    <xf numFmtId="167" fontId="4" fillId="0" borderId="0" xfId="1" applyNumberFormat="1" applyFont="1" applyAlignment="1">
      <alignment horizontal="left"/>
    </xf>
    <xf numFmtId="0" fontId="10" fillId="0" borderId="0" xfId="1" applyFont="1" applyAlignment="1">
      <alignment vertical="center"/>
    </xf>
    <xf numFmtId="0" fontId="4" fillId="0" borderId="15" xfId="2" applyFont="1" applyBorder="1" applyAlignment="1">
      <alignment horizontal="center"/>
    </xf>
    <xf numFmtId="0" fontId="4" fillId="0" borderId="9" xfId="2" applyFont="1" applyBorder="1" applyAlignment="1">
      <alignment horizontal="center"/>
    </xf>
    <xf numFmtId="2" fontId="4" fillId="0" borderId="6" xfId="1" applyNumberFormat="1" applyFont="1" applyBorder="1" applyAlignment="1">
      <alignment horizontal="center" vertical="top"/>
    </xf>
    <xf numFmtId="2" fontId="4" fillId="0" borderId="6" xfId="1" applyNumberFormat="1" applyFont="1" applyBorder="1" applyAlignment="1">
      <alignment horizontal="center" vertical="center"/>
    </xf>
    <xf numFmtId="2" fontId="4" fillId="0" borderId="6" xfId="1" applyNumberFormat="1" applyFont="1" applyBorder="1" applyAlignment="1">
      <alignment vertical="center"/>
    </xf>
    <xf numFmtId="0" fontId="4" fillId="0" borderId="8" xfId="1" applyFont="1" applyBorder="1" applyAlignment="1">
      <alignment horizontal="left" vertical="center"/>
    </xf>
    <xf numFmtId="0" fontId="3" fillId="0" borderId="15" xfId="1" applyFont="1" applyBorder="1" applyAlignment="1">
      <alignment vertical="center"/>
    </xf>
    <xf numFmtId="0" fontId="4" fillId="0" borderId="3" xfId="2" applyFont="1" applyBorder="1" applyAlignment="1">
      <alignment horizontal="right"/>
    </xf>
    <xf numFmtId="2" fontId="4" fillId="3" borderId="3" xfId="1" applyNumberFormat="1" applyFont="1" applyFill="1" applyBorder="1" applyAlignment="1" applyProtection="1">
      <alignment horizontal="right" vertical="center"/>
      <protection locked="0"/>
    </xf>
    <xf numFmtId="2" fontId="4" fillId="0" borderId="3" xfId="2" applyNumberFormat="1" applyFont="1" applyBorder="1" applyAlignment="1">
      <alignment horizontal="center"/>
    </xf>
    <xf numFmtId="0" fontId="4" fillId="0" borderId="3" xfId="2" applyFont="1" applyBorder="1"/>
    <xf numFmtId="0" fontId="3" fillId="0" borderId="3" xfId="1" applyFont="1" applyBorder="1" applyAlignment="1">
      <alignment horizontal="right" vertical="center"/>
    </xf>
    <xf numFmtId="0" fontId="10" fillId="3" borderId="0" xfId="1" applyFont="1" applyFill="1" applyAlignment="1">
      <alignment horizontal="center" vertical="center"/>
    </xf>
    <xf numFmtId="0" fontId="4" fillId="0" borderId="3" xfId="1" applyFont="1" applyBorder="1" applyAlignment="1">
      <alignment horizontal="center"/>
    </xf>
    <xf numFmtId="0" fontId="4" fillId="0" borderId="3" xfId="1" applyFont="1" applyBorder="1"/>
    <xf numFmtId="0" fontId="3" fillId="0" borderId="3" xfId="1" applyFont="1" applyBorder="1"/>
    <xf numFmtId="0" fontId="4" fillId="3" borderId="0" xfId="1" applyFont="1" applyFill="1" applyAlignment="1">
      <alignment horizontal="left" vertical="top"/>
    </xf>
    <xf numFmtId="0" fontId="4" fillId="0" borderId="3" xfId="1" applyFont="1" applyBorder="1" applyAlignment="1">
      <alignment horizontal="center" vertical="top"/>
    </xf>
    <xf numFmtId="0" fontId="4" fillId="0" borderId="3" xfId="1" applyFont="1" applyBorder="1" applyAlignment="1">
      <alignment vertical="top"/>
    </xf>
    <xf numFmtId="0" fontId="3" fillId="0" borderId="3" xfId="1" applyFont="1" applyBorder="1" applyAlignment="1">
      <alignment vertical="top"/>
    </xf>
    <xf numFmtId="0" fontId="111" fillId="3" borderId="0" xfId="1" applyFont="1" applyFill="1" applyAlignment="1">
      <alignment vertical="center"/>
    </xf>
    <xf numFmtId="0" fontId="14" fillId="3" borderId="0" xfId="1" applyFont="1" applyFill="1" applyAlignment="1">
      <alignment horizontal="left" vertical="center"/>
    </xf>
    <xf numFmtId="0" fontId="14" fillId="3" borderId="0" xfId="1" applyFont="1" applyFill="1" applyAlignment="1">
      <alignment horizontal="center" vertical="center"/>
    </xf>
    <xf numFmtId="0" fontId="14" fillId="3" borderId="0" xfId="1" applyFont="1" applyFill="1" applyAlignment="1">
      <alignment vertical="center"/>
    </xf>
    <xf numFmtId="2" fontId="14" fillId="3" borderId="0" xfId="1" applyNumberFormat="1" applyFont="1" applyFill="1" applyAlignment="1">
      <alignment vertical="center"/>
    </xf>
    <xf numFmtId="0" fontId="11" fillId="3" borderId="0" xfId="1" applyFont="1" applyFill="1" applyAlignment="1">
      <alignment horizontal="center" vertical="center"/>
    </xf>
    <xf numFmtId="2" fontId="11" fillId="3" borderId="0" xfId="1" applyNumberFormat="1" applyFont="1" applyFill="1" applyAlignment="1">
      <alignment vertical="center"/>
    </xf>
    <xf numFmtId="2" fontId="4" fillId="3" borderId="0" xfId="1" applyNumberFormat="1" applyFont="1" applyFill="1" applyAlignment="1">
      <alignment vertical="center"/>
    </xf>
    <xf numFmtId="0" fontId="4" fillId="3" borderId="2" xfId="1" applyFont="1" applyFill="1" applyBorder="1" applyAlignment="1">
      <alignment horizontal="center" vertical="center"/>
    </xf>
    <xf numFmtId="0" fontId="4" fillId="3" borderId="5" xfId="1" applyFont="1" applyFill="1" applyBorder="1" applyAlignment="1">
      <alignment horizontal="center" vertical="center"/>
    </xf>
    <xf numFmtId="0" fontId="4" fillId="3" borderId="9" xfId="1" applyFont="1" applyFill="1" applyBorder="1" applyAlignment="1">
      <alignment horizontal="center" vertical="center"/>
    </xf>
    <xf numFmtId="0" fontId="4" fillId="3" borderId="15" xfId="1" applyFont="1" applyFill="1" applyBorder="1" applyAlignment="1">
      <alignment horizontal="center" vertical="center"/>
    </xf>
    <xf numFmtId="0" fontId="4" fillId="3" borderId="8" xfId="1" applyFont="1" applyFill="1" applyBorder="1" applyAlignment="1">
      <alignment horizontal="center" vertical="center"/>
    </xf>
    <xf numFmtId="0" fontId="4" fillId="3" borderId="11" xfId="1" applyFont="1" applyFill="1" applyBorder="1" applyAlignment="1">
      <alignment vertical="center"/>
    </xf>
    <xf numFmtId="0" fontId="3" fillId="0" borderId="6" xfId="1" applyFont="1" applyBorder="1" applyAlignment="1">
      <alignment vertical="center"/>
    </xf>
    <xf numFmtId="0" fontId="4" fillId="2" borderId="6" xfId="1" applyFont="1" applyFill="1" applyBorder="1" applyAlignment="1">
      <alignment vertical="center"/>
    </xf>
    <xf numFmtId="0" fontId="4" fillId="0" borderId="6" xfId="1" applyFont="1" applyBorder="1" applyAlignment="1">
      <alignment vertical="center"/>
    </xf>
    <xf numFmtId="0" fontId="4" fillId="3" borderId="3" xfId="1" applyFont="1" applyFill="1" applyBorder="1" applyAlignment="1">
      <alignment vertical="center"/>
    </xf>
    <xf numFmtId="0" fontId="4" fillId="3" borderId="15" xfId="1" applyFont="1" applyFill="1" applyBorder="1" applyAlignment="1">
      <alignment vertical="center"/>
    </xf>
    <xf numFmtId="0" fontId="4" fillId="3" borderId="9" xfId="1" applyFont="1" applyFill="1" applyBorder="1" applyAlignment="1">
      <alignment vertical="center"/>
    </xf>
    <xf numFmtId="0" fontId="3" fillId="3" borderId="8" xfId="1" applyFont="1" applyFill="1" applyBorder="1" applyAlignment="1">
      <alignment vertical="center"/>
    </xf>
    <xf numFmtId="0" fontId="3" fillId="3" borderId="9" xfId="1" applyFont="1" applyFill="1" applyBorder="1" applyAlignment="1">
      <alignment vertical="center"/>
    </xf>
    <xf numFmtId="2" fontId="3" fillId="3" borderId="8" xfId="1" applyNumberFormat="1" applyFont="1" applyFill="1" applyBorder="1" applyAlignment="1">
      <alignment vertical="center"/>
    </xf>
    <xf numFmtId="1" fontId="3" fillId="3" borderId="11" xfId="1" applyNumberFormat="1" applyFont="1" applyFill="1" applyBorder="1" applyAlignment="1">
      <alignment vertical="center"/>
    </xf>
    <xf numFmtId="0" fontId="4" fillId="0" borderId="8" xfId="1" applyFont="1" applyBorder="1" applyAlignment="1">
      <alignment vertical="center"/>
    </xf>
    <xf numFmtId="0" fontId="4" fillId="0" borderId="3" xfId="1" applyFont="1" applyBorder="1" applyAlignment="1" applyProtection="1">
      <alignment vertical="center"/>
      <protection locked="0"/>
    </xf>
    <xf numFmtId="2" fontId="3" fillId="2" borderId="3" xfId="1" applyNumberFormat="1" applyFont="1" applyFill="1" applyBorder="1" applyAlignment="1">
      <alignment vertical="center"/>
    </xf>
    <xf numFmtId="0" fontId="3" fillId="0" borderId="8" xfId="1" applyFont="1" applyBorder="1" applyAlignment="1">
      <alignment vertical="center"/>
    </xf>
    <xf numFmtId="0" fontId="3" fillId="3" borderId="1" xfId="1" applyFont="1" applyFill="1" applyBorder="1" applyAlignment="1">
      <alignment vertical="center"/>
    </xf>
    <xf numFmtId="2" fontId="3" fillId="3" borderId="3" xfId="1" applyNumberFormat="1" applyFont="1" applyFill="1" applyBorder="1" applyAlignment="1">
      <alignment horizontal="right" vertical="center"/>
    </xf>
    <xf numFmtId="0" fontId="3" fillId="3" borderId="15" xfId="1" applyFont="1" applyFill="1" applyBorder="1" applyAlignment="1">
      <alignment vertical="center"/>
    </xf>
    <xf numFmtId="2" fontId="4" fillId="0" borderId="3" xfId="1" applyNumberFormat="1" applyFont="1" applyBorder="1" applyAlignment="1" applyProtection="1">
      <alignment horizontal="right" vertical="center"/>
      <protection locked="0"/>
    </xf>
    <xf numFmtId="2" fontId="4" fillId="2" borderId="3" xfId="1" applyNumberFormat="1" applyFont="1" applyFill="1" applyBorder="1" applyAlignment="1" applyProtection="1">
      <alignment vertical="center"/>
      <protection locked="0"/>
    </xf>
    <xf numFmtId="0" fontId="4" fillId="3" borderId="5" xfId="1" applyFont="1" applyFill="1" applyBorder="1" applyAlignment="1">
      <alignment vertical="center"/>
    </xf>
    <xf numFmtId="0" fontId="3" fillId="3" borderId="5" xfId="1" applyFont="1" applyFill="1" applyBorder="1" applyAlignment="1">
      <alignment vertical="center"/>
    </xf>
    <xf numFmtId="2" fontId="9" fillId="3" borderId="8" xfId="1" applyNumberFormat="1" applyFont="1" applyFill="1" applyBorder="1" applyAlignment="1">
      <alignment vertical="center"/>
    </xf>
    <xf numFmtId="2" fontId="4" fillId="0" borderId="3" xfId="1" applyNumberFormat="1" applyFont="1" applyBorder="1" applyAlignment="1" applyProtection="1">
      <alignment vertical="center"/>
      <protection locked="0"/>
    </xf>
    <xf numFmtId="0" fontId="3" fillId="3" borderId="9" xfId="1" applyFont="1" applyFill="1" applyBorder="1" applyAlignment="1">
      <alignment horizontal="center" vertical="center"/>
    </xf>
    <xf numFmtId="0" fontId="3" fillId="0" borderId="4" xfId="1" applyFont="1" applyBorder="1" applyAlignment="1">
      <alignment vertical="center"/>
    </xf>
    <xf numFmtId="0" fontId="4" fillId="3" borderId="3" xfId="1" applyFont="1" applyFill="1" applyBorder="1"/>
    <xf numFmtId="0" fontId="3" fillId="3" borderId="8" xfId="1" applyFont="1" applyFill="1" applyBorder="1" applyAlignment="1">
      <alignment horizontal="left" vertical="center"/>
    </xf>
    <xf numFmtId="0" fontId="3" fillId="0" borderId="8" xfId="1" applyFont="1" applyBorder="1" applyAlignment="1">
      <alignment horizontal="left" vertical="center"/>
    </xf>
    <xf numFmtId="0" fontId="3" fillId="3" borderId="1" xfId="1" applyFont="1" applyFill="1" applyBorder="1" applyAlignment="1">
      <alignment horizontal="left" vertical="center"/>
    </xf>
    <xf numFmtId="0" fontId="4" fillId="3" borderId="1" xfId="1" applyFont="1" applyFill="1" applyBorder="1" applyAlignment="1">
      <alignment horizontal="center" vertical="center"/>
    </xf>
    <xf numFmtId="0" fontId="3" fillId="3" borderId="15" xfId="1" applyFont="1" applyFill="1" applyBorder="1" applyAlignment="1">
      <alignment horizontal="left" vertical="center"/>
    </xf>
    <xf numFmtId="0" fontId="3" fillId="3" borderId="5" xfId="1" applyFont="1" applyFill="1" applyBorder="1" applyAlignment="1">
      <alignment horizontal="left" vertical="center"/>
    </xf>
    <xf numFmtId="0" fontId="3" fillId="8" borderId="3" xfId="1" applyFont="1" applyFill="1" applyBorder="1" applyAlignment="1">
      <alignment horizontal="center" vertical="center"/>
    </xf>
    <xf numFmtId="0" fontId="3" fillId="8" borderId="3" xfId="2" applyFont="1" applyFill="1" applyBorder="1"/>
    <xf numFmtId="2" fontId="114" fillId="0" borderId="3" xfId="1" applyNumberFormat="1" applyFont="1" applyBorder="1" applyAlignment="1" applyProtection="1">
      <alignment vertical="center"/>
      <protection locked="0"/>
    </xf>
    <xf numFmtId="0" fontId="115" fillId="0" borderId="3" xfId="1" applyFont="1" applyBorder="1" applyAlignment="1">
      <alignment vertical="center"/>
    </xf>
    <xf numFmtId="2" fontId="114" fillId="0" borderId="3" xfId="1" applyNumberFormat="1" applyFont="1" applyBorder="1" applyAlignment="1">
      <alignment vertical="center"/>
    </xf>
    <xf numFmtId="2" fontId="114" fillId="0" borderId="3" xfId="1" applyNumberFormat="1" applyFont="1" applyBorder="1" applyAlignment="1">
      <alignment horizontal="right" vertical="center"/>
    </xf>
    <xf numFmtId="2" fontId="114" fillId="0" borderId="3" xfId="1" applyNumberFormat="1" applyFont="1" applyBorder="1" applyAlignment="1" applyProtection="1">
      <alignment horizontal="right" vertical="center"/>
      <protection locked="0"/>
    </xf>
    <xf numFmtId="2" fontId="4" fillId="3" borderId="3" xfId="1" applyNumberFormat="1" applyFont="1" applyFill="1" applyBorder="1" applyAlignment="1" applyProtection="1">
      <alignment vertical="center"/>
      <protection locked="0"/>
    </xf>
    <xf numFmtId="2" fontId="114" fillId="3" borderId="3" xfId="1" applyNumberFormat="1" applyFont="1" applyFill="1" applyBorder="1" applyAlignment="1" applyProtection="1">
      <alignment vertical="center"/>
      <protection locked="0"/>
    </xf>
    <xf numFmtId="2" fontId="116" fillId="0" borderId="3" xfId="1" applyNumberFormat="1" applyFont="1" applyBorder="1" applyAlignment="1">
      <alignment vertical="center"/>
    </xf>
    <xf numFmtId="0" fontId="3" fillId="3" borderId="4" xfId="1" applyFont="1" applyFill="1" applyBorder="1" applyAlignment="1">
      <alignment vertical="center"/>
    </xf>
    <xf numFmtId="0" fontId="4" fillId="3" borderId="8" xfId="1" applyFont="1" applyFill="1" applyBorder="1" applyAlignment="1">
      <alignment vertical="center"/>
    </xf>
    <xf numFmtId="2" fontId="3" fillId="3" borderId="3" xfId="1" applyNumberFormat="1" applyFont="1" applyFill="1" applyBorder="1" applyAlignment="1" applyProtection="1">
      <alignment vertical="center"/>
      <protection locked="0"/>
    </xf>
    <xf numFmtId="0" fontId="3" fillId="3" borderId="7" xfId="1" applyFont="1" applyFill="1" applyBorder="1" applyAlignment="1">
      <alignment vertical="center"/>
    </xf>
    <xf numFmtId="2" fontId="115" fillId="3" borderId="3" xfId="1" applyNumberFormat="1" applyFont="1" applyFill="1" applyBorder="1" applyAlignment="1" applyProtection="1">
      <alignment vertical="center"/>
      <protection locked="0"/>
    </xf>
    <xf numFmtId="2" fontId="3" fillId="0" borderId="3" xfId="1" applyNumberFormat="1" applyFont="1" applyBorder="1" applyAlignment="1" applyProtection="1">
      <alignment vertical="center"/>
      <protection locked="0"/>
    </xf>
    <xf numFmtId="1" fontId="3" fillId="3" borderId="0" xfId="1" applyNumberFormat="1" applyFont="1" applyFill="1" applyAlignment="1">
      <alignment vertical="center"/>
    </xf>
    <xf numFmtId="0" fontId="3" fillId="0" borderId="2" xfId="1" applyFont="1" applyBorder="1" applyAlignment="1">
      <alignment vertical="center"/>
    </xf>
    <xf numFmtId="2" fontId="4" fillId="0" borderId="2" xfId="1" applyNumberFormat="1" applyFont="1" applyBorder="1" applyAlignment="1" applyProtection="1">
      <alignment vertical="center"/>
      <protection locked="0"/>
    </xf>
    <xf numFmtId="2" fontId="3" fillId="3" borderId="2" xfId="1" applyNumberFormat="1" applyFont="1" applyFill="1" applyBorder="1" applyAlignment="1" applyProtection="1">
      <alignment vertical="center"/>
      <protection locked="0"/>
    </xf>
    <xf numFmtId="0" fontId="4" fillId="3" borderId="7" xfId="1" applyFont="1" applyFill="1" applyBorder="1" applyAlignment="1">
      <alignment vertical="center"/>
    </xf>
    <xf numFmtId="1" fontId="3" fillId="3" borderId="3" xfId="1" applyNumberFormat="1" applyFont="1" applyFill="1" applyBorder="1" applyAlignment="1">
      <alignment vertical="center"/>
    </xf>
    <xf numFmtId="0" fontId="4" fillId="3" borderId="0" xfId="1" applyFont="1" applyFill="1"/>
    <xf numFmtId="0" fontId="10" fillId="3" borderId="3" xfId="1" applyFont="1" applyFill="1" applyBorder="1" applyAlignment="1">
      <alignment vertical="center"/>
    </xf>
    <xf numFmtId="0" fontId="3" fillId="3" borderId="15" xfId="1" applyFont="1" applyFill="1" applyBorder="1" applyAlignment="1">
      <alignment horizontal="center" vertical="center"/>
    </xf>
    <xf numFmtId="0" fontId="3" fillId="3" borderId="3" xfId="1" applyFont="1" applyFill="1" applyBorder="1"/>
    <xf numFmtId="2" fontId="3" fillId="3" borderId="15" xfId="1" applyNumberFormat="1" applyFont="1" applyFill="1" applyBorder="1" applyAlignment="1">
      <alignment vertical="center"/>
    </xf>
    <xf numFmtId="0" fontId="3" fillId="3" borderId="9" xfId="1" applyFont="1" applyFill="1" applyBorder="1"/>
    <xf numFmtId="2" fontId="4" fillId="3" borderId="8" xfId="1" applyNumberFormat="1" applyFont="1" applyFill="1" applyBorder="1" applyAlignment="1">
      <alignment vertical="center"/>
    </xf>
    <xf numFmtId="0" fontId="4" fillId="0" borderId="3" xfId="1" applyFont="1" applyBorder="1" applyAlignment="1" applyProtection="1">
      <alignment vertical="top"/>
      <protection locked="0"/>
    </xf>
    <xf numFmtId="0" fontId="4" fillId="0" borderId="3" xfId="1" applyFont="1" applyBorder="1" applyAlignment="1" applyProtection="1">
      <alignment horizontal="center"/>
      <protection locked="0"/>
    </xf>
    <xf numFmtId="2" fontId="3" fillId="0" borderId="3" xfId="1" applyNumberFormat="1" applyFont="1" applyBorder="1" applyAlignment="1" applyProtection="1">
      <alignment horizontal="right" vertical="center"/>
      <protection locked="0"/>
    </xf>
    <xf numFmtId="2" fontId="118" fillId="0" borderId="3" xfId="1" applyNumberFormat="1" applyFont="1" applyBorder="1" applyAlignment="1" applyProtection="1">
      <alignment vertical="center"/>
      <protection locked="0"/>
    </xf>
    <xf numFmtId="0" fontId="4" fillId="3" borderId="5" xfId="1" applyFont="1" applyFill="1" applyBorder="1" applyAlignment="1">
      <alignment horizontal="right" vertical="center"/>
    </xf>
    <xf numFmtId="2" fontId="4" fillId="3" borderId="5" xfId="1" applyNumberFormat="1" applyFont="1" applyFill="1" applyBorder="1" applyAlignment="1">
      <alignment horizontal="right" vertical="center"/>
    </xf>
    <xf numFmtId="2" fontId="4" fillId="3" borderId="5" xfId="1" applyNumberFormat="1" applyFont="1" applyFill="1" applyBorder="1" applyAlignment="1">
      <alignment vertical="center"/>
    </xf>
    <xf numFmtId="0" fontId="3" fillId="0" borderId="0" xfId="1" applyFont="1" applyAlignment="1" applyProtection="1">
      <alignment vertical="center"/>
      <protection locked="0"/>
    </xf>
    <xf numFmtId="0" fontId="3" fillId="3" borderId="3" xfId="2" applyFont="1" applyFill="1" applyBorder="1" applyAlignment="1">
      <alignment horizontal="right" vertical="center"/>
    </xf>
    <xf numFmtId="0" fontId="3" fillId="3" borderId="8" xfId="2" applyFont="1" applyFill="1" applyBorder="1" applyAlignment="1">
      <alignment vertical="center"/>
    </xf>
    <xf numFmtId="0" fontId="3" fillId="3" borderId="15" xfId="2" applyFont="1" applyFill="1" applyBorder="1" applyAlignment="1">
      <alignment vertical="center"/>
    </xf>
    <xf numFmtId="0" fontId="3" fillId="3" borderId="9" xfId="2" applyFont="1" applyFill="1" applyBorder="1"/>
    <xf numFmtId="0" fontId="3" fillId="3" borderId="9" xfId="2" applyFont="1" applyFill="1" applyBorder="1" applyAlignment="1">
      <alignment horizontal="center" vertical="center"/>
    </xf>
    <xf numFmtId="0" fontId="3" fillId="3" borderId="15" xfId="2" applyFont="1" applyFill="1" applyBorder="1" applyAlignment="1">
      <alignment horizontal="center" vertical="center"/>
    </xf>
    <xf numFmtId="2" fontId="3" fillId="3" borderId="8" xfId="2" applyNumberFormat="1" applyFont="1" applyFill="1" applyBorder="1"/>
    <xf numFmtId="0" fontId="3" fillId="3" borderId="3" xfId="2" applyFont="1" applyFill="1" applyBorder="1" applyAlignment="1">
      <alignment horizontal="center" vertical="center"/>
    </xf>
    <xf numFmtId="2" fontId="3" fillId="3" borderId="8" xfId="2" applyNumberFormat="1" applyFont="1" applyFill="1" applyBorder="1" applyAlignment="1">
      <alignment horizontal="right" vertical="center"/>
    </xf>
    <xf numFmtId="0" fontId="3" fillId="0" borderId="8" xfId="2" applyFont="1" applyBorder="1" applyAlignment="1">
      <alignment vertical="center"/>
    </xf>
    <xf numFmtId="2" fontId="3" fillId="0" borderId="8" xfId="2" applyNumberFormat="1" applyFont="1" applyBorder="1"/>
    <xf numFmtId="2" fontId="3" fillId="0" borderId="3" xfId="2" applyNumberFormat="1" applyFont="1" applyBorder="1" applyAlignment="1">
      <alignment horizontal="right" vertical="center"/>
    </xf>
    <xf numFmtId="2" fontId="4" fillId="0" borderId="8" xfId="2" applyNumberFormat="1" applyFont="1" applyBorder="1" applyProtection="1">
      <protection locked="0"/>
    </xf>
    <xf numFmtId="2" fontId="3" fillId="0" borderId="3" xfId="2" applyNumberFormat="1" applyFont="1" applyBorder="1" applyAlignment="1" applyProtection="1">
      <alignment horizontal="right" vertical="center"/>
      <protection locked="0"/>
    </xf>
    <xf numFmtId="0" fontId="3" fillId="0" borderId="15" xfId="2" applyFont="1" applyBorder="1" applyAlignment="1">
      <alignment vertical="center"/>
    </xf>
    <xf numFmtId="2" fontId="3" fillId="0" borderId="3" xfId="2" applyNumberFormat="1" applyFont="1" applyBorder="1" applyAlignment="1">
      <alignment horizontal="right"/>
    </xf>
    <xf numFmtId="2" fontId="3" fillId="0" borderId="3" xfId="2" applyNumberFormat="1" applyFont="1" applyBorder="1" applyAlignment="1" applyProtection="1">
      <alignment horizontal="right"/>
      <protection locked="0"/>
    </xf>
    <xf numFmtId="2" fontId="4" fillId="0" borderId="3" xfId="2" applyNumberFormat="1" applyFont="1" applyBorder="1" applyAlignment="1">
      <alignment horizontal="right"/>
    </xf>
    <xf numFmtId="2" fontId="4" fillId="0" borderId="3" xfId="2" applyNumberFormat="1" applyFont="1" applyBorder="1" applyAlignment="1" applyProtection="1">
      <alignment horizontal="right"/>
      <protection locked="0"/>
    </xf>
    <xf numFmtId="2" fontId="114" fillId="0" borderId="3" xfId="2" applyNumberFormat="1" applyFont="1" applyBorder="1" applyAlignment="1" applyProtection="1">
      <alignment horizontal="right"/>
      <protection locked="0"/>
    </xf>
    <xf numFmtId="0" fontId="3" fillId="3" borderId="15" xfId="2" applyFont="1" applyFill="1" applyBorder="1" applyAlignment="1">
      <alignment vertical="top"/>
    </xf>
    <xf numFmtId="0" fontId="3" fillId="0" borderId="15" xfId="2" applyFont="1" applyBorder="1" applyAlignment="1">
      <alignment vertical="top"/>
    </xf>
    <xf numFmtId="2" fontId="3" fillId="0" borderId="8" xfId="2" applyNumberFormat="1" applyFont="1" applyBorder="1" applyAlignment="1">
      <alignment vertical="center"/>
    </xf>
    <xf numFmtId="2" fontId="4" fillId="0" borderId="8" xfId="2" applyNumberFormat="1" applyFont="1" applyBorder="1" applyAlignment="1" applyProtection="1">
      <alignment vertical="center"/>
      <protection locked="0"/>
    </xf>
    <xf numFmtId="0" fontId="4" fillId="3" borderId="0" xfId="2" applyFont="1" applyFill="1"/>
    <xf numFmtId="0" fontId="10" fillId="3" borderId="0" xfId="2" applyFont="1" applyFill="1" applyAlignment="1">
      <alignment vertical="center"/>
    </xf>
    <xf numFmtId="0" fontId="3" fillId="3" borderId="0" xfId="2" applyFont="1" applyFill="1" applyAlignment="1">
      <alignment horizontal="center" vertical="center"/>
    </xf>
    <xf numFmtId="0" fontId="3" fillId="3" borderId="0" xfId="2" applyFont="1" applyFill="1" applyAlignment="1">
      <alignment vertical="center"/>
    </xf>
    <xf numFmtId="0" fontId="3" fillId="3" borderId="0" xfId="2" applyFont="1" applyFill="1" applyAlignment="1">
      <alignment horizontal="center"/>
    </xf>
    <xf numFmtId="2" fontId="3" fillId="3" borderId="0" xfId="2" applyNumberFormat="1" applyFont="1" applyFill="1" applyAlignment="1">
      <alignment vertical="center"/>
    </xf>
    <xf numFmtId="0" fontId="4" fillId="3" borderId="0" xfId="2" applyFont="1" applyFill="1" applyAlignment="1">
      <alignment horizontal="center" vertical="center"/>
    </xf>
    <xf numFmtId="2" fontId="4" fillId="3" borderId="0" xfId="2" applyNumberFormat="1" applyFont="1" applyFill="1" applyAlignment="1">
      <alignment vertical="center"/>
    </xf>
    <xf numFmtId="0" fontId="3" fillId="0" borderId="11" xfId="2" applyFont="1" applyBorder="1"/>
    <xf numFmtId="0" fontId="4" fillId="3" borderId="3" xfId="2" applyFont="1" applyFill="1" applyBorder="1" applyAlignment="1">
      <alignment horizontal="center" vertical="center"/>
    </xf>
    <xf numFmtId="0" fontId="4" fillId="3" borderId="9" xfId="2" applyFont="1" applyFill="1" applyBorder="1" applyAlignment="1">
      <alignment horizontal="center" vertical="center"/>
    </xf>
    <xf numFmtId="0" fontId="4" fillId="3" borderId="8" xfId="2" applyFont="1" applyFill="1" applyBorder="1" applyAlignment="1">
      <alignment horizontal="center"/>
    </xf>
    <xf numFmtId="1" fontId="3" fillId="3" borderId="11" xfId="1" applyNumberFormat="1" applyFont="1" applyFill="1" applyBorder="1" applyAlignment="1">
      <alignment horizontal="center" vertical="center"/>
    </xf>
    <xf numFmtId="0" fontId="4" fillId="0" borderId="3" xfId="2" applyFont="1" applyBorder="1" applyAlignment="1">
      <alignment horizontal="left" vertical="center"/>
    </xf>
    <xf numFmtId="0" fontId="4" fillId="2" borderId="3" xfId="2" applyFont="1" applyFill="1" applyBorder="1" applyAlignment="1">
      <alignment horizontal="center" vertical="center"/>
    </xf>
    <xf numFmtId="0" fontId="4" fillId="2" borderId="3" xfId="2" applyFont="1" applyFill="1" applyBorder="1" applyAlignment="1" applyProtection="1">
      <alignment horizontal="center" vertical="center"/>
      <protection locked="0"/>
    </xf>
    <xf numFmtId="0" fontId="4" fillId="2" borderId="8" xfId="2" applyFont="1" applyFill="1" applyBorder="1" applyAlignment="1">
      <alignment horizontal="center" vertical="center"/>
    </xf>
    <xf numFmtId="0" fontId="3" fillId="0" borderId="3" xfId="2" applyFont="1" applyBorder="1" applyAlignment="1">
      <alignment horizontal="center"/>
    </xf>
    <xf numFmtId="0" fontId="3" fillId="3" borderId="9" xfId="2" applyFont="1" applyFill="1" applyBorder="1" applyAlignment="1">
      <alignment vertical="center"/>
    </xf>
    <xf numFmtId="2" fontId="3" fillId="3" borderId="8" xfId="2" applyNumberFormat="1" applyFont="1" applyFill="1" applyBorder="1" applyAlignment="1">
      <alignment horizontal="right"/>
    </xf>
    <xf numFmtId="0" fontId="3" fillId="0" borderId="3" xfId="2" applyFont="1" applyBorder="1" applyAlignment="1">
      <alignment vertical="center"/>
    </xf>
    <xf numFmtId="0" fontId="3" fillId="3" borderId="8" xfId="2" applyFont="1" applyFill="1" applyBorder="1" applyAlignment="1">
      <alignment horizontal="left" vertical="center"/>
    </xf>
    <xf numFmtId="0" fontId="3" fillId="3" borderId="15" xfId="2" applyFont="1" applyFill="1" applyBorder="1" applyAlignment="1">
      <alignment horizontal="left" vertical="center"/>
    </xf>
    <xf numFmtId="0" fontId="3" fillId="3" borderId="9" xfId="2" applyFont="1" applyFill="1" applyBorder="1" applyAlignment="1">
      <alignment horizontal="left"/>
    </xf>
    <xf numFmtId="0" fontId="3" fillId="0" borderId="10" xfId="2" applyFont="1" applyBorder="1"/>
    <xf numFmtId="0" fontId="3" fillId="3" borderId="8" xfId="2" applyFont="1" applyFill="1" applyBorder="1" applyAlignment="1">
      <alignment vertical="top"/>
    </xf>
    <xf numFmtId="0" fontId="3" fillId="3" borderId="3" xfId="2" applyFont="1" applyFill="1" applyBorder="1" applyAlignment="1">
      <alignment horizontal="center" vertical="top"/>
    </xf>
    <xf numFmtId="0" fontId="3" fillId="0" borderId="8" xfId="2" applyFont="1" applyBorder="1" applyAlignment="1">
      <alignment vertical="top"/>
    </xf>
    <xf numFmtId="168" fontId="3" fillId="3" borderId="3" xfId="2" applyNumberFormat="1" applyFont="1" applyFill="1" applyBorder="1" applyAlignment="1">
      <alignment horizontal="center" vertical="top" wrapText="1"/>
    </xf>
    <xf numFmtId="0" fontId="4" fillId="3" borderId="15" xfId="2" applyFont="1" applyFill="1" applyBorder="1" applyAlignment="1">
      <alignment vertical="top"/>
    </xf>
    <xf numFmtId="2" fontId="4" fillId="2" borderId="8" xfId="2" applyNumberFormat="1" applyFont="1" applyFill="1" applyBorder="1" applyAlignment="1">
      <alignment vertical="center"/>
    </xf>
    <xf numFmtId="2" fontId="4" fillId="2" borderId="8" xfId="2" applyNumberFormat="1" applyFont="1" applyFill="1" applyBorder="1" applyAlignment="1" applyProtection="1">
      <alignment vertical="center"/>
      <protection locked="0"/>
    </xf>
    <xf numFmtId="2" fontId="3" fillId="2" borderId="3" xfId="2" applyNumberFormat="1" applyFont="1" applyFill="1" applyBorder="1" applyAlignment="1" applyProtection="1">
      <alignment horizontal="right" vertical="center"/>
      <protection locked="0"/>
    </xf>
    <xf numFmtId="2" fontId="3" fillId="2" borderId="3" xfId="2" applyNumberFormat="1" applyFont="1" applyFill="1" applyBorder="1" applyAlignment="1">
      <alignment horizontal="right" vertical="center"/>
    </xf>
    <xf numFmtId="2" fontId="3" fillId="2" borderId="8" xfId="2" applyNumberFormat="1" applyFont="1" applyFill="1" applyBorder="1" applyAlignment="1">
      <alignment vertical="center"/>
    </xf>
    <xf numFmtId="0" fontId="3" fillId="3" borderId="0" xfId="1" applyFont="1" applyFill="1" applyAlignment="1">
      <alignment vertical="center"/>
    </xf>
    <xf numFmtId="0" fontId="4" fillId="3" borderId="0" xfId="1" applyFont="1" applyFill="1" applyAlignment="1">
      <alignment horizontal="left" vertical="center"/>
    </xf>
    <xf numFmtId="0" fontId="3" fillId="3" borderId="0" xfId="1" applyFont="1" applyFill="1" applyAlignment="1">
      <alignment horizontal="justify" vertical="center"/>
    </xf>
    <xf numFmtId="169" fontId="3" fillId="0" borderId="0" xfId="1" applyNumberFormat="1" applyFont="1" applyAlignment="1">
      <alignment vertical="top"/>
    </xf>
    <xf numFmtId="0" fontId="4" fillId="3" borderId="0" xfId="1" applyFont="1" applyFill="1" applyAlignment="1">
      <alignment vertical="center"/>
    </xf>
    <xf numFmtId="169" fontId="4" fillId="0" borderId="0" xfId="1" applyNumberFormat="1" applyFont="1" applyAlignment="1">
      <alignment vertical="top"/>
    </xf>
    <xf numFmtId="2" fontId="4" fillId="0" borderId="0" xfId="1" applyNumberFormat="1" applyFont="1" applyAlignment="1">
      <alignment vertical="top"/>
    </xf>
    <xf numFmtId="0" fontId="3" fillId="3" borderId="0" xfId="1" applyFont="1" applyFill="1" applyAlignment="1">
      <alignment horizontal="center" vertical="center"/>
    </xf>
    <xf numFmtId="0" fontId="10" fillId="0" borderId="0" xfId="1" applyFont="1" applyAlignment="1">
      <alignment horizontal="center" vertical="center"/>
    </xf>
    <xf numFmtId="0" fontId="4" fillId="0" borderId="0" xfId="1" applyFont="1"/>
    <xf numFmtId="0" fontId="4" fillId="0" borderId="0" xfId="1" applyFont="1" applyAlignment="1">
      <alignment horizontal="left" vertical="top" wrapText="1"/>
    </xf>
    <xf numFmtId="0" fontId="4" fillId="0" borderId="16" xfId="1" applyFont="1" applyBorder="1" applyAlignment="1">
      <alignment horizontal="center" vertical="center"/>
    </xf>
    <xf numFmtId="0" fontId="4" fillId="0" borderId="22" xfId="1" applyFont="1" applyBorder="1" applyAlignment="1">
      <alignment horizontal="center" vertical="center"/>
    </xf>
    <xf numFmtId="0" fontId="4" fillId="0" borderId="24" xfId="1" applyFont="1" applyBorder="1" applyAlignment="1">
      <alignment horizontal="center" vertical="center"/>
    </xf>
    <xf numFmtId="0" fontId="4" fillId="0" borderId="15" xfId="1" applyFont="1" applyBorder="1" applyAlignment="1">
      <alignment horizontal="center" vertical="center"/>
    </xf>
    <xf numFmtId="0" fontId="4" fillId="0" borderId="29" xfId="1" applyFont="1" applyBorder="1" applyAlignment="1">
      <alignment vertical="top"/>
    </xf>
    <xf numFmtId="0" fontId="4" fillId="0" borderId="15" xfId="1" applyFont="1" applyBorder="1" applyAlignment="1">
      <alignment horizontal="left" vertical="center"/>
    </xf>
    <xf numFmtId="0" fontId="3" fillId="0" borderId="15" xfId="2" applyFont="1" applyBorder="1"/>
    <xf numFmtId="0" fontId="3" fillId="0" borderId="15" xfId="1" applyFont="1" applyBorder="1" applyAlignment="1">
      <alignment horizontal="left" vertical="center"/>
    </xf>
    <xf numFmtId="2" fontId="3" fillId="0" borderId="8" xfId="1" applyNumberFormat="1" applyFont="1" applyBorder="1" applyAlignment="1">
      <alignment horizontal="center" vertical="center"/>
    </xf>
    <xf numFmtId="2" fontId="3" fillId="0" borderId="9" xfId="1" applyNumberFormat="1" applyFont="1" applyBorder="1" applyAlignment="1">
      <alignment horizontal="center" vertical="center"/>
    </xf>
    <xf numFmtId="2" fontId="4" fillId="0" borderId="8" xfId="1" applyNumberFormat="1" applyFont="1" applyBorder="1" applyAlignment="1" applyProtection="1">
      <alignment horizontal="right" vertical="center"/>
      <protection locked="0"/>
    </xf>
    <xf numFmtId="2" fontId="4" fillId="0" borderId="26" xfId="1" applyNumberFormat="1" applyFont="1" applyBorder="1" applyAlignment="1" applyProtection="1">
      <alignment horizontal="right" vertical="center"/>
      <protection locked="0"/>
    </xf>
    <xf numFmtId="0" fontId="119" fillId="0" borderId="24" xfId="1" applyFont="1" applyBorder="1" applyAlignment="1">
      <alignment horizontal="center" vertical="center"/>
    </xf>
    <xf numFmtId="0" fontId="119" fillId="0" borderId="8" xfId="1" applyFont="1" applyBorder="1" applyAlignment="1">
      <alignment horizontal="left" vertical="center"/>
    </xf>
    <xf numFmtId="0" fontId="3" fillId="0" borderId="8" xfId="2" applyFont="1" applyBorder="1"/>
    <xf numFmtId="0" fontId="3" fillId="0" borderId="8" xfId="1" applyFont="1" applyBorder="1" applyAlignment="1">
      <alignment vertical="top"/>
    </xf>
    <xf numFmtId="0" fontId="4" fillId="0" borderId="29" xfId="1" applyFont="1" applyBorder="1" applyAlignment="1">
      <alignment horizontal="left" vertical="top"/>
    </xf>
    <xf numFmtId="0" fontId="4" fillId="0" borderId="8" xfId="1" applyFont="1" applyBorder="1" applyAlignment="1" applyProtection="1">
      <alignment horizontal="center" vertical="center"/>
      <protection locked="0"/>
    </xf>
    <xf numFmtId="0" fontId="4" fillId="0" borderId="26" xfId="1" applyFont="1" applyBorder="1" applyAlignment="1" applyProtection="1">
      <alignment horizontal="center" vertical="center"/>
      <protection locked="0"/>
    </xf>
    <xf numFmtId="0" fontId="4" fillId="0" borderId="8" xfId="1" applyFont="1" applyBorder="1" applyAlignment="1">
      <alignment vertical="top"/>
    </xf>
    <xf numFmtId="0" fontId="4" fillId="0" borderId="15" xfId="1" applyFont="1" applyBorder="1" applyAlignment="1">
      <alignment vertical="center"/>
    </xf>
    <xf numFmtId="0" fontId="4" fillId="0" borderId="24" xfId="1" applyFont="1" applyBorder="1" applyAlignment="1">
      <alignment horizontal="center"/>
    </xf>
    <xf numFmtId="0" fontId="4" fillId="0" borderId="8" xfId="1" applyFont="1" applyBorder="1" applyAlignment="1">
      <alignment horizontal="left"/>
    </xf>
    <xf numFmtId="0" fontId="3" fillId="0" borderId="15" xfId="1" applyFont="1" applyBorder="1" applyAlignment="1">
      <alignment horizontal="left"/>
    </xf>
    <xf numFmtId="2" fontId="3" fillId="0" borderId="3" xfId="1" applyNumberFormat="1" applyFont="1" applyBorder="1" applyAlignment="1">
      <alignment horizontal="right"/>
    </xf>
    <xf numFmtId="2" fontId="3" fillId="0" borderId="3" xfId="1" applyNumberFormat="1" applyFont="1" applyBorder="1"/>
    <xf numFmtId="1" fontId="4" fillId="0" borderId="0" xfId="1" applyNumberFormat="1" applyFont="1" applyAlignment="1">
      <alignment horizontal="right"/>
    </xf>
    <xf numFmtId="1" fontId="4" fillId="0" borderId="0" xfId="1" applyNumberFormat="1" applyFont="1"/>
    <xf numFmtId="2" fontId="4" fillId="0" borderId="0" xfId="1" applyNumberFormat="1" applyFont="1"/>
    <xf numFmtId="0" fontId="3" fillId="0" borderId="15" xfId="1" applyFont="1" applyBorder="1"/>
    <xf numFmtId="0" fontId="3" fillId="0" borderId="26" xfId="1" applyFont="1" applyBorder="1"/>
    <xf numFmtId="1" fontId="4" fillId="0" borderId="0" xfId="1" applyNumberFormat="1" applyFont="1" applyAlignment="1">
      <alignment horizontal="left"/>
    </xf>
    <xf numFmtId="0" fontId="3" fillId="0" borderId="15" xfId="1" applyFont="1" applyBorder="1" applyAlignment="1">
      <alignment horizontal="center" vertical="top"/>
    </xf>
    <xf numFmtId="0" fontId="3" fillId="0" borderId="15" xfId="1" applyFont="1" applyBorder="1" applyAlignment="1">
      <alignment vertical="top"/>
    </xf>
    <xf numFmtId="0" fontId="4" fillId="0" borderId="15" xfId="1" applyFont="1" applyBorder="1" applyAlignment="1">
      <alignment vertical="top"/>
    </xf>
    <xf numFmtId="0" fontId="3" fillId="0" borderId="26" xfId="1" applyFont="1" applyBorder="1" applyAlignment="1">
      <alignment vertical="top"/>
    </xf>
    <xf numFmtId="0" fontId="3" fillId="0" borderId="9" xfId="1" applyFont="1" applyBorder="1" applyAlignment="1">
      <alignment horizontal="left" vertical="center"/>
    </xf>
    <xf numFmtId="1" fontId="4" fillId="0" borderId="0" xfId="1" applyNumberFormat="1" applyFont="1" applyAlignment="1">
      <alignment horizontal="center" vertical="center"/>
    </xf>
    <xf numFmtId="0" fontId="4" fillId="0" borderId="8" xfId="2" applyFont="1" applyBorder="1"/>
    <xf numFmtId="2" fontId="3" fillId="0" borderId="8" xfId="1" applyNumberFormat="1" applyFont="1" applyBorder="1" applyAlignment="1">
      <alignment vertical="center"/>
    </xf>
    <xf numFmtId="0" fontId="4" fillId="0" borderId="15" xfId="2" applyFont="1" applyBorder="1"/>
    <xf numFmtId="1" fontId="4" fillId="0" borderId="0" xfId="1" applyNumberFormat="1" applyFont="1" applyAlignment="1">
      <alignment horizontal="right" vertical="center"/>
    </xf>
    <xf numFmtId="0" fontId="119" fillId="0" borderId="3" xfId="1" applyFont="1" applyBorder="1" applyAlignment="1">
      <alignment horizontal="center" vertical="center"/>
    </xf>
    <xf numFmtId="0" fontId="119" fillId="0" borderId="15" xfId="1" applyFont="1" applyBorder="1" applyAlignment="1">
      <alignment horizontal="left" vertical="center"/>
    </xf>
    <xf numFmtId="0" fontId="119" fillId="0" borderId="3" xfId="2" applyFont="1" applyBorder="1" applyAlignment="1">
      <alignment horizontal="center"/>
    </xf>
    <xf numFmtId="0" fontId="119" fillId="0" borderId="15" xfId="2" applyFont="1" applyBorder="1"/>
    <xf numFmtId="0" fontId="119" fillId="0" borderId="9" xfId="1" applyFont="1" applyBorder="1" applyAlignment="1">
      <alignment horizontal="center" vertical="center"/>
    </xf>
    <xf numFmtId="0" fontId="119" fillId="0" borderId="8" xfId="2" applyFont="1" applyBorder="1"/>
    <xf numFmtId="0" fontId="3" fillId="0" borderId="15" xfId="2" applyFont="1" applyBorder="1" applyAlignment="1">
      <alignment horizontal="center"/>
    </xf>
    <xf numFmtId="2" fontId="3" fillId="0" borderId="3" xfId="2" applyNumberFormat="1" applyFont="1" applyBorder="1"/>
    <xf numFmtId="2" fontId="3" fillId="8" borderId="3" xfId="1" applyNumberFormat="1" applyFont="1" applyFill="1" applyBorder="1" applyAlignment="1">
      <alignment horizontal="right" vertical="center"/>
    </xf>
    <xf numFmtId="0" fontId="4" fillId="0" borderId="29" xfId="1" applyFont="1" applyBorder="1" applyAlignment="1">
      <alignment horizontal="center" vertical="center"/>
    </xf>
    <xf numFmtId="1" fontId="4" fillId="0" borderId="0" xfId="1" applyNumberFormat="1" applyFont="1" applyAlignment="1">
      <alignment horizontal="left" vertical="center"/>
    </xf>
    <xf numFmtId="0" fontId="119" fillId="0" borderId="9" xfId="2" applyFont="1" applyBorder="1" applyAlignment="1">
      <alignment horizontal="center"/>
    </xf>
    <xf numFmtId="0" fontId="4" fillId="8" borderId="3" xfId="2" applyFont="1" applyFill="1" applyBorder="1" applyAlignment="1">
      <alignment horizontal="center"/>
    </xf>
    <xf numFmtId="0" fontId="4" fillId="8" borderId="8" xfId="1" applyFont="1" applyFill="1" applyBorder="1" applyAlignment="1">
      <alignment horizontal="left" vertical="center"/>
    </xf>
    <xf numFmtId="0" fontId="3" fillId="8" borderId="15" xfId="1" applyFont="1" applyFill="1" applyBorder="1" applyAlignment="1">
      <alignment horizontal="left" vertical="center"/>
    </xf>
    <xf numFmtId="0" fontId="119" fillId="0" borderId="5" xfId="1" applyFont="1" applyBorder="1" applyAlignment="1">
      <alignment vertical="center"/>
    </xf>
    <xf numFmtId="0" fontId="119" fillId="0" borderId="15" xfId="1" applyFont="1" applyBorder="1" applyAlignment="1">
      <alignment vertical="center"/>
    </xf>
    <xf numFmtId="0" fontId="113" fillId="0" borderId="3" xfId="2" applyFont="1" applyBorder="1" applyAlignment="1">
      <alignment horizontal="center"/>
    </xf>
    <xf numFmtId="0" fontId="113" fillId="0" borderId="15" xfId="1" applyFont="1" applyBorder="1" applyAlignment="1">
      <alignment horizontal="left" vertical="center"/>
    </xf>
    <xf numFmtId="0" fontId="113" fillId="0" borderId="15" xfId="2" applyFont="1" applyBorder="1"/>
    <xf numFmtId="0" fontId="4" fillId="0" borderId="15" xfId="1" applyFont="1" applyBorder="1" applyAlignment="1">
      <alignment horizontal="left"/>
    </xf>
    <xf numFmtId="0" fontId="4" fillId="0" borderId="15" xfId="1" applyFont="1" applyBorder="1"/>
    <xf numFmtId="0" fontId="3" fillId="0" borderId="24" xfId="1" applyFont="1" applyBorder="1" applyAlignment="1">
      <alignment horizontal="center" vertical="center"/>
    </xf>
    <xf numFmtId="0" fontId="119" fillId="0" borderId="29" xfId="1" applyFont="1" applyBorder="1" applyAlignment="1">
      <alignment horizontal="center" vertical="center"/>
    </xf>
    <xf numFmtId="0" fontId="3" fillId="0" borderId="8" xfId="1" applyFont="1" applyBorder="1" applyAlignment="1">
      <alignment horizontal="center" vertical="center"/>
    </xf>
    <xf numFmtId="0" fontId="3" fillId="0" borderId="9" xfId="1" applyFont="1" applyBorder="1" applyAlignment="1">
      <alignment horizontal="center" vertical="center"/>
    </xf>
    <xf numFmtId="2" fontId="4" fillId="0" borderId="2" xfId="1" applyNumberFormat="1" applyFont="1" applyBorder="1" applyAlignment="1">
      <alignment vertical="center"/>
    </xf>
    <xf numFmtId="2" fontId="4" fillId="0" borderId="11" xfId="1" applyNumberFormat="1" applyFont="1" applyBorder="1" applyAlignment="1">
      <alignment vertical="center"/>
    </xf>
    <xf numFmtId="0" fontId="4" fillId="0" borderId="11" xfId="2" applyFont="1" applyBorder="1"/>
    <xf numFmtId="2" fontId="4" fillId="0" borderId="4" xfId="1" applyNumberFormat="1" applyFont="1" applyBorder="1" applyAlignment="1">
      <alignment vertical="center"/>
    </xf>
    <xf numFmtId="2" fontId="4" fillId="0" borderId="10" xfId="1" applyNumberFormat="1" applyFont="1" applyBorder="1" applyAlignment="1">
      <alignment vertical="center"/>
    </xf>
    <xf numFmtId="0" fontId="4" fillId="0" borderId="2" xfId="1" applyFont="1" applyBorder="1" applyAlignment="1">
      <alignment vertical="center"/>
    </xf>
    <xf numFmtId="0" fontId="4" fillId="0" borderId="10" xfId="1" applyFont="1" applyBorder="1" applyAlignment="1">
      <alignment vertical="center"/>
    </xf>
    <xf numFmtId="0" fontId="4" fillId="0" borderId="10" xfId="2" applyFont="1" applyBorder="1"/>
    <xf numFmtId="0" fontId="4" fillId="0" borderId="6" xfId="2" applyFont="1" applyBorder="1"/>
    <xf numFmtId="0" fontId="4" fillId="0" borderId="24" xfId="1" applyFont="1" applyBorder="1" applyAlignment="1">
      <alignment horizontal="right" vertical="center"/>
    </xf>
    <xf numFmtId="0" fontId="119" fillId="0" borderId="24" xfId="1" applyFont="1" applyBorder="1" applyAlignment="1">
      <alignment horizontal="right" vertical="center"/>
    </xf>
    <xf numFmtId="2" fontId="4" fillId="0" borderId="0" xfId="1" applyNumberFormat="1" applyFont="1" applyAlignment="1">
      <alignment horizontal="left" vertical="center"/>
    </xf>
    <xf numFmtId="0" fontId="4" fillId="0" borderId="0" xfId="2" applyFont="1" applyAlignment="1">
      <alignment horizontal="left"/>
    </xf>
    <xf numFmtId="0" fontId="119" fillId="0" borderId="15" xfId="2" applyFont="1" applyBorder="1" applyAlignment="1">
      <alignment horizontal="center"/>
    </xf>
    <xf numFmtId="2" fontId="3" fillId="0" borderId="3" xfId="2" applyNumberFormat="1" applyFont="1" applyBorder="1" applyAlignment="1">
      <alignment horizontal="center" vertical="center"/>
    </xf>
    <xf numFmtId="0" fontId="3" fillId="0" borderId="15" xfId="1" applyFont="1" applyBorder="1" applyAlignment="1">
      <alignment horizontal="center" vertical="center"/>
    </xf>
    <xf numFmtId="0" fontId="4" fillId="0" borderId="8" xfId="2" applyFont="1" applyBorder="1" applyAlignment="1">
      <alignment vertical="center"/>
    </xf>
    <xf numFmtId="0" fontId="4" fillId="0" borderId="15" xfId="2" applyFont="1" applyBorder="1" applyAlignment="1">
      <alignment vertical="center"/>
    </xf>
    <xf numFmtId="2" fontId="4" fillId="0" borderId="0" xfId="2" applyNumberFormat="1" applyFont="1" applyAlignment="1">
      <alignment vertical="center"/>
    </xf>
    <xf numFmtId="2" fontId="3" fillId="0" borderId="0" xfId="2" applyNumberFormat="1" applyFont="1" applyAlignment="1">
      <alignment vertical="center"/>
    </xf>
    <xf numFmtId="0" fontId="4" fillId="0" borderId="15" xfId="2" applyFont="1" applyBorder="1" applyAlignment="1">
      <alignment horizontal="right"/>
    </xf>
    <xf numFmtId="0" fontId="4" fillId="0" borderId="29" xfId="2" applyFont="1" applyBorder="1" applyAlignment="1">
      <alignment horizontal="center" vertical="center"/>
    </xf>
    <xf numFmtId="0" fontId="4" fillId="0" borderId="8" xfId="2" applyFont="1" applyBorder="1" applyAlignment="1">
      <alignment horizontal="left" vertical="center"/>
    </xf>
    <xf numFmtId="0" fontId="4" fillId="0" borderId="0" xfId="2" applyFont="1" applyAlignment="1">
      <alignment horizontal="left" vertical="center"/>
    </xf>
    <xf numFmtId="0" fontId="4" fillId="0" borderId="29" xfId="2" applyFont="1" applyBorder="1" applyAlignment="1">
      <alignment horizontal="right" vertical="center"/>
    </xf>
    <xf numFmtId="0" fontId="4" fillId="0" borderId="15" xfId="2" applyFont="1" applyBorder="1" applyAlignment="1">
      <alignment horizontal="left" vertical="center"/>
    </xf>
    <xf numFmtId="2" fontId="3" fillId="0" borderId="3" xfId="2" applyNumberFormat="1" applyFont="1" applyBorder="1" applyAlignment="1">
      <alignment vertical="center"/>
    </xf>
    <xf numFmtId="0" fontId="4" fillId="0" borderId="24" xfId="2" applyFont="1" applyBorder="1" applyAlignment="1">
      <alignment horizontal="right" vertical="center"/>
    </xf>
    <xf numFmtId="2" fontId="4" fillId="0" borderId="8" xfId="2" applyNumberFormat="1" applyFont="1" applyBorder="1" applyAlignment="1" applyProtection="1">
      <alignment horizontal="right" vertical="center"/>
      <protection locked="0"/>
    </xf>
    <xf numFmtId="2" fontId="4" fillId="0" borderId="26" xfId="2" applyNumberFormat="1" applyFont="1" applyBorder="1" applyAlignment="1" applyProtection="1">
      <alignment horizontal="right" vertical="center"/>
      <protection locked="0"/>
    </xf>
    <xf numFmtId="0" fontId="4" fillId="0" borderId="24" xfId="2" applyFont="1" applyBorder="1" applyAlignment="1">
      <alignment horizontal="center" vertical="center"/>
    </xf>
    <xf numFmtId="2" fontId="3" fillId="3" borderId="3" xfId="2" applyNumberFormat="1" applyFont="1" applyFill="1" applyBorder="1" applyAlignment="1">
      <alignment horizontal="right" vertical="center"/>
    </xf>
    <xf numFmtId="2" fontId="3" fillId="3" borderId="3" xfId="2" applyNumberFormat="1" applyFont="1" applyFill="1" applyBorder="1" applyAlignment="1">
      <alignment vertical="center"/>
    </xf>
    <xf numFmtId="0" fontId="113" fillId="0" borderId="29" xfId="1" applyFont="1" applyBorder="1" applyAlignment="1">
      <alignment horizontal="center" vertical="center"/>
    </xf>
    <xf numFmtId="0" fontId="119" fillId="0" borderId="8" xfId="2" applyFont="1" applyBorder="1" applyAlignment="1">
      <alignment vertical="center"/>
    </xf>
    <xf numFmtId="0" fontId="3" fillId="0" borderId="9" xfId="2" applyFont="1" applyBorder="1" applyAlignment="1">
      <alignment vertical="center"/>
    </xf>
    <xf numFmtId="2" fontId="3" fillId="0" borderId="8" xfId="2" applyNumberFormat="1" applyFont="1" applyBorder="1" applyAlignment="1">
      <alignment horizontal="center" vertical="center"/>
    </xf>
    <xf numFmtId="2" fontId="3" fillId="0" borderId="9" xfId="2" applyNumberFormat="1" applyFont="1" applyBorder="1" applyAlignment="1">
      <alignment horizontal="center" vertical="center"/>
    </xf>
    <xf numFmtId="2" fontId="3" fillId="0" borderId="9" xfId="2" applyNumberFormat="1" applyFont="1" applyBorder="1" applyAlignment="1">
      <alignment horizontal="right" vertical="center"/>
    </xf>
    <xf numFmtId="2" fontId="3" fillId="0" borderId="9" xfId="2" applyNumberFormat="1" applyFont="1" applyBorder="1" applyAlignment="1">
      <alignment vertical="center"/>
    </xf>
    <xf numFmtId="0" fontId="3" fillId="0" borderId="0" xfId="1" applyFont="1" applyAlignment="1">
      <alignment horizontal="left" vertical="center"/>
    </xf>
    <xf numFmtId="2" fontId="4" fillId="0" borderId="0" xfId="1" applyNumberFormat="1" applyFont="1" applyAlignment="1">
      <alignment horizontal="center" vertical="center"/>
    </xf>
    <xf numFmtId="0" fontId="4" fillId="0" borderId="0" xfId="1" applyFont="1" applyAlignment="1">
      <alignment horizontal="justify" vertical="top"/>
    </xf>
    <xf numFmtId="0" fontId="4" fillId="0" borderId="2" xfId="1" applyFont="1" applyBorder="1" applyAlignment="1">
      <alignment horizontal="center" vertical="top"/>
    </xf>
    <xf numFmtId="0" fontId="4" fillId="0" borderId="12" xfId="1" applyFont="1" applyBorder="1" applyAlignment="1">
      <alignment horizontal="center" vertical="top"/>
    </xf>
    <xf numFmtId="0" fontId="4" fillId="0" borderId="6" xfId="1" applyFont="1" applyBorder="1" applyAlignment="1">
      <alignment horizontal="center" vertical="top"/>
    </xf>
    <xf numFmtId="0" fontId="4" fillId="0" borderId="14" xfId="1" applyFont="1" applyBorder="1" applyAlignment="1">
      <alignment horizontal="center" vertical="top"/>
    </xf>
    <xf numFmtId="0" fontId="3" fillId="0" borderId="0" xfId="1" applyFont="1" applyAlignment="1">
      <alignment horizontal="left" vertical="top"/>
    </xf>
    <xf numFmtId="0" fontId="4" fillId="0" borderId="9" xfId="1" applyFont="1" applyBorder="1" applyAlignment="1">
      <alignment horizontal="center" vertical="top"/>
    </xf>
    <xf numFmtId="0" fontId="5" fillId="0" borderId="5" xfId="1" applyFont="1" applyBorder="1" applyAlignment="1">
      <alignment vertical="top"/>
    </xf>
    <xf numFmtId="0" fontId="5" fillId="0" borderId="0" xfId="1" applyFont="1" applyAlignment="1">
      <alignment horizontal="center" vertical="top"/>
    </xf>
    <xf numFmtId="0" fontId="4" fillId="0" borderId="5" xfId="1" applyFont="1" applyBorder="1" applyAlignment="1">
      <alignment vertical="top"/>
    </xf>
    <xf numFmtId="2" fontId="5" fillId="0" borderId="0" xfId="1" applyNumberFormat="1" applyFont="1" applyAlignment="1">
      <alignment horizontal="justify"/>
    </xf>
    <xf numFmtId="0" fontId="2" fillId="0" borderId="0" xfId="1" applyAlignment="1">
      <alignment horizontal="left" vertical="top"/>
    </xf>
    <xf numFmtId="0" fontId="2" fillId="0" borderId="0" xfId="1" applyAlignment="1">
      <alignment horizontal="center" vertical="top"/>
    </xf>
    <xf numFmtId="0" fontId="5" fillId="0" borderId="0" xfId="1" applyFont="1" applyAlignment="1">
      <alignment horizontal="left" vertical="top"/>
    </xf>
    <xf numFmtId="2" fontId="5" fillId="0" borderId="0" xfId="1" applyNumberFormat="1" applyFont="1" applyAlignment="1">
      <alignment horizontal="center"/>
    </xf>
    <xf numFmtId="0" fontId="2" fillId="0" borderId="0" xfId="1" applyAlignment="1">
      <alignment horizontal="justify"/>
    </xf>
    <xf numFmtId="169" fontId="2" fillId="0" borderId="0" xfId="1" applyNumberFormat="1" applyAlignment="1">
      <alignment vertical="top"/>
    </xf>
    <xf numFmtId="2" fontId="2" fillId="0" borderId="0" xfId="1" applyNumberFormat="1" applyAlignment="1">
      <alignment vertical="top"/>
    </xf>
    <xf numFmtId="2" fontId="5" fillId="0" borderId="0" xfId="1" applyNumberFormat="1" applyFont="1" applyAlignment="1">
      <alignment vertical="top"/>
    </xf>
    <xf numFmtId="9" fontId="2" fillId="0" borderId="0" xfId="1" applyNumberFormat="1" applyAlignment="1">
      <alignment horizontal="center" vertical="top"/>
    </xf>
    <xf numFmtId="2" fontId="5" fillId="0" borderId="0" xfId="1" applyNumberFormat="1" applyFont="1" applyAlignment="1">
      <alignment horizontal="center" vertical="top"/>
    </xf>
    <xf numFmtId="170" fontId="3" fillId="0" borderId="0" xfId="1" applyNumberFormat="1" applyFont="1" applyAlignment="1">
      <alignment vertical="top"/>
    </xf>
    <xf numFmtId="171" fontId="4" fillId="0" borderId="0" xfId="1" applyNumberFormat="1" applyFont="1" applyAlignment="1">
      <alignment vertical="top"/>
    </xf>
    <xf numFmtId="171" fontId="3" fillId="0" borderId="0" xfId="1" applyNumberFormat="1" applyFont="1" applyAlignment="1">
      <alignment vertical="top"/>
    </xf>
    <xf numFmtId="2" fontId="3" fillId="0" borderId="0" xfId="1" applyNumberFormat="1" applyFont="1" applyAlignment="1">
      <alignment horizontal="left" vertical="top"/>
    </xf>
    <xf numFmtId="0" fontId="18" fillId="0" borderId="0" xfId="1" applyFont="1" applyAlignment="1">
      <alignment horizontal="center" vertical="top"/>
    </xf>
    <xf numFmtId="0" fontId="4" fillId="0" borderId="0" xfId="1" applyFont="1" applyAlignment="1">
      <alignment horizontal="left" vertical="top"/>
    </xf>
    <xf numFmtId="10" fontId="2" fillId="8" borderId="0" xfId="1" applyNumberFormat="1" applyFill="1" applyAlignment="1">
      <alignment horizontal="center" vertical="top"/>
    </xf>
    <xf numFmtId="2" fontId="2" fillId="0" borderId="0" xfId="1" applyNumberFormat="1" applyAlignment="1">
      <alignment horizontal="center" vertical="top"/>
    </xf>
    <xf numFmtId="10" fontId="2" fillId="0" borderId="0" xfId="1" applyNumberFormat="1" applyAlignment="1">
      <alignment horizontal="center" vertical="top"/>
    </xf>
    <xf numFmtId="2" fontId="5" fillId="8" borderId="0" xfId="1" applyNumberFormat="1" applyFont="1" applyFill="1" applyAlignment="1">
      <alignment horizontal="center" vertical="top"/>
    </xf>
    <xf numFmtId="2" fontId="5" fillId="8" borderId="0" xfId="1" applyNumberFormat="1" applyFont="1" applyFill="1" applyAlignment="1">
      <alignment vertical="top"/>
    </xf>
    <xf numFmtId="0" fontId="5" fillId="8" borderId="0" xfId="1" applyFont="1" applyFill="1" applyAlignment="1">
      <alignment vertical="top"/>
    </xf>
    <xf numFmtId="0" fontId="2" fillId="8" borderId="0" xfId="1" applyFill="1" applyAlignment="1">
      <alignment vertical="top"/>
    </xf>
    <xf numFmtId="2" fontId="2" fillId="0" borderId="1" xfId="1" applyNumberFormat="1" applyBorder="1" applyAlignment="1">
      <alignment vertical="top"/>
    </xf>
    <xf numFmtId="169" fontId="5" fillId="0" borderId="0" xfId="1" applyNumberFormat="1" applyFont="1" applyAlignment="1">
      <alignment vertical="top"/>
    </xf>
    <xf numFmtId="10" fontId="5" fillId="0" borderId="0" xfId="1" applyNumberFormat="1" applyFont="1" applyAlignment="1">
      <alignment vertical="top"/>
    </xf>
    <xf numFmtId="2" fontId="2" fillId="8" borderId="0" xfId="1" applyNumberFormat="1" applyFill="1" applyAlignment="1">
      <alignment horizontal="center" vertical="top"/>
    </xf>
    <xf numFmtId="0" fontId="2" fillId="0" borderId="0" xfId="1" applyAlignment="1">
      <alignment vertical="justify"/>
    </xf>
    <xf numFmtId="0" fontId="5" fillId="0" borderId="0" xfId="1" applyFont="1" applyAlignment="1">
      <alignment vertical="center"/>
    </xf>
    <xf numFmtId="0" fontId="2" fillId="0" borderId="0" xfId="1" applyAlignment="1">
      <alignment vertical="center"/>
    </xf>
    <xf numFmtId="0" fontId="2" fillId="0" borderId="0" xfId="1" applyAlignment="1">
      <alignment horizontal="left" vertical="center"/>
    </xf>
    <xf numFmtId="0" fontId="5" fillId="0" borderId="0" xfId="1" applyFont="1" applyAlignment="1">
      <alignment horizontal="left" vertical="center"/>
    </xf>
    <xf numFmtId="169" fontId="2" fillId="0" borderId="0" xfId="1" applyNumberFormat="1" applyAlignment="1">
      <alignment vertical="center"/>
    </xf>
    <xf numFmtId="2" fontId="2" fillId="0" borderId="0" xfId="1" applyNumberFormat="1" applyAlignment="1">
      <alignment vertical="center"/>
    </xf>
    <xf numFmtId="2" fontId="5" fillId="0" borderId="0" xfId="1" applyNumberFormat="1" applyFont="1" applyAlignment="1">
      <alignment horizontal="center" vertical="center"/>
    </xf>
    <xf numFmtId="2" fontId="5" fillId="0" borderId="0" xfId="1" applyNumberFormat="1" applyFont="1" applyAlignment="1">
      <alignment vertical="center"/>
    </xf>
    <xf numFmtId="2" fontId="3" fillId="0" borderId="0" xfId="1" applyNumberFormat="1" applyFont="1"/>
    <xf numFmtId="0" fontId="5" fillId="0" borderId="0" xfId="1" applyFont="1" applyAlignment="1">
      <alignment vertical="justify"/>
    </xf>
    <xf numFmtId="0" fontId="5" fillId="0" borderId="0" xfId="1" applyFont="1" applyAlignment="1">
      <alignment horizontal="justify"/>
    </xf>
    <xf numFmtId="169" fontId="5" fillId="0" borderId="0" xfId="1" applyNumberFormat="1" applyFont="1" applyAlignment="1">
      <alignment horizontal="center" vertical="center"/>
    </xf>
    <xf numFmtId="0" fontId="2" fillId="0" borderId="0" xfId="2" applyFont="1" applyAlignment="1">
      <alignment horizontal="center"/>
    </xf>
    <xf numFmtId="2" fontId="2" fillId="0" borderId="0" xfId="2" applyNumberFormat="1" applyFont="1"/>
    <xf numFmtId="2" fontId="2" fillId="8" borderId="0" xfId="1" applyNumberFormat="1" applyFill="1" applyAlignment="1">
      <alignment vertical="top"/>
    </xf>
    <xf numFmtId="10" fontId="2" fillId="0" borderId="0" xfId="1" applyNumberFormat="1" applyAlignment="1">
      <alignment vertical="top"/>
    </xf>
    <xf numFmtId="169" fontId="2" fillId="0" borderId="0" xfId="1" applyNumberFormat="1" applyAlignment="1">
      <alignment horizontal="center" vertical="top"/>
    </xf>
    <xf numFmtId="0" fontId="5" fillId="0" borderId="0" xfId="1" applyFont="1" applyAlignment="1">
      <alignment horizontal="center" vertical="justify"/>
    </xf>
    <xf numFmtId="172" fontId="2" fillId="0" borderId="0" xfId="1" applyNumberFormat="1" applyAlignment="1">
      <alignment vertical="center"/>
    </xf>
    <xf numFmtId="170" fontId="2" fillId="0" borderId="0" xfId="1" applyNumberFormat="1" applyAlignment="1">
      <alignment vertical="top"/>
    </xf>
    <xf numFmtId="0" fontId="18" fillId="0" borderId="0" xfId="1" applyFont="1" applyAlignment="1">
      <alignment vertical="top"/>
    </xf>
    <xf numFmtId="0" fontId="4" fillId="8" borderId="0" xfId="1" applyFont="1" applyFill="1" applyAlignment="1">
      <alignment vertical="top"/>
    </xf>
    <xf numFmtId="2" fontId="3" fillId="8" borderId="0" xfId="1" applyNumberFormat="1" applyFont="1" applyFill="1" applyAlignment="1">
      <alignment vertical="top"/>
    </xf>
    <xf numFmtId="0" fontId="3" fillId="8" borderId="0" xfId="1" applyFont="1" applyFill="1" applyAlignment="1">
      <alignment vertical="top"/>
    </xf>
    <xf numFmtId="2" fontId="4" fillId="8" borderId="0" xfId="1" applyNumberFormat="1" applyFont="1" applyFill="1" applyAlignment="1">
      <alignment vertical="top"/>
    </xf>
    <xf numFmtId="2" fontId="3" fillId="8" borderId="0" xfId="1" applyNumberFormat="1" applyFont="1" applyFill="1" applyAlignment="1">
      <alignment horizontal="left" vertical="top"/>
    </xf>
    <xf numFmtId="0" fontId="3" fillId="8" borderId="0" xfId="1" applyFont="1" applyFill="1" applyAlignment="1">
      <alignment horizontal="left" vertical="top"/>
    </xf>
    <xf numFmtId="169" fontId="2" fillId="8" borderId="0" xfId="1" applyNumberFormat="1" applyFill="1" applyAlignment="1">
      <alignment vertical="top"/>
    </xf>
    <xf numFmtId="0" fontId="3" fillId="10" borderId="0" xfId="1" applyFont="1" applyFill="1" applyAlignment="1">
      <alignment vertical="top"/>
    </xf>
    <xf numFmtId="0" fontId="4" fillId="10" borderId="0" xfId="1" applyFont="1" applyFill="1" applyAlignment="1">
      <alignment vertical="top"/>
    </xf>
    <xf numFmtId="0" fontId="18" fillId="0" borderId="0" xfId="3" applyFont="1" applyFill="1" applyBorder="1" applyAlignment="1" applyProtection="1">
      <alignment horizontal="center"/>
    </xf>
    <xf numFmtId="0" fontId="2" fillId="0" borderId="0" xfId="1" applyAlignment="1">
      <alignment horizontal="right" vertical="top"/>
    </xf>
    <xf numFmtId="0" fontId="5" fillId="0" borderId="0" xfId="1" applyFont="1" applyAlignment="1">
      <alignment horizontal="right" vertical="top"/>
    </xf>
    <xf numFmtId="2" fontId="2" fillId="0" borderId="0" xfId="1" applyNumberFormat="1" applyAlignment="1">
      <alignment horizontal="right" vertical="top"/>
    </xf>
    <xf numFmtId="2" fontId="5" fillId="0" borderId="0" xfId="1" applyNumberFormat="1" applyFont="1" applyAlignment="1">
      <alignment horizontal="right" vertical="top"/>
    </xf>
    <xf numFmtId="9" fontId="2" fillId="0" borderId="0" xfId="1" applyNumberFormat="1" applyAlignment="1">
      <alignment vertical="top"/>
    </xf>
    <xf numFmtId="2" fontId="2" fillId="10" borderId="0" xfId="1" applyNumberFormat="1" applyFill="1" applyAlignment="1">
      <alignment vertical="top"/>
    </xf>
    <xf numFmtId="0" fontId="18" fillId="0" borderId="0" xfId="1" applyFont="1" applyAlignment="1">
      <alignment horizontal="left" vertical="center"/>
    </xf>
    <xf numFmtId="0" fontId="18" fillId="0" borderId="0" xfId="1" applyFont="1" applyAlignment="1">
      <alignment vertical="center"/>
    </xf>
    <xf numFmtId="2" fontId="2" fillId="3" borderId="0" xfId="1" applyNumberFormat="1" applyFill="1" applyAlignment="1">
      <alignment vertical="top"/>
    </xf>
    <xf numFmtId="2" fontId="2" fillId="0" borderId="0" xfId="1" applyNumberFormat="1" applyAlignment="1">
      <alignment horizontal="center" vertical="center"/>
    </xf>
    <xf numFmtId="2" fontId="5" fillId="0" borderId="0" xfId="1" applyNumberFormat="1" applyFont="1" applyAlignment="1">
      <alignment horizontal="center" vertical="center" wrapText="1"/>
    </xf>
    <xf numFmtId="0" fontId="5" fillId="0" borderId="0" xfId="1" applyFont="1" applyAlignment="1">
      <alignment horizontal="center" vertical="center" wrapText="1"/>
    </xf>
    <xf numFmtId="172" fontId="2" fillId="0" borderId="0" xfId="1" applyNumberFormat="1" applyAlignment="1">
      <alignment vertical="top"/>
    </xf>
    <xf numFmtId="2" fontId="5" fillId="0" borderId="0" xfId="1" applyNumberFormat="1" applyFont="1" applyAlignment="1">
      <alignment horizontal="justify" vertical="center"/>
    </xf>
    <xf numFmtId="179" fontId="5" fillId="0" borderId="0" xfId="1" applyNumberFormat="1" applyFont="1" applyAlignment="1">
      <alignment horizontal="left" vertical="top"/>
    </xf>
    <xf numFmtId="169" fontId="5" fillId="0" borderId="0" xfId="1" applyNumberFormat="1" applyFont="1" applyAlignment="1">
      <alignment horizontal="center"/>
    </xf>
    <xf numFmtId="2" fontId="2" fillId="0" borderId="0" xfId="1" applyNumberFormat="1" applyAlignment="1">
      <alignment horizontal="left" vertical="top"/>
    </xf>
    <xf numFmtId="179" fontId="5" fillId="0" borderId="0" xfId="1" applyNumberFormat="1" applyFont="1" applyAlignment="1">
      <alignment horizontal="center" vertical="top"/>
    </xf>
    <xf numFmtId="2" fontId="5" fillId="0" borderId="0" xfId="1" applyNumberFormat="1" applyFont="1" applyAlignment="1">
      <alignment horizontal="left" vertical="top"/>
    </xf>
    <xf numFmtId="2" fontId="2" fillId="3" borderId="0" xfId="1" applyNumberFormat="1" applyFill="1" applyAlignment="1">
      <alignment horizontal="center" vertical="top"/>
    </xf>
    <xf numFmtId="1" fontId="2" fillId="0" borderId="0" xfId="1" applyNumberFormat="1" applyAlignment="1">
      <alignment horizontal="center" vertical="top"/>
    </xf>
    <xf numFmtId="0" fontId="4" fillId="3" borderId="0" xfId="1" applyFont="1" applyFill="1" applyAlignment="1">
      <alignment vertical="top"/>
    </xf>
    <xf numFmtId="2" fontId="5" fillId="0" borderId="0" xfId="1" applyNumberFormat="1" applyFont="1" applyAlignment="1">
      <alignment horizontal="center" wrapText="1"/>
    </xf>
    <xf numFmtId="2" fontId="2" fillId="0" borderId="1" xfId="1" applyNumberFormat="1" applyBorder="1" applyAlignment="1">
      <alignment horizontal="right" vertical="top"/>
    </xf>
    <xf numFmtId="2" fontId="2" fillId="0" borderId="1" xfId="1" applyNumberFormat="1" applyBorder="1" applyAlignment="1">
      <alignment horizontal="center" vertical="top"/>
    </xf>
    <xf numFmtId="169" fontId="2" fillId="0" borderId="0" xfId="1" applyNumberFormat="1" applyAlignment="1">
      <alignment horizontal="right" vertical="top"/>
    </xf>
    <xf numFmtId="173" fontId="2" fillId="0" borderId="0" xfId="1" applyNumberFormat="1" applyAlignment="1">
      <alignment horizontal="center" vertical="top"/>
    </xf>
    <xf numFmtId="1" fontId="3" fillId="0" borderId="0" xfId="1" applyNumberFormat="1" applyFont="1" applyAlignment="1">
      <alignment vertical="top"/>
    </xf>
    <xf numFmtId="1" fontId="4" fillId="0" borderId="0" xfId="1" applyNumberFormat="1" applyFont="1" applyAlignment="1">
      <alignment horizontal="center" vertical="top"/>
    </xf>
    <xf numFmtId="169" fontId="4" fillId="0" borderId="0" xfId="1" applyNumberFormat="1" applyFont="1" applyAlignment="1">
      <alignment horizontal="center" vertical="top"/>
    </xf>
    <xf numFmtId="1" fontId="2" fillId="0" borderId="0" xfId="1" applyNumberFormat="1" applyAlignment="1">
      <alignment vertical="top"/>
    </xf>
    <xf numFmtId="0" fontId="2" fillId="3" borderId="0" xfId="1" applyFill="1" applyAlignment="1">
      <alignment vertical="top"/>
    </xf>
    <xf numFmtId="0" fontId="5" fillId="3" borderId="0" xfId="1" applyFont="1" applyFill="1" applyAlignment="1">
      <alignment horizontal="center"/>
    </xf>
    <xf numFmtId="169" fontId="2" fillId="3" borderId="0" xfId="1" applyNumberFormat="1" applyFill="1" applyAlignment="1">
      <alignment vertical="top"/>
    </xf>
    <xf numFmtId="0" fontId="2" fillId="3" borderId="0" xfId="1" applyFill="1" applyAlignment="1">
      <alignment horizontal="left" vertical="top"/>
    </xf>
    <xf numFmtId="0" fontId="2" fillId="3" borderId="0" xfId="1" applyFill="1" applyAlignment="1">
      <alignment horizontal="center" vertical="top"/>
    </xf>
    <xf numFmtId="0" fontId="5" fillId="8" borderId="0" xfId="1" applyFont="1" applyFill="1" applyAlignment="1">
      <alignment horizontal="center"/>
    </xf>
    <xf numFmtId="0" fontId="2" fillId="8" borderId="0" xfId="1" applyFill="1" applyAlignment="1">
      <alignment horizontal="left" vertical="top"/>
    </xf>
    <xf numFmtId="0" fontId="2" fillId="8" borderId="0" xfId="1" applyFill="1" applyAlignment="1">
      <alignment horizontal="center" vertical="top"/>
    </xf>
    <xf numFmtId="2" fontId="3" fillId="0" borderId="0" xfId="1" applyNumberFormat="1" applyFont="1" applyAlignment="1">
      <alignment horizontal="center" vertical="top"/>
    </xf>
    <xf numFmtId="2" fontId="2" fillId="8" borderId="0" xfId="2" applyNumberFormat="1" applyFont="1" applyFill="1"/>
    <xf numFmtId="0" fontId="5" fillId="8" borderId="0" xfId="2" applyFont="1" applyFill="1" applyAlignment="1">
      <alignment vertical="top"/>
    </xf>
    <xf numFmtId="0" fontId="2" fillId="8" borderId="0" xfId="2" applyFont="1" applyFill="1"/>
    <xf numFmtId="0" fontId="3" fillId="8" borderId="0" xfId="2" applyFont="1" applyFill="1"/>
    <xf numFmtId="0" fontId="5" fillId="8" borderId="0" xfId="2" applyFont="1" applyFill="1"/>
    <xf numFmtId="2" fontId="5" fillId="8" borderId="0" xfId="2" applyNumberFormat="1" applyFont="1" applyFill="1" applyAlignment="1">
      <alignment horizontal="center"/>
    </xf>
    <xf numFmtId="2" fontId="5" fillId="8" borderId="0" xfId="2" applyNumberFormat="1" applyFont="1" applyFill="1"/>
    <xf numFmtId="0" fontId="2" fillId="8" borderId="0" xfId="2" applyFont="1" applyFill="1" applyAlignment="1">
      <alignment horizontal="left"/>
    </xf>
    <xf numFmtId="0" fontId="5" fillId="8" borderId="0" xfId="1" applyFont="1" applyFill="1" applyAlignment="1">
      <alignment horizontal="center" vertical="top"/>
    </xf>
    <xf numFmtId="0" fontId="5" fillId="8" borderId="0" xfId="2" applyFont="1" applyFill="1" applyAlignment="1">
      <alignment horizontal="center"/>
    </xf>
    <xf numFmtId="2" fontId="5" fillId="0" borderId="0" xfId="2" applyNumberFormat="1" applyFont="1" applyAlignment="1">
      <alignment horizontal="center"/>
    </xf>
    <xf numFmtId="0" fontId="2" fillId="0" borderId="0" xfId="2" applyFont="1" applyAlignment="1">
      <alignment horizontal="left"/>
    </xf>
    <xf numFmtId="2" fontId="2" fillId="0" borderId="3" xfId="2" applyNumberFormat="1" applyFont="1" applyBorder="1"/>
    <xf numFmtId="0" fontId="4" fillId="8" borderId="0" xfId="1" applyFont="1" applyFill="1" applyAlignment="1">
      <alignment horizontal="center" vertical="top"/>
    </xf>
    <xf numFmtId="1" fontId="4" fillId="8" borderId="0" xfId="1" applyNumberFormat="1" applyFont="1" applyFill="1" applyAlignment="1">
      <alignment horizontal="center" vertical="top"/>
    </xf>
    <xf numFmtId="169" fontId="4" fillId="8" borderId="0" xfId="1" applyNumberFormat="1" applyFont="1" applyFill="1" applyAlignment="1">
      <alignment vertical="top"/>
    </xf>
    <xf numFmtId="169" fontId="4" fillId="8" borderId="0" xfId="1" applyNumberFormat="1" applyFont="1" applyFill="1" applyAlignment="1">
      <alignment horizontal="center" vertical="top"/>
    </xf>
    <xf numFmtId="2" fontId="2" fillId="8" borderId="3" xfId="2" applyNumberFormat="1" applyFont="1" applyFill="1" applyBorder="1"/>
    <xf numFmtId="169" fontId="2" fillId="0" borderId="0" xfId="1" applyNumberFormat="1"/>
    <xf numFmtId="2" fontId="2" fillId="0" borderId="0" xfId="2" applyNumberFormat="1" applyFont="1" applyAlignment="1">
      <alignment vertical="center"/>
    </xf>
    <xf numFmtId="0" fontId="2" fillId="0" borderId="0" xfId="2" applyFont="1" applyAlignment="1">
      <alignment horizontal="justify" vertical="top"/>
    </xf>
    <xf numFmtId="2" fontId="5" fillId="0" borderId="0" xfId="2" applyNumberFormat="1" applyFont="1" applyAlignment="1">
      <alignment horizontal="justify"/>
    </xf>
    <xf numFmtId="0" fontId="2" fillId="0" borderId="0" xfId="2" applyFont="1" applyAlignment="1">
      <alignment horizontal="left" vertical="center"/>
    </xf>
    <xf numFmtId="0" fontId="2" fillId="0" borderId="0" xfId="2" applyFont="1" applyAlignment="1">
      <alignment horizontal="center" vertical="center"/>
    </xf>
    <xf numFmtId="0" fontId="5" fillId="0" borderId="0" xfId="2" applyFont="1" applyAlignment="1">
      <alignment horizontal="left" vertical="center"/>
    </xf>
    <xf numFmtId="0" fontId="5" fillId="0" borderId="0" xfId="2" applyFont="1" applyAlignment="1">
      <alignment horizontal="center" vertical="justify"/>
    </xf>
    <xf numFmtId="0" fontId="2" fillId="0" borderId="0" xfId="2" applyFont="1" applyAlignment="1">
      <alignment vertical="center"/>
    </xf>
    <xf numFmtId="0" fontId="2" fillId="0" borderId="0" xfId="2" applyFont="1" applyAlignment="1">
      <alignment horizontal="justify"/>
    </xf>
    <xf numFmtId="0" fontId="5" fillId="0" borderId="0" xfId="2" applyFont="1" applyAlignment="1">
      <alignment vertical="center"/>
    </xf>
    <xf numFmtId="169" fontId="2" fillId="0" borderId="0" xfId="2" applyNumberFormat="1" applyFont="1" applyAlignment="1">
      <alignment vertical="center"/>
    </xf>
    <xf numFmtId="2" fontId="5" fillId="0" borderId="0" xfId="2" applyNumberFormat="1" applyFont="1" applyAlignment="1">
      <alignment horizontal="center" vertical="center"/>
    </xf>
    <xf numFmtId="2" fontId="5" fillId="0" borderId="0" xfId="2" applyNumberFormat="1" applyFont="1" applyAlignment="1">
      <alignment vertical="center"/>
    </xf>
    <xf numFmtId="169" fontId="5" fillId="0" borderId="0" xfId="2" applyNumberFormat="1" applyFont="1" applyAlignment="1">
      <alignment vertical="center"/>
    </xf>
    <xf numFmtId="0" fontId="5" fillId="0" borderId="0" xfId="2" applyFont="1" applyAlignment="1">
      <alignment horizontal="center" vertical="center"/>
    </xf>
    <xf numFmtId="0" fontId="5" fillId="0" borderId="0" xfId="2" applyFont="1" applyAlignment="1">
      <alignment horizontal="justify" vertical="top"/>
    </xf>
    <xf numFmtId="0" fontId="122" fillId="0" borderId="0" xfId="1" applyFont="1" applyAlignment="1">
      <alignment horizontal="left" vertical="top"/>
    </xf>
    <xf numFmtId="0" fontId="123" fillId="0" borderId="0" xfId="1" applyFont="1" applyAlignment="1">
      <alignment horizontal="left" vertical="top"/>
    </xf>
    <xf numFmtId="2" fontId="122" fillId="0" borderId="0" xfId="1" applyNumberFormat="1" applyFont="1" applyAlignment="1">
      <alignment horizontal="left" vertical="top"/>
    </xf>
    <xf numFmtId="0" fontId="124" fillId="0" borderId="0" xfId="1" applyFont="1" applyAlignment="1">
      <alignment horizontal="left" vertical="top"/>
    </xf>
    <xf numFmtId="2" fontId="123" fillId="0" borderId="0" xfId="1" applyNumberFormat="1" applyFont="1" applyAlignment="1">
      <alignment horizontal="left" vertical="top"/>
    </xf>
    <xf numFmtId="0" fontId="123" fillId="0" borderId="1" xfId="1" applyFont="1" applyBorder="1" applyAlignment="1">
      <alignment horizontal="left" vertical="top"/>
    </xf>
    <xf numFmtId="2" fontId="123" fillId="0" borderId="1" xfId="1" applyNumberFormat="1" applyFont="1" applyBorder="1" applyAlignment="1">
      <alignment horizontal="left" vertical="top"/>
    </xf>
    <xf numFmtId="0" fontId="122" fillId="0" borderId="1" xfId="1" applyFont="1" applyBorder="1" applyAlignment="1">
      <alignment horizontal="left" vertical="top"/>
    </xf>
    <xf numFmtId="0" fontId="122" fillId="0" borderId="5" xfId="1" applyFont="1" applyBorder="1" applyAlignment="1">
      <alignment horizontal="left" vertical="top"/>
    </xf>
    <xf numFmtId="0" fontId="123" fillId="0" borderId="0" xfId="1" applyFont="1" applyAlignment="1">
      <alignment horizontal="left" vertical="top" wrapText="1"/>
    </xf>
    <xf numFmtId="2" fontId="122" fillId="0" borderId="1" xfId="1" applyNumberFormat="1" applyFont="1" applyBorder="1" applyAlignment="1">
      <alignment horizontal="left" vertical="top"/>
    </xf>
    <xf numFmtId="2" fontId="125" fillId="0" borderId="0" xfId="1" applyNumberFormat="1" applyFont="1" applyAlignment="1">
      <alignment horizontal="left" vertical="top"/>
    </xf>
    <xf numFmtId="2" fontId="126" fillId="0" borderId="0" xfId="1" applyNumberFormat="1" applyFont="1" applyAlignment="1">
      <alignment horizontal="left" vertical="top"/>
    </xf>
    <xf numFmtId="0" fontId="123" fillId="0" borderId="0" xfId="1" applyFont="1" applyAlignment="1">
      <alignment horizontal="right" vertical="top"/>
    </xf>
    <xf numFmtId="0" fontId="123" fillId="0" borderId="0" xfId="19" applyFont="1" applyAlignment="1">
      <alignment horizontal="left" vertical="top"/>
    </xf>
    <xf numFmtId="2" fontId="123" fillId="0" borderId="0" xfId="19" applyNumberFormat="1" applyFont="1" applyAlignment="1">
      <alignment horizontal="left" vertical="top"/>
    </xf>
    <xf numFmtId="2" fontId="122" fillId="0" borderId="0" xfId="19" applyNumberFormat="1" applyFont="1" applyAlignment="1">
      <alignment horizontal="left" vertical="top"/>
    </xf>
    <xf numFmtId="0" fontId="122" fillId="0" borderId="0" xfId="19" applyFont="1" applyAlignment="1">
      <alignment horizontal="left" vertical="top"/>
    </xf>
    <xf numFmtId="2" fontId="122" fillId="0" borderId="0" xfId="19" applyNumberFormat="1" applyFont="1" applyAlignment="1">
      <alignment horizontal="left" vertical="top" wrapText="1"/>
    </xf>
    <xf numFmtId="165" fontId="127" fillId="0" borderId="0" xfId="20" applyNumberFormat="1" applyFont="1" applyAlignment="1">
      <alignment horizontal="left" vertical="top" wrapText="1"/>
    </xf>
    <xf numFmtId="169" fontId="123" fillId="0" borderId="0" xfId="1" applyNumberFormat="1" applyFont="1" applyAlignment="1">
      <alignment horizontal="left" vertical="top"/>
    </xf>
    <xf numFmtId="0" fontId="128" fillId="0" borderId="0" xfId="1" applyFont="1" applyAlignment="1">
      <alignment horizontal="left" vertical="top"/>
    </xf>
    <xf numFmtId="0" fontId="125" fillId="0" borderId="0" xfId="1" applyFont="1" applyAlignment="1">
      <alignment horizontal="left" vertical="top"/>
    </xf>
    <xf numFmtId="0" fontId="126" fillId="0" borderId="0" xfId="1" applyFont="1" applyAlignment="1">
      <alignment horizontal="left" vertical="top"/>
    </xf>
    <xf numFmtId="2" fontId="123" fillId="0" borderId="0" xfId="1" applyNumberFormat="1" applyFont="1" applyAlignment="1">
      <alignment horizontal="left" vertical="top" wrapText="1"/>
    </xf>
    <xf numFmtId="173" fontId="123" fillId="0" borderId="0" xfId="1" applyNumberFormat="1" applyFont="1" applyAlignment="1">
      <alignment horizontal="left" vertical="top"/>
    </xf>
    <xf numFmtId="164" fontId="123" fillId="0" borderId="0" xfId="21" applyFont="1" applyAlignment="1">
      <alignment horizontal="left" vertical="top"/>
    </xf>
    <xf numFmtId="0" fontId="129" fillId="0" borderId="0" xfId="1" applyFont="1" applyAlignment="1">
      <alignment horizontal="left" vertical="top" wrapText="1"/>
    </xf>
    <xf numFmtId="2" fontId="122" fillId="0" borderId="5" xfId="1" applyNumberFormat="1" applyFont="1" applyBorder="1" applyAlignment="1">
      <alignment horizontal="left" vertical="top"/>
    </xf>
    <xf numFmtId="10" fontId="123" fillId="0" borderId="0" xfId="1" applyNumberFormat="1" applyFont="1" applyAlignment="1">
      <alignment horizontal="left" vertical="top"/>
    </xf>
    <xf numFmtId="9" fontId="123" fillId="0" borderId="0" xfId="1" applyNumberFormat="1" applyFont="1" applyAlignment="1">
      <alignment horizontal="left" vertical="top"/>
    </xf>
    <xf numFmtId="0" fontId="131" fillId="0" borderId="0" xfId="1" applyFont="1" applyAlignment="1">
      <alignment horizontal="left" vertical="top"/>
    </xf>
    <xf numFmtId="0" fontId="131" fillId="0" borderId="0" xfId="1" applyFont="1" applyAlignment="1">
      <alignment horizontal="center" vertical="top"/>
    </xf>
    <xf numFmtId="1" fontId="123" fillId="0" borderId="0" xfId="1" applyNumberFormat="1" applyFont="1" applyAlignment="1">
      <alignment horizontal="left" vertical="top"/>
    </xf>
    <xf numFmtId="0" fontId="132" fillId="0" borderId="42" xfId="1" applyFont="1" applyBorder="1" applyAlignment="1">
      <alignment horizontal="center"/>
    </xf>
    <xf numFmtId="0" fontId="132" fillId="0" borderId="18" xfId="1" applyFont="1" applyBorder="1" applyAlignment="1">
      <alignment horizontal="center"/>
    </xf>
    <xf numFmtId="0" fontId="132" fillId="0" borderId="43" xfId="1" applyFont="1" applyBorder="1" applyAlignment="1">
      <alignment horizontal="center"/>
    </xf>
    <xf numFmtId="0" fontId="27" fillId="0" borderId="0" xfId="1" applyFont="1"/>
    <xf numFmtId="0" fontId="132" fillId="0" borderId="27" xfId="1" applyFont="1" applyBorder="1" applyAlignment="1">
      <alignment horizontal="center"/>
    </xf>
    <xf numFmtId="0" fontId="132" fillId="0" borderId="0" xfId="1" applyFont="1" applyAlignment="1">
      <alignment horizontal="center"/>
    </xf>
    <xf numFmtId="0" fontId="132" fillId="0" borderId="28" xfId="1" applyFont="1" applyBorder="1" applyAlignment="1">
      <alignment horizontal="center"/>
    </xf>
    <xf numFmtId="0" fontId="133" fillId="0" borderId="27" xfId="1" applyFont="1" applyBorder="1" applyAlignment="1">
      <alignment horizontal="center"/>
    </xf>
    <xf numFmtId="0" fontId="133" fillId="0" borderId="0" xfId="1" applyFont="1" applyAlignment="1">
      <alignment horizontal="center"/>
    </xf>
    <xf numFmtId="0" fontId="133" fillId="0" borderId="28" xfId="1" applyFont="1" applyBorder="1" applyAlignment="1">
      <alignment horizontal="center"/>
    </xf>
    <xf numFmtId="0" fontId="133" fillId="0" borderId="0" xfId="1" applyFont="1" applyAlignment="1">
      <alignment horizontal="right"/>
    </xf>
    <xf numFmtId="0" fontId="134" fillId="0" borderId="27" xfId="1" applyFont="1" applyBorder="1" applyAlignment="1">
      <alignment horizontal="right"/>
    </xf>
    <xf numFmtId="0" fontId="134" fillId="0" borderId="0" xfId="1" applyFont="1" applyAlignment="1">
      <alignment horizontal="right"/>
    </xf>
    <xf numFmtId="0" fontId="134" fillId="0" borderId="0" xfId="1" applyFont="1" applyAlignment="1">
      <alignment horizontal="justify" vertical="top" wrapText="1"/>
    </xf>
    <xf numFmtId="0" fontId="134" fillId="0" borderId="28" xfId="1" applyFont="1" applyBorder="1" applyAlignment="1">
      <alignment horizontal="justify" vertical="top" wrapText="1"/>
    </xf>
    <xf numFmtId="0" fontId="134" fillId="0" borderId="0" xfId="1" applyFont="1"/>
    <xf numFmtId="0" fontId="134" fillId="0" borderId="0" xfId="1" applyFont="1" applyAlignment="1">
      <alignment horizontal="center"/>
    </xf>
    <xf numFmtId="0" fontId="134" fillId="0" borderId="28" xfId="1" applyFont="1" applyBorder="1" applyAlignment="1">
      <alignment horizontal="center"/>
    </xf>
    <xf numFmtId="2" fontId="134" fillId="0" borderId="0" xfId="1" applyNumberFormat="1" applyFont="1" applyAlignment="1">
      <alignment horizontal="center" vertical="top"/>
    </xf>
    <xf numFmtId="2" fontId="134" fillId="0" borderId="28" xfId="1" applyNumberFormat="1" applyFont="1" applyBorder="1" applyAlignment="1">
      <alignment horizontal="center" vertical="top"/>
    </xf>
    <xf numFmtId="2" fontId="134" fillId="0" borderId="0" xfId="1" applyNumberFormat="1" applyFont="1" applyAlignment="1">
      <alignment horizontal="left" vertical="top"/>
    </xf>
    <xf numFmtId="2" fontId="134" fillId="0" borderId="0" xfId="1" applyNumberFormat="1" applyFont="1" applyAlignment="1">
      <alignment vertical="top"/>
    </xf>
    <xf numFmtId="2" fontId="134" fillId="0" borderId="28" xfId="1" applyNumberFormat="1" applyFont="1" applyBorder="1" applyAlignment="1">
      <alignment vertical="top"/>
    </xf>
    <xf numFmtId="0" fontId="134" fillId="0" borderId="27" xfId="1" applyFont="1" applyBorder="1" applyAlignment="1">
      <alignment horizontal="center"/>
    </xf>
    <xf numFmtId="0" fontId="135" fillId="0" borderId="27" xfId="1" applyFont="1" applyBorder="1" applyAlignment="1">
      <alignment horizontal="center"/>
    </xf>
    <xf numFmtId="0" fontId="135" fillId="0" borderId="0" xfId="1" applyFont="1" applyAlignment="1">
      <alignment horizontal="center"/>
    </xf>
    <xf numFmtId="0" fontId="135" fillId="0" borderId="28" xfId="1" applyFont="1" applyBorder="1" applyAlignment="1">
      <alignment horizontal="center"/>
    </xf>
    <xf numFmtId="0" fontId="27" fillId="0" borderId="27" xfId="1" applyFont="1" applyBorder="1"/>
    <xf numFmtId="0" fontId="27" fillId="0" borderId="28" xfId="1" applyFont="1" applyBorder="1"/>
    <xf numFmtId="0" fontId="27" fillId="0" borderId="36" xfId="1" applyFont="1" applyBorder="1"/>
    <xf numFmtId="0" fontId="27" fillId="0" borderId="30" xfId="1" applyFont="1" applyBorder="1"/>
    <xf numFmtId="0" fontId="27" fillId="0" borderId="44" xfId="1" applyFont="1" applyBorder="1"/>
    <xf numFmtId="0" fontId="14" fillId="0" borderId="0" xfId="1" applyFont="1" applyAlignment="1">
      <alignment horizontal="justify" vertical="top" wrapText="1"/>
    </xf>
    <xf numFmtId="0" fontId="14" fillId="0" borderId="0" xfId="1" applyFont="1" applyAlignment="1">
      <alignment horizontal="center" vertical="top"/>
    </xf>
    <xf numFmtId="0" fontId="132" fillId="0" borderId="0" xfId="1" applyFont="1" applyAlignment="1">
      <alignment horizontal="center" vertical="top" wrapText="1"/>
    </xf>
    <xf numFmtId="0" fontId="11" fillId="0" borderId="0" xfId="1" applyFont="1" applyAlignment="1">
      <alignment horizontal="center" vertical="top"/>
    </xf>
    <xf numFmtId="0" fontId="26" fillId="0" borderId="0" xfId="1" applyFont="1" applyAlignment="1">
      <alignment horizontal="center" vertical="top"/>
    </xf>
    <xf numFmtId="2" fontId="21" fillId="0" borderId="0" xfId="1" applyNumberFormat="1" applyFont="1" applyAlignment="1">
      <alignment horizontal="center" vertical="center"/>
    </xf>
    <xf numFmtId="0" fontId="53" fillId="0" borderId="14" xfId="1" applyFont="1" applyBorder="1"/>
    <xf numFmtId="0" fontId="21" fillId="0" borderId="11" xfId="1" applyFont="1" applyBorder="1"/>
    <xf numFmtId="0" fontId="21" fillId="0" borderId="0" xfId="1" applyFont="1" applyAlignment="1">
      <alignment horizontal="center" vertical="center"/>
    </xf>
    <xf numFmtId="0" fontId="21" fillId="0" borderId="13" xfId="1" applyFont="1" applyBorder="1"/>
    <xf numFmtId="0" fontId="21" fillId="0" borderId="61" xfId="1" applyFont="1" applyBorder="1"/>
    <xf numFmtId="0" fontId="21" fillId="0" borderId="1" xfId="1" applyFont="1" applyBorder="1"/>
    <xf numFmtId="0" fontId="21" fillId="0" borderId="14" xfId="1" applyFont="1" applyBorder="1"/>
    <xf numFmtId="0" fontId="21" fillId="0" borderId="62" xfId="1" applyFont="1" applyBorder="1"/>
    <xf numFmtId="0" fontId="21" fillId="0" borderId="63" xfId="1" applyFont="1" applyBorder="1"/>
    <xf numFmtId="0" fontId="21" fillId="0" borderId="11" xfId="1" applyFont="1" applyBorder="1" applyAlignment="1">
      <alignment horizontal="center" vertical="center"/>
    </xf>
    <xf numFmtId="0" fontId="21" fillId="0" borderId="13" xfId="1" applyFont="1" applyBorder="1" applyAlignment="1">
      <alignment horizontal="center" vertical="center"/>
    </xf>
    <xf numFmtId="0" fontId="21" fillId="0" borderId="1" xfId="1" applyFont="1" applyBorder="1" applyAlignment="1">
      <alignment horizontal="center" vertical="center"/>
    </xf>
    <xf numFmtId="0" fontId="21" fillId="0" borderId="105" xfId="1" applyFont="1" applyBorder="1"/>
    <xf numFmtId="0" fontId="21" fillId="0" borderId="5" xfId="1" applyFont="1" applyBorder="1" applyAlignment="1">
      <alignment horizontal="center" vertical="center"/>
    </xf>
    <xf numFmtId="169" fontId="21" fillId="0" borderId="11" xfId="1" applyNumberFormat="1" applyFont="1" applyBorder="1" applyAlignment="1">
      <alignment vertical="center"/>
    </xf>
    <xf numFmtId="169" fontId="21" fillId="0" borderId="0" xfId="1" applyNumberFormat="1" applyFont="1" applyAlignment="1">
      <alignment vertical="center"/>
    </xf>
    <xf numFmtId="169" fontId="21" fillId="0" borderId="13" xfId="1" applyNumberFormat="1" applyFont="1" applyBorder="1" applyAlignment="1">
      <alignment vertical="center"/>
    </xf>
    <xf numFmtId="169" fontId="21" fillId="0" borderId="1" xfId="1" applyNumberFormat="1" applyFont="1" applyBorder="1" applyAlignment="1">
      <alignment vertical="center"/>
    </xf>
    <xf numFmtId="0" fontId="2" fillId="4" borderId="6" xfId="1" applyFill="1" applyBorder="1"/>
    <xf numFmtId="0" fontId="21" fillId="0" borderId="0" xfId="1" applyFont="1" applyAlignment="1">
      <alignment vertical="center"/>
    </xf>
    <xf numFmtId="0" fontId="21" fillId="0" borderId="0" xfId="1" applyFont="1" applyAlignment="1">
      <alignment vertical="center" textRotation="90"/>
    </xf>
    <xf numFmtId="0" fontId="21" fillId="0" borderId="64" xfId="1" applyFont="1" applyBorder="1"/>
    <xf numFmtId="0" fontId="21" fillId="0" borderId="65" xfId="1" applyFont="1" applyBorder="1"/>
    <xf numFmtId="0" fontId="139" fillId="0" borderId="0" xfId="1" applyFont="1"/>
    <xf numFmtId="0" fontId="140" fillId="0" borderId="0" xfId="1" applyFont="1" applyAlignment="1">
      <alignment vertical="center" textRotation="90"/>
    </xf>
    <xf numFmtId="0" fontId="140" fillId="0" borderId="64" xfId="1" applyFont="1" applyBorder="1" applyAlignment="1">
      <alignment vertical="center" textRotation="90"/>
    </xf>
    <xf numFmtId="0" fontId="140" fillId="0" borderId="65" xfId="1" applyFont="1" applyBorder="1" applyAlignment="1">
      <alignment vertical="center" textRotation="90"/>
    </xf>
    <xf numFmtId="0" fontId="140" fillId="0" borderId="0" xfId="1" applyFont="1"/>
    <xf numFmtId="2" fontId="140" fillId="0" borderId="0" xfId="1" applyNumberFormat="1" applyFont="1" applyAlignment="1">
      <alignment vertical="center"/>
    </xf>
    <xf numFmtId="0" fontId="140" fillId="0" borderId="64" xfId="1" applyFont="1" applyBorder="1"/>
    <xf numFmtId="0" fontId="140" fillId="0" borderId="65" xfId="1" applyFont="1" applyBorder="1"/>
    <xf numFmtId="2" fontId="21" fillId="0" borderId="13" xfId="1" applyNumberFormat="1" applyFont="1" applyBorder="1" applyAlignment="1">
      <alignment horizontal="center" vertical="center"/>
    </xf>
    <xf numFmtId="0" fontId="21" fillId="0" borderId="12" xfId="1" applyFont="1" applyBorder="1" applyAlignment="1">
      <alignment horizontal="center" vertical="center"/>
    </xf>
    <xf numFmtId="0" fontId="21" fillId="0" borderId="13" xfId="1" applyFont="1" applyBorder="1" applyAlignment="1">
      <alignment vertical="center" textRotation="90"/>
    </xf>
    <xf numFmtId="0" fontId="2" fillId="0" borderId="5" xfId="1" applyBorder="1" applyAlignment="1">
      <alignment vertical="center" textRotation="90"/>
    </xf>
    <xf numFmtId="0" fontId="2" fillId="0" borderId="1" xfId="1" applyBorder="1" applyAlignment="1">
      <alignment vertical="center" textRotation="90"/>
    </xf>
    <xf numFmtId="0" fontId="21" fillId="0" borderId="7" xfId="1" applyFont="1" applyBorder="1"/>
    <xf numFmtId="0" fontId="21" fillId="0" borderId="13" xfId="1" applyFont="1" applyBorder="1" applyAlignment="1">
      <alignment vertical="center"/>
    </xf>
    <xf numFmtId="0" fontId="21" fillId="0" borderId="1" xfId="1" applyFont="1" applyBorder="1" applyAlignment="1">
      <alignment vertical="center"/>
    </xf>
    <xf numFmtId="0" fontId="141" fillId="0" borderId="3" xfId="1" applyFont="1" applyBorder="1" applyAlignment="1">
      <alignment horizontal="left" vertical="top" wrapText="1"/>
    </xf>
    <xf numFmtId="0" fontId="141" fillId="0" borderId="0" xfId="1" applyFont="1" applyAlignment="1">
      <alignment horizontal="left" vertical="top" wrapText="1"/>
    </xf>
    <xf numFmtId="0" fontId="14" fillId="0" borderId="0" xfId="1" applyFont="1" applyAlignment="1">
      <alignment horizontal="left" vertical="top"/>
    </xf>
    <xf numFmtId="2" fontId="142" fillId="0" borderId="0" xfId="1" applyNumberFormat="1" applyFont="1" applyAlignment="1">
      <alignment vertical="center"/>
    </xf>
    <xf numFmtId="169" fontId="0" fillId="0" borderId="0" xfId="0" applyNumberFormat="1" applyAlignment="1">
      <alignment vertical="center"/>
    </xf>
    <xf numFmtId="169" fontId="0" fillId="0" borderId="3" xfId="0" applyNumberFormat="1" applyBorder="1"/>
    <xf numFmtId="0" fontId="145" fillId="0" borderId="0" xfId="0" applyFont="1"/>
    <xf numFmtId="0" fontId="140" fillId="0" borderId="0" xfId="0" applyFont="1"/>
    <xf numFmtId="0" fontId="140" fillId="0" borderId="14" xfId="0" applyFont="1" applyBorder="1"/>
    <xf numFmtId="0" fontId="140" fillId="0" borderId="1" xfId="0" applyFont="1" applyBorder="1"/>
    <xf numFmtId="0" fontId="140" fillId="0" borderId="3" xfId="0" applyFont="1" applyBorder="1"/>
    <xf numFmtId="0" fontId="140" fillId="0" borderId="13" xfId="0" applyFont="1" applyBorder="1"/>
    <xf numFmtId="0" fontId="140" fillId="0" borderId="142" xfId="0" applyFont="1" applyBorder="1"/>
    <xf numFmtId="0" fontId="140" fillId="0" borderId="143" xfId="0" applyFont="1" applyBorder="1"/>
    <xf numFmtId="0" fontId="140" fillId="0" borderId="11" xfId="0" applyFont="1" applyBorder="1"/>
    <xf numFmtId="0" fontId="140" fillId="0" borderId="10" xfId="0" applyFont="1" applyBorder="1"/>
    <xf numFmtId="0" fontId="140" fillId="0" borderId="144" xfId="0" applyFont="1" applyBorder="1"/>
    <xf numFmtId="0" fontId="140" fillId="0" borderId="88" xfId="0" applyFont="1" applyBorder="1"/>
    <xf numFmtId="0" fontId="140" fillId="0" borderId="145" xfId="0" applyFont="1" applyBorder="1"/>
    <xf numFmtId="0" fontId="140" fillId="0" borderId="0" xfId="0" applyFont="1" applyAlignment="1">
      <alignment vertical="center"/>
    </xf>
    <xf numFmtId="0" fontId="140" fillId="0" borderId="6" xfId="0" applyFont="1" applyBorder="1"/>
    <xf numFmtId="0" fontId="140" fillId="0" borderId="7" xfId="0" applyFont="1" applyBorder="1"/>
    <xf numFmtId="0" fontId="140" fillId="0" borderId="0" xfId="0" applyFont="1" applyAlignment="1">
      <alignment textRotation="45"/>
    </xf>
    <xf numFmtId="0" fontId="120" fillId="9" borderId="15" xfId="0" applyFont="1" applyFill="1" applyBorder="1"/>
    <xf numFmtId="0" fontId="146" fillId="0" borderId="0" xfId="0" applyFont="1" applyAlignment="1">
      <alignment horizontal="center" vertical="top"/>
    </xf>
    <xf numFmtId="0" fontId="120" fillId="0" borderId="0" xfId="0" applyFont="1"/>
    <xf numFmtId="0" fontId="120" fillId="0" borderId="1" xfId="0" applyFont="1" applyBorder="1"/>
    <xf numFmtId="0" fontId="120" fillId="11" borderId="0" xfId="0" applyFont="1" applyFill="1"/>
    <xf numFmtId="169" fontId="120" fillId="0" borderId="0" xfId="0" applyNumberFormat="1" applyFont="1" applyAlignment="1">
      <alignment vertical="center"/>
    </xf>
    <xf numFmtId="0" fontId="120" fillId="0" borderId="13" xfId="0" applyFont="1" applyBorder="1"/>
    <xf numFmtId="0" fontId="120" fillId="0" borderId="32" xfId="0" applyFont="1" applyBorder="1"/>
    <xf numFmtId="0" fontId="120" fillId="0" borderId="31" xfId="0" applyFont="1" applyBorder="1"/>
    <xf numFmtId="0" fontId="120" fillId="0" borderId="5" xfId="0" applyFont="1" applyBorder="1"/>
    <xf numFmtId="0" fontId="120" fillId="0" borderId="12" xfId="0" applyFont="1" applyBorder="1"/>
    <xf numFmtId="0" fontId="120" fillId="0" borderId="147" xfId="0" applyFont="1" applyBorder="1"/>
    <xf numFmtId="0" fontId="120" fillId="0" borderId="54" xfId="0" applyFont="1" applyBorder="1"/>
    <xf numFmtId="0" fontId="120" fillId="0" borderId="146" xfId="0" applyFont="1" applyBorder="1"/>
    <xf numFmtId="0" fontId="120" fillId="0" borderId="53" xfId="0" applyFont="1" applyBorder="1"/>
    <xf numFmtId="0" fontId="120" fillId="0" borderId="28" xfId="0" applyFont="1" applyBorder="1"/>
    <xf numFmtId="0" fontId="120" fillId="0" borderId="14" xfId="0" applyFont="1" applyBorder="1"/>
    <xf numFmtId="0" fontId="120" fillId="0" borderId="11" xfId="0" applyFont="1" applyBorder="1"/>
    <xf numFmtId="2" fontId="120" fillId="0" borderId="5" xfId="0" applyNumberFormat="1" applyFont="1" applyBorder="1" applyAlignment="1">
      <alignment vertical="center" textRotation="90"/>
    </xf>
    <xf numFmtId="2" fontId="120" fillId="0" borderId="0" xfId="0" applyNumberFormat="1" applyFont="1" applyAlignment="1">
      <alignment vertical="center" textRotation="90"/>
    </xf>
    <xf numFmtId="0" fontId="120" fillId="0" borderId="10" xfId="0" applyFont="1" applyBorder="1"/>
    <xf numFmtId="0" fontId="120" fillId="0" borderId="7" xfId="0" applyFont="1" applyBorder="1"/>
    <xf numFmtId="0" fontId="140" fillId="0" borderId="0" xfId="0" applyFont="1" applyAlignment="1">
      <alignment textRotation="1"/>
    </xf>
    <xf numFmtId="0" fontId="120" fillId="0" borderId="4" xfId="0" applyFont="1" applyBorder="1"/>
    <xf numFmtId="0" fontId="120" fillId="0" borderId="52" xfId="0" applyFont="1" applyBorder="1"/>
    <xf numFmtId="0" fontId="120" fillId="0" borderId="39" xfId="0" applyFont="1" applyBorder="1"/>
    <xf numFmtId="0" fontId="120" fillId="0" borderId="40" xfId="0" applyFont="1" applyBorder="1"/>
    <xf numFmtId="2" fontId="120" fillId="0" borderId="13" xfId="0" applyNumberFormat="1" applyFont="1" applyBorder="1" applyAlignment="1">
      <alignment vertical="center" textRotation="90"/>
    </xf>
    <xf numFmtId="2" fontId="120" fillId="0" borderId="0" xfId="0" applyNumberFormat="1" applyFont="1" applyAlignment="1">
      <alignment vertical="center" textRotation="91"/>
    </xf>
    <xf numFmtId="0" fontId="140" fillId="0" borderId="18" xfId="0" applyFont="1" applyBorder="1"/>
    <xf numFmtId="2" fontId="140" fillId="0" borderId="0" xfId="0" applyNumberFormat="1" applyFont="1" applyAlignment="1">
      <alignment vertical="center" textRotation="90"/>
    </xf>
    <xf numFmtId="0" fontId="140" fillId="0" borderId="28" xfId="0" applyFont="1" applyBorder="1"/>
    <xf numFmtId="0" fontId="120" fillId="0" borderId="30" xfId="0" applyFont="1" applyBorder="1"/>
    <xf numFmtId="0" fontId="140" fillId="0" borderId="30" xfId="0" applyFont="1" applyBorder="1"/>
    <xf numFmtId="0" fontId="120" fillId="0" borderId="18" xfId="0" applyFont="1" applyBorder="1"/>
    <xf numFmtId="0" fontId="140" fillId="0" borderId="54" xfId="0" applyFont="1" applyBorder="1"/>
    <xf numFmtId="0" fontId="140" fillId="0" borderId="53" xfId="0" applyFont="1" applyBorder="1"/>
    <xf numFmtId="0" fontId="120" fillId="0" borderId="42" xfId="0" applyFont="1" applyBorder="1"/>
    <xf numFmtId="0" fontId="140" fillId="0" borderId="43" xfId="0" applyFont="1" applyBorder="1"/>
    <xf numFmtId="0" fontId="120" fillId="0" borderId="36" xfId="0" applyFont="1" applyBorder="1"/>
    <xf numFmtId="0" fontId="120" fillId="0" borderId="44" xfId="0" applyFont="1" applyBorder="1"/>
    <xf numFmtId="0" fontId="140" fillId="0" borderId="5" xfId="0" applyFont="1" applyBorder="1"/>
    <xf numFmtId="0" fontId="147" fillId="0" borderId="0" xfId="0" applyFont="1"/>
    <xf numFmtId="2" fontId="120" fillId="0" borderId="0" xfId="0" applyNumberFormat="1" applyFont="1" applyAlignment="1">
      <alignment horizontal="center" vertical="center" textRotation="90"/>
    </xf>
    <xf numFmtId="0" fontId="145" fillId="0" borderId="0" xfId="0" applyFont="1" applyAlignment="1">
      <alignment horizontal="center" vertical="top"/>
    </xf>
    <xf numFmtId="0" fontId="145" fillId="0" borderId="0" xfId="0" applyFont="1" applyAlignment="1">
      <alignment horizontal="left" vertical="top"/>
    </xf>
    <xf numFmtId="0" fontId="140" fillId="0" borderId="0" xfId="0" applyFont="1" applyAlignment="1">
      <alignment vertical="top"/>
    </xf>
    <xf numFmtId="0" fontId="11" fillId="0" borderId="0" xfId="1" applyFont="1" applyAlignment="1">
      <alignment horizontal="left" vertical="top"/>
    </xf>
    <xf numFmtId="0" fontId="21" fillId="0" borderId="3" xfId="1" applyFont="1" applyBorder="1" applyAlignment="1">
      <alignment horizontal="left" vertical="top" wrapText="1"/>
    </xf>
    <xf numFmtId="0" fontId="143" fillId="0" borderId="3" xfId="1" applyFont="1" applyBorder="1" applyAlignment="1">
      <alignment horizontal="left" vertical="top" wrapText="1"/>
    </xf>
    <xf numFmtId="2" fontId="143" fillId="0" borderId="3" xfId="1" applyNumberFormat="1" applyFont="1" applyBorder="1" applyAlignment="1">
      <alignment horizontal="left" vertical="top" wrapText="1"/>
    </xf>
    <xf numFmtId="181" fontId="21" fillId="0" borderId="3" xfId="1" applyNumberFormat="1" applyFont="1" applyBorder="1" applyAlignment="1">
      <alignment horizontal="left" vertical="top" wrapText="1"/>
    </xf>
    <xf numFmtId="2" fontId="21" fillId="0" borderId="3" xfId="1" applyNumberFormat="1" applyFont="1" applyBorder="1" applyAlignment="1">
      <alignment horizontal="left" vertical="top" wrapText="1"/>
    </xf>
    <xf numFmtId="169" fontId="21" fillId="0" borderId="3" xfId="1" applyNumberFormat="1" applyFont="1" applyBorder="1" applyAlignment="1">
      <alignment horizontal="left" vertical="top" wrapText="1"/>
    </xf>
    <xf numFmtId="0" fontId="6" fillId="0" borderId="3" xfId="1" applyFont="1" applyBorder="1" applyAlignment="1">
      <alignment horizontal="left" vertical="top" wrapText="1"/>
    </xf>
    <xf numFmtId="2" fontId="141" fillId="0" borderId="3" xfId="1" applyNumberFormat="1" applyFont="1" applyBorder="1" applyAlignment="1">
      <alignment horizontal="left" vertical="top" wrapText="1"/>
    </xf>
    <xf numFmtId="0" fontId="21" fillId="0" borderId="0" xfId="1" applyFont="1" applyAlignment="1">
      <alignment horizontal="left" vertical="top"/>
    </xf>
    <xf numFmtId="0" fontId="6" fillId="0" borderId="0" xfId="1" applyFont="1" applyAlignment="1">
      <alignment horizontal="left" vertical="top"/>
    </xf>
    <xf numFmtId="181" fontId="6" fillId="0" borderId="0" xfId="1" applyNumberFormat="1" applyFont="1" applyAlignment="1">
      <alignment horizontal="left" vertical="top"/>
    </xf>
    <xf numFmtId="181" fontId="21" fillId="0" borderId="0" xfId="1" applyNumberFormat="1" applyFont="1" applyAlignment="1">
      <alignment horizontal="left" vertical="top"/>
    </xf>
    <xf numFmtId="0" fontId="21" fillId="0" borderId="0" xfId="1" applyFont="1" applyAlignment="1">
      <alignment horizontal="left" vertical="top" wrapText="1"/>
    </xf>
    <xf numFmtId="0" fontId="6" fillId="0" borderId="0" xfId="1" applyFont="1" applyAlignment="1">
      <alignment horizontal="left" vertical="top" wrapText="1"/>
    </xf>
    <xf numFmtId="0" fontId="6" fillId="0" borderId="0" xfId="1" applyFont="1" applyAlignment="1">
      <alignment horizontal="center" vertical="top" wrapText="1"/>
    </xf>
    <xf numFmtId="2" fontId="21" fillId="0" borderId="3" xfId="1" applyNumberFormat="1" applyFont="1" applyBorder="1" applyAlignment="1">
      <alignment horizontal="left" vertical="top"/>
    </xf>
    <xf numFmtId="0" fontId="6" fillId="0" borderId="3" xfId="1" applyFont="1" applyBorder="1" applyAlignment="1">
      <alignment horizontal="left" vertical="top"/>
    </xf>
    <xf numFmtId="0" fontId="21" fillId="0" borderId="3" xfId="1" applyFont="1" applyBorder="1" applyAlignment="1">
      <alignment horizontal="left" vertical="top"/>
    </xf>
    <xf numFmtId="0" fontId="11" fillId="0" borderId="3" xfId="1" applyFont="1" applyBorder="1" applyAlignment="1">
      <alignment horizontal="left" vertical="top"/>
    </xf>
    <xf numFmtId="0" fontId="6" fillId="0" borderId="0" xfId="1" applyFont="1" applyAlignment="1">
      <alignment horizontal="center" vertical="top"/>
    </xf>
    <xf numFmtId="0" fontId="149" fillId="0" borderId="27" xfId="1" applyFont="1" applyBorder="1"/>
    <xf numFmtId="0" fontId="149" fillId="0" borderId="0" xfId="1" applyFont="1"/>
    <xf numFmtId="0" fontId="149" fillId="0" borderId="28" xfId="1" applyFont="1" applyBorder="1"/>
    <xf numFmtId="0" fontId="150" fillId="0" borderId="0" xfId="1" applyFont="1"/>
    <xf numFmtId="0" fontId="34" fillId="0" borderId="1" xfId="1" applyFont="1" applyBorder="1" applyAlignment="1">
      <alignment horizontal="center"/>
    </xf>
    <xf numFmtId="0" fontId="14" fillId="0" borderId="4" xfId="1" applyFont="1" applyBorder="1" applyAlignment="1">
      <alignment horizontal="center" vertical="top" wrapText="1"/>
    </xf>
    <xf numFmtId="0" fontId="14" fillId="0" borderId="12" xfId="1" applyFont="1" applyBorder="1" applyAlignment="1">
      <alignment horizontal="center" vertical="top" wrapText="1"/>
    </xf>
    <xf numFmtId="0" fontId="14" fillId="0" borderId="11" xfId="1" applyFont="1" applyBorder="1" applyAlignment="1">
      <alignment horizontal="center" vertical="top" wrapText="1"/>
    </xf>
    <xf numFmtId="0" fontId="14" fillId="0" borderId="13" xfId="1" applyFont="1" applyBorder="1" applyAlignment="1">
      <alignment horizontal="center" vertical="top" wrapText="1"/>
    </xf>
    <xf numFmtId="0" fontId="14" fillId="0" borderId="7" xfId="1" applyFont="1" applyBorder="1" applyAlignment="1">
      <alignment horizontal="center" vertical="top" wrapText="1"/>
    </xf>
    <xf numFmtId="0" fontId="14" fillId="0" borderId="14" xfId="1" applyFont="1" applyBorder="1" applyAlignment="1">
      <alignment horizontal="center" vertical="top" wrapText="1"/>
    </xf>
    <xf numFmtId="0" fontId="14" fillId="0" borderId="2" xfId="1" applyFont="1" applyBorder="1" applyAlignment="1">
      <alignment horizontal="center" vertical="top" wrapText="1"/>
    </xf>
    <xf numFmtId="0" fontId="14" fillId="0" borderId="10" xfId="1" applyFont="1" applyBorder="1" applyAlignment="1">
      <alignment horizontal="center" vertical="top" wrapText="1"/>
    </xf>
    <xf numFmtId="0" fontId="14" fillId="0" borderId="6" xfId="1" applyFont="1" applyBorder="1" applyAlignment="1">
      <alignment horizontal="center" vertical="top" wrapText="1"/>
    </xf>
    <xf numFmtId="0" fontId="21" fillId="0" borderId="2" xfId="1" applyFont="1" applyBorder="1" applyAlignment="1">
      <alignment horizontal="center" vertical="top" wrapText="1"/>
    </xf>
    <xf numFmtId="0" fontId="21" fillId="0" borderId="10" xfId="1" applyFont="1" applyBorder="1" applyAlignment="1">
      <alignment horizontal="center" vertical="top" wrapText="1"/>
    </xf>
    <xf numFmtId="0" fontId="21" fillId="0" borderId="6" xfId="1" applyFont="1" applyBorder="1" applyAlignment="1">
      <alignment horizontal="center" vertical="top" wrapText="1"/>
    </xf>
    <xf numFmtId="0" fontId="14" fillId="0" borderId="3" xfId="1" applyFont="1" applyBorder="1" applyAlignment="1">
      <alignment horizontal="center" vertical="top" wrapText="1"/>
    </xf>
    <xf numFmtId="0" fontId="11" fillId="0" borderId="3" xfId="1" applyFont="1" applyBorder="1" applyAlignment="1">
      <alignment horizontal="center"/>
    </xf>
    <xf numFmtId="0" fontId="21" fillId="0" borderId="3" xfId="1" applyFont="1" applyBorder="1" applyAlignment="1">
      <alignment horizontal="justify" vertical="top" wrapText="1"/>
    </xf>
    <xf numFmtId="0" fontId="21" fillId="0" borderId="8" xfId="1" applyFont="1" applyBorder="1" applyAlignment="1">
      <alignment horizontal="justify" vertical="top" wrapText="1"/>
    </xf>
    <xf numFmtId="0" fontId="14" fillId="0" borderId="3" xfId="1" applyFont="1" applyBorder="1" applyAlignment="1">
      <alignment horizontal="center" vertical="center"/>
    </xf>
    <xf numFmtId="2" fontId="11" fillId="0" borderId="3" xfId="1" applyNumberFormat="1" applyFont="1" applyBorder="1" applyAlignment="1">
      <alignment horizontal="center" vertical="center"/>
    </xf>
    <xf numFmtId="0" fontId="14" fillId="0" borderId="3" xfId="1" applyFont="1" applyBorder="1" applyAlignment="1">
      <alignment horizontal="justify" vertical="top" wrapText="1"/>
    </xf>
    <xf numFmtId="0" fontId="14" fillId="0" borderId="8" xfId="1" applyFont="1" applyBorder="1" applyAlignment="1">
      <alignment horizontal="justify" vertical="top" wrapText="1"/>
    </xf>
    <xf numFmtId="0" fontId="34" fillId="0" borderId="3" xfId="1" applyFont="1" applyBorder="1" applyAlignment="1">
      <alignment horizontal="center" wrapText="1"/>
    </xf>
    <xf numFmtId="0" fontId="14" fillId="0" borderId="5" xfId="1" applyFont="1" applyBorder="1" applyAlignment="1">
      <alignment horizontal="center" vertical="top" wrapText="1"/>
    </xf>
    <xf numFmtId="0" fontId="14" fillId="0" borderId="0" xfId="1" applyFont="1" applyAlignment="1">
      <alignment horizontal="center" vertical="top" wrapText="1"/>
    </xf>
    <xf numFmtId="0" fontId="14" fillId="0" borderId="1" xfId="1" applyFont="1" applyBorder="1" applyAlignment="1">
      <alignment horizontal="center" vertical="top" wrapText="1"/>
    </xf>
    <xf numFmtId="0" fontId="14" fillId="0" borderId="8" xfId="1" applyFont="1" applyBorder="1" applyAlignment="1">
      <alignment horizontal="center"/>
    </xf>
    <xf numFmtId="0" fontId="14" fillId="0" borderId="15" xfId="1" applyFont="1" applyBorder="1" applyAlignment="1">
      <alignment horizontal="center"/>
    </xf>
    <xf numFmtId="0" fontId="14" fillId="0" borderId="9" xfId="1" applyFont="1" applyBorder="1" applyAlignment="1">
      <alignment horizontal="center"/>
    </xf>
    <xf numFmtId="0" fontId="14" fillId="0" borderId="3" xfId="1" applyFont="1" applyBorder="1" applyAlignment="1">
      <alignment horizontal="center"/>
    </xf>
    <xf numFmtId="2" fontId="11" fillId="0" borderId="3" xfId="1" applyNumberFormat="1" applyFont="1" applyBorder="1" applyAlignment="1">
      <alignment horizontal="center"/>
    </xf>
    <xf numFmtId="2" fontId="11" fillId="0" borderId="8" xfId="1" applyNumberFormat="1" applyFont="1" applyBorder="1" applyAlignment="1">
      <alignment horizontal="center"/>
    </xf>
    <xf numFmtId="2" fontId="11" fillId="0" borderId="15" xfId="1" applyNumberFormat="1" applyFont="1" applyBorder="1" applyAlignment="1">
      <alignment horizontal="center"/>
    </xf>
    <xf numFmtId="2" fontId="11" fillId="0" borderId="9" xfId="1" applyNumberFormat="1" applyFont="1" applyBorder="1" applyAlignment="1">
      <alignment horizontal="center"/>
    </xf>
    <xf numFmtId="0" fontId="11" fillId="0" borderId="3" xfId="1" applyFont="1" applyBorder="1" applyAlignment="1">
      <alignment horizontal="right"/>
    </xf>
    <xf numFmtId="0" fontId="11" fillId="0" borderId="8" xfId="1" applyFont="1" applyBorder="1" applyAlignment="1">
      <alignment horizontal="center"/>
    </xf>
    <xf numFmtId="0" fontId="11" fillId="0" borderId="15" xfId="1" applyFont="1" applyBorder="1" applyAlignment="1">
      <alignment horizontal="center"/>
    </xf>
    <xf numFmtId="0" fontId="11" fillId="0" borderId="9" xfId="1" applyFont="1" applyBorder="1" applyAlignment="1">
      <alignment horizontal="center"/>
    </xf>
    <xf numFmtId="0" fontId="11" fillId="0" borderId="8" xfId="1" applyFont="1" applyBorder="1" applyAlignment="1">
      <alignment horizontal="right"/>
    </xf>
    <xf numFmtId="0" fontId="11" fillId="0" borderId="9" xfId="1" applyFont="1" applyBorder="1" applyAlignment="1">
      <alignment horizontal="right"/>
    </xf>
    <xf numFmtId="0" fontId="2" fillId="0" borderId="3" xfId="1" applyBorder="1" applyAlignment="1">
      <alignment horizontal="center"/>
    </xf>
    <xf numFmtId="0" fontId="14" fillId="0" borderId="3" xfId="1" applyFont="1" applyBorder="1" applyAlignment="1">
      <alignment horizontal="left"/>
    </xf>
    <xf numFmtId="0" fontId="21" fillId="0" borderId="8" xfId="1" applyFont="1" applyBorder="1" applyAlignment="1">
      <alignment horizontal="left" vertical="top" wrapText="1"/>
    </xf>
    <xf numFmtId="0" fontId="21" fillId="0" borderId="15" xfId="1" applyFont="1" applyBorder="1" applyAlignment="1">
      <alignment horizontal="left" vertical="top" wrapText="1"/>
    </xf>
    <xf numFmtId="0" fontId="21" fillId="0" borderId="9" xfId="1" applyFont="1" applyBorder="1" applyAlignment="1">
      <alignment horizontal="left" vertical="top" wrapText="1"/>
    </xf>
    <xf numFmtId="0" fontId="14" fillId="0" borderId="5" xfId="1" applyFont="1" applyBorder="1" applyAlignment="1">
      <alignment horizontal="left" vertical="top" wrapText="1"/>
    </xf>
    <xf numFmtId="0" fontId="14" fillId="0" borderId="12" xfId="1" applyFont="1" applyBorder="1" applyAlignment="1">
      <alignment horizontal="left" vertical="top" wrapText="1"/>
    </xf>
    <xf numFmtId="0" fontId="35" fillId="0" borderId="3" xfId="1" applyFont="1" applyBorder="1" applyAlignment="1">
      <alignment horizontal="center" wrapText="1"/>
    </xf>
    <xf numFmtId="0" fontId="21" fillId="0" borderId="3" xfId="1" applyFont="1" applyBorder="1" applyAlignment="1">
      <alignment horizontal="center" vertical="top" wrapText="1"/>
    </xf>
    <xf numFmtId="0" fontId="11" fillId="0" borderId="3" xfId="1" applyFont="1" applyBorder="1" applyAlignment="1">
      <alignment horizontal="center" vertical="top" wrapText="1"/>
    </xf>
    <xf numFmtId="2" fontId="11" fillId="0" borderId="8" xfId="1" applyNumberFormat="1" applyFont="1" applyBorder="1" applyAlignment="1">
      <alignment horizontal="center" vertical="top" wrapText="1"/>
    </xf>
    <xf numFmtId="2" fontId="11" fillId="0" borderId="15" xfId="1" applyNumberFormat="1" applyFont="1" applyBorder="1" applyAlignment="1">
      <alignment horizontal="center" vertical="top" wrapText="1"/>
    </xf>
    <xf numFmtId="2" fontId="11" fillId="0" borderId="9" xfId="1" applyNumberFormat="1" applyFont="1" applyBorder="1" applyAlignment="1">
      <alignment horizontal="center" vertical="top" wrapText="1"/>
    </xf>
    <xf numFmtId="2" fontId="11" fillId="0" borderId="11" xfId="1" applyNumberFormat="1" applyFont="1" applyBorder="1" applyAlignment="1">
      <alignment horizontal="center" vertical="top" wrapText="1"/>
    </xf>
    <xf numFmtId="2" fontId="11" fillId="0" borderId="0" xfId="1" applyNumberFormat="1" applyFont="1" applyAlignment="1">
      <alignment horizontal="center" vertical="top" wrapText="1"/>
    </xf>
    <xf numFmtId="2" fontId="11" fillId="0" borderId="13" xfId="1" applyNumberFormat="1" applyFont="1" applyBorder="1" applyAlignment="1">
      <alignment horizontal="center" vertical="top" wrapText="1"/>
    </xf>
    <xf numFmtId="0" fontId="14" fillId="0" borderId="2" xfId="1" applyFont="1" applyBorder="1" applyAlignment="1">
      <alignment horizontal="center" wrapText="1"/>
    </xf>
    <xf numFmtId="0" fontId="14" fillId="0" borderId="10" xfId="1" applyFont="1" applyBorder="1" applyAlignment="1">
      <alignment horizontal="center" wrapText="1"/>
    </xf>
    <xf numFmtId="0" fontId="14" fillId="0" borderId="6" xfId="1" applyFont="1" applyBorder="1" applyAlignment="1">
      <alignment horizontal="center" wrapText="1"/>
    </xf>
    <xf numFmtId="0" fontId="95" fillId="0" borderId="0" xfId="1" applyFont="1" applyAlignment="1">
      <alignment horizontal="center" vertical="center"/>
    </xf>
    <xf numFmtId="0" fontId="2" fillId="0" borderId="3" xfId="1" applyBorder="1" applyAlignment="1">
      <alignment horizontal="center" vertical="center"/>
    </xf>
    <xf numFmtId="0" fontId="3" fillId="0" borderId="3" xfId="1" applyFont="1" applyBorder="1" applyAlignment="1">
      <alignment horizontal="center" vertical="center" wrapText="1"/>
    </xf>
    <xf numFmtId="0" fontId="5" fillId="0" borderId="4" xfId="1" applyFont="1" applyBorder="1" applyAlignment="1">
      <alignment horizontal="center"/>
    </xf>
    <xf numFmtId="0" fontId="5" fillId="0" borderId="5" xfId="1" applyFont="1" applyBorder="1" applyAlignment="1">
      <alignment horizontal="center"/>
    </xf>
    <xf numFmtId="0" fontId="5" fillId="0" borderId="12" xfId="1" applyFont="1" applyBorder="1" applyAlignment="1">
      <alignment horizontal="center"/>
    </xf>
    <xf numFmtId="0" fontId="5" fillId="0" borderId="11" xfId="1" applyFont="1" applyBorder="1" applyAlignment="1">
      <alignment horizontal="center"/>
    </xf>
    <xf numFmtId="0" fontId="5" fillId="0" borderId="0" xfId="1" applyFont="1" applyAlignment="1">
      <alignment horizontal="center"/>
    </xf>
    <xf numFmtId="0" fontId="5" fillId="0" borderId="13" xfId="1" applyFont="1" applyBorder="1" applyAlignment="1">
      <alignment horizontal="center"/>
    </xf>
    <xf numFmtId="0" fontId="5" fillId="0" borderId="7" xfId="1" applyFont="1" applyBorder="1" applyAlignment="1">
      <alignment horizontal="center"/>
    </xf>
    <xf numFmtId="0" fontId="5" fillId="0" borderId="1" xfId="1" applyFont="1" applyBorder="1" applyAlignment="1">
      <alignment horizontal="center"/>
    </xf>
    <xf numFmtId="0" fontId="5" fillId="0" borderId="14" xfId="1" applyFont="1" applyBorder="1" applyAlignment="1">
      <alignment horizontal="center"/>
    </xf>
    <xf numFmtId="0" fontId="3" fillId="0" borderId="5" xfId="1" applyFont="1" applyBorder="1" applyAlignment="1">
      <alignment horizontal="center" vertical="center" textRotation="90"/>
    </xf>
    <xf numFmtId="0" fontId="3" fillId="0" borderId="0" xfId="1" applyFont="1" applyAlignment="1">
      <alignment horizontal="center" vertical="center" textRotation="90"/>
    </xf>
    <xf numFmtId="0" fontId="3" fillId="0" borderId="1" xfId="1" applyFont="1" applyBorder="1" applyAlignment="1">
      <alignment horizontal="center" vertical="center" textRotation="90"/>
    </xf>
    <xf numFmtId="0" fontId="9" fillId="0" borderId="11" xfId="1" applyFont="1" applyBorder="1" applyAlignment="1">
      <alignment horizontal="center" vertical="center" textRotation="90"/>
    </xf>
    <xf numFmtId="0" fontId="9" fillId="0" borderId="0" xfId="1" applyFont="1" applyAlignment="1">
      <alignment horizontal="center" vertical="center" textRotation="90"/>
    </xf>
    <xf numFmtId="0" fontId="9" fillId="0" borderId="13" xfId="1" applyFont="1" applyBorder="1" applyAlignment="1">
      <alignment horizontal="center" vertical="center" textRotation="90"/>
    </xf>
    <xf numFmtId="0" fontId="9" fillId="0" borderId="10" xfId="1" applyFont="1" applyBorder="1" applyAlignment="1">
      <alignment horizontal="center" vertical="center" textRotation="90"/>
    </xf>
    <xf numFmtId="0" fontId="3" fillId="0" borderId="3" xfId="1" applyFont="1" applyBorder="1" applyAlignment="1">
      <alignment horizontal="center"/>
    </xf>
    <xf numFmtId="0" fontId="12" fillId="0" borderId="3" xfId="1" applyFont="1" applyBorder="1" applyAlignment="1">
      <alignment horizontal="center"/>
    </xf>
    <xf numFmtId="0" fontId="2" fillId="0" borderId="5" xfId="1" applyBorder="1" applyAlignment="1">
      <alignment horizontal="center" vertical="center" textRotation="90"/>
    </xf>
    <xf numFmtId="0" fontId="2" fillId="0" borderId="0" xfId="1" applyAlignment="1">
      <alignment horizontal="center" vertical="center" textRotation="90"/>
    </xf>
    <xf numFmtId="0" fontId="2" fillId="0" borderId="0" xfId="1" applyAlignment="1">
      <alignment horizontal="center"/>
    </xf>
    <xf numFmtId="0" fontId="3" fillId="0" borderId="64" xfId="1" applyFont="1" applyBorder="1" applyAlignment="1">
      <alignment horizontal="center"/>
    </xf>
    <xf numFmtId="0" fontId="3" fillId="0" borderId="0" xfId="1" applyFont="1" applyAlignment="1">
      <alignment horizontal="center"/>
    </xf>
    <xf numFmtId="0" fontId="3" fillId="0" borderId="13" xfId="1" applyFont="1" applyBorder="1" applyAlignment="1">
      <alignment horizontal="center"/>
    </xf>
    <xf numFmtId="0" fontId="9" fillId="0" borderId="0" xfId="1" applyFont="1" applyAlignment="1">
      <alignment horizontal="center" vertical="center"/>
    </xf>
    <xf numFmtId="0" fontId="9" fillId="0" borderId="0" xfId="1" applyFont="1" applyAlignment="1">
      <alignment horizontal="center"/>
    </xf>
    <xf numFmtId="0" fontId="2" fillId="0" borderId="64" xfId="1" applyBorder="1" applyAlignment="1">
      <alignment horizontal="center"/>
    </xf>
    <xf numFmtId="0" fontId="2" fillId="0" borderId="13" xfId="1" applyBorder="1" applyAlignment="1">
      <alignment horizontal="center"/>
    </xf>
    <xf numFmtId="0" fontId="2" fillId="0" borderId="11" xfId="1" applyBorder="1" applyAlignment="1">
      <alignment horizontal="center"/>
    </xf>
    <xf numFmtId="0" fontId="9" fillId="0" borderId="4" xfId="1" applyFont="1" applyBorder="1" applyAlignment="1">
      <alignment horizontal="center" vertical="center" textRotation="90"/>
    </xf>
    <xf numFmtId="0" fontId="9" fillId="0" borderId="5" xfId="1" applyFont="1" applyBorder="1" applyAlignment="1">
      <alignment horizontal="center" vertical="center" textRotation="90"/>
    </xf>
    <xf numFmtId="0" fontId="9" fillId="0" borderId="12" xfId="1" applyFont="1" applyBorder="1" applyAlignment="1">
      <alignment horizontal="center" vertical="center" textRotation="90"/>
    </xf>
    <xf numFmtId="0" fontId="9" fillId="0" borderId="7" xfId="1" applyFont="1" applyBorder="1" applyAlignment="1">
      <alignment horizontal="center" vertical="center" textRotation="90"/>
    </xf>
    <xf numFmtId="0" fontId="9" fillId="0" borderId="1" xfId="1" applyFont="1" applyBorder="1" applyAlignment="1">
      <alignment horizontal="center" vertical="center" textRotation="90"/>
    </xf>
    <xf numFmtId="0" fontId="9" fillId="0" borderId="14" xfId="1" applyFont="1" applyBorder="1" applyAlignment="1">
      <alignment horizontal="center" vertical="center" textRotation="90"/>
    </xf>
    <xf numFmtId="0" fontId="12" fillId="0" borderId="6" xfId="1" applyFont="1" applyBorder="1" applyAlignment="1">
      <alignment horizontal="center" vertical="center" textRotation="90"/>
    </xf>
    <xf numFmtId="0" fontId="12" fillId="0" borderId="3" xfId="1" applyFont="1" applyBorder="1" applyAlignment="1">
      <alignment horizontal="center" vertical="center" textRotation="90"/>
    </xf>
    <xf numFmtId="0" fontId="12" fillId="0" borderId="2" xfId="1" applyFont="1" applyBorder="1" applyAlignment="1">
      <alignment horizontal="center" vertical="center" textRotation="90"/>
    </xf>
    <xf numFmtId="0" fontId="3" fillId="0" borderId="5" xfId="1" applyFont="1" applyBorder="1" applyAlignment="1">
      <alignment horizontal="center"/>
    </xf>
    <xf numFmtId="0" fontId="3" fillId="0" borderId="11" xfId="1" applyFont="1" applyBorder="1" applyAlignment="1">
      <alignment horizontal="center" textRotation="90"/>
    </xf>
    <xf numFmtId="0" fontId="3" fillId="0" borderId="0" xfId="1" applyFont="1" applyAlignment="1">
      <alignment horizontal="center" textRotation="90"/>
    </xf>
    <xf numFmtId="0" fontId="100" fillId="0" borderId="129" xfId="0" applyFont="1" applyBorder="1" applyAlignment="1">
      <alignment horizontal="center"/>
    </xf>
    <xf numFmtId="0" fontId="100" fillId="0" borderId="3" xfId="0" applyFont="1" applyBorder="1" applyAlignment="1">
      <alignment horizontal="center"/>
    </xf>
    <xf numFmtId="177" fontId="100" fillId="0" borderId="3" xfId="0" applyNumberFormat="1" applyFont="1" applyBorder="1" applyAlignment="1">
      <alignment horizontal="center"/>
    </xf>
    <xf numFmtId="0" fontId="100" fillId="0" borderId="130" xfId="0" applyFont="1" applyBorder="1" applyAlignment="1">
      <alignment horizontal="center"/>
    </xf>
    <xf numFmtId="178" fontId="100" fillId="0" borderId="3" xfId="0" applyNumberFormat="1" applyFont="1" applyBorder="1" applyAlignment="1">
      <alignment horizontal="center"/>
    </xf>
    <xf numFmtId="0" fontId="104" fillId="0" borderId="0" xfId="0"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xf>
    <xf numFmtId="0" fontId="100" fillId="0" borderId="127" xfId="0" applyFont="1" applyBorder="1" applyAlignment="1">
      <alignment horizontal="center" vertical="center"/>
    </xf>
    <xf numFmtId="0" fontId="100" fillId="0" borderId="15" xfId="0" applyFont="1" applyBorder="1" applyAlignment="1">
      <alignment horizontal="center" vertical="center"/>
    </xf>
    <xf numFmtId="0" fontId="100" fillId="0" borderId="128" xfId="0" applyFont="1" applyBorder="1" applyAlignment="1">
      <alignment horizontal="center" vertical="center"/>
    </xf>
    <xf numFmtId="0" fontId="100" fillId="0" borderId="129" xfId="0" applyFont="1" applyBorder="1" applyAlignment="1">
      <alignment horizontal="center" vertical="center"/>
    </xf>
    <xf numFmtId="0" fontId="100" fillId="0" borderId="3" xfId="0" applyFont="1" applyBorder="1" applyAlignment="1">
      <alignment horizontal="center" vertical="center"/>
    </xf>
    <xf numFmtId="0" fontId="100" fillId="0" borderId="130" xfId="0" applyFont="1" applyBorder="1" applyAlignment="1">
      <alignment horizontal="center" vertical="center"/>
    </xf>
    <xf numFmtId="2" fontId="0" fillId="0" borderId="5" xfId="0" applyNumberFormat="1" applyBorder="1" applyAlignment="1">
      <alignment horizontal="center" vertical="center"/>
    </xf>
    <xf numFmtId="2" fontId="0" fillId="0" borderId="0" xfId="0" applyNumberFormat="1" applyAlignment="1">
      <alignment horizontal="center" vertical="center"/>
    </xf>
    <xf numFmtId="2" fontId="0" fillId="0" borderId="1" xfId="0" applyNumberFormat="1" applyBorder="1" applyAlignment="1">
      <alignment horizontal="center" vertical="center"/>
    </xf>
    <xf numFmtId="2" fontId="43" fillId="0" borderId="11" xfId="0" applyNumberFormat="1" applyFont="1" applyBorder="1" applyAlignment="1">
      <alignment horizontal="center"/>
    </xf>
    <xf numFmtId="2" fontId="43" fillId="0" borderId="0" xfId="0" applyNumberFormat="1" applyFont="1" applyAlignment="1">
      <alignment horizontal="center"/>
    </xf>
    <xf numFmtId="2" fontId="43" fillId="0" borderId="13" xfId="0" applyNumberFormat="1" applyFont="1" applyBorder="1" applyAlignment="1">
      <alignment horizontal="center"/>
    </xf>
    <xf numFmtId="0" fontId="0" fillId="0" borderId="0" xfId="0" applyAlignment="1">
      <alignment horizontal="center"/>
    </xf>
    <xf numFmtId="169" fontId="0" fillId="0" borderId="0" xfId="0" applyNumberFormat="1" applyAlignment="1">
      <alignment horizontal="center"/>
    </xf>
    <xf numFmtId="169" fontId="0" fillId="0" borderId="11" xfId="0" applyNumberFormat="1" applyBorder="1" applyAlignment="1">
      <alignment horizontal="center"/>
    </xf>
    <xf numFmtId="169" fontId="0" fillId="0" borderId="13" xfId="0" applyNumberFormat="1" applyBorder="1" applyAlignment="1">
      <alignment horizontal="center"/>
    </xf>
    <xf numFmtId="169" fontId="0" fillId="0" borderId="5" xfId="0" applyNumberFormat="1" applyBorder="1" applyAlignment="1">
      <alignment horizontal="center"/>
    </xf>
    <xf numFmtId="169" fontId="0" fillId="0" borderId="1" xfId="0" applyNumberFormat="1" applyBorder="1" applyAlignment="1">
      <alignment horizontal="center"/>
    </xf>
    <xf numFmtId="0" fontId="0" fillId="0" borderId="5" xfId="0" applyBorder="1" applyAlignment="1">
      <alignment horizontal="center"/>
    </xf>
    <xf numFmtId="0" fontId="0" fillId="0" borderId="1" xfId="0" applyBorder="1" applyAlignment="1">
      <alignment horizontal="center"/>
    </xf>
    <xf numFmtId="169" fontId="0" fillId="0" borderId="5" xfId="0" applyNumberFormat="1" applyBorder="1" applyAlignment="1">
      <alignment horizontal="center" vertical="center"/>
    </xf>
    <xf numFmtId="169" fontId="0" fillId="0" borderId="0" xfId="0" applyNumberFormat="1" applyAlignment="1">
      <alignment horizontal="center" vertical="center"/>
    </xf>
    <xf numFmtId="169" fontId="0" fillId="0" borderId="1" xfId="0" applyNumberFormat="1" applyBorder="1" applyAlignment="1">
      <alignment horizontal="center" vertical="center"/>
    </xf>
    <xf numFmtId="0" fontId="46" fillId="0" borderId="4" xfId="0" applyFont="1" applyBorder="1" applyAlignment="1">
      <alignment horizontal="center" vertical="center" textRotation="90"/>
    </xf>
    <xf numFmtId="0" fontId="46" fillId="0" borderId="12" xfId="0" applyFont="1" applyBorder="1" applyAlignment="1">
      <alignment horizontal="center" vertical="center" textRotation="90"/>
    </xf>
    <xf numFmtId="0" fontId="46" fillId="0" borderId="11" xfId="0" applyFont="1" applyBorder="1" applyAlignment="1">
      <alignment horizontal="center" vertical="center" textRotation="90"/>
    </xf>
    <xf numFmtId="0" fontId="46" fillId="0" borderId="13" xfId="0" applyFont="1" applyBorder="1" applyAlignment="1">
      <alignment horizontal="center" vertical="center" textRotation="90"/>
    </xf>
    <xf numFmtId="2" fontId="46" fillId="0" borderId="0" xfId="0" applyNumberFormat="1" applyFont="1" applyAlignment="1">
      <alignment horizontal="center" vertical="center" textRotation="90"/>
    </xf>
    <xf numFmtId="0" fontId="46" fillId="0" borderId="0" xfId="0" applyFont="1" applyAlignment="1">
      <alignment horizontal="center" vertical="center" textRotation="90"/>
    </xf>
    <xf numFmtId="169" fontId="46" fillId="0" borderId="0" xfId="0" applyNumberFormat="1" applyFont="1" applyAlignment="1">
      <alignment horizontal="center" vertical="center"/>
    </xf>
    <xf numFmtId="169" fontId="46" fillId="0" borderId="5" xfId="0" applyNumberFormat="1" applyFont="1" applyBorder="1" applyAlignment="1">
      <alignment horizontal="center" vertical="center"/>
    </xf>
    <xf numFmtId="169" fontId="46" fillId="0" borderId="1" xfId="0" applyNumberFormat="1" applyFont="1" applyBorder="1" applyAlignment="1">
      <alignment horizontal="center" vertical="center"/>
    </xf>
    <xf numFmtId="2" fontId="46" fillId="0" borderId="11" xfId="0" applyNumberFormat="1" applyFont="1" applyBorder="1" applyAlignment="1">
      <alignment horizontal="center"/>
    </xf>
    <xf numFmtId="2" fontId="46" fillId="0" borderId="0" xfId="0" applyNumberFormat="1" applyFont="1" applyAlignment="1">
      <alignment horizontal="center"/>
    </xf>
    <xf numFmtId="2" fontId="46" fillId="0" borderId="13" xfId="0" applyNumberFormat="1" applyFont="1" applyBorder="1" applyAlignment="1">
      <alignment horizontal="center"/>
    </xf>
    <xf numFmtId="169" fontId="46" fillId="0" borderId="4" xfId="0" applyNumberFormat="1" applyFont="1" applyBorder="1" applyAlignment="1">
      <alignment horizontal="center" vertical="center"/>
    </xf>
    <xf numFmtId="169" fontId="46" fillId="0" borderId="12" xfId="0" applyNumberFormat="1" applyFont="1" applyBorder="1" applyAlignment="1">
      <alignment horizontal="center" vertical="center"/>
    </xf>
    <xf numFmtId="169" fontId="46" fillId="0" borderId="11" xfId="0" applyNumberFormat="1" applyFont="1" applyBorder="1" applyAlignment="1">
      <alignment horizontal="center" vertical="center"/>
    </xf>
    <xf numFmtId="169" fontId="46" fillId="0" borderId="13" xfId="0" applyNumberFormat="1" applyFont="1" applyBorder="1" applyAlignment="1">
      <alignment horizontal="center" vertical="center"/>
    </xf>
    <xf numFmtId="169" fontId="46" fillId="0" borderId="7" xfId="0" applyNumberFormat="1" applyFont="1" applyBorder="1" applyAlignment="1">
      <alignment horizontal="center" vertical="center"/>
    </xf>
    <xf numFmtId="169" fontId="46" fillId="0" borderId="14" xfId="0" applyNumberFormat="1" applyFont="1" applyBorder="1" applyAlignment="1">
      <alignment horizontal="center" vertical="center"/>
    </xf>
    <xf numFmtId="0" fontId="46" fillId="0" borderId="0" xfId="0" applyFont="1" applyAlignment="1">
      <alignment horizontal="center" vertical="center"/>
    </xf>
    <xf numFmtId="0" fontId="46" fillId="0" borderId="11" xfId="0" applyFont="1" applyBorder="1" applyAlignment="1">
      <alignment horizontal="center"/>
    </xf>
    <xf numFmtId="0" fontId="46" fillId="0" borderId="0" xfId="0" applyFont="1" applyAlignment="1">
      <alignment horizontal="center"/>
    </xf>
    <xf numFmtId="0" fontId="46" fillId="0" borderId="13" xfId="0" applyFont="1" applyBorder="1" applyAlignment="1">
      <alignment horizontal="center"/>
    </xf>
    <xf numFmtId="0" fontId="106" fillId="0" borderId="0" xfId="0" applyFont="1" applyAlignment="1">
      <alignment horizontal="center"/>
    </xf>
    <xf numFmtId="2" fontId="46" fillId="0" borderId="5" xfId="0" applyNumberFormat="1" applyFont="1" applyBorder="1" applyAlignment="1">
      <alignment horizontal="center" vertical="center" textRotation="90"/>
    </xf>
    <xf numFmtId="2" fontId="46" fillId="0" borderId="1" xfId="0" applyNumberFormat="1" applyFont="1" applyBorder="1" applyAlignment="1">
      <alignment horizontal="center" vertical="center" textRotation="90"/>
    </xf>
    <xf numFmtId="2" fontId="46" fillId="0" borderId="0" xfId="0" applyNumberFormat="1" applyFont="1" applyAlignment="1">
      <alignment horizontal="center" vertical="center"/>
    </xf>
    <xf numFmtId="169" fontId="46" fillId="0" borderId="0" xfId="0" applyNumberFormat="1" applyFont="1" applyAlignment="1">
      <alignment horizontal="center" vertical="center" textRotation="90"/>
    </xf>
    <xf numFmtId="0" fontId="46" fillId="0" borderId="80" xfId="0" applyFont="1" applyBorder="1" applyAlignment="1">
      <alignment horizontal="center"/>
    </xf>
    <xf numFmtId="0" fontId="46" fillId="0" borderId="63" xfId="0" applyFont="1" applyBorder="1" applyAlignment="1">
      <alignment horizontal="center"/>
    </xf>
    <xf numFmtId="0" fontId="46" fillId="0" borderId="89" xfId="0" applyFont="1" applyBorder="1" applyAlignment="1">
      <alignment horizontal="center"/>
    </xf>
    <xf numFmtId="0" fontId="46" fillId="0" borderId="62" xfId="0" applyFont="1" applyBorder="1" applyAlignment="1">
      <alignment horizontal="center"/>
    </xf>
    <xf numFmtId="0" fontId="46" fillId="0" borderId="91" xfId="0" applyFont="1" applyBorder="1" applyAlignment="1">
      <alignment horizontal="center"/>
    </xf>
    <xf numFmtId="0" fontId="46" fillId="0" borderId="107" xfId="0" applyFont="1" applyBorder="1" applyAlignment="1">
      <alignment horizontal="center"/>
    </xf>
    <xf numFmtId="169" fontId="46" fillId="0" borderId="5" xfId="0" applyNumberFormat="1" applyFont="1" applyBorder="1" applyAlignment="1">
      <alignment horizontal="center" vertical="center" textRotation="90"/>
    </xf>
    <xf numFmtId="0" fontId="46" fillId="0" borderId="5" xfId="0" applyFont="1" applyBorder="1" applyAlignment="1">
      <alignment horizontal="center" vertical="center" textRotation="90"/>
    </xf>
    <xf numFmtId="0" fontId="46" fillId="0" borderId="1" xfId="0" applyFont="1" applyBorder="1" applyAlignment="1">
      <alignment horizontal="center" vertical="center" textRotation="90"/>
    </xf>
    <xf numFmtId="2" fontId="46" fillId="0" borderId="4" xfId="0" applyNumberFormat="1" applyFont="1" applyBorder="1" applyAlignment="1">
      <alignment horizontal="center" textRotation="90"/>
    </xf>
    <xf numFmtId="2" fontId="46" fillId="0" borderId="5" xfId="0" applyNumberFormat="1" applyFont="1" applyBorder="1" applyAlignment="1">
      <alignment horizontal="center" textRotation="90"/>
    </xf>
    <xf numFmtId="2" fontId="46" fillId="0" borderId="12" xfId="0" applyNumberFormat="1" applyFont="1" applyBorder="1" applyAlignment="1">
      <alignment horizontal="center" textRotation="90"/>
    </xf>
    <xf numFmtId="2" fontId="46" fillId="0" borderId="11" xfId="0" applyNumberFormat="1" applyFont="1" applyBorder="1" applyAlignment="1">
      <alignment horizontal="center" textRotation="90"/>
    </xf>
    <xf numFmtId="2" fontId="46" fillId="0" borderId="0" xfId="0" applyNumberFormat="1" applyFont="1" applyAlignment="1">
      <alignment horizontal="center" textRotation="90"/>
    </xf>
    <xf numFmtId="2" fontId="46" fillId="0" borderId="13" xfId="0" applyNumberFormat="1" applyFont="1" applyBorder="1" applyAlignment="1">
      <alignment horizontal="center" textRotation="90"/>
    </xf>
    <xf numFmtId="2" fontId="46" fillId="0" borderId="7" xfId="0" applyNumberFormat="1" applyFont="1" applyBorder="1" applyAlignment="1">
      <alignment horizontal="center" textRotation="90"/>
    </xf>
    <xf numFmtId="2" fontId="46" fillId="0" borderId="1" xfId="0" applyNumberFormat="1" applyFont="1" applyBorder="1" applyAlignment="1">
      <alignment horizontal="center" textRotation="90"/>
    </xf>
    <xf numFmtId="2" fontId="46" fillId="0" borderId="14" xfId="0" applyNumberFormat="1" applyFont="1" applyBorder="1" applyAlignment="1">
      <alignment horizontal="center" textRotation="90"/>
    </xf>
    <xf numFmtId="0" fontId="46" fillId="0" borderId="1" xfId="0" applyFont="1" applyBorder="1" applyAlignment="1">
      <alignment horizontal="center" vertical="center"/>
    </xf>
    <xf numFmtId="2" fontId="108" fillId="0" borderId="0" xfId="0" applyNumberFormat="1" applyFont="1" applyAlignment="1">
      <alignment horizontal="center" vertical="center"/>
    </xf>
    <xf numFmtId="0" fontId="107" fillId="0" borderId="0" xfId="0" applyFont="1" applyAlignment="1">
      <alignment horizontal="center" vertical="center"/>
    </xf>
    <xf numFmtId="169" fontId="46" fillId="0" borderId="0" xfId="0" applyNumberFormat="1" applyFont="1" applyAlignment="1">
      <alignment horizontal="center"/>
    </xf>
    <xf numFmtId="169" fontId="46" fillId="0" borderId="5" xfId="0" applyNumberFormat="1" applyFont="1" applyBorder="1" applyAlignment="1">
      <alignment horizontal="center"/>
    </xf>
    <xf numFmtId="169" fontId="46" fillId="0" borderId="1" xfId="0" applyNumberFormat="1" applyFont="1" applyBorder="1" applyAlignment="1">
      <alignment horizontal="center"/>
    </xf>
    <xf numFmtId="0" fontId="56" fillId="0" borderId="0" xfId="0" applyFont="1" applyAlignment="1">
      <alignment horizontal="center" vertical="center"/>
    </xf>
    <xf numFmtId="0" fontId="56" fillId="0" borderId="0" xfId="0" applyFont="1" applyAlignment="1">
      <alignment horizontal="center"/>
    </xf>
    <xf numFmtId="2" fontId="46" fillId="0" borderId="5" xfId="0" applyNumberFormat="1" applyFont="1" applyBorder="1" applyAlignment="1">
      <alignment horizontal="center"/>
    </xf>
    <xf numFmtId="0" fontId="46" fillId="0" borderId="90" xfId="0" applyFont="1" applyBorder="1" applyAlignment="1">
      <alignment horizontal="center"/>
    </xf>
    <xf numFmtId="0" fontId="46" fillId="0" borderId="92" xfId="0" applyFont="1" applyBorder="1" applyAlignment="1">
      <alignment horizontal="center"/>
    </xf>
    <xf numFmtId="169" fontId="46" fillId="0" borderId="0" xfId="0" applyNumberFormat="1" applyFont="1" applyAlignment="1">
      <alignment horizontal="right" vertical="center" textRotation="90"/>
    </xf>
    <xf numFmtId="0" fontId="46" fillId="0" borderId="103" xfId="0" applyFont="1" applyBorder="1" applyAlignment="1">
      <alignment horizontal="center"/>
    </xf>
    <xf numFmtId="0" fontId="46" fillId="0" borderId="94" xfId="0" applyFont="1" applyBorder="1" applyAlignment="1">
      <alignment horizontal="center"/>
    </xf>
    <xf numFmtId="0" fontId="46" fillId="0" borderId="76" xfId="0" applyFont="1" applyBorder="1" applyAlignment="1">
      <alignment horizontal="center"/>
    </xf>
    <xf numFmtId="0" fontId="46" fillId="0" borderId="105" xfId="0" applyFont="1" applyBorder="1" applyAlignment="1">
      <alignment horizontal="center"/>
    </xf>
    <xf numFmtId="0" fontId="46" fillId="0" borderId="61" xfId="0" applyFont="1" applyBorder="1" applyAlignment="1">
      <alignment horizontal="center"/>
    </xf>
    <xf numFmtId="0" fontId="46" fillId="0" borderId="117" xfId="0" applyFont="1" applyBorder="1" applyAlignment="1">
      <alignment horizontal="center"/>
    </xf>
    <xf numFmtId="0" fontId="46" fillId="0" borderId="104" xfId="0" applyFont="1" applyBorder="1" applyAlignment="1">
      <alignment horizontal="center"/>
    </xf>
    <xf numFmtId="0" fontId="47" fillId="0" borderId="0" xfId="0" applyFont="1" applyAlignment="1">
      <alignment horizontal="center"/>
    </xf>
    <xf numFmtId="0" fontId="47" fillId="0" borderId="1" xfId="0" applyFont="1" applyBorder="1" applyAlignment="1">
      <alignment horizontal="center"/>
    </xf>
    <xf numFmtId="2" fontId="47" fillId="0" borderId="5" xfId="0" applyNumberFormat="1" applyFont="1" applyBorder="1" applyAlignment="1">
      <alignment horizontal="center" vertical="center"/>
    </xf>
    <xf numFmtId="2" fontId="47" fillId="0" borderId="0" xfId="0" applyNumberFormat="1" applyFont="1" applyAlignment="1">
      <alignment horizontal="center" vertical="center"/>
    </xf>
    <xf numFmtId="2" fontId="47" fillId="0" borderId="1" xfId="0" applyNumberFormat="1"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0" fontId="47" fillId="0" borderId="7" xfId="0" applyFont="1" applyBorder="1" applyAlignment="1">
      <alignment horizontal="center" vertical="center"/>
    </xf>
    <xf numFmtId="0" fontId="47" fillId="0" borderId="1" xfId="0" applyFont="1" applyBorder="1" applyAlignment="1">
      <alignment horizontal="center" vertical="center"/>
    </xf>
    <xf numFmtId="2" fontId="47" fillId="0" borderId="11" xfId="0" applyNumberFormat="1" applyFont="1" applyBorder="1" applyAlignment="1">
      <alignment horizontal="center"/>
    </xf>
    <xf numFmtId="2" fontId="47" fillId="0" borderId="0" xfId="0" applyNumberFormat="1" applyFont="1" applyAlignment="1">
      <alignment horizontal="center"/>
    </xf>
    <xf numFmtId="2" fontId="47" fillId="0" borderId="13" xfId="0" applyNumberFormat="1" applyFont="1" applyBorder="1" applyAlignment="1">
      <alignment horizontal="center"/>
    </xf>
    <xf numFmtId="2" fontId="47" fillId="0" borderId="11" xfId="0" applyNumberFormat="1" applyFont="1" applyBorder="1" applyAlignment="1">
      <alignment horizontal="center" vertical="center"/>
    </xf>
    <xf numFmtId="2" fontId="47" fillId="0" borderId="13" xfId="0" applyNumberFormat="1" applyFont="1" applyBorder="1" applyAlignment="1">
      <alignment horizontal="center" vertical="center"/>
    </xf>
    <xf numFmtId="0" fontId="48" fillId="0" borderId="0" xfId="0" applyFont="1" applyAlignment="1">
      <alignment horizontal="center" vertical="center"/>
    </xf>
    <xf numFmtId="0" fontId="0" fillId="0" borderId="13" xfId="0" applyBorder="1" applyAlignment="1">
      <alignment horizontal="center"/>
    </xf>
    <xf numFmtId="0" fontId="0" fillId="0" borderId="11" xfId="0" applyBorder="1" applyAlignment="1">
      <alignment horizontal="center"/>
    </xf>
    <xf numFmtId="0" fontId="0" fillId="0" borderId="7" xfId="0" applyBorder="1" applyAlignment="1">
      <alignment horizontal="center"/>
    </xf>
    <xf numFmtId="0" fontId="0" fillId="0" borderId="14" xfId="0" applyBorder="1" applyAlignment="1">
      <alignment horizontal="center"/>
    </xf>
    <xf numFmtId="0" fontId="0" fillId="0" borderId="89" xfId="0" applyBorder="1" applyAlignment="1">
      <alignment horizontal="center"/>
    </xf>
    <xf numFmtId="0" fontId="89" fillId="0" borderId="0" xfId="0" applyFont="1" applyAlignment="1">
      <alignment horizontal="center"/>
    </xf>
    <xf numFmtId="0" fontId="0" fillId="0" borderId="90" xfId="0" applyBorder="1" applyAlignment="1">
      <alignment horizontal="center"/>
    </xf>
    <xf numFmtId="0" fontId="47" fillId="0" borderId="3" xfId="0" applyFont="1" applyBorder="1" applyAlignment="1">
      <alignment horizontal="center"/>
    </xf>
    <xf numFmtId="2" fontId="47" fillId="0" borderId="3" xfId="0" applyNumberFormat="1" applyFont="1" applyBorder="1" applyAlignment="1">
      <alignment horizontal="center"/>
    </xf>
    <xf numFmtId="1" fontId="47" fillId="0" borderId="3" xfId="0" applyNumberFormat="1" applyFont="1" applyBorder="1" applyAlignment="1">
      <alignment horizontal="center"/>
    </xf>
    <xf numFmtId="169" fontId="56" fillId="0" borderId="0" xfId="0" applyNumberFormat="1" applyFont="1" applyAlignment="1">
      <alignment horizontal="center" vertical="center"/>
    </xf>
    <xf numFmtId="169" fontId="47" fillId="0" borderId="3" xfId="0" applyNumberFormat="1" applyFont="1" applyBorder="1" applyAlignment="1">
      <alignment horizontal="center"/>
    </xf>
    <xf numFmtId="2" fontId="56" fillId="0" borderId="0" xfId="0" applyNumberFormat="1" applyFont="1" applyAlignment="1">
      <alignment horizontal="center" vertical="center" textRotation="90"/>
    </xf>
    <xf numFmtId="0" fontId="56" fillId="0" borderId="0" xfId="0" applyFont="1" applyAlignment="1">
      <alignment horizontal="center" vertical="center" textRotation="90"/>
    </xf>
    <xf numFmtId="2" fontId="56" fillId="0" borderId="0" xfId="0" applyNumberFormat="1" applyFont="1" applyAlignment="1">
      <alignment horizontal="center" vertical="center"/>
    </xf>
    <xf numFmtId="169" fontId="56" fillId="0" borderId="0" xfId="0" applyNumberFormat="1" applyFont="1" applyAlignment="1">
      <alignment horizontal="center" vertical="center" textRotation="90"/>
    </xf>
    <xf numFmtId="0" fontId="46" fillId="0" borderId="3" xfId="0" applyFont="1" applyBorder="1" applyAlignment="1">
      <alignment horizontal="center"/>
    </xf>
    <xf numFmtId="2" fontId="56" fillId="0" borderId="11" xfId="0" applyNumberFormat="1" applyFont="1" applyBorder="1" applyAlignment="1">
      <alignment horizontal="center" vertical="center" textRotation="90"/>
    </xf>
    <xf numFmtId="2" fontId="56" fillId="0" borderId="13" xfId="0" applyNumberFormat="1" applyFont="1" applyBorder="1" applyAlignment="1">
      <alignment horizontal="center" vertical="center" textRotation="90"/>
    </xf>
    <xf numFmtId="0" fontId="16" fillId="0" borderId="1" xfId="2" applyFont="1" applyBorder="1" applyAlignment="1">
      <alignment horizontal="center"/>
    </xf>
    <xf numFmtId="0" fontId="29" fillId="0" borderId="3" xfId="1" applyFont="1" applyBorder="1" applyAlignment="1">
      <alignment horizontal="center" vertical="center"/>
    </xf>
    <xf numFmtId="0" fontId="29" fillId="0" borderId="2" xfId="1" applyFont="1" applyBorder="1" applyAlignment="1">
      <alignment horizontal="center" vertical="center"/>
    </xf>
    <xf numFmtId="0" fontId="29" fillId="0" borderId="10" xfId="1" applyFont="1" applyBorder="1" applyAlignment="1">
      <alignment horizontal="center" vertical="center"/>
    </xf>
    <xf numFmtId="0" fontId="29" fillId="0" borderId="6" xfId="1" applyFont="1" applyBorder="1" applyAlignment="1">
      <alignment horizontal="center" vertical="center"/>
    </xf>
    <xf numFmtId="176" fontId="36" fillId="0" borderId="2" xfId="1" applyNumberFormat="1" applyFont="1" applyBorder="1" applyAlignment="1">
      <alignment horizontal="center" vertical="center" wrapText="1"/>
    </xf>
    <xf numFmtId="176" fontId="36" fillId="0" borderId="10" xfId="1" applyNumberFormat="1" applyFont="1" applyBorder="1" applyAlignment="1">
      <alignment horizontal="center" vertical="center" wrapText="1"/>
    </xf>
    <xf numFmtId="176" fontId="36" fillId="0" borderId="6" xfId="1" applyNumberFormat="1" applyFont="1" applyBorder="1" applyAlignment="1">
      <alignment horizontal="center" vertical="center" wrapText="1"/>
    </xf>
    <xf numFmtId="176" fontId="31" fillId="0" borderId="2" xfId="1" applyNumberFormat="1" applyFont="1" applyBorder="1" applyAlignment="1">
      <alignment horizontal="center" vertical="center" wrapText="1"/>
    </xf>
    <xf numFmtId="176" fontId="31" fillId="0" borderId="10" xfId="1" applyNumberFormat="1" applyFont="1" applyBorder="1" applyAlignment="1">
      <alignment horizontal="center" vertical="center" wrapText="1"/>
    </xf>
    <xf numFmtId="176" fontId="31" fillId="0" borderId="6" xfId="1" applyNumberFormat="1" applyFont="1" applyBorder="1" applyAlignment="1">
      <alignment horizontal="center" vertical="center" wrapText="1"/>
    </xf>
    <xf numFmtId="0" fontId="11" fillId="0" borderId="0" xfId="2" applyFont="1"/>
    <xf numFmtId="176" fontId="29" fillId="0" borderId="2" xfId="1" applyNumberFormat="1" applyFont="1" applyBorder="1" applyAlignment="1">
      <alignment horizontal="center" vertical="center" wrapText="1"/>
    </xf>
    <xf numFmtId="176" fontId="29" fillId="0" borderId="6" xfId="1" applyNumberFormat="1" applyFont="1" applyBorder="1" applyAlignment="1">
      <alignment horizontal="center" vertical="center" wrapText="1"/>
    </xf>
    <xf numFmtId="0" fontId="29" fillId="0" borderId="8" xfId="1" applyFont="1" applyBorder="1" applyAlignment="1">
      <alignment horizontal="center" wrapText="1"/>
    </xf>
    <xf numFmtId="0" fontId="29" fillId="0" borderId="9" xfId="1" applyFont="1" applyBorder="1" applyAlignment="1">
      <alignment horizontal="center" wrapText="1"/>
    </xf>
    <xf numFmtId="0" fontId="32" fillId="0" borderId="8" xfId="1" applyFont="1" applyBorder="1" applyAlignment="1">
      <alignment horizontal="center" vertical="center" wrapText="1"/>
    </xf>
    <xf numFmtId="0" fontId="7" fillId="0" borderId="0" xfId="2"/>
    <xf numFmtId="0" fontId="7" fillId="0" borderId="9" xfId="2" applyBorder="1"/>
    <xf numFmtId="0" fontId="29" fillId="0" borderId="2" xfId="1" applyFont="1" applyBorder="1" applyAlignment="1">
      <alignment horizontal="center" vertical="top"/>
    </xf>
    <xf numFmtId="0" fontId="29" fillId="0" borderId="10" xfId="1" applyFont="1" applyBorder="1" applyAlignment="1">
      <alignment horizontal="center" vertical="top"/>
    </xf>
    <xf numFmtId="0" fontId="29" fillId="0" borderId="6" xfId="1" applyFont="1" applyBorder="1" applyAlignment="1">
      <alignment horizontal="center" vertical="top"/>
    </xf>
    <xf numFmtId="0" fontId="28" fillId="0" borderId="2" xfId="1" applyFont="1" applyBorder="1" applyAlignment="1">
      <alignment horizontal="left" vertical="top" wrapText="1"/>
    </xf>
    <xf numFmtId="0" fontId="28" fillId="0" borderId="10" xfId="1" applyFont="1" applyBorder="1" applyAlignment="1">
      <alignment horizontal="left" vertical="top" wrapText="1"/>
    </xf>
    <xf numFmtId="0" fontId="28" fillId="0" borderId="6" xfId="1" applyFont="1" applyBorder="1" applyAlignment="1">
      <alignment horizontal="left" vertical="top" wrapText="1"/>
    </xf>
    <xf numFmtId="2" fontId="5" fillId="0" borderId="3" xfId="2" applyNumberFormat="1" applyFont="1" applyBorder="1" applyAlignment="1">
      <alignment horizontal="center" vertical="center"/>
    </xf>
    <xf numFmtId="2" fontId="5" fillId="3" borderId="3" xfId="1" applyNumberFormat="1" applyFont="1" applyFill="1" applyBorder="1" applyAlignment="1">
      <alignment horizontal="center" vertical="center"/>
    </xf>
    <xf numFmtId="2" fontId="5" fillId="3" borderId="2" xfId="1" applyNumberFormat="1" applyFont="1" applyFill="1" applyBorder="1" applyAlignment="1">
      <alignment horizontal="center" vertical="center"/>
    </xf>
    <xf numFmtId="2" fontId="5" fillId="3" borderId="6" xfId="1" applyNumberFormat="1" applyFont="1" applyFill="1" applyBorder="1" applyAlignment="1">
      <alignment horizontal="center" vertical="center"/>
    </xf>
    <xf numFmtId="0" fontId="26" fillId="0" borderId="0" xfId="1" applyFont="1" applyAlignment="1">
      <alignment horizontal="center"/>
    </xf>
    <xf numFmtId="0" fontId="5" fillId="0" borderId="2" xfId="1" applyFont="1" applyBorder="1" applyAlignment="1">
      <alignment horizontal="center" vertical="center"/>
    </xf>
    <xf numFmtId="0" fontId="5" fillId="0" borderId="6" xfId="1" applyFont="1" applyBorder="1" applyAlignment="1">
      <alignment horizontal="center" vertical="center"/>
    </xf>
    <xf numFmtId="0" fontId="5" fillId="0" borderId="8" xfId="1" applyFont="1" applyBorder="1" applyAlignment="1">
      <alignment horizontal="center"/>
    </xf>
    <xf numFmtId="0" fontId="5" fillId="0" borderId="9" xfId="1" applyFont="1" applyBorder="1" applyAlignment="1">
      <alignment horizontal="center"/>
    </xf>
    <xf numFmtId="0" fontId="5" fillId="0" borderId="2" xfId="1" applyFont="1" applyBorder="1" applyAlignment="1">
      <alignment horizontal="center"/>
    </xf>
    <xf numFmtId="0" fontId="5" fillId="0" borderId="6" xfId="1" applyFont="1" applyBorder="1" applyAlignment="1">
      <alignment horizontal="center"/>
    </xf>
    <xf numFmtId="0" fontId="16" fillId="0" borderId="2" xfId="1" applyFont="1" applyBorder="1" applyAlignment="1">
      <alignment horizontal="center"/>
    </xf>
    <xf numFmtId="0" fontId="16" fillId="0" borderId="6" xfId="1" applyFont="1" applyBorder="1" applyAlignment="1">
      <alignment horizontal="center"/>
    </xf>
    <xf numFmtId="2" fontId="5" fillId="0" borderId="3" xfId="1" applyNumberFormat="1" applyFont="1" applyBorder="1" applyAlignment="1">
      <alignment horizontal="center" vertical="center"/>
    </xf>
    <xf numFmtId="2" fontId="5" fillId="0" borderId="2" xfId="1" applyNumberFormat="1" applyFont="1" applyBorder="1" applyAlignment="1">
      <alignment horizontal="center" vertical="center"/>
    </xf>
    <xf numFmtId="2" fontId="5" fillId="0" borderId="10" xfId="1" applyNumberFormat="1" applyFont="1" applyBorder="1" applyAlignment="1">
      <alignment horizontal="center" vertical="center"/>
    </xf>
    <xf numFmtId="2" fontId="5" fillId="0" borderId="6" xfId="1" applyNumberFormat="1" applyFont="1" applyBorder="1" applyAlignment="1">
      <alignment horizontal="center" vertical="center"/>
    </xf>
    <xf numFmtId="2" fontId="5" fillId="3" borderId="10" xfId="1" applyNumberFormat="1" applyFont="1" applyFill="1" applyBorder="1" applyAlignment="1">
      <alignment horizontal="center" vertical="center"/>
    </xf>
    <xf numFmtId="0" fontId="2" fillId="0" borderId="3" xfId="1" applyBorder="1" applyAlignment="1">
      <alignment horizontal="center" wrapText="1"/>
    </xf>
    <xf numFmtId="0" fontId="2" fillId="0" borderId="3" xfId="1" applyBorder="1" applyAlignment="1">
      <alignment horizontal="center" vertical="top"/>
    </xf>
    <xf numFmtId="0" fontId="2" fillId="0" borderId="2" xfId="1" applyBorder="1" applyAlignment="1">
      <alignment horizontal="left" vertical="top"/>
    </xf>
    <xf numFmtId="0" fontId="2" fillId="0" borderId="6" xfId="1" applyBorder="1" applyAlignment="1">
      <alignment horizontal="left" vertical="top"/>
    </xf>
    <xf numFmtId="0" fontId="2" fillId="0" borderId="2" xfId="1" applyBorder="1" applyAlignment="1">
      <alignment horizontal="center" wrapText="1"/>
    </xf>
    <xf numFmtId="0" fontId="2" fillId="0" borderId="6" xfId="1" applyBorder="1" applyAlignment="1">
      <alignment horizontal="center" wrapText="1"/>
    </xf>
    <xf numFmtId="0" fontId="61" fillId="0" borderId="6" xfId="17" applyFont="1" applyBorder="1"/>
    <xf numFmtId="0" fontId="62" fillId="0" borderId="6" xfId="17" applyFont="1" applyBorder="1" applyAlignment="1">
      <alignment horizontal="center" vertical="top"/>
    </xf>
    <xf numFmtId="0" fontId="61" fillId="0" borderId="7" xfId="17" applyFont="1" applyBorder="1" applyAlignment="1">
      <alignment horizontal="center"/>
    </xf>
    <xf numFmtId="0" fontId="61" fillId="0" borderId="14" xfId="17" applyFont="1" applyBorder="1" applyAlignment="1">
      <alignment horizontal="center"/>
    </xf>
    <xf numFmtId="0" fontId="61" fillId="0" borderId="8" xfId="2" applyFont="1" applyBorder="1" applyAlignment="1">
      <alignment horizontal="center"/>
    </xf>
    <xf numFmtId="0" fontId="61" fillId="0" borderId="9" xfId="2" applyFont="1" applyBorder="1" applyAlignment="1">
      <alignment horizontal="center"/>
    </xf>
    <xf numFmtId="0" fontId="61" fillId="0" borderId="3" xfId="2" applyFont="1" applyBorder="1"/>
    <xf numFmtId="0" fontId="62" fillId="0" borderId="3" xfId="2" applyFont="1" applyBorder="1" applyAlignment="1">
      <alignment horizontal="center" vertical="top"/>
    </xf>
    <xf numFmtId="2" fontId="66" fillId="0" borderId="3" xfId="2" applyNumberFormat="1" applyFont="1" applyBorder="1" applyAlignment="1">
      <alignment horizontal="center" vertical="top"/>
    </xf>
    <xf numFmtId="0" fontId="66" fillId="0" borderId="3" xfId="2" applyFont="1" applyBorder="1" applyAlignment="1">
      <alignment horizontal="center"/>
    </xf>
    <xf numFmtId="0" fontId="61" fillId="0" borderId="8" xfId="17" applyFont="1" applyBorder="1" applyAlignment="1">
      <alignment horizontal="center"/>
    </xf>
    <xf numFmtId="0" fontId="61" fillId="0" borderId="9" xfId="17" applyFont="1" applyBorder="1" applyAlignment="1">
      <alignment horizontal="center"/>
    </xf>
    <xf numFmtId="0" fontId="62" fillId="0" borderId="6" xfId="2" applyFont="1" applyBorder="1" applyAlignment="1">
      <alignment horizontal="center" vertical="top"/>
    </xf>
    <xf numFmtId="0" fontId="62" fillId="0" borderId="0" xfId="2" applyFont="1" applyAlignment="1">
      <alignment horizontal="center" vertical="top"/>
    </xf>
    <xf numFmtId="0" fontId="66" fillId="0" borderId="8" xfId="2" applyFont="1" applyBorder="1" applyAlignment="1">
      <alignment horizontal="center" vertical="top"/>
    </xf>
    <xf numFmtId="0" fontId="66" fillId="0" borderId="15" xfId="2" applyFont="1" applyBorder="1" applyAlignment="1">
      <alignment horizontal="center" vertical="top"/>
    </xf>
    <xf numFmtId="0" fontId="66" fillId="0" borderId="9" xfId="2" applyFont="1" applyBorder="1" applyAlignment="1">
      <alignment horizontal="center" vertical="top"/>
    </xf>
    <xf numFmtId="0" fontId="66" fillId="0" borderId="3" xfId="2" applyFont="1" applyBorder="1" applyAlignment="1">
      <alignment horizontal="center" vertical="top"/>
    </xf>
    <xf numFmtId="0" fontId="57" fillId="0" borderId="0" xfId="2" applyFont="1" applyAlignment="1">
      <alignment horizontal="center" vertical="top"/>
    </xf>
    <xf numFmtId="0" fontId="66" fillId="0" borderId="2" xfId="2" applyFont="1" applyBorder="1" applyAlignment="1">
      <alignment horizontal="center" vertical="center"/>
    </xf>
    <xf numFmtId="0" fontId="66" fillId="0" borderId="6" xfId="2" applyFont="1" applyBorder="1" applyAlignment="1">
      <alignment horizontal="center" vertical="center"/>
    </xf>
    <xf numFmtId="0" fontId="66" fillId="0" borderId="2" xfId="2" applyFont="1" applyBorder="1" applyAlignment="1">
      <alignment horizontal="center" vertical="center" wrapText="1"/>
    </xf>
    <xf numFmtId="0" fontId="66" fillId="0" borderId="6" xfId="2" applyFont="1" applyBorder="1" applyAlignment="1">
      <alignment horizontal="center" vertical="center" wrapText="1"/>
    </xf>
    <xf numFmtId="0" fontId="66" fillId="0" borderId="8" xfId="2" applyFont="1" applyBorder="1" applyAlignment="1">
      <alignment horizontal="center" vertical="center"/>
    </xf>
    <xf numFmtId="0" fontId="66" fillId="0" borderId="3" xfId="2" applyFont="1" applyBorder="1" applyAlignment="1">
      <alignment horizontal="center" vertical="center"/>
    </xf>
    <xf numFmtId="2" fontId="56" fillId="0" borderId="0" xfId="0" applyNumberFormat="1" applyFont="1" applyAlignment="1">
      <alignment horizontal="center"/>
    </xf>
    <xf numFmtId="2" fontId="45" fillId="0" borderId="0" xfId="0" applyNumberFormat="1" applyFont="1" applyAlignment="1">
      <alignment horizontal="center" vertical="center" textRotation="90"/>
    </xf>
    <xf numFmtId="2" fontId="45" fillId="0" borderId="30" xfId="0" applyNumberFormat="1" applyFont="1" applyBorder="1" applyAlignment="1">
      <alignment horizontal="center" vertical="center" textRotation="90"/>
    </xf>
    <xf numFmtId="2" fontId="45" fillId="0" borderId="0" xfId="0" applyNumberFormat="1" applyFont="1" applyAlignment="1">
      <alignment horizontal="center" textRotation="90"/>
    </xf>
    <xf numFmtId="173" fontId="45" fillId="0" borderId="11" xfId="0" applyNumberFormat="1" applyFont="1" applyBorder="1" applyAlignment="1">
      <alignment horizontal="center"/>
    </xf>
    <xf numFmtId="173" fontId="45" fillId="0" borderId="0" xfId="0" applyNumberFormat="1" applyFont="1" applyAlignment="1">
      <alignment horizontal="center"/>
    </xf>
    <xf numFmtId="173" fontId="45" fillId="0" borderId="13" xfId="0" applyNumberFormat="1" applyFont="1" applyBorder="1" applyAlignment="1">
      <alignment horizontal="center"/>
    </xf>
    <xf numFmtId="2" fontId="46" fillId="0" borderId="5" xfId="0" applyNumberFormat="1" applyFont="1" applyBorder="1" applyAlignment="1">
      <alignment horizontal="center" vertical="center"/>
    </xf>
    <xf numFmtId="2" fontId="46" fillId="0" borderId="1" xfId="0" applyNumberFormat="1" applyFont="1" applyBorder="1" applyAlignment="1">
      <alignment horizontal="center" vertical="center"/>
    </xf>
    <xf numFmtId="2" fontId="0" fillId="0" borderId="0" xfId="0" applyNumberFormat="1" applyAlignment="1">
      <alignment horizontal="center" vertical="center" textRotation="90"/>
    </xf>
    <xf numFmtId="0" fontId="0" fillId="0" borderId="0" xfId="0" applyAlignment="1">
      <alignment horizontal="center" vertical="center" textRotation="90"/>
    </xf>
    <xf numFmtId="2" fontId="0" fillId="0" borderId="0" xfId="0" applyNumberFormat="1" applyAlignment="1">
      <alignment horizontal="center"/>
    </xf>
    <xf numFmtId="2" fontId="37" fillId="0" borderId="0" xfId="0" applyNumberFormat="1" applyFont="1" applyAlignment="1">
      <alignment horizontal="center"/>
    </xf>
    <xf numFmtId="0" fontId="43" fillId="0" borderId="0" xfId="0" applyFont="1" applyAlignment="1">
      <alignment horizontal="center"/>
    </xf>
    <xf numFmtId="2" fontId="9" fillId="0" borderId="11" xfId="0" applyNumberFormat="1" applyFont="1" applyBorder="1" applyAlignment="1">
      <alignment horizontal="center"/>
    </xf>
    <xf numFmtId="2" fontId="9" fillId="0" borderId="0" xfId="0" applyNumberFormat="1" applyFont="1" applyAlignment="1">
      <alignment horizontal="center"/>
    </xf>
    <xf numFmtId="2" fontId="9" fillId="0" borderId="13" xfId="0" applyNumberFormat="1" applyFont="1" applyBorder="1" applyAlignment="1">
      <alignment horizontal="center"/>
    </xf>
    <xf numFmtId="0" fontId="9" fillId="0" borderId="3" xfId="0" applyFont="1" applyBorder="1" applyAlignment="1">
      <alignment horizontal="center"/>
    </xf>
    <xf numFmtId="1" fontId="9" fillId="0" borderId="3" xfId="0" applyNumberFormat="1" applyFont="1" applyBorder="1" applyAlignment="1">
      <alignment horizontal="center"/>
    </xf>
    <xf numFmtId="2" fontId="9" fillId="0" borderId="3" xfId="0" applyNumberFormat="1" applyFont="1" applyBorder="1" applyAlignment="1">
      <alignment horizontal="center"/>
    </xf>
    <xf numFmtId="0" fontId="40" fillId="0" borderId="0" xfId="0" applyFont="1" applyAlignment="1">
      <alignment horizontal="center" vertical="center"/>
    </xf>
    <xf numFmtId="0" fontId="9" fillId="0" borderId="0" xfId="0" applyFont="1" applyAlignment="1">
      <alignment horizontal="center"/>
    </xf>
    <xf numFmtId="0" fontId="9" fillId="0" borderId="1" xfId="0" applyFont="1" applyBorder="1" applyAlignment="1">
      <alignment horizontal="center"/>
    </xf>
    <xf numFmtId="2" fontId="9" fillId="0" borderId="5" xfId="0" applyNumberFormat="1" applyFont="1" applyBorder="1" applyAlignment="1">
      <alignment horizontal="center" vertical="center"/>
    </xf>
    <xf numFmtId="2" fontId="9" fillId="0" borderId="0" xfId="0" applyNumberFormat="1" applyFont="1" applyAlignment="1">
      <alignment horizontal="center" vertical="center"/>
    </xf>
    <xf numFmtId="2" fontId="9" fillId="0" borderId="1" xfId="0" applyNumberFormat="1" applyFont="1" applyBorder="1" applyAlignment="1">
      <alignment horizontal="center" vertical="center"/>
    </xf>
    <xf numFmtId="2" fontId="0" fillId="0" borderId="11" xfId="0" applyNumberFormat="1" applyBorder="1" applyAlignment="1">
      <alignment horizontal="center"/>
    </xf>
    <xf numFmtId="0" fontId="0" fillId="0" borderId="3" xfId="0" applyBorder="1" applyAlignment="1">
      <alignment horizontal="center"/>
    </xf>
    <xf numFmtId="2" fontId="9" fillId="0" borderId="11" xfId="0" applyNumberFormat="1" applyFont="1" applyBorder="1" applyAlignment="1">
      <alignment horizontal="center" vertical="center"/>
    </xf>
    <xf numFmtId="2" fontId="9" fillId="0" borderId="13" xfId="0" applyNumberFormat="1"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7" xfId="0" applyFont="1" applyBorder="1" applyAlignment="1">
      <alignment horizontal="center" vertical="center"/>
    </xf>
    <xf numFmtId="0" fontId="9" fillId="0" borderId="1" xfId="0" applyFont="1" applyBorder="1" applyAlignment="1">
      <alignment horizontal="center" vertical="center"/>
    </xf>
    <xf numFmtId="2" fontId="37" fillId="0" borderId="11" xfId="0" applyNumberFormat="1" applyFont="1" applyBorder="1" applyAlignment="1">
      <alignment horizontal="center" vertical="center" textRotation="90"/>
    </xf>
    <xf numFmtId="2" fontId="37" fillId="0" borderId="13" xfId="0" applyNumberFormat="1" applyFont="1" applyBorder="1" applyAlignment="1">
      <alignment horizontal="center" vertical="center" textRotation="90"/>
    </xf>
    <xf numFmtId="169" fontId="0" fillId="0" borderId="4" xfId="0" applyNumberFormat="1" applyBorder="1" applyAlignment="1">
      <alignment horizontal="center"/>
    </xf>
    <xf numFmtId="169" fontId="0" fillId="0" borderId="12" xfId="0" applyNumberFormat="1" applyBorder="1" applyAlignment="1">
      <alignment horizontal="center"/>
    </xf>
    <xf numFmtId="169" fontId="0" fillId="0" borderId="7" xfId="0" applyNumberFormat="1" applyBorder="1" applyAlignment="1">
      <alignment horizontal="center"/>
    </xf>
    <xf numFmtId="169" fontId="0" fillId="0" borderId="14" xfId="0" applyNumberFormat="1" applyBorder="1" applyAlignment="1">
      <alignment horizontal="center"/>
    </xf>
    <xf numFmtId="169" fontId="0" fillId="0" borderId="0" xfId="0" applyNumberFormat="1" applyAlignment="1">
      <alignment horizontal="center" vertical="center" textRotation="90"/>
    </xf>
    <xf numFmtId="0" fontId="0" fillId="0" borderId="91" xfId="0" applyBorder="1" applyAlignment="1">
      <alignment horizontal="center"/>
    </xf>
    <xf numFmtId="2" fontId="37" fillId="0" borderId="5" xfId="0" applyNumberFormat="1" applyFont="1" applyBorder="1" applyAlignment="1">
      <alignment horizontal="center"/>
    </xf>
    <xf numFmtId="0" fontId="0" fillId="0" borderId="92" xfId="0" applyBorder="1" applyAlignment="1">
      <alignment horizontal="center"/>
    </xf>
    <xf numFmtId="0" fontId="0" fillId="0" borderId="4" xfId="0" applyBorder="1" applyAlignment="1">
      <alignment horizontal="center"/>
    </xf>
    <xf numFmtId="0" fontId="0" fillId="0" borderId="12" xfId="0" applyBorder="1" applyAlignment="1">
      <alignment horizontal="center"/>
    </xf>
    <xf numFmtId="0" fontId="0" fillId="0" borderId="0" xfId="0" applyAlignment="1">
      <alignment horizontal="center" vertical="center"/>
    </xf>
    <xf numFmtId="0" fontId="0" fillId="0" borderId="1" xfId="0" applyBorder="1" applyAlignment="1">
      <alignment horizontal="center" vertical="center"/>
    </xf>
    <xf numFmtId="2" fontId="0" fillId="0" borderId="4" xfId="0" applyNumberFormat="1" applyBorder="1" applyAlignment="1">
      <alignment horizontal="center"/>
    </xf>
    <xf numFmtId="2" fontId="0" fillId="0" borderId="5" xfId="0" applyNumberFormat="1" applyBorder="1" applyAlignment="1">
      <alignment horizontal="center"/>
    </xf>
    <xf numFmtId="2" fontId="0" fillId="0" borderId="12" xfId="0" applyNumberFormat="1" applyBorder="1" applyAlignment="1">
      <alignment horizontal="center"/>
    </xf>
    <xf numFmtId="2" fontId="0" fillId="0" borderId="13" xfId="0" applyNumberFormat="1" applyBorder="1" applyAlignment="1">
      <alignment horizontal="center"/>
    </xf>
    <xf numFmtId="2" fontId="0" fillId="0" borderId="7" xfId="0" applyNumberFormat="1" applyBorder="1" applyAlignment="1">
      <alignment horizontal="center"/>
    </xf>
    <xf numFmtId="2" fontId="0" fillId="0" borderId="1" xfId="0" applyNumberFormat="1" applyBorder="1" applyAlignment="1">
      <alignment horizontal="center"/>
    </xf>
    <xf numFmtId="2" fontId="0" fillId="0" borderId="14" xfId="0" applyNumberFormat="1" applyBorder="1" applyAlignment="1">
      <alignment horizontal="center"/>
    </xf>
    <xf numFmtId="2" fontId="37" fillId="0" borderId="11" xfId="0" applyNumberFormat="1" applyFont="1" applyBorder="1" applyAlignment="1">
      <alignment horizontal="center" textRotation="90"/>
    </xf>
    <xf numFmtId="2" fontId="37" fillId="0" borderId="0" xfId="0" applyNumberFormat="1" applyFont="1" applyAlignment="1">
      <alignment horizontal="center" textRotation="90"/>
    </xf>
    <xf numFmtId="2" fontId="37" fillId="0" borderId="13" xfId="0" applyNumberFormat="1" applyFont="1" applyBorder="1" applyAlignment="1">
      <alignment horizontal="center" textRotation="90"/>
    </xf>
    <xf numFmtId="2" fontId="37" fillId="0" borderId="7" xfId="0" applyNumberFormat="1" applyFont="1" applyBorder="1" applyAlignment="1">
      <alignment horizontal="center" textRotation="90"/>
    </xf>
    <xf numFmtId="2" fontId="37" fillId="0" borderId="1" xfId="0" applyNumberFormat="1" applyFont="1" applyBorder="1" applyAlignment="1">
      <alignment horizontal="center" textRotation="90"/>
    </xf>
    <xf numFmtId="2" fontId="37" fillId="0" borderId="14" xfId="0" applyNumberFormat="1" applyFont="1" applyBorder="1" applyAlignment="1">
      <alignment horizontal="center" textRotation="90"/>
    </xf>
    <xf numFmtId="169" fontId="0" fillId="0" borderId="5" xfId="0" applyNumberFormat="1" applyBorder="1" applyAlignment="1">
      <alignment horizontal="center" vertical="center" textRotation="90"/>
    </xf>
    <xf numFmtId="0" fontId="0" fillId="0" borderId="5" xfId="0" applyBorder="1" applyAlignment="1">
      <alignment horizontal="center" vertical="center" textRotation="90"/>
    </xf>
    <xf numFmtId="0" fontId="0" fillId="0" borderId="1" xfId="0" applyBorder="1" applyAlignment="1">
      <alignment horizontal="center" vertical="center" textRotation="90"/>
    </xf>
    <xf numFmtId="2" fontId="38" fillId="0" borderId="4" xfId="0" applyNumberFormat="1" applyFont="1" applyBorder="1" applyAlignment="1">
      <alignment horizontal="center" textRotation="90"/>
    </xf>
    <xf numFmtId="2" fontId="38" fillId="0" borderId="5" xfId="0" applyNumberFormat="1" applyFont="1" applyBorder="1" applyAlignment="1">
      <alignment horizontal="center" textRotation="90"/>
    </xf>
    <xf numFmtId="2" fontId="38" fillId="0" borderId="12" xfId="0" applyNumberFormat="1" applyFont="1" applyBorder="1" applyAlignment="1">
      <alignment horizontal="center" textRotation="90"/>
    </xf>
    <xf numFmtId="2" fontId="38" fillId="0" borderId="11" xfId="0" applyNumberFormat="1" applyFont="1" applyBorder="1" applyAlignment="1">
      <alignment horizontal="center" textRotation="90"/>
    </xf>
    <xf numFmtId="2" fontId="38" fillId="0" borderId="0" xfId="0" applyNumberFormat="1" applyFont="1" applyAlignment="1">
      <alignment horizontal="center" textRotation="90"/>
    </xf>
    <xf numFmtId="2" fontId="38" fillId="0" borderId="13" xfId="0" applyNumberFormat="1" applyFont="1" applyBorder="1" applyAlignment="1">
      <alignment horizontal="center" textRotation="90"/>
    </xf>
    <xf numFmtId="2" fontId="38" fillId="0" borderId="7" xfId="0" applyNumberFormat="1" applyFont="1" applyBorder="1" applyAlignment="1">
      <alignment horizontal="center" textRotation="90"/>
    </xf>
    <xf numFmtId="2" fontId="38" fillId="0" borderId="1" xfId="0" applyNumberFormat="1" applyFont="1" applyBorder="1" applyAlignment="1">
      <alignment horizontal="center" textRotation="90"/>
    </xf>
    <xf numFmtId="2" fontId="38" fillId="0" borderId="14" xfId="0" applyNumberFormat="1" applyFont="1" applyBorder="1" applyAlignment="1">
      <alignment horizontal="center" textRotation="90"/>
    </xf>
    <xf numFmtId="169" fontId="43" fillId="0" borderId="0" xfId="0" applyNumberFormat="1" applyFont="1" applyAlignment="1">
      <alignment horizontal="center" vertical="center"/>
    </xf>
    <xf numFmtId="169" fontId="43" fillId="0" borderId="5" xfId="0" applyNumberFormat="1" applyFont="1" applyBorder="1" applyAlignment="1">
      <alignment horizontal="center" vertical="center"/>
    </xf>
    <xf numFmtId="169" fontId="43" fillId="0" borderId="1" xfId="0" applyNumberFormat="1" applyFont="1" applyBorder="1" applyAlignment="1">
      <alignment horizontal="center" vertical="center"/>
    </xf>
    <xf numFmtId="0" fontId="0" fillId="0" borderId="5" xfId="0" applyBorder="1" applyAlignment="1">
      <alignment horizontal="center" vertical="center"/>
    </xf>
    <xf numFmtId="2" fontId="37" fillId="0" borderId="11" xfId="0" applyNumberFormat="1" applyFont="1" applyBorder="1" applyAlignment="1">
      <alignment horizontal="center"/>
    </xf>
    <xf numFmtId="2" fontId="37" fillId="0" borderId="13" xfId="0" applyNumberFormat="1" applyFont="1" applyBorder="1" applyAlignment="1">
      <alignment horizontal="center"/>
    </xf>
    <xf numFmtId="0" fontId="42" fillId="0" borderId="0" xfId="0" applyFont="1" applyAlignment="1">
      <alignment horizontal="center"/>
    </xf>
    <xf numFmtId="2" fontId="37" fillId="0" borderId="4" xfId="0" applyNumberFormat="1" applyFont="1" applyBorder="1" applyAlignment="1">
      <alignment horizontal="center" vertical="center" textRotation="90"/>
    </xf>
    <xf numFmtId="2" fontId="37" fillId="0" borderId="12" xfId="0" applyNumberFormat="1" applyFont="1" applyBorder="1" applyAlignment="1">
      <alignment horizontal="center" vertical="center" textRotation="90"/>
    </xf>
    <xf numFmtId="2" fontId="0" fillId="0" borderId="5" xfId="0" applyNumberFormat="1" applyBorder="1" applyAlignment="1">
      <alignment horizontal="center" vertical="center" textRotation="90"/>
    </xf>
    <xf numFmtId="0" fontId="90" fillId="0" borderId="0" xfId="0" applyFont="1" applyAlignment="1">
      <alignment horizontal="center" vertical="center"/>
    </xf>
    <xf numFmtId="169" fontId="47" fillId="0" borderId="5" xfId="0" applyNumberFormat="1" applyFont="1" applyBorder="1" applyAlignment="1">
      <alignment horizontal="center" vertical="center"/>
    </xf>
    <xf numFmtId="169" fontId="47" fillId="0" borderId="0" xfId="0" applyNumberFormat="1" applyFont="1" applyAlignment="1">
      <alignment horizontal="center" vertical="center"/>
    </xf>
    <xf numFmtId="169" fontId="47" fillId="0" borderId="1" xfId="0" applyNumberFormat="1" applyFont="1" applyBorder="1" applyAlignment="1">
      <alignment horizontal="center" vertical="center"/>
    </xf>
    <xf numFmtId="169" fontId="47" fillId="0" borderId="4" xfId="0" applyNumberFormat="1" applyFont="1" applyBorder="1" applyAlignment="1">
      <alignment horizontal="center" vertical="center"/>
    </xf>
    <xf numFmtId="169" fontId="47" fillId="0" borderId="7" xfId="0" applyNumberFormat="1" applyFont="1" applyBorder="1" applyAlignment="1">
      <alignment horizontal="center" vertical="center"/>
    </xf>
    <xf numFmtId="173" fontId="46" fillId="0" borderId="11" xfId="0" applyNumberFormat="1" applyFont="1" applyBorder="1" applyAlignment="1">
      <alignment horizontal="center"/>
    </xf>
    <xf numFmtId="173" fontId="46" fillId="0" borderId="0" xfId="0" applyNumberFormat="1" applyFont="1" applyAlignment="1">
      <alignment horizontal="center"/>
    </xf>
    <xf numFmtId="173" fontId="46" fillId="0" borderId="13" xfId="0" applyNumberFormat="1" applyFont="1" applyBorder="1" applyAlignment="1">
      <alignment horizontal="center"/>
    </xf>
    <xf numFmtId="0" fontId="133" fillId="0" borderId="27" xfId="1" applyFont="1" applyBorder="1" applyAlignment="1">
      <alignment horizontal="center"/>
    </xf>
    <xf numFmtId="0" fontId="133" fillId="0" borderId="0" xfId="1" applyFont="1" applyAlignment="1">
      <alignment horizontal="center"/>
    </xf>
    <xf numFmtId="0" fontId="133" fillId="0" borderId="28" xfId="1" applyFont="1" applyBorder="1" applyAlignment="1">
      <alignment horizontal="center"/>
    </xf>
    <xf numFmtId="0" fontId="134" fillId="0" borderId="27" xfId="1" applyFont="1" applyBorder="1" applyAlignment="1">
      <alignment horizontal="right"/>
    </xf>
    <xf numFmtId="0" fontId="134" fillId="0" borderId="0" xfId="1" applyFont="1" applyAlignment="1">
      <alignment horizontal="right"/>
    </xf>
    <xf numFmtId="0" fontId="134" fillId="0" borderId="0" xfId="1" applyFont="1" applyAlignment="1">
      <alignment horizontal="justify" vertical="top" wrapText="1"/>
    </xf>
    <xf numFmtId="0" fontId="134" fillId="0" borderId="28" xfId="1" applyFont="1" applyBorder="1" applyAlignment="1">
      <alignment horizontal="justify" vertical="top" wrapText="1"/>
    </xf>
    <xf numFmtId="0" fontId="134" fillId="0" borderId="0" xfId="1" applyFont="1" applyAlignment="1">
      <alignment horizontal="right" vertical="top"/>
    </xf>
    <xf numFmtId="2" fontId="134" fillId="0" borderId="0" xfId="1" applyNumberFormat="1" applyFont="1" applyAlignment="1">
      <alignment horizontal="justify" vertical="top" wrapText="1"/>
    </xf>
    <xf numFmtId="0" fontId="150" fillId="0" borderId="27" xfId="1" applyFont="1" applyBorder="1" applyAlignment="1">
      <alignment horizontal="center"/>
    </xf>
    <xf numFmtId="0" fontId="150" fillId="0" borderId="0" xfId="1" applyFont="1" applyAlignment="1">
      <alignment horizontal="center"/>
    </xf>
    <xf numFmtId="0" fontId="150" fillId="0" borderId="28" xfId="1" applyFont="1" applyBorder="1" applyAlignment="1">
      <alignment horizontal="center"/>
    </xf>
    <xf numFmtId="0" fontId="134" fillId="0" borderId="0" xfId="1" applyFont="1" applyAlignment="1">
      <alignment horizontal="left"/>
    </xf>
    <xf numFmtId="2" fontId="134" fillId="0" borderId="0" xfId="1" applyNumberFormat="1" applyFont="1" applyAlignment="1">
      <alignment horizontal="left" vertical="top"/>
    </xf>
    <xf numFmtId="0" fontId="14" fillId="0" borderId="0" xfId="1" applyFont="1" applyAlignment="1">
      <alignment horizontal="justify" vertical="top" wrapText="1"/>
    </xf>
    <xf numFmtId="0" fontId="136" fillId="0" borderId="0" xfId="1" applyFont="1" applyAlignment="1">
      <alignment horizontal="center" vertical="top"/>
    </xf>
    <xf numFmtId="0" fontId="137" fillId="0" borderId="0" xfId="1" applyFont="1" applyAlignment="1">
      <alignment horizontal="center" vertical="top"/>
    </xf>
    <xf numFmtId="0" fontId="14" fillId="0" borderId="0" xfId="1" applyFont="1" applyAlignment="1">
      <alignment vertical="top" wrapText="1"/>
    </xf>
    <xf numFmtId="0" fontId="14" fillId="0" borderId="0" xfId="1" applyFont="1" applyAlignment="1">
      <alignment vertical="top"/>
    </xf>
    <xf numFmtId="0" fontId="14" fillId="0" borderId="0" xfId="1" applyFont="1" applyAlignment="1">
      <alignment horizontal="left" vertical="top" wrapText="1"/>
    </xf>
    <xf numFmtId="0" fontId="14" fillId="0" borderId="0" xfId="1" applyFont="1" applyAlignment="1">
      <alignment horizontal="center" vertical="top"/>
    </xf>
    <xf numFmtId="0" fontId="132" fillId="0" borderId="0" xfId="1" applyFont="1" applyAlignment="1">
      <alignment horizontal="center" vertical="top" wrapText="1"/>
    </xf>
    <xf numFmtId="0" fontId="11" fillId="0" borderId="0" xfId="1" applyFont="1" applyAlignment="1">
      <alignment horizontal="center" vertical="top"/>
    </xf>
    <xf numFmtId="0" fontId="3" fillId="0" borderId="3" xfId="1" applyFont="1" applyBorder="1" applyAlignment="1" applyProtection="1">
      <alignment horizontal="center" vertical="center"/>
      <protection locked="0"/>
    </xf>
    <xf numFmtId="2" fontId="4" fillId="0" borderId="8" xfId="2" applyNumberFormat="1" applyFont="1" applyBorder="1" applyAlignment="1" applyProtection="1">
      <alignment horizontal="right" vertical="center"/>
      <protection locked="0"/>
    </xf>
    <xf numFmtId="2" fontId="4" fillId="0" borderId="26" xfId="2" applyNumberFormat="1" applyFont="1" applyBorder="1" applyAlignment="1" applyProtection="1">
      <alignment horizontal="right" vertical="center"/>
      <protection locked="0"/>
    </xf>
    <xf numFmtId="2" fontId="3" fillId="0" borderId="8" xfId="2" applyNumberFormat="1" applyFont="1" applyBorder="1" applyAlignment="1">
      <alignment horizontal="center" vertical="center"/>
    </xf>
    <xf numFmtId="2" fontId="3" fillId="0" borderId="9" xfId="2" applyNumberFormat="1" applyFont="1" applyBorder="1" applyAlignment="1">
      <alignment horizontal="center" vertical="center"/>
    </xf>
    <xf numFmtId="2" fontId="3" fillId="0" borderId="8" xfId="1" applyNumberFormat="1" applyFont="1" applyBorder="1" applyAlignment="1">
      <alignment horizontal="center" vertical="center"/>
    </xf>
    <xf numFmtId="2" fontId="3" fillId="0" borderId="9" xfId="1" applyNumberFormat="1" applyFont="1" applyBorder="1" applyAlignment="1">
      <alignment horizontal="center" vertical="center"/>
    </xf>
    <xf numFmtId="2" fontId="4" fillId="0" borderId="8" xfId="1" applyNumberFormat="1" applyFont="1" applyBorder="1" applyAlignment="1" applyProtection="1">
      <alignment horizontal="right" vertical="center"/>
      <protection locked="0"/>
    </xf>
    <xf numFmtId="2" fontId="4" fillId="0" borderId="26" xfId="1" applyNumberFormat="1" applyFont="1" applyBorder="1" applyAlignment="1" applyProtection="1">
      <alignment horizontal="right" vertical="center"/>
      <protection locked="0"/>
    </xf>
    <xf numFmtId="2" fontId="4" fillId="0" borderId="3" xfId="1" applyNumberFormat="1" applyFont="1" applyBorder="1" applyAlignment="1">
      <alignment horizontal="right" vertical="center"/>
    </xf>
    <xf numFmtId="2" fontId="4" fillId="3" borderId="3" xfId="1" applyNumberFormat="1" applyFont="1" applyFill="1" applyBorder="1" applyAlignment="1" applyProtection="1">
      <alignment horizontal="right" vertical="center"/>
      <protection locked="0"/>
    </xf>
    <xf numFmtId="2" fontId="3" fillId="0" borderId="3" xfId="1" applyNumberFormat="1" applyFont="1" applyBorder="1" applyAlignment="1">
      <alignment horizontal="center" vertical="center"/>
    </xf>
    <xf numFmtId="0" fontId="4" fillId="3" borderId="3" xfId="1" applyFont="1" applyFill="1" applyBorder="1" applyAlignment="1">
      <alignment horizontal="center" vertical="center" wrapText="1"/>
    </xf>
    <xf numFmtId="0" fontId="3" fillId="3" borderId="3" xfId="2" applyFont="1" applyFill="1" applyBorder="1"/>
    <xf numFmtId="2" fontId="4" fillId="3" borderId="3" xfId="1" applyNumberFormat="1" applyFont="1" applyFill="1" applyBorder="1" applyAlignment="1">
      <alignment horizontal="right"/>
    </xf>
    <xf numFmtId="0" fontId="4" fillId="3" borderId="3" xfId="1" applyFont="1" applyFill="1" applyBorder="1" applyAlignment="1">
      <alignment horizontal="center" vertical="center"/>
    </xf>
    <xf numFmtId="166" fontId="4" fillId="3" borderId="3" xfId="1" applyNumberFormat="1" applyFont="1" applyFill="1" applyBorder="1" applyAlignment="1">
      <alignment horizontal="right"/>
    </xf>
    <xf numFmtId="0" fontId="4" fillId="0" borderId="3" xfId="2" applyFont="1" applyBorder="1" applyAlignment="1">
      <alignment horizontal="center"/>
    </xf>
    <xf numFmtId="16" fontId="3" fillId="3" borderId="3" xfId="1" applyNumberFormat="1" applyFont="1" applyFill="1" applyBorder="1" applyAlignment="1">
      <alignment horizontal="center" vertical="justify"/>
    </xf>
    <xf numFmtId="2" fontId="4" fillId="8" borderId="3" xfId="1" applyNumberFormat="1" applyFont="1" applyFill="1" applyBorder="1" applyAlignment="1">
      <alignment horizontal="right"/>
    </xf>
    <xf numFmtId="0" fontId="4" fillId="0" borderId="8" xfId="2" applyFont="1" applyBorder="1" applyAlignment="1">
      <alignment horizontal="center"/>
    </xf>
    <xf numFmtId="0" fontId="4" fillId="0" borderId="15" xfId="2" applyFont="1" applyBorder="1" applyAlignment="1">
      <alignment horizontal="center"/>
    </xf>
    <xf numFmtId="0" fontId="4" fillId="0" borderId="9" xfId="2" applyFont="1" applyBorder="1" applyAlignment="1">
      <alignment horizontal="center"/>
    </xf>
    <xf numFmtId="0" fontId="4" fillId="0" borderId="2" xfId="2" applyFont="1" applyBorder="1" applyAlignment="1">
      <alignment horizontal="center" vertical="center"/>
    </xf>
    <xf numFmtId="0" fontId="4" fillId="0" borderId="6" xfId="2" applyFont="1" applyBorder="1" applyAlignment="1">
      <alignment horizontal="center" vertical="center"/>
    </xf>
    <xf numFmtId="0" fontId="3" fillId="0" borderId="2" xfId="2" applyFont="1" applyBorder="1" applyAlignment="1">
      <alignment horizontal="center"/>
    </xf>
    <xf numFmtId="0" fontId="3" fillId="0" borderId="6" xfId="2" applyFont="1" applyBorder="1" applyAlignment="1">
      <alignment horizontal="center"/>
    </xf>
    <xf numFmtId="0" fontId="4" fillId="0" borderId="3" xfId="2" applyFont="1" applyBorder="1" applyAlignment="1">
      <alignment horizontal="center" wrapText="1"/>
    </xf>
    <xf numFmtId="0" fontId="4" fillId="0" borderId="3" xfId="1" applyFont="1" applyBorder="1" applyAlignment="1">
      <alignment horizontal="center" vertical="center"/>
    </xf>
    <xf numFmtId="0" fontId="4" fillId="3" borderId="3" xfId="1" applyFont="1" applyFill="1" applyBorder="1" applyAlignment="1" applyProtection="1">
      <alignment horizontal="center" vertical="center"/>
      <protection locked="0"/>
    </xf>
    <xf numFmtId="0" fontId="4" fillId="0" borderId="2" xfId="2" applyFont="1" applyBorder="1" applyAlignment="1">
      <alignment horizontal="center" wrapText="1"/>
    </xf>
    <xf numFmtId="0" fontId="4" fillId="0" borderId="6" xfId="2" applyFont="1" applyBorder="1" applyAlignment="1">
      <alignment horizontal="center" wrapText="1"/>
    </xf>
    <xf numFmtId="0" fontId="4" fillId="0" borderId="8" xfId="1" applyFont="1" applyBorder="1" applyAlignment="1">
      <alignment horizontal="center" vertical="center"/>
    </xf>
    <xf numFmtId="0" fontId="4" fillId="0" borderId="9" xfId="1" applyFont="1" applyBorder="1" applyAlignment="1">
      <alignment horizontal="center" vertical="center"/>
    </xf>
    <xf numFmtId="0" fontId="3" fillId="3" borderId="3" xfId="1" applyFont="1" applyFill="1" applyBorder="1" applyAlignment="1" applyProtection="1">
      <alignment horizontal="center" vertical="center"/>
      <protection locked="0"/>
    </xf>
    <xf numFmtId="0" fontId="113" fillId="0" borderId="0" xfId="1" applyFont="1" applyAlignment="1">
      <alignment horizontal="center" vertical="center"/>
    </xf>
    <xf numFmtId="0" fontId="10" fillId="3" borderId="0" xfId="1" applyFont="1" applyFill="1" applyAlignment="1">
      <alignment horizontal="left" vertical="center"/>
    </xf>
    <xf numFmtId="2" fontId="4" fillId="3" borderId="3" xfId="1" applyNumberFormat="1" applyFont="1" applyFill="1" applyBorder="1" applyAlignment="1">
      <alignment horizontal="center" vertical="center"/>
    </xf>
    <xf numFmtId="2" fontId="4" fillId="3" borderId="3" xfId="1" applyNumberFormat="1" applyFont="1" applyFill="1" applyBorder="1" applyAlignment="1">
      <alignment horizontal="right" vertical="top"/>
    </xf>
    <xf numFmtId="0" fontId="3" fillId="3" borderId="3" xfId="1" applyFont="1" applyFill="1" applyBorder="1" applyAlignment="1">
      <alignment horizontal="center" vertical="top"/>
    </xf>
    <xf numFmtId="0" fontId="4" fillId="0" borderId="2" xfId="1" applyFont="1" applyBorder="1" applyAlignment="1">
      <alignment horizontal="center" vertical="center"/>
    </xf>
    <xf numFmtId="0" fontId="4" fillId="0" borderId="10" xfId="1" applyFont="1" applyBorder="1" applyAlignment="1">
      <alignment horizontal="center" vertical="center"/>
    </xf>
    <xf numFmtId="0" fontId="4" fillId="0" borderId="6" xfId="1" applyFont="1" applyBorder="1" applyAlignment="1">
      <alignment horizontal="center" vertical="center"/>
    </xf>
    <xf numFmtId="2" fontId="3" fillId="0" borderId="3" xfId="1" applyNumberFormat="1" applyFont="1" applyBorder="1" applyAlignment="1">
      <alignment horizontal="center" vertical="top"/>
    </xf>
    <xf numFmtId="2" fontId="3" fillId="3" borderId="3" xfId="1" applyNumberFormat="1" applyFont="1" applyFill="1" applyBorder="1" applyAlignment="1">
      <alignment horizontal="center" vertical="top"/>
    </xf>
    <xf numFmtId="0" fontId="4" fillId="3" borderId="3" xfId="1" applyFont="1" applyFill="1" applyBorder="1" applyAlignment="1">
      <alignment horizontal="center" vertical="top"/>
    </xf>
    <xf numFmtId="0" fontId="4" fillId="3" borderId="3" xfId="1" applyFont="1" applyFill="1" applyBorder="1" applyAlignment="1">
      <alignment horizontal="center" vertical="justify"/>
    </xf>
    <xf numFmtId="0" fontId="3" fillId="3" borderId="3" xfId="2" applyFont="1" applyFill="1" applyBorder="1" applyAlignment="1">
      <alignment horizontal="center"/>
    </xf>
    <xf numFmtId="2" fontId="4" fillId="3" borderId="3" xfId="1" applyNumberFormat="1" applyFont="1" applyFill="1" applyBorder="1" applyAlignment="1">
      <alignment horizontal="center" vertical="justify"/>
    </xf>
    <xf numFmtId="2" fontId="4" fillId="8" borderId="3" xfId="1" applyNumberFormat="1" applyFont="1" applyFill="1" applyBorder="1" applyAlignment="1">
      <alignment horizontal="center" vertical="center"/>
    </xf>
    <xf numFmtId="0" fontId="4" fillId="8" borderId="3" xfId="1" applyFont="1" applyFill="1" applyBorder="1" applyAlignment="1">
      <alignment horizontal="center" vertical="center"/>
    </xf>
    <xf numFmtId="2" fontId="4" fillId="8" borderId="3" xfId="1" applyNumberFormat="1" applyFont="1" applyFill="1" applyBorder="1" applyAlignment="1">
      <alignment horizontal="right" vertical="top"/>
    </xf>
    <xf numFmtId="2" fontId="4" fillId="3" borderId="3" xfId="1" applyNumberFormat="1" applyFont="1" applyFill="1" applyBorder="1" applyAlignment="1">
      <alignment horizontal="center"/>
    </xf>
    <xf numFmtId="166" fontId="4" fillId="8" borderId="3" xfId="1" applyNumberFormat="1" applyFont="1" applyFill="1" applyBorder="1" applyAlignment="1">
      <alignment horizontal="right"/>
    </xf>
    <xf numFmtId="2" fontId="4" fillId="0" borderId="3" xfId="1" applyNumberFormat="1" applyFont="1" applyBorder="1" applyAlignment="1" applyProtection="1">
      <alignment horizontal="right" vertical="center"/>
      <protection locked="0"/>
    </xf>
    <xf numFmtId="2" fontId="4" fillId="0" borderId="23" xfId="1" applyNumberFormat="1" applyFont="1" applyBorder="1" applyAlignment="1" applyProtection="1">
      <alignment horizontal="right" vertical="center"/>
      <protection locked="0"/>
    </xf>
    <xf numFmtId="2" fontId="4" fillId="0" borderId="8" xfId="1" applyNumberFormat="1" applyFont="1" applyBorder="1" applyAlignment="1">
      <alignment horizontal="center" vertical="center"/>
    </xf>
    <xf numFmtId="2" fontId="4" fillId="0" borderId="9" xfId="1" applyNumberFormat="1" applyFont="1" applyBorder="1" applyAlignment="1">
      <alignment horizontal="center" vertical="center"/>
    </xf>
    <xf numFmtId="2" fontId="4" fillId="8" borderId="8" xfId="1" applyNumberFormat="1" applyFont="1" applyFill="1" applyBorder="1" applyAlignment="1">
      <alignment horizontal="center" vertical="center"/>
    </xf>
    <xf numFmtId="2" fontId="4" fillId="8" borderId="9" xfId="1" applyNumberFormat="1" applyFont="1" applyFill="1" applyBorder="1" applyAlignment="1">
      <alignment horizontal="center" vertical="center"/>
    </xf>
    <xf numFmtId="0" fontId="111" fillId="0" borderId="0" xfId="1" applyFont="1" applyAlignment="1">
      <alignment horizontal="center" vertical="top"/>
    </xf>
    <xf numFmtId="0" fontId="6" fillId="0" borderId="0" xfId="1" applyFont="1" applyAlignment="1">
      <alignment horizontal="left" vertical="justify"/>
    </xf>
    <xf numFmtId="0" fontId="6" fillId="0" borderId="0" xfId="1" applyFont="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4" fillId="0" borderId="3" xfId="2" applyFont="1" applyBorder="1" applyAlignment="1">
      <alignment horizontal="center" vertical="center"/>
    </xf>
    <xf numFmtId="0" fontId="4" fillId="2" borderId="0" xfId="1" applyFont="1" applyFill="1" applyAlignment="1">
      <alignment vertical="center"/>
    </xf>
    <xf numFmtId="0" fontId="3" fillId="0" borderId="0" xfId="2" applyFont="1" applyAlignment="1">
      <alignment horizontal="center"/>
    </xf>
    <xf numFmtId="0" fontId="3" fillId="0" borderId="8" xfId="1" applyFont="1" applyBorder="1" applyAlignment="1" applyProtection="1">
      <alignment horizontal="center" vertical="center"/>
      <protection locked="0"/>
    </xf>
    <xf numFmtId="0" fontId="3" fillId="0" borderId="9" xfId="2" applyFont="1" applyBorder="1"/>
    <xf numFmtId="0" fontId="3" fillId="0" borderId="0" xfId="2" applyFont="1"/>
    <xf numFmtId="0" fontId="4" fillId="2" borderId="1" xfId="2" applyFont="1" applyFill="1" applyBorder="1" applyAlignment="1">
      <alignment horizontal="center" vertical="center"/>
    </xf>
    <xf numFmtId="0" fontId="4" fillId="2"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3" borderId="12" xfId="1" applyFont="1" applyFill="1" applyBorder="1" applyAlignment="1">
      <alignment horizontal="center" vertical="center"/>
    </xf>
    <xf numFmtId="0" fontId="4" fillId="3" borderId="8" xfId="1" applyFont="1" applyFill="1" applyBorder="1" applyAlignment="1">
      <alignment horizontal="center" vertical="center"/>
    </xf>
    <xf numFmtId="0" fontId="4" fillId="3" borderId="15" xfId="1" applyFont="1" applyFill="1" applyBorder="1" applyAlignment="1">
      <alignment horizontal="center" vertical="center"/>
    </xf>
    <xf numFmtId="0" fontId="4" fillId="3" borderId="9" xfId="1" applyFont="1" applyFill="1" applyBorder="1" applyAlignment="1">
      <alignment horizontal="center" vertical="center"/>
    </xf>
    <xf numFmtId="0" fontId="11" fillId="3" borderId="0" xfId="1" applyFont="1" applyFill="1" applyAlignment="1">
      <alignment horizontal="left" vertical="justify"/>
    </xf>
    <xf numFmtId="0" fontId="11" fillId="3" borderId="0" xfId="1" applyFont="1" applyFill="1" applyAlignment="1">
      <alignment horizontal="left" vertical="top"/>
    </xf>
    <xf numFmtId="0" fontId="4" fillId="2" borderId="1" xfId="2" applyFont="1" applyFill="1" applyBorder="1" applyAlignment="1" applyProtection="1">
      <alignment horizontal="center" vertical="center"/>
      <protection locked="0"/>
    </xf>
    <xf numFmtId="0" fontId="3" fillId="3" borderId="2" xfId="2" applyFont="1" applyFill="1" applyBorder="1" applyAlignment="1">
      <alignment horizontal="center"/>
    </xf>
    <xf numFmtId="0" fontId="3" fillId="3" borderId="10" xfId="2" applyFont="1" applyFill="1" applyBorder="1" applyAlignment="1">
      <alignment horizontal="center"/>
    </xf>
    <xf numFmtId="0" fontId="3" fillId="3" borderId="6" xfId="2" applyFont="1" applyFill="1" applyBorder="1" applyAlignment="1">
      <alignment horizontal="center"/>
    </xf>
    <xf numFmtId="0" fontId="11" fillId="0" borderId="0" xfId="1" applyFont="1" applyAlignment="1">
      <alignment horizontal="left" vertical="justify"/>
    </xf>
    <xf numFmtId="0" fontId="11" fillId="0" borderId="0" xfId="1" applyFont="1" applyAlignment="1">
      <alignment horizontal="left" vertical="top" wrapText="1"/>
    </xf>
    <xf numFmtId="0" fontId="4" fillId="0" borderId="0" xfId="2" applyFont="1" applyAlignment="1">
      <alignment horizontal="center"/>
    </xf>
    <xf numFmtId="0" fontId="111" fillId="3" borderId="0" xfId="1" applyFont="1" applyFill="1" applyAlignment="1">
      <alignment horizontal="center" vertical="center"/>
    </xf>
    <xf numFmtId="0" fontId="4" fillId="0" borderId="17" xfId="1" applyFont="1" applyBorder="1" applyAlignment="1">
      <alignment horizontal="center" vertical="center"/>
    </xf>
    <xf numFmtId="0" fontId="4" fillId="0" borderId="18" xfId="1" applyFont="1" applyBorder="1" applyAlignment="1">
      <alignment horizontal="center" vertical="center"/>
    </xf>
    <xf numFmtId="0" fontId="4" fillId="0" borderId="19" xfId="1" applyFont="1" applyBorder="1" applyAlignment="1">
      <alignment horizontal="center" vertical="center"/>
    </xf>
    <xf numFmtId="0" fontId="4" fillId="0" borderId="7" xfId="1" applyFont="1" applyBorder="1" applyAlignment="1">
      <alignment horizontal="center" vertical="center"/>
    </xf>
    <xf numFmtId="0" fontId="4" fillId="0" borderId="1" xfId="1" applyFont="1" applyBorder="1" applyAlignment="1">
      <alignment horizontal="center" vertical="center"/>
    </xf>
    <xf numFmtId="0" fontId="4" fillId="0" borderId="14" xfId="1" applyFont="1" applyBorder="1" applyAlignment="1">
      <alignment horizontal="center" vertical="center"/>
    </xf>
    <xf numFmtId="0" fontId="3" fillId="0" borderId="18" xfId="2" applyFont="1" applyBorder="1"/>
    <xf numFmtId="0" fontId="4" fillId="0" borderId="20" xfId="1" applyFont="1" applyBorder="1" applyAlignment="1">
      <alignment horizontal="center" vertical="justify"/>
    </xf>
    <xf numFmtId="0" fontId="4" fillId="0" borderId="3" xfId="1" applyFont="1" applyBorder="1" applyAlignment="1">
      <alignment horizontal="center" vertical="justify"/>
    </xf>
    <xf numFmtId="0" fontId="4" fillId="0" borderId="20" xfId="1" applyFont="1" applyBorder="1" applyAlignment="1">
      <alignment horizontal="center" vertical="center"/>
    </xf>
    <xf numFmtId="0" fontId="4" fillId="0" borderId="21" xfId="1" applyFont="1" applyBorder="1" applyAlignment="1">
      <alignment horizontal="center" vertical="center"/>
    </xf>
    <xf numFmtId="0" fontId="4" fillId="0" borderId="23" xfId="1" applyFont="1" applyBorder="1" applyAlignment="1">
      <alignment horizontal="center" vertical="center"/>
    </xf>
    <xf numFmtId="0" fontId="4" fillId="3" borderId="0" xfId="1" applyFont="1" applyFill="1" applyAlignment="1">
      <alignment horizontal="center" vertical="center"/>
    </xf>
    <xf numFmtId="0" fontId="3" fillId="3" borderId="0" xfId="1" applyFont="1" applyFill="1" applyAlignment="1">
      <alignment horizontal="center" vertical="center"/>
    </xf>
    <xf numFmtId="0" fontId="111" fillId="0" borderId="0" xfId="1" applyFont="1" applyAlignment="1">
      <alignment horizontal="center" vertical="center"/>
    </xf>
    <xf numFmtId="0" fontId="4" fillId="3" borderId="3" xfId="2" applyFont="1" applyFill="1" applyBorder="1" applyAlignment="1">
      <alignment horizontal="center" vertical="center"/>
    </xf>
    <xf numFmtId="0" fontId="4" fillId="3" borderId="8" xfId="2" applyFont="1" applyFill="1" applyBorder="1" applyAlignment="1">
      <alignment horizontal="center" vertical="center"/>
    </xf>
    <xf numFmtId="0" fontId="4" fillId="3" borderId="15" xfId="2" applyFont="1" applyFill="1" applyBorder="1" applyAlignment="1">
      <alignment horizontal="center" vertical="center"/>
    </xf>
    <xf numFmtId="0" fontId="4" fillId="0" borderId="15" xfId="1" applyFont="1" applyBorder="1" applyAlignment="1">
      <alignment horizontal="center" vertical="center"/>
    </xf>
    <xf numFmtId="0" fontId="4" fillId="0" borderId="26" xfId="1" applyFont="1" applyBorder="1" applyAlignment="1">
      <alignment horizontal="center" vertical="center"/>
    </xf>
    <xf numFmtId="2" fontId="3" fillId="0" borderId="8" xfId="1" applyNumberFormat="1" applyFont="1" applyBorder="1" applyAlignment="1">
      <alignment horizontal="center"/>
    </xf>
    <xf numFmtId="2" fontId="3" fillId="0" borderId="9" xfId="1" applyNumberFormat="1" applyFont="1" applyBorder="1" applyAlignment="1">
      <alignment horizontal="center"/>
    </xf>
    <xf numFmtId="2" fontId="4" fillId="0" borderId="8" xfId="1" applyNumberFormat="1" applyFont="1" applyBorder="1" applyAlignment="1" applyProtection="1">
      <alignment horizontal="right"/>
      <protection locked="0"/>
    </xf>
    <xf numFmtId="2" fontId="4" fillId="0" borderId="26" xfId="1" applyNumberFormat="1" applyFont="1" applyBorder="1" applyAlignment="1" applyProtection="1">
      <alignment horizontal="right"/>
      <protection locked="0"/>
    </xf>
    <xf numFmtId="0" fontId="3" fillId="0" borderId="3" xfId="2" applyFont="1" applyBorder="1" applyAlignment="1">
      <alignment horizontal="center"/>
    </xf>
    <xf numFmtId="2" fontId="4" fillId="0" borderId="3" xfId="2" applyNumberFormat="1" applyFont="1" applyBorder="1"/>
    <xf numFmtId="2" fontId="4" fillId="0" borderId="23" xfId="2" applyNumberFormat="1" applyFont="1" applyBorder="1"/>
    <xf numFmtId="2" fontId="4" fillId="0" borderId="3" xfId="1" applyNumberFormat="1" applyFont="1" applyBorder="1" applyAlignment="1" applyProtection="1">
      <alignment horizontal="right"/>
      <protection locked="0"/>
    </xf>
    <xf numFmtId="2" fontId="4" fillId="0" borderId="23" xfId="1" applyNumberFormat="1" applyFont="1" applyBorder="1" applyAlignment="1" applyProtection="1">
      <alignment horizontal="right"/>
      <protection locked="0"/>
    </xf>
    <xf numFmtId="0" fontId="3" fillId="0" borderId="23" xfId="2" applyFont="1" applyBorder="1"/>
    <xf numFmtId="0" fontId="3" fillId="0" borderId="3" xfId="2" applyFont="1" applyBorder="1"/>
    <xf numFmtId="0" fontId="3" fillId="0" borderId="8" xfId="2" applyFont="1" applyBorder="1" applyAlignment="1">
      <alignment horizontal="center"/>
    </xf>
    <xf numFmtId="0" fontId="3" fillId="0" borderId="9" xfId="2" applyFont="1" applyBorder="1" applyAlignment="1">
      <alignment horizontal="center"/>
    </xf>
    <xf numFmtId="0" fontId="3" fillId="0" borderId="15" xfId="2" applyFont="1" applyBorder="1" applyAlignment="1">
      <alignment horizontal="center"/>
    </xf>
    <xf numFmtId="0" fontId="3" fillId="0" borderId="8" xfId="2" applyFont="1" applyBorder="1"/>
    <xf numFmtId="0" fontId="3" fillId="0" borderId="26" xfId="2" applyFont="1" applyBorder="1"/>
    <xf numFmtId="2" fontId="4" fillId="8" borderId="8" xfId="1" applyNumberFormat="1" applyFont="1" applyFill="1" applyBorder="1" applyAlignment="1" applyProtection="1">
      <alignment horizontal="right" vertical="center"/>
      <protection locked="0"/>
    </xf>
    <xf numFmtId="2" fontId="4" fillId="8" borderId="26" xfId="1" applyNumberFormat="1" applyFont="1" applyFill="1" applyBorder="1" applyAlignment="1" applyProtection="1">
      <alignment horizontal="right" vertical="center"/>
      <protection locked="0"/>
    </xf>
    <xf numFmtId="2" fontId="4" fillId="0" borderId="8" xfId="2" applyNumberFormat="1" applyFont="1" applyBorder="1"/>
    <xf numFmtId="2" fontId="4" fillId="0" borderId="26" xfId="2" applyNumberFormat="1" applyFont="1" applyBorder="1"/>
    <xf numFmtId="2" fontId="4" fillId="0" borderId="3" xfId="2" applyNumberFormat="1" applyFont="1" applyBorder="1" applyAlignment="1" applyProtection="1">
      <alignment horizontal="right" vertical="center"/>
      <protection locked="0"/>
    </xf>
    <xf numFmtId="2" fontId="4" fillId="0" borderId="23" xfId="2" applyNumberFormat="1" applyFont="1" applyBorder="1" applyAlignment="1" applyProtection="1">
      <alignment horizontal="right" vertical="center"/>
      <protection locked="0"/>
    </xf>
    <xf numFmtId="2" fontId="3" fillId="0" borderId="3" xfId="2" applyNumberFormat="1" applyFont="1" applyBorder="1" applyAlignment="1">
      <alignment horizontal="center" vertical="center"/>
    </xf>
    <xf numFmtId="0" fontId="4" fillId="0" borderId="3" xfId="2" applyFont="1" applyBorder="1"/>
    <xf numFmtId="2" fontId="3" fillId="3" borderId="3" xfId="2" applyNumberFormat="1" applyFont="1" applyFill="1" applyBorder="1" applyAlignment="1">
      <alignment horizontal="center" vertical="center"/>
    </xf>
    <xf numFmtId="2" fontId="4" fillId="3" borderId="8" xfId="2" applyNumberFormat="1" applyFont="1" applyFill="1" applyBorder="1" applyAlignment="1" applyProtection="1">
      <alignment horizontal="right" vertical="center"/>
      <protection locked="0"/>
    </xf>
    <xf numFmtId="2" fontId="4" fillId="3" borderId="26" xfId="2" applyNumberFormat="1" applyFont="1" applyFill="1" applyBorder="1" applyAlignment="1" applyProtection="1">
      <alignment horizontal="right" vertical="center"/>
      <protection locked="0"/>
    </xf>
    <xf numFmtId="0" fontId="4" fillId="0" borderId="4" xfId="1" applyFont="1" applyBorder="1" applyAlignment="1">
      <alignment horizontal="center" vertical="center"/>
    </xf>
    <xf numFmtId="0" fontId="4" fillId="0" borderId="12" xfId="1" applyFont="1" applyBorder="1" applyAlignment="1">
      <alignment horizontal="center" vertical="center"/>
    </xf>
    <xf numFmtId="0" fontId="4" fillId="0" borderId="0" xfId="1" applyFont="1" applyAlignment="1">
      <alignment horizontal="center" vertical="center"/>
    </xf>
    <xf numFmtId="0" fontId="11" fillId="0" borderId="0" xfId="1" applyFont="1" applyAlignment="1">
      <alignment horizontal="center" vertical="justify"/>
    </xf>
    <xf numFmtId="0" fontId="11" fillId="0" borderId="0" xfId="1" applyFont="1" applyAlignment="1">
      <alignment horizontal="justify" vertical="top"/>
    </xf>
    <xf numFmtId="0" fontId="2" fillId="0" borderId="0" xfId="1" applyAlignment="1">
      <alignment horizontal="justify" vertical="top"/>
    </xf>
    <xf numFmtId="0" fontId="4" fillId="0" borderId="8" xfId="1" applyFont="1" applyBorder="1" applyAlignment="1">
      <alignment horizontal="center"/>
    </xf>
    <xf numFmtId="0" fontId="4" fillId="0" borderId="9" xfId="1" applyFont="1" applyBorder="1" applyAlignment="1">
      <alignment horizontal="center"/>
    </xf>
    <xf numFmtId="0" fontId="2" fillId="0" borderId="0" xfId="2" applyFont="1" applyAlignment="1">
      <alignment horizontal="justify" vertical="top" wrapText="1"/>
    </xf>
    <xf numFmtId="0" fontId="18" fillId="0" borderId="0" xfId="1" applyFont="1" applyAlignment="1">
      <alignment horizontal="center" vertical="top"/>
    </xf>
    <xf numFmtId="0" fontId="4" fillId="0" borderId="8" xfId="1" applyFont="1" applyBorder="1" applyAlignment="1">
      <alignment horizontal="center" vertical="top"/>
    </xf>
    <xf numFmtId="0" fontId="4" fillId="0" borderId="15" xfId="1" applyFont="1" applyBorder="1" applyAlignment="1">
      <alignment horizontal="center" vertical="top"/>
    </xf>
    <xf numFmtId="0" fontId="4" fillId="0" borderId="9" xfId="1" applyFont="1" applyBorder="1" applyAlignment="1">
      <alignment horizontal="center" vertical="top"/>
    </xf>
    <xf numFmtId="0" fontId="2" fillId="0" borderId="0" xfId="1" applyAlignment="1">
      <alignment horizontal="left" vertical="top" wrapText="1"/>
    </xf>
    <xf numFmtId="0" fontId="4" fillId="0" borderId="4" xfId="1" applyFont="1" applyBorder="1" applyAlignment="1">
      <alignment horizontal="center" vertical="top"/>
    </xf>
    <xf numFmtId="0" fontId="4" fillId="0" borderId="5" xfId="1" applyFont="1" applyBorder="1" applyAlignment="1">
      <alignment horizontal="center" vertical="top"/>
    </xf>
    <xf numFmtId="0" fontId="4" fillId="0" borderId="12" xfId="1" applyFont="1" applyBorder="1" applyAlignment="1">
      <alignment horizontal="center" vertical="top"/>
    </xf>
    <xf numFmtId="0" fontId="4" fillId="0" borderId="7" xfId="1" applyFont="1" applyBorder="1" applyAlignment="1">
      <alignment horizontal="center" vertical="top"/>
    </xf>
    <xf numFmtId="0" fontId="4" fillId="0" borderId="1" xfId="1" applyFont="1" applyBorder="1" applyAlignment="1">
      <alignment horizontal="center" vertical="top"/>
    </xf>
    <xf numFmtId="0" fontId="4" fillId="0" borderId="14" xfId="1" applyFont="1" applyBorder="1" applyAlignment="1">
      <alignment horizontal="center" vertical="top"/>
    </xf>
    <xf numFmtId="0" fontId="2" fillId="0" borderId="0" xfId="1" applyAlignment="1">
      <alignment horizontal="justify" vertical="top" wrapText="1"/>
    </xf>
    <xf numFmtId="0" fontId="5" fillId="0" borderId="0" xfId="1" applyFont="1" applyAlignment="1">
      <alignment horizontal="justify" vertical="top"/>
    </xf>
    <xf numFmtId="0" fontId="2" fillId="0" borderId="0" xfId="2" applyFont="1" applyAlignment="1">
      <alignment horizontal="justify" vertical="top"/>
    </xf>
    <xf numFmtId="0" fontId="2" fillId="0" borderId="0" xfId="2" applyFont="1" applyAlignment="1">
      <alignment horizontal="justify" vertical="justify" wrapText="1"/>
    </xf>
    <xf numFmtId="0" fontId="2" fillId="0" borderId="0" xfId="2" applyFont="1" applyAlignment="1">
      <alignment horizontal="justify" vertical="justify"/>
    </xf>
    <xf numFmtId="0" fontId="3" fillId="0" borderId="15" xfId="2" applyFont="1" applyBorder="1"/>
    <xf numFmtId="0" fontId="2" fillId="8" borderId="0" xfId="2" applyFont="1" applyFill="1" applyAlignment="1">
      <alignment horizontal="justify" vertical="justify" wrapText="1"/>
    </xf>
    <xf numFmtId="0" fontId="2" fillId="8" borderId="0" xfId="2" applyFont="1" applyFill="1" applyAlignment="1">
      <alignment horizontal="justify" vertical="justify"/>
    </xf>
    <xf numFmtId="0" fontId="2" fillId="8" borderId="0" xfId="2" applyFont="1" applyFill="1" applyAlignment="1">
      <alignment horizontal="justify" vertical="top" wrapText="1"/>
    </xf>
    <xf numFmtId="0" fontId="4" fillId="0" borderId="0" xfId="1" applyFont="1" applyAlignment="1">
      <alignment horizontal="center" vertical="top"/>
    </xf>
    <xf numFmtId="0" fontId="123" fillId="0" borderId="0" xfId="1" applyFont="1" applyAlignment="1">
      <alignment horizontal="left" vertical="top" wrapText="1"/>
    </xf>
    <xf numFmtId="2" fontId="122" fillId="0" borderId="0" xfId="1" applyNumberFormat="1" applyFont="1" applyAlignment="1">
      <alignment horizontal="left" vertical="top"/>
    </xf>
    <xf numFmtId="0" fontId="122" fillId="0" borderId="1" xfId="1" applyFont="1" applyBorder="1" applyAlignment="1">
      <alignment horizontal="center" vertical="top"/>
    </xf>
    <xf numFmtId="0" fontId="122" fillId="0" borderId="5" xfId="1" applyFont="1" applyBorder="1" applyAlignment="1">
      <alignment horizontal="left" vertical="top"/>
    </xf>
    <xf numFmtId="0" fontId="129" fillId="0" borderId="0" xfId="1" applyFont="1" applyAlignment="1">
      <alignment horizontal="left" vertical="top" wrapText="1"/>
    </xf>
    <xf numFmtId="0" fontId="123" fillId="0" borderId="0" xfId="1" applyFont="1" applyAlignment="1">
      <alignment horizontal="left" vertical="top"/>
    </xf>
    <xf numFmtId="0" fontId="122" fillId="0" borderId="0" xfId="1" applyFont="1" applyAlignment="1">
      <alignment horizontal="left" vertical="top" wrapText="1"/>
    </xf>
    <xf numFmtId="0" fontId="122" fillId="0" borderId="0" xfId="1" applyFont="1" applyAlignment="1">
      <alignment horizontal="left" vertical="top"/>
    </xf>
    <xf numFmtId="0" fontId="131" fillId="0" borderId="0" xfId="1" applyFont="1" applyAlignment="1">
      <alignment horizontal="center" vertical="top"/>
    </xf>
    <xf numFmtId="0" fontId="122" fillId="0" borderId="0" xfId="1" applyFont="1" applyAlignment="1">
      <alignment horizontal="right" vertical="top"/>
    </xf>
    <xf numFmtId="0" fontId="21" fillId="0" borderId="0" xfId="1" applyFont="1" applyAlignment="1">
      <alignment horizontal="center" vertical="top" wrapText="1"/>
    </xf>
    <xf numFmtId="180" fontId="11" fillId="0" borderId="0" xfId="1" applyNumberFormat="1" applyFont="1" applyAlignment="1">
      <alignment horizontal="left" vertical="top" wrapText="1"/>
    </xf>
    <xf numFmtId="0" fontId="11" fillId="0" borderId="8" xfId="1" applyFont="1" applyBorder="1" applyAlignment="1">
      <alignment horizontal="center" vertical="top" wrapText="1"/>
    </xf>
    <xf numFmtId="0" fontId="11" fillId="0" borderId="9" xfId="1" applyFont="1" applyBorder="1" applyAlignment="1">
      <alignment horizontal="center" vertical="top" wrapText="1"/>
    </xf>
    <xf numFmtId="181" fontId="11" fillId="0" borderId="3" xfId="1" applyNumberFormat="1" applyFont="1" applyBorder="1" applyAlignment="1">
      <alignment horizontal="center" vertical="top"/>
    </xf>
    <xf numFmtId="181" fontId="11" fillId="0" borderId="8" xfId="1" applyNumberFormat="1" applyFont="1" applyBorder="1" applyAlignment="1">
      <alignment horizontal="center" vertical="top"/>
    </xf>
    <xf numFmtId="181" fontId="11" fillId="0" borderId="15" xfId="1" applyNumberFormat="1" applyFont="1" applyBorder="1" applyAlignment="1">
      <alignment horizontal="center" vertical="top"/>
    </xf>
    <xf numFmtId="181" fontId="11" fillId="0" borderId="9" xfId="1" applyNumberFormat="1" applyFont="1" applyBorder="1" applyAlignment="1">
      <alignment horizontal="center" vertical="top"/>
    </xf>
    <xf numFmtId="0" fontId="6" fillId="0" borderId="0" xfId="1" applyFont="1" applyAlignment="1">
      <alignment horizontal="center" vertical="top" wrapText="1"/>
    </xf>
    <xf numFmtId="0" fontId="21" fillId="0" borderId="0" xfId="1" applyFont="1" applyAlignment="1">
      <alignment horizontal="left" vertical="top" wrapText="1"/>
    </xf>
    <xf numFmtId="0" fontId="21" fillId="0" borderId="5" xfId="1" applyFont="1" applyBorder="1" applyAlignment="1">
      <alignment horizontal="center"/>
    </xf>
    <xf numFmtId="0" fontId="21" fillId="0" borderId="12" xfId="1" applyFont="1" applyBorder="1" applyAlignment="1">
      <alignment horizontal="center"/>
    </xf>
    <xf numFmtId="0" fontId="21" fillId="0" borderId="0" xfId="1" applyFont="1" applyAlignment="1">
      <alignment horizontal="center"/>
    </xf>
    <xf numFmtId="0" fontId="21" fillId="0" borderId="13" xfId="1" applyFont="1" applyBorder="1" applyAlignment="1">
      <alignment horizontal="center"/>
    </xf>
    <xf numFmtId="0" fontId="21" fillId="0" borderId="1" xfId="1" applyFont="1" applyBorder="1" applyAlignment="1">
      <alignment horizontal="center"/>
    </xf>
    <xf numFmtId="0" fontId="21" fillId="0" borderId="14" xfId="1" applyFont="1" applyBorder="1" applyAlignment="1">
      <alignment horizontal="center"/>
    </xf>
    <xf numFmtId="0" fontId="21" fillId="0" borderId="3" xfId="1" applyFont="1" applyBorder="1" applyAlignment="1">
      <alignment horizontal="center"/>
    </xf>
    <xf numFmtId="0" fontId="21" fillId="0" borderId="4" xfId="1" applyFont="1" applyBorder="1" applyAlignment="1">
      <alignment horizontal="center"/>
    </xf>
    <xf numFmtId="0" fontId="21" fillId="0" borderId="11" xfId="1" applyFont="1" applyBorder="1" applyAlignment="1">
      <alignment horizontal="center"/>
    </xf>
    <xf numFmtId="0" fontId="21" fillId="0" borderId="7" xfId="1" applyFont="1" applyBorder="1" applyAlignment="1">
      <alignment horizontal="center"/>
    </xf>
    <xf numFmtId="2" fontId="21" fillId="0" borderId="5" xfId="1" applyNumberFormat="1" applyFont="1" applyBorder="1" applyAlignment="1">
      <alignment horizontal="center"/>
    </xf>
    <xf numFmtId="2" fontId="21" fillId="0" borderId="0" xfId="1" applyNumberFormat="1" applyFont="1" applyAlignment="1">
      <alignment horizontal="center"/>
    </xf>
    <xf numFmtId="2" fontId="21" fillId="0" borderId="1" xfId="1" applyNumberFormat="1" applyFont="1" applyBorder="1" applyAlignment="1">
      <alignment horizontal="center"/>
    </xf>
    <xf numFmtId="0" fontId="21" fillId="0" borderId="5" xfId="1" applyFont="1" applyBorder="1" applyAlignment="1">
      <alignment horizontal="right"/>
    </xf>
    <xf numFmtId="0" fontId="21" fillId="0" borderId="0" xfId="1" applyFont="1" applyAlignment="1">
      <alignment horizontal="right"/>
    </xf>
    <xf numFmtId="0" fontId="21" fillId="0" borderId="1" xfId="1" applyFont="1" applyBorder="1" applyAlignment="1">
      <alignment horizontal="right"/>
    </xf>
    <xf numFmtId="0" fontId="21" fillId="0" borderId="3" xfId="1" applyFont="1" applyBorder="1" applyAlignment="1">
      <alignment horizontal="center" vertical="center"/>
    </xf>
    <xf numFmtId="0" fontId="21" fillId="0" borderId="3" xfId="1" applyFont="1" applyBorder="1" applyAlignment="1">
      <alignment horizontal="center" vertical="center" wrapText="1"/>
    </xf>
    <xf numFmtId="0" fontId="6" fillId="0" borderId="4" xfId="1" applyFont="1" applyBorder="1" applyAlignment="1">
      <alignment horizontal="center"/>
    </xf>
    <xf numFmtId="0" fontId="6" fillId="0" borderId="5" xfId="1" applyFont="1" applyBorder="1" applyAlignment="1">
      <alignment horizontal="center"/>
    </xf>
    <xf numFmtId="0" fontId="6" fillId="0" borderId="12" xfId="1" applyFont="1" applyBorder="1" applyAlignment="1">
      <alignment horizontal="center"/>
    </xf>
    <xf numFmtId="0" fontId="6" fillId="0" borderId="11" xfId="1" applyFont="1" applyBorder="1" applyAlignment="1">
      <alignment horizontal="center"/>
    </xf>
    <xf numFmtId="0" fontId="6" fillId="0" borderId="0" xfId="1" applyFont="1" applyAlignment="1">
      <alignment horizontal="center"/>
    </xf>
    <xf numFmtId="0" fontId="6" fillId="0" borderId="13" xfId="1" applyFont="1" applyBorder="1" applyAlignment="1">
      <alignment horizontal="center"/>
    </xf>
    <xf numFmtId="0" fontId="6" fillId="0" borderId="7" xfId="1" applyFont="1" applyBorder="1" applyAlignment="1">
      <alignment horizontal="center"/>
    </xf>
    <xf numFmtId="0" fontId="6" fillId="0" borderId="1" xfId="1" applyFont="1" applyBorder="1" applyAlignment="1">
      <alignment horizontal="center"/>
    </xf>
    <xf numFmtId="0" fontId="6" fillId="0" borderId="14" xfId="1" applyFont="1" applyBorder="1" applyAlignment="1">
      <alignment horizontal="center"/>
    </xf>
    <xf numFmtId="2" fontId="9" fillId="0" borderId="0" xfId="1" applyNumberFormat="1" applyFont="1" applyAlignment="1">
      <alignment horizontal="center" vertical="center" textRotation="90"/>
    </xf>
    <xf numFmtId="169" fontId="2" fillId="0" borderId="0" xfId="1" applyNumberFormat="1" applyAlignment="1">
      <alignment horizontal="center" vertical="center" textRotation="90"/>
    </xf>
    <xf numFmtId="2" fontId="21" fillId="0" borderId="0" xfId="1" applyNumberFormat="1" applyFont="1" applyAlignment="1">
      <alignment horizontal="center" vertical="center"/>
    </xf>
    <xf numFmtId="0" fontId="2" fillId="0" borderId="4" xfId="1" applyBorder="1" applyAlignment="1">
      <alignment horizontal="center" vertical="center" textRotation="90"/>
    </xf>
    <xf numFmtId="0" fontId="2" fillId="0" borderId="11" xfId="1" applyBorder="1" applyAlignment="1">
      <alignment horizontal="center" vertical="center" textRotation="90"/>
    </xf>
    <xf numFmtId="0" fontId="2" fillId="0" borderId="7" xfId="1" applyBorder="1" applyAlignment="1">
      <alignment horizontal="center" vertical="center" textRotation="90"/>
    </xf>
    <xf numFmtId="0" fontId="2" fillId="0" borderId="1" xfId="1" applyBorder="1" applyAlignment="1">
      <alignment horizontal="center" vertical="center" textRotation="90"/>
    </xf>
    <xf numFmtId="0" fontId="2" fillId="0" borderId="12" xfId="1" applyBorder="1" applyAlignment="1">
      <alignment horizontal="center" vertical="center" textRotation="90"/>
    </xf>
    <xf numFmtId="0" fontId="2" fillId="0" borderId="13" xfId="1" applyBorder="1" applyAlignment="1">
      <alignment horizontal="center" vertical="center" textRotation="90"/>
    </xf>
    <xf numFmtId="0" fontId="2" fillId="0" borderId="14" xfId="1" applyBorder="1" applyAlignment="1">
      <alignment horizontal="center" vertical="center" textRotation="90"/>
    </xf>
    <xf numFmtId="2" fontId="2" fillId="0" borderId="4" xfId="1" applyNumberFormat="1" applyBorder="1" applyAlignment="1">
      <alignment horizontal="center" vertical="center" textRotation="90"/>
    </xf>
    <xf numFmtId="2" fontId="2" fillId="0" borderId="5" xfId="1" applyNumberFormat="1" applyBorder="1" applyAlignment="1">
      <alignment horizontal="center" vertical="center" textRotation="90"/>
    </xf>
    <xf numFmtId="2" fontId="2" fillId="0" borderId="12" xfId="1" applyNumberFormat="1" applyBorder="1" applyAlignment="1">
      <alignment horizontal="center" vertical="center" textRotation="90"/>
    </xf>
    <xf numFmtId="2" fontId="2" fillId="0" borderId="11" xfId="1" applyNumberFormat="1" applyBorder="1" applyAlignment="1">
      <alignment horizontal="center" vertical="center" textRotation="90"/>
    </xf>
    <xf numFmtId="2" fontId="2" fillId="0" borderId="0" xfId="1" applyNumberFormat="1" applyAlignment="1">
      <alignment horizontal="center" vertical="center" textRotation="90"/>
    </xf>
    <xf numFmtId="2" fontId="2" fillId="0" borderId="13" xfId="1" applyNumberFormat="1" applyBorder="1" applyAlignment="1">
      <alignment horizontal="center" vertical="center" textRotation="90"/>
    </xf>
    <xf numFmtId="2" fontId="2" fillId="0" borderId="7" xfId="1" applyNumberFormat="1" applyBorder="1" applyAlignment="1">
      <alignment horizontal="center" vertical="center" textRotation="90"/>
    </xf>
    <xf numFmtId="2" fontId="2" fillId="0" borderId="1" xfId="1" applyNumberFormat="1" applyBorder="1" applyAlignment="1">
      <alignment horizontal="center" vertical="center" textRotation="90"/>
    </xf>
    <xf numFmtId="2" fontId="2" fillId="0" borderId="14" xfId="1" applyNumberFormat="1" applyBorder="1" applyAlignment="1">
      <alignment horizontal="center" vertical="center" textRotation="90"/>
    </xf>
    <xf numFmtId="173" fontId="2" fillId="0" borderId="4" xfId="1" applyNumberFormat="1" applyBorder="1" applyAlignment="1">
      <alignment horizontal="center" vertical="center"/>
    </xf>
    <xf numFmtId="173" fontId="2" fillId="0" borderId="5" xfId="1" applyNumberFormat="1" applyBorder="1" applyAlignment="1">
      <alignment horizontal="center" vertical="center"/>
    </xf>
    <xf numFmtId="173" fontId="2" fillId="0" borderId="12" xfId="1" applyNumberFormat="1" applyBorder="1" applyAlignment="1">
      <alignment horizontal="center" vertical="center"/>
    </xf>
    <xf numFmtId="173" fontId="2" fillId="0" borderId="11" xfId="1" applyNumberFormat="1" applyBorder="1" applyAlignment="1">
      <alignment horizontal="center" vertical="center"/>
    </xf>
    <xf numFmtId="173" fontId="2" fillId="0" borderId="0" xfId="1" applyNumberFormat="1" applyAlignment="1">
      <alignment horizontal="center" vertical="center"/>
    </xf>
    <xf numFmtId="173" fontId="2" fillId="0" borderId="13" xfId="1" applyNumberFormat="1" applyBorder="1" applyAlignment="1">
      <alignment horizontal="center" vertical="center"/>
    </xf>
    <xf numFmtId="173" fontId="2" fillId="0" borderId="7" xfId="1" applyNumberFormat="1" applyBorder="1" applyAlignment="1">
      <alignment horizontal="center" vertical="center"/>
    </xf>
    <xf numFmtId="173" fontId="2" fillId="0" borderId="1" xfId="1" applyNumberFormat="1" applyBorder="1" applyAlignment="1">
      <alignment horizontal="center" vertical="center"/>
    </xf>
    <xf numFmtId="173" fontId="2" fillId="0" borderId="14" xfId="1" applyNumberFormat="1" applyBorder="1" applyAlignment="1">
      <alignment horizontal="center" vertical="center"/>
    </xf>
    <xf numFmtId="0" fontId="2" fillId="0" borderId="6" xfId="1" applyBorder="1" applyAlignment="1">
      <alignment horizontal="center" vertical="center" textRotation="90"/>
    </xf>
    <xf numFmtId="0" fontId="2" fillId="0" borderId="3" xfId="1" applyBorder="1" applyAlignment="1">
      <alignment horizontal="center" vertical="center" textRotation="90"/>
    </xf>
    <xf numFmtId="0" fontId="2" fillId="0" borderId="2" xfId="1" applyBorder="1" applyAlignment="1">
      <alignment horizontal="center" vertical="center" textRotation="90"/>
    </xf>
    <xf numFmtId="0" fontId="21" fillId="0" borderId="0" xfId="1" applyFont="1" applyAlignment="1">
      <alignment horizontal="center" vertical="center"/>
    </xf>
    <xf numFmtId="1" fontId="21" fillId="0" borderId="0" xfId="1" applyNumberFormat="1" applyFont="1" applyAlignment="1">
      <alignment horizontal="center" vertical="center"/>
    </xf>
    <xf numFmtId="169" fontId="2" fillId="0" borderId="11" xfId="1" applyNumberFormat="1" applyBorder="1" applyAlignment="1">
      <alignment horizontal="center" vertical="center" textRotation="90"/>
    </xf>
    <xf numFmtId="169" fontId="2" fillId="0" borderId="13" xfId="1" applyNumberFormat="1" applyBorder="1" applyAlignment="1">
      <alignment horizontal="center" vertical="center" textRotation="90"/>
    </xf>
    <xf numFmtId="2" fontId="140" fillId="0" borderId="0" xfId="1" applyNumberFormat="1" applyFont="1" applyAlignment="1">
      <alignment horizontal="center" vertical="center"/>
    </xf>
    <xf numFmtId="2" fontId="21" fillId="0" borderId="0" xfId="1" applyNumberFormat="1" applyFont="1" applyAlignment="1">
      <alignment horizontal="center" vertical="center" textRotation="90"/>
    </xf>
    <xf numFmtId="0" fontId="21" fillId="0" borderId="0" xfId="1" applyFont="1" applyAlignment="1">
      <alignment horizontal="center" vertical="center" textRotation="90"/>
    </xf>
    <xf numFmtId="0" fontId="2" fillId="4" borderId="0" xfId="1" applyFill="1" applyAlignment="1">
      <alignment horizontal="center"/>
    </xf>
    <xf numFmtId="2" fontId="138" fillId="0" borderId="11" xfId="1" applyNumberFormat="1" applyFont="1" applyBorder="1" applyAlignment="1">
      <alignment horizontal="center" vertical="center" textRotation="90"/>
    </xf>
    <xf numFmtId="2" fontId="138" fillId="0" borderId="13" xfId="1" applyNumberFormat="1" applyFont="1" applyBorder="1" applyAlignment="1">
      <alignment horizontal="center" vertical="center" textRotation="90"/>
    </xf>
    <xf numFmtId="173" fontId="21" fillId="0" borderId="11" xfId="1" quotePrefix="1" applyNumberFormat="1" applyFont="1" applyBorder="1" applyAlignment="1">
      <alignment horizontal="center" vertical="center"/>
    </xf>
    <xf numFmtId="173" fontId="21" fillId="0" borderId="0" xfId="1" applyNumberFormat="1" applyFont="1" applyAlignment="1">
      <alignment horizontal="center" vertical="center"/>
    </xf>
    <xf numFmtId="173" fontId="21" fillId="0" borderId="11" xfId="1" applyNumberFormat="1" applyFont="1" applyBorder="1" applyAlignment="1">
      <alignment horizontal="center" vertical="center"/>
    </xf>
    <xf numFmtId="2" fontId="2" fillId="0" borderId="11" xfId="1" applyNumberFormat="1" applyBorder="1" applyAlignment="1">
      <alignment horizontal="center" vertical="center"/>
    </xf>
    <xf numFmtId="2" fontId="2" fillId="0" borderId="0" xfId="1" applyNumberFormat="1" applyAlignment="1">
      <alignment horizontal="center" vertical="center"/>
    </xf>
    <xf numFmtId="2" fontId="2" fillId="0" borderId="13" xfId="1" applyNumberFormat="1" applyBorder="1" applyAlignment="1">
      <alignment horizontal="center" vertical="center"/>
    </xf>
    <xf numFmtId="2" fontId="21" fillId="0" borderId="11" xfId="1" applyNumberFormat="1" applyFont="1" applyBorder="1" applyAlignment="1">
      <alignment horizontal="center" vertical="center" textRotation="90"/>
    </xf>
    <xf numFmtId="2" fontId="21" fillId="0" borderId="13" xfId="1" applyNumberFormat="1" applyFont="1" applyBorder="1" applyAlignment="1">
      <alignment horizontal="center" vertical="center" textRotation="90"/>
    </xf>
    <xf numFmtId="0" fontId="21" fillId="0" borderId="11" xfId="1" applyFont="1" applyBorder="1" applyAlignment="1">
      <alignment horizontal="center" vertical="center" textRotation="90"/>
    </xf>
    <xf numFmtId="0" fontId="21" fillId="0" borderId="13" xfId="1" applyFont="1" applyBorder="1" applyAlignment="1">
      <alignment horizontal="center" vertical="center" textRotation="90"/>
    </xf>
    <xf numFmtId="0" fontId="21" fillId="0" borderId="7" xfId="1" applyFont="1" applyBorder="1" applyAlignment="1">
      <alignment horizontal="center" vertical="center" textRotation="90"/>
    </xf>
    <xf numFmtId="0" fontId="21" fillId="0" borderId="14" xfId="1" applyFont="1" applyBorder="1" applyAlignment="1">
      <alignment horizontal="center" vertical="center" textRotation="90"/>
    </xf>
    <xf numFmtId="0" fontId="21" fillId="0" borderId="90" xfId="1" applyFont="1" applyBorder="1" applyAlignment="1">
      <alignment horizontal="center" vertical="center" textRotation="90"/>
    </xf>
    <xf numFmtId="0" fontId="21" fillId="0" borderId="92" xfId="1" applyFont="1" applyBorder="1" applyAlignment="1">
      <alignment horizontal="center" vertical="center" textRotation="90"/>
    </xf>
    <xf numFmtId="169" fontId="21" fillId="0" borderId="5" xfId="1" applyNumberFormat="1" applyFont="1" applyBorder="1" applyAlignment="1">
      <alignment horizontal="center" vertical="center" textRotation="90"/>
    </xf>
    <xf numFmtId="169" fontId="21" fillId="0" borderId="0" xfId="1" applyNumberFormat="1" applyFont="1" applyAlignment="1">
      <alignment horizontal="center" vertical="center" textRotation="90"/>
    </xf>
    <xf numFmtId="169" fontId="21" fillId="0" borderId="1" xfId="1" applyNumberFormat="1" applyFont="1" applyBorder="1" applyAlignment="1">
      <alignment horizontal="center" vertical="center" textRotation="90"/>
    </xf>
    <xf numFmtId="0" fontId="21" fillId="0" borderId="80" xfId="1" applyFont="1" applyBorder="1" applyAlignment="1">
      <alignment horizontal="center"/>
    </xf>
    <xf numFmtId="0" fontId="21" fillId="0" borderId="89" xfId="1" applyFont="1" applyBorder="1" applyAlignment="1">
      <alignment horizontal="center"/>
    </xf>
    <xf numFmtId="0" fontId="21" fillId="0" borderId="5" xfId="1" applyFont="1" applyBorder="1" applyAlignment="1">
      <alignment horizontal="center" vertical="center" textRotation="90"/>
    </xf>
    <xf numFmtId="0" fontId="21" fillId="0" borderId="12" xfId="1" applyFont="1" applyBorder="1" applyAlignment="1">
      <alignment horizontal="center" vertical="center" textRotation="90"/>
    </xf>
    <xf numFmtId="0" fontId="21" fillId="0" borderId="1" xfId="1" applyFont="1" applyBorder="1" applyAlignment="1">
      <alignment horizontal="center" vertical="center" textRotation="90"/>
    </xf>
    <xf numFmtId="0" fontId="140" fillId="0" borderId="0" xfId="0" applyFont="1" applyAlignment="1">
      <alignment horizontal="center" vertical="top" wrapText="1"/>
    </xf>
    <xf numFmtId="0" fontId="147" fillId="0" borderId="0" xfId="0" applyFont="1" applyAlignment="1">
      <alignment horizontal="left"/>
    </xf>
    <xf numFmtId="0" fontId="140" fillId="0" borderId="0" xfId="0" applyFont="1" applyAlignment="1">
      <alignment horizontal="center"/>
    </xf>
    <xf numFmtId="2" fontId="140" fillId="0" borderId="0" xfId="0" applyNumberFormat="1" applyFont="1" applyAlignment="1">
      <alignment horizontal="left" vertical="center" textRotation="91"/>
    </xf>
    <xf numFmtId="2" fontId="140" fillId="0" borderId="0" xfId="0" applyNumberFormat="1" applyFont="1" applyAlignment="1">
      <alignment horizontal="center" vertical="center"/>
    </xf>
    <xf numFmtId="0" fontId="120" fillId="0" borderId="90" xfId="0" applyFont="1" applyBorder="1" applyAlignment="1">
      <alignment horizontal="center" textRotation="135"/>
    </xf>
    <xf numFmtId="0" fontId="120" fillId="0" borderId="149" xfId="0" applyFont="1" applyBorder="1" applyAlignment="1">
      <alignment horizontal="center" textRotation="135"/>
    </xf>
    <xf numFmtId="0" fontId="140" fillId="0" borderId="89" xfId="0" applyFont="1" applyBorder="1" applyAlignment="1">
      <alignment horizontal="center" textRotation="46"/>
    </xf>
    <xf numFmtId="0" fontId="140" fillId="0" borderId="148" xfId="0" applyFont="1" applyBorder="1" applyAlignment="1">
      <alignment horizontal="center" textRotation="46"/>
    </xf>
    <xf numFmtId="0" fontId="146" fillId="0" borderId="0" xfId="0" applyFont="1" applyAlignment="1">
      <alignment horizontal="center" vertical="top"/>
    </xf>
    <xf numFmtId="0" fontId="146" fillId="0" borderId="30" xfId="0" applyFont="1" applyBorder="1" applyAlignment="1">
      <alignment horizontal="center" vertical="top"/>
    </xf>
    <xf numFmtId="0" fontId="144" fillId="0" borderId="0" xfId="1" applyFont="1" applyAlignment="1">
      <alignment horizontal="left" vertical="top" wrapText="1"/>
    </xf>
    <xf numFmtId="0" fontId="145" fillId="0" borderId="0" xfId="0" applyFont="1" applyAlignment="1">
      <alignment horizontal="center" vertical="top"/>
    </xf>
    <xf numFmtId="0" fontId="145" fillId="0" borderId="0" xfId="0" applyFont="1" applyAlignment="1">
      <alignment horizontal="left" vertical="top"/>
    </xf>
    <xf numFmtId="0" fontId="146" fillId="0" borderId="0" xfId="0" applyFont="1" applyAlignment="1">
      <alignment horizontal="left" vertical="top"/>
    </xf>
    <xf numFmtId="0" fontId="146" fillId="0" borderId="30" xfId="0" applyFont="1" applyBorder="1" applyAlignment="1">
      <alignment horizontal="left" vertical="top"/>
    </xf>
    <xf numFmtId="0" fontId="140" fillId="0" borderId="0" xfId="0" applyFont="1" applyAlignment="1">
      <alignment horizontal="center" vertical="top"/>
    </xf>
    <xf numFmtId="0" fontId="140" fillId="0" borderId="30" xfId="0" applyFont="1" applyBorder="1" applyAlignment="1">
      <alignment horizontal="center" vertical="top"/>
    </xf>
    <xf numFmtId="0" fontId="148" fillId="0" borderId="0" xfId="0" applyFont="1" applyAlignment="1">
      <alignment horizontal="center"/>
    </xf>
    <xf numFmtId="0" fontId="52" fillId="0" borderId="0" xfId="1" applyFont="1" applyAlignment="1">
      <alignment horizontal="center" vertical="center"/>
    </xf>
    <xf numFmtId="0" fontId="4" fillId="0" borderId="4" xfId="1" applyFont="1" applyBorder="1" applyAlignment="1">
      <alignment horizontal="center"/>
    </xf>
    <xf numFmtId="0" fontId="4" fillId="0" borderId="5" xfId="1" applyFont="1" applyBorder="1" applyAlignment="1">
      <alignment horizontal="center"/>
    </xf>
    <xf numFmtId="0" fontId="4" fillId="0" borderId="12" xfId="1" applyFont="1" applyBorder="1" applyAlignment="1">
      <alignment horizontal="center"/>
    </xf>
    <xf numFmtId="0" fontId="4" fillId="0" borderId="11" xfId="1" applyFont="1" applyBorder="1" applyAlignment="1">
      <alignment horizontal="center"/>
    </xf>
    <xf numFmtId="0" fontId="4" fillId="0" borderId="0" xfId="1" applyFont="1" applyAlignment="1">
      <alignment horizontal="center"/>
    </xf>
    <xf numFmtId="0" fontId="4" fillId="0" borderId="13" xfId="1" applyFont="1" applyBorder="1" applyAlignment="1">
      <alignment horizontal="center"/>
    </xf>
    <xf numFmtId="0" fontId="4" fillId="0" borderId="7" xfId="1" applyFont="1" applyBorder="1" applyAlignment="1">
      <alignment horizontal="center"/>
    </xf>
    <xf numFmtId="0" fontId="4" fillId="0" borderId="1" xfId="1" applyFont="1" applyBorder="1" applyAlignment="1">
      <alignment horizontal="center"/>
    </xf>
    <xf numFmtId="0" fontId="4" fillId="0" borderId="14" xfId="1" applyFont="1" applyBorder="1" applyAlignment="1">
      <alignment horizontal="center"/>
    </xf>
    <xf numFmtId="0" fontId="5" fillId="0" borderId="0" xfId="1" applyFont="1" applyAlignment="1">
      <alignment horizontal="center" vertical="center"/>
    </xf>
    <xf numFmtId="0" fontId="3" fillId="0" borderId="4" xfId="1" applyFont="1" applyBorder="1" applyAlignment="1">
      <alignment horizontal="center"/>
    </xf>
    <xf numFmtId="0" fontId="3" fillId="0" borderId="11" xfId="1" applyFont="1" applyBorder="1" applyAlignment="1">
      <alignment horizontal="center"/>
    </xf>
    <xf numFmtId="0" fontId="3" fillId="0" borderId="7" xfId="1" applyFont="1" applyBorder="1" applyAlignment="1">
      <alignment horizontal="center"/>
    </xf>
    <xf numFmtId="0" fontId="3" fillId="0" borderId="1" xfId="1" applyFont="1" applyBorder="1" applyAlignment="1">
      <alignment horizontal="center"/>
    </xf>
    <xf numFmtId="2" fontId="3" fillId="0" borderId="5" xfId="1" applyNumberFormat="1" applyFont="1" applyBorder="1" applyAlignment="1">
      <alignment horizontal="center"/>
    </xf>
    <xf numFmtId="2" fontId="3" fillId="0" borderId="0" xfId="1" applyNumberFormat="1" applyFont="1" applyAlignment="1">
      <alignment horizontal="center"/>
    </xf>
    <xf numFmtId="2" fontId="3" fillId="0" borderId="1" xfId="1" applyNumberFormat="1" applyFont="1" applyBorder="1" applyAlignment="1">
      <alignment horizontal="center"/>
    </xf>
    <xf numFmtId="0" fontId="3" fillId="0" borderId="12" xfId="1" applyFont="1" applyBorder="1" applyAlignment="1">
      <alignment horizontal="center"/>
    </xf>
    <xf numFmtId="0" fontId="3" fillId="0" borderId="14" xfId="1" applyFont="1" applyBorder="1" applyAlignment="1">
      <alignment horizontal="center"/>
    </xf>
    <xf numFmtId="2" fontId="3" fillId="0" borderId="4" xfId="1" applyNumberFormat="1" applyFont="1" applyBorder="1" applyAlignment="1">
      <alignment horizontal="center"/>
    </xf>
    <xf numFmtId="2" fontId="3" fillId="0" borderId="11" xfId="1" applyNumberFormat="1" applyFont="1" applyBorder="1" applyAlignment="1">
      <alignment horizontal="center"/>
    </xf>
    <xf numFmtId="2" fontId="3" fillId="0" borderId="7" xfId="1" applyNumberFormat="1" applyFont="1" applyBorder="1" applyAlignment="1">
      <alignment horizontal="center"/>
    </xf>
    <xf numFmtId="2" fontId="9" fillId="0" borderId="0" xfId="1" applyNumberFormat="1" applyFont="1" applyAlignment="1">
      <alignment horizontal="center" vertical="center"/>
    </xf>
    <xf numFmtId="169" fontId="9" fillId="0" borderId="11" xfId="1" applyNumberFormat="1" applyFont="1" applyBorder="1" applyAlignment="1">
      <alignment horizontal="center" vertical="center" textRotation="90"/>
    </xf>
    <xf numFmtId="169" fontId="9" fillId="0" borderId="0" xfId="1" applyNumberFormat="1" applyFont="1" applyAlignment="1">
      <alignment horizontal="center" vertical="center" textRotation="90"/>
    </xf>
    <xf numFmtId="169" fontId="9" fillId="0" borderId="13" xfId="1" applyNumberFormat="1" applyFont="1" applyBorder="1" applyAlignment="1">
      <alignment horizontal="center" vertical="center" textRotation="90"/>
    </xf>
    <xf numFmtId="2" fontId="9" fillId="0" borderId="4" xfId="1" applyNumberFormat="1" applyFont="1" applyBorder="1" applyAlignment="1">
      <alignment horizontal="center" vertical="center" textRotation="90"/>
    </xf>
    <xf numFmtId="2" fontId="9" fillId="0" borderId="5" xfId="1" applyNumberFormat="1" applyFont="1" applyBorder="1" applyAlignment="1">
      <alignment horizontal="center" vertical="center" textRotation="90"/>
    </xf>
    <xf numFmtId="2" fontId="9" fillId="0" borderId="12" xfId="1" applyNumberFormat="1" applyFont="1" applyBorder="1" applyAlignment="1">
      <alignment horizontal="center" vertical="center" textRotation="90"/>
    </xf>
    <xf numFmtId="2" fontId="9" fillId="0" borderId="11" xfId="1" applyNumberFormat="1" applyFont="1" applyBorder="1" applyAlignment="1">
      <alignment horizontal="center" vertical="center" textRotation="90"/>
    </xf>
    <xf numFmtId="2" fontId="9" fillId="0" borderId="13" xfId="1" applyNumberFormat="1" applyFont="1" applyBorder="1" applyAlignment="1">
      <alignment horizontal="center" vertical="center" textRotation="90"/>
    </xf>
    <xf numFmtId="2" fontId="9" fillId="0" borderId="7" xfId="1" applyNumberFormat="1" applyFont="1" applyBorder="1" applyAlignment="1">
      <alignment horizontal="center" vertical="center" textRotation="90"/>
    </xf>
    <xf numFmtId="2" fontId="9" fillId="0" borderId="1" xfId="1" applyNumberFormat="1" applyFont="1" applyBorder="1" applyAlignment="1">
      <alignment horizontal="center" vertical="center" textRotation="90"/>
    </xf>
    <xf numFmtId="2" fontId="9" fillId="0" borderId="14" xfId="1" applyNumberFormat="1" applyFont="1" applyBorder="1" applyAlignment="1">
      <alignment horizontal="center" vertical="center" textRotation="90"/>
    </xf>
    <xf numFmtId="173" fontId="12" fillId="0" borderId="4" xfId="1" applyNumberFormat="1" applyFont="1" applyBorder="1" applyAlignment="1">
      <alignment horizontal="center" vertical="center"/>
    </xf>
    <xf numFmtId="173" fontId="12" fillId="0" borderId="5" xfId="1" applyNumberFormat="1" applyFont="1" applyBorder="1" applyAlignment="1">
      <alignment horizontal="center" vertical="center"/>
    </xf>
    <xf numFmtId="173" fontId="12" fillId="0" borderId="12" xfId="1" applyNumberFormat="1" applyFont="1" applyBorder="1" applyAlignment="1">
      <alignment horizontal="center" vertical="center"/>
    </xf>
    <xf numFmtId="173" fontId="12" fillId="0" borderId="11" xfId="1" applyNumberFormat="1" applyFont="1" applyBorder="1" applyAlignment="1">
      <alignment horizontal="center" vertical="center"/>
    </xf>
    <xf numFmtId="173" fontId="12" fillId="0" borderId="0" xfId="1" applyNumberFormat="1" applyFont="1" applyAlignment="1">
      <alignment horizontal="center" vertical="center"/>
    </xf>
    <xf numFmtId="173" fontId="12" fillId="0" borderId="13" xfId="1" applyNumberFormat="1" applyFont="1" applyBorder="1" applyAlignment="1">
      <alignment horizontal="center" vertical="center"/>
    </xf>
    <xf numFmtId="173" fontId="12" fillId="0" borderId="7" xfId="1" applyNumberFormat="1" applyFont="1" applyBorder="1" applyAlignment="1">
      <alignment horizontal="center" vertical="center"/>
    </xf>
    <xf numFmtId="173" fontId="12" fillId="0" borderId="1" xfId="1" applyNumberFormat="1" applyFont="1" applyBorder="1" applyAlignment="1">
      <alignment horizontal="center" vertical="center"/>
    </xf>
    <xf numFmtId="173" fontId="12" fillId="0" borderId="14" xfId="1" applyNumberFormat="1" applyFont="1" applyBorder="1" applyAlignment="1">
      <alignment horizontal="center" vertical="center"/>
    </xf>
    <xf numFmtId="2" fontId="54" fillId="0" borderId="11" xfId="1" applyNumberFormat="1" applyFont="1" applyBorder="1" applyAlignment="1">
      <alignment horizontal="center" vertical="center" textRotation="90"/>
    </xf>
    <xf numFmtId="2" fontId="54" fillId="0" borderId="13" xfId="1" applyNumberFormat="1" applyFont="1" applyBorder="1" applyAlignment="1">
      <alignment horizontal="center" vertical="center" textRotation="90"/>
    </xf>
    <xf numFmtId="2" fontId="13" fillId="0" borderId="0" xfId="1" applyNumberFormat="1" applyFont="1" applyAlignment="1">
      <alignment horizontal="center" vertical="center"/>
    </xf>
    <xf numFmtId="169" fontId="9" fillId="0" borderId="11" xfId="1" applyNumberFormat="1" applyFont="1" applyBorder="1" applyAlignment="1">
      <alignment horizontal="center" vertical="center"/>
    </xf>
    <xf numFmtId="0" fontId="9" fillId="0" borderId="13" xfId="1" applyFont="1" applyBorder="1" applyAlignment="1">
      <alignment horizontal="center" vertical="center"/>
    </xf>
    <xf numFmtId="0" fontId="9" fillId="0" borderId="11" xfId="1" applyFont="1" applyBorder="1" applyAlignment="1">
      <alignment horizontal="center" vertical="center"/>
    </xf>
    <xf numFmtId="169" fontId="9" fillId="0" borderId="0" xfId="1" applyNumberFormat="1" applyFont="1" applyAlignment="1">
      <alignment horizontal="center" vertical="center"/>
    </xf>
    <xf numFmtId="0" fontId="9" fillId="0" borderId="6" xfId="1" applyFont="1" applyBorder="1" applyAlignment="1">
      <alignment horizontal="center" vertical="center" textRotation="90"/>
    </xf>
    <xf numFmtId="0" fontId="9" fillId="0" borderId="3" xfId="1" applyFont="1" applyBorder="1" applyAlignment="1">
      <alignment horizontal="center" vertical="center" textRotation="90"/>
    </xf>
    <xf numFmtId="0" fontId="9" fillId="0" borderId="2" xfId="1" applyFont="1" applyBorder="1" applyAlignment="1">
      <alignment horizontal="center" vertical="center" textRotation="90"/>
    </xf>
    <xf numFmtId="0" fontId="2" fillId="0" borderId="0" xfId="1" applyAlignment="1">
      <alignment horizontal="center" vertical="center"/>
    </xf>
    <xf numFmtId="0" fontId="2" fillId="0" borderId="80" xfId="1" applyBorder="1" applyAlignment="1">
      <alignment horizontal="center"/>
    </xf>
    <xf numFmtId="0" fontId="2" fillId="0" borderId="89" xfId="1" applyBorder="1" applyAlignment="1">
      <alignment horizontal="center"/>
    </xf>
    <xf numFmtId="2" fontId="9" fillId="0" borderId="15" xfId="1" applyNumberFormat="1" applyFont="1" applyBorder="1" applyAlignment="1">
      <alignment horizontal="center" vertical="center"/>
    </xf>
    <xf numFmtId="169" fontId="9" fillId="0" borderId="5" xfId="1" applyNumberFormat="1" applyFont="1" applyBorder="1" applyAlignment="1">
      <alignment horizontal="center" vertical="center" textRotation="90"/>
    </xf>
    <xf numFmtId="169" fontId="9" fillId="0" borderId="1" xfId="1" applyNumberFormat="1" applyFont="1" applyBorder="1" applyAlignment="1">
      <alignment horizontal="center" vertical="center" textRotation="90"/>
    </xf>
    <xf numFmtId="0" fontId="8" fillId="0" borderId="0" xfId="1" applyFont="1" applyAlignment="1">
      <alignment horizontal="center" vertical="center"/>
    </xf>
    <xf numFmtId="173" fontId="55" fillId="0" borderId="11" xfId="1" applyNumberFormat="1" applyFont="1" applyBorder="1" applyAlignment="1">
      <alignment horizontal="center" vertical="center"/>
    </xf>
    <xf numFmtId="173" fontId="55" fillId="0" borderId="0" xfId="1" applyNumberFormat="1" applyFont="1" applyAlignment="1">
      <alignment horizontal="center" vertical="center"/>
    </xf>
    <xf numFmtId="0" fontId="9" fillId="0" borderId="90" xfId="1" applyFont="1" applyBorder="1" applyAlignment="1">
      <alignment horizontal="center" vertical="center" textRotation="90"/>
    </xf>
    <xf numFmtId="0" fontId="9" fillId="0" borderId="92" xfId="1" applyFont="1" applyBorder="1" applyAlignment="1">
      <alignment horizontal="center" vertical="center" textRotation="90"/>
    </xf>
    <xf numFmtId="169" fontId="12" fillId="0" borderId="11" xfId="1" applyNumberFormat="1" applyFont="1" applyBorder="1" applyAlignment="1">
      <alignment horizontal="center" vertical="center" textRotation="90"/>
    </xf>
    <xf numFmtId="169" fontId="12" fillId="0" borderId="13" xfId="1" applyNumberFormat="1" applyFont="1" applyBorder="1" applyAlignment="1">
      <alignment horizontal="center" vertical="center" textRotation="90"/>
    </xf>
    <xf numFmtId="173" fontId="38" fillId="0" borderId="11" xfId="0" applyNumberFormat="1" applyFont="1" applyBorder="1" applyAlignment="1">
      <alignment horizontal="center"/>
    </xf>
    <xf numFmtId="173" fontId="38" fillId="0" borderId="0" xfId="0" applyNumberFormat="1" applyFont="1" applyAlignment="1">
      <alignment horizontal="center"/>
    </xf>
    <xf numFmtId="173" fontId="38" fillId="0" borderId="13" xfId="0" applyNumberFormat="1" applyFont="1" applyBorder="1" applyAlignment="1">
      <alignment horizontal="center"/>
    </xf>
    <xf numFmtId="2" fontId="37" fillId="0" borderId="5" xfId="0" applyNumberFormat="1" applyFont="1" applyBorder="1" applyAlignment="1">
      <alignment horizontal="center" vertical="center"/>
    </xf>
    <xf numFmtId="2" fontId="37" fillId="0" borderId="1" xfId="0" applyNumberFormat="1" applyFont="1" applyBorder="1" applyAlignment="1">
      <alignment horizontal="center" vertical="center"/>
    </xf>
    <xf numFmtId="0" fontId="69" fillId="0" borderId="2" xfId="2" applyFont="1" applyBorder="1" applyAlignment="1">
      <alignment horizontal="center" vertical="center"/>
    </xf>
    <xf numFmtId="0" fontId="69" fillId="0" borderId="6" xfId="2" applyFont="1" applyBorder="1" applyAlignment="1">
      <alignment horizontal="center" vertical="center"/>
    </xf>
    <xf numFmtId="0" fontId="68" fillId="0" borderId="2" xfId="2" applyFont="1" applyBorder="1" applyAlignment="1">
      <alignment horizontal="center"/>
    </xf>
    <xf numFmtId="0" fontId="68" fillId="0" borderId="6" xfId="2" applyFont="1" applyBorder="1" applyAlignment="1">
      <alignment horizontal="center"/>
    </xf>
    <xf numFmtId="0" fontId="69" fillId="0" borderId="3" xfId="2" applyFont="1" applyBorder="1" applyAlignment="1">
      <alignment horizontal="center" wrapText="1"/>
    </xf>
    <xf numFmtId="0" fontId="69" fillId="0" borderId="3" xfId="1" applyFont="1" applyBorder="1" applyAlignment="1">
      <alignment horizontal="center" vertical="center"/>
    </xf>
    <xf numFmtId="0" fontId="69" fillId="0" borderId="3" xfId="2" applyFont="1" applyBorder="1" applyAlignment="1">
      <alignment horizontal="center"/>
    </xf>
    <xf numFmtId="0" fontId="69" fillId="2" borderId="3" xfId="1" applyFont="1" applyFill="1" applyBorder="1" applyAlignment="1">
      <alignment vertical="center" wrapText="1"/>
    </xf>
    <xf numFmtId="0" fontId="69" fillId="0" borderId="2" xfId="1" applyFont="1" applyBorder="1" applyAlignment="1">
      <alignment horizontal="center" vertical="center"/>
    </xf>
    <xf numFmtId="0" fontId="69" fillId="0" borderId="6" xfId="1" applyFont="1" applyBorder="1" applyAlignment="1">
      <alignment horizontal="center" vertical="center"/>
    </xf>
    <xf numFmtId="0" fontId="69" fillId="0" borderId="2" xfId="2" applyFont="1" applyBorder="1" applyAlignment="1">
      <alignment horizontal="center" wrapText="1"/>
    </xf>
    <xf numFmtId="0" fontId="69" fillId="0" borderId="6" xfId="2" applyFont="1" applyBorder="1" applyAlignment="1">
      <alignment horizontal="center" wrapText="1"/>
    </xf>
    <xf numFmtId="0" fontId="67" fillId="0" borderId="0" xfId="1" applyFont="1" applyAlignment="1">
      <alignment horizontal="center" vertical="top"/>
    </xf>
    <xf numFmtId="0" fontId="69" fillId="0" borderId="0" xfId="1" applyFont="1" applyAlignment="1">
      <alignment horizontal="left" vertical="justify"/>
    </xf>
    <xf numFmtId="0" fontId="69" fillId="0" borderId="0" xfId="1" applyFont="1" applyAlignment="1" applyProtection="1">
      <alignment horizontal="left" vertical="top" wrapText="1"/>
      <protection locked="0"/>
    </xf>
    <xf numFmtId="0" fontId="69" fillId="0" borderId="1" xfId="1" applyFont="1" applyBorder="1" applyAlignment="1" applyProtection="1">
      <alignment horizontal="left" vertical="top" wrapText="1"/>
      <protection locked="0"/>
    </xf>
    <xf numFmtId="0" fontId="68" fillId="0" borderId="3" xfId="1" applyFont="1" applyBorder="1" applyAlignment="1" applyProtection="1">
      <alignment horizontal="center" vertical="center"/>
      <protection locked="0"/>
    </xf>
    <xf numFmtId="2" fontId="69" fillId="0" borderId="3" xfId="1" applyNumberFormat="1" applyFont="1" applyBorder="1" applyAlignment="1">
      <alignment horizontal="right" vertical="center"/>
    </xf>
    <xf numFmtId="0" fontId="69" fillId="2" borderId="0" xfId="1" applyFont="1" applyFill="1" applyAlignment="1">
      <alignment vertical="center"/>
    </xf>
    <xf numFmtId="0" fontId="69" fillId="3" borderId="3" xfId="1" applyFont="1" applyFill="1" applyBorder="1" applyAlignment="1" applyProtection="1">
      <alignment horizontal="center" vertical="center"/>
      <protection locked="0"/>
    </xf>
    <xf numFmtId="0" fontId="69" fillId="0" borderId="10" xfId="1" applyFont="1" applyBorder="1" applyAlignment="1">
      <alignment horizontal="center" vertical="center"/>
    </xf>
    <xf numFmtId="0" fontId="68" fillId="0" borderId="8" xfId="1" applyFont="1" applyBorder="1" applyAlignment="1" applyProtection="1">
      <alignment horizontal="center" vertical="center"/>
      <protection locked="0"/>
    </xf>
    <xf numFmtId="0" fontId="68" fillId="0" borderId="9" xfId="2" applyFont="1" applyBorder="1"/>
    <xf numFmtId="2" fontId="69" fillId="0" borderId="8" xfId="1" applyNumberFormat="1" applyFont="1" applyBorder="1" applyAlignment="1">
      <alignment horizontal="center" vertical="center"/>
    </xf>
    <xf numFmtId="2" fontId="69" fillId="0" borderId="9" xfId="1" applyNumberFormat="1" applyFont="1" applyBorder="1" applyAlignment="1">
      <alignment horizontal="center" vertical="center"/>
    </xf>
    <xf numFmtId="0" fontId="68" fillId="0" borderId="0" xfId="2" applyFont="1" applyAlignment="1">
      <alignment horizontal="center"/>
    </xf>
    <xf numFmtId="0" fontId="68" fillId="0" borderId="0" xfId="2" applyFont="1"/>
    <xf numFmtId="0" fontId="71" fillId="0" borderId="0" xfId="1" applyFont="1" applyAlignment="1">
      <alignment horizontal="center" vertical="center"/>
    </xf>
    <xf numFmtId="0" fontId="67" fillId="3" borderId="0" xfId="1" applyFont="1" applyFill="1" applyAlignment="1">
      <alignment horizontal="left" vertical="center"/>
    </xf>
    <xf numFmtId="0" fontId="69" fillId="3" borderId="4" xfId="1" applyFont="1" applyFill="1" applyBorder="1" applyAlignment="1">
      <alignment horizontal="center" vertical="center"/>
    </xf>
    <xf numFmtId="0" fontId="69" fillId="3" borderId="12" xfId="1" applyFont="1" applyFill="1" applyBorder="1" applyAlignment="1">
      <alignment horizontal="center" vertical="center"/>
    </xf>
    <xf numFmtId="2" fontId="69" fillId="3" borderId="4" xfId="1" applyNumberFormat="1" applyFont="1" applyFill="1" applyBorder="1" applyAlignment="1">
      <alignment horizontal="center" vertical="center"/>
    </xf>
    <xf numFmtId="2" fontId="69" fillId="3" borderId="12" xfId="1" applyNumberFormat="1" applyFont="1" applyFill="1" applyBorder="1" applyAlignment="1">
      <alignment horizontal="center" vertical="center"/>
    </xf>
    <xf numFmtId="0" fontId="69" fillId="3" borderId="2" xfId="1" applyFont="1" applyFill="1" applyBorder="1" applyAlignment="1">
      <alignment horizontal="center" vertical="center" wrapText="1"/>
    </xf>
    <xf numFmtId="0" fontId="68" fillId="3" borderId="0" xfId="2" applyFont="1" applyFill="1"/>
    <xf numFmtId="0" fontId="69" fillId="3" borderId="6" xfId="1" applyFont="1" applyFill="1" applyBorder="1" applyAlignment="1">
      <alignment horizontal="center" vertical="center" wrapText="1"/>
    </xf>
    <xf numFmtId="0" fontId="69" fillId="3" borderId="11" xfId="1" applyFont="1" applyFill="1" applyBorder="1" applyAlignment="1">
      <alignment horizontal="center" vertical="center"/>
    </xf>
    <xf numFmtId="0" fontId="69" fillId="3" borderId="13" xfId="1" applyFont="1" applyFill="1" applyBorder="1" applyAlignment="1">
      <alignment horizontal="center" vertical="center"/>
    </xf>
    <xf numFmtId="2" fontId="69" fillId="3" borderId="7" xfId="1" applyNumberFormat="1" applyFont="1" applyFill="1" applyBorder="1" applyAlignment="1">
      <alignment horizontal="center" vertical="center"/>
    </xf>
    <xf numFmtId="2" fontId="69" fillId="3" borderId="14" xfId="1" applyNumberFormat="1" applyFont="1" applyFill="1" applyBorder="1" applyAlignment="1">
      <alignment horizontal="center" vertical="center"/>
    </xf>
    <xf numFmtId="0" fontId="68" fillId="3" borderId="3" xfId="1" applyFont="1" applyFill="1" applyBorder="1" applyAlignment="1" applyProtection="1">
      <alignment horizontal="center" vertical="center"/>
      <protection locked="0"/>
    </xf>
    <xf numFmtId="0" fontId="69" fillId="3" borderId="3" xfId="1" applyFont="1" applyFill="1" applyBorder="1" applyAlignment="1">
      <alignment horizontal="center" vertical="top"/>
    </xf>
    <xf numFmtId="0" fontId="69" fillId="3" borderId="12" xfId="1" applyFont="1" applyFill="1" applyBorder="1" applyAlignment="1">
      <alignment horizontal="center" vertical="justify"/>
    </xf>
    <xf numFmtId="0" fontId="68" fillId="3" borderId="0" xfId="2" applyFont="1" applyFill="1" applyAlignment="1">
      <alignment horizontal="center"/>
    </xf>
    <xf numFmtId="0" fontId="69" fillId="3" borderId="14" xfId="1" applyFont="1" applyFill="1" applyBorder="1" applyAlignment="1">
      <alignment horizontal="center" vertical="justify"/>
    </xf>
    <xf numFmtId="2" fontId="69" fillId="3" borderId="2" xfId="1" applyNumberFormat="1" applyFont="1" applyFill="1" applyBorder="1" applyAlignment="1">
      <alignment horizontal="center" vertical="justify"/>
    </xf>
    <xf numFmtId="2" fontId="69" fillId="3" borderId="6" xfId="1" applyNumberFormat="1" applyFont="1" applyFill="1" applyBorder="1" applyAlignment="1">
      <alignment horizontal="center" vertical="justify"/>
    </xf>
    <xf numFmtId="0" fontId="69" fillId="3" borderId="3" xfId="1" applyFont="1" applyFill="1" applyBorder="1" applyAlignment="1">
      <alignment horizontal="center" vertical="justify"/>
    </xf>
    <xf numFmtId="2" fontId="69" fillId="8" borderId="5" xfId="1" applyNumberFormat="1" applyFont="1" applyFill="1" applyBorder="1" applyAlignment="1">
      <alignment horizontal="center" vertical="center"/>
    </xf>
    <xf numFmtId="2" fontId="69" fillId="8" borderId="12" xfId="1" applyNumberFormat="1" applyFont="1" applyFill="1" applyBorder="1" applyAlignment="1">
      <alignment horizontal="center" vertical="center"/>
    </xf>
    <xf numFmtId="0" fontId="69" fillId="8" borderId="1" xfId="1" applyFont="1" applyFill="1" applyBorder="1" applyAlignment="1">
      <alignment horizontal="center" vertical="center"/>
    </xf>
    <xf numFmtId="0" fontId="69" fillId="8" borderId="14" xfId="1" applyFont="1" applyFill="1" applyBorder="1" applyAlignment="1">
      <alignment horizontal="center" vertical="center"/>
    </xf>
    <xf numFmtId="0" fontId="68" fillId="3" borderId="3" xfId="1" applyFont="1" applyFill="1" applyBorder="1" applyAlignment="1">
      <alignment horizontal="center" vertical="top"/>
    </xf>
    <xf numFmtId="2" fontId="68" fillId="3" borderId="3" xfId="1" applyNumberFormat="1" applyFont="1" applyFill="1" applyBorder="1" applyAlignment="1">
      <alignment horizontal="center" vertical="top"/>
    </xf>
    <xf numFmtId="2" fontId="69" fillId="8" borderId="8" xfId="1" applyNumberFormat="1" applyFont="1" applyFill="1" applyBorder="1" applyAlignment="1">
      <alignment horizontal="right" vertical="top"/>
    </xf>
    <xf numFmtId="2" fontId="69" fillId="8" borderId="9" xfId="1" applyNumberFormat="1" applyFont="1" applyFill="1" applyBorder="1" applyAlignment="1">
      <alignment horizontal="right" vertical="top"/>
    </xf>
    <xf numFmtId="2" fontId="69" fillId="3" borderId="3" xfId="1" applyNumberFormat="1" applyFont="1" applyFill="1" applyBorder="1" applyAlignment="1">
      <alignment horizontal="center"/>
    </xf>
    <xf numFmtId="0" fontId="69" fillId="3" borderId="3" xfId="1" applyFont="1" applyFill="1" applyBorder="1" applyAlignment="1">
      <alignment horizontal="center" vertical="center"/>
    </xf>
    <xf numFmtId="0" fontId="69" fillId="3" borderId="8" xfId="1" applyFont="1" applyFill="1" applyBorder="1" applyAlignment="1">
      <alignment horizontal="center" vertical="center"/>
    </xf>
    <xf numFmtId="166" fontId="69" fillId="8" borderId="8" xfId="1" applyNumberFormat="1" applyFont="1" applyFill="1" applyBorder="1" applyAlignment="1">
      <alignment horizontal="right"/>
    </xf>
    <xf numFmtId="166" fontId="69" fillId="8" borderId="9" xfId="1" applyNumberFormat="1" applyFont="1" applyFill="1" applyBorder="1" applyAlignment="1">
      <alignment horizontal="right"/>
    </xf>
    <xf numFmtId="0" fontId="69" fillId="3" borderId="7" xfId="1" applyFont="1" applyFill="1" applyBorder="1" applyAlignment="1">
      <alignment horizontal="center" vertical="center"/>
    </xf>
    <xf numFmtId="0" fontId="69" fillId="3" borderId="14" xfId="1" applyFont="1" applyFill="1" applyBorder="1" applyAlignment="1">
      <alignment horizontal="center" vertical="center"/>
    </xf>
    <xf numFmtId="2" fontId="69" fillId="3" borderId="8" xfId="1" applyNumberFormat="1" applyFont="1" applyFill="1" applyBorder="1" applyAlignment="1">
      <alignment horizontal="right" vertical="top"/>
    </xf>
    <xf numFmtId="2" fontId="69" fillId="3" borderId="9" xfId="1" applyNumberFormat="1" applyFont="1" applyFill="1" applyBorder="1" applyAlignment="1">
      <alignment horizontal="right" vertical="top"/>
    </xf>
    <xf numFmtId="2" fontId="69" fillId="3" borderId="3" xfId="1" applyNumberFormat="1" applyFont="1" applyFill="1" applyBorder="1" applyAlignment="1" applyProtection="1">
      <alignment horizontal="right" vertical="center"/>
      <protection locked="0"/>
    </xf>
    <xf numFmtId="0" fontId="69" fillId="0" borderId="0" xfId="2" applyFont="1" applyAlignment="1">
      <alignment horizontal="center"/>
    </xf>
    <xf numFmtId="0" fontId="67" fillId="3" borderId="0" xfId="1" applyFont="1" applyFill="1" applyAlignment="1">
      <alignment horizontal="center" vertical="center"/>
    </xf>
    <xf numFmtId="2" fontId="69" fillId="3" borderId="0" xfId="1" applyNumberFormat="1" applyFont="1" applyFill="1" applyAlignment="1">
      <alignment horizontal="right"/>
    </xf>
    <xf numFmtId="0" fontId="69" fillId="3" borderId="0" xfId="1" applyFont="1" applyFill="1" applyAlignment="1">
      <alignment horizontal="center" vertical="center"/>
    </xf>
    <xf numFmtId="166" fontId="69" fillId="3" borderId="5" xfId="1" applyNumberFormat="1" applyFont="1" applyFill="1" applyBorder="1" applyAlignment="1">
      <alignment horizontal="right"/>
    </xf>
    <xf numFmtId="16" fontId="68" fillId="3" borderId="3" xfId="1" applyNumberFormat="1" applyFont="1" applyFill="1" applyBorder="1" applyAlignment="1">
      <alignment horizontal="center" vertical="justify"/>
    </xf>
    <xf numFmtId="2" fontId="69" fillId="8" borderId="3" xfId="1" applyNumberFormat="1" applyFont="1" applyFill="1" applyBorder="1" applyAlignment="1">
      <alignment horizontal="right"/>
    </xf>
    <xf numFmtId="2" fontId="69" fillId="3" borderId="3" xfId="1" applyNumberFormat="1" applyFont="1" applyFill="1" applyBorder="1" applyAlignment="1">
      <alignment horizontal="right"/>
    </xf>
    <xf numFmtId="0" fontId="69" fillId="2" borderId="1" xfId="2" applyFont="1" applyFill="1" applyBorder="1" applyAlignment="1">
      <alignment horizontal="center" vertical="center"/>
    </xf>
    <xf numFmtId="0" fontId="69" fillId="3" borderId="3" xfId="2" applyFont="1" applyFill="1" applyBorder="1" applyAlignment="1">
      <alignment horizontal="center" vertical="center"/>
    </xf>
    <xf numFmtId="0" fontId="69" fillId="3" borderId="8" xfId="2" applyFont="1" applyFill="1" applyBorder="1" applyAlignment="1">
      <alignment horizontal="center" vertical="center"/>
    </xf>
    <xf numFmtId="0" fontId="69" fillId="3" borderId="15" xfId="2" applyFont="1" applyFill="1" applyBorder="1" applyAlignment="1">
      <alignment horizontal="center" vertical="center"/>
    </xf>
    <xf numFmtId="0" fontId="68" fillId="3" borderId="0" xfId="1" applyFont="1" applyFill="1" applyAlignment="1">
      <alignment horizontal="center" vertical="center"/>
    </xf>
    <xf numFmtId="0" fontId="69" fillId="2" borderId="3" xfId="1" applyFont="1" applyFill="1" applyBorder="1" applyAlignment="1">
      <alignment horizontal="center" vertical="center"/>
    </xf>
    <xf numFmtId="0" fontId="69" fillId="3" borderId="5" xfId="1" applyFont="1" applyFill="1" applyBorder="1" applyAlignment="1">
      <alignment horizontal="center" vertical="center"/>
    </xf>
    <xf numFmtId="0" fontId="69" fillId="3" borderId="15" xfId="1" applyFont="1" applyFill="1" applyBorder="1" applyAlignment="1">
      <alignment horizontal="center" vertical="center"/>
    </xf>
    <xf numFmtId="0" fontId="69" fillId="3" borderId="9" xfId="1" applyFont="1" applyFill="1" applyBorder="1" applyAlignment="1">
      <alignment horizontal="center" vertical="center"/>
    </xf>
    <xf numFmtId="0" fontId="69" fillId="3" borderId="0" xfId="1" applyFont="1" applyFill="1" applyAlignment="1">
      <alignment horizontal="left" vertical="justify"/>
    </xf>
    <xf numFmtId="0" fontId="69" fillId="3" borderId="0" xfId="1" applyFont="1" applyFill="1" applyAlignment="1">
      <alignment horizontal="left" vertical="top"/>
    </xf>
    <xf numFmtId="0" fontId="69" fillId="0" borderId="0" xfId="1" applyFont="1" applyAlignment="1">
      <alignment horizontal="left" vertical="top" wrapText="1"/>
    </xf>
    <xf numFmtId="0" fontId="69" fillId="0" borderId="17" xfId="1" applyFont="1" applyBorder="1" applyAlignment="1">
      <alignment horizontal="center" vertical="center"/>
    </xf>
    <xf numFmtId="0" fontId="69" fillId="0" borderId="18" xfId="1" applyFont="1" applyBorder="1" applyAlignment="1">
      <alignment horizontal="center" vertical="center"/>
    </xf>
    <xf numFmtId="0" fontId="69" fillId="0" borderId="19" xfId="1" applyFont="1" applyBorder="1" applyAlignment="1">
      <alignment horizontal="center" vertical="center"/>
    </xf>
    <xf numFmtId="0" fontId="69" fillId="0" borderId="7" xfId="1" applyFont="1" applyBorder="1" applyAlignment="1">
      <alignment horizontal="center" vertical="center"/>
    </xf>
    <xf numFmtId="0" fontId="69" fillId="0" borderId="1" xfId="1" applyFont="1" applyBorder="1" applyAlignment="1">
      <alignment horizontal="center" vertical="center"/>
    </xf>
    <xf numFmtId="0" fontId="69" fillId="0" borderId="14" xfId="1" applyFont="1" applyBorder="1" applyAlignment="1">
      <alignment horizontal="center" vertical="center"/>
    </xf>
    <xf numFmtId="0" fontId="68" fillId="0" borderId="18" xfId="2" applyFont="1" applyBorder="1"/>
    <xf numFmtId="0" fontId="69" fillId="0" borderId="20" xfId="1" applyFont="1" applyBorder="1" applyAlignment="1">
      <alignment horizontal="center" vertical="justify"/>
    </xf>
    <xf numFmtId="0" fontId="69" fillId="0" borderId="3" xfId="1" applyFont="1" applyBorder="1" applyAlignment="1">
      <alignment horizontal="center" vertical="justify"/>
    </xf>
    <xf numFmtId="0" fontId="69" fillId="0" borderId="20" xfId="1" applyFont="1" applyBorder="1" applyAlignment="1">
      <alignment horizontal="center" vertical="center"/>
    </xf>
    <xf numFmtId="0" fontId="69" fillId="0" borderId="21" xfId="1" applyFont="1" applyBorder="1" applyAlignment="1">
      <alignment horizontal="center" vertical="center"/>
    </xf>
    <xf numFmtId="0" fontId="69" fillId="0" borderId="23" xfId="1" applyFont="1" applyBorder="1" applyAlignment="1">
      <alignment horizontal="center" vertical="center"/>
    </xf>
    <xf numFmtId="0" fontId="67" fillId="0" borderId="0" xfId="1" applyFont="1" applyAlignment="1">
      <alignment horizontal="center" vertical="center"/>
    </xf>
    <xf numFmtId="0" fontId="69" fillId="2" borderId="1" xfId="2" applyFont="1" applyFill="1" applyBorder="1" applyAlignment="1" applyProtection="1">
      <alignment horizontal="center" vertical="center"/>
      <protection locked="0"/>
    </xf>
    <xf numFmtId="2" fontId="68" fillId="0" borderId="8" xfId="1" applyNumberFormat="1" applyFont="1" applyBorder="1" applyAlignment="1">
      <alignment horizontal="center" vertical="center"/>
    </xf>
    <xf numFmtId="2" fontId="68" fillId="0" borderId="9" xfId="1" applyNumberFormat="1" applyFont="1" applyBorder="1" applyAlignment="1">
      <alignment horizontal="center" vertical="center"/>
    </xf>
    <xf numFmtId="2" fontId="69" fillId="0" borderId="8" xfId="1" applyNumberFormat="1" applyFont="1" applyBorder="1" applyAlignment="1" applyProtection="1">
      <alignment horizontal="right" vertical="center"/>
      <protection locked="0"/>
    </xf>
    <xf numFmtId="2" fontId="69" fillId="0" borderId="26" xfId="1" applyNumberFormat="1" applyFont="1" applyBorder="1" applyAlignment="1" applyProtection="1">
      <alignment horizontal="right" vertical="center"/>
      <protection locked="0"/>
    </xf>
    <xf numFmtId="0" fontId="69" fillId="0" borderId="8" xfId="1" applyFont="1" applyBorder="1" applyAlignment="1">
      <alignment horizontal="center" vertical="center"/>
    </xf>
    <xf numFmtId="0" fontId="69" fillId="0" borderId="15" xfId="1" applyFont="1" applyBorder="1" applyAlignment="1">
      <alignment horizontal="center" vertical="center"/>
    </xf>
    <xf numFmtId="0" fontId="69" fillId="0" borderId="9" xfId="1" applyFont="1" applyBorder="1" applyAlignment="1">
      <alignment horizontal="center" vertical="center"/>
    </xf>
    <xf numFmtId="0" fontId="69" fillId="0" borderId="26" xfId="1" applyFont="1" applyBorder="1" applyAlignment="1">
      <alignment horizontal="center" vertical="center"/>
    </xf>
    <xf numFmtId="2" fontId="68" fillId="0" borderId="8" xfId="1" applyNumberFormat="1" applyFont="1" applyBorder="1" applyAlignment="1">
      <alignment horizontal="center"/>
    </xf>
    <xf numFmtId="2" fontId="68" fillId="0" borderId="9" xfId="1" applyNumberFormat="1" applyFont="1" applyBorder="1" applyAlignment="1">
      <alignment horizontal="center"/>
    </xf>
    <xf numFmtId="2" fontId="69" fillId="0" borderId="8" xfId="1" applyNumberFormat="1" applyFont="1" applyBorder="1" applyAlignment="1" applyProtection="1">
      <alignment horizontal="right"/>
      <protection locked="0"/>
    </xf>
    <xf numFmtId="2" fontId="69" fillId="0" borderId="26" xfId="1" applyNumberFormat="1" applyFont="1" applyBorder="1" applyAlignment="1" applyProtection="1">
      <alignment horizontal="right"/>
      <protection locked="0"/>
    </xf>
    <xf numFmtId="0" fontId="68" fillId="0" borderId="3" xfId="2" applyFont="1" applyBorder="1" applyAlignment="1">
      <alignment horizontal="center"/>
    </xf>
    <xf numFmtId="2" fontId="69" fillId="0" borderId="3" xfId="2" applyNumberFormat="1" applyFont="1" applyBorder="1"/>
    <xf numFmtId="2" fontId="69" fillId="0" borderId="23" xfId="2" applyNumberFormat="1" applyFont="1" applyBorder="1"/>
    <xf numFmtId="2" fontId="69" fillId="0" borderId="3" xfId="1" applyNumberFormat="1" applyFont="1" applyBorder="1" applyAlignment="1" applyProtection="1">
      <alignment horizontal="right"/>
      <protection locked="0"/>
    </xf>
    <xf numFmtId="2" fontId="69" fillId="0" borderId="23" xfId="1" applyNumberFormat="1" applyFont="1" applyBorder="1" applyAlignment="1" applyProtection="1">
      <alignment horizontal="right"/>
      <protection locked="0"/>
    </xf>
    <xf numFmtId="2" fontId="68" fillId="0" borderId="3" xfId="1" applyNumberFormat="1" applyFont="1" applyBorder="1" applyAlignment="1">
      <alignment horizontal="center" vertical="center"/>
    </xf>
    <xf numFmtId="2" fontId="69" fillId="0" borderId="3" xfId="1" applyNumberFormat="1" applyFont="1" applyBorder="1" applyAlignment="1" applyProtection="1">
      <alignment horizontal="right" vertical="center"/>
      <protection locked="0"/>
    </xf>
    <xf numFmtId="0" fontId="68" fillId="0" borderId="23" xfId="2" applyFont="1" applyBorder="1"/>
    <xf numFmtId="0" fontId="68" fillId="0" borderId="3" xfId="2" applyFont="1" applyBorder="1"/>
    <xf numFmtId="0" fontId="68" fillId="0" borderId="8" xfId="2" applyFont="1" applyBorder="1" applyAlignment="1">
      <alignment horizontal="center"/>
    </xf>
    <xf numFmtId="0" fontId="68" fillId="0" borderId="9" xfId="2" applyFont="1" applyBorder="1" applyAlignment="1">
      <alignment horizontal="center"/>
    </xf>
    <xf numFmtId="0" fontId="68" fillId="0" borderId="8" xfId="2" applyFont="1" applyBorder="1"/>
    <xf numFmtId="0" fontId="68" fillId="0" borderId="26" xfId="2" applyFont="1" applyBorder="1"/>
    <xf numFmtId="2" fontId="69" fillId="0" borderId="23" xfId="1" applyNumberFormat="1" applyFont="1" applyBorder="1" applyAlignment="1" applyProtection="1">
      <alignment horizontal="right" vertical="center"/>
      <protection locked="0"/>
    </xf>
    <xf numFmtId="0" fontId="68" fillId="0" borderId="15" xfId="2" applyFont="1" applyBorder="1"/>
    <xf numFmtId="2" fontId="69" fillId="0" borderId="8" xfId="2" applyNumberFormat="1" applyFont="1" applyBorder="1"/>
    <xf numFmtId="2" fontId="69" fillId="0" borderId="26" xfId="2" applyNumberFormat="1" applyFont="1" applyBorder="1"/>
    <xf numFmtId="2" fontId="69" fillId="0" borderId="3" xfId="2" applyNumberFormat="1" applyFont="1" applyBorder="1" applyAlignment="1" applyProtection="1">
      <alignment horizontal="right" vertical="center"/>
      <protection locked="0"/>
    </xf>
    <xf numFmtId="2" fontId="69" fillId="0" borderId="23" xfId="2" applyNumberFormat="1" applyFont="1" applyBorder="1" applyAlignment="1" applyProtection="1">
      <alignment horizontal="right" vertical="center"/>
      <protection locked="0"/>
    </xf>
    <xf numFmtId="2" fontId="68" fillId="0" borderId="3" xfId="2" applyNumberFormat="1" applyFont="1" applyBorder="1" applyAlignment="1">
      <alignment horizontal="center" vertical="center"/>
    </xf>
    <xf numFmtId="2" fontId="69" fillId="0" borderId="8" xfId="2" applyNumberFormat="1" applyFont="1" applyBorder="1" applyAlignment="1" applyProtection="1">
      <alignment horizontal="right" vertical="center"/>
      <protection locked="0"/>
    </xf>
    <xf numFmtId="2" fontId="69" fillId="0" borderId="26" xfId="2" applyNumberFormat="1" applyFont="1" applyBorder="1" applyAlignment="1" applyProtection="1">
      <alignment horizontal="right" vertical="center"/>
      <protection locked="0"/>
    </xf>
    <xf numFmtId="2" fontId="68" fillId="3" borderId="3" xfId="2" applyNumberFormat="1" applyFont="1" applyFill="1" applyBorder="1" applyAlignment="1">
      <alignment horizontal="center" vertical="center"/>
    </xf>
    <xf numFmtId="2" fontId="69" fillId="3" borderId="8" xfId="2" applyNumberFormat="1" applyFont="1" applyFill="1" applyBorder="1" applyAlignment="1" applyProtection="1">
      <alignment horizontal="right" vertical="center"/>
      <protection locked="0"/>
    </xf>
    <xf numFmtId="2" fontId="69" fillId="3" borderId="26" xfId="2" applyNumberFormat="1" applyFont="1" applyFill="1" applyBorder="1" applyAlignment="1" applyProtection="1">
      <alignment horizontal="right" vertical="center"/>
      <protection locked="0"/>
    </xf>
    <xf numFmtId="0" fontId="69" fillId="0" borderId="0" xfId="1" applyFont="1" applyAlignment="1">
      <alignment horizontal="center" vertical="center"/>
    </xf>
    <xf numFmtId="0" fontId="69" fillId="0" borderId="0" xfId="1" applyFont="1" applyAlignment="1">
      <alignment horizontal="center" vertical="justify"/>
    </xf>
    <xf numFmtId="0" fontId="69" fillId="0" borderId="0" xfId="1" applyFont="1" applyAlignment="1">
      <alignment horizontal="justify" vertical="top"/>
    </xf>
    <xf numFmtId="2" fontId="68" fillId="0" borderId="34" xfId="2" applyNumberFormat="1" applyFont="1" applyBorder="1" applyAlignment="1">
      <alignment horizontal="center" vertical="center"/>
    </xf>
    <xf numFmtId="2" fontId="69" fillId="0" borderId="34" xfId="2" applyNumberFormat="1" applyFont="1" applyBorder="1" applyAlignment="1" applyProtection="1">
      <alignment horizontal="right" vertical="center"/>
      <protection locked="0"/>
    </xf>
    <xf numFmtId="2" fontId="69" fillId="0" borderId="41" xfId="2" applyNumberFormat="1" applyFont="1" applyBorder="1" applyAlignment="1" applyProtection="1">
      <alignment horizontal="right" vertical="center"/>
      <protection locked="0"/>
    </xf>
    <xf numFmtId="0" fontId="68" fillId="0" borderId="0" xfId="1" applyFont="1" applyAlignment="1">
      <alignment horizontal="justify" vertical="top"/>
    </xf>
    <xf numFmtId="0" fontId="69" fillId="0" borderId="8" xfId="1" applyFont="1" applyBorder="1" applyAlignment="1">
      <alignment horizontal="center" vertical="top"/>
    </xf>
    <xf numFmtId="0" fontId="69" fillId="0" borderId="15" xfId="1" applyFont="1" applyBorder="1" applyAlignment="1">
      <alignment horizontal="center" vertical="top"/>
    </xf>
    <xf numFmtId="0" fontId="69" fillId="0" borderId="9" xfId="1" applyFont="1" applyBorder="1" applyAlignment="1">
      <alignment horizontal="center" vertical="top"/>
    </xf>
    <xf numFmtId="0" fontId="69" fillId="0" borderId="4" xfId="1" applyFont="1" applyBorder="1" applyAlignment="1">
      <alignment horizontal="center" vertical="top"/>
    </xf>
    <xf numFmtId="0" fontId="69" fillId="0" borderId="5" xfId="1" applyFont="1" applyBorder="1" applyAlignment="1">
      <alignment horizontal="center" vertical="top"/>
    </xf>
    <xf numFmtId="0" fontId="69" fillId="0" borderId="12" xfId="1" applyFont="1" applyBorder="1" applyAlignment="1">
      <alignment horizontal="center" vertical="top"/>
    </xf>
    <xf numFmtId="0" fontId="69" fillId="0" borderId="7" xfId="1" applyFont="1" applyBorder="1" applyAlignment="1">
      <alignment horizontal="center" vertical="top"/>
    </xf>
    <xf numFmtId="0" fontId="69" fillId="0" borderId="1" xfId="1" applyFont="1" applyBorder="1" applyAlignment="1">
      <alignment horizontal="center" vertical="top"/>
    </xf>
    <xf numFmtId="0" fontId="69" fillId="0" borderId="14" xfId="1" applyFont="1" applyBorder="1" applyAlignment="1">
      <alignment horizontal="center" vertical="top"/>
    </xf>
    <xf numFmtId="0" fontId="69" fillId="0" borderId="2" xfId="1" applyFont="1" applyBorder="1" applyAlignment="1">
      <alignment horizontal="center"/>
    </xf>
    <xf numFmtId="0" fontId="69" fillId="0" borderId="6" xfId="1" applyFont="1" applyBorder="1" applyAlignment="1">
      <alignment horizontal="center"/>
    </xf>
    <xf numFmtId="0" fontId="68" fillId="0" borderId="0" xfId="2" applyFont="1" applyAlignment="1">
      <alignment horizontal="justify" vertical="top" wrapText="1"/>
    </xf>
    <xf numFmtId="0" fontId="68" fillId="0" borderId="0" xfId="1" applyFont="1" applyAlignment="1">
      <alignment horizontal="justify" vertical="top" wrapText="1"/>
    </xf>
    <xf numFmtId="0" fontId="68" fillId="0" borderId="0" xfId="2" applyFont="1" applyAlignment="1">
      <alignment horizontal="justify" vertical="top"/>
    </xf>
    <xf numFmtId="2" fontId="68" fillId="0" borderId="0" xfId="2" applyNumberFormat="1" applyFont="1" applyAlignment="1">
      <alignment horizontal="justify" vertical="top"/>
    </xf>
    <xf numFmtId="0" fontId="68" fillId="0" borderId="0" xfId="2" applyFont="1" applyAlignment="1">
      <alignment horizontal="justify" vertical="justify"/>
    </xf>
    <xf numFmtId="0" fontId="68" fillId="0" borderId="0" xfId="2" applyFont="1" applyAlignment="1">
      <alignment horizontal="justify"/>
    </xf>
    <xf numFmtId="0" fontId="0" fillId="0" borderId="11" xfId="0" applyBorder="1" applyAlignment="1">
      <alignment horizontal="center" vertical="center"/>
    </xf>
    <xf numFmtId="0" fontId="0" fillId="0" borderId="13" xfId="0" applyBorder="1" applyAlignment="1">
      <alignment horizontal="center" vertical="center"/>
    </xf>
    <xf numFmtId="0" fontId="92" fillId="0" borderId="11" xfId="0" applyFont="1" applyBorder="1" applyAlignment="1">
      <alignment horizontal="center"/>
    </xf>
    <xf numFmtId="0" fontId="92" fillId="0" borderId="0" xfId="0" applyFont="1" applyAlignment="1">
      <alignment horizontal="center"/>
    </xf>
    <xf numFmtId="0" fontId="92" fillId="0" borderId="13" xfId="0" applyFont="1" applyBorder="1" applyAlignment="1">
      <alignment horizontal="center"/>
    </xf>
    <xf numFmtId="0" fontId="89" fillId="0" borderId="0" xfId="0" applyFont="1" applyAlignment="1">
      <alignment horizontal="center" vertical="center"/>
    </xf>
    <xf numFmtId="2" fontId="0" fillId="0" borderId="11" xfId="0" applyNumberFormat="1" applyBorder="1" applyAlignment="1">
      <alignment horizontal="center" vertical="center"/>
    </xf>
    <xf numFmtId="2" fontId="0" fillId="0" borderId="13" xfId="0" applyNumberFormat="1" applyBorder="1" applyAlignment="1">
      <alignment horizontal="center" vertical="center"/>
    </xf>
    <xf numFmtId="0" fontId="5" fillId="0" borderId="3" xfId="2" applyFont="1" applyBorder="1" applyAlignment="1">
      <alignment horizontal="center" vertical="center"/>
    </xf>
    <xf numFmtId="0" fontId="5" fillId="0" borderId="8" xfId="2" applyFont="1" applyBorder="1" applyAlignment="1">
      <alignment horizontal="center"/>
    </xf>
    <xf numFmtId="0" fontId="5" fillId="0" borderId="15" xfId="2" applyFont="1" applyBorder="1" applyAlignment="1">
      <alignment horizontal="center"/>
    </xf>
    <xf numFmtId="0" fontId="5" fillId="0" borderId="9" xfId="2" applyFont="1" applyBorder="1" applyAlignment="1">
      <alignment horizontal="center"/>
    </xf>
    <xf numFmtId="0" fontId="5" fillId="0" borderId="11" xfId="2" applyFont="1" applyBorder="1" applyAlignment="1">
      <alignment horizontal="center"/>
    </xf>
    <xf numFmtId="0" fontId="5" fillId="0" borderId="0" xfId="2" applyFont="1" applyAlignment="1">
      <alignment horizontal="center"/>
    </xf>
    <xf numFmtId="0" fontId="5" fillId="0" borderId="3" xfId="2" applyFont="1" applyBorder="1" applyAlignment="1">
      <alignment horizontal="center"/>
    </xf>
    <xf numFmtId="0" fontId="84" fillId="0" borderId="4" xfId="1" applyFont="1" applyBorder="1" applyAlignment="1">
      <alignment horizontal="center"/>
    </xf>
    <xf numFmtId="0" fontId="84" fillId="0" borderId="5" xfId="1" applyFont="1" applyBorder="1" applyAlignment="1">
      <alignment horizontal="center"/>
    </xf>
    <xf numFmtId="0" fontId="84" fillId="0" borderId="12" xfId="1" applyFont="1" applyBorder="1" applyAlignment="1">
      <alignment horizontal="center"/>
    </xf>
    <xf numFmtId="0" fontId="63" fillId="0" borderId="11" xfId="1" applyFont="1" applyBorder="1" applyAlignment="1">
      <alignment horizontal="center"/>
    </xf>
    <xf numFmtId="0" fontId="63" fillId="0" borderId="0" xfId="1" applyFont="1" applyAlignment="1">
      <alignment horizontal="center"/>
    </xf>
    <xf numFmtId="0" fontId="63" fillId="0" borderId="13" xfId="1" applyFont="1" applyBorder="1" applyAlignment="1">
      <alignment horizontal="center"/>
    </xf>
    <xf numFmtId="0" fontId="63" fillId="0" borderId="7" xfId="1" applyFont="1" applyBorder="1" applyAlignment="1">
      <alignment horizontal="center"/>
    </xf>
    <xf numFmtId="0" fontId="63" fillId="0" borderId="1" xfId="1" applyFont="1" applyBorder="1" applyAlignment="1">
      <alignment horizontal="center"/>
    </xf>
    <xf numFmtId="0" fontId="63" fillId="0" borderId="14" xfId="1" applyFont="1" applyBorder="1" applyAlignment="1">
      <alignment horizontal="center"/>
    </xf>
    <xf numFmtId="0" fontId="63" fillId="0" borderId="42" xfId="1" applyFont="1" applyBorder="1" applyAlignment="1">
      <alignment horizontal="center" vertical="center" wrapText="1"/>
    </xf>
    <xf numFmtId="0" fontId="63" fillId="0" borderId="36" xfId="1" applyFont="1" applyBorder="1" applyAlignment="1">
      <alignment horizontal="center" vertical="center" wrapText="1"/>
    </xf>
    <xf numFmtId="0" fontId="63" fillId="0" borderId="87" xfId="1" applyFont="1" applyBorder="1" applyAlignment="1">
      <alignment horizontal="center" vertical="center" wrapText="1"/>
    </xf>
    <xf numFmtId="0" fontId="63" fillId="0" borderId="88" xfId="1" applyFont="1" applyBorder="1" applyAlignment="1">
      <alignment horizontal="center" vertical="center" wrapText="1"/>
    </xf>
    <xf numFmtId="0" fontId="63" fillId="0" borderId="60" xfId="1" applyFont="1" applyBorder="1" applyAlignment="1">
      <alignment horizontal="center" vertical="center" wrapText="1"/>
    </xf>
    <xf numFmtId="0" fontId="85" fillId="0" borderId="11" xfId="1" applyFont="1" applyBorder="1" applyAlignment="1">
      <alignment horizontal="center"/>
    </xf>
    <xf numFmtId="0" fontId="85" fillId="0" borderId="0" xfId="1" applyFont="1" applyAlignment="1">
      <alignment horizontal="center"/>
    </xf>
    <xf numFmtId="0" fontId="85" fillId="0" borderId="13" xfId="1" applyFont="1" applyBorder="1" applyAlignment="1">
      <alignment horizontal="center"/>
    </xf>
    <xf numFmtId="0" fontId="66" fillId="0" borderId="3" xfId="1" applyFont="1" applyBorder="1" applyAlignment="1">
      <alignment horizontal="center" vertical="center" wrapText="1"/>
    </xf>
    <xf numFmtId="0" fontId="66" fillId="0" borderId="4" xfId="1" applyFont="1" applyBorder="1" applyAlignment="1">
      <alignment horizontal="center" vertical="center" wrapText="1"/>
    </xf>
    <xf numFmtId="0" fontId="66" fillId="0" borderId="7" xfId="1" applyFont="1" applyBorder="1" applyAlignment="1">
      <alignment horizontal="center" vertical="center" wrapText="1"/>
    </xf>
    <xf numFmtId="0" fontId="66" fillId="0" borderId="8" xfId="1" applyFont="1" applyBorder="1" applyAlignment="1">
      <alignment horizontal="center" vertical="center"/>
    </xf>
    <xf numFmtId="0" fontId="66" fillId="0" borderId="15" xfId="1" applyFont="1" applyBorder="1" applyAlignment="1">
      <alignment horizontal="center" vertical="center"/>
    </xf>
    <xf numFmtId="0" fontId="66" fillId="0" borderId="9" xfId="1" applyFont="1" applyBorder="1" applyAlignment="1">
      <alignment horizontal="center" vertical="center"/>
    </xf>
    <xf numFmtId="0" fontId="66" fillId="0" borderId="4" xfId="1" applyFont="1" applyBorder="1" applyAlignment="1">
      <alignment horizontal="center" vertical="center"/>
    </xf>
    <xf numFmtId="0" fontId="66" fillId="0" borderId="5" xfId="1" applyFont="1" applyBorder="1" applyAlignment="1">
      <alignment horizontal="center" vertical="center"/>
    </xf>
    <xf numFmtId="0" fontId="66" fillId="0" borderId="12" xfId="1" applyFont="1" applyBorder="1" applyAlignment="1">
      <alignment horizontal="center" vertical="center"/>
    </xf>
    <xf numFmtId="0" fontId="63" fillId="0" borderId="27" xfId="1" applyFont="1" applyBorder="1" applyAlignment="1">
      <alignment horizontal="center" vertical="center" wrapText="1"/>
    </xf>
    <xf numFmtId="0" fontId="5" fillId="0" borderId="3" xfId="1" applyFont="1" applyBorder="1" applyAlignment="1">
      <alignment horizontal="center" vertical="center"/>
    </xf>
    <xf numFmtId="0" fontId="66" fillId="0" borderId="11" xfId="1" applyFont="1" applyBorder="1" applyAlignment="1">
      <alignment horizontal="justify" vertical="top" wrapText="1"/>
    </xf>
    <xf numFmtId="0" fontId="66" fillId="0" borderId="0" xfId="1" applyFont="1" applyAlignment="1">
      <alignment horizontal="justify" vertical="top" wrapText="1"/>
    </xf>
    <xf numFmtId="0" fontId="58" fillId="0" borderId="11" xfId="1" applyFont="1" applyBorder="1" applyAlignment="1">
      <alignment horizontal="center"/>
    </xf>
    <xf numFmtId="0" fontId="58" fillId="0" borderId="0" xfId="1" applyFont="1" applyAlignment="1">
      <alignment horizontal="center"/>
    </xf>
    <xf numFmtId="0" fontId="58" fillId="0" borderId="13" xfId="1" applyFont="1" applyBorder="1" applyAlignment="1">
      <alignment horizontal="center"/>
    </xf>
    <xf numFmtId="0" fontId="62" fillId="0" borderId="4" xfId="1" applyFont="1" applyBorder="1" applyAlignment="1">
      <alignment horizontal="center" vertical="center"/>
    </xf>
    <xf numFmtId="0" fontId="62" fillId="0" borderId="5" xfId="1" applyFont="1" applyBorder="1" applyAlignment="1">
      <alignment horizontal="center" vertical="center"/>
    </xf>
    <xf numFmtId="0" fontId="62" fillId="0" borderId="12" xfId="1" applyFont="1" applyBorder="1" applyAlignment="1">
      <alignment horizontal="center" vertical="center"/>
    </xf>
    <xf numFmtId="0" fontId="5" fillId="0" borderId="3"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63" fillId="0" borderId="43" xfId="1" applyFont="1" applyBorder="1" applyAlignment="1">
      <alignment horizontal="center" vertical="center" wrapText="1"/>
    </xf>
    <xf numFmtId="0" fontId="63" fillId="0" borderId="44" xfId="1" applyFont="1" applyBorder="1" applyAlignment="1">
      <alignment horizontal="center" vertical="center" wrapText="1"/>
    </xf>
    <xf numFmtId="0" fontId="63" fillId="0" borderId="28" xfId="1" applyFont="1" applyBorder="1" applyAlignment="1">
      <alignment horizontal="center" vertical="center" wrapText="1"/>
    </xf>
    <xf numFmtId="0" fontId="51" fillId="0" borderId="0" xfId="2" applyFont="1" applyAlignment="1">
      <alignment horizontal="center"/>
    </xf>
    <xf numFmtId="0" fontId="59" fillId="0" borderId="0" xfId="2" applyFont="1" applyAlignment="1">
      <alignment horizontal="center"/>
    </xf>
    <xf numFmtId="0" fontId="59" fillId="0" borderId="10" xfId="2" applyFont="1" applyBorder="1" applyAlignment="1">
      <alignment horizontal="center" textRotation="90"/>
    </xf>
    <xf numFmtId="0" fontId="59" fillId="0" borderId="5" xfId="2" applyFont="1" applyBorder="1" applyAlignment="1">
      <alignment horizontal="center" vertical="center" wrapText="1"/>
    </xf>
    <xf numFmtId="0" fontId="59" fillId="0" borderId="0" xfId="2" applyFont="1" applyAlignment="1">
      <alignment horizontal="center" vertical="center"/>
    </xf>
    <xf numFmtId="0" fontId="59" fillId="0" borderId="5" xfId="2" applyFont="1" applyBorder="1" applyAlignment="1">
      <alignment horizontal="center" vertical="center"/>
    </xf>
    <xf numFmtId="0" fontId="59" fillId="0" borderId="13" xfId="2" applyFont="1" applyBorder="1" applyAlignment="1">
      <alignment horizontal="center" textRotation="90"/>
    </xf>
    <xf numFmtId="0" fontId="59" fillId="5" borderId="4" xfId="2" applyFont="1" applyFill="1" applyBorder="1" applyAlignment="1">
      <alignment horizontal="center" vertical="center"/>
    </xf>
    <xf numFmtId="0" fontId="59" fillId="5" borderId="5" xfId="2" applyFont="1" applyFill="1" applyBorder="1" applyAlignment="1">
      <alignment horizontal="center" vertical="center"/>
    </xf>
    <xf numFmtId="0" fontId="59" fillId="5" borderId="0" xfId="2" applyFont="1" applyFill="1" applyAlignment="1">
      <alignment horizontal="center" vertical="center"/>
    </xf>
    <xf numFmtId="0" fontId="59" fillId="5" borderId="12" xfId="2" applyFont="1" applyFill="1" applyBorder="1" applyAlignment="1">
      <alignment horizontal="center" vertical="center"/>
    </xf>
    <xf numFmtId="0" fontId="59" fillId="5" borderId="7" xfId="2" applyFont="1" applyFill="1" applyBorder="1" applyAlignment="1">
      <alignment horizontal="center" vertical="center"/>
    </xf>
    <xf numFmtId="0" fontId="59" fillId="5" borderId="1" xfId="2" applyFont="1" applyFill="1" applyBorder="1" applyAlignment="1">
      <alignment horizontal="center" vertical="center"/>
    </xf>
    <xf numFmtId="0" fontId="59" fillId="5" borderId="14" xfId="2" applyFont="1" applyFill="1" applyBorder="1" applyAlignment="1">
      <alignment horizontal="center" vertical="center"/>
    </xf>
    <xf numFmtId="0" fontId="71" fillId="0" borderId="52" xfId="1" applyFont="1" applyBorder="1" applyAlignment="1">
      <alignment horizontal="center"/>
    </xf>
    <xf numFmtId="0" fontId="71" fillId="0" borderId="54" xfId="1" applyFont="1" applyBorder="1" applyAlignment="1">
      <alignment horizontal="center"/>
    </xf>
    <xf numFmtId="0" fontId="71" fillId="0" borderId="53" xfId="1" applyFont="1" applyBorder="1" applyAlignment="1">
      <alignment horizontal="center"/>
    </xf>
    <xf numFmtId="0" fontId="68" fillId="0" borderId="52" xfId="1" applyFont="1" applyBorder="1" applyAlignment="1">
      <alignment horizontal="center"/>
    </xf>
    <xf numFmtId="0" fontId="68" fillId="0" borderId="53" xfId="1" applyFont="1" applyBorder="1" applyAlignment="1">
      <alignment horizontal="center"/>
    </xf>
    <xf numFmtId="0" fontId="69" fillId="0" borderId="0" xfId="2" applyFont="1" applyAlignment="1">
      <alignment horizontal="center" vertical="center"/>
    </xf>
    <xf numFmtId="0" fontId="69" fillId="0" borderId="27" xfId="1" applyFont="1" applyBorder="1" applyAlignment="1">
      <alignment horizontal="center" vertical="center" wrapText="1"/>
    </xf>
    <xf numFmtId="0" fontId="69" fillId="0" borderId="55" xfId="2" applyFont="1" applyBorder="1" applyAlignment="1">
      <alignment horizontal="center" vertical="center"/>
    </xf>
    <xf numFmtId="0" fontId="69" fillId="0" borderId="57" xfId="1" applyFont="1" applyBorder="1" applyAlignment="1">
      <alignment horizontal="center" vertical="center" wrapText="1"/>
    </xf>
    <xf numFmtId="0" fontId="69" fillId="0" borderId="58" xfId="1" applyFont="1" applyBorder="1" applyAlignment="1">
      <alignment horizontal="center" vertical="center" wrapText="1"/>
    </xf>
    <xf numFmtId="0" fontId="69" fillId="0" borderId="19" xfId="2" applyFont="1" applyBorder="1" applyAlignment="1">
      <alignment horizontal="center" vertical="center"/>
    </xf>
    <xf numFmtId="0" fontId="69" fillId="0" borderId="13" xfId="1" applyFont="1" applyBorder="1" applyAlignment="1">
      <alignment horizontal="center" vertical="center" wrapText="1"/>
    </xf>
    <xf numFmtId="0" fontId="69" fillId="0" borderId="11" xfId="1" applyFont="1" applyBorder="1" applyAlignment="1">
      <alignment horizontal="center" vertical="center" wrapText="1"/>
    </xf>
    <xf numFmtId="0" fontId="69" fillId="0" borderId="7" xfId="1" applyFont="1" applyBorder="1" applyAlignment="1">
      <alignment horizontal="center" vertical="center" wrapText="1"/>
    </xf>
    <xf numFmtId="0" fontId="69" fillId="0" borderId="14" xfId="1" applyFont="1" applyBorder="1" applyAlignment="1">
      <alignment horizontal="center" vertical="center" wrapText="1"/>
    </xf>
    <xf numFmtId="0" fontId="69" fillId="0" borderId="11" xfId="1" applyFont="1" applyBorder="1" applyAlignment="1">
      <alignment horizontal="center" vertical="center"/>
    </xf>
    <xf numFmtId="0" fontId="69" fillId="0" borderId="13" xfId="1" applyFont="1" applyBorder="1" applyAlignment="1">
      <alignment horizontal="center" vertical="center"/>
    </xf>
    <xf numFmtId="0" fontId="69" fillId="0" borderId="43" xfId="1" applyFont="1" applyBorder="1" applyAlignment="1">
      <alignment horizontal="center" vertical="center"/>
    </xf>
    <xf numFmtId="0" fontId="69" fillId="0" borderId="28" xfId="1" applyFont="1" applyBorder="1" applyAlignment="1">
      <alignment horizontal="center" vertical="center"/>
    </xf>
    <xf numFmtId="0" fontId="69" fillId="0" borderId="35" xfId="1" applyFont="1" applyBorder="1" applyAlignment="1">
      <alignment horizontal="center" vertical="center"/>
    </xf>
    <xf numFmtId="2" fontId="69" fillId="0" borderId="42" xfId="1" applyNumberFormat="1" applyFont="1" applyBorder="1" applyAlignment="1">
      <alignment horizontal="center" vertical="center" wrapText="1"/>
    </xf>
    <xf numFmtId="2" fontId="69" fillId="0" borderId="19" xfId="1" applyNumberFormat="1" applyFont="1" applyBorder="1" applyAlignment="1">
      <alignment horizontal="center" vertical="center" wrapText="1"/>
    </xf>
    <xf numFmtId="2" fontId="69" fillId="0" borderId="27" xfId="1" applyNumberFormat="1" applyFont="1" applyBorder="1" applyAlignment="1">
      <alignment horizontal="center" vertical="center" wrapText="1"/>
    </xf>
    <xf numFmtId="2" fontId="69" fillId="0" borderId="13" xfId="1" applyNumberFormat="1" applyFont="1" applyBorder="1" applyAlignment="1">
      <alignment horizontal="center" vertical="center" wrapText="1"/>
    </xf>
    <xf numFmtId="2" fontId="69" fillId="0" borderId="59" xfId="1" applyNumberFormat="1" applyFont="1" applyBorder="1" applyAlignment="1">
      <alignment horizontal="center" vertical="center" wrapText="1"/>
    </xf>
    <xf numFmtId="2" fontId="69" fillId="0" borderId="14" xfId="1" applyNumberFormat="1" applyFont="1" applyBorder="1" applyAlignment="1">
      <alignment horizontal="center" vertical="center" wrapText="1"/>
    </xf>
    <xf numFmtId="0" fontId="69" fillId="0" borderId="17" xfId="1" applyFont="1" applyBorder="1" applyAlignment="1">
      <alignment horizontal="center" vertical="center" wrapText="1"/>
    </xf>
    <xf numFmtId="0" fontId="69" fillId="0" borderId="19" xfId="1" applyFont="1" applyBorder="1" applyAlignment="1">
      <alignment horizontal="center" vertical="center" wrapText="1"/>
    </xf>
    <xf numFmtId="0" fontId="69" fillId="0" borderId="43" xfId="1" applyFont="1" applyBorder="1" applyAlignment="1">
      <alignment horizontal="center" vertical="center" wrapText="1"/>
    </xf>
    <xf numFmtId="0" fontId="69" fillId="0" borderId="28" xfId="1" applyFont="1" applyBorder="1" applyAlignment="1">
      <alignment horizontal="center" vertical="center" wrapText="1"/>
    </xf>
    <xf numFmtId="0" fontId="69" fillId="0" borderId="35" xfId="1" applyFont="1" applyBorder="1" applyAlignment="1">
      <alignment horizontal="center" vertical="center" wrapText="1"/>
    </xf>
    <xf numFmtId="0" fontId="69" fillId="0" borderId="42" xfId="1" applyFont="1" applyBorder="1" applyAlignment="1">
      <alignment horizontal="center" vertical="center"/>
    </xf>
    <xf numFmtId="0" fontId="69" fillId="0" borderId="27" xfId="1" applyFont="1" applyBorder="1" applyAlignment="1">
      <alignment horizontal="center" vertical="center"/>
    </xf>
    <xf numFmtId="0" fontId="69" fillId="0" borderId="59" xfId="1" applyFont="1" applyBorder="1" applyAlignment="1">
      <alignment horizontal="center" vertical="center"/>
    </xf>
    <xf numFmtId="0" fontId="69" fillId="0" borderId="3" xfId="1" applyFont="1" applyBorder="1" applyAlignment="1">
      <alignment horizontal="center" vertical="center" wrapText="1"/>
    </xf>
    <xf numFmtId="0" fontId="77" fillId="0" borderId="0" xfId="2" applyFont="1" applyAlignment="1">
      <alignment horizontal="center"/>
    </xf>
    <xf numFmtId="0" fontId="69" fillId="0" borderId="1" xfId="1" applyFont="1" applyBorder="1" applyAlignment="1">
      <alignment horizontal="center" vertical="center" wrapText="1"/>
    </xf>
    <xf numFmtId="0" fontId="69" fillId="0" borderId="56" xfId="1" applyFont="1" applyBorder="1" applyAlignment="1">
      <alignment horizontal="center" vertical="center" wrapText="1"/>
    </xf>
    <xf numFmtId="0" fontId="69" fillId="0" borderId="39" xfId="1" applyFont="1" applyBorder="1" applyAlignment="1">
      <alignment horizontal="center" vertical="center" wrapText="1"/>
    </xf>
    <xf numFmtId="0" fontId="69" fillId="0" borderId="40" xfId="1" applyFont="1" applyBorder="1" applyAlignment="1">
      <alignment horizontal="center" vertical="center" wrapText="1"/>
    </xf>
    <xf numFmtId="0" fontId="69" fillId="0" borderId="4" xfId="1" applyFont="1" applyBorder="1" applyAlignment="1">
      <alignment horizontal="center" vertical="center" wrapText="1"/>
    </xf>
    <xf numFmtId="0" fontId="69" fillId="0" borderId="2" xfId="1" applyFont="1" applyBorder="1" applyAlignment="1">
      <alignment horizontal="center" vertical="center" wrapText="1"/>
    </xf>
    <xf numFmtId="0" fontId="69" fillId="0" borderId="6" xfId="1" applyFont="1" applyBorder="1" applyAlignment="1">
      <alignment horizontal="center" vertical="center" wrapText="1"/>
    </xf>
    <xf numFmtId="0" fontId="69" fillId="0" borderId="0" xfId="1" applyFont="1" applyAlignment="1">
      <alignment horizontal="center" vertical="center" wrapText="1"/>
    </xf>
    <xf numFmtId="0" fontId="69" fillId="0" borderId="8" xfId="1" applyFont="1" applyBorder="1" applyAlignment="1">
      <alignment horizontal="center" vertical="center" wrapText="1"/>
    </xf>
    <xf numFmtId="0" fontId="69" fillId="0" borderId="9" xfId="1" applyFont="1" applyBorder="1" applyAlignment="1">
      <alignment horizontal="center" vertical="center" wrapText="1"/>
    </xf>
    <xf numFmtId="0" fontId="69" fillId="0" borderId="15" xfId="1" applyFont="1" applyBorder="1" applyAlignment="1">
      <alignment horizontal="center" vertical="center" wrapText="1"/>
    </xf>
    <xf numFmtId="0" fontId="69" fillId="0" borderId="26" xfId="1" applyFont="1" applyBorder="1" applyAlignment="1">
      <alignment horizontal="center" vertical="center" wrapText="1"/>
    </xf>
    <xf numFmtId="0" fontId="71" fillId="0" borderId="29" xfId="1" applyFont="1" applyBorder="1" applyAlignment="1">
      <alignment horizontal="center"/>
    </xf>
    <xf numFmtId="0" fontId="71" fillId="0" borderId="15" xfId="1" applyFont="1" applyBorder="1" applyAlignment="1">
      <alignment horizontal="center"/>
    </xf>
    <xf numFmtId="0" fontId="71" fillId="0" borderId="9" xfId="1" applyFont="1" applyBorder="1" applyAlignment="1">
      <alignment horizontal="center"/>
    </xf>
    <xf numFmtId="0" fontId="80" fillId="0" borderId="37" xfId="1" applyFont="1" applyBorder="1" applyAlignment="1">
      <alignment horizontal="center"/>
    </xf>
    <xf numFmtId="0" fontId="80" fillId="0" borderId="31" xfId="1" applyFont="1" applyBorder="1" applyAlignment="1">
      <alignment horizontal="center"/>
    </xf>
    <xf numFmtId="0" fontId="80" fillId="0" borderId="33" xfId="1" applyFont="1" applyBorder="1" applyAlignment="1">
      <alignment horizontal="center"/>
    </xf>
    <xf numFmtId="0" fontId="69" fillId="0" borderId="29" xfId="1" applyFont="1" applyBorder="1" applyAlignment="1">
      <alignment horizontal="center" vertical="center" wrapText="1"/>
    </xf>
    <xf numFmtId="0" fontId="58" fillId="0" borderId="7" xfId="1" applyFont="1" applyBorder="1" applyAlignment="1">
      <alignment horizontal="center"/>
    </xf>
    <xf numFmtId="0" fontId="58" fillId="0" borderId="1" xfId="1" applyFont="1" applyBorder="1" applyAlignment="1">
      <alignment horizontal="center"/>
    </xf>
    <xf numFmtId="0" fontId="58" fillId="0" borderId="14" xfId="1" applyFont="1" applyBorder="1" applyAlignment="1">
      <alignment horizontal="center"/>
    </xf>
    <xf numFmtId="0" fontId="65" fillId="0" borderId="11" xfId="1" applyFont="1" applyBorder="1" applyAlignment="1">
      <alignment horizontal="justify"/>
    </xf>
    <xf numFmtId="0" fontId="65" fillId="0" borderId="0" xfId="1" applyFont="1" applyAlignment="1">
      <alignment horizontal="justify"/>
    </xf>
    <xf numFmtId="0" fontId="65" fillId="0" borderId="13" xfId="1" applyFont="1" applyBorder="1" applyAlignment="1">
      <alignment horizontal="justify"/>
    </xf>
    <xf numFmtId="0" fontId="65" fillId="0" borderId="11" xfId="1" applyFont="1" applyBorder="1" applyAlignment="1">
      <alignment horizontal="justify" vertical="top"/>
    </xf>
    <xf numFmtId="0" fontId="65" fillId="0" borderId="0" xfId="1" applyFont="1" applyAlignment="1">
      <alignment horizontal="justify" vertical="top"/>
    </xf>
    <xf numFmtId="0" fontId="65" fillId="0" borderId="13" xfId="1" applyFont="1" applyBorder="1" applyAlignment="1">
      <alignment horizontal="justify" vertical="top"/>
    </xf>
    <xf numFmtId="0" fontId="89" fillId="0" borderId="3" xfId="0" applyFont="1" applyBorder="1" applyAlignment="1">
      <alignment horizontal="center"/>
    </xf>
    <xf numFmtId="0" fontId="95" fillId="0" borderId="0" xfId="17" applyFont="1" applyAlignment="1">
      <alignment horizontal="center"/>
    </xf>
    <xf numFmtId="0" fontId="6" fillId="0" borderId="8" xfId="17" applyFont="1" applyBorder="1" applyAlignment="1">
      <alignment horizontal="center" vertical="center"/>
    </xf>
    <xf numFmtId="0" fontId="6" fillId="0" borderId="15" xfId="17" applyFont="1" applyBorder="1" applyAlignment="1">
      <alignment horizontal="center" vertical="center"/>
    </xf>
    <xf numFmtId="0" fontId="6" fillId="0" borderId="9" xfId="17" applyFont="1" applyBorder="1" applyAlignment="1">
      <alignment horizontal="center" vertical="center"/>
    </xf>
    <xf numFmtId="0" fontId="6" fillId="0" borderId="3" xfId="17" applyFont="1" applyBorder="1" applyAlignment="1">
      <alignment horizontal="center" vertical="center"/>
    </xf>
    <xf numFmtId="2" fontId="6" fillId="0" borderId="8" xfId="17" applyNumberFormat="1" applyFont="1" applyBorder="1" applyAlignment="1">
      <alignment vertical="center"/>
    </xf>
    <xf numFmtId="2" fontId="6" fillId="0" borderId="9" xfId="17" applyNumberFormat="1" applyFont="1" applyBorder="1" applyAlignment="1">
      <alignment vertical="center"/>
    </xf>
    <xf numFmtId="0" fontId="57" fillId="0" borderId="4" xfId="2" applyFont="1" applyBorder="1" applyAlignment="1">
      <alignment horizontal="center"/>
    </xf>
    <xf numFmtId="0" fontId="57" fillId="0" borderId="5" xfId="2" applyFont="1" applyBorder="1" applyAlignment="1">
      <alignment horizontal="center"/>
    </xf>
    <xf numFmtId="0" fontId="57" fillId="0" borderId="12" xfId="2" applyFont="1" applyBorder="1" applyAlignment="1">
      <alignment horizontal="center"/>
    </xf>
    <xf numFmtId="0" fontId="63" fillId="0" borderId="3" xfId="2" applyFont="1" applyBorder="1" applyAlignment="1">
      <alignment horizontal="center" vertical="center"/>
    </xf>
    <xf numFmtId="2" fontId="63" fillId="0" borderId="3" xfId="2" applyNumberFormat="1" applyFont="1" applyBorder="1"/>
    <xf numFmtId="0" fontId="58" fillId="0" borderId="3" xfId="2" applyFont="1" applyBorder="1" applyAlignment="1">
      <alignment horizontal="center"/>
    </xf>
    <xf numFmtId="0" fontId="58" fillId="0" borderId="3" xfId="2" applyFont="1" applyBorder="1"/>
    <xf numFmtId="0" fontId="63" fillId="0" borderId="4" xfId="2" applyFont="1" applyBorder="1" applyAlignment="1">
      <alignment horizontal="center" vertical="center"/>
    </xf>
    <xf numFmtId="0" fontId="63" fillId="0" borderId="5" xfId="2" applyFont="1" applyBorder="1" applyAlignment="1">
      <alignment horizontal="center" vertical="center"/>
    </xf>
    <xf numFmtId="0" fontId="63" fillId="0" borderId="12" xfId="2" applyFont="1" applyBorder="1" applyAlignment="1">
      <alignment horizontal="center" vertical="center"/>
    </xf>
    <xf numFmtId="0" fontId="63" fillId="0" borderId="6" xfId="2" applyFont="1" applyBorder="1" applyAlignment="1">
      <alignment horizontal="center" vertical="center"/>
    </xf>
    <xf numFmtId="0" fontId="63" fillId="0" borderId="7" xfId="2" applyFont="1" applyBorder="1" applyAlignment="1">
      <alignment horizontal="center" vertical="center" wrapText="1"/>
    </xf>
    <xf numFmtId="0" fontId="63" fillId="0" borderId="14" xfId="2" applyFont="1" applyBorder="1" applyAlignment="1">
      <alignment horizontal="center" vertical="center" wrapText="1"/>
    </xf>
    <xf numFmtId="0" fontId="63" fillId="0" borderId="3" xfId="2" applyFont="1" applyBorder="1" applyAlignment="1">
      <alignment horizontal="center"/>
    </xf>
    <xf numFmtId="0" fontId="63" fillId="0" borderId="8" xfId="2" applyFont="1" applyBorder="1" applyAlignment="1">
      <alignment horizontal="center" vertical="center"/>
    </xf>
    <xf numFmtId="0" fontId="63" fillId="0" borderId="9" xfId="2" applyFont="1" applyBorder="1" applyAlignment="1">
      <alignment horizontal="center" vertical="center"/>
    </xf>
    <xf numFmtId="0" fontId="81" fillId="0" borderId="0" xfId="2" applyFont="1" applyAlignment="1">
      <alignment horizontal="center"/>
    </xf>
    <xf numFmtId="0" fontId="63" fillId="0" borderId="8" xfId="2" applyFont="1" applyBorder="1" applyAlignment="1">
      <alignment horizontal="center" vertical="center" wrapText="1"/>
    </xf>
    <xf numFmtId="0" fontId="63" fillId="0" borderId="9" xfId="2" applyFont="1" applyBorder="1" applyAlignment="1">
      <alignment horizontal="center" vertical="center" wrapText="1"/>
    </xf>
    <xf numFmtId="0" fontId="81" fillId="0" borderId="0" xfId="2" applyFont="1" applyAlignment="1">
      <alignment horizontal="center" vertical="center"/>
    </xf>
    <xf numFmtId="0" fontId="65" fillId="0" borderId="0" xfId="2" applyFont="1" applyAlignment="1">
      <alignment vertical="center" wrapText="1"/>
    </xf>
    <xf numFmtId="0" fontId="65" fillId="0" borderId="0" xfId="2" applyFont="1" applyAlignment="1">
      <alignment horizontal="center" vertical="center"/>
    </xf>
    <xf numFmtId="0" fontId="66" fillId="0" borderId="3" xfId="2" applyFont="1" applyBorder="1"/>
    <xf numFmtId="0" fontId="65" fillId="0" borderId="4" xfId="2" applyFont="1" applyBorder="1" applyAlignment="1">
      <alignment horizontal="center" vertical="center"/>
    </xf>
    <xf numFmtId="0" fontId="65" fillId="0" borderId="5" xfId="2" applyFont="1" applyBorder="1" applyAlignment="1">
      <alignment horizontal="center" vertical="center"/>
    </xf>
    <xf numFmtId="0" fontId="65" fillId="0" borderId="12" xfId="2" applyFont="1" applyBorder="1" applyAlignment="1">
      <alignment horizontal="center" vertical="center"/>
    </xf>
    <xf numFmtId="0" fontId="65" fillId="0" borderId="7" xfId="2" applyFont="1" applyBorder="1" applyAlignment="1">
      <alignment horizontal="center" vertical="center"/>
    </xf>
    <xf numFmtId="0" fontId="65" fillId="0" borderId="1" xfId="2" applyFont="1" applyBorder="1" applyAlignment="1">
      <alignment horizontal="center" vertical="center"/>
    </xf>
    <xf numFmtId="0" fontId="65" fillId="0" borderId="14" xfId="2" applyFont="1" applyBorder="1" applyAlignment="1">
      <alignment horizontal="center" vertical="center"/>
    </xf>
    <xf numFmtId="0" fontId="65" fillId="0" borderId="2" xfId="2" applyFont="1" applyBorder="1" applyAlignment="1">
      <alignment horizontal="center" vertical="center"/>
    </xf>
    <xf numFmtId="0" fontId="65" fillId="0" borderId="6" xfId="2" applyFont="1" applyBorder="1" applyAlignment="1">
      <alignment horizontal="center" vertical="center"/>
    </xf>
    <xf numFmtId="0" fontId="65" fillId="0" borderId="3" xfId="2" applyFont="1" applyBorder="1"/>
    <xf numFmtId="0" fontId="65" fillId="0" borderId="4" xfId="2" applyFont="1" applyBorder="1" applyAlignment="1">
      <alignment horizontal="left" vertical="center"/>
    </xf>
    <xf numFmtId="0" fontId="65" fillId="0" borderId="5" xfId="2" applyFont="1" applyBorder="1" applyAlignment="1">
      <alignment horizontal="left" vertical="center"/>
    </xf>
    <xf numFmtId="0" fontId="65" fillId="0" borderId="12" xfId="2" applyFont="1" applyBorder="1" applyAlignment="1">
      <alignment horizontal="left" vertical="center"/>
    </xf>
    <xf numFmtId="0" fontId="65" fillId="0" borderId="7" xfId="2" applyFont="1" applyBorder="1" applyAlignment="1">
      <alignment horizontal="left" vertical="center"/>
    </xf>
    <xf numFmtId="0" fontId="65" fillId="0" borderId="1" xfId="2" applyFont="1" applyBorder="1" applyAlignment="1">
      <alignment horizontal="left" vertical="center"/>
    </xf>
    <xf numFmtId="0" fontId="65" fillId="0" borderId="14" xfId="2" applyFont="1" applyBorder="1" applyAlignment="1">
      <alignment horizontal="left" vertical="center"/>
    </xf>
    <xf numFmtId="0" fontId="65" fillId="0" borderId="11" xfId="2" applyFont="1" applyBorder="1"/>
    <xf numFmtId="0" fontId="65" fillId="0" borderId="0" xfId="2" applyFont="1"/>
    <xf numFmtId="0" fontId="65" fillId="0" borderId="13" xfId="2" applyFont="1" applyBorder="1"/>
    <xf numFmtId="0" fontId="66" fillId="0" borderId="8" xfId="2" applyFont="1" applyBorder="1" applyAlignment="1">
      <alignment horizontal="center"/>
    </xf>
    <xf numFmtId="0" fontId="66" fillId="0" borderId="15" xfId="2" applyFont="1" applyBorder="1" applyAlignment="1">
      <alignment horizontal="center"/>
    </xf>
    <xf numFmtId="0" fontId="66" fillId="0" borderId="9" xfId="2" applyFont="1" applyBorder="1" applyAlignment="1">
      <alignment horizontal="center"/>
    </xf>
    <xf numFmtId="0" fontId="93" fillId="0" borderId="0" xfId="0" applyFont="1" applyAlignment="1">
      <alignment horizontal="center"/>
    </xf>
    <xf numFmtId="0" fontId="94" fillId="0" borderId="2" xfId="0" applyFont="1" applyBorder="1" applyAlignment="1">
      <alignment horizontal="left" vertical="center"/>
    </xf>
    <xf numFmtId="0" fontId="94" fillId="0" borderId="10" xfId="0" applyFont="1" applyBorder="1" applyAlignment="1">
      <alignment horizontal="left" vertical="center"/>
    </xf>
    <xf numFmtId="0" fontId="94" fillId="0" borderId="6" xfId="0" applyFont="1" applyBorder="1" applyAlignment="1">
      <alignment horizontal="left" vertical="center"/>
    </xf>
    <xf numFmtId="0" fontId="94" fillId="0" borderId="2" xfId="0" applyFont="1" applyBorder="1" applyAlignment="1">
      <alignment horizontal="center" vertical="center"/>
    </xf>
    <xf numFmtId="0" fontId="94" fillId="0" borderId="6" xfId="0" applyFont="1" applyBorder="1" applyAlignment="1">
      <alignment horizontal="center" vertical="center"/>
    </xf>
    <xf numFmtId="0" fontId="94" fillId="0" borderId="10" xfId="0" applyFont="1" applyBorder="1" applyAlignment="1">
      <alignment horizontal="center" vertical="center"/>
    </xf>
    <xf numFmtId="0" fontId="93" fillId="0" borderId="8" xfId="0" applyFont="1" applyBorder="1" applyAlignment="1">
      <alignment horizontal="center"/>
    </xf>
    <xf numFmtId="0" fontId="93" fillId="0" borderId="9" xfId="0" applyFont="1" applyBorder="1" applyAlignment="1">
      <alignment horizontal="center"/>
    </xf>
    <xf numFmtId="0" fontId="15" fillId="0" borderId="0" xfId="2" applyFont="1" applyAlignment="1">
      <alignment horizontal="center" vertical="top"/>
    </xf>
    <xf numFmtId="0" fontId="6" fillId="0" borderId="0" xfId="2" applyFont="1" applyAlignment="1">
      <alignment horizontal="left" vertical="top"/>
    </xf>
    <xf numFmtId="0" fontId="3" fillId="0" borderId="0" xfId="2" applyFont="1" applyAlignment="1">
      <alignment horizontal="center" vertical="top" wrapText="1"/>
    </xf>
    <xf numFmtId="0" fontId="3" fillId="0" borderId="0" xfId="2" applyFont="1" applyAlignment="1">
      <alignment horizontal="justify" vertical="top"/>
    </xf>
    <xf numFmtId="169" fontId="5" fillId="0" borderId="0" xfId="2" applyNumberFormat="1" applyFont="1" applyAlignment="1">
      <alignment horizontal="right" vertical="top"/>
    </xf>
    <xf numFmtId="166" fontId="5" fillId="0" borderId="0" xfId="2" applyNumberFormat="1" applyFont="1" applyAlignment="1">
      <alignment horizontal="center" vertical="top"/>
    </xf>
    <xf numFmtId="2" fontId="5" fillId="0" borderId="0" xfId="2" applyNumberFormat="1" applyFont="1" applyAlignment="1">
      <alignment horizontal="right" vertical="top"/>
    </xf>
    <xf numFmtId="0" fontId="4" fillId="0" borderId="4" xfId="2" applyFont="1" applyBorder="1" applyAlignment="1">
      <alignment horizontal="center" vertical="top"/>
    </xf>
    <xf numFmtId="0" fontId="4" fillId="0" borderId="5" xfId="2" applyFont="1" applyBorder="1" applyAlignment="1">
      <alignment horizontal="center" vertical="top"/>
    </xf>
    <xf numFmtId="0" fontId="4" fillId="0" borderId="12" xfId="2" applyFont="1" applyBorder="1" applyAlignment="1">
      <alignment horizontal="center" vertical="top"/>
    </xf>
    <xf numFmtId="0" fontId="4" fillId="0" borderId="7" xfId="2" applyFont="1" applyBorder="1" applyAlignment="1">
      <alignment horizontal="center" vertical="center"/>
    </xf>
    <xf numFmtId="0" fontId="4" fillId="0" borderId="14" xfId="2" applyFont="1" applyBorder="1" applyAlignment="1">
      <alignment horizontal="center" vertical="center"/>
    </xf>
    <xf numFmtId="0" fontId="4" fillId="0" borderId="7" xfId="2" applyFont="1" applyBorder="1" applyAlignment="1">
      <alignment horizontal="center" vertical="top"/>
    </xf>
    <xf numFmtId="0" fontId="4" fillId="0" borderId="1" xfId="2" applyFont="1" applyBorder="1" applyAlignment="1">
      <alignment horizontal="center" vertical="top"/>
    </xf>
    <xf numFmtId="0" fontId="4" fillId="0" borderId="14" xfId="2" applyFont="1" applyBorder="1" applyAlignment="1">
      <alignment horizontal="center" vertical="top"/>
    </xf>
    <xf numFmtId="0" fontId="4" fillId="0" borderId="8" xfId="2" applyFont="1" applyBorder="1" applyAlignment="1">
      <alignment horizontal="center" vertical="top"/>
    </xf>
    <xf numFmtId="0" fontId="4" fillId="0" borderId="15" xfId="2" applyFont="1" applyBorder="1" applyAlignment="1">
      <alignment horizontal="center" vertical="top"/>
    </xf>
    <xf numFmtId="0" fontId="4" fillId="0" borderId="9" xfId="2" applyFont="1" applyBorder="1" applyAlignment="1">
      <alignment horizontal="center" vertical="top"/>
    </xf>
    <xf numFmtId="0" fontId="4" fillId="0" borderId="0" xfId="2" applyFont="1" applyAlignment="1">
      <alignment horizontal="left" vertical="top"/>
    </xf>
    <xf numFmtId="0" fontId="4" fillId="0" borderId="0" xfId="2" applyFont="1" applyAlignment="1">
      <alignment horizontal="justify" vertical="top"/>
    </xf>
    <xf numFmtId="169" fontId="4" fillId="0" borderId="0" xfId="2" applyNumberFormat="1" applyFont="1" applyAlignment="1">
      <alignment horizontal="right" vertical="top"/>
    </xf>
    <xf numFmtId="0" fontId="3" fillId="0" borderId="0" xfId="2" applyFont="1" applyAlignment="1">
      <alignment horizontal="justify" vertical="center"/>
    </xf>
    <xf numFmtId="0" fontId="3" fillId="0" borderId="0" xfId="2" applyFont="1" applyAlignment="1">
      <alignment horizontal="left" vertical="top"/>
    </xf>
    <xf numFmtId="0" fontId="3" fillId="0" borderId="0" xfId="2" applyFont="1" applyAlignment="1">
      <alignment horizontal="center" vertical="center"/>
    </xf>
    <xf numFmtId="175" fontId="5" fillId="0" borderId="0" xfId="2" applyNumberFormat="1" applyFont="1" applyAlignment="1">
      <alignment horizontal="center" vertical="top"/>
    </xf>
    <xf numFmtId="2" fontId="5" fillId="0" borderId="1" xfId="2" applyNumberFormat="1" applyFont="1" applyBorder="1" applyAlignment="1">
      <alignment horizontal="right" vertical="top"/>
    </xf>
    <xf numFmtId="0" fontId="65" fillId="0" borderId="0" xfId="2" applyFont="1" applyAlignment="1">
      <alignment horizontal="right" vertical="top"/>
    </xf>
    <xf numFmtId="0" fontId="63" fillId="0" borderId="0" xfId="2" applyFont="1" applyAlignment="1">
      <alignment horizontal="center"/>
    </xf>
    <xf numFmtId="0" fontId="65" fillId="0" borderId="0" xfId="2" applyFont="1" applyAlignment="1">
      <alignment wrapText="1"/>
    </xf>
    <xf numFmtId="0" fontId="65" fillId="0" borderId="0" xfId="2" applyFont="1" applyAlignment="1">
      <alignment horizontal="justify" wrapText="1"/>
    </xf>
    <xf numFmtId="0" fontId="70" fillId="0" borderId="0" xfId="2" applyFont="1" applyAlignment="1">
      <alignment horizontal="center"/>
    </xf>
    <xf numFmtId="0" fontId="65" fillId="0" borderId="0" xfId="2" applyFont="1" applyAlignment="1">
      <alignment horizontal="right"/>
    </xf>
    <xf numFmtId="0" fontId="22" fillId="0" borderId="27" xfId="1" applyFont="1" applyBorder="1" applyAlignment="1">
      <alignment horizontal="center"/>
    </xf>
    <xf numFmtId="0" fontId="22" fillId="0" borderId="0" xfId="1" applyFont="1" applyAlignment="1">
      <alignment horizontal="center"/>
    </xf>
    <xf numFmtId="0" fontId="22" fillId="0" borderId="28" xfId="1" applyFont="1" applyBorder="1" applyAlignment="1">
      <alignment horizontal="center"/>
    </xf>
    <xf numFmtId="0" fontId="22" fillId="0" borderId="11" xfId="1" applyFont="1" applyBorder="1" applyAlignment="1">
      <alignment horizontal="center"/>
    </xf>
    <xf numFmtId="0" fontId="25" fillId="0" borderId="11" xfId="1" applyFont="1" applyBorder="1" applyAlignment="1">
      <alignment horizontal="right"/>
    </xf>
    <xf numFmtId="0" fontId="25" fillId="0" borderId="0" xfId="1" applyFont="1" applyAlignment="1">
      <alignment horizontal="right"/>
    </xf>
    <xf numFmtId="0" fontId="44" fillId="0" borderId="0" xfId="1" applyFont="1" applyAlignment="1">
      <alignment horizontal="left" vertical="top" wrapText="1"/>
    </xf>
    <xf numFmtId="0" fontId="44" fillId="0" borderId="28" xfId="1" applyFont="1" applyBorder="1" applyAlignment="1">
      <alignment horizontal="left" vertical="top" wrapText="1"/>
    </xf>
    <xf numFmtId="0" fontId="41" fillId="0" borderId="0" xfId="2" applyFont="1"/>
    <xf numFmtId="0" fontId="44" fillId="0" borderId="0" xfId="2" applyFont="1" applyAlignment="1">
      <alignment horizontal="left" vertical="top"/>
    </xf>
    <xf numFmtId="0" fontId="44" fillId="0" borderId="0" xfId="2" applyFont="1" applyAlignment="1">
      <alignment horizontal="left"/>
    </xf>
    <xf numFmtId="2" fontId="44" fillId="0" borderId="0" xfId="2" applyNumberFormat="1" applyFont="1" applyAlignment="1">
      <alignment horizontal="left"/>
    </xf>
    <xf numFmtId="0" fontId="83" fillId="0" borderId="3" xfId="2" applyFont="1" applyBorder="1" applyAlignment="1">
      <alignment horizontal="center" vertical="center"/>
    </xf>
    <xf numFmtId="0" fontId="69" fillId="0" borderId="3" xfId="2" applyFont="1" applyBorder="1" applyAlignment="1">
      <alignment horizontal="center" vertical="center"/>
    </xf>
    <xf numFmtId="2" fontId="11" fillId="0" borderId="0" xfId="2" applyNumberFormat="1" applyFont="1"/>
    <xf numFmtId="0" fontId="15" fillId="0" borderId="0" xfId="1" applyFont="1" applyAlignment="1">
      <alignment horizontal="center"/>
    </xf>
    <xf numFmtId="0" fontId="11" fillId="0" borderId="3" xfId="2" applyFont="1" applyBorder="1" applyAlignment="1">
      <alignment horizontal="center"/>
    </xf>
    <xf numFmtId="2" fontId="11" fillId="0" borderId="0" xfId="2" applyNumberFormat="1" applyFont="1" applyAlignment="1">
      <alignment vertical="top"/>
    </xf>
    <xf numFmtId="2" fontId="11" fillId="0" borderId="1" xfId="2" applyNumberFormat="1" applyFont="1" applyBorder="1"/>
    <xf numFmtId="2" fontId="11" fillId="0" borderId="0" xfId="2" applyNumberFormat="1" applyFont="1" applyAlignment="1">
      <alignment horizontal="center"/>
    </xf>
    <xf numFmtId="0" fontId="11" fillId="0" borderId="0" xfId="2" applyFont="1" applyAlignment="1">
      <alignment horizontal="center"/>
    </xf>
    <xf numFmtId="2" fontId="11" fillId="0" borderId="0" xfId="2" applyNumberFormat="1" applyFont="1" applyAlignment="1">
      <alignment horizontal="right"/>
    </xf>
  </cellXfs>
  <cellStyles count="22">
    <cellStyle name="Comma 13 2" xfId="20"/>
    <cellStyle name="Comma 2" xfId="4"/>
    <cellStyle name="Currency 2" xfId="21"/>
    <cellStyle name="Hyperlink 2" xfId="3"/>
    <cellStyle name="Hyperlink 2 2" xfId="5"/>
    <cellStyle name="Hyperlink 3" xfId="6"/>
    <cellStyle name="Hyperlink 4" xfId="7"/>
    <cellStyle name="Normal" xfId="0" builtinId="0"/>
    <cellStyle name="Normal 2" xfId="1"/>
    <cellStyle name="Normal 2 3 2" xfId="19"/>
    <cellStyle name="Normal 3" xfId="2"/>
    <cellStyle name="Normal 3 2" xfId="8"/>
    <cellStyle name="Normal 3 3" xfId="17"/>
    <cellStyle name="Normal 4" xfId="9"/>
    <cellStyle name="Normal 4 2" xfId="10"/>
    <cellStyle name="Normal 4 3" xfId="11"/>
    <cellStyle name="Normal 4 4" xfId="12"/>
    <cellStyle name="Normal 5" xfId="13"/>
    <cellStyle name="Normal 6" xfId="14"/>
    <cellStyle name="Normal 7" xfId="16"/>
    <cellStyle name="Normal 8" xfId="18"/>
    <cellStyle name="Percent 2 2" xfId="1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xdr:row>
      <xdr:rowOff>22860</xdr:rowOff>
    </xdr:from>
    <xdr:to>
      <xdr:col>4</xdr:col>
      <xdr:colOff>296332</xdr:colOff>
      <xdr:row>12</xdr:row>
      <xdr:rowOff>143934</xdr:rowOff>
    </xdr:to>
    <xdr:pic>
      <xdr:nvPicPr>
        <xdr:cNvPr id="2" name="Picture 3" descr="C:\Documents and Settings\MANOJ\My Documents\Bluetooth Exchange Folder\images (2).jpeg">
          <a:extLst>
            <a:ext uri="{FF2B5EF4-FFF2-40B4-BE49-F238E27FC236}">
              <a16:creationId xmlns=""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65760" y="1516380"/>
          <a:ext cx="1378372" cy="1606974"/>
        </a:xfrm>
        <a:prstGeom prst="rect">
          <a:avLst/>
        </a:prstGeom>
        <a:noFill/>
        <a:ln w="9525">
          <a:noFill/>
          <a:miter lim="800000"/>
          <a:headEnd/>
          <a:tailEnd/>
        </a:ln>
      </xdr:spPr>
    </xdr:pic>
    <xdr:clientData/>
  </xdr:twoCellAnchor>
  <xdr:twoCellAnchor editAs="oneCell">
    <xdr:from>
      <xdr:col>12</xdr:col>
      <xdr:colOff>474133</xdr:colOff>
      <xdr:row>7</xdr:row>
      <xdr:rowOff>0</xdr:rowOff>
    </xdr:from>
    <xdr:to>
      <xdr:col>15</xdr:col>
      <xdr:colOff>406422</xdr:colOff>
      <xdr:row>12</xdr:row>
      <xdr:rowOff>160867</xdr:rowOff>
    </xdr:to>
    <xdr:pic>
      <xdr:nvPicPr>
        <xdr:cNvPr id="3" name="Picture 2" descr="C:\Documents and Settings\MANOJ\My Documents\Bluetooth Exchange Folder\unnamed.gif">
          <a:extLst>
            <a:ext uri="{FF2B5EF4-FFF2-40B4-BE49-F238E27FC236}">
              <a16:creationId xmlns=""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250093" y="1493520"/>
          <a:ext cx="1555349" cy="164676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34</xdr:col>
      <xdr:colOff>15240</xdr:colOff>
      <xdr:row>38</xdr:row>
      <xdr:rowOff>38100</xdr:rowOff>
    </xdr:from>
    <xdr:to>
      <xdr:col>110</xdr:col>
      <xdr:colOff>7620</xdr:colOff>
      <xdr:row>71</xdr:row>
      <xdr:rowOff>38100</xdr:rowOff>
    </xdr:to>
    <xdr:sp macro="" textlink="">
      <xdr:nvSpPr>
        <xdr:cNvPr id="2" name="Freeform 1">
          <a:extLst>
            <a:ext uri="{FF2B5EF4-FFF2-40B4-BE49-F238E27FC236}">
              <a16:creationId xmlns="" xmlns:a16="http://schemas.microsoft.com/office/drawing/2014/main" id="{00000000-0008-0000-1E00-000002000000}"/>
            </a:ext>
          </a:extLst>
        </xdr:cNvPr>
        <xdr:cNvSpPr/>
      </xdr:nvSpPr>
      <xdr:spPr>
        <a:xfrm>
          <a:off x="1752600" y="1775460"/>
          <a:ext cx="3147060" cy="1371600"/>
        </a:xfrm>
        <a:custGeom>
          <a:avLst/>
          <a:gdLst>
            <a:gd name="connsiteX0" fmla="*/ 3070860 w 3070860"/>
            <a:gd name="connsiteY0" fmla="*/ 1363980 h 1363980"/>
            <a:gd name="connsiteX1" fmla="*/ 0 w 3070860"/>
            <a:gd name="connsiteY1" fmla="*/ 0 h 1363980"/>
          </a:gdLst>
          <a:ahLst/>
          <a:cxnLst>
            <a:cxn ang="0">
              <a:pos x="connsiteX0" y="connsiteY0"/>
            </a:cxn>
            <a:cxn ang="0">
              <a:pos x="connsiteX1" y="connsiteY1"/>
            </a:cxn>
          </a:cxnLst>
          <a:rect l="l" t="t" r="r" b="b"/>
          <a:pathLst>
            <a:path w="3070860" h="1363980">
              <a:moveTo>
                <a:pt x="3070860" y="1363980"/>
              </a:moveTo>
              <a:lnTo>
                <a:pt x="0" y="0"/>
              </a:lnTo>
            </a:path>
          </a:pathLst>
        </a:cu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127</xdr:col>
      <xdr:colOff>38100</xdr:colOff>
      <xdr:row>72</xdr:row>
      <xdr:rowOff>0</xdr:rowOff>
    </xdr:from>
    <xdr:to>
      <xdr:col>206</xdr:col>
      <xdr:colOff>0</xdr:colOff>
      <xdr:row>106</xdr:row>
      <xdr:rowOff>0</xdr:rowOff>
    </xdr:to>
    <xdr:sp macro="" textlink="">
      <xdr:nvSpPr>
        <xdr:cNvPr id="3" name="Freeform 2">
          <a:extLst>
            <a:ext uri="{FF2B5EF4-FFF2-40B4-BE49-F238E27FC236}">
              <a16:creationId xmlns="" xmlns:a16="http://schemas.microsoft.com/office/drawing/2014/main" id="{00000000-0008-0000-1E00-000003000000}"/>
            </a:ext>
          </a:extLst>
        </xdr:cNvPr>
        <xdr:cNvSpPr/>
      </xdr:nvSpPr>
      <xdr:spPr>
        <a:xfrm>
          <a:off x="5707380" y="3154680"/>
          <a:ext cx="3253740" cy="1417320"/>
        </a:xfrm>
        <a:custGeom>
          <a:avLst/>
          <a:gdLst>
            <a:gd name="connsiteX0" fmla="*/ 0 w 3025140"/>
            <a:gd name="connsiteY0" fmla="*/ 0 h 1257300"/>
            <a:gd name="connsiteX1" fmla="*/ 3025140 w 3025140"/>
            <a:gd name="connsiteY1" fmla="*/ 1257300 h 1257300"/>
          </a:gdLst>
          <a:ahLst/>
          <a:cxnLst>
            <a:cxn ang="0">
              <a:pos x="connsiteX0" y="connsiteY0"/>
            </a:cxn>
            <a:cxn ang="0">
              <a:pos x="connsiteX1" y="connsiteY1"/>
            </a:cxn>
          </a:cxnLst>
          <a:rect l="l" t="t" r="r" b="b"/>
          <a:pathLst>
            <a:path w="3025140" h="1257300">
              <a:moveTo>
                <a:pt x="0" y="0"/>
              </a:moveTo>
              <a:lnTo>
                <a:pt x="3025140" y="1257300"/>
              </a:lnTo>
            </a:path>
          </a:pathLst>
        </a:cu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40</xdr:col>
      <xdr:colOff>0</xdr:colOff>
      <xdr:row>39</xdr:row>
      <xdr:rowOff>7620</xdr:rowOff>
    </xdr:from>
    <xdr:to>
      <xdr:col>110</xdr:col>
      <xdr:colOff>0</xdr:colOff>
      <xdr:row>69</xdr:row>
      <xdr:rowOff>7620</xdr:rowOff>
    </xdr:to>
    <xdr:sp macro="" textlink="">
      <xdr:nvSpPr>
        <xdr:cNvPr id="4" name="Freeform 3">
          <a:extLst>
            <a:ext uri="{FF2B5EF4-FFF2-40B4-BE49-F238E27FC236}">
              <a16:creationId xmlns="" xmlns:a16="http://schemas.microsoft.com/office/drawing/2014/main" id="{00000000-0008-0000-1E00-000004000000}"/>
            </a:ext>
          </a:extLst>
        </xdr:cNvPr>
        <xdr:cNvSpPr/>
      </xdr:nvSpPr>
      <xdr:spPr>
        <a:xfrm>
          <a:off x="2011680" y="1790700"/>
          <a:ext cx="2880360" cy="1234440"/>
        </a:xfrm>
        <a:custGeom>
          <a:avLst/>
          <a:gdLst>
            <a:gd name="connsiteX0" fmla="*/ 2880360 w 2880360"/>
            <a:gd name="connsiteY0" fmla="*/ 1234440 h 1234440"/>
            <a:gd name="connsiteX1" fmla="*/ 0 w 2880360"/>
            <a:gd name="connsiteY1" fmla="*/ 0 h 1234440"/>
          </a:gdLst>
          <a:ahLst/>
          <a:cxnLst>
            <a:cxn ang="0">
              <a:pos x="connsiteX0" y="connsiteY0"/>
            </a:cxn>
            <a:cxn ang="0">
              <a:pos x="connsiteX1" y="connsiteY1"/>
            </a:cxn>
          </a:cxnLst>
          <a:rect l="l" t="t" r="r" b="b"/>
          <a:pathLst>
            <a:path w="2880360" h="1234440">
              <a:moveTo>
                <a:pt x="2880360" y="1234440"/>
              </a:moveTo>
              <a:lnTo>
                <a:pt x="0" y="0"/>
              </a:lnTo>
            </a:path>
          </a:pathLst>
        </a:cu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133</xdr:col>
      <xdr:colOff>0</xdr:colOff>
      <xdr:row>72</xdr:row>
      <xdr:rowOff>15240</xdr:rowOff>
    </xdr:from>
    <xdr:to>
      <xdr:col>209</xdr:col>
      <xdr:colOff>38100</xdr:colOff>
      <xdr:row>105</xdr:row>
      <xdr:rowOff>7620</xdr:rowOff>
    </xdr:to>
    <xdr:sp macro="" textlink="">
      <xdr:nvSpPr>
        <xdr:cNvPr id="5" name="Freeform 4">
          <a:extLst>
            <a:ext uri="{FF2B5EF4-FFF2-40B4-BE49-F238E27FC236}">
              <a16:creationId xmlns="" xmlns:a16="http://schemas.microsoft.com/office/drawing/2014/main" id="{00000000-0008-0000-1E00-000005000000}"/>
            </a:ext>
          </a:extLst>
        </xdr:cNvPr>
        <xdr:cNvSpPr/>
      </xdr:nvSpPr>
      <xdr:spPr>
        <a:xfrm>
          <a:off x="5943600" y="3169920"/>
          <a:ext cx="3192780" cy="1363980"/>
        </a:xfrm>
        <a:custGeom>
          <a:avLst/>
          <a:gdLst>
            <a:gd name="connsiteX0" fmla="*/ 3192780 w 3192780"/>
            <a:gd name="connsiteY0" fmla="*/ 1363980 h 1363980"/>
            <a:gd name="connsiteX1" fmla="*/ 0 w 3192780"/>
            <a:gd name="connsiteY1" fmla="*/ 0 h 1363980"/>
          </a:gdLst>
          <a:ahLst/>
          <a:cxnLst>
            <a:cxn ang="0">
              <a:pos x="connsiteX0" y="connsiteY0"/>
            </a:cxn>
            <a:cxn ang="0">
              <a:pos x="connsiteX1" y="connsiteY1"/>
            </a:cxn>
          </a:cxnLst>
          <a:rect l="l" t="t" r="r" b="b"/>
          <a:pathLst>
            <a:path w="3192780" h="1363980">
              <a:moveTo>
                <a:pt x="3192780" y="1363980"/>
              </a:moveTo>
              <a:lnTo>
                <a:pt x="0" y="0"/>
              </a:lnTo>
            </a:path>
          </a:pathLst>
        </a:cu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680914</xdr:colOff>
      <xdr:row>0</xdr:row>
      <xdr:rowOff>0</xdr:rowOff>
    </xdr:from>
    <xdr:to>
      <xdr:col>5</xdr:col>
      <xdr:colOff>370725</xdr:colOff>
      <xdr:row>10</xdr:row>
      <xdr:rowOff>48985</xdr:rowOff>
    </xdr:to>
    <xdr:pic>
      <xdr:nvPicPr>
        <xdr:cNvPr id="2" name="Picture 2" descr="OrissaLogo1.png">
          <a:extLst>
            <a:ext uri="{FF2B5EF4-FFF2-40B4-BE49-F238E27FC236}">
              <a16:creationId xmlns="" xmlns:a16="http://schemas.microsoft.com/office/drawing/2014/main" id="{C361175B-ED6B-423A-B262-0D1AD824DE9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72292" y="0"/>
          <a:ext cx="1847515" cy="199286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228266</xdr:colOff>
      <xdr:row>0</xdr:row>
      <xdr:rowOff>5221</xdr:rowOff>
    </xdr:from>
    <xdr:to>
      <xdr:col>5</xdr:col>
      <xdr:colOff>660917</xdr:colOff>
      <xdr:row>10</xdr:row>
      <xdr:rowOff>54206</xdr:rowOff>
    </xdr:to>
    <xdr:pic>
      <xdr:nvPicPr>
        <xdr:cNvPr id="2" name="Picture 2" descr="OrissaLogo1.png">
          <a:extLst>
            <a:ext uri="{FF2B5EF4-FFF2-40B4-BE49-F238E27FC236}">
              <a16:creationId xmlns="" xmlns:a16="http://schemas.microsoft.com/office/drawing/2014/main" id="{D846104A-B527-4C28-831C-2EC79F697BE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2033296" y="5221"/>
          <a:ext cx="1943321" cy="19373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205740</xdr:colOff>
      <xdr:row>17</xdr:row>
      <xdr:rowOff>106680</xdr:rowOff>
    </xdr:from>
    <xdr:to>
      <xdr:col>16</xdr:col>
      <xdr:colOff>60960</xdr:colOff>
      <xdr:row>17</xdr:row>
      <xdr:rowOff>106680</xdr:rowOff>
    </xdr:to>
    <xdr:cxnSp macro="">
      <xdr:nvCxnSpPr>
        <xdr:cNvPr id="2" name="Straight Arrow Connector 6">
          <a:extLst>
            <a:ext uri="{FF2B5EF4-FFF2-40B4-BE49-F238E27FC236}">
              <a16:creationId xmlns="" xmlns:a16="http://schemas.microsoft.com/office/drawing/2014/main" id="{00000000-0008-0000-3900-000002000000}"/>
            </a:ext>
          </a:extLst>
        </xdr:cNvPr>
        <xdr:cNvCxnSpPr>
          <a:cxnSpLocks noChangeShapeType="1"/>
        </xdr:cNvCxnSpPr>
      </xdr:nvCxnSpPr>
      <xdr:spPr bwMode="auto">
        <a:xfrm flipV="1">
          <a:off x="4366260" y="2987040"/>
          <a:ext cx="815340" cy="0"/>
        </a:xfrm>
        <a:prstGeom prst="straightConnector1">
          <a:avLst/>
        </a:prstGeom>
        <a:noFill/>
        <a:ln w="9525" algn="ctr">
          <a:solidFill>
            <a:srgbClr val="000000"/>
          </a:solidFill>
          <a:round/>
          <a:headEnd/>
          <a:tailEnd type="arrow" w="med" len="med"/>
        </a:ln>
      </xdr:spPr>
    </xdr:cxnSp>
    <xdr:clientData/>
  </xdr:twoCellAnchor>
  <xdr:twoCellAnchor>
    <xdr:from>
      <xdr:col>2</xdr:col>
      <xdr:colOff>220980</xdr:colOff>
      <xdr:row>18</xdr:row>
      <xdr:rowOff>60960</xdr:rowOff>
    </xdr:from>
    <xdr:to>
      <xdr:col>4</xdr:col>
      <xdr:colOff>60960</xdr:colOff>
      <xdr:row>18</xdr:row>
      <xdr:rowOff>68580</xdr:rowOff>
    </xdr:to>
    <xdr:cxnSp macro="">
      <xdr:nvCxnSpPr>
        <xdr:cNvPr id="3" name="Straight Arrow Connector 8">
          <a:extLst>
            <a:ext uri="{FF2B5EF4-FFF2-40B4-BE49-F238E27FC236}">
              <a16:creationId xmlns="" xmlns:a16="http://schemas.microsoft.com/office/drawing/2014/main" id="{00000000-0008-0000-3900-000003000000}"/>
            </a:ext>
          </a:extLst>
        </xdr:cNvPr>
        <xdr:cNvCxnSpPr>
          <a:cxnSpLocks noChangeShapeType="1"/>
        </xdr:cNvCxnSpPr>
      </xdr:nvCxnSpPr>
      <xdr:spPr bwMode="auto">
        <a:xfrm>
          <a:off x="861060" y="3108960"/>
          <a:ext cx="480060" cy="7620"/>
        </a:xfrm>
        <a:prstGeom prst="straightConnector1">
          <a:avLst/>
        </a:prstGeom>
        <a:noFill/>
        <a:ln w="9525" algn="ctr">
          <a:solidFill>
            <a:srgbClr val="000000"/>
          </a:solidFill>
          <a:round/>
          <a:headEnd/>
          <a:tailEnd type="arrow" w="med" len="med"/>
        </a:ln>
      </xdr:spPr>
    </xdr:cxnSp>
    <xdr:clientData/>
  </xdr:twoCellAnchor>
  <xdr:twoCellAnchor>
    <xdr:from>
      <xdr:col>5</xdr:col>
      <xdr:colOff>152400</xdr:colOff>
      <xdr:row>12</xdr:row>
      <xdr:rowOff>68580</xdr:rowOff>
    </xdr:from>
    <xdr:to>
      <xdr:col>5</xdr:col>
      <xdr:colOff>152400</xdr:colOff>
      <xdr:row>15</xdr:row>
      <xdr:rowOff>60960</xdr:rowOff>
    </xdr:to>
    <xdr:cxnSp macro="">
      <xdr:nvCxnSpPr>
        <xdr:cNvPr id="4" name="Straight Arrow Connector 9">
          <a:extLst>
            <a:ext uri="{FF2B5EF4-FFF2-40B4-BE49-F238E27FC236}">
              <a16:creationId xmlns="" xmlns:a16="http://schemas.microsoft.com/office/drawing/2014/main" id="{00000000-0008-0000-3900-000004000000}"/>
            </a:ext>
          </a:extLst>
        </xdr:cNvPr>
        <xdr:cNvCxnSpPr>
          <a:cxnSpLocks noChangeShapeType="1"/>
        </xdr:cNvCxnSpPr>
      </xdr:nvCxnSpPr>
      <xdr:spPr bwMode="auto">
        <a:xfrm rot="5400000" flipH="1" flipV="1">
          <a:off x="1504950" y="2358390"/>
          <a:ext cx="495300" cy="0"/>
        </a:xfrm>
        <a:prstGeom prst="straightConnector1">
          <a:avLst/>
        </a:prstGeom>
        <a:noFill/>
        <a:ln w="9525" algn="ctr">
          <a:solidFill>
            <a:srgbClr val="000000"/>
          </a:solidFill>
          <a:round/>
          <a:headEnd/>
          <a:tailEnd type="arrow" w="med" len="med"/>
        </a:ln>
      </xdr:spPr>
    </xdr:cxnSp>
    <xdr:clientData/>
  </xdr:twoCellAnchor>
  <xdr:twoCellAnchor>
    <xdr:from>
      <xdr:col>4</xdr:col>
      <xdr:colOff>152400</xdr:colOff>
      <xdr:row>19</xdr:row>
      <xdr:rowOff>38100</xdr:rowOff>
    </xdr:from>
    <xdr:to>
      <xdr:col>4</xdr:col>
      <xdr:colOff>152400</xdr:colOff>
      <xdr:row>21</xdr:row>
      <xdr:rowOff>30480</xdr:rowOff>
    </xdr:to>
    <xdr:cxnSp macro="">
      <xdr:nvCxnSpPr>
        <xdr:cNvPr id="5" name="Straight Arrow Connector 11">
          <a:extLst>
            <a:ext uri="{FF2B5EF4-FFF2-40B4-BE49-F238E27FC236}">
              <a16:creationId xmlns="" xmlns:a16="http://schemas.microsoft.com/office/drawing/2014/main" id="{00000000-0008-0000-3900-000005000000}"/>
            </a:ext>
          </a:extLst>
        </xdr:cNvPr>
        <xdr:cNvCxnSpPr>
          <a:cxnSpLocks noChangeShapeType="1"/>
        </xdr:cNvCxnSpPr>
      </xdr:nvCxnSpPr>
      <xdr:spPr bwMode="auto">
        <a:xfrm rot="5400000" flipH="1" flipV="1">
          <a:off x="1268730" y="3417570"/>
          <a:ext cx="327660" cy="0"/>
        </a:xfrm>
        <a:prstGeom prst="straightConnector1">
          <a:avLst/>
        </a:prstGeom>
        <a:noFill/>
        <a:ln w="9525" algn="ctr">
          <a:solidFill>
            <a:srgbClr val="000000"/>
          </a:solidFill>
          <a:round/>
          <a:headEnd/>
          <a:tailEnd type="arrow" w="med" len="med"/>
        </a:ln>
      </xdr:spPr>
    </xdr:cxnSp>
    <xdr:clientData/>
  </xdr:twoCellAnchor>
  <xdr:twoCellAnchor>
    <xdr:from>
      <xdr:col>4</xdr:col>
      <xdr:colOff>144780</xdr:colOff>
      <xdr:row>22</xdr:row>
      <xdr:rowOff>106680</xdr:rowOff>
    </xdr:from>
    <xdr:to>
      <xdr:col>4</xdr:col>
      <xdr:colOff>144780</xdr:colOff>
      <xdr:row>24</xdr:row>
      <xdr:rowOff>106680</xdr:rowOff>
    </xdr:to>
    <xdr:cxnSp macro="">
      <xdr:nvCxnSpPr>
        <xdr:cNvPr id="6" name="Straight Arrow Connector 12">
          <a:extLst>
            <a:ext uri="{FF2B5EF4-FFF2-40B4-BE49-F238E27FC236}">
              <a16:creationId xmlns="" xmlns:a16="http://schemas.microsoft.com/office/drawing/2014/main" id="{00000000-0008-0000-3900-000006000000}"/>
            </a:ext>
          </a:extLst>
        </xdr:cNvPr>
        <xdr:cNvCxnSpPr>
          <a:cxnSpLocks noChangeShapeType="1"/>
        </xdr:cNvCxnSpPr>
      </xdr:nvCxnSpPr>
      <xdr:spPr bwMode="auto">
        <a:xfrm rot="5400000">
          <a:off x="1257300" y="3985260"/>
          <a:ext cx="335280" cy="0"/>
        </a:xfrm>
        <a:prstGeom prst="straightConnector1">
          <a:avLst/>
        </a:prstGeom>
        <a:noFill/>
        <a:ln w="9525" algn="ctr">
          <a:solidFill>
            <a:srgbClr val="000000"/>
          </a:solidFill>
          <a:round/>
          <a:headEnd/>
          <a:tailEnd type="arrow" w="med" len="med"/>
        </a:ln>
      </xdr:spPr>
    </xdr:cxnSp>
    <xdr:clientData/>
  </xdr:twoCellAnchor>
  <xdr:twoCellAnchor>
    <xdr:from>
      <xdr:col>15</xdr:col>
      <xdr:colOff>137160</xdr:colOff>
      <xdr:row>20</xdr:row>
      <xdr:rowOff>38100</xdr:rowOff>
    </xdr:from>
    <xdr:to>
      <xdr:col>15</xdr:col>
      <xdr:colOff>243840</xdr:colOff>
      <xdr:row>20</xdr:row>
      <xdr:rowOff>144780</xdr:rowOff>
    </xdr:to>
    <xdr:sp macro="" textlink="">
      <xdr:nvSpPr>
        <xdr:cNvPr id="7" name="Oval 17">
          <a:extLst>
            <a:ext uri="{FF2B5EF4-FFF2-40B4-BE49-F238E27FC236}">
              <a16:creationId xmlns="" xmlns:a16="http://schemas.microsoft.com/office/drawing/2014/main" id="{00000000-0008-0000-3900-000007000000}"/>
            </a:ext>
          </a:extLst>
        </xdr:cNvPr>
        <xdr:cNvSpPr>
          <a:spLocks noChangeArrowheads="1"/>
        </xdr:cNvSpPr>
      </xdr:nvSpPr>
      <xdr:spPr bwMode="auto">
        <a:xfrm>
          <a:off x="4937760" y="3421380"/>
          <a:ext cx="106680" cy="106680"/>
        </a:xfrm>
        <a:prstGeom prst="ellipse">
          <a:avLst/>
        </a:prstGeom>
        <a:solidFill>
          <a:srgbClr val="000000"/>
        </a:solidFill>
        <a:ln w="9525" algn="ctr">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106680</xdr:colOff>
      <xdr:row>0</xdr:row>
      <xdr:rowOff>7620</xdr:rowOff>
    </xdr:from>
    <xdr:to>
      <xdr:col>2</xdr:col>
      <xdr:colOff>563880</xdr:colOff>
      <xdr:row>10</xdr:row>
      <xdr:rowOff>121920</xdr:rowOff>
    </xdr:to>
    <xdr:pic>
      <xdr:nvPicPr>
        <xdr:cNvPr id="2" name="Picture 2" descr="C:\Documents and Settings\MANOJ\My Documents\Bluetooth Exchange Folder\unnamed.gif">
          <a:extLst>
            <a:ext uri="{FF2B5EF4-FFF2-40B4-BE49-F238E27FC236}">
              <a16:creationId xmlns="" xmlns:a16="http://schemas.microsoft.com/office/drawing/2014/main" id="{00000000-0008-0000-5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6680" y="7620"/>
          <a:ext cx="1920240" cy="2026920"/>
        </a:xfrm>
        <a:prstGeom prst="rect">
          <a:avLst/>
        </a:prstGeom>
        <a:noFill/>
        <a:ln w="9525">
          <a:noFill/>
          <a:miter lim="800000"/>
          <a:headEnd/>
          <a:tailEnd/>
        </a:ln>
      </xdr:spPr>
    </xdr:pic>
    <xdr:clientData/>
  </xdr:twoCellAnchor>
  <xdr:twoCellAnchor editAs="oneCell">
    <xdr:from>
      <xdr:col>6</xdr:col>
      <xdr:colOff>495300</xdr:colOff>
      <xdr:row>0</xdr:row>
      <xdr:rowOff>30480</xdr:rowOff>
    </xdr:from>
    <xdr:to>
      <xdr:col>8</xdr:col>
      <xdr:colOff>662940</xdr:colOff>
      <xdr:row>9</xdr:row>
      <xdr:rowOff>144780</xdr:rowOff>
    </xdr:to>
    <xdr:pic>
      <xdr:nvPicPr>
        <xdr:cNvPr id="3" name="Picture 3" descr="C:\Documents and Settings\MANOJ\My Documents\Bluetooth Exchange Folder\images (2).jpeg">
          <a:extLst>
            <a:ext uri="{FF2B5EF4-FFF2-40B4-BE49-F238E27FC236}">
              <a16:creationId xmlns="" xmlns:a16="http://schemas.microsoft.com/office/drawing/2014/main" id="{00000000-0008-0000-55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884420" y="30480"/>
          <a:ext cx="1630680" cy="1836420"/>
        </a:xfrm>
        <a:prstGeom prst="rect">
          <a:avLst/>
        </a:prstGeom>
        <a:noFill/>
        <a:ln w="9525">
          <a:noFill/>
          <a:miter lim="800000"/>
          <a:headEnd/>
          <a:tailEnd/>
        </a:ln>
      </xdr:spPr>
    </xdr:pic>
    <xdr:clientData/>
  </xdr:twoCellAnchor>
  <xdr:oneCellAnchor>
    <xdr:from>
      <xdr:col>2</xdr:col>
      <xdr:colOff>510539</xdr:colOff>
      <xdr:row>3</xdr:row>
      <xdr:rowOff>152401</xdr:rowOff>
    </xdr:from>
    <xdr:ext cx="2792923" cy="718017"/>
    <xdr:sp macro="" textlink="">
      <xdr:nvSpPr>
        <xdr:cNvPr id="4" name="Rectangle 3">
          <a:extLst>
            <a:ext uri="{FF2B5EF4-FFF2-40B4-BE49-F238E27FC236}">
              <a16:creationId xmlns="" xmlns:a16="http://schemas.microsoft.com/office/drawing/2014/main" id="{00000000-0008-0000-5500-000004000000}"/>
            </a:ext>
          </a:extLst>
        </xdr:cNvPr>
        <xdr:cNvSpPr/>
      </xdr:nvSpPr>
      <xdr:spPr>
        <a:xfrm>
          <a:off x="1973579" y="731521"/>
          <a:ext cx="2792923" cy="718017"/>
        </a:xfrm>
        <a:prstGeom prst="rect">
          <a:avLst/>
        </a:prstGeom>
        <a:solidFill>
          <a:schemeClr val="accent6">
            <a:lumMod val="75000"/>
          </a:schemeClr>
        </a:solidFill>
      </xdr:spPr>
      <xdr:txBody>
        <a:bodyPr wrap="square" lIns="91440" tIns="45720" rIns="91440" bIns="45720">
          <a:spAutoFit/>
          <a:scene3d>
            <a:camera prst="orthographicFront"/>
            <a:lightRig rig="balanced" dir="t">
              <a:rot lat="0" lon="0" rev="2100000"/>
            </a:lightRig>
          </a:scene3d>
          <a:sp3d extrusionH="57150" prstMaterial="metal">
            <a:bevelT w="38100" h="25400"/>
            <a:contourClr>
              <a:schemeClr val="bg2"/>
            </a:contourClr>
          </a:sp3d>
        </a:bodyPr>
        <a:lstStyle/>
        <a:p>
          <a:pPr algn="ctr"/>
          <a:r>
            <a:rPr lang="en-US" sz="4000" b="0" i="0" cap="none" spc="0" baseline="0">
              <a:ln w="50800"/>
              <a:solidFill>
                <a:schemeClr val="tx1">
                  <a:lumMod val="85000"/>
                  <a:lumOff val="15000"/>
                </a:schemeClr>
              </a:solidFill>
              <a:effectLst/>
              <a:latin typeface="Impact" pitchFamily="34" charset="0"/>
            </a:rPr>
            <a:t>M G N R E G S</a:t>
          </a:r>
        </a:p>
      </xdr:txBody>
    </xdr:sp>
    <xdr:clientData/>
  </xdr:oneCellAnchor>
  <xdr:twoCellAnchor>
    <xdr:from>
      <xdr:col>11</xdr:col>
      <xdr:colOff>236220</xdr:colOff>
      <xdr:row>8</xdr:row>
      <xdr:rowOff>125730</xdr:rowOff>
    </xdr:from>
    <xdr:to>
      <xdr:col>15</xdr:col>
      <xdr:colOff>472440</xdr:colOff>
      <xdr:row>12</xdr:row>
      <xdr:rowOff>66694</xdr:rowOff>
    </xdr:to>
    <xdr:sp macro="" textlink="">
      <xdr:nvSpPr>
        <xdr:cNvPr id="5" name="WordArt 153">
          <a:extLst>
            <a:ext uri="{FF2B5EF4-FFF2-40B4-BE49-F238E27FC236}">
              <a16:creationId xmlns="" xmlns:a16="http://schemas.microsoft.com/office/drawing/2014/main" id="{00000000-0008-0000-5500-000005000000}"/>
            </a:ext>
          </a:extLst>
        </xdr:cNvPr>
        <xdr:cNvSpPr>
          <a:spLocks noChangeArrowheads="1" noChangeShapeType="1" noTextEdit="1"/>
        </xdr:cNvSpPr>
      </xdr:nvSpPr>
      <xdr:spPr bwMode="auto">
        <a:xfrm>
          <a:off x="8069580" y="1657350"/>
          <a:ext cx="2735580" cy="771544"/>
        </a:xfrm>
        <a:prstGeom prst="rect">
          <a:avLst/>
        </a:prstGeom>
      </xdr:spPr>
      <xdr:txBody>
        <a:bodyPr wrap="none" fromWordArt="1">
          <a:prstTxWarp prst="textDeflate">
            <a:avLst>
              <a:gd name="adj" fmla="val 22477"/>
            </a:avLst>
          </a:prstTxWarp>
          <a:scene3d>
            <a:camera prst="orthographicFront"/>
            <a:lightRig rig="threePt" dir="t"/>
          </a:scene3d>
          <a:sp3d contourW="12700">
            <a:contourClr>
              <a:srgbClr val="FF0000"/>
            </a:contourClr>
          </a:sp3d>
        </a:bodyPr>
        <a:lstStyle/>
        <a:p>
          <a:pPr algn="ctr" rtl="0"/>
          <a:r>
            <a:rPr lang="en-US" sz="3600" kern="10" spc="0">
              <a:ln w="9525" algn="ctr">
                <a:solidFill>
                  <a:srgbClr val="000000"/>
                </a:solidFill>
                <a:round/>
                <a:headEnd/>
                <a:tailEnd/>
              </a:ln>
              <a:solidFill>
                <a:srgbClr val="000000"/>
              </a:solidFill>
              <a:effectLst/>
              <a:latin typeface="Impact"/>
            </a:rPr>
            <a:t>MGNREGS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MANOJ\BATAGAON%20GP\Batagaon\Tarinipasi%20School\DOCUME~1\jayapal\LOCALS~1\Temp\IncrediMail\ARRR-ver-11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ELL/Desktop/Construction%20of%20Balunkenswar%20High%20school%20Computer%20Room%20%20and%20Compound%20wal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ELL/Desktop/Construction%20of%20Anala%20Village%20Sabha%20Gruh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LL/Desktop/DATA/Creamatorium/Crematorium%20&amp;%20Analysis/DOCUME~1/jayapal/LOCALS~1/Temp/IncrediMail/ARRR-ver-11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MANOJ\BATAGAON%20GP\Batagaon\DOCUME~1\jayapal\LOCALS~1\Temp\IncrediMail\ARRR-ver-11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ELL/Desktop/DINING%20HALL%20New%20S.R%20-%20Cop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routbabu/Desktop/KALYAN%20MANDAP%20KAMAKHYANAGAR%2015.11.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user/Desktop/DMF%20DHALAPADA/Construction%20of%20Anala%20Self%20Help%20Group%20Metting%20and%20Training%20Hal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ser/Desktop/PHD%20ESTIMATE/PH%20analysis%20as%20mKATENI%20g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ELL/Desktop/Construction%20%20Of%20Rural%20Park%20Near%20Majhipal%20Shiva%20Mandi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ELL/Desktop/DATA/BHUABAN%20BLOCK%2028-06-2022/BARUAN%20(B)%20G.P/Construction%20of%20Additional%20Class%20Rooms%20in%20%20Govt.%20%20Pry%20School%20,%20Balarampur.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row r="6">
          <cell r="D6" t="str">
            <v>Input Rate</v>
          </cell>
        </row>
        <row r="10">
          <cell r="D10" t="str">
            <v>Input Rate</v>
          </cell>
        </row>
        <row r="12">
          <cell r="D12" t="str">
            <v>Input Rate</v>
          </cell>
        </row>
        <row r="17">
          <cell r="D17" t="str">
            <v>Input Rate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Lead"/>
      <sheetName val="Analysis "/>
      <sheetName val="MaterialLabour "/>
      <sheetName val="Cover "/>
      <sheetName val="Report "/>
      <sheetName val="Estimate"/>
      <sheetName val="BOQ"/>
    </sheetNames>
    <sheetDataSet>
      <sheetData sheetId="0" refreshError="1"/>
      <sheetData sheetId="1" refreshError="1"/>
      <sheetData sheetId="2" refreshError="1"/>
      <sheetData sheetId="3" refreshError="1"/>
      <sheetData sheetId="4" refreshError="1"/>
      <sheetData sheetId="5" refreshError="1">
        <row r="194">
          <cell r="N194" t="str">
            <v>Qntl</v>
          </cell>
        </row>
        <row r="202">
          <cell r="B202" t="str">
            <v>Supplying  GI  door &amp; window shutter with grills (Framed&amp;Fixed) made out ofGI angles, flats and sheets etc of approved design &amp; fabrication  including cost, conveyance &amp; taxes etc. of all materials required for the work and labour charges etc. complete as</v>
          </cell>
        </row>
        <row r="213">
          <cell r="I213" t="str">
            <v>Kg</v>
          </cell>
        </row>
        <row r="219">
          <cell r="I219" t="str">
            <v>sqm</v>
          </cell>
        </row>
        <row r="243">
          <cell r="I243" t="str">
            <v>sqm</v>
          </cell>
        </row>
        <row r="259">
          <cell r="B259" t="str">
            <v>6 mm thick cement plaster  in cement mortar ( 1 : 4 ) including closed deep chipping &amp; slurry treatmant including cost, conveyance, royality &amp; taxes etc. of all materials required for the work,watering, curing, labour charges etc. complete as per the spec</v>
          </cell>
        </row>
        <row r="272">
          <cell r="I272" t="str">
            <v>sqm</v>
          </cell>
        </row>
        <row r="292">
          <cell r="B292" t="str">
            <v>Providing &amp; laying Cement Concrete ( 1:2:4 ) using  12mm size crusher broken hard granite chips including cost, conveyance, royality &amp; taxes etc. of all materials, mixing &amp; laying concrete, watering &amp; curing for 21 days, labour charges etc. complete as pe</v>
          </cell>
        </row>
        <row r="296">
          <cell r="I296" t="str">
            <v>cum</v>
          </cell>
        </row>
        <row r="299">
          <cell r="B299" t="str">
            <v>Painting two coats with approved enamel paint over a coat of primer of approved quality  including cost of enamel paint, primer,brushes &amp; other materials, T. &amp; P. and taxes etc. of all materials required for the work and labour charges etc. complete as pe</v>
          </cell>
        </row>
        <row r="303">
          <cell r="I303" t="str">
            <v>sqm</v>
          </cell>
        </row>
        <row r="305">
          <cell r="B305" t="str">
            <v>Priming one coat with water bound cement primer of approved quality over plastered surface including scaffolding staging charges with all materials, taxes, labour charges etc  compl.</v>
          </cell>
        </row>
        <row r="317">
          <cell r="I317" t="str">
            <v>sqm</v>
          </cell>
        </row>
      </sheetData>
      <sheetData sheetId="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ead"/>
      <sheetName val="Analysis "/>
      <sheetName val="GST VOUCHER "/>
      <sheetName val="Cover "/>
      <sheetName val="Report "/>
      <sheetName val="Estimate"/>
      <sheetName val="BOQ"/>
    </sheetNames>
    <sheetDataSet>
      <sheetData sheetId="0" refreshError="1"/>
      <sheetData sheetId="1" refreshError="1"/>
      <sheetData sheetId="2" refreshError="1"/>
      <sheetData sheetId="3" refreshError="1"/>
      <sheetData sheetId="4" refreshError="1"/>
      <sheetData sheetId="5" refreshError="1"/>
      <sheetData sheetId="6">
        <row r="34">
          <cell r="F34" t="str">
            <v>Rupees Seven hundred sixteen and fiftythree paise) Only</v>
          </cell>
        </row>
        <row r="35">
          <cell r="F35" t="str">
            <v>Rupees One thousand eight hundred eighty and eighty  paise) Only</v>
          </cell>
        </row>
        <row r="36">
          <cell r="F36" t="str">
            <v>Rupees One thousand One hundred eighty and thirty eight paise) Only</v>
          </cell>
        </row>
        <row r="37">
          <cell r="F37" t="str">
            <v>Rupees  Two hundred ninty nine and Seventypaise) Only</v>
          </cell>
        </row>
        <row r="38">
          <cell r="F38" t="str">
            <v>Rupees  One hundred thirty eight and thirty two paise) Only</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row r="4">
          <cell r="G4" t="str">
            <v>Input Rate</v>
          </cell>
        </row>
        <row r="5">
          <cell r="G5" t="str">
            <v>Input Rate</v>
          </cell>
        </row>
        <row r="6">
          <cell r="G6" t="str">
            <v>Input Rate</v>
          </cell>
        </row>
        <row r="8">
          <cell r="G8" t="str">
            <v>Input Rate</v>
          </cell>
        </row>
        <row r="9">
          <cell r="G9" t="str">
            <v>Input Rate</v>
          </cell>
        </row>
        <row r="10">
          <cell r="G10" t="str">
            <v>Input Rate</v>
          </cell>
        </row>
        <row r="11">
          <cell r="G11" t="str">
            <v>Input Rate</v>
          </cell>
        </row>
        <row r="12">
          <cell r="G12" t="str">
            <v>Input Rate</v>
          </cell>
        </row>
        <row r="13">
          <cell r="G13" t="str">
            <v>Input Rate</v>
          </cell>
        </row>
        <row r="15">
          <cell r="G15" t="str">
            <v>Input Rate</v>
          </cell>
        </row>
        <row r="17">
          <cell r="G17" t="str">
            <v>Input Rate</v>
          </cell>
        </row>
        <row r="19">
          <cell r="G19" t="str">
            <v>Input Rate</v>
          </cell>
        </row>
        <row r="20">
          <cell r="G20" t="str">
            <v>Input Rate</v>
          </cell>
        </row>
        <row r="21">
          <cell r="G21" t="str">
            <v>Input Rate</v>
          </cell>
        </row>
        <row r="22">
          <cell r="G22" t="str">
            <v>Input Rate</v>
          </cell>
        </row>
        <row r="23">
          <cell r="G23" t="str">
            <v>Input Rate</v>
          </cell>
        </row>
        <row r="24">
          <cell r="G24" t="str">
            <v>Input Rate</v>
          </cell>
        </row>
        <row r="25">
          <cell r="G25" t="str">
            <v>Input Rate</v>
          </cell>
        </row>
        <row r="27">
          <cell r="G27" t="str">
            <v>Input Rate</v>
          </cell>
        </row>
        <row r="28">
          <cell r="G28" t="str">
            <v>Input Rate</v>
          </cell>
        </row>
        <row r="29">
          <cell r="G29" t="str">
            <v>Input Rate</v>
          </cell>
        </row>
        <row r="30">
          <cell r="G30" t="str">
            <v>Input Rate</v>
          </cell>
        </row>
        <row r="31">
          <cell r="G31" t="str">
            <v>Input Rate</v>
          </cell>
        </row>
        <row r="33">
          <cell r="G33" t="str">
            <v>Input Rate</v>
          </cell>
        </row>
        <row r="34">
          <cell r="G34" t="str">
            <v>Input Rate</v>
          </cell>
        </row>
        <row r="45">
          <cell r="G45" t="str">
            <v>Input Rate</v>
          </cell>
        </row>
        <row r="46">
          <cell r="G46" t="str">
            <v>Input Rate</v>
          </cell>
        </row>
        <row r="47">
          <cell r="G47" t="str">
            <v>Input Rate</v>
          </cell>
        </row>
        <row r="48">
          <cell r="G48" t="str">
            <v>Input Rate</v>
          </cell>
        </row>
        <row r="49">
          <cell r="G49" t="str">
            <v>Input Rate</v>
          </cell>
        </row>
        <row r="50">
          <cell r="G50" t="str">
            <v>Input Rate</v>
          </cell>
        </row>
        <row r="51">
          <cell r="G51" t="str">
            <v>Input Rate</v>
          </cell>
        </row>
        <row r="53">
          <cell r="G53" t="str">
            <v>Input Rate</v>
          </cell>
        </row>
        <row r="54">
          <cell r="G54" t="str">
            <v>Input Rate</v>
          </cell>
        </row>
      </sheetData>
      <sheetData sheetId="3" refreshError="1">
        <row r="3">
          <cell r="D3" t="str">
            <v>Input Rate</v>
          </cell>
        </row>
        <row r="4">
          <cell r="D4" t="str">
            <v>Input Rate</v>
          </cell>
        </row>
        <row r="5">
          <cell r="D5" t="str">
            <v>Input Rate</v>
          </cell>
        </row>
        <row r="6">
          <cell r="D6" t="str">
            <v>Input Rate</v>
          </cell>
        </row>
        <row r="7">
          <cell r="D7" t="str">
            <v>Input Rate</v>
          </cell>
        </row>
        <row r="8">
          <cell r="D8" t="str">
            <v>Input Rate</v>
          </cell>
        </row>
        <row r="9">
          <cell r="D9" t="str">
            <v>Input Rate</v>
          </cell>
        </row>
        <row r="10">
          <cell r="D10" t="str">
            <v>Input Rate</v>
          </cell>
        </row>
        <row r="11">
          <cell r="D11" t="str">
            <v>Input Rate</v>
          </cell>
        </row>
        <row r="12">
          <cell r="D12" t="str">
            <v>Input Rate</v>
          </cell>
        </row>
        <row r="13">
          <cell r="D13" t="str">
            <v>Input Rate</v>
          </cell>
        </row>
        <row r="14">
          <cell r="D14" t="str">
            <v>Input Rate</v>
          </cell>
        </row>
        <row r="15">
          <cell r="D15" t="str">
            <v>Input Rate</v>
          </cell>
        </row>
        <row r="16">
          <cell r="D16" t="str">
            <v>Input Rate</v>
          </cell>
        </row>
        <row r="17">
          <cell r="D17" t="str">
            <v>Input Rate</v>
          </cell>
        </row>
        <row r="18">
          <cell r="D18" t="str">
            <v>Input Rate</v>
          </cell>
        </row>
        <row r="19">
          <cell r="D19" t="str">
            <v>Input Rate</v>
          </cell>
        </row>
        <row r="20">
          <cell r="D20" t="str">
            <v>Input Rate</v>
          </cell>
        </row>
        <row r="21">
          <cell r="D21" t="str">
            <v>Input Rate</v>
          </cell>
        </row>
        <row r="22">
          <cell r="D22" t="str">
            <v>Input Rate</v>
          </cell>
        </row>
        <row r="23">
          <cell r="D23" t="str">
            <v>Input Rate</v>
          </cell>
        </row>
      </sheetData>
      <sheetData sheetId="4" refreshError="1">
        <row r="3">
          <cell r="D3" t="str">
            <v>Input Rate</v>
          </cell>
        </row>
        <row r="4">
          <cell r="D4" t="str">
            <v>Input Rate</v>
          </cell>
        </row>
        <row r="5">
          <cell r="D5" t="str">
            <v>Input Rate</v>
          </cell>
        </row>
        <row r="6">
          <cell r="D6" t="str">
            <v>Input Rate</v>
          </cell>
        </row>
        <row r="7">
          <cell r="D7" t="str">
            <v>Input Rate</v>
          </cell>
        </row>
        <row r="8">
          <cell r="D8" t="str">
            <v>Input Rate</v>
          </cell>
        </row>
        <row r="9">
          <cell r="D9" t="str">
            <v>Input Rate</v>
          </cell>
        </row>
        <row r="10">
          <cell r="D10" t="str">
            <v>Input Rate</v>
          </cell>
        </row>
        <row r="11">
          <cell r="D11" t="str">
            <v>Input Rate</v>
          </cell>
        </row>
        <row r="12">
          <cell r="D12" t="str">
            <v>Input Rate</v>
          </cell>
        </row>
        <row r="13">
          <cell r="D13" t="str">
            <v>Input Rate</v>
          </cell>
        </row>
        <row r="14">
          <cell r="D14" t="str">
            <v>Input Rate</v>
          </cell>
        </row>
        <row r="15">
          <cell r="D15" t="str">
            <v>Input Rate</v>
          </cell>
        </row>
        <row r="16">
          <cell r="D16" t="str">
            <v>Input Rate</v>
          </cell>
        </row>
        <row r="17">
          <cell r="D17" t="str">
            <v>Input Rate</v>
          </cell>
        </row>
        <row r="18">
          <cell r="D18" t="str">
            <v>Input Rate</v>
          </cell>
        </row>
        <row r="19">
          <cell r="D19" t="str">
            <v>Input Rate</v>
          </cell>
        </row>
        <row r="20">
          <cell r="D20" t="str">
            <v>Input Rate</v>
          </cell>
        </row>
        <row r="21">
          <cell r="D21" t="str">
            <v>Input Rate</v>
          </cell>
        </row>
        <row r="22">
          <cell r="D22" t="str">
            <v>Input Rate</v>
          </cell>
        </row>
        <row r="23">
          <cell r="D23" t="str">
            <v>Input Rate</v>
          </cell>
        </row>
        <row r="24">
          <cell r="D24" t="str">
            <v>Input Rate</v>
          </cell>
        </row>
        <row r="25">
          <cell r="D25" t="str">
            <v>Input Rate</v>
          </cell>
        </row>
        <row r="26">
          <cell r="D26" t="str">
            <v>Input Rate</v>
          </cell>
        </row>
        <row r="27">
          <cell r="D27" t="str">
            <v>Input Rate</v>
          </cell>
        </row>
        <row r="28">
          <cell r="D28" t="str">
            <v>Input Rate</v>
          </cell>
        </row>
        <row r="29">
          <cell r="D29" t="str">
            <v>Input Rate</v>
          </cell>
        </row>
        <row r="30">
          <cell r="D30" t="str">
            <v>Input Rate</v>
          </cell>
        </row>
        <row r="31">
          <cell r="D31" t="str">
            <v>Input Rate</v>
          </cell>
        </row>
        <row r="32">
          <cell r="D32" t="str">
            <v>Input Rate</v>
          </cell>
        </row>
        <row r="33">
          <cell r="D33" t="str">
            <v>Input Rate</v>
          </cell>
        </row>
        <row r="34">
          <cell r="D34" t="str">
            <v>Input Rate</v>
          </cell>
        </row>
        <row r="35">
          <cell r="D35" t="str">
            <v>Input Rate</v>
          </cell>
        </row>
        <row r="36">
          <cell r="D36" t="str">
            <v>Input Rate</v>
          </cell>
        </row>
        <row r="37">
          <cell r="D37" t="str">
            <v>Input Rate</v>
          </cell>
        </row>
        <row r="38">
          <cell r="D38" t="str">
            <v>Input Rate</v>
          </cell>
        </row>
        <row r="39">
          <cell r="D39" t="str">
            <v>Input Rate</v>
          </cell>
        </row>
        <row r="40">
          <cell r="D40" t="str">
            <v>Input Rate</v>
          </cell>
        </row>
        <row r="41">
          <cell r="D41" t="str">
            <v>Input Rate</v>
          </cell>
        </row>
        <row r="42">
          <cell r="D42" t="str">
            <v>Input Rate</v>
          </cell>
        </row>
        <row r="43">
          <cell r="D43" t="str">
            <v>Input Rate</v>
          </cell>
        </row>
        <row r="44">
          <cell r="D44" t="str">
            <v>Input Rate</v>
          </cell>
        </row>
        <row r="45">
          <cell r="D45" t="str">
            <v>Input Rate</v>
          </cell>
        </row>
        <row r="46">
          <cell r="D46" t="str">
            <v>Input Rate</v>
          </cell>
        </row>
        <row r="47">
          <cell r="D47" t="str">
            <v>Input Rate</v>
          </cell>
        </row>
        <row r="48">
          <cell r="D48" t="str">
            <v>Input Rate</v>
          </cell>
        </row>
        <row r="49">
          <cell r="D49" t="str">
            <v>Input Rate</v>
          </cell>
        </row>
        <row r="50">
          <cell r="D50" t="str">
            <v>Input Rate</v>
          </cell>
        </row>
        <row r="51">
          <cell r="D51" t="str">
            <v>Input Rate</v>
          </cell>
        </row>
        <row r="52">
          <cell r="D52" t="str">
            <v>Input Rate</v>
          </cell>
        </row>
        <row r="53">
          <cell r="D53" t="str">
            <v>Input Rate</v>
          </cell>
        </row>
        <row r="54">
          <cell r="D54" t="str">
            <v>Input Rate</v>
          </cell>
        </row>
        <row r="55">
          <cell r="D55" t="str">
            <v>Input Rate</v>
          </cell>
        </row>
        <row r="56">
          <cell r="D56" t="str">
            <v>Input Rate</v>
          </cell>
        </row>
        <row r="57">
          <cell r="D57" t="str">
            <v>Input Rate</v>
          </cell>
        </row>
        <row r="58">
          <cell r="D58" t="str">
            <v>Input Rate</v>
          </cell>
        </row>
        <row r="59">
          <cell r="D59" t="str">
            <v>Input Rate</v>
          </cell>
        </row>
        <row r="60">
          <cell r="D60" t="str">
            <v>Input Rate</v>
          </cell>
        </row>
        <row r="61">
          <cell r="D61" t="str">
            <v>Input Rate</v>
          </cell>
        </row>
        <row r="62">
          <cell r="D62" t="str">
            <v>Input Rate</v>
          </cell>
        </row>
        <row r="63">
          <cell r="D63" t="str">
            <v>Input Rate</v>
          </cell>
        </row>
        <row r="64">
          <cell r="D64" t="str">
            <v>Input Rate</v>
          </cell>
        </row>
        <row r="65">
          <cell r="D65" t="str">
            <v>Input Rate</v>
          </cell>
        </row>
        <row r="66">
          <cell r="D66" t="str">
            <v>Input Rate</v>
          </cell>
        </row>
        <row r="67">
          <cell r="D67" t="str">
            <v>Input Rate</v>
          </cell>
        </row>
        <row r="68">
          <cell r="D68" t="str">
            <v>Input Rate</v>
          </cell>
        </row>
        <row r="69">
          <cell r="D69" t="str">
            <v>Input Rate</v>
          </cell>
        </row>
        <row r="70">
          <cell r="D70" t="str">
            <v>Input Rate</v>
          </cell>
        </row>
        <row r="71">
          <cell r="D71" t="str">
            <v>Input Rate</v>
          </cell>
        </row>
        <row r="72">
          <cell r="D72" t="str">
            <v>Input Rate</v>
          </cell>
        </row>
        <row r="73">
          <cell r="D73" t="str">
            <v>Input Rate</v>
          </cell>
        </row>
        <row r="74">
          <cell r="D74" t="str">
            <v>Input Rate</v>
          </cell>
        </row>
        <row r="75">
          <cell r="D75" t="str">
            <v>Input Rate</v>
          </cell>
        </row>
        <row r="77">
          <cell r="D77" t="str">
            <v>Input Rate</v>
          </cell>
        </row>
        <row r="78">
          <cell r="D78" t="str">
            <v>Input Rate</v>
          </cell>
        </row>
        <row r="79">
          <cell r="D79" t="str">
            <v>Input Rate</v>
          </cell>
        </row>
        <row r="80">
          <cell r="D80" t="str">
            <v>Input Rate</v>
          </cell>
        </row>
        <row r="81">
          <cell r="D81" t="str">
            <v>Input Rate</v>
          </cell>
        </row>
        <row r="83">
          <cell r="D83" t="str">
            <v>Input Rate</v>
          </cell>
        </row>
        <row r="84">
          <cell r="D84" t="str">
            <v>Input Rate</v>
          </cell>
        </row>
        <row r="85">
          <cell r="D85" t="str">
            <v>Input Rate</v>
          </cell>
        </row>
        <row r="86">
          <cell r="D86" t="str">
            <v>Input Rate</v>
          </cell>
        </row>
        <row r="87">
          <cell r="D87" t="str">
            <v>Input Rate</v>
          </cell>
        </row>
        <row r="88">
          <cell r="D88" t="str">
            <v>Input Rate</v>
          </cell>
        </row>
        <row r="89">
          <cell r="D89" t="str">
            <v>Input Rate</v>
          </cell>
        </row>
        <row r="90">
          <cell r="D90" t="str">
            <v>Input Rate</v>
          </cell>
        </row>
        <row r="91">
          <cell r="D91" t="str">
            <v>Input Rate</v>
          </cell>
        </row>
        <row r="92">
          <cell r="D92" t="str">
            <v>Input Rate</v>
          </cell>
        </row>
        <row r="93">
          <cell r="D93" t="str">
            <v>Input Rate</v>
          </cell>
        </row>
        <row r="94">
          <cell r="D94" t="str">
            <v>Input Rate</v>
          </cell>
        </row>
        <row r="95">
          <cell r="D95" t="str">
            <v>Input Rate</v>
          </cell>
        </row>
        <row r="96">
          <cell r="D96" t="str">
            <v>Input Rate</v>
          </cell>
        </row>
        <row r="97">
          <cell r="D97" t="str">
            <v>Input Rate</v>
          </cell>
        </row>
        <row r="99">
          <cell r="D99" t="str">
            <v>Input Rate</v>
          </cell>
        </row>
        <row r="100">
          <cell r="D100" t="str">
            <v>Input Rate</v>
          </cell>
        </row>
        <row r="101">
          <cell r="D101" t="str">
            <v>Input Rate</v>
          </cell>
        </row>
        <row r="102">
          <cell r="D102" t="str">
            <v>Input Rate</v>
          </cell>
        </row>
        <row r="103">
          <cell r="D103" t="str">
            <v>Input Rate</v>
          </cell>
        </row>
        <row r="104">
          <cell r="D104" t="str">
            <v>Input Rate</v>
          </cell>
        </row>
        <row r="105">
          <cell r="D105" t="str">
            <v>Input Rate</v>
          </cell>
        </row>
        <row r="106">
          <cell r="D106" t="str">
            <v>Input Rate</v>
          </cell>
        </row>
        <row r="107">
          <cell r="D107" t="str">
            <v>Input Rate</v>
          </cell>
        </row>
        <row r="108">
          <cell r="D108" t="str">
            <v>Input Rate</v>
          </cell>
        </row>
        <row r="109">
          <cell r="D109" t="str">
            <v>Input Rate</v>
          </cell>
        </row>
        <row r="110">
          <cell r="D110" t="str">
            <v>Input Rate</v>
          </cell>
        </row>
        <row r="111">
          <cell r="D111" t="str">
            <v>Input Rate</v>
          </cell>
        </row>
        <row r="112">
          <cell r="D112" t="str">
            <v>Input Rate</v>
          </cell>
        </row>
        <row r="113">
          <cell r="D113" t="str">
            <v>Input Rate</v>
          </cell>
        </row>
        <row r="114">
          <cell r="D114" t="str">
            <v>Input Rate</v>
          </cell>
        </row>
        <row r="115">
          <cell r="D115" t="str">
            <v>Input Rate</v>
          </cell>
        </row>
        <row r="117">
          <cell r="D117" t="str">
            <v>Input Rate</v>
          </cell>
        </row>
        <row r="118">
          <cell r="D118" t="str">
            <v>Input Rate</v>
          </cell>
        </row>
        <row r="119">
          <cell r="D119" t="str">
            <v>Input Rate</v>
          </cell>
        </row>
        <row r="120">
          <cell r="D120" t="str">
            <v>Input Rate</v>
          </cell>
        </row>
        <row r="122">
          <cell r="D122" t="str">
            <v>Input Rate</v>
          </cell>
        </row>
        <row r="123">
          <cell r="D123" t="str">
            <v>Input Rate</v>
          </cell>
        </row>
        <row r="124">
          <cell r="D124" t="str">
            <v>Input Rate</v>
          </cell>
        </row>
        <row r="125">
          <cell r="D125" t="str">
            <v>Input Rate</v>
          </cell>
        </row>
        <row r="126">
          <cell r="D126" t="str">
            <v>Input Rate</v>
          </cell>
        </row>
        <row r="127">
          <cell r="D127" t="str">
            <v>Input Rate</v>
          </cell>
        </row>
        <row r="128">
          <cell r="D128" t="str">
            <v>Input Rate</v>
          </cell>
        </row>
        <row r="129">
          <cell r="D129" t="str">
            <v>Input Rate</v>
          </cell>
        </row>
        <row r="130">
          <cell r="D130" t="str">
            <v>Input Rate</v>
          </cell>
        </row>
        <row r="131">
          <cell r="D131" t="str">
            <v>Input Rate</v>
          </cell>
        </row>
        <row r="132">
          <cell r="D132" t="str">
            <v>Input Rate</v>
          </cell>
        </row>
        <row r="133">
          <cell r="D133" t="str">
            <v>Input Rate</v>
          </cell>
        </row>
        <row r="135">
          <cell r="D135" t="str">
            <v>Input Rate</v>
          </cell>
        </row>
        <row r="136">
          <cell r="D136" t="str">
            <v>Input Rate</v>
          </cell>
        </row>
        <row r="137">
          <cell r="D137" t="str">
            <v>Input Rate</v>
          </cell>
        </row>
        <row r="138">
          <cell r="D138" t="str">
            <v>Input Rate</v>
          </cell>
        </row>
        <row r="139">
          <cell r="D139" t="str">
            <v>Input Rate</v>
          </cell>
        </row>
        <row r="140">
          <cell r="D140" t="str">
            <v>Input Rate</v>
          </cell>
        </row>
        <row r="142">
          <cell r="D142" t="str">
            <v>Input Rate</v>
          </cell>
        </row>
        <row r="143">
          <cell r="D143" t="str">
            <v>Input Rate</v>
          </cell>
        </row>
        <row r="144">
          <cell r="D144" t="str">
            <v>Input Rate</v>
          </cell>
        </row>
        <row r="145">
          <cell r="D145" t="str">
            <v>Input Rate</v>
          </cell>
        </row>
        <row r="146">
          <cell r="D146" t="str">
            <v>Input Rate</v>
          </cell>
        </row>
        <row r="147">
          <cell r="D147" t="str">
            <v>Input Rate</v>
          </cell>
        </row>
        <row r="148">
          <cell r="D148" t="str">
            <v>Input Rate</v>
          </cell>
        </row>
        <row r="149">
          <cell r="D149" t="str">
            <v>Input Rate</v>
          </cell>
        </row>
        <row r="150">
          <cell r="D150" t="str">
            <v>Input Rate</v>
          </cell>
        </row>
        <row r="151">
          <cell r="D151" t="str">
            <v>Input Rate</v>
          </cell>
        </row>
        <row r="152">
          <cell r="D152" t="str">
            <v>Input Rate</v>
          </cell>
        </row>
        <row r="153">
          <cell r="D153" t="str">
            <v>Input Rate</v>
          </cell>
        </row>
        <row r="154">
          <cell r="D154" t="str">
            <v>Input Rate</v>
          </cell>
        </row>
        <row r="155">
          <cell r="D155" t="str">
            <v>Input Rate</v>
          </cell>
        </row>
        <row r="156">
          <cell r="D156" t="str">
            <v>Input Rate</v>
          </cell>
        </row>
        <row r="157">
          <cell r="D157" t="str">
            <v>Input Rate</v>
          </cell>
        </row>
        <row r="158">
          <cell r="D158" t="str">
            <v>Input Rate</v>
          </cell>
        </row>
        <row r="159">
          <cell r="D159" t="str">
            <v>Input Rate</v>
          </cell>
        </row>
        <row r="160">
          <cell r="D160" t="str">
            <v>Input Rate</v>
          </cell>
        </row>
        <row r="161">
          <cell r="D161" t="str">
            <v>Input Rate</v>
          </cell>
        </row>
        <row r="162">
          <cell r="D162" t="str">
            <v>Input Rate</v>
          </cell>
        </row>
        <row r="163">
          <cell r="D163" t="str">
            <v>Input Rate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row r="4">
          <cell r="G4" t="str">
            <v>Input Rate</v>
          </cell>
        </row>
        <row r="5">
          <cell r="G5" t="str">
            <v>Input Rate</v>
          </cell>
        </row>
        <row r="6">
          <cell r="G6" t="str">
            <v>Input Rate</v>
          </cell>
        </row>
        <row r="8">
          <cell r="G8" t="str">
            <v>Input Rate</v>
          </cell>
        </row>
        <row r="9">
          <cell r="G9" t="str">
            <v>Input Rate</v>
          </cell>
        </row>
        <row r="10">
          <cell r="G10" t="str">
            <v>Input Rate</v>
          </cell>
        </row>
        <row r="11">
          <cell r="G11" t="str">
            <v>Input Rate</v>
          </cell>
        </row>
        <row r="12">
          <cell r="G12" t="str">
            <v>Input Rate</v>
          </cell>
        </row>
        <row r="13">
          <cell r="G13" t="str">
            <v>Input Rate</v>
          </cell>
        </row>
        <row r="15">
          <cell r="G15" t="str">
            <v>Input Rate</v>
          </cell>
        </row>
        <row r="17">
          <cell r="G17" t="str">
            <v>Input Rate</v>
          </cell>
        </row>
        <row r="19">
          <cell r="G19" t="str">
            <v>Input Rate</v>
          </cell>
        </row>
        <row r="20">
          <cell r="G20" t="str">
            <v>Input Rate</v>
          </cell>
        </row>
        <row r="21">
          <cell r="G21" t="str">
            <v>Input Rate</v>
          </cell>
        </row>
        <row r="22">
          <cell r="G22" t="str">
            <v>Input Rate</v>
          </cell>
        </row>
        <row r="23">
          <cell r="G23" t="str">
            <v>Input Rate</v>
          </cell>
        </row>
        <row r="24">
          <cell r="G24" t="str">
            <v>Input Rate</v>
          </cell>
        </row>
        <row r="25">
          <cell r="G25" t="str">
            <v>Input Rate</v>
          </cell>
        </row>
        <row r="27">
          <cell r="G27" t="str">
            <v>Input Rate</v>
          </cell>
        </row>
        <row r="28">
          <cell r="G28" t="str">
            <v>Input Rate</v>
          </cell>
        </row>
        <row r="29">
          <cell r="G29" t="str">
            <v>Input Rate</v>
          </cell>
        </row>
        <row r="30">
          <cell r="G30" t="str">
            <v>Input Rate</v>
          </cell>
        </row>
        <row r="31">
          <cell r="G31" t="str">
            <v>Input Rate</v>
          </cell>
        </row>
        <row r="33">
          <cell r="G33" t="str">
            <v>Input Rate</v>
          </cell>
        </row>
        <row r="34">
          <cell r="G34" t="str">
            <v>Input Rate</v>
          </cell>
        </row>
        <row r="45">
          <cell r="G45" t="str">
            <v>Input Rate</v>
          </cell>
        </row>
        <row r="46">
          <cell r="G46" t="str">
            <v>Input Rate</v>
          </cell>
        </row>
        <row r="47">
          <cell r="G47" t="str">
            <v>Input Rate</v>
          </cell>
        </row>
        <row r="48">
          <cell r="G48" t="str">
            <v>Input Rate</v>
          </cell>
        </row>
        <row r="49">
          <cell r="G49" t="str">
            <v>Input Rate</v>
          </cell>
        </row>
        <row r="50">
          <cell r="G50" t="str">
            <v>Input Rate</v>
          </cell>
        </row>
        <row r="51">
          <cell r="G51" t="str">
            <v>Input Rate</v>
          </cell>
        </row>
        <row r="53">
          <cell r="G53" t="str">
            <v>Input Rate</v>
          </cell>
        </row>
        <row r="54">
          <cell r="G54" t="str">
            <v>Input Rate</v>
          </cell>
        </row>
      </sheetData>
      <sheetData sheetId="3" refreshError="1">
        <row r="3">
          <cell r="D3" t="str">
            <v>Input Rate</v>
          </cell>
        </row>
        <row r="4">
          <cell r="D4" t="str">
            <v>Input Rate</v>
          </cell>
        </row>
        <row r="5">
          <cell r="D5" t="str">
            <v>Input Rate</v>
          </cell>
        </row>
        <row r="6">
          <cell r="D6" t="str">
            <v>Input Rate</v>
          </cell>
        </row>
        <row r="7">
          <cell r="D7" t="str">
            <v>Input Rate</v>
          </cell>
        </row>
        <row r="8">
          <cell r="D8" t="str">
            <v>Input Rate</v>
          </cell>
        </row>
        <row r="9">
          <cell r="D9" t="str">
            <v>Input Rate</v>
          </cell>
        </row>
        <row r="10">
          <cell r="D10" t="str">
            <v>Input Rate</v>
          </cell>
        </row>
        <row r="11">
          <cell r="D11" t="str">
            <v>Input Rate</v>
          </cell>
        </row>
        <row r="12">
          <cell r="D12" t="str">
            <v>Input Rate</v>
          </cell>
        </row>
        <row r="13">
          <cell r="D13" t="str">
            <v>Input Rate</v>
          </cell>
        </row>
        <row r="14">
          <cell r="D14" t="str">
            <v>Input Rate</v>
          </cell>
        </row>
        <row r="15">
          <cell r="D15" t="str">
            <v>Input Rate</v>
          </cell>
        </row>
        <row r="16">
          <cell r="D16" t="str">
            <v>Input Rate</v>
          </cell>
        </row>
        <row r="17">
          <cell r="D17" t="str">
            <v>Input Rate</v>
          </cell>
        </row>
        <row r="18">
          <cell r="D18" t="str">
            <v>Input Rate</v>
          </cell>
        </row>
        <row r="19">
          <cell r="D19" t="str">
            <v>Input Rate</v>
          </cell>
        </row>
        <row r="20">
          <cell r="D20" t="str">
            <v>Input Rate</v>
          </cell>
        </row>
        <row r="21">
          <cell r="D21" t="str">
            <v>Input Rate</v>
          </cell>
        </row>
        <row r="22">
          <cell r="D22" t="str">
            <v>Input Rate</v>
          </cell>
        </row>
        <row r="23">
          <cell r="D23" t="str">
            <v>Input Rate</v>
          </cell>
        </row>
      </sheetData>
      <sheetData sheetId="4" refreshError="1">
        <row r="3">
          <cell r="D3" t="str">
            <v>Input Rate</v>
          </cell>
        </row>
        <row r="4">
          <cell r="D4" t="str">
            <v>Input Rate</v>
          </cell>
        </row>
        <row r="5">
          <cell r="D5" t="str">
            <v>Input Rate</v>
          </cell>
        </row>
        <row r="6">
          <cell r="D6" t="str">
            <v>Input Rate</v>
          </cell>
        </row>
        <row r="7">
          <cell r="D7" t="str">
            <v>Input Rate</v>
          </cell>
        </row>
        <row r="8">
          <cell r="D8" t="str">
            <v>Input Rate</v>
          </cell>
        </row>
        <row r="9">
          <cell r="D9" t="str">
            <v>Input Rate</v>
          </cell>
        </row>
        <row r="10">
          <cell r="D10" t="str">
            <v>Input Rate</v>
          </cell>
        </row>
        <row r="11">
          <cell r="D11" t="str">
            <v>Input Rate</v>
          </cell>
        </row>
        <row r="12">
          <cell r="D12" t="str">
            <v>Input Rate</v>
          </cell>
        </row>
        <row r="13">
          <cell r="D13" t="str">
            <v>Input Rate</v>
          </cell>
        </row>
        <row r="14">
          <cell r="D14" t="str">
            <v>Input Rate</v>
          </cell>
        </row>
        <row r="15">
          <cell r="D15" t="str">
            <v>Input Rate</v>
          </cell>
        </row>
        <row r="16">
          <cell r="D16" t="str">
            <v>Input Rate</v>
          </cell>
        </row>
        <row r="17">
          <cell r="D17" t="str">
            <v>Input Rate</v>
          </cell>
        </row>
        <row r="18">
          <cell r="D18" t="str">
            <v>Input Rate</v>
          </cell>
        </row>
        <row r="19">
          <cell r="D19" t="str">
            <v>Input Rate</v>
          </cell>
        </row>
        <row r="20">
          <cell r="D20" t="str">
            <v>Input Rate</v>
          </cell>
        </row>
        <row r="21">
          <cell r="D21" t="str">
            <v>Input Rate</v>
          </cell>
        </row>
        <row r="22">
          <cell r="D22" t="str">
            <v>Input Rate</v>
          </cell>
        </row>
        <row r="23">
          <cell r="D23" t="str">
            <v>Input Rate</v>
          </cell>
        </row>
        <row r="24">
          <cell r="D24" t="str">
            <v>Input Rate</v>
          </cell>
        </row>
        <row r="25">
          <cell r="D25" t="str">
            <v>Input Rate</v>
          </cell>
        </row>
        <row r="26">
          <cell r="D26" t="str">
            <v>Input Rate</v>
          </cell>
        </row>
        <row r="27">
          <cell r="D27" t="str">
            <v>Input Rate</v>
          </cell>
        </row>
        <row r="28">
          <cell r="D28" t="str">
            <v>Input Rate</v>
          </cell>
        </row>
        <row r="29">
          <cell r="D29" t="str">
            <v>Input Rate</v>
          </cell>
        </row>
        <row r="30">
          <cell r="D30" t="str">
            <v>Input Rate</v>
          </cell>
        </row>
        <row r="31">
          <cell r="D31" t="str">
            <v>Input Rate</v>
          </cell>
        </row>
        <row r="32">
          <cell r="D32" t="str">
            <v>Input Rate</v>
          </cell>
        </row>
        <row r="33">
          <cell r="D33" t="str">
            <v>Input Rate</v>
          </cell>
        </row>
        <row r="34">
          <cell r="D34" t="str">
            <v>Input Rate</v>
          </cell>
        </row>
        <row r="35">
          <cell r="D35" t="str">
            <v>Input Rate</v>
          </cell>
        </row>
        <row r="36">
          <cell r="D36" t="str">
            <v>Input Rate</v>
          </cell>
        </row>
        <row r="37">
          <cell r="D37" t="str">
            <v>Input Rate</v>
          </cell>
        </row>
        <row r="38">
          <cell r="D38" t="str">
            <v>Input Rate</v>
          </cell>
        </row>
        <row r="39">
          <cell r="D39" t="str">
            <v>Input Rate</v>
          </cell>
        </row>
        <row r="40">
          <cell r="D40" t="str">
            <v>Input Rate</v>
          </cell>
        </row>
        <row r="41">
          <cell r="D41" t="str">
            <v>Input Rate</v>
          </cell>
        </row>
        <row r="42">
          <cell r="D42" t="str">
            <v>Input Rate</v>
          </cell>
        </row>
        <row r="43">
          <cell r="D43" t="str">
            <v>Input Rate</v>
          </cell>
        </row>
        <row r="44">
          <cell r="D44" t="str">
            <v>Input Rate</v>
          </cell>
        </row>
        <row r="45">
          <cell r="D45" t="str">
            <v>Input Rate</v>
          </cell>
        </row>
        <row r="46">
          <cell r="D46" t="str">
            <v>Input Rate</v>
          </cell>
        </row>
        <row r="47">
          <cell r="D47" t="str">
            <v>Input Rate</v>
          </cell>
        </row>
        <row r="48">
          <cell r="D48" t="str">
            <v>Input Rate</v>
          </cell>
        </row>
        <row r="49">
          <cell r="D49" t="str">
            <v>Input Rate</v>
          </cell>
        </row>
        <row r="50">
          <cell r="D50" t="str">
            <v>Input Rate</v>
          </cell>
        </row>
        <row r="51">
          <cell r="D51" t="str">
            <v>Input Rate</v>
          </cell>
        </row>
        <row r="52">
          <cell r="D52" t="str">
            <v>Input Rate</v>
          </cell>
        </row>
        <row r="53">
          <cell r="D53" t="str">
            <v>Input Rate</v>
          </cell>
        </row>
        <row r="54">
          <cell r="D54" t="str">
            <v>Input Rate</v>
          </cell>
        </row>
        <row r="55">
          <cell r="D55" t="str">
            <v>Input Rate</v>
          </cell>
        </row>
        <row r="56">
          <cell r="D56" t="str">
            <v>Input Rate</v>
          </cell>
        </row>
        <row r="57">
          <cell r="D57" t="str">
            <v>Input Rate</v>
          </cell>
        </row>
        <row r="58">
          <cell r="D58" t="str">
            <v>Input Rate</v>
          </cell>
        </row>
        <row r="59">
          <cell r="D59" t="str">
            <v>Input Rate</v>
          </cell>
        </row>
        <row r="60">
          <cell r="D60" t="str">
            <v>Input Rate</v>
          </cell>
        </row>
        <row r="61">
          <cell r="D61" t="str">
            <v>Input Rate</v>
          </cell>
        </row>
        <row r="62">
          <cell r="D62" t="str">
            <v>Input Rate</v>
          </cell>
        </row>
        <row r="63">
          <cell r="D63" t="str">
            <v>Input Rate</v>
          </cell>
        </row>
        <row r="64">
          <cell r="D64" t="str">
            <v>Input Rate</v>
          </cell>
        </row>
        <row r="65">
          <cell r="D65" t="str">
            <v>Input Rate</v>
          </cell>
        </row>
        <row r="66">
          <cell r="D66" t="str">
            <v>Input Rate</v>
          </cell>
        </row>
        <row r="67">
          <cell r="D67" t="str">
            <v>Input Rate</v>
          </cell>
        </row>
        <row r="68">
          <cell r="D68" t="str">
            <v>Input Rate</v>
          </cell>
        </row>
        <row r="69">
          <cell r="D69" t="str">
            <v>Input Rate</v>
          </cell>
        </row>
        <row r="70">
          <cell r="D70" t="str">
            <v>Input Rate</v>
          </cell>
        </row>
        <row r="71">
          <cell r="D71" t="str">
            <v>Input Rate</v>
          </cell>
        </row>
        <row r="72">
          <cell r="D72" t="str">
            <v>Input Rate</v>
          </cell>
        </row>
        <row r="73">
          <cell r="D73" t="str">
            <v>Input Rate</v>
          </cell>
        </row>
        <row r="74">
          <cell r="D74" t="str">
            <v>Input Rate</v>
          </cell>
        </row>
        <row r="75">
          <cell r="D75" t="str">
            <v>Input Rate</v>
          </cell>
        </row>
        <row r="77">
          <cell r="D77" t="str">
            <v>Input Rate</v>
          </cell>
        </row>
        <row r="78">
          <cell r="D78" t="str">
            <v>Input Rate</v>
          </cell>
        </row>
        <row r="79">
          <cell r="D79" t="str">
            <v>Input Rate</v>
          </cell>
        </row>
        <row r="80">
          <cell r="D80" t="str">
            <v>Input Rate</v>
          </cell>
        </row>
        <row r="81">
          <cell r="D81" t="str">
            <v>Input Rate</v>
          </cell>
        </row>
        <row r="83">
          <cell r="D83" t="str">
            <v>Input Rate</v>
          </cell>
        </row>
        <row r="84">
          <cell r="D84" t="str">
            <v>Input Rate</v>
          </cell>
        </row>
        <row r="85">
          <cell r="D85" t="str">
            <v>Input Rate</v>
          </cell>
        </row>
        <row r="86">
          <cell r="D86" t="str">
            <v>Input Rate</v>
          </cell>
        </row>
        <row r="87">
          <cell r="D87" t="str">
            <v>Input Rate</v>
          </cell>
        </row>
        <row r="88">
          <cell r="D88" t="str">
            <v>Input Rate</v>
          </cell>
        </row>
        <row r="89">
          <cell r="D89" t="str">
            <v>Input Rate</v>
          </cell>
        </row>
        <row r="90">
          <cell r="D90" t="str">
            <v>Input Rate</v>
          </cell>
        </row>
        <row r="91">
          <cell r="D91" t="str">
            <v>Input Rate</v>
          </cell>
        </row>
        <row r="92">
          <cell r="D92" t="str">
            <v>Input Rate</v>
          </cell>
        </row>
        <row r="93">
          <cell r="D93" t="str">
            <v>Input Rate</v>
          </cell>
        </row>
        <row r="94">
          <cell r="D94" t="str">
            <v>Input Rate</v>
          </cell>
        </row>
        <row r="95">
          <cell r="D95" t="str">
            <v>Input Rate</v>
          </cell>
        </row>
        <row r="96">
          <cell r="D96" t="str">
            <v>Input Rate</v>
          </cell>
        </row>
        <row r="97">
          <cell r="D97" t="str">
            <v>Input Rate</v>
          </cell>
        </row>
        <row r="99">
          <cell r="D99" t="str">
            <v>Input Rate</v>
          </cell>
        </row>
        <row r="100">
          <cell r="D100" t="str">
            <v>Input Rate</v>
          </cell>
        </row>
        <row r="101">
          <cell r="D101" t="str">
            <v>Input Rate</v>
          </cell>
        </row>
        <row r="102">
          <cell r="D102" t="str">
            <v>Input Rate</v>
          </cell>
        </row>
        <row r="103">
          <cell r="D103" t="str">
            <v>Input Rate</v>
          </cell>
        </row>
        <row r="104">
          <cell r="D104" t="str">
            <v>Input Rate</v>
          </cell>
        </row>
        <row r="105">
          <cell r="D105" t="str">
            <v>Input Rate</v>
          </cell>
        </row>
        <row r="106">
          <cell r="D106" t="str">
            <v>Input Rate</v>
          </cell>
        </row>
        <row r="107">
          <cell r="D107" t="str">
            <v>Input Rate</v>
          </cell>
        </row>
        <row r="108">
          <cell r="D108" t="str">
            <v>Input Rate</v>
          </cell>
        </row>
        <row r="109">
          <cell r="D109" t="str">
            <v>Input Rate</v>
          </cell>
        </row>
        <row r="110">
          <cell r="D110" t="str">
            <v>Input Rate</v>
          </cell>
        </row>
        <row r="111">
          <cell r="D111" t="str">
            <v>Input Rate</v>
          </cell>
        </row>
        <row r="112">
          <cell r="D112" t="str">
            <v>Input Rate</v>
          </cell>
        </row>
        <row r="113">
          <cell r="D113" t="str">
            <v>Input Rate</v>
          </cell>
        </row>
        <row r="114">
          <cell r="D114" t="str">
            <v>Input Rate</v>
          </cell>
        </row>
        <row r="115">
          <cell r="D115" t="str">
            <v>Input Rate</v>
          </cell>
        </row>
        <row r="117">
          <cell r="D117" t="str">
            <v>Input Rate</v>
          </cell>
        </row>
        <row r="118">
          <cell r="D118" t="str">
            <v>Input Rate</v>
          </cell>
        </row>
        <row r="119">
          <cell r="D119" t="str">
            <v>Input Rate</v>
          </cell>
        </row>
        <row r="120">
          <cell r="D120" t="str">
            <v>Input Rate</v>
          </cell>
        </row>
        <row r="122">
          <cell r="D122" t="str">
            <v>Input Rate</v>
          </cell>
        </row>
        <row r="123">
          <cell r="D123" t="str">
            <v>Input Rate</v>
          </cell>
        </row>
        <row r="124">
          <cell r="D124" t="str">
            <v>Input Rate</v>
          </cell>
        </row>
        <row r="125">
          <cell r="D125" t="str">
            <v>Input Rate</v>
          </cell>
        </row>
        <row r="126">
          <cell r="D126" t="str">
            <v>Input Rate</v>
          </cell>
        </row>
        <row r="127">
          <cell r="D127" t="str">
            <v>Input Rate</v>
          </cell>
        </row>
        <row r="128">
          <cell r="D128" t="str">
            <v>Input Rate</v>
          </cell>
        </row>
        <row r="129">
          <cell r="D129" t="str">
            <v>Input Rate</v>
          </cell>
        </row>
        <row r="130">
          <cell r="D130" t="str">
            <v>Input Rate</v>
          </cell>
        </row>
        <row r="131">
          <cell r="D131" t="str">
            <v>Input Rate</v>
          </cell>
        </row>
        <row r="132">
          <cell r="D132" t="str">
            <v>Input Rate</v>
          </cell>
        </row>
        <row r="133">
          <cell r="D133" t="str">
            <v>Input Rate</v>
          </cell>
        </row>
        <row r="135">
          <cell r="D135" t="str">
            <v>Input Rate</v>
          </cell>
        </row>
        <row r="136">
          <cell r="D136" t="str">
            <v>Input Rate</v>
          </cell>
        </row>
        <row r="137">
          <cell r="D137" t="str">
            <v>Input Rate</v>
          </cell>
        </row>
        <row r="138">
          <cell r="D138" t="str">
            <v>Input Rate</v>
          </cell>
        </row>
        <row r="139">
          <cell r="D139" t="str">
            <v>Input Rate</v>
          </cell>
        </row>
        <row r="140">
          <cell r="D140" t="str">
            <v>Input Rate</v>
          </cell>
        </row>
        <row r="142">
          <cell r="D142" t="str">
            <v>Input Rate</v>
          </cell>
        </row>
        <row r="143">
          <cell r="D143" t="str">
            <v>Input Rate</v>
          </cell>
        </row>
        <row r="144">
          <cell r="D144" t="str">
            <v>Input Rate</v>
          </cell>
        </row>
        <row r="145">
          <cell r="D145" t="str">
            <v>Input Rate</v>
          </cell>
        </row>
        <row r="146">
          <cell r="D146" t="str">
            <v>Input Rate</v>
          </cell>
        </row>
        <row r="147">
          <cell r="D147" t="str">
            <v>Input Rate</v>
          </cell>
        </row>
        <row r="148">
          <cell r="D148" t="str">
            <v>Input Rate</v>
          </cell>
        </row>
        <row r="149">
          <cell r="D149" t="str">
            <v>Input Rate</v>
          </cell>
        </row>
        <row r="150">
          <cell r="D150" t="str">
            <v>Input Rate</v>
          </cell>
        </row>
        <row r="151">
          <cell r="D151" t="str">
            <v>Input Rate</v>
          </cell>
        </row>
        <row r="152">
          <cell r="D152" t="str">
            <v>Input Rate</v>
          </cell>
        </row>
        <row r="153">
          <cell r="D153" t="str">
            <v>Input Rate</v>
          </cell>
        </row>
        <row r="154">
          <cell r="D154" t="str">
            <v>Input Rate</v>
          </cell>
        </row>
        <row r="155">
          <cell r="D155" t="str">
            <v>Input Rate</v>
          </cell>
        </row>
        <row r="156">
          <cell r="D156" t="str">
            <v>Input Rate</v>
          </cell>
        </row>
        <row r="157">
          <cell r="D157" t="str">
            <v>Input Rate</v>
          </cell>
        </row>
        <row r="158">
          <cell r="D158" t="str">
            <v>Input Rate</v>
          </cell>
        </row>
        <row r="159">
          <cell r="D159" t="str">
            <v>Input Rate</v>
          </cell>
        </row>
        <row r="160">
          <cell r="D160" t="str">
            <v>Input Rate</v>
          </cell>
        </row>
        <row r="161">
          <cell r="D161" t="str">
            <v>Input Rate</v>
          </cell>
        </row>
        <row r="162">
          <cell r="D162" t="str">
            <v>Input Rate</v>
          </cell>
        </row>
        <row r="163">
          <cell r="D163" t="str">
            <v>Input Rate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ST VOUCHER "/>
      <sheetName val="Lead"/>
      <sheetName val="Analysis "/>
      <sheetName val="Cover "/>
      <sheetName val="Report "/>
      <sheetName val="DINING"/>
      <sheetName val="Estimate"/>
      <sheetName val="deviation"/>
      <sheetName val="BOQ"/>
      <sheetName val="Drawing Dining"/>
      <sheetName val="DRG"/>
      <sheetName val="Bill Calculation (2)"/>
      <sheetName val="Bill Calculation"/>
    </sheetNames>
    <sheetDataSet>
      <sheetData sheetId="0"/>
      <sheetData sheetId="1"/>
      <sheetData sheetId="2">
        <row r="89">
          <cell r="J89">
            <v>1498.68</v>
          </cell>
        </row>
        <row r="170">
          <cell r="J170">
            <v>6393.42</v>
          </cell>
        </row>
        <row r="662">
          <cell r="B662" t="str">
            <v>Laterite  Stone  Masonry in Cement mortar (1:6) in foundation &amp; plinth  including cost, conveyance, royality &amp; taxes etc. of all materials, mixing &amp; laying, watering, curing, labour charges etc. complete as per the specification &amp; direction of Engineer in charge.</v>
          </cell>
        </row>
        <row r="1089">
          <cell r="J1089">
            <v>167.07</v>
          </cell>
        </row>
        <row r="1440">
          <cell r="B1440" t="str">
            <v>Fixing tiles in floors ,treads or steps &amp; landings on 20mm thick bed of cement mortar 1:4 jointed with neat cement slurry mixed with pigment to match the shades of the tiles  &amp; polishing including cost of vitrified  industrial tile (300x300)mm……etc  compl</v>
          </cell>
        </row>
        <row r="1463">
          <cell r="J1463">
            <v>873.18</v>
          </cell>
        </row>
        <row r="1672">
          <cell r="J1672">
            <v>739.18</v>
          </cell>
        </row>
        <row r="1754">
          <cell r="J1754">
            <v>3755.84</v>
          </cell>
        </row>
      </sheetData>
      <sheetData sheetId="3"/>
      <sheetData sheetId="4"/>
      <sheetData sheetId="5">
        <row r="1">
          <cell r="D1" t="str">
            <v>Construction of Dining Hall  in Govt High School ,Damasal(Boys)</v>
          </cell>
        </row>
        <row r="410">
          <cell r="O410">
            <v>1500000</v>
          </cell>
        </row>
        <row r="412">
          <cell r="K412" t="str">
            <v>( Rupees  Fifteen  Lakhs   ) Only</v>
          </cell>
        </row>
      </sheetData>
      <sheetData sheetId="6">
        <row r="30">
          <cell r="G30">
            <v>206.77</v>
          </cell>
        </row>
        <row r="44">
          <cell r="G44">
            <v>1498.68</v>
          </cell>
        </row>
        <row r="287">
          <cell r="B287" t="str">
            <v>Fixing tiles in floors ,treads or steps &amp; landings on 20mm thick bed of cement mortar 1:4 jointed with neat cement slurry mixed with pigment to match the shades of the tiles  &amp; polishing including cost of vitrified tile (600x600)mm……etc  compl</v>
          </cell>
        </row>
        <row r="297">
          <cell r="D297" t="str">
            <v>sqm</v>
          </cell>
        </row>
        <row r="299">
          <cell r="B299" t="str">
            <v>Fixing tiles in floors ,treads or steps &amp; landings on 20mm thick bed of cement mortar 1:4 jointed with neat cement slurry mixed with pigment to match the shades of the tiles  &amp; polishing including cost of vitrified  industrial tile (300x300)mm……etc  compl</v>
          </cell>
        </row>
        <row r="304">
          <cell r="B304" t="str">
            <v>Fixing tiles  Vitrified Tile 600x600mm in dadoos Skirting and rises of steps on 12mm thick cement plaster ( 1:3) jointed with neat cement slurry mixed with pigments to match the shade of the tiles including rubbing and polishing complete as per direction of Engineer-in-charge.</v>
          </cell>
        </row>
        <row r="319">
          <cell r="B319" t="str">
            <v>Fixing tiles in Dado,skirting &amp; rises of steps  on 12mm thick  cement plaster 1:3 jointed with neat cement slurry mixed with pigment to match the shades of the tiles including rubbing &amp; polishing using Ceramic Wall Tile ( 200 x 200 / 200 x 300 )mm ……etc  compl.</v>
          </cell>
        </row>
        <row r="325">
          <cell r="G325">
            <v>739.18</v>
          </cell>
        </row>
        <row r="327">
          <cell r="B327" t="str">
            <v>Finishing surface of walls with cement based wall putty ( Water based ) of approved make and finished smooth and even surface to receive painting including scaffolding staging charges with all materials, taxes, labour charges etc  compl.</v>
          </cell>
        </row>
        <row r="350">
          <cell r="B350" t="str">
            <v>Wall painting two coats with weather coat  of approved shade on new work to give an even shade including  including cost, carriage and taxes etc. of all materials required for the work and labour charges etc. compl as per the specification &amp; direction of EIC</v>
          </cell>
        </row>
        <row r="388">
          <cell r="B388" t="str">
            <v>Fixing water closet, squatting pan (Indian type W.C pan) Orissa Pattern 500x440mm conforming to IS: 2556:part-3-2004 duly embedded in C.C(1:4:8) using 40mm size metal all complete as per specification.</v>
          </cell>
        </row>
        <row r="389">
          <cell r="D389" t="str">
            <v>Nos</v>
          </cell>
          <cell r="G389">
            <v>1880.8026869999994</v>
          </cell>
        </row>
        <row r="391">
          <cell r="B391" t="str">
            <v>Providing and Fixing of PVC  low level flushing cistern conforming to IS: 7231 with all fittings and fixtures complete.(White Colour)</v>
          </cell>
        </row>
        <row r="392">
          <cell r="D392" t="str">
            <v>Nos</v>
          </cell>
          <cell r="G392">
            <v>1180.3775000000001</v>
          </cell>
        </row>
        <row r="393">
          <cell r="B393" t="str">
            <v>Fixing 100 mm size P or S trap for water closet squating pan including jointing the trap with pan in cement mortar (1:1) as per specification</v>
          </cell>
        </row>
        <row r="394">
          <cell r="D394" t="str">
            <v>Nos</v>
          </cell>
          <cell r="G394">
            <v>299.69839018865576</v>
          </cell>
        </row>
        <row r="398">
          <cell r="D398" t="str">
            <v>Nos</v>
          </cell>
          <cell r="G398">
            <v>138.32461743136963</v>
          </cell>
        </row>
      </sheetData>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ver K"/>
      <sheetName val="Report K "/>
      <sheetName val="General Abstract K"/>
      <sheetName val="Estimate K "/>
      <sheetName val="Drawing Kalyan mandap"/>
      <sheetName val="DATA"/>
      <sheetName val="Analysis 2014-15"/>
      <sheetName val="HIRE CHG OF MECH."/>
      <sheetName val="BASIC COST OF MATL"/>
      <sheetName val="LEAD OF MATL."/>
    </sheetNames>
    <sheetDataSet>
      <sheetData sheetId="0" refreshError="1"/>
      <sheetData sheetId="1" refreshError="1"/>
      <sheetData sheetId="2" refreshError="1">
        <row r="37">
          <cell r="F37" t="str">
            <v>Assistant Executive Engineer</v>
          </cell>
        </row>
        <row r="38">
          <cell r="A38" t="str">
            <v>Bhuban Block</v>
          </cell>
          <cell r="F38" t="str">
            <v>Bhuban Block</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Lead"/>
      <sheetName val="Analysis "/>
      <sheetName val="MaterialLabour "/>
      <sheetName val="GST VOUCHER "/>
      <sheetName val="Cover "/>
      <sheetName val="Report "/>
      <sheetName val="Bill form"/>
      <sheetName val="Estimate"/>
      <sheetName val=" Bill "/>
      <sheetName val="Material and labour "/>
      <sheetName val="Drawing "/>
    </sheetNames>
    <sheetDataSet>
      <sheetData sheetId="0"/>
      <sheetData sheetId="1">
        <row r="480">
          <cell r="B480" t="str">
            <v>RCC M-20 grade with crushed granite coarse aggregate of size 20 mm downgraded mixed in mixing plant with vibrator including cost of all materials, machineries &amp; labour including cost, conveyance, labour, all taxes &amp; royality etc  complete  including centr</v>
          </cell>
        </row>
        <row r="589">
          <cell r="J589">
            <v>280.20999999999998</v>
          </cell>
        </row>
        <row r="1209">
          <cell r="B1209" t="str">
            <v>Finishing surface of walls with cement based wall putty ( Water based ) of approved make and finished smooth and even surface to receive painting including scaffolding staging charges with all materials, taxes, labour charges etc  compl.</v>
          </cell>
        </row>
        <row r="1245">
          <cell r="B1245" t="str">
            <v>Priming one coat with water bound cement primer of approved quality over plastered surface including scaffolding staging charges with all materials, taxes, labour charges etc  compl.</v>
          </cell>
        </row>
        <row r="1348">
          <cell r="J1348">
            <v>67.400000000000006</v>
          </cell>
        </row>
        <row r="1350">
          <cell r="B1350" t="str">
            <v>Fixing tiles in floors ,treads or steps &amp; landings on 20mm thick bed of cement mortar 1:4 jointed with neat cement slurry mixed with pigment to match the shades of the tiles  &amp; polishing including cost of vitrified tile (600x600)mm……etc  compl</v>
          </cell>
        </row>
        <row r="1665">
          <cell r="J1665">
            <v>3348.41</v>
          </cell>
        </row>
      </sheetData>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WD PORTION"/>
      <sheetName val="Abstract of Rates"/>
      <sheetName val="Lead Statement"/>
      <sheetName val="Erth W.&amp;Sand"/>
      <sheetName val="C.C"/>
      <sheetName val="M.S ROD"/>
      <sheetName val="Grading Con"/>
      <sheetName val="Centering"/>
      <sheetName val="Fly Ash"/>
      <sheetName val="Plaster&amp;Punning"/>
      <sheetName val="Painting"/>
      <sheetName val="Flooring"/>
      <sheetName val="Dismantaling"/>
      <sheetName val="Road Cutting"/>
      <sheetName val="P.H. Analysis"/>
      <sheetName val="SWR Pipe&amp;Fittings"/>
      <sheetName val="M.H&amp;I.C"/>
      <sheetName val="Septic Tank"/>
      <sheetName val="Cutting Hole&amp;Groove"/>
      <sheetName val="Internal WS &amp; SI Fixture"/>
      <sheetName val="Ring Tank"/>
      <sheetName val="External WS"/>
      <sheetName val="External Water Supply"/>
      <sheetName val="S.V Chamber"/>
      <sheetName val="Cuting &amp; Welding M.S Pipe"/>
      <sheetName val="cost of M.S PIPE &amp; Fittings"/>
      <sheetName val="Sheet1"/>
      <sheetName val="Flow Meter"/>
      <sheetName val="Rate of PVC Pipes"/>
      <sheetName val="P.Wel Est(DTH)"/>
      <sheetName val="P.Well Analysis(DTH)"/>
      <sheetName val=" Estimate(H.P.Tube well)"/>
      <sheetName val="Analysis(H.P.Tube well)"/>
      <sheetName val="Tube well platform"/>
      <sheetName val="Pump House"/>
      <sheetName val="Compaund Wall Es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89">
          <cell r="B89" t="str">
            <v>Providing and fixing on wall face PVC SWR moulded fittings / accessories for PVC SWR  pipes conforming to IS : 13592 Type A, including jointing with seal ring conforming to IS : 5382, leaving 10 mm gap for thermal expansion.110 mm pvc pipe</v>
          </cell>
        </row>
        <row r="90">
          <cell r="B90" t="str">
            <v>110 MM PVC Drainage pipe</v>
          </cell>
        </row>
        <row r="103">
          <cell r="H103">
            <v>138.32461743136963</v>
          </cell>
        </row>
        <row r="240">
          <cell r="H240">
            <v>299.69839018865576</v>
          </cell>
        </row>
      </sheetData>
      <sheetData sheetId="16" refreshError="1"/>
      <sheetData sheetId="17" refreshError="1"/>
      <sheetData sheetId="18" refreshError="1"/>
      <sheetData sheetId="19">
        <row r="987">
          <cell r="H987">
            <v>1880.8026869999994</v>
          </cell>
        </row>
        <row r="1116">
          <cell r="H1116">
            <v>1180.3775000000001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Lead"/>
      <sheetName val="Analysis "/>
      <sheetName val="MaterialLabour "/>
      <sheetName val="Cover "/>
      <sheetName val="Report "/>
      <sheetName val="Estimate"/>
      <sheetName val="BOQ"/>
    </sheetNames>
    <sheetDataSet>
      <sheetData sheetId="0">
        <row r="26">
          <cell r="K26">
            <v>24.402000000000001</v>
          </cell>
        </row>
      </sheetData>
      <sheetData sheetId="1"/>
      <sheetData sheetId="2"/>
      <sheetData sheetId="3"/>
      <sheetData sheetId="4"/>
      <sheetData sheetId="5">
        <row r="79">
          <cell r="B79" t="str">
            <v>RCC M-20 grade with crushed granite coarse aggregate of size 20 mm downgraded mixed in mixing plant with vibrator including cost of all materials, machineries &amp; labour including cost, conveyance, labour, all taxes &amp; royality etc  complete including centri</v>
          </cell>
        </row>
      </sheetData>
      <sheetData sheetId="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einforcement "/>
      <sheetName val="Material &amp; Labour"/>
      <sheetName val="BILL FORM"/>
      <sheetName val=" GST INVOICE"/>
      <sheetName val="Completion Certificate"/>
      <sheetName val="Lead"/>
      <sheetName val="Analysis "/>
      <sheetName val=" COVER "/>
      <sheetName val=" REPORT "/>
      <sheetName val="EStimate Additional Class Room"/>
      <sheetName val="Drawing"/>
      <sheetName val="FINAL ML"/>
      <sheetName val="FINAL GST"/>
      <sheetName val="Sheet1"/>
    </sheetNames>
    <sheetDataSet>
      <sheetData sheetId="0"/>
      <sheetData sheetId="1"/>
      <sheetData sheetId="2"/>
      <sheetData sheetId="3"/>
      <sheetData sheetId="4"/>
      <sheetData sheetId="5"/>
      <sheetData sheetId="6"/>
      <sheetData sheetId="7"/>
      <sheetData sheetId="8"/>
      <sheetData sheetId="9">
        <row r="178">
          <cell r="B178" t="str">
            <v>25mm thickDPC with CC (1:2:4) using 12mm H.G.C.B Coarse aggregates  Including Costof Material, Labour,  Royalty, Taxex,  Labour cess..etc . Complete as per the specification and direction of Enginner-in-charge.</v>
          </cell>
        </row>
        <row r="222">
          <cell r="B222" t="str">
            <v>Supplying GI Pressed G.I Door Assembly with Polymer Powder Coated  Including the Cost of All Materials and Fittings ..etc Complete  as per the specification &amp; direction of Engineer in charge.</v>
          </cell>
        </row>
        <row r="251">
          <cell r="B251" t="str">
            <v>12 mm thick cement plaster  in cement mortar ( 1 : 4  with punning ) including cost, conveyance, royality &amp; taxes etc. of all materials required for the work,watering, curing, labour charges etc. complete as per the specification &amp; direction of Engineer in charge.</v>
          </cell>
        </row>
        <row r="391">
          <cell r="B391" t="str">
            <v>Wall painting two coats with Distemper  paint  of approved shade on new work to give an even shade including  including cost, carriage and taxes etc. of all materials required for the work and labour charges etc. complete</v>
          </cell>
        </row>
        <row r="425">
          <cell r="B425" t="str">
            <v>Supplying, fitting and fixing of Stainless steel of 304 grade in hand railing using 50mm dia of 2mm thick circular pipe with Balustrade of size 50mm x 50mm x 2mm @ 0.90mtr. C/C and stainless Round pipe   as per approved design and specification, buffing, polishing etc with cost, conveyance, taxes of all materials, labour, T&amp;P etc. required for the complete in all respect. ( Ramp Railing)</v>
          </cell>
        </row>
      </sheetData>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00"/>
  </sheetPr>
  <dimension ref="A1:AX191"/>
  <sheetViews>
    <sheetView view="pageBreakPreview" zoomScale="90" zoomScaleSheetLayoutView="90" workbookViewId="0">
      <selection sqref="A1:F191"/>
    </sheetView>
  </sheetViews>
  <sheetFormatPr defaultColWidth="9.140625" defaultRowHeight="15"/>
  <cols>
    <col min="1" max="2" width="14.140625" style="16" customWidth="1"/>
    <col min="3" max="3" width="40.7109375" style="16" customWidth="1"/>
    <col min="4" max="4" width="13.5703125" style="16" customWidth="1"/>
    <col min="5" max="5" width="13.28515625" style="16" customWidth="1"/>
    <col min="6" max="6" width="13.85546875" style="16" customWidth="1"/>
    <col min="7" max="8" width="14.140625" style="16" hidden="1" customWidth="1"/>
    <col min="9" max="9" width="40.7109375" style="16" hidden="1" customWidth="1"/>
    <col min="10" max="10" width="13.5703125" style="16" hidden="1" customWidth="1"/>
    <col min="11" max="12" width="13.28515625" style="16" hidden="1" customWidth="1"/>
    <col min="13" max="14" width="14.140625" style="16" hidden="1" customWidth="1"/>
    <col min="15" max="15" width="40.7109375" style="16" hidden="1" customWidth="1"/>
    <col min="16" max="16" width="13.5703125" style="16" hidden="1" customWidth="1"/>
    <col min="17" max="18" width="13.28515625" style="16" hidden="1" customWidth="1"/>
    <col min="19" max="20" width="14.140625" style="16" hidden="1" customWidth="1"/>
    <col min="21" max="21" width="40.7109375" style="16" hidden="1" customWidth="1"/>
    <col min="22" max="22" width="13.5703125" style="16" hidden="1" customWidth="1"/>
    <col min="23" max="24" width="13.28515625" style="16" hidden="1" customWidth="1"/>
    <col min="25" max="26" width="14.140625" style="16" hidden="1" customWidth="1"/>
    <col min="27" max="27" width="40.7109375" style="16" hidden="1" customWidth="1"/>
    <col min="28" max="28" width="13.5703125" style="16" hidden="1" customWidth="1"/>
    <col min="29" max="30" width="13.28515625" style="16" hidden="1" customWidth="1"/>
    <col min="31" max="31" width="9.140625" style="16"/>
    <col min="32" max="33" width="14.140625" style="16" customWidth="1"/>
    <col min="34" max="34" width="40.7109375" style="16" customWidth="1"/>
    <col min="35" max="35" width="13.5703125" style="16" customWidth="1"/>
    <col min="36" max="36" width="13.28515625" style="16" customWidth="1"/>
    <col min="37" max="37" width="13.85546875" style="16" customWidth="1"/>
    <col min="38" max="44" width="9.140625" style="16"/>
    <col min="45" max="46" width="14.140625" style="16" customWidth="1"/>
    <col min="47" max="47" width="40.7109375" style="16" customWidth="1"/>
    <col min="48" max="48" width="13.5703125" style="16" customWidth="1"/>
    <col min="49" max="49" width="13.28515625" style="16" customWidth="1"/>
    <col min="50" max="50" width="13.85546875" style="16" customWidth="1"/>
    <col min="51" max="256" width="9.140625" style="16"/>
    <col min="257" max="258" width="14.140625" style="16" customWidth="1"/>
    <col min="259" max="259" width="40.7109375" style="16" customWidth="1"/>
    <col min="260" max="260" width="13.5703125" style="16" customWidth="1"/>
    <col min="261" max="261" width="13.28515625" style="16" customWidth="1"/>
    <col min="262" max="262" width="13.85546875" style="16" customWidth="1"/>
    <col min="263" max="286" width="0" style="16" hidden="1" customWidth="1"/>
    <col min="287" max="287" width="9.140625" style="16"/>
    <col min="288" max="289" width="14.140625" style="16" customWidth="1"/>
    <col min="290" max="290" width="40.7109375" style="16" customWidth="1"/>
    <col min="291" max="291" width="13.5703125" style="16" customWidth="1"/>
    <col min="292" max="292" width="13.28515625" style="16" customWidth="1"/>
    <col min="293" max="293" width="13.85546875" style="16" customWidth="1"/>
    <col min="294" max="512" width="9.140625" style="16"/>
    <col min="513" max="514" width="14.140625" style="16" customWidth="1"/>
    <col min="515" max="515" width="40.7109375" style="16" customWidth="1"/>
    <col min="516" max="516" width="13.5703125" style="16" customWidth="1"/>
    <col min="517" max="517" width="13.28515625" style="16" customWidth="1"/>
    <col min="518" max="518" width="13.85546875" style="16" customWidth="1"/>
    <col min="519" max="542" width="0" style="16" hidden="1" customWidth="1"/>
    <col min="543" max="543" width="9.140625" style="16"/>
    <col min="544" max="545" width="14.140625" style="16" customWidth="1"/>
    <col min="546" max="546" width="40.7109375" style="16" customWidth="1"/>
    <col min="547" max="547" width="13.5703125" style="16" customWidth="1"/>
    <col min="548" max="548" width="13.28515625" style="16" customWidth="1"/>
    <col min="549" max="549" width="13.85546875" style="16" customWidth="1"/>
    <col min="550" max="768" width="9.140625" style="16"/>
    <col min="769" max="770" width="14.140625" style="16" customWidth="1"/>
    <col min="771" max="771" width="40.7109375" style="16" customWidth="1"/>
    <col min="772" max="772" width="13.5703125" style="16" customWidth="1"/>
    <col min="773" max="773" width="13.28515625" style="16" customWidth="1"/>
    <col min="774" max="774" width="13.85546875" style="16" customWidth="1"/>
    <col min="775" max="798" width="0" style="16" hidden="1" customWidth="1"/>
    <col min="799" max="799" width="9.140625" style="16"/>
    <col min="800" max="801" width="14.140625" style="16" customWidth="1"/>
    <col min="802" max="802" width="40.7109375" style="16" customWidth="1"/>
    <col min="803" max="803" width="13.5703125" style="16" customWidth="1"/>
    <col min="804" max="804" width="13.28515625" style="16" customWidth="1"/>
    <col min="805" max="805" width="13.85546875" style="16" customWidth="1"/>
    <col min="806" max="1024" width="9.140625" style="16"/>
    <col min="1025" max="1026" width="14.140625" style="16" customWidth="1"/>
    <col min="1027" max="1027" width="40.7109375" style="16" customWidth="1"/>
    <col min="1028" max="1028" width="13.5703125" style="16" customWidth="1"/>
    <col min="1029" max="1029" width="13.28515625" style="16" customWidth="1"/>
    <col min="1030" max="1030" width="13.85546875" style="16" customWidth="1"/>
    <col min="1031" max="1054" width="0" style="16" hidden="1" customWidth="1"/>
    <col min="1055" max="1055" width="9.140625" style="16"/>
    <col min="1056" max="1057" width="14.140625" style="16" customWidth="1"/>
    <col min="1058" max="1058" width="40.7109375" style="16" customWidth="1"/>
    <col min="1059" max="1059" width="13.5703125" style="16" customWidth="1"/>
    <col min="1060" max="1060" width="13.28515625" style="16" customWidth="1"/>
    <col min="1061" max="1061" width="13.85546875" style="16" customWidth="1"/>
    <col min="1062" max="1280" width="9.140625" style="16"/>
    <col min="1281" max="1282" width="14.140625" style="16" customWidth="1"/>
    <col min="1283" max="1283" width="40.7109375" style="16" customWidth="1"/>
    <col min="1284" max="1284" width="13.5703125" style="16" customWidth="1"/>
    <col min="1285" max="1285" width="13.28515625" style="16" customWidth="1"/>
    <col min="1286" max="1286" width="13.85546875" style="16" customWidth="1"/>
    <col min="1287" max="1310" width="0" style="16" hidden="1" customWidth="1"/>
    <col min="1311" max="1311" width="9.140625" style="16"/>
    <col min="1312" max="1313" width="14.140625" style="16" customWidth="1"/>
    <col min="1314" max="1314" width="40.7109375" style="16" customWidth="1"/>
    <col min="1315" max="1315" width="13.5703125" style="16" customWidth="1"/>
    <col min="1316" max="1316" width="13.28515625" style="16" customWidth="1"/>
    <col min="1317" max="1317" width="13.85546875" style="16" customWidth="1"/>
    <col min="1318" max="1536" width="9.140625" style="16"/>
    <col min="1537" max="1538" width="14.140625" style="16" customWidth="1"/>
    <col min="1539" max="1539" width="40.7109375" style="16" customWidth="1"/>
    <col min="1540" max="1540" width="13.5703125" style="16" customWidth="1"/>
    <col min="1541" max="1541" width="13.28515625" style="16" customWidth="1"/>
    <col min="1542" max="1542" width="13.85546875" style="16" customWidth="1"/>
    <col min="1543" max="1566" width="0" style="16" hidden="1" customWidth="1"/>
    <col min="1567" max="1567" width="9.140625" style="16"/>
    <col min="1568" max="1569" width="14.140625" style="16" customWidth="1"/>
    <col min="1570" max="1570" width="40.7109375" style="16" customWidth="1"/>
    <col min="1571" max="1571" width="13.5703125" style="16" customWidth="1"/>
    <col min="1572" max="1572" width="13.28515625" style="16" customWidth="1"/>
    <col min="1573" max="1573" width="13.85546875" style="16" customWidth="1"/>
    <col min="1574" max="1792" width="9.140625" style="16"/>
    <col min="1793" max="1794" width="14.140625" style="16" customWidth="1"/>
    <col min="1795" max="1795" width="40.7109375" style="16" customWidth="1"/>
    <col min="1796" max="1796" width="13.5703125" style="16" customWidth="1"/>
    <col min="1797" max="1797" width="13.28515625" style="16" customWidth="1"/>
    <col min="1798" max="1798" width="13.85546875" style="16" customWidth="1"/>
    <col min="1799" max="1822" width="0" style="16" hidden="1" customWidth="1"/>
    <col min="1823" max="1823" width="9.140625" style="16"/>
    <col min="1824" max="1825" width="14.140625" style="16" customWidth="1"/>
    <col min="1826" max="1826" width="40.7109375" style="16" customWidth="1"/>
    <col min="1827" max="1827" width="13.5703125" style="16" customWidth="1"/>
    <col min="1828" max="1828" width="13.28515625" style="16" customWidth="1"/>
    <col min="1829" max="1829" width="13.85546875" style="16" customWidth="1"/>
    <col min="1830" max="2048" width="9.140625" style="16"/>
    <col min="2049" max="2050" width="14.140625" style="16" customWidth="1"/>
    <col min="2051" max="2051" width="40.7109375" style="16" customWidth="1"/>
    <col min="2052" max="2052" width="13.5703125" style="16" customWidth="1"/>
    <col min="2053" max="2053" width="13.28515625" style="16" customWidth="1"/>
    <col min="2054" max="2054" width="13.85546875" style="16" customWidth="1"/>
    <col min="2055" max="2078" width="0" style="16" hidden="1" customWidth="1"/>
    <col min="2079" max="2079" width="9.140625" style="16"/>
    <col min="2080" max="2081" width="14.140625" style="16" customWidth="1"/>
    <col min="2082" max="2082" width="40.7109375" style="16" customWidth="1"/>
    <col min="2083" max="2083" width="13.5703125" style="16" customWidth="1"/>
    <col min="2084" max="2084" width="13.28515625" style="16" customWidth="1"/>
    <col min="2085" max="2085" width="13.85546875" style="16" customWidth="1"/>
    <col min="2086" max="2304" width="9.140625" style="16"/>
    <col min="2305" max="2306" width="14.140625" style="16" customWidth="1"/>
    <col min="2307" max="2307" width="40.7109375" style="16" customWidth="1"/>
    <col min="2308" max="2308" width="13.5703125" style="16" customWidth="1"/>
    <col min="2309" max="2309" width="13.28515625" style="16" customWidth="1"/>
    <col min="2310" max="2310" width="13.85546875" style="16" customWidth="1"/>
    <col min="2311" max="2334" width="0" style="16" hidden="1" customWidth="1"/>
    <col min="2335" max="2335" width="9.140625" style="16"/>
    <col min="2336" max="2337" width="14.140625" style="16" customWidth="1"/>
    <col min="2338" max="2338" width="40.7109375" style="16" customWidth="1"/>
    <col min="2339" max="2339" width="13.5703125" style="16" customWidth="1"/>
    <col min="2340" max="2340" width="13.28515625" style="16" customWidth="1"/>
    <col min="2341" max="2341" width="13.85546875" style="16" customWidth="1"/>
    <col min="2342" max="2560" width="9.140625" style="16"/>
    <col min="2561" max="2562" width="14.140625" style="16" customWidth="1"/>
    <col min="2563" max="2563" width="40.7109375" style="16" customWidth="1"/>
    <col min="2564" max="2564" width="13.5703125" style="16" customWidth="1"/>
    <col min="2565" max="2565" width="13.28515625" style="16" customWidth="1"/>
    <col min="2566" max="2566" width="13.85546875" style="16" customWidth="1"/>
    <col min="2567" max="2590" width="0" style="16" hidden="1" customWidth="1"/>
    <col min="2591" max="2591" width="9.140625" style="16"/>
    <col min="2592" max="2593" width="14.140625" style="16" customWidth="1"/>
    <col min="2594" max="2594" width="40.7109375" style="16" customWidth="1"/>
    <col min="2595" max="2595" width="13.5703125" style="16" customWidth="1"/>
    <col min="2596" max="2596" width="13.28515625" style="16" customWidth="1"/>
    <col min="2597" max="2597" width="13.85546875" style="16" customWidth="1"/>
    <col min="2598" max="2816" width="9.140625" style="16"/>
    <col min="2817" max="2818" width="14.140625" style="16" customWidth="1"/>
    <col min="2819" max="2819" width="40.7109375" style="16" customWidth="1"/>
    <col min="2820" max="2820" width="13.5703125" style="16" customWidth="1"/>
    <col min="2821" max="2821" width="13.28515625" style="16" customWidth="1"/>
    <col min="2822" max="2822" width="13.85546875" style="16" customWidth="1"/>
    <col min="2823" max="2846" width="0" style="16" hidden="1" customWidth="1"/>
    <col min="2847" max="2847" width="9.140625" style="16"/>
    <col min="2848" max="2849" width="14.140625" style="16" customWidth="1"/>
    <col min="2850" max="2850" width="40.7109375" style="16" customWidth="1"/>
    <col min="2851" max="2851" width="13.5703125" style="16" customWidth="1"/>
    <col min="2852" max="2852" width="13.28515625" style="16" customWidth="1"/>
    <col min="2853" max="2853" width="13.85546875" style="16" customWidth="1"/>
    <col min="2854" max="3072" width="9.140625" style="16"/>
    <col min="3073" max="3074" width="14.140625" style="16" customWidth="1"/>
    <col min="3075" max="3075" width="40.7109375" style="16" customWidth="1"/>
    <col min="3076" max="3076" width="13.5703125" style="16" customWidth="1"/>
    <col min="3077" max="3077" width="13.28515625" style="16" customWidth="1"/>
    <col min="3078" max="3078" width="13.85546875" style="16" customWidth="1"/>
    <col min="3079" max="3102" width="0" style="16" hidden="1" customWidth="1"/>
    <col min="3103" max="3103" width="9.140625" style="16"/>
    <col min="3104" max="3105" width="14.140625" style="16" customWidth="1"/>
    <col min="3106" max="3106" width="40.7109375" style="16" customWidth="1"/>
    <col min="3107" max="3107" width="13.5703125" style="16" customWidth="1"/>
    <col min="3108" max="3108" width="13.28515625" style="16" customWidth="1"/>
    <col min="3109" max="3109" width="13.85546875" style="16" customWidth="1"/>
    <col min="3110" max="3328" width="9.140625" style="16"/>
    <col min="3329" max="3330" width="14.140625" style="16" customWidth="1"/>
    <col min="3331" max="3331" width="40.7109375" style="16" customWidth="1"/>
    <col min="3332" max="3332" width="13.5703125" style="16" customWidth="1"/>
    <col min="3333" max="3333" width="13.28515625" style="16" customWidth="1"/>
    <col min="3334" max="3334" width="13.85546875" style="16" customWidth="1"/>
    <col min="3335" max="3358" width="0" style="16" hidden="1" customWidth="1"/>
    <col min="3359" max="3359" width="9.140625" style="16"/>
    <col min="3360" max="3361" width="14.140625" style="16" customWidth="1"/>
    <col min="3362" max="3362" width="40.7109375" style="16" customWidth="1"/>
    <col min="3363" max="3363" width="13.5703125" style="16" customWidth="1"/>
    <col min="3364" max="3364" width="13.28515625" style="16" customWidth="1"/>
    <col min="3365" max="3365" width="13.85546875" style="16" customWidth="1"/>
    <col min="3366" max="3584" width="9.140625" style="16"/>
    <col min="3585" max="3586" width="14.140625" style="16" customWidth="1"/>
    <col min="3587" max="3587" width="40.7109375" style="16" customWidth="1"/>
    <col min="3588" max="3588" width="13.5703125" style="16" customWidth="1"/>
    <col min="3589" max="3589" width="13.28515625" style="16" customWidth="1"/>
    <col min="3590" max="3590" width="13.85546875" style="16" customWidth="1"/>
    <col min="3591" max="3614" width="0" style="16" hidden="1" customWidth="1"/>
    <col min="3615" max="3615" width="9.140625" style="16"/>
    <col min="3616" max="3617" width="14.140625" style="16" customWidth="1"/>
    <col min="3618" max="3618" width="40.7109375" style="16" customWidth="1"/>
    <col min="3619" max="3619" width="13.5703125" style="16" customWidth="1"/>
    <col min="3620" max="3620" width="13.28515625" style="16" customWidth="1"/>
    <col min="3621" max="3621" width="13.85546875" style="16" customWidth="1"/>
    <col min="3622" max="3840" width="9.140625" style="16"/>
    <col min="3841" max="3842" width="14.140625" style="16" customWidth="1"/>
    <col min="3843" max="3843" width="40.7109375" style="16" customWidth="1"/>
    <col min="3844" max="3844" width="13.5703125" style="16" customWidth="1"/>
    <col min="3845" max="3845" width="13.28515625" style="16" customWidth="1"/>
    <col min="3846" max="3846" width="13.85546875" style="16" customWidth="1"/>
    <col min="3847" max="3870" width="0" style="16" hidden="1" customWidth="1"/>
    <col min="3871" max="3871" width="9.140625" style="16"/>
    <col min="3872" max="3873" width="14.140625" style="16" customWidth="1"/>
    <col min="3874" max="3874" width="40.7109375" style="16" customWidth="1"/>
    <col min="3875" max="3875" width="13.5703125" style="16" customWidth="1"/>
    <col min="3876" max="3876" width="13.28515625" style="16" customWidth="1"/>
    <col min="3877" max="3877" width="13.85546875" style="16" customWidth="1"/>
    <col min="3878" max="4096" width="9.140625" style="16"/>
    <col min="4097" max="4098" width="14.140625" style="16" customWidth="1"/>
    <col min="4099" max="4099" width="40.7109375" style="16" customWidth="1"/>
    <col min="4100" max="4100" width="13.5703125" style="16" customWidth="1"/>
    <col min="4101" max="4101" width="13.28515625" style="16" customWidth="1"/>
    <col min="4102" max="4102" width="13.85546875" style="16" customWidth="1"/>
    <col min="4103" max="4126" width="0" style="16" hidden="1" customWidth="1"/>
    <col min="4127" max="4127" width="9.140625" style="16"/>
    <col min="4128" max="4129" width="14.140625" style="16" customWidth="1"/>
    <col min="4130" max="4130" width="40.7109375" style="16" customWidth="1"/>
    <col min="4131" max="4131" width="13.5703125" style="16" customWidth="1"/>
    <col min="4132" max="4132" width="13.28515625" style="16" customWidth="1"/>
    <col min="4133" max="4133" width="13.85546875" style="16" customWidth="1"/>
    <col min="4134" max="4352" width="9.140625" style="16"/>
    <col min="4353" max="4354" width="14.140625" style="16" customWidth="1"/>
    <col min="4355" max="4355" width="40.7109375" style="16" customWidth="1"/>
    <col min="4356" max="4356" width="13.5703125" style="16" customWidth="1"/>
    <col min="4357" max="4357" width="13.28515625" style="16" customWidth="1"/>
    <col min="4358" max="4358" width="13.85546875" style="16" customWidth="1"/>
    <col min="4359" max="4382" width="0" style="16" hidden="1" customWidth="1"/>
    <col min="4383" max="4383" width="9.140625" style="16"/>
    <col min="4384" max="4385" width="14.140625" style="16" customWidth="1"/>
    <col min="4386" max="4386" width="40.7109375" style="16" customWidth="1"/>
    <col min="4387" max="4387" width="13.5703125" style="16" customWidth="1"/>
    <col min="4388" max="4388" width="13.28515625" style="16" customWidth="1"/>
    <col min="4389" max="4389" width="13.85546875" style="16" customWidth="1"/>
    <col min="4390" max="4608" width="9.140625" style="16"/>
    <col min="4609" max="4610" width="14.140625" style="16" customWidth="1"/>
    <col min="4611" max="4611" width="40.7109375" style="16" customWidth="1"/>
    <col min="4612" max="4612" width="13.5703125" style="16" customWidth="1"/>
    <col min="4613" max="4613" width="13.28515625" style="16" customWidth="1"/>
    <col min="4614" max="4614" width="13.85546875" style="16" customWidth="1"/>
    <col min="4615" max="4638" width="0" style="16" hidden="1" customWidth="1"/>
    <col min="4639" max="4639" width="9.140625" style="16"/>
    <col min="4640" max="4641" width="14.140625" style="16" customWidth="1"/>
    <col min="4642" max="4642" width="40.7109375" style="16" customWidth="1"/>
    <col min="4643" max="4643" width="13.5703125" style="16" customWidth="1"/>
    <col min="4644" max="4644" width="13.28515625" style="16" customWidth="1"/>
    <col min="4645" max="4645" width="13.85546875" style="16" customWidth="1"/>
    <col min="4646" max="4864" width="9.140625" style="16"/>
    <col min="4865" max="4866" width="14.140625" style="16" customWidth="1"/>
    <col min="4867" max="4867" width="40.7109375" style="16" customWidth="1"/>
    <col min="4868" max="4868" width="13.5703125" style="16" customWidth="1"/>
    <col min="4869" max="4869" width="13.28515625" style="16" customWidth="1"/>
    <col min="4870" max="4870" width="13.85546875" style="16" customWidth="1"/>
    <col min="4871" max="4894" width="0" style="16" hidden="1" customWidth="1"/>
    <col min="4895" max="4895" width="9.140625" style="16"/>
    <col min="4896" max="4897" width="14.140625" style="16" customWidth="1"/>
    <col min="4898" max="4898" width="40.7109375" style="16" customWidth="1"/>
    <col min="4899" max="4899" width="13.5703125" style="16" customWidth="1"/>
    <col min="4900" max="4900" width="13.28515625" style="16" customWidth="1"/>
    <col min="4901" max="4901" width="13.85546875" style="16" customWidth="1"/>
    <col min="4902" max="5120" width="9.140625" style="16"/>
    <col min="5121" max="5122" width="14.140625" style="16" customWidth="1"/>
    <col min="5123" max="5123" width="40.7109375" style="16" customWidth="1"/>
    <col min="5124" max="5124" width="13.5703125" style="16" customWidth="1"/>
    <col min="5125" max="5125" width="13.28515625" style="16" customWidth="1"/>
    <col min="5126" max="5126" width="13.85546875" style="16" customWidth="1"/>
    <col min="5127" max="5150" width="0" style="16" hidden="1" customWidth="1"/>
    <col min="5151" max="5151" width="9.140625" style="16"/>
    <col min="5152" max="5153" width="14.140625" style="16" customWidth="1"/>
    <col min="5154" max="5154" width="40.7109375" style="16" customWidth="1"/>
    <col min="5155" max="5155" width="13.5703125" style="16" customWidth="1"/>
    <col min="5156" max="5156" width="13.28515625" style="16" customWidth="1"/>
    <col min="5157" max="5157" width="13.85546875" style="16" customWidth="1"/>
    <col min="5158" max="5376" width="9.140625" style="16"/>
    <col min="5377" max="5378" width="14.140625" style="16" customWidth="1"/>
    <col min="5379" max="5379" width="40.7109375" style="16" customWidth="1"/>
    <col min="5380" max="5380" width="13.5703125" style="16" customWidth="1"/>
    <col min="5381" max="5381" width="13.28515625" style="16" customWidth="1"/>
    <col min="5382" max="5382" width="13.85546875" style="16" customWidth="1"/>
    <col min="5383" max="5406" width="0" style="16" hidden="1" customWidth="1"/>
    <col min="5407" max="5407" width="9.140625" style="16"/>
    <col min="5408" max="5409" width="14.140625" style="16" customWidth="1"/>
    <col min="5410" max="5410" width="40.7109375" style="16" customWidth="1"/>
    <col min="5411" max="5411" width="13.5703125" style="16" customWidth="1"/>
    <col min="5412" max="5412" width="13.28515625" style="16" customWidth="1"/>
    <col min="5413" max="5413" width="13.85546875" style="16" customWidth="1"/>
    <col min="5414" max="5632" width="9.140625" style="16"/>
    <col min="5633" max="5634" width="14.140625" style="16" customWidth="1"/>
    <col min="5635" max="5635" width="40.7109375" style="16" customWidth="1"/>
    <col min="5636" max="5636" width="13.5703125" style="16" customWidth="1"/>
    <col min="5637" max="5637" width="13.28515625" style="16" customWidth="1"/>
    <col min="5638" max="5638" width="13.85546875" style="16" customWidth="1"/>
    <col min="5639" max="5662" width="0" style="16" hidden="1" customWidth="1"/>
    <col min="5663" max="5663" width="9.140625" style="16"/>
    <col min="5664" max="5665" width="14.140625" style="16" customWidth="1"/>
    <col min="5666" max="5666" width="40.7109375" style="16" customWidth="1"/>
    <col min="5667" max="5667" width="13.5703125" style="16" customWidth="1"/>
    <col min="5668" max="5668" width="13.28515625" style="16" customWidth="1"/>
    <col min="5669" max="5669" width="13.85546875" style="16" customWidth="1"/>
    <col min="5670" max="5888" width="9.140625" style="16"/>
    <col min="5889" max="5890" width="14.140625" style="16" customWidth="1"/>
    <col min="5891" max="5891" width="40.7109375" style="16" customWidth="1"/>
    <col min="5892" max="5892" width="13.5703125" style="16" customWidth="1"/>
    <col min="5893" max="5893" width="13.28515625" style="16" customWidth="1"/>
    <col min="5894" max="5894" width="13.85546875" style="16" customWidth="1"/>
    <col min="5895" max="5918" width="0" style="16" hidden="1" customWidth="1"/>
    <col min="5919" max="5919" width="9.140625" style="16"/>
    <col min="5920" max="5921" width="14.140625" style="16" customWidth="1"/>
    <col min="5922" max="5922" width="40.7109375" style="16" customWidth="1"/>
    <col min="5923" max="5923" width="13.5703125" style="16" customWidth="1"/>
    <col min="5924" max="5924" width="13.28515625" style="16" customWidth="1"/>
    <col min="5925" max="5925" width="13.85546875" style="16" customWidth="1"/>
    <col min="5926" max="6144" width="9.140625" style="16"/>
    <col min="6145" max="6146" width="14.140625" style="16" customWidth="1"/>
    <col min="6147" max="6147" width="40.7109375" style="16" customWidth="1"/>
    <col min="6148" max="6148" width="13.5703125" style="16" customWidth="1"/>
    <col min="6149" max="6149" width="13.28515625" style="16" customWidth="1"/>
    <col min="6150" max="6150" width="13.85546875" style="16" customWidth="1"/>
    <col min="6151" max="6174" width="0" style="16" hidden="1" customWidth="1"/>
    <col min="6175" max="6175" width="9.140625" style="16"/>
    <col min="6176" max="6177" width="14.140625" style="16" customWidth="1"/>
    <col min="6178" max="6178" width="40.7109375" style="16" customWidth="1"/>
    <col min="6179" max="6179" width="13.5703125" style="16" customWidth="1"/>
    <col min="6180" max="6180" width="13.28515625" style="16" customWidth="1"/>
    <col min="6181" max="6181" width="13.85546875" style="16" customWidth="1"/>
    <col min="6182" max="6400" width="9.140625" style="16"/>
    <col min="6401" max="6402" width="14.140625" style="16" customWidth="1"/>
    <col min="6403" max="6403" width="40.7109375" style="16" customWidth="1"/>
    <col min="6404" max="6404" width="13.5703125" style="16" customWidth="1"/>
    <col min="6405" max="6405" width="13.28515625" style="16" customWidth="1"/>
    <col min="6406" max="6406" width="13.85546875" style="16" customWidth="1"/>
    <col min="6407" max="6430" width="0" style="16" hidden="1" customWidth="1"/>
    <col min="6431" max="6431" width="9.140625" style="16"/>
    <col min="6432" max="6433" width="14.140625" style="16" customWidth="1"/>
    <col min="6434" max="6434" width="40.7109375" style="16" customWidth="1"/>
    <col min="6435" max="6435" width="13.5703125" style="16" customWidth="1"/>
    <col min="6436" max="6436" width="13.28515625" style="16" customWidth="1"/>
    <col min="6437" max="6437" width="13.85546875" style="16" customWidth="1"/>
    <col min="6438" max="6656" width="9.140625" style="16"/>
    <col min="6657" max="6658" width="14.140625" style="16" customWidth="1"/>
    <col min="6659" max="6659" width="40.7109375" style="16" customWidth="1"/>
    <col min="6660" max="6660" width="13.5703125" style="16" customWidth="1"/>
    <col min="6661" max="6661" width="13.28515625" style="16" customWidth="1"/>
    <col min="6662" max="6662" width="13.85546875" style="16" customWidth="1"/>
    <col min="6663" max="6686" width="0" style="16" hidden="1" customWidth="1"/>
    <col min="6687" max="6687" width="9.140625" style="16"/>
    <col min="6688" max="6689" width="14.140625" style="16" customWidth="1"/>
    <col min="6690" max="6690" width="40.7109375" style="16" customWidth="1"/>
    <col min="6691" max="6691" width="13.5703125" style="16" customWidth="1"/>
    <col min="6692" max="6692" width="13.28515625" style="16" customWidth="1"/>
    <col min="6693" max="6693" width="13.85546875" style="16" customWidth="1"/>
    <col min="6694" max="6912" width="9.140625" style="16"/>
    <col min="6913" max="6914" width="14.140625" style="16" customWidth="1"/>
    <col min="6915" max="6915" width="40.7109375" style="16" customWidth="1"/>
    <col min="6916" max="6916" width="13.5703125" style="16" customWidth="1"/>
    <col min="6917" max="6917" width="13.28515625" style="16" customWidth="1"/>
    <col min="6918" max="6918" width="13.85546875" style="16" customWidth="1"/>
    <col min="6919" max="6942" width="0" style="16" hidden="1" customWidth="1"/>
    <col min="6943" max="6943" width="9.140625" style="16"/>
    <col min="6944" max="6945" width="14.140625" style="16" customWidth="1"/>
    <col min="6946" max="6946" width="40.7109375" style="16" customWidth="1"/>
    <col min="6947" max="6947" width="13.5703125" style="16" customWidth="1"/>
    <col min="6948" max="6948" width="13.28515625" style="16" customWidth="1"/>
    <col min="6949" max="6949" width="13.85546875" style="16" customWidth="1"/>
    <col min="6950" max="7168" width="9.140625" style="16"/>
    <col min="7169" max="7170" width="14.140625" style="16" customWidth="1"/>
    <col min="7171" max="7171" width="40.7109375" style="16" customWidth="1"/>
    <col min="7172" max="7172" width="13.5703125" style="16" customWidth="1"/>
    <col min="7173" max="7173" width="13.28515625" style="16" customWidth="1"/>
    <col min="7174" max="7174" width="13.85546875" style="16" customWidth="1"/>
    <col min="7175" max="7198" width="0" style="16" hidden="1" customWidth="1"/>
    <col min="7199" max="7199" width="9.140625" style="16"/>
    <col min="7200" max="7201" width="14.140625" style="16" customWidth="1"/>
    <col min="7202" max="7202" width="40.7109375" style="16" customWidth="1"/>
    <col min="7203" max="7203" width="13.5703125" style="16" customWidth="1"/>
    <col min="7204" max="7204" width="13.28515625" style="16" customWidth="1"/>
    <col min="7205" max="7205" width="13.85546875" style="16" customWidth="1"/>
    <col min="7206" max="7424" width="9.140625" style="16"/>
    <col min="7425" max="7426" width="14.140625" style="16" customWidth="1"/>
    <col min="7427" max="7427" width="40.7109375" style="16" customWidth="1"/>
    <col min="7428" max="7428" width="13.5703125" style="16" customWidth="1"/>
    <col min="7429" max="7429" width="13.28515625" style="16" customWidth="1"/>
    <col min="7430" max="7430" width="13.85546875" style="16" customWidth="1"/>
    <col min="7431" max="7454" width="0" style="16" hidden="1" customWidth="1"/>
    <col min="7455" max="7455" width="9.140625" style="16"/>
    <col min="7456" max="7457" width="14.140625" style="16" customWidth="1"/>
    <col min="7458" max="7458" width="40.7109375" style="16" customWidth="1"/>
    <col min="7459" max="7459" width="13.5703125" style="16" customWidth="1"/>
    <col min="7460" max="7460" width="13.28515625" style="16" customWidth="1"/>
    <col min="7461" max="7461" width="13.85546875" style="16" customWidth="1"/>
    <col min="7462" max="7680" width="9.140625" style="16"/>
    <col min="7681" max="7682" width="14.140625" style="16" customWidth="1"/>
    <col min="7683" max="7683" width="40.7109375" style="16" customWidth="1"/>
    <col min="7684" max="7684" width="13.5703125" style="16" customWidth="1"/>
    <col min="7685" max="7685" width="13.28515625" style="16" customWidth="1"/>
    <col min="7686" max="7686" width="13.85546875" style="16" customWidth="1"/>
    <col min="7687" max="7710" width="0" style="16" hidden="1" customWidth="1"/>
    <col min="7711" max="7711" width="9.140625" style="16"/>
    <col min="7712" max="7713" width="14.140625" style="16" customWidth="1"/>
    <col min="7714" max="7714" width="40.7109375" style="16" customWidth="1"/>
    <col min="7715" max="7715" width="13.5703125" style="16" customWidth="1"/>
    <col min="7716" max="7716" width="13.28515625" style="16" customWidth="1"/>
    <col min="7717" max="7717" width="13.85546875" style="16" customWidth="1"/>
    <col min="7718" max="7936" width="9.140625" style="16"/>
    <col min="7937" max="7938" width="14.140625" style="16" customWidth="1"/>
    <col min="7939" max="7939" width="40.7109375" style="16" customWidth="1"/>
    <col min="7940" max="7940" width="13.5703125" style="16" customWidth="1"/>
    <col min="7941" max="7941" width="13.28515625" style="16" customWidth="1"/>
    <col min="7942" max="7942" width="13.85546875" style="16" customWidth="1"/>
    <col min="7943" max="7966" width="0" style="16" hidden="1" customWidth="1"/>
    <col min="7967" max="7967" width="9.140625" style="16"/>
    <col min="7968" max="7969" width="14.140625" style="16" customWidth="1"/>
    <col min="7970" max="7970" width="40.7109375" style="16" customWidth="1"/>
    <col min="7971" max="7971" width="13.5703125" style="16" customWidth="1"/>
    <col min="7972" max="7972" width="13.28515625" style="16" customWidth="1"/>
    <col min="7973" max="7973" width="13.85546875" style="16" customWidth="1"/>
    <col min="7974" max="8192" width="9.140625" style="16"/>
    <col min="8193" max="8194" width="14.140625" style="16" customWidth="1"/>
    <col min="8195" max="8195" width="40.7109375" style="16" customWidth="1"/>
    <col min="8196" max="8196" width="13.5703125" style="16" customWidth="1"/>
    <col min="8197" max="8197" width="13.28515625" style="16" customWidth="1"/>
    <col min="8198" max="8198" width="13.85546875" style="16" customWidth="1"/>
    <col min="8199" max="8222" width="0" style="16" hidden="1" customWidth="1"/>
    <col min="8223" max="8223" width="9.140625" style="16"/>
    <col min="8224" max="8225" width="14.140625" style="16" customWidth="1"/>
    <col min="8226" max="8226" width="40.7109375" style="16" customWidth="1"/>
    <col min="8227" max="8227" width="13.5703125" style="16" customWidth="1"/>
    <col min="8228" max="8228" width="13.28515625" style="16" customWidth="1"/>
    <col min="8229" max="8229" width="13.85546875" style="16" customWidth="1"/>
    <col min="8230" max="8448" width="9.140625" style="16"/>
    <col min="8449" max="8450" width="14.140625" style="16" customWidth="1"/>
    <col min="8451" max="8451" width="40.7109375" style="16" customWidth="1"/>
    <col min="8452" max="8452" width="13.5703125" style="16" customWidth="1"/>
    <col min="8453" max="8453" width="13.28515625" style="16" customWidth="1"/>
    <col min="8454" max="8454" width="13.85546875" style="16" customWidth="1"/>
    <col min="8455" max="8478" width="0" style="16" hidden="1" customWidth="1"/>
    <col min="8479" max="8479" width="9.140625" style="16"/>
    <col min="8480" max="8481" width="14.140625" style="16" customWidth="1"/>
    <col min="8482" max="8482" width="40.7109375" style="16" customWidth="1"/>
    <col min="8483" max="8483" width="13.5703125" style="16" customWidth="1"/>
    <col min="8484" max="8484" width="13.28515625" style="16" customWidth="1"/>
    <col min="8485" max="8485" width="13.85546875" style="16" customWidth="1"/>
    <col min="8486" max="8704" width="9.140625" style="16"/>
    <col min="8705" max="8706" width="14.140625" style="16" customWidth="1"/>
    <col min="8707" max="8707" width="40.7109375" style="16" customWidth="1"/>
    <col min="8708" max="8708" width="13.5703125" style="16" customWidth="1"/>
    <col min="8709" max="8709" width="13.28515625" style="16" customWidth="1"/>
    <col min="8710" max="8710" width="13.85546875" style="16" customWidth="1"/>
    <col min="8711" max="8734" width="0" style="16" hidden="1" customWidth="1"/>
    <col min="8735" max="8735" width="9.140625" style="16"/>
    <col min="8736" max="8737" width="14.140625" style="16" customWidth="1"/>
    <col min="8738" max="8738" width="40.7109375" style="16" customWidth="1"/>
    <col min="8739" max="8739" width="13.5703125" style="16" customWidth="1"/>
    <col min="8740" max="8740" width="13.28515625" style="16" customWidth="1"/>
    <col min="8741" max="8741" width="13.85546875" style="16" customWidth="1"/>
    <col min="8742" max="8960" width="9.140625" style="16"/>
    <col min="8961" max="8962" width="14.140625" style="16" customWidth="1"/>
    <col min="8963" max="8963" width="40.7109375" style="16" customWidth="1"/>
    <col min="8964" max="8964" width="13.5703125" style="16" customWidth="1"/>
    <col min="8965" max="8965" width="13.28515625" style="16" customWidth="1"/>
    <col min="8966" max="8966" width="13.85546875" style="16" customWidth="1"/>
    <col min="8967" max="8990" width="0" style="16" hidden="1" customWidth="1"/>
    <col min="8991" max="8991" width="9.140625" style="16"/>
    <col min="8992" max="8993" width="14.140625" style="16" customWidth="1"/>
    <col min="8994" max="8994" width="40.7109375" style="16" customWidth="1"/>
    <col min="8995" max="8995" width="13.5703125" style="16" customWidth="1"/>
    <col min="8996" max="8996" width="13.28515625" style="16" customWidth="1"/>
    <col min="8997" max="8997" width="13.85546875" style="16" customWidth="1"/>
    <col min="8998" max="9216" width="9.140625" style="16"/>
    <col min="9217" max="9218" width="14.140625" style="16" customWidth="1"/>
    <col min="9219" max="9219" width="40.7109375" style="16" customWidth="1"/>
    <col min="9220" max="9220" width="13.5703125" style="16" customWidth="1"/>
    <col min="9221" max="9221" width="13.28515625" style="16" customWidth="1"/>
    <col min="9222" max="9222" width="13.85546875" style="16" customWidth="1"/>
    <col min="9223" max="9246" width="0" style="16" hidden="1" customWidth="1"/>
    <col min="9247" max="9247" width="9.140625" style="16"/>
    <col min="9248" max="9249" width="14.140625" style="16" customWidth="1"/>
    <col min="9250" max="9250" width="40.7109375" style="16" customWidth="1"/>
    <col min="9251" max="9251" width="13.5703125" style="16" customWidth="1"/>
    <col min="9252" max="9252" width="13.28515625" style="16" customWidth="1"/>
    <col min="9253" max="9253" width="13.85546875" style="16" customWidth="1"/>
    <col min="9254" max="9472" width="9.140625" style="16"/>
    <col min="9473" max="9474" width="14.140625" style="16" customWidth="1"/>
    <col min="9475" max="9475" width="40.7109375" style="16" customWidth="1"/>
    <col min="9476" max="9476" width="13.5703125" style="16" customWidth="1"/>
    <col min="9477" max="9477" width="13.28515625" style="16" customWidth="1"/>
    <col min="9478" max="9478" width="13.85546875" style="16" customWidth="1"/>
    <col min="9479" max="9502" width="0" style="16" hidden="1" customWidth="1"/>
    <col min="9503" max="9503" width="9.140625" style="16"/>
    <col min="9504" max="9505" width="14.140625" style="16" customWidth="1"/>
    <col min="9506" max="9506" width="40.7109375" style="16" customWidth="1"/>
    <col min="9507" max="9507" width="13.5703125" style="16" customWidth="1"/>
    <col min="9508" max="9508" width="13.28515625" style="16" customWidth="1"/>
    <col min="9509" max="9509" width="13.85546875" style="16" customWidth="1"/>
    <col min="9510" max="9728" width="9.140625" style="16"/>
    <col min="9729" max="9730" width="14.140625" style="16" customWidth="1"/>
    <col min="9731" max="9731" width="40.7109375" style="16" customWidth="1"/>
    <col min="9732" max="9732" width="13.5703125" style="16" customWidth="1"/>
    <col min="9733" max="9733" width="13.28515625" style="16" customWidth="1"/>
    <col min="9734" max="9734" width="13.85546875" style="16" customWidth="1"/>
    <col min="9735" max="9758" width="0" style="16" hidden="1" customWidth="1"/>
    <col min="9759" max="9759" width="9.140625" style="16"/>
    <col min="9760" max="9761" width="14.140625" style="16" customWidth="1"/>
    <col min="9762" max="9762" width="40.7109375" style="16" customWidth="1"/>
    <col min="9763" max="9763" width="13.5703125" style="16" customWidth="1"/>
    <col min="9764" max="9764" width="13.28515625" style="16" customWidth="1"/>
    <col min="9765" max="9765" width="13.85546875" style="16" customWidth="1"/>
    <col min="9766" max="9984" width="9.140625" style="16"/>
    <col min="9985" max="9986" width="14.140625" style="16" customWidth="1"/>
    <col min="9987" max="9987" width="40.7109375" style="16" customWidth="1"/>
    <col min="9988" max="9988" width="13.5703125" style="16" customWidth="1"/>
    <col min="9989" max="9989" width="13.28515625" style="16" customWidth="1"/>
    <col min="9990" max="9990" width="13.85546875" style="16" customWidth="1"/>
    <col min="9991" max="10014" width="0" style="16" hidden="1" customWidth="1"/>
    <col min="10015" max="10015" width="9.140625" style="16"/>
    <col min="10016" max="10017" width="14.140625" style="16" customWidth="1"/>
    <col min="10018" max="10018" width="40.7109375" style="16" customWidth="1"/>
    <col min="10019" max="10019" width="13.5703125" style="16" customWidth="1"/>
    <col min="10020" max="10020" width="13.28515625" style="16" customWidth="1"/>
    <col min="10021" max="10021" width="13.85546875" style="16" customWidth="1"/>
    <col min="10022" max="10240" width="9.140625" style="16"/>
    <col min="10241" max="10242" width="14.140625" style="16" customWidth="1"/>
    <col min="10243" max="10243" width="40.7109375" style="16" customWidth="1"/>
    <col min="10244" max="10244" width="13.5703125" style="16" customWidth="1"/>
    <col min="10245" max="10245" width="13.28515625" style="16" customWidth="1"/>
    <col min="10246" max="10246" width="13.85546875" style="16" customWidth="1"/>
    <col min="10247" max="10270" width="0" style="16" hidden="1" customWidth="1"/>
    <col min="10271" max="10271" width="9.140625" style="16"/>
    <col min="10272" max="10273" width="14.140625" style="16" customWidth="1"/>
    <col min="10274" max="10274" width="40.7109375" style="16" customWidth="1"/>
    <col min="10275" max="10275" width="13.5703125" style="16" customWidth="1"/>
    <col min="10276" max="10276" width="13.28515625" style="16" customWidth="1"/>
    <col min="10277" max="10277" width="13.85546875" style="16" customWidth="1"/>
    <col min="10278" max="10496" width="9.140625" style="16"/>
    <col min="10497" max="10498" width="14.140625" style="16" customWidth="1"/>
    <col min="10499" max="10499" width="40.7109375" style="16" customWidth="1"/>
    <col min="10500" max="10500" width="13.5703125" style="16" customWidth="1"/>
    <col min="10501" max="10501" width="13.28515625" style="16" customWidth="1"/>
    <col min="10502" max="10502" width="13.85546875" style="16" customWidth="1"/>
    <col min="10503" max="10526" width="0" style="16" hidden="1" customWidth="1"/>
    <col min="10527" max="10527" width="9.140625" style="16"/>
    <col min="10528" max="10529" width="14.140625" style="16" customWidth="1"/>
    <col min="10530" max="10530" width="40.7109375" style="16" customWidth="1"/>
    <col min="10531" max="10531" width="13.5703125" style="16" customWidth="1"/>
    <col min="10532" max="10532" width="13.28515625" style="16" customWidth="1"/>
    <col min="10533" max="10533" width="13.85546875" style="16" customWidth="1"/>
    <col min="10534" max="10752" width="9.140625" style="16"/>
    <col min="10753" max="10754" width="14.140625" style="16" customWidth="1"/>
    <col min="10755" max="10755" width="40.7109375" style="16" customWidth="1"/>
    <col min="10756" max="10756" width="13.5703125" style="16" customWidth="1"/>
    <col min="10757" max="10757" width="13.28515625" style="16" customWidth="1"/>
    <col min="10758" max="10758" width="13.85546875" style="16" customWidth="1"/>
    <col min="10759" max="10782" width="0" style="16" hidden="1" customWidth="1"/>
    <col min="10783" max="10783" width="9.140625" style="16"/>
    <col min="10784" max="10785" width="14.140625" style="16" customWidth="1"/>
    <col min="10786" max="10786" width="40.7109375" style="16" customWidth="1"/>
    <col min="10787" max="10787" width="13.5703125" style="16" customWidth="1"/>
    <col min="10788" max="10788" width="13.28515625" style="16" customWidth="1"/>
    <col min="10789" max="10789" width="13.85546875" style="16" customWidth="1"/>
    <col min="10790" max="11008" width="9.140625" style="16"/>
    <col min="11009" max="11010" width="14.140625" style="16" customWidth="1"/>
    <col min="11011" max="11011" width="40.7109375" style="16" customWidth="1"/>
    <col min="11012" max="11012" width="13.5703125" style="16" customWidth="1"/>
    <col min="11013" max="11013" width="13.28515625" style="16" customWidth="1"/>
    <col min="11014" max="11014" width="13.85546875" style="16" customWidth="1"/>
    <col min="11015" max="11038" width="0" style="16" hidden="1" customWidth="1"/>
    <col min="11039" max="11039" width="9.140625" style="16"/>
    <col min="11040" max="11041" width="14.140625" style="16" customWidth="1"/>
    <col min="11042" max="11042" width="40.7109375" style="16" customWidth="1"/>
    <col min="11043" max="11043" width="13.5703125" style="16" customWidth="1"/>
    <col min="11044" max="11044" width="13.28515625" style="16" customWidth="1"/>
    <col min="11045" max="11045" width="13.85546875" style="16" customWidth="1"/>
    <col min="11046" max="11264" width="9.140625" style="16"/>
    <col min="11265" max="11266" width="14.140625" style="16" customWidth="1"/>
    <col min="11267" max="11267" width="40.7109375" style="16" customWidth="1"/>
    <col min="11268" max="11268" width="13.5703125" style="16" customWidth="1"/>
    <col min="11269" max="11269" width="13.28515625" style="16" customWidth="1"/>
    <col min="11270" max="11270" width="13.85546875" style="16" customWidth="1"/>
    <col min="11271" max="11294" width="0" style="16" hidden="1" customWidth="1"/>
    <col min="11295" max="11295" width="9.140625" style="16"/>
    <col min="11296" max="11297" width="14.140625" style="16" customWidth="1"/>
    <col min="11298" max="11298" width="40.7109375" style="16" customWidth="1"/>
    <col min="11299" max="11299" width="13.5703125" style="16" customWidth="1"/>
    <col min="11300" max="11300" width="13.28515625" style="16" customWidth="1"/>
    <col min="11301" max="11301" width="13.85546875" style="16" customWidth="1"/>
    <col min="11302" max="11520" width="9.140625" style="16"/>
    <col min="11521" max="11522" width="14.140625" style="16" customWidth="1"/>
    <col min="11523" max="11523" width="40.7109375" style="16" customWidth="1"/>
    <col min="11524" max="11524" width="13.5703125" style="16" customWidth="1"/>
    <col min="11525" max="11525" width="13.28515625" style="16" customWidth="1"/>
    <col min="11526" max="11526" width="13.85546875" style="16" customWidth="1"/>
    <col min="11527" max="11550" width="0" style="16" hidden="1" customWidth="1"/>
    <col min="11551" max="11551" width="9.140625" style="16"/>
    <col min="11552" max="11553" width="14.140625" style="16" customWidth="1"/>
    <col min="11554" max="11554" width="40.7109375" style="16" customWidth="1"/>
    <col min="11555" max="11555" width="13.5703125" style="16" customWidth="1"/>
    <col min="11556" max="11556" width="13.28515625" style="16" customWidth="1"/>
    <col min="11557" max="11557" width="13.85546875" style="16" customWidth="1"/>
    <col min="11558" max="11776" width="9.140625" style="16"/>
    <col min="11777" max="11778" width="14.140625" style="16" customWidth="1"/>
    <col min="11779" max="11779" width="40.7109375" style="16" customWidth="1"/>
    <col min="11780" max="11780" width="13.5703125" style="16" customWidth="1"/>
    <col min="11781" max="11781" width="13.28515625" style="16" customWidth="1"/>
    <col min="11782" max="11782" width="13.85546875" style="16" customWidth="1"/>
    <col min="11783" max="11806" width="0" style="16" hidden="1" customWidth="1"/>
    <col min="11807" max="11807" width="9.140625" style="16"/>
    <col min="11808" max="11809" width="14.140625" style="16" customWidth="1"/>
    <col min="11810" max="11810" width="40.7109375" style="16" customWidth="1"/>
    <col min="11811" max="11811" width="13.5703125" style="16" customWidth="1"/>
    <col min="11812" max="11812" width="13.28515625" style="16" customWidth="1"/>
    <col min="11813" max="11813" width="13.85546875" style="16" customWidth="1"/>
    <col min="11814" max="12032" width="9.140625" style="16"/>
    <col min="12033" max="12034" width="14.140625" style="16" customWidth="1"/>
    <col min="12035" max="12035" width="40.7109375" style="16" customWidth="1"/>
    <col min="12036" max="12036" width="13.5703125" style="16" customWidth="1"/>
    <col min="12037" max="12037" width="13.28515625" style="16" customWidth="1"/>
    <col min="12038" max="12038" width="13.85546875" style="16" customWidth="1"/>
    <col min="12039" max="12062" width="0" style="16" hidden="1" customWidth="1"/>
    <col min="12063" max="12063" width="9.140625" style="16"/>
    <col min="12064" max="12065" width="14.140625" style="16" customWidth="1"/>
    <col min="12066" max="12066" width="40.7109375" style="16" customWidth="1"/>
    <col min="12067" max="12067" width="13.5703125" style="16" customWidth="1"/>
    <col min="12068" max="12068" width="13.28515625" style="16" customWidth="1"/>
    <col min="12069" max="12069" width="13.85546875" style="16" customWidth="1"/>
    <col min="12070" max="12288" width="9.140625" style="16"/>
    <col min="12289" max="12290" width="14.140625" style="16" customWidth="1"/>
    <col min="12291" max="12291" width="40.7109375" style="16" customWidth="1"/>
    <col min="12292" max="12292" width="13.5703125" style="16" customWidth="1"/>
    <col min="12293" max="12293" width="13.28515625" style="16" customWidth="1"/>
    <col min="12294" max="12294" width="13.85546875" style="16" customWidth="1"/>
    <col min="12295" max="12318" width="0" style="16" hidden="1" customWidth="1"/>
    <col min="12319" max="12319" width="9.140625" style="16"/>
    <col min="12320" max="12321" width="14.140625" style="16" customWidth="1"/>
    <col min="12322" max="12322" width="40.7109375" style="16" customWidth="1"/>
    <col min="12323" max="12323" width="13.5703125" style="16" customWidth="1"/>
    <col min="12324" max="12324" width="13.28515625" style="16" customWidth="1"/>
    <col min="12325" max="12325" width="13.85546875" style="16" customWidth="1"/>
    <col min="12326" max="12544" width="9.140625" style="16"/>
    <col min="12545" max="12546" width="14.140625" style="16" customWidth="1"/>
    <col min="12547" max="12547" width="40.7109375" style="16" customWidth="1"/>
    <col min="12548" max="12548" width="13.5703125" style="16" customWidth="1"/>
    <col min="12549" max="12549" width="13.28515625" style="16" customWidth="1"/>
    <col min="12550" max="12550" width="13.85546875" style="16" customWidth="1"/>
    <col min="12551" max="12574" width="0" style="16" hidden="1" customWidth="1"/>
    <col min="12575" max="12575" width="9.140625" style="16"/>
    <col min="12576" max="12577" width="14.140625" style="16" customWidth="1"/>
    <col min="12578" max="12578" width="40.7109375" style="16" customWidth="1"/>
    <col min="12579" max="12579" width="13.5703125" style="16" customWidth="1"/>
    <col min="12580" max="12580" width="13.28515625" style="16" customWidth="1"/>
    <col min="12581" max="12581" width="13.85546875" style="16" customWidth="1"/>
    <col min="12582" max="12800" width="9.140625" style="16"/>
    <col min="12801" max="12802" width="14.140625" style="16" customWidth="1"/>
    <col min="12803" max="12803" width="40.7109375" style="16" customWidth="1"/>
    <col min="12804" max="12804" width="13.5703125" style="16" customWidth="1"/>
    <col min="12805" max="12805" width="13.28515625" style="16" customWidth="1"/>
    <col min="12806" max="12806" width="13.85546875" style="16" customWidth="1"/>
    <col min="12807" max="12830" width="0" style="16" hidden="1" customWidth="1"/>
    <col min="12831" max="12831" width="9.140625" style="16"/>
    <col min="12832" max="12833" width="14.140625" style="16" customWidth="1"/>
    <col min="12834" max="12834" width="40.7109375" style="16" customWidth="1"/>
    <col min="12835" max="12835" width="13.5703125" style="16" customWidth="1"/>
    <col min="12836" max="12836" width="13.28515625" style="16" customWidth="1"/>
    <col min="12837" max="12837" width="13.85546875" style="16" customWidth="1"/>
    <col min="12838" max="13056" width="9.140625" style="16"/>
    <col min="13057" max="13058" width="14.140625" style="16" customWidth="1"/>
    <col min="13059" max="13059" width="40.7109375" style="16" customWidth="1"/>
    <col min="13060" max="13060" width="13.5703125" style="16" customWidth="1"/>
    <col min="13061" max="13061" width="13.28515625" style="16" customWidth="1"/>
    <col min="13062" max="13062" width="13.85546875" style="16" customWidth="1"/>
    <col min="13063" max="13086" width="0" style="16" hidden="1" customWidth="1"/>
    <col min="13087" max="13087" width="9.140625" style="16"/>
    <col min="13088" max="13089" width="14.140625" style="16" customWidth="1"/>
    <col min="13090" max="13090" width="40.7109375" style="16" customWidth="1"/>
    <col min="13091" max="13091" width="13.5703125" style="16" customWidth="1"/>
    <col min="13092" max="13092" width="13.28515625" style="16" customWidth="1"/>
    <col min="13093" max="13093" width="13.85546875" style="16" customWidth="1"/>
    <col min="13094" max="13312" width="9.140625" style="16"/>
    <col min="13313" max="13314" width="14.140625" style="16" customWidth="1"/>
    <col min="13315" max="13315" width="40.7109375" style="16" customWidth="1"/>
    <col min="13316" max="13316" width="13.5703125" style="16" customWidth="1"/>
    <col min="13317" max="13317" width="13.28515625" style="16" customWidth="1"/>
    <col min="13318" max="13318" width="13.85546875" style="16" customWidth="1"/>
    <col min="13319" max="13342" width="0" style="16" hidden="1" customWidth="1"/>
    <col min="13343" max="13343" width="9.140625" style="16"/>
    <col min="13344" max="13345" width="14.140625" style="16" customWidth="1"/>
    <col min="13346" max="13346" width="40.7109375" style="16" customWidth="1"/>
    <col min="13347" max="13347" width="13.5703125" style="16" customWidth="1"/>
    <col min="13348" max="13348" width="13.28515625" style="16" customWidth="1"/>
    <col min="13349" max="13349" width="13.85546875" style="16" customWidth="1"/>
    <col min="13350" max="13568" width="9.140625" style="16"/>
    <col min="13569" max="13570" width="14.140625" style="16" customWidth="1"/>
    <col min="13571" max="13571" width="40.7109375" style="16" customWidth="1"/>
    <col min="13572" max="13572" width="13.5703125" style="16" customWidth="1"/>
    <col min="13573" max="13573" width="13.28515625" style="16" customWidth="1"/>
    <col min="13574" max="13574" width="13.85546875" style="16" customWidth="1"/>
    <col min="13575" max="13598" width="0" style="16" hidden="1" customWidth="1"/>
    <col min="13599" max="13599" width="9.140625" style="16"/>
    <col min="13600" max="13601" width="14.140625" style="16" customWidth="1"/>
    <col min="13602" max="13602" width="40.7109375" style="16" customWidth="1"/>
    <col min="13603" max="13603" width="13.5703125" style="16" customWidth="1"/>
    <col min="13604" max="13604" width="13.28515625" style="16" customWidth="1"/>
    <col min="13605" max="13605" width="13.85546875" style="16" customWidth="1"/>
    <col min="13606" max="13824" width="9.140625" style="16"/>
    <col min="13825" max="13826" width="14.140625" style="16" customWidth="1"/>
    <col min="13827" max="13827" width="40.7109375" style="16" customWidth="1"/>
    <col min="13828" max="13828" width="13.5703125" style="16" customWidth="1"/>
    <col min="13829" max="13829" width="13.28515625" style="16" customWidth="1"/>
    <col min="13830" max="13830" width="13.85546875" style="16" customWidth="1"/>
    <col min="13831" max="13854" width="0" style="16" hidden="1" customWidth="1"/>
    <col min="13855" max="13855" width="9.140625" style="16"/>
    <col min="13856" max="13857" width="14.140625" style="16" customWidth="1"/>
    <col min="13858" max="13858" width="40.7109375" style="16" customWidth="1"/>
    <col min="13859" max="13859" width="13.5703125" style="16" customWidth="1"/>
    <col min="13860" max="13860" width="13.28515625" style="16" customWidth="1"/>
    <col min="13861" max="13861" width="13.85546875" style="16" customWidth="1"/>
    <col min="13862" max="14080" width="9.140625" style="16"/>
    <col min="14081" max="14082" width="14.140625" style="16" customWidth="1"/>
    <col min="14083" max="14083" width="40.7109375" style="16" customWidth="1"/>
    <col min="14084" max="14084" width="13.5703125" style="16" customWidth="1"/>
    <col min="14085" max="14085" width="13.28515625" style="16" customWidth="1"/>
    <col min="14086" max="14086" width="13.85546875" style="16" customWidth="1"/>
    <col min="14087" max="14110" width="0" style="16" hidden="1" customWidth="1"/>
    <col min="14111" max="14111" width="9.140625" style="16"/>
    <col min="14112" max="14113" width="14.140625" style="16" customWidth="1"/>
    <col min="14114" max="14114" width="40.7109375" style="16" customWidth="1"/>
    <col min="14115" max="14115" width="13.5703125" style="16" customWidth="1"/>
    <col min="14116" max="14116" width="13.28515625" style="16" customWidth="1"/>
    <col min="14117" max="14117" width="13.85546875" style="16" customWidth="1"/>
    <col min="14118" max="14336" width="9.140625" style="16"/>
    <col min="14337" max="14338" width="14.140625" style="16" customWidth="1"/>
    <col min="14339" max="14339" width="40.7109375" style="16" customWidth="1"/>
    <col min="14340" max="14340" width="13.5703125" style="16" customWidth="1"/>
    <col min="14341" max="14341" width="13.28515625" style="16" customWidth="1"/>
    <col min="14342" max="14342" width="13.85546875" style="16" customWidth="1"/>
    <col min="14343" max="14366" width="0" style="16" hidden="1" customWidth="1"/>
    <col min="14367" max="14367" width="9.140625" style="16"/>
    <col min="14368" max="14369" width="14.140625" style="16" customWidth="1"/>
    <col min="14370" max="14370" width="40.7109375" style="16" customWidth="1"/>
    <col min="14371" max="14371" width="13.5703125" style="16" customWidth="1"/>
    <col min="14372" max="14372" width="13.28515625" style="16" customWidth="1"/>
    <col min="14373" max="14373" width="13.85546875" style="16" customWidth="1"/>
    <col min="14374" max="14592" width="9.140625" style="16"/>
    <col min="14593" max="14594" width="14.140625" style="16" customWidth="1"/>
    <col min="14595" max="14595" width="40.7109375" style="16" customWidth="1"/>
    <col min="14596" max="14596" width="13.5703125" style="16" customWidth="1"/>
    <col min="14597" max="14597" width="13.28515625" style="16" customWidth="1"/>
    <col min="14598" max="14598" width="13.85546875" style="16" customWidth="1"/>
    <col min="14599" max="14622" width="0" style="16" hidden="1" customWidth="1"/>
    <col min="14623" max="14623" width="9.140625" style="16"/>
    <col min="14624" max="14625" width="14.140625" style="16" customWidth="1"/>
    <col min="14626" max="14626" width="40.7109375" style="16" customWidth="1"/>
    <col min="14627" max="14627" width="13.5703125" style="16" customWidth="1"/>
    <col min="14628" max="14628" width="13.28515625" style="16" customWidth="1"/>
    <col min="14629" max="14629" width="13.85546875" style="16" customWidth="1"/>
    <col min="14630" max="14848" width="9.140625" style="16"/>
    <col min="14849" max="14850" width="14.140625" style="16" customWidth="1"/>
    <col min="14851" max="14851" width="40.7109375" style="16" customWidth="1"/>
    <col min="14852" max="14852" width="13.5703125" style="16" customWidth="1"/>
    <col min="14853" max="14853" width="13.28515625" style="16" customWidth="1"/>
    <col min="14854" max="14854" width="13.85546875" style="16" customWidth="1"/>
    <col min="14855" max="14878" width="0" style="16" hidden="1" customWidth="1"/>
    <col min="14879" max="14879" width="9.140625" style="16"/>
    <col min="14880" max="14881" width="14.140625" style="16" customWidth="1"/>
    <col min="14882" max="14882" width="40.7109375" style="16" customWidth="1"/>
    <col min="14883" max="14883" width="13.5703125" style="16" customWidth="1"/>
    <col min="14884" max="14884" width="13.28515625" style="16" customWidth="1"/>
    <col min="14885" max="14885" width="13.85546875" style="16" customWidth="1"/>
    <col min="14886" max="15104" width="9.140625" style="16"/>
    <col min="15105" max="15106" width="14.140625" style="16" customWidth="1"/>
    <col min="15107" max="15107" width="40.7109375" style="16" customWidth="1"/>
    <col min="15108" max="15108" width="13.5703125" style="16" customWidth="1"/>
    <col min="15109" max="15109" width="13.28515625" style="16" customWidth="1"/>
    <col min="15110" max="15110" width="13.85546875" style="16" customWidth="1"/>
    <col min="15111" max="15134" width="0" style="16" hidden="1" customWidth="1"/>
    <col min="15135" max="15135" width="9.140625" style="16"/>
    <col min="15136" max="15137" width="14.140625" style="16" customWidth="1"/>
    <col min="15138" max="15138" width="40.7109375" style="16" customWidth="1"/>
    <col min="15139" max="15139" width="13.5703125" style="16" customWidth="1"/>
    <col min="15140" max="15140" width="13.28515625" style="16" customWidth="1"/>
    <col min="15141" max="15141" width="13.85546875" style="16" customWidth="1"/>
    <col min="15142" max="15360" width="9.140625" style="16"/>
    <col min="15361" max="15362" width="14.140625" style="16" customWidth="1"/>
    <col min="15363" max="15363" width="40.7109375" style="16" customWidth="1"/>
    <col min="15364" max="15364" width="13.5703125" style="16" customWidth="1"/>
    <col min="15365" max="15365" width="13.28515625" style="16" customWidth="1"/>
    <col min="15366" max="15366" width="13.85546875" style="16" customWidth="1"/>
    <col min="15367" max="15390" width="0" style="16" hidden="1" customWidth="1"/>
    <col min="15391" max="15391" width="9.140625" style="16"/>
    <col min="15392" max="15393" width="14.140625" style="16" customWidth="1"/>
    <col min="15394" max="15394" width="40.7109375" style="16" customWidth="1"/>
    <col min="15395" max="15395" width="13.5703125" style="16" customWidth="1"/>
    <col min="15396" max="15396" width="13.28515625" style="16" customWidth="1"/>
    <col min="15397" max="15397" width="13.85546875" style="16" customWidth="1"/>
    <col min="15398" max="15616" width="9.140625" style="16"/>
    <col min="15617" max="15618" width="14.140625" style="16" customWidth="1"/>
    <col min="15619" max="15619" width="40.7109375" style="16" customWidth="1"/>
    <col min="15620" max="15620" width="13.5703125" style="16" customWidth="1"/>
    <col min="15621" max="15621" width="13.28515625" style="16" customWidth="1"/>
    <col min="15622" max="15622" width="13.85546875" style="16" customWidth="1"/>
    <col min="15623" max="15646" width="0" style="16" hidden="1" customWidth="1"/>
    <col min="15647" max="15647" width="9.140625" style="16"/>
    <col min="15648" max="15649" width="14.140625" style="16" customWidth="1"/>
    <col min="15650" max="15650" width="40.7109375" style="16" customWidth="1"/>
    <col min="15651" max="15651" width="13.5703125" style="16" customWidth="1"/>
    <col min="15652" max="15652" width="13.28515625" style="16" customWidth="1"/>
    <col min="15653" max="15653" width="13.85546875" style="16" customWidth="1"/>
    <col min="15654" max="15872" width="9.140625" style="16"/>
    <col min="15873" max="15874" width="14.140625" style="16" customWidth="1"/>
    <col min="15875" max="15875" width="40.7109375" style="16" customWidth="1"/>
    <col min="15876" max="15876" width="13.5703125" style="16" customWidth="1"/>
    <col min="15877" max="15877" width="13.28515625" style="16" customWidth="1"/>
    <col min="15878" max="15878" width="13.85546875" style="16" customWidth="1"/>
    <col min="15879" max="15902" width="0" style="16" hidden="1" customWidth="1"/>
    <col min="15903" max="15903" width="9.140625" style="16"/>
    <col min="15904" max="15905" width="14.140625" style="16" customWidth="1"/>
    <col min="15906" max="15906" width="40.7109375" style="16" customWidth="1"/>
    <col min="15907" max="15907" width="13.5703125" style="16" customWidth="1"/>
    <col min="15908" max="15908" width="13.28515625" style="16" customWidth="1"/>
    <col min="15909" max="15909" width="13.85546875" style="16" customWidth="1"/>
    <col min="15910" max="16128" width="9.140625" style="16"/>
    <col min="16129" max="16130" width="14.140625" style="16" customWidth="1"/>
    <col min="16131" max="16131" width="40.7109375" style="16" customWidth="1"/>
    <col min="16132" max="16132" width="13.5703125" style="16" customWidth="1"/>
    <col min="16133" max="16133" width="13.28515625" style="16" customWidth="1"/>
    <col min="16134" max="16134" width="13.85546875" style="16" customWidth="1"/>
    <col min="16135" max="16158" width="0" style="16" hidden="1" customWidth="1"/>
    <col min="16159" max="16159" width="9.140625" style="16"/>
    <col min="16160" max="16161" width="14.140625" style="16" customWidth="1"/>
    <col min="16162" max="16162" width="40.7109375" style="16" customWidth="1"/>
    <col min="16163" max="16163" width="13.5703125" style="16" customWidth="1"/>
    <col min="16164" max="16164" width="13.28515625" style="16" customWidth="1"/>
    <col min="16165" max="16165" width="13.85546875" style="16" customWidth="1"/>
    <col min="16166" max="16384" width="9.140625" style="16"/>
  </cols>
  <sheetData>
    <row r="1" spans="1:50" ht="26.25">
      <c r="A1" s="2457" t="s">
        <v>2780</v>
      </c>
      <c r="B1" s="2457"/>
      <c r="C1" s="2457"/>
      <c r="D1" s="2457"/>
      <c r="E1" s="2457"/>
      <c r="F1" s="2457"/>
      <c r="G1" s="2457" t="s">
        <v>2781</v>
      </c>
      <c r="H1" s="2457"/>
      <c r="I1" s="2457"/>
      <c r="J1" s="2457"/>
      <c r="K1" s="2457"/>
      <c r="L1" s="2457"/>
      <c r="M1" s="2457" t="s">
        <v>2782</v>
      </c>
      <c r="N1" s="2457"/>
      <c r="O1" s="2457"/>
      <c r="P1" s="2457"/>
      <c r="Q1" s="2457"/>
      <c r="R1" s="2457"/>
      <c r="S1" s="2457" t="s">
        <v>2783</v>
      </c>
      <c r="T1" s="2457"/>
      <c r="U1" s="2457"/>
      <c r="V1" s="2457"/>
      <c r="W1" s="2457"/>
      <c r="X1" s="2457"/>
      <c r="Y1" s="2457" t="s">
        <v>2784</v>
      </c>
      <c r="Z1" s="2457"/>
      <c r="AA1" s="2457"/>
      <c r="AB1" s="2457"/>
      <c r="AC1" s="2457"/>
      <c r="AD1" s="2457"/>
      <c r="AF1" s="2457" t="s">
        <v>2780</v>
      </c>
      <c r="AG1" s="2457"/>
      <c r="AH1" s="2457"/>
      <c r="AI1" s="2457"/>
      <c r="AJ1" s="2457"/>
      <c r="AK1" s="2457"/>
      <c r="AS1" s="2457" t="s">
        <v>2780</v>
      </c>
      <c r="AT1" s="2457"/>
      <c r="AU1" s="2457"/>
      <c r="AV1" s="2457"/>
      <c r="AW1" s="2457"/>
      <c r="AX1" s="2457"/>
    </row>
    <row r="2" spans="1:50">
      <c r="A2" s="2467" t="s">
        <v>2785</v>
      </c>
      <c r="B2" s="2467" t="s">
        <v>2786</v>
      </c>
      <c r="C2" s="298" t="s">
        <v>2787</v>
      </c>
      <c r="D2" s="2458" t="s">
        <v>2788</v>
      </c>
      <c r="E2" s="2459"/>
      <c r="F2" s="2464" t="s">
        <v>2789</v>
      </c>
      <c r="G2" s="2467" t="s">
        <v>2785</v>
      </c>
      <c r="H2" s="2467" t="s">
        <v>2790</v>
      </c>
      <c r="I2" s="298" t="s">
        <v>2787</v>
      </c>
      <c r="J2" s="2458" t="s">
        <v>2791</v>
      </c>
      <c r="K2" s="2459"/>
      <c r="L2" s="2464" t="s">
        <v>2792</v>
      </c>
      <c r="M2" s="2467" t="s">
        <v>2785</v>
      </c>
      <c r="N2" s="2467" t="s">
        <v>2790</v>
      </c>
      <c r="O2" s="298" t="s">
        <v>2787</v>
      </c>
      <c r="P2" s="2458" t="s">
        <v>2791</v>
      </c>
      <c r="Q2" s="2459"/>
      <c r="R2" s="2464" t="s">
        <v>2792</v>
      </c>
      <c r="S2" s="2467" t="s">
        <v>2785</v>
      </c>
      <c r="T2" s="2467" t="s">
        <v>2790</v>
      </c>
      <c r="U2" s="298" t="s">
        <v>2787</v>
      </c>
      <c r="V2" s="2458" t="s">
        <v>2791</v>
      </c>
      <c r="W2" s="2459"/>
      <c r="X2" s="2464" t="s">
        <v>2792</v>
      </c>
      <c r="Y2" s="2467" t="s">
        <v>2785</v>
      </c>
      <c r="Z2" s="2467" t="s">
        <v>2790</v>
      </c>
      <c r="AA2" s="298" t="s">
        <v>2787</v>
      </c>
      <c r="AB2" s="2458" t="s">
        <v>2791</v>
      </c>
      <c r="AC2" s="2459"/>
      <c r="AD2" s="2464" t="s">
        <v>2792</v>
      </c>
      <c r="AF2" s="2467" t="s">
        <v>2785</v>
      </c>
      <c r="AG2" s="2467" t="s">
        <v>2786</v>
      </c>
      <c r="AH2" s="298" t="s">
        <v>2787</v>
      </c>
      <c r="AI2" s="2458" t="s">
        <v>2793</v>
      </c>
      <c r="AJ2" s="2459"/>
      <c r="AK2" s="2464" t="s">
        <v>2789</v>
      </c>
      <c r="AS2" s="2467" t="s">
        <v>2785</v>
      </c>
      <c r="AT2" s="2467" t="s">
        <v>2786</v>
      </c>
      <c r="AU2" s="298" t="s">
        <v>2787</v>
      </c>
      <c r="AV2" s="2458" t="s">
        <v>2788</v>
      </c>
      <c r="AW2" s="2459"/>
      <c r="AX2" s="2464" t="s">
        <v>2789</v>
      </c>
    </row>
    <row r="3" spans="1:50">
      <c r="A3" s="2468"/>
      <c r="B3" s="2468"/>
      <c r="C3" s="299" t="s">
        <v>2794</v>
      </c>
      <c r="D3" s="2460"/>
      <c r="E3" s="2461"/>
      <c r="F3" s="2465"/>
      <c r="G3" s="2468"/>
      <c r="H3" s="2468"/>
      <c r="I3" s="299" t="s">
        <v>2794</v>
      </c>
      <c r="J3" s="2460"/>
      <c r="K3" s="2461"/>
      <c r="L3" s="2465"/>
      <c r="M3" s="2468"/>
      <c r="N3" s="2468"/>
      <c r="O3" s="299" t="s">
        <v>2794</v>
      </c>
      <c r="P3" s="2460"/>
      <c r="Q3" s="2461"/>
      <c r="R3" s="2465"/>
      <c r="S3" s="2468"/>
      <c r="T3" s="2468"/>
      <c r="U3" s="299" t="s">
        <v>2794</v>
      </c>
      <c r="V3" s="2460"/>
      <c r="W3" s="2461"/>
      <c r="X3" s="2465"/>
      <c r="Y3" s="2468"/>
      <c r="Z3" s="2468"/>
      <c r="AA3" s="299" t="s">
        <v>2794</v>
      </c>
      <c r="AB3" s="2460"/>
      <c r="AC3" s="2461"/>
      <c r="AD3" s="2465"/>
      <c r="AF3" s="2468"/>
      <c r="AG3" s="2468"/>
      <c r="AH3" s="299" t="s">
        <v>2794</v>
      </c>
      <c r="AI3" s="2460"/>
      <c r="AJ3" s="2461"/>
      <c r="AK3" s="2465"/>
      <c r="AS3" s="2468"/>
      <c r="AT3" s="2468"/>
      <c r="AU3" s="299" t="s">
        <v>2794</v>
      </c>
      <c r="AV3" s="2460"/>
      <c r="AW3" s="2461"/>
      <c r="AX3" s="2465"/>
    </row>
    <row r="4" spans="1:50">
      <c r="A4" s="2468"/>
      <c r="B4" s="2468"/>
      <c r="C4" s="299" t="s">
        <v>2795</v>
      </c>
      <c r="D4" s="2460"/>
      <c r="E4" s="2461"/>
      <c r="F4" s="2465"/>
      <c r="G4" s="2468"/>
      <c r="H4" s="2468"/>
      <c r="I4" s="299" t="s">
        <v>2795</v>
      </c>
      <c r="J4" s="2460"/>
      <c r="K4" s="2461"/>
      <c r="L4" s="2465"/>
      <c r="M4" s="2468"/>
      <c r="N4" s="2468"/>
      <c r="O4" s="299" t="s">
        <v>2795</v>
      </c>
      <c r="P4" s="2460"/>
      <c r="Q4" s="2461"/>
      <c r="R4" s="2465"/>
      <c r="S4" s="2468"/>
      <c r="T4" s="2468"/>
      <c r="U4" s="299" t="s">
        <v>2795</v>
      </c>
      <c r="V4" s="2460"/>
      <c r="W4" s="2461"/>
      <c r="X4" s="2465"/>
      <c r="Y4" s="2468"/>
      <c r="Z4" s="2468"/>
      <c r="AA4" s="299" t="s">
        <v>2795</v>
      </c>
      <c r="AB4" s="2460"/>
      <c r="AC4" s="2461"/>
      <c r="AD4" s="2465"/>
      <c r="AF4" s="2468"/>
      <c r="AG4" s="2468"/>
      <c r="AH4" s="299" t="s">
        <v>2795</v>
      </c>
      <c r="AI4" s="2460"/>
      <c r="AJ4" s="2461"/>
      <c r="AK4" s="2465"/>
      <c r="AS4" s="2468"/>
      <c r="AT4" s="2468"/>
      <c r="AU4" s="299" t="s">
        <v>2795</v>
      </c>
      <c r="AV4" s="2460"/>
      <c r="AW4" s="2461"/>
      <c r="AX4" s="2465"/>
    </row>
    <row r="5" spans="1:50">
      <c r="A5" s="2468"/>
      <c r="B5" s="2468"/>
      <c r="C5" s="299" t="s">
        <v>2796</v>
      </c>
      <c r="D5" s="2460"/>
      <c r="E5" s="2461"/>
      <c r="F5" s="2465"/>
      <c r="G5" s="2468"/>
      <c r="H5" s="2468"/>
      <c r="I5" s="299" t="s">
        <v>2796</v>
      </c>
      <c r="J5" s="2460"/>
      <c r="K5" s="2461"/>
      <c r="L5" s="2465"/>
      <c r="M5" s="2468"/>
      <c r="N5" s="2468"/>
      <c r="O5" s="299" t="s">
        <v>2796</v>
      </c>
      <c r="P5" s="2460"/>
      <c r="Q5" s="2461"/>
      <c r="R5" s="2465"/>
      <c r="S5" s="2468"/>
      <c r="T5" s="2468"/>
      <c r="U5" s="299" t="s">
        <v>2796</v>
      </c>
      <c r="V5" s="2460"/>
      <c r="W5" s="2461"/>
      <c r="X5" s="2465"/>
      <c r="Y5" s="2468"/>
      <c r="Z5" s="2468"/>
      <c r="AA5" s="299" t="s">
        <v>2796</v>
      </c>
      <c r="AB5" s="2460"/>
      <c r="AC5" s="2461"/>
      <c r="AD5" s="2465"/>
      <c r="AF5" s="2468"/>
      <c r="AG5" s="2468"/>
      <c r="AH5" s="299" t="s">
        <v>2796</v>
      </c>
      <c r="AI5" s="2460"/>
      <c r="AJ5" s="2461"/>
      <c r="AK5" s="2465"/>
      <c r="AS5" s="2468"/>
      <c r="AT5" s="2468"/>
      <c r="AU5" s="299" t="s">
        <v>2796</v>
      </c>
      <c r="AV5" s="2460"/>
      <c r="AW5" s="2461"/>
      <c r="AX5" s="2465"/>
    </row>
    <row r="6" spans="1:50">
      <c r="A6" s="2468"/>
      <c r="B6" s="2468"/>
      <c r="C6" s="299" t="s">
        <v>2797</v>
      </c>
      <c r="D6" s="2460"/>
      <c r="E6" s="2461"/>
      <c r="F6" s="2465"/>
      <c r="G6" s="2468"/>
      <c r="H6" s="2468"/>
      <c r="I6" s="299" t="s">
        <v>2797</v>
      </c>
      <c r="J6" s="2460"/>
      <c r="K6" s="2461"/>
      <c r="L6" s="2465"/>
      <c r="M6" s="2468"/>
      <c r="N6" s="2468"/>
      <c r="O6" s="299" t="s">
        <v>2797</v>
      </c>
      <c r="P6" s="2460"/>
      <c r="Q6" s="2461"/>
      <c r="R6" s="2465"/>
      <c r="S6" s="2468"/>
      <c r="T6" s="2468"/>
      <c r="U6" s="299" t="s">
        <v>2797</v>
      </c>
      <c r="V6" s="2460"/>
      <c r="W6" s="2461"/>
      <c r="X6" s="2465"/>
      <c r="Y6" s="2468"/>
      <c r="Z6" s="2468"/>
      <c r="AA6" s="299" t="s">
        <v>2797</v>
      </c>
      <c r="AB6" s="2460"/>
      <c r="AC6" s="2461"/>
      <c r="AD6" s="2465"/>
      <c r="AF6" s="2468"/>
      <c r="AG6" s="2468"/>
      <c r="AH6" s="299" t="s">
        <v>2797</v>
      </c>
      <c r="AI6" s="2460"/>
      <c r="AJ6" s="2461"/>
      <c r="AK6" s="2465"/>
      <c r="AS6" s="2468"/>
      <c r="AT6" s="2468"/>
      <c r="AU6" s="299" t="s">
        <v>2797</v>
      </c>
      <c r="AV6" s="2460"/>
      <c r="AW6" s="2461"/>
      <c r="AX6" s="2465"/>
    </row>
    <row r="7" spans="1:50">
      <c r="A7" s="2468"/>
      <c r="B7" s="2468"/>
      <c r="C7" s="299" t="s">
        <v>2798</v>
      </c>
      <c r="D7" s="2460"/>
      <c r="E7" s="2461"/>
      <c r="F7" s="2465"/>
      <c r="G7" s="2468"/>
      <c r="H7" s="2468"/>
      <c r="I7" s="299" t="s">
        <v>2798</v>
      </c>
      <c r="J7" s="2460"/>
      <c r="K7" s="2461"/>
      <c r="L7" s="2465"/>
      <c r="M7" s="2468"/>
      <c r="N7" s="2468"/>
      <c r="O7" s="299" t="s">
        <v>2798</v>
      </c>
      <c r="P7" s="2460"/>
      <c r="Q7" s="2461"/>
      <c r="R7" s="2465"/>
      <c r="S7" s="2468"/>
      <c r="T7" s="2468"/>
      <c r="U7" s="299" t="s">
        <v>2798</v>
      </c>
      <c r="V7" s="2460"/>
      <c r="W7" s="2461"/>
      <c r="X7" s="2465"/>
      <c r="Y7" s="2468"/>
      <c r="Z7" s="2468"/>
      <c r="AA7" s="299" t="s">
        <v>2798</v>
      </c>
      <c r="AB7" s="2460"/>
      <c r="AC7" s="2461"/>
      <c r="AD7" s="2465"/>
      <c r="AF7" s="2468"/>
      <c r="AG7" s="2468"/>
      <c r="AH7" s="299" t="s">
        <v>2798</v>
      </c>
      <c r="AI7" s="2460"/>
      <c r="AJ7" s="2461"/>
      <c r="AK7" s="2465"/>
      <c r="AS7" s="2468"/>
      <c r="AT7" s="2468"/>
      <c r="AU7" s="299" t="s">
        <v>2798</v>
      </c>
      <c r="AV7" s="2460"/>
      <c r="AW7" s="2461"/>
      <c r="AX7" s="2465"/>
    </row>
    <row r="8" spans="1:50">
      <c r="A8" s="2468"/>
      <c r="B8" s="2468"/>
      <c r="C8" s="299" t="s">
        <v>2799</v>
      </c>
      <c r="D8" s="2460"/>
      <c r="E8" s="2461"/>
      <c r="F8" s="2465"/>
      <c r="G8" s="2468"/>
      <c r="H8" s="2468"/>
      <c r="I8" s="299" t="s">
        <v>2799</v>
      </c>
      <c r="J8" s="2460"/>
      <c r="K8" s="2461"/>
      <c r="L8" s="2465"/>
      <c r="M8" s="2468"/>
      <c r="N8" s="2468"/>
      <c r="O8" s="299" t="s">
        <v>2799</v>
      </c>
      <c r="P8" s="2460"/>
      <c r="Q8" s="2461"/>
      <c r="R8" s="2465"/>
      <c r="S8" s="2468"/>
      <c r="T8" s="2468"/>
      <c r="U8" s="299" t="s">
        <v>2799</v>
      </c>
      <c r="V8" s="2460"/>
      <c r="W8" s="2461"/>
      <c r="X8" s="2465"/>
      <c r="Y8" s="2468"/>
      <c r="Z8" s="2468"/>
      <c r="AA8" s="299" t="s">
        <v>2799</v>
      </c>
      <c r="AB8" s="2460"/>
      <c r="AC8" s="2461"/>
      <c r="AD8" s="2465"/>
      <c r="AF8" s="2468"/>
      <c r="AG8" s="2468"/>
      <c r="AH8" s="299" t="s">
        <v>2799</v>
      </c>
      <c r="AI8" s="2460"/>
      <c r="AJ8" s="2461"/>
      <c r="AK8" s="2465"/>
      <c r="AS8" s="2468"/>
      <c r="AT8" s="2468"/>
      <c r="AU8" s="299" t="s">
        <v>2799</v>
      </c>
      <c r="AV8" s="2460"/>
      <c r="AW8" s="2461"/>
      <c r="AX8" s="2465"/>
    </row>
    <row r="9" spans="1:50">
      <c r="A9" s="2468"/>
      <c r="B9" s="2468"/>
      <c r="C9" s="299" t="s">
        <v>2800</v>
      </c>
      <c r="D9" s="2460"/>
      <c r="E9" s="2461"/>
      <c r="F9" s="2465"/>
      <c r="G9" s="2468"/>
      <c r="H9" s="2468"/>
      <c r="I9" s="299" t="s">
        <v>2800</v>
      </c>
      <c r="J9" s="2460"/>
      <c r="K9" s="2461"/>
      <c r="L9" s="2465"/>
      <c r="M9" s="2468"/>
      <c r="N9" s="2468"/>
      <c r="O9" s="299" t="s">
        <v>2800</v>
      </c>
      <c r="P9" s="2460"/>
      <c r="Q9" s="2461"/>
      <c r="R9" s="2465"/>
      <c r="S9" s="2468"/>
      <c r="T9" s="2468"/>
      <c r="U9" s="299" t="s">
        <v>2800</v>
      </c>
      <c r="V9" s="2460"/>
      <c r="W9" s="2461"/>
      <c r="X9" s="2465"/>
      <c r="Y9" s="2468"/>
      <c r="Z9" s="2468"/>
      <c r="AA9" s="299" t="s">
        <v>2800</v>
      </c>
      <c r="AB9" s="2460"/>
      <c r="AC9" s="2461"/>
      <c r="AD9" s="2465"/>
      <c r="AF9" s="2468"/>
      <c r="AG9" s="2468"/>
      <c r="AH9" s="299" t="s">
        <v>2800</v>
      </c>
      <c r="AI9" s="2460"/>
      <c r="AJ9" s="2461"/>
      <c r="AK9" s="2465"/>
      <c r="AS9" s="2468"/>
      <c r="AT9" s="2468"/>
      <c r="AU9" s="299" t="s">
        <v>2800</v>
      </c>
      <c r="AV9" s="2460"/>
      <c r="AW9" s="2461"/>
      <c r="AX9" s="2465"/>
    </row>
    <row r="10" spans="1:50">
      <c r="A10" s="2468"/>
      <c r="B10" s="2468"/>
      <c r="C10" s="299" t="s">
        <v>2801</v>
      </c>
      <c r="D10" s="2460"/>
      <c r="E10" s="2461"/>
      <c r="F10" s="2465"/>
      <c r="G10" s="2468"/>
      <c r="H10" s="2468"/>
      <c r="I10" s="299" t="s">
        <v>2802</v>
      </c>
      <c r="J10" s="2460"/>
      <c r="K10" s="2461"/>
      <c r="L10" s="2465"/>
      <c r="M10" s="2468"/>
      <c r="N10" s="2468"/>
      <c r="O10" s="299" t="s">
        <v>2802</v>
      </c>
      <c r="P10" s="2460"/>
      <c r="Q10" s="2461"/>
      <c r="R10" s="2465"/>
      <c r="S10" s="2468"/>
      <c r="T10" s="2468"/>
      <c r="U10" s="299" t="s">
        <v>2802</v>
      </c>
      <c r="V10" s="2460"/>
      <c r="W10" s="2461"/>
      <c r="X10" s="2465"/>
      <c r="Y10" s="2468"/>
      <c r="Z10" s="2468"/>
      <c r="AA10" s="299" t="s">
        <v>2802</v>
      </c>
      <c r="AB10" s="2460"/>
      <c r="AC10" s="2461"/>
      <c r="AD10" s="2465"/>
      <c r="AF10" s="2468"/>
      <c r="AG10" s="2468"/>
      <c r="AH10" s="299" t="s">
        <v>2801</v>
      </c>
      <c r="AI10" s="2460"/>
      <c r="AJ10" s="2461"/>
      <c r="AK10" s="2465"/>
      <c r="AS10" s="2468"/>
      <c r="AT10" s="2468"/>
      <c r="AU10" s="299" t="s">
        <v>2801</v>
      </c>
      <c r="AV10" s="2460"/>
      <c r="AW10" s="2461"/>
      <c r="AX10" s="2465"/>
    </row>
    <row r="11" spans="1:50">
      <c r="A11" s="2468"/>
      <c r="B11" s="2468"/>
      <c r="C11" s="299" t="s">
        <v>2803</v>
      </c>
      <c r="D11" s="2460"/>
      <c r="E11" s="2461"/>
      <c r="F11" s="2465"/>
      <c r="G11" s="2468"/>
      <c r="H11" s="2468"/>
      <c r="I11" s="299" t="s">
        <v>2803</v>
      </c>
      <c r="J11" s="2460"/>
      <c r="K11" s="2461"/>
      <c r="L11" s="2465"/>
      <c r="M11" s="2468"/>
      <c r="N11" s="2468"/>
      <c r="O11" s="299" t="s">
        <v>2803</v>
      </c>
      <c r="P11" s="2460"/>
      <c r="Q11" s="2461"/>
      <c r="R11" s="2465"/>
      <c r="S11" s="2468"/>
      <c r="T11" s="2468"/>
      <c r="U11" s="299" t="s">
        <v>2803</v>
      </c>
      <c r="V11" s="2460"/>
      <c r="W11" s="2461"/>
      <c r="X11" s="2465"/>
      <c r="Y11" s="2468"/>
      <c r="Z11" s="2468"/>
      <c r="AA11" s="299" t="s">
        <v>2803</v>
      </c>
      <c r="AB11" s="2460"/>
      <c r="AC11" s="2461"/>
      <c r="AD11" s="2465"/>
      <c r="AF11" s="2468"/>
      <c r="AG11" s="2468"/>
      <c r="AH11" s="299" t="s">
        <v>2803</v>
      </c>
      <c r="AI11" s="2460"/>
      <c r="AJ11" s="2461"/>
      <c r="AK11" s="2465"/>
      <c r="AS11" s="2468"/>
      <c r="AT11" s="2468"/>
      <c r="AU11" s="299" t="s">
        <v>2803</v>
      </c>
      <c r="AV11" s="2460"/>
      <c r="AW11" s="2461"/>
      <c r="AX11" s="2465"/>
    </row>
    <row r="12" spans="1:50">
      <c r="A12" s="2469"/>
      <c r="B12" s="2469"/>
      <c r="C12" s="300" t="s">
        <v>2804</v>
      </c>
      <c r="D12" s="2462"/>
      <c r="E12" s="2463"/>
      <c r="F12" s="2466"/>
      <c r="G12" s="2469"/>
      <c r="H12" s="2469"/>
      <c r="I12" s="300" t="s">
        <v>2804</v>
      </c>
      <c r="J12" s="2462"/>
      <c r="K12" s="2463"/>
      <c r="L12" s="2466"/>
      <c r="M12" s="2469"/>
      <c r="N12" s="2469"/>
      <c r="O12" s="300" t="s">
        <v>2804</v>
      </c>
      <c r="P12" s="2462"/>
      <c r="Q12" s="2463"/>
      <c r="R12" s="2466"/>
      <c r="S12" s="2469"/>
      <c r="T12" s="2469"/>
      <c r="U12" s="300" t="s">
        <v>2804</v>
      </c>
      <c r="V12" s="2462"/>
      <c r="W12" s="2463"/>
      <c r="X12" s="2466"/>
      <c r="Y12" s="2469"/>
      <c r="Z12" s="2469"/>
      <c r="AA12" s="300" t="s">
        <v>2804</v>
      </c>
      <c r="AB12" s="2462"/>
      <c r="AC12" s="2463"/>
      <c r="AD12" s="2466"/>
      <c r="AF12" s="2469"/>
      <c r="AG12" s="2469"/>
      <c r="AH12" s="300" t="s">
        <v>2804</v>
      </c>
      <c r="AI12" s="2462"/>
      <c r="AJ12" s="2463"/>
      <c r="AK12" s="2466"/>
      <c r="AS12" s="2469"/>
      <c r="AT12" s="2469"/>
      <c r="AU12" s="300" t="s">
        <v>2804</v>
      </c>
      <c r="AV12" s="2462"/>
      <c r="AW12" s="2463"/>
      <c r="AX12" s="2466"/>
    </row>
    <row r="13" spans="1:50">
      <c r="A13" s="301"/>
      <c r="B13" s="302"/>
      <c r="C13" s="301"/>
      <c r="D13" s="2470" t="s">
        <v>2805</v>
      </c>
      <c r="E13" s="2470" t="s">
        <v>2806</v>
      </c>
      <c r="F13" s="301"/>
      <c r="G13" s="301"/>
      <c r="H13" s="302"/>
      <c r="I13" s="301"/>
      <c r="J13" s="2470" t="s">
        <v>2805</v>
      </c>
      <c r="K13" s="2470" t="s">
        <v>2806</v>
      </c>
      <c r="L13" s="301"/>
      <c r="M13" s="301"/>
      <c r="N13" s="302"/>
      <c r="O13" s="301"/>
      <c r="P13" s="2470" t="s">
        <v>2805</v>
      </c>
      <c r="Q13" s="2470" t="s">
        <v>2806</v>
      </c>
      <c r="R13" s="301"/>
      <c r="S13" s="301"/>
      <c r="T13" s="302"/>
      <c r="U13" s="301"/>
      <c r="V13" s="2470" t="s">
        <v>2805</v>
      </c>
      <c r="W13" s="2470" t="s">
        <v>2806</v>
      </c>
      <c r="X13" s="301"/>
      <c r="Y13" s="301"/>
      <c r="Z13" s="302"/>
      <c r="AA13" s="301"/>
      <c r="AB13" s="2470" t="s">
        <v>2805</v>
      </c>
      <c r="AC13" s="2470" t="s">
        <v>2806</v>
      </c>
      <c r="AD13" s="301"/>
      <c r="AF13" s="301"/>
      <c r="AG13" s="302"/>
      <c r="AH13" s="301"/>
      <c r="AI13" s="2470" t="s">
        <v>2805</v>
      </c>
      <c r="AJ13" s="2470" t="s">
        <v>2806</v>
      </c>
      <c r="AK13" s="301"/>
      <c r="AS13" s="301"/>
      <c r="AT13" s="302"/>
      <c r="AU13" s="301"/>
      <c r="AV13" s="2470" t="s">
        <v>2805</v>
      </c>
      <c r="AW13" s="2470" t="s">
        <v>2806</v>
      </c>
      <c r="AX13" s="301"/>
    </row>
    <row r="14" spans="1:50">
      <c r="A14" s="303"/>
      <c r="B14" s="304"/>
      <c r="C14" s="303"/>
      <c r="D14" s="2470"/>
      <c r="E14" s="2470"/>
      <c r="F14" s="303"/>
      <c r="G14" s="303"/>
      <c r="H14" s="304"/>
      <c r="I14" s="303"/>
      <c r="J14" s="2470"/>
      <c r="K14" s="2470"/>
      <c r="L14" s="303"/>
      <c r="M14" s="303"/>
      <c r="N14" s="304"/>
      <c r="O14" s="303"/>
      <c r="P14" s="2470"/>
      <c r="Q14" s="2470"/>
      <c r="R14" s="303"/>
      <c r="S14" s="303"/>
      <c r="T14" s="304"/>
      <c r="U14" s="303"/>
      <c r="V14" s="2470"/>
      <c r="W14" s="2470"/>
      <c r="X14" s="303"/>
      <c r="Y14" s="303"/>
      <c r="Z14" s="304"/>
      <c r="AA14" s="303"/>
      <c r="AB14" s="2470"/>
      <c r="AC14" s="2470"/>
      <c r="AD14" s="303"/>
      <c r="AF14" s="303"/>
      <c r="AG14" s="304"/>
      <c r="AH14" s="303"/>
      <c r="AI14" s="2470"/>
      <c r="AJ14" s="2470"/>
      <c r="AK14" s="303"/>
      <c r="AS14" s="303"/>
      <c r="AT14" s="304"/>
      <c r="AU14" s="303"/>
      <c r="AV14" s="2470"/>
      <c r="AW14" s="2470"/>
      <c r="AX14" s="303"/>
    </row>
    <row r="15" spans="1:50" ht="15.75">
      <c r="A15" s="305">
        <v>1</v>
      </c>
      <c r="B15" s="305">
        <v>2</v>
      </c>
      <c r="C15" s="305">
        <v>3</v>
      </c>
      <c r="D15" s="305">
        <v>4</v>
      </c>
      <c r="E15" s="305">
        <v>5</v>
      </c>
      <c r="F15" s="305">
        <v>6</v>
      </c>
      <c r="G15" s="305">
        <v>1</v>
      </c>
      <c r="H15" s="305">
        <v>2</v>
      </c>
      <c r="I15" s="305">
        <v>3</v>
      </c>
      <c r="J15" s="305">
        <v>4</v>
      </c>
      <c r="K15" s="305">
        <v>5</v>
      </c>
      <c r="L15" s="305">
        <v>6</v>
      </c>
      <c r="M15" s="305">
        <v>1</v>
      </c>
      <c r="N15" s="305">
        <v>2</v>
      </c>
      <c r="O15" s="305">
        <v>3</v>
      </c>
      <c r="P15" s="305">
        <v>4</v>
      </c>
      <c r="Q15" s="305">
        <v>5</v>
      </c>
      <c r="R15" s="305">
        <v>6</v>
      </c>
      <c r="S15" s="305">
        <v>1</v>
      </c>
      <c r="T15" s="305">
        <v>2</v>
      </c>
      <c r="U15" s="305">
        <v>3</v>
      </c>
      <c r="V15" s="305">
        <v>4</v>
      </c>
      <c r="W15" s="305">
        <v>5</v>
      </c>
      <c r="X15" s="305">
        <v>6</v>
      </c>
      <c r="Y15" s="305">
        <v>1</v>
      </c>
      <c r="Z15" s="305">
        <v>2</v>
      </c>
      <c r="AA15" s="305">
        <v>3</v>
      </c>
      <c r="AB15" s="305">
        <v>4</v>
      </c>
      <c r="AC15" s="305">
        <v>5</v>
      </c>
      <c r="AD15" s="305">
        <v>6</v>
      </c>
      <c r="AF15" s="305">
        <v>1</v>
      </c>
      <c r="AG15" s="305">
        <v>2</v>
      </c>
      <c r="AH15" s="305">
        <v>3</v>
      </c>
      <c r="AI15" s="305">
        <v>4</v>
      </c>
      <c r="AJ15" s="305">
        <v>5</v>
      </c>
      <c r="AK15" s="305">
        <v>6</v>
      </c>
      <c r="AS15" s="305">
        <v>1</v>
      </c>
      <c r="AT15" s="305">
        <v>2</v>
      </c>
      <c r="AU15" s="305">
        <v>3</v>
      </c>
      <c r="AV15" s="305">
        <v>4</v>
      </c>
      <c r="AW15" s="305">
        <v>5</v>
      </c>
      <c r="AX15" s="305">
        <v>6</v>
      </c>
    </row>
    <row r="16" spans="1:50" ht="15.75">
      <c r="A16" s="306" t="s">
        <v>2807</v>
      </c>
      <c r="B16" s="307">
        <v>276.01</v>
      </c>
      <c r="C16" s="307">
        <v>1728.2</v>
      </c>
      <c r="D16" s="307">
        <v>266.89</v>
      </c>
      <c r="E16" s="307">
        <v>247.87</v>
      </c>
      <c r="F16" s="307">
        <v>2401.81</v>
      </c>
      <c r="G16" s="306" t="s">
        <v>2807</v>
      </c>
      <c r="H16" s="307">
        <v>124</v>
      </c>
      <c r="I16" s="307">
        <v>799</v>
      </c>
      <c r="J16" s="307">
        <v>145</v>
      </c>
      <c r="K16" s="307">
        <v>134</v>
      </c>
      <c r="L16" s="307">
        <v>1092</v>
      </c>
      <c r="M16" s="306" t="s">
        <v>2807</v>
      </c>
      <c r="N16" s="307">
        <v>102</v>
      </c>
      <c r="O16" s="307">
        <v>679</v>
      </c>
      <c r="P16" s="307">
        <v>110</v>
      </c>
      <c r="Q16" s="307">
        <v>107</v>
      </c>
      <c r="R16" s="307">
        <v>910</v>
      </c>
      <c r="S16" s="306" t="s">
        <v>2807</v>
      </c>
      <c r="T16" s="307">
        <v>96</v>
      </c>
      <c r="U16" s="307">
        <v>635</v>
      </c>
      <c r="V16" s="307">
        <v>103</v>
      </c>
      <c r="W16" s="307">
        <v>100</v>
      </c>
      <c r="X16" s="307">
        <v>851</v>
      </c>
      <c r="Y16" s="306" t="s">
        <v>2807</v>
      </c>
      <c r="Z16" s="307">
        <v>85</v>
      </c>
      <c r="AA16" s="307">
        <v>583</v>
      </c>
      <c r="AB16" s="307">
        <v>92</v>
      </c>
      <c r="AC16" s="307">
        <v>90</v>
      </c>
      <c r="AD16" s="307">
        <v>775</v>
      </c>
      <c r="AF16" s="306" t="s">
        <v>2807</v>
      </c>
      <c r="AG16" s="307">
        <v>156.4</v>
      </c>
      <c r="AH16" s="307">
        <v>1010.8</v>
      </c>
      <c r="AI16" s="307">
        <v>183.4</v>
      </c>
      <c r="AJ16" s="307">
        <v>169</v>
      </c>
      <c r="AK16" s="307">
        <v>1380</v>
      </c>
      <c r="AL16" s="308">
        <f t="shared" ref="AL16:AO18" si="0">(AG16-B16)/B16*100</f>
        <v>-43.335386399043507</v>
      </c>
      <c r="AM16" s="308">
        <f t="shared" si="0"/>
        <v>-41.511399143617638</v>
      </c>
      <c r="AN16" s="308">
        <f t="shared" si="0"/>
        <v>-31.282550863651686</v>
      </c>
      <c r="AO16" s="308">
        <f t="shared" si="0"/>
        <v>-31.819098721103806</v>
      </c>
      <c r="AS16" s="306" t="s">
        <v>2807</v>
      </c>
      <c r="AT16" s="307">
        <v>149.66999999999999</v>
      </c>
      <c r="AU16" s="307">
        <v>967.27</v>
      </c>
      <c r="AV16" s="307">
        <v>175.5</v>
      </c>
      <c r="AW16" s="307">
        <v>161.72</v>
      </c>
      <c r="AX16" s="307">
        <v>1320.57</v>
      </c>
    </row>
    <row r="17" spans="1:50" ht="60">
      <c r="A17" s="306" t="s">
        <v>2808</v>
      </c>
      <c r="B17" s="307">
        <v>13.02</v>
      </c>
      <c r="C17" s="307">
        <v>58.91</v>
      </c>
      <c r="D17" s="307">
        <v>11.89</v>
      </c>
      <c r="E17" s="307">
        <v>11.89</v>
      </c>
      <c r="F17" s="307">
        <v>60.48</v>
      </c>
      <c r="G17" s="306" t="s">
        <v>2808</v>
      </c>
      <c r="H17" s="307">
        <v>7.3</v>
      </c>
      <c r="I17" s="307">
        <v>33</v>
      </c>
      <c r="J17" s="307">
        <v>6.9</v>
      </c>
      <c r="K17" s="307">
        <v>6.9</v>
      </c>
      <c r="L17" s="307">
        <v>34</v>
      </c>
      <c r="M17" s="306" t="s">
        <v>2808</v>
      </c>
      <c r="N17" s="307">
        <v>6.4</v>
      </c>
      <c r="O17" s="307">
        <v>29</v>
      </c>
      <c r="P17" s="307">
        <v>6.4</v>
      </c>
      <c r="Q17" s="307">
        <v>6.4</v>
      </c>
      <c r="R17" s="307">
        <v>30</v>
      </c>
      <c r="S17" s="306" t="s">
        <v>2808</v>
      </c>
      <c r="T17" s="307">
        <v>6</v>
      </c>
      <c r="U17" s="307">
        <v>27</v>
      </c>
      <c r="V17" s="307">
        <v>6</v>
      </c>
      <c r="W17" s="307">
        <v>6</v>
      </c>
      <c r="X17" s="307">
        <v>28</v>
      </c>
      <c r="Y17" s="306" t="s">
        <v>2808</v>
      </c>
      <c r="Z17" s="307">
        <v>5</v>
      </c>
      <c r="AA17" s="307">
        <v>24</v>
      </c>
      <c r="AB17" s="307">
        <v>5</v>
      </c>
      <c r="AC17" s="307">
        <v>5</v>
      </c>
      <c r="AD17" s="307">
        <v>24</v>
      </c>
      <c r="AF17" s="306" t="s">
        <v>2808</v>
      </c>
      <c r="AG17" s="307">
        <v>9.1999999999999993</v>
      </c>
      <c r="AH17" s="307">
        <v>41.4</v>
      </c>
      <c r="AI17" s="307">
        <v>8.6</v>
      </c>
      <c r="AJ17" s="307">
        <v>8.6</v>
      </c>
      <c r="AK17" s="307">
        <v>42.5</v>
      </c>
      <c r="AL17" s="308">
        <f t="shared" si="0"/>
        <v>-29.339477726574504</v>
      </c>
      <c r="AM17" s="308">
        <f t="shared" si="0"/>
        <v>-29.72330673909353</v>
      </c>
      <c r="AN17" s="308">
        <f t="shared" si="0"/>
        <v>-27.670311185870482</v>
      </c>
      <c r="AO17" s="308">
        <f t="shared" si="0"/>
        <v>-27.670311185870482</v>
      </c>
      <c r="AS17" s="306" t="s">
        <v>2808</v>
      </c>
      <c r="AT17" s="307">
        <v>8.8000000000000007</v>
      </c>
      <c r="AU17" s="307">
        <v>39.619999999999997</v>
      </c>
      <c r="AV17" s="307">
        <v>8.23</v>
      </c>
      <c r="AW17" s="307">
        <v>8.23</v>
      </c>
      <c r="AX17" s="307">
        <v>40.67</v>
      </c>
    </row>
    <row r="18" spans="1:50" ht="45">
      <c r="A18" s="306" t="s">
        <v>2809</v>
      </c>
      <c r="B18" s="307">
        <v>9.1999999999999993</v>
      </c>
      <c r="C18" s="307">
        <v>47.39</v>
      </c>
      <c r="D18" s="307">
        <v>10.1</v>
      </c>
      <c r="E18" s="307">
        <v>10.1</v>
      </c>
      <c r="F18" s="307">
        <v>47.39</v>
      </c>
      <c r="G18" s="306" t="s">
        <v>2809</v>
      </c>
      <c r="H18" s="307">
        <v>5.2</v>
      </c>
      <c r="I18" s="307">
        <v>26.5</v>
      </c>
      <c r="J18" s="307">
        <v>5.8</v>
      </c>
      <c r="K18" s="307">
        <v>5.8</v>
      </c>
      <c r="L18" s="307">
        <v>26.5</v>
      </c>
      <c r="M18" s="306" t="s">
        <v>2809</v>
      </c>
      <c r="N18" s="307">
        <v>4.3</v>
      </c>
      <c r="O18" s="307">
        <v>22.5</v>
      </c>
      <c r="P18" s="307">
        <v>5.3</v>
      </c>
      <c r="Q18" s="307">
        <v>5.3</v>
      </c>
      <c r="R18" s="307">
        <v>22.5</v>
      </c>
      <c r="S18" s="306" t="s">
        <v>2809</v>
      </c>
      <c r="T18" s="307">
        <v>4</v>
      </c>
      <c r="U18" s="307">
        <v>21</v>
      </c>
      <c r="V18" s="307">
        <v>5</v>
      </c>
      <c r="W18" s="307">
        <v>5</v>
      </c>
      <c r="X18" s="307">
        <v>21</v>
      </c>
      <c r="Y18" s="306" t="s">
        <v>2809</v>
      </c>
      <c r="Z18" s="307">
        <v>3</v>
      </c>
      <c r="AA18" s="307">
        <v>18</v>
      </c>
      <c r="AB18" s="307">
        <v>4</v>
      </c>
      <c r="AC18" s="307">
        <v>4</v>
      </c>
      <c r="AD18" s="307">
        <v>18</v>
      </c>
      <c r="AF18" s="306" t="s">
        <v>2809</v>
      </c>
      <c r="AG18" s="307">
        <v>6.5</v>
      </c>
      <c r="AH18" s="307">
        <v>33.299999999999997</v>
      </c>
      <c r="AI18" s="307">
        <v>7.3</v>
      </c>
      <c r="AJ18" s="307">
        <v>7.3</v>
      </c>
      <c r="AK18" s="307">
        <v>33.299999999999997</v>
      </c>
      <c r="AL18" s="308">
        <f t="shared" si="0"/>
        <v>-29.34782608695652</v>
      </c>
      <c r="AM18" s="308">
        <f t="shared" si="0"/>
        <v>-29.732010972779072</v>
      </c>
      <c r="AN18" s="308">
        <f t="shared" si="0"/>
        <v>-27.722772277227719</v>
      </c>
      <c r="AO18" s="308">
        <f t="shared" si="0"/>
        <v>-27.722772277227719</v>
      </c>
      <c r="AS18" s="306" t="s">
        <v>2809</v>
      </c>
      <c r="AT18" s="307">
        <v>6.22</v>
      </c>
      <c r="AU18" s="307">
        <v>31.87</v>
      </c>
      <c r="AV18" s="307">
        <v>6.99</v>
      </c>
      <c r="AW18" s="307">
        <v>6.99</v>
      </c>
      <c r="AX18" s="307">
        <v>31.87</v>
      </c>
    </row>
    <row r="19" spans="1:50">
      <c r="A19" s="16" t="s">
        <v>2810</v>
      </c>
      <c r="G19" s="16" t="s">
        <v>2810</v>
      </c>
      <c r="AF19" s="16" t="s">
        <v>2810</v>
      </c>
      <c r="AS19" s="16" t="s">
        <v>2810</v>
      </c>
    </row>
    <row r="20" spans="1:50">
      <c r="A20" s="16">
        <v>1</v>
      </c>
      <c r="B20" s="16" t="s">
        <v>2811</v>
      </c>
      <c r="G20" s="16">
        <v>1</v>
      </c>
      <c r="H20" s="16" t="s">
        <v>2811</v>
      </c>
      <c r="AF20" s="16">
        <v>1</v>
      </c>
      <c r="AG20" s="16" t="s">
        <v>2811</v>
      </c>
      <c r="AS20" s="16">
        <v>1</v>
      </c>
      <c r="AT20" s="16" t="s">
        <v>2811</v>
      </c>
    </row>
    <row r="21" spans="1:50">
      <c r="B21" s="16" t="s">
        <v>2812</v>
      </c>
      <c r="H21" s="16" t="s">
        <v>2812</v>
      </c>
      <c r="AG21" s="16" t="s">
        <v>2812</v>
      </c>
      <c r="AT21" s="16" t="s">
        <v>2812</v>
      </c>
    </row>
    <row r="22" spans="1:50">
      <c r="A22" s="16">
        <v>2</v>
      </c>
      <c r="B22" s="16" t="s">
        <v>2813</v>
      </c>
      <c r="G22" s="16">
        <v>2</v>
      </c>
      <c r="H22" s="16" t="s">
        <v>2813</v>
      </c>
      <c r="AF22" s="16">
        <v>2</v>
      </c>
      <c r="AG22" s="16" t="s">
        <v>2813</v>
      </c>
      <c r="AS22" s="16">
        <v>2</v>
      </c>
      <c r="AT22" s="16" t="s">
        <v>2813</v>
      </c>
    </row>
    <row r="24" spans="1:50" ht="26.25">
      <c r="A24" s="2457" t="s">
        <v>2814</v>
      </c>
      <c r="B24" s="2457"/>
      <c r="C24" s="2457"/>
      <c r="D24" s="2457"/>
      <c r="E24" s="2457"/>
      <c r="F24" s="2457"/>
      <c r="G24" s="2457" t="s">
        <v>2814</v>
      </c>
      <c r="H24" s="2457"/>
      <c r="I24" s="2457"/>
      <c r="J24" s="2457"/>
      <c r="K24" s="2457"/>
      <c r="L24" s="2457"/>
      <c r="M24" s="2457" t="s">
        <v>2814</v>
      </c>
      <c r="N24" s="2457"/>
      <c r="O24" s="2457"/>
      <c r="P24" s="2457"/>
      <c r="Q24" s="2457"/>
      <c r="R24" s="2457"/>
      <c r="S24" s="2457" t="s">
        <v>2814</v>
      </c>
      <c r="T24" s="2457"/>
      <c r="U24" s="2457"/>
      <c r="V24" s="2457"/>
      <c r="W24" s="2457"/>
      <c r="X24" s="2457"/>
      <c r="Y24" s="2457" t="s">
        <v>2814</v>
      </c>
      <c r="Z24" s="2457"/>
      <c r="AA24" s="2457"/>
      <c r="AB24" s="2457"/>
      <c r="AC24" s="2457"/>
      <c r="AD24" s="2457"/>
      <c r="AF24" s="2457" t="s">
        <v>2814</v>
      </c>
      <c r="AG24" s="2457"/>
      <c r="AH24" s="2457"/>
      <c r="AI24" s="2457"/>
      <c r="AJ24" s="2457"/>
      <c r="AK24" s="2457"/>
      <c r="AS24" s="2457" t="s">
        <v>2814</v>
      </c>
      <c r="AT24" s="2457"/>
      <c r="AU24" s="2457"/>
      <c r="AV24" s="2457"/>
      <c r="AW24" s="2457"/>
      <c r="AX24" s="2457"/>
    </row>
    <row r="25" spans="1:50" ht="15.75">
      <c r="A25" s="305" t="s">
        <v>1510</v>
      </c>
      <c r="B25" s="2471" t="s">
        <v>2815</v>
      </c>
      <c r="C25" s="2471"/>
      <c r="D25" s="2471"/>
      <c r="E25" s="305" t="s">
        <v>1</v>
      </c>
      <c r="F25" s="305" t="s">
        <v>2816</v>
      </c>
      <c r="G25" s="305" t="s">
        <v>1510</v>
      </c>
      <c r="H25" s="2471" t="s">
        <v>2815</v>
      </c>
      <c r="I25" s="2471"/>
      <c r="J25" s="2471"/>
      <c r="K25" s="305" t="s">
        <v>1</v>
      </c>
      <c r="L25" s="305" t="s">
        <v>2816</v>
      </c>
      <c r="M25" s="305" t="s">
        <v>1510</v>
      </c>
      <c r="N25" s="2471" t="s">
        <v>2815</v>
      </c>
      <c r="O25" s="2471"/>
      <c r="P25" s="2471"/>
      <c r="Q25" s="305" t="s">
        <v>1</v>
      </c>
      <c r="R25" s="305" t="s">
        <v>2816</v>
      </c>
      <c r="S25" s="305" t="s">
        <v>1510</v>
      </c>
      <c r="T25" s="2471" t="s">
        <v>2815</v>
      </c>
      <c r="U25" s="2471"/>
      <c r="V25" s="2471"/>
      <c r="W25" s="305" t="s">
        <v>1</v>
      </c>
      <c r="X25" s="305" t="s">
        <v>2816</v>
      </c>
      <c r="Y25" s="305" t="s">
        <v>1510</v>
      </c>
      <c r="Z25" s="2471" t="s">
        <v>2815</v>
      </c>
      <c r="AA25" s="2471"/>
      <c r="AB25" s="2471"/>
      <c r="AC25" s="305" t="s">
        <v>1</v>
      </c>
      <c r="AD25" s="305" t="s">
        <v>2816</v>
      </c>
      <c r="AF25" s="305" t="s">
        <v>1510</v>
      </c>
      <c r="AG25" s="2471" t="s">
        <v>2815</v>
      </c>
      <c r="AH25" s="2471"/>
      <c r="AI25" s="2471"/>
      <c r="AJ25" s="305" t="s">
        <v>1</v>
      </c>
      <c r="AK25" s="305" t="s">
        <v>2816</v>
      </c>
      <c r="AS25" s="305" t="s">
        <v>1510</v>
      </c>
      <c r="AT25" s="2471" t="s">
        <v>2815</v>
      </c>
      <c r="AU25" s="2471"/>
      <c r="AV25" s="2471"/>
      <c r="AW25" s="305" t="s">
        <v>1</v>
      </c>
      <c r="AX25" s="305" t="s">
        <v>2816</v>
      </c>
    </row>
    <row r="26" spans="1:50" ht="15.75">
      <c r="A26" s="309">
        <v>1</v>
      </c>
      <c r="B26" s="2472" t="s">
        <v>2817</v>
      </c>
      <c r="C26" s="2472"/>
      <c r="D26" s="2473"/>
      <c r="E26" s="2474" t="s">
        <v>2818</v>
      </c>
      <c r="F26" s="2475">
        <v>175.38</v>
      </c>
      <c r="G26" s="309">
        <v>1</v>
      </c>
      <c r="H26" s="2472" t="s">
        <v>2817</v>
      </c>
      <c r="I26" s="2472"/>
      <c r="J26" s="2473"/>
      <c r="K26" s="2474" t="s">
        <v>2818</v>
      </c>
      <c r="L26" s="2475">
        <v>61</v>
      </c>
      <c r="M26" s="309">
        <v>1</v>
      </c>
      <c r="N26" s="2472" t="s">
        <v>2817</v>
      </c>
      <c r="O26" s="2472"/>
      <c r="P26" s="2473"/>
      <c r="Q26" s="2474" t="s">
        <v>2818</v>
      </c>
      <c r="R26" s="2475">
        <v>61</v>
      </c>
      <c r="S26" s="309">
        <v>1</v>
      </c>
      <c r="T26" s="2472" t="s">
        <v>2817</v>
      </c>
      <c r="U26" s="2472"/>
      <c r="V26" s="2473"/>
      <c r="W26" s="2474" t="s">
        <v>2818</v>
      </c>
      <c r="X26" s="2475">
        <v>57</v>
      </c>
      <c r="Y26" s="309">
        <v>1</v>
      </c>
      <c r="Z26" s="2472" t="s">
        <v>2817</v>
      </c>
      <c r="AA26" s="2472"/>
      <c r="AB26" s="2473"/>
      <c r="AC26" s="2474" t="s">
        <v>2818</v>
      </c>
      <c r="AD26" s="2475">
        <v>47</v>
      </c>
      <c r="AF26" s="309">
        <v>1</v>
      </c>
      <c r="AG26" s="2472" t="s">
        <v>2817</v>
      </c>
      <c r="AH26" s="2472"/>
      <c r="AI26" s="2473"/>
      <c r="AJ26" s="2474" t="s">
        <v>2818</v>
      </c>
      <c r="AK26" s="2475">
        <v>79</v>
      </c>
      <c r="AS26" s="309">
        <v>1</v>
      </c>
      <c r="AT26" s="2472" t="s">
        <v>2817</v>
      </c>
      <c r="AU26" s="2472"/>
      <c r="AV26" s="2473"/>
      <c r="AW26" s="2474" t="s">
        <v>2818</v>
      </c>
      <c r="AX26" s="2475">
        <v>79</v>
      </c>
    </row>
    <row r="27" spans="1:50" ht="15.75">
      <c r="A27" s="310"/>
      <c r="B27" s="2472"/>
      <c r="C27" s="2472"/>
      <c r="D27" s="2473"/>
      <c r="E27" s="2474"/>
      <c r="F27" s="2475"/>
      <c r="G27" s="310"/>
      <c r="H27" s="2472"/>
      <c r="I27" s="2472"/>
      <c r="J27" s="2473"/>
      <c r="K27" s="2474"/>
      <c r="L27" s="2475"/>
      <c r="M27" s="310"/>
      <c r="N27" s="2472"/>
      <c r="O27" s="2472"/>
      <c r="P27" s="2473"/>
      <c r="Q27" s="2474"/>
      <c r="R27" s="2475"/>
      <c r="S27" s="310"/>
      <c r="T27" s="2472"/>
      <c r="U27" s="2472"/>
      <c r="V27" s="2473"/>
      <c r="W27" s="2474"/>
      <c r="X27" s="2475"/>
      <c r="Y27" s="310"/>
      <c r="Z27" s="2472"/>
      <c r="AA27" s="2472"/>
      <c r="AB27" s="2473"/>
      <c r="AC27" s="2474"/>
      <c r="AD27" s="2475"/>
      <c r="AF27" s="310"/>
      <c r="AG27" s="2472"/>
      <c r="AH27" s="2472"/>
      <c r="AI27" s="2473"/>
      <c r="AJ27" s="2474"/>
      <c r="AK27" s="2475"/>
      <c r="AS27" s="310"/>
      <c r="AT27" s="2472"/>
      <c r="AU27" s="2472"/>
      <c r="AV27" s="2473"/>
      <c r="AW27" s="2474"/>
      <c r="AX27" s="2475"/>
    </row>
    <row r="28" spans="1:50" ht="15.75">
      <c r="A28" s="309">
        <v>2</v>
      </c>
      <c r="B28" s="2476" t="s">
        <v>2819</v>
      </c>
      <c r="C28" s="2476"/>
      <c r="D28" s="2477"/>
      <c r="E28" s="2474" t="s">
        <v>2820</v>
      </c>
      <c r="F28" s="2475">
        <v>24.42</v>
      </c>
      <c r="G28" s="309">
        <v>2</v>
      </c>
      <c r="H28" s="2476" t="s">
        <v>2819</v>
      </c>
      <c r="I28" s="2476"/>
      <c r="J28" s="2477"/>
      <c r="K28" s="2474" t="s">
        <v>2820</v>
      </c>
      <c r="L28" s="2475">
        <v>8.5</v>
      </c>
      <c r="M28" s="309">
        <v>2</v>
      </c>
      <c r="N28" s="2476" t="s">
        <v>2819</v>
      </c>
      <c r="O28" s="2476"/>
      <c r="P28" s="2477"/>
      <c r="Q28" s="2474" t="s">
        <v>2820</v>
      </c>
      <c r="R28" s="2475">
        <v>8.5</v>
      </c>
      <c r="S28" s="309">
        <v>2</v>
      </c>
      <c r="T28" s="2476" t="s">
        <v>2819</v>
      </c>
      <c r="U28" s="2476"/>
      <c r="V28" s="2477"/>
      <c r="W28" s="2474" t="s">
        <v>2820</v>
      </c>
      <c r="X28" s="2475">
        <v>8</v>
      </c>
      <c r="Y28" s="309">
        <v>2</v>
      </c>
      <c r="Z28" s="2476" t="s">
        <v>2819</v>
      </c>
      <c r="AA28" s="2476"/>
      <c r="AB28" s="2477"/>
      <c r="AC28" s="2474" t="s">
        <v>2820</v>
      </c>
      <c r="AD28" s="2475">
        <v>6</v>
      </c>
      <c r="AF28" s="309">
        <v>2</v>
      </c>
      <c r="AG28" s="2476" t="s">
        <v>2819</v>
      </c>
      <c r="AH28" s="2476"/>
      <c r="AI28" s="2477"/>
      <c r="AJ28" s="2474" t="s">
        <v>2820</v>
      </c>
      <c r="AK28" s="2475">
        <v>11</v>
      </c>
      <c r="AS28" s="309">
        <v>2</v>
      </c>
      <c r="AT28" s="2476" t="s">
        <v>2819</v>
      </c>
      <c r="AU28" s="2476"/>
      <c r="AV28" s="2477"/>
      <c r="AW28" s="2474" t="s">
        <v>2820</v>
      </c>
      <c r="AX28" s="2475">
        <v>11</v>
      </c>
    </row>
    <row r="29" spans="1:50" ht="15.75">
      <c r="A29" s="310"/>
      <c r="B29" s="2476"/>
      <c r="C29" s="2476"/>
      <c r="D29" s="2477"/>
      <c r="E29" s="2474"/>
      <c r="F29" s="2475"/>
      <c r="G29" s="310"/>
      <c r="H29" s="2476"/>
      <c r="I29" s="2476"/>
      <c r="J29" s="2477"/>
      <c r="K29" s="2474"/>
      <c r="L29" s="2475"/>
      <c r="M29" s="310"/>
      <c r="N29" s="2476"/>
      <c r="O29" s="2476"/>
      <c r="P29" s="2477"/>
      <c r="Q29" s="2474"/>
      <c r="R29" s="2475"/>
      <c r="S29" s="310"/>
      <c r="T29" s="2476"/>
      <c r="U29" s="2476"/>
      <c r="V29" s="2477"/>
      <c r="W29" s="2474"/>
      <c r="X29" s="2475"/>
      <c r="Y29" s="310"/>
      <c r="Z29" s="2476"/>
      <c r="AA29" s="2476"/>
      <c r="AB29" s="2477"/>
      <c r="AC29" s="2474"/>
      <c r="AD29" s="2475"/>
      <c r="AF29" s="310"/>
      <c r="AG29" s="2476"/>
      <c r="AH29" s="2476"/>
      <c r="AI29" s="2477"/>
      <c r="AJ29" s="2474"/>
      <c r="AK29" s="2475"/>
      <c r="AS29" s="310"/>
      <c r="AT29" s="2476"/>
      <c r="AU29" s="2476"/>
      <c r="AV29" s="2477"/>
      <c r="AW29" s="2474"/>
      <c r="AX29" s="2475"/>
    </row>
    <row r="30" spans="1:50" ht="15.75">
      <c r="A30" s="309">
        <v>3</v>
      </c>
      <c r="B30" s="311" t="s">
        <v>2787</v>
      </c>
      <c r="E30" s="2474" t="s">
        <v>2821</v>
      </c>
      <c r="F30" s="2475">
        <v>994.56</v>
      </c>
      <c r="G30" s="309">
        <v>3</v>
      </c>
      <c r="H30" s="311" t="s">
        <v>2787</v>
      </c>
      <c r="K30" s="2474" t="s">
        <v>2821</v>
      </c>
      <c r="L30" s="2475">
        <v>345</v>
      </c>
      <c r="M30" s="309">
        <v>3</v>
      </c>
      <c r="N30" s="311" t="s">
        <v>2787</v>
      </c>
      <c r="Q30" s="2474" t="s">
        <v>2821</v>
      </c>
      <c r="R30" s="2475">
        <v>345</v>
      </c>
      <c r="S30" s="309">
        <v>3</v>
      </c>
      <c r="T30" s="311" t="s">
        <v>2787</v>
      </c>
      <c r="W30" s="2474" t="s">
        <v>2821</v>
      </c>
      <c r="X30" s="2475">
        <v>334</v>
      </c>
      <c r="Y30" s="309">
        <v>3</v>
      </c>
      <c r="Z30" s="311" t="s">
        <v>2787</v>
      </c>
      <c r="AC30" s="2474" t="s">
        <v>2821</v>
      </c>
      <c r="AD30" s="2475">
        <v>285</v>
      </c>
      <c r="AF30" s="309">
        <v>3</v>
      </c>
      <c r="AG30" s="311" t="s">
        <v>2787</v>
      </c>
      <c r="AJ30" s="2474" t="s">
        <v>2821</v>
      </c>
      <c r="AK30" s="2475">
        <v>448</v>
      </c>
      <c r="AS30" s="309">
        <v>3</v>
      </c>
      <c r="AT30" s="311" t="s">
        <v>2787</v>
      </c>
      <c r="AW30" s="2474" t="s">
        <v>2821</v>
      </c>
      <c r="AX30" s="2475">
        <v>448</v>
      </c>
    </row>
    <row r="31" spans="1:50" ht="15.75">
      <c r="A31" s="312"/>
      <c r="B31" s="311" t="s">
        <v>2794</v>
      </c>
      <c r="E31" s="2474"/>
      <c r="F31" s="2475"/>
      <c r="G31" s="312"/>
      <c r="H31" s="311" t="s">
        <v>2794</v>
      </c>
      <c r="K31" s="2474"/>
      <c r="L31" s="2475"/>
      <c r="M31" s="312"/>
      <c r="N31" s="311" t="s">
        <v>2794</v>
      </c>
      <c r="Q31" s="2474"/>
      <c r="R31" s="2475"/>
      <c r="S31" s="312"/>
      <c r="T31" s="311" t="s">
        <v>2794</v>
      </c>
      <c r="W31" s="2474"/>
      <c r="X31" s="2475"/>
      <c r="Y31" s="312"/>
      <c r="Z31" s="311" t="s">
        <v>2794</v>
      </c>
      <c r="AC31" s="2474"/>
      <c r="AD31" s="2475"/>
      <c r="AF31" s="312"/>
      <c r="AG31" s="311" t="s">
        <v>2794</v>
      </c>
      <c r="AJ31" s="2474"/>
      <c r="AK31" s="2475"/>
      <c r="AS31" s="312"/>
      <c r="AT31" s="311" t="s">
        <v>2794</v>
      </c>
      <c r="AW31" s="2474"/>
      <c r="AX31" s="2475"/>
    </row>
    <row r="32" spans="1:50" ht="15.75">
      <c r="A32" s="312"/>
      <c r="B32" s="311" t="s">
        <v>2795</v>
      </c>
      <c r="E32" s="2474"/>
      <c r="F32" s="2475"/>
      <c r="G32" s="312"/>
      <c r="H32" s="311" t="s">
        <v>2795</v>
      </c>
      <c r="K32" s="2474"/>
      <c r="L32" s="2475"/>
      <c r="M32" s="312"/>
      <c r="N32" s="311" t="s">
        <v>2795</v>
      </c>
      <c r="Q32" s="2474"/>
      <c r="R32" s="2475"/>
      <c r="S32" s="312"/>
      <c r="T32" s="311" t="s">
        <v>2795</v>
      </c>
      <c r="W32" s="2474"/>
      <c r="X32" s="2475"/>
      <c r="Y32" s="312"/>
      <c r="Z32" s="311" t="s">
        <v>2795</v>
      </c>
      <c r="AC32" s="2474"/>
      <c r="AD32" s="2475"/>
      <c r="AF32" s="312"/>
      <c r="AG32" s="311" t="s">
        <v>2795</v>
      </c>
      <c r="AJ32" s="2474"/>
      <c r="AK32" s="2475"/>
      <c r="AS32" s="312"/>
      <c r="AT32" s="311" t="s">
        <v>2795</v>
      </c>
      <c r="AW32" s="2474"/>
      <c r="AX32" s="2475"/>
    </row>
    <row r="33" spans="1:50" ht="15.75">
      <c r="A33" s="312"/>
      <c r="B33" s="311" t="s">
        <v>2796</v>
      </c>
      <c r="E33" s="2474"/>
      <c r="F33" s="2475"/>
      <c r="G33" s="312"/>
      <c r="H33" s="311" t="s">
        <v>2796</v>
      </c>
      <c r="K33" s="2474"/>
      <c r="L33" s="2475"/>
      <c r="M33" s="312"/>
      <c r="N33" s="311" t="s">
        <v>2796</v>
      </c>
      <c r="Q33" s="2474"/>
      <c r="R33" s="2475"/>
      <c r="S33" s="312"/>
      <c r="T33" s="311" t="s">
        <v>2796</v>
      </c>
      <c r="W33" s="2474"/>
      <c r="X33" s="2475"/>
      <c r="Y33" s="312"/>
      <c r="Z33" s="311" t="s">
        <v>2796</v>
      </c>
      <c r="AC33" s="2474"/>
      <c r="AD33" s="2475"/>
      <c r="AF33" s="312"/>
      <c r="AG33" s="311" t="s">
        <v>2796</v>
      </c>
      <c r="AJ33" s="2474"/>
      <c r="AK33" s="2475"/>
      <c r="AS33" s="312"/>
      <c r="AT33" s="311" t="s">
        <v>2796</v>
      </c>
      <c r="AW33" s="2474"/>
      <c r="AX33" s="2475"/>
    </row>
    <row r="34" spans="1:50" ht="15.75">
      <c r="A34" s="312"/>
      <c r="B34" s="311" t="s">
        <v>2797</v>
      </c>
      <c r="E34" s="2474"/>
      <c r="F34" s="2475"/>
      <c r="G34" s="312"/>
      <c r="H34" s="311" t="s">
        <v>2797</v>
      </c>
      <c r="K34" s="2474"/>
      <c r="L34" s="2475"/>
      <c r="M34" s="312"/>
      <c r="N34" s="311" t="s">
        <v>2797</v>
      </c>
      <c r="Q34" s="2474"/>
      <c r="R34" s="2475"/>
      <c r="S34" s="312"/>
      <c r="T34" s="311" t="s">
        <v>2797</v>
      </c>
      <c r="W34" s="2474"/>
      <c r="X34" s="2475"/>
      <c r="Y34" s="312"/>
      <c r="Z34" s="311" t="s">
        <v>2797</v>
      </c>
      <c r="AC34" s="2474"/>
      <c r="AD34" s="2475"/>
      <c r="AF34" s="312"/>
      <c r="AG34" s="311" t="s">
        <v>2797</v>
      </c>
      <c r="AJ34" s="2474"/>
      <c r="AK34" s="2475"/>
      <c r="AS34" s="312"/>
      <c r="AT34" s="311" t="s">
        <v>2797</v>
      </c>
      <c r="AW34" s="2474"/>
      <c r="AX34" s="2475"/>
    </row>
    <row r="35" spans="1:50" ht="15.75">
      <c r="A35" s="312"/>
      <c r="B35" s="311" t="s">
        <v>2798</v>
      </c>
      <c r="E35" s="2474"/>
      <c r="F35" s="2475"/>
      <c r="G35" s="312"/>
      <c r="H35" s="311" t="s">
        <v>2798</v>
      </c>
      <c r="K35" s="2474"/>
      <c r="L35" s="2475"/>
      <c r="M35" s="312"/>
      <c r="N35" s="311" t="s">
        <v>2798</v>
      </c>
      <c r="Q35" s="2474"/>
      <c r="R35" s="2475"/>
      <c r="S35" s="312"/>
      <c r="T35" s="311" t="s">
        <v>2798</v>
      </c>
      <c r="W35" s="2474"/>
      <c r="X35" s="2475"/>
      <c r="Y35" s="312"/>
      <c r="Z35" s="311" t="s">
        <v>2798</v>
      </c>
      <c r="AC35" s="2474"/>
      <c r="AD35" s="2475"/>
      <c r="AF35" s="312"/>
      <c r="AG35" s="311" t="s">
        <v>2798</v>
      </c>
      <c r="AJ35" s="2474"/>
      <c r="AK35" s="2475"/>
      <c r="AS35" s="312"/>
      <c r="AT35" s="311" t="s">
        <v>2798</v>
      </c>
      <c r="AW35" s="2474"/>
      <c r="AX35" s="2475"/>
    </row>
    <row r="36" spans="1:50" ht="15.75">
      <c r="A36" s="312"/>
      <c r="B36" s="311" t="s">
        <v>2799</v>
      </c>
      <c r="E36" s="2474"/>
      <c r="F36" s="2475"/>
      <c r="G36" s="312"/>
      <c r="H36" s="311" t="s">
        <v>2799</v>
      </c>
      <c r="K36" s="2474"/>
      <c r="L36" s="2475"/>
      <c r="M36" s="312"/>
      <c r="N36" s="311" t="s">
        <v>2799</v>
      </c>
      <c r="Q36" s="2474"/>
      <c r="R36" s="2475"/>
      <c r="S36" s="312"/>
      <c r="T36" s="311" t="s">
        <v>2799</v>
      </c>
      <c r="W36" s="2474"/>
      <c r="X36" s="2475"/>
      <c r="Y36" s="312"/>
      <c r="Z36" s="311" t="s">
        <v>2799</v>
      </c>
      <c r="AC36" s="2474"/>
      <c r="AD36" s="2475"/>
      <c r="AF36" s="312"/>
      <c r="AG36" s="311" t="s">
        <v>2799</v>
      </c>
      <c r="AJ36" s="2474"/>
      <c r="AK36" s="2475"/>
      <c r="AS36" s="312"/>
      <c r="AT36" s="311" t="s">
        <v>2799</v>
      </c>
      <c r="AW36" s="2474"/>
      <c r="AX36" s="2475"/>
    </row>
    <row r="37" spans="1:50" ht="15.75">
      <c r="A37" s="312"/>
      <c r="B37" s="311" t="s">
        <v>2800</v>
      </c>
      <c r="E37" s="2474"/>
      <c r="F37" s="2475"/>
      <c r="G37" s="312"/>
      <c r="H37" s="311" t="s">
        <v>2800</v>
      </c>
      <c r="K37" s="2474"/>
      <c r="L37" s="2475"/>
      <c r="M37" s="312"/>
      <c r="N37" s="311" t="s">
        <v>2800</v>
      </c>
      <c r="Q37" s="2474"/>
      <c r="R37" s="2475"/>
      <c r="S37" s="312"/>
      <c r="T37" s="311" t="s">
        <v>2800</v>
      </c>
      <c r="W37" s="2474"/>
      <c r="X37" s="2475"/>
      <c r="Y37" s="312"/>
      <c r="Z37" s="311" t="s">
        <v>2800</v>
      </c>
      <c r="AC37" s="2474"/>
      <c r="AD37" s="2475"/>
      <c r="AF37" s="312"/>
      <c r="AG37" s="311" t="s">
        <v>2800</v>
      </c>
      <c r="AJ37" s="2474"/>
      <c r="AK37" s="2475"/>
      <c r="AS37" s="312"/>
      <c r="AT37" s="311" t="s">
        <v>2800</v>
      </c>
      <c r="AW37" s="2474"/>
      <c r="AX37" s="2475"/>
    </row>
    <row r="38" spans="1:50" ht="15.75">
      <c r="A38" s="312"/>
      <c r="B38" s="311" t="s">
        <v>2802</v>
      </c>
      <c r="E38" s="2474"/>
      <c r="F38" s="2475"/>
      <c r="G38" s="312"/>
      <c r="H38" s="311" t="s">
        <v>2802</v>
      </c>
      <c r="K38" s="2474"/>
      <c r="L38" s="2475"/>
      <c r="M38" s="312"/>
      <c r="N38" s="311" t="s">
        <v>2802</v>
      </c>
      <c r="Q38" s="2474"/>
      <c r="R38" s="2475"/>
      <c r="S38" s="312"/>
      <c r="T38" s="311" t="s">
        <v>2802</v>
      </c>
      <c r="W38" s="2474"/>
      <c r="X38" s="2475"/>
      <c r="Y38" s="312"/>
      <c r="Z38" s="311" t="s">
        <v>2802</v>
      </c>
      <c r="AC38" s="2474"/>
      <c r="AD38" s="2475"/>
      <c r="AF38" s="312"/>
      <c r="AG38" s="311" t="s">
        <v>2802</v>
      </c>
      <c r="AJ38" s="2474"/>
      <c r="AK38" s="2475"/>
      <c r="AS38" s="312"/>
      <c r="AT38" s="311" t="s">
        <v>2802</v>
      </c>
      <c r="AW38" s="2474"/>
      <c r="AX38" s="2475"/>
    </row>
    <row r="39" spans="1:50" ht="15.75">
      <c r="A39" s="312"/>
      <c r="B39" s="311" t="s">
        <v>2803</v>
      </c>
      <c r="E39" s="2474"/>
      <c r="F39" s="2475"/>
      <c r="G39" s="312"/>
      <c r="H39" s="311" t="s">
        <v>2803</v>
      </c>
      <c r="K39" s="2474"/>
      <c r="L39" s="2475"/>
      <c r="M39" s="312"/>
      <c r="N39" s="311" t="s">
        <v>2803</v>
      </c>
      <c r="Q39" s="2474"/>
      <c r="R39" s="2475"/>
      <c r="S39" s="312"/>
      <c r="T39" s="311" t="s">
        <v>2803</v>
      </c>
      <c r="W39" s="2474"/>
      <c r="X39" s="2475"/>
      <c r="Y39" s="312"/>
      <c r="Z39" s="311" t="s">
        <v>2803</v>
      </c>
      <c r="AC39" s="2474"/>
      <c r="AD39" s="2475"/>
      <c r="AF39" s="312"/>
      <c r="AG39" s="311" t="s">
        <v>2803</v>
      </c>
      <c r="AJ39" s="2474"/>
      <c r="AK39" s="2475"/>
      <c r="AS39" s="312"/>
      <c r="AT39" s="311" t="s">
        <v>2803</v>
      </c>
      <c r="AW39" s="2474"/>
      <c r="AX39" s="2475"/>
    </row>
    <row r="40" spans="1:50" ht="15.75">
      <c r="A40" s="312"/>
      <c r="B40" s="311" t="s">
        <v>2804</v>
      </c>
      <c r="E40" s="2474"/>
      <c r="F40" s="2475"/>
      <c r="G40" s="312"/>
      <c r="H40" s="311" t="s">
        <v>2804</v>
      </c>
      <c r="K40" s="2474"/>
      <c r="L40" s="2475"/>
      <c r="M40" s="312"/>
      <c r="N40" s="311" t="s">
        <v>2804</v>
      </c>
      <c r="Q40" s="2474"/>
      <c r="R40" s="2475"/>
      <c r="S40" s="312"/>
      <c r="T40" s="311" t="s">
        <v>2804</v>
      </c>
      <c r="W40" s="2474"/>
      <c r="X40" s="2475"/>
      <c r="Y40" s="312"/>
      <c r="Z40" s="311" t="s">
        <v>2804</v>
      </c>
      <c r="AC40" s="2474"/>
      <c r="AD40" s="2475"/>
      <c r="AF40" s="312"/>
      <c r="AG40" s="311" t="s">
        <v>2804</v>
      </c>
      <c r="AJ40" s="2474"/>
      <c r="AK40" s="2475"/>
      <c r="AS40" s="312"/>
      <c r="AT40" s="311" t="s">
        <v>2804</v>
      </c>
      <c r="AW40" s="2474"/>
      <c r="AX40" s="2475"/>
    </row>
    <row r="41" spans="1:50" ht="15" customHeight="1">
      <c r="A41" s="309">
        <v>4</v>
      </c>
      <c r="B41" s="2476" t="s">
        <v>2822</v>
      </c>
      <c r="C41" s="2476"/>
      <c r="D41" s="2476"/>
      <c r="E41" s="2474" t="s">
        <v>2821</v>
      </c>
      <c r="F41" s="2475">
        <v>1356.42</v>
      </c>
      <c r="G41" s="309">
        <v>4</v>
      </c>
      <c r="H41" s="2476" t="s">
        <v>2822</v>
      </c>
      <c r="I41" s="2476"/>
      <c r="J41" s="2476"/>
      <c r="K41" s="2474" t="s">
        <v>2821</v>
      </c>
      <c r="L41" s="2475">
        <v>470</v>
      </c>
      <c r="M41" s="309">
        <v>4</v>
      </c>
      <c r="N41" s="2476" t="s">
        <v>2822</v>
      </c>
      <c r="O41" s="2476"/>
      <c r="P41" s="2476"/>
      <c r="Q41" s="2474" t="s">
        <v>2821</v>
      </c>
      <c r="R41" s="2475">
        <v>470</v>
      </c>
      <c r="S41" s="309">
        <v>4</v>
      </c>
      <c r="T41" s="2476" t="s">
        <v>2822</v>
      </c>
      <c r="U41" s="2476"/>
      <c r="V41" s="2476"/>
      <c r="W41" s="2474" t="s">
        <v>2821</v>
      </c>
      <c r="X41" s="2475">
        <v>451</v>
      </c>
      <c r="Y41" s="309">
        <v>4</v>
      </c>
      <c r="Z41" s="2476" t="s">
        <v>2822</v>
      </c>
      <c r="AA41" s="2476"/>
      <c r="AB41" s="2476"/>
      <c r="AC41" s="2474" t="s">
        <v>2821</v>
      </c>
      <c r="AD41" s="2475">
        <v>390</v>
      </c>
      <c r="AF41" s="309">
        <v>4</v>
      </c>
      <c r="AG41" s="2476" t="s">
        <v>2822</v>
      </c>
      <c r="AH41" s="2476"/>
      <c r="AI41" s="2476"/>
      <c r="AJ41" s="2474" t="s">
        <v>2821</v>
      </c>
      <c r="AK41" s="2475">
        <v>611</v>
      </c>
      <c r="AS41" s="309">
        <v>4</v>
      </c>
      <c r="AT41" s="2476" t="s">
        <v>2822</v>
      </c>
      <c r="AU41" s="2476"/>
      <c r="AV41" s="2476"/>
      <c r="AW41" s="2474" t="s">
        <v>2821</v>
      </c>
      <c r="AX41" s="2475">
        <v>611</v>
      </c>
    </row>
    <row r="42" spans="1:50" ht="15" customHeight="1">
      <c r="A42" s="312"/>
      <c r="B42" s="2476"/>
      <c r="C42" s="2476"/>
      <c r="D42" s="2476"/>
      <c r="E42" s="2474"/>
      <c r="F42" s="2475"/>
      <c r="G42" s="312"/>
      <c r="H42" s="2476"/>
      <c r="I42" s="2476"/>
      <c r="J42" s="2476"/>
      <c r="K42" s="2474"/>
      <c r="L42" s="2475"/>
      <c r="M42" s="312"/>
      <c r="N42" s="2476"/>
      <c r="O42" s="2476"/>
      <c r="P42" s="2476"/>
      <c r="Q42" s="2474"/>
      <c r="R42" s="2475"/>
      <c r="S42" s="312"/>
      <c r="T42" s="2476"/>
      <c r="U42" s="2476"/>
      <c r="V42" s="2476"/>
      <c r="W42" s="2474"/>
      <c r="X42" s="2475"/>
      <c r="Y42" s="312"/>
      <c r="Z42" s="2476"/>
      <c r="AA42" s="2476"/>
      <c r="AB42" s="2476"/>
      <c r="AC42" s="2474"/>
      <c r="AD42" s="2475"/>
      <c r="AF42" s="312"/>
      <c r="AG42" s="2476"/>
      <c r="AH42" s="2476"/>
      <c r="AI42" s="2476"/>
      <c r="AJ42" s="2474"/>
      <c r="AK42" s="2475"/>
      <c r="AS42" s="312"/>
      <c r="AT42" s="2476"/>
      <c r="AU42" s="2476"/>
      <c r="AV42" s="2476"/>
      <c r="AW42" s="2474"/>
      <c r="AX42" s="2475"/>
    </row>
    <row r="43" spans="1:50" ht="15" customHeight="1">
      <c r="A43" s="312"/>
      <c r="B43" s="2476" t="s">
        <v>2823</v>
      </c>
      <c r="C43" s="2476"/>
      <c r="D43" s="2476"/>
      <c r="E43" s="2474" t="s">
        <v>2821</v>
      </c>
      <c r="F43" s="2475">
        <v>1616.16</v>
      </c>
      <c r="G43" s="312"/>
      <c r="H43" s="2476" t="s">
        <v>2823</v>
      </c>
      <c r="I43" s="2476"/>
      <c r="J43" s="2476"/>
      <c r="K43" s="2474" t="s">
        <v>2821</v>
      </c>
      <c r="L43" s="2475">
        <v>560</v>
      </c>
      <c r="M43" s="312"/>
      <c r="N43" s="2476" t="s">
        <v>2823</v>
      </c>
      <c r="O43" s="2476"/>
      <c r="P43" s="2476"/>
      <c r="Q43" s="2474" t="s">
        <v>2821</v>
      </c>
      <c r="R43" s="2475">
        <v>560</v>
      </c>
      <c r="S43" s="312"/>
      <c r="T43" s="2476" t="s">
        <v>2823</v>
      </c>
      <c r="U43" s="2476"/>
      <c r="V43" s="2476"/>
      <c r="W43" s="2474" t="s">
        <v>2821</v>
      </c>
      <c r="X43" s="2475">
        <v>540</v>
      </c>
      <c r="Y43" s="312"/>
      <c r="Z43" s="2476" t="s">
        <v>2823</v>
      </c>
      <c r="AA43" s="2476"/>
      <c r="AB43" s="2476"/>
      <c r="AC43" s="2474" t="s">
        <v>2821</v>
      </c>
      <c r="AD43" s="2475">
        <v>460</v>
      </c>
      <c r="AF43" s="312"/>
      <c r="AG43" s="2476" t="s">
        <v>2823</v>
      </c>
      <c r="AH43" s="2476"/>
      <c r="AI43" s="2476"/>
      <c r="AJ43" s="2474" t="s">
        <v>2821</v>
      </c>
      <c r="AK43" s="2475">
        <v>728</v>
      </c>
      <c r="AS43" s="312"/>
      <c r="AT43" s="2476" t="s">
        <v>2823</v>
      </c>
      <c r="AU43" s="2476"/>
      <c r="AV43" s="2476"/>
      <c r="AW43" s="2474" t="s">
        <v>2821</v>
      </c>
      <c r="AX43" s="2475">
        <v>728</v>
      </c>
    </row>
    <row r="44" spans="1:50" ht="15" customHeight="1">
      <c r="A44" s="313"/>
      <c r="B44" s="2476"/>
      <c r="C44" s="2476"/>
      <c r="D44" s="2476"/>
      <c r="E44" s="2474"/>
      <c r="F44" s="2475"/>
      <c r="G44" s="313"/>
      <c r="H44" s="2476"/>
      <c r="I44" s="2476"/>
      <c r="J44" s="2476"/>
      <c r="K44" s="2474"/>
      <c r="L44" s="2475"/>
      <c r="M44" s="313"/>
      <c r="N44" s="2476"/>
      <c r="O44" s="2476"/>
      <c r="P44" s="2476"/>
      <c r="Q44" s="2474"/>
      <c r="R44" s="2475"/>
      <c r="S44" s="313"/>
      <c r="T44" s="2476"/>
      <c r="U44" s="2476"/>
      <c r="V44" s="2476"/>
      <c r="W44" s="2474"/>
      <c r="X44" s="2475"/>
      <c r="Y44" s="313"/>
      <c r="Z44" s="2476"/>
      <c r="AA44" s="2476"/>
      <c r="AB44" s="2476"/>
      <c r="AC44" s="2474"/>
      <c r="AD44" s="2475"/>
      <c r="AF44" s="313"/>
      <c r="AG44" s="2476"/>
      <c r="AH44" s="2476"/>
      <c r="AI44" s="2476"/>
      <c r="AJ44" s="2474"/>
      <c r="AK44" s="2475"/>
      <c r="AS44" s="313"/>
      <c r="AT44" s="2476"/>
      <c r="AU44" s="2476"/>
      <c r="AV44" s="2476"/>
      <c r="AW44" s="2474"/>
      <c r="AX44" s="2475"/>
    </row>
    <row r="45" spans="1:50" ht="15.75">
      <c r="A45" s="15" t="s">
        <v>2824</v>
      </c>
      <c r="B45" s="314" t="s">
        <v>2825</v>
      </c>
      <c r="C45" s="315"/>
      <c r="G45" s="15" t="s">
        <v>2824</v>
      </c>
      <c r="H45" s="314" t="s">
        <v>2825</v>
      </c>
      <c r="I45" s="315"/>
      <c r="M45" s="15" t="s">
        <v>2824</v>
      </c>
      <c r="N45" s="314" t="s">
        <v>2825</v>
      </c>
      <c r="O45" s="315"/>
      <c r="S45" s="15" t="s">
        <v>2824</v>
      </c>
      <c r="T45" s="314" t="s">
        <v>2825</v>
      </c>
      <c r="U45" s="315"/>
      <c r="Y45" s="15" t="s">
        <v>2824</v>
      </c>
      <c r="Z45" s="314" t="s">
        <v>2825</v>
      </c>
      <c r="AA45" s="315"/>
      <c r="AF45" s="15" t="s">
        <v>2824</v>
      </c>
      <c r="AG45" s="314" t="s">
        <v>2825</v>
      </c>
      <c r="AH45" s="315"/>
      <c r="AS45" s="15" t="s">
        <v>2824</v>
      </c>
      <c r="AT45" s="314" t="s">
        <v>2825</v>
      </c>
      <c r="AU45" s="315"/>
    </row>
    <row r="46" spans="1:50">
      <c r="B46" s="316" t="s">
        <v>2826</v>
      </c>
      <c r="H46" s="316" t="s">
        <v>2826</v>
      </c>
      <c r="N46" s="316" t="s">
        <v>2826</v>
      </c>
      <c r="T46" s="316" t="s">
        <v>2826</v>
      </c>
      <c r="Z46" s="316" t="s">
        <v>2826</v>
      </c>
      <c r="AG46" s="316" t="s">
        <v>2826</v>
      </c>
      <c r="AT46" s="316" t="s">
        <v>2826</v>
      </c>
    </row>
    <row r="47" spans="1:50" ht="15.75">
      <c r="B47" s="314" t="s">
        <v>2827</v>
      </c>
      <c r="C47" s="315"/>
      <c r="H47" s="314" t="s">
        <v>2827</v>
      </c>
      <c r="I47" s="315"/>
      <c r="N47" s="314" t="s">
        <v>2827</v>
      </c>
      <c r="O47" s="315"/>
      <c r="T47" s="314" t="s">
        <v>2827</v>
      </c>
      <c r="U47" s="315"/>
      <c r="Z47" s="314" t="s">
        <v>2827</v>
      </c>
      <c r="AA47" s="315"/>
      <c r="AG47" s="314" t="s">
        <v>2827</v>
      </c>
      <c r="AH47" s="315"/>
      <c r="AT47" s="314" t="s">
        <v>2827</v>
      </c>
      <c r="AU47" s="315"/>
    </row>
    <row r="48" spans="1:50">
      <c r="A48" s="16" t="s">
        <v>373</v>
      </c>
      <c r="B48" s="316" t="s">
        <v>2828</v>
      </c>
      <c r="C48" s="315"/>
      <c r="G48" s="16" t="s">
        <v>373</v>
      </c>
      <c r="H48" s="316" t="s">
        <v>2828</v>
      </c>
      <c r="I48" s="315"/>
      <c r="M48" s="16" t="s">
        <v>373</v>
      </c>
      <c r="N48" s="316" t="s">
        <v>2828</v>
      </c>
      <c r="O48" s="315"/>
      <c r="S48" s="16" t="s">
        <v>373</v>
      </c>
      <c r="T48" s="316" t="s">
        <v>2828</v>
      </c>
      <c r="U48" s="315"/>
      <c r="Y48" s="16" t="s">
        <v>373</v>
      </c>
      <c r="Z48" s="316" t="s">
        <v>2828</v>
      </c>
      <c r="AA48" s="315"/>
      <c r="AF48" s="16" t="s">
        <v>373</v>
      </c>
      <c r="AG48" s="316" t="s">
        <v>2828</v>
      </c>
      <c r="AH48" s="315"/>
      <c r="AS48" s="16" t="s">
        <v>373</v>
      </c>
      <c r="AT48" s="316" t="s">
        <v>2828</v>
      </c>
      <c r="AU48" s="315"/>
    </row>
    <row r="49" spans="1:50">
      <c r="B49" s="316"/>
      <c r="C49" s="315"/>
      <c r="H49" s="316"/>
      <c r="I49" s="315"/>
      <c r="N49" s="316"/>
      <c r="O49" s="315"/>
      <c r="T49" s="316"/>
      <c r="U49" s="315"/>
      <c r="Z49" s="316"/>
      <c r="AA49" s="315"/>
      <c r="AG49" s="316"/>
      <c r="AH49" s="315"/>
      <c r="AT49" s="316"/>
      <c r="AU49" s="315"/>
    </row>
    <row r="50" spans="1:50">
      <c r="B50" s="316"/>
      <c r="C50" s="315"/>
      <c r="H50" s="316"/>
      <c r="I50" s="315"/>
      <c r="N50" s="316"/>
      <c r="O50" s="315"/>
      <c r="T50" s="316"/>
      <c r="U50" s="315"/>
      <c r="Z50" s="316"/>
      <c r="AA50" s="315"/>
      <c r="AG50" s="316"/>
      <c r="AH50" s="315"/>
      <c r="AT50" s="316"/>
      <c r="AU50" s="315"/>
    </row>
    <row r="51" spans="1:50">
      <c r="B51" s="317"/>
      <c r="H51" s="317"/>
      <c r="N51" s="317"/>
      <c r="T51" s="317"/>
      <c r="Z51" s="317"/>
      <c r="AG51" s="317"/>
      <c r="AT51" s="317"/>
    </row>
    <row r="52" spans="1:50" ht="25.5" customHeight="1">
      <c r="A52" s="2478" t="s">
        <v>2829</v>
      </c>
      <c r="B52" s="2478"/>
      <c r="C52" s="2478"/>
      <c r="D52" s="2478"/>
      <c r="E52" s="2478"/>
      <c r="F52" s="2478"/>
      <c r="G52" s="2478" t="s">
        <v>2829</v>
      </c>
      <c r="H52" s="2478"/>
      <c r="I52" s="2478"/>
      <c r="J52" s="2478"/>
      <c r="K52" s="2478"/>
      <c r="L52" s="2478"/>
      <c r="M52" s="2478" t="s">
        <v>2829</v>
      </c>
      <c r="N52" s="2478"/>
      <c r="O52" s="2478"/>
      <c r="P52" s="2478"/>
      <c r="Q52" s="2478"/>
      <c r="R52" s="2478"/>
      <c r="S52" s="2478" t="s">
        <v>2829</v>
      </c>
      <c r="T52" s="2478"/>
      <c r="U52" s="2478"/>
      <c r="V52" s="2478"/>
      <c r="W52" s="2478"/>
      <c r="X52" s="2478"/>
      <c r="Y52" s="2478" t="s">
        <v>2829</v>
      </c>
      <c r="Z52" s="2478"/>
      <c r="AA52" s="2478"/>
      <c r="AB52" s="2478"/>
      <c r="AC52" s="2478"/>
      <c r="AD52" s="2478"/>
      <c r="AF52" s="2478" t="s">
        <v>2829</v>
      </c>
      <c r="AG52" s="2478"/>
      <c r="AH52" s="2478"/>
      <c r="AI52" s="2478"/>
      <c r="AJ52" s="2478"/>
      <c r="AK52" s="2478"/>
      <c r="AS52" s="2478" t="s">
        <v>2829</v>
      </c>
      <c r="AT52" s="2478"/>
      <c r="AU52" s="2478"/>
      <c r="AV52" s="2478"/>
      <c r="AW52" s="2478"/>
      <c r="AX52" s="2478"/>
    </row>
    <row r="53" spans="1:50" ht="21.75" customHeight="1">
      <c r="A53" s="2478"/>
      <c r="B53" s="2478"/>
      <c r="C53" s="2478"/>
      <c r="D53" s="2478"/>
      <c r="E53" s="2478"/>
      <c r="F53" s="2478"/>
      <c r="G53" s="2478"/>
      <c r="H53" s="2478"/>
      <c r="I53" s="2478"/>
      <c r="J53" s="2478"/>
      <c r="K53" s="2478"/>
      <c r="L53" s="2478"/>
      <c r="M53" s="2478"/>
      <c r="N53" s="2478"/>
      <c r="O53" s="2478"/>
      <c r="P53" s="2478"/>
      <c r="Q53" s="2478"/>
      <c r="R53" s="2478"/>
      <c r="S53" s="2478"/>
      <c r="T53" s="2478"/>
      <c r="U53" s="2478"/>
      <c r="V53" s="2478"/>
      <c r="W53" s="2478"/>
      <c r="X53" s="2478"/>
      <c r="Y53" s="2478"/>
      <c r="Z53" s="2478"/>
      <c r="AA53" s="2478"/>
      <c r="AB53" s="2478"/>
      <c r="AC53" s="2478"/>
      <c r="AD53" s="2478"/>
      <c r="AF53" s="2478"/>
      <c r="AG53" s="2478"/>
      <c r="AH53" s="2478"/>
      <c r="AI53" s="2478"/>
      <c r="AJ53" s="2478"/>
      <c r="AK53" s="2478"/>
      <c r="AS53" s="2478"/>
      <c r="AT53" s="2478"/>
      <c r="AU53" s="2478"/>
      <c r="AV53" s="2478"/>
      <c r="AW53" s="2478"/>
      <c r="AX53" s="2478"/>
    </row>
    <row r="54" spans="1:50" ht="15.75">
      <c r="A54" s="305" t="s">
        <v>1510</v>
      </c>
      <c r="B54" s="2471" t="s">
        <v>2785</v>
      </c>
      <c r="C54" s="2471"/>
      <c r="D54" s="2471"/>
      <c r="E54" s="305" t="s">
        <v>1</v>
      </c>
      <c r="F54" s="305" t="s">
        <v>2816</v>
      </c>
      <c r="G54" s="305" t="s">
        <v>1510</v>
      </c>
      <c r="H54" s="2471" t="s">
        <v>2785</v>
      </c>
      <c r="I54" s="2471"/>
      <c r="J54" s="2471"/>
      <c r="K54" s="305" t="s">
        <v>1</v>
      </c>
      <c r="L54" s="305" t="s">
        <v>2816</v>
      </c>
      <c r="M54" s="305" t="s">
        <v>1510</v>
      </c>
      <c r="N54" s="2471" t="s">
        <v>2785</v>
      </c>
      <c r="O54" s="2471"/>
      <c r="P54" s="2471"/>
      <c r="Q54" s="305" t="s">
        <v>1</v>
      </c>
      <c r="R54" s="305" t="s">
        <v>2816</v>
      </c>
      <c r="S54" s="305" t="s">
        <v>1510</v>
      </c>
      <c r="T54" s="2471" t="s">
        <v>2785</v>
      </c>
      <c r="U54" s="2471"/>
      <c r="V54" s="2471"/>
      <c r="W54" s="305" t="s">
        <v>1</v>
      </c>
      <c r="X54" s="305" t="s">
        <v>2816</v>
      </c>
      <c r="Y54" s="305" t="s">
        <v>1510</v>
      </c>
      <c r="Z54" s="2471" t="s">
        <v>2785</v>
      </c>
      <c r="AA54" s="2471"/>
      <c r="AB54" s="2471"/>
      <c r="AC54" s="305" t="s">
        <v>1</v>
      </c>
      <c r="AD54" s="305" t="s">
        <v>2816</v>
      </c>
      <c r="AF54" s="305" t="s">
        <v>1510</v>
      </c>
      <c r="AG54" s="2471" t="s">
        <v>2785</v>
      </c>
      <c r="AH54" s="2471"/>
      <c r="AI54" s="2471"/>
      <c r="AJ54" s="305" t="s">
        <v>1</v>
      </c>
      <c r="AK54" s="305" t="s">
        <v>2816</v>
      </c>
      <c r="AS54" s="305" t="s">
        <v>1510</v>
      </c>
      <c r="AT54" s="2471" t="s">
        <v>2785</v>
      </c>
      <c r="AU54" s="2471"/>
      <c r="AV54" s="2471"/>
      <c r="AW54" s="305" t="s">
        <v>1</v>
      </c>
      <c r="AX54" s="305" t="s">
        <v>2816</v>
      </c>
    </row>
    <row r="55" spans="1:50" ht="15" customHeight="1">
      <c r="A55" s="305">
        <v>1</v>
      </c>
      <c r="B55" s="318" t="s">
        <v>2830</v>
      </c>
      <c r="C55" s="319"/>
      <c r="D55" s="320"/>
      <c r="E55" s="321" t="s">
        <v>2831</v>
      </c>
      <c r="F55" s="322">
        <v>148.74</v>
      </c>
      <c r="G55" s="305">
        <v>1</v>
      </c>
      <c r="H55" s="318" t="s">
        <v>2830</v>
      </c>
      <c r="I55" s="319"/>
      <c r="J55" s="320"/>
      <c r="K55" s="321" t="s">
        <v>2831</v>
      </c>
      <c r="L55" s="322">
        <v>52</v>
      </c>
      <c r="M55" s="305">
        <v>1</v>
      </c>
      <c r="N55" s="318" t="s">
        <v>2830</v>
      </c>
      <c r="O55" s="319"/>
      <c r="P55" s="320"/>
      <c r="Q55" s="321" t="s">
        <v>2831</v>
      </c>
      <c r="R55" s="322">
        <v>52</v>
      </c>
      <c r="S55" s="305">
        <v>1</v>
      </c>
      <c r="T55" s="318" t="s">
        <v>2830</v>
      </c>
      <c r="U55" s="319"/>
      <c r="V55" s="320"/>
      <c r="W55" s="321" t="s">
        <v>2831</v>
      </c>
      <c r="X55" s="322">
        <v>49</v>
      </c>
      <c r="Y55" s="305">
        <v>1</v>
      </c>
      <c r="Z55" s="318" t="s">
        <v>2830</v>
      </c>
      <c r="AA55" s="319"/>
      <c r="AB55" s="320"/>
      <c r="AC55" s="321" t="s">
        <v>2831</v>
      </c>
      <c r="AD55" s="322">
        <v>42</v>
      </c>
      <c r="AF55" s="305">
        <v>1</v>
      </c>
      <c r="AG55" s="318" t="s">
        <v>2830</v>
      </c>
      <c r="AH55" s="319"/>
      <c r="AI55" s="320"/>
      <c r="AJ55" s="321" t="s">
        <v>2831</v>
      </c>
      <c r="AK55" s="322">
        <v>67</v>
      </c>
      <c r="AS55" s="305">
        <v>1</v>
      </c>
      <c r="AT55" s="318" t="s">
        <v>2830</v>
      </c>
      <c r="AU55" s="319"/>
      <c r="AV55" s="320"/>
      <c r="AW55" s="321" t="s">
        <v>2831</v>
      </c>
      <c r="AX55" s="322">
        <v>67</v>
      </c>
    </row>
    <row r="56" spans="1:50" ht="15" customHeight="1">
      <c r="A56" s="305">
        <v>2</v>
      </c>
      <c r="B56" s="318" t="s">
        <v>2832</v>
      </c>
      <c r="C56" s="319"/>
      <c r="D56" s="320"/>
      <c r="E56" s="321" t="s">
        <v>2831</v>
      </c>
      <c r="F56" s="322">
        <v>75.48</v>
      </c>
      <c r="G56" s="305">
        <v>2</v>
      </c>
      <c r="H56" s="318" t="s">
        <v>2832</v>
      </c>
      <c r="I56" s="319"/>
      <c r="J56" s="320"/>
      <c r="K56" s="321" t="s">
        <v>2831</v>
      </c>
      <c r="L56" s="322">
        <v>26.5</v>
      </c>
      <c r="M56" s="305">
        <v>2</v>
      </c>
      <c r="N56" s="318" t="s">
        <v>2832</v>
      </c>
      <c r="O56" s="319"/>
      <c r="P56" s="320"/>
      <c r="Q56" s="321" t="s">
        <v>2831</v>
      </c>
      <c r="R56" s="322">
        <v>26.5</v>
      </c>
      <c r="S56" s="305">
        <v>2</v>
      </c>
      <c r="T56" s="318" t="s">
        <v>2832</v>
      </c>
      <c r="U56" s="319"/>
      <c r="V56" s="320"/>
      <c r="W56" s="321" t="s">
        <v>2831</v>
      </c>
      <c r="X56" s="322">
        <v>25</v>
      </c>
      <c r="Y56" s="305">
        <v>2</v>
      </c>
      <c r="Z56" s="318" t="s">
        <v>2832</v>
      </c>
      <c r="AA56" s="319"/>
      <c r="AB56" s="320"/>
      <c r="AC56" s="321" t="s">
        <v>2831</v>
      </c>
      <c r="AD56" s="322">
        <v>22</v>
      </c>
      <c r="AF56" s="305">
        <v>2</v>
      </c>
      <c r="AG56" s="318" t="s">
        <v>2832</v>
      </c>
      <c r="AH56" s="319"/>
      <c r="AI56" s="320"/>
      <c r="AJ56" s="321" t="s">
        <v>2831</v>
      </c>
      <c r="AK56" s="322">
        <v>34</v>
      </c>
      <c r="AS56" s="305">
        <v>2</v>
      </c>
      <c r="AT56" s="318" t="s">
        <v>2832</v>
      </c>
      <c r="AU56" s="319"/>
      <c r="AV56" s="320"/>
      <c r="AW56" s="321" t="s">
        <v>2831</v>
      </c>
      <c r="AX56" s="322">
        <v>34</v>
      </c>
    </row>
    <row r="66" spans="1:50" ht="25.5" customHeight="1">
      <c r="A66" s="2478" t="s">
        <v>2829</v>
      </c>
      <c r="B66" s="2478"/>
      <c r="C66" s="2478"/>
      <c r="D66" s="2478"/>
      <c r="E66" s="2478"/>
      <c r="F66" s="2478"/>
      <c r="G66" s="2478" t="s">
        <v>2829</v>
      </c>
      <c r="H66" s="2478"/>
      <c r="I66" s="2478"/>
      <c r="J66" s="2478"/>
      <c r="K66" s="2478"/>
      <c r="L66" s="2478"/>
      <c r="M66" s="2478" t="s">
        <v>2829</v>
      </c>
      <c r="N66" s="2478"/>
      <c r="O66" s="2478"/>
      <c r="P66" s="2478"/>
      <c r="Q66" s="2478"/>
      <c r="R66" s="2478"/>
      <c r="S66" s="2478" t="s">
        <v>2833</v>
      </c>
      <c r="T66" s="2478"/>
      <c r="U66" s="2478"/>
      <c r="V66" s="2478"/>
      <c r="W66" s="2478"/>
      <c r="X66" s="2478"/>
      <c r="Y66" s="2478" t="s">
        <v>2833</v>
      </c>
      <c r="Z66" s="2478"/>
      <c r="AA66" s="2478"/>
      <c r="AB66" s="2478"/>
      <c r="AC66" s="2478"/>
      <c r="AD66" s="2478"/>
      <c r="AF66" s="2478" t="s">
        <v>2829</v>
      </c>
      <c r="AG66" s="2478"/>
      <c r="AH66" s="2478"/>
      <c r="AI66" s="2478"/>
      <c r="AJ66" s="2478"/>
      <c r="AK66" s="2478"/>
      <c r="AS66" s="2478" t="s">
        <v>2829</v>
      </c>
      <c r="AT66" s="2478"/>
      <c r="AU66" s="2478"/>
      <c r="AV66" s="2478"/>
      <c r="AW66" s="2478"/>
      <c r="AX66" s="2478"/>
    </row>
    <row r="67" spans="1:50" ht="25.5" customHeight="1">
      <c r="A67" s="2478"/>
      <c r="B67" s="2478"/>
      <c r="C67" s="2478"/>
      <c r="D67" s="2478"/>
      <c r="E67" s="2478"/>
      <c r="F67" s="2478"/>
      <c r="G67" s="2478"/>
      <c r="H67" s="2478"/>
      <c r="I67" s="2478"/>
      <c r="J67" s="2478"/>
      <c r="K67" s="2478"/>
      <c r="L67" s="2478"/>
      <c r="M67" s="2478"/>
      <c r="N67" s="2478"/>
      <c r="O67" s="2478"/>
      <c r="P67" s="2478"/>
      <c r="Q67" s="2478"/>
      <c r="R67" s="2478"/>
      <c r="S67" s="2478"/>
      <c r="T67" s="2478"/>
      <c r="U67" s="2478"/>
      <c r="V67" s="2478"/>
      <c r="W67" s="2478"/>
      <c r="X67" s="2478"/>
      <c r="Y67" s="2478"/>
      <c r="Z67" s="2478"/>
      <c r="AA67" s="2478"/>
      <c r="AB67" s="2478"/>
      <c r="AC67" s="2478"/>
      <c r="AD67" s="2478"/>
      <c r="AF67" s="2478"/>
      <c r="AG67" s="2478"/>
      <c r="AH67" s="2478"/>
      <c r="AI67" s="2478"/>
      <c r="AJ67" s="2478"/>
      <c r="AK67" s="2478"/>
      <c r="AS67" s="2478"/>
      <c r="AT67" s="2478"/>
      <c r="AU67" s="2478"/>
      <c r="AV67" s="2478"/>
      <c r="AW67" s="2478"/>
      <c r="AX67" s="2478"/>
    </row>
    <row r="68" spans="1:50" ht="15" customHeight="1">
      <c r="A68" s="2467" t="s">
        <v>2785</v>
      </c>
      <c r="B68" s="2467" t="s">
        <v>2790</v>
      </c>
      <c r="C68" s="298" t="s">
        <v>2787</v>
      </c>
      <c r="D68" s="2458" t="s">
        <v>2791</v>
      </c>
      <c r="E68" s="2479"/>
      <c r="F68" s="2459"/>
      <c r="G68" s="2467" t="s">
        <v>2785</v>
      </c>
      <c r="H68" s="2467" t="s">
        <v>2790</v>
      </c>
      <c r="I68" s="298" t="s">
        <v>2787</v>
      </c>
      <c r="J68" s="2458" t="s">
        <v>2791</v>
      </c>
      <c r="K68" s="2479"/>
      <c r="L68" s="2459"/>
      <c r="M68" s="2467" t="s">
        <v>2785</v>
      </c>
      <c r="N68" s="2467" t="s">
        <v>2790</v>
      </c>
      <c r="O68" s="298" t="s">
        <v>2787</v>
      </c>
      <c r="P68" s="2458" t="s">
        <v>2791</v>
      </c>
      <c r="Q68" s="2479"/>
      <c r="R68" s="2459"/>
      <c r="S68" s="2467" t="s">
        <v>2785</v>
      </c>
      <c r="T68" s="2467" t="s">
        <v>2790</v>
      </c>
      <c r="U68" s="298" t="s">
        <v>2787</v>
      </c>
      <c r="V68" s="2458" t="s">
        <v>2791</v>
      </c>
      <c r="W68" s="2479"/>
      <c r="X68" s="2459"/>
      <c r="Y68" s="2467" t="s">
        <v>2785</v>
      </c>
      <c r="Z68" s="2467" t="s">
        <v>2790</v>
      </c>
      <c r="AA68" s="298" t="s">
        <v>2787</v>
      </c>
      <c r="AB68" s="2458" t="s">
        <v>2791</v>
      </c>
      <c r="AC68" s="2479"/>
      <c r="AD68" s="2459"/>
      <c r="AF68" s="2467" t="s">
        <v>2785</v>
      </c>
      <c r="AG68" s="2467" t="s">
        <v>2790</v>
      </c>
      <c r="AH68" s="298" t="s">
        <v>2787</v>
      </c>
      <c r="AI68" s="2458" t="s">
        <v>2791</v>
      </c>
      <c r="AJ68" s="2479"/>
      <c r="AK68" s="2459"/>
      <c r="AS68" s="2467" t="s">
        <v>2785</v>
      </c>
      <c r="AT68" s="2467" t="s">
        <v>2790</v>
      </c>
      <c r="AU68" s="298" t="s">
        <v>2787</v>
      </c>
      <c r="AV68" s="2458" t="s">
        <v>2791</v>
      </c>
      <c r="AW68" s="2479"/>
      <c r="AX68" s="2459"/>
    </row>
    <row r="69" spans="1:50">
      <c r="A69" s="2468"/>
      <c r="B69" s="2468"/>
      <c r="C69" s="299" t="s">
        <v>2794</v>
      </c>
      <c r="D69" s="2460"/>
      <c r="E69" s="2480"/>
      <c r="F69" s="2461"/>
      <c r="G69" s="2468"/>
      <c r="H69" s="2468"/>
      <c r="I69" s="299" t="s">
        <v>2794</v>
      </c>
      <c r="J69" s="2460"/>
      <c r="K69" s="2480"/>
      <c r="L69" s="2461"/>
      <c r="M69" s="2468"/>
      <c r="N69" s="2468"/>
      <c r="O69" s="299" t="s">
        <v>2794</v>
      </c>
      <c r="P69" s="2460"/>
      <c r="Q69" s="2480"/>
      <c r="R69" s="2461"/>
      <c r="S69" s="2468"/>
      <c r="T69" s="2468"/>
      <c r="U69" s="299" t="s">
        <v>2794</v>
      </c>
      <c r="V69" s="2460"/>
      <c r="W69" s="2480"/>
      <c r="X69" s="2461"/>
      <c r="Y69" s="2468"/>
      <c r="Z69" s="2468"/>
      <c r="AA69" s="299" t="s">
        <v>2794</v>
      </c>
      <c r="AB69" s="2460"/>
      <c r="AC69" s="2480"/>
      <c r="AD69" s="2461"/>
      <c r="AF69" s="2468"/>
      <c r="AG69" s="2468"/>
      <c r="AH69" s="299" t="s">
        <v>2794</v>
      </c>
      <c r="AI69" s="2460"/>
      <c r="AJ69" s="2480"/>
      <c r="AK69" s="2461"/>
      <c r="AS69" s="2468"/>
      <c r="AT69" s="2468"/>
      <c r="AU69" s="299" t="s">
        <v>2794</v>
      </c>
      <c r="AV69" s="2460"/>
      <c r="AW69" s="2480"/>
      <c r="AX69" s="2461"/>
    </row>
    <row r="70" spans="1:50">
      <c r="A70" s="2468"/>
      <c r="B70" s="2468"/>
      <c r="C70" s="299" t="s">
        <v>2795</v>
      </c>
      <c r="D70" s="2460"/>
      <c r="E70" s="2480"/>
      <c r="F70" s="2461"/>
      <c r="G70" s="2468"/>
      <c r="H70" s="2468"/>
      <c r="I70" s="299" t="s">
        <v>2795</v>
      </c>
      <c r="J70" s="2460"/>
      <c r="K70" s="2480"/>
      <c r="L70" s="2461"/>
      <c r="M70" s="2468"/>
      <c r="N70" s="2468"/>
      <c r="O70" s="299" t="s">
        <v>2795</v>
      </c>
      <c r="P70" s="2460"/>
      <c r="Q70" s="2480"/>
      <c r="R70" s="2461"/>
      <c r="S70" s="2468"/>
      <c r="T70" s="2468"/>
      <c r="U70" s="299" t="s">
        <v>2795</v>
      </c>
      <c r="V70" s="2460"/>
      <c r="W70" s="2480"/>
      <c r="X70" s="2461"/>
      <c r="Y70" s="2468"/>
      <c r="Z70" s="2468"/>
      <c r="AA70" s="299" t="s">
        <v>2795</v>
      </c>
      <c r="AB70" s="2460"/>
      <c r="AC70" s="2480"/>
      <c r="AD70" s="2461"/>
      <c r="AF70" s="2468"/>
      <c r="AG70" s="2468"/>
      <c r="AH70" s="299" t="s">
        <v>2795</v>
      </c>
      <c r="AI70" s="2460"/>
      <c r="AJ70" s="2480"/>
      <c r="AK70" s="2461"/>
      <c r="AS70" s="2468"/>
      <c r="AT70" s="2468"/>
      <c r="AU70" s="299" t="s">
        <v>2795</v>
      </c>
      <c r="AV70" s="2460"/>
      <c r="AW70" s="2480"/>
      <c r="AX70" s="2461"/>
    </row>
    <row r="71" spans="1:50">
      <c r="A71" s="2468"/>
      <c r="B71" s="2468"/>
      <c r="C71" s="299" t="s">
        <v>2796</v>
      </c>
      <c r="D71" s="2460"/>
      <c r="E71" s="2480"/>
      <c r="F71" s="2461"/>
      <c r="G71" s="2468"/>
      <c r="H71" s="2468"/>
      <c r="I71" s="299" t="s">
        <v>2796</v>
      </c>
      <c r="J71" s="2460"/>
      <c r="K71" s="2480"/>
      <c r="L71" s="2461"/>
      <c r="M71" s="2468"/>
      <c r="N71" s="2468"/>
      <c r="O71" s="299" t="s">
        <v>2796</v>
      </c>
      <c r="P71" s="2460"/>
      <c r="Q71" s="2480"/>
      <c r="R71" s="2461"/>
      <c r="S71" s="2468"/>
      <c r="T71" s="2468"/>
      <c r="U71" s="299" t="s">
        <v>2796</v>
      </c>
      <c r="V71" s="2460"/>
      <c r="W71" s="2480"/>
      <c r="X71" s="2461"/>
      <c r="Y71" s="2468"/>
      <c r="Z71" s="2468"/>
      <c r="AA71" s="299" t="s">
        <v>2796</v>
      </c>
      <c r="AB71" s="2460"/>
      <c r="AC71" s="2480"/>
      <c r="AD71" s="2461"/>
      <c r="AF71" s="2468"/>
      <c r="AG71" s="2468"/>
      <c r="AH71" s="299" t="s">
        <v>2796</v>
      </c>
      <c r="AI71" s="2460"/>
      <c r="AJ71" s="2480"/>
      <c r="AK71" s="2461"/>
      <c r="AS71" s="2468"/>
      <c r="AT71" s="2468"/>
      <c r="AU71" s="299" t="s">
        <v>2796</v>
      </c>
      <c r="AV71" s="2460"/>
      <c r="AW71" s="2480"/>
      <c r="AX71" s="2461"/>
    </row>
    <row r="72" spans="1:50">
      <c r="A72" s="2468"/>
      <c r="B72" s="2468"/>
      <c r="C72" s="299" t="s">
        <v>2797</v>
      </c>
      <c r="D72" s="2460"/>
      <c r="E72" s="2480"/>
      <c r="F72" s="2461"/>
      <c r="G72" s="2468"/>
      <c r="H72" s="2468"/>
      <c r="I72" s="299" t="s">
        <v>2797</v>
      </c>
      <c r="J72" s="2460"/>
      <c r="K72" s="2480"/>
      <c r="L72" s="2461"/>
      <c r="M72" s="2468"/>
      <c r="N72" s="2468"/>
      <c r="O72" s="299" t="s">
        <v>2797</v>
      </c>
      <c r="P72" s="2460"/>
      <c r="Q72" s="2480"/>
      <c r="R72" s="2461"/>
      <c r="S72" s="2468"/>
      <c r="T72" s="2468"/>
      <c r="U72" s="299" t="s">
        <v>2797</v>
      </c>
      <c r="V72" s="2460"/>
      <c r="W72" s="2480"/>
      <c r="X72" s="2461"/>
      <c r="Y72" s="2468"/>
      <c r="Z72" s="2468"/>
      <c r="AA72" s="299" t="s">
        <v>2797</v>
      </c>
      <c r="AB72" s="2460"/>
      <c r="AC72" s="2480"/>
      <c r="AD72" s="2461"/>
      <c r="AF72" s="2468"/>
      <c r="AG72" s="2468"/>
      <c r="AH72" s="299" t="s">
        <v>2797</v>
      </c>
      <c r="AI72" s="2460"/>
      <c r="AJ72" s="2480"/>
      <c r="AK72" s="2461"/>
      <c r="AS72" s="2468"/>
      <c r="AT72" s="2468"/>
      <c r="AU72" s="299" t="s">
        <v>2797</v>
      </c>
      <c r="AV72" s="2460"/>
      <c r="AW72" s="2480"/>
      <c r="AX72" s="2461"/>
    </row>
    <row r="73" spans="1:50">
      <c r="A73" s="2468"/>
      <c r="B73" s="2468"/>
      <c r="C73" s="299" t="s">
        <v>2798</v>
      </c>
      <c r="D73" s="2460"/>
      <c r="E73" s="2480"/>
      <c r="F73" s="2461"/>
      <c r="G73" s="2468"/>
      <c r="H73" s="2468"/>
      <c r="I73" s="299" t="s">
        <v>2798</v>
      </c>
      <c r="J73" s="2460"/>
      <c r="K73" s="2480"/>
      <c r="L73" s="2461"/>
      <c r="M73" s="2468"/>
      <c r="N73" s="2468"/>
      <c r="O73" s="299" t="s">
        <v>2798</v>
      </c>
      <c r="P73" s="2460"/>
      <c r="Q73" s="2480"/>
      <c r="R73" s="2461"/>
      <c r="S73" s="2468"/>
      <c r="T73" s="2468"/>
      <c r="U73" s="299" t="s">
        <v>2798</v>
      </c>
      <c r="V73" s="2460"/>
      <c r="W73" s="2480"/>
      <c r="X73" s="2461"/>
      <c r="Y73" s="2468"/>
      <c r="Z73" s="2468"/>
      <c r="AA73" s="299" t="s">
        <v>2798</v>
      </c>
      <c r="AB73" s="2460"/>
      <c r="AC73" s="2480"/>
      <c r="AD73" s="2461"/>
      <c r="AF73" s="2468"/>
      <c r="AG73" s="2468"/>
      <c r="AH73" s="299" t="s">
        <v>2798</v>
      </c>
      <c r="AI73" s="2460"/>
      <c r="AJ73" s="2480"/>
      <c r="AK73" s="2461"/>
      <c r="AS73" s="2468"/>
      <c r="AT73" s="2468"/>
      <c r="AU73" s="299" t="s">
        <v>2798</v>
      </c>
      <c r="AV73" s="2460"/>
      <c r="AW73" s="2480"/>
      <c r="AX73" s="2461"/>
    </row>
    <row r="74" spans="1:50">
      <c r="A74" s="2468"/>
      <c r="B74" s="2468"/>
      <c r="C74" s="299" t="s">
        <v>2799</v>
      </c>
      <c r="D74" s="2460"/>
      <c r="E74" s="2480"/>
      <c r="F74" s="2461"/>
      <c r="G74" s="2468"/>
      <c r="H74" s="2468"/>
      <c r="I74" s="299" t="s">
        <v>2799</v>
      </c>
      <c r="J74" s="2460"/>
      <c r="K74" s="2480"/>
      <c r="L74" s="2461"/>
      <c r="M74" s="2468"/>
      <c r="N74" s="2468"/>
      <c r="O74" s="299" t="s">
        <v>2799</v>
      </c>
      <c r="P74" s="2460"/>
      <c r="Q74" s="2480"/>
      <c r="R74" s="2461"/>
      <c r="S74" s="2468"/>
      <c r="T74" s="2468"/>
      <c r="U74" s="299" t="s">
        <v>2799</v>
      </c>
      <c r="V74" s="2460"/>
      <c r="W74" s="2480"/>
      <c r="X74" s="2461"/>
      <c r="Y74" s="2468"/>
      <c r="Z74" s="2468"/>
      <c r="AA74" s="299" t="s">
        <v>2799</v>
      </c>
      <c r="AB74" s="2460"/>
      <c r="AC74" s="2480"/>
      <c r="AD74" s="2461"/>
      <c r="AF74" s="2468"/>
      <c r="AG74" s="2468"/>
      <c r="AH74" s="299" t="s">
        <v>2799</v>
      </c>
      <c r="AI74" s="2460"/>
      <c r="AJ74" s="2480"/>
      <c r="AK74" s="2461"/>
      <c r="AS74" s="2468"/>
      <c r="AT74" s="2468"/>
      <c r="AU74" s="299" t="s">
        <v>2799</v>
      </c>
      <c r="AV74" s="2460"/>
      <c r="AW74" s="2480"/>
      <c r="AX74" s="2461"/>
    </row>
    <row r="75" spans="1:50">
      <c r="A75" s="2468"/>
      <c r="B75" s="2468"/>
      <c r="C75" s="299" t="s">
        <v>2800</v>
      </c>
      <c r="D75" s="2460"/>
      <c r="E75" s="2480"/>
      <c r="F75" s="2461"/>
      <c r="G75" s="2468"/>
      <c r="H75" s="2468"/>
      <c r="I75" s="299" t="s">
        <v>2800</v>
      </c>
      <c r="J75" s="2460"/>
      <c r="K75" s="2480"/>
      <c r="L75" s="2461"/>
      <c r="M75" s="2468"/>
      <c r="N75" s="2468"/>
      <c r="O75" s="299" t="s">
        <v>2800</v>
      </c>
      <c r="P75" s="2460"/>
      <c r="Q75" s="2480"/>
      <c r="R75" s="2461"/>
      <c r="S75" s="2468"/>
      <c r="T75" s="2468"/>
      <c r="U75" s="299" t="s">
        <v>2800</v>
      </c>
      <c r="V75" s="2460"/>
      <c r="W75" s="2480"/>
      <c r="X75" s="2461"/>
      <c r="Y75" s="2468"/>
      <c r="Z75" s="2468"/>
      <c r="AA75" s="299" t="s">
        <v>2800</v>
      </c>
      <c r="AB75" s="2460"/>
      <c r="AC75" s="2480"/>
      <c r="AD75" s="2461"/>
      <c r="AF75" s="2468"/>
      <c r="AG75" s="2468"/>
      <c r="AH75" s="299" t="s">
        <v>2800</v>
      </c>
      <c r="AI75" s="2460"/>
      <c r="AJ75" s="2480"/>
      <c r="AK75" s="2461"/>
      <c r="AS75" s="2468"/>
      <c r="AT75" s="2468"/>
      <c r="AU75" s="299" t="s">
        <v>2800</v>
      </c>
      <c r="AV75" s="2460"/>
      <c r="AW75" s="2480"/>
      <c r="AX75" s="2461"/>
    </row>
    <row r="76" spans="1:50">
      <c r="A76" s="2468"/>
      <c r="B76" s="2468"/>
      <c r="C76" s="299" t="s">
        <v>2802</v>
      </c>
      <c r="D76" s="2460"/>
      <c r="E76" s="2480"/>
      <c r="F76" s="2461"/>
      <c r="G76" s="2468"/>
      <c r="H76" s="2468"/>
      <c r="I76" s="299" t="s">
        <v>2802</v>
      </c>
      <c r="J76" s="2460"/>
      <c r="K76" s="2480"/>
      <c r="L76" s="2461"/>
      <c r="M76" s="2468"/>
      <c r="N76" s="2468"/>
      <c r="O76" s="299" t="s">
        <v>2802</v>
      </c>
      <c r="P76" s="2460"/>
      <c r="Q76" s="2480"/>
      <c r="R76" s="2461"/>
      <c r="S76" s="2468"/>
      <c r="T76" s="2468"/>
      <c r="U76" s="299" t="s">
        <v>2802</v>
      </c>
      <c r="V76" s="2460"/>
      <c r="W76" s="2480"/>
      <c r="X76" s="2461"/>
      <c r="Y76" s="2468"/>
      <c r="Z76" s="2468"/>
      <c r="AA76" s="299" t="s">
        <v>2802</v>
      </c>
      <c r="AB76" s="2460"/>
      <c r="AC76" s="2480"/>
      <c r="AD76" s="2461"/>
      <c r="AF76" s="2468"/>
      <c r="AG76" s="2468"/>
      <c r="AH76" s="299" t="s">
        <v>2802</v>
      </c>
      <c r="AI76" s="2460"/>
      <c r="AJ76" s="2480"/>
      <c r="AK76" s="2461"/>
      <c r="AS76" s="2468"/>
      <c r="AT76" s="2468"/>
      <c r="AU76" s="299" t="s">
        <v>2802</v>
      </c>
      <c r="AV76" s="2460"/>
      <c r="AW76" s="2480"/>
      <c r="AX76" s="2461"/>
    </row>
    <row r="77" spans="1:50">
      <c r="A77" s="2468"/>
      <c r="B77" s="2468"/>
      <c r="C77" s="299" t="s">
        <v>2803</v>
      </c>
      <c r="D77" s="2460"/>
      <c r="E77" s="2480"/>
      <c r="F77" s="2461"/>
      <c r="G77" s="2468"/>
      <c r="H77" s="2468"/>
      <c r="I77" s="299" t="s">
        <v>2803</v>
      </c>
      <c r="J77" s="2460"/>
      <c r="K77" s="2480"/>
      <c r="L77" s="2461"/>
      <c r="M77" s="2468"/>
      <c r="N77" s="2468"/>
      <c r="O77" s="299" t="s">
        <v>2803</v>
      </c>
      <c r="P77" s="2460"/>
      <c r="Q77" s="2480"/>
      <c r="R77" s="2461"/>
      <c r="S77" s="2468"/>
      <c r="T77" s="2468"/>
      <c r="U77" s="299" t="s">
        <v>2803</v>
      </c>
      <c r="V77" s="2460"/>
      <c r="W77" s="2480"/>
      <c r="X77" s="2461"/>
      <c r="Y77" s="2468"/>
      <c r="Z77" s="2468"/>
      <c r="AA77" s="299" t="s">
        <v>2803</v>
      </c>
      <c r="AB77" s="2460"/>
      <c r="AC77" s="2480"/>
      <c r="AD77" s="2461"/>
      <c r="AF77" s="2468"/>
      <c r="AG77" s="2468"/>
      <c r="AH77" s="299" t="s">
        <v>2803</v>
      </c>
      <c r="AI77" s="2460"/>
      <c r="AJ77" s="2480"/>
      <c r="AK77" s="2461"/>
      <c r="AS77" s="2468"/>
      <c r="AT77" s="2468"/>
      <c r="AU77" s="299" t="s">
        <v>2803</v>
      </c>
      <c r="AV77" s="2460"/>
      <c r="AW77" s="2480"/>
      <c r="AX77" s="2461"/>
    </row>
    <row r="78" spans="1:50">
      <c r="A78" s="2469"/>
      <c r="B78" s="2469"/>
      <c r="C78" s="300" t="s">
        <v>2804</v>
      </c>
      <c r="D78" s="2462"/>
      <c r="E78" s="2481"/>
      <c r="F78" s="2463"/>
      <c r="G78" s="2469"/>
      <c r="H78" s="2469"/>
      <c r="I78" s="300" t="s">
        <v>2804</v>
      </c>
      <c r="J78" s="2462"/>
      <c r="K78" s="2481"/>
      <c r="L78" s="2463"/>
      <c r="M78" s="2469"/>
      <c r="N78" s="2469"/>
      <c r="O78" s="300" t="s">
        <v>2804</v>
      </c>
      <c r="P78" s="2462"/>
      <c r="Q78" s="2481"/>
      <c r="R78" s="2463"/>
      <c r="S78" s="2469"/>
      <c r="T78" s="2469"/>
      <c r="U78" s="300" t="s">
        <v>2804</v>
      </c>
      <c r="V78" s="2462"/>
      <c r="W78" s="2481"/>
      <c r="X78" s="2463"/>
      <c r="Y78" s="2469"/>
      <c r="Z78" s="2469"/>
      <c r="AA78" s="300" t="s">
        <v>2804</v>
      </c>
      <c r="AB78" s="2462"/>
      <c r="AC78" s="2481"/>
      <c r="AD78" s="2463"/>
      <c r="AF78" s="2469"/>
      <c r="AG78" s="2469"/>
      <c r="AH78" s="300" t="s">
        <v>2804</v>
      </c>
      <c r="AI78" s="2462"/>
      <c r="AJ78" s="2481"/>
      <c r="AK78" s="2463"/>
      <c r="AS78" s="2469"/>
      <c r="AT78" s="2469"/>
      <c r="AU78" s="300" t="s">
        <v>2804</v>
      </c>
      <c r="AV78" s="2462"/>
      <c r="AW78" s="2481"/>
      <c r="AX78" s="2463"/>
    </row>
    <row r="79" spans="1:50" ht="15.75">
      <c r="A79" s="305">
        <v>1</v>
      </c>
      <c r="B79" s="305">
        <v>2</v>
      </c>
      <c r="C79" s="305">
        <v>3</v>
      </c>
      <c r="D79" s="2471">
        <v>4</v>
      </c>
      <c r="E79" s="2471"/>
      <c r="F79" s="2471"/>
      <c r="G79" s="305">
        <v>1</v>
      </c>
      <c r="H79" s="305">
        <v>2</v>
      </c>
      <c r="I79" s="305">
        <v>3</v>
      </c>
      <c r="J79" s="2471">
        <v>4</v>
      </c>
      <c r="K79" s="2471"/>
      <c r="L79" s="2471"/>
      <c r="M79" s="305">
        <v>1</v>
      </c>
      <c r="N79" s="305">
        <v>2</v>
      </c>
      <c r="O79" s="305">
        <v>3</v>
      </c>
      <c r="P79" s="2471">
        <v>4</v>
      </c>
      <c r="Q79" s="2471"/>
      <c r="R79" s="2471"/>
      <c r="S79" s="305">
        <v>1</v>
      </c>
      <c r="T79" s="305">
        <v>2</v>
      </c>
      <c r="U79" s="305">
        <v>3</v>
      </c>
      <c r="V79" s="2471">
        <v>4</v>
      </c>
      <c r="W79" s="2471"/>
      <c r="X79" s="2471"/>
      <c r="Y79" s="305">
        <v>1</v>
      </c>
      <c r="Z79" s="305">
        <v>2</v>
      </c>
      <c r="AA79" s="305">
        <v>3</v>
      </c>
      <c r="AB79" s="2471">
        <v>4</v>
      </c>
      <c r="AC79" s="2471"/>
      <c r="AD79" s="2471"/>
      <c r="AF79" s="305">
        <v>1</v>
      </c>
      <c r="AG79" s="305">
        <v>2</v>
      </c>
      <c r="AH79" s="305">
        <v>3</v>
      </c>
      <c r="AI79" s="2471">
        <v>4</v>
      </c>
      <c r="AJ79" s="2471"/>
      <c r="AK79" s="2471"/>
      <c r="AS79" s="305">
        <v>1</v>
      </c>
      <c r="AT79" s="305">
        <v>2</v>
      </c>
      <c r="AU79" s="305">
        <v>3</v>
      </c>
      <c r="AV79" s="2471">
        <v>4</v>
      </c>
      <c r="AW79" s="2471"/>
      <c r="AX79" s="2471"/>
    </row>
    <row r="80" spans="1:50">
      <c r="A80" s="321"/>
      <c r="B80" s="323" t="s">
        <v>2816</v>
      </c>
      <c r="C80" s="323" t="s">
        <v>2816</v>
      </c>
      <c r="D80" s="2485" t="s">
        <v>2816</v>
      </c>
      <c r="E80" s="2485"/>
      <c r="F80" s="2485"/>
      <c r="G80" s="321"/>
      <c r="H80" s="323" t="s">
        <v>2816</v>
      </c>
      <c r="I80" s="323" t="s">
        <v>2816</v>
      </c>
      <c r="J80" s="2485" t="s">
        <v>2816</v>
      </c>
      <c r="K80" s="2485"/>
      <c r="L80" s="2485"/>
      <c r="M80" s="321"/>
      <c r="N80" s="323" t="s">
        <v>2816</v>
      </c>
      <c r="O80" s="323" t="s">
        <v>2816</v>
      </c>
      <c r="P80" s="2485" t="s">
        <v>2816</v>
      </c>
      <c r="Q80" s="2485"/>
      <c r="R80" s="2485"/>
      <c r="S80" s="321"/>
      <c r="T80" s="323" t="s">
        <v>2816</v>
      </c>
      <c r="U80" s="323" t="s">
        <v>2816</v>
      </c>
      <c r="V80" s="2485" t="s">
        <v>2816</v>
      </c>
      <c r="W80" s="2485"/>
      <c r="X80" s="2485"/>
      <c r="Y80" s="321"/>
      <c r="Z80" s="323" t="s">
        <v>2816</v>
      </c>
      <c r="AA80" s="323" t="s">
        <v>2816</v>
      </c>
      <c r="AB80" s="2485" t="s">
        <v>2816</v>
      </c>
      <c r="AC80" s="2485"/>
      <c r="AD80" s="2485"/>
      <c r="AF80" s="321"/>
      <c r="AG80" s="323" t="s">
        <v>2816</v>
      </c>
      <c r="AH80" s="323" t="s">
        <v>2816</v>
      </c>
      <c r="AI80" s="2485" t="s">
        <v>2816</v>
      </c>
      <c r="AJ80" s="2485"/>
      <c r="AK80" s="2485"/>
      <c r="AS80" s="321"/>
      <c r="AT80" s="323" t="s">
        <v>2816</v>
      </c>
      <c r="AU80" s="323" t="s">
        <v>2816</v>
      </c>
      <c r="AV80" s="2485" t="s">
        <v>2816</v>
      </c>
      <c r="AW80" s="2485"/>
      <c r="AX80" s="2485"/>
    </row>
    <row r="81" spans="1:50" ht="15.75">
      <c r="A81" s="324" t="s">
        <v>2834</v>
      </c>
      <c r="B81" s="321"/>
      <c r="C81" s="321"/>
      <c r="D81" s="2482"/>
      <c r="E81" s="2483"/>
      <c r="F81" s="2484"/>
      <c r="G81" s="324" t="s">
        <v>2834</v>
      </c>
      <c r="H81" s="321"/>
      <c r="I81" s="321"/>
      <c r="J81" s="2482"/>
      <c r="K81" s="2483"/>
      <c r="L81" s="2484"/>
      <c r="M81" s="324" t="s">
        <v>2834</v>
      </c>
      <c r="N81" s="321"/>
      <c r="O81" s="321"/>
      <c r="P81" s="2482"/>
      <c r="Q81" s="2483"/>
      <c r="R81" s="2484"/>
      <c r="S81" s="324" t="s">
        <v>2834</v>
      </c>
      <c r="T81" s="321"/>
      <c r="U81" s="321"/>
      <c r="V81" s="2482"/>
      <c r="W81" s="2483"/>
      <c r="X81" s="2484"/>
      <c r="Y81" s="324" t="s">
        <v>2834</v>
      </c>
      <c r="Z81" s="321"/>
      <c r="AA81" s="321"/>
      <c r="AB81" s="2482"/>
      <c r="AC81" s="2483"/>
      <c r="AD81" s="2484"/>
      <c r="AF81" s="324" t="s">
        <v>2834</v>
      </c>
      <c r="AG81" s="321"/>
      <c r="AH81" s="321"/>
      <c r="AI81" s="2482"/>
      <c r="AJ81" s="2483"/>
      <c r="AK81" s="2484"/>
      <c r="AS81" s="324" t="s">
        <v>2834</v>
      </c>
      <c r="AT81" s="321"/>
      <c r="AU81" s="321"/>
      <c r="AV81" s="2482"/>
      <c r="AW81" s="2483"/>
      <c r="AX81" s="2484"/>
    </row>
    <row r="82" spans="1:50" ht="15.75">
      <c r="A82" s="325" t="s">
        <v>2835</v>
      </c>
      <c r="B82" s="307">
        <v>108.78</v>
      </c>
      <c r="C82" s="307">
        <v>621</v>
      </c>
      <c r="D82" s="2486">
        <v>18.559999999999999</v>
      </c>
      <c r="E82" s="2486"/>
      <c r="F82" s="2486"/>
      <c r="G82" s="325" t="s">
        <v>2835</v>
      </c>
      <c r="H82" s="307">
        <v>38</v>
      </c>
      <c r="I82" s="307">
        <v>216</v>
      </c>
      <c r="J82" s="2486">
        <v>6.5</v>
      </c>
      <c r="K82" s="2486"/>
      <c r="L82" s="2486"/>
      <c r="M82" s="325" t="s">
        <v>2835</v>
      </c>
      <c r="N82" s="307">
        <v>38</v>
      </c>
      <c r="O82" s="307">
        <v>216</v>
      </c>
      <c r="P82" s="2486">
        <v>6.5</v>
      </c>
      <c r="Q82" s="2486"/>
      <c r="R82" s="2486"/>
      <c r="S82" s="325" t="s">
        <v>2835</v>
      </c>
      <c r="T82" s="307">
        <v>36</v>
      </c>
      <c r="U82" s="307">
        <v>213</v>
      </c>
      <c r="V82" s="2486">
        <v>6</v>
      </c>
      <c r="W82" s="2486"/>
      <c r="X82" s="2486"/>
      <c r="Y82" s="325" t="s">
        <v>2835</v>
      </c>
      <c r="Z82" s="307">
        <v>30</v>
      </c>
      <c r="AA82" s="307">
        <v>180</v>
      </c>
      <c r="AB82" s="2486">
        <v>5</v>
      </c>
      <c r="AC82" s="2486"/>
      <c r="AD82" s="2486"/>
      <c r="AF82" s="325" t="s">
        <v>2835</v>
      </c>
      <c r="AG82" s="307">
        <v>49</v>
      </c>
      <c r="AH82" s="307">
        <v>280</v>
      </c>
      <c r="AI82" s="2486">
        <v>8.4</v>
      </c>
      <c r="AJ82" s="2486"/>
      <c r="AK82" s="2486"/>
      <c r="AS82" s="325" t="s">
        <v>2835</v>
      </c>
      <c r="AT82" s="307">
        <v>49</v>
      </c>
      <c r="AU82" s="307">
        <v>280</v>
      </c>
      <c r="AV82" s="2486">
        <v>8.4</v>
      </c>
      <c r="AW82" s="2486"/>
      <c r="AX82" s="2486"/>
    </row>
    <row r="83" spans="1:50" ht="60.75">
      <c r="A83" s="325" t="s">
        <v>2836</v>
      </c>
      <c r="B83" s="307">
        <v>11.54</v>
      </c>
      <c r="C83" s="307">
        <v>54.83</v>
      </c>
      <c r="D83" s="2486">
        <v>1.55</v>
      </c>
      <c r="E83" s="2486"/>
      <c r="F83" s="2486"/>
      <c r="G83" s="325" t="s">
        <v>2836</v>
      </c>
      <c r="H83" s="307">
        <v>4</v>
      </c>
      <c r="I83" s="307">
        <v>19</v>
      </c>
      <c r="J83" s="2486">
        <v>0.6</v>
      </c>
      <c r="K83" s="2486"/>
      <c r="L83" s="2486"/>
      <c r="M83" s="325" t="s">
        <v>2836</v>
      </c>
      <c r="N83" s="307">
        <v>4</v>
      </c>
      <c r="O83" s="307">
        <v>19</v>
      </c>
      <c r="P83" s="2486">
        <v>0.6</v>
      </c>
      <c r="Q83" s="2486"/>
      <c r="R83" s="2486"/>
      <c r="S83" s="325" t="s">
        <v>2836</v>
      </c>
      <c r="T83" s="307">
        <v>4</v>
      </c>
      <c r="U83" s="307">
        <v>19</v>
      </c>
      <c r="V83" s="2486">
        <v>0.6</v>
      </c>
      <c r="W83" s="2486"/>
      <c r="X83" s="2486"/>
      <c r="Y83" s="325" t="s">
        <v>2836</v>
      </c>
      <c r="Z83" s="307">
        <v>3</v>
      </c>
      <c r="AA83" s="307">
        <v>16</v>
      </c>
      <c r="AB83" s="2486">
        <v>0.5</v>
      </c>
      <c r="AC83" s="2486"/>
      <c r="AD83" s="2486"/>
      <c r="AF83" s="325" t="s">
        <v>2836</v>
      </c>
      <c r="AG83" s="307">
        <v>5.2</v>
      </c>
      <c r="AH83" s="307">
        <v>24.7</v>
      </c>
      <c r="AI83" s="2486">
        <v>0.7</v>
      </c>
      <c r="AJ83" s="2486"/>
      <c r="AK83" s="2486"/>
      <c r="AS83" s="325" t="s">
        <v>2836</v>
      </c>
      <c r="AT83" s="307">
        <v>5.2</v>
      </c>
      <c r="AU83" s="307">
        <v>24.7</v>
      </c>
      <c r="AV83" s="2486">
        <v>0.7</v>
      </c>
      <c r="AW83" s="2486"/>
      <c r="AX83" s="2486"/>
    </row>
    <row r="84" spans="1:50" ht="60.75">
      <c r="A84" s="325" t="s">
        <v>2837</v>
      </c>
      <c r="B84" s="307">
        <v>5.77</v>
      </c>
      <c r="C84" s="307">
        <v>39.96</v>
      </c>
      <c r="D84" s="2486">
        <v>1.33</v>
      </c>
      <c r="E84" s="2486"/>
      <c r="F84" s="2486"/>
      <c r="G84" s="325" t="s">
        <v>2837</v>
      </c>
      <c r="H84" s="307">
        <v>2</v>
      </c>
      <c r="I84" s="307">
        <v>14</v>
      </c>
      <c r="J84" s="2486">
        <v>0.5</v>
      </c>
      <c r="K84" s="2486"/>
      <c r="L84" s="2486"/>
      <c r="M84" s="325" t="s">
        <v>2837</v>
      </c>
      <c r="N84" s="307">
        <v>2</v>
      </c>
      <c r="O84" s="307">
        <v>14</v>
      </c>
      <c r="P84" s="2486">
        <v>0.5</v>
      </c>
      <c r="Q84" s="2486"/>
      <c r="R84" s="2486"/>
      <c r="S84" s="325" t="s">
        <v>2837</v>
      </c>
      <c r="T84" s="307">
        <v>2</v>
      </c>
      <c r="U84" s="307">
        <v>14</v>
      </c>
      <c r="V84" s="2486">
        <v>0.5</v>
      </c>
      <c r="W84" s="2486"/>
      <c r="X84" s="2486"/>
      <c r="Y84" s="325" t="s">
        <v>2837</v>
      </c>
      <c r="Z84" s="307">
        <v>1.5</v>
      </c>
      <c r="AA84" s="307">
        <v>10</v>
      </c>
      <c r="AB84" s="2486">
        <v>0.4</v>
      </c>
      <c r="AC84" s="2486"/>
      <c r="AD84" s="2486"/>
      <c r="AF84" s="325" t="s">
        <v>2837</v>
      </c>
      <c r="AG84" s="307">
        <v>2.6</v>
      </c>
      <c r="AH84" s="307">
        <v>18</v>
      </c>
      <c r="AI84" s="2486">
        <v>0.6</v>
      </c>
      <c r="AJ84" s="2486"/>
      <c r="AK84" s="2486"/>
      <c r="AS84" s="325" t="s">
        <v>2837</v>
      </c>
      <c r="AT84" s="307">
        <v>2.6</v>
      </c>
      <c r="AU84" s="307">
        <v>18</v>
      </c>
      <c r="AV84" s="2486">
        <v>0.6</v>
      </c>
      <c r="AW84" s="2486"/>
      <c r="AX84" s="2486"/>
    </row>
    <row r="85" spans="1:50" ht="15.75">
      <c r="A85" s="326" t="s">
        <v>2838</v>
      </c>
      <c r="B85" s="307"/>
      <c r="C85" s="307"/>
      <c r="D85" s="2487"/>
      <c r="E85" s="2488"/>
      <c r="F85" s="2489"/>
      <c r="G85" s="326" t="s">
        <v>2838</v>
      </c>
      <c r="H85" s="307"/>
      <c r="I85" s="307"/>
      <c r="J85" s="2487"/>
      <c r="K85" s="2488"/>
      <c r="L85" s="2489"/>
      <c r="M85" s="326" t="s">
        <v>2838</v>
      </c>
      <c r="N85" s="307"/>
      <c r="O85" s="307"/>
      <c r="P85" s="2487"/>
      <c r="Q85" s="2488"/>
      <c r="R85" s="2489"/>
      <c r="S85" s="326" t="s">
        <v>2838</v>
      </c>
      <c r="T85" s="307"/>
      <c r="U85" s="307"/>
      <c r="V85" s="2487"/>
      <c r="W85" s="2488"/>
      <c r="X85" s="2489"/>
      <c r="Y85" s="326" t="s">
        <v>2838</v>
      </c>
      <c r="Z85" s="307"/>
      <c r="AA85" s="307"/>
      <c r="AB85" s="2487"/>
      <c r="AC85" s="2488"/>
      <c r="AD85" s="2489"/>
      <c r="AF85" s="326" t="s">
        <v>2838</v>
      </c>
      <c r="AG85" s="307"/>
      <c r="AH85" s="307"/>
      <c r="AI85" s="2487"/>
      <c r="AJ85" s="2488"/>
      <c r="AK85" s="2489"/>
      <c r="AS85" s="326" t="s">
        <v>2838</v>
      </c>
      <c r="AT85" s="307"/>
      <c r="AU85" s="307"/>
      <c r="AV85" s="2487"/>
      <c r="AW85" s="2488"/>
      <c r="AX85" s="2489"/>
    </row>
    <row r="86" spans="1:50" ht="15.75">
      <c r="A86" s="325" t="s">
        <v>2835</v>
      </c>
      <c r="B86" s="307">
        <v>75.48</v>
      </c>
      <c r="C86" s="307">
        <v>545.01</v>
      </c>
      <c r="D86" s="2486">
        <v>15.54</v>
      </c>
      <c r="E86" s="2486"/>
      <c r="F86" s="2486"/>
      <c r="G86" s="325" t="s">
        <v>2835</v>
      </c>
      <c r="H86" s="307">
        <v>26.5</v>
      </c>
      <c r="I86" s="307">
        <v>189</v>
      </c>
      <c r="J86" s="2486">
        <v>5.5</v>
      </c>
      <c r="K86" s="2486"/>
      <c r="L86" s="2486"/>
      <c r="M86" s="325" t="s">
        <v>2835</v>
      </c>
      <c r="N86" s="307">
        <v>26.5</v>
      </c>
      <c r="O86" s="307">
        <v>189</v>
      </c>
      <c r="P86" s="2486">
        <v>5.5</v>
      </c>
      <c r="Q86" s="2486"/>
      <c r="R86" s="2486"/>
      <c r="S86" s="325" t="s">
        <v>2835</v>
      </c>
      <c r="T86" s="307">
        <v>25</v>
      </c>
      <c r="U86" s="307">
        <v>181</v>
      </c>
      <c r="V86" s="2486">
        <v>5</v>
      </c>
      <c r="W86" s="2486"/>
      <c r="X86" s="2486"/>
      <c r="Y86" s="325" t="s">
        <v>2835</v>
      </c>
      <c r="Z86" s="307">
        <v>20</v>
      </c>
      <c r="AA86" s="307">
        <v>150</v>
      </c>
      <c r="AB86" s="2486">
        <v>4</v>
      </c>
      <c r="AC86" s="2486"/>
      <c r="AD86" s="2486"/>
      <c r="AF86" s="325" t="s">
        <v>2835</v>
      </c>
      <c r="AG86" s="307">
        <v>34</v>
      </c>
      <c r="AH86" s="307">
        <v>245.5</v>
      </c>
      <c r="AI86" s="2486">
        <v>7</v>
      </c>
      <c r="AJ86" s="2486"/>
      <c r="AK86" s="2486"/>
      <c r="AS86" s="325" t="s">
        <v>2835</v>
      </c>
      <c r="AT86" s="307">
        <v>34</v>
      </c>
      <c r="AU86" s="307">
        <v>245.5</v>
      </c>
      <c r="AV86" s="2486">
        <v>7</v>
      </c>
      <c r="AW86" s="2486"/>
      <c r="AX86" s="2486"/>
    </row>
    <row r="87" spans="1:50" ht="60.75">
      <c r="A87" s="325" t="s">
        <v>2836</v>
      </c>
      <c r="B87" s="307">
        <v>12.88</v>
      </c>
      <c r="C87" s="307">
        <v>46.18</v>
      </c>
      <c r="D87" s="2486">
        <v>2</v>
      </c>
      <c r="E87" s="2486"/>
      <c r="F87" s="2486"/>
      <c r="G87" s="325" t="s">
        <v>2836</v>
      </c>
      <c r="H87" s="307">
        <v>4.5</v>
      </c>
      <c r="I87" s="307">
        <v>16</v>
      </c>
      <c r="J87" s="2486">
        <v>0.75</v>
      </c>
      <c r="K87" s="2486"/>
      <c r="L87" s="2486"/>
      <c r="M87" s="325" t="s">
        <v>2836</v>
      </c>
      <c r="N87" s="307">
        <v>4.5</v>
      </c>
      <c r="O87" s="307">
        <v>16</v>
      </c>
      <c r="P87" s="2486">
        <v>0.75</v>
      </c>
      <c r="Q87" s="2486"/>
      <c r="R87" s="2486"/>
      <c r="S87" s="325" t="s">
        <v>2836</v>
      </c>
      <c r="T87" s="307">
        <v>4</v>
      </c>
      <c r="U87" s="307">
        <v>15</v>
      </c>
      <c r="V87" s="2486">
        <v>0.7</v>
      </c>
      <c r="W87" s="2486"/>
      <c r="X87" s="2486"/>
      <c r="Y87" s="325" t="s">
        <v>2836</v>
      </c>
      <c r="Z87" s="307">
        <v>3</v>
      </c>
      <c r="AA87" s="307">
        <v>12</v>
      </c>
      <c r="AB87" s="2486">
        <v>0.5</v>
      </c>
      <c r="AC87" s="2486"/>
      <c r="AD87" s="2486"/>
      <c r="AF87" s="325" t="s">
        <v>2836</v>
      </c>
      <c r="AG87" s="307">
        <v>5.8</v>
      </c>
      <c r="AH87" s="307">
        <v>20.8</v>
      </c>
      <c r="AI87" s="2486">
        <v>0.9</v>
      </c>
      <c r="AJ87" s="2486"/>
      <c r="AK87" s="2486"/>
      <c r="AS87" s="325" t="s">
        <v>2836</v>
      </c>
      <c r="AT87" s="307">
        <v>5.8</v>
      </c>
      <c r="AU87" s="307">
        <v>20.8</v>
      </c>
      <c r="AV87" s="2486">
        <v>0.9</v>
      </c>
      <c r="AW87" s="2486"/>
      <c r="AX87" s="2486"/>
    </row>
    <row r="88" spans="1:50" ht="60.75">
      <c r="A88" s="325" t="s">
        <v>2837</v>
      </c>
      <c r="B88" s="307">
        <v>5.77</v>
      </c>
      <c r="C88" s="307">
        <v>35.520000000000003</v>
      </c>
      <c r="D88" s="2486">
        <v>1.55</v>
      </c>
      <c r="E88" s="2486"/>
      <c r="F88" s="2486"/>
      <c r="G88" s="325" t="s">
        <v>2837</v>
      </c>
      <c r="H88" s="307">
        <v>2</v>
      </c>
      <c r="I88" s="307">
        <v>13</v>
      </c>
      <c r="J88" s="2486">
        <v>0.6</v>
      </c>
      <c r="K88" s="2486"/>
      <c r="L88" s="2486"/>
      <c r="M88" s="325" t="s">
        <v>2837</v>
      </c>
      <c r="N88" s="307">
        <v>2</v>
      </c>
      <c r="O88" s="307">
        <v>13</v>
      </c>
      <c r="P88" s="2486">
        <v>0.6</v>
      </c>
      <c r="Q88" s="2486"/>
      <c r="R88" s="2486"/>
      <c r="S88" s="325" t="s">
        <v>2837</v>
      </c>
      <c r="T88" s="307">
        <v>2</v>
      </c>
      <c r="U88" s="307">
        <v>12</v>
      </c>
      <c r="V88" s="2486">
        <v>0.6</v>
      </c>
      <c r="W88" s="2486"/>
      <c r="X88" s="2486"/>
      <c r="Y88" s="325" t="s">
        <v>2837</v>
      </c>
      <c r="Z88" s="307">
        <v>1.5</v>
      </c>
      <c r="AA88" s="307">
        <v>10</v>
      </c>
      <c r="AB88" s="2486">
        <v>0.5</v>
      </c>
      <c r="AC88" s="2486"/>
      <c r="AD88" s="2486"/>
      <c r="AF88" s="325" t="s">
        <v>2837</v>
      </c>
      <c r="AG88" s="307">
        <v>2.6</v>
      </c>
      <c r="AH88" s="307">
        <v>16</v>
      </c>
      <c r="AI88" s="2486">
        <v>0.7</v>
      </c>
      <c r="AJ88" s="2486"/>
      <c r="AK88" s="2486"/>
      <c r="AS88" s="325" t="s">
        <v>2837</v>
      </c>
      <c r="AT88" s="307">
        <v>2.6</v>
      </c>
      <c r="AU88" s="307">
        <v>16</v>
      </c>
      <c r="AV88" s="2486">
        <v>0.7</v>
      </c>
      <c r="AW88" s="2486"/>
      <c r="AX88" s="2486"/>
    </row>
    <row r="96" spans="1:50">
      <c r="A96" s="2478" t="s">
        <v>2839</v>
      </c>
      <c r="B96" s="2478"/>
      <c r="C96" s="2478"/>
      <c r="D96" s="2478"/>
      <c r="E96" s="2478"/>
      <c r="F96" s="2478"/>
      <c r="G96" s="2478" t="s">
        <v>2839</v>
      </c>
      <c r="H96" s="2478"/>
      <c r="I96" s="2478"/>
      <c r="J96" s="2478"/>
      <c r="K96" s="2478"/>
      <c r="L96" s="2478"/>
      <c r="M96" s="2478" t="s">
        <v>2839</v>
      </c>
      <c r="N96" s="2478"/>
      <c r="O96" s="2478"/>
      <c r="P96" s="2478"/>
      <c r="Q96" s="2478"/>
      <c r="R96" s="2478"/>
      <c r="S96" s="2478" t="s">
        <v>2839</v>
      </c>
      <c r="T96" s="2478"/>
      <c r="U96" s="2478"/>
      <c r="V96" s="2478"/>
      <c r="W96" s="2478"/>
      <c r="X96" s="2478"/>
      <c r="Y96" s="2478" t="s">
        <v>2839</v>
      </c>
      <c r="Z96" s="2478"/>
      <c r="AA96" s="2478"/>
      <c r="AB96" s="2478"/>
      <c r="AC96" s="2478"/>
      <c r="AD96" s="2478"/>
      <c r="AF96" s="2478" t="s">
        <v>2839</v>
      </c>
      <c r="AG96" s="2478"/>
      <c r="AH96" s="2478"/>
      <c r="AI96" s="2478"/>
      <c r="AJ96" s="2478"/>
      <c r="AK96" s="2478"/>
      <c r="AS96" s="2478" t="s">
        <v>2839</v>
      </c>
      <c r="AT96" s="2478"/>
      <c r="AU96" s="2478"/>
      <c r="AV96" s="2478"/>
      <c r="AW96" s="2478"/>
      <c r="AX96" s="2478"/>
    </row>
    <row r="97" spans="1:50">
      <c r="A97" s="2478"/>
      <c r="B97" s="2478"/>
      <c r="C97" s="2478"/>
      <c r="D97" s="2478"/>
      <c r="E97" s="2478"/>
      <c r="F97" s="2478"/>
      <c r="G97" s="2478"/>
      <c r="H97" s="2478"/>
      <c r="I97" s="2478"/>
      <c r="J97" s="2478"/>
      <c r="K97" s="2478"/>
      <c r="L97" s="2478"/>
      <c r="M97" s="2478"/>
      <c r="N97" s="2478"/>
      <c r="O97" s="2478"/>
      <c r="P97" s="2478"/>
      <c r="Q97" s="2478"/>
      <c r="R97" s="2478"/>
      <c r="S97" s="2478"/>
      <c r="T97" s="2478"/>
      <c r="U97" s="2478"/>
      <c r="V97" s="2478"/>
      <c r="W97" s="2478"/>
      <c r="X97" s="2478"/>
      <c r="Y97" s="2478"/>
      <c r="Z97" s="2478"/>
      <c r="AA97" s="2478"/>
      <c r="AB97" s="2478"/>
      <c r="AC97" s="2478"/>
      <c r="AD97" s="2478"/>
      <c r="AF97" s="2478"/>
      <c r="AG97" s="2478"/>
      <c r="AH97" s="2478"/>
      <c r="AI97" s="2478"/>
      <c r="AJ97" s="2478"/>
      <c r="AK97" s="2478"/>
      <c r="AS97" s="2478"/>
      <c r="AT97" s="2478"/>
      <c r="AU97" s="2478"/>
      <c r="AV97" s="2478"/>
      <c r="AW97" s="2478"/>
      <c r="AX97" s="2478"/>
    </row>
    <row r="98" spans="1:50" ht="15.75">
      <c r="A98" s="2471" t="s">
        <v>1510</v>
      </c>
      <c r="B98" s="2471"/>
      <c r="C98" s="305" t="s">
        <v>2840</v>
      </c>
      <c r="D98" s="2471" t="s">
        <v>2841</v>
      </c>
      <c r="E98" s="2471"/>
      <c r="F98" s="2471"/>
      <c r="G98" s="2471" t="s">
        <v>1510</v>
      </c>
      <c r="H98" s="2471"/>
      <c r="I98" s="305" t="s">
        <v>2840</v>
      </c>
      <c r="J98" s="2471" t="s">
        <v>2841</v>
      </c>
      <c r="K98" s="2471"/>
      <c r="L98" s="2471"/>
      <c r="M98" s="2471" t="s">
        <v>1510</v>
      </c>
      <c r="N98" s="2471"/>
      <c r="O98" s="305" t="s">
        <v>2840</v>
      </c>
      <c r="P98" s="2471" t="s">
        <v>2841</v>
      </c>
      <c r="Q98" s="2471"/>
      <c r="R98" s="2471"/>
      <c r="S98" s="2471" t="s">
        <v>1510</v>
      </c>
      <c r="T98" s="2471"/>
      <c r="U98" s="305" t="s">
        <v>2840</v>
      </c>
      <c r="V98" s="2471" t="s">
        <v>2841</v>
      </c>
      <c r="W98" s="2471"/>
      <c r="X98" s="2471"/>
      <c r="Y98" s="2471" t="s">
        <v>1510</v>
      </c>
      <c r="Z98" s="2471"/>
      <c r="AA98" s="305" t="s">
        <v>2840</v>
      </c>
      <c r="AB98" s="2471" t="s">
        <v>2841</v>
      </c>
      <c r="AC98" s="2471"/>
      <c r="AD98" s="2471"/>
      <c r="AF98" s="2471" t="s">
        <v>1510</v>
      </c>
      <c r="AG98" s="2471"/>
      <c r="AH98" s="305" t="s">
        <v>2840</v>
      </c>
      <c r="AI98" s="2471" t="s">
        <v>2841</v>
      </c>
      <c r="AJ98" s="2471"/>
      <c r="AK98" s="2471"/>
      <c r="AS98" s="2471" t="s">
        <v>1510</v>
      </c>
      <c r="AT98" s="2471"/>
      <c r="AU98" s="305" t="s">
        <v>2840</v>
      </c>
      <c r="AV98" s="2471" t="s">
        <v>2841</v>
      </c>
      <c r="AW98" s="2471"/>
      <c r="AX98" s="2471"/>
    </row>
    <row r="99" spans="1:50" ht="15.75">
      <c r="A99" s="2471">
        <v>1</v>
      </c>
      <c r="B99" s="2471"/>
      <c r="C99" s="305">
        <v>2</v>
      </c>
      <c r="D99" s="2471">
        <v>3</v>
      </c>
      <c r="E99" s="2471"/>
      <c r="F99" s="2471"/>
      <c r="G99" s="2471">
        <v>1</v>
      </c>
      <c r="H99" s="2471"/>
      <c r="I99" s="305">
        <v>2</v>
      </c>
      <c r="J99" s="2471">
        <v>3</v>
      </c>
      <c r="K99" s="2471"/>
      <c r="L99" s="2471"/>
      <c r="M99" s="2471">
        <v>1</v>
      </c>
      <c r="N99" s="2471"/>
      <c r="O99" s="305">
        <v>2</v>
      </c>
      <c r="P99" s="2471">
        <v>3</v>
      </c>
      <c r="Q99" s="2471"/>
      <c r="R99" s="2471"/>
      <c r="S99" s="2471">
        <v>1</v>
      </c>
      <c r="T99" s="2471"/>
      <c r="U99" s="305">
        <v>2</v>
      </c>
      <c r="V99" s="2471">
        <v>3</v>
      </c>
      <c r="W99" s="2471"/>
      <c r="X99" s="2471"/>
      <c r="Y99" s="2471">
        <v>1</v>
      </c>
      <c r="Z99" s="2471"/>
      <c r="AA99" s="305">
        <v>2</v>
      </c>
      <c r="AB99" s="2471">
        <v>3</v>
      </c>
      <c r="AC99" s="2471"/>
      <c r="AD99" s="2471"/>
      <c r="AF99" s="2471">
        <v>1</v>
      </c>
      <c r="AG99" s="2471"/>
      <c r="AH99" s="305">
        <v>2</v>
      </c>
      <c r="AI99" s="2471">
        <v>3</v>
      </c>
      <c r="AJ99" s="2471"/>
      <c r="AK99" s="2471"/>
      <c r="AS99" s="2471">
        <v>1</v>
      </c>
      <c r="AT99" s="2471"/>
      <c r="AU99" s="305">
        <v>2</v>
      </c>
      <c r="AV99" s="2471">
        <v>3</v>
      </c>
      <c r="AW99" s="2471"/>
      <c r="AX99" s="2471"/>
    </row>
    <row r="100" spans="1:50" ht="15.75">
      <c r="A100" s="2471">
        <v>1</v>
      </c>
      <c r="B100" s="2471"/>
      <c r="C100" s="321" t="s">
        <v>2842</v>
      </c>
      <c r="D100" s="2485"/>
      <c r="E100" s="2485"/>
      <c r="F100" s="2485"/>
      <c r="G100" s="2471">
        <v>1</v>
      </c>
      <c r="H100" s="2471"/>
      <c r="I100" s="321" t="s">
        <v>2842</v>
      </c>
      <c r="J100" s="2485"/>
      <c r="K100" s="2485"/>
      <c r="L100" s="2485"/>
      <c r="M100" s="2471">
        <v>1</v>
      </c>
      <c r="N100" s="2471"/>
      <c r="O100" s="321" t="s">
        <v>2842</v>
      </c>
      <c r="P100" s="2485"/>
      <c r="Q100" s="2485"/>
      <c r="R100" s="2485"/>
      <c r="S100" s="2471">
        <v>1</v>
      </c>
      <c r="T100" s="2471"/>
      <c r="U100" s="321" t="s">
        <v>2842</v>
      </c>
      <c r="V100" s="2485"/>
      <c r="W100" s="2485"/>
      <c r="X100" s="2485"/>
      <c r="Y100" s="2471">
        <v>1</v>
      </c>
      <c r="Z100" s="2471"/>
      <c r="AA100" s="321" t="s">
        <v>2842</v>
      </c>
      <c r="AB100" s="2485"/>
      <c r="AC100" s="2485"/>
      <c r="AD100" s="2485"/>
      <c r="AF100" s="2471">
        <v>1</v>
      </c>
      <c r="AG100" s="2471"/>
      <c r="AH100" s="321" t="s">
        <v>2842</v>
      </c>
      <c r="AI100" s="2485"/>
      <c r="AJ100" s="2485"/>
      <c r="AK100" s="2485"/>
      <c r="AS100" s="2471">
        <v>1</v>
      </c>
      <c r="AT100" s="2471"/>
      <c r="AU100" s="321" t="s">
        <v>2842</v>
      </c>
      <c r="AV100" s="2485"/>
      <c r="AW100" s="2485"/>
      <c r="AX100" s="2485"/>
    </row>
    <row r="101" spans="1:50" ht="15.75">
      <c r="A101" s="2490" t="s">
        <v>2550</v>
      </c>
      <c r="B101" s="2490"/>
      <c r="C101" s="321" t="s">
        <v>2843</v>
      </c>
      <c r="D101" s="2491" t="s">
        <v>2844</v>
      </c>
      <c r="E101" s="2492"/>
      <c r="F101" s="2493"/>
      <c r="G101" s="2490" t="s">
        <v>2550</v>
      </c>
      <c r="H101" s="2490"/>
      <c r="I101" s="321" t="s">
        <v>2843</v>
      </c>
      <c r="J101" s="2482" t="s">
        <v>2844</v>
      </c>
      <c r="K101" s="2483"/>
      <c r="L101" s="2484"/>
      <c r="M101" s="2490" t="s">
        <v>2550</v>
      </c>
      <c r="N101" s="2490"/>
      <c r="O101" s="321" t="s">
        <v>2843</v>
      </c>
      <c r="P101" s="2482" t="s">
        <v>2844</v>
      </c>
      <c r="Q101" s="2483"/>
      <c r="R101" s="2484"/>
      <c r="S101" s="2490" t="s">
        <v>2550</v>
      </c>
      <c r="T101" s="2490"/>
      <c r="U101" s="321" t="s">
        <v>2843</v>
      </c>
      <c r="V101" s="2482" t="s">
        <v>2844</v>
      </c>
      <c r="W101" s="2483"/>
      <c r="X101" s="2484"/>
      <c r="Y101" s="2490" t="s">
        <v>2550</v>
      </c>
      <c r="Z101" s="2490"/>
      <c r="AA101" s="321" t="s">
        <v>2843</v>
      </c>
      <c r="AB101" s="2482" t="s">
        <v>2844</v>
      </c>
      <c r="AC101" s="2483"/>
      <c r="AD101" s="2484"/>
      <c r="AF101" s="2490" t="s">
        <v>2550</v>
      </c>
      <c r="AG101" s="2490"/>
      <c r="AH101" s="321" t="s">
        <v>2843</v>
      </c>
      <c r="AI101" s="2491" t="s">
        <v>2844</v>
      </c>
      <c r="AJ101" s="2492"/>
      <c r="AK101" s="2493"/>
      <c r="AS101" s="2490" t="s">
        <v>2550</v>
      </c>
      <c r="AT101" s="2490"/>
      <c r="AU101" s="321" t="s">
        <v>2843</v>
      </c>
      <c r="AV101" s="2491" t="s">
        <v>2844</v>
      </c>
      <c r="AW101" s="2492"/>
      <c r="AX101" s="2493"/>
    </row>
    <row r="102" spans="1:50" ht="15.75">
      <c r="A102" s="2490" t="s">
        <v>2845</v>
      </c>
      <c r="B102" s="2490"/>
      <c r="C102" s="321" t="s">
        <v>2846</v>
      </c>
      <c r="D102" s="2471" t="s">
        <v>2847</v>
      </c>
      <c r="E102" s="2471"/>
      <c r="F102" s="2471"/>
      <c r="G102" s="2490" t="s">
        <v>2845</v>
      </c>
      <c r="H102" s="2490"/>
      <c r="I102" s="321" t="s">
        <v>2846</v>
      </c>
      <c r="J102" s="2485" t="s">
        <v>2847</v>
      </c>
      <c r="K102" s="2485"/>
      <c r="L102" s="2485"/>
      <c r="M102" s="2490" t="s">
        <v>2845</v>
      </c>
      <c r="N102" s="2490"/>
      <c r="O102" s="321" t="s">
        <v>2846</v>
      </c>
      <c r="P102" s="2485" t="s">
        <v>2847</v>
      </c>
      <c r="Q102" s="2485"/>
      <c r="R102" s="2485"/>
      <c r="S102" s="2490" t="s">
        <v>2845</v>
      </c>
      <c r="T102" s="2490"/>
      <c r="U102" s="321" t="s">
        <v>2846</v>
      </c>
      <c r="V102" s="2485" t="s">
        <v>2847</v>
      </c>
      <c r="W102" s="2485"/>
      <c r="X102" s="2485"/>
      <c r="Y102" s="2490" t="s">
        <v>2845</v>
      </c>
      <c r="Z102" s="2490"/>
      <c r="AA102" s="321" t="s">
        <v>2846</v>
      </c>
      <c r="AB102" s="2485" t="s">
        <v>2847</v>
      </c>
      <c r="AC102" s="2485"/>
      <c r="AD102" s="2485"/>
      <c r="AF102" s="2490" t="s">
        <v>2845</v>
      </c>
      <c r="AG102" s="2490"/>
      <c r="AH102" s="321" t="s">
        <v>2846</v>
      </c>
      <c r="AI102" s="2471" t="s">
        <v>2847</v>
      </c>
      <c r="AJ102" s="2471"/>
      <c r="AK102" s="2471"/>
      <c r="AS102" s="2490" t="s">
        <v>2845</v>
      </c>
      <c r="AT102" s="2490"/>
      <c r="AU102" s="321" t="s">
        <v>2846</v>
      </c>
      <c r="AV102" s="2471" t="s">
        <v>2847</v>
      </c>
      <c r="AW102" s="2471"/>
      <c r="AX102" s="2471"/>
    </row>
    <row r="103" spans="1:50" ht="15.75">
      <c r="A103" s="2471">
        <v>2</v>
      </c>
      <c r="B103" s="2471"/>
      <c r="C103" s="321" t="s">
        <v>2848</v>
      </c>
      <c r="D103" s="2471" t="s">
        <v>2849</v>
      </c>
      <c r="E103" s="2471"/>
      <c r="F103" s="2471"/>
      <c r="G103" s="2471">
        <v>2</v>
      </c>
      <c r="H103" s="2471"/>
      <c r="I103" s="321" t="s">
        <v>2848</v>
      </c>
      <c r="J103" s="2485" t="s">
        <v>2849</v>
      </c>
      <c r="K103" s="2485"/>
      <c r="L103" s="2485"/>
      <c r="M103" s="2471">
        <v>2</v>
      </c>
      <c r="N103" s="2471"/>
      <c r="O103" s="321" t="s">
        <v>2848</v>
      </c>
      <c r="P103" s="2485" t="s">
        <v>2849</v>
      </c>
      <c r="Q103" s="2485"/>
      <c r="R103" s="2485"/>
      <c r="S103" s="2471">
        <v>2</v>
      </c>
      <c r="T103" s="2471"/>
      <c r="U103" s="321" t="s">
        <v>2848</v>
      </c>
      <c r="V103" s="2485" t="s">
        <v>2849</v>
      </c>
      <c r="W103" s="2485"/>
      <c r="X103" s="2485"/>
      <c r="Y103" s="2471">
        <v>2</v>
      </c>
      <c r="Z103" s="2471"/>
      <c r="AA103" s="321" t="s">
        <v>2848</v>
      </c>
      <c r="AB103" s="2485" t="s">
        <v>2850</v>
      </c>
      <c r="AC103" s="2485"/>
      <c r="AD103" s="2485"/>
      <c r="AF103" s="2471">
        <v>2</v>
      </c>
      <c r="AG103" s="2471"/>
      <c r="AH103" s="321" t="s">
        <v>2848</v>
      </c>
      <c r="AI103" s="2471" t="s">
        <v>2849</v>
      </c>
      <c r="AJ103" s="2471"/>
      <c r="AK103" s="2471"/>
      <c r="AS103" s="2471">
        <v>2</v>
      </c>
      <c r="AT103" s="2471"/>
      <c r="AU103" s="321" t="s">
        <v>2848</v>
      </c>
      <c r="AV103" s="2471" t="s">
        <v>2849</v>
      </c>
      <c r="AW103" s="2471"/>
      <c r="AX103" s="2471"/>
    </row>
    <row r="104" spans="1:50" ht="15.75">
      <c r="A104" s="2471">
        <v>3</v>
      </c>
      <c r="B104" s="2471"/>
      <c r="C104" s="321" t="s">
        <v>2851</v>
      </c>
      <c r="D104" s="2471" t="s">
        <v>2849</v>
      </c>
      <c r="E104" s="2471"/>
      <c r="F104" s="2471"/>
      <c r="G104" s="2471">
        <v>3</v>
      </c>
      <c r="H104" s="2471"/>
      <c r="I104" s="321" t="s">
        <v>2851</v>
      </c>
      <c r="J104" s="2485" t="s">
        <v>2849</v>
      </c>
      <c r="K104" s="2485"/>
      <c r="L104" s="2485"/>
      <c r="M104" s="2471">
        <v>3</v>
      </c>
      <c r="N104" s="2471"/>
      <c r="O104" s="321" t="s">
        <v>2851</v>
      </c>
      <c r="P104" s="2485" t="s">
        <v>2849</v>
      </c>
      <c r="Q104" s="2485"/>
      <c r="R104" s="2485"/>
      <c r="S104" s="2471">
        <v>3</v>
      </c>
      <c r="T104" s="2471"/>
      <c r="U104" s="321" t="s">
        <v>2851</v>
      </c>
      <c r="V104" s="2485" t="s">
        <v>2849</v>
      </c>
      <c r="W104" s="2485"/>
      <c r="X104" s="2485"/>
      <c r="Y104" s="2471">
        <v>3</v>
      </c>
      <c r="Z104" s="2471"/>
      <c r="AA104" s="321" t="s">
        <v>2851</v>
      </c>
      <c r="AB104" s="2485" t="s">
        <v>2849</v>
      </c>
      <c r="AC104" s="2485"/>
      <c r="AD104" s="2485"/>
      <c r="AF104" s="2471">
        <v>3</v>
      </c>
      <c r="AG104" s="2471"/>
      <c r="AH104" s="321" t="s">
        <v>2851</v>
      </c>
      <c r="AI104" s="2471" t="s">
        <v>2849</v>
      </c>
      <c r="AJ104" s="2471"/>
      <c r="AK104" s="2471"/>
      <c r="AS104" s="2471">
        <v>3</v>
      </c>
      <c r="AT104" s="2471"/>
      <c r="AU104" s="321" t="s">
        <v>2851</v>
      </c>
      <c r="AV104" s="2471" t="s">
        <v>2849</v>
      </c>
      <c r="AW104" s="2471"/>
      <c r="AX104" s="2471"/>
    </row>
    <row r="105" spans="1:50" ht="15.75">
      <c r="A105" s="2471">
        <v>4</v>
      </c>
      <c r="B105" s="2471"/>
      <c r="C105" s="321" t="s">
        <v>2852</v>
      </c>
      <c r="D105" s="2471" t="s">
        <v>2849</v>
      </c>
      <c r="E105" s="2471"/>
      <c r="F105" s="2471"/>
      <c r="G105" s="2471">
        <v>4</v>
      </c>
      <c r="H105" s="2471"/>
      <c r="I105" s="321" t="s">
        <v>2852</v>
      </c>
      <c r="J105" s="2485" t="s">
        <v>2849</v>
      </c>
      <c r="K105" s="2485"/>
      <c r="L105" s="2485"/>
      <c r="M105" s="2471">
        <v>4</v>
      </c>
      <c r="N105" s="2471"/>
      <c r="O105" s="321" t="s">
        <v>2852</v>
      </c>
      <c r="P105" s="2485" t="s">
        <v>2849</v>
      </c>
      <c r="Q105" s="2485"/>
      <c r="R105" s="2485"/>
      <c r="S105" s="2471">
        <v>4</v>
      </c>
      <c r="T105" s="2471"/>
      <c r="U105" s="321" t="s">
        <v>2852</v>
      </c>
      <c r="V105" s="2485" t="s">
        <v>2849</v>
      </c>
      <c r="W105" s="2485"/>
      <c r="X105" s="2485"/>
      <c r="Y105" s="2471">
        <v>4</v>
      </c>
      <c r="Z105" s="2471"/>
      <c r="AA105" s="321" t="s">
        <v>2852</v>
      </c>
      <c r="AB105" s="2485" t="s">
        <v>2849</v>
      </c>
      <c r="AC105" s="2485"/>
      <c r="AD105" s="2485"/>
      <c r="AF105" s="2471">
        <v>4</v>
      </c>
      <c r="AG105" s="2471"/>
      <c r="AH105" s="321" t="s">
        <v>2852</v>
      </c>
      <c r="AI105" s="2471" t="s">
        <v>2849</v>
      </c>
      <c r="AJ105" s="2471"/>
      <c r="AK105" s="2471"/>
      <c r="AS105" s="2471">
        <v>4</v>
      </c>
      <c r="AT105" s="2471"/>
      <c r="AU105" s="321" t="s">
        <v>2852</v>
      </c>
      <c r="AV105" s="2471" t="s">
        <v>2849</v>
      </c>
      <c r="AW105" s="2471"/>
      <c r="AX105" s="2471"/>
    </row>
    <row r="106" spans="1:50" ht="15.75">
      <c r="A106" s="2471">
        <v>5</v>
      </c>
      <c r="B106" s="2471"/>
      <c r="C106" s="321" t="s">
        <v>15</v>
      </c>
      <c r="D106" s="2471" t="s">
        <v>2847</v>
      </c>
      <c r="E106" s="2471"/>
      <c r="F106" s="2471"/>
      <c r="G106" s="2471">
        <v>5</v>
      </c>
      <c r="H106" s="2471"/>
      <c r="I106" s="321" t="s">
        <v>15</v>
      </c>
      <c r="J106" s="2485" t="s">
        <v>2847</v>
      </c>
      <c r="K106" s="2485"/>
      <c r="L106" s="2485"/>
      <c r="M106" s="2471">
        <v>5</v>
      </c>
      <c r="N106" s="2471"/>
      <c r="O106" s="321" t="s">
        <v>15</v>
      </c>
      <c r="P106" s="2485" t="s">
        <v>2847</v>
      </c>
      <c r="Q106" s="2485"/>
      <c r="R106" s="2485"/>
      <c r="S106" s="2471">
        <v>5</v>
      </c>
      <c r="T106" s="2471"/>
      <c r="U106" s="321" t="s">
        <v>15</v>
      </c>
      <c r="V106" s="2485" t="s">
        <v>2847</v>
      </c>
      <c r="W106" s="2485"/>
      <c r="X106" s="2485"/>
      <c r="Y106" s="2471">
        <v>5</v>
      </c>
      <c r="Z106" s="2471"/>
      <c r="AA106" s="321" t="s">
        <v>15</v>
      </c>
      <c r="AB106" s="2485" t="s">
        <v>2847</v>
      </c>
      <c r="AC106" s="2485"/>
      <c r="AD106" s="2485"/>
      <c r="AF106" s="2471">
        <v>5</v>
      </c>
      <c r="AG106" s="2471"/>
      <c r="AH106" s="321" t="s">
        <v>15</v>
      </c>
      <c r="AI106" s="2471" t="s">
        <v>2847</v>
      </c>
      <c r="AJ106" s="2471"/>
      <c r="AK106" s="2471"/>
      <c r="AS106" s="2471">
        <v>5</v>
      </c>
      <c r="AT106" s="2471"/>
      <c r="AU106" s="321" t="s">
        <v>15</v>
      </c>
      <c r="AV106" s="2471" t="s">
        <v>2847</v>
      </c>
      <c r="AW106" s="2471"/>
      <c r="AX106" s="2471"/>
    </row>
    <row r="107" spans="1:50" ht="15.75">
      <c r="A107" s="2494" t="s">
        <v>2853</v>
      </c>
      <c r="B107" s="2495"/>
      <c r="C107" s="321" t="s">
        <v>2854</v>
      </c>
      <c r="D107" s="2471" t="s">
        <v>2855</v>
      </c>
      <c r="E107" s="2471"/>
      <c r="F107" s="2471"/>
      <c r="G107" s="2494" t="s">
        <v>2853</v>
      </c>
      <c r="H107" s="2495"/>
      <c r="I107" s="321" t="s">
        <v>2854</v>
      </c>
      <c r="J107" s="2485" t="s">
        <v>2855</v>
      </c>
      <c r="K107" s="2485"/>
      <c r="L107" s="2485"/>
      <c r="M107" s="2471" t="s">
        <v>2856</v>
      </c>
      <c r="N107" s="2471"/>
      <c r="O107" s="321" t="s">
        <v>2854</v>
      </c>
      <c r="P107" s="2485" t="s">
        <v>2855</v>
      </c>
      <c r="Q107" s="2485"/>
      <c r="R107" s="2485"/>
      <c r="S107" s="2471" t="s">
        <v>2856</v>
      </c>
      <c r="T107" s="2471"/>
      <c r="U107" s="321" t="s">
        <v>2854</v>
      </c>
      <c r="V107" s="2485" t="s">
        <v>2855</v>
      </c>
      <c r="W107" s="2485"/>
      <c r="X107" s="2485"/>
      <c r="Y107" s="2471" t="s">
        <v>2856</v>
      </c>
      <c r="Z107" s="2471"/>
      <c r="AA107" s="321" t="s">
        <v>2854</v>
      </c>
      <c r="AB107" s="2485" t="s">
        <v>2855</v>
      </c>
      <c r="AC107" s="2485"/>
      <c r="AD107" s="2485"/>
      <c r="AF107" s="2494" t="s">
        <v>2853</v>
      </c>
      <c r="AG107" s="2495"/>
      <c r="AH107" s="321" t="s">
        <v>2854</v>
      </c>
      <c r="AI107" s="2471" t="s">
        <v>2855</v>
      </c>
      <c r="AJ107" s="2471"/>
      <c r="AK107" s="2471"/>
      <c r="AS107" s="2494" t="s">
        <v>2853</v>
      </c>
      <c r="AT107" s="2495"/>
      <c r="AU107" s="321" t="s">
        <v>2854</v>
      </c>
      <c r="AV107" s="2471" t="s">
        <v>2855</v>
      </c>
      <c r="AW107" s="2471"/>
      <c r="AX107" s="2471"/>
    </row>
    <row r="108" spans="1:50" ht="15.75">
      <c r="A108" s="2490" t="s">
        <v>2320</v>
      </c>
      <c r="B108" s="2490"/>
      <c r="C108" s="321" t="s">
        <v>2857</v>
      </c>
      <c r="D108" s="2471" t="s">
        <v>2858</v>
      </c>
      <c r="E108" s="2471"/>
      <c r="F108" s="2471"/>
      <c r="G108" s="2490" t="s">
        <v>2320</v>
      </c>
      <c r="H108" s="2490"/>
      <c r="I108" s="321" t="s">
        <v>2857</v>
      </c>
      <c r="J108" s="2485" t="s">
        <v>2858</v>
      </c>
      <c r="K108" s="2485"/>
      <c r="L108" s="2485"/>
      <c r="M108" s="2490" t="s">
        <v>2320</v>
      </c>
      <c r="N108" s="2490"/>
      <c r="O108" s="321" t="s">
        <v>2857</v>
      </c>
      <c r="P108" s="2485" t="s">
        <v>2858</v>
      </c>
      <c r="Q108" s="2485"/>
      <c r="R108" s="2485"/>
      <c r="S108" s="2490" t="s">
        <v>2320</v>
      </c>
      <c r="T108" s="2490"/>
      <c r="U108" s="321" t="s">
        <v>2857</v>
      </c>
      <c r="V108" s="2485" t="s">
        <v>2858</v>
      </c>
      <c r="W108" s="2485"/>
      <c r="X108" s="2485"/>
      <c r="Y108" s="2490" t="s">
        <v>2320</v>
      </c>
      <c r="Z108" s="2490"/>
      <c r="AA108" s="321" t="s">
        <v>2857</v>
      </c>
      <c r="AB108" s="2485" t="s">
        <v>2858</v>
      </c>
      <c r="AC108" s="2485"/>
      <c r="AD108" s="2485"/>
      <c r="AF108" s="2490" t="s">
        <v>2320</v>
      </c>
      <c r="AG108" s="2490"/>
      <c r="AH108" s="321" t="s">
        <v>2857</v>
      </c>
      <c r="AI108" s="2471" t="s">
        <v>2858</v>
      </c>
      <c r="AJ108" s="2471"/>
      <c r="AK108" s="2471"/>
      <c r="AS108" s="2490" t="s">
        <v>2320</v>
      </c>
      <c r="AT108" s="2490"/>
      <c r="AU108" s="321" t="s">
        <v>2857</v>
      </c>
      <c r="AV108" s="2471" t="s">
        <v>2858</v>
      </c>
      <c r="AW108" s="2471"/>
      <c r="AX108" s="2471"/>
    </row>
    <row r="109" spans="1:50" ht="15.75">
      <c r="A109" s="2490" t="s">
        <v>2859</v>
      </c>
      <c r="B109" s="2490"/>
      <c r="C109" s="321" t="s">
        <v>2860</v>
      </c>
      <c r="D109" s="2471"/>
      <c r="E109" s="2471"/>
      <c r="F109" s="2471"/>
      <c r="G109" s="2490" t="s">
        <v>2859</v>
      </c>
      <c r="H109" s="2490"/>
      <c r="I109" s="321" t="s">
        <v>2860</v>
      </c>
      <c r="J109" s="2485"/>
      <c r="K109" s="2485"/>
      <c r="L109" s="2485"/>
      <c r="M109" s="2490" t="s">
        <v>2859</v>
      </c>
      <c r="N109" s="2490"/>
      <c r="O109" s="321" t="s">
        <v>2860</v>
      </c>
      <c r="P109" s="2485"/>
      <c r="Q109" s="2485"/>
      <c r="R109" s="2485"/>
      <c r="S109" s="2490" t="s">
        <v>2859</v>
      </c>
      <c r="T109" s="2490"/>
      <c r="U109" s="321" t="s">
        <v>2860</v>
      </c>
      <c r="V109" s="2485"/>
      <c r="W109" s="2485"/>
      <c r="X109" s="2485"/>
      <c r="Y109" s="2490" t="s">
        <v>2859</v>
      </c>
      <c r="Z109" s="2490"/>
      <c r="AA109" s="321" t="s">
        <v>2860</v>
      </c>
      <c r="AB109" s="2485"/>
      <c r="AC109" s="2485"/>
      <c r="AD109" s="2485"/>
      <c r="AF109" s="2490" t="s">
        <v>2859</v>
      </c>
      <c r="AG109" s="2490"/>
      <c r="AH109" s="321" t="s">
        <v>2860</v>
      </c>
      <c r="AI109" s="2471"/>
      <c r="AJ109" s="2471"/>
      <c r="AK109" s="2471"/>
      <c r="AS109" s="2490" t="s">
        <v>2859</v>
      </c>
      <c r="AT109" s="2490"/>
      <c r="AU109" s="321" t="s">
        <v>2860</v>
      </c>
      <c r="AV109" s="2471"/>
      <c r="AW109" s="2471"/>
      <c r="AX109" s="2471"/>
    </row>
    <row r="110" spans="1:50" ht="15.75">
      <c r="A110" s="2471"/>
      <c r="B110" s="2471"/>
      <c r="C110" s="18" t="s">
        <v>2861</v>
      </c>
      <c r="D110" s="2471" t="s">
        <v>2862</v>
      </c>
      <c r="E110" s="2471"/>
      <c r="F110" s="2471"/>
      <c r="G110" s="2471"/>
      <c r="H110" s="2471"/>
      <c r="I110" s="18" t="s">
        <v>2861</v>
      </c>
      <c r="J110" s="2485" t="s">
        <v>2862</v>
      </c>
      <c r="K110" s="2485"/>
      <c r="L110" s="2485"/>
      <c r="M110" s="2471"/>
      <c r="N110" s="2471"/>
      <c r="O110" s="18" t="s">
        <v>2861</v>
      </c>
      <c r="P110" s="2485" t="s">
        <v>2862</v>
      </c>
      <c r="Q110" s="2485"/>
      <c r="R110" s="2485"/>
      <c r="S110" s="2471"/>
      <c r="T110" s="2471"/>
      <c r="U110" s="18" t="s">
        <v>2861</v>
      </c>
      <c r="V110" s="2485" t="s">
        <v>2862</v>
      </c>
      <c r="W110" s="2485"/>
      <c r="X110" s="2485"/>
      <c r="Y110" s="2471"/>
      <c r="Z110" s="2471"/>
      <c r="AA110" s="18" t="s">
        <v>2861</v>
      </c>
      <c r="AB110" s="2485" t="s">
        <v>2862</v>
      </c>
      <c r="AC110" s="2485"/>
      <c r="AD110" s="2485"/>
      <c r="AF110" s="2471"/>
      <c r="AG110" s="2471"/>
      <c r="AH110" s="18" t="s">
        <v>2861</v>
      </c>
      <c r="AI110" s="2471" t="s">
        <v>2862</v>
      </c>
      <c r="AJ110" s="2471"/>
      <c r="AK110" s="2471"/>
      <c r="AS110" s="2471"/>
      <c r="AT110" s="2471"/>
      <c r="AU110" s="18" t="s">
        <v>2861</v>
      </c>
      <c r="AV110" s="2471" t="s">
        <v>2862</v>
      </c>
      <c r="AW110" s="2471"/>
      <c r="AX110" s="2471"/>
    </row>
    <row r="111" spans="1:50" ht="15.75">
      <c r="A111" s="2471"/>
      <c r="B111" s="2471"/>
      <c r="C111" s="18" t="s">
        <v>2863</v>
      </c>
      <c r="D111" s="2471" t="s">
        <v>2864</v>
      </c>
      <c r="E111" s="2471"/>
      <c r="F111" s="2471"/>
      <c r="G111" s="2471"/>
      <c r="H111" s="2471"/>
      <c r="I111" s="18" t="s">
        <v>2863</v>
      </c>
      <c r="J111" s="2485" t="s">
        <v>2864</v>
      </c>
      <c r="K111" s="2485"/>
      <c r="L111" s="2485"/>
      <c r="M111" s="2471"/>
      <c r="N111" s="2471"/>
      <c r="O111" s="18" t="s">
        <v>2863</v>
      </c>
      <c r="P111" s="2485" t="s">
        <v>2864</v>
      </c>
      <c r="Q111" s="2485"/>
      <c r="R111" s="2485"/>
      <c r="S111" s="2471"/>
      <c r="T111" s="2471"/>
      <c r="U111" s="18" t="s">
        <v>2863</v>
      </c>
      <c r="V111" s="2485" t="s">
        <v>2864</v>
      </c>
      <c r="W111" s="2485"/>
      <c r="X111" s="2485"/>
      <c r="Y111" s="2471"/>
      <c r="Z111" s="2471"/>
      <c r="AA111" s="18" t="s">
        <v>2863</v>
      </c>
      <c r="AB111" s="2485" t="s">
        <v>2864</v>
      </c>
      <c r="AC111" s="2485"/>
      <c r="AD111" s="2485"/>
      <c r="AF111" s="2471"/>
      <c r="AG111" s="2471"/>
      <c r="AH111" s="18" t="s">
        <v>2863</v>
      </c>
      <c r="AI111" s="2471" t="s">
        <v>2864</v>
      </c>
      <c r="AJ111" s="2471"/>
      <c r="AK111" s="2471"/>
      <c r="AS111" s="2471"/>
      <c r="AT111" s="2471"/>
      <c r="AU111" s="18" t="s">
        <v>2863</v>
      </c>
      <c r="AV111" s="2471" t="s">
        <v>2864</v>
      </c>
      <c r="AW111" s="2471"/>
      <c r="AX111" s="2471"/>
    </row>
    <row r="112" spans="1:50" ht="15.75">
      <c r="A112" s="2471"/>
      <c r="B112" s="2471"/>
      <c r="C112" s="18" t="s">
        <v>2865</v>
      </c>
      <c r="D112" s="2471" t="s">
        <v>2866</v>
      </c>
      <c r="E112" s="2471"/>
      <c r="F112" s="2471"/>
      <c r="G112" s="2471"/>
      <c r="H112" s="2471"/>
      <c r="I112" s="18" t="s">
        <v>2865</v>
      </c>
      <c r="J112" s="2485" t="s">
        <v>2866</v>
      </c>
      <c r="K112" s="2485"/>
      <c r="L112" s="2485"/>
      <c r="M112" s="2471"/>
      <c r="N112" s="2471"/>
      <c r="O112" s="18" t="s">
        <v>2865</v>
      </c>
      <c r="P112" s="2485" t="s">
        <v>2866</v>
      </c>
      <c r="Q112" s="2485"/>
      <c r="R112" s="2485"/>
      <c r="S112" s="2471"/>
      <c r="T112" s="2471"/>
      <c r="U112" s="18" t="s">
        <v>2865</v>
      </c>
      <c r="V112" s="2485" t="s">
        <v>2866</v>
      </c>
      <c r="W112" s="2485"/>
      <c r="X112" s="2485"/>
      <c r="Y112" s="2471"/>
      <c r="Z112" s="2471"/>
      <c r="AA112" s="18" t="s">
        <v>2865</v>
      </c>
      <c r="AB112" s="2485" t="s">
        <v>2866</v>
      </c>
      <c r="AC112" s="2485"/>
      <c r="AD112" s="2485"/>
      <c r="AF112" s="2471"/>
      <c r="AG112" s="2471"/>
      <c r="AH112" s="18" t="s">
        <v>2865</v>
      </c>
      <c r="AI112" s="2471" t="s">
        <v>2866</v>
      </c>
      <c r="AJ112" s="2471"/>
      <c r="AK112" s="2471"/>
      <c r="AS112" s="2471"/>
      <c r="AT112" s="2471"/>
      <c r="AU112" s="18" t="s">
        <v>2865</v>
      </c>
      <c r="AV112" s="2471" t="s">
        <v>2866</v>
      </c>
      <c r="AW112" s="2471"/>
      <c r="AX112" s="2471"/>
    </row>
    <row r="113" spans="1:50" ht="15.75">
      <c r="A113" s="2471"/>
      <c r="B113" s="2471"/>
      <c r="C113" s="18" t="s">
        <v>2867</v>
      </c>
      <c r="D113" s="2471" t="s">
        <v>2868</v>
      </c>
      <c r="E113" s="2471"/>
      <c r="F113" s="2471"/>
      <c r="G113" s="2471"/>
      <c r="H113" s="2471"/>
      <c r="I113" s="18" t="s">
        <v>2867</v>
      </c>
      <c r="J113" s="2485" t="s">
        <v>2868</v>
      </c>
      <c r="K113" s="2485"/>
      <c r="L113" s="2485"/>
      <c r="M113" s="2471"/>
      <c r="N113" s="2471"/>
      <c r="O113" s="18" t="s">
        <v>2867</v>
      </c>
      <c r="P113" s="2485" t="s">
        <v>2868</v>
      </c>
      <c r="Q113" s="2485"/>
      <c r="R113" s="2485"/>
      <c r="S113" s="2471"/>
      <c r="T113" s="2471"/>
      <c r="U113" s="18" t="s">
        <v>2867</v>
      </c>
      <c r="V113" s="2485" t="s">
        <v>2868</v>
      </c>
      <c r="W113" s="2485"/>
      <c r="X113" s="2485"/>
      <c r="Y113" s="2471"/>
      <c r="Z113" s="2471"/>
      <c r="AA113" s="18" t="s">
        <v>2867</v>
      </c>
      <c r="AB113" s="2485" t="s">
        <v>2868</v>
      </c>
      <c r="AC113" s="2485"/>
      <c r="AD113" s="2485"/>
      <c r="AF113" s="2471"/>
      <c r="AG113" s="2471"/>
      <c r="AH113" s="18" t="s">
        <v>2867</v>
      </c>
      <c r="AI113" s="2471" t="s">
        <v>2868</v>
      </c>
      <c r="AJ113" s="2471"/>
      <c r="AK113" s="2471"/>
      <c r="AS113" s="2471"/>
      <c r="AT113" s="2471"/>
      <c r="AU113" s="18" t="s">
        <v>2867</v>
      </c>
      <c r="AV113" s="2471" t="s">
        <v>2868</v>
      </c>
      <c r="AW113" s="2471"/>
      <c r="AX113" s="2471"/>
    </row>
    <row r="114" spans="1:50" ht="15.75">
      <c r="A114" s="2471"/>
      <c r="B114" s="2471"/>
      <c r="C114" s="18" t="s">
        <v>2869</v>
      </c>
      <c r="D114" s="2471" t="s">
        <v>2870</v>
      </c>
      <c r="E114" s="2471"/>
      <c r="F114" s="2471"/>
      <c r="G114" s="2471"/>
      <c r="H114" s="2471"/>
      <c r="I114" s="18" t="s">
        <v>2869</v>
      </c>
      <c r="J114" s="2485" t="s">
        <v>2870</v>
      </c>
      <c r="K114" s="2485"/>
      <c r="L114" s="2485"/>
      <c r="M114" s="2471"/>
      <c r="N114" s="2471"/>
      <c r="O114" s="18" t="s">
        <v>2869</v>
      </c>
      <c r="P114" s="2485" t="s">
        <v>2870</v>
      </c>
      <c r="Q114" s="2485"/>
      <c r="R114" s="2485"/>
      <c r="S114" s="2471"/>
      <c r="T114" s="2471"/>
      <c r="U114" s="18" t="s">
        <v>2869</v>
      </c>
      <c r="V114" s="2485" t="s">
        <v>2870</v>
      </c>
      <c r="W114" s="2485"/>
      <c r="X114" s="2485"/>
      <c r="Y114" s="2471"/>
      <c r="Z114" s="2471"/>
      <c r="AA114" s="18" t="s">
        <v>2869</v>
      </c>
      <c r="AB114" s="2485" t="s">
        <v>2870</v>
      </c>
      <c r="AC114" s="2485"/>
      <c r="AD114" s="2485"/>
      <c r="AF114" s="2471"/>
      <c r="AG114" s="2471"/>
      <c r="AH114" s="18" t="s">
        <v>2869</v>
      </c>
      <c r="AI114" s="2471" t="s">
        <v>2870</v>
      </c>
      <c r="AJ114" s="2471"/>
      <c r="AK114" s="2471"/>
      <c r="AS114" s="2471"/>
      <c r="AT114" s="2471"/>
      <c r="AU114" s="18" t="s">
        <v>2869</v>
      </c>
      <c r="AV114" s="2471" t="s">
        <v>2870</v>
      </c>
      <c r="AW114" s="2471"/>
      <c r="AX114" s="2471"/>
    </row>
    <row r="115" spans="1:50" ht="15.75">
      <c r="A115" s="2471"/>
      <c r="B115" s="2471"/>
      <c r="C115" s="18" t="s">
        <v>2871</v>
      </c>
      <c r="D115" s="2471" t="s">
        <v>2872</v>
      </c>
      <c r="E115" s="2471"/>
      <c r="F115" s="2471"/>
      <c r="G115" s="2471"/>
      <c r="H115" s="2471"/>
      <c r="I115" s="18" t="s">
        <v>2871</v>
      </c>
      <c r="J115" s="2485" t="s">
        <v>2872</v>
      </c>
      <c r="K115" s="2485"/>
      <c r="L115" s="2485"/>
      <c r="M115" s="2471"/>
      <c r="N115" s="2471"/>
      <c r="O115" s="18" t="s">
        <v>2871</v>
      </c>
      <c r="P115" s="2485" t="s">
        <v>2872</v>
      </c>
      <c r="Q115" s="2485"/>
      <c r="R115" s="2485"/>
      <c r="S115" s="2471"/>
      <c r="T115" s="2471"/>
      <c r="U115" s="18" t="s">
        <v>2871</v>
      </c>
      <c r="V115" s="2485" t="s">
        <v>2872</v>
      </c>
      <c r="W115" s="2485"/>
      <c r="X115" s="2485"/>
      <c r="Y115" s="2471"/>
      <c r="Z115" s="2471"/>
      <c r="AA115" s="18" t="s">
        <v>2871</v>
      </c>
      <c r="AB115" s="2485" t="s">
        <v>2872</v>
      </c>
      <c r="AC115" s="2485"/>
      <c r="AD115" s="2485"/>
      <c r="AF115" s="2471"/>
      <c r="AG115" s="2471"/>
      <c r="AH115" s="18" t="s">
        <v>2871</v>
      </c>
      <c r="AI115" s="2471" t="s">
        <v>2872</v>
      </c>
      <c r="AJ115" s="2471"/>
      <c r="AK115" s="2471"/>
      <c r="AS115" s="2471"/>
      <c r="AT115" s="2471"/>
      <c r="AU115" s="18" t="s">
        <v>2871</v>
      </c>
      <c r="AV115" s="2471" t="s">
        <v>2872</v>
      </c>
      <c r="AW115" s="2471"/>
      <c r="AX115" s="2471"/>
    </row>
    <row r="116" spans="1:50" ht="15.75">
      <c r="A116" s="2494" t="s">
        <v>871</v>
      </c>
      <c r="B116" s="2495"/>
      <c r="C116" s="321" t="s">
        <v>2873</v>
      </c>
      <c r="D116" s="2471" t="s">
        <v>2874</v>
      </c>
      <c r="E116" s="2471"/>
      <c r="F116" s="2471"/>
      <c r="G116" s="2494" t="s">
        <v>871</v>
      </c>
      <c r="H116" s="2495"/>
      <c r="I116" s="321" t="s">
        <v>2873</v>
      </c>
      <c r="J116" s="2485" t="s">
        <v>2874</v>
      </c>
      <c r="K116" s="2485"/>
      <c r="L116" s="2485"/>
      <c r="M116" s="2494" t="s">
        <v>871</v>
      </c>
      <c r="N116" s="2495"/>
      <c r="O116" s="321" t="s">
        <v>2873</v>
      </c>
      <c r="P116" s="2485" t="s">
        <v>2874</v>
      </c>
      <c r="Q116" s="2485"/>
      <c r="R116" s="2485"/>
      <c r="S116" s="2494" t="s">
        <v>871</v>
      </c>
      <c r="T116" s="2495"/>
      <c r="U116" s="321" t="s">
        <v>2873</v>
      </c>
      <c r="V116" s="2485" t="s">
        <v>2874</v>
      </c>
      <c r="W116" s="2485"/>
      <c r="X116" s="2485"/>
      <c r="Y116" s="2494" t="s">
        <v>871</v>
      </c>
      <c r="Z116" s="2495"/>
      <c r="AA116" s="321" t="s">
        <v>2873</v>
      </c>
      <c r="AB116" s="2485" t="s">
        <v>2874</v>
      </c>
      <c r="AC116" s="2485"/>
      <c r="AD116" s="2485"/>
      <c r="AF116" s="2494" t="s">
        <v>871</v>
      </c>
      <c r="AG116" s="2495"/>
      <c r="AH116" s="321" t="s">
        <v>2873</v>
      </c>
      <c r="AI116" s="2471" t="s">
        <v>2874</v>
      </c>
      <c r="AJ116" s="2471"/>
      <c r="AK116" s="2471"/>
      <c r="AS116" s="2494" t="s">
        <v>871</v>
      </c>
      <c r="AT116" s="2495"/>
      <c r="AU116" s="321" t="s">
        <v>2873</v>
      </c>
      <c r="AV116" s="2471" t="s">
        <v>2874</v>
      </c>
      <c r="AW116" s="2471"/>
      <c r="AX116" s="2471"/>
    </row>
    <row r="117" spans="1:50" ht="30.75">
      <c r="A117" s="2471">
        <v>7</v>
      </c>
      <c r="B117" s="2471"/>
      <c r="C117" s="327" t="s">
        <v>2875</v>
      </c>
      <c r="D117" s="2471" t="s">
        <v>2876</v>
      </c>
      <c r="E117" s="2471"/>
      <c r="F117" s="2471"/>
      <c r="G117" s="2471">
        <v>7</v>
      </c>
      <c r="H117" s="2471"/>
      <c r="I117" s="327" t="s">
        <v>2875</v>
      </c>
      <c r="J117" s="2485" t="s">
        <v>2876</v>
      </c>
      <c r="K117" s="2485"/>
      <c r="L117" s="2485"/>
      <c r="M117" s="2471">
        <v>7</v>
      </c>
      <c r="N117" s="2471"/>
      <c r="O117" s="327" t="s">
        <v>2875</v>
      </c>
      <c r="P117" s="2485" t="s">
        <v>2876</v>
      </c>
      <c r="Q117" s="2485"/>
      <c r="R117" s="2485"/>
      <c r="S117" s="2471">
        <v>7</v>
      </c>
      <c r="T117" s="2471"/>
      <c r="U117" s="327" t="s">
        <v>2875</v>
      </c>
      <c r="V117" s="2485" t="s">
        <v>2876</v>
      </c>
      <c r="W117" s="2485"/>
      <c r="X117" s="2485"/>
      <c r="Y117" s="2471">
        <v>7</v>
      </c>
      <c r="Z117" s="2471"/>
      <c r="AA117" s="327" t="s">
        <v>2875</v>
      </c>
      <c r="AB117" s="2485" t="s">
        <v>2876</v>
      </c>
      <c r="AC117" s="2485"/>
      <c r="AD117" s="2485"/>
      <c r="AF117" s="2471">
        <v>7</v>
      </c>
      <c r="AG117" s="2471"/>
      <c r="AH117" s="327" t="s">
        <v>2875</v>
      </c>
      <c r="AI117" s="2471" t="s">
        <v>2876</v>
      </c>
      <c r="AJ117" s="2471"/>
      <c r="AK117" s="2471"/>
      <c r="AS117" s="2471">
        <v>7</v>
      </c>
      <c r="AT117" s="2471"/>
      <c r="AU117" s="327" t="s">
        <v>2875</v>
      </c>
      <c r="AV117" s="2471" t="s">
        <v>2876</v>
      </c>
      <c r="AW117" s="2471"/>
      <c r="AX117" s="2471"/>
    </row>
    <row r="118" spans="1:50" ht="15.75">
      <c r="A118" s="2471">
        <v>8</v>
      </c>
      <c r="B118" s="2471"/>
      <c r="C118" s="321" t="s">
        <v>8</v>
      </c>
      <c r="D118" s="2471" t="s">
        <v>2877</v>
      </c>
      <c r="E118" s="2471"/>
      <c r="F118" s="2471"/>
      <c r="G118" s="2471">
        <v>8</v>
      </c>
      <c r="H118" s="2471"/>
      <c r="I118" s="321" t="s">
        <v>8</v>
      </c>
      <c r="J118" s="2485" t="s">
        <v>2877</v>
      </c>
      <c r="K118" s="2485"/>
      <c r="L118" s="2485"/>
      <c r="M118" s="2471">
        <v>8</v>
      </c>
      <c r="N118" s="2471"/>
      <c r="O118" s="321" t="s">
        <v>8</v>
      </c>
      <c r="P118" s="2485" t="s">
        <v>2877</v>
      </c>
      <c r="Q118" s="2485"/>
      <c r="R118" s="2485"/>
      <c r="S118" s="2471">
        <v>8</v>
      </c>
      <c r="T118" s="2471"/>
      <c r="U118" s="321" t="s">
        <v>8</v>
      </c>
      <c r="V118" s="2485" t="s">
        <v>2877</v>
      </c>
      <c r="W118" s="2485"/>
      <c r="X118" s="2485"/>
      <c r="Y118" s="2471">
        <v>8</v>
      </c>
      <c r="Z118" s="2471"/>
      <c r="AA118" s="321" t="s">
        <v>8</v>
      </c>
      <c r="AB118" s="2485" t="s">
        <v>2877</v>
      </c>
      <c r="AC118" s="2485"/>
      <c r="AD118" s="2485"/>
      <c r="AF118" s="2471">
        <v>8</v>
      </c>
      <c r="AG118" s="2471"/>
      <c r="AH118" s="321" t="s">
        <v>8</v>
      </c>
      <c r="AI118" s="2471" t="s">
        <v>2877</v>
      </c>
      <c r="AJ118" s="2471"/>
      <c r="AK118" s="2471"/>
      <c r="AS118" s="2471">
        <v>8</v>
      </c>
      <c r="AT118" s="2471"/>
      <c r="AU118" s="321" t="s">
        <v>8</v>
      </c>
      <c r="AV118" s="2471" t="s">
        <v>2877</v>
      </c>
      <c r="AW118" s="2471"/>
      <c r="AX118" s="2471"/>
    </row>
    <row r="119" spans="1:50" ht="15.75">
      <c r="A119" s="2471">
        <v>9</v>
      </c>
      <c r="B119" s="2471"/>
      <c r="C119" s="321" t="s">
        <v>2878</v>
      </c>
      <c r="D119" s="2496" t="s">
        <v>2879</v>
      </c>
      <c r="E119" s="2496"/>
      <c r="F119" s="2496"/>
      <c r="G119" s="2471">
        <v>9</v>
      </c>
      <c r="H119" s="2471"/>
      <c r="I119" s="321" t="s">
        <v>2878</v>
      </c>
      <c r="J119" s="2496" t="s">
        <v>2879</v>
      </c>
      <c r="K119" s="2496"/>
      <c r="L119" s="2496"/>
      <c r="M119" s="2471">
        <v>9</v>
      </c>
      <c r="N119" s="2471"/>
      <c r="O119" s="321" t="s">
        <v>2878</v>
      </c>
      <c r="P119" s="2496" t="s">
        <v>2879</v>
      </c>
      <c r="Q119" s="2496"/>
      <c r="R119" s="2496"/>
      <c r="S119" s="2471">
        <v>9</v>
      </c>
      <c r="T119" s="2471"/>
      <c r="U119" s="321" t="s">
        <v>2878</v>
      </c>
      <c r="V119" s="2496" t="s">
        <v>2879</v>
      </c>
      <c r="W119" s="2496"/>
      <c r="X119" s="2496"/>
      <c r="Y119" s="2471">
        <v>9</v>
      </c>
      <c r="Z119" s="2471"/>
      <c r="AA119" s="321" t="s">
        <v>2878</v>
      </c>
      <c r="AB119" s="2496" t="s">
        <v>2879</v>
      </c>
      <c r="AC119" s="2496"/>
      <c r="AD119" s="2496"/>
      <c r="AF119" s="2471">
        <v>9</v>
      </c>
      <c r="AG119" s="2471"/>
      <c r="AH119" s="321" t="s">
        <v>2878</v>
      </c>
      <c r="AI119" s="2496" t="s">
        <v>2879</v>
      </c>
      <c r="AJ119" s="2496"/>
      <c r="AK119" s="2496"/>
      <c r="AS119" s="2471">
        <v>9</v>
      </c>
      <c r="AT119" s="2471"/>
      <c r="AU119" s="321" t="s">
        <v>2878</v>
      </c>
      <c r="AV119" s="2496" t="s">
        <v>2879</v>
      </c>
      <c r="AW119" s="2496"/>
      <c r="AX119" s="2496"/>
    </row>
    <row r="120" spans="1:50" ht="15.75">
      <c r="A120" s="2471">
        <v>10</v>
      </c>
      <c r="B120" s="2471"/>
      <c r="C120" s="321" t="s">
        <v>2880</v>
      </c>
      <c r="D120" s="2471" t="s">
        <v>2881</v>
      </c>
      <c r="E120" s="2471"/>
      <c r="F120" s="2471"/>
      <c r="G120" s="2471">
        <v>10</v>
      </c>
      <c r="H120" s="2471"/>
      <c r="I120" s="321" t="s">
        <v>2880</v>
      </c>
      <c r="J120" s="2485" t="s">
        <v>2881</v>
      </c>
      <c r="K120" s="2485"/>
      <c r="L120" s="2485"/>
      <c r="M120" s="2471">
        <v>10</v>
      </c>
      <c r="N120" s="2471"/>
      <c r="O120" s="321" t="s">
        <v>2880</v>
      </c>
      <c r="P120" s="2485" t="s">
        <v>2881</v>
      </c>
      <c r="Q120" s="2485"/>
      <c r="R120" s="2485"/>
      <c r="S120" s="2471">
        <v>10</v>
      </c>
      <c r="T120" s="2471"/>
      <c r="U120" s="321" t="s">
        <v>2880</v>
      </c>
      <c r="V120" s="2485" t="s">
        <v>2881</v>
      </c>
      <c r="W120" s="2485"/>
      <c r="X120" s="2485"/>
      <c r="Y120" s="2471">
        <v>10</v>
      </c>
      <c r="Z120" s="2471"/>
      <c r="AA120" s="321" t="s">
        <v>2880</v>
      </c>
      <c r="AB120" s="2485" t="s">
        <v>2881</v>
      </c>
      <c r="AC120" s="2485"/>
      <c r="AD120" s="2485"/>
      <c r="AF120" s="2471">
        <v>10</v>
      </c>
      <c r="AG120" s="2471"/>
      <c r="AH120" s="321" t="s">
        <v>2880</v>
      </c>
      <c r="AI120" s="2471" t="s">
        <v>2881</v>
      </c>
      <c r="AJ120" s="2471"/>
      <c r="AK120" s="2471"/>
      <c r="AS120" s="2471">
        <v>10</v>
      </c>
      <c r="AT120" s="2471"/>
      <c r="AU120" s="321" t="s">
        <v>2880</v>
      </c>
      <c r="AV120" s="2471" t="s">
        <v>2881</v>
      </c>
      <c r="AW120" s="2471"/>
      <c r="AX120" s="2471"/>
    </row>
    <row r="121" spans="1:50" ht="15.75">
      <c r="A121" s="2471">
        <v>11</v>
      </c>
      <c r="B121" s="2471"/>
      <c r="C121" s="321" t="s">
        <v>2882</v>
      </c>
      <c r="D121" s="2471" t="s">
        <v>2883</v>
      </c>
      <c r="E121" s="2471"/>
      <c r="F121" s="2471"/>
      <c r="G121" s="2471">
        <v>11</v>
      </c>
      <c r="H121" s="2471"/>
      <c r="I121" s="321" t="s">
        <v>2882</v>
      </c>
      <c r="J121" s="2485" t="s">
        <v>2883</v>
      </c>
      <c r="K121" s="2485"/>
      <c r="L121" s="2485"/>
      <c r="M121" s="2471">
        <v>11</v>
      </c>
      <c r="N121" s="2471"/>
      <c r="O121" s="321" t="s">
        <v>2882</v>
      </c>
      <c r="P121" s="2485" t="s">
        <v>2883</v>
      </c>
      <c r="Q121" s="2485"/>
      <c r="R121" s="2485"/>
      <c r="S121" s="2471">
        <v>11</v>
      </c>
      <c r="T121" s="2471"/>
      <c r="U121" s="321" t="s">
        <v>2882</v>
      </c>
      <c r="V121" s="2485" t="s">
        <v>2883</v>
      </c>
      <c r="W121" s="2485"/>
      <c r="X121" s="2485"/>
      <c r="Y121" s="2471">
        <v>11</v>
      </c>
      <c r="Z121" s="2471"/>
      <c r="AA121" s="321" t="s">
        <v>2882</v>
      </c>
      <c r="AB121" s="2485" t="s">
        <v>2884</v>
      </c>
      <c r="AC121" s="2485"/>
      <c r="AD121" s="2485"/>
      <c r="AF121" s="2471">
        <v>11</v>
      </c>
      <c r="AG121" s="2471"/>
      <c r="AH121" s="321" t="s">
        <v>2882</v>
      </c>
      <c r="AI121" s="2471" t="s">
        <v>2883</v>
      </c>
      <c r="AJ121" s="2471"/>
      <c r="AK121" s="2471"/>
      <c r="AS121" s="2471">
        <v>11</v>
      </c>
      <c r="AT121" s="2471"/>
      <c r="AU121" s="321" t="s">
        <v>2882</v>
      </c>
      <c r="AV121" s="2471" t="s">
        <v>2883</v>
      </c>
      <c r="AW121" s="2471"/>
      <c r="AX121" s="2471"/>
    </row>
    <row r="122" spans="1:50" ht="15.75">
      <c r="A122" s="2471">
        <v>12</v>
      </c>
      <c r="B122" s="2471"/>
      <c r="C122" s="321" t="s">
        <v>2885</v>
      </c>
      <c r="D122" s="2471" t="s">
        <v>2886</v>
      </c>
      <c r="E122" s="2471"/>
      <c r="F122" s="2471"/>
      <c r="G122" s="2471">
        <v>12</v>
      </c>
      <c r="H122" s="2471"/>
      <c r="I122" s="321" t="s">
        <v>2885</v>
      </c>
      <c r="J122" s="2485" t="s">
        <v>2886</v>
      </c>
      <c r="K122" s="2485"/>
      <c r="L122" s="2485"/>
      <c r="M122" s="2471">
        <v>12</v>
      </c>
      <c r="N122" s="2471"/>
      <c r="O122" s="321" t="s">
        <v>2885</v>
      </c>
      <c r="P122" s="2485" t="s">
        <v>2886</v>
      </c>
      <c r="Q122" s="2485"/>
      <c r="R122" s="2485"/>
      <c r="S122" s="2471">
        <v>12</v>
      </c>
      <c r="T122" s="2471"/>
      <c r="U122" s="321" t="s">
        <v>2885</v>
      </c>
      <c r="V122" s="2485" t="s">
        <v>2886</v>
      </c>
      <c r="W122" s="2485"/>
      <c r="X122" s="2485"/>
      <c r="Y122" s="2471">
        <v>12</v>
      </c>
      <c r="Z122" s="2471"/>
      <c r="AA122" s="321" t="s">
        <v>2885</v>
      </c>
      <c r="AB122" s="2485" t="s">
        <v>2884</v>
      </c>
      <c r="AC122" s="2485"/>
      <c r="AD122" s="2485"/>
      <c r="AF122" s="2471">
        <v>12</v>
      </c>
      <c r="AG122" s="2471"/>
      <c r="AH122" s="321" t="s">
        <v>2885</v>
      </c>
      <c r="AI122" s="2471" t="s">
        <v>2886</v>
      </c>
      <c r="AJ122" s="2471"/>
      <c r="AK122" s="2471"/>
      <c r="AS122" s="2471">
        <v>12</v>
      </c>
      <c r="AT122" s="2471"/>
      <c r="AU122" s="321" t="s">
        <v>2885</v>
      </c>
      <c r="AV122" s="2471" t="s">
        <v>2886</v>
      </c>
      <c r="AW122" s="2471"/>
      <c r="AX122" s="2471"/>
    </row>
    <row r="126" spans="1:50">
      <c r="A126" s="2478" t="s">
        <v>2887</v>
      </c>
      <c r="B126" s="2478"/>
      <c r="C126" s="2478"/>
      <c r="D126" s="2478"/>
      <c r="E126" s="2478"/>
      <c r="F126" s="2478"/>
      <c r="G126" s="2478" t="s">
        <v>2887</v>
      </c>
      <c r="H126" s="2478"/>
      <c r="I126" s="2478"/>
      <c r="J126" s="2478"/>
      <c r="K126" s="2478"/>
      <c r="L126" s="2478"/>
      <c r="M126" s="2478" t="s">
        <v>2887</v>
      </c>
      <c r="N126" s="2478"/>
      <c r="O126" s="2478"/>
      <c r="P126" s="2478"/>
      <c r="Q126" s="2478"/>
      <c r="R126" s="2478"/>
      <c r="S126" s="2478" t="s">
        <v>2887</v>
      </c>
      <c r="T126" s="2478"/>
      <c r="U126" s="2478"/>
      <c r="V126" s="2478"/>
      <c r="W126" s="2478"/>
      <c r="X126" s="2478"/>
      <c r="Y126" s="2478" t="s">
        <v>2887</v>
      </c>
      <c r="Z126" s="2478"/>
      <c r="AA126" s="2478"/>
      <c r="AB126" s="2478"/>
      <c r="AC126" s="2478"/>
      <c r="AD126" s="2478"/>
      <c r="AF126" s="2478" t="s">
        <v>2887</v>
      </c>
      <c r="AG126" s="2478"/>
      <c r="AH126" s="2478"/>
      <c r="AI126" s="2478"/>
      <c r="AJ126" s="2478"/>
      <c r="AK126" s="2478"/>
      <c r="AS126" s="2478" t="s">
        <v>2887</v>
      </c>
      <c r="AT126" s="2478"/>
      <c r="AU126" s="2478"/>
      <c r="AV126" s="2478"/>
      <c r="AW126" s="2478"/>
      <c r="AX126" s="2478"/>
    </row>
    <row r="127" spans="1:50">
      <c r="A127" s="2478"/>
      <c r="B127" s="2478"/>
      <c r="C127" s="2478"/>
      <c r="D127" s="2478"/>
      <c r="E127" s="2478"/>
      <c r="F127" s="2478"/>
      <c r="G127" s="2478"/>
      <c r="H127" s="2478"/>
      <c r="I127" s="2478"/>
      <c r="J127" s="2478"/>
      <c r="K127" s="2478"/>
      <c r="L127" s="2478"/>
      <c r="M127" s="2478"/>
      <c r="N127" s="2478"/>
      <c r="O127" s="2478"/>
      <c r="P127" s="2478"/>
      <c r="Q127" s="2478"/>
      <c r="R127" s="2478"/>
      <c r="S127" s="2478"/>
      <c r="T127" s="2478"/>
      <c r="U127" s="2478"/>
      <c r="V127" s="2478"/>
      <c r="W127" s="2478"/>
      <c r="X127" s="2478"/>
      <c r="Y127" s="2478"/>
      <c r="Z127" s="2478"/>
      <c r="AA127" s="2478"/>
      <c r="AB127" s="2478"/>
      <c r="AC127" s="2478"/>
      <c r="AD127" s="2478"/>
      <c r="AF127" s="2478"/>
      <c r="AG127" s="2478"/>
      <c r="AH127" s="2478"/>
      <c r="AI127" s="2478"/>
      <c r="AJ127" s="2478"/>
      <c r="AK127" s="2478"/>
      <c r="AS127" s="2478"/>
      <c r="AT127" s="2478"/>
      <c r="AU127" s="2478"/>
      <c r="AV127" s="2478"/>
      <c r="AW127" s="2478"/>
      <c r="AX127" s="2478"/>
    </row>
    <row r="128" spans="1:50" ht="15.75">
      <c r="A128" s="2471" t="s">
        <v>1510</v>
      </c>
      <c r="B128" s="2471"/>
      <c r="C128" s="305" t="s">
        <v>2840</v>
      </c>
      <c r="D128" s="2471" t="s">
        <v>2841</v>
      </c>
      <c r="E128" s="2471"/>
      <c r="F128" s="2471"/>
      <c r="G128" s="2471" t="s">
        <v>1510</v>
      </c>
      <c r="H128" s="2471"/>
      <c r="I128" s="305" t="s">
        <v>2840</v>
      </c>
      <c r="J128" s="2471" t="s">
        <v>2841</v>
      </c>
      <c r="K128" s="2471"/>
      <c r="L128" s="2471"/>
      <c r="M128" s="2471" t="s">
        <v>1510</v>
      </c>
      <c r="N128" s="2471"/>
      <c r="O128" s="305" t="s">
        <v>2840</v>
      </c>
      <c r="P128" s="2471" t="s">
        <v>2841</v>
      </c>
      <c r="Q128" s="2471"/>
      <c r="R128" s="2471"/>
      <c r="S128" s="2471" t="s">
        <v>1510</v>
      </c>
      <c r="T128" s="2471"/>
      <c r="U128" s="305" t="s">
        <v>2840</v>
      </c>
      <c r="V128" s="2471" t="s">
        <v>2841</v>
      </c>
      <c r="W128" s="2471"/>
      <c r="X128" s="2471"/>
      <c r="Y128" s="2471" t="s">
        <v>1510</v>
      </c>
      <c r="Z128" s="2471"/>
      <c r="AA128" s="305" t="s">
        <v>2840</v>
      </c>
      <c r="AB128" s="2471" t="s">
        <v>2841</v>
      </c>
      <c r="AC128" s="2471"/>
      <c r="AD128" s="2471"/>
      <c r="AF128" s="2471" t="s">
        <v>1510</v>
      </c>
      <c r="AG128" s="2471"/>
      <c r="AH128" s="305" t="s">
        <v>2840</v>
      </c>
      <c r="AI128" s="2471" t="s">
        <v>2841</v>
      </c>
      <c r="AJ128" s="2471"/>
      <c r="AK128" s="2471"/>
      <c r="AS128" s="2471" t="s">
        <v>1510</v>
      </c>
      <c r="AT128" s="2471"/>
      <c r="AU128" s="305" t="s">
        <v>2840</v>
      </c>
      <c r="AV128" s="2471" t="s">
        <v>2841</v>
      </c>
      <c r="AW128" s="2471"/>
      <c r="AX128" s="2471"/>
    </row>
    <row r="129" spans="1:50" ht="15.75">
      <c r="A129" s="2491">
        <v>1</v>
      </c>
      <c r="B129" s="2493"/>
      <c r="C129" s="305">
        <v>2</v>
      </c>
      <c r="D129" s="2471">
        <v>3</v>
      </c>
      <c r="E129" s="2471"/>
      <c r="F129" s="2471"/>
      <c r="G129" s="2491">
        <v>1</v>
      </c>
      <c r="H129" s="2493"/>
      <c r="I129" s="305">
        <v>2</v>
      </c>
      <c r="J129" s="2471">
        <v>3</v>
      </c>
      <c r="K129" s="2471"/>
      <c r="L129" s="2471"/>
      <c r="M129" s="2491">
        <v>1</v>
      </c>
      <c r="N129" s="2493"/>
      <c r="O129" s="305">
        <v>2</v>
      </c>
      <c r="P129" s="2471">
        <v>3</v>
      </c>
      <c r="Q129" s="2471"/>
      <c r="R129" s="2471"/>
      <c r="S129" s="2491">
        <v>1</v>
      </c>
      <c r="T129" s="2493"/>
      <c r="U129" s="305">
        <v>2</v>
      </c>
      <c r="V129" s="2471">
        <v>3</v>
      </c>
      <c r="W129" s="2471"/>
      <c r="X129" s="2471"/>
      <c r="Y129" s="2491">
        <v>1</v>
      </c>
      <c r="Z129" s="2493"/>
      <c r="AA129" s="305">
        <v>2</v>
      </c>
      <c r="AB129" s="2471">
        <v>3</v>
      </c>
      <c r="AC129" s="2471"/>
      <c r="AD129" s="2471"/>
      <c r="AF129" s="2491">
        <v>1</v>
      </c>
      <c r="AG129" s="2493"/>
      <c r="AH129" s="305">
        <v>2</v>
      </c>
      <c r="AI129" s="2471">
        <v>3</v>
      </c>
      <c r="AJ129" s="2471"/>
      <c r="AK129" s="2471"/>
      <c r="AS129" s="2491">
        <v>1</v>
      </c>
      <c r="AT129" s="2493"/>
      <c r="AU129" s="305">
        <v>2</v>
      </c>
      <c r="AV129" s="2471">
        <v>3</v>
      </c>
      <c r="AW129" s="2471"/>
      <c r="AX129" s="2471"/>
    </row>
    <row r="130" spans="1:50" ht="15.75">
      <c r="A130" s="2471">
        <v>1</v>
      </c>
      <c r="B130" s="2471"/>
      <c r="C130" s="321" t="s">
        <v>2888</v>
      </c>
      <c r="D130" s="2471" t="s">
        <v>2889</v>
      </c>
      <c r="E130" s="2471"/>
      <c r="F130" s="2471"/>
      <c r="G130" s="2471">
        <v>1</v>
      </c>
      <c r="H130" s="2471"/>
      <c r="I130" s="321" t="s">
        <v>2888</v>
      </c>
      <c r="J130" s="2471" t="s">
        <v>2889</v>
      </c>
      <c r="K130" s="2471"/>
      <c r="L130" s="2471"/>
      <c r="M130" s="2471">
        <v>1</v>
      </c>
      <c r="N130" s="2471"/>
      <c r="O130" s="321" t="s">
        <v>2888</v>
      </c>
      <c r="P130" s="2471" t="s">
        <v>2889</v>
      </c>
      <c r="Q130" s="2471"/>
      <c r="R130" s="2471"/>
      <c r="S130" s="2471">
        <v>1</v>
      </c>
      <c r="T130" s="2471"/>
      <c r="U130" s="321" t="s">
        <v>2888</v>
      </c>
      <c r="V130" s="2471" t="s">
        <v>2889</v>
      </c>
      <c r="W130" s="2471"/>
      <c r="X130" s="2471"/>
      <c r="Y130" s="2471">
        <v>1</v>
      </c>
      <c r="Z130" s="2471"/>
      <c r="AA130" s="321" t="s">
        <v>2888</v>
      </c>
      <c r="AB130" s="2471" t="s">
        <v>2889</v>
      </c>
      <c r="AC130" s="2471"/>
      <c r="AD130" s="2471"/>
      <c r="AF130" s="2471">
        <v>1</v>
      </c>
      <c r="AG130" s="2471"/>
      <c r="AH130" s="321" t="s">
        <v>2888</v>
      </c>
      <c r="AI130" s="2471" t="s">
        <v>2889</v>
      </c>
      <c r="AJ130" s="2471"/>
      <c r="AK130" s="2471"/>
      <c r="AS130" s="2471">
        <v>1</v>
      </c>
      <c r="AT130" s="2471"/>
      <c r="AU130" s="321" t="s">
        <v>2888</v>
      </c>
      <c r="AV130" s="2471" t="s">
        <v>2889</v>
      </c>
      <c r="AW130" s="2471"/>
      <c r="AX130" s="2471"/>
    </row>
    <row r="131" spans="1:50" ht="15.75">
      <c r="A131" s="2471">
        <v>2</v>
      </c>
      <c r="B131" s="2471"/>
      <c r="C131" s="321" t="s">
        <v>2890</v>
      </c>
      <c r="D131" s="2471" t="s">
        <v>2891</v>
      </c>
      <c r="E131" s="2471"/>
      <c r="F131" s="2471"/>
      <c r="G131" s="2471">
        <v>2</v>
      </c>
      <c r="H131" s="2471"/>
      <c r="I131" s="321" t="s">
        <v>2890</v>
      </c>
      <c r="J131" s="2471" t="s">
        <v>2891</v>
      </c>
      <c r="K131" s="2471"/>
      <c r="L131" s="2471"/>
      <c r="M131" s="2471">
        <v>2</v>
      </c>
      <c r="N131" s="2471"/>
      <c r="O131" s="321" t="s">
        <v>2890</v>
      </c>
      <c r="P131" s="2471" t="s">
        <v>2891</v>
      </c>
      <c r="Q131" s="2471"/>
      <c r="R131" s="2471"/>
      <c r="S131" s="2471">
        <v>2</v>
      </c>
      <c r="T131" s="2471"/>
      <c r="U131" s="321" t="s">
        <v>2890</v>
      </c>
      <c r="V131" s="2471" t="s">
        <v>2891</v>
      </c>
      <c r="W131" s="2471"/>
      <c r="X131" s="2471"/>
      <c r="Y131" s="2471">
        <v>2</v>
      </c>
      <c r="Z131" s="2471"/>
      <c r="AA131" s="321" t="s">
        <v>2890</v>
      </c>
      <c r="AB131" s="2471" t="s">
        <v>2891</v>
      </c>
      <c r="AC131" s="2471"/>
      <c r="AD131" s="2471"/>
      <c r="AF131" s="2471">
        <v>2</v>
      </c>
      <c r="AG131" s="2471"/>
      <c r="AH131" s="321" t="s">
        <v>2890</v>
      </c>
      <c r="AI131" s="2471" t="s">
        <v>2891</v>
      </c>
      <c r="AJ131" s="2471"/>
      <c r="AK131" s="2471"/>
      <c r="AS131" s="2471">
        <v>2</v>
      </c>
      <c r="AT131" s="2471"/>
      <c r="AU131" s="321" t="s">
        <v>2890</v>
      </c>
      <c r="AV131" s="2471" t="s">
        <v>2891</v>
      </c>
      <c r="AW131" s="2471"/>
      <c r="AX131" s="2471"/>
    </row>
    <row r="132" spans="1:50" ht="15.75">
      <c r="A132" s="2471">
        <v>3</v>
      </c>
      <c r="B132" s="2471"/>
      <c r="C132" s="321" t="s">
        <v>2892</v>
      </c>
      <c r="D132" s="2471" t="s">
        <v>2893</v>
      </c>
      <c r="E132" s="2471"/>
      <c r="F132" s="2471"/>
      <c r="G132" s="2471">
        <v>3</v>
      </c>
      <c r="H132" s="2471"/>
      <c r="I132" s="321" t="s">
        <v>2892</v>
      </c>
      <c r="J132" s="2471" t="s">
        <v>2893</v>
      </c>
      <c r="K132" s="2471"/>
      <c r="L132" s="2471"/>
      <c r="M132" s="2471">
        <v>3</v>
      </c>
      <c r="N132" s="2471"/>
      <c r="O132" s="321" t="s">
        <v>2892</v>
      </c>
      <c r="P132" s="2471" t="s">
        <v>2893</v>
      </c>
      <c r="Q132" s="2471"/>
      <c r="R132" s="2471"/>
      <c r="S132" s="2471">
        <v>3</v>
      </c>
      <c r="T132" s="2471"/>
      <c r="U132" s="321" t="s">
        <v>2892</v>
      </c>
      <c r="V132" s="2471" t="s">
        <v>2893</v>
      </c>
      <c r="W132" s="2471"/>
      <c r="X132" s="2471"/>
      <c r="Y132" s="2471">
        <v>3</v>
      </c>
      <c r="Z132" s="2471"/>
      <c r="AA132" s="321" t="s">
        <v>2892</v>
      </c>
      <c r="AB132" s="2471" t="s">
        <v>2893</v>
      </c>
      <c r="AC132" s="2471"/>
      <c r="AD132" s="2471"/>
      <c r="AF132" s="2471">
        <v>3</v>
      </c>
      <c r="AG132" s="2471"/>
      <c r="AH132" s="321" t="s">
        <v>2892</v>
      </c>
      <c r="AI132" s="2471" t="s">
        <v>2893</v>
      </c>
      <c r="AJ132" s="2471"/>
      <c r="AK132" s="2471"/>
      <c r="AS132" s="2471">
        <v>3</v>
      </c>
      <c r="AT132" s="2471"/>
      <c r="AU132" s="321" t="s">
        <v>2892</v>
      </c>
      <c r="AV132" s="2471" t="s">
        <v>2893</v>
      </c>
      <c r="AW132" s="2471"/>
      <c r="AX132" s="2471"/>
    </row>
    <row r="133" spans="1:50" ht="15.75">
      <c r="A133" s="2471">
        <v>4</v>
      </c>
      <c r="B133" s="2471"/>
      <c r="C133" s="321" t="s">
        <v>2894</v>
      </c>
      <c r="D133" s="2471" t="s">
        <v>2895</v>
      </c>
      <c r="E133" s="2471"/>
      <c r="F133" s="2471"/>
      <c r="G133" s="2471">
        <v>4</v>
      </c>
      <c r="H133" s="2471"/>
      <c r="I133" s="321" t="s">
        <v>2894</v>
      </c>
      <c r="J133" s="2471" t="s">
        <v>2895</v>
      </c>
      <c r="K133" s="2471"/>
      <c r="L133" s="2471"/>
      <c r="M133" s="2471">
        <v>4</v>
      </c>
      <c r="N133" s="2471"/>
      <c r="O133" s="321" t="s">
        <v>2894</v>
      </c>
      <c r="P133" s="2471" t="s">
        <v>2895</v>
      </c>
      <c r="Q133" s="2471"/>
      <c r="R133" s="2471"/>
      <c r="S133" s="2471">
        <v>4</v>
      </c>
      <c r="T133" s="2471"/>
      <c r="U133" s="321" t="s">
        <v>2894</v>
      </c>
      <c r="V133" s="2471" t="s">
        <v>2895</v>
      </c>
      <c r="W133" s="2471"/>
      <c r="X133" s="2471"/>
      <c r="Y133" s="2471">
        <v>4</v>
      </c>
      <c r="Z133" s="2471"/>
      <c r="AA133" s="321" t="s">
        <v>2894</v>
      </c>
      <c r="AB133" s="2471" t="s">
        <v>2895</v>
      </c>
      <c r="AC133" s="2471"/>
      <c r="AD133" s="2471"/>
      <c r="AF133" s="2471">
        <v>4</v>
      </c>
      <c r="AG133" s="2471"/>
      <c r="AH133" s="321" t="s">
        <v>2894</v>
      </c>
      <c r="AI133" s="2471" t="s">
        <v>2895</v>
      </c>
      <c r="AJ133" s="2471"/>
      <c r="AK133" s="2471"/>
      <c r="AS133" s="2471">
        <v>4</v>
      </c>
      <c r="AT133" s="2471"/>
      <c r="AU133" s="321" t="s">
        <v>2894</v>
      </c>
      <c r="AV133" s="2471" t="s">
        <v>2895</v>
      </c>
      <c r="AW133" s="2471"/>
      <c r="AX133" s="2471"/>
    </row>
    <row r="137" spans="1:50">
      <c r="A137" s="2478" t="s">
        <v>2896</v>
      </c>
      <c r="B137" s="2478"/>
      <c r="C137" s="2478"/>
      <c r="D137" s="2478"/>
      <c r="E137" s="2478"/>
      <c r="F137" s="2478"/>
      <c r="G137" s="2478" t="s">
        <v>2896</v>
      </c>
      <c r="H137" s="2478"/>
      <c r="I137" s="2478"/>
      <c r="J137" s="2478"/>
      <c r="K137" s="2478"/>
      <c r="L137" s="2478"/>
      <c r="M137" s="2478" t="s">
        <v>2896</v>
      </c>
      <c r="N137" s="2478"/>
      <c r="O137" s="2478"/>
      <c r="P137" s="2478"/>
      <c r="Q137" s="2478"/>
      <c r="R137" s="2478"/>
      <c r="S137" s="2478" t="s">
        <v>2896</v>
      </c>
      <c r="T137" s="2478"/>
      <c r="U137" s="2478"/>
      <c r="V137" s="2478"/>
      <c r="W137" s="2478"/>
      <c r="X137" s="2478"/>
      <c r="Y137" s="2478" t="s">
        <v>2896</v>
      </c>
      <c r="Z137" s="2478"/>
      <c r="AA137" s="2478"/>
      <c r="AB137" s="2478"/>
      <c r="AC137" s="2478"/>
      <c r="AD137" s="2478"/>
      <c r="AF137" s="2478" t="s">
        <v>2896</v>
      </c>
      <c r="AG137" s="2478"/>
      <c r="AH137" s="2478"/>
      <c r="AI137" s="2478"/>
      <c r="AJ137" s="2478"/>
      <c r="AK137" s="2478"/>
      <c r="AS137" s="2478" t="s">
        <v>2896</v>
      </c>
      <c r="AT137" s="2478"/>
      <c r="AU137" s="2478"/>
      <c r="AV137" s="2478"/>
      <c r="AW137" s="2478"/>
      <c r="AX137" s="2478"/>
    </row>
    <row r="138" spans="1:50">
      <c r="A138" s="2478"/>
      <c r="B138" s="2478"/>
      <c r="C138" s="2478"/>
      <c r="D138" s="2478"/>
      <c r="E138" s="2478"/>
      <c r="F138" s="2478"/>
      <c r="G138" s="2478"/>
      <c r="H138" s="2478"/>
      <c r="I138" s="2478"/>
      <c r="J138" s="2478"/>
      <c r="K138" s="2478"/>
      <c r="L138" s="2478"/>
      <c r="M138" s="2478"/>
      <c r="N138" s="2478"/>
      <c r="O138" s="2478"/>
      <c r="P138" s="2478"/>
      <c r="Q138" s="2478"/>
      <c r="R138" s="2478"/>
      <c r="S138" s="2478"/>
      <c r="T138" s="2478"/>
      <c r="U138" s="2478"/>
      <c r="V138" s="2478"/>
      <c r="W138" s="2478"/>
      <c r="X138" s="2478"/>
      <c r="Y138" s="2478"/>
      <c r="Z138" s="2478"/>
      <c r="AA138" s="2478"/>
      <c r="AB138" s="2478"/>
      <c r="AC138" s="2478"/>
      <c r="AD138" s="2478"/>
      <c r="AF138" s="2478"/>
      <c r="AG138" s="2478"/>
      <c r="AH138" s="2478"/>
      <c r="AI138" s="2478"/>
      <c r="AJ138" s="2478"/>
      <c r="AK138" s="2478"/>
      <c r="AS138" s="2478"/>
      <c r="AT138" s="2478"/>
      <c r="AU138" s="2478"/>
      <c r="AV138" s="2478"/>
      <c r="AW138" s="2478"/>
      <c r="AX138" s="2478"/>
    </row>
    <row r="139" spans="1:50">
      <c r="A139" s="323" t="s">
        <v>2897</v>
      </c>
      <c r="B139" s="2485" t="s">
        <v>2840</v>
      </c>
      <c r="C139" s="2485"/>
      <c r="D139" s="2485"/>
      <c r="E139" s="2482" t="s">
        <v>2898</v>
      </c>
      <c r="F139" s="2484"/>
      <c r="G139" s="323" t="s">
        <v>2897</v>
      </c>
      <c r="H139" s="2485" t="s">
        <v>2840</v>
      </c>
      <c r="I139" s="2485"/>
      <c r="J139" s="2485"/>
      <c r="K139" s="2482" t="s">
        <v>2898</v>
      </c>
      <c r="L139" s="2484"/>
      <c r="M139" s="323" t="s">
        <v>2897</v>
      </c>
      <c r="N139" s="2485" t="s">
        <v>2840</v>
      </c>
      <c r="O139" s="2485"/>
      <c r="P139" s="2485"/>
      <c r="Q139" s="2482" t="s">
        <v>2898</v>
      </c>
      <c r="R139" s="2484"/>
      <c r="S139" s="323" t="s">
        <v>2897</v>
      </c>
      <c r="T139" s="2485" t="s">
        <v>2840</v>
      </c>
      <c r="U139" s="2485"/>
      <c r="V139" s="2485"/>
      <c r="W139" s="2482" t="s">
        <v>2898</v>
      </c>
      <c r="X139" s="2484"/>
      <c r="Y139" s="323" t="s">
        <v>2897</v>
      </c>
      <c r="Z139" s="2485" t="s">
        <v>2840</v>
      </c>
      <c r="AA139" s="2485"/>
      <c r="AB139" s="2485"/>
      <c r="AC139" s="2482" t="s">
        <v>2898</v>
      </c>
      <c r="AD139" s="2484"/>
      <c r="AF139" s="323" t="s">
        <v>2897</v>
      </c>
      <c r="AG139" s="2485" t="s">
        <v>2840</v>
      </c>
      <c r="AH139" s="2485"/>
      <c r="AI139" s="2485"/>
      <c r="AJ139" s="2482" t="s">
        <v>2898</v>
      </c>
      <c r="AK139" s="2484"/>
      <c r="AS139" s="323" t="s">
        <v>2897</v>
      </c>
      <c r="AT139" s="2485" t="s">
        <v>2840</v>
      </c>
      <c r="AU139" s="2485"/>
      <c r="AV139" s="2485"/>
      <c r="AW139" s="2482" t="s">
        <v>2898</v>
      </c>
      <c r="AX139" s="2484"/>
    </row>
    <row r="140" spans="1:50">
      <c r="A140" s="321"/>
      <c r="B140" s="318"/>
      <c r="C140" s="319"/>
      <c r="D140" s="320"/>
      <c r="E140" s="321" t="s">
        <v>2899</v>
      </c>
      <c r="F140" s="321" t="s">
        <v>2900</v>
      </c>
      <c r="G140" s="321"/>
      <c r="H140" s="318"/>
      <c r="I140" s="319"/>
      <c r="J140" s="320"/>
      <c r="K140" s="321" t="s">
        <v>2899</v>
      </c>
      <c r="L140" s="321" t="s">
        <v>2900</v>
      </c>
      <c r="M140" s="321"/>
      <c r="N140" s="318"/>
      <c r="O140" s="319"/>
      <c r="P140" s="320"/>
      <c r="Q140" s="321" t="s">
        <v>2899</v>
      </c>
      <c r="R140" s="321" t="s">
        <v>2900</v>
      </c>
      <c r="S140" s="321"/>
      <c r="T140" s="318"/>
      <c r="U140" s="319"/>
      <c r="V140" s="320"/>
      <c r="W140" s="321" t="s">
        <v>2899</v>
      </c>
      <c r="X140" s="321" t="s">
        <v>2900</v>
      </c>
      <c r="Y140" s="321"/>
      <c r="Z140" s="318"/>
      <c r="AA140" s="319"/>
      <c r="AB140" s="320"/>
      <c r="AC140" s="321" t="s">
        <v>2899</v>
      </c>
      <c r="AD140" s="321" t="s">
        <v>2900</v>
      </c>
      <c r="AF140" s="321"/>
      <c r="AG140" s="318"/>
      <c r="AH140" s="319"/>
      <c r="AI140" s="320"/>
      <c r="AJ140" s="321" t="s">
        <v>2899</v>
      </c>
      <c r="AK140" s="321" t="s">
        <v>2900</v>
      </c>
      <c r="AS140" s="321"/>
      <c r="AT140" s="318"/>
      <c r="AU140" s="319"/>
      <c r="AV140" s="320"/>
      <c r="AW140" s="321" t="s">
        <v>2899</v>
      </c>
      <c r="AX140" s="321" t="s">
        <v>2900</v>
      </c>
    </row>
    <row r="141" spans="1:50" ht="15.75">
      <c r="A141" s="305">
        <v>1</v>
      </c>
      <c r="B141" s="2471">
        <v>2</v>
      </c>
      <c r="C141" s="2471"/>
      <c r="D141" s="2471"/>
      <c r="E141" s="305">
        <v>3</v>
      </c>
      <c r="F141" s="305">
        <v>4</v>
      </c>
      <c r="G141" s="305">
        <v>1</v>
      </c>
      <c r="H141" s="2471">
        <v>2</v>
      </c>
      <c r="I141" s="2471"/>
      <c r="J141" s="2471"/>
      <c r="K141" s="305">
        <v>3</v>
      </c>
      <c r="L141" s="305">
        <v>4</v>
      </c>
      <c r="M141" s="305">
        <v>1</v>
      </c>
      <c r="N141" s="2471">
        <v>2</v>
      </c>
      <c r="O141" s="2471"/>
      <c r="P141" s="2471"/>
      <c r="Q141" s="305">
        <v>3</v>
      </c>
      <c r="R141" s="305">
        <v>4</v>
      </c>
      <c r="S141" s="305">
        <v>1</v>
      </c>
      <c r="T141" s="2471">
        <v>2</v>
      </c>
      <c r="U141" s="2471"/>
      <c r="V141" s="2471"/>
      <c r="W141" s="305">
        <v>3</v>
      </c>
      <c r="X141" s="305">
        <v>4</v>
      </c>
      <c r="Y141" s="305">
        <v>1</v>
      </c>
      <c r="Z141" s="2471">
        <v>2</v>
      </c>
      <c r="AA141" s="2471"/>
      <c r="AB141" s="2471"/>
      <c r="AC141" s="305">
        <v>3</v>
      </c>
      <c r="AD141" s="305">
        <v>4</v>
      </c>
      <c r="AF141" s="305">
        <v>1</v>
      </c>
      <c r="AG141" s="2471">
        <v>2</v>
      </c>
      <c r="AH141" s="2471"/>
      <c r="AI141" s="2471"/>
      <c r="AJ141" s="305">
        <v>3</v>
      </c>
      <c r="AK141" s="305">
        <v>4</v>
      </c>
      <c r="AS141" s="305">
        <v>1</v>
      </c>
      <c r="AT141" s="2471">
        <v>2</v>
      </c>
      <c r="AU141" s="2471"/>
      <c r="AV141" s="2471"/>
      <c r="AW141" s="305">
        <v>3</v>
      </c>
      <c r="AX141" s="305">
        <v>4</v>
      </c>
    </row>
    <row r="142" spans="1:50" ht="15.75">
      <c r="A142" s="305">
        <v>1</v>
      </c>
      <c r="B142" s="2497" t="s">
        <v>2901</v>
      </c>
      <c r="C142" s="2497"/>
      <c r="D142" s="2497"/>
      <c r="E142" s="305" t="s">
        <v>2902</v>
      </c>
      <c r="F142" s="305" t="s">
        <v>2903</v>
      </c>
      <c r="G142" s="305">
        <v>1</v>
      </c>
      <c r="H142" s="2497" t="s">
        <v>2901</v>
      </c>
      <c r="I142" s="2497"/>
      <c r="J142" s="2497"/>
      <c r="K142" s="323" t="s">
        <v>2902</v>
      </c>
      <c r="L142" s="323" t="s">
        <v>2903</v>
      </c>
      <c r="M142" s="305">
        <v>1</v>
      </c>
      <c r="N142" s="2497" t="s">
        <v>2901</v>
      </c>
      <c r="O142" s="2497"/>
      <c r="P142" s="2497"/>
      <c r="Q142" s="323" t="s">
        <v>2902</v>
      </c>
      <c r="R142" s="323" t="s">
        <v>2903</v>
      </c>
      <c r="S142" s="305">
        <v>1</v>
      </c>
      <c r="T142" s="2497" t="s">
        <v>2901</v>
      </c>
      <c r="U142" s="2497"/>
      <c r="V142" s="2497"/>
      <c r="W142" s="323" t="s">
        <v>2902</v>
      </c>
      <c r="X142" s="323" t="s">
        <v>2903</v>
      </c>
      <c r="Y142" s="305">
        <v>1</v>
      </c>
      <c r="Z142" s="2497" t="s">
        <v>2901</v>
      </c>
      <c r="AA142" s="2497"/>
      <c r="AB142" s="2497"/>
      <c r="AC142" s="323" t="s">
        <v>2902</v>
      </c>
      <c r="AD142" s="323" t="s">
        <v>2903</v>
      </c>
      <c r="AF142" s="305">
        <v>1</v>
      </c>
      <c r="AG142" s="2497" t="s">
        <v>2901</v>
      </c>
      <c r="AH142" s="2497"/>
      <c r="AI142" s="2497"/>
      <c r="AJ142" s="305" t="s">
        <v>2902</v>
      </c>
      <c r="AK142" s="305" t="s">
        <v>2903</v>
      </c>
      <c r="AS142" s="305">
        <v>1</v>
      </c>
      <c r="AT142" s="2497" t="s">
        <v>2901</v>
      </c>
      <c r="AU142" s="2497"/>
      <c r="AV142" s="2497"/>
      <c r="AW142" s="305" t="s">
        <v>2902</v>
      </c>
      <c r="AX142" s="305" t="s">
        <v>2903</v>
      </c>
    </row>
    <row r="143" spans="1:50" ht="15.75">
      <c r="A143" s="305">
        <v>2</v>
      </c>
      <c r="B143" s="2497" t="s">
        <v>2904</v>
      </c>
      <c r="C143" s="2497"/>
      <c r="D143" s="2497"/>
      <c r="E143" s="305" t="s">
        <v>2905</v>
      </c>
      <c r="F143" s="305" t="s">
        <v>2902</v>
      </c>
      <c r="G143" s="305">
        <v>2</v>
      </c>
      <c r="H143" s="2497" t="s">
        <v>2904</v>
      </c>
      <c r="I143" s="2497"/>
      <c r="J143" s="2497"/>
      <c r="K143" s="323" t="s">
        <v>2905</v>
      </c>
      <c r="L143" s="323" t="s">
        <v>2902</v>
      </c>
      <c r="M143" s="305">
        <v>2</v>
      </c>
      <c r="N143" s="2497" t="s">
        <v>2904</v>
      </c>
      <c r="O143" s="2497"/>
      <c r="P143" s="2497"/>
      <c r="Q143" s="323" t="s">
        <v>2905</v>
      </c>
      <c r="R143" s="323" t="s">
        <v>2902</v>
      </c>
      <c r="S143" s="305">
        <v>2</v>
      </c>
      <c r="T143" s="2497" t="s">
        <v>2904</v>
      </c>
      <c r="U143" s="2497"/>
      <c r="V143" s="2497"/>
      <c r="W143" s="323" t="s">
        <v>2905</v>
      </c>
      <c r="X143" s="323" t="s">
        <v>2902</v>
      </c>
      <c r="Y143" s="305">
        <v>2</v>
      </c>
      <c r="Z143" s="2497" t="s">
        <v>2904</v>
      </c>
      <c r="AA143" s="2497"/>
      <c r="AB143" s="2497"/>
      <c r="AC143" s="323" t="s">
        <v>2905</v>
      </c>
      <c r="AD143" s="323" t="s">
        <v>2902</v>
      </c>
      <c r="AF143" s="305">
        <v>2</v>
      </c>
      <c r="AG143" s="2497" t="s">
        <v>2904</v>
      </c>
      <c r="AH143" s="2497"/>
      <c r="AI143" s="2497"/>
      <c r="AJ143" s="305" t="s">
        <v>2905</v>
      </c>
      <c r="AK143" s="305" t="s">
        <v>2902</v>
      </c>
      <c r="AS143" s="305">
        <v>2</v>
      </c>
      <c r="AT143" s="2497" t="s">
        <v>2904</v>
      </c>
      <c r="AU143" s="2497"/>
      <c r="AV143" s="2497"/>
      <c r="AW143" s="305" t="s">
        <v>2905</v>
      </c>
      <c r="AX143" s="305" t="s">
        <v>2902</v>
      </c>
    </row>
    <row r="144" spans="1:50" ht="15.75">
      <c r="A144" s="305">
        <v>3</v>
      </c>
      <c r="B144" s="2497" t="s">
        <v>2906</v>
      </c>
      <c r="C144" s="2497"/>
      <c r="D144" s="2497"/>
      <c r="E144" s="305" t="s">
        <v>2907</v>
      </c>
      <c r="F144" s="305" t="s">
        <v>2908</v>
      </c>
      <c r="G144" s="305">
        <v>3</v>
      </c>
      <c r="H144" s="2497" t="s">
        <v>2906</v>
      </c>
      <c r="I144" s="2497"/>
      <c r="J144" s="2497"/>
      <c r="K144" s="323" t="s">
        <v>2907</v>
      </c>
      <c r="L144" s="323" t="s">
        <v>2908</v>
      </c>
      <c r="M144" s="305">
        <v>3</v>
      </c>
      <c r="N144" s="2497" t="s">
        <v>2906</v>
      </c>
      <c r="O144" s="2497"/>
      <c r="P144" s="2497"/>
      <c r="Q144" s="323" t="s">
        <v>2907</v>
      </c>
      <c r="R144" s="323" t="s">
        <v>2908</v>
      </c>
      <c r="S144" s="305">
        <v>3</v>
      </c>
      <c r="T144" s="2497" t="s">
        <v>2906</v>
      </c>
      <c r="U144" s="2497"/>
      <c r="V144" s="2497"/>
      <c r="W144" s="323" t="s">
        <v>2907</v>
      </c>
      <c r="X144" s="323" t="s">
        <v>2908</v>
      </c>
      <c r="Y144" s="305">
        <v>3</v>
      </c>
      <c r="Z144" s="2497" t="s">
        <v>2906</v>
      </c>
      <c r="AA144" s="2497"/>
      <c r="AB144" s="2497"/>
      <c r="AC144" s="323" t="s">
        <v>2907</v>
      </c>
      <c r="AD144" s="323" t="s">
        <v>2908</v>
      </c>
      <c r="AF144" s="305">
        <v>3</v>
      </c>
      <c r="AG144" s="2497" t="s">
        <v>2906</v>
      </c>
      <c r="AH144" s="2497"/>
      <c r="AI144" s="2497"/>
      <c r="AJ144" s="305" t="s">
        <v>2907</v>
      </c>
      <c r="AK144" s="305" t="s">
        <v>2908</v>
      </c>
      <c r="AS144" s="305">
        <v>3</v>
      </c>
      <c r="AT144" s="2497" t="s">
        <v>2906</v>
      </c>
      <c r="AU144" s="2497"/>
      <c r="AV144" s="2497"/>
      <c r="AW144" s="305" t="s">
        <v>2907</v>
      </c>
      <c r="AX144" s="305" t="s">
        <v>2908</v>
      </c>
    </row>
    <row r="145" spans="1:50" ht="15.75">
      <c r="A145" s="305">
        <v>4</v>
      </c>
      <c r="B145" s="2497" t="s">
        <v>2909</v>
      </c>
      <c r="C145" s="2497"/>
      <c r="D145" s="2497"/>
      <c r="E145" s="305" t="s">
        <v>2910</v>
      </c>
      <c r="F145" s="305" t="s">
        <v>2911</v>
      </c>
      <c r="G145" s="305">
        <v>4</v>
      </c>
      <c r="H145" s="2497" t="s">
        <v>2909</v>
      </c>
      <c r="I145" s="2497"/>
      <c r="J145" s="2497"/>
      <c r="K145" s="323" t="s">
        <v>2910</v>
      </c>
      <c r="L145" s="323" t="s">
        <v>2911</v>
      </c>
      <c r="M145" s="305">
        <v>4</v>
      </c>
      <c r="N145" s="2497" t="s">
        <v>2909</v>
      </c>
      <c r="O145" s="2497"/>
      <c r="P145" s="2497"/>
      <c r="Q145" s="323" t="s">
        <v>2910</v>
      </c>
      <c r="R145" s="323" t="s">
        <v>2911</v>
      </c>
      <c r="S145" s="305">
        <v>4</v>
      </c>
      <c r="T145" s="2497" t="s">
        <v>2909</v>
      </c>
      <c r="U145" s="2497"/>
      <c r="V145" s="2497"/>
      <c r="W145" s="323" t="s">
        <v>2910</v>
      </c>
      <c r="X145" s="323" t="s">
        <v>2911</v>
      </c>
      <c r="Y145" s="305">
        <v>4</v>
      </c>
      <c r="Z145" s="2497" t="s">
        <v>2909</v>
      </c>
      <c r="AA145" s="2497"/>
      <c r="AB145" s="2497"/>
      <c r="AC145" s="323" t="s">
        <v>2910</v>
      </c>
      <c r="AD145" s="323" t="s">
        <v>2911</v>
      </c>
      <c r="AF145" s="305">
        <v>4</v>
      </c>
      <c r="AG145" s="2497" t="s">
        <v>2909</v>
      </c>
      <c r="AH145" s="2497"/>
      <c r="AI145" s="2497"/>
      <c r="AJ145" s="305" t="s">
        <v>2910</v>
      </c>
      <c r="AK145" s="305" t="s">
        <v>2911</v>
      </c>
      <c r="AS145" s="305">
        <v>4</v>
      </c>
      <c r="AT145" s="2497" t="s">
        <v>2909</v>
      </c>
      <c r="AU145" s="2497"/>
      <c r="AV145" s="2497"/>
      <c r="AW145" s="305" t="s">
        <v>2910</v>
      </c>
      <c r="AX145" s="305" t="s">
        <v>2911</v>
      </c>
    </row>
    <row r="146" spans="1:50" ht="15.75">
      <c r="A146" s="305">
        <v>5</v>
      </c>
      <c r="B146" s="2497" t="s">
        <v>1511</v>
      </c>
      <c r="C146" s="2497"/>
      <c r="D146" s="2497"/>
      <c r="E146" s="305" t="s">
        <v>2912</v>
      </c>
      <c r="F146" s="305" t="s">
        <v>2913</v>
      </c>
      <c r="G146" s="305">
        <v>5</v>
      </c>
      <c r="H146" s="2497" t="s">
        <v>1511</v>
      </c>
      <c r="I146" s="2497"/>
      <c r="J146" s="2497"/>
      <c r="K146" s="323" t="s">
        <v>2912</v>
      </c>
      <c r="L146" s="323" t="s">
        <v>2913</v>
      </c>
      <c r="M146" s="305">
        <v>5</v>
      </c>
      <c r="N146" s="2497" t="s">
        <v>1511</v>
      </c>
      <c r="O146" s="2497"/>
      <c r="P146" s="2497"/>
      <c r="Q146" s="323" t="s">
        <v>2912</v>
      </c>
      <c r="R146" s="323" t="s">
        <v>2913</v>
      </c>
      <c r="S146" s="305">
        <v>5</v>
      </c>
      <c r="T146" s="2497" t="s">
        <v>1511</v>
      </c>
      <c r="U146" s="2497"/>
      <c r="V146" s="2497"/>
      <c r="W146" s="323" t="s">
        <v>2912</v>
      </c>
      <c r="X146" s="323" t="s">
        <v>2913</v>
      </c>
      <c r="Y146" s="305">
        <v>5</v>
      </c>
      <c r="Z146" s="2497" t="s">
        <v>1511</v>
      </c>
      <c r="AA146" s="2497"/>
      <c r="AB146" s="2497"/>
      <c r="AC146" s="323" t="s">
        <v>2912</v>
      </c>
      <c r="AD146" s="323" t="s">
        <v>2913</v>
      </c>
      <c r="AF146" s="305">
        <v>5</v>
      </c>
      <c r="AG146" s="2497" t="s">
        <v>1511</v>
      </c>
      <c r="AH146" s="2497"/>
      <c r="AI146" s="2497"/>
      <c r="AJ146" s="305" t="s">
        <v>2912</v>
      </c>
      <c r="AK146" s="305" t="s">
        <v>2913</v>
      </c>
      <c r="AS146" s="305">
        <v>5</v>
      </c>
      <c r="AT146" s="2497" t="s">
        <v>1511</v>
      </c>
      <c r="AU146" s="2497"/>
      <c r="AV146" s="2497"/>
      <c r="AW146" s="305" t="s">
        <v>2912</v>
      </c>
      <c r="AX146" s="305" t="s">
        <v>2913</v>
      </c>
    </row>
    <row r="147" spans="1:50" ht="15.75">
      <c r="A147" s="309">
        <v>6</v>
      </c>
      <c r="B147" s="328" t="s">
        <v>2860</v>
      </c>
      <c r="C147" s="302"/>
      <c r="D147" s="329"/>
      <c r="E147" s="309"/>
      <c r="F147" s="330"/>
      <c r="G147" s="309">
        <v>6</v>
      </c>
      <c r="H147" s="328" t="s">
        <v>2860</v>
      </c>
      <c r="I147" s="302"/>
      <c r="J147" s="329"/>
      <c r="K147" s="331"/>
      <c r="L147" s="332"/>
      <c r="M147" s="309">
        <v>6</v>
      </c>
      <c r="N147" s="328" t="s">
        <v>2860</v>
      </c>
      <c r="O147" s="302"/>
      <c r="P147" s="329"/>
      <c r="Q147" s="331"/>
      <c r="R147" s="332"/>
      <c r="S147" s="309">
        <v>6</v>
      </c>
      <c r="T147" s="328" t="s">
        <v>2860</v>
      </c>
      <c r="U147" s="302"/>
      <c r="V147" s="329"/>
      <c r="W147" s="331"/>
      <c r="X147" s="332"/>
      <c r="Y147" s="309">
        <v>6</v>
      </c>
      <c r="Z147" s="328" t="s">
        <v>2860</v>
      </c>
      <c r="AA147" s="302"/>
      <c r="AB147" s="329"/>
      <c r="AC147" s="331"/>
      <c r="AD147" s="332"/>
      <c r="AF147" s="309">
        <v>6</v>
      </c>
      <c r="AG147" s="328" t="s">
        <v>2860</v>
      </c>
      <c r="AH147" s="302"/>
      <c r="AI147" s="329"/>
      <c r="AJ147" s="309"/>
      <c r="AK147" s="330"/>
      <c r="AS147" s="309">
        <v>6</v>
      </c>
      <c r="AT147" s="328" t="s">
        <v>2860</v>
      </c>
      <c r="AU147" s="302"/>
      <c r="AV147" s="329"/>
      <c r="AW147" s="309"/>
      <c r="AX147" s="330"/>
    </row>
    <row r="148" spans="1:50" ht="15.75">
      <c r="A148" s="312"/>
      <c r="B148" s="333" t="s">
        <v>2861</v>
      </c>
      <c r="D148" s="334"/>
      <c r="E148" s="312" t="s">
        <v>2914</v>
      </c>
      <c r="F148" s="312" t="s">
        <v>2915</v>
      </c>
      <c r="G148" s="312"/>
      <c r="H148" s="333" t="s">
        <v>2861</v>
      </c>
      <c r="J148" s="334"/>
      <c r="K148" s="335" t="s">
        <v>2914</v>
      </c>
      <c r="L148" s="335" t="s">
        <v>2915</v>
      </c>
      <c r="M148" s="312"/>
      <c r="N148" s="333" t="s">
        <v>2861</v>
      </c>
      <c r="P148" s="334"/>
      <c r="Q148" s="335" t="s">
        <v>2914</v>
      </c>
      <c r="R148" s="335" t="s">
        <v>2915</v>
      </c>
      <c r="S148" s="312"/>
      <c r="T148" s="333" t="s">
        <v>2861</v>
      </c>
      <c r="V148" s="334"/>
      <c r="W148" s="335" t="s">
        <v>2914</v>
      </c>
      <c r="X148" s="335" t="s">
        <v>2915</v>
      </c>
      <c r="Y148" s="312"/>
      <c r="Z148" s="333" t="s">
        <v>2861</v>
      </c>
      <c r="AB148" s="334"/>
      <c r="AC148" s="335" t="s">
        <v>2914</v>
      </c>
      <c r="AD148" s="335" t="s">
        <v>2915</v>
      </c>
      <c r="AF148" s="312"/>
      <c r="AG148" s="333" t="s">
        <v>2861</v>
      </c>
      <c r="AI148" s="334"/>
      <c r="AJ148" s="312" t="s">
        <v>2914</v>
      </c>
      <c r="AK148" s="312" t="s">
        <v>2915</v>
      </c>
      <c r="AS148" s="312"/>
      <c r="AT148" s="333" t="s">
        <v>2861</v>
      </c>
      <c r="AV148" s="334"/>
      <c r="AW148" s="312" t="s">
        <v>2914</v>
      </c>
      <c r="AX148" s="312" t="s">
        <v>2915</v>
      </c>
    </row>
    <row r="149" spans="1:50" ht="15.75">
      <c r="A149" s="312"/>
      <c r="B149" s="333" t="s">
        <v>2863</v>
      </c>
      <c r="D149" s="334"/>
      <c r="E149" s="312" t="s">
        <v>2916</v>
      </c>
      <c r="F149" s="312" t="s">
        <v>2914</v>
      </c>
      <c r="G149" s="312"/>
      <c r="H149" s="333" t="s">
        <v>2863</v>
      </c>
      <c r="J149" s="334"/>
      <c r="K149" s="335" t="s">
        <v>2916</v>
      </c>
      <c r="L149" s="335" t="s">
        <v>2914</v>
      </c>
      <c r="M149" s="312"/>
      <c r="N149" s="333" t="s">
        <v>2863</v>
      </c>
      <c r="P149" s="334"/>
      <c r="Q149" s="335" t="s">
        <v>2916</v>
      </c>
      <c r="R149" s="335" t="s">
        <v>2914</v>
      </c>
      <c r="S149" s="312"/>
      <c r="T149" s="333" t="s">
        <v>2863</v>
      </c>
      <c r="V149" s="334"/>
      <c r="W149" s="335" t="s">
        <v>2916</v>
      </c>
      <c r="X149" s="335" t="s">
        <v>2914</v>
      </c>
      <c r="Y149" s="312"/>
      <c r="Z149" s="333" t="s">
        <v>2863</v>
      </c>
      <c r="AB149" s="334"/>
      <c r="AC149" s="335" t="s">
        <v>2916</v>
      </c>
      <c r="AD149" s="335" t="s">
        <v>2914</v>
      </c>
      <c r="AF149" s="312"/>
      <c r="AG149" s="333" t="s">
        <v>2863</v>
      </c>
      <c r="AI149" s="334"/>
      <c r="AJ149" s="312" t="s">
        <v>2916</v>
      </c>
      <c r="AK149" s="312" t="s">
        <v>2914</v>
      </c>
      <c r="AS149" s="312"/>
      <c r="AT149" s="333" t="s">
        <v>2863</v>
      </c>
      <c r="AV149" s="334"/>
      <c r="AW149" s="312" t="s">
        <v>2916</v>
      </c>
      <c r="AX149" s="312" t="s">
        <v>2914</v>
      </c>
    </row>
    <row r="150" spans="1:50" ht="15.75">
      <c r="A150" s="312"/>
      <c r="B150" s="333" t="s">
        <v>2865</v>
      </c>
      <c r="D150" s="334"/>
      <c r="E150" s="312" t="s">
        <v>2917</v>
      </c>
      <c r="F150" s="312" t="s">
        <v>2918</v>
      </c>
      <c r="G150" s="312"/>
      <c r="H150" s="333" t="s">
        <v>2865</v>
      </c>
      <c r="J150" s="334"/>
      <c r="K150" s="335" t="s">
        <v>2917</v>
      </c>
      <c r="L150" s="335" t="s">
        <v>2918</v>
      </c>
      <c r="M150" s="312"/>
      <c r="N150" s="333" t="s">
        <v>2865</v>
      </c>
      <c r="P150" s="334"/>
      <c r="Q150" s="335" t="s">
        <v>2917</v>
      </c>
      <c r="R150" s="335" t="s">
        <v>2918</v>
      </c>
      <c r="S150" s="312"/>
      <c r="T150" s="333" t="s">
        <v>2865</v>
      </c>
      <c r="V150" s="334"/>
      <c r="W150" s="335" t="s">
        <v>2917</v>
      </c>
      <c r="X150" s="335" t="s">
        <v>2918</v>
      </c>
      <c r="Y150" s="312"/>
      <c r="Z150" s="333" t="s">
        <v>2865</v>
      </c>
      <c r="AB150" s="334"/>
      <c r="AC150" s="335" t="s">
        <v>2917</v>
      </c>
      <c r="AD150" s="335" t="s">
        <v>2918</v>
      </c>
      <c r="AF150" s="312"/>
      <c r="AG150" s="333" t="s">
        <v>2865</v>
      </c>
      <c r="AI150" s="334"/>
      <c r="AJ150" s="312" t="s">
        <v>2917</v>
      </c>
      <c r="AK150" s="312" t="s">
        <v>2918</v>
      </c>
      <c r="AS150" s="312"/>
      <c r="AT150" s="333" t="s">
        <v>2865</v>
      </c>
      <c r="AV150" s="334"/>
      <c r="AW150" s="312" t="s">
        <v>2917</v>
      </c>
      <c r="AX150" s="312" t="s">
        <v>2918</v>
      </c>
    </row>
    <row r="151" spans="1:50" ht="15.75">
      <c r="A151" s="312"/>
      <c r="B151" s="333" t="s">
        <v>2867</v>
      </c>
      <c r="D151" s="334"/>
      <c r="E151" s="312" t="s">
        <v>2919</v>
      </c>
      <c r="F151" s="312" t="s">
        <v>2920</v>
      </c>
      <c r="G151" s="312"/>
      <c r="H151" s="333" t="s">
        <v>2867</v>
      </c>
      <c r="J151" s="334"/>
      <c r="K151" s="335" t="s">
        <v>2919</v>
      </c>
      <c r="L151" s="335" t="s">
        <v>2920</v>
      </c>
      <c r="M151" s="312"/>
      <c r="N151" s="333" t="s">
        <v>2867</v>
      </c>
      <c r="P151" s="334"/>
      <c r="Q151" s="335" t="s">
        <v>2919</v>
      </c>
      <c r="R151" s="335" t="s">
        <v>2920</v>
      </c>
      <c r="S151" s="312"/>
      <c r="T151" s="333" t="s">
        <v>2867</v>
      </c>
      <c r="V151" s="334"/>
      <c r="W151" s="335" t="s">
        <v>2919</v>
      </c>
      <c r="X151" s="335" t="s">
        <v>2920</v>
      </c>
      <c r="Y151" s="312"/>
      <c r="Z151" s="333" t="s">
        <v>2867</v>
      </c>
      <c r="AB151" s="334"/>
      <c r="AC151" s="335" t="s">
        <v>2919</v>
      </c>
      <c r="AD151" s="335" t="s">
        <v>2920</v>
      </c>
      <c r="AF151" s="312"/>
      <c r="AG151" s="333" t="s">
        <v>2867</v>
      </c>
      <c r="AI151" s="334"/>
      <c r="AJ151" s="312" t="s">
        <v>2919</v>
      </c>
      <c r="AK151" s="312" t="s">
        <v>2920</v>
      </c>
      <c r="AS151" s="312"/>
      <c r="AT151" s="333" t="s">
        <v>2867</v>
      </c>
      <c r="AV151" s="334"/>
      <c r="AW151" s="312" t="s">
        <v>2919</v>
      </c>
      <c r="AX151" s="312" t="s">
        <v>2920</v>
      </c>
    </row>
    <row r="152" spans="1:50" ht="15.75">
      <c r="A152" s="312"/>
      <c r="B152" s="333" t="s">
        <v>2869</v>
      </c>
      <c r="D152" s="334"/>
      <c r="E152" s="312" t="s">
        <v>2921</v>
      </c>
      <c r="F152" s="312" t="s">
        <v>2919</v>
      </c>
      <c r="G152" s="312"/>
      <c r="H152" s="333" t="s">
        <v>2869</v>
      </c>
      <c r="J152" s="334"/>
      <c r="K152" s="335" t="s">
        <v>2921</v>
      </c>
      <c r="L152" s="335" t="s">
        <v>2919</v>
      </c>
      <c r="M152" s="312"/>
      <c r="N152" s="333" t="s">
        <v>2869</v>
      </c>
      <c r="P152" s="334"/>
      <c r="Q152" s="335" t="s">
        <v>2921</v>
      </c>
      <c r="R152" s="335" t="s">
        <v>2919</v>
      </c>
      <c r="S152" s="312"/>
      <c r="T152" s="333" t="s">
        <v>2869</v>
      </c>
      <c r="V152" s="334"/>
      <c r="W152" s="335" t="s">
        <v>2921</v>
      </c>
      <c r="X152" s="335" t="s">
        <v>2919</v>
      </c>
      <c r="Y152" s="312"/>
      <c r="Z152" s="333" t="s">
        <v>2869</v>
      </c>
      <c r="AB152" s="334"/>
      <c r="AC152" s="335" t="s">
        <v>2921</v>
      </c>
      <c r="AD152" s="335" t="s">
        <v>2919</v>
      </c>
      <c r="AF152" s="312"/>
      <c r="AG152" s="333" t="s">
        <v>2869</v>
      </c>
      <c r="AI152" s="334"/>
      <c r="AJ152" s="312" t="s">
        <v>2921</v>
      </c>
      <c r="AK152" s="312" t="s">
        <v>2919</v>
      </c>
      <c r="AS152" s="312"/>
      <c r="AT152" s="333" t="s">
        <v>2869</v>
      </c>
      <c r="AV152" s="334"/>
      <c r="AW152" s="312" t="s">
        <v>2921</v>
      </c>
      <c r="AX152" s="312" t="s">
        <v>2919</v>
      </c>
    </row>
    <row r="153" spans="1:50" ht="15.75">
      <c r="A153" s="310"/>
      <c r="B153" s="336" t="s">
        <v>2871</v>
      </c>
      <c r="C153" s="304"/>
      <c r="D153" s="337"/>
      <c r="E153" s="310" t="s">
        <v>2922</v>
      </c>
      <c r="F153" s="310" t="s">
        <v>2923</v>
      </c>
      <c r="G153" s="310"/>
      <c r="H153" s="336" t="s">
        <v>2871</v>
      </c>
      <c r="I153" s="304"/>
      <c r="J153" s="337"/>
      <c r="K153" s="338" t="s">
        <v>2922</v>
      </c>
      <c r="L153" s="338" t="s">
        <v>2923</v>
      </c>
      <c r="M153" s="310"/>
      <c r="N153" s="336" t="s">
        <v>2871</v>
      </c>
      <c r="O153" s="304"/>
      <c r="P153" s="337"/>
      <c r="Q153" s="338" t="s">
        <v>2922</v>
      </c>
      <c r="R153" s="338" t="s">
        <v>2923</v>
      </c>
      <c r="S153" s="310"/>
      <c r="T153" s="336" t="s">
        <v>2871</v>
      </c>
      <c r="U153" s="304"/>
      <c r="V153" s="337"/>
      <c r="W153" s="338" t="s">
        <v>2922</v>
      </c>
      <c r="X153" s="338" t="s">
        <v>2923</v>
      </c>
      <c r="Y153" s="310"/>
      <c r="Z153" s="336" t="s">
        <v>2871</v>
      </c>
      <c r="AA153" s="304"/>
      <c r="AB153" s="337"/>
      <c r="AC153" s="338" t="s">
        <v>2922</v>
      </c>
      <c r="AD153" s="338" t="s">
        <v>2923</v>
      </c>
      <c r="AF153" s="310"/>
      <c r="AG153" s="336" t="s">
        <v>2871</v>
      </c>
      <c r="AH153" s="304"/>
      <c r="AI153" s="337"/>
      <c r="AJ153" s="310" t="s">
        <v>2922</v>
      </c>
      <c r="AK153" s="310" t="s">
        <v>2923</v>
      </c>
      <c r="AS153" s="310"/>
      <c r="AT153" s="336" t="s">
        <v>2871</v>
      </c>
      <c r="AU153" s="304"/>
      <c r="AV153" s="337"/>
      <c r="AW153" s="310" t="s">
        <v>2922</v>
      </c>
      <c r="AX153" s="310" t="s">
        <v>2923</v>
      </c>
    </row>
    <row r="154" spans="1:50" ht="15.75">
      <c r="A154" s="305">
        <v>7</v>
      </c>
      <c r="B154" s="2497" t="s">
        <v>2417</v>
      </c>
      <c r="C154" s="2497"/>
      <c r="D154" s="2497"/>
      <c r="E154" s="305" t="s">
        <v>68</v>
      </c>
      <c r="F154" s="305" t="s">
        <v>2924</v>
      </c>
      <c r="G154" s="305">
        <v>7</v>
      </c>
      <c r="H154" s="2497" t="s">
        <v>2417</v>
      </c>
      <c r="I154" s="2497"/>
      <c r="J154" s="2497"/>
      <c r="K154" s="323" t="s">
        <v>68</v>
      </c>
      <c r="L154" s="323" t="s">
        <v>2924</v>
      </c>
      <c r="M154" s="305">
        <v>7</v>
      </c>
      <c r="N154" s="2497" t="s">
        <v>2417</v>
      </c>
      <c r="O154" s="2497"/>
      <c r="P154" s="2497"/>
      <c r="Q154" s="323" t="s">
        <v>68</v>
      </c>
      <c r="R154" s="323" t="s">
        <v>2924</v>
      </c>
      <c r="S154" s="305">
        <v>7</v>
      </c>
      <c r="T154" s="2497" t="s">
        <v>2417</v>
      </c>
      <c r="U154" s="2497"/>
      <c r="V154" s="2497"/>
      <c r="W154" s="323" t="s">
        <v>68</v>
      </c>
      <c r="X154" s="323" t="s">
        <v>2924</v>
      </c>
      <c r="Y154" s="305">
        <v>7</v>
      </c>
      <c r="Z154" s="2497" t="s">
        <v>2417</v>
      </c>
      <c r="AA154" s="2497"/>
      <c r="AB154" s="2497"/>
      <c r="AC154" s="323" t="s">
        <v>68</v>
      </c>
      <c r="AD154" s="323" t="s">
        <v>2924</v>
      </c>
      <c r="AF154" s="305">
        <v>7</v>
      </c>
      <c r="AG154" s="2497" t="s">
        <v>2417</v>
      </c>
      <c r="AH154" s="2497"/>
      <c r="AI154" s="2497"/>
      <c r="AJ154" s="305" t="s">
        <v>68</v>
      </c>
      <c r="AK154" s="305" t="s">
        <v>2924</v>
      </c>
      <c r="AS154" s="305">
        <v>7</v>
      </c>
      <c r="AT154" s="2497" t="s">
        <v>2417</v>
      </c>
      <c r="AU154" s="2497"/>
      <c r="AV154" s="2497"/>
      <c r="AW154" s="305" t="s">
        <v>68</v>
      </c>
      <c r="AX154" s="305" t="s">
        <v>2924</v>
      </c>
    </row>
    <row r="155" spans="1:50" ht="15.75">
      <c r="A155" s="305">
        <v>8</v>
      </c>
      <c r="B155" s="2497" t="s">
        <v>2925</v>
      </c>
      <c r="C155" s="2497"/>
      <c r="D155" s="2497"/>
      <c r="E155" s="305"/>
      <c r="F155" s="305"/>
      <c r="G155" s="305">
        <v>8</v>
      </c>
      <c r="H155" s="2497" t="s">
        <v>2925</v>
      </c>
      <c r="I155" s="2497"/>
      <c r="J155" s="2497"/>
      <c r="K155" s="323"/>
      <c r="L155" s="323"/>
      <c r="M155" s="305">
        <v>8</v>
      </c>
      <c r="N155" s="2497" t="s">
        <v>2925</v>
      </c>
      <c r="O155" s="2497"/>
      <c r="P155" s="2497"/>
      <c r="Q155" s="323"/>
      <c r="R155" s="323"/>
      <c r="S155" s="305">
        <v>8</v>
      </c>
      <c r="T155" s="2497" t="s">
        <v>2925</v>
      </c>
      <c r="U155" s="2497"/>
      <c r="V155" s="2497"/>
      <c r="W155" s="323"/>
      <c r="X155" s="323"/>
      <c r="Y155" s="305">
        <v>8</v>
      </c>
      <c r="Z155" s="2497" t="s">
        <v>2925</v>
      </c>
      <c r="AA155" s="2497"/>
      <c r="AB155" s="2497"/>
      <c r="AC155" s="323"/>
      <c r="AD155" s="323"/>
      <c r="AF155" s="305">
        <v>8</v>
      </c>
      <c r="AG155" s="2497" t="s">
        <v>2925</v>
      </c>
      <c r="AH155" s="2497"/>
      <c r="AI155" s="2497"/>
      <c r="AJ155" s="305"/>
      <c r="AK155" s="305"/>
      <c r="AS155" s="305">
        <v>8</v>
      </c>
      <c r="AT155" s="2497" t="s">
        <v>2925</v>
      </c>
      <c r="AU155" s="2497"/>
      <c r="AV155" s="2497"/>
      <c r="AW155" s="305"/>
      <c r="AX155" s="305"/>
    </row>
    <row r="156" spans="1:50" ht="15.75">
      <c r="A156" s="221"/>
      <c r="B156" s="328" t="s">
        <v>413</v>
      </c>
      <c r="C156" s="302" t="s">
        <v>2926</v>
      </c>
      <c r="D156" s="329"/>
      <c r="E156" s="309" t="s">
        <v>2855</v>
      </c>
      <c r="F156" s="309" t="s">
        <v>2927</v>
      </c>
      <c r="G156" s="221"/>
      <c r="H156" s="328" t="s">
        <v>413</v>
      </c>
      <c r="I156" s="302" t="s">
        <v>2926</v>
      </c>
      <c r="J156" s="329"/>
      <c r="K156" s="331" t="s">
        <v>2855</v>
      </c>
      <c r="L156" s="331" t="s">
        <v>2927</v>
      </c>
      <c r="M156" s="221"/>
      <c r="N156" s="328" t="s">
        <v>413</v>
      </c>
      <c r="O156" s="302" t="s">
        <v>2926</v>
      </c>
      <c r="P156" s="329"/>
      <c r="Q156" s="331" t="s">
        <v>2855</v>
      </c>
      <c r="R156" s="331" t="s">
        <v>2927</v>
      </c>
      <c r="S156" s="221"/>
      <c r="T156" s="328" t="s">
        <v>413</v>
      </c>
      <c r="U156" s="302" t="s">
        <v>2926</v>
      </c>
      <c r="V156" s="329"/>
      <c r="W156" s="331" t="s">
        <v>2855</v>
      </c>
      <c r="X156" s="331" t="s">
        <v>2927</v>
      </c>
      <c r="Y156" s="221"/>
      <c r="Z156" s="328" t="s">
        <v>413</v>
      </c>
      <c r="AA156" s="302" t="s">
        <v>2926</v>
      </c>
      <c r="AB156" s="329"/>
      <c r="AC156" s="331" t="s">
        <v>2855</v>
      </c>
      <c r="AD156" s="331" t="s">
        <v>2927</v>
      </c>
      <c r="AF156" s="221"/>
      <c r="AG156" s="328" t="s">
        <v>413</v>
      </c>
      <c r="AH156" s="302" t="s">
        <v>2926</v>
      </c>
      <c r="AI156" s="329"/>
      <c r="AJ156" s="309" t="s">
        <v>2855</v>
      </c>
      <c r="AK156" s="309" t="s">
        <v>2927</v>
      </c>
      <c r="AS156" s="221"/>
      <c r="AT156" s="328" t="s">
        <v>413</v>
      </c>
      <c r="AU156" s="302" t="s">
        <v>2926</v>
      </c>
      <c r="AV156" s="329"/>
      <c r="AW156" s="309" t="s">
        <v>2855</v>
      </c>
      <c r="AX156" s="309" t="s">
        <v>2927</v>
      </c>
    </row>
    <row r="157" spans="1:50" ht="15.75">
      <c r="A157" s="221"/>
      <c r="B157" s="339" t="s">
        <v>415</v>
      </c>
      <c r="C157" s="16" t="s">
        <v>2928</v>
      </c>
      <c r="D157" s="334"/>
      <c r="E157" s="312" t="s">
        <v>2929</v>
      </c>
      <c r="F157" s="312" t="s">
        <v>2864</v>
      </c>
      <c r="G157" s="221"/>
      <c r="H157" s="339" t="s">
        <v>415</v>
      </c>
      <c r="I157" s="16" t="s">
        <v>2928</v>
      </c>
      <c r="J157" s="334"/>
      <c r="K157" s="335" t="s">
        <v>2929</v>
      </c>
      <c r="L157" s="335" t="s">
        <v>2864</v>
      </c>
      <c r="M157" s="221"/>
      <c r="N157" s="339" t="s">
        <v>415</v>
      </c>
      <c r="O157" s="16" t="s">
        <v>2928</v>
      </c>
      <c r="P157" s="334"/>
      <c r="Q157" s="335" t="s">
        <v>2929</v>
      </c>
      <c r="R157" s="335" t="s">
        <v>2864</v>
      </c>
      <c r="S157" s="221"/>
      <c r="T157" s="339" t="s">
        <v>415</v>
      </c>
      <c r="U157" s="16" t="s">
        <v>2928</v>
      </c>
      <c r="V157" s="334"/>
      <c r="W157" s="335" t="s">
        <v>2929</v>
      </c>
      <c r="X157" s="335" t="s">
        <v>2864</v>
      </c>
      <c r="Y157" s="221"/>
      <c r="Z157" s="339" t="s">
        <v>415</v>
      </c>
      <c r="AA157" s="16" t="s">
        <v>2928</v>
      </c>
      <c r="AB157" s="334"/>
      <c r="AC157" s="335" t="s">
        <v>2929</v>
      </c>
      <c r="AD157" s="335" t="s">
        <v>2864</v>
      </c>
      <c r="AF157" s="221"/>
      <c r="AG157" s="339" t="s">
        <v>415</v>
      </c>
      <c r="AH157" s="16" t="s">
        <v>2928</v>
      </c>
      <c r="AI157" s="334"/>
      <c r="AJ157" s="312" t="s">
        <v>2929</v>
      </c>
      <c r="AK157" s="312" t="s">
        <v>2864</v>
      </c>
      <c r="AS157" s="221"/>
      <c r="AT157" s="339" t="s">
        <v>415</v>
      </c>
      <c r="AU157" s="16" t="s">
        <v>2928</v>
      </c>
      <c r="AV157" s="334"/>
      <c r="AW157" s="312" t="s">
        <v>2929</v>
      </c>
      <c r="AX157" s="312" t="s">
        <v>2864</v>
      </c>
    </row>
    <row r="158" spans="1:50" ht="15.75">
      <c r="A158" s="221"/>
      <c r="B158" s="340" t="s">
        <v>638</v>
      </c>
      <c r="C158" s="304" t="s">
        <v>2930</v>
      </c>
      <c r="D158" s="337"/>
      <c r="E158" s="310" t="s">
        <v>2931</v>
      </c>
      <c r="F158" s="310" t="s">
        <v>2932</v>
      </c>
      <c r="G158" s="221"/>
      <c r="H158" s="340" t="s">
        <v>638</v>
      </c>
      <c r="I158" s="304" t="s">
        <v>2930</v>
      </c>
      <c r="J158" s="337"/>
      <c r="K158" s="338" t="s">
        <v>2931</v>
      </c>
      <c r="L158" s="338" t="s">
        <v>2932</v>
      </c>
      <c r="M158" s="221"/>
      <c r="N158" s="340" t="s">
        <v>638</v>
      </c>
      <c r="O158" s="304" t="s">
        <v>2930</v>
      </c>
      <c r="P158" s="337"/>
      <c r="Q158" s="338" t="s">
        <v>2931</v>
      </c>
      <c r="R158" s="338" t="s">
        <v>2932</v>
      </c>
      <c r="S158" s="221"/>
      <c r="T158" s="340" t="s">
        <v>638</v>
      </c>
      <c r="U158" s="304" t="s">
        <v>2930</v>
      </c>
      <c r="V158" s="337"/>
      <c r="W158" s="338" t="s">
        <v>2931</v>
      </c>
      <c r="X158" s="338" t="s">
        <v>2932</v>
      </c>
      <c r="Y158" s="221"/>
      <c r="Z158" s="340" t="s">
        <v>638</v>
      </c>
      <c r="AA158" s="304" t="s">
        <v>2930</v>
      </c>
      <c r="AB158" s="337"/>
      <c r="AC158" s="338" t="s">
        <v>2931</v>
      </c>
      <c r="AD158" s="338" t="s">
        <v>2932</v>
      </c>
      <c r="AF158" s="221"/>
      <c r="AG158" s="340" t="s">
        <v>638</v>
      </c>
      <c r="AH158" s="304" t="s">
        <v>2930</v>
      </c>
      <c r="AI158" s="337"/>
      <c r="AJ158" s="310" t="s">
        <v>2931</v>
      </c>
      <c r="AK158" s="310" t="s">
        <v>2932</v>
      </c>
      <c r="AS158" s="221"/>
      <c r="AT158" s="340" t="s">
        <v>638</v>
      </c>
      <c r="AU158" s="304" t="s">
        <v>2930</v>
      </c>
      <c r="AV158" s="337"/>
      <c r="AW158" s="310" t="s">
        <v>2931</v>
      </c>
      <c r="AX158" s="310" t="s">
        <v>2932</v>
      </c>
    </row>
    <row r="159" spans="1:50" ht="15.75">
      <c r="A159" s="305">
        <v>9</v>
      </c>
      <c r="B159" s="2497" t="s">
        <v>2933</v>
      </c>
      <c r="C159" s="2497"/>
      <c r="D159" s="2497"/>
      <c r="E159" s="305" t="s">
        <v>2924</v>
      </c>
      <c r="F159" s="305" t="s">
        <v>2866</v>
      </c>
      <c r="G159" s="305">
        <v>9</v>
      </c>
      <c r="H159" s="2497" t="s">
        <v>2933</v>
      </c>
      <c r="I159" s="2497"/>
      <c r="J159" s="2497"/>
      <c r="K159" s="323" t="s">
        <v>2924</v>
      </c>
      <c r="L159" s="323" t="s">
        <v>2866</v>
      </c>
      <c r="M159" s="305">
        <v>9</v>
      </c>
      <c r="N159" s="2497" t="s">
        <v>2933</v>
      </c>
      <c r="O159" s="2497"/>
      <c r="P159" s="2497"/>
      <c r="Q159" s="323" t="s">
        <v>2924</v>
      </c>
      <c r="R159" s="323" t="s">
        <v>2866</v>
      </c>
      <c r="S159" s="305">
        <v>9</v>
      </c>
      <c r="T159" s="2497" t="s">
        <v>2933</v>
      </c>
      <c r="U159" s="2497"/>
      <c r="V159" s="2497"/>
      <c r="W159" s="323" t="s">
        <v>2924</v>
      </c>
      <c r="X159" s="323" t="s">
        <v>2866</v>
      </c>
      <c r="Y159" s="305">
        <v>9</v>
      </c>
      <c r="Z159" s="2497" t="s">
        <v>2933</v>
      </c>
      <c r="AA159" s="2497"/>
      <c r="AB159" s="2497"/>
      <c r="AC159" s="323" t="s">
        <v>2924</v>
      </c>
      <c r="AD159" s="323" t="s">
        <v>2866</v>
      </c>
      <c r="AF159" s="305">
        <v>9</v>
      </c>
      <c r="AG159" s="2497" t="s">
        <v>2933</v>
      </c>
      <c r="AH159" s="2497"/>
      <c r="AI159" s="2497"/>
      <c r="AJ159" s="305" t="s">
        <v>2924</v>
      </c>
      <c r="AK159" s="305" t="s">
        <v>2866</v>
      </c>
      <c r="AS159" s="305">
        <v>9</v>
      </c>
      <c r="AT159" s="2497" t="s">
        <v>2933</v>
      </c>
      <c r="AU159" s="2497"/>
      <c r="AV159" s="2497"/>
      <c r="AW159" s="305" t="s">
        <v>2924</v>
      </c>
      <c r="AX159" s="305" t="s">
        <v>2866</v>
      </c>
    </row>
    <row r="160" spans="1:50" ht="15.75">
      <c r="A160" s="305">
        <v>10</v>
      </c>
      <c r="B160" s="2497" t="s">
        <v>2934</v>
      </c>
      <c r="C160" s="2497"/>
      <c r="D160" s="2497"/>
      <c r="E160" s="305" t="s">
        <v>2935</v>
      </c>
      <c r="F160" s="305" t="s">
        <v>2912</v>
      </c>
      <c r="G160" s="305">
        <v>10</v>
      </c>
      <c r="H160" s="2497" t="s">
        <v>2934</v>
      </c>
      <c r="I160" s="2497"/>
      <c r="J160" s="2497"/>
      <c r="K160" s="323" t="s">
        <v>2935</v>
      </c>
      <c r="L160" s="323" t="s">
        <v>2912</v>
      </c>
      <c r="M160" s="305">
        <v>10</v>
      </c>
      <c r="N160" s="2497" t="s">
        <v>2934</v>
      </c>
      <c r="O160" s="2497"/>
      <c r="P160" s="2497"/>
      <c r="Q160" s="323" t="s">
        <v>2935</v>
      </c>
      <c r="R160" s="323" t="s">
        <v>2912</v>
      </c>
      <c r="S160" s="305">
        <v>10</v>
      </c>
      <c r="T160" s="2497" t="s">
        <v>2934</v>
      </c>
      <c r="U160" s="2497"/>
      <c r="V160" s="2497"/>
      <c r="W160" s="323" t="s">
        <v>2935</v>
      </c>
      <c r="X160" s="323" t="s">
        <v>2912</v>
      </c>
      <c r="Y160" s="305">
        <v>10</v>
      </c>
      <c r="Z160" s="2497" t="s">
        <v>2934</v>
      </c>
      <c r="AA160" s="2497"/>
      <c r="AB160" s="2497"/>
      <c r="AC160" s="323" t="s">
        <v>2935</v>
      </c>
      <c r="AD160" s="323" t="s">
        <v>2912</v>
      </c>
      <c r="AF160" s="305">
        <v>10</v>
      </c>
      <c r="AG160" s="2497" t="s">
        <v>2934</v>
      </c>
      <c r="AH160" s="2497"/>
      <c r="AI160" s="2497"/>
      <c r="AJ160" s="305" t="s">
        <v>2935</v>
      </c>
      <c r="AK160" s="305" t="s">
        <v>2912</v>
      </c>
      <c r="AS160" s="305">
        <v>10</v>
      </c>
      <c r="AT160" s="2497" t="s">
        <v>2934</v>
      </c>
      <c r="AU160" s="2497"/>
      <c r="AV160" s="2497"/>
      <c r="AW160" s="305" t="s">
        <v>2935</v>
      </c>
      <c r="AX160" s="305" t="s">
        <v>2912</v>
      </c>
    </row>
    <row r="161" spans="1:50" ht="15.75">
      <c r="A161" s="305">
        <v>11</v>
      </c>
      <c r="B161" s="2497" t="s">
        <v>2936</v>
      </c>
      <c r="C161" s="2497"/>
      <c r="D161" s="2497"/>
      <c r="E161" s="305" t="s">
        <v>2937</v>
      </c>
      <c r="F161" s="305" t="s">
        <v>2938</v>
      </c>
      <c r="G161" s="305">
        <v>11</v>
      </c>
      <c r="H161" s="2497" t="s">
        <v>2936</v>
      </c>
      <c r="I161" s="2497"/>
      <c r="J161" s="2497"/>
      <c r="K161" s="323" t="s">
        <v>2937</v>
      </c>
      <c r="L161" s="323" t="s">
        <v>2938</v>
      </c>
      <c r="M161" s="305">
        <v>11</v>
      </c>
      <c r="N161" s="2497" t="s">
        <v>2936</v>
      </c>
      <c r="O161" s="2497"/>
      <c r="P161" s="2497"/>
      <c r="Q161" s="323" t="s">
        <v>2937</v>
      </c>
      <c r="R161" s="323" t="s">
        <v>2938</v>
      </c>
      <c r="S161" s="305">
        <v>11</v>
      </c>
      <c r="T161" s="2497" t="s">
        <v>2936</v>
      </c>
      <c r="U161" s="2497"/>
      <c r="V161" s="2497"/>
      <c r="W161" s="323" t="s">
        <v>2937</v>
      </c>
      <c r="X161" s="323" t="s">
        <v>2938</v>
      </c>
      <c r="Y161" s="305">
        <v>11</v>
      </c>
      <c r="Z161" s="2497" t="s">
        <v>2936</v>
      </c>
      <c r="AA161" s="2497"/>
      <c r="AB161" s="2497"/>
      <c r="AC161" s="323" t="s">
        <v>2937</v>
      </c>
      <c r="AD161" s="323" t="s">
        <v>2938</v>
      </c>
      <c r="AF161" s="305">
        <v>11</v>
      </c>
      <c r="AG161" s="2497" t="s">
        <v>2936</v>
      </c>
      <c r="AH161" s="2497"/>
      <c r="AI161" s="2497"/>
      <c r="AJ161" s="305" t="s">
        <v>2937</v>
      </c>
      <c r="AK161" s="305" t="s">
        <v>2938</v>
      </c>
      <c r="AS161" s="305">
        <v>11</v>
      </c>
      <c r="AT161" s="2497" t="s">
        <v>2936</v>
      </c>
      <c r="AU161" s="2497"/>
      <c r="AV161" s="2497"/>
      <c r="AW161" s="305" t="s">
        <v>2937</v>
      </c>
      <c r="AX161" s="305" t="s">
        <v>2938</v>
      </c>
    </row>
    <row r="165" spans="1:50" ht="26.25">
      <c r="A165" s="2457" t="s">
        <v>2939</v>
      </c>
      <c r="B165" s="2457"/>
      <c r="C165" s="2457"/>
      <c r="D165" s="2457"/>
      <c r="E165" s="2457"/>
      <c r="F165" s="2457"/>
      <c r="G165" s="2457" t="s">
        <v>2939</v>
      </c>
      <c r="H165" s="2457"/>
      <c r="I165" s="2457"/>
      <c r="J165" s="2457"/>
      <c r="K165" s="2457"/>
      <c r="L165" s="2457"/>
      <c r="M165" s="2457" t="s">
        <v>2939</v>
      </c>
      <c r="N165" s="2457"/>
      <c r="O165" s="2457"/>
      <c r="P165" s="2457"/>
      <c r="Q165" s="2457"/>
      <c r="R165" s="2457"/>
      <c r="S165" s="2457" t="s">
        <v>2939</v>
      </c>
      <c r="T165" s="2457"/>
      <c r="U165" s="2457"/>
      <c r="V165" s="2457"/>
      <c r="W165" s="2457"/>
      <c r="X165" s="2457"/>
      <c r="Y165" s="2457" t="s">
        <v>2939</v>
      </c>
      <c r="Z165" s="2457"/>
      <c r="AA165" s="2457"/>
      <c r="AB165" s="2457"/>
      <c r="AC165" s="2457"/>
      <c r="AD165" s="2457"/>
      <c r="AF165" s="2457" t="s">
        <v>2939</v>
      </c>
      <c r="AG165" s="2457"/>
      <c r="AH165" s="2457"/>
      <c r="AI165" s="2457"/>
      <c r="AJ165" s="2457"/>
      <c r="AK165" s="2457"/>
      <c r="AS165" s="2457" t="s">
        <v>2939</v>
      </c>
      <c r="AT165" s="2457"/>
      <c r="AU165" s="2457"/>
      <c r="AV165" s="2457"/>
      <c r="AW165" s="2457"/>
      <c r="AX165" s="2457"/>
    </row>
    <row r="166" spans="1:50" ht="15.75">
      <c r="A166" s="305" t="s">
        <v>1510</v>
      </c>
      <c r="B166" s="2471" t="s">
        <v>2815</v>
      </c>
      <c r="C166" s="2471"/>
      <c r="D166" s="2471"/>
      <c r="E166" s="305" t="s">
        <v>1</v>
      </c>
      <c r="F166" s="305" t="s">
        <v>2816</v>
      </c>
      <c r="G166" s="305" t="s">
        <v>1510</v>
      </c>
      <c r="H166" s="2471" t="s">
        <v>2815</v>
      </c>
      <c r="I166" s="2471"/>
      <c r="J166" s="2471"/>
      <c r="K166" s="305" t="s">
        <v>1</v>
      </c>
      <c r="L166" s="305" t="s">
        <v>2816</v>
      </c>
      <c r="M166" s="305" t="s">
        <v>1510</v>
      </c>
      <c r="N166" s="2471" t="s">
        <v>2815</v>
      </c>
      <c r="O166" s="2471"/>
      <c r="P166" s="2471"/>
      <c r="Q166" s="305" t="s">
        <v>1</v>
      </c>
      <c r="R166" s="305" t="s">
        <v>2816</v>
      </c>
      <c r="S166" s="305" t="s">
        <v>1510</v>
      </c>
      <c r="T166" s="2471" t="s">
        <v>2815</v>
      </c>
      <c r="U166" s="2471"/>
      <c r="V166" s="2471"/>
      <c r="W166" s="305" t="s">
        <v>1</v>
      </c>
      <c r="X166" s="305" t="s">
        <v>2816</v>
      </c>
      <c r="Y166" s="305" t="s">
        <v>1510</v>
      </c>
      <c r="Z166" s="2471" t="s">
        <v>2815</v>
      </c>
      <c r="AA166" s="2471"/>
      <c r="AB166" s="2471"/>
      <c r="AC166" s="305" t="s">
        <v>1</v>
      </c>
      <c r="AD166" s="305" t="s">
        <v>2816</v>
      </c>
      <c r="AF166" s="305" t="s">
        <v>1510</v>
      </c>
      <c r="AG166" s="2471" t="s">
        <v>2815</v>
      </c>
      <c r="AH166" s="2471"/>
      <c r="AI166" s="2471"/>
      <c r="AJ166" s="305" t="s">
        <v>1</v>
      </c>
      <c r="AK166" s="305" t="s">
        <v>2816</v>
      </c>
      <c r="AS166" s="305" t="s">
        <v>1510</v>
      </c>
      <c r="AT166" s="2471" t="s">
        <v>2815</v>
      </c>
      <c r="AU166" s="2471"/>
      <c r="AV166" s="2471"/>
      <c r="AW166" s="305" t="s">
        <v>1</v>
      </c>
      <c r="AX166" s="305" t="s">
        <v>2816</v>
      </c>
    </row>
    <row r="167" spans="1:50" ht="15.75">
      <c r="A167" s="309">
        <v>1</v>
      </c>
      <c r="B167" s="2472" t="s">
        <v>2940</v>
      </c>
      <c r="C167" s="2472"/>
      <c r="D167" s="2473"/>
      <c r="E167" s="2474"/>
      <c r="F167" s="2475"/>
      <c r="G167" s="309">
        <v>1</v>
      </c>
      <c r="H167" s="2472" t="s">
        <v>2940</v>
      </c>
      <c r="I167" s="2472"/>
      <c r="J167" s="2473"/>
      <c r="K167" s="2474"/>
      <c r="L167" s="2475"/>
      <c r="M167" s="309">
        <v>1</v>
      </c>
      <c r="N167" s="2472" t="s">
        <v>2940</v>
      </c>
      <c r="O167" s="2472"/>
      <c r="P167" s="2473"/>
      <c r="Q167" s="2474"/>
      <c r="R167" s="2475"/>
      <c r="S167" s="309">
        <v>1</v>
      </c>
      <c r="T167" s="2472" t="s">
        <v>2940</v>
      </c>
      <c r="U167" s="2472"/>
      <c r="V167" s="2473"/>
      <c r="W167" s="2474"/>
      <c r="X167" s="2475"/>
      <c r="Y167" s="309">
        <v>1</v>
      </c>
      <c r="Z167" s="2472" t="s">
        <v>2940</v>
      </c>
      <c r="AA167" s="2472"/>
      <c r="AB167" s="2473"/>
      <c r="AC167" s="2474"/>
      <c r="AD167" s="2475"/>
      <c r="AF167" s="309">
        <v>1</v>
      </c>
      <c r="AG167" s="2472" t="s">
        <v>2940</v>
      </c>
      <c r="AH167" s="2472"/>
      <c r="AI167" s="2473"/>
      <c r="AJ167" s="2474"/>
      <c r="AK167" s="2475"/>
      <c r="AS167" s="309">
        <v>1</v>
      </c>
      <c r="AT167" s="2472" t="s">
        <v>2940</v>
      </c>
      <c r="AU167" s="2472"/>
      <c r="AV167" s="2473"/>
      <c r="AW167" s="2474"/>
      <c r="AX167" s="2475"/>
    </row>
    <row r="168" spans="1:50" ht="15.75">
      <c r="A168" s="310"/>
      <c r="B168" s="2472"/>
      <c r="C168" s="2472"/>
      <c r="D168" s="2473"/>
      <c r="E168" s="2474"/>
      <c r="F168" s="2475"/>
      <c r="G168" s="310"/>
      <c r="H168" s="2472"/>
      <c r="I168" s="2472"/>
      <c r="J168" s="2473"/>
      <c r="K168" s="2474"/>
      <c r="L168" s="2475"/>
      <c r="M168" s="310"/>
      <c r="N168" s="2472"/>
      <c r="O168" s="2472"/>
      <c r="P168" s="2473"/>
      <c r="Q168" s="2474"/>
      <c r="R168" s="2475"/>
      <c r="S168" s="310"/>
      <c r="T168" s="2472"/>
      <c r="U168" s="2472"/>
      <c r="V168" s="2473"/>
      <c r="W168" s="2474"/>
      <c r="X168" s="2475"/>
      <c r="Y168" s="310"/>
      <c r="Z168" s="2472"/>
      <c r="AA168" s="2472"/>
      <c r="AB168" s="2473"/>
      <c r="AC168" s="2474"/>
      <c r="AD168" s="2475"/>
      <c r="AF168" s="310"/>
      <c r="AG168" s="2472"/>
      <c r="AH168" s="2472"/>
      <c r="AI168" s="2473"/>
      <c r="AJ168" s="2474"/>
      <c r="AK168" s="2475"/>
      <c r="AS168" s="310"/>
      <c r="AT168" s="2472"/>
      <c r="AU168" s="2472"/>
      <c r="AV168" s="2473"/>
      <c r="AW168" s="2474"/>
      <c r="AX168" s="2475"/>
    </row>
    <row r="169" spans="1:50" ht="15.75">
      <c r="A169" s="312"/>
      <c r="B169" s="2498" t="s">
        <v>2941</v>
      </c>
      <c r="C169" s="2499"/>
      <c r="D169" s="2500"/>
      <c r="E169" s="341" t="s">
        <v>2942</v>
      </c>
      <c r="F169" s="322">
        <v>3.55</v>
      </c>
      <c r="G169" s="312"/>
      <c r="H169" s="2498" t="s">
        <v>2941</v>
      </c>
      <c r="I169" s="2499"/>
      <c r="J169" s="2500"/>
      <c r="K169" s="341" t="s">
        <v>2942</v>
      </c>
      <c r="L169" s="322">
        <v>1.3</v>
      </c>
      <c r="M169" s="312"/>
      <c r="N169" s="2498" t="s">
        <v>2941</v>
      </c>
      <c r="O169" s="2499"/>
      <c r="P169" s="2500"/>
      <c r="Q169" s="341" t="s">
        <v>2942</v>
      </c>
      <c r="R169" s="322">
        <v>1.3</v>
      </c>
      <c r="S169" s="312"/>
      <c r="T169" s="2498" t="s">
        <v>2941</v>
      </c>
      <c r="U169" s="2499"/>
      <c r="V169" s="2500"/>
      <c r="W169" s="341" t="s">
        <v>2942</v>
      </c>
      <c r="X169" s="322">
        <v>1.2</v>
      </c>
      <c r="Y169" s="312"/>
      <c r="Z169" s="2498" t="s">
        <v>2941</v>
      </c>
      <c r="AA169" s="2499"/>
      <c r="AB169" s="2500"/>
      <c r="AC169" s="341" t="s">
        <v>2942</v>
      </c>
      <c r="AD169" s="322">
        <v>0.9</v>
      </c>
      <c r="AF169" s="312"/>
      <c r="AG169" s="2498" t="s">
        <v>2941</v>
      </c>
      <c r="AH169" s="2499"/>
      <c r="AI169" s="2500"/>
      <c r="AJ169" s="341" t="s">
        <v>2942</v>
      </c>
      <c r="AK169" s="322">
        <v>1.6</v>
      </c>
      <c r="AS169" s="312"/>
      <c r="AT169" s="2498" t="s">
        <v>2941</v>
      </c>
      <c r="AU169" s="2499"/>
      <c r="AV169" s="2500"/>
      <c r="AW169" s="341" t="s">
        <v>2942</v>
      </c>
      <c r="AX169" s="322">
        <v>1.6</v>
      </c>
    </row>
    <row r="170" spans="1:50" ht="15.75">
      <c r="A170" s="312"/>
      <c r="B170" s="2498" t="s">
        <v>2943</v>
      </c>
      <c r="C170" s="2499"/>
      <c r="D170" s="2500"/>
      <c r="E170" s="341" t="s">
        <v>2942</v>
      </c>
      <c r="F170" s="322">
        <v>12.88</v>
      </c>
      <c r="G170" s="312"/>
      <c r="H170" s="2498" t="s">
        <v>2943</v>
      </c>
      <c r="I170" s="2499"/>
      <c r="J170" s="2500"/>
      <c r="K170" s="341" t="s">
        <v>2942</v>
      </c>
      <c r="L170" s="322">
        <v>4.5</v>
      </c>
      <c r="M170" s="312"/>
      <c r="N170" s="2498" t="s">
        <v>2943</v>
      </c>
      <c r="O170" s="2499"/>
      <c r="P170" s="2500"/>
      <c r="Q170" s="341" t="s">
        <v>2942</v>
      </c>
      <c r="R170" s="322">
        <v>4.5</v>
      </c>
      <c r="S170" s="312"/>
      <c r="T170" s="2498" t="s">
        <v>2943</v>
      </c>
      <c r="U170" s="2499"/>
      <c r="V170" s="2500"/>
      <c r="W170" s="341" t="s">
        <v>2942</v>
      </c>
      <c r="X170" s="322">
        <v>4.3</v>
      </c>
      <c r="Y170" s="312"/>
      <c r="Z170" s="2498" t="s">
        <v>2943</v>
      </c>
      <c r="AA170" s="2499"/>
      <c r="AB170" s="2500"/>
      <c r="AC170" s="341" t="s">
        <v>2942</v>
      </c>
      <c r="AD170" s="322">
        <v>3.5</v>
      </c>
      <c r="AF170" s="312"/>
      <c r="AG170" s="2498" t="s">
        <v>2943</v>
      </c>
      <c r="AH170" s="2499"/>
      <c r="AI170" s="2500"/>
      <c r="AJ170" s="341" t="s">
        <v>2942</v>
      </c>
      <c r="AK170" s="322">
        <v>5.8</v>
      </c>
      <c r="AS170" s="312"/>
      <c r="AT170" s="2498" t="s">
        <v>2943</v>
      </c>
      <c r="AU170" s="2499"/>
      <c r="AV170" s="2500"/>
      <c r="AW170" s="341" t="s">
        <v>2942</v>
      </c>
      <c r="AX170" s="322">
        <v>5.8</v>
      </c>
    </row>
    <row r="171" spans="1:50" ht="15.75" customHeight="1">
      <c r="A171" s="309">
        <v>2</v>
      </c>
      <c r="B171" s="2501" t="s">
        <v>2944</v>
      </c>
      <c r="C171" s="2501"/>
      <c r="D171" s="2502"/>
      <c r="E171" s="342"/>
      <c r="F171" s="343"/>
      <c r="G171" s="309">
        <v>2</v>
      </c>
      <c r="H171" s="2501" t="s">
        <v>2944</v>
      </c>
      <c r="I171" s="2501"/>
      <c r="J171" s="2502"/>
      <c r="K171" s="342"/>
      <c r="L171" s="343"/>
      <c r="M171" s="309">
        <v>2</v>
      </c>
      <c r="N171" s="2501" t="s">
        <v>2944</v>
      </c>
      <c r="O171" s="2501"/>
      <c r="P171" s="2502"/>
      <c r="Q171" s="342"/>
      <c r="R171" s="343"/>
      <c r="S171" s="309">
        <v>2</v>
      </c>
      <c r="T171" s="2501" t="s">
        <v>2944</v>
      </c>
      <c r="U171" s="2501"/>
      <c r="V171" s="2502"/>
      <c r="W171" s="342"/>
      <c r="X171" s="343"/>
      <c r="Y171" s="309">
        <v>2</v>
      </c>
      <c r="Z171" s="2501" t="s">
        <v>2944</v>
      </c>
      <c r="AA171" s="2501"/>
      <c r="AB171" s="2502"/>
      <c r="AC171" s="342"/>
      <c r="AD171" s="343"/>
      <c r="AF171" s="309">
        <v>2</v>
      </c>
      <c r="AG171" s="2501" t="s">
        <v>2944</v>
      </c>
      <c r="AH171" s="2501"/>
      <c r="AI171" s="2502"/>
      <c r="AJ171" s="342"/>
      <c r="AK171" s="343"/>
      <c r="AS171" s="309">
        <v>2</v>
      </c>
      <c r="AT171" s="2501" t="s">
        <v>2944</v>
      </c>
      <c r="AU171" s="2501"/>
      <c r="AV171" s="2502"/>
      <c r="AW171" s="342"/>
      <c r="AX171" s="343"/>
    </row>
    <row r="172" spans="1:50" ht="15.75">
      <c r="A172" s="312"/>
      <c r="B172" s="2498" t="s">
        <v>2941</v>
      </c>
      <c r="C172" s="2499"/>
      <c r="D172" s="2500"/>
      <c r="E172" s="341" t="s">
        <v>2942</v>
      </c>
      <c r="F172" s="322">
        <v>3.55</v>
      </c>
      <c r="G172" s="312"/>
      <c r="H172" s="2498" t="s">
        <v>2941</v>
      </c>
      <c r="I172" s="2499"/>
      <c r="J172" s="2500"/>
      <c r="K172" s="341" t="s">
        <v>2942</v>
      </c>
      <c r="L172" s="322">
        <v>1.3</v>
      </c>
      <c r="M172" s="312"/>
      <c r="N172" s="2498" t="s">
        <v>2941</v>
      </c>
      <c r="O172" s="2499"/>
      <c r="P172" s="2500"/>
      <c r="Q172" s="341" t="s">
        <v>2942</v>
      </c>
      <c r="R172" s="322">
        <v>1.3</v>
      </c>
      <c r="S172" s="312"/>
      <c r="T172" s="2498" t="s">
        <v>2941</v>
      </c>
      <c r="U172" s="2499"/>
      <c r="V172" s="2500"/>
      <c r="W172" s="341" t="s">
        <v>2942</v>
      </c>
      <c r="X172" s="322">
        <v>1.2</v>
      </c>
      <c r="Y172" s="312"/>
      <c r="Z172" s="2498" t="s">
        <v>2941</v>
      </c>
      <c r="AA172" s="2499"/>
      <c r="AB172" s="2500"/>
      <c r="AC172" s="341" t="s">
        <v>2942</v>
      </c>
      <c r="AD172" s="322">
        <v>0.9</v>
      </c>
      <c r="AF172" s="312"/>
      <c r="AG172" s="2498" t="s">
        <v>2941</v>
      </c>
      <c r="AH172" s="2499"/>
      <c r="AI172" s="2500"/>
      <c r="AJ172" s="341" t="s">
        <v>2942</v>
      </c>
      <c r="AK172" s="322">
        <v>1.6</v>
      </c>
      <c r="AS172" s="312"/>
      <c r="AT172" s="2498" t="s">
        <v>2941</v>
      </c>
      <c r="AU172" s="2499"/>
      <c r="AV172" s="2500"/>
      <c r="AW172" s="341" t="s">
        <v>2942</v>
      </c>
      <c r="AX172" s="322">
        <v>1.6</v>
      </c>
    </row>
    <row r="173" spans="1:50" ht="15.75">
      <c r="A173" s="303"/>
      <c r="B173" s="2498" t="s">
        <v>2943</v>
      </c>
      <c r="C173" s="2499"/>
      <c r="D173" s="2500"/>
      <c r="E173" s="341" t="s">
        <v>2942</v>
      </c>
      <c r="F173" s="307">
        <v>12.88</v>
      </c>
      <c r="G173" s="303"/>
      <c r="H173" s="2498" t="s">
        <v>2943</v>
      </c>
      <c r="I173" s="2499"/>
      <c r="J173" s="2500"/>
      <c r="K173" s="341" t="s">
        <v>2942</v>
      </c>
      <c r="L173" s="305">
        <v>4.5</v>
      </c>
      <c r="M173" s="303"/>
      <c r="N173" s="2498" t="s">
        <v>2943</v>
      </c>
      <c r="O173" s="2499"/>
      <c r="P173" s="2500"/>
      <c r="Q173" s="341" t="s">
        <v>2942</v>
      </c>
      <c r="R173" s="305">
        <v>4.5</v>
      </c>
      <c r="S173" s="303"/>
      <c r="T173" s="2498" t="s">
        <v>2943</v>
      </c>
      <c r="U173" s="2499"/>
      <c r="V173" s="2500"/>
      <c r="W173" s="341" t="s">
        <v>2942</v>
      </c>
      <c r="X173" s="305">
        <v>4.3</v>
      </c>
      <c r="Y173" s="303"/>
      <c r="Z173" s="2498" t="s">
        <v>2943</v>
      </c>
      <c r="AA173" s="2499"/>
      <c r="AB173" s="2500"/>
      <c r="AC173" s="341" t="s">
        <v>2942</v>
      </c>
      <c r="AD173" s="305">
        <v>3.5</v>
      </c>
      <c r="AF173" s="303"/>
      <c r="AG173" s="2498" t="s">
        <v>2943</v>
      </c>
      <c r="AH173" s="2499"/>
      <c r="AI173" s="2500"/>
      <c r="AJ173" s="341" t="s">
        <v>2942</v>
      </c>
      <c r="AK173" s="305">
        <v>5.8</v>
      </c>
      <c r="AS173" s="303"/>
      <c r="AT173" s="2498" t="s">
        <v>2943</v>
      </c>
      <c r="AU173" s="2499"/>
      <c r="AV173" s="2500"/>
      <c r="AW173" s="341" t="s">
        <v>2942</v>
      </c>
      <c r="AX173" s="307">
        <v>5.8</v>
      </c>
    </row>
    <row r="177" spans="1:50" ht="18.75" customHeight="1">
      <c r="A177" s="2503" t="s">
        <v>2945</v>
      </c>
      <c r="B177" s="2503"/>
      <c r="C177" s="2503"/>
      <c r="D177" s="2503"/>
      <c r="E177" s="2503"/>
      <c r="F177" s="2503"/>
      <c r="G177" s="2503" t="s">
        <v>2945</v>
      </c>
      <c r="H177" s="2503"/>
      <c r="I177" s="2503"/>
      <c r="J177" s="2503"/>
      <c r="K177" s="2503"/>
      <c r="L177" s="2503"/>
      <c r="M177" s="2503" t="s">
        <v>2945</v>
      </c>
      <c r="N177" s="2503"/>
      <c r="O177" s="2503"/>
      <c r="P177" s="2503"/>
      <c r="Q177" s="2503"/>
      <c r="R177" s="2503"/>
      <c r="S177" s="2503" t="s">
        <v>2945</v>
      </c>
      <c r="T177" s="2503"/>
      <c r="U177" s="2503"/>
      <c r="V177" s="2503"/>
      <c r="W177" s="2503"/>
      <c r="X177" s="2503"/>
      <c r="Y177" s="2503" t="s">
        <v>2945</v>
      </c>
      <c r="Z177" s="2503"/>
      <c r="AA177" s="2503"/>
      <c r="AB177" s="2503"/>
      <c r="AC177" s="2503"/>
      <c r="AD177" s="2503"/>
      <c r="AF177" s="2503" t="s">
        <v>2945</v>
      </c>
      <c r="AG177" s="2503"/>
      <c r="AH177" s="2503"/>
      <c r="AI177" s="2503"/>
      <c r="AJ177" s="2503"/>
      <c r="AK177" s="2503"/>
      <c r="AS177" s="2503" t="s">
        <v>2945</v>
      </c>
      <c r="AT177" s="2503"/>
      <c r="AU177" s="2503"/>
      <c r="AV177" s="2503"/>
      <c r="AW177" s="2503"/>
      <c r="AX177" s="2503"/>
    </row>
    <row r="178" spans="1:50">
      <c r="A178" s="2503"/>
      <c r="B178" s="2503"/>
      <c r="C178" s="2503"/>
      <c r="D178" s="2503"/>
      <c r="E178" s="2503"/>
      <c r="F178" s="2503"/>
      <c r="G178" s="2503"/>
      <c r="H178" s="2503"/>
      <c r="I178" s="2503"/>
      <c r="J178" s="2503"/>
      <c r="K178" s="2503"/>
      <c r="L178" s="2503"/>
      <c r="M178" s="2503"/>
      <c r="N178" s="2503"/>
      <c r="O178" s="2503"/>
      <c r="P178" s="2503"/>
      <c r="Q178" s="2503"/>
      <c r="R178" s="2503"/>
      <c r="S178" s="2503"/>
      <c r="T178" s="2503"/>
      <c r="U178" s="2503"/>
      <c r="V178" s="2503"/>
      <c r="W178" s="2503"/>
      <c r="X178" s="2503"/>
      <c r="Y178" s="2503"/>
      <c r="Z178" s="2503"/>
      <c r="AA178" s="2503"/>
      <c r="AB178" s="2503"/>
      <c r="AC178" s="2503"/>
      <c r="AD178" s="2503"/>
      <c r="AF178" s="2503"/>
      <c r="AG178" s="2503"/>
      <c r="AH178" s="2503"/>
      <c r="AI178" s="2503"/>
      <c r="AJ178" s="2503"/>
      <c r="AK178" s="2503"/>
      <c r="AS178" s="2503"/>
      <c r="AT178" s="2503"/>
      <c r="AU178" s="2503"/>
      <c r="AV178" s="2503"/>
      <c r="AW178" s="2503"/>
      <c r="AX178" s="2503"/>
    </row>
    <row r="179" spans="1:50" ht="15" customHeight="1">
      <c r="A179" s="2470" t="s">
        <v>1974</v>
      </c>
      <c r="B179" s="2476" t="s">
        <v>2785</v>
      </c>
      <c r="C179" s="2504" t="s">
        <v>2790</v>
      </c>
      <c r="D179" s="2470" t="s">
        <v>2791</v>
      </c>
      <c r="E179" s="2470"/>
      <c r="F179" s="2470"/>
      <c r="G179" s="2470" t="s">
        <v>1974</v>
      </c>
      <c r="H179" s="2476" t="s">
        <v>2785</v>
      </c>
      <c r="I179" s="2504" t="s">
        <v>2790</v>
      </c>
      <c r="J179" s="2470" t="s">
        <v>2791</v>
      </c>
      <c r="K179" s="2470"/>
      <c r="L179" s="2470"/>
      <c r="M179" s="2470" t="s">
        <v>1974</v>
      </c>
      <c r="N179" s="2476" t="s">
        <v>2785</v>
      </c>
      <c r="O179" s="2504" t="s">
        <v>2790</v>
      </c>
      <c r="P179" s="2470" t="s">
        <v>2791</v>
      </c>
      <c r="Q179" s="2470"/>
      <c r="R179" s="2470"/>
      <c r="S179" s="2470" t="s">
        <v>1974</v>
      </c>
      <c r="T179" s="2476" t="s">
        <v>2785</v>
      </c>
      <c r="U179" s="2504" t="s">
        <v>2790</v>
      </c>
      <c r="V179" s="2470" t="s">
        <v>2791</v>
      </c>
      <c r="W179" s="2470"/>
      <c r="X179" s="2470"/>
      <c r="Y179" s="2470" t="s">
        <v>1974</v>
      </c>
      <c r="Z179" s="2476" t="s">
        <v>2785</v>
      </c>
      <c r="AA179" s="2504" t="s">
        <v>2790</v>
      </c>
      <c r="AB179" s="2470" t="s">
        <v>2791</v>
      </c>
      <c r="AC179" s="2470"/>
      <c r="AD179" s="2470"/>
      <c r="AF179" s="2470" t="s">
        <v>1974</v>
      </c>
      <c r="AG179" s="2476" t="s">
        <v>2785</v>
      </c>
      <c r="AH179" s="2504" t="s">
        <v>2790</v>
      </c>
      <c r="AI179" s="2470" t="s">
        <v>2791</v>
      </c>
      <c r="AJ179" s="2470"/>
      <c r="AK179" s="2470"/>
      <c r="AS179" s="2470" t="s">
        <v>1974</v>
      </c>
      <c r="AT179" s="2476" t="s">
        <v>2785</v>
      </c>
      <c r="AU179" s="2504" t="s">
        <v>2790</v>
      </c>
      <c r="AV179" s="2470" t="s">
        <v>2791</v>
      </c>
      <c r="AW179" s="2470"/>
      <c r="AX179" s="2470"/>
    </row>
    <row r="180" spans="1:50">
      <c r="A180" s="2470"/>
      <c r="B180" s="2476"/>
      <c r="C180" s="2504"/>
      <c r="D180" s="2470"/>
      <c r="E180" s="2470"/>
      <c r="F180" s="2470"/>
      <c r="G180" s="2470"/>
      <c r="H180" s="2476"/>
      <c r="I180" s="2504"/>
      <c r="J180" s="2470"/>
      <c r="K180" s="2470"/>
      <c r="L180" s="2470"/>
      <c r="M180" s="2470"/>
      <c r="N180" s="2476"/>
      <c r="O180" s="2504"/>
      <c r="P180" s="2470"/>
      <c r="Q180" s="2470"/>
      <c r="R180" s="2470"/>
      <c r="S180" s="2470"/>
      <c r="T180" s="2476"/>
      <c r="U180" s="2504"/>
      <c r="V180" s="2470"/>
      <c r="W180" s="2470"/>
      <c r="X180" s="2470"/>
      <c r="Y180" s="2470"/>
      <c r="Z180" s="2476"/>
      <c r="AA180" s="2504"/>
      <c r="AB180" s="2470"/>
      <c r="AC180" s="2470"/>
      <c r="AD180" s="2470"/>
      <c r="AF180" s="2470"/>
      <c r="AG180" s="2476"/>
      <c r="AH180" s="2504"/>
      <c r="AI180" s="2470"/>
      <c r="AJ180" s="2470"/>
      <c r="AK180" s="2470"/>
      <c r="AS180" s="2470"/>
      <c r="AT180" s="2476"/>
      <c r="AU180" s="2504"/>
      <c r="AV180" s="2470"/>
      <c r="AW180" s="2470"/>
      <c r="AX180" s="2470"/>
    </row>
    <row r="181" spans="1:50">
      <c r="A181" s="2470"/>
      <c r="B181" s="2476"/>
      <c r="C181" s="2504"/>
      <c r="D181" s="2470"/>
      <c r="E181" s="2470"/>
      <c r="F181" s="2470"/>
      <c r="G181" s="2470"/>
      <c r="H181" s="2476"/>
      <c r="I181" s="2504"/>
      <c r="J181" s="2470"/>
      <c r="K181" s="2470"/>
      <c r="L181" s="2470"/>
      <c r="M181" s="2470"/>
      <c r="N181" s="2476"/>
      <c r="O181" s="2504"/>
      <c r="P181" s="2470"/>
      <c r="Q181" s="2470"/>
      <c r="R181" s="2470"/>
      <c r="S181" s="2470"/>
      <c r="T181" s="2476"/>
      <c r="U181" s="2504"/>
      <c r="V181" s="2470"/>
      <c r="W181" s="2470"/>
      <c r="X181" s="2470"/>
      <c r="Y181" s="2470"/>
      <c r="Z181" s="2476"/>
      <c r="AA181" s="2504"/>
      <c r="AB181" s="2470"/>
      <c r="AC181" s="2470"/>
      <c r="AD181" s="2470"/>
      <c r="AF181" s="2470"/>
      <c r="AG181" s="2476"/>
      <c r="AH181" s="2504"/>
      <c r="AI181" s="2470"/>
      <c r="AJ181" s="2470"/>
      <c r="AK181" s="2470"/>
      <c r="AS181" s="2470"/>
      <c r="AT181" s="2476"/>
      <c r="AU181" s="2504"/>
      <c r="AV181" s="2470"/>
      <c r="AW181" s="2470"/>
      <c r="AX181" s="2470"/>
    </row>
    <row r="182" spans="1:50">
      <c r="A182" s="2470"/>
      <c r="B182" s="2476"/>
      <c r="C182" s="2504"/>
      <c r="D182" s="2470"/>
      <c r="E182" s="2470"/>
      <c r="F182" s="2470"/>
      <c r="G182" s="2470"/>
      <c r="H182" s="2476"/>
      <c r="I182" s="2504"/>
      <c r="J182" s="2470"/>
      <c r="K182" s="2470"/>
      <c r="L182" s="2470"/>
      <c r="M182" s="2470"/>
      <c r="N182" s="2476"/>
      <c r="O182" s="2504"/>
      <c r="P182" s="2470"/>
      <c r="Q182" s="2470"/>
      <c r="R182" s="2470"/>
      <c r="S182" s="2470"/>
      <c r="T182" s="2476"/>
      <c r="U182" s="2504"/>
      <c r="V182" s="2470"/>
      <c r="W182" s="2470"/>
      <c r="X182" s="2470"/>
      <c r="Y182" s="2470"/>
      <c r="Z182" s="2476"/>
      <c r="AA182" s="2504"/>
      <c r="AB182" s="2470"/>
      <c r="AC182" s="2470"/>
      <c r="AD182" s="2470"/>
      <c r="AF182" s="2470"/>
      <c r="AG182" s="2476"/>
      <c r="AH182" s="2504"/>
      <c r="AI182" s="2470"/>
      <c r="AJ182" s="2470"/>
      <c r="AK182" s="2470"/>
      <c r="AS182" s="2470"/>
      <c r="AT182" s="2476"/>
      <c r="AU182" s="2504"/>
      <c r="AV182" s="2470"/>
      <c r="AW182" s="2470"/>
      <c r="AX182" s="2470"/>
    </row>
    <row r="183" spans="1:50" ht="15.75">
      <c r="A183" s="305">
        <v>1</v>
      </c>
      <c r="B183" s="305">
        <v>2</v>
      </c>
      <c r="C183" s="344">
        <v>3</v>
      </c>
      <c r="D183" s="2505">
        <v>4</v>
      </c>
      <c r="E183" s="2505"/>
      <c r="F183" s="2505"/>
      <c r="G183" s="305">
        <v>1</v>
      </c>
      <c r="H183" s="305">
        <v>2</v>
      </c>
      <c r="I183" s="344">
        <v>3</v>
      </c>
      <c r="J183" s="2505">
        <v>4</v>
      </c>
      <c r="K183" s="2505"/>
      <c r="L183" s="2505"/>
      <c r="M183" s="305">
        <v>1</v>
      </c>
      <c r="N183" s="305">
        <v>2</v>
      </c>
      <c r="O183" s="344">
        <v>3</v>
      </c>
      <c r="P183" s="2505">
        <v>4</v>
      </c>
      <c r="Q183" s="2505"/>
      <c r="R183" s="2505"/>
      <c r="S183" s="305">
        <v>1</v>
      </c>
      <c r="T183" s="305">
        <v>2</v>
      </c>
      <c r="U183" s="344">
        <v>3</v>
      </c>
      <c r="V183" s="2505">
        <v>4</v>
      </c>
      <c r="W183" s="2505"/>
      <c r="X183" s="2505"/>
      <c r="Y183" s="305">
        <v>1</v>
      </c>
      <c r="Z183" s="305">
        <v>2</v>
      </c>
      <c r="AA183" s="344">
        <v>3</v>
      </c>
      <c r="AB183" s="2505">
        <v>4</v>
      </c>
      <c r="AC183" s="2505"/>
      <c r="AD183" s="2505"/>
      <c r="AF183" s="305">
        <v>1</v>
      </c>
      <c r="AG183" s="305">
        <v>2</v>
      </c>
      <c r="AH183" s="344">
        <v>3</v>
      </c>
      <c r="AI183" s="2505">
        <v>4</v>
      </c>
      <c r="AJ183" s="2505"/>
      <c r="AK183" s="2505"/>
      <c r="AS183" s="305">
        <v>1</v>
      </c>
      <c r="AT183" s="305">
        <v>2</v>
      </c>
      <c r="AU183" s="344">
        <v>3</v>
      </c>
      <c r="AV183" s="2505">
        <v>4</v>
      </c>
      <c r="AW183" s="2505"/>
      <c r="AX183" s="2505"/>
    </row>
    <row r="184" spans="1:50" ht="15.75">
      <c r="A184" s="321"/>
      <c r="B184" s="321"/>
      <c r="C184" s="305" t="s">
        <v>2816</v>
      </c>
      <c r="D184" s="2471" t="s">
        <v>2816</v>
      </c>
      <c r="E184" s="2471"/>
      <c r="F184" s="2471"/>
      <c r="G184" s="321"/>
      <c r="H184" s="321"/>
      <c r="I184" s="305" t="s">
        <v>2816</v>
      </c>
      <c r="J184" s="2471" t="s">
        <v>2816</v>
      </c>
      <c r="K184" s="2471"/>
      <c r="L184" s="2471"/>
      <c r="M184" s="321"/>
      <c r="N184" s="321"/>
      <c r="O184" s="305" t="s">
        <v>2816</v>
      </c>
      <c r="P184" s="2471" t="s">
        <v>2816</v>
      </c>
      <c r="Q184" s="2471"/>
      <c r="R184" s="2471"/>
      <c r="S184" s="321"/>
      <c r="T184" s="321"/>
      <c r="U184" s="305" t="s">
        <v>2816</v>
      </c>
      <c r="V184" s="2471" t="s">
        <v>2816</v>
      </c>
      <c r="W184" s="2471"/>
      <c r="X184" s="2471"/>
      <c r="Y184" s="321"/>
      <c r="Z184" s="321"/>
      <c r="AA184" s="305" t="s">
        <v>2816</v>
      </c>
      <c r="AB184" s="2471" t="s">
        <v>2816</v>
      </c>
      <c r="AC184" s="2471"/>
      <c r="AD184" s="2471"/>
      <c r="AF184" s="321"/>
      <c r="AG184" s="321"/>
      <c r="AH184" s="305" t="s">
        <v>2816</v>
      </c>
      <c r="AI184" s="2471" t="s">
        <v>2816</v>
      </c>
      <c r="AJ184" s="2471"/>
      <c r="AK184" s="2471"/>
      <c r="AS184" s="321"/>
      <c r="AT184" s="321"/>
      <c r="AU184" s="305" t="s">
        <v>2816</v>
      </c>
      <c r="AV184" s="2471" t="s">
        <v>2816</v>
      </c>
      <c r="AW184" s="2471"/>
      <c r="AX184" s="2471"/>
    </row>
    <row r="185" spans="1:50" ht="15.75">
      <c r="A185" s="305">
        <v>1</v>
      </c>
      <c r="B185" s="16" t="s">
        <v>2946</v>
      </c>
      <c r="C185" s="345">
        <v>73.260000000000005</v>
      </c>
      <c r="D185" s="2506">
        <v>18.43</v>
      </c>
      <c r="E185" s="2507"/>
      <c r="F185" s="2508"/>
      <c r="G185" s="305">
        <v>1</v>
      </c>
      <c r="H185" s="16" t="s">
        <v>2946</v>
      </c>
      <c r="I185" s="345">
        <v>25.5</v>
      </c>
      <c r="J185" s="2506">
        <v>6.4</v>
      </c>
      <c r="K185" s="2507"/>
      <c r="L185" s="2508"/>
      <c r="M185" s="305">
        <v>1</v>
      </c>
      <c r="N185" s="16" t="s">
        <v>2946</v>
      </c>
      <c r="O185" s="345">
        <v>25.5</v>
      </c>
      <c r="P185" s="2506">
        <v>6.4</v>
      </c>
      <c r="Q185" s="2507"/>
      <c r="R185" s="2508"/>
      <c r="S185" s="305">
        <v>1</v>
      </c>
      <c r="T185" s="16" t="s">
        <v>2946</v>
      </c>
      <c r="U185" s="345">
        <v>24</v>
      </c>
      <c r="V185" s="2506">
        <v>6</v>
      </c>
      <c r="W185" s="2507"/>
      <c r="X185" s="2508"/>
      <c r="Y185" s="305">
        <v>1</v>
      </c>
      <c r="Z185" s="16" t="s">
        <v>2946</v>
      </c>
      <c r="AA185" s="345">
        <v>19</v>
      </c>
      <c r="AB185" s="2506">
        <v>5</v>
      </c>
      <c r="AC185" s="2507"/>
      <c r="AD185" s="2508"/>
      <c r="AF185" s="305">
        <v>1</v>
      </c>
      <c r="AG185" s="16" t="s">
        <v>2946</v>
      </c>
      <c r="AH185" s="345">
        <v>33</v>
      </c>
      <c r="AI185" s="2506">
        <v>8.3000000000000007</v>
      </c>
      <c r="AJ185" s="2507"/>
      <c r="AK185" s="2508"/>
      <c r="AS185" s="305">
        <v>1</v>
      </c>
      <c r="AT185" s="16" t="s">
        <v>2946</v>
      </c>
      <c r="AU185" s="345">
        <v>33</v>
      </c>
      <c r="AV185" s="2506">
        <v>8.3000000000000007</v>
      </c>
      <c r="AW185" s="2507"/>
      <c r="AX185" s="2508"/>
    </row>
    <row r="186" spans="1:50" ht="15" customHeight="1">
      <c r="A186" s="309">
        <v>2</v>
      </c>
      <c r="B186" s="2512" t="s">
        <v>2947</v>
      </c>
      <c r="C186" s="346"/>
      <c r="D186" s="347"/>
      <c r="E186" s="348"/>
      <c r="F186" s="349"/>
      <c r="G186" s="309">
        <v>2</v>
      </c>
      <c r="H186" s="2512" t="s">
        <v>2947</v>
      </c>
      <c r="I186" s="346"/>
      <c r="J186" s="347"/>
      <c r="K186" s="348"/>
      <c r="L186" s="349"/>
      <c r="M186" s="309">
        <v>2</v>
      </c>
      <c r="N186" s="2512" t="s">
        <v>2947</v>
      </c>
      <c r="O186" s="346"/>
      <c r="P186" s="347"/>
      <c r="Q186" s="348"/>
      <c r="R186" s="349"/>
      <c r="S186" s="309">
        <v>2</v>
      </c>
      <c r="T186" s="2512" t="s">
        <v>2947</v>
      </c>
      <c r="U186" s="346"/>
      <c r="V186" s="347"/>
      <c r="W186" s="348"/>
      <c r="X186" s="349"/>
      <c r="Y186" s="309">
        <v>2</v>
      </c>
      <c r="Z186" s="2512" t="s">
        <v>2947</v>
      </c>
      <c r="AA186" s="346"/>
      <c r="AB186" s="347"/>
      <c r="AC186" s="348"/>
      <c r="AD186" s="349"/>
      <c r="AF186" s="309">
        <v>2</v>
      </c>
      <c r="AG186" s="2512" t="s">
        <v>2947</v>
      </c>
      <c r="AH186" s="346"/>
      <c r="AI186" s="347"/>
      <c r="AJ186" s="348"/>
      <c r="AK186" s="349"/>
      <c r="AS186" s="309">
        <v>2</v>
      </c>
      <c r="AT186" s="2512" t="s">
        <v>2947</v>
      </c>
      <c r="AU186" s="346"/>
      <c r="AV186" s="347"/>
      <c r="AW186" s="348"/>
      <c r="AX186" s="349"/>
    </row>
    <row r="187" spans="1:50" ht="15.75">
      <c r="A187" s="312"/>
      <c r="B187" s="2513"/>
      <c r="C187" s="350">
        <v>84.36</v>
      </c>
      <c r="D187" s="2509">
        <v>27.53</v>
      </c>
      <c r="E187" s="2510"/>
      <c r="F187" s="2511"/>
      <c r="G187" s="312"/>
      <c r="H187" s="2513"/>
      <c r="I187" s="350">
        <v>30</v>
      </c>
      <c r="J187" s="2509">
        <v>9.6</v>
      </c>
      <c r="K187" s="2510"/>
      <c r="L187" s="2511"/>
      <c r="M187" s="312"/>
      <c r="N187" s="2513"/>
      <c r="O187" s="350">
        <v>30</v>
      </c>
      <c r="P187" s="2509">
        <v>9.6</v>
      </c>
      <c r="Q187" s="2510"/>
      <c r="R187" s="2511"/>
      <c r="S187" s="312"/>
      <c r="T187" s="2513"/>
      <c r="U187" s="350">
        <v>28</v>
      </c>
      <c r="V187" s="2509">
        <v>9</v>
      </c>
      <c r="W187" s="2510"/>
      <c r="X187" s="2511"/>
      <c r="Y187" s="312"/>
      <c r="Z187" s="2513"/>
      <c r="AA187" s="350">
        <v>22</v>
      </c>
      <c r="AB187" s="2509">
        <v>7</v>
      </c>
      <c r="AC187" s="2510"/>
      <c r="AD187" s="2511"/>
      <c r="AF187" s="312"/>
      <c r="AG187" s="2513"/>
      <c r="AH187" s="350">
        <v>38</v>
      </c>
      <c r="AI187" s="2509">
        <v>12.4</v>
      </c>
      <c r="AJ187" s="2510"/>
      <c r="AK187" s="2511"/>
      <c r="AS187" s="312"/>
      <c r="AT187" s="2513"/>
      <c r="AU187" s="350">
        <v>38</v>
      </c>
      <c r="AV187" s="2509">
        <v>12.4</v>
      </c>
      <c r="AW187" s="2510"/>
      <c r="AX187" s="2511"/>
    </row>
    <row r="188" spans="1:50" ht="15.75">
      <c r="A188" s="310"/>
      <c r="B188" s="2514"/>
      <c r="C188" s="351"/>
      <c r="D188" s="352"/>
      <c r="E188" s="353"/>
      <c r="F188" s="354"/>
      <c r="G188" s="310"/>
      <c r="H188" s="2514"/>
      <c r="I188" s="351"/>
      <c r="J188" s="352"/>
      <c r="K188" s="353"/>
      <c r="L188" s="354"/>
      <c r="M188" s="310"/>
      <c r="N188" s="2514"/>
      <c r="O188" s="351"/>
      <c r="P188" s="352"/>
      <c r="Q188" s="353"/>
      <c r="R188" s="354"/>
      <c r="S188" s="310"/>
      <c r="T188" s="2514"/>
      <c r="U188" s="351"/>
      <c r="V188" s="352"/>
      <c r="W188" s="353"/>
      <c r="X188" s="354"/>
      <c r="Y188" s="310"/>
      <c r="Z188" s="2514"/>
      <c r="AA188" s="351"/>
      <c r="AB188" s="352"/>
      <c r="AC188" s="353"/>
      <c r="AD188" s="354"/>
      <c r="AF188" s="310"/>
      <c r="AG188" s="2514"/>
      <c r="AH188" s="351"/>
      <c r="AI188" s="352"/>
      <c r="AJ188" s="353"/>
      <c r="AK188" s="354"/>
      <c r="AS188" s="310"/>
      <c r="AT188" s="2514"/>
      <c r="AU188" s="351"/>
      <c r="AV188" s="352"/>
      <c r="AW188" s="353"/>
      <c r="AX188" s="354"/>
    </row>
    <row r="189" spans="1:50" ht="15.75">
      <c r="A189" s="309">
        <v>3</v>
      </c>
      <c r="B189" s="2512" t="s">
        <v>2948</v>
      </c>
      <c r="C189" s="346"/>
      <c r="D189" s="347"/>
      <c r="E189" s="348"/>
      <c r="F189" s="349"/>
      <c r="G189" s="309">
        <v>3</v>
      </c>
      <c r="H189" s="2512" t="s">
        <v>2948</v>
      </c>
      <c r="I189" s="346"/>
      <c r="J189" s="347"/>
      <c r="K189" s="348"/>
      <c r="L189" s="349"/>
      <c r="M189" s="309">
        <v>3</v>
      </c>
      <c r="N189" s="2512" t="s">
        <v>2948</v>
      </c>
      <c r="O189" s="346"/>
      <c r="P189" s="347"/>
      <c r="Q189" s="348"/>
      <c r="R189" s="349"/>
      <c r="S189" s="309">
        <v>3</v>
      </c>
      <c r="T189" s="2512" t="s">
        <v>2948</v>
      </c>
      <c r="U189" s="346"/>
      <c r="V189" s="347"/>
      <c r="W189" s="348"/>
      <c r="X189" s="349"/>
      <c r="Y189" s="309">
        <v>3</v>
      </c>
      <c r="Z189" s="2512" t="s">
        <v>2948</v>
      </c>
      <c r="AA189" s="346"/>
      <c r="AB189" s="347"/>
      <c r="AC189" s="348"/>
      <c r="AD189" s="349"/>
      <c r="AF189" s="309">
        <v>3</v>
      </c>
      <c r="AG189" s="2512" t="s">
        <v>2948</v>
      </c>
      <c r="AH189" s="346"/>
      <c r="AI189" s="347"/>
      <c r="AJ189" s="348"/>
      <c r="AK189" s="349"/>
      <c r="AS189" s="309">
        <v>3</v>
      </c>
      <c r="AT189" s="2512" t="s">
        <v>2948</v>
      </c>
      <c r="AU189" s="346"/>
      <c r="AV189" s="347"/>
      <c r="AW189" s="348"/>
      <c r="AX189" s="349"/>
    </row>
    <row r="190" spans="1:50" ht="15.75">
      <c r="A190" s="312"/>
      <c r="B190" s="2513"/>
      <c r="C190" s="350">
        <v>111</v>
      </c>
      <c r="D190" s="2509">
        <v>39.96</v>
      </c>
      <c r="E190" s="2510"/>
      <c r="F190" s="2511"/>
      <c r="G190" s="312"/>
      <c r="H190" s="2513"/>
      <c r="I190" s="350">
        <v>39</v>
      </c>
      <c r="J190" s="2509">
        <v>14</v>
      </c>
      <c r="K190" s="2510"/>
      <c r="L190" s="2511"/>
      <c r="M190" s="312"/>
      <c r="N190" s="2513"/>
      <c r="O190" s="350">
        <v>39</v>
      </c>
      <c r="P190" s="2509">
        <v>14</v>
      </c>
      <c r="Q190" s="2510"/>
      <c r="R190" s="2511"/>
      <c r="S190" s="312"/>
      <c r="T190" s="2513"/>
      <c r="U190" s="350">
        <v>37</v>
      </c>
      <c r="V190" s="2509">
        <v>13</v>
      </c>
      <c r="W190" s="2510"/>
      <c r="X190" s="2511"/>
      <c r="Y190" s="312"/>
      <c r="Z190" s="2513"/>
      <c r="AA190" s="350">
        <v>33</v>
      </c>
      <c r="AB190" s="2509">
        <v>11</v>
      </c>
      <c r="AC190" s="2510"/>
      <c r="AD190" s="2511"/>
      <c r="AF190" s="312"/>
      <c r="AG190" s="2513"/>
      <c r="AH190" s="350">
        <v>50</v>
      </c>
      <c r="AI190" s="2509">
        <v>18</v>
      </c>
      <c r="AJ190" s="2510"/>
      <c r="AK190" s="2511"/>
      <c r="AS190" s="312"/>
      <c r="AT190" s="2513"/>
      <c r="AU190" s="350">
        <v>50</v>
      </c>
      <c r="AV190" s="2509">
        <v>18</v>
      </c>
      <c r="AW190" s="2510"/>
      <c r="AX190" s="2511"/>
    </row>
    <row r="191" spans="1:50" ht="15.75">
      <c r="A191" s="310"/>
      <c r="B191" s="2514"/>
      <c r="C191" s="355"/>
      <c r="D191" s="356"/>
      <c r="E191" s="357"/>
      <c r="F191" s="358"/>
      <c r="G191" s="310"/>
      <c r="H191" s="2514"/>
      <c r="I191" s="355"/>
      <c r="J191" s="356"/>
      <c r="K191" s="357"/>
      <c r="L191" s="358"/>
      <c r="M191" s="310"/>
      <c r="N191" s="2514"/>
      <c r="O191" s="355"/>
      <c r="P191" s="356"/>
      <c r="Q191" s="357"/>
      <c r="R191" s="358"/>
      <c r="S191" s="310"/>
      <c r="T191" s="2514"/>
      <c r="U191" s="355"/>
      <c r="V191" s="356"/>
      <c r="W191" s="357"/>
      <c r="X191" s="358"/>
      <c r="Y191" s="310"/>
      <c r="Z191" s="2514"/>
      <c r="AA191" s="355"/>
      <c r="AB191" s="356"/>
      <c r="AC191" s="357"/>
      <c r="AD191" s="358"/>
      <c r="AF191" s="310"/>
      <c r="AG191" s="2514"/>
      <c r="AH191" s="355"/>
      <c r="AI191" s="356"/>
      <c r="AJ191" s="357"/>
      <c r="AK191" s="358"/>
      <c r="AS191" s="310"/>
      <c r="AT191" s="2514"/>
      <c r="AU191" s="355"/>
      <c r="AV191" s="356"/>
      <c r="AW191" s="357"/>
      <c r="AX191" s="358"/>
    </row>
  </sheetData>
  <mergeCells count="973">
    <mergeCell ref="AV184:AX184"/>
    <mergeCell ref="AV185:AX185"/>
    <mergeCell ref="AT186:AT188"/>
    <mergeCell ref="AV187:AX187"/>
    <mergeCell ref="AT189:AT191"/>
    <mergeCell ref="AV190:AX190"/>
    <mergeCell ref="AT171:AV171"/>
    <mergeCell ref="AT172:AV172"/>
    <mergeCell ref="AT173:AV173"/>
    <mergeCell ref="AS177:AX178"/>
    <mergeCell ref="AS179:AS182"/>
    <mergeCell ref="AT179:AT182"/>
    <mergeCell ref="AU179:AU182"/>
    <mergeCell ref="AV179:AX182"/>
    <mergeCell ref="AV183:AX183"/>
    <mergeCell ref="AT160:AV160"/>
    <mergeCell ref="AT161:AV161"/>
    <mergeCell ref="AS165:AX165"/>
    <mergeCell ref="AT166:AV166"/>
    <mergeCell ref="AT167:AV168"/>
    <mergeCell ref="AW167:AW168"/>
    <mergeCell ref="AX167:AX168"/>
    <mergeCell ref="AT169:AV169"/>
    <mergeCell ref="AT170:AV170"/>
    <mergeCell ref="AT141:AV141"/>
    <mergeCell ref="AT142:AV142"/>
    <mergeCell ref="AT143:AV143"/>
    <mergeCell ref="AT144:AV144"/>
    <mergeCell ref="AT145:AV145"/>
    <mergeCell ref="AT146:AV146"/>
    <mergeCell ref="AT154:AV154"/>
    <mergeCell ref="AT155:AV155"/>
    <mergeCell ref="AT159:AV159"/>
    <mergeCell ref="AS131:AT131"/>
    <mergeCell ref="AV131:AX131"/>
    <mergeCell ref="AS132:AT132"/>
    <mergeCell ref="AV132:AX132"/>
    <mergeCell ref="AS133:AT133"/>
    <mergeCell ref="AV133:AX133"/>
    <mergeCell ref="AS137:AX138"/>
    <mergeCell ref="AT139:AV139"/>
    <mergeCell ref="AW139:AX139"/>
    <mergeCell ref="AS122:AT122"/>
    <mergeCell ref="AV122:AX122"/>
    <mergeCell ref="AS126:AX127"/>
    <mergeCell ref="AS128:AT128"/>
    <mergeCell ref="AV128:AX128"/>
    <mergeCell ref="AS129:AT129"/>
    <mergeCell ref="AV129:AX129"/>
    <mergeCell ref="AS130:AT130"/>
    <mergeCell ref="AV130:AX130"/>
    <mergeCell ref="AS117:AT117"/>
    <mergeCell ref="AV117:AX117"/>
    <mergeCell ref="AS118:AT118"/>
    <mergeCell ref="AV118:AX118"/>
    <mergeCell ref="AS119:AT119"/>
    <mergeCell ref="AV119:AX119"/>
    <mergeCell ref="AS120:AT120"/>
    <mergeCell ref="AV120:AX120"/>
    <mergeCell ref="AS121:AT121"/>
    <mergeCell ref="AV121:AX121"/>
    <mergeCell ref="AS112:AT112"/>
    <mergeCell ref="AV112:AX112"/>
    <mergeCell ref="AS113:AT113"/>
    <mergeCell ref="AV113:AX113"/>
    <mergeCell ref="AS114:AT114"/>
    <mergeCell ref="AV114:AX114"/>
    <mergeCell ref="AS115:AT115"/>
    <mergeCell ref="AV115:AX115"/>
    <mergeCell ref="AS116:AT116"/>
    <mergeCell ref="AV116:AX116"/>
    <mergeCell ref="AS107:AT107"/>
    <mergeCell ref="AV107:AX107"/>
    <mergeCell ref="AS108:AT108"/>
    <mergeCell ref="AV108:AX108"/>
    <mergeCell ref="AS109:AT109"/>
    <mergeCell ref="AV109:AX109"/>
    <mergeCell ref="AS110:AT110"/>
    <mergeCell ref="AV110:AX110"/>
    <mergeCell ref="AS111:AT111"/>
    <mergeCell ref="AV111:AX111"/>
    <mergeCell ref="AS102:AT102"/>
    <mergeCell ref="AV102:AX102"/>
    <mergeCell ref="AS103:AT103"/>
    <mergeCell ref="AV103:AX103"/>
    <mergeCell ref="AS104:AT104"/>
    <mergeCell ref="AV104:AX104"/>
    <mergeCell ref="AS105:AT105"/>
    <mergeCell ref="AV105:AX105"/>
    <mergeCell ref="AS106:AT106"/>
    <mergeCell ref="AV106:AX106"/>
    <mergeCell ref="AV88:AX88"/>
    <mergeCell ref="AS96:AX97"/>
    <mergeCell ref="AS98:AT98"/>
    <mergeCell ref="AV98:AX98"/>
    <mergeCell ref="AS99:AT99"/>
    <mergeCell ref="AV99:AX99"/>
    <mergeCell ref="AS100:AT100"/>
    <mergeCell ref="AV100:AX100"/>
    <mergeCell ref="AS101:AT101"/>
    <mergeCell ref="AV101:AX101"/>
    <mergeCell ref="AV79:AX79"/>
    <mergeCell ref="AV80:AX80"/>
    <mergeCell ref="AV81:AX81"/>
    <mergeCell ref="AV82:AX82"/>
    <mergeCell ref="AV83:AX83"/>
    <mergeCell ref="AV84:AX84"/>
    <mergeCell ref="AV85:AX85"/>
    <mergeCell ref="AV86:AX86"/>
    <mergeCell ref="AV87:AX87"/>
    <mergeCell ref="AT43:AV44"/>
    <mergeCell ref="AW43:AW44"/>
    <mergeCell ref="AX43:AX44"/>
    <mergeCell ref="AS52:AX53"/>
    <mergeCell ref="AT54:AV54"/>
    <mergeCell ref="AS66:AX67"/>
    <mergeCell ref="AS68:AS78"/>
    <mergeCell ref="AT68:AT78"/>
    <mergeCell ref="AV68:AX78"/>
    <mergeCell ref="AT26:AV27"/>
    <mergeCell ref="AW26:AW27"/>
    <mergeCell ref="AX26:AX27"/>
    <mergeCell ref="AT28:AV29"/>
    <mergeCell ref="AW28:AW29"/>
    <mergeCell ref="AX28:AX29"/>
    <mergeCell ref="AW30:AW40"/>
    <mergeCell ref="AX30:AX40"/>
    <mergeCell ref="AT41:AV42"/>
    <mergeCell ref="AW41:AW42"/>
    <mergeCell ref="AX41:AX42"/>
    <mergeCell ref="AS1:AX1"/>
    <mergeCell ref="AS2:AS12"/>
    <mergeCell ref="AT2:AT12"/>
    <mergeCell ref="AV2:AW12"/>
    <mergeCell ref="AX2:AX12"/>
    <mergeCell ref="AV13:AV14"/>
    <mergeCell ref="AW13:AW14"/>
    <mergeCell ref="AS24:AX24"/>
    <mergeCell ref="AT25:AV25"/>
    <mergeCell ref="P190:R190"/>
    <mergeCell ref="V190:X190"/>
    <mergeCell ref="AB190:AD190"/>
    <mergeCell ref="AI190:AK190"/>
    <mergeCell ref="AB187:AD187"/>
    <mergeCell ref="AI187:AK187"/>
    <mergeCell ref="B189:B191"/>
    <mergeCell ref="H189:H191"/>
    <mergeCell ref="N189:N191"/>
    <mergeCell ref="T189:T191"/>
    <mergeCell ref="Z189:Z191"/>
    <mergeCell ref="AG189:AG191"/>
    <mergeCell ref="D190:F190"/>
    <mergeCell ref="J190:L190"/>
    <mergeCell ref="B186:B188"/>
    <mergeCell ref="H186:H188"/>
    <mergeCell ref="N186:N188"/>
    <mergeCell ref="T186:T188"/>
    <mergeCell ref="Z186:Z188"/>
    <mergeCell ref="AG186:AG188"/>
    <mergeCell ref="D187:F187"/>
    <mergeCell ref="J187:L187"/>
    <mergeCell ref="P187:R187"/>
    <mergeCell ref="V187:X187"/>
    <mergeCell ref="D185:F185"/>
    <mergeCell ref="J185:L185"/>
    <mergeCell ref="P185:R185"/>
    <mergeCell ref="V185:X185"/>
    <mergeCell ref="AB185:AD185"/>
    <mergeCell ref="AI185:AK185"/>
    <mergeCell ref="D184:F184"/>
    <mergeCell ref="J184:L184"/>
    <mergeCell ref="P184:R184"/>
    <mergeCell ref="V184:X184"/>
    <mergeCell ref="AB184:AD184"/>
    <mergeCell ref="AI184:AK184"/>
    <mergeCell ref="D183:F183"/>
    <mergeCell ref="J183:L183"/>
    <mergeCell ref="P183:R183"/>
    <mergeCell ref="V183:X183"/>
    <mergeCell ref="AB183:AD183"/>
    <mergeCell ref="AI183:AK183"/>
    <mergeCell ref="AA179:AA182"/>
    <mergeCell ref="AB179:AD182"/>
    <mergeCell ref="AF179:AF182"/>
    <mergeCell ref="AG179:AG182"/>
    <mergeCell ref="AH179:AH182"/>
    <mergeCell ref="AI179:AK182"/>
    <mergeCell ref="S179:S182"/>
    <mergeCell ref="T179:T182"/>
    <mergeCell ref="U179:U182"/>
    <mergeCell ref="V179:X182"/>
    <mergeCell ref="Y179:Y182"/>
    <mergeCell ref="Z179:Z182"/>
    <mergeCell ref="I179:I182"/>
    <mergeCell ref="J179:L182"/>
    <mergeCell ref="M179:M182"/>
    <mergeCell ref="N179:N182"/>
    <mergeCell ref="O179:O182"/>
    <mergeCell ref="P179:R182"/>
    <mergeCell ref="A179:A182"/>
    <mergeCell ref="B179:B182"/>
    <mergeCell ref="C179:C182"/>
    <mergeCell ref="D179:F182"/>
    <mergeCell ref="G179:G182"/>
    <mergeCell ref="H179:H182"/>
    <mergeCell ref="A177:F178"/>
    <mergeCell ref="G177:L178"/>
    <mergeCell ref="M177:R178"/>
    <mergeCell ref="S177:X178"/>
    <mergeCell ref="Y177:AD178"/>
    <mergeCell ref="AF177:AK178"/>
    <mergeCell ref="B173:D173"/>
    <mergeCell ref="H173:J173"/>
    <mergeCell ref="N173:P173"/>
    <mergeCell ref="T173:V173"/>
    <mergeCell ref="Z173:AB173"/>
    <mergeCell ref="AG173:AI173"/>
    <mergeCell ref="B172:D172"/>
    <mergeCell ref="H172:J172"/>
    <mergeCell ref="N172:P172"/>
    <mergeCell ref="T172:V172"/>
    <mergeCell ref="Z172:AB172"/>
    <mergeCell ref="AG172:AI172"/>
    <mergeCell ref="B171:D171"/>
    <mergeCell ref="H171:J171"/>
    <mergeCell ref="N171:P171"/>
    <mergeCell ref="T171:V171"/>
    <mergeCell ref="Z171:AB171"/>
    <mergeCell ref="AG171:AI171"/>
    <mergeCell ref="B170:D170"/>
    <mergeCell ref="H170:J170"/>
    <mergeCell ref="N170:P170"/>
    <mergeCell ref="T170:V170"/>
    <mergeCell ref="Z170:AB170"/>
    <mergeCell ref="AG170:AI170"/>
    <mergeCell ref="B169:D169"/>
    <mergeCell ref="H169:J169"/>
    <mergeCell ref="N169:P169"/>
    <mergeCell ref="T169:V169"/>
    <mergeCell ref="Z169:AB169"/>
    <mergeCell ref="AG169:AI169"/>
    <mergeCell ref="Z167:AB168"/>
    <mergeCell ref="AC167:AC168"/>
    <mergeCell ref="AD167:AD168"/>
    <mergeCell ref="AG167:AI168"/>
    <mergeCell ref="AJ167:AJ168"/>
    <mergeCell ref="AK167:AK168"/>
    <mergeCell ref="N167:P168"/>
    <mergeCell ref="Q167:Q168"/>
    <mergeCell ref="R167:R168"/>
    <mergeCell ref="T167:V168"/>
    <mergeCell ref="W167:W168"/>
    <mergeCell ref="X167:X168"/>
    <mergeCell ref="B167:D168"/>
    <mergeCell ref="E167:E168"/>
    <mergeCell ref="F167:F168"/>
    <mergeCell ref="H167:J168"/>
    <mergeCell ref="K167:K168"/>
    <mergeCell ref="L167:L168"/>
    <mergeCell ref="B166:D166"/>
    <mergeCell ref="H166:J166"/>
    <mergeCell ref="N166:P166"/>
    <mergeCell ref="T166:V166"/>
    <mergeCell ref="Z166:AB166"/>
    <mergeCell ref="AG166:AI166"/>
    <mergeCell ref="A165:F165"/>
    <mergeCell ref="G165:L165"/>
    <mergeCell ref="M165:R165"/>
    <mergeCell ref="S165:X165"/>
    <mergeCell ref="Y165:AD165"/>
    <mergeCell ref="AF165:AK165"/>
    <mergeCell ref="B161:D161"/>
    <mergeCell ref="H161:J161"/>
    <mergeCell ref="N161:P161"/>
    <mergeCell ref="T161:V161"/>
    <mergeCell ref="Z161:AB161"/>
    <mergeCell ref="AG161:AI161"/>
    <mergeCell ref="B160:D160"/>
    <mergeCell ref="H160:J160"/>
    <mergeCell ref="N160:P160"/>
    <mergeCell ref="T160:V160"/>
    <mergeCell ref="Z160:AB160"/>
    <mergeCell ref="AG160:AI160"/>
    <mergeCell ref="B159:D159"/>
    <mergeCell ref="H159:J159"/>
    <mergeCell ref="N159:P159"/>
    <mergeCell ref="T159:V159"/>
    <mergeCell ref="Z159:AB159"/>
    <mergeCell ref="AG159:AI159"/>
    <mergeCell ref="B155:D155"/>
    <mergeCell ref="H155:J155"/>
    <mergeCell ref="N155:P155"/>
    <mergeCell ref="T155:V155"/>
    <mergeCell ref="Z155:AB155"/>
    <mergeCell ref="AG155:AI155"/>
    <mergeCell ref="B154:D154"/>
    <mergeCell ref="H154:J154"/>
    <mergeCell ref="N154:P154"/>
    <mergeCell ref="T154:V154"/>
    <mergeCell ref="Z154:AB154"/>
    <mergeCell ref="AG154:AI154"/>
    <mergeCell ref="B146:D146"/>
    <mergeCell ref="H146:J146"/>
    <mergeCell ref="N146:P146"/>
    <mergeCell ref="T146:V146"/>
    <mergeCell ref="Z146:AB146"/>
    <mergeCell ref="AG146:AI146"/>
    <mergeCell ref="B145:D145"/>
    <mergeCell ref="H145:J145"/>
    <mergeCell ref="N145:P145"/>
    <mergeCell ref="T145:V145"/>
    <mergeCell ref="Z145:AB145"/>
    <mergeCell ref="AG145:AI145"/>
    <mergeCell ref="B144:D144"/>
    <mergeCell ref="H144:J144"/>
    <mergeCell ref="N144:P144"/>
    <mergeCell ref="T144:V144"/>
    <mergeCell ref="Z144:AB144"/>
    <mergeCell ref="AG144:AI144"/>
    <mergeCell ref="B143:D143"/>
    <mergeCell ref="H143:J143"/>
    <mergeCell ref="N143:P143"/>
    <mergeCell ref="T143:V143"/>
    <mergeCell ref="Z143:AB143"/>
    <mergeCell ref="AG143:AI143"/>
    <mergeCell ref="B142:D142"/>
    <mergeCell ref="H142:J142"/>
    <mergeCell ref="N142:P142"/>
    <mergeCell ref="T142:V142"/>
    <mergeCell ref="Z142:AB142"/>
    <mergeCell ref="AG142:AI142"/>
    <mergeCell ref="B141:D141"/>
    <mergeCell ref="H141:J141"/>
    <mergeCell ref="N141:P141"/>
    <mergeCell ref="T141:V141"/>
    <mergeCell ref="Z141:AB141"/>
    <mergeCell ref="AG141:AI141"/>
    <mergeCell ref="T139:V139"/>
    <mergeCell ref="W139:X139"/>
    <mergeCell ref="Z139:AB139"/>
    <mergeCell ref="AC139:AD139"/>
    <mergeCell ref="AG139:AI139"/>
    <mergeCell ref="AJ139:AK139"/>
    <mergeCell ref="B139:D139"/>
    <mergeCell ref="E139:F139"/>
    <mergeCell ref="H139:J139"/>
    <mergeCell ref="K139:L139"/>
    <mergeCell ref="N139:P139"/>
    <mergeCell ref="Q139:R139"/>
    <mergeCell ref="A137:F138"/>
    <mergeCell ref="G137:L138"/>
    <mergeCell ref="M137:R138"/>
    <mergeCell ref="S137:X138"/>
    <mergeCell ref="Y137:AD138"/>
    <mergeCell ref="AF137:AK138"/>
    <mergeCell ref="S133:T133"/>
    <mergeCell ref="V133:X133"/>
    <mergeCell ref="Y133:Z133"/>
    <mergeCell ref="AB133:AD133"/>
    <mergeCell ref="AF133:AG133"/>
    <mergeCell ref="AI133:AK133"/>
    <mergeCell ref="A133:B133"/>
    <mergeCell ref="D133:F133"/>
    <mergeCell ref="G133:H133"/>
    <mergeCell ref="J133:L133"/>
    <mergeCell ref="M133:N133"/>
    <mergeCell ref="P133:R133"/>
    <mergeCell ref="S132:T132"/>
    <mergeCell ref="V132:X132"/>
    <mergeCell ref="Y132:Z132"/>
    <mergeCell ref="AB132:AD132"/>
    <mergeCell ref="AF132:AG132"/>
    <mergeCell ref="AI132:AK132"/>
    <mergeCell ref="A132:B132"/>
    <mergeCell ref="D132:F132"/>
    <mergeCell ref="G132:H132"/>
    <mergeCell ref="J132:L132"/>
    <mergeCell ref="M132:N132"/>
    <mergeCell ref="P132:R132"/>
    <mergeCell ref="S131:T131"/>
    <mergeCell ref="V131:X131"/>
    <mergeCell ref="Y131:Z131"/>
    <mergeCell ref="AB131:AD131"/>
    <mergeCell ref="AF131:AG131"/>
    <mergeCell ref="AI131:AK131"/>
    <mergeCell ref="A131:B131"/>
    <mergeCell ref="D131:F131"/>
    <mergeCell ref="G131:H131"/>
    <mergeCell ref="J131:L131"/>
    <mergeCell ref="M131:N131"/>
    <mergeCell ref="P131:R131"/>
    <mergeCell ref="S130:T130"/>
    <mergeCell ref="V130:X130"/>
    <mergeCell ref="Y130:Z130"/>
    <mergeCell ref="AB130:AD130"/>
    <mergeCell ref="AF130:AG130"/>
    <mergeCell ref="AI130:AK130"/>
    <mergeCell ref="A130:B130"/>
    <mergeCell ref="D130:F130"/>
    <mergeCell ref="G130:H130"/>
    <mergeCell ref="J130:L130"/>
    <mergeCell ref="M130:N130"/>
    <mergeCell ref="P130:R130"/>
    <mergeCell ref="S129:T129"/>
    <mergeCell ref="V129:X129"/>
    <mergeCell ref="Y129:Z129"/>
    <mergeCell ref="AB129:AD129"/>
    <mergeCell ref="AF129:AG129"/>
    <mergeCell ref="AI129:AK129"/>
    <mergeCell ref="A129:B129"/>
    <mergeCell ref="D129:F129"/>
    <mergeCell ref="G129:H129"/>
    <mergeCell ref="J129:L129"/>
    <mergeCell ref="M129:N129"/>
    <mergeCell ref="P129:R129"/>
    <mergeCell ref="S128:T128"/>
    <mergeCell ref="V128:X128"/>
    <mergeCell ref="Y128:Z128"/>
    <mergeCell ref="AB128:AD128"/>
    <mergeCell ref="AF128:AG128"/>
    <mergeCell ref="AI128:AK128"/>
    <mergeCell ref="A128:B128"/>
    <mergeCell ref="D128:F128"/>
    <mergeCell ref="G128:H128"/>
    <mergeCell ref="J128:L128"/>
    <mergeCell ref="M128:N128"/>
    <mergeCell ref="P128:R128"/>
    <mergeCell ref="A126:F127"/>
    <mergeCell ref="G126:L127"/>
    <mergeCell ref="M126:R127"/>
    <mergeCell ref="S126:X127"/>
    <mergeCell ref="Y126:AD127"/>
    <mergeCell ref="AF126:AK127"/>
    <mergeCell ref="S122:T122"/>
    <mergeCell ref="V122:X122"/>
    <mergeCell ref="Y122:Z122"/>
    <mergeCell ref="AB122:AD122"/>
    <mergeCell ref="AF122:AG122"/>
    <mergeCell ref="AI122:AK122"/>
    <mergeCell ref="A122:B122"/>
    <mergeCell ref="D122:F122"/>
    <mergeCell ref="G122:H122"/>
    <mergeCell ref="J122:L122"/>
    <mergeCell ref="M122:N122"/>
    <mergeCell ref="P122:R122"/>
    <mergeCell ref="S121:T121"/>
    <mergeCell ref="V121:X121"/>
    <mergeCell ref="Y121:Z121"/>
    <mergeCell ref="AB121:AD121"/>
    <mergeCell ref="AF121:AG121"/>
    <mergeCell ref="AI121:AK121"/>
    <mergeCell ref="A121:B121"/>
    <mergeCell ref="D121:F121"/>
    <mergeCell ref="G121:H121"/>
    <mergeCell ref="J121:L121"/>
    <mergeCell ref="M121:N121"/>
    <mergeCell ref="P121:R121"/>
    <mergeCell ref="S120:T120"/>
    <mergeCell ref="V120:X120"/>
    <mergeCell ref="Y120:Z120"/>
    <mergeCell ref="AB120:AD120"/>
    <mergeCell ref="AF120:AG120"/>
    <mergeCell ref="AI120:AK120"/>
    <mergeCell ref="A120:B120"/>
    <mergeCell ref="D120:F120"/>
    <mergeCell ref="G120:H120"/>
    <mergeCell ref="J120:L120"/>
    <mergeCell ref="M120:N120"/>
    <mergeCell ref="P120:R120"/>
    <mergeCell ref="S119:T119"/>
    <mergeCell ref="V119:X119"/>
    <mergeCell ref="Y119:Z119"/>
    <mergeCell ref="AB119:AD119"/>
    <mergeCell ref="AF119:AG119"/>
    <mergeCell ref="AI119:AK119"/>
    <mergeCell ref="A119:B119"/>
    <mergeCell ref="D119:F119"/>
    <mergeCell ref="G119:H119"/>
    <mergeCell ref="J119:L119"/>
    <mergeCell ref="M119:N119"/>
    <mergeCell ref="P119:R119"/>
    <mergeCell ref="S118:T118"/>
    <mergeCell ref="V118:X118"/>
    <mergeCell ref="Y118:Z118"/>
    <mergeCell ref="AB118:AD118"/>
    <mergeCell ref="AF118:AG118"/>
    <mergeCell ref="AI118:AK118"/>
    <mergeCell ref="A118:B118"/>
    <mergeCell ref="D118:F118"/>
    <mergeCell ref="G118:H118"/>
    <mergeCell ref="J118:L118"/>
    <mergeCell ref="M118:N118"/>
    <mergeCell ref="P118:R118"/>
    <mergeCell ref="S117:T117"/>
    <mergeCell ref="V117:X117"/>
    <mergeCell ref="Y117:Z117"/>
    <mergeCell ref="AB117:AD117"/>
    <mergeCell ref="AF117:AG117"/>
    <mergeCell ref="AI117:AK117"/>
    <mergeCell ref="A117:B117"/>
    <mergeCell ref="D117:F117"/>
    <mergeCell ref="G117:H117"/>
    <mergeCell ref="J117:L117"/>
    <mergeCell ref="M117:N117"/>
    <mergeCell ref="P117:R117"/>
    <mergeCell ref="S116:T116"/>
    <mergeCell ref="V116:X116"/>
    <mergeCell ref="Y116:Z116"/>
    <mergeCell ref="AB116:AD116"/>
    <mergeCell ref="AF116:AG116"/>
    <mergeCell ref="AI116:AK116"/>
    <mergeCell ref="A116:B116"/>
    <mergeCell ref="D116:F116"/>
    <mergeCell ref="G116:H116"/>
    <mergeCell ref="J116:L116"/>
    <mergeCell ref="M116:N116"/>
    <mergeCell ref="P116:R116"/>
    <mergeCell ref="S115:T115"/>
    <mergeCell ref="V115:X115"/>
    <mergeCell ref="Y115:Z115"/>
    <mergeCell ref="AB115:AD115"/>
    <mergeCell ref="AF115:AG115"/>
    <mergeCell ref="AI115:AK115"/>
    <mergeCell ref="A115:B115"/>
    <mergeCell ref="D115:F115"/>
    <mergeCell ref="G115:H115"/>
    <mergeCell ref="J115:L115"/>
    <mergeCell ref="M115:N115"/>
    <mergeCell ref="P115:R115"/>
    <mergeCell ref="S114:T114"/>
    <mergeCell ref="V114:X114"/>
    <mergeCell ref="Y114:Z114"/>
    <mergeCell ref="AB114:AD114"/>
    <mergeCell ref="AF114:AG114"/>
    <mergeCell ref="AI114:AK114"/>
    <mergeCell ref="A114:B114"/>
    <mergeCell ref="D114:F114"/>
    <mergeCell ref="G114:H114"/>
    <mergeCell ref="J114:L114"/>
    <mergeCell ref="M114:N114"/>
    <mergeCell ref="P114:R114"/>
    <mergeCell ref="S113:T113"/>
    <mergeCell ref="V113:X113"/>
    <mergeCell ref="Y113:Z113"/>
    <mergeCell ref="AB113:AD113"/>
    <mergeCell ref="AF113:AG113"/>
    <mergeCell ref="AI113:AK113"/>
    <mergeCell ref="A113:B113"/>
    <mergeCell ref="D113:F113"/>
    <mergeCell ref="G113:H113"/>
    <mergeCell ref="J113:L113"/>
    <mergeCell ref="M113:N113"/>
    <mergeCell ref="P113:R113"/>
    <mergeCell ref="S112:T112"/>
    <mergeCell ref="V112:X112"/>
    <mergeCell ref="Y112:Z112"/>
    <mergeCell ref="AB112:AD112"/>
    <mergeCell ref="AF112:AG112"/>
    <mergeCell ref="AI112:AK112"/>
    <mergeCell ref="A112:B112"/>
    <mergeCell ref="D112:F112"/>
    <mergeCell ref="G112:H112"/>
    <mergeCell ref="J112:L112"/>
    <mergeCell ref="M112:N112"/>
    <mergeCell ref="P112:R112"/>
    <mergeCell ref="S111:T111"/>
    <mergeCell ref="V111:X111"/>
    <mergeCell ref="Y111:Z111"/>
    <mergeCell ref="AB111:AD111"/>
    <mergeCell ref="AF111:AG111"/>
    <mergeCell ref="AI111:AK111"/>
    <mergeCell ref="A111:B111"/>
    <mergeCell ref="D111:F111"/>
    <mergeCell ref="G111:H111"/>
    <mergeCell ref="J111:L111"/>
    <mergeCell ref="M111:N111"/>
    <mergeCell ref="P111:R111"/>
    <mergeCell ref="S110:T110"/>
    <mergeCell ref="V110:X110"/>
    <mergeCell ref="Y110:Z110"/>
    <mergeCell ref="AB110:AD110"/>
    <mergeCell ref="AF110:AG110"/>
    <mergeCell ref="AI110:AK110"/>
    <mergeCell ref="A110:B110"/>
    <mergeCell ref="D110:F110"/>
    <mergeCell ref="G110:H110"/>
    <mergeCell ref="J110:L110"/>
    <mergeCell ref="M110:N110"/>
    <mergeCell ref="P110:R110"/>
    <mergeCell ref="S109:T109"/>
    <mergeCell ref="V109:X109"/>
    <mergeCell ref="Y109:Z109"/>
    <mergeCell ref="AB109:AD109"/>
    <mergeCell ref="AF109:AG109"/>
    <mergeCell ref="AI109:AK109"/>
    <mergeCell ref="A109:B109"/>
    <mergeCell ref="D109:F109"/>
    <mergeCell ref="G109:H109"/>
    <mergeCell ref="J109:L109"/>
    <mergeCell ref="M109:N109"/>
    <mergeCell ref="P109:R109"/>
    <mergeCell ref="S108:T108"/>
    <mergeCell ref="V108:X108"/>
    <mergeCell ref="Y108:Z108"/>
    <mergeCell ref="AB108:AD108"/>
    <mergeCell ref="AF108:AG108"/>
    <mergeCell ref="AI108:AK108"/>
    <mergeCell ref="A108:B108"/>
    <mergeCell ref="D108:F108"/>
    <mergeCell ref="G108:H108"/>
    <mergeCell ref="J108:L108"/>
    <mergeCell ref="M108:N108"/>
    <mergeCell ref="P108:R108"/>
    <mergeCell ref="S107:T107"/>
    <mergeCell ref="V107:X107"/>
    <mergeCell ref="Y107:Z107"/>
    <mergeCell ref="AB107:AD107"/>
    <mergeCell ref="AF107:AG107"/>
    <mergeCell ref="AI107:AK107"/>
    <mergeCell ref="A107:B107"/>
    <mergeCell ref="D107:F107"/>
    <mergeCell ref="G107:H107"/>
    <mergeCell ref="J107:L107"/>
    <mergeCell ref="M107:N107"/>
    <mergeCell ref="P107:R107"/>
    <mergeCell ref="S106:T106"/>
    <mergeCell ref="V106:X106"/>
    <mergeCell ref="Y106:Z106"/>
    <mergeCell ref="AB106:AD106"/>
    <mergeCell ref="AF106:AG106"/>
    <mergeCell ref="AI106:AK106"/>
    <mergeCell ref="A106:B106"/>
    <mergeCell ref="D106:F106"/>
    <mergeCell ref="G106:H106"/>
    <mergeCell ref="J106:L106"/>
    <mergeCell ref="M106:N106"/>
    <mergeCell ref="P106:R106"/>
    <mergeCell ref="S105:T105"/>
    <mergeCell ref="V105:X105"/>
    <mergeCell ref="Y105:Z105"/>
    <mergeCell ref="AB105:AD105"/>
    <mergeCell ref="AF105:AG105"/>
    <mergeCell ref="AI105:AK105"/>
    <mergeCell ref="A105:B105"/>
    <mergeCell ref="D105:F105"/>
    <mergeCell ref="G105:H105"/>
    <mergeCell ref="J105:L105"/>
    <mergeCell ref="M105:N105"/>
    <mergeCell ref="P105:R105"/>
    <mergeCell ref="S104:T104"/>
    <mergeCell ref="V104:X104"/>
    <mergeCell ref="Y104:Z104"/>
    <mergeCell ref="AB104:AD104"/>
    <mergeCell ref="AF104:AG104"/>
    <mergeCell ref="AI104:AK104"/>
    <mergeCell ref="A104:B104"/>
    <mergeCell ref="D104:F104"/>
    <mergeCell ref="G104:H104"/>
    <mergeCell ref="J104:L104"/>
    <mergeCell ref="M104:N104"/>
    <mergeCell ref="P104:R104"/>
    <mergeCell ref="S103:T103"/>
    <mergeCell ref="V103:X103"/>
    <mergeCell ref="Y103:Z103"/>
    <mergeCell ref="AB103:AD103"/>
    <mergeCell ref="AF103:AG103"/>
    <mergeCell ref="AI103:AK103"/>
    <mergeCell ref="A103:B103"/>
    <mergeCell ref="D103:F103"/>
    <mergeCell ref="G103:H103"/>
    <mergeCell ref="J103:L103"/>
    <mergeCell ref="M103:N103"/>
    <mergeCell ref="P103:R103"/>
    <mergeCell ref="S102:T102"/>
    <mergeCell ref="V102:X102"/>
    <mergeCell ref="Y102:Z102"/>
    <mergeCell ref="AB102:AD102"/>
    <mergeCell ref="AF102:AG102"/>
    <mergeCell ref="AI102:AK102"/>
    <mergeCell ref="A102:B102"/>
    <mergeCell ref="D102:F102"/>
    <mergeCell ref="G102:H102"/>
    <mergeCell ref="J102:L102"/>
    <mergeCell ref="M102:N102"/>
    <mergeCell ref="P102:R102"/>
    <mergeCell ref="S101:T101"/>
    <mergeCell ref="V101:X101"/>
    <mergeCell ref="Y101:Z101"/>
    <mergeCell ref="AB101:AD101"/>
    <mergeCell ref="AF101:AG101"/>
    <mergeCell ref="AI101:AK101"/>
    <mergeCell ref="A101:B101"/>
    <mergeCell ref="D101:F101"/>
    <mergeCell ref="G101:H101"/>
    <mergeCell ref="J101:L101"/>
    <mergeCell ref="M101:N101"/>
    <mergeCell ref="P101:R101"/>
    <mergeCell ref="S100:T100"/>
    <mergeCell ref="V100:X100"/>
    <mergeCell ref="Y100:Z100"/>
    <mergeCell ref="AB100:AD100"/>
    <mergeCell ref="AF100:AG100"/>
    <mergeCell ref="AI100:AK100"/>
    <mergeCell ref="A100:B100"/>
    <mergeCell ref="D100:F100"/>
    <mergeCell ref="G100:H100"/>
    <mergeCell ref="J100:L100"/>
    <mergeCell ref="M100:N100"/>
    <mergeCell ref="P100:R100"/>
    <mergeCell ref="S99:T99"/>
    <mergeCell ref="V99:X99"/>
    <mergeCell ref="Y99:Z99"/>
    <mergeCell ref="AB99:AD99"/>
    <mergeCell ref="AF99:AG99"/>
    <mergeCell ref="AI99:AK99"/>
    <mergeCell ref="A99:B99"/>
    <mergeCell ref="D99:F99"/>
    <mergeCell ref="G99:H99"/>
    <mergeCell ref="J99:L99"/>
    <mergeCell ref="M99:N99"/>
    <mergeCell ref="P99:R99"/>
    <mergeCell ref="S98:T98"/>
    <mergeCell ref="V98:X98"/>
    <mergeCell ref="Y98:Z98"/>
    <mergeCell ref="AB98:AD98"/>
    <mergeCell ref="AF98:AG98"/>
    <mergeCell ref="AI98:AK98"/>
    <mergeCell ref="A98:B98"/>
    <mergeCell ref="D98:F98"/>
    <mergeCell ref="G98:H98"/>
    <mergeCell ref="J98:L98"/>
    <mergeCell ref="M98:N98"/>
    <mergeCell ref="P98:R98"/>
    <mergeCell ref="A96:F97"/>
    <mergeCell ref="G96:L97"/>
    <mergeCell ref="M96:R97"/>
    <mergeCell ref="S96:X97"/>
    <mergeCell ref="Y96:AD97"/>
    <mergeCell ref="AF96:AK97"/>
    <mergeCell ref="D88:F88"/>
    <mergeCell ref="J88:L88"/>
    <mergeCell ref="P88:R88"/>
    <mergeCell ref="V88:X88"/>
    <mergeCell ref="AB88:AD88"/>
    <mergeCell ref="AI88:AK88"/>
    <mergeCell ref="D87:F87"/>
    <mergeCell ref="J87:L87"/>
    <mergeCell ref="P87:R87"/>
    <mergeCell ref="V87:X87"/>
    <mergeCell ref="AB87:AD87"/>
    <mergeCell ref="AI87:AK87"/>
    <mergeCell ref="D86:F86"/>
    <mergeCell ref="J86:L86"/>
    <mergeCell ref="P86:R86"/>
    <mergeCell ref="V86:X86"/>
    <mergeCell ref="AB86:AD86"/>
    <mergeCell ref="AI86:AK86"/>
    <mergeCell ref="D85:F85"/>
    <mergeCell ref="J85:L85"/>
    <mergeCell ref="P85:R85"/>
    <mergeCell ref="V85:X85"/>
    <mergeCell ref="AB85:AD85"/>
    <mergeCell ref="AI85:AK85"/>
    <mergeCell ref="D84:F84"/>
    <mergeCell ref="J84:L84"/>
    <mergeCell ref="P84:R84"/>
    <mergeCell ref="V84:X84"/>
    <mergeCell ref="AB84:AD84"/>
    <mergeCell ref="AI84:AK84"/>
    <mergeCell ref="D83:F83"/>
    <mergeCell ref="J83:L83"/>
    <mergeCell ref="P83:R83"/>
    <mergeCell ref="V83:X83"/>
    <mergeCell ref="AB83:AD83"/>
    <mergeCell ref="AI83:AK83"/>
    <mergeCell ref="D82:F82"/>
    <mergeCell ref="J82:L82"/>
    <mergeCell ref="P82:R82"/>
    <mergeCell ref="V82:X82"/>
    <mergeCell ref="AB82:AD82"/>
    <mergeCell ref="AI82:AK82"/>
    <mergeCell ref="D81:F81"/>
    <mergeCell ref="J81:L81"/>
    <mergeCell ref="P81:R81"/>
    <mergeCell ref="V81:X81"/>
    <mergeCell ref="AB81:AD81"/>
    <mergeCell ref="AI81:AK81"/>
    <mergeCell ref="D80:F80"/>
    <mergeCell ref="J80:L80"/>
    <mergeCell ref="P80:R80"/>
    <mergeCell ref="V80:X80"/>
    <mergeCell ref="AB80:AD80"/>
    <mergeCell ref="AI80:AK80"/>
    <mergeCell ref="D79:F79"/>
    <mergeCell ref="J79:L79"/>
    <mergeCell ref="P79:R79"/>
    <mergeCell ref="V79:X79"/>
    <mergeCell ref="AB79:AD79"/>
    <mergeCell ref="AI79:AK79"/>
    <mergeCell ref="Y68:Y78"/>
    <mergeCell ref="Z68:Z78"/>
    <mergeCell ref="AB68:AD78"/>
    <mergeCell ref="AF68:AF78"/>
    <mergeCell ref="AG68:AG78"/>
    <mergeCell ref="AI68:AK78"/>
    <mergeCell ref="M68:M78"/>
    <mergeCell ref="N68:N78"/>
    <mergeCell ref="P68:R78"/>
    <mergeCell ref="S68:S78"/>
    <mergeCell ref="T68:T78"/>
    <mergeCell ref="V68:X78"/>
    <mergeCell ref="A68:A78"/>
    <mergeCell ref="B68:B78"/>
    <mergeCell ref="D68:F78"/>
    <mergeCell ref="G68:G78"/>
    <mergeCell ref="H68:H78"/>
    <mergeCell ref="J68:L78"/>
    <mergeCell ref="A66:F67"/>
    <mergeCell ref="G66:L67"/>
    <mergeCell ref="M66:R67"/>
    <mergeCell ref="S66:X67"/>
    <mergeCell ref="Y66:AD67"/>
    <mergeCell ref="AF66:AK67"/>
    <mergeCell ref="B54:D54"/>
    <mergeCell ref="H54:J54"/>
    <mergeCell ref="N54:P54"/>
    <mergeCell ref="T54:V54"/>
    <mergeCell ref="Z54:AB54"/>
    <mergeCell ref="AG54:AI54"/>
    <mergeCell ref="A52:F53"/>
    <mergeCell ref="G52:L53"/>
    <mergeCell ref="M52:R53"/>
    <mergeCell ref="S52:X53"/>
    <mergeCell ref="Y52:AD53"/>
    <mergeCell ref="AF52:AK53"/>
    <mergeCell ref="Z43:AB44"/>
    <mergeCell ref="AC43:AC44"/>
    <mergeCell ref="AD43:AD44"/>
    <mergeCell ref="AG43:AI44"/>
    <mergeCell ref="AJ43:AJ44"/>
    <mergeCell ref="AK43:AK44"/>
    <mergeCell ref="N43:P44"/>
    <mergeCell ref="Q43:Q44"/>
    <mergeCell ref="R43:R44"/>
    <mergeCell ref="T43:V44"/>
    <mergeCell ref="W43:W44"/>
    <mergeCell ref="X43:X44"/>
    <mergeCell ref="B43:D44"/>
    <mergeCell ref="E43:E44"/>
    <mergeCell ref="F43:F44"/>
    <mergeCell ref="H43:J44"/>
    <mergeCell ref="K43:K44"/>
    <mergeCell ref="L43:L44"/>
    <mergeCell ref="AD41:AD42"/>
    <mergeCell ref="AG41:AI42"/>
    <mergeCell ref="AJ41:AJ42"/>
    <mergeCell ref="AK41:AK42"/>
    <mergeCell ref="N41:P42"/>
    <mergeCell ref="Q41:Q42"/>
    <mergeCell ref="R41:R42"/>
    <mergeCell ref="T41:V42"/>
    <mergeCell ref="W41:W42"/>
    <mergeCell ref="X41:X42"/>
    <mergeCell ref="B41:D42"/>
    <mergeCell ref="E41:E42"/>
    <mergeCell ref="F41:F42"/>
    <mergeCell ref="H41:J42"/>
    <mergeCell ref="K41:K42"/>
    <mergeCell ref="L41:L42"/>
    <mergeCell ref="W30:W40"/>
    <mergeCell ref="X30:X40"/>
    <mergeCell ref="AC30:AC40"/>
    <mergeCell ref="Z41:AB42"/>
    <mergeCell ref="AC41:AC42"/>
    <mergeCell ref="AD30:AD40"/>
    <mergeCell ref="AJ30:AJ40"/>
    <mergeCell ref="AK30:AK40"/>
    <mergeCell ref="E30:E40"/>
    <mergeCell ref="F30:F40"/>
    <mergeCell ref="K30:K40"/>
    <mergeCell ref="L30:L40"/>
    <mergeCell ref="Q30:Q40"/>
    <mergeCell ref="R30:R40"/>
    <mergeCell ref="AG28:AI29"/>
    <mergeCell ref="AJ28:AJ29"/>
    <mergeCell ref="AK28:AK29"/>
    <mergeCell ref="N28:P29"/>
    <mergeCell ref="Q28:Q29"/>
    <mergeCell ref="R28:R29"/>
    <mergeCell ref="T28:V29"/>
    <mergeCell ref="W28:W29"/>
    <mergeCell ref="X28:X29"/>
    <mergeCell ref="B28:D29"/>
    <mergeCell ref="E28:E29"/>
    <mergeCell ref="F28:F29"/>
    <mergeCell ref="H28:J29"/>
    <mergeCell ref="K28:K29"/>
    <mergeCell ref="L28:L29"/>
    <mergeCell ref="Z26:AB27"/>
    <mergeCell ref="AC26:AC27"/>
    <mergeCell ref="AD26:AD27"/>
    <mergeCell ref="B26:D27"/>
    <mergeCell ref="E26:E27"/>
    <mergeCell ref="F26:F27"/>
    <mergeCell ref="H26:J27"/>
    <mergeCell ref="K26:K27"/>
    <mergeCell ref="L26:L27"/>
    <mergeCell ref="Z28:AB29"/>
    <mergeCell ref="AC28:AC29"/>
    <mergeCell ref="AD28:AD29"/>
    <mergeCell ref="AG26:AI27"/>
    <mergeCell ref="AJ26:AJ27"/>
    <mergeCell ref="AK26:AK27"/>
    <mergeCell ref="N26:P27"/>
    <mergeCell ref="Q26:Q27"/>
    <mergeCell ref="R26:R27"/>
    <mergeCell ref="T26:V27"/>
    <mergeCell ref="W26:W27"/>
    <mergeCell ref="X26:X27"/>
    <mergeCell ref="B25:D25"/>
    <mergeCell ref="H25:J25"/>
    <mergeCell ref="N25:P25"/>
    <mergeCell ref="T25:V25"/>
    <mergeCell ref="Z25:AB25"/>
    <mergeCell ref="AG25:AI25"/>
    <mergeCell ref="A24:F24"/>
    <mergeCell ref="G24:L24"/>
    <mergeCell ref="M24:R24"/>
    <mergeCell ref="S24:X24"/>
    <mergeCell ref="Y24:AD24"/>
    <mergeCell ref="AF24:AK24"/>
    <mergeCell ref="AC13:AC14"/>
    <mergeCell ref="AI13:AI14"/>
    <mergeCell ref="AJ13:AJ14"/>
    <mergeCell ref="D13:D14"/>
    <mergeCell ref="E13:E14"/>
    <mergeCell ref="J13:J14"/>
    <mergeCell ref="K13:K14"/>
    <mergeCell ref="P13:P14"/>
    <mergeCell ref="Q13:Q14"/>
    <mergeCell ref="S2:S12"/>
    <mergeCell ref="T2:T12"/>
    <mergeCell ref="V2:W12"/>
    <mergeCell ref="X2:X12"/>
    <mergeCell ref="Y2:Y12"/>
    <mergeCell ref="Z2:Z12"/>
    <mergeCell ref="V13:V14"/>
    <mergeCell ref="W13:W14"/>
    <mergeCell ref="AB13:AB14"/>
    <mergeCell ref="A1:F1"/>
    <mergeCell ref="G1:L1"/>
    <mergeCell ref="M1:R1"/>
    <mergeCell ref="S1:X1"/>
    <mergeCell ref="Y1:AD1"/>
    <mergeCell ref="AF1:AK1"/>
    <mergeCell ref="J2:K12"/>
    <mergeCell ref="L2:L12"/>
    <mergeCell ref="M2:M12"/>
    <mergeCell ref="N2:N12"/>
    <mergeCell ref="P2:Q12"/>
    <mergeCell ref="R2:R12"/>
    <mergeCell ref="A2:A12"/>
    <mergeCell ref="B2:B12"/>
    <mergeCell ref="D2:E12"/>
    <mergeCell ref="F2:F12"/>
    <mergeCell ref="G2:G12"/>
    <mergeCell ref="H2:H12"/>
    <mergeCell ref="AB2:AC12"/>
    <mergeCell ref="AD2:AD12"/>
    <mergeCell ref="AF2:AF12"/>
    <mergeCell ref="AG2:AG12"/>
    <mergeCell ref="AI2:AJ12"/>
    <mergeCell ref="AK2:AK12"/>
  </mergeCells>
  <pageMargins left="0.3" right="7.874015748031496E-2" top="0.47244094488188981" bottom="0.47244094488188981" header="0.31496062992125984" footer="0.27559055118110237"/>
  <pageSetup paperSize="9" scale="90" orientation="portrait" r:id="rId1"/>
  <headerFooter alignWithMargins="0"/>
</worksheet>
</file>

<file path=xl/worksheets/sheet10.xml><?xml version="1.0" encoding="utf-8"?>
<worksheet xmlns="http://schemas.openxmlformats.org/spreadsheetml/2006/main" xmlns:r="http://schemas.openxmlformats.org/officeDocument/2006/relationships">
  <sheetPr>
    <tabColor rgb="FF00B050"/>
  </sheetPr>
  <dimension ref="D14:JH173"/>
  <sheetViews>
    <sheetView view="pageBreakPreview" topLeftCell="A76" zoomScale="51" zoomScaleSheetLayoutView="51" workbookViewId="0">
      <selection activeCell="FH132" sqref="FH132"/>
    </sheetView>
  </sheetViews>
  <sheetFormatPr defaultColWidth="0.7109375" defaultRowHeight="4.1500000000000004" customHeight="1"/>
  <cols>
    <col min="1" max="16384" width="0.7109375" style="494"/>
  </cols>
  <sheetData>
    <row r="14" spans="17:268" ht="4.1500000000000004" customHeight="1">
      <c r="ED14" s="508"/>
      <c r="EE14" s="509"/>
      <c r="EF14" s="509"/>
      <c r="EG14" s="509"/>
      <c r="EH14" s="509"/>
      <c r="EI14" s="509"/>
      <c r="EJ14" s="509"/>
      <c r="EK14" s="509"/>
      <c r="EL14" s="509"/>
      <c r="EM14" s="509"/>
      <c r="EN14" s="509"/>
      <c r="EO14" s="509"/>
      <c r="EP14" s="509"/>
      <c r="EQ14" s="509"/>
      <c r="ER14" s="509"/>
      <c r="ES14" s="509"/>
      <c r="ET14" s="509"/>
      <c r="EU14" s="509"/>
      <c r="EV14" s="509"/>
      <c r="EW14" s="509"/>
      <c r="EX14" s="509"/>
      <c r="EY14" s="509"/>
      <c r="EZ14" s="509"/>
      <c r="FA14" s="509"/>
      <c r="FB14" s="509"/>
      <c r="FC14" s="509"/>
      <c r="FD14" s="509"/>
      <c r="FE14" s="509"/>
      <c r="FF14" s="509"/>
      <c r="FG14" s="509"/>
      <c r="FH14" s="509"/>
      <c r="FI14" s="509"/>
      <c r="FJ14" s="509"/>
      <c r="FK14" s="509"/>
      <c r="FL14" s="509"/>
      <c r="FM14" s="509"/>
      <c r="FN14" s="509"/>
      <c r="FO14" s="510"/>
      <c r="FP14" s="509"/>
      <c r="FQ14" s="509"/>
      <c r="FR14" s="509"/>
      <c r="FS14" s="509"/>
      <c r="FT14" s="509"/>
      <c r="FU14" s="509"/>
      <c r="FV14" s="509"/>
      <c r="FW14" s="509"/>
      <c r="FX14" s="509"/>
      <c r="FY14" s="509"/>
      <c r="FZ14" s="509"/>
      <c r="GU14" s="508"/>
      <c r="GV14" s="509"/>
      <c r="GW14" s="509"/>
      <c r="GX14" s="509"/>
      <c r="GY14" s="509"/>
      <c r="GZ14" s="509"/>
      <c r="HA14" s="509"/>
      <c r="HB14" s="509"/>
      <c r="HC14" s="509"/>
      <c r="HD14" s="509"/>
      <c r="HE14" s="509"/>
      <c r="HF14" s="509"/>
      <c r="HG14" s="509"/>
      <c r="HH14" s="509"/>
      <c r="HI14" s="509"/>
      <c r="HJ14" s="509"/>
      <c r="HK14" s="509"/>
      <c r="HL14" s="509"/>
      <c r="HM14" s="509"/>
      <c r="HN14" s="509"/>
      <c r="HO14" s="509"/>
      <c r="HP14" s="509"/>
      <c r="HQ14" s="509"/>
      <c r="HR14" s="509"/>
      <c r="HS14" s="509"/>
      <c r="HT14" s="509"/>
      <c r="HU14" s="509"/>
      <c r="HV14" s="510"/>
      <c r="IC14" s="515"/>
      <c r="ID14" s="514"/>
      <c r="IE14" s="514"/>
      <c r="IF14" s="514"/>
      <c r="IG14" s="514"/>
      <c r="IH14" s="514"/>
      <c r="II14" s="514"/>
      <c r="IJ14" s="514"/>
      <c r="IK14" s="514"/>
      <c r="IL14" s="514"/>
      <c r="IM14" s="514"/>
      <c r="IN14" s="514"/>
      <c r="IO14" s="514"/>
      <c r="IP14" s="514"/>
      <c r="IQ14" s="514"/>
      <c r="IR14" s="514"/>
      <c r="IS14" s="514"/>
      <c r="IT14" s="514"/>
      <c r="IU14" s="514"/>
      <c r="IV14" s="514"/>
      <c r="IW14" s="514"/>
      <c r="IX14" s="518"/>
      <c r="JB14" s="2597">
        <v>0.125</v>
      </c>
      <c r="JC14" s="2597"/>
      <c r="JD14" s="2597"/>
      <c r="JE14" s="2597"/>
      <c r="JF14" s="2597"/>
      <c r="JG14" s="2597"/>
      <c r="JH14" s="2597"/>
    </row>
    <row r="15" spans="17:268" ht="4.1500000000000004" customHeight="1">
      <c r="Q15" s="511"/>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2"/>
      <c r="CM15" s="512"/>
      <c r="CN15" s="512"/>
      <c r="CO15" s="512"/>
      <c r="CP15" s="512"/>
      <c r="CQ15" s="513"/>
      <c r="DL15" s="514"/>
      <c r="DM15" s="514"/>
      <c r="DN15" s="514"/>
      <c r="DO15" s="515"/>
      <c r="DP15" s="514"/>
      <c r="ED15" s="2590">
        <v>0.15</v>
      </c>
      <c r="EE15" s="2591"/>
      <c r="EF15" s="516"/>
      <c r="EJ15" s="517"/>
      <c r="FM15" s="516"/>
      <c r="GW15" s="522"/>
      <c r="GX15" s="523"/>
      <c r="GY15" s="523"/>
      <c r="GZ15" s="524"/>
      <c r="HD15" s="2596">
        <v>0.25</v>
      </c>
      <c r="HE15" s="2597"/>
      <c r="HF15" s="2597"/>
      <c r="HG15" s="2597"/>
      <c r="HH15" s="2597"/>
      <c r="HI15" s="2597"/>
      <c r="HJ15" s="2597"/>
      <c r="HK15" s="2597"/>
      <c r="HL15" s="2597"/>
      <c r="HM15" s="2597"/>
      <c r="HN15" s="2597"/>
      <c r="HO15" s="2597"/>
      <c r="IC15" s="530"/>
      <c r="ID15" s="532"/>
      <c r="IE15" s="532"/>
      <c r="IF15" s="532"/>
      <c r="IG15" s="532"/>
      <c r="IH15" s="532"/>
      <c r="II15" s="532"/>
      <c r="IK15" s="515"/>
      <c r="IL15" s="514"/>
      <c r="IM15" s="514"/>
      <c r="IN15" s="514"/>
      <c r="IO15" s="514"/>
      <c r="IP15" s="518"/>
      <c r="IR15" s="532"/>
      <c r="IS15" s="532"/>
      <c r="IT15" s="532"/>
      <c r="IU15" s="532"/>
      <c r="IV15" s="532"/>
      <c r="IW15" s="532"/>
      <c r="IX15" s="531"/>
      <c r="JB15" s="2598"/>
      <c r="JC15" s="2598"/>
      <c r="JD15" s="2598"/>
      <c r="JE15" s="2598"/>
      <c r="JF15" s="2598"/>
      <c r="JG15" s="2598"/>
      <c r="JH15" s="2598"/>
    </row>
    <row r="16" spans="17:268" ht="4.1500000000000004" customHeight="1">
      <c r="R16" s="516"/>
      <c r="CP16" s="517"/>
      <c r="DO16" s="516"/>
      <c r="ED16" s="2592"/>
      <c r="EE16" s="2593"/>
      <c r="EF16" s="516"/>
      <c r="EJ16" s="517"/>
      <c r="EZ16" s="2594">
        <v>1.1000000000000001</v>
      </c>
      <c r="FA16" s="2595"/>
      <c r="FB16" s="2595"/>
      <c r="FC16" s="2595"/>
      <c r="FM16" s="516"/>
      <c r="GW16" s="522"/>
      <c r="GX16" s="523"/>
      <c r="GY16" s="523"/>
      <c r="GZ16" s="524"/>
      <c r="HD16" s="2596"/>
      <c r="HE16" s="2596"/>
      <c r="HF16" s="2596"/>
      <c r="HG16" s="2596"/>
      <c r="HH16" s="2596"/>
      <c r="HI16" s="2596"/>
      <c r="HJ16" s="2596"/>
      <c r="HK16" s="2596"/>
      <c r="HL16" s="2596"/>
      <c r="HM16" s="2596"/>
      <c r="HN16" s="2596"/>
      <c r="HO16" s="2596"/>
      <c r="IJ16" s="516"/>
      <c r="IK16" s="516"/>
      <c r="IP16" s="517"/>
      <c r="IQ16" s="517"/>
      <c r="IU16" s="2613">
        <v>0.3</v>
      </c>
      <c r="IV16" s="2613"/>
      <c r="IW16" s="2613"/>
      <c r="IX16" s="2613"/>
    </row>
    <row r="17" spans="18:259" ht="4.1500000000000004" customHeight="1">
      <c r="R17" s="516"/>
      <c r="CP17" s="517"/>
      <c r="DO17" s="516"/>
      <c r="ED17" s="2592"/>
      <c r="EE17" s="2593"/>
      <c r="EF17" s="516"/>
      <c r="EJ17" s="517"/>
      <c r="EZ17" s="2595"/>
      <c r="FA17" s="2595"/>
      <c r="FB17" s="2595"/>
      <c r="FC17" s="2595"/>
      <c r="FM17" s="516"/>
      <c r="GW17" s="522"/>
      <c r="GX17" s="523"/>
      <c r="GY17" s="523"/>
      <c r="GZ17" s="524"/>
      <c r="HD17" s="2598"/>
      <c r="HE17" s="2598"/>
      <c r="HF17" s="2598"/>
      <c r="HG17" s="2598"/>
      <c r="HH17" s="2598"/>
      <c r="HI17" s="2598"/>
      <c r="HJ17" s="2598"/>
      <c r="HK17" s="2598"/>
      <c r="HL17" s="2598"/>
      <c r="HM17" s="2598"/>
      <c r="HN17" s="2598"/>
      <c r="HO17" s="2598"/>
      <c r="IJ17" s="516"/>
      <c r="IK17" s="516"/>
      <c r="IP17" s="517"/>
      <c r="IQ17" s="517"/>
      <c r="IU17" s="2594"/>
      <c r="IV17" s="2594"/>
      <c r="IW17" s="2594"/>
      <c r="IX17" s="2594"/>
    </row>
    <row r="18" spans="18:259" ht="4.1500000000000004" customHeight="1">
      <c r="R18" s="516"/>
      <c r="CP18" s="517"/>
      <c r="DO18" s="516"/>
      <c r="ED18" s="2592"/>
      <c r="EE18" s="2593"/>
      <c r="EF18" s="516"/>
      <c r="EJ18" s="517"/>
      <c r="EZ18" s="2595"/>
      <c r="FA18" s="2595"/>
      <c r="FB18" s="2595"/>
      <c r="FC18" s="2595"/>
      <c r="FM18" s="516"/>
      <c r="GW18" s="516"/>
      <c r="GZ18" s="517"/>
      <c r="HJ18" s="515"/>
      <c r="HK18" s="514"/>
      <c r="IJ18" s="516"/>
      <c r="IK18" s="516"/>
      <c r="IP18" s="517"/>
      <c r="IQ18" s="517"/>
      <c r="IU18" s="2594"/>
      <c r="IV18" s="2594"/>
      <c r="IW18" s="2594"/>
      <c r="IX18" s="2594"/>
    </row>
    <row r="19" spans="18:259" ht="4.1500000000000004" customHeight="1">
      <c r="R19" s="516"/>
      <c r="CP19" s="517"/>
      <c r="DO19" s="516"/>
      <c r="ED19" s="2592"/>
      <c r="EE19" s="2593"/>
      <c r="EF19" s="516"/>
      <c r="EJ19" s="517"/>
      <c r="EZ19" s="2595"/>
      <c r="FA19" s="2595"/>
      <c r="FB19" s="2595"/>
      <c r="FC19" s="2595"/>
      <c r="FM19" s="516"/>
      <c r="GW19" s="516"/>
      <c r="GZ19" s="517"/>
      <c r="HJ19" s="516"/>
      <c r="IJ19" s="516"/>
      <c r="IK19" s="516"/>
      <c r="IP19" s="517"/>
      <c r="IQ19" s="517"/>
      <c r="IU19" s="2594"/>
      <c r="IV19" s="2594"/>
      <c r="IW19" s="2594"/>
      <c r="IX19" s="2594"/>
    </row>
    <row r="20" spans="18:259" ht="4.1500000000000004" customHeight="1">
      <c r="R20" s="516"/>
      <c r="CP20" s="517"/>
      <c r="DO20" s="516"/>
      <c r="ED20" s="2592"/>
      <c r="EE20" s="2593"/>
      <c r="EF20" s="516"/>
      <c r="EJ20" s="517"/>
      <c r="EZ20" s="2595"/>
      <c r="FA20" s="2595"/>
      <c r="FB20" s="2595"/>
      <c r="FC20" s="2595"/>
      <c r="FM20" s="516"/>
      <c r="GW20" s="516"/>
      <c r="GZ20" s="517"/>
      <c r="HD20" s="2615">
        <f>EZ16-HD15</f>
        <v>0.85000000000000009</v>
      </c>
      <c r="HE20" s="2608"/>
      <c r="HF20" s="2608"/>
      <c r="HG20" s="2608"/>
      <c r="HH20" s="2608"/>
      <c r="HI20" s="2608"/>
      <c r="HJ20" s="2608"/>
      <c r="HK20" s="2608"/>
      <c r="HL20" s="2608"/>
      <c r="HM20" s="2608"/>
      <c r="HN20" s="2608"/>
      <c r="HO20" s="2608"/>
      <c r="IJ20" s="516"/>
      <c r="IK20" s="516"/>
      <c r="IP20" s="517"/>
      <c r="IQ20" s="517"/>
      <c r="IU20" s="2594"/>
      <c r="IV20" s="2594"/>
      <c r="IW20" s="2594"/>
      <c r="IX20" s="2594"/>
    </row>
    <row r="21" spans="18:259" ht="4.1500000000000004" customHeight="1">
      <c r="R21" s="516"/>
      <c r="CP21" s="517"/>
      <c r="DO21" s="516"/>
      <c r="EF21" s="516"/>
      <c r="EJ21" s="517"/>
      <c r="EZ21" s="2595"/>
      <c r="FA21" s="2595"/>
      <c r="FB21" s="2595"/>
      <c r="FC21" s="2595"/>
      <c r="FM21" s="516"/>
      <c r="GW21" s="516"/>
      <c r="GZ21" s="517"/>
      <c r="HD21" s="2608"/>
      <c r="HE21" s="2608"/>
      <c r="HF21" s="2608"/>
      <c r="HG21" s="2608"/>
      <c r="HH21" s="2608"/>
      <c r="HI21" s="2608"/>
      <c r="HJ21" s="2608"/>
      <c r="HK21" s="2608"/>
      <c r="HL21" s="2608"/>
      <c r="HM21" s="2608"/>
      <c r="HN21" s="2608"/>
      <c r="HO21" s="2608"/>
      <c r="IJ21" s="516"/>
      <c r="IK21" s="516"/>
      <c r="IP21" s="517"/>
      <c r="IQ21" s="517"/>
      <c r="IU21" s="2594"/>
      <c r="IV21" s="2594"/>
      <c r="IW21" s="2594"/>
      <c r="IX21" s="2594"/>
    </row>
    <row r="22" spans="18:259" ht="4.1500000000000004" customHeight="1">
      <c r="R22" s="516"/>
      <c r="CP22" s="517"/>
      <c r="DO22" s="516"/>
      <c r="EF22" s="516"/>
      <c r="EJ22" s="517"/>
      <c r="EZ22" s="2595"/>
      <c r="FA22" s="2595"/>
      <c r="FB22" s="2595"/>
      <c r="FC22" s="2595"/>
      <c r="FM22" s="516"/>
      <c r="GW22" s="516"/>
      <c r="GZ22" s="517"/>
      <c r="HD22" s="2608"/>
      <c r="HE22" s="2608"/>
      <c r="HF22" s="2608"/>
      <c r="HG22" s="2608"/>
      <c r="HH22" s="2608"/>
      <c r="HI22" s="2608"/>
      <c r="HJ22" s="2608"/>
      <c r="HK22" s="2608"/>
      <c r="HL22" s="2608"/>
      <c r="HM22" s="2608"/>
      <c r="HN22" s="2608"/>
      <c r="HO22" s="2608"/>
      <c r="IJ22" s="516"/>
      <c r="IK22" s="516"/>
      <c r="IP22" s="517"/>
      <c r="IQ22" s="517"/>
      <c r="IU22" s="2594"/>
      <c r="IV22" s="2594"/>
      <c r="IW22" s="2594"/>
      <c r="IX22" s="2594"/>
    </row>
    <row r="23" spans="18:259" ht="4.1500000000000004" customHeight="1">
      <c r="R23" s="516"/>
      <c r="CP23" s="517"/>
      <c r="DO23" s="516"/>
      <c r="EF23" s="516"/>
      <c r="EJ23" s="517"/>
      <c r="EZ23" s="2595"/>
      <c r="FA23" s="2595"/>
      <c r="FB23" s="2595"/>
      <c r="FC23" s="2595"/>
      <c r="FM23" s="516"/>
      <c r="GW23" s="516"/>
      <c r="GZ23" s="517"/>
      <c r="HJ23" s="516"/>
      <c r="IJ23" s="516"/>
      <c r="IK23" s="530"/>
      <c r="IL23" s="532"/>
      <c r="IM23" s="532"/>
      <c r="IN23" s="532"/>
      <c r="IO23" s="532"/>
      <c r="IP23" s="531"/>
      <c r="IQ23" s="517"/>
      <c r="IU23" s="2594"/>
      <c r="IV23" s="2594"/>
      <c r="IW23" s="2594"/>
      <c r="IX23" s="2594"/>
    </row>
    <row r="24" spans="18:259" ht="4.1500000000000004" customHeight="1">
      <c r="R24" s="516"/>
      <c r="CP24" s="517"/>
      <c r="DO24" s="516"/>
      <c r="EF24" s="516"/>
      <c r="EJ24" s="517"/>
      <c r="EZ24" s="2595"/>
      <c r="FA24" s="2595"/>
      <c r="FB24" s="2595"/>
      <c r="FC24" s="2595"/>
      <c r="FM24" s="516"/>
      <c r="GW24" s="516"/>
      <c r="GZ24" s="517"/>
      <c r="HJ24" s="516"/>
      <c r="IJ24" s="530"/>
      <c r="IK24" s="532"/>
      <c r="IL24" s="532"/>
      <c r="IM24" s="532"/>
      <c r="IN24" s="532"/>
      <c r="IO24" s="532"/>
      <c r="IP24" s="532"/>
      <c r="IQ24" s="531"/>
      <c r="IU24" s="2614"/>
      <c r="IV24" s="2614"/>
      <c r="IW24" s="2614"/>
      <c r="IX24" s="2614"/>
    </row>
    <row r="25" spans="18:259" ht="4.1500000000000004" customHeight="1">
      <c r="R25" s="516"/>
      <c r="CP25" s="517"/>
      <c r="DO25" s="516"/>
      <c r="EF25" s="516"/>
      <c r="EJ25" s="517"/>
      <c r="EZ25" s="2595"/>
      <c r="FA25" s="2595"/>
      <c r="FB25" s="2595"/>
      <c r="FC25" s="2595"/>
      <c r="FM25" s="516"/>
      <c r="GW25" s="516"/>
      <c r="GZ25" s="517"/>
      <c r="HJ25" s="516"/>
    </row>
    <row r="26" spans="18:259" ht="4.1500000000000004" customHeight="1">
      <c r="R26" s="516"/>
      <c r="CP26" s="517"/>
      <c r="DO26" s="516"/>
      <c r="EF26" s="516"/>
      <c r="EJ26" s="517"/>
      <c r="FM26" s="516"/>
      <c r="GW26" s="516"/>
      <c r="GZ26" s="517"/>
      <c r="HJ26" s="530"/>
      <c r="HK26" s="532"/>
      <c r="HL26" s="532"/>
      <c r="HM26" s="532"/>
      <c r="HN26" s="532"/>
      <c r="IJ26" s="2609">
        <v>0.25</v>
      </c>
      <c r="IK26" s="2610"/>
      <c r="IL26" s="2610"/>
      <c r="IM26" s="2610"/>
      <c r="IN26" s="2610"/>
      <c r="IO26" s="2610"/>
      <c r="IP26" s="2610"/>
      <c r="IQ26" s="2611"/>
    </row>
    <row r="27" spans="18:259" ht="4.1500000000000004" customHeight="1">
      <c r="R27" s="515"/>
      <c r="S27" s="514"/>
      <c r="T27" s="514"/>
      <c r="U27" s="514"/>
      <c r="V27" s="512"/>
      <c r="W27" s="512"/>
      <c r="X27" s="512"/>
      <c r="Y27" s="512"/>
      <c r="Z27" s="512"/>
      <c r="AA27" s="512"/>
      <c r="AB27" s="512"/>
      <c r="AC27" s="512"/>
      <c r="AD27" s="512"/>
      <c r="AE27" s="512"/>
      <c r="AF27" s="512"/>
      <c r="AG27" s="512"/>
      <c r="AH27" s="512"/>
      <c r="AI27" s="514"/>
      <c r="AJ27" s="514"/>
      <c r="AK27" s="514"/>
      <c r="AL27" s="514"/>
      <c r="AM27" s="514"/>
      <c r="AN27" s="514"/>
      <c r="AO27" s="514"/>
      <c r="AP27" s="514"/>
      <c r="AQ27" s="514"/>
      <c r="AR27" s="514"/>
      <c r="AS27" s="514"/>
      <c r="AT27" s="512"/>
      <c r="AU27" s="512"/>
      <c r="AV27" s="512"/>
      <c r="AW27" s="512"/>
      <c r="AX27" s="512"/>
      <c r="AY27" s="512"/>
      <c r="AZ27" s="512"/>
      <c r="BA27" s="512"/>
      <c r="BB27" s="512"/>
      <c r="BC27" s="512"/>
      <c r="BD27" s="514"/>
      <c r="BE27" s="514"/>
      <c r="BF27" s="514"/>
      <c r="BG27" s="514"/>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2"/>
      <c r="CI27" s="512"/>
      <c r="CJ27" s="512"/>
      <c r="CK27" s="512"/>
      <c r="CL27" s="512"/>
      <c r="CM27" s="514"/>
      <c r="CN27" s="514"/>
      <c r="CO27" s="514"/>
      <c r="CP27" s="518"/>
      <c r="DO27" s="516"/>
      <c r="EF27" s="519"/>
      <c r="EG27" s="520"/>
      <c r="EH27" s="520"/>
      <c r="EI27" s="520"/>
      <c r="EJ27" s="521"/>
      <c r="EV27" s="2596">
        <v>0.15</v>
      </c>
      <c r="EW27" s="2597"/>
      <c r="EX27" s="2597"/>
      <c r="EY27" s="2597"/>
      <c r="EZ27" s="2597"/>
      <c r="FA27" s="2597"/>
      <c r="FB27" s="2597"/>
      <c r="FC27" s="2597"/>
      <c r="FD27" s="2597"/>
      <c r="FE27" s="2597"/>
      <c r="FF27" s="2597"/>
      <c r="FG27" s="2597"/>
      <c r="FM27" s="516"/>
      <c r="GW27" s="522"/>
      <c r="GX27" s="523"/>
      <c r="GY27" s="523"/>
      <c r="GZ27" s="524"/>
      <c r="HD27" s="2596">
        <v>0.15</v>
      </c>
      <c r="HE27" s="2597"/>
      <c r="HF27" s="2597"/>
      <c r="HG27" s="2597"/>
      <c r="HH27" s="2597"/>
      <c r="HI27" s="2597"/>
      <c r="HJ27" s="2597"/>
      <c r="HK27" s="2597"/>
      <c r="HL27" s="2597"/>
      <c r="HM27" s="2597"/>
      <c r="HN27" s="2597"/>
      <c r="HO27" s="2597"/>
      <c r="IJ27" s="2609"/>
      <c r="IK27" s="2610"/>
      <c r="IL27" s="2610"/>
      <c r="IM27" s="2610"/>
      <c r="IN27" s="2610"/>
      <c r="IO27" s="2610"/>
      <c r="IP27" s="2610"/>
      <c r="IQ27" s="2611"/>
    </row>
    <row r="28" spans="18:259" ht="4.1500000000000004" customHeight="1">
      <c r="R28" s="515"/>
      <c r="S28" s="518"/>
      <c r="T28" s="514"/>
      <c r="U28" s="515"/>
      <c r="V28" s="514"/>
      <c r="W28" s="514"/>
      <c r="X28" s="514"/>
      <c r="Y28" s="515"/>
      <c r="Z28" s="525"/>
      <c r="AA28" s="514"/>
      <c r="AB28" s="514"/>
      <c r="AC28" s="514"/>
      <c r="AD28" s="518"/>
      <c r="AI28" s="514"/>
      <c r="AJ28" s="514"/>
      <c r="AK28" s="514"/>
      <c r="AL28" s="514"/>
      <c r="AM28" s="514"/>
      <c r="AN28" s="514"/>
      <c r="AO28" s="514"/>
      <c r="AP28" s="514"/>
      <c r="AQ28" s="515"/>
      <c r="AR28" s="518"/>
      <c r="AS28" s="514"/>
      <c r="BD28" s="514"/>
      <c r="BE28" s="514"/>
      <c r="BF28" s="514"/>
      <c r="BG28" s="514"/>
      <c r="BP28" s="515"/>
      <c r="BQ28" s="518"/>
      <c r="BT28" s="515"/>
      <c r="BU28" s="514"/>
      <c r="BV28" s="514"/>
      <c r="BW28" s="514"/>
      <c r="BX28" s="514"/>
      <c r="BY28" s="518"/>
      <c r="BZ28" s="514"/>
      <c r="CA28" s="514"/>
      <c r="CB28" s="514"/>
      <c r="CC28" s="514"/>
      <c r="CD28" s="518"/>
      <c r="CL28" s="514"/>
      <c r="CM28" s="514"/>
      <c r="CN28" s="514"/>
      <c r="CO28" s="515"/>
      <c r="CP28" s="518"/>
      <c r="DO28" s="516"/>
      <c r="EF28" s="522"/>
      <c r="EG28" s="523"/>
      <c r="EH28" s="523"/>
      <c r="EI28" s="523"/>
      <c r="EJ28" s="524"/>
      <c r="EV28" s="2596"/>
      <c r="EW28" s="2596"/>
      <c r="EX28" s="2596"/>
      <c r="EY28" s="2596"/>
      <c r="EZ28" s="2596"/>
      <c r="FA28" s="2596"/>
      <c r="FB28" s="2596"/>
      <c r="FC28" s="2596"/>
      <c r="FD28" s="2596"/>
      <c r="FE28" s="2596"/>
      <c r="FF28" s="2596"/>
      <c r="FG28" s="2596"/>
      <c r="FM28" s="516"/>
      <c r="GW28" s="522"/>
      <c r="GX28" s="523"/>
      <c r="GY28" s="523"/>
      <c r="GZ28" s="524"/>
      <c r="HD28" s="2596"/>
      <c r="HE28" s="2596"/>
      <c r="HF28" s="2596"/>
      <c r="HG28" s="2596"/>
      <c r="HH28" s="2596"/>
      <c r="HI28" s="2596"/>
      <c r="HJ28" s="2596"/>
      <c r="HK28" s="2596"/>
      <c r="HL28" s="2596"/>
      <c r="HM28" s="2596"/>
      <c r="HN28" s="2596"/>
      <c r="HO28" s="2596"/>
      <c r="IJ28" s="2609"/>
      <c r="IK28" s="2610"/>
      <c r="IL28" s="2610"/>
      <c r="IM28" s="2610"/>
      <c r="IN28" s="2610"/>
      <c r="IO28" s="2610"/>
      <c r="IP28" s="2610"/>
      <c r="IQ28" s="2611"/>
    </row>
    <row r="29" spans="18:259" ht="4.1500000000000004" customHeight="1">
      <c r="R29" s="516"/>
      <c r="S29" s="517"/>
      <c r="U29" s="516"/>
      <c r="V29" s="515"/>
      <c r="W29" s="518"/>
      <c r="Y29" s="516"/>
      <c r="Z29" s="526"/>
      <c r="AB29" s="515"/>
      <c r="AC29" s="518"/>
      <c r="AD29" s="517"/>
      <c r="AQ29" s="516"/>
      <c r="AR29" s="517"/>
      <c r="BP29" s="516"/>
      <c r="BQ29" s="517"/>
      <c r="BT29" s="516"/>
      <c r="BU29" s="515"/>
      <c r="BV29" s="514"/>
      <c r="BW29" s="514"/>
      <c r="BX29" s="518"/>
      <c r="BZ29" s="515"/>
      <c r="CA29" s="514"/>
      <c r="CB29" s="514"/>
      <c r="CC29" s="518"/>
      <c r="CD29" s="517"/>
      <c r="CO29" s="516"/>
      <c r="CP29" s="517"/>
      <c r="DO29" s="516"/>
      <c r="DY29" s="508"/>
      <c r="DZ29" s="509"/>
      <c r="EA29" s="509"/>
      <c r="EB29" s="509"/>
      <c r="EC29" s="509"/>
      <c r="ED29" s="509"/>
      <c r="EE29" s="510"/>
      <c r="EF29" s="527"/>
      <c r="EG29" s="528"/>
      <c r="EH29" s="528"/>
      <c r="EI29" s="528"/>
      <c r="EJ29" s="529"/>
      <c r="EV29" s="2598"/>
      <c r="EW29" s="2598"/>
      <c r="EX29" s="2598"/>
      <c r="EY29" s="2598"/>
      <c r="EZ29" s="2598"/>
      <c r="FA29" s="2598"/>
      <c r="FB29" s="2598"/>
      <c r="FC29" s="2598"/>
      <c r="FD29" s="2598"/>
      <c r="FE29" s="2598"/>
      <c r="FF29" s="2598"/>
      <c r="FG29" s="2598"/>
      <c r="FM29" s="516"/>
      <c r="GQ29" s="508"/>
      <c r="GR29" s="509"/>
      <c r="GS29" s="509"/>
      <c r="GT29" s="509"/>
      <c r="GU29" s="509"/>
      <c r="GV29" s="510"/>
      <c r="GW29" s="522"/>
      <c r="GX29" s="523"/>
      <c r="GY29" s="523"/>
      <c r="GZ29" s="524"/>
      <c r="HD29" s="2598"/>
      <c r="HE29" s="2598"/>
      <c r="HF29" s="2598"/>
      <c r="HG29" s="2598"/>
      <c r="HH29" s="2598"/>
      <c r="HI29" s="2598"/>
      <c r="HJ29" s="2598"/>
      <c r="HK29" s="2598"/>
      <c r="HL29" s="2598"/>
      <c r="HM29" s="2598"/>
      <c r="HN29" s="2598"/>
      <c r="HO29" s="2598"/>
    </row>
    <row r="30" spans="18:259" ht="4.1500000000000004" customHeight="1">
      <c r="R30" s="516"/>
      <c r="S30" s="517"/>
      <c r="U30" s="516"/>
      <c r="V30" s="516"/>
      <c r="W30" s="517"/>
      <c r="Y30" s="516"/>
      <c r="Z30" s="526"/>
      <c r="AB30" s="516"/>
      <c r="AC30" s="517"/>
      <c r="AD30" s="517"/>
      <c r="AQ30" s="516"/>
      <c r="AR30" s="517"/>
      <c r="BP30" s="516"/>
      <c r="BQ30" s="517"/>
      <c r="BT30" s="516"/>
      <c r="BU30" s="516"/>
      <c r="BX30" s="517"/>
      <c r="BZ30" s="516"/>
      <c r="CC30" s="517"/>
      <c r="CD30" s="517"/>
      <c r="CO30" s="516"/>
      <c r="CP30" s="517"/>
      <c r="DO30" s="516"/>
      <c r="EF30" s="516"/>
      <c r="EJ30" s="517"/>
      <c r="EV30" s="514"/>
      <c r="EW30" s="514"/>
      <c r="EX30" s="514"/>
      <c r="EY30" s="514"/>
      <c r="EZ30" s="514"/>
      <c r="FA30" s="514"/>
      <c r="FB30" s="515"/>
      <c r="FC30" s="514"/>
      <c r="FD30" s="514"/>
      <c r="FE30" s="514"/>
      <c r="FF30" s="514"/>
      <c r="FG30" s="514"/>
      <c r="FK30" s="2594">
        <f>EZ16+EV27+EZ35</f>
        <v>3.35</v>
      </c>
      <c r="FL30" s="2595"/>
      <c r="FM30" s="2595"/>
      <c r="FN30" s="2595"/>
      <c r="GW30" s="516"/>
      <c r="GZ30" s="517"/>
      <c r="HD30" s="514"/>
      <c r="HE30" s="514"/>
      <c r="HF30" s="514"/>
      <c r="HG30" s="514"/>
      <c r="HH30" s="514"/>
      <c r="HI30" s="514"/>
      <c r="HJ30" s="515"/>
      <c r="HK30" s="514"/>
      <c r="HL30" s="514"/>
      <c r="HM30" s="514"/>
      <c r="HN30" s="514"/>
      <c r="HO30" s="514"/>
    </row>
    <row r="31" spans="18:259" ht="4.1500000000000004" customHeight="1">
      <c r="R31" s="516"/>
      <c r="S31" s="517"/>
      <c r="U31" s="516"/>
      <c r="V31" s="516"/>
      <c r="W31" s="517"/>
      <c r="Y31" s="516"/>
      <c r="Z31" s="526"/>
      <c r="AB31" s="516"/>
      <c r="AC31" s="517"/>
      <c r="AD31" s="517"/>
      <c r="AQ31" s="516"/>
      <c r="AR31" s="517"/>
      <c r="BP31" s="516"/>
      <c r="BQ31" s="517"/>
      <c r="BT31" s="516"/>
      <c r="BU31" s="516"/>
      <c r="BX31" s="517"/>
      <c r="BZ31" s="516"/>
      <c r="CC31" s="517"/>
      <c r="CD31" s="517"/>
      <c r="CO31" s="516"/>
      <c r="CP31" s="517"/>
      <c r="DO31" s="516"/>
      <c r="DY31" s="2599">
        <v>0.6</v>
      </c>
      <c r="DZ31" s="2600"/>
      <c r="EA31" s="2600"/>
      <c r="EB31" s="2600"/>
      <c r="EC31" s="2600"/>
      <c r="ED31" s="2600"/>
      <c r="EE31" s="2601"/>
      <c r="EF31" s="516"/>
      <c r="EJ31" s="517"/>
      <c r="FB31" s="516"/>
      <c r="FK31" s="2595"/>
      <c r="FL31" s="2595"/>
      <c r="FM31" s="2595"/>
      <c r="FN31" s="2595"/>
      <c r="GW31" s="516"/>
      <c r="GZ31" s="517"/>
      <c r="HJ31" s="516"/>
      <c r="ID31" s="2612" t="s">
        <v>3596</v>
      </c>
      <c r="IE31" s="2612"/>
      <c r="IF31" s="2612"/>
      <c r="IG31" s="2612"/>
      <c r="IH31" s="2612"/>
      <c r="II31" s="2612"/>
      <c r="IJ31" s="2612"/>
      <c r="IK31" s="2612"/>
      <c r="IL31" s="2612"/>
      <c r="IM31" s="2612"/>
      <c r="IN31" s="2612"/>
      <c r="IO31" s="2612"/>
      <c r="IP31" s="2612"/>
      <c r="IQ31" s="2612"/>
      <c r="IR31" s="2612"/>
      <c r="IS31" s="2612"/>
      <c r="IT31" s="2612"/>
      <c r="IU31" s="2612"/>
      <c r="IV31" s="2612"/>
      <c r="IW31" s="2612"/>
      <c r="IX31" s="2612"/>
      <c r="IY31" s="2612"/>
    </row>
    <row r="32" spans="18:259" ht="4.1500000000000004" customHeight="1">
      <c r="R32" s="516"/>
      <c r="S32" s="517"/>
      <c r="U32" s="516"/>
      <c r="V32" s="516"/>
      <c r="W32" s="517"/>
      <c r="Y32" s="516"/>
      <c r="Z32" s="526"/>
      <c r="AB32" s="516"/>
      <c r="AC32" s="517"/>
      <c r="AD32" s="517"/>
      <c r="AQ32" s="516"/>
      <c r="AR32" s="517"/>
      <c r="BP32" s="516"/>
      <c r="BQ32" s="517"/>
      <c r="BT32" s="516"/>
      <c r="BU32" s="516"/>
      <c r="BX32" s="517"/>
      <c r="BZ32" s="516"/>
      <c r="CC32" s="517"/>
      <c r="CD32" s="517"/>
      <c r="CO32" s="516"/>
      <c r="CP32" s="517"/>
      <c r="DM32" s="2594">
        <f>FK30+FL53</f>
        <v>3.95</v>
      </c>
      <c r="DN32" s="2595"/>
      <c r="DO32" s="2595"/>
      <c r="DP32" s="2595"/>
      <c r="DY32" s="2599"/>
      <c r="DZ32" s="2600"/>
      <c r="EA32" s="2600"/>
      <c r="EB32" s="2600"/>
      <c r="EC32" s="2600"/>
      <c r="ED32" s="2600"/>
      <c r="EE32" s="2601"/>
      <c r="EF32" s="516"/>
      <c r="EJ32" s="517"/>
      <c r="FB32" s="516"/>
      <c r="FK32" s="2595"/>
      <c r="FL32" s="2595"/>
      <c r="FM32" s="2595"/>
      <c r="FN32" s="2595"/>
      <c r="GW32" s="516"/>
      <c r="GZ32" s="517"/>
      <c r="HJ32" s="516"/>
      <c r="ID32" s="2612"/>
      <c r="IE32" s="2612"/>
      <c r="IF32" s="2612"/>
      <c r="IG32" s="2612"/>
      <c r="IH32" s="2612"/>
      <c r="II32" s="2612"/>
      <c r="IJ32" s="2612"/>
      <c r="IK32" s="2612"/>
      <c r="IL32" s="2612"/>
      <c r="IM32" s="2612"/>
      <c r="IN32" s="2612"/>
      <c r="IO32" s="2612"/>
      <c r="IP32" s="2612"/>
      <c r="IQ32" s="2612"/>
      <c r="IR32" s="2612"/>
      <c r="IS32" s="2612"/>
      <c r="IT32" s="2612"/>
      <c r="IU32" s="2612"/>
      <c r="IV32" s="2612"/>
      <c r="IW32" s="2612"/>
      <c r="IX32" s="2612"/>
      <c r="IY32" s="2612"/>
    </row>
    <row r="33" spans="18:268" ht="4.1500000000000004" customHeight="1">
      <c r="R33" s="516"/>
      <c r="S33" s="517"/>
      <c r="U33" s="516"/>
      <c r="V33" s="516"/>
      <c r="W33" s="517"/>
      <c r="Y33" s="516"/>
      <c r="Z33" s="526"/>
      <c r="AB33" s="516"/>
      <c r="AC33" s="517"/>
      <c r="AD33" s="517"/>
      <c r="AQ33" s="516"/>
      <c r="AR33" s="517"/>
      <c r="BP33" s="516"/>
      <c r="BQ33" s="517"/>
      <c r="BT33" s="516"/>
      <c r="BU33" s="516"/>
      <c r="BX33" s="517"/>
      <c r="BZ33" s="516"/>
      <c r="CC33" s="517"/>
      <c r="CD33" s="517"/>
      <c r="CO33" s="516"/>
      <c r="CP33" s="517"/>
      <c r="DM33" s="2595"/>
      <c r="DN33" s="2595"/>
      <c r="DO33" s="2595"/>
      <c r="DP33" s="2595"/>
      <c r="DY33" s="2599"/>
      <c r="DZ33" s="2600"/>
      <c r="EA33" s="2600"/>
      <c r="EB33" s="2600"/>
      <c r="EC33" s="2600"/>
      <c r="ED33" s="2600"/>
      <c r="EE33" s="2601"/>
      <c r="EF33" s="516"/>
      <c r="EJ33" s="517"/>
      <c r="FB33" s="516"/>
      <c r="FK33" s="2595"/>
      <c r="FL33" s="2595"/>
      <c r="FM33" s="2595"/>
      <c r="FN33" s="2595"/>
      <c r="GW33" s="516"/>
      <c r="GZ33" s="517"/>
      <c r="HJ33" s="516"/>
      <c r="ID33" s="2612"/>
      <c r="IE33" s="2612"/>
      <c r="IF33" s="2612"/>
      <c r="IG33" s="2612"/>
      <c r="IH33" s="2612"/>
      <c r="II33" s="2612"/>
      <c r="IJ33" s="2612"/>
      <c r="IK33" s="2612"/>
      <c r="IL33" s="2612"/>
      <c r="IM33" s="2612"/>
      <c r="IN33" s="2612"/>
      <c r="IO33" s="2612"/>
      <c r="IP33" s="2612"/>
      <c r="IQ33" s="2612"/>
      <c r="IR33" s="2612"/>
      <c r="IS33" s="2612"/>
      <c r="IT33" s="2612"/>
      <c r="IU33" s="2612"/>
      <c r="IV33" s="2612"/>
      <c r="IW33" s="2612"/>
      <c r="IX33" s="2612"/>
      <c r="IY33" s="2612"/>
    </row>
    <row r="34" spans="18:268" ht="4.1500000000000004" customHeight="1">
      <c r="R34" s="516"/>
      <c r="S34" s="517"/>
      <c r="U34" s="516"/>
      <c r="V34" s="516"/>
      <c r="W34" s="517"/>
      <c r="Y34" s="516"/>
      <c r="Z34" s="526"/>
      <c r="AB34" s="516"/>
      <c r="AC34" s="517"/>
      <c r="AD34" s="517"/>
      <c r="AQ34" s="516"/>
      <c r="AR34" s="517"/>
      <c r="BP34" s="516"/>
      <c r="BQ34" s="517"/>
      <c r="BT34" s="516"/>
      <c r="BU34" s="516"/>
      <c r="BX34" s="517"/>
      <c r="BZ34" s="516"/>
      <c r="CC34" s="517"/>
      <c r="CD34" s="517"/>
      <c r="CO34" s="516"/>
      <c r="CP34" s="517"/>
      <c r="DM34" s="2595"/>
      <c r="DN34" s="2595"/>
      <c r="DO34" s="2595"/>
      <c r="DP34" s="2595"/>
      <c r="EF34" s="516"/>
      <c r="EJ34" s="517"/>
      <c r="FB34" s="516"/>
      <c r="FK34" s="2595"/>
      <c r="FL34" s="2595"/>
      <c r="FM34" s="2595"/>
      <c r="FN34" s="2595"/>
      <c r="GW34" s="516"/>
      <c r="GZ34" s="517"/>
      <c r="HJ34" s="516"/>
    </row>
    <row r="35" spans="18:268" ht="4.1500000000000004" customHeight="1">
      <c r="R35" s="516"/>
      <c r="S35" s="517"/>
      <c r="U35" s="516"/>
      <c r="V35" s="516"/>
      <c r="W35" s="517"/>
      <c r="Y35" s="516"/>
      <c r="Z35" s="526"/>
      <c r="AB35" s="516"/>
      <c r="AC35" s="517"/>
      <c r="AD35" s="517"/>
      <c r="AQ35" s="516"/>
      <c r="AR35" s="517"/>
      <c r="BP35" s="516"/>
      <c r="BQ35" s="517"/>
      <c r="BT35" s="516"/>
      <c r="BU35" s="516"/>
      <c r="BX35" s="517"/>
      <c r="BZ35" s="516"/>
      <c r="CC35" s="517"/>
      <c r="CD35" s="517"/>
      <c r="CO35" s="516"/>
      <c r="CP35" s="517"/>
      <c r="DM35" s="2595"/>
      <c r="DN35" s="2595"/>
      <c r="DO35" s="2595"/>
      <c r="DP35" s="2595"/>
      <c r="EF35" s="516"/>
      <c r="EJ35" s="517"/>
      <c r="EZ35" s="2594">
        <v>2.1</v>
      </c>
      <c r="FA35" s="2595"/>
      <c r="FB35" s="2595"/>
      <c r="FC35" s="2595"/>
      <c r="FK35" s="2595"/>
      <c r="FL35" s="2595"/>
      <c r="FM35" s="2595"/>
      <c r="FN35" s="2595"/>
      <c r="GW35" s="516"/>
      <c r="GZ35" s="517"/>
      <c r="HH35" s="2594">
        <v>2.1</v>
      </c>
      <c r="HI35" s="2595"/>
      <c r="HJ35" s="2595"/>
      <c r="HK35" s="2595"/>
    </row>
    <row r="36" spans="18:268" ht="4.1500000000000004" customHeight="1">
      <c r="R36" s="516"/>
      <c r="S36" s="517"/>
      <c r="U36" s="516"/>
      <c r="V36" s="530"/>
      <c r="W36" s="531"/>
      <c r="Y36" s="516"/>
      <c r="Z36" s="526"/>
      <c r="AB36" s="530"/>
      <c r="AC36" s="531"/>
      <c r="AD36" s="517"/>
      <c r="AQ36" s="516"/>
      <c r="AR36" s="517"/>
      <c r="BP36" s="516"/>
      <c r="BQ36" s="517"/>
      <c r="BT36" s="516"/>
      <c r="BU36" s="516"/>
      <c r="BX36" s="517"/>
      <c r="BZ36" s="516"/>
      <c r="CC36" s="517"/>
      <c r="CD36" s="517"/>
      <c r="CO36" s="516"/>
      <c r="CP36" s="517"/>
      <c r="DM36" s="2595"/>
      <c r="DN36" s="2595"/>
      <c r="DO36" s="2595"/>
      <c r="DP36" s="2595"/>
      <c r="EF36" s="516"/>
      <c r="EJ36" s="517"/>
      <c r="EZ36" s="2595"/>
      <c r="FA36" s="2595"/>
      <c r="FB36" s="2595"/>
      <c r="FC36" s="2595"/>
      <c r="FK36" s="2595"/>
      <c r="FL36" s="2595"/>
      <c r="FM36" s="2595"/>
      <c r="FN36" s="2595"/>
      <c r="GW36" s="516"/>
      <c r="GZ36" s="517"/>
      <c r="HH36" s="2595"/>
      <c r="HI36" s="2595"/>
      <c r="HJ36" s="2595"/>
      <c r="HK36" s="2595"/>
    </row>
    <row r="37" spans="18:268" ht="4.1500000000000004" customHeight="1">
      <c r="R37" s="516"/>
      <c r="S37" s="517"/>
      <c r="U37" s="516"/>
      <c r="Y37" s="516"/>
      <c r="Z37" s="526"/>
      <c r="AD37" s="517"/>
      <c r="AQ37" s="516"/>
      <c r="AR37" s="517"/>
      <c r="BP37" s="516"/>
      <c r="BQ37" s="517"/>
      <c r="BT37" s="516"/>
      <c r="BU37" s="516"/>
      <c r="BX37" s="517"/>
      <c r="BZ37" s="516"/>
      <c r="CC37" s="517"/>
      <c r="CD37" s="517"/>
      <c r="CO37" s="516"/>
      <c r="CP37" s="517"/>
      <c r="DM37" s="2595"/>
      <c r="DN37" s="2595"/>
      <c r="DO37" s="2595"/>
      <c r="DP37" s="2595"/>
      <c r="EF37" s="516"/>
      <c r="EJ37" s="517"/>
      <c r="EZ37" s="2595"/>
      <c r="FA37" s="2595"/>
      <c r="FB37" s="2595"/>
      <c r="FC37" s="2595"/>
      <c r="FK37" s="2595"/>
      <c r="FL37" s="2595"/>
      <c r="FM37" s="2595"/>
      <c r="FN37" s="2595"/>
      <c r="GW37" s="516"/>
      <c r="GZ37" s="517"/>
      <c r="HH37" s="2595"/>
      <c r="HI37" s="2595"/>
      <c r="HJ37" s="2595"/>
      <c r="HK37" s="2595"/>
    </row>
    <row r="38" spans="18:268" ht="4.1500000000000004" customHeight="1">
      <c r="R38" s="516"/>
      <c r="S38" s="517"/>
      <c r="U38" s="516"/>
      <c r="Y38" s="516"/>
      <c r="Z38" s="526"/>
      <c r="AD38" s="517"/>
      <c r="AQ38" s="516"/>
      <c r="AR38" s="517"/>
      <c r="BP38" s="516"/>
      <c r="BQ38" s="517"/>
      <c r="BT38" s="516"/>
      <c r="BU38" s="516"/>
      <c r="BX38" s="517"/>
      <c r="BZ38" s="516"/>
      <c r="CC38" s="517"/>
      <c r="CD38" s="517"/>
      <c r="CO38" s="516"/>
      <c r="CP38" s="517"/>
      <c r="DM38" s="2595"/>
      <c r="DN38" s="2595"/>
      <c r="DO38" s="2595"/>
      <c r="DP38" s="2595"/>
      <c r="EF38" s="516"/>
      <c r="EJ38" s="517"/>
      <c r="EZ38" s="2595"/>
      <c r="FA38" s="2595"/>
      <c r="FB38" s="2595"/>
      <c r="FC38" s="2595"/>
      <c r="FK38" s="2595"/>
      <c r="FL38" s="2595"/>
      <c r="FM38" s="2595"/>
      <c r="FN38" s="2595"/>
      <c r="GW38" s="516"/>
      <c r="GZ38" s="517"/>
      <c r="HH38" s="2595"/>
      <c r="HI38" s="2595"/>
      <c r="HJ38" s="2595"/>
      <c r="HK38" s="2595"/>
    </row>
    <row r="39" spans="18:268" ht="4.1500000000000004" customHeight="1">
      <c r="R39" s="516"/>
      <c r="S39" s="517"/>
      <c r="U39" s="516"/>
      <c r="V39" s="515"/>
      <c r="W39" s="518"/>
      <c r="Y39" s="516"/>
      <c r="Z39" s="526"/>
      <c r="AB39" s="515"/>
      <c r="AC39" s="518"/>
      <c r="AD39" s="517"/>
      <c r="AQ39" s="516"/>
      <c r="AR39" s="517"/>
      <c r="BP39" s="516"/>
      <c r="BQ39" s="517"/>
      <c r="BT39" s="516"/>
      <c r="BU39" s="530"/>
      <c r="BV39" s="532"/>
      <c r="BW39" s="532"/>
      <c r="BX39" s="531"/>
      <c r="BZ39" s="530"/>
      <c r="CA39" s="532"/>
      <c r="CB39" s="532"/>
      <c r="CC39" s="531"/>
      <c r="CD39" s="517"/>
      <c r="CO39" s="516"/>
      <c r="CP39" s="517"/>
      <c r="DM39" s="2595"/>
      <c r="DN39" s="2595"/>
      <c r="DO39" s="2595"/>
      <c r="DP39" s="2595"/>
      <c r="EF39" s="516"/>
      <c r="EJ39" s="517"/>
      <c r="EZ39" s="2595"/>
      <c r="FA39" s="2595"/>
      <c r="FB39" s="2595"/>
      <c r="FC39" s="2595"/>
      <c r="FK39" s="2595"/>
      <c r="FL39" s="2595"/>
      <c r="FM39" s="2595"/>
      <c r="FN39" s="2595"/>
      <c r="GW39" s="516"/>
      <c r="GZ39" s="517"/>
      <c r="HH39" s="2595"/>
      <c r="HI39" s="2595"/>
      <c r="HJ39" s="2595"/>
      <c r="HK39" s="2595"/>
    </row>
    <row r="40" spans="18:268" ht="4.1500000000000004" customHeight="1">
      <c r="R40" s="516"/>
      <c r="S40" s="517"/>
      <c r="U40" s="516"/>
      <c r="V40" s="516"/>
      <c r="W40" s="517"/>
      <c r="Y40" s="516"/>
      <c r="Z40" s="526"/>
      <c r="AB40" s="516"/>
      <c r="AC40" s="517"/>
      <c r="AD40" s="517"/>
      <c r="AQ40" s="516"/>
      <c r="AR40" s="517"/>
      <c r="BP40" s="516"/>
      <c r="BQ40" s="517"/>
      <c r="BT40" s="530"/>
      <c r="BU40" s="532"/>
      <c r="BV40" s="532"/>
      <c r="BW40" s="532"/>
      <c r="BX40" s="532"/>
      <c r="BY40" s="531"/>
      <c r="BZ40" s="532"/>
      <c r="CA40" s="532"/>
      <c r="CB40" s="532"/>
      <c r="CC40" s="532"/>
      <c r="CD40" s="531"/>
      <c r="CO40" s="516"/>
      <c r="CP40" s="517"/>
      <c r="DM40" s="2595"/>
      <c r="DN40" s="2595"/>
      <c r="DO40" s="2595"/>
      <c r="DP40" s="2595"/>
      <c r="EF40" s="516"/>
      <c r="EJ40" s="517"/>
      <c r="EZ40" s="2595"/>
      <c r="FA40" s="2595"/>
      <c r="FB40" s="2595"/>
      <c r="FC40" s="2595"/>
      <c r="FM40" s="516"/>
      <c r="GW40" s="516"/>
      <c r="GZ40" s="517"/>
      <c r="HH40" s="2595"/>
      <c r="HI40" s="2595"/>
      <c r="HJ40" s="2595"/>
      <c r="HK40" s="2595"/>
      <c r="IC40" s="515"/>
      <c r="ID40" s="514"/>
      <c r="IE40" s="514"/>
      <c r="IF40" s="514"/>
      <c r="IG40" s="514"/>
      <c r="IH40" s="514"/>
      <c r="II40" s="514"/>
      <c r="IJ40" s="514"/>
      <c r="IK40" s="514"/>
      <c r="IL40" s="514"/>
      <c r="IM40" s="514"/>
      <c r="IN40" s="514"/>
      <c r="IO40" s="514"/>
      <c r="IP40" s="514"/>
      <c r="IQ40" s="514"/>
      <c r="IR40" s="514"/>
      <c r="IS40" s="514"/>
      <c r="IT40" s="514"/>
      <c r="IU40" s="514"/>
      <c r="IV40" s="514"/>
      <c r="IW40" s="514"/>
      <c r="IX40" s="518"/>
      <c r="JB40" s="2597">
        <v>0.125</v>
      </c>
      <c r="JC40" s="2597"/>
      <c r="JD40" s="2597"/>
      <c r="JE40" s="2597"/>
      <c r="JF40" s="2597"/>
      <c r="JG40" s="2597"/>
      <c r="JH40" s="2597"/>
    </row>
    <row r="41" spans="18:268" ht="4.1500000000000004" customHeight="1">
      <c r="R41" s="516"/>
      <c r="S41" s="517"/>
      <c r="U41" s="516"/>
      <c r="V41" s="516"/>
      <c r="W41" s="517"/>
      <c r="Y41" s="516"/>
      <c r="Z41" s="526"/>
      <c r="AB41" s="516"/>
      <c r="AC41" s="517"/>
      <c r="AD41" s="517"/>
      <c r="AQ41" s="516"/>
      <c r="AR41" s="517"/>
      <c r="BP41" s="516"/>
      <c r="BQ41" s="517"/>
      <c r="CO41" s="516"/>
      <c r="CP41" s="517"/>
      <c r="DM41" s="2595"/>
      <c r="DN41" s="2595"/>
      <c r="DO41" s="2595"/>
      <c r="DP41" s="2595"/>
      <c r="EF41" s="516"/>
      <c r="EJ41" s="517"/>
      <c r="EZ41" s="2595"/>
      <c r="FA41" s="2595"/>
      <c r="FB41" s="2595"/>
      <c r="FC41" s="2595"/>
      <c r="FM41" s="516"/>
      <c r="GW41" s="516"/>
      <c r="GZ41" s="517"/>
      <c r="HH41" s="2595"/>
      <c r="HI41" s="2595"/>
      <c r="HJ41" s="2595"/>
      <c r="HK41" s="2595"/>
      <c r="IC41" s="530"/>
      <c r="ID41" s="532"/>
      <c r="IE41" s="532"/>
      <c r="IF41" s="532"/>
      <c r="IG41" s="532"/>
      <c r="IH41" s="532"/>
      <c r="II41" s="532"/>
      <c r="IK41" s="515"/>
      <c r="IL41" s="514"/>
      <c r="IM41" s="514"/>
      <c r="IN41" s="514"/>
      <c r="IO41" s="514"/>
      <c r="IP41" s="518"/>
      <c r="IR41" s="532"/>
      <c r="IS41" s="532"/>
      <c r="IT41" s="532"/>
      <c r="IU41" s="532"/>
      <c r="IV41" s="532"/>
      <c r="IW41" s="532"/>
      <c r="IX41" s="531"/>
      <c r="JB41" s="2598"/>
      <c r="JC41" s="2598"/>
      <c r="JD41" s="2598"/>
      <c r="JE41" s="2598"/>
      <c r="JF41" s="2598"/>
      <c r="JG41" s="2598"/>
      <c r="JH41" s="2598"/>
    </row>
    <row r="42" spans="18:268" ht="4.1500000000000004" customHeight="1">
      <c r="R42" s="516"/>
      <c r="S42" s="517"/>
      <c r="U42" s="516"/>
      <c r="V42" s="516"/>
      <c r="W42" s="517"/>
      <c r="Y42" s="516"/>
      <c r="Z42" s="526"/>
      <c r="AB42" s="516"/>
      <c r="AC42" s="517"/>
      <c r="AD42" s="517"/>
      <c r="AQ42" s="516"/>
      <c r="AR42" s="517"/>
      <c r="BP42" s="516"/>
      <c r="BQ42" s="517"/>
      <c r="CO42" s="516"/>
      <c r="CP42" s="517"/>
      <c r="DO42" s="516"/>
      <c r="EF42" s="516"/>
      <c r="EJ42" s="517"/>
      <c r="EZ42" s="2595"/>
      <c r="FA42" s="2595"/>
      <c r="FB42" s="2595"/>
      <c r="FC42" s="2595"/>
      <c r="FM42" s="516"/>
      <c r="GW42" s="516"/>
      <c r="GZ42" s="517"/>
      <c r="HH42" s="2595"/>
      <c r="HI42" s="2595"/>
      <c r="HJ42" s="2595"/>
      <c r="HK42" s="2595"/>
      <c r="IJ42" s="516"/>
      <c r="IK42" s="516"/>
      <c r="IP42" s="517"/>
      <c r="IQ42" s="517"/>
      <c r="IU42" s="2613">
        <v>0.5</v>
      </c>
      <c r="IV42" s="2613"/>
      <c r="IW42" s="2613"/>
      <c r="IX42" s="2613"/>
    </row>
    <row r="43" spans="18:268" ht="4.1500000000000004" customHeight="1">
      <c r="R43" s="516"/>
      <c r="S43" s="517"/>
      <c r="U43" s="516"/>
      <c r="V43" s="516"/>
      <c r="W43" s="517"/>
      <c r="Y43" s="516"/>
      <c r="Z43" s="526"/>
      <c r="AB43" s="516"/>
      <c r="AC43" s="517"/>
      <c r="AD43" s="517"/>
      <c r="AQ43" s="516"/>
      <c r="AR43" s="517"/>
      <c r="BP43" s="516"/>
      <c r="BQ43" s="517"/>
      <c r="CO43" s="516"/>
      <c r="CP43" s="517"/>
      <c r="DO43" s="516"/>
      <c r="EF43" s="516"/>
      <c r="EJ43" s="517"/>
      <c r="EZ43" s="2595"/>
      <c r="FA43" s="2595"/>
      <c r="FB43" s="2595"/>
      <c r="FC43" s="2595"/>
      <c r="FM43" s="516"/>
      <c r="GW43" s="516"/>
      <c r="GZ43" s="517"/>
      <c r="HH43" s="2595"/>
      <c r="HI43" s="2595"/>
      <c r="HJ43" s="2595"/>
      <c r="HK43" s="2595"/>
      <c r="IJ43" s="516"/>
      <c r="IK43" s="516"/>
      <c r="IP43" s="517"/>
      <c r="IQ43" s="517"/>
      <c r="IU43" s="2594"/>
      <c r="IV43" s="2594"/>
      <c r="IW43" s="2594"/>
      <c r="IX43" s="2594"/>
    </row>
    <row r="44" spans="18:268" ht="4.1500000000000004" customHeight="1">
      <c r="R44" s="516"/>
      <c r="S44" s="517"/>
      <c r="U44" s="516"/>
      <c r="V44" s="516"/>
      <c r="W44" s="517"/>
      <c r="Y44" s="516"/>
      <c r="Z44" s="526"/>
      <c r="AB44" s="516"/>
      <c r="AC44" s="517"/>
      <c r="AD44" s="517"/>
      <c r="AQ44" s="516"/>
      <c r="AR44" s="517"/>
      <c r="BP44" s="516"/>
      <c r="BQ44" s="517"/>
      <c r="CO44" s="516"/>
      <c r="CP44" s="517"/>
      <c r="DO44" s="516"/>
      <c r="EF44" s="516"/>
      <c r="EJ44" s="517"/>
      <c r="EK44" s="516"/>
      <c r="EZ44" s="2595"/>
      <c r="FA44" s="2595"/>
      <c r="FB44" s="2595"/>
      <c r="FC44" s="2595"/>
      <c r="FM44" s="516"/>
      <c r="GW44" s="516"/>
      <c r="GZ44" s="517"/>
      <c r="HH44" s="2595"/>
      <c r="HI44" s="2595"/>
      <c r="HJ44" s="2595"/>
      <c r="HK44" s="2595"/>
      <c r="IJ44" s="516"/>
      <c r="IK44" s="516"/>
      <c r="IP44" s="517"/>
      <c r="IQ44" s="517"/>
      <c r="IU44" s="2594"/>
      <c r="IV44" s="2594"/>
      <c r="IW44" s="2594"/>
      <c r="IX44" s="2594"/>
    </row>
    <row r="45" spans="18:268" ht="4.1500000000000004" customHeight="1">
      <c r="R45" s="516"/>
      <c r="S45" s="517"/>
      <c r="U45" s="516"/>
      <c r="V45" s="516"/>
      <c r="W45" s="517"/>
      <c r="Y45" s="516"/>
      <c r="Z45" s="526"/>
      <c r="AB45" s="516"/>
      <c r="AC45" s="517"/>
      <c r="AD45" s="517"/>
      <c r="AQ45" s="516"/>
      <c r="AR45" s="517"/>
      <c r="BP45" s="516"/>
      <c r="BQ45" s="517"/>
      <c r="CO45" s="516"/>
      <c r="CP45" s="517"/>
      <c r="DO45" s="516"/>
      <c r="EF45" s="516"/>
      <c r="EJ45" s="517"/>
      <c r="EK45" s="516"/>
      <c r="FB45" s="516"/>
      <c r="FM45" s="516"/>
      <c r="GW45" s="516"/>
      <c r="GZ45" s="517"/>
      <c r="HJ45" s="516"/>
      <c r="IJ45" s="516"/>
      <c r="IK45" s="516"/>
      <c r="IP45" s="517"/>
      <c r="IQ45" s="517"/>
      <c r="IU45" s="2594"/>
      <c r="IV45" s="2594"/>
      <c r="IW45" s="2594"/>
      <c r="IX45" s="2594"/>
    </row>
    <row r="46" spans="18:268" ht="4.1500000000000004" customHeight="1">
      <c r="R46" s="516"/>
      <c r="S46" s="517"/>
      <c r="U46" s="516"/>
      <c r="V46" s="516"/>
      <c r="W46" s="517"/>
      <c r="Y46" s="516"/>
      <c r="Z46" s="526"/>
      <c r="AB46" s="516"/>
      <c r="AC46" s="517"/>
      <c r="AD46" s="517"/>
      <c r="AQ46" s="516"/>
      <c r="AR46" s="517"/>
      <c r="BP46" s="516"/>
      <c r="BQ46" s="517"/>
      <c r="CO46" s="516"/>
      <c r="CP46" s="517"/>
      <c r="DO46" s="516"/>
      <c r="EF46" s="516"/>
      <c r="EJ46" s="517"/>
      <c r="EK46" s="516"/>
      <c r="FB46" s="516"/>
      <c r="FM46" s="516"/>
      <c r="GW46" s="516"/>
      <c r="GZ46" s="517"/>
      <c r="HJ46" s="516"/>
      <c r="IJ46" s="516"/>
      <c r="IK46" s="516"/>
      <c r="IP46" s="517"/>
      <c r="IQ46" s="517"/>
      <c r="IU46" s="2594"/>
      <c r="IV46" s="2594"/>
      <c r="IW46" s="2594"/>
      <c r="IX46" s="2594"/>
    </row>
    <row r="47" spans="18:268" ht="4.1500000000000004" customHeight="1">
      <c r="R47" s="516"/>
      <c r="S47" s="517"/>
      <c r="U47" s="516"/>
      <c r="V47" s="530"/>
      <c r="W47" s="531"/>
      <c r="Y47" s="516"/>
      <c r="Z47" s="526"/>
      <c r="AB47" s="530"/>
      <c r="AC47" s="531"/>
      <c r="AD47" s="517"/>
      <c r="AQ47" s="516"/>
      <c r="AR47" s="517"/>
      <c r="BP47" s="516"/>
      <c r="BQ47" s="517"/>
      <c r="CO47" s="516"/>
      <c r="CP47" s="517"/>
      <c r="DO47" s="516"/>
      <c r="EF47" s="516"/>
      <c r="EJ47" s="517"/>
      <c r="EK47" s="516"/>
      <c r="FB47" s="516"/>
      <c r="FM47" s="516"/>
      <c r="GW47" s="516"/>
      <c r="GZ47" s="517"/>
      <c r="HA47" s="516"/>
      <c r="HJ47" s="516"/>
      <c r="IJ47" s="516"/>
      <c r="IK47" s="516"/>
      <c r="IP47" s="517"/>
      <c r="IQ47" s="517"/>
      <c r="IU47" s="2594"/>
      <c r="IV47" s="2594"/>
      <c r="IW47" s="2594"/>
      <c r="IX47" s="2594"/>
    </row>
    <row r="48" spans="18:268" ht="4.1500000000000004" customHeight="1">
      <c r="R48" s="516"/>
      <c r="S48" s="517"/>
      <c r="U48" s="516"/>
      <c r="Y48" s="516"/>
      <c r="Z48" s="526"/>
      <c r="AD48" s="517"/>
      <c r="AQ48" s="530"/>
      <c r="AR48" s="531"/>
      <c r="BE48" s="532"/>
      <c r="BF48" s="532"/>
      <c r="BP48" s="530"/>
      <c r="BQ48" s="531"/>
      <c r="CO48" s="516"/>
      <c r="CP48" s="517"/>
      <c r="DO48" s="516"/>
      <c r="EF48" s="516"/>
      <c r="EJ48" s="517"/>
      <c r="EK48" s="516"/>
      <c r="FB48" s="516"/>
      <c r="FM48" s="516"/>
      <c r="GW48" s="516"/>
      <c r="GZ48" s="517"/>
      <c r="HA48" s="516"/>
      <c r="HJ48" s="516"/>
      <c r="IJ48" s="516"/>
      <c r="IK48" s="516"/>
      <c r="IP48" s="517"/>
      <c r="IQ48" s="517"/>
      <c r="IU48" s="2594"/>
      <c r="IV48" s="2594"/>
      <c r="IW48" s="2594"/>
      <c r="IX48" s="2594"/>
    </row>
    <row r="49" spans="17:259" ht="4.1500000000000004" customHeight="1">
      <c r="Q49" s="515"/>
      <c r="R49" s="514"/>
      <c r="S49" s="514"/>
      <c r="T49" s="514"/>
      <c r="U49" s="514"/>
      <c r="V49" s="514"/>
      <c r="W49" s="514"/>
      <c r="X49" s="514"/>
      <c r="Y49" s="514"/>
      <c r="Z49" s="514"/>
      <c r="AA49" s="514"/>
      <c r="AB49" s="514"/>
      <c r="AC49" s="514"/>
      <c r="AD49" s="514"/>
      <c r="AE49" s="514"/>
      <c r="AF49" s="514"/>
      <c r="AG49" s="514"/>
      <c r="AH49" s="514"/>
      <c r="AI49" s="514"/>
      <c r="AJ49" s="514"/>
      <c r="AK49" s="514"/>
      <c r="AL49" s="514"/>
      <c r="AM49" s="514"/>
      <c r="AN49" s="514"/>
      <c r="AO49" s="514"/>
      <c r="AP49" s="514"/>
      <c r="AQ49" s="514"/>
      <c r="AR49" s="514"/>
      <c r="AS49" s="514"/>
      <c r="AT49" s="514"/>
      <c r="AU49" s="514"/>
      <c r="AV49" s="514"/>
      <c r="AW49" s="514"/>
      <c r="AX49" s="514"/>
      <c r="AY49" s="514"/>
      <c r="AZ49" s="514"/>
      <c r="BA49" s="514"/>
      <c r="BB49" s="514"/>
      <c r="BC49" s="514"/>
      <c r="BD49" s="514"/>
      <c r="BG49" s="514"/>
      <c r="BH49" s="514"/>
      <c r="BI49" s="514"/>
      <c r="BJ49" s="514"/>
      <c r="BK49" s="514"/>
      <c r="BL49" s="514"/>
      <c r="BM49" s="514"/>
      <c r="BN49" s="514"/>
      <c r="BO49" s="514"/>
      <c r="BP49" s="514"/>
      <c r="BQ49" s="514"/>
      <c r="BR49" s="514"/>
      <c r="BS49" s="514"/>
      <c r="BT49" s="514"/>
      <c r="BU49" s="514"/>
      <c r="BV49" s="514"/>
      <c r="BW49" s="514"/>
      <c r="BX49" s="514"/>
      <c r="BY49" s="514"/>
      <c r="BZ49" s="514"/>
      <c r="CA49" s="514"/>
      <c r="CB49" s="514"/>
      <c r="CC49" s="514"/>
      <c r="CD49" s="514"/>
      <c r="CE49" s="514"/>
      <c r="CF49" s="514"/>
      <c r="CG49" s="514"/>
      <c r="CH49" s="514"/>
      <c r="CI49" s="514"/>
      <c r="CJ49" s="514"/>
      <c r="CK49" s="514"/>
      <c r="CL49" s="514"/>
      <c r="CM49" s="514"/>
      <c r="CN49" s="514"/>
      <c r="CO49" s="514"/>
      <c r="CP49" s="514"/>
      <c r="CQ49" s="518"/>
      <c r="DO49" s="516"/>
      <c r="EF49" s="516"/>
      <c r="EJ49" s="517"/>
      <c r="EK49" s="516"/>
      <c r="FB49" s="516"/>
      <c r="FM49" s="516"/>
      <c r="FS49" s="2608" t="s">
        <v>2981</v>
      </c>
      <c r="FT49" s="2608"/>
      <c r="FU49" s="2608"/>
      <c r="FV49" s="2608"/>
      <c r="FW49" s="2608"/>
      <c r="FX49" s="2608"/>
      <c r="FY49" s="2608"/>
      <c r="GW49" s="516"/>
      <c r="GZ49" s="517"/>
      <c r="HA49" s="516"/>
      <c r="HJ49" s="516"/>
      <c r="IJ49" s="516"/>
      <c r="IK49" s="530"/>
      <c r="IL49" s="532"/>
      <c r="IM49" s="532"/>
      <c r="IN49" s="532"/>
      <c r="IO49" s="532"/>
      <c r="IP49" s="531"/>
      <c r="IQ49" s="517"/>
      <c r="IU49" s="2594"/>
      <c r="IV49" s="2594"/>
      <c r="IW49" s="2594"/>
      <c r="IX49" s="2594"/>
    </row>
    <row r="50" spans="17:259" ht="4.1500000000000004" customHeight="1">
      <c r="Q50" s="530"/>
      <c r="R50" s="532"/>
      <c r="S50" s="532"/>
      <c r="T50" s="532"/>
      <c r="U50" s="532"/>
      <c r="V50" s="532"/>
      <c r="W50" s="532"/>
      <c r="X50" s="532"/>
      <c r="Y50" s="532"/>
      <c r="Z50" s="532"/>
      <c r="AA50" s="532"/>
      <c r="AB50" s="532"/>
      <c r="AC50" s="532"/>
      <c r="AD50" s="532"/>
      <c r="AE50" s="532"/>
      <c r="AF50" s="532"/>
      <c r="AG50" s="532"/>
      <c r="AH50" s="532"/>
      <c r="AI50" s="532"/>
      <c r="AJ50" s="532"/>
      <c r="AK50" s="532"/>
      <c r="AL50" s="532"/>
      <c r="AM50" s="532"/>
      <c r="AN50" s="532"/>
      <c r="AO50" s="532"/>
      <c r="AP50" s="532"/>
      <c r="AQ50" s="532"/>
      <c r="AR50" s="532"/>
      <c r="AS50" s="532"/>
      <c r="AT50" s="532"/>
      <c r="AU50" s="532"/>
      <c r="AV50" s="532"/>
      <c r="AW50" s="532"/>
      <c r="AX50" s="532"/>
      <c r="AY50" s="532"/>
      <c r="AZ50" s="532"/>
      <c r="BA50" s="532"/>
      <c r="BB50" s="532"/>
      <c r="BC50" s="532"/>
      <c r="BD50" s="532"/>
      <c r="BE50" s="532"/>
      <c r="BF50" s="532"/>
      <c r="BG50" s="532"/>
      <c r="BH50" s="532"/>
      <c r="BI50" s="532"/>
      <c r="BJ50" s="532"/>
      <c r="BK50" s="532"/>
      <c r="BL50" s="532"/>
      <c r="BM50" s="532"/>
      <c r="BN50" s="532"/>
      <c r="BO50" s="532"/>
      <c r="BP50" s="532"/>
      <c r="BQ50" s="532"/>
      <c r="BR50" s="532"/>
      <c r="BS50" s="532"/>
      <c r="BT50" s="532"/>
      <c r="BU50" s="532"/>
      <c r="BV50" s="532"/>
      <c r="BW50" s="532"/>
      <c r="BX50" s="532"/>
      <c r="BY50" s="532"/>
      <c r="BZ50" s="532"/>
      <c r="CA50" s="532"/>
      <c r="CB50" s="532"/>
      <c r="CC50" s="532"/>
      <c r="CD50" s="532"/>
      <c r="CE50" s="532"/>
      <c r="CF50" s="532"/>
      <c r="CG50" s="532"/>
      <c r="CH50" s="532"/>
      <c r="CI50" s="532"/>
      <c r="CJ50" s="532"/>
      <c r="CK50" s="532"/>
      <c r="CL50" s="532"/>
      <c r="CM50" s="532"/>
      <c r="CN50" s="532"/>
      <c r="CO50" s="532"/>
      <c r="CP50" s="532"/>
      <c r="CQ50" s="531"/>
      <c r="DO50" s="516"/>
      <c r="EF50" s="516"/>
      <c r="EJ50" s="517"/>
      <c r="EK50" s="516"/>
      <c r="FB50" s="516"/>
      <c r="FM50" s="516"/>
      <c r="FS50" s="2608"/>
      <c r="FT50" s="2608"/>
      <c r="FU50" s="2608"/>
      <c r="FV50" s="2608"/>
      <c r="FW50" s="2608"/>
      <c r="FX50" s="2608"/>
      <c r="FY50" s="2608"/>
      <c r="GW50" s="516"/>
      <c r="GZ50" s="517"/>
      <c r="HA50" s="516"/>
      <c r="HJ50" s="516"/>
      <c r="IJ50" s="530"/>
      <c r="IK50" s="532"/>
      <c r="IL50" s="532"/>
      <c r="IM50" s="532"/>
      <c r="IN50" s="532"/>
      <c r="IO50" s="532"/>
      <c r="IP50" s="532"/>
      <c r="IQ50" s="531"/>
      <c r="IU50" s="2614"/>
      <c r="IV50" s="2614"/>
      <c r="IW50" s="2614"/>
      <c r="IX50" s="2614"/>
    </row>
    <row r="51" spans="17:259" ht="4.1500000000000004" customHeight="1">
      <c r="Q51" s="515"/>
      <c r="R51" s="514"/>
      <c r="S51" s="514"/>
      <c r="T51" s="514"/>
      <c r="U51" s="514"/>
      <c r="V51" s="514"/>
      <c r="W51" s="514"/>
      <c r="X51" s="514"/>
      <c r="Y51" s="514"/>
      <c r="Z51" s="514"/>
      <c r="AA51" s="514"/>
      <c r="AB51" s="514"/>
      <c r="AC51" s="514"/>
      <c r="AD51" s="514"/>
      <c r="AE51" s="514"/>
      <c r="AF51" s="514"/>
      <c r="AG51" s="514"/>
      <c r="AH51" s="514"/>
      <c r="AI51" s="514"/>
      <c r="AJ51" s="514"/>
      <c r="AK51" s="514"/>
      <c r="AL51" s="514"/>
      <c r="AM51" s="514"/>
      <c r="AN51" s="514"/>
      <c r="AO51" s="514"/>
      <c r="AP51" s="514"/>
      <c r="AQ51" s="514"/>
      <c r="AR51" s="514"/>
      <c r="AS51" s="514"/>
      <c r="AT51" s="514"/>
      <c r="AU51" s="514"/>
      <c r="AV51" s="514"/>
      <c r="AW51" s="514"/>
      <c r="AX51" s="514"/>
      <c r="AY51" s="514"/>
      <c r="AZ51" s="514"/>
      <c r="BA51" s="514"/>
      <c r="BB51" s="514"/>
      <c r="BC51" s="514"/>
      <c r="BD51" s="514"/>
      <c r="BE51" s="514"/>
      <c r="BF51" s="514"/>
      <c r="BG51" s="514"/>
      <c r="BH51" s="514"/>
      <c r="BI51" s="514"/>
      <c r="BJ51" s="514"/>
      <c r="BK51" s="514"/>
      <c r="BL51" s="514"/>
      <c r="BM51" s="514"/>
      <c r="BN51" s="514"/>
      <c r="BO51" s="514"/>
      <c r="BP51" s="514"/>
      <c r="BQ51" s="514"/>
      <c r="BR51" s="514"/>
      <c r="BS51" s="514"/>
      <c r="BT51" s="514"/>
      <c r="BU51" s="514"/>
      <c r="BV51" s="514"/>
      <c r="BW51" s="514"/>
      <c r="BX51" s="514"/>
      <c r="BY51" s="514"/>
      <c r="BZ51" s="514"/>
      <c r="CA51" s="514"/>
      <c r="CB51" s="514"/>
      <c r="CC51" s="514"/>
      <c r="CD51" s="514"/>
      <c r="CE51" s="514"/>
      <c r="CF51" s="514"/>
      <c r="CG51" s="514"/>
      <c r="CH51" s="514"/>
      <c r="CI51" s="514"/>
      <c r="CJ51" s="514"/>
      <c r="CK51" s="514"/>
      <c r="CL51" s="514"/>
      <c r="CM51" s="514"/>
      <c r="CN51" s="514"/>
      <c r="CO51" s="514"/>
      <c r="CP51" s="514"/>
      <c r="CQ51" s="518"/>
      <c r="DO51" s="516"/>
      <c r="EF51" s="516"/>
      <c r="EJ51" s="517"/>
      <c r="EK51" s="516"/>
      <c r="FB51" s="516"/>
      <c r="FM51" s="516"/>
      <c r="FS51" s="2608"/>
      <c r="FT51" s="2608"/>
      <c r="FU51" s="2608"/>
      <c r="FV51" s="2608"/>
      <c r="FW51" s="2608"/>
      <c r="FX51" s="2608"/>
      <c r="FY51" s="2608"/>
      <c r="GW51" s="516"/>
      <c r="GZ51" s="517"/>
      <c r="HA51" s="516"/>
      <c r="HJ51" s="516"/>
    </row>
    <row r="52" spans="17:259" ht="4.1500000000000004" customHeight="1">
      <c r="Q52" s="530"/>
      <c r="R52" s="532"/>
      <c r="S52" s="532"/>
      <c r="T52" s="532"/>
      <c r="U52" s="532"/>
      <c r="V52" s="532"/>
      <c r="W52" s="532"/>
      <c r="X52" s="532"/>
      <c r="Y52" s="532"/>
      <c r="Z52" s="532"/>
      <c r="AA52" s="532"/>
      <c r="AB52" s="532"/>
      <c r="AC52" s="532"/>
      <c r="AD52" s="532"/>
      <c r="AE52" s="532"/>
      <c r="AF52" s="532"/>
      <c r="AG52" s="532"/>
      <c r="AH52" s="532"/>
      <c r="AI52" s="532"/>
      <c r="AJ52" s="532"/>
      <c r="AK52" s="532"/>
      <c r="AL52" s="532"/>
      <c r="AM52" s="532"/>
      <c r="AN52" s="532"/>
      <c r="AO52" s="532"/>
      <c r="AP52" s="532"/>
      <c r="AQ52" s="532"/>
      <c r="AR52" s="532"/>
      <c r="AS52" s="532"/>
      <c r="AT52" s="532"/>
      <c r="AU52" s="532"/>
      <c r="AV52" s="532"/>
      <c r="AW52" s="532"/>
      <c r="AX52" s="532"/>
      <c r="AY52" s="532"/>
      <c r="AZ52" s="532"/>
      <c r="BA52" s="532"/>
      <c r="BB52" s="532"/>
      <c r="BC52" s="532"/>
      <c r="BD52" s="532"/>
      <c r="BE52" s="532"/>
      <c r="BF52" s="532"/>
      <c r="BG52" s="532"/>
      <c r="BH52" s="532"/>
      <c r="BI52" s="532"/>
      <c r="BJ52" s="532"/>
      <c r="BK52" s="532"/>
      <c r="BL52" s="532"/>
      <c r="BM52" s="532"/>
      <c r="BN52" s="532"/>
      <c r="BO52" s="532"/>
      <c r="BP52" s="532"/>
      <c r="BQ52" s="532"/>
      <c r="BR52" s="532"/>
      <c r="BS52" s="532"/>
      <c r="BT52" s="532"/>
      <c r="BU52" s="532"/>
      <c r="BV52" s="532"/>
      <c r="BW52" s="532"/>
      <c r="BX52" s="532"/>
      <c r="BY52" s="532"/>
      <c r="BZ52" s="532"/>
      <c r="CA52" s="532"/>
      <c r="CB52" s="532"/>
      <c r="CC52" s="532"/>
      <c r="CD52" s="532"/>
      <c r="CE52" s="532"/>
      <c r="CF52" s="532"/>
      <c r="CG52" s="532"/>
      <c r="CH52" s="532"/>
      <c r="CI52" s="532"/>
      <c r="CJ52" s="532"/>
      <c r="CK52" s="532"/>
      <c r="CL52" s="532"/>
      <c r="CM52" s="532"/>
      <c r="CN52" s="532"/>
      <c r="CO52" s="532"/>
      <c r="CP52" s="532"/>
      <c r="CQ52" s="531"/>
      <c r="DO52" s="516"/>
      <c r="EF52" s="516"/>
      <c r="EJ52" s="517"/>
      <c r="EK52" s="530"/>
      <c r="EL52" s="532"/>
      <c r="EM52" s="532"/>
      <c r="EN52" s="532"/>
      <c r="EO52" s="532"/>
      <c r="EP52" s="532"/>
      <c r="EQ52" s="532"/>
      <c r="ER52" s="532"/>
      <c r="ES52" s="532"/>
      <c r="ET52" s="532"/>
      <c r="EU52" s="532"/>
      <c r="EV52" s="532"/>
      <c r="EW52" s="532"/>
      <c r="EX52" s="532"/>
      <c r="EY52" s="532"/>
      <c r="EZ52" s="532"/>
      <c r="FA52" s="532"/>
      <c r="FB52" s="530"/>
      <c r="FC52" s="532"/>
      <c r="FD52" s="532"/>
      <c r="FE52" s="532"/>
      <c r="FF52" s="532"/>
      <c r="FG52" s="532"/>
      <c r="FM52" s="516"/>
      <c r="FO52" s="532"/>
      <c r="FP52" s="532"/>
      <c r="FQ52" s="532"/>
      <c r="FR52" s="532"/>
      <c r="FS52" s="532"/>
      <c r="FT52" s="532"/>
      <c r="FU52" s="532"/>
      <c r="FV52" s="532"/>
      <c r="FW52" s="532"/>
      <c r="FX52" s="532"/>
      <c r="FY52" s="532"/>
      <c r="GA52" s="532"/>
      <c r="GB52" s="532"/>
      <c r="GC52" s="532"/>
      <c r="GD52" s="532"/>
      <c r="GE52" s="532"/>
      <c r="GF52" s="532"/>
      <c r="GG52" s="532"/>
      <c r="GH52" s="532"/>
      <c r="GI52" s="532"/>
      <c r="GJ52" s="532"/>
      <c r="GK52" s="532"/>
      <c r="GL52" s="532"/>
      <c r="GM52" s="532"/>
      <c r="GN52" s="532"/>
      <c r="GO52" s="532"/>
      <c r="GP52" s="532"/>
      <c r="GQ52" s="532"/>
      <c r="GR52" s="532"/>
      <c r="GS52" s="532"/>
      <c r="GT52" s="532"/>
      <c r="GU52" s="532"/>
      <c r="GW52" s="516"/>
      <c r="GZ52" s="517"/>
      <c r="HA52" s="530"/>
      <c r="HB52" s="532"/>
      <c r="HC52" s="532"/>
      <c r="HD52" s="532"/>
      <c r="HE52" s="532"/>
      <c r="HF52" s="532"/>
      <c r="HG52" s="532"/>
      <c r="HH52" s="532"/>
      <c r="HI52" s="532"/>
      <c r="HJ52" s="530"/>
      <c r="HK52" s="532"/>
      <c r="HL52" s="532"/>
      <c r="HM52" s="532"/>
      <c r="HN52" s="532"/>
      <c r="HO52" s="532"/>
      <c r="HP52" s="532"/>
      <c r="HQ52" s="532"/>
      <c r="HR52" s="532"/>
      <c r="HS52" s="532"/>
      <c r="HT52" s="532"/>
      <c r="HU52" s="532"/>
      <c r="HV52" s="532"/>
      <c r="HW52" s="532"/>
      <c r="HX52" s="532"/>
      <c r="HY52" s="532"/>
      <c r="IJ52" s="2609">
        <v>0.25</v>
      </c>
      <c r="IK52" s="2610"/>
      <c r="IL52" s="2610"/>
      <c r="IM52" s="2610"/>
      <c r="IN52" s="2610"/>
      <c r="IO52" s="2610"/>
      <c r="IP52" s="2610"/>
      <c r="IQ52" s="2611"/>
    </row>
    <row r="53" spans="17:259" ht="4.1500000000000004" customHeight="1">
      <c r="Q53" s="515"/>
      <c r="R53" s="514"/>
      <c r="S53" s="514"/>
      <c r="T53" s="514"/>
      <c r="U53" s="514"/>
      <c r="V53" s="514"/>
      <c r="W53" s="514"/>
      <c r="X53" s="514"/>
      <c r="Y53" s="514"/>
      <c r="Z53" s="514"/>
      <c r="AA53" s="514"/>
      <c r="AB53" s="514"/>
      <c r="AC53" s="514"/>
      <c r="AD53" s="514"/>
      <c r="AE53" s="514"/>
      <c r="AF53" s="514"/>
      <c r="AG53" s="514"/>
      <c r="AH53" s="514"/>
      <c r="AI53" s="514"/>
      <c r="AJ53" s="514"/>
      <c r="AK53" s="514"/>
      <c r="AL53" s="514"/>
      <c r="AM53" s="514"/>
      <c r="AN53" s="514"/>
      <c r="AO53" s="514"/>
      <c r="AP53" s="514"/>
      <c r="AQ53" s="514"/>
      <c r="AR53" s="514"/>
      <c r="AS53" s="514"/>
      <c r="AT53" s="514"/>
      <c r="AU53" s="514"/>
      <c r="AV53" s="514"/>
      <c r="AW53" s="514"/>
      <c r="AX53" s="514"/>
      <c r="AY53" s="514"/>
      <c r="AZ53" s="514"/>
      <c r="BA53" s="514"/>
      <c r="BB53" s="514"/>
      <c r="BC53" s="514"/>
      <c r="BD53" s="514"/>
      <c r="BE53" s="514"/>
      <c r="BF53" s="514"/>
      <c r="BG53" s="514"/>
      <c r="BH53" s="514"/>
      <c r="BI53" s="514"/>
      <c r="BJ53" s="514"/>
      <c r="BK53" s="514"/>
      <c r="BL53" s="514"/>
      <c r="BM53" s="514"/>
      <c r="BN53" s="514"/>
      <c r="BO53" s="514"/>
      <c r="BP53" s="514"/>
      <c r="BQ53" s="514"/>
      <c r="BR53" s="514"/>
      <c r="BS53" s="514"/>
      <c r="BT53" s="514"/>
      <c r="BU53" s="514"/>
      <c r="BV53" s="514"/>
      <c r="BW53" s="514"/>
      <c r="BX53" s="514"/>
      <c r="BY53" s="514"/>
      <c r="BZ53" s="514"/>
      <c r="CA53" s="514"/>
      <c r="CB53" s="514"/>
      <c r="CC53" s="514"/>
      <c r="CD53" s="514"/>
      <c r="CE53" s="514"/>
      <c r="CF53" s="514"/>
      <c r="CG53" s="514"/>
      <c r="CH53" s="514"/>
      <c r="CI53" s="514"/>
      <c r="CJ53" s="514"/>
      <c r="CK53" s="514"/>
      <c r="CL53" s="514"/>
      <c r="CM53" s="514"/>
      <c r="CN53" s="514"/>
      <c r="CO53" s="514"/>
      <c r="CP53" s="514"/>
      <c r="CQ53" s="518"/>
      <c r="DO53" s="516"/>
      <c r="EF53" s="519"/>
      <c r="EG53" s="520"/>
      <c r="EH53" s="520"/>
      <c r="EI53" s="520"/>
      <c r="EJ53" s="521"/>
      <c r="EV53" s="2596">
        <v>0.2</v>
      </c>
      <c r="EW53" s="2597"/>
      <c r="EX53" s="2597"/>
      <c r="EY53" s="2597"/>
      <c r="EZ53" s="2597"/>
      <c r="FA53" s="2597"/>
      <c r="FB53" s="2597"/>
      <c r="FC53" s="2597"/>
      <c r="FD53" s="2597"/>
      <c r="FE53" s="2597"/>
      <c r="FF53" s="2597"/>
      <c r="FG53" s="2597"/>
      <c r="FK53" s="514"/>
      <c r="FL53" s="2623">
        <f>EV53+EV58</f>
        <v>0.60000000000000009</v>
      </c>
      <c r="FM53" s="2624"/>
      <c r="FN53" s="2624"/>
      <c r="FO53" s="2595"/>
      <c r="GW53" s="519"/>
      <c r="GX53" s="520"/>
      <c r="GY53" s="520"/>
      <c r="GZ53" s="521"/>
      <c r="IJ53" s="2609"/>
      <c r="IK53" s="2610"/>
      <c r="IL53" s="2610"/>
      <c r="IM53" s="2610"/>
      <c r="IN53" s="2610"/>
      <c r="IO53" s="2610"/>
      <c r="IP53" s="2610"/>
      <c r="IQ53" s="2611"/>
    </row>
    <row r="54" spans="17:259" ht="4.1500000000000004" customHeight="1">
      <c r="Q54" s="530"/>
      <c r="R54" s="532"/>
      <c r="S54" s="532"/>
      <c r="T54" s="532"/>
      <c r="U54" s="532"/>
      <c r="V54" s="532"/>
      <c r="W54" s="532"/>
      <c r="X54" s="532"/>
      <c r="Y54" s="532"/>
      <c r="Z54" s="532"/>
      <c r="AA54" s="532"/>
      <c r="AB54" s="532"/>
      <c r="AC54" s="532"/>
      <c r="AD54" s="532"/>
      <c r="AE54" s="532"/>
      <c r="AF54" s="532"/>
      <c r="AG54" s="532"/>
      <c r="AH54" s="532"/>
      <c r="AI54" s="532"/>
      <c r="AJ54" s="532"/>
      <c r="AK54" s="532"/>
      <c r="AL54" s="532"/>
      <c r="AM54" s="532"/>
      <c r="AN54" s="532"/>
      <c r="AO54" s="532"/>
      <c r="AP54" s="532"/>
      <c r="AQ54" s="532"/>
      <c r="AR54" s="532"/>
      <c r="AS54" s="532"/>
      <c r="AT54" s="532"/>
      <c r="AU54" s="532"/>
      <c r="AV54" s="532"/>
      <c r="AW54" s="532"/>
      <c r="AX54" s="532"/>
      <c r="AY54" s="532"/>
      <c r="AZ54" s="532"/>
      <c r="BA54" s="532"/>
      <c r="BB54" s="532"/>
      <c r="BC54" s="532"/>
      <c r="BD54" s="532"/>
      <c r="BE54" s="532"/>
      <c r="BF54" s="532"/>
      <c r="BG54" s="532"/>
      <c r="BH54" s="532"/>
      <c r="BI54" s="532"/>
      <c r="BJ54" s="532"/>
      <c r="BK54" s="532"/>
      <c r="BL54" s="532"/>
      <c r="BM54" s="532"/>
      <c r="BN54" s="532"/>
      <c r="BO54" s="532"/>
      <c r="BP54" s="532"/>
      <c r="BQ54" s="532"/>
      <c r="BR54" s="532"/>
      <c r="BS54" s="532"/>
      <c r="BT54" s="532"/>
      <c r="BU54" s="532"/>
      <c r="BV54" s="532"/>
      <c r="BW54" s="532"/>
      <c r="BX54" s="532"/>
      <c r="BY54" s="532"/>
      <c r="BZ54" s="532"/>
      <c r="CA54" s="532"/>
      <c r="CB54" s="532"/>
      <c r="CC54" s="532"/>
      <c r="CD54" s="532"/>
      <c r="CE54" s="532"/>
      <c r="CF54" s="532"/>
      <c r="CG54" s="532"/>
      <c r="CH54" s="532"/>
      <c r="CI54" s="532"/>
      <c r="CJ54" s="532"/>
      <c r="CK54" s="532"/>
      <c r="CL54" s="532"/>
      <c r="CM54" s="532"/>
      <c r="CN54" s="532"/>
      <c r="CO54" s="532"/>
      <c r="CP54" s="532"/>
      <c r="CQ54" s="531"/>
      <c r="DO54" s="516"/>
      <c r="EF54" s="522"/>
      <c r="EG54" s="523"/>
      <c r="EH54" s="523"/>
      <c r="EI54" s="523"/>
      <c r="EJ54" s="524"/>
      <c r="EV54" s="2596"/>
      <c r="EW54" s="2596"/>
      <c r="EX54" s="2596"/>
      <c r="EY54" s="2596"/>
      <c r="EZ54" s="2596"/>
      <c r="FA54" s="2596"/>
      <c r="FB54" s="2596"/>
      <c r="FC54" s="2596"/>
      <c r="FD54" s="2596"/>
      <c r="FE54" s="2596"/>
      <c r="FF54" s="2596"/>
      <c r="FG54" s="2596"/>
      <c r="FL54" s="2595"/>
      <c r="FM54" s="2595"/>
      <c r="FN54" s="2595"/>
      <c r="FO54" s="2595"/>
      <c r="GW54" s="522"/>
      <c r="GX54" s="523"/>
      <c r="GY54" s="523"/>
      <c r="GZ54" s="524"/>
      <c r="IJ54" s="2609"/>
      <c r="IK54" s="2610"/>
      <c r="IL54" s="2610"/>
      <c r="IM54" s="2610"/>
      <c r="IN54" s="2610"/>
      <c r="IO54" s="2610"/>
      <c r="IP54" s="2610"/>
      <c r="IQ54" s="2611"/>
    </row>
    <row r="55" spans="17:259" ht="4.1500000000000004" customHeight="1">
      <c r="DO55" s="516"/>
      <c r="EF55" s="522"/>
      <c r="EG55" s="523"/>
      <c r="EH55" s="523"/>
      <c r="EI55" s="523"/>
      <c r="EJ55" s="524"/>
      <c r="EV55" s="2598"/>
      <c r="EW55" s="2598"/>
      <c r="EX55" s="2598"/>
      <c r="EY55" s="2598"/>
      <c r="EZ55" s="2598"/>
      <c r="FA55" s="2598"/>
      <c r="FB55" s="2598"/>
      <c r="FC55" s="2598"/>
      <c r="FD55" s="2598"/>
      <c r="FE55" s="2598"/>
      <c r="FF55" s="2598"/>
      <c r="FG55" s="2598"/>
      <c r="FL55" s="2595"/>
      <c r="FM55" s="2595"/>
      <c r="FN55" s="2595"/>
      <c r="FO55" s="2595"/>
      <c r="GW55" s="527"/>
      <c r="GX55" s="528"/>
      <c r="GY55" s="528"/>
      <c r="GZ55" s="529"/>
      <c r="HA55" s="516"/>
    </row>
    <row r="56" spans="17:259" ht="4.1500000000000004" customHeight="1">
      <c r="DO56" s="516"/>
      <c r="EF56" s="2626">
        <f>R81</f>
        <v>0.25</v>
      </c>
      <c r="EG56" s="2627"/>
      <c r="EH56" s="2627"/>
      <c r="EI56" s="2627"/>
      <c r="EJ56" s="2628"/>
      <c r="EV56" s="514"/>
      <c r="EW56" s="514"/>
      <c r="EX56" s="514"/>
      <c r="EY56" s="514"/>
      <c r="EZ56" s="514"/>
      <c r="FA56" s="514"/>
      <c r="FB56" s="514"/>
      <c r="FC56" s="514"/>
      <c r="FD56" s="514"/>
      <c r="FE56" s="514"/>
      <c r="FF56" s="514"/>
      <c r="FG56" s="514"/>
      <c r="FL56" s="2595"/>
      <c r="FM56" s="2595"/>
      <c r="FN56" s="2595"/>
      <c r="FO56" s="2595"/>
      <c r="GW56" s="515"/>
      <c r="GX56" s="514"/>
      <c r="GY56" s="514"/>
      <c r="GZ56" s="518"/>
      <c r="HA56" s="516"/>
    </row>
    <row r="57" spans="17:259" ht="4.1500000000000004" customHeight="1">
      <c r="DO57" s="516"/>
      <c r="EF57" s="2629"/>
      <c r="EG57" s="2630"/>
      <c r="EH57" s="2630"/>
      <c r="EI57" s="2630"/>
      <c r="EJ57" s="2631"/>
      <c r="EV57" s="534"/>
      <c r="EW57" s="534"/>
      <c r="EX57" s="534"/>
      <c r="EY57" s="534"/>
      <c r="EZ57" s="534"/>
      <c r="FA57" s="534"/>
      <c r="FB57" s="534"/>
      <c r="FC57" s="534"/>
      <c r="FD57" s="534"/>
      <c r="FE57" s="534"/>
      <c r="FF57" s="534"/>
      <c r="FG57" s="534"/>
      <c r="FL57" s="2595"/>
      <c r="FM57" s="2595"/>
      <c r="FN57" s="2595"/>
      <c r="FO57" s="2595"/>
      <c r="GW57" s="516"/>
      <c r="GZ57" s="517"/>
      <c r="HA57" s="516"/>
    </row>
    <row r="58" spans="17:259" ht="4.1500000000000004" customHeight="1">
      <c r="DO58" s="516"/>
      <c r="EB58" s="515"/>
      <c r="EC58" s="514"/>
      <c r="ED58" s="514"/>
      <c r="EE58" s="518"/>
      <c r="EF58" s="2629"/>
      <c r="EG58" s="2630"/>
      <c r="EH58" s="2630"/>
      <c r="EI58" s="2630"/>
      <c r="EJ58" s="2631"/>
      <c r="EV58" s="2596">
        <v>0.4</v>
      </c>
      <c r="EW58" s="2596"/>
      <c r="EX58" s="2596"/>
      <c r="EY58" s="2596"/>
      <c r="EZ58" s="2596"/>
      <c r="FA58" s="2596"/>
      <c r="FB58" s="2596"/>
      <c r="FC58" s="2596"/>
      <c r="FD58" s="2596"/>
      <c r="FE58" s="2596"/>
      <c r="FF58" s="2596"/>
      <c r="FG58" s="2596"/>
      <c r="FL58" s="2595"/>
      <c r="FM58" s="2595"/>
      <c r="FN58" s="2595"/>
      <c r="FO58" s="2595"/>
      <c r="GV58" s="517"/>
      <c r="GW58" s="516"/>
      <c r="GZ58" s="517"/>
      <c r="HA58" s="516"/>
    </row>
    <row r="59" spans="17:259" ht="4.1500000000000004" customHeight="1">
      <c r="DO59" s="516"/>
      <c r="EB59" s="516"/>
      <c r="EE59" s="517"/>
      <c r="EF59" s="2629"/>
      <c r="EG59" s="2630"/>
      <c r="EH59" s="2630"/>
      <c r="EI59" s="2630"/>
      <c r="EJ59" s="2631"/>
      <c r="EV59" s="2596"/>
      <c r="EW59" s="2596"/>
      <c r="EX59" s="2596"/>
      <c r="EY59" s="2596"/>
      <c r="EZ59" s="2596"/>
      <c r="FA59" s="2596"/>
      <c r="FB59" s="2596"/>
      <c r="FC59" s="2596"/>
      <c r="FD59" s="2596"/>
      <c r="FE59" s="2596"/>
      <c r="FF59" s="2596"/>
      <c r="FG59" s="2596"/>
      <c r="FL59" s="2595"/>
      <c r="FM59" s="2595"/>
      <c r="FN59" s="2595"/>
      <c r="FO59" s="2595"/>
      <c r="FS59" s="2608" t="s">
        <v>2980</v>
      </c>
      <c r="FT59" s="2608"/>
      <c r="FU59" s="2608"/>
      <c r="FV59" s="2608"/>
      <c r="FW59" s="2608"/>
      <c r="FX59" s="2608"/>
      <c r="FY59" s="2608"/>
      <c r="GV59" s="517"/>
      <c r="GW59" s="516"/>
      <c r="GZ59" s="517"/>
      <c r="HA59" s="516"/>
    </row>
    <row r="60" spans="17:259" ht="4.1500000000000004" customHeight="1">
      <c r="DO60" s="516"/>
      <c r="DX60" s="515"/>
      <c r="DY60" s="514"/>
      <c r="DZ60" s="514"/>
      <c r="EA60" s="514"/>
      <c r="EF60" s="2629"/>
      <c r="EG60" s="2630"/>
      <c r="EH60" s="2630"/>
      <c r="EI60" s="2630"/>
      <c r="EJ60" s="2631"/>
      <c r="EV60" s="2596"/>
      <c r="EW60" s="2596"/>
      <c r="EX60" s="2596"/>
      <c r="EY60" s="2596"/>
      <c r="EZ60" s="2596"/>
      <c r="FA60" s="2596"/>
      <c r="FB60" s="2596"/>
      <c r="FC60" s="2596"/>
      <c r="FD60" s="2596"/>
      <c r="FE60" s="2596"/>
      <c r="FF60" s="2596"/>
      <c r="FG60" s="2596"/>
      <c r="FL60" s="2595"/>
      <c r="FM60" s="2595"/>
      <c r="FN60" s="2595"/>
      <c r="FO60" s="2595"/>
      <c r="FS60" s="2608"/>
      <c r="FT60" s="2608"/>
      <c r="FU60" s="2608"/>
      <c r="FV60" s="2608"/>
      <c r="FW60" s="2608"/>
      <c r="FX60" s="2608"/>
      <c r="FY60" s="2608"/>
      <c r="GV60" s="517"/>
      <c r="GW60" s="516"/>
      <c r="GZ60" s="517"/>
      <c r="HA60" s="516"/>
      <c r="ID60" s="2612" t="s">
        <v>3597</v>
      </c>
      <c r="IE60" s="2612"/>
      <c r="IF60" s="2612"/>
      <c r="IG60" s="2612"/>
      <c r="IH60" s="2612"/>
      <c r="II60" s="2612"/>
      <c r="IJ60" s="2612"/>
      <c r="IK60" s="2612"/>
      <c r="IL60" s="2612"/>
      <c r="IM60" s="2612"/>
      <c r="IN60" s="2612"/>
      <c r="IO60" s="2612"/>
      <c r="IP60" s="2612"/>
      <c r="IQ60" s="2612"/>
      <c r="IR60" s="2612"/>
      <c r="IS60" s="2612"/>
      <c r="IT60" s="2612"/>
      <c r="IU60" s="2612"/>
      <c r="IV60" s="2612"/>
      <c r="IW60" s="2612"/>
      <c r="IX60" s="2612"/>
      <c r="IY60" s="2612"/>
    </row>
    <row r="61" spans="17:259" ht="4.1500000000000004" customHeight="1">
      <c r="DL61" s="532"/>
      <c r="DM61" s="532"/>
      <c r="DN61" s="532"/>
      <c r="DO61" s="530"/>
      <c r="DP61" s="532"/>
      <c r="DQ61" s="532"/>
      <c r="DR61" s="532"/>
      <c r="DS61" s="532"/>
      <c r="DT61" s="532"/>
      <c r="DU61" s="532"/>
      <c r="DV61" s="532"/>
      <c r="DW61" s="532"/>
      <c r="DX61" s="530"/>
      <c r="DY61" s="532"/>
      <c r="DZ61" s="532"/>
      <c r="EA61" s="532"/>
      <c r="EF61" s="2632"/>
      <c r="EG61" s="2633"/>
      <c r="EH61" s="2633"/>
      <c r="EI61" s="2633"/>
      <c r="EJ61" s="2634"/>
      <c r="EN61" s="532"/>
      <c r="EO61" s="532"/>
      <c r="EP61" s="532"/>
      <c r="EQ61" s="532"/>
      <c r="ER61" s="532"/>
      <c r="ES61" s="532"/>
      <c r="ET61" s="532"/>
      <c r="EU61" s="532"/>
      <c r="EV61" s="535"/>
      <c r="EW61" s="535"/>
      <c r="EX61" s="535"/>
      <c r="EY61" s="535"/>
      <c r="EZ61" s="535"/>
      <c r="FA61" s="535"/>
      <c r="FB61" s="535"/>
      <c r="FC61" s="535"/>
      <c r="FD61" s="535"/>
      <c r="FE61" s="535"/>
      <c r="FF61" s="535"/>
      <c r="FG61" s="535"/>
      <c r="FK61" s="532"/>
      <c r="FL61" s="2625"/>
      <c r="FM61" s="2625"/>
      <c r="FN61" s="2625"/>
      <c r="FO61" s="2625"/>
      <c r="FP61" s="532"/>
      <c r="FQ61" s="532"/>
      <c r="FR61" s="532"/>
      <c r="FS61" s="2635"/>
      <c r="FT61" s="2635"/>
      <c r="FU61" s="2635"/>
      <c r="FV61" s="2635"/>
      <c r="FW61" s="2635"/>
      <c r="FX61" s="2635"/>
      <c r="FY61" s="2635"/>
      <c r="GH61" s="532"/>
      <c r="GI61" s="532"/>
      <c r="GJ61" s="532"/>
      <c r="GK61" s="532"/>
      <c r="GL61" s="532"/>
      <c r="GM61" s="532"/>
      <c r="GN61" s="532"/>
      <c r="GO61" s="532"/>
      <c r="GP61" s="532"/>
      <c r="GQ61" s="532"/>
      <c r="GR61" s="532"/>
      <c r="GS61" s="532"/>
      <c r="GT61" s="532"/>
      <c r="GU61" s="532"/>
      <c r="GV61" s="531"/>
      <c r="GW61" s="530"/>
      <c r="GX61" s="532"/>
      <c r="GY61" s="532"/>
      <c r="GZ61" s="531"/>
      <c r="HA61" s="530"/>
      <c r="HB61" s="532"/>
      <c r="HC61" s="532"/>
      <c r="HD61" s="532"/>
      <c r="HE61" s="532"/>
      <c r="HF61" s="532"/>
      <c r="HG61" s="532"/>
      <c r="HH61" s="532"/>
      <c r="HI61" s="532"/>
      <c r="HJ61" s="532"/>
      <c r="HK61" s="532"/>
      <c r="HL61" s="532"/>
      <c r="HM61" s="532"/>
      <c r="HN61" s="532"/>
      <c r="HO61" s="532"/>
      <c r="ID61" s="2612"/>
      <c r="IE61" s="2612"/>
      <c r="IF61" s="2612"/>
      <c r="IG61" s="2612"/>
      <c r="IH61" s="2612"/>
      <c r="II61" s="2612"/>
      <c r="IJ61" s="2612"/>
      <c r="IK61" s="2612"/>
      <c r="IL61" s="2612"/>
      <c r="IM61" s="2612"/>
      <c r="IN61" s="2612"/>
      <c r="IO61" s="2612"/>
      <c r="IP61" s="2612"/>
      <c r="IQ61" s="2612"/>
      <c r="IR61" s="2612"/>
      <c r="IS61" s="2612"/>
      <c r="IT61" s="2612"/>
      <c r="IU61" s="2612"/>
      <c r="IV61" s="2612"/>
      <c r="IW61" s="2612"/>
      <c r="IX61" s="2612"/>
      <c r="IY61" s="2612"/>
    </row>
    <row r="62" spans="17:259" ht="4.1500000000000004" customHeight="1">
      <c r="R62" s="516"/>
      <c r="AS62" s="2683">
        <f>AS68+R81</f>
        <v>11.5</v>
      </c>
      <c r="AT62" s="2641"/>
      <c r="AU62" s="2641"/>
      <c r="AV62" s="2641"/>
      <c r="AW62" s="2641"/>
      <c r="AX62" s="2641"/>
      <c r="AY62" s="2641"/>
      <c r="AZ62" s="2641"/>
      <c r="BA62" s="2641"/>
      <c r="BB62" s="2641"/>
      <c r="BC62" s="2641"/>
      <c r="BD62" s="2641"/>
      <c r="BE62" s="2641"/>
      <c r="BF62" s="2641"/>
      <c r="BG62" s="2641"/>
      <c r="BH62" s="2641"/>
      <c r="BI62" s="2641"/>
      <c r="BJ62" s="2641"/>
      <c r="BK62" s="2641"/>
      <c r="BL62" s="2641"/>
      <c r="BM62" s="2641"/>
      <c r="BN62" s="2641"/>
      <c r="BO62" s="2641"/>
      <c r="CP62" s="517"/>
      <c r="DQ62" s="514"/>
      <c r="DR62" s="514"/>
      <c r="DS62" s="514"/>
      <c r="DT62" s="514"/>
      <c r="DU62" s="514"/>
      <c r="DV62" s="511"/>
      <c r="DW62" s="512"/>
      <c r="DX62" s="512"/>
      <c r="DY62" s="512"/>
      <c r="DZ62" s="563"/>
      <c r="EA62" s="563"/>
      <c r="EB62" s="563"/>
      <c r="EC62" s="564"/>
      <c r="ED62" s="2602">
        <v>0.3</v>
      </c>
      <c r="EE62" s="2597"/>
      <c r="EF62" s="2597"/>
      <c r="EG62" s="2597"/>
      <c r="EH62" s="2597"/>
      <c r="EI62" s="2597"/>
      <c r="EJ62" s="2597"/>
      <c r="EK62" s="2597"/>
      <c r="EL62" s="2603"/>
      <c r="EM62" s="565"/>
      <c r="EN62" s="565"/>
      <c r="EO62" s="565"/>
      <c r="EP62" s="565"/>
      <c r="EU62" s="514"/>
      <c r="EV62" s="514"/>
      <c r="EW62" s="514"/>
      <c r="EX62" s="514"/>
      <c r="EY62" s="514"/>
      <c r="EZ62" s="514"/>
      <c r="FA62" s="514"/>
      <c r="FB62" s="514"/>
      <c r="FC62" s="514"/>
      <c r="FD62" s="514"/>
      <c r="FE62" s="514"/>
      <c r="FF62" s="514"/>
      <c r="FG62" s="514"/>
      <c r="FK62" s="514"/>
      <c r="FL62" s="514"/>
      <c r="FM62" s="514"/>
      <c r="FN62" s="515"/>
      <c r="FO62" s="514"/>
      <c r="FP62" s="514"/>
      <c r="GA62" s="514"/>
      <c r="GB62" s="514"/>
      <c r="GC62" s="514"/>
      <c r="GD62" s="515"/>
      <c r="GE62" s="514"/>
      <c r="GF62" s="514"/>
      <c r="GG62" s="514"/>
      <c r="GH62" s="514"/>
      <c r="GW62" s="516"/>
      <c r="GZ62" s="517"/>
      <c r="HP62" s="514"/>
      <c r="HQ62" s="514"/>
      <c r="HR62" s="514"/>
      <c r="HS62" s="514"/>
      <c r="HT62" s="515"/>
      <c r="HU62" s="514"/>
      <c r="HV62" s="514"/>
      <c r="HW62" s="514"/>
      <c r="HX62" s="514"/>
      <c r="HY62" s="514"/>
      <c r="ID62" s="2612"/>
      <c r="IE62" s="2612"/>
      <c r="IF62" s="2612"/>
      <c r="IG62" s="2612"/>
      <c r="IH62" s="2612"/>
      <c r="II62" s="2612"/>
      <c r="IJ62" s="2612"/>
      <c r="IK62" s="2612"/>
      <c r="IL62" s="2612"/>
      <c r="IM62" s="2612"/>
      <c r="IN62" s="2612"/>
      <c r="IO62" s="2612"/>
      <c r="IP62" s="2612"/>
      <c r="IQ62" s="2612"/>
      <c r="IR62" s="2612"/>
      <c r="IS62" s="2612"/>
      <c r="IT62" s="2612"/>
      <c r="IU62" s="2612"/>
      <c r="IV62" s="2612"/>
      <c r="IW62" s="2612"/>
      <c r="IX62" s="2612"/>
      <c r="IY62" s="2612"/>
    </row>
    <row r="63" spans="17:259" ht="4.1500000000000004" customHeight="1">
      <c r="R63" s="530"/>
      <c r="S63" s="532"/>
      <c r="T63" s="532"/>
      <c r="U63" s="532"/>
      <c r="V63" s="532"/>
      <c r="W63" s="532"/>
      <c r="X63" s="532"/>
      <c r="Y63" s="532"/>
      <c r="Z63" s="532"/>
      <c r="AA63" s="532"/>
      <c r="AB63" s="532"/>
      <c r="AC63" s="532"/>
      <c r="AD63" s="532"/>
      <c r="AE63" s="532"/>
      <c r="AF63" s="532"/>
      <c r="AG63" s="532"/>
      <c r="AH63" s="532"/>
      <c r="AI63" s="532"/>
      <c r="AJ63" s="532"/>
      <c r="AK63" s="532"/>
      <c r="AL63" s="532"/>
      <c r="AM63" s="532"/>
      <c r="AN63" s="532"/>
      <c r="AO63" s="532"/>
      <c r="AP63" s="532"/>
      <c r="AQ63" s="532"/>
      <c r="AR63" s="532"/>
      <c r="AS63" s="2641"/>
      <c r="AT63" s="2641"/>
      <c r="AU63" s="2641"/>
      <c r="AV63" s="2641"/>
      <c r="AW63" s="2641"/>
      <c r="AX63" s="2641"/>
      <c r="AY63" s="2641"/>
      <c r="AZ63" s="2641"/>
      <c r="BA63" s="2641"/>
      <c r="BB63" s="2641"/>
      <c r="BC63" s="2641"/>
      <c r="BD63" s="2641"/>
      <c r="BE63" s="2641"/>
      <c r="BF63" s="2641"/>
      <c r="BG63" s="2641"/>
      <c r="BH63" s="2641"/>
      <c r="BI63" s="2641"/>
      <c r="BJ63" s="2641"/>
      <c r="BK63" s="2641"/>
      <c r="BL63" s="2641"/>
      <c r="BM63" s="2641"/>
      <c r="BN63" s="2641"/>
      <c r="BO63" s="2641"/>
      <c r="BP63" s="532"/>
      <c r="BQ63" s="532"/>
      <c r="BR63" s="532"/>
      <c r="BS63" s="532"/>
      <c r="BT63" s="532"/>
      <c r="BU63" s="532"/>
      <c r="BV63" s="532"/>
      <c r="BW63" s="532"/>
      <c r="BX63" s="532"/>
      <c r="BY63" s="532"/>
      <c r="BZ63" s="532"/>
      <c r="CA63" s="532"/>
      <c r="CB63" s="532"/>
      <c r="CC63" s="532"/>
      <c r="CD63" s="532"/>
      <c r="CE63" s="532"/>
      <c r="CF63" s="532"/>
      <c r="CG63" s="532"/>
      <c r="CH63" s="532"/>
      <c r="CI63" s="532"/>
      <c r="CJ63" s="532"/>
      <c r="CK63" s="532"/>
      <c r="CL63" s="532"/>
      <c r="CM63" s="532"/>
      <c r="CN63" s="532"/>
      <c r="CO63" s="532"/>
      <c r="CP63" s="531"/>
      <c r="DV63" s="511"/>
      <c r="DW63" s="512"/>
      <c r="DX63" s="512"/>
      <c r="DY63" s="512"/>
      <c r="DZ63" s="563"/>
      <c r="EA63" s="563"/>
      <c r="EB63" s="563"/>
      <c r="EC63" s="564"/>
      <c r="ED63" s="2604"/>
      <c r="EE63" s="2596"/>
      <c r="EF63" s="2596"/>
      <c r="EG63" s="2596"/>
      <c r="EH63" s="2596"/>
      <c r="EI63" s="2596"/>
      <c r="EJ63" s="2596"/>
      <c r="EK63" s="2596"/>
      <c r="EL63" s="2605"/>
      <c r="EM63" s="565"/>
      <c r="EN63" s="565"/>
      <c r="EO63" s="565"/>
      <c r="EP63" s="565"/>
      <c r="EV63" s="2608">
        <v>0.22500000000000001</v>
      </c>
      <c r="EW63" s="2608"/>
      <c r="EX63" s="2608"/>
      <c r="EY63" s="2608"/>
      <c r="EZ63" s="2608"/>
      <c r="FA63" s="2608"/>
      <c r="FB63" s="2608"/>
      <c r="FC63" s="2608"/>
      <c r="FD63" s="2608"/>
      <c r="FE63" s="2608"/>
      <c r="FF63" s="2608"/>
      <c r="FG63" s="2608"/>
      <c r="FN63" s="516"/>
      <c r="GD63" s="516"/>
      <c r="GW63" s="2629">
        <v>0.25</v>
      </c>
      <c r="GX63" s="2630"/>
      <c r="GY63" s="2630"/>
      <c r="GZ63" s="2631"/>
      <c r="HT63" s="516"/>
    </row>
    <row r="64" spans="17:259" ht="4.1500000000000004" customHeight="1">
      <c r="R64" s="516"/>
      <c r="AS64" s="2641"/>
      <c r="AT64" s="2641"/>
      <c r="AU64" s="2641"/>
      <c r="AV64" s="2641"/>
      <c r="AW64" s="2641"/>
      <c r="AX64" s="2641"/>
      <c r="AY64" s="2641"/>
      <c r="AZ64" s="2641"/>
      <c r="BA64" s="2641"/>
      <c r="BB64" s="2641"/>
      <c r="BC64" s="2641"/>
      <c r="BD64" s="2641"/>
      <c r="BE64" s="2641"/>
      <c r="BF64" s="2641"/>
      <c r="BG64" s="2641"/>
      <c r="BH64" s="2641"/>
      <c r="BI64" s="2641"/>
      <c r="BJ64" s="2641"/>
      <c r="BK64" s="2641"/>
      <c r="BL64" s="2641"/>
      <c r="BM64" s="2641"/>
      <c r="BN64" s="2641"/>
      <c r="BO64" s="2641"/>
      <c r="CP64" s="517"/>
      <c r="DZ64" s="565"/>
      <c r="EA64" s="565"/>
      <c r="EB64" s="565"/>
      <c r="EC64" s="565"/>
      <c r="ED64" s="2604"/>
      <c r="EE64" s="2596"/>
      <c r="EF64" s="2596"/>
      <c r="EG64" s="2596"/>
      <c r="EH64" s="2596"/>
      <c r="EI64" s="2596"/>
      <c r="EJ64" s="2596"/>
      <c r="EK64" s="2596"/>
      <c r="EL64" s="2605"/>
      <c r="EM64" s="565"/>
      <c r="EN64" s="565"/>
      <c r="EO64" s="565"/>
      <c r="EP64" s="565"/>
      <c r="EV64" s="2608"/>
      <c r="EW64" s="2608"/>
      <c r="EX64" s="2608"/>
      <c r="EY64" s="2608"/>
      <c r="EZ64" s="2608"/>
      <c r="FA64" s="2608"/>
      <c r="FB64" s="2608"/>
      <c r="FC64" s="2608"/>
      <c r="FD64" s="2608"/>
      <c r="FE64" s="2608"/>
      <c r="FF64" s="2608"/>
      <c r="FG64" s="2608"/>
      <c r="FN64" s="516"/>
      <c r="GD64" s="516"/>
      <c r="GW64" s="2629"/>
      <c r="GX64" s="2630"/>
      <c r="GY64" s="2630"/>
      <c r="GZ64" s="2631"/>
      <c r="HO64" s="2638">
        <v>0.3</v>
      </c>
      <c r="HP64" s="2638"/>
      <c r="HQ64" s="2638"/>
      <c r="HR64" s="2638"/>
      <c r="HS64" s="2638"/>
      <c r="HT64" s="2638"/>
      <c r="HU64" s="2638"/>
      <c r="HV64" s="2638"/>
      <c r="HW64" s="2638"/>
      <c r="HX64" s="2638"/>
      <c r="HY64" s="2638"/>
    </row>
    <row r="65" spans="4:233" ht="4.1500000000000004" customHeight="1">
      <c r="R65" s="516"/>
      <c r="AS65" s="2641"/>
      <c r="AT65" s="2641"/>
      <c r="AU65" s="2641"/>
      <c r="AV65" s="2641"/>
      <c r="AW65" s="2641"/>
      <c r="AX65" s="2641"/>
      <c r="AY65" s="2641"/>
      <c r="AZ65" s="2641"/>
      <c r="BA65" s="2641"/>
      <c r="BB65" s="2641"/>
      <c r="BC65" s="2641"/>
      <c r="BD65" s="2641"/>
      <c r="BE65" s="2641"/>
      <c r="BF65" s="2641"/>
      <c r="BG65" s="2641"/>
      <c r="BH65" s="2641"/>
      <c r="BI65" s="2641"/>
      <c r="BJ65" s="2641"/>
      <c r="BK65" s="2641"/>
      <c r="BL65" s="2641"/>
      <c r="BM65" s="2641"/>
      <c r="BN65" s="2641"/>
      <c r="BO65" s="2641"/>
      <c r="CP65" s="517"/>
      <c r="DZ65" s="565"/>
      <c r="EA65" s="565"/>
      <c r="EB65" s="565"/>
      <c r="EC65" s="565"/>
      <c r="ED65" s="2604"/>
      <c r="EE65" s="2596"/>
      <c r="EF65" s="2596"/>
      <c r="EG65" s="2596"/>
      <c r="EH65" s="2596"/>
      <c r="EI65" s="2596"/>
      <c r="EJ65" s="2596"/>
      <c r="EK65" s="2596"/>
      <c r="EL65" s="2605"/>
      <c r="EM65" s="565"/>
      <c r="EN65" s="565"/>
      <c r="EO65" s="565"/>
      <c r="EP65" s="565"/>
      <c r="EV65" s="2608"/>
      <c r="EW65" s="2608"/>
      <c r="EX65" s="2608"/>
      <c r="EY65" s="2608"/>
      <c r="EZ65" s="2608"/>
      <c r="FA65" s="2608"/>
      <c r="FB65" s="2608"/>
      <c r="FC65" s="2608"/>
      <c r="FD65" s="2608"/>
      <c r="FE65" s="2608"/>
      <c r="FF65" s="2608"/>
      <c r="FG65" s="2608"/>
      <c r="FN65" s="516"/>
      <c r="GD65" s="516"/>
      <c r="GW65" s="2629"/>
      <c r="GX65" s="2630"/>
      <c r="GY65" s="2630"/>
      <c r="GZ65" s="2631"/>
      <c r="HO65" s="2638"/>
      <c r="HP65" s="2638"/>
      <c r="HQ65" s="2638"/>
      <c r="HR65" s="2638"/>
      <c r="HS65" s="2638"/>
      <c r="HT65" s="2638"/>
      <c r="HU65" s="2638"/>
      <c r="HV65" s="2638"/>
      <c r="HW65" s="2638"/>
      <c r="HX65" s="2638"/>
      <c r="HY65" s="2638"/>
    </row>
    <row r="66" spans="4:233" ht="4.1500000000000004" customHeight="1">
      <c r="AS66" s="1508"/>
      <c r="AT66" s="1508"/>
      <c r="AU66" s="1508"/>
      <c r="AV66" s="1508"/>
      <c r="AW66" s="1508"/>
      <c r="AX66" s="1508"/>
      <c r="AY66" s="1508"/>
      <c r="AZ66" s="1508"/>
      <c r="BA66" s="1508"/>
      <c r="BB66" s="1508"/>
      <c r="BC66" s="1508"/>
      <c r="BD66" s="1508"/>
      <c r="BE66" s="1508"/>
      <c r="BF66" s="1508"/>
      <c r="BG66" s="1508"/>
      <c r="BH66" s="1508"/>
      <c r="BI66" s="1508"/>
      <c r="BJ66" s="1508"/>
      <c r="BK66" s="1508"/>
      <c r="BL66" s="1508"/>
      <c r="BM66" s="1508"/>
      <c r="BN66" s="1508"/>
      <c r="BO66" s="1508"/>
      <c r="DZ66" s="565"/>
      <c r="EA66" s="565"/>
      <c r="EB66" s="565"/>
      <c r="EC66" s="565"/>
      <c r="ED66" s="2606"/>
      <c r="EE66" s="2598"/>
      <c r="EF66" s="2598"/>
      <c r="EG66" s="2598"/>
      <c r="EH66" s="2598"/>
      <c r="EI66" s="2598"/>
      <c r="EJ66" s="2598"/>
      <c r="EK66" s="2598"/>
      <c r="EL66" s="2607"/>
      <c r="EM66" s="565"/>
      <c r="EN66" s="565"/>
      <c r="EO66" s="565"/>
      <c r="EP66" s="565"/>
      <c r="EV66" s="532"/>
      <c r="EW66" s="532"/>
      <c r="EX66" s="532"/>
      <c r="EY66" s="532"/>
      <c r="EZ66" s="532"/>
      <c r="FA66" s="532"/>
      <c r="FB66" s="532"/>
      <c r="FC66" s="532"/>
      <c r="FD66" s="532"/>
      <c r="FE66" s="532"/>
      <c r="FF66" s="532"/>
      <c r="FG66" s="532"/>
      <c r="FN66" s="516"/>
      <c r="GD66" s="516"/>
      <c r="GW66" s="2629"/>
      <c r="GX66" s="2630"/>
      <c r="GY66" s="2630"/>
      <c r="GZ66" s="2631"/>
      <c r="HO66" s="2638"/>
      <c r="HP66" s="2638"/>
      <c r="HQ66" s="2638"/>
      <c r="HR66" s="2638"/>
      <c r="HS66" s="2638"/>
      <c r="HT66" s="2638"/>
      <c r="HU66" s="2638"/>
      <c r="HV66" s="2638"/>
      <c r="HW66" s="2638"/>
      <c r="HX66" s="2638"/>
      <c r="HY66" s="2638"/>
    </row>
    <row r="67" spans="4:233" ht="4.1500000000000004" customHeight="1">
      <c r="AS67" s="1508"/>
      <c r="AT67" s="1508"/>
      <c r="AU67" s="1508"/>
      <c r="AV67" s="1508"/>
      <c r="AW67" s="1508"/>
      <c r="AX67" s="1508"/>
      <c r="AY67" s="1508"/>
      <c r="AZ67" s="1508"/>
      <c r="BA67" s="1508"/>
      <c r="BB67" s="1508"/>
      <c r="BC67" s="1508"/>
      <c r="BD67" s="1508"/>
      <c r="BE67" s="1508"/>
      <c r="BF67" s="1508"/>
      <c r="BG67" s="1508"/>
      <c r="BH67" s="1508"/>
      <c r="BI67" s="1508"/>
      <c r="BJ67" s="1508"/>
      <c r="BK67" s="1508"/>
      <c r="BL67" s="1508"/>
      <c r="BM67" s="1508"/>
      <c r="BN67" s="1508"/>
      <c r="BO67" s="1508"/>
      <c r="DZ67" s="565"/>
      <c r="EA67" s="565"/>
      <c r="EB67" s="2602">
        <v>0.5</v>
      </c>
      <c r="EC67" s="2597"/>
      <c r="ED67" s="2597"/>
      <c r="EE67" s="2597"/>
      <c r="EF67" s="2597"/>
      <c r="EG67" s="2597"/>
      <c r="EH67" s="2597"/>
      <c r="EI67" s="2597"/>
      <c r="EJ67" s="2597"/>
      <c r="EK67" s="2597"/>
      <c r="EL67" s="2597"/>
      <c r="EM67" s="2597"/>
      <c r="EN67" s="2603"/>
      <c r="EO67" s="565"/>
      <c r="EP67" s="565"/>
      <c r="FN67" s="516"/>
      <c r="GD67" s="516"/>
      <c r="GW67" s="2629"/>
      <c r="GX67" s="2630"/>
      <c r="GY67" s="2630"/>
      <c r="GZ67" s="2631"/>
      <c r="HT67" s="516"/>
    </row>
    <row r="68" spans="4:233" ht="4.1500000000000004" customHeight="1">
      <c r="S68" s="516"/>
      <c r="AS68" s="2683">
        <f>AU91+R81</f>
        <v>11.25</v>
      </c>
      <c r="AT68" s="2641"/>
      <c r="AU68" s="2641"/>
      <c r="AV68" s="2641"/>
      <c r="AW68" s="2641"/>
      <c r="AX68" s="2641"/>
      <c r="AY68" s="2641"/>
      <c r="AZ68" s="2641"/>
      <c r="BA68" s="2641"/>
      <c r="BB68" s="2641"/>
      <c r="BC68" s="2641"/>
      <c r="BD68" s="2641"/>
      <c r="BE68" s="2641"/>
      <c r="BF68" s="2641"/>
      <c r="BG68" s="2641"/>
      <c r="BH68" s="2641"/>
      <c r="BI68" s="2641"/>
      <c r="BJ68" s="2641"/>
      <c r="BK68" s="2641"/>
      <c r="BL68" s="2641"/>
      <c r="BM68" s="2641"/>
      <c r="BN68" s="2641"/>
      <c r="BO68" s="2641"/>
      <c r="CO68" s="517"/>
      <c r="DZ68" s="565"/>
      <c r="EA68" s="565"/>
      <c r="EB68" s="2604"/>
      <c r="EC68" s="2596"/>
      <c r="ED68" s="2596"/>
      <c r="EE68" s="2596"/>
      <c r="EF68" s="2596"/>
      <c r="EG68" s="2596"/>
      <c r="EH68" s="2596"/>
      <c r="EI68" s="2596"/>
      <c r="EJ68" s="2596"/>
      <c r="EK68" s="2596"/>
      <c r="EL68" s="2596"/>
      <c r="EM68" s="2596"/>
      <c r="EN68" s="2605"/>
      <c r="EO68" s="565"/>
      <c r="EP68" s="565"/>
      <c r="EV68" s="2608">
        <v>0.22500000000000001</v>
      </c>
      <c r="EW68" s="2608"/>
      <c r="EX68" s="2608"/>
      <c r="EY68" s="2608"/>
      <c r="EZ68" s="2608"/>
      <c r="FA68" s="2608"/>
      <c r="FB68" s="2608"/>
      <c r="FC68" s="2608"/>
      <c r="FD68" s="2608"/>
      <c r="FE68" s="2608"/>
      <c r="FF68" s="2608"/>
      <c r="FG68" s="2608"/>
      <c r="FL68" s="2616">
        <f>EV63+EV68+EV73+EV77+EV80</f>
        <v>0.97500000000000009</v>
      </c>
      <c r="FM68" s="2616"/>
      <c r="FN68" s="2616"/>
      <c r="FO68" s="2616"/>
      <c r="GD68" s="516"/>
      <c r="GW68" s="2632"/>
      <c r="GX68" s="2633"/>
      <c r="GY68" s="2633"/>
      <c r="GZ68" s="2634"/>
      <c r="HT68" s="516"/>
    </row>
    <row r="69" spans="4:233" ht="4.1500000000000004" customHeight="1">
      <c r="S69" s="530"/>
      <c r="T69" s="532"/>
      <c r="U69" s="532"/>
      <c r="V69" s="532"/>
      <c r="W69" s="532"/>
      <c r="X69" s="532"/>
      <c r="Y69" s="532"/>
      <c r="Z69" s="532"/>
      <c r="AA69" s="532"/>
      <c r="AB69" s="532"/>
      <c r="AC69" s="532"/>
      <c r="AD69" s="532"/>
      <c r="AE69" s="532"/>
      <c r="AF69" s="532"/>
      <c r="AG69" s="532"/>
      <c r="AH69" s="532"/>
      <c r="AI69" s="532"/>
      <c r="AJ69" s="532"/>
      <c r="AK69" s="532"/>
      <c r="AL69" s="532"/>
      <c r="AM69" s="532"/>
      <c r="AN69" s="532"/>
      <c r="AO69" s="532"/>
      <c r="AP69" s="532"/>
      <c r="AQ69" s="532"/>
      <c r="AR69" s="532"/>
      <c r="AS69" s="2641"/>
      <c r="AT69" s="2641"/>
      <c r="AU69" s="2641"/>
      <c r="AV69" s="2641"/>
      <c r="AW69" s="2641"/>
      <c r="AX69" s="2641"/>
      <c r="AY69" s="2641"/>
      <c r="AZ69" s="2641"/>
      <c r="BA69" s="2641"/>
      <c r="BB69" s="2641"/>
      <c r="BC69" s="2641"/>
      <c r="BD69" s="2641"/>
      <c r="BE69" s="2641"/>
      <c r="BF69" s="2641"/>
      <c r="BG69" s="2641"/>
      <c r="BH69" s="2641"/>
      <c r="BI69" s="2641"/>
      <c r="BJ69" s="2641"/>
      <c r="BK69" s="2641"/>
      <c r="BL69" s="2641"/>
      <c r="BM69" s="2641"/>
      <c r="BN69" s="2641"/>
      <c r="BO69" s="2641"/>
      <c r="BP69" s="532"/>
      <c r="BQ69" s="532"/>
      <c r="BR69" s="532"/>
      <c r="BS69" s="532"/>
      <c r="BT69" s="532"/>
      <c r="BU69" s="532"/>
      <c r="BV69" s="532"/>
      <c r="BW69" s="532"/>
      <c r="BX69" s="532"/>
      <c r="BY69" s="532"/>
      <c r="BZ69" s="532"/>
      <c r="CA69" s="532"/>
      <c r="CB69" s="532"/>
      <c r="CC69" s="532"/>
      <c r="CD69" s="532"/>
      <c r="CE69" s="532"/>
      <c r="CF69" s="532"/>
      <c r="CG69" s="532"/>
      <c r="CH69" s="532"/>
      <c r="CI69" s="532"/>
      <c r="CJ69" s="532"/>
      <c r="CK69" s="532"/>
      <c r="CL69" s="532"/>
      <c r="CM69" s="532"/>
      <c r="CN69" s="532"/>
      <c r="CO69" s="531"/>
      <c r="DZ69" s="565"/>
      <c r="EA69" s="565"/>
      <c r="EB69" s="2604"/>
      <c r="EC69" s="2596"/>
      <c r="ED69" s="2596"/>
      <c r="EE69" s="2596"/>
      <c r="EF69" s="2596"/>
      <c r="EG69" s="2596"/>
      <c r="EH69" s="2596"/>
      <c r="EI69" s="2596"/>
      <c r="EJ69" s="2596"/>
      <c r="EK69" s="2596"/>
      <c r="EL69" s="2596"/>
      <c r="EM69" s="2596"/>
      <c r="EN69" s="2605"/>
      <c r="EO69" s="565"/>
      <c r="EP69" s="565"/>
      <c r="EV69" s="2608"/>
      <c r="EW69" s="2608"/>
      <c r="EX69" s="2608"/>
      <c r="EY69" s="2608"/>
      <c r="EZ69" s="2608"/>
      <c r="FA69" s="2608"/>
      <c r="FB69" s="2608"/>
      <c r="FC69" s="2608"/>
      <c r="FD69" s="2608"/>
      <c r="FE69" s="2608"/>
      <c r="FF69" s="2608"/>
      <c r="FG69" s="2608"/>
      <c r="FL69" s="2616"/>
      <c r="FM69" s="2616"/>
      <c r="FN69" s="2616"/>
      <c r="FO69" s="2616"/>
      <c r="GD69" s="516"/>
      <c r="GK69" s="2619"/>
      <c r="GL69" s="2619"/>
      <c r="GM69" s="2619"/>
      <c r="GN69" s="2619"/>
      <c r="GO69" s="2619"/>
      <c r="GP69" s="2619"/>
      <c r="GQ69" s="2619"/>
      <c r="GR69" s="2619"/>
      <c r="GS69" s="2619"/>
      <c r="GT69" s="2619"/>
      <c r="GU69" s="2619"/>
      <c r="GV69" s="2643">
        <v>0.3</v>
      </c>
      <c r="GW69" s="2643"/>
      <c r="GX69" s="2643"/>
      <c r="GY69" s="2643"/>
      <c r="GZ69" s="2643"/>
      <c r="HA69" s="2643"/>
      <c r="HB69" s="2644"/>
      <c r="HC69" s="2644"/>
      <c r="HD69" s="2644"/>
      <c r="HE69" s="2644"/>
      <c r="HF69" s="2644"/>
      <c r="HG69" s="2644"/>
      <c r="HH69" s="2644"/>
      <c r="HI69" s="2644"/>
      <c r="HJ69" s="2644"/>
      <c r="HK69" s="2644"/>
      <c r="HL69" s="2644"/>
      <c r="HO69" s="514"/>
      <c r="HP69" s="514"/>
      <c r="HQ69" s="514"/>
      <c r="HR69" s="514"/>
      <c r="HS69" s="514"/>
      <c r="HT69" s="515"/>
      <c r="HU69" s="514"/>
      <c r="HV69" s="514"/>
      <c r="HW69" s="514"/>
      <c r="HX69" s="514"/>
      <c r="HY69" s="514"/>
    </row>
    <row r="70" spans="4:233" ht="4.1500000000000004" customHeight="1">
      <c r="S70" s="516"/>
      <c r="AL70" s="514"/>
      <c r="AM70" s="514"/>
      <c r="AN70" s="514"/>
      <c r="AO70" s="514"/>
      <c r="AP70" s="514"/>
      <c r="AQ70" s="514"/>
      <c r="AS70" s="2641"/>
      <c r="AT70" s="2641"/>
      <c r="AU70" s="2641"/>
      <c r="AV70" s="2641"/>
      <c r="AW70" s="2641"/>
      <c r="AX70" s="2641"/>
      <c r="AY70" s="2641"/>
      <c r="AZ70" s="2641"/>
      <c r="BA70" s="2641"/>
      <c r="BB70" s="2641"/>
      <c r="BC70" s="2641"/>
      <c r="BD70" s="2641"/>
      <c r="BE70" s="2641"/>
      <c r="BF70" s="2641"/>
      <c r="BG70" s="2641"/>
      <c r="BH70" s="2641"/>
      <c r="BI70" s="2641"/>
      <c r="BJ70" s="2641"/>
      <c r="BK70" s="2641"/>
      <c r="BL70" s="2641"/>
      <c r="BM70" s="2641"/>
      <c r="BN70" s="2641"/>
      <c r="BO70" s="2641"/>
      <c r="CO70" s="517"/>
      <c r="DZ70" s="565"/>
      <c r="EA70" s="565"/>
      <c r="EB70" s="2604"/>
      <c r="EC70" s="2596"/>
      <c r="ED70" s="2596"/>
      <c r="EE70" s="2596"/>
      <c r="EF70" s="2596"/>
      <c r="EG70" s="2596"/>
      <c r="EH70" s="2596"/>
      <c r="EI70" s="2596"/>
      <c r="EJ70" s="2596"/>
      <c r="EK70" s="2596"/>
      <c r="EL70" s="2596"/>
      <c r="EM70" s="2596"/>
      <c r="EN70" s="2605"/>
      <c r="EO70" s="565"/>
      <c r="EP70" s="565"/>
      <c r="EV70" s="2608"/>
      <c r="EW70" s="2608"/>
      <c r="EX70" s="2608"/>
      <c r="EY70" s="2608"/>
      <c r="EZ70" s="2608"/>
      <c r="FA70" s="2608"/>
      <c r="FB70" s="2608"/>
      <c r="FC70" s="2608"/>
      <c r="FD70" s="2608"/>
      <c r="FE70" s="2608"/>
      <c r="FF70" s="2608"/>
      <c r="FG70" s="2608"/>
      <c r="FL70" s="2616"/>
      <c r="FM70" s="2616"/>
      <c r="FN70" s="2616"/>
      <c r="FO70" s="2616"/>
      <c r="GD70" s="516"/>
      <c r="GK70" s="2619"/>
      <c r="GL70" s="2619"/>
      <c r="GM70" s="2619"/>
      <c r="GN70" s="2619"/>
      <c r="GO70" s="2619"/>
      <c r="GP70" s="2619"/>
      <c r="GQ70" s="2619"/>
      <c r="GR70" s="2619"/>
      <c r="GS70" s="2619"/>
      <c r="GT70" s="2619"/>
      <c r="GU70" s="2619"/>
      <c r="GV70" s="2600"/>
      <c r="GW70" s="2600"/>
      <c r="GX70" s="2600"/>
      <c r="GY70" s="2600"/>
      <c r="GZ70" s="2600"/>
      <c r="HA70" s="2600"/>
      <c r="HB70" s="2644"/>
      <c r="HC70" s="2644"/>
      <c r="HD70" s="2644"/>
      <c r="HE70" s="2644"/>
      <c r="HF70" s="2644"/>
      <c r="HG70" s="2644"/>
      <c r="HH70" s="2644"/>
      <c r="HI70" s="2644"/>
      <c r="HJ70" s="2644"/>
      <c r="HK70" s="2644"/>
      <c r="HL70" s="2644"/>
      <c r="HT70" s="516"/>
    </row>
    <row r="71" spans="4:233" ht="4.1500000000000004" customHeight="1">
      <c r="S71" s="516"/>
      <c r="AS71" s="2641"/>
      <c r="AT71" s="2641"/>
      <c r="AU71" s="2641"/>
      <c r="AV71" s="2641"/>
      <c r="AW71" s="2641"/>
      <c r="AX71" s="2641"/>
      <c r="AY71" s="2641"/>
      <c r="AZ71" s="2641"/>
      <c r="BA71" s="2641"/>
      <c r="BB71" s="2641"/>
      <c r="BC71" s="2641"/>
      <c r="BD71" s="2641"/>
      <c r="BE71" s="2641"/>
      <c r="BF71" s="2641"/>
      <c r="BG71" s="2641"/>
      <c r="BH71" s="2641"/>
      <c r="BI71" s="2641"/>
      <c r="BJ71" s="2641"/>
      <c r="BK71" s="2641"/>
      <c r="BL71" s="2641"/>
      <c r="BM71" s="2641"/>
      <c r="BN71" s="2641"/>
      <c r="BO71" s="2641"/>
      <c r="CO71" s="517"/>
      <c r="DZ71" s="565"/>
      <c r="EA71" s="565"/>
      <c r="EB71" s="2606"/>
      <c r="EC71" s="2598"/>
      <c r="ED71" s="2598"/>
      <c r="EE71" s="2598"/>
      <c r="EF71" s="2598"/>
      <c r="EG71" s="2598"/>
      <c r="EH71" s="2598"/>
      <c r="EI71" s="2598"/>
      <c r="EJ71" s="2598"/>
      <c r="EK71" s="2598"/>
      <c r="EL71" s="2598"/>
      <c r="EM71" s="2598"/>
      <c r="EN71" s="2607"/>
      <c r="EO71" s="565"/>
      <c r="EP71" s="565"/>
      <c r="EV71" s="532"/>
      <c r="EW71" s="532"/>
      <c r="EX71" s="532"/>
      <c r="EY71" s="532"/>
      <c r="EZ71" s="532"/>
      <c r="FA71" s="532"/>
      <c r="FB71" s="532"/>
      <c r="FC71" s="532"/>
      <c r="FD71" s="532"/>
      <c r="FE71" s="532"/>
      <c r="FF71" s="532"/>
      <c r="FG71" s="532"/>
      <c r="FL71" s="2616"/>
      <c r="FM71" s="2616"/>
      <c r="FN71" s="2616"/>
      <c r="FO71" s="2616"/>
      <c r="GC71" s="2646">
        <f>HO64+HO71+HO78+HO83+HO86</f>
        <v>1.1999999999999997</v>
      </c>
      <c r="GD71" s="2646"/>
      <c r="GE71" s="2646"/>
      <c r="GF71" s="2646"/>
      <c r="GK71" s="2619"/>
      <c r="GL71" s="2619"/>
      <c r="GM71" s="2619"/>
      <c r="GN71" s="2619"/>
      <c r="GO71" s="2619"/>
      <c r="GP71" s="2619"/>
      <c r="GQ71" s="2619"/>
      <c r="GR71" s="2619"/>
      <c r="GS71" s="2619"/>
      <c r="GT71" s="2619"/>
      <c r="GU71" s="2619"/>
      <c r="GV71" s="2600"/>
      <c r="GW71" s="2600"/>
      <c r="GX71" s="2600"/>
      <c r="GY71" s="2600"/>
      <c r="GZ71" s="2600"/>
      <c r="HA71" s="2600"/>
      <c r="HB71" s="2644"/>
      <c r="HC71" s="2644"/>
      <c r="HD71" s="2644"/>
      <c r="HE71" s="2644"/>
      <c r="HF71" s="2644"/>
      <c r="HG71" s="2644"/>
      <c r="HH71" s="2644"/>
      <c r="HI71" s="2644"/>
      <c r="HJ71" s="2644"/>
      <c r="HK71" s="2644"/>
      <c r="HL71" s="2644"/>
      <c r="HO71" s="2638">
        <v>0.3</v>
      </c>
      <c r="HP71" s="2638"/>
      <c r="HQ71" s="2638"/>
      <c r="HR71" s="2638"/>
      <c r="HS71" s="2638"/>
      <c r="HT71" s="2638"/>
      <c r="HU71" s="2638"/>
      <c r="HV71" s="2638"/>
      <c r="HW71" s="2638"/>
      <c r="HX71" s="2638"/>
      <c r="HY71" s="2638"/>
    </row>
    <row r="72" spans="4:233" ht="4.1500000000000004" customHeight="1">
      <c r="DZ72" s="2602">
        <v>0.6</v>
      </c>
      <c r="EA72" s="2597"/>
      <c r="EB72" s="2597"/>
      <c r="EC72" s="2597"/>
      <c r="ED72" s="2597"/>
      <c r="EE72" s="2597"/>
      <c r="EF72" s="2597"/>
      <c r="EG72" s="2597"/>
      <c r="EH72" s="2597"/>
      <c r="EI72" s="2597"/>
      <c r="EJ72" s="2597"/>
      <c r="EK72" s="2597"/>
      <c r="EL72" s="2597"/>
      <c r="EM72" s="2597"/>
      <c r="EN72" s="2597"/>
      <c r="EO72" s="2597"/>
      <c r="EP72" s="2603"/>
      <c r="FL72" s="2616"/>
      <c r="FM72" s="2616"/>
      <c r="FN72" s="2616"/>
      <c r="FO72" s="2616"/>
      <c r="GC72" s="2646"/>
      <c r="GD72" s="2646"/>
      <c r="GE72" s="2646"/>
      <c r="GF72" s="2646"/>
      <c r="GK72" s="2619"/>
      <c r="GL72" s="2619"/>
      <c r="GM72" s="2619"/>
      <c r="GN72" s="2619"/>
      <c r="GO72" s="2619"/>
      <c r="GP72" s="2619"/>
      <c r="GQ72" s="2619"/>
      <c r="GR72" s="2619"/>
      <c r="GS72" s="2619"/>
      <c r="GT72" s="2619"/>
      <c r="GU72" s="2619"/>
      <c r="HB72" s="2644"/>
      <c r="HC72" s="2644"/>
      <c r="HD72" s="2644"/>
      <c r="HE72" s="2644"/>
      <c r="HF72" s="2644"/>
      <c r="HG72" s="2644"/>
      <c r="HH72" s="2644"/>
      <c r="HI72" s="2644"/>
      <c r="HJ72" s="2644"/>
      <c r="HK72" s="2644"/>
      <c r="HL72" s="2644"/>
      <c r="HO72" s="2638"/>
      <c r="HP72" s="2638"/>
      <c r="HQ72" s="2638"/>
      <c r="HR72" s="2638"/>
      <c r="HS72" s="2638"/>
      <c r="HT72" s="2638"/>
      <c r="HU72" s="2638"/>
      <c r="HV72" s="2638"/>
      <c r="HW72" s="2638"/>
      <c r="HX72" s="2638"/>
      <c r="HY72" s="2638"/>
    </row>
    <row r="73" spans="4:233" ht="4.1500000000000004" customHeight="1">
      <c r="S73" s="516"/>
      <c r="Y73" s="2642">
        <f>AS68/3</f>
        <v>3.75</v>
      </c>
      <c r="Z73" s="2642"/>
      <c r="AA73" s="2642"/>
      <c r="AB73" s="2642"/>
      <c r="AC73" s="2642"/>
      <c r="AD73" s="2642"/>
      <c r="AE73" s="2642"/>
      <c r="AF73" s="2642"/>
      <c r="AG73" s="2642"/>
      <c r="AH73" s="2642"/>
      <c r="AI73" s="2642"/>
      <c r="AJ73" s="2642"/>
      <c r="AK73" s="2642"/>
      <c r="AQ73" s="517"/>
      <c r="AZ73" s="2642">
        <f>Y73</f>
        <v>3.75</v>
      </c>
      <c r="BA73" s="2642"/>
      <c r="BB73" s="2642"/>
      <c r="BC73" s="2642"/>
      <c r="BD73" s="2642"/>
      <c r="BE73" s="2642"/>
      <c r="BF73" s="2642"/>
      <c r="BG73" s="2642"/>
      <c r="BH73" s="2642"/>
      <c r="BI73" s="2642"/>
      <c r="BJ73" s="2642"/>
      <c r="BK73" s="2642"/>
      <c r="BL73" s="2642"/>
      <c r="BP73" s="517"/>
      <c r="BW73" s="2642">
        <f>AZ73</f>
        <v>3.75</v>
      </c>
      <c r="BX73" s="2642"/>
      <c r="BY73" s="2642"/>
      <c r="BZ73" s="2642"/>
      <c r="CA73" s="2642"/>
      <c r="CB73" s="2642"/>
      <c r="CC73" s="2642"/>
      <c r="CD73" s="2642"/>
      <c r="CE73" s="2642"/>
      <c r="CF73" s="2642"/>
      <c r="CG73" s="2642"/>
      <c r="CH73" s="2642"/>
      <c r="CI73" s="2642"/>
      <c r="CO73" s="517"/>
      <c r="DZ73" s="2604"/>
      <c r="EA73" s="2596"/>
      <c r="EB73" s="2596"/>
      <c r="EC73" s="2596"/>
      <c r="ED73" s="2596"/>
      <c r="EE73" s="2596"/>
      <c r="EF73" s="2596"/>
      <c r="EG73" s="2596"/>
      <c r="EH73" s="2596"/>
      <c r="EI73" s="2596"/>
      <c r="EJ73" s="2596"/>
      <c r="EK73" s="2596"/>
      <c r="EL73" s="2596"/>
      <c r="EM73" s="2596"/>
      <c r="EN73" s="2596"/>
      <c r="EO73" s="2596"/>
      <c r="EP73" s="2605"/>
      <c r="EV73" s="2608">
        <v>0.22500000000000001</v>
      </c>
      <c r="EW73" s="2608"/>
      <c r="EX73" s="2608"/>
      <c r="EY73" s="2608"/>
      <c r="EZ73" s="2608"/>
      <c r="FA73" s="2608"/>
      <c r="FB73" s="2608"/>
      <c r="FC73" s="2608"/>
      <c r="FD73" s="2608"/>
      <c r="FE73" s="2608"/>
      <c r="FF73" s="2608"/>
      <c r="FG73" s="2608"/>
      <c r="FL73" s="2616"/>
      <c r="FM73" s="2616"/>
      <c r="FN73" s="2616"/>
      <c r="FO73" s="2616"/>
      <c r="GC73" s="2646"/>
      <c r="GD73" s="2646"/>
      <c r="GE73" s="2646"/>
      <c r="GF73" s="2646"/>
      <c r="GK73" s="2619"/>
      <c r="GL73" s="2619"/>
      <c r="GM73" s="2619"/>
      <c r="GN73" s="2619"/>
      <c r="GO73" s="2619"/>
      <c r="GP73" s="2619"/>
      <c r="GQ73" s="2619"/>
      <c r="GR73" s="2619"/>
      <c r="GS73" s="2619"/>
      <c r="GT73" s="2619"/>
      <c r="GU73" s="2619"/>
      <c r="HB73" s="2644"/>
      <c r="HC73" s="2644"/>
      <c r="HD73" s="2644"/>
      <c r="HE73" s="2644"/>
      <c r="HF73" s="2644"/>
      <c r="HG73" s="2644"/>
      <c r="HH73" s="2644"/>
      <c r="HI73" s="2644"/>
      <c r="HJ73" s="2644"/>
      <c r="HK73" s="2644"/>
      <c r="HL73" s="2644"/>
      <c r="HO73" s="2638"/>
      <c r="HP73" s="2638"/>
      <c r="HQ73" s="2638"/>
      <c r="HR73" s="2638"/>
      <c r="HS73" s="2638"/>
      <c r="HT73" s="2638"/>
      <c r="HU73" s="2638"/>
      <c r="HV73" s="2638"/>
      <c r="HW73" s="2638"/>
      <c r="HX73" s="2638"/>
      <c r="HY73" s="2638"/>
    </row>
    <row r="74" spans="4:233" ht="4.1500000000000004" customHeight="1">
      <c r="S74" s="530"/>
      <c r="T74" s="532"/>
      <c r="U74" s="532"/>
      <c r="V74" s="532"/>
      <c r="W74" s="532"/>
      <c r="X74" s="532"/>
      <c r="Y74" s="2642"/>
      <c r="Z74" s="2642"/>
      <c r="AA74" s="2642"/>
      <c r="AB74" s="2642"/>
      <c r="AC74" s="2642"/>
      <c r="AD74" s="2642"/>
      <c r="AE74" s="2642"/>
      <c r="AF74" s="2642"/>
      <c r="AG74" s="2642"/>
      <c r="AH74" s="2642"/>
      <c r="AI74" s="2642"/>
      <c r="AJ74" s="2642"/>
      <c r="AK74" s="2642"/>
      <c r="AL74" s="532"/>
      <c r="AM74" s="532"/>
      <c r="AN74" s="532"/>
      <c r="AO74" s="532"/>
      <c r="AP74" s="532"/>
      <c r="AQ74" s="531"/>
      <c r="AR74" s="532"/>
      <c r="AS74" s="532"/>
      <c r="AT74" s="532"/>
      <c r="AU74" s="532"/>
      <c r="AV74" s="532"/>
      <c r="AW74" s="532"/>
      <c r="AX74" s="532"/>
      <c r="AY74" s="532"/>
      <c r="AZ74" s="2642"/>
      <c r="BA74" s="2642"/>
      <c r="BB74" s="2642"/>
      <c r="BC74" s="2642"/>
      <c r="BD74" s="2642"/>
      <c r="BE74" s="2642"/>
      <c r="BF74" s="2642"/>
      <c r="BG74" s="2642"/>
      <c r="BH74" s="2642"/>
      <c r="BI74" s="2642"/>
      <c r="BJ74" s="2642"/>
      <c r="BK74" s="2642"/>
      <c r="BL74" s="2642"/>
      <c r="BM74" s="532"/>
      <c r="BN74" s="532"/>
      <c r="BO74" s="532"/>
      <c r="BP74" s="531"/>
      <c r="BQ74" s="532"/>
      <c r="BR74" s="532"/>
      <c r="BS74" s="532"/>
      <c r="BT74" s="532"/>
      <c r="BU74" s="532"/>
      <c r="BV74" s="532"/>
      <c r="BW74" s="2642"/>
      <c r="BX74" s="2642"/>
      <c r="BY74" s="2642"/>
      <c r="BZ74" s="2642"/>
      <c r="CA74" s="2642"/>
      <c r="CB74" s="2642"/>
      <c r="CC74" s="2642"/>
      <c r="CD74" s="2642"/>
      <c r="CE74" s="2642"/>
      <c r="CF74" s="2642"/>
      <c r="CG74" s="2642"/>
      <c r="CH74" s="2642"/>
      <c r="CI74" s="2642"/>
      <c r="CJ74" s="532"/>
      <c r="CK74" s="532"/>
      <c r="CL74" s="532"/>
      <c r="CM74" s="532"/>
      <c r="CN74" s="532"/>
      <c r="CO74" s="531"/>
      <c r="DZ74" s="2604"/>
      <c r="EA74" s="2596"/>
      <c r="EB74" s="2596"/>
      <c r="EC74" s="2596"/>
      <c r="ED74" s="2596"/>
      <c r="EE74" s="2596"/>
      <c r="EF74" s="2596"/>
      <c r="EG74" s="2596"/>
      <c r="EH74" s="2596"/>
      <c r="EI74" s="2596"/>
      <c r="EJ74" s="2596"/>
      <c r="EK74" s="2596"/>
      <c r="EL74" s="2596"/>
      <c r="EM74" s="2596"/>
      <c r="EN74" s="2596"/>
      <c r="EO74" s="2596"/>
      <c r="EP74" s="2605"/>
      <c r="EV74" s="2608"/>
      <c r="EW74" s="2608"/>
      <c r="EX74" s="2608"/>
      <c r="EY74" s="2608"/>
      <c r="EZ74" s="2608"/>
      <c r="FA74" s="2608"/>
      <c r="FB74" s="2608"/>
      <c r="FC74" s="2608"/>
      <c r="FD74" s="2608"/>
      <c r="FE74" s="2608"/>
      <c r="FF74" s="2608"/>
      <c r="FG74" s="2608"/>
      <c r="FL74" s="2616"/>
      <c r="FM74" s="2616"/>
      <c r="FN74" s="2616"/>
      <c r="FO74" s="2616"/>
      <c r="GC74" s="2646"/>
      <c r="GD74" s="2646"/>
      <c r="GE74" s="2646"/>
      <c r="GF74" s="2646"/>
      <c r="GK74" s="2619"/>
      <c r="GL74" s="2619"/>
      <c r="GM74" s="2619"/>
      <c r="GN74" s="2619"/>
      <c r="GO74" s="2619"/>
      <c r="GP74" s="2619"/>
      <c r="GQ74" s="2619"/>
      <c r="GR74" s="2619"/>
      <c r="GS74" s="2619"/>
      <c r="GT74" s="2619"/>
      <c r="GU74" s="2619"/>
      <c r="HB74" s="2644"/>
      <c r="HC74" s="2644"/>
      <c r="HD74" s="2644"/>
      <c r="HE74" s="2644"/>
      <c r="HF74" s="2644"/>
      <c r="HG74" s="2644"/>
      <c r="HH74" s="2644"/>
      <c r="HI74" s="2644"/>
      <c r="HJ74" s="2644"/>
      <c r="HK74" s="2644"/>
      <c r="HL74" s="2644"/>
      <c r="HT74" s="516"/>
    </row>
    <row r="75" spans="4:233" ht="4.1500000000000004" customHeight="1">
      <c r="S75" s="516"/>
      <c r="Y75" s="2642"/>
      <c r="Z75" s="2642"/>
      <c r="AA75" s="2642"/>
      <c r="AB75" s="2642"/>
      <c r="AC75" s="2642"/>
      <c r="AD75" s="2642"/>
      <c r="AE75" s="2642"/>
      <c r="AF75" s="2642"/>
      <c r="AG75" s="2642"/>
      <c r="AH75" s="2642"/>
      <c r="AI75" s="2642"/>
      <c r="AJ75" s="2642"/>
      <c r="AK75" s="2642"/>
      <c r="AQ75" s="517"/>
      <c r="AZ75" s="2642"/>
      <c r="BA75" s="2642"/>
      <c r="BB75" s="2642"/>
      <c r="BC75" s="2642"/>
      <c r="BD75" s="2642"/>
      <c r="BE75" s="2642"/>
      <c r="BF75" s="2642"/>
      <c r="BG75" s="2642"/>
      <c r="BH75" s="2642"/>
      <c r="BI75" s="2642"/>
      <c r="BJ75" s="2642"/>
      <c r="BK75" s="2642"/>
      <c r="BL75" s="2642"/>
      <c r="BP75" s="517"/>
      <c r="BW75" s="2642"/>
      <c r="BX75" s="2642"/>
      <c r="BY75" s="2642"/>
      <c r="BZ75" s="2642"/>
      <c r="CA75" s="2642"/>
      <c r="CB75" s="2642"/>
      <c r="CC75" s="2642"/>
      <c r="CD75" s="2642"/>
      <c r="CE75" s="2642"/>
      <c r="CF75" s="2642"/>
      <c r="CG75" s="2642"/>
      <c r="CH75" s="2642"/>
      <c r="CI75" s="2642"/>
      <c r="CO75" s="517"/>
      <c r="DZ75" s="2604"/>
      <c r="EA75" s="2596"/>
      <c r="EB75" s="2596"/>
      <c r="EC75" s="2596"/>
      <c r="ED75" s="2596"/>
      <c r="EE75" s="2596"/>
      <c r="EF75" s="2596"/>
      <c r="EG75" s="2596"/>
      <c r="EH75" s="2596"/>
      <c r="EI75" s="2596"/>
      <c r="EJ75" s="2596"/>
      <c r="EK75" s="2596"/>
      <c r="EL75" s="2596"/>
      <c r="EM75" s="2596"/>
      <c r="EN75" s="2596"/>
      <c r="EO75" s="2596"/>
      <c r="EP75" s="2605"/>
      <c r="EV75" s="2608"/>
      <c r="EW75" s="2608"/>
      <c r="EX75" s="2608"/>
      <c r="EY75" s="2608"/>
      <c r="EZ75" s="2608"/>
      <c r="FA75" s="2608"/>
      <c r="FB75" s="2608"/>
      <c r="FC75" s="2608"/>
      <c r="FD75" s="2608"/>
      <c r="FE75" s="2608"/>
      <c r="FF75" s="2608"/>
      <c r="FG75" s="2608"/>
      <c r="FL75" s="2616"/>
      <c r="FM75" s="2616"/>
      <c r="FN75" s="2616"/>
      <c r="FO75" s="2616"/>
      <c r="GC75" s="2646"/>
      <c r="GD75" s="2646"/>
      <c r="GE75" s="2646"/>
      <c r="GF75" s="2646"/>
      <c r="GK75" s="2621"/>
      <c r="GL75" s="2621"/>
      <c r="GM75" s="2621"/>
      <c r="GN75" s="2621"/>
      <c r="GO75" s="2621"/>
      <c r="GP75" s="2621"/>
      <c r="GQ75" s="2621"/>
      <c r="GR75" s="2621"/>
      <c r="GS75" s="2621"/>
      <c r="GT75" s="2621"/>
      <c r="GU75" s="2621"/>
      <c r="GV75" s="532"/>
      <c r="GW75" s="532"/>
      <c r="GX75" s="532"/>
      <c r="GY75" s="532"/>
      <c r="GZ75" s="532"/>
      <c r="HA75" s="532"/>
      <c r="HB75" s="2645"/>
      <c r="HC75" s="2645"/>
      <c r="HD75" s="2645"/>
      <c r="HE75" s="2645"/>
      <c r="HF75" s="2645"/>
      <c r="HG75" s="2645"/>
      <c r="HH75" s="2645"/>
      <c r="HI75" s="2645"/>
      <c r="HJ75" s="2645"/>
      <c r="HK75" s="2645"/>
      <c r="HL75" s="2645"/>
      <c r="HT75" s="516"/>
    </row>
    <row r="76" spans="4:233" ht="4.1500000000000004" customHeight="1">
      <c r="S76" s="516"/>
      <c r="AQ76" s="517"/>
      <c r="BE76" s="517"/>
      <c r="BP76" s="517"/>
      <c r="CO76" s="517"/>
      <c r="DZ76" s="2606"/>
      <c r="EA76" s="2598"/>
      <c r="EB76" s="2598"/>
      <c r="EC76" s="2598"/>
      <c r="ED76" s="2598"/>
      <c r="EE76" s="2598"/>
      <c r="EF76" s="2598"/>
      <c r="EG76" s="2598"/>
      <c r="EH76" s="2598"/>
      <c r="EI76" s="2598"/>
      <c r="EJ76" s="2598"/>
      <c r="EK76" s="2598"/>
      <c r="EL76" s="2598"/>
      <c r="EM76" s="2598"/>
      <c r="EN76" s="2598"/>
      <c r="EO76" s="2598"/>
      <c r="EP76" s="2607"/>
      <c r="EV76" s="532"/>
      <c r="EW76" s="532"/>
      <c r="EX76" s="532"/>
      <c r="EY76" s="532"/>
      <c r="EZ76" s="532"/>
      <c r="FA76" s="532"/>
      <c r="FB76" s="532"/>
      <c r="FC76" s="532"/>
      <c r="FD76" s="532"/>
      <c r="FE76" s="532"/>
      <c r="FF76" s="532"/>
      <c r="FG76" s="532"/>
      <c r="FL76" s="2616"/>
      <c r="FM76" s="2616"/>
      <c r="FN76" s="2616"/>
      <c r="FO76" s="2616"/>
      <c r="GC76" s="2646"/>
      <c r="GD76" s="2646"/>
      <c r="GE76" s="2646"/>
      <c r="GF76" s="2646"/>
      <c r="GK76" s="516"/>
      <c r="HL76" s="517"/>
      <c r="HO76" s="514"/>
      <c r="HP76" s="514"/>
      <c r="HQ76" s="514"/>
      <c r="HR76" s="514"/>
      <c r="HS76" s="514"/>
      <c r="HT76" s="515"/>
      <c r="HU76" s="514"/>
      <c r="HV76" s="514"/>
      <c r="HW76" s="514"/>
      <c r="HX76" s="514"/>
      <c r="HY76" s="514"/>
    </row>
    <row r="77" spans="4:233" ht="4.1500000000000004" customHeight="1">
      <c r="DX77" s="515"/>
      <c r="DY77" s="514"/>
      <c r="DZ77" s="514"/>
      <c r="EA77" s="514"/>
      <c r="EB77" s="514"/>
      <c r="EC77" s="514"/>
      <c r="ED77" s="514"/>
      <c r="EE77" s="514"/>
      <c r="EF77" s="514"/>
      <c r="EG77" s="514"/>
      <c r="EH77" s="514"/>
      <c r="EI77" s="514"/>
      <c r="EJ77" s="514"/>
      <c r="EK77" s="514"/>
      <c r="EL77" s="514"/>
      <c r="EM77" s="514"/>
      <c r="EN77" s="514"/>
      <c r="EO77" s="514"/>
      <c r="EP77" s="514"/>
      <c r="EQ77" s="514"/>
      <c r="ER77" s="518"/>
      <c r="ES77" s="516"/>
      <c r="EV77" s="2597">
        <v>0.15</v>
      </c>
      <c r="EW77" s="2597"/>
      <c r="EX77" s="2597"/>
      <c r="EY77" s="2597"/>
      <c r="EZ77" s="2597"/>
      <c r="FA77" s="2597"/>
      <c r="FB77" s="2597"/>
      <c r="FC77" s="2597"/>
      <c r="FD77" s="2597"/>
      <c r="FE77" s="2597"/>
      <c r="FF77" s="2597"/>
      <c r="FG77" s="2597"/>
      <c r="FL77" s="2616"/>
      <c r="FM77" s="2616"/>
      <c r="FN77" s="2616"/>
      <c r="FO77" s="2616"/>
      <c r="GC77" s="2646"/>
      <c r="GD77" s="2646"/>
      <c r="GE77" s="2646"/>
      <c r="GF77" s="2646"/>
      <c r="GK77" s="516"/>
      <c r="HL77" s="517"/>
      <c r="HT77" s="516"/>
    </row>
    <row r="78" spans="4:233" ht="4.1500000000000004" customHeight="1">
      <c r="DX78" s="516"/>
      <c r="ER78" s="517"/>
      <c r="ES78" s="516"/>
      <c r="EV78" s="2596"/>
      <c r="EW78" s="2596"/>
      <c r="EX78" s="2596"/>
      <c r="EY78" s="2596"/>
      <c r="EZ78" s="2596"/>
      <c r="FA78" s="2596"/>
      <c r="FB78" s="2596"/>
      <c r="FC78" s="2596"/>
      <c r="FD78" s="2596"/>
      <c r="FE78" s="2596"/>
      <c r="FF78" s="2596"/>
      <c r="FG78" s="2596"/>
      <c r="FN78" s="516"/>
      <c r="GC78" s="2646"/>
      <c r="GD78" s="2646"/>
      <c r="GE78" s="2646"/>
      <c r="GF78" s="2646"/>
      <c r="GK78" s="516"/>
      <c r="HL78" s="517"/>
      <c r="HO78" s="2638">
        <v>0.3</v>
      </c>
      <c r="HP78" s="2638"/>
      <c r="HQ78" s="2638"/>
      <c r="HR78" s="2638"/>
      <c r="HS78" s="2638"/>
      <c r="HT78" s="2638"/>
      <c r="HU78" s="2638"/>
      <c r="HV78" s="2638"/>
      <c r="HW78" s="2638"/>
      <c r="HX78" s="2638"/>
      <c r="HY78" s="2638"/>
    </row>
    <row r="79" spans="4:233" ht="4.1500000000000004" customHeight="1" thickBot="1">
      <c r="K79" s="514"/>
      <c r="L79" s="514"/>
      <c r="M79" s="515"/>
      <c r="N79" s="514"/>
      <c r="R79" s="519"/>
      <c r="S79" s="520"/>
      <c r="T79" s="514"/>
      <c r="U79" s="514"/>
      <c r="V79" s="514"/>
      <c r="W79" s="514"/>
      <c r="X79" s="514"/>
      <c r="Y79" s="514"/>
      <c r="Z79" s="515"/>
      <c r="AA79" s="514"/>
      <c r="AB79" s="514"/>
      <c r="AC79" s="514"/>
      <c r="AD79" s="514"/>
      <c r="AE79" s="514"/>
      <c r="AF79" s="514"/>
      <c r="AG79" s="514"/>
      <c r="AH79" s="514"/>
      <c r="AI79" s="514"/>
      <c r="AJ79" s="518"/>
      <c r="AK79" s="514"/>
      <c r="AL79" s="514"/>
      <c r="AM79" s="514"/>
      <c r="AN79" s="514"/>
      <c r="AO79" s="514"/>
      <c r="AP79" s="514"/>
      <c r="AQ79" s="1565"/>
      <c r="AR79" s="1566"/>
      <c r="AS79" s="514"/>
      <c r="AT79" s="514"/>
      <c r="AU79" s="514"/>
      <c r="AV79" s="514"/>
      <c r="AW79" s="514"/>
      <c r="AX79" s="514"/>
      <c r="AY79" s="515"/>
      <c r="AZ79" s="514"/>
      <c r="BA79" s="514"/>
      <c r="BB79" s="514"/>
      <c r="BC79" s="514"/>
      <c r="BD79" s="514"/>
      <c r="BE79" s="514"/>
      <c r="BF79" s="514"/>
      <c r="BG79" s="514"/>
      <c r="BH79" s="514"/>
      <c r="BI79" s="518"/>
      <c r="BJ79" s="514"/>
      <c r="BK79" s="514"/>
      <c r="BL79" s="514"/>
      <c r="BM79" s="514"/>
      <c r="BN79" s="514"/>
      <c r="BO79" s="514"/>
      <c r="BP79" s="1565"/>
      <c r="BQ79" s="1566"/>
      <c r="BR79" s="514"/>
      <c r="BS79" s="514"/>
      <c r="BT79" s="514"/>
      <c r="BU79" s="514"/>
      <c r="BV79" s="514"/>
      <c r="BW79" s="514"/>
      <c r="BX79" s="515"/>
      <c r="BY79" s="514"/>
      <c r="BZ79" s="514"/>
      <c r="CA79" s="514"/>
      <c r="CB79" s="514"/>
      <c r="CC79" s="514"/>
      <c r="CD79" s="514"/>
      <c r="CE79" s="514"/>
      <c r="CF79" s="514"/>
      <c r="CG79" s="514"/>
      <c r="CH79" s="518"/>
      <c r="CI79" s="514"/>
      <c r="CJ79" s="514"/>
      <c r="CK79" s="514"/>
      <c r="CL79" s="514"/>
      <c r="CM79" s="514"/>
      <c r="CN79" s="514"/>
      <c r="CO79" s="520"/>
      <c r="CP79" s="521"/>
      <c r="DX79" s="530"/>
      <c r="DY79" s="532"/>
      <c r="DZ79" s="532"/>
      <c r="EA79" s="532"/>
      <c r="EB79" s="532"/>
      <c r="EC79" s="532"/>
      <c r="ED79" s="532"/>
      <c r="EE79" s="532"/>
      <c r="EF79" s="532"/>
      <c r="EG79" s="532"/>
      <c r="EH79" s="532"/>
      <c r="EI79" s="532"/>
      <c r="EJ79" s="532"/>
      <c r="EK79" s="532"/>
      <c r="EL79" s="532"/>
      <c r="EM79" s="532"/>
      <c r="EN79" s="532"/>
      <c r="EO79" s="532"/>
      <c r="EP79" s="532"/>
      <c r="EQ79" s="532"/>
      <c r="ER79" s="531"/>
      <c r="ES79" s="516"/>
      <c r="EV79" s="2598"/>
      <c r="EW79" s="2598"/>
      <c r="EX79" s="2598"/>
      <c r="EY79" s="2598"/>
      <c r="EZ79" s="2598"/>
      <c r="FA79" s="2598"/>
      <c r="FB79" s="2598"/>
      <c r="FC79" s="2598"/>
      <c r="FD79" s="2598"/>
      <c r="FE79" s="2598"/>
      <c r="FF79" s="2598"/>
      <c r="FG79" s="2598"/>
      <c r="FN79" s="516"/>
      <c r="GC79" s="2646"/>
      <c r="GD79" s="2646"/>
      <c r="GE79" s="2646"/>
      <c r="GF79" s="2646"/>
      <c r="GK79" s="516"/>
      <c r="HL79" s="517"/>
      <c r="HO79" s="2638"/>
      <c r="HP79" s="2638"/>
      <c r="HQ79" s="2638"/>
      <c r="HR79" s="2638"/>
      <c r="HS79" s="2638"/>
      <c r="HT79" s="2638"/>
      <c r="HU79" s="2638"/>
      <c r="HV79" s="2638"/>
      <c r="HW79" s="2638"/>
      <c r="HX79" s="2638"/>
      <c r="HY79" s="2638"/>
    </row>
    <row r="80" spans="4:233" ht="4.1500000000000004" customHeight="1" thickTop="1">
      <c r="D80" s="514"/>
      <c r="E80" s="514"/>
      <c r="F80" s="515"/>
      <c r="G80" s="514"/>
      <c r="M80" s="516"/>
      <c r="R80" s="527"/>
      <c r="S80" s="528"/>
      <c r="T80" s="532"/>
      <c r="U80" s="532"/>
      <c r="V80" s="532"/>
      <c r="W80" s="532"/>
      <c r="X80" s="532"/>
      <c r="Y80" s="532"/>
      <c r="Z80" s="1596"/>
      <c r="AA80" s="1597"/>
      <c r="AB80" s="1597"/>
      <c r="AC80" s="1597"/>
      <c r="AD80" s="1597"/>
      <c r="AE80" s="1597"/>
      <c r="AF80" s="1597"/>
      <c r="AG80" s="1597"/>
      <c r="AH80" s="1597"/>
      <c r="AI80" s="1597"/>
      <c r="AJ80" s="1598"/>
      <c r="AK80" s="532"/>
      <c r="AL80" s="532"/>
      <c r="AM80" s="532"/>
      <c r="AN80" s="532"/>
      <c r="AO80" s="532"/>
      <c r="AP80" s="532"/>
      <c r="AQ80" s="1567"/>
      <c r="AR80" s="1568"/>
      <c r="AS80" s="532"/>
      <c r="AT80" s="532"/>
      <c r="AU80" s="532"/>
      <c r="AV80" s="532"/>
      <c r="AW80" s="532"/>
      <c r="AX80" s="532"/>
      <c r="AY80" s="1596"/>
      <c r="AZ80" s="1597"/>
      <c r="BA80" s="1597"/>
      <c r="BB80" s="1597"/>
      <c r="BC80" s="1597"/>
      <c r="BD80" s="1597"/>
      <c r="BE80" s="1597"/>
      <c r="BF80" s="1597"/>
      <c r="BG80" s="1597"/>
      <c r="BH80" s="1597"/>
      <c r="BI80" s="1598"/>
      <c r="BJ80" s="532"/>
      <c r="BK80" s="532"/>
      <c r="BL80" s="532"/>
      <c r="BM80" s="532"/>
      <c r="BN80" s="532"/>
      <c r="BO80" s="532"/>
      <c r="BP80" s="1567"/>
      <c r="BQ80" s="1568"/>
      <c r="BR80" s="532"/>
      <c r="BS80" s="532"/>
      <c r="BT80" s="532"/>
      <c r="BU80" s="532"/>
      <c r="BV80" s="532"/>
      <c r="BW80" s="532"/>
      <c r="BX80" s="1596"/>
      <c r="BY80" s="1597"/>
      <c r="BZ80" s="1597"/>
      <c r="CA80" s="1597"/>
      <c r="CB80" s="1597"/>
      <c r="CC80" s="1597"/>
      <c r="CD80" s="1597"/>
      <c r="CE80" s="1597"/>
      <c r="CF80" s="1597"/>
      <c r="CG80" s="1597"/>
      <c r="CH80" s="1598"/>
      <c r="CI80" s="532"/>
      <c r="CJ80" s="532"/>
      <c r="CK80" s="532"/>
      <c r="CL80" s="532"/>
      <c r="CM80" s="532"/>
      <c r="CN80" s="532"/>
      <c r="CO80" s="523"/>
      <c r="CP80" s="524"/>
      <c r="CT80" s="514"/>
      <c r="CU80" s="514"/>
      <c r="CV80" s="515"/>
      <c r="CW80" s="514"/>
      <c r="DA80" s="514"/>
      <c r="DB80" s="514"/>
      <c r="DC80" s="515"/>
      <c r="DD80" s="514"/>
      <c r="DX80" s="515"/>
      <c r="DY80" s="514"/>
      <c r="DZ80" s="514"/>
      <c r="EA80" s="514"/>
      <c r="EB80" s="514"/>
      <c r="EC80" s="514"/>
      <c r="ED80" s="514"/>
      <c r="EE80" s="514"/>
      <c r="EF80" s="514"/>
      <c r="EG80" s="514"/>
      <c r="EH80" s="514"/>
      <c r="EI80" s="514"/>
      <c r="EJ80" s="514"/>
      <c r="EK80" s="514"/>
      <c r="EL80" s="514"/>
      <c r="EM80" s="514"/>
      <c r="EN80" s="514"/>
      <c r="EO80" s="514"/>
      <c r="EP80" s="514"/>
      <c r="EQ80" s="514"/>
      <c r="ER80" s="518"/>
      <c r="ES80" s="516"/>
      <c r="EV80" s="2597">
        <v>0.15</v>
      </c>
      <c r="EW80" s="2597"/>
      <c r="EX80" s="2597"/>
      <c r="EY80" s="2597"/>
      <c r="EZ80" s="2597"/>
      <c r="FA80" s="2597"/>
      <c r="FB80" s="2597"/>
      <c r="FC80" s="2597"/>
      <c r="FD80" s="2597"/>
      <c r="FE80" s="2597"/>
      <c r="FF80" s="2597"/>
      <c r="FG80" s="2597"/>
      <c r="FN80" s="516"/>
      <c r="GC80" s="2646"/>
      <c r="GD80" s="2646"/>
      <c r="GE80" s="2646"/>
      <c r="GF80" s="2646"/>
      <c r="GK80" s="516"/>
      <c r="HL80" s="517"/>
      <c r="HO80" s="2638"/>
      <c r="HP80" s="2638"/>
      <c r="HQ80" s="2638"/>
      <c r="HR80" s="2638"/>
      <c r="HS80" s="2638"/>
      <c r="HT80" s="2638"/>
      <c r="HU80" s="2638"/>
      <c r="HV80" s="2638"/>
      <c r="HW80" s="2638"/>
      <c r="HX80" s="2638"/>
      <c r="HY80" s="2638"/>
    </row>
    <row r="81" spans="4:233" ht="4.1500000000000004" customHeight="1">
      <c r="F81" s="516"/>
      <c r="M81" s="516"/>
      <c r="R81" s="2686">
        <v>0.25</v>
      </c>
      <c r="S81" s="2687"/>
      <c r="T81" s="516"/>
      <c r="AQ81" s="536"/>
      <c r="AR81" s="538"/>
      <c r="BP81" s="536"/>
      <c r="BQ81" s="538"/>
      <c r="CO81" s="668"/>
      <c r="CP81" s="1583"/>
      <c r="CV81" s="516"/>
      <c r="DC81" s="516"/>
      <c r="DX81" s="516"/>
      <c r="ER81" s="517"/>
      <c r="ES81" s="516"/>
      <c r="EV81" s="2596"/>
      <c r="EW81" s="2596"/>
      <c r="EX81" s="2596"/>
      <c r="EY81" s="2596"/>
      <c r="EZ81" s="2596"/>
      <c r="FA81" s="2596"/>
      <c r="FB81" s="2596"/>
      <c r="FC81" s="2596"/>
      <c r="FD81" s="2596"/>
      <c r="FE81" s="2596"/>
      <c r="FF81" s="2596"/>
      <c r="FG81" s="2596"/>
      <c r="FN81" s="516"/>
      <c r="GD81" s="516"/>
      <c r="GK81" s="516"/>
      <c r="HL81" s="517"/>
      <c r="HT81" s="516"/>
    </row>
    <row r="82" spans="4:233" ht="4.1500000000000004" customHeight="1">
      <c r="F82" s="516"/>
      <c r="M82" s="516"/>
      <c r="R82" s="2686"/>
      <c r="S82" s="2687"/>
      <c r="T82" s="516"/>
      <c r="AQ82" s="539"/>
      <c r="AR82" s="540"/>
      <c r="BP82" s="539"/>
      <c r="BQ82" s="540"/>
      <c r="CO82" s="663"/>
      <c r="CP82" s="664"/>
      <c r="CV82" s="516"/>
      <c r="DC82" s="516"/>
      <c r="DX82" s="530"/>
      <c r="DY82" s="532"/>
      <c r="DZ82" s="532"/>
      <c r="EA82" s="532"/>
      <c r="EB82" s="532"/>
      <c r="EC82" s="532"/>
      <c r="ED82" s="532"/>
      <c r="EE82" s="532"/>
      <c r="EF82" s="532"/>
      <c r="EG82" s="532"/>
      <c r="EH82" s="532"/>
      <c r="EI82" s="532"/>
      <c r="EJ82" s="532"/>
      <c r="EK82" s="532"/>
      <c r="EL82" s="532"/>
      <c r="EM82" s="532"/>
      <c r="EN82" s="532"/>
      <c r="EO82" s="532"/>
      <c r="EP82" s="532"/>
      <c r="EQ82" s="532"/>
      <c r="ER82" s="531"/>
      <c r="ES82" s="530"/>
      <c r="ET82" s="532"/>
      <c r="EV82" s="2598"/>
      <c r="EW82" s="2598"/>
      <c r="EX82" s="2598"/>
      <c r="EY82" s="2598"/>
      <c r="EZ82" s="2598"/>
      <c r="FA82" s="2598"/>
      <c r="FB82" s="2598"/>
      <c r="FC82" s="2598"/>
      <c r="FD82" s="2598"/>
      <c r="FE82" s="2598"/>
      <c r="FF82" s="2598"/>
      <c r="FG82" s="2598"/>
      <c r="FK82" s="532"/>
      <c r="FL82" s="532"/>
      <c r="FM82" s="532"/>
      <c r="FN82" s="530"/>
      <c r="FO82" s="532"/>
      <c r="FP82" s="532"/>
      <c r="GD82" s="516"/>
      <c r="GK82" s="530"/>
      <c r="GL82" s="532"/>
      <c r="GM82" s="532"/>
      <c r="GN82" s="532"/>
      <c r="GO82" s="532"/>
      <c r="GP82" s="532"/>
      <c r="GQ82" s="532"/>
      <c r="GR82" s="532"/>
      <c r="GS82" s="532"/>
      <c r="GT82" s="532"/>
      <c r="GU82" s="532"/>
      <c r="GV82" s="532"/>
      <c r="GW82" s="532"/>
      <c r="GX82" s="532"/>
      <c r="GY82" s="532"/>
      <c r="GZ82" s="532"/>
      <c r="HA82" s="532"/>
      <c r="HB82" s="532"/>
      <c r="HC82" s="532"/>
      <c r="HD82" s="532"/>
      <c r="HE82" s="532"/>
      <c r="HF82" s="532"/>
      <c r="HG82" s="532"/>
      <c r="HH82" s="532"/>
      <c r="HI82" s="532"/>
      <c r="HJ82" s="532"/>
      <c r="HK82" s="532"/>
      <c r="HL82" s="531"/>
      <c r="HO82" s="532"/>
      <c r="HP82" s="532"/>
      <c r="HQ82" s="532"/>
      <c r="HR82" s="532"/>
      <c r="HS82" s="532"/>
      <c r="HT82" s="530"/>
      <c r="HU82" s="532"/>
      <c r="HV82" s="532"/>
      <c r="HW82" s="532"/>
      <c r="HX82" s="532"/>
      <c r="HY82" s="532"/>
    </row>
    <row r="83" spans="4:233" ht="4.1500000000000004" customHeight="1">
      <c r="F83" s="516"/>
      <c r="M83" s="516"/>
      <c r="R83" s="2686"/>
      <c r="S83" s="2687"/>
      <c r="T83" s="516"/>
      <c r="AQ83" s="539"/>
      <c r="AR83" s="540"/>
      <c r="BP83" s="539"/>
      <c r="BQ83" s="540"/>
      <c r="CO83" s="663"/>
      <c r="CP83" s="664"/>
      <c r="CV83" s="516"/>
      <c r="DC83" s="516"/>
      <c r="GD83" s="516"/>
      <c r="GJ83" s="515"/>
      <c r="GK83" s="514"/>
      <c r="GL83" s="514"/>
      <c r="GM83" s="514"/>
      <c r="GN83" s="514"/>
      <c r="GO83" s="514"/>
      <c r="GP83" s="514"/>
      <c r="GQ83" s="514"/>
      <c r="GR83" s="514"/>
      <c r="GS83" s="514"/>
      <c r="GT83" s="514"/>
      <c r="GU83" s="514"/>
      <c r="GV83" s="514"/>
      <c r="GW83" s="514"/>
      <c r="GX83" s="514"/>
      <c r="GY83" s="514"/>
      <c r="GZ83" s="514"/>
      <c r="HA83" s="514"/>
      <c r="HB83" s="514"/>
      <c r="HC83" s="514"/>
      <c r="HD83" s="514"/>
      <c r="HE83" s="514"/>
      <c r="HF83" s="514"/>
      <c r="HG83" s="514"/>
      <c r="HH83" s="514"/>
      <c r="HI83" s="514"/>
      <c r="HJ83" s="514"/>
      <c r="HK83" s="514"/>
      <c r="HL83" s="514"/>
      <c r="HM83" s="518"/>
      <c r="HO83" s="2639">
        <v>0.15</v>
      </c>
      <c r="HP83" s="2639"/>
      <c r="HQ83" s="2639"/>
      <c r="HR83" s="2639"/>
      <c r="HS83" s="2639"/>
      <c r="HT83" s="2639"/>
      <c r="HU83" s="2639"/>
      <c r="HV83" s="2639"/>
      <c r="HW83" s="2639"/>
      <c r="HX83" s="2639"/>
      <c r="HY83" s="2639"/>
    </row>
    <row r="84" spans="4:233" ht="4.1500000000000004" customHeight="1">
      <c r="F84" s="516"/>
      <c r="M84" s="516"/>
      <c r="R84" s="2686"/>
      <c r="S84" s="2687"/>
      <c r="T84" s="516"/>
      <c r="AQ84" s="539"/>
      <c r="AR84" s="540"/>
      <c r="BP84" s="539"/>
      <c r="BQ84" s="540"/>
      <c r="CO84" s="663"/>
      <c r="CP84" s="664"/>
      <c r="CQ84" s="662"/>
      <c r="CR84" s="662"/>
      <c r="CS84" s="662"/>
      <c r="CT84" s="662"/>
      <c r="CU84" s="662"/>
      <c r="CV84" s="663"/>
      <c r="CW84" s="662"/>
      <c r="CX84" s="662"/>
      <c r="CY84" s="662"/>
      <c r="CZ84" s="662"/>
      <c r="DA84" s="662"/>
      <c r="DB84" s="662"/>
      <c r="DC84" s="663"/>
      <c r="DD84" s="662"/>
      <c r="GD84" s="516"/>
      <c r="GJ84" s="516"/>
      <c r="HM84" s="517"/>
      <c r="HO84" s="2638"/>
      <c r="HP84" s="2638"/>
      <c r="HQ84" s="2638"/>
      <c r="HR84" s="2638"/>
      <c r="HS84" s="2638"/>
      <c r="HT84" s="2638"/>
      <c r="HU84" s="2638"/>
      <c r="HV84" s="2638"/>
      <c r="HW84" s="2638"/>
      <c r="HX84" s="2638"/>
      <c r="HY84" s="2638"/>
    </row>
    <row r="85" spans="4:233" ht="4.1500000000000004" customHeight="1">
      <c r="F85" s="516"/>
      <c r="M85" s="516"/>
      <c r="R85" s="2686"/>
      <c r="S85" s="2687"/>
      <c r="T85" s="516"/>
      <c r="AQ85" s="539"/>
      <c r="AR85" s="540"/>
      <c r="BP85" s="539"/>
      <c r="BQ85" s="540"/>
      <c r="CO85" s="663"/>
      <c r="CP85" s="664"/>
      <c r="CQ85" s="662"/>
      <c r="CR85" s="662"/>
      <c r="CS85" s="662"/>
      <c r="CT85" s="2684">
        <v>3.4750000000000001</v>
      </c>
      <c r="CU85" s="2684"/>
      <c r="CV85" s="2684"/>
      <c r="CW85" s="2684"/>
      <c r="CX85" s="662"/>
      <c r="CY85" s="662"/>
      <c r="CZ85" s="662"/>
      <c r="DA85" s="662"/>
      <c r="DB85" s="662"/>
      <c r="DC85" s="663"/>
      <c r="DD85" s="662"/>
      <c r="DX85" s="516"/>
      <c r="EB85" s="2615">
        <v>0.9</v>
      </c>
      <c r="EC85" s="2608"/>
      <c r="ED85" s="2608"/>
      <c r="EE85" s="2608"/>
      <c r="EF85" s="2608"/>
      <c r="EG85" s="2608"/>
      <c r="EH85" s="2608"/>
      <c r="EI85" s="2608"/>
      <c r="EJ85" s="2608"/>
      <c r="EK85" s="2608"/>
      <c r="EL85" s="2608"/>
      <c r="EM85" s="2608"/>
      <c r="EN85" s="2608"/>
      <c r="EO85" s="2608"/>
      <c r="ER85" s="517"/>
      <c r="GD85" s="516"/>
      <c r="GJ85" s="530"/>
      <c r="GK85" s="532"/>
      <c r="GL85" s="532"/>
      <c r="GM85" s="532"/>
      <c r="GN85" s="532"/>
      <c r="GO85" s="532"/>
      <c r="GP85" s="532"/>
      <c r="GQ85" s="532"/>
      <c r="GR85" s="532"/>
      <c r="GS85" s="532"/>
      <c r="GT85" s="532"/>
      <c r="GU85" s="532"/>
      <c r="GV85" s="532"/>
      <c r="GW85" s="532"/>
      <c r="GX85" s="532"/>
      <c r="GY85" s="532"/>
      <c r="GZ85" s="532"/>
      <c r="HA85" s="532"/>
      <c r="HB85" s="532"/>
      <c r="HC85" s="532"/>
      <c r="HD85" s="532"/>
      <c r="HE85" s="532"/>
      <c r="HF85" s="532"/>
      <c r="HG85" s="532"/>
      <c r="HH85" s="532"/>
      <c r="HI85" s="532"/>
      <c r="HJ85" s="532"/>
      <c r="HK85" s="532"/>
      <c r="HL85" s="532"/>
      <c r="HM85" s="531"/>
      <c r="HO85" s="2640"/>
      <c r="HP85" s="2640"/>
      <c r="HQ85" s="2640"/>
      <c r="HR85" s="2640"/>
      <c r="HS85" s="2640"/>
      <c r="HT85" s="2640"/>
      <c r="HU85" s="2640"/>
      <c r="HV85" s="2640"/>
      <c r="HW85" s="2640"/>
      <c r="HX85" s="2640"/>
      <c r="HY85" s="2640"/>
    </row>
    <row r="86" spans="4:233" ht="4.1500000000000004" customHeight="1">
      <c r="F86" s="516"/>
      <c r="M86" s="516"/>
      <c r="R86" s="2686"/>
      <c r="S86" s="2687"/>
      <c r="T86" s="516"/>
      <c r="AQ86" s="539"/>
      <c r="AR86" s="540"/>
      <c r="BP86" s="539"/>
      <c r="BQ86" s="540"/>
      <c r="CO86" s="668"/>
      <c r="CP86" s="1585"/>
      <c r="CQ86" s="662"/>
      <c r="CR86" s="662"/>
      <c r="CS86" s="662"/>
      <c r="CT86" s="2684"/>
      <c r="CU86" s="2684"/>
      <c r="CV86" s="2684"/>
      <c r="CW86" s="2684"/>
      <c r="CX86" s="662"/>
      <c r="CY86" s="662"/>
      <c r="CZ86" s="662"/>
      <c r="DA86" s="662"/>
      <c r="DB86" s="662"/>
      <c r="DC86" s="663"/>
      <c r="DD86" s="662"/>
      <c r="DX86" s="530"/>
      <c r="DY86" s="532"/>
      <c r="DZ86" s="532"/>
      <c r="EA86" s="532"/>
      <c r="EB86" s="2608"/>
      <c r="EC86" s="2608"/>
      <c r="ED86" s="2608"/>
      <c r="EE86" s="2608"/>
      <c r="EF86" s="2608"/>
      <c r="EG86" s="2608"/>
      <c r="EH86" s="2608"/>
      <c r="EI86" s="2608"/>
      <c r="EJ86" s="2608"/>
      <c r="EK86" s="2608"/>
      <c r="EL86" s="2608"/>
      <c r="EM86" s="2608"/>
      <c r="EN86" s="2608"/>
      <c r="EO86" s="2608"/>
      <c r="EP86" s="532"/>
      <c r="EQ86" s="532"/>
      <c r="ER86" s="531"/>
      <c r="GD86" s="516"/>
      <c r="GJ86" s="515"/>
      <c r="GK86" s="514"/>
      <c r="GL86" s="514"/>
      <c r="GM86" s="514"/>
      <c r="GN86" s="514"/>
      <c r="GO86" s="514"/>
      <c r="GP86" s="514"/>
      <c r="GQ86" s="514"/>
      <c r="GR86" s="514"/>
      <c r="GS86" s="514"/>
      <c r="GT86" s="514"/>
      <c r="GU86" s="514"/>
      <c r="GV86" s="514"/>
      <c r="GW86" s="514"/>
      <c r="GX86" s="514"/>
      <c r="GY86" s="514"/>
      <c r="GZ86" s="514"/>
      <c r="HA86" s="514"/>
      <c r="HB86" s="514"/>
      <c r="HC86" s="514"/>
      <c r="HD86" s="514"/>
      <c r="HE86" s="514"/>
      <c r="HF86" s="514"/>
      <c r="HG86" s="514"/>
      <c r="HH86" s="514"/>
      <c r="HI86" s="514"/>
      <c r="HJ86" s="514"/>
      <c r="HK86" s="514"/>
      <c r="HL86" s="514"/>
      <c r="HM86" s="518"/>
      <c r="HO86" s="2639">
        <v>0.15</v>
      </c>
      <c r="HP86" s="2639"/>
      <c r="HQ86" s="2639"/>
      <c r="HR86" s="2639"/>
      <c r="HS86" s="2639"/>
      <c r="HT86" s="2639"/>
      <c r="HU86" s="2639"/>
      <c r="HV86" s="2639"/>
      <c r="HW86" s="2639"/>
      <c r="HX86" s="2639"/>
      <c r="HY86" s="2639"/>
    </row>
    <row r="87" spans="4:233" ht="4.1500000000000004" customHeight="1">
      <c r="F87" s="516"/>
      <c r="M87" s="516"/>
      <c r="R87" s="2686"/>
      <c r="S87" s="2687"/>
      <c r="T87" s="516"/>
      <c r="AQ87" s="539"/>
      <c r="AR87" s="540"/>
      <c r="BP87" s="539"/>
      <c r="BQ87" s="540"/>
      <c r="CO87" s="663"/>
      <c r="CP87" s="1586"/>
      <c r="CQ87" s="662"/>
      <c r="CR87" s="662"/>
      <c r="CS87" s="662"/>
      <c r="CT87" s="2684"/>
      <c r="CU87" s="2684"/>
      <c r="CV87" s="2684"/>
      <c r="CW87" s="2684"/>
      <c r="CX87" s="662"/>
      <c r="CY87" s="662"/>
      <c r="CZ87" s="662"/>
      <c r="DA87" s="662"/>
      <c r="DB87" s="662"/>
      <c r="DC87" s="663"/>
      <c r="DD87" s="662"/>
      <c r="DX87" s="516"/>
      <c r="EB87" s="2608"/>
      <c r="EC87" s="2608"/>
      <c r="ED87" s="2608"/>
      <c r="EE87" s="2608"/>
      <c r="EF87" s="2608"/>
      <c r="EG87" s="2608"/>
      <c r="EH87" s="2608"/>
      <c r="EI87" s="2608"/>
      <c r="EJ87" s="2608"/>
      <c r="EK87" s="2608"/>
      <c r="EL87" s="2608"/>
      <c r="EM87" s="2608"/>
      <c r="EN87" s="2608"/>
      <c r="EO87" s="2608"/>
      <c r="ER87" s="517"/>
      <c r="GD87" s="516"/>
      <c r="GJ87" s="516"/>
      <c r="HM87" s="517"/>
      <c r="HO87" s="2638"/>
      <c r="HP87" s="2638"/>
      <c r="HQ87" s="2638"/>
      <c r="HR87" s="2638"/>
      <c r="HS87" s="2638"/>
      <c r="HT87" s="2638"/>
      <c r="HU87" s="2638"/>
      <c r="HV87" s="2638"/>
      <c r="HW87" s="2638"/>
      <c r="HX87" s="2638"/>
      <c r="HY87" s="2638"/>
    </row>
    <row r="88" spans="4:233" ht="4.1500000000000004" customHeight="1">
      <c r="F88" s="516"/>
      <c r="M88" s="516"/>
      <c r="R88" s="516"/>
      <c r="T88" s="516"/>
      <c r="AQ88" s="539"/>
      <c r="AR88" s="540"/>
      <c r="AU88" s="2641" t="s">
        <v>3165</v>
      </c>
      <c r="AV88" s="2641"/>
      <c r="AW88" s="2641"/>
      <c r="AX88" s="2641"/>
      <c r="AY88" s="2641"/>
      <c r="AZ88" s="2641"/>
      <c r="BA88" s="2641"/>
      <c r="BB88" s="2641"/>
      <c r="BC88" s="2641"/>
      <c r="BD88" s="2641"/>
      <c r="BE88" s="2641"/>
      <c r="BF88" s="2641"/>
      <c r="BG88" s="2641"/>
      <c r="BH88" s="2641"/>
      <c r="BI88" s="2641"/>
      <c r="BJ88" s="2641"/>
      <c r="BK88" s="2641"/>
      <c r="BL88" s="2641"/>
      <c r="BP88" s="539"/>
      <c r="BQ88" s="540"/>
      <c r="CO88" s="663"/>
      <c r="CP88" s="1586"/>
      <c r="CQ88" s="662"/>
      <c r="CR88" s="662"/>
      <c r="CS88" s="662"/>
      <c r="CT88" s="2684"/>
      <c r="CU88" s="2684"/>
      <c r="CV88" s="2684"/>
      <c r="CW88" s="2684"/>
      <c r="CX88" s="662"/>
      <c r="CY88" s="662"/>
      <c r="CZ88" s="662"/>
      <c r="DA88" s="662"/>
      <c r="DB88" s="662"/>
      <c r="DC88" s="663"/>
      <c r="DD88" s="662"/>
      <c r="DX88" s="516"/>
      <c r="EB88" s="2608"/>
      <c r="EC88" s="2608"/>
      <c r="ED88" s="2608"/>
      <c r="EE88" s="2608"/>
      <c r="EF88" s="2608"/>
      <c r="EG88" s="2608"/>
      <c r="EH88" s="2608"/>
      <c r="EI88" s="2608"/>
      <c r="EJ88" s="2608"/>
      <c r="EK88" s="2608"/>
      <c r="EL88" s="2608"/>
      <c r="EM88" s="2608"/>
      <c r="EN88" s="2608"/>
      <c r="EO88" s="2608"/>
      <c r="ER88" s="517"/>
      <c r="GA88" s="532"/>
      <c r="GB88" s="532"/>
      <c r="GC88" s="532"/>
      <c r="GD88" s="530"/>
      <c r="GE88" s="532"/>
      <c r="GF88" s="532"/>
      <c r="GG88" s="532"/>
      <c r="GJ88" s="530"/>
      <c r="GK88" s="532"/>
      <c r="GL88" s="532"/>
      <c r="GM88" s="532"/>
      <c r="GN88" s="532"/>
      <c r="GO88" s="532"/>
      <c r="GP88" s="532"/>
      <c r="GQ88" s="532"/>
      <c r="GR88" s="532"/>
      <c r="GS88" s="532"/>
      <c r="GT88" s="532"/>
      <c r="GU88" s="532"/>
      <c r="GV88" s="532"/>
      <c r="GW88" s="532"/>
      <c r="GX88" s="532"/>
      <c r="GY88" s="532"/>
      <c r="GZ88" s="532"/>
      <c r="HA88" s="532"/>
      <c r="HB88" s="532"/>
      <c r="HC88" s="532"/>
      <c r="HD88" s="532"/>
      <c r="HE88" s="532"/>
      <c r="HF88" s="532"/>
      <c r="HG88" s="532"/>
      <c r="HH88" s="532"/>
      <c r="HI88" s="532"/>
      <c r="HJ88" s="532"/>
      <c r="HK88" s="532"/>
      <c r="HL88" s="532"/>
      <c r="HM88" s="531"/>
      <c r="HO88" s="2640"/>
      <c r="HP88" s="2640"/>
      <c r="HQ88" s="2640"/>
      <c r="HR88" s="2640"/>
      <c r="HS88" s="2640"/>
      <c r="HT88" s="2640"/>
      <c r="HU88" s="2640"/>
      <c r="HV88" s="2640"/>
      <c r="HW88" s="2640"/>
      <c r="HX88" s="2640"/>
      <c r="HY88" s="2640"/>
    </row>
    <row r="89" spans="4:233" ht="4.1500000000000004" customHeight="1">
      <c r="F89" s="516"/>
      <c r="M89" s="516"/>
      <c r="R89" s="516"/>
      <c r="T89" s="516"/>
      <c r="AQ89" s="539"/>
      <c r="AR89" s="540"/>
      <c r="AU89" s="2641"/>
      <c r="AV89" s="2641"/>
      <c r="AW89" s="2641"/>
      <c r="AX89" s="2641"/>
      <c r="AY89" s="2641"/>
      <c r="AZ89" s="2641"/>
      <c r="BA89" s="2641"/>
      <c r="BB89" s="2641"/>
      <c r="BC89" s="2641"/>
      <c r="BD89" s="2641"/>
      <c r="BE89" s="2641"/>
      <c r="BF89" s="2641"/>
      <c r="BG89" s="2641"/>
      <c r="BH89" s="2641"/>
      <c r="BI89" s="2641"/>
      <c r="BJ89" s="2641"/>
      <c r="BK89" s="2641"/>
      <c r="BL89" s="2641"/>
      <c r="BP89" s="539"/>
      <c r="BQ89" s="540"/>
      <c r="CO89" s="663"/>
      <c r="CP89" s="1586"/>
      <c r="CQ89" s="662"/>
      <c r="CR89" s="662"/>
      <c r="CS89" s="662"/>
      <c r="CT89" s="2684"/>
      <c r="CU89" s="2684"/>
      <c r="CV89" s="2684"/>
      <c r="CW89" s="2684"/>
      <c r="CX89" s="662"/>
      <c r="CY89" s="662"/>
      <c r="CZ89" s="662"/>
      <c r="DA89" s="662"/>
      <c r="DB89" s="662"/>
      <c r="DC89" s="663"/>
      <c r="DD89" s="662"/>
      <c r="HD89" s="514"/>
      <c r="HE89" s="514"/>
      <c r="HF89" s="514"/>
      <c r="HG89" s="514"/>
      <c r="HH89" s="514"/>
      <c r="HI89" s="514"/>
      <c r="HJ89" s="514"/>
      <c r="HK89" s="514"/>
      <c r="HL89" s="514"/>
      <c r="HM89" s="514"/>
    </row>
    <row r="90" spans="4:233" ht="4.1500000000000004" customHeight="1">
      <c r="F90" s="516"/>
      <c r="M90" s="516"/>
      <c r="R90" s="516"/>
      <c r="T90" s="516"/>
      <c r="AQ90" s="539"/>
      <c r="AR90" s="540"/>
      <c r="AU90" s="2641"/>
      <c r="AV90" s="2641"/>
      <c r="AW90" s="2641"/>
      <c r="AX90" s="2641"/>
      <c r="AY90" s="2641"/>
      <c r="AZ90" s="2641"/>
      <c r="BA90" s="2641"/>
      <c r="BB90" s="2641"/>
      <c r="BC90" s="2641"/>
      <c r="BD90" s="2641"/>
      <c r="BE90" s="2641"/>
      <c r="BF90" s="2641"/>
      <c r="BG90" s="2641"/>
      <c r="BH90" s="2641"/>
      <c r="BI90" s="2641"/>
      <c r="BJ90" s="2641"/>
      <c r="BK90" s="2641"/>
      <c r="BL90" s="2641"/>
      <c r="BP90" s="539"/>
      <c r="BQ90" s="540"/>
      <c r="CO90" s="663"/>
      <c r="CP90" s="1586"/>
      <c r="CQ90" s="662"/>
      <c r="CR90" s="662"/>
      <c r="CS90" s="662"/>
      <c r="CT90" s="2684"/>
      <c r="CU90" s="2684"/>
      <c r="CV90" s="2684"/>
      <c r="CW90" s="2684"/>
      <c r="CX90" s="662"/>
      <c r="CY90" s="662"/>
      <c r="CZ90" s="662"/>
      <c r="DA90" s="662"/>
      <c r="DB90" s="662"/>
      <c r="DC90" s="663"/>
      <c r="DD90" s="662"/>
      <c r="GJ90" s="516"/>
      <c r="HM90" s="517"/>
    </row>
    <row r="91" spans="4:233" ht="4.1500000000000004" customHeight="1">
      <c r="F91" s="516"/>
      <c r="M91" s="516"/>
      <c r="R91" s="516"/>
      <c r="T91" s="516"/>
      <c r="AQ91" s="539"/>
      <c r="AR91" s="540"/>
      <c r="AU91" s="2615">
        <v>11</v>
      </c>
      <c r="AV91" s="2615"/>
      <c r="AW91" s="2615"/>
      <c r="AX91" s="2615"/>
      <c r="AY91" s="2615"/>
      <c r="AZ91" s="2615"/>
      <c r="BA91" s="2615"/>
      <c r="BB91" s="2683" t="s">
        <v>901</v>
      </c>
      <c r="BC91" s="2683"/>
      <c r="BD91" s="2683"/>
      <c r="BE91" s="2683"/>
      <c r="BF91" s="2615">
        <v>6.7</v>
      </c>
      <c r="BG91" s="2615"/>
      <c r="BH91" s="2615"/>
      <c r="BI91" s="2615"/>
      <c r="BJ91" s="2615"/>
      <c r="BK91" s="2615"/>
      <c r="BL91" s="2615"/>
      <c r="BP91" s="539"/>
      <c r="BQ91" s="540"/>
      <c r="CO91" s="663"/>
      <c r="CP91" s="1586"/>
      <c r="CQ91" s="662"/>
      <c r="CR91" s="662"/>
      <c r="CS91" s="662"/>
      <c r="CT91" s="2684"/>
      <c r="CU91" s="2684"/>
      <c r="CV91" s="2684"/>
      <c r="CW91" s="2684"/>
      <c r="CX91" s="662"/>
      <c r="CY91" s="662"/>
      <c r="CZ91" s="662"/>
      <c r="DA91" s="662"/>
      <c r="DB91" s="662"/>
      <c r="DC91" s="663"/>
      <c r="DD91" s="662"/>
      <c r="GJ91" s="516"/>
      <c r="GR91" s="2596">
        <v>1.2</v>
      </c>
      <c r="GS91" s="2596"/>
      <c r="GT91" s="2596"/>
      <c r="GU91" s="2596"/>
      <c r="GV91" s="2596"/>
      <c r="GW91" s="2596"/>
      <c r="GX91" s="2596"/>
      <c r="GY91" s="2596"/>
      <c r="GZ91" s="2596"/>
      <c r="HA91" s="2596"/>
      <c r="HB91" s="2596"/>
      <c r="HC91" s="2596"/>
      <c r="HM91" s="517"/>
    </row>
    <row r="92" spans="4:233" ht="4.1500000000000004" customHeight="1">
      <c r="F92" s="516"/>
      <c r="M92" s="516"/>
      <c r="R92" s="516"/>
      <c r="T92" s="516"/>
      <c r="AQ92" s="539"/>
      <c r="AR92" s="540"/>
      <c r="AU92" s="2615"/>
      <c r="AV92" s="2615"/>
      <c r="AW92" s="2615"/>
      <c r="AX92" s="2615"/>
      <c r="AY92" s="2615"/>
      <c r="AZ92" s="2615"/>
      <c r="BA92" s="2615"/>
      <c r="BB92" s="2683"/>
      <c r="BC92" s="2683"/>
      <c r="BD92" s="2683"/>
      <c r="BE92" s="2683"/>
      <c r="BF92" s="2615"/>
      <c r="BG92" s="2615"/>
      <c r="BH92" s="2615"/>
      <c r="BI92" s="2615"/>
      <c r="BJ92" s="2615"/>
      <c r="BK92" s="2615"/>
      <c r="BL92" s="2615"/>
      <c r="BP92" s="539"/>
      <c r="BQ92" s="540"/>
      <c r="CO92" s="663"/>
      <c r="CP92" s="1586"/>
      <c r="CQ92" s="662"/>
      <c r="CR92" s="662"/>
      <c r="CS92" s="662"/>
      <c r="CT92" s="2684"/>
      <c r="CU92" s="2684"/>
      <c r="CV92" s="2684"/>
      <c r="CW92" s="2684"/>
      <c r="CX92" s="662"/>
      <c r="CY92" s="662"/>
      <c r="CZ92" s="662"/>
      <c r="DA92" s="662"/>
      <c r="DB92" s="662"/>
      <c r="DC92" s="663"/>
      <c r="DD92" s="662"/>
      <c r="GJ92" s="530"/>
      <c r="GK92" s="532"/>
      <c r="GL92" s="532"/>
      <c r="GM92" s="532"/>
      <c r="GN92" s="532"/>
      <c r="GO92" s="532"/>
      <c r="GP92" s="532"/>
      <c r="GQ92" s="532"/>
      <c r="GR92" s="2596"/>
      <c r="GS92" s="2596"/>
      <c r="GT92" s="2596"/>
      <c r="GU92" s="2596"/>
      <c r="GV92" s="2596"/>
      <c r="GW92" s="2596"/>
      <c r="GX92" s="2596"/>
      <c r="GY92" s="2596"/>
      <c r="GZ92" s="2596"/>
      <c r="HA92" s="2596"/>
      <c r="HB92" s="2596"/>
      <c r="HC92" s="2596"/>
      <c r="HD92" s="532"/>
      <c r="HE92" s="532"/>
      <c r="HF92" s="532"/>
      <c r="HG92" s="532"/>
      <c r="HH92" s="532"/>
      <c r="HI92" s="532"/>
      <c r="HJ92" s="532"/>
      <c r="HK92" s="532"/>
      <c r="HL92" s="532"/>
      <c r="HM92" s="531"/>
    </row>
    <row r="93" spans="4:233" ht="4.1500000000000004" customHeight="1">
      <c r="F93" s="516"/>
      <c r="M93" s="516"/>
      <c r="R93" s="516"/>
      <c r="T93" s="516"/>
      <c r="AQ93" s="539"/>
      <c r="AR93" s="540"/>
      <c r="AU93" s="2615"/>
      <c r="AV93" s="2615"/>
      <c r="AW93" s="2615"/>
      <c r="AX93" s="2615"/>
      <c r="AY93" s="2615"/>
      <c r="AZ93" s="2615"/>
      <c r="BA93" s="2615"/>
      <c r="BB93" s="2683"/>
      <c r="BC93" s="2683"/>
      <c r="BD93" s="2683"/>
      <c r="BE93" s="2683"/>
      <c r="BF93" s="2615"/>
      <c r="BG93" s="2615"/>
      <c r="BH93" s="2615"/>
      <c r="BI93" s="2615"/>
      <c r="BJ93" s="2615"/>
      <c r="BK93" s="2615"/>
      <c r="BL93" s="2615"/>
      <c r="BP93" s="539"/>
      <c r="BQ93" s="540"/>
      <c r="CO93" s="663"/>
      <c r="CP93" s="1586"/>
      <c r="CQ93" s="662"/>
      <c r="CR93" s="662"/>
      <c r="CS93" s="662"/>
      <c r="CT93" s="2684"/>
      <c r="CU93" s="2684"/>
      <c r="CV93" s="2684"/>
      <c r="CW93" s="2684"/>
      <c r="CX93" s="662"/>
      <c r="CY93" s="662"/>
      <c r="CZ93" s="662"/>
      <c r="DA93" s="662"/>
      <c r="DB93" s="662"/>
      <c r="DC93" s="663"/>
      <c r="DD93" s="662"/>
      <c r="GJ93" s="516"/>
      <c r="GR93" s="2596"/>
      <c r="GS93" s="2596"/>
      <c r="GT93" s="2596"/>
      <c r="GU93" s="2596"/>
      <c r="GV93" s="2596"/>
      <c r="GW93" s="2596"/>
      <c r="GX93" s="2596"/>
      <c r="GY93" s="2596"/>
      <c r="GZ93" s="2596"/>
      <c r="HA93" s="2596"/>
      <c r="HB93" s="2596"/>
      <c r="HC93" s="2596"/>
      <c r="HM93" s="517"/>
    </row>
    <row r="94" spans="4:233" ht="4.1500000000000004" customHeight="1">
      <c r="F94" s="516"/>
      <c r="M94" s="516"/>
      <c r="R94" s="516"/>
      <c r="T94" s="516"/>
      <c r="AQ94" s="539"/>
      <c r="AR94" s="540"/>
      <c r="AU94" s="2615"/>
      <c r="AV94" s="2615"/>
      <c r="AW94" s="2615"/>
      <c r="AX94" s="2615"/>
      <c r="AY94" s="2615"/>
      <c r="AZ94" s="2615"/>
      <c r="BA94" s="2615"/>
      <c r="BB94" s="2683"/>
      <c r="BC94" s="2683"/>
      <c r="BD94" s="2683"/>
      <c r="BE94" s="2683"/>
      <c r="BF94" s="2615"/>
      <c r="BG94" s="2615"/>
      <c r="BH94" s="2615"/>
      <c r="BI94" s="2615"/>
      <c r="BJ94" s="2615"/>
      <c r="BK94" s="2615"/>
      <c r="BL94" s="2615"/>
      <c r="BP94" s="539"/>
      <c r="BQ94" s="540"/>
      <c r="CO94" s="663"/>
      <c r="CP94" s="1586"/>
      <c r="CQ94" s="662"/>
      <c r="CR94" s="662"/>
      <c r="CS94" s="662"/>
      <c r="CT94" s="2684"/>
      <c r="CU94" s="2684"/>
      <c r="CV94" s="2684"/>
      <c r="CW94" s="2684"/>
      <c r="CX94" s="662"/>
      <c r="CY94" s="662"/>
      <c r="CZ94" s="662"/>
      <c r="DA94" s="662"/>
      <c r="DB94" s="662"/>
      <c r="DC94" s="663"/>
      <c r="DD94" s="662"/>
      <c r="GR94" s="1558"/>
      <c r="GS94" s="1558"/>
      <c r="GT94" s="1558"/>
      <c r="GU94" s="1558"/>
      <c r="GV94" s="1558"/>
      <c r="GW94" s="1558"/>
      <c r="GX94" s="1558"/>
      <c r="GY94" s="1558"/>
      <c r="GZ94" s="1558"/>
      <c r="HA94" s="1558"/>
      <c r="HB94" s="1558"/>
      <c r="HC94" s="1558"/>
    </row>
    <row r="95" spans="4:233" ht="4.1500000000000004" customHeight="1">
      <c r="F95" s="516"/>
      <c r="M95" s="516"/>
      <c r="R95" s="516"/>
      <c r="T95" s="516"/>
      <c r="AQ95" s="539"/>
      <c r="AR95" s="540"/>
      <c r="BP95" s="539"/>
      <c r="BQ95" s="540"/>
      <c r="CO95" s="666"/>
      <c r="CP95" s="1587"/>
      <c r="CQ95" s="662"/>
      <c r="CR95" s="662"/>
      <c r="CS95" s="662"/>
      <c r="CT95" s="2684"/>
      <c r="CU95" s="2684"/>
      <c r="CV95" s="2684"/>
      <c r="CW95" s="2684"/>
      <c r="CX95" s="662"/>
      <c r="CY95" s="662"/>
      <c r="CZ95" s="662"/>
      <c r="DA95" s="662"/>
      <c r="DB95" s="662"/>
      <c r="DC95" s="663"/>
      <c r="DD95" s="662"/>
    </row>
    <row r="96" spans="4:233" ht="4.1500000000000004" customHeight="1">
      <c r="D96" s="2684">
        <f>CT85+CT108</f>
        <v>6.95</v>
      </c>
      <c r="E96" s="2684"/>
      <c r="F96" s="2684"/>
      <c r="G96" s="2684"/>
      <c r="M96" s="516"/>
      <c r="R96" s="516"/>
      <c r="T96" s="516"/>
      <c r="AQ96" s="539"/>
      <c r="AR96" s="540"/>
      <c r="BP96" s="539"/>
      <c r="BQ96" s="540"/>
      <c r="CO96" s="663"/>
      <c r="CP96" s="664"/>
      <c r="CQ96" s="662"/>
      <c r="CR96" s="662"/>
      <c r="CS96" s="662"/>
      <c r="CV96" s="516"/>
      <c r="CX96" s="662"/>
      <c r="CY96" s="662"/>
      <c r="CZ96" s="662"/>
      <c r="DA96" s="662"/>
      <c r="DB96" s="662"/>
      <c r="DC96" s="663"/>
      <c r="DD96" s="662"/>
      <c r="DQ96" s="495"/>
      <c r="DR96" s="495"/>
      <c r="DS96" s="495"/>
      <c r="DT96" s="495"/>
      <c r="DU96" s="495"/>
      <c r="DV96" s="495"/>
      <c r="DW96" s="495"/>
      <c r="DX96" s="495"/>
      <c r="DY96" s="495"/>
      <c r="DZ96" s="495"/>
      <c r="EA96" s="495"/>
      <c r="EB96" s="495"/>
      <c r="EC96" s="495"/>
      <c r="ED96" s="495"/>
      <c r="EE96" s="495"/>
      <c r="EF96" s="495"/>
      <c r="EG96" s="495"/>
      <c r="EH96" s="496"/>
      <c r="EI96" s="496"/>
      <c r="EJ96" s="496"/>
      <c r="EK96" s="496"/>
      <c r="EL96" s="496"/>
      <c r="EM96" s="496"/>
      <c r="EN96" s="496"/>
      <c r="EO96" s="496"/>
      <c r="EP96" s="2666">
        <v>0.3</v>
      </c>
      <c r="EQ96" s="2657"/>
      <c r="ER96" s="2657"/>
      <c r="ES96" s="2657"/>
      <c r="ET96" s="2657"/>
      <c r="EU96" s="2657"/>
      <c r="EV96" s="2667"/>
      <c r="EW96" s="2666">
        <f>EP96</f>
        <v>0.3</v>
      </c>
      <c r="EX96" s="2657"/>
      <c r="EY96" s="2657"/>
      <c r="EZ96" s="2657"/>
      <c r="FA96" s="2657"/>
      <c r="FB96" s="2657"/>
      <c r="FC96" s="2667"/>
      <c r="FD96" s="2666">
        <f>EW96</f>
        <v>0.3</v>
      </c>
      <c r="FE96" s="2657"/>
      <c r="FF96" s="2657"/>
      <c r="FG96" s="2657"/>
      <c r="FH96" s="2657"/>
      <c r="FI96" s="2657"/>
      <c r="FJ96" s="2667"/>
      <c r="FK96" s="496"/>
      <c r="FL96" s="496"/>
      <c r="FM96" s="496"/>
      <c r="FN96" s="496"/>
      <c r="FO96" s="496"/>
      <c r="FP96" s="496"/>
      <c r="FQ96" s="496"/>
      <c r="FR96" s="496"/>
    </row>
    <row r="97" spans="4:238" ht="4.1500000000000004" customHeight="1">
      <c r="D97" s="2684"/>
      <c r="E97" s="2684"/>
      <c r="F97" s="2684"/>
      <c r="G97" s="2684"/>
      <c r="M97" s="516"/>
      <c r="R97" s="516"/>
      <c r="T97" s="516"/>
      <c r="AQ97" s="539"/>
      <c r="AR97" s="540"/>
      <c r="BP97" s="539"/>
      <c r="BQ97" s="540"/>
      <c r="CO97" s="663"/>
      <c r="CP97" s="664"/>
      <c r="CQ97" s="662"/>
      <c r="CR97" s="662"/>
      <c r="CS97" s="662"/>
      <c r="CV97" s="516"/>
      <c r="CX97" s="662"/>
      <c r="CY97" s="662"/>
      <c r="CZ97" s="662"/>
      <c r="DA97" s="662"/>
      <c r="DB97" s="662"/>
      <c r="DC97" s="663"/>
      <c r="DD97" s="662"/>
      <c r="DQ97" s="2654" t="s">
        <v>2981</v>
      </c>
      <c r="DR97" s="2654"/>
      <c r="DS97" s="2654"/>
      <c r="DT97" s="2654"/>
      <c r="DU97" s="2654"/>
      <c r="DV97" s="2654"/>
      <c r="DW97" s="495"/>
      <c r="DX97" s="495"/>
      <c r="DY97" s="495"/>
      <c r="DZ97" s="495"/>
      <c r="EA97" s="495"/>
      <c r="EB97" s="495"/>
      <c r="EC97" s="495"/>
      <c r="ED97" s="495"/>
      <c r="EE97" s="495"/>
      <c r="EF97" s="495"/>
      <c r="EG97" s="495"/>
      <c r="EH97" s="496"/>
      <c r="EI97" s="496"/>
      <c r="EJ97" s="496"/>
      <c r="EK97" s="496"/>
      <c r="EL97" s="496"/>
      <c r="EM97" s="496"/>
      <c r="EN97" s="496"/>
      <c r="EO97" s="496"/>
      <c r="EP97" s="2666"/>
      <c r="EQ97" s="2657"/>
      <c r="ER97" s="2657"/>
      <c r="ES97" s="2657"/>
      <c r="ET97" s="2657"/>
      <c r="EU97" s="2657"/>
      <c r="EV97" s="2667"/>
      <c r="EW97" s="2666"/>
      <c r="EX97" s="2657"/>
      <c r="EY97" s="2657"/>
      <c r="EZ97" s="2657"/>
      <c r="FA97" s="2657"/>
      <c r="FB97" s="2657"/>
      <c r="FC97" s="2667"/>
      <c r="FD97" s="2666"/>
      <c r="FE97" s="2657"/>
      <c r="FF97" s="2657"/>
      <c r="FG97" s="2657"/>
      <c r="FH97" s="2657"/>
      <c r="FI97" s="2657"/>
      <c r="FJ97" s="2667"/>
      <c r="FK97" s="496"/>
      <c r="FL97" s="496"/>
      <c r="FM97" s="496"/>
      <c r="FN97" s="496"/>
      <c r="FO97" s="496"/>
      <c r="FP97" s="496"/>
      <c r="FQ97" s="496"/>
      <c r="FR97" s="496"/>
    </row>
    <row r="98" spans="4:238" ht="4.1500000000000004" customHeight="1">
      <c r="D98" s="2684"/>
      <c r="E98" s="2684"/>
      <c r="F98" s="2684"/>
      <c r="G98" s="2684"/>
      <c r="M98" s="516"/>
      <c r="R98" s="516"/>
      <c r="T98" s="516"/>
      <c r="AQ98" s="539"/>
      <c r="AR98" s="540"/>
      <c r="BP98" s="539"/>
      <c r="BQ98" s="540"/>
      <c r="CO98" s="663"/>
      <c r="CP98" s="664"/>
      <c r="CQ98" s="662"/>
      <c r="CR98" s="662"/>
      <c r="CS98" s="662"/>
      <c r="CV98" s="516"/>
      <c r="CX98" s="662"/>
      <c r="CY98" s="662"/>
      <c r="CZ98" s="662"/>
      <c r="DA98" s="662"/>
      <c r="DB98" s="662"/>
      <c r="DC98" s="663"/>
      <c r="DD98" s="662"/>
      <c r="DQ98" s="2654"/>
      <c r="DR98" s="2654"/>
      <c r="DS98" s="2654"/>
      <c r="DT98" s="2654"/>
      <c r="DU98" s="2654"/>
      <c r="DV98" s="2654"/>
      <c r="DW98" s="495"/>
      <c r="DX98" s="495"/>
      <c r="DY98" s="495"/>
      <c r="DZ98" s="495"/>
      <c r="EA98" s="495"/>
      <c r="EB98" s="495"/>
      <c r="EC98" s="495"/>
      <c r="ED98" s="495"/>
      <c r="EE98" s="495"/>
      <c r="EF98" s="495"/>
      <c r="EG98" s="495"/>
      <c r="EH98" s="496"/>
      <c r="EI98" s="496"/>
      <c r="EJ98" s="496"/>
      <c r="EK98" s="496"/>
      <c r="EL98" s="496"/>
      <c r="EM98" s="496"/>
      <c r="EN98" s="496"/>
      <c r="EO98" s="496"/>
      <c r="EP98" s="2666"/>
      <c r="EQ98" s="2657"/>
      <c r="ER98" s="2657"/>
      <c r="ES98" s="2657"/>
      <c r="ET98" s="2657"/>
      <c r="EU98" s="2657"/>
      <c r="EV98" s="2667"/>
      <c r="EW98" s="2666"/>
      <c r="EX98" s="2657"/>
      <c r="EY98" s="2657"/>
      <c r="EZ98" s="2657"/>
      <c r="FA98" s="2657"/>
      <c r="FB98" s="2657"/>
      <c r="FC98" s="2667"/>
      <c r="FD98" s="2666"/>
      <c r="FE98" s="2657"/>
      <c r="FF98" s="2657"/>
      <c r="FG98" s="2657"/>
      <c r="FH98" s="2657"/>
      <c r="FI98" s="2657"/>
      <c r="FJ98" s="2667"/>
      <c r="FK98" s="496"/>
      <c r="FL98" s="496"/>
      <c r="FM98" s="496"/>
      <c r="FN98" s="496"/>
      <c r="FO98" s="496"/>
      <c r="FP98" s="496"/>
      <c r="FQ98" s="496"/>
      <c r="FR98" s="496"/>
    </row>
    <row r="99" spans="4:238" ht="4.1500000000000004" customHeight="1">
      <c r="D99" s="2684"/>
      <c r="E99" s="2684"/>
      <c r="F99" s="2684"/>
      <c r="G99" s="2684"/>
      <c r="M99" s="516"/>
      <c r="R99" s="516"/>
      <c r="T99" s="516"/>
      <c r="AQ99" s="539"/>
      <c r="AR99" s="540"/>
      <c r="BP99" s="539"/>
      <c r="BQ99" s="540"/>
      <c r="CO99" s="663"/>
      <c r="CP99" s="664"/>
      <c r="CQ99" s="662"/>
      <c r="CR99" s="662"/>
      <c r="CS99" s="662"/>
      <c r="CV99" s="516"/>
      <c r="CX99" s="662"/>
      <c r="CY99" s="662"/>
      <c r="CZ99" s="662"/>
      <c r="DA99" s="662"/>
      <c r="DB99" s="662"/>
      <c r="DC99" s="663"/>
      <c r="DD99" s="662"/>
      <c r="DQ99" s="2655"/>
      <c r="DR99" s="2655"/>
      <c r="DS99" s="2655"/>
      <c r="DT99" s="2655"/>
      <c r="DU99" s="2655"/>
      <c r="DV99" s="2655"/>
      <c r="DW99" s="497"/>
      <c r="DX99" s="497"/>
      <c r="DY99" s="497"/>
      <c r="DZ99" s="497"/>
      <c r="EA99" s="497"/>
      <c r="EB99" s="497"/>
      <c r="EC99" s="497"/>
      <c r="ED99" s="497"/>
      <c r="EE99" s="497"/>
      <c r="EF99" s="497"/>
      <c r="EG99" s="497"/>
      <c r="EH99" s="496"/>
      <c r="EI99" s="496"/>
      <c r="EJ99" s="496"/>
      <c r="EK99" s="496"/>
      <c r="EL99" s="496"/>
      <c r="EM99" s="496"/>
      <c r="EN99" s="496"/>
      <c r="EO99" s="496"/>
      <c r="EP99" s="496"/>
      <c r="EQ99" s="496"/>
      <c r="ER99" s="496"/>
      <c r="ES99" s="496"/>
      <c r="ET99" s="496"/>
      <c r="EU99" s="496"/>
      <c r="EV99" s="496"/>
      <c r="EW99" s="496"/>
      <c r="EX99" s="496"/>
      <c r="EY99" s="496"/>
      <c r="EZ99" s="496"/>
      <c r="FA99" s="496"/>
      <c r="FB99" s="496"/>
      <c r="FC99" s="496"/>
      <c r="FD99" s="496"/>
      <c r="FE99" s="496"/>
      <c r="FF99" s="496"/>
      <c r="FG99" s="496"/>
      <c r="FH99" s="496"/>
      <c r="FI99" s="496"/>
      <c r="FJ99" s="496"/>
      <c r="FK99" s="496"/>
      <c r="FL99" s="496"/>
      <c r="FM99" s="496"/>
      <c r="FN99" s="496"/>
      <c r="FO99" s="496"/>
      <c r="FP99" s="496"/>
      <c r="FQ99" s="496"/>
      <c r="FR99" s="496"/>
      <c r="GF99" s="2685" t="s">
        <v>1949</v>
      </c>
      <c r="GG99" s="2685"/>
      <c r="GH99" s="2685"/>
      <c r="GI99" s="2685"/>
      <c r="GJ99" s="2685"/>
      <c r="GK99" s="2685"/>
      <c r="GL99" s="2685"/>
      <c r="GM99" s="2685"/>
      <c r="GN99" s="2685"/>
      <c r="GO99" s="2685"/>
      <c r="GP99" s="2685"/>
      <c r="GQ99" s="2685"/>
      <c r="GR99" s="2685"/>
      <c r="GS99" s="2685"/>
      <c r="GT99" s="2685"/>
      <c r="GU99" s="2685"/>
      <c r="GV99" s="2685"/>
      <c r="GW99" s="2685"/>
      <c r="GX99" s="2685"/>
      <c r="GY99" s="2685"/>
      <c r="GZ99" s="2685"/>
      <c r="HA99" s="2685"/>
      <c r="HB99" s="2685"/>
      <c r="HC99" s="2685"/>
      <c r="HD99" s="2685"/>
      <c r="HE99" s="2685"/>
      <c r="HF99" s="2685"/>
      <c r="HG99" s="2685"/>
      <c r="HH99" s="2685"/>
      <c r="HI99" s="2685"/>
      <c r="HJ99" s="2685"/>
      <c r="HK99" s="2685"/>
      <c r="HL99" s="2685"/>
      <c r="HM99" s="2685"/>
      <c r="HN99" s="2685"/>
      <c r="HO99" s="2685"/>
      <c r="HP99" s="2685"/>
      <c r="HQ99" s="2685"/>
      <c r="HR99" s="2685"/>
      <c r="HS99" s="2685"/>
      <c r="HT99" s="2685"/>
      <c r="HU99" s="2685"/>
      <c r="HV99" s="2685"/>
      <c r="HW99" s="2685"/>
      <c r="HX99" s="2685"/>
      <c r="HY99" s="2685"/>
      <c r="HZ99" s="2685"/>
      <c r="IA99" s="2685"/>
      <c r="IB99" s="2685"/>
      <c r="IC99" s="2685"/>
      <c r="ID99" s="2685"/>
    </row>
    <row r="100" spans="4:238" ht="4.1500000000000004" customHeight="1">
      <c r="D100" s="2684"/>
      <c r="E100" s="2684"/>
      <c r="F100" s="2684"/>
      <c r="G100" s="2684"/>
      <c r="M100" s="516"/>
      <c r="R100" s="516"/>
      <c r="T100" s="516"/>
      <c r="AQ100" s="539"/>
      <c r="AR100" s="540"/>
      <c r="BP100" s="539"/>
      <c r="BQ100" s="540"/>
      <c r="CO100" s="666"/>
      <c r="CP100" s="1584"/>
      <c r="CQ100" s="662"/>
      <c r="CR100" s="662"/>
      <c r="CS100" s="662"/>
      <c r="CV100" s="516"/>
      <c r="CX100" s="662"/>
      <c r="CY100" s="662"/>
      <c r="CZ100" s="662"/>
      <c r="DA100" s="662"/>
      <c r="DB100" s="662"/>
      <c r="DC100" s="663"/>
      <c r="DD100" s="662"/>
      <c r="DQ100" s="495"/>
      <c r="DR100" s="495"/>
      <c r="DS100" s="495"/>
      <c r="DT100" s="495"/>
      <c r="DU100" s="495"/>
      <c r="DV100" s="495"/>
      <c r="DW100" s="495"/>
      <c r="DX100" s="495"/>
      <c r="DY100" s="495"/>
      <c r="DZ100" s="495"/>
      <c r="EA100" s="495"/>
      <c r="EB100" s="495"/>
      <c r="EC100" s="495"/>
      <c r="ED100" s="495"/>
      <c r="EE100" s="495"/>
      <c r="EF100" s="495"/>
      <c r="EG100" s="495"/>
      <c r="EH100" s="498"/>
      <c r="EI100" s="498"/>
      <c r="EJ100" s="498"/>
      <c r="EK100" s="498"/>
      <c r="EL100" s="498"/>
      <c r="EM100" s="498"/>
      <c r="EN100" s="498"/>
      <c r="EO100" s="499"/>
      <c r="EP100" s="496"/>
      <c r="EQ100" s="496"/>
      <c r="ER100" s="496"/>
      <c r="ES100" s="496"/>
      <c r="ET100" s="496"/>
      <c r="EU100" s="496"/>
      <c r="EV100" s="496"/>
      <c r="EW100" s="496"/>
      <c r="EX100" s="496"/>
      <c r="EY100" s="496"/>
      <c r="EZ100" s="496"/>
      <c r="FA100" s="496"/>
      <c r="FB100" s="496"/>
      <c r="FC100" s="496"/>
      <c r="FD100" s="496"/>
      <c r="FE100" s="496"/>
      <c r="FF100" s="496"/>
      <c r="FG100" s="496"/>
      <c r="FH100" s="496"/>
      <c r="FI100" s="496"/>
      <c r="FJ100" s="2656">
        <v>0.2</v>
      </c>
      <c r="FK100" s="2656"/>
      <c r="FL100" s="2656"/>
      <c r="FM100" s="2656"/>
      <c r="FN100" s="2656"/>
      <c r="FO100" s="2656"/>
      <c r="FP100" s="2656"/>
      <c r="FQ100" s="2656"/>
      <c r="FR100" s="2656"/>
      <c r="GF100" s="2685"/>
      <c r="GG100" s="2685"/>
      <c r="GH100" s="2685"/>
      <c r="GI100" s="2685"/>
      <c r="GJ100" s="2685"/>
      <c r="GK100" s="2685"/>
      <c r="GL100" s="2685"/>
      <c r="GM100" s="2685"/>
      <c r="GN100" s="2685"/>
      <c r="GO100" s="2685"/>
      <c r="GP100" s="2685"/>
      <c r="GQ100" s="2685"/>
      <c r="GR100" s="2685"/>
      <c r="GS100" s="2685"/>
      <c r="GT100" s="2685"/>
      <c r="GU100" s="2685"/>
      <c r="GV100" s="2685"/>
      <c r="GW100" s="2685"/>
      <c r="GX100" s="2685"/>
      <c r="GY100" s="2685"/>
      <c r="GZ100" s="2685"/>
      <c r="HA100" s="2685"/>
      <c r="HB100" s="2685"/>
      <c r="HC100" s="2685"/>
      <c r="HD100" s="2685"/>
      <c r="HE100" s="2685"/>
      <c r="HF100" s="2685"/>
      <c r="HG100" s="2685"/>
      <c r="HH100" s="2685"/>
      <c r="HI100" s="2685"/>
      <c r="HJ100" s="2685"/>
      <c r="HK100" s="2685"/>
      <c r="HL100" s="2685"/>
      <c r="HM100" s="2685"/>
      <c r="HN100" s="2685"/>
      <c r="HO100" s="2685"/>
      <c r="HP100" s="2685"/>
      <c r="HQ100" s="2685"/>
      <c r="HR100" s="2685"/>
      <c r="HS100" s="2685"/>
      <c r="HT100" s="2685"/>
      <c r="HU100" s="2685"/>
      <c r="HV100" s="2685"/>
      <c r="HW100" s="2685"/>
      <c r="HX100" s="2685"/>
      <c r="HY100" s="2685"/>
      <c r="HZ100" s="2685"/>
      <c r="IA100" s="2685"/>
      <c r="IB100" s="2685"/>
      <c r="IC100" s="2685"/>
      <c r="ID100" s="2685"/>
    </row>
    <row r="101" spans="4:238" ht="4.1500000000000004" customHeight="1">
      <c r="D101" s="2684"/>
      <c r="E101" s="2684"/>
      <c r="F101" s="2684"/>
      <c r="G101" s="2684"/>
      <c r="M101" s="516"/>
      <c r="R101" s="519"/>
      <c r="S101" s="521"/>
      <c r="T101" s="1559"/>
      <c r="U101" s="537"/>
      <c r="V101" s="537"/>
      <c r="W101" s="537"/>
      <c r="X101" s="537"/>
      <c r="Y101" s="537"/>
      <c r="Z101" s="537"/>
      <c r="AA101" s="537"/>
      <c r="AB101" s="537"/>
      <c r="AC101" s="537"/>
      <c r="AD101" s="537"/>
      <c r="AE101" s="537"/>
      <c r="AF101" s="537"/>
      <c r="AG101" s="537"/>
      <c r="AH101" s="537"/>
      <c r="AI101" s="537"/>
      <c r="AJ101" s="537"/>
      <c r="AK101" s="537"/>
      <c r="AL101" s="537"/>
      <c r="AM101" s="537"/>
      <c r="AN101" s="537"/>
      <c r="AO101" s="537"/>
      <c r="AP101" s="537"/>
      <c r="AQ101" s="539"/>
      <c r="AR101" s="540"/>
      <c r="AS101" s="537"/>
      <c r="AT101" s="537"/>
      <c r="AU101" s="537"/>
      <c r="AV101" s="537"/>
      <c r="AW101" s="537"/>
      <c r="AX101" s="537"/>
      <c r="AY101" s="537"/>
      <c r="AZ101" s="537"/>
      <c r="BA101" s="537"/>
      <c r="BB101" s="537"/>
      <c r="BC101" s="537"/>
      <c r="BD101" s="537"/>
      <c r="BE101" s="537"/>
      <c r="BF101" s="537"/>
      <c r="BG101" s="537"/>
      <c r="BH101" s="537"/>
      <c r="BI101" s="537"/>
      <c r="BJ101" s="537"/>
      <c r="BK101" s="537"/>
      <c r="BL101" s="537"/>
      <c r="BM101" s="537"/>
      <c r="BN101" s="537"/>
      <c r="BO101" s="537"/>
      <c r="BP101" s="539"/>
      <c r="BQ101" s="540"/>
      <c r="BR101" s="537"/>
      <c r="BS101" s="537"/>
      <c r="BT101" s="537"/>
      <c r="BU101" s="537"/>
      <c r="BV101" s="537"/>
      <c r="BW101" s="537"/>
      <c r="BX101" s="537"/>
      <c r="BY101" s="537"/>
      <c r="BZ101" s="537"/>
      <c r="CA101" s="537"/>
      <c r="CB101" s="537"/>
      <c r="CC101" s="537"/>
      <c r="CD101" s="537"/>
      <c r="CE101" s="537"/>
      <c r="CF101" s="537"/>
      <c r="CG101" s="537"/>
      <c r="CH101" s="537"/>
      <c r="CI101" s="537"/>
      <c r="CJ101" s="537"/>
      <c r="CK101" s="537"/>
      <c r="CL101" s="537"/>
      <c r="CM101" s="537"/>
      <c r="CN101" s="1560"/>
      <c r="CO101" s="522"/>
      <c r="CP101" s="524"/>
      <c r="CQ101" s="662"/>
      <c r="CR101" s="662"/>
      <c r="CS101" s="662"/>
      <c r="CV101" s="516"/>
      <c r="CX101" s="662"/>
      <c r="CY101" s="662"/>
      <c r="CZ101" s="662"/>
      <c r="DA101" s="662"/>
      <c r="DB101" s="662"/>
      <c r="DC101" s="663"/>
      <c r="DD101" s="662"/>
      <c r="DQ101" s="495"/>
      <c r="DR101" s="495"/>
      <c r="DS101" s="495"/>
      <c r="DT101" s="495"/>
      <c r="DU101" s="495"/>
      <c r="DV101" s="495"/>
      <c r="DW101" s="495"/>
      <c r="DX101" s="495"/>
      <c r="DY101" s="495"/>
      <c r="DZ101" s="495"/>
      <c r="EA101" s="495"/>
      <c r="EB101" s="495"/>
      <c r="EC101" s="495"/>
      <c r="ED101" s="495"/>
      <c r="EE101" s="495"/>
      <c r="EF101" s="495"/>
      <c r="EG101" s="495"/>
      <c r="EH101" s="496"/>
      <c r="EI101" s="496"/>
      <c r="EJ101" s="496"/>
      <c r="EK101" s="496"/>
      <c r="EL101" s="496"/>
      <c r="EM101" s="496"/>
      <c r="EN101" s="496"/>
      <c r="EO101" s="500"/>
      <c r="EP101" s="496"/>
      <c r="EQ101" s="496"/>
      <c r="ER101" s="496"/>
      <c r="ES101" s="496"/>
      <c r="ET101" s="496"/>
      <c r="EU101" s="496"/>
      <c r="EV101" s="496"/>
      <c r="EW101" s="496"/>
      <c r="EX101" s="496"/>
      <c r="EY101" s="496"/>
      <c r="EZ101" s="496"/>
      <c r="FA101" s="496"/>
      <c r="FB101" s="496"/>
      <c r="FC101" s="496"/>
      <c r="FD101" s="496"/>
      <c r="FE101" s="496"/>
      <c r="FF101" s="496"/>
      <c r="FG101" s="496"/>
      <c r="FH101" s="496"/>
      <c r="FI101" s="496"/>
      <c r="FJ101" s="2657"/>
      <c r="FK101" s="2657"/>
      <c r="FL101" s="2657"/>
      <c r="FM101" s="2657"/>
      <c r="FN101" s="2657"/>
      <c r="FO101" s="2657"/>
      <c r="FP101" s="2657"/>
      <c r="FQ101" s="2657"/>
      <c r="FR101" s="2657"/>
      <c r="GF101" s="2685"/>
      <c r="GG101" s="2685"/>
      <c r="GH101" s="2685"/>
      <c r="GI101" s="2685"/>
      <c r="GJ101" s="2685"/>
      <c r="GK101" s="2685"/>
      <c r="GL101" s="2685"/>
      <c r="GM101" s="2685"/>
      <c r="GN101" s="2685"/>
      <c r="GO101" s="2685"/>
      <c r="GP101" s="2685"/>
      <c r="GQ101" s="2685"/>
      <c r="GR101" s="2685"/>
      <c r="GS101" s="2685"/>
      <c r="GT101" s="2685"/>
      <c r="GU101" s="2685"/>
      <c r="GV101" s="2685"/>
      <c r="GW101" s="2685"/>
      <c r="GX101" s="2685"/>
      <c r="GY101" s="2685"/>
      <c r="GZ101" s="2685"/>
      <c r="HA101" s="2685"/>
      <c r="HB101" s="2685"/>
      <c r="HC101" s="2685"/>
      <c r="HD101" s="2685"/>
      <c r="HE101" s="2685"/>
      <c r="HF101" s="2685"/>
      <c r="HG101" s="2685"/>
      <c r="HH101" s="2685"/>
      <c r="HI101" s="2685"/>
      <c r="HJ101" s="2685"/>
      <c r="HK101" s="2685"/>
      <c r="HL101" s="2685"/>
      <c r="HM101" s="2685"/>
      <c r="HN101" s="2685"/>
      <c r="HO101" s="2685"/>
      <c r="HP101" s="2685"/>
      <c r="HQ101" s="2685"/>
      <c r="HR101" s="2685"/>
      <c r="HS101" s="2685"/>
      <c r="HT101" s="2685"/>
      <c r="HU101" s="2685"/>
      <c r="HV101" s="2685"/>
      <c r="HW101" s="2685"/>
      <c r="HX101" s="2685"/>
      <c r="HY101" s="2685"/>
      <c r="HZ101" s="2685"/>
      <c r="IA101" s="2685"/>
      <c r="IB101" s="2685"/>
      <c r="IC101" s="2685"/>
      <c r="ID101" s="2685"/>
    </row>
    <row r="102" spans="4:238" ht="4.1500000000000004" customHeight="1">
      <c r="D102" s="2684"/>
      <c r="E102" s="2684"/>
      <c r="F102" s="2684"/>
      <c r="G102" s="2684"/>
      <c r="M102" s="516"/>
      <c r="R102" s="527"/>
      <c r="S102" s="529"/>
      <c r="T102" s="1561"/>
      <c r="U102" s="557"/>
      <c r="V102" s="557"/>
      <c r="W102" s="557"/>
      <c r="X102" s="557"/>
      <c r="Y102" s="557"/>
      <c r="Z102" s="557"/>
      <c r="AA102" s="557"/>
      <c r="AB102" s="557"/>
      <c r="AC102" s="557"/>
      <c r="AD102" s="557"/>
      <c r="AE102" s="557"/>
      <c r="AF102" s="557"/>
      <c r="AG102" s="557"/>
      <c r="AH102" s="557"/>
      <c r="AI102" s="557"/>
      <c r="AJ102" s="557"/>
      <c r="AK102" s="557"/>
      <c r="AL102" s="557"/>
      <c r="AM102" s="557"/>
      <c r="AN102" s="557"/>
      <c r="AO102" s="557"/>
      <c r="AP102" s="557"/>
      <c r="AQ102" s="539"/>
      <c r="AR102" s="540"/>
      <c r="AS102" s="557"/>
      <c r="AT102" s="557"/>
      <c r="AU102" s="557"/>
      <c r="AV102" s="557"/>
      <c r="AW102" s="557"/>
      <c r="AX102" s="557"/>
      <c r="AY102" s="557"/>
      <c r="AZ102" s="557"/>
      <c r="BA102" s="557"/>
      <c r="BB102" s="557"/>
      <c r="BC102" s="557"/>
      <c r="BD102" s="557"/>
      <c r="BE102" s="557"/>
      <c r="BF102" s="557"/>
      <c r="BG102" s="557"/>
      <c r="BH102" s="557"/>
      <c r="BI102" s="557"/>
      <c r="BJ102" s="557"/>
      <c r="BK102" s="557"/>
      <c r="BL102" s="557"/>
      <c r="BM102" s="557"/>
      <c r="BN102" s="557"/>
      <c r="BO102" s="557"/>
      <c r="BP102" s="539"/>
      <c r="BQ102" s="540"/>
      <c r="BR102" s="557"/>
      <c r="BS102" s="557"/>
      <c r="BT102" s="557"/>
      <c r="BU102" s="557"/>
      <c r="BV102" s="557"/>
      <c r="BW102" s="557"/>
      <c r="BX102" s="557"/>
      <c r="BY102" s="557"/>
      <c r="BZ102" s="557"/>
      <c r="CA102" s="557"/>
      <c r="CB102" s="557"/>
      <c r="CC102" s="557"/>
      <c r="CD102" s="557"/>
      <c r="CE102" s="557"/>
      <c r="CF102" s="557"/>
      <c r="CG102" s="557"/>
      <c r="CH102" s="557"/>
      <c r="CI102" s="557"/>
      <c r="CJ102" s="557"/>
      <c r="CK102" s="557"/>
      <c r="CL102" s="557"/>
      <c r="CM102" s="557"/>
      <c r="CN102" s="1562"/>
      <c r="CO102" s="527"/>
      <c r="CP102" s="529"/>
      <c r="CQ102" s="662"/>
      <c r="CR102" s="662"/>
      <c r="CS102" s="662"/>
      <c r="CT102" s="514"/>
      <c r="CU102" s="514"/>
      <c r="CV102" s="515"/>
      <c r="CW102" s="514"/>
      <c r="CX102" s="662"/>
      <c r="CY102" s="662"/>
      <c r="CZ102" s="662"/>
      <c r="DA102" s="662"/>
      <c r="DB102" s="662"/>
      <c r="DC102" s="663"/>
      <c r="DD102" s="662"/>
      <c r="DQ102" s="495"/>
      <c r="DR102" s="495"/>
      <c r="DS102" s="495"/>
      <c r="DT102" s="495"/>
      <c r="DU102" s="495"/>
      <c r="DV102" s="495"/>
      <c r="DW102" s="495"/>
      <c r="DX102" s="495"/>
      <c r="DY102" s="495"/>
      <c r="DZ102" s="495"/>
      <c r="EA102" s="495"/>
      <c r="EB102" s="495"/>
      <c r="EC102" s="495"/>
      <c r="ED102" s="495"/>
      <c r="EE102" s="495"/>
      <c r="EF102" s="495"/>
      <c r="EG102" s="495"/>
      <c r="EH102" s="496"/>
      <c r="EI102" s="496"/>
      <c r="EJ102" s="496"/>
      <c r="EK102" s="496"/>
      <c r="EL102" s="496"/>
      <c r="EM102" s="496"/>
      <c r="EN102" s="496"/>
      <c r="EO102" s="500"/>
      <c r="EP102" s="496"/>
      <c r="EQ102" s="496"/>
      <c r="ER102" s="496"/>
      <c r="ES102" s="496"/>
      <c r="ET102" s="496"/>
      <c r="EU102" s="496"/>
      <c r="EV102" s="496"/>
      <c r="EW102" s="496"/>
      <c r="EX102" s="496"/>
      <c r="EY102" s="496"/>
      <c r="EZ102" s="496"/>
      <c r="FA102" s="496"/>
      <c r="FB102" s="496"/>
      <c r="FC102" s="496"/>
      <c r="FD102" s="496"/>
      <c r="FE102" s="496"/>
      <c r="FF102" s="496"/>
      <c r="FG102" s="496"/>
      <c r="FH102" s="496"/>
      <c r="FI102" s="496"/>
      <c r="FJ102" s="2658"/>
      <c r="FK102" s="2658"/>
      <c r="FL102" s="2658"/>
      <c r="FM102" s="2658"/>
      <c r="FN102" s="2658"/>
      <c r="FO102" s="2658"/>
      <c r="FP102" s="2658"/>
      <c r="FQ102" s="2658"/>
      <c r="FR102" s="2658"/>
      <c r="GF102" s="2685"/>
      <c r="GG102" s="2685"/>
      <c r="GH102" s="2685"/>
      <c r="GI102" s="2685"/>
      <c r="GJ102" s="2685"/>
      <c r="GK102" s="2685"/>
      <c r="GL102" s="2685"/>
      <c r="GM102" s="2685"/>
      <c r="GN102" s="2685"/>
      <c r="GO102" s="2685"/>
      <c r="GP102" s="2685"/>
      <c r="GQ102" s="2685"/>
      <c r="GR102" s="2685"/>
      <c r="GS102" s="2685"/>
      <c r="GT102" s="2685"/>
      <c r="GU102" s="2685"/>
      <c r="GV102" s="2685"/>
      <c r="GW102" s="2685"/>
      <c r="GX102" s="2685"/>
      <c r="GY102" s="2685"/>
      <c r="GZ102" s="2685"/>
      <c r="HA102" s="2685"/>
      <c r="HB102" s="2685"/>
      <c r="HC102" s="2685"/>
      <c r="HD102" s="2685"/>
      <c r="HE102" s="2685"/>
      <c r="HF102" s="2685"/>
      <c r="HG102" s="2685"/>
      <c r="HH102" s="2685"/>
      <c r="HI102" s="2685"/>
      <c r="HJ102" s="2685"/>
      <c r="HK102" s="2685"/>
      <c r="HL102" s="2685"/>
      <c r="HM102" s="2685"/>
      <c r="HN102" s="2685"/>
      <c r="HO102" s="2685"/>
      <c r="HP102" s="2685"/>
      <c r="HQ102" s="2685"/>
      <c r="HR102" s="2685"/>
      <c r="HS102" s="2685"/>
      <c r="HT102" s="2685"/>
      <c r="HU102" s="2685"/>
      <c r="HV102" s="2685"/>
      <c r="HW102" s="2685"/>
      <c r="HX102" s="2685"/>
      <c r="HY102" s="2685"/>
      <c r="HZ102" s="2685"/>
      <c r="IA102" s="2685"/>
      <c r="IB102" s="2685"/>
      <c r="IC102" s="2685"/>
      <c r="ID102" s="2685"/>
    </row>
    <row r="103" spans="4:238" ht="4.1500000000000004" customHeight="1">
      <c r="D103" s="2684"/>
      <c r="E103" s="2684"/>
      <c r="F103" s="2684"/>
      <c r="G103" s="2684"/>
      <c r="M103" s="516"/>
      <c r="R103" s="516"/>
      <c r="T103" s="516"/>
      <c r="AQ103" s="539"/>
      <c r="AR103" s="540"/>
      <c r="BP103" s="539"/>
      <c r="BQ103" s="540"/>
      <c r="CN103" s="517"/>
      <c r="CO103" s="662"/>
      <c r="CP103" s="664"/>
      <c r="CQ103" s="662"/>
      <c r="CR103" s="662"/>
      <c r="CS103" s="662"/>
      <c r="CV103" s="516"/>
      <c r="CX103" s="662"/>
      <c r="CY103" s="662"/>
      <c r="CZ103" s="662"/>
      <c r="DA103" s="662"/>
      <c r="DB103" s="662"/>
      <c r="DC103" s="663"/>
      <c r="DD103" s="662"/>
      <c r="DQ103" s="495"/>
      <c r="DR103" s="495"/>
      <c r="DS103" s="495"/>
      <c r="DT103" s="495"/>
      <c r="DU103" s="495"/>
      <c r="DV103" s="495"/>
      <c r="DW103" s="495"/>
      <c r="DX103" s="495"/>
      <c r="DY103" s="495"/>
      <c r="DZ103" s="495"/>
      <c r="EA103" s="495"/>
      <c r="EB103" s="495"/>
      <c r="EC103" s="495"/>
      <c r="ED103" s="495"/>
      <c r="EE103" s="495"/>
      <c r="EF103" s="495"/>
      <c r="EG103" s="495"/>
      <c r="EH103" s="496"/>
      <c r="EI103" s="496"/>
      <c r="EJ103" s="496"/>
      <c r="EK103" s="496"/>
      <c r="EL103" s="496"/>
      <c r="EM103" s="496"/>
      <c r="EN103" s="496"/>
      <c r="EO103" s="500"/>
      <c r="EP103" s="501"/>
      <c r="EQ103" s="498"/>
      <c r="ER103" s="498"/>
      <c r="ES103" s="498"/>
      <c r="ET103" s="498"/>
      <c r="EU103" s="498"/>
      <c r="EV103" s="499"/>
      <c r="EW103" s="496"/>
      <c r="EX103" s="496"/>
      <c r="EY103" s="496"/>
      <c r="EZ103" s="496"/>
      <c r="FA103" s="496"/>
      <c r="FB103" s="496"/>
      <c r="FC103" s="496"/>
      <c r="FD103" s="496"/>
      <c r="FE103" s="496"/>
      <c r="FF103" s="496"/>
      <c r="FG103" s="496"/>
      <c r="FH103" s="496"/>
      <c r="FI103" s="496"/>
      <c r="FJ103" s="2656">
        <f>FJ100</f>
        <v>0.2</v>
      </c>
      <c r="FK103" s="2656"/>
      <c r="FL103" s="2656"/>
      <c r="FM103" s="2656"/>
      <c r="FN103" s="2656"/>
      <c r="FO103" s="2656"/>
      <c r="FP103" s="2656"/>
      <c r="FQ103" s="2656"/>
      <c r="FR103" s="2656"/>
      <c r="GF103" s="2676" t="s">
        <v>291</v>
      </c>
      <c r="GG103" s="2676"/>
      <c r="GH103" s="2676"/>
      <c r="GI103" s="2676"/>
      <c r="GJ103" s="2676"/>
      <c r="GK103" s="2676"/>
      <c r="GL103" s="2676"/>
      <c r="GM103" s="2676"/>
      <c r="GN103" s="2676"/>
      <c r="GO103" s="2676"/>
      <c r="GP103" s="2676"/>
      <c r="GQ103" s="2676"/>
      <c r="GR103" s="2678">
        <v>2</v>
      </c>
      <c r="GS103" s="2678"/>
      <c r="GT103" s="2678"/>
      <c r="GU103" s="2678"/>
      <c r="GV103" s="2678"/>
      <c r="GW103" s="2678"/>
      <c r="GX103" s="2678"/>
      <c r="GY103" s="2678"/>
      <c r="GZ103" s="2678"/>
      <c r="HA103" s="2678"/>
      <c r="HB103" s="2678"/>
      <c r="HC103" s="2676" t="s">
        <v>901</v>
      </c>
      <c r="HD103" s="2676"/>
      <c r="HE103" s="2676"/>
      <c r="HF103" s="2676"/>
      <c r="HG103" s="2677">
        <v>1.05</v>
      </c>
      <c r="HH103" s="2677"/>
      <c r="HI103" s="2677"/>
      <c r="HJ103" s="2677"/>
      <c r="HK103" s="2677"/>
      <c r="HL103" s="2677"/>
      <c r="HM103" s="2677"/>
      <c r="HN103" s="2677"/>
      <c r="HO103" s="2677"/>
      <c r="HP103" s="2677"/>
      <c r="HQ103" s="2677"/>
      <c r="HR103" s="2676" t="s">
        <v>901</v>
      </c>
      <c r="HS103" s="2676"/>
      <c r="HT103" s="2676"/>
      <c r="HU103" s="2676"/>
      <c r="HV103" s="2677">
        <v>2.1</v>
      </c>
      <c r="HW103" s="2677"/>
      <c r="HX103" s="2677"/>
      <c r="HY103" s="2677"/>
      <c r="HZ103" s="2677"/>
      <c r="IA103" s="2677"/>
      <c r="IB103" s="2677"/>
      <c r="IC103" s="2677"/>
      <c r="ID103" s="2677"/>
    </row>
    <row r="104" spans="4:238" ht="4.1500000000000004" customHeight="1">
      <c r="D104" s="2684"/>
      <c r="E104" s="2684"/>
      <c r="F104" s="2684"/>
      <c r="G104" s="2684"/>
      <c r="M104" s="516"/>
      <c r="R104" s="516"/>
      <c r="T104" s="516"/>
      <c r="AQ104" s="539"/>
      <c r="AR104" s="540"/>
      <c r="BP104" s="539"/>
      <c r="BQ104" s="540"/>
      <c r="CN104" s="517"/>
      <c r="CO104" s="662"/>
      <c r="CP104" s="664"/>
      <c r="CQ104" s="662"/>
      <c r="CR104" s="662"/>
      <c r="CS104" s="662"/>
      <c r="CV104" s="516"/>
      <c r="CX104" s="662"/>
      <c r="CY104" s="662"/>
      <c r="CZ104" s="662"/>
      <c r="DA104" s="662"/>
      <c r="DB104" s="662"/>
      <c r="DC104" s="663"/>
      <c r="DD104" s="662"/>
      <c r="DQ104" s="495"/>
      <c r="DR104" s="495"/>
      <c r="DS104" s="495"/>
      <c r="DT104" s="495"/>
      <c r="DU104" s="495"/>
      <c r="DV104" s="495"/>
      <c r="DW104" s="495"/>
      <c r="DX104" s="495"/>
      <c r="DY104" s="495"/>
      <c r="DZ104" s="495"/>
      <c r="EA104" s="495"/>
      <c r="EB104" s="495"/>
      <c r="EC104" s="495"/>
      <c r="ED104" s="495"/>
      <c r="EE104" s="495"/>
      <c r="EF104" s="495"/>
      <c r="EG104" s="495"/>
      <c r="EH104" s="496"/>
      <c r="EI104" s="496"/>
      <c r="EJ104" s="496"/>
      <c r="EK104" s="496"/>
      <c r="EL104" s="496"/>
      <c r="EM104" s="496"/>
      <c r="EN104" s="496"/>
      <c r="EO104" s="500"/>
      <c r="EP104" s="502"/>
      <c r="EQ104" s="496"/>
      <c r="ER104" s="496"/>
      <c r="ES104" s="496"/>
      <c r="ET104" s="496"/>
      <c r="EU104" s="496"/>
      <c r="EV104" s="500"/>
      <c r="EW104" s="496"/>
      <c r="EX104" s="496"/>
      <c r="EY104" s="496"/>
      <c r="EZ104" s="496"/>
      <c r="FA104" s="496"/>
      <c r="FB104" s="496"/>
      <c r="FC104" s="496"/>
      <c r="FD104" s="496"/>
      <c r="FE104" s="496"/>
      <c r="FF104" s="496"/>
      <c r="FG104" s="496"/>
      <c r="FH104" s="496"/>
      <c r="FI104" s="496"/>
      <c r="FJ104" s="2657"/>
      <c r="FK104" s="2657"/>
      <c r="FL104" s="2657"/>
      <c r="FM104" s="2657"/>
      <c r="FN104" s="2657"/>
      <c r="FO104" s="2657"/>
      <c r="FP104" s="2657"/>
      <c r="FQ104" s="2657"/>
      <c r="FR104" s="2657"/>
      <c r="GF104" s="2676"/>
      <c r="GG104" s="2676"/>
      <c r="GH104" s="2676"/>
      <c r="GI104" s="2676"/>
      <c r="GJ104" s="2676"/>
      <c r="GK104" s="2676"/>
      <c r="GL104" s="2676"/>
      <c r="GM104" s="2676"/>
      <c r="GN104" s="2676"/>
      <c r="GO104" s="2676"/>
      <c r="GP104" s="2676"/>
      <c r="GQ104" s="2676"/>
      <c r="GR104" s="2678"/>
      <c r="GS104" s="2678"/>
      <c r="GT104" s="2678"/>
      <c r="GU104" s="2678"/>
      <c r="GV104" s="2678"/>
      <c r="GW104" s="2678"/>
      <c r="GX104" s="2678"/>
      <c r="GY104" s="2678"/>
      <c r="GZ104" s="2678"/>
      <c r="HA104" s="2678"/>
      <c r="HB104" s="2678"/>
      <c r="HC104" s="2676"/>
      <c r="HD104" s="2676"/>
      <c r="HE104" s="2676"/>
      <c r="HF104" s="2676"/>
      <c r="HG104" s="2677"/>
      <c r="HH104" s="2677"/>
      <c r="HI104" s="2677"/>
      <c r="HJ104" s="2677"/>
      <c r="HK104" s="2677"/>
      <c r="HL104" s="2677"/>
      <c r="HM104" s="2677"/>
      <c r="HN104" s="2677"/>
      <c r="HO104" s="2677"/>
      <c r="HP104" s="2677"/>
      <c r="HQ104" s="2677"/>
      <c r="HR104" s="2676"/>
      <c r="HS104" s="2676"/>
      <c r="HT104" s="2676"/>
      <c r="HU104" s="2676"/>
      <c r="HV104" s="2677"/>
      <c r="HW104" s="2677"/>
      <c r="HX104" s="2677"/>
      <c r="HY104" s="2677"/>
      <c r="HZ104" s="2677"/>
      <c r="IA104" s="2677"/>
      <c r="IB104" s="2677"/>
      <c r="IC104" s="2677"/>
      <c r="ID104" s="2677"/>
    </row>
    <row r="105" spans="4:238" ht="4.1500000000000004" customHeight="1">
      <c r="D105" s="2684"/>
      <c r="E105" s="2684"/>
      <c r="F105" s="2684"/>
      <c r="G105" s="2684"/>
      <c r="M105" s="516"/>
      <c r="R105" s="516"/>
      <c r="T105" s="516"/>
      <c r="AQ105" s="539"/>
      <c r="AR105" s="540"/>
      <c r="BP105" s="539"/>
      <c r="BQ105" s="540"/>
      <c r="CN105" s="517"/>
      <c r="CO105" s="662"/>
      <c r="CP105" s="664"/>
      <c r="CQ105" s="662"/>
      <c r="CR105" s="662"/>
      <c r="CS105" s="662"/>
      <c r="CV105" s="516"/>
      <c r="CX105" s="662"/>
      <c r="CY105" s="662"/>
      <c r="CZ105" s="662"/>
      <c r="DA105" s="662"/>
      <c r="DB105" s="662"/>
      <c r="DC105" s="663"/>
      <c r="DD105" s="662"/>
      <c r="DQ105" s="495"/>
      <c r="DR105" s="495"/>
      <c r="DS105" s="495"/>
      <c r="DT105" s="495"/>
      <c r="DU105" s="495"/>
      <c r="DV105" s="495"/>
      <c r="DW105" s="495"/>
      <c r="DX105" s="495"/>
      <c r="DY105" s="495"/>
      <c r="DZ105" s="495"/>
      <c r="EA105" s="495"/>
      <c r="EB105" s="495"/>
      <c r="EC105" s="495"/>
      <c r="ED105" s="495"/>
      <c r="EE105" s="495"/>
      <c r="EF105" s="495"/>
      <c r="EG105" s="495"/>
      <c r="EH105" s="496"/>
      <c r="EI105" s="496"/>
      <c r="EJ105" s="496"/>
      <c r="EK105" s="496"/>
      <c r="EL105" s="496"/>
      <c r="EM105" s="496"/>
      <c r="EN105" s="496"/>
      <c r="EO105" s="500"/>
      <c r="EP105" s="502"/>
      <c r="EQ105" s="496"/>
      <c r="ER105" s="496"/>
      <c r="ES105" s="496"/>
      <c r="ET105" s="496"/>
      <c r="EU105" s="496"/>
      <c r="EV105" s="500"/>
      <c r="EW105" s="496"/>
      <c r="EX105" s="496"/>
      <c r="EY105" s="496"/>
      <c r="EZ105" s="496"/>
      <c r="FA105" s="496"/>
      <c r="FB105" s="496"/>
      <c r="FC105" s="496"/>
      <c r="FD105" s="496"/>
      <c r="FE105" s="496"/>
      <c r="FF105" s="496"/>
      <c r="FG105" s="496"/>
      <c r="FH105" s="496"/>
      <c r="FI105" s="496"/>
      <c r="FJ105" s="2658"/>
      <c r="FK105" s="2658"/>
      <c r="FL105" s="2658"/>
      <c r="FM105" s="2658"/>
      <c r="FN105" s="2658"/>
      <c r="FO105" s="2658"/>
      <c r="FP105" s="2658"/>
      <c r="FQ105" s="2658"/>
      <c r="FR105" s="2658"/>
      <c r="GF105" s="2676"/>
      <c r="GG105" s="2676"/>
      <c r="GH105" s="2676"/>
      <c r="GI105" s="2676"/>
      <c r="GJ105" s="2676"/>
      <c r="GK105" s="2676"/>
      <c r="GL105" s="2676"/>
      <c r="GM105" s="2676"/>
      <c r="GN105" s="2676"/>
      <c r="GO105" s="2676"/>
      <c r="GP105" s="2676"/>
      <c r="GQ105" s="2676"/>
      <c r="GR105" s="2678"/>
      <c r="GS105" s="2678"/>
      <c r="GT105" s="2678"/>
      <c r="GU105" s="2678"/>
      <c r="GV105" s="2678"/>
      <c r="GW105" s="2678"/>
      <c r="GX105" s="2678"/>
      <c r="GY105" s="2678"/>
      <c r="GZ105" s="2678"/>
      <c r="HA105" s="2678"/>
      <c r="HB105" s="2678"/>
      <c r="HC105" s="2676"/>
      <c r="HD105" s="2676"/>
      <c r="HE105" s="2676"/>
      <c r="HF105" s="2676"/>
      <c r="HG105" s="2677"/>
      <c r="HH105" s="2677"/>
      <c r="HI105" s="2677"/>
      <c r="HJ105" s="2677"/>
      <c r="HK105" s="2677"/>
      <c r="HL105" s="2677"/>
      <c r="HM105" s="2677"/>
      <c r="HN105" s="2677"/>
      <c r="HO105" s="2677"/>
      <c r="HP105" s="2677"/>
      <c r="HQ105" s="2677"/>
      <c r="HR105" s="2676"/>
      <c r="HS105" s="2676"/>
      <c r="HT105" s="2676"/>
      <c r="HU105" s="2676"/>
      <c r="HV105" s="2677"/>
      <c r="HW105" s="2677"/>
      <c r="HX105" s="2677"/>
      <c r="HY105" s="2677"/>
      <c r="HZ105" s="2677"/>
      <c r="IA105" s="2677"/>
      <c r="IB105" s="2677"/>
      <c r="IC105" s="2677"/>
      <c r="ID105" s="2677"/>
    </row>
    <row r="106" spans="4:238" ht="4.1500000000000004" customHeight="1">
      <c r="F106" s="516"/>
      <c r="M106" s="516"/>
      <c r="R106" s="516"/>
      <c r="T106" s="516"/>
      <c r="AQ106" s="539"/>
      <c r="AR106" s="540"/>
      <c r="BP106" s="539"/>
      <c r="BQ106" s="540"/>
      <c r="CN106" s="517"/>
      <c r="CO106" s="662"/>
      <c r="CP106" s="664"/>
      <c r="CQ106" s="662"/>
      <c r="CR106" s="662"/>
      <c r="CS106" s="662"/>
      <c r="CT106" s="662"/>
      <c r="CU106" s="662"/>
      <c r="CV106" s="663"/>
      <c r="CW106" s="662"/>
      <c r="CX106" s="662"/>
      <c r="CY106" s="662"/>
      <c r="CZ106" s="662"/>
      <c r="DA106" s="2684">
        <f>CT108+CT127+CT85</f>
        <v>9.6</v>
      </c>
      <c r="DB106" s="2684"/>
      <c r="DC106" s="2684"/>
      <c r="DD106" s="2684"/>
      <c r="DQ106" s="495"/>
      <c r="DR106" s="495"/>
      <c r="DS106" s="495"/>
      <c r="DT106" s="495"/>
      <c r="DU106" s="495"/>
      <c r="DV106" s="495"/>
      <c r="DW106" s="495"/>
      <c r="DX106" s="495"/>
      <c r="DY106" s="495"/>
      <c r="DZ106" s="495"/>
      <c r="EA106" s="495"/>
      <c r="EB106" s="495"/>
      <c r="EC106" s="2654" t="s">
        <v>2980</v>
      </c>
      <c r="ED106" s="2654"/>
      <c r="EE106" s="2654"/>
      <c r="EF106" s="2654"/>
      <c r="EG106" s="2654"/>
      <c r="EH106" s="2654"/>
      <c r="EI106" s="496"/>
      <c r="EJ106" s="496"/>
      <c r="EK106" s="496"/>
      <c r="EL106" s="496"/>
      <c r="EM106" s="496"/>
      <c r="EN106" s="496"/>
      <c r="EO106" s="500"/>
      <c r="EP106" s="496"/>
      <c r="EQ106" s="496"/>
      <c r="ER106" s="496"/>
      <c r="ES106" s="496"/>
      <c r="ET106" s="496"/>
      <c r="EU106" s="496"/>
      <c r="EV106" s="496"/>
      <c r="EW106" s="498"/>
      <c r="EX106" s="498"/>
      <c r="EY106" s="498"/>
      <c r="EZ106" s="498"/>
      <c r="FA106" s="498"/>
      <c r="FB106" s="498"/>
      <c r="FC106" s="499"/>
      <c r="FD106" s="496"/>
      <c r="FE106" s="496"/>
      <c r="FF106" s="496"/>
      <c r="FG106" s="496"/>
      <c r="FH106" s="496"/>
      <c r="FI106" s="496"/>
      <c r="FJ106" s="2656">
        <f>FJ103</f>
        <v>0.2</v>
      </c>
      <c r="FK106" s="2656"/>
      <c r="FL106" s="2656"/>
      <c r="FM106" s="2656"/>
      <c r="FN106" s="2656"/>
      <c r="FO106" s="2656"/>
      <c r="FP106" s="2656"/>
      <c r="FQ106" s="2656"/>
      <c r="FR106" s="2656"/>
      <c r="GF106" s="2676" t="s">
        <v>1950</v>
      </c>
      <c r="GG106" s="2676"/>
      <c r="GH106" s="2676"/>
      <c r="GI106" s="2676"/>
      <c r="GJ106" s="2676"/>
      <c r="GK106" s="2676"/>
      <c r="GL106" s="2676"/>
      <c r="GM106" s="2676"/>
      <c r="GN106" s="2676"/>
      <c r="GO106" s="2676"/>
      <c r="GP106" s="2676"/>
      <c r="GQ106" s="2676"/>
      <c r="GR106" s="2678"/>
      <c r="GS106" s="2678"/>
      <c r="GT106" s="2678"/>
      <c r="GU106" s="2678"/>
      <c r="GV106" s="2678"/>
      <c r="GW106" s="2678"/>
      <c r="GX106" s="2678"/>
      <c r="GY106" s="2678"/>
      <c r="GZ106" s="2678"/>
      <c r="HA106" s="2678"/>
      <c r="HB106" s="2678"/>
      <c r="HC106" s="2676" t="s">
        <v>901</v>
      </c>
      <c r="HD106" s="2676"/>
      <c r="HE106" s="2676"/>
      <c r="HF106" s="2676"/>
      <c r="HG106" s="2677"/>
      <c r="HH106" s="2677"/>
      <c r="HI106" s="2677"/>
      <c r="HJ106" s="2677"/>
      <c r="HK106" s="2677"/>
      <c r="HL106" s="2677"/>
      <c r="HM106" s="2677"/>
      <c r="HN106" s="2677"/>
      <c r="HO106" s="2677"/>
      <c r="HP106" s="2677"/>
      <c r="HQ106" s="2677"/>
      <c r="HR106" s="2676" t="s">
        <v>901</v>
      </c>
      <c r="HS106" s="2676"/>
      <c r="HT106" s="2676"/>
      <c r="HU106" s="2676"/>
      <c r="HV106" s="2677"/>
      <c r="HW106" s="2677"/>
      <c r="HX106" s="2677"/>
      <c r="HY106" s="2677"/>
      <c r="HZ106" s="2677"/>
      <c r="IA106" s="2677"/>
      <c r="IB106" s="2677"/>
      <c r="IC106" s="2677"/>
      <c r="ID106" s="2677"/>
    </row>
    <row r="107" spans="4:238" ht="4.1500000000000004" customHeight="1">
      <c r="F107" s="516"/>
      <c r="K107" s="2681">
        <f>DA106+R81</f>
        <v>9.85</v>
      </c>
      <c r="L107" s="2682"/>
      <c r="M107" s="2682"/>
      <c r="N107" s="2682"/>
      <c r="R107" s="516"/>
      <c r="T107" s="516"/>
      <c r="AQ107" s="539"/>
      <c r="AR107" s="540"/>
      <c r="BP107" s="539"/>
      <c r="BQ107" s="540"/>
      <c r="CN107" s="517"/>
      <c r="CO107" s="662"/>
      <c r="CP107" s="664"/>
      <c r="CQ107" s="662"/>
      <c r="CR107" s="662"/>
      <c r="CS107" s="662"/>
      <c r="CT107" s="662"/>
      <c r="CU107" s="662"/>
      <c r="CV107" s="663"/>
      <c r="CW107" s="662"/>
      <c r="CX107" s="662"/>
      <c r="CY107" s="662"/>
      <c r="CZ107" s="662"/>
      <c r="DA107" s="2684"/>
      <c r="DB107" s="2684"/>
      <c r="DC107" s="2684"/>
      <c r="DD107" s="2684"/>
      <c r="DQ107" s="495"/>
      <c r="DR107" s="495"/>
      <c r="DS107" s="495"/>
      <c r="DT107" s="495"/>
      <c r="DU107" s="495"/>
      <c r="DV107" s="495"/>
      <c r="DW107" s="495"/>
      <c r="DX107" s="495"/>
      <c r="DY107" s="495"/>
      <c r="DZ107" s="495"/>
      <c r="EA107" s="495"/>
      <c r="EB107" s="495"/>
      <c r="EC107" s="2654"/>
      <c r="ED107" s="2654"/>
      <c r="EE107" s="2654"/>
      <c r="EF107" s="2654"/>
      <c r="EG107" s="2654"/>
      <c r="EH107" s="2654"/>
      <c r="EI107" s="496"/>
      <c r="EJ107" s="496"/>
      <c r="EK107" s="496"/>
      <c r="EL107" s="496"/>
      <c r="EM107" s="496"/>
      <c r="EN107" s="496"/>
      <c r="EO107" s="500"/>
      <c r="EP107" s="496"/>
      <c r="EQ107" s="496"/>
      <c r="ER107" s="496"/>
      <c r="ES107" s="496"/>
      <c r="ET107" s="496"/>
      <c r="EU107" s="496"/>
      <c r="EV107" s="496"/>
      <c r="EW107" s="496"/>
      <c r="EX107" s="496"/>
      <c r="EY107" s="496"/>
      <c r="EZ107" s="496"/>
      <c r="FA107" s="496"/>
      <c r="FB107" s="496"/>
      <c r="FC107" s="500"/>
      <c r="FD107" s="496"/>
      <c r="FE107" s="496"/>
      <c r="FF107" s="496"/>
      <c r="FG107" s="496"/>
      <c r="FH107" s="496"/>
      <c r="FI107" s="496"/>
      <c r="FJ107" s="2657"/>
      <c r="FK107" s="2657"/>
      <c r="FL107" s="2657"/>
      <c r="FM107" s="2657"/>
      <c r="FN107" s="2657"/>
      <c r="FO107" s="2657"/>
      <c r="FP107" s="2657"/>
      <c r="FQ107" s="2657"/>
      <c r="FR107" s="2657"/>
      <c r="GF107" s="2676"/>
      <c r="GG107" s="2676"/>
      <c r="GH107" s="2676"/>
      <c r="GI107" s="2676"/>
      <c r="GJ107" s="2676"/>
      <c r="GK107" s="2676"/>
      <c r="GL107" s="2676"/>
      <c r="GM107" s="2676"/>
      <c r="GN107" s="2676"/>
      <c r="GO107" s="2676"/>
      <c r="GP107" s="2676"/>
      <c r="GQ107" s="2676"/>
      <c r="GR107" s="2678"/>
      <c r="GS107" s="2678"/>
      <c r="GT107" s="2678"/>
      <c r="GU107" s="2678"/>
      <c r="GV107" s="2678"/>
      <c r="GW107" s="2678"/>
      <c r="GX107" s="2678"/>
      <c r="GY107" s="2678"/>
      <c r="GZ107" s="2678"/>
      <c r="HA107" s="2678"/>
      <c r="HB107" s="2678"/>
      <c r="HC107" s="2676"/>
      <c r="HD107" s="2676"/>
      <c r="HE107" s="2676"/>
      <c r="HF107" s="2676"/>
      <c r="HG107" s="2677"/>
      <c r="HH107" s="2677"/>
      <c r="HI107" s="2677"/>
      <c r="HJ107" s="2677"/>
      <c r="HK107" s="2677"/>
      <c r="HL107" s="2677"/>
      <c r="HM107" s="2677"/>
      <c r="HN107" s="2677"/>
      <c r="HO107" s="2677"/>
      <c r="HP107" s="2677"/>
      <c r="HQ107" s="2677"/>
      <c r="HR107" s="2676"/>
      <c r="HS107" s="2676"/>
      <c r="HT107" s="2676"/>
      <c r="HU107" s="2676"/>
      <c r="HV107" s="2677"/>
      <c r="HW107" s="2677"/>
      <c r="HX107" s="2677"/>
      <c r="HY107" s="2677"/>
      <c r="HZ107" s="2677"/>
      <c r="IA107" s="2677"/>
      <c r="IB107" s="2677"/>
      <c r="IC107" s="2677"/>
      <c r="ID107" s="2677"/>
    </row>
    <row r="108" spans="4:238" ht="4.1500000000000004" customHeight="1">
      <c r="F108" s="516"/>
      <c r="K108" s="2682"/>
      <c r="L108" s="2682"/>
      <c r="M108" s="2682"/>
      <c r="N108" s="2682"/>
      <c r="R108" s="516"/>
      <c r="T108" s="516"/>
      <c r="AQ108" s="539"/>
      <c r="AR108" s="540"/>
      <c r="BP108" s="539"/>
      <c r="BQ108" s="540"/>
      <c r="CN108" s="517"/>
      <c r="CO108" s="668"/>
      <c r="CP108" s="1585"/>
      <c r="CQ108" s="662"/>
      <c r="CR108" s="662"/>
      <c r="CS108" s="662"/>
      <c r="CT108" s="2684">
        <v>3.4750000000000001</v>
      </c>
      <c r="CU108" s="2684"/>
      <c r="CV108" s="2684"/>
      <c r="CW108" s="2684"/>
      <c r="CX108" s="662"/>
      <c r="CY108" s="662"/>
      <c r="CZ108" s="662"/>
      <c r="DA108" s="2684"/>
      <c r="DB108" s="2684"/>
      <c r="DC108" s="2684"/>
      <c r="DD108" s="2684"/>
      <c r="DQ108" s="495"/>
      <c r="DR108" s="495"/>
      <c r="DS108" s="495"/>
      <c r="DT108" s="495"/>
      <c r="DU108" s="495"/>
      <c r="DV108" s="495"/>
      <c r="DW108" s="495"/>
      <c r="DX108" s="495"/>
      <c r="DY108" s="495"/>
      <c r="DZ108" s="495"/>
      <c r="EA108" s="495"/>
      <c r="EB108" s="495"/>
      <c r="EC108" s="2655"/>
      <c r="ED108" s="2655"/>
      <c r="EE108" s="2655"/>
      <c r="EF108" s="2655"/>
      <c r="EG108" s="2655"/>
      <c r="EH108" s="2655"/>
      <c r="EI108" s="503"/>
      <c r="EJ108" s="503"/>
      <c r="EK108" s="503"/>
      <c r="EL108" s="503"/>
      <c r="EM108" s="503"/>
      <c r="EN108" s="503"/>
      <c r="EO108" s="504"/>
      <c r="EP108" s="496"/>
      <c r="EQ108" s="496"/>
      <c r="ER108" s="496"/>
      <c r="ES108" s="496"/>
      <c r="ET108" s="496"/>
      <c r="EU108" s="496"/>
      <c r="EV108" s="496"/>
      <c r="EW108" s="496"/>
      <c r="EX108" s="496"/>
      <c r="EY108" s="496"/>
      <c r="EZ108" s="496"/>
      <c r="FA108" s="496"/>
      <c r="FB108" s="496"/>
      <c r="FC108" s="500"/>
      <c r="FD108" s="496"/>
      <c r="FE108" s="496"/>
      <c r="FF108" s="496"/>
      <c r="FG108" s="496"/>
      <c r="FH108" s="496"/>
      <c r="FI108" s="496"/>
      <c r="FJ108" s="2657"/>
      <c r="FK108" s="2658"/>
      <c r="FL108" s="2658"/>
      <c r="FM108" s="2658"/>
      <c r="FN108" s="2658"/>
      <c r="FO108" s="2658"/>
      <c r="FP108" s="2658"/>
      <c r="FQ108" s="2658"/>
      <c r="FR108" s="2658"/>
      <c r="GF108" s="2676"/>
      <c r="GG108" s="2676"/>
      <c r="GH108" s="2676"/>
      <c r="GI108" s="2676"/>
      <c r="GJ108" s="2676"/>
      <c r="GK108" s="2676"/>
      <c r="GL108" s="2676"/>
      <c r="GM108" s="2676"/>
      <c r="GN108" s="2676"/>
      <c r="GO108" s="2676"/>
      <c r="GP108" s="2676"/>
      <c r="GQ108" s="2676"/>
      <c r="GR108" s="2678"/>
      <c r="GS108" s="2678"/>
      <c r="GT108" s="2678"/>
      <c r="GU108" s="2678"/>
      <c r="GV108" s="2678"/>
      <c r="GW108" s="2678"/>
      <c r="GX108" s="2678"/>
      <c r="GY108" s="2678"/>
      <c r="GZ108" s="2678"/>
      <c r="HA108" s="2678"/>
      <c r="HB108" s="2678"/>
      <c r="HC108" s="2676"/>
      <c r="HD108" s="2676"/>
      <c r="HE108" s="2676"/>
      <c r="HF108" s="2676"/>
      <c r="HG108" s="2677"/>
      <c r="HH108" s="2677"/>
      <c r="HI108" s="2677"/>
      <c r="HJ108" s="2677"/>
      <c r="HK108" s="2677"/>
      <c r="HL108" s="2677"/>
      <c r="HM108" s="2677"/>
      <c r="HN108" s="2677"/>
      <c r="HO108" s="2677"/>
      <c r="HP108" s="2677"/>
      <c r="HQ108" s="2677"/>
      <c r="HR108" s="2676"/>
      <c r="HS108" s="2676"/>
      <c r="HT108" s="2676"/>
      <c r="HU108" s="2676"/>
      <c r="HV108" s="2677"/>
      <c r="HW108" s="2677"/>
      <c r="HX108" s="2677"/>
      <c r="HY108" s="2677"/>
      <c r="HZ108" s="2677"/>
      <c r="IA108" s="2677"/>
      <c r="IB108" s="2677"/>
      <c r="IC108" s="2677"/>
      <c r="ID108" s="2677"/>
    </row>
    <row r="109" spans="4:238" ht="4.1500000000000004" customHeight="1">
      <c r="F109" s="516"/>
      <c r="K109" s="2682"/>
      <c r="L109" s="2682"/>
      <c r="M109" s="2682"/>
      <c r="N109" s="2682"/>
      <c r="R109" s="516"/>
      <c r="T109" s="516"/>
      <c r="AQ109" s="539"/>
      <c r="AR109" s="540"/>
      <c r="BP109" s="539"/>
      <c r="BQ109" s="540"/>
      <c r="CN109" s="517"/>
      <c r="CO109" s="663"/>
      <c r="CP109" s="1586"/>
      <c r="CQ109" s="662"/>
      <c r="CR109" s="662"/>
      <c r="CS109" s="662"/>
      <c r="CT109" s="2684"/>
      <c r="CU109" s="2684"/>
      <c r="CV109" s="2684"/>
      <c r="CW109" s="2684"/>
      <c r="CX109" s="662"/>
      <c r="CY109" s="662"/>
      <c r="CZ109" s="662"/>
      <c r="DA109" s="2684"/>
      <c r="DB109" s="2684"/>
      <c r="DC109" s="2684"/>
      <c r="DD109" s="2684"/>
      <c r="DQ109" s="495"/>
      <c r="DR109" s="495"/>
      <c r="DS109" s="495"/>
      <c r="DT109" s="495"/>
      <c r="DU109" s="495"/>
      <c r="DV109" s="495"/>
      <c r="DW109" s="495"/>
      <c r="DX109" s="495"/>
      <c r="DY109" s="495"/>
      <c r="DZ109" s="495"/>
      <c r="EA109" s="495"/>
      <c r="EB109" s="495"/>
      <c r="EC109" s="2656">
        <f>FK109+FK111</f>
        <v>0.3</v>
      </c>
      <c r="ED109" s="2656"/>
      <c r="EE109" s="2656"/>
      <c r="EF109" s="2656"/>
      <c r="EG109" s="2656"/>
      <c r="EH109" s="2656"/>
      <c r="EI109" s="2656"/>
      <c r="EJ109" s="2656"/>
      <c r="EK109" s="2656"/>
      <c r="EL109" s="2656"/>
      <c r="EM109" s="2656"/>
      <c r="EN109" s="496"/>
      <c r="EO109" s="500"/>
      <c r="EP109" s="501"/>
      <c r="EQ109" s="498"/>
      <c r="ER109" s="498"/>
      <c r="ES109" s="498"/>
      <c r="ET109" s="498"/>
      <c r="EU109" s="498"/>
      <c r="EV109" s="498"/>
      <c r="EW109" s="498"/>
      <c r="EX109" s="498"/>
      <c r="EY109" s="498"/>
      <c r="EZ109" s="498"/>
      <c r="FA109" s="498"/>
      <c r="FB109" s="498"/>
      <c r="FC109" s="498"/>
      <c r="FD109" s="498"/>
      <c r="FE109" s="498"/>
      <c r="FF109" s="498"/>
      <c r="FG109" s="498"/>
      <c r="FH109" s="498"/>
      <c r="FI109" s="498"/>
      <c r="FJ109" s="499"/>
      <c r="FK109" s="2659">
        <v>0.15</v>
      </c>
      <c r="FL109" s="2660"/>
      <c r="FM109" s="2660"/>
      <c r="FN109" s="2660"/>
      <c r="FO109" s="2660"/>
      <c r="FP109" s="2660"/>
      <c r="FQ109" s="2660"/>
      <c r="FR109" s="2660"/>
      <c r="GF109" s="2676" t="s">
        <v>1951</v>
      </c>
      <c r="GG109" s="2676"/>
      <c r="GH109" s="2676"/>
      <c r="GI109" s="2676"/>
      <c r="GJ109" s="2676"/>
      <c r="GK109" s="2676"/>
      <c r="GL109" s="2676"/>
      <c r="GM109" s="2676"/>
      <c r="GN109" s="2676"/>
      <c r="GO109" s="2676"/>
      <c r="GP109" s="2676"/>
      <c r="GQ109" s="2676"/>
      <c r="GR109" s="2678"/>
      <c r="GS109" s="2678"/>
      <c r="GT109" s="2678"/>
      <c r="GU109" s="2678"/>
      <c r="GV109" s="2678"/>
      <c r="GW109" s="2678"/>
      <c r="GX109" s="2678"/>
      <c r="GY109" s="2678"/>
      <c r="GZ109" s="2678"/>
      <c r="HA109" s="2678"/>
      <c r="HB109" s="2678"/>
      <c r="HC109" s="2676" t="s">
        <v>901</v>
      </c>
      <c r="HD109" s="2676"/>
      <c r="HE109" s="2676"/>
      <c r="HF109" s="2676"/>
      <c r="HG109" s="2677"/>
      <c r="HH109" s="2677"/>
      <c r="HI109" s="2677"/>
      <c r="HJ109" s="2677"/>
      <c r="HK109" s="2677"/>
      <c r="HL109" s="2677"/>
      <c r="HM109" s="2677"/>
      <c r="HN109" s="2677"/>
      <c r="HO109" s="2677"/>
      <c r="HP109" s="2677"/>
      <c r="HQ109" s="2677"/>
      <c r="HR109" s="2676" t="s">
        <v>901</v>
      </c>
      <c r="HS109" s="2676"/>
      <c r="HT109" s="2676"/>
      <c r="HU109" s="2676"/>
      <c r="HV109" s="2677"/>
      <c r="HW109" s="2677"/>
      <c r="HX109" s="2677"/>
      <c r="HY109" s="2677"/>
      <c r="HZ109" s="2677"/>
      <c r="IA109" s="2677"/>
      <c r="IB109" s="2677"/>
      <c r="IC109" s="2677"/>
      <c r="ID109" s="2677"/>
    </row>
    <row r="110" spans="4:238" ht="4.1500000000000004" customHeight="1">
      <c r="F110" s="516"/>
      <c r="K110" s="2682"/>
      <c r="L110" s="2682"/>
      <c r="M110" s="2682"/>
      <c r="N110" s="2682"/>
      <c r="R110" s="516"/>
      <c r="T110" s="516"/>
      <c r="AQ110" s="539"/>
      <c r="AR110" s="540"/>
      <c r="BP110" s="539"/>
      <c r="BQ110" s="540"/>
      <c r="CN110" s="517"/>
      <c r="CO110" s="663"/>
      <c r="CP110" s="1586"/>
      <c r="CQ110" s="662"/>
      <c r="CR110" s="662"/>
      <c r="CS110" s="662"/>
      <c r="CT110" s="2684"/>
      <c r="CU110" s="2684"/>
      <c r="CV110" s="2684"/>
      <c r="CW110" s="2684"/>
      <c r="CX110" s="662"/>
      <c r="CY110" s="662"/>
      <c r="CZ110" s="662"/>
      <c r="DA110" s="2684"/>
      <c r="DB110" s="2684"/>
      <c r="DC110" s="2684"/>
      <c r="DD110" s="2684"/>
      <c r="DQ110" s="495"/>
      <c r="DR110" s="495"/>
      <c r="DS110" s="495"/>
      <c r="DT110" s="495"/>
      <c r="DU110" s="495"/>
      <c r="DV110" s="495"/>
      <c r="DW110" s="495"/>
      <c r="DX110" s="495"/>
      <c r="DY110" s="495"/>
      <c r="DZ110" s="495"/>
      <c r="EA110" s="495"/>
      <c r="EB110" s="495"/>
      <c r="EC110" s="2657"/>
      <c r="ED110" s="2657"/>
      <c r="EE110" s="2657"/>
      <c r="EF110" s="2657"/>
      <c r="EG110" s="2657"/>
      <c r="EH110" s="2657"/>
      <c r="EI110" s="2657"/>
      <c r="EJ110" s="2657"/>
      <c r="EK110" s="2657"/>
      <c r="EL110" s="2657"/>
      <c r="EM110" s="2657"/>
      <c r="EN110" s="496"/>
      <c r="EO110" s="500"/>
      <c r="EP110" s="505"/>
      <c r="EQ110" s="503"/>
      <c r="ER110" s="503"/>
      <c r="ES110" s="503"/>
      <c r="ET110" s="503"/>
      <c r="EU110" s="503"/>
      <c r="EV110" s="503"/>
      <c r="EW110" s="503"/>
      <c r="EX110" s="503"/>
      <c r="EY110" s="503"/>
      <c r="EZ110" s="503"/>
      <c r="FA110" s="503"/>
      <c r="FB110" s="503"/>
      <c r="FC110" s="503"/>
      <c r="FD110" s="503"/>
      <c r="FE110" s="503"/>
      <c r="FF110" s="503"/>
      <c r="FG110" s="503"/>
      <c r="FH110" s="503"/>
      <c r="FI110" s="503"/>
      <c r="FJ110" s="504"/>
      <c r="FK110" s="2661"/>
      <c r="FL110" s="2662"/>
      <c r="FM110" s="2662"/>
      <c r="FN110" s="2662"/>
      <c r="FO110" s="2662"/>
      <c r="FP110" s="2662"/>
      <c r="FQ110" s="2662"/>
      <c r="FR110" s="2662"/>
      <c r="GF110" s="2676"/>
      <c r="GG110" s="2676"/>
      <c r="GH110" s="2676"/>
      <c r="GI110" s="2676"/>
      <c r="GJ110" s="2676"/>
      <c r="GK110" s="2676"/>
      <c r="GL110" s="2676"/>
      <c r="GM110" s="2676"/>
      <c r="GN110" s="2676"/>
      <c r="GO110" s="2676"/>
      <c r="GP110" s="2676"/>
      <c r="GQ110" s="2676"/>
      <c r="GR110" s="2678"/>
      <c r="GS110" s="2678"/>
      <c r="GT110" s="2678"/>
      <c r="GU110" s="2678"/>
      <c r="GV110" s="2678"/>
      <c r="GW110" s="2678"/>
      <c r="GX110" s="2678"/>
      <c r="GY110" s="2678"/>
      <c r="GZ110" s="2678"/>
      <c r="HA110" s="2678"/>
      <c r="HB110" s="2678"/>
      <c r="HC110" s="2676"/>
      <c r="HD110" s="2676"/>
      <c r="HE110" s="2676"/>
      <c r="HF110" s="2676"/>
      <c r="HG110" s="2677"/>
      <c r="HH110" s="2677"/>
      <c r="HI110" s="2677"/>
      <c r="HJ110" s="2677"/>
      <c r="HK110" s="2677"/>
      <c r="HL110" s="2677"/>
      <c r="HM110" s="2677"/>
      <c r="HN110" s="2677"/>
      <c r="HO110" s="2677"/>
      <c r="HP110" s="2677"/>
      <c r="HQ110" s="2677"/>
      <c r="HR110" s="2676"/>
      <c r="HS110" s="2676"/>
      <c r="HT110" s="2676"/>
      <c r="HU110" s="2676"/>
      <c r="HV110" s="2677"/>
      <c r="HW110" s="2677"/>
      <c r="HX110" s="2677"/>
      <c r="HY110" s="2677"/>
      <c r="HZ110" s="2677"/>
      <c r="IA110" s="2677"/>
      <c r="IB110" s="2677"/>
      <c r="IC110" s="2677"/>
      <c r="ID110" s="2677"/>
    </row>
    <row r="111" spans="4:238" ht="4.1500000000000004" customHeight="1">
      <c r="F111" s="516"/>
      <c r="K111" s="2682"/>
      <c r="L111" s="2682"/>
      <c r="M111" s="2682"/>
      <c r="N111" s="2682"/>
      <c r="R111" s="516"/>
      <c r="T111" s="516"/>
      <c r="AQ111" s="539"/>
      <c r="AR111" s="540"/>
      <c r="BP111" s="539"/>
      <c r="BQ111" s="540"/>
      <c r="CN111" s="517"/>
      <c r="CO111" s="663"/>
      <c r="CP111" s="1586"/>
      <c r="CQ111" s="662"/>
      <c r="CR111" s="662"/>
      <c r="CS111" s="662"/>
      <c r="CT111" s="2684"/>
      <c r="CU111" s="2684"/>
      <c r="CV111" s="2684"/>
      <c r="CW111" s="2684"/>
      <c r="CX111" s="662"/>
      <c r="CY111" s="662"/>
      <c r="CZ111" s="662"/>
      <c r="DA111" s="2684"/>
      <c r="DB111" s="2684"/>
      <c r="DC111" s="2684"/>
      <c r="DD111" s="2684"/>
      <c r="DQ111" s="495"/>
      <c r="DR111" s="495"/>
      <c r="DS111" s="495"/>
      <c r="DT111" s="495"/>
      <c r="DU111" s="495"/>
      <c r="DV111" s="495"/>
      <c r="DW111" s="495"/>
      <c r="DX111" s="495"/>
      <c r="DY111" s="495"/>
      <c r="DZ111" s="495"/>
      <c r="EA111" s="495"/>
      <c r="EB111" s="495"/>
      <c r="EC111" s="2657"/>
      <c r="ED111" s="2657"/>
      <c r="EE111" s="2657"/>
      <c r="EF111" s="2657"/>
      <c r="EG111" s="2657"/>
      <c r="EH111" s="2657"/>
      <c r="EI111" s="2657"/>
      <c r="EJ111" s="2657"/>
      <c r="EK111" s="2657"/>
      <c r="EL111" s="2657"/>
      <c r="EM111" s="2657"/>
      <c r="EN111" s="496"/>
      <c r="EO111" s="500"/>
      <c r="EP111" s="501"/>
      <c r="EQ111" s="498"/>
      <c r="ER111" s="498"/>
      <c r="ES111" s="498"/>
      <c r="ET111" s="498"/>
      <c r="EU111" s="498"/>
      <c r="EV111" s="498"/>
      <c r="EW111" s="498"/>
      <c r="EX111" s="498"/>
      <c r="EY111" s="498"/>
      <c r="EZ111" s="498"/>
      <c r="FA111" s="498"/>
      <c r="FB111" s="498"/>
      <c r="FC111" s="498"/>
      <c r="FD111" s="498"/>
      <c r="FE111" s="498"/>
      <c r="FF111" s="498"/>
      <c r="FG111" s="498"/>
      <c r="FH111" s="498"/>
      <c r="FI111" s="498"/>
      <c r="FJ111" s="499"/>
      <c r="FK111" s="2659">
        <f>FK109</f>
        <v>0.15</v>
      </c>
      <c r="FL111" s="2660"/>
      <c r="FM111" s="2660"/>
      <c r="FN111" s="2660"/>
      <c r="FO111" s="2660"/>
      <c r="FP111" s="2660"/>
      <c r="FQ111" s="2660"/>
      <c r="FR111" s="2660"/>
      <c r="GF111" s="2676"/>
      <c r="GG111" s="2676"/>
      <c r="GH111" s="2676"/>
      <c r="GI111" s="2676"/>
      <c r="GJ111" s="2676"/>
      <c r="GK111" s="2676"/>
      <c r="GL111" s="2676"/>
      <c r="GM111" s="2676"/>
      <c r="GN111" s="2676"/>
      <c r="GO111" s="2676"/>
      <c r="GP111" s="2676"/>
      <c r="GQ111" s="2676"/>
      <c r="GR111" s="2678"/>
      <c r="GS111" s="2678"/>
      <c r="GT111" s="2678"/>
      <c r="GU111" s="2678"/>
      <c r="GV111" s="2678"/>
      <c r="GW111" s="2678"/>
      <c r="GX111" s="2678"/>
      <c r="GY111" s="2678"/>
      <c r="GZ111" s="2678"/>
      <c r="HA111" s="2678"/>
      <c r="HB111" s="2678"/>
      <c r="HC111" s="2676"/>
      <c r="HD111" s="2676"/>
      <c r="HE111" s="2676"/>
      <c r="HF111" s="2676"/>
      <c r="HG111" s="2677"/>
      <c r="HH111" s="2677"/>
      <c r="HI111" s="2677"/>
      <c r="HJ111" s="2677"/>
      <c r="HK111" s="2677"/>
      <c r="HL111" s="2677"/>
      <c r="HM111" s="2677"/>
      <c r="HN111" s="2677"/>
      <c r="HO111" s="2677"/>
      <c r="HP111" s="2677"/>
      <c r="HQ111" s="2677"/>
      <c r="HR111" s="2676"/>
      <c r="HS111" s="2676"/>
      <c r="HT111" s="2676"/>
      <c r="HU111" s="2676"/>
      <c r="HV111" s="2677"/>
      <c r="HW111" s="2677"/>
      <c r="HX111" s="2677"/>
      <c r="HY111" s="2677"/>
      <c r="HZ111" s="2677"/>
      <c r="IA111" s="2677"/>
      <c r="IB111" s="2677"/>
      <c r="IC111" s="2677"/>
      <c r="ID111" s="2677"/>
    </row>
    <row r="112" spans="4:238" ht="4.1500000000000004" customHeight="1">
      <c r="F112" s="516"/>
      <c r="K112" s="2682"/>
      <c r="L112" s="2682"/>
      <c r="M112" s="2682"/>
      <c r="N112" s="2682"/>
      <c r="R112" s="516"/>
      <c r="T112" s="516"/>
      <c r="AQ112" s="539"/>
      <c r="AR112" s="540"/>
      <c r="BP112" s="539"/>
      <c r="BQ112" s="540"/>
      <c r="CN112" s="517"/>
      <c r="CO112" s="663"/>
      <c r="CP112" s="1586"/>
      <c r="CQ112" s="662"/>
      <c r="CR112" s="662"/>
      <c r="CS112" s="662"/>
      <c r="CT112" s="2684"/>
      <c r="CU112" s="2684"/>
      <c r="CV112" s="2684"/>
      <c r="CW112" s="2684"/>
      <c r="CX112" s="662"/>
      <c r="CY112" s="662"/>
      <c r="CZ112" s="662"/>
      <c r="DA112" s="2684"/>
      <c r="DB112" s="2684"/>
      <c r="DC112" s="2684"/>
      <c r="DD112" s="2684"/>
      <c r="DQ112" s="495"/>
      <c r="DR112" s="495"/>
      <c r="DS112" s="495"/>
      <c r="DT112" s="495"/>
      <c r="DU112" s="495"/>
      <c r="DV112" s="495"/>
      <c r="DW112" s="495"/>
      <c r="DX112" s="495"/>
      <c r="DY112" s="495"/>
      <c r="DZ112" s="495"/>
      <c r="EA112" s="495"/>
      <c r="EB112" s="495"/>
      <c r="EC112" s="2658"/>
      <c r="ED112" s="2658"/>
      <c r="EE112" s="2658"/>
      <c r="EF112" s="2658"/>
      <c r="EG112" s="2658"/>
      <c r="EH112" s="2658"/>
      <c r="EI112" s="2658"/>
      <c r="EJ112" s="2658"/>
      <c r="EK112" s="2658"/>
      <c r="EL112" s="2658"/>
      <c r="EM112" s="2658"/>
      <c r="EN112" s="496"/>
      <c r="EO112" s="500"/>
      <c r="EP112" s="505"/>
      <c r="EQ112" s="503"/>
      <c r="ER112" s="503"/>
      <c r="ES112" s="503"/>
      <c r="ET112" s="503"/>
      <c r="EU112" s="503"/>
      <c r="EV112" s="503"/>
      <c r="EW112" s="503"/>
      <c r="EX112" s="503"/>
      <c r="EY112" s="503"/>
      <c r="EZ112" s="503"/>
      <c r="FA112" s="503"/>
      <c r="FB112" s="503"/>
      <c r="FC112" s="503"/>
      <c r="FD112" s="503"/>
      <c r="FE112" s="503"/>
      <c r="FF112" s="503"/>
      <c r="FG112" s="503"/>
      <c r="FH112" s="503"/>
      <c r="FI112" s="503"/>
      <c r="FJ112" s="504"/>
      <c r="FK112" s="2661"/>
      <c r="FL112" s="2662"/>
      <c r="FM112" s="2662"/>
      <c r="FN112" s="2662"/>
      <c r="FO112" s="2662"/>
      <c r="FP112" s="2662"/>
      <c r="FQ112" s="2662"/>
      <c r="FR112" s="2662"/>
      <c r="GF112" s="2676" t="s">
        <v>1952</v>
      </c>
      <c r="GG112" s="2676"/>
      <c r="GH112" s="2676"/>
      <c r="GI112" s="2676"/>
      <c r="GJ112" s="2676"/>
      <c r="GK112" s="2676"/>
      <c r="GL112" s="2676"/>
      <c r="GM112" s="2676"/>
      <c r="GN112" s="2676"/>
      <c r="GO112" s="2676"/>
      <c r="GP112" s="2676"/>
      <c r="GQ112" s="2676"/>
      <c r="GR112" s="2678">
        <v>6</v>
      </c>
      <c r="GS112" s="2678"/>
      <c r="GT112" s="2678"/>
      <c r="GU112" s="2678"/>
      <c r="GV112" s="2678"/>
      <c r="GW112" s="2678"/>
      <c r="GX112" s="2678"/>
      <c r="GY112" s="2678"/>
      <c r="GZ112" s="2678"/>
      <c r="HA112" s="2678"/>
      <c r="HB112" s="2678"/>
      <c r="HC112" s="2676" t="s">
        <v>901</v>
      </c>
      <c r="HD112" s="2676"/>
      <c r="HE112" s="2676"/>
      <c r="HF112" s="2676"/>
      <c r="HG112" s="2677">
        <v>1.2</v>
      </c>
      <c r="HH112" s="2677"/>
      <c r="HI112" s="2677"/>
      <c r="HJ112" s="2677"/>
      <c r="HK112" s="2677"/>
      <c r="HL112" s="2677"/>
      <c r="HM112" s="2677"/>
      <c r="HN112" s="2677"/>
      <c r="HO112" s="2677"/>
      <c r="HP112" s="2677"/>
      <c r="HQ112" s="2677"/>
      <c r="HR112" s="2676" t="s">
        <v>901</v>
      </c>
      <c r="HS112" s="2676"/>
      <c r="HT112" s="2676"/>
      <c r="HU112" s="2676"/>
      <c r="HV112" s="2677">
        <v>1.35</v>
      </c>
      <c r="HW112" s="2677"/>
      <c r="HX112" s="2677"/>
      <c r="HY112" s="2677"/>
      <c r="HZ112" s="2677"/>
      <c r="IA112" s="2677"/>
      <c r="IB112" s="2677"/>
      <c r="IC112" s="2677"/>
      <c r="ID112" s="2677"/>
    </row>
    <row r="113" spans="4:238" ht="4.1500000000000004" customHeight="1">
      <c r="F113" s="516"/>
      <c r="K113" s="2682"/>
      <c r="L113" s="2682"/>
      <c r="M113" s="2682"/>
      <c r="N113" s="2682"/>
      <c r="R113" s="516"/>
      <c r="T113" s="516"/>
      <c r="AQ113" s="539"/>
      <c r="AR113" s="540"/>
      <c r="BP113" s="539"/>
      <c r="BQ113" s="540"/>
      <c r="CN113" s="517"/>
      <c r="CO113" s="663"/>
      <c r="CP113" s="1586"/>
      <c r="CQ113" s="662"/>
      <c r="CR113" s="662"/>
      <c r="CS113" s="662"/>
      <c r="CT113" s="2684"/>
      <c r="CU113" s="2684"/>
      <c r="CV113" s="2684"/>
      <c r="CW113" s="2684"/>
      <c r="CX113" s="662"/>
      <c r="CY113" s="662"/>
      <c r="CZ113" s="662"/>
      <c r="DA113" s="2684"/>
      <c r="DB113" s="2684"/>
      <c r="DC113" s="2684"/>
      <c r="DD113" s="2684"/>
      <c r="DQ113" s="495"/>
      <c r="DR113" s="495"/>
      <c r="DS113" s="495"/>
      <c r="DT113" s="495"/>
      <c r="DU113" s="495"/>
      <c r="DV113" s="495"/>
      <c r="DW113" s="495"/>
      <c r="DX113" s="495"/>
      <c r="DY113" s="495"/>
      <c r="DZ113" s="495"/>
      <c r="EA113" s="495"/>
      <c r="EB113" s="495"/>
      <c r="EC113" s="495"/>
      <c r="ED113" s="495"/>
      <c r="EE113" s="495"/>
      <c r="EF113" s="495"/>
      <c r="EG113" s="495"/>
      <c r="EH113" s="496"/>
      <c r="EI113" s="496"/>
      <c r="EJ113" s="496"/>
      <c r="EK113" s="496"/>
      <c r="EL113" s="496"/>
      <c r="EM113" s="496"/>
      <c r="EN113" s="496"/>
      <c r="EO113" s="496"/>
      <c r="EP113" s="496"/>
      <c r="EQ113" s="496"/>
      <c r="ER113" s="496"/>
      <c r="ES113" s="496"/>
      <c r="ET113" s="496"/>
      <c r="EU113" s="496"/>
      <c r="EV113" s="496"/>
      <c r="EW113" s="496"/>
      <c r="EX113" s="496"/>
      <c r="EY113" s="496"/>
      <c r="EZ113" s="496"/>
      <c r="FA113" s="496"/>
      <c r="FB113" s="496"/>
      <c r="FC113" s="496"/>
      <c r="FD113" s="496"/>
      <c r="FE113" s="496"/>
      <c r="FF113" s="496"/>
      <c r="FG113" s="496"/>
      <c r="FH113" s="496"/>
      <c r="FI113" s="496"/>
      <c r="FJ113" s="496"/>
      <c r="FK113" s="496"/>
      <c r="FL113" s="496"/>
      <c r="FM113" s="496"/>
      <c r="FN113" s="496"/>
      <c r="FO113" s="496"/>
      <c r="FP113" s="496"/>
      <c r="FQ113" s="496"/>
      <c r="FR113" s="496"/>
      <c r="GF113" s="2676"/>
      <c r="GG113" s="2676"/>
      <c r="GH113" s="2676"/>
      <c r="GI113" s="2676"/>
      <c r="GJ113" s="2676"/>
      <c r="GK113" s="2676"/>
      <c r="GL113" s="2676"/>
      <c r="GM113" s="2676"/>
      <c r="GN113" s="2676"/>
      <c r="GO113" s="2676"/>
      <c r="GP113" s="2676"/>
      <c r="GQ113" s="2676"/>
      <c r="GR113" s="2678"/>
      <c r="GS113" s="2678"/>
      <c r="GT113" s="2678"/>
      <c r="GU113" s="2678"/>
      <c r="GV113" s="2678"/>
      <c r="GW113" s="2678"/>
      <c r="GX113" s="2678"/>
      <c r="GY113" s="2678"/>
      <c r="GZ113" s="2678"/>
      <c r="HA113" s="2678"/>
      <c r="HB113" s="2678"/>
      <c r="HC113" s="2676"/>
      <c r="HD113" s="2676"/>
      <c r="HE113" s="2676"/>
      <c r="HF113" s="2676"/>
      <c r="HG113" s="2677"/>
      <c r="HH113" s="2677"/>
      <c r="HI113" s="2677"/>
      <c r="HJ113" s="2677"/>
      <c r="HK113" s="2677"/>
      <c r="HL113" s="2677"/>
      <c r="HM113" s="2677"/>
      <c r="HN113" s="2677"/>
      <c r="HO113" s="2677"/>
      <c r="HP113" s="2677"/>
      <c r="HQ113" s="2677"/>
      <c r="HR113" s="2676"/>
      <c r="HS113" s="2676"/>
      <c r="HT113" s="2676"/>
      <c r="HU113" s="2676"/>
      <c r="HV113" s="2677"/>
      <c r="HW113" s="2677"/>
      <c r="HX113" s="2677"/>
      <c r="HY113" s="2677"/>
      <c r="HZ113" s="2677"/>
      <c r="IA113" s="2677"/>
      <c r="IB113" s="2677"/>
      <c r="IC113" s="2677"/>
      <c r="ID113" s="2677"/>
    </row>
    <row r="114" spans="4:238" ht="4.1500000000000004" customHeight="1">
      <c r="F114" s="516"/>
      <c r="K114" s="2682"/>
      <c r="L114" s="2682"/>
      <c r="M114" s="2682"/>
      <c r="N114" s="2682"/>
      <c r="R114" s="516"/>
      <c r="T114" s="516"/>
      <c r="AQ114" s="539"/>
      <c r="AR114" s="540"/>
      <c r="BP114" s="539"/>
      <c r="BQ114" s="540"/>
      <c r="CN114" s="517"/>
      <c r="CO114" s="663"/>
      <c r="CP114" s="1586"/>
      <c r="CQ114" s="662"/>
      <c r="CR114" s="662"/>
      <c r="CS114" s="662"/>
      <c r="CT114" s="2684"/>
      <c r="CU114" s="2684"/>
      <c r="CV114" s="2684"/>
      <c r="CW114" s="2684"/>
      <c r="CX114" s="662"/>
      <c r="CY114" s="662"/>
      <c r="CZ114" s="662"/>
      <c r="DA114" s="2684"/>
      <c r="DB114" s="2684"/>
      <c r="DC114" s="2684"/>
      <c r="DD114" s="2684"/>
      <c r="DQ114" s="495"/>
      <c r="DR114" s="495"/>
      <c r="DS114" s="495"/>
      <c r="DT114" s="495"/>
      <c r="DU114" s="495"/>
      <c r="DV114" s="495"/>
      <c r="DW114" s="495"/>
      <c r="DX114" s="495"/>
      <c r="DY114" s="495"/>
      <c r="DZ114" s="495"/>
      <c r="EA114" s="495"/>
      <c r="EB114" s="495"/>
      <c r="EC114" s="495"/>
      <c r="ED114" s="495"/>
      <c r="EE114" s="495"/>
      <c r="EF114" s="495"/>
      <c r="EG114" s="495"/>
      <c r="EH114" s="496"/>
      <c r="EI114" s="496"/>
      <c r="EJ114" s="496"/>
      <c r="EK114" s="496"/>
      <c r="EL114" s="496"/>
      <c r="EM114" s="496"/>
      <c r="EN114" s="496"/>
      <c r="EO114" s="496"/>
      <c r="EP114" s="496"/>
      <c r="EQ114" s="496"/>
      <c r="ER114" s="496"/>
      <c r="ES114" s="496"/>
      <c r="ET114" s="496"/>
      <c r="EU114" s="496"/>
      <c r="EV114" s="496"/>
      <c r="EW114" s="496"/>
      <c r="EX114" s="496"/>
      <c r="EY114" s="496"/>
      <c r="EZ114" s="496"/>
      <c r="FA114" s="496"/>
      <c r="FB114" s="496"/>
      <c r="FC114" s="496"/>
      <c r="FD114" s="496"/>
      <c r="FE114" s="496"/>
      <c r="FF114" s="496"/>
      <c r="FG114" s="496"/>
      <c r="FH114" s="496"/>
      <c r="FI114" s="496"/>
      <c r="FJ114" s="496"/>
      <c r="FK114" s="496"/>
      <c r="FL114" s="496"/>
      <c r="FM114" s="496"/>
      <c r="FN114" s="496"/>
      <c r="FO114" s="496"/>
      <c r="FP114" s="496"/>
      <c r="FQ114" s="496"/>
      <c r="FR114" s="496"/>
      <c r="GF114" s="2676"/>
      <c r="GG114" s="2676"/>
      <c r="GH114" s="2676"/>
      <c r="GI114" s="2676"/>
      <c r="GJ114" s="2676"/>
      <c r="GK114" s="2676"/>
      <c r="GL114" s="2676"/>
      <c r="GM114" s="2676"/>
      <c r="GN114" s="2676"/>
      <c r="GO114" s="2676"/>
      <c r="GP114" s="2676"/>
      <c r="GQ114" s="2676"/>
      <c r="GR114" s="2678"/>
      <c r="GS114" s="2678"/>
      <c r="GT114" s="2678"/>
      <c r="GU114" s="2678"/>
      <c r="GV114" s="2678"/>
      <c r="GW114" s="2678"/>
      <c r="GX114" s="2678"/>
      <c r="GY114" s="2678"/>
      <c r="GZ114" s="2678"/>
      <c r="HA114" s="2678"/>
      <c r="HB114" s="2678"/>
      <c r="HC114" s="2676"/>
      <c r="HD114" s="2676"/>
      <c r="HE114" s="2676"/>
      <c r="HF114" s="2676"/>
      <c r="HG114" s="2677"/>
      <c r="HH114" s="2677"/>
      <c r="HI114" s="2677"/>
      <c r="HJ114" s="2677"/>
      <c r="HK114" s="2677"/>
      <c r="HL114" s="2677"/>
      <c r="HM114" s="2677"/>
      <c r="HN114" s="2677"/>
      <c r="HO114" s="2677"/>
      <c r="HP114" s="2677"/>
      <c r="HQ114" s="2677"/>
      <c r="HR114" s="2676"/>
      <c r="HS114" s="2676"/>
      <c r="HT114" s="2676"/>
      <c r="HU114" s="2676"/>
      <c r="HV114" s="2677"/>
      <c r="HW114" s="2677"/>
      <c r="HX114" s="2677"/>
      <c r="HY114" s="2677"/>
      <c r="HZ114" s="2677"/>
      <c r="IA114" s="2677"/>
      <c r="IB114" s="2677"/>
      <c r="IC114" s="2677"/>
      <c r="ID114" s="2677"/>
    </row>
    <row r="115" spans="4:238" ht="4.1500000000000004" customHeight="1">
      <c r="F115" s="516"/>
      <c r="K115" s="2682"/>
      <c r="L115" s="2682"/>
      <c r="M115" s="2682"/>
      <c r="N115" s="2682"/>
      <c r="R115" s="516"/>
      <c r="T115" s="516"/>
      <c r="AQ115" s="539"/>
      <c r="AR115" s="540"/>
      <c r="BP115" s="539"/>
      <c r="BQ115" s="540"/>
      <c r="CN115" s="517"/>
      <c r="CO115" s="663"/>
      <c r="CP115" s="1586"/>
      <c r="CQ115" s="662"/>
      <c r="CR115" s="662"/>
      <c r="CS115" s="662"/>
      <c r="CT115" s="2684"/>
      <c r="CU115" s="2684"/>
      <c r="CV115" s="2684"/>
      <c r="CW115" s="2684"/>
      <c r="CX115" s="662"/>
      <c r="CY115" s="662"/>
      <c r="CZ115" s="662"/>
      <c r="DA115" s="2684"/>
      <c r="DB115" s="2684"/>
      <c r="DC115" s="2684"/>
      <c r="DD115" s="2684"/>
      <c r="DQ115" s="506"/>
      <c r="DR115" s="506"/>
      <c r="DS115" s="506"/>
      <c r="DT115" s="506"/>
      <c r="DU115" s="506"/>
      <c r="DV115" s="495"/>
      <c r="DW115" s="495"/>
      <c r="DX115" s="495"/>
      <c r="DY115" s="495"/>
      <c r="DZ115" s="507"/>
      <c r="EA115" s="507"/>
      <c r="EB115" s="507"/>
      <c r="EC115" s="507"/>
      <c r="ED115" s="507"/>
      <c r="EE115" s="507"/>
      <c r="EF115" s="507"/>
      <c r="EG115" s="507"/>
      <c r="EH115" s="507"/>
      <c r="EI115" s="507"/>
      <c r="EJ115" s="507"/>
      <c r="EK115" s="495"/>
      <c r="EL115" s="495"/>
      <c r="EM115" s="495"/>
      <c r="EN115" s="495"/>
      <c r="EO115" s="507"/>
      <c r="EP115" s="2663">
        <f>SUM(EP96:FJ98)</f>
        <v>0.89999999999999991</v>
      </c>
      <c r="EQ115" s="2664"/>
      <c r="ER115" s="2664"/>
      <c r="ES115" s="2664"/>
      <c r="ET115" s="2664"/>
      <c r="EU115" s="2664"/>
      <c r="EV115" s="2664"/>
      <c r="EW115" s="2664"/>
      <c r="EX115" s="2664"/>
      <c r="EY115" s="2664"/>
      <c r="EZ115" s="2664"/>
      <c r="FA115" s="2664"/>
      <c r="FB115" s="2664"/>
      <c r="FC115" s="2664"/>
      <c r="FD115" s="2664"/>
      <c r="FE115" s="2664"/>
      <c r="FF115" s="2664"/>
      <c r="FG115" s="2664"/>
      <c r="FH115" s="2664"/>
      <c r="FI115" s="2664"/>
      <c r="FJ115" s="2665"/>
      <c r="FK115" s="495"/>
      <c r="FL115" s="495"/>
      <c r="FM115" s="495"/>
      <c r="FN115" s="495"/>
      <c r="FO115" s="495"/>
      <c r="FP115" s="495"/>
      <c r="FQ115" s="495"/>
      <c r="FR115" s="495"/>
      <c r="GF115" s="2676" t="s">
        <v>1953</v>
      </c>
      <c r="GG115" s="2676"/>
      <c r="GH115" s="2676"/>
      <c r="GI115" s="2676"/>
      <c r="GJ115" s="2676"/>
      <c r="GK115" s="2676"/>
      <c r="GL115" s="2676"/>
      <c r="GM115" s="2676"/>
      <c r="GN115" s="2676"/>
      <c r="GO115" s="2676"/>
      <c r="GP115" s="2676"/>
      <c r="GQ115" s="2676"/>
      <c r="GR115" s="2678"/>
      <c r="GS115" s="2678"/>
      <c r="GT115" s="2678"/>
      <c r="GU115" s="2678"/>
      <c r="GV115" s="2678"/>
      <c r="GW115" s="2678"/>
      <c r="GX115" s="2678"/>
      <c r="GY115" s="2678"/>
      <c r="GZ115" s="2678"/>
      <c r="HA115" s="2678"/>
      <c r="HB115" s="2678"/>
      <c r="HC115" s="2676" t="s">
        <v>901</v>
      </c>
      <c r="HD115" s="2676"/>
      <c r="HE115" s="2676"/>
      <c r="HF115" s="2676"/>
      <c r="HG115" s="2677"/>
      <c r="HH115" s="2677"/>
      <c r="HI115" s="2677"/>
      <c r="HJ115" s="2677"/>
      <c r="HK115" s="2677"/>
      <c r="HL115" s="2677"/>
      <c r="HM115" s="2677"/>
      <c r="HN115" s="2677"/>
      <c r="HO115" s="2677"/>
      <c r="HP115" s="2677"/>
      <c r="HQ115" s="2677"/>
      <c r="HR115" s="2676" t="s">
        <v>901</v>
      </c>
      <c r="HS115" s="2676"/>
      <c r="HT115" s="2676"/>
      <c r="HU115" s="2676"/>
      <c r="HV115" s="2677"/>
      <c r="HW115" s="2677"/>
      <c r="HX115" s="2677"/>
      <c r="HY115" s="2677"/>
      <c r="HZ115" s="2677"/>
      <c r="IA115" s="2677"/>
      <c r="IB115" s="2677"/>
      <c r="IC115" s="2677"/>
      <c r="ID115" s="2677"/>
    </row>
    <row r="116" spans="4:238" ht="4.1500000000000004" customHeight="1">
      <c r="F116" s="516"/>
      <c r="K116" s="2682"/>
      <c r="L116" s="2682"/>
      <c r="M116" s="2682"/>
      <c r="N116" s="2682"/>
      <c r="R116" s="516"/>
      <c r="T116" s="516"/>
      <c r="AQ116" s="539"/>
      <c r="AR116" s="540"/>
      <c r="BP116" s="539"/>
      <c r="BQ116" s="540"/>
      <c r="CN116" s="517"/>
      <c r="CO116" s="663"/>
      <c r="CP116" s="1586"/>
      <c r="CQ116" s="662"/>
      <c r="CR116" s="662"/>
      <c r="CS116" s="662"/>
      <c r="CT116" s="2684"/>
      <c r="CU116" s="2684"/>
      <c r="CV116" s="2684"/>
      <c r="CW116" s="2684"/>
      <c r="CX116" s="662"/>
      <c r="CY116" s="662"/>
      <c r="CZ116" s="662"/>
      <c r="DA116" s="662"/>
      <c r="DB116" s="662"/>
      <c r="DC116" s="663"/>
      <c r="DD116" s="662"/>
      <c r="DQ116" s="506"/>
      <c r="DR116" s="506"/>
      <c r="DS116" s="506"/>
      <c r="DT116" s="506"/>
      <c r="DU116" s="506"/>
      <c r="DV116" s="495"/>
      <c r="DW116" s="495"/>
      <c r="DX116" s="495"/>
      <c r="DY116" s="495"/>
      <c r="DZ116" s="507"/>
      <c r="EA116" s="507"/>
      <c r="EB116" s="507"/>
      <c r="EC116" s="507"/>
      <c r="ED116" s="507"/>
      <c r="EE116" s="507"/>
      <c r="EF116" s="507"/>
      <c r="EG116" s="507"/>
      <c r="EH116" s="507"/>
      <c r="EI116" s="507"/>
      <c r="EJ116" s="507"/>
      <c r="EK116" s="495"/>
      <c r="EL116" s="495"/>
      <c r="EM116" s="495"/>
      <c r="EN116" s="495"/>
      <c r="EO116" s="507"/>
      <c r="EP116" s="2663"/>
      <c r="EQ116" s="2664"/>
      <c r="ER116" s="2664"/>
      <c r="ES116" s="2664"/>
      <c r="ET116" s="2664"/>
      <c r="EU116" s="2664"/>
      <c r="EV116" s="2664"/>
      <c r="EW116" s="2664"/>
      <c r="EX116" s="2664"/>
      <c r="EY116" s="2664"/>
      <c r="EZ116" s="2664"/>
      <c r="FA116" s="2664"/>
      <c r="FB116" s="2664"/>
      <c r="FC116" s="2664"/>
      <c r="FD116" s="2664"/>
      <c r="FE116" s="2664"/>
      <c r="FF116" s="2664"/>
      <c r="FG116" s="2664"/>
      <c r="FH116" s="2664"/>
      <c r="FI116" s="2664"/>
      <c r="FJ116" s="2665"/>
      <c r="FK116" s="495"/>
      <c r="FL116" s="495"/>
      <c r="FM116" s="495"/>
      <c r="FN116" s="495"/>
      <c r="FO116" s="495"/>
      <c r="FP116" s="495"/>
      <c r="FQ116" s="495"/>
      <c r="FR116" s="495"/>
      <c r="GF116" s="2676"/>
      <c r="GG116" s="2676"/>
      <c r="GH116" s="2676"/>
      <c r="GI116" s="2676"/>
      <c r="GJ116" s="2676"/>
      <c r="GK116" s="2676"/>
      <c r="GL116" s="2676"/>
      <c r="GM116" s="2676"/>
      <c r="GN116" s="2676"/>
      <c r="GO116" s="2676"/>
      <c r="GP116" s="2676"/>
      <c r="GQ116" s="2676"/>
      <c r="GR116" s="2678"/>
      <c r="GS116" s="2678"/>
      <c r="GT116" s="2678"/>
      <c r="GU116" s="2678"/>
      <c r="GV116" s="2678"/>
      <c r="GW116" s="2678"/>
      <c r="GX116" s="2678"/>
      <c r="GY116" s="2678"/>
      <c r="GZ116" s="2678"/>
      <c r="HA116" s="2678"/>
      <c r="HB116" s="2678"/>
      <c r="HC116" s="2676"/>
      <c r="HD116" s="2676"/>
      <c r="HE116" s="2676"/>
      <c r="HF116" s="2676"/>
      <c r="HG116" s="2677"/>
      <c r="HH116" s="2677"/>
      <c r="HI116" s="2677"/>
      <c r="HJ116" s="2677"/>
      <c r="HK116" s="2677"/>
      <c r="HL116" s="2677"/>
      <c r="HM116" s="2677"/>
      <c r="HN116" s="2677"/>
      <c r="HO116" s="2677"/>
      <c r="HP116" s="2677"/>
      <c r="HQ116" s="2677"/>
      <c r="HR116" s="2676"/>
      <c r="HS116" s="2676"/>
      <c r="HT116" s="2676"/>
      <c r="HU116" s="2676"/>
      <c r="HV116" s="2677"/>
      <c r="HW116" s="2677"/>
      <c r="HX116" s="2677"/>
      <c r="HY116" s="2677"/>
      <c r="HZ116" s="2677"/>
      <c r="IA116" s="2677"/>
      <c r="IB116" s="2677"/>
      <c r="IC116" s="2677"/>
      <c r="ID116" s="2677"/>
    </row>
    <row r="117" spans="4:238" ht="4.1500000000000004" customHeight="1">
      <c r="F117" s="516"/>
      <c r="M117" s="516"/>
      <c r="R117" s="516"/>
      <c r="T117" s="516"/>
      <c r="AQ117" s="539"/>
      <c r="AR117" s="540"/>
      <c r="BP117" s="539"/>
      <c r="BQ117" s="540"/>
      <c r="CN117" s="517"/>
      <c r="CO117" s="666"/>
      <c r="CP117" s="1587"/>
      <c r="CQ117" s="662"/>
      <c r="CR117" s="662"/>
      <c r="CS117" s="662"/>
      <c r="CT117" s="2684"/>
      <c r="CU117" s="2684"/>
      <c r="CV117" s="2684"/>
      <c r="CW117" s="2684"/>
      <c r="CX117" s="662"/>
      <c r="CY117" s="662"/>
      <c r="CZ117" s="662"/>
      <c r="DA117" s="662"/>
      <c r="DB117" s="662"/>
      <c r="DC117" s="663"/>
      <c r="DD117" s="662"/>
      <c r="DQ117" s="506"/>
      <c r="DR117" s="506"/>
      <c r="DS117" s="506"/>
      <c r="DT117" s="506"/>
      <c r="DU117" s="506"/>
      <c r="DV117" s="495"/>
      <c r="DW117" s="495"/>
      <c r="DX117" s="495"/>
      <c r="DY117" s="495"/>
      <c r="DZ117" s="507"/>
      <c r="EA117" s="507"/>
      <c r="EB117" s="507"/>
      <c r="EC117" s="507"/>
      <c r="ED117" s="507"/>
      <c r="EE117" s="507"/>
      <c r="EF117" s="507"/>
      <c r="EG117" s="507"/>
      <c r="EH117" s="507"/>
      <c r="EI117" s="507"/>
      <c r="EJ117" s="507"/>
      <c r="EK117" s="495"/>
      <c r="EL117" s="495"/>
      <c r="EM117" s="495"/>
      <c r="EN117" s="495"/>
      <c r="EO117" s="507"/>
      <c r="EP117" s="2663"/>
      <c r="EQ117" s="2664"/>
      <c r="ER117" s="2664"/>
      <c r="ES117" s="2664"/>
      <c r="ET117" s="2664"/>
      <c r="EU117" s="2664"/>
      <c r="EV117" s="2664"/>
      <c r="EW117" s="2664"/>
      <c r="EX117" s="2664"/>
      <c r="EY117" s="2664"/>
      <c r="EZ117" s="2664"/>
      <c r="FA117" s="2664"/>
      <c r="FB117" s="2664"/>
      <c r="FC117" s="2664"/>
      <c r="FD117" s="2664"/>
      <c r="FE117" s="2664"/>
      <c r="FF117" s="2664"/>
      <c r="FG117" s="2664"/>
      <c r="FH117" s="2664"/>
      <c r="FI117" s="2664"/>
      <c r="FJ117" s="2665"/>
      <c r="FK117" s="495"/>
      <c r="FL117" s="495"/>
      <c r="FM117" s="495"/>
      <c r="FN117" s="495"/>
      <c r="FO117" s="495"/>
      <c r="FP117" s="495"/>
      <c r="FQ117" s="495"/>
      <c r="FR117" s="495"/>
      <c r="GF117" s="2676"/>
      <c r="GG117" s="2676"/>
      <c r="GH117" s="2676"/>
      <c r="GI117" s="2676"/>
      <c r="GJ117" s="2676"/>
      <c r="GK117" s="2676"/>
      <c r="GL117" s="2676"/>
      <c r="GM117" s="2676"/>
      <c r="GN117" s="2676"/>
      <c r="GO117" s="2676"/>
      <c r="GP117" s="2676"/>
      <c r="GQ117" s="2676"/>
      <c r="GR117" s="2678"/>
      <c r="GS117" s="2678"/>
      <c r="GT117" s="2678"/>
      <c r="GU117" s="2678"/>
      <c r="GV117" s="2678"/>
      <c r="GW117" s="2678"/>
      <c r="GX117" s="2678"/>
      <c r="GY117" s="2678"/>
      <c r="GZ117" s="2678"/>
      <c r="HA117" s="2678"/>
      <c r="HB117" s="2678"/>
      <c r="HC117" s="2676"/>
      <c r="HD117" s="2676"/>
      <c r="HE117" s="2676"/>
      <c r="HF117" s="2676"/>
      <c r="HG117" s="2677"/>
      <c r="HH117" s="2677"/>
      <c r="HI117" s="2677"/>
      <c r="HJ117" s="2677"/>
      <c r="HK117" s="2677"/>
      <c r="HL117" s="2677"/>
      <c r="HM117" s="2677"/>
      <c r="HN117" s="2677"/>
      <c r="HO117" s="2677"/>
      <c r="HP117" s="2677"/>
      <c r="HQ117" s="2677"/>
      <c r="HR117" s="2676"/>
      <c r="HS117" s="2676"/>
      <c r="HT117" s="2676"/>
      <c r="HU117" s="2676"/>
      <c r="HV117" s="2677"/>
      <c r="HW117" s="2677"/>
      <c r="HX117" s="2677"/>
      <c r="HY117" s="2677"/>
      <c r="HZ117" s="2677"/>
      <c r="IA117" s="2677"/>
      <c r="IB117" s="2677"/>
      <c r="IC117" s="2677"/>
      <c r="ID117" s="2677"/>
    </row>
    <row r="118" spans="4:238" ht="4.1500000000000004" customHeight="1">
      <c r="F118" s="516"/>
      <c r="M118" s="516"/>
      <c r="R118" s="516"/>
      <c r="T118" s="516"/>
      <c r="AQ118" s="539"/>
      <c r="AR118" s="540"/>
      <c r="BP118" s="539"/>
      <c r="BQ118" s="540"/>
      <c r="CN118" s="517"/>
      <c r="CO118" s="662"/>
      <c r="CP118" s="664"/>
      <c r="CQ118" s="662"/>
      <c r="CR118" s="662"/>
      <c r="CS118" s="662"/>
      <c r="CT118" s="662"/>
      <c r="CU118" s="662"/>
      <c r="CV118" s="663"/>
      <c r="CW118" s="662"/>
      <c r="CX118" s="662"/>
      <c r="CY118" s="662"/>
      <c r="CZ118" s="662"/>
      <c r="DA118" s="662"/>
      <c r="DB118" s="662"/>
      <c r="DC118" s="663"/>
      <c r="DD118" s="662"/>
      <c r="GF118" s="2676" t="s">
        <v>3009</v>
      </c>
      <c r="GG118" s="2676"/>
      <c r="GH118" s="2676"/>
      <c r="GI118" s="2676"/>
      <c r="GJ118" s="2676"/>
      <c r="GK118" s="2676"/>
      <c r="GL118" s="2676"/>
      <c r="GM118" s="2676"/>
      <c r="GN118" s="2676"/>
      <c r="GO118" s="2676"/>
      <c r="GP118" s="2676"/>
      <c r="GQ118" s="2676"/>
      <c r="GR118" s="2678"/>
      <c r="GS118" s="2678"/>
      <c r="GT118" s="2678"/>
      <c r="GU118" s="2678"/>
      <c r="GV118" s="2678"/>
      <c r="GW118" s="2678"/>
      <c r="GX118" s="2678"/>
      <c r="GY118" s="2678"/>
      <c r="GZ118" s="2678"/>
      <c r="HA118" s="2678"/>
      <c r="HB118" s="2678"/>
      <c r="HC118" s="2676" t="s">
        <v>901</v>
      </c>
      <c r="HD118" s="2676"/>
      <c r="HE118" s="2676"/>
      <c r="HF118" s="2676"/>
      <c r="HG118" s="2677"/>
      <c r="HH118" s="2677"/>
      <c r="HI118" s="2677"/>
      <c r="HJ118" s="2677"/>
      <c r="HK118" s="2677"/>
      <c r="HL118" s="2677"/>
      <c r="HM118" s="2677"/>
      <c r="HN118" s="2677"/>
      <c r="HO118" s="2677"/>
      <c r="HP118" s="2677"/>
      <c r="HQ118" s="2677"/>
      <c r="HR118" s="2676" t="s">
        <v>901</v>
      </c>
      <c r="HS118" s="2676"/>
      <c r="HT118" s="2676"/>
      <c r="HU118" s="2676"/>
      <c r="HV118" s="2677"/>
      <c r="HW118" s="2677"/>
      <c r="HX118" s="2677"/>
      <c r="HY118" s="2677"/>
      <c r="HZ118" s="2677"/>
      <c r="IA118" s="2677"/>
      <c r="IB118" s="2677"/>
      <c r="IC118" s="2677"/>
      <c r="ID118" s="2677"/>
    </row>
    <row r="119" spans="4:238" ht="4.1500000000000004" customHeight="1">
      <c r="F119" s="516"/>
      <c r="M119" s="516"/>
      <c r="R119" s="516"/>
      <c r="T119" s="516"/>
      <c r="AQ119" s="539"/>
      <c r="AR119" s="540"/>
      <c r="BP119" s="539"/>
      <c r="BQ119" s="540"/>
      <c r="CN119" s="517"/>
      <c r="CO119" s="662"/>
      <c r="CP119" s="664"/>
      <c r="CQ119" s="662"/>
      <c r="CR119" s="662"/>
      <c r="CS119" s="662"/>
      <c r="CT119" s="662"/>
      <c r="CU119" s="662"/>
      <c r="CV119" s="663"/>
      <c r="CW119" s="662"/>
      <c r="CX119" s="662"/>
      <c r="CY119" s="662"/>
      <c r="CZ119" s="662"/>
      <c r="DA119" s="662"/>
      <c r="DB119" s="662"/>
      <c r="DC119" s="663"/>
      <c r="DD119" s="662"/>
      <c r="GF119" s="2676"/>
      <c r="GG119" s="2676"/>
      <c r="GH119" s="2676"/>
      <c r="GI119" s="2676"/>
      <c r="GJ119" s="2676"/>
      <c r="GK119" s="2676"/>
      <c r="GL119" s="2676"/>
      <c r="GM119" s="2676"/>
      <c r="GN119" s="2676"/>
      <c r="GO119" s="2676"/>
      <c r="GP119" s="2676"/>
      <c r="GQ119" s="2676"/>
      <c r="GR119" s="2678"/>
      <c r="GS119" s="2678"/>
      <c r="GT119" s="2678"/>
      <c r="GU119" s="2678"/>
      <c r="GV119" s="2678"/>
      <c r="GW119" s="2678"/>
      <c r="GX119" s="2678"/>
      <c r="GY119" s="2678"/>
      <c r="GZ119" s="2678"/>
      <c r="HA119" s="2678"/>
      <c r="HB119" s="2678"/>
      <c r="HC119" s="2676"/>
      <c r="HD119" s="2676"/>
      <c r="HE119" s="2676"/>
      <c r="HF119" s="2676"/>
      <c r="HG119" s="2677"/>
      <c r="HH119" s="2677"/>
      <c r="HI119" s="2677"/>
      <c r="HJ119" s="2677"/>
      <c r="HK119" s="2677"/>
      <c r="HL119" s="2677"/>
      <c r="HM119" s="2677"/>
      <c r="HN119" s="2677"/>
      <c r="HO119" s="2677"/>
      <c r="HP119" s="2677"/>
      <c r="HQ119" s="2677"/>
      <c r="HR119" s="2676"/>
      <c r="HS119" s="2676"/>
      <c r="HT119" s="2676"/>
      <c r="HU119" s="2676"/>
      <c r="HV119" s="2677"/>
      <c r="HW119" s="2677"/>
      <c r="HX119" s="2677"/>
      <c r="HY119" s="2677"/>
      <c r="HZ119" s="2677"/>
      <c r="IA119" s="2677"/>
      <c r="IB119" s="2677"/>
      <c r="IC119" s="2677"/>
      <c r="ID119" s="2677"/>
    </row>
    <row r="120" spans="4:238" ht="4.1500000000000004" customHeight="1">
      <c r="F120" s="516"/>
      <c r="M120" s="516"/>
      <c r="R120" s="516"/>
      <c r="T120" s="516"/>
      <c r="AQ120" s="539"/>
      <c r="AR120" s="540"/>
      <c r="BP120" s="539"/>
      <c r="BQ120" s="540"/>
      <c r="CN120" s="517"/>
      <c r="CO120" s="662"/>
      <c r="CP120" s="664"/>
      <c r="CQ120" s="662"/>
      <c r="CR120" s="662"/>
      <c r="CS120" s="662"/>
      <c r="CT120" s="662"/>
      <c r="CU120" s="662"/>
      <c r="CV120" s="663"/>
      <c r="CW120" s="662"/>
      <c r="CX120" s="662"/>
      <c r="CY120" s="662"/>
      <c r="CZ120" s="662"/>
      <c r="DA120" s="662"/>
      <c r="DB120" s="662"/>
      <c r="DC120" s="663"/>
      <c r="DD120" s="662"/>
      <c r="GF120" s="2676"/>
      <c r="GG120" s="2676"/>
      <c r="GH120" s="2676"/>
      <c r="GI120" s="2676"/>
      <c r="GJ120" s="2676"/>
      <c r="GK120" s="2676"/>
      <c r="GL120" s="2676"/>
      <c r="GM120" s="2676"/>
      <c r="GN120" s="2676"/>
      <c r="GO120" s="2676"/>
      <c r="GP120" s="2676"/>
      <c r="GQ120" s="2676"/>
      <c r="GR120" s="2678"/>
      <c r="GS120" s="2678"/>
      <c r="GT120" s="2678"/>
      <c r="GU120" s="2678"/>
      <c r="GV120" s="2678"/>
      <c r="GW120" s="2678"/>
      <c r="GX120" s="2678"/>
      <c r="GY120" s="2678"/>
      <c r="GZ120" s="2678"/>
      <c r="HA120" s="2678"/>
      <c r="HB120" s="2678"/>
      <c r="HC120" s="2676"/>
      <c r="HD120" s="2676"/>
      <c r="HE120" s="2676"/>
      <c r="HF120" s="2676"/>
      <c r="HG120" s="2677"/>
      <c r="HH120" s="2677"/>
      <c r="HI120" s="2677"/>
      <c r="HJ120" s="2677"/>
      <c r="HK120" s="2677"/>
      <c r="HL120" s="2677"/>
      <c r="HM120" s="2677"/>
      <c r="HN120" s="2677"/>
      <c r="HO120" s="2677"/>
      <c r="HP120" s="2677"/>
      <c r="HQ120" s="2677"/>
      <c r="HR120" s="2676"/>
      <c r="HS120" s="2676"/>
      <c r="HT120" s="2676"/>
      <c r="HU120" s="2676"/>
      <c r="HV120" s="2677"/>
      <c r="HW120" s="2677"/>
      <c r="HX120" s="2677"/>
      <c r="HY120" s="2677"/>
      <c r="HZ120" s="2677"/>
      <c r="IA120" s="2677"/>
      <c r="IB120" s="2677"/>
      <c r="IC120" s="2677"/>
      <c r="ID120" s="2677"/>
    </row>
    <row r="121" spans="4:238" ht="4.1500000000000004" customHeight="1">
      <c r="F121" s="516"/>
      <c r="M121" s="516"/>
      <c r="R121" s="516"/>
      <c r="T121" s="516"/>
      <c r="AQ121" s="539"/>
      <c r="AR121" s="540"/>
      <c r="BP121" s="539"/>
      <c r="BQ121" s="540"/>
      <c r="CN121" s="517"/>
      <c r="CO121" s="662"/>
      <c r="CP121" s="664"/>
      <c r="CQ121" s="662"/>
      <c r="CR121" s="662"/>
      <c r="CS121" s="662"/>
      <c r="CT121" s="662"/>
      <c r="CU121" s="662"/>
      <c r="CV121" s="663"/>
      <c r="CW121" s="662"/>
      <c r="CX121" s="662"/>
      <c r="CY121" s="662"/>
      <c r="CZ121" s="662"/>
      <c r="DA121" s="662"/>
      <c r="DB121" s="662"/>
      <c r="DC121" s="663"/>
      <c r="DD121" s="662"/>
      <c r="GF121" s="2676" t="s">
        <v>1954</v>
      </c>
      <c r="GG121" s="2676"/>
      <c r="GH121" s="2676"/>
      <c r="GI121" s="2676"/>
      <c r="GJ121" s="2676"/>
      <c r="GK121" s="2676"/>
      <c r="GL121" s="2676"/>
      <c r="GM121" s="2676"/>
      <c r="GN121" s="2676"/>
      <c r="GO121" s="2676"/>
      <c r="GP121" s="2676"/>
      <c r="GQ121" s="2676"/>
      <c r="GR121" s="2678"/>
      <c r="GS121" s="2678"/>
      <c r="GT121" s="2678"/>
      <c r="GU121" s="2678"/>
      <c r="GV121" s="2678"/>
      <c r="GW121" s="2678"/>
      <c r="GX121" s="2678"/>
      <c r="GY121" s="2678"/>
      <c r="GZ121" s="2678"/>
      <c r="HA121" s="2678"/>
      <c r="HB121" s="2678"/>
      <c r="HC121" s="2676" t="s">
        <v>901</v>
      </c>
      <c r="HD121" s="2676"/>
      <c r="HE121" s="2676"/>
      <c r="HF121" s="2676"/>
      <c r="HG121" s="2677"/>
      <c r="HH121" s="2677"/>
      <c r="HI121" s="2677"/>
      <c r="HJ121" s="2677"/>
      <c r="HK121" s="2677"/>
      <c r="HL121" s="2677"/>
      <c r="HM121" s="2677"/>
      <c r="HN121" s="2677"/>
      <c r="HO121" s="2677"/>
      <c r="HP121" s="2677"/>
      <c r="HQ121" s="2677"/>
      <c r="HR121" s="2676" t="s">
        <v>901</v>
      </c>
      <c r="HS121" s="2676"/>
      <c r="HT121" s="2676"/>
      <c r="HU121" s="2676"/>
      <c r="HV121" s="2677"/>
      <c r="HW121" s="2677"/>
      <c r="HX121" s="2677"/>
      <c r="HY121" s="2677"/>
      <c r="HZ121" s="2677"/>
      <c r="IA121" s="2677"/>
      <c r="IB121" s="2677"/>
      <c r="IC121" s="2677"/>
      <c r="ID121" s="2677"/>
    </row>
    <row r="122" spans="4:238" ht="4.1500000000000004" customHeight="1">
      <c r="F122" s="516"/>
      <c r="M122" s="516"/>
      <c r="R122" s="516"/>
      <c r="T122" s="516"/>
      <c r="AQ122" s="541"/>
      <c r="AR122" s="542"/>
      <c r="BD122" s="532"/>
      <c r="BE122" s="532"/>
      <c r="BP122" s="541"/>
      <c r="BQ122" s="542"/>
      <c r="CN122" s="517"/>
      <c r="CO122" s="662"/>
      <c r="CP122" s="664"/>
      <c r="CQ122" s="662"/>
      <c r="CR122" s="662"/>
      <c r="CS122" s="662"/>
      <c r="CT122" s="662"/>
      <c r="CU122" s="662"/>
      <c r="CV122" s="663"/>
      <c r="CW122" s="662"/>
      <c r="CX122" s="662"/>
      <c r="CY122" s="662"/>
      <c r="CZ122" s="662"/>
      <c r="DA122" s="662"/>
      <c r="DB122" s="662"/>
      <c r="DC122" s="663"/>
      <c r="DD122" s="662"/>
      <c r="GF122" s="2676"/>
      <c r="GG122" s="2676"/>
      <c r="GH122" s="2676"/>
      <c r="GI122" s="2676"/>
      <c r="GJ122" s="2676"/>
      <c r="GK122" s="2676"/>
      <c r="GL122" s="2676"/>
      <c r="GM122" s="2676"/>
      <c r="GN122" s="2676"/>
      <c r="GO122" s="2676"/>
      <c r="GP122" s="2676"/>
      <c r="GQ122" s="2676"/>
      <c r="GR122" s="2678"/>
      <c r="GS122" s="2678"/>
      <c r="GT122" s="2678"/>
      <c r="GU122" s="2678"/>
      <c r="GV122" s="2678"/>
      <c r="GW122" s="2678"/>
      <c r="GX122" s="2678"/>
      <c r="GY122" s="2678"/>
      <c r="GZ122" s="2678"/>
      <c r="HA122" s="2678"/>
      <c r="HB122" s="2678"/>
      <c r="HC122" s="2676"/>
      <c r="HD122" s="2676"/>
      <c r="HE122" s="2676"/>
      <c r="HF122" s="2676"/>
      <c r="HG122" s="2677"/>
      <c r="HH122" s="2677"/>
      <c r="HI122" s="2677"/>
      <c r="HJ122" s="2677"/>
      <c r="HK122" s="2677"/>
      <c r="HL122" s="2677"/>
      <c r="HM122" s="2677"/>
      <c r="HN122" s="2677"/>
      <c r="HO122" s="2677"/>
      <c r="HP122" s="2677"/>
      <c r="HQ122" s="2677"/>
      <c r="HR122" s="2676"/>
      <c r="HS122" s="2676"/>
      <c r="HT122" s="2676"/>
      <c r="HU122" s="2676"/>
      <c r="HV122" s="2677"/>
      <c r="HW122" s="2677"/>
      <c r="HX122" s="2677"/>
      <c r="HY122" s="2677"/>
      <c r="HZ122" s="2677"/>
      <c r="IA122" s="2677"/>
      <c r="IB122" s="2677"/>
      <c r="IC122" s="2677"/>
      <c r="ID122" s="2677"/>
    </row>
    <row r="123" spans="4:238" ht="4.1500000000000004" customHeight="1" thickBot="1">
      <c r="D123" s="532"/>
      <c r="E123" s="532"/>
      <c r="F123" s="530"/>
      <c r="G123" s="532"/>
      <c r="M123" s="516"/>
      <c r="R123" s="519"/>
      <c r="S123" s="520"/>
      <c r="T123" s="530"/>
      <c r="U123" s="532"/>
      <c r="V123" s="532"/>
      <c r="W123" s="532"/>
      <c r="X123" s="532"/>
      <c r="Y123" s="532"/>
      <c r="Z123" s="532"/>
      <c r="AA123" s="532"/>
      <c r="AB123" s="531"/>
      <c r="AC123" s="514"/>
      <c r="AD123" s="514"/>
      <c r="AE123" s="514"/>
      <c r="AF123" s="514"/>
      <c r="AG123" s="514"/>
      <c r="AH123" s="514"/>
      <c r="AI123" s="514"/>
      <c r="AJ123" s="514"/>
      <c r="AK123" s="514"/>
      <c r="AL123" s="514"/>
      <c r="AM123" s="514"/>
      <c r="AN123" s="514"/>
      <c r="AO123" s="514"/>
      <c r="AP123" s="514"/>
      <c r="AQ123" s="520"/>
      <c r="AR123" s="520"/>
      <c r="AS123" s="514"/>
      <c r="AT123" s="514"/>
      <c r="AU123" s="514"/>
      <c r="AV123" s="514"/>
      <c r="AW123" s="514"/>
      <c r="AX123" s="514"/>
      <c r="AY123" s="515"/>
      <c r="AZ123" s="514"/>
      <c r="BA123" s="514"/>
      <c r="BB123" s="514"/>
      <c r="BC123" s="514"/>
      <c r="BD123" s="514"/>
      <c r="BE123" s="514"/>
      <c r="BF123" s="514"/>
      <c r="BG123" s="514"/>
      <c r="BH123" s="514"/>
      <c r="BI123" s="518"/>
      <c r="BJ123" s="514"/>
      <c r="BK123" s="514"/>
      <c r="BL123" s="514"/>
      <c r="BM123" s="514"/>
      <c r="BN123" s="514"/>
      <c r="BO123" s="514"/>
      <c r="BP123" s="520"/>
      <c r="BQ123" s="520"/>
      <c r="BR123" s="514"/>
      <c r="BS123" s="514"/>
      <c r="BT123" s="514"/>
      <c r="BU123" s="514"/>
      <c r="BV123" s="514"/>
      <c r="BW123" s="514"/>
      <c r="BX123" s="514"/>
      <c r="BY123" s="514"/>
      <c r="BZ123" s="514"/>
      <c r="CA123" s="514"/>
      <c r="CB123" s="514"/>
      <c r="CC123" s="514"/>
      <c r="CD123" s="514"/>
      <c r="CE123" s="514"/>
      <c r="CF123" s="530"/>
      <c r="CG123" s="532"/>
      <c r="CH123" s="532"/>
      <c r="CI123" s="532"/>
      <c r="CJ123" s="532"/>
      <c r="CK123" s="532"/>
      <c r="CL123" s="532"/>
      <c r="CM123" s="532"/>
      <c r="CN123" s="531"/>
      <c r="CO123" s="520"/>
      <c r="CP123" s="521"/>
      <c r="CQ123" s="662"/>
      <c r="CR123" s="662"/>
      <c r="CS123" s="662"/>
      <c r="CT123" s="665"/>
      <c r="CU123" s="665"/>
      <c r="CV123" s="666"/>
      <c r="CW123" s="665"/>
      <c r="CX123" s="662"/>
      <c r="CY123" s="662"/>
      <c r="CZ123" s="662"/>
      <c r="DA123" s="662"/>
      <c r="DB123" s="662"/>
      <c r="DC123" s="663"/>
      <c r="DD123" s="662"/>
      <c r="GF123" s="2676"/>
      <c r="GG123" s="2676"/>
      <c r="GH123" s="2676"/>
      <c r="GI123" s="2676"/>
      <c r="GJ123" s="2676"/>
      <c r="GK123" s="2676"/>
      <c r="GL123" s="2676"/>
      <c r="GM123" s="2676"/>
      <c r="GN123" s="2676"/>
      <c r="GO123" s="2676"/>
      <c r="GP123" s="2676"/>
      <c r="GQ123" s="2676"/>
      <c r="GR123" s="2678"/>
      <c r="GS123" s="2678"/>
      <c r="GT123" s="2678"/>
      <c r="GU123" s="2678"/>
      <c r="GV123" s="2678"/>
      <c r="GW123" s="2678"/>
      <c r="GX123" s="2678"/>
      <c r="GY123" s="2678"/>
      <c r="GZ123" s="2678"/>
      <c r="HA123" s="2678"/>
      <c r="HB123" s="2678"/>
      <c r="HC123" s="2676"/>
      <c r="HD123" s="2676"/>
      <c r="HE123" s="2676"/>
      <c r="HF123" s="2676"/>
      <c r="HG123" s="2677"/>
      <c r="HH123" s="2677"/>
      <c r="HI123" s="2677"/>
      <c r="HJ123" s="2677"/>
      <c r="HK123" s="2677"/>
      <c r="HL123" s="2677"/>
      <c r="HM123" s="2677"/>
      <c r="HN123" s="2677"/>
      <c r="HO123" s="2677"/>
      <c r="HP123" s="2677"/>
      <c r="HQ123" s="2677"/>
      <c r="HR123" s="2676"/>
      <c r="HS123" s="2676"/>
      <c r="HT123" s="2676"/>
      <c r="HU123" s="2676"/>
      <c r="HV123" s="2677"/>
      <c r="HW123" s="2677"/>
      <c r="HX123" s="2677"/>
      <c r="HY123" s="2677"/>
      <c r="HZ123" s="2677"/>
      <c r="IA123" s="2677"/>
      <c r="IB123" s="2677"/>
      <c r="IC123" s="2677"/>
      <c r="ID123" s="2677"/>
    </row>
    <row r="124" spans="4:238" ht="4.1500000000000004" customHeight="1" thickTop="1">
      <c r="M124" s="516"/>
      <c r="R124" s="527"/>
      <c r="S124" s="528"/>
      <c r="T124" s="516"/>
      <c r="AB124" s="517"/>
      <c r="AC124" s="532"/>
      <c r="AD124" s="532"/>
      <c r="AE124" s="532"/>
      <c r="AF124" s="532"/>
      <c r="AG124" s="532"/>
      <c r="AH124" s="532"/>
      <c r="AI124" s="532"/>
      <c r="AJ124" s="532"/>
      <c r="AK124" s="532"/>
      <c r="AL124" s="532"/>
      <c r="AM124" s="532"/>
      <c r="AN124" s="532"/>
      <c r="AO124" s="532"/>
      <c r="AP124" s="532"/>
      <c r="AQ124" s="528"/>
      <c r="AR124" s="528"/>
      <c r="AS124" s="532"/>
      <c r="AT124" s="532"/>
      <c r="AU124" s="532"/>
      <c r="AV124" s="532"/>
      <c r="AW124" s="532"/>
      <c r="AX124" s="532"/>
      <c r="AY124" s="1596"/>
      <c r="AZ124" s="1597"/>
      <c r="BA124" s="1597"/>
      <c r="BB124" s="1597"/>
      <c r="BC124" s="1597"/>
      <c r="BD124" s="1597"/>
      <c r="BE124" s="1597"/>
      <c r="BF124" s="1597"/>
      <c r="BG124" s="1597"/>
      <c r="BH124" s="1597"/>
      <c r="BI124" s="1598"/>
      <c r="BJ124" s="532"/>
      <c r="BK124" s="532"/>
      <c r="BL124" s="532"/>
      <c r="BM124" s="532"/>
      <c r="BN124" s="532"/>
      <c r="BO124" s="532"/>
      <c r="BP124" s="528"/>
      <c r="BQ124" s="528"/>
      <c r="BR124" s="532"/>
      <c r="BS124" s="532"/>
      <c r="BT124" s="532"/>
      <c r="BU124" s="532"/>
      <c r="BV124" s="532"/>
      <c r="BW124" s="532"/>
      <c r="BX124" s="532"/>
      <c r="BY124" s="532"/>
      <c r="BZ124" s="532"/>
      <c r="CA124" s="532"/>
      <c r="CB124" s="532"/>
      <c r="CC124" s="532"/>
      <c r="CD124" s="532"/>
      <c r="CE124" s="532"/>
      <c r="CF124" s="516"/>
      <c r="CN124" s="517"/>
      <c r="CO124" s="528"/>
      <c r="CP124" s="529"/>
      <c r="CQ124" s="662"/>
      <c r="CR124" s="662"/>
      <c r="CS124" s="662"/>
      <c r="CT124" s="667"/>
      <c r="CU124" s="667"/>
      <c r="CV124" s="668"/>
      <c r="CW124" s="667"/>
      <c r="CX124" s="662"/>
      <c r="CY124" s="662"/>
      <c r="CZ124" s="662"/>
      <c r="DA124" s="662"/>
      <c r="DB124" s="662"/>
      <c r="DC124" s="663"/>
      <c r="DD124" s="662"/>
      <c r="GF124" s="2676" t="s">
        <v>1877</v>
      </c>
      <c r="GG124" s="2676"/>
      <c r="GH124" s="2676"/>
      <c r="GI124" s="2676"/>
      <c r="GJ124" s="2676"/>
      <c r="GK124" s="2676"/>
      <c r="GL124" s="2676"/>
      <c r="GM124" s="2676"/>
      <c r="GN124" s="2676"/>
      <c r="GO124" s="2676"/>
      <c r="GP124" s="2676"/>
      <c r="GQ124" s="2676"/>
      <c r="GR124" s="2678">
        <v>3</v>
      </c>
      <c r="GS124" s="2678"/>
      <c r="GT124" s="2678"/>
      <c r="GU124" s="2678"/>
      <c r="GV124" s="2678"/>
      <c r="GW124" s="2678"/>
      <c r="GX124" s="2678"/>
      <c r="GY124" s="2678"/>
      <c r="GZ124" s="2678"/>
      <c r="HA124" s="2678"/>
      <c r="HB124" s="2678"/>
      <c r="HC124" s="2676" t="s">
        <v>901</v>
      </c>
      <c r="HD124" s="2676"/>
      <c r="HE124" s="2676"/>
      <c r="HF124" s="2676"/>
      <c r="HG124" s="2680">
        <f>Z138</f>
        <v>3.5249999999999999</v>
      </c>
      <c r="HH124" s="2680"/>
      <c r="HI124" s="2680"/>
      <c r="HJ124" s="2680"/>
      <c r="HK124" s="2680"/>
      <c r="HL124" s="2680"/>
      <c r="HM124" s="2680"/>
      <c r="HN124" s="2680"/>
      <c r="HO124" s="2680"/>
      <c r="HP124" s="2680"/>
      <c r="HQ124" s="2680"/>
      <c r="HR124" s="2676" t="s">
        <v>901</v>
      </c>
      <c r="HS124" s="2676"/>
      <c r="HT124" s="2676"/>
      <c r="HU124" s="2676"/>
      <c r="HV124" s="2677">
        <f>HV103</f>
        <v>2.1</v>
      </c>
      <c r="HW124" s="2677"/>
      <c r="HX124" s="2677"/>
      <c r="HY124" s="2677"/>
      <c r="HZ124" s="2677"/>
      <c r="IA124" s="2677"/>
      <c r="IB124" s="2677"/>
      <c r="IC124" s="2677"/>
      <c r="ID124" s="2677"/>
    </row>
    <row r="125" spans="4:238" ht="4.1500000000000004" customHeight="1">
      <c r="M125" s="516"/>
      <c r="R125" s="1563"/>
      <c r="S125" s="1564"/>
      <c r="AQ125" s="1563"/>
      <c r="AR125" s="1564"/>
      <c r="BP125" s="1563"/>
      <c r="BQ125" s="1564"/>
      <c r="CO125" s="1569"/>
      <c r="CP125" s="1570"/>
      <c r="CQ125" s="662"/>
      <c r="CR125" s="662"/>
      <c r="CS125" s="662"/>
      <c r="CT125" s="662"/>
      <c r="CU125" s="662"/>
      <c r="CV125" s="663"/>
      <c r="CW125" s="662"/>
      <c r="CX125" s="662"/>
      <c r="CY125" s="662"/>
      <c r="CZ125" s="662"/>
      <c r="DA125" s="662"/>
      <c r="DB125" s="662"/>
      <c r="DC125" s="663"/>
      <c r="DD125" s="662"/>
      <c r="GF125" s="2676"/>
      <c r="GG125" s="2676"/>
      <c r="GH125" s="2676"/>
      <c r="GI125" s="2676"/>
      <c r="GJ125" s="2676"/>
      <c r="GK125" s="2676"/>
      <c r="GL125" s="2676"/>
      <c r="GM125" s="2676"/>
      <c r="GN125" s="2676"/>
      <c r="GO125" s="2676"/>
      <c r="GP125" s="2676"/>
      <c r="GQ125" s="2676"/>
      <c r="GR125" s="2678"/>
      <c r="GS125" s="2678"/>
      <c r="GT125" s="2678"/>
      <c r="GU125" s="2678"/>
      <c r="GV125" s="2678"/>
      <c r="GW125" s="2678"/>
      <c r="GX125" s="2678"/>
      <c r="GY125" s="2678"/>
      <c r="GZ125" s="2678"/>
      <c r="HA125" s="2678"/>
      <c r="HB125" s="2678"/>
      <c r="HC125" s="2676"/>
      <c r="HD125" s="2676"/>
      <c r="HE125" s="2676"/>
      <c r="HF125" s="2676"/>
      <c r="HG125" s="2680"/>
      <c r="HH125" s="2680"/>
      <c r="HI125" s="2680"/>
      <c r="HJ125" s="2680"/>
      <c r="HK125" s="2680"/>
      <c r="HL125" s="2680"/>
      <c r="HM125" s="2680"/>
      <c r="HN125" s="2680"/>
      <c r="HO125" s="2680"/>
      <c r="HP125" s="2680"/>
      <c r="HQ125" s="2680"/>
      <c r="HR125" s="2676"/>
      <c r="HS125" s="2676"/>
      <c r="HT125" s="2676"/>
      <c r="HU125" s="2676"/>
      <c r="HV125" s="2677"/>
      <c r="HW125" s="2677"/>
      <c r="HX125" s="2677"/>
      <c r="HY125" s="2677"/>
      <c r="HZ125" s="2677"/>
      <c r="IA125" s="2677"/>
      <c r="IB125" s="2677"/>
      <c r="IC125" s="2677"/>
      <c r="ID125" s="2677"/>
    </row>
    <row r="126" spans="4:238" ht="4.1500000000000004" customHeight="1">
      <c r="M126" s="516"/>
      <c r="R126" s="539"/>
      <c r="S126" s="540"/>
      <c r="AQ126" s="539"/>
      <c r="AR126" s="540"/>
      <c r="BP126" s="539"/>
      <c r="BQ126" s="540"/>
      <c r="CO126" s="1571"/>
      <c r="CP126" s="1572"/>
      <c r="CQ126" s="662"/>
      <c r="CR126" s="662"/>
      <c r="CS126" s="662"/>
      <c r="CT126" s="662"/>
      <c r="CU126" s="662"/>
      <c r="CV126" s="663"/>
      <c r="CW126" s="662"/>
      <c r="CX126" s="662"/>
      <c r="CY126" s="662"/>
      <c r="CZ126" s="662"/>
      <c r="DA126" s="662"/>
      <c r="DB126" s="662"/>
      <c r="DC126" s="663"/>
      <c r="DD126" s="662"/>
      <c r="GF126" s="2676"/>
      <c r="GG126" s="2676"/>
      <c r="GH126" s="2676"/>
      <c r="GI126" s="2676"/>
      <c r="GJ126" s="2676"/>
      <c r="GK126" s="2676"/>
      <c r="GL126" s="2676"/>
      <c r="GM126" s="2676"/>
      <c r="GN126" s="2676"/>
      <c r="GO126" s="2676"/>
      <c r="GP126" s="2676"/>
      <c r="GQ126" s="2676"/>
      <c r="GR126" s="2678"/>
      <c r="GS126" s="2678"/>
      <c r="GT126" s="2678"/>
      <c r="GU126" s="2678"/>
      <c r="GV126" s="2678"/>
      <c r="GW126" s="2678"/>
      <c r="GX126" s="2678"/>
      <c r="GY126" s="2678"/>
      <c r="GZ126" s="2678"/>
      <c r="HA126" s="2678"/>
      <c r="HB126" s="2678"/>
      <c r="HC126" s="2676"/>
      <c r="HD126" s="2676"/>
      <c r="HE126" s="2676"/>
      <c r="HF126" s="2676"/>
      <c r="HG126" s="2680"/>
      <c r="HH126" s="2680"/>
      <c r="HI126" s="2680"/>
      <c r="HJ126" s="2680"/>
      <c r="HK126" s="2680"/>
      <c r="HL126" s="2680"/>
      <c r="HM126" s="2680"/>
      <c r="HN126" s="2680"/>
      <c r="HO126" s="2680"/>
      <c r="HP126" s="2680"/>
      <c r="HQ126" s="2680"/>
      <c r="HR126" s="2676"/>
      <c r="HS126" s="2676"/>
      <c r="HT126" s="2676"/>
      <c r="HU126" s="2676"/>
      <c r="HV126" s="2677"/>
      <c r="HW126" s="2677"/>
      <c r="HX126" s="2677"/>
      <c r="HY126" s="2677"/>
      <c r="HZ126" s="2677"/>
      <c r="IA126" s="2677"/>
      <c r="IB126" s="2677"/>
      <c r="IC126" s="2677"/>
      <c r="ID126" s="2677"/>
    </row>
    <row r="127" spans="4:238" ht="4.1500000000000004" customHeight="1">
      <c r="M127" s="516"/>
      <c r="R127" s="539"/>
      <c r="S127" s="540"/>
      <c r="AQ127" s="539"/>
      <c r="AR127" s="540"/>
      <c r="BP127" s="539"/>
      <c r="BQ127" s="540"/>
      <c r="CO127" s="1571"/>
      <c r="CP127" s="1572"/>
      <c r="CQ127" s="662"/>
      <c r="CR127" s="662"/>
      <c r="CS127" s="662"/>
      <c r="CT127" s="2681">
        <f>BF131+R81</f>
        <v>2.65</v>
      </c>
      <c r="CU127" s="2682"/>
      <c r="CV127" s="2682"/>
      <c r="CW127" s="2682"/>
      <c r="CX127" s="662"/>
      <c r="CY127" s="662"/>
      <c r="CZ127" s="662"/>
      <c r="DA127" s="662"/>
      <c r="DB127" s="662"/>
      <c r="DC127" s="663"/>
      <c r="DD127" s="662"/>
    </row>
    <row r="128" spans="4:238" ht="4.1500000000000004" customHeight="1">
      <c r="M128" s="516"/>
      <c r="R128" s="539"/>
      <c r="S128" s="540"/>
      <c r="AQ128" s="539"/>
      <c r="AR128" s="540"/>
      <c r="AU128" s="2641" t="s">
        <v>3587</v>
      </c>
      <c r="AV128" s="2641"/>
      <c r="AW128" s="2641"/>
      <c r="AX128" s="2641"/>
      <c r="AY128" s="2641"/>
      <c r="AZ128" s="2641"/>
      <c r="BA128" s="2641"/>
      <c r="BB128" s="2641"/>
      <c r="BC128" s="2641"/>
      <c r="BD128" s="2641"/>
      <c r="BE128" s="2641"/>
      <c r="BF128" s="2641"/>
      <c r="BG128" s="2641"/>
      <c r="BH128" s="2641"/>
      <c r="BI128" s="2641"/>
      <c r="BJ128" s="2641"/>
      <c r="BK128" s="2641"/>
      <c r="BL128" s="2641"/>
      <c r="BP128" s="539"/>
      <c r="BQ128" s="540"/>
      <c r="CO128" s="1571"/>
      <c r="CP128" s="1572"/>
      <c r="CQ128" s="662"/>
      <c r="CR128" s="662"/>
      <c r="CS128" s="662"/>
      <c r="CT128" s="2682"/>
      <c r="CU128" s="2682"/>
      <c r="CV128" s="2682"/>
      <c r="CW128" s="2682"/>
      <c r="CX128" s="662"/>
      <c r="CY128" s="662"/>
      <c r="CZ128" s="662"/>
      <c r="DA128" s="662"/>
      <c r="DB128" s="662"/>
      <c r="DC128" s="663"/>
      <c r="DD128" s="662"/>
    </row>
    <row r="129" spans="11:108" ht="4.1500000000000004" customHeight="1">
      <c r="M129" s="516"/>
      <c r="R129" s="539"/>
      <c r="S129" s="540"/>
      <c r="AQ129" s="539"/>
      <c r="AR129" s="540"/>
      <c r="AU129" s="2641"/>
      <c r="AV129" s="2641"/>
      <c r="AW129" s="2641"/>
      <c r="AX129" s="2641"/>
      <c r="AY129" s="2641"/>
      <c r="AZ129" s="2641"/>
      <c r="BA129" s="2641"/>
      <c r="BB129" s="2641"/>
      <c r="BC129" s="2641"/>
      <c r="BD129" s="2641"/>
      <c r="BE129" s="2641"/>
      <c r="BF129" s="2641"/>
      <c r="BG129" s="2641"/>
      <c r="BH129" s="2641"/>
      <c r="BI129" s="2641"/>
      <c r="BJ129" s="2641"/>
      <c r="BK129" s="2641"/>
      <c r="BL129" s="2641"/>
      <c r="BP129" s="539"/>
      <c r="BQ129" s="540"/>
      <c r="CO129" s="1571"/>
      <c r="CP129" s="1572"/>
      <c r="CQ129" s="662"/>
      <c r="CR129" s="662"/>
      <c r="CS129" s="662"/>
      <c r="CT129" s="2682"/>
      <c r="CU129" s="2682"/>
      <c r="CV129" s="2682"/>
      <c r="CW129" s="2682"/>
      <c r="CX129" s="662"/>
      <c r="CY129" s="662"/>
      <c r="CZ129" s="662"/>
      <c r="DA129" s="662"/>
      <c r="DB129" s="662"/>
      <c r="DC129" s="663"/>
      <c r="DD129" s="662"/>
    </row>
    <row r="130" spans="11:108" ht="4.1500000000000004" customHeight="1">
      <c r="M130" s="516"/>
      <c r="R130" s="539"/>
      <c r="S130" s="540"/>
      <c r="AQ130" s="539"/>
      <c r="AR130" s="540"/>
      <c r="AU130" s="2641"/>
      <c r="AV130" s="2641"/>
      <c r="AW130" s="2641"/>
      <c r="AX130" s="2641"/>
      <c r="AY130" s="2641"/>
      <c r="AZ130" s="2641"/>
      <c r="BA130" s="2641"/>
      <c r="BB130" s="2641"/>
      <c r="BC130" s="2641"/>
      <c r="BD130" s="2641"/>
      <c r="BE130" s="2641"/>
      <c r="BF130" s="2641"/>
      <c r="BG130" s="2641"/>
      <c r="BH130" s="2641"/>
      <c r="BI130" s="2641"/>
      <c r="BJ130" s="2641"/>
      <c r="BK130" s="2641"/>
      <c r="BL130" s="2641"/>
      <c r="BP130" s="539"/>
      <c r="BQ130" s="540"/>
      <c r="CO130" s="1571"/>
      <c r="CP130" s="1572"/>
      <c r="CQ130" s="662"/>
      <c r="CR130" s="662"/>
      <c r="CS130" s="662"/>
      <c r="CT130" s="2682"/>
      <c r="CU130" s="2682"/>
      <c r="CV130" s="2682"/>
      <c r="CW130" s="2682"/>
      <c r="CX130" s="662"/>
      <c r="CY130" s="662"/>
      <c r="CZ130" s="662"/>
      <c r="DA130" s="662"/>
      <c r="DB130" s="662"/>
      <c r="DC130" s="663"/>
      <c r="DD130" s="662"/>
    </row>
    <row r="131" spans="11:108" ht="4.1500000000000004" customHeight="1">
      <c r="M131" s="516"/>
      <c r="R131" s="539"/>
      <c r="S131" s="540"/>
      <c r="AQ131" s="539"/>
      <c r="AR131" s="540"/>
      <c r="AU131" s="2615">
        <f>AU91</f>
        <v>11</v>
      </c>
      <c r="AV131" s="2615"/>
      <c r="AW131" s="2615"/>
      <c r="AX131" s="2615"/>
      <c r="AY131" s="2615"/>
      <c r="AZ131" s="2615"/>
      <c r="BA131" s="2615"/>
      <c r="BB131" s="2683" t="s">
        <v>1907</v>
      </c>
      <c r="BC131" s="2683"/>
      <c r="BD131" s="2683"/>
      <c r="BE131" s="2683"/>
      <c r="BF131" s="2683">
        <v>2.4</v>
      </c>
      <c r="BG131" s="2683"/>
      <c r="BH131" s="2683"/>
      <c r="BI131" s="2683"/>
      <c r="BJ131" s="2683"/>
      <c r="BK131" s="2683"/>
      <c r="BL131" s="2683"/>
      <c r="BP131" s="539"/>
      <c r="BQ131" s="540"/>
      <c r="CO131" s="1571"/>
      <c r="CP131" s="1572"/>
      <c r="CQ131" s="662"/>
      <c r="CR131" s="662"/>
      <c r="CS131" s="662"/>
      <c r="CT131" s="2682"/>
      <c r="CU131" s="2682"/>
      <c r="CV131" s="2682"/>
      <c r="CW131" s="2682"/>
      <c r="CX131" s="662"/>
      <c r="CY131" s="662"/>
      <c r="CZ131" s="662"/>
      <c r="DA131" s="662"/>
      <c r="DB131" s="662"/>
      <c r="DC131" s="663"/>
      <c r="DD131" s="662"/>
    </row>
    <row r="132" spans="11:108" ht="4.1500000000000004" customHeight="1">
      <c r="M132" s="516"/>
      <c r="R132" s="539"/>
      <c r="S132" s="540"/>
      <c r="AQ132" s="539"/>
      <c r="AR132" s="540"/>
      <c r="AU132" s="2615"/>
      <c r="AV132" s="2615"/>
      <c r="AW132" s="2615"/>
      <c r="AX132" s="2615"/>
      <c r="AY132" s="2615"/>
      <c r="AZ132" s="2615"/>
      <c r="BA132" s="2615"/>
      <c r="BB132" s="2683"/>
      <c r="BC132" s="2683"/>
      <c r="BD132" s="2683"/>
      <c r="BE132" s="2683"/>
      <c r="BF132" s="2683"/>
      <c r="BG132" s="2683"/>
      <c r="BH132" s="2683"/>
      <c r="BI132" s="2683"/>
      <c r="BJ132" s="2683"/>
      <c r="BK132" s="2683"/>
      <c r="BL132" s="2683"/>
      <c r="BP132" s="539"/>
      <c r="BQ132" s="540"/>
      <c r="CO132" s="1571"/>
      <c r="CP132" s="1572"/>
      <c r="CQ132" s="662"/>
      <c r="CR132" s="662"/>
      <c r="CS132" s="662"/>
      <c r="CT132" s="2682"/>
      <c r="CU132" s="2682"/>
      <c r="CV132" s="2682"/>
      <c r="CW132" s="2682"/>
      <c r="CX132" s="662"/>
      <c r="CY132" s="662"/>
      <c r="CZ132" s="662"/>
      <c r="DA132" s="662"/>
      <c r="DB132" s="662"/>
      <c r="DC132" s="663"/>
      <c r="DD132" s="662"/>
    </row>
    <row r="133" spans="11:108" ht="4.1500000000000004" customHeight="1">
      <c r="M133" s="516"/>
      <c r="R133" s="539"/>
      <c r="S133" s="540"/>
      <c r="T133" s="1578"/>
      <c r="U133" s="1579"/>
      <c r="AQ133" s="539"/>
      <c r="AR133" s="540"/>
      <c r="AU133" s="2615"/>
      <c r="AV133" s="2615"/>
      <c r="AW133" s="2615"/>
      <c r="AX133" s="2615"/>
      <c r="AY133" s="2615"/>
      <c r="AZ133" s="2615"/>
      <c r="BA133" s="2615"/>
      <c r="BB133" s="2683"/>
      <c r="BC133" s="2683"/>
      <c r="BD133" s="2683"/>
      <c r="BE133" s="2683"/>
      <c r="BF133" s="2683"/>
      <c r="BG133" s="2683"/>
      <c r="BH133" s="2683"/>
      <c r="BI133" s="2683"/>
      <c r="BJ133" s="2683"/>
      <c r="BK133" s="2683"/>
      <c r="BL133" s="2683"/>
      <c r="BP133" s="539"/>
      <c r="BQ133" s="540"/>
      <c r="CM133" s="1512"/>
      <c r="CN133" s="1582"/>
      <c r="CO133" s="1571"/>
      <c r="CP133" s="1572"/>
      <c r="CQ133" s="662"/>
      <c r="CR133" s="662"/>
      <c r="CS133" s="662"/>
      <c r="CT133" s="2682"/>
      <c r="CU133" s="2682"/>
      <c r="CV133" s="2682"/>
      <c r="CW133" s="2682"/>
      <c r="CX133" s="662"/>
      <c r="CY133" s="662"/>
      <c r="CZ133" s="662"/>
      <c r="DA133" s="662"/>
      <c r="DB133" s="662"/>
      <c r="DC133" s="663"/>
      <c r="DD133" s="662"/>
    </row>
    <row r="134" spans="11:108" ht="4.1500000000000004" customHeight="1">
      <c r="M134" s="516"/>
      <c r="R134" s="539"/>
      <c r="S134" s="540"/>
      <c r="T134" s="1578"/>
      <c r="U134" s="1579"/>
      <c r="AQ134" s="539"/>
      <c r="AR134" s="540"/>
      <c r="BP134" s="539"/>
      <c r="BQ134" s="540"/>
      <c r="CM134" s="1512"/>
      <c r="CN134" s="1582"/>
      <c r="CO134" s="1571"/>
      <c r="CP134" s="1572"/>
      <c r="CQ134" s="662"/>
      <c r="CR134" s="662"/>
      <c r="CS134" s="662"/>
      <c r="CT134" s="2682"/>
      <c r="CU134" s="2682"/>
      <c r="CV134" s="2682"/>
      <c r="CW134" s="2682"/>
      <c r="CX134" s="662"/>
      <c r="CY134" s="662"/>
      <c r="CZ134" s="662"/>
      <c r="DA134" s="662"/>
      <c r="DB134" s="662"/>
      <c r="DC134" s="663"/>
      <c r="DD134" s="662"/>
    </row>
    <row r="135" spans="11:108" ht="4.1500000000000004" customHeight="1">
      <c r="M135" s="516"/>
      <c r="R135" s="539"/>
      <c r="S135" s="540"/>
      <c r="T135" s="1578"/>
      <c r="U135" s="1579"/>
      <c r="AQ135" s="539"/>
      <c r="AR135" s="540"/>
      <c r="BP135" s="539"/>
      <c r="BQ135" s="540"/>
      <c r="CM135" s="1512"/>
      <c r="CN135" s="1582"/>
      <c r="CO135" s="1571"/>
      <c r="CP135" s="1572"/>
      <c r="CQ135" s="662"/>
      <c r="CR135" s="662"/>
      <c r="CS135" s="662"/>
      <c r="CT135" s="2682"/>
      <c r="CU135" s="2682"/>
      <c r="CV135" s="2682"/>
      <c r="CW135" s="2682"/>
      <c r="CX135" s="662"/>
      <c r="CY135" s="662"/>
      <c r="CZ135" s="662"/>
      <c r="DA135" s="662"/>
      <c r="DB135" s="662"/>
      <c r="DC135" s="663"/>
      <c r="DD135" s="662"/>
    </row>
    <row r="136" spans="11:108" ht="4.1500000000000004" customHeight="1">
      <c r="M136" s="516"/>
      <c r="R136" s="539"/>
      <c r="S136" s="540"/>
      <c r="T136" s="1578"/>
      <c r="U136" s="1579"/>
      <c r="AQ136" s="539"/>
      <c r="AR136" s="540"/>
      <c r="BP136" s="539"/>
      <c r="BQ136" s="540"/>
      <c r="CM136" s="1512"/>
      <c r="CN136" s="1582"/>
      <c r="CO136" s="1571"/>
      <c r="CP136" s="1572"/>
      <c r="CQ136" s="662"/>
      <c r="CR136" s="662"/>
      <c r="CS136" s="662"/>
      <c r="CT136" s="2682"/>
      <c r="CU136" s="2682"/>
      <c r="CV136" s="2682"/>
      <c r="CW136" s="2682"/>
      <c r="CX136" s="662"/>
      <c r="CY136" s="662"/>
      <c r="CZ136" s="662"/>
      <c r="DA136" s="662"/>
      <c r="DB136" s="662"/>
      <c r="DC136" s="663"/>
      <c r="DD136" s="662"/>
    </row>
    <row r="137" spans="11:108" ht="4.1500000000000004" customHeight="1">
      <c r="M137" s="516"/>
      <c r="R137" s="539"/>
      <c r="S137" s="540"/>
      <c r="T137" s="1578"/>
      <c r="U137" s="1579"/>
      <c r="AQ137" s="539"/>
      <c r="AR137" s="540"/>
      <c r="BP137" s="539"/>
      <c r="BQ137" s="540"/>
      <c r="CM137" s="1512"/>
      <c r="CN137" s="1582"/>
      <c r="CO137" s="1571"/>
      <c r="CP137" s="1572"/>
      <c r="CQ137" s="662"/>
      <c r="CR137" s="662"/>
      <c r="CS137" s="662"/>
      <c r="CT137" s="2682"/>
      <c r="CU137" s="2682"/>
      <c r="CV137" s="2682"/>
      <c r="CW137" s="2682"/>
      <c r="CX137" s="662"/>
      <c r="CY137" s="662"/>
      <c r="CZ137" s="662"/>
      <c r="DA137" s="662"/>
      <c r="DB137" s="662"/>
      <c r="DC137" s="663"/>
      <c r="DD137" s="662"/>
    </row>
    <row r="138" spans="11:108" ht="4.1500000000000004" customHeight="1">
      <c r="M138" s="516"/>
      <c r="R138" s="539"/>
      <c r="S138" s="540"/>
      <c r="T138" s="1589"/>
      <c r="U138" s="1590"/>
      <c r="V138" s="532"/>
      <c r="W138" s="532"/>
      <c r="X138" s="532"/>
      <c r="Y138" s="532"/>
      <c r="Z138" s="2679">
        <v>3.5249999999999999</v>
      </c>
      <c r="AA138" s="2679"/>
      <c r="AB138" s="2679"/>
      <c r="AC138" s="2679"/>
      <c r="AD138" s="2679"/>
      <c r="AE138" s="2679"/>
      <c r="AF138" s="2679"/>
      <c r="AG138" s="2679"/>
      <c r="AM138" s="532"/>
      <c r="AN138" s="532"/>
      <c r="AO138" s="532"/>
      <c r="AP138" s="532"/>
      <c r="AQ138" s="539"/>
      <c r="AR138" s="540"/>
      <c r="AS138" s="532"/>
      <c r="AT138" s="532"/>
      <c r="AU138" s="532"/>
      <c r="AV138" s="532"/>
      <c r="AW138" s="532"/>
      <c r="AX138" s="532"/>
      <c r="AY138" s="532"/>
      <c r="AZ138" s="532"/>
      <c r="BA138" s="2679">
        <v>3.5249999999999999</v>
      </c>
      <c r="BB138" s="2679"/>
      <c r="BC138" s="2679"/>
      <c r="BD138" s="2679"/>
      <c r="BE138" s="2679"/>
      <c r="BF138" s="2679"/>
      <c r="BG138" s="2679"/>
      <c r="BH138" s="2679"/>
      <c r="BI138" s="532"/>
      <c r="BJ138" s="532"/>
      <c r="BK138" s="532"/>
      <c r="BL138" s="532"/>
      <c r="BM138" s="532"/>
      <c r="BN138" s="532"/>
      <c r="BO138" s="532"/>
      <c r="BP138" s="539"/>
      <c r="BQ138" s="540"/>
      <c r="BR138" s="532"/>
      <c r="BS138" s="532"/>
      <c r="BT138" s="532"/>
      <c r="BU138" s="532"/>
      <c r="BV138" s="532"/>
      <c r="BW138" s="532"/>
      <c r="BX138" s="532"/>
      <c r="BY138" s="2679">
        <v>3.5249999999999999</v>
      </c>
      <c r="BZ138" s="2679"/>
      <c r="CA138" s="2679"/>
      <c r="CB138" s="2679"/>
      <c r="CC138" s="2679"/>
      <c r="CD138" s="2679"/>
      <c r="CE138" s="2679"/>
      <c r="CF138" s="2679"/>
      <c r="CG138" s="532"/>
      <c r="CH138" s="532"/>
      <c r="CI138" s="532"/>
      <c r="CJ138" s="532"/>
      <c r="CK138" s="532"/>
      <c r="CL138" s="532"/>
      <c r="CM138" s="1593"/>
      <c r="CN138" s="1594"/>
      <c r="CO138" s="1571"/>
      <c r="CP138" s="1572"/>
      <c r="CQ138" s="662"/>
      <c r="CR138" s="662"/>
      <c r="CS138" s="662"/>
      <c r="CV138" s="516"/>
      <c r="CX138" s="662"/>
      <c r="CY138" s="662"/>
      <c r="CZ138" s="662"/>
      <c r="DA138" s="662"/>
      <c r="DB138" s="662"/>
      <c r="DC138" s="663"/>
      <c r="DD138" s="662"/>
    </row>
    <row r="139" spans="11:108" ht="4.1500000000000004" customHeight="1">
      <c r="M139" s="516"/>
      <c r="R139" s="539"/>
      <c r="S139" s="540"/>
      <c r="T139" s="1578"/>
      <c r="U139" s="1579"/>
      <c r="Z139" s="2679"/>
      <c r="AA139" s="2679"/>
      <c r="AB139" s="2679"/>
      <c r="AC139" s="2679"/>
      <c r="AD139" s="2679"/>
      <c r="AE139" s="2679"/>
      <c r="AF139" s="2679"/>
      <c r="AG139" s="2679"/>
      <c r="AQ139" s="539"/>
      <c r="AR139" s="540"/>
      <c r="BA139" s="2679"/>
      <c r="BB139" s="2679"/>
      <c r="BC139" s="2679"/>
      <c r="BD139" s="2679"/>
      <c r="BE139" s="2679"/>
      <c r="BF139" s="2679"/>
      <c r="BG139" s="2679"/>
      <c r="BH139" s="2679"/>
      <c r="BP139" s="539"/>
      <c r="BQ139" s="540"/>
      <c r="BY139" s="2679"/>
      <c r="BZ139" s="2679"/>
      <c r="CA139" s="2679"/>
      <c r="CB139" s="2679"/>
      <c r="CC139" s="2679"/>
      <c r="CD139" s="2679"/>
      <c r="CE139" s="2679"/>
      <c r="CF139" s="2679"/>
      <c r="CM139" s="1512"/>
      <c r="CN139" s="1582"/>
      <c r="CO139" s="1571"/>
      <c r="CP139" s="1572"/>
      <c r="CQ139" s="662"/>
      <c r="CR139" s="662"/>
      <c r="CS139" s="662"/>
      <c r="CV139" s="516"/>
      <c r="CX139" s="662"/>
      <c r="CY139" s="662"/>
      <c r="CZ139" s="662"/>
      <c r="DA139" s="662"/>
      <c r="DB139" s="662"/>
      <c r="DC139" s="663"/>
      <c r="DD139" s="662"/>
    </row>
    <row r="140" spans="11:108" ht="4.1500000000000004" customHeight="1">
      <c r="M140" s="516"/>
      <c r="R140" s="539"/>
      <c r="S140" s="540"/>
      <c r="T140" s="1578"/>
      <c r="U140" s="1579"/>
      <c r="Z140" s="2679"/>
      <c r="AA140" s="2679"/>
      <c r="AB140" s="2679"/>
      <c r="AC140" s="2679"/>
      <c r="AD140" s="2679"/>
      <c r="AE140" s="2679"/>
      <c r="AF140" s="2679"/>
      <c r="AG140" s="2679"/>
      <c r="AQ140" s="539"/>
      <c r="AR140" s="540"/>
      <c r="BA140" s="2679"/>
      <c r="BB140" s="2679"/>
      <c r="BC140" s="2679"/>
      <c r="BD140" s="2679"/>
      <c r="BE140" s="2679"/>
      <c r="BF140" s="2679"/>
      <c r="BG140" s="2679"/>
      <c r="BH140" s="2679"/>
      <c r="BP140" s="539"/>
      <c r="BQ140" s="540"/>
      <c r="BY140" s="2679"/>
      <c r="BZ140" s="2679"/>
      <c r="CA140" s="2679"/>
      <c r="CB140" s="2679"/>
      <c r="CC140" s="2679"/>
      <c r="CD140" s="2679"/>
      <c r="CE140" s="2679"/>
      <c r="CF140" s="2679"/>
      <c r="CM140" s="1512"/>
      <c r="CN140" s="1582"/>
      <c r="CO140" s="1571"/>
      <c r="CP140" s="1572"/>
      <c r="CQ140" s="662"/>
      <c r="CR140" s="662"/>
      <c r="CS140" s="662"/>
      <c r="CT140" s="662"/>
      <c r="CU140" s="662"/>
      <c r="CV140" s="663"/>
      <c r="CW140" s="662"/>
      <c r="CX140" s="662"/>
      <c r="CY140" s="662"/>
      <c r="CZ140" s="662"/>
      <c r="DA140" s="662"/>
      <c r="DB140" s="662"/>
      <c r="DC140" s="663"/>
      <c r="DD140" s="662"/>
    </row>
    <row r="141" spans="11:108" ht="4.1500000000000004" customHeight="1">
      <c r="M141" s="516"/>
      <c r="R141" s="541"/>
      <c r="S141" s="542"/>
      <c r="T141" s="1580"/>
      <c r="U141" s="1581"/>
      <c r="AQ141" s="541"/>
      <c r="AR141" s="542"/>
      <c r="BP141" s="541"/>
      <c r="BQ141" s="542"/>
      <c r="CO141" s="539"/>
      <c r="CP141" s="540"/>
      <c r="CV141" s="516"/>
      <c r="DC141" s="516"/>
    </row>
    <row r="142" spans="11:108" ht="4.1500000000000004" customHeight="1">
      <c r="M142" s="516"/>
      <c r="R142" s="519"/>
      <c r="S142" s="521"/>
      <c r="T142" s="1559"/>
      <c r="U142" s="537"/>
      <c r="V142" s="537"/>
      <c r="W142" s="537"/>
      <c r="X142" s="537"/>
      <c r="Y142" s="537"/>
      <c r="Z142" s="537"/>
      <c r="AA142" s="537"/>
      <c r="AB142" s="537"/>
      <c r="AC142" s="537"/>
      <c r="AD142" s="537"/>
      <c r="AE142" s="537"/>
      <c r="AF142" s="537"/>
      <c r="AG142" s="537"/>
      <c r="AH142" s="537"/>
      <c r="AI142" s="537"/>
      <c r="AJ142" s="537"/>
      <c r="AK142" s="537"/>
      <c r="AL142" s="537"/>
      <c r="AM142" s="537"/>
      <c r="AN142" s="537"/>
      <c r="AO142" s="537"/>
      <c r="AP142" s="537"/>
      <c r="AQ142" s="520"/>
      <c r="AR142" s="520"/>
      <c r="AS142" s="537"/>
      <c r="AT142" s="537"/>
      <c r="AU142" s="537"/>
      <c r="AV142" s="537"/>
      <c r="AW142" s="537"/>
      <c r="AX142" s="537"/>
      <c r="AY142" s="537"/>
      <c r="AZ142" s="537"/>
      <c r="BA142" s="537"/>
      <c r="BB142" s="537"/>
      <c r="BC142" s="537"/>
      <c r="BD142" s="537"/>
      <c r="BE142" s="537"/>
      <c r="BF142" s="537"/>
      <c r="BG142" s="537"/>
      <c r="BH142" s="537"/>
      <c r="BI142" s="537"/>
      <c r="BJ142" s="537"/>
      <c r="BK142" s="537"/>
      <c r="BL142" s="537"/>
      <c r="BM142" s="537"/>
      <c r="BN142" s="537"/>
      <c r="BO142" s="537"/>
      <c r="BP142" s="520"/>
      <c r="BQ142" s="520"/>
      <c r="BR142" s="537"/>
      <c r="BS142" s="537"/>
      <c r="BT142" s="537"/>
      <c r="BU142" s="537"/>
      <c r="BV142" s="537"/>
      <c r="BW142" s="537"/>
      <c r="BX142" s="537"/>
      <c r="BY142" s="537"/>
      <c r="BZ142" s="537"/>
      <c r="CA142" s="537"/>
      <c r="CB142" s="537"/>
      <c r="CC142" s="537"/>
      <c r="CD142" s="537"/>
      <c r="CE142" s="537"/>
      <c r="CF142" s="537"/>
      <c r="CG142" s="537"/>
      <c r="CH142" s="537"/>
      <c r="CI142" s="537"/>
      <c r="CJ142" s="537"/>
      <c r="CK142" s="537"/>
      <c r="CL142" s="537"/>
      <c r="CM142" s="537"/>
      <c r="CN142" s="537"/>
      <c r="CO142" s="1573"/>
      <c r="CP142" s="1574"/>
      <c r="CT142" s="532"/>
      <c r="CU142" s="532"/>
      <c r="CV142" s="530"/>
      <c r="CW142" s="532"/>
      <c r="DA142" s="532"/>
      <c r="DB142" s="532"/>
      <c r="DC142" s="530"/>
      <c r="DD142" s="532"/>
    </row>
    <row r="143" spans="11:108" ht="4.1500000000000004" customHeight="1">
      <c r="K143" s="532"/>
      <c r="L143" s="532"/>
      <c r="M143" s="530"/>
      <c r="N143" s="532"/>
      <c r="R143" s="527"/>
      <c r="S143" s="529"/>
      <c r="T143" s="1561"/>
      <c r="U143" s="557"/>
      <c r="V143" s="557"/>
      <c r="W143" s="557"/>
      <c r="X143" s="557"/>
      <c r="Y143" s="557"/>
      <c r="Z143" s="557"/>
      <c r="AA143" s="557"/>
      <c r="AB143" s="557"/>
      <c r="AC143" s="557"/>
      <c r="AD143" s="557"/>
      <c r="AE143" s="557"/>
      <c r="AF143" s="557"/>
      <c r="AG143" s="557"/>
      <c r="AH143" s="557"/>
      <c r="AI143" s="557"/>
      <c r="AJ143" s="557"/>
      <c r="AK143" s="557"/>
      <c r="AL143" s="557"/>
      <c r="AM143" s="557"/>
      <c r="AN143" s="557"/>
      <c r="AO143" s="557"/>
      <c r="AP143" s="557"/>
      <c r="AQ143" s="528"/>
      <c r="AR143" s="528"/>
      <c r="AS143" s="557"/>
      <c r="AT143" s="557"/>
      <c r="AU143" s="557"/>
      <c r="AV143" s="557"/>
      <c r="AW143" s="557"/>
      <c r="AX143" s="557"/>
      <c r="AY143" s="557"/>
      <c r="AZ143" s="557"/>
      <c r="BA143" s="557"/>
      <c r="BB143" s="557"/>
      <c r="BC143" s="557"/>
      <c r="BD143" s="557"/>
      <c r="BE143" s="557"/>
      <c r="BF143" s="557"/>
      <c r="BG143" s="557"/>
      <c r="BH143" s="557"/>
      <c r="BI143" s="557"/>
      <c r="BJ143" s="557"/>
      <c r="BK143" s="557"/>
      <c r="BL143" s="557"/>
      <c r="BM143" s="557"/>
      <c r="BN143" s="557"/>
      <c r="BO143" s="557"/>
      <c r="BP143" s="528"/>
      <c r="BQ143" s="528"/>
      <c r="BR143" s="557"/>
      <c r="BS143" s="557"/>
      <c r="BT143" s="557"/>
      <c r="BU143" s="557"/>
      <c r="BV143" s="557"/>
      <c r="BW143" s="557"/>
      <c r="BX143" s="557"/>
      <c r="BY143" s="557"/>
      <c r="BZ143" s="557"/>
      <c r="CA143" s="557"/>
      <c r="CB143" s="557"/>
      <c r="CC143" s="557"/>
      <c r="CD143" s="557"/>
      <c r="CE143" s="557"/>
      <c r="CF143" s="557"/>
      <c r="CG143" s="557"/>
      <c r="CH143" s="557"/>
      <c r="CI143" s="557"/>
      <c r="CJ143" s="557"/>
      <c r="CK143" s="557"/>
      <c r="CL143" s="557"/>
      <c r="CM143" s="557"/>
      <c r="CN143" s="557"/>
      <c r="CO143" s="1575"/>
      <c r="CP143" s="1576"/>
    </row>
    <row r="144" spans="11:108" ht="4.1500000000000004" customHeight="1">
      <c r="R144" s="539"/>
      <c r="CP144" s="540"/>
    </row>
    <row r="145" spans="18:94" ht="4.1500000000000004" customHeight="1">
      <c r="R145" s="539"/>
      <c r="CP145" s="540"/>
    </row>
    <row r="146" spans="18:94" ht="4.1500000000000004" customHeight="1">
      <c r="R146" s="539"/>
      <c r="CP146" s="540"/>
    </row>
    <row r="147" spans="18:94" ht="4.1500000000000004" customHeight="1">
      <c r="R147" s="559"/>
      <c r="S147" s="557"/>
      <c r="T147" s="557"/>
      <c r="U147" s="557"/>
      <c r="V147" s="557"/>
      <c r="W147" s="557"/>
      <c r="X147" s="557"/>
      <c r="Y147" s="557"/>
      <c r="Z147" s="557"/>
      <c r="AA147" s="557"/>
      <c r="AB147" s="557"/>
      <c r="AC147" s="557"/>
      <c r="AD147" s="557"/>
      <c r="AE147" s="557"/>
      <c r="AF147" s="557"/>
      <c r="AG147" s="557"/>
      <c r="AH147" s="557"/>
      <c r="AI147" s="557"/>
      <c r="AJ147" s="557"/>
      <c r="AK147" s="557"/>
      <c r="AL147" s="557"/>
      <c r="AM147" s="557"/>
      <c r="AN147" s="557"/>
      <c r="AO147" s="557"/>
      <c r="AP147" s="557"/>
      <c r="AQ147" s="557"/>
      <c r="AR147" s="557"/>
      <c r="AS147" s="557"/>
      <c r="AT147" s="557"/>
      <c r="AU147" s="557"/>
      <c r="AV147" s="557"/>
      <c r="AW147" s="557"/>
      <c r="AX147" s="557"/>
      <c r="AY147" s="557"/>
      <c r="AZ147" s="557"/>
      <c r="BA147" s="557"/>
      <c r="BB147" s="557"/>
      <c r="BC147" s="557"/>
      <c r="BD147" s="557"/>
      <c r="BE147" s="557"/>
      <c r="BF147" s="557"/>
      <c r="BG147" s="557"/>
      <c r="BH147" s="557"/>
      <c r="BI147" s="557"/>
      <c r="BJ147" s="557"/>
      <c r="BK147" s="557"/>
      <c r="BL147" s="557"/>
      <c r="BM147" s="557"/>
      <c r="BN147" s="557"/>
      <c r="BO147" s="557"/>
      <c r="BP147" s="557"/>
      <c r="BQ147" s="557"/>
      <c r="BR147" s="557"/>
      <c r="BS147" s="557"/>
      <c r="BT147" s="557"/>
      <c r="BU147" s="557"/>
      <c r="BV147" s="557"/>
      <c r="BW147" s="557"/>
      <c r="BX147" s="557"/>
      <c r="BY147" s="557"/>
      <c r="BZ147" s="557"/>
      <c r="CA147" s="557"/>
      <c r="CB147" s="557"/>
      <c r="CC147" s="557"/>
      <c r="CD147" s="557"/>
      <c r="CE147" s="557"/>
      <c r="CF147" s="557"/>
      <c r="CG147" s="557"/>
      <c r="CH147" s="557"/>
      <c r="CI147" s="557"/>
      <c r="CJ147" s="557"/>
      <c r="CK147" s="557"/>
      <c r="CL147" s="557"/>
      <c r="CM147" s="557"/>
      <c r="CN147" s="557"/>
      <c r="CO147" s="557"/>
      <c r="CP147" s="560"/>
    </row>
    <row r="167" spans="70:239" ht="4.1500000000000004" customHeight="1">
      <c r="DL167" s="2668" t="str">
        <f>'Lead &amp; ANALYSIS'!B144</f>
        <v>Junior Engineer</v>
      </c>
      <c r="DM167" s="2668"/>
      <c r="DN167" s="2668"/>
      <c r="DO167" s="2668"/>
      <c r="DP167" s="2668"/>
      <c r="DQ167" s="2668"/>
      <c r="DR167" s="2668"/>
      <c r="DS167" s="2668"/>
      <c r="DT167" s="2668"/>
      <c r="DU167" s="2668"/>
      <c r="DV167" s="2668"/>
      <c r="DW167" s="2668"/>
      <c r="DX167" s="2668"/>
      <c r="DY167" s="2668"/>
      <c r="DZ167" s="2668"/>
      <c r="EA167" s="2668"/>
      <c r="EB167" s="2668"/>
      <c r="EC167" s="2668"/>
      <c r="ED167" s="2668"/>
      <c r="EE167" s="2668"/>
      <c r="EF167" s="2668"/>
      <c r="EG167" s="2668"/>
      <c r="EH167" s="2668"/>
      <c r="EI167" s="2668"/>
      <c r="EJ167" s="2668"/>
      <c r="EK167" s="2668"/>
      <c r="EL167" s="2668"/>
      <c r="EM167" s="2668"/>
      <c r="EN167" s="2668"/>
      <c r="EO167" s="2668"/>
      <c r="EP167" s="2668"/>
      <c r="EQ167" s="2668"/>
      <c r="ER167" s="2668"/>
      <c r="ES167" s="561"/>
      <c r="ET167" s="561"/>
      <c r="EU167" s="561"/>
      <c r="EV167" s="561"/>
      <c r="EW167" s="561"/>
      <c r="EX167" s="561"/>
      <c r="EY167" s="561"/>
      <c r="EZ167" s="561"/>
      <c r="FA167" s="561"/>
      <c r="FB167" s="2668" t="str">
        <f>'Lead &amp; ANALYSIS'!G144</f>
        <v>Assistant Executive Engineer</v>
      </c>
      <c r="FC167" s="2668"/>
      <c r="FD167" s="2668"/>
      <c r="FE167" s="2668"/>
      <c r="FF167" s="2668"/>
      <c r="FG167" s="2668"/>
      <c r="FH167" s="2668"/>
      <c r="FI167" s="2668"/>
      <c r="FJ167" s="2668"/>
      <c r="FK167" s="2668"/>
      <c r="FL167" s="2668"/>
      <c r="FM167" s="2668"/>
      <c r="FN167" s="2668"/>
      <c r="FO167" s="2668"/>
      <c r="FP167" s="2668"/>
      <c r="FQ167" s="2668"/>
      <c r="FR167" s="2668"/>
      <c r="FS167" s="2668"/>
      <c r="FT167" s="2668"/>
      <c r="FU167" s="2668"/>
      <c r="FV167" s="2668"/>
      <c r="FW167" s="2668"/>
      <c r="FX167" s="2668"/>
      <c r="FY167" s="2668"/>
      <c r="FZ167" s="2668"/>
      <c r="GA167" s="2668"/>
      <c r="GB167" s="2668"/>
      <c r="GC167" s="2668"/>
      <c r="GD167" s="2668"/>
      <c r="GE167" s="2668"/>
      <c r="GF167" s="2668"/>
      <c r="GG167" s="2668"/>
      <c r="GH167" s="2668"/>
      <c r="GI167" s="2668"/>
      <c r="GJ167" s="2668"/>
      <c r="GK167" s="2668"/>
      <c r="GL167" s="2668"/>
      <c r="GM167" s="2668"/>
      <c r="GN167" s="561"/>
      <c r="GO167" s="561"/>
      <c r="GP167" s="561"/>
      <c r="GQ167" s="561"/>
      <c r="GR167" s="561"/>
      <c r="GS167" s="561"/>
      <c r="GT167" s="561"/>
      <c r="GU167" s="561"/>
      <c r="GV167" s="2668" t="str">
        <f>'Lead &amp; ANALYSIS'!L144</f>
        <v>Block Development Officer</v>
      </c>
      <c r="GW167" s="2668"/>
      <c r="GX167" s="2668"/>
      <c r="GY167" s="2668"/>
      <c r="GZ167" s="2668"/>
      <c r="HA167" s="2668"/>
      <c r="HB167" s="2668"/>
      <c r="HC167" s="2668"/>
      <c r="HD167" s="2668"/>
      <c r="HE167" s="2668"/>
      <c r="HF167" s="2668"/>
      <c r="HG167" s="2668"/>
      <c r="HH167" s="2668"/>
      <c r="HI167" s="2668"/>
      <c r="HJ167" s="2668"/>
      <c r="HK167" s="2668"/>
      <c r="HL167" s="2668"/>
      <c r="HM167" s="2668"/>
      <c r="HN167" s="2668"/>
      <c r="HO167" s="2668"/>
      <c r="HP167" s="2668"/>
      <c r="HQ167" s="2668"/>
      <c r="HR167" s="2668"/>
      <c r="HS167" s="2668"/>
      <c r="HT167" s="2668"/>
      <c r="HU167" s="2668"/>
      <c r="HV167" s="2668"/>
      <c r="HW167" s="2668"/>
      <c r="HX167" s="2668"/>
      <c r="HY167" s="2668"/>
      <c r="HZ167" s="2668"/>
      <c r="IA167" s="2668"/>
      <c r="IB167" s="2668"/>
      <c r="IC167" s="2668"/>
      <c r="ID167" s="2668"/>
      <c r="IE167" s="2668"/>
    </row>
    <row r="168" spans="70:239" ht="4.1500000000000004" customHeight="1">
      <c r="BR168" s="496"/>
      <c r="BS168" s="496"/>
      <c r="BT168" s="496"/>
      <c r="BU168" s="496"/>
      <c r="BV168" s="496"/>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L168" s="2668"/>
      <c r="DM168" s="2668"/>
      <c r="DN168" s="2668"/>
      <c r="DO168" s="2668"/>
      <c r="DP168" s="2668"/>
      <c r="DQ168" s="2668"/>
      <c r="DR168" s="2668"/>
      <c r="DS168" s="2668"/>
      <c r="DT168" s="2668"/>
      <c r="DU168" s="2668"/>
      <c r="DV168" s="2668"/>
      <c r="DW168" s="2668"/>
      <c r="DX168" s="2668"/>
      <c r="DY168" s="2668"/>
      <c r="DZ168" s="2668"/>
      <c r="EA168" s="2668"/>
      <c r="EB168" s="2668"/>
      <c r="EC168" s="2668"/>
      <c r="ED168" s="2668"/>
      <c r="EE168" s="2668"/>
      <c r="EF168" s="2668"/>
      <c r="EG168" s="2668"/>
      <c r="EH168" s="2668"/>
      <c r="EI168" s="2668"/>
      <c r="EJ168" s="2668"/>
      <c r="EK168" s="2668"/>
      <c r="EL168" s="2668"/>
      <c r="EM168" s="2668"/>
      <c r="EN168" s="2668"/>
      <c r="EO168" s="2668"/>
      <c r="EP168" s="2668"/>
      <c r="EQ168" s="2668"/>
      <c r="ER168" s="2668"/>
      <c r="ES168" s="562"/>
      <c r="ET168" s="562"/>
      <c r="EU168" s="562"/>
      <c r="EV168" s="562"/>
      <c r="EW168" s="562"/>
      <c r="EX168" s="562"/>
      <c r="EY168" s="562"/>
      <c r="EZ168" s="562"/>
      <c r="FA168" s="562"/>
      <c r="FB168" s="2668"/>
      <c r="FC168" s="2668"/>
      <c r="FD168" s="2668"/>
      <c r="FE168" s="2668"/>
      <c r="FF168" s="2668"/>
      <c r="FG168" s="2668"/>
      <c r="FH168" s="2668"/>
      <c r="FI168" s="2668"/>
      <c r="FJ168" s="2668"/>
      <c r="FK168" s="2668"/>
      <c r="FL168" s="2668"/>
      <c r="FM168" s="2668"/>
      <c r="FN168" s="2668"/>
      <c r="FO168" s="2668"/>
      <c r="FP168" s="2668"/>
      <c r="FQ168" s="2668"/>
      <c r="FR168" s="2668"/>
      <c r="FS168" s="2668"/>
      <c r="FT168" s="2668"/>
      <c r="FU168" s="2668"/>
      <c r="FV168" s="2668"/>
      <c r="FW168" s="2668"/>
      <c r="FX168" s="2668"/>
      <c r="FY168" s="2668"/>
      <c r="FZ168" s="2668"/>
      <c r="GA168" s="2668"/>
      <c r="GB168" s="2668"/>
      <c r="GC168" s="2668"/>
      <c r="GD168" s="2668"/>
      <c r="GE168" s="2668"/>
      <c r="GF168" s="2668"/>
      <c r="GG168" s="2668"/>
      <c r="GH168" s="2668"/>
      <c r="GI168" s="2668"/>
      <c r="GJ168" s="2668"/>
      <c r="GK168" s="2668"/>
      <c r="GL168" s="2668"/>
      <c r="GM168" s="2668"/>
      <c r="GN168" s="561"/>
      <c r="GO168" s="561"/>
      <c r="GP168" s="561"/>
      <c r="GQ168" s="561"/>
      <c r="GR168" s="561"/>
      <c r="GS168" s="561"/>
      <c r="GT168" s="561"/>
      <c r="GU168" s="561"/>
      <c r="GV168" s="2668"/>
      <c r="GW168" s="2668"/>
      <c r="GX168" s="2668"/>
      <c r="GY168" s="2668"/>
      <c r="GZ168" s="2668"/>
      <c r="HA168" s="2668"/>
      <c r="HB168" s="2668"/>
      <c r="HC168" s="2668"/>
      <c r="HD168" s="2668"/>
      <c r="HE168" s="2668"/>
      <c r="HF168" s="2668"/>
      <c r="HG168" s="2668"/>
      <c r="HH168" s="2668"/>
      <c r="HI168" s="2668"/>
      <c r="HJ168" s="2668"/>
      <c r="HK168" s="2668"/>
      <c r="HL168" s="2668"/>
      <c r="HM168" s="2668"/>
      <c r="HN168" s="2668"/>
      <c r="HO168" s="2668"/>
      <c r="HP168" s="2668"/>
      <c r="HQ168" s="2668"/>
      <c r="HR168" s="2668"/>
      <c r="HS168" s="2668"/>
      <c r="HT168" s="2668"/>
      <c r="HU168" s="2668"/>
      <c r="HV168" s="2668"/>
      <c r="HW168" s="2668"/>
      <c r="HX168" s="2668"/>
      <c r="HY168" s="2668"/>
      <c r="HZ168" s="2668"/>
      <c r="IA168" s="2668"/>
      <c r="IB168" s="2668"/>
      <c r="IC168" s="2668"/>
      <c r="ID168" s="2668"/>
      <c r="IE168" s="2668"/>
    </row>
    <row r="169" spans="70:239" ht="4.1500000000000004" customHeight="1">
      <c r="BR169" s="496"/>
      <c r="BS169" s="496"/>
      <c r="BT169" s="496"/>
      <c r="BU169" s="496"/>
      <c r="BV169" s="496"/>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L169" s="2668"/>
      <c r="DM169" s="2668"/>
      <c r="DN169" s="2668"/>
      <c r="DO169" s="2668"/>
      <c r="DP169" s="2668"/>
      <c r="DQ169" s="2668"/>
      <c r="DR169" s="2668"/>
      <c r="DS169" s="2668"/>
      <c r="DT169" s="2668"/>
      <c r="DU169" s="2668"/>
      <c r="DV169" s="2668"/>
      <c r="DW169" s="2668"/>
      <c r="DX169" s="2668"/>
      <c r="DY169" s="2668"/>
      <c r="DZ169" s="2668"/>
      <c r="EA169" s="2668"/>
      <c r="EB169" s="2668"/>
      <c r="EC169" s="2668"/>
      <c r="ED169" s="2668"/>
      <c r="EE169" s="2668"/>
      <c r="EF169" s="2668"/>
      <c r="EG169" s="2668"/>
      <c r="EH169" s="2668"/>
      <c r="EI169" s="2668"/>
      <c r="EJ169" s="2668"/>
      <c r="EK169" s="2668"/>
      <c r="EL169" s="2668"/>
      <c r="EM169" s="2668"/>
      <c r="EN169" s="2668"/>
      <c r="EO169" s="2668"/>
      <c r="EP169" s="2668"/>
      <c r="EQ169" s="2668"/>
      <c r="ER169" s="2668"/>
      <c r="ES169" s="562"/>
      <c r="ET169" s="562"/>
      <c r="EU169" s="562"/>
      <c r="EV169" s="562"/>
      <c r="EW169" s="562"/>
      <c r="EX169" s="562"/>
      <c r="EY169" s="562"/>
      <c r="EZ169" s="562"/>
      <c r="FA169" s="562"/>
      <c r="FB169" s="2668"/>
      <c r="FC169" s="2668"/>
      <c r="FD169" s="2668"/>
      <c r="FE169" s="2668"/>
      <c r="FF169" s="2668"/>
      <c r="FG169" s="2668"/>
      <c r="FH169" s="2668"/>
      <c r="FI169" s="2668"/>
      <c r="FJ169" s="2668"/>
      <c r="FK169" s="2668"/>
      <c r="FL169" s="2668"/>
      <c r="FM169" s="2668"/>
      <c r="FN169" s="2668"/>
      <c r="FO169" s="2668"/>
      <c r="FP169" s="2668"/>
      <c r="FQ169" s="2668"/>
      <c r="FR169" s="2668"/>
      <c r="FS169" s="2668"/>
      <c r="FT169" s="2668"/>
      <c r="FU169" s="2668"/>
      <c r="FV169" s="2668"/>
      <c r="FW169" s="2668"/>
      <c r="FX169" s="2668"/>
      <c r="FY169" s="2668"/>
      <c r="FZ169" s="2668"/>
      <c r="GA169" s="2668"/>
      <c r="GB169" s="2668"/>
      <c r="GC169" s="2668"/>
      <c r="GD169" s="2668"/>
      <c r="GE169" s="2668"/>
      <c r="GF169" s="2668"/>
      <c r="GG169" s="2668"/>
      <c r="GH169" s="2668"/>
      <c r="GI169" s="2668"/>
      <c r="GJ169" s="2668"/>
      <c r="GK169" s="2668"/>
      <c r="GL169" s="2668"/>
      <c r="GM169" s="2668"/>
      <c r="GN169" s="561"/>
      <c r="GO169" s="561"/>
      <c r="GP169" s="561"/>
      <c r="GQ169" s="561"/>
      <c r="GR169" s="561"/>
      <c r="GS169" s="561"/>
      <c r="GT169" s="561"/>
      <c r="GU169" s="561"/>
      <c r="GV169" s="2668"/>
      <c r="GW169" s="2668"/>
      <c r="GX169" s="2668"/>
      <c r="GY169" s="2668"/>
      <c r="GZ169" s="2668"/>
      <c r="HA169" s="2668"/>
      <c r="HB169" s="2668"/>
      <c r="HC169" s="2668"/>
      <c r="HD169" s="2668"/>
      <c r="HE169" s="2668"/>
      <c r="HF169" s="2668"/>
      <c r="HG169" s="2668"/>
      <c r="HH169" s="2668"/>
      <c r="HI169" s="2668"/>
      <c r="HJ169" s="2668"/>
      <c r="HK169" s="2668"/>
      <c r="HL169" s="2668"/>
      <c r="HM169" s="2668"/>
      <c r="HN169" s="2668"/>
      <c r="HO169" s="2668"/>
      <c r="HP169" s="2668"/>
      <c r="HQ169" s="2668"/>
      <c r="HR169" s="2668"/>
      <c r="HS169" s="2668"/>
      <c r="HT169" s="2668"/>
      <c r="HU169" s="2668"/>
      <c r="HV169" s="2668"/>
      <c r="HW169" s="2668"/>
      <c r="HX169" s="2668"/>
      <c r="HY169" s="2668"/>
      <c r="HZ169" s="2668"/>
      <c r="IA169" s="2668"/>
      <c r="IB169" s="2668"/>
      <c r="IC169" s="2668"/>
      <c r="ID169" s="2668"/>
      <c r="IE169" s="2668"/>
    </row>
    <row r="170" spans="70:239" ht="4.1500000000000004" customHeight="1">
      <c r="BR170" s="496"/>
      <c r="BS170" s="496"/>
      <c r="BT170" s="496"/>
      <c r="BU170" s="496"/>
      <c r="BV170" s="496"/>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L170" s="2668" t="str">
        <f>'Lead &amp; ANALYSIS'!B145</f>
        <v>Bhuban  Block</v>
      </c>
      <c r="DM170" s="2668"/>
      <c r="DN170" s="2668"/>
      <c r="DO170" s="2668"/>
      <c r="DP170" s="2668"/>
      <c r="DQ170" s="2668"/>
      <c r="DR170" s="2668"/>
      <c r="DS170" s="2668"/>
      <c r="DT170" s="2668"/>
      <c r="DU170" s="2668"/>
      <c r="DV170" s="2668"/>
      <c r="DW170" s="2668"/>
      <c r="DX170" s="2668"/>
      <c r="DY170" s="2668"/>
      <c r="DZ170" s="2668"/>
      <c r="EA170" s="2668"/>
      <c r="EB170" s="2668"/>
      <c r="EC170" s="2668"/>
      <c r="ED170" s="2668"/>
      <c r="EE170" s="2668"/>
      <c r="EF170" s="2668"/>
      <c r="EG170" s="2668"/>
      <c r="EH170" s="2668"/>
      <c r="EI170" s="2668"/>
      <c r="EJ170" s="2668"/>
      <c r="EK170" s="2668"/>
      <c r="EL170" s="2668"/>
      <c r="EM170" s="2668"/>
      <c r="EN170" s="2668"/>
      <c r="EO170" s="2668"/>
      <c r="EP170" s="2668"/>
      <c r="EQ170" s="2668"/>
      <c r="ER170" s="2668"/>
      <c r="ES170" s="562"/>
      <c r="ET170" s="562"/>
      <c r="EU170" s="562"/>
      <c r="EV170" s="562"/>
      <c r="EW170" s="562"/>
      <c r="EX170" s="562"/>
      <c r="EY170" s="562"/>
      <c r="EZ170" s="562"/>
      <c r="FA170" s="562"/>
      <c r="FB170" s="562"/>
      <c r="FC170" s="562"/>
      <c r="FD170" s="2668" t="str">
        <f>'Lead &amp; ANALYSIS'!G145</f>
        <v>Bhuban  Block</v>
      </c>
      <c r="FE170" s="2668"/>
      <c r="FF170" s="2668"/>
      <c r="FG170" s="2668"/>
      <c r="FH170" s="2668"/>
      <c r="FI170" s="2668"/>
      <c r="FJ170" s="2668"/>
      <c r="FK170" s="2668"/>
      <c r="FL170" s="2668"/>
      <c r="FM170" s="2668"/>
      <c r="FN170" s="2668"/>
      <c r="FO170" s="2668"/>
      <c r="FP170" s="2668"/>
      <c r="FQ170" s="2668"/>
      <c r="FR170" s="2668"/>
      <c r="FS170" s="2668"/>
      <c r="FT170" s="2668"/>
      <c r="FU170" s="2668"/>
      <c r="FV170" s="2668"/>
      <c r="FW170" s="2668"/>
      <c r="FX170" s="2668"/>
      <c r="FY170" s="2668"/>
      <c r="FZ170" s="2668"/>
      <c r="GA170" s="2668"/>
      <c r="GB170" s="2668"/>
      <c r="GC170" s="2668"/>
      <c r="GD170" s="2668"/>
      <c r="GE170" s="2668"/>
      <c r="GF170" s="2668"/>
      <c r="GG170" s="2668"/>
      <c r="GH170" s="2668"/>
      <c r="GI170" s="2668"/>
      <c r="GJ170" s="2668"/>
      <c r="GK170" s="2668"/>
      <c r="GL170" s="562"/>
      <c r="GM170" s="562"/>
      <c r="GN170" s="561"/>
      <c r="GO170" s="561"/>
      <c r="GP170" s="561"/>
      <c r="GQ170" s="561"/>
      <c r="GR170" s="561"/>
      <c r="GS170" s="561"/>
      <c r="GT170" s="561"/>
      <c r="GU170" s="561"/>
      <c r="GV170" s="2668" t="str">
        <f>'Lead &amp; ANALYSIS'!L145</f>
        <v>Bhuban</v>
      </c>
      <c r="GW170" s="2668"/>
      <c r="GX170" s="2668"/>
      <c r="GY170" s="2668"/>
      <c r="GZ170" s="2668"/>
      <c r="HA170" s="2668"/>
      <c r="HB170" s="2668"/>
      <c r="HC170" s="2668"/>
      <c r="HD170" s="2668"/>
      <c r="HE170" s="2668"/>
      <c r="HF170" s="2668"/>
      <c r="HG170" s="2668"/>
      <c r="HH170" s="2668"/>
      <c r="HI170" s="2668"/>
      <c r="HJ170" s="2668"/>
      <c r="HK170" s="2668"/>
      <c r="HL170" s="2668"/>
      <c r="HM170" s="2668"/>
      <c r="HN170" s="2668"/>
      <c r="HO170" s="2668"/>
      <c r="HP170" s="2668"/>
      <c r="HQ170" s="2668"/>
      <c r="HR170" s="2668"/>
      <c r="HS170" s="2668"/>
      <c r="HT170" s="2668"/>
      <c r="HU170" s="2668"/>
      <c r="HV170" s="2668"/>
      <c r="HW170" s="2668"/>
      <c r="HX170" s="2668"/>
      <c r="HY170" s="2668"/>
      <c r="HZ170" s="2668"/>
      <c r="IA170" s="2668"/>
      <c r="IB170" s="2668"/>
      <c r="IC170" s="2668"/>
      <c r="ID170" s="2668"/>
      <c r="IE170" s="2668"/>
    </row>
    <row r="171" spans="70:239" ht="4.1500000000000004" customHeight="1">
      <c r="BR171" s="496"/>
      <c r="BS171" s="496"/>
      <c r="BT171" s="496"/>
      <c r="BU171" s="496"/>
      <c r="BV171" s="496"/>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L171" s="2668"/>
      <c r="DM171" s="2668"/>
      <c r="DN171" s="2668"/>
      <c r="DO171" s="2668"/>
      <c r="DP171" s="2668"/>
      <c r="DQ171" s="2668"/>
      <c r="DR171" s="2668"/>
      <c r="DS171" s="2668"/>
      <c r="DT171" s="2668"/>
      <c r="DU171" s="2668"/>
      <c r="DV171" s="2668"/>
      <c r="DW171" s="2668"/>
      <c r="DX171" s="2668"/>
      <c r="DY171" s="2668"/>
      <c r="DZ171" s="2668"/>
      <c r="EA171" s="2668"/>
      <c r="EB171" s="2668"/>
      <c r="EC171" s="2668"/>
      <c r="ED171" s="2668"/>
      <c r="EE171" s="2668"/>
      <c r="EF171" s="2668"/>
      <c r="EG171" s="2668"/>
      <c r="EH171" s="2668"/>
      <c r="EI171" s="2668"/>
      <c r="EJ171" s="2668"/>
      <c r="EK171" s="2668"/>
      <c r="EL171" s="2668"/>
      <c r="EM171" s="2668"/>
      <c r="EN171" s="2668"/>
      <c r="EO171" s="2668"/>
      <c r="EP171" s="2668"/>
      <c r="EQ171" s="2668"/>
      <c r="ER171" s="2668"/>
      <c r="ES171" s="562"/>
      <c r="ET171" s="562"/>
      <c r="EU171" s="562"/>
      <c r="EV171" s="562"/>
      <c r="EW171" s="562"/>
      <c r="EX171" s="562"/>
      <c r="EY171" s="562"/>
      <c r="EZ171" s="562"/>
      <c r="FA171" s="562"/>
      <c r="FB171" s="562"/>
      <c r="FC171" s="562"/>
      <c r="FD171" s="2668"/>
      <c r="FE171" s="2668"/>
      <c r="FF171" s="2668"/>
      <c r="FG171" s="2668"/>
      <c r="FH171" s="2668"/>
      <c r="FI171" s="2668"/>
      <c r="FJ171" s="2668"/>
      <c r="FK171" s="2668"/>
      <c r="FL171" s="2668"/>
      <c r="FM171" s="2668"/>
      <c r="FN171" s="2668"/>
      <c r="FO171" s="2668"/>
      <c r="FP171" s="2668"/>
      <c r="FQ171" s="2668"/>
      <c r="FR171" s="2668"/>
      <c r="FS171" s="2668"/>
      <c r="FT171" s="2668"/>
      <c r="FU171" s="2668"/>
      <c r="FV171" s="2668"/>
      <c r="FW171" s="2668"/>
      <c r="FX171" s="2668"/>
      <c r="FY171" s="2668"/>
      <c r="FZ171" s="2668"/>
      <c r="GA171" s="2668"/>
      <c r="GB171" s="2668"/>
      <c r="GC171" s="2668"/>
      <c r="GD171" s="2668"/>
      <c r="GE171" s="2668"/>
      <c r="GF171" s="2668"/>
      <c r="GG171" s="2668"/>
      <c r="GH171" s="2668"/>
      <c r="GI171" s="2668"/>
      <c r="GJ171" s="2668"/>
      <c r="GK171" s="2668"/>
      <c r="GL171" s="562"/>
      <c r="GM171" s="562"/>
      <c r="GN171" s="561"/>
      <c r="GO171" s="561"/>
      <c r="GP171" s="561"/>
      <c r="GQ171" s="561"/>
      <c r="GR171" s="561"/>
      <c r="GS171" s="561"/>
      <c r="GT171" s="561"/>
      <c r="GU171" s="561"/>
      <c r="GV171" s="2668"/>
      <c r="GW171" s="2668"/>
      <c r="GX171" s="2668"/>
      <c r="GY171" s="2668"/>
      <c r="GZ171" s="2668"/>
      <c r="HA171" s="2668"/>
      <c r="HB171" s="2668"/>
      <c r="HC171" s="2668"/>
      <c r="HD171" s="2668"/>
      <c r="HE171" s="2668"/>
      <c r="HF171" s="2668"/>
      <c r="HG171" s="2668"/>
      <c r="HH171" s="2668"/>
      <c r="HI171" s="2668"/>
      <c r="HJ171" s="2668"/>
      <c r="HK171" s="2668"/>
      <c r="HL171" s="2668"/>
      <c r="HM171" s="2668"/>
      <c r="HN171" s="2668"/>
      <c r="HO171" s="2668"/>
      <c r="HP171" s="2668"/>
      <c r="HQ171" s="2668"/>
      <c r="HR171" s="2668"/>
      <c r="HS171" s="2668"/>
      <c r="HT171" s="2668"/>
      <c r="HU171" s="2668"/>
      <c r="HV171" s="2668"/>
      <c r="HW171" s="2668"/>
      <c r="HX171" s="2668"/>
      <c r="HY171" s="2668"/>
      <c r="HZ171" s="2668"/>
      <c r="IA171" s="2668"/>
      <c r="IB171" s="2668"/>
      <c r="IC171" s="2668"/>
      <c r="ID171" s="2668"/>
      <c r="IE171" s="2668"/>
    </row>
    <row r="172" spans="70:239" ht="4.1500000000000004" customHeight="1">
      <c r="BR172" s="496"/>
      <c r="BS172" s="496"/>
      <c r="BT172" s="496"/>
      <c r="BU172" s="496"/>
      <c r="BV172" s="496"/>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L172" s="2668"/>
      <c r="DM172" s="2668"/>
      <c r="DN172" s="2668"/>
      <c r="DO172" s="2668"/>
      <c r="DP172" s="2668"/>
      <c r="DQ172" s="2668"/>
      <c r="DR172" s="2668"/>
      <c r="DS172" s="2668"/>
      <c r="DT172" s="2668"/>
      <c r="DU172" s="2668"/>
      <c r="DV172" s="2668"/>
      <c r="DW172" s="2668"/>
      <c r="DX172" s="2668"/>
      <c r="DY172" s="2668"/>
      <c r="DZ172" s="2668"/>
      <c r="EA172" s="2668"/>
      <c r="EB172" s="2668"/>
      <c r="EC172" s="2668"/>
      <c r="ED172" s="2668"/>
      <c r="EE172" s="2668"/>
      <c r="EF172" s="2668"/>
      <c r="EG172" s="2668"/>
      <c r="EH172" s="2668"/>
      <c r="EI172" s="2668"/>
      <c r="EJ172" s="2668"/>
      <c r="EK172" s="2668"/>
      <c r="EL172" s="2668"/>
      <c r="EM172" s="2668"/>
      <c r="EN172" s="2668"/>
      <c r="EO172" s="2668"/>
      <c r="EP172" s="2668"/>
      <c r="EQ172" s="2668"/>
      <c r="ER172" s="2668"/>
      <c r="ES172" s="562"/>
      <c r="ET172" s="562"/>
      <c r="EU172" s="562"/>
      <c r="EV172" s="562"/>
      <c r="EW172" s="562"/>
      <c r="EX172" s="562"/>
      <c r="EY172" s="562"/>
      <c r="EZ172" s="562"/>
      <c r="FA172" s="562"/>
      <c r="FB172" s="562"/>
      <c r="FC172" s="562"/>
      <c r="FD172" s="2668"/>
      <c r="FE172" s="2668"/>
      <c r="FF172" s="2668"/>
      <c r="FG172" s="2668"/>
      <c r="FH172" s="2668"/>
      <c r="FI172" s="2668"/>
      <c r="FJ172" s="2668"/>
      <c r="FK172" s="2668"/>
      <c r="FL172" s="2668"/>
      <c r="FM172" s="2668"/>
      <c r="FN172" s="2668"/>
      <c r="FO172" s="2668"/>
      <c r="FP172" s="2668"/>
      <c r="FQ172" s="2668"/>
      <c r="FR172" s="2668"/>
      <c r="FS172" s="2668"/>
      <c r="FT172" s="2668"/>
      <c r="FU172" s="2668"/>
      <c r="FV172" s="2668"/>
      <c r="FW172" s="2668"/>
      <c r="FX172" s="2668"/>
      <c r="FY172" s="2668"/>
      <c r="FZ172" s="2668"/>
      <c r="GA172" s="2668"/>
      <c r="GB172" s="2668"/>
      <c r="GC172" s="2668"/>
      <c r="GD172" s="2668"/>
      <c r="GE172" s="2668"/>
      <c r="GF172" s="2668"/>
      <c r="GG172" s="2668"/>
      <c r="GH172" s="2668"/>
      <c r="GI172" s="2668"/>
      <c r="GJ172" s="2668"/>
      <c r="GK172" s="2668"/>
      <c r="GL172" s="562"/>
      <c r="GM172" s="562"/>
      <c r="GN172" s="561"/>
      <c r="GO172" s="561"/>
      <c r="GP172" s="561"/>
      <c r="GQ172" s="561"/>
      <c r="GR172" s="561"/>
      <c r="GS172" s="561"/>
      <c r="GT172" s="561"/>
      <c r="GU172" s="561"/>
      <c r="GV172" s="2668"/>
      <c r="GW172" s="2668"/>
      <c r="GX172" s="2668"/>
      <c r="GY172" s="2668"/>
      <c r="GZ172" s="2668"/>
      <c r="HA172" s="2668"/>
      <c r="HB172" s="2668"/>
      <c r="HC172" s="2668"/>
      <c r="HD172" s="2668"/>
      <c r="HE172" s="2668"/>
      <c r="HF172" s="2668"/>
      <c r="HG172" s="2668"/>
      <c r="HH172" s="2668"/>
      <c r="HI172" s="2668"/>
      <c r="HJ172" s="2668"/>
      <c r="HK172" s="2668"/>
      <c r="HL172" s="2668"/>
      <c r="HM172" s="2668"/>
      <c r="HN172" s="2668"/>
      <c r="HO172" s="2668"/>
      <c r="HP172" s="2668"/>
      <c r="HQ172" s="2668"/>
      <c r="HR172" s="2668"/>
      <c r="HS172" s="2668"/>
      <c r="HT172" s="2668"/>
      <c r="HU172" s="2668"/>
      <c r="HV172" s="2668"/>
      <c r="HW172" s="2668"/>
      <c r="HX172" s="2668"/>
      <c r="HY172" s="2668"/>
      <c r="HZ172" s="2668"/>
      <c r="IA172" s="2668"/>
      <c r="IB172" s="2668"/>
      <c r="IC172" s="2668"/>
      <c r="ID172" s="2668"/>
      <c r="IE172" s="2668"/>
    </row>
    <row r="173" spans="70:239" ht="4.1500000000000004" customHeight="1">
      <c r="BR173" s="496"/>
      <c r="BS173" s="496"/>
      <c r="BT173" s="496"/>
      <c r="BU173" s="496"/>
      <c r="BV173" s="496"/>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row>
  </sheetData>
  <mergeCells count="136">
    <mergeCell ref="JB14:JH15"/>
    <mergeCell ref="ED15:EE20"/>
    <mergeCell ref="HD15:HO17"/>
    <mergeCell ref="EZ16:FC25"/>
    <mergeCell ref="IU16:IX24"/>
    <mergeCell ref="HD20:HO22"/>
    <mergeCell ref="JB40:JH41"/>
    <mergeCell ref="IU42:IX50"/>
    <mergeCell ref="FS49:FY51"/>
    <mergeCell ref="IJ26:IQ28"/>
    <mergeCell ref="EV27:FG29"/>
    <mergeCell ref="HD27:HO29"/>
    <mergeCell ref="FK30:FN39"/>
    <mergeCell ref="DY31:EE33"/>
    <mergeCell ref="ID31:IY33"/>
    <mergeCell ref="IJ52:IQ54"/>
    <mergeCell ref="EV53:FG55"/>
    <mergeCell ref="FL53:FO61"/>
    <mergeCell ref="EF56:EJ61"/>
    <mergeCell ref="EV58:FG60"/>
    <mergeCell ref="FS59:FY61"/>
    <mergeCell ref="ID60:IY62"/>
    <mergeCell ref="DM32:DP41"/>
    <mergeCell ref="EZ35:FC44"/>
    <mergeCell ref="HH35:HK44"/>
    <mergeCell ref="GV69:HA71"/>
    <mergeCell ref="HB69:HL75"/>
    <mergeCell ref="GC71:GF80"/>
    <mergeCell ref="HO71:HY73"/>
    <mergeCell ref="DZ72:EP76"/>
    <mergeCell ref="EV73:FG75"/>
    <mergeCell ref="AS62:BO65"/>
    <mergeCell ref="ED62:EL66"/>
    <mergeCell ref="EV63:FG65"/>
    <mergeCell ref="GW63:GZ68"/>
    <mergeCell ref="HO64:HY66"/>
    <mergeCell ref="EB67:EN71"/>
    <mergeCell ref="AS68:BO71"/>
    <mergeCell ref="EV68:FG70"/>
    <mergeCell ref="FL68:FO77"/>
    <mergeCell ref="GK69:GU75"/>
    <mergeCell ref="Y73:AK75"/>
    <mergeCell ref="BW73:CI75"/>
    <mergeCell ref="EV77:FG79"/>
    <mergeCell ref="HO78:HY80"/>
    <mergeCell ref="EV80:FG82"/>
    <mergeCell ref="R81:S87"/>
    <mergeCell ref="HO83:HY85"/>
    <mergeCell ref="CT85:CW95"/>
    <mergeCell ref="EB85:EO88"/>
    <mergeCell ref="HO86:HY88"/>
    <mergeCell ref="AU88:BL90"/>
    <mergeCell ref="GR91:HC93"/>
    <mergeCell ref="AU91:BA94"/>
    <mergeCell ref="BB91:BE94"/>
    <mergeCell ref="BF91:BL94"/>
    <mergeCell ref="AZ73:BL75"/>
    <mergeCell ref="D96:G105"/>
    <mergeCell ref="EP96:EV98"/>
    <mergeCell ref="EW96:FC98"/>
    <mergeCell ref="FD96:FJ98"/>
    <mergeCell ref="DQ97:DV99"/>
    <mergeCell ref="GF99:ID102"/>
    <mergeCell ref="FJ100:FR102"/>
    <mergeCell ref="FJ103:FR105"/>
    <mergeCell ref="GF103:GQ105"/>
    <mergeCell ref="GR103:HB105"/>
    <mergeCell ref="HC103:HF105"/>
    <mergeCell ref="HG103:HQ105"/>
    <mergeCell ref="HR103:HU105"/>
    <mergeCell ref="HV103:ID105"/>
    <mergeCell ref="HG106:HQ108"/>
    <mergeCell ref="HR106:HU108"/>
    <mergeCell ref="HV106:ID108"/>
    <mergeCell ref="K107:N116"/>
    <mergeCell ref="CT108:CW117"/>
    <mergeCell ref="EC109:EM112"/>
    <mergeCell ref="FK109:FR110"/>
    <mergeCell ref="GF109:GQ111"/>
    <mergeCell ref="GR109:HB111"/>
    <mergeCell ref="HC109:HF111"/>
    <mergeCell ref="DA106:DD115"/>
    <mergeCell ref="EC106:EH108"/>
    <mergeCell ref="FJ106:FR108"/>
    <mergeCell ref="GF106:GQ108"/>
    <mergeCell ref="GR106:HB108"/>
    <mergeCell ref="HC106:HF108"/>
    <mergeCell ref="EP115:FJ117"/>
    <mergeCell ref="GF115:GQ117"/>
    <mergeCell ref="GR115:HB117"/>
    <mergeCell ref="HC115:HF117"/>
    <mergeCell ref="HG109:HQ111"/>
    <mergeCell ref="HR109:HU111"/>
    <mergeCell ref="HV109:ID111"/>
    <mergeCell ref="FK111:FR112"/>
    <mergeCell ref="HG118:HQ120"/>
    <mergeCell ref="HR118:HU120"/>
    <mergeCell ref="HV118:ID120"/>
    <mergeCell ref="Z138:AG140"/>
    <mergeCell ref="BA138:BH140"/>
    <mergeCell ref="BY138:CF140"/>
    <mergeCell ref="GF124:GQ126"/>
    <mergeCell ref="GR124:HB126"/>
    <mergeCell ref="HC124:HF126"/>
    <mergeCell ref="HG124:HQ126"/>
    <mergeCell ref="HR124:HU126"/>
    <mergeCell ref="HV124:ID126"/>
    <mergeCell ref="CT127:CW137"/>
    <mergeCell ref="AU128:BL130"/>
    <mergeCell ref="AU131:BA133"/>
    <mergeCell ref="BB131:BE133"/>
    <mergeCell ref="BF131:BL133"/>
    <mergeCell ref="DL167:ER169"/>
    <mergeCell ref="FB167:GM169"/>
    <mergeCell ref="GV167:IE169"/>
    <mergeCell ref="DL170:ER172"/>
    <mergeCell ref="FD170:GK172"/>
    <mergeCell ref="GV170:IE172"/>
    <mergeCell ref="HR112:HU114"/>
    <mergeCell ref="HV112:ID114"/>
    <mergeCell ref="GF121:GQ123"/>
    <mergeCell ref="GR121:HB123"/>
    <mergeCell ref="HC121:HF123"/>
    <mergeCell ref="HG121:HQ123"/>
    <mergeCell ref="HR121:HU123"/>
    <mergeCell ref="HV121:ID123"/>
    <mergeCell ref="HG115:HQ117"/>
    <mergeCell ref="HR115:HU117"/>
    <mergeCell ref="HV115:ID117"/>
    <mergeCell ref="GF118:GQ120"/>
    <mergeCell ref="GF112:GQ114"/>
    <mergeCell ref="GR112:HB114"/>
    <mergeCell ref="HC112:HF114"/>
    <mergeCell ref="HG112:HQ114"/>
    <mergeCell ref="GR118:HB120"/>
    <mergeCell ref="HC118:HF120"/>
  </mergeCells>
  <pageMargins left="0.19685039370078741" right="0.11811023622047245" top="0.35433070866141736" bottom="0.15748031496062992" header="0.31496062992125984" footer="0.31496062992125984"/>
  <pageSetup paperSize="9" scale="80" orientation="landscape" r:id="rId1"/>
</worksheet>
</file>

<file path=xl/worksheets/sheet11.xml><?xml version="1.0" encoding="utf-8"?>
<worksheet xmlns="http://schemas.openxmlformats.org/spreadsheetml/2006/main" xmlns:r="http://schemas.openxmlformats.org/officeDocument/2006/relationships">
  <sheetPr>
    <tabColor rgb="FF00B050"/>
  </sheetPr>
  <dimension ref="H14:JG175"/>
  <sheetViews>
    <sheetView view="pageBreakPreview" topLeftCell="A49" zoomScale="66" zoomScaleSheetLayoutView="66" workbookViewId="0">
      <selection activeCell="JS35" sqref="JS35"/>
    </sheetView>
  </sheetViews>
  <sheetFormatPr defaultColWidth="0.7109375" defaultRowHeight="4.1500000000000004" customHeight="1"/>
  <cols>
    <col min="1" max="16384" width="0.7109375" style="494"/>
  </cols>
  <sheetData>
    <row r="14" spans="21:267" ht="4.1500000000000004" customHeight="1">
      <c r="EC14" s="508"/>
      <c r="ED14" s="509"/>
      <c r="EE14" s="509"/>
      <c r="EF14" s="509"/>
      <c r="EG14" s="509"/>
      <c r="EH14" s="509"/>
      <c r="EI14" s="509"/>
      <c r="EJ14" s="509"/>
      <c r="EK14" s="509"/>
      <c r="EL14" s="509"/>
      <c r="EM14" s="509"/>
      <c r="EN14" s="509"/>
      <c r="EO14" s="509"/>
      <c r="EP14" s="509"/>
      <c r="EQ14" s="509"/>
      <c r="ER14" s="509"/>
      <c r="ES14" s="509"/>
      <c r="ET14" s="509"/>
      <c r="EU14" s="509"/>
      <c r="EV14" s="509"/>
      <c r="EW14" s="509"/>
      <c r="EX14" s="509"/>
      <c r="EY14" s="509"/>
      <c r="EZ14" s="509"/>
      <c r="FA14" s="509"/>
      <c r="FB14" s="509"/>
      <c r="FC14" s="509"/>
      <c r="FD14" s="509"/>
      <c r="FE14" s="509"/>
      <c r="FF14" s="509"/>
      <c r="FG14" s="509"/>
      <c r="FH14" s="509"/>
      <c r="FI14" s="509"/>
      <c r="FJ14" s="509"/>
      <c r="FK14" s="509"/>
      <c r="FL14" s="509"/>
      <c r="FM14" s="509"/>
      <c r="FN14" s="510"/>
      <c r="FO14" s="509"/>
      <c r="FP14" s="509"/>
      <c r="FQ14" s="509"/>
      <c r="FR14" s="509"/>
      <c r="FS14" s="509"/>
      <c r="FT14" s="509"/>
      <c r="FU14" s="509"/>
      <c r="FV14" s="509"/>
      <c r="FW14" s="509"/>
      <c r="FX14" s="509"/>
      <c r="FY14" s="509"/>
      <c r="GT14" s="508"/>
      <c r="GU14" s="509"/>
      <c r="GV14" s="509"/>
      <c r="GW14" s="509"/>
      <c r="GX14" s="509"/>
      <c r="GY14" s="509"/>
      <c r="GZ14" s="509"/>
      <c r="HA14" s="509"/>
      <c r="HB14" s="509"/>
      <c r="HC14" s="509"/>
      <c r="HD14" s="509"/>
      <c r="HE14" s="509"/>
      <c r="HF14" s="509"/>
      <c r="HG14" s="509"/>
      <c r="HH14" s="509"/>
      <c r="HI14" s="509"/>
      <c r="HJ14" s="509"/>
      <c r="HK14" s="509"/>
      <c r="HL14" s="509"/>
      <c r="HM14" s="509"/>
      <c r="HN14" s="509"/>
      <c r="HO14" s="509"/>
      <c r="HP14" s="509"/>
      <c r="HQ14" s="509"/>
      <c r="HR14" s="509"/>
      <c r="HS14" s="509"/>
      <c r="HT14" s="509"/>
      <c r="HU14" s="510"/>
      <c r="IB14" s="515"/>
      <c r="IC14" s="514"/>
      <c r="ID14" s="514"/>
      <c r="IE14" s="514"/>
      <c r="IF14" s="514"/>
      <c r="IG14" s="514"/>
      <c r="IH14" s="514"/>
      <c r="II14" s="514"/>
      <c r="IJ14" s="514"/>
      <c r="IK14" s="514"/>
      <c r="IL14" s="514"/>
      <c r="IM14" s="514"/>
      <c r="IN14" s="514"/>
      <c r="IO14" s="514"/>
      <c r="IP14" s="514"/>
      <c r="IQ14" s="514"/>
      <c r="IR14" s="514"/>
      <c r="IS14" s="514"/>
      <c r="IT14" s="514"/>
      <c r="IU14" s="514"/>
      <c r="IV14" s="514"/>
      <c r="IW14" s="518"/>
      <c r="JA14" s="2597">
        <v>0.125</v>
      </c>
      <c r="JB14" s="2597"/>
      <c r="JC14" s="2597"/>
      <c r="JD14" s="2597"/>
      <c r="JE14" s="2597"/>
      <c r="JF14" s="2597"/>
      <c r="JG14" s="2597"/>
    </row>
    <row r="15" spans="21:267" ht="4.1500000000000004" customHeight="1">
      <c r="U15" s="511"/>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3"/>
      <c r="DK15" s="514"/>
      <c r="DL15" s="514"/>
      <c r="DM15" s="514"/>
      <c r="DN15" s="515"/>
      <c r="DO15" s="514"/>
      <c r="EC15" s="2590">
        <v>0.15</v>
      </c>
      <c r="ED15" s="2591"/>
      <c r="EE15" s="516"/>
      <c r="EI15" s="517"/>
      <c r="FL15" s="516"/>
      <c r="GV15" s="522"/>
      <c r="GW15" s="523"/>
      <c r="GX15" s="523"/>
      <c r="GY15" s="524"/>
      <c r="HC15" s="2596">
        <v>0.25</v>
      </c>
      <c r="HD15" s="2597"/>
      <c r="HE15" s="2597"/>
      <c r="HF15" s="2597"/>
      <c r="HG15" s="2597"/>
      <c r="HH15" s="2597"/>
      <c r="HI15" s="2597"/>
      <c r="HJ15" s="2597"/>
      <c r="HK15" s="2597"/>
      <c r="HL15" s="2597"/>
      <c r="HM15" s="2597"/>
      <c r="HN15" s="2597"/>
      <c r="IB15" s="530"/>
      <c r="IC15" s="532"/>
      <c r="ID15" s="532"/>
      <c r="IE15" s="532"/>
      <c r="IF15" s="532"/>
      <c r="IG15" s="532"/>
      <c r="IH15" s="532"/>
      <c r="IJ15" s="515"/>
      <c r="IK15" s="514"/>
      <c r="IL15" s="514"/>
      <c r="IM15" s="514"/>
      <c r="IN15" s="514"/>
      <c r="IO15" s="518"/>
      <c r="IQ15" s="532"/>
      <c r="IR15" s="532"/>
      <c r="IS15" s="532"/>
      <c r="IT15" s="532"/>
      <c r="IU15" s="532"/>
      <c r="IV15" s="532"/>
      <c r="IW15" s="531"/>
      <c r="JA15" s="2598"/>
      <c r="JB15" s="2598"/>
      <c r="JC15" s="2598"/>
      <c r="JD15" s="2598"/>
      <c r="JE15" s="2598"/>
      <c r="JF15" s="2598"/>
      <c r="JG15" s="2598"/>
    </row>
    <row r="16" spans="21:267" ht="4.1500000000000004" customHeight="1">
      <c r="V16" s="516"/>
      <c r="CK16" s="517"/>
      <c r="DN16" s="516"/>
      <c r="EC16" s="2592"/>
      <c r="ED16" s="2593"/>
      <c r="EE16" s="516"/>
      <c r="EI16" s="517"/>
      <c r="EY16" s="2594">
        <v>1.1000000000000001</v>
      </c>
      <c r="EZ16" s="2595"/>
      <c r="FA16" s="2595"/>
      <c r="FB16" s="2595"/>
      <c r="FL16" s="516"/>
      <c r="GV16" s="522"/>
      <c r="GW16" s="523"/>
      <c r="GX16" s="523"/>
      <c r="GY16" s="524"/>
      <c r="HC16" s="2596"/>
      <c r="HD16" s="2596"/>
      <c r="HE16" s="2596"/>
      <c r="HF16" s="2596"/>
      <c r="HG16" s="2596"/>
      <c r="HH16" s="2596"/>
      <c r="HI16" s="2596"/>
      <c r="HJ16" s="2596"/>
      <c r="HK16" s="2596"/>
      <c r="HL16" s="2596"/>
      <c r="HM16" s="2596"/>
      <c r="HN16" s="2596"/>
      <c r="II16" s="516"/>
      <c r="IJ16" s="516"/>
      <c r="IO16" s="517"/>
      <c r="IP16" s="517"/>
      <c r="IT16" s="2613">
        <v>0.3</v>
      </c>
      <c r="IU16" s="2613"/>
      <c r="IV16" s="2613"/>
      <c r="IW16" s="2613"/>
    </row>
    <row r="17" spans="22:258" ht="4.1500000000000004" customHeight="1">
      <c r="V17" s="516"/>
      <c r="CK17" s="517"/>
      <c r="DN17" s="516"/>
      <c r="EC17" s="2592"/>
      <c r="ED17" s="2593"/>
      <c r="EE17" s="516"/>
      <c r="EI17" s="517"/>
      <c r="EY17" s="2595"/>
      <c r="EZ17" s="2595"/>
      <c r="FA17" s="2595"/>
      <c r="FB17" s="2595"/>
      <c r="FL17" s="516"/>
      <c r="GV17" s="522"/>
      <c r="GW17" s="523"/>
      <c r="GX17" s="523"/>
      <c r="GY17" s="524"/>
      <c r="HC17" s="2598"/>
      <c r="HD17" s="2598"/>
      <c r="HE17" s="2598"/>
      <c r="HF17" s="2598"/>
      <c r="HG17" s="2598"/>
      <c r="HH17" s="2598"/>
      <c r="HI17" s="2598"/>
      <c r="HJ17" s="2598"/>
      <c r="HK17" s="2598"/>
      <c r="HL17" s="2598"/>
      <c r="HM17" s="2598"/>
      <c r="HN17" s="2598"/>
      <c r="II17" s="516"/>
      <c r="IJ17" s="516"/>
      <c r="IO17" s="517"/>
      <c r="IP17" s="517"/>
      <c r="IT17" s="2594"/>
      <c r="IU17" s="2594"/>
      <c r="IV17" s="2594"/>
      <c r="IW17" s="2594"/>
    </row>
    <row r="18" spans="22:258" ht="4.1500000000000004" customHeight="1">
      <c r="V18" s="516"/>
      <c r="CK18" s="517"/>
      <c r="DN18" s="516"/>
      <c r="EC18" s="2592"/>
      <c r="ED18" s="2593"/>
      <c r="EE18" s="516"/>
      <c r="EI18" s="517"/>
      <c r="EY18" s="2595"/>
      <c r="EZ18" s="2595"/>
      <c r="FA18" s="2595"/>
      <c r="FB18" s="2595"/>
      <c r="FL18" s="516"/>
      <c r="GV18" s="516"/>
      <c r="GY18" s="517"/>
      <c r="HI18" s="515"/>
      <c r="HJ18" s="514"/>
      <c r="II18" s="516"/>
      <c r="IJ18" s="516"/>
      <c r="IO18" s="517"/>
      <c r="IP18" s="517"/>
      <c r="IT18" s="2594"/>
      <c r="IU18" s="2594"/>
      <c r="IV18" s="2594"/>
      <c r="IW18" s="2594"/>
    </row>
    <row r="19" spans="22:258" ht="4.1500000000000004" customHeight="1">
      <c r="V19" s="516"/>
      <c r="CK19" s="517"/>
      <c r="DN19" s="516"/>
      <c r="EC19" s="2592"/>
      <c r="ED19" s="2593"/>
      <c r="EE19" s="516"/>
      <c r="EI19" s="517"/>
      <c r="EY19" s="2595"/>
      <c r="EZ19" s="2595"/>
      <c r="FA19" s="2595"/>
      <c r="FB19" s="2595"/>
      <c r="FL19" s="516"/>
      <c r="GV19" s="516"/>
      <c r="GY19" s="517"/>
      <c r="HI19" s="516"/>
      <c r="II19" s="516"/>
      <c r="IJ19" s="516"/>
      <c r="IO19" s="517"/>
      <c r="IP19" s="517"/>
      <c r="IT19" s="2594"/>
      <c r="IU19" s="2594"/>
      <c r="IV19" s="2594"/>
      <c r="IW19" s="2594"/>
    </row>
    <row r="20" spans="22:258" ht="4.1500000000000004" customHeight="1">
      <c r="V20" s="516"/>
      <c r="CK20" s="517"/>
      <c r="DN20" s="516"/>
      <c r="EC20" s="2592"/>
      <c r="ED20" s="2593"/>
      <c r="EE20" s="516"/>
      <c r="EI20" s="517"/>
      <c r="EY20" s="2595"/>
      <c r="EZ20" s="2595"/>
      <c r="FA20" s="2595"/>
      <c r="FB20" s="2595"/>
      <c r="FL20" s="516"/>
      <c r="GV20" s="516"/>
      <c r="GY20" s="517"/>
      <c r="HC20" s="2615">
        <f>EY16-HC15</f>
        <v>0.85000000000000009</v>
      </c>
      <c r="HD20" s="2608"/>
      <c r="HE20" s="2608"/>
      <c r="HF20" s="2608"/>
      <c r="HG20" s="2608"/>
      <c r="HH20" s="2608"/>
      <c r="HI20" s="2608"/>
      <c r="HJ20" s="2608"/>
      <c r="HK20" s="2608"/>
      <c r="HL20" s="2608"/>
      <c r="HM20" s="2608"/>
      <c r="HN20" s="2608"/>
      <c r="II20" s="516"/>
      <c r="IJ20" s="516"/>
      <c r="IO20" s="517"/>
      <c r="IP20" s="517"/>
      <c r="IT20" s="2594"/>
      <c r="IU20" s="2594"/>
      <c r="IV20" s="2594"/>
      <c r="IW20" s="2594"/>
    </row>
    <row r="21" spans="22:258" ht="4.1500000000000004" customHeight="1">
      <c r="V21" s="516"/>
      <c r="CK21" s="517"/>
      <c r="DN21" s="516"/>
      <c r="EE21" s="516"/>
      <c r="EI21" s="517"/>
      <c r="EY21" s="2595"/>
      <c r="EZ21" s="2595"/>
      <c r="FA21" s="2595"/>
      <c r="FB21" s="2595"/>
      <c r="FL21" s="516"/>
      <c r="GV21" s="516"/>
      <c r="GY21" s="517"/>
      <c r="HC21" s="2608"/>
      <c r="HD21" s="2608"/>
      <c r="HE21" s="2608"/>
      <c r="HF21" s="2608"/>
      <c r="HG21" s="2608"/>
      <c r="HH21" s="2608"/>
      <c r="HI21" s="2608"/>
      <c r="HJ21" s="2608"/>
      <c r="HK21" s="2608"/>
      <c r="HL21" s="2608"/>
      <c r="HM21" s="2608"/>
      <c r="HN21" s="2608"/>
      <c r="II21" s="516"/>
      <c r="IJ21" s="516"/>
      <c r="IO21" s="517"/>
      <c r="IP21" s="517"/>
      <c r="IT21" s="2594"/>
      <c r="IU21" s="2594"/>
      <c r="IV21" s="2594"/>
      <c r="IW21" s="2594"/>
    </row>
    <row r="22" spans="22:258" ht="4.1500000000000004" customHeight="1">
      <c r="V22" s="516"/>
      <c r="CK22" s="517"/>
      <c r="DN22" s="516"/>
      <c r="EE22" s="516"/>
      <c r="EI22" s="517"/>
      <c r="EY22" s="2595"/>
      <c r="EZ22" s="2595"/>
      <c r="FA22" s="2595"/>
      <c r="FB22" s="2595"/>
      <c r="FL22" s="516"/>
      <c r="GV22" s="516"/>
      <c r="GY22" s="517"/>
      <c r="HC22" s="2608"/>
      <c r="HD22" s="2608"/>
      <c r="HE22" s="2608"/>
      <c r="HF22" s="2608"/>
      <c r="HG22" s="2608"/>
      <c r="HH22" s="2608"/>
      <c r="HI22" s="2608"/>
      <c r="HJ22" s="2608"/>
      <c r="HK22" s="2608"/>
      <c r="HL22" s="2608"/>
      <c r="HM22" s="2608"/>
      <c r="HN22" s="2608"/>
      <c r="II22" s="516"/>
      <c r="IJ22" s="516"/>
      <c r="IO22" s="517"/>
      <c r="IP22" s="517"/>
      <c r="IT22" s="2594"/>
      <c r="IU22" s="2594"/>
      <c r="IV22" s="2594"/>
      <c r="IW22" s="2594"/>
    </row>
    <row r="23" spans="22:258" ht="4.1500000000000004" customHeight="1">
      <c r="V23" s="516"/>
      <c r="CK23" s="517"/>
      <c r="DN23" s="516"/>
      <c r="EE23" s="516"/>
      <c r="EI23" s="517"/>
      <c r="EY23" s="2595"/>
      <c r="EZ23" s="2595"/>
      <c r="FA23" s="2595"/>
      <c r="FB23" s="2595"/>
      <c r="FL23" s="516"/>
      <c r="GV23" s="516"/>
      <c r="GY23" s="517"/>
      <c r="HI23" s="516"/>
      <c r="II23" s="516"/>
      <c r="IJ23" s="530"/>
      <c r="IK23" s="532"/>
      <c r="IL23" s="532"/>
      <c r="IM23" s="532"/>
      <c r="IN23" s="532"/>
      <c r="IO23" s="531"/>
      <c r="IP23" s="517"/>
      <c r="IT23" s="2594"/>
      <c r="IU23" s="2594"/>
      <c r="IV23" s="2594"/>
      <c r="IW23" s="2594"/>
    </row>
    <row r="24" spans="22:258" ht="4.1500000000000004" customHeight="1">
      <c r="V24" s="516"/>
      <c r="CK24" s="517"/>
      <c r="DN24" s="516"/>
      <c r="EE24" s="516"/>
      <c r="EI24" s="517"/>
      <c r="EY24" s="2595"/>
      <c r="EZ24" s="2595"/>
      <c r="FA24" s="2595"/>
      <c r="FB24" s="2595"/>
      <c r="FL24" s="516"/>
      <c r="GV24" s="516"/>
      <c r="GY24" s="517"/>
      <c r="HI24" s="516"/>
      <c r="II24" s="530"/>
      <c r="IJ24" s="532"/>
      <c r="IK24" s="532"/>
      <c r="IL24" s="532"/>
      <c r="IM24" s="532"/>
      <c r="IN24" s="532"/>
      <c r="IO24" s="532"/>
      <c r="IP24" s="531"/>
      <c r="IT24" s="2614"/>
      <c r="IU24" s="2614"/>
      <c r="IV24" s="2614"/>
      <c r="IW24" s="2614"/>
    </row>
    <row r="25" spans="22:258" ht="4.1500000000000004" customHeight="1">
      <c r="V25" s="516"/>
      <c r="CK25" s="517"/>
      <c r="DN25" s="516"/>
      <c r="EE25" s="516"/>
      <c r="EI25" s="517"/>
      <c r="EY25" s="2595"/>
      <c r="EZ25" s="2595"/>
      <c r="FA25" s="2595"/>
      <c r="FB25" s="2595"/>
      <c r="FL25" s="516"/>
      <c r="GV25" s="516"/>
      <c r="GY25" s="517"/>
      <c r="HI25" s="516"/>
    </row>
    <row r="26" spans="22:258" ht="4.1500000000000004" customHeight="1">
      <c r="V26" s="516"/>
      <c r="CK26" s="517"/>
      <c r="DN26" s="516"/>
      <c r="EE26" s="516"/>
      <c r="EI26" s="517"/>
      <c r="FL26" s="516"/>
      <c r="GV26" s="516"/>
      <c r="GY26" s="517"/>
      <c r="HI26" s="530"/>
      <c r="HJ26" s="532"/>
      <c r="HK26" s="532"/>
      <c r="HL26" s="532"/>
      <c r="HM26" s="532"/>
      <c r="II26" s="2609">
        <v>0.25</v>
      </c>
      <c r="IJ26" s="2610"/>
      <c r="IK26" s="2610"/>
      <c r="IL26" s="2610"/>
      <c r="IM26" s="2610"/>
      <c r="IN26" s="2610"/>
      <c r="IO26" s="2610"/>
      <c r="IP26" s="2611"/>
    </row>
    <row r="27" spans="22:258" ht="4.1500000000000004" customHeight="1">
      <c r="V27" s="515"/>
      <c r="W27" s="514"/>
      <c r="X27" s="514"/>
      <c r="Y27" s="514"/>
      <c r="Z27" s="512"/>
      <c r="AA27" s="512"/>
      <c r="AB27" s="512"/>
      <c r="AC27" s="512"/>
      <c r="AD27" s="512"/>
      <c r="AE27" s="512"/>
      <c r="AF27" s="512"/>
      <c r="AG27" s="512"/>
      <c r="AH27" s="512"/>
      <c r="AI27" s="512"/>
      <c r="AJ27" s="512"/>
      <c r="AK27" s="512"/>
      <c r="AL27" s="512"/>
      <c r="AM27" s="512"/>
      <c r="AN27" s="512"/>
      <c r="AO27" s="512"/>
      <c r="AP27" s="512"/>
      <c r="AQ27" s="512"/>
      <c r="AR27" s="514"/>
      <c r="AS27" s="512"/>
      <c r="AT27" s="512"/>
      <c r="AU27" s="512"/>
      <c r="AV27" s="512"/>
      <c r="AW27" s="512"/>
      <c r="AX27" s="512"/>
      <c r="AY27" s="512"/>
      <c r="AZ27" s="512"/>
      <c r="BA27" s="512"/>
      <c r="BB27" s="514"/>
      <c r="BC27" s="514"/>
      <c r="BD27" s="514"/>
      <c r="BE27" s="514"/>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4"/>
      <c r="CI27" s="514"/>
      <c r="CJ27" s="514"/>
      <c r="CK27" s="518"/>
      <c r="DN27" s="516"/>
      <c r="EE27" s="519"/>
      <c r="EF27" s="520"/>
      <c r="EG27" s="520"/>
      <c r="EH27" s="520"/>
      <c r="EI27" s="521"/>
      <c r="EU27" s="2596">
        <v>0.15</v>
      </c>
      <c r="EV27" s="2597"/>
      <c r="EW27" s="2597"/>
      <c r="EX27" s="2597"/>
      <c r="EY27" s="2597"/>
      <c r="EZ27" s="2597"/>
      <c r="FA27" s="2597"/>
      <c r="FB27" s="2597"/>
      <c r="FC27" s="2597"/>
      <c r="FD27" s="2597"/>
      <c r="FE27" s="2597"/>
      <c r="FF27" s="2597"/>
      <c r="FL27" s="516"/>
      <c r="GV27" s="522"/>
      <c r="GW27" s="523"/>
      <c r="GX27" s="523"/>
      <c r="GY27" s="524"/>
      <c r="HC27" s="2596">
        <v>0.15</v>
      </c>
      <c r="HD27" s="2597"/>
      <c r="HE27" s="2597"/>
      <c r="HF27" s="2597"/>
      <c r="HG27" s="2597"/>
      <c r="HH27" s="2597"/>
      <c r="HI27" s="2597"/>
      <c r="HJ27" s="2597"/>
      <c r="HK27" s="2597"/>
      <c r="HL27" s="2597"/>
      <c r="HM27" s="2597"/>
      <c r="HN27" s="2597"/>
      <c r="II27" s="2609"/>
      <c r="IJ27" s="2610"/>
      <c r="IK27" s="2610"/>
      <c r="IL27" s="2610"/>
      <c r="IM27" s="2610"/>
      <c r="IN27" s="2610"/>
      <c r="IO27" s="2610"/>
      <c r="IP27" s="2611"/>
    </row>
    <row r="28" spans="22:258" ht="4.1500000000000004" customHeight="1">
      <c r="V28" s="515"/>
      <c r="W28" s="518"/>
      <c r="X28" s="514"/>
      <c r="Y28" s="515"/>
      <c r="Z28" s="514"/>
      <c r="AA28" s="514"/>
      <c r="AB28" s="514"/>
      <c r="AC28" s="515"/>
      <c r="AD28" s="525"/>
      <c r="AE28" s="514"/>
      <c r="AF28" s="514"/>
      <c r="AG28" s="514"/>
      <c r="AH28" s="518"/>
      <c r="AM28" s="515"/>
      <c r="AN28" s="514"/>
      <c r="AO28" s="514"/>
      <c r="AP28" s="514"/>
      <c r="AQ28" s="514"/>
      <c r="AR28" s="518"/>
      <c r="AS28" s="514"/>
      <c r="AT28" s="514"/>
      <c r="AU28" s="514"/>
      <c r="AV28" s="514"/>
      <c r="AW28" s="518"/>
      <c r="BB28" s="514"/>
      <c r="BC28" s="515"/>
      <c r="BD28" s="518"/>
      <c r="BE28" s="514"/>
      <c r="BO28" s="515"/>
      <c r="BP28" s="514"/>
      <c r="BQ28" s="514"/>
      <c r="BR28" s="514"/>
      <c r="BS28" s="514"/>
      <c r="BT28" s="518"/>
      <c r="BU28" s="514"/>
      <c r="BV28" s="514"/>
      <c r="BW28" s="514"/>
      <c r="BX28" s="514"/>
      <c r="BY28" s="518"/>
      <c r="CG28" s="514"/>
      <c r="CH28" s="514"/>
      <c r="CI28" s="514"/>
      <c r="CJ28" s="515"/>
      <c r="CK28" s="518"/>
      <c r="DN28" s="516"/>
      <c r="EE28" s="522"/>
      <c r="EF28" s="523"/>
      <c r="EG28" s="523"/>
      <c r="EH28" s="523"/>
      <c r="EI28" s="524"/>
      <c r="EU28" s="2596"/>
      <c r="EV28" s="2596"/>
      <c r="EW28" s="2596"/>
      <c r="EX28" s="2596"/>
      <c r="EY28" s="2596"/>
      <c r="EZ28" s="2596"/>
      <c r="FA28" s="2596"/>
      <c r="FB28" s="2596"/>
      <c r="FC28" s="2596"/>
      <c r="FD28" s="2596"/>
      <c r="FE28" s="2596"/>
      <c r="FF28" s="2596"/>
      <c r="FL28" s="516"/>
      <c r="GV28" s="522"/>
      <c r="GW28" s="523"/>
      <c r="GX28" s="523"/>
      <c r="GY28" s="524"/>
      <c r="HC28" s="2596"/>
      <c r="HD28" s="2596"/>
      <c r="HE28" s="2596"/>
      <c r="HF28" s="2596"/>
      <c r="HG28" s="2596"/>
      <c r="HH28" s="2596"/>
      <c r="HI28" s="2596"/>
      <c r="HJ28" s="2596"/>
      <c r="HK28" s="2596"/>
      <c r="HL28" s="2596"/>
      <c r="HM28" s="2596"/>
      <c r="HN28" s="2596"/>
      <c r="II28" s="2609"/>
      <c r="IJ28" s="2610"/>
      <c r="IK28" s="2610"/>
      <c r="IL28" s="2610"/>
      <c r="IM28" s="2610"/>
      <c r="IN28" s="2610"/>
      <c r="IO28" s="2610"/>
      <c r="IP28" s="2611"/>
    </row>
    <row r="29" spans="22:258" ht="4.1500000000000004" customHeight="1">
      <c r="V29" s="516"/>
      <c r="W29" s="517"/>
      <c r="Y29" s="516"/>
      <c r="Z29" s="515"/>
      <c r="AA29" s="518"/>
      <c r="AC29" s="516"/>
      <c r="AD29" s="526"/>
      <c r="AF29" s="515"/>
      <c r="AG29" s="518"/>
      <c r="AH29" s="517"/>
      <c r="AM29" s="516"/>
      <c r="AN29" s="515"/>
      <c r="AO29" s="514"/>
      <c r="AP29" s="514"/>
      <c r="AQ29" s="518"/>
      <c r="AS29" s="515"/>
      <c r="AT29" s="514"/>
      <c r="AU29" s="514"/>
      <c r="AV29" s="518"/>
      <c r="AW29" s="517"/>
      <c r="BC29" s="516"/>
      <c r="BD29" s="517"/>
      <c r="BO29" s="516"/>
      <c r="BP29" s="515"/>
      <c r="BQ29" s="514"/>
      <c r="BR29" s="514"/>
      <c r="BS29" s="518"/>
      <c r="BU29" s="515"/>
      <c r="BV29" s="514"/>
      <c r="BW29" s="514"/>
      <c r="BX29" s="518"/>
      <c r="BY29" s="517"/>
      <c r="CJ29" s="516"/>
      <c r="CK29" s="517"/>
      <c r="DN29" s="516"/>
      <c r="DX29" s="508"/>
      <c r="DY29" s="509"/>
      <c r="DZ29" s="509"/>
      <c r="EA29" s="509"/>
      <c r="EB29" s="509"/>
      <c r="EC29" s="509"/>
      <c r="ED29" s="510"/>
      <c r="EE29" s="527"/>
      <c r="EF29" s="528"/>
      <c r="EG29" s="528"/>
      <c r="EH29" s="528"/>
      <c r="EI29" s="529"/>
      <c r="EU29" s="2598"/>
      <c r="EV29" s="2598"/>
      <c r="EW29" s="2598"/>
      <c r="EX29" s="2598"/>
      <c r="EY29" s="2598"/>
      <c r="EZ29" s="2598"/>
      <c r="FA29" s="2598"/>
      <c r="FB29" s="2598"/>
      <c r="FC29" s="2598"/>
      <c r="FD29" s="2598"/>
      <c r="FE29" s="2598"/>
      <c r="FF29" s="2598"/>
      <c r="FL29" s="516"/>
      <c r="GP29" s="508"/>
      <c r="GQ29" s="509"/>
      <c r="GR29" s="509"/>
      <c r="GS29" s="509"/>
      <c r="GT29" s="509"/>
      <c r="GU29" s="510"/>
      <c r="GV29" s="522"/>
      <c r="GW29" s="523"/>
      <c r="GX29" s="523"/>
      <c r="GY29" s="524"/>
      <c r="HC29" s="2598"/>
      <c r="HD29" s="2598"/>
      <c r="HE29" s="2598"/>
      <c r="HF29" s="2598"/>
      <c r="HG29" s="2598"/>
      <c r="HH29" s="2598"/>
      <c r="HI29" s="2598"/>
      <c r="HJ29" s="2598"/>
      <c r="HK29" s="2598"/>
      <c r="HL29" s="2598"/>
      <c r="HM29" s="2598"/>
      <c r="HN29" s="2598"/>
    </row>
    <row r="30" spans="22:258" ht="4.1500000000000004" customHeight="1">
      <c r="V30" s="516"/>
      <c r="W30" s="517"/>
      <c r="Y30" s="516"/>
      <c r="Z30" s="516"/>
      <c r="AA30" s="517"/>
      <c r="AC30" s="516"/>
      <c r="AD30" s="526"/>
      <c r="AF30" s="516"/>
      <c r="AG30" s="517"/>
      <c r="AH30" s="517"/>
      <c r="AM30" s="516"/>
      <c r="AN30" s="516"/>
      <c r="AQ30" s="517"/>
      <c r="AS30" s="516"/>
      <c r="AV30" s="517"/>
      <c r="AW30" s="517"/>
      <c r="BC30" s="516"/>
      <c r="BD30" s="517"/>
      <c r="BO30" s="516"/>
      <c r="BP30" s="516"/>
      <c r="BS30" s="517"/>
      <c r="BU30" s="516"/>
      <c r="BX30" s="517"/>
      <c r="BY30" s="517"/>
      <c r="CJ30" s="516"/>
      <c r="CK30" s="517"/>
      <c r="DN30" s="516"/>
      <c r="EE30" s="516"/>
      <c r="EI30" s="517"/>
      <c r="EU30" s="514"/>
      <c r="EV30" s="514"/>
      <c r="EW30" s="514"/>
      <c r="EX30" s="514"/>
      <c r="EY30" s="514"/>
      <c r="EZ30" s="514"/>
      <c r="FA30" s="515"/>
      <c r="FB30" s="514"/>
      <c r="FC30" s="514"/>
      <c r="FD30" s="514"/>
      <c r="FE30" s="514"/>
      <c r="FF30" s="514"/>
      <c r="FJ30" s="2594">
        <f>EY16+EU27+EY35</f>
        <v>3.35</v>
      </c>
      <c r="FK30" s="2595"/>
      <c r="FL30" s="2595"/>
      <c r="FM30" s="2595"/>
      <c r="GV30" s="516"/>
      <c r="GY30" s="517"/>
      <c r="HC30" s="514"/>
      <c r="HD30" s="514"/>
      <c r="HE30" s="514"/>
      <c r="HF30" s="514"/>
      <c r="HG30" s="514"/>
      <c r="HH30" s="514"/>
      <c r="HI30" s="515"/>
      <c r="HJ30" s="514"/>
      <c r="HK30" s="514"/>
      <c r="HL30" s="514"/>
      <c r="HM30" s="514"/>
      <c r="HN30" s="514"/>
    </row>
    <row r="31" spans="22:258" ht="4.1500000000000004" customHeight="1">
      <c r="V31" s="516"/>
      <c r="W31" s="517"/>
      <c r="Y31" s="516"/>
      <c r="Z31" s="516"/>
      <c r="AA31" s="517"/>
      <c r="AC31" s="516"/>
      <c r="AD31" s="526"/>
      <c r="AF31" s="516"/>
      <c r="AG31" s="517"/>
      <c r="AH31" s="517"/>
      <c r="AM31" s="516"/>
      <c r="AN31" s="516"/>
      <c r="AQ31" s="517"/>
      <c r="AS31" s="516"/>
      <c r="AV31" s="517"/>
      <c r="AW31" s="517"/>
      <c r="BC31" s="516"/>
      <c r="BD31" s="517"/>
      <c r="BO31" s="516"/>
      <c r="BP31" s="516"/>
      <c r="BS31" s="517"/>
      <c r="BU31" s="516"/>
      <c r="BX31" s="517"/>
      <c r="BY31" s="517"/>
      <c r="CJ31" s="516"/>
      <c r="CK31" s="517"/>
      <c r="DN31" s="516"/>
      <c r="DX31" s="2599">
        <v>0.6</v>
      </c>
      <c r="DY31" s="2600"/>
      <c r="DZ31" s="2600"/>
      <c r="EA31" s="2600"/>
      <c r="EB31" s="2600"/>
      <c r="EC31" s="2600"/>
      <c r="ED31" s="2601"/>
      <c r="EE31" s="516"/>
      <c r="EI31" s="517"/>
      <c r="FA31" s="516"/>
      <c r="FJ31" s="2595"/>
      <c r="FK31" s="2595"/>
      <c r="FL31" s="2595"/>
      <c r="FM31" s="2595"/>
      <c r="GV31" s="516"/>
      <c r="GY31" s="517"/>
      <c r="HI31" s="516"/>
      <c r="IC31" s="2612" t="s">
        <v>3596</v>
      </c>
      <c r="ID31" s="2612"/>
      <c r="IE31" s="2612"/>
      <c r="IF31" s="2612"/>
      <c r="IG31" s="2612"/>
      <c r="IH31" s="2612"/>
      <c r="II31" s="2612"/>
      <c r="IJ31" s="2612"/>
      <c r="IK31" s="2612"/>
      <c r="IL31" s="2612"/>
      <c r="IM31" s="2612"/>
      <c r="IN31" s="2612"/>
      <c r="IO31" s="2612"/>
      <c r="IP31" s="2612"/>
      <c r="IQ31" s="2612"/>
      <c r="IR31" s="2612"/>
      <c r="IS31" s="2612"/>
      <c r="IT31" s="2612"/>
      <c r="IU31" s="2612"/>
      <c r="IV31" s="2612"/>
      <c r="IW31" s="2612"/>
      <c r="IX31" s="2612"/>
    </row>
    <row r="32" spans="22:258" ht="4.1500000000000004" customHeight="1">
      <c r="V32" s="516"/>
      <c r="W32" s="517"/>
      <c r="Y32" s="516"/>
      <c r="Z32" s="516"/>
      <c r="AA32" s="517"/>
      <c r="AC32" s="516"/>
      <c r="AD32" s="526"/>
      <c r="AF32" s="516"/>
      <c r="AG32" s="517"/>
      <c r="AH32" s="517"/>
      <c r="AM32" s="516"/>
      <c r="AN32" s="516"/>
      <c r="AQ32" s="517"/>
      <c r="AS32" s="516"/>
      <c r="AV32" s="517"/>
      <c r="AW32" s="517"/>
      <c r="BC32" s="516"/>
      <c r="BD32" s="517"/>
      <c r="BO32" s="516"/>
      <c r="BP32" s="516"/>
      <c r="BS32" s="517"/>
      <c r="BU32" s="516"/>
      <c r="BX32" s="517"/>
      <c r="BY32" s="517"/>
      <c r="CJ32" s="516"/>
      <c r="CK32" s="517"/>
      <c r="DL32" s="2594">
        <f>FJ30+FK53</f>
        <v>3.95</v>
      </c>
      <c r="DM32" s="2595"/>
      <c r="DN32" s="2595"/>
      <c r="DO32" s="2595"/>
      <c r="DX32" s="2599"/>
      <c r="DY32" s="2600"/>
      <c r="DZ32" s="2600"/>
      <c r="EA32" s="2600"/>
      <c r="EB32" s="2600"/>
      <c r="EC32" s="2600"/>
      <c r="ED32" s="2601"/>
      <c r="EE32" s="516"/>
      <c r="EI32" s="517"/>
      <c r="FA32" s="516"/>
      <c r="FJ32" s="2595"/>
      <c r="FK32" s="2595"/>
      <c r="FL32" s="2595"/>
      <c r="FM32" s="2595"/>
      <c r="GV32" s="516"/>
      <c r="GY32" s="517"/>
      <c r="HI32" s="516"/>
      <c r="IC32" s="2612"/>
      <c r="ID32" s="2612"/>
      <c r="IE32" s="2612"/>
      <c r="IF32" s="2612"/>
      <c r="IG32" s="2612"/>
      <c r="IH32" s="2612"/>
      <c r="II32" s="2612"/>
      <c r="IJ32" s="2612"/>
      <c r="IK32" s="2612"/>
      <c r="IL32" s="2612"/>
      <c r="IM32" s="2612"/>
      <c r="IN32" s="2612"/>
      <c r="IO32" s="2612"/>
      <c r="IP32" s="2612"/>
      <c r="IQ32" s="2612"/>
      <c r="IR32" s="2612"/>
      <c r="IS32" s="2612"/>
      <c r="IT32" s="2612"/>
      <c r="IU32" s="2612"/>
      <c r="IV32" s="2612"/>
      <c r="IW32" s="2612"/>
      <c r="IX32" s="2612"/>
    </row>
    <row r="33" spans="22:267" ht="4.1500000000000004" customHeight="1">
      <c r="V33" s="516"/>
      <c r="W33" s="517"/>
      <c r="Y33" s="516"/>
      <c r="Z33" s="516"/>
      <c r="AA33" s="517"/>
      <c r="AC33" s="516"/>
      <c r="AD33" s="526"/>
      <c r="AF33" s="516"/>
      <c r="AG33" s="517"/>
      <c r="AH33" s="517"/>
      <c r="AM33" s="516"/>
      <c r="AN33" s="516"/>
      <c r="AQ33" s="517"/>
      <c r="AS33" s="516"/>
      <c r="AV33" s="517"/>
      <c r="AW33" s="517"/>
      <c r="BC33" s="516"/>
      <c r="BD33" s="517"/>
      <c r="BO33" s="516"/>
      <c r="BP33" s="516"/>
      <c r="BS33" s="517"/>
      <c r="BU33" s="516"/>
      <c r="BX33" s="517"/>
      <c r="BY33" s="517"/>
      <c r="CJ33" s="516"/>
      <c r="CK33" s="517"/>
      <c r="DL33" s="2595"/>
      <c r="DM33" s="2595"/>
      <c r="DN33" s="2595"/>
      <c r="DO33" s="2595"/>
      <c r="DX33" s="2599"/>
      <c r="DY33" s="2600"/>
      <c r="DZ33" s="2600"/>
      <c r="EA33" s="2600"/>
      <c r="EB33" s="2600"/>
      <c r="EC33" s="2600"/>
      <c r="ED33" s="2601"/>
      <c r="EE33" s="516"/>
      <c r="EI33" s="517"/>
      <c r="FA33" s="516"/>
      <c r="FJ33" s="2595"/>
      <c r="FK33" s="2595"/>
      <c r="FL33" s="2595"/>
      <c r="FM33" s="2595"/>
      <c r="GV33" s="516"/>
      <c r="GY33" s="517"/>
      <c r="HI33" s="516"/>
      <c r="IC33" s="2612"/>
      <c r="ID33" s="2612"/>
      <c r="IE33" s="2612"/>
      <c r="IF33" s="2612"/>
      <c r="IG33" s="2612"/>
      <c r="IH33" s="2612"/>
      <c r="II33" s="2612"/>
      <c r="IJ33" s="2612"/>
      <c r="IK33" s="2612"/>
      <c r="IL33" s="2612"/>
      <c r="IM33" s="2612"/>
      <c r="IN33" s="2612"/>
      <c r="IO33" s="2612"/>
      <c r="IP33" s="2612"/>
      <c r="IQ33" s="2612"/>
      <c r="IR33" s="2612"/>
      <c r="IS33" s="2612"/>
      <c r="IT33" s="2612"/>
      <c r="IU33" s="2612"/>
      <c r="IV33" s="2612"/>
      <c r="IW33" s="2612"/>
      <c r="IX33" s="2612"/>
    </row>
    <row r="34" spans="22:267" ht="4.1500000000000004" customHeight="1">
      <c r="V34" s="516"/>
      <c r="W34" s="517"/>
      <c r="Y34" s="516"/>
      <c r="Z34" s="516"/>
      <c r="AA34" s="517"/>
      <c r="AC34" s="516"/>
      <c r="AD34" s="526"/>
      <c r="AF34" s="516"/>
      <c r="AG34" s="517"/>
      <c r="AH34" s="517"/>
      <c r="AM34" s="516"/>
      <c r="AN34" s="516"/>
      <c r="AQ34" s="517"/>
      <c r="AS34" s="516"/>
      <c r="AV34" s="517"/>
      <c r="AW34" s="517"/>
      <c r="BC34" s="516"/>
      <c r="BD34" s="517"/>
      <c r="BO34" s="516"/>
      <c r="BP34" s="516"/>
      <c r="BS34" s="517"/>
      <c r="BU34" s="516"/>
      <c r="BX34" s="517"/>
      <c r="BY34" s="517"/>
      <c r="CJ34" s="516"/>
      <c r="CK34" s="517"/>
      <c r="DL34" s="2595"/>
      <c r="DM34" s="2595"/>
      <c r="DN34" s="2595"/>
      <c r="DO34" s="2595"/>
      <c r="EE34" s="516"/>
      <c r="EI34" s="517"/>
      <c r="FA34" s="516"/>
      <c r="FJ34" s="2595"/>
      <c r="FK34" s="2595"/>
      <c r="FL34" s="2595"/>
      <c r="FM34" s="2595"/>
      <c r="GV34" s="516"/>
      <c r="GY34" s="517"/>
      <c r="HI34" s="516"/>
    </row>
    <row r="35" spans="22:267" ht="4.1500000000000004" customHeight="1">
      <c r="V35" s="516"/>
      <c r="W35" s="517"/>
      <c r="Y35" s="516"/>
      <c r="Z35" s="516"/>
      <c r="AA35" s="517"/>
      <c r="AC35" s="516"/>
      <c r="AD35" s="526"/>
      <c r="AF35" s="516"/>
      <c r="AG35" s="517"/>
      <c r="AH35" s="517"/>
      <c r="AM35" s="516"/>
      <c r="AN35" s="516"/>
      <c r="AQ35" s="517"/>
      <c r="AS35" s="516"/>
      <c r="AV35" s="517"/>
      <c r="AW35" s="517"/>
      <c r="BC35" s="516"/>
      <c r="BD35" s="517"/>
      <c r="BO35" s="516"/>
      <c r="BP35" s="516"/>
      <c r="BS35" s="517"/>
      <c r="BU35" s="516"/>
      <c r="BX35" s="517"/>
      <c r="BY35" s="517"/>
      <c r="CJ35" s="516"/>
      <c r="CK35" s="517"/>
      <c r="DL35" s="2595"/>
      <c r="DM35" s="2595"/>
      <c r="DN35" s="2595"/>
      <c r="DO35" s="2595"/>
      <c r="EE35" s="516"/>
      <c r="EI35" s="517"/>
      <c r="EY35" s="2594">
        <v>2.1</v>
      </c>
      <c r="EZ35" s="2595"/>
      <c r="FA35" s="2595"/>
      <c r="FB35" s="2595"/>
      <c r="FJ35" s="2595"/>
      <c r="FK35" s="2595"/>
      <c r="FL35" s="2595"/>
      <c r="FM35" s="2595"/>
      <c r="GV35" s="516"/>
      <c r="GY35" s="517"/>
      <c r="HG35" s="2594">
        <v>2.1</v>
      </c>
      <c r="HH35" s="2595"/>
      <c r="HI35" s="2595"/>
      <c r="HJ35" s="2595"/>
    </row>
    <row r="36" spans="22:267" ht="4.1500000000000004" customHeight="1">
      <c r="V36" s="516"/>
      <c r="W36" s="517"/>
      <c r="Y36" s="516"/>
      <c r="Z36" s="530"/>
      <c r="AA36" s="531"/>
      <c r="AC36" s="516"/>
      <c r="AD36" s="526"/>
      <c r="AF36" s="530"/>
      <c r="AG36" s="531"/>
      <c r="AH36" s="517"/>
      <c r="AM36" s="516"/>
      <c r="AN36" s="516"/>
      <c r="AQ36" s="517"/>
      <c r="AS36" s="516"/>
      <c r="AV36" s="517"/>
      <c r="AW36" s="517"/>
      <c r="BC36" s="516"/>
      <c r="BD36" s="517"/>
      <c r="BO36" s="516"/>
      <c r="BP36" s="516"/>
      <c r="BS36" s="517"/>
      <c r="BU36" s="516"/>
      <c r="BX36" s="517"/>
      <c r="BY36" s="517"/>
      <c r="CJ36" s="516"/>
      <c r="CK36" s="517"/>
      <c r="DL36" s="2595"/>
      <c r="DM36" s="2595"/>
      <c r="DN36" s="2595"/>
      <c r="DO36" s="2595"/>
      <c r="EE36" s="516"/>
      <c r="EI36" s="517"/>
      <c r="EY36" s="2595"/>
      <c r="EZ36" s="2595"/>
      <c r="FA36" s="2595"/>
      <c r="FB36" s="2595"/>
      <c r="FJ36" s="2595"/>
      <c r="FK36" s="2595"/>
      <c r="FL36" s="2595"/>
      <c r="FM36" s="2595"/>
      <c r="GV36" s="516"/>
      <c r="GY36" s="517"/>
      <c r="HG36" s="2595"/>
      <c r="HH36" s="2595"/>
      <c r="HI36" s="2595"/>
      <c r="HJ36" s="2595"/>
    </row>
    <row r="37" spans="22:267" ht="4.1500000000000004" customHeight="1">
      <c r="V37" s="516"/>
      <c r="W37" s="517"/>
      <c r="Y37" s="516"/>
      <c r="AC37" s="516"/>
      <c r="AD37" s="526"/>
      <c r="AH37" s="517"/>
      <c r="AM37" s="516"/>
      <c r="AN37" s="516"/>
      <c r="AQ37" s="517"/>
      <c r="AS37" s="516"/>
      <c r="AV37" s="517"/>
      <c r="AW37" s="517"/>
      <c r="BC37" s="516"/>
      <c r="BD37" s="517"/>
      <c r="BO37" s="516"/>
      <c r="BP37" s="516"/>
      <c r="BS37" s="517"/>
      <c r="BU37" s="516"/>
      <c r="BX37" s="517"/>
      <c r="BY37" s="517"/>
      <c r="CJ37" s="516"/>
      <c r="CK37" s="517"/>
      <c r="DL37" s="2595"/>
      <c r="DM37" s="2595"/>
      <c r="DN37" s="2595"/>
      <c r="DO37" s="2595"/>
      <c r="EE37" s="516"/>
      <c r="EI37" s="517"/>
      <c r="EY37" s="2595"/>
      <c r="EZ37" s="2595"/>
      <c r="FA37" s="2595"/>
      <c r="FB37" s="2595"/>
      <c r="FJ37" s="2595"/>
      <c r="FK37" s="2595"/>
      <c r="FL37" s="2595"/>
      <c r="FM37" s="2595"/>
      <c r="GV37" s="516"/>
      <c r="GY37" s="517"/>
      <c r="HG37" s="2595"/>
      <c r="HH37" s="2595"/>
      <c r="HI37" s="2595"/>
      <c r="HJ37" s="2595"/>
    </row>
    <row r="38" spans="22:267" ht="4.1500000000000004" customHeight="1">
      <c r="V38" s="516"/>
      <c r="W38" s="517"/>
      <c r="Y38" s="516"/>
      <c r="AC38" s="516"/>
      <c r="AD38" s="526"/>
      <c r="AH38" s="517"/>
      <c r="AM38" s="516"/>
      <c r="AN38" s="516"/>
      <c r="AQ38" s="517"/>
      <c r="AS38" s="516"/>
      <c r="AV38" s="517"/>
      <c r="AW38" s="517"/>
      <c r="BC38" s="516"/>
      <c r="BD38" s="517"/>
      <c r="BO38" s="516"/>
      <c r="BP38" s="516"/>
      <c r="BS38" s="517"/>
      <c r="BU38" s="516"/>
      <c r="BX38" s="517"/>
      <c r="BY38" s="517"/>
      <c r="CJ38" s="516"/>
      <c r="CK38" s="517"/>
      <c r="DL38" s="2595"/>
      <c r="DM38" s="2595"/>
      <c r="DN38" s="2595"/>
      <c r="DO38" s="2595"/>
      <c r="EE38" s="516"/>
      <c r="EI38" s="517"/>
      <c r="EY38" s="2595"/>
      <c r="EZ38" s="2595"/>
      <c r="FA38" s="2595"/>
      <c r="FB38" s="2595"/>
      <c r="FJ38" s="2595"/>
      <c r="FK38" s="2595"/>
      <c r="FL38" s="2595"/>
      <c r="FM38" s="2595"/>
      <c r="GV38" s="516"/>
      <c r="GY38" s="517"/>
      <c r="HG38" s="2595"/>
      <c r="HH38" s="2595"/>
      <c r="HI38" s="2595"/>
      <c r="HJ38" s="2595"/>
    </row>
    <row r="39" spans="22:267" ht="4.1500000000000004" customHeight="1">
      <c r="V39" s="516"/>
      <c r="W39" s="517"/>
      <c r="Y39" s="516"/>
      <c r="Z39" s="515"/>
      <c r="AA39" s="518"/>
      <c r="AC39" s="516"/>
      <c r="AD39" s="526"/>
      <c r="AF39" s="515"/>
      <c r="AG39" s="518"/>
      <c r="AH39" s="517"/>
      <c r="AM39" s="516"/>
      <c r="AN39" s="530"/>
      <c r="AO39" s="532"/>
      <c r="AP39" s="532"/>
      <c r="AQ39" s="531"/>
      <c r="AS39" s="530"/>
      <c r="AT39" s="532"/>
      <c r="AU39" s="532"/>
      <c r="AV39" s="531"/>
      <c r="AW39" s="517"/>
      <c r="BC39" s="516"/>
      <c r="BD39" s="517"/>
      <c r="BO39" s="516"/>
      <c r="BP39" s="530"/>
      <c r="BQ39" s="532"/>
      <c r="BR39" s="532"/>
      <c r="BS39" s="531"/>
      <c r="BU39" s="530"/>
      <c r="BV39" s="532"/>
      <c r="BW39" s="532"/>
      <c r="BX39" s="531"/>
      <c r="BY39" s="517"/>
      <c r="CJ39" s="516"/>
      <c r="CK39" s="517"/>
      <c r="DL39" s="2595"/>
      <c r="DM39" s="2595"/>
      <c r="DN39" s="2595"/>
      <c r="DO39" s="2595"/>
      <c r="EE39" s="516"/>
      <c r="EI39" s="517"/>
      <c r="EY39" s="2595"/>
      <c r="EZ39" s="2595"/>
      <c r="FA39" s="2595"/>
      <c r="FB39" s="2595"/>
      <c r="FJ39" s="2595"/>
      <c r="FK39" s="2595"/>
      <c r="FL39" s="2595"/>
      <c r="FM39" s="2595"/>
      <c r="GV39" s="516"/>
      <c r="GY39" s="517"/>
      <c r="HG39" s="2595"/>
      <c r="HH39" s="2595"/>
      <c r="HI39" s="2595"/>
      <c r="HJ39" s="2595"/>
    </row>
    <row r="40" spans="22:267" ht="4.1500000000000004" customHeight="1">
      <c r="V40" s="516"/>
      <c r="W40" s="517"/>
      <c r="Y40" s="516"/>
      <c r="Z40" s="516"/>
      <c r="AA40" s="517"/>
      <c r="AC40" s="516"/>
      <c r="AD40" s="526"/>
      <c r="AF40" s="516"/>
      <c r="AG40" s="517"/>
      <c r="AH40" s="517"/>
      <c r="AM40" s="530"/>
      <c r="AN40" s="532"/>
      <c r="AO40" s="532"/>
      <c r="AP40" s="532"/>
      <c r="AQ40" s="532"/>
      <c r="AR40" s="531"/>
      <c r="AS40" s="532"/>
      <c r="AT40" s="532"/>
      <c r="AU40" s="532"/>
      <c r="AV40" s="532"/>
      <c r="AW40" s="531"/>
      <c r="BC40" s="516"/>
      <c r="BD40" s="517"/>
      <c r="BO40" s="530"/>
      <c r="BP40" s="532"/>
      <c r="BQ40" s="532"/>
      <c r="BR40" s="532"/>
      <c r="BS40" s="532"/>
      <c r="BT40" s="531"/>
      <c r="BU40" s="532"/>
      <c r="BV40" s="532"/>
      <c r="BW40" s="532"/>
      <c r="BX40" s="532"/>
      <c r="BY40" s="531"/>
      <c r="CJ40" s="516"/>
      <c r="CK40" s="517"/>
      <c r="DL40" s="2595"/>
      <c r="DM40" s="2595"/>
      <c r="DN40" s="2595"/>
      <c r="DO40" s="2595"/>
      <c r="EE40" s="516"/>
      <c r="EI40" s="517"/>
      <c r="EY40" s="2595"/>
      <c r="EZ40" s="2595"/>
      <c r="FA40" s="2595"/>
      <c r="FB40" s="2595"/>
      <c r="FL40" s="516"/>
      <c r="GV40" s="516"/>
      <c r="GY40" s="517"/>
      <c r="HG40" s="2595"/>
      <c r="HH40" s="2595"/>
      <c r="HI40" s="2595"/>
      <c r="HJ40" s="2595"/>
      <c r="IB40" s="515"/>
      <c r="IC40" s="514"/>
      <c r="ID40" s="514"/>
      <c r="IE40" s="514"/>
      <c r="IF40" s="514"/>
      <c r="IG40" s="514"/>
      <c r="IH40" s="514"/>
      <c r="II40" s="514"/>
      <c r="IJ40" s="514"/>
      <c r="IK40" s="514"/>
      <c r="IL40" s="514"/>
      <c r="IM40" s="514"/>
      <c r="IN40" s="514"/>
      <c r="IO40" s="514"/>
      <c r="IP40" s="514"/>
      <c r="IQ40" s="514"/>
      <c r="IR40" s="514"/>
      <c r="IS40" s="514"/>
      <c r="IT40" s="514"/>
      <c r="IU40" s="514"/>
      <c r="IV40" s="514"/>
      <c r="IW40" s="518"/>
      <c r="JA40" s="2597">
        <v>0.125</v>
      </c>
      <c r="JB40" s="2597"/>
      <c r="JC40" s="2597"/>
      <c r="JD40" s="2597"/>
      <c r="JE40" s="2597"/>
      <c r="JF40" s="2597"/>
      <c r="JG40" s="2597"/>
    </row>
    <row r="41" spans="22:267" ht="4.1500000000000004" customHeight="1">
      <c r="V41" s="516"/>
      <c r="W41" s="517"/>
      <c r="Y41" s="516"/>
      <c r="Z41" s="516"/>
      <c r="AA41" s="517"/>
      <c r="AC41" s="516"/>
      <c r="AD41" s="526"/>
      <c r="AF41" s="516"/>
      <c r="AG41" s="517"/>
      <c r="AH41" s="517"/>
      <c r="BC41" s="516"/>
      <c r="BD41" s="517"/>
      <c r="CJ41" s="516"/>
      <c r="CK41" s="517"/>
      <c r="DL41" s="2595"/>
      <c r="DM41" s="2595"/>
      <c r="DN41" s="2595"/>
      <c r="DO41" s="2595"/>
      <c r="EE41" s="516"/>
      <c r="EI41" s="517"/>
      <c r="EY41" s="2595"/>
      <c r="EZ41" s="2595"/>
      <c r="FA41" s="2595"/>
      <c r="FB41" s="2595"/>
      <c r="FL41" s="516"/>
      <c r="GV41" s="516"/>
      <c r="GY41" s="517"/>
      <c r="HG41" s="2595"/>
      <c r="HH41" s="2595"/>
      <c r="HI41" s="2595"/>
      <c r="HJ41" s="2595"/>
      <c r="IB41" s="530"/>
      <c r="IC41" s="532"/>
      <c r="ID41" s="532"/>
      <c r="IE41" s="532"/>
      <c r="IF41" s="532"/>
      <c r="IG41" s="532"/>
      <c r="IH41" s="532"/>
      <c r="IJ41" s="515"/>
      <c r="IK41" s="514"/>
      <c r="IL41" s="514"/>
      <c r="IM41" s="514"/>
      <c r="IN41" s="514"/>
      <c r="IO41" s="518"/>
      <c r="IQ41" s="532"/>
      <c r="IR41" s="532"/>
      <c r="IS41" s="532"/>
      <c r="IT41" s="532"/>
      <c r="IU41" s="532"/>
      <c r="IV41" s="532"/>
      <c r="IW41" s="531"/>
      <c r="JA41" s="2598"/>
      <c r="JB41" s="2598"/>
      <c r="JC41" s="2598"/>
      <c r="JD41" s="2598"/>
      <c r="JE41" s="2598"/>
      <c r="JF41" s="2598"/>
      <c r="JG41" s="2598"/>
    </row>
    <row r="42" spans="22:267" ht="4.1500000000000004" customHeight="1">
      <c r="V42" s="516"/>
      <c r="W42" s="517"/>
      <c r="Y42" s="516"/>
      <c r="Z42" s="516"/>
      <c r="AA42" s="517"/>
      <c r="AC42" s="516"/>
      <c r="AD42" s="526"/>
      <c r="AF42" s="516"/>
      <c r="AG42" s="517"/>
      <c r="AH42" s="517"/>
      <c r="BC42" s="516"/>
      <c r="BD42" s="517"/>
      <c r="CJ42" s="516"/>
      <c r="CK42" s="517"/>
      <c r="DN42" s="516"/>
      <c r="EE42" s="516"/>
      <c r="EI42" s="517"/>
      <c r="EY42" s="2595"/>
      <c r="EZ42" s="2595"/>
      <c r="FA42" s="2595"/>
      <c r="FB42" s="2595"/>
      <c r="FL42" s="516"/>
      <c r="GV42" s="516"/>
      <c r="GY42" s="517"/>
      <c r="HG42" s="2595"/>
      <c r="HH42" s="2595"/>
      <c r="HI42" s="2595"/>
      <c r="HJ42" s="2595"/>
      <c r="II42" s="516"/>
      <c r="IJ42" s="516"/>
      <c r="IO42" s="517"/>
      <c r="IP42" s="517"/>
      <c r="IT42" s="2613">
        <v>0.5</v>
      </c>
      <c r="IU42" s="2613"/>
      <c r="IV42" s="2613"/>
      <c r="IW42" s="2613"/>
    </row>
    <row r="43" spans="22:267" ht="4.1500000000000004" customHeight="1">
      <c r="V43" s="516"/>
      <c r="W43" s="517"/>
      <c r="Y43" s="516"/>
      <c r="Z43" s="516"/>
      <c r="AA43" s="517"/>
      <c r="AC43" s="516"/>
      <c r="AD43" s="526"/>
      <c r="AF43" s="516"/>
      <c r="AG43" s="517"/>
      <c r="AH43" s="517"/>
      <c r="BC43" s="516"/>
      <c r="BD43" s="517"/>
      <c r="CJ43" s="516"/>
      <c r="CK43" s="517"/>
      <c r="DN43" s="516"/>
      <c r="EE43" s="516"/>
      <c r="EI43" s="517"/>
      <c r="EY43" s="2595"/>
      <c r="EZ43" s="2595"/>
      <c r="FA43" s="2595"/>
      <c r="FB43" s="2595"/>
      <c r="FL43" s="516"/>
      <c r="GV43" s="516"/>
      <c r="GY43" s="517"/>
      <c r="HG43" s="2595"/>
      <c r="HH43" s="2595"/>
      <c r="HI43" s="2595"/>
      <c r="HJ43" s="2595"/>
      <c r="II43" s="516"/>
      <c r="IJ43" s="516"/>
      <c r="IO43" s="517"/>
      <c r="IP43" s="517"/>
      <c r="IT43" s="2594"/>
      <c r="IU43" s="2594"/>
      <c r="IV43" s="2594"/>
      <c r="IW43" s="2594"/>
    </row>
    <row r="44" spans="22:267" ht="4.1500000000000004" customHeight="1">
      <c r="V44" s="516"/>
      <c r="W44" s="517"/>
      <c r="Y44" s="516"/>
      <c r="Z44" s="516"/>
      <c r="AA44" s="517"/>
      <c r="AC44" s="516"/>
      <c r="AD44" s="526"/>
      <c r="AF44" s="516"/>
      <c r="AG44" s="517"/>
      <c r="AH44" s="517"/>
      <c r="BC44" s="516"/>
      <c r="BD44" s="517"/>
      <c r="CJ44" s="516"/>
      <c r="CK44" s="517"/>
      <c r="DN44" s="516"/>
      <c r="EE44" s="516"/>
      <c r="EI44" s="517"/>
      <c r="EJ44" s="516"/>
      <c r="EY44" s="2595"/>
      <c r="EZ44" s="2595"/>
      <c r="FA44" s="2595"/>
      <c r="FB44" s="2595"/>
      <c r="FL44" s="516"/>
      <c r="GV44" s="516"/>
      <c r="GY44" s="517"/>
      <c r="HG44" s="2595"/>
      <c r="HH44" s="2595"/>
      <c r="HI44" s="2595"/>
      <c r="HJ44" s="2595"/>
      <c r="II44" s="516"/>
      <c r="IJ44" s="516"/>
      <c r="IO44" s="517"/>
      <c r="IP44" s="517"/>
      <c r="IT44" s="2594"/>
      <c r="IU44" s="2594"/>
      <c r="IV44" s="2594"/>
      <c r="IW44" s="2594"/>
    </row>
    <row r="45" spans="22:267" ht="4.1500000000000004" customHeight="1">
      <c r="V45" s="516"/>
      <c r="W45" s="517"/>
      <c r="Y45" s="516"/>
      <c r="Z45" s="516"/>
      <c r="AA45" s="517"/>
      <c r="AC45" s="516"/>
      <c r="AD45" s="526"/>
      <c r="AF45" s="516"/>
      <c r="AG45" s="517"/>
      <c r="AH45" s="517"/>
      <c r="BC45" s="516"/>
      <c r="BD45" s="517"/>
      <c r="CJ45" s="516"/>
      <c r="CK45" s="517"/>
      <c r="DN45" s="516"/>
      <c r="EE45" s="516"/>
      <c r="EI45" s="517"/>
      <c r="EJ45" s="516"/>
      <c r="FA45" s="516"/>
      <c r="FL45" s="516"/>
      <c r="GV45" s="516"/>
      <c r="GY45" s="517"/>
      <c r="HI45" s="516"/>
      <c r="II45" s="516"/>
      <c r="IJ45" s="516"/>
      <c r="IO45" s="517"/>
      <c r="IP45" s="517"/>
      <c r="IT45" s="2594"/>
      <c r="IU45" s="2594"/>
      <c r="IV45" s="2594"/>
      <c r="IW45" s="2594"/>
    </row>
    <row r="46" spans="22:267" ht="4.1500000000000004" customHeight="1">
      <c r="V46" s="516"/>
      <c r="W46" s="517"/>
      <c r="Y46" s="516"/>
      <c r="Z46" s="516"/>
      <c r="AA46" s="517"/>
      <c r="AC46" s="516"/>
      <c r="AD46" s="526"/>
      <c r="AF46" s="516"/>
      <c r="AG46" s="517"/>
      <c r="AH46" s="517"/>
      <c r="BC46" s="516"/>
      <c r="BD46" s="517"/>
      <c r="CJ46" s="516"/>
      <c r="CK46" s="517"/>
      <c r="DN46" s="516"/>
      <c r="EE46" s="516"/>
      <c r="EI46" s="517"/>
      <c r="EJ46" s="516"/>
      <c r="FA46" s="516"/>
      <c r="FL46" s="516"/>
      <c r="GV46" s="516"/>
      <c r="GY46" s="517"/>
      <c r="HI46" s="516"/>
      <c r="II46" s="516"/>
      <c r="IJ46" s="516"/>
      <c r="IO46" s="517"/>
      <c r="IP46" s="517"/>
      <c r="IT46" s="2594"/>
      <c r="IU46" s="2594"/>
      <c r="IV46" s="2594"/>
      <c r="IW46" s="2594"/>
    </row>
    <row r="47" spans="22:267" ht="4.1500000000000004" customHeight="1">
      <c r="V47" s="516"/>
      <c r="W47" s="517"/>
      <c r="Y47" s="516"/>
      <c r="Z47" s="530"/>
      <c r="AA47" s="531"/>
      <c r="AC47" s="516"/>
      <c r="AD47" s="526"/>
      <c r="AF47" s="530"/>
      <c r="AG47" s="531"/>
      <c r="AH47" s="517"/>
      <c r="BC47" s="516"/>
      <c r="BD47" s="517"/>
      <c r="CJ47" s="516"/>
      <c r="CK47" s="517"/>
      <c r="DN47" s="516"/>
      <c r="EE47" s="516"/>
      <c r="EI47" s="517"/>
      <c r="EJ47" s="516"/>
      <c r="FA47" s="516"/>
      <c r="FL47" s="516"/>
      <c r="GV47" s="516"/>
      <c r="GY47" s="517"/>
      <c r="GZ47" s="516"/>
      <c r="HI47" s="516"/>
      <c r="II47" s="516"/>
      <c r="IJ47" s="516"/>
      <c r="IO47" s="517"/>
      <c r="IP47" s="517"/>
      <c r="IT47" s="2594"/>
      <c r="IU47" s="2594"/>
      <c r="IV47" s="2594"/>
      <c r="IW47" s="2594"/>
    </row>
    <row r="48" spans="22:267" ht="4.1500000000000004" customHeight="1">
      <c r="V48" s="516"/>
      <c r="W48" s="517"/>
      <c r="Y48" s="516"/>
      <c r="AC48" s="516"/>
      <c r="AD48" s="526"/>
      <c r="AH48" s="517"/>
      <c r="BC48" s="516"/>
      <c r="BD48" s="517"/>
      <c r="CJ48" s="516"/>
      <c r="CK48" s="517"/>
      <c r="DN48" s="516"/>
      <c r="EE48" s="516"/>
      <c r="EI48" s="517"/>
      <c r="EJ48" s="516"/>
      <c r="FA48" s="516"/>
      <c r="FL48" s="516"/>
      <c r="GV48" s="516"/>
      <c r="GY48" s="517"/>
      <c r="GZ48" s="516"/>
      <c r="HI48" s="516"/>
      <c r="II48" s="516"/>
      <c r="IJ48" s="516"/>
      <c r="IO48" s="517"/>
      <c r="IP48" s="517"/>
      <c r="IT48" s="2594"/>
      <c r="IU48" s="2594"/>
      <c r="IV48" s="2594"/>
      <c r="IW48" s="2594"/>
    </row>
    <row r="49" spans="21:258" ht="4.1500000000000004" customHeight="1">
      <c r="U49" s="515"/>
      <c r="V49" s="514"/>
      <c r="W49" s="514"/>
      <c r="X49" s="514"/>
      <c r="Y49" s="514"/>
      <c r="Z49" s="514"/>
      <c r="AA49" s="514"/>
      <c r="AB49" s="514"/>
      <c r="AC49" s="514"/>
      <c r="AD49" s="514"/>
      <c r="AE49" s="514"/>
      <c r="AF49" s="514"/>
      <c r="AG49" s="514"/>
      <c r="AH49" s="514"/>
      <c r="AI49" s="514"/>
      <c r="AJ49" s="514"/>
      <c r="AK49" s="514"/>
      <c r="AL49" s="514"/>
      <c r="AM49" s="514"/>
      <c r="AN49" s="514"/>
      <c r="AO49" s="514"/>
      <c r="AP49" s="514"/>
      <c r="AQ49" s="514"/>
      <c r="AR49" s="514"/>
      <c r="AS49" s="514"/>
      <c r="AT49" s="514"/>
      <c r="AU49" s="514"/>
      <c r="AV49" s="514"/>
      <c r="AW49" s="514"/>
      <c r="AX49" s="514"/>
      <c r="AY49" s="514"/>
      <c r="AZ49" s="514"/>
      <c r="BA49" s="514"/>
      <c r="BB49" s="514"/>
      <c r="BC49" s="514"/>
      <c r="BD49" s="514"/>
      <c r="BE49" s="514"/>
      <c r="BF49" s="514"/>
      <c r="BG49" s="514"/>
      <c r="BH49" s="514"/>
      <c r="BI49" s="514"/>
      <c r="BJ49" s="514"/>
      <c r="BK49" s="514"/>
      <c r="BL49" s="514"/>
      <c r="BM49" s="514"/>
      <c r="BN49" s="514"/>
      <c r="BO49" s="514"/>
      <c r="BP49" s="514"/>
      <c r="BQ49" s="514"/>
      <c r="BR49" s="514"/>
      <c r="BS49" s="514"/>
      <c r="BT49" s="514"/>
      <c r="BU49" s="514"/>
      <c r="BV49" s="514"/>
      <c r="BW49" s="514"/>
      <c r="BX49" s="514"/>
      <c r="BY49" s="514"/>
      <c r="BZ49" s="514"/>
      <c r="CA49" s="514"/>
      <c r="CB49" s="514"/>
      <c r="CC49" s="514"/>
      <c r="CD49" s="514"/>
      <c r="CE49" s="514"/>
      <c r="CF49" s="514"/>
      <c r="CG49" s="514"/>
      <c r="CH49" s="514"/>
      <c r="CI49" s="514"/>
      <c r="CJ49" s="514"/>
      <c r="CK49" s="514"/>
      <c r="CL49" s="518"/>
      <c r="DN49" s="516"/>
      <c r="EE49" s="516"/>
      <c r="EI49" s="517"/>
      <c r="EJ49" s="516"/>
      <c r="FA49" s="516"/>
      <c r="FL49" s="516"/>
      <c r="FR49" s="2608" t="s">
        <v>2981</v>
      </c>
      <c r="FS49" s="2608"/>
      <c r="FT49" s="2608"/>
      <c r="FU49" s="2608"/>
      <c r="FV49" s="2608"/>
      <c r="FW49" s="2608"/>
      <c r="FX49" s="2608"/>
      <c r="GV49" s="516"/>
      <c r="GY49" s="517"/>
      <c r="GZ49" s="516"/>
      <c r="HI49" s="516"/>
      <c r="II49" s="516"/>
      <c r="IJ49" s="530"/>
      <c r="IK49" s="532"/>
      <c r="IL49" s="532"/>
      <c r="IM49" s="532"/>
      <c r="IN49" s="532"/>
      <c r="IO49" s="531"/>
      <c r="IP49" s="517"/>
      <c r="IT49" s="2594"/>
      <c r="IU49" s="2594"/>
      <c r="IV49" s="2594"/>
      <c r="IW49" s="2594"/>
    </row>
    <row r="50" spans="21:258" ht="4.1500000000000004" customHeight="1">
      <c r="U50" s="530"/>
      <c r="V50" s="532"/>
      <c r="W50" s="532"/>
      <c r="X50" s="532"/>
      <c r="Y50" s="532"/>
      <c r="Z50" s="532"/>
      <c r="AA50" s="532"/>
      <c r="AB50" s="532"/>
      <c r="AC50" s="532"/>
      <c r="AD50" s="532"/>
      <c r="AE50" s="532"/>
      <c r="AF50" s="532"/>
      <c r="AG50" s="532"/>
      <c r="AH50" s="532"/>
      <c r="AI50" s="532"/>
      <c r="AJ50" s="532"/>
      <c r="AK50" s="532"/>
      <c r="AL50" s="532"/>
      <c r="AM50" s="532"/>
      <c r="AN50" s="532"/>
      <c r="AO50" s="532"/>
      <c r="AP50" s="532"/>
      <c r="AQ50" s="532"/>
      <c r="AR50" s="532"/>
      <c r="AS50" s="532"/>
      <c r="AT50" s="532"/>
      <c r="AU50" s="532"/>
      <c r="AV50" s="532"/>
      <c r="AW50" s="532"/>
      <c r="AX50" s="532"/>
      <c r="AY50" s="532"/>
      <c r="AZ50" s="532"/>
      <c r="BA50" s="532"/>
      <c r="BB50" s="532"/>
      <c r="BC50" s="532"/>
      <c r="BD50" s="532"/>
      <c r="BE50" s="532"/>
      <c r="BF50" s="532"/>
      <c r="BG50" s="532"/>
      <c r="BH50" s="532"/>
      <c r="BI50" s="532"/>
      <c r="BJ50" s="532"/>
      <c r="BK50" s="532"/>
      <c r="BL50" s="532"/>
      <c r="BM50" s="532"/>
      <c r="BN50" s="532"/>
      <c r="BO50" s="532"/>
      <c r="BP50" s="532"/>
      <c r="BQ50" s="532"/>
      <c r="BR50" s="532"/>
      <c r="BS50" s="532"/>
      <c r="BT50" s="532"/>
      <c r="BU50" s="532"/>
      <c r="BV50" s="532"/>
      <c r="BW50" s="532"/>
      <c r="BX50" s="532"/>
      <c r="BY50" s="532"/>
      <c r="BZ50" s="532"/>
      <c r="CA50" s="532"/>
      <c r="CB50" s="532"/>
      <c r="CC50" s="532"/>
      <c r="CD50" s="532"/>
      <c r="CE50" s="532"/>
      <c r="CF50" s="532"/>
      <c r="CG50" s="532"/>
      <c r="CH50" s="532"/>
      <c r="CI50" s="532"/>
      <c r="CJ50" s="532"/>
      <c r="CK50" s="532"/>
      <c r="CL50" s="531"/>
      <c r="DN50" s="516"/>
      <c r="EE50" s="516"/>
      <c r="EI50" s="517"/>
      <c r="EJ50" s="516"/>
      <c r="FA50" s="516"/>
      <c r="FL50" s="516"/>
      <c r="FR50" s="2608"/>
      <c r="FS50" s="2608"/>
      <c r="FT50" s="2608"/>
      <c r="FU50" s="2608"/>
      <c r="FV50" s="2608"/>
      <c r="FW50" s="2608"/>
      <c r="FX50" s="2608"/>
      <c r="GV50" s="516"/>
      <c r="GY50" s="517"/>
      <c r="GZ50" s="516"/>
      <c r="HI50" s="516"/>
      <c r="II50" s="530"/>
      <c r="IJ50" s="532"/>
      <c r="IK50" s="532"/>
      <c r="IL50" s="532"/>
      <c r="IM50" s="532"/>
      <c r="IN50" s="532"/>
      <c r="IO50" s="532"/>
      <c r="IP50" s="531"/>
      <c r="IT50" s="2614"/>
      <c r="IU50" s="2614"/>
      <c r="IV50" s="2614"/>
      <c r="IW50" s="2614"/>
    </row>
    <row r="51" spans="21:258" ht="4.1500000000000004" customHeight="1">
      <c r="U51" s="515"/>
      <c r="V51" s="514"/>
      <c r="W51" s="514"/>
      <c r="X51" s="514"/>
      <c r="Y51" s="514"/>
      <c r="Z51" s="514"/>
      <c r="AA51" s="514"/>
      <c r="AB51" s="514"/>
      <c r="AC51" s="514"/>
      <c r="AD51" s="514"/>
      <c r="AE51" s="514"/>
      <c r="AF51" s="514"/>
      <c r="AG51" s="514"/>
      <c r="AH51" s="514"/>
      <c r="AI51" s="514"/>
      <c r="AJ51" s="514"/>
      <c r="AK51" s="514"/>
      <c r="AL51" s="514"/>
      <c r="AM51" s="514"/>
      <c r="AN51" s="514"/>
      <c r="AO51" s="514"/>
      <c r="AP51" s="514"/>
      <c r="AQ51" s="514"/>
      <c r="AR51" s="514"/>
      <c r="AS51" s="514"/>
      <c r="AT51" s="514"/>
      <c r="AU51" s="514"/>
      <c r="AV51" s="514"/>
      <c r="AW51" s="514"/>
      <c r="AX51" s="514"/>
      <c r="AY51" s="514"/>
      <c r="AZ51" s="514"/>
      <c r="BA51" s="514"/>
      <c r="BB51" s="514"/>
      <c r="BC51" s="514"/>
      <c r="BD51" s="514"/>
      <c r="BE51" s="514"/>
      <c r="BF51" s="514"/>
      <c r="BG51" s="514"/>
      <c r="BH51" s="514"/>
      <c r="BI51" s="514"/>
      <c r="BJ51" s="514"/>
      <c r="BK51" s="514"/>
      <c r="BL51" s="514"/>
      <c r="BM51" s="514"/>
      <c r="BN51" s="514"/>
      <c r="BO51" s="514"/>
      <c r="BP51" s="514"/>
      <c r="BQ51" s="514"/>
      <c r="BR51" s="514"/>
      <c r="BS51" s="514"/>
      <c r="BT51" s="514"/>
      <c r="BU51" s="514"/>
      <c r="BV51" s="514"/>
      <c r="BW51" s="514"/>
      <c r="BX51" s="514"/>
      <c r="BY51" s="514"/>
      <c r="BZ51" s="514"/>
      <c r="CA51" s="514"/>
      <c r="CB51" s="514"/>
      <c r="CC51" s="514"/>
      <c r="CD51" s="514"/>
      <c r="CE51" s="514"/>
      <c r="CF51" s="514"/>
      <c r="CG51" s="514"/>
      <c r="CH51" s="514"/>
      <c r="CI51" s="514"/>
      <c r="CJ51" s="514"/>
      <c r="CK51" s="514"/>
      <c r="CL51" s="518"/>
      <c r="DN51" s="516"/>
      <c r="EE51" s="516"/>
      <c r="EI51" s="517"/>
      <c r="EJ51" s="516"/>
      <c r="FA51" s="516"/>
      <c r="FL51" s="516"/>
      <c r="FR51" s="2608"/>
      <c r="FS51" s="2608"/>
      <c r="FT51" s="2608"/>
      <c r="FU51" s="2608"/>
      <c r="FV51" s="2608"/>
      <c r="FW51" s="2608"/>
      <c r="FX51" s="2608"/>
      <c r="GV51" s="516"/>
      <c r="GY51" s="517"/>
      <c r="GZ51" s="516"/>
      <c r="HI51" s="516"/>
    </row>
    <row r="52" spans="21:258" ht="4.1500000000000004" customHeight="1">
      <c r="U52" s="530"/>
      <c r="V52" s="532"/>
      <c r="W52" s="532"/>
      <c r="X52" s="532"/>
      <c r="Y52" s="532"/>
      <c r="Z52" s="532"/>
      <c r="AA52" s="532"/>
      <c r="AB52" s="532"/>
      <c r="AC52" s="532"/>
      <c r="AD52" s="532"/>
      <c r="AE52" s="532"/>
      <c r="AF52" s="532"/>
      <c r="AG52" s="532"/>
      <c r="AH52" s="532"/>
      <c r="AI52" s="532"/>
      <c r="AJ52" s="532"/>
      <c r="AK52" s="532"/>
      <c r="AL52" s="532"/>
      <c r="AM52" s="532"/>
      <c r="AN52" s="532"/>
      <c r="AO52" s="532"/>
      <c r="AP52" s="532"/>
      <c r="AQ52" s="532"/>
      <c r="AR52" s="532"/>
      <c r="AS52" s="532"/>
      <c r="AT52" s="532"/>
      <c r="AU52" s="532"/>
      <c r="AV52" s="532"/>
      <c r="AW52" s="532"/>
      <c r="AX52" s="532"/>
      <c r="AY52" s="532"/>
      <c r="AZ52" s="532"/>
      <c r="BA52" s="532"/>
      <c r="BB52" s="532"/>
      <c r="BC52" s="532"/>
      <c r="BD52" s="532"/>
      <c r="BE52" s="532"/>
      <c r="BF52" s="532"/>
      <c r="BG52" s="532"/>
      <c r="BH52" s="532"/>
      <c r="BI52" s="532"/>
      <c r="BJ52" s="532"/>
      <c r="BK52" s="532"/>
      <c r="BL52" s="532"/>
      <c r="BM52" s="532"/>
      <c r="BN52" s="532"/>
      <c r="BO52" s="532"/>
      <c r="BP52" s="532"/>
      <c r="BQ52" s="532"/>
      <c r="BR52" s="532"/>
      <c r="BS52" s="532"/>
      <c r="BT52" s="532"/>
      <c r="BU52" s="532"/>
      <c r="BV52" s="532"/>
      <c r="BW52" s="532"/>
      <c r="BX52" s="532"/>
      <c r="BY52" s="532"/>
      <c r="BZ52" s="532"/>
      <c r="CA52" s="532"/>
      <c r="CB52" s="532"/>
      <c r="CC52" s="532"/>
      <c r="CD52" s="532"/>
      <c r="CE52" s="532"/>
      <c r="CF52" s="532"/>
      <c r="CG52" s="532"/>
      <c r="CH52" s="532"/>
      <c r="CI52" s="532"/>
      <c r="CJ52" s="532"/>
      <c r="CK52" s="532"/>
      <c r="CL52" s="531"/>
      <c r="DN52" s="516"/>
      <c r="EE52" s="516"/>
      <c r="EI52" s="517"/>
      <c r="EJ52" s="530"/>
      <c r="EK52" s="532"/>
      <c r="EL52" s="532"/>
      <c r="EM52" s="532"/>
      <c r="EN52" s="532"/>
      <c r="EO52" s="532"/>
      <c r="EP52" s="532"/>
      <c r="EQ52" s="532"/>
      <c r="ER52" s="532"/>
      <c r="ES52" s="532"/>
      <c r="ET52" s="532"/>
      <c r="EU52" s="532"/>
      <c r="EV52" s="532"/>
      <c r="EW52" s="532"/>
      <c r="EX52" s="532"/>
      <c r="EY52" s="532"/>
      <c r="EZ52" s="532"/>
      <c r="FA52" s="530"/>
      <c r="FB52" s="532"/>
      <c r="FC52" s="532"/>
      <c r="FD52" s="532"/>
      <c r="FE52" s="532"/>
      <c r="FF52" s="532"/>
      <c r="FL52" s="516"/>
      <c r="FN52" s="532"/>
      <c r="FO52" s="532"/>
      <c r="FP52" s="532"/>
      <c r="FQ52" s="532"/>
      <c r="FR52" s="532"/>
      <c r="FS52" s="532"/>
      <c r="FT52" s="532"/>
      <c r="FU52" s="532"/>
      <c r="FV52" s="532"/>
      <c r="FW52" s="532"/>
      <c r="FX52" s="532"/>
      <c r="FZ52" s="532"/>
      <c r="GA52" s="532"/>
      <c r="GB52" s="532"/>
      <c r="GC52" s="532"/>
      <c r="GD52" s="532"/>
      <c r="GE52" s="532"/>
      <c r="GF52" s="532"/>
      <c r="GG52" s="532"/>
      <c r="GH52" s="532"/>
      <c r="GI52" s="532"/>
      <c r="GJ52" s="532"/>
      <c r="GK52" s="532"/>
      <c r="GL52" s="532"/>
      <c r="GM52" s="532"/>
      <c r="GN52" s="532"/>
      <c r="GO52" s="532"/>
      <c r="GP52" s="532"/>
      <c r="GQ52" s="532"/>
      <c r="GR52" s="532"/>
      <c r="GS52" s="532"/>
      <c r="GT52" s="532"/>
      <c r="GV52" s="516"/>
      <c r="GY52" s="517"/>
      <c r="GZ52" s="530"/>
      <c r="HA52" s="532"/>
      <c r="HB52" s="532"/>
      <c r="HC52" s="532"/>
      <c r="HD52" s="532"/>
      <c r="HE52" s="532"/>
      <c r="HF52" s="532"/>
      <c r="HG52" s="532"/>
      <c r="HH52" s="532"/>
      <c r="HI52" s="530"/>
      <c r="HJ52" s="532"/>
      <c r="HK52" s="532"/>
      <c r="HL52" s="532"/>
      <c r="HM52" s="532"/>
      <c r="HN52" s="532"/>
      <c r="HO52" s="532"/>
      <c r="HP52" s="532"/>
      <c r="HQ52" s="532"/>
      <c r="HR52" s="532"/>
      <c r="HS52" s="532"/>
      <c r="HT52" s="532"/>
      <c r="HU52" s="532"/>
      <c r="HV52" s="532"/>
      <c r="HW52" s="532"/>
      <c r="HX52" s="532"/>
      <c r="II52" s="2609">
        <v>0.25</v>
      </c>
      <c r="IJ52" s="2610"/>
      <c r="IK52" s="2610"/>
      <c r="IL52" s="2610"/>
      <c r="IM52" s="2610"/>
      <c r="IN52" s="2610"/>
      <c r="IO52" s="2610"/>
      <c r="IP52" s="2611"/>
    </row>
    <row r="53" spans="21:258" ht="4.1500000000000004" customHeight="1">
      <c r="U53" s="515"/>
      <c r="V53" s="514"/>
      <c r="W53" s="514"/>
      <c r="X53" s="514"/>
      <c r="Y53" s="514"/>
      <c r="Z53" s="514"/>
      <c r="AA53" s="514"/>
      <c r="AB53" s="514"/>
      <c r="AC53" s="514"/>
      <c r="AD53" s="514"/>
      <c r="AE53" s="514"/>
      <c r="AF53" s="514"/>
      <c r="AG53" s="514"/>
      <c r="AH53" s="514"/>
      <c r="AI53" s="514"/>
      <c r="AJ53" s="514"/>
      <c r="AK53" s="514"/>
      <c r="AL53" s="514"/>
      <c r="AM53" s="514"/>
      <c r="AN53" s="514"/>
      <c r="AO53" s="514"/>
      <c r="AP53" s="514"/>
      <c r="AQ53" s="514"/>
      <c r="AR53" s="514"/>
      <c r="AS53" s="514"/>
      <c r="AT53" s="514"/>
      <c r="AU53" s="514"/>
      <c r="AV53" s="514"/>
      <c r="AW53" s="514"/>
      <c r="AX53" s="514"/>
      <c r="AY53" s="514"/>
      <c r="AZ53" s="514"/>
      <c r="BA53" s="514"/>
      <c r="BB53" s="514"/>
      <c r="BC53" s="514"/>
      <c r="BD53" s="514"/>
      <c r="BE53" s="514"/>
      <c r="BF53" s="514"/>
      <c r="BG53" s="514"/>
      <c r="BH53" s="514"/>
      <c r="BI53" s="514"/>
      <c r="BJ53" s="514"/>
      <c r="BK53" s="514"/>
      <c r="BL53" s="514"/>
      <c r="BM53" s="514"/>
      <c r="BN53" s="514"/>
      <c r="BO53" s="514"/>
      <c r="BP53" s="514"/>
      <c r="BQ53" s="514"/>
      <c r="BR53" s="514"/>
      <c r="BS53" s="514"/>
      <c r="BT53" s="514"/>
      <c r="BU53" s="514"/>
      <c r="BV53" s="514"/>
      <c r="BW53" s="514"/>
      <c r="BX53" s="514"/>
      <c r="BY53" s="514"/>
      <c r="BZ53" s="514"/>
      <c r="CA53" s="514"/>
      <c r="CB53" s="514"/>
      <c r="CC53" s="514"/>
      <c r="CD53" s="514"/>
      <c r="CE53" s="514"/>
      <c r="CF53" s="514"/>
      <c r="CG53" s="514"/>
      <c r="CH53" s="514"/>
      <c r="CI53" s="514"/>
      <c r="CJ53" s="514"/>
      <c r="CK53" s="514"/>
      <c r="CL53" s="518"/>
      <c r="DN53" s="516"/>
      <c r="EE53" s="519"/>
      <c r="EF53" s="520"/>
      <c r="EG53" s="520"/>
      <c r="EH53" s="520"/>
      <c r="EI53" s="521"/>
      <c r="EU53" s="2596">
        <v>0.2</v>
      </c>
      <c r="EV53" s="2597"/>
      <c r="EW53" s="2597"/>
      <c r="EX53" s="2597"/>
      <c r="EY53" s="2597"/>
      <c r="EZ53" s="2597"/>
      <c r="FA53" s="2597"/>
      <c r="FB53" s="2597"/>
      <c r="FC53" s="2597"/>
      <c r="FD53" s="2597"/>
      <c r="FE53" s="2597"/>
      <c r="FF53" s="2597"/>
      <c r="FJ53" s="514"/>
      <c r="FK53" s="2623">
        <f>EU53+EU58</f>
        <v>0.60000000000000009</v>
      </c>
      <c r="FL53" s="2624"/>
      <c r="FM53" s="2624"/>
      <c r="FN53" s="2595"/>
      <c r="GV53" s="519"/>
      <c r="GW53" s="520"/>
      <c r="GX53" s="520"/>
      <c r="GY53" s="521"/>
      <c r="II53" s="2609"/>
      <c r="IJ53" s="2610"/>
      <c r="IK53" s="2610"/>
      <c r="IL53" s="2610"/>
      <c r="IM53" s="2610"/>
      <c r="IN53" s="2610"/>
      <c r="IO53" s="2610"/>
      <c r="IP53" s="2611"/>
    </row>
    <row r="54" spans="21:258" ht="4.1500000000000004" customHeight="1">
      <c r="U54" s="530"/>
      <c r="V54" s="532"/>
      <c r="W54" s="532"/>
      <c r="X54" s="532"/>
      <c r="Y54" s="532"/>
      <c r="Z54" s="532"/>
      <c r="AA54" s="532"/>
      <c r="AB54" s="532"/>
      <c r="AC54" s="532"/>
      <c r="AD54" s="532"/>
      <c r="AE54" s="532"/>
      <c r="AF54" s="532"/>
      <c r="AG54" s="532"/>
      <c r="AH54" s="532"/>
      <c r="AI54" s="532"/>
      <c r="AJ54" s="532"/>
      <c r="AK54" s="532"/>
      <c r="AL54" s="532"/>
      <c r="AM54" s="532"/>
      <c r="AN54" s="532"/>
      <c r="AO54" s="532"/>
      <c r="AP54" s="532"/>
      <c r="AQ54" s="532"/>
      <c r="AR54" s="532"/>
      <c r="AS54" s="532"/>
      <c r="AT54" s="532"/>
      <c r="AU54" s="532"/>
      <c r="AV54" s="532"/>
      <c r="AW54" s="532"/>
      <c r="AX54" s="532"/>
      <c r="AY54" s="532"/>
      <c r="AZ54" s="532"/>
      <c r="BA54" s="532"/>
      <c r="BB54" s="532"/>
      <c r="BC54" s="532"/>
      <c r="BD54" s="532"/>
      <c r="BE54" s="532"/>
      <c r="BF54" s="532"/>
      <c r="BG54" s="532"/>
      <c r="BH54" s="532"/>
      <c r="BI54" s="532"/>
      <c r="BJ54" s="532"/>
      <c r="BK54" s="532"/>
      <c r="BL54" s="532"/>
      <c r="BM54" s="532"/>
      <c r="BN54" s="532"/>
      <c r="BO54" s="532"/>
      <c r="BP54" s="532"/>
      <c r="BQ54" s="532"/>
      <c r="BR54" s="532"/>
      <c r="BS54" s="532"/>
      <c r="BT54" s="532"/>
      <c r="BU54" s="532"/>
      <c r="BV54" s="532"/>
      <c r="BW54" s="532"/>
      <c r="BX54" s="532"/>
      <c r="BY54" s="532"/>
      <c r="BZ54" s="532"/>
      <c r="CA54" s="532"/>
      <c r="CB54" s="532"/>
      <c r="CC54" s="532"/>
      <c r="CD54" s="532"/>
      <c r="CE54" s="532"/>
      <c r="CF54" s="532"/>
      <c r="CG54" s="532"/>
      <c r="CH54" s="532"/>
      <c r="CI54" s="532"/>
      <c r="CJ54" s="532"/>
      <c r="CK54" s="532"/>
      <c r="CL54" s="531"/>
      <c r="DN54" s="516"/>
      <c r="EE54" s="522"/>
      <c r="EF54" s="523"/>
      <c r="EG54" s="523"/>
      <c r="EH54" s="523"/>
      <c r="EI54" s="524"/>
      <c r="EU54" s="2596"/>
      <c r="EV54" s="2596"/>
      <c r="EW54" s="2596"/>
      <c r="EX54" s="2596"/>
      <c r="EY54" s="2596"/>
      <c r="EZ54" s="2596"/>
      <c r="FA54" s="2596"/>
      <c r="FB54" s="2596"/>
      <c r="FC54" s="2596"/>
      <c r="FD54" s="2596"/>
      <c r="FE54" s="2596"/>
      <c r="FF54" s="2596"/>
      <c r="FK54" s="2595"/>
      <c r="FL54" s="2595"/>
      <c r="FM54" s="2595"/>
      <c r="FN54" s="2595"/>
      <c r="GV54" s="522"/>
      <c r="GW54" s="523"/>
      <c r="GX54" s="523"/>
      <c r="GY54" s="524"/>
      <c r="II54" s="2609"/>
      <c r="IJ54" s="2610"/>
      <c r="IK54" s="2610"/>
      <c r="IL54" s="2610"/>
      <c r="IM54" s="2610"/>
      <c r="IN54" s="2610"/>
      <c r="IO54" s="2610"/>
      <c r="IP54" s="2611"/>
    </row>
    <row r="55" spans="21:258" ht="4.1500000000000004" customHeight="1">
      <c r="DN55" s="516"/>
      <c r="EE55" s="522"/>
      <c r="EF55" s="523"/>
      <c r="EG55" s="523"/>
      <c r="EH55" s="523"/>
      <c r="EI55" s="524"/>
      <c r="EU55" s="2598"/>
      <c r="EV55" s="2598"/>
      <c r="EW55" s="2598"/>
      <c r="EX55" s="2598"/>
      <c r="EY55" s="2598"/>
      <c r="EZ55" s="2598"/>
      <c r="FA55" s="2598"/>
      <c r="FB55" s="2598"/>
      <c r="FC55" s="2598"/>
      <c r="FD55" s="2598"/>
      <c r="FE55" s="2598"/>
      <c r="FF55" s="2598"/>
      <c r="FK55" s="2595"/>
      <c r="FL55" s="2595"/>
      <c r="FM55" s="2595"/>
      <c r="FN55" s="2595"/>
      <c r="GV55" s="527"/>
      <c r="GW55" s="528"/>
      <c r="GX55" s="528"/>
      <c r="GY55" s="529"/>
      <c r="GZ55" s="516"/>
    </row>
    <row r="56" spans="21:258" ht="4.1500000000000004" customHeight="1">
      <c r="DN56" s="516"/>
      <c r="EE56" s="2626">
        <f>V81</f>
        <v>0.25</v>
      </c>
      <c r="EF56" s="2627"/>
      <c r="EG56" s="2627"/>
      <c r="EH56" s="2627"/>
      <c r="EI56" s="2628"/>
      <c r="EU56" s="514"/>
      <c r="EV56" s="514"/>
      <c r="EW56" s="514"/>
      <c r="EX56" s="514"/>
      <c r="EY56" s="514"/>
      <c r="EZ56" s="514"/>
      <c r="FA56" s="514"/>
      <c r="FB56" s="514"/>
      <c r="FC56" s="514"/>
      <c r="FD56" s="514"/>
      <c r="FE56" s="514"/>
      <c r="FF56" s="514"/>
      <c r="FK56" s="2595"/>
      <c r="FL56" s="2595"/>
      <c r="FM56" s="2595"/>
      <c r="FN56" s="2595"/>
      <c r="GV56" s="515"/>
      <c r="GW56" s="514"/>
      <c r="GX56" s="514"/>
      <c r="GY56" s="518"/>
      <c r="GZ56" s="516"/>
    </row>
    <row r="57" spans="21:258" ht="4.1500000000000004" customHeight="1">
      <c r="DN57" s="516"/>
      <c r="EE57" s="2629"/>
      <c r="EF57" s="2630"/>
      <c r="EG57" s="2630"/>
      <c r="EH57" s="2630"/>
      <c r="EI57" s="2631"/>
      <c r="EU57" s="534"/>
      <c r="EV57" s="534"/>
      <c r="EW57" s="534"/>
      <c r="EX57" s="534"/>
      <c r="EY57" s="534"/>
      <c r="EZ57" s="534"/>
      <c r="FA57" s="534"/>
      <c r="FB57" s="534"/>
      <c r="FC57" s="534"/>
      <c r="FD57" s="534"/>
      <c r="FE57" s="534"/>
      <c r="FF57" s="534"/>
      <c r="FK57" s="2595"/>
      <c r="FL57" s="2595"/>
      <c r="FM57" s="2595"/>
      <c r="FN57" s="2595"/>
      <c r="GV57" s="516"/>
      <c r="GY57" s="517"/>
      <c r="GZ57" s="516"/>
    </row>
    <row r="58" spans="21:258" ht="4.1500000000000004" customHeight="1">
      <c r="DN58" s="516"/>
      <c r="EA58" s="515"/>
      <c r="EB58" s="514"/>
      <c r="EC58" s="514"/>
      <c r="ED58" s="518"/>
      <c r="EE58" s="2629"/>
      <c r="EF58" s="2630"/>
      <c r="EG58" s="2630"/>
      <c r="EH58" s="2630"/>
      <c r="EI58" s="2631"/>
      <c r="EU58" s="2596">
        <v>0.4</v>
      </c>
      <c r="EV58" s="2596"/>
      <c r="EW58" s="2596"/>
      <c r="EX58" s="2596"/>
      <c r="EY58" s="2596"/>
      <c r="EZ58" s="2596"/>
      <c r="FA58" s="2596"/>
      <c r="FB58" s="2596"/>
      <c r="FC58" s="2596"/>
      <c r="FD58" s="2596"/>
      <c r="FE58" s="2596"/>
      <c r="FF58" s="2596"/>
      <c r="FK58" s="2595"/>
      <c r="FL58" s="2595"/>
      <c r="FM58" s="2595"/>
      <c r="FN58" s="2595"/>
      <c r="GU58" s="517"/>
      <c r="GV58" s="516"/>
      <c r="GY58" s="517"/>
      <c r="GZ58" s="516"/>
    </row>
    <row r="59" spans="21:258" ht="4.1500000000000004" customHeight="1">
      <c r="DN59" s="516"/>
      <c r="EA59" s="516"/>
      <c r="ED59" s="517"/>
      <c r="EE59" s="2629"/>
      <c r="EF59" s="2630"/>
      <c r="EG59" s="2630"/>
      <c r="EH59" s="2630"/>
      <c r="EI59" s="2631"/>
      <c r="EU59" s="2596"/>
      <c r="EV59" s="2596"/>
      <c r="EW59" s="2596"/>
      <c r="EX59" s="2596"/>
      <c r="EY59" s="2596"/>
      <c r="EZ59" s="2596"/>
      <c r="FA59" s="2596"/>
      <c r="FB59" s="2596"/>
      <c r="FC59" s="2596"/>
      <c r="FD59" s="2596"/>
      <c r="FE59" s="2596"/>
      <c r="FF59" s="2596"/>
      <c r="FK59" s="2595"/>
      <c r="FL59" s="2595"/>
      <c r="FM59" s="2595"/>
      <c r="FN59" s="2595"/>
      <c r="FR59" s="2608" t="s">
        <v>2980</v>
      </c>
      <c r="FS59" s="2608"/>
      <c r="FT59" s="2608"/>
      <c r="FU59" s="2608"/>
      <c r="FV59" s="2608"/>
      <c r="FW59" s="2608"/>
      <c r="FX59" s="2608"/>
      <c r="GU59" s="517"/>
      <c r="GV59" s="516"/>
      <c r="GY59" s="517"/>
      <c r="GZ59" s="516"/>
    </row>
    <row r="60" spans="21:258" ht="4.1500000000000004" customHeight="1">
      <c r="DN60" s="516"/>
      <c r="DW60" s="515"/>
      <c r="DX60" s="514"/>
      <c r="DY60" s="514"/>
      <c r="DZ60" s="514"/>
      <c r="EE60" s="2629"/>
      <c r="EF60" s="2630"/>
      <c r="EG60" s="2630"/>
      <c r="EH60" s="2630"/>
      <c r="EI60" s="2631"/>
      <c r="EU60" s="2596"/>
      <c r="EV60" s="2596"/>
      <c r="EW60" s="2596"/>
      <c r="EX60" s="2596"/>
      <c r="EY60" s="2596"/>
      <c r="EZ60" s="2596"/>
      <c r="FA60" s="2596"/>
      <c r="FB60" s="2596"/>
      <c r="FC60" s="2596"/>
      <c r="FD60" s="2596"/>
      <c r="FE60" s="2596"/>
      <c r="FF60" s="2596"/>
      <c r="FK60" s="2595"/>
      <c r="FL60" s="2595"/>
      <c r="FM60" s="2595"/>
      <c r="FN60" s="2595"/>
      <c r="FR60" s="2608"/>
      <c r="FS60" s="2608"/>
      <c r="FT60" s="2608"/>
      <c r="FU60" s="2608"/>
      <c r="FV60" s="2608"/>
      <c r="FW60" s="2608"/>
      <c r="FX60" s="2608"/>
      <c r="GU60" s="517"/>
      <c r="GV60" s="516"/>
      <c r="GY60" s="517"/>
      <c r="GZ60" s="516"/>
      <c r="IC60" s="2612" t="s">
        <v>3597</v>
      </c>
      <c r="ID60" s="2612"/>
      <c r="IE60" s="2612"/>
      <c r="IF60" s="2612"/>
      <c r="IG60" s="2612"/>
      <c r="IH60" s="2612"/>
      <c r="II60" s="2612"/>
      <c r="IJ60" s="2612"/>
      <c r="IK60" s="2612"/>
      <c r="IL60" s="2612"/>
      <c r="IM60" s="2612"/>
      <c r="IN60" s="2612"/>
      <c r="IO60" s="2612"/>
      <c r="IP60" s="2612"/>
      <c r="IQ60" s="2612"/>
      <c r="IR60" s="2612"/>
      <c r="IS60" s="2612"/>
      <c r="IT60" s="2612"/>
      <c r="IU60" s="2612"/>
      <c r="IV60" s="2612"/>
      <c r="IW60" s="2612"/>
      <c r="IX60" s="2612"/>
    </row>
    <row r="61" spans="21:258" ht="4.1500000000000004" customHeight="1">
      <c r="DK61" s="532"/>
      <c r="DL61" s="532"/>
      <c r="DM61" s="532"/>
      <c r="DN61" s="530"/>
      <c r="DO61" s="532"/>
      <c r="DP61" s="532"/>
      <c r="DQ61" s="532"/>
      <c r="DR61" s="532"/>
      <c r="DS61" s="532"/>
      <c r="DT61" s="532"/>
      <c r="DU61" s="532"/>
      <c r="DV61" s="532"/>
      <c r="DW61" s="530"/>
      <c r="DX61" s="532"/>
      <c r="DY61" s="532"/>
      <c r="DZ61" s="532"/>
      <c r="EE61" s="2632"/>
      <c r="EF61" s="2633"/>
      <c r="EG61" s="2633"/>
      <c r="EH61" s="2633"/>
      <c r="EI61" s="2634"/>
      <c r="EM61" s="532"/>
      <c r="EN61" s="532"/>
      <c r="EO61" s="532"/>
      <c r="EP61" s="532"/>
      <c r="EQ61" s="532"/>
      <c r="ER61" s="532"/>
      <c r="ES61" s="532"/>
      <c r="ET61" s="532"/>
      <c r="EU61" s="535"/>
      <c r="EV61" s="535"/>
      <c r="EW61" s="535"/>
      <c r="EX61" s="535"/>
      <c r="EY61" s="535"/>
      <c r="EZ61" s="535"/>
      <c r="FA61" s="535"/>
      <c r="FB61" s="535"/>
      <c r="FC61" s="535"/>
      <c r="FD61" s="535"/>
      <c r="FE61" s="535"/>
      <c r="FF61" s="535"/>
      <c r="FJ61" s="532"/>
      <c r="FK61" s="2625"/>
      <c r="FL61" s="2625"/>
      <c r="FM61" s="2625"/>
      <c r="FN61" s="2625"/>
      <c r="FO61" s="532"/>
      <c r="FP61" s="532"/>
      <c r="FQ61" s="532"/>
      <c r="FR61" s="2635"/>
      <c r="FS61" s="2635"/>
      <c r="FT61" s="2635"/>
      <c r="FU61" s="2635"/>
      <c r="FV61" s="2635"/>
      <c r="FW61" s="2635"/>
      <c r="FX61" s="2635"/>
      <c r="GG61" s="532"/>
      <c r="GH61" s="532"/>
      <c r="GI61" s="532"/>
      <c r="GJ61" s="532"/>
      <c r="GK61" s="532"/>
      <c r="GL61" s="532"/>
      <c r="GM61" s="532"/>
      <c r="GN61" s="532"/>
      <c r="GO61" s="532"/>
      <c r="GP61" s="532"/>
      <c r="GQ61" s="532"/>
      <c r="GR61" s="532"/>
      <c r="GS61" s="532"/>
      <c r="GT61" s="532"/>
      <c r="GU61" s="531"/>
      <c r="GV61" s="530"/>
      <c r="GW61" s="532"/>
      <c r="GX61" s="532"/>
      <c r="GY61" s="531"/>
      <c r="GZ61" s="530"/>
      <c r="HA61" s="532"/>
      <c r="HB61" s="532"/>
      <c r="HC61" s="532"/>
      <c r="HD61" s="532"/>
      <c r="HE61" s="532"/>
      <c r="HF61" s="532"/>
      <c r="HG61" s="532"/>
      <c r="HH61" s="532"/>
      <c r="HI61" s="532"/>
      <c r="HJ61" s="532"/>
      <c r="HK61" s="532"/>
      <c r="HL61" s="532"/>
      <c r="HM61" s="532"/>
      <c r="HN61" s="532"/>
      <c r="IC61" s="2612"/>
      <c r="ID61" s="2612"/>
      <c r="IE61" s="2612"/>
      <c r="IF61" s="2612"/>
      <c r="IG61" s="2612"/>
      <c r="IH61" s="2612"/>
      <c r="II61" s="2612"/>
      <c r="IJ61" s="2612"/>
      <c r="IK61" s="2612"/>
      <c r="IL61" s="2612"/>
      <c r="IM61" s="2612"/>
      <c r="IN61" s="2612"/>
      <c r="IO61" s="2612"/>
      <c r="IP61" s="2612"/>
      <c r="IQ61" s="2612"/>
      <c r="IR61" s="2612"/>
      <c r="IS61" s="2612"/>
      <c r="IT61" s="2612"/>
      <c r="IU61" s="2612"/>
      <c r="IV61" s="2612"/>
      <c r="IW61" s="2612"/>
      <c r="IX61" s="2612"/>
    </row>
    <row r="62" spans="21:258" ht="4.1500000000000004" customHeight="1">
      <c r="V62" s="516"/>
      <c r="AW62" s="2683">
        <f>AW68+V81</f>
        <v>7.8</v>
      </c>
      <c r="AX62" s="2641"/>
      <c r="AY62" s="2641"/>
      <c r="AZ62" s="2641"/>
      <c r="BA62" s="2641"/>
      <c r="BB62" s="2641"/>
      <c r="BC62" s="2641"/>
      <c r="BD62" s="2641"/>
      <c r="BE62" s="2641"/>
      <c r="BF62" s="2641"/>
      <c r="BG62" s="2641"/>
      <c r="BH62" s="2641"/>
      <c r="BI62" s="2641"/>
      <c r="BJ62" s="2641"/>
      <c r="CK62" s="517"/>
      <c r="DP62" s="514"/>
      <c r="DQ62" s="514"/>
      <c r="DR62" s="514"/>
      <c r="DS62" s="514"/>
      <c r="DT62" s="514"/>
      <c r="DU62" s="511"/>
      <c r="DV62" s="512"/>
      <c r="DW62" s="512"/>
      <c r="DX62" s="512"/>
      <c r="DY62" s="563"/>
      <c r="DZ62" s="563"/>
      <c r="EA62" s="563"/>
      <c r="EB62" s="564"/>
      <c r="EC62" s="2602">
        <v>0.3</v>
      </c>
      <c r="ED62" s="2597"/>
      <c r="EE62" s="2597"/>
      <c r="EF62" s="2597"/>
      <c r="EG62" s="2597"/>
      <c r="EH62" s="2597"/>
      <c r="EI62" s="2597"/>
      <c r="EJ62" s="2597"/>
      <c r="EK62" s="2603"/>
      <c r="EL62" s="565"/>
      <c r="EM62" s="565"/>
      <c r="EN62" s="565"/>
      <c r="EO62" s="565"/>
      <c r="ET62" s="514"/>
      <c r="EU62" s="514"/>
      <c r="EV62" s="514"/>
      <c r="EW62" s="514"/>
      <c r="EX62" s="514"/>
      <c r="EY62" s="514"/>
      <c r="EZ62" s="514"/>
      <c r="FA62" s="514"/>
      <c r="FB62" s="514"/>
      <c r="FC62" s="514"/>
      <c r="FD62" s="514"/>
      <c r="FE62" s="514"/>
      <c r="FF62" s="514"/>
      <c r="FJ62" s="514"/>
      <c r="FK62" s="514"/>
      <c r="FL62" s="514"/>
      <c r="FM62" s="515"/>
      <c r="FN62" s="514"/>
      <c r="FO62" s="514"/>
      <c r="FZ62" s="514"/>
      <c r="GA62" s="514"/>
      <c r="GB62" s="514"/>
      <c r="GC62" s="515"/>
      <c r="GD62" s="514"/>
      <c r="GE62" s="514"/>
      <c r="GF62" s="514"/>
      <c r="GG62" s="514"/>
      <c r="GV62" s="516"/>
      <c r="GY62" s="517"/>
      <c r="HO62" s="514"/>
      <c r="HP62" s="514"/>
      <c r="HQ62" s="514"/>
      <c r="HR62" s="514"/>
      <c r="HS62" s="515"/>
      <c r="HT62" s="514"/>
      <c r="HU62" s="514"/>
      <c r="HV62" s="514"/>
      <c r="HW62" s="514"/>
      <c r="HX62" s="514"/>
      <c r="IC62" s="2612"/>
      <c r="ID62" s="2612"/>
      <c r="IE62" s="2612"/>
      <c r="IF62" s="2612"/>
      <c r="IG62" s="2612"/>
      <c r="IH62" s="2612"/>
      <c r="II62" s="2612"/>
      <c r="IJ62" s="2612"/>
      <c r="IK62" s="2612"/>
      <c r="IL62" s="2612"/>
      <c r="IM62" s="2612"/>
      <c r="IN62" s="2612"/>
      <c r="IO62" s="2612"/>
      <c r="IP62" s="2612"/>
      <c r="IQ62" s="2612"/>
      <c r="IR62" s="2612"/>
      <c r="IS62" s="2612"/>
      <c r="IT62" s="2612"/>
      <c r="IU62" s="2612"/>
      <c r="IV62" s="2612"/>
      <c r="IW62" s="2612"/>
      <c r="IX62" s="2612"/>
    </row>
    <row r="63" spans="21:258" ht="4.1500000000000004" customHeight="1">
      <c r="V63" s="530"/>
      <c r="W63" s="532"/>
      <c r="X63" s="532"/>
      <c r="Y63" s="532"/>
      <c r="Z63" s="532"/>
      <c r="AA63" s="532"/>
      <c r="AB63" s="532"/>
      <c r="AC63" s="532"/>
      <c r="AD63" s="532"/>
      <c r="AE63" s="532"/>
      <c r="AF63" s="532"/>
      <c r="AG63" s="532"/>
      <c r="AH63" s="532"/>
      <c r="AI63" s="532"/>
      <c r="AJ63" s="532"/>
      <c r="AK63" s="532"/>
      <c r="AL63" s="532"/>
      <c r="AM63" s="532"/>
      <c r="AN63" s="532"/>
      <c r="AO63" s="532"/>
      <c r="AP63" s="532"/>
      <c r="AQ63" s="532"/>
      <c r="AR63" s="532"/>
      <c r="AS63" s="532"/>
      <c r="AT63" s="532"/>
      <c r="AU63" s="532"/>
      <c r="AV63" s="532"/>
      <c r="AW63" s="2641"/>
      <c r="AX63" s="2641"/>
      <c r="AY63" s="2641"/>
      <c r="AZ63" s="2641"/>
      <c r="BA63" s="2641"/>
      <c r="BB63" s="2641"/>
      <c r="BC63" s="2641"/>
      <c r="BD63" s="2641"/>
      <c r="BE63" s="2641"/>
      <c r="BF63" s="2641"/>
      <c r="BG63" s="2641"/>
      <c r="BH63" s="2641"/>
      <c r="BI63" s="2641"/>
      <c r="BJ63" s="2641"/>
      <c r="BK63" s="532"/>
      <c r="BL63" s="532"/>
      <c r="BM63" s="532"/>
      <c r="BN63" s="532"/>
      <c r="BO63" s="532"/>
      <c r="BP63" s="532"/>
      <c r="BQ63" s="532"/>
      <c r="BR63" s="532"/>
      <c r="BS63" s="532"/>
      <c r="BT63" s="532"/>
      <c r="BU63" s="532"/>
      <c r="BV63" s="532"/>
      <c r="BW63" s="532"/>
      <c r="BX63" s="532"/>
      <c r="BY63" s="532"/>
      <c r="BZ63" s="532"/>
      <c r="CA63" s="532"/>
      <c r="CB63" s="532"/>
      <c r="CC63" s="532"/>
      <c r="CD63" s="532"/>
      <c r="CE63" s="532"/>
      <c r="CF63" s="532"/>
      <c r="CG63" s="532"/>
      <c r="CH63" s="532"/>
      <c r="CI63" s="532"/>
      <c r="CJ63" s="532"/>
      <c r="CK63" s="531"/>
      <c r="DU63" s="511"/>
      <c r="DV63" s="512"/>
      <c r="DW63" s="512"/>
      <c r="DX63" s="512"/>
      <c r="DY63" s="563"/>
      <c r="DZ63" s="563"/>
      <c r="EA63" s="563"/>
      <c r="EB63" s="564"/>
      <c r="EC63" s="2604"/>
      <c r="ED63" s="2596"/>
      <c r="EE63" s="2596"/>
      <c r="EF63" s="2596"/>
      <c r="EG63" s="2596"/>
      <c r="EH63" s="2596"/>
      <c r="EI63" s="2596"/>
      <c r="EJ63" s="2596"/>
      <c r="EK63" s="2605"/>
      <c r="EL63" s="565"/>
      <c r="EM63" s="565"/>
      <c r="EN63" s="565"/>
      <c r="EO63" s="565"/>
      <c r="EU63" s="2608">
        <v>0.22500000000000001</v>
      </c>
      <c r="EV63" s="2608"/>
      <c r="EW63" s="2608"/>
      <c r="EX63" s="2608"/>
      <c r="EY63" s="2608"/>
      <c r="EZ63" s="2608"/>
      <c r="FA63" s="2608"/>
      <c r="FB63" s="2608"/>
      <c r="FC63" s="2608"/>
      <c r="FD63" s="2608"/>
      <c r="FE63" s="2608"/>
      <c r="FF63" s="2608"/>
      <c r="FM63" s="516"/>
      <c r="GC63" s="516"/>
      <c r="GV63" s="2629">
        <v>0.25</v>
      </c>
      <c r="GW63" s="2630"/>
      <c r="GX63" s="2630"/>
      <c r="GY63" s="2631"/>
      <c r="HS63" s="516"/>
    </row>
    <row r="64" spans="21:258" ht="4.1500000000000004" customHeight="1">
      <c r="V64" s="516"/>
      <c r="AW64" s="2641"/>
      <c r="AX64" s="2641"/>
      <c r="AY64" s="2641"/>
      <c r="AZ64" s="2641"/>
      <c r="BA64" s="2641"/>
      <c r="BB64" s="2641"/>
      <c r="BC64" s="2641"/>
      <c r="BD64" s="2641"/>
      <c r="BE64" s="2641"/>
      <c r="BF64" s="2641"/>
      <c r="BG64" s="2641"/>
      <c r="BH64" s="2641"/>
      <c r="BI64" s="2641"/>
      <c r="BJ64" s="2641"/>
      <c r="CK64" s="517"/>
      <c r="DY64" s="565"/>
      <c r="DZ64" s="565"/>
      <c r="EA64" s="565"/>
      <c r="EB64" s="565"/>
      <c r="EC64" s="2604"/>
      <c r="ED64" s="2596"/>
      <c r="EE64" s="2596"/>
      <c r="EF64" s="2596"/>
      <c r="EG64" s="2596"/>
      <c r="EH64" s="2596"/>
      <c r="EI64" s="2596"/>
      <c r="EJ64" s="2596"/>
      <c r="EK64" s="2605"/>
      <c r="EL64" s="565"/>
      <c r="EM64" s="565"/>
      <c r="EN64" s="565"/>
      <c r="EO64" s="565"/>
      <c r="EU64" s="2608"/>
      <c r="EV64" s="2608"/>
      <c r="EW64" s="2608"/>
      <c r="EX64" s="2608"/>
      <c r="EY64" s="2608"/>
      <c r="EZ64" s="2608"/>
      <c r="FA64" s="2608"/>
      <c r="FB64" s="2608"/>
      <c r="FC64" s="2608"/>
      <c r="FD64" s="2608"/>
      <c r="FE64" s="2608"/>
      <c r="FF64" s="2608"/>
      <c r="FM64" s="516"/>
      <c r="GC64" s="516"/>
      <c r="GV64" s="2629"/>
      <c r="GW64" s="2630"/>
      <c r="GX64" s="2630"/>
      <c r="GY64" s="2631"/>
      <c r="HN64" s="2638">
        <v>0.3</v>
      </c>
      <c r="HO64" s="2638"/>
      <c r="HP64" s="2638"/>
      <c r="HQ64" s="2638"/>
      <c r="HR64" s="2638"/>
      <c r="HS64" s="2638"/>
      <c r="HT64" s="2638"/>
      <c r="HU64" s="2638"/>
      <c r="HV64" s="2638"/>
      <c r="HW64" s="2638"/>
      <c r="HX64" s="2638"/>
    </row>
    <row r="65" spans="8:232" ht="4.1500000000000004" customHeight="1">
      <c r="V65" s="516"/>
      <c r="AW65" s="2641"/>
      <c r="AX65" s="2641"/>
      <c r="AY65" s="2641"/>
      <c r="AZ65" s="2641"/>
      <c r="BA65" s="2641"/>
      <c r="BB65" s="2641"/>
      <c r="BC65" s="2641"/>
      <c r="BD65" s="2641"/>
      <c r="BE65" s="2641"/>
      <c r="BF65" s="2641"/>
      <c r="BG65" s="2641"/>
      <c r="BH65" s="2641"/>
      <c r="BI65" s="2641"/>
      <c r="BJ65" s="2641"/>
      <c r="CK65" s="517"/>
      <c r="DY65" s="565"/>
      <c r="DZ65" s="565"/>
      <c r="EA65" s="565"/>
      <c r="EB65" s="565"/>
      <c r="EC65" s="2604"/>
      <c r="ED65" s="2596"/>
      <c r="EE65" s="2596"/>
      <c r="EF65" s="2596"/>
      <c r="EG65" s="2596"/>
      <c r="EH65" s="2596"/>
      <c r="EI65" s="2596"/>
      <c r="EJ65" s="2596"/>
      <c r="EK65" s="2605"/>
      <c r="EL65" s="565"/>
      <c r="EM65" s="565"/>
      <c r="EN65" s="565"/>
      <c r="EO65" s="565"/>
      <c r="EU65" s="2608"/>
      <c r="EV65" s="2608"/>
      <c r="EW65" s="2608"/>
      <c r="EX65" s="2608"/>
      <c r="EY65" s="2608"/>
      <c r="EZ65" s="2608"/>
      <c r="FA65" s="2608"/>
      <c r="FB65" s="2608"/>
      <c r="FC65" s="2608"/>
      <c r="FD65" s="2608"/>
      <c r="FE65" s="2608"/>
      <c r="FF65" s="2608"/>
      <c r="FM65" s="516"/>
      <c r="GC65" s="516"/>
      <c r="GV65" s="2629"/>
      <c r="GW65" s="2630"/>
      <c r="GX65" s="2630"/>
      <c r="GY65" s="2631"/>
      <c r="HN65" s="2638"/>
      <c r="HO65" s="2638"/>
      <c r="HP65" s="2638"/>
      <c r="HQ65" s="2638"/>
      <c r="HR65" s="2638"/>
      <c r="HS65" s="2638"/>
      <c r="HT65" s="2638"/>
      <c r="HU65" s="2638"/>
      <c r="HV65" s="2638"/>
      <c r="HW65" s="2638"/>
      <c r="HX65" s="2638"/>
    </row>
    <row r="66" spans="8:232" ht="4.1500000000000004" customHeight="1">
      <c r="AW66" s="1508"/>
      <c r="AX66" s="1508"/>
      <c r="AY66" s="1508"/>
      <c r="AZ66" s="1508"/>
      <c r="BA66" s="1508"/>
      <c r="BB66" s="1508"/>
      <c r="BC66" s="1508"/>
      <c r="BD66" s="1508"/>
      <c r="BE66" s="1508"/>
      <c r="BF66" s="1508"/>
      <c r="BG66" s="1508"/>
      <c r="BH66" s="1508"/>
      <c r="BI66" s="1508"/>
      <c r="BJ66" s="1508"/>
      <c r="DY66" s="565"/>
      <c r="DZ66" s="565"/>
      <c r="EA66" s="565"/>
      <c r="EB66" s="565"/>
      <c r="EC66" s="2606"/>
      <c r="ED66" s="2598"/>
      <c r="EE66" s="2598"/>
      <c r="EF66" s="2598"/>
      <c r="EG66" s="2598"/>
      <c r="EH66" s="2598"/>
      <c r="EI66" s="2598"/>
      <c r="EJ66" s="2598"/>
      <c r="EK66" s="2607"/>
      <c r="EL66" s="565"/>
      <c r="EM66" s="565"/>
      <c r="EN66" s="565"/>
      <c r="EO66" s="565"/>
      <c r="EU66" s="532"/>
      <c r="EV66" s="532"/>
      <c r="EW66" s="532"/>
      <c r="EX66" s="532"/>
      <c r="EY66" s="532"/>
      <c r="EZ66" s="532"/>
      <c r="FA66" s="532"/>
      <c r="FB66" s="532"/>
      <c r="FC66" s="532"/>
      <c r="FD66" s="532"/>
      <c r="FE66" s="532"/>
      <c r="FF66" s="532"/>
      <c r="FM66" s="516"/>
      <c r="GC66" s="516"/>
      <c r="GV66" s="2629"/>
      <c r="GW66" s="2630"/>
      <c r="GX66" s="2630"/>
      <c r="GY66" s="2631"/>
      <c r="HN66" s="2638"/>
      <c r="HO66" s="2638"/>
      <c r="HP66" s="2638"/>
      <c r="HQ66" s="2638"/>
      <c r="HR66" s="2638"/>
      <c r="HS66" s="2638"/>
      <c r="HT66" s="2638"/>
      <c r="HU66" s="2638"/>
      <c r="HV66" s="2638"/>
      <c r="HW66" s="2638"/>
      <c r="HX66" s="2638"/>
    </row>
    <row r="67" spans="8:232" ht="4.1500000000000004" customHeight="1">
      <c r="AW67" s="1508"/>
      <c r="AX67" s="1508"/>
      <c r="AY67" s="1508"/>
      <c r="AZ67" s="1508"/>
      <c r="BA67" s="1508"/>
      <c r="BB67" s="1508"/>
      <c r="BC67" s="1508"/>
      <c r="BD67" s="1508"/>
      <c r="BE67" s="1508"/>
      <c r="BF67" s="1508"/>
      <c r="BG67" s="1508"/>
      <c r="BH67" s="1508"/>
      <c r="BI67" s="1508"/>
      <c r="BJ67" s="1508"/>
      <c r="DY67" s="565"/>
      <c r="DZ67" s="565"/>
      <c r="EA67" s="2602">
        <v>0.5</v>
      </c>
      <c r="EB67" s="2597"/>
      <c r="EC67" s="2597"/>
      <c r="ED67" s="2597"/>
      <c r="EE67" s="2597"/>
      <c r="EF67" s="2597"/>
      <c r="EG67" s="2597"/>
      <c r="EH67" s="2597"/>
      <c r="EI67" s="2597"/>
      <c r="EJ67" s="2597"/>
      <c r="EK67" s="2597"/>
      <c r="EL67" s="2597"/>
      <c r="EM67" s="2603"/>
      <c r="EN67" s="565"/>
      <c r="EO67" s="565"/>
      <c r="FM67" s="516"/>
      <c r="GC67" s="516"/>
      <c r="GV67" s="2629"/>
      <c r="GW67" s="2630"/>
      <c r="GX67" s="2630"/>
      <c r="GY67" s="2631"/>
      <c r="HS67" s="516"/>
    </row>
    <row r="68" spans="8:232" ht="4.1500000000000004" customHeight="1">
      <c r="W68" s="516"/>
      <c r="AW68" s="2683">
        <f>AG74+BM74</f>
        <v>7.55</v>
      </c>
      <c r="AX68" s="2641"/>
      <c r="AY68" s="2641"/>
      <c r="AZ68" s="2641"/>
      <c r="BA68" s="2641"/>
      <c r="BB68" s="2641"/>
      <c r="BC68" s="2641"/>
      <c r="BD68" s="2641"/>
      <c r="BE68" s="2641"/>
      <c r="BF68" s="2641"/>
      <c r="BG68" s="2641"/>
      <c r="BH68" s="2641"/>
      <c r="BI68" s="2641"/>
      <c r="BJ68" s="2641"/>
      <c r="CJ68" s="517"/>
      <c r="DY68" s="565"/>
      <c r="DZ68" s="565"/>
      <c r="EA68" s="2604"/>
      <c r="EB68" s="2596"/>
      <c r="EC68" s="2596"/>
      <c r="ED68" s="2596"/>
      <c r="EE68" s="2596"/>
      <c r="EF68" s="2596"/>
      <c r="EG68" s="2596"/>
      <c r="EH68" s="2596"/>
      <c r="EI68" s="2596"/>
      <c r="EJ68" s="2596"/>
      <c r="EK68" s="2596"/>
      <c r="EL68" s="2596"/>
      <c r="EM68" s="2605"/>
      <c r="EN68" s="565"/>
      <c r="EO68" s="565"/>
      <c r="EU68" s="2608">
        <v>0.22500000000000001</v>
      </c>
      <c r="EV68" s="2608"/>
      <c r="EW68" s="2608"/>
      <c r="EX68" s="2608"/>
      <c r="EY68" s="2608"/>
      <c r="EZ68" s="2608"/>
      <c r="FA68" s="2608"/>
      <c r="FB68" s="2608"/>
      <c r="FC68" s="2608"/>
      <c r="FD68" s="2608"/>
      <c r="FE68" s="2608"/>
      <c r="FF68" s="2608"/>
      <c r="FK68" s="2616">
        <f>EU63+EU68+EU73+EU77+EU80</f>
        <v>0.97500000000000009</v>
      </c>
      <c r="FL68" s="2616"/>
      <c r="FM68" s="2616"/>
      <c r="FN68" s="2616"/>
      <c r="GC68" s="516"/>
      <c r="GV68" s="2632"/>
      <c r="GW68" s="2633"/>
      <c r="GX68" s="2633"/>
      <c r="GY68" s="2634"/>
      <c r="HS68" s="516"/>
    </row>
    <row r="69" spans="8:232" ht="4.1500000000000004" customHeight="1">
      <c r="W69" s="530"/>
      <c r="X69" s="532"/>
      <c r="Y69" s="532"/>
      <c r="Z69" s="532"/>
      <c r="AA69" s="532"/>
      <c r="AB69" s="532"/>
      <c r="AC69" s="532"/>
      <c r="AD69" s="532"/>
      <c r="AE69" s="532"/>
      <c r="AF69" s="532"/>
      <c r="AG69" s="532"/>
      <c r="AH69" s="532"/>
      <c r="AI69" s="532"/>
      <c r="AJ69" s="532"/>
      <c r="AK69" s="532"/>
      <c r="AL69" s="532"/>
      <c r="AM69" s="532"/>
      <c r="AN69" s="532"/>
      <c r="AO69" s="532"/>
      <c r="AP69" s="532"/>
      <c r="AQ69" s="532"/>
      <c r="AR69" s="532"/>
      <c r="AS69" s="532"/>
      <c r="AT69" s="532"/>
      <c r="AU69" s="532"/>
      <c r="AV69" s="532"/>
      <c r="AW69" s="2641"/>
      <c r="AX69" s="2641"/>
      <c r="AY69" s="2641"/>
      <c r="AZ69" s="2641"/>
      <c r="BA69" s="2641"/>
      <c r="BB69" s="2641"/>
      <c r="BC69" s="2641"/>
      <c r="BD69" s="2641"/>
      <c r="BE69" s="2641"/>
      <c r="BF69" s="2641"/>
      <c r="BG69" s="2641"/>
      <c r="BH69" s="2641"/>
      <c r="BI69" s="2641"/>
      <c r="BJ69" s="2641"/>
      <c r="BK69" s="532"/>
      <c r="BL69" s="532"/>
      <c r="BM69" s="532"/>
      <c r="BN69" s="532"/>
      <c r="BO69" s="532"/>
      <c r="BP69" s="532"/>
      <c r="BQ69" s="532"/>
      <c r="BR69" s="532"/>
      <c r="BS69" s="532"/>
      <c r="BT69" s="532"/>
      <c r="BU69" s="532"/>
      <c r="BV69" s="532"/>
      <c r="BW69" s="532"/>
      <c r="BX69" s="532"/>
      <c r="BY69" s="532"/>
      <c r="BZ69" s="532"/>
      <c r="CA69" s="532"/>
      <c r="CB69" s="532"/>
      <c r="CC69" s="532"/>
      <c r="CD69" s="532"/>
      <c r="CE69" s="532"/>
      <c r="CF69" s="532"/>
      <c r="CG69" s="532"/>
      <c r="CH69" s="532"/>
      <c r="CI69" s="532"/>
      <c r="CJ69" s="531"/>
      <c r="DY69" s="565"/>
      <c r="DZ69" s="565"/>
      <c r="EA69" s="2604"/>
      <c r="EB69" s="2596"/>
      <c r="EC69" s="2596"/>
      <c r="ED69" s="2596"/>
      <c r="EE69" s="2596"/>
      <c r="EF69" s="2596"/>
      <c r="EG69" s="2596"/>
      <c r="EH69" s="2596"/>
      <c r="EI69" s="2596"/>
      <c r="EJ69" s="2596"/>
      <c r="EK69" s="2596"/>
      <c r="EL69" s="2596"/>
      <c r="EM69" s="2605"/>
      <c r="EN69" s="565"/>
      <c r="EO69" s="565"/>
      <c r="EU69" s="2608"/>
      <c r="EV69" s="2608"/>
      <c r="EW69" s="2608"/>
      <c r="EX69" s="2608"/>
      <c r="EY69" s="2608"/>
      <c r="EZ69" s="2608"/>
      <c r="FA69" s="2608"/>
      <c r="FB69" s="2608"/>
      <c r="FC69" s="2608"/>
      <c r="FD69" s="2608"/>
      <c r="FE69" s="2608"/>
      <c r="FF69" s="2608"/>
      <c r="FK69" s="2616"/>
      <c r="FL69" s="2616"/>
      <c r="FM69" s="2616"/>
      <c r="FN69" s="2616"/>
      <c r="GC69" s="516"/>
      <c r="GJ69" s="2619"/>
      <c r="GK69" s="2619"/>
      <c r="GL69" s="2619"/>
      <c r="GM69" s="2619"/>
      <c r="GN69" s="2619"/>
      <c r="GO69" s="2619"/>
      <c r="GP69" s="2619"/>
      <c r="GQ69" s="2619"/>
      <c r="GR69" s="2619"/>
      <c r="GS69" s="2619"/>
      <c r="GT69" s="2619"/>
      <c r="GU69" s="2643">
        <v>0.3</v>
      </c>
      <c r="GV69" s="2643"/>
      <c r="GW69" s="2643"/>
      <c r="GX69" s="2643"/>
      <c r="GY69" s="2643"/>
      <c r="GZ69" s="2643"/>
      <c r="HA69" s="2644"/>
      <c r="HB69" s="2644"/>
      <c r="HC69" s="2644"/>
      <c r="HD69" s="2644"/>
      <c r="HE69" s="2644"/>
      <c r="HF69" s="2644"/>
      <c r="HG69" s="2644"/>
      <c r="HH69" s="2644"/>
      <c r="HI69" s="2644"/>
      <c r="HJ69" s="2644"/>
      <c r="HK69" s="2644"/>
      <c r="HN69" s="514"/>
      <c r="HO69" s="514"/>
      <c r="HP69" s="514"/>
      <c r="HQ69" s="514"/>
      <c r="HR69" s="514"/>
      <c r="HS69" s="515"/>
      <c r="HT69" s="514"/>
      <c r="HU69" s="514"/>
      <c r="HV69" s="514"/>
      <c r="HW69" s="514"/>
      <c r="HX69" s="514"/>
    </row>
    <row r="70" spans="8:232" ht="4.1500000000000004" customHeight="1">
      <c r="W70" s="516"/>
      <c r="AW70" s="2641"/>
      <c r="AX70" s="2641"/>
      <c r="AY70" s="2641"/>
      <c r="AZ70" s="2641"/>
      <c r="BA70" s="2641"/>
      <c r="BB70" s="2641"/>
      <c r="BC70" s="2641"/>
      <c r="BD70" s="2641"/>
      <c r="BE70" s="2641"/>
      <c r="BF70" s="2641"/>
      <c r="BG70" s="2641"/>
      <c r="BH70" s="2641"/>
      <c r="BI70" s="2641"/>
      <c r="BJ70" s="2641"/>
      <c r="CJ70" s="517"/>
      <c r="DY70" s="565"/>
      <c r="DZ70" s="565"/>
      <c r="EA70" s="2604"/>
      <c r="EB70" s="2596"/>
      <c r="EC70" s="2596"/>
      <c r="ED70" s="2596"/>
      <c r="EE70" s="2596"/>
      <c r="EF70" s="2596"/>
      <c r="EG70" s="2596"/>
      <c r="EH70" s="2596"/>
      <c r="EI70" s="2596"/>
      <c r="EJ70" s="2596"/>
      <c r="EK70" s="2596"/>
      <c r="EL70" s="2596"/>
      <c r="EM70" s="2605"/>
      <c r="EN70" s="565"/>
      <c r="EO70" s="565"/>
      <c r="EU70" s="2608"/>
      <c r="EV70" s="2608"/>
      <c r="EW70" s="2608"/>
      <c r="EX70" s="2608"/>
      <c r="EY70" s="2608"/>
      <c r="EZ70" s="2608"/>
      <c r="FA70" s="2608"/>
      <c r="FB70" s="2608"/>
      <c r="FC70" s="2608"/>
      <c r="FD70" s="2608"/>
      <c r="FE70" s="2608"/>
      <c r="FF70" s="2608"/>
      <c r="FK70" s="2616"/>
      <c r="FL70" s="2616"/>
      <c r="FM70" s="2616"/>
      <c r="FN70" s="2616"/>
      <c r="GC70" s="516"/>
      <c r="GJ70" s="2619"/>
      <c r="GK70" s="2619"/>
      <c r="GL70" s="2619"/>
      <c r="GM70" s="2619"/>
      <c r="GN70" s="2619"/>
      <c r="GO70" s="2619"/>
      <c r="GP70" s="2619"/>
      <c r="GQ70" s="2619"/>
      <c r="GR70" s="2619"/>
      <c r="GS70" s="2619"/>
      <c r="GT70" s="2619"/>
      <c r="GU70" s="2600"/>
      <c r="GV70" s="2600"/>
      <c r="GW70" s="2600"/>
      <c r="GX70" s="2600"/>
      <c r="GY70" s="2600"/>
      <c r="GZ70" s="2600"/>
      <c r="HA70" s="2644"/>
      <c r="HB70" s="2644"/>
      <c r="HC70" s="2644"/>
      <c r="HD70" s="2644"/>
      <c r="HE70" s="2644"/>
      <c r="HF70" s="2644"/>
      <c r="HG70" s="2644"/>
      <c r="HH70" s="2644"/>
      <c r="HI70" s="2644"/>
      <c r="HJ70" s="2644"/>
      <c r="HK70" s="2644"/>
      <c r="HS70" s="516"/>
    </row>
    <row r="71" spans="8:232" ht="4.1500000000000004" customHeight="1">
      <c r="W71" s="516"/>
      <c r="AW71" s="2641"/>
      <c r="AX71" s="2641"/>
      <c r="AY71" s="2641"/>
      <c r="AZ71" s="2641"/>
      <c r="BA71" s="2641"/>
      <c r="BB71" s="2641"/>
      <c r="BC71" s="2641"/>
      <c r="BD71" s="2641"/>
      <c r="BE71" s="2641"/>
      <c r="BF71" s="2641"/>
      <c r="BG71" s="2641"/>
      <c r="BH71" s="2641"/>
      <c r="BI71" s="2641"/>
      <c r="BJ71" s="2641"/>
      <c r="CJ71" s="517"/>
      <c r="DY71" s="565"/>
      <c r="DZ71" s="565"/>
      <c r="EA71" s="2606"/>
      <c r="EB71" s="2598"/>
      <c r="EC71" s="2598"/>
      <c r="ED71" s="2598"/>
      <c r="EE71" s="2598"/>
      <c r="EF71" s="2598"/>
      <c r="EG71" s="2598"/>
      <c r="EH71" s="2598"/>
      <c r="EI71" s="2598"/>
      <c r="EJ71" s="2598"/>
      <c r="EK71" s="2598"/>
      <c r="EL71" s="2598"/>
      <c r="EM71" s="2607"/>
      <c r="EN71" s="565"/>
      <c r="EO71" s="565"/>
      <c r="EU71" s="532"/>
      <c r="EV71" s="532"/>
      <c r="EW71" s="532"/>
      <c r="EX71" s="532"/>
      <c r="EY71" s="532"/>
      <c r="EZ71" s="532"/>
      <c r="FA71" s="532"/>
      <c r="FB71" s="532"/>
      <c r="FC71" s="532"/>
      <c r="FD71" s="532"/>
      <c r="FE71" s="532"/>
      <c r="FF71" s="532"/>
      <c r="FK71" s="2616"/>
      <c r="FL71" s="2616"/>
      <c r="FM71" s="2616"/>
      <c r="FN71" s="2616"/>
      <c r="GB71" s="2646">
        <f>HN64+HN71+HN78+HN83+HN86</f>
        <v>1.1999999999999997</v>
      </c>
      <c r="GC71" s="2646"/>
      <c r="GD71" s="2646"/>
      <c r="GE71" s="2646"/>
      <c r="GJ71" s="2619"/>
      <c r="GK71" s="2619"/>
      <c r="GL71" s="2619"/>
      <c r="GM71" s="2619"/>
      <c r="GN71" s="2619"/>
      <c r="GO71" s="2619"/>
      <c r="GP71" s="2619"/>
      <c r="GQ71" s="2619"/>
      <c r="GR71" s="2619"/>
      <c r="GS71" s="2619"/>
      <c r="GT71" s="2619"/>
      <c r="GU71" s="2600"/>
      <c r="GV71" s="2600"/>
      <c r="GW71" s="2600"/>
      <c r="GX71" s="2600"/>
      <c r="GY71" s="2600"/>
      <c r="GZ71" s="2600"/>
      <c r="HA71" s="2644"/>
      <c r="HB71" s="2644"/>
      <c r="HC71" s="2644"/>
      <c r="HD71" s="2644"/>
      <c r="HE71" s="2644"/>
      <c r="HF71" s="2644"/>
      <c r="HG71" s="2644"/>
      <c r="HH71" s="2644"/>
      <c r="HI71" s="2644"/>
      <c r="HJ71" s="2644"/>
      <c r="HK71" s="2644"/>
      <c r="HN71" s="2638">
        <v>0.3</v>
      </c>
      <c r="HO71" s="2638"/>
      <c r="HP71" s="2638"/>
      <c r="HQ71" s="2638"/>
      <c r="HR71" s="2638"/>
      <c r="HS71" s="2638"/>
      <c r="HT71" s="2638"/>
      <c r="HU71" s="2638"/>
      <c r="HV71" s="2638"/>
      <c r="HW71" s="2638"/>
      <c r="HX71" s="2638"/>
    </row>
    <row r="72" spans="8:232" ht="4.1500000000000004" customHeight="1">
      <c r="DY72" s="2602">
        <v>0.6</v>
      </c>
      <c r="DZ72" s="2597"/>
      <c r="EA72" s="2597"/>
      <c r="EB72" s="2597"/>
      <c r="EC72" s="2597"/>
      <c r="ED72" s="2597"/>
      <c r="EE72" s="2597"/>
      <c r="EF72" s="2597"/>
      <c r="EG72" s="2597"/>
      <c r="EH72" s="2597"/>
      <c r="EI72" s="2597"/>
      <c r="EJ72" s="2597"/>
      <c r="EK72" s="2597"/>
      <c r="EL72" s="2597"/>
      <c r="EM72" s="2597"/>
      <c r="EN72" s="2597"/>
      <c r="EO72" s="2603"/>
      <c r="FK72" s="2616"/>
      <c r="FL72" s="2616"/>
      <c r="FM72" s="2616"/>
      <c r="FN72" s="2616"/>
      <c r="GB72" s="2646"/>
      <c r="GC72" s="2646"/>
      <c r="GD72" s="2646"/>
      <c r="GE72" s="2646"/>
      <c r="GJ72" s="2619"/>
      <c r="GK72" s="2619"/>
      <c r="GL72" s="2619"/>
      <c r="GM72" s="2619"/>
      <c r="GN72" s="2619"/>
      <c r="GO72" s="2619"/>
      <c r="GP72" s="2619"/>
      <c r="GQ72" s="2619"/>
      <c r="GR72" s="2619"/>
      <c r="GS72" s="2619"/>
      <c r="GT72" s="2619"/>
      <c r="HA72" s="2644"/>
      <c r="HB72" s="2644"/>
      <c r="HC72" s="2644"/>
      <c r="HD72" s="2644"/>
      <c r="HE72" s="2644"/>
      <c r="HF72" s="2644"/>
      <c r="HG72" s="2644"/>
      <c r="HH72" s="2644"/>
      <c r="HI72" s="2644"/>
      <c r="HJ72" s="2644"/>
      <c r="HK72" s="2644"/>
      <c r="HN72" s="2638"/>
      <c r="HO72" s="2638"/>
      <c r="HP72" s="2638"/>
      <c r="HQ72" s="2638"/>
      <c r="HR72" s="2638"/>
      <c r="HS72" s="2638"/>
      <c r="HT72" s="2638"/>
      <c r="HU72" s="2638"/>
      <c r="HV72" s="2638"/>
      <c r="HW72" s="2638"/>
      <c r="HX72" s="2638"/>
    </row>
    <row r="73" spans="8:232" ht="4.1500000000000004" customHeight="1">
      <c r="W73" s="516"/>
      <c r="BC73" s="517"/>
      <c r="CJ73" s="517"/>
      <c r="DY73" s="2604"/>
      <c r="DZ73" s="2596"/>
      <c r="EA73" s="2596"/>
      <c r="EB73" s="2596"/>
      <c r="EC73" s="2596"/>
      <c r="ED73" s="2596"/>
      <c r="EE73" s="2596"/>
      <c r="EF73" s="2596"/>
      <c r="EG73" s="2596"/>
      <c r="EH73" s="2596"/>
      <c r="EI73" s="2596"/>
      <c r="EJ73" s="2596"/>
      <c r="EK73" s="2596"/>
      <c r="EL73" s="2596"/>
      <c r="EM73" s="2596"/>
      <c r="EN73" s="2596"/>
      <c r="EO73" s="2605"/>
      <c r="EU73" s="2608">
        <v>0.22500000000000001</v>
      </c>
      <c r="EV73" s="2608"/>
      <c r="EW73" s="2608"/>
      <c r="EX73" s="2608"/>
      <c r="EY73" s="2608"/>
      <c r="EZ73" s="2608"/>
      <c r="FA73" s="2608"/>
      <c r="FB73" s="2608"/>
      <c r="FC73" s="2608"/>
      <c r="FD73" s="2608"/>
      <c r="FE73" s="2608"/>
      <c r="FF73" s="2608"/>
      <c r="FK73" s="2616"/>
      <c r="FL73" s="2616"/>
      <c r="FM73" s="2616"/>
      <c r="FN73" s="2616"/>
      <c r="GB73" s="2646"/>
      <c r="GC73" s="2646"/>
      <c r="GD73" s="2646"/>
      <c r="GE73" s="2646"/>
      <c r="GJ73" s="2619"/>
      <c r="GK73" s="2619"/>
      <c r="GL73" s="2619"/>
      <c r="GM73" s="2619"/>
      <c r="GN73" s="2619"/>
      <c r="GO73" s="2619"/>
      <c r="GP73" s="2619"/>
      <c r="GQ73" s="2619"/>
      <c r="GR73" s="2619"/>
      <c r="GS73" s="2619"/>
      <c r="GT73" s="2619"/>
      <c r="HA73" s="2644"/>
      <c r="HB73" s="2644"/>
      <c r="HC73" s="2644"/>
      <c r="HD73" s="2644"/>
      <c r="HE73" s="2644"/>
      <c r="HF73" s="2644"/>
      <c r="HG73" s="2644"/>
      <c r="HH73" s="2644"/>
      <c r="HI73" s="2644"/>
      <c r="HJ73" s="2644"/>
      <c r="HK73" s="2644"/>
      <c r="HN73" s="2638"/>
      <c r="HO73" s="2638"/>
      <c r="HP73" s="2638"/>
      <c r="HQ73" s="2638"/>
      <c r="HR73" s="2638"/>
      <c r="HS73" s="2638"/>
      <c r="HT73" s="2638"/>
      <c r="HU73" s="2638"/>
      <c r="HV73" s="2638"/>
      <c r="HW73" s="2638"/>
      <c r="HX73" s="2638"/>
    </row>
    <row r="74" spans="8:232" ht="4.1500000000000004" customHeight="1">
      <c r="W74" s="530"/>
      <c r="X74" s="532"/>
      <c r="Y74" s="532"/>
      <c r="Z74" s="532"/>
      <c r="AA74" s="532"/>
      <c r="AB74" s="532"/>
      <c r="AC74" s="532"/>
      <c r="AD74" s="532"/>
      <c r="AE74" s="532"/>
      <c r="AF74" s="532"/>
      <c r="AG74" s="2642">
        <f>(AU93+V81)/2</f>
        <v>3.7749999999999999</v>
      </c>
      <c r="AH74" s="2642"/>
      <c r="AI74" s="2642"/>
      <c r="AJ74" s="2642"/>
      <c r="AK74" s="2642"/>
      <c r="AL74" s="2642"/>
      <c r="AM74" s="2642"/>
      <c r="AN74" s="2642"/>
      <c r="AO74" s="2642"/>
      <c r="AP74" s="2642"/>
      <c r="AQ74" s="2642"/>
      <c r="AR74" s="2642"/>
      <c r="AS74" s="2642"/>
      <c r="AT74" s="532"/>
      <c r="AU74" s="532"/>
      <c r="AV74" s="532"/>
      <c r="AW74" s="532"/>
      <c r="AX74" s="532"/>
      <c r="AY74" s="532"/>
      <c r="AZ74" s="532"/>
      <c r="BA74" s="532"/>
      <c r="BB74" s="532"/>
      <c r="BC74" s="531"/>
      <c r="BD74" s="532"/>
      <c r="BE74" s="532"/>
      <c r="BF74" s="532"/>
      <c r="BG74" s="532"/>
      <c r="BH74" s="532"/>
      <c r="BI74" s="532"/>
      <c r="BJ74" s="532"/>
      <c r="BK74" s="532"/>
      <c r="BL74" s="532"/>
      <c r="BM74" s="2642">
        <f>AG74</f>
        <v>3.7749999999999999</v>
      </c>
      <c r="BN74" s="2642"/>
      <c r="BO74" s="2642"/>
      <c r="BP74" s="2642"/>
      <c r="BQ74" s="2642"/>
      <c r="BR74" s="2642"/>
      <c r="BS74" s="2642"/>
      <c r="BT74" s="2642"/>
      <c r="BU74" s="2642"/>
      <c r="BV74" s="2642"/>
      <c r="BW74" s="2642"/>
      <c r="BX74" s="2642"/>
      <c r="BY74" s="2642"/>
      <c r="BZ74" s="532"/>
      <c r="CA74" s="532"/>
      <c r="CB74" s="532"/>
      <c r="CC74" s="532"/>
      <c r="CD74" s="532"/>
      <c r="CE74" s="532"/>
      <c r="CF74" s="532"/>
      <c r="CG74" s="532"/>
      <c r="CH74" s="532"/>
      <c r="CI74" s="532"/>
      <c r="CJ74" s="531"/>
      <c r="DY74" s="2604"/>
      <c r="DZ74" s="2596"/>
      <c r="EA74" s="2596"/>
      <c r="EB74" s="2596"/>
      <c r="EC74" s="2596"/>
      <c r="ED74" s="2596"/>
      <c r="EE74" s="2596"/>
      <c r="EF74" s="2596"/>
      <c r="EG74" s="2596"/>
      <c r="EH74" s="2596"/>
      <c r="EI74" s="2596"/>
      <c r="EJ74" s="2596"/>
      <c r="EK74" s="2596"/>
      <c r="EL74" s="2596"/>
      <c r="EM74" s="2596"/>
      <c r="EN74" s="2596"/>
      <c r="EO74" s="2605"/>
      <c r="EU74" s="2608"/>
      <c r="EV74" s="2608"/>
      <c r="EW74" s="2608"/>
      <c r="EX74" s="2608"/>
      <c r="EY74" s="2608"/>
      <c r="EZ74" s="2608"/>
      <c r="FA74" s="2608"/>
      <c r="FB74" s="2608"/>
      <c r="FC74" s="2608"/>
      <c r="FD74" s="2608"/>
      <c r="FE74" s="2608"/>
      <c r="FF74" s="2608"/>
      <c r="FK74" s="2616"/>
      <c r="FL74" s="2616"/>
      <c r="FM74" s="2616"/>
      <c r="FN74" s="2616"/>
      <c r="GB74" s="2646"/>
      <c r="GC74" s="2646"/>
      <c r="GD74" s="2646"/>
      <c r="GE74" s="2646"/>
      <c r="GJ74" s="2619"/>
      <c r="GK74" s="2619"/>
      <c r="GL74" s="2619"/>
      <c r="GM74" s="2619"/>
      <c r="GN74" s="2619"/>
      <c r="GO74" s="2619"/>
      <c r="GP74" s="2619"/>
      <c r="GQ74" s="2619"/>
      <c r="GR74" s="2619"/>
      <c r="GS74" s="2619"/>
      <c r="GT74" s="2619"/>
      <c r="HA74" s="2644"/>
      <c r="HB74" s="2644"/>
      <c r="HC74" s="2644"/>
      <c r="HD74" s="2644"/>
      <c r="HE74" s="2644"/>
      <c r="HF74" s="2644"/>
      <c r="HG74" s="2644"/>
      <c r="HH74" s="2644"/>
      <c r="HI74" s="2644"/>
      <c r="HJ74" s="2644"/>
      <c r="HK74" s="2644"/>
      <c r="HS74" s="516"/>
    </row>
    <row r="75" spans="8:232" ht="4.1500000000000004" customHeight="1">
      <c r="W75" s="516"/>
      <c r="AG75" s="2642"/>
      <c r="AH75" s="2642"/>
      <c r="AI75" s="2642"/>
      <c r="AJ75" s="2642"/>
      <c r="AK75" s="2642"/>
      <c r="AL75" s="2642"/>
      <c r="AM75" s="2642"/>
      <c r="AN75" s="2642"/>
      <c r="AO75" s="2642"/>
      <c r="AP75" s="2642"/>
      <c r="AQ75" s="2642"/>
      <c r="AR75" s="2642"/>
      <c r="AS75" s="2642"/>
      <c r="BC75" s="517"/>
      <c r="BM75" s="2642"/>
      <c r="BN75" s="2642"/>
      <c r="BO75" s="2642"/>
      <c r="BP75" s="2642"/>
      <c r="BQ75" s="2642"/>
      <c r="BR75" s="2642"/>
      <c r="BS75" s="2642"/>
      <c r="BT75" s="2642"/>
      <c r="BU75" s="2642"/>
      <c r="BV75" s="2642"/>
      <c r="BW75" s="2642"/>
      <c r="BX75" s="2642"/>
      <c r="BY75" s="2642"/>
      <c r="CJ75" s="517"/>
      <c r="DY75" s="2604"/>
      <c r="DZ75" s="2596"/>
      <c r="EA75" s="2596"/>
      <c r="EB75" s="2596"/>
      <c r="EC75" s="2596"/>
      <c r="ED75" s="2596"/>
      <c r="EE75" s="2596"/>
      <c r="EF75" s="2596"/>
      <c r="EG75" s="2596"/>
      <c r="EH75" s="2596"/>
      <c r="EI75" s="2596"/>
      <c r="EJ75" s="2596"/>
      <c r="EK75" s="2596"/>
      <c r="EL75" s="2596"/>
      <c r="EM75" s="2596"/>
      <c r="EN75" s="2596"/>
      <c r="EO75" s="2605"/>
      <c r="EU75" s="2608"/>
      <c r="EV75" s="2608"/>
      <c r="EW75" s="2608"/>
      <c r="EX75" s="2608"/>
      <c r="EY75" s="2608"/>
      <c r="EZ75" s="2608"/>
      <c r="FA75" s="2608"/>
      <c r="FB75" s="2608"/>
      <c r="FC75" s="2608"/>
      <c r="FD75" s="2608"/>
      <c r="FE75" s="2608"/>
      <c r="FF75" s="2608"/>
      <c r="FK75" s="2616"/>
      <c r="FL75" s="2616"/>
      <c r="FM75" s="2616"/>
      <c r="FN75" s="2616"/>
      <c r="GB75" s="2646"/>
      <c r="GC75" s="2646"/>
      <c r="GD75" s="2646"/>
      <c r="GE75" s="2646"/>
      <c r="GJ75" s="2621"/>
      <c r="GK75" s="2621"/>
      <c r="GL75" s="2621"/>
      <c r="GM75" s="2621"/>
      <c r="GN75" s="2621"/>
      <c r="GO75" s="2621"/>
      <c r="GP75" s="2621"/>
      <c r="GQ75" s="2621"/>
      <c r="GR75" s="2621"/>
      <c r="GS75" s="2621"/>
      <c r="GT75" s="2621"/>
      <c r="GU75" s="532"/>
      <c r="GV75" s="532"/>
      <c r="GW75" s="532"/>
      <c r="GX75" s="532"/>
      <c r="GY75" s="532"/>
      <c r="GZ75" s="532"/>
      <c r="HA75" s="2645"/>
      <c r="HB75" s="2645"/>
      <c r="HC75" s="2645"/>
      <c r="HD75" s="2645"/>
      <c r="HE75" s="2645"/>
      <c r="HF75" s="2645"/>
      <c r="HG75" s="2645"/>
      <c r="HH75" s="2645"/>
      <c r="HI75" s="2645"/>
      <c r="HJ75" s="2645"/>
      <c r="HK75" s="2645"/>
      <c r="HS75" s="516"/>
    </row>
    <row r="76" spans="8:232" ht="4.1500000000000004" customHeight="1">
      <c r="W76" s="516"/>
      <c r="AG76" s="2642"/>
      <c r="AH76" s="2642"/>
      <c r="AI76" s="2642"/>
      <c r="AJ76" s="2642"/>
      <c r="AK76" s="2642"/>
      <c r="AL76" s="2642"/>
      <c r="AM76" s="2642"/>
      <c r="AN76" s="2642"/>
      <c r="AO76" s="2642"/>
      <c r="AP76" s="2642"/>
      <c r="AQ76" s="2642"/>
      <c r="AR76" s="2642"/>
      <c r="AS76" s="2642"/>
      <c r="BC76" s="517"/>
      <c r="BM76" s="2642"/>
      <c r="BN76" s="2642"/>
      <c r="BO76" s="2642"/>
      <c r="BP76" s="2642"/>
      <c r="BQ76" s="2642"/>
      <c r="BR76" s="2642"/>
      <c r="BS76" s="2642"/>
      <c r="BT76" s="2642"/>
      <c r="BU76" s="2642"/>
      <c r="BV76" s="2642"/>
      <c r="BW76" s="2642"/>
      <c r="BX76" s="2642"/>
      <c r="BY76" s="2642"/>
      <c r="CJ76" s="517"/>
      <c r="DY76" s="2606"/>
      <c r="DZ76" s="2598"/>
      <c r="EA76" s="2598"/>
      <c r="EB76" s="2598"/>
      <c r="EC76" s="2598"/>
      <c r="ED76" s="2598"/>
      <c r="EE76" s="2598"/>
      <c r="EF76" s="2598"/>
      <c r="EG76" s="2598"/>
      <c r="EH76" s="2598"/>
      <c r="EI76" s="2598"/>
      <c r="EJ76" s="2598"/>
      <c r="EK76" s="2598"/>
      <c r="EL76" s="2598"/>
      <c r="EM76" s="2598"/>
      <c r="EN76" s="2598"/>
      <c r="EO76" s="2607"/>
      <c r="EU76" s="532"/>
      <c r="EV76" s="532"/>
      <c r="EW76" s="532"/>
      <c r="EX76" s="532"/>
      <c r="EY76" s="532"/>
      <c r="EZ76" s="532"/>
      <c r="FA76" s="532"/>
      <c r="FB76" s="532"/>
      <c r="FC76" s="532"/>
      <c r="FD76" s="532"/>
      <c r="FE76" s="532"/>
      <c r="FF76" s="532"/>
      <c r="FK76" s="2616"/>
      <c r="FL76" s="2616"/>
      <c r="FM76" s="2616"/>
      <c r="FN76" s="2616"/>
      <c r="GB76" s="2646"/>
      <c r="GC76" s="2646"/>
      <c r="GD76" s="2646"/>
      <c r="GE76" s="2646"/>
      <c r="GJ76" s="516"/>
      <c r="HK76" s="517"/>
      <c r="HN76" s="514"/>
      <c r="HO76" s="514"/>
      <c r="HP76" s="514"/>
      <c r="HQ76" s="514"/>
      <c r="HR76" s="514"/>
      <c r="HS76" s="515"/>
      <c r="HT76" s="514"/>
      <c r="HU76" s="514"/>
      <c r="HV76" s="514"/>
      <c r="HW76" s="514"/>
      <c r="HX76" s="514"/>
    </row>
    <row r="77" spans="8:232" ht="4.1500000000000004" customHeight="1">
      <c r="DW77" s="515"/>
      <c r="DX77" s="514"/>
      <c r="DY77" s="514"/>
      <c r="DZ77" s="514"/>
      <c r="EA77" s="514"/>
      <c r="EB77" s="514"/>
      <c r="EC77" s="514"/>
      <c r="ED77" s="514"/>
      <c r="EE77" s="514"/>
      <c r="EF77" s="514"/>
      <c r="EG77" s="514"/>
      <c r="EH77" s="514"/>
      <c r="EI77" s="514"/>
      <c r="EJ77" s="514"/>
      <c r="EK77" s="514"/>
      <c r="EL77" s="514"/>
      <c r="EM77" s="514"/>
      <c r="EN77" s="514"/>
      <c r="EO77" s="514"/>
      <c r="EP77" s="514"/>
      <c r="EQ77" s="518"/>
      <c r="ER77" s="516"/>
      <c r="EU77" s="2597">
        <v>0.15</v>
      </c>
      <c r="EV77" s="2597"/>
      <c r="EW77" s="2597"/>
      <c r="EX77" s="2597"/>
      <c r="EY77" s="2597"/>
      <c r="EZ77" s="2597"/>
      <c r="FA77" s="2597"/>
      <c r="FB77" s="2597"/>
      <c r="FC77" s="2597"/>
      <c r="FD77" s="2597"/>
      <c r="FE77" s="2597"/>
      <c r="FF77" s="2597"/>
      <c r="FK77" s="2616"/>
      <c r="FL77" s="2616"/>
      <c r="FM77" s="2616"/>
      <c r="FN77" s="2616"/>
      <c r="GB77" s="2646"/>
      <c r="GC77" s="2646"/>
      <c r="GD77" s="2646"/>
      <c r="GE77" s="2646"/>
      <c r="GJ77" s="516"/>
      <c r="HK77" s="517"/>
      <c r="HS77" s="516"/>
    </row>
    <row r="78" spans="8:232" ht="4.1500000000000004" customHeight="1">
      <c r="AV78" s="532"/>
      <c r="DW78" s="516"/>
      <c r="EQ78" s="517"/>
      <c r="ER78" s="516"/>
      <c r="EU78" s="2596"/>
      <c r="EV78" s="2596"/>
      <c r="EW78" s="2596"/>
      <c r="EX78" s="2596"/>
      <c r="EY78" s="2596"/>
      <c r="EZ78" s="2596"/>
      <c r="FA78" s="2596"/>
      <c r="FB78" s="2596"/>
      <c r="FC78" s="2596"/>
      <c r="FD78" s="2596"/>
      <c r="FE78" s="2596"/>
      <c r="FF78" s="2596"/>
      <c r="FM78" s="516"/>
      <c r="GB78" s="2646"/>
      <c r="GC78" s="2646"/>
      <c r="GD78" s="2646"/>
      <c r="GE78" s="2646"/>
      <c r="GJ78" s="516"/>
      <c r="HK78" s="517"/>
      <c r="HN78" s="2638">
        <v>0.3</v>
      </c>
      <c r="HO78" s="2638"/>
      <c r="HP78" s="2638"/>
      <c r="HQ78" s="2638"/>
      <c r="HR78" s="2638"/>
      <c r="HS78" s="2638"/>
      <c r="HT78" s="2638"/>
      <c r="HU78" s="2638"/>
      <c r="HV78" s="2638"/>
      <c r="HW78" s="2638"/>
      <c r="HX78" s="2638"/>
    </row>
    <row r="79" spans="8:232" ht="4.1500000000000004" customHeight="1" thickBot="1">
      <c r="O79" s="514"/>
      <c r="P79" s="514"/>
      <c r="Q79" s="515"/>
      <c r="R79" s="514"/>
      <c r="V79" s="519"/>
      <c r="W79" s="521"/>
      <c r="X79" s="514"/>
      <c r="Y79" s="514"/>
      <c r="Z79" s="514"/>
      <c r="AA79" s="514"/>
      <c r="AB79" s="514"/>
      <c r="AC79" s="514"/>
      <c r="AD79" s="514"/>
      <c r="AE79" s="514"/>
      <c r="AF79" s="514"/>
      <c r="AG79" s="514"/>
      <c r="AH79" s="543"/>
      <c r="AI79" s="544"/>
      <c r="AJ79" s="544"/>
      <c r="AK79" s="544"/>
      <c r="AL79" s="544"/>
      <c r="AM79" s="544"/>
      <c r="AN79" s="544"/>
      <c r="AO79" s="544"/>
      <c r="AP79" s="544"/>
      <c r="AQ79" s="544"/>
      <c r="AR79" s="545"/>
      <c r="AS79" s="514"/>
      <c r="AT79" s="514"/>
      <c r="AU79" s="514"/>
      <c r="AV79" s="514"/>
      <c r="AW79" s="514"/>
      <c r="AX79" s="514"/>
      <c r="AY79" s="514"/>
      <c r="AZ79" s="514"/>
      <c r="BA79" s="514"/>
      <c r="BB79" s="514"/>
      <c r="BC79" s="520"/>
      <c r="BD79" s="520"/>
      <c r="BE79" s="514"/>
      <c r="BF79" s="514"/>
      <c r="BG79" s="514"/>
      <c r="BH79" s="514"/>
      <c r="BI79" s="514"/>
      <c r="BJ79" s="514"/>
      <c r="BK79" s="514"/>
      <c r="BL79" s="514"/>
      <c r="BM79" s="514"/>
      <c r="BN79" s="514"/>
      <c r="BO79" s="543"/>
      <c r="BP79" s="544"/>
      <c r="BQ79" s="544"/>
      <c r="BR79" s="544"/>
      <c r="BS79" s="544"/>
      <c r="BT79" s="544"/>
      <c r="BU79" s="544"/>
      <c r="BV79" s="544"/>
      <c r="BW79" s="544"/>
      <c r="BX79" s="544"/>
      <c r="BY79" s="545"/>
      <c r="BZ79" s="514"/>
      <c r="CA79" s="514"/>
      <c r="CB79" s="514"/>
      <c r="CC79" s="514"/>
      <c r="CD79" s="514"/>
      <c r="CE79" s="514"/>
      <c r="CF79" s="514"/>
      <c r="CG79" s="514"/>
      <c r="CH79" s="514"/>
      <c r="CI79" s="514"/>
      <c r="CJ79" s="519"/>
      <c r="CK79" s="521"/>
      <c r="DW79" s="530"/>
      <c r="DX79" s="532"/>
      <c r="DY79" s="532"/>
      <c r="DZ79" s="532"/>
      <c r="EA79" s="532"/>
      <c r="EB79" s="532"/>
      <c r="EC79" s="532"/>
      <c r="ED79" s="532"/>
      <c r="EE79" s="532"/>
      <c r="EF79" s="532"/>
      <c r="EG79" s="532"/>
      <c r="EH79" s="532"/>
      <c r="EI79" s="532"/>
      <c r="EJ79" s="532"/>
      <c r="EK79" s="532"/>
      <c r="EL79" s="532"/>
      <c r="EM79" s="532"/>
      <c r="EN79" s="532"/>
      <c r="EO79" s="532"/>
      <c r="EP79" s="532"/>
      <c r="EQ79" s="531"/>
      <c r="ER79" s="516"/>
      <c r="EU79" s="2598"/>
      <c r="EV79" s="2598"/>
      <c r="EW79" s="2598"/>
      <c r="EX79" s="2598"/>
      <c r="EY79" s="2598"/>
      <c r="EZ79" s="2598"/>
      <c r="FA79" s="2598"/>
      <c r="FB79" s="2598"/>
      <c r="FC79" s="2598"/>
      <c r="FD79" s="2598"/>
      <c r="FE79" s="2598"/>
      <c r="FF79" s="2598"/>
      <c r="FM79" s="516"/>
      <c r="GB79" s="2646"/>
      <c r="GC79" s="2646"/>
      <c r="GD79" s="2646"/>
      <c r="GE79" s="2646"/>
      <c r="GJ79" s="516"/>
      <c r="HK79" s="517"/>
      <c r="HN79" s="2638"/>
      <c r="HO79" s="2638"/>
      <c r="HP79" s="2638"/>
      <c r="HQ79" s="2638"/>
      <c r="HR79" s="2638"/>
      <c r="HS79" s="2638"/>
      <c r="HT79" s="2638"/>
      <c r="HU79" s="2638"/>
      <c r="HV79" s="2638"/>
      <c r="HW79" s="2638"/>
      <c r="HX79" s="2638"/>
    </row>
    <row r="80" spans="8:232" ht="4.1500000000000004" customHeight="1" thickTop="1">
      <c r="H80" s="514"/>
      <c r="I80" s="514"/>
      <c r="J80" s="515"/>
      <c r="K80" s="514"/>
      <c r="Q80" s="516"/>
      <c r="V80" s="527"/>
      <c r="W80" s="529"/>
      <c r="AH80" s="530"/>
      <c r="AI80" s="532"/>
      <c r="AJ80" s="532"/>
      <c r="AK80" s="532"/>
      <c r="AL80" s="532"/>
      <c r="AM80" s="532"/>
      <c r="AN80" s="532"/>
      <c r="AO80" s="532"/>
      <c r="AP80" s="532"/>
      <c r="AQ80" s="532"/>
      <c r="AR80" s="531"/>
      <c r="AS80" s="532"/>
      <c r="AT80" s="532"/>
      <c r="AU80" s="532"/>
      <c r="AV80" s="532"/>
      <c r="AW80" s="532"/>
      <c r="AX80" s="532"/>
      <c r="AY80" s="532"/>
      <c r="AZ80" s="532"/>
      <c r="BA80" s="532"/>
      <c r="BB80" s="532"/>
      <c r="BC80" s="528"/>
      <c r="BD80" s="528"/>
      <c r="BE80" s="532"/>
      <c r="BF80" s="532"/>
      <c r="BG80" s="532"/>
      <c r="BH80" s="532"/>
      <c r="BI80" s="532"/>
      <c r="BJ80" s="532"/>
      <c r="BK80" s="532"/>
      <c r="BL80" s="532"/>
      <c r="BM80" s="532"/>
      <c r="BN80" s="532"/>
      <c r="BO80" s="530"/>
      <c r="BP80" s="532"/>
      <c r="BQ80" s="532"/>
      <c r="BR80" s="532"/>
      <c r="BS80" s="532"/>
      <c r="BT80" s="532"/>
      <c r="BU80" s="532"/>
      <c r="BV80" s="532"/>
      <c r="BW80" s="532"/>
      <c r="BX80" s="532"/>
      <c r="BY80" s="531"/>
      <c r="CJ80" s="522"/>
      <c r="CK80" s="524"/>
      <c r="CO80" s="514"/>
      <c r="CP80" s="514"/>
      <c r="CQ80" s="515"/>
      <c r="CR80" s="514"/>
      <c r="CV80" s="514"/>
      <c r="CW80" s="514"/>
      <c r="CX80" s="515"/>
      <c r="CY80" s="514"/>
      <c r="DW80" s="515"/>
      <c r="DX80" s="514"/>
      <c r="DY80" s="514"/>
      <c r="DZ80" s="514"/>
      <c r="EA80" s="514"/>
      <c r="EB80" s="514"/>
      <c r="EC80" s="514"/>
      <c r="ED80" s="514"/>
      <c r="EE80" s="514"/>
      <c r="EF80" s="514"/>
      <c r="EG80" s="514"/>
      <c r="EH80" s="514"/>
      <c r="EI80" s="514"/>
      <c r="EJ80" s="514"/>
      <c r="EK80" s="514"/>
      <c r="EL80" s="514"/>
      <c r="EM80" s="514"/>
      <c r="EN80" s="514"/>
      <c r="EO80" s="514"/>
      <c r="EP80" s="514"/>
      <c r="EQ80" s="518"/>
      <c r="ER80" s="516"/>
      <c r="EU80" s="2597">
        <v>0.15</v>
      </c>
      <c r="EV80" s="2597"/>
      <c r="EW80" s="2597"/>
      <c r="EX80" s="2597"/>
      <c r="EY80" s="2597"/>
      <c r="EZ80" s="2597"/>
      <c r="FA80" s="2597"/>
      <c r="FB80" s="2597"/>
      <c r="FC80" s="2597"/>
      <c r="FD80" s="2597"/>
      <c r="FE80" s="2597"/>
      <c r="FF80" s="2597"/>
      <c r="FM80" s="516"/>
      <c r="GB80" s="2646"/>
      <c r="GC80" s="2646"/>
      <c r="GD80" s="2646"/>
      <c r="GE80" s="2646"/>
      <c r="GJ80" s="516"/>
      <c r="HK80" s="517"/>
      <c r="HN80" s="2638"/>
      <c r="HO80" s="2638"/>
      <c r="HP80" s="2638"/>
      <c r="HQ80" s="2638"/>
      <c r="HR80" s="2638"/>
      <c r="HS80" s="2638"/>
      <c r="HT80" s="2638"/>
      <c r="HU80" s="2638"/>
      <c r="HV80" s="2638"/>
      <c r="HW80" s="2638"/>
      <c r="HX80" s="2638"/>
    </row>
    <row r="81" spans="8:232" ht="4.1500000000000004" customHeight="1">
      <c r="J81" s="516"/>
      <c r="Q81" s="516"/>
      <c r="V81" s="2686">
        <v>0.25</v>
      </c>
      <c r="W81" s="2687"/>
      <c r="X81" s="515"/>
      <c r="Y81" s="514"/>
      <c r="Z81" s="514"/>
      <c r="AA81" s="514"/>
      <c r="AB81" s="514"/>
      <c r="AC81" s="514"/>
      <c r="AD81" s="514"/>
      <c r="AE81" s="514"/>
      <c r="AF81" s="514"/>
      <c r="AG81" s="514"/>
      <c r="BC81" s="539"/>
      <c r="BD81" s="540"/>
      <c r="BS81" s="514"/>
      <c r="BT81" s="514"/>
      <c r="BU81" s="514"/>
      <c r="BV81" s="514"/>
      <c r="BW81" s="514"/>
      <c r="BX81" s="514"/>
      <c r="BY81" s="514"/>
      <c r="BZ81" s="514"/>
      <c r="CA81" s="514"/>
      <c r="CB81" s="514"/>
      <c r="CC81" s="514"/>
      <c r="CD81" s="514"/>
      <c r="CE81" s="514"/>
      <c r="CF81" s="514"/>
      <c r="CG81" s="514"/>
      <c r="CH81" s="514"/>
      <c r="CI81" s="514"/>
      <c r="CJ81" s="668"/>
      <c r="CK81" s="1583"/>
      <c r="CQ81" s="516"/>
      <c r="CX81" s="516"/>
      <c r="DW81" s="516"/>
      <c r="EQ81" s="517"/>
      <c r="ER81" s="516"/>
      <c r="EU81" s="2596"/>
      <c r="EV81" s="2596"/>
      <c r="EW81" s="2596"/>
      <c r="EX81" s="2596"/>
      <c r="EY81" s="2596"/>
      <c r="EZ81" s="2596"/>
      <c r="FA81" s="2596"/>
      <c r="FB81" s="2596"/>
      <c r="FC81" s="2596"/>
      <c r="FD81" s="2596"/>
      <c r="FE81" s="2596"/>
      <c r="FF81" s="2596"/>
      <c r="FM81" s="516"/>
      <c r="GC81" s="516"/>
      <c r="GJ81" s="516"/>
      <c r="HK81" s="517"/>
      <c r="HS81" s="516"/>
    </row>
    <row r="82" spans="8:232" ht="4.1500000000000004" customHeight="1">
      <c r="J82" s="516"/>
      <c r="Q82" s="516"/>
      <c r="V82" s="2686"/>
      <c r="W82" s="2687"/>
      <c r="X82" s="516"/>
      <c r="BC82" s="539"/>
      <c r="BD82" s="540"/>
      <c r="CJ82" s="663"/>
      <c r="CK82" s="664"/>
      <c r="CQ82" s="516"/>
      <c r="CX82" s="516"/>
      <c r="DW82" s="530"/>
      <c r="DX82" s="532"/>
      <c r="DY82" s="532"/>
      <c r="DZ82" s="532"/>
      <c r="EA82" s="532"/>
      <c r="EB82" s="532"/>
      <c r="EC82" s="532"/>
      <c r="ED82" s="532"/>
      <c r="EE82" s="532"/>
      <c r="EF82" s="532"/>
      <c r="EG82" s="532"/>
      <c r="EH82" s="532"/>
      <c r="EI82" s="532"/>
      <c r="EJ82" s="532"/>
      <c r="EK82" s="532"/>
      <c r="EL82" s="532"/>
      <c r="EM82" s="532"/>
      <c r="EN82" s="532"/>
      <c r="EO82" s="532"/>
      <c r="EP82" s="532"/>
      <c r="EQ82" s="531"/>
      <c r="ER82" s="530"/>
      <c r="ES82" s="532"/>
      <c r="EU82" s="2598"/>
      <c r="EV82" s="2598"/>
      <c r="EW82" s="2598"/>
      <c r="EX82" s="2598"/>
      <c r="EY82" s="2598"/>
      <c r="EZ82" s="2598"/>
      <c r="FA82" s="2598"/>
      <c r="FB82" s="2598"/>
      <c r="FC82" s="2598"/>
      <c r="FD82" s="2598"/>
      <c r="FE82" s="2598"/>
      <c r="FF82" s="2598"/>
      <c r="FJ82" s="532"/>
      <c r="FK82" s="532"/>
      <c r="FL82" s="532"/>
      <c r="FM82" s="530"/>
      <c r="FN82" s="532"/>
      <c r="FO82" s="532"/>
      <c r="GC82" s="516"/>
      <c r="GJ82" s="530"/>
      <c r="GK82" s="532"/>
      <c r="GL82" s="532"/>
      <c r="GM82" s="532"/>
      <c r="GN82" s="532"/>
      <c r="GO82" s="532"/>
      <c r="GP82" s="532"/>
      <c r="GQ82" s="532"/>
      <c r="GR82" s="532"/>
      <c r="GS82" s="532"/>
      <c r="GT82" s="532"/>
      <c r="GU82" s="532"/>
      <c r="GV82" s="532"/>
      <c r="GW82" s="532"/>
      <c r="GX82" s="532"/>
      <c r="GY82" s="532"/>
      <c r="GZ82" s="532"/>
      <c r="HA82" s="532"/>
      <c r="HB82" s="532"/>
      <c r="HC82" s="532"/>
      <c r="HD82" s="532"/>
      <c r="HE82" s="532"/>
      <c r="HF82" s="532"/>
      <c r="HG82" s="532"/>
      <c r="HH82" s="532"/>
      <c r="HI82" s="532"/>
      <c r="HJ82" s="532"/>
      <c r="HK82" s="531"/>
      <c r="HN82" s="532"/>
      <c r="HO82" s="532"/>
      <c r="HP82" s="532"/>
      <c r="HQ82" s="532"/>
      <c r="HR82" s="532"/>
      <c r="HS82" s="530"/>
      <c r="HT82" s="532"/>
      <c r="HU82" s="532"/>
      <c r="HV82" s="532"/>
      <c r="HW82" s="532"/>
      <c r="HX82" s="532"/>
    </row>
    <row r="83" spans="8:232" ht="4.1500000000000004" customHeight="1">
      <c r="J83" s="516"/>
      <c r="Q83" s="516"/>
      <c r="V83" s="2686"/>
      <c r="W83" s="2687"/>
      <c r="X83" s="516"/>
      <c r="BC83" s="539"/>
      <c r="BD83" s="540"/>
      <c r="CJ83" s="663"/>
      <c r="CK83" s="664"/>
      <c r="CQ83" s="516"/>
      <c r="CX83" s="516"/>
      <c r="GC83" s="516"/>
      <c r="GI83" s="515"/>
      <c r="GJ83" s="514"/>
      <c r="GK83" s="514"/>
      <c r="GL83" s="514"/>
      <c r="GM83" s="514"/>
      <c r="GN83" s="514"/>
      <c r="GO83" s="514"/>
      <c r="GP83" s="514"/>
      <c r="GQ83" s="514"/>
      <c r="GR83" s="514"/>
      <c r="GS83" s="514"/>
      <c r="GT83" s="514"/>
      <c r="GU83" s="514"/>
      <c r="GV83" s="514"/>
      <c r="GW83" s="514"/>
      <c r="GX83" s="514"/>
      <c r="GY83" s="514"/>
      <c r="GZ83" s="514"/>
      <c r="HA83" s="514"/>
      <c r="HB83" s="514"/>
      <c r="HC83" s="514"/>
      <c r="HD83" s="514"/>
      <c r="HE83" s="514"/>
      <c r="HF83" s="514"/>
      <c r="HG83" s="514"/>
      <c r="HH83" s="514"/>
      <c r="HI83" s="514"/>
      <c r="HJ83" s="514"/>
      <c r="HK83" s="514"/>
      <c r="HL83" s="518"/>
      <c r="HN83" s="2639">
        <v>0.15</v>
      </c>
      <c r="HO83" s="2639"/>
      <c r="HP83" s="2639"/>
      <c r="HQ83" s="2639"/>
      <c r="HR83" s="2639"/>
      <c r="HS83" s="2639"/>
      <c r="HT83" s="2639"/>
      <c r="HU83" s="2639"/>
      <c r="HV83" s="2639"/>
      <c r="HW83" s="2639"/>
      <c r="HX83" s="2639"/>
    </row>
    <row r="84" spans="8:232" ht="4.1500000000000004" customHeight="1">
      <c r="J84" s="516"/>
      <c r="Q84" s="516"/>
      <c r="V84" s="2686"/>
      <c r="W84" s="2687"/>
      <c r="X84" s="516"/>
      <c r="BC84" s="539"/>
      <c r="BD84" s="540"/>
      <c r="CJ84" s="663"/>
      <c r="CK84" s="664"/>
      <c r="CL84" s="662"/>
      <c r="CM84" s="662"/>
      <c r="CN84" s="662"/>
      <c r="CO84" s="662"/>
      <c r="CP84" s="662"/>
      <c r="CQ84" s="663"/>
      <c r="CR84" s="662"/>
      <c r="CS84" s="662"/>
      <c r="CT84" s="662"/>
      <c r="CU84" s="662"/>
      <c r="CV84" s="662"/>
      <c r="CW84" s="662"/>
      <c r="CX84" s="663"/>
      <c r="CY84" s="662"/>
      <c r="GC84" s="516"/>
      <c r="GI84" s="516"/>
      <c r="HL84" s="517"/>
      <c r="HN84" s="2638"/>
      <c r="HO84" s="2638"/>
      <c r="HP84" s="2638"/>
      <c r="HQ84" s="2638"/>
      <c r="HR84" s="2638"/>
      <c r="HS84" s="2638"/>
      <c r="HT84" s="2638"/>
      <c r="HU84" s="2638"/>
      <c r="HV84" s="2638"/>
      <c r="HW84" s="2638"/>
      <c r="HX84" s="2638"/>
    </row>
    <row r="85" spans="8:232" ht="4.1500000000000004" customHeight="1">
      <c r="J85" s="516"/>
      <c r="Q85" s="516"/>
      <c r="V85" s="2686"/>
      <c r="W85" s="2687"/>
      <c r="X85" s="516"/>
      <c r="BC85" s="539"/>
      <c r="BD85" s="540"/>
      <c r="CJ85" s="663"/>
      <c r="CK85" s="664"/>
      <c r="CL85" s="662"/>
      <c r="CM85" s="662"/>
      <c r="CN85" s="662"/>
      <c r="CO85" s="2684">
        <v>3.4750000000000001</v>
      </c>
      <c r="CP85" s="2684"/>
      <c r="CQ85" s="2684"/>
      <c r="CR85" s="2684"/>
      <c r="CS85" s="662"/>
      <c r="CT85" s="662"/>
      <c r="CU85" s="662"/>
      <c r="CV85" s="662"/>
      <c r="CW85" s="662"/>
      <c r="CX85" s="663"/>
      <c r="CY85" s="662"/>
      <c r="DW85" s="516"/>
      <c r="EA85" s="2615">
        <v>0.9</v>
      </c>
      <c r="EB85" s="2608"/>
      <c r="EC85" s="2608"/>
      <c r="ED85" s="2608"/>
      <c r="EE85" s="2608"/>
      <c r="EF85" s="2608"/>
      <c r="EG85" s="2608"/>
      <c r="EH85" s="2608"/>
      <c r="EI85" s="2608"/>
      <c r="EJ85" s="2608"/>
      <c r="EK85" s="2608"/>
      <c r="EL85" s="2608"/>
      <c r="EM85" s="2608"/>
      <c r="EN85" s="2608"/>
      <c r="EQ85" s="517"/>
      <c r="GC85" s="516"/>
      <c r="GI85" s="530"/>
      <c r="GJ85" s="532"/>
      <c r="GK85" s="532"/>
      <c r="GL85" s="532"/>
      <c r="GM85" s="532"/>
      <c r="GN85" s="532"/>
      <c r="GO85" s="532"/>
      <c r="GP85" s="532"/>
      <c r="GQ85" s="532"/>
      <c r="GR85" s="532"/>
      <c r="GS85" s="532"/>
      <c r="GT85" s="532"/>
      <c r="GU85" s="532"/>
      <c r="GV85" s="532"/>
      <c r="GW85" s="532"/>
      <c r="GX85" s="532"/>
      <c r="GY85" s="532"/>
      <c r="GZ85" s="532"/>
      <c r="HA85" s="532"/>
      <c r="HB85" s="532"/>
      <c r="HC85" s="532"/>
      <c r="HD85" s="532"/>
      <c r="HE85" s="532"/>
      <c r="HF85" s="532"/>
      <c r="HG85" s="532"/>
      <c r="HH85" s="532"/>
      <c r="HI85" s="532"/>
      <c r="HJ85" s="532"/>
      <c r="HK85" s="532"/>
      <c r="HL85" s="531"/>
      <c r="HN85" s="2640"/>
      <c r="HO85" s="2640"/>
      <c r="HP85" s="2640"/>
      <c r="HQ85" s="2640"/>
      <c r="HR85" s="2640"/>
      <c r="HS85" s="2640"/>
      <c r="HT85" s="2640"/>
      <c r="HU85" s="2640"/>
      <c r="HV85" s="2640"/>
      <c r="HW85" s="2640"/>
      <c r="HX85" s="2640"/>
    </row>
    <row r="86" spans="8:232" ht="4.1500000000000004" customHeight="1">
      <c r="J86" s="516"/>
      <c r="Q86" s="516"/>
      <c r="V86" s="2686"/>
      <c r="W86" s="2687"/>
      <c r="X86" s="516"/>
      <c r="BC86" s="539"/>
      <c r="BD86" s="540"/>
      <c r="CJ86" s="668"/>
      <c r="CK86" s="1585"/>
      <c r="CL86" s="662"/>
      <c r="CM86" s="662"/>
      <c r="CN86" s="662"/>
      <c r="CO86" s="2684"/>
      <c r="CP86" s="2684"/>
      <c r="CQ86" s="2684"/>
      <c r="CR86" s="2684"/>
      <c r="CS86" s="662"/>
      <c r="CT86" s="662"/>
      <c r="CU86" s="662"/>
      <c r="CV86" s="662"/>
      <c r="CW86" s="662"/>
      <c r="CX86" s="663"/>
      <c r="CY86" s="662"/>
      <c r="DW86" s="530"/>
      <c r="DX86" s="532"/>
      <c r="DY86" s="532"/>
      <c r="DZ86" s="532"/>
      <c r="EA86" s="2608"/>
      <c r="EB86" s="2608"/>
      <c r="EC86" s="2608"/>
      <c r="ED86" s="2608"/>
      <c r="EE86" s="2608"/>
      <c r="EF86" s="2608"/>
      <c r="EG86" s="2608"/>
      <c r="EH86" s="2608"/>
      <c r="EI86" s="2608"/>
      <c r="EJ86" s="2608"/>
      <c r="EK86" s="2608"/>
      <c r="EL86" s="2608"/>
      <c r="EM86" s="2608"/>
      <c r="EN86" s="2608"/>
      <c r="EO86" s="532"/>
      <c r="EP86" s="532"/>
      <c r="EQ86" s="531"/>
      <c r="GC86" s="516"/>
      <c r="GI86" s="515"/>
      <c r="GJ86" s="514"/>
      <c r="GK86" s="514"/>
      <c r="GL86" s="514"/>
      <c r="GM86" s="514"/>
      <c r="GN86" s="514"/>
      <c r="GO86" s="514"/>
      <c r="GP86" s="514"/>
      <c r="GQ86" s="514"/>
      <c r="GR86" s="514"/>
      <c r="GS86" s="514"/>
      <c r="GT86" s="514"/>
      <c r="GU86" s="514"/>
      <c r="GV86" s="514"/>
      <c r="GW86" s="514"/>
      <c r="GX86" s="514"/>
      <c r="GY86" s="514"/>
      <c r="GZ86" s="514"/>
      <c r="HA86" s="514"/>
      <c r="HB86" s="514"/>
      <c r="HC86" s="514"/>
      <c r="HD86" s="514"/>
      <c r="HE86" s="514"/>
      <c r="HF86" s="514"/>
      <c r="HG86" s="514"/>
      <c r="HH86" s="514"/>
      <c r="HI86" s="514"/>
      <c r="HJ86" s="514"/>
      <c r="HK86" s="514"/>
      <c r="HL86" s="518"/>
      <c r="HN86" s="2639">
        <v>0.15</v>
      </c>
      <c r="HO86" s="2639"/>
      <c r="HP86" s="2639"/>
      <c r="HQ86" s="2639"/>
      <c r="HR86" s="2639"/>
      <c r="HS86" s="2639"/>
      <c r="HT86" s="2639"/>
      <c r="HU86" s="2639"/>
      <c r="HV86" s="2639"/>
      <c r="HW86" s="2639"/>
      <c r="HX86" s="2639"/>
    </row>
    <row r="87" spans="8:232" ht="4.1500000000000004" customHeight="1">
      <c r="J87" s="516"/>
      <c r="Q87" s="516"/>
      <c r="V87" s="2686"/>
      <c r="W87" s="2687"/>
      <c r="X87" s="516"/>
      <c r="BC87" s="539"/>
      <c r="BD87" s="540"/>
      <c r="CJ87" s="663"/>
      <c r="CK87" s="1586"/>
      <c r="CL87" s="662"/>
      <c r="CM87" s="662"/>
      <c r="CN87" s="662"/>
      <c r="CO87" s="2684"/>
      <c r="CP87" s="2684"/>
      <c r="CQ87" s="2684"/>
      <c r="CR87" s="2684"/>
      <c r="CS87" s="662"/>
      <c r="CT87" s="662"/>
      <c r="CU87" s="662"/>
      <c r="CV87" s="662"/>
      <c r="CW87" s="662"/>
      <c r="CX87" s="663"/>
      <c r="CY87" s="662"/>
      <c r="DW87" s="516"/>
      <c r="EA87" s="2608"/>
      <c r="EB87" s="2608"/>
      <c r="EC87" s="2608"/>
      <c r="ED87" s="2608"/>
      <c r="EE87" s="2608"/>
      <c r="EF87" s="2608"/>
      <c r="EG87" s="2608"/>
      <c r="EH87" s="2608"/>
      <c r="EI87" s="2608"/>
      <c r="EJ87" s="2608"/>
      <c r="EK87" s="2608"/>
      <c r="EL87" s="2608"/>
      <c r="EM87" s="2608"/>
      <c r="EN87" s="2608"/>
      <c r="EQ87" s="517"/>
      <c r="GC87" s="516"/>
      <c r="GI87" s="516"/>
      <c r="HL87" s="517"/>
      <c r="HN87" s="2638"/>
      <c r="HO87" s="2638"/>
      <c r="HP87" s="2638"/>
      <c r="HQ87" s="2638"/>
      <c r="HR87" s="2638"/>
      <c r="HS87" s="2638"/>
      <c r="HT87" s="2638"/>
      <c r="HU87" s="2638"/>
      <c r="HV87" s="2638"/>
      <c r="HW87" s="2638"/>
      <c r="HX87" s="2638"/>
    </row>
    <row r="88" spans="8:232" ht="4.1500000000000004" customHeight="1">
      <c r="J88" s="516"/>
      <c r="Q88" s="516"/>
      <c r="V88" s="516"/>
      <c r="X88" s="516"/>
      <c r="BC88" s="539"/>
      <c r="BD88" s="540"/>
      <c r="CJ88" s="663"/>
      <c r="CK88" s="1586"/>
      <c r="CL88" s="662"/>
      <c r="CM88" s="662"/>
      <c r="CN88" s="662"/>
      <c r="CO88" s="2684"/>
      <c r="CP88" s="2684"/>
      <c r="CQ88" s="2684"/>
      <c r="CR88" s="2684"/>
      <c r="CS88" s="662"/>
      <c r="CT88" s="662"/>
      <c r="CU88" s="662"/>
      <c r="CV88" s="662"/>
      <c r="CW88" s="662"/>
      <c r="CX88" s="663"/>
      <c r="CY88" s="662"/>
      <c r="DW88" s="516"/>
      <c r="EA88" s="2608"/>
      <c r="EB88" s="2608"/>
      <c r="EC88" s="2608"/>
      <c r="ED88" s="2608"/>
      <c r="EE88" s="2608"/>
      <c r="EF88" s="2608"/>
      <c r="EG88" s="2608"/>
      <c r="EH88" s="2608"/>
      <c r="EI88" s="2608"/>
      <c r="EJ88" s="2608"/>
      <c r="EK88" s="2608"/>
      <c r="EL88" s="2608"/>
      <c r="EM88" s="2608"/>
      <c r="EN88" s="2608"/>
      <c r="EQ88" s="517"/>
      <c r="FZ88" s="532"/>
      <c r="GA88" s="532"/>
      <c r="GB88" s="532"/>
      <c r="GC88" s="530"/>
      <c r="GD88" s="532"/>
      <c r="GE88" s="532"/>
      <c r="GF88" s="532"/>
      <c r="GI88" s="530"/>
      <c r="GJ88" s="532"/>
      <c r="GK88" s="532"/>
      <c r="GL88" s="532"/>
      <c r="GM88" s="532"/>
      <c r="GN88" s="532"/>
      <c r="GO88" s="532"/>
      <c r="GP88" s="532"/>
      <c r="GQ88" s="532"/>
      <c r="GR88" s="532"/>
      <c r="GS88" s="532"/>
      <c r="GT88" s="532"/>
      <c r="GU88" s="532"/>
      <c r="GV88" s="532"/>
      <c r="GW88" s="532"/>
      <c r="GX88" s="532"/>
      <c r="GY88" s="532"/>
      <c r="GZ88" s="532"/>
      <c r="HA88" s="532"/>
      <c r="HB88" s="532"/>
      <c r="HC88" s="532"/>
      <c r="HD88" s="532"/>
      <c r="HE88" s="532"/>
      <c r="HF88" s="532"/>
      <c r="HG88" s="532"/>
      <c r="HH88" s="532"/>
      <c r="HI88" s="532"/>
      <c r="HJ88" s="532"/>
      <c r="HK88" s="532"/>
      <c r="HL88" s="531"/>
      <c r="HN88" s="2640"/>
      <c r="HO88" s="2640"/>
      <c r="HP88" s="2640"/>
      <c r="HQ88" s="2640"/>
      <c r="HR88" s="2640"/>
      <c r="HS88" s="2640"/>
      <c r="HT88" s="2640"/>
      <c r="HU88" s="2640"/>
      <c r="HV88" s="2640"/>
      <c r="HW88" s="2640"/>
      <c r="HX88" s="2640"/>
    </row>
    <row r="89" spans="8:232" ht="4.1500000000000004" customHeight="1">
      <c r="J89" s="516"/>
      <c r="Q89" s="516"/>
      <c r="V89" s="516"/>
      <c r="X89" s="516"/>
      <c r="BC89" s="539"/>
      <c r="BD89" s="540"/>
      <c r="CJ89" s="663"/>
      <c r="CK89" s="1586"/>
      <c r="CL89" s="662"/>
      <c r="CM89" s="662"/>
      <c r="CN89" s="662"/>
      <c r="CO89" s="2684"/>
      <c r="CP89" s="2684"/>
      <c r="CQ89" s="2684"/>
      <c r="CR89" s="2684"/>
      <c r="CS89" s="662"/>
      <c r="CT89" s="662"/>
      <c r="CU89" s="662"/>
      <c r="CV89" s="662"/>
      <c r="CW89" s="662"/>
      <c r="CX89" s="663"/>
      <c r="CY89" s="662"/>
      <c r="HC89" s="514"/>
      <c r="HD89" s="514"/>
      <c r="HE89" s="514"/>
      <c r="HF89" s="514"/>
      <c r="HG89" s="514"/>
      <c r="HH89" s="514"/>
      <c r="HI89" s="514"/>
      <c r="HJ89" s="514"/>
      <c r="HK89" s="514"/>
      <c r="HL89" s="514"/>
    </row>
    <row r="90" spans="8:232" ht="4.1500000000000004" customHeight="1">
      <c r="J90" s="516"/>
      <c r="Q90" s="516"/>
      <c r="V90" s="516"/>
      <c r="X90" s="516"/>
      <c r="AU90" s="2641" t="s">
        <v>3165</v>
      </c>
      <c r="AV90" s="2641"/>
      <c r="AW90" s="2641"/>
      <c r="AX90" s="2641"/>
      <c r="AY90" s="2641"/>
      <c r="AZ90" s="2641"/>
      <c r="BA90" s="2641"/>
      <c r="BB90" s="2641"/>
      <c r="BC90" s="2641"/>
      <c r="BD90" s="2641"/>
      <c r="BE90" s="2641"/>
      <c r="BF90" s="2641"/>
      <c r="BG90" s="2641"/>
      <c r="BH90" s="2641"/>
      <c r="BI90" s="2641"/>
      <c r="BJ90" s="2641"/>
      <c r="BK90" s="2641"/>
      <c r="BL90" s="2641"/>
      <c r="CJ90" s="663"/>
      <c r="CK90" s="1586"/>
      <c r="CL90" s="662"/>
      <c r="CM90" s="662"/>
      <c r="CN90" s="662"/>
      <c r="CO90" s="2684"/>
      <c r="CP90" s="2684"/>
      <c r="CQ90" s="2684"/>
      <c r="CR90" s="2684"/>
      <c r="CS90" s="662"/>
      <c r="CT90" s="662"/>
      <c r="CU90" s="662"/>
      <c r="CV90" s="662"/>
      <c r="CW90" s="662"/>
      <c r="CX90" s="663"/>
      <c r="CY90" s="662"/>
      <c r="GI90" s="516"/>
      <c r="HL90" s="517"/>
    </row>
    <row r="91" spans="8:232" ht="4.1500000000000004" customHeight="1">
      <c r="J91" s="516"/>
      <c r="Q91" s="516"/>
      <c r="V91" s="516"/>
      <c r="X91" s="516"/>
      <c r="AU91" s="2641"/>
      <c r="AV91" s="2641"/>
      <c r="AW91" s="2641"/>
      <c r="AX91" s="2641"/>
      <c r="AY91" s="2641"/>
      <c r="AZ91" s="2641"/>
      <c r="BA91" s="2641"/>
      <c r="BB91" s="2641"/>
      <c r="BC91" s="2641"/>
      <c r="BD91" s="2641"/>
      <c r="BE91" s="2641"/>
      <c r="BF91" s="2641"/>
      <c r="BG91" s="2641"/>
      <c r="BH91" s="2641"/>
      <c r="BI91" s="2641"/>
      <c r="BJ91" s="2641"/>
      <c r="BK91" s="2641"/>
      <c r="BL91" s="2641"/>
      <c r="CJ91" s="663"/>
      <c r="CK91" s="1586"/>
      <c r="CL91" s="662"/>
      <c r="CM91" s="662"/>
      <c r="CN91" s="662"/>
      <c r="CO91" s="2684"/>
      <c r="CP91" s="2684"/>
      <c r="CQ91" s="2684"/>
      <c r="CR91" s="2684"/>
      <c r="CS91" s="662"/>
      <c r="CT91" s="662"/>
      <c r="CU91" s="662"/>
      <c r="CV91" s="662"/>
      <c r="CW91" s="662"/>
      <c r="CX91" s="663"/>
      <c r="CY91" s="662"/>
      <c r="GI91" s="516"/>
      <c r="GQ91" s="2596">
        <v>1.2</v>
      </c>
      <c r="GR91" s="2596"/>
      <c r="GS91" s="2596"/>
      <c r="GT91" s="2596"/>
      <c r="GU91" s="2596"/>
      <c r="GV91" s="2596"/>
      <c r="GW91" s="2596"/>
      <c r="GX91" s="2596"/>
      <c r="GY91" s="2596"/>
      <c r="GZ91" s="2596"/>
      <c r="HA91" s="2596"/>
      <c r="HB91" s="2596"/>
      <c r="HL91" s="517"/>
    </row>
    <row r="92" spans="8:232" ht="4.1500000000000004" customHeight="1">
      <c r="J92" s="516"/>
      <c r="Q92" s="516"/>
      <c r="V92" s="516"/>
      <c r="X92" s="516"/>
      <c r="AU92" s="2641"/>
      <c r="AV92" s="2641"/>
      <c r="AW92" s="2641"/>
      <c r="AX92" s="2641"/>
      <c r="AY92" s="2641"/>
      <c r="AZ92" s="2641"/>
      <c r="BA92" s="2641"/>
      <c r="BB92" s="2641"/>
      <c r="BC92" s="2641"/>
      <c r="BD92" s="2641"/>
      <c r="BE92" s="2641"/>
      <c r="BF92" s="2641"/>
      <c r="BG92" s="2641"/>
      <c r="BH92" s="2641"/>
      <c r="BI92" s="2641"/>
      <c r="BJ92" s="2641"/>
      <c r="BK92" s="2641"/>
      <c r="BL92" s="2641"/>
      <c r="CJ92" s="663"/>
      <c r="CK92" s="1586"/>
      <c r="CL92" s="662"/>
      <c r="CM92" s="662"/>
      <c r="CN92" s="662"/>
      <c r="CO92" s="2684"/>
      <c r="CP92" s="2684"/>
      <c r="CQ92" s="2684"/>
      <c r="CR92" s="2684"/>
      <c r="CS92" s="662"/>
      <c r="CT92" s="662"/>
      <c r="CU92" s="662"/>
      <c r="CV92" s="662"/>
      <c r="CW92" s="662"/>
      <c r="CX92" s="663"/>
      <c r="CY92" s="662"/>
      <c r="GI92" s="530"/>
      <c r="GJ92" s="532"/>
      <c r="GK92" s="532"/>
      <c r="GL92" s="532"/>
      <c r="GM92" s="532"/>
      <c r="GN92" s="532"/>
      <c r="GO92" s="532"/>
      <c r="GP92" s="532"/>
      <c r="GQ92" s="2596"/>
      <c r="GR92" s="2596"/>
      <c r="GS92" s="2596"/>
      <c r="GT92" s="2596"/>
      <c r="GU92" s="2596"/>
      <c r="GV92" s="2596"/>
      <c r="GW92" s="2596"/>
      <c r="GX92" s="2596"/>
      <c r="GY92" s="2596"/>
      <c r="GZ92" s="2596"/>
      <c r="HA92" s="2596"/>
      <c r="HB92" s="2596"/>
      <c r="HC92" s="532"/>
      <c r="HD92" s="532"/>
      <c r="HE92" s="532"/>
      <c r="HF92" s="532"/>
      <c r="HG92" s="532"/>
      <c r="HH92" s="532"/>
      <c r="HI92" s="532"/>
      <c r="HJ92" s="532"/>
      <c r="HK92" s="532"/>
      <c r="HL92" s="531"/>
    </row>
    <row r="93" spans="8:232" ht="4.1500000000000004" customHeight="1">
      <c r="J93" s="516"/>
      <c r="Q93" s="516"/>
      <c r="V93" s="516"/>
      <c r="X93" s="516"/>
      <c r="AU93" s="2683">
        <v>7.3</v>
      </c>
      <c r="AV93" s="2683"/>
      <c r="AW93" s="2683"/>
      <c r="AX93" s="2683"/>
      <c r="AY93" s="2683"/>
      <c r="AZ93" s="2683"/>
      <c r="BA93" s="2683"/>
      <c r="BB93" s="2683" t="s">
        <v>901</v>
      </c>
      <c r="BC93" s="2683"/>
      <c r="BD93" s="2683"/>
      <c r="BE93" s="2683"/>
      <c r="BF93" s="2683">
        <v>6.7</v>
      </c>
      <c r="BG93" s="2683"/>
      <c r="BH93" s="2683"/>
      <c r="BI93" s="2683"/>
      <c r="BJ93" s="2683"/>
      <c r="BK93" s="2683"/>
      <c r="BL93" s="2683"/>
      <c r="CJ93" s="663"/>
      <c r="CK93" s="1586"/>
      <c r="CL93" s="662"/>
      <c r="CM93" s="662"/>
      <c r="CN93" s="662"/>
      <c r="CO93" s="2684"/>
      <c r="CP93" s="2684"/>
      <c r="CQ93" s="2684"/>
      <c r="CR93" s="2684"/>
      <c r="CS93" s="662"/>
      <c r="CT93" s="662"/>
      <c r="CU93" s="662"/>
      <c r="CV93" s="662"/>
      <c r="CW93" s="662"/>
      <c r="CX93" s="663"/>
      <c r="CY93" s="662"/>
      <c r="GI93" s="516"/>
      <c r="GQ93" s="2596"/>
      <c r="GR93" s="2596"/>
      <c r="GS93" s="2596"/>
      <c r="GT93" s="2596"/>
      <c r="GU93" s="2596"/>
      <c r="GV93" s="2596"/>
      <c r="GW93" s="2596"/>
      <c r="GX93" s="2596"/>
      <c r="GY93" s="2596"/>
      <c r="GZ93" s="2596"/>
      <c r="HA93" s="2596"/>
      <c r="HB93" s="2596"/>
      <c r="HL93" s="517"/>
    </row>
    <row r="94" spans="8:232" ht="4.1500000000000004" customHeight="1">
      <c r="J94" s="516"/>
      <c r="Q94" s="516"/>
      <c r="V94" s="516"/>
      <c r="X94" s="516"/>
      <c r="AU94" s="2683"/>
      <c r="AV94" s="2683"/>
      <c r="AW94" s="2683"/>
      <c r="AX94" s="2683"/>
      <c r="AY94" s="2683"/>
      <c r="AZ94" s="2683"/>
      <c r="BA94" s="2683"/>
      <c r="BB94" s="2683"/>
      <c r="BC94" s="2683"/>
      <c r="BD94" s="2683"/>
      <c r="BE94" s="2683"/>
      <c r="BF94" s="2683"/>
      <c r="BG94" s="2683"/>
      <c r="BH94" s="2683"/>
      <c r="BI94" s="2683"/>
      <c r="BJ94" s="2683"/>
      <c r="BK94" s="2683"/>
      <c r="BL94" s="2683"/>
      <c r="CJ94" s="663"/>
      <c r="CK94" s="1586"/>
      <c r="CL94" s="662"/>
      <c r="CM94" s="662"/>
      <c r="CN94" s="662"/>
      <c r="CO94" s="2684"/>
      <c r="CP94" s="2684"/>
      <c r="CQ94" s="2684"/>
      <c r="CR94" s="2684"/>
      <c r="CS94" s="662"/>
      <c r="CT94" s="662"/>
      <c r="CU94" s="662"/>
      <c r="CV94" s="662"/>
      <c r="CW94" s="662"/>
      <c r="CX94" s="663"/>
      <c r="CY94" s="662"/>
      <c r="GQ94" s="1558"/>
      <c r="GR94" s="1558"/>
      <c r="GS94" s="1558"/>
      <c r="GT94" s="1558"/>
      <c r="GU94" s="1558"/>
      <c r="GV94" s="1558"/>
      <c r="GW94" s="1558"/>
      <c r="GX94" s="1558"/>
      <c r="GY94" s="1558"/>
      <c r="GZ94" s="1558"/>
      <c r="HA94" s="1558"/>
      <c r="HB94" s="1558"/>
    </row>
    <row r="95" spans="8:232" ht="4.1500000000000004" customHeight="1">
      <c r="J95" s="516"/>
      <c r="Q95" s="516"/>
      <c r="V95" s="516"/>
      <c r="X95" s="516"/>
      <c r="AU95" s="2683"/>
      <c r="AV95" s="2683"/>
      <c r="AW95" s="2683"/>
      <c r="AX95" s="2683"/>
      <c r="AY95" s="2683"/>
      <c r="AZ95" s="2683"/>
      <c r="BA95" s="2683"/>
      <c r="BB95" s="2683"/>
      <c r="BC95" s="2683"/>
      <c r="BD95" s="2683"/>
      <c r="BE95" s="2683"/>
      <c r="BF95" s="2683"/>
      <c r="BG95" s="2683"/>
      <c r="BH95" s="2683"/>
      <c r="BI95" s="2683"/>
      <c r="BJ95" s="2683"/>
      <c r="BK95" s="2683"/>
      <c r="BL95" s="2683"/>
      <c r="CJ95" s="666"/>
      <c r="CK95" s="1587"/>
      <c r="CL95" s="662"/>
      <c r="CM95" s="662"/>
      <c r="CN95" s="662"/>
      <c r="CO95" s="2684"/>
      <c r="CP95" s="2684"/>
      <c r="CQ95" s="2684"/>
      <c r="CR95" s="2684"/>
      <c r="CS95" s="662"/>
      <c r="CT95" s="662"/>
      <c r="CU95" s="662"/>
      <c r="CV95" s="662"/>
      <c r="CW95" s="662"/>
      <c r="CX95" s="663"/>
      <c r="CY95" s="662"/>
    </row>
    <row r="96" spans="8:232" ht="4.1500000000000004" customHeight="1">
      <c r="H96" s="2684">
        <f>CO85+CO108</f>
        <v>6.95</v>
      </c>
      <c r="I96" s="2684"/>
      <c r="J96" s="2684"/>
      <c r="K96" s="2684"/>
      <c r="Q96" s="516"/>
      <c r="V96" s="516"/>
      <c r="X96" s="516"/>
      <c r="AU96" s="2683"/>
      <c r="AV96" s="2683"/>
      <c r="AW96" s="2683"/>
      <c r="AX96" s="2683"/>
      <c r="AY96" s="2683"/>
      <c r="AZ96" s="2683"/>
      <c r="BA96" s="2683"/>
      <c r="BB96" s="2683"/>
      <c r="BC96" s="2683"/>
      <c r="BD96" s="2683"/>
      <c r="BE96" s="2683"/>
      <c r="BF96" s="2683"/>
      <c r="BG96" s="2683"/>
      <c r="BH96" s="2683"/>
      <c r="BI96" s="2683"/>
      <c r="BJ96" s="2683"/>
      <c r="BK96" s="2683"/>
      <c r="BL96" s="2683"/>
      <c r="CJ96" s="663"/>
      <c r="CK96" s="664"/>
      <c r="CL96" s="662"/>
      <c r="CM96" s="662"/>
      <c r="CN96" s="662"/>
      <c r="CQ96" s="516"/>
      <c r="CS96" s="662"/>
      <c r="CT96" s="662"/>
      <c r="CU96" s="662"/>
      <c r="CV96" s="662"/>
      <c r="CW96" s="662"/>
      <c r="CX96" s="663"/>
      <c r="CY96" s="662"/>
      <c r="DP96" s="495"/>
      <c r="DQ96" s="495"/>
      <c r="DR96" s="495"/>
      <c r="DS96" s="495"/>
      <c r="DT96" s="495"/>
      <c r="DU96" s="495"/>
      <c r="DV96" s="495"/>
      <c r="DW96" s="495"/>
      <c r="DX96" s="495"/>
      <c r="DY96" s="495"/>
      <c r="DZ96" s="495"/>
      <c r="EA96" s="495"/>
      <c r="EB96" s="495"/>
      <c r="EC96" s="495"/>
      <c r="ED96" s="495"/>
      <c r="EE96" s="495"/>
      <c r="EF96" s="495"/>
      <c r="EG96" s="496"/>
      <c r="EH96" s="496"/>
      <c r="EI96" s="496"/>
      <c r="EJ96" s="496"/>
      <c r="EK96" s="496"/>
      <c r="EL96" s="496"/>
      <c r="EM96" s="496"/>
      <c r="EN96" s="496"/>
      <c r="EO96" s="2666">
        <v>0.3</v>
      </c>
      <c r="EP96" s="2657"/>
      <c r="EQ96" s="2657"/>
      <c r="ER96" s="2657"/>
      <c r="ES96" s="2657"/>
      <c r="ET96" s="2657"/>
      <c r="EU96" s="2667"/>
      <c r="EV96" s="2666">
        <f>EO96</f>
        <v>0.3</v>
      </c>
      <c r="EW96" s="2657"/>
      <c r="EX96" s="2657"/>
      <c r="EY96" s="2657"/>
      <c r="EZ96" s="2657"/>
      <c r="FA96" s="2657"/>
      <c r="FB96" s="2667"/>
      <c r="FC96" s="2666">
        <f>EV96</f>
        <v>0.3</v>
      </c>
      <c r="FD96" s="2657"/>
      <c r="FE96" s="2657"/>
      <c r="FF96" s="2657"/>
      <c r="FG96" s="2657"/>
      <c r="FH96" s="2657"/>
      <c r="FI96" s="2667"/>
      <c r="FJ96" s="496"/>
      <c r="FK96" s="496"/>
      <c r="FL96" s="496"/>
      <c r="FM96" s="496"/>
      <c r="FN96" s="496"/>
      <c r="FO96" s="496"/>
      <c r="FP96" s="496"/>
      <c r="FQ96" s="496"/>
    </row>
    <row r="97" spans="8:237" ht="4.1500000000000004" customHeight="1">
      <c r="H97" s="2684"/>
      <c r="I97" s="2684"/>
      <c r="J97" s="2684"/>
      <c r="K97" s="2684"/>
      <c r="Q97" s="516"/>
      <c r="V97" s="516"/>
      <c r="X97" s="516"/>
      <c r="BC97" s="539"/>
      <c r="BD97" s="540"/>
      <c r="CJ97" s="663"/>
      <c r="CK97" s="664"/>
      <c r="CL97" s="662"/>
      <c r="CM97" s="662"/>
      <c r="CN97" s="662"/>
      <c r="CQ97" s="516"/>
      <c r="CS97" s="662"/>
      <c r="CT97" s="662"/>
      <c r="CU97" s="662"/>
      <c r="CV97" s="662"/>
      <c r="CW97" s="662"/>
      <c r="CX97" s="663"/>
      <c r="CY97" s="662"/>
      <c r="DP97" s="2654" t="s">
        <v>2981</v>
      </c>
      <c r="DQ97" s="2654"/>
      <c r="DR97" s="2654"/>
      <c r="DS97" s="2654"/>
      <c r="DT97" s="2654"/>
      <c r="DU97" s="2654"/>
      <c r="DV97" s="495"/>
      <c r="DW97" s="495"/>
      <c r="DX97" s="495"/>
      <c r="DY97" s="495"/>
      <c r="DZ97" s="495"/>
      <c r="EA97" s="495"/>
      <c r="EB97" s="495"/>
      <c r="EC97" s="495"/>
      <c r="ED97" s="495"/>
      <c r="EE97" s="495"/>
      <c r="EF97" s="495"/>
      <c r="EG97" s="496"/>
      <c r="EH97" s="496"/>
      <c r="EI97" s="496"/>
      <c r="EJ97" s="496"/>
      <c r="EK97" s="496"/>
      <c r="EL97" s="496"/>
      <c r="EM97" s="496"/>
      <c r="EN97" s="496"/>
      <c r="EO97" s="2666"/>
      <c r="EP97" s="2657"/>
      <c r="EQ97" s="2657"/>
      <c r="ER97" s="2657"/>
      <c r="ES97" s="2657"/>
      <c r="ET97" s="2657"/>
      <c r="EU97" s="2667"/>
      <c r="EV97" s="2666"/>
      <c r="EW97" s="2657"/>
      <c r="EX97" s="2657"/>
      <c r="EY97" s="2657"/>
      <c r="EZ97" s="2657"/>
      <c r="FA97" s="2657"/>
      <c r="FB97" s="2667"/>
      <c r="FC97" s="2666"/>
      <c r="FD97" s="2657"/>
      <c r="FE97" s="2657"/>
      <c r="FF97" s="2657"/>
      <c r="FG97" s="2657"/>
      <c r="FH97" s="2657"/>
      <c r="FI97" s="2667"/>
      <c r="FJ97" s="496"/>
      <c r="FK97" s="496"/>
      <c r="FL97" s="496"/>
      <c r="FM97" s="496"/>
      <c r="FN97" s="496"/>
      <c r="FO97" s="496"/>
      <c r="FP97" s="496"/>
      <c r="FQ97" s="496"/>
    </row>
    <row r="98" spans="8:237" ht="4.1500000000000004" customHeight="1">
      <c r="H98" s="2684"/>
      <c r="I98" s="2684"/>
      <c r="J98" s="2684"/>
      <c r="K98" s="2684"/>
      <c r="Q98" s="516"/>
      <c r="V98" s="516"/>
      <c r="X98" s="516"/>
      <c r="BC98" s="539"/>
      <c r="BD98" s="540"/>
      <c r="CJ98" s="663"/>
      <c r="CK98" s="664"/>
      <c r="CL98" s="662"/>
      <c r="CM98" s="662"/>
      <c r="CN98" s="662"/>
      <c r="CQ98" s="516"/>
      <c r="CS98" s="662"/>
      <c r="CT98" s="662"/>
      <c r="CU98" s="662"/>
      <c r="CV98" s="662"/>
      <c r="CW98" s="662"/>
      <c r="CX98" s="663"/>
      <c r="CY98" s="662"/>
      <c r="DP98" s="2654"/>
      <c r="DQ98" s="2654"/>
      <c r="DR98" s="2654"/>
      <c r="DS98" s="2654"/>
      <c r="DT98" s="2654"/>
      <c r="DU98" s="2654"/>
      <c r="DV98" s="495"/>
      <c r="DW98" s="495"/>
      <c r="DX98" s="495"/>
      <c r="DY98" s="495"/>
      <c r="DZ98" s="495"/>
      <c r="EA98" s="495"/>
      <c r="EB98" s="495"/>
      <c r="EC98" s="495"/>
      <c r="ED98" s="495"/>
      <c r="EE98" s="495"/>
      <c r="EF98" s="495"/>
      <c r="EG98" s="496"/>
      <c r="EH98" s="496"/>
      <c r="EI98" s="496"/>
      <c r="EJ98" s="496"/>
      <c r="EK98" s="496"/>
      <c r="EL98" s="496"/>
      <c r="EM98" s="496"/>
      <c r="EN98" s="496"/>
      <c r="EO98" s="2666"/>
      <c r="EP98" s="2657"/>
      <c r="EQ98" s="2657"/>
      <c r="ER98" s="2657"/>
      <c r="ES98" s="2657"/>
      <c r="ET98" s="2657"/>
      <c r="EU98" s="2667"/>
      <c r="EV98" s="2666"/>
      <c r="EW98" s="2657"/>
      <c r="EX98" s="2657"/>
      <c r="EY98" s="2657"/>
      <c r="EZ98" s="2657"/>
      <c r="FA98" s="2657"/>
      <c r="FB98" s="2667"/>
      <c r="FC98" s="2666"/>
      <c r="FD98" s="2657"/>
      <c r="FE98" s="2657"/>
      <c r="FF98" s="2657"/>
      <c r="FG98" s="2657"/>
      <c r="FH98" s="2657"/>
      <c r="FI98" s="2667"/>
      <c r="FJ98" s="496"/>
      <c r="FK98" s="496"/>
      <c r="FL98" s="496"/>
      <c r="FM98" s="496"/>
      <c r="FN98" s="496"/>
      <c r="FO98" s="496"/>
      <c r="FP98" s="496"/>
      <c r="FQ98" s="496"/>
    </row>
    <row r="99" spans="8:237" ht="4.1500000000000004" customHeight="1">
      <c r="H99" s="2684"/>
      <c r="I99" s="2684"/>
      <c r="J99" s="2684"/>
      <c r="K99" s="2684"/>
      <c r="Q99" s="516"/>
      <c r="V99" s="516"/>
      <c r="X99" s="516"/>
      <c r="BC99" s="539"/>
      <c r="BD99" s="540"/>
      <c r="CJ99" s="663"/>
      <c r="CK99" s="664"/>
      <c r="CL99" s="662"/>
      <c r="CM99" s="662"/>
      <c r="CN99" s="662"/>
      <c r="CQ99" s="516"/>
      <c r="CS99" s="662"/>
      <c r="CT99" s="662"/>
      <c r="CU99" s="662"/>
      <c r="CV99" s="662"/>
      <c r="CW99" s="662"/>
      <c r="CX99" s="663"/>
      <c r="CY99" s="662"/>
      <c r="DP99" s="2655"/>
      <c r="DQ99" s="2655"/>
      <c r="DR99" s="2655"/>
      <c r="DS99" s="2655"/>
      <c r="DT99" s="2655"/>
      <c r="DU99" s="2655"/>
      <c r="DV99" s="497"/>
      <c r="DW99" s="497"/>
      <c r="DX99" s="497"/>
      <c r="DY99" s="497"/>
      <c r="DZ99" s="497"/>
      <c r="EA99" s="497"/>
      <c r="EB99" s="497"/>
      <c r="EC99" s="497"/>
      <c r="ED99" s="497"/>
      <c r="EE99" s="497"/>
      <c r="EF99" s="497"/>
      <c r="EG99" s="496"/>
      <c r="EH99" s="496"/>
      <c r="EI99" s="496"/>
      <c r="EJ99" s="496"/>
      <c r="EK99" s="496"/>
      <c r="EL99" s="496"/>
      <c r="EM99" s="496"/>
      <c r="EN99" s="496"/>
      <c r="EO99" s="496"/>
      <c r="EP99" s="496"/>
      <c r="EQ99" s="496"/>
      <c r="ER99" s="496"/>
      <c r="ES99" s="496"/>
      <c r="ET99" s="496"/>
      <c r="EU99" s="496"/>
      <c r="EV99" s="496"/>
      <c r="EW99" s="496"/>
      <c r="EX99" s="496"/>
      <c r="EY99" s="496"/>
      <c r="EZ99" s="496"/>
      <c r="FA99" s="496"/>
      <c r="FB99" s="496"/>
      <c r="FC99" s="496"/>
      <c r="FD99" s="496"/>
      <c r="FE99" s="496"/>
      <c r="FF99" s="496"/>
      <c r="FG99" s="496"/>
      <c r="FH99" s="496"/>
      <c r="FI99" s="496"/>
      <c r="FJ99" s="496"/>
      <c r="FK99" s="496"/>
      <c r="FL99" s="496"/>
      <c r="FM99" s="496"/>
      <c r="FN99" s="496"/>
      <c r="FO99" s="496"/>
      <c r="FP99" s="496"/>
      <c r="FQ99" s="496"/>
      <c r="GE99" s="2685" t="s">
        <v>1949</v>
      </c>
      <c r="GF99" s="2685"/>
      <c r="GG99" s="2685"/>
      <c r="GH99" s="2685"/>
      <c r="GI99" s="2685"/>
      <c r="GJ99" s="2685"/>
      <c r="GK99" s="2685"/>
      <c r="GL99" s="2685"/>
      <c r="GM99" s="2685"/>
      <c r="GN99" s="2685"/>
      <c r="GO99" s="2685"/>
      <c r="GP99" s="2685"/>
      <c r="GQ99" s="2685"/>
      <c r="GR99" s="2685"/>
      <c r="GS99" s="2685"/>
      <c r="GT99" s="2685"/>
      <c r="GU99" s="2685"/>
      <c r="GV99" s="2685"/>
      <c r="GW99" s="2685"/>
      <c r="GX99" s="2685"/>
      <c r="GY99" s="2685"/>
      <c r="GZ99" s="2685"/>
      <c r="HA99" s="2685"/>
      <c r="HB99" s="2685"/>
      <c r="HC99" s="2685"/>
      <c r="HD99" s="2685"/>
      <c r="HE99" s="2685"/>
      <c r="HF99" s="2685"/>
      <c r="HG99" s="2685"/>
      <c r="HH99" s="2685"/>
      <c r="HI99" s="2685"/>
      <c r="HJ99" s="2685"/>
      <c r="HK99" s="2685"/>
      <c r="HL99" s="2685"/>
      <c r="HM99" s="2685"/>
      <c r="HN99" s="2685"/>
      <c r="HO99" s="2685"/>
      <c r="HP99" s="2685"/>
      <c r="HQ99" s="2685"/>
      <c r="HR99" s="2685"/>
      <c r="HS99" s="2685"/>
      <c r="HT99" s="2685"/>
      <c r="HU99" s="2685"/>
      <c r="HV99" s="2685"/>
      <c r="HW99" s="2685"/>
      <c r="HX99" s="2685"/>
      <c r="HY99" s="2685"/>
      <c r="HZ99" s="2685"/>
      <c r="IA99" s="2685"/>
      <c r="IB99" s="2685"/>
      <c r="IC99" s="2685"/>
    </row>
    <row r="100" spans="8:237" ht="4.1500000000000004" customHeight="1">
      <c r="H100" s="2684"/>
      <c r="I100" s="2684"/>
      <c r="J100" s="2684"/>
      <c r="K100" s="2684"/>
      <c r="Q100" s="516"/>
      <c r="V100" s="516"/>
      <c r="X100" s="516"/>
      <c r="BC100" s="539"/>
      <c r="BD100" s="540"/>
      <c r="CJ100" s="666"/>
      <c r="CK100" s="1584"/>
      <c r="CL100" s="662"/>
      <c r="CM100" s="662"/>
      <c r="CN100" s="662"/>
      <c r="CQ100" s="516"/>
      <c r="CS100" s="662"/>
      <c r="CT100" s="662"/>
      <c r="CU100" s="662"/>
      <c r="CV100" s="662"/>
      <c r="CW100" s="662"/>
      <c r="CX100" s="663"/>
      <c r="CY100" s="662"/>
      <c r="DP100" s="495"/>
      <c r="DQ100" s="495"/>
      <c r="DR100" s="495"/>
      <c r="DS100" s="495"/>
      <c r="DT100" s="495"/>
      <c r="DU100" s="495"/>
      <c r="DV100" s="495"/>
      <c r="DW100" s="495"/>
      <c r="DX100" s="495"/>
      <c r="DY100" s="495"/>
      <c r="DZ100" s="495"/>
      <c r="EA100" s="495"/>
      <c r="EB100" s="495"/>
      <c r="EC100" s="495"/>
      <c r="ED100" s="495"/>
      <c r="EE100" s="495"/>
      <c r="EF100" s="495"/>
      <c r="EG100" s="498"/>
      <c r="EH100" s="498"/>
      <c r="EI100" s="498"/>
      <c r="EJ100" s="498"/>
      <c r="EK100" s="498"/>
      <c r="EL100" s="498"/>
      <c r="EM100" s="498"/>
      <c r="EN100" s="499"/>
      <c r="EO100" s="496"/>
      <c r="EP100" s="496"/>
      <c r="EQ100" s="496"/>
      <c r="ER100" s="496"/>
      <c r="ES100" s="496"/>
      <c r="ET100" s="496"/>
      <c r="EU100" s="496"/>
      <c r="EV100" s="496"/>
      <c r="EW100" s="496"/>
      <c r="EX100" s="496"/>
      <c r="EY100" s="496"/>
      <c r="EZ100" s="496"/>
      <c r="FA100" s="496"/>
      <c r="FB100" s="496"/>
      <c r="FC100" s="496"/>
      <c r="FD100" s="496"/>
      <c r="FE100" s="496"/>
      <c r="FF100" s="496"/>
      <c r="FG100" s="496"/>
      <c r="FH100" s="496"/>
      <c r="FI100" s="2656">
        <v>0.2</v>
      </c>
      <c r="FJ100" s="2656"/>
      <c r="FK100" s="2656"/>
      <c r="FL100" s="2656"/>
      <c r="FM100" s="2656"/>
      <c r="FN100" s="2656"/>
      <c r="FO100" s="2656"/>
      <c r="FP100" s="2656"/>
      <c r="FQ100" s="2656"/>
      <c r="GE100" s="2685"/>
      <c r="GF100" s="2685"/>
      <c r="GG100" s="2685"/>
      <c r="GH100" s="2685"/>
      <c r="GI100" s="2685"/>
      <c r="GJ100" s="2685"/>
      <c r="GK100" s="2685"/>
      <c r="GL100" s="2685"/>
      <c r="GM100" s="2685"/>
      <c r="GN100" s="2685"/>
      <c r="GO100" s="2685"/>
      <c r="GP100" s="2685"/>
      <c r="GQ100" s="2685"/>
      <c r="GR100" s="2685"/>
      <c r="GS100" s="2685"/>
      <c r="GT100" s="2685"/>
      <c r="GU100" s="2685"/>
      <c r="GV100" s="2685"/>
      <c r="GW100" s="2685"/>
      <c r="GX100" s="2685"/>
      <c r="GY100" s="2685"/>
      <c r="GZ100" s="2685"/>
      <c r="HA100" s="2685"/>
      <c r="HB100" s="2685"/>
      <c r="HC100" s="2685"/>
      <c r="HD100" s="2685"/>
      <c r="HE100" s="2685"/>
      <c r="HF100" s="2685"/>
      <c r="HG100" s="2685"/>
      <c r="HH100" s="2685"/>
      <c r="HI100" s="2685"/>
      <c r="HJ100" s="2685"/>
      <c r="HK100" s="2685"/>
      <c r="HL100" s="2685"/>
      <c r="HM100" s="2685"/>
      <c r="HN100" s="2685"/>
      <c r="HO100" s="2685"/>
      <c r="HP100" s="2685"/>
      <c r="HQ100" s="2685"/>
      <c r="HR100" s="2685"/>
      <c r="HS100" s="2685"/>
      <c r="HT100" s="2685"/>
      <c r="HU100" s="2685"/>
      <c r="HV100" s="2685"/>
      <c r="HW100" s="2685"/>
      <c r="HX100" s="2685"/>
      <c r="HY100" s="2685"/>
      <c r="HZ100" s="2685"/>
      <c r="IA100" s="2685"/>
      <c r="IB100" s="2685"/>
      <c r="IC100" s="2685"/>
    </row>
    <row r="101" spans="8:237" ht="4.1500000000000004" customHeight="1">
      <c r="H101" s="2684"/>
      <c r="I101" s="2684"/>
      <c r="J101" s="2684"/>
      <c r="K101" s="2684"/>
      <c r="Q101" s="516"/>
      <c r="V101" s="519"/>
      <c r="W101" s="521"/>
      <c r="X101" s="1559"/>
      <c r="Y101" s="537"/>
      <c r="Z101" s="537"/>
      <c r="AA101" s="537"/>
      <c r="AB101" s="537"/>
      <c r="AC101" s="537"/>
      <c r="AD101" s="537"/>
      <c r="AE101" s="537"/>
      <c r="AF101" s="537"/>
      <c r="AG101" s="537"/>
      <c r="AH101" s="537"/>
      <c r="AI101" s="537"/>
      <c r="AJ101" s="537"/>
      <c r="AK101" s="537"/>
      <c r="AL101" s="537"/>
      <c r="AM101" s="537"/>
      <c r="AN101" s="537"/>
      <c r="AO101" s="537"/>
      <c r="AP101" s="537"/>
      <c r="AQ101" s="537"/>
      <c r="AR101" s="537"/>
      <c r="AS101" s="537"/>
      <c r="AT101" s="537"/>
      <c r="AU101" s="537"/>
      <c r="AV101" s="537"/>
      <c r="AW101" s="537"/>
      <c r="AX101" s="537"/>
      <c r="AY101" s="537"/>
      <c r="AZ101" s="537"/>
      <c r="BA101" s="537"/>
      <c r="BB101" s="537"/>
      <c r="BC101" s="536"/>
      <c r="BD101" s="538"/>
      <c r="BE101" s="537"/>
      <c r="BF101" s="537"/>
      <c r="BG101" s="537"/>
      <c r="BH101" s="537"/>
      <c r="BI101" s="537"/>
      <c r="BJ101" s="537"/>
      <c r="BK101" s="537"/>
      <c r="BL101" s="537"/>
      <c r="BM101" s="537"/>
      <c r="BN101" s="537"/>
      <c r="BO101" s="537"/>
      <c r="BP101" s="537"/>
      <c r="BQ101" s="537"/>
      <c r="BR101" s="537"/>
      <c r="BS101" s="537"/>
      <c r="BT101" s="537"/>
      <c r="BU101" s="537"/>
      <c r="BV101" s="537"/>
      <c r="BW101" s="537"/>
      <c r="BX101" s="537"/>
      <c r="BY101" s="537"/>
      <c r="BZ101" s="537"/>
      <c r="CA101" s="537"/>
      <c r="CB101" s="537"/>
      <c r="CC101" s="537"/>
      <c r="CD101" s="537"/>
      <c r="CE101" s="537"/>
      <c r="CF101" s="537"/>
      <c r="CG101" s="537"/>
      <c r="CH101" s="537"/>
      <c r="CI101" s="1560"/>
      <c r="CJ101" s="522"/>
      <c r="CK101" s="524"/>
      <c r="CL101" s="662"/>
      <c r="CM101" s="662"/>
      <c r="CN101" s="662"/>
      <c r="CQ101" s="516"/>
      <c r="CS101" s="662"/>
      <c r="CT101" s="662"/>
      <c r="CU101" s="662"/>
      <c r="CV101" s="662"/>
      <c r="CW101" s="662"/>
      <c r="CX101" s="663"/>
      <c r="CY101" s="662"/>
      <c r="DP101" s="495"/>
      <c r="DQ101" s="495"/>
      <c r="DR101" s="495"/>
      <c r="DS101" s="495"/>
      <c r="DT101" s="495"/>
      <c r="DU101" s="495"/>
      <c r="DV101" s="495"/>
      <c r="DW101" s="495"/>
      <c r="DX101" s="495"/>
      <c r="DY101" s="495"/>
      <c r="DZ101" s="495"/>
      <c r="EA101" s="495"/>
      <c r="EB101" s="495"/>
      <c r="EC101" s="495"/>
      <c r="ED101" s="495"/>
      <c r="EE101" s="495"/>
      <c r="EF101" s="495"/>
      <c r="EG101" s="496"/>
      <c r="EH101" s="496"/>
      <c r="EI101" s="496"/>
      <c r="EJ101" s="496"/>
      <c r="EK101" s="496"/>
      <c r="EL101" s="496"/>
      <c r="EM101" s="496"/>
      <c r="EN101" s="500"/>
      <c r="EO101" s="496"/>
      <c r="EP101" s="496"/>
      <c r="EQ101" s="496"/>
      <c r="ER101" s="496"/>
      <c r="ES101" s="496"/>
      <c r="ET101" s="496"/>
      <c r="EU101" s="496"/>
      <c r="EV101" s="496"/>
      <c r="EW101" s="496"/>
      <c r="EX101" s="496"/>
      <c r="EY101" s="496"/>
      <c r="EZ101" s="496"/>
      <c r="FA101" s="496"/>
      <c r="FB101" s="496"/>
      <c r="FC101" s="496"/>
      <c r="FD101" s="496"/>
      <c r="FE101" s="496"/>
      <c r="FF101" s="496"/>
      <c r="FG101" s="496"/>
      <c r="FH101" s="496"/>
      <c r="FI101" s="2657"/>
      <c r="FJ101" s="2657"/>
      <c r="FK101" s="2657"/>
      <c r="FL101" s="2657"/>
      <c r="FM101" s="2657"/>
      <c r="FN101" s="2657"/>
      <c r="FO101" s="2657"/>
      <c r="FP101" s="2657"/>
      <c r="FQ101" s="2657"/>
      <c r="GE101" s="2685"/>
      <c r="GF101" s="2685"/>
      <c r="GG101" s="2685"/>
      <c r="GH101" s="2685"/>
      <c r="GI101" s="2685"/>
      <c r="GJ101" s="2685"/>
      <c r="GK101" s="2685"/>
      <c r="GL101" s="2685"/>
      <c r="GM101" s="2685"/>
      <c r="GN101" s="2685"/>
      <c r="GO101" s="2685"/>
      <c r="GP101" s="2685"/>
      <c r="GQ101" s="2685"/>
      <c r="GR101" s="2685"/>
      <c r="GS101" s="2685"/>
      <c r="GT101" s="2685"/>
      <c r="GU101" s="2685"/>
      <c r="GV101" s="2685"/>
      <c r="GW101" s="2685"/>
      <c r="GX101" s="2685"/>
      <c r="GY101" s="2685"/>
      <c r="GZ101" s="2685"/>
      <c r="HA101" s="2685"/>
      <c r="HB101" s="2685"/>
      <c r="HC101" s="2685"/>
      <c r="HD101" s="2685"/>
      <c r="HE101" s="2685"/>
      <c r="HF101" s="2685"/>
      <c r="HG101" s="2685"/>
      <c r="HH101" s="2685"/>
      <c r="HI101" s="2685"/>
      <c r="HJ101" s="2685"/>
      <c r="HK101" s="2685"/>
      <c r="HL101" s="2685"/>
      <c r="HM101" s="2685"/>
      <c r="HN101" s="2685"/>
      <c r="HO101" s="2685"/>
      <c r="HP101" s="2685"/>
      <c r="HQ101" s="2685"/>
      <c r="HR101" s="2685"/>
      <c r="HS101" s="2685"/>
      <c r="HT101" s="2685"/>
      <c r="HU101" s="2685"/>
      <c r="HV101" s="2685"/>
      <c r="HW101" s="2685"/>
      <c r="HX101" s="2685"/>
      <c r="HY101" s="2685"/>
      <c r="HZ101" s="2685"/>
      <c r="IA101" s="2685"/>
      <c r="IB101" s="2685"/>
      <c r="IC101" s="2685"/>
    </row>
    <row r="102" spans="8:237" ht="4.1500000000000004" customHeight="1">
      <c r="H102" s="2684"/>
      <c r="I102" s="2684"/>
      <c r="J102" s="2684"/>
      <c r="K102" s="2684"/>
      <c r="Q102" s="516"/>
      <c r="V102" s="527"/>
      <c r="W102" s="529"/>
      <c r="X102" s="1561"/>
      <c r="Y102" s="557"/>
      <c r="Z102" s="557"/>
      <c r="AA102" s="557"/>
      <c r="AB102" s="557"/>
      <c r="AC102" s="557"/>
      <c r="AD102" s="557"/>
      <c r="AE102" s="557"/>
      <c r="AF102" s="557"/>
      <c r="AG102" s="557"/>
      <c r="AH102" s="557"/>
      <c r="AI102" s="557"/>
      <c r="AJ102" s="557"/>
      <c r="AK102" s="557"/>
      <c r="AL102" s="557"/>
      <c r="AM102" s="557"/>
      <c r="AN102" s="557"/>
      <c r="AO102" s="557"/>
      <c r="AP102" s="557"/>
      <c r="AQ102" s="557"/>
      <c r="AR102" s="557"/>
      <c r="AS102" s="557"/>
      <c r="AT102" s="557"/>
      <c r="AU102" s="557"/>
      <c r="AV102" s="557"/>
      <c r="AW102" s="557"/>
      <c r="AX102" s="557"/>
      <c r="AY102" s="557"/>
      <c r="AZ102" s="557"/>
      <c r="BA102" s="557"/>
      <c r="BB102" s="557"/>
      <c r="BC102" s="559"/>
      <c r="BD102" s="560"/>
      <c r="BE102" s="557"/>
      <c r="BF102" s="557"/>
      <c r="BG102" s="557"/>
      <c r="BH102" s="557"/>
      <c r="BI102" s="557"/>
      <c r="BJ102" s="557"/>
      <c r="BK102" s="557"/>
      <c r="BL102" s="557"/>
      <c r="BM102" s="557"/>
      <c r="BN102" s="557"/>
      <c r="BO102" s="557"/>
      <c r="BP102" s="557"/>
      <c r="BQ102" s="557"/>
      <c r="BR102" s="557"/>
      <c r="BS102" s="557"/>
      <c r="BT102" s="557"/>
      <c r="BU102" s="557"/>
      <c r="BV102" s="557"/>
      <c r="BW102" s="557"/>
      <c r="BX102" s="557"/>
      <c r="BY102" s="557"/>
      <c r="BZ102" s="557"/>
      <c r="CA102" s="557"/>
      <c r="CB102" s="557"/>
      <c r="CC102" s="557"/>
      <c r="CD102" s="557"/>
      <c r="CE102" s="557"/>
      <c r="CF102" s="557"/>
      <c r="CG102" s="557"/>
      <c r="CH102" s="557"/>
      <c r="CI102" s="1562"/>
      <c r="CJ102" s="527"/>
      <c r="CK102" s="529"/>
      <c r="CL102" s="662"/>
      <c r="CM102" s="662"/>
      <c r="CN102" s="662"/>
      <c r="CO102" s="514"/>
      <c r="CP102" s="514"/>
      <c r="CQ102" s="515"/>
      <c r="CR102" s="514"/>
      <c r="CS102" s="662"/>
      <c r="CT102" s="662"/>
      <c r="CU102" s="662"/>
      <c r="CV102" s="662"/>
      <c r="CW102" s="662"/>
      <c r="CX102" s="663"/>
      <c r="CY102" s="662"/>
      <c r="DP102" s="495"/>
      <c r="DQ102" s="495"/>
      <c r="DR102" s="495"/>
      <c r="DS102" s="495"/>
      <c r="DT102" s="495"/>
      <c r="DU102" s="495"/>
      <c r="DV102" s="495"/>
      <c r="DW102" s="495"/>
      <c r="DX102" s="495"/>
      <c r="DY102" s="495"/>
      <c r="DZ102" s="495"/>
      <c r="EA102" s="495"/>
      <c r="EB102" s="495"/>
      <c r="EC102" s="495"/>
      <c r="ED102" s="495"/>
      <c r="EE102" s="495"/>
      <c r="EF102" s="495"/>
      <c r="EG102" s="496"/>
      <c r="EH102" s="496"/>
      <c r="EI102" s="496"/>
      <c r="EJ102" s="496"/>
      <c r="EK102" s="496"/>
      <c r="EL102" s="496"/>
      <c r="EM102" s="496"/>
      <c r="EN102" s="500"/>
      <c r="EO102" s="496"/>
      <c r="EP102" s="496"/>
      <c r="EQ102" s="496"/>
      <c r="ER102" s="496"/>
      <c r="ES102" s="496"/>
      <c r="ET102" s="496"/>
      <c r="EU102" s="496"/>
      <c r="EV102" s="496"/>
      <c r="EW102" s="496"/>
      <c r="EX102" s="496"/>
      <c r="EY102" s="496"/>
      <c r="EZ102" s="496"/>
      <c r="FA102" s="496"/>
      <c r="FB102" s="496"/>
      <c r="FC102" s="496"/>
      <c r="FD102" s="496"/>
      <c r="FE102" s="496"/>
      <c r="FF102" s="496"/>
      <c r="FG102" s="496"/>
      <c r="FH102" s="496"/>
      <c r="FI102" s="2658"/>
      <c r="FJ102" s="2658"/>
      <c r="FK102" s="2658"/>
      <c r="FL102" s="2658"/>
      <c r="FM102" s="2658"/>
      <c r="FN102" s="2658"/>
      <c r="FO102" s="2658"/>
      <c r="FP102" s="2658"/>
      <c r="FQ102" s="2658"/>
      <c r="GE102" s="2685"/>
      <c r="GF102" s="2685"/>
      <c r="GG102" s="2685"/>
      <c r="GH102" s="2685"/>
      <c r="GI102" s="2685"/>
      <c r="GJ102" s="2685"/>
      <c r="GK102" s="2685"/>
      <c r="GL102" s="2685"/>
      <c r="GM102" s="2685"/>
      <c r="GN102" s="2685"/>
      <c r="GO102" s="2685"/>
      <c r="GP102" s="2685"/>
      <c r="GQ102" s="2685"/>
      <c r="GR102" s="2685"/>
      <c r="GS102" s="2685"/>
      <c r="GT102" s="2685"/>
      <c r="GU102" s="2685"/>
      <c r="GV102" s="2685"/>
      <c r="GW102" s="2685"/>
      <c r="GX102" s="2685"/>
      <c r="GY102" s="2685"/>
      <c r="GZ102" s="2685"/>
      <c r="HA102" s="2685"/>
      <c r="HB102" s="2685"/>
      <c r="HC102" s="2685"/>
      <c r="HD102" s="2685"/>
      <c r="HE102" s="2685"/>
      <c r="HF102" s="2685"/>
      <c r="HG102" s="2685"/>
      <c r="HH102" s="2685"/>
      <c r="HI102" s="2685"/>
      <c r="HJ102" s="2685"/>
      <c r="HK102" s="2685"/>
      <c r="HL102" s="2685"/>
      <c r="HM102" s="2685"/>
      <c r="HN102" s="2685"/>
      <c r="HO102" s="2685"/>
      <c r="HP102" s="2685"/>
      <c r="HQ102" s="2685"/>
      <c r="HR102" s="2685"/>
      <c r="HS102" s="2685"/>
      <c r="HT102" s="2685"/>
      <c r="HU102" s="2685"/>
      <c r="HV102" s="2685"/>
      <c r="HW102" s="2685"/>
      <c r="HX102" s="2685"/>
      <c r="HY102" s="2685"/>
      <c r="HZ102" s="2685"/>
      <c r="IA102" s="2685"/>
      <c r="IB102" s="2685"/>
      <c r="IC102" s="2685"/>
    </row>
    <row r="103" spans="8:237" ht="4.1500000000000004" customHeight="1">
      <c r="H103" s="2684"/>
      <c r="I103" s="2684"/>
      <c r="J103" s="2684"/>
      <c r="K103" s="2684"/>
      <c r="Q103" s="516"/>
      <c r="V103" s="516"/>
      <c r="X103" s="516"/>
      <c r="BC103" s="539"/>
      <c r="BD103" s="540"/>
      <c r="CI103" s="517"/>
      <c r="CJ103" s="662"/>
      <c r="CK103" s="664"/>
      <c r="CL103" s="662"/>
      <c r="CM103" s="662"/>
      <c r="CN103" s="662"/>
      <c r="CQ103" s="516"/>
      <c r="CS103" s="662"/>
      <c r="CT103" s="662"/>
      <c r="CU103" s="662"/>
      <c r="CV103" s="662"/>
      <c r="CW103" s="662"/>
      <c r="CX103" s="663"/>
      <c r="CY103" s="662"/>
      <c r="DP103" s="495"/>
      <c r="DQ103" s="495"/>
      <c r="DR103" s="495"/>
      <c r="DS103" s="495"/>
      <c r="DT103" s="495"/>
      <c r="DU103" s="495"/>
      <c r="DV103" s="495"/>
      <c r="DW103" s="495"/>
      <c r="DX103" s="495"/>
      <c r="DY103" s="495"/>
      <c r="DZ103" s="495"/>
      <c r="EA103" s="495"/>
      <c r="EB103" s="495"/>
      <c r="EC103" s="495"/>
      <c r="ED103" s="495"/>
      <c r="EE103" s="495"/>
      <c r="EF103" s="495"/>
      <c r="EG103" s="496"/>
      <c r="EH103" s="496"/>
      <c r="EI103" s="496"/>
      <c r="EJ103" s="496"/>
      <c r="EK103" s="496"/>
      <c r="EL103" s="496"/>
      <c r="EM103" s="496"/>
      <c r="EN103" s="500"/>
      <c r="EO103" s="501"/>
      <c r="EP103" s="498"/>
      <c r="EQ103" s="498"/>
      <c r="ER103" s="498"/>
      <c r="ES103" s="498"/>
      <c r="ET103" s="498"/>
      <c r="EU103" s="499"/>
      <c r="EV103" s="496"/>
      <c r="EW103" s="496"/>
      <c r="EX103" s="496"/>
      <c r="EY103" s="496"/>
      <c r="EZ103" s="496"/>
      <c r="FA103" s="496"/>
      <c r="FB103" s="496"/>
      <c r="FC103" s="496"/>
      <c r="FD103" s="496"/>
      <c r="FE103" s="496"/>
      <c r="FF103" s="496"/>
      <c r="FG103" s="496"/>
      <c r="FH103" s="496"/>
      <c r="FI103" s="2656">
        <f>FI100</f>
        <v>0.2</v>
      </c>
      <c r="FJ103" s="2656"/>
      <c r="FK103" s="2656"/>
      <c r="FL103" s="2656"/>
      <c r="FM103" s="2656"/>
      <c r="FN103" s="2656"/>
      <c r="FO103" s="2656"/>
      <c r="FP103" s="2656"/>
      <c r="FQ103" s="2656"/>
      <c r="GE103" s="2676" t="s">
        <v>291</v>
      </c>
      <c r="GF103" s="2676"/>
      <c r="GG103" s="2676"/>
      <c r="GH103" s="2676"/>
      <c r="GI103" s="2676"/>
      <c r="GJ103" s="2676"/>
      <c r="GK103" s="2676"/>
      <c r="GL103" s="2676"/>
      <c r="GM103" s="2676"/>
      <c r="GN103" s="2676"/>
      <c r="GO103" s="2676"/>
      <c r="GP103" s="2676"/>
      <c r="GQ103" s="2678">
        <v>1</v>
      </c>
      <c r="GR103" s="2678"/>
      <c r="GS103" s="2678"/>
      <c r="GT103" s="2678"/>
      <c r="GU103" s="2678"/>
      <c r="GV103" s="2678"/>
      <c r="GW103" s="2678"/>
      <c r="GX103" s="2678"/>
      <c r="GY103" s="2678"/>
      <c r="GZ103" s="2678"/>
      <c r="HA103" s="2678"/>
      <c r="HB103" s="2676" t="s">
        <v>901</v>
      </c>
      <c r="HC103" s="2676"/>
      <c r="HD103" s="2676"/>
      <c r="HE103" s="2676"/>
      <c r="HF103" s="2677">
        <v>1.05</v>
      </c>
      <c r="HG103" s="2677"/>
      <c r="HH103" s="2677"/>
      <c r="HI103" s="2677"/>
      <c r="HJ103" s="2677"/>
      <c r="HK103" s="2677"/>
      <c r="HL103" s="2677"/>
      <c r="HM103" s="2677"/>
      <c r="HN103" s="2677"/>
      <c r="HO103" s="2677"/>
      <c r="HP103" s="2677"/>
      <c r="HQ103" s="2676" t="s">
        <v>901</v>
      </c>
      <c r="HR103" s="2676"/>
      <c r="HS103" s="2676"/>
      <c r="HT103" s="2676"/>
      <c r="HU103" s="2677">
        <v>2.1</v>
      </c>
      <c r="HV103" s="2677"/>
      <c r="HW103" s="2677"/>
      <c r="HX103" s="2677"/>
      <c r="HY103" s="2677"/>
      <c r="HZ103" s="2677"/>
      <c r="IA103" s="2677"/>
      <c r="IB103" s="2677"/>
      <c r="IC103" s="2677"/>
    </row>
    <row r="104" spans="8:237" ht="4.1500000000000004" customHeight="1">
      <c r="H104" s="2684"/>
      <c r="I104" s="2684"/>
      <c r="J104" s="2684"/>
      <c r="K104" s="2684"/>
      <c r="Q104" s="516"/>
      <c r="V104" s="516"/>
      <c r="X104" s="516"/>
      <c r="BC104" s="539"/>
      <c r="BD104" s="540"/>
      <c r="CI104" s="517"/>
      <c r="CJ104" s="662"/>
      <c r="CK104" s="664"/>
      <c r="CL104" s="662"/>
      <c r="CM104" s="662"/>
      <c r="CN104" s="662"/>
      <c r="CQ104" s="516"/>
      <c r="CS104" s="662"/>
      <c r="CT104" s="662"/>
      <c r="CU104" s="662"/>
      <c r="CV104" s="662"/>
      <c r="CW104" s="662"/>
      <c r="CX104" s="663"/>
      <c r="CY104" s="662"/>
      <c r="DP104" s="495"/>
      <c r="DQ104" s="495"/>
      <c r="DR104" s="495"/>
      <c r="DS104" s="495"/>
      <c r="DT104" s="495"/>
      <c r="DU104" s="495"/>
      <c r="DV104" s="495"/>
      <c r="DW104" s="495"/>
      <c r="DX104" s="495"/>
      <c r="DY104" s="495"/>
      <c r="DZ104" s="495"/>
      <c r="EA104" s="495"/>
      <c r="EB104" s="495"/>
      <c r="EC104" s="495"/>
      <c r="ED104" s="495"/>
      <c r="EE104" s="495"/>
      <c r="EF104" s="495"/>
      <c r="EG104" s="496"/>
      <c r="EH104" s="496"/>
      <c r="EI104" s="496"/>
      <c r="EJ104" s="496"/>
      <c r="EK104" s="496"/>
      <c r="EL104" s="496"/>
      <c r="EM104" s="496"/>
      <c r="EN104" s="500"/>
      <c r="EO104" s="502"/>
      <c r="EP104" s="496"/>
      <c r="EQ104" s="496"/>
      <c r="ER104" s="496"/>
      <c r="ES104" s="496"/>
      <c r="ET104" s="496"/>
      <c r="EU104" s="500"/>
      <c r="EV104" s="496"/>
      <c r="EW104" s="496"/>
      <c r="EX104" s="496"/>
      <c r="EY104" s="496"/>
      <c r="EZ104" s="496"/>
      <c r="FA104" s="496"/>
      <c r="FB104" s="496"/>
      <c r="FC104" s="496"/>
      <c r="FD104" s="496"/>
      <c r="FE104" s="496"/>
      <c r="FF104" s="496"/>
      <c r="FG104" s="496"/>
      <c r="FH104" s="496"/>
      <c r="FI104" s="2657"/>
      <c r="FJ104" s="2657"/>
      <c r="FK104" s="2657"/>
      <c r="FL104" s="2657"/>
      <c r="FM104" s="2657"/>
      <c r="FN104" s="2657"/>
      <c r="FO104" s="2657"/>
      <c r="FP104" s="2657"/>
      <c r="FQ104" s="2657"/>
      <c r="GE104" s="2676"/>
      <c r="GF104" s="2676"/>
      <c r="GG104" s="2676"/>
      <c r="GH104" s="2676"/>
      <c r="GI104" s="2676"/>
      <c r="GJ104" s="2676"/>
      <c r="GK104" s="2676"/>
      <c r="GL104" s="2676"/>
      <c r="GM104" s="2676"/>
      <c r="GN104" s="2676"/>
      <c r="GO104" s="2676"/>
      <c r="GP104" s="2676"/>
      <c r="GQ104" s="2678"/>
      <c r="GR104" s="2678"/>
      <c r="GS104" s="2678"/>
      <c r="GT104" s="2678"/>
      <c r="GU104" s="2678"/>
      <c r="GV104" s="2678"/>
      <c r="GW104" s="2678"/>
      <c r="GX104" s="2678"/>
      <c r="GY104" s="2678"/>
      <c r="GZ104" s="2678"/>
      <c r="HA104" s="2678"/>
      <c r="HB104" s="2676"/>
      <c r="HC104" s="2676"/>
      <c r="HD104" s="2676"/>
      <c r="HE104" s="2676"/>
      <c r="HF104" s="2677"/>
      <c r="HG104" s="2677"/>
      <c r="HH104" s="2677"/>
      <c r="HI104" s="2677"/>
      <c r="HJ104" s="2677"/>
      <c r="HK104" s="2677"/>
      <c r="HL104" s="2677"/>
      <c r="HM104" s="2677"/>
      <c r="HN104" s="2677"/>
      <c r="HO104" s="2677"/>
      <c r="HP104" s="2677"/>
      <c r="HQ104" s="2676"/>
      <c r="HR104" s="2676"/>
      <c r="HS104" s="2676"/>
      <c r="HT104" s="2676"/>
      <c r="HU104" s="2677"/>
      <c r="HV104" s="2677"/>
      <c r="HW104" s="2677"/>
      <c r="HX104" s="2677"/>
      <c r="HY104" s="2677"/>
      <c r="HZ104" s="2677"/>
      <c r="IA104" s="2677"/>
      <c r="IB104" s="2677"/>
      <c r="IC104" s="2677"/>
    </row>
    <row r="105" spans="8:237" ht="4.1500000000000004" customHeight="1">
      <c r="H105" s="2684"/>
      <c r="I105" s="2684"/>
      <c r="J105" s="2684"/>
      <c r="K105" s="2684"/>
      <c r="Q105" s="516"/>
      <c r="V105" s="516"/>
      <c r="X105" s="516"/>
      <c r="BC105" s="539"/>
      <c r="BD105" s="540"/>
      <c r="CI105" s="517"/>
      <c r="CJ105" s="662"/>
      <c r="CK105" s="664"/>
      <c r="CL105" s="662"/>
      <c r="CM105" s="662"/>
      <c r="CN105" s="662"/>
      <c r="CQ105" s="516"/>
      <c r="CS105" s="662"/>
      <c r="CT105" s="662"/>
      <c r="CU105" s="662"/>
      <c r="CV105" s="662"/>
      <c r="CW105" s="662"/>
      <c r="CX105" s="663"/>
      <c r="CY105" s="662"/>
      <c r="DP105" s="495"/>
      <c r="DQ105" s="495"/>
      <c r="DR105" s="495"/>
      <c r="DS105" s="495"/>
      <c r="DT105" s="495"/>
      <c r="DU105" s="495"/>
      <c r="DV105" s="495"/>
      <c r="DW105" s="495"/>
      <c r="DX105" s="495"/>
      <c r="DY105" s="495"/>
      <c r="DZ105" s="495"/>
      <c r="EA105" s="495"/>
      <c r="EB105" s="495"/>
      <c r="EC105" s="495"/>
      <c r="ED105" s="495"/>
      <c r="EE105" s="495"/>
      <c r="EF105" s="495"/>
      <c r="EG105" s="496"/>
      <c r="EH105" s="496"/>
      <c r="EI105" s="496"/>
      <c r="EJ105" s="496"/>
      <c r="EK105" s="496"/>
      <c r="EL105" s="496"/>
      <c r="EM105" s="496"/>
      <c r="EN105" s="500"/>
      <c r="EO105" s="502"/>
      <c r="EP105" s="496"/>
      <c r="EQ105" s="496"/>
      <c r="ER105" s="496"/>
      <c r="ES105" s="496"/>
      <c r="ET105" s="496"/>
      <c r="EU105" s="500"/>
      <c r="EV105" s="496"/>
      <c r="EW105" s="496"/>
      <c r="EX105" s="496"/>
      <c r="EY105" s="496"/>
      <c r="EZ105" s="496"/>
      <c r="FA105" s="496"/>
      <c r="FB105" s="496"/>
      <c r="FC105" s="496"/>
      <c r="FD105" s="496"/>
      <c r="FE105" s="496"/>
      <c r="FF105" s="496"/>
      <c r="FG105" s="496"/>
      <c r="FH105" s="496"/>
      <c r="FI105" s="2658"/>
      <c r="FJ105" s="2658"/>
      <c r="FK105" s="2658"/>
      <c r="FL105" s="2658"/>
      <c r="FM105" s="2658"/>
      <c r="FN105" s="2658"/>
      <c r="FO105" s="2658"/>
      <c r="FP105" s="2658"/>
      <c r="FQ105" s="2658"/>
      <c r="GE105" s="2676"/>
      <c r="GF105" s="2676"/>
      <c r="GG105" s="2676"/>
      <c r="GH105" s="2676"/>
      <c r="GI105" s="2676"/>
      <c r="GJ105" s="2676"/>
      <c r="GK105" s="2676"/>
      <c r="GL105" s="2676"/>
      <c r="GM105" s="2676"/>
      <c r="GN105" s="2676"/>
      <c r="GO105" s="2676"/>
      <c r="GP105" s="2676"/>
      <c r="GQ105" s="2678"/>
      <c r="GR105" s="2678"/>
      <c r="GS105" s="2678"/>
      <c r="GT105" s="2678"/>
      <c r="GU105" s="2678"/>
      <c r="GV105" s="2678"/>
      <c r="GW105" s="2678"/>
      <c r="GX105" s="2678"/>
      <c r="GY105" s="2678"/>
      <c r="GZ105" s="2678"/>
      <c r="HA105" s="2678"/>
      <c r="HB105" s="2676"/>
      <c r="HC105" s="2676"/>
      <c r="HD105" s="2676"/>
      <c r="HE105" s="2676"/>
      <c r="HF105" s="2677"/>
      <c r="HG105" s="2677"/>
      <c r="HH105" s="2677"/>
      <c r="HI105" s="2677"/>
      <c r="HJ105" s="2677"/>
      <c r="HK105" s="2677"/>
      <c r="HL105" s="2677"/>
      <c r="HM105" s="2677"/>
      <c r="HN105" s="2677"/>
      <c r="HO105" s="2677"/>
      <c r="HP105" s="2677"/>
      <c r="HQ105" s="2676"/>
      <c r="HR105" s="2676"/>
      <c r="HS105" s="2676"/>
      <c r="HT105" s="2676"/>
      <c r="HU105" s="2677"/>
      <c r="HV105" s="2677"/>
      <c r="HW105" s="2677"/>
      <c r="HX105" s="2677"/>
      <c r="HY105" s="2677"/>
      <c r="HZ105" s="2677"/>
      <c r="IA105" s="2677"/>
      <c r="IB105" s="2677"/>
      <c r="IC105" s="2677"/>
    </row>
    <row r="106" spans="8:237" ht="4.1500000000000004" customHeight="1">
      <c r="J106" s="516"/>
      <c r="Q106" s="516"/>
      <c r="V106" s="516"/>
      <c r="X106" s="516"/>
      <c r="BC106" s="539"/>
      <c r="BD106" s="540"/>
      <c r="CI106" s="517"/>
      <c r="CJ106" s="662"/>
      <c r="CK106" s="664"/>
      <c r="CL106" s="662"/>
      <c r="CM106" s="662"/>
      <c r="CN106" s="662"/>
      <c r="CO106" s="662"/>
      <c r="CP106" s="662"/>
      <c r="CQ106" s="663"/>
      <c r="CR106" s="662"/>
      <c r="CS106" s="662"/>
      <c r="CT106" s="662"/>
      <c r="CU106" s="662"/>
      <c r="CV106" s="2684">
        <f>CO108+CO127+CO85</f>
        <v>9.6</v>
      </c>
      <c r="CW106" s="2684"/>
      <c r="CX106" s="2684"/>
      <c r="CY106" s="2684"/>
      <c r="DP106" s="495"/>
      <c r="DQ106" s="495"/>
      <c r="DR106" s="495"/>
      <c r="DS106" s="495"/>
      <c r="DT106" s="495"/>
      <c r="DU106" s="495"/>
      <c r="DV106" s="495"/>
      <c r="DW106" s="495"/>
      <c r="DX106" s="495"/>
      <c r="DY106" s="495"/>
      <c r="DZ106" s="495"/>
      <c r="EA106" s="495"/>
      <c r="EB106" s="2654" t="s">
        <v>2980</v>
      </c>
      <c r="EC106" s="2654"/>
      <c r="ED106" s="2654"/>
      <c r="EE106" s="2654"/>
      <c r="EF106" s="2654"/>
      <c r="EG106" s="2654"/>
      <c r="EH106" s="496"/>
      <c r="EI106" s="496"/>
      <c r="EJ106" s="496"/>
      <c r="EK106" s="496"/>
      <c r="EL106" s="496"/>
      <c r="EM106" s="496"/>
      <c r="EN106" s="500"/>
      <c r="EO106" s="496"/>
      <c r="EP106" s="496"/>
      <c r="EQ106" s="496"/>
      <c r="ER106" s="496"/>
      <c r="ES106" s="496"/>
      <c r="ET106" s="496"/>
      <c r="EU106" s="496"/>
      <c r="EV106" s="498"/>
      <c r="EW106" s="498"/>
      <c r="EX106" s="498"/>
      <c r="EY106" s="498"/>
      <c r="EZ106" s="498"/>
      <c r="FA106" s="498"/>
      <c r="FB106" s="499"/>
      <c r="FC106" s="496"/>
      <c r="FD106" s="496"/>
      <c r="FE106" s="496"/>
      <c r="FF106" s="496"/>
      <c r="FG106" s="496"/>
      <c r="FH106" s="496"/>
      <c r="FI106" s="2656">
        <f>FI103</f>
        <v>0.2</v>
      </c>
      <c r="FJ106" s="2656"/>
      <c r="FK106" s="2656"/>
      <c r="FL106" s="2656"/>
      <c r="FM106" s="2656"/>
      <c r="FN106" s="2656"/>
      <c r="FO106" s="2656"/>
      <c r="FP106" s="2656"/>
      <c r="FQ106" s="2656"/>
      <c r="GE106" s="2676" t="s">
        <v>1950</v>
      </c>
      <c r="GF106" s="2676"/>
      <c r="GG106" s="2676"/>
      <c r="GH106" s="2676"/>
      <c r="GI106" s="2676"/>
      <c r="GJ106" s="2676"/>
      <c r="GK106" s="2676"/>
      <c r="GL106" s="2676"/>
      <c r="GM106" s="2676"/>
      <c r="GN106" s="2676"/>
      <c r="GO106" s="2676"/>
      <c r="GP106" s="2676"/>
      <c r="GQ106" s="2678"/>
      <c r="GR106" s="2678"/>
      <c r="GS106" s="2678"/>
      <c r="GT106" s="2678"/>
      <c r="GU106" s="2678"/>
      <c r="GV106" s="2678"/>
      <c r="GW106" s="2678"/>
      <c r="GX106" s="2678"/>
      <c r="GY106" s="2678"/>
      <c r="GZ106" s="2678"/>
      <c r="HA106" s="2678"/>
      <c r="HB106" s="2676" t="s">
        <v>901</v>
      </c>
      <c r="HC106" s="2676"/>
      <c r="HD106" s="2676"/>
      <c r="HE106" s="2676"/>
      <c r="HF106" s="2677"/>
      <c r="HG106" s="2677"/>
      <c r="HH106" s="2677"/>
      <c r="HI106" s="2677"/>
      <c r="HJ106" s="2677"/>
      <c r="HK106" s="2677"/>
      <c r="HL106" s="2677"/>
      <c r="HM106" s="2677"/>
      <c r="HN106" s="2677"/>
      <c r="HO106" s="2677"/>
      <c r="HP106" s="2677"/>
      <c r="HQ106" s="2676" t="s">
        <v>901</v>
      </c>
      <c r="HR106" s="2676"/>
      <c r="HS106" s="2676"/>
      <c r="HT106" s="2676"/>
      <c r="HU106" s="2677"/>
      <c r="HV106" s="2677"/>
      <c r="HW106" s="2677"/>
      <c r="HX106" s="2677"/>
      <c r="HY106" s="2677"/>
      <c r="HZ106" s="2677"/>
      <c r="IA106" s="2677"/>
      <c r="IB106" s="2677"/>
      <c r="IC106" s="2677"/>
    </row>
    <row r="107" spans="8:237" ht="4.1500000000000004" customHeight="1">
      <c r="J107" s="516"/>
      <c r="O107" s="2681">
        <f>CV106+V81</f>
        <v>9.85</v>
      </c>
      <c r="P107" s="2682"/>
      <c r="Q107" s="2682"/>
      <c r="R107" s="2682"/>
      <c r="V107" s="516"/>
      <c r="X107" s="516"/>
      <c r="BC107" s="539"/>
      <c r="BD107" s="540"/>
      <c r="CI107" s="517"/>
      <c r="CJ107" s="662"/>
      <c r="CK107" s="664"/>
      <c r="CL107" s="662"/>
      <c r="CM107" s="662"/>
      <c r="CN107" s="662"/>
      <c r="CO107" s="662"/>
      <c r="CP107" s="662"/>
      <c r="CQ107" s="663"/>
      <c r="CR107" s="662"/>
      <c r="CS107" s="662"/>
      <c r="CT107" s="662"/>
      <c r="CU107" s="662"/>
      <c r="CV107" s="2684"/>
      <c r="CW107" s="2684"/>
      <c r="CX107" s="2684"/>
      <c r="CY107" s="2684"/>
      <c r="DP107" s="495"/>
      <c r="DQ107" s="495"/>
      <c r="DR107" s="495"/>
      <c r="DS107" s="495"/>
      <c r="DT107" s="495"/>
      <c r="DU107" s="495"/>
      <c r="DV107" s="495"/>
      <c r="DW107" s="495"/>
      <c r="DX107" s="495"/>
      <c r="DY107" s="495"/>
      <c r="DZ107" s="495"/>
      <c r="EA107" s="495"/>
      <c r="EB107" s="2654"/>
      <c r="EC107" s="2654"/>
      <c r="ED107" s="2654"/>
      <c r="EE107" s="2654"/>
      <c r="EF107" s="2654"/>
      <c r="EG107" s="2654"/>
      <c r="EH107" s="496"/>
      <c r="EI107" s="496"/>
      <c r="EJ107" s="496"/>
      <c r="EK107" s="496"/>
      <c r="EL107" s="496"/>
      <c r="EM107" s="496"/>
      <c r="EN107" s="500"/>
      <c r="EO107" s="496"/>
      <c r="EP107" s="496"/>
      <c r="EQ107" s="496"/>
      <c r="ER107" s="496"/>
      <c r="ES107" s="496"/>
      <c r="ET107" s="496"/>
      <c r="EU107" s="496"/>
      <c r="EV107" s="496"/>
      <c r="EW107" s="496"/>
      <c r="EX107" s="496"/>
      <c r="EY107" s="496"/>
      <c r="EZ107" s="496"/>
      <c r="FA107" s="496"/>
      <c r="FB107" s="500"/>
      <c r="FC107" s="496"/>
      <c r="FD107" s="496"/>
      <c r="FE107" s="496"/>
      <c r="FF107" s="496"/>
      <c r="FG107" s="496"/>
      <c r="FH107" s="496"/>
      <c r="FI107" s="2657"/>
      <c r="FJ107" s="2657"/>
      <c r="FK107" s="2657"/>
      <c r="FL107" s="2657"/>
      <c r="FM107" s="2657"/>
      <c r="FN107" s="2657"/>
      <c r="FO107" s="2657"/>
      <c r="FP107" s="2657"/>
      <c r="FQ107" s="2657"/>
      <c r="GE107" s="2676"/>
      <c r="GF107" s="2676"/>
      <c r="GG107" s="2676"/>
      <c r="GH107" s="2676"/>
      <c r="GI107" s="2676"/>
      <c r="GJ107" s="2676"/>
      <c r="GK107" s="2676"/>
      <c r="GL107" s="2676"/>
      <c r="GM107" s="2676"/>
      <c r="GN107" s="2676"/>
      <c r="GO107" s="2676"/>
      <c r="GP107" s="2676"/>
      <c r="GQ107" s="2678"/>
      <c r="GR107" s="2678"/>
      <c r="GS107" s="2678"/>
      <c r="GT107" s="2678"/>
      <c r="GU107" s="2678"/>
      <c r="GV107" s="2678"/>
      <c r="GW107" s="2678"/>
      <c r="GX107" s="2678"/>
      <c r="GY107" s="2678"/>
      <c r="GZ107" s="2678"/>
      <c r="HA107" s="2678"/>
      <c r="HB107" s="2676"/>
      <c r="HC107" s="2676"/>
      <c r="HD107" s="2676"/>
      <c r="HE107" s="2676"/>
      <c r="HF107" s="2677"/>
      <c r="HG107" s="2677"/>
      <c r="HH107" s="2677"/>
      <c r="HI107" s="2677"/>
      <c r="HJ107" s="2677"/>
      <c r="HK107" s="2677"/>
      <c r="HL107" s="2677"/>
      <c r="HM107" s="2677"/>
      <c r="HN107" s="2677"/>
      <c r="HO107" s="2677"/>
      <c r="HP107" s="2677"/>
      <c r="HQ107" s="2676"/>
      <c r="HR107" s="2676"/>
      <c r="HS107" s="2676"/>
      <c r="HT107" s="2676"/>
      <c r="HU107" s="2677"/>
      <c r="HV107" s="2677"/>
      <c r="HW107" s="2677"/>
      <c r="HX107" s="2677"/>
      <c r="HY107" s="2677"/>
      <c r="HZ107" s="2677"/>
      <c r="IA107" s="2677"/>
      <c r="IB107" s="2677"/>
      <c r="IC107" s="2677"/>
    </row>
    <row r="108" spans="8:237" ht="4.1500000000000004" customHeight="1">
      <c r="J108" s="516"/>
      <c r="O108" s="2682"/>
      <c r="P108" s="2682"/>
      <c r="Q108" s="2682"/>
      <c r="R108" s="2682"/>
      <c r="V108" s="516"/>
      <c r="X108" s="516"/>
      <c r="BC108" s="539"/>
      <c r="BD108" s="540"/>
      <c r="CI108" s="517"/>
      <c r="CJ108" s="668"/>
      <c r="CK108" s="1585"/>
      <c r="CL108" s="662"/>
      <c r="CM108" s="662"/>
      <c r="CN108" s="662"/>
      <c r="CO108" s="2684">
        <v>3.4750000000000001</v>
      </c>
      <c r="CP108" s="2684"/>
      <c r="CQ108" s="2684"/>
      <c r="CR108" s="2684"/>
      <c r="CS108" s="662"/>
      <c r="CT108" s="662"/>
      <c r="CU108" s="662"/>
      <c r="CV108" s="2684"/>
      <c r="CW108" s="2684"/>
      <c r="CX108" s="2684"/>
      <c r="CY108" s="2684"/>
      <c r="DP108" s="495"/>
      <c r="DQ108" s="495"/>
      <c r="DR108" s="495"/>
      <c r="DS108" s="495"/>
      <c r="DT108" s="495"/>
      <c r="DU108" s="495"/>
      <c r="DV108" s="495"/>
      <c r="DW108" s="495"/>
      <c r="DX108" s="495"/>
      <c r="DY108" s="495"/>
      <c r="DZ108" s="495"/>
      <c r="EA108" s="495"/>
      <c r="EB108" s="2655"/>
      <c r="EC108" s="2655"/>
      <c r="ED108" s="2655"/>
      <c r="EE108" s="2655"/>
      <c r="EF108" s="2655"/>
      <c r="EG108" s="2655"/>
      <c r="EH108" s="503"/>
      <c r="EI108" s="503"/>
      <c r="EJ108" s="503"/>
      <c r="EK108" s="503"/>
      <c r="EL108" s="503"/>
      <c r="EM108" s="503"/>
      <c r="EN108" s="504"/>
      <c r="EO108" s="496"/>
      <c r="EP108" s="496"/>
      <c r="EQ108" s="496"/>
      <c r="ER108" s="496"/>
      <c r="ES108" s="496"/>
      <c r="ET108" s="496"/>
      <c r="EU108" s="496"/>
      <c r="EV108" s="496"/>
      <c r="EW108" s="496"/>
      <c r="EX108" s="496"/>
      <c r="EY108" s="496"/>
      <c r="EZ108" s="496"/>
      <c r="FA108" s="496"/>
      <c r="FB108" s="500"/>
      <c r="FC108" s="496"/>
      <c r="FD108" s="496"/>
      <c r="FE108" s="496"/>
      <c r="FF108" s="496"/>
      <c r="FG108" s="496"/>
      <c r="FH108" s="496"/>
      <c r="FI108" s="2657"/>
      <c r="FJ108" s="2658"/>
      <c r="FK108" s="2658"/>
      <c r="FL108" s="2658"/>
      <c r="FM108" s="2658"/>
      <c r="FN108" s="2658"/>
      <c r="FO108" s="2658"/>
      <c r="FP108" s="2658"/>
      <c r="FQ108" s="2658"/>
      <c r="GE108" s="2676"/>
      <c r="GF108" s="2676"/>
      <c r="GG108" s="2676"/>
      <c r="GH108" s="2676"/>
      <c r="GI108" s="2676"/>
      <c r="GJ108" s="2676"/>
      <c r="GK108" s="2676"/>
      <c r="GL108" s="2676"/>
      <c r="GM108" s="2676"/>
      <c r="GN108" s="2676"/>
      <c r="GO108" s="2676"/>
      <c r="GP108" s="2676"/>
      <c r="GQ108" s="2678"/>
      <c r="GR108" s="2678"/>
      <c r="GS108" s="2678"/>
      <c r="GT108" s="2678"/>
      <c r="GU108" s="2678"/>
      <c r="GV108" s="2678"/>
      <c r="GW108" s="2678"/>
      <c r="GX108" s="2678"/>
      <c r="GY108" s="2678"/>
      <c r="GZ108" s="2678"/>
      <c r="HA108" s="2678"/>
      <c r="HB108" s="2676"/>
      <c r="HC108" s="2676"/>
      <c r="HD108" s="2676"/>
      <c r="HE108" s="2676"/>
      <c r="HF108" s="2677"/>
      <c r="HG108" s="2677"/>
      <c r="HH108" s="2677"/>
      <c r="HI108" s="2677"/>
      <c r="HJ108" s="2677"/>
      <c r="HK108" s="2677"/>
      <c r="HL108" s="2677"/>
      <c r="HM108" s="2677"/>
      <c r="HN108" s="2677"/>
      <c r="HO108" s="2677"/>
      <c r="HP108" s="2677"/>
      <c r="HQ108" s="2676"/>
      <c r="HR108" s="2676"/>
      <c r="HS108" s="2676"/>
      <c r="HT108" s="2676"/>
      <c r="HU108" s="2677"/>
      <c r="HV108" s="2677"/>
      <c r="HW108" s="2677"/>
      <c r="HX108" s="2677"/>
      <c r="HY108" s="2677"/>
      <c r="HZ108" s="2677"/>
      <c r="IA108" s="2677"/>
      <c r="IB108" s="2677"/>
      <c r="IC108" s="2677"/>
    </row>
    <row r="109" spans="8:237" ht="4.1500000000000004" customHeight="1">
      <c r="J109" s="516"/>
      <c r="O109" s="2682"/>
      <c r="P109" s="2682"/>
      <c r="Q109" s="2682"/>
      <c r="R109" s="2682"/>
      <c r="V109" s="516"/>
      <c r="X109" s="516"/>
      <c r="BC109" s="539"/>
      <c r="BD109" s="540"/>
      <c r="CI109" s="517"/>
      <c r="CJ109" s="663"/>
      <c r="CK109" s="1586"/>
      <c r="CL109" s="662"/>
      <c r="CM109" s="662"/>
      <c r="CN109" s="662"/>
      <c r="CO109" s="2684"/>
      <c r="CP109" s="2684"/>
      <c r="CQ109" s="2684"/>
      <c r="CR109" s="2684"/>
      <c r="CS109" s="662"/>
      <c r="CT109" s="662"/>
      <c r="CU109" s="662"/>
      <c r="CV109" s="2684"/>
      <c r="CW109" s="2684"/>
      <c r="CX109" s="2684"/>
      <c r="CY109" s="2684"/>
      <c r="DP109" s="495"/>
      <c r="DQ109" s="495"/>
      <c r="DR109" s="495"/>
      <c r="DS109" s="495"/>
      <c r="DT109" s="495"/>
      <c r="DU109" s="495"/>
      <c r="DV109" s="495"/>
      <c r="DW109" s="495"/>
      <c r="DX109" s="495"/>
      <c r="DY109" s="495"/>
      <c r="DZ109" s="495"/>
      <c r="EA109" s="495"/>
      <c r="EB109" s="2656">
        <f>FJ109+FJ111</f>
        <v>0.3</v>
      </c>
      <c r="EC109" s="2656"/>
      <c r="ED109" s="2656"/>
      <c r="EE109" s="2656"/>
      <c r="EF109" s="2656"/>
      <c r="EG109" s="2656"/>
      <c r="EH109" s="2656"/>
      <c r="EI109" s="2656"/>
      <c r="EJ109" s="2656"/>
      <c r="EK109" s="2656"/>
      <c r="EL109" s="2656"/>
      <c r="EM109" s="496"/>
      <c r="EN109" s="500"/>
      <c r="EO109" s="501"/>
      <c r="EP109" s="498"/>
      <c r="EQ109" s="498"/>
      <c r="ER109" s="498"/>
      <c r="ES109" s="498"/>
      <c r="ET109" s="498"/>
      <c r="EU109" s="498"/>
      <c r="EV109" s="498"/>
      <c r="EW109" s="498"/>
      <c r="EX109" s="498"/>
      <c r="EY109" s="498"/>
      <c r="EZ109" s="498"/>
      <c r="FA109" s="498"/>
      <c r="FB109" s="498"/>
      <c r="FC109" s="498"/>
      <c r="FD109" s="498"/>
      <c r="FE109" s="498"/>
      <c r="FF109" s="498"/>
      <c r="FG109" s="498"/>
      <c r="FH109" s="498"/>
      <c r="FI109" s="499"/>
      <c r="FJ109" s="2659">
        <v>0.15</v>
      </c>
      <c r="FK109" s="2660"/>
      <c r="FL109" s="2660"/>
      <c r="FM109" s="2660"/>
      <c r="FN109" s="2660"/>
      <c r="FO109" s="2660"/>
      <c r="FP109" s="2660"/>
      <c r="FQ109" s="2660"/>
      <c r="GE109" s="2676" t="s">
        <v>1951</v>
      </c>
      <c r="GF109" s="2676"/>
      <c r="GG109" s="2676"/>
      <c r="GH109" s="2676"/>
      <c r="GI109" s="2676"/>
      <c r="GJ109" s="2676"/>
      <c r="GK109" s="2676"/>
      <c r="GL109" s="2676"/>
      <c r="GM109" s="2676"/>
      <c r="GN109" s="2676"/>
      <c r="GO109" s="2676"/>
      <c r="GP109" s="2676"/>
      <c r="GQ109" s="2678"/>
      <c r="GR109" s="2678"/>
      <c r="GS109" s="2678"/>
      <c r="GT109" s="2678"/>
      <c r="GU109" s="2678"/>
      <c r="GV109" s="2678"/>
      <c r="GW109" s="2678"/>
      <c r="GX109" s="2678"/>
      <c r="GY109" s="2678"/>
      <c r="GZ109" s="2678"/>
      <c r="HA109" s="2678"/>
      <c r="HB109" s="2676" t="s">
        <v>901</v>
      </c>
      <c r="HC109" s="2676"/>
      <c r="HD109" s="2676"/>
      <c r="HE109" s="2676"/>
      <c r="HF109" s="2677"/>
      <c r="HG109" s="2677"/>
      <c r="HH109" s="2677"/>
      <c r="HI109" s="2677"/>
      <c r="HJ109" s="2677"/>
      <c r="HK109" s="2677"/>
      <c r="HL109" s="2677"/>
      <c r="HM109" s="2677"/>
      <c r="HN109" s="2677"/>
      <c r="HO109" s="2677"/>
      <c r="HP109" s="2677"/>
      <c r="HQ109" s="2676" t="s">
        <v>901</v>
      </c>
      <c r="HR109" s="2676"/>
      <c r="HS109" s="2676"/>
      <c r="HT109" s="2676"/>
      <c r="HU109" s="2677"/>
      <c r="HV109" s="2677"/>
      <c r="HW109" s="2677"/>
      <c r="HX109" s="2677"/>
      <c r="HY109" s="2677"/>
      <c r="HZ109" s="2677"/>
      <c r="IA109" s="2677"/>
      <c r="IB109" s="2677"/>
      <c r="IC109" s="2677"/>
    </row>
    <row r="110" spans="8:237" ht="4.1500000000000004" customHeight="1">
      <c r="J110" s="516"/>
      <c r="O110" s="2682"/>
      <c r="P110" s="2682"/>
      <c r="Q110" s="2682"/>
      <c r="R110" s="2682"/>
      <c r="V110" s="516"/>
      <c r="X110" s="516"/>
      <c r="BC110" s="539"/>
      <c r="BD110" s="540"/>
      <c r="CI110" s="517"/>
      <c r="CJ110" s="663"/>
      <c r="CK110" s="1586"/>
      <c r="CL110" s="662"/>
      <c r="CM110" s="662"/>
      <c r="CN110" s="662"/>
      <c r="CO110" s="2684"/>
      <c r="CP110" s="2684"/>
      <c r="CQ110" s="2684"/>
      <c r="CR110" s="2684"/>
      <c r="CS110" s="662"/>
      <c r="CT110" s="662"/>
      <c r="CU110" s="662"/>
      <c r="CV110" s="2684"/>
      <c r="CW110" s="2684"/>
      <c r="CX110" s="2684"/>
      <c r="CY110" s="2684"/>
      <c r="DP110" s="495"/>
      <c r="DQ110" s="495"/>
      <c r="DR110" s="495"/>
      <c r="DS110" s="495"/>
      <c r="DT110" s="495"/>
      <c r="DU110" s="495"/>
      <c r="DV110" s="495"/>
      <c r="DW110" s="495"/>
      <c r="DX110" s="495"/>
      <c r="DY110" s="495"/>
      <c r="DZ110" s="495"/>
      <c r="EA110" s="495"/>
      <c r="EB110" s="2657"/>
      <c r="EC110" s="2657"/>
      <c r="ED110" s="2657"/>
      <c r="EE110" s="2657"/>
      <c r="EF110" s="2657"/>
      <c r="EG110" s="2657"/>
      <c r="EH110" s="2657"/>
      <c r="EI110" s="2657"/>
      <c r="EJ110" s="2657"/>
      <c r="EK110" s="2657"/>
      <c r="EL110" s="2657"/>
      <c r="EM110" s="496"/>
      <c r="EN110" s="500"/>
      <c r="EO110" s="505"/>
      <c r="EP110" s="503"/>
      <c r="EQ110" s="503"/>
      <c r="ER110" s="503"/>
      <c r="ES110" s="503"/>
      <c r="ET110" s="503"/>
      <c r="EU110" s="503"/>
      <c r="EV110" s="503"/>
      <c r="EW110" s="503"/>
      <c r="EX110" s="503"/>
      <c r="EY110" s="503"/>
      <c r="EZ110" s="503"/>
      <c r="FA110" s="503"/>
      <c r="FB110" s="503"/>
      <c r="FC110" s="503"/>
      <c r="FD110" s="503"/>
      <c r="FE110" s="503"/>
      <c r="FF110" s="503"/>
      <c r="FG110" s="503"/>
      <c r="FH110" s="503"/>
      <c r="FI110" s="504"/>
      <c r="FJ110" s="2661"/>
      <c r="FK110" s="2662"/>
      <c r="FL110" s="2662"/>
      <c r="FM110" s="2662"/>
      <c r="FN110" s="2662"/>
      <c r="FO110" s="2662"/>
      <c r="FP110" s="2662"/>
      <c r="FQ110" s="2662"/>
      <c r="GE110" s="2676"/>
      <c r="GF110" s="2676"/>
      <c r="GG110" s="2676"/>
      <c r="GH110" s="2676"/>
      <c r="GI110" s="2676"/>
      <c r="GJ110" s="2676"/>
      <c r="GK110" s="2676"/>
      <c r="GL110" s="2676"/>
      <c r="GM110" s="2676"/>
      <c r="GN110" s="2676"/>
      <c r="GO110" s="2676"/>
      <c r="GP110" s="2676"/>
      <c r="GQ110" s="2678"/>
      <c r="GR110" s="2678"/>
      <c r="GS110" s="2678"/>
      <c r="GT110" s="2678"/>
      <c r="GU110" s="2678"/>
      <c r="GV110" s="2678"/>
      <c r="GW110" s="2678"/>
      <c r="GX110" s="2678"/>
      <c r="GY110" s="2678"/>
      <c r="GZ110" s="2678"/>
      <c r="HA110" s="2678"/>
      <c r="HB110" s="2676"/>
      <c r="HC110" s="2676"/>
      <c r="HD110" s="2676"/>
      <c r="HE110" s="2676"/>
      <c r="HF110" s="2677"/>
      <c r="HG110" s="2677"/>
      <c r="HH110" s="2677"/>
      <c r="HI110" s="2677"/>
      <c r="HJ110" s="2677"/>
      <c r="HK110" s="2677"/>
      <c r="HL110" s="2677"/>
      <c r="HM110" s="2677"/>
      <c r="HN110" s="2677"/>
      <c r="HO110" s="2677"/>
      <c r="HP110" s="2677"/>
      <c r="HQ110" s="2676"/>
      <c r="HR110" s="2676"/>
      <c r="HS110" s="2676"/>
      <c r="HT110" s="2676"/>
      <c r="HU110" s="2677"/>
      <c r="HV110" s="2677"/>
      <c r="HW110" s="2677"/>
      <c r="HX110" s="2677"/>
      <c r="HY110" s="2677"/>
      <c r="HZ110" s="2677"/>
      <c r="IA110" s="2677"/>
      <c r="IB110" s="2677"/>
      <c r="IC110" s="2677"/>
    </row>
    <row r="111" spans="8:237" ht="4.1500000000000004" customHeight="1">
      <c r="J111" s="516"/>
      <c r="O111" s="2682"/>
      <c r="P111" s="2682"/>
      <c r="Q111" s="2682"/>
      <c r="R111" s="2682"/>
      <c r="V111" s="516"/>
      <c r="X111" s="516"/>
      <c r="BC111" s="539"/>
      <c r="BD111" s="540"/>
      <c r="CI111" s="517"/>
      <c r="CJ111" s="663"/>
      <c r="CK111" s="1586"/>
      <c r="CL111" s="662"/>
      <c r="CM111" s="662"/>
      <c r="CN111" s="662"/>
      <c r="CO111" s="2684"/>
      <c r="CP111" s="2684"/>
      <c r="CQ111" s="2684"/>
      <c r="CR111" s="2684"/>
      <c r="CS111" s="662"/>
      <c r="CT111" s="662"/>
      <c r="CU111" s="662"/>
      <c r="CV111" s="2684"/>
      <c r="CW111" s="2684"/>
      <c r="CX111" s="2684"/>
      <c r="CY111" s="2684"/>
      <c r="DP111" s="495"/>
      <c r="DQ111" s="495"/>
      <c r="DR111" s="495"/>
      <c r="DS111" s="495"/>
      <c r="DT111" s="495"/>
      <c r="DU111" s="495"/>
      <c r="DV111" s="495"/>
      <c r="DW111" s="495"/>
      <c r="DX111" s="495"/>
      <c r="DY111" s="495"/>
      <c r="DZ111" s="495"/>
      <c r="EA111" s="495"/>
      <c r="EB111" s="2657"/>
      <c r="EC111" s="2657"/>
      <c r="ED111" s="2657"/>
      <c r="EE111" s="2657"/>
      <c r="EF111" s="2657"/>
      <c r="EG111" s="2657"/>
      <c r="EH111" s="2657"/>
      <c r="EI111" s="2657"/>
      <c r="EJ111" s="2657"/>
      <c r="EK111" s="2657"/>
      <c r="EL111" s="2657"/>
      <c r="EM111" s="496"/>
      <c r="EN111" s="500"/>
      <c r="EO111" s="501"/>
      <c r="EP111" s="498"/>
      <c r="EQ111" s="498"/>
      <c r="ER111" s="498"/>
      <c r="ES111" s="498"/>
      <c r="ET111" s="498"/>
      <c r="EU111" s="498"/>
      <c r="EV111" s="498"/>
      <c r="EW111" s="498"/>
      <c r="EX111" s="498"/>
      <c r="EY111" s="498"/>
      <c r="EZ111" s="498"/>
      <c r="FA111" s="498"/>
      <c r="FB111" s="498"/>
      <c r="FC111" s="498"/>
      <c r="FD111" s="498"/>
      <c r="FE111" s="498"/>
      <c r="FF111" s="498"/>
      <c r="FG111" s="498"/>
      <c r="FH111" s="498"/>
      <c r="FI111" s="499"/>
      <c r="FJ111" s="2659">
        <f>FJ109</f>
        <v>0.15</v>
      </c>
      <c r="FK111" s="2660"/>
      <c r="FL111" s="2660"/>
      <c r="FM111" s="2660"/>
      <c r="FN111" s="2660"/>
      <c r="FO111" s="2660"/>
      <c r="FP111" s="2660"/>
      <c r="FQ111" s="2660"/>
      <c r="GE111" s="2676"/>
      <c r="GF111" s="2676"/>
      <c r="GG111" s="2676"/>
      <c r="GH111" s="2676"/>
      <c r="GI111" s="2676"/>
      <c r="GJ111" s="2676"/>
      <c r="GK111" s="2676"/>
      <c r="GL111" s="2676"/>
      <c r="GM111" s="2676"/>
      <c r="GN111" s="2676"/>
      <c r="GO111" s="2676"/>
      <c r="GP111" s="2676"/>
      <c r="GQ111" s="2678"/>
      <c r="GR111" s="2678"/>
      <c r="GS111" s="2678"/>
      <c r="GT111" s="2678"/>
      <c r="GU111" s="2678"/>
      <c r="GV111" s="2678"/>
      <c r="GW111" s="2678"/>
      <c r="GX111" s="2678"/>
      <c r="GY111" s="2678"/>
      <c r="GZ111" s="2678"/>
      <c r="HA111" s="2678"/>
      <c r="HB111" s="2676"/>
      <c r="HC111" s="2676"/>
      <c r="HD111" s="2676"/>
      <c r="HE111" s="2676"/>
      <c r="HF111" s="2677"/>
      <c r="HG111" s="2677"/>
      <c r="HH111" s="2677"/>
      <c r="HI111" s="2677"/>
      <c r="HJ111" s="2677"/>
      <c r="HK111" s="2677"/>
      <c r="HL111" s="2677"/>
      <c r="HM111" s="2677"/>
      <c r="HN111" s="2677"/>
      <c r="HO111" s="2677"/>
      <c r="HP111" s="2677"/>
      <c r="HQ111" s="2676"/>
      <c r="HR111" s="2676"/>
      <c r="HS111" s="2676"/>
      <c r="HT111" s="2676"/>
      <c r="HU111" s="2677"/>
      <c r="HV111" s="2677"/>
      <c r="HW111" s="2677"/>
      <c r="HX111" s="2677"/>
      <c r="HY111" s="2677"/>
      <c r="HZ111" s="2677"/>
      <c r="IA111" s="2677"/>
      <c r="IB111" s="2677"/>
      <c r="IC111" s="2677"/>
    </row>
    <row r="112" spans="8:237" ht="4.1500000000000004" customHeight="1">
      <c r="J112" s="516"/>
      <c r="O112" s="2682"/>
      <c r="P112" s="2682"/>
      <c r="Q112" s="2682"/>
      <c r="R112" s="2682"/>
      <c r="V112" s="516"/>
      <c r="X112" s="516"/>
      <c r="BC112" s="539"/>
      <c r="BD112" s="540"/>
      <c r="CI112" s="517"/>
      <c r="CJ112" s="663"/>
      <c r="CK112" s="1586"/>
      <c r="CL112" s="662"/>
      <c r="CM112" s="662"/>
      <c r="CN112" s="662"/>
      <c r="CO112" s="2684"/>
      <c r="CP112" s="2684"/>
      <c r="CQ112" s="2684"/>
      <c r="CR112" s="2684"/>
      <c r="CS112" s="662"/>
      <c r="CT112" s="662"/>
      <c r="CU112" s="662"/>
      <c r="CV112" s="2684"/>
      <c r="CW112" s="2684"/>
      <c r="CX112" s="2684"/>
      <c r="CY112" s="2684"/>
      <c r="DP112" s="495"/>
      <c r="DQ112" s="495"/>
      <c r="DR112" s="495"/>
      <c r="DS112" s="495"/>
      <c r="DT112" s="495"/>
      <c r="DU112" s="495"/>
      <c r="DV112" s="495"/>
      <c r="DW112" s="495"/>
      <c r="DX112" s="495"/>
      <c r="DY112" s="495"/>
      <c r="DZ112" s="495"/>
      <c r="EA112" s="495"/>
      <c r="EB112" s="2658"/>
      <c r="EC112" s="2658"/>
      <c r="ED112" s="2658"/>
      <c r="EE112" s="2658"/>
      <c r="EF112" s="2658"/>
      <c r="EG112" s="2658"/>
      <c r="EH112" s="2658"/>
      <c r="EI112" s="2658"/>
      <c r="EJ112" s="2658"/>
      <c r="EK112" s="2658"/>
      <c r="EL112" s="2658"/>
      <c r="EM112" s="496"/>
      <c r="EN112" s="500"/>
      <c r="EO112" s="505"/>
      <c r="EP112" s="503"/>
      <c r="EQ112" s="503"/>
      <c r="ER112" s="503"/>
      <c r="ES112" s="503"/>
      <c r="ET112" s="503"/>
      <c r="EU112" s="503"/>
      <c r="EV112" s="503"/>
      <c r="EW112" s="503"/>
      <c r="EX112" s="503"/>
      <c r="EY112" s="503"/>
      <c r="EZ112" s="503"/>
      <c r="FA112" s="503"/>
      <c r="FB112" s="503"/>
      <c r="FC112" s="503"/>
      <c r="FD112" s="503"/>
      <c r="FE112" s="503"/>
      <c r="FF112" s="503"/>
      <c r="FG112" s="503"/>
      <c r="FH112" s="503"/>
      <c r="FI112" s="504"/>
      <c r="FJ112" s="2661"/>
      <c r="FK112" s="2662"/>
      <c r="FL112" s="2662"/>
      <c r="FM112" s="2662"/>
      <c r="FN112" s="2662"/>
      <c r="FO112" s="2662"/>
      <c r="FP112" s="2662"/>
      <c r="FQ112" s="2662"/>
      <c r="GE112" s="2676" t="s">
        <v>1952</v>
      </c>
      <c r="GF112" s="2676"/>
      <c r="GG112" s="2676"/>
      <c r="GH112" s="2676"/>
      <c r="GI112" s="2676"/>
      <c r="GJ112" s="2676"/>
      <c r="GK112" s="2676"/>
      <c r="GL112" s="2676"/>
      <c r="GM112" s="2676"/>
      <c r="GN112" s="2676"/>
      <c r="GO112" s="2676"/>
      <c r="GP112" s="2676"/>
      <c r="GQ112" s="2678">
        <v>6</v>
      </c>
      <c r="GR112" s="2678"/>
      <c r="GS112" s="2678"/>
      <c r="GT112" s="2678"/>
      <c r="GU112" s="2678"/>
      <c r="GV112" s="2678"/>
      <c r="GW112" s="2678"/>
      <c r="GX112" s="2678"/>
      <c r="GY112" s="2678"/>
      <c r="GZ112" s="2678"/>
      <c r="HA112" s="2678"/>
      <c r="HB112" s="2676" t="s">
        <v>901</v>
      </c>
      <c r="HC112" s="2676"/>
      <c r="HD112" s="2676"/>
      <c r="HE112" s="2676"/>
      <c r="HF112" s="2677">
        <v>1.2</v>
      </c>
      <c r="HG112" s="2677"/>
      <c r="HH112" s="2677"/>
      <c r="HI112" s="2677"/>
      <c r="HJ112" s="2677"/>
      <c r="HK112" s="2677"/>
      <c r="HL112" s="2677"/>
      <c r="HM112" s="2677"/>
      <c r="HN112" s="2677"/>
      <c r="HO112" s="2677"/>
      <c r="HP112" s="2677"/>
      <c r="HQ112" s="2676" t="s">
        <v>901</v>
      </c>
      <c r="HR112" s="2676"/>
      <c r="HS112" s="2676"/>
      <c r="HT112" s="2676"/>
      <c r="HU112" s="2677">
        <v>1.35</v>
      </c>
      <c r="HV112" s="2677"/>
      <c r="HW112" s="2677"/>
      <c r="HX112" s="2677"/>
      <c r="HY112" s="2677"/>
      <c r="HZ112" s="2677"/>
      <c r="IA112" s="2677"/>
      <c r="IB112" s="2677"/>
      <c r="IC112" s="2677"/>
    </row>
    <row r="113" spans="8:237" ht="4.1500000000000004" customHeight="1">
      <c r="J113" s="516"/>
      <c r="O113" s="2682"/>
      <c r="P113" s="2682"/>
      <c r="Q113" s="2682"/>
      <c r="R113" s="2682"/>
      <c r="V113" s="516"/>
      <c r="X113" s="516"/>
      <c r="BC113" s="539"/>
      <c r="BD113" s="540"/>
      <c r="CI113" s="517"/>
      <c r="CJ113" s="663"/>
      <c r="CK113" s="1586"/>
      <c r="CL113" s="662"/>
      <c r="CM113" s="662"/>
      <c r="CN113" s="662"/>
      <c r="CO113" s="2684"/>
      <c r="CP113" s="2684"/>
      <c r="CQ113" s="2684"/>
      <c r="CR113" s="2684"/>
      <c r="CS113" s="662"/>
      <c r="CT113" s="662"/>
      <c r="CU113" s="662"/>
      <c r="CV113" s="2684"/>
      <c r="CW113" s="2684"/>
      <c r="CX113" s="2684"/>
      <c r="CY113" s="2684"/>
      <c r="DP113" s="495"/>
      <c r="DQ113" s="495"/>
      <c r="DR113" s="495"/>
      <c r="DS113" s="495"/>
      <c r="DT113" s="495"/>
      <c r="DU113" s="495"/>
      <c r="DV113" s="495"/>
      <c r="DW113" s="495"/>
      <c r="DX113" s="495"/>
      <c r="DY113" s="495"/>
      <c r="DZ113" s="495"/>
      <c r="EA113" s="495"/>
      <c r="EB113" s="495"/>
      <c r="EC113" s="495"/>
      <c r="ED113" s="495"/>
      <c r="EE113" s="495"/>
      <c r="EF113" s="495"/>
      <c r="EG113" s="496"/>
      <c r="EH113" s="496"/>
      <c r="EI113" s="496"/>
      <c r="EJ113" s="496"/>
      <c r="EK113" s="496"/>
      <c r="EL113" s="496"/>
      <c r="EM113" s="496"/>
      <c r="EN113" s="496"/>
      <c r="EO113" s="496"/>
      <c r="EP113" s="496"/>
      <c r="EQ113" s="496"/>
      <c r="ER113" s="496"/>
      <c r="ES113" s="496"/>
      <c r="ET113" s="496"/>
      <c r="EU113" s="496"/>
      <c r="EV113" s="496"/>
      <c r="EW113" s="496"/>
      <c r="EX113" s="496"/>
      <c r="EY113" s="496"/>
      <c r="EZ113" s="496"/>
      <c r="FA113" s="496"/>
      <c r="FB113" s="496"/>
      <c r="FC113" s="496"/>
      <c r="FD113" s="496"/>
      <c r="FE113" s="496"/>
      <c r="FF113" s="496"/>
      <c r="FG113" s="496"/>
      <c r="FH113" s="496"/>
      <c r="FI113" s="496"/>
      <c r="FJ113" s="496"/>
      <c r="FK113" s="496"/>
      <c r="FL113" s="496"/>
      <c r="FM113" s="496"/>
      <c r="FN113" s="496"/>
      <c r="FO113" s="496"/>
      <c r="FP113" s="496"/>
      <c r="FQ113" s="496"/>
      <c r="GE113" s="2676"/>
      <c r="GF113" s="2676"/>
      <c r="GG113" s="2676"/>
      <c r="GH113" s="2676"/>
      <c r="GI113" s="2676"/>
      <c r="GJ113" s="2676"/>
      <c r="GK113" s="2676"/>
      <c r="GL113" s="2676"/>
      <c r="GM113" s="2676"/>
      <c r="GN113" s="2676"/>
      <c r="GO113" s="2676"/>
      <c r="GP113" s="2676"/>
      <c r="GQ113" s="2678"/>
      <c r="GR113" s="2678"/>
      <c r="GS113" s="2678"/>
      <c r="GT113" s="2678"/>
      <c r="GU113" s="2678"/>
      <c r="GV113" s="2678"/>
      <c r="GW113" s="2678"/>
      <c r="GX113" s="2678"/>
      <c r="GY113" s="2678"/>
      <c r="GZ113" s="2678"/>
      <c r="HA113" s="2678"/>
      <c r="HB113" s="2676"/>
      <c r="HC113" s="2676"/>
      <c r="HD113" s="2676"/>
      <c r="HE113" s="2676"/>
      <c r="HF113" s="2677"/>
      <c r="HG113" s="2677"/>
      <c r="HH113" s="2677"/>
      <c r="HI113" s="2677"/>
      <c r="HJ113" s="2677"/>
      <c r="HK113" s="2677"/>
      <c r="HL113" s="2677"/>
      <c r="HM113" s="2677"/>
      <c r="HN113" s="2677"/>
      <c r="HO113" s="2677"/>
      <c r="HP113" s="2677"/>
      <c r="HQ113" s="2676"/>
      <c r="HR113" s="2676"/>
      <c r="HS113" s="2676"/>
      <c r="HT113" s="2676"/>
      <c r="HU113" s="2677"/>
      <c r="HV113" s="2677"/>
      <c r="HW113" s="2677"/>
      <c r="HX113" s="2677"/>
      <c r="HY113" s="2677"/>
      <c r="HZ113" s="2677"/>
      <c r="IA113" s="2677"/>
      <c r="IB113" s="2677"/>
      <c r="IC113" s="2677"/>
    </row>
    <row r="114" spans="8:237" ht="4.1500000000000004" customHeight="1">
      <c r="J114" s="516"/>
      <c r="O114" s="2682"/>
      <c r="P114" s="2682"/>
      <c r="Q114" s="2682"/>
      <c r="R114" s="2682"/>
      <c r="V114" s="516"/>
      <c r="X114" s="516"/>
      <c r="BC114" s="539"/>
      <c r="BD114" s="540"/>
      <c r="CI114" s="517"/>
      <c r="CJ114" s="663"/>
      <c r="CK114" s="1586"/>
      <c r="CL114" s="662"/>
      <c r="CM114" s="662"/>
      <c r="CN114" s="662"/>
      <c r="CO114" s="2684"/>
      <c r="CP114" s="2684"/>
      <c r="CQ114" s="2684"/>
      <c r="CR114" s="2684"/>
      <c r="CS114" s="662"/>
      <c r="CT114" s="662"/>
      <c r="CU114" s="662"/>
      <c r="CV114" s="2684"/>
      <c r="CW114" s="2684"/>
      <c r="CX114" s="2684"/>
      <c r="CY114" s="2684"/>
      <c r="DP114" s="495"/>
      <c r="DQ114" s="495"/>
      <c r="DR114" s="495"/>
      <c r="DS114" s="495"/>
      <c r="DT114" s="495"/>
      <c r="DU114" s="495"/>
      <c r="DV114" s="495"/>
      <c r="DW114" s="495"/>
      <c r="DX114" s="495"/>
      <c r="DY114" s="495"/>
      <c r="DZ114" s="495"/>
      <c r="EA114" s="495"/>
      <c r="EB114" s="495"/>
      <c r="EC114" s="495"/>
      <c r="ED114" s="495"/>
      <c r="EE114" s="495"/>
      <c r="EF114" s="495"/>
      <c r="EG114" s="496"/>
      <c r="EH114" s="496"/>
      <c r="EI114" s="496"/>
      <c r="EJ114" s="496"/>
      <c r="EK114" s="496"/>
      <c r="EL114" s="496"/>
      <c r="EM114" s="496"/>
      <c r="EN114" s="496"/>
      <c r="EO114" s="496"/>
      <c r="EP114" s="496"/>
      <c r="EQ114" s="496"/>
      <c r="ER114" s="496"/>
      <c r="ES114" s="496"/>
      <c r="ET114" s="496"/>
      <c r="EU114" s="496"/>
      <c r="EV114" s="496"/>
      <c r="EW114" s="496"/>
      <c r="EX114" s="496"/>
      <c r="EY114" s="496"/>
      <c r="EZ114" s="496"/>
      <c r="FA114" s="496"/>
      <c r="FB114" s="496"/>
      <c r="FC114" s="496"/>
      <c r="FD114" s="496"/>
      <c r="FE114" s="496"/>
      <c r="FF114" s="496"/>
      <c r="FG114" s="496"/>
      <c r="FH114" s="496"/>
      <c r="FI114" s="496"/>
      <c r="FJ114" s="496"/>
      <c r="FK114" s="496"/>
      <c r="FL114" s="496"/>
      <c r="FM114" s="496"/>
      <c r="FN114" s="496"/>
      <c r="FO114" s="496"/>
      <c r="FP114" s="496"/>
      <c r="FQ114" s="496"/>
      <c r="GE114" s="2676"/>
      <c r="GF114" s="2676"/>
      <c r="GG114" s="2676"/>
      <c r="GH114" s="2676"/>
      <c r="GI114" s="2676"/>
      <c r="GJ114" s="2676"/>
      <c r="GK114" s="2676"/>
      <c r="GL114" s="2676"/>
      <c r="GM114" s="2676"/>
      <c r="GN114" s="2676"/>
      <c r="GO114" s="2676"/>
      <c r="GP114" s="2676"/>
      <c r="GQ114" s="2678"/>
      <c r="GR114" s="2678"/>
      <c r="GS114" s="2678"/>
      <c r="GT114" s="2678"/>
      <c r="GU114" s="2678"/>
      <c r="GV114" s="2678"/>
      <c r="GW114" s="2678"/>
      <c r="GX114" s="2678"/>
      <c r="GY114" s="2678"/>
      <c r="GZ114" s="2678"/>
      <c r="HA114" s="2678"/>
      <c r="HB114" s="2676"/>
      <c r="HC114" s="2676"/>
      <c r="HD114" s="2676"/>
      <c r="HE114" s="2676"/>
      <c r="HF114" s="2677"/>
      <c r="HG114" s="2677"/>
      <c r="HH114" s="2677"/>
      <c r="HI114" s="2677"/>
      <c r="HJ114" s="2677"/>
      <c r="HK114" s="2677"/>
      <c r="HL114" s="2677"/>
      <c r="HM114" s="2677"/>
      <c r="HN114" s="2677"/>
      <c r="HO114" s="2677"/>
      <c r="HP114" s="2677"/>
      <c r="HQ114" s="2676"/>
      <c r="HR114" s="2676"/>
      <c r="HS114" s="2676"/>
      <c r="HT114" s="2676"/>
      <c r="HU114" s="2677"/>
      <c r="HV114" s="2677"/>
      <c r="HW114" s="2677"/>
      <c r="HX114" s="2677"/>
      <c r="HY114" s="2677"/>
      <c r="HZ114" s="2677"/>
      <c r="IA114" s="2677"/>
      <c r="IB114" s="2677"/>
      <c r="IC114" s="2677"/>
    </row>
    <row r="115" spans="8:237" ht="4.1500000000000004" customHeight="1">
      <c r="J115" s="516"/>
      <c r="O115" s="2682"/>
      <c r="P115" s="2682"/>
      <c r="Q115" s="2682"/>
      <c r="R115" s="2682"/>
      <c r="V115" s="516"/>
      <c r="X115" s="516"/>
      <c r="BC115" s="539"/>
      <c r="BD115" s="540"/>
      <c r="CI115" s="517"/>
      <c r="CJ115" s="663"/>
      <c r="CK115" s="1586"/>
      <c r="CL115" s="662"/>
      <c r="CM115" s="662"/>
      <c r="CN115" s="662"/>
      <c r="CO115" s="2684"/>
      <c r="CP115" s="2684"/>
      <c r="CQ115" s="2684"/>
      <c r="CR115" s="2684"/>
      <c r="CS115" s="662"/>
      <c r="CT115" s="662"/>
      <c r="CU115" s="662"/>
      <c r="CV115" s="2684"/>
      <c r="CW115" s="2684"/>
      <c r="CX115" s="2684"/>
      <c r="CY115" s="2684"/>
      <c r="DP115" s="506"/>
      <c r="DQ115" s="506"/>
      <c r="DR115" s="506"/>
      <c r="DS115" s="506"/>
      <c r="DT115" s="506"/>
      <c r="DU115" s="495"/>
      <c r="DV115" s="495"/>
      <c r="DW115" s="495"/>
      <c r="DX115" s="495"/>
      <c r="DY115" s="507"/>
      <c r="DZ115" s="507"/>
      <c r="EA115" s="507"/>
      <c r="EB115" s="507"/>
      <c r="EC115" s="507"/>
      <c r="ED115" s="507"/>
      <c r="EE115" s="507"/>
      <c r="EF115" s="507"/>
      <c r="EG115" s="507"/>
      <c r="EH115" s="507"/>
      <c r="EI115" s="507"/>
      <c r="EJ115" s="495"/>
      <c r="EK115" s="495"/>
      <c r="EL115" s="495"/>
      <c r="EM115" s="495"/>
      <c r="EN115" s="507"/>
      <c r="EO115" s="2663">
        <f>SUM(EO96:FI98)</f>
        <v>0.89999999999999991</v>
      </c>
      <c r="EP115" s="2664"/>
      <c r="EQ115" s="2664"/>
      <c r="ER115" s="2664"/>
      <c r="ES115" s="2664"/>
      <c r="ET115" s="2664"/>
      <c r="EU115" s="2664"/>
      <c r="EV115" s="2664"/>
      <c r="EW115" s="2664"/>
      <c r="EX115" s="2664"/>
      <c r="EY115" s="2664"/>
      <c r="EZ115" s="2664"/>
      <c r="FA115" s="2664"/>
      <c r="FB115" s="2664"/>
      <c r="FC115" s="2664"/>
      <c r="FD115" s="2664"/>
      <c r="FE115" s="2664"/>
      <c r="FF115" s="2664"/>
      <c r="FG115" s="2664"/>
      <c r="FH115" s="2664"/>
      <c r="FI115" s="2665"/>
      <c r="FJ115" s="495"/>
      <c r="FK115" s="495"/>
      <c r="FL115" s="495"/>
      <c r="FM115" s="495"/>
      <c r="FN115" s="495"/>
      <c r="FO115" s="495"/>
      <c r="FP115" s="495"/>
      <c r="FQ115" s="495"/>
      <c r="GE115" s="2676" t="s">
        <v>1953</v>
      </c>
      <c r="GF115" s="2676"/>
      <c r="GG115" s="2676"/>
      <c r="GH115" s="2676"/>
      <c r="GI115" s="2676"/>
      <c r="GJ115" s="2676"/>
      <c r="GK115" s="2676"/>
      <c r="GL115" s="2676"/>
      <c r="GM115" s="2676"/>
      <c r="GN115" s="2676"/>
      <c r="GO115" s="2676"/>
      <c r="GP115" s="2676"/>
      <c r="GQ115" s="2678"/>
      <c r="GR115" s="2678"/>
      <c r="GS115" s="2678"/>
      <c r="GT115" s="2678"/>
      <c r="GU115" s="2678"/>
      <c r="GV115" s="2678"/>
      <c r="GW115" s="2678"/>
      <c r="GX115" s="2678"/>
      <c r="GY115" s="2678"/>
      <c r="GZ115" s="2678"/>
      <c r="HA115" s="2678"/>
      <c r="HB115" s="2676" t="s">
        <v>901</v>
      </c>
      <c r="HC115" s="2676"/>
      <c r="HD115" s="2676"/>
      <c r="HE115" s="2676"/>
      <c r="HF115" s="2677"/>
      <c r="HG115" s="2677"/>
      <c r="HH115" s="2677"/>
      <c r="HI115" s="2677"/>
      <c r="HJ115" s="2677"/>
      <c r="HK115" s="2677"/>
      <c r="HL115" s="2677"/>
      <c r="HM115" s="2677"/>
      <c r="HN115" s="2677"/>
      <c r="HO115" s="2677"/>
      <c r="HP115" s="2677"/>
      <c r="HQ115" s="2676" t="s">
        <v>901</v>
      </c>
      <c r="HR115" s="2676"/>
      <c r="HS115" s="2676"/>
      <c r="HT115" s="2676"/>
      <c r="HU115" s="2677"/>
      <c r="HV115" s="2677"/>
      <c r="HW115" s="2677"/>
      <c r="HX115" s="2677"/>
      <c r="HY115" s="2677"/>
      <c r="HZ115" s="2677"/>
      <c r="IA115" s="2677"/>
      <c r="IB115" s="2677"/>
      <c r="IC115" s="2677"/>
    </row>
    <row r="116" spans="8:237" ht="4.1500000000000004" customHeight="1">
      <c r="J116" s="516"/>
      <c r="O116" s="2682"/>
      <c r="P116" s="2682"/>
      <c r="Q116" s="2682"/>
      <c r="R116" s="2682"/>
      <c r="V116" s="516"/>
      <c r="X116" s="516"/>
      <c r="BC116" s="539"/>
      <c r="BD116" s="540"/>
      <c r="CI116" s="517"/>
      <c r="CJ116" s="663"/>
      <c r="CK116" s="1586"/>
      <c r="CL116" s="662"/>
      <c r="CM116" s="662"/>
      <c r="CN116" s="662"/>
      <c r="CO116" s="2684"/>
      <c r="CP116" s="2684"/>
      <c r="CQ116" s="2684"/>
      <c r="CR116" s="2684"/>
      <c r="CS116" s="662"/>
      <c r="CT116" s="662"/>
      <c r="CU116" s="662"/>
      <c r="CV116" s="662"/>
      <c r="CW116" s="662"/>
      <c r="CX116" s="663"/>
      <c r="CY116" s="662"/>
      <c r="DP116" s="506"/>
      <c r="DQ116" s="506"/>
      <c r="DR116" s="506"/>
      <c r="DS116" s="506"/>
      <c r="DT116" s="506"/>
      <c r="DU116" s="495"/>
      <c r="DV116" s="495"/>
      <c r="DW116" s="495"/>
      <c r="DX116" s="495"/>
      <c r="DY116" s="507"/>
      <c r="DZ116" s="507"/>
      <c r="EA116" s="507"/>
      <c r="EB116" s="507"/>
      <c r="EC116" s="507"/>
      <c r="ED116" s="507"/>
      <c r="EE116" s="507"/>
      <c r="EF116" s="507"/>
      <c r="EG116" s="507"/>
      <c r="EH116" s="507"/>
      <c r="EI116" s="507"/>
      <c r="EJ116" s="495"/>
      <c r="EK116" s="495"/>
      <c r="EL116" s="495"/>
      <c r="EM116" s="495"/>
      <c r="EN116" s="507"/>
      <c r="EO116" s="2663"/>
      <c r="EP116" s="2664"/>
      <c r="EQ116" s="2664"/>
      <c r="ER116" s="2664"/>
      <c r="ES116" s="2664"/>
      <c r="ET116" s="2664"/>
      <c r="EU116" s="2664"/>
      <c r="EV116" s="2664"/>
      <c r="EW116" s="2664"/>
      <c r="EX116" s="2664"/>
      <c r="EY116" s="2664"/>
      <c r="EZ116" s="2664"/>
      <c r="FA116" s="2664"/>
      <c r="FB116" s="2664"/>
      <c r="FC116" s="2664"/>
      <c r="FD116" s="2664"/>
      <c r="FE116" s="2664"/>
      <c r="FF116" s="2664"/>
      <c r="FG116" s="2664"/>
      <c r="FH116" s="2664"/>
      <c r="FI116" s="2665"/>
      <c r="FJ116" s="495"/>
      <c r="FK116" s="495"/>
      <c r="FL116" s="495"/>
      <c r="FM116" s="495"/>
      <c r="FN116" s="495"/>
      <c r="FO116" s="495"/>
      <c r="FP116" s="495"/>
      <c r="FQ116" s="495"/>
      <c r="GE116" s="2676"/>
      <c r="GF116" s="2676"/>
      <c r="GG116" s="2676"/>
      <c r="GH116" s="2676"/>
      <c r="GI116" s="2676"/>
      <c r="GJ116" s="2676"/>
      <c r="GK116" s="2676"/>
      <c r="GL116" s="2676"/>
      <c r="GM116" s="2676"/>
      <c r="GN116" s="2676"/>
      <c r="GO116" s="2676"/>
      <c r="GP116" s="2676"/>
      <c r="GQ116" s="2678"/>
      <c r="GR116" s="2678"/>
      <c r="GS116" s="2678"/>
      <c r="GT116" s="2678"/>
      <c r="GU116" s="2678"/>
      <c r="GV116" s="2678"/>
      <c r="GW116" s="2678"/>
      <c r="GX116" s="2678"/>
      <c r="GY116" s="2678"/>
      <c r="GZ116" s="2678"/>
      <c r="HA116" s="2678"/>
      <c r="HB116" s="2676"/>
      <c r="HC116" s="2676"/>
      <c r="HD116" s="2676"/>
      <c r="HE116" s="2676"/>
      <c r="HF116" s="2677"/>
      <c r="HG116" s="2677"/>
      <c r="HH116" s="2677"/>
      <c r="HI116" s="2677"/>
      <c r="HJ116" s="2677"/>
      <c r="HK116" s="2677"/>
      <c r="HL116" s="2677"/>
      <c r="HM116" s="2677"/>
      <c r="HN116" s="2677"/>
      <c r="HO116" s="2677"/>
      <c r="HP116" s="2677"/>
      <c r="HQ116" s="2676"/>
      <c r="HR116" s="2676"/>
      <c r="HS116" s="2676"/>
      <c r="HT116" s="2676"/>
      <c r="HU116" s="2677"/>
      <c r="HV116" s="2677"/>
      <c r="HW116" s="2677"/>
      <c r="HX116" s="2677"/>
      <c r="HY116" s="2677"/>
      <c r="HZ116" s="2677"/>
      <c r="IA116" s="2677"/>
      <c r="IB116" s="2677"/>
      <c r="IC116" s="2677"/>
    </row>
    <row r="117" spans="8:237" ht="4.1500000000000004" customHeight="1">
      <c r="J117" s="516"/>
      <c r="Q117" s="516"/>
      <c r="V117" s="516"/>
      <c r="X117" s="516"/>
      <c r="BC117" s="539"/>
      <c r="BD117" s="540"/>
      <c r="CI117" s="517"/>
      <c r="CJ117" s="666"/>
      <c r="CK117" s="1587"/>
      <c r="CL117" s="662"/>
      <c r="CM117" s="662"/>
      <c r="CN117" s="662"/>
      <c r="CO117" s="2684"/>
      <c r="CP117" s="2684"/>
      <c r="CQ117" s="2684"/>
      <c r="CR117" s="2684"/>
      <c r="CS117" s="662"/>
      <c r="CT117" s="662"/>
      <c r="CU117" s="662"/>
      <c r="CV117" s="662"/>
      <c r="CW117" s="662"/>
      <c r="CX117" s="663"/>
      <c r="CY117" s="662"/>
      <c r="DP117" s="506"/>
      <c r="DQ117" s="506"/>
      <c r="DR117" s="506"/>
      <c r="DS117" s="506"/>
      <c r="DT117" s="506"/>
      <c r="DU117" s="495"/>
      <c r="DV117" s="495"/>
      <c r="DW117" s="495"/>
      <c r="DX117" s="495"/>
      <c r="DY117" s="507"/>
      <c r="DZ117" s="507"/>
      <c r="EA117" s="507"/>
      <c r="EB117" s="507"/>
      <c r="EC117" s="507"/>
      <c r="ED117" s="507"/>
      <c r="EE117" s="507"/>
      <c r="EF117" s="507"/>
      <c r="EG117" s="507"/>
      <c r="EH117" s="507"/>
      <c r="EI117" s="507"/>
      <c r="EJ117" s="495"/>
      <c r="EK117" s="495"/>
      <c r="EL117" s="495"/>
      <c r="EM117" s="495"/>
      <c r="EN117" s="507"/>
      <c r="EO117" s="2663"/>
      <c r="EP117" s="2664"/>
      <c r="EQ117" s="2664"/>
      <c r="ER117" s="2664"/>
      <c r="ES117" s="2664"/>
      <c r="ET117" s="2664"/>
      <c r="EU117" s="2664"/>
      <c r="EV117" s="2664"/>
      <c r="EW117" s="2664"/>
      <c r="EX117" s="2664"/>
      <c r="EY117" s="2664"/>
      <c r="EZ117" s="2664"/>
      <c r="FA117" s="2664"/>
      <c r="FB117" s="2664"/>
      <c r="FC117" s="2664"/>
      <c r="FD117" s="2664"/>
      <c r="FE117" s="2664"/>
      <c r="FF117" s="2664"/>
      <c r="FG117" s="2664"/>
      <c r="FH117" s="2664"/>
      <c r="FI117" s="2665"/>
      <c r="FJ117" s="495"/>
      <c r="FK117" s="495"/>
      <c r="FL117" s="495"/>
      <c r="FM117" s="495"/>
      <c r="FN117" s="495"/>
      <c r="FO117" s="495"/>
      <c r="FP117" s="495"/>
      <c r="FQ117" s="495"/>
      <c r="GE117" s="2676"/>
      <c r="GF117" s="2676"/>
      <c r="GG117" s="2676"/>
      <c r="GH117" s="2676"/>
      <c r="GI117" s="2676"/>
      <c r="GJ117" s="2676"/>
      <c r="GK117" s="2676"/>
      <c r="GL117" s="2676"/>
      <c r="GM117" s="2676"/>
      <c r="GN117" s="2676"/>
      <c r="GO117" s="2676"/>
      <c r="GP117" s="2676"/>
      <c r="GQ117" s="2678"/>
      <c r="GR117" s="2678"/>
      <c r="GS117" s="2678"/>
      <c r="GT117" s="2678"/>
      <c r="GU117" s="2678"/>
      <c r="GV117" s="2678"/>
      <c r="GW117" s="2678"/>
      <c r="GX117" s="2678"/>
      <c r="GY117" s="2678"/>
      <c r="GZ117" s="2678"/>
      <c r="HA117" s="2678"/>
      <c r="HB117" s="2676"/>
      <c r="HC117" s="2676"/>
      <c r="HD117" s="2676"/>
      <c r="HE117" s="2676"/>
      <c r="HF117" s="2677"/>
      <c r="HG117" s="2677"/>
      <c r="HH117" s="2677"/>
      <c r="HI117" s="2677"/>
      <c r="HJ117" s="2677"/>
      <c r="HK117" s="2677"/>
      <c r="HL117" s="2677"/>
      <c r="HM117" s="2677"/>
      <c r="HN117" s="2677"/>
      <c r="HO117" s="2677"/>
      <c r="HP117" s="2677"/>
      <c r="HQ117" s="2676"/>
      <c r="HR117" s="2676"/>
      <c r="HS117" s="2676"/>
      <c r="HT117" s="2676"/>
      <c r="HU117" s="2677"/>
      <c r="HV117" s="2677"/>
      <c r="HW117" s="2677"/>
      <c r="HX117" s="2677"/>
      <c r="HY117" s="2677"/>
      <c r="HZ117" s="2677"/>
      <c r="IA117" s="2677"/>
      <c r="IB117" s="2677"/>
      <c r="IC117" s="2677"/>
    </row>
    <row r="118" spans="8:237" ht="4.1500000000000004" customHeight="1">
      <c r="J118" s="516"/>
      <c r="Q118" s="516"/>
      <c r="V118" s="516"/>
      <c r="X118" s="516"/>
      <c r="BC118" s="539"/>
      <c r="BD118" s="540"/>
      <c r="CI118" s="517"/>
      <c r="CJ118" s="662"/>
      <c r="CK118" s="664"/>
      <c r="CL118" s="662"/>
      <c r="CM118" s="662"/>
      <c r="CN118" s="662"/>
      <c r="CO118" s="662"/>
      <c r="CP118" s="662"/>
      <c r="CQ118" s="663"/>
      <c r="CR118" s="662"/>
      <c r="CS118" s="662"/>
      <c r="CT118" s="662"/>
      <c r="CU118" s="662"/>
      <c r="CV118" s="662"/>
      <c r="CW118" s="662"/>
      <c r="CX118" s="663"/>
      <c r="CY118" s="662"/>
      <c r="GE118" s="2676" t="s">
        <v>3009</v>
      </c>
      <c r="GF118" s="2676"/>
      <c r="GG118" s="2676"/>
      <c r="GH118" s="2676"/>
      <c r="GI118" s="2676"/>
      <c r="GJ118" s="2676"/>
      <c r="GK118" s="2676"/>
      <c r="GL118" s="2676"/>
      <c r="GM118" s="2676"/>
      <c r="GN118" s="2676"/>
      <c r="GO118" s="2676"/>
      <c r="GP118" s="2676"/>
      <c r="GQ118" s="2678"/>
      <c r="GR118" s="2678"/>
      <c r="GS118" s="2678"/>
      <c r="GT118" s="2678"/>
      <c r="GU118" s="2678"/>
      <c r="GV118" s="2678"/>
      <c r="GW118" s="2678"/>
      <c r="GX118" s="2678"/>
      <c r="GY118" s="2678"/>
      <c r="GZ118" s="2678"/>
      <c r="HA118" s="2678"/>
      <c r="HB118" s="2676" t="s">
        <v>901</v>
      </c>
      <c r="HC118" s="2676"/>
      <c r="HD118" s="2676"/>
      <c r="HE118" s="2676"/>
      <c r="HF118" s="2677"/>
      <c r="HG118" s="2677"/>
      <c r="HH118" s="2677"/>
      <c r="HI118" s="2677"/>
      <c r="HJ118" s="2677"/>
      <c r="HK118" s="2677"/>
      <c r="HL118" s="2677"/>
      <c r="HM118" s="2677"/>
      <c r="HN118" s="2677"/>
      <c r="HO118" s="2677"/>
      <c r="HP118" s="2677"/>
      <c r="HQ118" s="2676" t="s">
        <v>901</v>
      </c>
      <c r="HR118" s="2676"/>
      <c r="HS118" s="2676"/>
      <c r="HT118" s="2676"/>
      <c r="HU118" s="2677"/>
      <c r="HV118" s="2677"/>
      <c r="HW118" s="2677"/>
      <c r="HX118" s="2677"/>
      <c r="HY118" s="2677"/>
      <c r="HZ118" s="2677"/>
      <c r="IA118" s="2677"/>
      <c r="IB118" s="2677"/>
      <c r="IC118" s="2677"/>
    </row>
    <row r="119" spans="8:237" ht="4.1500000000000004" customHeight="1">
      <c r="J119" s="516"/>
      <c r="Q119" s="516"/>
      <c r="V119" s="516"/>
      <c r="X119" s="516"/>
      <c r="BC119" s="539"/>
      <c r="BD119" s="540"/>
      <c r="CI119" s="517"/>
      <c r="CJ119" s="662"/>
      <c r="CK119" s="664"/>
      <c r="CL119" s="662"/>
      <c r="CM119" s="662"/>
      <c r="CN119" s="662"/>
      <c r="CO119" s="662"/>
      <c r="CP119" s="662"/>
      <c r="CQ119" s="663"/>
      <c r="CR119" s="662"/>
      <c r="CS119" s="662"/>
      <c r="CT119" s="662"/>
      <c r="CU119" s="662"/>
      <c r="CV119" s="662"/>
      <c r="CW119" s="662"/>
      <c r="CX119" s="663"/>
      <c r="CY119" s="662"/>
      <c r="GE119" s="2676"/>
      <c r="GF119" s="2676"/>
      <c r="GG119" s="2676"/>
      <c r="GH119" s="2676"/>
      <c r="GI119" s="2676"/>
      <c r="GJ119" s="2676"/>
      <c r="GK119" s="2676"/>
      <c r="GL119" s="2676"/>
      <c r="GM119" s="2676"/>
      <c r="GN119" s="2676"/>
      <c r="GO119" s="2676"/>
      <c r="GP119" s="2676"/>
      <c r="GQ119" s="2678"/>
      <c r="GR119" s="2678"/>
      <c r="GS119" s="2678"/>
      <c r="GT119" s="2678"/>
      <c r="GU119" s="2678"/>
      <c r="GV119" s="2678"/>
      <c r="GW119" s="2678"/>
      <c r="GX119" s="2678"/>
      <c r="GY119" s="2678"/>
      <c r="GZ119" s="2678"/>
      <c r="HA119" s="2678"/>
      <c r="HB119" s="2676"/>
      <c r="HC119" s="2676"/>
      <c r="HD119" s="2676"/>
      <c r="HE119" s="2676"/>
      <c r="HF119" s="2677"/>
      <c r="HG119" s="2677"/>
      <c r="HH119" s="2677"/>
      <c r="HI119" s="2677"/>
      <c r="HJ119" s="2677"/>
      <c r="HK119" s="2677"/>
      <c r="HL119" s="2677"/>
      <c r="HM119" s="2677"/>
      <c r="HN119" s="2677"/>
      <c r="HO119" s="2677"/>
      <c r="HP119" s="2677"/>
      <c r="HQ119" s="2676"/>
      <c r="HR119" s="2676"/>
      <c r="HS119" s="2676"/>
      <c r="HT119" s="2676"/>
      <c r="HU119" s="2677"/>
      <c r="HV119" s="2677"/>
      <c r="HW119" s="2677"/>
      <c r="HX119" s="2677"/>
      <c r="HY119" s="2677"/>
      <c r="HZ119" s="2677"/>
      <c r="IA119" s="2677"/>
      <c r="IB119" s="2677"/>
      <c r="IC119" s="2677"/>
    </row>
    <row r="120" spans="8:237" ht="4.1500000000000004" customHeight="1">
      <c r="J120" s="516"/>
      <c r="Q120" s="516"/>
      <c r="V120" s="516"/>
      <c r="X120" s="516"/>
      <c r="BC120" s="539"/>
      <c r="BD120" s="540"/>
      <c r="CI120" s="517"/>
      <c r="CJ120" s="662"/>
      <c r="CK120" s="664"/>
      <c r="CL120" s="662"/>
      <c r="CM120" s="662"/>
      <c r="CN120" s="662"/>
      <c r="CO120" s="662"/>
      <c r="CP120" s="662"/>
      <c r="CQ120" s="663"/>
      <c r="CR120" s="662"/>
      <c r="CS120" s="662"/>
      <c r="CT120" s="662"/>
      <c r="CU120" s="662"/>
      <c r="CV120" s="662"/>
      <c r="CW120" s="662"/>
      <c r="CX120" s="663"/>
      <c r="CY120" s="662"/>
      <c r="GE120" s="2676"/>
      <c r="GF120" s="2676"/>
      <c r="GG120" s="2676"/>
      <c r="GH120" s="2676"/>
      <c r="GI120" s="2676"/>
      <c r="GJ120" s="2676"/>
      <c r="GK120" s="2676"/>
      <c r="GL120" s="2676"/>
      <c r="GM120" s="2676"/>
      <c r="GN120" s="2676"/>
      <c r="GO120" s="2676"/>
      <c r="GP120" s="2676"/>
      <c r="GQ120" s="2678"/>
      <c r="GR120" s="2678"/>
      <c r="GS120" s="2678"/>
      <c r="GT120" s="2678"/>
      <c r="GU120" s="2678"/>
      <c r="GV120" s="2678"/>
      <c r="GW120" s="2678"/>
      <c r="GX120" s="2678"/>
      <c r="GY120" s="2678"/>
      <c r="GZ120" s="2678"/>
      <c r="HA120" s="2678"/>
      <c r="HB120" s="2676"/>
      <c r="HC120" s="2676"/>
      <c r="HD120" s="2676"/>
      <c r="HE120" s="2676"/>
      <c r="HF120" s="2677"/>
      <c r="HG120" s="2677"/>
      <c r="HH120" s="2677"/>
      <c r="HI120" s="2677"/>
      <c r="HJ120" s="2677"/>
      <c r="HK120" s="2677"/>
      <c r="HL120" s="2677"/>
      <c r="HM120" s="2677"/>
      <c r="HN120" s="2677"/>
      <c r="HO120" s="2677"/>
      <c r="HP120" s="2677"/>
      <c r="HQ120" s="2676"/>
      <c r="HR120" s="2676"/>
      <c r="HS120" s="2676"/>
      <c r="HT120" s="2676"/>
      <c r="HU120" s="2677"/>
      <c r="HV120" s="2677"/>
      <c r="HW120" s="2677"/>
      <c r="HX120" s="2677"/>
      <c r="HY120" s="2677"/>
      <c r="HZ120" s="2677"/>
      <c r="IA120" s="2677"/>
      <c r="IB120" s="2677"/>
      <c r="IC120" s="2677"/>
    </row>
    <row r="121" spans="8:237" ht="4.1500000000000004" customHeight="1">
      <c r="J121" s="516"/>
      <c r="Q121" s="516"/>
      <c r="V121" s="516"/>
      <c r="X121" s="516"/>
      <c r="BC121" s="539"/>
      <c r="BD121" s="540"/>
      <c r="CI121" s="517"/>
      <c r="CJ121" s="662"/>
      <c r="CK121" s="664"/>
      <c r="CL121" s="662"/>
      <c r="CM121" s="662"/>
      <c r="CN121" s="662"/>
      <c r="CO121" s="662"/>
      <c r="CP121" s="662"/>
      <c r="CQ121" s="663"/>
      <c r="CR121" s="662"/>
      <c r="CS121" s="662"/>
      <c r="CT121" s="662"/>
      <c r="CU121" s="662"/>
      <c r="CV121" s="662"/>
      <c r="CW121" s="662"/>
      <c r="CX121" s="663"/>
      <c r="CY121" s="662"/>
      <c r="GE121" s="2676" t="s">
        <v>1954</v>
      </c>
      <c r="GF121" s="2676"/>
      <c r="GG121" s="2676"/>
      <c r="GH121" s="2676"/>
      <c r="GI121" s="2676"/>
      <c r="GJ121" s="2676"/>
      <c r="GK121" s="2676"/>
      <c r="GL121" s="2676"/>
      <c r="GM121" s="2676"/>
      <c r="GN121" s="2676"/>
      <c r="GO121" s="2676"/>
      <c r="GP121" s="2676"/>
      <c r="GQ121" s="2678"/>
      <c r="GR121" s="2678"/>
      <c r="GS121" s="2678"/>
      <c r="GT121" s="2678"/>
      <c r="GU121" s="2678"/>
      <c r="GV121" s="2678"/>
      <c r="GW121" s="2678"/>
      <c r="GX121" s="2678"/>
      <c r="GY121" s="2678"/>
      <c r="GZ121" s="2678"/>
      <c r="HA121" s="2678"/>
      <c r="HB121" s="2676" t="s">
        <v>901</v>
      </c>
      <c r="HC121" s="2676"/>
      <c r="HD121" s="2676"/>
      <c r="HE121" s="2676"/>
      <c r="HF121" s="2677"/>
      <c r="HG121" s="2677"/>
      <c r="HH121" s="2677"/>
      <c r="HI121" s="2677"/>
      <c r="HJ121" s="2677"/>
      <c r="HK121" s="2677"/>
      <c r="HL121" s="2677"/>
      <c r="HM121" s="2677"/>
      <c r="HN121" s="2677"/>
      <c r="HO121" s="2677"/>
      <c r="HP121" s="2677"/>
      <c r="HQ121" s="2676" t="s">
        <v>901</v>
      </c>
      <c r="HR121" s="2676"/>
      <c r="HS121" s="2676"/>
      <c r="HT121" s="2676"/>
      <c r="HU121" s="2677"/>
      <c r="HV121" s="2677"/>
      <c r="HW121" s="2677"/>
      <c r="HX121" s="2677"/>
      <c r="HY121" s="2677"/>
      <c r="HZ121" s="2677"/>
      <c r="IA121" s="2677"/>
      <c r="IB121" s="2677"/>
      <c r="IC121" s="2677"/>
    </row>
    <row r="122" spans="8:237" ht="4.1500000000000004" customHeight="1">
      <c r="J122" s="516"/>
      <c r="Q122" s="516"/>
      <c r="V122" s="516"/>
      <c r="X122" s="530"/>
      <c r="AI122" s="532"/>
      <c r="AJ122" s="532"/>
      <c r="AK122" s="532"/>
      <c r="AL122" s="532"/>
      <c r="AM122" s="532"/>
      <c r="AN122" s="532"/>
      <c r="AO122" s="532"/>
      <c r="AP122" s="532"/>
      <c r="AQ122" s="532"/>
      <c r="AR122" s="532"/>
      <c r="AS122" s="532"/>
      <c r="AT122" s="532"/>
      <c r="AU122" s="532"/>
      <c r="AV122" s="532"/>
      <c r="AW122" s="532"/>
      <c r="AX122" s="532"/>
      <c r="AY122" s="532"/>
      <c r="AZ122" s="532"/>
      <c r="BA122" s="532"/>
      <c r="BB122" s="532"/>
      <c r="BC122" s="541"/>
      <c r="BD122" s="542"/>
      <c r="BE122" s="532"/>
      <c r="BF122" s="532"/>
      <c r="BG122" s="532"/>
      <c r="BH122" s="532"/>
      <c r="BI122" s="532"/>
      <c r="BJ122" s="532"/>
      <c r="BK122" s="532"/>
      <c r="BL122" s="532"/>
      <c r="BM122" s="532"/>
      <c r="BN122" s="532"/>
      <c r="BO122" s="532"/>
      <c r="BP122" s="532"/>
      <c r="BQ122" s="532"/>
      <c r="BR122" s="532"/>
      <c r="BS122" s="532"/>
      <c r="BT122" s="532"/>
      <c r="BU122" s="532"/>
      <c r="BV122" s="532"/>
      <c r="BW122" s="532"/>
      <c r="BX122" s="532"/>
      <c r="BY122" s="532"/>
      <c r="BZ122" s="532"/>
      <c r="CA122" s="532"/>
      <c r="CB122" s="532"/>
      <c r="CC122" s="532"/>
      <c r="CD122" s="532"/>
      <c r="CE122" s="532"/>
      <c r="CF122" s="532"/>
      <c r="CG122" s="532"/>
      <c r="CH122" s="532"/>
      <c r="CI122" s="531"/>
      <c r="CJ122" s="662"/>
      <c r="CK122" s="664"/>
      <c r="CL122" s="662"/>
      <c r="CM122" s="662"/>
      <c r="CN122" s="662"/>
      <c r="CO122" s="662"/>
      <c r="CP122" s="662"/>
      <c r="CQ122" s="663"/>
      <c r="CR122" s="662"/>
      <c r="CS122" s="662"/>
      <c r="CT122" s="662"/>
      <c r="CU122" s="662"/>
      <c r="CV122" s="662"/>
      <c r="CW122" s="662"/>
      <c r="CX122" s="663"/>
      <c r="CY122" s="662"/>
      <c r="GE122" s="2676"/>
      <c r="GF122" s="2676"/>
      <c r="GG122" s="2676"/>
      <c r="GH122" s="2676"/>
      <c r="GI122" s="2676"/>
      <c r="GJ122" s="2676"/>
      <c r="GK122" s="2676"/>
      <c r="GL122" s="2676"/>
      <c r="GM122" s="2676"/>
      <c r="GN122" s="2676"/>
      <c r="GO122" s="2676"/>
      <c r="GP122" s="2676"/>
      <c r="GQ122" s="2678"/>
      <c r="GR122" s="2678"/>
      <c r="GS122" s="2678"/>
      <c r="GT122" s="2678"/>
      <c r="GU122" s="2678"/>
      <c r="GV122" s="2678"/>
      <c r="GW122" s="2678"/>
      <c r="GX122" s="2678"/>
      <c r="GY122" s="2678"/>
      <c r="GZ122" s="2678"/>
      <c r="HA122" s="2678"/>
      <c r="HB122" s="2676"/>
      <c r="HC122" s="2676"/>
      <c r="HD122" s="2676"/>
      <c r="HE122" s="2676"/>
      <c r="HF122" s="2677"/>
      <c r="HG122" s="2677"/>
      <c r="HH122" s="2677"/>
      <c r="HI122" s="2677"/>
      <c r="HJ122" s="2677"/>
      <c r="HK122" s="2677"/>
      <c r="HL122" s="2677"/>
      <c r="HM122" s="2677"/>
      <c r="HN122" s="2677"/>
      <c r="HO122" s="2677"/>
      <c r="HP122" s="2677"/>
      <c r="HQ122" s="2676"/>
      <c r="HR122" s="2676"/>
      <c r="HS122" s="2676"/>
      <c r="HT122" s="2676"/>
      <c r="HU122" s="2677"/>
      <c r="HV122" s="2677"/>
      <c r="HW122" s="2677"/>
      <c r="HX122" s="2677"/>
      <c r="HY122" s="2677"/>
      <c r="HZ122" s="2677"/>
      <c r="IA122" s="2677"/>
      <c r="IB122" s="2677"/>
      <c r="IC122" s="2677"/>
    </row>
    <row r="123" spans="8:237" ht="4.1500000000000004" customHeight="1" thickBot="1">
      <c r="H123" s="532"/>
      <c r="I123" s="532"/>
      <c r="J123" s="530"/>
      <c r="K123" s="532"/>
      <c r="Q123" s="516"/>
      <c r="V123" s="519"/>
      <c r="W123" s="521"/>
      <c r="Y123" s="530"/>
      <c r="Z123" s="532"/>
      <c r="AA123" s="532"/>
      <c r="AB123" s="532"/>
      <c r="AC123" s="532"/>
      <c r="AD123" s="532"/>
      <c r="AE123" s="532"/>
      <c r="AF123" s="532"/>
      <c r="AG123" s="532"/>
      <c r="AH123" s="531"/>
      <c r="AM123" s="543"/>
      <c r="AN123" s="544"/>
      <c r="AO123" s="544"/>
      <c r="AP123" s="544"/>
      <c r="AQ123" s="544"/>
      <c r="AR123" s="544"/>
      <c r="AS123" s="544"/>
      <c r="AT123" s="544"/>
      <c r="AU123" s="544"/>
      <c r="AV123" s="544"/>
      <c r="AW123" s="545"/>
      <c r="BC123" s="519"/>
      <c r="BD123" s="521"/>
      <c r="BO123" s="543"/>
      <c r="BP123" s="544"/>
      <c r="BQ123" s="544"/>
      <c r="BR123" s="544"/>
      <c r="BS123" s="544"/>
      <c r="BT123" s="544"/>
      <c r="BU123" s="544"/>
      <c r="BV123" s="544"/>
      <c r="BW123" s="544"/>
      <c r="BX123" s="544"/>
      <c r="BY123" s="545"/>
      <c r="CJ123" s="519"/>
      <c r="CK123" s="521"/>
      <c r="CL123" s="662"/>
      <c r="CM123" s="662"/>
      <c r="CN123" s="662"/>
      <c r="CO123" s="665"/>
      <c r="CP123" s="665"/>
      <c r="CQ123" s="666"/>
      <c r="CR123" s="665"/>
      <c r="CS123" s="662"/>
      <c r="CT123" s="662"/>
      <c r="CU123" s="662"/>
      <c r="CV123" s="662"/>
      <c r="CW123" s="662"/>
      <c r="CX123" s="663"/>
      <c r="CY123" s="662"/>
      <c r="GE123" s="2676"/>
      <c r="GF123" s="2676"/>
      <c r="GG123" s="2676"/>
      <c r="GH123" s="2676"/>
      <c r="GI123" s="2676"/>
      <c r="GJ123" s="2676"/>
      <c r="GK123" s="2676"/>
      <c r="GL123" s="2676"/>
      <c r="GM123" s="2676"/>
      <c r="GN123" s="2676"/>
      <c r="GO123" s="2676"/>
      <c r="GP123" s="2676"/>
      <c r="GQ123" s="2678"/>
      <c r="GR123" s="2678"/>
      <c r="GS123" s="2678"/>
      <c r="GT123" s="2678"/>
      <c r="GU123" s="2678"/>
      <c r="GV123" s="2678"/>
      <c r="GW123" s="2678"/>
      <c r="GX123" s="2678"/>
      <c r="GY123" s="2678"/>
      <c r="GZ123" s="2678"/>
      <c r="HA123" s="2678"/>
      <c r="HB123" s="2676"/>
      <c r="HC123" s="2676"/>
      <c r="HD123" s="2676"/>
      <c r="HE123" s="2676"/>
      <c r="HF123" s="2677"/>
      <c r="HG123" s="2677"/>
      <c r="HH123" s="2677"/>
      <c r="HI123" s="2677"/>
      <c r="HJ123" s="2677"/>
      <c r="HK123" s="2677"/>
      <c r="HL123" s="2677"/>
      <c r="HM123" s="2677"/>
      <c r="HN123" s="2677"/>
      <c r="HO123" s="2677"/>
      <c r="HP123" s="2677"/>
      <c r="HQ123" s="2676"/>
      <c r="HR123" s="2676"/>
      <c r="HS123" s="2676"/>
      <c r="HT123" s="2676"/>
      <c r="HU123" s="2677"/>
      <c r="HV123" s="2677"/>
      <c r="HW123" s="2677"/>
      <c r="HX123" s="2677"/>
      <c r="HY123" s="2677"/>
      <c r="HZ123" s="2677"/>
      <c r="IA123" s="2677"/>
      <c r="IB123" s="2677"/>
      <c r="IC123" s="2677"/>
    </row>
    <row r="124" spans="8:237" ht="4.1500000000000004" customHeight="1" thickTop="1">
      <c r="Q124" s="516"/>
      <c r="V124" s="527"/>
      <c r="W124" s="529"/>
      <c r="X124" s="532"/>
      <c r="Y124" s="516"/>
      <c r="AH124" s="517"/>
      <c r="AI124" s="532"/>
      <c r="AJ124" s="532"/>
      <c r="AK124" s="532"/>
      <c r="AL124" s="532"/>
      <c r="AM124" s="530"/>
      <c r="AN124" s="532"/>
      <c r="AO124" s="532"/>
      <c r="AP124" s="532"/>
      <c r="AQ124" s="532"/>
      <c r="AR124" s="532"/>
      <c r="AS124" s="532"/>
      <c r="AT124" s="532"/>
      <c r="AU124" s="532"/>
      <c r="AV124" s="532"/>
      <c r="AW124" s="531"/>
      <c r="AX124" s="532"/>
      <c r="AY124" s="532"/>
      <c r="AZ124" s="532"/>
      <c r="BA124" s="532"/>
      <c r="BB124" s="532"/>
      <c r="BC124" s="527"/>
      <c r="BD124" s="529"/>
      <c r="BE124" s="532"/>
      <c r="BF124" s="532"/>
      <c r="BG124" s="532"/>
      <c r="BH124" s="532"/>
      <c r="BI124" s="532"/>
      <c r="BJ124" s="532"/>
      <c r="BK124" s="532"/>
      <c r="BL124" s="532"/>
      <c r="BM124" s="532"/>
      <c r="BN124" s="532"/>
      <c r="BO124" s="530"/>
      <c r="BP124" s="532"/>
      <c r="BQ124" s="532"/>
      <c r="BR124" s="532"/>
      <c r="BS124" s="532"/>
      <c r="BT124" s="532"/>
      <c r="BU124" s="532"/>
      <c r="BV124" s="532"/>
      <c r="BW124" s="532"/>
      <c r="BX124" s="532"/>
      <c r="BY124" s="531"/>
      <c r="BZ124" s="532"/>
      <c r="CA124" s="532"/>
      <c r="CB124" s="532"/>
      <c r="CC124" s="532"/>
      <c r="CD124" s="532"/>
      <c r="CE124" s="532"/>
      <c r="CF124" s="532"/>
      <c r="CG124" s="532"/>
      <c r="CH124" s="532"/>
      <c r="CI124" s="532"/>
      <c r="CJ124" s="527"/>
      <c r="CK124" s="529"/>
      <c r="CL124" s="662"/>
      <c r="CM124" s="662"/>
      <c r="CN124" s="662"/>
      <c r="CO124" s="667"/>
      <c r="CP124" s="667"/>
      <c r="CQ124" s="668"/>
      <c r="CR124" s="667"/>
      <c r="CS124" s="662"/>
      <c r="CT124" s="662"/>
      <c r="CU124" s="662"/>
      <c r="CV124" s="662"/>
      <c r="CW124" s="662"/>
      <c r="CX124" s="663"/>
      <c r="CY124" s="662"/>
      <c r="GE124" s="2676" t="s">
        <v>1877</v>
      </c>
      <c r="GF124" s="2676"/>
      <c r="GG124" s="2676"/>
      <c r="GH124" s="2676"/>
      <c r="GI124" s="2676"/>
      <c r="GJ124" s="2676"/>
      <c r="GK124" s="2676"/>
      <c r="GL124" s="2676"/>
      <c r="GM124" s="2676"/>
      <c r="GN124" s="2676"/>
      <c r="GO124" s="2676"/>
      <c r="GP124" s="2676"/>
      <c r="GQ124" s="2678">
        <v>2</v>
      </c>
      <c r="GR124" s="2678"/>
      <c r="GS124" s="2678"/>
      <c r="GT124" s="2678"/>
      <c r="GU124" s="2678"/>
      <c r="GV124" s="2678"/>
      <c r="GW124" s="2678"/>
      <c r="GX124" s="2678"/>
      <c r="GY124" s="2678"/>
      <c r="GZ124" s="2678"/>
      <c r="HA124" s="2678"/>
      <c r="HB124" s="2676" t="s">
        <v>901</v>
      </c>
      <c r="HC124" s="2676"/>
      <c r="HD124" s="2676"/>
      <c r="HE124" s="2676"/>
      <c r="HF124" s="2680">
        <f>AI138</f>
        <v>3.5249999999999999</v>
      </c>
      <c r="HG124" s="2680"/>
      <c r="HH124" s="2680"/>
      <c r="HI124" s="2680"/>
      <c r="HJ124" s="2680"/>
      <c r="HK124" s="2680"/>
      <c r="HL124" s="2680"/>
      <c r="HM124" s="2680"/>
      <c r="HN124" s="2680"/>
      <c r="HO124" s="2680"/>
      <c r="HP124" s="2680"/>
      <c r="HQ124" s="2676" t="s">
        <v>901</v>
      </c>
      <c r="HR124" s="2676"/>
      <c r="HS124" s="2676"/>
      <c r="HT124" s="2676"/>
      <c r="HU124" s="2677">
        <f>HU103</f>
        <v>2.1</v>
      </c>
      <c r="HV124" s="2677"/>
      <c r="HW124" s="2677"/>
      <c r="HX124" s="2677"/>
      <c r="HY124" s="2677"/>
      <c r="HZ124" s="2677"/>
      <c r="IA124" s="2677"/>
      <c r="IB124" s="2677"/>
      <c r="IC124" s="2677"/>
    </row>
    <row r="125" spans="8:237" ht="4.1500000000000004" customHeight="1">
      <c r="Q125" s="516"/>
      <c r="V125" s="1563"/>
      <c r="W125" s="1564"/>
      <c r="X125" s="514"/>
      <c r="AI125" s="514"/>
      <c r="AJ125" s="514"/>
      <c r="AK125" s="514"/>
      <c r="AL125" s="514"/>
      <c r="AM125" s="514"/>
      <c r="AN125" s="514"/>
      <c r="AO125" s="514"/>
      <c r="AP125" s="514"/>
      <c r="AQ125" s="514"/>
      <c r="AR125" s="514"/>
      <c r="AS125" s="514"/>
      <c r="AT125" s="514"/>
      <c r="AU125" s="514"/>
      <c r="AV125" s="514"/>
      <c r="AW125" s="514"/>
      <c r="AX125" s="514"/>
      <c r="AY125" s="514"/>
      <c r="AZ125" s="514"/>
      <c r="BA125" s="514"/>
      <c r="BB125" s="514"/>
      <c r="BC125" s="514"/>
      <c r="BD125" s="514"/>
      <c r="BE125" s="514"/>
      <c r="BF125" s="514"/>
      <c r="BG125" s="514"/>
      <c r="BH125" s="514"/>
      <c r="BI125" s="514"/>
      <c r="BJ125" s="514"/>
      <c r="BK125" s="514"/>
      <c r="BL125" s="514"/>
      <c r="BM125" s="514"/>
      <c r="BN125" s="514"/>
      <c r="BO125" s="514"/>
      <c r="BP125" s="514"/>
      <c r="BQ125" s="514"/>
      <c r="BR125" s="514"/>
      <c r="BS125" s="514"/>
      <c r="BT125" s="514"/>
      <c r="BU125" s="514"/>
      <c r="BV125" s="514"/>
      <c r="BW125" s="514"/>
      <c r="BX125" s="514"/>
      <c r="BY125" s="514"/>
      <c r="BZ125" s="514"/>
      <c r="CA125" s="514"/>
      <c r="CB125" s="514"/>
      <c r="CC125" s="514"/>
      <c r="CD125" s="514"/>
      <c r="CE125" s="514"/>
      <c r="CF125" s="514"/>
      <c r="CG125" s="514"/>
      <c r="CH125" s="514"/>
      <c r="CI125" s="514"/>
      <c r="CJ125" s="1569"/>
      <c r="CK125" s="1570"/>
      <c r="CL125" s="662"/>
      <c r="CM125" s="662"/>
      <c r="CN125" s="662"/>
      <c r="CO125" s="662"/>
      <c r="CP125" s="662"/>
      <c r="CQ125" s="663"/>
      <c r="CR125" s="662"/>
      <c r="CS125" s="662"/>
      <c r="CT125" s="662"/>
      <c r="CU125" s="662"/>
      <c r="CV125" s="662"/>
      <c r="CW125" s="662"/>
      <c r="CX125" s="663"/>
      <c r="CY125" s="662"/>
      <c r="GE125" s="2676"/>
      <c r="GF125" s="2676"/>
      <c r="GG125" s="2676"/>
      <c r="GH125" s="2676"/>
      <c r="GI125" s="2676"/>
      <c r="GJ125" s="2676"/>
      <c r="GK125" s="2676"/>
      <c r="GL125" s="2676"/>
      <c r="GM125" s="2676"/>
      <c r="GN125" s="2676"/>
      <c r="GO125" s="2676"/>
      <c r="GP125" s="2676"/>
      <c r="GQ125" s="2678"/>
      <c r="GR125" s="2678"/>
      <c r="GS125" s="2678"/>
      <c r="GT125" s="2678"/>
      <c r="GU125" s="2678"/>
      <c r="GV125" s="2678"/>
      <c r="GW125" s="2678"/>
      <c r="GX125" s="2678"/>
      <c r="GY125" s="2678"/>
      <c r="GZ125" s="2678"/>
      <c r="HA125" s="2678"/>
      <c r="HB125" s="2676"/>
      <c r="HC125" s="2676"/>
      <c r="HD125" s="2676"/>
      <c r="HE125" s="2676"/>
      <c r="HF125" s="2680"/>
      <c r="HG125" s="2680"/>
      <c r="HH125" s="2680"/>
      <c r="HI125" s="2680"/>
      <c r="HJ125" s="2680"/>
      <c r="HK125" s="2680"/>
      <c r="HL125" s="2680"/>
      <c r="HM125" s="2680"/>
      <c r="HN125" s="2680"/>
      <c r="HO125" s="2680"/>
      <c r="HP125" s="2680"/>
      <c r="HQ125" s="2676"/>
      <c r="HR125" s="2676"/>
      <c r="HS125" s="2676"/>
      <c r="HT125" s="2676"/>
      <c r="HU125" s="2677"/>
      <c r="HV125" s="2677"/>
      <c r="HW125" s="2677"/>
      <c r="HX125" s="2677"/>
      <c r="HY125" s="2677"/>
      <c r="HZ125" s="2677"/>
      <c r="IA125" s="2677"/>
      <c r="IB125" s="2677"/>
      <c r="IC125" s="2677"/>
    </row>
    <row r="126" spans="8:237" ht="4.1500000000000004" customHeight="1">
      <c r="Q126" s="516"/>
      <c r="V126" s="539"/>
      <c r="W126" s="540"/>
      <c r="CJ126" s="1571"/>
      <c r="CK126" s="1572"/>
      <c r="CL126" s="662"/>
      <c r="CM126" s="662"/>
      <c r="CN126" s="662"/>
      <c r="CO126" s="662"/>
      <c r="CP126" s="662"/>
      <c r="CQ126" s="663"/>
      <c r="CR126" s="662"/>
      <c r="CS126" s="662"/>
      <c r="CT126" s="662"/>
      <c r="CU126" s="662"/>
      <c r="CV126" s="662"/>
      <c r="CW126" s="662"/>
      <c r="CX126" s="663"/>
      <c r="CY126" s="662"/>
      <c r="GE126" s="2676"/>
      <c r="GF126" s="2676"/>
      <c r="GG126" s="2676"/>
      <c r="GH126" s="2676"/>
      <c r="GI126" s="2676"/>
      <c r="GJ126" s="2676"/>
      <c r="GK126" s="2676"/>
      <c r="GL126" s="2676"/>
      <c r="GM126" s="2676"/>
      <c r="GN126" s="2676"/>
      <c r="GO126" s="2676"/>
      <c r="GP126" s="2676"/>
      <c r="GQ126" s="2678"/>
      <c r="GR126" s="2678"/>
      <c r="GS126" s="2678"/>
      <c r="GT126" s="2678"/>
      <c r="GU126" s="2678"/>
      <c r="GV126" s="2678"/>
      <c r="GW126" s="2678"/>
      <c r="GX126" s="2678"/>
      <c r="GY126" s="2678"/>
      <c r="GZ126" s="2678"/>
      <c r="HA126" s="2678"/>
      <c r="HB126" s="2676"/>
      <c r="HC126" s="2676"/>
      <c r="HD126" s="2676"/>
      <c r="HE126" s="2676"/>
      <c r="HF126" s="2680"/>
      <c r="HG126" s="2680"/>
      <c r="HH126" s="2680"/>
      <c r="HI126" s="2680"/>
      <c r="HJ126" s="2680"/>
      <c r="HK126" s="2680"/>
      <c r="HL126" s="2680"/>
      <c r="HM126" s="2680"/>
      <c r="HN126" s="2680"/>
      <c r="HO126" s="2680"/>
      <c r="HP126" s="2680"/>
      <c r="HQ126" s="2676"/>
      <c r="HR126" s="2676"/>
      <c r="HS126" s="2676"/>
      <c r="HT126" s="2676"/>
      <c r="HU126" s="2677"/>
      <c r="HV126" s="2677"/>
      <c r="HW126" s="2677"/>
      <c r="HX126" s="2677"/>
      <c r="HY126" s="2677"/>
      <c r="HZ126" s="2677"/>
      <c r="IA126" s="2677"/>
      <c r="IB126" s="2677"/>
      <c r="IC126" s="2677"/>
    </row>
    <row r="127" spans="8:237" ht="4.1500000000000004" customHeight="1">
      <c r="Q127" s="516"/>
      <c r="V127" s="539"/>
      <c r="W127" s="540"/>
      <c r="CJ127" s="1571"/>
      <c r="CK127" s="1572"/>
      <c r="CL127" s="662"/>
      <c r="CM127" s="662"/>
      <c r="CN127" s="662"/>
      <c r="CO127" s="2681">
        <f>BF131+V81</f>
        <v>2.65</v>
      </c>
      <c r="CP127" s="2682"/>
      <c r="CQ127" s="2682"/>
      <c r="CR127" s="2682"/>
      <c r="CS127" s="662"/>
      <c r="CT127" s="662"/>
      <c r="CU127" s="662"/>
      <c r="CV127" s="662"/>
      <c r="CW127" s="662"/>
      <c r="CX127" s="663"/>
      <c r="CY127" s="662"/>
    </row>
    <row r="128" spans="8:237" ht="4.1500000000000004" customHeight="1">
      <c r="Q128" s="516"/>
      <c r="V128" s="539"/>
      <c r="W128" s="540"/>
      <c r="AU128" s="2641" t="s">
        <v>3587</v>
      </c>
      <c r="AV128" s="2641"/>
      <c r="AW128" s="2641"/>
      <c r="AX128" s="2641"/>
      <c r="AY128" s="2641"/>
      <c r="AZ128" s="2641"/>
      <c r="BA128" s="2641"/>
      <c r="BB128" s="2641"/>
      <c r="BC128" s="2641"/>
      <c r="BD128" s="2641"/>
      <c r="BE128" s="2641"/>
      <c r="BF128" s="2641"/>
      <c r="BG128" s="2641"/>
      <c r="BH128" s="2641"/>
      <c r="BI128" s="2641"/>
      <c r="BJ128" s="2641"/>
      <c r="BK128" s="2641"/>
      <c r="BL128" s="2641"/>
      <c r="CJ128" s="1571"/>
      <c r="CK128" s="1572"/>
      <c r="CL128" s="662"/>
      <c r="CM128" s="662"/>
      <c r="CN128" s="662"/>
      <c r="CO128" s="2682"/>
      <c r="CP128" s="2682"/>
      <c r="CQ128" s="2682"/>
      <c r="CR128" s="2682"/>
      <c r="CS128" s="662"/>
      <c r="CT128" s="662"/>
      <c r="CU128" s="662"/>
      <c r="CV128" s="662"/>
      <c r="CW128" s="662"/>
      <c r="CX128" s="663"/>
      <c r="CY128" s="662"/>
    </row>
    <row r="129" spans="15:103" ht="4.1500000000000004" customHeight="1">
      <c r="Q129" s="516"/>
      <c r="V129" s="539"/>
      <c r="W129" s="540"/>
      <c r="AU129" s="2641"/>
      <c r="AV129" s="2641"/>
      <c r="AW129" s="2641"/>
      <c r="AX129" s="2641"/>
      <c r="AY129" s="2641"/>
      <c r="AZ129" s="2641"/>
      <c r="BA129" s="2641"/>
      <c r="BB129" s="2641"/>
      <c r="BC129" s="2641"/>
      <c r="BD129" s="2641"/>
      <c r="BE129" s="2641"/>
      <c r="BF129" s="2641"/>
      <c r="BG129" s="2641"/>
      <c r="BH129" s="2641"/>
      <c r="BI129" s="2641"/>
      <c r="BJ129" s="2641"/>
      <c r="BK129" s="2641"/>
      <c r="BL129" s="2641"/>
      <c r="CJ129" s="1571"/>
      <c r="CK129" s="1572"/>
      <c r="CL129" s="662"/>
      <c r="CM129" s="662"/>
      <c r="CN129" s="662"/>
      <c r="CO129" s="2682"/>
      <c r="CP129" s="2682"/>
      <c r="CQ129" s="2682"/>
      <c r="CR129" s="2682"/>
      <c r="CS129" s="662"/>
      <c r="CT129" s="662"/>
      <c r="CU129" s="662"/>
      <c r="CV129" s="662"/>
      <c r="CW129" s="662"/>
      <c r="CX129" s="663"/>
      <c r="CY129" s="662"/>
    </row>
    <row r="130" spans="15:103" ht="4.1500000000000004" customHeight="1">
      <c r="Q130" s="516"/>
      <c r="V130" s="539"/>
      <c r="W130" s="540"/>
      <c r="AU130" s="2641"/>
      <c r="AV130" s="2641"/>
      <c r="AW130" s="2641"/>
      <c r="AX130" s="2641"/>
      <c r="AY130" s="2641"/>
      <c r="AZ130" s="2641"/>
      <c r="BA130" s="2641"/>
      <c r="BB130" s="2641"/>
      <c r="BC130" s="2641"/>
      <c r="BD130" s="2641"/>
      <c r="BE130" s="2641"/>
      <c r="BF130" s="2641"/>
      <c r="BG130" s="2641"/>
      <c r="BH130" s="2641"/>
      <c r="BI130" s="2641"/>
      <c r="BJ130" s="2641"/>
      <c r="BK130" s="2641"/>
      <c r="BL130" s="2641"/>
      <c r="CJ130" s="1571"/>
      <c r="CK130" s="1572"/>
      <c r="CL130" s="662"/>
      <c r="CM130" s="662"/>
      <c r="CN130" s="662"/>
      <c r="CO130" s="2682"/>
      <c r="CP130" s="2682"/>
      <c r="CQ130" s="2682"/>
      <c r="CR130" s="2682"/>
      <c r="CS130" s="662"/>
      <c r="CT130" s="662"/>
      <c r="CU130" s="662"/>
      <c r="CV130" s="662"/>
      <c r="CW130" s="662"/>
      <c r="CX130" s="663"/>
      <c r="CY130" s="662"/>
    </row>
    <row r="131" spans="15:103" ht="4.1500000000000004" customHeight="1">
      <c r="Q131" s="516"/>
      <c r="V131" s="539"/>
      <c r="W131" s="540"/>
      <c r="AU131" s="2683">
        <f>AU93</f>
        <v>7.3</v>
      </c>
      <c r="AV131" s="2683"/>
      <c r="AW131" s="2683"/>
      <c r="AX131" s="2683"/>
      <c r="AY131" s="2683"/>
      <c r="AZ131" s="2683"/>
      <c r="BA131" s="2683"/>
      <c r="BB131" s="2683" t="s">
        <v>1907</v>
      </c>
      <c r="BC131" s="2683"/>
      <c r="BD131" s="2683"/>
      <c r="BE131" s="2683"/>
      <c r="BF131" s="2683">
        <v>2.4</v>
      </c>
      <c r="BG131" s="2683"/>
      <c r="BH131" s="2683"/>
      <c r="BI131" s="2683"/>
      <c r="BJ131" s="2683"/>
      <c r="BK131" s="2683"/>
      <c r="BL131" s="2683"/>
      <c r="CJ131" s="1571"/>
      <c r="CK131" s="1572"/>
      <c r="CL131" s="662"/>
      <c r="CM131" s="662"/>
      <c r="CN131" s="662"/>
      <c r="CO131" s="2682"/>
      <c r="CP131" s="2682"/>
      <c r="CQ131" s="2682"/>
      <c r="CR131" s="2682"/>
      <c r="CS131" s="662"/>
      <c r="CT131" s="662"/>
      <c r="CU131" s="662"/>
      <c r="CV131" s="662"/>
      <c r="CW131" s="662"/>
      <c r="CX131" s="663"/>
      <c r="CY131" s="662"/>
    </row>
    <row r="132" spans="15:103" ht="4.1500000000000004" customHeight="1">
      <c r="Q132" s="516"/>
      <c r="V132" s="539"/>
      <c r="W132" s="540"/>
      <c r="AU132" s="2683"/>
      <c r="AV132" s="2683"/>
      <c r="AW132" s="2683"/>
      <c r="AX132" s="2683"/>
      <c r="AY132" s="2683"/>
      <c r="AZ132" s="2683"/>
      <c r="BA132" s="2683"/>
      <c r="BB132" s="2683"/>
      <c r="BC132" s="2683"/>
      <c r="BD132" s="2683"/>
      <c r="BE132" s="2683"/>
      <c r="BF132" s="2683"/>
      <c r="BG132" s="2683"/>
      <c r="BH132" s="2683"/>
      <c r="BI132" s="2683"/>
      <c r="BJ132" s="2683"/>
      <c r="BK132" s="2683"/>
      <c r="BL132" s="2683"/>
      <c r="CJ132" s="1571"/>
      <c r="CK132" s="1572"/>
      <c r="CL132" s="662"/>
      <c r="CM132" s="662"/>
      <c r="CN132" s="662"/>
      <c r="CO132" s="2682"/>
      <c r="CP132" s="2682"/>
      <c r="CQ132" s="2682"/>
      <c r="CR132" s="2682"/>
      <c r="CS132" s="662"/>
      <c r="CT132" s="662"/>
      <c r="CU132" s="662"/>
      <c r="CV132" s="662"/>
      <c r="CW132" s="662"/>
      <c r="CX132" s="663"/>
      <c r="CY132" s="662"/>
    </row>
    <row r="133" spans="15:103" ht="4.1500000000000004" customHeight="1">
      <c r="Q133" s="516"/>
      <c r="V133" s="539"/>
      <c r="W133" s="540"/>
      <c r="X133" s="1578"/>
      <c r="Y133" s="1579"/>
      <c r="AU133" s="2683"/>
      <c r="AV133" s="2683"/>
      <c r="AW133" s="2683"/>
      <c r="AX133" s="2683"/>
      <c r="AY133" s="2683"/>
      <c r="AZ133" s="2683"/>
      <c r="BA133" s="2683"/>
      <c r="BB133" s="2683"/>
      <c r="BC133" s="2683"/>
      <c r="BD133" s="2683"/>
      <c r="BE133" s="2683"/>
      <c r="BF133" s="2683"/>
      <c r="BG133" s="2683"/>
      <c r="BH133" s="2683"/>
      <c r="BI133" s="2683"/>
      <c r="BJ133" s="2683"/>
      <c r="BK133" s="2683"/>
      <c r="BL133" s="2683"/>
      <c r="CH133" s="1512"/>
      <c r="CI133" s="1582"/>
      <c r="CJ133" s="1571"/>
      <c r="CK133" s="1572"/>
      <c r="CL133" s="662"/>
      <c r="CM133" s="662"/>
      <c r="CN133" s="662"/>
      <c r="CO133" s="2682"/>
      <c r="CP133" s="2682"/>
      <c r="CQ133" s="2682"/>
      <c r="CR133" s="2682"/>
      <c r="CS133" s="662"/>
      <c r="CT133" s="662"/>
      <c r="CU133" s="662"/>
      <c r="CV133" s="662"/>
      <c r="CW133" s="662"/>
      <c r="CX133" s="663"/>
      <c r="CY133" s="662"/>
    </row>
    <row r="134" spans="15:103" ht="4.1500000000000004" customHeight="1">
      <c r="Q134" s="516"/>
      <c r="V134" s="539"/>
      <c r="W134" s="540"/>
      <c r="X134" s="1578"/>
      <c r="Y134" s="1579"/>
      <c r="CH134" s="1512"/>
      <c r="CI134" s="1582"/>
      <c r="CJ134" s="1571"/>
      <c r="CK134" s="1572"/>
      <c r="CL134" s="662"/>
      <c r="CM134" s="662"/>
      <c r="CN134" s="662"/>
      <c r="CO134" s="2682"/>
      <c r="CP134" s="2682"/>
      <c r="CQ134" s="2682"/>
      <c r="CR134" s="2682"/>
      <c r="CS134" s="662"/>
      <c r="CT134" s="662"/>
      <c r="CU134" s="662"/>
      <c r="CV134" s="662"/>
      <c r="CW134" s="662"/>
      <c r="CX134" s="663"/>
      <c r="CY134" s="662"/>
    </row>
    <row r="135" spans="15:103" ht="4.1500000000000004" customHeight="1">
      <c r="Q135" s="516"/>
      <c r="V135" s="539"/>
      <c r="W135" s="540"/>
      <c r="X135" s="1578"/>
      <c r="Y135" s="1579"/>
      <c r="CH135" s="1512"/>
      <c r="CI135" s="1582"/>
      <c r="CJ135" s="1571"/>
      <c r="CK135" s="1572"/>
      <c r="CL135" s="662"/>
      <c r="CM135" s="662"/>
      <c r="CN135" s="662"/>
      <c r="CO135" s="2682"/>
      <c r="CP135" s="2682"/>
      <c r="CQ135" s="2682"/>
      <c r="CR135" s="2682"/>
      <c r="CS135" s="662"/>
      <c r="CT135" s="662"/>
      <c r="CU135" s="662"/>
      <c r="CV135" s="662"/>
      <c r="CW135" s="662"/>
      <c r="CX135" s="663"/>
      <c r="CY135" s="662"/>
    </row>
    <row r="136" spans="15:103" ht="4.1500000000000004" customHeight="1">
      <c r="Q136" s="516"/>
      <c r="V136" s="539"/>
      <c r="W136" s="540"/>
      <c r="X136" s="1578"/>
      <c r="Y136" s="1579"/>
      <c r="CH136" s="1512"/>
      <c r="CI136" s="1582"/>
      <c r="CJ136" s="1571"/>
      <c r="CK136" s="1572"/>
      <c r="CL136" s="662"/>
      <c r="CM136" s="662"/>
      <c r="CN136" s="662"/>
      <c r="CO136" s="2682"/>
      <c r="CP136" s="2682"/>
      <c r="CQ136" s="2682"/>
      <c r="CR136" s="2682"/>
      <c r="CS136" s="662"/>
      <c r="CT136" s="662"/>
      <c r="CU136" s="662"/>
      <c r="CV136" s="662"/>
      <c r="CW136" s="662"/>
      <c r="CX136" s="663"/>
      <c r="CY136" s="662"/>
    </row>
    <row r="137" spans="15:103" ht="4.1500000000000004" customHeight="1">
      <c r="Q137" s="516"/>
      <c r="V137" s="539"/>
      <c r="W137" s="540"/>
      <c r="X137" s="1578"/>
      <c r="Y137" s="1579"/>
      <c r="CH137" s="1512"/>
      <c r="CI137" s="1582"/>
      <c r="CJ137" s="1571"/>
      <c r="CK137" s="1572"/>
      <c r="CL137" s="662"/>
      <c r="CM137" s="662"/>
      <c r="CN137" s="662"/>
      <c r="CO137" s="2682"/>
      <c r="CP137" s="2682"/>
      <c r="CQ137" s="2682"/>
      <c r="CR137" s="2682"/>
      <c r="CS137" s="662"/>
      <c r="CT137" s="662"/>
      <c r="CU137" s="662"/>
      <c r="CV137" s="662"/>
      <c r="CW137" s="662"/>
      <c r="CX137" s="663"/>
      <c r="CY137" s="662"/>
    </row>
    <row r="138" spans="15:103" ht="4.1500000000000004" customHeight="1">
      <c r="Q138" s="516"/>
      <c r="V138" s="539"/>
      <c r="W138" s="540"/>
      <c r="X138" s="1589"/>
      <c r="Y138" s="1590"/>
      <c r="Z138" s="532"/>
      <c r="AA138" s="532"/>
      <c r="AB138" s="532"/>
      <c r="AC138" s="532"/>
      <c r="AD138" s="532"/>
      <c r="AE138" s="532"/>
      <c r="AF138" s="532"/>
      <c r="AG138" s="532"/>
      <c r="AH138" s="532"/>
      <c r="AI138" s="2679">
        <v>3.5249999999999999</v>
      </c>
      <c r="AJ138" s="2679"/>
      <c r="AK138" s="2679"/>
      <c r="AL138" s="2679"/>
      <c r="AM138" s="2679"/>
      <c r="AN138" s="2679"/>
      <c r="AO138" s="2679"/>
      <c r="AP138" s="2679"/>
      <c r="AQ138" s="532"/>
      <c r="AR138" s="532"/>
      <c r="AS138" s="532"/>
      <c r="AT138" s="532"/>
      <c r="AU138" s="532"/>
      <c r="AV138" s="532"/>
      <c r="AW138" s="532"/>
      <c r="AX138" s="532"/>
      <c r="AY138" s="532"/>
      <c r="AZ138" s="532"/>
      <c r="BA138" s="532"/>
      <c r="BB138" s="1591"/>
      <c r="BC138" s="1588"/>
      <c r="BD138" s="1577"/>
      <c r="BE138" s="1592"/>
      <c r="BF138" s="532"/>
      <c r="BG138" s="532"/>
      <c r="BH138" s="532"/>
      <c r="BI138" s="532"/>
      <c r="BJ138" s="532"/>
      <c r="BK138" s="532"/>
      <c r="BL138" s="532"/>
      <c r="BM138" s="532"/>
      <c r="BN138" s="532"/>
      <c r="BO138" s="2679">
        <v>3.5249999999999999</v>
      </c>
      <c r="BP138" s="2679"/>
      <c r="BQ138" s="2679"/>
      <c r="BR138" s="2679"/>
      <c r="BS138" s="2679"/>
      <c r="BT138" s="2679"/>
      <c r="BU138" s="2679"/>
      <c r="BV138" s="2679"/>
      <c r="BW138" s="532"/>
      <c r="BX138" s="532"/>
      <c r="BY138" s="532"/>
      <c r="BZ138" s="532"/>
      <c r="CA138" s="532"/>
      <c r="CB138" s="532"/>
      <c r="CC138" s="532"/>
      <c r="CD138" s="532"/>
      <c r="CE138" s="532"/>
      <c r="CF138" s="532"/>
      <c r="CG138" s="532"/>
      <c r="CH138" s="1593"/>
      <c r="CI138" s="1594"/>
      <c r="CJ138" s="1571"/>
      <c r="CK138" s="1572"/>
      <c r="CL138" s="662"/>
      <c r="CM138" s="662"/>
      <c r="CN138" s="662"/>
      <c r="CQ138" s="516"/>
      <c r="CS138" s="662"/>
      <c r="CT138" s="662"/>
      <c r="CU138" s="662"/>
      <c r="CV138" s="662"/>
      <c r="CW138" s="662"/>
      <c r="CX138" s="663"/>
      <c r="CY138" s="662"/>
    </row>
    <row r="139" spans="15:103" ht="4.1500000000000004" customHeight="1">
      <c r="Q139" s="516"/>
      <c r="V139" s="539"/>
      <c r="W139" s="540"/>
      <c r="X139" s="1578"/>
      <c r="Y139" s="1579"/>
      <c r="AI139" s="2679"/>
      <c r="AJ139" s="2679"/>
      <c r="AK139" s="2679"/>
      <c r="AL139" s="2679"/>
      <c r="AM139" s="2679"/>
      <c r="AN139" s="2679"/>
      <c r="AO139" s="2679"/>
      <c r="AP139" s="2679"/>
      <c r="BB139" s="1577"/>
      <c r="BC139" s="1588"/>
      <c r="BD139" s="1577"/>
      <c r="BE139" s="1588"/>
      <c r="BO139" s="2679"/>
      <c r="BP139" s="2679"/>
      <c r="BQ139" s="2679"/>
      <c r="BR139" s="2679"/>
      <c r="BS139" s="2679"/>
      <c r="BT139" s="2679"/>
      <c r="BU139" s="2679"/>
      <c r="BV139" s="2679"/>
      <c r="CH139" s="1512"/>
      <c r="CI139" s="1582"/>
      <c r="CJ139" s="1571"/>
      <c r="CK139" s="1572"/>
      <c r="CL139" s="662"/>
      <c r="CM139" s="662"/>
      <c r="CN139" s="662"/>
      <c r="CQ139" s="516"/>
      <c r="CS139" s="662"/>
      <c r="CT139" s="662"/>
      <c r="CU139" s="662"/>
      <c r="CV139" s="662"/>
      <c r="CW139" s="662"/>
      <c r="CX139" s="663"/>
      <c r="CY139" s="662"/>
    </row>
    <row r="140" spans="15:103" ht="4.1500000000000004" customHeight="1">
      <c r="Q140" s="516"/>
      <c r="V140" s="539"/>
      <c r="W140" s="540"/>
      <c r="X140" s="1578"/>
      <c r="Y140" s="1579"/>
      <c r="AI140" s="2679"/>
      <c r="AJ140" s="2679"/>
      <c r="AK140" s="2679"/>
      <c r="AL140" s="2679"/>
      <c r="AM140" s="2679"/>
      <c r="AN140" s="2679"/>
      <c r="AO140" s="2679"/>
      <c r="AP140" s="2679"/>
      <c r="BB140" s="1577"/>
      <c r="BC140" s="1588"/>
      <c r="BD140" s="1577"/>
      <c r="BE140" s="1588"/>
      <c r="BO140" s="2679"/>
      <c r="BP140" s="2679"/>
      <c r="BQ140" s="2679"/>
      <c r="BR140" s="2679"/>
      <c r="BS140" s="2679"/>
      <c r="BT140" s="2679"/>
      <c r="BU140" s="2679"/>
      <c r="BV140" s="2679"/>
      <c r="CH140" s="1512"/>
      <c r="CI140" s="1582"/>
      <c r="CJ140" s="1571"/>
      <c r="CK140" s="1572"/>
      <c r="CL140" s="662"/>
      <c r="CM140" s="662"/>
      <c r="CN140" s="662"/>
      <c r="CO140" s="662"/>
      <c r="CP140" s="662"/>
      <c r="CQ140" s="663"/>
      <c r="CR140" s="662"/>
      <c r="CS140" s="662"/>
      <c r="CT140" s="662"/>
      <c r="CU140" s="662"/>
      <c r="CV140" s="662"/>
      <c r="CW140" s="662"/>
      <c r="CX140" s="663"/>
      <c r="CY140" s="662"/>
    </row>
    <row r="141" spans="15:103" ht="4.1500000000000004" customHeight="1">
      <c r="Q141" s="516"/>
      <c r="V141" s="541"/>
      <c r="W141" s="542"/>
      <c r="X141" s="1580"/>
      <c r="Y141" s="1581"/>
      <c r="CJ141" s="539"/>
      <c r="CK141" s="540"/>
      <c r="CQ141" s="516"/>
      <c r="CX141" s="516"/>
    </row>
    <row r="142" spans="15:103" ht="4.1500000000000004" customHeight="1">
      <c r="Q142" s="516"/>
      <c r="V142" s="519"/>
      <c r="W142" s="521"/>
      <c r="X142" s="1559"/>
      <c r="Y142" s="537"/>
      <c r="Z142" s="537"/>
      <c r="AA142" s="537"/>
      <c r="AB142" s="537"/>
      <c r="AC142" s="537"/>
      <c r="AD142" s="537"/>
      <c r="AE142" s="537"/>
      <c r="AF142" s="537"/>
      <c r="AG142" s="537"/>
      <c r="AH142" s="537"/>
      <c r="AI142" s="537"/>
      <c r="AJ142" s="537"/>
      <c r="AK142" s="537"/>
      <c r="AL142" s="537"/>
      <c r="AM142" s="537"/>
      <c r="AN142" s="537"/>
      <c r="AO142" s="537"/>
      <c r="AP142" s="537"/>
      <c r="AQ142" s="537"/>
      <c r="AR142" s="537"/>
      <c r="AS142" s="537"/>
      <c r="AT142" s="537"/>
      <c r="AU142" s="537"/>
      <c r="AV142" s="537"/>
      <c r="AW142" s="537"/>
      <c r="AX142" s="537"/>
      <c r="AY142" s="537"/>
      <c r="AZ142" s="537"/>
      <c r="BA142" s="537"/>
      <c r="BB142" s="537"/>
      <c r="BC142" s="1565"/>
      <c r="BD142" s="1566"/>
      <c r="BE142" s="537"/>
      <c r="BF142" s="537"/>
      <c r="BG142" s="537"/>
      <c r="BH142" s="537"/>
      <c r="BI142" s="537"/>
      <c r="BJ142" s="537"/>
      <c r="BK142" s="537"/>
      <c r="BL142" s="537"/>
      <c r="BM142" s="537"/>
      <c r="BN142" s="537"/>
      <c r="BO142" s="537"/>
      <c r="BP142" s="537"/>
      <c r="BQ142" s="537"/>
      <c r="BR142" s="537"/>
      <c r="BS142" s="537"/>
      <c r="BT142" s="537"/>
      <c r="BU142" s="537"/>
      <c r="BV142" s="537"/>
      <c r="BW142" s="537"/>
      <c r="BX142" s="537"/>
      <c r="BY142" s="537"/>
      <c r="BZ142" s="537"/>
      <c r="CA142" s="537"/>
      <c r="CB142" s="537"/>
      <c r="CC142" s="537"/>
      <c r="CD142" s="537"/>
      <c r="CE142" s="537"/>
      <c r="CF142" s="537"/>
      <c r="CG142" s="537"/>
      <c r="CH142" s="537"/>
      <c r="CI142" s="537"/>
      <c r="CJ142" s="1573"/>
      <c r="CK142" s="1574"/>
      <c r="CO142" s="532"/>
      <c r="CP142" s="532"/>
      <c r="CQ142" s="530"/>
      <c r="CR142" s="532"/>
      <c r="CV142" s="532"/>
      <c r="CW142" s="532"/>
      <c r="CX142" s="530"/>
      <c r="CY142" s="532"/>
    </row>
    <row r="143" spans="15:103" ht="4.1500000000000004" customHeight="1">
      <c r="O143" s="532"/>
      <c r="P143" s="532"/>
      <c r="Q143" s="530"/>
      <c r="R143" s="532"/>
      <c r="V143" s="527"/>
      <c r="W143" s="529"/>
      <c r="X143" s="1561"/>
      <c r="Y143" s="557"/>
      <c r="Z143" s="557"/>
      <c r="AA143" s="557"/>
      <c r="AB143" s="557"/>
      <c r="AC143" s="557"/>
      <c r="AD143" s="557"/>
      <c r="AE143" s="557"/>
      <c r="AF143" s="557"/>
      <c r="AG143" s="557"/>
      <c r="AH143" s="557"/>
      <c r="AI143" s="557"/>
      <c r="AJ143" s="557"/>
      <c r="AK143" s="557"/>
      <c r="AL143" s="557"/>
      <c r="AM143" s="557"/>
      <c r="AN143" s="557"/>
      <c r="AO143" s="557"/>
      <c r="AP143" s="557"/>
      <c r="AQ143" s="557"/>
      <c r="AR143" s="557"/>
      <c r="AS143" s="557"/>
      <c r="AT143" s="557"/>
      <c r="AU143" s="557"/>
      <c r="AV143" s="557"/>
      <c r="AW143" s="557"/>
      <c r="AX143" s="557"/>
      <c r="AY143" s="557"/>
      <c r="AZ143" s="557"/>
      <c r="BA143" s="557"/>
      <c r="BB143" s="557"/>
      <c r="BC143" s="1567"/>
      <c r="BD143" s="1568"/>
      <c r="BE143" s="557"/>
      <c r="BF143" s="557"/>
      <c r="BG143" s="557"/>
      <c r="BH143" s="557"/>
      <c r="BI143" s="557"/>
      <c r="BJ143" s="557"/>
      <c r="BK143" s="557"/>
      <c r="BL143" s="557"/>
      <c r="BM143" s="557"/>
      <c r="BN143" s="557"/>
      <c r="BO143" s="557"/>
      <c r="BP143" s="557"/>
      <c r="BQ143" s="557"/>
      <c r="BR143" s="557"/>
      <c r="BS143" s="557"/>
      <c r="BT143" s="557"/>
      <c r="BU143" s="557"/>
      <c r="BV143" s="557"/>
      <c r="BW143" s="557"/>
      <c r="BX143" s="557"/>
      <c r="BY143" s="557"/>
      <c r="BZ143" s="557"/>
      <c r="CA143" s="557"/>
      <c r="CB143" s="557"/>
      <c r="CC143" s="557"/>
      <c r="CD143" s="557"/>
      <c r="CE143" s="557"/>
      <c r="CF143" s="557"/>
      <c r="CG143" s="557"/>
      <c r="CH143" s="557"/>
      <c r="CI143" s="557"/>
      <c r="CJ143" s="1575"/>
      <c r="CK143" s="1576"/>
    </row>
    <row r="144" spans="15:103" ht="4.1500000000000004" customHeight="1">
      <c r="V144" s="539"/>
      <c r="CK144" s="540"/>
    </row>
    <row r="145" spans="22:89" ht="4.1500000000000004" customHeight="1">
      <c r="V145" s="539"/>
      <c r="CK145" s="540"/>
    </row>
    <row r="146" spans="22:89" ht="4.1500000000000004" customHeight="1">
      <c r="V146" s="539"/>
      <c r="CK146" s="540"/>
    </row>
    <row r="147" spans="22:89" ht="4.1500000000000004" customHeight="1">
      <c r="V147" s="559"/>
      <c r="W147" s="557"/>
      <c r="X147" s="557"/>
      <c r="Y147" s="557"/>
      <c r="Z147" s="557"/>
      <c r="AA147" s="557"/>
      <c r="AB147" s="557"/>
      <c r="AC147" s="557"/>
      <c r="AD147" s="557"/>
      <c r="AE147" s="557"/>
      <c r="AF147" s="557"/>
      <c r="AG147" s="557"/>
      <c r="AH147" s="557"/>
      <c r="AI147" s="557"/>
      <c r="AJ147" s="557"/>
      <c r="AK147" s="557"/>
      <c r="AL147" s="557"/>
      <c r="AM147" s="557"/>
      <c r="AN147" s="557"/>
      <c r="AO147" s="557"/>
      <c r="AP147" s="557"/>
      <c r="AQ147" s="557"/>
      <c r="AR147" s="557"/>
      <c r="AS147" s="557"/>
      <c r="AT147" s="557"/>
      <c r="AU147" s="557"/>
      <c r="AV147" s="557"/>
      <c r="AW147" s="557"/>
      <c r="AX147" s="557"/>
      <c r="AY147" s="557"/>
      <c r="AZ147" s="557"/>
      <c r="BA147" s="557"/>
      <c r="BB147" s="557"/>
      <c r="BC147" s="557"/>
      <c r="BD147" s="557"/>
      <c r="BE147" s="557"/>
      <c r="BF147" s="557"/>
      <c r="BG147" s="557"/>
      <c r="BH147" s="557"/>
      <c r="BI147" s="557"/>
      <c r="BJ147" s="557"/>
      <c r="BK147" s="557"/>
      <c r="BL147" s="557"/>
      <c r="BM147" s="557"/>
      <c r="BN147" s="557"/>
      <c r="BO147" s="557"/>
      <c r="BP147" s="557"/>
      <c r="BQ147" s="557"/>
      <c r="BR147" s="557"/>
      <c r="BS147" s="557"/>
      <c r="BT147" s="557"/>
      <c r="BU147" s="557"/>
      <c r="BV147" s="557"/>
      <c r="BW147" s="557"/>
      <c r="BX147" s="557"/>
      <c r="BY147" s="557"/>
      <c r="BZ147" s="557"/>
      <c r="CA147" s="557"/>
      <c r="CB147" s="557"/>
      <c r="CC147" s="557"/>
      <c r="CD147" s="557"/>
      <c r="CE147" s="557"/>
      <c r="CF147" s="557"/>
      <c r="CG147" s="557"/>
      <c r="CH147" s="557"/>
      <c r="CI147" s="557"/>
      <c r="CJ147" s="557"/>
      <c r="CK147" s="560"/>
    </row>
    <row r="169" spans="65:238" ht="4.1500000000000004" customHeight="1">
      <c r="DK169" s="2668" t="str">
        <f>'Lead &amp; ANALYSIS'!B144</f>
        <v>Junior Engineer</v>
      </c>
      <c r="DL169" s="2668"/>
      <c r="DM169" s="2668"/>
      <c r="DN169" s="2668"/>
      <c r="DO169" s="2668"/>
      <c r="DP169" s="2668"/>
      <c r="DQ169" s="2668"/>
      <c r="DR169" s="2668"/>
      <c r="DS169" s="2668"/>
      <c r="DT169" s="2668"/>
      <c r="DU169" s="2668"/>
      <c r="DV169" s="2668"/>
      <c r="DW169" s="2668"/>
      <c r="DX169" s="2668"/>
      <c r="DY169" s="2668"/>
      <c r="DZ169" s="2668"/>
      <c r="EA169" s="2668"/>
      <c r="EB169" s="2668"/>
      <c r="EC169" s="2668"/>
      <c r="ED169" s="2668"/>
      <c r="EE169" s="2668"/>
      <c r="EF169" s="2668"/>
      <c r="EG169" s="2668"/>
      <c r="EH169" s="2668"/>
      <c r="EI169" s="2668"/>
      <c r="EJ169" s="2668"/>
      <c r="EK169" s="2668"/>
      <c r="EL169" s="2668"/>
      <c r="EM169" s="2668"/>
      <c r="EN169" s="2668"/>
      <c r="EO169" s="2668"/>
      <c r="EP169" s="2668"/>
      <c r="EQ169" s="2668"/>
      <c r="ER169" s="561"/>
      <c r="ES169" s="561"/>
      <c r="ET169" s="561"/>
      <c r="EU169" s="561"/>
      <c r="EV169" s="561"/>
      <c r="EW169" s="561"/>
      <c r="EX169" s="561"/>
      <c r="EY169" s="561"/>
      <c r="EZ169" s="561"/>
      <c r="FA169" s="2668" t="str">
        <f>'Lead &amp; ANALYSIS'!G144</f>
        <v>Assistant Executive Engineer</v>
      </c>
      <c r="FB169" s="2668"/>
      <c r="FC169" s="2668"/>
      <c r="FD169" s="2668"/>
      <c r="FE169" s="2668"/>
      <c r="FF169" s="2668"/>
      <c r="FG169" s="2668"/>
      <c r="FH169" s="2668"/>
      <c r="FI169" s="2668"/>
      <c r="FJ169" s="2668"/>
      <c r="FK169" s="2668"/>
      <c r="FL169" s="2668"/>
      <c r="FM169" s="2668"/>
      <c r="FN169" s="2668"/>
      <c r="FO169" s="2668"/>
      <c r="FP169" s="2668"/>
      <c r="FQ169" s="2668"/>
      <c r="FR169" s="2668"/>
      <c r="FS169" s="2668"/>
      <c r="FT169" s="2668"/>
      <c r="FU169" s="2668"/>
      <c r="FV169" s="2668"/>
      <c r="FW169" s="2668"/>
      <c r="FX169" s="2668"/>
      <c r="FY169" s="2668"/>
      <c r="FZ169" s="2668"/>
      <c r="GA169" s="2668"/>
      <c r="GB169" s="2668"/>
      <c r="GC169" s="2668"/>
      <c r="GD169" s="2668"/>
      <c r="GE169" s="2668"/>
      <c r="GF169" s="2668"/>
      <c r="GG169" s="2668"/>
      <c r="GH169" s="2668"/>
      <c r="GI169" s="2668"/>
      <c r="GJ169" s="2668"/>
      <c r="GK169" s="2668"/>
      <c r="GL169" s="2668"/>
      <c r="GM169" s="561"/>
      <c r="GN169" s="561"/>
      <c r="GO169" s="561"/>
      <c r="GP169" s="561"/>
      <c r="GQ169" s="561"/>
      <c r="GR169" s="561"/>
      <c r="GS169" s="561"/>
      <c r="GT169" s="561"/>
      <c r="GU169" s="2668" t="str">
        <f>'Lead &amp; ANALYSIS'!L144</f>
        <v>Block Development Officer</v>
      </c>
      <c r="GV169" s="2668"/>
      <c r="GW169" s="2668"/>
      <c r="GX169" s="2668"/>
      <c r="GY169" s="2668"/>
      <c r="GZ169" s="2668"/>
      <c r="HA169" s="2668"/>
      <c r="HB169" s="2668"/>
      <c r="HC169" s="2668"/>
      <c r="HD169" s="2668"/>
      <c r="HE169" s="2668"/>
      <c r="HF169" s="2668"/>
      <c r="HG169" s="2668"/>
      <c r="HH169" s="2668"/>
      <c r="HI169" s="2668"/>
      <c r="HJ169" s="2668"/>
      <c r="HK169" s="2668"/>
      <c r="HL169" s="2668"/>
      <c r="HM169" s="2668"/>
      <c r="HN169" s="2668"/>
      <c r="HO169" s="2668"/>
      <c r="HP169" s="2668"/>
      <c r="HQ169" s="2668"/>
      <c r="HR169" s="2668"/>
      <c r="HS169" s="2668"/>
      <c r="HT169" s="2668"/>
      <c r="HU169" s="2668"/>
      <c r="HV169" s="2668"/>
      <c r="HW169" s="2668"/>
      <c r="HX169" s="2668"/>
      <c r="HY169" s="2668"/>
      <c r="HZ169" s="2668"/>
      <c r="IA169" s="2668"/>
      <c r="IB169" s="2668"/>
      <c r="IC169" s="2668"/>
      <c r="ID169" s="2668"/>
    </row>
    <row r="170" spans="65:238" ht="4.1500000000000004" customHeight="1">
      <c r="BM170" s="496"/>
      <c r="BN170" s="496"/>
      <c r="BO170" s="496"/>
      <c r="BP170" s="496"/>
      <c r="BQ170" s="496"/>
      <c r="BR170" s="496"/>
      <c r="BS170" s="496"/>
      <c r="BT170" s="496"/>
      <c r="BU170" s="496"/>
      <c r="BV170" s="496"/>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K170" s="2668"/>
      <c r="DL170" s="2668"/>
      <c r="DM170" s="2668"/>
      <c r="DN170" s="2668"/>
      <c r="DO170" s="2668"/>
      <c r="DP170" s="2668"/>
      <c r="DQ170" s="2668"/>
      <c r="DR170" s="2668"/>
      <c r="DS170" s="2668"/>
      <c r="DT170" s="2668"/>
      <c r="DU170" s="2668"/>
      <c r="DV170" s="2668"/>
      <c r="DW170" s="2668"/>
      <c r="DX170" s="2668"/>
      <c r="DY170" s="2668"/>
      <c r="DZ170" s="2668"/>
      <c r="EA170" s="2668"/>
      <c r="EB170" s="2668"/>
      <c r="EC170" s="2668"/>
      <c r="ED170" s="2668"/>
      <c r="EE170" s="2668"/>
      <c r="EF170" s="2668"/>
      <c r="EG170" s="2668"/>
      <c r="EH170" s="2668"/>
      <c r="EI170" s="2668"/>
      <c r="EJ170" s="2668"/>
      <c r="EK170" s="2668"/>
      <c r="EL170" s="2668"/>
      <c r="EM170" s="2668"/>
      <c r="EN170" s="2668"/>
      <c r="EO170" s="2668"/>
      <c r="EP170" s="2668"/>
      <c r="EQ170" s="2668"/>
      <c r="ER170" s="562"/>
      <c r="ES170" s="562"/>
      <c r="ET170" s="562"/>
      <c r="EU170" s="562"/>
      <c r="EV170" s="562"/>
      <c r="EW170" s="562"/>
      <c r="EX170" s="562"/>
      <c r="EY170" s="562"/>
      <c r="EZ170" s="562"/>
      <c r="FA170" s="2668"/>
      <c r="FB170" s="2668"/>
      <c r="FC170" s="2668"/>
      <c r="FD170" s="2668"/>
      <c r="FE170" s="2668"/>
      <c r="FF170" s="2668"/>
      <c r="FG170" s="2668"/>
      <c r="FH170" s="2668"/>
      <c r="FI170" s="2668"/>
      <c r="FJ170" s="2668"/>
      <c r="FK170" s="2668"/>
      <c r="FL170" s="2668"/>
      <c r="FM170" s="2668"/>
      <c r="FN170" s="2668"/>
      <c r="FO170" s="2668"/>
      <c r="FP170" s="2668"/>
      <c r="FQ170" s="2668"/>
      <c r="FR170" s="2668"/>
      <c r="FS170" s="2668"/>
      <c r="FT170" s="2668"/>
      <c r="FU170" s="2668"/>
      <c r="FV170" s="2668"/>
      <c r="FW170" s="2668"/>
      <c r="FX170" s="2668"/>
      <c r="FY170" s="2668"/>
      <c r="FZ170" s="2668"/>
      <c r="GA170" s="2668"/>
      <c r="GB170" s="2668"/>
      <c r="GC170" s="2668"/>
      <c r="GD170" s="2668"/>
      <c r="GE170" s="2668"/>
      <c r="GF170" s="2668"/>
      <c r="GG170" s="2668"/>
      <c r="GH170" s="2668"/>
      <c r="GI170" s="2668"/>
      <c r="GJ170" s="2668"/>
      <c r="GK170" s="2668"/>
      <c r="GL170" s="2668"/>
      <c r="GM170" s="561"/>
      <c r="GN170" s="561"/>
      <c r="GO170" s="561"/>
      <c r="GP170" s="561"/>
      <c r="GQ170" s="561"/>
      <c r="GR170" s="561"/>
      <c r="GS170" s="561"/>
      <c r="GT170" s="561"/>
      <c r="GU170" s="2668"/>
      <c r="GV170" s="2668"/>
      <c r="GW170" s="2668"/>
      <c r="GX170" s="2668"/>
      <c r="GY170" s="2668"/>
      <c r="GZ170" s="2668"/>
      <c r="HA170" s="2668"/>
      <c r="HB170" s="2668"/>
      <c r="HC170" s="2668"/>
      <c r="HD170" s="2668"/>
      <c r="HE170" s="2668"/>
      <c r="HF170" s="2668"/>
      <c r="HG170" s="2668"/>
      <c r="HH170" s="2668"/>
      <c r="HI170" s="2668"/>
      <c r="HJ170" s="2668"/>
      <c r="HK170" s="2668"/>
      <c r="HL170" s="2668"/>
      <c r="HM170" s="2668"/>
      <c r="HN170" s="2668"/>
      <c r="HO170" s="2668"/>
      <c r="HP170" s="2668"/>
      <c r="HQ170" s="2668"/>
      <c r="HR170" s="2668"/>
      <c r="HS170" s="2668"/>
      <c r="HT170" s="2668"/>
      <c r="HU170" s="2668"/>
      <c r="HV170" s="2668"/>
      <c r="HW170" s="2668"/>
      <c r="HX170" s="2668"/>
      <c r="HY170" s="2668"/>
      <c r="HZ170" s="2668"/>
      <c r="IA170" s="2668"/>
      <c r="IB170" s="2668"/>
      <c r="IC170" s="2668"/>
      <c r="ID170" s="2668"/>
    </row>
    <row r="171" spans="65:238" ht="4.1500000000000004" customHeight="1">
      <c r="BM171" s="496"/>
      <c r="BN171" s="496"/>
      <c r="BO171" s="496"/>
      <c r="BP171" s="496"/>
      <c r="BQ171" s="496"/>
      <c r="BR171" s="496"/>
      <c r="BS171" s="496"/>
      <c r="BT171" s="496"/>
      <c r="BU171" s="496"/>
      <c r="BV171" s="496"/>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K171" s="2668"/>
      <c r="DL171" s="2668"/>
      <c r="DM171" s="2668"/>
      <c r="DN171" s="2668"/>
      <c r="DO171" s="2668"/>
      <c r="DP171" s="2668"/>
      <c r="DQ171" s="2668"/>
      <c r="DR171" s="2668"/>
      <c r="DS171" s="2668"/>
      <c r="DT171" s="2668"/>
      <c r="DU171" s="2668"/>
      <c r="DV171" s="2668"/>
      <c r="DW171" s="2668"/>
      <c r="DX171" s="2668"/>
      <c r="DY171" s="2668"/>
      <c r="DZ171" s="2668"/>
      <c r="EA171" s="2668"/>
      <c r="EB171" s="2668"/>
      <c r="EC171" s="2668"/>
      <c r="ED171" s="2668"/>
      <c r="EE171" s="2668"/>
      <c r="EF171" s="2668"/>
      <c r="EG171" s="2668"/>
      <c r="EH171" s="2668"/>
      <c r="EI171" s="2668"/>
      <c r="EJ171" s="2668"/>
      <c r="EK171" s="2668"/>
      <c r="EL171" s="2668"/>
      <c r="EM171" s="2668"/>
      <c r="EN171" s="2668"/>
      <c r="EO171" s="2668"/>
      <c r="EP171" s="2668"/>
      <c r="EQ171" s="2668"/>
      <c r="ER171" s="562"/>
      <c r="ES171" s="562"/>
      <c r="ET171" s="562"/>
      <c r="EU171" s="562"/>
      <c r="EV171" s="562"/>
      <c r="EW171" s="562"/>
      <c r="EX171" s="562"/>
      <c r="EY171" s="562"/>
      <c r="EZ171" s="562"/>
      <c r="FA171" s="2668"/>
      <c r="FB171" s="2668"/>
      <c r="FC171" s="2668"/>
      <c r="FD171" s="2668"/>
      <c r="FE171" s="2668"/>
      <c r="FF171" s="2668"/>
      <c r="FG171" s="2668"/>
      <c r="FH171" s="2668"/>
      <c r="FI171" s="2668"/>
      <c r="FJ171" s="2668"/>
      <c r="FK171" s="2668"/>
      <c r="FL171" s="2668"/>
      <c r="FM171" s="2668"/>
      <c r="FN171" s="2668"/>
      <c r="FO171" s="2668"/>
      <c r="FP171" s="2668"/>
      <c r="FQ171" s="2668"/>
      <c r="FR171" s="2668"/>
      <c r="FS171" s="2668"/>
      <c r="FT171" s="2668"/>
      <c r="FU171" s="2668"/>
      <c r="FV171" s="2668"/>
      <c r="FW171" s="2668"/>
      <c r="FX171" s="2668"/>
      <c r="FY171" s="2668"/>
      <c r="FZ171" s="2668"/>
      <c r="GA171" s="2668"/>
      <c r="GB171" s="2668"/>
      <c r="GC171" s="2668"/>
      <c r="GD171" s="2668"/>
      <c r="GE171" s="2668"/>
      <c r="GF171" s="2668"/>
      <c r="GG171" s="2668"/>
      <c r="GH171" s="2668"/>
      <c r="GI171" s="2668"/>
      <c r="GJ171" s="2668"/>
      <c r="GK171" s="2668"/>
      <c r="GL171" s="2668"/>
      <c r="GM171" s="561"/>
      <c r="GN171" s="561"/>
      <c r="GO171" s="561"/>
      <c r="GP171" s="561"/>
      <c r="GQ171" s="561"/>
      <c r="GR171" s="561"/>
      <c r="GS171" s="561"/>
      <c r="GT171" s="561"/>
      <c r="GU171" s="2668"/>
      <c r="GV171" s="2668"/>
      <c r="GW171" s="2668"/>
      <c r="GX171" s="2668"/>
      <c r="GY171" s="2668"/>
      <c r="GZ171" s="2668"/>
      <c r="HA171" s="2668"/>
      <c r="HB171" s="2668"/>
      <c r="HC171" s="2668"/>
      <c r="HD171" s="2668"/>
      <c r="HE171" s="2668"/>
      <c r="HF171" s="2668"/>
      <c r="HG171" s="2668"/>
      <c r="HH171" s="2668"/>
      <c r="HI171" s="2668"/>
      <c r="HJ171" s="2668"/>
      <c r="HK171" s="2668"/>
      <c r="HL171" s="2668"/>
      <c r="HM171" s="2668"/>
      <c r="HN171" s="2668"/>
      <c r="HO171" s="2668"/>
      <c r="HP171" s="2668"/>
      <c r="HQ171" s="2668"/>
      <c r="HR171" s="2668"/>
      <c r="HS171" s="2668"/>
      <c r="HT171" s="2668"/>
      <c r="HU171" s="2668"/>
      <c r="HV171" s="2668"/>
      <c r="HW171" s="2668"/>
      <c r="HX171" s="2668"/>
      <c r="HY171" s="2668"/>
      <c r="HZ171" s="2668"/>
      <c r="IA171" s="2668"/>
      <c r="IB171" s="2668"/>
      <c r="IC171" s="2668"/>
      <c r="ID171" s="2668"/>
    </row>
    <row r="172" spans="65:238" ht="4.1500000000000004" customHeight="1">
      <c r="BM172" s="496"/>
      <c r="BN172" s="496"/>
      <c r="BO172" s="496"/>
      <c r="BP172" s="496"/>
      <c r="BQ172" s="496"/>
      <c r="BR172" s="496"/>
      <c r="BS172" s="496"/>
      <c r="BT172" s="496"/>
      <c r="BU172" s="496"/>
      <c r="BV172" s="496"/>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K172" s="2668" t="str">
        <f>'Lead &amp; ANALYSIS'!B145</f>
        <v>Bhuban  Block</v>
      </c>
      <c r="DL172" s="2668"/>
      <c r="DM172" s="2668"/>
      <c r="DN172" s="2668"/>
      <c r="DO172" s="2668"/>
      <c r="DP172" s="2668"/>
      <c r="DQ172" s="2668"/>
      <c r="DR172" s="2668"/>
      <c r="DS172" s="2668"/>
      <c r="DT172" s="2668"/>
      <c r="DU172" s="2668"/>
      <c r="DV172" s="2668"/>
      <c r="DW172" s="2668"/>
      <c r="DX172" s="2668"/>
      <c r="DY172" s="2668"/>
      <c r="DZ172" s="2668"/>
      <c r="EA172" s="2668"/>
      <c r="EB172" s="2668"/>
      <c r="EC172" s="2668"/>
      <c r="ED172" s="2668"/>
      <c r="EE172" s="2668"/>
      <c r="EF172" s="2668"/>
      <c r="EG172" s="2668"/>
      <c r="EH172" s="2668"/>
      <c r="EI172" s="2668"/>
      <c r="EJ172" s="2668"/>
      <c r="EK172" s="2668"/>
      <c r="EL172" s="2668"/>
      <c r="EM172" s="2668"/>
      <c r="EN172" s="2668"/>
      <c r="EO172" s="2668"/>
      <c r="EP172" s="2668"/>
      <c r="EQ172" s="2668"/>
      <c r="ER172" s="562"/>
      <c r="ES172" s="562"/>
      <c r="ET172" s="562"/>
      <c r="EU172" s="562"/>
      <c r="EV172" s="562"/>
      <c r="EW172" s="562"/>
      <c r="EX172" s="562"/>
      <c r="EY172" s="562"/>
      <c r="EZ172" s="562"/>
      <c r="FA172" s="562"/>
      <c r="FB172" s="562"/>
      <c r="FC172" s="2668" t="str">
        <f>'Lead &amp; ANALYSIS'!G145</f>
        <v>Bhuban  Block</v>
      </c>
      <c r="FD172" s="2668"/>
      <c r="FE172" s="2668"/>
      <c r="FF172" s="2668"/>
      <c r="FG172" s="2668"/>
      <c r="FH172" s="2668"/>
      <c r="FI172" s="2668"/>
      <c r="FJ172" s="2668"/>
      <c r="FK172" s="2668"/>
      <c r="FL172" s="2668"/>
      <c r="FM172" s="2668"/>
      <c r="FN172" s="2668"/>
      <c r="FO172" s="2668"/>
      <c r="FP172" s="2668"/>
      <c r="FQ172" s="2668"/>
      <c r="FR172" s="2668"/>
      <c r="FS172" s="2668"/>
      <c r="FT172" s="2668"/>
      <c r="FU172" s="2668"/>
      <c r="FV172" s="2668"/>
      <c r="FW172" s="2668"/>
      <c r="FX172" s="2668"/>
      <c r="FY172" s="2668"/>
      <c r="FZ172" s="2668"/>
      <c r="GA172" s="2668"/>
      <c r="GB172" s="2668"/>
      <c r="GC172" s="2668"/>
      <c r="GD172" s="2668"/>
      <c r="GE172" s="2668"/>
      <c r="GF172" s="2668"/>
      <c r="GG172" s="2668"/>
      <c r="GH172" s="2668"/>
      <c r="GI172" s="2668"/>
      <c r="GJ172" s="2668"/>
      <c r="GK172" s="562"/>
      <c r="GL172" s="562"/>
      <c r="GM172" s="561"/>
      <c r="GN172" s="561"/>
      <c r="GO172" s="561"/>
      <c r="GP172" s="561"/>
      <c r="GQ172" s="561"/>
      <c r="GR172" s="561"/>
      <c r="GS172" s="561"/>
      <c r="GT172" s="561"/>
      <c r="GU172" s="2668" t="str">
        <f>'Lead &amp; ANALYSIS'!L145</f>
        <v>Bhuban</v>
      </c>
      <c r="GV172" s="2668"/>
      <c r="GW172" s="2668"/>
      <c r="GX172" s="2668"/>
      <c r="GY172" s="2668"/>
      <c r="GZ172" s="2668"/>
      <c r="HA172" s="2668"/>
      <c r="HB172" s="2668"/>
      <c r="HC172" s="2668"/>
      <c r="HD172" s="2668"/>
      <c r="HE172" s="2668"/>
      <c r="HF172" s="2668"/>
      <c r="HG172" s="2668"/>
      <c r="HH172" s="2668"/>
      <c r="HI172" s="2668"/>
      <c r="HJ172" s="2668"/>
      <c r="HK172" s="2668"/>
      <c r="HL172" s="2668"/>
      <c r="HM172" s="2668"/>
      <c r="HN172" s="2668"/>
      <c r="HO172" s="2668"/>
      <c r="HP172" s="2668"/>
      <c r="HQ172" s="2668"/>
      <c r="HR172" s="2668"/>
      <c r="HS172" s="2668"/>
      <c r="HT172" s="2668"/>
      <c r="HU172" s="2668"/>
      <c r="HV172" s="2668"/>
      <c r="HW172" s="2668"/>
      <c r="HX172" s="2668"/>
      <c r="HY172" s="2668"/>
      <c r="HZ172" s="2668"/>
      <c r="IA172" s="2668"/>
      <c r="IB172" s="2668"/>
      <c r="IC172" s="2668"/>
      <c r="ID172" s="2668"/>
    </row>
    <row r="173" spans="65:238" ht="4.1500000000000004" customHeight="1">
      <c r="BM173" s="496"/>
      <c r="BN173" s="496"/>
      <c r="BO173" s="496"/>
      <c r="BP173" s="496"/>
      <c r="BQ173" s="496"/>
      <c r="BR173" s="496"/>
      <c r="BS173" s="496"/>
      <c r="BT173" s="496"/>
      <c r="BU173" s="496"/>
      <c r="BV173" s="496"/>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K173" s="2668"/>
      <c r="DL173" s="2668"/>
      <c r="DM173" s="2668"/>
      <c r="DN173" s="2668"/>
      <c r="DO173" s="2668"/>
      <c r="DP173" s="2668"/>
      <c r="DQ173" s="2668"/>
      <c r="DR173" s="2668"/>
      <c r="DS173" s="2668"/>
      <c r="DT173" s="2668"/>
      <c r="DU173" s="2668"/>
      <c r="DV173" s="2668"/>
      <c r="DW173" s="2668"/>
      <c r="DX173" s="2668"/>
      <c r="DY173" s="2668"/>
      <c r="DZ173" s="2668"/>
      <c r="EA173" s="2668"/>
      <c r="EB173" s="2668"/>
      <c r="EC173" s="2668"/>
      <c r="ED173" s="2668"/>
      <c r="EE173" s="2668"/>
      <c r="EF173" s="2668"/>
      <c r="EG173" s="2668"/>
      <c r="EH173" s="2668"/>
      <c r="EI173" s="2668"/>
      <c r="EJ173" s="2668"/>
      <c r="EK173" s="2668"/>
      <c r="EL173" s="2668"/>
      <c r="EM173" s="2668"/>
      <c r="EN173" s="2668"/>
      <c r="EO173" s="2668"/>
      <c r="EP173" s="2668"/>
      <c r="EQ173" s="2668"/>
      <c r="ER173" s="562"/>
      <c r="ES173" s="562"/>
      <c r="ET173" s="562"/>
      <c r="EU173" s="562"/>
      <c r="EV173" s="562"/>
      <c r="EW173" s="562"/>
      <c r="EX173" s="562"/>
      <c r="EY173" s="562"/>
      <c r="EZ173" s="562"/>
      <c r="FA173" s="562"/>
      <c r="FB173" s="562"/>
      <c r="FC173" s="2668"/>
      <c r="FD173" s="2668"/>
      <c r="FE173" s="2668"/>
      <c r="FF173" s="2668"/>
      <c r="FG173" s="2668"/>
      <c r="FH173" s="2668"/>
      <c r="FI173" s="2668"/>
      <c r="FJ173" s="2668"/>
      <c r="FK173" s="2668"/>
      <c r="FL173" s="2668"/>
      <c r="FM173" s="2668"/>
      <c r="FN173" s="2668"/>
      <c r="FO173" s="2668"/>
      <c r="FP173" s="2668"/>
      <c r="FQ173" s="2668"/>
      <c r="FR173" s="2668"/>
      <c r="FS173" s="2668"/>
      <c r="FT173" s="2668"/>
      <c r="FU173" s="2668"/>
      <c r="FV173" s="2668"/>
      <c r="FW173" s="2668"/>
      <c r="FX173" s="2668"/>
      <c r="FY173" s="2668"/>
      <c r="FZ173" s="2668"/>
      <c r="GA173" s="2668"/>
      <c r="GB173" s="2668"/>
      <c r="GC173" s="2668"/>
      <c r="GD173" s="2668"/>
      <c r="GE173" s="2668"/>
      <c r="GF173" s="2668"/>
      <c r="GG173" s="2668"/>
      <c r="GH173" s="2668"/>
      <c r="GI173" s="2668"/>
      <c r="GJ173" s="2668"/>
      <c r="GK173" s="562"/>
      <c r="GL173" s="562"/>
      <c r="GM173" s="561"/>
      <c r="GN173" s="561"/>
      <c r="GO173" s="561"/>
      <c r="GP173" s="561"/>
      <c r="GQ173" s="561"/>
      <c r="GR173" s="561"/>
      <c r="GS173" s="561"/>
      <c r="GT173" s="561"/>
      <c r="GU173" s="2668"/>
      <c r="GV173" s="2668"/>
      <c r="GW173" s="2668"/>
      <c r="GX173" s="2668"/>
      <c r="GY173" s="2668"/>
      <c r="GZ173" s="2668"/>
      <c r="HA173" s="2668"/>
      <c r="HB173" s="2668"/>
      <c r="HC173" s="2668"/>
      <c r="HD173" s="2668"/>
      <c r="HE173" s="2668"/>
      <c r="HF173" s="2668"/>
      <c r="HG173" s="2668"/>
      <c r="HH173" s="2668"/>
      <c r="HI173" s="2668"/>
      <c r="HJ173" s="2668"/>
      <c r="HK173" s="2668"/>
      <c r="HL173" s="2668"/>
      <c r="HM173" s="2668"/>
      <c r="HN173" s="2668"/>
      <c r="HO173" s="2668"/>
      <c r="HP173" s="2668"/>
      <c r="HQ173" s="2668"/>
      <c r="HR173" s="2668"/>
      <c r="HS173" s="2668"/>
      <c r="HT173" s="2668"/>
      <c r="HU173" s="2668"/>
      <c r="HV173" s="2668"/>
      <c r="HW173" s="2668"/>
      <c r="HX173" s="2668"/>
      <c r="HY173" s="2668"/>
      <c r="HZ173" s="2668"/>
      <c r="IA173" s="2668"/>
      <c r="IB173" s="2668"/>
      <c r="IC173" s="2668"/>
      <c r="ID173" s="2668"/>
    </row>
    <row r="174" spans="65:238" ht="4.1500000000000004" customHeight="1">
      <c r="BM174" s="496"/>
      <c r="BN174" s="496"/>
      <c r="BO174" s="496"/>
      <c r="BP174" s="496"/>
      <c r="BQ174" s="496"/>
      <c r="BR174" s="496"/>
      <c r="BS174" s="496"/>
      <c r="BT174" s="496"/>
      <c r="BU174" s="496"/>
      <c r="BV174" s="496"/>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K174" s="2668"/>
      <c r="DL174" s="2668"/>
      <c r="DM174" s="2668"/>
      <c r="DN174" s="2668"/>
      <c r="DO174" s="2668"/>
      <c r="DP174" s="2668"/>
      <c r="DQ174" s="2668"/>
      <c r="DR174" s="2668"/>
      <c r="DS174" s="2668"/>
      <c r="DT174" s="2668"/>
      <c r="DU174" s="2668"/>
      <c r="DV174" s="2668"/>
      <c r="DW174" s="2668"/>
      <c r="DX174" s="2668"/>
      <c r="DY174" s="2668"/>
      <c r="DZ174" s="2668"/>
      <c r="EA174" s="2668"/>
      <c r="EB174" s="2668"/>
      <c r="EC174" s="2668"/>
      <c r="ED174" s="2668"/>
      <c r="EE174" s="2668"/>
      <c r="EF174" s="2668"/>
      <c r="EG174" s="2668"/>
      <c r="EH174" s="2668"/>
      <c r="EI174" s="2668"/>
      <c r="EJ174" s="2668"/>
      <c r="EK174" s="2668"/>
      <c r="EL174" s="2668"/>
      <c r="EM174" s="2668"/>
      <c r="EN174" s="2668"/>
      <c r="EO174" s="2668"/>
      <c r="EP174" s="2668"/>
      <c r="EQ174" s="2668"/>
      <c r="ER174" s="562"/>
      <c r="ES174" s="562"/>
      <c r="ET174" s="562"/>
      <c r="EU174" s="562"/>
      <c r="EV174" s="562"/>
      <c r="EW174" s="562"/>
      <c r="EX174" s="562"/>
      <c r="EY174" s="562"/>
      <c r="EZ174" s="562"/>
      <c r="FA174" s="562"/>
      <c r="FB174" s="562"/>
      <c r="FC174" s="2668"/>
      <c r="FD174" s="2668"/>
      <c r="FE174" s="2668"/>
      <c r="FF174" s="2668"/>
      <c r="FG174" s="2668"/>
      <c r="FH174" s="2668"/>
      <c r="FI174" s="2668"/>
      <c r="FJ174" s="2668"/>
      <c r="FK174" s="2668"/>
      <c r="FL174" s="2668"/>
      <c r="FM174" s="2668"/>
      <c r="FN174" s="2668"/>
      <c r="FO174" s="2668"/>
      <c r="FP174" s="2668"/>
      <c r="FQ174" s="2668"/>
      <c r="FR174" s="2668"/>
      <c r="FS174" s="2668"/>
      <c r="FT174" s="2668"/>
      <c r="FU174" s="2668"/>
      <c r="FV174" s="2668"/>
      <c r="FW174" s="2668"/>
      <c r="FX174" s="2668"/>
      <c r="FY174" s="2668"/>
      <c r="FZ174" s="2668"/>
      <c r="GA174" s="2668"/>
      <c r="GB174" s="2668"/>
      <c r="GC174" s="2668"/>
      <c r="GD174" s="2668"/>
      <c r="GE174" s="2668"/>
      <c r="GF174" s="2668"/>
      <c r="GG174" s="2668"/>
      <c r="GH174" s="2668"/>
      <c r="GI174" s="2668"/>
      <c r="GJ174" s="2668"/>
      <c r="GK174" s="562"/>
      <c r="GL174" s="562"/>
      <c r="GM174" s="561"/>
      <c r="GN174" s="561"/>
      <c r="GO174" s="561"/>
      <c r="GP174" s="561"/>
      <c r="GQ174" s="561"/>
      <c r="GR174" s="561"/>
      <c r="GS174" s="561"/>
      <c r="GT174" s="561"/>
      <c r="GU174" s="2668"/>
      <c r="GV174" s="2668"/>
      <c r="GW174" s="2668"/>
      <c r="GX174" s="2668"/>
      <c r="GY174" s="2668"/>
      <c r="GZ174" s="2668"/>
      <c r="HA174" s="2668"/>
      <c r="HB174" s="2668"/>
      <c r="HC174" s="2668"/>
      <c r="HD174" s="2668"/>
      <c r="HE174" s="2668"/>
      <c r="HF174" s="2668"/>
      <c r="HG174" s="2668"/>
      <c r="HH174" s="2668"/>
      <c r="HI174" s="2668"/>
      <c r="HJ174" s="2668"/>
      <c r="HK174" s="2668"/>
      <c r="HL174" s="2668"/>
      <c r="HM174" s="2668"/>
      <c r="HN174" s="2668"/>
      <c r="HO174" s="2668"/>
      <c r="HP174" s="2668"/>
      <c r="HQ174" s="2668"/>
      <c r="HR174" s="2668"/>
      <c r="HS174" s="2668"/>
      <c r="HT174" s="2668"/>
      <c r="HU174" s="2668"/>
      <c r="HV174" s="2668"/>
      <c r="HW174" s="2668"/>
      <c r="HX174" s="2668"/>
      <c r="HY174" s="2668"/>
      <c r="HZ174" s="2668"/>
      <c r="IA174" s="2668"/>
      <c r="IB174" s="2668"/>
      <c r="IC174" s="2668"/>
      <c r="ID174" s="2668"/>
    </row>
    <row r="175" spans="65:238" ht="4.1500000000000004" customHeight="1">
      <c r="BM175" s="496"/>
      <c r="BN175" s="496"/>
      <c r="BO175" s="496"/>
      <c r="BP175" s="496"/>
      <c r="BQ175" s="496"/>
      <c r="BR175" s="496"/>
      <c r="BS175" s="496"/>
      <c r="BT175" s="496"/>
      <c r="BU175" s="496"/>
      <c r="BV175" s="496"/>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row>
  </sheetData>
  <mergeCells count="134">
    <mergeCell ref="DX31:ED33"/>
    <mergeCell ref="DL32:DO41"/>
    <mergeCell ref="EY35:FB44"/>
    <mergeCell ref="HG35:HJ44"/>
    <mergeCell ref="JA14:JG15"/>
    <mergeCell ref="EC15:ED20"/>
    <mergeCell ref="HC15:HN17"/>
    <mergeCell ref="EY16:FB25"/>
    <mergeCell ref="IT16:IW24"/>
    <mergeCell ref="HC20:HN22"/>
    <mergeCell ref="FR49:FX51"/>
    <mergeCell ref="EU53:FF55"/>
    <mergeCell ref="FK53:FN61"/>
    <mergeCell ref="EE56:EI61"/>
    <mergeCell ref="EU58:FF60"/>
    <mergeCell ref="FR59:FX61"/>
    <mergeCell ref="II26:IP28"/>
    <mergeCell ref="EU27:FF29"/>
    <mergeCell ref="HC27:HN29"/>
    <mergeCell ref="FJ30:FM39"/>
    <mergeCell ref="AW62:BJ65"/>
    <mergeCell ref="EC62:EK66"/>
    <mergeCell ref="EU63:FF65"/>
    <mergeCell ref="GV63:GY68"/>
    <mergeCell ref="HN64:HX66"/>
    <mergeCell ref="EA67:EM71"/>
    <mergeCell ref="AW68:BJ71"/>
    <mergeCell ref="EU68:FF70"/>
    <mergeCell ref="FK68:FN77"/>
    <mergeCell ref="GJ69:GT75"/>
    <mergeCell ref="GU69:GZ71"/>
    <mergeCell ref="HA69:HK75"/>
    <mergeCell ref="GB71:GE80"/>
    <mergeCell ref="HN71:HX73"/>
    <mergeCell ref="DY72:EO76"/>
    <mergeCell ref="EU73:FF75"/>
    <mergeCell ref="EU77:FF79"/>
    <mergeCell ref="HN78:HX80"/>
    <mergeCell ref="EU80:FF82"/>
    <mergeCell ref="AU93:BA96"/>
    <mergeCell ref="BB93:BE96"/>
    <mergeCell ref="BF93:BL96"/>
    <mergeCell ref="CO108:CR117"/>
    <mergeCell ref="EO96:EU98"/>
    <mergeCell ref="EV96:FB98"/>
    <mergeCell ref="CO85:CR95"/>
    <mergeCell ref="HN83:HX85"/>
    <mergeCell ref="V81:W87"/>
    <mergeCell ref="EA85:EN88"/>
    <mergeCell ref="HN86:HX88"/>
    <mergeCell ref="GQ91:HB93"/>
    <mergeCell ref="AU90:BL92"/>
    <mergeCell ref="FC96:FI98"/>
    <mergeCell ref="DP97:DU99"/>
    <mergeCell ref="GE99:IC102"/>
    <mergeCell ref="FI100:FQ102"/>
    <mergeCell ref="FI103:FQ105"/>
    <mergeCell ref="GE103:GP105"/>
    <mergeCell ref="GQ103:HA105"/>
    <mergeCell ref="HB103:HE105"/>
    <mergeCell ref="HF103:HP105"/>
    <mergeCell ref="HQ103:HT105"/>
    <mergeCell ref="HU103:IC105"/>
    <mergeCell ref="HF106:HP108"/>
    <mergeCell ref="HQ106:HT108"/>
    <mergeCell ref="HU106:IC108"/>
    <mergeCell ref="FJ111:FQ112"/>
    <mergeCell ref="GE112:GP114"/>
    <mergeCell ref="GQ112:HA114"/>
    <mergeCell ref="HB112:HE114"/>
    <mergeCell ref="HF112:HP114"/>
    <mergeCell ref="HQ112:HT114"/>
    <mergeCell ref="HU112:IC114"/>
    <mergeCell ref="O107:R116"/>
    <mergeCell ref="EB109:EL112"/>
    <mergeCell ref="FJ109:FQ110"/>
    <mergeCell ref="GE109:GP111"/>
    <mergeCell ref="GQ109:HA111"/>
    <mergeCell ref="HB109:HE111"/>
    <mergeCell ref="EO115:FI117"/>
    <mergeCell ref="GE115:GP117"/>
    <mergeCell ref="GQ115:HA117"/>
    <mergeCell ref="HB115:HE117"/>
    <mergeCell ref="CV106:CY115"/>
    <mergeCell ref="EB106:EG108"/>
    <mergeCell ref="FI106:FQ108"/>
    <mergeCell ref="GE106:GP108"/>
    <mergeCell ref="GQ106:HA108"/>
    <mergeCell ref="HB106:HE108"/>
    <mergeCell ref="GE118:GP120"/>
    <mergeCell ref="GQ118:HA120"/>
    <mergeCell ref="HB118:HE120"/>
    <mergeCell ref="HF118:HP120"/>
    <mergeCell ref="HQ118:HT120"/>
    <mergeCell ref="HU118:IC120"/>
    <mergeCell ref="HF109:HP111"/>
    <mergeCell ref="HQ109:HT111"/>
    <mergeCell ref="HU109:IC111"/>
    <mergeCell ref="HU115:IC117"/>
    <mergeCell ref="DK169:EQ171"/>
    <mergeCell ref="FA169:GL171"/>
    <mergeCell ref="GU169:ID171"/>
    <mergeCell ref="DK172:EQ174"/>
    <mergeCell ref="FC172:GJ174"/>
    <mergeCell ref="GU172:ID174"/>
    <mergeCell ref="AU128:BL130"/>
    <mergeCell ref="CO127:CR137"/>
    <mergeCell ref="AU131:BA133"/>
    <mergeCell ref="BB131:BE133"/>
    <mergeCell ref="BF131:BL133"/>
    <mergeCell ref="AI138:AP140"/>
    <mergeCell ref="BO138:BV140"/>
    <mergeCell ref="H96:K105"/>
    <mergeCell ref="AG74:AS76"/>
    <mergeCell ref="BM74:BY76"/>
    <mergeCell ref="IC31:IX33"/>
    <mergeCell ref="JA40:JG41"/>
    <mergeCell ref="IT42:IW50"/>
    <mergeCell ref="II52:IP54"/>
    <mergeCell ref="IC60:IX62"/>
    <mergeCell ref="GE124:GP126"/>
    <mergeCell ref="GQ124:HA126"/>
    <mergeCell ref="HB124:HE126"/>
    <mergeCell ref="HF124:HP126"/>
    <mergeCell ref="HQ124:HT126"/>
    <mergeCell ref="HU124:IC126"/>
    <mergeCell ref="GE121:GP123"/>
    <mergeCell ref="GQ121:HA123"/>
    <mergeCell ref="HB121:HE123"/>
    <mergeCell ref="HF121:HP123"/>
    <mergeCell ref="HQ121:HT123"/>
    <mergeCell ref="HU121:IC123"/>
    <mergeCell ref="HF115:HP117"/>
    <mergeCell ref="HQ115:HT117"/>
  </mergeCells>
  <pageMargins left="0.19685039370078741" right="0.11811023622047245" top="0.35433070866141736" bottom="0.15748031496062992" header="0.31496062992125984" footer="0.31496062992125984"/>
  <pageSetup paperSize="9" scale="80" orientation="landscape" r:id="rId1"/>
</worksheet>
</file>

<file path=xl/worksheets/sheet12.xml><?xml version="1.0" encoding="utf-8"?>
<worksheet xmlns="http://schemas.openxmlformats.org/spreadsheetml/2006/main" xmlns:r="http://schemas.openxmlformats.org/officeDocument/2006/relationships">
  <sheetPr>
    <tabColor rgb="FFFFFF00"/>
  </sheetPr>
  <dimension ref="A1:AC832"/>
  <sheetViews>
    <sheetView view="pageBreakPreview" zoomScale="90" zoomScaleSheetLayoutView="90" workbookViewId="0">
      <pane ySplit="2" topLeftCell="A489" activePane="bottomLeft" state="frozen"/>
      <selection activeCell="P113" sqref="P113"/>
      <selection pane="bottomLeft" activeCell="K416" sqref="K416:K491"/>
    </sheetView>
  </sheetViews>
  <sheetFormatPr defaultColWidth="9.140625" defaultRowHeight="18.75"/>
  <cols>
    <col min="1" max="1" width="7.85546875" style="261" customWidth="1"/>
    <col min="2" max="2" width="53.42578125" style="272" customWidth="1"/>
    <col min="3" max="3" width="10.7109375" style="277" customWidth="1"/>
    <col min="4" max="4" width="12.7109375" style="394" hidden="1" customWidth="1"/>
    <col min="5" max="5" width="13.28515625" style="395" hidden="1" customWidth="1"/>
    <col min="6" max="6" width="13.28515625" style="394" hidden="1" customWidth="1"/>
    <col min="7" max="7" width="12.28515625" style="394" hidden="1" customWidth="1"/>
    <col min="8" max="8" width="13.28515625" style="397" hidden="1" customWidth="1"/>
    <col min="9" max="9" width="13.28515625" style="394" hidden="1" customWidth="1"/>
    <col min="10" max="10" width="17.85546875" style="394" hidden="1" customWidth="1"/>
    <col min="11" max="11" width="16.5703125" style="394" customWidth="1"/>
    <col min="12" max="12" width="17" style="265" hidden="1" customWidth="1"/>
    <col min="13" max="13" width="0" style="245" hidden="1" customWidth="1"/>
    <col min="14" max="14" width="17.85546875" style="265" hidden="1" customWidth="1"/>
    <col min="15" max="15" width="16.5703125" style="268" hidden="1" customWidth="1"/>
    <col min="16" max="16" width="17" style="265" hidden="1" customWidth="1"/>
    <col min="17" max="18" width="0" style="245" hidden="1" customWidth="1"/>
    <col min="19" max="19" width="9.140625" style="292"/>
    <col min="20" max="20" width="6.28515625" style="292" customWidth="1"/>
    <col min="21" max="21" width="9.140625" style="387"/>
    <col min="22" max="22" width="11.7109375" style="37" customWidth="1"/>
    <col min="23" max="23" width="12.140625" style="37" customWidth="1"/>
    <col min="24" max="24" width="14.140625" style="37" customWidth="1"/>
    <col min="25" max="25" width="13" style="37" bestFit="1" customWidth="1"/>
    <col min="26" max="256" width="9.140625" style="245"/>
    <col min="257" max="257" width="7.85546875" style="245" customWidth="1"/>
    <col min="258" max="258" width="53.42578125" style="245" customWidth="1"/>
    <col min="259" max="259" width="10.7109375" style="245" customWidth="1"/>
    <col min="260" max="266" width="0" style="245" hidden="1" customWidth="1"/>
    <col min="267" max="267" width="16.5703125" style="245" customWidth="1"/>
    <col min="268" max="274" width="0" style="245" hidden="1" customWidth="1"/>
    <col min="275" max="275" width="9.140625" style="245"/>
    <col min="276" max="276" width="6.28515625" style="245" customWidth="1"/>
    <col min="277" max="277" width="9.140625" style="245"/>
    <col min="278" max="278" width="11.7109375" style="245" customWidth="1"/>
    <col min="279" max="279" width="12.140625" style="245" customWidth="1"/>
    <col min="280" max="280" width="14.140625" style="245" customWidth="1"/>
    <col min="281" max="281" width="13" style="245" bestFit="1" customWidth="1"/>
    <col min="282" max="512" width="9.140625" style="245"/>
    <col min="513" max="513" width="7.85546875" style="245" customWidth="1"/>
    <col min="514" max="514" width="53.42578125" style="245" customWidth="1"/>
    <col min="515" max="515" width="10.7109375" style="245" customWidth="1"/>
    <col min="516" max="522" width="0" style="245" hidden="1" customWidth="1"/>
    <col min="523" max="523" width="16.5703125" style="245" customWidth="1"/>
    <col min="524" max="530" width="0" style="245" hidden="1" customWidth="1"/>
    <col min="531" max="531" width="9.140625" style="245"/>
    <col min="532" max="532" width="6.28515625" style="245" customWidth="1"/>
    <col min="533" max="533" width="9.140625" style="245"/>
    <col min="534" max="534" width="11.7109375" style="245" customWidth="1"/>
    <col min="535" max="535" width="12.140625" style="245" customWidth="1"/>
    <col min="536" max="536" width="14.140625" style="245" customWidth="1"/>
    <col min="537" max="537" width="13" style="245" bestFit="1" customWidth="1"/>
    <col min="538" max="768" width="9.140625" style="245"/>
    <col min="769" max="769" width="7.85546875" style="245" customWidth="1"/>
    <col min="770" max="770" width="53.42578125" style="245" customWidth="1"/>
    <col min="771" max="771" width="10.7109375" style="245" customWidth="1"/>
    <col min="772" max="778" width="0" style="245" hidden="1" customWidth="1"/>
    <col min="779" max="779" width="16.5703125" style="245" customWidth="1"/>
    <col min="780" max="786" width="0" style="245" hidden="1" customWidth="1"/>
    <col min="787" max="787" width="9.140625" style="245"/>
    <col min="788" max="788" width="6.28515625" style="245" customWidth="1"/>
    <col min="789" max="789" width="9.140625" style="245"/>
    <col min="790" max="790" width="11.7109375" style="245" customWidth="1"/>
    <col min="791" max="791" width="12.140625" style="245" customWidth="1"/>
    <col min="792" max="792" width="14.140625" style="245" customWidth="1"/>
    <col min="793" max="793" width="13" style="245" bestFit="1" customWidth="1"/>
    <col min="794" max="1024" width="9.140625" style="245"/>
    <col min="1025" max="1025" width="7.85546875" style="245" customWidth="1"/>
    <col min="1026" max="1026" width="53.42578125" style="245" customWidth="1"/>
    <col min="1027" max="1027" width="10.7109375" style="245" customWidth="1"/>
    <col min="1028" max="1034" width="0" style="245" hidden="1" customWidth="1"/>
    <col min="1035" max="1035" width="16.5703125" style="245" customWidth="1"/>
    <col min="1036" max="1042" width="0" style="245" hidden="1" customWidth="1"/>
    <col min="1043" max="1043" width="9.140625" style="245"/>
    <col min="1044" max="1044" width="6.28515625" style="245" customWidth="1"/>
    <col min="1045" max="1045" width="9.140625" style="245"/>
    <col min="1046" max="1046" width="11.7109375" style="245" customWidth="1"/>
    <col min="1047" max="1047" width="12.140625" style="245" customWidth="1"/>
    <col min="1048" max="1048" width="14.140625" style="245" customWidth="1"/>
    <col min="1049" max="1049" width="13" style="245" bestFit="1" customWidth="1"/>
    <col min="1050" max="1280" width="9.140625" style="245"/>
    <col min="1281" max="1281" width="7.85546875" style="245" customWidth="1"/>
    <col min="1282" max="1282" width="53.42578125" style="245" customWidth="1"/>
    <col min="1283" max="1283" width="10.7109375" style="245" customWidth="1"/>
    <col min="1284" max="1290" width="0" style="245" hidden="1" customWidth="1"/>
    <col min="1291" max="1291" width="16.5703125" style="245" customWidth="1"/>
    <col min="1292" max="1298" width="0" style="245" hidden="1" customWidth="1"/>
    <col min="1299" max="1299" width="9.140625" style="245"/>
    <col min="1300" max="1300" width="6.28515625" style="245" customWidth="1"/>
    <col min="1301" max="1301" width="9.140625" style="245"/>
    <col min="1302" max="1302" width="11.7109375" style="245" customWidth="1"/>
    <col min="1303" max="1303" width="12.140625" style="245" customWidth="1"/>
    <col min="1304" max="1304" width="14.140625" style="245" customWidth="1"/>
    <col min="1305" max="1305" width="13" style="245" bestFit="1" customWidth="1"/>
    <col min="1306" max="1536" width="9.140625" style="245"/>
    <col min="1537" max="1537" width="7.85546875" style="245" customWidth="1"/>
    <col min="1538" max="1538" width="53.42578125" style="245" customWidth="1"/>
    <col min="1539" max="1539" width="10.7109375" style="245" customWidth="1"/>
    <col min="1540" max="1546" width="0" style="245" hidden="1" customWidth="1"/>
    <col min="1547" max="1547" width="16.5703125" style="245" customWidth="1"/>
    <col min="1548" max="1554" width="0" style="245" hidden="1" customWidth="1"/>
    <col min="1555" max="1555" width="9.140625" style="245"/>
    <col min="1556" max="1556" width="6.28515625" style="245" customWidth="1"/>
    <col min="1557" max="1557" width="9.140625" style="245"/>
    <col min="1558" max="1558" width="11.7109375" style="245" customWidth="1"/>
    <col min="1559" max="1559" width="12.140625" style="245" customWidth="1"/>
    <col min="1560" max="1560" width="14.140625" style="245" customWidth="1"/>
    <col min="1561" max="1561" width="13" style="245" bestFit="1" customWidth="1"/>
    <col min="1562" max="1792" width="9.140625" style="245"/>
    <col min="1793" max="1793" width="7.85546875" style="245" customWidth="1"/>
    <col min="1794" max="1794" width="53.42578125" style="245" customWidth="1"/>
    <col min="1795" max="1795" width="10.7109375" style="245" customWidth="1"/>
    <col min="1796" max="1802" width="0" style="245" hidden="1" customWidth="1"/>
    <col min="1803" max="1803" width="16.5703125" style="245" customWidth="1"/>
    <col min="1804" max="1810" width="0" style="245" hidden="1" customWidth="1"/>
    <col min="1811" max="1811" width="9.140625" style="245"/>
    <col min="1812" max="1812" width="6.28515625" style="245" customWidth="1"/>
    <col min="1813" max="1813" width="9.140625" style="245"/>
    <col min="1814" max="1814" width="11.7109375" style="245" customWidth="1"/>
    <col min="1815" max="1815" width="12.140625" style="245" customWidth="1"/>
    <col min="1816" max="1816" width="14.140625" style="245" customWidth="1"/>
    <col min="1817" max="1817" width="13" style="245" bestFit="1" customWidth="1"/>
    <col min="1818" max="2048" width="9.140625" style="245"/>
    <col min="2049" max="2049" width="7.85546875" style="245" customWidth="1"/>
    <col min="2050" max="2050" width="53.42578125" style="245" customWidth="1"/>
    <col min="2051" max="2051" width="10.7109375" style="245" customWidth="1"/>
    <col min="2052" max="2058" width="0" style="245" hidden="1" customWidth="1"/>
    <col min="2059" max="2059" width="16.5703125" style="245" customWidth="1"/>
    <col min="2060" max="2066" width="0" style="245" hidden="1" customWidth="1"/>
    <col min="2067" max="2067" width="9.140625" style="245"/>
    <col min="2068" max="2068" width="6.28515625" style="245" customWidth="1"/>
    <col min="2069" max="2069" width="9.140625" style="245"/>
    <col min="2070" max="2070" width="11.7109375" style="245" customWidth="1"/>
    <col min="2071" max="2071" width="12.140625" style="245" customWidth="1"/>
    <col min="2072" max="2072" width="14.140625" style="245" customWidth="1"/>
    <col min="2073" max="2073" width="13" style="245" bestFit="1" customWidth="1"/>
    <col min="2074" max="2304" width="9.140625" style="245"/>
    <col min="2305" max="2305" width="7.85546875" style="245" customWidth="1"/>
    <col min="2306" max="2306" width="53.42578125" style="245" customWidth="1"/>
    <col min="2307" max="2307" width="10.7109375" style="245" customWidth="1"/>
    <col min="2308" max="2314" width="0" style="245" hidden="1" customWidth="1"/>
    <col min="2315" max="2315" width="16.5703125" style="245" customWidth="1"/>
    <col min="2316" max="2322" width="0" style="245" hidden="1" customWidth="1"/>
    <col min="2323" max="2323" width="9.140625" style="245"/>
    <col min="2324" max="2324" width="6.28515625" style="245" customWidth="1"/>
    <col min="2325" max="2325" width="9.140625" style="245"/>
    <col min="2326" max="2326" width="11.7109375" style="245" customWidth="1"/>
    <col min="2327" max="2327" width="12.140625" style="245" customWidth="1"/>
    <col min="2328" max="2328" width="14.140625" style="245" customWidth="1"/>
    <col min="2329" max="2329" width="13" style="245" bestFit="1" customWidth="1"/>
    <col min="2330" max="2560" width="9.140625" style="245"/>
    <col min="2561" max="2561" width="7.85546875" style="245" customWidth="1"/>
    <col min="2562" max="2562" width="53.42578125" style="245" customWidth="1"/>
    <col min="2563" max="2563" width="10.7109375" style="245" customWidth="1"/>
    <col min="2564" max="2570" width="0" style="245" hidden="1" customWidth="1"/>
    <col min="2571" max="2571" width="16.5703125" style="245" customWidth="1"/>
    <col min="2572" max="2578" width="0" style="245" hidden="1" customWidth="1"/>
    <col min="2579" max="2579" width="9.140625" style="245"/>
    <col min="2580" max="2580" width="6.28515625" style="245" customWidth="1"/>
    <col min="2581" max="2581" width="9.140625" style="245"/>
    <col min="2582" max="2582" width="11.7109375" style="245" customWidth="1"/>
    <col min="2583" max="2583" width="12.140625" style="245" customWidth="1"/>
    <col min="2584" max="2584" width="14.140625" style="245" customWidth="1"/>
    <col min="2585" max="2585" width="13" style="245" bestFit="1" customWidth="1"/>
    <col min="2586" max="2816" width="9.140625" style="245"/>
    <col min="2817" max="2817" width="7.85546875" style="245" customWidth="1"/>
    <col min="2818" max="2818" width="53.42578125" style="245" customWidth="1"/>
    <col min="2819" max="2819" width="10.7109375" style="245" customWidth="1"/>
    <col min="2820" max="2826" width="0" style="245" hidden="1" customWidth="1"/>
    <col min="2827" max="2827" width="16.5703125" style="245" customWidth="1"/>
    <col min="2828" max="2834" width="0" style="245" hidden="1" customWidth="1"/>
    <col min="2835" max="2835" width="9.140625" style="245"/>
    <col min="2836" max="2836" width="6.28515625" style="245" customWidth="1"/>
    <col min="2837" max="2837" width="9.140625" style="245"/>
    <col min="2838" max="2838" width="11.7109375" style="245" customWidth="1"/>
    <col min="2839" max="2839" width="12.140625" style="245" customWidth="1"/>
    <col min="2840" max="2840" width="14.140625" style="245" customWidth="1"/>
    <col min="2841" max="2841" width="13" style="245" bestFit="1" customWidth="1"/>
    <col min="2842" max="3072" width="9.140625" style="245"/>
    <col min="3073" max="3073" width="7.85546875" style="245" customWidth="1"/>
    <col min="3074" max="3074" width="53.42578125" style="245" customWidth="1"/>
    <col min="3075" max="3075" width="10.7109375" style="245" customWidth="1"/>
    <col min="3076" max="3082" width="0" style="245" hidden="1" customWidth="1"/>
    <col min="3083" max="3083" width="16.5703125" style="245" customWidth="1"/>
    <col min="3084" max="3090" width="0" style="245" hidden="1" customWidth="1"/>
    <col min="3091" max="3091" width="9.140625" style="245"/>
    <col min="3092" max="3092" width="6.28515625" style="245" customWidth="1"/>
    <col min="3093" max="3093" width="9.140625" style="245"/>
    <col min="3094" max="3094" width="11.7109375" style="245" customWidth="1"/>
    <col min="3095" max="3095" width="12.140625" style="245" customWidth="1"/>
    <col min="3096" max="3096" width="14.140625" style="245" customWidth="1"/>
    <col min="3097" max="3097" width="13" style="245" bestFit="1" customWidth="1"/>
    <col min="3098" max="3328" width="9.140625" style="245"/>
    <col min="3329" max="3329" width="7.85546875" style="245" customWidth="1"/>
    <col min="3330" max="3330" width="53.42578125" style="245" customWidth="1"/>
    <col min="3331" max="3331" width="10.7109375" style="245" customWidth="1"/>
    <col min="3332" max="3338" width="0" style="245" hidden="1" customWidth="1"/>
    <col min="3339" max="3339" width="16.5703125" style="245" customWidth="1"/>
    <col min="3340" max="3346" width="0" style="245" hidden="1" customWidth="1"/>
    <col min="3347" max="3347" width="9.140625" style="245"/>
    <col min="3348" max="3348" width="6.28515625" style="245" customWidth="1"/>
    <col min="3349" max="3349" width="9.140625" style="245"/>
    <col min="3350" max="3350" width="11.7109375" style="245" customWidth="1"/>
    <col min="3351" max="3351" width="12.140625" style="245" customWidth="1"/>
    <col min="3352" max="3352" width="14.140625" style="245" customWidth="1"/>
    <col min="3353" max="3353" width="13" style="245" bestFit="1" customWidth="1"/>
    <col min="3354" max="3584" width="9.140625" style="245"/>
    <col min="3585" max="3585" width="7.85546875" style="245" customWidth="1"/>
    <col min="3586" max="3586" width="53.42578125" style="245" customWidth="1"/>
    <col min="3587" max="3587" width="10.7109375" style="245" customWidth="1"/>
    <col min="3588" max="3594" width="0" style="245" hidden="1" customWidth="1"/>
    <col min="3595" max="3595" width="16.5703125" style="245" customWidth="1"/>
    <col min="3596" max="3602" width="0" style="245" hidden="1" customWidth="1"/>
    <col min="3603" max="3603" width="9.140625" style="245"/>
    <col min="3604" max="3604" width="6.28515625" style="245" customWidth="1"/>
    <col min="3605" max="3605" width="9.140625" style="245"/>
    <col min="3606" max="3606" width="11.7109375" style="245" customWidth="1"/>
    <col min="3607" max="3607" width="12.140625" style="245" customWidth="1"/>
    <col min="3608" max="3608" width="14.140625" style="245" customWidth="1"/>
    <col min="3609" max="3609" width="13" style="245" bestFit="1" customWidth="1"/>
    <col min="3610" max="3840" width="9.140625" style="245"/>
    <col min="3841" max="3841" width="7.85546875" style="245" customWidth="1"/>
    <col min="3842" max="3842" width="53.42578125" style="245" customWidth="1"/>
    <col min="3843" max="3843" width="10.7109375" style="245" customWidth="1"/>
    <col min="3844" max="3850" width="0" style="245" hidden="1" customWidth="1"/>
    <col min="3851" max="3851" width="16.5703125" style="245" customWidth="1"/>
    <col min="3852" max="3858" width="0" style="245" hidden="1" customWidth="1"/>
    <col min="3859" max="3859" width="9.140625" style="245"/>
    <col min="3860" max="3860" width="6.28515625" style="245" customWidth="1"/>
    <col min="3861" max="3861" width="9.140625" style="245"/>
    <col min="3862" max="3862" width="11.7109375" style="245" customWidth="1"/>
    <col min="3863" max="3863" width="12.140625" style="245" customWidth="1"/>
    <col min="3864" max="3864" width="14.140625" style="245" customWidth="1"/>
    <col min="3865" max="3865" width="13" style="245" bestFit="1" customWidth="1"/>
    <col min="3866" max="4096" width="9.140625" style="245"/>
    <col min="4097" max="4097" width="7.85546875" style="245" customWidth="1"/>
    <col min="4098" max="4098" width="53.42578125" style="245" customWidth="1"/>
    <col min="4099" max="4099" width="10.7109375" style="245" customWidth="1"/>
    <col min="4100" max="4106" width="0" style="245" hidden="1" customWidth="1"/>
    <col min="4107" max="4107" width="16.5703125" style="245" customWidth="1"/>
    <col min="4108" max="4114" width="0" style="245" hidden="1" customWidth="1"/>
    <col min="4115" max="4115" width="9.140625" style="245"/>
    <col min="4116" max="4116" width="6.28515625" style="245" customWidth="1"/>
    <col min="4117" max="4117" width="9.140625" style="245"/>
    <col min="4118" max="4118" width="11.7109375" style="245" customWidth="1"/>
    <col min="4119" max="4119" width="12.140625" style="245" customWidth="1"/>
    <col min="4120" max="4120" width="14.140625" style="245" customWidth="1"/>
    <col min="4121" max="4121" width="13" style="245" bestFit="1" customWidth="1"/>
    <col min="4122" max="4352" width="9.140625" style="245"/>
    <col min="4353" max="4353" width="7.85546875" style="245" customWidth="1"/>
    <col min="4354" max="4354" width="53.42578125" style="245" customWidth="1"/>
    <col min="4355" max="4355" width="10.7109375" style="245" customWidth="1"/>
    <col min="4356" max="4362" width="0" style="245" hidden="1" customWidth="1"/>
    <col min="4363" max="4363" width="16.5703125" style="245" customWidth="1"/>
    <col min="4364" max="4370" width="0" style="245" hidden="1" customWidth="1"/>
    <col min="4371" max="4371" width="9.140625" style="245"/>
    <col min="4372" max="4372" width="6.28515625" style="245" customWidth="1"/>
    <col min="4373" max="4373" width="9.140625" style="245"/>
    <col min="4374" max="4374" width="11.7109375" style="245" customWidth="1"/>
    <col min="4375" max="4375" width="12.140625" style="245" customWidth="1"/>
    <col min="4376" max="4376" width="14.140625" style="245" customWidth="1"/>
    <col min="4377" max="4377" width="13" style="245" bestFit="1" customWidth="1"/>
    <col min="4378" max="4608" width="9.140625" style="245"/>
    <col min="4609" max="4609" width="7.85546875" style="245" customWidth="1"/>
    <col min="4610" max="4610" width="53.42578125" style="245" customWidth="1"/>
    <col min="4611" max="4611" width="10.7109375" style="245" customWidth="1"/>
    <col min="4612" max="4618" width="0" style="245" hidden="1" customWidth="1"/>
    <col min="4619" max="4619" width="16.5703125" style="245" customWidth="1"/>
    <col min="4620" max="4626" width="0" style="245" hidden="1" customWidth="1"/>
    <col min="4627" max="4627" width="9.140625" style="245"/>
    <col min="4628" max="4628" width="6.28515625" style="245" customWidth="1"/>
    <col min="4629" max="4629" width="9.140625" style="245"/>
    <col min="4630" max="4630" width="11.7109375" style="245" customWidth="1"/>
    <col min="4631" max="4631" width="12.140625" style="245" customWidth="1"/>
    <col min="4632" max="4632" width="14.140625" style="245" customWidth="1"/>
    <col min="4633" max="4633" width="13" style="245" bestFit="1" customWidth="1"/>
    <col min="4634" max="4864" width="9.140625" style="245"/>
    <col min="4865" max="4865" width="7.85546875" style="245" customWidth="1"/>
    <col min="4866" max="4866" width="53.42578125" style="245" customWidth="1"/>
    <col min="4867" max="4867" width="10.7109375" style="245" customWidth="1"/>
    <col min="4868" max="4874" width="0" style="245" hidden="1" customWidth="1"/>
    <col min="4875" max="4875" width="16.5703125" style="245" customWidth="1"/>
    <col min="4876" max="4882" width="0" style="245" hidden="1" customWidth="1"/>
    <col min="4883" max="4883" width="9.140625" style="245"/>
    <col min="4884" max="4884" width="6.28515625" style="245" customWidth="1"/>
    <col min="4885" max="4885" width="9.140625" style="245"/>
    <col min="4886" max="4886" width="11.7109375" style="245" customWidth="1"/>
    <col min="4887" max="4887" width="12.140625" style="245" customWidth="1"/>
    <col min="4888" max="4888" width="14.140625" style="245" customWidth="1"/>
    <col min="4889" max="4889" width="13" style="245" bestFit="1" customWidth="1"/>
    <col min="4890" max="5120" width="9.140625" style="245"/>
    <col min="5121" max="5121" width="7.85546875" style="245" customWidth="1"/>
    <col min="5122" max="5122" width="53.42578125" style="245" customWidth="1"/>
    <col min="5123" max="5123" width="10.7109375" style="245" customWidth="1"/>
    <col min="5124" max="5130" width="0" style="245" hidden="1" customWidth="1"/>
    <col min="5131" max="5131" width="16.5703125" style="245" customWidth="1"/>
    <col min="5132" max="5138" width="0" style="245" hidden="1" customWidth="1"/>
    <col min="5139" max="5139" width="9.140625" style="245"/>
    <col min="5140" max="5140" width="6.28515625" style="245" customWidth="1"/>
    <col min="5141" max="5141" width="9.140625" style="245"/>
    <col min="5142" max="5142" width="11.7109375" style="245" customWidth="1"/>
    <col min="5143" max="5143" width="12.140625" style="245" customWidth="1"/>
    <col min="5144" max="5144" width="14.140625" style="245" customWidth="1"/>
    <col min="5145" max="5145" width="13" style="245" bestFit="1" customWidth="1"/>
    <col min="5146" max="5376" width="9.140625" style="245"/>
    <col min="5377" max="5377" width="7.85546875" style="245" customWidth="1"/>
    <col min="5378" max="5378" width="53.42578125" style="245" customWidth="1"/>
    <col min="5379" max="5379" width="10.7109375" style="245" customWidth="1"/>
    <col min="5380" max="5386" width="0" style="245" hidden="1" customWidth="1"/>
    <col min="5387" max="5387" width="16.5703125" style="245" customWidth="1"/>
    <col min="5388" max="5394" width="0" style="245" hidden="1" customWidth="1"/>
    <col min="5395" max="5395" width="9.140625" style="245"/>
    <col min="5396" max="5396" width="6.28515625" style="245" customWidth="1"/>
    <col min="5397" max="5397" width="9.140625" style="245"/>
    <col min="5398" max="5398" width="11.7109375" style="245" customWidth="1"/>
    <col min="5399" max="5399" width="12.140625" style="245" customWidth="1"/>
    <col min="5400" max="5400" width="14.140625" style="245" customWidth="1"/>
    <col min="5401" max="5401" width="13" style="245" bestFit="1" customWidth="1"/>
    <col min="5402" max="5632" width="9.140625" style="245"/>
    <col min="5633" max="5633" width="7.85546875" style="245" customWidth="1"/>
    <col min="5634" max="5634" width="53.42578125" style="245" customWidth="1"/>
    <col min="5635" max="5635" width="10.7109375" style="245" customWidth="1"/>
    <col min="5636" max="5642" width="0" style="245" hidden="1" customWidth="1"/>
    <col min="5643" max="5643" width="16.5703125" style="245" customWidth="1"/>
    <col min="5644" max="5650" width="0" style="245" hidden="1" customWidth="1"/>
    <col min="5651" max="5651" width="9.140625" style="245"/>
    <col min="5652" max="5652" width="6.28515625" style="245" customWidth="1"/>
    <col min="5653" max="5653" width="9.140625" style="245"/>
    <col min="5654" max="5654" width="11.7109375" style="245" customWidth="1"/>
    <col min="5655" max="5655" width="12.140625" style="245" customWidth="1"/>
    <col min="5656" max="5656" width="14.140625" style="245" customWidth="1"/>
    <col min="5657" max="5657" width="13" style="245" bestFit="1" customWidth="1"/>
    <col min="5658" max="5888" width="9.140625" style="245"/>
    <col min="5889" max="5889" width="7.85546875" style="245" customWidth="1"/>
    <col min="5890" max="5890" width="53.42578125" style="245" customWidth="1"/>
    <col min="5891" max="5891" width="10.7109375" style="245" customWidth="1"/>
    <col min="5892" max="5898" width="0" style="245" hidden="1" customWidth="1"/>
    <col min="5899" max="5899" width="16.5703125" style="245" customWidth="1"/>
    <col min="5900" max="5906" width="0" style="245" hidden="1" customWidth="1"/>
    <col min="5907" max="5907" width="9.140625" style="245"/>
    <col min="5908" max="5908" width="6.28515625" style="245" customWidth="1"/>
    <col min="5909" max="5909" width="9.140625" style="245"/>
    <col min="5910" max="5910" width="11.7109375" style="245" customWidth="1"/>
    <col min="5911" max="5911" width="12.140625" style="245" customWidth="1"/>
    <col min="5912" max="5912" width="14.140625" style="245" customWidth="1"/>
    <col min="5913" max="5913" width="13" style="245" bestFit="1" customWidth="1"/>
    <col min="5914" max="6144" width="9.140625" style="245"/>
    <col min="6145" max="6145" width="7.85546875" style="245" customWidth="1"/>
    <col min="6146" max="6146" width="53.42578125" style="245" customWidth="1"/>
    <col min="6147" max="6147" width="10.7109375" style="245" customWidth="1"/>
    <col min="6148" max="6154" width="0" style="245" hidden="1" customWidth="1"/>
    <col min="6155" max="6155" width="16.5703125" style="245" customWidth="1"/>
    <col min="6156" max="6162" width="0" style="245" hidden="1" customWidth="1"/>
    <col min="6163" max="6163" width="9.140625" style="245"/>
    <col min="6164" max="6164" width="6.28515625" style="245" customWidth="1"/>
    <col min="6165" max="6165" width="9.140625" style="245"/>
    <col min="6166" max="6166" width="11.7109375" style="245" customWidth="1"/>
    <col min="6167" max="6167" width="12.140625" style="245" customWidth="1"/>
    <col min="6168" max="6168" width="14.140625" style="245" customWidth="1"/>
    <col min="6169" max="6169" width="13" style="245" bestFit="1" customWidth="1"/>
    <col min="6170" max="6400" width="9.140625" style="245"/>
    <col min="6401" max="6401" width="7.85546875" style="245" customWidth="1"/>
    <col min="6402" max="6402" width="53.42578125" style="245" customWidth="1"/>
    <col min="6403" max="6403" width="10.7109375" style="245" customWidth="1"/>
    <col min="6404" max="6410" width="0" style="245" hidden="1" customWidth="1"/>
    <col min="6411" max="6411" width="16.5703125" style="245" customWidth="1"/>
    <col min="6412" max="6418" width="0" style="245" hidden="1" customWidth="1"/>
    <col min="6419" max="6419" width="9.140625" style="245"/>
    <col min="6420" max="6420" width="6.28515625" style="245" customWidth="1"/>
    <col min="6421" max="6421" width="9.140625" style="245"/>
    <col min="6422" max="6422" width="11.7109375" style="245" customWidth="1"/>
    <col min="6423" max="6423" width="12.140625" style="245" customWidth="1"/>
    <col min="6424" max="6424" width="14.140625" style="245" customWidth="1"/>
    <col min="6425" max="6425" width="13" style="245" bestFit="1" customWidth="1"/>
    <col min="6426" max="6656" width="9.140625" style="245"/>
    <col min="6657" max="6657" width="7.85546875" style="245" customWidth="1"/>
    <col min="6658" max="6658" width="53.42578125" style="245" customWidth="1"/>
    <col min="6659" max="6659" width="10.7109375" style="245" customWidth="1"/>
    <col min="6660" max="6666" width="0" style="245" hidden="1" customWidth="1"/>
    <col min="6667" max="6667" width="16.5703125" style="245" customWidth="1"/>
    <col min="6668" max="6674" width="0" style="245" hidden="1" customWidth="1"/>
    <col min="6675" max="6675" width="9.140625" style="245"/>
    <col min="6676" max="6676" width="6.28515625" style="245" customWidth="1"/>
    <col min="6677" max="6677" width="9.140625" style="245"/>
    <col min="6678" max="6678" width="11.7109375" style="245" customWidth="1"/>
    <col min="6679" max="6679" width="12.140625" style="245" customWidth="1"/>
    <col min="6680" max="6680" width="14.140625" style="245" customWidth="1"/>
    <col min="6681" max="6681" width="13" style="245" bestFit="1" customWidth="1"/>
    <col min="6682" max="6912" width="9.140625" style="245"/>
    <col min="6913" max="6913" width="7.85546875" style="245" customWidth="1"/>
    <col min="6914" max="6914" width="53.42578125" style="245" customWidth="1"/>
    <col min="6915" max="6915" width="10.7109375" style="245" customWidth="1"/>
    <col min="6916" max="6922" width="0" style="245" hidden="1" customWidth="1"/>
    <col min="6923" max="6923" width="16.5703125" style="245" customWidth="1"/>
    <col min="6924" max="6930" width="0" style="245" hidden="1" customWidth="1"/>
    <col min="6931" max="6931" width="9.140625" style="245"/>
    <col min="6932" max="6932" width="6.28515625" style="245" customWidth="1"/>
    <col min="6933" max="6933" width="9.140625" style="245"/>
    <col min="6934" max="6934" width="11.7109375" style="245" customWidth="1"/>
    <col min="6935" max="6935" width="12.140625" style="245" customWidth="1"/>
    <col min="6936" max="6936" width="14.140625" style="245" customWidth="1"/>
    <col min="6937" max="6937" width="13" style="245" bestFit="1" customWidth="1"/>
    <col min="6938" max="7168" width="9.140625" style="245"/>
    <col min="7169" max="7169" width="7.85546875" style="245" customWidth="1"/>
    <col min="7170" max="7170" width="53.42578125" style="245" customWidth="1"/>
    <col min="7171" max="7171" width="10.7109375" style="245" customWidth="1"/>
    <col min="7172" max="7178" width="0" style="245" hidden="1" customWidth="1"/>
    <col min="7179" max="7179" width="16.5703125" style="245" customWidth="1"/>
    <col min="7180" max="7186" width="0" style="245" hidden="1" customWidth="1"/>
    <col min="7187" max="7187" width="9.140625" style="245"/>
    <col min="7188" max="7188" width="6.28515625" style="245" customWidth="1"/>
    <col min="7189" max="7189" width="9.140625" style="245"/>
    <col min="7190" max="7190" width="11.7109375" style="245" customWidth="1"/>
    <col min="7191" max="7191" width="12.140625" style="245" customWidth="1"/>
    <col min="7192" max="7192" width="14.140625" style="245" customWidth="1"/>
    <col min="7193" max="7193" width="13" style="245" bestFit="1" customWidth="1"/>
    <col min="7194" max="7424" width="9.140625" style="245"/>
    <col min="7425" max="7425" width="7.85546875" style="245" customWidth="1"/>
    <col min="7426" max="7426" width="53.42578125" style="245" customWidth="1"/>
    <col min="7427" max="7427" width="10.7109375" style="245" customWidth="1"/>
    <col min="7428" max="7434" width="0" style="245" hidden="1" customWidth="1"/>
    <col min="7435" max="7435" width="16.5703125" style="245" customWidth="1"/>
    <col min="7436" max="7442" width="0" style="245" hidden="1" customWidth="1"/>
    <col min="7443" max="7443" width="9.140625" style="245"/>
    <col min="7444" max="7444" width="6.28515625" style="245" customWidth="1"/>
    <col min="7445" max="7445" width="9.140625" style="245"/>
    <col min="7446" max="7446" width="11.7109375" style="245" customWidth="1"/>
    <col min="7447" max="7447" width="12.140625" style="245" customWidth="1"/>
    <col min="7448" max="7448" width="14.140625" style="245" customWidth="1"/>
    <col min="7449" max="7449" width="13" style="245" bestFit="1" customWidth="1"/>
    <col min="7450" max="7680" width="9.140625" style="245"/>
    <col min="7681" max="7681" width="7.85546875" style="245" customWidth="1"/>
    <col min="7682" max="7682" width="53.42578125" style="245" customWidth="1"/>
    <col min="7683" max="7683" width="10.7109375" style="245" customWidth="1"/>
    <col min="7684" max="7690" width="0" style="245" hidden="1" customWidth="1"/>
    <col min="7691" max="7691" width="16.5703125" style="245" customWidth="1"/>
    <col min="7692" max="7698" width="0" style="245" hidden="1" customWidth="1"/>
    <col min="7699" max="7699" width="9.140625" style="245"/>
    <col min="7700" max="7700" width="6.28515625" style="245" customWidth="1"/>
    <col min="7701" max="7701" width="9.140625" style="245"/>
    <col min="7702" max="7702" width="11.7109375" style="245" customWidth="1"/>
    <col min="7703" max="7703" width="12.140625" style="245" customWidth="1"/>
    <col min="7704" max="7704" width="14.140625" style="245" customWidth="1"/>
    <col min="7705" max="7705" width="13" style="245" bestFit="1" customWidth="1"/>
    <col min="7706" max="7936" width="9.140625" style="245"/>
    <col min="7937" max="7937" width="7.85546875" style="245" customWidth="1"/>
    <col min="7938" max="7938" width="53.42578125" style="245" customWidth="1"/>
    <col min="7939" max="7939" width="10.7109375" style="245" customWidth="1"/>
    <col min="7940" max="7946" width="0" style="245" hidden="1" customWidth="1"/>
    <col min="7947" max="7947" width="16.5703125" style="245" customWidth="1"/>
    <col min="7948" max="7954" width="0" style="245" hidden="1" customWidth="1"/>
    <col min="7955" max="7955" width="9.140625" style="245"/>
    <col min="7956" max="7956" width="6.28515625" style="245" customWidth="1"/>
    <col min="7957" max="7957" width="9.140625" style="245"/>
    <col min="7958" max="7958" width="11.7109375" style="245" customWidth="1"/>
    <col min="7959" max="7959" width="12.140625" style="245" customWidth="1"/>
    <col min="7960" max="7960" width="14.140625" style="245" customWidth="1"/>
    <col min="7961" max="7961" width="13" style="245" bestFit="1" customWidth="1"/>
    <col min="7962" max="8192" width="9.140625" style="245"/>
    <col min="8193" max="8193" width="7.85546875" style="245" customWidth="1"/>
    <col min="8194" max="8194" width="53.42578125" style="245" customWidth="1"/>
    <col min="8195" max="8195" width="10.7109375" style="245" customWidth="1"/>
    <col min="8196" max="8202" width="0" style="245" hidden="1" customWidth="1"/>
    <col min="8203" max="8203" width="16.5703125" style="245" customWidth="1"/>
    <col min="8204" max="8210" width="0" style="245" hidden="1" customWidth="1"/>
    <col min="8211" max="8211" width="9.140625" style="245"/>
    <col min="8212" max="8212" width="6.28515625" style="245" customWidth="1"/>
    <col min="8213" max="8213" width="9.140625" style="245"/>
    <col min="8214" max="8214" width="11.7109375" style="245" customWidth="1"/>
    <col min="8215" max="8215" width="12.140625" style="245" customWidth="1"/>
    <col min="8216" max="8216" width="14.140625" style="245" customWidth="1"/>
    <col min="8217" max="8217" width="13" style="245" bestFit="1" customWidth="1"/>
    <col min="8218" max="8448" width="9.140625" style="245"/>
    <col min="8449" max="8449" width="7.85546875" style="245" customWidth="1"/>
    <col min="8450" max="8450" width="53.42578125" style="245" customWidth="1"/>
    <col min="8451" max="8451" width="10.7109375" style="245" customWidth="1"/>
    <col min="8452" max="8458" width="0" style="245" hidden="1" customWidth="1"/>
    <col min="8459" max="8459" width="16.5703125" style="245" customWidth="1"/>
    <col min="8460" max="8466" width="0" style="245" hidden="1" customWidth="1"/>
    <col min="8467" max="8467" width="9.140625" style="245"/>
    <col min="8468" max="8468" width="6.28515625" style="245" customWidth="1"/>
    <col min="8469" max="8469" width="9.140625" style="245"/>
    <col min="8470" max="8470" width="11.7109375" style="245" customWidth="1"/>
    <col min="8471" max="8471" width="12.140625" style="245" customWidth="1"/>
    <col min="8472" max="8472" width="14.140625" style="245" customWidth="1"/>
    <col min="8473" max="8473" width="13" style="245" bestFit="1" customWidth="1"/>
    <col min="8474" max="8704" width="9.140625" style="245"/>
    <col min="8705" max="8705" width="7.85546875" style="245" customWidth="1"/>
    <col min="8706" max="8706" width="53.42578125" style="245" customWidth="1"/>
    <col min="8707" max="8707" width="10.7109375" style="245" customWidth="1"/>
    <col min="8708" max="8714" width="0" style="245" hidden="1" customWidth="1"/>
    <col min="8715" max="8715" width="16.5703125" style="245" customWidth="1"/>
    <col min="8716" max="8722" width="0" style="245" hidden="1" customWidth="1"/>
    <col min="8723" max="8723" width="9.140625" style="245"/>
    <col min="8724" max="8724" width="6.28515625" style="245" customWidth="1"/>
    <col min="8725" max="8725" width="9.140625" style="245"/>
    <col min="8726" max="8726" width="11.7109375" style="245" customWidth="1"/>
    <col min="8727" max="8727" width="12.140625" style="245" customWidth="1"/>
    <col min="8728" max="8728" width="14.140625" style="245" customWidth="1"/>
    <col min="8729" max="8729" width="13" style="245" bestFit="1" customWidth="1"/>
    <col min="8730" max="8960" width="9.140625" style="245"/>
    <col min="8961" max="8961" width="7.85546875" style="245" customWidth="1"/>
    <col min="8962" max="8962" width="53.42578125" style="245" customWidth="1"/>
    <col min="8963" max="8963" width="10.7109375" style="245" customWidth="1"/>
    <col min="8964" max="8970" width="0" style="245" hidden="1" customWidth="1"/>
    <col min="8971" max="8971" width="16.5703125" style="245" customWidth="1"/>
    <col min="8972" max="8978" width="0" style="245" hidden="1" customWidth="1"/>
    <col min="8979" max="8979" width="9.140625" style="245"/>
    <col min="8980" max="8980" width="6.28515625" style="245" customWidth="1"/>
    <col min="8981" max="8981" width="9.140625" style="245"/>
    <col min="8982" max="8982" width="11.7109375" style="245" customWidth="1"/>
    <col min="8983" max="8983" width="12.140625" style="245" customWidth="1"/>
    <col min="8984" max="8984" width="14.140625" style="245" customWidth="1"/>
    <col min="8985" max="8985" width="13" style="245" bestFit="1" customWidth="1"/>
    <col min="8986" max="9216" width="9.140625" style="245"/>
    <col min="9217" max="9217" width="7.85546875" style="245" customWidth="1"/>
    <col min="9218" max="9218" width="53.42578125" style="245" customWidth="1"/>
    <col min="9219" max="9219" width="10.7109375" style="245" customWidth="1"/>
    <col min="9220" max="9226" width="0" style="245" hidden="1" customWidth="1"/>
    <col min="9227" max="9227" width="16.5703125" style="245" customWidth="1"/>
    <col min="9228" max="9234" width="0" style="245" hidden="1" customWidth="1"/>
    <col min="9235" max="9235" width="9.140625" style="245"/>
    <col min="9236" max="9236" width="6.28515625" style="245" customWidth="1"/>
    <col min="9237" max="9237" width="9.140625" style="245"/>
    <col min="9238" max="9238" width="11.7109375" style="245" customWidth="1"/>
    <col min="9239" max="9239" width="12.140625" style="245" customWidth="1"/>
    <col min="9240" max="9240" width="14.140625" style="245" customWidth="1"/>
    <col min="9241" max="9241" width="13" style="245" bestFit="1" customWidth="1"/>
    <col min="9242" max="9472" width="9.140625" style="245"/>
    <col min="9473" max="9473" width="7.85546875" style="245" customWidth="1"/>
    <col min="9474" max="9474" width="53.42578125" style="245" customWidth="1"/>
    <col min="9475" max="9475" width="10.7109375" style="245" customWidth="1"/>
    <col min="9476" max="9482" width="0" style="245" hidden="1" customWidth="1"/>
    <col min="9483" max="9483" width="16.5703125" style="245" customWidth="1"/>
    <col min="9484" max="9490" width="0" style="245" hidden="1" customWidth="1"/>
    <col min="9491" max="9491" width="9.140625" style="245"/>
    <col min="9492" max="9492" width="6.28515625" style="245" customWidth="1"/>
    <col min="9493" max="9493" width="9.140625" style="245"/>
    <col min="9494" max="9494" width="11.7109375" style="245" customWidth="1"/>
    <col min="9495" max="9495" width="12.140625" style="245" customWidth="1"/>
    <col min="9496" max="9496" width="14.140625" style="245" customWidth="1"/>
    <col min="9497" max="9497" width="13" style="245" bestFit="1" customWidth="1"/>
    <col min="9498" max="9728" width="9.140625" style="245"/>
    <col min="9729" max="9729" width="7.85546875" style="245" customWidth="1"/>
    <col min="9730" max="9730" width="53.42578125" style="245" customWidth="1"/>
    <col min="9731" max="9731" width="10.7109375" style="245" customWidth="1"/>
    <col min="9732" max="9738" width="0" style="245" hidden="1" customWidth="1"/>
    <col min="9739" max="9739" width="16.5703125" style="245" customWidth="1"/>
    <col min="9740" max="9746" width="0" style="245" hidden="1" customWidth="1"/>
    <col min="9747" max="9747" width="9.140625" style="245"/>
    <col min="9748" max="9748" width="6.28515625" style="245" customWidth="1"/>
    <col min="9749" max="9749" width="9.140625" style="245"/>
    <col min="9750" max="9750" width="11.7109375" style="245" customWidth="1"/>
    <col min="9751" max="9751" width="12.140625" style="245" customWidth="1"/>
    <col min="9752" max="9752" width="14.140625" style="245" customWidth="1"/>
    <col min="9753" max="9753" width="13" style="245" bestFit="1" customWidth="1"/>
    <col min="9754" max="9984" width="9.140625" style="245"/>
    <col min="9985" max="9985" width="7.85546875" style="245" customWidth="1"/>
    <col min="9986" max="9986" width="53.42578125" style="245" customWidth="1"/>
    <col min="9987" max="9987" width="10.7109375" style="245" customWidth="1"/>
    <col min="9988" max="9994" width="0" style="245" hidden="1" customWidth="1"/>
    <col min="9995" max="9995" width="16.5703125" style="245" customWidth="1"/>
    <col min="9996" max="10002" width="0" style="245" hidden="1" customWidth="1"/>
    <col min="10003" max="10003" width="9.140625" style="245"/>
    <col min="10004" max="10004" width="6.28515625" style="245" customWidth="1"/>
    <col min="10005" max="10005" width="9.140625" style="245"/>
    <col min="10006" max="10006" width="11.7109375" style="245" customWidth="1"/>
    <col min="10007" max="10007" width="12.140625" style="245" customWidth="1"/>
    <col min="10008" max="10008" width="14.140625" style="245" customWidth="1"/>
    <col min="10009" max="10009" width="13" style="245" bestFit="1" customWidth="1"/>
    <col min="10010" max="10240" width="9.140625" style="245"/>
    <col min="10241" max="10241" width="7.85546875" style="245" customWidth="1"/>
    <col min="10242" max="10242" width="53.42578125" style="245" customWidth="1"/>
    <col min="10243" max="10243" width="10.7109375" style="245" customWidth="1"/>
    <col min="10244" max="10250" width="0" style="245" hidden="1" customWidth="1"/>
    <col min="10251" max="10251" width="16.5703125" style="245" customWidth="1"/>
    <col min="10252" max="10258" width="0" style="245" hidden="1" customWidth="1"/>
    <col min="10259" max="10259" width="9.140625" style="245"/>
    <col min="10260" max="10260" width="6.28515625" style="245" customWidth="1"/>
    <col min="10261" max="10261" width="9.140625" style="245"/>
    <col min="10262" max="10262" width="11.7109375" style="245" customWidth="1"/>
    <col min="10263" max="10263" width="12.140625" style="245" customWidth="1"/>
    <col min="10264" max="10264" width="14.140625" style="245" customWidth="1"/>
    <col min="10265" max="10265" width="13" style="245" bestFit="1" customWidth="1"/>
    <col min="10266" max="10496" width="9.140625" style="245"/>
    <col min="10497" max="10497" width="7.85546875" style="245" customWidth="1"/>
    <col min="10498" max="10498" width="53.42578125" style="245" customWidth="1"/>
    <col min="10499" max="10499" width="10.7109375" style="245" customWidth="1"/>
    <col min="10500" max="10506" width="0" style="245" hidden="1" customWidth="1"/>
    <col min="10507" max="10507" width="16.5703125" style="245" customWidth="1"/>
    <col min="10508" max="10514" width="0" style="245" hidden="1" customWidth="1"/>
    <col min="10515" max="10515" width="9.140625" style="245"/>
    <col min="10516" max="10516" width="6.28515625" style="245" customWidth="1"/>
    <col min="10517" max="10517" width="9.140625" style="245"/>
    <col min="10518" max="10518" width="11.7109375" style="245" customWidth="1"/>
    <col min="10519" max="10519" width="12.140625" style="245" customWidth="1"/>
    <col min="10520" max="10520" width="14.140625" style="245" customWidth="1"/>
    <col min="10521" max="10521" width="13" style="245" bestFit="1" customWidth="1"/>
    <col min="10522" max="10752" width="9.140625" style="245"/>
    <col min="10753" max="10753" width="7.85546875" style="245" customWidth="1"/>
    <col min="10754" max="10754" width="53.42578125" style="245" customWidth="1"/>
    <col min="10755" max="10755" width="10.7109375" style="245" customWidth="1"/>
    <col min="10756" max="10762" width="0" style="245" hidden="1" customWidth="1"/>
    <col min="10763" max="10763" width="16.5703125" style="245" customWidth="1"/>
    <col min="10764" max="10770" width="0" style="245" hidden="1" customWidth="1"/>
    <col min="10771" max="10771" width="9.140625" style="245"/>
    <col min="10772" max="10772" width="6.28515625" style="245" customWidth="1"/>
    <col min="10773" max="10773" width="9.140625" style="245"/>
    <col min="10774" max="10774" width="11.7109375" style="245" customWidth="1"/>
    <col min="10775" max="10775" width="12.140625" style="245" customWidth="1"/>
    <col min="10776" max="10776" width="14.140625" style="245" customWidth="1"/>
    <col min="10777" max="10777" width="13" style="245" bestFit="1" customWidth="1"/>
    <col min="10778" max="11008" width="9.140625" style="245"/>
    <col min="11009" max="11009" width="7.85546875" style="245" customWidth="1"/>
    <col min="11010" max="11010" width="53.42578125" style="245" customWidth="1"/>
    <col min="11011" max="11011" width="10.7109375" style="245" customWidth="1"/>
    <col min="11012" max="11018" width="0" style="245" hidden="1" customWidth="1"/>
    <col min="11019" max="11019" width="16.5703125" style="245" customWidth="1"/>
    <col min="11020" max="11026" width="0" style="245" hidden="1" customWidth="1"/>
    <col min="11027" max="11027" width="9.140625" style="245"/>
    <col min="11028" max="11028" width="6.28515625" style="245" customWidth="1"/>
    <col min="11029" max="11029" width="9.140625" style="245"/>
    <col min="11030" max="11030" width="11.7109375" style="245" customWidth="1"/>
    <col min="11031" max="11031" width="12.140625" style="245" customWidth="1"/>
    <col min="11032" max="11032" width="14.140625" style="245" customWidth="1"/>
    <col min="11033" max="11033" width="13" style="245" bestFit="1" customWidth="1"/>
    <col min="11034" max="11264" width="9.140625" style="245"/>
    <col min="11265" max="11265" width="7.85546875" style="245" customWidth="1"/>
    <col min="11266" max="11266" width="53.42578125" style="245" customWidth="1"/>
    <col min="11267" max="11267" width="10.7109375" style="245" customWidth="1"/>
    <col min="11268" max="11274" width="0" style="245" hidden="1" customWidth="1"/>
    <col min="11275" max="11275" width="16.5703125" style="245" customWidth="1"/>
    <col min="11276" max="11282" width="0" style="245" hidden="1" customWidth="1"/>
    <col min="11283" max="11283" width="9.140625" style="245"/>
    <col min="11284" max="11284" width="6.28515625" style="245" customWidth="1"/>
    <col min="11285" max="11285" width="9.140625" style="245"/>
    <col min="11286" max="11286" width="11.7109375" style="245" customWidth="1"/>
    <col min="11287" max="11287" width="12.140625" style="245" customWidth="1"/>
    <col min="11288" max="11288" width="14.140625" style="245" customWidth="1"/>
    <col min="11289" max="11289" width="13" style="245" bestFit="1" customWidth="1"/>
    <col min="11290" max="11520" width="9.140625" style="245"/>
    <col min="11521" max="11521" width="7.85546875" style="245" customWidth="1"/>
    <col min="11522" max="11522" width="53.42578125" style="245" customWidth="1"/>
    <col min="11523" max="11523" width="10.7109375" style="245" customWidth="1"/>
    <col min="11524" max="11530" width="0" style="245" hidden="1" customWidth="1"/>
    <col min="11531" max="11531" width="16.5703125" style="245" customWidth="1"/>
    <col min="11532" max="11538" width="0" style="245" hidden="1" customWidth="1"/>
    <col min="11539" max="11539" width="9.140625" style="245"/>
    <col min="11540" max="11540" width="6.28515625" style="245" customWidth="1"/>
    <col min="11541" max="11541" width="9.140625" style="245"/>
    <col min="11542" max="11542" width="11.7109375" style="245" customWidth="1"/>
    <col min="11543" max="11543" width="12.140625" style="245" customWidth="1"/>
    <col min="11544" max="11544" width="14.140625" style="245" customWidth="1"/>
    <col min="11545" max="11545" width="13" style="245" bestFit="1" customWidth="1"/>
    <col min="11546" max="11776" width="9.140625" style="245"/>
    <col min="11777" max="11777" width="7.85546875" style="245" customWidth="1"/>
    <col min="11778" max="11778" width="53.42578125" style="245" customWidth="1"/>
    <col min="11779" max="11779" width="10.7109375" style="245" customWidth="1"/>
    <col min="11780" max="11786" width="0" style="245" hidden="1" customWidth="1"/>
    <col min="11787" max="11787" width="16.5703125" style="245" customWidth="1"/>
    <col min="11788" max="11794" width="0" style="245" hidden="1" customWidth="1"/>
    <col min="11795" max="11795" width="9.140625" style="245"/>
    <col min="11796" max="11796" width="6.28515625" style="245" customWidth="1"/>
    <col min="11797" max="11797" width="9.140625" style="245"/>
    <col min="11798" max="11798" width="11.7109375" style="245" customWidth="1"/>
    <col min="11799" max="11799" width="12.140625" style="245" customWidth="1"/>
    <col min="11800" max="11800" width="14.140625" style="245" customWidth="1"/>
    <col min="11801" max="11801" width="13" style="245" bestFit="1" customWidth="1"/>
    <col min="11802" max="12032" width="9.140625" style="245"/>
    <col min="12033" max="12033" width="7.85546875" style="245" customWidth="1"/>
    <col min="12034" max="12034" width="53.42578125" style="245" customWidth="1"/>
    <col min="12035" max="12035" width="10.7109375" style="245" customWidth="1"/>
    <col min="12036" max="12042" width="0" style="245" hidden="1" customWidth="1"/>
    <col min="12043" max="12043" width="16.5703125" style="245" customWidth="1"/>
    <col min="12044" max="12050" width="0" style="245" hidden="1" customWidth="1"/>
    <col min="12051" max="12051" width="9.140625" style="245"/>
    <col min="12052" max="12052" width="6.28515625" style="245" customWidth="1"/>
    <col min="12053" max="12053" width="9.140625" style="245"/>
    <col min="12054" max="12054" width="11.7109375" style="245" customWidth="1"/>
    <col min="12055" max="12055" width="12.140625" style="245" customWidth="1"/>
    <col min="12056" max="12056" width="14.140625" style="245" customWidth="1"/>
    <col min="12057" max="12057" width="13" style="245" bestFit="1" customWidth="1"/>
    <col min="12058" max="12288" width="9.140625" style="245"/>
    <col min="12289" max="12289" width="7.85546875" style="245" customWidth="1"/>
    <col min="12290" max="12290" width="53.42578125" style="245" customWidth="1"/>
    <col min="12291" max="12291" width="10.7109375" style="245" customWidth="1"/>
    <col min="12292" max="12298" width="0" style="245" hidden="1" customWidth="1"/>
    <col min="12299" max="12299" width="16.5703125" style="245" customWidth="1"/>
    <col min="12300" max="12306" width="0" style="245" hidden="1" customWidth="1"/>
    <col min="12307" max="12307" width="9.140625" style="245"/>
    <col min="12308" max="12308" width="6.28515625" style="245" customWidth="1"/>
    <col min="12309" max="12309" width="9.140625" style="245"/>
    <col min="12310" max="12310" width="11.7109375" style="245" customWidth="1"/>
    <col min="12311" max="12311" width="12.140625" style="245" customWidth="1"/>
    <col min="12312" max="12312" width="14.140625" style="245" customWidth="1"/>
    <col min="12313" max="12313" width="13" style="245" bestFit="1" customWidth="1"/>
    <col min="12314" max="12544" width="9.140625" style="245"/>
    <col min="12545" max="12545" width="7.85546875" style="245" customWidth="1"/>
    <col min="12546" max="12546" width="53.42578125" style="245" customWidth="1"/>
    <col min="12547" max="12547" width="10.7109375" style="245" customWidth="1"/>
    <col min="12548" max="12554" width="0" style="245" hidden="1" customWidth="1"/>
    <col min="12555" max="12555" width="16.5703125" style="245" customWidth="1"/>
    <col min="12556" max="12562" width="0" style="245" hidden="1" customWidth="1"/>
    <col min="12563" max="12563" width="9.140625" style="245"/>
    <col min="12564" max="12564" width="6.28515625" style="245" customWidth="1"/>
    <col min="12565" max="12565" width="9.140625" style="245"/>
    <col min="12566" max="12566" width="11.7109375" style="245" customWidth="1"/>
    <col min="12567" max="12567" width="12.140625" style="245" customWidth="1"/>
    <col min="12568" max="12568" width="14.140625" style="245" customWidth="1"/>
    <col min="12569" max="12569" width="13" style="245" bestFit="1" customWidth="1"/>
    <col min="12570" max="12800" width="9.140625" style="245"/>
    <col min="12801" max="12801" width="7.85546875" style="245" customWidth="1"/>
    <col min="12802" max="12802" width="53.42578125" style="245" customWidth="1"/>
    <col min="12803" max="12803" width="10.7109375" style="245" customWidth="1"/>
    <col min="12804" max="12810" width="0" style="245" hidden="1" customWidth="1"/>
    <col min="12811" max="12811" width="16.5703125" style="245" customWidth="1"/>
    <col min="12812" max="12818" width="0" style="245" hidden="1" customWidth="1"/>
    <col min="12819" max="12819" width="9.140625" style="245"/>
    <col min="12820" max="12820" width="6.28515625" style="245" customWidth="1"/>
    <col min="12821" max="12821" width="9.140625" style="245"/>
    <col min="12822" max="12822" width="11.7109375" style="245" customWidth="1"/>
    <col min="12823" max="12823" width="12.140625" style="245" customWidth="1"/>
    <col min="12824" max="12824" width="14.140625" style="245" customWidth="1"/>
    <col min="12825" max="12825" width="13" style="245" bestFit="1" customWidth="1"/>
    <col min="12826" max="13056" width="9.140625" style="245"/>
    <col min="13057" max="13057" width="7.85546875" style="245" customWidth="1"/>
    <col min="13058" max="13058" width="53.42578125" style="245" customWidth="1"/>
    <col min="13059" max="13059" width="10.7109375" style="245" customWidth="1"/>
    <col min="13060" max="13066" width="0" style="245" hidden="1" customWidth="1"/>
    <col min="13067" max="13067" width="16.5703125" style="245" customWidth="1"/>
    <col min="13068" max="13074" width="0" style="245" hidden="1" customWidth="1"/>
    <col min="13075" max="13075" width="9.140625" style="245"/>
    <col min="13076" max="13076" width="6.28515625" style="245" customWidth="1"/>
    <col min="13077" max="13077" width="9.140625" style="245"/>
    <col min="13078" max="13078" width="11.7109375" style="245" customWidth="1"/>
    <col min="13079" max="13079" width="12.140625" style="245" customWidth="1"/>
    <col min="13080" max="13080" width="14.140625" style="245" customWidth="1"/>
    <col min="13081" max="13081" width="13" style="245" bestFit="1" customWidth="1"/>
    <col min="13082" max="13312" width="9.140625" style="245"/>
    <col min="13313" max="13313" width="7.85546875" style="245" customWidth="1"/>
    <col min="13314" max="13314" width="53.42578125" style="245" customWidth="1"/>
    <col min="13315" max="13315" width="10.7109375" style="245" customWidth="1"/>
    <col min="13316" max="13322" width="0" style="245" hidden="1" customWidth="1"/>
    <col min="13323" max="13323" width="16.5703125" style="245" customWidth="1"/>
    <col min="13324" max="13330" width="0" style="245" hidden="1" customWidth="1"/>
    <col min="13331" max="13331" width="9.140625" style="245"/>
    <col min="13332" max="13332" width="6.28515625" style="245" customWidth="1"/>
    <col min="13333" max="13333" width="9.140625" style="245"/>
    <col min="13334" max="13334" width="11.7109375" style="245" customWidth="1"/>
    <col min="13335" max="13335" width="12.140625" style="245" customWidth="1"/>
    <col min="13336" max="13336" width="14.140625" style="245" customWidth="1"/>
    <col min="13337" max="13337" width="13" style="245" bestFit="1" customWidth="1"/>
    <col min="13338" max="13568" width="9.140625" style="245"/>
    <col min="13569" max="13569" width="7.85546875" style="245" customWidth="1"/>
    <col min="13570" max="13570" width="53.42578125" style="245" customWidth="1"/>
    <col min="13571" max="13571" width="10.7109375" style="245" customWidth="1"/>
    <col min="13572" max="13578" width="0" style="245" hidden="1" customWidth="1"/>
    <col min="13579" max="13579" width="16.5703125" style="245" customWidth="1"/>
    <col min="13580" max="13586" width="0" style="245" hidden="1" customWidth="1"/>
    <col min="13587" max="13587" width="9.140625" style="245"/>
    <col min="13588" max="13588" width="6.28515625" style="245" customWidth="1"/>
    <col min="13589" max="13589" width="9.140625" style="245"/>
    <col min="13590" max="13590" width="11.7109375" style="245" customWidth="1"/>
    <col min="13591" max="13591" width="12.140625" style="245" customWidth="1"/>
    <col min="13592" max="13592" width="14.140625" style="245" customWidth="1"/>
    <col min="13593" max="13593" width="13" style="245" bestFit="1" customWidth="1"/>
    <col min="13594" max="13824" width="9.140625" style="245"/>
    <col min="13825" max="13825" width="7.85546875" style="245" customWidth="1"/>
    <col min="13826" max="13826" width="53.42578125" style="245" customWidth="1"/>
    <col min="13827" max="13827" width="10.7109375" style="245" customWidth="1"/>
    <col min="13828" max="13834" width="0" style="245" hidden="1" customWidth="1"/>
    <col min="13835" max="13835" width="16.5703125" style="245" customWidth="1"/>
    <col min="13836" max="13842" width="0" style="245" hidden="1" customWidth="1"/>
    <col min="13843" max="13843" width="9.140625" style="245"/>
    <col min="13844" max="13844" width="6.28515625" style="245" customWidth="1"/>
    <col min="13845" max="13845" width="9.140625" style="245"/>
    <col min="13846" max="13846" width="11.7109375" style="245" customWidth="1"/>
    <col min="13847" max="13847" width="12.140625" style="245" customWidth="1"/>
    <col min="13848" max="13848" width="14.140625" style="245" customWidth="1"/>
    <col min="13849" max="13849" width="13" style="245" bestFit="1" customWidth="1"/>
    <col min="13850" max="14080" width="9.140625" style="245"/>
    <col min="14081" max="14081" width="7.85546875" style="245" customWidth="1"/>
    <col min="14082" max="14082" width="53.42578125" style="245" customWidth="1"/>
    <col min="14083" max="14083" width="10.7109375" style="245" customWidth="1"/>
    <col min="14084" max="14090" width="0" style="245" hidden="1" customWidth="1"/>
    <col min="14091" max="14091" width="16.5703125" style="245" customWidth="1"/>
    <col min="14092" max="14098" width="0" style="245" hidden="1" customWidth="1"/>
    <col min="14099" max="14099" width="9.140625" style="245"/>
    <col min="14100" max="14100" width="6.28515625" style="245" customWidth="1"/>
    <col min="14101" max="14101" width="9.140625" style="245"/>
    <col min="14102" max="14102" width="11.7109375" style="245" customWidth="1"/>
    <col min="14103" max="14103" width="12.140625" style="245" customWidth="1"/>
    <col min="14104" max="14104" width="14.140625" style="245" customWidth="1"/>
    <col min="14105" max="14105" width="13" style="245" bestFit="1" customWidth="1"/>
    <col min="14106" max="14336" width="9.140625" style="245"/>
    <col min="14337" max="14337" width="7.85546875" style="245" customWidth="1"/>
    <col min="14338" max="14338" width="53.42578125" style="245" customWidth="1"/>
    <col min="14339" max="14339" width="10.7109375" style="245" customWidth="1"/>
    <col min="14340" max="14346" width="0" style="245" hidden="1" customWidth="1"/>
    <col min="14347" max="14347" width="16.5703125" style="245" customWidth="1"/>
    <col min="14348" max="14354" width="0" style="245" hidden="1" customWidth="1"/>
    <col min="14355" max="14355" width="9.140625" style="245"/>
    <col min="14356" max="14356" width="6.28515625" style="245" customWidth="1"/>
    <col min="14357" max="14357" width="9.140625" style="245"/>
    <col min="14358" max="14358" width="11.7109375" style="245" customWidth="1"/>
    <col min="14359" max="14359" width="12.140625" style="245" customWidth="1"/>
    <col min="14360" max="14360" width="14.140625" style="245" customWidth="1"/>
    <col min="14361" max="14361" width="13" style="245" bestFit="1" customWidth="1"/>
    <col min="14362" max="14592" width="9.140625" style="245"/>
    <col min="14593" max="14593" width="7.85546875" style="245" customWidth="1"/>
    <col min="14594" max="14594" width="53.42578125" style="245" customWidth="1"/>
    <col min="14595" max="14595" width="10.7109375" style="245" customWidth="1"/>
    <col min="14596" max="14602" width="0" style="245" hidden="1" customWidth="1"/>
    <col min="14603" max="14603" width="16.5703125" style="245" customWidth="1"/>
    <col min="14604" max="14610" width="0" style="245" hidden="1" customWidth="1"/>
    <col min="14611" max="14611" width="9.140625" style="245"/>
    <col min="14612" max="14612" width="6.28515625" style="245" customWidth="1"/>
    <col min="14613" max="14613" width="9.140625" style="245"/>
    <col min="14614" max="14614" width="11.7109375" style="245" customWidth="1"/>
    <col min="14615" max="14615" width="12.140625" style="245" customWidth="1"/>
    <col min="14616" max="14616" width="14.140625" style="245" customWidth="1"/>
    <col min="14617" max="14617" width="13" style="245" bestFit="1" customWidth="1"/>
    <col min="14618" max="14848" width="9.140625" style="245"/>
    <col min="14849" max="14849" width="7.85546875" style="245" customWidth="1"/>
    <col min="14850" max="14850" width="53.42578125" style="245" customWidth="1"/>
    <col min="14851" max="14851" width="10.7109375" style="245" customWidth="1"/>
    <col min="14852" max="14858" width="0" style="245" hidden="1" customWidth="1"/>
    <col min="14859" max="14859" width="16.5703125" style="245" customWidth="1"/>
    <col min="14860" max="14866" width="0" style="245" hidden="1" customWidth="1"/>
    <col min="14867" max="14867" width="9.140625" style="245"/>
    <col min="14868" max="14868" width="6.28515625" style="245" customWidth="1"/>
    <col min="14869" max="14869" width="9.140625" style="245"/>
    <col min="14870" max="14870" width="11.7109375" style="245" customWidth="1"/>
    <col min="14871" max="14871" width="12.140625" style="245" customWidth="1"/>
    <col min="14872" max="14872" width="14.140625" style="245" customWidth="1"/>
    <col min="14873" max="14873" width="13" style="245" bestFit="1" customWidth="1"/>
    <col min="14874" max="15104" width="9.140625" style="245"/>
    <col min="15105" max="15105" width="7.85546875" style="245" customWidth="1"/>
    <col min="15106" max="15106" width="53.42578125" style="245" customWidth="1"/>
    <col min="15107" max="15107" width="10.7109375" style="245" customWidth="1"/>
    <col min="15108" max="15114" width="0" style="245" hidden="1" customWidth="1"/>
    <col min="15115" max="15115" width="16.5703125" style="245" customWidth="1"/>
    <col min="15116" max="15122" width="0" style="245" hidden="1" customWidth="1"/>
    <col min="15123" max="15123" width="9.140625" style="245"/>
    <col min="15124" max="15124" width="6.28515625" style="245" customWidth="1"/>
    <col min="15125" max="15125" width="9.140625" style="245"/>
    <col min="15126" max="15126" width="11.7109375" style="245" customWidth="1"/>
    <col min="15127" max="15127" width="12.140625" style="245" customWidth="1"/>
    <col min="15128" max="15128" width="14.140625" style="245" customWidth="1"/>
    <col min="15129" max="15129" width="13" style="245" bestFit="1" customWidth="1"/>
    <col min="15130" max="15360" width="9.140625" style="245"/>
    <col min="15361" max="15361" width="7.85546875" style="245" customWidth="1"/>
    <col min="15362" max="15362" width="53.42578125" style="245" customWidth="1"/>
    <col min="15363" max="15363" width="10.7109375" style="245" customWidth="1"/>
    <col min="15364" max="15370" width="0" style="245" hidden="1" customWidth="1"/>
    <col min="15371" max="15371" width="16.5703125" style="245" customWidth="1"/>
    <col min="15372" max="15378" width="0" style="245" hidden="1" customWidth="1"/>
    <col min="15379" max="15379" width="9.140625" style="245"/>
    <col min="15380" max="15380" width="6.28515625" style="245" customWidth="1"/>
    <col min="15381" max="15381" width="9.140625" style="245"/>
    <col min="15382" max="15382" width="11.7109375" style="245" customWidth="1"/>
    <col min="15383" max="15383" width="12.140625" style="245" customWidth="1"/>
    <col min="15384" max="15384" width="14.140625" style="245" customWidth="1"/>
    <col min="15385" max="15385" width="13" style="245" bestFit="1" customWidth="1"/>
    <col min="15386" max="15616" width="9.140625" style="245"/>
    <col min="15617" max="15617" width="7.85546875" style="245" customWidth="1"/>
    <col min="15618" max="15618" width="53.42578125" style="245" customWidth="1"/>
    <col min="15619" max="15619" width="10.7109375" style="245" customWidth="1"/>
    <col min="15620" max="15626" width="0" style="245" hidden="1" customWidth="1"/>
    <col min="15627" max="15627" width="16.5703125" style="245" customWidth="1"/>
    <col min="15628" max="15634" width="0" style="245" hidden="1" customWidth="1"/>
    <col min="15635" max="15635" width="9.140625" style="245"/>
    <col min="15636" max="15636" width="6.28515625" style="245" customWidth="1"/>
    <col min="15637" max="15637" width="9.140625" style="245"/>
    <col min="15638" max="15638" width="11.7109375" style="245" customWidth="1"/>
    <col min="15639" max="15639" width="12.140625" style="245" customWidth="1"/>
    <col min="15640" max="15640" width="14.140625" style="245" customWidth="1"/>
    <col min="15641" max="15641" width="13" style="245" bestFit="1" customWidth="1"/>
    <col min="15642" max="15872" width="9.140625" style="245"/>
    <col min="15873" max="15873" width="7.85546875" style="245" customWidth="1"/>
    <col min="15874" max="15874" width="53.42578125" style="245" customWidth="1"/>
    <col min="15875" max="15875" width="10.7109375" style="245" customWidth="1"/>
    <col min="15876" max="15882" width="0" style="245" hidden="1" customWidth="1"/>
    <col min="15883" max="15883" width="16.5703125" style="245" customWidth="1"/>
    <col min="15884" max="15890" width="0" style="245" hidden="1" customWidth="1"/>
    <col min="15891" max="15891" width="9.140625" style="245"/>
    <col min="15892" max="15892" width="6.28515625" style="245" customWidth="1"/>
    <col min="15893" max="15893" width="9.140625" style="245"/>
    <col min="15894" max="15894" width="11.7109375" style="245" customWidth="1"/>
    <col min="15895" max="15895" width="12.140625" style="245" customWidth="1"/>
    <col min="15896" max="15896" width="14.140625" style="245" customWidth="1"/>
    <col min="15897" max="15897" width="13" style="245" bestFit="1" customWidth="1"/>
    <col min="15898" max="16128" width="9.140625" style="245"/>
    <col min="16129" max="16129" width="7.85546875" style="245" customWidth="1"/>
    <col min="16130" max="16130" width="53.42578125" style="245" customWidth="1"/>
    <col min="16131" max="16131" width="10.7109375" style="245" customWidth="1"/>
    <col min="16132" max="16138" width="0" style="245" hidden="1" customWidth="1"/>
    <col min="16139" max="16139" width="16.5703125" style="245" customWidth="1"/>
    <col min="16140" max="16146" width="0" style="245" hidden="1" customWidth="1"/>
    <col min="16147" max="16147" width="9.140625" style="245"/>
    <col min="16148" max="16148" width="6.28515625" style="245" customWidth="1"/>
    <col min="16149" max="16149" width="9.140625" style="245"/>
    <col min="16150" max="16150" width="11.7109375" style="245" customWidth="1"/>
    <col min="16151" max="16151" width="12.140625" style="245" customWidth="1"/>
    <col min="16152" max="16152" width="14.140625" style="245" customWidth="1"/>
    <col min="16153" max="16153" width="13" style="245" bestFit="1" customWidth="1"/>
    <col min="16154" max="16384" width="9.140625" style="245"/>
  </cols>
  <sheetData>
    <row r="1" spans="1:25">
      <c r="A1" s="2688" t="s">
        <v>2282</v>
      </c>
      <c r="B1" s="2688"/>
      <c r="C1" s="2688"/>
      <c r="D1" s="2688"/>
      <c r="E1" s="2688"/>
      <c r="F1" s="2688"/>
      <c r="G1" s="2688"/>
      <c r="H1" s="2688"/>
      <c r="I1" s="2688"/>
      <c r="J1" s="2688"/>
      <c r="K1" s="2688"/>
      <c r="L1" s="2688"/>
      <c r="M1" s="2688"/>
      <c r="N1" s="2688"/>
      <c r="O1" s="2688"/>
      <c r="P1" s="2688"/>
      <c r="Q1" s="2688"/>
      <c r="R1" s="2688"/>
      <c r="S1" s="2688"/>
      <c r="T1" s="2688"/>
      <c r="U1" s="2688"/>
      <c r="V1" s="2688"/>
    </row>
    <row r="2" spans="1:25" ht="41.25" customHeight="1">
      <c r="A2" s="246" t="s">
        <v>1510</v>
      </c>
      <c r="B2" s="247" t="s">
        <v>2283</v>
      </c>
      <c r="C2" s="248" t="s">
        <v>1</v>
      </c>
      <c r="D2" s="249" t="s">
        <v>2284</v>
      </c>
      <c r="E2" s="250" t="s">
        <v>2285</v>
      </c>
      <c r="F2" s="249" t="s">
        <v>2286</v>
      </c>
      <c r="G2" s="249" t="s">
        <v>2287</v>
      </c>
      <c r="H2" s="251" t="s">
        <v>2288</v>
      </c>
      <c r="I2" s="249" t="s">
        <v>2289</v>
      </c>
      <c r="J2" s="249" t="s">
        <v>2290</v>
      </c>
      <c r="K2" s="249" t="s">
        <v>2291</v>
      </c>
      <c r="L2" s="249" t="s">
        <v>2292</v>
      </c>
      <c r="M2" s="252"/>
      <c r="N2" s="249" t="s">
        <v>2293</v>
      </c>
      <c r="O2" s="253" t="s">
        <v>2294</v>
      </c>
      <c r="P2" s="249" t="s">
        <v>2295</v>
      </c>
      <c r="Q2" s="252"/>
      <c r="R2" s="254"/>
      <c r="S2" s="2689" t="s">
        <v>2296</v>
      </c>
      <c r="T2" s="2689"/>
      <c r="U2" s="386" t="s">
        <v>34</v>
      </c>
      <c r="V2" s="255" t="s">
        <v>2086</v>
      </c>
    </row>
    <row r="3" spans="1:25" ht="56.25" customHeight="1">
      <c r="A3" s="256">
        <v>1</v>
      </c>
      <c r="B3" s="257" t="s">
        <v>2297</v>
      </c>
      <c r="C3" s="388" t="s">
        <v>68</v>
      </c>
      <c r="D3" s="389">
        <v>1810</v>
      </c>
      <c r="E3" s="390">
        <v>1692</v>
      </c>
      <c r="F3" s="389">
        <v>1661</v>
      </c>
      <c r="G3" s="391">
        <v>2000</v>
      </c>
      <c r="H3" s="392">
        <v>1872</v>
      </c>
      <c r="I3" s="389">
        <v>1912</v>
      </c>
      <c r="J3" s="391">
        <v>3300</v>
      </c>
      <c r="K3" s="389">
        <v>4231.96</v>
      </c>
      <c r="L3" s="259">
        <v>3080</v>
      </c>
      <c r="N3" s="258">
        <v>3000</v>
      </c>
      <c r="O3" s="260">
        <v>2675</v>
      </c>
      <c r="P3" s="259">
        <v>2800</v>
      </c>
      <c r="S3" s="261" t="s">
        <v>2073</v>
      </c>
      <c r="T3" s="262" t="s">
        <v>2298</v>
      </c>
      <c r="U3" s="385">
        <v>5</v>
      </c>
      <c r="V3" s="218">
        <f>ROUND(K3*U3/100,2)</f>
        <v>211.6</v>
      </c>
      <c r="W3" s="37">
        <f>K3+V3</f>
        <v>4443.5600000000004</v>
      </c>
      <c r="X3" s="37">
        <v>3381</v>
      </c>
      <c r="Y3" s="37">
        <f>W3-X3</f>
        <v>1062.5600000000004</v>
      </c>
    </row>
    <row r="4" spans="1:25" ht="56.25" customHeight="1">
      <c r="A4" s="263">
        <v>2</v>
      </c>
      <c r="B4" s="264" t="s">
        <v>2299</v>
      </c>
      <c r="C4" s="393" t="str">
        <f>C3</f>
        <v>1000 Nos</v>
      </c>
      <c r="D4" s="394">
        <v>1602</v>
      </c>
      <c r="E4" s="395">
        <v>1590</v>
      </c>
      <c r="F4" s="394">
        <v>1530</v>
      </c>
      <c r="G4" s="396">
        <v>1800</v>
      </c>
      <c r="H4" s="397">
        <v>1700</v>
      </c>
      <c r="I4" s="394">
        <v>1770</v>
      </c>
      <c r="J4" s="394">
        <v>2970</v>
      </c>
      <c r="K4" s="394">
        <v>4113.87</v>
      </c>
      <c r="L4" s="265">
        <v>2915</v>
      </c>
      <c r="N4" s="265">
        <v>2700</v>
      </c>
      <c r="O4" s="268">
        <v>2432</v>
      </c>
      <c r="P4" s="265">
        <v>2650</v>
      </c>
      <c r="S4" s="261" t="s">
        <v>2073</v>
      </c>
      <c r="T4" s="262" t="s">
        <v>2298</v>
      </c>
      <c r="U4" s="385">
        <f t="shared" ref="U4:U9" si="0">U3</f>
        <v>5</v>
      </c>
      <c r="V4" s="218">
        <f t="shared" ref="V4:V67" si="1">ROUND(K4*U4/100,2)</f>
        <v>205.69</v>
      </c>
      <c r="W4" s="37">
        <f>K4+V4</f>
        <v>4319.5599999999995</v>
      </c>
      <c r="X4" s="37">
        <v>3076</v>
      </c>
      <c r="Y4" s="37">
        <f t="shared" ref="Y4:Y67" si="2">W4-X4</f>
        <v>1243.5599999999995</v>
      </c>
    </row>
    <row r="5" spans="1:25" ht="56.25" customHeight="1">
      <c r="A5" s="263">
        <v>3</v>
      </c>
      <c r="B5" s="269" t="s">
        <v>2300</v>
      </c>
      <c r="C5" s="393" t="str">
        <f>C4</f>
        <v>1000 Nos</v>
      </c>
      <c r="D5" s="394">
        <v>2418</v>
      </c>
      <c r="E5" s="395">
        <v>2309</v>
      </c>
      <c r="F5" s="394">
        <v>2287</v>
      </c>
      <c r="G5" s="396">
        <v>3000</v>
      </c>
      <c r="H5" s="397">
        <v>2429</v>
      </c>
      <c r="I5" s="394">
        <v>2508</v>
      </c>
      <c r="J5" s="394">
        <v>4950</v>
      </c>
      <c r="K5" s="394">
        <v>6105.67</v>
      </c>
      <c r="L5" s="265">
        <v>4019</v>
      </c>
      <c r="N5" s="265">
        <v>3900</v>
      </c>
      <c r="O5" s="268">
        <v>3150</v>
      </c>
      <c r="P5" s="265">
        <v>2508</v>
      </c>
      <c r="S5" s="261" t="s">
        <v>2073</v>
      </c>
      <c r="T5" s="262" t="s">
        <v>2301</v>
      </c>
      <c r="U5" s="385">
        <f t="shared" si="0"/>
        <v>5</v>
      </c>
      <c r="V5" s="218">
        <f t="shared" si="1"/>
        <v>305.27999999999997</v>
      </c>
      <c r="W5" s="37">
        <f>K5+V5</f>
        <v>6410.95</v>
      </c>
      <c r="X5" s="37">
        <v>4324</v>
      </c>
      <c r="Y5" s="37">
        <f t="shared" si="2"/>
        <v>2086.9499999999998</v>
      </c>
    </row>
    <row r="6" spans="1:25" ht="57" customHeight="1">
      <c r="A6" s="263">
        <v>4</v>
      </c>
      <c r="B6" s="264" t="s">
        <v>2302</v>
      </c>
      <c r="C6" s="393" t="str">
        <f>C5</f>
        <v>1000 Nos</v>
      </c>
      <c r="D6" s="394">
        <v>2099</v>
      </c>
      <c r="E6" s="395">
        <v>2106</v>
      </c>
      <c r="F6" s="394">
        <v>1956</v>
      </c>
      <c r="G6" s="396">
        <v>2600</v>
      </c>
      <c r="H6" s="397">
        <v>2240</v>
      </c>
      <c r="I6" s="394">
        <v>2214</v>
      </c>
      <c r="J6" s="394">
        <v>4400</v>
      </c>
      <c r="K6" s="394">
        <v>5483.5</v>
      </c>
      <c r="L6" s="265">
        <v>3539</v>
      </c>
      <c r="N6" s="265">
        <v>3350</v>
      </c>
      <c r="O6" s="268">
        <v>2900</v>
      </c>
      <c r="P6" s="265">
        <v>2214</v>
      </c>
      <c r="S6" s="261" t="s">
        <v>2073</v>
      </c>
      <c r="T6" s="262" t="s">
        <v>2301</v>
      </c>
      <c r="U6" s="385">
        <f t="shared" si="0"/>
        <v>5</v>
      </c>
      <c r="V6" s="218">
        <f t="shared" si="1"/>
        <v>274.18</v>
      </c>
      <c r="W6" s="37">
        <f>K6+V6</f>
        <v>5757.68</v>
      </c>
      <c r="X6" s="37">
        <v>3910</v>
      </c>
      <c r="Y6" s="37">
        <f t="shared" si="2"/>
        <v>1847.6800000000003</v>
      </c>
    </row>
    <row r="7" spans="1:25" ht="57.75" customHeight="1">
      <c r="A7" s="263">
        <v>5</v>
      </c>
      <c r="B7" s="269" t="s">
        <v>2303</v>
      </c>
      <c r="C7" s="277" t="str">
        <f>C6</f>
        <v>1000 Nos</v>
      </c>
      <c r="D7" s="391">
        <v>1813</v>
      </c>
      <c r="E7" s="398">
        <v>1738</v>
      </c>
      <c r="F7" s="391">
        <v>1692</v>
      </c>
      <c r="G7" s="394">
        <v>2050</v>
      </c>
      <c r="H7" s="399">
        <v>1912</v>
      </c>
      <c r="I7" s="391">
        <v>1848</v>
      </c>
      <c r="J7" s="394">
        <v>4620</v>
      </c>
      <c r="K7" s="391">
        <v>5124.2</v>
      </c>
      <c r="L7" s="258">
        <v>4180</v>
      </c>
      <c r="N7" s="265">
        <v>2050</v>
      </c>
      <c r="O7" s="270">
        <v>1912</v>
      </c>
      <c r="P7" s="258">
        <v>1848</v>
      </c>
      <c r="S7" s="261" t="s">
        <v>2073</v>
      </c>
      <c r="T7" s="262" t="s">
        <v>2304</v>
      </c>
      <c r="U7" s="385">
        <v>12</v>
      </c>
      <c r="V7" s="218">
        <f t="shared" si="1"/>
        <v>614.9</v>
      </c>
      <c r="W7" s="37">
        <f t="shared" ref="W7:W70" si="3">K7+V7</f>
        <v>5739.0999999999995</v>
      </c>
      <c r="X7" s="37">
        <v>4625</v>
      </c>
      <c r="Y7" s="37">
        <f t="shared" si="2"/>
        <v>1114.0999999999995</v>
      </c>
    </row>
    <row r="8" spans="1:25" ht="57" customHeight="1">
      <c r="A8" s="263">
        <v>6</v>
      </c>
      <c r="B8" s="264" t="s">
        <v>2305</v>
      </c>
      <c r="C8" s="277" t="str">
        <f>C7</f>
        <v>1000 Nos</v>
      </c>
      <c r="D8" s="394">
        <v>1525</v>
      </c>
      <c r="E8" s="395">
        <v>1513</v>
      </c>
      <c r="F8" s="394">
        <v>1454</v>
      </c>
      <c r="G8" s="394">
        <v>1700</v>
      </c>
      <c r="H8" s="397">
        <v>1613</v>
      </c>
      <c r="I8" s="394">
        <v>1595</v>
      </c>
      <c r="J8" s="394">
        <v>4070</v>
      </c>
      <c r="K8" s="394">
        <v>4554.88</v>
      </c>
      <c r="L8" s="265">
        <v>3740</v>
      </c>
      <c r="N8" s="265">
        <v>1700</v>
      </c>
      <c r="O8" s="268">
        <v>1613</v>
      </c>
      <c r="P8" s="265">
        <v>1595</v>
      </c>
      <c r="S8" s="261" t="s">
        <v>2073</v>
      </c>
      <c r="T8" s="262" t="s">
        <v>2304</v>
      </c>
      <c r="U8" s="385">
        <f t="shared" si="0"/>
        <v>12</v>
      </c>
      <c r="V8" s="218">
        <f t="shared" si="1"/>
        <v>546.59</v>
      </c>
      <c r="W8" s="37">
        <f t="shared" si="3"/>
        <v>5101.47</v>
      </c>
      <c r="X8" s="37">
        <v>4172</v>
      </c>
      <c r="Y8" s="37">
        <f t="shared" si="2"/>
        <v>929.47000000000025</v>
      </c>
    </row>
    <row r="9" spans="1:25" ht="56.25" customHeight="1">
      <c r="A9" s="263">
        <v>7</v>
      </c>
      <c r="B9" s="264" t="s">
        <v>2306</v>
      </c>
      <c r="C9" s="277" t="s">
        <v>38</v>
      </c>
      <c r="D9" s="394">
        <v>9</v>
      </c>
      <c r="E9" s="395">
        <v>10</v>
      </c>
      <c r="F9" s="394">
        <v>9</v>
      </c>
      <c r="G9" s="394">
        <v>10</v>
      </c>
      <c r="H9" s="397">
        <v>12</v>
      </c>
      <c r="I9" s="394">
        <v>10</v>
      </c>
      <c r="J9" s="394">
        <v>14</v>
      </c>
      <c r="K9" s="394">
        <v>16.3</v>
      </c>
      <c r="L9" s="265">
        <v>13</v>
      </c>
      <c r="N9" s="265">
        <v>10</v>
      </c>
      <c r="O9" s="268">
        <v>12</v>
      </c>
      <c r="P9" s="265">
        <v>10</v>
      </c>
      <c r="S9" s="261" t="s">
        <v>2073</v>
      </c>
      <c r="T9" s="262"/>
      <c r="U9" s="385">
        <f t="shared" si="0"/>
        <v>12</v>
      </c>
      <c r="V9" s="218">
        <f t="shared" si="1"/>
        <v>1.96</v>
      </c>
      <c r="W9" s="37">
        <f t="shared" si="3"/>
        <v>18.260000000000002</v>
      </c>
      <c r="X9" s="37">
        <v>17</v>
      </c>
      <c r="Y9" s="37">
        <f t="shared" si="2"/>
        <v>1.2600000000000016</v>
      </c>
    </row>
    <row r="10" spans="1:25" ht="56.25" customHeight="1">
      <c r="A10" s="263">
        <v>8</v>
      </c>
      <c r="B10" s="264" t="s">
        <v>2307</v>
      </c>
      <c r="S10" s="261"/>
      <c r="T10" s="262"/>
      <c r="U10" s="385"/>
      <c r="V10" s="218">
        <f t="shared" si="1"/>
        <v>0</v>
      </c>
      <c r="W10" s="37">
        <f t="shared" si="3"/>
        <v>0</v>
      </c>
      <c r="Y10" s="37">
        <f t="shared" si="2"/>
        <v>0</v>
      </c>
    </row>
    <row r="11" spans="1:25">
      <c r="A11" s="271" t="s">
        <v>627</v>
      </c>
      <c r="B11" s="272" t="s">
        <v>74</v>
      </c>
      <c r="C11" s="277" t="s">
        <v>38</v>
      </c>
      <c r="D11" s="394">
        <v>20</v>
      </c>
      <c r="E11" s="395">
        <v>21</v>
      </c>
      <c r="F11" s="394">
        <v>19</v>
      </c>
      <c r="G11" s="394">
        <v>22</v>
      </c>
      <c r="H11" s="397">
        <v>23</v>
      </c>
      <c r="I11" s="394">
        <v>21</v>
      </c>
      <c r="J11" s="394">
        <v>25</v>
      </c>
      <c r="K11" s="394">
        <v>29.89</v>
      </c>
      <c r="L11" s="265">
        <v>25</v>
      </c>
      <c r="N11" s="265">
        <v>22</v>
      </c>
      <c r="O11" s="268">
        <v>23</v>
      </c>
      <c r="P11" s="265">
        <v>21</v>
      </c>
      <c r="S11" s="261" t="s">
        <v>2073</v>
      </c>
      <c r="T11" s="262" t="s">
        <v>2308</v>
      </c>
      <c r="U11" s="385">
        <v>5</v>
      </c>
      <c r="V11" s="218">
        <f t="shared" si="1"/>
        <v>1.49</v>
      </c>
      <c r="W11" s="37">
        <f t="shared" si="3"/>
        <v>31.38</v>
      </c>
      <c r="X11" s="37">
        <v>30</v>
      </c>
      <c r="Y11" s="37">
        <f t="shared" si="2"/>
        <v>1.379999999999999</v>
      </c>
    </row>
    <row r="12" spans="1:25">
      <c r="A12" s="271" t="s">
        <v>628</v>
      </c>
      <c r="B12" s="272" t="s">
        <v>75</v>
      </c>
      <c r="C12" s="277" t="s">
        <v>38</v>
      </c>
      <c r="D12" s="394">
        <v>16</v>
      </c>
      <c r="E12" s="395">
        <v>16</v>
      </c>
      <c r="F12" s="394">
        <v>15</v>
      </c>
      <c r="G12" s="394">
        <v>18</v>
      </c>
      <c r="H12" s="397">
        <v>18</v>
      </c>
      <c r="I12" s="394">
        <v>17</v>
      </c>
      <c r="J12" s="394">
        <v>20</v>
      </c>
      <c r="K12" s="394">
        <v>24.32</v>
      </c>
      <c r="L12" s="265">
        <v>20</v>
      </c>
      <c r="N12" s="265">
        <v>18</v>
      </c>
      <c r="O12" s="268">
        <v>18</v>
      </c>
      <c r="P12" s="265">
        <v>17</v>
      </c>
      <c r="S12" s="261" t="s">
        <v>2073</v>
      </c>
      <c r="T12" s="262" t="s">
        <v>2308</v>
      </c>
      <c r="U12" s="385">
        <f>U11</f>
        <v>5</v>
      </c>
      <c r="V12" s="218">
        <f t="shared" si="1"/>
        <v>1.22</v>
      </c>
      <c r="W12" s="37">
        <f t="shared" si="3"/>
        <v>25.54</v>
      </c>
      <c r="X12" s="37">
        <v>23</v>
      </c>
      <c r="Y12" s="37">
        <f t="shared" si="2"/>
        <v>2.5399999999999991</v>
      </c>
    </row>
    <row r="13" spans="1:25">
      <c r="A13" s="271" t="s">
        <v>629</v>
      </c>
      <c r="B13" s="272" t="s">
        <v>76</v>
      </c>
      <c r="C13" s="277" t="s">
        <v>38</v>
      </c>
      <c r="D13" s="394">
        <v>11</v>
      </c>
      <c r="E13" s="395">
        <v>12</v>
      </c>
      <c r="F13" s="394">
        <v>11</v>
      </c>
      <c r="G13" s="394">
        <v>12</v>
      </c>
      <c r="H13" s="397">
        <v>13</v>
      </c>
      <c r="I13" s="394">
        <v>12</v>
      </c>
      <c r="J13" s="394">
        <v>14</v>
      </c>
      <c r="K13" s="394">
        <v>17</v>
      </c>
      <c r="L13" s="265">
        <v>14</v>
      </c>
      <c r="N13" s="265">
        <v>12</v>
      </c>
      <c r="O13" s="268">
        <v>13</v>
      </c>
      <c r="P13" s="265">
        <v>12</v>
      </c>
      <c r="S13" s="261" t="s">
        <v>2073</v>
      </c>
      <c r="T13" s="262" t="s">
        <v>2308</v>
      </c>
      <c r="U13" s="385">
        <f>U12</f>
        <v>5</v>
      </c>
      <c r="V13" s="218">
        <f t="shared" si="1"/>
        <v>0.85</v>
      </c>
      <c r="W13" s="37">
        <f t="shared" si="3"/>
        <v>17.850000000000001</v>
      </c>
      <c r="X13" s="37">
        <v>17</v>
      </c>
      <c r="Y13" s="37">
        <f t="shared" si="2"/>
        <v>0.85000000000000142</v>
      </c>
    </row>
    <row r="14" spans="1:25">
      <c r="A14" s="271" t="s">
        <v>1847</v>
      </c>
      <c r="B14" s="272" t="s">
        <v>77</v>
      </c>
      <c r="C14" s="277" t="s">
        <v>38</v>
      </c>
      <c r="D14" s="394">
        <v>12</v>
      </c>
      <c r="E14" s="395">
        <v>13</v>
      </c>
      <c r="F14" s="394">
        <v>13</v>
      </c>
      <c r="G14" s="394">
        <v>13</v>
      </c>
      <c r="H14" s="397">
        <v>15</v>
      </c>
      <c r="I14" s="394">
        <v>15</v>
      </c>
      <c r="J14" s="394">
        <v>15</v>
      </c>
      <c r="K14" s="394">
        <v>19.21</v>
      </c>
      <c r="L14" s="265">
        <v>18</v>
      </c>
      <c r="N14" s="265">
        <v>13</v>
      </c>
      <c r="O14" s="268">
        <v>15</v>
      </c>
      <c r="P14" s="265">
        <v>15</v>
      </c>
      <c r="S14" s="261" t="s">
        <v>2073</v>
      </c>
      <c r="T14" s="262" t="s">
        <v>2308</v>
      </c>
      <c r="U14" s="385">
        <f>U13</f>
        <v>5</v>
      </c>
      <c r="V14" s="218">
        <f t="shared" si="1"/>
        <v>0.96</v>
      </c>
      <c r="W14" s="37">
        <f t="shared" si="3"/>
        <v>20.170000000000002</v>
      </c>
      <c r="X14" s="37">
        <v>19</v>
      </c>
      <c r="Y14" s="37">
        <f t="shared" si="2"/>
        <v>1.1700000000000017</v>
      </c>
    </row>
    <row r="15" spans="1:25">
      <c r="A15" s="271" t="s">
        <v>1849</v>
      </c>
      <c r="B15" s="272" t="s">
        <v>78</v>
      </c>
      <c r="C15" s="277" t="s">
        <v>38</v>
      </c>
      <c r="D15" s="394">
        <v>10</v>
      </c>
      <c r="E15" s="395">
        <v>10</v>
      </c>
      <c r="F15" s="394">
        <v>10</v>
      </c>
      <c r="G15" s="394">
        <v>11</v>
      </c>
      <c r="H15" s="397">
        <v>12</v>
      </c>
      <c r="I15" s="394">
        <v>11</v>
      </c>
      <c r="J15" s="394">
        <v>13</v>
      </c>
      <c r="K15" s="394">
        <v>15.16</v>
      </c>
      <c r="L15" s="265">
        <v>13</v>
      </c>
      <c r="N15" s="265">
        <v>11</v>
      </c>
      <c r="O15" s="268">
        <v>12</v>
      </c>
      <c r="P15" s="265">
        <v>11</v>
      </c>
      <c r="S15" s="261" t="s">
        <v>2073</v>
      </c>
      <c r="T15" s="262" t="s">
        <v>2308</v>
      </c>
      <c r="U15" s="385">
        <f>U14</f>
        <v>5</v>
      </c>
      <c r="V15" s="218">
        <f t="shared" si="1"/>
        <v>0.76</v>
      </c>
      <c r="W15" s="37">
        <f t="shared" si="3"/>
        <v>15.92</v>
      </c>
      <c r="X15" s="37">
        <v>16</v>
      </c>
      <c r="Y15" s="37">
        <f t="shared" si="2"/>
        <v>-8.0000000000000071E-2</v>
      </c>
    </row>
    <row r="16" spans="1:25">
      <c r="A16" s="271" t="s">
        <v>1851</v>
      </c>
      <c r="B16" s="272" t="s">
        <v>79</v>
      </c>
      <c r="C16" s="277" t="s">
        <v>38</v>
      </c>
      <c r="D16" s="394">
        <v>8</v>
      </c>
      <c r="E16" s="395">
        <v>8</v>
      </c>
      <c r="F16" s="394">
        <v>8</v>
      </c>
      <c r="G16" s="394">
        <v>9</v>
      </c>
      <c r="H16" s="397">
        <v>9</v>
      </c>
      <c r="I16" s="394">
        <v>9</v>
      </c>
      <c r="J16" s="394">
        <v>11</v>
      </c>
      <c r="K16" s="394">
        <v>13.89</v>
      </c>
      <c r="L16" s="265">
        <v>11</v>
      </c>
      <c r="N16" s="265">
        <v>9</v>
      </c>
      <c r="O16" s="268">
        <v>9</v>
      </c>
      <c r="P16" s="265">
        <v>9</v>
      </c>
      <c r="S16" s="261" t="s">
        <v>2073</v>
      </c>
      <c r="T16" s="262" t="s">
        <v>2308</v>
      </c>
      <c r="U16" s="385">
        <f>U15</f>
        <v>5</v>
      </c>
      <c r="V16" s="218">
        <f t="shared" si="1"/>
        <v>0.69</v>
      </c>
      <c r="W16" s="37">
        <f t="shared" si="3"/>
        <v>14.58</v>
      </c>
      <c r="X16" s="37">
        <v>12</v>
      </c>
      <c r="Y16" s="37">
        <f t="shared" si="2"/>
        <v>2.58</v>
      </c>
    </row>
    <row r="17" spans="1:25" ht="56.25">
      <c r="A17" s="263">
        <v>9</v>
      </c>
      <c r="B17" s="264" t="s">
        <v>2309</v>
      </c>
      <c r="S17" s="261"/>
      <c r="T17" s="262"/>
      <c r="U17" s="385"/>
      <c r="V17" s="218">
        <f t="shared" si="1"/>
        <v>0</v>
      </c>
      <c r="W17" s="37">
        <f t="shared" si="3"/>
        <v>0</v>
      </c>
      <c r="Y17" s="37">
        <f t="shared" si="2"/>
        <v>0</v>
      </c>
    </row>
    <row r="18" spans="1:25">
      <c r="A18" s="271" t="s">
        <v>627</v>
      </c>
      <c r="B18" s="273" t="s">
        <v>74</v>
      </c>
      <c r="C18" s="277" t="s">
        <v>38</v>
      </c>
      <c r="D18" s="394">
        <v>18</v>
      </c>
      <c r="E18" s="395">
        <v>18</v>
      </c>
      <c r="F18" s="394">
        <v>18</v>
      </c>
      <c r="G18" s="394">
        <v>20</v>
      </c>
      <c r="H18" s="397">
        <v>20</v>
      </c>
      <c r="I18" s="394">
        <v>20</v>
      </c>
      <c r="J18" s="394">
        <v>23</v>
      </c>
      <c r="K18" s="394">
        <v>26.84</v>
      </c>
      <c r="L18" s="265">
        <v>24</v>
      </c>
      <c r="N18" s="265">
        <v>20</v>
      </c>
      <c r="O18" s="268">
        <v>20</v>
      </c>
      <c r="P18" s="265">
        <v>20</v>
      </c>
      <c r="S18" s="261" t="s">
        <v>2073</v>
      </c>
      <c r="T18" s="262"/>
      <c r="U18" s="385">
        <v>18</v>
      </c>
      <c r="V18" s="218">
        <f t="shared" si="1"/>
        <v>4.83</v>
      </c>
      <c r="W18" s="37">
        <f t="shared" si="3"/>
        <v>31.67</v>
      </c>
      <c r="X18" s="37">
        <v>26</v>
      </c>
      <c r="Y18" s="37">
        <f t="shared" si="2"/>
        <v>5.6700000000000017</v>
      </c>
    </row>
    <row r="19" spans="1:25">
      <c r="A19" s="271" t="s">
        <v>628</v>
      </c>
      <c r="B19" s="273" t="s">
        <v>75</v>
      </c>
      <c r="C19" s="277" t="s">
        <v>38</v>
      </c>
      <c r="D19" s="394">
        <v>14</v>
      </c>
      <c r="E19" s="395">
        <v>14</v>
      </c>
      <c r="F19" s="394">
        <v>13</v>
      </c>
      <c r="G19" s="394">
        <v>16</v>
      </c>
      <c r="H19" s="397">
        <v>16</v>
      </c>
      <c r="I19" s="394">
        <v>14</v>
      </c>
      <c r="J19" s="394">
        <v>18</v>
      </c>
      <c r="K19" s="394">
        <v>20.3</v>
      </c>
      <c r="L19" s="265">
        <v>16</v>
      </c>
      <c r="N19" s="265">
        <v>16</v>
      </c>
      <c r="O19" s="268">
        <v>16</v>
      </c>
      <c r="P19" s="265">
        <v>14</v>
      </c>
      <c r="S19" s="261" t="s">
        <v>2073</v>
      </c>
      <c r="T19" s="262"/>
      <c r="U19" s="385">
        <f>U18</f>
        <v>18</v>
      </c>
      <c r="V19" s="218">
        <f t="shared" si="1"/>
        <v>3.65</v>
      </c>
      <c r="W19" s="37">
        <f t="shared" si="3"/>
        <v>23.95</v>
      </c>
      <c r="X19" s="37">
        <v>20</v>
      </c>
      <c r="Y19" s="37">
        <f t="shared" si="2"/>
        <v>3.9499999999999993</v>
      </c>
    </row>
    <row r="20" spans="1:25">
      <c r="A20" s="271" t="s">
        <v>629</v>
      </c>
      <c r="B20" s="273" t="s">
        <v>81</v>
      </c>
      <c r="C20" s="277" t="s">
        <v>38</v>
      </c>
      <c r="D20" s="394">
        <v>10</v>
      </c>
      <c r="E20" s="395">
        <v>10</v>
      </c>
      <c r="F20" s="394">
        <v>10</v>
      </c>
      <c r="G20" s="394">
        <v>11</v>
      </c>
      <c r="H20" s="397">
        <v>11</v>
      </c>
      <c r="I20" s="394">
        <v>12</v>
      </c>
      <c r="J20" s="394">
        <v>13</v>
      </c>
      <c r="K20" s="394">
        <v>16.5</v>
      </c>
      <c r="L20" s="265">
        <v>14</v>
      </c>
      <c r="N20" s="265">
        <v>11</v>
      </c>
      <c r="O20" s="268">
        <v>11</v>
      </c>
      <c r="P20" s="265">
        <v>12</v>
      </c>
      <c r="S20" s="261" t="s">
        <v>2073</v>
      </c>
      <c r="T20" s="262"/>
      <c r="U20" s="385">
        <f t="shared" ref="U20:U25" si="4">U19</f>
        <v>18</v>
      </c>
      <c r="V20" s="218">
        <f t="shared" si="1"/>
        <v>2.97</v>
      </c>
      <c r="W20" s="37">
        <f t="shared" si="3"/>
        <v>19.47</v>
      </c>
      <c r="X20" s="37">
        <v>14</v>
      </c>
      <c r="Y20" s="37">
        <f t="shared" si="2"/>
        <v>5.4699999999999989</v>
      </c>
    </row>
    <row r="21" spans="1:25">
      <c r="A21" s="271" t="s">
        <v>1847</v>
      </c>
      <c r="B21" s="273" t="s">
        <v>77</v>
      </c>
      <c r="C21" s="277" t="s">
        <v>38</v>
      </c>
      <c r="D21" s="394">
        <v>10</v>
      </c>
      <c r="E21" s="395">
        <v>10</v>
      </c>
      <c r="F21" s="394">
        <v>10</v>
      </c>
      <c r="G21" s="394">
        <v>11</v>
      </c>
      <c r="H21" s="397">
        <v>11</v>
      </c>
      <c r="I21" s="394">
        <v>12</v>
      </c>
      <c r="J21" s="394">
        <v>13</v>
      </c>
      <c r="K21" s="394">
        <v>17</v>
      </c>
      <c r="L21" s="265">
        <v>14</v>
      </c>
      <c r="N21" s="265">
        <v>11</v>
      </c>
      <c r="O21" s="268">
        <v>11</v>
      </c>
      <c r="P21" s="265">
        <v>12</v>
      </c>
      <c r="S21" s="261" t="s">
        <v>2073</v>
      </c>
      <c r="T21" s="262"/>
      <c r="U21" s="385">
        <f t="shared" si="4"/>
        <v>18</v>
      </c>
      <c r="V21" s="218">
        <f t="shared" si="1"/>
        <v>3.06</v>
      </c>
      <c r="W21" s="37">
        <f t="shared" si="3"/>
        <v>20.059999999999999</v>
      </c>
      <c r="X21" s="37">
        <v>14</v>
      </c>
      <c r="Y21" s="37">
        <f t="shared" si="2"/>
        <v>6.0599999999999987</v>
      </c>
    </row>
    <row r="22" spans="1:25">
      <c r="A22" s="271" t="s">
        <v>1849</v>
      </c>
      <c r="B22" s="273" t="s">
        <v>78</v>
      </c>
      <c r="C22" s="277" t="s">
        <v>38</v>
      </c>
      <c r="D22" s="394">
        <v>9</v>
      </c>
      <c r="E22" s="395">
        <v>10</v>
      </c>
      <c r="F22" s="394">
        <v>9</v>
      </c>
      <c r="G22" s="394">
        <v>10</v>
      </c>
      <c r="H22" s="397">
        <v>11</v>
      </c>
      <c r="I22" s="394">
        <v>10</v>
      </c>
      <c r="J22" s="394">
        <v>12</v>
      </c>
      <c r="K22" s="394">
        <v>13.99</v>
      </c>
      <c r="L22" s="265">
        <v>12</v>
      </c>
      <c r="N22" s="265">
        <v>10</v>
      </c>
      <c r="O22" s="268">
        <v>11</v>
      </c>
      <c r="P22" s="265">
        <v>10</v>
      </c>
      <c r="S22" s="261" t="s">
        <v>2073</v>
      </c>
      <c r="T22" s="262"/>
      <c r="U22" s="385">
        <f t="shared" si="4"/>
        <v>18</v>
      </c>
      <c r="V22" s="218">
        <f t="shared" si="1"/>
        <v>2.52</v>
      </c>
      <c r="W22" s="37">
        <f t="shared" si="3"/>
        <v>16.510000000000002</v>
      </c>
      <c r="X22" s="37">
        <v>14</v>
      </c>
      <c r="Y22" s="37">
        <f t="shared" si="2"/>
        <v>2.5100000000000016</v>
      </c>
    </row>
    <row r="23" spans="1:25">
      <c r="A23" s="271" t="s">
        <v>1851</v>
      </c>
      <c r="B23" s="273" t="s">
        <v>79</v>
      </c>
      <c r="C23" s="277" t="s">
        <v>38</v>
      </c>
      <c r="D23" s="394">
        <v>7</v>
      </c>
      <c r="E23" s="395">
        <v>8</v>
      </c>
      <c r="F23" s="394">
        <v>7</v>
      </c>
      <c r="G23" s="394">
        <v>8</v>
      </c>
      <c r="H23" s="397">
        <v>9</v>
      </c>
      <c r="I23" s="394">
        <v>8</v>
      </c>
      <c r="J23" s="394">
        <v>9</v>
      </c>
      <c r="K23" s="394">
        <v>11.37</v>
      </c>
      <c r="L23" s="265">
        <v>9</v>
      </c>
      <c r="N23" s="265">
        <v>8</v>
      </c>
      <c r="O23" s="268">
        <v>9</v>
      </c>
      <c r="P23" s="265">
        <v>8</v>
      </c>
      <c r="S23" s="261" t="s">
        <v>2073</v>
      </c>
      <c r="T23" s="262"/>
      <c r="U23" s="385">
        <f t="shared" si="4"/>
        <v>18</v>
      </c>
      <c r="V23" s="218">
        <f t="shared" si="1"/>
        <v>2.0499999999999998</v>
      </c>
      <c r="W23" s="37">
        <f t="shared" si="3"/>
        <v>13.419999999999998</v>
      </c>
      <c r="X23" s="37">
        <v>12</v>
      </c>
      <c r="Y23" s="37">
        <f t="shared" si="2"/>
        <v>1.4199999999999982</v>
      </c>
    </row>
    <row r="24" spans="1:25">
      <c r="A24" s="271">
        <v>10</v>
      </c>
      <c r="B24" s="274" t="s">
        <v>2310</v>
      </c>
      <c r="C24" s="277" t="s">
        <v>49</v>
      </c>
      <c r="D24" s="394">
        <v>248</v>
      </c>
      <c r="E24" s="395">
        <v>266</v>
      </c>
      <c r="F24" s="394">
        <v>252</v>
      </c>
      <c r="G24" s="394">
        <v>260</v>
      </c>
      <c r="H24" s="397">
        <v>255</v>
      </c>
      <c r="I24" s="394">
        <v>256</v>
      </c>
      <c r="J24" s="394">
        <v>330</v>
      </c>
      <c r="K24" s="394">
        <v>388.26</v>
      </c>
      <c r="L24" s="265">
        <v>301</v>
      </c>
      <c r="N24" s="265">
        <v>260</v>
      </c>
      <c r="O24" s="268">
        <v>255</v>
      </c>
      <c r="P24" s="265">
        <v>256</v>
      </c>
      <c r="S24" s="261" t="s">
        <v>2073</v>
      </c>
      <c r="T24" s="262" t="s">
        <v>2311</v>
      </c>
      <c r="U24" s="385">
        <f t="shared" si="4"/>
        <v>18</v>
      </c>
      <c r="V24" s="218">
        <f t="shared" si="1"/>
        <v>69.89</v>
      </c>
      <c r="W24" s="37">
        <f t="shared" si="3"/>
        <v>458.15</v>
      </c>
      <c r="X24" s="37">
        <v>350</v>
      </c>
      <c r="Y24" s="37">
        <f t="shared" si="2"/>
        <v>108.14999999999998</v>
      </c>
    </row>
    <row r="25" spans="1:25">
      <c r="A25" s="271">
        <v>11</v>
      </c>
      <c r="B25" s="274" t="s">
        <v>2312</v>
      </c>
      <c r="C25" s="277" t="s">
        <v>49</v>
      </c>
      <c r="D25" s="394">
        <v>196</v>
      </c>
      <c r="E25" s="395">
        <v>192</v>
      </c>
      <c r="F25" s="394">
        <v>184</v>
      </c>
      <c r="G25" s="394">
        <v>220</v>
      </c>
      <c r="H25" s="397">
        <v>207</v>
      </c>
      <c r="I25" s="394">
        <v>205</v>
      </c>
      <c r="J25" s="394">
        <v>288</v>
      </c>
      <c r="K25" s="394">
        <v>309.60000000000002</v>
      </c>
      <c r="L25" s="265">
        <v>246</v>
      </c>
      <c r="N25" s="265">
        <v>220</v>
      </c>
      <c r="O25" s="268">
        <v>207</v>
      </c>
      <c r="P25" s="265">
        <v>205</v>
      </c>
      <c r="S25" s="261" t="s">
        <v>2073</v>
      </c>
      <c r="T25" s="275" t="s">
        <v>2313</v>
      </c>
      <c r="U25" s="385">
        <f t="shared" si="4"/>
        <v>18</v>
      </c>
      <c r="V25" s="218">
        <f t="shared" si="1"/>
        <v>55.73</v>
      </c>
      <c r="W25" s="37">
        <f t="shared" si="3"/>
        <v>365.33000000000004</v>
      </c>
      <c r="X25" s="37">
        <v>284</v>
      </c>
      <c r="Y25" s="37">
        <f t="shared" si="2"/>
        <v>81.330000000000041</v>
      </c>
    </row>
    <row r="26" spans="1:25">
      <c r="A26" s="271">
        <v>12</v>
      </c>
      <c r="B26" s="274" t="s">
        <v>2314</v>
      </c>
      <c r="C26" s="277" t="s">
        <v>49</v>
      </c>
      <c r="D26" s="394">
        <v>326</v>
      </c>
      <c r="E26" s="395">
        <v>328</v>
      </c>
      <c r="F26" s="394">
        <v>319</v>
      </c>
      <c r="G26" s="394">
        <v>330</v>
      </c>
      <c r="H26" s="397">
        <v>335</v>
      </c>
      <c r="I26" s="394">
        <v>350</v>
      </c>
      <c r="J26" s="394">
        <v>394</v>
      </c>
      <c r="K26" s="394">
        <v>466.2</v>
      </c>
      <c r="L26" s="265">
        <v>416</v>
      </c>
      <c r="N26" s="265">
        <v>330</v>
      </c>
      <c r="O26" s="268">
        <v>335</v>
      </c>
      <c r="P26" s="265">
        <v>350</v>
      </c>
      <c r="S26" s="261" t="s">
        <v>2073</v>
      </c>
      <c r="T26" s="262"/>
      <c r="U26" s="385">
        <v>5</v>
      </c>
      <c r="V26" s="218">
        <f t="shared" si="1"/>
        <v>23.31</v>
      </c>
      <c r="W26" s="37">
        <f t="shared" si="3"/>
        <v>489.51</v>
      </c>
      <c r="X26" s="37">
        <v>438</v>
      </c>
      <c r="Y26" s="37">
        <f t="shared" si="2"/>
        <v>51.509999999999991</v>
      </c>
    </row>
    <row r="27" spans="1:25">
      <c r="A27" s="271">
        <v>13</v>
      </c>
      <c r="B27" s="274" t="s">
        <v>2315</v>
      </c>
      <c r="C27" s="277" t="s">
        <v>49</v>
      </c>
      <c r="D27" s="394">
        <v>335</v>
      </c>
      <c r="E27" s="395">
        <v>343</v>
      </c>
      <c r="F27" s="394">
        <v>328</v>
      </c>
      <c r="G27" s="394">
        <v>340</v>
      </c>
      <c r="H27" s="397">
        <v>369</v>
      </c>
      <c r="I27" s="394">
        <v>360</v>
      </c>
      <c r="J27" s="394">
        <v>411</v>
      </c>
      <c r="K27" s="394">
        <v>493.85</v>
      </c>
      <c r="L27" s="265">
        <v>434</v>
      </c>
      <c r="N27" s="265">
        <v>340</v>
      </c>
      <c r="O27" s="268">
        <v>369</v>
      </c>
      <c r="P27" s="265">
        <v>360</v>
      </c>
      <c r="S27" s="261" t="s">
        <v>2073</v>
      </c>
      <c r="T27" s="262"/>
      <c r="U27" s="385">
        <f>U26</f>
        <v>5</v>
      </c>
      <c r="V27" s="218">
        <f t="shared" si="1"/>
        <v>24.69</v>
      </c>
      <c r="W27" s="37">
        <f t="shared" si="3"/>
        <v>518.54000000000008</v>
      </c>
      <c r="X27" s="37">
        <v>476</v>
      </c>
      <c r="Y27" s="37">
        <f t="shared" si="2"/>
        <v>42.540000000000077</v>
      </c>
    </row>
    <row r="28" spans="1:25" ht="18" customHeight="1">
      <c r="A28" s="276">
        <v>14</v>
      </c>
      <c r="B28" s="264" t="s">
        <v>2316</v>
      </c>
      <c r="C28" s="277" t="s">
        <v>49</v>
      </c>
      <c r="D28" s="394">
        <v>97</v>
      </c>
      <c r="E28" s="395">
        <v>97</v>
      </c>
      <c r="F28" s="394">
        <v>96</v>
      </c>
      <c r="G28" s="394">
        <v>110</v>
      </c>
      <c r="H28" s="397">
        <v>103</v>
      </c>
      <c r="I28" s="394">
        <v>105</v>
      </c>
      <c r="J28" s="394">
        <v>132</v>
      </c>
      <c r="K28" s="394">
        <v>183.35</v>
      </c>
      <c r="L28" s="265">
        <v>129</v>
      </c>
      <c r="N28" s="265">
        <v>110</v>
      </c>
      <c r="O28" s="268">
        <v>103</v>
      </c>
      <c r="P28" s="265">
        <v>105</v>
      </c>
      <c r="S28" s="261" t="s">
        <v>2073</v>
      </c>
      <c r="T28" s="262"/>
      <c r="U28" s="385">
        <v>5</v>
      </c>
      <c r="V28" s="218">
        <f t="shared" si="1"/>
        <v>9.17</v>
      </c>
      <c r="W28" s="37">
        <f t="shared" si="3"/>
        <v>192.51999999999998</v>
      </c>
      <c r="X28" s="37">
        <v>135</v>
      </c>
      <c r="Y28" s="37">
        <f t="shared" si="2"/>
        <v>57.519999999999982</v>
      </c>
    </row>
    <row r="29" spans="1:25" ht="37.5">
      <c r="A29" s="276" t="s">
        <v>2317</v>
      </c>
      <c r="B29" s="274" t="s">
        <v>2318</v>
      </c>
      <c r="C29" s="277" t="s">
        <v>49</v>
      </c>
      <c r="D29" s="394">
        <v>52</v>
      </c>
      <c r="E29" s="395">
        <v>51</v>
      </c>
      <c r="F29" s="394">
        <v>53</v>
      </c>
      <c r="G29" s="394">
        <v>40</v>
      </c>
      <c r="H29" s="397">
        <v>40</v>
      </c>
      <c r="I29" s="394">
        <v>40</v>
      </c>
      <c r="J29" s="394">
        <v>44</v>
      </c>
      <c r="K29" s="394">
        <v>65.88</v>
      </c>
      <c r="L29" s="265">
        <v>44</v>
      </c>
      <c r="N29" s="265">
        <v>40</v>
      </c>
      <c r="O29" s="268">
        <v>40</v>
      </c>
      <c r="P29" s="265">
        <v>40</v>
      </c>
      <c r="S29" s="261" t="s">
        <v>2073</v>
      </c>
      <c r="T29" s="262" t="s">
        <v>2319</v>
      </c>
      <c r="U29" s="385">
        <v>5</v>
      </c>
      <c r="V29" s="218">
        <f t="shared" si="1"/>
        <v>3.29</v>
      </c>
      <c r="W29" s="37">
        <f t="shared" si="3"/>
        <v>69.17</v>
      </c>
      <c r="X29" s="37">
        <v>50</v>
      </c>
      <c r="Y29" s="37">
        <f t="shared" si="2"/>
        <v>19.170000000000002</v>
      </c>
    </row>
    <row r="30" spans="1:25" ht="37.5">
      <c r="A30" s="276" t="s">
        <v>2320</v>
      </c>
      <c r="B30" s="273" t="s">
        <v>2321</v>
      </c>
      <c r="C30" s="277" t="s">
        <v>49</v>
      </c>
      <c r="D30" s="394">
        <v>34</v>
      </c>
      <c r="E30" s="395">
        <v>34</v>
      </c>
      <c r="F30" s="394">
        <v>34</v>
      </c>
      <c r="G30" s="394">
        <v>40</v>
      </c>
      <c r="H30" s="397">
        <v>40</v>
      </c>
      <c r="I30" s="394">
        <v>40</v>
      </c>
      <c r="J30" s="394">
        <v>44</v>
      </c>
      <c r="K30" s="394">
        <v>65.88</v>
      </c>
      <c r="L30" s="265">
        <v>44</v>
      </c>
      <c r="N30" s="265">
        <v>40</v>
      </c>
      <c r="O30" s="268">
        <v>40</v>
      </c>
      <c r="P30" s="265">
        <v>40</v>
      </c>
      <c r="S30" s="261" t="s">
        <v>2073</v>
      </c>
      <c r="T30" s="262" t="s">
        <v>2319</v>
      </c>
      <c r="U30" s="385">
        <v>5</v>
      </c>
      <c r="V30" s="218">
        <f t="shared" si="1"/>
        <v>3.29</v>
      </c>
      <c r="W30" s="37">
        <f t="shared" si="3"/>
        <v>69.17</v>
      </c>
      <c r="X30" s="37">
        <v>50</v>
      </c>
      <c r="Y30" s="37">
        <f t="shared" si="2"/>
        <v>19.170000000000002</v>
      </c>
    </row>
    <row r="31" spans="1:25" ht="37.5">
      <c r="A31" s="263">
        <v>16</v>
      </c>
      <c r="B31" s="273" t="s">
        <v>2322</v>
      </c>
      <c r="C31" s="277" t="s">
        <v>49</v>
      </c>
      <c r="D31" s="394">
        <v>62</v>
      </c>
      <c r="E31" s="395">
        <v>56</v>
      </c>
      <c r="F31" s="394">
        <v>64</v>
      </c>
      <c r="G31" s="394">
        <v>70</v>
      </c>
      <c r="H31" s="397">
        <v>70</v>
      </c>
      <c r="I31" s="394">
        <v>80</v>
      </c>
      <c r="J31" s="394">
        <v>77</v>
      </c>
      <c r="K31" s="394">
        <v>136.33000000000001</v>
      </c>
      <c r="L31" s="265">
        <v>88</v>
      </c>
      <c r="N31" s="265">
        <v>70</v>
      </c>
      <c r="O31" s="268">
        <v>70</v>
      </c>
      <c r="P31" s="265">
        <v>80</v>
      </c>
      <c r="S31" s="261" t="s">
        <v>2073</v>
      </c>
      <c r="T31" s="262"/>
      <c r="U31" s="385">
        <v>5</v>
      </c>
      <c r="V31" s="218">
        <f t="shared" si="1"/>
        <v>6.82</v>
      </c>
      <c r="W31" s="37">
        <f t="shared" si="3"/>
        <v>143.15</v>
      </c>
      <c r="X31" s="37">
        <v>88</v>
      </c>
      <c r="Y31" s="37">
        <f t="shared" si="2"/>
        <v>55.150000000000006</v>
      </c>
    </row>
    <row r="32" spans="1:25">
      <c r="A32" s="277">
        <v>17</v>
      </c>
      <c r="B32" s="273" t="s">
        <v>2323</v>
      </c>
      <c r="C32" s="277" t="s">
        <v>49</v>
      </c>
      <c r="D32" s="394">
        <v>80</v>
      </c>
      <c r="E32" s="395">
        <v>77</v>
      </c>
      <c r="F32" s="394">
        <v>79</v>
      </c>
      <c r="G32" s="394">
        <v>80</v>
      </c>
      <c r="H32" s="397">
        <v>82</v>
      </c>
      <c r="I32" s="394">
        <v>95</v>
      </c>
      <c r="J32" s="394">
        <v>88</v>
      </c>
      <c r="K32" s="394">
        <v>131.13999999999999</v>
      </c>
      <c r="L32" s="265">
        <v>104</v>
      </c>
      <c r="N32" s="265">
        <v>80</v>
      </c>
      <c r="O32" s="268">
        <v>82</v>
      </c>
      <c r="P32" s="265">
        <v>95</v>
      </c>
      <c r="S32" s="261" t="s">
        <v>2073</v>
      </c>
      <c r="T32" s="262"/>
      <c r="U32" s="385">
        <v>5</v>
      </c>
      <c r="V32" s="218">
        <f t="shared" si="1"/>
        <v>6.56</v>
      </c>
      <c r="W32" s="37">
        <f t="shared" si="3"/>
        <v>137.69999999999999</v>
      </c>
      <c r="X32" s="37">
        <v>103</v>
      </c>
      <c r="Y32" s="37">
        <f t="shared" si="2"/>
        <v>34.699999999999989</v>
      </c>
    </row>
    <row r="33" spans="1:25">
      <c r="A33" s="263">
        <v>18</v>
      </c>
      <c r="B33" s="274" t="s">
        <v>85</v>
      </c>
      <c r="C33" s="277" t="s">
        <v>49</v>
      </c>
      <c r="D33" s="394">
        <v>33</v>
      </c>
      <c r="E33" s="395">
        <v>33</v>
      </c>
      <c r="F33" s="394">
        <v>35</v>
      </c>
      <c r="G33" s="394">
        <v>38</v>
      </c>
      <c r="H33" s="397">
        <v>39</v>
      </c>
      <c r="I33" s="394">
        <v>47</v>
      </c>
      <c r="J33" s="394">
        <v>46</v>
      </c>
      <c r="K33" s="394">
        <v>76.88</v>
      </c>
      <c r="L33" s="265">
        <v>52</v>
      </c>
      <c r="N33" s="265">
        <v>42</v>
      </c>
      <c r="O33" s="268">
        <v>44</v>
      </c>
      <c r="P33" s="265">
        <v>47</v>
      </c>
      <c r="S33" s="261" t="s">
        <v>2073</v>
      </c>
      <c r="T33" s="262" t="s">
        <v>2324</v>
      </c>
      <c r="U33" s="385">
        <v>5</v>
      </c>
      <c r="V33" s="218">
        <f t="shared" si="1"/>
        <v>3.84</v>
      </c>
      <c r="W33" s="37">
        <f t="shared" si="3"/>
        <v>80.72</v>
      </c>
      <c r="X33" s="37">
        <v>55</v>
      </c>
      <c r="Y33" s="37">
        <f t="shared" si="2"/>
        <v>25.72</v>
      </c>
    </row>
    <row r="34" spans="1:25">
      <c r="A34" s="263">
        <v>19</v>
      </c>
      <c r="B34" s="274" t="s">
        <v>2325</v>
      </c>
      <c r="C34" s="277" t="s">
        <v>49</v>
      </c>
      <c r="D34" s="394">
        <v>29</v>
      </c>
      <c r="E34" s="395">
        <v>29</v>
      </c>
      <c r="F34" s="394">
        <v>30</v>
      </c>
      <c r="G34" s="394">
        <v>34</v>
      </c>
      <c r="H34" s="397">
        <v>35</v>
      </c>
      <c r="I34" s="394">
        <v>41</v>
      </c>
      <c r="J34" s="394">
        <v>41</v>
      </c>
      <c r="K34" s="394">
        <v>71.94</v>
      </c>
      <c r="L34" s="265">
        <v>49</v>
      </c>
      <c r="N34" s="265">
        <v>38</v>
      </c>
      <c r="O34" s="268">
        <v>39</v>
      </c>
      <c r="P34" s="265">
        <v>41</v>
      </c>
      <c r="S34" s="261" t="s">
        <v>2073</v>
      </c>
      <c r="T34" s="262" t="s">
        <v>2326</v>
      </c>
      <c r="U34" s="385">
        <v>5</v>
      </c>
      <c r="V34" s="218">
        <f t="shared" si="1"/>
        <v>3.6</v>
      </c>
      <c r="W34" s="37">
        <f t="shared" si="3"/>
        <v>75.539999999999992</v>
      </c>
      <c r="X34" s="37">
        <v>48</v>
      </c>
      <c r="Y34" s="37">
        <f t="shared" si="2"/>
        <v>27.539999999999992</v>
      </c>
    </row>
    <row r="35" spans="1:25" ht="37.5">
      <c r="A35" s="263">
        <v>20</v>
      </c>
      <c r="B35" s="273" t="s">
        <v>2327</v>
      </c>
      <c r="C35" s="277" t="s">
        <v>49</v>
      </c>
      <c r="D35" s="394">
        <v>41</v>
      </c>
      <c r="E35" s="395">
        <v>40</v>
      </c>
      <c r="F35" s="394">
        <v>40</v>
      </c>
      <c r="G35" s="394">
        <v>41</v>
      </c>
      <c r="H35" s="397">
        <v>44</v>
      </c>
      <c r="I35" s="394">
        <v>41</v>
      </c>
      <c r="J35" s="394">
        <v>45</v>
      </c>
      <c r="K35" s="394">
        <v>65.650000000000006</v>
      </c>
      <c r="L35" s="265">
        <v>45</v>
      </c>
      <c r="N35" s="265">
        <v>41</v>
      </c>
      <c r="O35" s="268">
        <v>44</v>
      </c>
      <c r="P35" s="265">
        <v>41</v>
      </c>
      <c r="S35" s="261" t="s">
        <v>2073</v>
      </c>
      <c r="T35" s="262"/>
      <c r="U35" s="385">
        <v>5</v>
      </c>
      <c r="V35" s="218">
        <f t="shared" si="1"/>
        <v>3.28</v>
      </c>
      <c r="W35" s="37">
        <f t="shared" si="3"/>
        <v>68.930000000000007</v>
      </c>
      <c r="X35" s="37">
        <v>55</v>
      </c>
      <c r="Y35" s="37">
        <f t="shared" si="2"/>
        <v>13.930000000000007</v>
      </c>
    </row>
    <row r="36" spans="1:25">
      <c r="A36" s="277">
        <v>21</v>
      </c>
      <c r="B36" s="274" t="s">
        <v>2328</v>
      </c>
      <c r="C36" s="277" t="s">
        <v>95</v>
      </c>
      <c r="D36" s="394">
        <v>12</v>
      </c>
      <c r="E36" s="395">
        <v>12</v>
      </c>
      <c r="F36" s="394">
        <v>12</v>
      </c>
      <c r="G36" s="394">
        <v>12</v>
      </c>
      <c r="H36" s="397">
        <v>14</v>
      </c>
      <c r="I36" s="394">
        <v>14</v>
      </c>
      <c r="J36" s="394">
        <v>13</v>
      </c>
      <c r="K36" s="394">
        <v>21.88</v>
      </c>
      <c r="L36" s="265">
        <v>15</v>
      </c>
      <c r="N36" s="265">
        <v>12</v>
      </c>
      <c r="O36" s="268">
        <v>14</v>
      </c>
      <c r="P36" s="265">
        <v>14</v>
      </c>
      <c r="S36" s="261" t="s">
        <v>2073</v>
      </c>
      <c r="T36" s="262"/>
      <c r="U36" s="385">
        <v>5</v>
      </c>
      <c r="V36" s="218">
        <f t="shared" si="1"/>
        <v>1.0900000000000001</v>
      </c>
      <c r="W36" s="37">
        <f t="shared" si="3"/>
        <v>22.97</v>
      </c>
      <c r="X36" s="37">
        <v>17</v>
      </c>
      <c r="Y36" s="37">
        <f t="shared" si="2"/>
        <v>5.9699999999999989</v>
      </c>
    </row>
    <row r="37" spans="1:25">
      <c r="A37" s="263">
        <v>22</v>
      </c>
      <c r="B37" s="274" t="s">
        <v>2329</v>
      </c>
      <c r="C37" s="277" t="s">
        <v>95</v>
      </c>
      <c r="D37" s="394">
        <v>16</v>
      </c>
      <c r="E37" s="395">
        <v>17</v>
      </c>
      <c r="F37" s="394">
        <v>16</v>
      </c>
      <c r="G37" s="394">
        <v>16</v>
      </c>
      <c r="H37" s="397">
        <v>18</v>
      </c>
      <c r="I37" s="394">
        <v>18</v>
      </c>
      <c r="J37" s="394">
        <v>17</v>
      </c>
      <c r="K37" s="394">
        <v>26.94</v>
      </c>
      <c r="L37" s="265">
        <v>19</v>
      </c>
      <c r="N37" s="265">
        <v>16</v>
      </c>
      <c r="O37" s="268">
        <v>18</v>
      </c>
      <c r="P37" s="265">
        <v>18</v>
      </c>
      <c r="S37" s="261" t="s">
        <v>2073</v>
      </c>
      <c r="T37" s="262"/>
      <c r="U37" s="385">
        <v>5</v>
      </c>
      <c r="V37" s="218">
        <f t="shared" si="1"/>
        <v>1.35</v>
      </c>
      <c r="W37" s="37">
        <f t="shared" si="3"/>
        <v>28.290000000000003</v>
      </c>
      <c r="X37" s="37">
        <v>21</v>
      </c>
      <c r="Y37" s="37">
        <f t="shared" si="2"/>
        <v>7.2900000000000027</v>
      </c>
    </row>
    <row r="38" spans="1:25">
      <c r="A38" s="263">
        <v>23</v>
      </c>
      <c r="B38" s="274" t="s">
        <v>2330</v>
      </c>
      <c r="C38" s="277" t="s">
        <v>95</v>
      </c>
      <c r="D38" s="394">
        <v>14</v>
      </c>
      <c r="E38" s="395">
        <v>14</v>
      </c>
      <c r="F38" s="394">
        <v>14</v>
      </c>
      <c r="G38" s="394">
        <v>14</v>
      </c>
      <c r="H38" s="397">
        <v>16</v>
      </c>
      <c r="I38" s="394">
        <v>16</v>
      </c>
      <c r="J38" s="394">
        <v>15</v>
      </c>
      <c r="K38" s="394">
        <v>24.19</v>
      </c>
      <c r="L38" s="265">
        <v>17</v>
      </c>
      <c r="N38" s="265">
        <v>14</v>
      </c>
      <c r="O38" s="268">
        <v>16</v>
      </c>
      <c r="P38" s="265">
        <v>16</v>
      </c>
      <c r="S38" s="261" t="s">
        <v>2073</v>
      </c>
      <c r="T38" s="262"/>
      <c r="U38" s="385">
        <v>5</v>
      </c>
      <c r="V38" s="218">
        <f t="shared" si="1"/>
        <v>1.21</v>
      </c>
      <c r="W38" s="37">
        <f t="shared" si="3"/>
        <v>25.400000000000002</v>
      </c>
      <c r="X38" s="37">
        <v>19</v>
      </c>
      <c r="Y38" s="37">
        <f t="shared" si="2"/>
        <v>6.4000000000000021</v>
      </c>
    </row>
    <row r="39" spans="1:25" ht="37.5">
      <c r="A39" s="276" t="s">
        <v>2331</v>
      </c>
      <c r="B39" s="273" t="s">
        <v>2332</v>
      </c>
      <c r="C39" s="277" t="s">
        <v>49</v>
      </c>
      <c r="D39" s="394">
        <v>153</v>
      </c>
      <c r="E39" s="395">
        <v>167</v>
      </c>
      <c r="F39" s="394">
        <v>169</v>
      </c>
      <c r="G39" s="394">
        <v>170</v>
      </c>
      <c r="H39" s="397">
        <v>177</v>
      </c>
      <c r="I39" s="394">
        <v>200</v>
      </c>
      <c r="J39" s="394">
        <v>214</v>
      </c>
      <c r="K39" s="394">
        <v>291.95999999999998</v>
      </c>
      <c r="L39" s="265">
        <v>245</v>
      </c>
      <c r="N39" s="265">
        <v>170</v>
      </c>
      <c r="O39" s="268">
        <v>177</v>
      </c>
      <c r="P39" s="265">
        <v>200</v>
      </c>
      <c r="S39" s="261" t="s">
        <v>2073</v>
      </c>
      <c r="T39" s="262" t="s">
        <v>2333</v>
      </c>
      <c r="U39" s="385">
        <v>28</v>
      </c>
      <c r="V39" s="218">
        <f t="shared" si="1"/>
        <v>81.75</v>
      </c>
      <c r="W39" s="37">
        <f t="shared" si="3"/>
        <v>373.71</v>
      </c>
      <c r="X39" s="37">
        <v>254</v>
      </c>
      <c r="Y39" s="37">
        <f t="shared" si="2"/>
        <v>119.70999999999998</v>
      </c>
    </row>
    <row r="40" spans="1:25" ht="37.5">
      <c r="A40" s="276" t="s">
        <v>2320</v>
      </c>
      <c r="B40" s="273" t="s">
        <v>2334</v>
      </c>
      <c r="C40" s="277" t="s">
        <v>49</v>
      </c>
      <c r="D40" s="394">
        <v>129</v>
      </c>
      <c r="E40" s="395">
        <v>138</v>
      </c>
      <c r="F40" s="394">
        <v>139</v>
      </c>
      <c r="G40" s="394">
        <v>145</v>
      </c>
      <c r="H40" s="397">
        <v>156</v>
      </c>
      <c r="I40" s="394">
        <v>156</v>
      </c>
      <c r="J40" s="394">
        <v>187</v>
      </c>
      <c r="K40" s="394">
        <v>267.04000000000002</v>
      </c>
      <c r="L40" s="265">
        <v>200</v>
      </c>
      <c r="N40" s="265">
        <v>145</v>
      </c>
      <c r="O40" s="268">
        <v>156</v>
      </c>
      <c r="P40" s="265">
        <v>156</v>
      </c>
      <c r="S40" s="261" t="s">
        <v>2073</v>
      </c>
      <c r="T40" s="262"/>
      <c r="U40" s="385">
        <f>U39</f>
        <v>28</v>
      </c>
      <c r="V40" s="218">
        <f t="shared" si="1"/>
        <v>74.77</v>
      </c>
      <c r="W40" s="37">
        <f t="shared" si="3"/>
        <v>341.81</v>
      </c>
      <c r="X40" s="37">
        <v>231</v>
      </c>
      <c r="Y40" s="37">
        <f t="shared" si="2"/>
        <v>110.81</v>
      </c>
    </row>
    <row r="41" spans="1:25" ht="37.5">
      <c r="A41" s="263">
        <v>25</v>
      </c>
      <c r="B41" s="273" t="s">
        <v>2335</v>
      </c>
      <c r="C41" s="277" t="s">
        <v>49</v>
      </c>
      <c r="D41" s="394">
        <v>127</v>
      </c>
      <c r="E41" s="395">
        <v>135</v>
      </c>
      <c r="F41" s="394">
        <v>137</v>
      </c>
      <c r="G41" s="394">
        <v>143</v>
      </c>
      <c r="H41" s="397">
        <v>148</v>
      </c>
      <c r="I41" s="394">
        <v>152</v>
      </c>
      <c r="J41" s="394">
        <v>176</v>
      </c>
      <c r="K41" s="394">
        <v>263.5</v>
      </c>
      <c r="L41" s="265">
        <v>173</v>
      </c>
      <c r="N41" s="265">
        <v>143</v>
      </c>
      <c r="O41" s="268">
        <v>148</v>
      </c>
      <c r="P41" s="265">
        <v>152</v>
      </c>
      <c r="S41" s="261" t="s">
        <v>2073</v>
      </c>
      <c r="T41" s="262"/>
      <c r="U41" s="385">
        <v>5</v>
      </c>
      <c r="V41" s="218">
        <f t="shared" si="1"/>
        <v>13.18</v>
      </c>
      <c r="W41" s="37">
        <f t="shared" si="3"/>
        <v>276.68</v>
      </c>
      <c r="X41" s="37">
        <v>207</v>
      </c>
      <c r="Y41" s="37">
        <f t="shared" si="2"/>
        <v>69.680000000000007</v>
      </c>
    </row>
    <row r="42" spans="1:25" ht="37.5">
      <c r="A42" s="263">
        <v>26</v>
      </c>
      <c r="B42" s="273" t="s">
        <v>2336</v>
      </c>
      <c r="C42" s="277" t="s">
        <v>49</v>
      </c>
      <c r="D42" s="394">
        <v>114</v>
      </c>
      <c r="E42" s="395">
        <v>116</v>
      </c>
      <c r="F42" s="394">
        <v>121</v>
      </c>
      <c r="G42" s="394">
        <v>120</v>
      </c>
      <c r="H42" s="397">
        <v>126</v>
      </c>
      <c r="I42" s="394">
        <v>138</v>
      </c>
      <c r="J42" s="394">
        <v>154</v>
      </c>
      <c r="K42" s="394">
        <v>236.25</v>
      </c>
      <c r="L42" s="265">
        <v>170</v>
      </c>
      <c r="N42" s="265">
        <v>120</v>
      </c>
      <c r="O42" s="268">
        <v>126</v>
      </c>
      <c r="P42" s="265">
        <v>138</v>
      </c>
      <c r="S42" s="261" t="s">
        <v>2073</v>
      </c>
      <c r="T42" s="262"/>
      <c r="U42" s="385">
        <v>5</v>
      </c>
      <c r="V42" s="218">
        <f t="shared" si="1"/>
        <v>11.81</v>
      </c>
      <c r="W42" s="37">
        <f t="shared" si="3"/>
        <v>248.06</v>
      </c>
      <c r="X42" s="37">
        <v>182</v>
      </c>
      <c r="Y42" s="37">
        <f t="shared" si="2"/>
        <v>66.06</v>
      </c>
    </row>
    <row r="43" spans="1:25" ht="37.5">
      <c r="A43" s="263">
        <v>27</v>
      </c>
      <c r="B43" s="273" t="s">
        <v>2337</v>
      </c>
      <c r="C43" s="277" t="s">
        <v>49</v>
      </c>
      <c r="D43" s="394">
        <v>121</v>
      </c>
      <c r="E43" s="395">
        <v>126</v>
      </c>
      <c r="F43" s="394">
        <v>129</v>
      </c>
      <c r="G43" s="394">
        <v>130</v>
      </c>
      <c r="H43" s="397">
        <v>142</v>
      </c>
      <c r="I43" s="394">
        <v>140</v>
      </c>
      <c r="J43" s="394">
        <v>165</v>
      </c>
      <c r="K43" s="394">
        <v>242.43</v>
      </c>
      <c r="L43" s="265">
        <v>169</v>
      </c>
      <c r="N43" s="265">
        <v>130</v>
      </c>
      <c r="O43" s="268">
        <v>142</v>
      </c>
      <c r="P43" s="265">
        <v>140</v>
      </c>
      <c r="S43" s="261" t="s">
        <v>2073</v>
      </c>
      <c r="T43" s="262" t="s">
        <v>2338</v>
      </c>
      <c r="U43" s="385">
        <v>5</v>
      </c>
      <c r="V43" s="218">
        <f t="shared" si="1"/>
        <v>12.12</v>
      </c>
      <c r="W43" s="37">
        <f t="shared" si="3"/>
        <v>254.55</v>
      </c>
      <c r="X43" s="37">
        <v>192</v>
      </c>
      <c r="Y43" s="37">
        <f t="shared" si="2"/>
        <v>62.550000000000011</v>
      </c>
    </row>
    <row r="44" spans="1:25" ht="37.5">
      <c r="A44" s="263">
        <v>28</v>
      </c>
      <c r="B44" s="273" t="s">
        <v>2339</v>
      </c>
      <c r="C44" s="277" t="s">
        <v>49</v>
      </c>
      <c r="D44" s="394">
        <v>115</v>
      </c>
      <c r="E44" s="395">
        <v>116</v>
      </c>
      <c r="F44" s="394">
        <v>122</v>
      </c>
      <c r="G44" s="394">
        <v>121</v>
      </c>
      <c r="H44" s="397">
        <v>130</v>
      </c>
      <c r="I44" s="394">
        <v>138</v>
      </c>
      <c r="J44" s="394">
        <v>154</v>
      </c>
      <c r="K44" s="394">
        <v>233.93</v>
      </c>
      <c r="L44" s="265">
        <v>171</v>
      </c>
      <c r="N44" s="265">
        <v>121</v>
      </c>
      <c r="O44" s="268">
        <v>130</v>
      </c>
      <c r="P44" s="265">
        <v>138</v>
      </c>
      <c r="S44" s="261" t="s">
        <v>2073</v>
      </c>
      <c r="T44" s="262"/>
      <c r="U44" s="385">
        <v>5</v>
      </c>
      <c r="V44" s="218">
        <f t="shared" si="1"/>
        <v>11.7</v>
      </c>
      <c r="W44" s="37">
        <f t="shared" si="3"/>
        <v>245.63</v>
      </c>
      <c r="X44" s="37">
        <v>187</v>
      </c>
      <c r="Y44" s="37">
        <f t="shared" si="2"/>
        <v>58.629999999999995</v>
      </c>
    </row>
    <row r="45" spans="1:25" ht="43.5" customHeight="1">
      <c r="A45" s="263">
        <v>29</v>
      </c>
      <c r="B45" s="264" t="s">
        <v>2340</v>
      </c>
      <c r="S45" s="261" t="s">
        <v>2073</v>
      </c>
      <c r="T45" s="262"/>
      <c r="U45" s="385"/>
      <c r="V45" s="218">
        <f t="shared" si="1"/>
        <v>0</v>
      </c>
      <c r="W45" s="37">
        <f t="shared" si="3"/>
        <v>0</v>
      </c>
      <c r="Y45" s="37">
        <f t="shared" si="2"/>
        <v>0</v>
      </c>
    </row>
    <row r="46" spans="1:25">
      <c r="A46" s="271" t="s">
        <v>2341</v>
      </c>
      <c r="B46" s="273" t="s">
        <v>2342</v>
      </c>
      <c r="C46" s="277" t="s">
        <v>49</v>
      </c>
      <c r="D46" s="394">
        <v>449</v>
      </c>
      <c r="E46" s="395">
        <v>463</v>
      </c>
      <c r="F46" s="394">
        <v>488</v>
      </c>
      <c r="G46" s="394">
        <v>480</v>
      </c>
      <c r="H46" s="397">
        <v>496</v>
      </c>
      <c r="I46" s="394">
        <v>537</v>
      </c>
      <c r="J46" s="394">
        <v>594</v>
      </c>
      <c r="K46" s="394">
        <v>879.77</v>
      </c>
      <c r="L46" s="265">
        <v>647</v>
      </c>
      <c r="N46" s="265">
        <v>480</v>
      </c>
      <c r="O46" s="268">
        <v>496</v>
      </c>
      <c r="P46" s="265">
        <v>537</v>
      </c>
      <c r="S46" s="261" t="s">
        <v>2073</v>
      </c>
      <c r="T46" s="262"/>
      <c r="U46" s="385">
        <v>5</v>
      </c>
      <c r="V46" s="218">
        <f t="shared" si="1"/>
        <v>43.99</v>
      </c>
      <c r="W46" s="37">
        <f t="shared" si="3"/>
        <v>923.76</v>
      </c>
      <c r="X46" s="37">
        <v>694</v>
      </c>
      <c r="Y46" s="37">
        <f t="shared" si="2"/>
        <v>229.76</v>
      </c>
    </row>
    <row r="47" spans="1:25">
      <c r="A47" s="271" t="s">
        <v>2320</v>
      </c>
      <c r="B47" s="273" t="s">
        <v>2343</v>
      </c>
      <c r="C47" s="277" t="s">
        <v>49</v>
      </c>
      <c r="D47" s="394">
        <v>336</v>
      </c>
      <c r="E47" s="395">
        <v>350</v>
      </c>
      <c r="F47" s="394">
        <v>349</v>
      </c>
      <c r="G47" s="394">
        <v>370</v>
      </c>
      <c r="H47" s="397">
        <v>370</v>
      </c>
      <c r="I47" s="394">
        <v>402</v>
      </c>
      <c r="J47" s="394">
        <v>473</v>
      </c>
      <c r="K47" s="394">
        <v>700.88</v>
      </c>
      <c r="L47" s="265">
        <v>492</v>
      </c>
      <c r="N47" s="265">
        <v>370</v>
      </c>
      <c r="O47" s="268">
        <v>370</v>
      </c>
      <c r="P47" s="265">
        <v>402</v>
      </c>
      <c r="S47" s="261" t="s">
        <v>2073</v>
      </c>
      <c r="T47" s="262"/>
      <c r="U47" s="385">
        <v>5</v>
      </c>
      <c r="V47" s="218">
        <f t="shared" si="1"/>
        <v>35.04</v>
      </c>
      <c r="W47" s="37">
        <f t="shared" si="3"/>
        <v>735.92</v>
      </c>
      <c r="X47" s="37">
        <v>543</v>
      </c>
      <c r="Y47" s="37">
        <f t="shared" si="2"/>
        <v>192.91999999999996</v>
      </c>
    </row>
    <row r="48" spans="1:25" ht="56.25">
      <c r="A48" s="263">
        <v>30</v>
      </c>
      <c r="B48" s="264" t="s">
        <v>2344</v>
      </c>
      <c r="S48" s="261"/>
      <c r="T48" s="262"/>
      <c r="U48" s="385">
        <v>5</v>
      </c>
      <c r="V48" s="218">
        <f t="shared" si="1"/>
        <v>0</v>
      </c>
      <c r="W48" s="37">
        <f t="shared" si="3"/>
        <v>0</v>
      </c>
      <c r="Y48" s="37">
        <f t="shared" si="2"/>
        <v>0</v>
      </c>
    </row>
    <row r="49" spans="1:25">
      <c r="A49" s="271" t="s">
        <v>2341</v>
      </c>
      <c r="B49" s="272" t="s">
        <v>2342</v>
      </c>
      <c r="C49" s="277" t="s">
        <v>49</v>
      </c>
      <c r="D49" s="394">
        <v>471</v>
      </c>
      <c r="E49" s="395">
        <v>477</v>
      </c>
      <c r="F49" s="394">
        <v>506</v>
      </c>
      <c r="G49" s="394">
        <v>500</v>
      </c>
      <c r="H49" s="397">
        <v>513</v>
      </c>
      <c r="I49" s="394">
        <v>570</v>
      </c>
      <c r="J49" s="394">
        <v>616</v>
      </c>
      <c r="K49" s="394">
        <v>899.33</v>
      </c>
      <c r="L49" s="265">
        <v>679</v>
      </c>
      <c r="N49" s="265">
        <v>500</v>
      </c>
      <c r="O49" s="268">
        <v>513</v>
      </c>
      <c r="P49" s="265">
        <v>570</v>
      </c>
      <c r="S49" s="261" t="s">
        <v>2073</v>
      </c>
      <c r="T49" s="262"/>
      <c r="U49" s="385">
        <v>5</v>
      </c>
      <c r="V49" s="218">
        <f t="shared" si="1"/>
        <v>44.97</v>
      </c>
      <c r="W49" s="37">
        <f t="shared" si="3"/>
        <v>944.30000000000007</v>
      </c>
      <c r="X49" s="37">
        <v>721</v>
      </c>
      <c r="Y49" s="37">
        <f t="shared" si="2"/>
        <v>223.30000000000007</v>
      </c>
    </row>
    <row r="50" spans="1:25">
      <c r="A50" s="271" t="s">
        <v>2320</v>
      </c>
      <c r="B50" s="272" t="s">
        <v>2343</v>
      </c>
      <c r="C50" s="277" t="s">
        <v>49</v>
      </c>
      <c r="D50" s="394">
        <v>337</v>
      </c>
      <c r="E50" s="395">
        <v>361</v>
      </c>
      <c r="F50" s="394">
        <v>358</v>
      </c>
      <c r="G50" s="394">
        <v>372</v>
      </c>
      <c r="H50" s="397">
        <v>383</v>
      </c>
      <c r="I50" s="394">
        <v>414</v>
      </c>
      <c r="J50" s="394">
        <v>475</v>
      </c>
      <c r="K50" s="394">
        <v>710.56</v>
      </c>
      <c r="L50" s="265">
        <v>515</v>
      </c>
      <c r="N50" s="265">
        <v>372</v>
      </c>
      <c r="O50" s="268">
        <v>383</v>
      </c>
      <c r="P50" s="265">
        <v>414</v>
      </c>
      <c r="S50" s="261" t="s">
        <v>2073</v>
      </c>
      <c r="T50" s="262"/>
      <c r="U50" s="385">
        <v>5</v>
      </c>
      <c r="V50" s="218">
        <f t="shared" si="1"/>
        <v>35.53</v>
      </c>
      <c r="W50" s="37">
        <f t="shared" si="3"/>
        <v>746.08999999999992</v>
      </c>
      <c r="X50" s="37">
        <v>558</v>
      </c>
      <c r="Y50" s="37">
        <f t="shared" si="2"/>
        <v>188.08999999999992</v>
      </c>
    </row>
    <row r="51" spans="1:25" ht="17.25" customHeight="1">
      <c r="A51" s="263">
        <v>31</v>
      </c>
      <c r="B51" s="278" t="s">
        <v>2345</v>
      </c>
      <c r="S51" s="261"/>
      <c r="T51" s="262"/>
      <c r="U51" s="385">
        <v>5</v>
      </c>
      <c r="V51" s="218">
        <f t="shared" si="1"/>
        <v>0</v>
      </c>
      <c r="W51" s="37">
        <f t="shared" si="3"/>
        <v>0</v>
      </c>
      <c r="Y51" s="37">
        <f t="shared" si="2"/>
        <v>0</v>
      </c>
    </row>
    <row r="52" spans="1:25">
      <c r="A52" s="271" t="s">
        <v>2341</v>
      </c>
      <c r="B52" s="272" t="s">
        <v>2342</v>
      </c>
      <c r="C52" s="277" t="s">
        <v>49</v>
      </c>
      <c r="D52" s="394">
        <v>491</v>
      </c>
      <c r="E52" s="395">
        <v>506</v>
      </c>
      <c r="F52" s="394">
        <v>525</v>
      </c>
      <c r="G52" s="394">
        <v>540</v>
      </c>
      <c r="H52" s="397">
        <v>537</v>
      </c>
      <c r="I52" s="394">
        <v>580</v>
      </c>
      <c r="J52" s="394">
        <v>682</v>
      </c>
      <c r="K52" s="394">
        <v>995.25</v>
      </c>
      <c r="L52" s="265">
        <v>701</v>
      </c>
      <c r="N52" s="265">
        <v>540</v>
      </c>
      <c r="O52" s="268">
        <v>537</v>
      </c>
      <c r="P52" s="265">
        <v>580</v>
      </c>
      <c r="S52" s="261" t="s">
        <v>2073</v>
      </c>
      <c r="T52" s="262" t="s">
        <v>2346</v>
      </c>
      <c r="U52" s="385">
        <v>5</v>
      </c>
      <c r="V52" s="218">
        <f t="shared" si="1"/>
        <v>49.76</v>
      </c>
      <c r="W52" s="37">
        <f t="shared" si="3"/>
        <v>1045.01</v>
      </c>
      <c r="X52" s="37">
        <v>780</v>
      </c>
      <c r="Y52" s="37">
        <f t="shared" si="2"/>
        <v>265.01</v>
      </c>
    </row>
    <row r="53" spans="1:25">
      <c r="A53" s="271" t="s">
        <v>2320</v>
      </c>
      <c r="B53" s="272" t="s">
        <v>2343</v>
      </c>
      <c r="C53" s="277" t="s">
        <v>49</v>
      </c>
      <c r="D53" s="394">
        <v>378</v>
      </c>
      <c r="E53" s="395">
        <v>406</v>
      </c>
      <c r="F53" s="394">
        <v>404</v>
      </c>
      <c r="G53" s="394">
        <v>410</v>
      </c>
      <c r="H53" s="397">
        <v>424</v>
      </c>
      <c r="I53" s="394">
        <v>430</v>
      </c>
      <c r="J53" s="394">
        <v>544</v>
      </c>
      <c r="K53" s="394">
        <v>787.36</v>
      </c>
      <c r="L53" s="265">
        <v>561</v>
      </c>
      <c r="N53" s="265">
        <v>410</v>
      </c>
      <c r="O53" s="268">
        <v>424</v>
      </c>
      <c r="P53" s="265">
        <v>430</v>
      </c>
      <c r="S53" s="261" t="s">
        <v>2073</v>
      </c>
      <c r="T53" s="262" t="s">
        <v>2347</v>
      </c>
      <c r="U53" s="385">
        <v>5</v>
      </c>
      <c r="V53" s="218">
        <f t="shared" si="1"/>
        <v>39.369999999999997</v>
      </c>
      <c r="W53" s="37">
        <f t="shared" si="3"/>
        <v>826.73</v>
      </c>
      <c r="X53" s="37">
        <v>634</v>
      </c>
      <c r="Y53" s="37">
        <f t="shared" si="2"/>
        <v>192.73000000000002</v>
      </c>
    </row>
    <row r="54" spans="1:25" ht="55.5" customHeight="1">
      <c r="A54" s="263">
        <v>32</v>
      </c>
      <c r="B54" s="264" t="s">
        <v>2348</v>
      </c>
      <c r="S54" s="261"/>
      <c r="T54" s="262"/>
      <c r="U54" s="385">
        <v>5</v>
      </c>
      <c r="V54" s="218">
        <f t="shared" si="1"/>
        <v>0</v>
      </c>
      <c r="W54" s="37">
        <f t="shared" si="3"/>
        <v>0</v>
      </c>
      <c r="Y54" s="37">
        <f t="shared" si="2"/>
        <v>0</v>
      </c>
    </row>
    <row r="55" spans="1:25">
      <c r="A55" s="271" t="s">
        <v>2341</v>
      </c>
      <c r="B55" s="273" t="s">
        <v>2342</v>
      </c>
      <c r="C55" s="277" t="s">
        <v>49</v>
      </c>
      <c r="D55" s="394">
        <v>530</v>
      </c>
      <c r="E55" s="395">
        <v>524</v>
      </c>
      <c r="F55" s="394">
        <v>556</v>
      </c>
      <c r="G55" s="394">
        <v>595</v>
      </c>
      <c r="H55" s="397">
        <v>573</v>
      </c>
      <c r="I55" s="394">
        <v>630</v>
      </c>
      <c r="J55" s="394">
        <v>726</v>
      </c>
      <c r="K55" s="394">
        <v>1097.74</v>
      </c>
      <c r="L55" s="265">
        <v>745</v>
      </c>
      <c r="N55" s="265">
        <v>595</v>
      </c>
      <c r="O55" s="268">
        <v>573</v>
      </c>
      <c r="P55" s="265">
        <v>630</v>
      </c>
      <c r="S55" s="261" t="s">
        <v>2073</v>
      </c>
      <c r="T55" s="262"/>
      <c r="U55" s="385">
        <v>5</v>
      </c>
      <c r="V55" s="218">
        <f t="shared" si="1"/>
        <v>54.89</v>
      </c>
      <c r="W55" s="37">
        <f t="shared" si="3"/>
        <v>1152.6300000000001</v>
      </c>
      <c r="X55" s="37">
        <v>803</v>
      </c>
      <c r="Y55" s="37">
        <f t="shared" si="2"/>
        <v>349.63000000000011</v>
      </c>
    </row>
    <row r="56" spans="1:25">
      <c r="A56" s="271" t="s">
        <v>2320</v>
      </c>
      <c r="B56" s="273" t="s">
        <v>2343</v>
      </c>
      <c r="C56" s="277" t="s">
        <v>49</v>
      </c>
      <c r="D56" s="394">
        <v>390</v>
      </c>
      <c r="E56" s="395">
        <v>383</v>
      </c>
      <c r="F56" s="394">
        <v>389</v>
      </c>
      <c r="G56" s="394">
        <v>415</v>
      </c>
      <c r="H56" s="397">
        <v>418</v>
      </c>
      <c r="I56" s="394">
        <v>435</v>
      </c>
      <c r="J56" s="394">
        <v>550</v>
      </c>
      <c r="K56" s="394">
        <v>814.94</v>
      </c>
      <c r="L56" s="265">
        <v>570</v>
      </c>
      <c r="N56" s="265">
        <v>415</v>
      </c>
      <c r="O56" s="268">
        <v>418</v>
      </c>
      <c r="P56" s="265">
        <v>435</v>
      </c>
      <c r="S56" s="261" t="s">
        <v>2073</v>
      </c>
      <c r="T56" s="262"/>
      <c r="U56" s="385">
        <v>5</v>
      </c>
      <c r="V56" s="218">
        <f t="shared" si="1"/>
        <v>40.75</v>
      </c>
      <c r="W56" s="37">
        <f t="shared" si="3"/>
        <v>855.69</v>
      </c>
      <c r="X56" s="37">
        <v>639</v>
      </c>
      <c r="Y56" s="37">
        <f t="shared" si="2"/>
        <v>216.69000000000005</v>
      </c>
    </row>
    <row r="57" spans="1:25" ht="39.75" customHeight="1">
      <c r="A57" s="276">
        <v>33</v>
      </c>
      <c r="B57" s="264" t="s">
        <v>2349</v>
      </c>
      <c r="S57" s="261"/>
      <c r="T57" s="262"/>
      <c r="U57" s="385">
        <v>5</v>
      </c>
      <c r="V57" s="218">
        <f t="shared" si="1"/>
        <v>0</v>
      </c>
      <c r="W57" s="37">
        <f t="shared" si="3"/>
        <v>0</v>
      </c>
      <c r="Y57" s="37">
        <f t="shared" si="2"/>
        <v>0</v>
      </c>
    </row>
    <row r="58" spans="1:25">
      <c r="A58" s="271" t="s">
        <v>2341</v>
      </c>
      <c r="B58" s="273" t="s">
        <v>2342</v>
      </c>
      <c r="C58" s="277" t="s">
        <v>49</v>
      </c>
      <c r="D58" s="394">
        <v>528</v>
      </c>
      <c r="E58" s="395">
        <v>533</v>
      </c>
      <c r="F58" s="394">
        <v>583</v>
      </c>
      <c r="G58" s="394">
        <v>600</v>
      </c>
      <c r="H58" s="397">
        <v>588</v>
      </c>
      <c r="I58" s="394">
        <v>650</v>
      </c>
      <c r="J58" s="394">
        <v>737</v>
      </c>
      <c r="K58" s="394">
        <v>1135.74</v>
      </c>
      <c r="L58" s="265">
        <v>764</v>
      </c>
      <c r="N58" s="265">
        <v>600</v>
      </c>
      <c r="O58" s="268">
        <v>588</v>
      </c>
      <c r="P58" s="265">
        <v>650</v>
      </c>
      <c r="S58" s="261" t="s">
        <v>2073</v>
      </c>
      <c r="T58" s="262"/>
      <c r="U58" s="385">
        <v>5</v>
      </c>
      <c r="V58" s="218">
        <f t="shared" si="1"/>
        <v>56.79</v>
      </c>
      <c r="W58" s="37">
        <f t="shared" si="3"/>
        <v>1192.53</v>
      </c>
      <c r="X58" s="37">
        <v>829</v>
      </c>
      <c r="Y58" s="37">
        <f t="shared" si="2"/>
        <v>363.53</v>
      </c>
    </row>
    <row r="59" spans="1:25">
      <c r="A59" s="271" t="s">
        <v>2320</v>
      </c>
      <c r="B59" s="273" t="s">
        <v>2343</v>
      </c>
      <c r="C59" s="277" t="s">
        <v>49</v>
      </c>
      <c r="D59" s="394">
        <v>413</v>
      </c>
      <c r="E59" s="395">
        <v>414</v>
      </c>
      <c r="F59" s="394">
        <v>430</v>
      </c>
      <c r="G59" s="394">
        <v>425</v>
      </c>
      <c r="H59" s="397">
        <v>451</v>
      </c>
      <c r="I59" s="394">
        <v>491</v>
      </c>
      <c r="J59" s="394">
        <v>561</v>
      </c>
      <c r="K59" s="394">
        <v>833.51</v>
      </c>
      <c r="L59" s="265">
        <v>612</v>
      </c>
      <c r="N59" s="265">
        <v>425</v>
      </c>
      <c r="O59" s="268">
        <v>451</v>
      </c>
      <c r="P59" s="265">
        <v>491</v>
      </c>
      <c r="S59" s="261" t="s">
        <v>2073</v>
      </c>
      <c r="T59" s="262"/>
      <c r="U59" s="385">
        <v>5</v>
      </c>
      <c r="V59" s="218">
        <f t="shared" si="1"/>
        <v>41.68</v>
      </c>
      <c r="W59" s="37">
        <f t="shared" si="3"/>
        <v>875.18999999999994</v>
      </c>
      <c r="X59" s="37">
        <v>677</v>
      </c>
      <c r="Y59" s="37">
        <f t="shared" si="2"/>
        <v>198.18999999999994</v>
      </c>
    </row>
    <row r="60" spans="1:25" ht="58.5" customHeight="1">
      <c r="A60" s="263">
        <v>34</v>
      </c>
      <c r="B60" s="264" t="s">
        <v>2350</v>
      </c>
      <c r="S60" s="261"/>
      <c r="T60" s="262"/>
      <c r="U60" s="385">
        <v>5</v>
      </c>
      <c r="V60" s="218">
        <f t="shared" si="1"/>
        <v>0</v>
      </c>
      <c r="W60" s="37">
        <f t="shared" si="3"/>
        <v>0</v>
      </c>
      <c r="Y60" s="37">
        <f t="shared" si="2"/>
        <v>0</v>
      </c>
    </row>
    <row r="61" spans="1:25">
      <c r="A61" s="271" t="s">
        <v>2341</v>
      </c>
      <c r="B61" s="273" t="s">
        <v>2342</v>
      </c>
      <c r="C61" s="277" t="s">
        <v>49</v>
      </c>
      <c r="D61" s="394">
        <v>531</v>
      </c>
      <c r="E61" s="395">
        <v>536</v>
      </c>
      <c r="F61" s="394">
        <v>577</v>
      </c>
      <c r="G61" s="394">
        <v>606</v>
      </c>
      <c r="H61" s="397">
        <v>593</v>
      </c>
      <c r="I61" s="394">
        <v>655</v>
      </c>
      <c r="J61" s="394">
        <v>759</v>
      </c>
      <c r="K61" s="394">
        <v>1123.78</v>
      </c>
      <c r="L61" s="265">
        <v>797</v>
      </c>
      <c r="N61" s="265">
        <v>606</v>
      </c>
      <c r="O61" s="268">
        <v>593</v>
      </c>
      <c r="P61" s="265">
        <v>655</v>
      </c>
      <c r="S61" s="261" t="s">
        <v>2073</v>
      </c>
      <c r="T61" s="262"/>
      <c r="U61" s="385">
        <v>5</v>
      </c>
      <c r="V61" s="218">
        <f t="shared" si="1"/>
        <v>56.19</v>
      </c>
      <c r="W61" s="37">
        <f t="shared" si="3"/>
        <v>1179.97</v>
      </c>
      <c r="X61" s="37">
        <v>853</v>
      </c>
      <c r="Y61" s="37">
        <f t="shared" si="2"/>
        <v>326.97000000000003</v>
      </c>
    </row>
    <row r="62" spans="1:25">
      <c r="A62" s="271" t="s">
        <v>2320</v>
      </c>
      <c r="B62" s="273" t="s">
        <v>2343</v>
      </c>
      <c r="C62" s="277" t="s">
        <v>49</v>
      </c>
      <c r="D62" s="394">
        <v>416</v>
      </c>
      <c r="E62" s="395">
        <v>421</v>
      </c>
      <c r="F62" s="394">
        <v>439</v>
      </c>
      <c r="G62" s="394">
        <v>430</v>
      </c>
      <c r="H62" s="397">
        <v>457</v>
      </c>
      <c r="I62" s="394">
        <v>502</v>
      </c>
      <c r="J62" s="394">
        <v>583</v>
      </c>
      <c r="K62" s="394">
        <v>914.66</v>
      </c>
      <c r="L62" s="265">
        <v>641</v>
      </c>
      <c r="N62" s="265">
        <v>430</v>
      </c>
      <c r="O62" s="268">
        <v>457</v>
      </c>
      <c r="P62" s="265">
        <v>502</v>
      </c>
      <c r="S62" s="261" t="s">
        <v>2073</v>
      </c>
      <c r="T62" s="262"/>
      <c r="U62" s="385">
        <v>5</v>
      </c>
      <c r="V62" s="218">
        <f t="shared" si="1"/>
        <v>45.73</v>
      </c>
      <c r="W62" s="37">
        <f t="shared" si="3"/>
        <v>960.39</v>
      </c>
      <c r="X62" s="37">
        <v>699</v>
      </c>
      <c r="Y62" s="37">
        <f t="shared" si="2"/>
        <v>261.39</v>
      </c>
    </row>
    <row r="63" spans="1:25" ht="58.5" customHeight="1">
      <c r="A63" s="263">
        <v>35</v>
      </c>
      <c r="B63" s="264" t="s">
        <v>2351</v>
      </c>
      <c r="S63" s="261" t="s">
        <v>2073</v>
      </c>
      <c r="T63" s="262"/>
      <c r="U63" s="385">
        <v>5</v>
      </c>
      <c r="V63" s="218">
        <f t="shared" si="1"/>
        <v>0</v>
      </c>
      <c r="W63" s="37">
        <f t="shared" si="3"/>
        <v>0</v>
      </c>
      <c r="Y63" s="37">
        <f t="shared" si="2"/>
        <v>0</v>
      </c>
    </row>
    <row r="64" spans="1:25">
      <c r="A64" s="271" t="s">
        <v>2341</v>
      </c>
      <c r="B64" s="273" t="s">
        <v>2342</v>
      </c>
      <c r="C64" s="277" t="s">
        <v>49</v>
      </c>
      <c r="D64" s="394">
        <v>646</v>
      </c>
      <c r="E64" s="395">
        <v>685</v>
      </c>
      <c r="F64" s="394">
        <v>701</v>
      </c>
      <c r="G64" s="394">
        <v>720</v>
      </c>
      <c r="H64" s="397">
        <v>743</v>
      </c>
      <c r="I64" s="394">
        <v>770</v>
      </c>
      <c r="J64" s="394">
        <v>968</v>
      </c>
      <c r="K64" s="394">
        <v>1382.29</v>
      </c>
      <c r="L64" s="265">
        <v>998</v>
      </c>
      <c r="N64" s="265">
        <v>720</v>
      </c>
      <c r="O64" s="268">
        <v>743</v>
      </c>
      <c r="P64" s="265">
        <v>770</v>
      </c>
      <c r="S64" s="261" t="s">
        <v>2073</v>
      </c>
      <c r="T64" s="262" t="s">
        <v>2352</v>
      </c>
      <c r="U64" s="385">
        <v>5</v>
      </c>
      <c r="V64" s="218">
        <f t="shared" si="1"/>
        <v>69.11</v>
      </c>
      <c r="W64" s="37">
        <f t="shared" si="3"/>
        <v>1451.3999999999999</v>
      </c>
      <c r="X64" s="37">
        <v>1120</v>
      </c>
      <c r="Y64" s="37">
        <f t="shared" si="2"/>
        <v>331.39999999999986</v>
      </c>
    </row>
    <row r="65" spans="1:25">
      <c r="A65" s="271" t="s">
        <v>2320</v>
      </c>
      <c r="B65" s="273" t="s">
        <v>2343</v>
      </c>
      <c r="C65" s="277" t="s">
        <v>49</v>
      </c>
      <c r="D65" s="394">
        <v>505</v>
      </c>
      <c r="E65" s="395">
        <v>550</v>
      </c>
      <c r="F65" s="394">
        <v>553</v>
      </c>
      <c r="G65" s="394">
        <v>525</v>
      </c>
      <c r="H65" s="397">
        <v>589</v>
      </c>
      <c r="I65" s="394">
        <v>584</v>
      </c>
      <c r="J65" s="394">
        <v>753</v>
      </c>
      <c r="K65" s="394">
        <v>1077.82</v>
      </c>
      <c r="L65" s="265">
        <v>808</v>
      </c>
      <c r="N65" s="265">
        <v>525</v>
      </c>
      <c r="O65" s="268">
        <v>589</v>
      </c>
      <c r="P65" s="265">
        <v>584</v>
      </c>
      <c r="S65" s="261" t="s">
        <v>2073</v>
      </c>
      <c r="T65" s="262" t="s">
        <v>2353</v>
      </c>
      <c r="U65" s="385">
        <v>5</v>
      </c>
      <c r="V65" s="218">
        <f t="shared" si="1"/>
        <v>53.89</v>
      </c>
      <c r="W65" s="37">
        <f t="shared" si="3"/>
        <v>1131.71</v>
      </c>
      <c r="X65" s="37">
        <v>924</v>
      </c>
      <c r="Y65" s="37">
        <f t="shared" si="2"/>
        <v>207.71000000000004</v>
      </c>
    </row>
    <row r="66" spans="1:25" ht="57" customHeight="1">
      <c r="A66" s="263">
        <v>36</v>
      </c>
      <c r="B66" s="264" t="s">
        <v>2354</v>
      </c>
      <c r="S66" s="261"/>
      <c r="T66" s="262"/>
      <c r="U66" s="385">
        <v>5</v>
      </c>
      <c r="V66" s="218">
        <f t="shared" si="1"/>
        <v>0</v>
      </c>
      <c r="W66" s="37">
        <f t="shared" si="3"/>
        <v>0</v>
      </c>
      <c r="Y66" s="37">
        <f t="shared" si="2"/>
        <v>0</v>
      </c>
    </row>
    <row r="67" spans="1:25">
      <c r="A67" s="271" t="s">
        <v>2341</v>
      </c>
      <c r="B67" s="273" t="s">
        <v>2342</v>
      </c>
      <c r="C67" s="277" t="s">
        <v>49</v>
      </c>
      <c r="D67" s="394">
        <v>653</v>
      </c>
      <c r="E67" s="395">
        <v>685</v>
      </c>
      <c r="F67" s="394">
        <v>702</v>
      </c>
      <c r="G67" s="394">
        <v>740</v>
      </c>
      <c r="H67" s="397">
        <v>742</v>
      </c>
      <c r="I67" s="394">
        <v>780</v>
      </c>
      <c r="J67" s="394">
        <v>990</v>
      </c>
      <c r="K67" s="394">
        <v>1370.27</v>
      </c>
      <c r="L67" s="265">
        <v>1005</v>
      </c>
      <c r="N67" s="265">
        <v>740</v>
      </c>
      <c r="O67" s="268">
        <v>742</v>
      </c>
      <c r="P67" s="265">
        <v>780</v>
      </c>
      <c r="S67" s="261" t="s">
        <v>2073</v>
      </c>
      <c r="T67" s="262"/>
      <c r="U67" s="385">
        <v>5</v>
      </c>
      <c r="V67" s="218">
        <f t="shared" si="1"/>
        <v>68.510000000000005</v>
      </c>
      <c r="W67" s="37">
        <f t="shared" si="3"/>
        <v>1438.78</v>
      </c>
      <c r="X67" s="37">
        <v>1145</v>
      </c>
      <c r="Y67" s="37">
        <f t="shared" si="2"/>
        <v>293.77999999999997</v>
      </c>
    </row>
    <row r="68" spans="1:25">
      <c r="A68" s="271" t="s">
        <v>2320</v>
      </c>
      <c r="B68" s="273" t="s">
        <v>2343</v>
      </c>
      <c r="C68" s="277" t="s">
        <v>49</v>
      </c>
      <c r="D68" s="394">
        <v>496</v>
      </c>
      <c r="E68" s="395">
        <v>527</v>
      </c>
      <c r="F68" s="394">
        <v>562</v>
      </c>
      <c r="G68" s="394">
        <v>520</v>
      </c>
      <c r="H68" s="397">
        <v>578</v>
      </c>
      <c r="I68" s="394">
        <v>610</v>
      </c>
      <c r="J68" s="394">
        <v>770</v>
      </c>
      <c r="K68" s="394">
        <v>1094.45</v>
      </c>
      <c r="L68" s="265">
        <v>821</v>
      </c>
      <c r="N68" s="265">
        <v>520</v>
      </c>
      <c r="O68" s="268">
        <v>578</v>
      </c>
      <c r="P68" s="265">
        <v>610</v>
      </c>
      <c r="S68" s="261" t="s">
        <v>2073</v>
      </c>
      <c r="T68" s="262"/>
      <c r="U68" s="385">
        <v>5</v>
      </c>
      <c r="V68" s="218">
        <f t="shared" ref="V68:V131" si="5">ROUND(K68*U68/100,2)</f>
        <v>54.72</v>
      </c>
      <c r="W68" s="37">
        <f t="shared" si="3"/>
        <v>1149.17</v>
      </c>
      <c r="X68" s="37">
        <v>946</v>
      </c>
      <c r="Y68" s="37">
        <f t="shared" ref="Y68:Y131" si="6">W68-X68</f>
        <v>203.17000000000007</v>
      </c>
    </row>
    <row r="69" spans="1:25" ht="57.75" customHeight="1">
      <c r="A69" s="263">
        <v>37</v>
      </c>
      <c r="B69" s="264" t="s">
        <v>2355</v>
      </c>
      <c r="S69" s="261"/>
      <c r="T69" s="262"/>
      <c r="U69" s="385">
        <v>5</v>
      </c>
      <c r="V69" s="218">
        <f t="shared" si="5"/>
        <v>0</v>
      </c>
      <c r="W69" s="37">
        <f t="shared" si="3"/>
        <v>0</v>
      </c>
      <c r="Y69" s="37">
        <f t="shared" si="6"/>
        <v>0</v>
      </c>
    </row>
    <row r="70" spans="1:25">
      <c r="A70" s="271" t="s">
        <v>2341</v>
      </c>
      <c r="B70" s="273" t="s">
        <v>2342</v>
      </c>
      <c r="C70" s="277" t="s">
        <v>49</v>
      </c>
      <c r="D70" s="394">
        <v>661</v>
      </c>
      <c r="E70" s="395">
        <v>707</v>
      </c>
      <c r="F70" s="394">
        <v>736</v>
      </c>
      <c r="G70" s="394">
        <v>750</v>
      </c>
      <c r="H70" s="397">
        <v>775</v>
      </c>
      <c r="I70" s="394">
        <v>820</v>
      </c>
      <c r="J70" s="394">
        <v>1001</v>
      </c>
      <c r="K70" s="394">
        <v>1396.62</v>
      </c>
      <c r="L70" s="265">
        <v>1031</v>
      </c>
      <c r="N70" s="265">
        <v>750</v>
      </c>
      <c r="O70" s="268">
        <v>775</v>
      </c>
      <c r="P70" s="265">
        <v>820</v>
      </c>
      <c r="S70" s="261" t="s">
        <v>2073</v>
      </c>
      <c r="T70" s="262" t="s">
        <v>2356</v>
      </c>
      <c r="U70" s="385">
        <v>5</v>
      </c>
      <c r="V70" s="218">
        <f t="shared" si="5"/>
        <v>69.83</v>
      </c>
      <c r="W70" s="37">
        <f t="shared" si="3"/>
        <v>1466.4499999999998</v>
      </c>
      <c r="X70" s="37">
        <v>1159</v>
      </c>
      <c r="Y70" s="37">
        <f t="shared" si="6"/>
        <v>307.44999999999982</v>
      </c>
    </row>
    <row r="71" spans="1:25">
      <c r="A71" s="271" t="s">
        <v>2320</v>
      </c>
      <c r="B71" s="273" t="s">
        <v>2343</v>
      </c>
      <c r="C71" s="277" t="s">
        <v>49</v>
      </c>
      <c r="D71" s="394">
        <v>520</v>
      </c>
      <c r="E71" s="395">
        <v>533</v>
      </c>
      <c r="F71" s="394">
        <v>576</v>
      </c>
      <c r="G71" s="394">
        <v>540</v>
      </c>
      <c r="H71" s="397">
        <v>593</v>
      </c>
      <c r="I71" s="394">
        <v>625</v>
      </c>
      <c r="J71" s="394">
        <v>781</v>
      </c>
      <c r="K71" s="394">
        <v>1085.19</v>
      </c>
      <c r="L71" s="265">
        <v>834</v>
      </c>
      <c r="N71" s="265">
        <v>540</v>
      </c>
      <c r="O71" s="268">
        <v>593</v>
      </c>
      <c r="P71" s="265">
        <v>625</v>
      </c>
      <c r="S71" s="261" t="s">
        <v>2073</v>
      </c>
      <c r="T71" s="262" t="s">
        <v>2357</v>
      </c>
      <c r="U71" s="385">
        <v>5</v>
      </c>
      <c r="V71" s="218">
        <f t="shared" si="5"/>
        <v>54.26</v>
      </c>
      <c r="W71" s="37">
        <f t="shared" ref="W71:W134" si="7">K71+V71</f>
        <v>1139.45</v>
      </c>
      <c r="X71" s="37">
        <v>957</v>
      </c>
      <c r="Y71" s="37">
        <f t="shared" si="6"/>
        <v>182.45000000000005</v>
      </c>
    </row>
    <row r="72" spans="1:25" ht="60" customHeight="1">
      <c r="A72" s="263">
        <v>38</v>
      </c>
      <c r="B72" s="264" t="s">
        <v>2358</v>
      </c>
      <c r="S72" s="261"/>
      <c r="T72" s="262"/>
      <c r="U72" s="385">
        <v>5</v>
      </c>
      <c r="V72" s="218">
        <f t="shared" si="5"/>
        <v>0</v>
      </c>
      <c r="W72" s="37">
        <f t="shared" si="7"/>
        <v>0</v>
      </c>
      <c r="Y72" s="37">
        <f t="shared" si="6"/>
        <v>0</v>
      </c>
    </row>
    <row r="73" spans="1:25">
      <c r="A73" s="271" t="s">
        <v>2341</v>
      </c>
      <c r="B73" s="273" t="s">
        <v>2342</v>
      </c>
      <c r="C73" s="277" t="s">
        <v>49</v>
      </c>
      <c r="D73" s="394">
        <v>671</v>
      </c>
      <c r="E73" s="395">
        <v>720</v>
      </c>
      <c r="F73" s="394">
        <v>750</v>
      </c>
      <c r="G73" s="394">
        <v>760</v>
      </c>
      <c r="H73" s="397">
        <v>788</v>
      </c>
      <c r="I73" s="394">
        <v>840</v>
      </c>
      <c r="J73" s="394">
        <v>1012</v>
      </c>
      <c r="K73" s="394">
        <v>1428.13</v>
      </c>
      <c r="L73" s="265">
        <v>1084</v>
      </c>
      <c r="N73" s="265">
        <v>760</v>
      </c>
      <c r="O73" s="268">
        <v>788</v>
      </c>
      <c r="P73" s="265">
        <v>840</v>
      </c>
      <c r="S73" s="261" t="s">
        <v>2073</v>
      </c>
      <c r="T73" s="262"/>
      <c r="U73" s="385">
        <v>5</v>
      </c>
      <c r="V73" s="218">
        <f t="shared" si="5"/>
        <v>71.41</v>
      </c>
      <c r="W73" s="37">
        <f t="shared" si="7"/>
        <v>1499.5400000000002</v>
      </c>
      <c r="X73" s="37">
        <v>1173</v>
      </c>
      <c r="Y73" s="37">
        <f t="shared" si="6"/>
        <v>326.54000000000019</v>
      </c>
    </row>
    <row r="74" spans="1:25">
      <c r="A74" s="271" t="s">
        <v>2320</v>
      </c>
      <c r="B74" s="273" t="s">
        <v>2343</v>
      </c>
      <c r="C74" s="277" t="s">
        <v>49</v>
      </c>
      <c r="D74" s="394">
        <v>535</v>
      </c>
      <c r="E74" s="395">
        <v>557</v>
      </c>
      <c r="F74" s="394">
        <v>583</v>
      </c>
      <c r="G74" s="394">
        <v>570</v>
      </c>
      <c r="H74" s="397">
        <v>603</v>
      </c>
      <c r="I74" s="394">
        <v>635</v>
      </c>
      <c r="J74" s="394">
        <v>803</v>
      </c>
      <c r="K74" s="394">
        <v>1121.3800000000001</v>
      </c>
      <c r="L74" s="265">
        <v>849</v>
      </c>
      <c r="N74" s="265">
        <v>570</v>
      </c>
      <c r="O74" s="268">
        <v>603</v>
      </c>
      <c r="P74" s="265">
        <v>635</v>
      </c>
      <c r="S74" s="261" t="s">
        <v>2073</v>
      </c>
      <c r="T74" s="262"/>
      <c r="U74" s="385">
        <v>5</v>
      </c>
      <c r="V74" s="218">
        <f t="shared" si="5"/>
        <v>56.07</v>
      </c>
      <c r="W74" s="37">
        <f t="shared" si="7"/>
        <v>1177.45</v>
      </c>
      <c r="X74" s="37">
        <v>967</v>
      </c>
      <c r="Y74" s="37">
        <f t="shared" si="6"/>
        <v>210.45000000000005</v>
      </c>
    </row>
    <row r="75" spans="1:25" ht="58.5" customHeight="1">
      <c r="A75" s="263">
        <v>39</v>
      </c>
      <c r="B75" s="264" t="s">
        <v>2359</v>
      </c>
      <c r="S75" s="261"/>
      <c r="T75" s="262"/>
      <c r="U75" s="385">
        <v>5</v>
      </c>
      <c r="V75" s="218">
        <f t="shared" si="5"/>
        <v>0</v>
      </c>
      <c r="W75" s="37">
        <f t="shared" si="7"/>
        <v>0</v>
      </c>
      <c r="Y75" s="37">
        <f t="shared" si="6"/>
        <v>0</v>
      </c>
    </row>
    <row r="76" spans="1:25">
      <c r="A76" s="271" t="s">
        <v>2341</v>
      </c>
      <c r="B76" s="273" t="s">
        <v>2342</v>
      </c>
      <c r="C76" s="277" t="s">
        <v>49</v>
      </c>
      <c r="D76" s="394">
        <v>674</v>
      </c>
      <c r="E76" s="395">
        <v>736</v>
      </c>
      <c r="F76" s="394">
        <v>755</v>
      </c>
      <c r="G76" s="394">
        <v>770</v>
      </c>
      <c r="H76" s="397">
        <v>802</v>
      </c>
      <c r="I76" s="394">
        <v>850</v>
      </c>
      <c r="J76" s="394">
        <v>1023</v>
      </c>
      <c r="K76" s="394">
        <v>1402</v>
      </c>
      <c r="L76" s="265">
        <v>1091</v>
      </c>
      <c r="N76" s="265">
        <v>770</v>
      </c>
      <c r="O76" s="268">
        <v>802</v>
      </c>
      <c r="P76" s="265">
        <v>850</v>
      </c>
      <c r="S76" s="261" t="s">
        <v>2073</v>
      </c>
      <c r="T76" s="262" t="s">
        <v>2360</v>
      </c>
      <c r="U76" s="385">
        <v>5</v>
      </c>
      <c r="V76" s="218">
        <f t="shared" si="5"/>
        <v>70.099999999999994</v>
      </c>
      <c r="W76" s="37">
        <f t="shared" si="7"/>
        <v>1472.1</v>
      </c>
      <c r="X76" s="37">
        <v>1206</v>
      </c>
      <c r="Y76" s="37">
        <f t="shared" si="6"/>
        <v>266.09999999999991</v>
      </c>
    </row>
    <row r="77" spans="1:25">
      <c r="A77" s="271" t="s">
        <v>2320</v>
      </c>
      <c r="B77" s="273" t="s">
        <v>2343</v>
      </c>
      <c r="C77" s="277" t="s">
        <v>49</v>
      </c>
      <c r="D77" s="394">
        <v>536</v>
      </c>
      <c r="E77" s="395">
        <v>569</v>
      </c>
      <c r="F77" s="394">
        <v>596</v>
      </c>
      <c r="G77" s="394">
        <v>570</v>
      </c>
      <c r="H77" s="397">
        <v>615</v>
      </c>
      <c r="I77" s="394">
        <v>646</v>
      </c>
      <c r="J77" s="394">
        <v>803</v>
      </c>
      <c r="K77" s="394">
        <v>1109.77</v>
      </c>
      <c r="L77" s="265">
        <v>849</v>
      </c>
      <c r="N77" s="265">
        <v>570</v>
      </c>
      <c r="O77" s="268">
        <v>615</v>
      </c>
      <c r="P77" s="265">
        <v>646</v>
      </c>
      <c r="S77" s="261" t="s">
        <v>2073</v>
      </c>
      <c r="T77" s="262" t="s">
        <v>2361</v>
      </c>
      <c r="U77" s="385">
        <v>5</v>
      </c>
      <c r="V77" s="218">
        <f t="shared" si="5"/>
        <v>55.49</v>
      </c>
      <c r="W77" s="37">
        <f t="shared" si="7"/>
        <v>1165.26</v>
      </c>
      <c r="X77" s="37">
        <v>967</v>
      </c>
      <c r="Y77" s="37">
        <f t="shared" si="6"/>
        <v>198.26</v>
      </c>
    </row>
    <row r="78" spans="1:25" ht="39.75" customHeight="1">
      <c r="A78" s="276" t="s">
        <v>634</v>
      </c>
      <c r="B78" s="264" t="s">
        <v>2362</v>
      </c>
      <c r="C78" s="277" t="s">
        <v>49</v>
      </c>
      <c r="D78" s="394">
        <v>517</v>
      </c>
      <c r="E78" s="395">
        <v>529</v>
      </c>
      <c r="F78" s="394">
        <v>519</v>
      </c>
      <c r="G78" s="394">
        <v>550</v>
      </c>
      <c r="H78" s="397">
        <v>572</v>
      </c>
      <c r="I78" s="394">
        <v>575</v>
      </c>
      <c r="J78" s="394">
        <v>687</v>
      </c>
      <c r="K78" s="394">
        <v>957.46</v>
      </c>
      <c r="L78" s="265">
        <v>708</v>
      </c>
      <c r="N78" s="265">
        <v>550</v>
      </c>
      <c r="O78" s="268">
        <v>572</v>
      </c>
      <c r="P78" s="265">
        <v>575</v>
      </c>
      <c r="S78" s="261" t="s">
        <v>2073</v>
      </c>
      <c r="T78" s="262" t="s">
        <v>2363</v>
      </c>
      <c r="U78" s="385">
        <v>5</v>
      </c>
      <c r="V78" s="218">
        <f t="shared" si="5"/>
        <v>47.87</v>
      </c>
      <c r="W78" s="37">
        <f t="shared" si="7"/>
        <v>1005.33</v>
      </c>
      <c r="X78" s="37">
        <v>811</v>
      </c>
      <c r="Y78" s="37">
        <f t="shared" si="6"/>
        <v>194.33000000000004</v>
      </c>
    </row>
    <row r="79" spans="1:25" ht="37.5" customHeight="1">
      <c r="A79" s="276" t="s">
        <v>2364</v>
      </c>
      <c r="B79" s="264" t="s">
        <v>2365</v>
      </c>
      <c r="C79" s="277" t="s">
        <v>49</v>
      </c>
      <c r="D79" s="394">
        <v>446</v>
      </c>
      <c r="E79" s="395">
        <v>448</v>
      </c>
      <c r="F79" s="394">
        <v>474</v>
      </c>
      <c r="G79" s="394">
        <v>460</v>
      </c>
      <c r="H79" s="397">
        <v>492</v>
      </c>
      <c r="I79" s="394">
        <v>520</v>
      </c>
      <c r="J79" s="394">
        <v>605</v>
      </c>
      <c r="K79" s="394">
        <v>748.12</v>
      </c>
      <c r="L79" s="265">
        <v>639</v>
      </c>
      <c r="N79" s="265">
        <v>460</v>
      </c>
      <c r="O79" s="268">
        <v>492</v>
      </c>
      <c r="P79" s="265">
        <v>520</v>
      </c>
      <c r="S79" s="261" t="s">
        <v>2073</v>
      </c>
      <c r="T79" s="262"/>
      <c r="U79" s="385">
        <v>5</v>
      </c>
      <c r="V79" s="218">
        <f t="shared" si="5"/>
        <v>37.409999999999997</v>
      </c>
      <c r="W79" s="37">
        <f t="shared" si="7"/>
        <v>785.53</v>
      </c>
      <c r="X79" s="37">
        <v>719</v>
      </c>
      <c r="Y79" s="37">
        <f t="shared" si="6"/>
        <v>66.529999999999973</v>
      </c>
    </row>
    <row r="80" spans="1:25" ht="38.25" customHeight="1">
      <c r="A80" s="263">
        <v>40</v>
      </c>
      <c r="B80" s="264" t="s">
        <v>2366</v>
      </c>
      <c r="C80" s="277" t="s">
        <v>49</v>
      </c>
      <c r="D80" s="394">
        <v>457</v>
      </c>
      <c r="E80" s="395">
        <v>455</v>
      </c>
      <c r="F80" s="394">
        <v>487</v>
      </c>
      <c r="G80" s="394">
        <v>470</v>
      </c>
      <c r="H80" s="397">
        <v>500</v>
      </c>
      <c r="I80" s="394">
        <v>532</v>
      </c>
      <c r="J80" s="394">
        <v>616</v>
      </c>
      <c r="K80" s="394">
        <v>792.8</v>
      </c>
      <c r="L80" s="265">
        <v>656</v>
      </c>
      <c r="N80" s="265">
        <v>470</v>
      </c>
      <c r="O80" s="268">
        <v>500</v>
      </c>
      <c r="P80" s="265">
        <v>532</v>
      </c>
      <c r="S80" s="261" t="s">
        <v>2073</v>
      </c>
      <c r="T80" s="262" t="s">
        <v>2367</v>
      </c>
      <c r="U80" s="385">
        <v>5</v>
      </c>
      <c r="V80" s="218">
        <f t="shared" si="5"/>
        <v>39.64</v>
      </c>
      <c r="W80" s="37">
        <f t="shared" si="7"/>
        <v>832.43999999999994</v>
      </c>
      <c r="X80" s="37">
        <v>742</v>
      </c>
      <c r="Y80" s="37">
        <f t="shared" si="6"/>
        <v>90.439999999999941</v>
      </c>
    </row>
    <row r="81" spans="1:25" ht="37.5">
      <c r="A81" s="277">
        <v>41</v>
      </c>
      <c r="B81" s="274" t="s">
        <v>2368</v>
      </c>
      <c r="C81" s="277" t="s">
        <v>49</v>
      </c>
      <c r="D81" s="394">
        <v>197</v>
      </c>
      <c r="E81" s="395">
        <v>205</v>
      </c>
      <c r="F81" s="394">
        <v>208</v>
      </c>
      <c r="G81" s="394">
        <v>210</v>
      </c>
      <c r="H81" s="397">
        <v>221</v>
      </c>
      <c r="I81" s="394">
        <v>230</v>
      </c>
      <c r="J81" s="394">
        <v>231</v>
      </c>
      <c r="K81" s="394">
        <v>339.83</v>
      </c>
      <c r="L81" s="265">
        <v>253</v>
      </c>
      <c r="N81" s="265">
        <v>210</v>
      </c>
      <c r="O81" s="268">
        <v>221</v>
      </c>
      <c r="P81" s="265">
        <v>230</v>
      </c>
      <c r="S81" s="261" t="s">
        <v>2073</v>
      </c>
      <c r="T81" s="262"/>
      <c r="U81" s="385">
        <v>5</v>
      </c>
      <c r="V81" s="218">
        <f t="shared" si="5"/>
        <v>16.989999999999998</v>
      </c>
      <c r="W81" s="37">
        <f t="shared" si="7"/>
        <v>356.82</v>
      </c>
      <c r="X81" s="37">
        <v>279</v>
      </c>
      <c r="Y81" s="37">
        <f t="shared" si="6"/>
        <v>77.819999999999993</v>
      </c>
    </row>
    <row r="82" spans="1:25" ht="37.5">
      <c r="A82" s="277">
        <v>42</v>
      </c>
      <c r="B82" s="274" t="s">
        <v>2369</v>
      </c>
      <c r="C82" s="277" t="s">
        <v>49</v>
      </c>
      <c r="D82" s="394">
        <v>210</v>
      </c>
      <c r="E82" s="395">
        <v>215</v>
      </c>
      <c r="F82" s="394">
        <v>220</v>
      </c>
      <c r="G82" s="394">
        <v>215</v>
      </c>
      <c r="H82" s="397">
        <v>231</v>
      </c>
      <c r="I82" s="394">
        <v>240</v>
      </c>
      <c r="J82" s="394">
        <v>236</v>
      </c>
      <c r="K82" s="394">
        <v>353.65</v>
      </c>
      <c r="L82" s="265">
        <v>264</v>
      </c>
      <c r="N82" s="265">
        <v>215</v>
      </c>
      <c r="O82" s="268">
        <v>231</v>
      </c>
      <c r="P82" s="265">
        <v>240</v>
      </c>
      <c r="S82" s="261" t="s">
        <v>2073</v>
      </c>
      <c r="T82" s="262"/>
      <c r="U82" s="385">
        <v>5</v>
      </c>
      <c r="V82" s="218">
        <f t="shared" si="5"/>
        <v>17.68</v>
      </c>
      <c r="W82" s="37">
        <f t="shared" si="7"/>
        <v>371.33</v>
      </c>
      <c r="X82" s="37">
        <v>292</v>
      </c>
      <c r="Y82" s="37">
        <f t="shared" si="6"/>
        <v>79.329999999999984</v>
      </c>
    </row>
    <row r="83" spans="1:25" ht="37.5">
      <c r="A83" s="277">
        <v>43</v>
      </c>
      <c r="B83" s="274" t="s">
        <v>2370</v>
      </c>
      <c r="C83" s="277" t="s">
        <v>49</v>
      </c>
      <c r="D83" s="394">
        <v>221</v>
      </c>
      <c r="E83" s="395">
        <v>239</v>
      </c>
      <c r="F83" s="394">
        <v>240</v>
      </c>
      <c r="G83" s="394">
        <v>230</v>
      </c>
      <c r="H83" s="397">
        <v>257</v>
      </c>
      <c r="I83" s="394">
        <v>260</v>
      </c>
      <c r="J83" s="394">
        <v>253</v>
      </c>
      <c r="K83" s="394">
        <v>369.84</v>
      </c>
      <c r="L83" s="265">
        <v>286</v>
      </c>
      <c r="N83" s="265">
        <v>230</v>
      </c>
      <c r="O83" s="268">
        <v>257</v>
      </c>
      <c r="P83" s="265">
        <v>260</v>
      </c>
      <c r="S83" s="261" t="s">
        <v>2073</v>
      </c>
      <c r="T83" s="262"/>
      <c r="U83" s="385">
        <v>5</v>
      </c>
      <c r="V83" s="218">
        <f t="shared" si="5"/>
        <v>18.489999999999998</v>
      </c>
      <c r="W83" s="37">
        <f t="shared" si="7"/>
        <v>388.33</v>
      </c>
      <c r="X83" s="37">
        <v>323</v>
      </c>
      <c r="Y83" s="37">
        <f t="shared" si="6"/>
        <v>65.329999999999984</v>
      </c>
    </row>
    <row r="84" spans="1:25" ht="37.5">
      <c r="A84" s="277">
        <v>44</v>
      </c>
      <c r="B84" s="274" t="s">
        <v>2371</v>
      </c>
      <c r="C84" s="277" t="s">
        <v>49</v>
      </c>
      <c r="D84" s="394">
        <v>233</v>
      </c>
      <c r="E84" s="395">
        <v>245</v>
      </c>
      <c r="F84" s="394">
        <v>252</v>
      </c>
      <c r="G84" s="394">
        <v>240</v>
      </c>
      <c r="H84" s="397">
        <v>264</v>
      </c>
      <c r="I84" s="394">
        <v>280</v>
      </c>
      <c r="J84" s="394">
        <v>264</v>
      </c>
      <c r="K84" s="394">
        <v>393.53</v>
      </c>
      <c r="L84" s="265">
        <v>308</v>
      </c>
      <c r="N84" s="265">
        <v>240</v>
      </c>
      <c r="O84" s="268">
        <v>264</v>
      </c>
      <c r="P84" s="265">
        <v>280</v>
      </c>
      <c r="S84" s="261" t="s">
        <v>2073</v>
      </c>
      <c r="T84" s="262"/>
      <c r="U84" s="385">
        <v>5</v>
      </c>
      <c r="V84" s="218">
        <f t="shared" si="5"/>
        <v>19.68</v>
      </c>
      <c r="W84" s="37">
        <f t="shared" si="7"/>
        <v>413.21</v>
      </c>
      <c r="X84" s="37">
        <v>333</v>
      </c>
      <c r="Y84" s="37">
        <f t="shared" si="6"/>
        <v>80.20999999999998</v>
      </c>
    </row>
    <row r="85" spans="1:25" ht="37.5">
      <c r="A85" s="263">
        <v>45</v>
      </c>
      <c r="B85" s="274" t="s">
        <v>2372</v>
      </c>
      <c r="C85" s="277" t="s">
        <v>49</v>
      </c>
      <c r="D85" s="394">
        <v>105</v>
      </c>
      <c r="E85" s="395">
        <v>102</v>
      </c>
      <c r="F85" s="394">
        <v>102</v>
      </c>
      <c r="G85" s="394">
        <v>125</v>
      </c>
      <c r="H85" s="397">
        <v>111</v>
      </c>
      <c r="I85" s="394">
        <v>110</v>
      </c>
      <c r="J85" s="394">
        <v>137</v>
      </c>
      <c r="K85" s="394">
        <v>195.42</v>
      </c>
      <c r="L85" s="265">
        <v>121</v>
      </c>
      <c r="N85" s="265">
        <v>125</v>
      </c>
      <c r="O85" s="268">
        <v>111</v>
      </c>
      <c r="P85" s="265">
        <v>110</v>
      </c>
      <c r="S85" s="261" t="s">
        <v>2073</v>
      </c>
      <c r="T85" s="262"/>
      <c r="U85" s="385">
        <v>28</v>
      </c>
      <c r="V85" s="218">
        <f t="shared" si="5"/>
        <v>54.72</v>
      </c>
      <c r="W85" s="37">
        <f t="shared" si="7"/>
        <v>250.14</v>
      </c>
      <c r="X85" s="37">
        <v>140</v>
      </c>
      <c r="Y85" s="37">
        <f t="shared" si="6"/>
        <v>110.13999999999999</v>
      </c>
    </row>
    <row r="86" spans="1:25" ht="37.5">
      <c r="A86" s="263">
        <v>46</v>
      </c>
      <c r="B86" s="273" t="s">
        <v>2373</v>
      </c>
      <c r="C86" s="277" t="s">
        <v>49</v>
      </c>
      <c r="D86" s="394">
        <v>119</v>
      </c>
      <c r="E86" s="395">
        <v>115</v>
      </c>
      <c r="F86" s="394">
        <v>119</v>
      </c>
      <c r="G86" s="394">
        <v>130</v>
      </c>
      <c r="H86" s="397">
        <v>126</v>
      </c>
      <c r="I86" s="394">
        <v>130</v>
      </c>
      <c r="J86" s="394">
        <v>143</v>
      </c>
      <c r="K86" s="394">
        <v>209.34</v>
      </c>
      <c r="L86" s="265">
        <v>143</v>
      </c>
      <c r="N86" s="265">
        <v>130</v>
      </c>
      <c r="O86" s="268">
        <v>126</v>
      </c>
      <c r="P86" s="265">
        <v>130</v>
      </c>
      <c r="S86" s="261" t="s">
        <v>2073</v>
      </c>
      <c r="T86" s="262"/>
      <c r="U86" s="385">
        <v>5</v>
      </c>
      <c r="V86" s="218">
        <f t="shared" si="5"/>
        <v>10.47</v>
      </c>
      <c r="W86" s="37">
        <f t="shared" si="7"/>
        <v>219.81</v>
      </c>
      <c r="X86" s="37">
        <v>158</v>
      </c>
      <c r="Y86" s="37">
        <f t="shared" si="6"/>
        <v>61.81</v>
      </c>
    </row>
    <row r="87" spans="1:25" ht="38.25" customHeight="1">
      <c r="A87" s="263">
        <v>47</v>
      </c>
      <c r="B87" s="264" t="s">
        <v>2374</v>
      </c>
      <c r="C87" s="277" t="s">
        <v>49</v>
      </c>
      <c r="D87" s="394">
        <v>91</v>
      </c>
      <c r="E87" s="395">
        <v>96</v>
      </c>
      <c r="F87" s="394">
        <v>97</v>
      </c>
      <c r="G87" s="394">
        <v>100</v>
      </c>
      <c r="H87" s="397">
        <v>105</v>
      </c>
      <c r="I87" s="394">
        <v>106</v>
      </c>
      <c r="J87" s="394">
        <v>110</v>
      </c>
      <c r="K87" s="394">
        <v>170.43</v>
      </c>
      <c r="L87" s="265">
        <v>116</v>
      </c>
      <c r="N87" s="265">
        <v>100</v>
      </c>
      <c r="O87" s="268">
        <v>105</v>
      </c>
      <c r="P87" s="265">
        <v>106</v>
      </c>
      <c r="S87" s="261" t="s">
        <v>2073</v>
      </c>
      <c r="T87" s="262"/>
      <c r="U87" s="385">
        <v>5</v>
      </c>
      <c r="V87" s="218">
        <f t="shared" si="5"/>
        <v>8.52</v>
      </c>
      <c r="W87" s="37">
        <f t="shared" si="7"/>
        <v>178.95000000000002</v>
      </c>
      <c r="X87" s="37">
        <v>132</v>
      </c>
      <c r="Y87" s="37">
        <f t="shared" si="6"/>
        <v>46.950000000000017</v>
      </c>
    </row>
    <row r="88" spans="1:25" ht="56.25">
      <c r="A88" s="263">
        <v>48</v>
      </c>
      <c r="B88" s="264" t="s">
        <v>2375</v>
      </c>
      <c r="C88" s="277" t="s">
        <v>49</v>
      </c>
      <c r="D88" s="394">
        <v>101</v>
      </c>
      <c r="E88" s="395">
        <v>103</v>
      </c>
      <c r="F88" s="394">
        <v>109</v>
      </c>
      <c r="G88" s="394">
        <v>110</v>
      </c>
      <c r="H88" s="397">
        <v>113</v>
      </c>
      <c r="I88" s="394">
        <v>118</v>
      </c>
      <c r="J88" s="394">
        <v>121</v>
      </c>
      <c r="K88" s="394">
        <v>186.28</v>
      </c>
      <c r="L88" s="265">
        <v>129</v>
      </c>
      <c r="N88" s="265">
        <v>110</v>
      </c>
      <c r="O88" s="268">
        <v>113</v>
      </c>
      <c r="P88" s="265">
        <v>118</v>
      </c>
      <c r="S88" s="261" t="s">
        <v>2073</v>
      </c>
      <c r="T88" s="262"/>
      <c r="U88" s="385">
        <v>5</v>
      </c>
      <c r="V88" s="218">
        <f t="shared" si="5"/>
        <v>9.31</v>
      </c>
      <c r="W88" s="37">
        <f t="shared" si="7"/>
        <v>195.59</v>
      </c>
      <c r="X88" s="37">
        <v>142</v>
      </c>
      <c r="Y88" s="37">
        <f t="shared" si="6"/>
        <v>53.59</v>
      </c>
    </row>
    <row r="89" spans="1:25" ht="37.5">
      <c r="A89" s="263">
        <v>49</v>
      </c>
      <c r="B89" s="273" t="s">
        <v>2376</v>
      </c>
      <c r="C89" s="277" t="s">
        <v>49</v>
      </c>
      <c r="D89" s="394">
        <v>93</v>
      </c>
      <c r="E89" s="395">
        <v>95</v>
      </c>
      <c r="F89" s="394">
        <v>97</v>
      </c>
      <c r="G89" s="394">
        <v>100</v>
      </c>
      <c r="H89" s="397">
        <v>104</v>
      </c>
      <c r="I89" s="394">
        <v>108</v>
      </c>
      <c r="J89" s="394">
        <v>110</v>
      </c>
      <c r="K89" s="394">
        <v>165.97</v>
      </c>
      <c r="L89" s="265">
        <v>118</v>
      </c>
      <c r="N89" s="265">
        <v>100</v>
      </c>
      <c r="O89" s="268">
        <v>104</v>
      </c>
      <c r="P89" s="265">
        <v>108</v>
      </c>
      <c r="S89" s="261" t="s">
        <v>2073</v>
      </c>
      <c r="T89" s="262"/>
      <c r="U89" s="385">
        <v>5</v>
      </c>
      <c r="V89" s="218">
        <f t="shared" si="5"/>
        <v>8.3000000000000007</v>
      </c>
      <c r="W89" s="37">
        <f t="shared" si="7"/>
        <v>174.27</v>
      </c>
      <c r="X89" s="37">
        <v>131</v>
      </c>
      <c r="Y89" s="37">
        <f t="shared" si="6"/>
        <v>43.27000000000001</v>
      </c>
    </row>
    <row r="90" spans="1:25" ht="37.5">
      <c r="A90" s="263">
        <v>50</v>
      </c>
      <c r="B90" s="274" t="s">
        <v>2377</v>
      </c>
      <c r="C90" s="277" t="s">
        <v>49</v>
      </c>
      <c r="D90" s="394">
        <v>152</v>
      </c>
      <c r="E90" s="395">
        <v>150</v>
      </c>
      <c r="F90" s="394">
        <v>155</v>
      </c>
      <c r="G90" s="394">
        <v>160</v>
      </c>
      <c r="H90" s="397">
        <v>164</v>
      </c>
      <c r="I90" s="394">
        <v>170</v>
      </c>
      <c r="J90" s="394">
        <v>176</v>
      </c>
      <c r="K90" s="394">
        <v>258.83999999999997</v>
      </c>
      <c r="L90" s="265">
        <v>187</v>
      </c>
      <c r="N90" s="265">
        <v>160</v>
      </c>
      <c r="O90" s="268">
        <v>164</v>
      </c>
      <c r="P90" s="265">
        <v>170</v>
      </c>
      <c r="S90" s="261" t="s">
        <v>2073</v>
      </c>
      <c r="T90" s="262" t="s">
        <v>2378</v>
      </c>
      <c r="U90" s="385">
        <v>5</v>
      </c>
      <c r="V90" s="218">
        <f t="shared" si="5"/>
        <v>12.94</v>
      </c>
      <c r="W90" s="37">
        <f t="shared" si="7"/>
        <v>271.77999999999997</v>
      </c>
      <c r="X90" s="37">
        <v>207</v>
      </c>
      <c r="Y90" s="37">
        <f t="shared" si="6"/>
        <v>64.779999999999973</v>
      </c>
    </row>
    <row r="91" spans="1:25">
      <c r="A91" s="277">
        <v>51</v>
      </c>
      <c r="B91" s="279" t="s">
        <v>62</v>
      </c>
      <c r="C91" s="277" t="s">
        <v>49</v>
      </c>
      <c r="D91" s="394">
        <v>411</v>
      </c>
      <c r="E91" s="395">
        <v>418</v>
      </c>
      <c r="F91" s="394">
        <v>434</v>
      </c>
      <c r="G91" s="394">
        <v>460</v>
      </c>
      <c r="H91" s="397">
        <v>451</v>
      </c>
      <c r="I91" s="394">
        <v>480</v>
      </c>
      <c r="J91" s="394">
        <v>572</v>
      </c>
      <c r="K91" s="394">
        <v>804.94</v>
      </c>
      <c r="L91" s="265">
        <v>583</v>
      </c>
      <c r="N91" s="265">
        <v>460</v>
      </c>
      <c r="O91" s="268">
        <v>451</v>
      </c>
      <c r="P91" s="265">
        <v>480</v>
      </c>
      <c r="S91" s="261" t="s">
        <v>2073</v>
      </c>
      <c r="T91" s="262" t="s">
        <v>2379</v>
      </c>
      <c r="U91" s="385">
        <v>5</v>
      </c>
      <c r="V91" s="218">
        <f t="shared" si="5"/>
        <v>40.25</v>
      </c>
      <c r="W91" s="37">
        <f t="shared" si="7"/>
        <v>845.19</v>
      </c>
      <c r="X91" s="37">
        <v>645</v>
      </c>
      <c r="Y91" s="37">
        <f t="shared" si="6"/>
        <v>200.19000000000005</v>
      </c>
    </row>
    <row r="92" spans="1:25">
      <c r="A92" s="277">
        <v>52</v>
      </c>
      <c r="B92" s="279" t="s">
        <v>63</v>
      </c>
      <c r="C92" s="277" t="s">
        <v>49</v>
      </c>
      <c r="D92" s="394">
        <v>468</v>
      </c>
      <c r="E92" s="395">
        <v>466</v>
      </c>
      <c r="F92" s="394">
        <v>486</v>
      </c>
      <c r="G92" s="394">
        <v>520</v>
      </c>
      <c r="H92" s="397">
        <v>503</v>
      </c>
      <c r="I92" s="394">
        <v>530</v>
      </c>
      <c r="J92" s="394">
        <v>638</v>
      </c>
      <c r="K92" s="394">
        <v>888.78</v>
      </c>
      <c r="L92" s="265">
        <v>646</v>
      </c>
      <c r="N92" s="265">
        <v>520</v>
      </c>
      <c r="O92" s="268">
        <v>503</v>
      </c>
      <c r="P92" s="265">
        <v>530</v>
      </c>
      <c r="S92" s="261" t="s">
        <v>2073</v>
      </c>
      <c r="T92" s="262" t="s">
        <v>2379</v>
      </c>
      <c r="U92" s="385">
        <v>5</v>
      </c>
      <c r="V92" s="218">
        <f t="shared" si="5"/>
        <v>44.44</v>
      </c>
      <c r="W92" s="37">
        <f t="shared" si="7"/>
        <v>933.22</v>
      </c>
      <c r="X92" s="37">
        <v>710</v>
      </c>
      <c r="Y92" s="37">
        <f t="shared" si="6"/>
        <v>223.22000000000003</v>
      </c>
    </row>
    <row r="93" spans="1:25">
      <c r="A93" s="277">
        <v>53</v>
      </c>
      <c r="B93" s="279" t="s">
        <v>64</v>
      </c>
      <c r="C93" s="277" t="s">
        <v>49</v>
      </c>
      <c r="D93" s="394">
        <v>503</v>
      </c>
      <c r="E93" s="395">
        <v>509</v>
      </c>
      <c r="F93" s="394">
        <v>535</v>
      </c>
      <c r="G93" s="394">
        <v>560</v>
      </c>
      <c r="H93" s="397">
        <v>548</v>
      </c>
      <c r="I93" s="394">
        <v>585</v>
      </c>
      <c r="J93" s="394">
        <v>682</v>
      </c>
      <c r="K93" s="394">
        <v>951</v>
      </c>
      <c r="L93" s="265">
        <v>699</v>
      </c>
      <c r="N93" s="265">
        <v>560</v>
      </c>
      <c r="O93" s="268">
        <v>548</v>
      </c>
      <c r="P93" s="265">
        <v>585</v>
      </c>
      <c r="S93" s="261" t="s">
        <v>2073</v>
      </c>
      <c r="T93" s="262" t="s">
        <v>2379</v>
      </c>
      <c r="U93" s="385">
        <v>5</v>
      </c>
      <c r="V93" s="218">
        <f t="shared" si="5"/>
        <v>47.55</v>
      </c>
      <c r="W93" s="37">
        <f t="shared" si="7"/>
        <v>998.55</v>
      </c>
      <c r="X93" s="37">
        <v>769</v>
      </c>
      <c r="Y93" s="37">
        <f t="shared" si="6"/>
        <v>229.54999999999995</v>
      </c>
    </row>
    <row r="94" spans="1:25">
      <c r="A94" s="277">
        <v>54</v>
      </c>
      <c r="B94" s="279" t="s">
        <v>2380</v>
      </c>
      <c r="C94" s="277" t="s">
        <v>49</v>
      </c>
      <c r="D94" s="394">
        <v>75</v>
      </c>
      <c r="E94" s="395">
        <v>80</v>
      </c>
      <c r="F94" s="394">
        <v>81</v>
      </c>
      <c r="G94" s="394">
        <v>85</v>
      </c>
      <c r="H94" s="397">
        <v>86</v>
      </c>
      <c r="I94" s="394">
        <v>90</v>
      </c>
      <c r="J94" s="394">
        <v>93</v>
      </c>
      <c r="K94" s="394">
        <v>157.58000000000001</v>
      </c>
      <c r="L94" s="265">
        <v>99</v>
      </c>
      <c r="N94" s="265">
        <v>85</v>
      </c>
      <c r="O94" s="268">
        <v>86</v>
      </c>
      <c r="P94" s="265">
        <v>90</v>
      </c>
      <c r="S94" s="261" t="s">
        <v>2073</v>
      </c>
      <c r="T94" s="262"/>
      <c r="U94" s="385">
        <v>5</v>
      </c>
      <c r="V94" s="218">
        <f t="shared" si="5"/>
        <v>7.88</v>
      </c>
      <c r="W94" s="37">
        <f t="shared" si="7"/>
        <v>165.46</v>
      </c>
      <c r="X94" s="37">
        <v>108</v>
      </c>
      <c r="Y94" s="37">
        <f t="shared" si="6"/>
        <v>57.460000000000008</v>
      </c>
    </row>
    <row r="95" spans="1:25">
      <c r="A95" s="277">
        <v>55</v>
      </c>
      <c r="B95" s="279" t="s">
        <v>2381</v>
      </c>
      <c r="C95" s="277" t="s">
        <v>49</v>
      </c>
      <c r="D95" s="394">
        <v>392</v>
      </c>
      <c r="E95" s="395">
        <v>410</v>
      </c>
      <c r="F95" s="394">
        <v>413</v>
      </c>
      <c r="G95" s="394">
        <v>420</v>
      </c>
      <c r="H95" s="397">
        <v>436</v>
      </c>
      <c r="I95" s="394">
        <v>463</v>
      </c>
      <c r="J95" s="394">
        <v>528</v>
      </c>
      <c r="K95" s="394">
        <v>749.2</v>
      </c>
      <c r="L95" s="265">
        <v>559</v>
      </c>
      <c r="N95" s="265">
        <v>420</v>
      </c>
      <c r="O95" s="268">
        <v>436</v>
      </c>
      <c r="P95" s="265">
        <v>463</v>
      </c>
      <c r="S95" s="261" t="s">
        <v>2073</v>
      </c>
      <c r="T95" s="262"/>
      <c r="U95" s="385">
        <v>5</v>
      </c>
      <c r="V95" s="218">
        <f t="shared" si="5"/>
        <v>37.46</v>
      </c>
      <c r="W95" s="37">
        <f t="shared" si="7"/>
        <v>786.66000000000008</v>
      </c>
      <c r="X95" s="37">
        <v>579</v>
      </c>
      <c r="Y95" s="37">
        <f t="shared" si="6"/>
        <v>207.66000000000008</v>
      </c>
    </row>
    <row r="96" spans="1:25">
      <c r="A96" s="277">
        <v>56</v>
      </c>
      <c r="B96" s="272" t="s">
        <v>2382</v>
      </c>
      <c r="C96" s="277" t="s">
        <v>92</v>
      </c>
      <c r="D96" s="394">
        <v>95</v>
      </c>
      <c r="E96" s="395">
        <v>97</v>
      </c>
      <c r="F96" s="394">
        <v>98</v>
      </c>
      <c r="G96" s="394">
        <v>100</v>
      </c>
      <c r="H96" s="397">
        <v>106</v>
      </c>
      <c r="I96" s="394">
        <v>108</v>
      </c>
      <c r="J96" s="394">
        <v>110</v>
      </c>
      <c r="K96" s="394">
        <v>135</v>
      </c>
      <c r="L96" s="265">
        <v>118</v>
      </c>
      <c r="N96" s="265">
        <v>100</v>
      </c>
      <c r="O96" s="268">
        <v>106</v>
      </c>
      <c r="P96" s="265">
        <v>108</v>
      </c>
      <c r="S96" s="261" t="s">
        <v>2073</v>
      </c>
      <c r="T96" s="262"/>
      <c r="U96" s="385">
        <v>18</v>
      </c>
      <c r="V96" s="218">
        <f t="shared" si="5"/>
        <v>24.3</v>
      </c>
      <c r="W96" s="37">
        <f t="shared" si="7"/>
        <v>159.30000000000001</v>
      </c>
      <c r="X96" s="37">
        <v>133</v>
      </c>
      <c r="Y96" s="37">
        <f t="shared" si="6"/>
        <v>26.300000000000011</v>
      </c>
    </row>
    <row r="97" spans="1:25" ht="37.5">
      <c r="A97" s="263">
        <v>57</v>
      </c>
      <c r="B97" s="273" t="s">
        <v>2383</v>
      </c>
      <c r="C97" s="277" t="s">
        <v>38</v>
      </c>
      <c r="D97" s="394">
        <v>103</v>
      </c>
      <c r="E97" s="395">
        <v>109</v>
      </c>
      <c r="F97" s="394">
        <v>115</v>
      </c>
      <c r="G97" s="394">
        <v>110</v>
      </c>
      <c r="H97" s="397">
        <v>118</v>
      </c>
      <c r="I97" s="394">
        <v>125</v>
      </c>
      <c r="J97" s="394">
        <v>121</v>
      </c>
      <c r="K97" s="394">
        <v>88</v>
      </c>
      <c r="L97" s="265">
        <v>137</v>
      </c>
      <c r="N97" s="265">
        <v>110</v>
      </c>
      <c r="O97" s="268">
        <v>118</v>
      </c>
      <c r="P97" s="265">
        <v>125</v>
      </c>
      <c r="S97" s="261" t="s">
        <v>2073</v>
      </c>
      <c r="T97" s="262"/>
      <c r="U97" s="385">
        <f>U96</f>
        <v>18</v>
      </c>
      <c r="V97" s="218">
        <f t="shared" si="5"/>
        <v>15.84</v>
      </c>
      <c r="W97" s="37">
        <f t="shared" si="7"/>
        <v>103.84</v>
      </c>
      <c r="X97" s="37">
        <v>148</v>
      </c>
      <c r="Y97" s="37">
        <f t="shared" si="6"/>
        <v>-44.16</v>
      </c>
    </row>
    <row r="98" spans="1:25" ht="37.5">
      <c r="A98" s="276" t="s">
        <v>2384</v>
      </c>
      <c r="B98" s="273" t="s">
        <v>2385</v>
      </c>
      <c r="C98" s="277" t="s">
        <v>38</v>
      </c>
      <c r="D98" s="394">
        <v>19</v>
      </c>
      <c r="E98" s="395">
        <v>20</v>
      </c>
      <c r="F98" s="394">
        <v>19</v>
      </c>
      <c r="G98" s="394">
        <v>25</v>
      </c>
      <c r="H98" s="397">
        <v>22</v>
      </c>
      <c r="I98" s="394">
        <v>21</v>
      </c>
      <c r="J98" s="394">
        <v>27</v>
      </c>
      <c r="K98" s="394">
        <v>42</v>
      </c>
      <c r="L98" s="265">
        <v>23</v>
      </c>
      <c r="N98" s="265">
        <v>25</v>
      </c>
      <c r="O98" s="268">
        <v>22</v>
      </c>
      <c r="P98" s="265">
        <v>21</v>
      </c>
      <c r="S98" s="261" t="s">
        <v>2073</v>
      </c>
      <c r="T98" s="262"/>
      <c r="U98" s="385">
        <f t="shared" ref="U98:U107" si="8">U97</f>
        <v>18</v>
      </c>
      <c r="V98" s="218">
        <f t="shared" si="5"/>
        <v>7.56</v>
      </c>
      <c r="W98" s="37">
        <f t="shared" si="7"/>
        <v>49.56</v>
      </c>
      <c r="X98" s="37">
        <v>27</v>
      </c>
      <c r="Y98" s="37">
        <f t="shared" si="6"/>
        <v>22.560000000000002</v>
      </c>
    </row>
    <row r="99" spans="1:25" ht="37.5">
      <c r="A99" s="276" t="s">
        <v>2320</v>
      </c>
      <c r="B99" s="273" t="s">
        <v>2386</v>
      </c>
      <c r="C99" s="277" t="s">
        <v>38</v>
      </c>
      <c r="D99" s="394">
        <v>30</v>
      </c>
      <c r="E99" s="395">
        <v>30</v>
      </c>
      <c r="F99" s="394">
        <v>29</v>
      </c>
      <c r="G99" s="394">
        <v>33</v>
      </c>
      <c r="H99" s="397">
        <v>32</v>
      </c>
      <c r="I99" s="394">
        <v>32</v>
      </c>
      <c r="J99" s="394">
        <v>36</v>
      </c>
      <c r="K99" s="394">
        <v>51</v>
      </c>
      <c r="L99" s="265">
        <v>35</v>
      </c>
      <c r="N99" s="265">
        <v>33</v>
      </c>
      <c r="O99" s="268">
        <v>32</v>
      </c>
      <c r="P99" s="265">
        <v>32</v>
      </c>
      <c r="S99" s="261" t="s">
        <v>2073</v>
      </c>
      <c r="T99" s="262"/>
      <c r="U99" s="385">
        <f t="shared" si="8"/>
        <v>18</v>
      </c>
      <c r="V99" s="218">
        <f t="shared" si="5"/>
        <v>9.18</v>
      </c>
      <c r="W99" s="37">
        <f t="shared" si="7"/>
        <v>60.18</v>
      </c>
      <c r="X99" s="37">
        <v>40</v>
      </c>
      <c r="Y99" s="37">
        <f t="shared" si="6"/>
        <v>20.18</v>
      </c>
    </row>
    <row r="100" spans="1:25" ht="37.5">
      <c r="A100" s="263">
        <v>59</v>
      </c>
      <c r="B100" s="280" t="s">
        <v>2387</v>
      </c>
      <c r="C100" s="277" t="s">
        <v>136</v>
      </c>
      <c r="D100" s="394">
        <v>76</v>
      </c>
      <c r="E100" s="395">
        <v>75</v>
      </c>
      <c r="F100" s="394">
        <v>78</v>
      </c>
      <c r="G100" s="394">
        <v>84</v>
      </c>
      <c r="H100" s="397">
        <v>83</v>
      </c>
      <c r="I100" s="394">
        <v>86</v>
      </c>
      <c r="J100" s="394">
        <v>92</v>
      </c>
      <c r="K100" s="394">
        <v>51.87</v>
      </c>
      <c r="L100" s="265">
        <v>94</v>
      </c>
      <c r="N100" s="265">
        <v>84</v>
      </c>
      <c r="O100" s="268">
        <v>83</v>
      </c>
      <c r="P100" s="265">
        <v>86</v>
      </c>
      <c r="S100" s="261" t="s">
        <v>2073</v>
      </c>
      <c r="T100" s="262"/>
      <c r="U100" s="385">
        <f t="shared" si="8"/>
        <v>18</v>
      </c>
      <c r="V100" s="218">
        <f t="shared" si="5"/>
        <v>9.34</v>
      </c>
      <c r="W100" s="37">
        <f t="shared" si="7"/>
        <v>61.209999999999994</v>
      </c>
      <c r="X100" s="37">
        <v>104</v>
      </c>
      <c r="Y100" s="37">
        <f t="shared" si="6"/>
        <v>-42.790000000000006</v>
      </c>
    </row>
    <row r="101" spans="1:25" ht="37.5">
      <c r="A101" s="263">
        <v>60</v>
      </c>
      <c r="B101" s="273" t="s">
        <v>2388</v>
      </c>
      <c r="C101" s="277" t="s">
        <v>136</v>
      </c>
      <c r="D101" s="394">
        <v>85</v>
      </c>
      <c r="E101" s="395">
        <v>83</v>
      </c>
      <c r="F101" s="394">
        <v>87</v>
      </c>
      <c r="G101" s="394">
        <v>94</v>
      </c>
      <c r="H101" s="397">
        <v>89</v>
      </c>
      <c r="I101" s="394">
        <v>95</v>
      </c>
      <c r="J101" s="394">
        <v>103</v>
      </c>
      <c r="K101" s="394">
        <v>124.26</v>
      </c>
      <c r="L101" s="265">
        <v>104</v>
      </c>
      <c r="N101" s="265">
        <v>94</v>
      </c>
      <c r="O101" s="268">
        <v>89</v>
      </c>
      <c r="P101" s="265">
        <v>95</v>
      </c>
      <c r="S101" s="261" t="s">
        <v>2073</v>
      </c>
      <c r="T101" s="262"/>
      <c r="U101" s="385">
        <f t="shared" si="8"/>
        <v>18</v>
      </c>
      <c r="V101" s="218">
        <f t="shared" si="5"/>
        <v>22.37</v>
      </c>
      <c r="W101" s="37">
        <f t="shared" si="7"/>
        <v>146.63</v>
      </c>
      <c r="X101" s="37">
        <v>111</v>
      </c>
      <c r="Y101" s="37">
        <f t="shared" si="6"/>
        <v>35.629999999999995</v>
      </c>
    </row>
    <row r="102" spans="1:25" ht="37.5">
      <c r="A102" s="263">
        <v>61</v>
      </c>
      <c r="B102" s="264" t="s">
        <v>2389</v>
      </c>
      <c r="C102" s="277" t="s">
        <v>49</v>
      </c>
      <c r="D102" s="394">
        <v>7061</v>
      </c>
      <c r="E102" s="395">
        <v>7106</v>
      </c>
      <c r="F102" s="394">
        <v>7094</v>
      </c>
      <c r="G102" s="394">
        <v>7280</v>
      </c>
      <c r="H102" s="397">
        <v>7640</v>
      </c>
      <c r="I102" s="394">
        <v>7500</v>
      </c>
      <c r="J102" s="394">
        <v>8008</v>
      </c>
      <c r="K102" s="394">
        <v>18069.75</v>
      </c>
      <c r="L102" s="265">
        <v>8250</v>
      </c>
      <c r="N102" s="265">
        <v>7280</v>
      </c>
      <c r="O102" s="268">
        <v>7640</v>
      </c>
      <c r="P102" s="265">
        <v>7500</v>
      </c>
      <c r="S102" s="261" t="s">
        <v>2073</v>
      </c>
      <c r="T102" s="262"/>
      <c r="U102" s="385">
        <f t="shared" si="8"/>
        <v>18</v>
      </c>
      <c r="V102" s="218">
        <f t="shared" si="5"/>
        <v>3252.56</v>
      </c>
      <c r="W102" s="37">
        <f t="shared" si="7"/>
        <v>21322.31</v>
      </c>
      <c r="X102" s="37">
        <v>9622</v>
      </c>
      <c r="Y102" s="37">
        <f t="shared" si="6"/>
        <v>11700.310000000001</v>
      </c>
    </row>
    <row r="103" spans="1:25" ht="37.5">
      <c r="A103" s="263">
        <v>62</v>
      </c>
      <c r="B103" s="264" t="s">
        <v>2390</v>
      </c>
      <c r="C103" s="277" t="s">
        <v>49</v>
      </c>
      <c r="D103" s="394">
        <v>7827</v>
      </c>
      <c r="E103" s="395">
        <v>7969</v>
      </c>
      <c r="F103" s="394">
        <v>8092</v>
      </c>
      <c r="G103" s="394">
        <v>8200</v>
      </c>
      <c r="H103" s="397">
        <v>8412</v>
      </c>
      <c r="I103" s="394">
        <v>8650</v>
      </c>
      <c r="J103" s="394">
        <v>9020</v>
      </c>
      <c r="K103" s="394">
        <v>22474.75</v>
      </c>
      <c r="L103" s="265">
        <v>9515</v>
      </c>
      <c r="N103" s="265">
        <v>8200</v>
      </c>
      <c r="O103" s="268">
        <v>8412</v>
      </c>
      <c r="P103" s="265">
        <v>8650</v>
      </c>
      <c r="S103" s="261" t="s">
        <v>2073</v>
      </c>
      <c r="T103" s="262"/>
      <c r="U103" s="385">
        <f t="shared" si="8"/>
        <v>18</v>
      </c>
      <c r="V103" s="218">
        <f t="shared" si="5"/>
        <v>4045.46</v>
      </c>
      <c r="W103" s="37">
        <f t="shared" si="7"/>
        <v>26520.21</v>
      </c>
      <c r="X103" s="37">
        <v>10589</v>
      </c>
      <c r="Y103" s="37">
        <f t="shared" si="6"/>
        <v>15931.21</v>
      </c>
    </row>
    <row r="104" spans="1:25" ht="37.5">
      <c r="A104" s="263">
        <v>63</v>
      </c>
      <c r="B104" s="264" t="s">
        <v>2391</v>
      </c>
      <c r="C104" s="277" t="s">
        <v>49</v>
      </c>
      <c r="D104" s="394">
        <v>9031</v>
      </c>
      <c r="E104" s="395">
        <v>9175</v>
      </c>
      <c r="F104" s="394">
        <v>9393</v>
      </c>
      <c r="G104" s="394">
        <v>9400</v>
      </c>
      <c r="H104" s="397">
        <v>9707</v>
      </c>
      <c r="I104" s="394">
        <v>9950</v>
      </c>
      <c r="J104" s="394">
        <v>10340</v>
      </c>
      <c r="K104" s="394">
        <v>26849</v>
      </c>
      <c r="L104" s="265">
        <v>10945</v>
      </c>
      <c r="N104" s="265">
        <v>9400</v>
      </c>
      <c r="O104" s="268">
        <v>9707</v>
      </c>
      <c r="P104" s="265">
        <v>9950</v>
      </c>
      <c r="S104" s="261" t="s">
        <v>2073</v>
      </c>
      <c r="T104" s="262"/>
      <c r="U104" s="385">
        <f t="shared" si="8"/>
        <v>18</v>
      </c>
      <c r="V104" s="218">
        <f t="shared" si="5"/>
        <v>4832.82</v>
      </c>
      <c r="W104" s="37">
        <f t="shared" si="7"/>
        <v>31681.82</v>
      </c>
      <c r="X104" s="37">
        <v>11873</v>
      </c>
      <c r="Y104" s="37">
        <f t="shared" si="6"/>
        <v>19808.82</v>
      </c>
    </row>
    <row r="105" spans="1:25" ht="37.5">
      <c r="A105" s="263">
        <v>64</v>
      </c>
      <c r="B105" s="264" t="s">
        <v>2392</v>
      </c>
      <c r="C105" s="277" t="s">
        <v>49</v>
      </c>
      <c r="D105" s="394">
        <v>10146</v>
      </c>
      <c r="E105" s="395">
        <v>10387</v>
      </c>
      <c r="F105" s="394">
        <v>10418</v>
      </c>
      <c r="G105" s="394">
        <v>10550</v>
      </c>
      <c r="H105" s="397">
        <v>10914</v>
      </c>
      <c r="I105" s="394">
        <v>11060</v>
      </c>
      <c r="J105" s="394">
        <v>11605</v>
      </c>
      <c r="K105" s="394">
        <v>29736.5</v>
      </c>
      <c r="L105" s="265">
        <v>12166</v>
      </c>
      <c r="N105" s="265">
        <v>10550</v>
      </c>
      <c r="O105" s="268">
        <v>10914</v>
      </c>
      <c r="P105" s="265">
        <v>11060</v>
      </c>
      <c r="S105" s="261" t="s">
        <v>2073</v>
      </c>
      <c r="T105" s="262"/>
      <c r="U105" s="385">
        <f t="shared" si="8"/>
        <v>18</v>
      </c>
      <c r="V105" s="218">
        <f t="shared" si="5"/>
        <v>5352.57</v>
      </c>
      <c r="W105" s="37">
        <f t="shared" si="7"/>
        <v>35089.07</v>
      </c>
      <c r="X105" s="37">
        <v>13603</v>
      </c>
      <c r="Y105" s="37">
        <f t="shared" si="6"/>
        <v>21486.07</v>
      </c>
    </row>
    <row r="106" spans="1:25" ht="37.5">
      <c r="A106" s="263">
        <v>65</v>
      </c>
      <c r="B106" s="264" t="s">
        <v>2393</v>
      </c>
      <c r="C106" s="277" t="s">
        <v>49</v>
      </c>
      <c r="D106" s="394">
        <v>12417</v>
      </c>
      <c r="E106" s="395">
        <v>12727</v>
      </c>
      <c r="F106" s="394">
        <v>13052</v>
      </c>
      <c r="G106" s="394">
        <v>13100</v>
      </c>
      <c r="H106" s="397">
        <v>13412</v>
      </c>
      <c r="I106" s="394">
        <v>13800</v>
      </c>
      <c r="J106" s="394">
        <v>14410</v>
      </c>
      <c r="K106" s="394">
        <v>36622.5</v>
      </c>
      <c r="L106" s="265">
        <v>15180</v>
      </c>
      <c r="N106" s="265">
        <v>13100</v>
      </c>
      <c r="O106" s="268">
        <v>13412</v>
      </c>
      <c r="P106" s="265">
        <v>13800</v>
      </c>
      <c r="S106" s="261" t="s">
        <v>2073</v>
      </c>
      <c r="T106" s="262"/>
      <c r="U106" s="385">
        <f t="shared" si="8"/>
        <v>18</v>
      </c>
      <c r="V106" s="218">
        <f t="shared" si="5"/>
        <v>6592.05</v>
      </c>
      <c r="W106" s="37">
        <f t="shared" si="7"/>
        <v>43214.55</v>
      </c>
      <c r="X106" s="37">
        <v>16364</v>
      </c>
      <c r="Y106" s="37">
        <f t="shared" si="6"/>
        <v>26850.550000000003</v>
      </c>
    </row>
    <row r="107" spans="1:25" ht="37.5">
      <c r="A107" s="263">
        <v>66</v>
      </c>
      <c r="B107" s="264" t="s">
        <v>2394</v>
      </c>
      <c r="C107" s="277" t="s">
        <v>49</v>
      </c>
      <c r="D107" s="394">
        <v>13666</v>
      </c>
      <c r="E107" s="395">
        <v>14466</v>
      </c>
      <c r="F107" s="394">
        <v>14075</v>
      </c>
      <c r="G107" s="394">
        <v>14500</v>
      </c>
      <c r="H107" s="397">
        <v>15168</v>
      </c>
      <c r="I107" s="394">
        <v>15000</v>
      </c>
      <c r="J107" s="394">
        <v>15911</v>
      </c>
      <c r="K107" s="394">
        <v>42542.67</v>
      </c>
      <c r="L107" s="265">
        <v>16500</v>
      </c>
      <c r="N107" s="265">
        <v>14500</v>
      </c>
      <c r="O107" s="268">
        <v>15168</v>
      </c>
      <c r="P107" s="265">
        <v>15000</v>
      </c>
      <c r="S107" s="261" t="s">
        <v>2073</v>
      </c>
      <c r="T107" s="262"/>
      <c r="U107" s="385">
        <f t="shared" si="8"/>
        <v>18</v>
      </c>
      <c r="V107" s="218">
        <f t="shared" si="5"/>
        <v>7657.68</v>
      </c>
      <c r="W107" s="37">
        <f t="shared" si="7"/>
        <v>50200.35</v>
      </c>
      <c r="X107" s="37">
        <v>18427</v>
      </c>
      <c r="Y107" s="37">
        <f t="shared" si="6"/>
        <v>31773.35</v>
      </c>
    </row>
    <row r="108" spans="1:25" ht="22.5" customHeight="1">
      <c r="A108" s="263">
        <v>67</v>
      </c>
      <c r="B108" s="278" t="s">
        <v>2395</v>
      </c>
      <c r="C108" s="277" t="s">
        <v>136</v>
      </c>
      <c r="D108" s="394">
        <v>37</v>
      </c>
      <c r="E108" s="395">
        <v>36</v>
      </c>
      <c r="F108" s="394">
        <v>38</v>
      </c>
      <c r="G108" s="394">
        <v>40</v>
      </c>
      <c r="H108" s="397">
        <v>40</v>
      </c>
      <c r="I108" s="394">
        <v>42</v>
      </c>
      <c r="J108" s="394">
        <v>44</v>
      </c>
      <c r="K108" s="394">
        <v>30.81</v>
      </c>
      <c r="L108" s="265">
        <v>46</v>
      </c>
      <c r="N108" s="265">
        <v>40</v>
      </c>
      <c r="O108" s="268">
        <v>40</v>
      </c>
      <c r="P108" s="265">
        <v>42</v>
      </c>
      <c r="S108" s="261" t="s">
        <v>2073</v>
      </c>
      <c r="T108" s="262"/>
      <c r="U108" s="385">
        <v>12</v>
      </c>
      <c r="V108" s="218">
        <f t="shared" si="5"/>
        <v>3.7</v>
      </c>
      <c r="W108" s="37">
        <f t="shared" si="7"/>
        <v>34.51</v>
      </c>
      <c r="X108" s="37">
        <v>50</v>
      </c>
      <c r="Y108" s="37">
        <f t="shared" si="6"/>
        <v>-15.490000000000002</v>
      </c>
    </row>
    <row r="109" spans="1:25" ht="21.75" customHeight="1">
      <c r="A109" s="263">
        <v>68</v>
      </c>
      <c r="B109" s="278" t="s">
        <v>2396</v>
      </c>
      <c r="C109" s="277" t="s">
        <v>136</v>
      </c>
      <c r="D109" s="394">
        <v>48</v>
      </c>
      <c r="E109" s="395">
        <v>45</v>
      </c>
      <c r="F109" s="394">
        <v>47</v>
      </c>
      <c r="G109" s="394">
        <v>52</v>
      </c>
      <c r="H109" s="397">
        <v>49</v>
      </c>
      <c r="I109" s="394">
        <v>52</v>
      </c>
      <c r="J109" s="394">
        <v>57</v>
      </c>
      <c r="K109" s="394">
        <v>41.81</v>
      </c>
      <c r="L109" s="265">
        <v>57</v>
      </c>
      <c r="N109" s="265">
        <v>52</v>
      </c>
      <c r="O109" s="268">
        <v>49</v>
      </c>
      <c r="P109" s="265">
        <v>52</v>
      </c>
      <c r="S109" s="261" t="s">
        <v>2073</v>
      </c>
      <c r="T109" s="262"/>
      <c r="U109" s="385">
        <f>U108</f>
        <v>12</v>
      </c>
      <c r="V109" s="218">
        <f t="shared" si="5"/>
        <v>5.0199999999999996</v>
      </c>
      <c r="W109" s="37">
        <f t="shared" si="7"/>
        <v>46.83</v>
      </c>
      <c r="X109" s="37">
        <v>60</v>
      </c>
      <c r="Y109" s="37">
        <f t="shared" si="6"/>
        <v>-13.170000000000002</v>
      </c>
    </row>
    <row r="110" spans="1:25" ht="21.75" customHeight="1">
      <c r="A110" s="263">
        <v>69</v>
      </c>
      <c r="B110" s="278" t="s">
        <v>2397</v>
      </c>
      <c r="C110" s="277" t="s">
        <v>136</v>
      </c>
      <c r="D110" s="394">
        <v>56</v>
      </c>
      <c r="E110" s="395">
        <v>58</v>
      </c>
      <c r="F110" s="394">
        <v>59</v>
      </c>
      <c r="G110" s="394">
        <v>60</v>
      </c>
      <c r="H110" s="397">
        <v>62</v>
      </c>
      <c r="I110" s="394">
        <v>65</v>
      </c>
      <c r="J110" s="394">
        <v>66</v>
      </c>
      <c r="K110" s="394">
        <v>41.81</v>
      </c>
      <c r="L110" s="265">
        <v>71</v>
      </c>
      <c r="N110" s="265">
        <v>60</v>
      </c>
      <c r="O110" s="268">
        <v>62</v>
      </c>
      <c r="P110" s="265">
        <v>65</v>
      </c>
      <c r="S110" s="261" t="s">
        <v>2073</v>
      </c>
      <c r="T110" s="262"/>
      <c r="U110" s="385">
        <f t="shared" ref="U110:U121" si="9">U109</f>
        <v>12</v>
      </c>
      <c r="V110" s="218">
        <f t="shared" si="5"/>
        <v>5.0199999999999996</v>
      </c>
      <c r="W110" s="37">
        <f t="shared" si="7"/>
        <v>46.83</v>
      </c>
      <c r="X110" s="37">
        <v>78</v>
      </c>
      <c r="Y110" s="37">
        <f t="shared" si="6"/>
        <v>-31.17</v>
      </c>
    </row>
    <row r="111" spans="1:25" ht="37.5">
      <c r="A111" s="263">
        <v>70</v>
      </c>
      <c r="B111" s="264" t="s">
        <v>2398</v>
      </c>
      <c r="C111" s="277" t="s">
        <v>136</v>
      </c>
      <c r="D111" s="394">
        <v>69</v>
      </c>
      <c r="E111" s="395">
        <v>70</v>
      </c>
      <c r="F111" s="394">
        <v>73</v>
      </c>
      <c r="G111" s="394">
        <v>75</v>
      </c>
      <c r="H111" s="397">
        <v>75</v>
      </c>
      <c r="I111" s="394">
        <v>80</v>
      </c>
      <c r="J111" s="394">
        <v>82</v>
      </c>
      <c r="K111" s="394">
        <v>67.819999999999993</v>
      </c>
      <c r="L111" s="265">
        <v>88</v>
      </c>
      <c r="N111" s="265">
        <v>75</v>
      </c>
      <c r="O111" s="268">
        <v>75</v>
      </c>
      <c r="P111" s="265">
        <v>80</v>
      </c>
      <c r="S111" s="261" t="s">
        <v>2073</v>
      </c>
      <c r="T111" s="262"/>
      <c r="U111" s="385">
        <f t="shared" si="9"/>
        <v>12</v>
      </c>
      <c r="V111" s="218">
        <f t="shared" si="5"/>
        <v>8.14</v>
      </c>
      <c r="W111" s="37">
        <f t="shared" si="7"/>
        <v>75.959999999999994</v>
      </c>
      <c r="X111" s="37">
        <v>94</v>
      </c>
      <c r="Y111" s="37">
        <f t="shared" si="6"/>
        <v>-18.040000000000006</v>
      </c>
    </row>
    <row r="112" spans="1:25" ht="37.5">
      <c r="A112" s="263">
        <v>71</v>
      </c>
      <c r="B112" s="264" t="s">
        <v>2399</v>
      </c>
      <c r="C112" s="277" t="s">
        <v>49</v>
      </c>
      <c r="D112" s="394">
        <v>4783</v>
      </c>
      <c r="E112" s="395">
        <v>4743</v>
      </c>
      <c r="F112" s="394">
        <v>4823</v>
      </c>
      <c r="G112" s="394">
        <v>5200</v>
      </c>
      <c r="H112" s="397">
        <v>5065</v>
      </c>
      <c r="I112" s="394">
        <v>5112</v>
      </c>
      <c r="J112" s="394">
        <v>5720</v>
      </c>
      <c r="K112" s="394">
        <v>18070.060000000001</v>
      </c>
      <c r="L112" s="265">
        <v>5623</v>
      </c>
      <c r="N112" s="265">
        <v>5200</v>
      </c>
      <c r="O112" s="268">
        <v>5065</v>
      </c>
      <c r="P112" s="265">
        <v>5112</v>
      </c>
      <c r="S112" s="261" t="s">
        <v>2073</v>
      </c>
      <c r="T112" s="262"/>
      <c r="U112" s="385">
        <f t="shared" si="9"/>
        <v>12</v>
      </c>
      <c r="V112" s="218">
        <f t="shared" si="5"/>
        <v>2168.41</v>
      </c>
      <c r="W112" s="37">
        <f t="shared" si="7"/>
        <v>20238.47</v>
      </c>
      <c r="X112" s="37">
        <v>6164</v>
      </c>
      <c r="Y112" s="37">
        <f t="shared" si="6"/>
        <v>14074.470000000001</v>
      </c>
    </row>
    <row r="113" spans="1:25" ht="37.5">
      <c r="A113" s="263">
        <v>72</v>
      </c>
      <c r="B113" s="264" t="s">
        <v>2400</v>
      </c>
      <c r="C113" s="277" t="s">
        <v>49</v>
      </c>
      <c r="D113" s="394">
        <v>5245</v>
      </c>
      <c r="E113" s="395">
        <v>5256</v>
      </c>
      <c r="F113" s="394">
        <v>5283</v>
      </c>
      <c r="G113" s="394">
        <v>5750</v>
      </c>
      <c r="H113" s="397">
        <v>5513</v>
      </c>
      <c r="I113" s="394">
        <v>5561</v>
      </c>
      <c r="J113" s="394">
        <v>6325</v>
      </c>
      <c r="K113" s="394">
        <v>24643.33</v>
      </c>
      <c r="L113" s="265">
        <v>6117</v>
      </c>
      <c r="N113" s="265">
        <v>5750</v>
      </c>
      <c r="O113" s="268">
        <v>5513</v>
      </c>
      <c r="P113" s="265">
        <v>5561</v>
      </c>
      <c r="S113" s="261" t="s">
        <v>2073</v>
      </c>
      <c r="T113" s="262"/>
      <c r="U113" s="385">
        <f t="shared" si="9"/>
        <v>12</v>
      </c>
      <c r="V113" s="218">
        <f t="shared" si="5"/>
        <v>2957.2</v>
      </c>
      <c r="W113" s="37">
        <f t="shared" si="7"/>
        <v>27600.530000000002</v>
      </c>
      <c r="X113" s="37">
        <v>6835</v>
      </c>
      <c r="Y113" s="37">
        <f t="shared" si="6"/>
        <v>20765.530000000002</v>
      </c>
    </row>
    <row r="114" spans="1:25" ht="56.25">
      <c r="A114" s="263">
        <v>73</v>
      </c>
      <c r="B114" s="264" t="s">
        <v>2401</v>
      </c>
      <c r="C114" s="277" t="s">
        <v>49</v>
      </c>
      <c r="D114" s="394">
        <v>26181</v>
      </c>
      <c r="E114" s="395">
        <v>28342</v>
      </c>
      <c r="F114" s="394">
        <v>26470</v>
      </c>
      <c r="G114" s="394">
        <v>27100</v>
      </c>
      <c r="H114" s="397">
        <v>29820</v>
      </c>
      <c r="I114" s="394">
        <v>27900</v>
      </c>
      <c r="J114" s="394">
        <v>29810</v>
      </c>
      <c r="K114" s="394">
        <v>53035.75</v>
      </c>
      <c r="L114" s="265">
        <v>30690</v>
      </c>
      <c r="N114" s="265">
        <v>27100</v>
      </c>
      <c r="O114" s="268">
        <v>29820</v>
      </c>
      <c r="P114" s="265">
        <v>27900</v>
      </c>
      <c r="S114" s="261" t="s">
        <v>2073</v>
      </c>
      <c r="T114" s="262"/>
      <c r="U114" s="385">
        <f t="shared" si="9"/>
        <v>12</v>
      </c>
      <c r="V114" s="218">
        <f t="shared" si="5"/>
        <v>6364.29</v>
      </c>
      <c r="W114" s="37">
        <f t="shared" si="7"/>
        <v>59400.04</v>
      </c>
      <c r="X114" s="37">
        <v>37722</v>
      </c>
      <c r="Y114" s="37">
        <f t="shared" si="6"/>
        <v>21678.04</v>
      </c>
    </row>
    <row r="115" spans="1:25" ht="56.25">
      <c r="A115" s="263">
        <v>74</v>
      </c>
      <c r="B115" s="264" t="s">
        <v>2402</v>
      </c>
      <c r="C115" s="277" t="s">
        <v>49</v>
      </c>
      <c r="D115" s="394">
        <v>29056</v>
      </c>
      <c r="E115" s="395">
        <v>30972</v>
      </c>
      <c r="F115" s="394">
        <v>28384</v>
      </c>
      <c r="G115" s="394">
        <v>30200</v>
      </c>
      <c r="H115" s="397">
        <v>32658</v>
      </c>
      <c r="I115" s="394">
        <v>29600</v>
      </c>
      <c r="J115" s="394">
        <v>32537</v>
      </c>
      <c r="K115" s="394">
        <v>71150.5</v>
      </c>
      <c r="L115" s="265">
        <v>32560</v>
      </c>
      <c r="N115" s="265">
        <v>30200</v>
      </c>
      <c r="O115" s="268">
        <v>32658</v>
      </c>
      <c r="P115" s="265">
        <v>29600</v>
      </c>
      <c r="S115" s="261" t="s">
        <v>2073</v>
      </c>
      <c r="T115" s="262"/>
      <c r="U115" s="385">
        <f t="shared" si="9"/>
        <v>12</v>
      </c>
      <c r="V115" s="218">
        <f t="shared" si="5"/>
        <v>8538.06</v>
      </c>
      <c r="W115" s="37">
        <f t="shared" si="7"/>
        <v>79688.56</v>
      </c>
      <c r="X115" s="37">
        <v>41312</v>
      </c>
      <c r="Y115" s="37">
        <f t="shared" si="6"/>
        <v>38376.559999999998</v>
      </c>
    </row>
    <row r="116" spans="1:25" ht="56.25">
      <c r="A116" s="263">
        <v>75</v>
      </c>
      <c r="B116" s="264" t="s">
        <v>2403</v>
      </c>
      <c r="C116" s="277" t="s">
        <v>49</v>
      </c>
      <c r="D116" s="394">
        <v>29225</v>
      </c>
      <c r="E116" s="395">
        <v>30925</v>
      </c>
      <c r="F116" s="394">
        <v>28693</v>
      </c>
      <c r="G116" s="394">
        <v>30400</v>
      </c>
      <c r="H116" s="397">
        <v>32493</v>
      </c>
      <c r="I116" s="394">
        <v>30100</v>
      </c>
      <c r="J116" s="394">
        <v>32812</v>
      </c>
      <c r="K116" s="394">
        <v>65533.5</v>
      </c>
      <c r="L116" s="265">
        <v>33110</v>
      </c>
      <c r="N116" s="265">
        <v>30400</v>
      </c>
      <c r="O116" s="268">
        <v>32493</v>
      </c>
      <c r="P116" s="265">
        <v>30100</v>
      </c>
      <c r="S116" s="261" t="s">
        <v>2073</v>
      </c>
      <c r="T116" s="262"/>
      <c r="U116" s="385">
        <f t="shared" si="9"/>
        <v>12</v>
      </c>
      <c r="V116" s="218">
        <f t="shared" si="5"/>
        <v>7864.02</v>
      </c>
      <c r="W116" s="37">
        <f t="shared" si="7"/>
        <v>73397.52</v>
      </c>
      <c r="X116" s="37">
        <v>41103</v>
      </c>
      <c r="Y116" s="37">
        <f t="shared" si="6"/>
        <v>32294.520000000004</v>
      </c>
    </row>
    <row r="117" spans="1:25" ht="37.5">
      <c r="A117" s="263">
        <v>76</v>
      </c>
      <c r="B117" s="273" t="s">
        <v>2404</v>
      </c>
      <c r="C117" s="277" t="s">
        <v>49</v>
      </c>
      <c r="D117" s="394">
        <v>26421</v>
      </c>
      <c r="E117" s="395">
        <v>28056</v>
      </c>
      <c r="F117" s="394">
        <v>26174</v>
      </c>
      <c r="G117" s="394">
        <v>27200</v>
      </c>
      <c r="H117" s="397">
        <v>29685</v>
      </c>
      <c r="I117" s="394">
        <v>27400</v>
      </c>
      <c r="J117" s="394">
        <v>29247</v>
      </c>
      <c r="K117" s="394">
        <v>63839</v>
      </c>
      <c r="L117" s="265">
        <v>30140</v>
      </c>
      <c r="N117" s="265">
        <v>27200</v>
      </c>
      <c r="O117" s="268">
        <v>29685</v>
      </c>
      <c r="P117" s="265">
        <v>27400</v>
      </c>
      <c r="S117" s="261" t="s">
        <v>2073</v>
      </c>
      <c r="T117" s="262"/>
      <c r="U117" s="385">
        <f t="shared" si="9"/>
        <v>12</v>
      </c>
      <c r="V117" s="218">
        <f t="shared" si="5"/>
        <v>7660.68</v>
      </c>
      <c r="W117" s="37">
        <f t="shared" si="7"/>
        <v>71499.679999999993</v>
      </c>
      <c r="X117" s="37">
        <v>37552</v>
      </c>
      <c r="Y117" s="37">
        <f t="shared" si="6"/>
        <v>33947.679999999993</v>
      </c>
    </row>
    <row r="118" spans="1:25">
      <c r="A118" s="263">
        <v>77</v>
      </c>
      <c r="B118" s="273" t="s">
        <v>2405</v>
      </c>
      <c r="C118" s="277" t="s">
        <v>49</v>
      </c>
      <c r="D118" s="394">
        <v>42398</v>
      </c>
      <c r="E118" s="395">
        <v>44485</v>
      </c>
      <c r="F118" s="394">
        <v>41313</v>
      </c>
      <c r="G118" s="394">
        <v>44200</v>
      </c>
      <c r="H118" s="397">
        <v>46507</v>
      </c>
      <c r="I118" s="394">
        <v>43400</v>
      </c>
      <c r="J118" s="394">
        <v>47192</v>
      </c>
      <c r="K118" s="394">
        <v>74369.67</v>
      </c>
      <c r="L118" s="265">
        <v>47740</v>
      </c>
      <c r="N118" s="265">
        <v>44200</v>
      </c>
      <c r="O118" s="268">
        <v>46507</v>
      </c>
      <c r="P118" s="265">
        <v>43400</v>
      </c>
      <c r="S118" s="261" t="s">
        <v>2073</v>
      </c>
      <c r="T118" s="262"/>
      <c r="U118" s="385">
        <f t="shared" si="9"/>
        <v>12</v>
      </c>
      <c r="V118" s="218">
        <f t="shared" si="5"/>
        <v>8924.36</v>
      </c>
      <c r="W118" s="37">
        <f t="shared" si="7"/>
        <v>83294.03</v>
      </c>
      <c r="X118" s="37">
        <v>58831</v>
      </c>
      <c r="Y118" s="37">
        <f t="shared" si="6"/>
        <v>24463.03</v>
      </c>
    </row>
    <row r="119" spans="1:25">
      <c r="A119" s="263">
        <v>78</v>
      </c>
      <c r="B119" s="273" t="s">
        <v>2406</v>
      </c>
      <c r="C119" s="277" t="s">
        <v>49</v>
      </c>
      <c r="D119" s="394">
        <v>57874</v>
      </c>
      <c r="E119" s="395">
        <v>60880</v>
      </c>
      <c r="F119" s="394">
        <v>57371</v>
      </c>
      <c r="G119" s="394">
        <v>58000</v>
      </c>
      <c r="H119" s="397">
        <v>64007</v>
      </c>
      <c r="I119" s="394">
        <v>61300</v>
      </c>
      <c r="J119" s="394">
        <v>62100</v>
      </c>
      <c r="K119" s="394">
        <v>114414.94</v>
      </c>
      <c r="L119" s="265">
        <v>67430</v>
      </c>
      <c r="N119" s="265">
        <v>58000</v>
      </c>
      <c r="O119" s="268">
        <v>64007</v>
      </c>
      <c r="P119" s="265">
        <v>61300</v>
      </c>
      <c r="S119" s="261" t="s">
        <v>2073</v>
      </c>
      <c r="T119" s="262"/>
      <c r="U119" s="385">
        <f t="shared" si="9"/>
        <v>12</v>
      </c>
      <c r="V119" s="218">
        <f t="shared" si="5"/>
        <v>13729.79</v>
      </c>
      <c r="W119" s="37">
        <f t="shared" si="7"/>
        <v>128144.73000000001</v>
      </c>
      <c r="X119" s="37">
        <v>80969</v>
      </c>
      <c r="Y119" s="37">
        <f t="shared" si="6"/>
        <v>47175.73000000001</v>
      </c>
    </row>
    <row r="120" spans="1:25" ht="37.5">
      <c r="A120" s="263">
        <v>79</v>
      </c>
      <c r="B120" s="273" t="s">
        <v>2407</v>
      </c>
      <c r="C120" s="277" t="s">
        <v>49</v>
      </c>
      <c r="D120" s="394">
        <v>15316</v>
      </c>
      <c r="E120" s="395">
        <v>15990</v>
      </c>
      <c r="F120" s="394">
        <v>15492</v>
      </c>
      <c r="G120" s="394">
        <v>16800</v>
      </c>
      <c r="H120" s="397">
        <v>16828</v>
      </c>
      <c r="I120" s="394">
        <v>16600</v>
      </c>
      <c r="J120" s="394">
        <v>17989</v>
      </c>
      <c r="K120" s="394">
        <v>58374.79</v>
      </c>
      <c r="L120" s="265">
        <v>18260</v>
      </c>
      <c r="N120" s="265">
        <v>16800</v>
      </c>
      <c r="O120" s="268">
        <v>16828</v>
      </c>
      <c r="P120" s="265">
        <v>16600</v>
      </c>
      <c r="S120" s="261" t="s">
        <v>2073</v>
      </c>
      <c r="T120" s="262"/>
      <c r="U120" s="385">
        <f t="shared" si="9"/>
        <v>12</v>
      </c>
      <c r="V120" s="218">
        <f t="shared" si="5"/>
        <v>7004.97</v>
      </c>
      <c r="W120" s="37">
        <f t="shared" si="7"/>
        <v>65379.76</v>
      </c>
      <c r="X120" s="37">
        <v>21287</v>
      </c>
      <c r="Y120" s="37">
        <f t="shared" si="6"/>
        <v>44092.76</v>
      </c>
    </row>
    <row r="121" spans="1:25">
      <c r="A121" s="263">
        <v>80</v>
      </c>
      <c r="B121" s="274" t="s">
        <v>2408</v>
      </c>
      <c r="C121" s="277" t="s">
        <v>49</v>
      </c>
      <c r="D121" s="394">
        <v>9954</v>
      </c>
      <c r="E121" s="395">
        <v>10079</v>
      </c>
      <c r="F121" s="394">
        <v>10294</v>
      </c>
      <c r="G121" s="394">
        <v>10100</v>
      </c>
      <c r="H121" s="397">
        <v>10719</v>
      </c>
      <c r="I121" s="394">
        <v>11000</v>
      </c>
      <c r="J121" s="394">
        <v>10941</v>
      </c>
      <c r="K121" s="394">
        <v>13268.45</v>
      </c>
      <c r="L121" s="265">
        <v>12100</v>
      </c>
      <c r="N121" s="265">
        <v>10100</v>
      </c>
      <c r="O121" s="268">
        <v>10719</v>
      </c>
      <c r="P121" s="265">
        <v>11000</v>
      </c>
      <c r="S121" s="261" t="s">
        <v>2073</v>
      </c>
      <c r="T121" s="262"/>
      <c r="U121" s="385">
        <f t="shared" si="9"/>
        <v>12</v>
      </c>
      <c r="V121" s="218">
        <f t="shared" si="5"/>
        <v>1592.21</v>
      </c>
      <c r="W121" s="37">
        <f t="shared" si="7"/>
        <v>14860.66</v>
      </c>
      <c r="X121" s="37">
        <v>13559</v>
      </c>
      <c r="Y121" s="37">
        <f t="shared" si="6"/>
        <v>1301.6599999999999</v>
      </c>
    </row>
    <row r="122" spans="1:25">
      <c r="A122" s="263">
        <v>81</v>
      </c>
      <c r="B122" s="274" t="s">
        <v>2409</v>
      </c>
      <c r="C122" s="277" t="s">
        <v>125</v>
      </c>
      <c r="D122" s="394">
        <v>322</v>
      </c>
      <c r="E122" s="395">
        <v>351</v>
      </c>
      <c r="F122" s="394">
        <v>362</v>
      </c>
      <c r="G122" s="394">
        <v>350</v>
      </c>
      <c r="H122" s="397">
        <v>378</v>
      </c>
      <c r="I122" s="394">
        <v>398</v>
      </c>
      <c r="J122" s="394">
        <v>385</v>
      </c>
      <c r="K122" s="394">
        <v>746.99</v>
      </c>
      <c r="L122" s="265">
        <v>437</v>
      </c>
      <c r="N122" s="265">
        <v>350</v>
      </c>
      <c r="O122" s="268">
        <v>378</v>
      </c>
      <c r="P122" s="265">
        <v>398</v>
      </c>
      <c r="S122" s="261" t="s">
        <v>2073</v>
      </c>
      <c r="T122" s="262"/>
      <c r="U122" s="385">
        <v>5</v>
      </c>
      <c r="V122" s="218">
        <f t="shared" si="5"/>
        <v>37.35</v>
      </c>
      <c r="W122" s="37">
        <f t="shared" si="7"/>
        <v>784.34</v>
      </c>
      <c r="X122" s="37">
        <v>477</v>
      </c>
      <c r="Y122" s="37">
        <f t="shared" si="6"/>
        <v>307.34000000000003</v>
      </c>
    </row>
    <row r="123" spans="1:25">
      <c r="A123" s="263">
        <v>82</v>
      </c>
      <c r="B123" s="273" t="s">
        <v>2410</v>
      </c>
      <c r="C123" s="277" t="s">
        <v>680</v>
      </c>
      <c r="D123" s="394">
        <v>734</v>
      </c>
      <c r="E123" s="395">
        <v>768</v>
      </c>
      <c r="F123" s="394">
        <v>775</v>
      </c>
      <c r="G123" s="394">
        <v>750</v>
      </c>
      <c r="H123" s="397">
        <v>834</v>
      </c>
      <c r="I123" s="394">
        <v>840</v>
      </c>
      <c r="J123" s="394">
        <v>825</v>
      </c>
      <c r="K123" s="394">
        <v>976.22</v>
      </c>
      <c r="L123" s="265">
        <v>924</v>
      </c>
      <c r="N123" s="265">
        <v>750</v>
      </c>
      <c r="O123" s="268">
        <v>834</v>
      </c>
      <c r="P123" s="265">
        <v>840</v>
      </c>
      <c r="S123" s="261" t="s">
        <v>2073</v>
      </c>
      <c r="T123" s="262"/>
      <c r="U123" s="385">
        <v>5</v>
      </c>
      <c r="V123" s="218">
        <f t="shared" si="5"/>
        <v>48.81</v>
      </c>
      <c r="W123" s="37">
        <f t="shared" si="7"/>
        <v>1025.03</v>
      </c>
      <c r="X123" s="37">
        <v>1054</v>
      </c>
      <c r="Y123" s="37">
        <f t="shared" si="6"/>
        <v>-28.970000000000027</v>
      </c>
    </row>
    <row r="124" spans="1:25">
      <c r="A124" s="263">
        <v>83</v>
      </c>
      <c r="B124" s="273" t="s">
        <v>2411</v>
      </c>
      <c r="C124" s="277" t="s">
        <v>680</v>
      </c>
      <c r="D124" s="394">
        <v>1154</v>
      </c>
      <c r="E124" s="395">
        <v>1197</v>
      </c>
      <c r="F124" s="394">
        <v>1208</v>
      </c>
      <c r="G124" s="394">
        <v>1200</v>
      </c>
      <c r="H124" s="397">
        <v>1276</v>
      </c>
      <c r="I124" s="394">
        <v>1328</v>
      </c>
      <c r="J124" s="394">
        <v>1301</v>
      </c>
      <c r="K124" s="394">
        <v>1494.52</v>
      </c>
      <c r="L124" s="265">
        <v>1460</v>
      </c>
      <c r="N124" s="265">
        <v>1200</v>
      </c>
      <c r="O124" s="268">
        <v>1276</v>
      </c>
      <c r="P124" s="265">
        <v>1328</v>
      </c>
      <c r="S124" s="261" t="s">
        <v>2073</v>
      </c>
      <c r="T124" s="262"/>
      <c r="U124" s="385">
        <f>U123</f>
        <v>5</v>
      </c>
      <c r="V124" s="218">
        <f t="shared" si="5"/>
        <v>74.73</v>
      </c>
      <c r="W124" s="37">
        <f t="shared" si="7"/>
        <v>1569.25</v>
      </c>
      <c r="X124" s="37">
        <v>1516</v>
      </c>
      <c r="Y124" s="37">
        <f t="shared" si="6"/>
        <v>53.25</v>
      </c>
    </row>
    <row r="125" spans="1:25">
      <c r="A125" s="263">
        <v>84</v>
      </c>
      <c r="B125" s="273" t="s">
        <v>2412</v>
      </c>
      <c r="C125" s="277" t="s">
        <v>68</v>
      </c>
      <c r="D125" s="394">
        <v>230</v>
      </c>
      <c r="E125" s="395">
        <v>248</v>
      </c>
      <c r="F125" s="394">
        <v>236</v>
      </c>
      <c r="G125" s="394">
        <v>240</v>
      </c>
      <c r="H125" s="397">
        <v>274</v>
      </c>
      <c r="I125" s="394">
        <v>260</v>
      </c>
      <c r="J125" s="394">
        <v>264</v>
      </c>
      <c r="K125" s="394">
        <v>310.08999999999997</v>
      </c>
      <c r="L125" s="265">
        <v>286</v>
      </c>
      <c r="N125" s="265">
        <v>240</v>
      </c>
      <c r="O125" s="268">
        <v>274</v>
      </c>
      <c r="P125" s="265">
        <v>260</v>
      </c>
      <c r="S125" s="261" t="s">
        <v>2073</v>
      </c>
      <c r="T125" s="262" t="s">
        <v>2413</v>
      </c>
      <c r="U125" s="385">
        <f t="shared" ref="U125:U132" si="10">U124</f>
        <v>5</v>
      </c>
      <c r="V125" s="218">
        <f t="shared" si="5"/>
        <v>15.5</v>
      </c>
      <c r="W125" s="37">
        <f t="shared" si="7"/>
        <v>325.58999999999997</v>
      </c>
      <c r="X125" s="37">
        <v>346</v>
      </c>
      <c r="Y125" s="37">
        <f t="shared" si="6"/>
        <v>-20.410000000000025</v>
      </c>
    </row>
    <row r="126" spans="1:25">
      <c r="A126" s="263">
        <v>85</v>
      </c>
      <c r="B126" s="273" t="s">
        <v>2414</v>
      </c>
      <c r="C126" s="277" t="s">
        <v>68</v>
      </c>
      <c r="D126" s="394">
        <v>257</v>
      </c>
      <c r="E126" s="395">
        <v>274</v>
      </c>
      <c r="F126" s="394">
        <v>255</v>
      </c>
      <c r="G126" s="394">
        <v>270</v>
      </c>
      <c r="H126" s="397">
        <v>298</v>
      </c>
      <c r="I126" s="394">
        <v>280</v>
      </c>
      <c r="J126" s="394">
        <v>284</v>
      </c>
      <c r="K126" s="394">
        <v>339.65</v>
      </c>
      <c r="L126" s="265">
        <v>308</v>
      </c>
      <c r="N126" s="265">
        <v>270</v>
      </c>
      <c r="O126" s="268">
        <v>298</v>
      </c>
      <c r="P126" s="265">
        <v>280</v>
      </c>
      <c r="S126" s="261" t="s">
        <v>2073</v>
      </c>
      <c r="T126" s="262" t="s">
        <v>2413</v>
      </c>
      <c r="U126" s="385">
        <f t="shared" si="10"/>
        <v>5</v>
      </c>
      <c r="V126" s="218">
        <f t="shared" si="5"/>
        <v>16.98</v>
      </c>
      <c r="W126" s="37">
        <f t="shared" si="7"/>
        <v>356.63</v>
      </c>
      <c r="X126" s="37">
        <v>376</v>
      </c>
      <c r="Y126" s="37">
        <f t="shared" si="6"/>
        <v>-19.370000000000005</v>
      </c>
    </row>
    <row r="127" spans="1:25">
      <c r="A127" s="263">
        <v>86</v>
      </c>
      <c r="B127" s="273" t="s">
        <v>2415</v>
      </c>
      <c r="C127" s="277" t="s">
        <v>68</v>
      </c>
      <c r="D127" s="394">
        <v>1044</v>
      </c>
      <c r="E127" s="395">
        <v>1102</v>
      </c>
      <c r="F127" s="394">
        <v>1093</v>
      </c>
      <c r="G127" s="394">
        <v>1090</v>
      </c>
      <c r="H127" s="397">
        <v>1179</v>
      </c>
      <c r="I127" s="394">
        <v>1170</v>
      </c>
      <c r="J127" s="394">
        <v>1112</v>
      </c>
      <c r="K127" s="394">
        <v>1331.02</v>
      </c>
      <c r="L127" s="265">
        <v>1287</v>
      </c>
      <c r="N127" s="265">
        <v>1090</v>
      </c>
      <c r="O127" s="268">
        <v>1179</v>
      </c>
      <c r="P127" s="265">
        <v>1170</v>
      </c>
      <c r="S127" s="261" t="s">
        <v>2073</v>
      </c>
      <c r="T127" s="262" t="s">
        <v>2413</v>
      </c>
      <c r="U127" s="385">
        <f t="shared" si="10"/>
        <v>5</v>
      </c>
      <c r="V127" s="218">
        <f t="shared" si="5"/>
        <v>66.55</v>
      </c>
      <c r="W127" s="37">
        <f t="shared" si="7"/>
        <v>1397.57</v>
      </c>
      <c r="X127" s="37">
        <v>1413</v>
      </c>
      <c r="Y127" s="37">
        <f t="shared" si="6"/>
        <v>-15.430000000000064</v>
      </c>
    </row>
    <row r="128" spans="1:25">
      <c r="A128" s="263">
        <v>87</v>
      </c>
      <c r="B128" s="273" t="s">
        <v>2416</v>
      </c>
      <c r="C128" s="277" t="s">
        <v>68</v>
      </c>
      <c r="D128" s="394">
        <v>1247</v>
      </c>
      <c r="E128" s="395">
        <v>1294</v>
      </c>
      <c r="F128" s="394">
        <v>1256</v>
      </c>
      <c r="G128" s="394">
        <v>1295</v>
      </c>
      <c r="H128" s="397">
        <v>1383</v>
      </c>
      <c r="I128" s="394">
        <v>1343</v>
      </c>
      <c r="J128" s="394">
        <v>1298</v>
      </c>
      <c r="K128" s="394">
        <v>1556.57</v>
      </c>
      <c r="L128" s="265">
        <v>1477</v>
      </c>
      <c r="N128" s="265">
        <v>1295</v>
      </c>
      <c r="O128" s="268">
        <v>1383</v>
      </c>
      <c r="P128" s="265">
        <v>1343</v>
      </c>
      <c r="S128" s="261" t="s">
        <v>2073</v>
      </c>
      <c r="T128" s="262" t="s">
        <v>2413</v>
      </c>
      <c r="U128" s="385">
        <f t="shared" si="10"/>
        <v>5</v>
      </c>
      <c r="V128" s="218">
        <f t="shared" si="5"/>
        <v>77.83</v>
      </c>
      <c r="W128" s="37">
        <f t="shared" si="7"/>
        <v>1634.3999999999999</v>
      </c>
      <c r="X128" s="37">
        <v>1749</v>
      </c>
      <c r="Y128" s="37">
        <f t="shared" si="6"/>
        <v>-114.60000000000014</v>
      </c>
    </row>
    <row r="129" spans="1:25">
      <c r="A129" s="263">
        <v>88</v>
      </c>
      <c r="B129" s="273" t="s">
        <v>2417</v>
      </c>
      <c r="C129" s="277" t="s">
        <v>68</v>
      </c>
      <c r="D129" s="394">
        <v>247</v>
      </c>
      <c r="E129" s="395">
        <v>250</v>
      </c>
      <c r="F129" s="394">
        <v>252</v>
      </c>
      <c r="G129" s="394">
        <v>260</v>
      </c>
      <c r="H129" s="397">
        <v>277</v>
      </c>
      <c r="I129" s="394">
        <v>277</v>
      </c>
      <c r="J129" s="394">
        <v>278</v>
      </c>
      <c r="K129" s="394">
        <v>328.42</v>
      </c>
      <c r="L129" s="265">
        <v>304</v>
      </c>
      <c r="N129" s="265">
        <v>260</v>
      </c>
      <c r="O129" s="268">
        <v>277</v>
      </c>
      <c r="P129" s="265">
        <v>277</v>
      </c>
      <c r="S129" s="261" t="s">
        <v>2073</v>
      </c>
      <c r="T129" s="262"/>
      <c r="U129" s="385">
        <f t="shared" si="10"/>
        <v>5</v>
      </c>
      <c r="V129" s="218">
        <f t="shared" si="5"/>
        <v>16.420000000000002</v>
      </c>
      <c r="W129" s="37">
        <f t="shared" si="7"/>
        <v>344.84000000000003</v>
      </c>
      <c r="X129" s="37">
        <v>317</v>
      </c>
      <c r="Y129" s="37">
        <f t="shared" si="6"/>
        <v>27.840000000000032</v>
      </c>
    </row>
    <row r="130" spans="1:25">
      <c r="A130" s="263">
        <v>89</v>
      </c>
      <c r="B130" s="273" t="s">
        <v>2418</v>
      </c>
      <c r="C130" s="277" t="s">
        <v>68</v>
      </c>
      <c r="D130" s="394">
        <v>555</v>
      </c>
      <c r="E130" s="395">
        <v>589</v>
      </c>
      <c r="F130" s="394">
        <v>573</v>
      </c>
      <c r="G130" s="394">
        <v>570</v>
      </c>
      <c r="H130" s="397">
        <v>628</v>
      </c>
      <c r="I130" s="394">
        <v>630</v>
      </c>
      <c r="J130" s="394">
        <v>581</v>
      </c>
      <c r="K130" s="394">
        <v>719.25</v>
      </c>
      <c r="L130" s="265">
        <v>693</v>
      </c>
      <c r="N130" s="265">
        <v>570</v>
      </c>
      <c r="O130" s="268">
        <v>628</v>
      </c>
      <c r="P130" s="265">
        <v>630</v>
      </c>
      <c r="S130" s="261" t="s">
        <v>2073</v>
      </c>
      <c r="T130" s="262" t="s">
        <v>2419</v>
      </c>
      <c r="U130" s="385">
        <f t="shared" si="10"/>
        <v>5</v>
      </c>
      <c r="V130" s="218">
        <f t="shared" si="5"/>
        <v>35.96</v>
      </c>
      <c r="W130" s="37">
        <f t="shared" si="7"/>
        <v>755.21</v>
      </c>
      <c r="X130" s="37">
        <v>780</v>
      </c>
      <c r="Y130" s="37">
        <f t="shared" si="6"/>
        <v>-24.789999999999964</v>
      </c>
    </row>
    <row r="131" spans="1:25">
      <c r="A131" s="263">
        <v>90</v>
      </c>
      <c r="B131" s="273" t="s">
        <v>2420</v>
      </c>
      <c r="C131" s="277" t="s">
        <v>68</v>
      </c>
      <c r="D131" s="394">
        <v>662</v>
      </c>
      <c r="E131" s="395">
        <v>707</v>
      </c>
      <c r="F131" s="394">
        <v>696</v>
      </c>
      <c r="G131" s="394">
        <v>680</v>
      </c>
      <c r="H131" s="397">
        <v>756</v>
      </c>
      <c r="I131" s="394">
        <v>759</v>
      </c>
      <c r="J131" s="394">
        <v>685</v>
      </c>
      <c r="K131" s="394">
        <v>912.84</v>
      </c>
      <c r="L131" s="265">
        <v>834</v>
      </c>
      <c r="N131" s="265">
        <v>680</v>
      </c>
      <c r="O131" s="268">
        <v>756</v>
      </c>
      <c r="P131" s="265">
        <v>759</v>
      </c>
      <c r="S131" s="261" t="s">
        <v>2073</v>
      </c>
      <c r="T131" s="262" t="s">
        <v>2419</v>
      </c>
      <c r="U131" s="385">
        <f t="shared" si="10"/>
        <v>5</v>
      </c>
      <c r="V131" s="218">
        <f t="shared" si="5"/>
        <v>45.64</v>
      </c>
      <c r="W131" s="37">
        <f t="shared" si="7"/>
        <v>958.48</v>
      </c>
      <c r="X131" s="37">
        <v>955</v>
      </c>
      <c r="Y131" s="37">
        <f t="shared" si="6"/>
        <v>3.4800000000000182</v>
      </c>
    </row>
    <row r="132" spans="1:25">
      <c r="A132" s="263">
        <v>91</v>
      </c>
      <c r="B132" s="273" t="s">
        <v>2421</v>
      </c>
      <c r="C132" s="277" t="s">
        <v>68</v>
      </c>
      <c r="D132" s="394">
        <v>767</v>
      </c>
      <c r="E132" s="395">
        <v>815</v>
      </c>
      <c r="F132" s="394">
        <v>797</v>
      </c>
      <c r="G132" s="394">
        <v>785</v>
      </c>
      <c r="H132" s="397">
        <v>862</v>
      </c>
      <c r="I132" s="394">
        <v>865</v>
      </c>
      <c r="J132" s="394">
        <v>862</v>
      </c>
      <c r="K132" s="394">
        <v>1034.5899999999999</v>
      </c>
      <c r="L132" s="265">
        <v>950</v>
      </c>
      <c r="N132" s="265">
        <v>785</v>
      </c>
      <c r="O132" s="268">
        <v>862</v>
      </c>
      <c r="P132" s="265">
        <v>865</v>
      </c>
      <c r="S132" s="261" t="s">
        <v>2073</v>
      </c>
      <c r="T132" s="262"/>
      <c r="U132" s="385">
        <f t="shared" si="10"/>
        <v>5</v>
      </c>
      <c r="V132" s="218">
        <f t="shared" ref="V132:V195" si="11">ROUND(K132*U132/100,2)</f>
        <v>51.73</v>
      </c>
      <c r="W132" s="37">
        <f t="shared" si="7"/>
        <v>1086.32</v>
      </c>
      <c r="X132" s="37">
        <v>1090</v>
      </c>
      <c r="Y132" s="37">
        <f t="shared" ref="Y132:Y195" si="12">W132-X132</f>
        <v>-3.6800000000000637</v>
      </c>
    </row>
    <row r="133" spans="1:25" ht="37.5">
      <c r="A133" s="263">
        <v>92</v>
      </c>
      <c r="B133" s="274" t="s">
        <v>2422</v>
      </c>
      <c r="S133" s="261"/>
      <c r="T133" s="262"/>
      <c r="U133" s="385">
        <v>28</v>
      </c>
      <c r="V133" s="218">
        <f t="shared" si="11"/>
        <v>0</v>
      </c>
      <c r="W133" s="37">
        <f t="shared" si="7"/>
        <v>0</v>
      </c>
      <c r="Y133" s="37">
        <f t="shared" si="12"/>
        <v>0</v>
      </c>
    </row>
    <row r="134" spans="1:25">
      <c r="A134" s="271" t="s">
        <v>627</v>
      </c>
      <c r="B134" s="272" t="s">
        <v>2423</v>
      </c>
      <c r="C134" s="277" t="s">
        <v>92</v>
      </c>
      <c r="D134" s="394">
        <v>432</v>
      </c>
      <c r="E134" s="395">
        <v>450</v>
      </c>
      <c r="F134" s="394">
        <v>473</v>
      </c>
      <c r="G134" s="394">
        <v>450</v>
      </c>
      <c r="H134" s="397">
        <v>450</v>
      </c>
      <c r="I134" s="394">
        <v>450</v>
      </c>
      <c r="J134" s="394">
        <v>495</v>
      </c>
      <c r="K134" s="394">
        <v>550.99</v>
      </c>
      <c r="L134" s="265">
        <v>495</v>
      </c>
      <c r="N134" s="265">
        <v>450</v>
      </c>
      <c r="O134" s="268">
        <v>450</v>
      </c>
      <c r="P134" s="265">
        <v>450</v>
      </c>
      <c r="S134" s="261" t="s">
        <v>2073</v>
      </c>
      <c r="T134" s="262" t="s">
        <v>2424</v>
      </c>
      <c r="U134" s="385">
        <f>U133</f>
        <v>28</v>
      </c>
      <c r="V134" s="218">
        <f t="shared" si="11"/>
        <v>154.28</v>
      </c>
      <c r="W134" s="37">
        <f t="shared" si="7"/>
        <v>705.27</v>
      </c>
      <c r="X134" s="37">
        <v>544</v>
      </c>
      <c r="Y134" s="37">
        <f t="shared" si="12"/>
        <v>161.26999999999998</v>
      </c>
    </row>
    <row r="135" spans="1:25">
      <c r="A135" s="271" t="s">
        <v>628</v>
      </c>
      <c r="B135" s="272" t="s">
        <v>2425</v>
      </c>
      <c r="C135" s="277" t="s">
        <v>92</v>
      </c>
      <c r="D135" s="394">
        <v>524</v>
      </c>
      <c r="E135" s="395">
        <v>521</v>
      </c>
      <c r="F135" s="394">
        <v>544</v>
      </c>
      <c r="G135" s="394">
        <v>550</v>
      </c>
      <c r="H135" s="397">
        <v>550</v>
      </c>
      <c r="I135" s="394">
        <v>550</v>
      </c>
      <c r="J135" s="394">
        <v>605</v>
      </c>
      <c r="K135" s="394">
        <v>677.95</v>
      </c>
      <c r="L135" s="265">
        <v>605</v>
      </c>
      <c r="N135" s="265">
        <v>550</v>
      </c>
      <c r="O135" s="268">
        <v>550</v>
      </c>
      <c r="P135" s="265">
        <v>550</v>
      </c>
      <c r="S135" s="261" t="s">
        <v>2073</v>
      </c>
      <c r="T135" s="262" t="s">
        <v>2424</v>
      </c>
      <c r="U135" s="385">
        <f t="shared" ref="U135:U149" si="13">U134</f>
        <v>28</v>
      </c>
      <c r="V135" s="218">
        <f t="shared" si="11"/>
        <v>189.83</v>
      </c>
      <c r="W135" s="37">
        <f t="shared" ref="W135:W198" si="14">K135+V135</f>
        <v>867.78000000000009</v>
      </c>
      <c r="X135" s="37">
        <v>665</v>
      </c>
      <c r="Y135" s="37">
        <f t="shared" si="12"/>
        <v>202.78000000000009</v>
      </c>
    </row>
    <row r="136" spans="1:25">
      <c r="A136" s="271" t="s">
        <v>629</v>
      </c>
      <c r="B136" s="272" t="s">
        <v>2426</v>
      </c>
      <c r="C136" s="277" t="s">
        <v>92</v>
      </c>
      <c r="D136" s="394">
        <v>611</v>
      </c>
      <c r="E136" s="395">
        <v>612</v>
      </c>
      <c r="F136" s="394">
        <v>645</v>
      </c>
      <c r="G136" s="394">
        <v>620</v>
      </c>
      <c r="H136" s="397">
        <v>620</v>
      </c>
      <c r="I136" s="394">
        <v>620</v>
      </c>
      <c r="J136" s="394">
        <v>682</v>
      </c>
      <c r="K136" s="394">
        <v>766.45</v>
      </c>
      <c r="L136" s="265">
        <v>682</v>
      </c>
      <c r="N136" s="265">
        <v>620</v>
      </c>
      <c r="O136" s="268">
        <v>620</v>
      </c>
      <c r="P136" s="265">
        <v>620</v>
      </c>
      <c r="S136" s="261" t="s">
        <v>2073</v>
      </c>
      <c r="T136" s="262" t="s">
        <v>2424</v>
      </c>
      <c r="U136" s="385">
        <f t="shared" si="13"/>
        <v>28</v>
      </c>
      <c r="V136" s="218">
        <f t="shared" si="11"/>
        <v>214.61</v>
      </c>
      <c r="W136" s="37">
        <f t="shared" si="14"/>
        <v>981.06000000000006</v>
      </c>
      <c r="X136" s="37">
        <v>750</v>
      </c>
      <c r="Y136" s="37">
        <f t="shared" si="12"/>
        <v>231.06000000000006</v>
      </c>
    </row>
    <row r="137" spans="1:25">
      <c r="A137" s="277">
        <v>93</v>
      </c>
      <c r="B137" s="279" t="s">
        <v>2427</v>
      </c>
      <c r="S137" s="261"/>
      <c r="T137" s="262"/>
      <c r="U137" s="385">
        <f t="shared" si="13"/>
        <v>28</v>
      </c>
      <c r="V137" s="218">
        <f t="shared" si="11"/>
        <v>0</v>
      </c>
      <c r="W137" s="37">
        <f t="shared" si="14"/>
        <v>0</v>
      </c>
      <c r="Y137" s="37">
        <f t="shared" si="12"/>
        <v>0</v>
      </c>
    </row>
    <row r="138" spans="1:25">
      <c r="A138" s="271" t="s">
        <v>627</v>
      </c>
      <c r="B138" s="272" t="s">
        <v>2423</v>
      </c>
      <c r="C138" s="277" t="s">
        <v>92</v>
      </c>
      <c r="D138" s="394">
        <v>333</v>
      </c>
      <c r="E138" s="395">
        <v>332</v>
      </c>
      <c r="F138" s="394">
        <v>358</v>
      </c>
      <c r="G138" s="394">
        <v>333</v>
      </c>
      <c r="H138" s="397">
        <v>333</v>
      </c>
      <c r="I138" s="394">
        <v>333</v>
      </c>
      <c r="J138" s="394">
        <v>366</v>
      </c>
      <c r="K138" s="394">
        <v>416.91</v>
      </c>
      <c r="L138" s="265">
        <v>366</v>
      </c>
      <c r="N138" s="265">
        <v>333</v>
      </c>
      <c r="O138" s="268">
        <v>333</v>
      </c>
      <c r="P138" s="265">
        <v>333</v>
      </c>
      <c r="S138" s="261" t="s">
        <v>2073</v>
      </c>
      <c r="T138" s="262"/>
      <c r="U138" s="385">
        <f t="shared" si="13"/>
        <v>28</v>
      </c>
      <c r="V138" s="218">
        <f t="shared" si="11"/>
        <v>116.73</v>
      </c>
      <c r="W138" s="37">
        <f t="shared" si="14"/>
        <v>533.64</v>
      </c>
      <c r="X138" s="37">
        <v>402</v>
      </c>
      <c r="Y138" s="37">
        <f t="shared" si="12"/>
        <v>131.63999999999999</v>
      </c>
    </row>
    <row r="139" spans="1:25">
      <c r="A139" s="271" t="s">
        <v>628</v>
      </c>
      <c r="B139" s="272" t="s">
        <v>2428</v>
      </c>
      <c r="C139" s="277" t="s">
        <v>92</v>
      </c>
      <c r="D139" s="394">
        <v>407</v>
      </c>
      <c r="E139" s="395">
        <v>409</v>
      </c>
      <c r="F139" s="394">
        <v>440</v>
      </c>
      <c r="G139" s="394">
        <v>407</v>
      </c>
      <c r="H139" s="397">
        <v>407</v>
      </c>
      <c r="I139" s="394">
        <v>407</v>
      </c>
      <c r="J139" s="394">
        <v>447</v>
      </c>
      <c r="K139" s="394">
        <v>500.2</v>
      </c>
      <c r="L139" s="265">
        <v>447</v>
      </c>
      <c r="N139" s="265">
        <v>407</v>
      </c>
      <c r="O139" s="268">
        <v>407</v>
      </c>
      <c r="P139" s="265">
        <v>407</v>
      </c>
      <c r="S139" s="261" t="s">
        <v>2073</v>
      </c>
      <c r="T139" s="262"/>
      <c r="U139" s="385">
        <f t="shared" si="13"/>
        <v>28</v>
      </c>
      <c r="V139" s="218">
        <f t="shared" si="11"/>
        <v>140.06</v>
      </c>
      <c r="W139" s="37">
        <f t="shared" si="14"/>
        <v>640.26</v>
      </c>
      <c r="X139" s="37">
        <v>491</v>
      </c>
      <c r="Y139" s="37">
        <f t="shared" si="12"/>
        <v>149.26</v>
      </c>
    </row>
    <row r="140" spans="1:25">
      <c r="A140" s="277">
        <v>94</v>
      </c>
      <c r="B140" s="279" t="s">
        <v>2429</v>
      </c>
      <c r="C140" s="277" t="s">
        <v>92</v>
      </c>
      <c r="D140" s="394">
        <v>261</v>
      </c>
      <c r="E140" s="395">
        <v>253</v>
      </c>
      <c r="F140" s="394">
        <v>274</v>
      </c>
      <c r="G140" s="394">
        <v>261</v>
      </c>
      <c r="H140" s="397">
        <v>261</v>
      </c>
      <c r="I140" s="394">
        <v>261</v>
      </c>
      <c r="J140" s="394">
        <v>287</v>
      </c>
      <c r="K140" s="394">
        <v>324.37</v>
      </c>
      <c r="L140" s="265">
        <v>287</v>
      </c>
      <c r="N140" s="265">
        <v>261</v>
      </c>
      <c r="O140" s="268">
        <v>261</v>
      </c>
      <c r="P140" s="265">
        <v>261</v>
      </c>
      <c r="S140" s="261" t="s">
        <v>2073</v>
      </c>
      <c r="T140" s="262"/>
      <c r="U140" s="385">
        <f t="shared" si="13"/>
        <v>28</v>
      </c>
      <c r="V140" s="218">
        <f t="shared" si="11"/>
        <v>90.82</v>
      </c>
      <c r="W140" s="37">
        <f t="shared" si="14"/>
        <v>415.19</v>
      </c>
      <c r="X140" s="37">
        <v>315</v>
      </c>
      <c r="Y140" s="37">
        <f t="shared" si="12"/>
        <v>100.19</v>
      </c>
    </row>
    <row r="141" spans="1:25">
      <c r="A141" s="277">
        <v>95</v>
      </c>
      <c r="B141" s="279" t="s">
        <v>2430</v>
      </c>
      <c r="S141" s="261" t="s">
        <v>2073</v>
      </c>
      <c r="T141" s="262" t="s">
        <v>2431</v>
      </c>
      <c r="U141" s="385">
        <f t="shared" si="13"/>
        <v>28</v>
      </c>
      <c r="V141" s="218">
        <f t="shared" si="11"/>
        <v>0</v>
      </c>
      <c r="W141" s="37">
        <f t="shared" si="14"/>
        <v>0</v>
      </c>
      <c r="Y141" s="37">
        <f t="shared" si="12"/>
        <v>0</v>
      </c>
    </row>
    <row r="142" spans="1:25">
      <c r="A142" s="271" t="s">
        <v>627</v>
      </c>
      <c r="B142" s="272" t="s">
        <v>2432</v>
      </c>
      <c r="C142" s="277" t="s">
        <v>92</v>
      </c>
      <c r="D142" s="394">
        <v>1181</v>
      </c>
      <c r="E142" s="395">
        <v>1169</v>
      </c>
      <c r="F142" s="394">
        <v>1228</v>
      </c>
      <c r="G142" s="394">
        <v>970</v>
      </c>
      <c r="H142" s="397">
        <v>970</v>
      </c>
      <c r="I142" s="394">
        <v>970</v>
      </c>
      <c r="J142" s="394">
        <v>1067</v>
      </c>
      <c r="K142" s="394">
        <v>1181.8499999999999</v>
      </c>
      <c r="L142" s="265">
        <v>1067</v>
      </c>
      <c r="N142" s="265">
        <v>970</v>
      </c>
      <c r="O142" s="268">
        <v>970</v>
      </c>
      <c r="P142" s="265">
        <v>970</v>
      </c>
      <c r="S142" s="261" t="s">
        <v>2073</v>
      </c>
      <c r="T142" s="262" t="s">
        <v>2431</v>
      </c>
      <c r="U142" s="385">
        <f t="shared" si="13"/>
        <v>28</v>
      </c>
      <c r="V142" s="218">
        <f t="shared" si="11"/>
        <v>330.92</v>
      </c>
      <c r="W142" s="37">
        <f t="shared" si="14"/>
        <v>1512.77</v>
      </c>
      <c r="X142" s="37">
        <v>1173</v>
      </c>
      <c r="Y142" s="37">
        <f t="shared" si="12"/>
        <v>339.77</v>
      </c>
    </row>
    <row r="143" spans="1:25">
      <c r="A143" s="271" t="s">
        <v>628</v>
      </c>
      <c r="B143" s="272" t="s">
        <v>2428</v>
      </c>
      <c r="S143" s="261" t="s">
        <v>2073</v>
      </c>
      <c r="T143" s="262" t="s">
        <v>2431</v>
      </c>
      <c r="U143" s="385">
        <f t="shared" si="13"/>
        <v>28</v>
      </c>
      <c r="V143" s="218">
        <f t="shared" si="11"/>
        <v>0</v>
      </c>
      <c r="W143" s="37">
        <f t="shared" si="14"/>
        <v>0</v>
      </c>
      <c r="Y143" s="37">
        <f t="shared" si="12"/>
        <v>0</v>
      </c>
    </row>
    <row r="144" spans="1:25" ht="18.75" customHeight="1">
      <c r="A144" s="276" t="s">
        <v>383</v>
      </c>
      <c r="B144" s="278" t="s">
        <v>2433</v>
      </c>
      <c r="C144" s="277" t="s">
        <v>92</v>
      </c>
      <c r="D144" s="394">
        <v>1437</v>
      </c>
      <c r="E144" s="395">
        <v>1407</v>
      </c>
      <c r="F144" s="394">
        <v>1440</v>
      </c>
      <c r="G144" s="394">
        <v>1100</v>
      </c>
      <c r="H144" s="397">
        <v>1100</v>
      </c>
      <c r="I144" s="394">
        <v>1100</v>
      </c>
      <c r="J144" s="394">
        <v>1210</v>
      </c>
      <c r="K144" s="394">
        <v>1328.07</v>
      </c>
      <c r="L144" s="265">
        <v>1210</v>
      </c>
      <c r="N144" s="265">
        <v>1100</v>
      </c>
      <c r="O144" s="268">
        <v>1100</v>
      </c>
      <c r="P144" s="265">
        <v>1100</v>
      </c>
      <c r="S144" s="261" t="s">
        <v>2073</v>
      </c>
      <c r="T144" s="262" t="s">
        <v>2431</v>
      </c>
      <c r="U144" s="385">
        <f t="shared" si="13"/>
        <v>28</v>
      </c>
      <c r="V144" s="218">
        <f t="shared" si="11"/>
        <v>371.86</v>
      </c>
      <c r="W144" s="37">
        <f t="shared" si="14"/>
        <v>1699.9299999999998</v>
      </c>
      <c r="X144" s="37">
        <v>1331</v>
      </c>
      <c r="Y144" s="37">
        <f t="shared" si="12"/>
        <v>368.92999999999984</v>
      </c>
    </row>
    <row r="145" spans="1:25">
      <c r="A145" s="276" t="s">
        <v>386</v>
      </c>
      <c r="B145" s="272" t="s">
        <v>2434</v>
      </c>
      <c r="C145" s="277" t="s">
        <v>92</v>
      </c>
      <c r="D145" s="394">
        <v>1730</v>
      </c>
      <c r="E145" s="395">
        <v>1691</v>
      </c>
      <c r="F145" s="394">
        <v>1878</v>
      </c>
      <c r="G145" s="394">
        <v>1730</v>
      </c>
      <c r="H145" s="397">
        <v>1730</v>
      </c>
      <c r="I145" s="394">
        <v>1730</v>
      </c>
      <c r="J145" s="394">
        <v>1900</v>
      </c>
      <c r="K145" s="394">
        <v>2098.83</v>
      </c>
      <c r="L145" s="265">
        <v>1900</v>
      </c>
      <c r="N145" s="265">
        <v>1730</v>
      </c>
      <c r="O145" s="268">
        <v>1730</v>
      </c>
      <c r="P145" s="265">
        <v>1730</v>
      </c>
      <c r="S145" s="261" t="s">
        <v>2073</v>
      </c>
      <c r="T145" s="262" t="s">
        <v>2431</v>
      </c>
      <c r="U145" s="385">
        <f t="shared" si="13"/>
        <v>28</v>
      </c>
      <c r="V145" s="218">
        <f t="shared" si="11"/>
        <v>587.66999999999996</v>
      </c>
      <c r="W145" s="37">
        <f t="shared" si="14"/>
        <v>2686.5</v>
      </c>
      <c r="X145" s="37">
        <v>2090</v>
      </c>
      <c r="Y145" s="37">
        <f t="shared" si="12"/>
        <v>596.5</v>
      </c>
    </row>
    <row r="146" spans="1:25">
      <c r="A146" s="277">
        <v>96</v>
      </c>
      <c r="B146" s="279" t="s">
        <v>2435</v>
      </c>
      <c r="S146" s="261" t="s">
        <v>2073</v>
      </c>
      <c r="T146" s="262"/>
      <c r="U146" s="385">
        <f t="shared" si="13"/>
        <v>28</v>
      </c>
      <c r="V146" s="218">
        <f t="shared" si="11"/>
        <v>0</v>
      </c>
      <c r="W146" s="37">
        <f t="shared" si="14"/>
        <v>0</v>
      </c>
      <c r="Y146" s="37">
        <f t="shared" si="12"/>
        <v>0</v>
      </c>
    </row>
    <row r="147" spans="1:25" ht="19.5" customHeight="1">
      <c r="A147" s="276" t="s">
        <v>627</v>
      </c>
      <c r="B147" s="278" t="s">
        <v>2436</v>
      </c>
      <c r="C147" s="277" t="s">
        <v>92</v>
      </c>
      <c r="D147" s="394">
        <v>313</v>
      </c>
      <c r="E147" s="395">
        <v>315</v>
      </c>
      <c r="F147" s="394">
        <v>324</v>
      </c>
      <c r="G147" s="394">
        <v>250</v>
      </c>
      <c r="H147" s="397">
        <v>250</v>
      </c>
      <c r="I147" s="394">
        <v>250</v>
      </c>
      <c r="J147" s="394">
        <v>275</v>
      </c>
      <c r="K147" s="394">
        <v>310.43</v>
      </c>
      <c r="L147" s="265">
        <v>275</v>
      </c>
      <c r="N147" s="265">
        <v>250</v>
      </c>
      <c r="O147" s="268">
        <v>250</v>
      </c>
      <c r="P147" s="265">
        <v>250</v>
      </c>
      <c r="S147" s="261" t="s">
        <v>2073</v>
      </c>
      <c r="T147" s="262" t="s">
        <v>2437</v>
      </c>
      <c r="U147" s="385">
        <f t="shared" si="13"/>
        <v>28</v>
      </c>
      <c r="V147" s="218">
        <f t="shared" si="11"/>
        <v>86.92</v>
      </c>
      <c r="W147" s="37">
        <f t="shared" si="14"/>
        <v>397.35</v>
      </c>
      <c r="X147" s="37">
        <v>302</v>
      </c>
      <c r="Y147" s="37">
        <f t="shared" si="12"/>
        <v>95.350000000000023</v>
      </c>
    </row>
    <row r="148" spans="1:25">
      <c r="A148" s="271" t="s">
        <v>628</v>
      </c>
      <c r="B148" s="272" t="s">
        <v>2438</v>
      </c>
      <c r="C148" s="277" t="s">
        <v>92</v>
      </c>
      <c r="D148" s="394">
        <v>427</v>
      </c>
      <c r="E148" s="395">
        <v>409</v>
      </c>
      <c r="F148" s="394">
        <v>419</v>
      </c>
      <c r="G148" s="394">
        <v>300</v>
      </c>
      <c r="H148" s="397">
        <v>300</v>
      </c>
      <c r="I148" s="394">
        <v>300</v>
      </c>
      <c r="J148" s="394">
        <v>330</v>
      </c>
      <c r="K148" s="394">
        <v>372.8</v>
      </c>
      <c r="L148" s="265">
        <v>330</v>
      </c>
      <c r="N148" s="265">
        <v>300</v>
      </c>
      <c r="O148" s="268">
        <v>300</v>
      </c>
      <c r="P148" s="265">
        <v>300</v>
      </c>
      <c r="S148" s="261" t="s">
        <v>2073</v>
      </c>
      <c r="T148" s="262" t="s">
        <v>2437</v>
      </c>
      <c r="U148" s="385">
        <f t="shared" si="13"/>
        <v>28</v>
      </c>
      <c r="V148" s="218">
        <f t="shared" si="11"/>
        <v>104.38</v>
      </c>
      <c r="W148" s="37">
        <f t="shared" si="14"/>
        <v>477.18</v>
      </c>
      <c r="X148" s="37">
        <v>363</v>
      </c>
      <c r="Y148" s="37">
        <f t="shared" si="12"/>
        <v>114.18</v>
      </c>
    </row>
    <row r="149" spans="1:25">
      <c r="A149" s="277">
        <v>97</v>
      </c>
      <c r="B149" s="279" t="s">
        <v>2439</v>
      </c>
      <c r="C149" s="277" t="s">
        <v>92</v>
      </c>
      <c r="D149" s="394">
        <v>309</v>
      </c>
      <c r="E149" s="395">
        <v>304</v>
      </c>
      <c r="F149" s="394">
        <v>317</v>
      </c>
      <c r="G149" s="394">
        <v>330</v>
      </c>
      <c r="H149" s="397">
        <v>330</v>
      </c>
      <c r="I149" s="394">
        <v>330</v>
      </c>
      <c r="J149" s="394">
        <v>363</v>
      </c>
      <c r="K149" s="394">
        <v>408.94</v>
      </c>
      <c r="L149" s="265">
        <v>363</v>
      </c>
      <c r="N149" s="265">
        <v>330</v>
      </c>
      <c r="O149" s="268">
        <v>330</v>
      </c>
      <c r="P149" s="265">
        <v>330</v>
      </c>
      <c r="S149" s="261" t="s">
        <v>2073</v>
      </c>
      <c r="T149" s="262" t="s">
        <v>2440</v>
      </c>
      <c r="U149" s="385">
        <f t="shared" si="13"/>
        <v>28</v>
      </c>
      <c r="V149" s="218">
        <f t="shared" si="11"/>
        <v>114.5</v>
      </c>
      <c r="W149" s="37">
        <f t="shared" si="14"/>
        <v>523.44000000000005</v>
      </c>
      <c r="X149" s="37">
        <v>399</v>
      </c>
      <c r="Y149" s="37">
        <f t="shared" si="12"/>
        <v>124.44000000000005</v>
      </c>
    </row>
    <row r="150" spans="1:25" ht="56.25">
      <c r="A150" s="263">
        <v>98</v>
      </c>
      <c r="B150" s="269" t="s">
        <v>2441</v>
      </c>
      <c r="S150" s="261" t="s">
        <v>2073</v>
      </c>
      <c r="T150" s="262" t="s">
        <v>2442</v>
      </c>
      <c r="U150" s="385">
        <v>18</v>
      </c>
      <c r="V150" s="218">
        <f t="shared" si="11"/>
        <v>0</v>
      </c>
      <c r="W150" s="37">
        <f t="shared" si="14"/>
        <v>0</v>
      </c>
      <c r="Y150" s="37">
        <f t="shared" si="12"/>
        <v>0</v>
      </c>
    </row>
    <row r="151" spans="1:25" ht="37.5">
      <c r="A151" s="276" t="s">
        <v>383</v>
      </c>
      <c r="B151" s="272" t="s">
        <v>2443</v>
      </c>
      <c r="C151" s="277" t="s">
        <v>92</v>
      </c>
      <c r="D151" s="394">
        <v>412</v>
      </c>
      <c r="E151" s="395">
        <v>421</v>
      </c>
      <c r="F151" s="394">
        <v>422</v>
      </c>
      <c r="G151" s="394">
        <v>320</v>
      </c>
      <c r="H151" s="397">
        <v>320</v>
      </c>
      <c r="I151" s="394">
        <v>320</v>
      </c>
      <c r="J151" s="394">
        <v>352</v>
      </c>
      <c r="K151" s="394">
        <v>405.2</v>
      </c>
      <c r="L151" s="267">
        <v>352</v>
      </c>
      <c r="N151" s="265">
        <v>320</v>
      </c>
      <c r="O151" s="268">
        <v>320</v>
      </c>
      <c r="P151" s="267">
        <v>320</v>
      </c>
      <c r="S151" s="261" t="s">
        <v>2073</v>
      </c>
      <c r="T151" s="262" t="s">
        <v>2442</v>
      </c>
      <c r="U151" s="385">
        <f>U150</f>
        <v>18</v>
      </c>
      <c r="V151" s="218">
        <f t="shared" si="11"/>
        <v>72.94</v>
      </c>
      <c r="W151" s="37">
        <f t="shared" si="14"/>
        <v>478.14</v>
      </c>
      <c r="X151" s="37">
        <v>387</v>
      </c>
      <c r="Y151" s="37">
        <f t="shared" si="12"/>
        <v>91.139999999999986</v>
      </c>
    </row>
    <row r="152" spans="1:25" ht="56.25">
      <c r="A152" s="276" t="s">
        <v>2364</v>
      </c>
      <c r="B152" s="264" t="s">
        <v>2444</v>
      </c>
      <c r="S152" s="261" t="s">
        <v>2073</v>
      </c>
      <c r="T152" s="262" t="s">
        <v>2445</v>
      </c>
      <c r="U152" s="385">
        <f t="shared" ref="U152:U157" si="15">U151</f>
        <v>18</v>
      </c>
      <c r="V152" s="218">
        <f t="shared" si="11"/>
        <v>0</v>
      </c>
      <c r="W152" s="37">
        <f t="shared" si="14"/>
        <v>0</v>
      </c>
      <c r="Y152" s="37">
        <f t="shared" si="12"/>
        <v>0</v>
      </c>
    </row>
    <row r="153" spans="1:25" ht="37.5">
      <c r="A153" s="276" t="s">
        <v>383</v>
      </c>
      <c r="B153" s="272" t="s">
        <v>2446</v>
      </c>
      <c r="C153" s="277" t="s">
        <v>92</v>
      </c>
      <c r="D153" s="394">
        <v>492</v>
      </c>
      <c r="E153" s="395">
        <v>496</v>
      </c>
      <c r="F153" s="394">
        <v>499</v>
      </c>
      <c r="G153" s="394">
        <v>355</v>
      </c>
      <c r="H153" s="397">
        <v>355</v>
      </c>
      <c r="I153" s="394">
        <v>355</v>
      </c>
      <c r="J153" s="394">
        <v>390</v>
      </c>
      <c r="K153" s="394">
        <v>440</v>
      </c>
      <c r="L153" s="265">
        <v>390</v>
      </c>
      <c r="N153" s="265">
        <v>355</v>
      </c>
      <c r="O153" s="268">
        <v>355</v>
      </c>
      <c r="P153" s="265">
        <v>355</v>
      </c>
      <c r="S153" s="261" t="s">
        <v>2073</v>
      </c>
      <c r="T153" s="262" t="s">
        <v>2445</v>
      </c>
      <c r="U153" s="385">
        <f t="shared" si="15"/>
        <v>18</v>
      </c>
      <c r="V153" s="218">
        <f t="shared" si="11"/>
        <v>79.2</v>
      </c>
      <c r="W153" s="37">
        <f t="shared" si="14"/>
        <v>519.20000000000005</v>
      </c>
      <c r="X153" s="37">
        <v>429</v>
      </c>
      <c r="Y153" s="37">
        <f t="shared" si="12"/>
        <v>90.200000000000045</v>
      </c>
    </row>
    <row r="154" spans="1:25" ht="56.25">
      <c r="A154" s="570" t="s">
        <v>629</v>
      </c>
      <c r="B154" s="264" t="s">
        <v>2447</v>
      </c>
      <c r="S154" s="261" t="s">
        <v>2073</v>
      </c>
      <c r="T154" s="262"/>
      <c r="U154" s="385">
        <f t="shared" si="15"/>
        <v>18</v>
      </c>
      <c r="V154" s="218">
        <f t="shared" si="11"/>
        <v>0</v>
      </c>
      <c r="W154" s="37">
        <f t="shared" si="14"/>
        <v>0</v>
      </c>
      <c r="Y154" s="37">
        <f t="shared" si="12"/>
        <v>0</v>
      </c>
    </row>
    <row r="155" spans="1:25">
      <c r="A155" s="276" t="s">
        <v>383</v>
      </c>
      <c r="B155" s="272" t="s">
        <v>2448</v>
      </c>
      <c r="C155" s="277" t="s">
        <v>92</v>
      </c>
      <c r="D155" s="394">
        <v>700</v>
      </c>
      <c r="E155" s="395">
        <v>700</v>
      </c>
      <c r="F155" s="394">
        <v>700</v>
      </c>
      <c r="G155" s="394">
        <v>550</v>
      </c>
      <c r="H155" s="397">
        <v>550</v>
      </c>
      <c r="I155" s="394">
        <v>550</v>
      </c>
      <c r="J155" s="394">
        <v>605</v>
      </c>
      <c r="K155" s="394">
        <v>651.08000000000004</v>
      </c>
      <c r="L155" s="265">
        <v>605</v>
      </c>
      <c r="N155" s="265">
        <v>550</v>
      </c>
      <c r="O155" s="268">
        <v>550</v>
      </c>
      <c r="P155" s="265">
        <v>550</v>
      </c>
      <c r="S155" s="261" t="s">
        <v>2073</v>
      </c>
      <c r="T155" s="262" t="s">
        <v>2449</v>
      </c>
      <c r="U155" s="385">
        <f t="shared" si="15"/>
        <v>18</v>
      </c>
      <c r="V155" s="218">
        <f t="shared" si="11"/>
        <v>117.19</v>
      </c>
      <c r="W155" s="37">
        <f t="shared" si="14"/>
        <v>768.27</v>
      </c>
      <c r="X155" s="37">
        <v>665</v>
      </c>
      <c r="Y155" s="37">
        <f t="shared" si="12"/>
        <v>103.26999999999998</v>
      </c>
    </row>
    <row r="156" spans="1:25">
      <c r="A156" s="276" t="s">
        <v>386</v>
      </c>
      <c r="B156" s="272" t="s">
        <v>2450</v>
      </c>
      <c r="C156" s="277" t="s">
        <v>92</v>
      </c>
      <c r="D156" s="394">
        <v>800</v>
      </c>
      <c r="E156" s="395">
        <v>800</v>
      </c>
      <c r="F156" s="394">
        <v>800</v>
      </c>
      <c r="G156" s="394">
        <v>600</v>
      </c>
      <c r="H156" s="397">
        <v>600</v>
      </c>
      <c r="I156" s="394">
        <v>600</v>
      </c>
      <c r="J156" s="394">
        <v>660</v>
      </c>
      <c r="K156" s="394">
        <v>695.76</v>
      </c>
      <c r="L156" s="265">
        <v>660</v>
      </c>
      <c r="N156" s="265">
        <v>600</v>
      </c>
      <c r="O156" s="268">
        <v>600</v>
      </c>
      <c r="P156" s="265">
        <v>600</v>
      </c>
      <c r="S156" s="261" t="s">
        <v>2073</v>
      </c>
      <c r="T156" s="262" t="s">
        <v>2449</v>
      </c>
      <c r="U156" s="385">
        <f t="shared" si="15"/>
        <v>18</v>
      </c>
      <c r="V156" s="218">
        <f t="shared" si="11"/>
        <v>125.24</v>
      </c>
      <c r="W156" s="37">
        <f t="shared" si="14"/>
        <v>821</v>
      </c>
      <c r="X156" s="37">
        <v>726</v>
      </c>
      <c r="Y156" s="37">
        <f t="shared" si="12"/>
        <v>95</v>
      </c>
    </row>
    <row r="157" spans="1:25" ht="56.25">
      <c r="A157" s="276" t="s">
        <v>648</v>
      </c>
      <c r="B157" s="264" t="s">
        <v>2451</v>
      </c>
      <c r="C157" s="277" t="s">
        <v>92</v>
      </c>
      <c r="D157" s="394">
        <v>750</v>
      </c>
      <c r="E157" s="395">
        <v>750</v>
      </c>
      <c r="F157" s="394">
        <v>750</v>
      </c>
      <c r="G157" s="394">
        <v>500</v>
      </c>
      <c r="H157" s="397">
        <v>500</v>
      </c>
      <c r="I157" s="394">
        <v>500</v>
      </c>
      <c r="J157" s="394">
        <v>550</v>
      </c>
      <c r="K157" s="394">
        <v>578.35</v>
      </c>
      <c r="L157" s="265">
        <v>550</v>
      </c>
      <c r="N157" s="265">
        <v>500</v>
      </c>
      <c r="O157" s="268">
        <v>500</v>
      </c>
      <c r="P157" s="265">
        <v>500</v>
      </c>
      <c r="S157" s="261" t="s">
        <v>2073</v>
      </c>
      <c r="T157" s="262" t="s">
        <v>2452</v>
      </c>
      <c r="U157" s="385">
        <f t="shared" si="15"/>
        <v>18</v>
      </c>
      <c r="V157" s="218">
        <f t="shared" si="11"/>
        <v>104.1</v>
      </c>
      <c r="W157" s="37">
        <f t="shared" si="14"/>
        <v>682.45</v>
      </c>
      <c r="X157" s="37">
        <v>605</v>
      </c>
      <c r="Y157" s="37">
        <f t="shared" si="12"/>
        <v>77.450000000000045</v>
      </c>
    </row>
    <row r="158" spans="1:25">
      <c r="A158" s="277">
        <v>99</v>
      </c>
      <c r="B158" s="279" t="s">
        <v>2453</v>
      </c>
      <c r="C158" s="277" t="s">
        <v>92</v>
      </c>
      <c r="D158" s="394">
        <v>220</v>
      </c>
      <c r="E158" s="395">
        <v>206</v>
      </c>
      <c r="F158" s="394">
        <v>217</v>
      </c>
      <c r="G158" s="394">
        <v>180</v>
      </c>
      <c r="H158" s="397">
        <v>180</v>
      </c>
      <c r="I158" s="394">
        <v>180</v>
      </c>
      <c r="J158" s="394">
        <v>198</v>
      </c>
      <c r="K158" s="394">
        <v>254.75</v>
      </c>
      <c r="L158" s="265">
        <v>198</v>
      </c>
      <c r="N158" s="265">
        <v>180</v>
      </c>
      <c r="O158" s="268">
        <v>180</v>
      </c>
      <c r="P158" s="265">
        <v>180</v>
      </c>
      <c r="S158" s="261" t="s">
        <v>2073</v>
      </c>
      <c r="T158" s="262" t="s">
        <v>2454</v>
      </c>
      <c r="U158" s="385">
        <v>28</v>
      </c>
      <c r="V158" s="218">
        <f t="shared" si="11"/>
        <v>71.33</v>
      </c>
      <c r="W158" s="37">
        <f t="shared" si="14"/>
        <v>326.08</v>
      </c>
      <c r="X158" s="37">
        <v>217</v>
      </c>
      <c r="Y158" s="37">
        <f t="shared" si="12"/>
        <v>109.07999999999998</v>
      </c>
    </row>
    <row r="159" spans="1:25">
      <c r="A159" s="277">
        <v>100</v>
      </c>
      <c r="B159" s="279" t="s">
        <v>2455</v>
      </c>
      <c r="S159" s="261" t="s">
        <v>2073</v>
      </c>
      <c r="T159" s="262"/>
      <c r="U159" s="385">
        <f>U158</f>
        <v>28</v>
      </c>
      <c r="V159" s="218">
        <f t="shared" si="11"/>
        <v>0</v>
      </c>
      <c r="W159" s="37">
        <f t="shared" si="14"/>
        <v>0</v>
      </c>
      <c r="Y159" s="37">
        <f t="shared" si="12"/>
        <v>0</v>
      </c>
    </row>
    <row r="160" spans="1:25">
      <c r="A160" s="271" t="s">
        <v>627</v>
      </c>
      <c r="B160" s="279" t="s">
        <v>2456</v>
      </c>
      <c r="C160" s="277" t="s">
        <v>92</v>
      </c>
      <c r="D160" s="394">
        <v>206</v>
      </c>
      <c r="E160" s="395">
        <v>198</v>
      </c>
      <c r="F160" s="394">
        <v>205</v>
      </c>
      <c r="G160" s="394">
        <v>206</v>
      </c>
      <c r="H160" s="397">
        <v>206</v>
      </c>
      <c r="I160" s="394">
        <v>206</v>
      </c>
      <c r="J160" s="394">
        <v>226</v>
      </c>
      <c r="K160" s="394">
        <v>256.07</v>
      </c>
      <c r="L160" s="265">
        <v>226</v>
      </c>
      <c r="N160" s="265">
        <v>206</v>
      </c>
      <c r="O160" s="268">
        <v>206</v>
      </c>
      <c r="P160" s="265">
        <v>206</v>
      </c>
      <c r="S160" s="261" t="s">
        <v>2073</v>
      </c>
      <c r="T160" s="262"/>
      <c r="U160" s="385">
        <f t="shared" ref="U160:U168" si="16">U159</f>
        <v>28</v>
      </c>
      <c r="V160" s="218">
        <f t="shared" si="11"/>
        <v>71.7</v>
      </c>
      <c r="W160" s="37">
        <f t="shared" si="14"/>
        <v>327.77</v>
      </c>
      <c r="X160" s="37">
        <v>248</v>
      </c>
      <c r="Y160" s="37">
        <f t="shared" si="12"/>
        <v>79.769999999999982</v>
      </c>
    </row>
    <row r="161" spans="1:25">
      <c r="A161" s="271" t="s">
        <v>628</v>
      </c>
      <c r="B161" s="279" t="s">
        <v>2457</v>
      </c>
      <c r="C161" s="277" t="s">
        <v>92</v>
      </c>
      <c r="D161" s="394">
        <v>244</v>
      </c>
      <c r="E161" s="395">
        <v>250</v>
      </c>
      <c r="F161" s="394">
        <v>262</v>
      </c>
      <c r="G161" s="394">
        <v>244</v>
      </c>
      <c r="H161" s="397">
        <v>244</v>
      </c>
      <c r="I161" s="394">
        <v>244</v>
      </c>
      <c r="J161" s="394">
        <v>268</v>
      </c>
      <c r="K161" s="394">
        <v>308.95999999999998</v>
      </c>
      <c r="L161" s="265">
        <v>268</v>
      </c>
      <c r="N161" s="265">
        <v>244</v>
      </c>
      <c r="O161" s="268">
        <v>244</v>
      </c>
      <c r="P161" s="265">
        <v>244</v>
      </c>
      <c r="S161" s="261" t="s">
        <v>2073</v>
      </c>
      <c r="T161" s="262"/>
      <c r="U161" s="385">
        <f t="shared" si="16"/>
        <v>28</v>
      </c>
      <c r="V161" s="218">
        <f t="shared" si="11"/>
        <v>86.51</v>
      </c>
      <c r="W161" s="37">
        <f t="shared" si="14"/>
        <v>395.46999999999997</v>
      </c>
      <c r="X161" s="37">
        <v>294</v>
      </c>
      <c r="Y161" s="37">
        <f t="shared" si="12"/>
        <v>101.46999999999997</v>
      </c>
    </row>
    <row r="162" spans="1:25">
      <c r="A162" s="277">
        <v>101</v>
      </c>
      <c r="B162" s="279" t="s">
        <v>120</v>
      </c>
      <c r="C162" s="277" t="s">
        <v>116</v>
      </c>
      <c r="D162" s="394">
        <v>94</v>
      </c>
      <c r="E162" s="395">
        <v>95</v>
      </c>
      <c r="F162" s="394">
        <v>99</v>
      </c>
      <c r="G162" s="394">
        <v>98</v>
      </c>
      <c r="H162" s="397">
        <v>98</v>
      </c>
      <c r="I162" s="394">
        <v>98</v>
      </c>
      <c r="J162" s="394">
        <v>118</v>
      </c>
      <c r="K162" s="394">
        <v>142.69999999999999</v>
      </c>
      <c r="L162" s="265">
        <v>118</v>
      </c>
      <c r="N162" s="265">
        <v>98</v>
      </c>
      <c r="O162" s="268">
        <v>98</v>
      </c>
      <c r="P162" s="265">
        <v>98</v>
      </c>
      <c r="S162" s="261" t="s">
        <v>2073</v>
      </c>
      <c r="T162" s="262" t="s">
        <v>2458</v>
      </c>
      <c r="U162" s="385">
        <f t="shared" si="16"/>
        <v>28</v>
      </c>
      <c r="V162" s="218">
        <f t="shared" si="11"/>
        <v>39.96</v>
      </c>
      <c r="W162" s="37">
        <f t="shared" si="14"/>
        <v>182.66</v>
      </c>
      <c r="X162" s="37">
        <v>129</v>
      </c>
      <c r="Y162" s="37">
        <f t="shared" si="12"/>
        <v>53.66</v>
      </c>
    </row>
    <row r="163" spans="1:25">
      <c r="A163" s="277">
        <v>102</v>
      </c>
      <c r="B163" s="279" t="s">
        <v>2459</v>
      </c>
      <c r="C163" s="277" t="s">
        <v>116</v>
      </c>
      <c r="D163" s="394">
        <v>99</v>
      </c>
      <c r="E163" s="395">
        <v>106</v>
      </c>
      <c r="F163" s="394">
        <v>107</v>
      </c>
      <c r="G163" s="394">
        <v>110</v>
      </c>
      <c r="H163" s="397">
        <v>110</v>
      </c>
      <c r="I163" s="394">
        <v>110</v>
      </c>
      <c r="J163" s="394">
        <v>133</v>
      </c>
      <c r="K163" s="394">
        <v>155.08000000000001</v>
      </c>
      <c r="L163" s="265">
        <v>133</v>
      </c>
      <c r="N163" s="265">
        <v>110</v>
      </c>
      <c r="O163" s="268">
        <v>110</v>
      </c>
      <c r="P163" s="265">
        <v>110</v>
      </c>
      <c r="S163" s="261" t="s">
        <v>2073</v>
      </c>
      <c r="T163" s="262" t="s">
        <v>2460</v>
      </c>
      <c r="U163" s="385">
        <f t="shared" si="16"/>
        <v>28</v>
      </c>
      <c r="V163" s="218">
        <f t="shared" si="11"/>
        <v>43.42</v>
      </c>
      <c r="W163" s="37">
        <f t="shared" si="14"/>
        <v>198.5</v>
      </c>
      <c r="X163" s="37">
        <v>146</v>
      </c>
      <c r="Y163" s="37">
        <f t="shared" si="12"/>
        <v>52.5</v>
      </c>
    </row>
    <row r="164" spans="1:25">
      <c r="A164" s="277">
        <v>103</v>
      </c>
      <c r="B164" s="279" t="s">
        <v>2461</v>
      </c>
      <c r="C164" s="277" t="s">
        <v>116</v>
      </c>
      <c r="D164" s="394">
        <v>107</v>
      </c>
      <c r="E164" s="395">
        <v>105</v>
      </c>
      <c r="F164" s="394">
        <v>111</v>
      </c>
      <c r="G164" s="394">
        <v>120</v>
      </c>
      <c r="H164" s="397">
        <v>120</v>
      </c>
      <c r="I164" s="394">
        <v>120</v>
      </c>
      <c r="J164" s="394">
        <v>145</v>
      </c>
      <c r="K164" s="394">
        <v>176.27</v>
      </c>
      <c r="L164" s="265">
        <v>145</v>
      </c>
      <c r="N164" s="265">
        <v>120</v>
      </c>
      <c r="O164" s="268">
        <v>120</v>
      </c>
      <c r="P164" s="265">
        <v>120</v>
      </c>
      <c r="S164" s="261" t="s">
        <v>2073</v>
      </c>
      <c r="T164" s="262"/>
      <c r="U164" s="385">
        <f t="shared" si="16"/>
        <v>28</v>
      </c>
      <c r="V164" s="218">
        <f t="shared" si="11"/>
        <v>49.36</v>
      </c>
      <c r="W164" s="37">
        <f t="shared" si="14"/>
        <v>225.63</v>
      </c>
      <c r="X164" s="37">
        <v>159</v>
      </c>
      <c r="Y164" s="37">
        <f t="shared" si="12"/>
        <v>66.63</v>
      </c>
    </row>
    <row r="165" spans="1:25">
      <c r="A165" s="277">
        <v>104</v>
      </c>
      <c r="B165" s="279" t="s">
        <v>1536</v>
      </c>
      <c r="C165" s="277" t="s">
        <v>116</v>
      </c>
      <c r="D165" s="394">
        <v>188</v>
      </c>
      <c r="E165" s="395">
        <v>191</v>
      </c>
      <c r="F165" s="394">
        <v>193</v>
      </c>
      <c r="G165" s="394">
        <v>188</v>
      </c>
      <c r="H165" s="397">
        <v>188</v>
      </c>
      <c r="I165" s="394">
        <v>188</v>
      </c>
      <c r="J165" s="394">
        <v>227</v>
      </c>
      <c r="K165" s="394">
        <v>249.34</v>
      </c>
      <c r="L165" s="265">
        <v>227</v>
      </c>
      <c r="N165" s="265">
        <v>188</v>
      </c>
      <c r="O165" s="268">
        <v>188</v>
      </c>
      <c r="P165" s="265">
        <v>188</v>
      </c>
      <c r="S165" s="261" t="s">
        <v>2073</v>
      </c>
      <c r="T165" s="262" t="s">
        <v>2462</v>
      </c>
      <c r="U165" s="385">
        <f t="shared" si="16"/>
        <v>28</v>
      </c>
      <c r="V165" s="1308">
        <f t="shared" si="11"/>
        <v>69.819999999999993</v>
      </c>
      <c r="W165" s="37">
        <f t="shared" si="14"/>
        <v>319.15999999999997</v>
      </c>
      <c r="X165" s="37">
        <v>249</v>
      </c>
      <c r="Y165" s="37">
        <f t="shared" si="12"/>
        <v>70.159999999999968</v>
      </c>
    </row>
    <row r="166" spans="1:25">
      <c r="A166" s="277">
        <v>105</v>
      </c>
      <c r="B166" s="279" t="s">
        <v>2034</v>
      </c>
      <c r="C166" s="277" t="s">
        <v>116</v>
      </c>
      <c r="D166" s="394">
        <v>145</v>
      </c>
      <c r="E166" s="395">
        <v>147</v>
      </c>
      <c r="F166" s="394">
        <v>154</v>
      </c>
      <c r="G166" s="394">
        <v>145</v>
      </c>
      <c r="H166" s="397">
        <v>145</v>
      </c>
      <c r="I166" s="394">
        <v>145</v>
      </c>
      <c r="J166" s="394">
        <v>176</v>
      </c>
      <c r="K166" s="394">
        <v>250.34</v>
      </c>
      <c r="L166" s="265">
        <v>176</v>
      </c>
      <c r="N166" s="265">
        <v>145</v>
      </c>
      <c r="O166" s="268">
        <v>145</v>
      </c>
      <c r="P166" s="265">
        <v>145</v>
      </c>
      <c r="S166" s="261" t="s">
        <v>2073</v>
      </c>
      <c r="T166" s="262" t="s">
        <v>2463</v>
      </c>
      <c r="U166" s="385">
        <f t="shared" si="16"/>
        <v>28</v>
      </c>
      <c r="V166" s="218">
        <f t="shared" si="11"/>
        <v>70.099999999999994</v>
      </c>
      <c r="W166" s="37">
        <f t="shared" si="14"/>
        <v>320.44</v>
      </c>
      <c r="X166" s="37">
        <v>193</v>
      </c>
      <c r="Y166" s="37">
        <f t="shared" si="12"/>
        <v>127.44</v>
      </c>
    </row>
    <row r="167" spans="1:25">
      <c r="A167" s="277">
        <v>106</v>
      </c>
      <c r="B167" s="279" t="s">
        <v>112</v>
      </c>
      <c r="C167" s="277" t="s">
        <v>95</v>
      </c>
      <c r="D167" s="394">
        <v>56</v>
      </c>
      <c r="E167" s="395">
        <v>58</v>
      </c>
      <c r="F167" s="394">
        <v>60</v>
      </c>
      <c r="G167" s="394">
        <v>50</v>
      </c>
      <c r="H167" s="397">
        <v>50</v>
      </c>
      <c r="I167" s="394">
        <v>50</v>
      </c>
      <c r="J167" s="394">
        <v>60</v>
      </c>
      <c r="K167" s="394">
        <v>70.099999999999994</v>
      </c>
      <c r="L167" s="265">
        <v>60</v>
      </c>
      <c r="N167" s="265">
        <v>50</v>
      </c>
      <c r="O167" s="268">
        <v>50</v>
      </c>
      <c r="P167" s="265">
        <v>50</v>
      </c>
      <c r="S167" s="261" t="s">
        <v>2073</v>
      </c>
      <c r="T167" s="262" t="s">
        <v>2464</v>
      </c>
      <c r="U167" s="385">
        <f t="shared" si="16"/>
        <v>28</v>
      </c>
      <c r="V167" s="218">
        <f t="shared" si="11"/>
        <v>19.63</v>
      </c>
      <c r="W167" s="37">
        <f t="shared" si="14"/>
        <v>89.72999999999999</v>
      </c>
      <c r="X167" s="37">
        <v>66</v>
      </c>
      <c r="Y167" s="37">
        <f t="shared" si="12"/>
        <v>23.72999999999999</v>
      </c>
    </row>
    <row r="168" spans="1:25">
      <c r="A168" s="277">
        <v>107</v>
      </c>
      <c r="B168" s="279" t="s">
        <v>2465</v>
      </c>
      <c r="C168" s="277" t="s">
        <v>95</v>
      </c>
      <c r="D168" s="394">
        <v>35</v>
      </c>
      <c r="E168" s="395">
        <v>36</v>
      </c>
      <c r="F168" s="394">
        <v>35</v>
      </c>
      <c r="G168" s="394">
        <v>35</v>
      </c>
      <c r="H168" s="397">
        <v>35</v>
      </c>
      <c r="I168" s="394">
        <v>35</v>
      </c>
      <c r="J168" s="394">
        <v>42</v>
      </c>
      <c r="K168" s="394">
        <v>47.83</v>
      </c>
      <c r="L168" s="265">
        <v>42</v>
      </c>
      <c r="N168" s="265">
        <v>35</v>
      </c>
      <c r="O168" s="268">
        <v>35</v>
      </c>
      <c r="P168" s="265">
        <v>35</v>
      </c>
      <c r="S168" s="261" t="s">
        <v>2073</v>
      </c>
      <c r="T168" s="262" t="s">
        <v>2466</v>
      </c>
      <c r="U168" s="385">
        <f t="shared" si="16"/>
        <v>28</v>
      </c>
      <c r="V168" s="218">
        <f t="shared" si="11"/>
        <v>13.39</v>
      </c>
      <c r="W168" s="37">
        <f t="shared" si="14"/>
        <v>61.22</v>
      </c>
      <c r="X168" s="37">
        <v>46</v>
      </c>
      <c r="Y168" s="37">
        <f t="shared" si="12"/>
        <v>15.219999999999999</v>
      </c>
    </row>
    <row r="169" spans="1:25">
      <c r="A169" s="277">
        <v>108</v>
      </c>
      <c r="B169" s="279" t="s">
        <v>2467</v>
      </c>
      <c r="C169" s="277" t="s">
        <v>95</v>
      </c>
      <c r="D169" s="394">
        <v>88</v>
      </c>
      <c r="E169" s="395">
        <v>88</v>
      </c>
      <c r="F169" s="394">
        <v>99</v>
      </c>
      <c r="G169" s="394">
        <v>88</v>
      </c>
      <c r="H169" s="397">
        <v>88</v>
      </c>
      <c r="I169" s="394">
        <v>88</v>
      </c>
      <c r="J169" s="394">
        <v>106</v>
      </c>
      <c r="K169" s="394">
        <v>123.94</v>
      </c>
      <c r="L169" s="265">
        <v>106</v>
      </c>
      <c r="N169" s="265">
        <v>88</v>
      </c>
      <c r="O169" s="268">
        <v>88</v>
      </c>
      <c r="P169" s="265">
        <v>88</v>
      </c>
      <c r="S169" s="261" t="s">
        <v>2073</v>
      </c>
      <c r="T169" s="262"/>
      <c r="U169" s="385">
        <v>18</v>
      </c>
      <c r="V169" s="218">
        <f t="shared" si="11"/>
        <v>22.31</v>
      </c>
      <c r="W169" s="37">
        <f t="shared" si="14"/>
        <v>146.25</v>
      </c>
      <c r="X169" s="37">
        <v>116</v>
      </c>
      <c r="Y169" s="37">
        <f t="shared" si="12"/>
        <v>30.25</v>
      </c>
    </row>
    <row r="170" spans="1:25">
      <c r="A170" s="277">
        <v>109</v>
      </c>
      <c r="B170" s="279" t="s">
        <v>2468</v>
      </c>
      <c r="C170" s="277" t="s">
        <v>116</v>
      </c>
      <c r="D170" s="394">
        <v>130</v>
      </c>
      <c r="E170" s="395">
        <v>137</v>
      </c>
      <c r="F170" s="394">
        <v>136</v>
      </c>
      <c r="G170" s="394">
        <v>130</v>
      </c>
      <c r="H170" s="397">
        <v>130</v>
      </c>
      <c r="I170" s="394">
        <v>130</v>
      </c>
      <c r="J170" s="394">
        <v>150</v>
      </c>
      <c r="K170" s="394">
        <v>172.9</v>
      </c>
      <c r="L170" s="265">
        <v>150</v>
      </c>
      <c r="N170" s="265">
        <v>130</v>
      </c>
      <c r="O170" s="268">
        <v>130</v>
      </c>
      <c r="P170" s="265">
        <v>130</v>
      </c>
      <c r="S170" s="261" t="s">
        <v>2073</v>
      </c>
      <c r="T170" s="262" t="s">
        <v>2469</v>
      </c>
      <c r="U170" s="385">
        <v>28</v>
      </c>
      <c r="V170" s="218">
        <f t="shared" si="11"/>
        <v>48.41</v>
      </c>
      <c r="W170" s="37">
        <f t="shared" si="14"/>
        <v>221.31</v>
      </c>
      <c r="X170" s="37">
        <v>165</v>
      </c>
      <c r="Y170" s="37">
        <f t="shared" si="12"/>
        <v>56.31</v>
      </c>
    </row>
    <row r="171" spans="1:25">
      <c r="A171" s="277">
        <v>110</v>
      </c>
      <c r="B171" s="279" t="s">
        <v>2470</v>
      </c>
      <c r="C171" s="277" t="s">
        <v>116</v>
      </c>
      <c r="D171" s="394">
        <v>113</v>
      </c>
      <c r="E171" s="395">
        <v>118</v>
      </c>
      <c r="F171" s="394">
        <v>123</v>
      </c>
      <c r="G171" s="394">
        <v>120</v>
      </c>
      <c r="H171" s="397">
        <v>120</v>
      </c>
      <c r="I171" s="394">
        <v>120</v>
      </c>
      <c r="J171" s="394">
        <v>145</v>
      </c>
      <c r="K171" s="394">
        <v>169.85</v>
      </c>
      <c r="L171" s="265">
        <v>145</v>
      </c>
      <c r="N171" s="265">
        <v>120</v>
      </c>
      <c r="O171" s="268">
        <v>120</v>
      </c>
      <c r="P171" s="265">
        <v>120</v>
      </c>
      <c r="S171" s="261" t="s">
        <v>2073</v>
      </c>
      <c r="T171" s="262" t="s">
        <v>2471</v>
      </c>
      <c r="U171" s="385">
        <f>U170</f>
        <v>28</v>
      </c>
      <c r="V171" s="218">
        <f t="shared" si="11"/>
        <v>47.56</v>
      </c>
      <c r="W171" s="37">
        <f t="shared" si="14"/>
        <v>217.41</v>
      </c>
      <c r="X171" s="37">
        <v>159</v>
      </c>
      <c r="Y171" s="37">
        <f t="shared" si="12"/>
        <v>58.41</v>
      </c>
    </row>
    <row r="172" spans="1:25">
      <c r="A172" s="277">
        <v>111</v>
      </c>
      <c r="B172" s="279" t="s">
        <v>2472</v>
      </c>
      <c r="C172" s="277" t="s">
        <v>95</v>
      </c>
      <c r="D172" s="394">
        <v>11</v>
      </c>
      <c r="E172" s="395">
        <v>11</v>
      </c>
      <c r="F172" s="394">
        <v>11</v>
      </c>
      <c r="G172" s="394">
        <v>9</v>
      </c>
      <c r="H172" s="397">
        <v>9</v>
      </c>
      <c r="I172" s="394">
        <v>9</v>
      </c>
      <c r="J172" s="394">
        <v>11</v>
      </c>
      <c r="K172" s="394">
        <v>17.23</v>
      </c>
      <c r="L172" s="265">
        <v>11</v>
      </c>
      <c r="N172" s="265">
        <v>9</v>
      </c>
      <c r="O172" s="268">
        <v>9</v>
      </c>
      <c r="P172" s="265">
        <v>9</v>
      </c>
      <c r="S172" s="261" t="s">
        <v>2073</v>
      </c>
      <c r="T172" s="262" t="s">
        <v>2473</v>
      </c>
      <c r="U172" s="385">
        <v>18</v>
      </c>
      <c r="V172" s="1308">
        <f t="shared" si="11"/>
        <v>3.1</v>
      </c>
      <c r="W172" s="37">
        <f t="shared" si="14"/>
        <v>20.330000000000002</v>
      </c>
      <c r="X172" s="37">
        <v>12</v>
      </c>
      <c r="Y172" s="37">
        <f t="shared" si="12"/>
        <v>8.3300000000000018</v>
      </c>
    </row>
    <row r="173" spans="1:25">
      <c r="A173" s="277">
        <v>112</v>
      </c>
      <c r="B173" s="279" t="s">
        <v>2474</v>
      </c>
      <c r="C173" s="277" t="s">
        <v>95</v>
      </c>
      <c r="D173" s="394">
        <v>34</v>
      </c>
      <c r="E173" s="395">
        <v>35</v>
      </c>
      <c r="F173" s="394">
        <v>37</v>
      </c>
      <c r="G173" s="394">
        <v>34</v>
      </c>
      <c r="H173" s="397">
        <v>34</v>
      </c>
      <c r="I173" s="394">
        <v>34</v>
      </c>
      <c r="J173" s="394">
        <v>40</v>
      </c>
      <c r="K173" s="394">
        <v>49.21</v>
      </c>
      <c r="L173" s="265">
        <v>40</v>
      </c>
      <c r="N173" s="265">
        <v>34</v>
      </c>
      <c r="O173" s="268">
        <v>34</v>
      </c>
      <c r="P173" s="265">
        <v>34</v>
      </c>
      <c r="S173" s="261" t="s">
        <v>2073</v>
      </c>
      <c r="T173" s="262" t="s">
        <v>2475</v>
      </c>
      <c r="U173" s="385">
        <v>28</v>
      </c>
      <c r="V173" s="218">
        <f t="shared" si="11"/>
        <v>13.78</v>
      </c>
      <c r="W173" s="37">
        <f t="shared" si="14"/>
        <v>62.99</v>
      </c>
      <c r="X173" s="37">
        <v>44</v>
      </c>
      <c r="Y173" s="37">
        <f t="shared" si="12"/>
        <v>18.990000000000002</v>
      </c>
    </row>
    <row r="174" spans="1:25">
      <c r="A174" s="277">
        <v>113</v>
      </c>
      <c r="B174" s="279" t="s">
        <v>2476</v>
      </c>
      <c r="N174" s="265">
        <v>215</v>
      </c>
      <c r="O174" s="268">
        <v>215</v>
      </c>
      <c r="P174" s="265">
        <v>215</v>
      </c>
      <c r="S174" s="261" t="s">
        <v>2073</v>
      </c>
      <c r="T174" s="262"/>
      <c r="U174" s="385"/>
      <c r="V174" s="218">
        <f t="shared" si="11"/>
        <v>0</v>
      </c>
      <c r="W174" s="37">
        <f t="shared" si="14"/>
        <v>0</v>
      </c>
      <c r="Y174" s="37">
        <f t="shared" si="12"/>
        <v>0</v>
      </c>
    </row>
    <row r="175" spans="1:25">
      <c r="A175" s="277"/>
      <c r="B175" s="279" t="s">
        <v>2477</v>
      </c>
      <c r="C175" s="277" t="s">
        <v>92</v>
      </c>
      <c r="D175" s="394">
        <v>202</v>
      </c>
      <c r="E175" s="395">
        <v>207</v>
      </c>
      <c r="F175" s="394">
        <v>229</v>
      </c>
      <c r="G175" s="394">
        <v>215</v>
      </c>
      <c r="H175" s="397">
        <v>215</v>
      </c>
      <c r="I175" s="394">
        <v>215</v>
      </c>
      <c r="J175" s="394">
        <v>260</v>
      </c>
      <c r="K175" s="394">
        <v>317.5</v>
      </c>
      <c r="L175" s="265">
        <v>260</v>
      </c>
      <c r="S175" s="261" t="s">
        <v>2073</v>
      </c>
      <c r="T175" s="262" t="s">
        <v>2478</v>
      </c>
      <c r="U175" s="385">
        <v>18</v>
      </c>
      <c r="V175" s="218">
        <f t="shared" si="11"/>
        <v>57.15</v>
      </c>
      <c r="W175" s="37">
        <f t="shared" si="14"/>
        <v>374.65</v>
      </c>
      <c r="X175" s="37">
        <v>283</v>
      </c>
      <c r="Y175" s="37">
        <f t="shared" si="12"/>
        <v>91.649999999999977</v>
      </c>
    </row>
    <row r="176" spans="1:25">
      <c r="A176" s="277"/>
      <c r="B176" s="279" t="s">
        <v>2479</v>
      </c>
      <c r="C176" s="277" t="s">
        <v>92</v>
      </c>
      <c r="D176" s="394">
        <v>202</v>
      </c>
      <c r="E176" s="395">
        <v>207</v>
      </c>
      <c r="F176" s="394">
        <v>229</v>
      </c>
      <c r="G176" s="394">
        <v>215</v>
      </c>
      <c r="H176" s="397">
        <v>215</v>
      </c>
      <c r="I176" s="394">
        <v>215</v>
      </c>
      <c r="J176" s="394">
        <v>266</v>
      </c>
      <c r="K176" s="394">
        <v>333.12</v>
      </c>
      <c r="L176" s="265">
        <v>266</v>
      </c>
      <c r="S176" s="261" t="s">
        <v>2073</v>
      </c>
      <c r="T176" s="262" t="s">
        <v>2478</v>
      </c>
      <c r="U176" s="385">
        <f>U175</f>
        <v>18</v>
      </c>
      <c r="V176" s="218">
        <f t="shared" si="11"/>
        <v>59.96</v>
      </c>
      <c r="W176" s="37">
        <f t="shared" si="14"/>
        <v>393.08</v>
      </c>
      <c r="X176" s="37">
        <v>292</v>
      </c>
      <c r="Y176" s="37">
        <f t="shared" si="12"/>
        <v>101.07999999999998</v>
      </c>
    </row>
    <row r="177" spans="1:25">
      <c r="A177" s="277">
        <v>114</v>
      </c>
      <c r="B177" s="279" t="s">
        <v>2480</v>
      </c>
      <c r="C177" s="277" t="s">
        <v>92</v>
      </c>
      <c r="D177" s="394">
        <v>163</v>
      </c>
      <c r="E177" s="395">
        <v>170</v>
      </c>
      <c r="F177" s="394">
        <v>172</v>
      </c>
      <c r="G177" s="394">
        <v>151</v>
      </c>
      <c r="H177" s="397">
        <v>151</v>
      </c>
      <c r="I177" s="394">
        <v>151</v>
      </c>
      <c r="J177" s="394">
        <v>182</v>
      </c>
      <c r="K177" s="394">
        <v>209.1</v>
      </c>
      <c r="L177" s="265">
        <v>182</v>
      </c>
      <c r="N177" s="265">
        <v>151</v>
      </c>
      <c r="O177" s="268">
        <v>151</v>
      </c>
      <c r="P177" s="265">
        <v>151</v>
      </c>
      <c r="S177" s="261" t="s">
        <v>2073</v>
      </c>
      <c r="T177" s="262" t="s">
        <v>2481</v>
      </c>
      <c r="U177" s="385">
        <f>U176</f>
        <v>18</v>
      </c>
      <c r="V177" s="218">
        <f t="shared" si="11"/>
        <v>37.64</v>
      </c>
      <c r="W177" s="37">
        <f t="shared" si="14"/>
        <v>246.74</v>
      </c>
      <c r="X177" s="37">
        <v>200</v>
      </c>
      <c r="Y177" s="37">
        <f t="shared" si="12"/>
        <v>46.740000000000009</v>
      </c>
    </row>
    <row r="178" spans="1:25">
      <c r="A178" s="277">
        <v>115</v>
      </c>
      <c r="B178" s="279" t="s">
        <v>2482</v>
      </c>
      <c r="C178" s="277" t="s">
        <v>2483</v>
      </c>
      <c r="D178" s="394">
        <v>161</v>
      </c>
      <c r="E178" s="395">
        <v>170</v>
      </c>
      <c r="F178" s="394">
        <v>172</v>
      </c>
      <c r="G178" s="394">
        <v>142</v>
      </c>
      <c r="H178" s="397">
        <v>142</v>
      </c>
      <c r="I178" s="394">
        <v>142</v>
      </c>
      <c r="J178" s="394">
        <v>171</v>
      </c>
      <c r="K178" s="394">
        <v>207.69</v>
      </c>
      <c r="L178" s="265">
        <v>171</v>
      </c>
      <c r="N178" s="265">
        <v>142</v>
      </c>
      <c r="O178" s="268">
        <v>142</v>
      </c>
      <c r="P178" s="265">
        <v>142</v>
      </c>
      <c r="S178" s="261" t="s">
        <v>2073</v>
      </c>
      <c r="T178" s="262" t="s">
        <v>2484</v>
      </c>
      <c r="U178" s="385">
        <f>U177</f>
        <v>18</v>
      </c>
      <c r="V178" s="218">
        <f t="shared" si="11"/>
        <v>37.380000000000003</v>
      </c>
      <c r="W178" s="37">
        <f t="shared" si="14"/>
        <v>245.07</v>
      </c>
      <c r="X178" s="37">
        <v>188</v>
      </c>
      <c r="Y178" s="37">
        <f t="shared" si="12"/>
        <v>57.069999999999993</v>
      </c>
    </row>
    <row r="179" spans="1:25">
      <c r="A179" s="277">
        <v>116</v>
      </c>
      <c r="B179" s="279" t="s">
        <v>2485</v>
      </c>
      <c r="C179" s="277" t="s">
        <v>92</v>
      </c>
      <c r="D179" s="394">
        <v>188</v>
      </c>
      <c r="E179" s="395">
        <v>199</v>
      </c>
      <c r="F179" s="394">
        <v>197</v>
      </c>
      <c r="G179" s="394">
        <v>188</v>
      </c>
      <c r="H179" s="397">
        <v>188</v>
      </c>
      <c r="I179" s="394">
        <v>188</v>
      </c>
      <c r="J179" s="394">
        <v>210</v>
      </c>
      <c r="K179" s="394">
        <v>246.55</v>
      </c>
      <c r="L179" s="265">
        <v>210</v>
      </c>
      <c r="N179" s="265">
        <v>188</v>
      </c>
      <c r="O179" s="268">
        <v>188</v>
      </c>
      <c r="P179" s="265">
        <v>188</v>
      </c>
      <c r="S179" s="261" t="s">
        <v>2073</v>
      </c>
      <c r="T179" s="262"/>
      <c r="U179" s="385">
        <f>U178</f>
        <v>18</v>
      </c>
      <c r="V179" s="218">
        <f t="shared" si="11"/>
        <v>44.38</v>
      </c>
      <c r="W179" s="37">
        <f t="shared" si="14"/>
        <v>290.93</v>
      </c>
      <c r="X179" s="37">
        <v>231</v>
      </c>
      <c r="Y179" s="37">
        <f t="shared" si="12"/>
        <v>59.930000000000007</v>
      </c>
    </row>
    <row r="180" spans="1:25">
      <c r="A180" s="277">
        <v>117</v>
      </c>
      <c r="B180" s="279" t="s">
        <v>2486</v>
      </c>
      <c r="C180" s="277" t="s">
        <v>92</v>
      </c>
      <c r="D180" s="394">
        <v>12</v>
      </c>
      <c r="E180" s="395">
        <v>12</v>
      </c>
      <c r="F180" s="394">
        <v>12</v>
      </c>
      <c r="G180" s="394">
        <v>14</v>
      </c>
      <c r="H180" s="397">
        <v>14</v>
      </c>
      <c r="I180" s="394">
        <v>14</v>
      </c>
      <c r="J180" s="394">
        <v>16</v>
      </c>
      <c r="K180" s="394">
        <v>24.76</v>
      </c>
      <c r="L180" s="265">
        <v>16</v>
      </c>
      <c r="N180" s="265">
        <v>14</v>
      </c>
      <c r="O180" s="268">
        <v>14</v>
      </c>
      <c r="P180" s="265">
        <v>14</v>
      </c>
      <c r="S180" s="261" t="s">
        <v>2073</v>
      </c>
      <c r="T180" s="262"/>
      <c r="U180" s="385">
        <f>U179</f>
        <v>18</v>
      </c>
      <c r="V180" s="1308">
        <f t="shared" si="11"/>
        <v>4.46</v>
      </c>
      <c r="W180" s="37">
        <f t="shared" si="14"/>
        <v>29.220000000000002</v>
      </c>
      <c r="X180" s="37">
        <v>17</v>
      </c>
      <c r="Y180" s="37">
        <f t="shared" si="12"/>
        <v>12.220000000000002</v>
      </c>
    </row>
    <row r="181" spans="1:25">
      <c r="A181" s="277">
        <v>118</v>
      </c>
      <c r="B181" s="279" t="s">
        <v>2487</v>
      </c>
      <c r="C181" s="277" t="s">
        <v>95</v>
      </c>
      <c r="D181" s="394">
        <v>29</v>
      </c>
      <c r="E181" s="395">
        <v>30</v>
      </c>
      <c r="F181" s="394">
        <v>29</v>
      </c>
      <c r="G181" s="394">
        <v>22</v>
      </c>
      <c r="H181" s="397">
        <v>22</v>
      </c>
      <c r="I181" s="394">
        <v>22</v>
      </c>
      <c r="J181" s="394">
        <v>26</v>
      </c>
      <c r="K181" s="394">
        <v>31.67</v>
      </c>
      <c r="L181" s="265">
        <v>26</v>
      </c>
      <c r="N181" s="265">
        <v>22</v>
      </c>
      <c r="O181" s="268">
        <v>22</v>
      </c>
      <c r="P181" s="265">
        <v>22</v>
      </c>
      <c r="S181" s="261" t="s">
        <v>2073</v>
      </c>
      <c r="T181" s="262" t="s">
        <v>2488</v>
      </c>
      <c r="U181" s="385">
        <v>28</v>
      </c>
      <c r="V181" s="218">
        <f t="shared" si="11"/>
        <v>8.8699999999999992</v>
      </c>
      <c r="W181" s="37">
        <f t="shared" si="14"/>
        <v>40.54</v>
      </c>
      <c r="X181" s="37">
        <v>28</v>
      </c>
      <c r="Y181" s="37">
        <f t="shared" si="12"/>
        <v>12.54</v>
      </c>
    </row>
    <row r="182" spans="1:25">
      <c r="A182" s="277">
        <v>119</v>
      </c>
      <c r="B182" s="279" t="s">
        <v>2489</v>
      </c>
      <c r="C182" s="277" t="s">
        <v>95</v>
      </c>
      <c r="D182" s="394">
        <v>91</v>
      </c>
      <c r="E182" s="395">
        <v>91</v>
      </c>
      <c r="F182" s="394">
        <v>93</v>
      </c>
      <c r="G182" s="394">
        <v>80</v>
      </c>
      <c r="H182" s="397">
        <v>80</v>
      </c>
      <c r="I182" s="394">
        <v>80</v>
      </c>
      <c r="J182" s="394">
        <v>90</v>
      </c>
      <c r="K182" s="394">
        <v>101.83</v>
      </c>
      <c r="L182" s="265">
        <v>90</v>
      </c>
      <c r="N182" s="265">
        <v>80</v>
      </c>
      <c r="O182" s="268">
        <v>80</v>
      </c>
      <c r="P182" s="265">
        <v>80</v>
      </c>
      <c r="S182" s="261" t="s">
        <v>2073</v>
      </c>
      <c r="T182" s="262" t="s">
        <v>2488</v>
      </c>
      <c r="U182" s="385">
        <f>U181</f>
        <v>28</v>
      </c>
      <c r="V182" s="218">
        <f t="shared" si="11"/>
        <v>28.51</v>
      </c>
      <c r="W182" s="37">
        <f t="shared" si="14"/>
        <v>130.34</v>
      </c>
      <c r="X182" s="37">
        <v>99</v>
      </c>
      <c r="Y182" s="37">
        <f t="shared" si="12"/>
        <v>31.340000000000003</v>
      </c>
    </row>
    <row r="183" spans="1:25">
      <c r="A183" s="277">
        <v>120</v>
      </c>
      <c r="B183" s="279" t="s">
        <v>2490</v>
      </c>
      <c r="C183" s="277" t="s">
        <v>95</v>
      </c>
      <c r="D183" s="394">
        <v>39</v>
      </c>
      <c r="E183" s="395">
        <v>40</v>
      </c>
      <c r="F183" s="394">
        <v>42</v>
      </c>
      <c r="G183" s="394">
        <v>45</v>
      </c>
      <c r="H183" s="397">
        <v>45</v>
      </c>
      <c r="I183" s="394">
        <v>45</v>
      </c>
      <c r="J183" s="394">
        <v>55</v>
      </c>
      <c r="K183" s="394">
        <v>79.56</v>
      </c>
      <c r="L183" s="265">
        <v>55</v>
      </c>
      <c r="N183" s="265">
        <v>45</v>
      </c>
      <c r="O183" s="268">
        <v>45</v>
      </c>
      <c r="P183" s="265">
        <v>45</v>
      </c>
      <c r="S183" s="261" t="s">
        <v>2073</v>
      </c>
      <c r="T183" s="262"/>
      <c r="U183" s="385">
        <v>18</v>
      </c>
      <c r="V183" s="218">
        <f t="shared" si="11"/>
        <v>14.32</v>
      </c>
      <c r="W183" s="37">
        <f t="shared" si="14"/>
        <v>93.88</v>
      </c>
      <c r="X183" s="37">
        <v>60</v>
      </c>
      <c r="Y183" s="37">
        <f t="shared" si="12"/>
        <v>33.879999999999995</v>
      </c>
    </row>
    <row r="184" spans="1:25" ht="56.25">
      <c r="A184" s="248">
        <v>121</v>
      </c>
      <c r="B184" s="281" t="s">
        <v>2491</v>
      </c>
      <c r="C184" s="248" t="s">
        <v>125</v>
      </c>
      <c r="D184" s="394">
        <v>3154</v>
      </c>
      <c r="E184" s="395">
        <v>3223</v>
      </c>
      <c r="F184" s="394">
        <v>3386</v>
      </c>
      <c r="G184" s="394">
        <v>4200</v>
      </c>
      <c r="H184" s="397">
        <v>4200</v>
      </c>
      <c r="I184" s="394">
        <v>4200</v>
      </c>
      <c r="J184" s="249" t="s">
        <v>2492</v>
      </c>
      <c r="K184" s="249" t="s">
        <v>2492</v>
      </c>
      <c r="L184" s="249" t="s">
        <v>2492</v>
      </c>
      <c r="N184" s="265">
        <v>4200</v>
      </c>
      <c r="O184" s="268">
        <v>4200</v>
      </c>
      <c r="P184" s="265">
        <v>4200</v>
      </c>
      <c r="S184" s="261" t="s">
        <v>2073</v>
      </c>
      <c r="T184" s="262"/>
      <c r="U184" s="385">
        <v>28</v>
      </c>
      <c r="V184" s="218" t="e">
        <f t="shared" si="11"/>
        <v>#VALUE!</v>
      </c>
      <c r="W184" s="37" t="e">
        <f t="shared" si="14"/>
        <v>#VALUE!</v>
      </c>
      <c r="X184" s="37" t="s">
        <v>2492</v>
      </c>
      <c r="Y184" s="37" t="e">
        <f t="shared" si="12"/>
        <v>#VALUE!</v>
      </c>
    </row>
    <row r="185" spans="1:25" ht="56.25">
      <c r="A185" s="248">
        <v>122</v>
      </c>
      <c r="B185" s="281" t="s">
        <v>2493</v>
      </c>
      <c r="C185" s="248" t="s">
        <v>125</v>
      </c>
      <c r="D185" s="394">
        <v>3164</v>
      </c>
      <c r="E185" s="395">
        <v>3262</v>
      </c>
      <c r="F185" s="394">
        <v>3367</v>
      </c>
      <c r="G185" s="394">
        <v>4200</v>
      </c>
      <c r="H185" s="397">
        <v>4200</v>
      </c>
      <c r="I185" s="394">
        <v>4200</v>
      </c>
      <c r="J185" s="249" t="s">
        <v>2492</v>
      </c>
      <c r="K185" s="249" t="s">
        <v>2492</v>
      </c>
      <c r="L185" s="249" t="s">
        <v>2492</v>
      </c>
      <c r="N185" s="265">
        <v>4200</v>
      </c>
      <c r="O185" s="268">
        <v>4200</v>
      </c>
      <c r="P185" s="265">
        <v>4200</v>
      </c>
      <c r="S185" s="261" t="s">
        <v>2073</v>
      </c>
      <c r="T185" s="262" t="s">
        <v>2494</v>
      </c>
      <c r="U185" s="385">
        <f>U184</f>
        <v>28</v>
      </c>
      <c r="V185" s="218" t="e">
        <f t="shared" si="11"/>
        <v>#VALUE!</v>
      </c>
      <c r="W185" s="37" t="e">
        <f t="shared" si="14"/>
        <v>#VALUE!</v>
      </c>
      <c r="X185" s="37" t="s">
        <v>2492</v>
      </c>
      <c r="Y185" s="37" t="e">
        <f t="shared" si="12"/>
        <v>#VALUE!</v>
      </c>
    </row>
    <row r="186" spans="1:25">
      <c r="A186" s="277">
        <v>123</v>
      </c>
      <c r="B186" s="279" t="s">
        <v>2495</v>
      </c>
      <c r="C186" s="277" t="s">
        <v>95</v>
      </c>
      <c r="D186" s="394">
        <v>52</v>
      </c>
      <c r="E186" s="395">
        <v>54</v>
      </c>
      <c r="F186" s="394">
        <v>55</v>
      </c>
      <c r="G186" s="394">
        <v>60</v>
      </c>
      <c r="H186" s="397">
        <v>60</v>
      </c>
      <c r="I186" s="394">
        <v>60</v>
      </c>
      <c r="J186" s="394">
        <v>70</v>
      </c>
      <c r="K186" s="394">
        <v>91.46</v>
      </c>
      <c r="L186" s="265">
        <v>70</v>
      </c>
      <c r="N186" s="265">
        <v>60</v>
      </c>
      <c r="O186" s="268">
        <v>60</v>
      </c>
      <c r="P186" s="265">
        <v>60</v>
      </c>
      <c r="S186" s="261" t="s">
        <v>2073</v>
      </c>
      <c r="T186" s="262"/>
      <c r="U186" s="385">
        <v>18</v>
      </c>
      <c r="V186" s="218">
        <f t="shared" si="11"/>
        <v>16.46</v>
      </c>
      <c r="W186" s="37">
        <f t="shared" si="14"/>
        <v>107.91999999999999</v>
      </c>
      <c r="X186" s="37">
        <v>77</v>
      </c>
      <c r="Y186" s="37">
        <f t="shared" si="12"/>
        <v>30.919999999999987</v>
      </c>
    </row>
    <row r="187" spans="1:25" ht="37.5">
      <c r="A187" s="263">
        <v>124</v>
      </c>
      <c r="B187" s="264" t="s">
        <v>2496</v>
      </c>
      <c r="C187" s="277" t="s">
        <v>95</v>
      </c>
      <c r="D187" s="394">
        <v>50</v>
      </c>
      <c r="E187" s="395">
        <v>54</v>
      </c>
      <c r="F187" s="394">
        <v>56</v>
      </c>
      <c r="G187" s="394">
        <v>58</v>
      </c>
      <c r="H187" s="397">
        <v>58</v>
      </c>
      <c r="I187" s="394">
        <v>58</v>
      </c>
      <c r="J187" s="394">
        <v>68</v>
      </c>
      <c r="K187" s="394">
        <v>89.58</v>
      </c>
      <c r="L187" s="265">
        <v>68</v>
      </c>
      <c r="N187" s="265">
        <v>58</v>
      </c>
      <c r="O187" s="268">
        <v>58</v>
      </c>
      <c r="P187" s="265">
        <v>58</v>
      </c>
      <c r="S187" s="261" t="s">
        <v>2073</v>
      </c>
      <c r="T187" s="262"/>
      <c r="U187" s="385">
        <f>U186</f>
        <v>18</v>
      </c>
      <c r="V187" s="218">
        <f t="shared" si="11"/>
        <v>16.12</v>
      </c>
      <c r="W187" s="37">
        <f t="shared" si="14"/>
        <v>105.7</v>
      </c>
      <c r="X187" s="37">
        <v>74</v>
      </c>
      <c r="Y187" s="37">
        <f t="shared" si="12"/>
        <v>31.700000000000003</v>
      </c>
    </row>
    <row r="188" spans="1:25">
      <c r="A188" s="277">
        <v>125</v>
      </c>
      <c r="B188" s="279" t="s">
        <v>94</v>
      </c>
      <c r="C188" s="277" t="s">
        <v>95</v>
      </c>
      <c r="D188" s="394">
        <v>41</v>
      </c>
      <c r="E188" s="395">
        <v>44</v>
      </c>
      <c r="F188" s="394">
        <v>43</v>
      </c>
      <c r="G188" s="394">
        <v>60</v>
      </c>
      <c r="H188" s="397">
        <v>60</v>
      </c>
      <c r="I188" s="394">
        <v>60</v>
      </c>
      <c r="J188" s="394">
        <v>72</v>
      </c>
      <c r="K188" s="394">
        <v>90.1</v>
      </c>
      <c r="L188" s="265">
        <v>72</v>
      </c>
      <c r="N188" s="265">
        <v>60</v>
      </c>
      <c r="O188" s="268">
        <v>60</v>
      </c>
      <c r="P188" s="265">
        <v>60</v>
      </c>
      <c r="S188" s="261" t="s">
        <v>2073</v>
      </c>
      <c r="T188" s="262" t="s">
        <v>2497</v>
      </c>
      <c r="U188" s="385">
        <f>U187</f>
        <v>18</v>
      </c>
      <c r="V188" s="1308">
        <f t="shared" si="11"/>
        <v>16.22</v>
      </c>
      <c r="W188" s="37">
        <f t="shared" si="14"/>
        <v>106.32</v>
      </c>
      <c r="X188" s="37">
        <v>79</v>
      </c>
      <c r="Y188" s="37">
        <f t="shared" si="12"/>
        <v>27.319999999999993</v>
      </c>
    </row>
    <row r="189" spans="1:25">
      <c r="A189" s="277">
        <v>126</v>
      </c>
      <c r="B189" s="279" t="s">
        <v>2498</v>
      </c>
      <c r="C189" s="277" t="s">
        <v>95</v>
      </c>
      <c r="D189" s="394">
        <v>44</v>
      </c>
      <c r="E189" s="395">
        <v>46</v>
      </c>
      <c r="F189" s="394">
        <v>45</v>
      </c>
      <c r="G189" s="394">
        <v>35</v>
      </c>
      <c r="H189" s="397">
        <v>35</v>
      </c>
      <c r="I189" s="394">
        <v>35</v>
      </c>
      <c r="J189" s="394">
        <v>42</v>
      </c>
      <c r="K189" s="394">
        <v>61.9</v>
      </c>
      <c r="L189" s="265">
        <v>42</v>
      </c>
      <c r="N189" s="265">
        <v>35</v>
      </c>
      <c r="O189" s="268">
        <v>35</v>
      </c>
      <c r="P189" s="265">
        <v>35</v>
      </c>
      <c r="S189" s="261" t="s">
        <v>2073</v>
      </c>
      <c r="T189" s="262"/>
      <c r="U189" s="385">
        <v>5</v>
      </c>
      <c r="V189" s="218">
        <f t="shared" si="11"/>
        <v>3.1</v>
      </c>
      <c r="W189" s="37">
        <f t="shared" si="14"/>
        <v>65</v>
      </c>
      <c r="X189" s="37">
        <v>46</v>
      </c>
      <c r="Y189" s="37">
        <f t="shared" si="12"/>
        <v>19</v>
      </c>
    </row>
    <row r="190" spans="1:25" ht="37.5">
      <c r="A190" s="276" t="s">
        <v>2499</v>
      </c>
      <c r="B190" s="264" t="s">
        <v>2500</v>
      </c>
      <c r="C190" s="277" t="s">
        <v>680</v>
      </c>
      <c r="D190" s="394">
        <v>150</v>
      </c>
      <c r="E190" s="395">
        <v>150</v>
      </c>
      <c r="F190" s="394">
        <v>150</v>
      </c>
      <c r="G190" s="394">
        <v>300</v>
      </c>
      <c r="H190" s="397">
        <v>300</v>
      </c>
      <c r="I190" s="394">
        <v>300</v>
      </c>
      <c r="J190" s="394">
        <v>350</v>
      </c>
      <c r="K190" s="394">
        <v>400</v>
      </c>
      <c r="L190" s="265">
        <v>350</v>
      </c>
      <c r="N190" s="265">
        <v>300</v>
      </c>
      <c r="O190" s="268">
        <v>300</v>
      </c>
      <c r="P190" s="265">
        <v>300</v>
      </c>
      <c r="S190" s="261" t="s">
        <v>2073</v>
      </c>
      <c r="T190" s="262" t="s">
        <v>2501</v>
      </c>
      <c r="U190" s="385">
        <v>18</v>
      </c>
      <c r="V190" s="218">
        <f t="shared" si="11"/>
        <v>72</v>
      </c>
      <c r="W190" s="37">
        <f t="shared" si="14"/>
        <v>472</v>
      </c>
      <c r="X190" s="37">
        <v>293</v>
      </c>
      <c r="Y190" s="37">
        <f t="shared" si="12"/>
        <v>179</v>
      </c>
    </row>
    <row r="191" spans="1:25" ht="37.5">
      <c r="A191" s="276" t="s">
        <v>628</v>
      </c>
      <c r="B191" s="264" t="s">
        <v>2502</v>
      </c>
      <c r="C191" s="277" t="s">
        <v>2503</v>
      </c>
      <c r="D191" s="394">
        <v>300</v>
      </c>
      <c r="E191" s="395">
        <v>300</v>
      </c>
      <c r="F191" s="394">
        <v>300</v>
      </c>
      <c r="G191" s="394">
        <v>300</v>
      </c>
      <c r="H191" s="397">
        <v>300</v>
      </c>
      <c r="I191" s="394">
        <v>300</v>
      </c>
      <c r="J191" s="394">
        <v>350</v>
      </c>
      <c r="K191" s="394">
        <v>394.5</v>
      </c>
      <c r="L191" s="265">
        <v>350</v>
      </c>
      <c r="N191" s="265">
        <v>300</v>
      </c>
      <c r="O191" s="268">
        <v>300</v>
      </c>
      <c r="P191" s="265">
        <v>300</v>
      </c>
      <c r="S191" s="261" t="s">
        <v>2073</v>
      </c>
      <c r="T191" s="262"/>
      <c r="U191" s="385">
        <f>U190</f>
        <v>18</v>
      </c>
      <c r="V191" s="218">
        <f t="shared" si="11"/>
        <v>71.010000000000005</v>
      </c>
      <c r="W191" s="37">
        <f t="shared" si="14"/>
        <v>465.51</v>
      </c>
      <c r="X191" s="37">
        <v>293</v>
      </c>
      <c r="Y191" s="37">
        <f t="shared" si="12"/>
        <v>172.51</v>
      </c>
    </row>
    <row r="192" spans="1:25">
      <c r="A192" s="271" t="s">
        <v>629</v>
      </c>
      <c r="B192" s="272" t="s">
        <v>2504</v>
      </c>
      <c r="C192" s="277" t="s">
        <v>38</v>
      </c>
      <c r="D192" s="394">
        <v>100</v>
      </c>
      <c r="E192" s="395">
        <v>100</v>
      </c>
      <c r="F192" s="394">
        <v>100</v>
      </c>
      <c r="G192" s="394">
        <v>100</v>
      </c>
      <c r="H192" s="397">
        <v>100</v>
      </c>
      <c r="I192" s="394">
        <v>100</v>
      </c>
      <c r="J192" s="394">
        <v>120</v>
      </c>
      <c r="K192" s="394">
        <v>142.59</v>
      </c>
      <c r="L192" s="265">
        <v>120</v>
      </c>
      <c r="N192" s="265">
        <v>100</v>
      </c>
      <c r="O192" s="268">
        <v>100</v>
      </c>
      <c r="P192" s="265">
        <v>100</v>
      </c>
      <c r="S192" s="261" t="s">
        <v>2073</v>
      </c>
      <c r="T192" s="262"/>
      <c r="U192" s="385">
        <f>U191</f>
        <v>18</v>
      </c>
      <c r="V192" s="218">
        <f t="shared" si="11"/>
        <v>25.67</v>
      </c>
      <c r="W192" s="37">
        <f t="shared" si="14"/>
        <v>168.26</v>
      </c>
      <c r="X192" s="37">
        <v>126</v>
      </c>
      <c r="Y192" s="37">
        <f t="shared" si="12"/>
        <v>42.259999999999991</v>
      </c>
    </row>
    <row r="193" spans="1:25">
      <c r="A193" s="271" t="s">
        <v>1847</v>
      </c>
      <c r="B193" s="272" t="s">
        <v>2505</v>
      </c>
      <c r="C193" s="277" t="s">
        <v>38</v>
      </c>
      <c r="D193" s="394">
        <v>200</v>
      </c>
      <c r="E193" s="395">
        <v>200</v>
      </c>
      <c r="F193" s="394">
        <v>200</v>
      </c>
      <c r="G193" s="394">
        <v>200</v>
      </c>
      <c r="H193" s="397">
        <v>200</v>
      </c>
      <c r="I193" s="394">
        <v>200</v>
      </c>
      <c r="J193" s="394">
        <v>230</v>
      </c>
      <c r="K193" s="394">
        <v>255.33</v>
      </c>
      <c r="L193" s="265">
        <v>230</v>
      </c>
      <c r="N193" s="265">
        <v>200</v>
      </c>
      <c r="O193" s="268">
        <v>200</v>
      </c>
      <c r="P193" s="265">
        <v>200</v>
      </c>
      <c r="S193" s="261" t="s">
        <v>2073</v>
      </c>
      <c r="T193" s="262"/>
      <c r="U193" s="385">
        <f>U192</f>
        <v>18</v>
      </c>
      <c r="V193" s="218">
        <f t="shared" si="11"/>
        <v>45.96</v>
      </c>
      <c r="W193" s="37">
        <f t="shared" si="14"/>
        <v>301.29000000000002</v>
      </c>
      <c r="X193" s="37">
        <v>242</v>
      </c>
      <c r="Y193" s="37">
        <f t="shared" si="12"/>
        <v>59.29000000000002</v>
      </c>
    </row>
    <row r="194" spans="1:25">
      <c r="A194" s="277">
        <v>128</v>
      </c>
      <c r="B194" s="279" t="s">
        <v>2506</v>
      </c>
      <c r="C194" s="277" t="s">
        <v>680</v>
      </c>
      <c r="D194" s="394">
        <v>222</v>
      </c>
      <c r="E194" s="395">
        <v>216</v>
      </c>
      <c r="F194" s="394">
        <v>235</v>
      </c>
      <c r="G194" s="394">
        <v>222</v>
      </c>
      <c r="H194" s="397">
        <v>222</v>
      </c>
      <c r="I194" s="394">
        <v>222</v>
      </c>
      <c r="J194" s="394">
        <v>250</v>
      </c>
      <c r="K194" s="394">
        <v>275.83999999999997</v>
      </c>
      <c r="L194" s="265">
        <v>250</v>
      </c>
      <c r="N194" s="265">
        <v>222</v>
      </c>
      <c r="O194" s="268">
        <v>222</v>
      </c>
      <c r="P194" s="265">
        <v>222</v>
      </c>
      <c r="S194" s="261" t="s">
        <v>2073</v>
      </c>
      <c r="T194" s="262"/>
      <c r="U194" s="385">
        <v>12</v>
      </c>
      <c r="V194" s="218">
        <f t="shared" si="11"/>
        <v>33.1</v>
      </c>
      <c r="W194" s="37">
        <f t="shared" si="14"/>
        <v>308.94</v>
      </c>
      <c r="X194" s="37">
        <v>275</v>
      </c>
      <c r="Y194" s="37">
        <f t="shared" si="12"/>
        <v>33.94</v>
      </c>
    </row>
    <row r="195" spans="1:25">
      <c r="A195" s="277">
        <v>129</v>
      </c>
      <c r="B195" s="279" t="s">
        <v>2507</v>
      </c>
      <c r="C195" s="277" t="s">
        <v>125</v>
      </c>
      <c r="D195" s="394">
        <v>469</v>
      </c>
      <c r="E195" s="395">
        <v>473</v>
      </c>
      <c r="F195" s="394">
        <v>505</v>
      </c>
      <c r="G195" s="394">
        <v>469</v>
      </c>
      <c r="H195" s="397">
        <v>469</v>
      </c>
      <c r="I195" s="394">
        <v>469</v>
      </c>
      <c r="J195" s="394">
        <v>550</v>
      </c>
      <c r="K195" s="394">
        <v>673.93</v>
      </c>
      <c r="L195" s="265">
        <v>550</v>
      </c>
      <c r="N195" s="265">
        <v>469</v>
      </c>
      <c r="O195" s="268">
        <v>469</v>
      </c>
      <c r="P195" s="265">
        <v>469</v>
      </c>
      <c r="S195" s="261" t="s">
        <v>2073</v>
      </c>
      <c r="T195" s="262"/>
      <c r="U195" s="385">
        <v>28</v>
      </c>
      <c r="V195" s="218">
        <f t="shared" si="11"/>
        <v>188.7</v>
      </c>
      <c r="W195" s="37">
        <f t="shared" si="14"/>
        <v>862.62999999999988</v>
      </c>
      <c r="X195" s="37">
        <v>583</v>
      </c>
      <c r="Y195" s="37">
        <f t="shared" si="12"/>
        <v>279.62999999999988</v>
      </c>
    </row>
    <row r="196" spans="1:25">
      <c r="A196" s="277">
        <v>130</v>
      </c>
      <c r="B196" s="279" t="s">
        <v>2508</v>
      </c>
      <c r="C196" s="277" t="s">
        <v>125</v>
      </c>
      <c r="D196" s="394">
        <v>323</v>
      </c>
      <c r="E196" s="395">
        <v>328</v>
      </c>
      <c r="F196" s="394">
        <v>350</v>
      </c>
      <c r="G196" s="394">
        <v>281</v>
      </c>
      <c r="H196" s="397">
        <v>281</v>
      </c>
      <c r="I196" s="394">
        <v>281</v>
      </c>
      <c r="J196" s="394">
        <v>320</v>
      </c>
      <c r="K196" s="394">
        <v>390</v>
      </c>
      <c r="L196" s="265">
        <v>320</v>
      </c>
      <c r="N196" s="265">
        <v>281</v>
      </c>
      <c r="O196" s="268">
        <v>281</v>
      </c>
      <c r="P196" s="265">
        <v>281</v>
      </c>
      <c r="S196" s="261" t="s">
        <v>2073</v>
      </c>
      <c r="T196" s="262"/>
      <c r="U196" s="385">
        <v>5</v>
      </c>
      <c r="V196" s="218">
        <f t="shared" ref="V196:V259" si="17">ROUND(K196*U196/100,2)</f>
        <v>19.5</v>
      </c>
      <c r="W196" s="37">
        <f t="shared" si="14"/>
        <v>409.5</v>
      </c>
      <c r="X196" s="37">
        <v>351</v>
      </c>
      <c r="Y196" s="37">
        <f t="shared" ref="Y196:Y259" si="18">W196-X196</f>
        <v>58.5</v>
      </c>
    </row>
    <row r="197" spans="1:25">
      <c r="A197" s="277">
        <v>131</v>
      </c>
      <c r="B197" s="279" t="s">
        <v>8</v>
      </c>
      <c r="D197" s="400"/>
      <c r="G197" s="400"/>
      <c r="J197" s="400"/>
      <c r="K197" s="400"/>
      <c r="L197" s="282"/>
      <c r="N197" s="282" t="s">
        <v>2509</v>
      </c>
      <c r="S197" s="261" t="s">
        <v>2073</v>
      </c>
      <c r="T197" s="262"/>
      <c r="U197" s="385"/>
      <c r="V197" s="218">
        <f t="shared" si="17"/>
        <v>0</v>
      </c>
      <c r="W197" s="37">
        <f t="shared" si="14"/>
        <v>0</v>
      </c>
      <c r="Y197" s="37">
        <f t="shared" si="18"/>
        <v>0</v>
      </c>
    </row>
    <row r="198" spans="1:25" ht="18" customHeight="1">
      <c r="A198" s="271" t="s">
        <v>627</v>
      </c>
      <c r="B198" s="272" t="s">
        <v>2510</v>
      </c>
      <c r="C198" s="2690" t="s">
        <v>125</v>
      </c>
      <c r="D198" s="400"/>
      <c r="G198" s="400"/>
      <c r="J198" s="2693" t="s">
        <v>2511</v>
      </c>
      <c r="K198" s="2693" t="s">
        <v>2511</v>
      </c>
      <c r="L198" s="2696" t="s">
        <v>2511</v>
      </c>
      <c r="N198" s="282"/>
      <c r="S198" s="261" t="s">
        <v>2073</v>
      </c>
      <c r="T198" s="262" t="s">
        <v>2512</v>
      </c>
      <c r="U198" s="385">
        <v>28</v>
      </c>
      <c r="V198" s="218" t="e">
        <f t="shared" si="17"/>
        <v>#VALUE!</v>
      </c>
      <c r="W198" s="37" t="e">
        <f t="shared" si="14"/>
        <v>#VALUE!</v>
      </c>
      <c r="X198" s="2699" t="s">
        <v>2511</v>
      </c>
      <c r="Y198" s="37" t="e">
        <f t="shared" si="18"/>
        <v>#VALUE!</v>
      </c>
    </row>
    <row r="199" spans="1:25">
      <c r="A199" s="271" t="s">
        <v>628</v>
      </c>
      <c r="B199" s="272" t="s">
        <v>2513</v>
      </c>
      <c r="C199" s="2691"/>
      <c r="D199" s="400"/>
      <c r="G199" s="400"/>
      <c r="J199" s="2694"/>
      <c r="K199" s="2694"/>
      <c r="L199" s="2697"/>
      <c r="N199" s="282"/>
      <c r="S199" s="261" t="s">
        <v>2073</v>
      </c>
      <c r="T199" s="262" t="s">
        <v>2512</v>
      </c>
      <c r="U199" s="385">
        <f>U198</f>
        <v>28</v>
      </c>
      <c r="V199" s="218">
        <f t="shared" si="17"/>
        <v>0</v>
      </c>
      <c r="W199" s="37">
        <f t="shared" ref="W199:W262" si="19">K199+V199</f>
        <v>0</v>
      </c>
      <c r="X199" s="2699"/>
      <c r="Y199" s="37">
        <f t="shared" si="18"/>
        <v>0</v>
      </c>
    </row>
    <row r="200" spans="1:25">
      <c r="A200" s="271" t="s">
        <v>629</v>
      </c>
      <c r="B200" s="272" t="s">
        <v>2514</v>
      </c>
      <c r="C200" s="2692"/>
      <c r="D200" s="400"/>
      <c r="G200" s="400"/>
      <c r="J200" s="2695"/>
      <c r="K200" s="2695"/>
      <c r="L200" s="2698"/>
      <c r="N200" s="282"/>
      <c r="S200" s="261" t="s">
        <v>2073</v>
      </c>
      <c r="T200" s="262" t="s">
        <v>2512</v>
      </c>
      <c r="U200" s="385">
        <f>U199</f>
        <v>28</v>
      </c>
      <c r="V200" s="218">
        <f t="shared" si="17"/>
        <v>0</v>
      </c>
      <c r="W200" s="37">
        <f t="shared" si="19"/>
        <v>0</v>
      </c>
      <c r="X200" s="2699"/>
      <c r="Y200" s="37">
        <f t="shared" si="18"/>
        <v>0</v>
      </c>
    </row>
    <row r="201" spans="1:25">
      <c r="A201" s="277">
        <v>132</v>
      </c>
      <c r="B201" s="279" t="s">
        <v>124</v>
      </c>
      <c r="C201" s="277" t="s">
        <v>125</v>
      </c>
      <c r="D201" s="394">
        <v>1576</v>
      </c>
      <c r="E201" s="395">
        <v>1582</v>
      </c>
      <c r="F201" s="394">
        <v>1599</v>
      </c>
      <c r="G201" s="394">
        <v>1567</v>
      </c>
      <c r="H201" s="397">
        <v>1567</v>
      </c>
      <c r="I201" s="394">
        <v>1567</v>
      </c>
      <c r="J201" s="394">
        <v>1750</v>
      </c>
      <c r="K201" s="394">
        <v>2017.18</v>
      </c>
      <c r="L201" s="265">
        <v>1750</v>
      </c>
      <c r="N201" s="265">
        <v>1567</v>
      </c>
      <c r="O201" s="268">
        <v>1567</v>
      </c>
      <c r="P201" s="265">
        <v>1567</v>
      </c>
      <c r="S201" s="261" t="s">
        <v>2073</v>
      </c>
      <c r="T201" s="262" t="s">
        <v>2515</v>
      </c>
      <c r="U201" s="385">
        <f>U200</f>
        <v>28</v>
      </c>
      <c r="V201" s="218">
        <f t="shared" si="17"/>
        <v>564.80999999999995</v>
      </c>
      <c r="W201" s="37">
        <f t="shared" si="19"/>
        <v>2581.9899999999998</v>
      </c>
      <c r="X201" s="37">
        <v>1925</v>
      </c>
      <c r="Y201" s="37">
        <f t="shared" si="18"/>
        <v>656.98999999999978</v>
      </c>
    </row>
    <row r="202" spans="1:25">
      <c r="A202" s="277">
        <v>133</v>
      </c>
      <c r="B202" s="279" t="s">
        <v>12</v>
      </c>
      <c r="S202" s="261" t="s">
        <v>2073</v>
      </c>
      <c r="T202" s="262"/>
      <c r="U202" s="385"/>
      <c r="V202" s="218">
        <f t="shared" si="17"/>
        <v>0</v>
      </c>
      <c r="W202" s="37">
        <f t="shared" si="19"/>
        <v>0</v>
      </c>
      <c r="Y202" s="37">
        <f t="shared" si="18"/>
        <v>0</v>
      </c>
    </row>
    <row r="203" spans="1:25" ht="18" customHeight="1">
      <c r="A203" s="271" t="s">
        <v>627</v>
      </c>
      <c r="B203" s="272" t="s">
        <v>2516</v>
      </c>
      <c r="C203" s="2690" t="s">
        <v>125</v>
      </c>
      <c r="D203" s="400" t="s">
        <v>2509</v>
      </c>
      <c r="E203" s="401"/>
      <c r="F203" s="400"/>
      <c r="G203" s="400" t="s">
        <v>2509</v>
      </c>
      <c r="H203" s="402"/>
      <c r="I203" s="400"/>
      <c r="J203" s="2700" t="s">
        <v>2492</v>
      </c>
      <c r="K203" s="2700" t="s">
        <v>2492</v>
      </c>
      <c r="L203" s="2700" t="s">
        <v>2492</v>
      </c>
      <c r="N203" s="282" t="s">
        <v>2509</v>
      </c>
      <c r="O203" s="283"/>
      <c r="P203" s="282"/>
      <c r="S203" s="261" t="s">
        <v>2073</v>
      </c>
      <c r="T203" s="262" t="s">
        <v>2517</v>
      </c>
      <c r="U203" s="385">
        <v>18</v>
      </c>
      <c r="V203" s="218" t="e">
        <f t="shared" si="17"/>
        <v>#VALUE!</v>
      </c>
      <c r="W203" s="37" t="e">
        <f t="shared" si="19"/>
        <v>#VALUE!</v>
      </c>
      <c r="X203" s="2699" t="s">
        <v>2492</v>
      </c>
      <c r="Y203" s="37" t="e">
        <f t="shared" si="18"/>
        <v>#VALUE!</v>
      </c>
    </row>
    <row r="204" spans="1:25">
      <c r="A204" s="271" t="s">
        <v>628</v>
      </c>
      <c r="B204" s="272" t="s">
        <v>2518</v>
      </c>
      <c r="C204" s="2692"/>
      <c r="D204" s="400" t="s">
        <v>2509</v>
      </c>
      <c r="E204" s="401"/>
      <c r="F204" s="400"/>
      <c r="G204" s="400" t="s">
        <v>2509</v>
      </c>
      <c r="H204" s="402"/>
      <c r="I204" s="400"/>
      <c r="J204" s="2701"/>
      <c r="K204" s="2701"/>
      <c r="L204" s="2701"/>
      <c r="N204" s="282" t="s">
        <v>2509</v>
      </c>
      <c r="O204" s="283"/>
      <c r="P204" s="282"/>
      <c r="S204" s="261" t="s">
        <v>2073</v>
      </c>
      <c r="T204" s="262" t="s">
        <v>2519</v>
      </c>
      <c r="U204" s="385">
        <f>U203</f>
        <v>18</v>
      </c>
      <c r="V204" s="218">
        <f t="shared" si="17"/>
        <v>0</v>
      </c>
      <c r="W204" s="37">
        <f t="shared" si="19"/>
        <v>0</v>
      </c>
      <c r="X204" s="2699"/>
      <c r="Y204" s="37">
        <f t="shared" si="18"/>
        <v>0</v>
      </c>
    </row>
    <row r="205" spans="1:25">
      <c r="A205" s="277">
        <v>134</v>
      </c>
      <c r="B205" s="284" t="s">
        <v>2520</v>
      </c>
      <c r="C205" s="277" t="s">
        <v>125</v>
      </c>
      <c r="D205" s="394">
        <v>3532</v>
      </c>
      <c r="E205" s="395">
        <v>3500</v>
      </c>
      <c r="F205" s="394">
        <v>3533</v>
      </c>
      <c r="G205" s="394">
        <v>4500</v>
      </c>
      <c r="H205" s="397">
        <v>4500</v>
      </c>
      <c r="I205" s="394">
        <v>4500</v>
      </c>
      <c r="J205" s="394">
        <v>5020</v>
      </c>
      <c r="K205" s="394">
        <v>6118.65</v>
      </c>
      <c r="L205" s="265">
        <v>5020</v>
      </c>
      <c r="N205" s="265">
        <v>4500</v>
      </c>
      <c r="O205" s="268">
        <v>4500</v>
      </c>
      <c r="P205" s="265">
        <v>4500</v>
      </c>
      <c r="S205" s="261" t="s">
        <v>2073</v>
      </c>
      <c r="T205" s="262"/>
      <c r="U205" s="385">
        <f>U204</f>
        <v>18</v>
      </c>
      <c r="V205" s="218">
        <f t="shared" si="17"/>
        <v>1101.3599999999999</v>
      </c>
      <c r="W205" s="37">
        <f t="shared" si="19"/>
        <v>7220.0099999999993</v>
      </c>
      <c r="X205" s="37">
        <v>2761</v>
      </c>
      <c r="Y205" s="37">
        <f t="shared" si="18"/>
        <v>4459.0099999999993</v>
      </c>
    </row>
    <row r="206" spans="1:25">
      <c r="A206" s="277">
        <v>135</v>
      </c>
      <c r="B206" s="279" t="s">
        <v>2521</v>
      </c>
      <c r="C206" s="277" t="s">
        <v>125</v>
      </c>
      <c r="D206" s="394">
        <v>223</v>
      </c>
      <c r="E206" s="395">
        <v>222</v>
      </c>
      <c r="F206" s="394">
        <v>216</v>
      </c>
      <c r="G206" s="394">
        <v>223</v>
      </c>
      <c r="H206" s="397">
        <v>223</v>
      </c>
      <c r="I206" s="394">
        <v>223</v>
      </c>
      <c r="J206" s="394">
        <v>269</v>
      </c>
      <c r="K206" s="394">
        <v>337.87</v>
      </c>
      <c r="L206" s="265">
        <v>269</v>
      </c>
      <c r="N206" s="265">
        <v>223</v>
      </c>
      <c r="O206" s="268">
        <v>223</v>
      </c>
      <c r="P206" s="265">
        <v>223</v>
      </c>
      <c r="S206" s="261" t="s">
        <v>2073</v>
      </c>
      <c r="T206" s="262"/>
      <c r="U206" s="385">
        <f>U205</f>
        <v>18</v>
      </c>
      <c r="V206" s="218">
        <f t="shared" si="17"/>
        <v>60.82</v>
      </c>
      <c r="W206" s="37">
        <f t="shared" si="19"/>
        <v>398.69</v>
      </c>
      <c r="X206" s="37">
        <v>148</v>
      </c>
      <c r="Y206" s="37">
        <f t="shared" si="18"/>
        <v>250.69</v>
      </c>
    </row>
    <row r="207" spans="1:25">
      <c r="A207" s="2702" t="s">
        <v>2522</v>
      </c>
      <c r="B207" s="2703"/>
      <c r="S207" s="261"/>
      <c r="T207" s="262"/>
      <c r="U207" s="385"/>
      <c r="V207" s="218">
        <f t="shared" si="17"/>
        <v>0</v>
      </c>
      <c r="W207" s="37">
        <f t="shared" si="19"/>
        <v>0</v>
      </c>
      <c r="Y207" s="37">
        <f t="shared" si="18"/>
        <v>0</v>
      </c>
    </row>
    <row r="208" spans="1:25">
      <c r="A208" s="277">
        <v>136</v>
      </c>
      <c r="B208" s="279" t="s">
        <v>2523</v>
      </c>
      <c r="S208" s="261"/>
      <c r="T208" s="262"/>
      <c r="U208" s="385"/>
      <c r="V208" s="218">
        <f t="shared" si="17"/>
        <v>0</v>
      </c>
      <c r="W208" s="37">
        <f t="shared" si="19"/>
        <v>0</v>
      </c>
      <c r="Y208" s="37">
        <f t="shared" si="18"/>
        <v>0</v>
      </c>
    </row>
    <row r="209" spans="1:25">
      <c r="A209" s="271" t="s">
        <v>627</v>
      </c>
      <c r="B209" s="272" t="s">
        <v>2524</v>
      </c>
      <c r="C209" s="277" t="s">
        <v>38</v>
      </c>
      <c r="D209" s="394">
        <v>5</v>
      </c>
      <c r="E209" s="395">
        <v>5</v>
      </c>
      <c r="F209" s="394">
        <v>5</v>
      </c>
      <c r="G209" s="394">
        <v>5</v>
      </c>
      <c r="H209" s="397">
        <v>5</v>
      </c>
      <c r="I209" s="394">
        <v>5</v>
      </c>
      <c r="J209" s="394">
        <v>6</v>
      </c>
      <c r="K209" s="394">
        <v>12.1</v>
      </c>
      <c r="L209" s="265">
        <v>6</v>
      </c>
      <c r="N209" s="265">
        <v>5</v>
      </c>
      <c r="O209" s="268">
        <v>5</v>
      </c>
      <c r="P209" s="265">
        <v>5</v>
      </c>
      <c r="S209" s="261" t="s">
        <v>2073</v>
      </c>
      <c r="T209" s="262"/>
      <c r="U209" s="385">
        <f>U206</f>
        <v>18</v>
      </c>
      <c r="V209" s="218">
        <f t="shared" si="17"/>
        <v>2.1800000000000002</v>
      </c>
      <c r="W209" s="37">
        <f t="shared" si="19"/>
        <v>14.28</v>
      </c>
      <c r="X209" s="37">
        <v>6</v>
      </c>
      <c r="Y209" s="37">
        <f t="shared" si="18"/>
        <v>8.2799999999999994</v>
      </c>
    </row>
    <row r="210" spans="1:25">
      <c r="A210" s="271" t="s">
        <v>628</v>
      </c>
      <c r="B210" s="272" t="s">
        <v>2525</v>
      </c>
      <c r="C210" s="277" t="s">
        <v>38</v>
      </c>
      <c r="D210" s="394">
        <v>7</v>
      </c>
      <c r="E210" s="395">
        <v>7</v>
      </c>
      <c r="F210" s="394">
        <v>7</v>
      </c>
      <c r="G210" s="394">
        <v>7</v>
      </c>
      <c r="H210" s="397">
        <v>7</v>
      </c>
      <c r="I210" s="394">
        <v>7</v>
      </c>
      <c r="J210" s="394">
        <v>8</v>
      </c>
      <c r="K210" s="394">
        <v>15.27</v>
      </c>
      <c r="L210" s="265">
        <v>8</v>
      </c>
      <c r="N210" s="265">
        <v>7</v>
      </c>
      <c r="O210" s="268">
        <v>7</v>
      </c>
      <c r="P210" s="265">
        <v>7</v>
      </c>
      <c r="S210" s="261" t="s">
        <v>2073</v>
      </c>
      <c r="T210" s="262"/>
      <c r="U210" s="385">
        <f>U209</f>
        <v>18</v>
      </c>
      <c r="V210" s="218">
        <f t="shared" si="17"/>
        <v>2.75</v>
      </c>
      <c r="W210" s="37">
        <f t="shared" si="19"/>
        <v>18.02</v>
      </c>
      <c r="X210" s="37">
        <v>8</v>
      </c>
      <c r="Y210" s="37">
        <f t="shared" si="18"/>
        <v>10.02</v>
      </c>
    </row>
    <row r="211" spans="1:25">
      <c r="A211" s="271" t="s">
        <v>629</v>
      </c>
      <c r="B211" s="272" t="s">
        <v>2526</v>
      </c>
      <c r="C211" s="277" t="s">
        <v>38</v>
      </c>
      <c r="D211" s="394">
        <v>11</v>
      </c>
      <c r="E211" s="395">
        <v>11</v>
      </c>
      <c r="F211" s="394">
        <v>11</v>
      </c>
      <c r="G211" s="394">
        <v>11</v>
      </c>
      <c r="H211" s="397">
        <v>11</v>
      </c>
      <c r="I211" s="394">
        <v>11</v>
      </c>
      <c r="J211" s="394">
        <v>13</v>
      </c>
      <c r="K211" s="394">
        <v>18.399999999999999</v>
      </c>
      <c r="L211" s="265">
        <v>13</v>
      </c>
      <c r="N211" s="265">
        <v>11</v>
      </c>
      <c r="O211" s="268">
        <v>11</v>
      </c>
      <c r="P211" s="265">
        <v>11</v>
      </c>
      <c r="S211" s="261" t="s">
        <v>2073</v>
      </c>
      <c r="T211" s="262"/>
      <c r="U211" s="385">
        <f t="shared" ref="U211:U274" si="20">U210</f>
        <v>18</v>
      </c>
      <c r="V211" s="218">
        <f t="shared" si="17"/>
        <v>3.31</v>
      </c>
      <c r="W211" s="37">
        <f t="shared" si="19"/>
        <v>21.709999999999997</v>
      </c>
      <c r="X211" s="37">
        <v>14</v>
      </c>
      <c r="Y211" s="37">
        <f t="shared" si="18"/>
        <v>7.7099999999999973</v>
      </c>
    </row>
    <row r="212" spans="1:25">
      <c r="A212" s="271" t="s">
        <v>1847</v>
      </c>
      <c r="B212" s="272" t="s">
        <v>2527</v>
      </c>
      <c r="C212" s="277" t="s">
        <v>38</v>
      </c>
      <c r="D212" s="394">
        <v>17</v>
      </c>
      <c r="E212" s="395">
        <v>18</v>
      </c>
      <c r="F212" s="394">
        <v>17</v>
      </c>
      <c r="G212" s="394">
        <v>17</v>
      </c>
      <c r="H212" s="397">
        <v>17</v>
      </c>
      <c r="I212" s="394">
        <v>17</v>
      </c>
      <c r="J212" s="394">
        <v>20</v>
      </c>
      <c r="K212" s="394">
        <v>24.84</v>
      </c>
      <c r="L212" s="265">
        <v>20</v>
      </c>
      <c r="N212" s="265">
        <v>17</v>
      </c>
      <c r="O212" s="268">
        <v>17</v>
      </c>
      <c r="P212" s="265">
        <v>17</v>
      </c>
      <c r="S212" s="261" t="s">
        <v>2073</v>
      </c>
      <c r="T212" s="262"/>
      <c r="U212" s="385">
        <f t="shared" si="20"/>
        <v>18</v>
      </c>
      <c r="V212" s="218">
        <f t="shared" si="17"/>
        <v>4.47</v>
      </c>
      <c r="W212" s="37">
        <f t="shared" si="19"/>
        <v>29.31</v>
      </c>
      <c r="X212" s="37">
        <v>22</v>
      </c>
      <c r="Y212" s="37">
        <f t="shared" si="18"/>
        <v>7.3099999999999987</v>
      </c>
    </row>
    <row r="213" spans="1:25">
      <c r="A213" s="277">
        <v>137</v>
      </c>
      <c r="B213" s="279" t="s">
        <v>2528</v>
      </c>
      <c r="S213" s="261"/>
      <c r="T213" s="262"/>
      <c r="U213" s="385">
        <f t="shared" si="20"/>
        <v>18</v>
      </c>
      <c r="V213" s="218">
        <f t="shared" si="17"/>
        <v>0</v>
      </c>
      <c r="W213" s="37">
        <f t="shared" si="19"/>
        <v>0</v>
      </c>
      <c r="Y213" s="37">
        <f t="shared" si="18"/>
        <v>0</v>
      </c>
    </row>
    <row r="214" spans="1:25">
      <c r="A214" s="271" t="s">
        <v>627</v>
      </c>
      <c r="B214" s="272" t="s">
        <v>2529</v>
      </c>
      <c r="C214" s="277" t="s">
        <v>38</v>
      </c>
      <c r="D214" s="394">
        <v>70</v>
      </c>
      <c r="E214" s="395">
        <v>72</v>
      </c>
      <c r="F214" s="394">
        <v>71</v>
      </c>
      <c r="G214" s="394">
        <v>70</v>
      </c>
      <c r="H214" s="397">
        <v>70</v>
      </c>
      <c r="I214" s="394">
        <v>70</v>
      </c>
      <c r="J214" s="394">
        <v>84</v>
      </c>
      <c r="K214" s="394">
        <v>98.3</v>
      </c>
      <c r="L214" s="265">
        <v>84</v>
      </c>
      <c r="N214" s="265">
        <v>70</v>
      </c>
      <c r="O214" s="268">
        <v>70</v>
      </c>
      <c r="P214" s="265">
        <v>70</v>
      </c>
      <c r="S214" s="261" t="s">
        <v>2073</v>
      </c>
      <c r="T214" s="262"/>
      <c r="U214" s="385">
        <f t="shared" si="20"/>
        <v>18</v>
      </c>
      <c r="V214" s="218">
        <f t="shared" si="17"/>
        <v>17.690000000000001</v>
      </c>
      <c r="W214" s="37">
        <f t="shared" si="19"/>
        <v>115.99</v>
      </c>
      <c r="X214" s="37">
        <v>92</v>
      </c>
      <c r="Y214" s="37">
        <f t="shared" si="18"/>
        <v>23.989999999999995</v>
      </c>
    </row>
    <row r="215" spans="1:25">
      <c r="A215" s="271" t="s">
        <v>628</v>
      </c>
      <c r="B215" s="272" t="s">
        <v>2530</v>
      </c>
      <c r="C215" s="277" t="s">
        <v>38</v>
      </c>
      <c r="D215" s="394">
        <v>78</v>
      </c>
      <c r="E215" s="395">
        <v>80</v>
      </c>
      <c r="F215" s="394">
        <v>78</v>
      </c>
      <c r="G215" s="394">
        <v>78</v>
      </c>
      <c r="H215" s="397">
        <v>78</v>
      </c>
      <c r="I215" s="394">
        <v>78</v>
      </c>
      <c r="J215" s="394">
        <v>90</v>
      </c>
      <c r="K215" s="394">
        <v>104.77</v>
      </c>
      <c r="L215" s="265">
        <v>90</v>
      </c>
      <c r="N215" s="265">
        <v>78</v>
      </c>
      <c r="O215" s="268">
        <v>78</v>
      </c>
      <c r="P215" s="265">
        <v>78</v>
      </c>
      <c r="S215" s="261" t="s">
        <v>2073</v>
      </c>
      <c r="T215" s="262"/>
      <c r="U215" s="385">
        <f t="shared" si="20"/>
        <v>18</v>
      </c>
      <c r="V215" s="218">
        <f t="shared" si="17"/>
        <v>18.86</v>
      </c>
      <c r="W215" s="37">
        <f t="shared" si="19"/>
        <v>123.63</v>
      </c>
      <c r="X215" s="37">
        <v>99</v>
      </c>
      <c r="Y215" s="37">
        <f t="shared" si="18"/>
        <v>24.629999999999995</v>
      </c>
    </row>
    <row r="216" spans="1:25">
      <c r="A216" s="277">
        <v>138</v>
      </c>
      <c r="B216" s="279" t="s">
        <v>2531</v>
      </c>
      <c r="S216" s="261"/>
      <c r="T216" s="262"/>
      <c r="U216" s="385">
        <f t="shared" si="20"/>
        <v>18</v>
      </c>
      <c r="V216" s="218">
        <f t="shared" si="17"/>
        <v>0</v>
      </c>
      <c r="W216" s="37">
        <f t="shared" si="19"/>
        <v>0</v>
      </c>
      <c r="Y216" s="37">
        <f t="shared" si="18"/>
        <v>0</v>
      </c>
    </row>
    <row r="217" spans="1:25">
      <c r="A217" s="271" t="s">
        <v>627</v>
      </c>
      <c r="B217" s="272" t="s">
        <v>2532</v>
      </c>
      <c r="C217" s="277" t="s">
        <v>38</v>
      </c>
      <c r="D217" s="394">
        <v>11</v>
      </c>
      <c r="E217" s="395">
        <v>12</v>
      </c>
      <c r="F217" s="394">
        <v>11</v>
      </c>
      <c r="G217" s="394">
        <v>11</v>
      </c>
      <c r="H217" s="397">
        <v>11</v>
      </c>
      <c r="I217" s="394">
        <v>11</v>
      </c>
      <c r="J217" s="394">
        <v>13</v>
      </c>
      <c r="K217" s="394">
        <v>17.25</v>
      </c>
      <c r="L217" s="265">
        <v>13</v>
      </c>
      <c r="N217" s="265">
        <v>11</v>
      </c>
      <c r="O217" s="268">
        <v>11</v>
      </c>
      <c r="P217" s="265">
        <v>11</v>
      </c>
      <c r="S217" s="261" t="s">
        <v>2073</v>
      </c>
      <c r="T217" s="262"/>
      <c r="U217" s="385">
        <f t="shared" si="20"/>
        <v>18</v>
      </c>
      <c r="V217" s="218">
        <f t="shared" si="17"/>
        <v>3.11</v>
      </c>
      <c r="W217" s="37">
        <f t="shared" si="19"/>
        <v>20.36</v>
      </c>
      <c r="X217" s="37">
        <v>14</v>
      </c>
      <c r="Y217" s="37">
        <f t="shared" si="18"/>
        <v>6.3599999999999994</v>
      </c>
    </row>
    <row r="218" spans="1:25">
      <c r="A218" s="271" t="s">
        <v>628</v>
      </c>
      <c r="B218" s="272" t="s">
        <v>2533</v>
      </c>
      <c r="C218" s="277" t="s">
        <v>38</v>
      </c>
      <c r="D218" s="394">
        <v>13</v>
      </c>
      <c r="E218" s="395">
        <v>14</v>
      </c>
      <c r="F218" s="394">
        <v>13</v>
      </c>
      <c r="G218" s="394">
        <v>13</v>
      </c>
      <c r="H218" s="397">
        <v>13</v>
      </c>
      <c r="I218" s="394">
        <v>13</v>
      </c>
      <c r="J218" s="394">
        <v>15</v>
      </c>
      <c r="K218" s="394">
        <v>20.87</v>
      </c>
      <c r="L218" s="265">
        <v>15</v>
      </c>
      <c r="N218" s="265">
        <v>13</v>
      </c>
      <c r="O218" s="268">
        <v>13</v>
      </c>
      <c r="P218" s="265">
        <v>13</v>
      </c>
      <c r="S218" s="261" t="s">
        <v>2073</v>
      </c>
      <c r="T218" s="262"/>
      <c r="U218" s="385">
        <f t="shared" si="20"/>
        <v>18</v>
      </c>
      <c r="V218" s="218">
        <f t="shared" si="17"/>
        <v>3.76</v>
      </c>
      <c r="W218" s="37">
        <f t="shared" si="19"/>
        <v>24.630000000000003</v>
      </c>
      <c r="X218" s="37">
        <v>16</v>
      </c>
      <c r="Y218" s="37">
        <f t="shared" si="18"/>
        <v>8.6300000000000026</v>
      </c>
    </row>
    <row r="219" spans="1:25">
      <c r="A219" s="271" t="s">
        <v>629</v>
      </c>
      <c r="B219" s="272" t="s">
        <v>2534</v>
      </c>
      <c r="C219" s="277" t="s">
        <v>38</v>
      </c>
      <c r="D219" s="394">
        <v>16</v>
      </c>
      <c r="E219" s="395">
        <v>17</v>
      </c>
      <c r="F219" s="394">
        <v>16</v>
      </c>
      <c r="G219" s="394">
        <v>16</v>
      </c>
      <c r="H219" s="397">
        <v>16</v>
      </c>
      <c r="I219" s="394">
        <v>16</v>
      </c>
      <c r="J219" s="394">
        <v>19</v>
      </c>
      <c r="K219" s="394">
        <v>27.1</v>
      </c>
      <c r="L219" s="265">
        <v>19</v>
      </c>
      <c r="N219" s="265">
        <v>16</v>
      </c>
      <c r="O219" s="268">
        <v>16</v>
      </c>
      <c r="P219" s="265">
        <v>16</v>
      </c>
      <c r="S219" s="261" t="s">
        <v>2073</v>
      </c>
      <c r="T219" s="262"/>
      <c r="U219" s="385">
        <f t="shared" si="20"/>
        <v>18</v>
      </c>
      <c r="V219" s="218">
        <f t="shared" si="17"/>
        <v>4.88</v>
      </c>
      <c r="W219" s="37">
        <f t="shared" si="19"/>
        <v>31.98</v>
      </c>
      <c r="X219" s="37">
        <v>20</v>
      </c>
      <c r="Y219" s="37">
        <f t="shared" si="18"/>
        <v>11.98</v>
      </c>
    </row>
    <row r="220" spans="1:25">
      <c r="A220" s="277">
        <v>139</v>
      </c>
      <c r="B220" s="279" t="s">
        <v>2535</v>
      </c>
      <c r="S220" s="261"/>
      <c r="T220" s="262"/>
      <c r="U220" s="385">
        <f t="shared" si="20"/>
        <v>18</v>
      </c>
      <c r="V220" s="218">
        <f t="shared" si="17"/>
        <v>0</v>
      </c>
      <c r="W220" s="37">
        <f t="shared" si="19"/>
        <v>0</v>
      </c>
      <c r="Y220" s="37">
        <f t="shared" si="18"/>
        <v>0</v>
      </c>
    </row>
    <row r="221" spans="1:25">
      <c r="A221" s="271" t="s">
        <v>627</v>
      </c>
      <c r="B221" s="272" t="s">
        <v>2536</v>
      </c>
      <c r="C221" s="277" t="s">
        <v>38</v>
      </c>
      <c r="D221" s="394">
        <v>13</v>
      </c>
      <c r="E221" s="395">
        <v>14</v>
      </c>
      <c r="F221" s="394">
        <v>13</v>
      </c>
      <c r="G221" s="394">
        <v>14</v>
      </c>
      <c r="H221" s="397">
        <v>14</v>
      </c>
      <c r="I221" s="394">
        <v>14</v>
      </c>
      <c r="J221" s="394">
        <v>16</v>
      </c>
      <c r="K221" s="394">
        <v>21.78</v>
      </c>
      <c r="L221" s="265">
        <v>16</v>
      </c>
      <c r="N221" s="265">
        <v>14</v>
      </c>
      <c r="O221" s="268">
        <v>14</v>
      </c>
      <c r="P221" s="265">
        <v>14</v>
      </c>
      <c r="S221" s="261" t="s">
        <v>2073</v>
      </c>
      <c r="T221" s="262"/>
      <c r="U221" s="385">
        <f t="shared" si="20"/>
        <v>18</v>
      </c>
      <c r="V221" s="218">
        <f t="shared" si="17"/>
        <v>3.92</v>
      </c>
      <c r="W221" s="37">
        <f t="shared" si="19"/>
        <v>25.700000000000003</v>
      </c>
      <c r="X221" s="37">
        <v>17</v>
      </c>
      <c r="Y221" s="37">
        <f t="shared" si="18"/>
        <v>8.7000000000000028</v>
      </c>
    </row>
    <row r="222" spans="1:25">
      <c r="A222" s="271" t="s">
        <v>628</v>
      </c>
      <c r="B222" s="272" t="s">
        <v>2537</v>
      </c>
      <c r="C222" s="277" t="s">
        <v>38</v>
      </c>
      <c r="D222" s="394">
        <v>19</v>
      </c>
      <c r="E222" s="395">
        <v>20</v>
      </c>
      <c r="F222" s="394">
        <v>19</v>
      </c>
      <c r="G222" s="394">
        <v>20</v>
      </c>
      <c r="H222" s="397">
        <v>20</v>
      </c>
      <c r="I222" s="394">
        <v>20</v>
      </c>
      <c r="J222" s="394">
        <v>24</v>
      </c>
      <c r="K222" s="394">
        <v>30</v>
      </c>
      <c r="L222" s="265">
        <v>24</v>
      </c>
      <c r="N222" s="265">
        <v>20</v>
      </c>
      <c r="O222" s="268">
        <v>20</v>
      </c>
      <c r="P222" s="265">
        <v>20</v>
      </c>
      <c r="S222" s="261" t="s">
        <v>2073</v>
      </c>
      <c r="T222" s="262"/>
      <c r="U222" s="385">
        <f t="shared" si="20"/>
        <v>18</v>
      </c>
      <c r="V222" s="218">
        <f t="shared" si="17"/>
        <v>5.4</v>
      </c>
      <c r="W222" s="37">
        <f t="shared" si="19"/>
        <v>35.4</v>
      </c>
      <c r="X222" s="37">
        <v>26</v>
      </c>
      <c r="Y222" s="37">
        <f t="shared" si="18"/>
        <v>9.3999999999999986</v>
      </c>
    </row>
    <row r="223" spans="1:25">
      <c r="A223" s="271" t="s">
        <v>629</v>
      </c>
      <c r="B223" s="272" t="s">
        <v>2538</v>
      </c>
      <c r="C223" s="277" t="s">
        <v>38</v>
      </c>
      <c r="D223" s="394">
        <v>24</v>
      </c>
      <c r="E223" s="395">
        <v>26</v>
      </c>
      <c r="F223" s="394">
        <v>24</v>
      </c>
      <c r="G223" s="394">
        <v>26</v>
      </c>
      <c r="H223" s="397">
        <v>26</v>
      </c>
      <c r="I223" s="394">
        <v>26</v>
      </c>
      <c r="J223" s="394">
        <v>31</v>
      </c>
      <c r="K223" s="394">
        <v>41.1</v>
      </c>
      <c r="L223" s="265">
        <v>31</v>
      </c>
      <c r="N223" s="265">
        <v>26</v>
      </c>
      <c r="O223" s="268">
        <v>26</v>
      </c>
      <c r="P223" s="265">
        <v>26</v>
      </c>
      <c r="S223" s="261" t="s">
        <v>2073</v>
      </c>
      <c r="T223" s="262"/>
      <c r="U223" s="385">
        <f t="shared" si="20"/>
        <v>18</v>
      </c>
      <c r="V223" s="218">
        <f t="shared" si="17"/>
        <v>7.4</v>
      </c>
      <c r="W223" s="37">
        <f t="shared" si="19"/>
        <v>48.5</v>
      </c>
      <c r="X223" s="37">
        <v>34</v>
      </c>
      <c r="Y223" s="37">
        <f t="shared" si="18"/>
        <v>14.5</v>
      </c>
    </row>
    <row r="224" spans="1:25">
      <c r="A224" s="277">
        <v>140</v>
      </c>
      <c r="B224" s="279" t="s">
        <v>2539</v>
      </c>
      <c r="S224" s="261"/>
      <c r="T224" s="262"/>
      <c r="U224" s="385">
        <f t="shared" si="20"/>
        <v>18</v>
      </c>
      <c r="V224" s="218">
        <f t="shared" si="17"/>
        <v>0</v>
      </c>
      <c r="W224" s="37">
        <f t="shared" si="19"/>
        <v>0</v>
      </c>
      <c r="Y224" s="37">
        <f t="shared" si="18"/>
        <v>0</v>
      </c>
    </row>
    <row r="225" spans="1:25">
      <c r="A225" s="271" t="s">
        <v>627</v>
      </c>
      <c r="B225" s="272" t="s">
        <v>2540</v>
      </c>
      <c r="C225" s="277" t="s">
        <v>2541</v>
      </c>
      <c r="D225" s="394">
        <v>23</v>
      </c>
      <c r="E225" s="395">
        <v>24</v>
      </c>
      <c r="F225" s="394">
        <v>24</v>
      </c>
      <c r="G225" s="394">
        <v>23</v>
      </c>
      <c r="H225" s="397">
        <v>23</v>
      </c>
      <c r="I225" s="394">
        <v>23</v>
      </c>
      <c r="J225" s="394">
        <v>27</v>
      </c>
      <c r="K225" s="394">
        <v>34.4</v>
      </c>
      <c r="L225" s="265">
        <v>27</v>
      </c>
      <c r="N225" s="265">
        <v>23</v>
      </c>
      <c r="O225" s="268">
        <v>23</v>
      </c>
      <c r="P225" s="265">
        <v>23</v>
      </c>
      <c r="S225" s="261" t="s">
        <v>2073</v>
      </c>
      <c r="T225" s="262"/>
      <c r="U225" s="385">
        <f t="shared" si="20"/>
        <v>18</v>
      </c>
      <c r="V225" s="218">
        <f t="shared" si="17"/>
        <v>6.19</v>
      </c>
      <c r="W225" s="37">
        <f t="shared" si="19"/>
        <v>40.589999999999996</v>
      </c>
      <c r="X225" s="37">
        <v>29</v>
      </c>
      <c r="Y225" s="37">
        <f t="shared" si="18"/>
        <v>11.589999999999996</v>
      </c>
    </row>
    <row r="226" spans="1:25">
      <c r="A226" s="271" t="s">
        <v>628</v>
      </c>
      <c r="B226" s="272" t="s">
        <v>2542</v>
      </c>
      <c r="C226" s="277" t="s">
        <v>2541</v>
      </c>
      <c r="D226" s="394">
        <v>25</v>
      </c>
      <c r="E226" s="395">
        <v>26</v>
      </c>
      <c r="F226" s="394">
        <v>25</v>
      </c>
      <c r="G226" s="394">
        <v>25</v>
      </c>
      <c r="H226" s="397">
        <v>25</v>
      </c>
      <c r="I226" s="394">
        <v>25</v>
      </c>
      <c r="J226" s="394">
        <v>30</v>
      </c>
      <c r="K226" s="394">
        <v>38.33</v>
      </c>
      <c r="L226" s="265">
        <v>30</v>
      </c>
      <c r="N226" s="265">
        <v>25</v>
      </c>
      <c r="O226" s="268">
        <v>25</v>
      </c>
      <c r="P226" s="265">
        <v>25</v>
      </c>
      <c r="S226" s="261" t="s">
        <v>2073</v>
      </c>
      <c r="T226" s="262"/>
      <c r="U226" s="385">
        <f t="shared" si="20"/>
        <v>18</v>
      </c>
      <c r="V226" s="218">
        <f t="shared" si="17"/>
        <v>6.9</v>
      </c>
      <c r="W226" s="37">
        <f t="shared" si="19"/>
        <v>45.23</v>
      </c>
      <c r="X226" s="37">
        <v>33</v>
      </c>
      <c r="Y226" s="37">
        <f t="shared" si="18"/>
        <v>12.229999999999997</v>
      </c>
    </row>
    <row r="227" spans="1:25">
      <c r="A227" s="271" t="s">
        <v>629</v>
      </c>
      <c r="B227" s="272" t="s">
        <v>2543</v>
      </c>
      <c r="C227" s="277" t="s">
        <v>2541</v>
      </c>
      <c r="D227" s="394">
        <v>29</v>
      </c>
      <c r="E227" s="395">
        <v>30</v>
      </c>
      <c r="F227" s="394">
        <v>30</v>
      </c>
      <c r="G227" s="394">
        <v>29</v>
      </c>
      <c r="H227" s="397">
        <v>29</v>
      </c>
      <c r="I227" s="394">
        <v>29</v>
      </c>
      <c r="J227" s="394">
        <v>34</v>
      </c>
      <c r="K227" s="394">
        <v>39.840000000000003</v>
      </c>
      <c r="L227" s="265">
        <v>34</v>
      </c>
      <c r="N227" s="265">
        <v>29</v>
      </c>
      <c r="O227" s="268">
        <v>29</v>
      </c>
      <c r="P227" s="265">
        <v>29</v>
      </c>
      <c r="S227" s="261" t="s">
        <v>2073</v>
      </c>
      <c r="T227" s="262"/>
      <c r="U227" s="385">
        <f t="shared" si="20"/>
        <v>18</v>
      </c>
      <c r="V227" s="218">
        <f t="shared" si="17"/>
        <v>7.17</v>
      </c>
      <c r="W227" s="37">
        <f t="shared" si="19"/>
        <v>47.010000000000005</v>
      </c>
      <c r="X227" s="37">
        <v>37</v>
      </c>
      <c r="Y227" s="37">
        <f t="shared" si="18"/>
        <v>10.010000000000005</v>
      </c>
    </row>
    <row r="228" spans="1:25">
      <c r="A228" s="271" t="s">
        <v>1847</v>
      </c>
      <c r="B228" s="272" t="s">
        <v>2544</v>
      </c>
      <c r="C228" s="277" t="s">
        <v>2541</v>
      </c>
      <c r="D228" s="394">
        <v>31</v>
      </c>
      <c r="E228" s="395">
        <v>32</v>
      </c>
      <c r="F228" s="394">
        <v>32</v>
      </c>
      <c r="G228" s="394">
        <v>31</v>
      </c>
      <c r="H228" s="397">
        <v>31</v>
      </c>
      <c r="I228" s="394">
        <v>31</v>
      </c>
      <c r="J228" s="394">
        <v>36</v>
      </c>
      <c r="K228" s="394">
        <v>40.880000000000003</v>
      </c>
      <c r="L228" s="265">
        <v>36</v>
      </c>
      <c r="N228" s="265">
        <v>31</v>
      </c>
      <c r="O228" s="268">
        <v>31</v>
      </c>
      <c r="P228" s="265">
        <v>31</v>
      </c>
      <c r="S228" s="261" t="s">
        <v>2073</v>
      </c>
      <c r="T228" s="262"/>
      <c r="U228" s="385">
        <f t="shared" si="20"/>
        <v>18</v>
      </c>
      <c r="V228" s="218">
        <f t="shared" si="17"/>
        <v>7.36</v>
      </c>
      <c r="W228" s="37">
        <f t="shared" si="19"/>
        <v>48.24</v>
      </c>
      <c r="X228" s="37">
        <v>39</v>
      </c>
      <c r="Y228" s="37">
        <f t="shared" si="18"/>
        <v>9.240000000000002</v>
      </c>
    </row>
    <row r="229" spans="1:25">
      <c r="A229" s="271" t="s">
        <v>1849</v>
      </c>
      <c r="B229" s="272" t="s">
        <v>2545</v>
      </c>
      <c r="C229" s="277" t="s">
        <v>2541</v>
      </c>
      <c r="D229" s="394">
        <v>33</v>
      </c>
      <c r="E229" s="395">
        <v>34</v>
      </c>
      <c r="F229" s="394">
        <v>34</v>
      </c>
      <c r="G229" s="394">
        <v>33</v>
      </c>
      <c r="H229" s="397">
        <v>33</v>
      </c>
      <c r="I229" s="394">
        <v>33</v>
      </c>
      <c r="J229" s="394">
        <v>38</v>
      </c>
      <c r="K229" s="394">
        <v>45.23</v>
      </c>
      <c r="L229" s="265">
        <v>38</v>
      </c>
      <c r="N229" s="265">
        <v>33</v>
      </c>
      <c r="O229" s="268">
        <v>33</v>
      </c>
      <c r="P229" s="265">
        <v>33</v>
      </c>
      <c r="S229" s="261" t="s">
        <v>2073</v>
      </c>
      <c r="T229" s="262"/>
      <c r="U229" s="385">
        <f t="shared" si="20"/>
        <v>18</v>
      </c>
      <c r="V229" s="218">
        <f t="shared" si="17"/>
        <v>8.14</v>
      </c>
      <c r="W229" s="37">
        <f t="shared" si="19"/>
        <v>53.37</v>
      </c>
      <c r="X229" s="37">
        <v>41</v>
      </c>
      <c r="Y229" s="37">
        <f t="shared" si="18"/>
        <v>12.369999999999997</v>
      </c>
    </row>
    <row r="230" spans="1:25">
      <c r="A230" s="271" t="s">
        <v>1851</v>
      </c>
      <c r="B230" s="272" t="s">
        <v>2546</v>
      </c>
      <c r="C230" s="277" t="s">
        <v>2541</v>
      </c>
      <c r="D230" s="394">
        <v>37</v>
      </c>
      <c r="E230" s="395">
        <v>38</v>
      </c>
      <c r="F230" s="394">
        <v>38</v>
      </c>
      <c r="G230" s="394">
        <v>37</v>
      </c>
      <c r="H230" s="397">
        <v>37</v>
      </c>
      <c r="I230" s="394">
        <v>37</v>
      </c>
      <c r="J230" s="394">
        <v>43</v>
      </c>
      <c r="K230" s="394">
        <v>51.25</v>
      </c>
      <c r="L230" s="265">
        <v>43</v>
      </c>
      <c r="N230" s="265">
        <v>37</v>
      </c>
      <c r="O230" s="268">
        <v>37</v>
      </c>
      <c r="P230" s="265">
        <v>37</v>
      </c>
      <c r="S230" s="261" t="s">
        <v>2073</v>
      </c>
      <c r="T230" s="262"/>
      <c r="U230" s="385">
        <f t="shared" si="20"/>
        <v>18</v>
      </c>
      <c r="V230" s="218">
        <f t="shared" si="17"/>
        <v>9.23</v>
      </c>
      <c r="W230" s="37">
        <f t="shared" si="19"/>
        <v>60.480000000000004</v>
      </c>
      <c r="X230" s="37">
        <v>47</v>
      </c>
      <c r="Y230" s="37">
        <f t="shared" si="18"/>
        <v>13.480000000000004</v>
      </c>
    </row>
    <row r="231" spans="1:25">
      <c r="A231" s="271" t="s">
        <v>1852</v>
      </c>
      <c r="B231" s="272" t="s">
        <v>2547</v>
      </c>
      <c r="C231" s="277" t="s">
        <v>2541</v>
      </c>
      <c r="D231" s="394">
        <v>38</v>
      </c>
      <c r="E231" s="395">
        <v>40</v>
      </c>
      <c r="F231" s="394">
        <v>39</v>
      </c>
      <c r="G231" s="394">
        <v>38</v>
      </c>
      <c r="H231" s="397">
        <v>38</v>
      </c>
      <c r="I231" s="394">
        <v>38</v>
      </c>
      <c r="J231" s="394">
        <v>45</v>
      </c>
      <c r="K231" s="394">
        <v>53.64</v>
      </c>
      <c r="L231" s="265">
        <v>45</v>
      </c>
      <c r="N231" s="265">
        <v>38</v>
      </c>
      <c r="O231" s="268">
        <v>38</v>
      </c>
      <c r="P231" s="265">
        <v>38</v>
      </c>
      <c r="S231" s="261" t="s">
        <v>2073</v>
      </c>
      <c r="T231" s="262"/>
      <c r="U231" s="385">
        <f t="shared" si="20"/>
        <v>18</v>
      </c>
      <c r="V231" s="218">
        <f t="shared" si="17"/>
        <v>9.66</v>
      </c>
      <c r="W231" s="37">
        <f t="shared" si="19"/>
        <v>63.3</v>
      </c>
      <c r="X231" s="37">
        <v>49</v>
      </c>
      <c r="Y231" s="37">
        <f t="shared" si="18"/>
        <v>14.299999999999997</v>
      </c>
    </row>
    <row r="232" spans="1:25">
      <c r="A232" s="271" t="s">
        <v>2548</v>
      </c>
      <c r="B232" s="272" t="s">
        <v>2549</v>
      </c>
      <c r="C232" s="277" t="s">
        <v>2541</v>
      </c>
      <c r="D232" s="394">
        <v>40</v>
      </c>
      <c r="E232" s="395">
        <v>42</v>
      </c>
      <c r="F232" s="394">
        <v>41</v>
      </c>
      <c r="G232" s="394">
        <v>40</v>
      </c>
      <c r="H232" s="397">
        <v>40</v>
      </c>
      <c r="I232" s="394">
        <v>40</v>
      </c>
      <c r="J232" s="394">
        <v>47</v>
      </c>
      <c r="K232" s="394">
        <v>55.73</v>
      </c>
      <c r="L232" s="265">
        <v>47</v>
      </c>
      <c r="N232" s="265">
        <v>40</v>
      </c>
      <c r="O232" s="268">
        <v>40</v>
      </c>
      <c r="P232" s="265">
        <v>40</v>
      </c>
      <c r="S232" s="261" t="s">
        <v>2073</v>
      </c>
      <c r="T232" s="262"/>
      <c r="U232" s="385">
        <f t="shared" si="20"/>
        <v>18</v>
      </c>
      <c r="V232" s="218">
        <f t="shared" si="17"/>
        <v>10.029999999999999</v>
      </c>
      <c r="W232" s="37">
        <f t="shared" si="19"/>
        <v>65.759999999999991</v>
      </c>
      <c r="X232" s="37">
        <v>51</v>
      </c>
      <c r="Y232" s="37">
        <f t="shared" si="18"/>
        <v>14.759999999999991</v>
      </c>
    </row>
    <row r="233" spans="1:25">
      <c r="A233" s="271" t="s">
        <v>2550</v>
      </c>
      <c r="B233" s="272" t="s">
        <v>2551</v>
      </c>
      <c r="C233" s="277" t="s">
        <v>2541</v>
      </c>
      <c r="D233" s="394">
        <v>43</v>
      </c>
      <c r="E233" s="395">
        <v>45</v>
      </c>
      <c r="F233" s="394">
        <v>44</v>
      </c>
      <c r="G233" s="394">
        <v>43</v>
      </c>
      <c r="H233" s="397">
        <v>43</v>
      </c>
      <c r="I233" s="394">
        <v>43</v>
      </c>
      <c r="J233" s="394">
        <v>50</v>
      </c>
      <c r="K233" s="394">
        <v>59.43</v>
      </c>
      <c r="L233" s="265">
        <v>50</v>
      </c>
      <c r="N233" s="265">
        <v>43</v>
      </c>
      <c r="O233" s="268">
        <v>43</v>
      </c>
      <c r="P233" s="265">
        <v>43</v>
      </c>
      <c r="S233" s="261" t="s">
        <v>2073</v>
      </c>
      <c r="T233" s="262"/>
      <c r="U233" s="385">
        <f t="shared" si="20"/>
        <v>18</v>
      </c>
      <c r="V233" s="1308">
        <f t="shared" si="17"/>
        <v>10.7</v>
      </c>
      <c r="W233" s="37">
        <f t="shared" si="19"/>
        <v>70.13</v>
      </c>
      <c r="X233" s="37">
        <v>55</v>
      </c>
      <c r="Y233" s="37">
        <f t="shared" si="18"/>
        <v>15.129999999999995</v>
      </c>
    </row>
    <row r="234" spans="1:25">
      <c r="A234" s="271" t="s">
        <v>2552</v>
      </c>
      <c r="B234" s="272" t="s">
        <v>2553</v>
      </c>
      <c r="C234" s="277" t="s">
        <v>2541</v>
      </c>
      <c r="D234" s="394">
        <v>45</v>
      </c>
      <c r="E234" s="395">
        <v>47</v>
      </c>
      <c r="F234" s="394">
        <v>46</v>
      </c>
      <c r="G234" s="394">
        <v>45</v>
      </c>
      <c r="H234" s="397">
        <v>45</v>
      </c>
      <c r="I234" s="394">
        <v>45</v>
      </c>
      <c r="J234" s="394">
        <v>53</v>
      </c>
      <c r="K234" s="394">
        <v>62.88</v>
      </c>
      <c r="L234" s="265">
        <v>53</v>
      </c>
      <c r="N234" s="265">
        <v>45</v>
      </c>
      <c r="O234" s="268">
        <v>45</v>
      </c>
      <c r="P234" s="265">
        <v>45</v>
      </c>
      <c r="S234" s="261" t="s">
        <v>2073</v>
      </c>
      <c r="T234" s="262"/>
      <c r="U234" s="385">
        <f t="shared" si="20"/>
        <v>18</v>
      </c>
      <c r="V234" s="218">
        <f t="shared" si="17"/>
        <v>11.32</v>
      </c>
      <c r="W234" s="37">
        <f t="shared" si="19"/>
        <v>74.2</v>
      </c>
      <c r="X234" s="37">
        <v>58</v>
      </c>
      <c r="Y234" s="37">
        <f t="shared" si="18"/>
        <v>16.200000000000003</v>
      </c>
    </row>
    <row r="235" spans="1:25">
      <c r="A235" s="271" t="s">
        <v>2554</v>
      </c>
      <c r="B235" s="272" t="s">
        <v>2555</v>
      </c>
      <c r="C235" s="277" t="s">
        <v>2541</v>
      </c>
      <c r="D235" s="394">
        <v>48</v>
      </c>
      <c r="E235" s="395">
        <v>51</v>
      </c>
      <c r="F235" s="394">
        <v>49</v>
      </c>
      <c r="G235" s="394">
        <v>48</v>
      </c>
      <c r="H235" s="397">
        <v>48</v>
      </c>
      <c r="I235" s="394">
        <v>48</v>
      </c>
      <c r="J235" s="394">
        <v>56</v>
      </c>
      <c r="K235" s="394">
        <v>64.77</v>
      </c>
      <c r="L235" s="265">
        <v>56</v>
      </c>
      <c r="N235" s="265">
        <v>48</v>
      </c>
      <c r="O235" s="268">
        <v>48</v>
      </c>
      <c r="P235" s="265">
        <v>48</v>
      </c>
      <c r="S235" s="261" t="s">
        <v>2073</v>
      </c>
      <c r="T235" s="262"/>
      <c r="U235" s="385">
        <f t="shared" si="20"/>
        <v>18</v>
      </c>
      <c r="V235" s="218">
        <f t="shared" si="17"/>
        <v>11.66</v>
      </c>
      <c r="W235" s="37">
        <f t="shared" si="19"/>
        <v>76.429999999999993</v>
      </c>
      <c r="X235" s="37">
        <v>61</v>
      </c>
      <c r="Y235" s="37">
        <f t="shared" si="18"/>
        <v>15.429999999999993</v>
      </c>
    </row>
    <row r="236" spans="1:25">
      <c r="A236" s="271" t="s">
        <v>2556</v>
      </c>
      <c r="B236" s="272" t="s">
        <v>2557</v>
      </c>
      <c r="C236" s="277" t="s">
        <v>2541</v>
      </c>
      <c r="D236" s="394">
        <v>55</v>
      </c>
      <c r="E236" s="395">
        <v>58</v>
      </c>
      <c r="F236" s="394">
        <v>57</v>
      </c>
      <c r="G236" s="394">
        <v>55</v>
      </c>
      <c r="H236" s="397">
        <v>55</v>
      </c>
      <c r="I236" s="394">
        <v>55</v>
      </c>
      <c r="J236" s="394">
        <v>65</v>
      </c>
      <c r="K236" s="394">
        <v>76.22</v>
      </c>
      <c r="L236" s="265">
        <v>65</v>
      </c>
      <c r="N236" s="265">
        <v>55</v>
      </c>
      <c r="O236" s="268">
        <v>55</v>
      </c>
      <c r="P236" s="265">
        <v>55</v>
      </c>
      <c r="S236" s="261" t="s">
        <v>2073</v>
      </c>
      <c r="T236" s="262"/>
      <c r="U236" s="385">
        <f t="shared" si="20"/>
        <v>18</v>
      </c>
      <c r="V236" s="218">
        <f t="shared" si="17"/>
        <v>13.72</v>
      </c>
      <c r="W236" s="37">
        <f t="shared" si="19"/>
        <v>89.94</v>
      </c>
      <c r="X236" s="37">
        <v>71</v>
      </c>
      <c r="Y236" s="37">
        <f t="shared" si="18"/>
        <v>18.939999999999998</v>
      </c>
    </row>
    <row r="237" spans="1:25">
      <c r="A237" s="271" t="s">
        <v>2558</v>
      </c>
      <c r="B237" s="272" t="s">
        <v>2559</v>
      </c>
      <c r="C237" s="277" t="s">
        <v>2541</v>
      </c>
      <c r="D237" s="394">
        <v>60</v>
      </c>
      <c r="E237" s="395">
        <v>62</v>
      </c>
      <c r="F237" s="394">
        <v>62</v>
      </c>
      <c r="G237" s="394">
        <v>60</v>
      </c>
      <c r="H237" s="397">
        <v>60</v>
      </c>
      <c r="I237" s="394">
        <v>60</v>
      </c>
      <c r="J237" s="394">
        <v>71</v>
      </c>
      <c r="K237" s="394">
        <v>83.04</v>
      </c>
      <c r="L237" s="265">
        <v>71</v>
      </c>
      <c r="N237" s="265">
        <v>60</v>
      </c>
      <c r="O237" s="268">
        <v>60</v>
      </c>
      <c r="P237" s="265">
        <v>60</v>
      </c>
      <c r="S237" s="261" t="s">
        <v>2073</v>
      </c>
      <c r="T237" s="262"/>
      <c r="U237" s="385">
        <f t="shared" si="20"/>
        <v>18</v>
      </c>
      <c r="V237" s="218">
        <f t="shared" si="17"/>
        <v>14.95</v>
      </c>
      <c r="W237" s="37">
        <f t="shared" si="19"/>
        <v>97.990000000000009</v>
      </c>
      <c r="X237" s="37">
        <v>78</v>
      </c>
      <c r="Y237" s="37">
        <f t="shared" si="18"/>
        <v>19.990000000000009</v>
      </c>
    </row>
    <row r="238" spans="1:25">
      <c r="A238" s="271" t="s">
        <v>2560</v>
      </c>
      <c r="B238" s="272" t="s">
        <v>2561</v>
      </c>
      <c r="C238" s="277" t="s">
        <v>2541</v>
      </c>
      <c r="D238" s="394">
        <v>64</v>
      </c>
      <c r="E238" s="395">
        <v>67</v>
      </c>
      <c r="F238" s="394">
        <v>66</v>
      </c>
      <c r="G238" s="394">
        <v>64</v>
      </c>
      <c r="H238" s="397">
        <v>64</v>
      </c>
      <c r="I238" s="394">
        <v>64</v>
      </c>
      <c r="J238" s="394">
        <v>75</v>
      </c>
      <c r="K238" s="394">
        <v>87.5</v>
      </c>
      <c r="L238" s="265">
        <v>75</v>
      </c>
      <c r="N238" s="265">
        <v>64</v>
      </c>
      <c r="O238" s="268">
        <v>64</v>
      </c>
      <c r="P238" s="265">
        <v>64</v>
      </c>
      <c r="S238" s="261" t="s">
        <v>2073</v>
      </c>
      <c r="T238" s="262"/>
      <c r="U238" s="385">
        <f t="shared" si="20"/>
        <v>18</v>
      </c>
      <c r="V238" s="218">
        <f t="shared" si="17"/>
        <v>15.75</v>
      </c>
      <c r="W238" s="37">
        <f t="shared" si="19"/>
        <v>103.25</v>
      </c>
      <c r="X238" s="37">
        <v>82</v>
      </c>
      <c r="Y238" s="37">
        <f t="shared" si="18"/>
        <v>21.25</v>
      </c>
    </row>
    <row r="239" spans="1:25">
      <c r="A239" s="277">
        <v>141</v>
      </c>
      <c r="B239" s="279" t="s">
        <v>2562</v>
      </c>
      <c r="S239" s="261"/>
      <c r="T239" s="262"/>
      <c r="U239" s="385">
        <f t="shared" si="20"/>
        <v>18</v>
      </c>
      <c r="V239" s="218">
        <f t="shared" si="17"/>
        <v>0</v>
      </c>
      <c r="W239" s="37">
        <f t="shared" si="19"/>
        <v>0</v>
      </c>
      <c r="Y239" s="37">
        <f t="shared" si="18"/>
        <v>0</v>
      </c>
    </row>
    <row r="240" spans="1:25">
      <c r="A240" s="271" t="s">
        <v>627</v>
      </c>
      <c r="B240" s="272" t="s">
        <v>2563</v>
      </c>
      <c r="C240" s="277" t="s">
        <v>38</v>
      </c>
      <c r="D240" s="394">
        <v>19</v>
      </c>
      <c r="E240" s="395">
        <v>19</v>
      </c>
      <c r="F240" s="394">
        <v>19</v>
      </c>
      <c r="G240" s="394">
        <v>19</v>
      </c>
      <c r="H240" s="397">
        <v>19</v>
      </c>
      <c r="I240" s="394">
        <v>19</v>
      </c>
      <c r="J240" s="394">
        <v>23</v>
      </c>
      <c r="K240" s="394">
        <v>26.66</v>
      </c>
      <c r="L240" s="265">
        <v>23</v>
      </c>
      <c r="N240" s="265">
        <v>19</v>
      </c>
      <c r="O240" s="268">
        <v>19</v>
      </c>
      <c r="P240" s="265">
        <v>19</v>
      </c>
      <c r="S240" s="261" t="s">
        <v>2073</v>
      </c>
      <c r="T240" s="262"/>
      <c r="U240" s="385">
        <f t="shared" si="20"/>
        <v>18</v>
      </c>
      <c r="V240" s="218">
        <f t="shared" si="17"/>
        <v>4.8</v>
      </c>
      <c r="W240" s="37">
        <f t="shared" si="19"/>
        <v>31.46</v>
      </c>
      <c r="X240" s="37">
        <v>25</v>
      </c>
      <c r="Y240" s="37">
        <f t="shared" si="18"/>
        <v>6.4600000000000009</v>
      </c>
    </row>
    <row r="241" spans="1:25">
      <c r="A241" s="271" t="s">
        <v>628</v>
      </c>
      <c r="B241" s="272" t="s">
        <v>2564</v>
      </c>
      <c r="C241" s="277" t="s">
        <v>38</v>
      </c>
      <c r="D241" s="394">
        <v>24</v>
      </c>
      <c r="E241" s="395">
        <v>25</v>
      </c>
      <c r="F241" s="394">
        <v>24</v>
      </c>
      <c r="G241" s="394">
        <v>24</v>
      </c>
      <c r="H241" s="397">
        <v>24</v>
      </c>
      <c r="I241" s="394">
        <v>24</v>
      </c>
      <c r="J241" s="394">
        <v>28</v>
      </c>
      <c r="K241" s="394">
        <v>32.299999999999997</v>
      </c>
      <c r="L241" s="265">
        <v>28</v>
      </c>
      <c r="N241" s="265">
        <v>24</v>
      </c>
      <c r="O241" s="268">
        <v>24</v>
      </c>
      <c r="P241" s="265">
        <v>24</v>
      </c>
      <c r="S241" s="261" t="s">
        <v>2073</v>
      </c>
      <c r="T241" s="262"/>
      <c r="U241" s="385">
        <f t="shared" si="20"/>
        <v>18</v>
      </c>
      <c r="V241" s="218">
        <f t="shared" si="17"/>
        <v>5.81</v>
      </c>
      <c r="W241" s="37">
        <f t="shared" si="19"/>
        <v>38.11</v>
      </c>
      <c r="X241" s="37">
        <v>30</v>
      </c>
      <c r="Y241" s="37">
        <f t="shared" si="18"/>
        <v>8.11</v>
      </c>
    </row>
    <row r="242" spans="1:25">
      <c r="A242" s="271" t="s">
        <v>629</v>
      </c>
      <c r="B242" s="272" t="s">
        <v>2565</v>
      </c>
      <c r="C242" s="277" t="s">
        <v>38</v>
      </c>
      <c r="D242" s="394">
        <v>28</v>
      </c>
      <c r="E242" s="395">
        <v>29</v>
      </c>
      <c r="F242" s="394">
        <v>28</v>
      </c>
      <c r="G242" s="394">
        <v>28</v>
      </c>
      <c r="H242" s="397">
        <v>28</v>
      </c>
      <c r="I242" s="394">
        <v>28</v>
      </c>
      <c r="J242" s="394">
        <v>34</v>
      </c>
      <c r="K242" s="394">
        <v>38.29</v>
      </c>
      <c r="L242" s="265">
        <v>34</v>
      </c>
      <c r="N242" s="265">
        <v>28</v>
      </c>
      <c r="O242" s="268">
        <v>28</v>
      </c>
      <c r="P242" s="265">
        <v>28</v>
      </c>
      <c r="S242" s="261" t="s">
        <v>2073</v>
      </c>
      <c r="T242" s="262"/>
      <c r="U242" s="385">
        <f t="shared" si="20"/>
        <v>18</v>
      </c>
      <c r="V242" s="218">
        <f t="shared" si="17"/>
        <v>6.89</v>
      </c>
      <c r="W242" s="37">
        <f t="shared" si="19"/>
        <v>45.18</v>
      </c>
      <c r="X242" s="37">
        <v>37</v>
      </c>
      <c r="Y242" s="37">
        <f t="shared" si="18"/>
        <v>8.18</v>
      </c>
    </row>
    <row r="243" spans="1:25" ht="17.25" customHeight="1">
      <c r="A243" s="263">
        <v>142</v>
      </c>
      <c r="B243" s="285" t="s">
        <v>2566</v>
      </c>
      <c r="S243" s="261"/>
      <c r="T243" s="262"/>
      <c r="U243" s="385">
        <f t="shared" si="20"/>
        <v>18</v>
      </c>
      <c r="V243" s="218">
        <f t="shared" si="17"/>
        <v>0</v>
      </c>
      <c r="W243" s="37">
        <f t="shared" si="19"/>
        <v>0</v>
      </c>
      <c r="Y243" s="37">
        <f t="shared" si="18"/>
        <v>0</v>
      </c>
    </row>
    <row r="244" spans="1:25">
      <c r="A244" s="271" t="s">
        <v>627</v>
      </c>
      <c r="B244" s="272" t="s">
        <v>2532</v>
      </c>
      <c r="C244" s="277" t="s">
        <v>38</v>
      </c>
      <c r="D244" s="394">
        <v>16</v>
      </c>
      <c r="E244" s="395">
        <v>17</v>
      </c>
      <c r="F244" s="394">
        <v>17</v>
      </c>
      <c r="G244" s="394">
        <v>16</v>
      </c>
      <c r="H244" s="397">
        <v>16</v>
      </c>
      <c r="I244" s="394">
        <v>16</v>
      </c>
      <c r="J244" s="394">
        <v>19</v>
      </c>
      <c r="K244" s="394">
        <v>22.49</v>
      </c>
      <c r="L244" s="265">
        <v>19</v>
      </c>
      <c r="N244" s="265">
        <v>16</v>
      </c>
      <c r="O244" s="268">
        <v>16</v>
      </c>
      <c r="P244" s="265">
        <v>16</v>
      </c>
      <c r="S244" s="261" t="s">
        <v>2073</v>
      </c>
      <c r="T244" s="262"/>
      <c r="U244" s="385">
        <f t="shared" si="20"/>
        <v>18</v>
      </c>
      <c r="V244" s="218">
        <f t="shared" si="17"/>
        <v>4.05</v>
      </c>
      <c r="W244" s="37">
        <f t="shared" si="19"/>
        <v>26.54</v>
      </c>
      <c r="X244" s="37">
        <v>20</v>
      </c>
      <c r="Y244" s="37">
        <f t="shared" si="18"/>
        <v>6.5399999999999991</v>
      </c>
    </row>
    <row r="245" spans="1:25">
      <c r="A245" s="271" t="s">
        <v>628</v>
      </c>
      <c r="B245" s="272" t="s">
        <v>2534</v>
      </c>
      <c r="C245" s="277" t="s">
        <v>38</v>
      </c>
      <c r="D245" s="394">
        <v>20</v>
      </c>
      <c r="E245" s="395">
        <v>20</v>
      </c>
      <c r="F245" s="394">
        <v>20</v>
      </c>
      <c r="G245" s="394">
        <v>20</v>
      </c>
      <c r="H245" s="397">
        <v>20</v>
      </c>
      <c r="I245" s="394">
        <v>20</v>
      </c>
      <c r="J245" s="394">
        <v>24</v>
      </c>
      <c r="K245" s="394">
        <v>28.25</v>
      </c>
      <c r="L245" s="265">
        <v>24</v>
      </c>
      <c r="N245" s="265">
        <v>20</v>
      </c>
      <c r="O245" s="268">
        <v>20</v>
      </c>
      <c r="P245" s="265">
        <v>20</v>
      </c>
      <c r="S245" s="261" t="s">
        <v>2073</v>
      </c>
      <c r="T245" s="262"/>
      <c r="U245" s="385">
        <f t="shared" si="20"/>
        <v>18</v>
      </c>
      <c r="V245" s="218">
        <f t="shared" si="17"/>
        <v>5.09</v>
      </c>
      <c r="W245" s="37">
        <f t="shared" si="19"/>
        <v>33.340000000000003</v>
      </c>
      <c r="X245" s="37">
        <v>26</v>
      </c>
      <c r="Y245" s="37">
        <f t="shared" si="18"/>
        <v>7.3400000000000034</v>
      </c>
    </row>
    <row r="246" spans="1:25">
      <c r="A246" s="277">
        <v>143</v>
      </c>
      <c r="B246" s="279" t="s">
        <v>2567</v>
      </c>
      <c r="S246" s="261"/>
      <c r="T246" s="262"/>
      <c r="U246" s="385">
        <f t="shared" si="20"/>
        <v>18</v>
      </c>
      <c r="V246" s="218">
        <f t="shared" si="17"/>
        <v>0</v>
      </c>
      <c r="W246" s="37">
        <f t="shared" si="19"/>
        <v>0</v>
      </c>
      <c r="Y246" s="37">
        <f t="shared" si="18"/>
        <v>0</v>
      </c>
    </row>
    <row r="247" spans="1:25">
      <c r="A247" s="271" t="s">
        <v>627</v>
      </c>
      <c r="B247" s="272" t="s">
        <v>2568</v>
      </c>
      <c r="C247" s="277" t="s">
        <v>92</v>
      </c>
      <c r="D247" s="394">
        <v>143</v>
      </c>
      <c r="E247" s="395">
        <v>146</v>
      </c>
      <c r="F247" s="394">
        <v>144</v>
      </c>
      <c r="G247" s="394">
        <v>143</v>
      </c>
      <c r="H247" s="397">
        <v>143</v>
      </c>
      <c r="I247" s="394">
        <v>143</v>
      </c>
      <c r="J247" s="394">
        <v>172</v>
      </c>
      <c r="K247" s="394">
        <v>196</v>
      </c>
      <c r="L247" s="265">
        <v>172</v>
      </c>
      <c r="N247" s="265">
        <v>143</v>
      </c>
      <c r="O247" s="268">
        <v>143</v>
      </c>
      <c r="P247" s="265">
        <v>143</v>
      </c>
      <c r="S247" s="261" t="s">
        <v>2073</v>
      </c>
      <c r="T247" s="262"/>
      <c r="U247" s="385">
        <f t="shared" si="20"/>
        <v>18</v>
      </c>
      <c r="V247" s="218">
        <f t="shared" si="17"/>
        <v>35.28</v>
      </c>
      <c r="W247" s="37">
        <f t="shared" si="19"/>
        <v>231.28</v>
      </c>
      <c r="X247" s="37">
        <v>189</v>
      </c>
      <c r="Y247" s="37">
        <f t="shared" si="18"/>
        <v>42.28</v>
      </c>
    </row>
    <row r="248" spans="1:25">
      <c r="A248" s="271" t="s">
        <v>628</v>
      </c>
      <c r="B248" s="272" t="s">
        <v>2569</v>
      </c>
      <c r="C248" s="277" t="s">
        <v>92</v>
      </c>
      <c r="D248" s="394">
        <v>132</v>
      </c>
      <c r="E248" s="395">
        <v>134</v>
      </c>
      <c r="F248" s="394">
        <v>130</v>
      </c>
      <c r="G248" s="394">
        <v>132</v>
      </c>
      <c r="H248" s="397">
        <v>132</v>
      </c>
      <c r="I248" s="394">
        <v>132</v>
      </c>
      <c r="J248" s="394">
        <v>159</v>
      </c>
      <c r="K248" s="394">
        <v>188.26</v>
      </c>
      <c r="L248" s="265">
        <v>159</v>
      </c>
      <c r="N248" s="265">
        <v>132</v>
      </c>
      <c r="O248" s="268">
        <v>132</v>
      </c>
      <c r="P248" s="265">
        <v>132</v>
      </c>
      <c r="S248" s="261" t="s">
        <v>2073</v>
      </c>
      <c r="T248" s="262"/>
      <c r="U248" s="385">
        <f t="shared" si="20"/>
        <v>18</v>
      </c>
      <c r="V248" s="218">
        <f t="shared" si="17"/>
        <v>33.89</v>
      </c>
      <c r="W248" s="37">
        <f t="shared" si="19"/>
        <v>222.14999999999998</v>
      </c>
      <c r="X248" s="37">
        <v>174</v>
      </c>
      <c r="Y248" s="37">
        <f t="shared" si="18"/>
        <v>48.149999999999977</v>
      </c>
    </row>
    <row r="249" spans="1:25">
      <c r="A249" s="271" t="s">
        <v>629</v>
      </c>
      <c r="B249" s="272" t="s">
        <v>2570</v>
      </c>
      <c r="C249" s="277" t="s">
        <v>92</v>
      </c>
      <c r="D249" s="394">
        <v>132</v>
      </c>
      <c r="E249" s="395">
        <v>135</v>
      </c>
      <c r="F249" s="394">
        <v>130</v>
      </c>
      <c r="G249" s="394">
        <v>132</v>
      </c>
      <c r="H249" s="397">
        <v>132</v>
      </c>
      <c r="I249" s="394">
        <v>132</v>
      </c>
      <c r="J249" s="394">
        <v>159</v>
      </c>
      <c r="K249" s="394">
        <v>183.3</v>
      </c>
      <c r="L249" s="265">
        <v>159</v>
      </c>
      <c r="N249" s="265">
        <v>132</v>
      </c>
      <c r="O249" s="268">
        <v>132</v>
      </c>
      <c r="P249" s="265">
        <v>132</v>
      </c>
      <c r="S249" s="261" t="s">
        <v>2073</v>
      </c>
      <c r="T249" s="262"/>
      <c r="U249" s="385">
        <f t="shared" si="20"/>
        <v>18</v>
      </c>
      <c r="V249" s="218">
        <f t="shared" si="17"/>
        <v>32.99</v>
      </c>
      <c r="W249" s="37">
        <f t="shared" si="19"/>
        <v>216.29000000000002</v>
      </c>
      <c r="X249" s="37">
        <v>174</v>
      </c>
      <c r="Y249" s="37">
        <f t="shared" si="18"/>
        <v>42.29000000000002</v>
      </c>
    </row>
    <row r="250" spans="1:25">
      <c r="A250" s="271" t="s">
        <v>1847</v>
      </c>
      <c r="B250" s="272" t="s">
        <v>2571</v>
      </c>
      <c r="C250" s="277" t="s">
        <v>92</v>
      </c>
      <c r="D250" s="394">
        <v>120</v>
      </c>
      <c r="E250" s="395">
        <v>124</v>
      </c>
      <c r="F250" s="394">
        <v>119</v>
      </c>
      <c r="G250" s="394">
        <v>120</v>
      </c>
      <c r="H250" s="397">
        <v>120</v>
      </c>
      <c r="I250" s="394">
        <v>120</v>
      </c>
      <c r="J250" s="394">
        <v>145</v>
      </c>
      <c r="K250" s="394">
        <v>173.81</v>
      </c>
      <c r="L250" s="265">
        <v>145</v>
      </c>
      <c r="N250" s="265">
        <v>120</v>
      </c>
      <c r="O250" s="268">
        <v>120</v>
      </c>
      <c r="P250" s="265">
        <v>120</v>
      </c>
      <c r="S250" s="261" t="s">
        <v>2073</v>
      </c>
      <c r="T250" s="262"/>
      <c r="U250" s="385">
        <f t="shared" si="20"/>
        <v>18</v>
      </c>
      <c r="V250" s="218">
        <f t="shared" si="17"/>
        <v>31.29</v>
      </c>
      <c r="W250" s="37">
        <f t="shared" si="19"/>
        <v>205.1</v>
      </c>
      <c r="X250" s="37">
        <v>159</v>
      </c>
      <c r="Y250" s="37">
        <f t="shared" si="18"/>
        <v>46.099999999999994</v>
      </c>
    </row>
    <row r="251" spans="1:25">
      <c r="A251" s="277">
        <v>144</v>
      </c>
      <c r="B251" s="279" t="s">
        <v>2572</v>
      </c>
      <c r="C251" s="277" t="s">
        <v>95</v>
      </c>
      <c r="D251" s="394">
        <v>47</v>
      </c>
      <c r="E251" s="395">
        <v>48</v>
      </c>
      <c r="F251" s="394">
        <v>49</v>
      </c>
      <c r="G251" s="394">
        <v>50</v>
      </c>
      <c r="H251" s="397">
        <v>50</v>
      </c>
      <c r="I251" s="394">
        <v>50</v>
      </c>
      <c r="J251" s="394">
        <v>60</v>
      </c>
      <c r="K251" s="394">
        <v>77.040000000000006</v>
      </c>
      <c r="L251" s="265">
        <v>60</v>
      </c>
      <c r="N251" s="265">
        <v>50</v>
      </c>
      <c r="O251" s="268">
        <v>50</v>
      </c>
      <c r="P251" s="265">
        <v>50</v>
      </c>
      <c r="S251" s="261" t="s">
        <v>2073</v>
      </c>
      <c r="T251" s="262"/>
      <c r="U251" s="385">
        <f t="shared" si="20"/>
        <v>18</v>
      </c>
      <c r="V251" s="218">
        <f t="shared" si="17"/>
        <v>13.87</v>
      </c>
      <c r="W251" s="37">
        <f t="shared" si="19"/>
        <v>90.910000000000011</v>
      </c>
      <c r="X251" s="37">
        <v>66</v>
      </c>
      <c r="Y251" s="37">
        <f t="shared" si="18"/>
        <v>24.910000000000011</v>
      </c>
    </row>
    <row r="252" spans="1:25">
      <c r="A252" s="277">
        <v>145</v>
      </c>
      <c r="B252" s="279" t="s">
        <v>2573</v>
      </c>
      <c r="C252" s="277" t="s">
        <v>95</v>
      </c>
      <c r="D252" s="394">
        <v>42</v>
      </c>
      <c r="E252" s="395">
        <v>44</v>
      </c>
      <c r="F252" s="394">
        <v>43</v>
      </c>
      <c r="G252" s="394">
        <v>58</v>
      </c>
      <c r="H252" s="397">
        <v>58</v>
      </c>
      <c r="I252" s="394">
        <v>58</v>
      </c>
      <c r="J252" s="394">
        <v>69</v>
      </c>
      <c r="K252" s="394">
        <v>80.260000000000005</v>
      </c>
      <c r="L252" s="265">
        <v>69</v>
      </c>
      <c r="N252" s="265">
        <v>58</v>
      </c>
      <c r="O252" s="268">
        <v>58</v>
      </c>
      <c r="P252" s="265">
        <v>58</v>
      </c>
      <c r="S252" s="261" t="s">
        <v>2073</v>
      </c>
      <c r="T252" s="262"/>
      <c r="U252" s="385">
        <f t="shared" si="20"/>
        <v>18</v>
      </c>
      <c r="V252" s="218">
        <f t="shared" si="17"/>
        <v>14.45</v>
      </c>
      <c r="W252" s="37">
        <f t="shared" si="19"/>
        <v>94.710000000000008</v>
      </c>
      <c r="X252" s="37">
        <v>75</v>
      </c>
      <c r="Y252" s="37">
        <f t="shared" si="18"/>
        <v>19.710000000000008</v>
      </c>
    </row>
    <row r="253" spans="1:25">
      <c r="A253" s="2702" t="s">
        <v>2574</v>
      </c>
      <c r="B253" s="2703"/>
      <c r="S253" s="261"/>
      <c r="T253" s="262"/>
      <c r="U253" s="385">
        <f t="shared" si="20"/>
        <v>18</v>
      </c>
      <c r="V253" s="218">
        <f t="shared" si="17"/>
        <v>0</v>
      </c>
      <c r="W253" s="37">
        <f t="shared" si="19"/>
        <v>0</v>
      </c>
      <c r="Y253" s="37">
        <f t="shared" si="18"/>
        <v>0</v>
      </c>
    </row>
    <row r="254" spans="1:25">
      <c r="A254" s="277">
        <v>146</v>
      </c>
      <c r="B254" s="279" t="s">
        <v>2575</v>
      </c>
      <c r="S254" s="261"/>
      <c r="T254" s="262"/>
      <c r="U254" s="385">
        <f t="shared" si="20"/>
        <v>18</v>
      </c>
      <c r="V254" s="218">
        <f t="shared" si="17"/>
        <v>0</v>
      </c>
      <c r="W254" s="37">
        <f t="shared" si="19"/>
        <v>0</v>
      </c>
      <c r="Y254" s="37">
        <f t="shared" si="18"/>
        <v>0</v>
      </c>
    </row>
    <row r="255" spans="1:25">
      <c r="A255" s="271" t="s">
        <v>627</v>
      </c>
      <c r="B255" s="272" t="s">
        <v>2576</v>
      </c>
      <c r="C255" s="277" t="s">
        <v>38</v>
      </c>
      <c r="D255" s="394">
        <v>51</v>
      </c>
      <c r="E255" s="395">
        <v>53</v>
      </c>
      <c r="F255" s="394">
        <v>53</v>
      </c>
      <c r="G255" s="394">
        <v>51</v>
      </c>
      <c r="H255" s="397">
        <v>51</v>
      </c>
      <c r="I255" s="394">
        <v>51</v>
      </c>
      <c r="J255" s="394">
        <v>60</v>
      </c>
      <c r="K255" s="394">
        <v>70</v>
      </c>
      <c r="L255" s="265">
        <v>60</v>
      </c>
      <c r="N255" s="265">
        <v>51</v>
      </c>
      <c r="O255" s="268">
        <v>51</v>
      </c>
      <c r="P255" s="265">
        <v>51</v>
      </c>
      <c r="S255" s="261" t="s">
        <v>2073</v>
      </c>
      <c r="T255" s="262"/>
      <c r="U255" s="385">
        <f t="shared" si="20"/>
        <v>18</v>
      </c>
      <c r="V255" s="218">
        <f t="shared" si="17"/>
        <v>12.6</v>
      </c>
      <c r="W255" s="37">
        <f t="shared" si="19"/>
        <v>82.6</v>
      </c>
      <c r="X255" s="37">
        <v>66</v>
      </c>
      <c r="Y255" s="37">
        <f t="shared" si="18"/>
        <v>16.599999999999994</v>
      </c>
    </row>
    <row r="256" spans="1:25">
      <c r="A256" s="271" t="s">
        <v>628</v>
      </c>
      <c r="B256" s="272" t="s">
        <v>2577</v>
      </c>
      <c r="C256" s="277" t="s">
        <v>38</v>
      </c>
      <c r="D256" s="394">
        <v>42</v>
      </c>
      <c r="E256" s="395">
        <v>44</v>
      </c>
      <c r="F256" s="394">
        <v>45</v>
      </c>
      <c r="G256" s="394">
        <v>42</v>
      </c>
      <c r="H256" s="397">
        <v>42</v>
      </c>
      <c r="I256" s="394">
        <v>42</v>
      </c>
      <c r="J256" s="394">
        <v>50</v>
      </c>
      <c r="K256" s="394">
        <v>60.26</v>
      </c>
      <c r="L256" s="265">
        <v>50</v>
      </c>
      <c r="N256" s="265">
        <v>42</v>
      </c>
      <c r="O256" s="268">
        <v>42</v>
      </c>
      <c r="P256" s="265">
        <v>42</v>
      </c>
      <c r="S256" s="261" t="s">
        <v>2073</v>
      </c>
      <c r="T256" s="262"/>
      <c r="U256" s="385">
        <f t="shared" si="20"/>
        <v>18</v>
      </c>
      <c r="V256" s="218">
        <f t="shared" si="17"/>
        <v>10.85</v>
      </c>
      <c r="W256" s="37">
        <f t="shared" si="19"/>
        <v>71.11</v>
      </c>
      <c r="X256" s="37">
        <v>55</v>
      </c>
      <c r="Y256" s="37">
        <f t="shared" si="18"/>
        <v>16.11</v>
      </c>
    </row>
    <row r="257" spans="1:25">
      <c r="A257" s="271" t="s">
        <v>629</v>
      </c>
      <c r="B257" s="272" t="s">
        <v>2578</v>
      </c>
      <c r="C257" s="277" t="s">
        <v>38</v>
      </c>
      <c r="D257" s="394">
        <v>39</v>
      </c>
      <c r="E257" s="395">
        <v>40</v>
      </c>
      <c r="F257" s="394">
        <v>41</v>
      </c>
      <c r="G257" s="394">
        <v>39</v>
      </c>
      <c r="H257" s="397">
        <v>39</v>
      </c>
      <c r="I257" s="394">
        <v>39</v>
      </c>
      <c r="J257" s="394">
        <v>47</v>
      </c>
      <c r="K257" s="394">
        <v>56.09</v>
      </c>
      <c r="L257" s="265">
        <v>47</v>
      </c>
      <c r="N257" s="265">
        <v>39</v>
      </c>
      <c r="O257" s="268">
        <v>39</v>
      </c>
      <c r="P257" s="265">
        <v>39</v>
      </c>
      <c r="S257" s="261" t="s">
        <v>2073</v>
      </c>
      <c r="T257" s="262"/>
      <c r="U257" s="385">
        <f t="shared" si="20"/>
        <v>18</v>
      </c>
      <c r="V257" s="218">
        <f t="shared" si="17"/>
        <v>10.1</v>
      </c>
      <c r="W257" s="37">
        <f t="shared" si="19"/>
        <v>66.19</v>
      </c>
      <c r="X257" s="37">
        <v>51</v>
      </c>
      <c r="Y257" s="37">
        <f t="shared" si="18"/>
        <v>15.189999999999998</v>
      </c>
    </row>
    <row r="258" spans="1:25">
      <c r="A258" s="271" t="s">
        <v>1847</v>
      </c>
      <c r="B258" s="272" t="s">
        <v>2579</v>
      </c>
      <c r="C258" s="277" t="s">
        <v>38</v>
      </c>
      <c r="D258" s="394">
        <v>37</v>
      </c>
      <c r="E258" s="395">
        <v>39</v>
      </c>
      <c r="F258" s="394">
        <v>40</v>
      </c>
      <c r="G258" s="394">
        <v>37</v>
      </c>
      <c r="H258" s="397">
        <v>37</v>
      </c>
      <c r="I258" s="394">
        <v>37</v>
      </c>
      <c r="J258" s="394">
        <v>45</v>
      </c>
      <c r="K258" s="394">
        <v>55.67</v>
      </c>
      <c r="L258" s="265">
        <v>45</v>
      </c>
      <c r="N258" s="265">
        <v>37</v>
      </c>
      <c r="O258" s="268">
        <v>37</v>
      </c>
      <c r="P258" s="265">
        <v>37</v>
      </c>
      <c r="S258" s="261" t="s">
        <v>2073</v>
      </c>
      <c r="T258" s="262"/>
      <c r="U258" s="385">
        <f t="shared" si="20"/>
        <v>18</v>
      </c>
      <c r="V258" s="218">
        <f t="shared" si="17"/>
        <v>10.02</v>
      </c>
      <c r="W258" s="37">
        <f t="shared" si="19"/>
        <v>65.69</v>
      </c>
      <c r="X258" s="37">
        <v>49</v>
      </c>
      <c r="Y258" s="37">
        <f t="shared" si="18"/>
        <v>16.689999999999998</v>
      </c>
    </row>
    <row r="259" spans="1:25">
      <c r="A259" s="271" t="s">
        <v>1849</v>
      </c>
      <c r="B259" s="272" t="s">
        <v>2580</v>
      </c>
      <c r="C259" s="277" t="s">
        <v>38</v>
      </c>
      <c r="D259" s="394">
        <v>21</v>
      </c>
      <c r="E259" s="395">
        <v>22</v>
      </c>
      <c r="F259" s="394">
        <v>23</v>
      </c>
      <c r="G259" s="394">
        <v>25</v>
      </c>
      <c r="H259" s="397">
        <v>25</v>
      </c>
      <c r="I259" s="394">
        <v>25</v>
      </c>
      <c r="J259" s="394">
        <v>30</v>
      </c>
      <c r="K259" s="394">
        <v>39.99</v>
      </c>
      <c r="L259" s="265">
        <v>30</v>
      </c>
      <c r="N259" s="265">
        <v>25</v>
      </c>
      <c r="O259" s="268">
        <v>25</v>
      </c>
      <c r="P259" s="265">
        <v>25</v>
      </c>
      <c r="S259" s="261" t="s">
        <v>2073</v>
      </c>
      <c r="T259" s="262"/>
      <c r="U259" s="385">
        <f t="shared" si="20"/>
        <v>18</v>
      </c>
      <c r="V259" s="218">
        <f t="shared" si="17"/>
        <v>7.2</v>
      </c>
      <c r="W259" s="37">
        <f t="shared" si="19"/>
        <v>47.190000000000005</v>
      </c>
      <c r="X259" s="37">
        <v>33</v>
      </c>
      <c r="Y259" s="37">
        <f t="shared" si="18"/>
        <v>14.190000000000005</v>
      </c>
    </row>
    <row r="260" spans="1:25">
      <c r="A260" s="271" t="s">
        <v>1851</v>
      </c>
      <c r="B260" s="272" t="s">
        <v>2581</v>
      </c>
      <c r="C260" s="277" t="s">
        <v>38</v>
      </c>
      <c r="D260" s="394">
        <v>10</v>
      </c>
      <c r="E260" s="395">
        <v>10</v>
      </c>
      <c r="F260" s="394">
        <v>10</v>
      </c>
      <c r="G260" s="394">
        <v>10</v>
      </c>
      <c r="H260" s="397">
        <v>10</v>
      </c>
      <c r="I260" s="394">
        <v>10</v>
      </c>
      <c r="J260" s="394">
        <v>12</v>
      </c>
      <c r="K260" s="394">
        <v>18.940000000000001</v>
      </c>
      <c r="L260" s="265">
        <v>12</v>
      </c>
      <c r="N260" s="265">
        <v>10</v>
      </c>
      <c r="O260" s="268">
        <v>10</v>
      </c>
      <c r="P260" s="265">
        <v>10</v>
      </c>
      <c r="S260" s="261" t="s">
        <v>2073</v>
      </c>
      <c r="T260" s="262"/>
      <c r="U260" s="385">
        <f t="shared" si="20"/>
        <v>18</v>
      </c>
      <c r="V260" s="218">
        <f t="shared" ref="V260:V323" si="21">ROUND(K260*U260/100,2)</f>
        <v>3.41</v>
      </c>
      <c r="W260" s="37">
        <f t="shared" si="19"/>
        <v>22.35</v>
      </c>
      <c r="X260" s="37">
        <v>13</v>
      </c>
      <c r="Y260" s="37">
        <f t="shared" ref="Y260:Y323" si="22">W260-X260</f>
        <v>9.3500000000000014</v>
      </c>
    </row>
    <row r="261" spans="1:25">
      <c r="A261" s="277">
        <v>147</v>
      </c>
      <c r="B261" s="279" t="s">
        <v>2582</v>
      </c>
      <c r="S261" s="261"/>
      <c r="T261" s="262"/>
      <c r="U261" s="385">
        <f t="shared" si="20"/>
        <v>18</v>
      </c>
      <c r="V261" s="218">
        <f t="shared" si="21"/>
        <v>0</v>
      </c>
      <c r="W261" s="37">
        <f t="shared" si="19"/>
        <v>0</v>
      </c>
      <c r="Y261" s="37">
        <f t="shared" si="22"/>
        <v>0</v>
      </c>
    </row>
    <row r="262" spans="1:25">
      <c r="A262" s="271" t="s">
        <v>627</v>
      </c>
      <c r="B262" s="272" t="s">
        <v>2583</v>
      </c>
      <c r="C262" s="277" t="s">
        <v>38</v>
      </c>
      <c r="D262" s="394">
        <v>20</v>
      </c>
      <c r="E262" s="395">
        <v>20</v>
      </c>
      <c r="F262" s="394">
        <v>20</v>
      </c>
      <c r="G262" s="394">
        <v>22</v>
      </c>
      <c r="H262" s="397">
        <v>22</v>
      </c>
      <c r="I262" s="394">
        <v>22</v>
      </c>
      <c r="J262" s="394">
        <v>26</v>
      </c>
      <c r="K262" s="394">
        <v>35.15</v>
      </c>
      <c r="L262" s="265">
        <v>26</v>
      </c>
      <c r="N262" s="265">
        <v>22</v>
      </c>
      <c r="O262" s="268">
        <v>22</v>
      </c>
      <c r="P262" s="265">
        <v>22</v>
      </c>
      <c r="S262" s="261" t="s">
        <v>2073</v>
      </c>
      <c r="T262" s="262"/>
      <c r="U262" s="385">
        <f t="shared" si="20"/>
        <v>18</v>
      </c>
      <c r="V262" s="218">
        <f t="shared" si="21"/>
        <v>6.33</v>
      </c>
      <c r="W262" s="37">
        <f t="shared" si="19"/>
        <v>41.48</v>
      </c>
      <c r="X262" s="37">
        <v>28</v>
      </c>
      <c r="Y262" s="37">
        <f t="shared" si="22"/>
        <v>13.479999999999997</v>
      </c>
    </row>
    <row r="263" spans="1:25">
      <c r="A263" s="271" t="s">
        <v>628</v>
      </c>
      <c r="B263" s="272" t="s">
        <v>2584</v>
      </c>
      <c r="C263" s="277" t="s">
        <v>38</v>
      </c>
      <c r="D263" s="394">
        <v>16</v>
      </c>
      <c r="E263" s="395">
        <v>17</v>
      </c>
      <c r="F263" s="394">
        <v>17</v>
      </c>
      <c r="G263" s="394">
        <v>22</v>
      </c>
      <c r="H263" s="397">
        <v>22</v>
      </c>
      <c r="I263" s="394">
        <v>22</v>
      </c>
      <c r="J263" s="394">
        <v>26</v>
      </c>
      <c r="K263" s="394">
        <v>35.03</v>
      </c>
      <c r="L263" s="265">
        <v>26</v>
      </c>
      <c r="N263" s="265">
        <v>22</v>
      </c>
      <c r="O263" s="268">
        <v>22</v>
      </c>
      <c r="P263" s="265">
        <v>22</v>
      </c>
      <c r="S263" s="261" t="s">
        <v>2073</v>
      </c>
      <c r="T263" s="262"/>
      <c r="U263" s="385">
        <f t="shared" si="20"/>
        <v>18</v>
      </c>
      <c r="V263" s="218">
        <f t="shared" si="21"/>
        <v>6.31</v>
      </c>
      <c r="W263" s="37">
        <f t="shared" ref="W263:W326" si="23">K263+V263</f>
        <v>41.34</v>
      </c>
      <c r="X263" s="37">
        <v>28</v>
      </c>
      <c r="Y263" s="37">
        <f t="shared" si="22"/>
        <v>13.340000000000003</v>
      </c>
    </row>
    <row r="264" spans="1:25">
      <c r="A264" s="271" t="s">
        <v>629</v>
      </c>
      <c r="B264" s="272" t="s">
        <v>2585</v>
      </c>
      <c r="C264" s="277" t="s">
        <v>38</v>
      </c>
      <c r="D264" s="394">
        <v>15</v>
      </c>
      <c r="E264" s="395">
        <v>15</v>
      </c>
      <c r="F264" s="394">
        <v>16</v>
      </c>
      <c r="G264" s="394">
        <v>21</v>
      </c>
      <c r="H264" s="397">
        <v>21</v>
      </c>
      <c r="I264" s="394">
        <v>21</v>
      </c>
      <c r="J264" s="394">
        <v>25</v>
      </c>
      <c r="K264" s="394">
        <v>31.31</v>
      </c>
      <c r="L264" s="265">
        <v>25</v>
      </c>
      <c r="N264" s="265">
        <v>21</v>
      </c>
      <c r="O264" s="268">
        <v>21</v>
      </c>
      <c r="P264" s="265">
        <v>21</v>
      </c>
      <c r="S264" s="261" t="s">
        <v>2073</v>
      </c>
      <c r="T264" s="262"/>
      <c r="U264" s="385">
        <f t="shared" si="20"/>
        <v>18</v>
      </c>
      <c r="V264" s="218">
        <f t="shared" si="21"/>
        <v>5.64</v>
      </c>
      <c r="W264" s="37">
        <f t="shared" si="23"/>
        <v>36.949999999999996</v>
      </c>
      <c r="X264" s="37">
        <v>27</v>
      </c>
      <c r="Y264" s="37">
        <f t="shared" si="22"/>
        <v>9.9499999999999957</v>
      </c>
    </row>
    <row r="265" spans="1:25">
      <c r="A265" s="271" t="s">
        <v>1847</v>
      </c>
      <c r="B265" s="272" t="s">
        <v>2586</v>
      </c>
      <c r="C265" s="277" t="s">
        <v>38</v>
      </c>
      <c r="D265" s="394">
        <v>21</v>
      </c>
      <c r="E265" s="395">
        <v>21</v>
      </c>
      <c r="F265" s="394">
        <v>21</v>
      </c>
      <c r="G265" s="394">
        <v>20</v>
      </c>
      <c r="H265" s="397">
        <v>20</v>
      </c>
      <c r="I265" s="394">
        <v>20</v>
      </c>
      <c r="J265" s="394">
        <v>24</v>
      </c>
      <c r="K265" s="394">
        <v>30</v>
      </c>
      <c r="L265" s="265">
        <v>24</v>
      </c>
      <c r="N265" s="265">
        <v>20</v>
      </c>
      <c r="O265" s="268">
        <v>20</v>
      </c>
      <c r="P265" s="265">
        <v>20</v>
      </c>
      <c r="S265" s="261" t="s">
        <v>2073</v>
      </c>
      <c r="T265" s="262"/>
      <c r="U265" s="385">
        <f t="shared" si="20"/>
        <v>18</v>
      </c>
      <c r="V265" s="218">
        <f t="shared" si="21"/>
        <v>5.4</v>
      </c>
      <c r="W265" s="37">
        <f t="shared" si="23"/>
        <v>35.4</v>
      </c>
      <c r="X265" s="37">
        <v>26</v>
      </c>
      <c r="Y265" s="37">
        <f t="shared" si="22"/>
        <v>9.3999999999999986</v>
      </c>
    </row>
    <row r="266" spans="1:25" ht="37.5">
      <c r="A266" s="277">
        <v>148</v>
      </c>
      <c r="B266" s="279" t="s">
        <v>2587</v>
      </c>
      <c r="S266" s="261"/>
      <c r="T266" s="262"/>
      <c r="U266" s="385">
        <f t="shared" si="20"/>
        <v>18</v>
      </c>
      <c r="V266" s="218">
        <f t="shared" si="21"/>
        <v>0</v>
      </c>
      <c r="W266" s="37">
        <f t="shared" si="23"/>
        <v>0</v>
      </c>
      <c r="Y266" s="37">
        <f t="shared" si="22"/>
        <v>0</v>
      </c>
    </row>
    <row r="267" spans="1:25">
      <c r="A267" s="271" t="s">
        <v>627</v>
      </c>
      <c r="B267" s="272" t="s">
        <v>2588</v>
      </c>
      <c r="C267" s="277" t="s">
        <v>38</v>
      </c>
      <c r="D267" s="394">
        <v>46</v>
      </c>
      <c r="E267" s="395">
        <v>52</v>
      </c>
      <c r="F267" s="394">
        <v>47</v>
      </c>
      <c r="G267" s="394">
        <v>50</v>
      </c>
      <c r="H267" s="397">
        <v>50</v>
      </c>
      <c r="I267" s="394">
        <v>50</v>
      </c>
      <c r="J267" s="394">
        <v>60</v>
      </c>
      <c r="K267" s="394">
        <v>72.31</v>
      </c>
      <c r="L267" s="265">
        <v>60</v>
      </c>
      <c r="N267" s="265">
        <v>50</v>
      </c>
      <c r="O267" s="268">
        <v>50</v>
      </c>
      <c r="P267" s="265">
        <v>50</v>
      </c>
      <c r="S267" s="261" t="s">
        <v>2073</v>
      </c>
      <c r="T267" s="262"/>
      <c r="U267" s="385">
        <f t="shared" si="20"/>
        <v>18</v>
      </c>
      <c r="V267" s="218">
        <f t="shared" si="21"/>
        <v>13.02</v>
      </c>
      <c r="W267" s="37">
        <f t="shared" si="23"/>
        <v>85.33</v>
      </c>
      <c r="X267" s="37">
        <v>66</v>
      </c>
      <c r="Y267" s="37">
        <f t="shared" si="22"/>
        <v>19.329999999999998</v>
      </c>
    </row>
    <row r="268" spans="1:25">
      <c r="A268" s="271" t="s">
        <v>628</v>
      </c>
      <c r="B268" s="272" t="s">
        <v>2589</v>
      </c>
      <c r="C268" s="277" t="s">
        <v>38</v>
      </c>
      <c r="D268" s="394">
        <v>41</v>
      </c>
      <c r="E268" s="395">
        <v>44</v>
      </c>
      <c r="F268" s="394">
        <v>42</v>
      </c>
      <c r="G268" s="394">
        <v>45</v>
      </c>
      <c r="H268" s="397">
        <v>45</v>
      </c>
      <c r="I268" s="394">
        <v>45</v>
      </c>
      <c r="J268" s="394">
        <v>55</v>
      </c>
      <c r="K268" s="394">
        <v>65.510000000000005</v>
      </c>
      <c r="L268" s="265">
        <v>55</v>
      </c>
      <c r="N268" s="265">
        <v>45</v>
      </c>
      <c r="O268" s="268">
        <v>45</v>
      </c>
      <c r="P268" s="265">
        <v>45</v>
      </c>
      <c r="S268" s="261" t="s">
        <v>2073</v>
      </c>
      <c r="T268" s="262"/>
      <c r="U268" s="385">
        <f t="shared" si="20"/>
        <v>18</v>
      </c>
      <c r="V268" s="1308">
        <f t="shared" si="21"/>
        <v>11.79</v>
      </c>
      <c r="W268" s="37">
        <f t="shared" si="23"/>
        <v>77.300000000000011</v>
      </c>
      <c r="X268" s="37">
        <v>60</v>
      </c>
      <c r="Y268" s="37">
        <f t="shared" si="22"/>
        <v>17.300000000000011</v>
      </c>
    </row>
    <row r="269" spans="1:25">
      <c r="A269" s="271" t="s">
        <v>629</v>
      </c>
      <c r="B269" s="272" t="s">
        <v>2590</v>
      </c>
      <c r="C269" s="277" t="s">
        <v>38</v>
      </c>
      <c r="D269" s="394">
        <v>38</v>
      </c>
      <c r="E269" s="395">
        <v>41</v>
      </c>
      <c r="F269" s="394">
        <v>38</v>
      </c>
      <c r="G269" s="394">
        <v>42</v>
      </c>
      <c r="H269" s="397">
        <v>42</v>
      </c>
      <c r="I269" s="394">
        <v>42</v>
      </c>
      <c r="J269" s="394">
        <v>50</v>
      </c>
      <c r="K269" s="394">
        <v>59.46</v>
      </c>
      <c r="L269" s="265">
        <v>50</v>
      </c>
      <c r="N269" s="265">
        <v>42</v>
      </c>
      <c r="O269" s="268">
        <v>42</v>
      </c>
      <c r="P269" s="265">
        <v>42</v>
      </c>
      <c r="S269" s="261" t="s">
        <v>2073</v>
      </c>
      <c r="T269" s="262"/>
      <c r="U269" s="385">
        <f t="shared" si="20"/>
        <v>18</v>
      </c>
      <c r="V269" s="1308">
        <f t="shared" si="21"/>
        <v>10.7</v>
      </c>
      <c r="W269" s="37">
        <f t="shared" si="23"/>
        <v>70.16</v>
      </c>
      <c r="X269" s="37">
        <v>55</v>
      </c>
      <c r="Y269" s="37">
        <f t="shared" si="22"/>
        <v>15.159999999999997</v>
      </c>
    </row>
    <row r="270" spans="1:25">
      <c r="A270" s="271" t="s">
        <v>1847</v>
      </c>
      <c r="B270" s="272" t="s">
        <v>2591</v>
      </c>
      <c r="C270" s="277" t="s">
        <v>38</v>
      </c>
      <c r="D270" s="394">
        <v>34</v>
      </c>
      <c r="E270" s="395">
        <v>35</v>
      </c>
      <c r="F270" s="394">
        <v>33</v>
      </c>
      <c r="G270" s="394">
        <v>35</v>
      </c>
      <c r="H270" s="397">
        <v>35</v>
      </c>
      <c r="I270" s="394">
        <v>35</v>
      </c>
      <c r="J270" s="394">
        <v>42</v>
      </c>
      <c r="K270" s="394">
        <v>54.26</v>
      </c>
      <c r="L270" s="265">
        <v>42</v>
      </c>
      <c r="N270" s="265">
        <v>35</v>
      </c>
      <c r="O270" s="268">
        <v>35</v>
      </c>
      <c r="P270" s="265">
        <v>35</v>
      </c>
      <c r="S270" s="261" t="s">
        <v>2073</v>
      </c>
      <c r="T270" s="262"/>
      <c r="U270" s="385">
        <f t="shared" si="20"/>
        <v>18</v>
      </c>
      <c r="V270" s="218">
        <f t="shared" si="21"/>
        <v>9.77</v>
      </c>
      <c r="W270" s="37">
        <f t="shared" si="23"/>
        <v>64.03</v>
      </c>
      <c r="X270" s="37">
        <v>46</v>
      </c>
      <c r="Y270" s="37">
        <f t="shared" si="22"/>
        <v>18.03</v>
      </c>
    </row>
    <row r="271" spans="1:25">
      <c r="A271" s="271" t="s">
        <v>1849</v>
      </c>
      <c r="B271" s="272" t="s">
        <v>2592</v>
      </c>
      <c r="C271" s="277" t="s">
        <v>38</v>
      </c>
      <c r="D271" s="394">
        <v>28</v>
      </c>
      <c r="E271" s="395">
        <v>28</v>
      </c>
      <c r="F271" s="394">
        <v>28</v>
      </c>
      <c r="G271" s="394">
        <v>28</v>
      </c>
      <c r="H271" s="397">
        <v>28</v>
      </c>
      <c r="I271" s="394">
        <v>28</v>
      </c>
      <c r="J271" s="394">
        <v>34</v>
      </c>
      <c r="K271" s="394">
        <v>45.17</v>
      </c>
      <c r="L271" s="265">
        <v>34</v>
      </c>
      <c r="N271" s="265">
        <v>28</v>
      </c>
      <c r="O271" s="268">
        <v>28</v>
      </c>
      <c r="P271" s="265">
        <v>28</v>
      </c>
      <c r="S271" s="261" t="s">
        <v>2073</v>
      </c>
      <c r="T271" s="262"/>
      <c r="U271" s="385">
        <f t="shared" si="20"/>
        <v>18</v>
      </c>
      <c r="V271" s="218">
        <f t="shared" si="21"/>
        <v>8.1300000000000008</v>
      </c>
      <c r="W271" s="37">
        <f t="shared" si="23"/>
        <v>53.300000000000004</v>
      </c>
      <c r="X271" s="37">
        <v>37</v>
      </c>
      <c r="Y271" s="37">
        <f t="shared" si="22"/>
        <v>16.300000000000004</v>
      </c>
    </row>
    <row r="272" spans="1:25">
      <c r="A272" s="277">
        <v>149</v>
      </c>
      <c r="B272" s="279" t="s">
        <v>2593</v>
      </c>
      <c r="S272" s="261"/>
      <c r="T272" s="262"/>
      <c r="U272" s="385">
        <f t="shared" si="20"/>
        <v>18</v>
      </c>
      <c r="V272" s="218">
        <f t="shared" si="21"/>
        <v>0</v>
      </c>
      <c r="W272" s="37">
        <f t="shared" si="23"/>
        <v>0</v>
      </c>
      <c r="Y272" s="37">
        <f t="shared" si="22"/>
        <v>0</v>
      </c>
    </row>
    <row r="273" spans="1:25">
      <c r="A273" s="271" t="s">
        <v>627</v>
      </c>
      <c r="B273" s="272" t="s">
        <v>2594</v>
      </c>
      <c r="C273" s="277" t="s">
        <v>38</v>
      </c>
      <c r="D273" s="394">
        <v>174</v>
      </c>
      <c r="E273" s="395">
        <v>179</v>
      </c>
      <c r="F273" s="394">
        <v>179</v>
      </c>
      <c r="G273" s="394">
        <v>174</v>
      </c>
      <c r="H273" s="397">
        <v>174</v>
      </c>
      <c r="I273" s="394">
        <v>174</v>
      </c>
      <c r="J273" s="394">
        <v>200</v>
      </c>
      <c r="K273" s="394">
        <v>232.98</v>
      </c>
      <c r="L273" s="265">
        <v>200</v>
      </c>
      <c r="N273" s="265">
        <v>174</v>
      </c>
      <c r="O273" s="268">
        <v>174</v>
      </c>
      <c r="P273" s="265">
        <v>174</v>
      </c>
      <c r="S273" s="261" t="s">
        <v>2073</v>
      </c>
      <c r="T273" s="262"/>
      <c r="U273" s="385">
        <f t="shared" si="20"/>
        <v>18</v>
      </c>
      <c r="V273" s="218">
        <f t="shared" si="21"/>
        <v>41.94</v>
      </c>
      <c r="W273" s="37">
        <f t="shared" si="23"/>
        <v>274.91999999999996</v>
      </c>
      <c r="X273" s="37">
        <v>220</v>
      </c>
      <c r="Y273" s="37">
        <f t="shared" si="22"/>
        <v>54.919999999999959</v>
      </c>
    </row>
    <row r="274" spans="1:25">
      <c r="A274" s="271" t="s">
        <v>628</v>
      </c>
      <c r="B274" s="272" t="s">
        <v>2595</v>
      </c>
      <c r="C274" s="277" t="s">
        <v>38</v>
      </c>
      <c r="D274" s="394">
        <v>164</v>
      </c>
      <c r="E274" s="395">
        <v>163</v>
      </c>
      <c r="F274" s="394">
        <v>159</v>
      </c>
      <c r="G274" s="394">
        <v>164</v>
      </c>
      <c r="H274" s="397">
        <v>164</v>
      </c>
      <c r="I274" s="394">
        <v>164</v>
      </c>
      <c r="J274" s="394">
        <v>190</v>
      </c>
      <c r="K274" s="394">
        <v>223.68</v>
      </c>
      <c r="L274" s="265">
        <v>190</v>
      </c>
      <c r="N274" s="265">
        <v>164</v>
      </c>
      <c r="O274" s="268">
        <v>164</v>
      </c>
      <c r="P274" s="265">
        <v>164</v>
      </c>
      <c r="S274" s="261" t="s">
        <v>2073</v>
      </c>
      <c r="T274" s="262"/>
      <c r="U274" s="385">
        <f t="shared" si="20"/>
        <v>18</v>
      </c>
      <c r="V274" s="218">
        <f t="shared" si="21"/>
        <v>40.26</v>
      </c>
      <c r="W274" s="37">
        <f t="shared" si="23"/>
        <v>263.94</v>
      </c>
      <c r="X274" s="37">
        <v>209</v>
      </c>
      <c r="Y274" s="37">
        <f t="shared" si="22"/>
        <v>54.94</v>
      </c>
    </row>
    <row r="275" spans="1:25" ht="17.25" customHeight="1">
      <c r="A275" s="263">
        <v>150</v>
      </c>
      <c r="B275" s="285" t="s">
        <v>2596</v>
      </c>
      <c r="S275" s="261"/>
      <c r="T275" s="262"/>
      <c r="U275" s="385">
        <f t="shared" ref="U275:U299" si="24">U274</f>
        <v>18</v>
      </c>
      <c r="V275" s="218">
        <f t="shared" si="21"/>
        <v>0</v>
      </c>
      <c r="W275" s="37">
        <f t="shared" si="23"/>
        <v>0</v>
      </c>
      <c r="Y275" s="37">
        <f t="shared" si="22"/>
        <v>0</v>
      </c>
    </row>
    <row r="276" spans="1:25">
      <c r="A276" s="271" t="s">
        <v>627</v>
      </c>
      <c r="B276" s="272" t="s">
        <v>2597</v>
      </c>
      <c r="C276" s="277" t="s">
        <v>38</v>
      </c>
      <c r="D276" s="394">
        <v>43</v>
      </c>
      <c r="E276" s="395">
        <v>47</v>
      </c>
      <c r="F276" s="394">
        <v>45</v>
      </c>
      <c r="G276" s="394">
        <v>48</v>
      </c>
      <c r="H276" s="397">
        <v>48</v>
      </c>
      <c r="I276" s="394">
        <v>48</v>
      </c>
      <c r="J276" s="394">
        <v>60</v>
      </c>
      <c r="K276" s="394">
        <v>74.22</v>
      </c>
      <c r="L276" s="265">
        <v>60</v>
      </c>
      <c r="N276" s="265">
        <v>48</v>
      </c>
      <c r="O276" s="268">
        <v>48</v>
      </c>
      <c r="P276" s="265">
        <v>48</v>
      </c>
      <c r="S276" s="261" t="s">
        <v>2073</v>
      </c>
      <c r="T276" s="262"/>
      <c r="U276" s="385">
        <f t="shared" si="24"/>
        <v>18</v>
      </c>
      <c r="V276" s="218">
        <f t="shared" si="21"/>
        <v>13.36</v>
      </c>
      <c r="W276" s="37">
        <f t="shared" si="23"/>
        <v>87.58</v>
      </c>
      <c r="X276" s="37">
        <v>66</v>
      </c>
      <c r="Y276" s="37">
        <f t="shared" si="22"/>
        <v>21.58</v>
      </c>
    </row>
    <row r="277" spans="1:25">
      <c r="A277" s="271" t="s">
        <v>628</v>
      </c>
      <c r="B277" s="272" t="s">
        <v>2598</v>
      </c>
      <c r="C277" s="277" t="s">
        <v>38</v>
      </c>
      <c r="D277" s="394">
        <v>31</v>
      </c>
      <c r="E277" s="395">
        <v>34</v>
      </c>
      <c r="F277" s="394">
        <v>34</v>
      </c>
      <c r="G277" s="394">
        <v>36</v>
      </c>
      <c r="H277" s="397">
        <v>36</v>
      </c>
      <c r="I277" s="394">
        <v>36</v>
      </c>
      <c r="J277" s="394">
        <v>45</v>
      </c>
      <c r="K277" s="394">
        <v>62.63</v>
      </c>
      <c r="L277" s="265">
        <v>45</v>
      </c>
      <c r="N277" s="265">
        <v>36</v>
      </c>
      <c r="O277" s="268">
        <v>36</v>
      </c>
      <c r="P277" s="265">
        <v>36</v>
      </c>
      <c r="S277" s="261" t="s">
        <v>2073</v>
      </c>
      <c r="T277" s="262"/>
      <c r="U277" s="385">
        <f t="shared" si="24"/>
        <v>18</v>
      </c>
      <c r="V277" s="218">
        <f t="shared" si="21"/>
        <v>11.27</v>
      </c>
      <c r="W277" s="37">
        <f t="shared" si="23"/>
        <v>73.900000000000006</v>
      </c>
      <c r="X277" s="37">
        <v>49</v>
      </c>
      <c r="Y277" s="37">
        <f t="shared" si="22"/>
        <v>24.900000000000006</v>
      </c>
    </row>
    <row r="278" spans="1:25">
      <c r="A278" s="271" t="s">
        <v>629</v>
      </c>
      <c r="B278" s="272" t="s">
        <v>2599</v>
      </c>
      <c r="C278" s="277" t="s">
        <v>38</v>
      </c>
      <c r="D278" s="394">
        <v>21</v>
      </c>
      <c r="E278" s="395">
        <v>23</v>
      </c>
      <c r="F278" s="394">
        <v>22</v>
      </c>
      <c r="G278" s="394">
        <v>26</v>
      </c>
      <c r="H278" s="397">
        <v>26</v>
      </c>
      <c r="I278" s="394">
        <v>26</v>
      </c>
      <c r="J278" s="394">
        <v>33</v>
      </c>
      <c r="K278" s="394">
        <v>40.64</v>
      </c>
      <c r="L278" s="265">
        <v>33</v>
      </c>
      <c r="N278" s="265">
        <v>26</v>
      </c>
      <c r="O278" s="268">
        <v>26</v>
      </c>
      <c r="P278" s="265">
        <v>26</v>
      </c>
      <c r="S278" s="261" t="s">
        <v>2073</v>
      </c>
      <c r="T278" s="262"/>
      <c r="U278" s="385">
        <f t="shared" si="24"/>
        <v>18</v>
      </c>
      <c r="V278" s="218">
        <f t="shared" si="21"/>
        <v>7.32</v>
      </c>
      <c r="W278" s="37">
        <f t="shared" si="23"/>
        <v>47.96</v>
      </c>
      <c r="X278" s="37">
        <v>36</v>
      </c>
      <c r="Y278" s="37">
        <f t="shared" si="22"/>
        <v>11.96</v>
      </c>
    </row>
    <row r="279" spans="1:25">
      <c r="A279" s="271" t="s">
        <v>1847</v>
      </c>
      <c r="B279" s="272" t="s">
        <v>2600</v>
      </c>
      <c r="C279" s="277" t="s">
        <v>38</v>
      </c>
      <c r="D279" s="394">
        <v>11</v>
      </c>
      <c r="E279" s="395">
        <v>11</v>
      </c>
      <c r="F279" s="394">
        <v>11</v>
      </c>
      <c r="G279" s="394">
        <v>14</v>
      </c>
      <c r="H279" s="397">
        <v>14</v>
      </c>
      <c r="I279" s="394">
        <v>14</v>
      </c>
      <c r="J279" s="394">
        <v>17</v>
      </c>
      <c r="K279" s="394">
        <v>20.62</v>
      </c>
      <c r="L279" s="265">
        <v>17</v>
      </c>
      <c r="N279" s="265">
        <v>14</v>
      </c>
      <c r="O279" s="268">
        <v>14</v>
      </c>
      <c r="P279" s="265">
        <v>14</v>
      </c>
      <c r="S279" s="261" t="s">
        <v>2073</v>
      </c>
      <c r="T279" s="262"/>
      <c r="U279" s="385">
        <f t="shared" si="24"/>
        <v>18</v>
      </c>
      <c r="V279" s="218">
        <f t="shared" si="21"/>
        <v>3.71</v>
      </c>
      <c r="W279" s="37">
        <f t="shared" si="23"/>
        <v>24.330000000000002</v>
      </c>
      <c r="X279" s="37">
        <v>18</v>
      </c>
      <c r="Y279" s="37">
        <f t="shared" si="22"/>
        <v>6.3300000000000018</v>
      </c>
    </row>
    <row r="280" spans="1:25">
      <c r="A280" s="277">
        <v>151</v>
      </c>
      <c r="B280" s="279" t="s">
        <v>3709</v>
      </c>
      <c r="S280" s="261"/>
      <c r="T280" s="262"/>
      <c r="U280" s="385">
        <f t="shared" si="24"/>
        <v>18</v>
      </c>
      <c r="V280" s="218">
        <f t="shared" si="21"/>
        <v>0</v>
      </c>
      <c r="W280" s="37">
        <f t="shared" si="23"/>
        <v>0</v>
      </c>
      <c r="Y280" s="37">
        <f t="shared" si="22"/>
        <v>0</v>
      </c>
    </row>
    <row r="281" spans="1:25">
      <c r="A281" s="271" t="s">
        <v>627</v>
      </c>
      <c r="B281" s="272" t="s">
        <v>2601</v>
      </c>
      <c r="C281" s="277" t="s">
        <v>38</v>
      </c>
      <c r="D281" s="394">
        <v>147</v>
      </c>
      <c r="E281" s="395">
        <v>154</v>
      </c>
      <c r="F281" s="394">
        <v>153</v>
      </c>
      <c r="G281" s="394">
        <v>147</v>
      </c>
      <c r="H281" s="397">
        <v>147</v>
      </c>
      <c r="I281" s="394">
        <v>147</v>
      </c>
      <c r="J281" s="394">
        <v>185</v>
      </c>
      <c r="K281" s="394">
        <v>223.43</v>
      </c>
      <c r="L281" s="265">
        <v>185</v>
      </c>
      <c r="N281" s="265">
        <v>147</v>
      </c>
      <c r="O281" s="268">
        <v>147</v>
      </c>
      <c r="P281" s="265">
        <v>147</v>
      </c>
      <c r="S281" s="261" t="s">
        <v>2073</v>
      </c>
      <c r="T281" s="262"/>
      <c r="U281" s="385">
        <f t="shared" si="24"/>
        <v>18</v>
      </c>
      <c r="V281" s="1308">
        <f t="shared" si="21"/>
        <v>40.22</v>
      </c>
      <c r="W281" s="37">
        <f t="shared" si="23"/>
        <v>263.64999999999998</v>
      </c>
      <c r="X281" s="37">
        <v>203</v>
      </c>
      <c r="Y281" s="37">
        <f t="shared" si="22"/>
        <v>60.649999999999977</v>
      </c>
    </row>
    <row r="282" spans="1:25">
      <c r="A282" s="271" t="s">
        <v>628</v>
      </c>
      <c r="B282" s="272" t="s">
        <v>2602</v>
      </c>
      <c r="C282" s="277" t="s">
        <v>38</v>
      </c>
      <c r="D282" s="394">
        <v>132</v>
      </c>
      <c r="E282" s="395">
        <v>132</v>
      </c>
      <c r="F282" s="394">
        <v>134</v>
      </c>
      <c r="G282" s="394">
        <v>132</v>
      </c>
      <c r="H282" s="397">
        <v>132</v>
      </c>
      <c r="I282" s="394">
        <v>132</v>
      </c>
      <c r="J282" s="394">
        <v>167</v>
      </c>
      <c r="K282" s="394">
        <v>207.78</v>
      </c>
      <c r="L282" s="265">
        <v>167</v>
      </c>
      <c r="N282" s="265">
        <v>132</v>
      </c>
      <c r="O282" s="268">
        <v>132</v>
      </c>
      <c r="P282" s="265">
        <v>132</v>
      </c>
      <c r="S282" s="261" t="s">
        <v>2073</v>
      </c>
      <c r="T282" s="262"/>
      <c r="U282" s="385">
        <f t="shared" si="24"/>
        <v>18</v>
      </c>
      <c r="V282" s="218">
        <f t="shared" si="21"/>
        <v>37.4</v>
      </c>
      <c r="W282" s="37">
        <f t="shared" si="23"/>
        <v>245.18</v>
      </c>
      <c r="X282" s="37">
        <v>183</v>
      </c>
      <c r="Y282" s="37">
        <f t="shared" si="22"/>
        <v>62.180000000000007</v>
      </c>
    </row>
    <row r="283" spans="1:25">
      <c r="A283" s="271" t="s">
        <v>629</v>
      </c>
      <c r="B283" s="272" t="s">
        <v>2603</v>
      </c>
      <c r="C283" s="277" t="s">
        <v>38</v>
      </c>
      <c r="D283" s="394">
        <v>58</v>
      </c>
      <c r="E283" s="395">
        <v>59</v>
      </c>
      <c r="F283" s="394">
        <v>59</v>
      </c>
      <c r="G283" s="394">
        <v>58</v>
      </c>
      <c r="H283" s="397">
        <v>58</v>
      </c>
      <c r="I283" s="394">
        <v>58</v>
      </c>
      <c r="J283" s="394">
        <v>70</v>
      </c>
      <c r="K283" s="394">
        <v>91.74</v>
      </c>
      <c r="L283" s="265">
        <v>70</v>
      </c>
      <c r="N283" s="265">
        <v>58</v>
      </c>
      <c r="O283" s="268">
        <v>58</v>
      </c>
      <c r="P283" s="265">
        <v>58</v>
      </c>
      <c r="S283" s="261" t="s">
        <v>2073</v>
      </c>
      <c r="T283" s="262"/>
      <c r="U283" s="385">
        <f t="shared" si="24"/>
        <v>18</v>
      </c>
      <c r="V283" s="1308">
        <f t="shared" si="21"/>
        <v>16.510000000000002</v>
      </c>
      <c r="W283" s="37">
        <f t="shared" si="23"/>
        <v>108.25</v>
      </c>
      <c r="X283" s="37">
        <v>77</v>
      </c>
      <c r="Y283" s="37">
        <f t="shared" si="22"/>
        <v>31.25</v>
      </c>
    </row>
    <row r="284" spans="1:25">
      <c r="A284" s="277">
        <v>152</v>
      </c>
      <c r="B284" s="279" t="s">
        <v>2604</v>
      </c>
      <c r="S284" s="261"/>
      <c r="T284" s="262"/>
      <c r="U284" s="385">
        <f t="shared" si="24"/>
        <v>18</v>
      </c>
      <c r="V284" s="218">
        <f t="shared" si="21"/>
        <v>0</v>
      </c>
      <c r="W284" s="37">
        <f t="shared" si="23"/>
        <v>0</v>
      </c>
      <c r="Y284" s="37">
        <f t="shared" si="22"/>
        <v>0</v>
      </c>
    </row>
    <row r="285" spans="1:25">
      <c r="A285" s="271" t="s">
        <v>627</v>
      </c>
      <c r="B285" s="272" t="s">
        <v>2589</v>
      </c>
      <c r="C285" s="277" t="s">
        <v>38</v>
      </c>
      <c r="D285" s="394">
        <v>135</v>
      </c>
      <c r="E285" s="395">
        <v>138</v>
      </c>
      <c r="F285" s="394">
        <v>139</v>
      </c>
      <c r="G285" s="394">
        <v>150</v>
      </c>
      <c r="H285" s="397">
        <v>150</v>
      </c>
      <c r="I285" s="394">
        <v>150</v>
      </c>
      <c r="J285" s="394">
        <v>190</v>
      </c>
      <c r="K285" s="394">
        <v>227.61</v>
      </c>
      <c r="L285" s="265">
        <v>190</v>
      </c>
      <c r="N285" s="265">
        <v>150</v>
      </c>
      <c r="O285" s="268">
        <v>150</v>
      </c>
      <c r="P285" s="265">
        <v>150</v>
      </c>
      <c r="S285" s="261" t="s">
        <v>2073</v>
      </c>
      <c r="T285" s="262"/>
      <c r="U285" s="385">
        <f t="shared" si="24"/>
        <v>18</v>
      </c>
      <c r="V285" s="218">
        <f t="shared" si="21"/>
        <v>40.97</v>
      </c>
      <c r="W285" s="37">
        <f t="shared" si="23"/>
        <v>268.58000000000004</v>
      </c>
      <c r="X285" s="37">
        <v>209</v>
      </c>
      <c r="Y285" s="37">
        <f t="shared" si="22"/>
        <v>59.580000000000041</v>
      </c>
    </row>
    <row r="286" spans="1:25">
      <c r="A286" s="271" t="s">
        <v>628</v>
      </c>
      <c r="B286" s="272" t="s">
        <v>2590</v>
      </c>
      <c r="C286" s="277" t="s">
        <v>38</v>
      </c>
      <c r="D286" s="394">
        <v>114</v>
      </c>
      <c r="E286" s="395">
        <v>116</v>
      </c>
      <c r="F286" s="394">
        <v>117</v>
      </c>
      <c r="G286" s="394">
        <v>125</v>
      </c>
      <c r="H286" s="397">
        <v>125</v>
      </c>
      <c r="I286" s="394">
        <v>125</v>
      </c>
      <c r="J286" s="394">
        <v>158</v>
      </c>
      <c r="K286" s="394">
        <v>198.24</v>
      </c>
      <c r="L286" s="265">
        <v>158</v>
      </c>
      <c r="N286" s="265">
        <v>125</v>
      </c>
      <c r="O286" s="268">
        <v>125</v>
      </c>
      <c r="P286" s="265">
        <v>125</v>
      </c>
      <c r="S286" s="261" t="s">
        <v>2073</v>
      </c>
      <c r="T286" s="262"/>
      <c r="U286" s="385">
        <f t="shared" si="24"/>
        <v>18</v>
      </c>
      <c r="V286" s="1308">
        <f t="shared" si="21"/>
        <v>35.68</v>
      </c>
      <c r="W286" s="37">
        <f t="shared" si="23"/>
        <v>233.92000000000002</v>
      </c>
      <c r="X286" s="37">
        <v>173</v>
      </c>
      <c r="Y286" s="37">
        <f t="shared" si="22"/>
        <v>60.920000000000016</v>
      </c>
    </row>
    <row r="287" spans="1:25">
      <c r="A287" s="271" t="s">
        <v>629</v>
      </c>
      <c r="B287" s="272" t="s">
        <v>2591</v>
      </c>
      <c r="C287" s="277" t="s">
        <v>38</v>
      </c>
      <c r="D287" s="394">
        <v>94</v>
      </c>
      <c r="E287" s="395">
        <v>98</v>
      </c>
      <c r="F287" s="394">
        <v>98</v>
      </c>
      <c r="G287" s="394">
        <v>94</v>
      </c>
      <c r="H287" s="397">
        <v>94</v>
      </c>
      <c r="I287" s="394">
        <v>94</v>
      </c>
      <c r="J287" s="394">
        <v>118</v>
      </c>
      <c r="K287" s="394">
        <v>141.01</v>
      </c>
      <c r="L287" s="265">
        <v>118</v>
      </c>
      <c r="N287" s="265">
        <v>94</v>
      </c>
      <c r="O287" s="268">
        <v>94</v>
      </c>
      <c r="P287" s="265">
        <v>94</v>
      </c>
      <c r="S287" s="261" t="s">
        <v>2073</v>
      </c>
      <c r="T287" s="262"/>
      <c r="U287" s="385">
        <f t="shared" si="24"/>
        <v>18</v>
      </c>
      <c r="V287" s="218">
        <f t="shared" si="21"/>
        <v>25.38</v>
      </c>
      <c r="W287" s="37">
        <f t="shared" si="23"/>
        <v>166.39</v>
      </c>
      <c r="X287" s="37">
        <v>129</v>
      </c>
      <c r="Y287" s="37">
        <f t="shared" si="22"/>
        <v>37.389999999999986</v>
      </c>
    </row>
    <row r="288" spans="1:25">
      <c r="A288" s="271" t="s">
        <v>1847</v>
      </c>
      <c r="B288" s="272" t="s">
        <v>2592</v>
      </c>
      <c r="C288" s="277" t="s">
        <v>38</v>
      </c>
      <c r="D288" s="394">
        <v>69</v>
      </c>
      <c r="E288" s="395">
        <v>68</v>
      </c>
      <c r="F288" s="394">
        <v>69</v>
      </c>
      <c r="G288" s="394">
        <v>69</v>
      </c>
      <c r="H288" s="397">
        <v>69</v>
      </c>
      <c r="I288" s="394">
        <v>69</v>
      </c>
      <c r="J288" s="394">
        <v>86</v>
      </c>
      <c r="K288" s="394">
        <v>108.28</v>
      </c>
      <c r="L288" s="265">
        <v>86</v>
      </c>
      <c r="N288" s="265">
        <v>69</v>
      </c>
      <c r="O288" s="268">
        <v>69</v>
      </c>
      <c r="P288" s="265">
        <v>69</v>
      </c>
      <c r="S288" s="261" t="s">
        <v>2073</v>
      </c>
      <c r="T288" s="262"/>
      <c r="U288" s="385">
        <f t="shared" si="24"/>
        <v>18</v>
      </c>
      <c r="V288" s="1308">
        <f t="shared" si="21"/>
        <v>19.489999999999998</v>
      </c>
      <c r="W288" s="37">
        <f t="shared" si="23"/>
        <v>127.77</v>
      </c>
      <c r="X288" s="37">
        <v>94</v>
      </c>
      <c r="Y288" s="37">
        <f t="shared" si="22"/>
        <v>33.769999999999996</v>
      </c>
    </row>
    <row r="289" spans="1:25">
      <c r="A289" s="277">
        <v>153</v>
      </c>
      <c r="B289" s="279" t="s">
        <v>2605</v>
      </c>
      <c r="S289" s="261"/>
      <c r="T289" s="262"/>
      <c r="U289" s="385">
        <f t="shared" si="24"/>
        <v>18</v>
      </c>
      <c r="V289" s="218">
        <f t="shared" si="21"/>
        <v>0</v>
      </c>
      <c r="W289" s="37">
        <f t="shared" si="23"/>
        <v>0</v>
      </c>
      <c r="Y289" s="37">
        <f t="shared" si="22"/>
        <v>0</v>
      </c>
    </row>
    <row r="290" spans="1:25">
      <c r="A290" s="271" t="s">
        <v>627</v>
      </c>
      <c r="B290" s="272" t="s">
        <v>2606</v>
      </c>
      <c r="C290" s="277" t="s">
        <v>680</v>
      </c>
      <c r="D290" s="394">
        <v>117</v>
      </c>
      <c r="E290" s="395">
        <v>118</v>
      </c>
      <c r="F290" s="394">
        <v>118</v>
      </c>
      <c r="G290" s="394">
        <v>128</v>
      </c>
      <c r="H290" s="397">
        <v>128</v>
      </c>
      <c r="I290" s="394">
        <v>128</v>
      </c>
      <c r="J290" s="394">
        <v>161</v>
      </c>
      <c r="K290" s="394">
        <v>190.61</v>
      </c>
      <c r="L290" s="265">
        <v>161</v>
      </c>
      <c r="N290" s="265">
        <v>128</v>
      </c>
      <c r="O290" s="268">
        <v>128</v>
      </c>
      <c r="P290" s="265">
        <v>128</v>
      </c>
      <c r="S290" s="261" t="s">
        <v>2073</v>
      </c>
      <c r="T290" s="262"/>
      <c r="U290" s="385">
        <f t="shared" si="24"/>
        <v>18</v>
      </c>
      <c r="V290" s="218">
        <f t="shared" si="21"/>
        <v>34.31</v>
      </c>
      <c r="W290" s="37">
        <f t="shared" si="23"/>
        <v>224.92000000000002</v>
      </c>
      <c r="X290" s="37">
        <v>177</v>
      </c>
      <c r="Y290" s="37">
        <f t="shared" si="22"/>
        <v>47.920000000000016</v>
      </c>
    </row>
    <row r="291" spans="1:25">
      <c r="A291" s="271" t="s">
        <v>628</v>
      </c>
      <c r="B291" s="272" t="s">
        <v>2607</v>
      </c>
      <c r="C291" s="277" t="s">
        <v>680</v>
      </c>
      <c r="D291" s="394">
        <v>106</v>
      </c>
      <c r="E291" s="395">
        <v>107</v>
      </c>
      <c r="F291" s="394">
        <v>107</v>
      </c>
      <c r="G291" s="394">
        <v>116</v>
      </c>
      <c r="H291" s="397">
        <v>116</v>
      </c>
      <c r="I291" s="394">
        <v>116</v>
      </c>
      <c r="J291" s="394">
        <v>146</v>
      </c>
      <c r="K291" s="394">
        <v>176.67</v>
      </c>
      <c r="L291" s="265">
        <v>146</v>
      </c>
      <c r="N291" s="265">
        <v>116</v>
      </c>
      <c r="O291" s="268">
        <v>116</v>
      </c>
      <c r="P291" s="265">
        <v>116</v>
      </c>
      <c r="S291" s="261" t="s">
        <v>2073</v>
      </c>
      <c r="T291" s="262"/>
      <c r="U291" s="385">
        <f t="shared" si="24"/>
        <v>18</v>
      </c>
      <c r="V291" s="218">
        <f t="shared" si="21"/>
        <v>31.8</v>
      </c>
      <c r="W291" s="37">
        <f t="shared" si="23"/>
        <v>208.47</v>
      </c>
      <c r="X291" s="37">
        <v>160</v>
      </c>
      <c r="Y291" s="37">
        <f t="shared" si="22"/>
        <v>48.47</v>
      </c>
    </row>
    <row r="292" spans="1:25">
      <c r="A292" s="271" t="s">
        <v>629</v>
      </c>
      <c r="B292" s="272" t="s">
        <v>2608</v>
      </c>
      <c r="C292" s="277" t="s">
        <v>680</v>
      </c>
      <c r="D292" s="394">
        <v>92</v>
      </c>
      <c r="E292" s="395">
        <v>95</v>
      </c>
      <c r="F292" s="394">
        <v>92</v>
      </c>
      <c r="G292" s="394">
        <v>100</v>
      </c>
      <c r="H292" s="397">
        <v>100</v>
      </c>
      <c r="I292" s="394">
        <v>100</v>
      </c>
      <c r="J292" s="394">
        <v>126</v>
      </c>
      <c r="K292" s="394">
        <v>153.66</v>
      </c>
      <c r="L292" s="265">
        <v>126</v>
      </c>
      <c r="N292" s="265">
        <v>100</v>
      </c>
      <c r="O292" s="268">
        <v>100</v>
      </c>
      <c r="P292" s="265">
        <v>100</v>
      </c>
      <c r="S292" s="261" t="s">
        <v>2073</v>
      </c>
      <c r="T292" s="262"/>
      <c r="U292" s="385">
        <f t="shared" si="24"/>
        <v>18</v>
      </c>
      <c r="V292" s="218">
        <f t="shared" si="21"/>
        <v>27.66</v>
      </c>
      <c r="W292" s="37">
        <f t="shared" si="23"/>
        <v>181.32</v>
      </c>
      <c r="X292" s="37">
        <v>138</v>
      </c>
      <c r="Y292" s="37">
        <f t="shared" si="22"/>
        <v>43.319999999999993</v>
      </c>
    </row>
    <row r="293" spans="1:25">
      <c r="A293" s="271" t="s">
        <v>1847</v>
      </c>
      <c r="B293" s="272" t="s">
        <v>2051</v>
      </c>
      <c r="C293" s="277" t="s">
        <v>680</v>
      </c>
      <c r="D293" s="394">
        <v>82</v>
      </c>
      <c r="E293" s="395">
        <v>88</v>
      </c>
      <c r="F293" s="394">
        <v>86</v>
      </c>
      <c r="G293" s="394">
        <v>89</v>
      </c>
      <c r="H293" s="397">
        <v>89</v>
      </c>
      <c r="I293" s="394">
        <v>89</v>
      </c>
      <c r="J293" s="394">
        <v>112</v>
      </c>
      <c r="K293" s="394">
        <v>138.78</v>
      </c>
      <c r="L293" s="265">
        <v>112</v>
      </c>
      <c r="N293" s="265">
        <v>89</v>
      </c>
      <c r="O293" s="268">
        <v>89</v>
      </c>
      <c r="P293" s="265">
        <v>89</v>
      </c>
      <c r="S293" s="261" t="s">
        <v>2073</v>
      </c>
      <c r="T293" s="262"/>
      <c r="U293" s="385">
        <f t="shared" si="24"/>
        <v>18</v>
      </c>
      <c r="V293" s="218">
        <f t="shared" si="21"/>
        <v>24.98</v>
      </c>
      <c r="W293" s="37">
        <f t="shared" si="23"/>
        <v>163.76</v>
      </c>
      <c r="X293" s="37">
        <v>123</v>
      </c>
      <c r="Y293" s="37">
        <f t="shared" si="22"/>
        <v>40.759999999999991</v>
      </c>
    </row>
    <row r="294" spans="1:25">
      <c r="A294" s="271" t="s">
        <v>1849</v>
      </c>
      <c r="B294" s="272" t="s">
        <v>2052</v>
      </c>
      <c r="C294" s="277" t="s">
        <v>680</v>
      </c>
      <c r="D294" s="394">
        <v>61</v>
      </c>
      <c r="E294" s="395">
        <v>63</v>
      </c>
      <c r="F294" s="394">
        <v>62</v>
      </c>
      <c r="G294" s="394">
        <v>66</v>
      </c>
      <c r="H294" s="397">
        <v>66</v>
      </c>
      <c r="I294" s="394">
        <v>66</v>
      </c>
      <c r="J294" s="394">
        <v>83</v>
      </c>
      <c r="K294" s="394">
        <v>94.59</v>
      </c>
      <c r="L294" s="265">
        <v>83</v>
      </c>
      <c r="N294" s="265">
        <v>66</v>
      </c>
      <c r="O294" s="268">
        <v>66</v>
      </c>
      <c r="P294" s="265">
        <v>66</v>
      </c>
      <c r="S294" s="261" t="s">
        <v>2073</v>
      </c>
      <c r="T294" s="262"/>
      <c r="U294" s="385">
        <f t="shared" si="24"/>
        <v>18</v>
      </c>
      <c r="V294" s="218">
        <f t="shared" si="21"/>
        <v>17.03</v>
      </c>
      <c r="W294" s="37">
        <f t="shared" si="23"/>
        <v>111.62</v>
      </c>
      <c r="X294" s="37">
        <v>91</v>
      </c>
      <c r="Y294" s="37">
        <f t="shared" si="22"/>
        <v>20.620000000000005</v>
      </c>
    </row>
    <row r="295" spans="1:25">
      <c r="A295" s="271"/>
      <c r="S295" s="261"/>
      <c r="T295" s="262"/>
      <c r="U295" s="385">
        <f t="shared" si="24"/>
        <v>18</v>
      </c>
      <c r="V295" s="218">
        <f t="shared" si="21"/>
        <v>0</v>
      </c>
      <c r="W295" s="37">
        <f t="shared" si="23"/>
        <v>0</v>
      </c>
      <c r="Y295" s="37">
        <f t="shared" si="22"/>
        <v>0</v>
      </c>
    </row>
    <row r="296" spans="1:25" ht="18.75" customHeight="1">
      <c r="A296" s="263">
        <v>154</v>
      </c>
      <c r="B296" s="285" t="s">
        <v>2609</v>
      </c>
      <c r="S296" s="261"/>
      <c r="T296" s="262"/>
      <c r="U296" s="385">
        <f t="shared" si="24"/>
        <v>18</v>
      </c>
      <c r="V296" s="218">
        <f t="shared" si="21"/>
        <v>0</v>
      </c>
      <c r="W296" s="37">
        <f t="shared" si="23"/>
        <v>0</v>
      </c>
      <c r="Y296" s="37">
        <f t="shared" si="22"/>
        <v>0</v>
      </c>
    </row>
    <row r="297" spans="1:25">
      <c r="A297" s="271" t="s">
        <v>627</v>
      </c>
      <c r="B297" s="272" t="s">
        <v>2610</v>
      </c>
      <c r="C297" s="277" t="s">
        <v>38</v>
      </c>
      <c r="D297" s="394">
        <v>99</v>
      </c>
      <c r="E297" s="395">
        <v>105</v>
      </c>
      <c r="F297" s="394">
        <v>99</v>
      </c>
      <c r="G297" s="394">
        <v>107</v>
      </c>
      <c r="H297" s="397">
        <v>107</v>
      </c>
      <c r="I297" s="394">
        <v>107</v>
      </c>
      <c r="J297" s="394">
        <v>135</v>
      </c>
      <c r="K297" s="394">
        <v>166.26</v>
      </c>
      <c r="L297" s="265">
        <v>135</v>
      </c>
      <c r="N297" s="265">
        <v>107</v>
      </c>
      <c r="O297" s="268">
        <v>107</v>
      </c>
      <c r="P297" s="265">
        <v>107</v>
      </c>
      <c r="S297" s="261" t="s">
        <v>2073</v>
      </c>
      <c r="T297" s="262"/>
      <c r="U297" s="385">
        <f t="shared" si="24"/>
        <v>18</v>
      </c>
      <c r="V297" s="218">
        <f t="shared" si="21"/>
        <v>29.93</v>
      </c>
      <c r="W297" s="37">
        <f t="shared" si="23"/>
        <v>196.19</v>
      </c>
      <c r="X297" s="37">
        <v>148</v>
      </c>
      <c r="Y297" s="37">
        <f t="shared" si="22"/>
        <v>48.19</v>
      </c>
    </row>
    <row r="298" spans="1:25">
      <c r="A298" s="271" t="s">
        <v>628</v>
      </c>
      <c r="B298" s="272" t="s">
        <v>2611</v>
      </c>
      <c r="C298" s="277" t="s">
        <v>38</v>
      </c>
      <c r="D298" s="394">
        <v>86</v>
      </c>
      <c r="E298" s="395">
        <v>88</v>
      </c>
      <c r="F298" s="394">
        <v>85</v>
      </c>
      <c r="G298" s="394">
        <v>92</v>
      </c>
      <c r="H298" s="397">
        <v>92</v>
      </c>
      <c r="I298" s="394">
        <v>92</v>
      </c>
      <c r="J298" s="394">
        <v>115</v>
      </c>
      <c r="K298" s="394">
        <v>137.57</v>
      </c>
      <c r="L298" s="265">
        <v>115</v>
      </c>
      <c r="N298" s="265">
        <v>92</v>
      </c>
      <c r="O298" s="268">
        <v>92</v>
      </c>
      <c r="P298" s="265">
        <v>92</v>
      </c>
      <c r="S298" s="261" t="s">
        <v>2073</v>
      </c>
      <c r="T298" s="262"/>
      <c r="U298" s="385">
        <f t="shared" si="24"/>
        <v>18</v>
      </c>
      <c r="V298" s="218">
        <f t="shared" si="21"/>
        <v>24.76</v>
      </c>
      <c r="W298" s="37">
        <f t="shared" si="23"/>
        <v>162.32999999999998</v>
      </c>
      <c r="X298" s="37">
        <v>126</v>
      </c>
      <c r="Y298" s="37">
        <f t="shared" si="22"/>
        <v>36.329999999999984</v>
      </c>
    </row>
    <row r="299" spans="1:25">
      <c r="A299" s="271" t="s">
        <v>629</v>
      </c>
      <c r="B299" s="272" t="s">
        <v>2612</v>
      </c>
      <c r="C299" s="277" t="s">
        <v>38</v>
      </c>
      <c r="D299" s="394">
        <v>71</v>
      </c>
      <c r="E299" s="395">
        <v>75</v>
      </c>
      <c r="F299" s="394">
        <v>71</v>
      </c>
      <c r="G299" s="394">
        <v>80</v>
      </c>
      <c r="H299" s="397">
        <v>80</v>
      </c>
      <c r="I299" s="394">
        <v>80</v>
      </c>
      <c r="J299" s="394">
        <v>101</v>
      </c>
      <c r="K299" s="394">
        <v>124.76</v>
      </c>
      <c r="L299" s="265">
        <v>101</v>
      </c>
      <c r="N299" s="265">
        <v>80</v>
      </c>
      <c r="O299" s="268">
        <v>80</v>
      </c>
      <c r="P299" s="265">
        <v>80</v>
      </c>
      <c r="S299" s="261" t="s">
        <v>2073</v>
      </c>
      <c r="T299" s="262"/>
      <c r="U299" s="385">
        <f t="shared" si="24"/>
        <v>18</v>
      </c>
      <c r="V299" s="1308">
        <f t="shared" si="21"/>
        <v>22.46</v>
      </c>
      <c r="W299" s="37">
        <f t="shared" si="23"/>
        <v>147.22</v>
      </c>
      <c r="X299" s="37">
        <v>111</v>
      </c>
      <c r="Y299" s="37">
        <f t="shared" si="22"/>
        <v>36.22</v>
      </c>
    </row>
    <row r="300" spans="1:25">
      <c r="A300" s="277">
        <v>155</v>
      </c>
      <c r="B300" s="279" t="s">
        <v>2613</v>
      </c>
      <c r="S300" s="261" t="s">
        <v>2073</v>
      </c>
      <c r="T300" s="262"/>
      <c r="U300" s="385"/>
      <c r="V300" s="218">
        <f t="shared" si="21"/>
        <v>0</v>
      </c>
      <c r="W300" s="37">
        <f t="shared" si="23"/>
        <v>0</v>
      </c>
      <c r="Y300" s="37">
        <f t="shared" si="22"/>
        <v>0</v>
      </c>
    </row>
    <row r="301" spans="1:25">
      <c r="A301" s="271" t="s">
        <v>627</v>
      </c>
      <c r="B301" s="272" t="s">
        <v>2614</v>
      </c>
      <c r="C301" s="277" t="s">
        <v>2615</v>
      </c>
      <c r="D301" s="394">
        <v>123</v>
      </c>
      <c r="E301" s="395">
        <v>127</v>
      </c>
      <c r="F301" s="394">
        <v>127</v>
      </c>
      <c r="G301" s="394">
        <v>90</v>
      </c>
      <c r="H301" s="397">
        <v>90</v>
      </c>
      <c r="I301" s="394">
        <v>90</v>
      </c>
      <c r="J301" s="394">
        <v>108</v>
      </c>
      <c r="K301" s="394">
        <v>125.5</v>
      </c>
      <c r="L301" s="265">
        <v>108</v>
      </c>
      <c r="N301" s="265">
        <v>90</v>
      </c>
      <c r="O301" s="268">
        <v>90</v>
      </c>
      <c r="P301" s="265">
        <v>90</v>
      </c>
      <c r="S301" s="261" t="s">
        <v>2073</v>
      </c>
      <c r="T301" s="262"/>
      <c r="U301" s="385">
        <v>28</v>
      </c>
      <c r="V301" s="218">
        <f t="shared" si="21"/>
        <v>35.14</v>
      </c>
      <c r="W301" s="37">
        <f t="shared" si="23"/>
        <v>160.63999999999999</v>
      </c>
      <c r="X301" s="37">
        <v>118</v>
      </c>
      <c r="Y301" s="37">
        <f t="shared" si="22"/>
        <v>42.639999999999986</v>
      </c>
    </row>
    <row r="302" spans="1:25">
      <c r="A302" s="271" t="s">
        <v>628</v>
      </c>
      <c r="B302" s="272" t="s">
        <v>2616</v>
      </c>
      <c r="C302" s="277" t="s">
        <v>2615</v>
      </c>
      <c r="D302" s="394">
        <v>116</v>
      </c>
      <c r="E302" s="395">
        <v>119</v>
      </c>
      <c r="F302" s="394">
        <v>118</v>
      </c>
      <c r="G302" s="394">
        <v>116</v>
      </c>
      <c r="H302" s="397">
        <v>116</v>
      </c>
      <c r="I302" s="394">
        <v>116</v>
      </c>
      <c r="J302" s="394">
        <v>140</v>
      </c>
      <c r="K302" s="394">
        <v>159.03</v>
      </c>
      <c r="L302" s="265">
        <v>140</v>
      </c>
      <c r="N302" s="265">
        <v>116</v>
      </c>
      <c r="O302" s="268">
        <v>116</v>
      </c>
      <c r="P302" s="265">
        <v>116</v>
      </c>
      <c r="S302" s="261" t="s">
        <v>2073</v>
      </c>
      <c r="T302" s="262"/>
      <c r="U302" s="385">
        <f>U301</f>
        <v>28</v>
      </c>
      <c r="V302" s="218">
        <f t="shared" si="21"/>
        <v>44.53</v>
      </c>
      <c r="W302" s="37">
        <f t="shared" si="23"/>
        <v>203.56</v>
      </c>
      <c r="X302" s="37">
        <v>154</v>
      </c>
      <c r="Y302" s="37">
        <f t="shared" si="22"/>
        <v>49.56</v>
      </c>
    </row>
    <row r="303" spans="1:25">
      <c r="A303" s="277">
        <v>156</v>
      </c>
      <c r="B303" s="279" t="s">
        <v>2617</v>
      </c>
      <c r="C303" s="277" t="s">
        <v>2615</v>
      </c>
      <c r="D303" s="394">
        <v>218</v>
      </c>
      <c r="E303" s="395">
        <v>220</v>
      </c>
      <c r="F303" s="394">
        <v>216</v>
      </c>
      <c r="G303" s="394">
        <v>130</v>
      </c>
      <c r="H303" s="397">
        <v>130</v>
      </c>
      <c r="I303" s="394">
        <v>130</v>
      </c>
      <c r="J303" s="394">
        <v>150</v>
      </c>
      <c r="K303" s="394">
        <v>167.09</v>
      </c>
      <c r="L303" s="265">
        <v>150</v>
      </c>
      <c r="N303" s="265">
        <v>130</v>
      </c>
      <c r="O303" s="268">
        <v>130</v>
      </c>
      <c r="P303" s="265">
        <v>130</v>
      </c>
      <c r="S303" s="261" t="s">
        <v>2073</v>
      </c>
      <c r="T303" s="262" t="s">
        <v>2618</v>
      </c>
      <c r="U303" s="385">
        <f>U302</f>
        <v>28</v>
      </c>
      <c r="V303" s="218">
        <f t="shared" si="21"/>
        <v>46.79</v>
      </c>
      <c r="W303" s="37">
        <f t="shared" si="23"/>
        <v>213.88</v>
      </c>
      <c r="X303" s="37">
        <v>165</v>
      </c>
      <c r="Y303" s="37">
        <f t="shared" si="22"/>
        <v>48.879999999999995</v>
      </c>
    </row>
    <row r="304" spans="1:25">
      <c r="A304" s="277">
        <v>157</v>
      </c>
      <c r="B304" s="279" t="s">
        <v>2619</v>
      </c>
      <c r="C304" s="277" t="s">
        <v>2615</v>
      </c>
      <c r="D304" s="394">
        <v>238</v>
      </c>
      <c r="E304" s="395">
        <v>245</v>
      </c>
      <c r="F304" s="394">
        <v>246</v>
      </c>
      <c r="G304" s="394">
        <v>150</v>
      </c>
      <c r="H304" s="397">
        <v>150</v>
      </c>
      <c r="I304" s="394">
        <v>150</v>
      </c>
      <c r="J304" s="394">
        <v>175</v>
      </c>
      <c r="K304" s="394">
        <v>194.79</v>
      </c>
      <c r="L304" s="265">
        <v>175</v>
      </c>
      <c r="N304" s="265">
        <v>150</v>
      </c>
      <c r="O304" s="268">
        <v>150</v>
      </c>
      <c r="P304" s="265">
        <v>150</v>
      </c>
      <c r="S304" s="261" t="s">
        <v>2073</v>
      </c>
      <c r="T304" s="262" t="s">
        <v>2620</v>
      </c>
      <c r="U304" s="385">
        <f>U303</f>
        <v>28</v>
      </c>
      <c r="V304" s="218">
        <f t="shared" si="21"/>
        <v>54.54</v>
      </c>
      <c r="W304" s="37">
        <f t="shared" si="23"/>
        <v>249.32999999999998</v>
      </c>
      <c r="X304" s="37">
        <v>192</v>
      </c>
      <c r="Y304" s="37">
        <f t="shared" si="22"/>
        <v>57.329999999999984</v>
      </c>
    </row>
    <row r="305" spans="1:29">
      <c r="A305" s="277">
        <v>158</v>
      </c>
      <c r="B305" s="272" t="s">
        <v>2621</v>
      </c>
      <c r="C305" s="277" t="s">
        <v>95</v>
      </c>
      <c r="D305" s="394">
        <v>188</v>
      </c>
      <c r="E305" s="395">
        <v>203</v>
      </c>
      <c r="F305" s="394">
        <v>194</v>
      </c>
      <c r="G305" s="394">
        <v>165</v>
      </c>
      <c r="H305" s="397">
        <v>165</v>
      </c>
      <c r="I305" s="394">
        <v>165</v>
      </c>
      <c r="J305" s="394">
        <v>200</v>
      </c>
      <c r="K305" s="394">
        <v>217.4</v>
      </c>
      <c r="L305" s="265">
        <v>200</v>
      </c>
      <c r="S305" s="261" t="s">
        <v>2073</v>
      </c>
      <c r="T305" s="262"/>
      <c r="U305" s="385">
        <v>12</v>
      </c>
      <c r="V305" s="218">
        <f t="shared" si="21"/>
        <v>26.09</v>
      </c>
      <c r="W305" s="37">
        <f t="shared" si="23"/>
        <v>243.49</v>
      </c>
      <c r="X305" s="37">
        <v>220</v>
      </c>
      <c r="Y305" s="37">
        <f t="shared" si="22"/>
        <v>23.490000000000009</v>
      </c>
    </row>
    <row r="306" spans="1:29">
      <c r="A306" s="277">
        <v>159</v>
      </c>
      <c r="B306" s="279" t="s">
        <v>2622</v>
      </c>
      <c r="S306" s="261"/>
      <c r="T306" s="262"/>
      <c r="U306" s="385"/>
      <c r="V306" s="218">
        <f t="shared" si="21"/>
        <v>0</v>
      </c>
      <c r="W306" s="37">
        <f t="shared" si="23"/>
        <v>0</v>
      </c>
      <c r="Y306" s="37">
        <f t="shared" si="22"/>
        <v>0</v>
      </c>
    </row>
    <row r="307" spans="1:29">
      <c r="A307" s="271" t="s">
        <v>627</v>
      </c>
      <c r="B307" s="272" t="s">
        <v>2623</v>
      </c>
      <c r="C307" s="277" t="s">
        <v>92</v>
      </c>
      <c r="D307" s="394">
        <v>539</v>
      </c>
      <c r="E307" s="395">
        <v>543</v>
      </c>
      <c r="F307" s="394">
        <v>538</v>
      </c>
      <c r="G307" s="394">
        <v>539</v>
      </c>
      <c r="H307" s="397">
        <v>539</v>
      </c>
      <c r="I307" s="394">
        <v>539</v>
      </c>
      <c r="J307" s="394">
        <v>652</v>
      </c>
      <c r="K307" s="394">
        <v>739.96</v>
      </c>
      <c r="L307" s="265">
        <v>652</v>
      </c>
      <c r="N307" s="265">
        <v>539</v>
      </c>
      <c r="O307" s="268">
        <v>539</v>
      </c>
      <c r="P307" s="265">
        <v>539</v>
      </c>
      <c r="S307" s="261" t="s">
        <v>2073</v>
      </c>
      <c r="T307" s="262"/>
      <c r="U307" s="385">
        <v>28</v>
      </c>
      <c r="V307" s="218">
        <f>ROUND(K307*U307/100,2)</f>
        <v>207.19</v>
      </c>
      <c r="W307" s="569">
        <f>K307+V307</f>
        <v>947.15000000000009</v>
      </c>
      <c r="X307" s="37">
        <v>717</v>
      </c>
      <c r="Y307" s="37">
        <f t="shared" si="22"/>
        <v>230.15000000000009</v>
      </c>
    </row>
    <row r="308" spans="1:29">
      <c r="A308" s="271" t="s">
        <v>628</v>
      </c>
      <c r="B308" s="272" t="s">
        <v>2624</v>
      </c>
      <c r="C308" s="277" t="s">
        <v>92</v>
      </c>
      <c r="D308" s="394">
        <v>766</v>
      </c>
      <c r="E308" s="395">
        <v>783</v>
      </c>
      <c r="F308" s="394">
        <v>766</v>
      </c>
      <c r="G308" s="394">
        <v>766</v>
      </c>
      <c r="H308" s="397">
        <v>766</v>
      </c>
      <c r="I308" s="394">
        <v>766</v>
      </c>
      <c r="J308" s="394">
        <v>927</v>
      </c>
      <c r="K308" s="394">
        <v>1021.34</v>
      </c>
      <c r="L308" s="265">
        <v>927</v>
      </c>
      <c r="N308" s="265">
        <v>766</v>
      </c>
      <c r="O308" s="268">
        <v>766</v>
      </c>
      <c r="P308" s="265">
        <v>766</v>
      </c>
      <c r="S308" s="261" t="s">
        <v>2073</v>
      </c>
      <c r="T308" s="262"/>
      <c r="U308" s="385">
        <f>U307</f>
        <v>28</v>
      </c>
      <c r="V308" s="218">
        <f t="shared" si="21"/>
        <v>285.98</v>
      </c>
      <c r="W308" s="37">
        <f t="shared" si="23"/>
        <v>1307.3200000000002</v>
      </c>
      <c r="X308" s="37">
        <v>1019</v>
      </c>
      <c r="Y308" s="37">
        <f t="shared" si="22"/>
        <v>288.32000000000016</v>
      </c>
    </row>
    <row r="309" spans="1:29">
      <c r="A309" s="271" t="s">
        <v>629</v>
      </c>
      <c r="B309" s="272" t="s">
        <v>2625</v>
      </c>
      <c r="C309" s="277" t="s">
        <v>92</v>
      </c>
      <c r="D309" s="394">
        <v>996</v>
      </c>
      <c r="E309" s="395">
        <v>998</v>
      </c>
      <c r="F309" s="394">
        <v>1048</v>
      </c>
      <c r="G309" s="394">
        <v>996</v>
      </c>
      <c r="H309" s="397">
        <v>996</v>
      </c>
      <c r="I309" s="394">
        <v>996</v>
      </c>
      <c r="J309" s="394">
        <v>1200</v>
      </c>
      <c r="K309" s="394">
        <v>1314.45</v>
      </c>
      <c r="L309" s="265">
        <v>1200</v>
      </c>
      <c r="N309" s="265">
        <v>996</v>
      </c>
      <c r="O309" s="268">
        <v>996</v>
      </c>
      <c r="P309" s="265">
        <v>996</v>
      </c>
      <c r="S309" s="261" t="s">
        <v>2073</v>
      </c>
      <c r="T309" s="262"/>
      <c r="U309" s="385">
        <f>U308</f>
        <v>28</v>
      </c>
      <c r="V309" s="218">
        <f t="shared" si="21"/>
        <v>368.05</v>
      </c>
      <c r="W309" s="37">
        <f t="shared" si="23"/>
        <v>1682.5</v>
      </c>
      <c r="X309" s="37">
        <v>1320</v>
      </c>
      <c r="Y309" s="37">
        <f t="shared" si="22"/>
        <v>362.5</v>
      </c>
    </row>
    <row r="310" spans="1:29">
      <c r="A310" s="277">
        <v>160</v>
      </c>
      <c r="B310" s="279" t="s">
        <v>2626</v>
      </c>
      <c r="C310" s="277" t="s">
        <v>95</v>
      </c>
      <c r="D310" s="394">
        <v>42</v>
      </c>
      <c r="E310" s="395">
        <v>42</v>
      </c>
      <c r="F310" s="394">
        <v>47</v>
      </c>
      <c r="G310" s="394">
        <v>50</v>
      </c>
      <c r="H310" s="397">
        <v>50</v>
      </c>
      <c r="I310" s="394">
        <v>50</v>
      </c>
      <c r="J310" s="394">
        <v>60</v>
      </c>
      <c r="K310" s="394">
        <v>76.63</v>
      </c>
      <c r="L310" s="265">
        <v>60</v>
      </c>
      <c r="N310" s="265">
        <v>50</v>
      </c>
      <c r="O310" s="268">
        <v>50</v>
      </c>
      <c r="P310" s="265">
        <v>50</v>
      </c>
      <c r="S310" s="261" t="s">
        <v>2073</v>
      </c>
      <c r="T310" s="262"/>
      <c r="U310" s="385">
        <v>18</v>
      </c>
      <c r="V310" s="218">
        <f t="shared" si="21"/>
        <v>13.79</v>
      </c>
      <c r="W310" s="37">
        <f t="shared" si="23"/>
        <v>90.419999999999987</v>
      </c>
      <c r="X310" s="37">
        <v>66</v>
      </c>
      <c r="Y310" s="37">
        <f t="shared" si="22"/>
        <v>24.419999999999987</v>
      </c>
    </row>
    <row r="311" spans="1:29">
      <c r="A311" s="277">
        <v>161</v>
      </c>
      <c r="B311" s="279" t="s">
        <v>2627</v>
      </c>
      <c r="S311" s="261"/>
      <c r="T311" s="262"/>
      <c r="U311" s="385"/>
      <c r="V311" s="218">
        <f t="shared" si="21"/>
        <v>0</v>
      </c>
      <c r="W311" s="37">
        <f t="shared" si="23"/>
        <v>0</v>
      </c>
      <c r="Y311" s="37">
        <f t="shared" si="22"/>
        <v>0</v>
      </c>
    </row>
    <row r="312" spans="1:29">
      <c r="A312" s="271" t="s">
        <v>627</v>
      </c>
      <c r="B312" s="272" t="s">
        <v>2628</v>
      </c>
      <c r="C312" s="277" t="s">
        <v>92</v>
      </c>
      <c r="D312" s="394">
        <v>286</v>
      </c>
      <c r="E312" s="395">
        <v>280</v>
      </c>
      <c r="F312" s="394">
        <v>287</v>
      </c>
      <c r="G312" s="394">
        <v>270</v>
      </c>
      <c r="H312" s="397">
        <v>270</v>
      </c>
      <c r="I312" s="394">
        <v>270</v>
      </c>
      <c r="J312" s="394">
        <v>320</v>
      </c>
      <c r="K312" s="394">
        <v>362</v>
      </c>
      <c r="L312" s="265">
        <v>320</v>
      </c>
      <c r="N312" s="265">
        <v>270</v>
      </c>
      <c r="O312" s="268">
        <v>270</v>
      </c>
      <c r="P312" s="265">
        <v>270</v>
      </c>
      <c r="S312" s="261" t="s">
        <v>2073</v>
      </c>
      <c r="T312" s="262"/>
      <c r="U312" s="385">
        <v>28</v>
      </c>
      <c r="V312" s="218">
        <f t="shared" si="21"/>
        <v>101.36</v>
      </c>
      <c r="W312" s="37">
        <f t="shared" si="23"/>
        <v>463.36</v>
      </c>
      <c r="X312" s="37">
        <v>352</v>
      </c>
      <c r="Y312" s="37">
        <f t="shared" si="22"/>
        <v>111.36000000000001</v>
      </c>
    </row>
    <row r="313" spans="1:29">
      <c r="A313" s="271" t="s">
        <v>628</v>
      </c>
      <c r="B313" s="272" t="s">
        <v>2629</v>
      </c>
      <c r="C313" s="277" t="s">
        <v>92</v>
      </c>
      <c r="D313" s="394">
        <v>327</v>
      </c>
      <c r="E313" s="395">
        <v>323</v>
      </c>
      <c r="F313" s="394">
        <v>326</v>
      </c>
      <c r="G313" s="394">
        <v>310</v>
      </c>
      <c r="H313" s="397">
        <v>310</v>
      </c>
      <c r="I313" s="394">
        <v>310</v>
      </c>
      <c r="J313" s="394">
        <v>365</v>
      </c>
      <c r="K313" s="394">
        <v>437.36</v>
      </c>
      <c r="L313" s="265">
        <v>365</v>
      </c>
      <c r="N313" s="265">
        <v>310</v>
      </c>
      <c r="O313" s="268">
        <v>310</v>
      </c>
      <c r="P313" s="265">
        <v>310</v>
      </c>
      <c r="S313" s="261" t="s">
        <v>2073</v>
      </c>
      <c r="T313" s="262"/>
      <c r="U313" s="385">
        <f>U312</f>
        <v>28</v>
      </c>
      <c r="V313" s="218">
        <f t="shared" si="21"/>
        <v>122.46</v>
      </c>
      <c r="W313" s="37">
        <f t="shared" si="23"/>
        <v>559.82000000000005</v>
      </c>
      <c r="X313" s="37">
        <v>391</v>
      </c>
      <c r="Y313" s="37">
        <f t="shared" si="22"/>
        <v>168.82000000000005</v>
      </c>
    </row>
    <row r="314" spans="1:29">
      <c r="A314" s="271" t="s">
        <v>629</v>
      </c>
      <c r="B314" s="272" t="s">
        <v>2630</v>
      </c>
      <c r="C314" s="277" t="s">
        <v>92</v>
      </c>
      <c r="D314" s="394">
        <v>418</v>
      </c>
      <c r="E314" s="395">
        <v>415</v>
      </c>
      <c r="F314" s="394">
        <v>421</v>
      </c>
      <c r="G314" s="394">
        <v>418</v>
      </c>
      <c r="H314" s="397">
        <v>418</v>
      </c>
      <c r="I314" s="394">
        <v>418</v>
      </c>
      <c r="J314" s="394">
        <v>485</v>
      </c>
      <c r="K314" s="394">
        <v>579.51</v>
      </c>
      <c r="L314" s="265">
        <v>485</v>
      </c>
      <c r="N314" s="265">
        <v>418</v>
      </c>
      <c r="O314" s="268">
        <v>418</v>
      </c>
      <c r="P314" s="265">
        <v>418</v>
      </c>
      <c r="S314" s="261" t="s">
        <v>2073</v>
      </c>
      <c r="T314" s="262"/>
      <c r="U314" s="385">
        <f t="shared" ref="U314:U365" si="25">U313</f>
        <v>28</v>
      </c>
      <c r="V314" s="218">
        <f t="shared" si="21"/>
        <v>162.26</v>
      </c>
      <c r="W314" s="37">
        <f t="shared" si="23"/>
        <v>741.77</v>
      </c>
      <c r="X314" s="37">
        <v>527</v>
      </c>
      <c r="Y314" s="37">
        <f t="shared" si="22"/>
        <v>214.76999999999998</v>
      </c>
    </row>
    <row r="315" spans="1:29">
      <c r="A315" s="271" t="s">
        <v>1847</v>
      </c>
      <c r="B315" s="272" t="s">
        <v>2631</v>
      </c>
      <c r="C315" s="277" t="s">
        <v>92</v>
      </c>
      <c r="D315" s="394">
        <v>477</v>
      </c>
      <c r="E315" s="395">
        <v>489</v>
      </c>
      <c r="F315" s="394">
        <v>477</v>
      </c>
      <c r="G315" s="394">
        <v>477</v>
      </c>
      <c r="H315" s="397">
        <v>477</v>
      </c>
      <c r="I315" s="394">
        <v>477</v>
      </c>
      <c r="J315" s="394">
        <v>550</v>
      </c>
      <c r="K315" s="394">
        <v>672.91</v>
      </c>
      <c r="L315" s="265">
        <v>550</v>
      </c>
      <c r="N315" s="265">
        <v>477</v>
      </c>
      <c r="O315" s="268">
        <v>477</v>
      </c>
      <c r="P315" s="265">
        <v>477</v>
      </c>
      <c r="S315" s="261" t="s">
        <v>2073</v>
      </c>
      <c r="T315" s="262" t="s">
        <v>2632</v>
      </c>
      <c r="U315" s="385">
        <f t="shared" si="25"/>
        <v>28</v>
      </c>
      <c r="V315" s="218">
        <f t="shared" si="21"/>
        <v>188.41</v>
      </c>
      <c r="W315" s="37">
        <f t="shared" si="23"/>
        <v>861.31999999999994</v>
      </c>
      <c r="X315" s="37">
        <v>605</v>
      </c>
      <c r="Y315" s="37">
        <f t="shared" si="22"/>
        <v>256.31999999999994</v>
      </c>
    </row>
    <row r="316" spans="1:29">
      <c r="A316" s="271" t="s">
        <v>1849</v>
      </c>
      <c r="B316" s="272" t="s">
        <v>169</v>
      </c>
      <c r="C316" s="277" t="s">
        <v>92</v>
      </c>
      <c r="D316" s="394">
        <v>750</v>
      </c>
      <c r="E316" s="395">
        <v>744</v>
      </c>
      <c r="F316" s="394">
        <v>741</v>
      </c>
      <c r="G316" s="394">
        <v>750</v>
      </c>
      <c r="H316" s="397">
        <v>750</v>
      </c>
      <c r="I316" s="394">
        <v>750</v>
      </c>
      <c r="J316" s="394">
        <v>850</v>
      </c>
      <c r="K316" s="394">
        <v>980.32</v>
      </c>
      <c r="L316" s="265">
        <v>850</v>
      </c>
      <c r="N316" s="265">
        <v>750</v>
      </c>
      <c r="O316" s="268">
        <v>750</v>
      </c>
      <c r="P316" s="265">
        <v>750</v>
      </c>
      <c r="S316" s="261" t="s">
        <v>2073</v>
      </c>
      <c r="T316" s="262"/>
      <c r="U316" s="385">
        <f t="shared" si="25"/>
        <v>28</v>
      </c>
      <c r="V316" s="218">
        <f t="shared" si="21"/>
        <v>274.49</v>
      </c>
      <c r="W316" s="37">
        <f t="shared" si="23"/>
        <v>1254.81</v>
      </c>
      <c r="X316" s="37">
        <v>935</v>
      </c>
      <c r="Y316" s="37">
        <f t="shared" si="22"/>
        <v>319.80999999999995</v>
      </c>
    </row>
    <row r="317" spans="1:29">
      <c r="A317" s="271" t="s">
        <v>1851</v>
      </c>
      <c r="B317" s="272" t="s">
        <v>170</v>
      </c>
      <c r="C317" s="277" t="s">
        <v>92</v>
      </c>
      <c r="D317" s="394">
        <v>1045</v>
      </c>
      <c r="E317" s="395">
        <v>1089</v>
      </c>
      <c r="F317" s="394">
        <v>1059</v>
      </c>
      <c r="G317" s="394">
        <v>950</v>
      </c>
      <c r="H317" s="397">
        <v>950</v>
      </c>
      <c r="I317" s="394">
        <v>950</v>
      </c>
      <c r="J317" s="394">
        <v>1070</v>
      </c>
      <c r="K317" s="394">
        <v>1232.3399999999999</v>
      </c>
      <c r="L317" s="265">
        <v>1070</v>
      </c>
      <c r="N317" s="265">
        <v>950</v>
      </c>
      <c r="O317" s="268">
        <v>950</v>
      </c>
      <c r="P317" s="265">
        <v>950</v>
      </c>
      <c r="S317" s="261" t="s">
        <v>2073</v>
      </c>
      <c r="T317" s="262" t="s">
        <v>2633</v>
      </c>
      <c r="U317" s="385">
        <f t="shared" si="25"/>
        <v>28</v>
      </c>
      <c r="V317" s="218">
        <f t="shared" si="21"/>
        <v>345.06</v>
      </c>
      <c r="W317" s="37">
        <f t="shared" si="23"/>
        <v>1577.3999999999999</v>
      </c>
      <c r="X317" s="37">
        <v>1177</v>
      </c>
      <c r="Y317" s="37">
        <f t="shared" si="22"/>
        <v>400.39999999999986</v>
      </c>
    </row>
    <row r="318" spans="1:29">
      <c r="A318" s="271" t="s">
        <v>1852</v>
      </c>
      <c r="B318" s="272" t="s">
        <v>171</v>
      </c>
      <c r="C318" s="277" t="s">
        <v>92</v>
      </c>
      <c r="D318" s="394">
        <v>1188</v>
      </c>
      <c r="E318" s="395">
        <v>1210</v>
      </c>
      <c r="F318" s="394">
        <v>1187</v>
      </c>
      <c r="G318" s="394">
        <v>1125</v>
      </c>
      <c r="H318" s="397">
        <v>1125</v>
      </c>
      <c r="I318" s="394">
        <v>1125</v>
      </c>
      <c r="J318" s="394">
        <v>1265</v>
      </c>
      <c r="K318" s="394">
        <v>1480</v>
      </c>
      <c r="L318" s="265">
        <v>1265</v>
      </c>
      <c r="N318" s="265">
        <v>1125</v>
      </c>
      <c r="O318" s="268">
        <v>1125</v>
      </c>
      <c r="P318" s="265">
        <v>1125</v>
      </c>
      <c r="S318" s="261" t="s">
        <v>2073</v>
      </c>
      <c r="T318" s="262"/>
      <c r="U318" s="385">
        <f t="shared" si="25"/>
        <v>28</v>
      </c>
      <c r="V318" s="218">
        <f t="shared" si="21"/>
        <v>414.4</v>
      </c>
      <c r="W318" s="37">
        <f t="shared" si="23"/>
        <v>1894.4</v>
      </c>
      <c r="X318" s="37">
        <v>1391</v>
      </c>
      <c r="Y318" s="37">
        <f t="shared" si="22"/>
        <v>503.40000000000009</v>
      </c>
      <c r="AB318" s="245">
        <v>1176.17</v>
      </c>
      <c r="AC318" s="245">
        <f>AB318+V318</f>
        <v>1590.5700000000002</v>
      </c>
    </row>
    <row r="319" spans="1:29">
      <c r="A319" s="277">
        <v>162</v>
      </c>
      <c r="B319" s="279" t="s">
        <v>2634</v>
      </c>
      <c r="S319" s="261"/>
      <c r="T319" s="262"/>
      <c r="U319" s="385">
        <f t="shared" si="25"/>
        <v>28</v>
      </c>
      <c r="V319" s="218">
        <f t="shared" si="21"/>
        <v>0</v>
      </c>
      <c r="W319" s="37">
        <f t="shared" si="23"/>
        <v>0</v>
      </c>
      <c r="Y319" s="37">
        <f t="shared" si="22"/>
        <v>0</v>
      </c>
    </row>
    <row r="320" spans="1:29">
      <c r="A320" s="271" t="s">
        <v>627</v>
      </c>
      <c r="B320" s="272" t="s">
        <v>2629</v>
      </c>
      <c r="C320" s="277" t="s">
        <v>92</v>
      </c>
      <c r="D320" s="394">
        <v>208</v>
      </c>
      <c r="E320" s="395">
        <v>217</v>
      </c>
      <c r="F320" s="394">
        <v>212</v>
      </c>
      <c r="G320" s="394">
        <v>237</v>
      </c>
      <c r="H320" s="397">
        <v>237</v>
      </c>
      <c r="I320" s="394">
        <v>237</v>
      </c>
      <c r="J320" s="394">
        <v>287</v>
      </c>
      <c r="K320" s="394">
        <v>344.41</v>
      </c>
      <c r="L320" s="265">
        <v>287</v>
      </c>
      <c r="N320" s="265">
        <v>237</v>
      </c>
      <c r="O320" s="268">
        <v>237</v>
      </c>
      <c r="P320" s="265">
        <v>237</v>
      </c>
      <c r="S320" s="261" t="s">
        <v>2073</v>
      </c>
      <c r="T320" s="262"/>
      <c r="U320" s="385">
        <f t="shared" si="25"/>
        <v>28</v>
      </c>
      <c r="V320" s="218">
        <f t="shared" si="21"/>
        <v>96.43</v>
      </c>
      <c r="W320" s="37">
        <f t="shared" si="23"/>
        <v>440.84000000000003</v>
      </c>
      <c r="X320" s="37">
        <v>315</v>
      </c>
      <c r="Y320" s="37">
        <f t="shared" si="22"/>
        <v>125.84000000000003</v>
      </c>
    </row>
    <row r="321" spans="1:25">
      <c r="A321" s="271" t="s">
        <v>628</v>
      </c>
      <c r="B321" s="272" t="s">
        <v>2630</v>
      </c>
      <c r="C321" s="277" t="s">
        <v>92</v>
      </c>
      <c r="D321" s="394">
        <v>293</v>
      </c>
      <c r="E321" s="395">
        <v>304</v>
      </c>
      <c r="F321" s="394">
        <v>294</v>
      </c>
      <c r="G321" s="394">
        <v>308</v>
      </c>
      <c r="H321" s="397">
        <v>308</v>
      </c>
      <c r="I321" s="394">
        <v>308</v>
      </c>
      <c r="J321" s="394">
        <v>360</v>
      </c>
      <c r="K321" s="394">
        <v>417.61</v>
      </c>
      <c r="L321" s="265">
        <v>360</v>
      </c>
      <c r="N321" s="265">
        <v>308</v>
      </c>
      <c r="O321" s="268">
        <v>308</v>
      </c>
      <c r="P321" s="265">
        <v>308</v>
      </c>
      <c r="S321" s="261" t="s">
        <v>2073</v>
      </c>
      <c r="T321" s="262"/>
      <c r="U321" s="385">
        <f t="shared" si="25"/>
        <v>28</v>
      </c>
      <c r="V321" s="218">
        <f t="shared" si="21"/>
        <v>116.93</v>
      </c>
      <c r="W321" s="37">
        <f t="shared" si="23"/>
        <v>534.54</v>
      </c>
      <c r="X321" s="37">
        <v>396</v>
      </c>
      <c r="Y321" s="37">
        <f t="shared" si="22"/>
        <v>138.53999999999996</v>
      </c>
    </row>
    <row r="322" spans="1:25">
      <c r="A322" s="277">
        <v>163</v>
      </c>
      <c r="B322" s="279" t="s">
        <v>2635</v>
      </c>
      <c r="S322" s="261" t="s">
        <v>2073</v>
      </c>
      <c r="T322" s="262"/>
      <c r="U322" s="385">
        <f t="shared" si="25"/>
        <v>28</v>
      </c>
      <c r="V322" s="218">
        <f t="shared" si="21"/>
        <v>0</v>
      </c>
      <c r="W322" s="37">
        <f t="shared" si="23"/>
        <v>0</v>
      </c>
      <c r="Y322" s="37">
        <f t="shared" si="22"/>
        <v>0</v>
      </c>
    </row>
    <row r="323" spans="1:25">
      <c r="A323" s="271" t="s">
        <v>627</v>
      </c>
      <c r="B323" s="272" t="s">
        <v>2629</v>
      </c>
      <c r="C323" s="277" t="s">
        <v>92</v>
      </c>
      <c r="D323" s="394">
        <v>411</v>
      </c>
      <c r="E323" s="395">
        <v>410</v>
      </c>
      <c r="F323" s="394">
        <v>420</v>
      </c>
      <c r="G323" s="394">
        <v>420</v>
      </c>
      <c r="H323" s="397">
        <v>420</v>
      </c>
      <c r="I323" s="394">
        <v>420</v>
      </c>
      <c r="J323" s="394">
        <v>490</v>
      </c>
      <c r="K323" s="394">
        <v>608.4</v>
      </c>
      <c r="L323" s="265">
        <v>490</v>
      </c>
      <c r="N323" s="265">
        <v>420</v>
      </c>
      <c r="O323" s="268">
        <v>420</v>
      </c>
      <c r="P323" s="265">
        <v>420</v>
      </c>
      <c r="S323" s="261" t="s">
        <v>2073</v>
      </c>
      <c r="T323" s="262"/>
      <c r="U323" s="385">
        <f t="shared" si="25"/>
        <v>28</v>
      </c>
      <c r="V323" s="218">
        <f t="shared" si="21"/>
        <v>170.35</v>
      </c>
      <c r="W323" s="37">
        <f t="shared" si="23"/>
        <v>778.75</v>
      </c>
      <c r="X323" s="37">
        <v>539</v>
      </c>
      <c r="Y323" s="37">
        <f t="shared" si="22"/>
        <v>239.75</v>
      </c>
    </row>
    <row r="324" spans="1:25">
      <c r="A324" s="271" t="s">
        <v>628</v>
      </c>
      <c r="B324" s="272" t="s">
        <v>2630</v>
      </c>
      <c r="C324" s="277" t="s">
        <v>92</v>
      </c>
      <c r="D324" s="394">
        <v>492</v>
      </c>
      <c r="E324" s="395">
        <v>492</v>
      </c>
      <c r="F324" s="394">
        <v>486</v>
      </c>
      <c r="G324" s="394">
        <v>511</v>
      </c>
      <c r="H324" s="397">
        <v>511</v>
      </c>
      <c r="I324" s="394">
        <v>511</v>
      </c>
      <c r="J324" s="394">
        <v>590</v>
      </c>
      <c r="K324" s="394">
        <v>705.01</v>
      </c>
      <c r="L324" s="265">
        <v>590</v>
      </c>
      <c r="N324" s="265">
        <v>511</v>
      </c>
      <c r="O324" s="268">
        <v>511</v>
      </c>
      <c r="P324" s="265">
        <v>511</v>
      </c>
      <c r="S324" s="261" t="s">
        <v>2073</v>
      </c>
      <c r="T324" s="262"/>
      <c r="U324" s="385">
        <f t="shared" si="25"/>
        <v>28</v>
      </c>
      <c r="V324" s="218">
        <f t="shared" ref="V324:V387" si="26">ROUND(K324*U324/100,2)</f>
        <v>197.4</v>
      </c>
      <c r="W324" s="37">
        <f t="shared" si="23"/>
        <v>902.41</v>
      </c>
      <c r="X324" s="37">
        <v>649</v>
      </c>
      <c r="Y324" s="37">
        <f t="shared" ref="Y324:Y387" si="27">W324-X324</f>
        <v>253.40999999999997</v>
      </c>
    </row>
    <row r="325" spans="1:25">
      <c r="A325" s="271" t="s">
        <v>629</v>
      </c>
      <c r="B325" s="272" t="s">
        <v>2631</v>
      </c>
      <c r="C325" s="277" t="s">
        <v>92</v>
      </c>
      <c r="D325" s="394">
        <v>600</v>
      </c>
      <c r="E325" s="395">
        <v>605</v>
      </c>
      <c r="F325" s="394">
        <v>589</v>
      </c>
      <c r="G325" s="394">
        <v>630</v>
      </c>
      <c r="H325" s="397">
        <v>630</v>
      </c>
      <c r="I325" s="394">
        <v>630</v>
      </c>
      <c r="J325" s="394">
        <v>720</v>
      </c>
      <c r="K325" s="394">
        <v>843.5</v>
      </c>
      <c r="L325" s="265">
        <v>720</v>
      </c>
      <c r="N325" s="265">
        <v>630</v>
      </c>
      <c r="O325" s="268">
        <v>630</v>
      </c>
      <c r="P325" s="265">
        <v>630</v>
      </c>
      <c r="S325" s="261" t="s">
        <v>2073</v>
      </c>
      <c r="T325" s="262" t="s">
        <v>2636</v>
      </c>
      <c r="U325" s="385">
        <f t="shared" si="25"/>
        <v>28</v>
      </c>
      <c r="V325" s="218">
        <f t="shared" si="26"/>
        <v>236.18</v>
      </c>
      <c r="W325" s="37">
        <f t="shared" si="23"/>
        <v>1079.68</v>
      </c>
      <c r="X325" s="37">
        <v>792</v>
      </c>
      <c r="Y325" s="37">
        <f t="shared" si="27"/>
        <v>287.68000000000006</v>
      </c>
    </row>
    <row r="326" spans="1:25">
      <c r="A326" s="271" t="s">
        <v>1847</v>
      </c>
      <c r="B326" s="272" t="s">
        <v>169</v>
      </c>
      <c r="C326" s="277" t="s">
        <v>92</v>
      </c>
      <c r="D326" s="394">
        <v>993</v>
      </c>
      <c r="E326" s="395">
        <v>975</v>
      </c>
      <c r="F326" s="394">
        <v>990</v>
      </c>
      <c r="G326" s="394">
        <v>1006</v>
      </c>
      <c r="H326" s="397">
        <v>1006</v>
      </c>
      <c r="I326" s="394">
        <v>1006</v>
      </c>
      <c r="J326" s="394">
        <v>1135</v>
      </c>
      <c r="K326" s="394">
        <v>1286.47</v>
      </c>
      <c r="L326" s="265">
        <v>1135</v>
      </c>
      <c r="N326" s="265">
        <v>1006</v>
      </c>
      <c r="O326" s="268">
        <v>1006</v>
      </c>
      <c r="P326" s="265">
        <v>1006</v>
      </c>
      <c r="S326" s="261" t="s">
        <v>2073</v>
      </c>
      <c r="T326" s="262"/>
      <c r="U326" s="385">
        <f t="shared" si="25"/>
        <v>28</v>
      </c>
      <c r="V326" s="218">
        <f t="shared" si="26"/>
        <v>360.21</v>
      </c>
      <c r="W326" s="37">
        <f t="shared" si="23"/>
        <v>1646.68</v>
      </c>
      <c r="X326" s="37">
        <v>1248</v>
      </c>
      <c r="Y326" s="37">
        <f t="shared" si="27"/>
        <v>398.68000000000006</v>
      </c>
    </row>
    <row r="327" spans="1:25">
      <c r="A327" s="271" t="s">
        <v>1849</v>
      </c>
      <c r="B327" s="272" t="s">
        <v>171</v>
      </c>
      <c r="C327" s="277" t="s">
        <v>92</v>
      </c>
      <c r="D327" s="394">
        <v>1564</v>
      </c>
      <c r="E327" s="395">
        <v>1606</v>
      </c>
      <c r="F327" s="394">
        <v>1548</v>
      </c>
      <c r="G327" s="394">
        <v>1598</v>
      </c>
      <c r="H327" s="397">
        <v>1598</v>
      </c>
      <c r="I327" s="394">
        <v>1598</v>
      </c>
      <c r="J327" s="394">
        <v>1790</v>
      </c>
      <c r="K327" s="394">
        <v>1979.71</v>
      </c>
      <c r="L327" s="265">
        <v>1790</v>
      </c>
      <c r="N327" s="265">
        <v>1598</v>
      </c>
      <c r="O327" s="268">
        <v>1598</v>
      </c>
      <c r="P327" s="265">
        <v>1598</v>
      </c>
      <c r="S327" s="261" t="s">
        <v>2073</v>
      </c>
      <c r="T327" s="262" t="s">
        <v>2637</v>
      </c>
      <c r="U327" s="385">
        <f t="shared" si="25"/>
        <v>28</v>
      </c>
      <c r="V327" s="218">
        <f t="shared" si="26"/>
        <v>554.32000000000005</v>
      </c>
      <c r="W327" s="37">
        <f t="shared" ref="W327:W390" si="28">K327+V327</f>
        <v>2534.0300000000002</v>
      </c>
      <c r="X327" s="37">
        <v>1935</v>
      </c>
      <c r="Y327" s="37">
        <f t="shared" si="27"/>
        <v>599.0300000000002</v>
      </c>
    </row>
    <row r="328" spans="1:25">
      <c r="A328" s="277">
        <v>164</v>
      </c>
      <c r="B328" s="279" t="s">
        <v>2638</v>
      </c>
      <c r="S328" s="261"/>
      <c r="T328" s="262"/>
      <c r="U328" s="385">
        <f t="shared" si="25"/>
        <v>28</v>
      </c>
      <c r="V328" s="218">
        <f t="shared" si="26"/>
        <v>0</v>
      </c>
      <c r="W328" s="37">
        <f t="shared" si="28"/>
        <v>0</v>
      </c>
      <c r="Y328" s="37">
        <f t="shared" si="27"/>
        <v>0</v>
      </c>
    </row>
    <row r="329" spans="1:25">
      <c r="A329" s="271" t="s">
        <v>627</v>
      </c>
      <c r="B329" s="272" t="s">
        <v>2629</v>
      </c>
      <c r="C329" s="277" t="s">
        <v>92</v>
      </c>
      <c r="D329" s="394">
        <v>383</v>
      </c>
      <c r="E329" s="395">
        <v>397</v>
      </c>
      <c r="F329" s="394">
        <v>390</v>
      </c>
      <c r="G329" s="394">
        <v>420</v>
      </c>
      <c r="H329" s="397">
        <v>420</v>
      </c>
      <c r="I329" s="394">
        <v>420</v>
      </c>
      <c r="J329" s="394">
        <v>480</v>
      </c>
      <c r="K329" s="394">
        <v>553.21</v>
      </c>
      <c r="L329" s="265">
        <v>480</v>
      </c>
      <c r="N329" s="265">
        <v>420</v>
      </c>
      <c r="O329" s="268">
        <v>420</v>
      </c>
      <c r="P329" s="265">
        <v>420</v>
      </c>
      <c r="S329" s="261" t="s">
        <v>2073</v>
      </c>
      <c r="T329" s="262"/>
      <c r="U329" s="385">
        <f t="shared" si="25"/>
        <v>28</v>
      </c>
      <c r="V329" s="218">
        <f t="shared" si="26"/>
        <v>154.9</v>
      </c>
      <c r="W329" s="37">
        <f t="shared" si="28"/>
        <v>708.11</v>
      </c>
      <c r="X329" s="37">
        <v>524</v>
      </c>
      <c r="Y329" s="37">
        <f t="shared" si="27"/>
        <v>184.11</v>
      </c>
    </row>
    <row r="330" spans="1:25">
      <c r="A330" s="271" t="s">
        <v>628</v>
      </c>
      <c r="B330" s="272" t="s">
        <v>2630</v>
      </c>
      <c r="C330" s="277" t="s">
        <v>92</v>
      </c>
      <c r="D330" s="394">
        <v>426</v>
      </c>
      <c r="E330" s="395">
        <v>445</v>
      </c>
      <c r="F330" s="394">
        <v>436</v>
      </c>
      <c r="G330" s="394">
        <v>450</v>
      </c>
      <c r="H330" s="397">
        <v>450</v>
      </c>
      <c r="I330" s="394">
        <v>450</v>
      </c>
      <c r="J330" s="394">
        <v>510</v>
      </c>
      <c r="K330" s="394">
        <v>596.64</v>
      </c>
      <c r="L330" s="265">
        <v>510</v>
      </c>
      <c r="N330" s="265">
        <v>450</v>
      </c>
      <c r="O330" s="268">
        <v>450</v>
      </c>
      <c r="P330" s="265">
        <v>450</v>
      </c>
      <c r="S330" s="261" t="s">
        <v>2073</v>
      </c>
      <c r="T330" s="262"/>
      <c r="U330" s="385">
        <f t="shared" si="25"/>
        <v>28</v>
      </c>
      <c r="V330" s="218">
        <f t="shared" si="26"/>
        <v>167.06</v>
      </c>
      <c r="W330" s="37">
        <f t="shared" si="28"/>
        <v>763.7</v>
      </c>
      <c r="X330" s="37">
        <v>561</v>
      </c>
      <c r="Y330" s="37">
        <f t="shared" si="27"/>
        <v>202.70000000000005</v>
      </c>
    </row>
    <row r="331" spans="1:25">
      <c r="A331" s="277">
        <v>165</v>
      </c>
      <c r="B331" s="279" t="s">
        <v>2639</v>
      </c>
      <c r="C331" s="277" t="s">
        <v>92</v>
      </c>
      <c r="D331" s="394">
        <v>526</v>
      </c>
      <c r="E331" s="395">
        <v>550</v>
      </c>
      <c r="F331" s="394">
        <v>540</v>
      </c>
      <c r="G331" s="394">
        <v>526</v>
      </c>
      <c r="H331" s="397">
        <v>526</v>
      </c>
      <c r="I331" s="394">
        <v>526</v>
      </c>
      <c r="J331" s="394">
        <v>595</v>
      </c>
      <c r="K331" s="394">
        <v>700.29</v>
      </c>
      <c r="L331" s="265">
        <v>595</v>
      </c>
      <c r="N331" s="265">
        <v>526</v>
      </c>
      <c r="O331" s="268">
        <v>526</v>
      </c>
      <c r="P331" s="265">
        <v>526</v>
      </c>
      <c r="S331" s="261" t="s">
        <v>2073</v>
      </c>
      <c r="T331" s="262"/>
      <c r="U331" s="385">
        <f t="shared" si="25"/>
        <v>28</v>
      </c>
      <c r="V331" s="218">
        <f t="shared" si="26"/>
        <v>196.08</v>
      </c>
      <c r="W331" s="37">
        <f t="shared" si="28"/>
        <v>896.37</v>
      </c>
      <c r="X331" s="37">
        <v>654</v>
      </c>
      <c r="Y331" s="37">
        <f t="shared" si="27"/>
        <v>242.37</v>
      </c>
    </row>
    <row r="332" spans="1:25">
      <c r="A332" s="277">
        <v>166</v>
      </c>
      <c r="B332" s="279" t="s">
        <v>2640</v>
      </c>
      <c r="S332" s="261"/>
      <c r="T332" s="262"/>
      <c r="U332" s="385">
        <f t="shared" si="25"/>
        <v>28</v>
      </c>
      <c r="V332" s="218">
        <f t="shared" si="26"/>
        <v>0</v>
      </c>
      <c r="W332" s="37">
        <f t="shared" si="28"/>
        <v>0</v>
      </c>
      <c r="Y332" s="37">
        <f t="shared" si="27"/>
        <v>0</v>
      </c>
    </row>
    <row r="333" spans="1:25">
      <c r="A333" s="271" t="s">
        <v>627</v>
      </c>
      <c r="B333" s="272" t="s">
        <v>2641</v>
      </c>
      <c r="C333" s="277" t="s">
        <v>92</v>
      </c>
      <c r="D333" s="394">
        <v>448</v>
      </c>
      <c r="E333" s="395">
        <v>447</v>
      </c>
      <c r="F333" s="394">
        <v>438</v>
      </c>
      <c r="G333" s="394">
        <v>452</v>
      </c>
      <c r="H333" s="397">
        <v>452</v>
      </c>
      <c r="I333" s="394">
        <v>452</v>
      </c>
      <c r="J333" s="394">
        <v>530</v>
      </c>
      <c r="K333" s="394">
        <v>628.82000000000005</v>
      </c>
      <c r="L333" s="265">
        <v>530</v>
      </c>
      <c r="N333" s="265">
        <v>452</v>
      </c>
      <c r="O333" s="268">
        <v>452</v>
      </c>
      <c r="P333" s="265">
        <v>452</v>
      </c>
      <c r="S333" s="261" t="s">
        <v>2073</v>
      </c>
      <c r="T333" s="262"/>
      <c r="U333" s="385">
        <f t="shared" si="25"/>
        <v>28</v>
      </c>
      <c r="V333" s="218">
        <f t="shared" si="26"/>
        <v>176.07</v>
      </c>
      <c r="W333" s="37">
        <f t="shared" si="28"/>
        <v>804.8900000000001</v>
      </c>
      <c r="X333" s="37">
        <v>583</v>
      </c>
      <c r="Y333" s="37">
        <f t="shared" si="27"/>
        <v>221.8900000000001</v>
      </c>
    </row>
    <row r="334" spans="1:25">
      <c r="A334" s="271" t="s">
        <v>628</v>
      </c>
      <c r="B334" s="272" t="s">
        <v>2642</v>
      </c>
      <c r="C334" s="277" t="s">
        <v>92</v>
      </c>
      <c r="D334" s="394">
        <v>302</v>
      </c>
      <c r="E334" s="395">
        <v>292</v>
      </c>
      <c r="F334" s="394">
        <v>300</v>
      </c>
      <c r="G334" s="394">
        <v>318</v>
      </c>
      <c r="H334" s="397">
        <v>318</v>
      </c>
      <c r="I334" s="394">
        <v>318</v>
      </c>
      <c r="J334" s="394">
        <v>380</v>
      </c>
      <c r="K334" s="394">
        <v>443.39</v>
      </c>
      <c r="L334" s="265">
        <v>380</v>
      </c>
      <c r="N334" s="265">
        <v>318</v>
      </c>
      <c r="O334" s="268">
        <v>318</v>
      </c>
      <c r="P334" s="265">
        <v>318</v>
      </c>
      <c r="S334" s="261" t="s">
        <v>2073</v>
      </c>
      <c r="T334" s="262"/>
      <c r="U334" s="385">
        <f t="shared" si="25"/>
        <v>28</v>
      </c>
      <c r="V334" s="218">
        <f t="shared" si="26"/>
        <v>124.15</v>
      </c>
      <c r="W334" s="37">
        <f t="shared" si="28"/>
        <v>567.54</v>
      </c>
      <c r="X334" s="37">
        <v>418</v>
      </c>
      <c r="Y334" s="37">
        <f t="shared" si="27"/>
        <v>149.53999999999996</v>
      </c>
    </row>
    <row r="335" spans="1:25">
      <c r="A335" s="263">
        <v>167</v>
      </c>
      <c r="B335" s="261" t="s">
        <v>2643</v>
      </c>
      <c r="S335" s="261"/>
      <c r="T335" s="262"/>
      <c r="U335" s="385">
        <f t="shared" si="25"/>
        <v>28</v>
      </c>
      <c r="V335" s="218">
        <f t="shared" si="26"/>
        <v>0</v>
      </c>
      <c r="W335" s="37">
        <f t="shared" si="28"/>
        <v>0</v>
      </c>
      <c r="Y335" s="37">
        <f t="shared" si="27"/>
        <v>0</v>
      </c>
    </row>
    <row r="336" spans="1:25">
      <c r="A336" s="271" t="s">
        <v>627</v>
      </c>
      <c r="B336" s="272" t="s">
        <v>2644</v>
      </c>
      <c r="C336" s="277" t="s">
        <v>92</v>
      </c>
      <c r="D336" s="394">
        <v>492</v>
      </c>
      <c r="E336" s="395">
        <v>580</v>
      </c>
      <c r="F336" s="394">
        <v>490</v>
      </c>
      <c r="G336" s="394">
        <v>492</v>
      </c>
      <c r="H336" s="397">
        <v>492</v>
      </c>
      <c r="I336" s="394">
        <v>492</v>
      </c>
      <c r="J336" s="394">
        <v>550</v>
      </c>
      <c r="K336" s="394">
        <v>634.45000000000005</v>
      </c>
      <c r="L336" s="265">
        <v>550</v>
      </c>
      <c r="N336" s="265">
        <v>492</v>
      </c>
      <c r="O336" s="268">
        <v>492</v>
      </c>
      <c r="P336" s="265">
        <v>492</v>
      </c>
      <c r="S336" s="261" t="s">
        <v>2073</v>
      </c>
      <c r="T336" s="262" t="s">
        <v>2645</v>
      </c>
      <c r="U336" s="385">
        <f t="shared" si="25"/>
        <v>28</v>
      </c>
      <c r="V336" s="218">
        <f t="shared" si="26"/>
        <v>177.65</v>
      </c>
      <c r="W336" s="37">
        <f t="shared" si="28"/>
        <v>812.1</v>
      </c>
      <c r="X336" s="37">
        <v>605</v>
      </c>
      <c r="Y336" s="37">
        <f t="shared" si="27"/>
        <v>207.10000000000002</v>
      </c>
    </row>
    <row r="337" spans="1:25">
      <c r="A337" s="271" t="s">
        <v>628</v>
      </c>
      <c r="B337" s="272" t="s">
        <v>171</v>
      </c>
      <c r="C337" s="277" t="s">
        <v>92</v>
      </c>
      <c r="D337" s="394">
        <v>563</v>
      </c>
      <c r="E337" s="395">
        <v>588</v>
      </c>
      <c r="F337" s="394">
        <v>568</v>
      </c>
      <c r="G337" s="394">
        <v>563</v>
      </c>
      <c r="H337" s="397">
        <v>563</v>
      </c>
      <c r="I337" s="394">
        <v>563</v>
      </c>
      <c r="J337" s="394">
        <v>630</v>
      </c>
      <c r="K337" s="394">
        <v>710.82</v>
      </c>
      <c r="L337" s="265">
        <v>630</v>
      </c>
      <c r="N337" s="265">
        <v>563</v>
      </c>
      <c r="O337" s="268">
        <v>563</v>
      </c>
      <c r="P337" s="265">
        <v>563</v>
      </c>
      <c r="S337" s="261" t="s">
        <v>2073</v>
      </c>
      <c r="T337" s="262" t="s">
        <v>2645</v>
      </c>
      <c r="U337" s="385">
        <f t="shared" si="25"/>
        <v>28</v>
      </c>
      <c r="V337" s="218">
        <f t="shared" si="26"/>
        <v>199.03</v>
      </c>
      <c r="W337" s="37">
        <f t="shared" si="28"/>
        <v>909.85</v>
      </c>
      <c r="X337" s="37">
        <v>693</v>
      </c>
      <c r="Y337" s="37">
        <f t="shared" si="27"/>
        <v>216.85000000000002</v>
      </c>
    </row>
    <row r="338" spans="1:25">
      <c r="A338" s="271" t="s">
        <v>629</v>
      </c>
      <c r="B338" s="272" t="s">
        <v>2646</v>
      </c>
      <c r="C338" s="277" t="s">
        <v>92</v>
      </c>
      <c r="D338" s="394">
        <v>625</v>
      </c>
      <c r="E338" s="395">
        <v>646</v>
      </c>
      <c r="F338" s="394">
        <v>626</v>
      </c>
      <c r="G338" s="394">
        <v>625</v>
      </c>
      <c r="H338" s="397">
        <v>625</v>
      </c>
      <c r="I338" s="394">
        <v>625</v>
      </c>
      <c r="J338" s="394">
        <v>700</v>
      </c>
      <c r="K338" s="394">
        <v>782.53</v>
      </c>
      <c r="L338" s="265">
        <v>700</v>
      </c>
      <c r="N338" s="265">
        <v>625</v>
      </c>
      <c r="O338" s="268">
        <v>625</v>
      </c>
      <c r="P338" s="265">
        <v>625</v>
      </c>
      <c r="S338" s="261" t="s">
        <v>2073</v>
      </c>
      <c r="T338" s="262" t="s">
        <v>2645</v>
      </c>
      <c r="U338" s="385">
        <f t="shared" si="25"/>
        <v>28</v>
      </c>
      <c r="V338" s="218">
        <f t="shared" si="26"/>
        <v>219.11</v>
      </c>
      <c r="W338" s="37">
        <f t="shared" si="28"/>
        <v>1001.64</v>
      </c>
      <c r="X338" s="37">
        <v>760</v>
      </c>
      <c r="Y338" s="37">
        <f t="shared" si="27"/>
        <v>241.64</v>
      </c>
    </row>
    <row r="339" spans="1:25">
      <c r="A339" s="271" t="s">
        <v>1847</v>
      </c>
      <c r="B339" s="272" t="s">
        <v>177</v>
      </c>
      <c r="C339" s="277" t="s">
        <v>92</v>
      </c>
      <c r="D339" s="394">
        <v>744</v>
      </c>
      <c r="E339" s="395">
        <v>779</v>
      </c>
      <c r="F339" s="394">
        <v>746</v>
      </c>
      <c r="G339" s="394">
        <v>744</v>
      </c>
      <c r="H339" s="397">
        <v>744</v>
      </c>
      <c r="I339" s="394">
        <v>744</v>
      </c>
      <c r="J339" s="394">
        <v>830</v>
      </c>
      <c r="K339" s="394">
        <v>959.84</v>
      </c>
      <c r="L339" s="265">
        <v>830</v>
      </c>
      <c r="N339" s="265">
        <v>744</v>
      </c>
      <c r="O339" s="268">
        <v>744</v>
      </c>
      <c r="P339" s="265">
        <v>744</v>
      </c>
      <c r="S339" s="261" t="s">
        <v>2073</v>
      </c>
      <c r="T339" s="262" t="s">
        <v>2645</v>
      </c>
      <c r="U339" s="385">
        <f t="shared" si="25"/>
        <v>28</v>
      </c>
      <c r="V339" s="218">
        <f t="shared" si="26"/>
        <v>268.76</v>
      </c>
      <c r="W339" s="37">
        <f t="shared" si="28"/>
        <v>1228.5999999999999</v>
      </c>
      <c r="X339" s="37">
        <v>913</v>
      </c>
      <c r="Y339" s="37">
        <f t="shared" si="27"/>
        <v>315.59999999999991</v>
      </c>
    </row>
    <row r="340" spans="1:25">
      <c r="A340" s="271"/>
      <c r="S340" s="261"/>
      <c r="T340" s="262"/>
      <c r="U340" s="385">
        <f t="shared" si="25"/>
        <v>28</v>
      </c>
      <c r="V340" s="218">
        <f t="shared" si="26"/>
        <v>0</v>
      </c>
      <c r="W340" s="37">
        <f t="shared" si="28"/>
        <v>0</v>
      </c>
      <c r="Y340" s="37">
        <f t="shared" si="27"/>
        <v>0</v>
      </c>
    </row>
    <row r="341" spans="1:25">
      <c r="A341" s="277">
        <v>168</v>
      </c>
      <c r="B341" s="279" t="s">
        <v>2647</v>
      </c>
      <c r="S341" s="261"/>
      <c r="T341" s="262"/>
      <c r="U341" s="385">
        <f t="shared" si="25"/>
        <v>28</v>
      </c>
      <c r="V341" s="218">
        <f t="shared" si="26"/>
        <v>0</v>
      </c>
      <c r="W341" s="37">
        <f t="shared" si="28"/>
        <v>0</v>
      </c>
      <c r="Y341" s="37">
        <f t="shared" si="27"/>
        <v>0</v>
      </c>
    </row>
    <row r="342" spans="1:25">
      <c r="A342" s="271" t="s">
        <v>627</v>
      </c>
      <c r="B342" s="272" t="s">
        <v>2628</v>
      </c>
      <c r="C342" s="277" t="s">
        <v>92</v>
      </c>
      <c r="D342" s="394">
        <v>229</v>
      </c>
      <c r="E342" s="395">
        <v>234</v>
      </c>
      <c r="F342" s="394">
        <v>234</v>
      </c>
      <c r="G342" s="394">
        <v>229</v>
      </c>
      <c r="H342" s="397">
        <v>229</v>
      </c>
      <c r="I342" s="394">
        <v>229</v>
      </c>
      <c r="J342" s="394">
        <v>270</v>
      </c>
      <c r="K342" s="394">
        <v>321.52</v>
      </c>
      <c r="L342" s="265">
        <v>270</v>
      </c>
      <c r="N342" s="265">
        <v>229</v>
      </c>
      <c r="O342" s="268">
        <v>229</v>
      </c>
      <c r="P342" s="265">
        <v>229</v>
      </c>
      <c r="S342" s="261" t="s">
        <v>2073</v>
      </c>
      <c r="T342" s="262"/>
      <c r="U342" s="385">
        <f t="shared" si="25"/>
        <v>28</v>
      </c>
      <c r="V342" s="218">
        <f t="shared" si="26"/>
        <v>90.03</v>
      </c>
      <c r="W342" s="37">
        <f t="shared" si="28"/>
        <v>411.54999999999995</v>
      </c>
      <c r="X342" s="37">
        <v>297</v>
      </c>
      <c r="Y342" s="37">
        <f t="shared" si="27"/>
        <v>114.54999999999995</v>
      </c>
    </row>
    <row r="343" spans="1:25">
      <c r="A343" s="271" t="s">
        <v>628</v>
      </c>
      <c r="B343" s="272" t="s">
        <v>2629</v>
      </c>
      <c r="C343" s="277" t="s">
        <v>92</v>
      </c>
      <c r="D343" s="394">
        <v>272</v>
      </c>
      <c r="E343" s="395">
        <v>279</v>
      </c>
      <c r="F343" s="394">
        <v>279</v>
      </c>
      <c r="G343" s="394">
        <v>272</v>
      </c>
      <c r="H343" s="397">
        <v>272</v>
      </c>
      <c r="I343" s="394">
        <v>272</v>
      </c>
      <c r="J343" s="394">
        <v>315</v>
      </c>
      <c r="K343" s="394">
        <v>363.93</v>
      </c>
      <c r="L343" s="265">
        <v>315</v>
      </c>
      <c r="N343" s="265">
        <v>272</v>
      </c>
      <c r="O343" s="268">
        <v>272</v>
      </c>
      <c r="P343" s="265">
        <v>272</v>
      </c>
      <c r="S343" s="261" t="s">
        <v>2073</v>
      </c>
      <c r="T343" s="262"/>
      <c r="U343" s="385">
        <f t="shared" si="25"/>
        <v>28</v>
      </c>
      <c r="V343" s="218">
        <f t="shared" si="26"/>
        <v>101.9</v>
      </c>
      <c r="W343" s="37">
        <f t="shared" si="28"/>
        <v>465.83000000000004</v>
      </c>
      <c r="X343" s="37">
        <v>346</v>
      </c>
      <c r="Y343" s="37">
        <f t="shared" si="27"/>
        <v>119.83000000000004</v>
      </c>
    </row>
    <row r="344" spans="1:25">
      <c r="A344" s="271" t="s">
        <v>629</v>
      </c>
      <c r="B344" s="272" t="s">
        <v>2631</v>
      </c>
      <c r="C344" s="277" t="s">
        <v>92</v>
      </c>
      <c r="D344" s="394">
        <v>394</v>
      </c>
      <c r="E344" s="395">
        <v>404</v>
      </c>
      <c r="F344" s="394">
        <v>403</v>
      </c>
      <c r="G344" s="394">
        <v>394</v>
      </c>
      <c r="H344" s="397">
        <v>394</v>
      </c>
      <c r="I344" s="394">
        <v>394</v>
      </c>
      <c r="J344" s="394">
        <v>450</v>
      </c>
      <c r="K344" s="394">
        <v>513.61</v>
      </c>
      <c r="L344" s="265">
        <v>450</v>
      </c>
      <c r="N344" s="265">
        <v>394</v>
      </c>
      <c r="O344" s="268">
        <v>394</v>
      </c>
      <c r="P344" s="265">
        <v>394</v>
      </c>
      <c r="S344" s="261" t="s">
        <v>2073</v>
      </c>
      <c r="T344" s="262"/>
      <c r="U344" s="385">
        <f t="shared" si="25"/>
        <v>28</v>
      </c>
      <c r="V344" s="218">
        <f t="shared" si="26"/>
        <v>143.81</v>
      </c>
      <c r="W344" s="37">
        <f t="shared" si="28"/>
        <v>657.42000000000007</v>
      </c>
      <c r="X344" s="37">
        <v>495</v>
      </c>
      <c r="Y344" s="37">
        <f t="shared" si="27"/>
        <v>162.42000000000007</v>
      </c>
    </row>
    <row r="345" spans="1:25">
      <c r="A345" s="271" t="s">
        <v>1847</v>
      </c>
      <c r="B345" s="272" t="s">
        <v>2644</v>
      </c>
      <c r="C345" s="277" t="s">
        <v>92</v>
      </c>
      <c r="D345" s="394">
        <v>491</v>
      </c>
      <c r="E345" s="395">
        <v>493</v>
      </c>
      <c r="F345" s="394">
        <v>489</v>
      </c>
      <c r="G345" s="394">
        <v>491</v>
      </c>
      <c r="H345" s="397">
        <v>491</v>
      </c>
      <c r="I345" s="394">
        <v>491</v>
      </c>
      <c r="J345" s="394">
        <v>555</v>
      </c>
      <c r="K345" s="394">
        <v>668.32</v>
      </c>
      <c r="L345" s="265">
        <v>555</v>
      </c>
      <c r="N345" s="265">
        <v>491</v>
      </c>
      <c r="O345" s="268">
        <v>491</v>
      </c>
      <c r="P345" s="265">
        <v>491</v>
      </c>
      <c r="S345" s="261" t="s">
        <v>2073</v>
      </c>
      <c r="T345" s="262"/>
      <c r="U345" s="385">
        <f t="shared" si="25"/>
        <v>28</v>
      </c>
      <c r="V345" s="218">
        <f t="shared" si="26"/>
        <v>187.13</v>
      </c>
      <c r="W345" s="37">
        <f t="shared" si="28"/>
        <v>855.45</v>
      </c>
      <c r="X345" s="37">
        <v>610</v>
      </c>
      <c r="Y345" s="37">
        <f t="shared" si="27"/>
        <v>245.45000000000005</v>
      </c>
    </row>
    <row r="346" spans="1:25">
      <c r="A346" s="271" t="s">
        <v>1849</v>
      </c>
      <c r="B346" s="272" t="s">
        <v>171</v>
      </c>
      <c r="C346" s="277" t="s">
        <v>92</v>
      </c>
      <c r="D346" s="394">
        <v>647</v>
      </c>
      <c r="E346" s="395">
        <v>654</v>
      </c>
      <c r="F346" s="394">
        <v>646</v>
      </c>
      <c r="G346" s="394">
        <v>647</v>
      </c>
      <c r="H346" s="397">
        <v>647</v>
      </c>
      <c r="I346" s="394">
        <v>647</v>
      </c>
      <c r="J346" s="394">
        <v>730</v>
      </c>
      <c r="K346" s="394">
        <v>839.98</v>
      </c>
      <c r="L346" s="265">
        <v>730</v>
      </c>
      <c r="N346" s="265">
        <v>647</v>
      </c>
      <c r="O346" s="268">
        <v>647</v>
      </c>
      <c r="P346" s="265">
        <v>647</v>
      </c>
      <c r="S346" s="261" t="s">
        <v>2073</v>
      </c>
      <c r="T346" s="262"/>
      <c r="U346" s="385">
        <f t="shared" si="25"/>
        <v>28</v>
      </c>
      <c r="V346" s="218">
        <f t="shared" si="26"/>
        <v>235.19</v>
      </c>
      <c r="W346" s="37">
        <f t="shared" si="28"/>
        <v>1075.17</v>
      </c>
      <c r="X346" s="37">
        <v>737</v>
      </c>
      <c r="Y346" s="37">
        <f t="shared" si="27"/>
        <v>338.17000000000007</v>
      </c>
    </row>
    <row r="347" spans="1:25">
      <c r="A347" s="271" t="s">
        <v>1851</v>
      </c>
      <c r="B347" s="272" t="s">
        <v>173</v>
      </c>
      <c r="C347" s="277" t="s">
        <v>92</v>
      </c>
      <c r="D347" s="394">
        <v>774</v>
      </c>
      <c r="E347" s="395">
        <v>793</v>
      </c>
      <c r="F347" s="394">
        <v>767</v>
      </c>
      <c r="G347" s="394">
        <v>774</v>
      </c>
      <c r="H347" s="397">
        <v>774</v>
      </c>
      <c r="I347" s="394">
        <v>774</v>
      </c>
      <c r="J347" s="394">
        <v>870</v>
      </c>
      <c r="K347" s="394">
        <v>987</v>
      </c>
      <c r="L347" s="265">
        <v>870</v>
      </c>
      <c r="N347" s="265">
        <v>774</v>
      </c>
      <c r="O347" s="268">
        <v>774</v>
      </c>
      <c r="P347" s="265">
        <v>774</v>
      </c>
      <c r="S347" s="261" t="s">
        <v>2073</v>
      </c>
      <c r="T347" s="262"/>
      <c r="U347" s="385">
        <f t="shared" si="25"/>
        <v>28</v>
      </c>
      <c r="V347" s="218">
        <f t="shared" si="26"/>
        <v>276.36</v>
      </c>
      <c r="W347" s="37">
        <f t="shared" si="28"/>
        <v>1263.3600000000001</v>
      </c>
      <c r="X347" s="37">
        <v>957</v>
      </c>
      <c r="Y347" s="37">
        <f t="shared" si="27"/>
        <v>306.36000000000013</v>
      </c>
    </row>
    <row r="348" spans="1:25">
      <c r="A348" s="271" t="s">
        <v>1852</v>
      </c>
      <c r="B348" s="272" t="s">
        <v>2648</v>
      </c>
      <c r="C348" s="277" t="s">
        <v>92</v>
      </c>
      <c r="D348" s="394">
        <v>908</v>
      </c>
      <c r="E348" s="395">
        <v>924</v>
      </c>
      <c r="F348" s="394">
        <v>885</v>
      </c>
      <c r="G348" s="394">
        <v>908</v>
      </c>
      <c r="H348" s="397">
        <v>908</v>
      </c>
      <c r="I348" s="394">
        <v>908</v>
      </c>
      <c r="J348" s="394">
        <v>1020</v>
      </c>
      <c r="K348" s="394">
        <v>1146.9100000000001</v>
      </c>
      <c r="L348" s="265">
        <v>1020</v>
      </c>
      <c r="N348" s="265">
        <v>908</v>
      </c>
      <c r="O348" s="268">
        <v>908</v>
      </c>
      <c r="P348" s="265">
        <v>908</v>
      </c>
      <c r="S348" s="261" t="s">
        <v>2073</v>
      </c>
      <c r="T348" s="262"/>
      <c r="U348" s="385">
        <f t="shared" si="25"/>
        <v>28</v>
      </c>
      <c r="V348" s="218">
        <f t="shared" si="26"/>
        <v>321.13</v>
      </c>
      <c r="W348" s="37">
        <f t="shared" si="28"/>
        <v>1468.04</v>
      </c>
      <c r="X348" s="37">
        <v>1122</v>
      </c>
      <c r="Y348" s="37">
        <f t="shared" si="27"/>
        <v>346.03999999999996</v>
      </c>
    </row>
    <row r="349" spans="1:25">
      <c r="A349" s="271" t="s">
        <v>2548</v>
      </c>
      <c r="B349" s="272" t="s">
        <v>2649</v>
      </c>
      <c r="C349" s="277" t="s">
        <v>92</v>
      </c>
      <c r="D349" s="394">
        <v>1306</v>
      </c>
      <c r="E349" s="395">
        <v>1322</v>
      </c>
      <c r="F349" s="394">
        <v>1305</v>
      </c>
      <c r="G349" s="394">
        <v>1306</v>
      </c>
      <c r="H349" s="397">
        <v>1306</v>
      </c>
      <c r="I349" s="394">
        <v>1306</v>
      </c>
      <c r="J349" s="394">
        <v>1460</v>
      </c>
      <c r="K349" s="394">
        <v>1590</v>
      </c>
      <c r="L349" s="265">
        <v>1460</v>
      </c>
      <c r="N349" s="265">
        <v>1306</v>
      </c>
      <c r="O349" s="268">
        <v>1306</v>
      </c>
      <c r="P349" s="265">
        <v>1306</v>
      </c>
      <c r="S349" s="261" t="s">
        <v>2073</v>
      </c>
      <c r="T349" s="262"/>
      <c r="U349" s="385">
        <f t="shared" si="25"/>
        <v>28</v>
      </c>
      <c r="V349" s="218">
        <f t="shared" si="26"/>
        <v>445.2</v>
      </c>
      <c r="W349" s="37">
        <f t="shared" si="28"/>
        <v>2035.2</v>
      </c>
      <c r="X349" s="37">
        <v>1606</v>
      </c>
      <c r="Y349" s="37">
        <f t="shared" si="27"/>
        <v>429.20000000000005</v>
      </c>
    </row>
    <row r="350" spans="1:25">
      <c r="A350" s="277">
        <v>169</v>
      </c>
      <c r="B350" s="279" t="s">
        <v>2650</v>
      </c>
      <c r="S350" s="261"/>
      <c r="T350" s="262"/>
      <c r="U350" s="385">
        <f t="shared" si="25"/>
        <v>28</v>
      </c>
      <c r="V350" s="218">
        <f t="shared" si="26"/>
        <v>0</v>
      </c>
      <c r="W350" s="37">
        <f t="shared" si="28"/>
        <v>0</v>
      </c>
      <c r="Y350" s="37">
        <f t="shared" si="27"/>
        <v>0</v>
      </c>
    </row>
    <row r="351" spans="1:25">
      <c r="A351" s="271" t="s">
        <v>627</v>
      </c>
      <c r="B351" s="272" t="s">
        <v>173</v>
      </c>
      <c r="C351" s="277" t="s">
        <v>92</v>
      </c>
      <c r="D351" s="394">
        <v>661</v>
      </c>
      <c r="E351" s="395">
        <v>663</v>
      </c>
      <c r="F351" s="394">
        <v>663</v>
      </c>
      <c r="G351" s="394">
        <v>661</v>
      </c>
      <c r="H351" s="397">
        <v>661</v>
      </c>
      <c r="I351" s="394">
        <v>661</v>
      </c>
      <c r="J351" s="394">
        <v>770</v>
      </c>
      <c r="K351" s="394">
        <v>911</v>
      </c>
      <c r="L351" s="265">
        <v>770</v>
      </c>
      <c r="N351" s="265">
        <v>661</v>
      </c>
      <c r="O351" s="268">
        <v>661</v>
      </c>
      <c r="P351" s="265">
        <v>661</v>
      </c>
      <c r="S351" s="261" t="s">
        <v>2073</v>
      </c>
      <c r="T351" s="262"/>
      <c r="U351" s="385">
        <f t="shared" si="25"/>
        <v>28</v>
      </c>
      <c r="V351" s="218">
        <f t="shared" si="26"/>
        <v>255.08</v>
      </c>
      <c r="W351" s="37">
        <f t="shared" si="28"/>
        <v>1166.08</v>
      </c>
      <c r="X351" s="37">
        <v>847</v>
      </c>
      <c r="Y351" s="37">
        <f t="shared" si="27"/>
        <v>319.07999999999993</v>
      </c>
    </row>
    <row r="352" spans="1:25">
      <c r="A352" s="271" t="s">
        <v>628</v>
      </c>
      <c r="B352" s="272" t="s">
        <v>2648</v>
      </c>
      <c r="C352" s="277" t="s">
        <v>92</v>
      </c>
      <c r="D352" s="394">
        <v>750</v>
      </c>
      <c r="E352" s="395">
        <v>761</v>
      </c>
      <c r="F352" s="394">
        <v>764</v>
      </c>
      <c r="G352" s="394">
        <v>750</v>
      </c>
      <c r="H352" s="397">
        <v>750</v>
      </c>
      <c r="I352" s="394">
        <v>750</v>
      </c>
      <c r="J352" s="394">
        <v>870</v>
      </c>
      <c r="K352" s="394">
        <v>995</v>
      </c>
      <c r="L352" s="265">
        <v>870</v>
      </c>
      <c r="N352" s="265">
        <v>750</v>
      </c>
      <c r="O352" s="268">
        <v>750</v>
      </c>
      <c r="P352" s="265">
        <v>750</v>
      </c>
      <c r="S352" s="261" t="s">
        <v>2073</v>
      </c>
      <c r="T352" s="262"/>
      <c r="U352" s="385">
        <f t="shared" si="25"/>
        <v>28</v>
      </c>
      <c r="V352" s="218">
        <f t="shared" si="26"/>
        <v>278.60000000000002</v>
      </c>
      <c r="W352" s="37">
        <f t="shared" si="28"/>
        <v>1273.5999999999999</v>
      </c>
      <c r="X352" s="37">
        <v>957</v>
      </c>
      <c r="Y352" s="37">
        <f t="shared" si="27"/>
        <v>316.59999999999991</v>
      </c>
    </row>
    <row r="353" spans="1:25">
      <c r="A353" s="271" t="s">
        <v>629</v>
      </c>
      <c r="B353" s="272" t="s">
        <v>177</v>
      </c>
      <c r="C353" s="277" t="s">
        <v>92</v>
      </c>
      <c r="D353" s="394">
        <v>859</v>
      </c>
      <c r="E353" s="395">
        <v>875</v>
      </c>
      <c r="F353" s="394">
        <v>876</v>
      </c>
      <c r="G353" s="394">
        <v>859</v>
      </c>
      <c r="H353" s="397">
        <v>859</v>
      </c>
      <c r="I353" s="394">
        <v>859</v>
      </c>
      <c r="J353" s="394">
        <v>990</v>
      </c>
      <c r="K353" s="394">
        <v>1220.9100000000001</v>
      </c>
      <c r="L353" s="265">
        <v>990</v>
      </c>
      <c r="N353" s="265">
        <v>859</v>
      </c>
      <c r="O353" s="268">
        <v>859</v>
      </c>
      <c r="P353" s="265">
        <v>859</v>
      </c>
      <c r="S353" s="261" t="s">
        <v>2073</v>
      </c>
      <c r="T353" s="262"/>
      <c r="U353" s="385">
        <f t="shared" si="25"/>
        <v>28</v>
      </c>
      <c r="V353" s="218">
        <f t="shared" si="26"/>
        <v>341.85</v>
      </c>
      <c r="W353" s="37">
        <f t="shared" si="28"/>
        <v>1562.7600000000002</v>
      </c>
      <c r="X353" s="37">
        <v>1089</v>
      </c>
      <c r="Y353" s="37">
        <f t="shared" si="27"/>
        <v>473.76000000000022</v>
      </c>
    </row>
    <row r="354" spans="1:25">
      <c r="A354" s="271" t="s">
        <v>1847</v>
      </c>
      <c r="B354" s="272" t="s">
        <v>2651</v>
      </c>
      <c r="C354" s="277" t="s">
        <v>92</v>
      </c>
      <c r="D354" s="394">
        <v>1077</v>
      </c>
      <c r="E354" s="395">
        <v>1065</v>
      </c>
      <c r="F354" s="394">
        <v>1032</v>
      </c>
      <c r="G354" s="394">
        <v>1077</v>
      </c>
      <c r="H354" s="397">
        <v>1077</v>
      </c>
      <c r="I354" s="394">
        <v>1077</v>
      </c>
      <c r="J354" s="394">
        <v>1230</v>
      </c>
      <c r="K354" s="394">
        <v>1458.68</v>
      </c>
      <c r="L354" s="265">
        <v>1230</v>
      </c>
      <c r="N354" s="265">
        <v>1077</v>
      </c>
      <c r="O354" s="268">
        <v>1077</v>
      </c>
      <c r="P354" s="265">
        <v>1077</v>
      </c>
      <c r="S354" s="261" t="s">
        <v>2073</v>
      </c>
      <c r="T354" s="262"/>
      <c r="U354" s="385">
        <f t="shared" si="25"/>
        <v>28</v>
      </c>
      <c r="V354" s="218">
        <f t="shared" si="26"/>
        <v>408.43</v>
      </c>
      <c r="W354" s="37">
        <f t="shared" si="28"/>
        <v>1867.1100000000001</v>
      </c>
      <c r="X354" s="37">
        <v>1353</v>
      </c>
      <c r="Y354" s="37">
        <f t="shared" si="27"/>
        <v>514.11000000000013</v>
      </c>
    </row>
    <row r="355" spans="1:25">
      <c r="A355" s="277">
        <v>170</v>
      </c>
      <c r="B355" s="279" t="s">
        <v>2652</v>
      </c>
      <c r="S355" s="261"/>
      <c r="T355" s="262"/>
      <c r="U355" s="385">
        <f t="shared" si="25"/>
        <v>28</v>
      </c>
      <c r="V355" s="218">
        <f t="shared" si="26"/>
        <v>0</v>
      </c>
      <c r="W355" s="37">
        <f t="shared" si="28"/>
        <v>0</v>
      </c>
      <c r="Y355" s="37">
        <f t="shared" si="27"/>
        <v>0</v>
      </c>
    </row>
    <row r="356" spans="1:25">
      <c r="A356" s="286" t="s">
        <v>201</v>
      </c>
      <c r="B356" s="279" t="s">
        <v>2653</v>
      </c>
      <c r="S356" s="261"/>
      <c r="T356" s="262"/>
      <c r="U356" s="385">
        <f t="shared" si="25"/>
        <v>28</v>
      </c>
      <c r="V356" s="218">
        <f t="shared" si="26"/>
        <v>0</v>
      </c>
      <c r="W356" s="37">
        <f t="shared" si="28"/>
        <v>0</v>
      </c>
      <c r="Y356" s="37">
        <f t="shared" si="27"/>
        <v>0</v>
      </c>
    </row>
    <row r="357" spans="1:25">
      <c r="A357" s="271" t="s">
        <v>413</v>
      </c>
      <c r="B357" s="272" t="s">
        <v>2654</v>
      </c>
      <c r="C357" s="277" t="s">
        <v>92</v>
      </c>
      <c r="D357" s="394">
        <v>299</v>
      </c>
      <c r="E357" s="395">
        <v>287</v>
      </c>
      <c r="F357" s="394">
        <v>295</v>
      </c>
      <c r="G357" s="394">
        <v>240</v>
      </c>
      <c r="H357" s="397">
        <v>240</v>
      </c>
      <c r="I357" s="394">
        <v>240</v>
      </c>
      <c r="J357" s="394">
        <v>280</v>
      </c>
      <c r="K357" s="394">
        <v>300.37</v>
      </c>
      <c r="L357" s="265">
        <v>280</v>
      </c>
      <c r="N357" s="265">
        <v>240</v>
      </c>
      <c r="O357" s="268">
        <v>240</v>
      </c>
      <c r="P357" s="265">
        <v>240</v>
      </c>
      <c r="S357" s="261" t="s">
        <v>2073</v>
      </c>
      <c r="T357" s="262"/>
      <c r="U357" s="385">
        <f t="shared" si="25"/>
        <v>28</v>
      </c>
      <c r="V357" s="218">
        <f t="shared" si="26"/>
        <v>84.1</v>
      </c>
      <c r="W357" s="37">
        <f t="shared" si="28"/>
        <v>384.47</v>
      </c>
      <c r="X357" s="37">
        <v>304</v>
      </c>
      <c r="Y357" s="37">
        <f t="shared" si="27"/>
        <v>80.470000000000027</v>
      </c>
    </row>
    <row r="358" spans="1:25">
      <c r="A358" s="271" t="s">
        <v>415</v>
      </c>
      <c r="B358" s="272" t="s">
        <v>2655</v>
      </c>
      <c r="C358" s="277" t="s">
        <v>92</v>
      </c>
      <c r="D358" s="394">
        <v>326</v>
      </c>
      <c r="E358" s="395">
        <v>330</v>
      </c>
      <c r="F358" s="394">
        <v>331</v>
      </c>
      <c r="G358" s="394">
        <v>276</v>
      </c>
      <c r="H358" s="397">
        <v>276</v>
      </c>
      <c r="I358" s="394">
        <v>276</v>
      </c>
      <c r="J358" s="394">
        <v>320</v>
      </c>
      <c r="K358" s="394">
        <v>345.83</v>
      </c>
      <c r="L358" s="265">
        <v>320</v>
      </c>
      <c r="N358" s="265">
        <v>276</v>
      </c>
      <c r="O358" s="268">
        <v>276</v>
      </c>
      <c r="P358" s="265">
        <v>276</v>
      </c>
      <c r="S358" s="261" t="s">
        <v>2073</v>
      </c>
      <c r="T358" s="262"/>
      <c r="U358" s="385">
        <f t="shared" si="25"/>
        <v>28</v>
      </c>
      <c r="V358" s="218">
        <f t="shared" si="26"/>
        <v>96.83</v>
      </c>
      <c r="W358" s="37">
        <f t="shared" si="28"/>
        <v>442.65999999999997</v>
      </c>
      <c r="X358" s="37">
        <v>351</v>
      </c>
      <c r="Y358" s="37">
        <f t="shared" si="27"/>
        <v>91.659999999999968</v>
      </c>
    </row>
    <row r="359" spans="1:25">
      <c r="A359" s="271" t="s">
        <v>638</v>
      </c>
      <c r="B359" s="272" t="s">
        <v>2656</v>
      </c>
      <c r="C359" s="277" t="s">
        <v>92</v>
      </c>
      <c r="D359" s="394">
        <v>391</v>
      </c>
      <c r="E359" s="395">
        <v>392</v>
      </c>
      <c r="F359" s="394">
        <v>400</v>
      </c>
      <c r="G359" s="394">
        <v>320</v>
      </c>
      <c r="H359" s="397">
        <v>320</v>
      </c>
      <c r="I359" s="394">
        <v>320</v>
      </c>
      <c r="J359" s="394">
        <v>370</v>
      </c>
      <c r="K359" s="394">
        <v>394</v>
      </c>
      <c r="L359" s="265">
        <v>370</v>
      </c>
      <c r="N359" s="265">
        <v>320</v>
      </c>
      <c r="O359" s="268">
        <v>320</v>
      </c>
      <c r="P359" s="265">
        <v>320</v>
      </c>
      <c r="S359" s="261" t="s">
        <v>2073</v>
      </c>
      <c r="T359" s="262"/>
      <c r="U359" s="385">
        <f t="shared" si="25"/>
        <v>28</v>
      </c>
      <c r="V359" s="218">
        <f t="shared" si="26"/>
        <v>110.32</v>
      </c>
      <c r="W359" s="37">
        <f t="shared" si="28"/>
        <v>504.32</v>
      </c>
      <c r="X359" s="37">
        <v>404</v>
      </c>
      <c r="Y359" s="37">
        <f t="shared" si="27"/>
        <v>100.32</v>
      </c>
    </row>
    <row r="360" spans="1:25">
      <c r="A360" s="271" t="s">
        <v>640</v>
      </c>
      <c r="B360" s="272" t="s">
        <v>2657</v>
      </c>
      <c r="C360" s="277" t="s">
        <v>92</v>
      </c>
      <c r="D360" s="394">
        <v>426</v>
      </c>
      <c r="E360" s="395">
        <v>430</v>
      </c>
      <c r="F360" s="394">
        <v>425</v>
      </c>
      <c r="G360" s="394">
        <v>368</v>
      </c>
      <c r="H360" s="397">
        <v>368</v>
      </c>
      <c r="I360" s="394">
        <v>368</v>
      </c>
      <c r="J360" s="394">
        <v>445</v>
      </c>
      <c r="K360" s="394">
        <v>465.3</v>
      </c>
      <c r="L360" s="265">
        <v>445</v>
      </c>
      <c r="N360" s="265">
        <v>368</v>
      </c>
      <c r="O360" s="268">
        <v>368</v>
      </c>
      <c r="P360" s="265">
        <v>368</v>
      </c>
      <c r="S360" s="261" t="s">
        <v>2073</v>
      </c>
      <c r="T360" s="262"/>
      <c r="U360" s="385">
        <f t="shared" si="25"/>
        <v>28</v>
      </c>
      <c r="V360" s="218">
        <f t="shared" si="26"/>
        <v>130.28</v>
      </c>
      <c r="W360" s="37">
        <f t="shared" si="28"/>
        <v>595.58000000000004</v>
      </c>
      <c r="X360" s="37">
        <v>489</v>
      </c>
      <c r="Y360" s="37">
        <f t="shared" si="27"/>
        <v>106.58000000000004</v>
      </c>
    </row>
    <row r="361" spans="1:25">
      <c r="A361" s="271" t="s">
        <v>642</v>
      </c>
      <c r="B361" s="272" t="s">
        <v>2658</v>
      </c>
      <c r="C361" s="277" t="s">
        <v>92</v>
      </c>
      <c r="D361" s="394">
        <v>510</v>
      </c>
      <c r="E361" s="395">
        <v>517</v>
      </c>
      <c r="F361" s="394">
        <v>511</v>
      </c>
      <c r="G361" s="394">
        <v>410</v>
      </c>
      <c r="H361" s="397">
        <v>410</v>
      </c>
      <c r="I361" s="394">
        <v>410</v>
      </c>
      <c r="J361" s="394">
        <v>496</v>
      </c>
      <c r="K361" s="394">
        <v>512</v>
      </c>
      <c r="L361" s="265">
        <v>496</v>
      </c>
      <c r="N361" s="265">
        <v>410</v>
      </c>
      <c r="O361" s="268">
        <v>410</v>
      </c>
      <c r="P361" s="265">
        <v>410</v>
      </c>
      <c r="S361" s="261" t="s">
        <v>2073</v>
      </c>
      <c r="T361" s="262"/>
      <c r="U361" s="385">
        <f t="shared" si="25"/>
        <v>28</v>
      </c>
      <c r="V361" s="218">
        <f t="shared" si="26"/>
        <v>143.36000000000001</v>
      </c>
      <c r="W361" s="37">
        <f t="shared" si="28"/>
        <v>655.36</v>
      </c>
      <c r="X361" s="37">
        <v>545</v>
      </c>
      <c r="Y361" s="37">
        <f t="shared" si="27"/>
        <v>110.36000000000001</v>
      </c>
    </row>
    <row r="362" spans="1:25">
      <c r="A362" s="271" t="s">
        <v>699</v>
      </c>
      <c r="B362" s="272" t="s">
        <v>2659</v>
      </c>
      <c r="C362" s="277" t="s">
        <v>92</v>
      </c>
      <c r="D362" s="394">
        <v>560</v>
      </c>
      <c r="E362" s="395">
        <v>570</v>
      </c>
      <c r="F362" s="394">
        <v>563</v>
      </c>
      <c r="G362" s="394">
        <v>474</v>
      </c>
      <c r="H362" s="397">
        <v>474</v>
      </c>
      <c r="I362" s="394">
        <v>474</v>
      </c>
      <c r="J362" s="394">
        <v>573</v>
      </c>
      <c r="K362" s="394">
        <v>597</v>
      </c>
      <c r="L362" s="265">
        <v>573</v>
      </c>
      <c r="N362" s="265">
        <v>474</v>
      </c>
      <c r="O362" s="268">
        <v>474</v>
      </c>
      <c r="P362" s="265">
        <v>474</v>
      </c>
      <c r="S362" s="261" t="s">
        <v>2073</v>
      </c>
      <c r="T362" s="262"/>
      <c r="U362" s="385">
        <f t="shared" si="25"/>
        <v>28</v>
      </c>
      <c r="V362" s="1308">
        <f t="shared" si="26"/>
        <v>167.16</v>
      </c>
      <c r="W362" s="37">
        <f t="shared" si="28"/>
        <v>764.16</v>
      </c>
      <c r="X362" s="37">
        <v>630</v>
      </c>
      <c r="Y362" s="37">
        <f t="shared" si="27"/>
        <v>134.15999999999997</v>
      </c>
    </row>
    <row r="363" spans="1:25">
      <c r="A363" s="271" t="s">
        <v>220</v>
      </c>
      <c r="B363" s="279" t="s">
        <v>2660</v>
      </c>
      <c r="S363" s="261" t="s">
        <v>2073</v>
      </c>
      <c r="T363" s="262"/>
      <c r="U363" s="385">
        <f t="shared" si="25"/>
        <v>28</v>
      </c>
      <c r="V363" s="218">
        <f t="shared" si="26"/>
        <v>0</v>
      </c>
      <c r="W363" s="37">
        <f t="shared" si="28"/>
        <v>0</v>
      </c>
      <c r="Y363" s="37">
        <f t="shared" si="27"/>
        <v>0</v>
      </c>
    </row>
    <row r="364" spans="1:25">
      <c r="B364" s="272" t="s">
        <v>2661</v>
      </c>
      <c r="C364" s="277" t="s">
        <v>92</v>
      </c>
      <c r="D364" s="394">
        <v>461</v>
      </c>
      <c r="E364" s="395">
        <v>464</v>
      </c>
      <c r="F364" s="394">
        <v>451</v>
      </c>
      <c r="G364" s="394">
        <v>461</v>
      </c>
      <c r="H364" s="397">
        <v>461</v>
      </c>
      <c r="I364" s="394">
        <v>461</v>
      </c>
      <c r="J364" s="394">
        <v>520</v>
      </c>
      <c r="K364" s="394">
        <v>555.82000000000005</v>
      </c>
      <c r="L364" s="265">
        <v>520</v>
      </c>
      <c r="N364" s="265">
        <v>461</v>
      </c>
      <c r="O364" s="268">
        <v>461</v>
      </c>
      <c r="P364" s="265">
        <v>461</v>
      </c>
      <c r="S364" s="261" t="s">
        <v>2073</v>
      </c>
      <c r="T364" s="262"/>
      <c r="U364" s="385">
        <f t="shared" si="25"/>
        <v>28</v>
      </c>
      <c r="V364" s="218">
        <f t="shared" si="26"/>
        <v>155.63</v>
      </c>
      <c r="W364" s="37">
        <f t="shared" si="28"/>
        <v>711.45</v>
      </c>
      <c r="X364" s="37">
        <v>572</v>
      </c>
      <c r="Y364" s="37">
        <f t="shared" si="27"/>
        <v>139.45000000000005</v>
      </c>
    </row>
    <row r="365" spans="1:25">
      <c r="B365" s="272" t="s">
        <v>2662</v>
      </c>
      <c r="C365" s="277" t="s">
        <v>92</v>
      </c>
      <c r="D365" s="394">
        <v>522</v>
      </c>
      <c r="E365" s="395">
        <v>525</v>
      </c>
      <c r="F365" s="394">
        <v>501</v>
      </c>
      <c r="G365" s="394">
        <v>522</v>
      </c>
      <c r="H365" s="397">
        <v>522</v>
      </c>
      <c r="I365" s="394">
        <v>522</v>
      </c>
      <c r="J365" s="394">
        <v>590</v>
      </c>
      <c r="K365" s="394">
        <v>619.5</v>
      </c>
      <c r="L365" s="265">
        <v>590</v>
      </c>
      <c r="N365" s="265">
        <v>522</v>
      </c>
      <c r="O365" s="268">
        <v>522</v>
      </c>
      <c r="P365" s="265">
        <v>522</v>
      </c>
      <c r="S365" s="261" t="s">
        <v>2073</v>
      </c>
      <c r="T365" s="262"/>
      <c r="U365" s="385">
        <f t="shared" si="25"/>
        <v>28</v>
      </c>
      <c r="V365" s="218">
        <f t="shared" si="26"/>
        <v>173.46</v>
      </c>
      <c r="W365" s="37">
        <f t="shared" si="28"/>
        <v>792.96</v>
      </c>
      <c r="X365" s="37">
        <v>649</v>
      </c>
      <c r="Y365" s="37">
        <f t="shared" si="27"/>
        <v>143.96000000000004</v>
      </c>
    </row>
    <row r="366" spans="1:25">
      <c r="A366" s="277">
        <v>171</v>
      </c>
      <c r="B366" s="272" t="s">
        <v>2663</v>
      </c>
      <c r="C366" s="277" t="s">
        <v>95</v>
      </c>
      <c r="D366" s="394">
        <v>224</v>
      </c>
      <c r="E366" s="395">
        <v>224</v>
      </c>
      <c r="F366" s="394">
        <v>224</v>
      </c>
      <c r="G366" s="394">
        <v>205</v>
      </c>
      <c r="H366" s="397">
        <v>205</v>
      </c>
      <c r="I366" s="394">
        <v>205</v>
      </c>
      <c r="J366" s="394">
        <v>240</v>
      </c>
      <c r="K366" s="394">
        <v>297.97000000000003</v>
      </c>
      <c r="L366" s="265">
        <v>240</v>
      </c>
      <c r="N366" s="265">
        <v>205</v>
      </c>
      <c r="O366" s="268">
        <v>205</v>
      </c>
      <c r="P366" s="265">
        <v>205</v>
      </c>
      <c r="S366" s="261" t="s">
        <v>2073</v>
      </c>
      <c r="T366" s="262"/>
      <c r="U366" s="385">
        <v>18</v>
      </c>
      <c r="V366" s="218">
        <f t="shared" si="26"/>
        <v>53.63</v>
      </c>
      <c r="W366" s="37">
        <f t="shared" si="28"/>
        <v>351.6</v>
      </c>
      <c r="X366" s="37">
        <v>262</v>
      </c>
      <c r="Y366" s="37">
        <f t="shared" si="27"/>
        <v>89.600000000000023</v>
      </c>
    </row>
    <row r="367" spans="1:25" ht="75">
      <c r="A367" s="263">
        <v>172</v>
      </c>
      <c r="B367" s="273" t="s">
        <v>2664</v>
      </c>
      <c r="S367" s="261"/>
      <c r="T367" s="262"/>
      <c r="U367" s="385"/>
      <c r="V367" s="218">
        <f t="shared" si="26"/>
        <v>0</v>
      </c>
      <c r="W367" s="37">
        <f t="shared" si="28"/>
        <v>0</v>
      </c>
      <c r="Y367" s="37">
        <f t="shared" si="27"/>
        <v>0</v>
      </c>
    </row>
    <row r="368" spans="1:25">
      <c r="A368" s="271" t="s">
        <v>627</v>
      </c>
      <c r="B368" s="272" t="s">
        <v>2665</v>
      </c>
      <c r="C368" s="277" t="s">
        <v>136</v>
      </c>
      <c r="D368" s="394">
        <v>281</v>
      </c>
      <c r="E368" s="395">
        <v>281</v>
      </c>
      <c r="F368" s="394">
        <v>281</v>
      </c>
      <c r="G368" s="394">
        <v>300</v>
      </c>
      <c r="H368" s="397">
        <v>300</v>
      </c>
      <c r="I368" s="394">
        <v>300</v>
      </c>
      <c r="J368" s="394">
        <v>310</v>
      </c>
      <c r="K368" s="394">
        <v>381.8</v>
      </c>
      <c r="L368" s="265">
        <v>310</v>
      </c>
      <c r="N368" s="265">
        <v>300</v>
      </c>
      <c r="O368" s="268">
        <v>300</v>
      </c>
      <c r="P368" s="265">
        <v>300</v>
      </c>
      <c r="S368" s="261" t="s">
        <v>2073</v>
      </c>
      <c r="T368" s="262"/>
      <c r="U368" s="385">
        <v>12</v>
      </c>
      <c r="V368" s="218">
        <f>ROUND(K368*U368/100,2)</f>
        <v>45.82</v>
      </c>
      <c r="W368" s="37">
        <f t="shared" si="28"/>
        <v>427.62</v>
      </c>
      <c r="X368" s="37">
        <v>341</v>
      </c>
      <c r="Y368" s="37">
        <f t="shared" si="27"/>
        <v>86.62</v>
      </c>
    </row>
    <row r="369" spans="1:25">
      <c r="A369" s="271" t="s">
        <v>628</v>
      </c>
      <c r="B369" s="272" t="s">
        <v>1147</v>
      </c>
      <c r="C369" s="277" t="s">
        <v>136</v>
      </c>
      <c r="D369" s="394">
        <v>314</v>
      </c>
      <c r="E369" s="395">
        <v>314</v>
      </c>
      <c r="F369" s="394">
        <v>314</v>
      </c>
      <c r="G369" s="394">
        <v>336</v>
      </c>
      <c r="H369" s="397">
        <v>336</v>
      </c>
      <c r="I369" s="394">
        <v>336</v>
      </c>
      <c r="J369" s="394">
        <v>345</v>
      </c>
      <c r="K369" s="394">
        <v>409.19</v>
      </c>
      <c r="L369" s="265">
        <v>345</v>
      </c>
      <c r="N369" s="265">
        <v>336</v>
      </c>
      <c r="O369" s="268">
        <v>336</v>
      </c>
      <c r="P369" s="265">
        <v>336</v>
      </c>
      <c r="S369" s="261" t="s">
        <v>2073</v>
      </c>
      <c r="T369" s="262"/>
      <c r="U369" s="385">
        <f>U368</f>
        <v>12</v>
      </c>
      <c r="V369" s="218">
        <f t="shared" si="26"/>
        <v>49.1</v>
      </c>
      <c r="W369" s="37">
        <f t="shared" si="28"/>
        <v>458.29</v>
      </c>
      <c r="X369" s="37">
        <v>379</v>
      </c>
      <c r="Y369" s="37">
        <f t="shared" si="27"/>
        <v>79.29000000000002</v>
      </c>
    </row>
    <row r="370" spans="1:25">
      <c r="A370" s="271" t="s">
        <v>629</v>
      </c>
      <c r="B370" s="272" t="s">
        <v>1161</v>
      </c>
      <c r="C370" s="277" t="s">
        <v>136</v>
      </c>
      <c r="D370" s="394">
        <v>233</v>
      </c>
      <c r="E370" s="395">
        <v>233</v>
      </c>
      <c r="F370" s="394">
        <v>233</v>
      </c>
      <c r="G370" s="394">
        <v>249</v>
      </c>
      <c r="H370" s="397">
        <v>249</v>
      </c>
      <c r="I370" s="394">
        <v>249</v>
      </c>
      <c r="J370" s="394">
        <v>260</v>
      </c>
      <c r="K370" s="394">
        <v>322.82</v>
      </c>
      <c r="L370" s="265">
        <v>260</v>
      </c>
      <c r="N370" s="265">
        <v>249</v>
      </c>
      <c r="O370" s="268">
        <v>249</v>
      </c>
      <c r="P370" s="265">
        <v>249</v>
      </c>
      <c r="S370" s="261" t="s">
        <v>2073</v>
      </c>
      <c r="T370" s="262"/>
      <c r="U370" s="385">
        <f t="shared" ref="U370:U403" si="29">U369</f>
        <v>12</v>
      </c>
      <c r="V370" s="218">
        <f t="shared" si="26"/>
        <v>38.74</v>
      </c>
      <c r="W370" s="37">
        <f t="shared" si="28"/>
        <v>361.56</v>
      </c>
      <c r="X370" s="37">
        <v>286</v>
      </c>
      <c r="Y370" s="37">
        <f t="shared" si="27"/>
        <v>75.56</v>
      </c>
    </row>
    <row r="371" spans="1:25">
      <c r="A371" s="271" t="s">
        <v>1847</v>
      </c>
      <c r="B371" s="272" t="s">
        <v>2666</v>
      </c>
      <c r="C371" s="277" t="s">
        <v>136</v>
      </c>
      <c r="D371" s="394">
        <v>116</v>
      </c>
      <c r="E371" s="395">
        <v>116</v>
      </c>
      <c r="F371" s="394">
        <v>116</v>
      </c>
      <c r="G371" s="394">
        <v>124</v>
      </c>
      <c r="H371" s="397">
        <v>124</v>
      </c>
      <c r="I371" s="394">
        <v>124</v>
      </c>
      <c r="J371" s="394">
        <v>134</v>
      </c>
      <c r="K371" s="394">
        <v>168.92</v>
      </c>
      <c r="L371" s="265">
        <v>134</v>
      </c>
      <c r="N371" s="265">
        <v>124</v>
      </c>
      <c r="O371" s="268">
        <v>124</v>
      </c>
      <c r="P371" s="265">
        <v>124</v>
      </c>
      <c r="S371" s="261" t="s">
        <v>2073</v>
      </c>
      <c r="T371" s="262"/>
      <c r="U371" s="385">
        <f t="shared" si="29"/>
        <v>12</v>
      </c>
      <c r="V371" s="218">
        <f t="shared" si="26"/>
        <v>20.27</v>
      </c>
      <c r="W371" s="37">
        <f t="shared" si="28"/>
        <v>189.19</v>
      </c>
      <c r="X371" s="37">
        <v>147</v>
      </c>
      <c r="Y371" s="37">
        <f t="shared" si="27"/>
        <v>42.19</v>
      </c>
    </row>
    <row r="372" spans="1:25">
      <c r="A372" s="271" t="s">
        <v>1849</v>
      </c>
      <c r="B372" s="272" t="s">
        <v>2667</v>
      </c>
      <c r="C372" s="277" t="s">
        <v>136</v>
      </c>
      <c r="D372" s="394">
        <v>142</v>
      </c>
      <c r="E372" s="395">
        <v>142</v>
      </c>
      <c r="F372" s="394">
        <v>142</v>
      </c>
      <c r="G372" s="394">
        <v>152</v>
      </c>
      <c r="H372" s="397">
        <v>152</v>
      </c>
      <c r="I372" s="394">
        <v>152</v>
      </c>
      <c r="J372" s="394">
        <v>160</v>
      </c>
      <c r="K372" s="394">
        <v>196.43</v>
      </c>
      <c r="L372" s="265">
        <v>160</v>
      </c>
      <c r="N372" s="265">
        <v>152</v>
      </c>
      <c r="O372" s="268">
        <v>152</v>
      </c>
      <c r="P372" s="265">
        <v>152</v>
      </c>
      <c r="S372" s="261" t="s">
        <v>2073</v>
      </c>
      <c r="T372" s="262"/>
      <c r="U372" s="385">
        <f t="shared" si="29"/>
        <v>12</v>
      </c>
      <c r="V372" s="218">
        <f t="shared" si="26"/>
        <v>23.57</v>
      </c>
      <c r="W372" s="37">
        <f t="shared" si="28"/>
        <v>220</v>
      </c>
      <c r="X372" s="37">
        <v>176</v>
      </c>
      <c r="Y372" s="37">
        <f t="shared" si="27"/>
        <v>44</v>
      </c>
    </row>
    <row r="373" spans="1:25">
      <c r="A373" s="271" t="s">
        <v>1851</v>
      </c>
      <c r="B373" s="272" t="s">
        <v>2668</v>
      </c>
      <c r="C373" s="277" t="s">
        <v>136</v>
      </c>
      <c r="D373" s="394">
        <v>177</v>
      </c>
      <c r="E373" s="395">
        <v>177</v>
      </c>
      <c r="F373" s="394">
        <v>177</v>
      </c>
      <c r="G373" s="394">
        <v>189</v>
      </c>
      <c r="H373" s="397">
        <v>189</v>
      </c>
      <c r="I373" s="394">
        <v>189</v>
      </c>
      <c r="J373" s="394">
        <v>195</v>
      </c>
      <c r="K373" s="394">
        <v>238.33</v>
      </c>
      <c r="L373" s="265">
        <v>195</v>
      </c>
      <c r="N373" s="265">
        <v>189</v>
      </c>
      <c r="O373" s="268">
        <v>189</v>
      </c>
      <c r="P373" s="265">
        <v>189</v>
      </c>
      <c r="S373" s="261" t="s">
        <v>2073</v>
      </c>
      <c r="T373" s="262"/>
      <c r="U373" s="385">
        <f t="shared" si="29"/>
        <v>12</v>
      </c>
      <c r="V373" s="218">
        <f t="shared" si="26"/>
        <v>28.6</v>
      </c>
      <c r="W373" s="37">
        <f t="shared" si="28"/>
        <v>266.93</v>
      </c>
      <c r="X373" s="37">
        <v>214</v>
      </c>
      <c r="Y373" s="37">
        <f t="shared" si="27"/>
        <v>52.930000000000007</v>
      </c>
    </row>
    <row r="374" spans="1:25">
      <c r="A374" s="271" t="s">
        <v>1852</v>
      </c>
      <c r="B374" s="272" t="s">
        <v>2669</v>
      </c>
      <c r="C374" s="277" t="s">
        <v>136</v>
      </c>
      <c r="D374" s="394">
        <v>118</v>
      </c>
      <c r="E374" s="395">
        <v>118</v>
      </c>
      <c r="F374" s="394">
        <v>118</v>
      </c>
      <c r="G374" s="394">
        <v>126</v>
      </c>
      <c r="H374" s="397">
        <v>126</v>
      </c>
      <c r="I374" s="394">
        <v>126</v>
      </c>
      <c r="J374" s="394">
        <v>135</v>
      </c>
      <c r="K374" s="394">
        <v>167.9</v>
      </c>
      <c r="L374" s="265">
        <v>135</v>
      </c>
      <c r="N374" s="265">
        <v>126</v>
      </c>
      <c r="O374" s="268">
        <v>126</v>
      </c>
      <c r="P374" s="265">
        <v>126</v>
      </c>
      <c r="S374" s="261" t="s">
        <v>2073</v>
      </c>
      <c r="T374" s="262"/>
      <c r="U374" s="385">
        <f t="shared" si="29"/>
        <v>12</v>
      </c>
      <c r="V374" s="218">
        <f t="shared" si="26"/>
        <v>20.149999999999999</v>
      </c>
      <c r="W374" s="37">
        <f t="shared" si="28"/>
        <v>188.05</v>
      </c>
      <c r="X374" s="37">
        <v>148</v>
      </c>
      <c r="Y374" s="37">
        <f t="shared" si="27"/>
        <v>40.050000000000011</v>
      </c>
    </row>
    <row r="375" spans="1:25">
      <c r="A375" s="271" t="s">
        <v>2548</v>
      </c>
      <c r="B375" s="272" t="s">
        <v>2670</v>
      </c>
      <c r="C375" s="277" t="s">
        <v>136</v>
      </c>
      <c r="D375" s="394">
        <v>462</v>
      </c>
      <c r="E375" s="395">
        <v>462</v>
      </c>
      <c r="F375" s="394">
        <v>462</v>
      </c>
      <c r="G375" s="394">
        <v>494</v>
      </c>
      <c r="H375" s="397">
        <v>494</v>
      </c>
      <c r="I375" s="394">
        <v>494</v>
      </c>
      <c r="J375" s="394">
        <v>510</v>
      </c>
      <c r="K375" s="394">
        <v>617.97</v>
      </c>
      <c r="L375" s="265">
        <v>510</v>
      </c>
      <c r="N375" s="265">
        <v>494</v>
      </c>
      <c r="O375" s="268">
        <v>494</v>
      </c>
      <c r="P375" s="265">
        <v>494</v>
      </c>
      <c r="S375" s="261" t="s">
        <v>2073</v>
      </c>
      <c r="T375" s="262"/>
      <c r="U375" s="385">
        <f t="shared" si="29"/>
        <v>12</v>
      </c>
      <c r="V375" s="218">
        <f t="shared" si="26"/>
        <v>74.16</v>
      </c>
      <c r="W375" s="37">
        <f t="shared" si="28"/>
        <v>692.13</v>
      </c>
      <c r="X375" s="37">
        <v>561</v>
      </c>
      <c r="Y375" s="37">
        <f t="shared" si="27"/>
        <v>131.13</v>
      </c>
    </row>
    <row r="376" spans="1:25">
      <c r="A376" s="271" t="s">
        <v>2550</v>
      </c>
      <c r="B376" s="272" t="s">
        <v>2671</v>
      </c>
      <c r="C376" s="277" t="s">
        <v>136</v>
      </c>
      <c r="D376" s="394">
        <v>436</v>
      </c>
      <c r="E376" s="395">
        <v>436</v>
      </c>
      <c r="F376" s="394">
        <v>436</v>
      </c>
      <c r="G376" s="394">
        <v>467</v>
      </c>
      <c r="H376" s="397">
        <v>467</v>
      </c>
      <c r="I376" s="394">
        <v>467</v>
      </c>
      <c r="J376" s="394">
        <v>480</v>
      </c>
      <c r="K376" s="394">
        <v>593.66999999999996</v>
      </c>
      <c r="L376" s="265">
        <v>480</v>
      </c>
      <c r="N376" s="265">
        <v>467</v>
      </c>
      <c r="O376" s="268">
        <v>467</v>
      </c>
      <c r="P376" s="265">
        <v>467</v>
      </c>
      <c r="S376" s="261" t="s">
        <v>2073</v>
      </c>
      <c r="T376" s="262"/>
      <c r="U376" s="385">
        <f t="shared" si="29"/>
        <v>12</v>
      </c>
      <c r="V376" s="218">
        <f t="shared" si="26"/>
        <v>71.239999999999995</v>
      </c>
      <c r="W376" s="37">
        <f t="shared" si="28"/>
        <v>664.91</v>
      </c>
      <c r="X376" s="37">
        <v>524</v>
      </c>
      <c r="Y376" s="37">
        <f t="shared" si="27"/>
        <v>140.90999999999997</v>
      </c>
    </row>
    <row r="377" spans="1:25">
      <c r="A377" s="271" t="s">
        <v>2552</v>
      </c>
      <c r="B377" s="272" t="s">
        <v>2672</v>
      </c>
      <c r="C377" s="277" t="s">
        <v>136</v>
      </c>
      <c r="D377" s="394">
        <v>236</v>
      </c>
      <c r="E377" s="395">
        <v>236</v>
      </c>
      <c r="F377" s="394">
        <v>236</v>
      </c>
      <c r="G377" s="394">
        <v>253</v>
      </c>
      <c r="H377" s="397">
        <v>253</v>
      </c>
      <c r="I377" s="394">
        <v>253</v>
      </c>
      <c r="J377" s="394">
        <v>265</v>
      </c>
      <c r="K377" s="394">
        <v>297.62</v>
      </c>
      <c r="L377" s="265">
        <v>265</v>
      </c>
      <c r="N377" s="265">
        <v>253</v>
      </c>
      <c r="O377" s="268">
        <v>253</v>
      </c>
      <c r="P377" s="265">
        <v>253</v>
      </c>
      <c r="S377" s="261" t="s">
        <v>2073</v>
      </c>
      <c r="T377" s="262"/>
      <c r="U377" s="385">
        <f t="shared" si="29"/>
        <v>12</v>
      </c>
      <c r="V377" s="218">
        <f t="shared" si="26"/>
        <v>35.71</v>
      </c>
      <c r="W377" s="37">
        <f t="shared" si="28"/>
        <v>333.33</v>
      </c>
      <c r="X377" s="37">
        <v>291</v>
      </c>
      <c r="Y377" s="37">
        <f t="shared" si="27"/>
        <v>42.329999999999984</v>
      </c>
    </row>
    <row r="378" spans="1:25">
      <c r="A378" s="271" t="s">
        <v>2554</v>
      </c>
      <c r="B378" s="272" t="s">
        <v>2673</v>
      </c>
      <c r="C378" s="277" t="s">
        <v>136</v>
      </c>
      <c r="D378" s="394">
        <v>118</v>
      </c>
      <c r="E378" s="395">
        <v>118</v>
      </c>
      <c r="F378" s="394">
        <v>118</v>
      </c>
      <c r="G378" s="394">
        <v>126</v>
      </c>
      <c r="H378" s="397">
        <v>126</v>
      </c>
      <c r="I378" s="394">
        <v>126</v>
      </c>
      <c r="J378" s="394">
        <v>135</v>
      </c>
      <c r="K378" s="394">
        <v>167.84</v>
      </c>
      <c r="L378" s="265">
        <v>135</v>
      </c>
      <c r="N378" s="265">
        <v>126</v>
      </c>
      <c r="O378" s="268">
        <v>126</v>
      </c>
      <c r="P378" s="265">
        <v>126</v>
      </c>
      <c r="S378" s="261" t="s">
        <v>2073</v>
      </c>
      <c r="T378" s="262"/>
      <c r="U378" s="385">
        <f t="shared" si="29"/>
        <v>12</v>
      </c>
      <c r="V378" s="218">
        <f t="shared" si="26"/>
        <v>20.14</v>
      </c>
      <c r="W378" s="37">
        <f t="shared" si="28"/>
        <v>187.98000000000002</v>
      </c>
      <c r="X378" s="37">
        <v>148</v>
      </c>
      <c r="Y378" s="37">
        <f t="shared" si="27"/>
        <v>39.980000000000018</v>
      </c>
    </row>
    <row r="379" spans="1:25">
      <c r="A379" s="271" t="s">
        <v>2556</v>
      </c>
      <c r="B379" s="272" t="s">
        <v>2674</v>
      </c>
      <c r="C379" s="277" t="s">
        <v>136</v>
      </c>
      <c r="D379" s="394">
        <v>285</v>
      </c>
      <c r="E379" s="395">
        <v>285</v>
      </c>
      <c r="F379" s="394">
        <v>285</v>
      </c>
      <c r="G379" s="394">
        <v>305</v>
      </c>
      <c r="H379" s="397">
        <v>305</v>
      </c>
      <c r="I379" s="394">
        <v>305</v>
      </c>
      <c r="J379" s="394">
        <v>315</v>
      </c>
      <c r="K379" s="394">
        <v>383.61</v>
      </c>
      <c r="L379" s="265">
        <v>315</v>
      </c>
      <c r="N379" s="265">
        <v>305</v>
      </c>
      <c r="O379" s="268">
        <v>305</v>
      </c>
      <c r="P379" s="265">
        <v>305</v>
      </c>
      <c r="S379" s="261" t="s">
        <v>2073</v>
      </c>
      <c r="T379" s="262"/>
      <c r="U379" s="385">
        <f t="shared" si="29"/>
        <v>12</v>
      </c>
      <c r="V379" s="218">
        <f t="shared" si="26"/>
        <v>46.03</v>
      </c>
      <c r="W379" s="37">
        <f t="shared" si="28"/>
        <v>429.64</v>
      </c>
      <c r="X379" s="37">
        <v>346</v>
      </c>
      <c r="Y379" s="37">
        <f t="shared" si="27"/>
        <v>83.639999999999986</v>
      </c>
    </row>
    <row r="380" spans="1:25">
      <c r="A380" s="271" t="s">
        <v>2558</v>
      </c>
      <c r="B380" s="272" t="s">
        <v>2675</v>
      </c>
      <c r="C380" s="277" t="s">
        <v>136</v>
      </c>
      <c r="J380" s="394">
        <v>470</v>
      </c>
      <c r="K380" s="394">
        <v>568.47</v>
      </c>
      <c r="L380" s="265">
        <v>470</v>
      </c>
      <c r="S380" s="261" t="s">
        <v>2073</v>
      </c>
      <c r="T380" s="262"/>
      <c r="U380" s="385">
        <f t="shared" si="29"/>
        <v>12</v>
      </c>
      <c r="V380" s="1308">
        <f t="shared" si="26"/>
        <v>68.22</v>
      </c>
      <c r="W380" s="37">
        <f t="shared" si="28"/>
        <v>636.69000000000005</v>
      </c>
      <c r="X380" s="37">
        <v>517</v>
      </c>
      <c r="Y380" s="37">
        <f t="shared" si="27"/>
        <v>119.69000000000005</v>
      </c>
    </row>
    <row r="381" spans="1:25">
      <c r="A381" s="271" t="s">
        <v>2560</v>
      </c>
      <c r="B381" s="272" t="s">
        <v>2676</v>
      </c>
      <c r="C381" s="277" t="s">
        <v>136</v>
      </c>
      <c r="J381" s="394">
        <v>230</v>
      </c>
      <c r="K381" s="394">
        <v>280.52</v>
      </c>
      <c r="L381" s="265">
        <v>230</v>
      </c>
      <c r="S381" s="261" t="s">
        <v>2073</v>
      </c>
      <c r="T381" s="262"/>
      <c r="U381" s="385">
        <f t="shared" si="29"/>
        <v>12</v>
      </c>
      <c r="V381" s="218">
        <f t="shared" si="26"/>
        <v>33.659999999999997</v>
      </c>
      <c r="W381" s="37">
        <f t="shared" si="28"/>
        <v>314.17999999999995</v>
      </c>
      <c r="X381" s="37">
        <v>253</v>
      </c>
      <c r="Y381" s="37">
        <f t="shared" si="27"/>
        <v>61.17999999999995</v>
      </c>
    </row>
    <row r="382" spans="1:25">
      <c r="A382" s="271" t="s">
        <v>2677</v>
      </c>
      <c r="B382" s="272" t="s">
        <v>2678</v>
      </c>
      <c r="C382" s="277" t="s">
        <v>136</v>
      </c>
      <c r="J382" s="394">
        <v>310</v>
      </c>
      <c r="K382" s="394">
        <v>379.18</v>
      </c>
      <c r="L382" s="265">
        <v>310</v>
      </c>
      <c r="S382" s="261" t="s">
        <v>2073</v>
      </c>
      <c r="T382" s="262"/>
      <c r="U382" s="385">
        <f t="shared" si="29"/>
        <v>12</v>
      </c>
      <c r="V382" s="218">
        <f t="shared" si="26"/>
        <v>45.5</v>
      </c>
      <c r="W382" s="37">
        <f t="shared" si="28"/>
        <v>424.68</v>
      </c>
      <c r="X382" s="37">
        <v>296</v>
      </c>
      <c r="Y382" s="37">
        <f t="shared" si="27"/>
        <v>128.68</v>
      </c>
    </row>
    <row r="383" spans="1:25">
      <c r="A383" s="271" t="s">
        <v>2679</v>
      </c>
      <c r="B383" s="272" t="s">
        <v>2680</v>
      </c>
      <c r="C383" s="277" t="s">
        <v>136</v>
      </c>
      <c r="J383" s="394">
        <v>112</v>
      </c>
      <c r="K383" s="394">
        <v>131.75</v>
      </c>
      <c r="L383" s="265">
        <v>112</v>
      </c>
      <c r="S383" s="261" t="s">
        <v>2073</v>
      </c>
      <c r="T383" s="262"/>
      <c r="U383" s="385">
        <f t="shared" si="29"/>
        <v>12</v>
      </c>
      <c r="V383" s="218">
        <f t="shared" si="26"/>
        <v>15.81</v>
      </c>
      <c r="W383" s="37">
        <f t="shared" si="28"/>
        <v>147.56</v>
      </c>
      <c r="X383" s="37">
        <v>123</v>
      </c>
      <c r="Y383" s="37">
        <f t="shared" si="27"/>
        <v>24.560000000000002</v>
      </c>
    </row>
    <row r="384" spans="1:25">
      <c r="A384" s="2702" t="s">
        <v>2681</v>
      </c>
      <c r="B384" s="2703"/>
      <c r="S384" s="261"/>
      <c r="T384" s="262"/>
      <c r="U384" s="385">
        <f t="shared" si="29"/>
        <v>12</v>
      </c>
      <c r="V384" s="218">
        <f t="shared" si="26"/>
        <v>0</v>
      </c>
      <c r="W384" s="37">
        <f t="shared" si="28"/>
        <v>0</v>
      </c>
      <c r="Y384" s="37">
        <f t="shared" si="27"/>
        <v>0</v>
      </c>
    </row>
    <row r="385" spans="1:25">
      <c r="A385" s="271" t="s">
        <v>627</v>
      </c>
      <c r="B385" s="272" t="s">
        <v>2682</v>
      </c>
      <c r="C385" s="277" t="s">
        <v>38</v>
      </c>
      <c r="D385" s="394">
        <v>229</v>
      </c>
      <c r="E385" s="395">
        <v>229</v>
      </c>
      <c r="F385" s="394">
        <v>229</v>
      </c>
      <c r="G385" s="394">
        <v>245</v>
      </c>
      <c r="H385" s="397">
        <v>245</v>
      </c>
      <c r="I385" s="394">
        <v>245</v>
      </c>
      <c r="J385" s="394">
        <v>248</v>
      </c>
      <c r="K385" s="394">
        <v>300.27</v>
      </c>
      <c r="L385" s="265">
        <v>248</v>
      </c>
      <c r="N385" s="265">
        <v>245</v>
      </c>
      <c r="O385" s="268">
        <v>245</v>
      </c>
      <c r="P385" s="265">
        <v>245</v>
      </c>
      <c r="S385" s="261" t="s">
        <v>2073</v>
      </c>
      <c r="T385" s="262"/>
      <c r="U385" s="385">
        <f t="shared" si="29"/>
        <v>12</v>
      </c>
      <c r="V385" s="218">
        <f t="shared" si="26"/>
        <v>36.03</v>
      </c>
      <c r="W385" s="37">
        <f t="shared" si="28"/>
        <v>336.29999999999995</v>
      </c>
      <c r="X385" s="37">
        <v>272</v>
      </c>
      <c r="Y385" s="37">
        <f t="shared" si="27"/>
        <v>64.299999999999955</v>
      </c>
    </row>
    <row r="386" spans="1:25">
      <c r="A386" s="271" t="s">
        <v>628</v>
      </c>
      <c r="B386" s="272" t="s">
        <v>2683</v>
      </c>
      <c r="C386" s="277" t="s">
        <v>38</v>
      </c>
      <c r="D386" s="394">
        <v>279</v>
      </c>
      <c r="E386" s="395">
        <v>279</v>
      </c>
      <c r="F386" s="394">
        <v>279</v>
      </c>
      <c r="G386" s="394">
        <v>299</v>
      </c>
      <c r="H386" s="397">
        <v>299</v>
      </c>
      <c r="I386" s="394">
        <v>299</v>
      </c>
      <c r="J386" s="394">
        <v>305</v>
      </c>
      <c r="K386" s="394">
        <v>357.75</v>
      </c>
      <c r="L386" s="265">
        <v>305</v>
      </c>
      <c r="N386" s="265">
        <v>299</v>
      </c>
      <c r="O386" s="268">
        <v>299</v>
      </c>
      <c r="P386" s="265">
        <v>299</v>
      </c>
      <c r="S386" s="261" t="s">
        <v>2073</v>
      </c>
      <c r="T386" s="262"/>
      <c r="U386" s="385">
        <f t="shared" si="29"/>
        <v>12</v>
      </c>
      <c r="V386" s="218">
        <f t="shared" si="26"/>
        <v>42.93</v>
      </c>
      <c r="W386" s="37">
        <f t="shared" si="28"/>
        <v>400.68</v>
      </c>
      <c r="X386" s="37">
        <v>335</v>
      </c>
      <c r="Y386" s="37">
        <f t="shared" si="27"/>
        <v>65.680000000000007</v>
      </c>
    </row>
    <row r="387" spans="1:25">
      <c r="A387" s="271" t="s">
        <v>629</v>
      </c>
      <c r="B387" s="272" t="s">
        <v>2684</v>
      </c>
      <c r="C387" s="277" t="s">
        <v>38</v>
      </c>
      <c r="D387" s="394">
        <v>15</v>
      </c>
      <c r="E387" s="395">
        <v>15</v>
      </c>
      <c r="F387" s="394">
        <v>15</v>
      </c>
      <c r="G387" s="394">
        <v>16</v>
      </c>
      <c r="H387" s="397">
        <v>16</v>
      </c>
      <c r="I387" s="394">
        <v>16</v>
      </c>
      <c r="J387" s="394">
        <v>17</v>
      </c>
      <c r="K387" s="394">
        <v>20.48</v>
      </c>
      <c r="L387" s="265">
        <v>17</v>
      </c>
      <c r="N387" s="265">
        <v>16</v>
      </c>
      <c r="O387" s="268">
        <v>16</v>
      </c>
      <c r="P387" s="265">
        <v>16</v>
      </c>
      <c r="S387" s="261" t="s">
        <v>2073</v>
      </c>
      <c r="T387" s="262"/>
      <c r="U387" s="385">
        <f t="shared" si="29"/>
        <v>12</v>
      </c>
      <c r="V387" s="218">
        <f t="shared" si="26"/>
        <v>2.46</v>
      </c>
      <c r="W387" s="37">
        <f t="shared" si="28"/>
        <v>22.94</v>
      </c>
      <c r="X387" s="37">
        <v>18</v>
      </c>
      <c r="Y387" s="37">
        <f t="shared" si="27"/>
        <v>4.9400000000000013</v>
      </c>
    </row>
    <row r="388" spans="1:25" ht="37.5">
      <c r="A388" s="276" t="s">
        <v>1847</v>
      </c>
      <c r="B388" s="273" t="s">
        <v>2685</v>
      </c>
      <c r="C388" s="277" t="s">
        <v>38</v>
      </c>
      <c r="D388" s="394">
        <v>23</v>
      </c>
      <c r="E388" s="395">
        <v>23</v>
      </c>
      <c r="F388" s="394">
        <v>23</v>
      </c>
      <c r="G388" s="394">
        <v>25</v>
      </c>
      <c r="H388" s="397">
        <v>25</v>
      </c>
      <c r="I388" s="394">
        <v>25</v>
      </c>
      <c r="J388" s="394">
        <v>27</v>
      </c>
      <c r="K388" s="394">
        <v>33.729999999999997</v>
      </c>
      <c r="L388" s="265">
        <v>27</v>
      </c>
      <c r="N388" s="265">
        <v>25</v>
      </c>
      <c r="O388" s="268">
        <v>25</v>
      </c>
      <c r="P388" s="265">
        <v>25</v>
      </c>
      <c r="S388" s="261" t="s">
        <v>2073</v>
      </c>
      <c r="T388" s="262"/>
      <c r="U388" s="385">
        <f t="shared" si="29"/>
        <v>12</v>
      </c>
      <c r="V388" s="218">
        <f t="shared" ref="V388:V403" si="30">ROUND(K388*U388/100,2)</f>
        <v>4.05</v>
      </c>
      <c r="W388" s="37">
        <f t="shared" si="28"/>
        <v>37.779999999999994</v>
      </c>
      <c r="X388" s="37">
        <v>29</v>
      </c>
      <c r="Y388" s="37">
        <f t="shared" ref="Y388:Y403" si="31">W388-X388</f>
        <v>8.779999999999994</v>
      </c>
    </row>
    <row r="389" spans="1:25">
      <c r="A389" s="271" t="s">
        <v>1849</v>
      </c>
      <c r="B389" s="272" t="s">
        <v>1156</v>
      </c>
      <c r="C389" s="277" t="s">
        <v>38</v>
      </c>
      <c r="D389" s="394">
        <v>35</v>
      </c>
      <c r="E389" s="395">
        <v>35</v>
      </c>
      <c r="F389" s="394">
        <v>35</v>
      </c>
      <c r="G389" s="394">
        <v>38</v>
      </c>
      <c r="H389" s="397">
        <v>38</v>
      </c>
      <c r="I389" s="394">
        <v>38</v>
      </c>
      <c r="J389" s="394">
        <v>40</v>
      </c>
      <c r="K389" s="394">
        <v>52.03</v>
      </c>
      <c r="L389" s="265">
        <v>40</v>
      </c>
      <c r="N389" s="265">
        <v>38</v>
      </c>
      <c r="O389" s="268">
        <v>38</v>
      </c>
      <c r="P389" s="265">
        <v>38</v>
      </c>
      <c r="S389" s="261" t="s">
        <v>2073</v>
      </c>
      <c r="T389" s="262"/>
      <c r="U389" s="385">
        <f t="shared" si="29"/>
        <v>12</v>
      </c>
      <c r="V389" s="218">
        <f t="shared" si="30"/>
        <v>6.24</v>
      </c>
      <c r="W389" s="37">
        <f t="shared" si="28"/>
        <v>58.27</v>
      </c>
      <c r="X389" s="37">
        <v>44</v>
      </c>
      <c r="Y389" s="37">
        <f t="shared" si="31"/>
        <v>14.270000000000003</v>
      </c>
    </row>
    <row r="390" spans="1:25">
      <c r="A390" s="271" t="s">
        <v>1851</v>
      </c>
      <c r="B390" s="272" t="s">
        <v>2686</v>
      </c>
      <c r="C390" s="277" t="s">
        <v>38</v>
      </c>
      <c r="D390" s="394">
        <v>304</v>
      </c>
      <c r="E390" s="395">
        <v>304</v>
      </c>
      <c r="F390" s="394">
        <v>304</v>
      </c>
      <c r="G390" s="394">
        <v>325</v>
      </c>
      <c r="H390" s="397">
        <v>325</v>
      </c>
      <c r="I390" s="394">
        <v>325</v>
      </c>
      <c r="J390" s="394">
        <v>330</v>
      </c>
      <c r="K390" s="394">
        <v>401.96</v>
      </c>
      <c r="L390" s="265">
        <v>330</v>
      </c>
      <c r="N390" s="265">
        <v>325</v>
      </c>
      <c r="O390" s="268">
        <v>325</v>
      </c>
      <c r="P390" s="265">
        <v>325</v>
      </c>
      <c r="S390" s="261" t="s">
        <v>2073</v>
      </c>
      <c r="T390" s="262"/>
      <c r="U390" s="385">
        <f t="shared" si="29"/>
        <v>12</v>
      </c>
      <c r="V390" s="218">
        <f t="shared" si="30"/>
        <v>48.24</v>
      </c>
      <c r="W390" s="37">
        <f t="shared" si="28"/>
        <v>450.2</v>
      </c>
      <c r="X390" s="37">
        <v>363</v>
      </c>
      <c r="Y390" s="37">
        <f t="shared" si="31"/>
        <v>87.199999999999989</v>
      </c>
    </row>
    <row r="391" spans="1:25">
      <c r="A391" s="271" t="s">
        <v>1852</v>
      </c>
      <c r="B391" s="272" t="s">
        <v>1150</v>
      </c>
      <c r="C391" s="277" t="s">
        <v>38</v>
      </c>
      <c r="D391" s="394">
        <v>45</v>
      </c>
      <c r="E391" s="395">
        <v>45</v>
      </c>
      <c r="F391" s="394">
        <v>45</v>
      </c>
      <c r="G391" s="394">
        <v>48</v>
      </c>
      <c r="H391" s="397">
        <v>48</v>
      </c>
      <c r="I391" s="394">
        <v>48</v>
      </c>
      <c r="J391" s="394">
        <v>50</v>
      </c>
      <c r="K391" s="394">
        <v>63.06</v>
      </c>
      <c r="L391" s="265">
        <v>50</v>
      </c>
      <c r="N391" s="265">
        <v>48</v>
      </c>
      <c r="O391" s="268">
        <v>48</v>
      </c>
      <c r="P391" s="265">
        <v>48</v>
      </c>
      <c r="S391" s="261" t="s">
        <v>2073</v>
      </c>
      <c r="T391" s="262"/>
      <c r="U391" s="385">
        <f t="shared" si="29"/>
        <v>12</v>
      </c>
      <c r="V391" s="218">
        <f t="shared" si="30"/>
        <v>7.57</v>
      </c>
      <c r="W391" s="37">
        <f t="shared" ref="W391:W403" si="32">K391+V391</f>
        <v>70.63</v>
      </c>
      <c r="X391" s="37">
        <v>55</v>
      </c>
      <c r="Y391" s="37">
        <f t="shared" si="31"/>
        <v>15.629999999999995</v>
      </c>
    </row>
    <row r="392" spans="1:25">
      <c r="A392" s="271" t="s">
        <v>2548</v>
      </c>
      <c r="B392" s="272" t="s">
        <v>1151</v>
      </c>
      <c r="C392" s="277" t="s">
        <v>38</v>
      </c>
      <c r="D392" s="394">
        <v>89</v>
      </c>
      <c r="E392" s="395">
        <v>89</v>
      </c>
      <c r="F392" s="394">
        <v>89</v>
      </c>
      <c r="G392" s="394">
        <v>95</v>
      </c>
      <c r="H392" s="397">
        <v>95</v>
      </c>
      <c r="I392" s="394">
        <v>95</v>
      </c>
      <c r="J392" s="394">
        <v>100</v>
      </c>
      <c r="K392" s="394">
        <v>120.57</v>
      </c>
      <c r="L392" s="265">
        <v>100</v>
      </c>
      <c r="N392" s="265">
        <v>95</v>
      </c>
      <c r="O392" s="268">
        <v>95</v>
      </c>
      <c r="P392" s="265">
        <v>95</v>
      </c>
      <c r="S392" s="261" t="s">
        <v>2073</v>
      </c>
      <c r="T392" s="262"/>
      <c r="U392" s="385">
        <f t="shared" si="29"/>
        <v>12</v>
      </c>
      <c r="V392" s="218">
        <f t="shared" si="30"/>
        <v>14.47</v>
      </c>
      <c r="W392" s="37">
        <f t="shared" si="32"/>
        <v>135.04</v>
      </c>
      <c r="X392" s="37">
        <v>110</v>
      </c>
      <c r="Y392" s="37">
        <f t="shared" si="31"/>
        <v>25.039999999999992</v>
      </c>
    </row>
    <row r="393" spans="1:25">
      <c r="A393" s="271" t="s">
        <v>2550</v>
      </c>
      <c r="B393" s="272" t="s">
        <v>2687</v>
      </c>
      <c r="C393" s="277" t="s">
        <v>38</v>
      </c>
      <c r="D393" s="394">
        <v>23</v>
      </c>
      <c r="E393" s="395">
        <v>23</v>
      </c>
      <c r="F393" s="394">
        <v>23</v>
      </c>
      <c r="G393" s="394">
        <v>25</v>
      </c>
      <c r="H393" s="397">
        <v>25</v>
      </c>
      <c r="I393" s="394">
        <v>25</v>
      </c>
      <c r="J393" s="394">
        <v>27</v>
      </c>
      <c r="K393" s="394">
        <v>34.65</v>
      </c>
      <c r="L393" s="265">
        <v>27</v>
      </c>
      <c r="N393" s="265">
        <v>25</v>
      </c>
      <c r="O393" s="268">
        <v>25</v>
      </c>
      <c r="P393" s="265">
        <v>25</v>
      </c>
      <c r="S393" s="261" t="s">
        <v>2073</v>
      </c>
      <c r="T393" s="262"/>
      <c r="U393" s="385">
        <f t="shared" si="29"/>
        <v>12</v>
      </c>
      <c r="V393" s="218">
        <f t="shared" si="30"/>
        <v>4.16</v>
      </c>
      <c r="W393" s="37">
        <f t="shared" si="32"/>
        <v>38.81</v>
      </c>
      <c r="X393" s="37">
        <v>29</v>
      </c>
      <c r="Y393" s="37">
        <f t="shared" si="31"/>
        <v>9.8100000000000023</v>
      </c>
    </row>
    <row r="394" spans="1:25">
      <c r="A394" s="271" t="s">
        <v>2552</v>
      </c>
      <c r="B394" s="272" t="s">
        <v>2688</v>
      </c>
      <c r="C394" s="277" t="s">
        <v>38</v>
      </c>
      <c r="D394" s="394">
        <v>348</v>
      </c>
      <c r="E394" s="395">
        <v>348</v>
      </c>
      <c r="F394" s="394">
        <v>348</v>
      </c>
      <c r="G394" s="394">
        <v>372</v>
      </c>
      <c r="H394" s="397">
        <v>372</v>
      </c>
      <c r="I394" s="394">
        <v>372</v>
      </c>
      <c r="J394" s="394">
        <v>380</v>
      </c>
      <c r="K394" s="394">
        <v>465.87</v>
      </c>
      <c r="L394" s="265">
        <v>380</v>
      </c>
      <c r="N394" s="265">
        <v>372</v>
      </c>
      <c r="O394" s="268">
        <v>372</v>
      </c>
      <c r="P394" s="265">
        <v>372</v>
      </c>
      <c r="S394" s="261" t="s">
        <v>2073</v>
      </c>
      <c r="T394" s="262"/>
      <c r="U394" s="385">
        <f t="shared" si="29"/>
        <v>12</v>
      </c>
      <c r="V394" s="218">
        <f t="shared" si="30"/>
        <v>55.9</v>
      </c>
      <c r="W394" s="37">
        <f t="shared" si="32"/>
        <v>521.77</v>
      </c>
      <c r="X394" s="37">
        <v>418</v>
      </c>
      <c r="Y394" s="37">
        <f t="shared" si="31"/>
        <v>103.76999999999998</v>
      </c>
    </row>
    <row r="395" spans="1:25">
      <c r="A395" s="271" t="s">
        <v>2554</v>
      </c>
      <c r="B395" s="272" t="s">
        <v>2689</v>
      </c>
      <c r="C395" s="277" t="s">
        <v>38</v>
      </c>
      <c r="D395" s="394">
        <v>313</v>
      </c>
      <c r="E395" s="395">
        <v>313</v>
      </c>
      <c r="F395" s="394">
        <v>313</v>
      </c>
      <c r="G395" s="394">
        <v>335</v>
      </c>
      <c r="H395" s="397">
        <v>335</v>
      </c>
      <c r="I395" s="394">
        <v>335</v>
      </c>
      <c r="J395" s="394">
        <v>340</v>
      </c>
      <c r="K395" s="394">
        <v>423.88</v>
      </c>
      <c r="L395" s="265">
        <v>340</v>
      </c>
      <c r="N395" s="265">
        <v>335</v>
      </c>
      <c r="O395" s="268">
        <v>335</v>
      </c>
      <c r="P395" s="265">
        <v>335</v>
      </c>
      <c r="S395" s="261" t="s">
        <v>2073</v>
      </c>
      <c r="T395" s="262"/>
      <c r="U395" s="385">
        <f t="shared" si="29"/>
        <v>12</v>
      </c>
      <c r="V395" s="1308">
        <f t="shared" si="30"/>
        <v>50.87</v>
      </c>
      <c r="W395" s="37">
        <f t="shared" si="32"/>
        <v>474.75</v>
      </c>
      <c r="X395" s="37">
        <v>374</v>
      </c>
      <c r="Y395" s="37">
        <f t="shared" si="31"/>
        <v>100.75</v>
      </c>
    </row>
    <row r="396" spans="1:25">
      <c r="A396" s="271" t="s">
        <v>2556</v>
      </c>
      <c r="B396" s="272" t="s">
        <v>2690</v>
      </c>
      <c r="C396" s="277" t="s">
        <v>38</v>
      </c>
      <c r="D396" s="394">
        <v>174</v>
      </c>
      <c r="E396" s="395">
        <v>174</v>
      </c>
      <c r="F396" s="394">
        <v>174</v>
      </c>
      <c r="G396" s="394">
        <v>186</v>
      </c>
      <c r="H396" s="397">
        <v>186</v>
      </c>
      <c r="I396" s="394">
        <v>186</v>
      </c>
      <c r="J396" s="394">
        <v>190</v>
      </c>
      <c r="K396" s="394">
        <v>231.98</v>
      </c>
      <c r="L396" s="265">
        <v>190</v>
      </c>
      <c r="N396" s="265">
        <v>186</v>
      </c>
      <c r="O396" s="268">
        <v>186</v>
      </c>
      <c r="P396" s="265">
        <v>186</v>
      </c>
      <c r="S396" s="261" t="s">
        <v>2073</v>
      </c>
      <c r="T396" s="262"/>
      <c r="U396" s="385">
        <f t="shared" si="29"/>
        <v>12</v>
      </c>
      <c r="V396" s="218">
        <f t="shared" si="30"/>
        <v>27.84</v>
      </c>
      <c r="W396" s="37">
        <f t="shared" si="32"/>
        <v>259.82</v>
      </c>
      <c r="X396" s="37">
        <v>209</v>
      </c>
      <c r="Y396" s="37">
        <f t="shared" si="31"/>
        <v>50.819999999999993</v>
      </c>
    </row>
    <row r="397" spans="1:25">
      <c r="A397" s="271" t="s">
        <v>2558</v>
      </c>
      <c r="B397" s="272" t="s">
        <v>2691</v>
      </c>
      <c r="C397" s="277" t="s">
        <v>38</v>
      </c>
      <c r="D397" s="394">
        <v>2588</v>
      </c>
      <c r="E397" s="395">
        <v>2588</v>
      </c>
      <c r="F397" s="394">
        <v>2588</v>
      </c>
      <c r="G397" s="394">
        <v>2769</v>
      </c>
      <c r="H397" s="397">
        <v>2769</v>
      </c>
      <c r="I397" s="394">
        <v>2769</v>
      </c>
      <c r="J397" s="394">
        <v>2900</v>
      </c>
      <c r="K397" s="394">
        <v>3579.24</v>
      </c>
      <c r="L397" s="265">
        <v>2900</v>
      </c>
      <c r="N397" s="265">
        <v>2769</v>
      </c>
      <c r="O397" s="268">
        <v>2769</v>
      </c>
      <c r="P397" s="265">
        <v>2769</v>
      </c>
      <c r="S397" s="261" t="s">
        <v>2073</v>
      </c>
      <c r="T397" s="262"/>
      <c r="U397" s="385">
        <f t="shared" si="29"/>
        <v>12</v>
      </c>
      <c r="V397" s="218">
        <f t="shared" si="30"/>
        <v>429.51</v>
      </c>
      <c r="W397" s="37">
        <f t="shared" si="32"/>
        <v>4008.75</v>
      </c>
      <c r="X397" s="37">
        <v>3190</v>
      </c>
      <c r="Y397" s="37">
        <f t="shared" si="31"/>
        <v>818.75</v>
      </c>
    </row>
    <row r="398" spans="1:25">
      <c r="A398" s="2702" t="s">
        <v>2692</v>
      </c>
      <c r="B398" s="2703"/>
      <c r="S398" s="261"/>
      <c r="T398" s="262"/>
      <c r="U398" s="385">
        <f t="shared" si="29"/>
        <v>12</v>
      </c>
      <c r="V398" s="218">
        <f t="shared" si="30"/>
        <v>0</v>
      </c>
      <c r="W398" s="37">
        <f t="shared" si="32"/>
        <v>0</v>
      </c>
      <c r="Y398" s="37">
        <f t="shared" si="31"/>
        <v>0</v>
      </c>
    </row>
    <row r="399" spans="1:25">
      <c r="A399" s="271" t="s">
        <v>627</v>
      </c>
      <c r="B399" s="272" t="s">
        <v>2693</v>
      </c>
      <c r="C399" s="277" t="s">
        <v>136</v>
      </c>
      <c r="D399" s="394">
        <v>33</v>
      </c>
      <c r="E399" s="395">
        <v>33</v>
      </c>
      <c r="F399" s="394">
        <v>33</v>
      </c>
      <c r="G399" s="394">
        <v>35</v>
      </c>
      <c r="H399" s="397">
        <v>35</v>
      </c>
      <c r="I399" s="394">
        <v>35</v>
      </c>
      <c r="J399" s="394">
        <v>38</v>
      </c>
      <c r="K399" s="394">
        <v>47.79</v>
      </c>
      <c r="L399" s="265">
        <v>38</v>
      </c>
      <c r="N399" s="265">
        <v>35</v>
      </c>
      <c r="O399" s="268">
        <v>35</v>
      </c>
      <c r="P399" s="265">
        <v>35</v>
      </c>
      <c r="S399" s="261" t="s">
        <v>2073</v>
      </c>
      <c r="T399" s="262"/>
      <c r="U399" s="385">
        <f t="shared" si="29"/>
        <v>12</v>
      </c>
      <c r="V399" s="218">
        <f t="shared" si="30"/>
        <v>5.73</v>
      </c>
      <c r="W399" s="37">
        <f t="shared" si="32"/>
        <v>53.519999999999996</v>
      </c>
      <c r="X399" s="37">
        <v>41</v>
      </c>
      <c r="Y399" s="37">
        <f t="shared" si="31"/>
        <v>12.519999999999996</v>
      </c>
    </row>
    <row r="400" spans="1:25">
      <c r="A400" s="271" t="s">
        <v>628</v>
      </c>
      <c r="B400" s="272" t="s">
        <v>2694</v>
      </c>
      <c r="C400" s="277" t="s">
        <v>136</v>
      </c>
      <c r="D400" s="394">
        <v>43</v>
      </c>
      <c r="E400" s="395">
        <v>43</v>
      </c>
      <c r="F400" s="394">
        <v>43</v>
      </c>
      <c r="G400" s="394">
        <v>46</v>
      </c>
      <c r="H400" s="397">
        <v>46</v>
      </c>
      <c r="I400" s="394">
        <v>46</v>
      </c>
      <c r="J400" s="394">
        <v>50</v>
      </c>
      <c r="K400" s="394">
        <v>63.27</v>
      </c>
      <c r="L400" s="265">
        <v>50</v>
      </c>
      <c r="N400" s="265">
        <v>46</v>
      </c>
      <c r="O400" s="268">
        <v>46</v>
      </c>
      <c r="P400" s="265">
        <v>46</v>
      </c>
      <c r="S400" s="261" t="s">
        <v>2073</v>
      </c>
      <c r="T400" s="262"/>
      <c r="U400" s="385">
        <f t="shared" si="29"/>
        <v>12</v>
      </c>
      <c r="V400" s="218">
        <f t="shared" si="30"/>
        <v>7.59</v>
      </c>
      <c r="W400" s="37">
        <f t="shared" si="32"/>
        <v>70.86</v>
      </c>
      <c r="X400" s="37">
        <v>55</v>
      </c>
      <c r="Y400" s="37">
        <f t="shared" si="31"/>
        <v>15.86</v>
      </c>
    </row>
    <row r="401" spans="1:25">
      <c r="A401" s="271" t="s">
        <v>629</v>
      </c>
      <c r="B401" s="272" t="s">
        <v>2695</v>
      </c>
      <c r="C401" s="277" t="s">
        <v>136</v>
      </c>
      <c r="D401" s="394">
        <v>95</v>
      </c>
      <c r="E401" s="395">
        <v>95</v>
      </c>
      <c r="F401" s="394">
        <v>95</v>
      </c>
      <c r="G401" s="394">
        <v>102</v>
      </c>
      <c r="H401" s="397">
        <v>102</v>
      </c>
      <c r="I401" s="394">
        <v>102</v>
      </c>
      <c r="J401" s="394">
        <v>105</v>
      </c>
      <c r="K401" s="394">
        <v>130.21</v>
      </c>
      <c r="L401" s="265">
        <v>105</v>
      </c>
      <c r="N401" s="265">
        <v>102</v>
      </c>
      <c r="O401" s="268">
        <v>102</v>
      </c>
      <c r="P401" s="265">
        <v>102</v>
      </c>
      <c r="S401" s="261" t="s">
        <v>2073</v>
      </c>
      <c r="T401" s="262"/>
      <c r="U401" s="385">
        <f t="shared" si="29"/>
        <v>12</v>
      </c>
      <c r="V401" s="218">
        <f t="shared" si="30"/>
        <v>15.63</v>
      </c>
      <c r="W401" s="37">
        <f t="shared" si="32"/>
        <v>145.84</v>
      </c>
      <c r="X401" s="37">
        <v>115</v>
      </c>
      <c r="Y401" s="37">
        <f t="shared" si="31"/>
        <v>30.840000000000003</v>
      </c>
    </row>
    <row r="402" spans="1:25" ht="56.25">
      <c r="A402" s="276">
        <v>173</v>
      </c>
      <c r="B402" s="273" t="s">
        <v>2696</v>
      </c>
      <c r="C402" s="247" t="s">
        <v>2697</v>
      </c>
      <c r="J402" s="394">
        <v>27</v>
      </c>
      <c r="K402" s="394">
        <v>31.23</v>
      </c>
      <c r="L402" s="265">
        <v>27</v>
      </c>
      <c r="S402" s="261" t="s">
        <v>2073</v>
      </c>
      <c r="T402" s="262"/>
      <c r="U402" s="385">
        <v>18</v>
      </c>
      <c r="V402" s="218">
        <f t="shared" si="30"/>
        <v>5.62</v>
      </c>
      <c r="W402" s="37">
        <f t="shared" si="32"/>
        <v>36.85</v>
      </c>
      <c r="X402" s="37">
        <v>29</v>
      </c>
      <c r="Y402" s="37">
        <f t="shared" si="31"/>
        <v>7.8500000000000014</v>
      </c>
    </row>
    <row r="403" spans="1:25" ht="37.5">
      <c r="A403" s="261">
        <v>174</v>
      </c>
      <c r="B403" s="272" t="s">
        <v>2698</v>
      </c>
      <c r="C403" s="1629" t="s">
        <v>2699</v>
      </c>
      <c r="J403" s="394">
        <v>350</v>
      </c>
      <c r="K403" s="394">
        <v>398</v>
      </c>
      <c r="L403" s="265">
        <v>350</v>
      </c>
      <c r="S403" s="261" t="s">
        <v>2073</v>
      </c>
      <c r="T403" s="262"/>
      <c r="U403" s="385">
        <f t="shared" si="29"/>
        <v>18</v>
      </c>
      <c r="V403" s="218">
        <f t="shared" si="30"/>
        <v>71.64</v>
      </c>
      <c r="W403" s="37">
        <f t="shared" si="32"/>
        <v>469.64</v>
      </c>
      <c r="X403" s="37">
        <v>385</v>
      </c>
      <c r="Y403" s="37">
        <f t="shared" si="31"/>
        <v>84.639999999999986</v>
      </c>
    </row>
    <row r="404" spans="1:25" ht="56.25">
      <c r="A404" s="285">
        <v>175</v>
      </c>
      <c r="B404" s="273" t="s">
        <v>2700</v>
      </c>
      <c r="C404" s="277" t="s">
        <v>1054</v>
      </c>
      <c r="K404" s="394">
        <v>41.1</v>
      </c>
      <c r="N404" s="266"/>
      <c r="O404" s="287"/>
      <c r="P404" s="288"/>
      <c r="S404" s="261" t="s">
        <v>2073</v>
      </c>
      <c r="T404" s="262"/>
      <c r="U404" s="385"/>
      <c r="V404" s="218"/>
    </row>
    <row r="405" spans="1:25">
      <c r="A405" s="285"/>
      <c r="B405" s="274" t="s">
        <v>3723</v>
      </c>
      <c r="N405" s="266"/>
      <c r="O405" s="287"/>
      <c r="P405" s="288"/>
      <c r="S405" s="261"/>
      <c r="T405" s="1630"/>
      <c r="U405" s="1631"/>
      <c r="V405" s="1632"/>
      <c r="W405" s="1633"/>
      <c r="X405" s="1633"/>
      <c r="Y405" s="1633"/>
    </row>
    <row r="406" spans="1:25" ht="17.45" customHeight="1">
      <c r="A406" s="2707">
        <v>176</v>
      </c>
      <c r="B406" s="2710" t="s">
        <v>3724</v>
      </c>
      <c r="C406" s="403" t="s">
        <v>3725</v>
      </c>
      <c r="D406" s="404"/>
      <c r="E406" s="405"/>
      <c r="F406" s="404"/>
      <c r="G406" s="404"/>
      <c r="H406" s="406"/>
      <c r="I406" s="404"/>
      <c r="J406" s="404"/>
      <c r="K406" s="404">
        <v>6851.09</v>
      </c>
      <c r="L406" s="295"/>
      <c r="N406" s="1634"/>
      <c r="O406" s="287"/>
      <c r="P406" s="288"/>
      <c r="S406" s="293" t="s">
        <v>2073</v>
      </c>
      <c r="T406" s="1635"/>
      <c r="U406" s="1631"/>
      <c r="V406" s="1632"/>
      <c r="W406" s="1633"/>
      <c r="X406" s="1633"/>
      <c r="Y406" s="1633"/>
    </row>
    <row r="407" spans="1:25">
      <c r="A407" s="2708"/>
      <c r="B407" s="2711"/>
      <c r="C407" s="277" t="s">
        <v>2976</v>
      </c>
      <c r="K407" s="404">
        <v>7991.45</v>
      </c>
      <c r="L407" s="295"/>
      <c r="N407" s="1634"/>
      <c r="O407" s="287"/>
      <c r="P407" s="288"/>
      <c r="S407" s="293" t="s">
        <v>2073</v>
      </c>
      <c r="T407" s="1630"/>
      <c r="U407" s="1631"/>
      <c r="V407" s="1632"/>
      <c r="W407" s="1633"/>
      <c r="X407" s="1633"/>
      <c r="Y407" s="1633"/>
    </row>
    <row r="408" spans="1:25">
      <c r="A408" s="2708"/>
      <c r="B408" s="2711"/>
      <c r="C408" s="277" t="s">
        <v>2051</v>
      </c>
      <c r="K408" s="404">
        <v>8344.4699999999993</v>
      </c>
      <c r="L408" s="295"/>
      <c r="N408" s="1634"/>
      <c r="O408" s="287"/>
      <c r="P408" s="288"/>
      <c r="S408" s="293" t="s">
        <v>2073</v>
      </c>
      <c r="T408" s="1630"/>
      <c r="U408" s="1631"/>
      <c r="V408" s="1632"/>
      <c r="W408" s="1633"/>
      <c r="X408" s="1633"/>
      <c r="Y408" s="1633"/>
    </row>
    <row r="409" spans="1:25">
      <c r="A409" s="2708"/>
      <c r="B409" s="2711"/>
      <c r="C409" s="277" t="s">
        <v>2052</v>
      </c>
      <c r="K409" s="404">
        <v>9817.07</v>
      </c>
      <c r="L409" s="295"/>
      <c r="N409" s="1634"/>
      <c r="O409" s="287"/>
      <c r="P409" s="288"/>
      <c r="S409" s="293" t="s">
        <v>2073</v>
      </c>
      <c r="T409" s="1630"/>
      <c r="U409" s="1631"/>
      <c r="V409" s="1632"/>
      <c r="W409" s="1633"/>
      <c r="X409" s="1633"/>
      <c r="Y409" s="1633"/>
    </row>
    <row r="410" spans="1:25">
      <c r="A410" s="2708"/>
      <c r="B410" s="2711"/>
      <c r="C410" s="277" t="s">
        <v>2975</v>
      </c>
      <c r="K410" s="404">
        <v>10916.77</v>
      </c>
      <c r="L410" s="295"/>
      <c r="N410" s="1634"/>
      <c r="O410" s="287"/>
      <c r="P410" s="288"/>
      <c r="S410" s="293" t="s">
        <v>2073</v>
      </c>
      <c r="T410" s="1630"/>
      <c r="U410" s="1631"/>
      <c r="V410" s="1632"/>
      <c r="W410" s="1633"/>
      <c r="X410" s="1633"/>
      <c r="Y410" s="1633"/>
    </row>
    <row r="411" spans="1:25">
      <c r="A411" s="2708"/>
      <c r="B411" s="2711"/>
      <c r="C411" s="277" t="s">
        <v>2053</v>
      </c>
      <c r="K411" s="404">
        <v>11387.79</v>
      </c>
      <c r="L411" s="295"/>
      <c r="N411" s="1634"/>
      <c r="O411" s="287"/>
      <c r="P411" s="288"/>
      <c r="S411" s="293" t="s">
        <v>2073</v>
      </c>
      <c r="T411" s="1630"/>
      <c r="U411" s="1631"/>
      <c r="V411" s="1632"/>
      <c r="W411" s="1633"/>
      <c r="X411" s="1633"/>
      <c r="Y411" s="1633"/>
    </row>
    <row r="412" spans="1:25">
      <c r="A412" s="2708"/>
      <c r="B412" s="2711"/>
      <c r="C412" s="277" t="s">
        <v>2054</v>
      </c>
      <c r="K412" s="404">
        <v>12437.32</v>
      </c>
      <c r="L412" s="295"/>
      <c r="N412" s="1634"/>
      <c r="O412" s="287"/>
      <c r="P412" s="288"/>
      <c r="S412" s="293" t="s">
        <v>2073</v>
      </c>
      <c r="T412" s="1630"/>
      <c r="U412" s="1631"/>
      <c r="V412" s="1632"/>
      <c r="W412" s="1633"/>
      <c r="X412" s="1633"/>
      <c r="Y412" s="1633"/>
    </row>
    <row r="413" spans="1:25">
      <c r="A413" s="2709"/>
      <c r="B413" s="2712"/>
      <c r="C413" s="277" t="s">
        <v>2974</v>
      </c>
      <c r="K413" s="394">
        <v>14838.31</v>
      </c>
      <c r="M413" s="252"/>
      <c r="Q413" s="252"/>
      <c r="R413" s="252"/>
      <c r="S413" s="261" t="s">
        <v>2073</v>
      </c>
      <c r="T413" s="1630"/>
      <c r="U413" s="1631"/>
      <c r="V413" s="1632"/>
      <c r="W413" s="1633"/>
      <c r="X413" s="1633"/>
      <c r="Y413" s="1633"/>
    </row>
    <row r="414" spans="1:25" ht="33" customHeight="1">
      <c r="A414" s="2704" t="s">
        <v>181</v>
      </c>
      <c r="B414" s="2705"/>
      <c r="C414" s="2705"/>
      <c r="D414" s="2705"/>
      <c r="E414" s="2705"/>
      <c r="F414" s="2705"/>
      <c r="G414" s="2705"/>
      <c r="H414" s="2705"/>
      <c r="I414" s="2705"/>
      <c r="J414" s="2705"/>
      <c r="K414" s="2705"/>
      <c r="L414" s="2706"/>
      <c r="N414" s="289">
        <v>2008</v>
      </c>
      <c r="O414" s="290">
        <v>2009</v>
      </c>
      <c r="P414" s="245"/>
      <c r="S414" s="261"/>
      <c r="T414" s="262"/>
      <c r="U414" s="385"/>
      <c r="V414" s="218"/>
    </row>
    <row r="415" spans="1:25" ht="23.45" customHeight="1">
      <c r="A415" s="2702" t="s">
        <v>2701</v>
      </c>
      <c r="B415" s="2703"/>
      <c r="C415" s="291"/>
      <c r="D415" s="291"/>
      <c r="E415" s="291"/>
      <c r="F415" s="291"/>
      <c r="G415" s="291"/>
      <c r="H415" s="291"/>
      <c r="I415" s="291"/>
      <c r="J415" s="291"/>
      <c r="K415" s="291"/>
      <c r="L415" s="291"/>
      <c r="N415" s="289"/>
      <c r="O415" s="290"/>
      <c r="P415" s="245"/>
      <c r="S415" s="261"/>
      <c r="T415" s="262"/>
      <c r="U415" s="385"/>
      <c r="V415" s="218"/>
    </row>
    <row r="416" spans="1:25">
      <c r="A416" s="263">
        <v>1</v>
      </c>
      <c r="B416" s="272" t="s">
        <v>2702</v>
      </c>
      <c r="C416" s="394">
        <v>90</v>
      </c>
      <c r="F416" s="394" t="s">
        <v>2703</v>
      </c>
      <c r="G416" s="394">
        <v>70</v>
      </c>
      <c r="H416" s="397">
        <v>90</v>
      </c>
      <c r="I416" s="394" t="s">
        <v>2703</v>
      </c>
      <c r="J416" s="394">
        <f>C416+2.5</f>
        <v>92.5</v>
      </c>
      <c r="K416" s="394">
        <v>333</v>
      </c>
      <c r="L416" s="265" t="s">
        <v>2703</v>
      </c>
      <c r="M416" s="292">
        <v>90</v>
      </c>
      <c r="N416" s="265">
        <v>70</v>
      </c>
      <c r="O416" s="268">
        <v>90</v>
      </c>
      <c r="P416" s="265" t="s">
        <v>2703</v>
      </c>
      <c r="S416" s="261" t="s">
        <v>2073</v>
      </c>
      <c r="T416" s="262" t="s">
        <v>2704</v>
      </c>
      <c r="U416" s="385"/>
      <c r="V416" s="218"/>
    </row>
    <row r="417" spans="1:22">
      <c r="A417" s="263">
        <v>2</v>
      </c>
      <c r="B417" s="272" t="s">
        <v>770</v>
      </c>
      <c r="C417" s="394">
        <v>90</v>
      </c>
      <c r="F417" s="394" t="s">
        <v>2703</v>
      </c>
      <c r="G417" s="394">
        <v>70</v>
      </c>
      <c r="H417" s="397">
        <v>90</v>
      </c>
      <c r="I417" s="394" t="s">
        <v>2703</v>
      </c>
      <c r="J417" s="394">
        <f t="shared" ref="J417:J479" si="33">C417+2.5</f>
        <v>92.5</v>
      </c>
      <c r="K417" s="394">
        <f>K416</f>
        <v>333</v>
      </c>
      <c r="L417" s="265" t="s">
        <v>2703</v>
      </c>
      <c r="N417" s="265">
        <v>70</v>
      </c>
      <c r="O417" s="268">
        <v>90</v>
      </c>
      <c r="P417" s="265" t="s">
        <v>2703</v>
      </c>
      <c r="S417" s="261" t="s">
        <v>2073</v>
      </c>
      <c r="T417" s="262" t="s">
        <v>2704</v>
      </c>
      <c r="U417" s="385"/>
      <c r="V417" s="218"/>
    </row>
    <row r="418" spans="1:22">
      <c r="A418" s="263">
        <v>3</v>
      </c>
      <c r="B418" s="272" t="s">
        <v>2705</v>
      </c>
      <c r="C418" s="394">
        <v>90</v>
      </c>
      <c r="F418" s="394" t="s">
        <v>2703</v>
      </c>
      <c r="G418" s="394">
        <v>70</v>
      </c>
      <c r="H418" s="397">
        <v>90</v>
      </c>
      <c r="I418" s="394" t="s">
        <v>2703</v>
      </c>
      <c r="J418" s="394">
        <f t="shared" si="33"/>
        <v>92.5</v>
      </c>
      <c r="K418" s="394">
        <f>K417</f>
        <v>333</v>
      </c>
      <c r="L418" s="265" t="s">
        <v>2703</v>
      </c>
      <c r="N418" s="265">
        <v>70</v>
      </c>
      <c r="O418" s="268">
        <v>90</v>
      </c>
      <c r="P418" s="265" t="s">
        <v>2703</v>
      </c>
      <c r="S418" s="261" t="s">
        <v>2073</v>
      </c>
      <c r="T418" s="262" t="s">
        <v>2704</v>
      </c>
      <c r="U418" s="385"/>
      <c r="V418" s="218"/>
    </row>
    <row r="419" spans="1:22">
      <c r="A419" s="263">
        <v>4</v>
      </c>
      <c r="B419" s="272" t="s">
        <v>2706</v>
      </c>
      <c r="C419" s="394">
        <v>90</v>
      </c>
      <c r="F419" s="394" t="s">
        <v>2703</v>
      </c>
      <c r="G419" s="394">
        <v>70</v>
      </c>
      <c r="H419" s="397">
        <v>90</v>
      </c>
      <c r="I419" s="394" t="s">
        <v>2703</v>
      </c>
      <c r="J419" s="394">
        <f t="shared" si="33"/>
        <v>92.5</v>
      </c>
      <c r="K419" s="394">
        <f>K418</f>
        <v>333</v>
      </c>
      <c r="L419" s="265" t="s">
        <v>2703</v>
      </c>
      <c r="N419" s="265">
        <v>70</v>
      </c>
      <c r="O419" s="268">
        <v>90</v>
      </c>
      <c r="P419" s="265" t="s">
        <v>2703</v>
      </c>
      <c r="S419" s="261" t="s">
        <v>2073</v>
      </c>
      <c r="T419" s="262" t="s">
        <v>2704</v>
      </c>
      <c r="U419" s="385"/>
      <c r="V419" s="218"/>
    </row>
    <row r="420" spans="1:22">
      <c r="A420" s="2702" t="s">
        <v>2707</v>
      </c>
      <c r="B420" s="2703"/>
      <c r="C420" s="394"/>
      <c r="S420" s="261"/>
      <c r="T420" s="262"/>
      <c r="U420" s="385"/>
      <c r="V420" s="218"/>
    </row>
    <row r="421" spans="1:22" ht="21.75" customHeight="1">
      <c r="A421" s="263">
        <v>1</v>
      </c>
      <c r="B421" s="272" t="s">
        <v>2708</v>
      </c>
      <c r="C421" s="394">
        <v>103</v>
      </c>
      <c r="F421" s="394" t="s">
        <v>2703</v>
      </c>
      <c r="G421" s="394">
        <v>80</v>
      </c>
      <c r="H421" s="397">
        <v>103</v>
      </c>
      <c r="I421" s="394" t="s">
        <v>2703</v>
      </c>
      <c r="J421" s="394">
        <f t="shared" si="33"/>
        <v>105.5</v>
      </c>
      <c r="K421" s="394">
        <v>373</v>
      </c>
      <c r="L421" s="265" t="s">
        <v>2703</v>
      </c>
      <c r="M421" s="292">
        <v>103</v>
      </c>
      <c r="N421" s="265">
        <v>80</v>
      </c>
      <c r="O421" s="268">
        <v>103</v>
      </c>
      <c r="P421" s="265" t="s">
        <v>2703</v>
      </c>
      <c r="S421" s="261" t="s">
        <v>2073</v>
      </c>
      <c r="T421" s="262" t="s">
        <v>2709</v>
      </c>
      <c r="U421" s="385"/>
      <c r="V421" s="218"/>
    </row>
    <row r="422" spans="1:22" ht="37.5">
      <c r="A422" s="263">
        <v>2</v>
      </c>
      <c r="B422" s="272" t="s">
        <v>2710</v>
      </c>
      <c r="C422" s="394">
        <v>103</v>
      </c>
      <c r="F422" s="394" t="s">
        <v>2703</v>
      </c>
      <c r="G422" s="394">
        <v>80</v>
      </c>
      <c r="H422" s="397">
        <v>103</v>
      </c>
      <c r="I422" s="394" t="s">
        <v>2703</v>
      </c>
      <c r="J422" s="394">
        <f t="shared" si="33"/>
        <v>105.5</v>
      </c>
      <c r="K422" s="394">
        <f>K421</f>
        <v>373</v>
      </c>
      <c r="L422" s="265" t="s">
        <v>2703</v>
      </c>
      <c r="N422" s="265">
        <v>80</v>
      </c>
      <c r="O422" s="268">
        <v>103</v>
      </c>
      <c r="P422" s="265" t="s">
        <v>2703</v>
      </c>
      <c r="S422" s="261" t="s">
        <v>2073</v>
      </c>
      <c r="T422" s="262" t="s">
        <v>2709</v>
      </c>
      <c r="U422" s="385"/>
      <c r="V422" s="218"/>
    </row>
    <row r="423" spans="1:22">
      <c r="A423" s="277">
        <v>3</v>
      </c>
      <c r="B423" s="272" t="s">
        <v>2711</v>
      </c>
      <c r="C423" s="394">
        <v>103</v>
      </c>
      <c r="F423" s="394" t="s">
        <v>2703</v>
      </c>
      <c r="G423" s="394">
        <v>80</v>
      </c>
      <c r="H423" s="397">
        <v>103</v>
      </c>
      <c r="I423" s="394" t="s">
        <v>2703</v>
      </c>
      <c r="J423" s="394">
        <f t="shared" si="33"/>
        <v>105.5</v>
      </c>
      <c r="K423" s="394">
        <f t="shared" ref="K423:K439" si="34">K422</f>
        <v>373</v>
      </c>
      <c r="L423" s="265" t="s">
        <v>2703</v>
      </c>
      <c r="N423" s="265">
        <v>80</v>
      </c>
      <c r="O423" s="268">
        <v>103</v>
      </c>
      <c r="P423" s="265" t="s">
        <v>2703</v>
      </c>
      <c r="S423" s="261" t="s">
        <v>2073</v>
      </c>
      <c r="T423" s="262" t="s">
        <v>2709</v>
      </c>
      <c r="U423" s="385"/>
      <c r="V423" s="218"/>
    </row>
    <row r="424" spans="1:22">
      <c r="A424" s="277">
        <v>4</v>
      </c>
      <c r="B424" s="272" t="s">
        <v>807</v>
      </c>
      <c r="C424" s="394">
        <v>103</v>
      </c>
      <c r="F424" s="394" t="s">
        <v>2703</v>
      </c>
      <c r="G424" s="394">
        <v>80</v>
      </c>
      <c r="H424" s="397">
        <v>103</v>
      </c>
      <c r="I424" s="394" t="s">
        <v>2703</v>
      </c>
      <c r="J424" s="394">
        <f t="shared" si="33"/>
        <v>105.5</v>
      </c>
      <c r="K424" s="394">
        <f t="shared" si="34"/>
        <v>373</v>
      </c>
      <c r="L424" s="265" t="s">
        <v>2703</v>
      </c>
      <c r="N424" s="265">
        <v>80</v>
      </c>
      <c r="O424" s="268">
        <v>103</v>
      </c>
      <c r="P424" s="265" t="s">
        <v>2703</v>
      </c>
      <c r="S424" s="261" t="s">
        <v>2073</v>
      </c>
      <c r="T424" s="262" t="s">
        <v>2709</v>
      </c>
      <c r="U424" s="385"/>
      <c r="V424" s="218"/>
    </row>
    <row r="425" spans="1:22">
      <c r="A425" s="277">
        <v>5</v>
      </c>
      <c r="B425" s="272" t="s">
        <v>2712</v>
      </c>
      <c r="C425" s="394">
        <v>103</v>
      </c>
      <c r="F425" s="394" t="s">
        <v>2703</v>
      </c>
      <c r="G425" s="394">
        <v>80</v>
      </c>
      <c r="H425" s="397">
        <v>103</v>
      </c>
      <c r="I425" s="394" t="s">
        <v>2703</v>
      </c>
      <c r="J425" s="394">
        <f t="shared" si="33"/>
        <v>105.5</v>
      </c>
      <c r="K425" s="394">
        <f t="shared" si="34"/>
        <v>373</v>
      </c>
      <c r="L425" s="265" t="s">
        <v>2703</v>
      </c>
      <c r="N425" s="265">
        <v>80</v>
      </c>
      <c r="O425" s="268">
        <v>103</v>
      </c>
      <c r="P425" s="265" t="s">
        <v>2703</v>
      </c>
      <c r="S425" s="261" t="s">
        <v>2073</v>
      </c>
      <c r="T425" s="262" t="s">
        <v>2709</v>
      </c>
      <c r="U425" s="385"/>
      <c r="V425" s="218"/>
    </row>
    <row r="426" spans="1:22">
      <c r="A426" s="277">
        <v>6</v>
      </c>
      <c r="B426" s="272" t="s">
        <v>744</v>
      </c>
      <c r="C426" s="394">
        <v>103</v>
      </c>
      <c r="F426" s="394" t="s">
        <v>2703</v>
      </c>
      <c r="G426" s="394">
        <v>80</v>
      </c>
      <c r="H426" s="397">
        <v>103</v>
      </c>
      <c r="I426" s="394" t="s">
        <v>2703</v>
      </c>
      <c r="J426" s="394">
        <f t="shared" si="33"/>
        <v>105.5</v>
      </c>
      <c r="K426" s="394">
        <f t="shared" si="34"/>
        <v>373</v>
      </c>
      <c r="L426" s="265" t="s">
        <v>2703</v>
      </c>
      <c r="N426" s="265">
        <v>80</v>
      </c>
      <c r="O426" s="268">
        <v>103</v>
      </c>
      <c r="P426" s="265" t="s">
        <v>2703</v>
      </c>
      <c r="S426" s="261" t="s">
        <v>2073</v>
      </c>
      <c r="T426" s="262" t="s">
        <v>2709</v>
      </c>
      <c r="U426" s="385"/>
      <c r="V426" s="218"/>
    </row>
    <row r="427" spans="1:22" ht="37.5">
      <c r="A427" s="263">
        <v>7</v>
      </c>
      <c r="B427" s="273" t="s">
        <v>2713</v>
      </c>
      <c r="C427" s="394">
        <v>103</v>
      </c>
      <c r="F427" s="394" t="s">
        <v>2703</v>
      </c>
      <c r="G427" s="394">
        <v>80</v>
      </c>
      <c r="H427" s="397">
        <v>103</v>
      </c>
      <c r="I427" s="394" t="s">
        <v>2703</v>
      </c>
      <c r="J427" s="394">
        <f t="shared" si="33"/>
        <v>105.5</v>
      </c>
      <c r="K427" s="394">
        <f t="shared" si="34"/>
        <v>373</v>
      </c>
      <c r="L427" s="265" t="s">
        <v>2703</v>
      </c>
      <c r="N427" s="265">
        <v>80</v>
      </c>
      <c r="O427" s="268">
        <v>103</v>
      </c>
      <c r="P427" s="265" t="s">
        <v>2703</v>
      </c>
      <c r="S427" s="261" t="s">
        <v>2073</v>
      </c>
      <c r="T427" s="262" t="s">
        <v>2709</v>
      </c>
      <c r="U427" s="385"/>
      <c r="V427" s="218"/>
    </row>
    <row r="428" spans="1:22">
      <c r="A428" s="277">
        <v>8</v>
      </c>
      <c r="B428" s="272" t="s">
        <v>2714</v>
      </c>
      <c r="C428" s="394">
        <v>103</v>
      </c>
      <c r="F428" s="394" t="s">
        <v>2703</v>
      </c>
      <c r="G428" s="394">
        <v>80</v>
      </c>
      <c r="H428" s="397">
        <v>103</v>
      </c>
      <c r="I428" s="394" t="s">
        <v>2703</v>
      </c>
      <c r="J428" s="394">
        <f t="shared" si="33"/>
        <v>105.5</v>
      </c>
      <c r="K428" s="394">
        <f t="shared" si="34"/>
        <v>373</v>
      </c>
      <c r="L428" s="265" t="s">
        <v>2703</v>
      </c>
      <c r="N428" s="265">
        <v>80</v>
      </c>
      <c r="O428" s="268">
        <v>103</v>
      </c>
      <c r="P428" s="265" t="s">
        <v>2703</v>
      </c>
      <c r="S428" s="261" t="s">
        <v>2073</v>
      </c>
      <c r="T428" s="262" t="s">
        <v>2709</v>
      </c>
      <c r="U428" s="385"/>
      <c r="V428" s="218"/>
    </row>
    <row r="429" spans="1:22">
      <c r="A429" s="277">
        <v>9</v>
      </c>
      <c r="B429" s="272" t="s">
        <v>2715</v>
      </c>
      <c r="C429" s="394">
        <v>103</v>
      </c>
      <c r="F429" s="394" t="s">
        <v>2703</v>
      </c>
      <c r="G429" s="394">
        <v>80</v>
      </c>
      <c r="H429" s="397">
        <v>103</v>
      </c>
      <c r="I429" s="394" t="s">
        <v>2703</v>
      </c>
      <c r="J429" s="394">
        <f t="shared" si="33"/>
        <v>105.5</v>
      </c>
      <c r="K429" s="394">
        <f t="shared" si="34"/>
        <v>373</v>
      </c>
      <c r="L429" s="265" t="s">
        <v>2703</v>
      </c>
      <c r="N429" s="265">
        <v>80</v>
      </c>
      <c r="O429" s="268">
        <v>103</v>
      </c>
      <c r="P429" s="265" t="s">
        <v>2703</v>
      </c>
      <c r="S429" s="261" t="s">
        <v>2073</v>
      </c>
      <c r="T429" s="262" t="s">
        <v>2709</v>
      </c>
      <c r="U429" s="385"/>
      <c r="V429" s="218"/>
    </row>
    <row r="430" spans="1:22">
      <c r="A430" s="277">
        <v>10</v>
      </c>
      <c r="B430" s="272" t="s">
        <v>2716</v>
      </c>
      <c r="C430" s="394">
        <v>103</v>
      </c>
      <c r="F430" s="394" t="s">
        <v>2703</v>
      </c>
      <c r="G430" s="394">
        <v>80</v>
      </c>
      <c r="H430" s="397">
        <v>103</v>
      </c>
      <c r="I430" s="394" t="s">
        <v>2703</v>
      </c>
      <c r="J430" s="394">
        <f t="shared" si="33"/>
        <v>105.5</v>
      </c>
      <c r="K430" s="394">
        <f t="shared" si="34"/>
        <v>373</v>
      </c>
      <c r="L430" s="265" t="s">
        <v>2703</v>
      </c>
      <c r="N430" s="265">
        <v>80</v>
      </c>
      <c r="O430" s="268">
        <v>103</v>
      </c>
      <c r="P430" s="265" t="s">
        <v>2703</v>
      </c>
      <c r="S430" s="261" t="s">
        <v>2073</v>
      </c>
      <c r="T430" s="262" t="s">
        <v>2709</v>
      </c>
      <c r="U430" s="385"/>
      <c r="V430" s="218"/>
    </row>
    <row r="431" spans="1:22">
      <c r="A431" s="277">
        <v>11</v>
      </c>
      <c r="B431" s="272" t="s">
        <v>2717</v>
      </c>
      <c r="C431" s="394">
        <v>103</v>
      </c>
      <c r="F431" s="394" t="s">
        <v>2703</v>
      </c>
      <c r="G431" s="394">
        <v>80</v>
      </c>
      <c r="H431" s="397">
        <v>103</v>
      </c>
      <c r="I431" s="394" t="s">
        <v>2703</v>
      </c>
      <c r="J431" s="394">
        <f t="shared" si="33"/>
        <v>105.5</v>
      </c>
      <c r="K431" s="394">
        <f t="shared" si="34"/>
        <v>373</v>
      </c>
      <c r="L431" s="265" t="s">
        <v>2703</v>
      </c>
      <c r="N431" s="265">
        <v>80</v>
      </c>
      <c r="O431" s="268">
        <v>103</v>
      </c>
      <c r="P431" s="265" t="s">
        <v>2703</v>
      </c>
      <c r="S431" s="261" t="s">
        <v>2073</v>
      </c>
      <c r="T431" s="262" t="s">
        <v>2709</v>
      </c>
      <c r="U431" s="385"/>
      <c r="V431" s="218"/>
    </row>
    <row r="432" spans="1:22">
      <c r="A432" s="277">
        <v>12</v>
      </c>
      <c r="B432" s="272" t="s">
        <v>2718</v>
      </c>
      <c r="C432" s="394">
        <v>103</v>
      </c>
      <c r="F432" s="394" t="s">
        <v>2703</v>
      </c>
      <c r="G432" s="394">
        <v>80</v>
      </c>
      <c r="H432" s="397">
        <v>103</v>
      </c>
      <c r="I432" s="394" t="s">
        <v>2703</v>
      </c>
      <c r="J432" s="394">
        <f t="shared" si="33"/>
        <v>105.5</v>
      </c>
      <c r="K432" s="394">
        <f>K431</f>
        <v>373</v>
      </c>
      <c r="L432" s="265" t="s">
        <v>2703</v>
      </c>
      <c r="N432" s="265">
        <v>80</v>
      </c>
      <c r="O432" s="268">
        <v>103</v>
      </c>
      <c r="P432" s="265" t="s">
        <v>2703</v>
      </c>
      <c r="S432" s="261" t="s">
        <v>2073</v>
      </c>
      <c r="T432" s="262" t="s">
        <v>2709</v>
      </c>
      <c r="U432" s="385"/>
      <c r="V432" s="218"/>
    </row>
    <row r="433" spans="1:22">
      <c r="A433" s="277">
        <v>13</v>
      </c>
      <c r="B433" s="272" t="s">
        <v>2719</v>
      </c>
      <c r="C433" s="394">
        <v>103</v>
      </c>
      <c r="F433" s="394" t="s">
        <v>2703</v>
      </c>
      <c r="G433" s="394">
        <v>80</v>
      </c>
      <c r="H433" s="397">
        <v>103</v>
      </c>
      <c r="I433" s="394" t="s">
        <v>2703</v>
      </c>
      <c r="J433" s="394">
        <f t="shared" si="33"/>
        <v>105.5</v>
      </c>
      <c r="K433" s="394">
        <f t="shared" si="34"/>
        <v>373</v>
      </c>
      <c r="L433" s="265" t="s">
        <v>2703</v>
      </c>
      <c r="N433" s="265">
        <v>80</v>
      </c>
      <c r="O433" s="268">
        <v>103</v>
      </c>
      <c r="P433" s="265" t="s">
        <v>2703</v>
      </c>
      <c r="S433" s="261" t="s">
        <v>2073</v>
      </c>
      <c r="T433" s="262" t="s">
        <v>2709</v>
      </c>
      <c r="U433" s="385"/>
      <c r="V433" s="218"/>
    </row>
    <row r="434" spans="1:22">
      <c r="A434" s="277">
        <v>14</v>
      </c>
      <c r="B434" s="272" t="s">
        <v>2720</v>
      </c>
      <c r="C434" s="394">
        <v>103</v>
      </c>
      <c r="F434" s="394" t="s">
        <v>2703</v>
      </c>
      <c r="G434" s="394">
        <v>80</v>
      </c>
      <c r="H434" s="397">
        <v>103</v>
      </c>
      <c r="I434" s="394" t="s">
        <v>2703</v>
      </c>
      <c r="J434" s="394">
        <f t="shared" si="33"/>
        <v>105.5</v>
      </c>
      <c r="K434" s="394">
        <f t="shared" si="34"/>
        <v>373</v>
      </c>
      <c r="L434" s="265" t="s">
        <v>2703</v>
      </c>
      <c r="N434" s="265">
        <v>80</v>
      </c>
      <c r="O434" s="268">
        <v>103</v>
      </c>
      <c r="P434" s="265" t="s">
        <v>2703</v>
      </c>
      <c r="S434" s="261" t="s">
        <v>2073</v>
      </c>
      <c r="T434" s="262" t="s">
        <v>2709</v>
      </c>
      <c r="U434" s="385"/>
      <c r="V434" s="218"/>
    </row>
    <row r="435" spans="1:22">
      <c r="A435" s="277">
        <v>15</v>
      </c>
      <c r="B435" s="272" t="s">
        <v>2721</v>
      </c>
      <c r="C435" s="394">
        <v>103</v>
      </c>
      <c r="F435" s="394" t="s">
        <v>2703</v>
      </c>
      <c r="G435" s="394">
        <v>80</v>
      </c>
      <c r="H435" s="397">
        <v>103</v>
      </c>
      <c r="I435" s="394" t="s">
        <v>2703</v>
      </c>
      <c r="J435" s="394">
        <f t="shared" si="33"/>
        <v>105.5</v>
      </c>
      <c r="K435" s="394">
        <f t="shared" si="34"/>
        <v>373</v>
      </c>
      <c r="L435" s="265" t="s">
        <v>2703</v>
      </c>
      <c r="N435" s="265">
        <v>80</v>
      </c>
      <c r="O435" s="268">
        <v>103</v>
      </c>
      <c r="P435" s="265" t="s">
        <v>2703</v>
      </c>
      <c r="S435" s="261" t="s">
        <v>2073</v>
      </c>
      <c r="T435" s="262" t="s">
        <v>2709</v>
      </c>
      <c r="U435" s="385"/>
      <c r="V435" s="218"/>
    </row>
    <row r="436" spans="1:22">
      <c r="A436" s="277">
        <v>16</v>
      </c>
      <c r="B436" s="272" t="s">
        <v>2722</v>
      </c>
      <c r="C436" s="394">
        <v>103</v>
      </c>
      <c r="F436" s="394" t="s">
        <v>2703</v>
      </c>
      <c r="G436" s="394">
        <v>80</v>
      </c>
      <c r="H436" s="397">
        <v>103</v>
      </c>
      <c r="I436" s="394" t="s">
        <v>2703</v>
      </c>
      <c r="J436" s="394">
        <f t="shared" si="33"/>
        <v>105.5</v>
      </c>
      <c r="K436" s="394">
        <f t="shared" si="34"/>
        <v>373</v>
      </c>
      <c r="L436" s="265" t="s">
        <v>2703</v>
      </c>
      <c r="N436" s="265">
        <v>80</v>
      </c>
      <c r="O436" s="268">
        <v>103</v>
      </c>
      <c r="P436" s="265" t="s">
        <v>2703</v>
      </c>
      <c r="S436" s="261" t="s">
        <v>2073</v>
      </c>
      <c r="T436" s="262" t="s">
        <v>2709</v>
      </c>
      <c r="U436" s="385"/>
      <c r="V436" s="218"/>
    </row>
    <row r="437" spans="1:22">
      <c r="A437" s="277">
        <v>17</v>
      </c>
      <c r="B437" s="272" t="s">
        <v>2723</v>
      </c>
      <c r="C437" s="394">
        <v>103</v>
      </c>
      <c r="F437" s="394" t="s">
        <v>2703</v>
      </c>
      <c r="G437" s="394">
        <v>80</v>
      </c>
      <c r="H437" s="397">
        <v>103</v>
      </c>
      <c r="I437" s="394" t="s">
        <v>2703</v>
      </c>
      <c r="J437" s="394">
        <f t="shared" si="33"/>
        <v>105.5</v>
      </c>
      <c r="K437" s="394">
        <f t="shared" si="34"/>
        <v>373</v>
      </c>
      <c r="L437" s="265" t="s">
        <v>2703</v>
      </c>
      <c r="N437" s="265">
        <v>80</v>
      </c>
      <c r="O437" s="268">
        <v>103</v>
      </c>
      <c r="P437" s="265" t="s">
        <v>2703</v>
      </c>
      <c r="S437" s="261" t="s">
        <v>2073</v>
      </c>
      <c r="T437" s="262" t="s">
        <v>2709</v>
      </c>
      <c r="U437" s="385"/>
      <c r="V437" s="218"/>
    </row>
    <row r="438" spans="1:22">
      <c r="A438" s="277">
        <v>18</v>
      </c>
      <c r="B438" s="272" t="s">
        <v>2724</v>
      </c>
      <c r="C438" s="394">
        <v>103</v>
      </c>
      <c r="F438" s="394" t="s">
        <v>2703</v>
      </c>
      <c r="G438" s="394">
        <v>80</v>
      </c>
      <c r="H438" s="397">
        <v>103</v>
      </c>
      <c r="I438" s="394" t="s">
        <v>2703</v>
      </c>
      <c r="J438" s="394">
        <f t="shared" si="33"/>
        <v>105.5</v>
      </c>
      <c r="K438" s="394">
        <f t="shared" si="34"/>
        <v>373</v>
      </c>
      <c r="L438" s="265" t="s">
        <v>2703</v>
      </c>
      <c r="N438" s="265">
        <v>80</v>
      </c>
      <c r="O438" s="268">
        <v>103</v>
      </c>
      <c r="P438" s="265" t="s">
        <v>2703</v>
      </c>
      <c r="S438" s="261" t="s">
        <v>2073</v>
      </c>
      <c r="T438" s="262" t="s">
        <v>2709</v>
      </c>
      <c r="U438" s="385"/>
      <c r="V438" s="218"/>
    </row>
    <row r="439" spans="1:22">
      <c r="A439" s="277">
        <v>19</v>
      </c>
      <c r="B439" s="272" t="s">
        <v>2725</v>
      </c>
      <c r="C439" s="394">
        <v>103</v>
      </c>
      <c r="F439" s="394" t="s">
        <v>2703</v>
      </c>
      <c r="G439" s="394">
        <v>80</v>
      </c>
      <c r="H439" s="397">
        <v>103</v>
      </c>
      <c r="I439" s="394" t="s">
        <v>2703</v>
      </c>
      <c r="J439" s="394">
        <f t="shared" si="33"/>
        <v>105.5</v>
      </c>
      <c r="K439" s="394">
        <f t="shared" si="34"/>
        <v>373</v>
      </c>
      <c r="L439" s="265" t="s">
        <v>2703</v>
      </c>
      <c r="N439" s="265">
        <v>80</v>
      </c>
      <c r="O439" s="268">
        <v>103</v>
      </c>
      <c r="P439" s="265" t="s">
        <v>2703</v>
      </c>
      <c r="S439" s="261" t="s">
        <v>2073</v>
      </c>
      <c r="T439" s="262" t="s">
        <v>2709</v>
      </c>
      <c r="U439" s="385"/>
      <c r="V439" s="218"/>
    </row>
    <row r="440" spans="1:22" ht="18.75" customHeight="1">
      <c r="A440" s="2702" t="s">
        <v>2726</v>
      </c>
      <c r="B440" s="2703"/>
      <c r="C440" s="394"/>
      <c r="S440" s="261"/>
      <c r="T440" s="262"/>
      <c r="U440" s="385"/>
      <c r="V440" s="218"/>
    </row>
    <row r="441" spans="1:22">
      <c r="A441" s="277">
        <v>1</v>
      </c>
      <c r="B441" s="272" t="s">
        <v>2727</v>
      </c>
      <c r="C441" s="394">
        <v>116</v>
      </c>
      <c r="F441" s="394" t="s">
        <v>2703</v>
      </c>
      <c r="G441" s="394">
        <v>90</v>
      </c>
      <c r="H441" s="397">
        <v>116</v>
      </c>
      <c r="I441" s="394" t="s">
        <v>2703</v>
      </c>
      <c r="J441" s="394">
        <f t="shared" si="33"/>
        <v>118.5</v>
      </c>
      <c r="K441" s="394">
        <v>423</v>
      </c>
      <c r="L441" s="265" t="s">
        <v>2703</v>
      </c>
      <c r="M441" s="292">
        <v>116</v>
      </c>
      <c r="N441" s="265">
        <v>90</v>
      </c>
      <c r="O441" s="268">
        <v>116</v>
      </c>
      <c r="P441" s="265" t="s">
        <v>2703</v>
      </c>
      <c r="S441" s="261" t="s">
        <v>2073</v>
      </c>
      <c r="T441" s="262" t="s">
        <v>2728</v>
      </c>
      <c r="U441" s="385"/>
      <c r="V441" s="218"/>
    </row>
    <row r="442" spans="1:22">
      <c r="A442" s="277">
        <v>2</v>
      </c>
      <c r="B442" s="272" t="s">
        <v>2729</v>
      </c>
      <c r="C442" s="394">
        <v>116</v>
      </c>
      <c r="F442" s="394" t="s">
        <v>2703</v>
      </c>
      <c r="G442" s="394">
        <v>90</v>
      </c>
      <c r="H442" s="397">
        <v>116</v>
      </c>
      <c r="I442" s="394" t="s">
        <v>2703</v>
      </c>
      <c r="J442" s="394">
        <f t="shared" si="33"/>
        <v>118.5</v>
      </c>
      <c r="K442" s="394">
        <f>K441</f>
        <v>423</v>
      </c>
      <c r="L442" s="265" t="s">
        <v>2703</v>
      </c>
      <c r="N442" s="265">
        <v>90</v>
      </c>
      <c r="O442" s="268">
        <v>116</v>
      </c>
      <c r="P442" s="265" t="s">
        <v>2703</v>
      </c>
      <c r="S442" s="261" t="s">
        <v>2073</v>
      </c>
      <c r="T442" s="262" t="s">
        <v>2728</v>
      </c>
      <c r="U442" s="385"/>
      <c r="V442" s="218"/>
    </row>
    <row r="443" spans="1:22">
      <c r="A443" s="277">
        <v>3</v>
      </c>
      <c r="B443" s="272" t="s">
        <v>2730</v>
      </c>
      <c r="C443" s="394">
        <v>116</v>
      </c>
      <c r="F443" s="394" t="s">
        <v>2703</v>
      </c>
      <c r="G443" s="394">
        <v>90</v>
      </c>
      <c r="H443" s="397">
        <v>116</v>
      </c>
      <c r="I443" s="394" t="s">
        <v>2703</v>
      </c>
      <c r="J443" s="394">
        <f t="shared" si="33"/>
        <v>118.5</v>
      </c>
      <c r="K443" s="394">
        <f t="shared" ref="K443:K458" si="35">K442</f>
        <v>423</v>
      </c>
      <c r="L443" s="265" t="s">
        <v>2703</v>
      </c>
      <c r="N443" s="265">
        <v>90</v>
      </c>
      <c r="O443" s="268">
        <v>116</v>
      </c>
      <c r="P443" s="265" t="s">
        <v>2703</v>
      </c>
      <c r="S443" s="261" t="s">
        <v>2073</v>
      </c>
      <c r="T443" s="262" t="s">
        <v>2728</v>
      </c>
      <c r="U443" s="385"/>
      <c r="V443" s="218"/>
    </row>
    <row r="444" spans="1:22">
      <c r="A444" s="277">
        <v>4</v>
      </c>
      <c r="B444" s="272" t="s">
        <v>2731</v>
      </c>
      <c r="C444" s="394">
        <v>116</v>
      </c>
      <c r="F444" s="394" t="s">
        <v>2703</v>
      </c>
      <c r="G444" s="394">
        <v>90</v>
      </c>
      <c r="H444" s="397">
        <v>116</v>
      </c>
      <c r="I444" s="394" t="s">
        <v>2703</v>
      </c>
      <c r="J444" s="394">
        <f t="shared" si="33"/>
        <v>118.5</v>
      </c>
      <c r="K444" s="394">
        <f t="shared" si="35"/>
        <v>423</v>
      </c>
      <c r="L444" s="265" t="s">
        <v>2703</v>
      </c>
      <c r="N444" s="265">
        <v>90</v>
      </c>
      <c r="O444" s="268">
        <v>116</v>
      </c>
      <c r="P444" s="265" t="s">
        <v>2703</v>
      </c>
      <c r="S444" s="261" t="s">
        <v>2073</v>
      </c>
      <c r="T444" s="262" t="s">
        <v>2728</v>
      </c>
      <c r="U444" s="385"/>
      <c r="V444" s="218"/>
    </row>
    <row r="445" spans="1:22">
      <c r="A445" s="277">
        <v>5</v>
      </c>
      <c r="B445" s="272" t="s">
        <v>2732</v>
      </c>
      <c r="C445" s="394">
        <v>116</v>
      </c>
      <c r="F445" s="394" t="s">
        <v>2703</v>
      </c>
      <c r="G445" s="394">
        <v>90</v>
      </c>
      <c r="H445" s="397">
        <v>116</v>
      </c>
      <c r="I445" s="394" t="s">
        <v>2703</v>
      </c>
      <c r="J445" s="394">
        <f t="shared" si="33"/>
        <v>118.5</v>
      </c>
      <c r="K445" s="394">
        <f t="shared" si="35"/>
        <v>423</v>
      </c>
      <c r="L445" s="265" t="s">
        <v>2703</v>
      </c>
      <c r="N445" s="265">
        <v>90</v>
      </c>
      <c r="O445" s="268">
        <v>116</v>
      </c>
      <c r="P445" s="265" t="s">
        <v>2703</v>
      </c>
      <c r="S445" s="261" t="s">
        <v>2073</v>
      </c>
      <c r="T445" s="262" t="s">
        <v>2728</v>
      </c>
      <c r="U445" s="385"/>
      <c r="V445" s="218"/>
    </row>
    <row r="446" spans="1:22">
      <c r="A446" s="277">
        <v>6</v>
      </c>
      <c r="B446" s="272" t="s">
        <v>2733</v>
      </c>
      <c r="C446" s="394">
        <v>116</v>
      </c>
      <c r="F446" s="394" t="s">
        <v>2703</v>
      </c>
      <c r="G446" s="394">
        <v>90</v>
      </c>
      <c r="H446" s="397">
        <v>116</v>
      </c>
      <c r="I446" s="394" t="s">
        <v>2703</v>
      </c>
      <c r="J446" s="394">
        <f t="shared" si="33"/>
        <v>118.5</v>
      </c>
      <c r="K446" s="394">
        <f t="shared" si="35"/>
        <v>423</v>
      </c>
      <c r="L446" s="265" t="s">
        <v>2703</v>
      </c>
      <c r="N446" s="265">
        <v>90</v>
      </c>
      <c r="O446" s="268">
        <v>116</v>
      </c>
      <c r="P446" s="265" t="s">
        <v>2703</v>
      </c>
      <c r="S446" s="261" t="s">
        <v>2073</v>
      </c>
      <c r="T446" s="262" t="s">
        <v>2728</v>
      </c>
      <c r="U446" s="385"/>
      <c r="V446" s="218"/>
    </row>
    <row r="447" spans="1:22">
      <c r="A447" s="277">
        <v>7</v>
      </c>
      <c r="B447" s="272" t="s">
        <v>2734</v>
      </c>
      <c r="C447" s="394">
        <v>116</v>
      </c>
      <c r="F447" s="394" t="s">
        <v>2703</v>
      </c>
      <c r="G447" s="394">
        <v>90</v>
      </c>
      <c r="H447" s="397">
        <v>116</v>
      </c>
      <c r="I447" s="394" t="s">
        <v>2703</v>
      </c>
      <c r="J447" s="394">
        <f t="shared" si="33"/>
        <v>118.5</v>
      </c>
      <c r="K447" s="394">
        <f t="shared" si="35"/>
        <v>423</v>
      </c>
      <c r="L447" s="265" t="s">
        <v>2703</v>
      </c>
      <c r="N447" s="265">
        <v>90</v>
      </c>
      <c r="O447" s="268">
        <v>116</v>
      </c>
      <c r="P447" s="265" t="s">
        <v>2703</v>
      </c>
      <c r="S447" s="261" t="s">
        <v>2073</v>
      </c>
      <c r="T447" s="262" t="s">
        <v>2728</v>
      </c>
      <c r="U447" s="385"/>
      <c r="V447" s="218"/>
    </row>
    <row r="448" spans="1:22">
      <c r="A448" s="277">
        <v>8</v>
      </c>
      <c r="B448" s="272" t="s">
        <v>2735</v>
      </c>
      <c r="C448" s="394">
        <v>116</v>
      </c>
      <c r="F448" s="394" t="s">
        <v>2703</v>
      </c>
      <c r="G448" s="394">
        <v>90</v>
      </c>
      <c r="H448" s="397">
        <v>116</v>
      </c>
      <c r="I448" s="394" t="s">
        <v>2703</v>
      </c>
      <c r="J448" s="394">
        <f t="shared" si="33"/>
        <v>118.5</v>
      </c>
      <c r="K448" s="394">
        <f t="shared" si="35"/>
        <v>423</v>
      </c>
      <c r="L448" s="265" t="s">
        <v>2703</v>
      </c>
      <c r="N448" s="265">
        <v>90</v>
      </c>
      <c r="O448" s="268">
        <v>116</v>
      </c>
      <c r="P448" s="265" t="s">
        <v>2703</v>
      </c>
      <c r="S448" s="261" t="s">
        <v>2073</v>
      </c>
      <c r="T448" s="262" t="s">
        <v>2728</v>
      </c>
      <c r="U448" s="385"/>
      <c r="V448" s="218"/>
    </row>
    <row r="449" spans="1:22">
      <c r="A449" s="277">
        <v>9</v>
      </c>
      <c r="B449" s="272" t="s">
        <v>2736</v>
      </c>
      <c r="C449" s="394">
        <v>116</v>
      </c>
      <c r="F449" s="394" t="s">
        <v>2703</v>
      </c>
      <c r="G449" s="394">
        <v>90</v>
      </c>
      <c r="H449" s="397">
        <v>116</v>
      </c>
      <c r="I449" s="394" t="s">
        <v>2703</v>
      </c>
      <c r="J449" s="394">
        <f t="shared" si="33"/>
        <v>118.5</v>
      </c>
      <c r="K449" s="394">
        <f t="shared" si="35"/>
        <v>423</v>
      </c>
      <c r="L449" s="265" t="s">
        <v>2703</v>
      </c>
      <c r="N449" s="265">
        <v>90</v>
      </c>
      <c r="O449" s="268">
        <v>116</v>
      </c>
      <c r="P449" s="265" t="s">
        <v>2703</v>
      </c>
      <c r="S449" s="261" t="s">
        <v>2073</v>
      </c>
      <c r="T449" s="262" t="s">
        <v>2728</v>
      </c>
      <c r="U449" s="385"/>
      <c r="V449" s="218"/>
    </row>
    <row r="450" spans="1:22">
      <c r="A450" s="277">
        <v>10</v>
      </c>
      <c r="B450" s="272" t="s">
        <v>2737</v>
      </c>
      <c r="C450" s="394">
        <v>116</v>
      </c>
      <c r="F450" s="394" t="s">
        <v>2703</v>
      </c>
      <c r="G450" s="394">
        <v>90</v>
      </c>
      <c r="H450" s="397">
        <v>116</v>
      </c>
      <c r="I450" s="394" t="s">
        <v>2703</v>
      </c>
      <c r="J450" s="394">
        <f t="shared" si="33"/>
        <v>118.5</v>
      </c>
      <c r="K450" s="394">
        <f t="shared" si="35"/>
        <v>423</v>
      </c>
      <c r="L450" s="265" t="s">
        <v>2703</v>
      </c>
      <c r="N450" s="265">
        <v>90</v>
      </c>
      <c r="O450" s="268">
        <v>116</v>
      </c>
      <c r="P450" s="265" t="s">
        <v>2703</v>
      </c>
      <c r="S450" s="261" t="s">
        <v>2073</v>
      </c>
      <c r="T450" s="262" t="s">
        <v>2728</v>
      </c>
      <c r="U450" s="385"/>
      <c r="V450" s="218"/>
    </row>
    <row r="451" spans="1:22">
      <c r="A451" s="277">
        <v>11</v>
      </c>
      <c r="B451" s="272" t="s">
        <v>2738</v>
      </c>
      <c r="C451" s="394">
        <v>116</v>
      </c>
      <c r="F451" s="394" t="s">
        <v>2703</v>
      </c>
      <c r="G451" s="394">
        <v>90</v>
      </c>
      <c r="H451" s="397">
        <v>116</v>
      </c>
      <c r="I451" s="394" t="s">
        <v>2703</v>
      </c>
      <c r="J451" s="394">
        <f t="shared" si="33"/>
        <v>118.5</v>
      </c>
      <c r="K451" s="394">
        <f t="shared" si="35"/>
        <v>423</v>
      </c>
      <c r="L451" s="265" t="s">
        <v>2703</v>
      </c>
      <c r="N451" s="265">
        <v>90</v>
      </c>
      <c r="O451" s="268">
        <v>116</v>
      </c>
      <c r="P451" s="265" t="s">
        <v>2703</v>
      </c>
      <c r="S451" s="261" t="s">
        <v>2073</v>
      </c>
      <c r="T451" s="262" t="s">
        <v>2728</v>
      </c>
      <c r="U451" s="385"/>
      <c r="V451" s="218"/>
    </row>
    <row r="452" spans="1:22" ht="37.5">
      <c r="A452" s="263">
        <v>12</v>
      </c>
      <c r="B452" s="273" t="s">
        <v>2739</v>
      </c>
      <c r="C452" s="394">
        <v>116</v>
      </c>
      <c r="F452" s="394" t="s">
        <v>2703</v>
      </c>
      <c r="G452" s="394">
        <v>90</v>
      </c>
      <c r="H452" s="397">
        <v>116</v>
      </c>
      <c r="I452" s="394" t="s">
        <v>2703</v>
      </c>
      <c r="J452" s="394">
        <f t="shared" si="33"/>
        <v>118.5</v>
      </c>
      <c r="K452" s="394">
        <f t="shared" si="35"/>
        <v>423</v>
      </c>
      <c r="L452" s="265" t="s">
        <v>2703</v>
      </c>
      <c r="N452" s="265">
        <v>90</v>
      </c>
      <c r="O452" s="268">
        <v>116</v>
      </c>
      <c r="P452" s="265" t="s">
        <v>2703</v>
      </c>
      <c r="S452" s="261" t="s">
        <v>2073</v>
      </c>
      <c r="T452" s="262" t="s">
        <v>2728</v>
      </c>
      <c r="U452" s="385"/>
      <c r="V452" s="218"/>
    </row>
    <row r="453" spans="1:22">
      <c r="A453" s="263">
        <v>13</v>
      </c>
      <c r="B453" s="273" t="s">
        <v>2740</v>
      </c>
      <c r="C453" s="394">
        <v>116</v>
      </c>
      <c r="F453" s="394" t="s">
        <v>2703</v>
      </c>
      <c r="G453" s="394">
        <v>90</v>
      </c>
      <c r="H453" s="397">
        <v>116</v>
      </c>
      <c r="I453" s="394" t="s">
        <v>2703</v>
      </c>
      <c r="J453" s="394">
        <f t="shared" si="33"/>
        <v>118.5</v>
      </c>
      <c r="K453" s="394">
        <f t="shared" si="35"/>
        <v>423</v>
      </c>
      <c r="L453" s="265" t="s">
        <v>2703</v>
      </c>
      <c r="N453" s="265">
        <v>90</v>
      </c>
      <c r="O453" s="268">
        <v>116</v>
      </c>
      <c r="P453" s="265" t="s">
        <v>2703</v>
      </c>
      <c r="S453" s="261" t="s">
        <v>2073</v>
      </c>
      <c r="T453" s="262" t="s">
        <v>2728</v>
      </c>
      <c r="U453" s="385"/>
      <c r="V453" s="218"/>
    </row>
    <row r="454" spans="1:22" ht="37.5">
      <c r="A454" s="263">
        <v>14</v>
      </c>
      <c r="B454" s="273" t="s">
        <v>2741</v>
      </c>
      <c r="C454" s="394">
        <v>116</v>
      </c>
      <c r="F454" s="394" t="s">
        <v>2703</v>
      </c>
      <c r="G454" s="394">
        <v>90</v>
      </c>
      <c r="H454" s="397">
        <v>116</v>
      </c>
      <c r="I454" s="394" t="s">
        <v>2703</v>
      </c>
      <c r="J454" s="394">
        <f t="shared" si="33"/>
        <v>118.5</v>
      </c>
      <c r="K454" s="394">
        <f t="shared" si="35"/>
        <v>423</v>
      </c>
      <c r="L454" s="265" t="s">
        <v>2703</v>
      </c>
      <c r="N454" s="265">
        <v>90</v>
      </c>
      <c r="O454" s="268">
        <v>116</v>
      </c>
      <c r="P454" s="265" t="s">
        <v>2703</v>
      </c>
      <c r="S454" s="261" t="s">
        <v>2073</v>
      </c>
      <c r="T454" s="262" t="s">
        <v>2728</v>
      </c>
      <c r="U454" s="385"/>
      <c r="V454" s="218"/>
    </row>
    <row r="455" spans="1:22">
      <c r="A455" s="263">
        <v>15</v>
      </c>
      <c r="B455" s="272" t="s">
        <v>2742</v>
      </c>
      <c r="C455" s="394">
        <v>116</v>
      </c>
      <c r="F455" s="394" t="s">
        <v>2703</v>
      </c>
      <c r="G455" s="394">
        <v>90</v>
      </c>
      <c r="H455" s="397">
        <v>116</v>
      </c>
      <c r="I455" s="394" t="s">
        <v>2703</v>
      </c>
      <c r="J455" s="394">
        <f t="shared" si="33"/>
        <v>118.5</v>
      </c>
      <c r="K455" s="394">
        <f t="shared" si="35"/>
        <v>423</v>
      </c>
      <c r="L455" s="265" t="s">
        <v>2703</v>
      </c>
      <c r="N455" s="265">
        <v>90</v>
      </c>
      <c r="O455" s="268">
        <v>116</v>
      </c>
      <c r="P455" s="265" t="s">
        <v>2703</v>
      </c>
      <c r="S455" s="261" t="s">
        <v>2073</v>
      </c>
      <c r="T455" s="262" t="s">
        <v>2728</v>
      </c>
      <c r="U455" s="385"/>
      <c r="V455" s="218"/>
    </row>
    <row r="456" spans="1:22">
      <c r="A456" s="263">
        <v>16</v>
      </c>
      <c r="B456" s="272" t="s">
        <v>2743</v>
      </c>
      <c r="C456" s="394">
        <v>116</v>
      </c>
      <c r="F456" s="394" t="s">
        <v>2703</v>
      </c>
      <c r="G456" s="394">
        <v>90</v>
      </c>
      <c r="H456" s="397">
        <v>116</v>
      </c>
      <c r="I456" s="394" t="s">
        <v>2703</v>
      </c>
      <c r="J456" s="394">
        <f t="shared" si="33"/>
        <v>118.5</v>
      </c>
      <c r="K456" s="394">
        <f t="shared" si="35"/>
        <v>423</v>
      </c>
      <c r="L456" s="265" t="s">
        <v>2703</v>
      </c>
      <c r="N456" s="265">
        <v>90</v>
      </c>
      <c r="O456" s="268">
        <v>116</v>
      </c>
      <c r="P456" s="265" t="s">
        <v>2703</v>
      </c>
      <c r="S456" s="261" t="s">
        <v>2073</v>
      </c>
      <c r="T456" s="262" t="s">
        <v>2728</v>
      </c>
      <c r="U456" s="385"/>
      <c r="V456" s="218"/>
    </row>
    <row r="457" spans="1:22">
      <c r="A457" s="263">
        <v>17</v>
      </c>
      <c r="B457" s="272" t="s">
        <v>2744</v>
      </c>
      <c r="C457" s="394">
        <v>116</v>
      </c>
      <c r="F457" s="394" t="s">
        <v>2703</v>
      </c>
      <c r="G457" s="394">
        <v>90</v>
      </c>
      <c r="H457" s="397">
        <v>116</v>
      </c>
      <c r="I457" s="394" t="s">
        <v>2703</v>
      </c>
      <c r="J457" s="394">
        <f t="shared" si="33"/>
        <v>118.5</v>
      </c>
      <c r="K457" s="394">
        <f t="shared" si="35"/>
        <v>423</v>
      </c>
      <c r="L457" s="265" t="s">
        <v>2703</v>
      </c>
      <c r="N457" s="265">
        <v>90</v>
      </c>
      <c r="O457" s="268">
        <v>116</v>
      </c>
      <c r="P457" s="265" t="s">
        <v>2703</v>
      </c>
      <c r="S457" s="261" t="s">
        <v>2073</v>
      </c>
      <c r="T457" s="262" t="s">
        <v>2728</v>
      </c>
      <c r="U457" s="385"/>
      <c r="V457" s="218"/>
    </row>
    <row r="458" spans="1:22">
      <c r="A458" s="263">
        <v>18</v>
      </c>
      <c r="B458" s="272" t="s">
        <v>2745</v>
      </c>
      <c r="C458" s="394">
        <v>116</v>
      </c>
      <c r="F458" s="394" t="s">
        <v>2703</v>
      </c>
      <c r="G458" s="394">
        <v>90</v>
      </c>
      <c r="H458" s="397">
        <v>116</v>
      </c>
      <c r="I458" s="394" t="s">
        <v>2703</v>
      </c>
      <c r="J458" s="394">
        <f t="shared" si="33"/>
        <v>118.5</v>
      </c>
      <c r="K458" s="394">
        <f t="shared" si="35"/>
        <v>423</v>
      </c>
      <c r="L458" s="265" t="s">
        <v>2703</v>
      </c>
      <c r="N458" s="265">
        <v>90</v>
      </c>
      <c r="O458" s="268">
        <v>116</v>
      </c>
      <c r="P458" s="265" t="s">
        <v>2703</v>
      </c>
      <c r="S458" s="261" t="s">
        <v>2073</v>
      </c>
      <c r="T458" s="262" t="s">
        <v>2728</v>
      </c>
      <c r="U458" s="385"/>
      <c r="V458" s="218"/>
    </row>
    <row r="459" spans="1:22" ht="42" customHeight="1">
      <c r="A459" s="263">
        <v>19</v>
      </c>
      <c r="B459" s="264" t="s">
        <v>2746</v>
      </c>
      <c r="C459" s="394">
        <v>116</v>
      </c>
      <c r="F459" s="394" t="s">
        <v>2703</v>
      </c>
      <c r="G459" s="394">
        <v>90</v>
      </c>
      <c r="H459" s="397">
        <v>116</v>
      </c>
      <c r="I459" s="394" t="s">
        <v>2703</v>
      </c>
      <c r="J459" s="394">
        <f t="shared" si="33"/>
        <v>118.5</v>
      </c>
      <c r="K459" s="394">
        <f>K458</f>
        <v>423</v>
      </c>
      <c r="L459" s="265" t="s">
        <v>2703</v>
      </c>
      <c r="N459" s="265">
        <v>90</v>
      </c>
      <c r="O459" s="268">
        <v>116</v>
      </c>
      <c r="P459" s="265" t="s">
        <v>2703</v>
      </c>
      <c r="S459" s="261" t="s">
        <v>2073</v>
      </c>
      <c r="T459" s="262" t="s">
        <v>2728</v>
      </c>
      <c r="U459" s="385"/>
      <c r="V459" s="218"/>
    </row>
    <row r="460" spans="1:22">
      <c r="A460" s="2702" t="s">
        <v>2747</v>
      </c>
      <c r="B460" s="2703"/>
      <c r="C460" s="394"/>
      <c r="S460" s="261"/>
      <c r="T460" s="262"/>
      <c r="U460" s="385"/>
      <c r="V460" s="218"/>
    </row>
    <row r="461" spans="1:22">
      <c r="A461" s="263">
        <v>1</v>
      </c>
      <c r="B461" s="272" t="s">
        <v>2748</v>
      </c>
      <c r="C461" s="394">
        <v>129</v>
      </c>
      <c r="F461" s="394" t="s">
        <v>2703</v>
      </c>
      <c r="G461" s="394">
        <v>100</v>
      </c>
      <c r="H461" s="397">
        <v>129</v>
      </c>
      <c r="I461" s="394" t="s">
        <v>2703</v>
      </c>
      <c r="J461" s="394">
        <f t="shared" si="33"/>
        <v>131.5</v>
      </c>
      <c r="K461" s="394">
        <v>483</v>
      </c>
      <c r="L461" s="265" t="s">
        <v>2703</v>
      </c>
      <c r="M461" s="292">
        <v>129</v>
      </c>
      <c r="N461" s="265">
        <v>100</v>
      </c>
      <c r="O461" s="268">
        <v>129</v>
      </c>
      <c r="P461" s="265" t="s">
        <v>2703</v>
      </c>
      <c r="S461" s="261" t="s">
        <v>2073</v>
      </c>
      <c r="T461" s="262" t="s">
        <v>2749</v>
      </c>
      <c r="U461" s="385"/>
      <c r="V461" s="218"/>
    </row>
    <row r="462" spans="1:22">
      <c r="A462" s="263">
        <v>2</v>
      </c>
      <c r="B462" s="272" t="s">
        <v>2750</v>
      </c>
      <c r="C462" s="394">
        <v>129</v>
      </c>
      <c r="F462" s="394" t="s">
        <v>2703</v>
      </c>
      <c r="G462" s="394">
        <v>100</v>
      </c>
      <c r="H462" s="397">
        <v>129</v>
      </c>
      <c r="I462" s="394" t="s">
        <v>2703</v>
      </c>
      <c r="J462" s="394">
        <f t="shared" si="33"/>
        <v>131.5</v>
      </c>
      <c r="K462" s="394">
        <f>K461</f>
        <v>483</v>
      </c>
      <c r="L462" s="265" t="s">
        <v>2703</v>
      </c>
      <c r="N462" s="265">
        <v>100</v>
      </c>
      <c r="O462" s="268">
        <v>129</v>
      </c>
      <c r="P462" s="265" t="s">
        <v>2703</v>
      </c>
      <c r="S462" s="261" t="s">
        <v>2073</v>
      </c>
      <c r="T462" s="262" t="s">
        <v>2749</v>
      </c>
      <c r="U462" s="385"/>
      <c r="V462" s="218"/>
    </row>
    <row r="463" spans="1:22">
      <c r="A463" s="263">
        <v>3</v>
      </c>
      <c r="B463" s="272" t="s">
        <v>2751</v>
      </c>
      <c r="C463" s="394">
        <v>129</v>
      </c>
      <c r="F463" s="394" t="s">
        <v>2703</v>
      </c>
      <c r="G463" s="394">
        <v>100</v>
      </c>
      <c r="H463" s="397">
        <v>129</v>
      </c>
      <c r="I463" s="394" t="s">
        <v>2703</v>
      </c>
      <c r="J463" s="394">
        <f t="shared" si="33"/>
        <v>131.5</v>
      </c>
      <c r="K463" s="394">
        <f t="shared" ref="K463:K482" si="36">K462</f>
        <v>483</v>
      </c>
      <c r="L463" s="265" t="s">
        <v>2703</v>
      </c>
      <c r="N463" s="265">
        <v>100</v>
      </c>
      <c r="O463" s="268">
        <v>129</v>
      </c>
      <c r="P463" s="265" t="s">
        <v>2703</v>
      </c>
      <c r="S463" s="261" t="s">
        <v>2073</v>
      </c>
      <c r="T463" s="262" t="s">
        <v>2749</v>
      </c>
      <c r="U463" s="385"/>
      <c r="V463" s="218"/>
    </row>
    <row r="464" spans="1:22">
      <c r="A464" s="263">
        <v>4</v>
      </c>
      <c r="B464" s="272" t="s">
        <v>2752</v>
      </c>
      <c r="C464" s="394">
        <v>129</v>
      </c>
      <c r="F464" s="394" t="s">
        <v>2703</v>
      </c>
      <c r="G464" s="394">
        <v>100</v>
      </c>
      <c r="H464" s="397">
        <v>129</v>
      </c>
      <c r="I464" s="394" t="s">
        <v>2703</v>
      </c>
      <c r="J464" s="394">
        <f t="shared" si="33"/>
        <v>131.5</v>
      </c>
      <c r="K464" s="394">
        <f t="shared" si="36"/>
        <v>483</v>
      </c>
      <c r="L464" s="265" t="s">
        <v>2703</v>
      </c>
      <c r="N464" s="265">
        <v>100</v>
      </c>
      <c r="O464" s="268">
        <v>129</v>
      </c>
      <c r="P464" s="265" t="s">
        <v>2703</v>
      </c>
      <c r="S464" s="261" t="s">
        <v>2073</v>
      </c>
      <c r="T464" s="262" t="s">
        <v>2749</v>
      </c>
      <c r="U464" s="385"/>
      <c r="V464" s="218"/>
    </row>
    <row r="465" spans="1:22">
      <c r="A465" s="263">
        <v>5</v>
      </c>
      <c r="B465" s="272" t="s">
        <v>2753</v>
      </c>
      <c r="C465" s="394">
        <v>129</v>
      </c>
      <c r="F465" s="394" t="s">
        <v>2703</v>
      </c>
      <c r="G465" s="394">
        <v>100</v>
      </c>
      <c r="H465" s="397">
        <v>129</v>
      </c>
      <c r="I465" s="394" t="s">
        <v>2703</v>
      </c>
      <c r="J465" s="394">
        <f t="shared" si="33"/>
        <v>131.5</v>
      </c>
      <c r="K465" s="394">
        <f t="shared" si="36"/>
        <v>483</v>
      </c>
      <c r="L465" s="265" t="s">
        <v>2703</v>
      </c>
      <c r="N465" s="265">
        <v>100</v>
      </c>
      <c r="O465" s="268">
        <v>129</v>
      </c>
      <c r="P465" s="265" t="s">
        <v>2703</v>
      </c>
      <c r="S465" s="261" t="s">
        <v>2073</v>
      </c>
      <c r="T465" s="262" t="s">
        <v>2749</v>
      </c>
      <c r="U465" s="385"/>
      <c r="V465" s="218"/>
    </row>
    <row r="466" spans="1:22">
      <c r="A466" s="263">
        <v>6</v>
      </c>
      <c r="B466" s="272" t="s">
        <v>2754</v>
      </c>
      <c r="C466" s="394">
        <v>129</v>
      </c>
      <c r="F466" s="394" t="s">
        <v>2703</v>
      </c>
      <c r="G466" s="394">
        <v>100</v>
      </c>
      <c r="H466" s="397">
        <v>129</v>
      </c>
      <c r="I466" s="394" t="s">
        <v>2703</v>
      </c>
      <c r="J466" s="394">
        <f t="shared" si="33"/>
        <v>131.5</v>
      </c>
      <c r="K466" s="394">
        <f t="shared" si="36"/>
        <v>483</v>
      </c>
      <c r="L466" s="265" t="s">
        <v>2703</v>
      </c>
      <c r="N466" s="265">
        <v>100</v>
      </c>
      <c r="O466" s="268">
        <v>129</v>
      </c>
      <c r="P466" s="265" t="s">
        <v>2703</v>
      </c>
      <c r="S466" s="261" t="s">
        <v>2073</v>
      </c>
      <c r="T466" s="262" t="s">
        <v>2749</v>
      </c>
      <c r="U466" s="385"/>
      <c r="V466" s="218"/>
    </row>
    <row r="467" spans="1:22">
      <c r="A467" s="263">
        <v>7</v>
      </c>
      <c r="B467" s="272" t="s">
        <v>2755</v>
      </c>
      <c r="C467" s="394">
        <v>129</v>
      </c>
      <c r="F467" s="394" t="s">
        <v>2703</v>
      </c>
      <c r="G467" s="394">
        <v>100</v>
      </c>
      <c r="H467" s="397">
        <v>129</v>
      </c>
      <c r="I467" s="394" t="s">
        <v>2703</v>
      </c>
      <c r="J467" s="394">
        <f t="shared" si="33"/>
        <v>131.5</v>
      </c>
      <c r="K467" s="394">
        <f t="shared" si="36"/>
        <v>483</v>
      </c>
      <c r="L467" s="265" t="s">
        <v>2703</v>
      </c>
      <c r="N467" s="265">
        <v>100</v>
      </c>
      <c r="O467" s="268">
        <v>129</v>
      </c>
      <c r="P467" s="265" t="s">
        <v>2703</v>
      </c>
      <c r="S467" s="261" t="s">
        <v>2073</v>
      </c>
      <c r="T467" s="262" t="s">
        <v>2749</v>
      </c>
      <c r="U467" s="385"/>
      <c r="V467" s="218"/>
    </row>
    <row r="468" spans="1:22">
      <c r="A468" s="263">
        <v>8</v>
      </c>
      <c r="B468" s="272" t="s">
        <v>2756</v>
      </c>
      <c r="C468" s="394">
        <v>129</v>
      </c>
      <c r="F468" s="394" t="s">
        <v>2703</v>
      </c>
      <c r="G468" s="394">
        <v>100</v>
      </c>
      <c r="H468" s="397">
        <v>129</v>
      </c>
      <c r="I468" s="394" t="s">
        <v>2703</v>
      </c>
      <c r="J468" s="394">
        <f t="shared" si="33"/>
        <v>131.5</v>
      </c>
      <c r="K468" s="394">
        <f t="shared" si="36"/>
        <v>483</v>
      </c>
      <c r="L468" s="265" t="s">
        <v>2703</v>
      </c>
      <c r="N468" s="265">
        <v>100</v>
      </c>
      <c r="O468" s="268">
        <v>129</v>
      </c>
      <c r="P468" s="265" t="s">
        <v>2703</v>
      </c>
      <c r="S468" s="261" t="s">
        <v>2073</v>
      </c>
      <c r="T468" s="262" t="s">
        <v>2749</v>
      </c>
      <c r="U468" s="385"/>
      <c r="V468" s="218"/>
    </row>
    <row r="469" spans="1:22">
      <c r="A469" s="263">
        <v>9</v>
      </c>
      <c r="B469" s="272" t="s">
        <v>2757</v>
      </c>
      <c r="C469" s="394">
        <v>129</v>
      </c>
      <c r="F469" s="394" t="s">
        <v>2703</v>
      </c>
      <c r="G469" s="394">
        <v>100</v>
      </c>
      <c r="H469" s="397">
        <v>129</v>
      </c>
      <c r="I469" s="394" t="s">
        <v>2703</v>
      </c>
      <c r="J469" s="394">
        <f t="shared" si="33"/>
        <v>131.5</v>
      </c>
      <c r="K469" s="394">
        <f t="shared" si="36"/>
        <v>483</v>
      </c>
      <c r="L469" s="265" t="s">
        <v>2703</v>
      </c>
      <c r="N469" s="265">
        <v>100</v>
      </c>
      <c r="O469" s="268">
        <v>129</v>
      </c>
      <c r="P469" s="265" t="s">
        <v>2703</v>
      </c>
      <c r="S469" s="261" t="s">
        <v>2073</v>
      </c>
      <c r="T469" s="262" t="s">
        <v>2749</v>
      </c>
      <c r="U469" s="385"/>
      <c r="V469" s="218"/>
    </row>
    <row r="470" spans="1:22">
      <c r="A470" s="263">
        <v>10</v>
      </c>
      <c r="B470" s="272" t="s">
        <v>2758</v>
      </c>
      <c r="C470" s="394">
        <v>129</v>
      </c>
      <c r="F470" s="394" t="s">
        <v>2703</v>
      </c>
      <c r="G470" s="394">
        <v>100</v>
      </c>
      <c r="H470" s="397">
        <v>129</v>
      </c>
      <c r="I470" s="394" t="s">
        <v>2703</v>
      </c>
      <c r="J470" s="394">
        <f t="shared" si="33"/>
        <v>131.5</v>
      </c>
      <c r="K470" s="394">
        <f t="shared" si="36"/>
        <v>483</v>
      </c>
      <c r="L470" s="265" t="s">
        <v>2703</v>
      </c>
      <c r="N470" s="265">
        <v>100</v>
      </c>
      <c r="O470" s="268">
        <v>129</v>
      </c>
      <c r="P470" s="265" t="s">
        <v>2703</v>
      </c>
      <c r="S470" s="261" t="s">
        <v>2073</v>
      </c>
      <c r="T470" s="262" t="s">
        <v>2749</v>
      </c>
      <c r="U470" s="385"/>
      <c r="V470" s="218"/>
    </row>
    <row r="471" spans="1:22" ht="37.5">
      <c r="A471" s="263">
        <v>11</v>
      </c>
      <c r="B471" s="273" t="s">
        <v>2759</v>
      </c>
      <c r="C471" s="394">
        <v>129</v>
      </c>
      <c r="F471" s="394" t="s">
        <v>2703</v>
      </c>
      <c r="G471" s="394">
        <v>100</v>
      </c>
      <c r="H471" s="397">
        <v>129</v>
      </c>
      <c r="I471" s="394" t="s">
        <v>2703</v>
      </c>
      <c r="J471" s="394">
        <f t="shared" si="33"/>
        <v>131.5</v>
      </c>
      <c r="K471" s="394">
        <f t="shared" si="36"/>
        <v>483</v>
      </c>
      <c r="L471" s="265" t="s">
        <v>2703</v>
      </c>
      <c r="N471" s="265">
        <v>100</v>
      </c>
      <c r="O471" s="268">
        <v>129</v>
      </c>
      <c r="P471" s="265" t="s">
        <v>2703</v>
      </c>
      <c r="S471" s="261" t="s">
        <v>2073</v>
      </c>
      <c r="T471" s="262" t="s">
        <v>2749</v>
      </c>
      <c r="U471" s="385"/>
      <c r="V471" s="218"/>
    </row>
    <row r="472" spans="1:22" ht="41.25" customHeight="1">
      <c r="A472" s="263">
        <v>12</v>
      </c>
      <c r="B472" s="264" t="s">
        <v>2760</v>
      </c>
      <c r="C472" s="394">
        <v>129</v>
      </c>
      <c r="F472" s="394" t="s">
        <v>2703</v>
      </c>
      <c r="G472" s="394">
        <v>100</v>
      </c>
      <c r="H472" s="397">
        <v>129</v>
      </c>
      <c r="I472" s="394" t="s">
        <v>2703</v>
      </c>
      <c r="J472" s="394">
        <f t="shared" si="33"/>
        <v>131.5</v>
      </c>
      <c r="K472" s="394">
        <f t="shared" si="36"/>
        <v>483</v>
      </c>
      <c r="L472" s="265" t="s">
        <v>2703</v>
      </c>
      <c r="N472" s="265">
        <v>100</v>
      </c>
      <c r="O472" s="268">
        <v>129</v>
      </c>
      <c r="P472" s="265" t="s">
        <v>2703</v>
      </c>
      <c r="S472" s="261" t="s">
        <v>2073</v>
      </c>
      <c r="T472" s="262" t="s">
        <v>2749</v>
      </c>
      <c r="U472" s="385"/>
      <c r="V472" s="218"/>
    </row>
    <row r="473" spans="1:22" ht="56.25">
      <c r="A473" s="263">
        <v>13</v>
      </c>
      <c r="B473" s="264" t="s">
        <v>2761</v>
      </c>
      <c r="C473" s="394">
        <v>129</v>
      </c>
      <c r="F473" s="394" t="s">
        <v>2703</v>
      </c>
      <c r="G473" s="394">
        <v>100</v>
      </c>
      <c r="H473" s="397">
        <v>129</v>
      </c>
      <c r="I473" s="394" t="s">
        <v>2703</v>
      </c>
      <c r="J473" s="394">
        <f t="shared" si="33"/>
        <v>131.5</v>
      </c>
      <c r="K473" s="394">
        <f t="shared" si="36"/>
        <v>483</v>
      </c>
      <c r="L473" s="265" t="s">
        <v>2703</v>
      </c>
      <c r="N473" s="265">
        <v>100</v>
      </c>
      <c r="O473" s="268">
        <v>129</v>
      </c>
      <c r="P473" s="265" t="s">
        <v>2703</v>
      </c>
      <c r="S473" s="261" t="s">
        <v>2073</v>
      </c>
      <c r="T473" s="262" t="s">
        <v>2749</v>
      </c>
      <c r="U473" s="385"/>
      <c r="V473" s="218"/>
    </row>
    <row r="474" spans="1:22">
      <c r="A474" s="263">
        <v>14</v>
      </c>
      <c r="B474" s="272" t="s">
        <v>2762</v>
      </c>
      <c r="C474" s="394">
        <v>129</v>
      </c>
      <c r="F474" s="394" t="s">
        <v>2703</v>
      </c>
      <c r="G474" s="394">
        <v>100</v>
      </c>
      <c r="H474" s="397">
        <v>129</v>
      </c>
      <c r="I474" s="394" t="s">
        <v>2703</v>
      </c>
      <c r="J474" s="394">
        <f t="shared" si="33"/>
        <v>131.5</v>
      </c>
      <c r="K474" s="394">
        <f t="shared" si="36"/>
        <v>483</v>
      </c>
      <c r="L474" s="265" t="s">
        <v>2703</v>
      </c>
      <c r="N474" s="265">
        <v>100</v>
      </c>
      <c r="O474" s="268">
        <v>129</v>
      </c>
      <c r="P474" s="265" t="s">
        <v>2703</v>
      </c>
      <c r="S474" s="261" t="s">
        <v>2073</v>
      </c>
      <c r="T474" s="262" t="s">
        <v>2749</v>
      </c>
      <c r="U474" s="385"/>
      <c r="V474" s="218"/>
    </row>
    <row r="475" spans="1:22">
      <c r="A475" s="263">
        <v>15</v>
      </c>
      <c r="B475" s="272" t="s">
        <v>2763</v>
      </c>
      <c r="C475" s="394">
        <v>129</v>
      </c>
      <c r="F475" s="394" t="s">
        <v>2703</v>
      </c>
      <c r="G475" s="394">
        <v>100</v>
      </c>
      <c r="H475" s="397">
        <v>129</v>
      </c>
      <c r="I475" s="394" t="s">
        <v>2703</v>
      </c>
      <c r="J475" s="394">
        <f t="shared" si="33"/>
        <v>131.5</v>
      </c>
      <c r="K475" s="394">
        <f t="shared" si="36"/>
        <v>483</v>
      </c>
      <c r="L475" s="265" t="s">
        <v>2703</v>
      </c>
      <c r="N475" s="265">
        <v>100</v>
      </c>
      <c r="O475" s="268">
        <v>129</v>
      </c>
      <c r="P475" s="265" t="s">
        <v>2703</v>
      </c>
      <c r="S475" s="261" t="s">
        <v>2073</v>
      </c>
      <c r="T475" s="262" t="s">
        <v>2749</v>
      </c>
      <c r="U475" s="385"/>
      <c r="V475" s="218"/>
    </row>
    <row r="476" spans="1:22">
      <c r="A476" s="263">
        <v>16</v>
      </c>
      <c r="B476" s="272" t="s">
        <v>2764</v>
      </c>
      <c r="C476" s="394">
        <v>129</v>
      </c>
      <c r="F476" s="394" t="s">
        <v>2703</v>
      </c>
      <c r="G476" s="394">
        <v>100</v>
      </c>
      <c r="H476" s="397">
        <v>129</v>
      </c>
      <c r="I476" s="394" t="s">
        <v>2703</v>
      </c>
      <c r="J476" s="394">
        <f t="shared" si="33"/>
        <v>131.5</v>
      </c>
      <c r="K476" s="394">
        <f t="shared" si="36"/>
        <v>483</v>
      </c>
      <c r="L476" s="265" t="s">
        <v>2703</v>
      </c>
      <c r="N476" s="265">
        <v>100</v>
      </c>
      <c r="O476" s="268">
        <v>129</v>
      </c>
      <c r="P476" s="265" t="s">
        <v>2703</v>
      </c>
      <c r="S476" s="261" t="s">
        <v>2073</v>
      </c>
      <c r="T476" s="262" t="s">
        <v>2749</v>
      </c>
      <c r="U476" s="385"/>
      <c r="V476" s="218"/>
    </row>
    <row r="477" spans="1:22">
      <c r="A477" s="263">
        <v>17</v>
      </c>
      <c r="B477" s="272" t="s">
        <v>2765</v>
      </c>
      <c r="C477" s="394">
        <v>129</v>
      </c>
      <c r="F477" s="394" t="s">
        <v>2703</v>
      </c>
      <c r="G477" s="394">
        <v>100</v>
      </c>
      <c r="H477" s="397">
        <v>129</v>
      </c>
      <c r="I477" s="394" t="s">
        <v>2703</v>
      </c>
      <c r="J477" s="394">
        <f t="shared" si="33"/>
        <v>131.5</v>
      </c>
      <c r="K477" s="394">
        <f t="shared" si="36"/>
        <v>483</v>
      </c>
      <c r="L477" s="265" t="s">
        <v>2703</v>
      </c>
      <c r="N477" s="265">
        <v>100</v>
      </c>
      <c r="O477" s="268">
        <v>129</v>
      </c>
      <c r="P477" s="265" t="s">
        <v>2703</v>
      </c>
      <c r="S477" s="261" t="s">
        <v>2073</v>
      </c>
      <c r="T477" s="262" t="s">
        <v>2749</v>
      </c>
      <c r="U477" s="385"/>
      <c r="V477" s="218"/>
    </row>
    <row r="478" spans="1:22" ht="37.5">
      <c r="A478" s="263">
        <v>18</v>
      </c>
      <c r="B478" s="273" t="s">
        <v>2766</v>
      </c>
      <c r="C478" s="394">
        <v>129</v>
      </c>
      <c r="F478" s="394" t="s">
        <v>2703</v>
      </c>
      <c r="G478" s="394">
        <v>100</v>
      </c>
      <c r="H478" s="397">
        <v>129</v>
      </c>
      <c r="I478" s="394" t="s">
        <v>2703</v>
      </c>
      <c r="J478" s="394">
        <f t="shared" si="33"/>
        <v>131.5</v>
      </c>
      <c r="K478" s="394">
        <f t="shared" si="36"/>
        <v>483</v>
      </c>
      <c r="L478" s="265" t="s">
        <v>2703</v>
      </c>
      <c r="N478" s="265">
        <v>100</v>
      </c>
      <c r="O478" s="268">
        <v>129</v>
      </c>
      <c r="P478" s="265" t="s">
        <v>2703</v>
      </c>
      <c r="S478" s="261" t="s">
        <v>2073</v>
      </c>
      <c r="T478" s="262" t="s">
        <v>2749</v>
      </c>
      <c r="U478" s="385"/>
      <c r="V478" s="218"/>
    </row>
    <row r="479" spans="1:22" ht="37.5">
      <c r="A479" s="263">
        <v>19</v>
      </c>
      <c r="B479" s="273" t="s">
        <v>2767</v>
      </c>
      <c r="C479" s="394">
        <v>129</v>
      </c>
      <c r="F479" s="394" t="s">
        <v>2703</v>
      </c>
      <c r="G479" s="394">
        <v>100</v>
      </c>
      <c r="H479" s="397">
        <v>129</v>
      </c>
      <c r="I479" s="394" t="s">
        <v>2703</v>
      </c>
      <c r="J479" s="394">
        <f t="shared" si="33"/>
        <v>131.5</v>
      </c>
      <c r="K479" s="394">
        <f t="shared" si="36"/>
        <v>483</v>
      </c>
      <c r="L479" s="265" t="s">
        <v>2703</v>
      </c>
      <c r="N479" s="265">
        <v>100</v>
      </c>
      <c r="O479" s="268">
        <v>129</v>
      </c>
      <c r="P479" s="265" t="s">
        <v>2703</v>
      </c>
      <c r="S479" s="261" t="s">
        <v>2073</v>
      </c>
      <c r="T479" s="262" t="s">
        <v>2749</v>
      </c>
      <c r="U479" s="385"/>
      <c r="V479" s="218"/>
    </row>
    <row r="480" spans="1:22">
      <c r="A480" s="2702" t="s">
        <v>2768</v>
      </c>
      <c r="B480" s="2703"/>
      <c r="C480" s="394"/>
      <c r="O480" s="268">
        <v>129</v>
      </c>
      <c r="S480" s="261" t="s">
        <v>2073</v>
      </c>
      <c r="T480" s="262" t="s">
        <v>2749</v>
      </c>
      <c r="U480" s="385"/>
      <c r="V480" s="218"/>
    </row>
    <row r="481" spans="1:22">
      <c r="A481" s="263">
        <v>1</v>
      </c>
      <c r="B481" s="272" t="s">
        <v>2769</v>
      </c>
      <c r="C481" s="394">
        <v>129</v>
      </c>
      <c r="F481" s="394" t="s">
        <v>2703</v>
      </c>
      <c r="G481" s="394">
        <v>100</v>
      </c>
      <c r="H481" s="397">
        <v>129</v>
      </c>
      <c r="I481" s="394" t="s">
        <v>2703</v>
      </c>
      <c r="J481" s="394">
        <f>C481+2.5</f>
        <v>131.5</v>
      </c>
      <c r="K481" s="394">
        <f>K479</f>
        <v>483</v>
      </c>
      <c r="L481" s="265" t="s">
        <v>2703</v>
      </c>
      <c r="N481" s="265">
        <v>100</v>
      </c>
      <c r="O481" s="268">
        <v>129</v>
      </c>
      <c r="P481" s="265" t="s">
        <v>2703</v>
      </c>
      <c r="S481" s="261" t="s">
        <v>2073</v>
      </c>
      <c r="T481" s="262" t="s">
        <v>2749</v>
      </c>
      <c r="U481" s="385"/>
      <c r="V481" s="218"/>
    </row>
    <row r="482" spans="1:22">
      <c r="A482" s="263">
        <v>2</v>
      </c>
      <c r="B482" s="272" t="s">
        <v>314</v>
      </c>
      <c r="C482" s="394">
        <v>142</v>
      </c>
      <c r="E482" s="394"/>
      <c r="F482" s="394" t="s">
        <v>2703</v>
      </c>
      <c r="G482" s="394">
        <v>110</v>
      </c>
      <c r="H482" s="394">
        <v>142</v>
      </c>
      <c r="I482" s="394" t="s">
        <v>2703</v>
      </c>
      <c r="J482" s="394">
        <v>110</v>
      </c>
      <c r="K482" s="394">
        <f t="shared" si="36"/>
        <v>483</v>
      </c>
      <c r="L482" s="265" t="s">
        <v>2703</v>
      </c>
      <c r="N482" s="265">
        <v>110</v>
      </c>
      <c r="O482" s="268">
        <v>142</v>
      </c>
      <c r="P482" s="265" t="s">
        <v>2703</v>
      </c>
      <c r="S482" s="261" t="s">
        <v>2073</v>
      </c>
      <c r="T482" s="262" t="s">
        <v>2749</v>
      </c>
      <c r="U482" s="385"/>
      <c r="V482" s="218"/>
    </row>
    <row r="483" spans="1:22">
      <c r="A483" s="263">
        <v>3</v>
      </c>
      <c r="B483" s="272" t="s">
        <v>2770</v>
      </c>
      <c r="C483" s="394">
        <v>219</v>
      </c>
      <c r="E483" s="394"/>
      <c r="F483" s="394" t="s">
        <v>2703</v>
      </c>
      <c r="G483" s="394">
        <v>170</v>
      </c>
      <c r="H483" s="394">
        <v>219</v>
      </c>
      <c r="I483" s="394" t="s">
        <v>2703</v>
      </c>
      <c r="J483" s="394">
        <v>170</v>
      </c>
      <c r="K483" s="394">
        <f>K482</f>
        <v>483</v>
      </c>
      <c r="L483" s="265" t="s">
        <v>2703</v>
      </c>
      <c r="N483" s="265">
        <v>170</v>
      </c>
      <c r="O483" s="268">
        <v>219</v>
      </c>
      <c r="P483" s="265" t="s">
        <v>2703</v>
      </c>
      <c r="S483" s="261" t="s">
        <v>2073</v>
      </c>
      <c r="T483" s="262" t="s">
        <v>2749</v>
      </c>
      <c r="U483" s="385"/>
      <c r="V483" s="218"/>
    </row>
    <row r="484" spans="1:22">
      <c r="A484" s="263">
        <v>4</v>
      </c>
      <c r="B484" s="272" t="s">
        <v>2771</v>
      </c>
      <c r="C484" s="394">
        <v>103</v>
      </c>
      <c r="E484" s="394"/>
      <c r="F484" s="394" t="s">
        <v>2703</v>
      </c>
      <c r="G484" s="394">
        <v>80</v>
      </c>
      <c r="H484" s="394">
        <v>103</v>
      </c>
      <c r="I484" s="394" t="s">
        <v>2703</v>
      </c>
      <c r="J484" s="394">
        <v>80</v>
      </c>
      <c r="K484" s="394">
        <f>K459</f>
        <v>423</v>
      </c>
      <c r="L484" s="265" t="s">
        <v>2703</v>
      </c>
      <c r="N484" s="265">
        <v>80</v>
      </c>
      <c r="O484" s="268">
        <v>103</v>
      </c>
      <c r="P484" s="265" t="s">
        <v>2703</v>
      </c>
      <c r="S484" s="261" t="s">
        <v>2073</v>
      </c>
      <c r="T484" s="262"/>
      <c r="U484" s="385"/>
      <c r="V484" s="218"/>
    </row>
    <row r="485" spans="1:22">
      <c r="A485" s="263">
        <v>5</v>
      </c>
      <c r="B485" s="272" t="s">
        <v>2772</v>
      </c>
      <c r="C485" s="394">
        <v>6450</v>
      </c>
      <c r="E485" s="394"/>
      <c r="F485" s="394" t="s">
        <v>2773</v>
      </c>
      <c r="G485" s="394">
        <v>5000</v>
      </c>
      <c r="H485" s="394">
        <v>6450</v>
      </c>
      <c r="I485" s="394" t="s">
        <v>2773</v>
      </c>
      <c r="J485" s="394">
        <v>5000</v>
      </c>
      <c r="K485" s="394">
        <v>16493</v>
      </c>
      <c r="L485" s="265" t="s">
        <v>2773</v>
      </c>
      <c r="N485" s="265">
        <v>5000</v>
      </c>
      <c r="O485" s="268">
        <v>6450</v>
      </c>
      <c r="P485" s="265" t="s">
        <v>2773</v>
      </c>
      <c r="S485" s="261" t="s">
        <v>2073</v>
      </c>
      <c r="T485" s="262"/>
      <c r="U485" s="385"/>
      <c r="V485" s="218"/>
    </row>
    <row r="486" spans="1:22">
      <c r="A486" s="263">
        <v>6</v>
      </c>
      <c r="B486" s="272" t="s">
        <v>2774</v>
      </c>
      <c r="C486" s="394">
        <v>5160</v>
      </c>
      <c r="E486" s="394"/>
      <c r="F486" s="394" t="s">
        <v>2773</v>
      </c>
      <c r="G486" s="394">
        <v>4000</v>
      </c>
      <c r="H486" s="394">
        <v>5160</v>
      </c>
      <c r="I486" s="394" t="s">
        <v>2773</v>
      </c>
      <c r="J486" s="394">
        <v>4000</v>
      </c>
      <c r="K486" s="394">
        <v>12690</v>
      </c>
      <c r="L486" s="265" t="s">
        <v>2773</v>
      </c>
      <c r="N486" s="265">
        <v>4000</v>
      </c>
      <c r="O486" s="268">
        <v>5160</v>
      </c>
      <c r="P486" s="265" t="s">
        <v>2773</v>
      </c>
      <c r="S486" s="261" t="s">
        <v>2073</v>
      </c>
      <c r="T486" s="262"/>
      <c r="U486" s="385"/>
      <c r="V486" s="218"/>
    </row>
    <row r="487" spans="1:22" ht="37.5">
      <c r="A487" s="263">
        <v>7</v>
      </c>
      <c r="B487" s="273" t="s">
        <v>2775</v>
      </c>
      <c r="C487" s="394">
        <v>4515</v>
      </c>
      <c r="E487" s="394"/>
      <c r="F487" s="394" t="s">
        <v>2773</v>
      </c>
      <c r="G487" s="394">
        <v>3500</v>
      </c>
      <c r="H487" s="394">
        <v>4515</v>
      </c>
      <c r="I487" s="394" t="s">
        <v>2773</v>
      </c>
      <c r="J487" s="394">
        <v>3500</v>
      </c>
      <c r="K487" s="394">
        <v>11781</v>
      </c>
      <c r="L487" s="265" t="s">
        <v>2773</v>
      </c>
      <c r="N487" s="265">
        <v>3500</v>
      </c>
      <c r="O487" s="268">
        <v>4515</v>
      </c>
      <c r="P487" s="265" t="s">
        <v>2773</v>
      </c>
      <c r="S487" s="261" t="s">
        <v>2073</v>
      </c>
      <c r="T487" s="262"/>
      <c r="U487" s="385"/>
      <c r="V487" s="218"/>
    </row>
    <row r="488" spans="1:22">
      <c r="A488" s="263">
        <v>8</v>
      </c>
      <c r="B488" s="272" t="s">
        <v>2776</v>
      </c>
      <c r="C488" s="394">
        <v>5160</v>
      </c>
      <c r="E488" s="394"/>
      <c r="F488" s="394" t="s">
        <v>2773</v>
      </c>
      <c r="G488" s="394">
        <v>4000</v>
      </c>
      <c r="H488" s="394">
        <v>5160</v>
      </c>
      <c r="I488" s="394" t="s">
        <v>2773</v>
      </c>
      <c r="J488" s="394">
        <v>4000</v>
      </c>
      <c r="K488" s="394">
        <v>14137</v>
      </c>
      <c r="L488" s="265" t="s">
        <v>2773</v>
      </c>
      <c r="N488" s="265">
        <v>4000</v>
      </c>
      <c r="O488" s="268">
        <v>5160</v>
      </c>
      <c r="P488" s="265" t="s">
        <v>2773</v>
      </c>
      <c r="S488" s="261" t="s">
        <v>2073</v>
      </c>
      <c r="T488" s="262"/>
      <c r="U488" s="385"/>
      <c r="V488" s="218"/>
    </row>
    <row r="489" spans="1:22" ht="37.5">
      <c r="A489" s="263">
        <v>9</v>
      </c>
      <c r="B489" s="273" t="s">
        <v>2777</v>
      </c>
      <c r="C489" s="394">
        <v>3870</v>
      </c>
      <c r="E489" s="394"/>
      <c r="F489" s="394" t="s">
        <v>2773</v>
      </c>
      <c r="G489" s="394">
        <v>3000</v>
      </c>
      <c r="H489" s="394">
        <v>3870</v>
      </c>
      <c r="I489" s="394" t="s">
        <v>2773</v>
      </c>
      <c r="J489" s="394">
        <v>3000</v>
      </c>
      <c r="K489" s="394">
        <v>11781</v>
      </c>
      <c r="L489" s="265" t="s">
        <v>2773</v>
      </c>
      <c r="N489" s="265">
        <v>3000</v>
      </c>
      <c r="O489" s="268">
        <v>3870</v>
      </c>
      <c r="P489" s="265" t="s">
        <v>2773</v>
      </c>
      <c r="S489" s="261" t="s">
        <v>2073</v>
      </c>
      <c r="T489" s="262"/>
      <c r="U489" s="385"/>
      <c r="V489" s="218"/>
    </row>
    <row r="490" spans="1:22">
      <c r="A490" s="263">
        <v>10</v>
      </c>
      <c r="B490" s="272" t="s">
        <v>2778</v>
      </c>
      <c r="C490" s="394">
        <v>6450</v>
      </c>
      <c r="E490" s="394"/>
      <c r="F490" s="394" t="s">
        <v>2773</v>
      </c>
      <c r="G490" s="394">
        <v>5000</v>
      </c>
      <c r="H490" s="394">
        <v>6450</v>
      </c>
      <c r="I490" s="394" t="s">
        <v>2773</v>
      </c>
      <c r="J490" s="394">
        <v>5000</v>
      </c>
      <c r="K490" s="394">
        <v>14137</v>
      </c>
      <c r="L490" s="265" t="s">
        <v>2773</v>
      </c>
      <c r="N490" s="265">
        <v>5000</v>
      </c>
      <c r="O490" s="268">
        <v>6450</v>
      </c>
      <c r="P490" s="265" t="s">
        <v>2773</v>
      </c>
      <c r="S490" s="261" t="s">
        <v>2073</v>
      </c>
      <c r="T490" s="262"/>
      <c r="U490" s="385"/>
      <c r="V490" s="218"/>
    </row>
    <row r="491" spans="1:22" ht="19.5" customHeight="1">
      <c r="A491" s="277">
        <v>11</v>
      </c>
      <c r="B491" s="272" t="s">
        <v>2779</v>
      </c>
      <c r="C491" s="394">
        <v>5160</v>
      </c>
      <c r="E491" s="394"/>
      <c r="F491" s="394" t="s">
        <v>2773</v>
      </c>
      <c r="G491" s="394">
        <v>4000</v>
      </c>
      <c r="H491" s="394">
        <v>5160</v>
      </c>
      <c r="I491" s="394" t="s">
        <v>2773</v>
      </c>
      <c r="J491" s="394">
        <v>4000</v>
      </c>
      <c r="K491" s="394">
        <v>12690</v>
      </c>
      <c r="L491" s="265" t="s">
        <v>2773</v>
      </c>
      <c r="N491" s="265">
        <v>4000</v>
      </c>
      <c r="O491" s="268">
        <v>5160</v>
      </c>
      <c r="P491" s="265" t="s">
        <v>2773</v>
      </c>
      <c r="S491" s="261" t="s">
        <v>2073</v>
      </c>
      <c r="T491" s="262"/>
      <c r="U491" s="385"/>
      <c r="V491" s="218"/>
    </row>
    <row r="492" spans="1:22">
      <c r="C492" s="394"/>
      <c r="S492" s="261"/>
      <c r="T492" s="261"/>
      <c r="U492" s="385"/>
      <c r="V492" s="218"/>
    </row>
    <row r="493" spans="1:22">
      <c r="S493" s="261"/>
      <c r="T493" s="261"/>
      <c r="U493" s="385"/>
      <c r="V493" s="218"/>
    </row>
    <row r="494" spans="1:22">
      <c r="S494" s="261"/>
      <c r="T494" s="261"/>
      <c r="U494" s="385"/>
      <c r="V494" s="218"/>
    </row>
    <row r="495" spans="1:22">
      <c r="S495" s="261"/>
      <c r="T495" s="261"/>
      <c r="U495" s="385"/>
      <c r="V495" s="218"/>
    </row>
    <row r="496" spans="1:22">
      <c r="S496" s="261"/>
      <c r="T496" s="261"/>
      <c r="U496" s="385"/>
      <c r="V496" s="218"/>
    </row>
    <row r="497" spans="1:22">
      <c r="A497" s="293"/>
      <c r="B497" s="294"/>
      <c r="C497" s="403"/>
      <c r="D497" s="404"/>
      <c r="E497" s="405"/>
      <c r="F497" s="404"/>
      <c r="G497" s="404"/>
      <c r="H497" s="406"/>
      <c r="I497" s="404"/>
      <c r="J497" s="404"/>
      <c r="K497" s="404"/>
      <c r="L497" s="295"/>
      <c r="N497" s="295"/>
      <c r="O497" s="296"/>
      <c r="P497" s="295"/>
      <c r="S497" s="261"/>
      <c r="T497" s="261"/>
      <c r="U497" s="385"/>
      <c r="V497" s="218"/>
    </row>
    <row r="498" spans="1:22">
      <c r="A498" s="292"/>
      <c r="B498" s="297"/>
      <c r="C498" s="407"/>
      <c r="D498" s="408"/>
      <c r="E498" s="409"/>
      <c r="F498" s="408"/>
      <c r="G498" s="408"/>
      <c r="H498" s="410"/>
      <c r="I498" s="408"/>
      <c r="J498" s="408"/>
      <c r="K498" s="408"/>
      <c r="L498" s="288"/>
      <c r="N498" s="288"/>
      <c r="O498" s="287"/>
      <c r="P498" s="288"/>
    </row>
    <row r="499" spans="1:22">
      <c r="A499" s="292"/>
      <c r="B499" s="297"/>
      <c r="C499" s="407"/>
      <c r="D499" s="408"/>
      <c r="E499" s="409"/>
      <c r="F499" s="408"/>
      <c r="G499" s="408"/>
      <c r="H499" s="410"/>
      <c r="I499" s="408"/>
      <c r="J499" s="408"/>
      <c r="K499" s="408"/>
      <c r="L499" s="288"/>
      <c r="N499" s="288"/>
      <c r="O499" s="287"/>
      <c r="P499" s="288"/>
    </row>
    <row r="500" spans="1:22">
      <c r="A500" s="292"/>
      <c r="B500" s="297"/>
      <c r="C500" s="407"/>
      <c r="D500" s="408"/>
      <c r="E500" s="409"/>
      <c r="F500" s="408"/>
      <c r="G500" s="408"/>
      <c r="H500" s="410"/>
      <c r="I500" s="408"/>
      <c r="J500" s="408"/>
      <c r="K500" s="408"/>
      <c r="L500" s="288"/>
      <c r="N500" s="288"/>
      <c r="O500" s="287"/>
      <c r="P500" s="288"/>
    </row>
    <row r="501" spans="1:22">
      <c r="A501" s="292"/>
      <c r="B501" s="297"/>
      <c r="C501" s="407"/>
      <c r="D501" s="408"/>
      <c r="E501" s="409"/>
      <c r="F501" s="408"/>
      <c r="G501" s="408"/>
      <c r="H501" s="410"/>
      <c r="I501" s="408"/>
      <c r="J501" s="408"/>
      <c r="K501" s="408"/>
      <c r="L501" s="288"/>
      <c r="N501" s="288"/>
      <c r="O501" s="287"/>
      <c r="P501" s="288"/>
    </row>
    <row r="502" spans="1:22">
      <c r="A502" s="292"/>
      <c r="B502" s="297"/>
      <c r="C502" s="407"/>
      <c r="D502" s="408"/>
      <c r="E502" s="409"/>
      <c r="F502" s="408"/>
      <c r="G502" s="408"/>
      <c r="H502" s="410"/>
      <c r="I502" s="408"/>
      <c r="J502" s="408"/>
      <c r="K502" s="408"/>
      <c r="L502" s="288"/>
      <c r="N502" s="288"/>
      <c r="O502" s="287"/>
      <c r="P502" s="288"/>
    </row>
    <row r="503" spans="1:22">
      <c r="A503" s="292"/>
      <c r="B503" s="297"/>
      <c r="C503" s="407"/>
      <c r="D503" s="408"/>
      <c r="E503" s="409"/>
      <c r="F503" s="408"/>
      <c r="G503" s="408"/>
      <c r="H503" s="410"/>
      <c r="I503" s="408"/>
      <c r="J503" s="408"/>
      <c r="K503" s="408"/>
      <c r="L503" s="288"/>
      <c r="N503" s="288"/>
      <c r="O503" s="287"/>
      <c r="P503" s="288"/>
    </row>
    <row r="504" spans="1:22">
      <c r="A504" s="292"/>
      <c r="B504" s="297"/>
      <c r="C504" s="407"/>
      <c r="D504" s="408"/>
      <c r="E504" s="409"/>
      <c r="F504" s="408"/>
      <c r="G504" s="408"/>
      <c r="H504" s="410"/>
      <c r="I504" s="408"/>
      <c r="J504" s="408"/>
      <c r="K504" s="408"/>
      <c r="L504" s="288"/>
      <c r="N504" s="288"/>
      <c r="O504" s="287"/>
      <c r="P504" s="288"/>
    </row>
    <row r="505" spans="1:22">
      <c r="A505" s="292"/>
      <c r="B505" s="297"/>
      <c r="C505" s="407"/>
      <c r="D505" s="408"/>
      <c r="E505" s="409"/>
      <c r="F505" s="408"/>
      <c r="G505" s="408"/>
      <c r="H505" s="410"/>
      <c r="I505" s="408"/>
      <c r="J505" s="408"/>
      <c r="K505" s="408"/>
      <c r="L505" s="288"/>
      <c r="N505" s="288"/>
      <c r="O505" s="287"/>
      <c r="P505" s="288"/>
    </row>
    <row r="506" spans="1:22">
      <c r="A506" s="292"/>
      <c r="B506" s="297"/>
      <c r="C506" s="407"/>
      <c r="D506" s="408"/>
      <c r="E506" s="409"/>
      <c r="F506" s="408"/>
      <c r="G506" s="408"/>
      <c r="H506" s="410"/>
      <c r="I506" s="408"/>
      <c r="J506" s="408"/>
      <c r="K506" s="408"/>
      <c r="L506" s="288"/>
      <c r="N506" s="288"/>
      <c r="O506" s="287"/>
      <c r="P506" s="288"/>
    </row>
    <row r="507" spans="1:22">
      <c r="A507" s="292"/>
      <c r="B507" s="297"/>
      <c r="C507" s="407"/>
      <c r="D507" s="408"/>
      <c r="E507" s="409"/>
      <c r="F507" s="408"/>
      <c r="G507" s="408"/>
      <c r="H507" s="410"/>
      <c r="I507" s="408"/>
      <c r="J507" s="408"/>
      <c r="K507" s="408"/>
      <c r="L507" s="288"/>
      <c r="N507" s="288"/>
      <c r="O507" s="287"/>
      <c r="P507" s="288"/>
    </row>
    <row r="508" spans="1:22">
      <c r="A508" s="292"/>
      <c r="B508" s="297"/>
      <c r="C508" s="407"/>
      <c r="D508" s="408"/>
      <c r="E508" s="409"/>
      <c r="F508" s="408"/>
      <c r="G508" s="408"/>
      <c r="H508" s="410"/>
      <c r="I508" s="408"/>
      <c r="J508" s="408"/>
      <c r="K508" s="408"/>
      <c r="L508" s="288"/>
      <c r="N508" s="288"/>
      <c r="O508" s="287"/>
      <c r="P508" s="288"/>
    </row>
    <row r="509" spans="1:22">
      <c r="A509" s="292"/>
      <c r="B509" s="297"/>
      <c r="C509" s="407"/>
      <c r="D509" s="408"/>
      <c r="E509" s="409"/>
      <c r="F509" s="408"/>
      <c r="G509" s="408"/>
      <c r="H509" s="410"/>
      <c r="I509" s="408"/>
      <c r="J509" s="408"/>
      <c r="K509" s="408"/>
      <c r="L509" s="288"/>
      <c r="N509" s="288"/>
      <c r="O509" s="287"/>
      <c r="P509" s="288"/>
    </row>
    <row r="510" spans="1:22">
      <c r="A510" s="292"/>
      <c r="B510" s="297"/>
      <c r="C510" s="407"/>
      <c r="D510" s="408"/>
      <c r="E510" s="409"/>
      <c r="F510" s="408"/>
      <c r="G510" s="408"/>
      <c r="H510" s="410"/>
      <c r="I510" s="408"/>
      <c r="J510" s="408"/>
      <c r="K510" s="408"/>
      <c r="L510" s="288"/>
      <c r="N510" s="288"/>
      <c r="O510" s="287"/>
      <c r="P510" s="288"/>
    </row>
    <row r="511" spans="1:22">
      <c r="A511" s="292"/>
      <c r="B511" s="297"/>
      <c r="C511" s="407"/>
      <c r="D511" s="408"/>
      <c r="E511" s="409"/>
      <c r="F511" s="408"/>
      <c r="G511" s="408"/>
      <c r="H511" s="410"/>
      <c r="I511" s="408"/>
      <c r="J511" s="408"/>
      <c r="K511" s="408"/>
      <c r="L511" s="288"/>
      <c r="N511" s="288"/>
      <c r="O511" s="287"/>
      <c r="P511" s="288"/>
    </row>
    <row r="512" spans="1:22">
      <c r="A512" s="292"/>
      <c r="B512" s="297"/>
      <c r="C512" s="407"/>
      <c r="D512" s="408"/>
      <c r="E512" s="409"/>
      <c r="F512" s="408"/>
      <c r="G512" s="408"/>
      <c r="H512" s="410"/>
      <c r="I512" s="408"/>
      <c r="J512" s="408"/>
      <c r="K512" s="408"/>
      <c r="L512" s="288"/>
      <c r="N512" s="288"/>
      <c r="O512" s="287"/>
      <c r="P512" s="288"/>
    </row>
    <row r="513" spans="1:16">
      <c r="A513" s="292"/>
      <c r="B513" s="297"/>
      <c r="C513" s="407"/>
      <c r="D513" s="408"/>
      <c r="E513" s="409"/>
      <c r="F513" s="408"/>
      <c r="G513" s="408"/>
      <c r="H513" s="410"/>
      <c r="I513" s="408"/>
      <c r="J513" s="408"/>
      <c r="K513" s="408"/>
      <c r="L513" s="288"/>
      <c r="N513" s="288"/>
      <c r="O513" s="287"/>
      <c r="P513" s="288"/>
    </row>
    <row r="514" spans="1:16">
      <c r="A514" s="292"/>
      <c r="B514" s="297"/>
      <c r="C514" s="407"/>
      <c r="D514" s="408"/>
      <c r="E514" s="409"/>
      <c r="F514" s="408"/>
      <c r="G514" s="408"/>
      <c r="H514" s="410"/>
      <c r="I514" s="408"/>
      <c r="J514" s="408"/>
      <c r="K514" s="408"/>
      <c r="L514" s="288"/>
      <c r="N514" s="288"/>
      <c r="O514" s="287"/>
      <c r="P514" s="288"/>
    </row>
    <row r="515" spans="1:16">
      <c r="A515" s="292"/>
      <c r="B515" s="297"/>
      <c r="C515" s="407"/>
      <c r="D515" s="408"/>
      <c r="E515" s="409"/>
      <c r="F515" s="408"/>
      <c r="G515" s="408"/>
      <c r="H515" s="410"/>
      <c r="I515" s="408"/>
      <c r="J515" s="408"/>
      <c r="K515" s="408"/>
      <c r="L515" s="288"/>
      <c r="N515" s="288"/>
      <c r="O515" s="287"/>
      <c r="P515" s="288"/>
    </row>
    <row r="516" spans="1:16">
      <c r="A516" s="292"/>
      <c r="B516" s="297"/>
      <c r="C516" s="407"/>
      <c r="D516" s="408"/>
      <c r="E516" s="409"/>
      <c r="F516" s="408"/>
      <c r="G516" s="408"/>
      <c r="H516" s="410"/>
      <c r="I516" s="408"/>
      <c r="J516" s="408"/>
      <c r="K516" s="408"/>
      <c r="L516" s="288"/>
      <c r="N516" s="288"/>
      <c r="O516" s="287"/>
      <c r="P516" s="288"/>
    </row>
    <row r="517" spans="1:16">
      <c r="A517" s="292"/>
      <c r="B517" s="297"/>
      <c r="C517" s="407"/>
      <c r="D517" s="408"/>
      <c r="E517" s="409"/>
      <c r="F517" s="408"/>
      <c r="G517" s="408"/>
      <c r="H517" s="410"/>
      <c r="I517" s="408"/>
      <c r="J517" s="408"/>
      <c r="K517" s="408"/>
      <c r="L517" s="288"/>
      <c r="N517" s="288"/>
      <c r="O517" s="287"/>
      <c r="P517" s="288"/>
    </row>
    <row r="518" spans="1:16">
      <c r="A518" s="292"/>
      <c r="B518" s="297"/>
      <c r="C518" s="407"/>
      <c r="D518" s="408"/>
      <c r="E518" s="409"/>
      <c r="F518" s="408"/>
      <c r="G518" s="408"/>
      <c r="H518" s="410"/>
      <c r="I518" s="408"/>
      <c r="J518" s="408"/>
      <c r="K518" s="408"/>
      <c r="L518" s="288"/>
      <c r="N518" s="288"/>
      <c r="O518" s="287"/>
      <c r="P518" s="288"/>
    </row>
    <row r="519" spans="1:16">
      <c r="A519" s="292"/>
      <c r="B519" s="297"/>
      <c r="C519" s="407"/>
      <c r="D519" s="408"/>
      <c r="E519" s="409"/>
      <c r="F519" s="408"/>
      <c r="G519" s="408"/>
      <c r="H519" s="410"/>
      <c r="I519" s="408"/>
      <c r="J519" s="408"/>
      <c r="K519" s="408"/>
      <c r="L519" s="288"/>
      <c r="N519" s="288"/>
      <c r="O519" s="287"/>
      <c r="P519" s="288"/>
    </row>
    <row r="520" spans="1:16">
      <c r="A520" s="292"/>
      <c r="B520" s="297"/>
      <c r="C520" s="407"/>
      <c r="D520" s="408"/>
      <c r="E520" s="409"/>
      <c r="F520" s="408"/>
      <c r="G520" s="408"/>
      <c r="H520" s="410"/>
      <c r="I520" s="408"/>
      <c r="J520" s="408"/>
      <c r="K520" s="408"/>
      <c r="L520" s="288"/>
      <c r="N520" s="288"/>
      <c r="O520" s="287"/>
      <c r="P520" s="288"/>
    </row>
    <row r="521" spans="1:16">
      <c r="A521" s="292"/>
      <c r="B521" s="297"/>
      <c r="C521" s="407"/>
      <c r="D521" s="408"/>
      <c r="E521" s="409"/>
      <c r="F521" s="408"/>
      <c r="G521" s="408"/>
      <c r="H521" s="410"/>
      <c r="I521" s="408"/>
      <c r="J521" s="408"/>
      <c r="K521" s="408"/>
      <c r="L521" s="288"/>
      <c r="N521" s="288"/>
      <c r="O521" s="287"/>
      <c r="P521" s="288"/>
    </row>
    <row r="522" spans="1:16">
      <c r="A522" s="292"/>
      <c r="B522" s="297"/>
      <c r="C522" s="407"/>
      <c r="D522" s="408"/>
      <c r="E522" s="409"/>
      <c r="F522" s="408"/>
      <c r="G522" s="408"/>
      <c r="H522" s="410"/>
      <c r="I522" s="408"/>
      <c r="J522" s="408"/>
      <c r="K522" s="408"/>
      <c r="L522" s="288"/>
      <c r="N522" s="288"/>
      <c r="O522" s="287"/>
      <c r="P522" s="288"/>
    </row>
    <row r="523" spans="1:16">
      <c r="A523" s="292"/>
      <c r="B523" s="297"/>
      <c r="C523" s="407"/>
      <c r="D523" s="408"/>
      <c r="E523" s="409"/>
      <c r="F523" s="408"/>
      <c r="G523" s="408"/>
      <c r="H523" s="410"/>
      <c r="I523" s="408"/>
      <c r="J523" s="408"/>
      <c r="K523" s="408"/>
      <c r="L523" s="288"/>
      <c r="N523" s="288"/>
      <c r="O523" s="287"/>
      <c r="P523" s="288"/>
    </row>
    <row r="524" spans="1:16">
      <c r="A524" s="292"/>
      <c r="B524" s="297"/>
      <c r="C524" s="407"/>
      <c r="D524" s="408"/>
      <c r="E524" s="409"/>
      <c r="F524" s="408"/>
      <c r="G524" s="408"/>
      <c r="H524" s="410"/>
      <c r="I524" s="408"/>
      <c r="J524" s="408"/>
      <c r="K524" s="408"/>
      <c r="L524" s="288"/>
      <c r="N524" s="288"/>
      <c r="O524" s="287"/>
      <c r="P524" s="288"/>
    </row>
    <row r="525" spans="1:16">
      <c r="A525" s="292"/>
      <c r="B525" s="297"/>
      <c r="C525" s="407"/>
      <c r="D525" s="408"/>
      <c r="E525" s="409"/>
      <c r="F525" s="408"/>
      <c r="G525" s="408"/>
      <c r="H525" s="410"/>
      <c r="I525" s="408"/>
      <c r="J525" s="408"/>
      <c r="K525" s="408"/>
      <c r="L525" s="288"/>
      <c r="N525" s="288"/>
      <c r="O525" s="287"/>
      <c r="P525" s="288"/>
    </row>
    <row r="526" spans="1:16">
      <c r="A526" s="292"/>
      <c r="B526" s="297"/>
      <c r="C526" s="407"/>
      <c r="D526" s="408"/>
      <c r="E526" s="409"/>
      <c r="F526" s="408"/>
      <c r="G526" s="408"/>
      <c r="H526" s="410"/>
      <c r="I526" s="408"/>
      <c r="J526" s="408"/>
      <c r="K526" s="408"/>
      <c r="L526" s="288"/>
      <c r="N526" s="288"/>
      <c r="O526" s="287"/>
      <c r="P526" s="288"/>
    </row>
    <row r="527" spans="1:16">
      <c r="A527" s="292"/>
      <c r="B527" s="297"/>
      <c r="C527" s="407"/>
      <c r="D527" s="408"/>
      <c r="E527" s="409"/>
      <c r="F527" s="408"/>
      <c r="G527" s="408"/>
      <c r="H527" s="410"/>
      <c r="I527" s="408"/>
      <c r="J527" s="408"/>
      <c r="K527" s="408"/>
      <c r="L527" s="288"/>
      <c r="N527" s="288"/>
      <c r="O527" s="287"/>
      <c r="P527" s="288"/>
    </row>
    <row r="528" spans="1:16">
      <c r="A528" s="292"/>
      <c r="B528" s="297"/>
      <c r="C528" s="407"/>
      <c r="D528" s="408"/>
      <c r="E528" s="409"/>
      <c r="F528" s="408"/>
      <c r="G528" s="408"/>
      <c r="H528" s="410"/>
      <c r="I528" s="408"/>
      <c r="J528" s="408"/>
      <c r="K528" s="408"/>
      <c r="L528" s="288"/>
      <c r="N528" s="288"/>
      <c r="O528" s="287"/>
      <c r="P528" s="288"/>
    </row>
    <row r="529" spans="1:16">
      <c r="A529" s="292"/>
      <c r="B529" s="297"/>
      <c r="C529" s="407"/>
      <c r="D529" s="408"/>
      <c r="E529" s="409"/>
      <c r="F529" s="408"/>
      <c r="G529" s="408"/>
      <c r="H529" s="410"/>
      <c r="I529" s="408"/>
      <c r="J529" s="408"/>
      <c r="K529" s="408"/>
      <c r="L529" s="288"/>
      <c r="N529" s="288"/>
      <c r="O529" s="287"/>
      <c r="P529" s="288"/>
    </row>
    <row r="530" spans="1:16">
      <c r="A530" s="292"/>
      <c r="B530" s="297"/>
      <c r="C530" s="407"/>
      <c r="D530" s="408"/>
      <c r="E530" s="409"/>
      <c r="F530" s="408"/>
      <c r="G530" s="408"/>
      <c r="H530" s="410"/>
      <c r="I530" s="408"/>
      <c r="J530" s="408"/>
      <c r="K530" s="408"/>
      <c r="L530" s="288"/>
      <c r="N530" s="288"/>
      <c r="O530" s="287"/>
      <c r="P530" s="288"/>
    </row>
    <row r="531" spans="1:16">
      <c r="A531" s="292"/>
      <c r="B531" s="297"/>
      <c r="C531" s="407"/>
      <c r="D531" s="408"/>
      <c r="E531" s="409"/>
      <c r="F531" s="408"/>
      <c r="G531" s="408"/>
      <c r="H531" s="410"/>
      <c r="I531" s="408"/>
      <c r="J531" s="408"/>
      <c r="K531" s="408"/>
      <c r="L531" s="288"/>
      <c r="N531" s="288"/>
      <c r="O531" s="287"/>
      <c r="P531" s="288"/>
    </row>
    <row r="532" spans="1:16">
      <c r="A532" s="292"/>
      <c r="B532" s="297"/>
      <c r="C532" s="407"/>
      <c r="D532" s="408"/>
      <c r="E532" s="409"/>
      <c r="F532" s="408"/>
      <c r="G532" s="408"/>
      <c r="H532" s="410"/>
      <c r="I532" s="408"/>
      <c r="J532" s="408"/>
      <c r="K532" s="408"/>
      <c r="L532" s="288"/>
      <c r="N532" s="288"/>
      <c r="O532" s="287"/>
      <c r="P532" s="288"/>
    </row>
    <row r="533" spans="1:16">
      <c r="A533" s="292"/>
      <c r="B533" s="297"/>
      <c r="C533" s="407"/>
      <c r="D533" s="408"/>
      <c r="E533" s="409"/>
      <c r="F533" s="408"/>
      <c r="G533" s="408"/>
      <c r="H533" s="410"/>
      <c r="I533" s="408"/>
      <c r="J533" s="408"/>
      <c r="K533" s="408"/>
      <c r="L533" s="288"/>
      <c r="N533" s="288"/>
      <c r="O533" s="287"/>
      <c r="P533" s="288"/>
    </row>
    <row r="534" spans="1:16">
      <c r="A534" s="292"/>
      <c r="B534" s="297"/>
      <c r="C534" s="407"/>
      <c r="D534" s="408"/>
      <c r="E534" s="409"/>
      <c r="F534" s="408"/>
      <c r="G534" s="408"/>
      <c r="H534" s="410"/>
      <c r="I534" s="408"/>
      <c r="J534" s="408"/>
      <c r="K534" s="408"/>
      <c r="L534" s="288"/>
      <c r="N534" s="288"/>
      <c r="O534" s="287"/>
      <c r="P534" s="288"/>
    </row>
    <row r="535" spans="1:16">
      <c r="A535" s="292"/>
      <c r="B535" s="297"/>
      <c r="C535" s="407"/>
      <c r="D535" s="408"/>
      <c r="E535" s="409"/>
      <c r="F535" s="408"/>
      <c r="G535" s="408"/>
      <c r="H535" s="410"/>
      <c r="I535" s="408"/>
      <c r="J535" s="408"/>
      <c r="K535" s="408"/>
      <c r="L535" s="288"/>
      <c r="N535" s="288"/>
      <c r="O535" s="287"/>
      <c r="P535" s="288"/>
    </row>
    <row r="536" spans="1:16">
      <c r="A536" s="292"/>
      <c r="B536" s="297"/>
      <c r="C536" s="407"/>
      <c r="D536" s="408"/>
      <c r="E536" s="409"/>
      <c r="F536" s="408"/>
      <c r="G536" s="408"/>
      <c r="H536" s="410"/>
      <c r="I536" s="408"/>
      <c r="J536" s="408"/>
      <c r="K536" s="408"/>
      <c r="L536" s="288"/>
      <c r="N536" s="288"/>
      <c r="O536" s="287"/>
      <c r="P536" s="288"/>
    </row>
    <row r="537" spans="1:16">
      <c r="A537" s="292"/>
      <c r="B537" s="297"/>
      <c r="C537" s="407"/>
      <c r="D537" s="408"/>
      <c r="E537" s="409"/>
      <c r="F537" s="408"/>
      <c r="G537" s="408"/>
      <c r="H537" s="410"/>
      <c r="I537" s="408"/>
      <c r="J537" s="408"/>
      <c r="K537" s="408"/>
      <c r="L537" s="288"/>
      <c r="N537" s="288"/>
      <c r="O537" s="287"/>
      <c r="P537" s="288"/>
    </row>
    <row r="538" spans="1:16">
      <c r="A538" s="292"/>
      <c r="B538" s="297"/>
      <c r="C538" s="407"/>
      <c r="D538" s="408"/>
      <c r="E538" s="409"/>
      <c r="F538" s="408"/>
      <c r="G538" s="408"/>
      <c r="H538" s="410"/>
      <c r="I538" s="408"/>
      <c r="J538" s="408"/>
      <c r="K538" s="408"/>
      <c r="L538" s="288"/>
      <c r="N538" s="288"/>
      <c r="O538" s="287"/>
      <c r="P538" s="288"/>
    </row>
    <row r="539" spans="1:16">
      <c r="A539" s="292"/>
      <c r="B539" s="297"/>
      <c r="C539" s="407"/>
      <c r="D539" s="408"/>
      <c r="E539" s="409"/>
      <c r="F539" s="408"/>
      <c r="G539" s="408"/>
      <c r="H539" s="410"/>
      <c r="I539" s="408"/>
      <c r="J539" s="408"/>
      <c r="K539" s="408"/>
      <c r="L539" s="288"/>
      <c r="N539" s="288"/>
      <c r="O539" s="287"/>
      <c r="P539" s="288"/>
    </row>
    <row r="540" spans="1:16">
      <c r="A540" s="292"/>
      <c r="B540" s="297"/>
      <c r="C540" s="407"/>
      <c r="D540" s="408"/>
      <c r="E540" s="409"/>
      <c r="F540" s="408"/>
      <c r="G540" s="408"/>
      <c r="H540" s="410"/>
      <c r="I540" s="408"/>
      <c r="J540" s="408"/>
      <c r="K540" s="408"/>
      <c r="L540" s="288"/>
      <c r="N540" s="288"/>
      <c r="O540" s="287"/>
      <c r="P540" s="288"/>
    </row>
    <row r="541" spans="1:16">
      <c r="A541" s="292"/>
      <c r="B541" s="297"/>
      <c r="C541" s="407"/>
      <c r="D541" s="408"/>
      <c r="E541" s="409"/>
      <c r="F541" s="408"/>
      <c r="G541" s="408"/>
      <c r="H541" s="410"/>
      <c r="I541" s="408"/>
      <c r="J541" s="408"/>
      <c r="K541" s="408"/>
      <c r="L541" s="288"/>
      <c r="N541" s="288"/>
      <c r="O541" s="287"/>
      <c r="P541" s="288"/>
    </row>
    <row r="542" spans="1:16">
      <c r="A542" s="292"/>
      <c r="B542" s="297"/>
      <c r="C542" s="407"/>
      <c r="D542" s="408"/>
      <c r="E542" s="409"/>
      <c r="F542" s="408"/>
      <c r="G542" s="408"/>
      <c r="H542" s="410"/>
      <c r="I542" s="408"/>
      <c r="J542" s="408"/>
      <c r="K542" s="408"/>
      <c r="L542" s="288"/>
      <c r="N542" s="288"/>
      <c r="O542" s="287"/>
      <c r="P542" s="288"/>
    </row>
    <row r="543" spans="1:16">
      <c r="A543" s="292"/>
      <c r="B543" s="297"/>
      <c r="C543" s="407"/>
      <c r="D543" s="408"/>
      <c r="E543" s="409"/>
      <c r="F543" s="408"/>
      <c r="G543" s="408"/>
      <c r="H543" s="410"/>
      <c r="I543" s="408"/>
      <c r="J543" s="408"/>
      <c r="K543" s="408"/>
      <c r="L543" s="288"/>
      <c r="N543" s="288"/>
      <c r="O543" s="287"/>
      <c r="P543" s="288"/>
    </row>
    <row r="544" spans="1:16">
      <c r="A544" s="292"/>
      <c r="B544" s="297"/>
      <c r="C544" s="407"/>
      <c r="D544" s="408"/>
      <c r="E544" s="409"/>
      <c r="F544" s="408"/>
      <c r="G544" s="408"/>
      <c r="H544" s="410"/>
      <c r="I544" s="408"/>
      <c r="J544" s="408"/>
      <c r="K544" s="408"/>
      <c r="L544" s="288"/>
      <c r="N544" s="288"/>
      <c r="O544" s="287"/>
      <c r="P544" s="288"/>
    </row>
    <row r="545" spans="1:16">
      <c r="A545" s="292"/>
      <c r="B545" s="297"/>
      <c r="C545" s="407"/>
      <c r="D545" s="408"/>
      <c r="E545" s="409"/>
      <c r="F545" s="408"/>
      <c r="G545" s="408"/>
      <c r="H545" s="410"/>
      <c r="I545" s="408"/>
      <c r="J545" s="408"/>
      <c r="K545" s="408"/>
      <c r="L545" s="288"/>
      <c r="N545" s="288"/>
      <c r="O545" s="287"/>
      <c r="P545" s="288"/>
    </row>
    <row r="546" spans="1:16">
      <c r="A546" s="292"/>
      <c r="B546" s="297"/>
      <c r="C546" s="407"/>
      <c r="D546" s="408"/>
      <c r="E546" s="409"/>
      <c r="F546" s="408"/>
      <c r="G546" s="408"/>
      <c r="H546" s="410"/>
      <c r="I546" s="408"/>
      <c r="J546" s="408"/>
      <c r="K546" s="408"/>
      <c r="L546" s="288"/>
      <c r="N546" s="288"/>
      <c r="O546" s="287"/>
      <c r="P546" s="288"/>
    </row>
    <row r="547" spans="1:16">
      <c r="A547" s="292"/>
      <c r="B547" s="297"/>
      <c r="C547" s="407"/>
      <c r="D547" s="408"/>
      <c r="E547" s="409"/>
      <c r="F547" s="408"/>
      <c r="G547" s="408"/>
      <c r="H547" s="410"/>
      <c r="I547" s="408"/>
      <c r="J547" s="408"/>
      <c r="K547" s="408"/>
      <c r="L547" s="288"/>
      <c r="N547" s="288"/>
      <c r="O547" s="287"/>
      <c r="P547" s="288"/>
    </row>
    <row r="548" spans="1:16">
      <c r="A548" s="292"/>
      <c r="B548" s="297"/>
      <c r="C548" s="407"/>
      <c r="D548" s="408"/>
      <c r="E548" s="409"/>
      <c r="F548" s="408"/>
      <c r="G548" s="408"/>
      <c r="H548" s="410"/>
      <c r="I548" s="408"/>
      <c r="J548" s="408"/>
      <c r="K548" s="408"/>
      <c r="L548" s="288"/>
      <c r="N548" s="288"/>
      <c r="O548" s="287"/>
      <c r="P548" s="288"/>
    </row>
    <row r="549" spans="1:16">
      <c r="A549" s="292"/>
      <c r="B549" s="297"/>
      <c r="C549" s="407"/>
      <c r="D549" s="408"/>
      <c r="E549" s="409"/>
      <c r="F549" s="408"/>
      <c r="G549" s="408"/>
      <c r="H549" s="410"/>
      <c r="I549" s="408"/>
      <c r="J549" s="408"/>
      <c r="K549" s="408"/>
      <c r="L549" s="288"/>
      <c r="N549" s="288"/>
      <c r="O549" s="287"/>
      <c r="P549" s="288"/>
    </row>
    <row r="550" spans="1:16">
      <c r="A550" s="292"/>
      <c r="B550" s="297"/>
      <c r="C550" s="407"/>
      <c r="D550" s="408"/>
      <c r="E550" s="409"/>
      <c r="F550" s="408"/>
      <c r="G550" s="408"/>
      <c r="H550" s="410"/>
      <c r="I550" s="408"/>
      <c r="J550" s="408"/>
      <c r="K550" s="408"/>
      <c r="L550" s="288"/>
      <c r="N550" s="288"/>
      <c r="O550" s="287"/>
      <c r="P550" s="288"/>
    </row>
    <row r="551" spans="1:16">
      <c r="A551" s="292"/>
      <c r="B551" s="297"/>
      <c r="C551" s="407"/>
      <c r="D551" s="408"/>
      <c r="E551" s="409"/>
      <c r="F551" s="408"/>
      <c r="G551" s="408"/>
      <c r="H551" s="410"/>
      <c r="I551" s="408"/>
      <c r="J551" s="408"/>
      <c r="K551" s="408"/>
      <c r="L551" s="288"/>
      <c r="N551" s="288"/>
      <c r="O551" s="287"/>
      <c r="P551" s="288"/>
    </row>
    <row r="552" spans="1:16">
      <c r="A552" s="292"/>
      <c r="B552" s="297"/>
      <c r="C552" s="407"/>
      <c r="D552" s="408"/>
      <c r="E552" s="409"/>
      <c r="F552" s="408"/>
      <c r="G552" s="408"/>
      <c r="H552" s="410"/>
      <c r="I552" s="408"/>
      <c r="J552" s="408"/>
      <c r="K552" s="408"/>
      <c r="L552" s="288"/>
      <c r="N552" s="288"/>
      <c r="O552" s="287"/>
      <c r="P552" s="288"/>
    </row>
    <row r="553" spans="1:16">
      <c r="A553" s="292"/>
      <c r="B553" s="297"/>
      <c r="C553" s="407"/>
      <c r="D553" s="408"/>
      <c r="E553" s="409"/>
      <c r="F553" s="408"/>
      <c r="G553" s="408"/>
      <c r="H553" s="410"/>
      <c r="I553" s="408"/>
      <c r="J553" s="408"/>
      <c r="K553" s="408"/>
      <c r="L553" s="288"/>
      <c r="N553" s="288"/>
      <c r="O553" s="287"/>
      <c r="P553" s="288"/>
    </row>
    <row r="554" spans="1:16">
      <c r="A554" s="292"/>
      <c r="B554" s="297"/>
      <c r="C554" s="407"/>
      <c r="D554" s="408"/>
      <c r="E554" s="409"/>
      <c r="F554" s="408"/>
      <c r="G554" s="408"/>
      <c r="H554" s="410"/>
      <c r="I554" s="408"/>
      <c r="J554" s="408"/>
      <c r="K554" s="408"/>
      <c r="L554" s="288"/>
      <c r="N554" s="288"/>
      <c r="O554" s="287"/>
      <c r="P554" s="288"/>
    </row>
    <row r="555" spans="1:16">
      <c r="A555" s="292"/>
      <c r="B555" s="297"/>
      <c r="C555" s="407"/>
      <c r="D555" s="408"/>
      <c r="E555" s="409"/>
      <c r="F555" s="408"/>
      <c r="G555" s="408"/>
      <c r="H555" s="410"/>
      <c r="I555" s="408"/>
      <c r="J555" s="408"/>
      <c r="K555" s="408"/>
      <c r="L555" s="288"/>
      <c r="N555" s="288"/>
      <c r="O555" s="287"/>
      <c r="P555" s="288"/>
    </row>
    <row r="556" spans="1:16">
      <c r="A556" s="292"/>
      <c r="B556" s="297"/>
      <c r="C556" s="407"/>
      <c r="D556" s="408"/>
      <c r="E556" s="409"/>
      <c r="F556" s="408"/>
      <c r="G556" s="408"/>
      <c r="H556" s="410"/>
      <c r="I556" s="408"/>
      <c r="J556" s="408"/>
      <c r="K556" s="408"/>
      <c r="L556" s="288"/>
      <c r="N556" s="288"/>
      <c r="O556" s="287"/>
      <c r="P556" s="288"/>
    </row>
    <row r="557" spans="1:16">
      <c r="A557" s="292"/>
      <c r="B557" s="297"/>
      <c r="C557" s="407"/>
      <c r="D557" s="408"/>
      <c r="E557" s="409"/>
      <c r="F557" s="408"/>
      <c r="G557" s="408"/>
      <c r="H557" s="410"/>
      <c r="I557" s="408"/>
      <c r="J557" s="408"/>
      <c r="K557" s="408"/>
      <c r="L557" s="288"/>
      <c r="N557" s="288"/>
      <c r="O557" s="287"/>
      <c r="P557" s="288"/>
    </row>
    <row r="558" spans="1:16">
      <c r="A558" s="292"/>
      <c r="B558" s="297"/>
      <c r="C558" s="407"/>
      <c r="D558" s="408"/>
      <c r="E558" s="409"/>
      <c r="F558" s="408"/>
      <c r="G558" s="408"/>
      <c r="H558" s="410"/>
      <c r="I558" s="408"/>
      <c r="J558" s="408"/>
      <c r="K558" s="408"/>
      <c r="L558" s="288"/>
      <c r="N558" s="288"/>
      <c r="O558" s="287"/>
      <c r="P558" s="288"/>
    </row>
    <row r="559" spans="1:16">
      <c r="A559" s="292"/>
      <c r="B559" s="297"/>
      <c r="C559" s="407"/>
      <c r="D559" s="408"/>
      <c r="E559" s="409"/>
      <c r="F559" s="408"/>
      <c r="G559" s="408"/>
      <c r="H559" s="410"/>
      <c r="I559" s="408"/>
      <c r="J559" s="408"/>
      <c r="K559" s="408"/>
      <c r="L559" s="288"/>
      <c r="N559" s="288"/>
      <c r="O559" s="287"/>
      <c r="P559" s="288"/>
    </row>
    <row r="560" spans="1:16">
      <c r="A560" s="292"/>
      <c r="B560" s="297"/>
      <c r="C560" s="407"/>
      <c r="D560" s="408"/>
      <c r="E560" s="409"/>
      <c r="F560" s="408"/>
      <c r="G560" s="408"/>
      <c r="H560" s="410"/>
      <c r="I560" s="408"/>
      <c r="J560" s="408"/>
      <c r="K560" s="408"/>
      <c r="L560" s="288"/>
      <c r="N560" s="288"/>
      <c r="O560" s="287"/>
      <c r="P560" s="288"/>
    </row>
    <row r="561" spans="1:16">
      <c r="A561" s="292"/>
      <c r="B561" s="297"/>
      <c r="C561" s="407"/>
      <c r="D561" s="408"/>
      <c r="E561" s="409"/>
      <c r="F561" s="408"/>
      <c r="G561" s="408"/>
      <c r="H561" s="410"/>
      <c r="I561" s="408"/>
      <c r="J561" s="408"/>
      <c r="K561" s="408"/>
      <c r="L561" s="288"/>
      <c r="N561" s="288"/>
      <c r="O561" s="287"/>
      <c r="P561" s="288"/>
    </row>
    <row r="562" spans="1:16">
      <c r="A562" s="292"/>
      <c r="B562" s="297"/>
      <c r="C562" s="407"/>
      <c r="D562" s="408"/>
      <c r="E562" s="409"/>
      <c r="F562" s="408"/>
      <c r="G562" s="408"/>
      <c r="H562" s="410"/>
      <c r="I562" s="408"/>
      <c r="J562" s="408"/>
      <c r="K562" s="408"/>
      <c r="L562" s="288"/>
      <c r="N562" s="288"/>
      <c r="O562" s="287"/>
      <c r="P562" s="288"/>
    </row>
    <row r="563" spans="1:16">
      <c r="A563" s="292"/>
      <c r="B563" s="297"/>
      <c r="C563" s="407"/>
      <c r="D563" s="408"/>
      <c r="E563" s="409"/>
      <c r="F563" s="408"/>
      <c r="G563" s="408"/>
      <c r="H563" s="410"/>
      <c r="I563" s="408"/>
      <c r="J563" s="408"/>
      <c r="K563" s="408"/>
      <c r="L563" s="288"/>
      <c r="N563" s="288"/>
      <c r="O563" s="287"/>
      <c r="P563" s="288"/>
    </row>
    <row r="564" spans="1:16">
      <c r="A564" s="292"/>
      <c r="B564" s="297"/>
      <c r="C564" s="407"/>
      <c r="D564" s="408"/>
      <c r="E564" s="409"/>
      <c r="F564" s="408"/>
      <c r="G564" s="408"/>
      <c r="H564" s="410"/>
      <c r="I564" s="408"/>
      <c r="J564" s="408"/>
      <c r="K564" s="408"/>
      <c r="L564" s="288"/>
      <c r="N564" s="288"/>
      <c r="O564" s="287"/>
      <c r="P564" s="288"/>
    </row>
    <row r="565" spans="1:16">
      <c r="A565" s="292"/>
      <c r="B565" s="297"/>
      <c r="C565" s="407"/>
      <c r="D565" s="408"/>
      <c r="E565" s="409"/>
      <c r="F565" s="408"/>
      <c r="G565" s="408"/>
      <c r="H565" s="410"/>
      <c r="I565" s="408"/>
      <c r="J565" s="408"/>
      <c r="K565" s="408"/>
      <c r="L565" s="288"/>
      <c r="N565" s="288"/>
      <c r="O565" s="287"/>
      <c r="P565" s="288"/>
    </row>
    <row r="566" spans="1:16">
      <c r="A566" s="292"/>
      <c r="B566" s="297"/>
      <c r="C566" s="407"/>
      <c r="D566" s="408"/>
      <c r="E566" s="409"/>
      <c r="F566" s="408"/>
      <c r="G566" s="408"/>
      <c r="H566" s="410"/>
      <c r="I566" s="408"/>
      <c r="J566" s="408"/>
      <c r="K566" s="408"/>
      <c r="L566" s="288"/>
      <c r="N566" s="288"/>
      <c r="O566" s="287"/>
      <c r="P566" s="288"/>
    </row>
    <row r="567" spans="1:16">
      <c r="A567" s="292"/>
      <c r="B567" s="297"/>
      <c r="C567" s="407"/>
      <c r="D567" s="408"/>
      <c r="E567" s="409"/>
      <c r="F567" s="408"/>
      <c r="G567" s="408"/>
      <c r="H567" s="410"/>
      <c r="I567" s="408"/>
      <c r="J567" s="408"/>
      <c r="K567" s="408"/>
      <c r="L567" s="288"/>
      <c r="N567" s="288"/>
      <c r="O567" s="287"/>
      <c r="P567" s="288"/>
    </row>
    <row r="568" spans="1:16">
      <c r="A568" s="292"/>
      <c r="B568" s="297"/>
      <c r="C568" s="407"/>
      <c r="D568" s="408"/>
      <c r="E568" s="409"/>
      <c r="F568" s="408"/>
      <c r="G568" s="408"/>
      <c r="H568" s="410"/>
      <c r="I568" s="408"/>
      <c r="J568" s="408"/>
      <c r="K568" s="408"/>
      <c r="L568" s="288"/>
      <c r="N568" s="288"/>
      <c r="O568" s="287"/>
      <c r="P568" s="288"/>
    </row>
    <row r="569" spans="1:16">
      <c r="A569" s="292"/>
      <c r="B569" s="297"/>
      <c r="C569" s="407"/>
      <c r="D569" s="408"/>
      <c r="E569" s="409"/>
      <c r="F569" s="408"/>
      <c r="G569" s="408"/>
      <c r="H569" s="410"/>
      <c r="I569" s="408"/>
      <c r="J569" s="408"/>
      <c r="K569" s="408"/>
      <c r="L569" s="288"/>
      <c r="N569" s="288"/>
      <c r="O569" s="287"/>
      <c r="P569" s="288"/>
    </row>
    <row r="570" spans="1:16">
      <c r="A570" s="292"/>
      <c r="B570" s="297"/>
      <c r="C570" s="407"/>
      <c r="D570" s="408"/>
      <c r="E570" s="409"/>
      <c r="F570" s="408"/>
      <c r="G570" s="408"/>
      <c r="H570" s="410"/>
      <c r="I570" s="408"/>
      <c r="J570" s="408"/>
      <c r="K570" s="408"/>
      <c r="L570" s="288"/>
      <c r="N570" s="288"/>
      <c r="O570" s="287"/>
      <c r="P570" s="288"/>
    </row>
    <row r="571" spans="1:16">
      <c r="A571" s="292"/>
      <c r="B571" s="297"/>
      <c r="C571" s="407"/>
      <c r="D571" s="408"/>
      <c r="E571" s="409"/>
      <c r="F571" s="408"/>
      <c r="G571" s="408"/>
      <c r="H571" s="410"/>
      <c r="I571" s="408"/>
      <c r="J571" s="408"/>
      <c r="K571" s="408"/>
      <c r="L571" s="288"/>
      <c r="N571" s="288"/>
      <c r="O571" s="287"/>
      <c r="P571" s="288"/>
    </row>
    <row r="572" spans="1:16">
      <c r="A572" s="292"/>
      <c r="B572" s="297"/>
      <c r="C572" s="407"/>
      <c r="D572" s="408"/>
      <c r="E572" s="409"/>
      <c r="F572" s="408"/>
      <c r="G572" s="408"/>
      <c r="H572" s="410"/>
      <c r="I572" s="408"/>
      <c r="J572" s="408"/>
      <c r="K572" s="408"/>
      <c r="L572" s="288"/>
      <c r="N572" s="288"/>
      <c r="O572" s="287"/>
      <c r="P572" s="288"/>
    </row>
    <row r="573" spans="1:16">
      <c r="A573" s="292"/>
      <c r="B573" s="297"/>
      <c r="C573" s="407"/>
      <c r="D573" s="408"/>
      <c r="E573" s="409"/>
      <c r="F573" s="408"/>
      <c r="G573" s="408"/>
      <c r="H573" s="410"/>
      <c r="I573" s="408"/>
      <c r="J573" s="408"/>
      <c r="K573" s="408"/>
      <c r="L573" s="288"/>
      <c r="N573" s="288"/>
      <c r="O573" s="287"/>
      <c r="P573" s="288"/>
    </row>
    <row r="574" spans="1:16">
      <c r="A574" s="292"/>
      <c r="B574" s="297"/>
      <c r="C574" s="407"/>
      <c r="D574" s="408"/>
      <c r="E574" s="409"/>
      <c r="F574" s="408"/>
      <c r="G574" s="408"/>
      <c r="H574" s="410"/>
      <c r="I574" s="408"/>
      <c r="J574" s="408"/>
      <c r="K574" s="408"/>
      <c r="L574" s="288"/>
      <c r="N574" s="288"/>
      <c r="O574" s="287"/>
      <c r="P574" s="288"/>
    </row>
    <row r="575" spans="1:16">
      <c r="A575" s="292"/>
      <c r="B575" s="297"/>
      <c r="C575" s="407"/>
      <c r="D575" s="408"/>
      <c r="E575" s="409"/>
      <c r="F575" s="408"/>
      <c r="G575" s="408"/>
      <c r="H575" s="410"/>
      <c r="I575" s="408"/>
      <c r="J575" s="408"/>
      <c r="K575" s="408"/>
      <c r="L575" s="288"/>
      <c r="N575" s="288"/>
      <c r="O575" s="287"/>
      <c r="P575" s="288"/>
    </row>
    <row r="576" spans="1:16">
      <c r="A576" s="292"/>
      <c r="B576" s="297"/>
      <c r="C576" s="407"/>
      <c r="D576" s="408"/>
      <c r="E576" s="409"/>
      <c r="F576" s="408"/>
      <c r="G576" s="408"/>
      <c r="H576" s="410"/>
      <c r="I576" s="408"/>
      <c r="J576" s="408"/>
      <c r="K576" s="408"/>
      <c r="L576" s="288"/>
      <c r="N576" s="288"/>
      <c r="O576" s="287"/>
      <c r="P576" s="288"/>
    </row>
    <row r="577" spans="1:16">
      <c r="A577" s="292"/>
      <c r="B577" s="297"/>
      <c r="C577" s="407"/>
      <c r="D577" s="408"/>
      <c r="E577" s="409"/>
      <c r="F577" s="408"/>
      <c r="G577" s="408"/>
      <c r="H577" s="410"/>
      <c r="I577" s="408"/>
      <c r="J577" s="408"/>
      <c r="K577" s="408"/>
      <c r="L577" s="288"/>
      <c r="N577" s="288"/>
      <c r="O577" s="287"/>
      <c r="P577" s="288"/>
    </row>
    <row r="578" spans="1:16">
      <c r="A578" s="292"/>
      <c r="B578" s="297"/>
      <c r="C578" s="407"/>
      <c r="D578" s="408"/>
      <c r="E578" s="409"/>
      <c r="F578" s="408"/>
      <c r="G578" s="408"/>
      <c r="H578" s="410"/>
      <c r="I578" s="408"/>
      <c r="J578" s="408"/>
      <c r="K578" s="408"/>
      <c r="L578" s="288"/>
      <c r="N578" s="288"/>
      <c r="O578" s="287"/>
      <c r="P578" s="288"/>
    </row>
    <row r="579" spans="1:16">
      <c r="A579" s="292"/>
      <c r="B579" s="297"/>
      <c r="C579" s="407"/>
      <c r="D579" s="408"/>
      <c r="E579" s="409"/>
      <c r="F579" s="408"/>
      <c r="G579" s="408"/>
      <c r="H579" s="410"/>
      <c r="I579" s="408"/>
      <c r="J579" s="408"/>
      <c r="K579" s="408"/>
      <c r="L579" s="288"/>
      <c r="N579" s="288"/>
      <c r="O579" s="287"/>
      <c r="P579" s="288"/>
    </row>
    <row r="580" spans="1:16">
      <c r="A580" s="292"/>
      <c r="B580" s="297"/>
      <c r="C580" s="407"/>
      <c r="D580" s="408"/>
      <c r="E580" s="409"/>
      <c r="F580" s="408"/>
      <c r="G580" s="408"/>
      <c r="H580" s="410"/>
      <c r="I580" s="408"/>
      <c r="J580" s="408"/>
      <c r="K580" s="408"/>
      <c r="L580" s="288"/>
      <c r="N580" s="288"/>
      <c r="O580" s="287"/>
      <c r="P580" s="288"/>
    </row>
    <row r="581" spans="1:16">
      <c r="A581" s="292"/>
      <c r="B581" s="297"/>
      <c r="C581" s="407"/>
      <c r="D581" s="408"/>
      <c r="E581" s="409"/>
      <c r="F581" s="408"/>
      <c r="G581" s="408"/>
      <c r="H581" s="410"/>
      <c r="I581" s="408"/>
      <c r="J581" s="408"/>
      <c r="K581" s="408"/>
      <c r="L581" s="288"/>
      <c r="N581" s="288"/>
      <c r="O581" s="287"/>
      <c r="P581" s="288"/>
    </row>
    <row r="582" spans="1:16">
      <c r="A582" s="292"/>
      <c r="B582" s="297"/>
      <c r="C582" s="407"/>
      <c r="D582" s="408"/>
      <c r="E582" s="409"/>
      <c r="F582" s="408"/>
      <c r="G582" s="408"/>
      <c r="H582" s="410"/>
      <c r="I582" s="408"/>
      <c r="J582" s="408"/>
      <c r="K582" s="408"/>
      <c r="L582" s="288"/>
      <c r="N582" s="288"/>
      <c r="O582" s="287"/>
      <c r="P582" s="288"/>
    </row>
    <row r="583" spans="1:16">
      <c r="A583" s="292"/>
      <c r="B583" s="297"/>
      <c r="C583" s="407"/>
      <c r="D583" s="408"/>
      <c r="E583" s="409"/>
      <c r="F583" s="408"/>
      <c r="G583" s="408"/>
      <c r="H583" s="410"/>
      <c r="I583" s="408"/>
      <c r="J583" s="408"/>
      <c r="K583" s="408"/>
      <c r="L583" s="288"/>
      <c r="N583" s="288"/>
      <c r="O583" s="287"/>
      <c r="P583" s="288"/>
    </row>
    <row r="584" spans="1:16">
      <c r="A584" s="292"/>
      <c r="B584" s="297"/>
      <c r="C584" s="407"/>
      <c r="D584" s="408"/>
      <c r="E584" s="409"/>
      <c r="F584" s="408"/>
      <c r="G584" s="408"/>
      <c r="H584" s="410"/>
      <c r="I584" s="408"/>
      <c r="J584" s="408"/>
      <c r="K584" s="408"/>
      <c r="L584" s="288"/>
      <c r="N584" s="288"/>
      <c r="O584" s="287"/>
      <c r="P584" s="288"/>
    </row>
    <row r="585" spans="1:16">
      <c r="A585" s="292"/>
      <c r="B585" s="297"/>
      <c r="C585" s="407"/>
      <c r="D585" s="408"/>
      <c r="E585" s="409"/>
      <c r="F585" s="408"/>
      <c r="G585" s="408"/>
      <c r="H585" s="410"/>
      <c r="I585" s="408"/>
      <c r="J585" s="408"/>
      <c r="K585" s="408"/>
      <c r="L585" s="288"/>
      <c r="N585" s="288"/>
      <c r="O585" s="287"/>
      <c r="P585" s="288"/>
    </row>
    <row r="586" spans="1:16">
      <c r="A586" s="292"/>
      <c r="B586" s="297"/>
      <c r="C586" s="407"/>
      <c r="D586" s="408"/>
      <c r="E586" s="409"/>
      <c r="F586" s="408"/>
      <c r="G586" s="408"/>
      <c r="H586" s="410"/>
      <c r="I586" s="408"/>
      <c r="J586" s="408"/>
      <c r="K586" s="408"/>
      <c r="L586" s="288"/>
      <c r="N586" s="288"/>
      <c r="O586" s="287"/>
      <c r="P586" s="288"/>
    </row>
    <row r="587" spans="1:16">
      <c r="A587" s="292"/>
      <c r="B587" s="297"/>
      <c r="C587" s="407"/>
      <c r="D587" s="408"/>
      <c r="E587" s="409"/>
      <c r="F587" s="408"/>
      <c r="G587" s="408"/>
      <c r="H587" s="410"/>
      <c r="I587" s="408"/>
      <c r="J587" s="408"/>
      <c r="K587" s="408"/>
      <c r="L587" s="288"/>
      <c r="N587" s="288"/>
      <c r="O587" s="287"/>
      <c r="P587" s="288"/>
    </row>
    <row r="588" spans="1:16">
      <c r="A588" s="292"/>
      <c r="B588" s="297"/>
      <c r="C588" s="407"/>
      <c r="D588" s="408"/>
      <c r="E588" s="409"/>
      <c r="F588" s="408"/>
      <c r="G588" s="408"/>
      <c r="H588" s="410"/>
      <c r="I588" s="408"/>
      <c r="J588" s="408"/>
      <c r="K588" s="408"/>
      <c r="L588" s="288"/>
      <c r="N588" s="288"/>
      <c r="O588" s="287"/>
      <c r="P588" s="288"/>
    </row>
    <row r="589" spans="1:16">
      <c r="A589" s="292"/>
      <c r="B589" s="297"/>
      <c r="C589" s="407"/>
      <c r="D589" s="408"/>
      <c r="E589" s="409"/>
      <c r="F589" s="408"/>
      <c r="G589" s="408"/>
      <c r="H589" s="410"/>
      <c r="I589" s="408"/>
      <c r="J589" s="408"/>
      <c r="K589" s="408"/>
      <c r="L589" s="288"/>
      <c r="N589" s="288"/>
      <c r="O589" s="287"/>
      <c r="P589" s="288"/>
    </row>
    <row r="590" spans="1:16">
      <c r="A590" s="292"/>
      <c r="B590" s="297"/>
      <c r="C590" s="407"/>
      <c r="D590" s="408"/>
      <c r="E590" s="409"/>
      <c r="F590" s="408"/>
      <c r="G590" s="408"/>
      <c r="H590" s="410"/>
      <c r="I590" s="408"/>
      <c r="J590" s="408"/>
      <c r="K590" s="408"/>
      <c r="L590" s="288"/>
      <c r="N590" s="288"/>
      <c r="O590" s="287"/>
      <c r="P590" s="288"/>
    </row>
    <row r="591" spans="1:16">
      <c r="A591" s="292"/>
      <c r="B591" s="297"/>
      <c r="C591" s="407"/>
      <c r="D591" s="408"/>
      <c r="E591" s="409"/>
      <c r="F591" s="408"/>
      <c r="G591" s="408"/>
      <c r="H591" s="410"/>
      <c r="I591" s="408"/>
      <c r="J591" s="408"/>
      <c r="K591" s="408"/>
      <c r="L591" s="288"/>
      <c r="N591" s="288"/>
      <c r="O591" s="287"/>
      <c r="P591" s="288"/>
    </row>
    <row r="592" spans="1:16">
      <c r="A592" s="292"/>
      <c r="B592" s="297"/>
      <c r="C592" s="407"/>
      <c r="D592" s="408"/>
      <c r="E592" s="409"/>
      <c r="F592" s="408"/>
      <c r="G592" s="408"/>
      <c r="H592" s="410"/>
      <c r="I592" s="408"/>
      <c r="J592" s="408"/>
      <c r="K592" s="408"/>
      <c r="L592" s="288"/>
      <c r="N592" s="288"/>
      <c r="O592" s="287"/>
      <c r="P592" s="288"/>
    </row>
    <row r="593" spans="1:16">
      <c r="A593" s="292"/>
      <c r="B593" s="297"/>
      <c r="C593" s="407"/>
      <c r="D593" s="408"/>
      <c r="E593" s="409"/>
      <c r="F593" s="408"/>
      <c r="G593" s="408"/>
      <c r="H593" s="410"/>
      <c r="I593" s="408"/>
      <c r="J593" s="408"/>
      <c r="K593" s="408"/>
      <c r="L593" s="288"/>
      <c r="N593" s="288"/>
      <c r="O593" s="287"/>
      <c r="P593" s="288"/>
    </row>
    <row r="594" spans="1:16">
      <c r="A594" s="292"/>
      <c r="B594" s="297"/>
      <c r="C594" s="407"/>
      <c r="D594" s="408"/>
      <c r="E594" s="409"/>
      <c r="F594" s="408"/>
      <c r="G594" s="408"/>
      <c r="H594" s="410"/>
      <c r="I594" s="408"/>
      <c r="J594" s="408"/>
      <c r="K594" s="408"/>
      <c r="L594" s="288"/>
      <c r="N594" s="288"/>
      <c r="O594" s="287"/>
      <c r="P594" s="288"/>
    </row>
    <row r="595" spans="1:16">
      <c r="A595" s="292"/>
      <c r="B595" s="297"/>
      <c r="C595" s="407"/>
      <c r="D595" s="408"/>
      <c r="E595" s="409"/>
      <c r="F595" s="408"/>
      <c r="G595" s="408"/>
      <c r="H595" s="410"/>
      <c r="I595" s="408"/>
      <c r="J595" s="408"/>
      <c r="K595" s="408"/>
      <c r="L595" s="288"/>
      <c r="N595" s="288"/>
      <c r="O595" s="287"/>
      <c r="P595" s="288"/>
    </row>
    <row r="596" spans="1:16">
      <c r="A596" s="292"/>
      <c r="B596" s="297"/>
      <c r="C596" s="407"/>
      <c r="D596" s="408"/>
      <c r="E596" s="409"/>
      <c r="F596" s="408"/>
      <c r="G596" s="408"/>
      <c r="H596" s="410"/>
      <c r="I596" s="408"/>
      <c r="J596" s="408"/>
      <c r="K596" s="408"/>
      <c r="L596" s="288"/>
      <c r="N596" s="288"/>
      <c r="O596" s="287"/>
      <c r="P596" s="288"/>
    </row>
    <row r="597" spans="1:16">
      <c r="A597" s="292"/>
      <c r="B597" s="297"/>
      <c r="C597" s="407"/>
      <c r="D597" s="408"/>
      <c r="E597" s="409"/>
      <c r="F597" s="408"/>
      <c r="G597" s="408"/>
      <c r="H597" s="410"/>
      <c r="I597" s="408"/>
      <c r="J597" s="408"/>
      <c r="K597" s="408"/>
      <c r="L597" s="288"/>
      <c r="N597" s="288"/>
      <c r="O597" s="287"/>
      <c r="P597" s="288"/>
    </row>
    <row r="598" spans="1:16">
      <c r="A598" s="292"/>
      <c r="B598" s="297"/>
      <c r="C598" s="407"/>
      <c r="D598" s="408"/>
      <c r="E598" s="409"/>
      <c r="F598" s="408"/>
      <c r="G598" s="408"/>
      <c r="H598" s="410"/>
      <c r="I598" s="408"/>
      <c r="J598" s="408"/>
      <c r="K598" s="408"/>
      <c r="L598" s="288"/>
      <c r="N598" s="288"/>
      <c r="O598" s="287"/>
      <c r="P598" s="288"/>
    </row>
    <row r="599" spans="1:16">
      <c r="A599" s="292"/>
      <c r="B599" s="297"/>
      <c r="C599" s="407"/>
      <c r="D599" s="408"/>
      <c r="E599" s="409"/>
      <c r="F599" s="408"/>
      <c r="G599" s="408"/>
      <c r="H599" s="410"/>
      <c r="I599" s="408"/>
      <c r="J599" s="408"/>
      <c r="K599" s="408"/>
      <c r="L599" s="288"/>
      <c r="N599" s="288"/>
      <c r="O599" s="287"/>
      <c r="P599" s="288"/>
    </row>
    <row r="600" spans="1:16">
      <c r="A600" s="292"/>
      <c r="B600" s="297"/>
      <c r="C600" s="407"/>
      <c r="D600" s="408"/>
      <c r="E600" s="409"/>
      <c r="F600" s="408"/>
      <c r="G600" s="408"/>
      <c r="H600" s="410"/>
      <c r="I600" s="408"/>
      <c r="J600" s="408"/>
      <c r="K600" s="408"/>
      <c r="L600" s="288"/>
      <c r="N600" s="288"/>
      <c r="O600" s="287"/>
      <c r="P600" s="288"/>
    </row>
    <row r="601" spans="1:16">
      <c r="A601" s="292"/>
      <c r="B601" s="297"/>
      <c r="C601" s="407"/>
      <c r="D601" s="408"/>
      <c r="E601" s="409"/>
      <c r="F601" s="408"/>
      <c r="G601" s="408"/>
      <c r="H601" s="410"/>
      <c r="I601" s="408"/>
      <c r="J601" s="408"/>
      <c r="K601" s="408"/>
      <c r="L601" s="288"/>
      <c r="N601" s="288"/>
      <c r="O601" s="287"/>
      <c r="P601" s="288"/>
    </row>
    <row r="602" spans="1:16">
      <c r="A602" s="292"/>
      <c r="B602" s="297"/>
      <c r="C602" s="407"/>
      <c r="D602" s="408"/>
      <c r="E602" s="409"/>
      <c r="F602" s="408"/>
      <c r="G602" s="408"/>
      <c r="H602" s="410"/>
      <c r="I602" s="408"/>
      <c r="J602" s="408"/>
      <c r="K602" s="408"/>
      <c r="L602" s="288"/>
      <c r="N602" s="288"/>
      <c r="O602" s="287"/>
      <c r="P602" s="288"/>
    </row>
    <row r="603" spans="1:16">
      <c r="A603" s="292"/>
      <c r="B603" s="297"/>
      <c r="C603" s="407"/>
      <c r="D603" s="408"/>
      <c r="E603" s="409"/>
      <c r="F603" s="408"/>
      <c r="G603" s="408"/>
      <c r="H603" s="410"/>
      <c r="I603" s="408"/>
      <c r="J603" s="408"/>
      <c r="K603" s="408"/>
      <c r="L603" s="288"/>
      <c r="N603" s="288"/>
      <c r="O603" s="287"/>
      <c r="P603" s="288"/>
    </row>
    <row r="604" spans="1:16">
      <c r="A604" s="292"/>
      <c r="B604" s="297"/>
      <c r="C604" s="407"/>
      <c r="D604" s="408"/>
      <c r="E604" s="409"/>
      <c r="F604" s="408"/>
      <c r="G604" s="408"/>
      <c r="H604" s="410"/>
      <c r="I604" s="408"/>
      <c r="J604" s="408"/>
      <c r="K604" s="408"/>
      <c r="L604" s="288"/>
      <c r="N604" s="288"/>
      <c r="O604" s="287"/>
      <c r="P604" s="288"/>
    </row>
    <row r="605" spans="1:16">
      <c r="A605" s="292"/>
      <c r="B605" s="297"/>
      <c r="C605" s="407"/>
      <c r="D605" s="408"/>
      <c r="E605" s="409"/>
      <c r="F605" s="408"/>
      <c r="G605" s="408"/>
      <c r="H605" s="410"/>
      <c r="I605" s="408"/>
      <c r="J605" s="408"/>
      <c r="K605" s="408"/>
      <c r="L605" s="288"/>
      <c r="N605" s="288"/>
      <c r="O605" s="287"/>
      <c r="P605" s="288"/>
    </row>
    <row r="606" spans="1:16">
      <c r="A606" s="292"/>
      <c r="B606" s="297"/>
      <c r="C606" s="407"/>
      <c r="D606" s="408"/>
      <c r="E606" s="409"/>
      <c r="F606" s="408"/>
      <c r="G606" s="408"/>
      <c r="H606" s="410"/>
      <c r="I606" s="408"/>
      <c r="J606" s="408"/>
      <c r="K606" s="408"/>
      <c r="L606" s="288"/>
      <c r="N606" s="288"/>
      <c r="O606" s="287"/>
      <c r="P606" s="288"/>
    </row>
    <row r="607" spans="1:16">
      <c r="A607" s="292"/>
      <c r="B607" s="297"/>
      <c r="C607" s="407"/>
      <c r="D607" s="408"/>
      <c r="E607" s="409"/>
      <c r="F607" s="408"/>
      <c r="G607" s="408"/>
      <c r="H607" s="410"/>
      <c r="I607" s="408"/>
      <c r="J607" s="408"/>
      <c r="K607" s="408"/>
      <c r="L607" s="288"/>
      <c r="N607" s="288"/>
      <c r="O607" s="287"/>
      <c r="P607" s="288"/>
    </row>
    <row r="608" spans="1:16">
      <c r="A608" s="292"/>
      <c r="B608" s="297"/>
      <c r="C608" s="407"/>
      <c r="D608" s="408"/>
      <c r="E608" s="409"/>
      <c r="F608" s="408"/>
      <c r="G608" s="408"/>
      <c r="H608" s="410"/>
      <c r="I608" s="408"/>
      <c r="J608" s="408"/>
      <c r="K608" s="408"/>
      <c r="L608" s="288"/>
      <c r="N608" s="288"/>
      <c r="O608" s="287"/>
      <c r="P608" s="288"/>
    </row>
    <row r="609" spans="1:16">
      <c r="A609" s="292"/>
      <c r="B609" s="297"/>
      <c r="C609" s="407"/>
      <c r="D609" s="408"/>
      <c r="E609" s="409"/>
      <c r="F609" s="408"/>
      <c r="G609" s="408"/>
      <c r="H609" s="410"/>
      <c r="I609" s="408"/>
      <c r="J609" s="408"/>
      <c r="K609" s="408"/>
      <c r="L609" s="288"/>
      <c r="N609" s="288"/>
      <c r="O609" s="287"/>
      <c r="P609" s="288"/>
    </row>
    <row r="610" spans="1:16">
      <c r="A610" s="292"/>
      <c r="B610" s="297"/>
      <c r="C610" s="407"/>
      <c r="D610" s="408"/>
      <c r="E610" s="409"/>
      <c r="F610" s="408"/>
      <c r="G610" s="408"/>
      <c r="H610" s="410"/>
      <c r="I610" s="408"/>
      <c r="J610" s="408"/>
      <c r="K610" s="408"/>
      <c r="L610" s="288"/>
      <c r="N610" s="288"/>
      <c r="O610" s="287"/>
      <c r="P610" s="288"/>
    </row>
    <row r="611" spans="1:16">
      <c r="A611" s="292"/>
      <c r="B611" s="297"/>
      <c r="C611" s="407"/>
      <c r="D611" s="408"/>
      <c r="E611" s="409"/>
      <c r="F611" s="408"/>
      <c r="G611" s="408"/>
      <c r="H611" s="410"/>
      <c r="I611" s="408"/>
      <c r="J611" s="408"/>
      <c r="K611" s="408"/>
      <c r="L611" s="288"/>
      <c r="N611" s="288"/>
      <c r="O611" s="287"/>
      <c r="P611" s="288"/>
    </row>
    <row r="612" spans="1:16">
      <c r="A612" s="292"/>
      <c r="B612" s="297"/>
      <c r="C612" s="407"/>
      <c r="D612" s="408"/>
      <c r="E612" s="409"/>
      <c r="F612" s="408"/>
      <c r="G612" s="408"/>
      <c r="H612" s="410"/>
      <c r="I612" s="408"/>
      <c r="J612" s="408"/>
      <c r="K612" s="408"/>
      <c r="L612" s="288"/>
      <c r="N612" s="288"/>
      <c r="O612" s="287"/>
      <c r="P612" s="288"/>
    </row>
    <row r="613" spans="1:16">
      <c r="A613" s="292"/>
      <c r="B613" s="297"/>
      <c r="C613" s="407"/>
      <c r="D613" s="408"/>
      <c r="E613" s="409"/>
      <c r="F613" s="408"/>
      <c r="G613" s="408"/>
      <c r="H613" s="410"/>
      <c r="I613" s="408"/>
      <c r="J613" s="408"/>
      <c r="K613" s="408"/>
      <c r="L613" s="288"/>
      <c r="N613" s="288"/>
      <c r="O613" s="287"/>
      <c r="P613" s="288"/>
    </row>
    <row r="614" spans="1:16">
      <c r="A614" s="292"/>
      <c r="B614" s="297"/>
      <c r="C614" s="407"/>
      <c r="D614" s="408"/>
      <c r="E614" s="409"/>
      <c r="F614" s="408"/>
      <c r="G614" s="408"/>
      <c r="H614" s="410"/>
      <c r="I614" s="408"/>
      <c r="J614" s="408"/>
      <c r="K614" s="408"/>
      <c r="L614" s="288"/>
      <c r="N614" s="288"/>
      <c r="O614" s="287"/>
      <c r="P614" s="288"/>
    </row>
    <row r="615" spans="1:16">
      <c r="A615" s="292"/>
      <c r="B615" s="297"/>
      <c r="C615" s="407"/>
      <c r="D615" s="408"/>
      <c r="E615" s="409"/>
      <c r="F615" s="408"/>
      <c r="G615" s="408"/>
      <c r="H615" s="410"/>
      <c r="I615" s="408"/>
      <c r="J615" s="408"/>
      <c r="K615" s="408"/>
      <c r="L615" s="288"/>
      <c r="N615" s="288"/>
      <c r="O615" s="287"/>
      <c r="P615" s="288"/>
    </row>
    <row r="616" spans="1:16">
      <c r="A616" s="292"/>
      <c r="B616" s="297"/>
      <c r="C616" s="407"/>
      <c r="D616" s="408"/>
      <c r="E616" s="409"/>
      <c r="F616" s="408"/>
      <c r="G616" s="408"/>
      <c r="H616" s="410"/>
      <c r="I616" s="408"/>
      <c r="J616" s="408"/>
      <c r="K616" s="408"/>
      <c r="L616" s="288"/>
      <c r="N616" s="288"/>
      <c r="O616" s="287"/>
      <c r="P616" s="288"/>
    </row>
    <row r="617" spans="1:16">
      <c r="A617" s="292"/>
      <c r="B617" s="297"/>
      <c r="C617" s="407"/>
      <c r="D617" s="408"/>
      <c r="E617" s="409"/>
      <c r="F617" s="408"/>
      <c r="G617" s="408"/>
      <c r="H617" s="410"/>
      <c r="I617" s="408"/>
      <c r="J617" s="408"/>
      <c r="K617" s="408"/>
      <c r="L617" s="288"/>
      <c r="N617" s="288"/>
      <c r="O617" s="287"/>
      <c r="P617" s="288"/>
    </row>
    <row r="618" spans="1:16">
      <c r="A618" s="292"/>
      <c r="B618" s="297"/>
      <c r="C618" s="407"/>
      <c r="D618" s="408"/>
      <c r="E618" s="409"/>
      <c r="F618" s="408"/>
      <c r="G618" s="408"/>
      <c r="H618" s="410"/>
      <c r="I618" s="408"/>
      <c r="J618" s="408"/>
      <c r="K618" s="408"/>
      <c r="L618" s="288"/>
      <c r="N618" s="288"/>
      <c r="O618" s="287"/>
      <c r="P618" s="288"/>
    </row>
    <row r="619" spans="1:16">
      <c r="A619" s="292"/>
      <c r="B619" s="297"/>
      <c r="C619" s="407"/>
      <c r="D619" s="408"/>
      <c r="E619" s="409"/>
      <c r="F619" s="408"/>
      <c r="G619" s="408"/>
      <c r="H619" s="410"/>
      <c r="I619" s="408"/>
      <c r="J619" s="408"/>
      <c r="K619" s="408"/>
      <c r="L619" s="288"/>
      <c r="N619" s="288"/>
      <c r="O619" s="287"/>
      <c r="P619" s="288"/>
    </row>
    <row r="620" spans="1:16">
      <c r="A620" s="292"/>
      <c r="B620" s="297"/>
      <c r="C620" s="407"/>
      <c r="D620" s="408"/>
      <c r="E620" s="409"/>
      <c r="F620" s="408"/>
      <c r="G620" s="408"/>
      <c r="H620" s="410"/>
      <c r="I620" s="408"/>
      <c r="J620" s="408"/>
      <c r="K620" s="408"/>
      <c r="L620" s="288"/>
      <c r="N620" s="288"/>
      <c r="O620" s="287"/>
      <c r="P620" s="288"/>
    </row>
    <row r="621" spans="1:16">
      <c r="A621" s="292"/>
      <c r="B621" s="297"/>
      <c r="C621" s="407"/>
      <c r="D621" s="408"/>
      <c r="E621" s="409"/>
      <c r="F621" s="408"/>
      <c r="G621" s="408"/>
      <c r="H621" s="410"/>
      <c r="I621" s="408"/>
      <c r="J621" s="408"/>
      <c r="K621" s="408"/>
      <c r="L621" s="288"/>
      <c r="N621" s="288"/>
      <c r="O621" s="287"/>
      <c r="P621" s="288"/>
    </row>
    <row r="622" spans="1:16">
      <c r="A622" s="292"/>
      <c r="B622" s="297"/>
      <c r="C622" s="407"/>
      <c r="D622" s="408"/>
      <c r="E622" s="409"/>
      <c r="F622" s="408"/>
      <c r="G622" s="408"/>
      <c r="H622" s="410"/>
      <c r="I622" s="408"/>
      <c r="J622" s="408"/>
      <c r="K622" s="408"/>
      <c r="L622" s="288"/>
      <c r="N622" s="288"/>
      <c r="O622" s="287"/>
      <c r="P622" s="288"/>
    </row>
    <row r="623" spans="1:16">
      <c r="A623" s="292"/>
      <c r="B623" s="297"/>
      <c r="C623" s="407"/>
      <c r="D623" s="408"/>
      <c r="E623" s="409"/>
      <c r="F623" s="408"/>
      <c r="G623" s="408"/>
      <c r="H623" s="410"/>
      <c r="I623" s="408"/>
      <c r="J623" s="408"/>
      <c r="K623" s="408"/>
      <c r="L623" s="288"/>
      <c r="N623" s="288"/>
      <c r="O623" s="287"/>
      <c r="P623" s="288"/>
    </row>
    <row r="624" spans="1:16">
      <c r="A624" s="292"/>
      <c r="B624" s="297"/>
      <c r="C624" s="407"/>
      <c r="D624" s="408"/>
      <c r="E624" s="409"/>
      <c r="F624" s="408"/>
      <c r="G624" s="408"/>
      <c r="H624" s="410"/>
      <c r="I624" s="408"/>
      <c r="J624" s="408"/>
      <c r="K624" s="408"/>
      <c r="L624" s="288"/>
      <c r="N624" s="288"/>
      <c r="O624" s="287"/>
      <c r="P624" s="288"/>
    </row>
    <row r="625" spans="1:16">
      <c r="A625" s="292"/>
      <c r="B625" s="297"/>
      <c r="C625" s="407"/>
      <c r="D625" s="408"/>
      <c r="E625" s="409"/>
      <c r="F625" s="408"/>
      <c r="G625" s="408"/>
      <c r="H625" s="410"/>
      <c r="I625" s="408"/>
      <c r="J625" s="408"/>
      <c r="K625" s="408"/>
      <c r="L625" s="288"/>
      <c r="N625" s="288"/>
      <c r="O625" s="287"/>
      <c r="P625" s="288"/>
    </row>
    <row r="626" spans="1:16">
      <c r="A626" s="292"/>
      <c r="B626" s="297"/>
      <c r="C626" s="407"/>
      <c r="D626" s="408"/>
      <c r="E626" s="409"/>
      <c r="F626" s="408"/>
      <c r="G626" s="408"/>
      <c r="H626" s="410"/>
      <c r="I626" s="408"/>
      <c r="J626" s="408"/>
      <c r="K626" s="408"/>
      <c r="L626" s="288"/>
      <c r="N626" s="288"/>
      <c r="O626" s="287"/>
      <c r="P626" s="288"/>
    </row>
    <row r="627" spans="1:16">
      <c r="A627" s="292"/>
      <c r="B627" s="297"/>
      <c r="C627" s="407"/>
      <c r="D627" s="408"/>
      <c r="E627" s="409"/>
      <c r="F627" s="408"/>
      <c r="G627" s="408"/>
      <c r="H627" s="410"/>
      <c r="I627" s="408"/>
      <c r="J627" s="408"/>
      <c r="K627" s="408"/>
      <c r="L627" s="288"/>
      <c r="N627" s="288"/>
      <c r="O627" s="287"/>
      <c r="P627" s="288"/>
    </row>
    <row r="628" spans="1:16">
      <c r="A628" s="292"/>
      <c r="B628" s="297"/>
      <c r="C628" s="407"/>
      <c r="D628" s="408"/>
      <c r="E628" s="409"/>
      <c r="F628" s="408"/>
      <c r="G628" s="408"/>
      <c r="H628" s="410"/>
      <c r="I628" s="408"/>
      <c r="J628" s="408"/>
      <c r="K628" s="408"/>
      <c r="L628" s="288"/>
      <c r="N628" s="288"/>
      <c r="O628" s="287"/>
      <c r="P628" s="288"/>
    </row>
    <row r="629" spans="1:16">
      <c r="A629" s="292"/>
      <c r="B629" s="297"/>
      <c r="C629" s="407"/>
      <c r="D629" s="408"/>
      <c r="E629" s="409"/>
      <c r="F629" s="408"/>
      <c r="G629" s="408"/>
      <c r="H629" s="410"/>
      <c r="I629" s="408"/>
      <c r="J629" s="408"/>
      <c r="K629" s="408"/>
      <c r="L629" s="288"/>
      <c r="N629" s="288"/>
      <c r="O629" s="287"/>
      <c r="P629" s="288"/>
    </row>
    <row r="630" spans="1:16">
      <c r="A630" s="292"/>
      <c r="B630" s="297"/>
      <c r="C630" s="407"/>
      <c r="D630" s="408"/>
      <c r="E630" s="409"/>
      <c r="F630" s="408"/>
      <c r="G630" s="408"/>
      <c r="H630" s="410"/>
      <c r="I630" s="408"/>
      <c r="J630" s="408"/>
      <c r="K630" s="408"/>
      <c r="L630" s="288"/>
      <c r="N630" s="288"/>
      <c r="O630" s="287"/>
      <c r="P630" s="288"/>
    </row>
    <row r="631" spans="1:16">
      <c r="A631" s="292"/>
      <c r="B631" s="297"/>
      <c r="C631" s="407"/>
      <c r="D631" s="408"/>
      <c r="E631" s="409"/>
      <c r="F631" s="408"/>
      <c r="G631" s="408"/>
      <c r="H631" s="410"/>
      <c r="I631" s="408"/>
      <c r="J631" s="408"/>
      <c r="K631" s="408"/>
      <c r="L631" s="288"/>
      <c r="N631" s="288"/>
      <c r="O631" s="287"/>
      <c r="P631" s="288"/>
    </row>
    <row r="632" spans="1:16">
      <c r="A632" s="292"/>
      <c r="B632" s="297"/>
      <c r="C632" s="407"/>
      <c r="D632" s="408"/>
      <c r="E632" s="409"/>
      <c r="F632" s="408"/>
      <c r="G632" s="408"/>
      <c r="H632" s="410"/>
      <c r="I632" s="408"/>
      <c r="J632" s="408"/>
      <c r="K632" s="408"/>
      <c r="L632" s="288"/>
      <c r="N632" s="288"/>
      <c r="O632" s="287"/>
      <c r="P632" s="288"/>
    </row>
    <row r="633" spans="1:16">
      <c r="A633" s="292"/>
      <c r="B633" s="297"/>
      <c r="C633" s="407"/>
      <c r="D633" s="408"/>
      <c r="E633" s="409"/>
      <c r="F633" s="408"/>
      <c r="G633" s="408"/>
      <c r="H633" s="410"/>
      <c r="I633" s="408"/>
      <c r="J633" s="408"/>
      <c r="K633" s="408"/>
      <c r="L633" s="288"/>
      <c r="N633" s="288"/>
      <c r="O633" s="287"/>
      <c r="P633" s="288"/>
    </row>
    <row r="634" spans="1:16">
      <c r="A634" s="292"/>
      <c r="B634" s="297"/>
      <c r="C634" s="407"/>
      <c r="D634" s="408"/>
      <c r="E634" s="409"/>
      <c r="F634" s="408"/>
      <c r="G634" s="408"/>
      <c r="H634" s="410"/>
      <c r="I634" s="408"/>
      <c r="J634" s="408"/>
      <c r="K634" s="408"/>
      <c r="L634" s="288"/>
      <c r="N634" s="288"/>
      <c r="O634" s="287"/>
      <c r="P634" s="288"/>
    </row>
    <row r="635" spans="1:16">
      <c r="A635" s="292"/>
      <c r="B635" s="297"/>
      <c r="C635" s="407"/>
      <c r="D635" s="408"/>
      <c r="E635" s="409"/>
      <c r="F635" s="408"/>
      <c r="G635" s="408"/>
      <c r="H635" s="410"/>
      <c r="I635" s="408"/>
      <c r="J635" s="408"/>
      <c r="K635" s="408"/>
      <c r="L635" s="288"/>
      <c r="N635" s="288"/>
      <c r="O635" s="287"/>
      <c r="P635" s="288"/>
    </row>
    <row r="636" spans="1:16">
      <c r="A636" s="292"/>
      <c r="B636" s="297"/>
      <c r="C636" s="407"/>
      <c r="D636" s="408"/>
      <c r="E636" s="409"/>
      <c r="F636" s="408"/>
      <c r="G636" s="408"/>
      <c r="H636" s="410"/>
      <c r="I636" s="408"/>
      <c r="J636" s="408"/>
      <c r="K636" s="408"/>
      <c r="L636" s="288"/>
      <c r="N636" s="288"/>
      <c r="O636" s="287"/>
      <c r="P636" s="288"/>
    </row>
    <row r="637" spans="1:16">
      <c r="A637" s="292"/>
      <c r="B637" s="297"/>
      <c r="C637" s="407"/>
      <c r="D637" s="408"/>
      <c r="E637" s="409"/>
      <c r="F637" s="408"/>
      <c r="G637" s="408"/>
      <c r="H637" s="410"/>
      <c r="I637" s="408"/>
      <c r="J637" s="408"/>
      <c r="K637" s="408"/>
      <c r="L637" s="288"/>
      <c r="N637" s="288"/>
      <c r="O637" s="287"/>
      <c r="P637" s="288"/>
    </row>
    <row r="638" spans="1:16">
      <c r="A638" s="292"/>
      <c r="B638" s="297"/>
      <c r="C638" s="407"/>
      <c r="D638" s="408"/>
      <c r="E638" s="409"/>
      <c r="F638" s="408"/>
      <c r="G638" s="408"/>
      <c r="H638" s="410"/>
      <c r="I638" s="408"/>
      <c r="J638" s="408"/>
      <c r="K638" s="408"/>
      <c r="L638" s="288"/>
      <c r="N638" s="288"/>
      <c r="O638" s="287"/>
      <c r="P638" s="288"/>
    </row>
    <row r="639" spans="1:16">
      <c r="A639" s="292"/>
      <c r="B639" s="297"/>
      <c r="C639" s="407"/>
      <c r="D639" s="408"/>
      <c r="E639" s="409"/>
      <c r="F639" s="408"/>
      <c r="G639" s="408"/>
      <c r="H639" s="410"/>
      <c r="I639" s="408"/>
      <c r="J639" s="408"/>
      <c r="K639" s="408"/>
      <c r="L639" s="288"/>
      <c r="N639" s="288"/>
      <c r="O639" s="287"/>
      <c r="P639" s="288"/>
    </row>
    <row r="640" spans="1:16">
      <c r="A640" s="292"/>
      <c r="B640" s="297"/>
      <c r="C640" s="407"/>
      <c r="D640" s="408"/>
      <c r="E640" s="409"/>
      <c r="F640" s="408"/>
      <c r="G640" s="408"/>
      <c r="H640" s="410"/>
      <c r="I640" s="408"/>
      <c r="J640" s="408"/>
      <c r="K640" s="408"/>
      <c r="L640" s="288"/>
      <c r="N640" s="288"/>
      <c r="O640" s="287"/>
      <c r="P640" s="288"/>
    </row>
    <row r="641" spans="1:16">
      <c r="A641" s="292"/>
      <c r="B641" s="297"/>
      <c r="C641" s="407"/>
      <c r="D641" s="408"/>
      <c r="E641" s="409"/>
      <c r="F641" s="408"/>
      <c r="G641" s="408"/>
      <c r="H641" s="410"/>
      <c r="I641" s="408"/>
      <c r="J641" s="408"/>
      <c r="K641" s="408"/>
      <c r="L641" s="288"/>
      <c r="N641" s="288"/>
      <c r="O641" s="287"/>
      <c r="P641" s="288"/>
    </row>
    <row r="642" spans="1:16">
      <c r="A642" s="292"/>
      <c r="B642" s="297"/>
      <c r="C642" s="407"/>
      <c r="D642" s="408"/>
      <c r="E642" s="409"/>
      <c r="F642" s="408"/>
      <c r="G642" s="408"/>
      <c r="H642" s="410"/>
      <c r="I642" s="408"/>
      <c r="J642" s="408"/>
      <c r="K642" s="408"/>
      <c r="L642" s="288"/>
      <c r="N642" s="288"/>
      <c r="O642" s="287"/>
      <c r="P642" s="288"/>
    </row>
    <row r="643" spans="1:16">
      <c r="A643" s="292"/>
      <c r="B643" s="297"/>
      <c r="C643" s="407"/>
      <c r="D643" s="408"/>
      <c r="E643" s="409"/>
      <c r="F643" s="408"/>
      <c r="G643" s="408"/>
      <c r="H643" s="410"/>
      <c r="I643" s="408"/>
      <c r="J643" s="408"/>
      <c r="K643" s="408"/>
      <c r="L643" s="288"/>
      <c r="N643" s="288"/>
      <c r="O643" s="287"/>
      <c r="P643" s="288"/>
    </row>
    <row r="644" spans="1:16">
      <c r="A644" s="292"/>
      <c r="B644" s="297"/>
      <c r="C644" s="407"/>
      <c r="D644" s="408"/>
      <c r="E644" s="409"/>
      <c r="F644" s="408"/>
      <c r="G644" s="408"/>
      <c r="H644" s="410"/>
      <c r="I644" s="408"/>
      <c r="J644" s="408"/>
      <c r="K644" s="408"/>
      <c r="L644" s="288"/>
      <c r="N644" s="288"/>
      <c r="O644" s="287"/>
      <c r="P644" s="288"/>
    </row>
    <row r="645" spans="1:16">
      <c r="A645" s="292"/>
      <c r="B645" s="297"/>
      <c r="C645" s="407"/>
      <c r="D645" s="408"/>
      <c r="E645" s="409"/>
      <c r="F645" s="408"/>
      <c r="G645" s="408"/>
      <c r="H645" s="410"/>
      <c r="I645" s="408"/>
      <c r="J645" s="408"/>
      <c r="K645" s="408"/>
      <c r="L645" s="288"/>
      <c r="N645" s="288"/>
      <c r="O645" s="287"/>
      <c r="P645" s="288"/>
    </row>
    <row r="646" spans="1:16">
      <c r="A646" s="292"/>
      <c r="B646" s="297"/>
      <c r="C646" s="407"/>
      <c r="D646" s="408"/>
      <c r="E646" s="409"/>
      <c r="F646" s="408"/>
      <c r="G646" s="408"/>
      <c r="H646" s="410"/>
      <c r="I646" s="408"/>
      <c r="J646" s="408"/>
      <c r="K646" s="408"/>
      <c r="L646" s="288"/>
      <c r="N646" s="288"/>
      <c r="O646" s="287"/>
      <c r="P646" s="288"/>
    </row>
    <row r="647" spans="1:16">
      <c r="A647" s="292"/>
      <c r="B647" s="297"/>
      <c r="C647" s="407"/>
      <c r="D647" s="408"/>
      <c r="E647" s="409"/>
      <c r="F647" s="408"/>
      <c r="G647" s="408"/>
      <c r="H647" s="410"/>
      <c r="I647" s="408"/>
      <c r="J647" s="408"/>
      <c r="K647" s="408"/>
      <c r="L647" s="288"/>
      <c r="N647" s="288"/>
      <c r="O647" s="287"/>
      <c r="P647" s="288"/>
    </row>
    <row r="648" spans="1:16">
      <c r="A648" s="292"/>
      <c r="B648" s="297"/>
      <c r="C648" s="407"/>
      <c r="D648" s="408"/>
      <c r="E648" s="409"/>
      <c r="F648" s="408"/>
      <c r="G648" s="408"/>
      <c r="H648" s="410"/>
      <c r="I648" s="408"/>
      <c r="J648" s="408"/>
      <c r="K648" s="408"/>
      <c r="L648" s="288"/>
      <c r="N648" s="288"/>
      <c r="O648" s="287"/>
      <c r="P648" s="288"/>
    </row>
    <row r="649" spans="1:16">
      <c r="A649" s="292"/>
      <c r="B649" s="297"/>
      <c r="C649" s="407"/>
      <c r="D649" s="408"/>
      <c r="E649" s="409"/>
      <c r="F649" s="408"/>
      <c r="G649" s="408"/>
      <c r="H649" s="410"/>
      <c r="I649" s="408"/>
      <c r="J649" s="408"/>
      <c r="K649" s="408"/>
      <c r="L649" s="288"/>
      <c r="N649" s="288"/>
      <c r="O649" s="287"/>
      <c r="P649" s="288"/>
    </row>
    <row r="650" spans="1:16">
      <c r="A650" s="292"/>
      <c r="B650" s="297"/>
      <c r="C650" s="407"/>
      <c r="D650" s="408"/>
      <c r="E650" s="409"/>
      <c r="F650" s="408"/>
      <c r="G650" s="408"/>
      <c r="H650" s="410"/>
      <c r="I650" s="408"/>
      <c r="J650" s="408"/>
      <c r="K650" s="408"/>
      <c r="L650" s="288"/>
      <c r="N650" s="288"/>
      <c r="O650" s="287"/>
      <c r="P650" s="288"/>
    </row>
    <row r="651" spans="1:16">
      <c r="A651" s="292"/>
      <c r="B651" s="297"/>
      <c r="C651" s="407"/>
      <c r="D651" s="408"/>
      <c r="E651" s="409"/>
      <c r="F651" s="408"/>
      <c r="G651" s="408"/>
      <c r="H651" s="410"/>
      <c r="I651" s="408"/>
      <c r="J651" s="408"/>
      <c r="K651" s="408"/>
      <c r="L651" s="288"/>
      <c r="N651" s="288"/>
      <c r="O651" s="287"/>
      <c r="P651" s="288"/>
    </row>
    <row r="652" spans="1:16">
      <c r="A652" s="292"/>
      <c r="B652" s="297"/>
      <c r="C652" s="407"/>
      <c r="D652" s="408"/>
      <c r="E652" s="409"/>
      <c r="F652" s="408"/>
      <c r="G652" s="408"/>
      <c r="H652" s="410"/>
      <c r="I652" s="408"/>
      <c r="J652" s="408"/>
      <c r="K652" s="408"/>
      <c r="L652" s="288"/>
      <c r="N652" s="288"/>
      <c r="O652" s="287"/>
      <c r="P652" s="288"/>
    </row>
    <row r="653" spans="1:16">
      <c r="A653" s="292"/>
      <c r="B653" s="297"/>
      <c r="C653" s="407"/>
      <c r="D653" s="408"/>
      <c r="E653" s="409"/>
      <c r="F653" s="408"/>
      <c r="G653" s="408"/>
      <c r="H653" s="410"/>
      <c r="I653" s="408"/>
      <c r="J653" s="408"/>
      <c r="K653" s="408"/>
      <c r="L653" s="288"/>
      <c r="N653" s="288"/>
      <c r="O653" s="287"/>
      <c r="P653" s="288"/>
    </row>
    <row r="654" spans="1:16">
      <c r="A654" s="292"/>
      <c r="B654" s="297"/>
      <c r="C654" s="407"/>
      <c r="D654" s="408"/>
      <c r="E654" s="409"/>
      <c r="F654" s="408"/>
      <c r="G654" s="408"/>
      <c r="H654" s="410"/>
      <c r="I654" s="408"/>
      <c r="J654" s="408"/>
      <c r="K654" s="408"/>
      <c r="L654" s="288"/>
      <c r="N654" s="288"/>
      <c r="O654" s="287"/>
      <c r="P654" s="288"/>
    </row>
    <row r="655" spans="1:16">
      <c r="A655" s="292"/>
      <c r="B655" s="297"/>
      <c r="C655" s="407"/>
      <c r="D655" s="408"/>
      <c r="E655" s="409"/>
      <c r="F655" s="408"/>
      <c r="G655" s="408"/>
      <c r="H655" s="410"/>
      <c r="I655" s="408"/>
      <c r="J655" s="408"/>
      <c r="K655" s="408"/>
      <c r="L655" s="288"/>
      <c r="N655" s="288"/>
      <c r="O655" s="287"/>
      <c r="P655" s="288"/>
    </row>
    <row r="656" spans="1:16">
      <c r="A656" s="292"/>
      <c r="B656" s="297"/>
      <c r="C656" s="407"/>
      <c r="D656" s="408"/>
      <c r="E656" s="409"/>
      <c r="F656" s="408"/>
      <c r="G656" s="408"/>
      <c r="H656" s="410"/>
      <c r="I656" s="408"/>
      <c r="J656" s="408"/>
      <c r="K656" s="408"/>
      <c r="L656" s="288"/>
      <c r="N656" s="288"/>
      <c r="O656" s="287"/>
      <c r="P656" s="288"/>
    </row>
    <row r="657" spans="1:16">
      <c r="A657" s="292"/>
      <c r="B657" s="297"/>
      <c r="C657" s="407"/>
      <c r="D657" s="408"/>
      <c r="E657" s="409"/>
      <c r="F657" s="408"/>
      <c r="G657" s="408"/>
      <c r="H657" s="410"/>
      <c r="I657" s="408"/>
      <c r="J657" s="408"/>
      <c r="K657" s="408"/>
      <c r="L657" s="288"/>
      <c r="N657" s="288"/>
      <c r="O657" s="287"/>
      <c r="P657" s="288"/>
    </row>
    <row r="658" spans="1:16">
      <c r="A658" s="292"/>
      <c r="B658" s="297"/>
      <c r="C658" s="407"/>
      <c r="D658" s="408"/>
      <c r="E658" s="409"/>
      <c r="F658" s="408"/>
      <c r="G658" s="408"/>
      <c r="H658" s="410"/>
      <c r="I658" s="408"/>
      <c r="J658" s="408"/>
      <c r="K658" s="408"/>
      <c r="L658" s="288"/>
      <c r="N658" s="288"/>
      <c r="O658" s="287"/>
      <c r="P658" s="288"/>
    </row>
    <row r="659" spans="1:16">
      <c r="A659" s="292"/>
      <c r="B659" s="297"/>
      <c r="C659" s="407"/>
      <c r="D659" s="408"/>
      <c r="E659" s="409"/>
      <c r="F659" s="408"/>
      <c r="G659" s="408"/>
      <c r="H659" s="410"/>
      <c r="I659" s="408"/>
      <c r="J659" s="408"/>
      <c r="K659" s="408"/>
      <c r="L659" s="288"/>
      <c r="N659" s="288"/>
      <c r="O659" s="287"/>
      <c r="P659" s="288"/>
    </row>
    <row r="660" spans="1:16">
      <c r="A660" s="292"/>
      <c r="B660" s="297"/>
      <c r="C660" s="407"/>
      <c r="D660" s="408"/>
      <c r="E660" s="409"/>
      <c r="F660" s="408"/>
      <c r="G660" s="408"/>
      <c r="H660" s="410"/>
      <c r="I660" s="408"/>
      <c r="J660" s="408"/>
      <c r="K660" s="408"/>
      <c r="L660" s="288"/>
      <c r="N660" s="288"/>
      <c r="O660" s="287"/>
      <c r="P660" s="288"/>
    </row>
    <row r="661" spans="1:16">
      <c r="A661" s="292"/>
      <c r="B661" s="297"/>
      <c r="C661" s="407"/>
      <c r="D661" s="408"/>
      <c r="E661" s="409"/>
      <c r="F661" s="408"/>
      <c r="G661" s="408"/>
      <c r="H661" s="410"/>
      <c r="I661" s="408"/>
      <c r="J661" s="408"/>
      <c r="K661" s="408"/>
      <c r="L661" s="288"/>
      <c r="N661" s="288"/>
      <c r="O661" s="287"/>
      <c r="P661" s="288"/>
    </row>
    <row r="662" spans="1:16">
      <c r="A662" s="292"/>
      <c r="B662" s="297"/>
      <c r="C662" s="407"/>
      <c r="D662" s="408"/>
      <c r="E662" s="409"/>
      <c r="F662" s="408"/>
      <c r="G662" s="408"/>
      <c r="H662" s="410"/>
      <c r="I662" s="408"/>
      <c r="J662" s="408"/>
      <c r="K662" s="408"/>
      <c r="L662" s="288"/>
      <c r="N662" s="288"/>
      <c r="O662" s="287"/>
      <c r="P662" s="288"/>
    </row>
    <row r="663" spans="1:16">
      <c r="A663" s="292"/>
      <c r="B663" s="297"/>
      <c r="C663" s="407"/>
      <c r="D663" s="408"/>
      <c r="E663" s="409"/>
      <c r="F663" s="408"/>
      <c r="G663" s="408"/>
      <c r="H663" s="410"/>
      <c r="I663" s="408"/>
      <c r="J663" s="408"/>
      <c r="K663" s="408"/>
      <c r="L663" s="288"/>
      <c r="N663" s="288"/>
      <c r="O663" s="287"/>
      <c r="P663" s="288"/>
    </row>
    <row r="664" spans="1:16">
      <c r="A664" s="292"/>
      <c r="B664" s="297"/>
      <c r="C664" s="407"/>
      <c r="D664" s="408"/>
      <c r="E664" s="409"/>
      <c r="F664" s="408"/>
      <c r="G664" s="408"/>
      <c r="H664" s="410"/>
      <c r="I664" s="408"/>
      <c r="J664" s="408"/>
      <c r="K664" s="408"/>
      <c r="L664" s="288"/>
      <c r="N664" s="288"/>
      <c r="O664" s="287"/>
      <c r="P664" s="288"/>
    </row>
    <row r="665" spans="1:16">
      <c r="A665" s="292"/>
      <c r="B665" s="297"/>
      <c r="C665" s="407"/>
      <c r="D665" s="408"/>
      <c r="E665" s="409"/>
      <c r="F665" s="408"/>
      <c r="G665" s="408"/>
      <c r="H665" s="410"/>
      <c r="I665" s="408"/>
      <c r="J665" s="408"/>
      <c r="K665" s="408"/>
      <c r="L665" s="288"/>
      <c r="N665" s="288"/>
      <c r="O665" s="287"/>
      <c r="P665" s="288"/>
    </row>
    <row r="666" spans="1:16">
      <c r="A666" s="292"/>
      <c r="B666" s="297"/>
      <c r="C666" s="407"/>
      <c r="D666" s="408"/>
      <c r="E666" s="409"/>
      <c r="F666" s="408"/>
      <c r="G666" s="408"/>
      <c r="H666" s="410"/>
      <c r="I666" s="408"/>
      <c r="J666" s="408"/>
      <c r="K666" s="408"/>
      <c r="L666" s="288"/>
      <c r="N666" s="288"/>
      <c r="O666" s="287"/>
      <c r="P666" s="288"/>
    </row>
    <row r="667" spans="1:16">
      <c r="A667" s="292"/>
      <c r="B667" s="297"/>
      <c r="C667" s="407"/>
      <c r="D667" s="408"/>
      <c r="E667" s="409"/>
      <c r="F667" s="408"/>
      <c r="G667" s="408"/>
      <c r="H667" s="410"/>
      <c r="I667" s="408"/>
      <c r="J667" s="408"/>
      <c r="K667" s="408"/>
      <c r="L667" s="288"/>
      <c r="N667" s="288"/>
      <c r="O667" s="287"/>
      <c r="P667" s="288"/>
    </row>
    <row r="668" spans="1:16">
      <c r="A668" s="292"/>
      <c r="B668" s="297"/>
      <c r="C668" s="407"/>
      <c r="D668" s="408"/>
      <c r="E668" s="409"/>
      <c r="F668" s="408"/>
      <c r="G668" s="408"/>
      <c r="H668" s="410"/>
      <c r="I668" s="408"/>
      <c r="J668" s="408"/>
      <c r="K668" s="408"/>
      <c r="L668" s="288"/>
      <c r="N668" s="288"/>
      <c r="O668" s="287"/>
      <c r="P668" s="288"/>
    </row>
    <row r="669" spans="1:16">
      <c r="A669" s="292"/>
      <c r="B669" s="297"/>
      <c r="C669" s="407"/>
      <c r="D669" s="408"/>
      <c r="E669" s="409"/>
      <c r="F669" s="408"/>
      <c r="G669" s="408"/>
      <c r="H669" s="410"/>
      <c r="I669" s="408"/>
      <c r="J669" s="408"/>
      <c r="K669" s="408"/>
      <c r="L669" s="288"/>
      <c r="N669" s="288"/>
      <c r="O669" s="287"/>
      <c r="P669" s="288"/>
    </row>
    <row r="670" spans="1:16">
      <c r="A670" s="292"/>
      <c r="B670" s="297"/>
      <c r="C670" s="407"/>
      <c r="D670" s="408"/>
      <c r="E670" s="409"/>
      <c r="F670" s="408"/>
      <c r="G670" s="408"/>
      <c r="H670" s="410"/>
      <c r="I670" s="408"/>
      <c r="J670" s="408"/>
      <c r="K670" s="408"/>
      <c r="L670" s="288"/>
      <c r="N670" s="288"/>
      <c r="O670" s="287"/>
      <c r="P670" s="288"/>
    </row>
    <row r="671" spans="1:16">
      <c r="A671" s="292"/>
      <c r="B671" s="297"/>
      <c r="C671" s="407"/>
      <c r="D671" s="408"/>
      <c r="E671" s="409"/>
      <c r="F671" s="408"/>
      <c r="G671" s="408"/>
      <c r="H671" s="410"/>
      <c r="I671" s="408"/>
      <c r="J671" s="408"/>
      <c r="K671" s="408"/>
      <c r="L671" s="288"/>
      <c r="N671" s="288"/>
      <c r="O671" s="287"/>
      <c r="P671" s="288"/>
    </row>
    <row r="672" spans="1:16">
      <c r="A672" s="292"/>
      <c r="B672" s="297"/>
      <c r="C672" s="407"/>
      <c r="D672" s="408"/>
      <c r="E672" s="409"/>
      <c r="F672" s="408"/>
      <c r="G672" s="408"/>
      <c r="H672" s="410"/>
      <c r="I672" s="408"/>
      <c r="J672" s="408"/>
      <c r="K672" s="408"/>
      <c r="L672" s="288"/>
      <c r="N672" s="288"/>
      <c r="O672" s="287"/>
      <c r="P672" s="288"/>
    </row>
    <row r="673" spans="1:16">
      <c r="A673" s="292"/>
      <c r="B673" s="297"/>
      <c r="C673" s="407"/>
      <c r="D673" s="408"/>
      <c r="E673" s="409"/>
      <c r="F673" s="408"/>
      <c r="G673" s="408"/>
      <c r="H673" s="410"/>
      <c r="I673" s="408"/>
      <c r="J673" s="408"/>
      <c r="K673" s="408"/>
      <c r="L673" s="288"/>
      <c r="N673" s="288"/>
      <c r="O673" s="287"/>
      <c r="P673" s="288"/>
    </row>
    <row r="674" spans="1:16">
      <c r="A674" s="292"/>
      <c r="B674" s="297"/>
      <c r="C674" s="407"/>
      <c r="D674" s="408"/>
      <c r="E674" s="409"/>
      <c r="F674" s="408"/>
      <c r="G674" s="408"/>
      <c r="H674" s="410"/>
      <c r="I674" s="408"/>
      <c r="J674" s="408"/>
      <c r="K674" s="408"/>
      <c r="L674" s="288"/>
      <c r="N674" s="288"/>
      <c r="O674" s="287"/>
      <c r="P674" s="288"/>
    </row>
    <row r="675" spans="1:16">
      <c r="A675" s="292"/>
      <c r="B675" s="297"/>
      <c r="C675" s="407"/>
      <c r="D675" s="408"/>
      <c r="E675" s="409"/>
      <c r="F675" s="408"/>
      <c r="G675" s="408"/>
      <c r="H675" s="410"/>
      <c r="I675" s="408"/>
      <c r="J675" s="408"/>
      <c r="K675" s="408"/>
      <c r="L675" s="288"/>
      <c r="N675" s="288"/>
      <c r="O675" s="287"/>
      <c r="P675" s="288"/>
    </row>
    <row r="676" spans="1:16">
      <c r="A676" s="292"/>
      <c r="B676" s="297"/>
      <c r="C676" s="407"/>
      <c r="D676" s="408"/>
      <c r="E676" s="409"/>
      <c r="F676" s="408"/>
      <c r="G676" s="408"/>
      <c r="H676" s="410"/>
      <c r="I676" s="408"/>
      <c r="J676" s="408"/>
      <c r="K676" s="408"/>
      <c r="L676" s="288"/>
      <c r="N676" s="288"/>
      <c r="O676" s="287"/>
      <c r="P676" s="288"/>
    </row>
    <row r="677" spans="1:16">
      <c r="A677" s="292"/>
      <c r="B677" s="297"/>
      <c r="C677" s="407"/>
      <c r="D677" s="408"/>
      <c r="E677" s="409"/>
      <c r="F677" s="408"/>
      <c r="G677" s="408"/>
      <c r="H677" s="410"/>
      <c r="I677" s="408"/>
      <c r="J677" s="408"/>
      <c r="K677" s="408"/>
      <c r="L677" s="288"/>
      <c r="N677" s="288"/>
      <c r="O677" s="287"/>
      <c r="P677" s="288"/>
    </row>
    <row r="678" spans="1:16">
      <c r="A678" s="292"/>
      <c r="B678" s="297"/>
      <c r="C678" s="407"/>
      <c r="D678" s="408"/>
      <c r="E678" s="409"/>
      <c r="F678" s="408"/>
      <c r="G678" s="408"/>
      <c r="H678" s="410"/>
      <c r="I678" s="408"/>
      <c r="J678" s="408"/>
      <c r="K678" s="408"/>
      <c r="L678" s="288"/>
      <c r="N678" s="288"/>
      <c r="O678" s="287"/>
      <c r="P678" s="288"/>
    </row>
    <row r="679" spans="1:16">
      <c r="A679" s="292"/>
      <c r="B679" s="297"/>
      <c r="C679" s="407"/>
      <c r="D679" s="408"/>
      <c r="E679" s="409"/>
      <c r="F679" s="408"/>
      <c r="G679" s="408"/>
      <c r="H679" s="410"/>
      <c r="I679" s="408"/>
      <c r="J679" s="408"/>
      <c r="K679" s="408"/>
      <c r="L679" s="288"/>
      <c r="N679" s="288"/>
      <c r="O679" s="287"/>
      <c r="P679" s="288"/>
    </row>
    <row r="680" spans="1:16">
      <c r="A680" s="292"/>
      <c r="B680" s="297"/>
      <c r="C680" s="407"/>
      <c r="D680" s="408"/>
      <c r="E680" s="409"/>
      <c r="F680" s="408"/>
      <c r="G680" s="408"/>
      <c r="H680" s="410"/>
      <c r="I680" s="408"/>
      <c r="J680" s="408"/>
      <c r="K680" s="408"/>
      <c r="L680" s="288"/>
      <c r="N680" s="288"/>
      <c r="O680" s="287"/>
      <c r="P680" s="288"/>
    </row>
    <row r="681" spans="1:16">
      <c r="A681" s="292"/>
      <c r="B681" s="297"/>
      <c r="C681" s="407"/>
      <c r="D681" s="408"/>
      <c r="E681" s="409"/>
      <c r="F681" s="408"/>
      <c r="G681" s="408"/>
      <c r="H681" s="410"/>
      <c r="I681" s="408"/>
      <c r="J681" s="408"/>
      <c r="K681" s="408"/>
      <c r="L681" s="288"/>
      <c r="N681" s="288"/>
      <c r="O681" s="287"/>
      <c r="P681" s="288"/>
    </row>
    <row r="682" spans="1:16">
      <c r="A682" s="292"/>
      <c r="B682" s="297"/>
      <c r="C682" s="407"/>
      <c r="D682" s="408"/>
      <c r="E682" s="409"/>
      <c r="F682" s="408"/>
      <c r="G682" s="408"/>
      <c r="H682" s="410"/>
      <c r="I682" s="408"/>
      <c r="J682" s="408"/>
      <c r="K682" s="408"/>
      <c r="L682" s="288"/>
      <c r="N682" s="288"/>
      <c r="O682" s="287"/>
      <c r="P682" s="288"/>
    </row>
    <row r="683" spans="1:16">
      <c r="A683" s="292"/>
      <c r="B683" s="297"/>
      <c r="C683" s="407"/>
      <c r="D683" s="408"/>
      <c r="E683" s="409"/>
      <c r="F683" s="408"/>
      <c r="G683" s="408"/>
      <c r="H683" s="410"/>
      <c r="I683" s="408"/>
      <c r="J683" s="408"/>
      <c r="K683" s="408"/>
      <c r="L683" s="288"/>
      <c r="N683" s="288"/>
      <c r="O683" s="287"/>
      <c r="P683" s="288"/>
    </row>
    <row r="684" spans="1:16">
      <c r="A684" s="292"/>
      <c r="B684" s="297"/>
      <c r="C684" s="407"/>
      <c r="D684" s="408"/>
      <c r="E684" s="409"/>
      <c r="F684" s="408"/>
      <c r="G684" s="408"/>
      <c r="H684" s="410"/>
      <c r="I684" s="408"/>
      <c r="J684" s="408"/>
      <c r="K684" s="408"/>
      <c r="L684" s="288"/>
      <c r="N684" s="288"/>
      <c r="O684" s="287"/>
      <c r="P684" s="288"/>
    </row>
    <row r="685" spans="1:16">
      <c r="A685" s="292"/>
      <c r="B685" s="297"/>
      <c r="C685" s="407"/>
      <c r="D685" s="408"/>
      <c r="E685" s="409"/>
      <c r="F685" s="408"/>
      <c r="G685" s="408"/>
      <c r="H685" s="410"/>
      <c r="I685" s="408"/>
      <c r="J685" s="408"/>
      <c r="K685" s="408"/>
      <c r="L685" s="288"/>
      <c r="N685" s="288"/>
      <c r="O685" s="287"/>
      <c r="P685" s="288"/>
    </row>
    <row r="686" spans="1:16">
      <c r="A686" s="292"/>
      <c r="B686" s="297"/>
      <c r="C686" s="407"/>
      <c r="D686" s="408"/>
      <c r="E686" s="409"/>
      <c r="F686" s="408"/>
      <c r="G686" s="408"/>
      <c r="H686" s="410"/>
      <c r="I686" s="408"/>
      <c r="J686" s="408"/>
      <c r="K686" s="408"/>
      <c r="L686" s="288"/>
      <c r="N686" s="288"/>
      <c r="O686" s="287"/>
      <c r="P686" s="288"/>
    </row>
    <row r="687" spans="1:16">
      <c r="A687" s="292"/>
      <c r="B687" s="297"/>
      <c r="C687" s="407"/>
      <c r="D687" s="408"/>
      <c r="E687" s="409"/>
      <c r="F687" s="408"/>
      <c r="G687" s="408"/>
      <c r="H687" s="410"/>
      <c r="I687" s="408"/>
      <c r="J687" s="408"/>
      <c r="K687" s="408"/>
      <c r="L687" s="288"/>
      <c r="N687" s="288"/>
      <c r="O687" s="287"/>
      <c r="P687" s="288"/>
    </row>
    <row r="688" spans="1:16">
      <c r="A688" s="292"/>
      <c r="B688" s="297"/>
      <c r="C688" s="407"/>
      <c r="D688" s="408"/>
      <c r="E688" s="409"/>
      <c r="F688" s="408"/>
      <c r="G688" s="408"/>
      <c r="H688" s="410"/>
      <c r="I688" s="408"/>
      <c r="J688" s="408"/>
      <c r="K688" s="408"/>
      <c r="L688" s="288"/>
      <c r="N688" s="288"/>
      <c r="O688" s="287"/>
      <c r="P688" s="288"/>
    </row>
    <row r="689" spans="1:16">
      <c r="A689" s="292"/>
      <c r="B689" s="297"/>
      <c r="C689" s="407"/>
      <c r="D689" s="408"/>
      <c r="E689" s="409"/>
      <c r="F689" s="408"/>
      <c r="G689" s="408"/>
      <c r="H689" s="410"/>
      <c r="I689" s="408"/>
      <c r="J689" s="408"/>
      <c r="K689" s="408"/>
      <c r="L689" s="288"/>
      <c r="N689" s="288"/>
      <c r="O689" s="287"/>
      <c r="P689" s="288"/>
    </row>
    <row r="690" spans="1:16">
      <c r="A690" s="292"/>
      <c r="B690" s="297"/>
      <c r="C690" s="407"/>
      <c r="D690" s="408"/>
      <c r="E690" s="409"/>
      <c r="F690" s="408"/>
      <c r="G690" s="408"/>
      <c r="H690" s="410"/>
      <c r="I690" s="408"/>
      <c r="J690" s="408"/>
      <c r="K690" s="408"/>
      <c r="L690" s="288"/>
      <c r="N690" s="288"/>
      <c r="O690" s="287"/>
      <c r="P690" s="288"/>
    </row>
    <row r="691" spans="1:16">
      <c r="A691" s="292"/>
      <c r="B691" s="297"/>
      <c r="C691" s="407"/>
      <c r="D691" s="408"/>
      <c r="E691" s="409"/>
      <c r="F691" s="408"/>
      <c r="G691" s="408"/>
      <c r="H691" s="410"/>
      <c r="I691" s="408"/>
      <c r="J691" s="408"/>
      <c r="K691" s="408"/>
      <c r="L691" s="288"/>
      <c r="N691" s="288"/>
      <c r="O691" s="287"/>
      <c r="P691" s="288"/>
    </row>
    <row r="692" spans="1:16">
      <c r="A692" s="292"/>
      <c r="B692" s="297"/>
      <c r="C692" s="407"/>
      <c r="D692" s="408"/>
      <c r="E692" s="409"/>
      <c r="F692" s="408"/>
      <c r="G692" s="408"/>
      <c r="H692" s="410"/>
      <c r="I692" s="408"/>
      <c r="J692" s="408"/>
      <c r="K692" s="408"/>
      <c r="L692" s="288"/>
      <c r="N692" s="288"/>
      <c r="O692" s="287"/>
      <c r="P692" s="288"/>
    </row>
    <row r="693" spans="1:16">
      <c r="A693" s="292"/>
      <c r="B693" s="297"/>
      <c r="C693" s="407"/>
      <c r="D693" s="408"/>
      <c r="E693" s="409"/>
      <c r="F693" s="408"/>
      <c r="G693" s="408"/>
      <c r="H693" s="410"/>
      <c r="I693" s="408"/>
      <c r="J693" s="408"/>
      <c r="K693" s="408"/>
      <c r="L693" s="288"/>
      <c r="N693" s="288"/>
      <c r="O693" s="287"/>
      <c r="P693" s="288"/>
    </row>
    <row r="694" spans="1:16">
      <c r="A694" s="292"/>
      <c r="B694" s="297"/>
      <c r="C694" s="407"/>
      <c r="D694" s="408"/>
      <c r="E694" s="409"/>
      <c r="F694" s="408"/>
      <c r="G694" s="408"/>
      <c r="H694" s="410"/>
      <c r="I694" s="408"/>
      <c r="J694" s="408"/>
      <c r="K694" s="408"/>
      <c r="L694" s="288"/>
      <c r="N694" s="288"/>
      <c r="O694" s="287"/>
      <c r="P694" s="288"/>
    </row>
    <row r="695" spans="1:16">
      <c r="A695" s="292"/>
      <c r="B695" s="297"/>
      <c r="C695" s="407"/>
      <c r="D695" s="408"/>
      <c r="E695" s="409"/>
      <c r="F695" s="408"/>
      <c r="G695" s="408"/>
      <c r="H695" s="410"/>
      <c r="I695" s="408"/>
      <c r="J695" s="408"/>
      <c r="K695" s="408"/>
      <c r="L695" s="288"/>
      <c r="N695" s="288"/>
      <c r="O695" s="287"/>
      <c r="P695" s="288"/>
    </row>
    <row r="696" spans="1:16">
      <c r="A696" s="292"/>
      <c r="B696" s="297"/>
      <c r="C696" s="407"/>
      <c r="D696" s="408"/>
      <c r="E696" s="409"/>
      <c r="F696" s="408"/>
      <c r="G696" s="408"/>
      <c r="H696" s="410"/>
      <c r="I696" s="408"/>
      <c r="J696" s="408"/>
      <c r="K696" s="408"/>
      <c r="L696" s="288"/>
      <c r="N696" s="288"/>
      <c r="O696" s="287"/>
      <c r="P696" s="288"/>
    </row>
    <row r="697" spans="1:16">
      <c r="A697" s="292"/>
      <c r="B697" s="297"/>
      <c r="C697" s="407"/>
      <c r="D697" s="408"/>
      <c r="E697" s="409"/>
      <c r="F697" s="408"/>
      <c r="G697" s="408"/>
      <c r="H697" s="410"/>
      <c r="I697" s="408"/>
      <c r="J697" s="408"/>
      <c r="K697" s="408"/>
      <c r="L697" s="288"/>
      <c r="N697" s="288"/>
      <c r="O697" s="287"/>
      <c r="P697" s="288"/>
    </row>
    <row r="698" spans="1:16">
      <c r="A698" s="292"/>
      <c r="B698" s="297"/>
      <c r="C698" s="407"/>
      <c r="D698" s="408"/>
      <c r="E698" s="409"/>
      <c r="F698" s="408"/>
      <c r="G698" s="408"/>
      <c r="H698" s="410"/>
      <c r="I698" s="408"/>
      <c r="J698" s="408"/>
      <c r="K698" s="408"/>
      <c r="L698" s="288"/>
      <c r="N698" s="288"/>
      <c r="O698" s="287"/>
      <c r="P698" s="288"/>
    </row>
    <row r="699" spans="1:16">
      <c r="A699" s="292"/>
      <c r="B699" s="297"/>
      <c r="C699" s="407"/>
      <c r="D699" s="408"/>
      <c r="E699" s="409"/>
      <c r="F699" s="408"/>
      <c r="G699" s="408"/>
      <c r="H699" s="410"/>
      <c r="I699" s="408"/>
      <c r="J699" s="408"/>
      <c r="K699" s="408"/>
      <c r="L699" s="288"/>
      <c r="N699" s="288"/>
      <c r="O699" s="287"/>
      <c r="P699" s="288"/>
    </row>
    <row r="700" spans="1:16">
      <c r="A700" s="292"/>
      <c r="B700" s="297"/>
      <c r="C700" s="407"/>
      <c r="D700" s="408"/>
      <c r="E700" s="409"/>
      <c r="F700" s="408"/>
      <c r="G700" s="408"/>
      <c r="H700" s="410"/>
      <c r="I700" s="408"/>
      <c r="J700" s="408"/>
      <c r="K700" s="408"/>
      <c r="L700" s="288"/>
      <c r="N700" s="288"/>
      <c r="O700" s="287"/>
      <c r="P700" s="288"/>
    </row>
    <row r="701" spans="1:16">
      <c r="A701" s="292"/>
      <c r="B701" s="297"/>
      <c r="C701" s="407"/>
      <c r="D701" s="408"/>
      <c r="E701" s="409"/>
      <c r="F701" s="408"/>
      <c r="G701" s="408"/>
      <c r="H701" s="410"/>
      <c r="I701" s="408"/>
      <c r="J701" s="408"/>
      <c r="K701" s="408"/>
      <c r="L701" s="288"/>
      <c r="N701" s="288"/>
      <c r="O701" s="287"/>
      <c r="P701" s="288"/>
    </row>
    <row r="702" spans="1:16">
      <c r="A702" s="292"/>
      <c r="B702" s="297"/>
      <c r="C702" s="407"/>
      <c r="D702" s="408"/>
      <c r="E702" s="409"/>
      <c r="F702" s="408"/>
      <c r="G702" s="408"/>
      <c r="H702" s="410"/>
      <c r="I702" s="408"/>
      <c r="J702" s="408"/>
      <c r="K702" s="408"/>
      <c r="L702" s="288"/>
      <c r="N702" s="288"/>
      <c r="O702" s="287"/>
      <c r="P702" s="288"/>
    </row>
    <row r="703" spans="1:16">
      <c r="A703" s="292"/>
      <c r="B703" s="297"/>
      <c r="C703" s="407"/>
      <c r="D703" s="408"/>
      <c r="E703" s="409"/>
      <c r="F703" s="408"/>
      <c r="G703" s="408"/>
      <c r="H703" s="410"/>
      <c r="I703" s="408"/>
      <c r="J703" s="408"/>
      <c r="K703" s="408"/>
      <c r="L703" s="288"/>
      <c r="N703" s="288"/>
      <c r="O703" s="287"/>
      <c r="P703" s="288"/>
    </row>
    <row r="704" spans="1:16">
      <c r="A704" s="292"/>
      <c r="B704" s="297"/>
      <c r="C704" s="407"/>
      <c r="D704" s="408"/>
      <c r="E704" s="409"/>
      <c r="F704" s="408"/>
      <c r="G704" s="408"/>
      <c r="H704" s="410"/>
      <c r="I704" s="408"/>
      <c r="J704" s="408"/>
      <c r="K704" s="408"/>
      <c r="L704" s="288"/>
      <c r="N704" s="288"/>
      <c r="O704" s="287"/>
      <c r="P704" s="288"/>
    </row>
    <row r="705" spans="1:16">
      <c r="A705" s="292"/>
      <c r="B705" s="297"/>
      <c r="C705" s="407"/>
      <c r="D705" s="408"/>
      <c r="E705" s="409"/>
      <c r="F705" s="408"/>
      <c r="G705" s="408"/>
      <c r="H705" s="410"/>
      <c r="I705" s="408"/>
      <c r="J705" s="408"/>
      <c r="K705" s="408"/>
      <c r="L705" s="288"/>
      <c r="N705" s="288"/>
      <c r="O705" s="287"/>
      <c r="P705" s="288"/>
    </row>
    <row r="706" spans="1:16">
      <c r="A706" s="292"/>
      <c r="B706" s="297"/>
      <c r="C706" s="407"/>
      <c r="D706" s="408"/>
      <c r="E706" s="409"/>
      <c r="F706" s="408"/>
      <c r="G706" s="408"/>
      <c r="H706" s="410"/>
      <c r="I706" s="408"/>
      <c r="J706" s="408"/>
      <c r="K706" s="408"/>
      <c r="L706" s="288"/>
      <c r="N706" s="288"/>
      <c r="O706" s="287"/>
      <c r="P706" s="288"/>
    </row>
    <row r="707" spans="1:16">
      <c r="A707" s="292"/>
      <c r="B707" s="297"/>
      <c r="C707" s="407"/>
      <c r="D707" s="408"/>
      <c r="E707" s="409"/>
      <c r="F707" s="408"/>
      <c r="G707" s="408"/>
      <c r="H707" s="410"/>
      <c r="I707" s="408"/>
      <c r="J707" s="408"/>
      <c r="K707" s="408"/>
      <c r="L707" s="288"/>
      <c r="N707" s="288"/>
      <c r="O707" s="287"/>
      <c r="P707" s="288"/>
    </row>
    <row r="708" spans="1:16">
      <c r="A708" s="292"/>
      <c r="B708" s="297"/>
      <c r="C708" s="407"/>
      <c r="D708" s="408"/>
      <c r="E708" s="409"/>
      <c r="F708" s="408"/>
      <c r="G708" s="408"/>
      <c r="H708" s="410"/>
      <c r="I708" s="408"/>
      <c r="J708" s="408"/>
      <c r="K708" s="408"/>
      <c r="L708" s="288"/>
      <c r="N708" s="288"/>
      <c r="O708" s="287"/>
      <c r="P708" s="288"/>
    </row>
    <row r="709" spans="1:16">
      <c r="A709" s="292"/>
      <c r="B709" s="297"/>
      <c r="C709" s="407"/>
      <c r="D709" s="408"/>
      <c r="E709" s="409"/>
      <c r="F709" s="408"/>
      <c r="G709" s="408"/>
      <c r="H709" s="410"/>
      <c r="I709" s="408"/>
      <c r="J709" s="408"/>
      <c r="K709" s="408"/>
      <c r="L709" s="288"/>
      <c r="N709" s="288"/>
      <c r="O709" s="287"/>
      <c r="P709" s="288"/>
    </row>
    <row r="710" spans="1:16">
      <c r="A710" s="292"/>
      <c r="B710" s="297"/>
      <c r="C710" s="407"/>
      <c r="D710" s="408"/>
      <c r="E710" s="409"/>
      <c r="F710" s="408"/>
      <c r="G710" s="408"/>
      <c r="H710" s="410"/>
      <c r="I710" s="408"/>
      <c r="J710" s="408"/>
      <c r="K710" s="408"/>
      <c r="L710" s="288"/>
      <c r="N710" s="288"/>
      <c r="O710" s="287"/>
      <c r="P710" s="288"/>
    </row>
    <row r="711" spans="1:16">
      <c r="A711" s="292"/>
      <c r="B711" s="297"/>
      <c r="C711" s="407"/>
      <c r="D711" s="408"/>
      <c r="E711" s="409"/>
      <c r="F711" s="408"/>
      <c r="G711" s="408"/>
      <c r="H711" s="410"/>
      <c r="I711" s="408"/>
      <c r="J711" s="408"/>
      <c r="K711" s="408"/>
      <c r="L711" s="288"/>
      <c r="N711" s="288"/>
      <c r="O711" s="287"/>
      <c r="P711" s="288"/>
    </row>
    <row r="712" spans="1:16">
      <c r="A712" s="292"/>
      <c r="B712" s="297"/>
      <c r="C712" s="407"/>
      <c r="D712" s="408"/>
      <c r="E712" s="409"/>
      <c r="F712" s="408"/>
      <c r="G712" s="408"/>
      <c r="H712" s="410"/>
      <c r="I712" s="408"/>
      <c r="J712" s="408"/>
      <c r="K712" s="408"/>
      <c r="L712" s="288"/>
      <c r="N712" s="288"/>
      <c r="O712" s="287"/>
      <c r="P712" s="288"/>
    </row>
    <row r="713" spans="1:16">
      <c r="A713" s="292"/>
      <c r="B713" s="297"/>
      <c r="C713" s="407"/>
      <c r="D713" s="408"/>
      <c r="E713" s="409"/>
      <c r="F713" s="408"/>
      <c r="G713" s="408"/>
      <c r="H713" s="410"/>
      <c r="I713" s="408"/>
      <c r="J713" s="408"/>
      <c r="K713" s="408"/>
      <c r="L713" s="288"/>
      <c r="N713" s="288"/>
      <c r="O713" s="287"/>
      <c r="P713" s="288"/>
    </row>
    <row r="714" spans="1:16">
      <c r="A714" s="292"/>
      <c r="B714" s="297"/>
      <c r="C714" s="407"/>
      <c r="D714" s="408"/>
      <c r="E714" s="409"/>
      <c r="F714" s="408"/>
      <c r="G714" s="408"/>
      <c r="H714" s="410"/>
      <c r="I714" s="408"/>
      <c r="J714" s="408"/>
      <c r="K714" s="408"/>
      <c r="L714" s="288"/>
      <c r="N714" s="288"/>
      <c r="O714" s="287"/>
      <c r="P714" s="288"/>
    </row>
    <row r="715" spans="1:16">
      <c r="A715" s="292"/>
      <c r="B715" s="297"/>
      <c r="C715" s="407"/>
      <c r="D715" s="408"/>
      <c r="E715" s="409"/>
      <c r="F715" s="408"/>
      <c r="G715" s="408"/>
      <c r="H715" s="410"/>
      <c r="I715" s="408"/>
      <c r="J715" s="408"/>
      <c r="K715" s="408"/>
      <c r="L715" s="288"/>
      <c r="N715" s="288"/>
      <c r="O715" s="287"/>
      <c r="P715" s="288"/>
    </row>
    <row r="716" spans="1:16">
      <c r="A716" s="292"/>
      <c r="B716" s="297"/>
      <c r="C716" s="407"/>
      <c r="D716" s="408"/>
      <c r="E716" s="409"/>
      <c r="F716" s="408"/>
      <c r="G716" s="408"/>
      <c r="H716" s="410"/>
      <c r="I716" s="408"/>
      <c r="J716" s="408"/>
      <c r="K716" s="408"/>
      <c r="L716" s="288"/>
      <c r="N716" s="288"/>
      <c r="O716" s="287"/>
      <c r="P716" s="288"/>
    </row>
    <row r="717" spans="1:16">
      <c r="A717" s="292"/>
      <c r="B717" s="297"/>
      <c r="C717" s="407"/>
      <c r="D717" s="408"/>
      <c r="E717" s="409"/>
      <c r="F717" s="408"/>
      <c r="G717" s="408"/>
      <c r="H717" s="410"/>
      <c r="I717" s="408"/>
      <c r="J717" s="408"/>
      <c r="K717" s="408"/>
      <c r="L717" s="288"/>
      <c r="N717" s="288"/>
      <c r="O717" s="287"/>
      <c r="P717" s="288"/>
    </row>
    <row r="718" spans="1:16">
      <c r="A718" s="292"/>
      <c r="B718" s="297"/>
      <c r="C718" s="407"/>
      <c r="D718" s="408"/>
      <c r="E718" s="409"/>
      <c r="F718" s="408"/>
      <c r="G718" s="408"/>
      <c r="H718" s="410"/>
      <c r="I718" s="408"/>
      <c r="J718" s="408"/>
      <c r="K718" s="408"/>
      <c r="L718" s="288"/>
      <c r="N718" s="288"/>
      <c r="O718" s="287"/>
      <c r="P718" s="288"/>
    </row>
    <row r="719" spans="1:16">
      <c r="A719" s="292"/>
      <c r="B719" s="297"/>
      <c r="C719" s="407"/>
      <c r="D719" s="408"/>
      <c r="E719" s="409"/>
      <c r="F719" s="408"/>
      <c r="G719" s="408"/>
      <c r="H719" s="410"/>
      <c r="I719" s="408"/>
      <c r="J719" s="408"/>
      <c r="K719" s="408"/>
      <c r="L719" s="288"/>
      <c r="N719" s="288"/>
      <c r="O719" s="287"/>
      <c r="P719" s="288"/>
    </row>
    <row r="720" spans="1:16">
      <c r="A720" s="292"/>
      <c r="B720" s="297"/>
      <c r="C720" s="407"/>
      <c r="D720" s="408"/>
      <c r="E720" s="409"/>
      <c r="F720" s="408"/>
      <c r="G720" s="408"/>
      <c r="H720" s="410"/>
      <c r="I720" s="408"/>
      <c r="J720" s="408"/>
      <c r="K720" s="408"/>
      <c r="L720" s="288"/>
      <c r="N720" s="288"/>
      <c r="O720" s="287"/>
      <c r="P720" s="288"/>
    </row>
    <row r="721" spans="1:16">
      <c r="A721" s="292"/>
      <c r="B721" s="297"/>
      <c r="C721" s="407"/>
      <c r="D721" s="408"/>
      <c r="E721" s="409"/>
      <c r="F721" s="408"/>
      <c r="G721" s="408"/>
      <c r="H721" s="410"/>
      <c r="I721" s="408"/>
      <c r="J721" s="408"/>
      <c r="K721" s="408"/>
      <c r="L721" s="288"/>
      <c r="N721" s="288"/>
      <c r="O721" s="287"/>
      <c r="P721" s="288"/>
    </row>
    <row r="722" spans="1:16">
      <c r="A722" s="292"/>
      <c r="B722" s="297"/>
      <c r="C722" s="407"/>
      <c r="D722" s="408"/>
      <c r="E722" s="409"/>
      <c r="F722" s="408"/>
      <c r="G722" s="408"/>
      <c r="H722" s="410"/>
      <c r="I722" s="408"/>
      <c r="J722" s="408"/>
      <c r="K722" s="408"/>
      <c r="L722" s="288"/>
      <c r="N722" s="288"/>
      <c r="O722" s="287"/>
      <c r="P722" s="288"/>
    </row>
    <row r="723" spans="1:16">
      <c r="A723" s="292"/>
      <c r="B723" s="297"/>
      <c r="C723" s="407"/>
      <c r="D723" s="408"/>
      <c r="E723" s="409"/>
      <c r="F723" s="408"/>
      <c r="G723" s="408"/>
      <c r="H723" s="410"/>
      <c r="I723" s="408"/>
      <c r="J723" s="408"/>
      <c r="K723" s="408"/>
      <c r="L723" s="288"/>
      <c r="N723" s="288"/>
      <c r="O723" s="287"/>
      <c r="P723" s="288"/>
    </row>
    <row r="724" spans="1:16">
      <c r="A724" s="292"/>
      <c r="B724" s="297"/>
      <c r="C724" s="407"/>
      <c r="D724" s="408"/>
      <c r="E724" s="409"/>
      <c r="F724" s="408"/>
      <c r="G724" s="408"/>
      <c r="H724" s="410"/>
      <c r="I724" s="408"/>
      <c r="J724" s="408"/>
      <c r="K724" s="408"/>
      <c r="L724" s="288"/>
      <c r="N724" s="288"/>
      <c r="O724" s="287"/>
      <c r="P724" s="288"/>
    </row>
    <row r="725" spans="1:16">
      <c r="A725" s="292"/>
      <c r="B725" s="297"/>
      <c r="C725" s="407"/>
      <c r="D725" s="408"/>
      <c r="E725" s="409"/>
      <c r="F725" s="408"/>
      <c r="G725" s="408"/>
      <c r="H725" s="410"/>
      <c r="I725" s="408"/>
      <c r="J725" s="408"/>
      <c r="K725" s="408"/>
      <c r="L725" s="288"/>
      <c r="N725" s="288"/>
      <c r="O725" s="287"/>
      <c r="P725" s="288"/>
    </row>
    <row r="726" spans="1:16">
      <c r="A726" s="292"/>
      <c r="B726" s="297"/>
      <c r="C726" s="407"/>
      <c r="D726" s="408"/>
      <c r="E726" s="409"/>
      <c r="F726" s="408"/>
      <c r="G726" s="408"/>
      <c r="H726" s="410"/>
      <c r="I726" s="408"/>
      <c r="J726" s="408"/>
      <c r="K726" s="408"/>
      <c r="L726" s="288"/>
      <c r="N726" s="288"/>
      <c r="O726" s="287"/>
      <c r="P726" s="288"/>
    </row>
    <row r="727" spans="1:16">
      <c r="A727" s="292"/>
      <c r="B727" s="297"/>
      <c r="C727" s="407"/>
      <c r="D727" s="408"/>
      <c r="E727" s="409"/>
      <c r="F727" s="408"/>
      <c r="G727" s="408"/>
      <c r="H727" s="410"/>
      <c r="I727" s="408"/>
      <c r="J727" s="408"/>
      <c r="K727" s="408"/>
      <c r="L727" s="288"/>
      <c r="N727" s="288"/>
      <c r="O727" s="287"/>
      <c r="P727" s="288"/>
    </row>
    <row r="728" spans="1:16">
      <c r="A728" s="292"/>
      <c r="B728" s="297"/>
      <c r="C728" s="407"/>
      <c r="D728" s="408"/>
      <c r="E728" s="409"/>
      <c r="F728" s="408"/>
      <c r="G728" s="408"/>
      <c r="H728" s="410"/>
      <c r="I728" s="408"/>
      <c r="J728" s="408"/>
      <c r="K728" s="408"/>
      <c r="L728" s="288"/>
      <c r="N728" s="288"/>
      <c r="O728" s="287"/>
      <c r="P728" s="288"/>
    </row>
    <row r="729" spans="1:16">
      <c r="A729" s="292"/>
      <c r="B729" s="297"/>
      <c r="C729" s="407"/>
      <c r="D729" s="408"/>
      <c r="E729" s="409"/>
      <c r="F729" s="408"/>
      <c r="G729" s="408"/>
      <c r="H729" s="410"/>
      <c r="I729" s="408"/>
      <c r="J729" s="408"/>
      <c r="K729" s="408"/>
      <c r="L729" s="288"/>
      <c r="N729" s="288"/>
      <c r="O729" s="287"/>
      <c r="P729" s="288"/>
    </row>
    <row r="730" spans="1:16">
      <c r="A730" s="292"/>
      <c r="B730" s="297"/>
      <c r="C730" s="407"/>
      <c r="D730" s="408"/>
      <c r="E730" s="409"/>
      <c r="F730" s="408"/>
      <c r="G730" s="408"/>
      <c r="H730" s="410"/>
      <c r="I730" s="408"/>
      <c r="J730" s="408"/>
      <c r="K730" s="408"/>
      <c r="L730" s="288"/>
      <c r="N730" s="288"/>
      <c r="O730" s="287"/>
      <c r="P730" s="288"/>
    </row>
    <row r="731" spans="1:16">
      <c r="A731" s="292"/>
      <c r="B731" s="297"/>
      <c r="C731" s="407"/>
      <c r="D731" s="408"/>
      <c r="E731" s="409"/>
      <c r="F731" s="408"/>
      <c r="G731" s="408"/>
      <c r="H731" s="410"/>
      <c r="I731" s="408"/>
      <c r="J731" s="408"/>
      <c r="K731" s="408"/>
      <c r="L731" s="288"/>
      <c r="N731" s="288"/>
      <c r="O731" s="287"/>
      <c r="P731" s="288"/>
    </row>
    <row r="732" spans="1:16">
      <c r="A732" s="292"/>
      <c r="B732" s="297"/>
      <c r="C732" s="407"/>
      <c r="D732" s="408"/>
      <c r="E732" s="409"/>
      <c r="F732" s="408"/>
      <c r="G732" s="408"/>
      <c r="H732" s="410"/>
      <c r="I732" s="408"/>
      <c r="J732" s="408"/>
      <c r="K732" s="408"/>
      <c r="L732" s="288"/>
      <c r="N732" s="288"/>
      <c r="O732" s="287"/>
      <c r="P732" s="288"/>
    </row>
    <row r="733" spans="1:16">
      <c r="A733" s="292"/>
      <c r="B733" s="297"/>
      <c r="C733" s="407"/>
      <c r="D733" s="408"/>
      <c r="E733" s="409"/>
      <c r="F733" s="408"/>
      <c r="G733" s="408"/>
      <c r="H733" s="410"/>
      <c r="I733" s="408"/>
      <c r="J733" s="408"/>
      <c r="K733" s="408"/>
      <c r="L733" s="288"/>
      <c r="N733" s="288"/>
      <c r="O733" s="287"/>
      <c r="P733" s="288"/>
    </row>
    <row r="734" spans="1:16">
      <c r="A734" s="292"/>
      <c r="B734" s="297"/>
      <c r="C734" s="407"/>
      <c r="D734" s="408"/>
      <c r="E734" s="409"/>
      <c r="F734" s="408"/>
      <c r="G734" s="408"/>
      <c r="H734" s="410"/>
      <c r="I734" s="408"/>
      <c r="J734" s="408"/>
      <c r="K734" s="408"/>
      <c r="L734" s="288"/>
      <c r="N734" s="288"/>
      <c r="O734" s="287"/>
      <c r="P734" s="288"/>
    </row>
    <row r="735" spans="1:16">
      <c r="A735" s="292"/>
      <c r="B735" s="297"/>
      <c r="C735" s="407"/>
      <c r="D735" s="408"/>
      <c r="E735" s="409"/>
      <c r="F735" s="408"/>
      <c r="G735" s="408"/>
      <c r="H735" s="410"/>
      <c r="I735" s="408"/>
      <c r="J735" s="408"/>
      <c r="K735" s="408"/>
      <c r="L735" s="288"/>
      <c r="N735" s="288"/>
      <c r="O735" s="287"/>
      <c r="P735" s="288"/>
    </row>
    <row r="736" spans="1:16">
      <c r="A736" s="292"/>
      <c r="B736" s="297"/>
      <c r="C736" s="407"/>
      <c r="D736" s="408"/>
      <c r="E736" s="409"/>
      <c r="F736" s="408"/>
      <c r="G736" s="408"/>
      <c r="H736" s="410"/>
      <c r="I736" s="408"/>
      <c r="J736" s="408"/>
      <c r="K736" s="408"/>
      <c r="L736" s="288"/>
      <c r="N736" s="288"/>
      <c r="O736" s="287"/>
      <c r="P736" s="288"/>
    </row>
    <row r="737" spans="1:16">
      <c r="A737" s="292"/>
      <c r="B737" s="297"/>
      <c r="C737" s="407"/>
      <c r="D737" s="408"/>
      <c r="E737" s="409"/>
      <c r="F737" s="408"/>
      <c r="G737" s="408"/>
      <c r="H737" s="410"/>
      <c r="I737" s="408"/>
      <c r="J737" s="408"/>
      <c r="K737" s="408"/>
      <c r="L737" s="288"/>
      <c r="N737" s="288"/>
      <c r="O737" s="287"/>
      <c r="P737" s="288"/>
    </row>
    <row r="738" spans="1:16">
      <c r="A738" s="292"/>
      <c r="B738" s="297"/>
      <c r="C738" s="407"/>
      <c r="D738" s="408"/>
      <c r="E738" s="409"/>
      <c r="F738" s="408"/>
      <c r="G738" s="408"/>
      <c r="H738" s="410"/>
      <c r="I738" s="408"/>
      <c r="J738" s="408"/>
      <c r="K738" s="408"/>
      <c r="L738" s="288"/>
      <c r="N738" s="288"/>
      <c r="O738" s="287"/>
      <c r="P738" s="288"/>
    </row>
    <row r="739" spans="1:16">
      <c r="A739" s="292"/>
      <c r="B739" s="297"/>
      <c r="C739" s="407"/>
      <c r="D739" s="408"/>
      <c r="E739" s="409"/>
      <c r="F739" s="408"/>
      <c r="G739" s="408"/>
      <c r="H739" s="410"/>
      <c r="I739" s="408"/>
      <c r="J739" s="408"/>
      <c r="K739" s="408"/>
      <c r="L739" s="288"/>
      <c r="N739" s="288"/>
      <c r="O739" s="287"/>
      <c r="P739" s="288"/>
    </row>
    <row r="740" spans="1:16">
      <c r="A740" s="292"/>
      <c r="B740" s="297"/>
      <c r="C740" s="407"/>
      <c r="D740" s="408"/>
      <c r="E740" s="409"/>
      <c r="F740" s="408"/>
      <c r="G740" s="408"/>
      <c r="H740" s="410"/>
      <c r="I740" s="408"/>
      <c r="J740" s="408"/>
      <c r="K740" s="408"/>
      <c r="L740" s="288"/>
      <c r="N740" s="288"/>
      <c r="O740" s="287"/>
      <c r="P740" s="288"/>
    </row>
    <row r="741" spans="1:16">
      <c r="A741" s="292"/>
      <c r="B741" s="297"/>
      <c r="C741" s="407"/>
      <c r="D741" s="408"/>
      <c r="E741" s="409"/>
      <c r="F741" s="408"/>
      <c r="G741" s="408"/>
      <c r="H741" s="410"/>
      <c r="I741" s="408"/>
      <c r="J741" s="408"/>
      <c r="K741" s="408"/>
      <c r="L741" s="288"/>
      <c r="N741" s="288"/>
      <c r="O741" s="287"/>
      <c r="P741" s="288"/>
    </row>
    <row r="742" spans="1:16">
      <c r="A742" s="292"/>
      <c r="B742" s="297"/>
      <c r="C742" s="407"/>
      <c r="D742" s="408"/>
      <c r="E742" s="409"/>
      <c r="F742" s="408"/>
      <c r="G742" s="408"/>
      <c r="H742" s="410"/>
      <c r="I742" s="408"/>
      <c r="J742" s="408"/>
      <c r="K742" s="408"/>
      <c r="L742" s="288"/>
      <c r="N742" s="288"/>
      <c r="O742" s="287"/>
      <c r="P742" s="288"/>
    </row>
    <row r="743" spans="1:16">
      <c r="A743" s="292"/>
      <c r="B743" s="297"/>
      <c r="C743" s="407"/>
      <c r="D743" s="408"/>
      <c r="E743" s="409"/>
      <c r="F743" s="408"/>
      <c r="G743" s="408"/>
      <c r="H743" s="410"/>
      <c r="I743" s="408"/>
      <c r="J743" s="408"/>
      <c r="K743" s="408"/>
      <c r="L743" s="288"/>
      <c r="N743" s="288"/>
      <c r="O743" s="287"/>
      <c r="P743" s="288"/>
    </row>
    <row r="744" spans="1:16">
      <c r="A744" s="292"/>
      <c r="B744" s="297"/>
      <c r="C744" s="407"/>
      <c r="D744" s="408"/>
      <c r="E744" s="409"/>
      <c r="F744" s="408"/>
      <c r="G744" s="408"/>
      <c r="H744" s="410"/>
      <c r="I744" s="408"/>
      <c r="J744" s="408"/>
      <c r="K744" s="408"/>
      <c r="L744" s="288"/>
      <c r="N744" s="288"/>
      <c r="O744" s="287"/>
      <c r="P744" s="288"/>
    </row>
    <row r="745" spans="1:16">
      <c r="A745" s="292"/>
      <c r="B745" s="297"/>
      <c r="C745" s="407"/>
      <c r="D745" s="408"/>
      <c r="E745" s="409"/>
      <c r="F745" s="408"/>
      <c r="G745" s="408"/>
      <c r="H745" s="410"/>
      <c r="I745" s="408"/>
      <c r="J745" s="408"/>
      <c r="K745" s="408"/>
      <c r="L745" s="288"/>
      <c r="N745" s="288"/>
      <c r="O745" s="287"/>
      <c r="P745" s="288"/>
    </row>
    <row r="746" spans="1:16">
      <c r="A746" s="292"/>
      <c r="B746" s="297"/>
      <c r="C746" s="407"/>
      <c r="D746" s="408"/>
      <c r="E746" s="409"/>
      <c r="F746" s="408"/>
      <c r="G746" s="408"/>
      <c r="H746" s="410"/>
      <c r="I746" s="408"/>
      <c r="J746" s="408"/>
      <c r="K746" s="408"/>
      <c r="L746" s="288"/>
      <c r="N746" s="288"/>
      <c r="O746" s="287"/>
      <c r="P746" s="288"/>
    </row>
    <row r="747" spans="1:16">
      <c r="A747" s="292"/>
      <c r="B747" s="297"/>
      <c r="C747" s="407"/>
      <c r="D747" s="408"/>
      <c r="E747" s="409"/>
      <c r="F747" s="408"/>
      <c r="G747" s="408"/>
      <c r="H747" s="410"/>
      <c r="I747" s="408"/>
      <c r="J747" s="408"/>
      <c r="K747" s="408"/>
      <c r="L747" s="288"/>
      <c r="N747" s="288"/>
      <c r="O747" s="287"/>
      <c r="P747" s="288"/>
    </row>
    <row r="748" spans="1:16">
      <c r="A748" s="292"/>
      <c r="B748" s="297"/>
      <c r="C748" s="407"/>
      <c r="D748" s="408"/>
      <c r="E748" s="409"/>
      <c r="F748" s="408"/>
      <c r="G748" s="408"/>
      <c r="H748" s="410"/>
      <c r="I748" s="408"/>
      <c r="J748" s="408"/>
      <c r="K748" s="408"/>
      <c r="L748" s="288"/>
      <c r="N748" s="288"/>
      <c r="O748" s="287"/>
      <c r="P748" s="288"/>
    </row>
    <row r="749" spans="1:16">
      <c r="A749" s="292"/>
      <c r="B749" s="297"/>
      <c r="C749" s="407"/>
      <c r="D749" s="408"/>
      <c r="E749" s="409"/>
      <c r="F749" s="408"/>
      <c r="G749" s="408"/>
      <c r="H749" s="410"/>
      <c r="I749" s="408"/>
      <c r="J749" s="408"/>
      <c r="K749" s="408"/>
      <c r="L749" s="288"/>
      <c r="N749" s="288"/>
      <c r="O749" s="287"/>
      <c r="P749" s="288"/>
    </row>
    <row r="750" spans="1:16">
      <c r="A750" s="292"/>
      <c r="B750" s="297"/>
      <c r="C750" s="407"/>
      <c r="D750" s="408"/>
      <c r="E750" s="409"/>
      <c r="F750" s="408"/>
      <c r="G750" s="408"/>
      <c r="H750" s="410"/>
      <c r="I750" s="408"/>
      <c r="J750" s="408"/>
      <c r="K750" s="408"/>
      <c r="L750" s="288"/>
      <c r="N750" s="288"/>
      <c r="O750" s="287"/>
      <c r="P750" s="288"/>
    </row>
    <row r="751" spans="1:16">
      <c r="A751" s="292"/>
      <c r="B751" s="297"/>
      <c r="C751" s="407"/>
      <c r="D751" s="408"/>
      <c r="E751" s="409"/>
      <c r="F751" s="408"/>
      <c r="G751" s="408"/>
      <c r="H751" s="410"/>
      <c r="I751" s="408"/>
      <c r="J751" s="408"/>
      <c r="K751" s="408"/>
      <c r="L751" s="288"/>
      <c r="N751" s="288"/>
      <c r="O751" s="287"/>
      <c r="P751" s="288"/>
    </row>
    <row r="752" spans="1:16">
      <c r="A752" s="292"/>
      <c r="B752" s="297"/>
      <c r="C752" s="407"/>
      <c r="D752" s="408"/>
      <c r="E752" s="409"/>
      <c r="F752" s="408"/>
      <c r="G752" s="408"/>
      <c r="H752" s="410"/>
      <c r="I752" s="408"/>
      <c r="J752" s="408"/>
      <c r="K752" s="408"/>
      <c r="L752" s="288"/>
      <c r="N752" s="288"/>
      <c r="O752" s="287"/>
      <c r="P752" s="288"/>
    </row>
    <row r="753" spans="1:16">
      <c r="A753" s="292"/>
      <c r="B753" s="297"/>
      <c r="C753" s="407"/>
      <c r="D753" s="408"/>
      <c r="E753" s="409"/>
      <c r="F753" s="408"/>
      <c r="G753" s="408"/>
      <c r="H753" s="410"/>
      <c r="I753" s="408"/>
      <c r="J753" s="408"/>
      <c r="K753" s="408"/>
      <c r="L753" s="288"/>
      <c r="N753" s="288"/>
      <c r="O753" s="287"/>
      <c r="P753" s="288"/>
    </row>
    <row r="754" spans="1:16">
      <c r="A754" s="292"/>
      <c r="B754" s="297"/>
      <c r="C754" s="407"/>
      <c r="D754" s="408"/>
      <c r="E754" s="409"/>
      <c r="F754" s="408"/>
      <c r="G754" s="408"/>
      <c r="H754" s="410"/>
      <c r="I754" s="408"/>
      <c r="J754" s="408"/>
      <c r="K754" s="408"/>
      <c r="L754" s="288"/>
      <c r="N754" s="288"/>
      <c r="O754" s="287"/>
      <c r="P754" s="288"/>
    </row>
    <row r="755" spans="1:16">
      <c r="A755" s="292"/>
      <c r="B755" s="297"/>
      <c r="C755" s="407"/>
      <c r="D755" s="408"/>
      <c r="E755" s="409"/>
      <c r="F755" s="408"/>
      <c r="G755" s="408"/>
      <c r="H755" s="410"/>
      <c r="I755" s="408"/>
      <c r="J755" s="408"/>
      <c r="K755" s="408"/>
      <c r="L755" s="288"/>
      <c r="N755" s="288"/>
      <c r="O755" s="287"/>
      <c r="P755" s="288"/>
    </row>
    <row r="756" spans="1:16">
      <c r="A756" s="292"/>
      <c r="B756" s="297"/>
      <c r="C756" s="407"/>
      <c r="D756" s="408"/>
      <c r="E756" s="409"/>
      <c r="F756" s="408"/>
      <c r="G756" s="408"/>
      <c r="H756" s="410"/>
      <c r="I756" s="408"/>
      <c r="J756" s="408"/>
      <c r="K756" s="408"/>
      <c r="L756" s="288"/>
      <c r="N756" s="288"/>
      <c r="O756" s="287"/>
      <c r="P756" s="288"/>
    </row>
    <row r="757" spans="1:16">
      <c r="A757" s="292"/>
      <c r="B757" s="297"/>
      <c r="C757" s="407"/>
      <c r="D757" s="408"/>
      <c r="E757" s="409"/>
      <c r="F757" s="408"/>
      <c r="G757" s="408"/>
      <c r="H757" s="410"/>
      <c r="I757" s="408"/>
      <c r="J757" s="408"/>
      <c r="K757" s="408"/>
      <c r="L757" s="288"/>
      <c r="N757" s="288"/>
      <c r="O757" s="287"/>
      <c r="P757" s="288"/>
    </row>
    <row r="758" spans="1:16">
      <c r="A758" s="292"/>
      <c r="B758" s="297"/>
      <c r="C758" s="407"/>
      <c r="D758" s="408"/>
      <c r="E758" s="409"/>
      <c r="F758" s="408"/>
      <c r="G758" s="408"/>
      <c r="H758" s="410"/>
      <c r="I758" s="408"/>
      <c r="J758" s="408"/>
      <c r="K758" s="408"/>
      <c r="L758" s="288"/>
      <c r="N758" s="288"/>
      <c r="O758" s="287"/>
      <c r="P758" s="288"/>
    </row>
    <row r="759" spans="1:16">
      <c r="A759" s="292"/>
      <c r="B759" s="297"/>
      <c r="C759" s="407"/>
      <c r="D759" s="408"/>
      <c r="E759" s="409"/>
      <c r="F759" s="408"/>
      <c r="G759" s="408"/>
      <c r="H759" s="410"/>
      <c r="I759" s="408"/>
      <c r="J759" s="408"/>
      <c r="K759" s="408"/>
      <c r="L759" s="288"/>
      <c r="N759" s="288"/>
      <c r="O759" s="287"/>
      <c r="P759" s="288"/>
    </row>
    <row r="760" spans="1:16">
      <c r="A760" s="292"/>
      <c r="B760" s="297"/>
      <c r="C760" s="407"/>
      <c r="D760" s="408"/>
      <c r="E760" s="409"/>
      <c r="F760" s="408"/>
      <c r="G760" s="408"/>
      <c r="H760" s="410"/>
      <c r="I760" s="408"/>
      <c r="J760" s="408"/>
      <c r="K760" s="408"/>
      <c r="L760" s="288"/>
      <c r="N760" s="288"/>
      <c r="O760" s="287"/>
      <c r="P760" s="288"/>
    </row>
    <row r="761" spans="1:16">
      <c r="A761" s="292"/>
      <c r="B761" s="297"/>
      <c r="C761" s="407"/>
      <c r="D761" s="408"/>
      <c r="E761" s="409"/>
      <c r="F761" s="408"/>
      <c r="G761" s="408"/>
      <c r="H761" s="410"/>
      <c r="I761" s="408"/>
      <c r="J761" s="408"/>
      <c r="K761" s="408"/>
      <c r="L761" s="288"/>
      <c r="N761" s="288"/>
      <c r="O761" s="287"/>
      <c r="P761" s="288"/>
    </row>
    <row r="762" spans="1:16">
      <c r="A762" s="292"/>
      <c r="B762" s="297"/>
      <c r="C762" s="407"/>
      <c r="D762" s="408"/>
      <c r="E762" s="409"/>
      <c r="F762" s="408"/>
      <c r="G762" s="408"/>
      <c r="H762" s="410"/>
      <c r="I762" s="408"/>
      <c r="J762" s="408"/>
      <c r="K762" s="408"/>
      <c r="L762" s="288"/>
      <c r="N762" s="288"/>
      <c r="O762" s="287"/>
      <c r="P762" s="288"/>
    </row>
    <row r="763" spans="1:16">
      <c r="A763" s="292"/>
      <c r="B763" s="297"/>
      <c r="C763" s="407"/>
      <c r="D763" s="408"/>
      <c r="E763" s="409"/>
      <c r="F763" s="408"/>
      <c r="G763" s="408"/>
      <c r="H763" s="410"/>
      <c r="I763" s="408"/>
      <c r="J763" s="408"/>
      <c r="K763" s="408"/>
      <c r="L763" s="288"/>
      <c r="N763" s="288"/>
      <c r="O763" s="287"/>
      <c r="P763" s="288"/>
    </row>
    <row r="764" spans="1:16">
      <c r="A764" s="292"/>
      <c r="B764" s="297"/>
      <c r="C764" s="407"/>
      <c r="D764" s="408"/>
      <c r="E764" s="409"/>
      <c r="F764" s="408"/>
      <c r="G764" s="408"/>
      <c r="H764" s="410"/>
      <c r="I764" s="408"/>
      <c r="J764" s="408"/>
      <c r="K764" s="408"/>
      <c r="L764" s="288"/>
      <c r="N764" s="288"/>
      <c r="O764" s="287"/>
      <c r="P764" s="288"/>
    </row>
    <row r="765" spans="1:16">
      <c r="A765" s="292"/>
      <c r="B765" s="297"/>
      <c r="C765" s="407"/>
      <c r="D765" s="408"/>
      <c r="E765" s="409"/>
      <c r="F765" s="408"/>
      <c r="G765" s="408"/>
      <c r="H765" s="410"/>
      <c r="I765" s="408"/>
      <c r="J765" s="408"/>
      <c r="K765" s="408"/>
      <c r="L765" s="288"/>
      <c r="N765" s="288"/>
      <c r="O765" s="287"/>
      <c r="P765" s="288"/>
    </row>
    <row r="766" spans="1:16">
      <c r="A766" s="292"/>
      <c r="B766" s="297"/>
      <c r="C766" s="407"/>
      <c r="D766" s="408"/>
      <c r="E766" s="409"/>
      <c r="F766" s="408"/>
      <c r="G766" s="408"/>
      <c r="H766" s="410"/>
      <c r="I766" s="408"/>
      <c r="J766" s="408"/>
      <c r="K766" s="408"/>
      <c r="L766" s="288"/>
      <c r="N766" s="288"/>
      <c r="O766" s="287"/>
      <c r="P766" s="288"/>
    </row>
    <row r="767" spans="1:16">
      <c r="A767" s="292"/>
      <c r="B767" s="297"/>
      <c r="C767" s="407"/>
      <c r="D767" s="408"/>
      <c r="E767" s="409"/>
      <c r="F767" s="408"/>
      <c r="G767" s="408"/>
      <c r="H767" s="410"/>
      <c r="I767" s="408"/>
      <c r="J767" s="408"/>
      <c r="K767" s="408"/>
      <c r="L767" s="288"/>
      <c r="N767" s="288"/>
      <c r="O767" s="287"/>
      <c r="P767" s="288"/>
    </row>
    <row r="768" spans="1:16">
      <c r="A768" s="292"/>
      <c r="B768" s="297"/>
      <c r="C768" s="407"/>
      <c r="D768" s="408"/>
      <c r="E768" s="409"/>
      <c r="F768" s="408"/>
      <c r="G768" s="408"/>
      <c r="H768" s="410"/>
      <c r="I768" s="408"/>
      <c r="J768" s="408"/>
      <c r="K768" s="408"/>
      <c r="L768" s="288"/>
      <c r="N768" s="288"/>
      <c r="O768" s="287"/>
      <c r="P768" s="288"/>
    </row>
    <row r="769" spans="1:16">
      <c r="A769" s="292"/>
      <c r="B769" s="297"/>
      <c r="C769" s="407"/>
      <c r="D769" s="408"/>
      <c r="E769" s="409"/>
      <c r="F769" s="408"/>
      <c r="G769" s="408"/>
      <c r="H769" s="410"/>
      <c r="I769" s="408"/>
      <c r="J769" s="408"/>
      <c r="K769" s="408"/>
      <c r="L769" s="288"/>
      <c r="N769" s="288"/>
      <c r="O769" s="287"/>
      <c r="P769" s="288"/>
    </row>
    <row r="770" spans="1:16">
      <c r="A770" s="292"/>
      <c r="B770" s="297"/>
      <c r="C770" s="407"/>
      <c r="D770" s="408"/>
      <c r="E770" s="409"/>
      <c r="F770" s="408"/>
      <c r="G770" s="408"/>
      <c r="H770" s="410"/>
      <c r="I770" s="408"/>
      <c r="J770" s="408"/>
      <c r="K770" s="408"/>
      <c r="L770" s="288"/>
      <c r="N770" s="288"/>
      <c r="O770" s="287"/>
      <c r="P770" s="288"/>
    </row>
    <row r="771" spans="1:16">
      <c r="A771" s="292"/>
      <c r="B771" s="297"/>
      <c r="C771" s="407"/>
      <c r="D771" s="408"/>
      <c r="E771" s="409"/>
      <c r="F771" s="408"/>
      <c r="G771" s="408"/>
      <c r="H771" s="410"/>
      <c r="I771" s="408"/>
      <c r="J771" s="408"/>
      <c r="K771" s="408"/>
      <c r="L771" s="288"/>
      <c r="N771" s="288"/>
      <c r="O771" s="287"/>
      <c r="P771" s="288"/>
    </row>
    <row r="772" spans="1:16">
      <c r="A772" s="292"/>
      <c r="B772" s="297"/>
      <c r="C772" s="407"/>
      <c r="D772" s="408"/>
      <c r="E772" s="409"/>
      <c r="F772" s="408"/>
      <c r="G772" s="408"/>
      <c r="H772" s="410"/>
      <c r="I772" s="408"/>
      <c r="J772" s="408"/>
      <c r="K772" s="408"/>
      <c r="L772" s="288"/>
      <c r="N772" s="288"/>
      <c r="O772" s="287"/>
      <c r="P772" s="288"/>
    </row>
    <row r="773" spans="1:16">
      <c r="A773" s="292"/>
      <c r="B773" s="297"/>
      <c r="C773" s="407"/>
      <c r="D773" s="408"/>
      <c r="E773" s="409"/>
      <c r="F773" s="408"/>
      <c r="G773" s="408"/>
      <c r="H773" s="410"/>
      <c r="I773" s="408"/>
      <c r="J773" s="408"/>
      <c r="K773" s="408"/>
      <c r="L773" s="288"/>
      <c r="N773" s="288"/>
      <c r="O773" s="287"/>
      <c r="P773" s="288"/>
    </row>
    <row r="774" spans="1:16">
      <c r="A774" s="292"/>
      <c r="B774" s="297"/>
      <c r="C774" s="407"/>
      <c r="D774" s="408"/>
      <c r="E774" s="409"/>
      <c r="F774" s="408"/>
      <c r="G774" s="408"/>
      <c r="H774" s="410"/>
      <c r="I774" s="408"/>
      <c r="J774" s="408"/>
      <c r="K774" s="408"/>
      <c r="L774" s="288"/>
      <c r="N774" s="288"/>
      <c r="O774" s="287"/>
      <c r="P774" s="288"/>
    </row>
    <row r="775" spans="1:16">
      <c r="A775" s="292"/>
      <c r="B775" s="297"/>
      <c r="C775" s="407"/>
      <c r="D775" s="408"/>
      <c r="E775" s="409"/>
      <c r="F775" s="408"/>
      <c r="G775" s="408"/>
      <c r="H775" s="410"/>
      <c r="I775" s="408"/>
      <c r="J775" s="408"/>
      <c r="K775" s="408"/>
      <c r="L775" s="288"/>
      <c r="N775" s="288"/>
      <c r="O775" s="287"/>
      <c r="P775" s="288"/>
    </row>
    <row r="776" spans="1:16">
      <c r="A776" s="292"/>
      <c r="B776" s="297"/>
      <c r="C776" s="407"/>
      <c r="D776" s="408"/>
      <c r="E776" s="409"/>
      <c r="F776" s="408"/>
      <c r="G776" s="408"/>
      <c r="H776" s="410"/>
      <c r="I776" s="408"/>
      <c r="J776" s="408"/>
      <c r="K776" s="408"/>
      <c r="L776" s="288"/>
      <c r="N776" s="288"/>
      <c r="O776" s="287"/>
      <c r="P776" s="288"/>
    </row>
    <row r="777" spans="1:16">
      <c r="A777" s="292"/>
      <c r="B777" s="297"/>
      <c r="C777" s="407"/>
      <c r="D777" s="408"/>
      <c r="E777" s="409"/>
      <c r="F777" s="408"/>
      <c r="G777" s="408"/>
      <c r="H777" s="410"/>
      <c r="I777" s="408"/>
      <c r="J777" s="408"/>
      <c r="K777" s="408"/>
      <c r="L777" s="288"/>
      <c r="N777" s="288"/>
      <c r="O777" s="287"/>
      <c r="P777" s="288"/>
    </row>
    <row r="778" spans="1:16">
      <c r="A778" s="292"/>
      <c r="B778" s="297"/>
      <c r="C778" s="407"/>
      <c r="D778" s="408"/>
      <c r="E778" s="409"/>
      <c r="F778" s="408"/>
      <c r="G778" s="408"/>
      <c r="H778" s="410"/>
      <c r="I778" s="408"/>
      <c r="J778" s="408"/>
      <c r="K778" s="408"/>
      <c r="L778" s="288"/>
      <c r="N778" s="288"/>
      <c r="O778" s="287"/>
      <c r="P778" s="288"/>
    </row>
    <row r="779" spans="1:16">
      <c r="A779" s="292"/>
      <c r="B779" s="297"/>
      <c r="C779" s="407"/>
      <c r="D779" s="408"/>
      <c r="E779" s="409"/>
      <c r="F779" s="408"/>
      <c r="G779" s="408"/>
      <c r="H779" s="410"/>
      <c r="I779" s="408"/>
      <c r="J779" s="408"/>
      <c r="K779" s="408"/>
      <c r="L779" s="288"/>
      <c r="N779" s="288"/>
      <c r="O779" s="287"/>
      <c r="P779" s="288"/>
    </row>
    <row r="780" spans="1:16">
      <c r="A780" s="292"/>
      <c r="B780" s="297"/>
      <c r="C780" s="407"/>
      <c r="D780" s="408"/>
      <c r="E780" s="409"/>
      <c r="F780" s="408"/>
      <c r="G780" s="408"/>
      <c r="H780" s="410"/>
      <c r="I780" s="408"/>
      <c r="J780" s="408"/>
      <c r="K780" s="408"/>
      <c r="L780" s="288"/>
      <c r="N780" s="288"/>
      <c r="O780" s="287"/>
      <c r="P780" s="288"/>
    </row>
    <row r="781" spans="1:16">
      <c r="A781" s="292"/>
      <c r="B781" s="297"/>
      <c r="C781" s="407"/>
      <c r="D781" s="408"/>
      <c r="E781" s="409"/>
      <c r="F781" s="408"/>
      <c r="G781" s="408"/>
      <c r="H781" s="410"/>
      <c r="I781" s="408"/>
      <c r="J781" s="408"/>
      <c r="K781" s="408"/>
      <c r="L781" s="288"/>
      <c r="N781" s="288"/>
      <c r="O781" s="287"/>
      <c r="P781" s="288"/>
    </row>
    <row r="782" spans="1:16">
      <c r="A782" s="292"/>
      <c r="B782" s="297"/>
      <c r="C782" s="407"/>
      <c r="D782" s="408"/>
      <c r="E782" s="409"/>
      <c r="F782" s="408"/>
      <c r="G782" s="408"/>
      <c r="H782" s="410"/>
      <c r="I782" s="408"/>
      <c r="J782" s="408"/>
      <c r="K782" s="408"/>
      <c r="L782" s="288"/>
      <c r="N782" s="288"/>
      <c r="O782" s="287"/>
      <c r="P782" s="288"/>
    </row>
    <row r="783" spans="1:16">
      <c r="A783" s="292"/>
      <c r="B783" s="297"/>
      <c r="C783" s="407"/>
      <c r="D783" s="408"/>
      <c r="E783" s="409"/>
      <c r="F783" s="408"/>
      <c r="G783" s="408"/>
      <c r="H783" s="410"/>
      <c r="I783" s="408"/>
      <c r="J783" s="408"/>
      <c r="K783" s="408"/>
      <c r="L783" s="288"/>
      <c r="N783" s="288"/>
      <c r="O783" s="287"/>
      <c r="P783" s="288"/>
    </row>
    <row r="784" spans="1:16">
      <c r="A784" s="292"/>
      <c r="B784" s="297"/>
      <c r="C784" s="407"/>
      <c r="D784" s="408"/>
      <c r="E784" s="409"/>
      <c r="F784" s="408"/>
      <c r="G784" s="408"/>
      <c r="H784" s="410"/>
      <c r="I784" s="408"/>
      <c r="J784" s="408"/>
      <c r="K784" s="408"/>
      <c r="L784" s="288"/>
      <c r="N784" s="288"/>
      <c r="O784" s="287"/>
      <c r="P784" s="288"/>
    </row>
    <row r="785" spans="1:16">
      <c r="A785" s="292"/>
      <c r="B785" s="297"/>
      <c r="C785" s="407"/>
      <c r="D785" s="408"/>
      <c r="E785" s="409"/>
      <c r="F785" s="408"/>
      <c r="G785" s="408"/>
      <c r="H785" s="410"/>
      <c r="I785" s="408"/>
      <c r="J785" s="408"/>
      <c r="K785" s="408"/>
      <c r="L785" s="288"/>
      <c r="N785" s="288"/>
      <c r="O785" s="287"/>
      <c r="P785" s="288"/>
    </row>
    <row r="786" spans="1:16">
      <c r="A786" s="292"/>
      <c r="B786" s="297"/>
      <c r="C786" s="407"/>
      <c r="D786" s="408"/>
      <c r="E786" s="409"/>
      <c r="F786" s="408"/>
      <c r="G786" s="408"/>
      <c r="H786" s="410"/>
      <c r="I786" s="408"/>
      <c r="J786" s="408"/>
      <c r="K786" s="408"/>
      <c r="L786" s="288"/>
      <c r="N786" s="288"/>
      <c r="O786" s="287"/>
      <c r="P786" s="288"/>
    </row>
    <row r="787" spans="1:16">
      <c r="A787" s="292"/>
      <c r="B787" s="297"/>
      <c r="C787" s="407"/>
      <c r="D787" s="408"/>
      <c r="E787" s="409"/>
      <c r="F787" s="408"/>
      <c r="G787" s="408"/>
      <c r="H787" s="410"/>
      <c r="I787" s="408"/>
      <c r="J787" s="408"/>
      <c r="K787" s="408"/>
      <c r="L787" s="288"/>
      <c r="N787" s="288"/>
      <c r="O787" s="287"/>
      <c r="P787" s="288"/>
    </row>
    <row r="788" spans="1:16">
      <c r="A788" s="292"/>
      <c r="B788" s="297"/>
      <c r="C788" s="407"/>
      <c r="D788" s="408"/>
      <c r="E788" s="409"/>
      <c r="F788" s="408"/>
      <c r="G788" s="408"/>
      <c r="H788" s="410"/>
      <c r="I788" s="408"/>
      <c r="J788" s="408"/>
      <c r="K788" s="408"/>
      <c r="L788" s="288"/>
      <c r="N788" s="288"/>
      <c r="O788" s="287"/>
      <c r="P788" s="288"/>
    </row>
    <row r="789" spans="1:16">
      <c r="A789" s="292"/>
      <c r="B789" s="297"/>
      <c r="C789" s="407"/>
      <c r="D789" s="408"/>
      <c r="E789" s="409"/>
      <c r="F789" s="408"/>
      <c r="G789" s="408"/>
      <c r="H789" s="410"/>
      <c r="I789" s="408"/>
      <c r="J789" s="408"/>
      <c r="K789" s="408"/>
      <c r="L789" s="288"/>
      <c r="N789" s="288"/>
      <c r="O789" s="287"/>
      <c r="P789" s="288"/>
    </row>
    <row r="790" spans="1:16">
      <c r="A790" s="292"/>
      <c r="B790" s="297"/>
      <c r="C790" s="407"/>
      <c r="D790" s="408"/>
      <c r="E790" s="409"/>
      <c r="F790" s="408"/>
      <c r="G790" s="408"/>
      <c r="H790" s="410"/>
      <c r="I790" s="408"/>
      <c r="J790" s="408"/>
      <c r="K790" s="408"/>
      <c r="L790" s="288"/>
      <c r="N790" s="288"/>
      <c r="O790" s="287"/>
      <c r="P790" s="288"/>
    </row>
    <row r="791" spans="1:16">
      <c r="A791" s="292"/>
      <c r="B791" s="297"/>
      <c r="C791" s="407"/>
      <c r="D791" s="408"/>
      <c r="E791" s="409"/>
      <c r="F791" s="408"/>
      <c r="G791" s="408"/>
      <c r="H791" s="410"/>
      <c r="I791" s="408"/>
      <c r="J791" s="408"/>
      <c r="K791" s="408"/>
      <c r="L791" s="288"/>
      <c r="N791" s="288"/>
      <c r="O791" s="287"/>
      <c r="P791" s="288"/>
    </row>
    <row r="792" spans="1:16">
      <c r="A792" s="292"/>
      <c r="B792" s="297"/>
      <c r="C792" s="407"/>
      <c r="D792" s="408"/>
      <c r="E792" s="409"/>
      <c r="F792" s="408"/>
      <c r="G792" s="408"/>
      <c r="H792" s="410"/>
      <c r="I792" s="408"/>
      <c r="J792" s="408"/>
      <c r="K792" s="408"/>
      <c r="L792" s="288"/>
      <c r="N792" s="288"/>
      <c r="O792" s="287"/>
      <c r="P792" s="288"/>
    </row>
    <row r="793" spans="1:16">
      <c r="A793" s="292"/>
      <c r="B793" s="297"/>
      <c r="C793" s="407"/>
      <c r="D793" s="408"/>
      <c r="E793" s="409"/>
      <c r="F793" s="408"/>
      <c r="G793" s="408"/>
      <c r="H793" s="410"/>
      <c r="I793" s="408"/>
      <c r="J793" s="408"/>
      <c r="K793" s="408"/>
      <c r="L793" s="288"/>
      <c r="N793" s="288"/>
      <c r="O793" s="287"/>
      <c r="P793" s="288"/>
    </row>
    <row r="794" spans="1:16">
      <c r="A794" s="292"/>
      <c r="B794" s="297"/>
      <c r="C794" s="407"/>
      <c r="D794" s="408"/>
      <c r="E794" s="409"/>
      <c r="F794" s="408"/>
      <c r="G794" s="408"/>
      <c r="H794" s="410"/>
      <c r="I794" s="408"/>
      <c r="J794" s="408"/>
      <c r="K794" s="408"/>
      <c r="L794" s="288"/>
      <c r="N794" s="288"/>
      <c r="O794" s="287"/>
      <c r="P794" s="288"/>
    </row>
    <row r="795" spans="1:16">
      <c r="A795" s="292"/>
      <c r="B795" s="297"/>
      <c r="C795" s="407"/>
      <c r="D795" s="408"/>
      <c r="E795" s="409"/>
      <c r="F795" s="408"/>
      <c r="G795" s="408"/>
      <c r="H795" s="410"/>
      <c r="I795" s="408"/>
      <c r="J795" s="408"/>
      <c r="K795" s="408"/>
      <c r="L795" s="288"/>
      <c r="N795" s="288"/>
      <c r="O795" s="287"/>
      <c r="P795" s="288"/>
    </row>
    <row r="796" spans="1:16">
      <c r="A796" s="292"/>
      <c r="B796" s="297"/>
      <c r="C796" s="407"/>
      <c r="D796" s="408"/>
      <c r="E796" s="409"/>
      <c r="F796" s="408"/>
      <c r="G796" s="408"/>
      <c r="H796" s="410"/>
      <c r="I796" s="408"/>
      <c r="J796" s="408"/>
      <c r="K796" s="408"/>
      <c r="L796" s="288"/>
      <c r="N796" s="288"/>
      <c r="O796" s="287"/>
      <c r="P796" s="288"/>
    </row>
    <row r="797" spans="1:16">
      <c r="A797" s="292"/>
      <c r="B797" s="297"/>
      <c r="C797" s="407"/>
      <c r="D797" s="408"/>
      <c r="E797" s="409"/>
      <c r="F797" s="408"/>
      <c r="G797" s="408"/>
      <c r="H797" s="410"/>
      <c r="I797" s="408"/>
      <c r="J797" s="408"/>
      <c r="K797" s="408"/>
      <c r="L797" s="288"/>
      <c r="N797" s="288"/>
      <c r="O797" s="287"/>
      <c r="P797" s="288"/>
    </row>
    <row r="798" spans="1:16">
      <c r="A798" s="292"/>
      <c r="B798" s="297"/>
      <c r="C798" s="407"/>
      <c r="D798" s="408"/>
      <c r="E798" s="409"/>
      <c r="F798" s="408"/>
      <c r="G798" s="408"/>
      <c r="H798" s="410"/>
      <c r="I798" s="408"/>
      <c r="J798" s="408"/>
      <c r="K798" s="408"/>
      <c r="L798" s="288"/>
      <c r="N798" s="288"/>
      <c r="O798" s="287"/>
      <c r="P798" s="288"/>
    </row>
    <row r="799" spans="1:16">
      <c r="A799" s="292"/>
      <c r="B799" s="297"/>
      <c r="C799" s="407"/>
      <c r="D799" s="408"/>
      <c r="E799" s="409"/>
      <c r="F799" s="408"/>
      <c r="G799" s="408"/>
      <c r="H799" s="410"/>
      <c r="I799" s="408"/>
      <c r="J799" s="408"/>
      <c r="K799" s="408"/>
      <c r="L799" s="288"/>
      <c r="N799" s="288"/>
      <c r="O799" s="287"/>
      <c r="P799" s="288"/>
    </row>
    <row r="800" spans="1:16">
      <c r="A800" s="292"/>
      <c r="B800" s="297"/>
      <c r="C800" s="407"/>
      <c r="D800" s="408"/>
      <c r="E800" s="409"/>
      <c r="F800" s="408"/>
      <c r="G800" s="408"/>
      <c r="H800" s="410"/>
      <c r="I800" s="408"/>
      <c r="J800" s="408"/>
      <c r="K800" s="408"/>
      <c r="L800" s="288"/>
      <c r="N800" s="288"/>
      <c r="O800" s="287"/>
      <c r="P800" s="288"/>
    </row>
    <row r="801" spans="1:16">
      <c r="A801" s="292"/>
      <c r="B801" s="297"/>
      <c r="C801" s="407"/>
      <c r="D801" s="408"/>
      <c r="E801" s="409"/>
      <c r="F801" s="408"/>
      <c r="G801" s="408"/>
      <c r="H801" s="410"/>
      <c r="I801" s="408"/>
      <c r="J801" s="408"/>
      <c r="K801" s="408"/>
      <c r="L801" s="288"/>
      <c r="N801" s="288"/>
      <c r="O801" s="287"/>
      <c r="P801" s="288"/>
    </row>
    <row r="802" spans="1:16">
      <c r="A802" s="292"/>
      <c r="B802" s="297"/>
      <c r="C802" s="407"/>
      <c r="D802" s="408"/>
      <c r="E802" s="409"/>
      <c r="F802" s="408"/>
      <c r="G802" s="408"/>
      <c r="H802" s="410"/>
      <c r="I802" s="408"/>
      <c r="J802" s="408"/>
      <c r="K802" s="408"/>
      <c r="L802" s="288"/>
      <c r="N802" s="288"/>
      <c r="O802" s="287"/>
      <c r="P802" s="288"/>
    </row>
    <row r="803" spans="1:16">
      <c r="A803" s="292"/>
      <c r="B803" s="297"/>
      <c r="C803" s="407"/>
      <c r="D803" s="408"/>
      <c r="E803" s="409"/>
      <c r="F803" s="408"/>
      <c r="G803" s="408"/>
      <c r="H803" s="410"/>
      <c r="I803" s="408"/>
      <c r="J803" s="408"/>
      <c r="K803" s="408"/>
      <c r="L803" s="288"/>
      <c r="N803" s="288"/>
      <c r="O803" s="287"/>
      <c r="P803" s="288"/>
    </row>
    <row r="804" spans="1:16">
      <c r="A804" s="292"/>
      <c r="B804" s="297"/>
      <c r="C804" s="407"/>
      <c r="D804" s="408"/>
      <c r="E804" s="409"/>
      <c r="F804" s="408"/>
      <c r="G804" s="408"/>
      <c r="H804" s="410"/>
      <c r="I804" s="408"/>
      <c r="J804" s="408"/>
      <c r="K804" s="408"/>
      <c r="L804" s="288"/>
      <c r="N804" s="288"/>
      <c r="O804" s="287"/>
      <c r="P804" s="288"/>
    </row>
    <row r="805" spans="1:16">
      <c r="A805" s="292"/>
      <c r="B805" s="297"/>
      <c r="C805" s="407"/>
      <c r="D805" s="408"/>
      <c r="E805" s="409"/>
      <c r="F805" s="408"/>
      <c r="G805" s="408"/>
      <c r="H805" s="410"/>
      <c r="I805" s="408"/>
      <c r="J805" s="408"/>
      <c r="K805" s="408"/>
      <c r="L805" s="288"/>
      <c r="N805" s="288"/>
      <c r="O805" s="287"/>
      <c r="P805" s="288"/>
    </row>
    <row r="806" spans="1:16">
      <c r="A806" s="292"/>
      <c r="B806" s="297"/>
      <c r="C806" s="407"/>
      <c r="D806" s="408"/>
      <c r="E806" s="409"/>
      <c r="F806" s="408"/>
      <c r="G806" s="408"/>
      <c r="H806" s="410"/>
      <c r="I806" s="408"/>
      <c r="J806" s="408"/>
      <c r="K806" s="408"/>
      <c r="L806" s="288"/>
      <c r="N806" s="288"/>
      <c r="O806" s="287"/>
      <c r="P806" s="288"/>
    </row>
    <row r="807" spans="1:16">
      <c r="A807" s="292"/>
      <c r="B807" s="297"/>
      <c r="C807" s="407"/>
      <c r="D807" s="408"/>
      <c r="E807" s="409"/>
      <c r="F807" s="408"/>
      <c r="G807" s="408"/>
      <c r="H807" s="410"/>
      <c r="I807" s="408"/>
      <c r="J807" s="408"/>
      <c r="K807" s="408"/>
      <c r="L807" s="288"/>
      <c r="N807" s="288"/>
      <c r="O807" s="287"/>
      <c r="P807" s="288"/>
    </row>
    <row r="808" spans="1:16">
      <c r="A808" s="292"/>
      <c r="B808" s="297"/>
      <c r="C808" s="407"/>
      <c r="D808" s="408"/>
      <c r="E808" s="409"/>
      <c r="F808" s="408"/>
      <c r="G808" s="408"/>
      <c r="H808" s="410"/>
      <c r="I808" s="408"/>
      <c r="J808" s="408"/>
      <c r="K808" s="408"/>
      <c r="L808" s="288"/>
      <c r="N808" s="288"/>
      <c r="O808" s="287"/>
      <c r="P808" s="288"/>
    </row>
    <row r="809" spans="1:16">
      <c r="A809" s="292"/>
      <c r="B809" s="297"/>
      <c r="C809" s="407"/>
      <c r="D809" s="408"/>
      <c r="E809" s="409"/>
      <c r="F809" s="408"/>
      <c r="G809" s="408"/>
      <c r="H809" s="410"/>
      <c r="I809" s="408"/>
      <c r="J809" s="408"/>
      <c r="K809" s="408"/>
      <c r="L809" s="288"/>
      <c r="N809" s="288"/>
      <c r="O809" s="287"/>
      <c r="P809" s="288"/>
    </row>
    <row r="810" spans="1:16">
      <c r="A810" s="292"/>
      <c r="B810" s="297"/>
      <c r="C810" s="407"/>
      <c r="D810" s="408"/>
      <c r="E810" s="409"/>
      <c r="F810" s="408"/>
      <c r="G810" s="408"/>
      <c r="H810" s="410"/>
      <c r="I810" s="408"/>
      <c r="J810" s="408"/>
      <c r="K810" s="408"/>
      <c r="L810" s="288"/>
      <c r="N810" s="288"/>
      <c r="O810" s="287"/>
      <c r="P810" s="288"/>
    </row>
    <row r="811" spans="1:16">
      <c r="A811" s="292"/>
      <c r="B811" s="297"/>
      <c r="C811" s="407"/>
      <c r="D811" s="408"/>
      <c r="E811" s="409"/>
      <c r="F811" s="408"/>
      <c r="G811" s="408"/>
      <c r="H811" s="410"/>
      <c r="I811" s="408"/>
      <c r="J811" s="408"/>
      <c r="K811" s="408"/>
      <c r="L811" s="288"/>
      <c r="N811" s="288"/>
      <c r="O811" s="287"/>
      <c r="P811" s="288"/>
    </row>
    <row r="812" spans="1:16">
      <c r="A812" s="292"/>
      <c r="B812" s="297"/>
      <c r="C812" s="407"/>
      <c r="D812" s="408"/>
      <c r="E812" s="409"/>
      <c r="F812" s="408"/>
      <c r="G812" s="408"/>
      <c r="H812" s="410"/>
      <c r="I812" s="408"/>
      <c r="J812" s="408"/>
      <c r="K812" s="408"/>
      <c r="L812" s="288"/>
      <c r="N812" s="288"/>
      <c r="O812" s="287"/>
      <c r="P812" s="288"/>
    </row>
    <row r="813" spans="1:16">
      <c r="A813" s="292"/>
      <c r="B813" s="297"/>
      <c r="C813" s="407"/>
      <c r="D813" s="408"/>
      <c r="E813" s="409"/>
      <c r="F813" s="408"/>
      <c r="G813" s="408"/>
      <c r="H813" s="410"/>
      <c r="I813" s="408"/>
      <c r="J813" s="408"/>
      <c r="K813" s="408"/>
      <c r="L813" s="288"/>
      <c r="N813" s="288"/>
      <c r="O813" s="287"/>
      <c r="P813" s="288"/>
    </row>
    <row r="814" spans="1:16">
      <c r="A814" s="292"/>
      <c r="B814" s="297"/>
      <c r="C814" s="407"/>
      <c r="D814" s="408"/>
      <c r="E814" s="409"/>
      <c r="F814" s="408"/>
      <c r="G814" s="408"/>
      <c r="H814" s="410"/>
      <c r="I814" s="408"/>
      <c r="J814" s="408"/>
      <c r="K814" s="408"/>
      <c r="L814" s="288"/>
      <c r="N814" s="288"/>
      <c r="O814" s="287"/>
      <c r="P814" s="288"/>
    </row>
    <row r="815" spans="1:16">
      <c r="A815" s="292"/>
      <c r="B815" s="297"/>
      <c r="C815" s="407"/>
      <c r="D815" s="408"/>
      <c r="E815" s="409"/>
      <c r="F815" s="408"/>
      <c r="G815" s="408"/>
      <c r="H815" s="410"/>
      <c r="I815" s="408"/>
      <c r="J815" s="408"/>
      <c r="K815" s="408"/>
      <c r="L815" s="288"/>
      <c r="N815" s="288"/>
      <c r="O815" s="287"/>
      <c r="P815" s="288"/>
    </row>
    <row r="816" spans="1:16">
      <c r="A816" s="292"/>
      <c r="B816" s="297"/>
      <c r="C816" s="407"/>
      <c r="D816" s="408"/>
      <c r="E816" s="409"/>
      <c r="F816" s="408"/>
      <c r="G816" s="408"/>
      <c r="H816" s="410"/>
      <c r="I816" s="408"/>
      <c r="J816" s="408"/>
      <c r="K816" s="408"/>
      <c r="L816" s="288"/>
      <c r="N816" s="288"/>
      <c r="O816" s="287"/>
      <c r="P816" s="288"/>
    </row>
    <row r="817" spans="1:16">
      <c r="A817" s="292"/>
      <c r="B817" s="297"/>
      <c r="C817" s="407"/>
      <c r="D817" s="408"/>
      <c r="E817" s="409"/>
      <c r="F817" s="408"/>
      <c r="G817" s="408"/>
      <c r="H817" s="410"/>
      <c r="I817" s="408"/>
      <c r="J817" s="408"/>
      <c r="K817" s="408"/>
      <c r="L817" s="288"/>
      <c r="N817" s="288"/>
      <c r="O817" s="287"/>
      <c r="P817" s="288"/>
    </row>
    <row r="818" spans="1:16">
      <c r="A818" s="292"/>
      <c r="B818" s="297"/>
      <c r="C818" s="407"/>
      <c r="D818" s="408"/>
      <c r="E818" s="409"/>
      <c r="F818" s="408"/>
      <c r="G818" s="408"/>
      <c r="H818" s="410"/>
      <c r="I818" s="408"/>
      <c r="J818" s="408"/>
      <c r="K818" s="408"/>
      <c r="L818" s="288"/>
      <c r="N818" s="288"/>
      <c r="O818" s="287"/>
      <c r="P818" s="288"/>
    </row>
    <row r="819" spans="1:16">
      <c r="A819" s="292"/>
      <c r="B819" s="297"/>
      <c r="C819" s="407"/>
      <c r="D819" s="408"/>
      <c r="E819" s="409"/>
      <c r="F819" s="408"/>
      <c r="G819" s="408"/>
      <c r="H819" s="410"/>
      <c r="I819" s="408"/>
      <c r="J819" s="408"/>
      <c r="K819" s="408"/>
      <c r="L819" s="288"/>
      <c r="N819" s="288"/>
      <c r="O819" s="287"/>
      <c r="P819" s="288"/>
    </row>
    <row r="820" spans="1:16">
      <c r="A820" s="292"/>
      <c r="B820" s="297"/>
      <c r="C820" s="407"/>
      <c r="D820" s="408"/>
      <c r="E820" s="409"/>
      <c r="F820" s="408"/>
      <c r="G820" s="408"/>
      <c r="H820" s="410"/>
      <c r="I820" s="408"/>
      <c r="J820" s="408"/>
      <c r="K820" s="408"/>
      <c r="L820" s="288"/>
      <c r="N820" s="288"/>
      <c r="O820" s="287"/>
      <c r="P820" s="288"/>
    </row>
    <row r="821" spans="1:16">
      <c r="A821" s="292"/>
      <c r="B821" s="297"/>
      <c r="C821" s="407"/>
      <c r="D821" s="408"/>
      <c r="E821" s="409"/>
      <c r="F821" s="408"/>
      <c r="G821" s="408"/>
      <c r="H821" s="410"/>
      <c r="I821" s="408"/>
      <c r="J821" s="408"/>
      <c r="K821" s="408"/>
      <c r="L821" s="288"/>
      <c r="N821" s="288"/>
      <c r="O821" s="287"/>
      <c r="P821" s="288"/>
    </row>
    <row r="822" spans="1:16">
      <c r="A822" s="292"/>
      <c r="B822" s="297"/>
      <c r="C822" s="407"/>
      <c r="D822" s="408"/>
      <c r="E822" s="409"/>
      <c r="F822" s="408"/>
      <c r="G822" s="408"/>
      <c r="H822" s="410"/>
      <c r="I822" s="408"/>
      <c r="J822" s="408"/>
      <c r="K822" s="408"/>
      <c r="L822" s="288"/>
      <c r="N822" s="288"/>
      <c r="O822" s="287"/>
      <c r="P822" s="288"/>
    </row>
    <row r="823" spans="1:16">
      <c r="A823" s="292"/>
      <c r="B823" s="297"/>
      <c r="C823" s="407"/>
      <c r="D823" s="408"/>
      <c r="E823" s="409"/>
      <c r="F823" s="408"/>
      <c r="G823" s="408"/>
      <c r="H823" s="410"/>
      <c r="I823" s="408"/>
      <c r="J823" s="408"/>
      <c r="K823" s="408"/>
      <c r="L823" s="288"/>
      <c r="N823" s="288"/>
      <c r="O823" s="287"/>
      <c r="P823" s="288"/>
    </row>
    <row r="824" spans="1:16">
      <c r="A824" s="292"/>
      <c r="B824" s="297"/>
      <c r="C824" s="407"/>
      <c r="D824" s="408"/>
      <c r="E824" s="409"/>
      <c r="F824" s="408"/>
      <c r="G824" s="408"/>
      <c r="H824" s="410"/>
      <c r="I824" s="408"/>
      <c r="J824" s="408"/>
      <c r="K824" s="408"/>
      <c r="L824" s="288"/>
      <c r="N824" s="288"/>
      <c r="O824" s="287"/>
      <c r="P824" s="288"/>
    </row>
    <row r="825" spans="1:16">
      <c r="A825" s="292"/>
      <c r="B825" s="297"/>
      <c r="C825" s="407"/>
      <c r="D825" s="408"/>
      <c r="E825" s="409"/>
      <c r="F825" s="408"/>
      <c r="G825" s="408"/>
      <c r="H825" s="410"/>
      <c r="I825" s="408"/>
      <c r="J825" s="408"/>
      <c r="K825" s="408"/>
      <c r="L825" s="288"/>
      <c r="N825" s="288"/>
      <c r="O825" s="287"/>
      <c r="P825" s="288"/>
    </row>
    <row r="826" spans="1:16">
      <c r="A826" s="292"/>
      <c r="B826" s="297"/>
      <c r="C826" s="407"/>
      <c r="D826" s="408"/>
      <c r="E826" s="409"/>
      <c r="F826" s="408"/>
      <c r="G826" s="408"/>
      <c r="H826" s="410"/>
      <c r="I826" s="408"/>
      <c r="J826" s="408"/>
      <c r="K826" s="408"/>
      <c r="L826" s="288"/>
      <c r="N826" s="288"/>
      <c r="O826" s="287"/>
      <c r="P826" s="288"/>
    </row>
    <row r="827" spans="1:16">
      <c r="A827" s="292"/>
      <c r="B827" s="297"/>
      <c r="C827" s="407"/>
      <c r="D827" s="408"/>
      <c r="E827" s="409"/>
      <c r="F827" s="408"/>
      <c r="G827" s="408"/>
      <c r="H827" s="410"/>
      <c r="I827" s="408"/>
      <c r="J827" s="408"/>
      <c r="K827" s="408"/>
      <c r="L827" s="288"/>
      <c r="N827" s="288"/>
      <c r="O827" s="287"/>
      <c r="P827" s="288"/>
    </row>
    <row r="828" spans="1:16">
      <c r="A828" s="292"/>
      <c r="B828" s="297"/>
      <c r="C828" s="407"/>
      <c r="D828" s="408"/>
      <c r="E828" s="409"/>
      <c r="F828" s="408"/>
      <c r="G828" s="408"/>
      <c r="H828" s="410"/>
      <c r="I828" s="408"/>
      <c r="J828" s="408"/>
      <c r="K828" s="408"/>
      <c r="L828" s="288"/>
      <c r="N828" s="288"/>
      <c r="O828" s="287"/>
      <c r="P828" s="288"/>
    </row>
    <row r="829" spans="1:16">
      <c r="A829" s="292"/>
      <c r="B829" s="297"/>
      <c r="C829" s="407"/>
      <c r="D829" s="408"/>
      <c r="E829" s="409"/>
      <c r="F829" s="408"/>
      <c r="G829" s="408"/>
      <c r="H829" s="410"/>
      <c r="I829" s="408"/>
      <c r="J829" s="408"/>
      <c r="K829" s="408"/>
      <c r="L829" s="288"/>
      <c r="N829" s="288"/>
      <c r="O829" s="287"/>
      <c r="P829" s="288"/>
    </row>
    <row r="830" spans="1:16">
      <c r="A830" s="292"/>
      <c r="B830" s="297"/>
      <c r="C830" s="407"/>
      <c r="D830" s="408"/>
      <c r="E830" s="409"/>
      <c r="F830" s="408"/>
      <c r="G830" s="408"/>
      <c r="H830" s="410"/>
      <c r="I830" s="408"/>
      <c r="J830" s="408"/>
      <c r="K830" s="408"/>
      <c r="L830" s="288"/>
      <c r="N830" s="288"/>
      <c r="O830" s="287"/>
      <c r="P830" s="288"/>
    </row>
    <row r="831" spans="1:16">
      <c r="A831" s="292"/>
      <c r="B831" s="297"/>
      <c r="C831" s="407"/>
      <c r="D831" s="408"/>
      <c r="E831" s="409"/>
      <c r="F831" s="408"/>
      <c r="G831" s="408"/>
      <c r="H831" s="410"/>
      <c r="I831" s="408"/>
      <c r="J831" s="408"/>
      <c r="K831" s="408"/>
      <c r="L831" s="288"/>
      <c r="N831" s="288"/>
      <c r="O831" s="287"/>
      <c r="P831" s="288"/>
    </row>
    <row r="832" spans="1:16">
      <c r="A832" s="292"/>
      <c r="B832" s="297"/>
      <c r="C832" s="407"/>
      <c r="D832" s="408"/>
      <c r="E832" s="409"/>
      <c r="F832" s="408"/>
      <c r="G832" s="408"/>
      <c r="H832" s="410"/>
      <c r="I832" s="408"/>
      <c r="J832" s="408"/>
      <c r="K832" s="408"/>
      <c r="L832" s="288"/>
      <c r="N832" s="288"/>
      <c r="O832" s="287"/>
      <c r="P832" s="288"/>
    </row>
  </sheetData>
  <mergeCells count="24">
    <mergeCell ref="A420:B420"/>
    <mergeCell ref="A440:B440"/>
    <mergeCell ref="A460:B460"/>
    <mergeCell ref="A480:B480"/>
    <mergeCell ref="A207:B207"/>
    <mergeCell ref="A253:B253"/>
    <mergeCell ref="A384:B384"/>
    <mergeCell ref="A398:B398"/>
    <mergeCell ref="A414:L414"/>
    <mergeCell ref="A415:B415"/>
    <mergeCell ref="A406:A413"/>
    <mergeCell ref="B406:B413"/>
    <mergeCell ref="X198:X200"/>
    <mergeCell ref="C203:C204"/>
    <mergeCell ref="J203:J204"/>
    <mergeCell ref="K203:K204"/>
    <mergeCell ref="L203:L204"/>
    <mergeCell ref="X203:X204"/>
    <mergeCell ref="A1:V1"/>
    <mergeCell ref="S2:T2"/>
    <mergeCell ref="C198:C200"/>
    <mergeCell ref="J198:J200"/>
    <mergeCell ref="K198:K200"/>
    <mergeCell ref="L198:L200"/>
  </mergeCells>
  <pageMargins left="7.874015748031496E-2" right="7.874015748031496E-2" top="0.19685039370078741" bottom="0.19685039370078741" header="0.27559055118110237" footer="0.23622047244094491"/>
  <pageSetup paperSize="9" scale="80" orientation="portrait" r:id="rId1"/>
  <headerFooter alignWithMargins="0"/>
</worksheet>
</file>

<file path=xl/worksheets/sheet13.xml><?xml version="1.0" encoding="utf-8"?>
<worksheet xmlns="http://schemas.openxmlformats.org/spreadsheetml/2006/main" xmlns:r="http://schemas.openxmlformats.org/officeDocument/2006/relationships">
  <sheetPr>
    <tabColor rgb="FFFFFF00"/>
  </sheetPr>
  <dimension ref="A1:U113"/>
  <sheetViews>
    <sheetView view="pageBreakPreview" workbookViewId="0">
      <pane ySplit="4" topLeftCell="A108" activePane="bottomLeft" state="frozen"/>
      <selection activeCell="P113" sqref="P113"/>
      <selection pane="bottomLeft" activeCell="F129" sqref="F129"/>
    </sheetView>
  </sheetViews>
  <sheetFormatPr defaultColWidth="9.140625" defaultRowHeight="12.75"/>
  <cols>
    <col min="1" max="1" width="6.28515625" style="13" customWidth="1"/>
    <col min="2" max="2" width="34.42578125" style="13" customWidth="1"/>
    <col min="3" max="3" width="17.42578125" style="13" customWidth="1"/>
    <col min="4" max="4" width="14.140625" style="13" customWidth="1"/>
    <col min="5" max="5" width="12.42578125" style="13" customWidth="1"/>
    <col min="6" max="6" width="11.85546875" style="13" customWidth="1"/>
    <col min="7" max="7" width="11.85546875" style="13" hidden="1" customWidth="1"/>
    <col min="8" max="10" width="13.28515625" style="13" hidden="1" customWidth="1"/>
    <col min="11" max="11" width="12" style="13" hidden="1" customWidth="1"/>
    <col min="12" max="12" width="11.42578125" style="13" hidden="1" customWidth="1"/>
    <col min="13" max="13" width="12.42578125" style="13" hidden="1" customWidth="1"/>
    <col min="14" max="256" width="9.140625" style="13"/>
    <col min="257" max="257" width="6.28515625" style="13" customWidth="1"/>
    <col min="258" max="258" width="34.42578125" style="13" customWidth="1"/>
    <col min="259" max="259" width="17.42578125" style="13" customWidth="1"/>
    <col min="260" max="260" width="15" style="13" customWidth="1"/>
    <col min="261" max="261" width="13.28515625" style="13" customWidth="1"/>
    <col min="262" max="262" width="11.85546875" style="13" customWidth="1"/>
    <col min="263" max="269" width="0" style="13" hidden="1" customWidth="1"/>
    <col min="270" max="512" width="9.140625" style="13"/>
    <col min="513" max="513" width="6.28515625" style="13" customWidth="1"/>
    <col min="514" max="514" width="34.42578125" style="13" customWidth="1"/>
    <col min="515" max="515" width="17.42578125" style="13" customWidth="1"/>
    <col min="516" max="516" width="15" style="13" customWidth="1"/>
    <col min="517" max="517" width="13.28515625" style="13" customWidth="1"/>
    <col min="518" max="518" width="11.85546875" style="13" customWidth="1"/>
    <col min="519" max="525" width="0" style="13" hidden="1" customWidth="1"/>
    <col min="526" max="768" width="9.140625" style="13"/>
    <col min="769" max="769" width="6.28515625" style="13" customWidth="1"/>
    <col min="770" max="770" width="34.42578125" style="13" customWidth="1"/>
    <col min="771" max="771" width="17.42578125" style="13" customWidth="1"/>
    <col min="772" max="772" width="15" style="13" customWidth="1"/>
    <col min="773" max="773" width="13.28515625" style="13" customWidth="1"/>
    <col min="774" max="774" width="11.85546875" style="13" customWidth="1"/>
    <col min="775" max="781" width="0" style="13" hidden="1" customWidth="1"/>
    <col min="782" max="1024" width="9.140625" style="13"/>
    <col min="1025" max="1025" width="6.28515625" style="13" customWidth="1"/>
    <col min="1026" max="1026" width="34.42578125" style="13" customWidth="1"/>
    <col min="1027" max="1027" width="17.42578125" style="13" customWidth="1"/>
    <col min="1028" max="1028" width="15" style="13" customWidth="1"/>
    <col min="1029" max="1029" width="13.28515625" style="13" customWidth="1"/>
    <col min="1030" max="1030" width="11.85546875" style="13" customWidth="1"/>
    <col min="1031" max="1037" width="0" style="13" hidden="1" customWidth="1"/>
    <col min="1038" max="1280" width="9.140625" style="13"/>
    <col min="1281" max="1281" width="6.28515625" style="13" customWidth="1"/>
    <col min="1282" max="1282" width="34.42578125" style="13" customWidth="1"/>
    <col min="1283" max="1283" width="17.42578125" style="13" customWidth="1"/>
    <col min="1284" max="1284" width="15" style="13" customWidth="1"/>
    <col min="1285" max="1285" width="13.28515625" style="13" customWidth="1"/>
    <col min="1286" max="1286" width="11.85546875" style="13" customWidth="1"/>
    <col min="1287" max="1293" width="0" style="13" hidden="1" customWidth="1"/>
    <col min="1294" max="1536" width="9.140625" style="13"/>
    <col min="1537" max="1537" width="6.28515625" style="13" customWidth="1"/>
    <col min="1538" max="1538" width="34.42578125" style="13" customWidth="1"/>
    <col min="1539" max="1539" width="17.42578125" style="13" customWidth="1"/>
    <col min="1540" max="1540" width="15" style="13" customWidth="1"/>
    <col min="1541" max="1541" width="13.28515625" style="13" customWidth="1"/>
    <col min="1542" max="1542" width="11.85546875" style="13" customWidth="1"/>
    <col min="1543" max="1549" width="0" style="13" hidden="1" customWidth="1"/>
    <col min="1550" max="1792" width="9.140625" style="13"/>
    <col min="1793" max="1793" width="6.28515625" style="13" customWidth="1"/>
    <col min="1794" max="1794" width="34.42578125" style="13" customWidth="1"/>
    <col min="1795" max="1795" width="17.42578125" style="13" customWidth="1"/>
    <col min="1796" max="1796" width="15" style="13" customWidth="1"/>
    <col min="1797" max="1797" width="13.28515625" style="13" customWidth="1"/>
    <col min="1798" max="1798" width="11.85546875" style="13" customWidth="1"/>
    <col min="1799" max="1805" width="0" style="13" hidden="1" customWidth="1"/>
    <col min="1806" max="2048" width="9.140625" style="13"/>
    <col min="2049" max="2049" width="6.28515625" style="13" customWidth="1"/>
    <col min="2050" max="2050" width="34.42578125" style="13" customWidth="1"/>
    <col min="2051" max="2051" width="17.42578125" style="13" customWidth="1"/>
    <col min="2052" max="2052" width="15" style="13" customWidth="1"/>
    <col min="2053" max="2053" width="13.28515625" style="13" customWidth="1"/>
    <col min="2054" max="2054" width="11.85546875" style="13" customWidth="1"/>
    <col min="2055" max="2061" width="0" style="13" hidden="1" customWidth="1"/>
    <col min="2062" max="2304" width="9.140625" style="13"/>
    <col min="2305" max="2305" width="6.28515625" style="13" customWidth="1"/>
    <col min="2306" max="2306" width="34.42578125" style="13" customWidth="1"/>
    <col min="2307" max="2307" width="17.42578125" style="13" customWidth="1"/>
    <col min="2308" max="2308" width="15" style="13" customWidth="1"/>
    <col min="2309" max="2309" width="13.28515625" style="13" customWidth="1"/>
    <col min="2310" max="2310" width="11.85546875" style="13" customWidth="1"/>
    <col min="2311" max="2317" width="0" style="13" hidden="1" customWidth="1"/>
    <col min="2318" max="2560" width="9.140625" style="13"/>
    <col min="2561" max="2561" width="6.28515625" style="13" customWidth="1"/>
    <col min="2562" max="2562" width="34.42578125" style="13" customWidth="1"/>
    <col min="2563" max="2563" width="17.42578125" style="13" customWidth="1"/>
    <col min="2564" max="2564" width="15" style="13" customWidth="1"/>
    <col min="2565" max="2565" width="13.28515625" style="13" customWidth="1"/>
    <col min="2566" max="2566" width="11.85546875" style="13" customWidth="1"/>
    <col min="2567" max="2573" width="0" style="13" hidden="1" customWidth="1"/>
    <col min="2574" max="2816" width="9.140625" style="13"/>
    <col min="2817" max="2817" width="6.28515625" style="13" customWidth="1"/>
    <col min="2818" max="2818" width="34.42578125" style="13" customWidth="1"/>
    <col min="2819" max="2819" width="17.42578125" style="13" customWidth="1"/>
    <col min="2820" max="2820" width="15" style="13" customWidth="1"/>
    <col min="2821" max="2821" width="13.28515625" style="13" customWidth="1"/>
    <col min="2822" max="2822" width="11.85546875" style="13" customWidth="1"/>
    <col min="2823" max="2829" width="0" style="13" hidden="1" customWidth="1"/>
    <col min="2830" max="3072" width="9.140625" style="13"/>
    <col min="3073" max="3073" width="6.28515625" style="13" customWidth="1"/>
    <col min="3074" max="3074" width="34.42578125" style="13" customWidth="1"/>
    <col min="3075" max="3075" width="17.42578125" style="13" customWidth="1"/>
    <col min="3076" max="3076" width="15" style="13" customWidth="1"/>
    <col min="3077" max="3077" width="13.28515625" style="13" customWidth="1"/>
    <col min="3078" max="3078" width="11.85546875" style="13" customWidth="1"/>
    <col min="3079" max="3085" width="0" style="13" hidden="1" customWidth="1"/>
    <col min="3086" max="3328" width="9.140625" style="13"/>
    <col min="3329" max="3329" width="6.28515625" style="13" customWidth="1"/>
    <col min="3330" max="3330" width="34.42578125" style="13" customWidth="1"/>
    <col min="3331" max="3331" width="17.42578125" style="13" customWidth="1"/>
    <col min="3332" max="3332" width="15" style="13" customWidth="1"/>
    <col min="3333" max="3333" width="13.28515625" style="13" customWidth="1"/>
    <col min="3334" max="3334" width="11.85546875" style="13" customWidth="1"/>
    <col min="3335" max="3341" width="0" style="13" hidden="1" customWidth="1"/>
    <col min="3342" max="3584" width="9.140625" style="13"/>
    <col min="3585" max="3585" width="6.28515625" style="13" customWidth="1"/>
    <col min="3586" max="3586" width="34.42578125" style="13" customWidth="1"/>
    <col min="3587" max="3587" width="17.42578125" style="13" customWidth="1"/>
    <col min="3588" max="3588" width="15" style="13" customWidth="1"/>
    <col min="3589" max="3589" width="13.28515625" style="13" customWidth="1"/>
    <col min="3590" max="3590" width="11.85546875" style="13" customWidth="1"/>
    <col min="3591" max="3597" width="0" style="13" hidden="1" customWidth="1"/>
    <col min="3598" max="3840" width="9.140625" style="13"/>
    <col min="3841" max="3841" width="6.28515625" style="13" customWidth="1"/>
    <col min="3842" max="3842" width="34.42578125" style="13" customWidth="1"/>
    <col min="3843" max="3843" width="17.42578125" style="13" customWidth="1"/>
    <col min="3844" max="3844" width="15" style="13" customWidth="1"/>
    <col min="3845" max="3845" width="13.28515625" style="13" customWidth="1"/>
    <col min="3846" max="3846" width="11.85546875" style="13" customWidth="1"/>
    <col min="3847" max="3853" width="0" style="13" hidden="1" customWidth="1"/>
    <col min="3854" max="4096" width="9.140625" style="13"/>
    <col min="4097" max="4097" width="6.28515625" style="13" customWidth="1"/>
    <col min="4098" max="4098" width="34.42578125" style="13" customWidth="1"/>
    <col min="4099" max="4099" width="17.42578125" style="13" customWidth="1"/>
    <col min="4100" max="4100" width="15" style="13" customWidth="1"/>
    <col min="4101" max="4101" width="13.28515625" style="13" customWidth="1"/>
    <col min="4102" max="4102" width="11.85546875" style="13" customWidth="1"/>
    <col min="4103" max="4109" width="0" style="13" hidden="1" customWidth="1"/>
    <col min="4110" max="4352" width="9.140625" style="13"/>
    <col min="4353" max="4353" width="6.28515625" style="13" customWidth="1"/>
    <col min="4354" max="4354" width="34.42578125" style="13" customWidth="1"/>
    <col min="4355" max="4355" width="17.42578125" style="13" customWidth="1"/>
    <col min="4356" max="4356" width="15" style="13" customWidth="1"/>
    <col min="4357" max="4357" width="13.28515625" style="13" customWidth="1"/>
    <col min="4358" max="4358" width="11.85546875" style="13" customWidth="1"/>
    <col min="4359" max="4365" width="0" style="13" hidden="1" customWidth="1"/>
    <col min="4366" max="4608" width="9.140625" style="13"/>
    <col min="4609" max="4609" width="6.28515625" style="13" customWidth="1"/>
    <col min="4610" max="4610" width="34.42578125" style="13" customWidth="1"/>
    <col min="4611" max="4611" width="17.42578125" style="13" customWidth="1"/>
    <col min="4612" max="4612" width="15" style="13" customWidth="1"/>
    <col min="4613" max="4613" width="13.28515625" style="13" customWidth="1"/>
    <col min="4614" max="4614" width="11.85546875" style="13" customWidth="1"/>
    <col min="4615" max="4621" width="0" style="13" hidden="1" customWidth="1"/>
    <col min="4622" max="4864" width="9.140625" style="13"/>
    <col min="4865" max="4865" width="6.28515625" style="13" customWidth="1"/>
    <col min="4866" max="4866" width="34.42578125" style="13" customWidth="1"/>
    <col min="4867" max="4867" width="17.42578125" style="13" customWidth="1"/>
    <col min="4868" max="4868" width="15" style="13" customWidth="1"/>
    <col min="4869" max="4869" width="13.28515625" style="13" customWidth="1"/>
    <col min="4870" max="4870" width="11.85546875" style="13" customWidth="1"/>
    <col min="4871" max="4877" width="0" style="13" hidden="1" customWidth="1"/>
    <col min="4878" max="5120" width="9.140625" style="13"/>
    <col min="5121" max="5121" width="6.28515625" style="13" customWidth="1"/>
    <col min="5122" max="5122" width="34.42578125" style="13" customWidth="1"/>
    <col min="5123" max="5123" width="17.42578125" style="13" customWidth="1"/>
    <col min="5124" max="5124" width="15" style="13" customWidth="1"/>
    <col min="5125" max="5125" width="13.28515625" style="13" customWidth="1"/>
    <col min="5126" max="5126" width="11.85546875" style="13" customWidth="1"/>
    <col min="5127" max="5133" width="0" style="13" hidden="1" customWidth="1"/>
    <col min="5134" max="5376" width="9.140625" style="13"/>
    <col min="5377" max="5377" width="6.28515625" style="13" customWidth="1"/>
    <col min="5378" max="5378" width="34.42578125" style="13" customWidth="1"/>
    <col min="5379" max="5379" width="17.42578125" style="13" customWidth="1"/>
    <col min="5380" max="5380" width="15" style="13" customWidth="1"/>
    <col min="5381" max="5381" width="13.28515625" style="13" customWidth="1"/>
    <col min="5382" max="5382" width="11.85546875" style="13" customWidth="1"/>
    <col min="5383" max="5389" width="0" style="13" hidden="1" customWidth="1"/>
    <col min="5390" max="5632" width="9.140625" style="13"/>
    <col min="5633" max="5633" width="6.28515625" style="13" customWidth="1"/>
    <col min="5634" max="5634" width="34.42578125" style="13" customWidth="1"/>
    <col min="5635" max="5635" width="17.42578125" style="13" customWidth="1"/>
    <col min="5636" max="5636" width="15" style="13" customWidth="1"/>
    <col min="5637" max="5637" width="13.28515625" style="13" customWidth="1"/>
    <col min="5638" max="5638" width="11.85546875" style="13" customWidth="1"/>
    <col min="5639" max="5645" width="0" style="13" hidden="1" customWidth="1"/>
    <col min="5646" max="5888" width="9.140625" style="13"/>
    <col min="5889" max="5889" width="6.28515625" style="13" customWidth="1"/>
    <col min="5890" max="5890" width="34.42578125" style="13" customWidth="1"/>
    <col min="5891" max="5891" width="17.42578125" style="13" customWidth="1"/>
    <col min="5892" max="5892" width="15" style="13" customWidth="1"/>
    <col min="5893" max="5893" width="13.28515625" style="13" customWidth="1"/>
    <col min="5894" max="5894" width="11.85546875" style="13" customWidth="1"/>
    <col min="5895" max="5901" width="0" style="13" hidden="1" customWidth="1"/>
    <col min="5902" max="6144" width="9.140625" style="13"/>
    <col min="6145" max="6145" width="6.28515625" style="13" customWidth="1"/>
    <col min="6146" max="6146" width="34.42578125" style="13" customWidth="1"/>
    <col min="6147" max="6147" width="17.42578125" style="13" customWidth="1"/>
    <col min="6148" max="6148" width="15" style="13" customWidth="1"/>
    <col min="6149" max="6149" width="13.28515625" style="13" customWidth="1"/>
    <col min="6150" max="6150" width="11.85546875" style="13" customWidth="1"/>
    <col min="6151" max="6157" width="0" style="13" hidden="1" customWidth="1"/>
    <col min="6158" max="6400" width="9.140625" style="13"/>
    <col min="6401" max="6401" width="6.28515625" style="13" customWidth="1"/>
    <col min="6402" max="6402" width="34.42578125" style="13" customWidth="1"/>
    <col min="6403" max="6403" width="17.42578125" style="13" customWidth="1"/>
    <col min="6404" max="6404" width="15" style="13" customWidth="1"/>
    <col min="6405" max="6405" width="13.28515625" style="13" customWidth="1"/>
    <col min="6406" max="6406" width="11.85546875" style="13" customWidth="1"/>
    <col min="6407" max="6413" width="0" style="13" hidden="1" customWidth="1"/>
    <col min="6414" max="6656" width="9.140625" style="13"/>
    <col min="6657" max="6657" width="6.28515625" style="13" customWidth="1"/>
    <col min="6658" max="6658" width="34.42578125" style="13" customWidth="1"/>
    <col min="6659" max="6659" width="17.42578125" style="13" customWidth="1"/>
    <col min="6660" max="6660" width="15" style="13" customWidth="1"/>
    <col min="6661" max="6661" width="13.28515625" style="13" customWidth="1"/>
    <col min="6662" max="6662" width="11.85546875" style="13" customWidth="1"/>
    <col min="6663" max="6669" width="0" style="13" hidden="1" customWidth="1"/>
    <col min="6670" max="6912" width="9.140625" style="13"/>
    <col min="6913" max="6913" width="6.28515625" style="13" customWidth="1"/>
    <col min="6914" max="6914" width="34.42578125" style="13" customWidth="1"/>
    <col min="6915" max="6915" width="17.42578125" style="13" customWidth="1"/>
    <col min="6916" max="6916" width="15" style="13" customWidth="1"/>
    <col min="6917" max="6917" width="13.28515625" style="13" customWidth="1"/>
    <col min="6918" max="6918" width="11.85546875" style="13" customWidth="1"/>
    <col min="6919" max="6925" width="0" style="13" hidden="1" customWidth="1"/>
    <col min="6926" max="7168" width="9.140625" style="13"/>
    <col min="7169" max="7169" width="6.28515625" style="13" customWidth="1"/>
    <col min="7170" max="7170" width="34.42578125" style="13" customWidth="1"/>
    <col min="7171" max="7171" width="17.42578125" style="13" customWidth="1"/>
    <col min="7172" max="7172" width="15" style="13" customWidth="1"/>
    <col min="7173" max="7173" width="13.28515625" style="13" customWidth="1"/>
    <col min="7174" max="7174" width="11.85546875" style="13" customWidth="1"/>
    <col min="7175" max="7181" width="0" style="13" hidden="1" customWidth="1"/>
    <col min="7182" max="7424" width="9.140625" style="13"/>
    <col min="7425" max="7425" width="6.28515625" style="13" customWidth="1"/>
    <col min="7426" max="7426" width="34.42578125" style="13" customWidth="1"/>
    <col min="7427" max="7427" width="17.42578125" style="13" customWidth="1"/>
    <col min="7428" max="7428" width="15" style="13" customWidth="1"/>
    <col min="7429" max="7429" width="13.28515625" style="13" customWidth="1"/>
    <col min="7430" max="7430" width="11.85546875" style="13" customWidth="1"/>
    <col min="7431" max="7437" width="0" style="13" hidden="1" customWidth="1"/>
    <col min="7438" max="7680" width="9.140625" style="13"/>
    <col min="7681" max="7681" width="6.28515625" style="13" customWidth="1"/>
    <col min="7682" max="7682" width="34.42578125" style="13" customWidth="1"/>
    <col min="7683" max="7683" width="17.42578125" style="13" customWidth="1"/>
    <col min="7684" max="7684" width="15" style="13" customWidth="1"/>
    <col min="7685" max="7685" width="13.28515625" style="13" customWidth="1"/>
    <col min="7686" max="7686" width="11.85546875" style="13" customWidth="1"/>
    <col min="7687" max="7693" width="0" style="13" hidden="1" customWidth="1"/>
    <col min="7694" max="7936" width="9.140625" style="13"/>
    <col min="7937" max="7937" width="6.28515625" style="13" customWidth="1"/>
    <col min="7938" max="7938" width="34.42578125" style="13" customWidth="1"/>
    <col min="7939" max="7939" width="17.42578125" style="13" customWidth="1"/>
    <col min="7940" max="7940" width="15" style="13" customWidth="1"/>
    <col min="7941" max="7941" width="13.28515625" style="13" customWidth="1"/>
    <col min="7942" max="7942" width="11.85546875" style="13" customWidth="1"/>
    <col min="7943" max="7949" width="0" style="13" hidden="1" customWidth="1"/>
    <col min="7950" max="8192" width="9.140625" style="13"/>
    <col min="8193" max="8193" width="6.28515625" style="13" customWidth="1"/>
    <col min="8194" max="8194" width="34.42578125" style="13" customWidth="1"/>
    <col min="8195" max="8195" width="17.42578125" style="13" customWidth="1"/>
    <col min="8196" max="8196" width="15" style="13" customWidth="1"/>
    <col min="8197" max="8197" width="13.28515625" style="13" customWidth="1"/>
    <col min="8198" max="8198" width="11.85546875" style="13" customWidth="1"/>
    <col min="8199" max="8205" width="0" style="13" hidden="1" customWidth="1"/>
    <col min="8206" max="8448" width="9.140625" style="13"/>
    <col min="8449" max="8449" width="6.28515625" style="13" customWidth="1"/>
    <col min="8450" max="8450" width="34.42578125" style="13" customWidth="1"/>
    <col min="8451" max="8451" width="17.42578125" style="13" customWidth="1"/>
    <col min="8452" max="8452" width="15" style="13" customWidth="1"/>
    <col min="8453" max="8453" width="13.28515625" style="13" customWidth="1"/>
    <col min="8454" max="8454" width="11.85546875" style="13" customWidth="1"/>
    <col min="8455" max="8461" width="0" style="13" hidden="1" customWidth="1"/>
    <col min="8462" max="8704" width="9.140625" style="13"/>
    <col min="8705" max="8705" width="6.28515625" style="13" customWidth="1"/>
    <col min="8706" max="8706" width="34.42578125" style="13" customWidth="1"/>
    <col min="8707" max="8707" width="17.42578125" style="13" customWidth="1"/>
    <col min="8708" max="8708" width="15" style="13" customWidth="1"/>
    <col min="8709" max="8709" width="13.28515625" style="13" customWidth="1"/>
    <col min="8710" max="8710" width="11.85546875" style="13" customWidth="1"/>
    <col min="8711" max="8717" width="0" style="13" hidden="1" customWidth="1"/>
    <col min="8718" max="8960" width="9.140625" style="13"/>
    <col min="8961" max="8961" width="6.28515625" style="13" customWidth="1"/>
    <col min="8962" max="8962" width="34.42578125" style="13" customWidth="1"/>
    <col min="8963" max="8963" width="17.42578125" style="13" customWidth="1"/>
    <col min="8964" max="8964" width="15" style="13" customWidth="1"/>
    <col min="8965" max="8965" width="13.28515625" style="13" customWidth="1"/>
    <col min="8966" max="8966" width="11.85546875" style="13" customWidth="1"/>
    <col min="8967" max="8973" width="0" style="13" hidden="1" customWidth="1"/>
    <col min="8974" max="9216" width="9.140625" style="13"/>
    <col min="9217" max="9217" width="6.28515625" style="13" customWidth="1"/>
    <col min="9218" max="9218" width="34.42578125" style="13" customWidth="1"/>
    <col min="9219" max="9219" width="17.42578125" style="13" customWidth="1"/>
    <col min="9220" max="9220" width="15" style="13" customWidth="1"/>
    <col min="9221" max="9221" width="13.28515625" style="13" customWidth="1"/>
    <col min="9222" max="9222" width="11.85546875" style="13" customWidth="1"/>
    <col min="9223" max="9229" width="0" style="13" hidden="1" customWidth="1"/>
    <col min="9230" max="9472" width="9.140625" style="13"/>
    <col min="9473" max="9473" width="6.28515625" style="13" customWidth="1"/>
    <col min="9474" max="9474" width="34.42578125" style="13" customWidth="1"/>
    <col min="9475" max="9475" width="17.42578125" style="13" customWidth="1"/>
    <col min="9476" max="9476" width="15" style="13" customWidth="1"/>
    <col min="9477" max="9477" width="13.28515625" style="13" customWidth="1"/>
    <col min="9478" max="9478" width="11.85546875" style="13" customWidth="1"/>
    <col min="9479" max="9485" width="0" style="13" hidden="1" customWidth="1"/>
    <col min="9486" max="9728" width="9.140625" style="13"/>
    <col min="9729" max="9729" width="6.28515625" style="13" customWidth="1"/>
    <col min="9730" max="9730" width="34.42578125" style="13" customWidth="1"/>
    <col min="9731" max="9731" width="17.42578125" style="13" customWidth="1"/>
    <col min="9732" max="9732" width="15" style="13" customWidth="1"/>
    <col min="9733" max="9733" width="13.28515625" style="13" customWidth="1"/>
    <col min="9734" max="9734" width="11.85546875" style="13" customWidth="1"/>
    <col min="9735" max="9741" width="0" style="13" hidden="1" customWidth="1"/>
    <col min="9742" max="9984" width="9.140625" style="13"/>
    <col min="9985" max="9985" width="6.28515625" style="13" customWidth="1"/>
    <col min="9986" max="9986" width="34.42578125" style="13" customWidth="1"/>
    <col min="9987" max="9987" width="17.42578125" style="13" customWidth="1"/>
    <col min="9988" max="9988" width="15" style="13" customWidth="1"/>
    <col min="9989" max="9989" width="13.28515625" style="13" customWidth="1"/>
    <col min="9990" max="9990" width="11.85546875" style="13" customWidth="1"/>
    <col min="9991" max="9997" width="0" style="13" hidden="1" customWidth="1"/>
    <col min="9998" max="10240" width="9.140625" style="13"/>
    <col min="10241" max="10241" width="6.28515625" style="13" customWidth="1"/>
    <col min="10242" max="10242" width="34.42578125" style="13" customWidth="1"/>
    <col min="10243" max="10243" width="17.42578125" style="13" customWidth="1"/>
    <col min="10244" max="10244" width="15" style="13" customWidth="1"/>
    <col min="10245" max="10245" width="13.28515625" style="13" customWidth="1"/>
    <col min="10246" max="10246" width="11.85546875" style="13" customWidth="1"/>
    <col min="10247" max="10253" width="0" style="13" hidden="1" customWidth="1"/>
    <col min="10254" max="10496" width="9.140625" style="13"/>
    <col min="10497" max="10497" width="6.28515625" style="13" customWidth="1"/>
    <col min="10498" max="10498" width="34.42578125" style="13" customWidth="1"/>
    <col min="10499" max="10499" width="17.42578125" style="13" customWidth="1"/>
    <col min="10500" max="10500" width="15" style="13" customWidth="1"/>
    <col min="10501" max="10501" width="13.28515625" style="13" customWidth="1"/>
    <col min="10502" max="10502" width="11.85546875" style="13" customWidth="1"/>
    <col min="10503" max="10509" width="0" style="13" hidden="1" customWidth="1"/>
    <col min="10510" max="10752" width="9.140625" style="13"/>
    <col min="10753" max="10753" width="6.28515625" style="13" customWidth="1"/>
    <col min="10754" max="10754" width="34.42578125" style="13" customWidth="1"/>
    <col min="10755" max="10755" width="17.42578125" style="13" customWidth="1"/>
    <col min="10756" max="10756" width="15" style="13" customWidth="1"/>
    <col min="10757" max="10757" width="13.28515625" style="13" customWidth="1"/>
    <col min="10758" max="10758" width="11.85546875" style="13" customWidth="1"/>
    <col min="10759" max="10765" width="0" style="13" hidden="1" customWidth="1"/>
    <col min="10766" max="11008" width="9.140625" style="13"/>
    <col min="11009" max="11009" width="6.28515625" style="13" customWidth="1"/>
    <col min="11010" max="11010" width="34.42578125" style="13" customWidth="1"/>
    <col min="11011" max="11011" width="17.42578125" style="13" customWidth="1"/>
    <col min="11012" max="11012" width="15" style="13" customWidth="1"/>
    <col min="11013" max="11013" width="13.28515625" style="13" customWidth="1"/>
    <col min="11014" max="11014" width="11.85546875" style="13" customWidth="1"/>
    <col min="11015" max="11021" width="0" style="13" hidden="1" customWidth="1"/>
    <col min="11022" max="11264" width="9.140625" style="13"/>
    <col min="11265" max="11265" width="6.28515625" style="13" customWidth="1"/>
    <col min="11266" max="11266" width="34.42578125" style="13" customWidth="1"/>
    <col min="11267" max="11267" width="17.42578125" style="13" customWidth="1"/>
    <col min="11268" max="11268" width="15" style="13" customWidth="1"/>
    <col min="11269" max="11269" width="13.28515625" style="13" customWidth="1"/>
    <col min="11270" max="11270" width="11.85546875" style="13" customWidth="1"/>
    <col min="11271" max="11277" width="0" style="13" hidden="1" customWidth="1"/>
    <col min="11278" max="11520" width="9.140625" style="13"/>
    <col min="11521" max="11521" width="6.28515625" style="13" customWidth="1"/>
    <col min="11522" max="11522" width="34.42578125" style="13" customWidth="1"/>
    <col min="11523" max="11523" width="17.42578125" style="13" customWidth="1"/>
    <col min="11524" max="11524" width="15" style="13" customWidth="1"/>
    <col min="11525" max="11525" width="13.28515625" style="13" customWidth="1"/>
    <col min="11526" max="11526" width="11.85546875" style="13" customWidth="1"/>
    <col min="11527" max="11533" width="0" style="13" hidden="1" customWidth="1"/>
    <col min="11534" max="11776" width="9.140625" style="13"/>
    <col min="11777" max="11777" width="6.28515625" style="13" customWidth="1"/>
    <col min="11778" max="11778" width="34.42578125" style="13" customWidth="1"/>
    <col min="11779" max="11779" width="17.42578125" style="13" customWidth="1"/>
    <col min="11780" max="11780" width="15" style="13" customWidth="1"/>
    <col min="11781" max="11781" width="13.28515625" style="13" customWidth="1"/>
    <col min="11782" max="11782" width="11.85546875" style="13" customWidth="1"/>
    <col min="11783" max="11789" width="0" style="13" hidden="1" customWidth="1"/>
    <col min="11790" max="12032" width="9.140625" style="13"/>
    <col min="12033" max="12033" width="6.28515625" style="13" customWidth="1"/>
    <col min="12034" max="12034" width="34.42578125" style="13" customWidth="1"/>
    <col min="12035" max="12035" width="17.42578125" style="13" customWidth="1"/>
    <col min="12036" max="12036" width="15" style="13" customWidth="1"/>
    <col min="12037" max="12037" width="13.28515625" style="13" customWidth="1"/>
    <col min="12038" max="12038" width="11.85546875" style="13" customWidth="1"/>
    <col min="12039" max="12045" width="0" style="13" hidden="1" customWidth="1"/>
    <col min="12046" max="12288" width="9.140625" style="13"/>
    <col min="12289" max="12289" width="6.28515625" style="13" customWidth="1"/>
    <col min="12290" max="12290" width="34.42578125" style="13" customWidth="1"/>
    <col min="12291" max="12291" width="17.42578125" style="13" customWidth="1"/>
    <col min="12292" max="12292" width="15" style="13" customWidth="1"/>
    <col min="12293" max="12293" width="13.28515625" style="13" customWidth="1"/>
    <col min="12294" max="12294" width="11.85546875" style="13" customWidth="1"/>
    <col min="12295" max="12301" width="0" style="13" hidden="1" customWidth="1"/>
    <col min="12302" max="12544" width="9.140625" style="13"/>
    <col min="12545" max="12545" width="6.28515625" style="13" customWidth="1"/>
    <col min="12546" max="12546" width="34.42578125" style="13" customWidth="1"/>
    <col min="12547" max="12547" width="17.42578125" style="13" customWidth="1"/>
    <col min="12548" max="12548" width="15" style="13" customWidth="1"/>
    <col min="12549" max="12549" width="13.28515625" style="13" customWidth="1"/>
    <col min="12550" max="12550" width="11.85546875" style="13" customWidth="1"/>
    <col min="12551" max="12557" width="0" style="13" hidden="1" customWidth="1"/>
    <col min="12558" max="12800" width="9.140625" style="13"/>
    <col min="12801" max="12801" width="6.28515625" style="13" customWidth="1"/>
    <col min="12802" max="12802" width="34.42578125" style="13" customWidth="1"/>
    <col min="12803" max="12803" width="17.42578125" style="13" customWidth="1"/>
    <col min="12804" max="12804" width="15" style="13" customWidth="1"/>
    <col min="12805" max="12805" width="13.28515625" style="13" customWidth="1"/>
    <col min="12806" max="12806" width="11.85546875" style="13" customWidth="1"/>
    <col min="12807" max="12813" width="0" style="13" hidden="1" customWidth="1"/>
    <col min="12814" max="13056" width="9.140625" style="13"/>
    <col min="13057" max="13057" width="6.28515625" style="13" customWidth="1"/>
    <col min="13058" max="13058" width="34.42578125" style="13" customWidth="1"/>
    <col min="13059" max="13059" width="17.42578125" style="13" customWidth="1"/>
    <col min="13060" max="13060" width="15" style="13" customWidth="1"/>
    <col min="13061" max="13061" width="13.28515625" style="13" customWidth="1"/>
    <col min="13062" max="13062" width="11.85546875" style="13" customWidth="1"/>
    <col min="13063" max="13069" width="0" style="13" hidden="1" customWidth="1"/>
    <col min="13070" max="13312" width="9.140625" style="13"/>
    <col min="13313" max="13313" width="6.28515625" style="13" customWidth="1"/>
    <col min="13314" max="13314" width="34.42578125" style="13" customWidth="1"/>
    <col min="13315" max="13315" width="17.42578125" style="13" customWidth="1"/>
    <col min="13316" max="13316" width="15" style="13" customWidth="1"/>
    <col min="13317" max="13317" width="13.28515625" style="13" customWidth="1"/>
    <col min="13318" max="13318" width="11.85546875" style="13" customWidth="1"/>
    <col min="13319" max="13325" width="0" style="13" hidden="1" customWidth="1"/>
    <col min="13326" max="13568" width="9.140625" style="13"/>
    <col min="13569" max="13569" width="6.28515625" style="13" customWidth="1"/>
    <col min="13570" max="13570" width="34.42578125" style="13" customWidth="1"/>
    <col min="13571" max="13571" width="17.42578125" style="13" customWidth="1"/>
    <col min="13572" max="13572" width="15" style="13" customWidth="1"/>
    <col min="13573" max="13573" width="13.28515625" style="13" customWidth="1"/>
    <col min="13574" max="13574" width="11.85546875" style="13" customWidth="1"/>
    <col min="13575" max="13581" width="0" style="13" hidden="1" customWidth="1"/>
    <col min="13582" max="13824" width="9.140625" style="13"/>
    <col min="13825" max="13825" width="6.28515625" style="13" customWidth="1"/>
    <col min="13826" max="13826" width="34.42578125" style="13" customWidth="1"/>
    <col min="13827" max="13827" width="17.42578125" style="13" customWidth="1"/>
    <col min="13828" max="13828" width="15" style="13" customWidth="1"/>
    <col min="13829" max="13829" width="13.28515625" style="13" customWidth="1"/>
    <col min="13830" max="13830" width="11.85546875" style="13" customWidth="1"/>
    <col min="13831" max="13837" width="0" style="13" hidden="1" customWidth="1"/>
    <col min="13838" max="14080" width="9.140625" style="13"/>
    <col min="14081" max="14081" width="6.28515625" style="13" customWidth="1"/>
    <col min="14082" max="14082" width="34.42578125" style="13" customWidth="1"/>
    <col min="14083" max="14083" width="17.42578125" style="13" customWidth="1"/>
    <col min="14084" max="14084" width="15" style="13" customWidth="1"/>
    <col min="14085" max="14085" width="13.28515625" style="13" customWidth="1"/>
    <col min="14086" max="14086" width="11.85546875" style="13" customWidth="1"/>
    <col min="14087" max="14093" width="0" style="13" hidden="1" customWidth="1"/>
    <col min="14094" max="14336" width="9.140625" style="13"/>
    <col min="14337" max="14337" width="6.28515625" style="13" customWidth="1"/>
    <col min="14338" max="14338" width="34.42578125" style="13" customWidth="1"/>
    <col min="14339" max="14339" width="17.42578125" style="13" customWidth="1"/>
    <col min="14340" max="14340" width="15" style="13" customWidth="1"/>
    <col min="14341" max="14341" width="13.28515625" style="13" customWidth="1"/>
    <col min="14342" max="14342" width="11.85546875" style="13" customWidth="1"/>
    <col min="14343" max="14349" width="0" style="13" hidden="1" customWidth="1"/>
    <col min="14350" max="14592" width="9.140625" style="13"/>
    <col min="14593" max="14593" width="6.28515625" style="13" customWidth="1"/>
    <col min="14594" max="14594" width="34.42578125" style="13" customWidth="1"/>
    <col min="14595" max="14595" width="17.42578125" style="13" customWidth="1"/>
    <col min="14596" max="14596" width="15" style="13" customWidth="1"/>
    <col min="14597" max="14597" width="13.28515625" style="13" customWidth="1"/>
    <col min="14598" max="14598" width="11.85546875" style="13" customWidth="1"/>
    <col min="14599" max="14605" width="0" style="13" hidden="1" customWidth="1"/>
    <col min="14606" max="14848" width="9.140625" style="13"/>
    <col min="14849" max="14849" width="6.28515625" style="13" customWidth="1"/>
    <col min="14850" max="14850" width="34.42578125" style="13" customWidth="1"/>
    <col min="14851" max="14851" width="17.42578125" style="13" customWidth="1"/>
    <col min="14852" max="14852" width="15" style="13" customWidth="1"/>
    <col min="14853" max="14853" width="13.28515625" style="13" customWidth="1"/>
    <col min="14854" max="14854" width="11.85546875" style="13" customWidth="1"/>
    <col min="14855" max="14861" width="0" style="13" hidden="1" customWidth="1"/>
    <col min="14862" max="15104" width="9.140625" style="13"/>
    <col min="15105" max="15105" width="6.28515625" style="13" customWidth="1"/>
    <col min="15106" max="15106" width="34.42578125" style="13" customWidth="1"/>
    <col min="15107" max="15107" width="17.42578125" style="13" customWidth="1"/>
    <col min="15108" max="15108" width="15" style="13" customWidth="1"/>
    <col min="15109" max="15109" width="13.28515625" style="13" customWidth="1"/>
    <col min="15110" max="15110" width="11.85546875" style="13" customWidth="1"/>
    <col min="15111" max="15117" width="0" style="13" hidden="1" customWidth="1"/>
    <col min="15118" max="15360" width="9.140625" style="13"/>
    <col min="15361" max="15361" width="6.28515625" style="13" customWidth="1"/>
    <col min="15362" max="15362" width="34.42578125" style="13" customWidth="1"/>
    <col min="15363" max="15363" width="17.42578125" style="13" customWidth="1"/>
    <col min="15364" max="15364" width="15" style="13" customWidth="1"/>
    <col min="15365" max="15365" width="13.28515625" style="13" customWidth="1"/>
    <col min="15366" max="15366" width="11.85546875" style="13" customWidth="1"/>
    <col min="15367" max="15373" width="0" style="13" hidden="1" customWidth="1"/>
    <col min="15374" max="15616" width="9.140625" style="13"/>
    <col min="15617" max="15617" width="6.28515625" style="13" customWidth="1"/>
    <col min="15618" max="15618" width="34.42578125" style="13" customWidth="1"/>
    <col min="15619" max="15619" width="17.42578125" style="13" customWidth="1"/>
    <col min="15620" max="15620" width="15" style="13" customWidth="1"/>
    <col min="15621" max="15621" width="13.28515625" style="13" customWidth="1"/>
    <col min="15622" max="15622" width="11.85546875" style="13" customWidth="1"/>
    <col min="15623" max="15629" width="0" style="13" hidden="1" customWidth="1"/>
    <col min="15630" max="15872" width="9.140625" style="13"/>
    <col min="15873" max="15873" width="6.28515625" style="13" customWidth="1"/>
    <col min="15874" max="15874" width="34.42578125" style="13" customWidth="1"/>
    <col min="15875" max="15875" width="17.42578125" style="13" customWidth="1"/>
    <col min="15876" max="15876" width="15" style="13" customWidth="1"/>
    <col min="15877" max="15877" width="13.28515625" style="13" customWidth="1"/>
    <col min="15878" max="15878" width="11.85546875" style="13" customWidth="1"/>
    <col min="15879" max="15885" width="0" style="13" hidden="1" customWidth="1"/>
    <col min="15886" max="16128" width="9.140625" style="13"/>
    <col min="16129" max="16129" width="6.28515625" style="13" customWidth="1"/>
    <col min="16130" max="16130" width="34.42578125" style="13" customWidth="1"/>
    <col min="16131" max="16131" width="17.42578125" style="13" customWidth="1"/>
    <col min="16132" max="16132" width="15" style="13" customWidth="1"/>
    <col min="16133" max="16133" width="13.28515625" style="13" customWidth="1"/>
    <col min="16134" max="16134" width="11.85546875" style="13" customWidth="1"/>
    <col min="16135" max="16141" width="0" style="13" hidden="1" customWidth="1"/>
    <col min="16142" max="16384" width="9.140625" style="13"/>
  </cols>
  <sheetData>
    <row r="1" spans="1:21" ht="20.25">
      <c r="A1" s="2717" t="s">
        <v>2078</v>
      </c>
      <c r="B1" s="2717"/>
      <c r="C1" s="2717"/>
      <c r="D1" s="2717"/>
      <c r="E1" s="2717"/>
      <c r="F1" s="2717"/>
      <c r="G1" s="219"/>
      <c r="H1" s="220"/>
      <c r="I1" s="220"/>
      <c r="J1" s="220"/>
      <c r="K1" s="220"/>
    </row>
    <row r="2" spans="1:21" ht="15.75">
      <c r="J2" s="217"/>
      <c r="K2" s="221"/>
    </row>
    <row r="3" spans="1:21" ht="12.75" customHeight="1">
      <c r="A3" s="2718" t="s">
        <v>1974</v>
      </c>
      <c r="B3" s="2720" t="s">
        <v>2079</v>
      </c>
      <c r="C3" s="2721"/>
      <c r="D3" s="2722" t="s">
        <v>2080</v>
      </c>
      <c r="E3" s="2518" t="s">
        <v>2081</v>
      </c>
      <c r="F3" s="2520"/>
      <c r="G3" s="183"/>
      <c r="H3" s="2724">
        <v>2011</v>
      </c>
      <c r="I3" s="2724">
        <v>2010</v>
      </c>
      <c r="J3" s="2724">
        <v>2009</v>
      </c>
      <c r="K3" s="2724">
        <v>2008</v>
      </c>
      <c r="L3" s="2724">
        <v>2007</v>
      </c>
      <c r="M3" s="2724">
        <v>2006</v>
      </c>
    </row>
    <row r="4" spans="1:21" ht="12.75" customHeight="1">
      <c r="A4" s="2719"/>
      <c r="B4" s="21" t="s">
        <v>2082</v>
      </c>
      <c r="C4" s="222" t="s">
        <v>2083</v>
      </c>
      <c r="D4" s="2723"/>
      <c r="E4" s="21" t="s">
        <v>2084</v>
      </c>
      <c r="F4" s="21" t="s">
        <v>708</v>
      </c>
      <c r="G4" s="209"/>
      <c r="H4" s="2725"/>
      <c r="I4" s="2725"/>
      <c r="J4" s="2725"/>
      <c r="K4" s="2725"/>
      <c r="L4" s="2725"/>
      <c r="M4" s="2725"/>
      <c r="N4" s="19"/>
      <c r="O4" s="19"/>
      <c r="P4" s="215" t="s">
        <v>2085</v>
      </c>
      <c r="Q4" s="215" t="s">
        <v>2086</v>
      </c>
      <c r="R4" s="215"/>
      <c r="S4" s="19"/>
      <c r="T4" s="215" t="s">
        <v>2085</v>
      </c>
      <c r="U4" s="215" t="s">
        <v>2085</v>
      </c>
    </row>
    <row r="5" spans="1:21">
      <c r="A5" s="203">
        <v>1</v>
      </c>
      <c r="B5" s="223" t="s">
        <v>2087</v>
      </c>
      <c r="C5" s="215" t="s">
        <v>2088</v>
      </c>
      <c r="D5" s="215" t="s">
        <v>2089</v>
      </c>
      <c r="E5" s="215" t="s">
        <v>1433</v>
      </c>
      <c r="F5" s="2726">
        <v>2834</v>
      </c>
      <c r="G5" s="2726">
        <v>1831</v>
      </c>
      <c r="H5" s="2726">
        <v>1831</v>
      </c>
      <c r="I5" s="2714">
        <v>1831</v>
      </c>
      <c r="J5" s="2714">
        <v>1592</v>
      </c>
      <c r="K5" s="2726">
        <v>1592</v>
      </c>
      <c r="L5" s="2726">
        <v>1592</v>
      </c>
      <c r="M5" s="2726">
        <v>1592</v>
      </c>
      <c r="N5" s="3" t="s">
        <v>2073</v>
      </c>
      <c r="O5" s="3"/>
      <c r="P5" s="2713">
        <f>ROUND(Q5/F5*100,1)</f>
        <v>-35.4</v>
      </c>
      <c r="Q5" s="2716">
        <f>R5-F5</f>
        <v>-1003</v>
      </c>
      <c r="R5" s="2716">
        <v>1831</v>
      </c>
      <c r="S5" s="2716">
        <v>1831</v>
      </c>
      <c r="T5" s="2713">
        <v>18</v>
      </c>
      <c r="U5" s="2713">
        <f>ROUND(F5*T5%,2)</f>
        <v>510.12</v>
      </c>
    </row>
    <row r="6" spans="1:21">
      <c r="A6" s="193"/>
      <c r="B6" s="155"/>
      <c r="C6" s="215" t="s">
        <v>2090</v>
      </c>
      <c r="D6" s="215" t="s">
        <v>2091</v>
      </c>
      <c r="E6" s="215" t="s">
        <v>1433</v>
      </c>
      <c r="F6" s="2726"/>
      <c r="G6" s="2726"/>
      <c r="H6" s="2726"/>
      <c r="I6" s="2714"/>
      <c r="J6" s="2714"/>
      <c r="K6" s="2726"/>
      <c r="L6" s="2726"/>
      <c r="M6" s="2726"/>
      <c r="N6" s="3" t="s">
        <v>2073</v>
      </c>
      <c r="O6" s="3"/>
      <c r="P6" s="2713"/>
      <c r="Q6" s="2714"/>
      <c r="R6" s="2714"/>
      <c r="S6" s="2714"/>
      <c r="T6" s="2713"/>
      <c r="U6" s="2713"/>
    </row>
    <row r="7" spans="1:21">
      <c r="A7" s="209"/>
      <c r="B7" s="198"/>
      <c r="C7" s="215" t="s">
        <v>2092</v>
      </c>
      <c r="D7" s="215" t="s">
        <v>2093</v>
      </c>
      <c r="E7" s="215" t="s">
        <v>1433</v>
      </c>
      <c r="F7" s="2726"/>
      <c r="G7" s="2726"/>
      <c r="H7" s="2726"/>
      <c r="I7" s="2714"/>
      <c r="J7" s="2714"/>
      <c r="K7" s="2726"/>
      <c r="L7" s="2726"/>
      <c r="M7" s="2726"/>
      <c r="N7" s="3" t="s">
        <v>2073</v>
      </c>
      <c r="O7" s="3"/>
      <c r="P7" s="2713"/>
      <c r="Q7" s="2714"/>
      <c r="R7" s="2714"/>
      <c r="S7" s="2714"/>
      <c r="T7" s="2713"/>
      <c r="U7" s="2713"/>
    </row>
    <row r="8" spans="1:21">
      <c r="A8" s="203">
        <v>2</v>
      </c>
      <c r="B8" s="223" t="s">
        <v>2094</v>
      </c>
      <c r="C8" s="215" t="s">
        <v>2088</v>
      </c>
      <c r="D8" s="215" t="s">
        <v>2095</v>
      </c>
      <c r="E8" s="215" t="s">
        <v>1433</v>
      </c>
      <c r="F8" s="2726">
        <v>3898.96</v>
      </c>
      <c r="G8" s="2726">
        <v>2519</v>
      </c>
      <c r="H8" s="2726">
        <v>2519</v>
      </c>
      <c r="I8" s="2714">
        <v>2519</v>
      </c>
      <c r="J8" s="2714">
        <v>2190</v>
      </c>
      <c r="K8" s="2726">
        <v>2190</v>
      </c>
      <c r="L8" s="2726">
        <v>2190</v>
      </c>
      <c r="M8" s="2726">
        <v>2190</v>
      </c>
      <c r="N8" s="3" t="s">
        <v>2073</v>
      </c>
      <c r="O8" s="3"/>
      <c r="P8" s="2713">
        <f>ROUND(Q8/F8*100,1)</f>
        <v>-35.4</v>
      </c>
      <c r="Q8" s="2714">
        <f>R8-F8</f>
        <v>-1379.96</v>
      </c>
      <c r="R8" s="2714">
        <v>2519</v>
      </c>
      <c r="S8" s="2714">
        <v>2519</v>
      </c>
      <c r="T8" s="2713">
        <v>18</v>
      </c>
      <c r="U8" s="2713">
        <f>ROUND(F8*T8%,2)</f>
        <v>701.81</v>
      </c>
    </row>
    <row r="9" spans="1:21">
      <c r="A9" s="193"/>
      <c r="B9" s="155"/>
      <c r="C9" s="215" t="s">
        <v>2090</v>
      </c>
      <c r="D9" s="215" t="s">
        <v>2093</v>
      </c>
      <c r="E9" s="215" t="s">
        <v>1433</v>
      </c>
      <c r="F9" s="2726"/>
      <c r="G9" s="2726"/>
      <c r="H9" s="2726"/>
      <c r="I9" s="2714"/>
      <c r="J9" s="2714"/>
      <c r="K9" s="2726"/>
      <c r="L9" s="2726"/>
      <c r="M9" s="2726"/>
      <c r="N9" s="3" t="s">
        <v>2073</v>
      </c>
      <c r="O9" s="3"/>
      <c r="P9" s="2713"/>
      <c r="Q9" s="2714"/>
      <c r="R9" s="2714"/>
      <c r="S9" s="2714"/>
      <c r="T9" s="2713"/>
      <c r="U9" s="2713"/>
    </row>
    <row r="10" spans="1:21">
      <c r="A10" s="209"/>
      <c r="B10" s="198"/>
      <c r="C10" s="215" t="s">
        <v>2092</v>
      </c>
      <c r="D10" s="215" t="s">
        <v>2096</v>
      </c>
      <c r="E10" s="215" t="s">
        <v>1433</v>
      </c>
      <c r="F10" s="2726"/>
      <c r="G10" s="2726"/>
      <c r="H10" s="2726"/>
      <c r="I10" s="2714"/>
      <c r="J10" s="2714"/>
      <c r="K10" s="2726"/>
      <c r="L10" s="2726"/>
      <c r="M10" s="2726"/>
      <c r="N10" s="3" t="s">
        <v>2073</v>
      </c>
      <c r="O10" s="3"/>
      <c r="P10" s="2713"/>
      <c r="Q10" s="2714"/>
      <c r="R10" s="2714"/>
      <c r="S10" s="2714"/>
      <c r="T10" s="2713"/>
      <c r="U10" s="2713"/>
    </row>
    <row r="11" spans="1:21">
      <c r="A11" s="203">
        <v>3</v>
      </c>
      <c r="B11" s="223" t="s">
        <v>2097</v>
      </c>
      <c r="C11" s="215" t="s">
        <v>2098</v>
      </c>
      <c r="D11" s="215" t="s">
        <v>2089</v>
      </c>
      <c r="E11" s="215" t="s">
        <v>1433</v>
      </c>
      <c r="F11" s="2726">
        <v>2391.39</v>
      </c>
      <c r="G11" s="2726">
        <v>1545</v>
      </c>
      <c r="H11" s="2726">
        <v>1545</v>
      </c>
      <c r="I11" s="2726">
        <v>1545</v>
      </c>
      <c r="J11" s="2726">
        <v>1545</v>
      </c>
      <c r="K11" s="2726">
        <v>1545</v>
      </c>
      <c r="L11" s="2726">
        <v>1545</v>
      </c>
      <c r="M11" s="2726">
        <v>1545</v>
      </c>
      <c r="N11" s="3" t="s">
        <v>2073</v>
      </c>
      <c r="O11" s="3"/>
      <c r="P11" s="2713">
        <f>ROUND(Q11/F11*100,1)</f>
        <v>-35.4</v>
      </c>
      <c r="Q11" s="2714">
        <f>R11-F11</f>
        <v>-846.38999999999987</v>
      </c>
      <c r="R11" s="2714">
        <v>1545</v>
      </c>
      <c r="S11" s="2714">
        <v>1545</v>
      </c>
      <c r="T11" s="2713">
        <v>18</v>
      </c>
      <c r="U11" s="2713">
        <f>ROUND(F11*T11%,2)</f>
        <v>430.45</v>
      </c>
    </row>
    <row r="12" spans="1:21">
      <c r="A12" s="193"/>
      <c r="B12" s="155"/>
      <c r="C12" s="215" t="s">
        <v>2088</v>
      </c>
      <c r="D12" s="215" t="s">
        <v>2089</v>
      </c>
      <c r="E12" s="215" t="s">
        <v>1433</v>
      </c>
      <c r="F12" s="2726"/>
      <c r="G12" s="2726"/>
      <c r="H12" s="2726"/>
      <c r="I12" s="2726"/>
      <c r="J12" s="2726"/>
      <c r="K12" s="2726"/>
      <c r="L12" s="2726"/>
      <c r="M12" s="2726"/>
      <c r="N12" s="3" t="s">
        <v>2073</v>
      </c>
      <c r="O12" s="3"/>
      <c r="P12" s="2713"/>
      <c r="Q12" s="2714"/>
      <c r="R12" s="2714"/>
      <c r="S12" s="2714"/>
      <c r="T12" s="2713"/>
      <c r="U12" s="2713"/>
    </row>
    <row r="13" spans="1:21">
      <c r="A13" s="193"/>
      <c r="B13" s="155"/>
      <c r="C13" s="215" t="s">
        <v>2099</v>
      </c>
      <c r="D13" s="215" t="s">
        <v>2100</v>
      </c>
      <c r="E13" s="215" t="s">
        <v>1433</v>
      </c>
      <c r="F13" s="2726"/>
      <c r="G13" s="2726"/>
      <c r="H13" s="2726"/>
      <c r="I13" s="2726"/>
      <c r="J13" s="2726"/>
      <c r="K13" s="2726"/>
      <c r="L13" s="2726"/>
      <c r="M13" s="2726"/>
      <c r="N13" s="3" t="s">
        <v>2073</v>
      </c>
      <c r="O13" s="3"/>
      <c r="P13" s="2713"/>
      <c r="Q13" s="2714"/>
      <c r="R13" s="2714"/>
      <c r="S13" s="2714"/>
      <c r="T13" s="2713"/>
      <c r="U13" s="2713"/>
    </row>
    <row r="14" spans="1:21">
      <c r="A14" s="209"/>
      <c r="B14" s="198"/>
      <c r="C14" s="215" t="s">
        <v>2101</v>
      </c>
      <c r="D14" s="215" t="s">
        <v>2100</v>
      </c>
      <c r="E14" s="215" t="s">
        <v>1433</v>
      </c>
      <c r="F14" s="2726"/>
      <c r="G14" s="2726"/>
      <c r="H14" s="2726"/>
      <c r="I14" s="2726"/>
      <c r="J14" s="2726"/>
      <c r="K14" s="2726"/>
      <c r="L14" s="2726"/>
      <c r="M14" s="2726"/>
      <c r="N14" s="3" t="s">
        <v>2073</v>
      </c>
      <c r="O14" s="3"/>
      <c r="P14" s="2713"/>
      <c r="Q14" s="2714"/>
      <c r="R14" s="2714"/>
      <c r="S14" s="2714"/>
      <c r="T14" s="2713"/>
      <c r="U14" s="2713"/>
    </row>
    <row r="15" spans="1:21">
      <c r="A15" s="21">
        <v>4</v>
      </c>
      <c r="B15" s="19" t="s">
        <v>2102</v>
      </c>
      <c r="C15" s="215"/>
      <c r="D15" s="215"/>
      <c r="E15" s="215" t="s">
        <v>1433</v>
      </c>
      <c r="F15" s="224">
        <v>447.31</v>
      </c>
      <c r="G15" s="224">
        <v>289</v>
      </c>
      <c r="H15" s="224">
        <v>289</v>
      </c>
      <c r="I15" s="225">
        <v>289</v>
      </c>
      <c r="J15" s="225">
        <v>251</v>
      </c>
      <c r="K15" s="224">
        <v>251</v>
      </c>
      <c r="L15" s="224">
        <v>251</v>
      </c>
      <c r="M15" s="224">
        <v>251</v>
      </c>
      <c r="N15" s="3" t="s">
        <v>2073</v>
      </c>
      <c r="O15" s="3"/>
      <c r="P15" s="566">
        <f>Q15/F15*100</f>
        <v>-35.39156289821377</v>
      </c>
      <c r="Q15" s="225">
        <f>R15-F15</f>
        <v>-158.31</v>
      </c>
      <c r="R15" s="225">
        <v>289</v>
      </c>
      <c r="S15" s="225">
        <v>289</v>
      </c>
      <c r="T15" s="566">
        <v>18</v>
      </c>
      <c r="U15" s="566">
        <f>ROUND(F15*T15%,2)</f>
        <v>80.52</v>
      </c>
    </row>
    <row r="16" spans="1:21">
      <c r="A16" s="203">
        <v>5</v>
      </c>
      <c r="B16" s="223" t="s">
        <v>2103</v>
      </c>
      <c r="C16" s="215" t="s">
        <v>2104</v>
      </c>
      <c r="D16" s="215" t="s">
        <v>2105</v>
      </c>
      <c r="E16" s="215" t="s">
        <v>1433</v>
      </c>
      <c r="F16" s="2727">
        <v>1300.1600000000001</v>
      </c>
      <c r="G16" s="2727">
        <v>840</v>
      </c>
      <c r="H16" s="2727">
        <v>840</v>
      </c>
      <c r="I16" s="2727">
        <v>840</v>
      </c>
      <c r="J16" s="2727">
        <v>840</v>
      </c>
      <c r="K16" s="2727">
        <v>840</v>
      </c>
      <c r="L16" s="2727">
        <v>840</v>
      </c>
      <c r="M16" s="2727">
        <v>840</v>
      </c>
      <c r="N16" s="3" t="s">
        <v>2073</v>
      </c>
      <c r="O16" s="3"/>
      <c r="P16" s="2713">
        <f>ROUND(Q16/F16*100,1)</f>
        <v>-35.4</v>
      </c>
      <c r="Q16" s="2714">
        <f>R16-F16</f>
        <v>-460.16000000000008</v>
      </c>
      <c r="R16" s="2715">
        <v>840</v>
      </c>
      <c r="S16" s="2715">
        <v>840</v>
      </c>
      <c r="T16" s="2713">
        <v>18</v>
      </c>
      <c r="U16" s="2713">
        <f>ROUND(F16*T16%,2)</f>
        <v>234.03</v>
      </c>
    </row>
    <row r="17" spans="1:21">
      <c r="A17" s="193"/>
      <c r="B17" s="155"/>
      <c r="C17" s="215" t="s">
        <v>2106</v>
      </c>
      <c r="D17" s="215" t="s">
        <v>2105</v>
      </c>
      <c r="E17" s="215" t="s">
        <v>1433</v>
      </c>
      <c r="F17" s="2728"/>
      <c r="G17" s="2728"/>
      <c r="H17" s="2728"/>
      <c r="I17" s="2728"/>
      <c r="J17" s="2728"/>
      <c r="K17" s="2728"/>
      <c r="L17" s="2728"/>
      <c r="M17" s="2728"/>
      <c r="N17" s="3" t="s">
        <v>2073</v>
      </c>
      <c r="O17" s="3"/>
      <c r="P17" s="2713"/>
      <c r="Q17" s="2714"/>
      <c r="R17" s="2730"/>
      <c r="S17" s="2730"/>
      <c r="T17" s="2713"/>
      <c r="U17" s="2713"/>
    </row>
    <row r="18" spans="1:21">
      <c r="A18" s="209"/>
      <c r="B18" s="198"/>
      <c r="C18" s="215" t="s">
        <v>2107</v>
      </c>
      <c r="D18" s="215" t="s">
        <v>2105</v>
      </c>
      <c r="E18" s="215" t="s">
        <v>1433</v>
      </c>
      <c r="F18" s="2729"/>
      <c r="G18" s="2729"/>
      <c r="H18" s="2729"/>
      <c r="I18" s="2729"/>
      <c r="J18" s="2729"/>
      <c r="K18" s="2729"/>
      <c r="L18" s="2729"/>
      <c r="M18" s="2729"/>
      <c r="N18" s="3" t="s">
        <v>2073</v>
      </c>
      <c r="O18" s="3"/>
      <c r="P18" s="2713"/>
      <c r="Q18" s="2714"/>
      <c r="R18" s="2716"/>
      <c r="S18" s="2716"/>
      <c r="T18" s="2713"/>
      <c r="U18" s="2713"/>
    </row>
    <row r="19" spans="1:21">
      <c r="A19" s="21">
        <v>6</v>
      </c>
      <c r="B19" s="19" t="s">
        <v>2108</v>
      </c>
      <c r="C19" s="215" t="s">
        <v>2109</v>
      </c>
      <c r="D19" s="215"/>
      <c r="E19" s="215" t="s">
        <v>1433</v>
      </c>
      <c r="F19" s="224">
        <v>2891.34</v>
      </c>
      <c r="G19" s="224">
        <v>1868</v>
      </c>
      <c r="H19" s="224">
        <v>1868</v>
      </c>
      <c r="I19" s="225">
        <v>1868</v>
      </c>
      <c r="J19" s="225">
        <v>1766</v>
      </c>
      <c r="K19" s="224">
        <v>1766</v>
      </c>
      <c r="L19" s="224">
        <v>1766</v>
      </c>
      <c r="M19" s="224">
        <v>1766</v>
      </c>
      <c r="N19" s="3" t="s">
        <v>2073</v>
      </c>
      <c r="O19" s="3"/>
      <c r="P19" s="566">
        <f>ROUND(Q19/F19*100,1)</f>
        <v>-35.4</v>
      </c>
      <c r="Q19" s="225">
        <f>R19-F19</f>
        <v>-1023.3400000000001</v>
      </c>
      <c r="R19" s="225">
        <v>1868</v>
      </c>
      <c r="S19" s="225">
        <v>1868</v>
      </c>
      <c r="T19" s="566">
        <v>18</v>
      </c>
      <c r="U19" s="566">
        <f>ROUND(F19*T19%,2)</f>
        <v>520.44000000000005</v>
      </c>
    </row>
    <row r="20" spans="1:21">
      <c r="A20" s="203">
        <v>7</v>
      </c>
      <c r="B20" s="223" t="s">
        <v>2110</v>
      </c>
      <c r="C20" s="215" t="s">
        <v>2111</v>
      </c>
      <c r="D20" s="215" t="s">
        <v>2105</v>
      </c>
      <c r="E20" s="215" t="s">
        <v>1433</v>
      </c>
      <c r="F20" s="2727">
        <v>804.86</v>
      </c>
      <c r="G20" s="2727">
        <v>520</v>
      </c>
      <c r="H20" s="2727">
        <v>520</v>
      </c>
      <c r="I20" s="2727">
        <v>520</v>
      </c>
      <c r="J20" s="2727">
        <v>520</v>
      </c>
      <c r="K20" s="2727">
        <v>520</v>
      </c>
      <c r="L20" s="2727">
        <v>520</v>
      </c>
      <c r="M20" s="2727">
        <v>520</v>
      </c>
      <c r="N20" s="3" t="s">
        <v>2073</v>
      </c>
      <c r="O20" s="3"/>
      <c r="P20" s="2714">
        <f>ROUND(Q20/F20*100,1)</f>
        <v>-35.4</v>
      </c>
      <c r="Q20" s="2715">
        <f>R20-F20</f>
        <v>-284.86</v>
      </c>
      <c r="R20" s="2715">
        <v>520</v>
      </c>
      <c r="S20" s="2715">
        <v>520</v>
      </c>
      <c r="T20" s="2714">
        <v>18</v>
      </c>
      <c r="U20" s="2714">
        <f>ROUND(V20/K20*100,1)</f>
        <v>0</v>
      </c>
    </row>
    <row r="21" spans="1:21">
      <c r="A21" s="209"/>
      <c r="B21" s="198"/>
      <c r="C21" s="215" t="s">
        <v>2112</v>
      </c>
      <c r="D21" s="215" t="s">
        <v>2113</v>
      </c>
      <c r="E21" s="215" t="s">
        <v>1433</v>
      </c>
      <c r="F21" s="2729"/>
      <c r="G21" s="2729"/>
      <c r="H21" s="2729"/>
      <c r="I21" s="2729"/>
      <c r="J21" s="2729"/>
      <c r="K21" s="2729"/>
      <c r="L21" s="2729"/>
      <c r="M21" s="2729"/>
      <c r="N21" s="3" t="s">
        <v>2073</v>
      </c>
      <c r="O21" s="3"/>
      <c r="P21" s="2714"/>
      <c r="Q21" s="2716"/>
      <c r="R21" s="2716"/>
      <c r="S21" s="2716"/>
      <c r="T21" s="2714"/>
      <c r="U21" s="2714"/>
    </row>
    <row r="22" spans="1:21">
      <c r="A22" s="203">
        <v>8</v>
      </c>
      <c r="B22" s="223" t="s">
        <v>2114</v>
      </c>
      <c r="C22" s="2731" t="s">
        <v>2115</v>
      </c>
      <c r="D22" s="2732" t="s">
        <v>2116</v>
      </c>
      <c r="E22" s="215" t="s">
        <v>2117</v>
      </c>
      <c r="F22" s="224">
        <v>37.15</v>
      </c>
      <c r="G22" s="224">
        <v>24</v>
      </c>
      <c r="H22" s="224">
        <v>24</v>
      </c>
      <c r="I22" s="224">
        <v>24</v>
      </c>
      <c r="J22" s="224">
        <v>24</v>
      </c>
      <c r="K22" s="224">
        <v>24</v>
      </c>
      <c r="L22" s="224">
        <v>24</v>
      </c>
      <c r="M22" s="224">
        <v>24</v>
      </c>
      <c r="N22" s="3" t="s">
        <v>2073</v>
      </c>
      <c r="O22" s="3"/>
      <c r="P22" s="566">
        <f>ROUND(Q22/F22*100,1)</f>
        <v>-35.4</v>
      </c>
      <c r="Q22" s="225">
        <f>R22-F22</f>
        <v>-13.149999999999999</v>
      </c>
      <c r="R22" s="225">
        <v>24</v>
      </c>
      <c r="S22" s="225">
        <v>24</v>
      </c>
      <c r="T22" s="566">
        <v>18</v>
      </c>
      <c r="U22" s="566">
        <f>ROUND(F22*T22%,2)</f>
        <v>6.69</v>
      </c>
    </row>
    <row r="23" spans="1:21">
      <c r="A23" s="193"/>
      <c r="B23" s="155"/>
      <c r="C23" s="2731"/>
      <c r="D23" s="2732"/>
      <c r="E23" s="215" t="s">
        <v>2118</v>
      </c>
      <c r="F23" s="224">
        <v>3.86</v>
      </c>
      <c r="G23" s="224">
        <v>2.5</v>
      </c>
      <c r="H23" s="224">
        <v>2.5</v>
      </c>
      <c r="I23" s="224">
        <v>2.5</v>
      </c>
      <c r="J23" s="224">
        <v>2.5</v>
      </c>
      <c r="K23" s="225">
        <v>2.5</v>
      </c>
      <c r="L23" s="225">
        <v>2</v>
      </c>
      <c r="M23" s="224">
        <v>2</v>
      </c>
      <c r="N23" s="3" t="s">
        <v>2073</v>
      </c>
      <c r="O23" s="3"/>
      <c r="P23" s="566">
        <f>ROUND(Q23/F23*100,1)</f>
        <v>-35.200000000000003</v>
      </c>
      <c r="Q23" s="225">
        <f>R23-F23</f>
        <v>-1.3599999999999999</v>
      </c>
      <c r="R23" s="225">
        <v>2.5</v>
      </c>
      <c r="S23" s="225">
        <v>2.5</v>
      </c>
      <c r="T23" s="566">
        <v>18</v>
      </c>
      <c r="U23" s="566">
        <f>ROUND(F23*T23%,2)</f>
        <v>0.69</v>
      </c>
    </row>
    <row r="24" spans="1:21">
      <c r="A24" s="209"/>
      <c r="B24" s="198"/>
      <c r="C24" s="2731"/>
      <c r="D24" s="2732"/>
      <c r="E24" s="215" t="s">
        <v>1433</v>
      </c>
      <c r="F24" s="224">
        <v>900.84</v>
      </c>
      <c r="G24" s="224">
        <v>582</v>
      </c>
      <c r="H24" s="224">
        <v>582</v>
      </c>
      <c r="I24" s="225">
        <v>582</v>
      </c>
      <c r="J24" s="225">
        <v>506</v>
      </c>
      <c r="K24" s="224">
        <v>506</v>
      </c>
      <c r="L24" s="224">
        <v>506</v>
      </c>
      <c r="M24" s="224">
        <v>506</v>
      </c>
      <c r="N24" s="3" t="s">
        <v>2073</v>
      </c>
      <c r="O24" s="3"/>
      <c r="P24" s="566">
        <f>ROUND(Q24/F24*100,1)</f>
        <v>-35.4</v>
      </c>
      <c r="Q24" s="225">
        <f>R24-F24</f>
        <v>-318.84000000000003</v>
      </c>
      <c r="R24" s="225">
        <v>582</v>
      </c>
      <c r="S24" s="225">
        <v>582</v>
      </c>
      <c r="T24" s="566">
        <v>18</v>
      </c>
      <c r="U24" s="566">
        <f>ROUND(F24*T24%,2)</f>
        <v>162.15</v>
      </c>
    </row>
    <row r="25" spans="1:21">
      <c r="A25" s="203">
        <v>9</v>
      </c>
      <c r="B25" s="223" t="s">
        <v>2119</v>
      </c>
      <c r="C25" s="215" t="s">
        <v>2120</v>
      </c>
      <c r="D25" s="215" t="s">
        <v>2091</v>
      </c>
      <c r="E25" s="215" t="s">
        <v>1433</v>
      </c>
      <c r="F25" s="2727">
        <v>1538.54</v>
      </c>
      <c r="G25" s="2727">
        <v>994</v>
      </c>
      <c r="H25" s="2727">
        <v>994</v>
      </c>
      <c r="I25" s="2727">
        <v>994</v>
      </c>
      <c r="J25" s="2727">
        <v>994</v>
      </c>
      <c r="K25" s="2727">
        <v>994</v>
      </c>
      <c r="L25" s="2727">
        <v>994</v>
      </c>
      <c r="M25" s="2727">
        <v>994</v>
      </c>
      <c r="N25" s="3" t="s">
        <v>2073</v>
      </c>
      <c r="O25" s="3"/>
      <c r="P25" s="2713">
        <f>ROUND(Q25/F25*100,1)</f>
        <v>-35.4</v>
      </c>
      <c r="Q25" s="2714">
        <f>R25-F25</f>
        <v>-544.54</v>
      </c>
      <c r="R25" s="2715">
        <v>994</v>
      </c>
      <c r="S25" s="2715">
        <v>994</v>
      </c>
      <c r="T25" s="2713">
        <v>18</v>
      </c>
      <c r="U25" s="2713">
        <f>ROUND(F25*T25%,2)</f>
        <v>276.94</v>
      </c>
    </row>
    <row r="26" spans="1:21">
      <c r="A26" s="193"/>
      <c r="B26" s="155"/>
      <c r="C26" s="215" t="s">
        <v>2099</v>
      </c>
      <c r="D26" s="215" t="s">
        <v>2105</v>
      </c>
      <c r="E26" s="215" t="s">
        <v>1433</v>
      </c>
      <c r="F26" s="2728"/>
      <c r="G26" s="2728"/>
      <c r="H26" s="2728"/>
      <c r="I26" s="2728"/>
      <c r="J26" s="2728"/>
      <c r="K26" s="2728"/>
      <c r="L26" s="2728"/>
      <c r="M26" s="2728"/>
      <c r="N26" s="3" t="s">
        <v>2073</v>
      </c>
      <c r="O26" s="3"/>
      <c r="P26" s="2713"/>
      <c r="Q26" s="2714"/>
      <c r="R26" s="2730"/>
      <c r="S26" s="2730"/>
      <c r="T26" s="2713"/>
      <c r="U26" s="2713"/>
    </row>
    <row r="27" spans="1:21">
      <c r="A27" s="209"/>
      <c r="B27" s="198"/>
      <c r="C27" s="215" t="s">
        <v>2101</v>
      </c>
      <c r="D27" s="215" t="s">
        <v>2105</v>
      </c>
      <c r="E27" s="215" t="s">
        <v>1433</v>
      </c>
      <c r="F27" s="2729"/>
      <c r="G27" s="2729"/>
      <c r="H27" s="2729"/>
      <c r="I27" s="2729"/>
      <c r="J27" s="2729"/>
      <c r="K27" s="2729"/>
      <c r="L27" s="2729"/>
      <c r="M27" s="2729"/>
      <c r="N27" s="3" t="s">
        <v>2073</v>
      </c>
      <c r="O27" s="3"/>
      <c r="P27" s="2713"/>
      <c r="Q27" s="2714"/>
      <c r="R27" s="2716"/>
      <c r="S27" s="2716"/>
      <c r="T27" s="2713"/>
      <c r="U27" s="2713"/>
    </row>
    <row r="28" spans="1:21">
      <c r="A28" s="203">
        <v>10</v>
      </c>
      <c r="B28" s="223" t="s">
        <v>2121</v>
      </c>
      <c r="C28" s="215" t="s">
        <v>2122</v>
      </c>
      <c r="D28" s="215" t="s">
        <v>2123</v>
      </c>
      <c r="E28" s="215" t="s">
        <v>1433</v>
      </c>
      <c r="F28" s="2727">
        <v>524.70000000000005</v>
      </c>
      <c r="G28" s="2727">
        <v>339</v>
      </c>
      <c r="H28" s="2727">
        <v>339</v>
      </c>
      <c r="I28" s="2715">
        <v>339</v>
      </c>
      <c r="J28" s="2715">
        <v>320</v>
      </c>
      <c r="K28" s="2727">
        <v>320</v>
      </c>
      <c r="L28" s="2715">
        <v>320</v>
      </c>
      <c r="M28" s="2715">
        <v>269</v>
      </c>
      <c r="N28" s="3" t="s">
        <v>2073</v>
      </c>
      <c r="O28" s="3" t="s">
        <v>2124</v>
      </c>
      <c r="P28" s="2714">
        <f>ROUND(Q28/F28*100,1)</f>
        <v>-35.4</v>
      </c>
      <c r="Q28" s="2715">
        <f>R28-F28</f>
        <v>-185.70000000000005</v>
      </c>
      <c r="R28" s="2715">
        <v>339</v>
      </c>
      <c r="S28" s="2715">
        <v>339</v>
      </c>
      <c r="T28" s="2714">
        <v>18</v>
      </c>
      <c r="U28" s="2714">
        <f>ROUND(F28*T28%,2)</f>
        <v>94.45</v>
      </c>
    </row>
    <row r="29" spans="1:21">
      <c r="A29" s="209"/>
      <c r="B29" s="198"/>
      <c r="C29" s="215" t="s">
        <v>2125</v>
      </c>
      <c r="D29" s="215" t="s">
        <v>2113</v>
      </c>
      <c r="E29" s="215" t="s">
        <v>1433</v>
      </c>
      <c r="F29" s="2729"/>
      <c r="G29" s="2729"/>
      <c r="H29" s="2729"/>
      <c r="I29" s="2716"/>
      <c r="J29" s="2716"/>
      <c r="K29" s="2729"/>
      <c r="L29" s="2716"/>
      <c r="M29" s="2716"/>
      <c r="N29" s="3" t="s">
        <v>2073</v>
      </c>
      <c r="O29" s="3"/>
      <c r="P29" s="2714"/>
      <c r="Q29" s="2716"/>
      <c r="R29" s="2716"/>
      <c r="S29" s="2716"/>
      <c r="T29" s="2714"/>
      <c r="U29" s="2714"/>
    </row>
    <row r="30" spans="1:21">
      <c r="A30" s="21">
        <v>11</v>
      </c>
      <c r="B30" s="19" t="s">
        <v>2126</v>
      </c>
      <c r="C30" s="215" t="s">
        <v>2122</v>
      </c>
      <c r="D30" s="215"/>
      <c r="E30" s="215" t="s">
        <v>1433</v>
      </c>
      <c r="F30" s="224">
        <v>100.6</v>
      </c>
      <c r="G30" s="224">
        <v>65</v>
      </c>
      <c r="H30" s="224">
        <v>65</v>
      </c>
      <c r="I30" s="225">
        <v>65</v>
      </c>
      <c r="J30" s="225">
        <v>60</v>
      </c>
      <c r="K30" s="224">
        <v>60</v>
      </c>
      <c r="L30" s="224">
        <v>60</v>
      </c>
      <c r="M30" s="224">
        <v>60</v>
      </c>
      <c r="N30" s="3" t="s">
        <v>2073</v>
      </c>
      <c r="O30" s="3"/>
      <c r="P30" s="225">
        <f t="shared" ref="P30:P50" si="0">ROUND(Q30/F30*100,1)</f>
        <v>-35.4</v>
      </c>
      <c r="Q30" s="225">
        <f t="shared" ref="Q30:Q50" si="1">R30-F30</f>
        <v>-35.599999999999994</v>
      </c>
      <c r="R30" s="225">
        <v>65</v>
      </c>
      <c r="S30" s="225">
        <v>65</v>
      </c>
      <c r="T30" s="225">
        <v>18</v>
      </c>
      <c r="U30" s="566">
        <f>ROUND(F30*T30%,2)</f>
        <v>18.11</v>
      </c>
    </row>
    <row r="31" spans="1:21">
      <c r="A31" s="21">
        <v>12</v>
      </c>
      <c r="B31" s="19" t="s">
        <v>2127</v>
      </c>
      <c r="C31" s="215" t="s">
        <v>2128</v>
      </c>
      <c r="D31" s="215" t="s">
        <v>2129</v>
      </c>
      <c r="E31" s="215" t="s">
        <v>1433</v>
      </c>
      <c r="F31" s="224">
        <v>900.84</v>
      </c>
      <c r="G31" s="224">
        <v>582</v>
      </c>
      <c r="H31" s="224">
        <v>582</v>
      </c>
      <c r="I31" s="225">
        <v>582</v>
      </c>
      <c r="J31" s="225">
        <v>506</v>
      </c>
      <c r="K31" s="224">
        <v>506</v>
      </c>
      <c r="L31" s="224">
        <v>506</v>
      </c>
      <c r="M31" s="224">
        <v>506</v>
      </c>
      <c r="N31" s="3" t="s">
        <v>2073</v>
      </c>
      <c r="O31" s="3"/>
      <c r="P31" s="225">
        <f t="shared" si="0"/>
        <v>-35.4</v>
      </c>
      <c r="Q31" s="225">
        <f t="shared" si="1"/>
        <v>-318.84000000000003</v>
      </c>
      <c r="R31" s="225">
        <v>582</v>
      </c>
      <c r="S31" s="225">
        <v>582</v>
      </c>
      <c r="T31" s="225">
        <v>18</v>
      </c>
      <c r="U31" s="566">
        <f>ROUND(F31*T31%,2)</f>
        <v>162.15</v>
      </c>
    </row>
    <row r="32" spans="1:21">
      <c r="A32" s="21">
        <v>13</v>
      </c>
      <c r="B32" s="19" t="s">
        <v>2130</v>
      </c>
      <c r="C32" s="215" t="s">
        <v>2131</v>
      </c>
      <c r="D32" s="215" t="s">
        <v>2132</v>
      </c>
      <c r="E32" s="215" t="s">
        <v>1433</v>
      </c>
      <c r="F32" s="224">
        <v>357.55</v>
      </c>
      <c r="G32" s="224">
        <v>231</v>
      </c>
      <c r="H32" s="224">
        <v>231</v>
      </c>
      <c r="I32" s="224">
        <v>231</v>
      </c>
      <c r="J32" s="224">
        <v>231</v>
      </c>
      <c r="K32" s="224">
        <v>231</v>
      </c>
      <c r="L32" s="224">
        <v>231</v>
      </c>
      <c r="M32" s="224">
        <v>231</v>
      </c>
      <c r="N32" s="3" t="s">
        <v>2073</v>
      </c>
      <c r="O32" s="3"/>
      <c r="P32" s="225">
        <f t="shared" si="0"/>
        <v>-35.4</v>
      </c>
      <c r="Q32" s="225">
        <f t="shared" si="1"/>
        <v>-126.55000000000001</v>
      </c>
      <c r="R32" s="225">
        <v>231</v>
      </c>
      <c r="S32" s="225">
        <v>231</v>
      </c>
      <c r="T32" s="225">
        <v>18</v>
      </c>
      <c r="U32" s="566">
        <f t="shared" ref="U32:U41" si="2">ROUND(F32*T32%,2)</f>
        <v>64.36</v>
      </c>
    </row>
    <row r="33" spans="1:21">
      <c r="A33" s="21">
        <v>14</v>
      </c>
      <c r="B33" s="19" t="s">
        <v>2133</v>
      </c>
      <c r="C33" s="215" t="s">
        <v>2134</v>
      </c>
      <c r="D33" s="215" t="s">
        <v>2113</v>
      </c>
      <c r="E33" s="215" t="s">
        <v>1433</v>
      </c>
      <c r="F33" s="224">
        <v>16</v>
      </c>
      <c r="G33" s="224">
        <v>11</v>
      </c>
      <c r="H33" s="224">
        <v>11</v>
      </c>
      <c r="I33" s="224">
        <v>11</v>
      </c>
      <c r="J33" s="224">
        <v>11</v>
      </c>
      <c r="K33" s="224">
        <v>11</v>
      </c>
      <c r="L33" s="224">
        <v>11</v>
      </c>
      <c r="M33" s="224">
        <v>11</v>
      </c>
      <c r="N33" s="3" t="s">
        <v>2073</v>
      </c>
      <c r="O33" s="3"/>
      <c r="P33" s="225">
        <f t="shared" si="0"/>
        <v>-31.3</v>
      </c>
      <c r="Q33" s="225">
        <f t="shared" si="1"/>
        <v>-5</v>
      </c>
      <c r="R33" s="225">
        <v>11</v>
      </c>
      <c r="S33" s="225">
        <v>11</v>
      </c>
      <c r="T33" s="225">
        <v>18</v>
      </c>
      <c r="U33" s="566">
        <f t="shared" si="2"/>
        <v>2.88</v>
      </c>
    </row>
    <row r="34" spans="1:21">
      <c r="A34" s="21">
        <v>15</v>
      </c>
      <c r="B34" s="19" t="s">
        <v>2135</v>
      </c>
      <c r="C34" s="215" t="s">
        <v>2136</v>
      </c>
      <c r="D34" s="215" t="s">
        <v>2105</v>
      </c>
      <c r="E34" s="215" t="s">
        <v>1433</v>
      </c>
      <c r="F34" s="224">
        <v>21</v>
      </c>
      <c r="G34" s="224">
        <v>18</v>
      </c>
      <c r="H34" s="224">
        <v>18</v>
      </c>
      <c r="I34" s="224">
        <v>18</v>
      </c>
      <c r="J34" s="224">
        <v>18</v>
      </c>
      <c r="K34" s="224">
        <v>18</v>
      </c>
      <c r="L34" s="224">
        <v>18</v>
      </c>
      <c r="M34" s="224">
        <v>18</v>
      </c>
      <c r="N34" s="3" t="s">
        <v>2073</v>
      </c>
      <c r="O34" s="3"/>
      <c r="P34" s="225">
        <f t="shared" si="0"/>
        <v>-14.3</v>
      </c>
      <c r="Q34" s="225">
        <f t="shared" si="1"/>
        <v>-3</v>
      </c>
      <c r="R34" s="225">
        <v>18</v>
      </c>
      <c r="S34" s="225">
        <v>18</v>
      </c>
      <c r="T34" s="225">
        <v>18</v>
      </c>
      <c r="U34" s="566">
        <f t="shared" si="2"/>
        <v>3.78</v>
      </c>
    </row>
    <row r="35" spans="1:21">
      <c r="A35" s="21">
        <v>16</v>
      </c>
      <c r="B35" s="19" t="s">
        <v>2137</v>
      </c>
      <c r="C35" s="215" t="s">
        <v>2138</v>
      </c>
      <c r="D35" s="215" t="s">
        <v>2139</v>
      </c>
      <c r="E35" s="215" t="s">
        <v>1433</v>
      </c>
      <c r="F35" s="224">
        <v>585</v>
      </c>
      <c r="G35" s="224">
        <v>206</v>
      </c>
      <c r="H35" s="224">
        <v>206</v>
      </c>
      <c r="I35" s="224">
        <v>206</v>
      </c>
      <c r="J35" s="224">
        <v>206</v>
      </c>
      <c r="K35" s="224">
        <v>206</v>
      </c>
      <c r="L35" s="224">
        <v>206</v>
      </c>
      <c r="M35" s="224">
        <v>206</v>
      </c>
      <c r="N35" s="3" t="s">
        <v>2073</v>
      </c>
      <c r="O35" s="3"/>
      <c r="P35" s="225">
        <f t="shared" si="0"/>
        <v>-64.8</v>
      </c>
      <c r="Q35" s="225">
        <f t="shared" si="1"/>
        <v>-379</v>
      </c>
      <c r="R35" s="225">
        <v>206</v>
      </c>
      <c r="S35" s="225">
        <v>206</v>
      </c>
      <c r="T35" s="225">
        <v>18</v>
      </c>
      <c r="U35" s="566">
        <f t="shared" si="2"/>
        <v>105.3</v>
      </c>
    </row>
    <row r="36" spans="1:21">
      <c r="A36" s="21">
        <v>17</v>
      </c>
      <c r="B36" s="19" t="s">
        <v>2140</v>
      </c>
      <c r="C36" s="19"/>
      <c r="D36" s="215" t="s">
        <v>2141</v>
      </c>
      <c r="E36" s="215" t="s">
        <v>1433</v>
      </c>
      <c r="F36" s="224">
        <v>1324.94</v>
      </c>
      <c r="G36" s="224">
        <v>856</v>
      </c>
      <c r="H36" s="224">
        <v>856</v>
      </c>
      <c r="I36" s="225">
        <v>856</v>
      </c>
      <c r="J36" s="225">
        <v>774</v>
      </c>
      <c r="K36" s="224">
        <v>774</v>
      </c>
      <c r="L36" s="224">
        <v>774</v>
      </c>
      <c r="M36" s="224">
        <v>774</v>
      </c>
      <c r="N36" s="3" t="s">
        <v>2073</v>
      </c>
      <c r="O36" s="3"/>
      <c r="P36" s="225">
        <f t="shared" si="0"/>
        <v>-35.4</v>
      </c>
      <c r="Q36" s="225">
        <f t="shared" si="1"/>
        <v>-468.94000000000005</v>
      </c>
      <c r="R36" s="225">
        <v>856</v>
      </c>
      <c r="S36" s="225">
        <v>856</v>
      </c>
      <c r="T36" s="225">
        <v>18</v>
      </c>
      <c r="U36" s="566">
        <f t="shared" si="2"/>
        <v>238.49</v>
      </c>
    </row>
    <row r="37" spans="1:21">
      <c r="A37" s="21">
        <v>18</v>
      </c>
      <c r="B37" s="19" t="s">
        <v>2140</v>
      </c>
      <c r="C37" s="19"/>
      <c r="D37" s="215" t="s">
        <v>2142</v>
      </c>
      <c r="E37" s="215" t="s">
        <v>1433</v>
      </c>
      <c r="F37" s="224">
        <v>1039.82</v>
      </c>
      <c r="G37" s="224">
        <v>711</v>
      </c>
      <c r="H37" s="224">
        <v>711</v>
      </c>
      <c r="I37" s="225">
        <v>711</v>
      </c>
      <c r="J37" s="225">
        <v>658</v>
      </c>
      <c r="K37" s="224">
        <v>658</v>
      </c>
      <c r="L37" s="224">
        <v>658</v>
      </c>
      <c r="M37" s="224">
        <v>658</v>
      </c>
      <c r="N37" s="3" t="s">
        <v>2073</v>
      </c>
      <c r="O37" s="3"/>
      <c r="P37" s="225">
        <f t="shared" si="0"/>
        <v>-31.6</v>
      </c>
      <c r="Q37" s="225">
        <f t="shared" si="1"/>
        <v>-328.81999999999994</v>
      </c>
      <c r="R37" s="225">
        <v>711</v>
      </c>
      <c r="S37" s="225">
        <v>711</v>
      </c>
      <c r="T37" s="225">
        <v>18</v>
      </c>
      <c r="U37" s="566">
        <f t="shared" si="2"/>
        <v>187.17</v>
      </c>
    </row>
    <row r="38" spans="1:21">
      <c r="A38" s="21">
        <v>19</v>
      </c>
      <c r="B38" s="19" t="s">
        <v>2143</v>
      </c>
      <c r="C38" s="19"/>
      <c r="D38" s="215" t="s">
        <v>2144</v>
      </c>
      <c r="E38" s="215" t="s">
        <v>1433</v>
      </c>
      <c r="F38" s="224">
        <v>769.26</v>
      </c>
      <c r="G38" s="224">
        <v>497</v>
      </c>
      <c r="H38" s="224">
        <v>497</v>
      </c>
      <c r="I38" s="225">
        <v>497</v>
      </c>
      <c r="J38" s="225">
        <v>432</v>
      </c>
      <c r="K38" s="224">
        <v>432</v>
      </c>
      <c r="L38" s="224">
        <v>432</v>
      </c>
      <c r="M38" s="224">
        <v>432</v>
      </c>
      <c r="N38" s="3" t="s">
        <v>2073</v>
      </c>
      <c r="O38" s="3"/>
      <c r="P38" s="225">
        <f t="shared" si="0"/>
        <v>-35.4</v>
      </c>
      <c r="Q38" s="225">
        <f t="shared" si="1"/>
        <v>-272.26</v>
      </c>
      <c r="R38" s="225">
        <v>497</v>
      </c>
      <c r="S38" s="225">
        <v>497</v>
      </c>
      <c r="T38" s="225">
        <v>18</v>
      </c>
      <c r="U38" s="566">
        <f t="shared" si="2"/>
        <v>138.47</v>
      </c>
    </row>
    <row r="39" spans="1:21">
      <c r="A39" s="21">
        <v>20</v>
      </c>
      <c r="B39" s="19" t="s">
        <v>2145</v>
      </c>
      <c r="C39" s="215" t="s">
        <v>2146</v>
      </c>
      <c r="D39" s="215" t="s">
        <v>2113</v>
      </c>
      <c r="E39" s="215" t="s">
        <v>1433</v>
      </c>
      <c r="F39" s="224">
        <v>1400</v>
      </c>
      <c r="G39" s="224">
        <v>777</v>
      </c>
      <c r="H39" s="224">
        <v>777</v>
      </c>
      <c r="I39" s="224">
        <v>777</v>
      </c>
      <c r="J39" s="224">
        <v>777</v>
      </c>
      <c r="K39" s="224">
        <v>777</v>
      </c>
      <c r="L39" s="224">
        <v>777</v>
      </c>
      <c r="M39" s="224">
        <v>777</v>
      </c>
      <c r="N39" s="3" t="s">
        <v>2073</v>
      </c>
      <c r="O39" s="3"/>
      <c r="P39" s="225">
        <f t="shared" si="0"/>
        <v>-44.5</v>
      </c>
      <c r="Q39" s="225">
        <f t="shared" si="1"/>
        <v>-623</v>
      </c>
      <c r="R39" s="225">
        <v>777</v>
      </c>
      <c r="S39" s="225">
        <v>777</v>
      </c>
      <c r="T39" s="225">
        <v>18</v>
      </c>
      <c r="U39" s="566">
        <f t="shared" si="2"/>
        <v>252</v>
      </c>
    </row>
    <row r="40" spans="1:21">
      <c r="A40" s="21">
        <v>21</v>
      </c>
      <c r="B40" s="19" t="s">
        <v>2147</v>
      </c>
      <c r="C40" s="215" t="s">
        <v>2146</v>
      </c>
      <c r="D40" s="215" t="s">
        <v>2148</v>
      </c>
      <c r="E40" s="215" t="s">
        <v>1433</v>
      </c>
      <c r="F40" s="224">
        <v>1700</v>
      </c>
      <c r="G40" s="224">
        <v>1036</v>
      </c>
      <c r="H40" s="224">
        <v>1036</v>
      </c>
      <c r="I40" s="224">
        <v>1036</v>
      </c>
      <c r="J40" s="224">
        <v>1036</v>
      </c>
      <c r="K40" s="224">
        <v>1036</v>
      </c>
      <c r="L40" s="224">
        <v>1036</v>
      </c>
      <c r="M40" s="224">
        <v>1036</v>
      </c>
      <c r="N40" s="3" t="s">
        <v>2073</v>
      </c>
      <c r="O40" s="3"/>
      <c r="P40" s="225">
        <f t="shared" si="0"/>
        <v>-39.1</v>
      </c>
      <c r="Q40" s="225">
        <f t="shared" si="1"/>
        <v>-664</v>
      </c>
      <c r="R40" s="225">
        <v>1036</v>
      </c>
      <c r="S40" s="225">
        <v>1036</v>
      </c>
      <c r="T40" s="225">
        <v>18</v>
      </c>
      <c r="U40" s="566">
        <f t="shared" si="2"/>
        <v>306</v>
      </c>
    </row>
    <row r="41" spans="1:21">
      <c r="A41" s="21">
        <v>22</v>
      </c>
      <c r="B41" s="19" t="s">
        <v>2149</v>
      </c>
      <c r="C41" s="215" t="s">
        <v>2150</v>
      </c>
      <c r="D41" s="215" t="s">
        <v>2151</v>
      </c>
      <c r="E41" s="215" t="s">
        <v>1433</v>
      </c>
      <c r="F41" s="224">
        <v>356</v>
      </c>
      <c r="G41" s="224">
        <v>230</v>
      </c>
      <c r="H41" s="224">
        <v>230</v>
      </c>
      <c r="I41" s="224">
        <v>230</v>
      </c>
      <c r="J41" s="224">
        <v>230</v>
      </c>
      <c r="K41" s="224">
        <v>230</v>
      </c>
      <c r="L41" s="224">
        <v>230</v>
      </c>
      <c r="M41" s="224">
        <v>230</v>
      </c>
      <c r="N41" s="3" t="s">
        <v>2073</v>
      </c>
      <c r="O41" s="3"/>
      <c r="P41" s="225">
        <f t="shared" si="0"/>
        <v>-35.4</v>
      </c>
      <c r="Q41" s="225">
        <f t="shared" si="1"/>
        <v>-126</v>
      </c>
      <c r="R41" s="225">
        <v>230</v>
      </c>
      <c r="S41" s="225">
        <v>230</v>
      </c>
      <c r="T41" s="225">
        <v>18</v>
      </c>
      <c r="U41" s="566">
        <f t="shared" si="2"/>
        <v>64.08</v>
      </c>
    </row>
    <row r="42" spans="1:21" ht="25.5">
      <c r="A42" s="226">
        <v>23</v>
      </c>
      <c r="B42" s="227" t="s">
        <v>2152</v>
      </c>
      <c r="C42" s="228" t="s">
        <v>2153</v>
      </c>
      <c r="D42" s="229" t="s">
        <v>2154</v>
      </c>
      <c r="E42" s="229" t="s">
        <v>1433</v>
      </c>
      <c r="F42" s="230">
        <v>1071.0999999999999</v>
      </c>
      <c r="G42" s="230">
        <v>692</v>
      </c>
      <c r="H42" s="230">
        <v>692</v>
      </c>
      <c r="I42" s="230">
        <v>692</v>
      </c>
      <c r="J42" s="230">
        <v>692</v>
      </c>
      <c r="K42" s="230">
        <v>692</v>
      </c>
      <c r="L42" s="230">
        <v>692</v>
      </c>
      <c r="M42" s="230">
        <v>692</v>
      </c>
      <c r="N42" s="3" t="s">
        <v>2073</v>
      </c>
      <c r="O42" s="3"/>
      <c r="P42" s="225">
        <f t="shared" si="0"/>
        <v>-35.4</v>
      </c>
      <c r="Q42" s="225">
        <f t="shared" si="1"/>
        <v>-379.09999999999991</v>
      </c>
      <c r="R42" s="231">
        <v>692</v>
      </c>
      <c r="S42" s="231">
        <v>692</v>
      </c>
      <c r="T42" s="225">
        <v>18</v>
      </c>
      <c r="U42" s="225">
        <f>ROUND(F42*T42%,2)</f>
        <v>192.8</v>
      </c>
    </row>
    <row r="43" spans="1:21" ht="25.5">
      <c r="A43" s="226">
        <v>24</v>
      </c>
      <c r="B43" s="227" t="s">
        <v>2155</v>
      </c>
      <c r="C43" s="228" t="s">
        <v>2156</v>
      </c>
      <c r="D43" s="229" t="s">
        <v>2154</v>
      </c>
      <c r="E43" s="229" t="s">
        <v>1433</v>
      </c>
      <c r="F43" s="230">
        <v>798.68</v>
      </c>
      <c r="G43" s="230">
        <v>516</v>
      </c>
      <c r="H43" s="230">
        <v>516</v>
      </c>
      <c r="I43" s="230">
        <v>516</v>
      </c>
      <c r="J43" s="230">
        <v>516</v>
      </c>
      <c r="K43" s="230">
        <v>516</v>
      </c>
      <c r="L43" s="230">
        <v>516</v>
      </c>
      <c r="M43" s="230">
        <v>516</v>
      </c>
      <c r="N43" s="3" t="s">
        <v>2073</v>
      </c>
      <c r="O43" s="3"/>
      <c r="P43" s="225">
        <f t="shared" si="0"/>
        <v>-35.4</v>
      </c>
      <c r="Q43" s="225">
        <f t="shared" si="1"/>
        <v>-282.67999999999995</v>
      </c>
      <c r="R43" s="231">
        <v>516</v>
      </c>
      <c r="S43" s="231">
        <v>516</v>
      </c>
      <c r="T43" s="225">
        <v>18</v>
      </c>
      <c r="U43" s="225">
        <f t="shared" ref="U43:U47" si="3">ROUND(F43*T43%,2)</f>
        <v>143.76</v>
      </c>
    </row>
    <row r="44" spans="1:21" ht="25.5">
      <c r="A44" s="226">
        <v>25</v>
      </c>
      <c r="B44" s="227" t="s">
        <v>2157</v>
      </c>
      <c r="C44" s="228" t="s">
        <v>2158</v>
      </c>
      <c r="D44" s="229" t="s">
        <v>2159</v>
      </c>
      <c r="E44" s="229" t="s">
        <v>1433</v>
      </c>
      <c r="F44" s="230">
        <v>23372.17</v>
      </c>
      <c r="G44" s="230">
        <v>15100</v>
      </c>
      <c r="H44" s="230">
        <v>15100</v>
      </c>
      <c r="I44" s="230">
        <v>15100</v>
      </c>
      <c r="J44" s="230">
        <v>15100</v>
      </c>
      <c r="K44" s="230">
        <v>15100</v>
      </c>
      <c r="L44" s="230">
        <v>15100</v>
      </c>
      <c r="M44" s="230">
        <v>15100</v>
      </c>
      <c r="N44" s="3" t="s">
        <v>2073</v>
      </c>
      <c r="O44" s="3"/>
      <c r="P44" s="225">
        <f t="shared" si="0"/>
        <v>-35.4</v>
      </c>
      <c r="Q44" s="225">
        <f t="shared" si="1"/>
        <v>-8272.1699999999983</v>
      </c>
      <c r="R44" s="231">
        <v>15100</v>
      </c>
      <c r="S44" s="231">
        <v>15100</v>
      </c>
      <c r="T44" s="225">
        <v>18</v>
      </c>
      <c r="U44" s="225">
        <f t="shared" si="3"/>
        <v>4206.99</v>
      </c>
    </row>
    <row r="45" spans="1:21" ht="25.5">
      <c r="A45" s="226">
        <v>26</v>
      </c>
      <c r="B45" s="227" t="s">
        <v>2160</v>
      </c>
      <c r="C45" s="228" t="s">
        <v>2158</v>
      </c>
      <c r="D45" s="229" t="s">
        <v>2161</v>
      </c>
      <c r="E45" s="229" t="s">
        <v>1433</v>
      </c>
      <c r="F45" s="230">
        <v>17284.560000000001</v>
      </c>
      <c r="G45" s="230">
        <v>11167</v>
      </c>
      <c r="H45" s="230">
        <v>11167</v>
      </c>
      <c r="I45" s="230">
        <v>11167</v>
      </c>
      <c r="J45" s="230">
        <v>11167</v>
      </c>
      <c r="K45" s="230">
        <v>11167</v>
      </c>
      <c r="L45" s="230">
        <v>11167</v>
      </c>
      <c r="M45" s="230">
        <v>11167</v>
      </c>
      <c r="N45" s="3" t="s">
        <v>2073</v>
      </c>
      <c r="O45" s="3"/>
      <c r="P45" s="225">
        <f t="shared" si="0"/>
        <v>-35.4</v>
      </c>
      <c r="Q45" s="225">
        <f t="shared" si="1"/>
        <v>-6117.5600000000013</v>
      </c>
      <c r="R45" s="231">
        <v>11167</v>
      </c>
      <c r="S45" s="231">
        <v>11167</v>
      </c>
      <c r="T45" s="225">
        <v>18</v>
      </c>
      <c r="U45" s="225">
        <f t="shared" si="3"/>
        <v>3111.22</v>
      </c>
    </row>
    <row r="46" spans="1:21" ht="25.5">
      <c r="A46" s="226">
        <v>27</v>
      </c>
      <c r="B46" s="227" t="s">
        <v>2162</v>
      </c>
      <c r="C46" s="228" t="s">
        <v>2158</v>
      </c>
      <c r="D46" s="229" t="s">
        <v>2113</v>
      </c>
      <c r="E46" s="229" t="s">
        <v>1433</v>
      </c>
      <c r="F46" s="230">
        <v>13822.09</v>
      </c>
      <c r="G46" s="230">
        <v>8930</v>
      </c>
      <c r="H46" s="230">
        <v>8930</v>
      </c>
      <c r="I46" s="230">
        <v>8930</v>
      </c>
      <c r="J46" s="230">
        <v>8930</v>
      </c>
      <c r="K46" s="230">
        <v>8930</v>
      </c>
      <c r="L46" s="230">
        <v>8930</v>
      </c>
      <c r="M46" s="230">
        <v>8930</v>
      </c>
      <c r="N46" s="3" t="s">
        <v>2073</v>
      </c>
      <c r="O46" s="3"/>
      <c r="P46" s="225">
        <f t="shared" si="0"/>
        <v>-35.4</v>
      </c>
      <c r="Q46" s="225">
        <f t="shared" si="1"/>
        <v>-4892.09</v>
      </c>
      <c r="R46" s="231">
        <v>8930</v>
      </c>
      <c r="S46" s="231">
        <v>8930</v>
      </c>
      <c r="T46" s="225">
        <v>18</v>
      </c>
      <c r="U46" s="225">
        <f t="shared" si="3"/>
        <v>2487.98</v>
      </c>
    </row>
    <row r="47" spans="1:21" ht="25.5">
      <c r="A47" s="226">
        <v>28</v>
      </c>
      <c r="B47" s="227" t="s">
        <v>2163</v>
      </c>
      <c r="C47" s="228" t="s">
        <v>2158</v>
      </c>
      <c r="D47" s="229" t="s">
        <v>2164</v>
      </c>
      <c r="E47" s="229" t="s">
        <v>1433</v>
      </c>
      <c r="F47" s="230">
        <v>11066.95</v>
      </c>
      <c r="G47" s="230">
        <v>7150</v>
      </c>
      <c r="H47" s="230">
        <v>7150</v>
      </c>
      <c r="I47" s="230">
        <v>7150</v>
      </c>
      <c r="J47" s="230">
        <v>7150</v>
      </c>
      <c r="K47" s="230">
        <v>7150</v>
      </c>
      <c r="L47" s="230">
        <v>7150</v>
      </c>
      <c r="M47" s="230">
        <v>7150</v>
      </c>
      <c r="N47" s="3" t="s">
        <v>2073</v>
      </c>
      <c r="O47" s="3"/>
      <c r="P47" s="225">
        <f t="shared" si="0"/>
        <v>-35.4</v>
      </c>
      <c r="Q47" s="225">
        <f t="shared" si="1"/>
        <v>-3916.9500000000007</v>
      </c>
      <c r="R47" s="231">
        <v>7150</v>
      </c>
      <c r="S47" s="231">
        <v>7150</v>
      </c>
      <c r="T47" s="225">
        <v>18</v>
      </c>
      <c r="U47" s="225">
        <f t="shared" si="3"/>
        <v>1992.05</v>
      </c>
    </row>
    <row r="48" spans="1:21">
      <c r="A48" s="21">
        <v>29</v>
      </c>
      <c r="B48" s="19" t="s">
        <v>2165</v>
      </c>
      <c r="C48" s="215" t="s">
        <v>2166</v>
      </c>
      <c r="D48" s="229" t="s">
        <v>2167</v>
      </c>
      <c r="E48" s="229" t="s">
        <v>1433</v>
      </c>
      <c r="F48" s="230">
        <v>1586.51</v>
      </c>
      <c r="G48" s="230">
        <v>1025</v>
      </c>
      <c r="H48" s="230">
        <v>1025</v>
      </c>
      <c r="I48" s="230">
        <v>1025</v>
      </c>
      <c r="J48" s="230">
        <v>1025</v>
      </c>
      <c r="K48" s="230">
        <v>1025</v>
      </c>
      <c r="L48" s="230">
        <v>1025</v>
      </c>
      <c r="M48" s="230">
        <v>1025</v>
      </c>
      <c r="N48" s="3" t="s">
        <v>2073</v>
      </c>
      <c r="O48" s="3"/>
      <c r="P48" s="225">
        <f t="shared" si="0"/>
        <v>-35.4</v>
      </c>
      <c r="Q48" s="225">
        <f t="shared" si="1"/>
        <v>-561.51</v>
      </c>
      <c r="R48" s="231">
        <v>1025</v>
      </c>
      <c r="S48" s="231">
        <v>1025</v>
      </c>
      <c r="T48" s="225">
        <v>18</v>
      </c>
      <c r="U48" s="566">
        <f t="shared" ref="U48" si="4">ROUND(F48*T48%,2)</f>
        <v>285.57</v>
      </c>
    </row>
    <row r="49" spans="1:21" ht="38.25">
      <c r="A49" s="232">
        <v>30</v>
      </c>
      <c r="B49" s="233" t="s">
        <v>2168</v>
      </c>
      <c r="C49" s="228" t="s">
        <v>2169</v>
      </c>
      <c r="D49" s="229" t="s">
        <v>2159</v>
      </c>
      <c r="E49" s="229" t="s">
        <v>1433</v>
      </c>
      <c r="F49" s="230">
        <v>1724.97</v>
      </c>
      <c r="G49" s="230">
        <v>1725</v>
      </c>
      <c r="H49" s="230">
        <v>1725</v>
      </c>
      <c r="I49" s="230">
        <v>1725</v>
      </c>
      <c r="J49" s="230">
        <v>1725</v>
      </c>
      <c r="K49" s="230">
        <v>1725</v>
      </c>
      <c r="L49" s="230">
        <v>1725</v>
      </c>
      <c r="M49" s="230">
        <v>1725</v>
      </c>
      <c r="N49" s="3" t="s">
        <v>2073</v>
      </c>
      <c r="O49" s="3"/>
      <c r="P49" s="225">
        <f t="shared" si="0"/>
        <v>0</v>
      </c>
      <c r="Q49" s="225">
        <f t="shared" si="1"/>
        <v>2.9999999999972715E-2</v>
      </c>
      <c r="R49" s="231">
        <v>1725</v>
      </c>
      <c r="S49" s="231">
        <v>1725</v>
      </c>
      <c r="T49" s="225">
        <v>18</v>
      </c>
      <c r="U49" s="225">
        <f>ROUND(F49*T49%,2)</f>
        <v>310.49</v>
      </c>
    </row>
    <row r="50" spans="1:21" ht="25.5">
      <c r="A50" s="232">
        <v>31</v>
      </c>
      <c r="B50" s="234" t="s">
        <v>2170</v>
      </c>
      <c r="C50" s="235" t="s">
        <v>2171</v>
      </c>
      <c r="D50" s="229" t="s">
        <v>2159</v>
      </c>
      <c r="E50" s="229" t="s">
        <v>1433</v>
      </c>
      <c r="F50" s="2727">
        <v>1143.9000000000001</v>
      </c>
      <c r="G50" s="2727">
        <v>739</v>
      </c>
      <c r="H50" s="2727">
        <v>739</v>
      </c>
      <c r="I50" s="2727">
        <v>739</v>
      </c>
      <c r="J50" s="2727">
        <v>739</v>
      </c>
      <c r="K50" s="2727">
        <v>739</v>
      </c>
      <c r="L50" s="2727">
        <v>739</v>
      </c>
      <c r="M50" s="2727">
        <v>739</v>
      </c>
      <c r="N50" s="3" t="s">
        <v>2073</v>
      </c>
      <c r="O50" s="3"/>
      <c r="P50" s="2715">
        <f t="shared" si="0"/>
        <v>-35.4</v>
      </c>
      <c r="Q50" s="2715">
        <f t="shared" si="1"/>
        <v>-404.90000000000009</v>
      </c>
      <c r="R50" s="2715">
        <v>739</v>
      </c>
      <c r="S50" s="2715">
        <v>739</v>
      </c>
      <c r="T50" s="2715">
        <v>18</v>
      </c>
      <c r="U50" s="2715">
        <f>ROUND(F50*T50%,2)</f>
        <v>205.9</v>
      </c>
    </row>
    <row r="51" spans="1:21">
      <c r="A51" s="209"/>
      <c r="B51" s="159"/>
      <c r="C51" s="236" t="s">
        <v>2172</v>
      </c>
      <c r="D51" s="215" t="s">
        <v>2161</v>
      </c>
      <c r="E51" s="215" t="s">
        <v>1433</v>
      </c>
      <c r="F51" s="2729"/>
      <c r="G51" s="2729"/>
      <c r="H51" s="2729"/>
      <c r="I51" s="2729"/>
      <c r="J51" s="2729"/>
      <c r="K51" s="2729"/>
      <c r="L51" s="2729"/>
      <c r="M51" s="2729"/>
      <c r="N51" s="3" t="s">
        <v>2073</v>
      </c>
      <c r="O51" s="3"/>
      <c r="P51" s="2716"/>
      <c r="Q51" s="2716"/>
      <c r="R51" s="2716"/>
      <c r="S51" s="2716"/>
      <c r="T51" s="2716"/>
      <c r="U51" s="2716"/>
    </row>
    <row r="52" spans="1:21">
      <c r="A52" s="21">
        <v>32</v>
      </c>
      <c r="B52" s="198" t="s">
        <v>2173</v>
      </c>
      <c r="C52" s="215" t="s">
        <v>2172</v>
      </c>
      <c r="D52" s="215" t="s">
        <v>2174</v>
      </c>
      <c r="E52" s="215" t="s">
        <v>1433</v>
      </c>
      <c r="F52" s="224">
        <v>1816.61</v>
      </c>
      <c r="G52" s="224">
        <v>1846</v>
      </c>
      <c r="H52" s="224">
        <v>1846</v>
      </c>
      <c r="I52" s="224">
        <v>1846</v>
      </c>
      <c r="J52" s="224">
        <v>1846</v>
      </c>
      <c r="K52" s="224">
        <v>1846</v>
      </c>
      <c r="L52" s="224">
        <v>1846</v>
      </c>
      <c r="M52" s="224">
        <v>1846</v>
      </c>
      <c r="N52" s="3" t="s">
        <v>2073</v>
      </c>
      <c r="O52" s="3"/>
      <c r="P52" s="225">
        <f t="shared" ref="P52:P86" si="5">ROUND(Q52/F52*100,1)</f>
        <v>1.6</v>
      </c>
      <c r="Q52" s="225">
        <f t="shared" ref="Q52:Q86" si="6">R52-F52</f>
        <v>29.3900000000001</v>
      </c>
      <c r="R52" s="225">
        <v>1846</v>
      </c>
      <c r="S52" s="225">
        <v>1846</v>
      </c>
      <c r="T52" s="225">
        <v>18</v>
      </c>
      <c r="U52" s="566">
        <f t="shared" ref="U52:U53" si="7">ROUND(F52*T52%,2)</f>
        <v>326.99</v>
      </c>
    </row>
    <row r="53" spans="1:21">
      <c r="A53" s="21">
        <v>33</v>
      </c>
      <c r="B53" s="19" t="s">
        <v>2175</v>
      </c>
      <c r="C53" s="215" t="s">
        <v>2176</v>
      </c>
      <c r="D53" s="215" t="s">
        <v>2177</v>
      </c>
      <c r="E53" s="215" t="s">
        <v>1433</v>
      </c>
      <c r="F53" s="224">
        <v>1480.62</v>
      </c>
      <c r="G53" s="224">
        <v>1700</v>
      </c>
      <c r="H53" s="224">
        <v>1700</v>
      </c>
      <c r="I53" s="224">
        <v>1700</v>
      </c>
      <c r="J53" s="224">
        <v>1700</v>
      </c>
      <c r="K53" s="224">
        <v>1700</v>
      </c>
      <c r="L53" s="224">
        <v>1700</v>
      </c>
      <c r="M53" s="224">
        <v>1700</v>
      </c>
      <c r="N53" s="3" t="s">
        <v>2073</v>
      </c>
      <c r="O53" s="3"/>
      <c r="P53" s="225">
        <f t="shared" si="5"/>
        <v>14.8</v>
      </c>
      <c r="Q53" s="225">
        <f t="shared" si="6"/>
        <v>219.38000000000011</v>
      </c>
      <c r="R53" s="225">
        <v>1700</v>
      </c>
      <c r="S53" s="225">
        <v>1700</v>
      </c>
      <c r="T53" s="225">
        <v>18</v>
      </c>
      <c r="U53" s="566">
        <f t="shared" si="7"/>
        <v>266.51</v>
      </c>
    </row>
    <row r="54" spans="1:21" ht="25.5">
      <c r="A54" s="226">
        <v>34</v>
      </c>
      <c r="B54" s="227" t="s">
        <v>2178</v>
      </c>
      <c r="C54" s="228" t="s">
        <v>2179</v>
      </c>
      <c r="D54" s="229" t="s">
        <v>2161</v>
      </c>
      <c r="E54" s="229" t="s">
        <v>1433</v>
      </c>
      <c r="F54" s="230">
        <v>1142.3</v>
      </c>
      <c r="G54" s="230">
        <v>738</v>
      </c>
      <c r="H54" s="230">
        <v>738</v>
      </c>
      <c r="I54" s="230">
        <v>738</v>
      </c>
      <c r="J54" s="230">
        <v>738</v>
      </c>
      <c r="K54" s="230">
        <v>738</v>
      </c>
      <c r="L54" s="230">
        <v>738</v>
      </c>
      <c r="M54" s="230">
        <v>738</v>
      </c>
      <c r="N54" s="3" t="s">
        <v>2073</v>
      </c>
      <c r="O54" s="3"/>
      <c r="P54" s="225">
        <f t="shared" si="5"/>
        <v>-35.4</v>
      </c>
      <c r="Q54" s="225">
        <f>R54-F54</f>
        <v>-404.29999999999995</v>
      </c>
      <c r="R54" s="231">
        <v>738</v>
      </c>
      <c r="S54" s="231">
        <v>738</v>
      </c>
      <c r="T54" s="225">
        <v>18</v>
      </c>
      <c r="U54" s="225">
        <f>ROUND(F54*T54%,2)</f>
        <v>205.61</v>
      </c>
    </row>
    <row r="55" spans="1:21" ht="25.5">
      <c r="A55" s="226">
        <v>35</v>
      </c>
      <c r="B55" s="227" t="s">
        <v>2180</v>
      </c>
      <c r="C55" s="228" t="s">
        <v>2179</v>
      </c>
      <c r="D55" s="229" t="s">
        <v>2113</v>
      </c>
      <c r="E55" s="229" t="s">
        <v>1433</v>
      </c>
      <c r="F55" s="230">
        <v>1026.27</v>
      </c>
      <c r="G55" s="230">
        <v>802</v>
      </c>
      <c r="H55" s="230">
        <v>802</v>
      </c>
      <c r="I55" s="230">
        <v>802</v>
      </c>
      <c r="J55" s="230">
        <v>802</v>
      </c>
      <c r="K55" s="230">
        <v>802</v>
      </c>
      <c r="L55" s="230">
        <v>802</v>
      </c>
      <c r="M55" s="230">
        <v>802</v>
      </c>
      <c r="N55" s="3" t="s">
        <v>2073</v>
      </c>
      <c r="O55" s="3"/>
      <c r="P55" s="225">
        <f t="shared" si="5"/>
        <v>-21.9</v>
      </c>
      <c r="Q55" s="225">
        <f t="shared" si="6"/>
        <v>-224.26999999999998</v>
      </c>
      <c r="R55" s="231">
        <v>802</v>
      </c>
      <c r="S55" s="231">
        <v>802</v>
      </c>
      <c r="T55" s="225">
        <v>18</v>
      </c>
      <c r="U55" s="225">
        <f>ROUND(F55*T55%,2)</f>
        <v>184.73</v>
      </c>
    </row>
    <row r="56" spans="1:21">
      <c r="A56" s="21">
        <v>36</v>
      </c>
      <c r="B56" s="19" t="s">
        <v>2181</v>
      </c>
      <c r="C56" s="215" t="s">
        <v>2182</v>
      </c>
      <c r="D56" s="215" t="s">
        <v>2183</v>
      </c>
      <c r="E56" s="215" t="s">
        <v>1433</v>
      </c>
      <c r="F56" s="224">
        <v>632.91999999999996</v>
      </c>
      <c r="G56" s="224">
        <v>585</v>
      </c>
      <c r="H56" s="224">
        <v>585</v>
      </c>
      <c r="I56" s="224">
        <v>585</v>
      </c>
      <c r="J56" s="224">
        <v>585</v>
      </c>
      <c r="K56" s="224">
        <v>585</v>
      </c>
      <c r="L56" s="224">
        <v>585</v>
      </c>
      <c r="M56" s="224">
        <v>585</v>
      </c>
      <c r="N56" s="3" t="s">
        <v>2073</v>
      </c>
      <c r="O56" s="3"/>
      <c r="P56" s="225">
        <f t="shared" si="5"/>
        <v>-7.6</v>
      </c>
      <c r="Q56" s="225">
        <f t="shared" si="6"/>
        <v>-47.919999999999959</v>
      </c>
      <c r="R56" s="225">
        <v>585</v>
      </c>
      <c r="S56" s="225">
        <v>585</v>
      </c>
      <c r="T56" s="225">
        <v>18</v>
      </c>
      <c r="U56" s="566">
        <f t="shared" ref="U56:U85" si="8">ROUND(F56*T56%,2)</f>
        <v>113.93</v>
      </c>
    </row>
    <row r="57" spans="1:21">
      <c r="A57" s="21">
        <v>37</v>
      </c>
      <c r="B57" s="19" t="s">
        <v>2184</v>
      </c>
      <c r="C57" s="215" t="s">
        <v>2185</v>
      </c>
      <c r="D57" s="215" t="s">
        <v>2186</v>
      </c>
      <c r="E57" s="215" t="s">
        <v>1433</v>
      </c>
      <c r="F57" s="224">
        <v>198.11</v>
      </c>
      <c r="G57" s="224">
        <v>128</v>
      </c>
      <c r="H57" s="224">
        <v>128</v>
      </c>
      <c r="I57" s="224">
        <v>128</v>
      </c>
      <c r="J57" s="224">
        <v>128</v>
      </c>
      <c r="K57" s="224">
        <v>128</v>
      </c>
      <c r="L57" s="224">
        <v>128</v>
      </c>
      <c r="M57" s="224">
        <v>128</v>
      </c>
      <c r="N57" s="3" t="s">
        <v>2073</v>
      </c>
      <c r="O57" s="3"/>
      <c r="P57" s="225">
        <f t="shared" si="5"/>
        <v>-35.4</v>
      </c>
      <c r="Q57" s="225">
        <f t="shared" si="6"/>
        <v>-70.110000000000014</v>
      </c>
      <c r="R57" s="225">
        <v>128</v>
      </c>
      <c r="S57" s="225">
        <v>128</v>
      </c>
      <c r="T57" s="225">
        <v>18</v>
      </c>
      <c r="U57" s="566">
        <f t="shared" si="8"/>
        <v>35.659999999999997</v>
      </c>
    </row>
    <row r="58" spans="1:21">
      <c r="A58" s="21">
        <v>38</v>
      </c>
      <c r="B58" s="19" t="s">
        <v>339</v>
      </c>
      <c r="C58" s="215" t="s">
        <v>2185</v>
      </c>
      <c r="D58" s="19"/>
      <c r="E58" s="215" t="s">
        <v>1433</v>
      </c>
      <c r="F58" s="224">
        <v>114.54</v>
      </c>
      <c r="G58" s="224">
        <v>74</v>
      </c>
      <c r="H58" s="224">
        <v>74</v>
      </c>
      <c r="I58" s="224">
        <v>74</v>
      </c>
      <c r="J58" s="224">
        <v>74</v>
      </c>
      <c r="K58" s="224">
        <v>74</v>
      </c>
      <c r="L58" s="224">
        <v>74</v>
      </c>
      <c r="M58" s="224">
        <v>74</v>
      </c>
      <c r="N58" s="3" t="s">
        <v>2073</v>
      </c>
      <c r="O58" s="3"/>
      <c r="P58" s="225">
        <f t="shared" si="5"/>
        <v>-35.4</v>
      </c>
      <c r="Q58" s="225">
        <f t="shared" si="6"/>
        <v>-40.540000000000006</v>
      </c>
      <c r="R58" s="225">
        <v>74</v>
      </c>
      <c r="S58" s="225">
        <v>74</v>
      </c>
      <c r="T58" s="225">
        <v>18</v>
      </c>
      <c r="U58" s="566">
        <f t="shared" si="8"/>
        <v>20.62</v>
      </c>
    </row>
    <row r="59" spans="1:21">
      <c r="A59" s="21">
        <v>39</v>
      </c>
      <c r="B59" s="19" t="s">
        <v>2187</v>
      </c>
      <c r="C59" s="215" t="s">
        <v>2188</v>
      </c>
      <c r="D59" s="215" t="s">
        <v>2159</v>
      </c>
      <c r="E59" s="215" t="s">
        <v>1433</v>
      </c>
      <c r="F59" s="224">
        <v>1037.04</v>
      </c>
      <c r="G59" s="224">
        <v>670</v>
      </c>
      <c r="H59" s="224">
        <v>670</v>
      </c>
      <c r="I59" s="224">
        <v>670</v>
      </c>
      <c r="J59" s="224">
        <v>670</v>
      </c>
      <c r="K59" s="224">
        <v>670</v>
      </c>
      <c r="L59" s="224">
        <v>670</v>
      </c>
      <c r="M59" s="224">
        <v>670</v>
      </c>
      <c r="N59" s="3" t="s">
        <v>2073</v>
      </c>
      <c r="O59" s="3"/>
      <c r="P59" s="225">
        <f t="shared" si="5"/>
        <v>-35.4</v>
      </c>
      <c r="Q59" s="225">
        <f t="shared" si="6"/>
        <v>-367.03999999999996</v>
      </c>
      <c r="R59" s="225">
        <v>670</v>
      </c>
      <c r="S59" s="225">
        <v>670</v>
      </c>
      <c r="T59" s="225">
        <v>18</v>
      </c>
      <c r="U59" s="566">
        <f t="shared" si="8"/>
        <v>186.67</v>
      </c>
    </row>
    <row r="60" spans="1:21">
      <c r="A60" s="21">
        <v>40</v>
      </c>
      <c r="B60" s="19" t="s">
        <v>2189</v>
      </c>
      <c r="C60" s="215" t="s">
        <v>2190</v>
      </c>
      <c r="D60" s="215" t="s">
        <v>2191</v>
      </c>
      <c r="E60" s="215" t="s">
        <v>1433</v>
      </c>
      <c r="F60" s="224">
        <v>2454.85</v>
      </c>
      <c r="G60" s="224">
        <v>1586</v>
      </c>
      <c r="H60" s="224">
        <v>1586</v>
      </c>
      <c r="I60" s="225">
        <v>1586</v>
      </c>
      <c r="J60" s="225">
        <v>1442</v>
      </c>
      <c r="K60" s="224">
        <v>1442</v>
      </c>
      <c r="L60" s="224">
        <v>1442</v>
      </c>
      <c r="M60" s="224">
        <v>1442</v>
      </c>
      <c r="N60" s="3" t="s">
        <v>2073</v>
      </c>
      <c r="O60" s="3"/>
      <c r="P60" s="225">
        <f t="shared" si="5"/>
        <v>-35.4</v>
      </c>
      <c r="Q60" s="225">
        <f t="shared" si="6"/>
        <v>-868.84999999999991</v>
      </c>
      <c r="R60" s="225">
        <v>1586</v>
      </c>
      <c r="S60" s="225">
        <v>1586</v>
      </c>
      <c r="T60" s="225">
        <v>18</v>
      </c>
      <c r="U60" s="566">
        <f t="shared" si="8"/>
        <v>441.87</v>
      </c>
    </row>
    <row r="61" spans="1:21">
      <c r="A61" s="21">
        <v>41</v>
      </c>
      <c r="B61" s="19" t="s">
        <v>2192</v>
      </c>
      <c r="C61" s="215" t="s">
        <v>2193</v>
      </c>
      <c r="D61" s="215" t="s">
        <v>2194</v>
      </c>
      <c r="E61" s="215" t="s">
        <v>1433</v>
      </c>
      <c r="F61" s="224">
        <v>1836.25</v>
      </c>
      <c r="G61" s="224">
        <v>1200</v>
      </c>
      <c r="H61" s="224">
        <v>1200</v>
      </c>
      <c r="I61" s="224">
        <v>1200</v>
      </c>
      <c r="J61" s="224">
        <v>1200</v>
      </c>
      <c r="K61" s="224">
        <v>1200</v>
      </c>
      <c r="L61" s="224">
        <v>1200</v>
      </c>
      <c r="M61" s="224">
        <v>1200</v>
      </c>
      <c r="N61" s="3" t="s">
        <v>2073</v>
      </c>
      <c r="O61" s="3"/>
      <c r="P61" s="225">
        <f t="shared" si="5"/>
        <v>-34.6</v>
      </c>
      <c r="Q61" s="225">
        <f t="shared" si="6"/>
        <v>-636.25</v>
      </c>
      <c r="R61" s="225">
        <v>1200</v>
      </c>
      <c r="S61" s="225">
        <v>1200</v>
      </c>
      <c r="T61" s="225">
        <v>18</v>
      </c>
      <c r="U61" s="566">
        <f t="shared" si="8"/>
        <v>330.53</v>
      </c>
    </row>
    <row r="62" spans="1:21">
      <c r="A62" s="21">
        <v>42</v>
      </c>
      <c r="B62" s="19" t="s">
        <v>2195</v>
      </c>
      <c r="C62" s="215" t="s">
        <v>2193</v>
      </c>
      <c r="D62" s="215" t="s">
        <v>2196</v>
      </c>
      <c r="E62" s="215" t="s">
        <v>1433</v>
      </c>
      <c r="F62" s="224">
        <v>2144.23</v>
      </c>
      <c r="G62" s="224">
        <v>1440</v>
      </c>
      <c r="H62" s="224">
        <v>1440</v>
      </c>
      <c r="I62" s="224">
        <v>1440</v>
      </c>
      <c r="J62" s="224">
        <v>1440</v>
      </c>
      <c r="K62" s="224">
        <v>1440</v>
      </c>
      <c r="L62" s="224">
        <v>1440</v>
      </c>
      <c r="M62" s="224">
        <v>1440</v>
      </c>
      <c r="N62" s="3" t="s">
        <v>2073</v>
      </c>
      <c r="O62" s="3"/>
      <c r="P62" s="225">
        <f t="shared" si="5"/>
        <v>-32.799999999999997</v>
      </c>
      <c r="Q62" s="225">
        <f t="shared" si="6"/>
        <v>-704.23</v>
      </c>
      <c r="R62" s="225">
        <v>1440</v>
      </c>
      <c r="S62" s="225">
        <v>1440</v>
      </c>
      <c r="T62" s="225">
        <v>18</v>
      </c>
      <c r="U62" s="566">
        <f t="shared" si="8"/>
        <v>385.96</v>
      </c>
    </row>
    <row r="63" spans="1:21">
      <c r="A63" s="21">
        <v>43</v>
      </c>
      <c r="B63" s="19" t="s">
        <v>2197</v>
      </c>
      <c r="C63" s="215" t="s">
        <v>2193</v>
      </c>
      <c r="D63" s="215" t="s">
        <v>2174</v>
      </c>
      <c r="E63" s="215" t="s">
        <v>1433</v>
      </c>
      <c r="F63" s="224">
        <v>3421.29</v>
      </c>
      <c r="G63" s="224">
        <v>2760</v>
      </c>
      <c r="H63" s="224">
        <v>2760</v>
      </c>
      <c r="I63" s="224">
        <v>2760</v>
      </c>
      <c r="J63" s="224">
        <v>2760</v>
      </c>
      <c r="K63" s="224">
        <v>2760</v>
      </c>
      <c r="L63" s="224">
        <v>2760</v>
      </c>
      <c r="M63" s="224">
        <v>2760</v>
      </c>
      <c r="N63" s="3" t="s">
        <v>2073</v>
      </c>
      <c r="O63" s="3"/>
      <c r="P63" s="225">
        <f t="shared" si="5"/>
        <v>-19.3</v>
      </c>
      <c r="Q63" s="225">
        <f t="shared" si="6"/>
        <v>-661.29</v>
      </c>
      <c r="R63" s="225">
        <v>2760</v>
      </c>
      <c r="S63" s="225">
        <v>2760</v>
      </c>
      <c r="T63" s="225">
        <v>18</v>
      </c>
      <c r="U63" s="566">
        <f t="shared" si="8"/>
        <v>615.83000000000004</v>
      </c>
    </row>
    <row r="64" spans="1:21">
      <c r="A64" s="21">
        <v>44</v>
      </c>
      <c r="B64" s="19" t="s">
        <v>2198</v>
      </c>
      <c r="C64" s="215" t="s">
        <v>2193</v>
      </c>
      <c r="D64" s="215" t="s">
        <v>2199</v>
      </c>
      <c r="E64" s="215" t="s">
        <v>1433</v>
      </c>
      <c r="F64" s="224">
        <v>8791.61</v>
      </c>
      <c r="G64" s="224">
        <v>5160</v>
      </c>
      <c r="H64" s="224">
        <v>5160</v>
      </c>
      <c r="I64" s="224">
        <v>5160</v>
      </c>
      <c r="J64" s="224">
        <v>5160</v>
      </c>
      <c r="K64" s="224">
        <v>5160</v>
      </c>
      <c r="L64" s="224">
        <v>5160</v>
      </c>
      <c r="M64" s="224">
        <v>5160</v>
      </c>
      <c r="N64" s="3" t="s">
        <v>2073</v>
      </c>
      <c r="O64" s="3"/>
      <c r="P64" s="225">
        <f t="shared" si="5"/>
        <v>-41.3</v>
      </c>
      <c r="Q64" s="225">
        <f t="shared" si="6"/>
        <v>-3631.6100000000006</v>
      </c>
      <c r="R64" s="225">
        <v>5160</v>
      </c>
      <c r="S64" s="225">
        <v>5160</v>
      </c>
      <c r="T64" s="225">
        <v>18</v>
      </c>
      <c r="U64" s="566">
        <f t="shared" si="8"/>
        <v>1582.49</v>
      </c>
    </row>
    <row r="65" spans="1:21">
      <c r="A65" s="203">
        <v>45</v>
      </c>
      <c r="B65" s="223" t="s">
        <v>2200</v>
      </c>
      <c r="C65" s="2735" t="s">
        <v>2201</v>
      </c>
      <c r="D65" s="215" t="s">
        <v>2202</v>
      </c>
      <c r="E65" s="215" t="s">
        <v>1433</v>
      </c>
      <c r="F65" s="224">
        <v>928.64</v>
      </c>
      <c r="G65" s="224">
        <v>600</v>
      </c>
      <c r="H65" s="224">
        <v>600</v>
      </c>
      <c r="I65" s="224">
        <v>600</v>
      </c>
      <c r="J65" s="224">
        <v>600</v>
      </c>
      <c r="K65" s="224">
        <v>600</v>
      </c>
      <c r="L65" s="224">
        <v>600</v>
      </c>
      <c r="M65" s="224">
        <v>600</v>
      </c>
      <c r="N65" s="3" t="s">
        <v>2073</v>
      </c>
      <c r="O65" s="3"/>
      <c r="P65" s="225">
        <f t="shared" si="5"/>
        <v>-35.4</v>
      </c>
      <c r="Q65" s="225">
        <f t="shared" si="6"/>
        <v>-328.64</v>
      </c>
      <c r="R65" s="225">
        <v>600</v>
      </c>
      <c r="S65" s="225">
        <v>600</v>
      </c>
      <c r="T65" s="225">
        <v>18</v>
      </c>
      <c r="U65" s="566">
        <f t="shared" si="8"/>
        <v>167.16</v>
      </c>
    </row>
    <row r="66" spans="1:21">
      <c r="A66" s="209"/>
      <c r="B66" s="198"/>
      <c r="C66" s="2736"/>
      <c r="D66" s="215" t="s">
        <v>2203</v>
      </c>
      <c r="E66" s="215" t="s">
        <v>1433</v>
      </c>
      <c r="F66" s="224">
        <v>851.25</v>
      </c>
      <c r="G66" s="224">
        <v>550</v>
      </c>
      <c r="H66" s="224">
        <v>550</v>
      </c>
      <c r="I66" s="224">
        <v>550</v>
      </c>
      <c r="J66" s="224">
        <v>550</v>
      </c>
      <c r="K66" s="224">
        <v>550</v>
      </c>
      <c r="L66" s="224">
        <v>550</v>
      </c>
      <c r="M66" s="224">
        <v>550</v>
      </c>
      <c r="N66" s="3" t="s">
        <v>2073</v>
      </c>
      <c r="O66" s="3"/>
      <c r="P66" s="225">
        <f t="shared" si="5"/>
        <v>-35.4</v>
      </c>
      <c r="Q66" s="225">
        <f t="shared" si="6"/>
        <v>-301.25</v>
      </c>
      <c r="R66" s="225">
        <v>550</v>
      </c>
      <c r="S66" s="225">
        <v>550</v>
      </c>
      <c r="T66" s="225">
        <v>18</v>
      </c>
      <c r="U66" s="566">
        <f t="shared" si="8"/>
        <v>153.22999999999999</v>
      </c>
    </row>
    <row r="67" spans="1:21">
      <c r="A67" s="21">
        <v>46</v>
      </c>
      <c r="B67" s="19" t="s">
        <v>2204</v>
      </c>
      <c r="C67" s="215"/>
      <c r="D67" s="215"/>
      <c r="E67" s="215" t="s">
        <v>1433</v>
      </c>
      <c r="F67" s="224">
        <v>500</v>
      </c>
      <c r="G67" s="224">
        <v>65</v>
      </c>
      <c r="H67" s="224">
        <v>65</v>
      </c>
      <c r="I67" s="225">
        <v>65</v>
      </c>
      <c r="J67" s="225">
        <v>62</v>
      </c>
      <c r="K67" s="224">
        <v>62</v>
      </c>
      <c r="L67" s="224">
        <v>62</v>
      </c>
      <c r="M67" s="224">
        <v>62</v>
      </c>
      <c r="N67" s="3" t="s">
        <v>2073</v>
      </c>
      <c r="O67" s="3"/>
      <c r="P67" s="225">
        <f t="shared" si="5"/>
        <v>-87</v>
      </c>
      <c r="Q67" s="225">
        <f t="shared" si="6"/>
        <v>-435</v>
      </c>
      <c r="R67" s="225">
        <v>65</v>
      </c>
      <c r="S67" s="225">
        <v>65</v>
      </c>
      <c r="T67" s="225">
        <v>18</v>
      </c>
      <c r="U67" s="566">
        <f t="shared" si="8"/>
        <v>90</v>
      </c>
    </row>
    <row r="68" spans="1:21" ht="25.5">
      <c r="A68" s="226">
        <v>47</v>
      </c>
      <c r="B68" s="227" t="s">
        <v>2205</v>
      </c>
      <c r="C68" s="229" t="s">
        <v>2206</v>
      </c>
      <c r="D68" s="228" t="s">
        <v>2207</v>
      </c>
      <c r="E68" s="229" t="s">
        <v>1433</v>
      </c>
      <c r="F68" s="230">
        <v>1278</v>
      </c>
      <c r="G68" s="230">
        <v>165</v>
      </c>
      <c r="H68" s="230">
        <v>165</v>
      </c>
      <c r="I68" s="230">
        <v>165</v>
      </c>
      <c r="J68" s="230">
        <v>165</v>
      </c>
      <c r="K68" s="230">
        <v>165</v>
      </c>
      <c r="L68" s="230">
        <v>165</v>
      </c>
      <c r="M68" s="230">
        <v>165</v>
      </c>
      <c r="N68" s="3" t="s">
        <v>2073</v>
      </c>
      <c r="O68" s="3"/>
      <c r="P68" s="225">
        <f t="shared" si="5"/>
        <v>-87.1</v>
      </c>
      <c r="Q68" s="225">
        <f t="shared" si="6"/>
        <v>-1113</v>
      </c>
      <c r="R68" s="231">
        <v>165</v>
      </c>
      <c r="S68" s="231">
        <v>165</v>
      </c>
      <c r="T68" s="225">
        <v>18</v>
      </c>
      <c r="U68" s="225">
        <f>ROUND(F68*T68%,2)</f>
        <v>230.04</v>
      </c>
    </row>
    <row r="69" spans="1:21">
      <c r="A69" s="21">
        <v>48</v>
      </c>
      <c r="B69" s="19" t="s">
        <v>2208</v>
      </c>
      <c r="C69" s="215" t="s">
        <v>2209</v>
      </c>
      <c r="D69" s="215"/>
      <c r="E69" s="215" t="s">
        <v>1433</v>
      </c>
      <c r="F69" s="230">
        <v>200.7</v>
      </c>
      <c r="G69" s="230">
        <v>59</v>
      </c>
      <c r="H69" s="230">
        <v>59</v>
      </c>
      <c r="I69" s="231">
        <v>59</v>
      </c>
      <c r="J69" s="231">
        <v>58</v>
      </c>
      <c r="K69" s="230">
        <v>58</v>
      </c>
      <c r="L69" s="230">
        <v>58</v>
      </c>
      <c r="M69" s="230">
        <v>58</v>
      </c>
      <c r="N69" s="3" t="s">
        <v>2073</v>
      </c>
      <c r="O69" s="3" t="s">
        <v>2210</v>
      </c>
      <c r="P69" s="225">
        <f t="shared" si="5"/>
        <v>-70.599999999999994</v>
      </c>
      <c r="Q69" s="225">
        <f t="shared" si="6"/>
        <v>-141.69999999999999</v>
      </c>
      <c r="R69" s="231">
        <v>59</v>
      </c>
      <c r="S69" s="231">
        <v>59</v>
      </c>
      <c r="T69" s="225">
        <v>18</v>
      </c>
      <c r="U69" s="566">
        <f t="shared" si="8"/>
        <v>36.130000000000003</v>
      </c>
    </row>
    <row r="70" spans="1:21">
      <c r="A70" s="203">
        <v>49</v>
      </c>
      <c r="B70" s="19" t="s">
        <v>2211</v>
      </c>
      <c r="C70" s="215" t="s">
        <v>2209</v>
      </c>
      <c r="D70" s="215"/>
      <c r="E70" s="215" t="s">
        <v>1433</v>
      </c>
      <c r="F70" s="230">
        <v>295.39</v>
      </c>
      <c r="G70" s="230">
        <v>108</v>
      </c>
      <c r="H70" s="230">
        <v>108</v>
      </c>
      <c r="I70" s="231">
        <v>108</v>
      </c>
      <c r="J70" s="231">
        <v>98</v>
      </c>
      <c r="K70" s="230">
        <v>98</v>
      </c>
      <c r="L70" s="230">
        <v>98</v>
      </c>
      <c r="M70" s="230">
        <v>98</v>
      </c>
      <c r="N70" s="3" t="s">
        <v>2073</v>
      </c>
      <c r="O70" s="3" t="s">
        <v>2210</v>
      </c>
      <c r="P70" s="225">
        <f t="shared" si="5"/>
        <v>-63.4</v>
      </c>
      <c r="Q70" s="225">
        <f t="shared" si="6"/>
        <v>-187.39</v>
      </c>
      <c r="R70" s="231">
        <v>108</v>
      </c>
      <c r="S70" s="231">
        <v>108</v>
      </c>
      <c r="T70" s="225">
        <v>18</v>
      </c>
      <c r="U70" s="566">
        <f t="shared" si="8"/>
        <v>53.17</v>
      </c>
    </row>
    <row r="71" spans="1:21">
      <c r="A71" s="209">
        <v>50</v>
      </c>
      <c r="B71" s="19" t="s">
        <v>2212</v>
      </c>
      <c r="C71" s="215" t="s">
        <v>2209</v>
      </c>
      <c r="D71" s="215"/>
      <c r="E71" s="215" t="s">
        <v>1433</v>
      </c>
      <c r="F71" s="230">
        <v>480</v>
      </c>
      <c r="G71" s="230">
        <v>166</v>
      </c>
      <c r="H71" s="230">
        <v>166</v>
      </c>
      <c r="I71" s="231">
        <v>166</v>
      </c>
      <c r="J71" s="231">
        <v>152</v>
      </c>
      <c r="K71" s="230">
        <v>152</v>
      </c>
      <c r="L71" s="230">
        <v>152</v>
      </c>
      <c r="M71" s="230">
        <v>152</v>
      </c>
      <c r="N71" s="3" t="s">
        <v>2073</v>
      </c>
      <c r="O71" s="3" t="s">
        <v>2210</v>
      </c>
      <c r="P71" s="225">
        <f t="shared" si="5"/>
        <v>-65.400000000000006</v>
      </c>
      <c r="Q71" s="225">
        <f t="shared" si="6"/>
        <v>-314</v>
      </c>
      <c r="R71" s="231">
        <v>166</v>
      </c>
      <c r="S71" s="231">
        <v>166</v>
      </c>
      <c r="T71" s="225">
        <v>18</v>
      </c>
      <c r="U71" s="566">
        <f t="shared" si="8"/>
        <v>86.4</v>
      </c>
    </row>
    <row r="72" spans="1:21">
      <c r="A72" s="21">
        <v>51</v>
      </c>
      <c r="B72" s="19" t="s">
        <v>2213</v>
      </c>
      <c r="C72" s="215" t="s">
        <v>2209</v>
      </c>
      <c r="D72" s="215"/>
      <c r="E72" s="215" t="s">
        <v>1433</v>
      </c>
      <c r="F72" s="230">
        <v>720</v>
      </c>
      <c r="G72" s="230">
        <v>278</v>
      </c>
      <c r="H72" s="230">
        <v>278</v>
      </c>
      <c r="I72" s="231">
        <v>278</v>
      </c>
      <c r="J72" s="231">
        <v>255</v>
      </c>
      <c r="K72" s="230">
        <v>255</v>
      </c>
      <c r="L72" s="230">
        <v>255</v>
      </c>
      <c r="M72" s="230">
        <v>255</v>
      </c>
      <c r="N72" s="3" t="s">
        <v>2073</v>
      </c>
      <c r="O72" s="3" t="s">
        <v>2210</v>
      </c>
      <c r="P72" s="225">
        <f t="shared" si="5"/>
        <v>-61.4</v>
      </c>
      <c r="Q72" s="225">
        <f t="shared" si="6"/>
        <v>-442</v>
      </c>
      <c r="R72" s="231">
        <v>278</v>
      </c>
      <c r="S72" s="231">
        <v>278</v>
      </c>
      <c r="T72" s="225">
        <v>18</v>
      </c>
      <c r="U72" s="566">
        <f t="shared" si="8"/>
        <v>129.6</v>
      </c>
    </row>
    <row r="73" spans="1:21">
      <c r="A73" s="21">
        <v>52</v>
      </c>
      <c r="B73" s="19" t="s">
        <v>2214</v>
      </c>
      <c r="C73" s="215"/>
      <c r="D73" s="215"/>
      <c r="E73" s="215" t="s">
        <v>1433</v>
      </c>
      <c r="F73" s="230">
        <v>580</v>
      </c>
      <c r="G73" s="230">
        <v>149</v>
      </c>
      <c r="H73" s="230">
        <v>149</v>
      </c>
      <c r="I73" s="231">
        <v>149</v>
      </c>
      <c r="J73" s="231">
        <v>145</v>
      </c>
      <c r="K73" s="230">
        <v>145</v>
      </c>
      <c r="L73" s="230">
        <v>145</v>
      </c>
      <c r="M73" s="230">
        <v>145</v>
      </c>
      <c r="N73" s="3" t="s">
        <v>2073</v>
      </c>
      <c r="O73" s="3" t="s">
        <v>2210</v>
      </c>
      <c r="P73" s="225">
        <f t="shared" si="5"/>
        <v>-74.3</v>
      </c>
      <c r="Q73" s="225">
        <f t="shared" si="6"/>
        <v>-431</v>
      </c>
      <c r="R73" s="231">
        <v>149</v>
      </c>
      <c r="S73" s="231">
        <v>149</v>
      </c>
      <c r="T73" s="225">
        <v>18</v>
      </c>
      <c r="U73" s="566">
        <f t="shared" si="8"/>
        <v>104.4</v>
      </c>
    </row>
    <row r="74" spans="1:21">
      <c r="A74" s="203">
        <v>53</v>
      </c>
      <c r="B74" s="19" t="s">
        <v>2215</v>
      </c>
      <c r="C74" s="215"/>
      <c r="D74" s="215"/>
      <c r="E74" s="215" t="s">
        <v>1433</v>
      </c>
      <c r="F74" s="230">
        <v>630</v>
      </c>
      <c r="G74" s="230">
        <v>182</v>
      </c>
      <c r="H74" s="230">
        <v>182</v>
      </c>
      <c r="I74" s="231">
        <v>182</v>
      </c>
      <c r="J74" s="231">
        <v>179</v>
      </c>
      <c r="K74" s="230">
        <v>179</v>
      </c>
      <c r="L74" s="230">
        <v>179</v>
      </c>
      <c r="M74" s="230">
        <v>179</v>
      </c>
      <c r="N74" s="3" t="s">
        <v>2073</v>
      </c>
      <c r="O74" s="3" t="s">
        <v>2210</v>
      </c>
      <c r="P74" s="225">
        <f t="shared" si="5"/>
        <v>-71.099999999999994</v>
      </c>
      <c r="Q74" s="225">
        <f t="shared" si="6"/>
        <v>-448</v>
      </c>
      <c r="R74" s="231">
        <v>182</v>
      </c>
      <c r="S74" s="231">
        <v>182</v>
      </c>
      <c r="T74" s="225">
        <v>18</v>
      </c>
      <c r="U74" s="566">
        <f t="shared" si="8"/>
        <v>113.4</v>
      </c>
    </row>
    <row r="75" spans="1:21">
      <c r="A75" s="209">
        <v>54</v>
      </c>
      <c r="B75" s="19" t="s">
        <v>2216</v>
      </c>
      <c r="C75" s="215" t="s">
        <v>2217</v>
      </c>
      <c r="D75" s="215"/>
      <c r="E75" s="215" t="s">
        <v>1433</v>
      </c>
      <c r="F75" s="230">
        <v>1276.95</v>
      </c>
      <c r="G75" s="230">
        <v>825</v>
      </c>
      <c r="H75" s="230">
        <v>825</v>
      </c>
      <c r="I75" s="230">
        <v>825</v>
      </c>
      <c r="J75" s="230">
        <v>825</v>
      </c>
      <c r="K75" s="230">
        <v>825</v>
      </c>
      <c r="L75" s="230">
        <v>825</v>
      </c>
      <c r="M75" s="230">
        <v>825</v>
      </c>
      <c r="N75" s="3" t="s">
        <v>2073</v>
      </c>
      <c r="O75" s="3"/>
      <c r="P75" s="225">
        <f t="shared" si="5"/>
        <v>-35.4</v>
      </c>
      <c r="Q75" s="225">
        <f t="shared" si="6"/>
        <v>-451.95000000000005</v>
      </c>
      <c r="R75" s="231">
        <v>825</v>
      </c>
      <c r="S75" s="231">
        <v>825</v>
      </c>
      <c r="T75" s="225">
        <v>18</v>
      </c>
      <c r="U75" s="566">
        <f t="shared" si="8"/>
        <v>229.85</v>
      </c>
    </row>
    <row r="76" spans="1:21">
      <c r="A76" s="21">
        <v>55</v>
      </c>
      <c r="B76" s="19" t="s">
        <v>2218</v>
      </c>
      <c r="C76" s="215" t="s">
        <v>2217</v>
      </c>
      <c r="D76" s="215"/>
      <c r="E76" s="215" t="s">
        <v>1433</v>
      </c>
      <c r="F76" s="230">
        <v>1051.3</v>
      </c>
      <c r="G76" s="230">
        <v>550</v>
      </c>
      <c r="H76" s="230">
        <v>550</v>
      </c>
      <c r="I76" s="230">
        <v>550</v>
      </c>
      <c r="J76" s="230">
        <v>550</v>
      </c>
      <c r="K76" s="230">
        <v>550</v>
      </c>
      <c r="L76" s="230">
        <v>550</v>
      </c>
      <c r="M76" s="230">
        <v>550</v>
      </c>
      <c r="N76" s="3" t="s">
        <v>2073</v>
      </c>
      <c r="O76" s="3"/>
      <c r="P76" s="225">
        <f>ROUND(Q76/F76*100,1)</f>
        <v>-47.7</v>
      </c>
      <c r="Q76" s="225">
        <f>R76-F76</f>
        <v>-501.29999999999995</v>
      </c>
      <c r="R76" s="231">
        <v>550</v>
      </c>
      <c r="S76" s="231">
        <v>550</v>
      </c>
      <c r="T76" s="225">
        <v>18</v>
      </c>
      <c r="U76" s="566">
        <f t="shared" si="8"/>
        <v>189.23</v>
      </c>
    </row>
    <row r="77" spans="1:21">
      <c r="A77" s="21">
        <v>56</v>
      </c>
      <c r="B77" s="19" t="s">
        <v>2219</v>
      </c>
      <c r="C77" s="215" t="s">
        <v>2217</v>
      </c>
      <c r="D77" s="215"/>
      <c r="E77" s="215" t="s">
        <v>1433</v>
      </c>
      <c r="F77" s="230">
        <v>560</v>
      </c>
      <c r="G77" s="230">
        <v>230</v>
      </c>
      <c r="H77" s="230">
        <v>230</v>
      </c>
      <c r="I77" s="230">
        <v>230</v>
      </c>
      <c r="J77" s="230">
        <v>230</v>
      </c>
      <c r="K77" s="230">
        <v>230</v>
      </c>
      <c r="L77" s="230">
        <v>230</v>
      </c>
      <c r="M77" s="230">
        <v>230</v>
      </c>
      <c r="N77" s="3" t="s">
        <v>2073</v>
      </c>
      <c r="O77" s="3"/>
      <c r="P77" s="225">
        <f t="shared" si="5"/>
        <v>-58.9</v>
      </c>
      <c r="Q77" s="225">
        <f t="shared" si="6"/>
        <v>-330</v>
      </c>
      <c r="R77" s="231">
        <v>230</v>
      </c>
      <c r="S77" s="231">
        <v>230</v>
      </c>
      <c r="T77" s="225">
        <v>18</v>
      </c>
      <c r="U77" s="566">
        <f t="shared" si="8"/>
        <v>100.8</v>
      </c>
    </row>
    <row r="78" spans="1:21">
      <c r="A78" s="21">
        <v>57</v>
      </c>
      <c r="B78" s="19" t="s">
        <v>2220</v>
      </c>
      <c r="C78" s="215" t="s">
        <v>2217</v>
      </c>
      <c r="D78" s="215"/>
      <c r="E78" s="215" t="s">
        <v>1433</v>
      </c>
      <c r="F78" s="230">
        <v>2065.94</v>
      </c>
      <c r="G78" s="230">
        <v>1717</v>
      </c>
      <c r="H78" s="230">
        <v>1717</v>
      </c>
      <c r="I78" s="231">
        <v>1717</v>
      </c>
      <c r="J78" s="231">
        <v>1660</v>
      </c>
      <c r="K78" s="230">
        <v>1660</v>
      </c>
      <c r="L78" s="230">
        <v>1660</v>
      </c>
      <c r="M78" s="230">
        <v>1660</v>
      </c>
      <c r="N78" s="3" t="s">
        <v>2073</v>
      </c>
      <c r="O78" s="3"/>
      <c r="P78" s="225">
        <f t="shared" si="5"/>
        <v>-16.899999999999999</v>
      </c>
      <c r="Q78" s="225">
        <f t="shared" si="6"/>
        <v>-348.94000000000005</v>
      </c>
      <c r="R78" s="231">
        <v>1717</v>
      </c>
      <c r="S78" s="231">
        <v>1717</v>
      </c>
      <c r="T78" s="225">
        <v>18</v>
      </c>
      <c r="U78" s="566">
        <f t="shared" si="8"/>
        <v>371.87</v>
      </c>
    </row>
    <row r="79" spans="1:21">
      <c r="A79" s="209">
        <v>58</v>
      </c>
      <c r="B79" s="19" t="s">
        <v>2221</v>
      </c>
      <c r="C79" s="215" t="s">
        <v>2217</v>
      </c>
      <c r="D79" s="215"/>
      <c r="E79" s="215" t="s">
        <v>1433</v>
      </c>
      <c r="F79" s="230">
        <v>837.12</v>
      </c>
      <c r="G79" s="230">
        <v>551</v>
      </c>
      <c r="H79" s="230">
        <v>551</v>
      </c>
      <c r="I79" s="231">
        <v>551</v>
      </c>
      <c r="J79" s="231">
        <v>501</v>
      </c>
      <c r="K79" s="230">
        <v>501</v>
      </c>
      <c r="L79" s="230">
        <v>501</v>
      </c>
      <c r="M79" s="230">
        <v>501</v>
      </c>
      <c r="N79" s="3" t="s">
        <v>2073</v>
      </c>
      <c r="O79" s="3"/>
      <c r="P79" s="225">
        <f t="shared" si="5"/>
        <v>-34.200000000000003</v>
      </c>
      <c r="Q79" s="225">
        <f t="shared" si="6"/>
        <v>-286.12</v>
      </c>
      <c r="R79" s="231">
        <v>551</v>
      </c>
      <c r="S79" s="231">
        <v>551</v>
      </c>
      <c r="T79" s="225">
        <v>18</v>
      </c>
      <c r="U79" s="566">
        <f t="shared" si="8"/>
        <v>150.68</v>
      </c>
    </row>
    <row r="80" spans="1:21">
      <c r="A80" s="21">
        <v>59</v>
      </c>
      <c r="B80" s="19" t="s">
        <v>2222</v>
      </c>
      <c r="C80" s="215" t="s">
        <v>2223</v>
      </c>
      <c r="D80" s="215"/>
      <c r="E80" s="215" t="s">
        <v>1433</v>
      </c>
      <c r="F80" s="230">
        <v>160</v>
      </c>
      <c r="G80" s="230">
        <v>81</v>
      </c>
      <c r="H80" s="230">
        <v>81</v>
      </c>
      <c r="I80" s="231">
        <v>81</v>
      </c>
      <c r="J80" s="231">
        <v>79</v>
      </c>
      <c r="K80" s="230">
        <v>79</v>
      </c>
      <c r="L80" s="230">
        <v>79</v>
      </c>
      <c r="M80" s="230">
        <v>79</v>
      </c>
      <c r="N80" s="3" t="s">
        <v>2073</v>
      </c>
      <c r="O80" s="3"/>
      <c r="P80" s="225">
        <f t="shared" si="5"/>
        <v>-49.4</v>
      </c>
      <c r="Q80" s="225">
        <f t="shared" si="6"/>
        <v>-79</v>
      </c>
      <c r="R80" s="231">
        <v>81</v>
      </c>
      <c r="S80" s="231">
        <v>81</v>
      </c>
      <c r="T80" s="225">
        <v>18</v>
      </c>
      <c r="U80" s="566">
        <f t="shared" si="8"/>
        <v>28.8</v>
      </c>
    </row>
    <row r="81" spans="1:21">
      <c r="A81" s="21">
        <v>60</v>
      </c>
      <c r="B81" s="19" t="s">
        <v>2224</v>
      </c>
      <c r="C81" s="215"/>
      <c r="D81" s="215"/>
      <c r="E81" s="215" t="s">
        <v>1433</v>
      </c>
      <c r="F81" s="230">
        <v>180</v>
      </c>
      <c r="G81" s="230">
        <v>91</v>
      </c>
      <c r="H81" s="230">
        <v>91</v>
      </c>
      <c r="I81" s="230">
        <v>91</v>
      </c>
      <c r="J81" s="230">
        <v>91</v>
      </c>
      <c r="K81" s="230">
        <v>91</v>
      </c>
      <c r="L81" s="230">
        <v>91</v>
      </c>
      <c r="M81" s="230">
        <v>91</v>
      </c>
      <c r="N81" s="3" t="s">
        <v>2073</v>
      </c>
      <c r="O81" s="3"/>
      <c r="P81" s="225">
        <f t="shared" si="5"/>
        <v>-49.4</v>
      </c>
      <c r="Q81" s="225">
        <f t="shared" si="6"/>
        <v>-89</v>
      </c>
      <c r="R81" s="231">
        <v>91</v>
      </c>
      <c r="S81" s="231">
        <v>91</v>
      </c>
      <c r="T81" s="225">
        <v>18</v>
      </c>
      <c r="U81" s="566">
        <f t="shared" si="8"/>
        <v>32.4</v>
      </c>
    </row>
    <row r="82" spans="1:21">
      <c r="A82" s="203">
        <v>61</v>
      </c>
      <c r="B82" s="19" t="s">
        <v>2225</v>
      </c>
      <c r="C82" s="215"/>
      <c r="D82" s="215"/>
      <c r="E82" s="215" t="s">
        <v>1433</v>
      </c>
      <c r="F82" s="230">
        <v>208.52</v>
      </c>
      <c r="G82" s="230">
        <v>224</v>
      </c>
      <c r="H82" s="230">
        <v>224</v>
      </c>
      <c r="I82" s="230">
        <v>224</v>
      </c>
      <c r="J82" s="230">
        <v>224</v>
      </c>
      <c r="K82" s="230">
        <v>224</v>
      </c>
      <c r="L82" s="230">
        <v>224</v>
      </c>
      <c r="M82" s="230">
        <v>224</v>
      </c>
      <c r="N82" s="3" t="s">
        <v>2073</v>
      </c>
      <c r="O82" s="3"/>
      <c r="P82" s="225">
        <f t="shared" si="5"/>
        <v>7.4</v>
      </c>
      <c r="Q82" s="225">
        <f t="shared" si="6"/>
        <v>15.47999999999999</v>
      </c>
      <c r="R82" s="231">
        <v>224</v>
      </c>
      <c r="S82" s="231">
        <v>224</v>
      </c>
      <c r="T82" s="225">
        <v>18</v>
      </c>
      <c r="U82" s="566">
        <f t="shared" si="8"/>
        <v>37.53</v>
      </c>
    </row>
    <row r="83" spans="1:21">
      <c r="A83" s="209">
        <v>62</v>
      </c>
      <c r="B83" s="19" t="s">
        <v>2226</v>
      </c>
      <c r="C83" s="215"/>
      <c r="D83" s="215"/>
      <c r="E83" s="215" t="s">
        <v>1433</v>
      </c>
      <c r="F83" s="230">
        <v>600</v>
      </c>
      <c r="G83" s="230">
        <v>220</v>
      </c>
      <c r="H83" s="230">
        <v>220</v>
      </c>
      <c r="I83" s="230">
        <v>220</v>
      </c>
      <c r="J83" s="230">
        <v>220</v>
      </c>
      <c r="K83" s="230">
        <v>220</v>
      </c>
      <c r="L83" s="230">
        <v>220</v>
      </c>
      <c r="M83" s="230">
        <v>220</v>
      </c>
      <c r="N83" s="3" t="s">
        <v>2073</v>
      </c>
      <c r="O83" s="3"/>
      <c r="P83" s="225">
        <f t="shared" si="5"/>
        <v>-63.3</v>
      </c>
      <c r="Q83" s="225">
        <f t="shared" si="6"/>
        <v>-380</v>
      </c>
      <c r="R83" s="231">
        <v>220</v>
      </c>
      <c r="S83" s="231">
        <v>220</v>
      </c>
      <c r="T83" s="225">
        <v>18</v>
      </c>
      <c r="U83" s="566">
        <f t="shared" si="8"/>
        <v>108</v>
      </c>
    </row>
    <row r="84" spans="1:21">
      <c r="A84" s="21">
        <v>63</v>
      </c>
      <c r="B84" s="19" t="s">
        <v>2227</v>
      </c>
      <c r="C84" s="215" t="s">
        <v>2228</v>
      </c>
      <c r="D84" s="215" t="s">
        <v>2229</v>
      </c>
      <c r="E84" s="215" t="s">
        <v>1433</v>
      </c>
      <c r="F84" s="230">
        <v>60</v>
      </c>
      <c r="G84" s="230">
        <v>10</v>
      </c>
      <c r="H84" s="230">
        <v>10</v>
      </c>
      <c r="I84" s="230">
        <v>10</v>
      </c>
      <c r="J84" s="230">
        <v>10</v>
      </c>
      <c r="K84" s="230">
        <v>10</v>
      </c>
      <c r="L84" s="230">
        <v>10</v>
      </c>
      <c r="M84" s="230">
        <v>10</v>
      </c>
      <c r="N84" s="3" t="s">
        <v>2073</v>
      </c>
      <c r="O84" s="3"/>
      <c r="P84" s="225">
        <f t="shared" si="5"/>
        <v>-83.3</v>
      </c>
      <c r="Q84" s="225">
        <f t="shared" si="6"/>
        <v>-50</v>
      </c>
      <c r="R84" s="231">
        <v>10</v>
      </c>
      <c r="S84" s="231">
        <v>10</v>
      </c>
      <c r="T84" s="225">
        <v>18</v>
      </c>
      <c r="U84" s="566">
        <f t="shared" si="8"/>
        <v>10.8</v>
      </c>
    </row>
    <row r="85" spans="1:21">
      <c r="A85" s="21">
        <v>64</v>
      </c>
      <c r="B85" s="19" t="s">
        <v>2230</v>
      </c>
      <c r="C85" s="215" t="s">
        <v>2231</v>
      </c>
      <c r="D85" s="215" t="s">
        <v>2232</v>
      </c>
      <c r="E85" s="215" t="s">
        <v>1433</v>
      </c>
      <c r="F85" s="230">
        <v>309.55</v>
      </c>
      <c r="G85" s="230">
        <v>200</v>
      </c>
      <c r="H85" s="230">
        <v>200</v>
      </c>
      <c r="I85" s="230">
        <v>200</v>
      </c>
      <c r="J85" s="230">
        <v>200</v>
      </c>
      <c r="K85" s="230">
        <v>200</v>
      </c>
      <c r="L85" s="230">
        <v>200</v>
      </c>
      <c r="M85" s="230">
        <v>200</v>
      </c>
      <c r="N85" s="3" t="s">
        <v>2073</v>
      </c>
      <c r="O85" s="3"/>
      <c r="P85" s="225">
        <f t="shared" si="5"/>
        <v>-35.4</v>
      </c>
      <c r="Q85" s="225">
        <f t="shared" si="6"/>
        <v>-109.55000000000001</v>
      </c>
      <c r="R85" s="231">
        <v>200</v>
      </c>
      <c r="S85" s="231">
        <v>200</v>
      </c>
      <c r="T85" s="225">
        <v>18</v>
      </c>
      <c r="U85" s="566">
        <f t="shared" si="8"/>
        <v>55.72</v>
      </c>
    </row>
    <row r="86" spans="1:21">
      <c r="A86" s="203">
        <v>65</v>
      </c>
      <c r="B86" s="19" t="s">
        <v>2233</v>
      </c>
      <c r="C86" s="2516" t="s">
        <v>2193</v>
      </c>
      <c r="D86" s="215" t="s">
        <v>2234</v>
      </c>
      <c r="E86" s="215" t="s">
        <v>1433</v>
      </c>
      <c r="F86" s="2727">
        <v>229.55</v>
      </c>
      <c r="G86" s="2727">
        <v>177</v>
      </c>
      <c r="H86" s="2727">
        <v>177</v>
      </c>
      <c r="I86" s="2715">
        <v>177</v>
      </c>
      <c r="J86" s="2715">
        <v>161</v>
      </c>
      <c r="K86" s="2727">
        <v>161</v>
      </c>
      <c r="L86" s="2727">
        <v>161</v>
      </c>
      <c r="M86" s="2727">
        <v>161</v>
      </c>
      <c r="N86" s="3" t="s">
        <v>2073</v>
      </c>
      <c r="O86" s="3" t="s">
        <v>2235</v>
      </c>
      <c r="P86" s="2715">
        <f t="shared" si="5"/>
        <v>-22.9</v>
      </c>
      <c r="Q86" s="2715">
        <f t="shared" si="6"/>
        <v>-52.550000000000011</v>
      </c>
      <c r="R86" s="2715">
        <v>177</v>
      </c>
      <c r="S86" s="2715">
        <v>177</v>
      </c>
      <c r="T86" s="2715">
        <v>18</v>
      </c>
      <c r="U86" s="2715">
        <f>ROUND(F86*T86%,2)</f>
        <v>41.32</v>
      </c>
    </row>
    <row r="87" spans="1:21">
      <c r="A87" s="209"/>
      <c r="B87" s="19" t="s">
        <v>2236</v>
      </c>
      <c r="C87" s="2516"/>
      <c r="D87" s="215" t="s">
        <v>2237</v>
      </c>
      <c r="E87" s="215" t="s">
        <v>1433</v>
      </c>
      <c r="F87" s="2729"/>
      <c r="G87" s="2729"/>
      <c r="H87" s="2729"/>
      <c r="I87" s="2716"/>
      <c r="J87" s="2716"/>
      <c r="K87" s="2729"/>
      <c r="L87" s="2729"/>
      <c r="M87" s="2729"/>
      <c r="N87" s="3" t="s">
        <v>2073</v>
      </c>
      <c r="O87" s="3"/>
      <c r="P87" s="2716"/>
      <c r="Q87" s="2716"/>
      <c r="R87" s="2716"/>
      <c r="S87" s="2716"/>
      <c r="T87" s="2716"/>
      <c r="U87" s="2716"/>
    </row>
    <row r="88" spans="1:21">
      <c r="A88" s="209">
        <v>66</v>
      </c>
      <c r="B88" s="19" t="s">
        <v>2238</v>
      </c>
      <c r="C88" s="215" t="s">
        <v>2239</v>
      </c>
      <c r="D88" s="215"/>
      <c r="E88" s="215" t="s">
        <v>1433</v>
      </c>
      <c r="F88" s="230">
        <v>153.22999999999999</v>
      </c>
      <c r="G88" s="230">
        <v>106</v>
      </c>
      <c r="H88" s="230">
        <v>106</v>
      </c>
      <c r="I88" s="231">
        <v>106</v>
      </c>
      <c r="J88" s="231">
        <v>95</v>
      </c>
      <c r="K88" s="230">
        <v>95</v>
      </c>
      <c r="L88" s="230">
        <v>95</v>
      </c>
      <c r="M88" s="230">
        <v>95</v>
      </c>
      <c r="N88" s="3" t="s">
        <v>2073</v>
      </c>
      <c r="O88" s="3" t="s">
        <v>2240</v>
      </c>
      <c r="P88" s="225">
        <f t="shared" ref="P88:P113" si="9">ROUND(Q88/F88*100,1)</f>
        <v>-30.8</v>
      </c>
      <c r="Q88" s="225">
        <f t="shared" ref="Q88:Q113" si="10">R88-F88</f>
        <v>-47.22999999999999</v>
      </c>
      <c r="R88" s="231">
        <v>106</v>
      </c>
      <c r="S88" s="231">
        <v>106</v>
      </c>
      <c r="T88" s="225">
        <v>18</v>
      </c>
      <c r="U88" s="566">
        <f t="shared" ref="U88" si="11">ROUND(F88*T88%,2)</f>
        <v>27.58</v>
      </c>
    </row>
    <row r="89" spans="1:21" ht="38.25">
      <c r="A89" s="226">
        <v>67</v>
      </c>
      <c r="B89" s="227" t="s">
        <v>2241</v>
      </c>
      <c r="C89" s="228" t="s">
        <v>2242</v>
      </c>
      <c r="D89" s="229" t="s">
        <v>2243</v>
      </c>
      <c r="E89" s="229" t="s">
        <v>1433</v>
      </c>
      <c r="F89" s="230">
        <v>4369.18</v>
      </c>
      <c r="G89" s="230">
        <v>3525</v>
      </c>
      <c r="H89" s="230">
        <v>3525</v>
      </c>
      <c r="I89" s="230">
        <v>3525</v>
      </c>
      <c r="J89" s="230">
        <v>3525</v>
      </c>
      <c r="K89" s="230">
        <v>3525</v>
      </c>
      <c r="L89" s="230">
        <v>3525</v>
      </c>
      <c r="M89" s="230">
        <v>3525</v>
      </c>
      <c r="N89" s="3" t="s">
        <v>2073</v>
      </c>
      <c r="O89" s="3"/>
      <c r="P89" s="225">
        <f t="shared" si="9"/>
        <v>-19.3</v>
      </c>
      <c r="Q89" s="225">
        <f t="shared" si="10"/>
        <v>-844.18000000000029</v>
      </c>
      <c r="R89" s="231">
        <v>3525</v>
      </c>
      <c r="S89" s="231">
        <v>3525</v>
      </c>
      <c r="T89" s="225">
        <v>18</v>
      </c>
      <c r="U89" s="225">
        <f>ROUND(F89*T89%,2)</f>
        <v>786.45</v>
      </c>
    </row>
    <row r="90" spans="1:21" ht="25.5">
      <c r="A90" s="226">
        <v>68</v>
      </c>
      <c r="B90" s="227" t="s">
        <v>2244</v>
      </c>
      <c r="C90" s="228" t="s">
        <v>2245</v>
      </c>
      <c r="D90" s="229" t="s">
        <v>2196</v>
      </c>
      <c r="E90" s="229" t="s">
        <v>1433</v>
      </c>
      <c r="F90" s="230">
        <v>2863.48</v>
      </c>
      <c r="G90" s="230">
        <v>1850</v>
      </c>
      <c r="H90" s="230">
        <v>1850</v>
      </c>
      <c r="I90" s="230">
        <v>1850</v>
      </c>
      <c r="J90" s="230">
        <v>1850</v>
      </c>
      <c r="K90" s="230">
        <v>1850</v>
      </c>
      <c r="L90" s="230">
        <v>1850</v>
      </c>
      <c r="M90" s="230">
        <v>1850</v>
      </c>
      <c r="N90" s="3" t="s">
        <v>2073</v>
      </c>
      <c r="O90" s="3"/>
      <c r="P90" s="225">
        <f t="shared" si="9"/>
        <v>-35.4</v>
      </c>
      <c r="Q90" s="225">
        <f t="shared" si="10"/>
        <v>-1013.48</v>
      </c>
      <c r="R90" s="231">
        <v>1850</v>
      </c>
      <c r="S90" s="231">
        <v>1850</v>
      </c>
      <c r="T90" s="225">
        <v>18</v>
      </c>
      <c r="U90" s="225">
        <f>ROUND(F90*T90%,2)</f>
        <v>515.42999999999995</v>
      </c>
    </row>
    <row r="91" spans="1:21">
      <c r="A91" s="203">
        <v>69</v>
      </c>
      <c r="B91" s="2733" t="s">
        <v>2246</v>
      </c>
      <c r="C91" s="215" t="s">
        <v>2247</v>
      </c>
      <c r="D91" s="215" t="s">
        <v>2248</v>
      </c>
      <c r="E91" s="215" t="s">
        <v>1433</v>
      </c>
      <c r="F91" s="230">
        <v>8280.58</v>
      </c>
      <c r="G91" s="230">
        <v>5590</v>
      </c>
      <c r="H91" s="230">
        <v>5590</v>
      </c>
      <c r="I91" s="230">
        <v>5590</v>
      </c>
      <c r="J91" s="230">
        <v>5590</v>
      </c>
      <c r="K91" s="230">
        <v>5590</v>
      </c>
      <c r="L91" s="230">
        <v>5590</v>
      </c>
      <c r="M91" s="230">
        <v>5590</v>
      </c>
      <c r="N91" s="3" t="s">
        <v>2073</v>
      </c>
      <c r="O91" s="3"/>
      <c r="P91" s="225">
        <f t="shared" si="9"/>
        <v>-32.5</v>
      </c>
      <c r="Q91" s="225">
        <f t="shared" si="10"/>
        <v>-2690.58</v>
      </c>
      <c r="R91" s="231">
        <v>5590</v>
      </c>
      <c r="S91" s="231">
        <v>5590</v>
      </c>
      <c r="T91" s="225">
        <v>18</v>
      </c>
      <c r="U91" s="566">
        <f t="shared" ref="U91:U94" si="12">ROUND(F91*T91%,2)</f>
        <v>1490.5</v>
      </c>
    </row>
    <row r="92" spans="1:21">
      <c r="A92" s="209"/>
      <c r="B92" s="2734"/>
      <c r="C92" s="215" t="s">
        <v>2247</v>
      </c>
      <c r="D92" s="215" t="s">
        <v>2249</v>
      </c>
      <c r="E92" s="215" t="s">
        <v>1433</v>
      </c>
      <c r="F92" s="230">
        <v>16561.16</v>
      </c>
      <c r="G92" s="230">
        <v>11760</v>
      </c>
      <c r="H92" s="230">
        <v>11760</v>
      </c>
      <c r="I92" s="230">
        <v>11760</v>
      </c>
      <c r="J92" s="230">
        <v>11760</v>
      </c>
      <c r="K92" s="230">
        <v>11760</v>
      </c>
      <c r="L92" s="230">
        <v>11760</v>
      </c>
      <c r="M92" s="230">
        <v>11760</v>
      </c>
      <c r="N92" s="3" t="s">
        <v>2073</v>
      </c>
      <c r="O92" s="3"/>
      <c r="P92" s="225">
        <f t="shared" si="9"/>
        <v>-29</v>
      </c>
      <c r="Q92" s="225">
        <f t="shared" si="10"/>
        <v>-4801.16</v>
      </c>
      <c r="R92" s="231">
        <v>11760</v>
      </c>
      <c r="S92" s="231">
        <v>11760</v>
      </c>
      <c r="T92" s="225">
        <v>18</v>
      </c>
      <c r="U92" s="566">
        <f t="shared" si="12"/>
        <v>2981.01</v>
      </c>
    </row>
    <row r="93" spans="1:21">
      <c r="A93" s="209">
        <v>70</v>
      </c>
      <c r="B93" s="19" t="s">
        <v>2250</v>
      </c>
      <c r="C93" s="215" t="s">
        <v>2247</v>
      </c>
      <c r="D93" s="215"/>
      <c r="E93" s="215" t="s">
        <v>1433</v>
      </c>
      <c r="F93" s="230">
        <v>400</v>
      </c>
      <c r="G93" s="230">
        <v>184</v>
      </c>
      <c r="H93" s="230">
        <v>184</v>
      </c>
      <c r="I93" s="231">
        <v>184</v>
      </c>
      <c r="J93" s="231">
        <v>176</v>
      </c>
      <c r="K93" s="230">
        <v>176</v>
      </c>
      <c r="L93" s="230">
        <v>176</v>
      </c>
      <c r="M93" s="230">
        <v>176</v>
      </c>
      <c r="N93" s="3" t="s">
        <v>2073</v>
      </c>
      <c r="O93" s="3"/>
      <c r="P93" s="225">
        <f t="shared" si="9"/>
        <v>-54</v>
      </c>
      <c r="Q93" s="225">
        <f t="shared" si="10"/>
        <v>-216</v>
      </c>
      <c r="R93" s="231">
        <v>184</v>
      </c>
      <c r="S93" s="231">
        <v>184</v>
      </c>
      <c r="T93" s="225">
        <v>18</v>
      </c>
      <c r="U93" s="566">
        <f t="shared" si="12"/>
        <v>72</v>
      </c>
    </row>
    <row r="94" spans="1:21">
      <c r="A94" s="21">
        <v>71</v>
      </c>
      <c r="B94" s="19" t="s">
        <v>2251</v>
      </c>
      <c r="C94" s="215"/>
      <c r="D94" s="215"/>
      <c r="E94" s="215" t="s">
        <v>1433</v>
      </c>
      <c r="F94" s="230">
        <v>436.17</v>
      </c>
      <c r="G94" s="230">
        <v>235</v>
      </c>
      <c r="H94" s="230">
        <v>235</v>
      </c>
      <c r="I94" s="231">
        <v>235</v>
      </c>
      <c r="J94" s="231">
        <v>228</v>
      </c>
      <c r="K94" s="230">
        <v>228</v>
      </c>
      <c r="L94" s="230">
        <v>228</v>
      </c>
      <c r="M94" s="230">
        <v>228</v>
      </c>
      <c r="N94" s="3" t="s">
        <v>2073</v>
      </c>
      <c r="O94" s="3"/>
      <c r="P94" s="225">
        <f t="shared" si="9"/>
        <v>-46.1</v>
      </c>
      <c r="Q94" s="225">
        <f t="shared" si="10"/>
        <v>-201.17000000000002</v>
      </c>
      <c r="R94" s="231">
        <v>235</v>
      </c>
      <c r="S94" s="231">
        <v>235</v>
      </c>
      <c r="T94" s="225">
        <v>18</v>
      </c>
      <c r="U94" s="566">
        <f t="shared" si="12"/>
        <v>78.510000000000005</v>
      </c>
    </row>
    <row r="95" spans="1:21" ht="25.5">
      <c r="A95" s="226">
        <v>72</v>
      </c>
      <c r="B95" s="227" t="s">
        <v>2244</v>
      </c>
      <c r="C95" s="228" t="s">
        <v>2245</v>
      </c>
      <c r="D95" s="229" t="s">
        <v>2199</v>
      </c>
      <c r="E95" s="229" t="s">
        <v>1433</v>
      </c>
      <c r="F95" s="230">
        <v>25056.2</v>
      </c>
      <c r="G95" s="230">
        <v>16188</v>
      </c>
      <c r="H95" s="230">
        <v>16188</v>
      </c>
      <c r="I95" s="230">
        <v>16188</v>
      </c>
      <c r="J95" s="230">
        <v>16188</v>
      </c>
      <c r="K95" s="230">
        <v>16188</v>
      </c>
      <c r="L95" s="230">
        <v>16188</v>
      </c>
      <c r="M95" s="230">
        <v>16188</v>
      </c>
      <c r="N95" s="3" t="s">
        <v>2073</v>
      </c>
      <c r="O95" s="3"/>
      <c r="P95" s="225">
        <f t="shared" si="9"/>
        <v>-35.4</v>
      </c>
      <c r="Q95" s="225">
        <f t="shared" si="10"/>
        <v>-8868.2000000000007</v>
      </c>
      <c r="R95" s="231">
        <v>16188</v>
      </c>
      <c r="S95" s="231">
        <v>16188</v>
      </c>
      <c r="T95" s="225">
        <v>18</v>
      </c>
      <c r="U95" s="225">
        <f t="shared" ref="U95:U102" si="13">ROUND(F95*T95%,2)</f>
        <v>4510.12</v>
      </c>
    </row>
    <row r="96" spans="1:21" ht="25.5">
      <c r="A96" s="226">
        <v>73</v>
      </c>
      <c r="B96" s="227" t="s">
        <v>2252</v>
      </c>
      <c r="C96" s="228" t="s">
        <v>2253</v>
      </c>
      <c r="D96" s="229"/>
      <c r="E96" s="229" t="s">
        <v>1433</v>
      </c>
      <c r="F96" s="230">
        <v>360</v>
      </c>
      <c r="G96" s="230">
        <v>83</v>
      </c>
      <c r="H96" s="230">
        <v>83</v>
      </c>
      <c r="I96" s="230">
        <v>83</v>
      </c>
      <c r="J96" s="230">
        <v>83</v>
      </c>
      <c r="K96" s="230">
        <v>83</v>
      </c>
      <c r="L96" s="230">
        <v>83</v>
      </c>
      <c r="M96" s="230">
        <v>83</v>
      </c>
      <c r="N96" s="3" t="s">
        <v>2073</v>
      </c>
      <c r="O96" s="3"/>
      <c r="P96" s="225">
        <f t="shared" si="9"/>
        <v>-76.900000000000006</v>
      </c>
      <c r="Q96" s="225">
        <f t="shared" si="10"/>
        <v>-277</v>
      </c>
      <c r="R96" s="231">
        <v>83</v>
      </c>
      <c r="S96" s="231">
        <v>83</v>
      </c>
      <c r="T96" s="225">
        <v>18</v>
      </c>
      <c r="U96" s="225">
        <f t="shared" si="13"/>
        <v>64.8</v>
      </c>
    </row>
    <row r="97" spans="1:21" ht="25.5">
      <c r="A97" s="237">
        <v>74</v>
      </c>
      <c r="B97" s="227" t="s">
        <v>2254</v>
      </c>
      <c r="C97" s="228" t="s">
        <v>2255</v>
      </c>
      <c r="D97" s="229" t="s">
        <v>2256</v>
      </c>
      <c r="E97" s="229" t="s">
        <v>1433</v>
      </c>
      <c r="F97" s="230">
        <v>1052.42</v>
      </c>
      <c r="G97" s="230">
        <v>450</v>
      </c>
      <c r="H97" s="230">
        <v>450</v>
      </c>
      <c r="I97" s="230">
        <v>450</v>
      </c>
      <c r="J97" s="230">
        <v>450</v>
      </c>
      <c r="K97" s="230">
        <v>450</v>
      </c>
      <c r="L97" s="230">
        <v>450</v>
      </c>
      <c r="M97" s="230">
        <v>450</v>
      </c>
      <c r="N97" s="3" t="s">
        <v>2073</v>
      </c>
      <c r="O97" s="3" t="s">
        <v>2257</v>
      </c>
      <c r="P97" s="225">
        <f t="shared" si="9"/>
        <v>-57.2</v>
      </c>
      <c r="Q97" s="225">
        <f t="shared" si="10"/>
        <v>-602.42000000000007</v>
      </c>
      <c r="R97" s="231">
        <v>450</v>
      </c>
      <c r="S97" s="231">
        <v>450</v>
      </c>
      <c r="T97" s="225">
        <v>18</v>
      </c>
      <c r="U97" s="225">
        <f t="shared" si="13"/>
        <v>189.44</v>
      </c>
    </row>
    <row r="98" spans="1:21" ht="25.5">
      <c r="A98" s="226">
        <v>75</v>
      </c>
      <c r="B98" s="227" t="s">
        <v>2258</v>
      </c>
      <c r="C98" s="228" t="s">
        <v>2255</v>
      </c>
      <c r="D98" s="229" t="s">
        <v>2256</v>
      </c>
      <c r="E98" s="229" t="s">
        <v>1433</v>
      </c>
      <c r="F98" s="230">
        <v>1600</v>
      </c>
      <c r="G98" s="230">
        <v>1125</v>
      </c>
      <c r="H98" s="230">
        <v>1125</v>
      </c>
      <c r="I98" s="230">
        <v>1125</v>
      </c>
      <c r="J98" s="230">
        <v>1125</v>
      </c>
      <c r="K98" s="230">
        <v>1125</v>
      </c>
      <c r="L98" s="230">
        <v>1125</v>
      </c>
      <c r="M98" s="230">
        <v>1125</v>
      </c>
      <c r="N98" s="3" t="s">
        <v>2073</v>
      </c>
      <c r="O98" s="3" t="s">
        <v>2257</v>
      </c>
      <c r="P98" s="225">
        <f t="shared" si="9"/>
        <v>-29.7</v>
      </c>
      <c r="Q98" s="225">
        <f t="shared" si="10"/>
        <v>-475</v>
      </c>
      <c r="R98" s="231">
        <v>1125</v>
      </c>
      <c r="S98" s="231">
        <v>1125</v>
      </c>
      <c r="T98" s="225">
        <v>18</v>
      </c>
      <c r="U98" s="225">
        <f t="shared" si="13"/>
        <v>288</v>
      </c>
    </row>
    <row r="99" spans="1:21" ht="25.5">
      <c r="A99" s="226">
        <v>76</v>
      </c>
      <c r="B99" s="227" t="s">
        <v>2259</v>
      </c>
      <c r="C99" s="228" t="s">
        <v>2255</v>
      </c>
      <c r="D99" s="229" t="s">
        <v>2260</v>
      </c>
      <c r="E99" s="229" t="s">
        <v>1433</v>
      </c>
      <c r="F99" s="230">
        <v>700</v>
      </c>
      <c r="G99" s="230">
        <v>240</v>
      </c>
      <c r="H99" s="230">
        <v>240</v>
      </c>
      <c r="I99" s="230">
        <v>240</v>
      </c>
      <c r="J99" s="230">
        <v>240</v>
      </c>
      <c r="K99" s="230">
        <v>240</v>
      </c>
      <c r="L99" s="230">
        <v>240</v>
      </c>
      <c r="M99" s="230">
        <v>240</v>
      </c>
      <c r="N99" s="3" t="s">
        <v>2073</v>
      </c>
      <c r="O99" s="3" t="s">
        <v>2257</v>
      </c>
      <c r="P99" s="225">
        <f t="shared" si="9"/>
        <v>-65.7</v>
      </c>
      <c r="Q99" s="225">
        <f t="shared" si="10"/>
        <v>-460</v>
      </c>
      <c r="R99" s="231">
        <v>240</v>
      </c>
      <c r="S99" s="231">
        <v>240</v>
      </c>
      <c r="T99" s="225">
        <v>18</v>
      </c>
      <c r="U99" s="225">
        <f t="shared" si="13"/>
        <v>126</v>
      </c>
    </row>
    <row r="100" spans="1:21" ht="25.5">
      <c r="A100" s="226">
        <v>77</v>
      </c>
      <c r="B100" s="227" t="s">
        <v>2261</v>
      </c>
      <c r="C100" s="228" t="s">
        <v>2255</v>
      </c>
      <c r="D100" s="229" t="s">
        <v>2262</v>
      </c>
      <c r="E100" s="229" t="s">
        <v>1433</v>
      </c>
      <c r="F100" s="230">
        <v>780</v>
      </c>
      <c r="G100" s="230">
        <v>425</v>
      </c>
      <c r="H100" s="230">
        <v>425</v>
      </c>
      <c r="I100" s="231">
        <v>425</v>
      </c>
      <c r="J100" s="231">
        <v>386</v>
      </c>
      <c r="K100" s="230">
        <v>386</v>
      </c>
      <c r="L100" s="230">
        <v>386.48</v>
      </c>
      <c r="M100" s="230">
        <v>386.48</v>
      </c>
      <c r="N100" s="3" t="s">
        <v>2073</v>
      </c>
      <c r="O100" s="3" t="s">
        <v>2257</v>
      </c>
      <c r="P100" s="225">
        <f t="shared" si="9"/>
        <v>-45.5</v>
      </c>
      <c r="Q100" s="225">
        <f t="shared" si="10"/>
        <v>-355</v>
      </c>
      <c r="R100" s="231">
        <v>425</v>
      </c>
      <c r="S100" s="231">
        <v>425</v>
      </c>
      <c r="T100" s="225">
        <v>18</v>
      </c>
      <c r="U100" s="225">
        <f t="shared" si="13"/>
        <v>140.4</v>
      </c>
    </row>
    <row r="101" spans="1:21" ht="25.5">
      <c r="A101" s="237">
        <v>78</v>
      </c>
      <c r="B101" s="227" t="s">
        <v>2263</v>
      </c>
      <c r="C101" s="228" t="s">
        <v>2255</v>
      </c>
      <c r="D101" s="229" t="s">
        <v>2262</v>
      </c>
      <c r="E101" s="229" t="s">
        <v>1433</v>
      </c>
      <c r="F101" s="230">
        <v>1341.16</v>
      </c>
      <c r="G101" s="230">
        <v>905</v>
      </c>
      <c r="H101" s="230">
        <v>905</v>
      </c>
      <c r="I101" s="231">
        <v>905</v>
      </c>
      <c r="J101" s="231">
        <v>823</v>
      </c>
      <c r="K101" s="230">
        <v>823</v>
      </c>
      <c r="L101" s="230">
        <v>823</v>
      </c>
      <c r="M101" s="230">
        <v>823</v>
      </c>
      <c r="N101" s="3" t="s">
        <v>2073</v>
      </c>
      <c r="O101" s="3" t="s">
        <v>2257</v>
      </c>
      <c r="P101" s="225">
        <f t="shared" si="9"/>
        <v>-32.5</v>
      </c>
      <c r="Q101" s="225">
        <f t="shared" si="10"/>
        <v>-436.16000000000008</v>
      </c>
      <c r="R101" s="231">
        <v>905</v>
      </c>
      <c r="S101" s="231">
        <v>905</v>
      </c>
      <c r="T101" s="225">
        <v>18</v>
      </c>
      <c r="U101" s="225">
        <f t="shared" si="13"/>
        <v>241.41</v>
      </c>
    </row>
    <row r="102" spans="1:21" ht="25.5">
      <c r="A102" s="226">
        <v>79</v>
      </c>
      <c r="B102" s="227" t="s">
        <v>2264</v>
      </c>
      <c r="C102" s="228" t="s">
        <v>2265</v>
      </c>
      <c r="D102" s="238" t="s">
        <v>2266</v>
      </c>
      <c r="E102" s="229" t="s">
        <v>1433</v>
      </c>
      <c r="F102" s="230">
        <v>3800</v>
      </c>
      <c r="G102" s="230">
        <v>2690</v>
      </c>
      <c r="H102" s="230">
        <v>2690</v>
      </c>
      <c r="I102" s="230">
        <v>2690</v>
      </c>
      <c r="J102" s="230">
        <v>2690</v>
      </c>
      <c r="K102" s="230">
        <v>2690</v>
      </c>
      <c r="L102" s="230">
        <v>2690</v>
      </c>
      <c r="M102" s="230">
        <v>2690</v>
      </c>
      <c r="N102" s="3" t="s">
        <v>2073</v>
      </c>
      <c r="O102" s="3"/>
      <c r="P102" s="225">
        <f t="shared" si="9"/>
        <v>-29.2</v>
      </c>
      <c r="Q102" s="225">
        <f t="shared" si="10"/>
        <v>-1110</v>
      </c>
      <c r="R102" s="231">
        <v>2690</v>
      </c>
      <c r="S102" s="231">
        <v>2690</v>
      </c>
      <c r="T102" s="225">
        <v>18</v>
      </c>
      <c r="U102" s="225">
        <f t="shared" si="13"/>
        <v>684</v>
      </c>
    </row>
    <row r="103" spans="1:21">
      <c r="A103" s="232">
        <v>80</v>
      </c>
      <c r="B103" s="234" t="s">
        <v>2267</v>
      </c>
      <c r="C103" s="239" t="s">
        <v>2268</v>
      </c>
      <c r="D103" s="240" t="s">
        <v>2269</v>
      </c>
      <c r="E103" s="215" t="s">
        <v>2117</v>
      </c>
      <c r="F103" s="230">
        <v>30.95</v>
      </c>
      <c r="G103" s="230">
        <v>20</v>
      </c>
      <c r="H103" s="230">
        <v>20</v>
      </c>
      <c r="I103" s="230">
        <v>20</v>
      </c>
      <c r="J103" s="230">
        <v>20</v>
      </c>
      <c r="K103" s="230">
        <v>20</v>
      </c>
      <c r="L103" s="230">
        <v>20</v>
      </c>
      <c r="M103" s="230">
        <v>20</v>
      </c>
      <c r="N103" s="3" t="s">
        <v>2073</v>
      </c>
      <c r="O103" s="3"/>
      <c r="P103" s="225">
        <f t="shared" si="9"/>
        <v>-35.4</v>
      </c>
      <c r="Q103" s="225">
        <f t="shared" si="10"/>
        <v>-10.95</v>
      </c>
      <c r="R103" s="231">
        <v>20</v>
      </c>
      <c r="S103" s="231">
        <v>20</v>
      </c>
      <c r="T103" s="225">
        <v>18</v>
      </c>
      <c r="U103" s="566">
        <f t="shared" ref="U103:U113" si="14">ROUND(F103*T103%,2)</f>
        <v>5.57</v>
      </c>
    </row>
    <row r="104" spans="1:21">
      <c r="A104" s="241"/>
      <c r="B104" s="242"/>
      <c r="C104" s="189"/>
      <c r="D104" s="189"/>
      <c r="E104" s="215" t="s">
        <v>2118</v>
      </c>
      <c r="F104" s="230">
        <v>3.1</v>
      </c>
      <c r="G104" s="230">
        <v>2</v>
      </c>
      <c r="H104" s="230">
        <v>2</v>
      </c>
      <c r="I104" s="230">
        <v>2</v>
      </c>
      <c r="J104" s="230">
        <v>2</v>
      </c>
      <c r="K104" s="230">
        <v>2</v>
      </c>
      <c r="L104" s="230">
        <v>2</v>
      </c>
      <c r="M104" s="230">
        <v>2</v>
      </c>
      <c r="N104" s="3" t="s">
        <v>2073</v>
      </c>
      <c r="O104" s="3"/>
      <c r="P104" s="225">
        <f t="shared" si="9"/>
        <v>-35.5</v>
      </c>
      <c r="Q104" s="225">
        <f t="shared" si="10"/>
        <v>-1.1000000000000001</v>
      </c>
      <c r="R104" s="231">
        <v>2</v>
      </c>
      <c r="S104" s="231">
        <v>2</v>
      </c>
      <c r="T104" s="225">
        <v>18</v>
      </c>
      <c r="U104" s="566">
        <f t="shared" si="14"/>
        <v>0.56000000000000005</v>
      </c>
    </row>
    <row r="105" spans="1:21">
      <c r="A105" s="237"/>
      <c r="B105" s="243"/>
      <c r="C105" s="244"/>
      <c r="D105" s="244"/>
      <c r="E105" s="229" t="s">
        <v>1433</v>
      </c>
      <c r="F105" s="230">
        <v>867.19</v>
      </c>
      <c r="G105" s="230">
        <v>557</v>
      </c>
      <c r="H105" s="230">
        <v>557</v>
      </c>
      <c r="I105" s="231">
        <v>557</v>
      </c>
      <c r="J105" s="231">
        <v>506</v>
      </c>
      <c r="K105" s="230">
        <v>506</v>
      </c>
      <c r="L105" s="230">
        <v>506</v>
      </c>
      <c r="M105" s="230">
        <v>506</v>
      </c>
      <c r="N105" s="3" t="s">
        <v>2073</v>
      </c>
      <c r="O105" s="3"/>
      <c r="P105" s="225">
        <f t="shared" si="9"/>
        <v>-35.799999999999997</v>
      </c>
      <c r="Q105" s="225">
        <f t="shared" si="10"/>
        <v>-310.19000000000005</v>
      </c>
      <c r="R105" s="231">
        <v>557</v>
      </c>
      <c r="S105" s="231">
        <v>557</v>
      </c>
      <c r="T105" s="225">
        <v>18</v>
      </c>
      <c r="U105" s="566">
        <f t="shared" si="14"/>
        <v>156.09</v>
      </c>
    </row>
    <row r="106" spans="1:21">
      <c r="A106" s="226">
        <v>81</v>
      </c>
      <c r="B106" s="227" t="s">
        <v>2270</v>
      </c>
      <c r="C106" s="228" t="s">
        <v>2271</v>
      </c>
      <c r="D106" s="215" t="s">
        <v>2272</v>
      </c>
      <c r="E106" s="229" t="s">
        <v>1433</v>
      </c>
      <c r="F106" s="230">
        <v>300</v>
      </c>
      <c r="G106" s="230">
        <v>60</v>
      </c>
      <c r="H106" s="230">
        <v>60</v>
      </c>
      <c r="I106" s="230">
        <v>60</v>
      </c>
      <c r="J106" s="230">
        <v>60</v>
      </c>
      <c r="K106" s="230">
        <v>60</v>
      </c>
      <c r="L106" s="230">
        <v>60</v>
      </c>
      <c r="M106" s="230">
        <v>60</v>
      </c>
      <c r="N106" s="3" t="s">
        <v>2073</v>
      </c>
      <c r="O106" s="3"/>
      <c r="P106" s="225">
        <f t="shared" si="9"/>
        <v>-80</v>
      </c>
      <c r="Q106" s="225">
        <f t="shared" si="10"/>
        <v>-240</v>
      </c>
      <c r="R106" s="231">
        <v>60</v>
      </c>
      <c r="S106" s="231">
        <v>60</v>
      </c>
      <c r="T106" s="225">
        <v>18</v>
      </c>
      <c r="U106" s="566">
        <f t="shared" si="14"/>
        <v>54</v>
      </c>
    </row>
    <row r="107" spans="1:21" ht="25.5">
      <c r="A107" s="226">
        <v>82</v>
      </c>
      <c r="B107" s="227" t="s">
        <v>2273</v>
      </c>
      <c r="C107" s="228" t="s">
        <v>2274</v>
      </c>
      <c r="D107" s="229" t="s">
        <v>2275</v>
      </c>
      <c r="E107" s="229" t="s">
        <v>1433</v>
      </c>
      <c r="F107" s="230">
        <v>960</v>
      </c>
      <c r="G107" s="230">
        <v>650</v>
      </c>
      <c r="H107" s="230">
        <v>650</v>
      </c>
      <c r="I107" s="230">
        <v>650</v>
      </c>
      <c r="J107" s="230">
        <v>650</v>
      </c>
      <c r="K107" s="230">
        <v>650</v>
      </c>
      <c r="L107" s="230">
        <v>650</v>
      </c>
      <c r="M107" s="230">
        <v>650</v>
      </c>
      <c r="N107" s="3" t="s">
        <v>2073</v>
      </c>
      <c r="O107" s="3"/>
      <c r="P107" s="225">
        <f t="shared" si="9"/>
        <v>-32.299999999999997</v>
      </c>
      <c r="Q107" s="225">
        <f t="shared" si="10"/>
        <v>-310</v>
      </c>
      <c r="R107" s="231">
        <v>650</v>
      </c>
      <c r="S107" s="231">
        <v>650</v>
      </c>
      <c r="T107" s="225">
        <v>18</v>
      </c>
      <c r="U107" s="225">
        <f>ROUND(F107*T107%,2)</f>
        <v>172.8</v>
      </c>
    </row>
    <row r="108" spans="1:21">
      <c r="A108" s="226">
        <v>83</v>
      </c>
      <c r="B108" s="227" t="s">
        <v>2276</v>
      </c>
      <c r="C108" s="215"/>
      <c r="D108" s="19"/>
      <c r="E108" s="229" t="s">
        <v>1433</v>
      </c>
      <c r="F108" s="230">
        <v>1250.18</v>
      </c>
      <c r="G108" s="230">
        <v>128</v>
      </c>
      <c r="H108" s="230">
        <v>128</v>
      </c>
      <c r="I108" s="230">
        <v>128</v>
      </c>
      <c r="J108" s="230">
        <v>128</v>
      </c>
      <c r="K108" s="230">
        <v>128</v>
      </c>
      <c r="L108" s="230">
        <v>128</v>
      </c>
      <c r="M108" s="230">
        <v>128</v>
      </c>
      <c r="N108" s="3" t="s">
        <v>2073</v>
      </c>
      <c r="O108" s="3"/>
      <c r="P108" s="225">
        <f t="shared" si="9"/>
        <v>-89.8</v>
      </c>
      <c r="Q108" s="225">
        <f t="shared" si="10"/>
        <v>-1122.18</v>
      </c>
      <c r="R108" s="231">
        <v>128</v>
      </c>
      <c r="S108" s="231">
        <v>128</v>
      </c>
      <c r="T108" s="225">
        <v>18</v>
      </c>
      <c r="U108" s="566">
        <f t="shared" si="14"/>
        <v>225.03</v>
      </c>
    </row>
    <row r="109" spans="1:21">
      <c r="A109" s="226">
        <v>84</v>
      </c>
      <c r="B109" s="227" t="s">
        <v>2277</v>
      </c>
      <c r="C109" s="215"/>
      <c r="D109" s="19"/>
      <c r="E109" s="229" t="s">
        <v>1433</v>
      </c>
      <c r="F109" s="230">
        <v>500</v>
      </c>
      <c r="G109" s="230">
        <v>338</v>
      </c>
      <c r="H109" s="230">
        <v>338</v>
      </c>
      <c r="I109" s="230">
        <v>338</v>
      </c>
      <c r="J109" s="230">
        <v>338</v>
      </c>
      <c r="K109" s="230">
        <v>338</v>
      </c>
      <c r="L109" s="230">
        <v>338</v>
      </c>
      <c r="M109" s="230">
        <v>338</v>
      </c>
      <c r="N109" s="3" t="s">
        <v>2073</v>
      </c>
      <c r="O109" s="3"/>
      <c r="P109" s="225">
        <f t="shared" si="9"/>
        <v>-32.4</v>
      </c>
      <c r="Q109" s="225">
        <f t="shared" si="10"/>
        <v>-162</v>
      </c>
      <c r="R109" s="231">
        <v>338</v>
      </c>
      <c r="S109" s="231">
        <v>338</v>
      </c>
      <c r="T109" s="225">
        <v>18</v>
      </c>
      <c r="U109" s="566">
        <f t="shared" si="14"/>
        <v>90</v>
      </c>
    </row>
    <row r="110" spans="1:21">
      <c r="A110" s="226">
        <v>85</v>
      </c>
      <c r="B110" s="227" t="s">
        <v>2278</v>
      </c>
      <c r="C110" s="215"/>
      <c r="D110" s="19"/>
      <c r="E110" s="229" t="s">
        <v>1433</v>
      </c>
      <c r="F110" s="230">
        <v>160</v>
      </c>
      <c r="G110" s="230">
        <v>72</v>
      </c>
      <c r="H110" s="230">
        <v>72</v>
      </c>
      <c r="I110" s="230">
        <v>72</v>
      </c>
      <c r="J110" s="230">
        <v>72</v>
      </c>
      <c r="K110" s="230">
        <v>72</v>
      </c>
      <c r="L110" s="230">
        <v>72</v>
      </c>
      <c r="M110" s="230">
        <v>72</v>
      </c>
      <c r="N110" s="3" t="s">
        <v>2073</v>
      </c>
      <c r="O110" s="3"/>
      <c r="P110" s="225">
        <f t="shared" si="9"/>
        <v>-55</v>
      </c>
      <c r="Q110" s="225">
        <f>R110-F110</f>
        <v>-88</v>
      </c>
      <c r="R110" s="231">
        <v>72</v>
      </c>
      <c r="S110" s="231">
        <v>72</v>
      </c>
      <c r="T110" s="225">
        <v>18</v>
      </c>
      <c r="U110" s="566">
        <f t="shared" si="14"/>
        <v>28.8</v>
      </c>
    </row>
    <row r="111" spans="1:21">
      <c r="A111" s="226">
        <v>86</v>
      </c>
      <c r="B111" s="227" t="s">
        <v>2279</v>
      </c>
      <c r="C111" s="215"/>
      <c r="D111" s="19"/>
      <c r="E111" s="229" t="s">
        <v>1433</v>
      </c>
      <c r="F111" s="230">
        <v>47.61</v>
      </c>
      <c r="G111" s="230">
        <v>9</v>
      </c>
      <c r="H111" s="230">
        <v>9</v>
      </c>
      <c r="I111" s="231">
        <v>9</v>
      </c>
      <c r="J111" s="231">
        <v>8</v>
      </c>
      <c r="K111" s="230">
        <v>8</v>
      </c>
      <c r="L111" s="230">
        <v>8</v>
      </c>
      <c r="M111" s="230">
        <v>8</v>
      </c>
      <c r="N111" s="3" t="s">
        <v>2073</v>
      </c>
      <c r="O111" s="3"/>
      <c r="P111" s="225">
        <f>ROUND(Q111/F111*100,1)</f>
        <v>-81.099999999999994</v>
      </c>
      <c r="Q111" s="225">
        <f t="shared" si="10"/>
        <v>-38.61</v>
      </c>
      <c r="R111" s="231">
        <v>9</v>
      </c>
      <c r="S111" s="231">
        <v>9</v>
      </c>
      <c r="T111" s="225">
        <v>18</v>
      </c>
      <c r="U111" s="566">
        <f t="shared" si="14"/>
        <v>8.57</v>
      </c>
    </row>
    <row r="112" spans="1:21">
      <c r="A112" s="226">
        <v>87</v>
      </c>
      <c r="B112" s="227" t="s">
        <v>2280</v>
      </c>
      <c r="C112" s="215"/>
      <c r="D112" s="19"/>
      <c r="E112" s="229" t="s">
        <v>1433</v>
      </c>
      <c r="F112" s="230">
        <v>66.19</v>
      </c>
      <c r="G112" s="230">
        <v>13</v>
      </c>
      <c r="H112" s="230">
        <v>13</v>
      </c>
      <c r="I112" s="230">
        <v>13</v>
      </c>
      <c r="J112" s="230">
        <v>13</v>
      </c>
      <c r="K112" s="230">
        <v>13</v>
      </c>
      <c r="L112" s="230">
        <v>13</v>
      </c>
      <c r="M112" s="230">
        <v>13</v>
      </c>
      <c r="N112" s="3" t="s">
        <v>2073</v>
      </c>
      <c r="O112" s="3"/>
      <c r="P112" s="225">
        <f t="shared" si="9"/>
        <v>-80.400000000000006</v>
      </c>
      <c r="Q112" s="225">
        <f t="shared" si="10"/>
        <v>-53.19</v>
      </c>
      <c r="R112" s="231">
        <v>13</v>
      </c>
      <c r="S112" s="231">
        <v>13</v>
      </c>
      <c r="T112" s="225">
        <v>18</v>
      </c>
      <c r="U112" s="566">
        <f t="shared" si="14"/>
        <v>11.91</v>
      </c>
    </row>
    <row r="113" spans="1:21">
      <c r="A113" s="226">
        <v>88</v>
      </c>
      <c r="B113" s="227" t="s">
        <v>2281</v>
      </c>
      <c r="C113" s="215"/>
      <c r="D113" s="19"/>
      <c r="E113" s="229" t="s">
        <v>1433</v>
      </c>
      <c r="F113" s="230">
        <v>18.600000000000001</v>
      </c>
      <c r="G113" s="230">
        <v>5</v>
      </c>
      <c r="H113" s="230">
        <v>5</v>
      </c>
      <c r="I113" s="230">
        <v>5</v>
      </c>
      <c r="J113" s="230">
        <v>5</v>
      </c>
      <c r="K113" s="230">
        <v>5</v>
      </c>
      <c r="L113" s="230">
        <v>5</v>
      </c>
      <c r="M113" s="230">
        <v>5</v>
      </c>
      <c r="N113" s="3" t="s">
        <v>2073</v>
      </c>
      <c r="O113" s="3"/>
      <c r="P113" s="225">
        <f t="shared" si="9"/>
        <v>-73.099999999999994</v>
      </c>
      <c r="Q113" s="225">
        <f t="shared" si="10"/>
        <v>-13.600000000000001</v>
      </c>
      <c r="R113" s="231">
        <v>5</v>
      </c>
      <c r="S113" s="231">
        <v>5</v>
      </c>
      <c r="T113" s="225">
        <v>18</v>
      </c>
      <c r="U113" s="566">
        <f t="shared" si="14"/>
        <v>3.35</v>
      </c>
    </row>
  </sheetData>
  <mergeCells count="142">
    <mergeCell ref="Q86:Q87"/>
    <mergeCell ref="R86:R87"/>
    <mergeCell ref="S86:S87"/>
    <mergeCell ref="T86:T87"/>
    <mergeCell ref="T50:T51"/>
    <mergeCell ref="C65:C66"/>
    <mergeCell ref="C86:C87"/>
    <mergeCell ref="F86:F87"/>
    <mergeCell ref="G86:G87"/>
    <mergeCell ref="H86:H87"/>
    <mergeCell ref="I86:I87"/>
    <mergeCell ref="J86:J87"/>
    <mergeCell ref="K86:K87"/>
    <mergeCell ref="L86:L87"/>
    <mergeCell ref="L50:L51"/>
    <mergeCell ref="M50:M51"/>
    <mergeCell ref="P50:P51"/>
    <mergeCell ref="Q50:Q51"/>
    <mergeCell ref="R50:R51"/>
    <mergeCell ref="S50:S51"/>
    <mergeCell ref="F50:F51"/>
    <mergeCell ref="G50:G51"/>
    <mergeCell ref="H50:H51"/>
    <mergeCell ref="I50:I51"/>
    <mergeCell ref="J50:J51"/>
    <mergeCell ref="K50:K51"/>
    <mergeCell ref="B91:B92"/>
    <mergeCell ref="M86:M87"/>
    <mergeCell ref="P86:P87"/>
    <mergeCell ref="T25:T27"/>
    <mergeCell ref="F28:F29"/>
    <mergeCell ref="G28:G29"/>
    <mergeCell ref="H28:H29"/>
    <mergeCell ref="I28:I29"/>
    <mergeCell ref="J28:J29"/>
    <mergeCell ref="K28:K29"/>
    <mergeCell ref="L28:L29"/>
    <mergeCell ref="M28:M29"/>
    <mergeCell ref="P28:P29"/>
    <mergeCell ref="L25:L27"/>
    <mergeCell ref="M25:M27"/>
    <mergeCell ref="P25:P27"/>
    <mergeCell ref="Q25:Q27"/>
    <mergeCell ref="R25:R27"/>
    <mergeCell ref="S25:S27"/>
    <mergeCell ref="Q28:Q29"/>
    <mergeCell ref="R28:R29"/>
    <mergeCell ref="S28:S29"/>
    <mergeCell ref="T28:T29"/>
    <mergeCell ref="C22:C24"/>
    <mergeCell ref="D22:D24"/>
    <mergeCell ref="F25:F27"/>
    <mergeCell ref="G25:G27"/>
    <mergeCell ref="H25:H27"/>
    <mergeCell ref="I25:I27"/>
    <mergeCell ref="J25:J27"/>
    <mergeCell ref="K25:K27"/>
    <mergeCell ref="K20:K21"/>
    <mergeCell ref="P16:P18"/>
    <mergeCell ref="Q16:Q18"/>
    <mergeCell ref="R16:R18"/>
    <mergeCell ref="S16:S18"/>
    <mergeCell ref="T16:T18"/>
    <mergeCell ref="F20:F21"/>
    <mergeCell ref="G20:G21"/>
    <mergeCell ref="H20:H21"/>
    <mergeCell ref="I20:I21"/>
    <mergeCell ref="J20:J21"/>
    <mergeCell ref="S20:S21"/>
    <mergeCell ref="T20:T21"/>
    <mergeCell ref="L20:L21"/>
    <mergeCell ref="M20:M21"/>
    <mergeCell ref="P20:P21"/>
    <mergeCell ref="Q20:Q21"/>
    <mergeCell ref="R20:R21"/>
    <mergeCell ref="F16:F18"/>
    <mergeCell ref="G16:G18"/>
    <mergeCell ref="H16:H18"/>
    <mergeCell ref="I16:I18"/>
    <mergeCell ref="J16:J18"/>
    <mergeCell ref="K16:K18"/>
    <mergeCell ref="L16:L18"/>
    <mergeCell ref="M16:M18"/>
    <mergeCell ref="K11:K14"/>
    <mergeCell ref="L11:L14"/>
    <mergeCell ref="M11:M14"/>
    <mergeCell ref="P8:P10"/>
    <mergeCell ref="Q8:Q10"/>
    <mergeCell ref="R8:R10"/>
    <mergeCell ref="S8:S10"/>
    <mergeCell ref="T8:T10"/>
    <mergeCell ref="F11:F14"/>
    <mergeCell ref="G11:G14"/>
    <mergeCell ref="H11:H14"/>
    <mergeCell ref="I11:I14"/>
    <mergeCell ref="J11:J14"/>
    <mergeCell ref="S11:S14"/>
    <mergeCell ref="T11:T14"/>
    <mergeCell ref="P11:P14"/>
    <mergeCell ref="Q11:Q14"/>
    <mergeCell ref="R11:R14"/>
    <mergeCell ref="F8:F10"/>
    <mergeCell ref="G8:G10"/>
    <mergeCell ref="H8:H10"/>
    <mergeCell ref="I8:I10"/>
    <mergeCell ref="J8:J10"/>
    <mergeCell ref="K8:K10"/>
    <mergeCell ref="L8:L10"/>
    <mergeCell ref="M8:M10"/>
    <mergeCell ref="S5:S7"/>
    <mergeCell ref="T5:T7"/>
    <mergeCell ref="P5:P7"/>
    <mergeCell ref="Q5:Q7"/>
    <mergeCell ref="R5:R7"/>
    <mergeCell ref="A1:F1"/>
    <mergeCell ref="A3:A4"/>
    <mergeCell ref="B3:C3"/>
    <mergeCell ref="D3:D4"/>
    <mergeCell ref="E3:F3"/>
    <mergeCell ref="H3:H4"/>
    <mergeCell ref="I3:I4"/>
    <mergeCell ref="J3:J4"/>
    <mergeCell ref="K3:K4"/>
    <mergeCell ref="K5:K7"/>
    <mergeCell ref="L5:L7"/>
    <mergeCell ref="M5:M7"/>
    <mergeCell ref="L3:L4"/>
    <mergeCell ref="M3:M4"/>
    <mergeCell ref="F5:F7"/>
    <mergeCell ref="G5:G7"/>
    <mergeCell ref="H5:H7"/>
    <mergeCell ref="I5:I7"/>
    <mergeCell ref="J5:J7"/>
    <mergeCell ref="U5:U7"/>
    <mergeCell ref="U8:U10"/>
    <mergeCell ref="U11:U14"/>
    <mergeCell ref="U16:U18"/>
    <mergeCell ref="U20:U21"/>
    <mergeCell ref="U25:U27"/>
    <mergeCell ref="U28:U29"/>
    <mergeCell ref="U50:U51"/>
    <mergeCell ref="U86:U87"/>
  </mergeCells>
  <pageMargins left="0.46" right="7.874015748031496E-2" top="0.19685039370078741" bottom="0.23622047244094491" header="0.23622047244094491" footer="0.27559055118110237"/>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sheetPr>
    <tabColor theme="1"/>
  </sheetPr>
  <dimension ref="A1:T6976"/>
  <sheetViews>
    <sheetView view="pageBreakPreview" zoomScaleSheetLayoutView="100" workbookViewId="0">
      <pane ySplit="12" topLeftCell="A900" activePane="bottomLeft" state="frozen"/>
      <selection pane="bottomLeft" activeCell="O912" sqref="O912"/>
    </sheetView>
  </sheetViews>
  <sheetFormatPr defaultColWidth="9.140625" defaultRowHeight="12.75"/>
  <cols>
    <col min="1" max="1" width="5.140625" style="697" customWidth="1"/>
    <col min="2" max="2" width="43.5703125" style="698" customWidth="1"/>
    <col min="3" max="3" width="4.7109375" style="707" customWidth="1"/>
    <col min="4" max="4" width="5" style="708" customWidth="1"/>
    <col min="5" max="5" width="6.5703125" style="691" customWidth="1"/>
    <col min="6" max="6" width="6.5703125" style="708" customWidth="1"/>
    <col min="7" max="8" width="6.5703125" style="691" customWidth="1"/>
    <col min="9" max="9" width="4.5703125" style="691" customWidth="1"/>
    <col min="10" max="10" width="9" style="691" customWidth="1"/>
    <col min="11" max="11" width="5.42578125" style="691" customWidth="1"/>
    <col min="12" max="12" width="12.28515625" style="691" customWidth="1"/>
    <col min="13" max="13" width="10.140625" style="691" customWidth="1"/>
    <col min="14" max="15" width="9.140625" style="691"/>
    <col min="16" max="16" width="13.85546875" style="691" customWidth="1"/>
    <col min="17" max="256" width="9.140625" style="691"/>
    <col min="257" max="257" width="5.140625" style="691" customWidth="1"/>
    <col min="258" max="258" width="59.85546875" style="691" customWidth="1"/>
    <col min="259" max="259" width="4.7109375" style="691" customWidth="1"/>
    <col min="260" max="260" width="6.5703125" style="691" customWidth="1"/>
    <col min="261" max="263" width="8.7109375" style="691" customWidth="1"/>
    <col min="264" max="264" width="10.28515625" style="691" customWidth="1"/>
    <col min="265" max="265" width="5.5703125" style="691" customWidth="1"/>
    <col min="266" max="512" width="9.140625" style="691"/>
    <col min="513" max="513" width="5.140625" style="691" customWidth="1"/>
    <col min="514" max="514" width="59.85546875" style="691" customWidth="1"/>
    <col min="515" max="515" width="4.7109375" style="691" customWidth="1"/>
    <col min="516" max="516" width="6.5703125" style="691" customWidth="1"/>
    <col min="517" max="519" width="8.7109375" style="691" customWidth="1"/>
    <col min="520" max="520" width="10.28515625" style="691" customWidth="1"/>
    <col min="521" max="521" width="5.5703125" style="691" customWidth="1"/>
    <col min="522" max="768" width="9.140625" style="691"/>
    <col min="769" max="769" width="5.140625" style="691" customWidth="1"/>
    <col min="770" max="770" width="59.85546875" style="691" customWidth="1"/>
    <col min="771" max="771" width="4.7109375" style="691" customWidth="1"/>
    <col min="772" max="772" width="6.5703125" style="691" customWidth="1"/>
    <col min="773" max="775" width="8.7109375" style="691" customWidth="1"/>
    <col min="776" max="776" width="10.28515625" style="691" customWidth="1"/>
    <col min="777" max="777" width="5.5703125" style="691" customWidth="1"/>
    <col min="778" max="1024" width="9.140625" style="691"/>
    <col min="1025" max="1025" width="5.140625" style="691" customWidth="1"/>
    <col min="1026" max="1026" width="59.85546875" style="691" customWidth="1"/>
    <col min="1027" max="1027" width="4.7109375" style="691" customWidth="1"/>
    <col min="1028" max="1028" width="6.5703125" style="691" customWidth="1"/>
    <col min="1029" max="1031" width="8.7109375" style="691" customWidth="1"/>
    <col min="1032" max="1032" width="10.28515625" style="691" customWidth="1"/>
    <col min="1033" max="1033" width="5.5703125" style="691" customWidth="1"/>
    <col min="1034" max="1280" width="9.140625" style="691"/>
    <col min="1281" max="1281" width="5.140625" style="691" customWidth="1"/>
    <col min="1282" max="1282" width="59.85546875" style="691" customWidth="1"/>
    <col min="1283" max="1283" width="4.7109375" style="691" customWidth="1"/>
    <col min="1284" max="1284" width="6.5703125" style="691" customWidth="1"/>
    <col min="1285" max="1287" width="8.7109375" style="691" customWidth="1"/>
    <col min="1288" max="1288" width="10.28515625" style="691" customWidth="1"/>
    <col min="1289" max="1289" width="5.5703125" style="691" customWidth="1"/>
    <col min="1290" max="1536" width="9.140625" style="691"/>
    <col min="1537" max="1537" width="5.140625" style="691" customWidth="1"/>
    <col min="1538" max="1538" width="59.85546875" style="691" customWidth="1"/>
    <col min="1539" max="1539" width="4.7109375" style="691" customWidth="1"/>
    <col min="1540" max="1540" width="6.5703125" style="691" customWidth="1"/>
    <col min="1541" max="1543" width="8.7109375" style="691" customWidth="1"/>
    <col min="1544" max="1544" width="10.28515625" style="691" customWidth="1"/>
    <col min="1545" max="1545" width="5.5703125" style="691" customWidth="1"/>
    <col min="1546" max="1792" width="9.140625" style="691"/>
    <col min="1793" max="1793" width="5.140625" style="691" customWidth="1"/>
    <col min="1794" max="1794" width="59.85546875" style="691" customWidth="1"/>
    <col min="1795" max="1795" width="4.7109375" style="691" customWidth="1"/>
    <col min="1796" max="1796" width="6.5703125" style="691" customWidth="1"/>
    <col min="1797" max="1799" width="8.7109375" style="691" customWidth="1"/>
    <col min="1800" max="1800" width="10.28515625" style="691" customWidth="1"/>
    <col min="1801" max="1801" width="5.5703125" style="691" customWidth="1"/>
    <col min="1802" max="2048" width="9.140625" style="691"/>
    <col min="2049" max="2049" width="5.140625" style="691" customWidth="1"/>
    <col min="2050" max="2050" width="59.85546875" style="691" customWidth="1"/>
    <col min="2051" max="2051" width="4.7109375" style="691" customWidth="1"/>
    <col min="2052" max="2052" width="6.5703125" style="691" customWidth="1"/>
    <col min="2053" max="2055" width="8.7109375" style="691" customWidth="1"/>
    <col min="2056" max="2056" width="10.28515625" style="691" customWidth="1"/>
    <col min="2057" max="2057" width="5.5703125" style="691" customWidth="1"/>
    <col min="2058" max="2304" width="9.140625" style="691"/>
    <col min="2305" max="2305" width="5.140625" style="691" customWidth="1"/>
    <col min="2306" max="2306" width="59.85546875" style="691" customWidth="1"/>
    <col min="2307" max="2307" width="4.7109375" style="691" customWidth="1"/>
    <col min="2308" max="2308" width="6.5703125" style="691" customWidth="1"/>
    <col min="2309" max="2311" width="8.7109375" style="691" customWidth="1"/>
    <col min="2312" max="2312" width="10.28515625" style="691" customWidth="1"/>
    <col min="2313" max="2313" width="5.5703125" style="691" customWidth="1"/>
    <col min="2314" max="2560" width="9.140625" style="691"/>
    <col min="2561" max="2561" width="5.140625" style="691" customWidth="1"/>
    <col min="2562" max="2562" width="59.85546875" style="691" customWidth="1"/>
    <col min="2563" max="2563" width="4.7109375" style="691" customWidth="1"/>
    <col min="2564" max="2564" width="6.5703125" style="691" customWidth="1"/>
    <col min="2565" max="2567" width="8.7109375" style="691" customWidth="1"/>
    <col min="2568" max="2568" width="10.28515625" style="691" customWidth="1"/>
    <col min="2569" max="2569" width="5.5703125" style="691" customWidth="1"/>
    <col min="2570" max="2816" width="9.140625" style="691"/>
    <col min="2817" max="2817" width="5.140625" style="691" customWidth="1"/>
    <col min="2818" max="2818" width="59.85546875" style="691" customWidth="1"/>
    <col min="2819" max="2819" width="4.7109375" style="691" customWidth="1"/>
    <col min="2820" max="2820" width="6.5703125" style="691" customWidth="1"/>
    <col min="2821" max="2823" width="8.7109375" style="691" customWidth="1"/>
    <col min="2824" max="2824" width="10.28515625" style="691" customWidth="1"/>
    <col min="2825" max="2825" width="5.5703125" style="691" customWidth="1"/>
    <col min="2826" max="3072" width="9.140625" style="691"/>
    <col min="3073" max="3073" width="5.140625" style="691" customWidth="1"/>
    <col min="3074" max="3074" width="59.85546875" style="691" customWidth="1"/>
    <col min="3075" max="3075" width="4.7109375" style="691" customWidth="1"/>
    <col min="3076" max="3076" width="6.5703125" style="691" customWidth="1"/>
    <col min="3077" max="3079" width="8.7109375" style="691" customWidth="1"/>
    <col min="3080" max="3080" width="10.28515625" style="691" customWidth="1"/>
    <col min="3081" max="3081" width="5.5703125" style="691" customWidth="1"/>
    <col min="3082" max="3328" width="9.140625" style="691"/>
    <col min="3329" max="3329" width="5.140625" style="691" customWidth="1"/>
    <col min="3330" max="3330" width="59.85546875" style="691" customWidth="1"/>
    <col min="3331" max="3331" width="4.7109375" style="691" customWidth="1"/>
    <col min="3332" max="3332" width="6.5703125" style="691" customWidth="1"/>
    <col min="3333" max="3335" width="8.7109375" style="691" customWidth="1"/>
    <col min="3336" max="3336" width="10.28515625" style="691" customWidth="1"/>
    <col min="3337" max="3337" width="5.5703125" style="691" customWidth="1"/>
    <col min="3338" max="3584" width="9.140625" style="691"/>
    <col min="3585" max="3585" width="5.140625" style="691" customWidth="1"/>
    <col min="3586" max="3586" width="59.85546875" style="691" customWidth="1"/>
    <col min="3587" max="3587" width="4.7109375" style="691" customWidth="1"/>
    <col min="3588" max="3588" width="6.5703125" style="691" customWidth="1"/>
    <col min="3589" max="3591" width="8.7109375" style="691" customWidth="1"/>
    <col min="3592" max="3592" width="10.28515625" style="691" customWidth="1"/>
    <col min="3593" max="3593" width="5.5703125" style="691" customWidth="1"/>
    <col min="3594" max="3840" width="9.140625" style="691"/>
    <col min="3841" max="3841" width="5.140625" style="691" customWidth="1"/>
    <col min="3842" max="3842" width="59.85546875" style="691" customWidth="1"/>
    <col min="3843" max="3843" width="4.7109375" style="691" customWidth="1"/>
    <col min="3844" max="3844" width="6.5703125" style="691" customWidth="1"/>
    <col min="3845" max="3847" width="8.7109375" style="691" customWidth="1"/>
    <col min="3848" max="3848" width="10.28515625" style="691" customWidth="1"/>
    <col min="3849" max="3849" width="5.5703125" style="691" customWidth="1"/>
    <col min="3850" max="4096" width="9.140625" style="691"/>
    <col min="4097" max="4097" width="5.140625" style="691" customWidth="1"/>
    <col min="4098" max="4098" width="59.85546875" style="691" customWidth="1"/>
    <col min="4099" max="4099" width="4.7109375" style="691" customWidth="1"/>
    <col min="4100" max="4100" width="6.5703125" style="691" customWidth="1"/>
    <col min="4101" max="4103" width="8.7109375" style="691" customWidth="1"/>
    <col min="4104" max="4104" width="10.28515625" style="691" customWidth="1"/>
    <col min="4105" max="4105" width="5.5703125" style="691" customWidth="1"/>
    <col min="4106" max="4352" width="9.140625" style="691"/>
    <col min="4353" max="4353" width="5.140625" style="691" customWidth="1"/>
    <col min="4354" max="4354" width="59.85546875" style="691" customWidth="1"/>
    <col min="4355" max="4355" width="4.7109375" style="691" customWidth="1"/>
    <col min="4356" max="4356" width="6.5703125" style="691" customWidth="1"/>
    <col min="4357" max="4359" width="8.7109375" style="691" customWidth="1"/>
    <col min="4360" max="4360" width="10.28515625" style="691" customWidth="1"/>
    <col min="4361" max="4361" width="5.5703125" style="691" customWidth="1"/>
    <col min="4362" max="4608" width="9.140625" style="691"/>
    <col min="4609" max="4609" width="5.140625" style="691" customWidth="1"/>
    <col min="4610" max="4610" width="59.85546875" style="691" customWidth="1"/>
    <col min="4611" max="4611" width="4.7109375" style="691" customWidth="1"/>
    <col min="4612" max="4612" width="6.5703125" style="691" customWidth="1"/>
    <col min="4613" max="4615" width="8.7109375" style="691" customWidth="1"/>
    <col min="4616" max="4616" width="10.28515625" style="691" customWidth="1"/>
    <col min="4617" max="4617" width="5.5703125" style="691" customWidth="1"/>
    <col min="4618" max="4864" width="9.140625" style="691"/>
    <col min="4865" max="4865" width="5.140625" style="691" customWidth="1"/>
    <col min="4866" max="4866" width="59.85546875" style="691" customWidth="1"/>
    <col min="4867" max="4867" width="4.7109375" style="691" customWidth="1"/>
    <col min="4868" max="4868" width="6.5703125" style="691" customWidth="1"/>
    <col min="4869" max="4871" width="8.7109375" style="691" customWidth="1"/>
    <col min="4872" max="4872" width="10.28515625" style="691" customWidth="1"/>
    <col min="4873" max="4873" width="5.5703125" style="691" customWidth="1"/>
    <col min="4874" max="5120" width="9.140625" style="691"/>
    <col min="5121" max="5121" width="5.140625" style="691" customWidth="1"/>
    <col min="5122" max="5122" width="59.85546875" style="691" customWidth="1"/>
    <col min="5123" max="5123" width="4.7109375" style="691" customWidth="1"/>
    <col min="5124" max="5124" width="6.5703125" style="691" customWidth="1"/>
    <col min="5125" max="5127" width="8.7109375" style="691" customWidth="1"/>
    <col min="5128" max="5128" width="10.28515625" style="691" customWidth="1"/>
    <col min="5129" max="5129" width="5.5703125" style="691" customWidth="1"/>
    <col min="5130" max="5376" width="9.140625" style="691"/>
    <col min="5377" max="5377" width="5.140625" style="691" customWidth="1"/>
    <col min="5378" max="5378" width="59.85546875" style="691" customWidth="1"/>
    <col min="5379" max="5379" width="4.7109375" style="691" customWidth="1"/>
    <col min="5380" max="5380" width="6.5703125" style="691" customWidth="1"/>
    <col min="5381" max="5383" width="8.7109375" style="691" customWidth="1"/>
    <col min="5384" max="5384" width="10.28515625" style="691" customWidth="1"/>
    <col min="5385" max="5385" width="5.5703125" style="691" customWidth="1"/>
    <col min="5386" max="5632" width="9.140625" style="691"/>
    <col min="5633" max="5633" width="5.140625" style="691" customWidth="1"/>
    <col min="5634" max="5634" width="59.85546875" style="691" customWidth="1"/>
    <col min="5635" max="5635" width="4.7109375" style="691" customWidth="1"/>
    <col min="5636" max="5636" width="6.5703125" style="691" customWidth="1"/>
    <col min="5637" max="5639" width="8.7109375" style="691" customWidth="1"/>
    <col min="5640" max="5640" width="10.28515625" style="691" customWidth="1"/>
    <col min="5641" max="5641" width="5.5703125" style="691" customWidth="1"/>
    <col min="5642" max="5888" width="9.140625" style="691"/>
    <col min="5889" max="5889" width="5.140625" style="691" customWidth="1"/>
    <col min="5890" max="5890" width="59.85546875" style="691" customWidth="1"/>
    <col min="5891" max="5891" width="4.7109375" style="691" customWidth="1"/>
    <col min="5892" max="5892" width="6.5703125" style="691" customWidth="1"/>
    <col min="5893" max="5895" width="8.7109375" style="691" customWidth="1"/>
    <col min="5896" max="5896" width="10.28515625" style="691" customWidth="1"/>
    <col min="5897" max="5897" width="5.5703125" style="691" customWidth="1"/>
    <col min="5898" max="6144" width="9.140625" style="691"/>
    <col min="6145" max="6145" width="5.140625" style="691" customWidth="1"/>
    <col min="6146" max="6146" width="59.85546875" style="691" customWidth="1"/>
    <col min="6147" max="6147" width="4.7109375" style="691" customWidth="1"/>
    <col min="6148" max="6148" width="6.5703125" style="691" customWidth="1"/>
    <col min="6149" max="6151" width="8.7109375" style="691" customWidth="1"/>
    <col min="6152" max="6152" width="10.28515625" style="691" customWidth="1"/>
    <col min="6153" max="6153" width="5.5703125" style="691" customWidth="1"/>
    <col min="6154" max="6400" width="9.140625" style="691"/>
    <col min="6401" max="6401" width="5.140625" style="691" customWidth="1"/>
    <col min="6402" max="6402" width="59.85546875" style="691" customWidth="1"/>
    <col min="6403" max="6403" width="4.7109375" style="691" customWidth="1"/>
    <col min="6404" max="6404" width="6.5703125" style="691" customWidth="1"/>
    <col min="6405" max="6407" width="8.7109375" style="691" customWidth="1"/>
    <col min="6408" max="6408" width="10.28515625" style="691" customWidth="1"/>
    <col min="6409" max="6409" width="5.5703125" style="691" customWidth="1"/>
    <col min="6410" max="6656" width="9.140625" style="691"/>
    <col min="6657" max="6657" width="5.140625" style="691" customWidth="1"/>
    <col min="6658" max="6658" width="59.85546875" style="691" customWidth="1"/>
    <col min="6659" max="6659" width="4.7109375" style="691" customWidth="1"/>
    <col min="6660" max="6660" width="6.5703125" style="691" customWidth="1"/>
    <col min="6661" max="6663" width="8.7109375" style="691" customWidth="1"/>
    <col min="6664" max="6664" width="10.28515625" style="691" customWidth="1"/>
    <col min="6665" max="6665" width="5.5703125" style="691" customWidth="1"/>
    <col min="6666" max="6912" width="9.140625" style="691"/>
    <col min="6913" max="6913" width="5.140625" style="691" customWidth="1"/>
    <col min="6914" max="6914" width="59.85546875" style="691" customWidth="1"/>
    <col min="6915" max="6915" width="4.7109375" style="691" customWidth="1"/>
    <col min="6916" max="6916" width="6.5703125" style="691" customWidth="1"/>
    <col min="6917" max="6919" width="8.7109375" style="691" customWidth="1"/>
    <col min="6920" max="6920" width="10.28515625" style="691" customWidth="1"/>
    <col min="6921" max="6921" width="5.5703125" style="691" customWidth="1"/>
    <col min="6922" max="7168" width="9.140625" style="691"/>
    <col min="7169" max="7169" width="5.140625" style="691" customWidth="1"/>
    <col min="7170" max="7170" width="59.85546875" style="691" customWidth="1"/>
    <col min="7171" max="7171" width="4.7109375" style="691" customWidth="1"/>
    <col min="7172" max="7172" width="6.5703125" style="691" customWidth="1"/>
    <col min="7173" max="7175" width="8.7109375" style="691" customWidth="1"/>
    <col min="7176" max="7176" width="10.28515625" style="691" customWidth="1"/>
    <col min="7177" max="7177" width="5.5703125" style="691" customWidth="1"/>
    <col min="7178" max="7424" width="9.140625" style="691"/>
    <col min="7425" max="7425" width="5.140625" style="691" customWidth="1"/>
    <col min="7426" max="7426" width="59.85546875" style="691" customWidth="1"/>
    <col min="7427" max="7427" width="4.7109375" style="691" customWidth="1"/>
    <col min="7428" max="7428" width="6.5703125" style="691" customWidth="1"/>
    <col min="7429" max="7431" width="8.7109375" style="691" customWidth="1"/>
    <col min="7432" max="7432" width="10.28515625" style="691" customWidth="1"/>
    <col min="7433" max="7433" width="5.5703125" style="691" customWidth="1"/>
    <col min="7434" max="7680" width="9.140625" style="691"/>
    <col min="7681" max="7681" width="5.140625" style="691" customWidth="1"/>
    <col min="7682" max="7682" width="59.85546875" style="691" customWidth="1"/>
    <col min="7683" max="7683" width="4.7109375" style="691" customWidth="1"/>
    <col min="7684" max="7684" width="6.5703125" style="691" customWidth="1"/>
    <col min="7685" max="7687" width="8.7109375" style="691" customWidth="1"/>
    <col min="7688" max="7688" width="10.28515625" style="691" customWidth="1"/>
    <col min="7689" max="7689" width="5.5703125" style="691" customWidth="1"/>
    <col min="7690" max="7936" width="9.140625" style="691"/>
    <col min="7937" max="7937" width="5.140625" style="691" customWidth="1"/>
    <col min="7938" max="7938" width="59.85546875" style="691" customWidth="1"/>
    <col min="7939" max="7939" width="4.7109375" style="691" customWidth="1"/>
    <col min="7940" max="7940" width="6.5703125" style="691" customWidth="1"/>
    <col min="7941" max="7943" width="8.7109375" style="691" customWidth="1"/>
    <col min="7944" max="7944" width="10.28515625" style="691" customWidth="1"/>
    <col min="7945" max="7945" width="5.5703125" style="691" customWidth="1"/>
    <col min="7946" max="8192" width="9.140625" style="691"/>
    <col min="8193" max="8193" width="5.140625" style="691" customWidth="1"/>
    <col min="8194" max="8194" width="59.85546875" style="691" customWidth="1"/>
    <col min="8195" max="8195" width="4.7109375" style="691" customWidth="1"/>
    <col min="8196" max="8196" width="6.5703125" style="691" customWidth="1"/>
    <col min="8197" max="8199" width="8.7109375" style="691" customWidth="1"/>
    <col min="8200" max="8200" width="10.28515625" style="691" customWidth="1"/>
    <col min="8201" max="8201" width="5.5703125" style="691" customWidth="1"/>
    <col min="8202" max="8448" width="9.140625" style="691"/>
    <col min="8449" max="8449" width="5.140625" style="691" customWidth="1"/>
    <col min="8450" max="8450" width="59.85546875" style="691" customWidth="1"/>
    <col min="8451" max="8451" width="4.7109375" style="691" customWidth="1"/>
    <col min="8452" max="8452" width="6.5703125" style="691" customWidth="1"/>
    <col min="8453" max="8455" width="8.7109375" style="691" customWidth="1"/>
    <col min="8456" max="8456" width="10.28515625" style="691" customWidth="1"/>
    <col min="8457" max="8457" width="5.5703125" style="691" customWidth="1"/>
    <col min="8458" max="8704" width="9.140625" style="691"/>
    <col min="8705" max="8705" width="5.140625" style="691" customWidth="1"/>
    <col min="8706" max="8706" width="59.85546875" style="691" customWidth="1"/>
    <col min="8707" max="8707" width="4.7109375" style="691" customWidth="1"/>
    <col min="8708" max="8708" width="6.5703125" style="691" customWidth="1"/>
    <col min="8709" max="8711" width="8.7109375" style="691" customWidth="1"/>
    <col min="8712" max="8712" width="10.28515625" style="691" customWidth="1"/>
    <col min="8713" max="8713" width="5.5703125" style="691" customWidth="1"/>
    <col min="8714" max="8960" width="9.140625" style="691"/>
    <col min="8961" max="8961" width="5.140625" style="691" customWidth="1"/>
    <col min="8962" max="8962" width="59.85546875" style="691" customWidth="1"/>
    <col min="8963" max="8963" width="4.7109375" style="691" customWidth="1"/>
    <col min="8964" max="8964" width="6.5703125" style="691" customWidth="1"/>
    <col min="8965" max="8967" width="8.7109375" style="691" customWidth="1"/>
    <col min="8968" max="8968" width="10.28515625" style="691" customWidth="1"/>
    <col min="8969" max="8969" width="5.5703125" style="691" customWidth="1"/>
    <col min="8970" max="9216" width="9.140625" style="691"/>
    <col min="9217" max="9217" width="5.140625" style="691" customWidth="1"/>
    <col min="9218" max="9218" width="59.85546875" style="691" customWidth="1"/>
    <col min="9219" max="9219" width="4.7109375" style="691" customWidth="1"/>
    <col min="9220" max="9220" width="6.5703125" style="691" customWidth="1"/>
    <col min="9221" max="9223" width="8.7109375" style="691" customWidth="1"/>
    <col min="9224" max="9224" width="10.28515625" style="691" customWidth="1"/>
    <col min="9225" max="9225" width="5.5703125" style="691" customWidth="1"/>
    <col min="9226" max="9472" width="9.140625" style="691"/>
    <col min="9473" max="9473" width="5.140625" style="691" customWidth="1"/>
    <col min="9474" max="9474" width="59.85546875" style="691" customWidth="1"/>
    <col min="9475" max="9475" width="4.7109375" style="691" customWidth="1"/>
    <col min="9476" max="9476" width="6.5703125" style="691" customWidth="1"/>
    <col min="9477" max="9479" width="8.7109375" style="691" customWidth="1"/>
    <col min="9480" max="9480" width="10.28515625" style="691" customWidth="1"/>
    <col min="9481" max="9481" width="5.5703125" style="691" customWidth="1"/>
    <col min="9482" max="9728" width="9.140625" style="691"/>
    <col min="9729" max="9729" width="5.140625" style="691" customWidth="1"/>
    <col min="9730" max="9730" width="59.85546875" style="691" customWidth="1"/>
    <col min="9731" max="9731" width="4.7109375" style="691" customWidth="1"/>
    <col min="9732" max="9732" width="6.5703125" style="691" customWidth="1"/>
    <col min="9733" max="9735" width="8.7109375" style="691" customWidth="1"/>
    <col min="9736" max="9736" width="10.28515625" style="691" customWidth="1"/>
    <col min="9737" max="9737" width="5.5703125" style="691" customWidth="1"/>
    <col min="9738" max="9984" width="9.140625" style="691"/>
    <col min="9985" max="9985" width="5.140625" style="691" customWidth="1"/>
    <col min="9986" max="9986" width="59.85546875" style="691" customWidth="1"/>
    <col min="9987" max="9987" width="4.7109375" style="691" customWidth="1"/>
    <col min="9988" max="9988" width="6.5703125" style="691" customWidth="1"/>
    <col min="9989" max="9991" width="8.7109375" style="691" customWidth="1"/>
    <col min="9992" max="9992" width="10.28515625" style="691" customWidth="1"/>
    <col min="9993" max="9993" width="5.5703125" style="691" customWidth="1"/>
    <col min="9994" max="10240" width="9.140625" style="691"/>
    <col min="10241" max="10241" width="5.140625" style="691" customWidth="1"/>
    <col min="10242" max="10242" width="59.85546875" style="691" customWidth="1"/>
    <col min="10243" max="10243" width="4.7109375" style="691" customWidth="1"/>
    <col min="10244" max="10244" width="6.5703125" style="691" customWidth="1"/>
    <col min="10245" max="10247" width="8.7109375" style="691" customWidth="1"/>
    <col min="10248" max="10248" width="10.28515625" style="691" customWidth="1"/>
    <col min="10249" max="10249" width="5.5703125" style="691" customWidth="1"/>
    <col min="10250" max="10496" width="9.140625" style="691"/>
    <col min="10497" max="10497" width="5.140625" style="691" customWidth="1"/>
    <col min="10498" max="10498" width="59.85546875" style="691" customWidth="1"/>
    <col min="10499" max="10499" width="4.7109375" style="691" customWidth="1"/>
    <col min="10500" max="10500" width="6.5703125" style="691" customWidth="1"/>
    <col min="10501" max="10503" width="8.7109375" style="691" customWidth="1"/>
    <col min="10504" max="10504" width="10.28515625" style="691" customWidth="1"/>
    <col min="10505" max="10505" width="5.5703125" style="691" customWidth="1"/>
    <col min="10506" max="10752" width="9.140625" style="691"/>
    <col min="10753" max="10753" width="5.140625" style="691" customWidth="1"/>
    <col min="10754" max="10754" width="59.85546875" style="691" customWidth="1"/>
    <col min="10755" max="10755" width="4.7109375" style="691" customWidth="1"/>
    <col min="10756" max="10756" width="6.5703125" style="691" customWidth="1"/>
    <col min="10757" max="10759" width="8.7109375" style="691" customWidth="1"/>
    <col min="10760" max="10760" width="10.28515625" style="691" customWidth="1"/>
    <col min="10761" max="10761" width="5.5703125" style="691" customWidth="1"/>
    <col min="10762" max="11008" width="9.140625" style="691"/>
    <col min="11009" max="11009" width="5.140625" style="691" customWidth="1"/>
    <col min="11010" max="11010" width="59.85546875" style="691" customWidth="1"/>
    <col min="11011" max="11011" width="4.7109375" style="691" customWidth="1"/>
    <col min="11012" max="11012" width="6.5703125" style="691" customWidth="1"/>
    <col min="11013" max="11015" width="8.7109375" style="691" customWidth="1"/>
    <col min="11016" max="11016" width="10.28515625" style="691" customWidth="1"/>
    <col min="11017" max="11017" width="5.5703125" style="691" customWidth="1"/>
    <col min="11018" max="11264" width="9.140625" style="691"/>
    <col min="11265" max="11265" width="5.140625" style="691" customWidth="1"/>
    <col min="11266" max="11266" width="59.85546875" style="691" customWidth="1"/>
    <col min="11267" max="11267" width="4.7109375" style="691" customWidth="1"/>
    <col min="11268" max="11268" width="6.5703125" style="691" customWidth="1"/>
    <col min="11269" max="11271" width="8.7109375" style="691" customWidth="1"/>
    <col min="11272" max="11272" width="10.28515625" style="691" customWidth="1"/>
    <col min="11273" max="11273" width="5.5703125" style="691" customWidth="1"/>
    <col min="11274" max="11520" width="9.140625" style="691"/>
    <col min="11521" max="11521" width="5.140625" style="691" customWidth="1"/>
    <col min="11522" max="11522" width="59.85546875" style="691" customWidth="1"/>
    <col min="11523" max="11523" width="4.7109375" style="691" customWidth="1"/>
    <col min="11524" max="11524" width="6.5703125" style="691" customWidth="1"/>
    <col min="11525" max="11527" width="8.7109375" style="691" customWidth="1"/>
    <col min="11528" max="11528" width="10.28515625" style="691" customWidth="1"/>
    <col min="11529" max="11529" width="5.5703125" style="691" customWidth="1"/>
    <col min="11530" max="11776" width="9.140625" style="691"/>
    <col min="11777" max="11777" width="5.140625" style="691" customWidth="1"/>
    <col min="11778" max="11778" width="59.85546875" style="691" customWidth="1"/>
    <col min="11779" max="11779" width="4.7109375" style="691" customWidth="1"/>
    <col min="11780" max="11780" width="6.5703125" style="691" customWidth="1"/>
    <col min="11781" max="11783" width="8.7109375" style="691" customWidth="1"/>
    <col min="11784" max="11784" width="10.28515625" style="691" customWidth="1"/>
    <col min="11785" max="11785" width="5.5703125" style="691" customWidth="1"/>
    <col min="11786" max="12032" width="9.140625" style="691"/>
    <col min="12033" max="12033" width="5.140625" style="691" customWidth="1"/>
    <col min="12034" max="12034" width="59.85546875" style="691" customWidth="1"/>
    <col min="12035" max="12035" width="4.7109375" style="691" customWidth="1"/>
    <col min="12036" max="12036" width="6.5703125" style="691" customWidth="1"/>
    <col min="12037" max="12039" width="8.7109375" style="691" customWidth="1"/>
    <col min="12040" max="12040" width="10.28515625" style="691" customWidth="1"/>
    <col min="12041" max="12041" width="5.5703125" style="691" customWidth="1"/>
    <col min="12042" max="12288" width="9.140625" style="691"/>
    <col min="12289" max="12289" width="5.140625" style="691" customWidth="1"/>
    <col min="12290" max="12290" width="59.85546875" style="691" customWidth="1"/>
    <col min="12291" max="12291" width="4.7109375" style="691" customWidth="1"/>
    <col min="12292" max="12292" width="6.5703125" style="691" customWidth="1"/>
    <col min="12293" max="12295" width="8.7109375" style="691" customWidth="1"/>
    <col min="12296" max="12296" width="10.28515625" style="691" customWidth="1"/>
    <col min="12297" max="12297" width="5.5703125" style="691" customWidth="1"/>
    <col min="12298" max="12544" width="9.140625" style="691"/>
    <col min="12545" max="12545" width="5.140625" style="691" customWidth="1"/>
    <col min="12546" max="12546" width="59.85546875" style="691" customWidth="1"/>
    <col min="12547" max="12547" width="4.7109375" style="691" customWidth="1"/>
    <col min="12548" max="12548" width="6.5703125" style="691" customWidth="1"/>
    <col min="12549" max="12551" width="8.7109375" style="691" customWidth="1"/>
    <col min="12552" max="12552" width="10.28515625" style="691" customWidth="1"/>
    <col min="12553" max="12553" width="5.5703125" style="691" customWidth="1"/>
    <col min="12554" max="12800" width="9.140625" style="691"/>
    <col min="12801" max="12801" width="5.140625" style="691" customWidth="1"/>
    <col min="12802" max="12802" width="59.85546875" style="691" customWidth="1"/>
    <col min="12803" max="12803" width="4.7109375" style="691" customWidth="1"/>
    <col min="12804" max="12804" width="6.5703125" style="691" customWidth="1"/>
    <col min="12805" max="12807" width="8.7109375" style="691" customWidth="1"/>
    <col min="12808" max="12808" width="10.28515625" style="691" customWidth="1"/>
    <col min="12809" max="12809" width="5.5703125" style="691" customWidth="1"/>
    <col min="12810" max="13056" width="9.140625" style="691"/>
    <col min="13057" max="13057" width="5.140625" style="691" customWidth="1"/>
    <col min="13058" max="13058" width="59.85546875" style="691" customWidth="1"/>
    <col min="13059" max="13059" width="4.7109375" style="691" customWidth="1"/>
    <col min="13060" max="13060" width="6.5703125" style="691" customWidth="1"/>
    <col min="13061" max="13063" width="8.7109375" style="691" customWidth="1"/>
    <col min="13064" max="13064" width="10.28515625" style="691" customWidth="1"/>
    <col min="13065" max="13065" width="5.5703125" style="691" customWidth="1"/>
    <col min="13066" max="13312" width="9.140625" style="691"/>
    <col min="13313" max="13313" width="5.140625" style="691" customWidth="1"/>
    <col min="13314" max="13314" width="59.85546875" style="691" customWidth="1"/>
    <col min="13315" max="13315" width="4.7109375" style="691" customWidth="1"/>
    <col min="13316" max="13316" width="6.5703125" style="691" customWidth="1"/>
    <col min="13317" max="13319" width="8.7109375" style="691" customWidth="1"/>
    <col min="13320" max="13320" width="10.28515625" style="691" customWidth="1"/>
    <col min="13321" max="13321" width="5.5703125" style="691" customWidth="1"/>
    <col min="13322" max="13568" width="9.140625" style="691"/>
    <col min="13569" max="13569" width="5.140625" style="691" customWidth="1"/>
    <col min="13570" max="13570" width="59.85546875" style="691" customWidth="1"/>
    <col min="13571" max="13571" width="4.7109375" style="691" customWidth="1"/>
    <col min="13572" max="13572" width="6.5703125" style="691" customWidth="1"/>
    <col min="13573" max="13575" width="8.7109375" style="691" customWidth="1"/>
    <col min="13576" max="13576" width="10.28515625" style="691" customWidth="1"/>
    <col min="13577" max="13577" width="5.5703125" style="691" customWidth="1"/>
    <col min="13578" max="13824" width="9.140625" style="691"/>
    <col min="13825" max="13825" width="5.140625" style="691" customWidth="1"/>
    <col min="13826" max="13826" width="59.85546875" style="691" customWidth="1"/>
    <col min="13827" max="13827" width="4.7109375" style="691" customWidth="1"/>
    <col min="13828" max="13828" width="6.5703125" style="691" customWidth="1"/>
    <col min="13829" max="13831" width="8.7109375" style="691" customWidth="1"/>
    <col min="13832" max="13832" width="10.28515625" style="691" customWidth="1"/>
    <col min="13833" max="13833" width="5.5703125" style="691" customWidth="1"/>
    <col min="13834" max="14080" width="9.140625" style="691"/>
    <col min="14081" max="14081" width="5.140625" style="691" customWidth="1"/>
    <col min="14082" max="14082" width="59.85546875" style="691" customWidth="1"/>
    <col min="14083" max="14083" width="4.7109375" style="691" customWidth="1"/>
    <col min="14084" max="14084" width="6.5703125" style="691" customWidth="1"/>
    <col min="14085" max="14087" width="8.7109375" style="691" customWidth="1"/>
    <col min="14088" max="14088" width="10.28515625" style="691" customWidth="1"/>
    <col min="14089" max="14089" width="5.5703125" style="691" customWidth="1"/>
    <col min="14090" max="14336" width="9.140625" style="691"/>
    <col min="14337" max="14337" width="5.140625" style="691" customWidth="1"/>
    <col min="14338" max="14338" width="59.85546875" style="691" customWidth="1"/>
    <col min="14339" max="14339" width="4.7109375" style="691" customWidth="1"/>
    <col min="14340" max="14340" width="6.5703125" style="691" customWidth="1"/>
    <col min="14341" max="14343" width="8.7109375" style="691" customWidth="1"/>
    <col min="14344" max="14344" width="10.28515625" style="691" customWidth="1"/>
    <col min="14345" max="14345" width="5.5703125" style="691" customWidth="1"/>
    <col min="14346" max="14592" width="9.140625" style="691"/>
    <col min="14593" max="14593" width="5.140625" style="691" customWidth="1"/>
    <col min="14594" max="14594" width="59.85546875" style="691" customWidth="1"/>
    <col min="14595" max="14595" width="4.7109375" style="691" customWidth="1"/>
    <col min="14596" max="14596" width="6.5703125" style="691" customWidth="1"/>
    <col min="14597" max="14599" width="8.7109375" style="691" customWidth="1"/>
    <col min="14600" max="14600" width="10.28515625" style="691" customWidth="1"/>
    <col min="14601" max="14601" width="5.5703125" style="691" customWidth="1"/>
    <col min="14602" max="14848" width="9.140625" style="691"/>
    <col min="14849" max="14849" width="5.140625" style="691" customWidth="1"/>
    <col min="14850" max="14850" width="59.85546875" style="691" customWidth="1"/>
    <col min="14851" max="14851" width="4.7109375" style="691" customWidth="1"/>
    <col min="14852" max="14852" width="6.5703125" style="691" customWidth="1"/>
    <col min="14853" max="14855" width="8.7109375" style="691" customWidth="1"/>
    <col min="14856" max="14856" width="10.28515625" style="691" customWidth="1"/>
    <col min="14857" max="14857" width="5.5703125" style="691" customWidth="1"/>
    <col min="14858" max="15104" width="9.140625" style="691"/>
    <col min="15105" max="15105" width="5.140625" style="691" customWidth="1"/>
    <col min="15106" max="15106" width="59.85546875" style="691" customWidth="1"/>
    <col min="15107" max="15107" width="4.7109375" style="691" customWidth="1"/>
    <col min="15108" max="15108" width="6.5703125" style="691" customWidth="1"/>
    <col min="15109" max="15111" width="8.7109375" style="691" customWidth="1"/>
    <col min="15112" max="15112" width="10.28515625" style="691" customWidth="1"/>
    <col min="15113" max="15113" width="5.5703125" style="691" customWidth="1"/>
    <col min="15114" max="15360" width="9.140625" style="691"/>
    <col min="15361" max="15361" width="5.140625" style="691" customWidth="1"/>
    <col min="15362" max="15362" width="59.85546875" style="691" customWidth="1"/>
    <col min="15363" max="15363" width="4.7109375" style="691" customWidth="1"/>
    <col min="15364" max="15364" width="6.5703125" style="691" customWidth="1"/>
    <col min="15365" max="15367" width="8.7109375" style="691" customWidth="1"/>
    <col min="15368" max="15368" width="10.28515625" style="691" customWidth="1"/>
    <col min="15369" max="15369" width="5.5703125" style="691" customWidth="1"/>
    <col min="15370" max="15616" width="9.140625" style="691"/>
    <col min="15617" max="15617" width="5.140625" style="691" customWidth="1"/>
    <col min="15618" max="15618" width="59.85546875" style="691" customWidth="1"/>
    <col min="15619" max="15619" width="4.7109375" style="691" customWidth="1"/>
    <col min="15620" max="15620" width="6.5703125" style="691" customWidth="1"/>
    <col min="15621" max="15623" width="8.7109375" style="691" customWidth="1"/>
    <col min="15624" max="15624" width="10.28515625" style="691" customWidth="1"/>
    <col min="15625" max="15625" width="5.5703125" style="691" customWidth="1"/>
    <col min="15626" max="15872" width="9.140625" style="691"/>
    <col min="15873" max="15873" width="5.140625" style="691" customWidth="1"/>
    <col min="15874" max="15874" width="59.85546875" style="691" customWidth="1"/>
    <col min="15875" max="15875" width="4.7109375" style="691" customWidth="1"/>
    <col min="15876" max="15876" width="6.5703125" style="691" customWidth="1"/>
    <col min="15877" max="15879" width="8.7109375" style="691" customWidth="1"/>
    <col min="15880" max="15880" width="10.28515625" style="691" customWidth="1"/>
    <col min="15881" max="15881" width="5.5703125" style="691" customWidth="1"/>
    <col min="15882" max="16128" width="9.140625" style="691"/>
    <col min="16129" max="16129" width="5.140625" style="691" customWidth="1"/>
    <col min="16130" max="16130" width="59.85546875" style="691" customWidth="1"/>
    <col min="16131" max="16131" width="4.7109375" style="691" customWidth="1"/>
    <col min="16132" max="16132" width="6.5703125" style="691" customWidth="1"/>
    <col min="16133" max="16135" width="8.7109375" style="691" customWidth="1"/>
    <col min="16136" max="16136" width="10.28515625" style="691" customWidth="1"/>
    <col min="16137" max="16137" width="5.5703125" style="691" customWidth="1"/>
    <col min="16138" max="16384" width="9.140625" style="691"/>
  </cols>
  <sheetData>
    <row r="1" spans="1:20" ht="15.75">
      <c r="A1" s="2755" t="s">
        <v>1765</v>
      </c>
      <c r="B1" s="2755"/>
      <c r="C1" s="2755"/>
      <c r="D1" s="2755"/>
      <c r="E1" s="2755"/>
      <c r="F1" s="2755"/>
      <c r="G1" s="2755"/>
      <c r="H1" s="2755"/>
      <c r="I1" s="2755"/>
      <c r="J1" s="2755"/>
      <c r="K1" s="2755"/>
      <c r="L1" s="2755"/>
      <c r="M1" s="2751" t="s">
        <v>3720</v>
      </c>
      <c r="N1" s="2752"/>
      <c r="O1" s="2752"/>
      <c r="P1" s="2753"/>
      <c r="Q1" s="693" t="s">
        <v>183</v>
      </c>
    </row>
    <row r="2" spans="1:20" s="692" customFormat="1" ht="15" customHeight="1">
      <c r="A2" s="2756" t="s">
        <v>1510</v>
      </c>
      <c r="B2" s="2756" t="s">
        <v>3004</v>
      </c>
      <c r="C2" s="2761" t="s">
        <v>262</v>
      </c>
      <c r="D2" s="2761"/>
      <c r="E2" s="2758" t="s">
        <v>3005</v>
      </c>
      <c r="F2" s="2758" t="s">
        <v>3006</v>
      </c>
      <c r="G2" s="2758" t="s">
        <v>3007</v>
      </c>
      <c r="H2" s="2761" t="s">
        <v>707</v>
      </c>
      <c r="I2" s="2761"/>
      <c r="J2" s="2761" t="s">
        <v>708</v>
      </c>
      <c r="K2" s="2761"/>
      <c r="L2" s="2760" t="s">
        <v>709</v>
      </c>
      <c r="M2" s="1638" t="s">
        <v>3413</v>
      </c>
      <c r="N2" s="2745" t="e">
        <f>L6962</f>
        <v>#REF!</v>
      </c>
      <c r="O2" s="2745"/>
      <c r="P2" s="1639" t="e">
        <f>#REF!</f>
        <v>#REF!</v>
      </c>
      <c r="Q2" s="1639" t="e">
        <f>#REF!</f>
        <v>#REF!</v>
      </c>
      <c r="R2" s="1640"/>
      <c r="S2" s="1640">
        <f>R2*0.3048</f>
        <v>0</v>
      </c>
    </row>
    <row r="3" spans="1:20" s="692" customFormat="1" ht="15" customHeight="1">
      <c r="A3" s="2757"/>
      <c r="B3" s="2757"/>
      <c r="C3" s="2761"/>
      <c r="D3" s="2761"/>
      <c r="E3" s="2759"/>
      <c r="F3" s="2759"/>
      <c r="G3" s="2759"/>
      <c r="H3" s="2761"/>
      <c r="I3" s="2761"/>
      <c r="J3" s="2761"/>
      <c r="K3" s="2761"/>
      <c r="L3" s="2760"/>
      <c r="M3" s="1638" t="s">
        <v>3414</v>
      </c>
      <c r="N3" s="2745" t="e">
        <f>#REF!</f>
        <v>#REF!</v>
      </c>
      <c r="O3" s="2754"/>
      <c r="P3" s="1641"/>
      <c r="Q3" s="1641"/>
      <c r="R3" s="1640"/>
      <c r="S3" s="1640">
        <f>R3*0.3048</f>
        <v>0</v>
      </c>
    </row>
    <row r="4" spans="1:20" s="692" customFormat="1" ht="15" customHeight="1">
      <c r="A4" s="693">
        <v>1</v>
      </c>
      <c r="B4" s="693">
        <v>2</v>
      </c>
      <c r="C4" s="2754">
        <v>3</v>
      </c>
      <c r="D4" s="2754"/>
      <c r="E4" s="693">
        <v>4</v>
      </c>
      <c r="F4" s="693">
        <v>5</v>
      </c>
      <c r="G4" s="693">
        <v>6</v>
      </c>
      <c r="H4" s="2746">
        <v>7</v>
      </c>
      <c r="I4" s="2746"/>
      <c r="J4" s="2754">
        <v>8</v>
      </c>
      <c r="K4" s="2754"/>
      <c r="L4" s="1637">
        <v>9</v>
      </c>
      <c r="M4" s="1641"/>
      <c r="N4" s="2745" t="e">
        <f>N2-N3</f>
        <v>#REF!</v>
      </c>
      <c r="O4" s="2754"/>
      <c r="P4" s="1641"/>
      <c r="Q4" s="1641"/>
      <c r="R4" s="1640">
        <v>136</v>
      </c>
      <c r="S4" s="1640">
        <f>R4*0.3048</f>
        <v>41.452800000000003</v>
      </c>
      <c r="T4" s="1640"/>
    </row>
    <row r="5" spans="1:20" ht="16.5">
      <c r="A5" s="1642"/>
      <c r="B5" s="1643" t="s">
        <v>1774</v>
      </c>
      <c r="C5" s="2741"/>
      <c r="D5" s="2742"/>
      <c r="E5" s="1644"/>
      <c r="F5" s="1645"/>
      <c r="G5" s="1646"/>
      <c r="H5" s="2749"/>
      <c r="I5" s="2749"/>
      <c r="J5" s="1647"/>
      <c r="K5" s="1647"/>
      <c r="L5" s="1647"/>
      <c r="M5" s="1648"/>
      <c r="N5" s="1649"/>
      <c r="O5" s="1649"/>
      <c r="P5" s="1649"/>
      <c r="Q5" s="1649"/>
      <c r="S5" s="1640"/>
      <c r="T5" s="1640"/>
    </row>
    <row r="6" spans="1:20" ht="16.5">
      <c r="A6" s="1650"/>
      <c r="B6" s="1651" t="s">
        <v>1776</v>
      </c>
      <c r="C6" s="2747">
        <v>3</v>
      </c>
      <c r="D6" s="2748"/>
      <c r="E6" s="1652"/>
      <c r="F6" s="1653">
        <f>ROUND(C6*E6,2)</f>
        <v>0</v>
      </c>
      <c r="G6" s="1653" t="s">
        <v>136</v>
      </c>
      <c r="H6" s="2743"/>
      <c r="I6" s="2744"/>
      <c r="J6" s="1654"/>
      <c r="K6" s="1654"/>
      <c r="L6" s="1654"/>
      <c r="M6" s="1655"/>
      <c r="S6" s="1640"/>
      <c r="T6" s="1640"/>
    </row>
    <row r="7" spans="1:20" ht="16.5" hidden="1">
      <c r="A7" s="1650"/>
      <c r="B7" s="1651"/>
      <c r="C7" s="2747"/>
      <c r="D7" s="2748"/>
      <c r="E7" s="1652">
        <v>34.674999999999997</v>
      </c>
      <c r="F7" s="1653">
        <f>ROUND(C7*E7,2)</f>
        <v>0</v>
      </c>
      <c r="G7" s="1653" t="s">
        <v>136</v>
      </c>
      <c r="H7" s="2743"/>
      <c r="I7" s="2744"/>
      <c r="J7" s="1654"/>
      <c r="K7" s="1654"/>
      <c r="L7" s="1654"/>
      <c r="S7" s="1640"/>
      <c r="T7" s="1640"/>
    </row>
    <row r="8" spans="1:20" ht="16.5">
      <c r="A8" s="1650"/>
      <c r="B8" s="1651"/>
      <c r="C8" s="2741"/>
      <c r="D8" s="2742"/>
      <c r="E8" s="1650" t="s">
        <v>201</v>
      </c>
      <c r="F8" s="1656">
        <f>SUM(F6:F7)</f>
        <v>0</v>
      </c>
      <c r="G8" s="1653" t="s">
        <v>136</v>
      </c>
      <c r="H8" s="2743"/>
      <c r="I8" s="2744"/>
      <c r="J8" s="1654"/>
      <c r="K8" s="1654"/>
      <c r="L8" s="1654"/>
      <c r="S8" s="1640"/>
      <c r="T8" s="1640"/>
    </row>
    <row r="9" spans="1:20" ht="16.5">
      <c r="A9" s="1650"/>
      <c r="B9" s="1651" t="s">
        <v>1784</v>
      </c>
      <c r="C9" s="2747">
        <v>3</v>
      </c>
      <c r="D9" s="2748"/>
      <c r="E9" s="1657"/>
      <c r="F9" s="1653">
        <f>ROUND(C9*E9,2)</f>
        <v>0</v>
      </c>
      <c r="G9" s="1653" t="s">
        <v>136</v>
      </c>
      <c r="H9" s="2743"/>
      <c r="I9" s="2744"/>
      <c r="J9" s="1654"/>
      <c r="K9" s="1654"/>
      <c r="L9" s="1654"/>
    </row>
    <row r="10" spans="1:20" s="1662" customFormat="1" ht="16.5">
      <c r="A10" s="1658"/>
      <c r="B10" s="1659"/>
      <c r="C10" s="2739">
        <v>2</v>
      </c>
      <c r="D10" s="2740"/>
      <c r="E10" s="1657"/>
      <c r="F10" s="1660">
        <f>ROUND(C10*E10,2)</f>
        <v>0</v>
      </c>
      <c r="G10" s="1660" t="s">
        <v>136</v>
      </c>
      <c r="H10" s="2737"/>
      <c r="I10" s="2738"/>
      <c r="J10" s="1661"/>
      <c r="K10" s="1661"/>
      <c r="L10" s="1661"/>
    </row>
    <row r="11" spans="1:20" s="1662" customFormat="1" ht="16.5" hidden="1">
      <c r="A11" s="1658"/>
      <c r="B11" s="1659"/>
      <c r="C11" s="2739"/>
      <c r="D11" s="2740"/>
      <c r="E11" s="1657">
        <v>6.125</v>
      </c>
      <c r="F11" s="1660">
        <f t="shared" ref="F11" si="0">ROUND(C11*E11,2)</f>
        <v>0</v>
      </c>
      <c r="G11" s="1660" t="s">
        <v>136</v>
      </c>
      <c r="H11" s="2737"/>
      <c r="I11" s="2738"/>
      <c r="J11" s="1661"/>
      <c r="K11" s="1661"/>
      <c r="L11" s="1661"/>
    </row>
    <row r="12" spans="1:20" ht="16.5">
      <c r="A12" s="1650"/>
      <c r="B12" s="1651"/>
      <c r="C12" s="2741"/>
      <c r="D12" s="2742"/>
      <c r="E12" s="1663" t="s">
        <v>220</v>
      </c>
      <c r="F12" s="1664">
        <f>SUM(F9:F11)</f>
        <v>0</v>
      </c>
      <c r="G12" s="1653" t="s">
        <v>136</v>
      </c>
      <c r="H12" s="2743"/>
      <c r="I12" s="2744"/>
      <c r="J12" s="1654"/>
      <c r="K12" s="1654"/>
      <c r="L12" s="1654"/>
    </row>
    <row r="13" spans="1:20" ht="16.5">
      <c r="A13" s="1650"/>
      <c r="B13" s="1651"/>
      <c r="C13" s="2741"/>
      <c r="D13" s="2742"/>
      <c r="E13" s="1636" t="s">
        <v>1292</v>
      </c>
      <c r="F13" s="689">
        <f>F8+F12</f>
        <v>0</v>
      </c>
      <c r="G13" s="690" t="s">
        <v>136</v>
      </c>
      <c r="H13" s="2744"/>
      <c r="I13" s="2744"/>
      <c r="J13" s="1654"/>
      <c r="K13" s="1654"/>
      <c r="L13" s="1654"/>
    </row>
    <row r="14" spans="1:20" s="692" customFormat="1" ht="66" hidden="1">
      <c r="A14" s="1665">
        <f>'Lead &amp; ANALYSIS'!A270</f>
        <v>1</v>
      </c>
      <c r="B14" s="1666" t="str">
        <f>'Lead &amp; ANALYSIS'!B270</f>
        <v>Dismantling &amp; removing RCC Columns / Beams / Slab including stacking the useful materials for reuse  &amp;  removing the debris within 50m lead  with  cost  of  all labour etc. complete.</v>
      </c>
      <c r="C14" s="688"/>
      <c r="D14" s="1667"/>
      <c r="E14" s="688"/>
      <c r="F14" s="688"/>
      <c r="G14" s="688"/>
      <c r="H14" s="688"/>
      <c r="I14" s="1668"/>
      <c r="J14" s="1668"/>
      <c r="K14" s="1668"/>
      <c r="L14" s="1669"/>
    </row>
    <row r="15" spans="1:20" s="692" customFormat="1" ht="16.5" hidden="1">
      <c r="A15" s="1670" t="s">
        <v>201</v>
      </c>
      <c r="B15" s="1666" t="s">
        <v>384</v>
      </c>
      <c r="C15" s="688"/>
      <c r="D15" s="1667"/>
      <c r="E15" s="688"/>
      <c r="F15" s="688"/>
      <c r="G15" s="688"/>
      <c r="H15" s="688"/>
      <c r="I15" s="1668"/>
      <c r="J15" s="1668"/>
      <c r="K15" s="1668"/>
      <c r="L15" s="1669"/>
    </row>
    <row r="16" spans="1:20" s="692" customFormat="1" ht="16.5" hidden="1">
      <c r="A16" s="1670"/>
      <c r="B16" s="1666"/>
      <c r="C16" s="688"/>
      <c r="D16" s="1667"/>
      <c r="E16" s="1671">
        <v>3.5</v>
      </c>
      <c r="F16" s="1671">
        <v>4</v>
      </c>
      <c r="G16" s="1672">
        <v>0.15</v>
      </c>
      <c r="H16" s="1671">
        <f t="shared" ref="H16:H21" si="1">ROUND(D16*E16*F16*G16,2)</f>
        <v>0</v>
      </c>
      <c r="I16" s="688" t="s">
        <v>49</v>
      </c>
      <c r="J16" s="1668"/>
      <c r="K16" s="1668"/>
      <c r="L16" s="1669"/>
    </row>
    <row r="17" spans="1:12" s="692" customFormat="1" ht="16.5" hidden="1">
      <c r="A17" s="1670"/>
      <c r="B17" s="1666"/>
      <c r="C17" s="688"/>
      <c r="D17" s="1667"/>
      <c r="E17" s="1671">
        <v>3.5</v>
      </c>
      <c r="F17" s="1671">
        <v>4</v>
      </c>
      <c r="G17" s="1672">
        <v>0.15</v>
      </c>
      <c r="H17" s="1671">
        <f t="shared" si="1"/>
        <v>0</v>
      </c>
      <c r="I17" s="688" t="s">
        <v>49</v>
      </c>
      <c r="J17" s="1668"/>
      <c r="K17" s="1668"/>
      <c r="L17" s="1669"/>
    </row>
    <row r="18" spans="1:12" s="692" customFormat="1" ht="16.5" hidden="1">
      <c r="A18" s="1670"/>
      <c r="B18" s="1666"/>
      <c r="C18" s="688"/>
      <c r="D18" s="1667"/>
      <c r="E18" s="1671">
        <v>3.5</v>
      </c>
      <c r="F18" s="1671">
        <v>4</v>
      </c>
      <c r="G18" s="1672">
        <v>0.15</v>
      </c>
      <c r="H18" s="1671">
        <f t="shared" si="1"/>
        <v>0</v>
      </c>
      <c r="I18" s="688" t="s">
        <v>49</v>
      </c>
      <c r="J18" s="1668"/>
      <c r="K18" s="1668"/>
      <c r="L18" s="1669"/>
    </row>
    <row r="19" spans="1:12" s="692" customFormat="1" ht="16.5" hidden="1">
      <c r="A19" s="1670"/>
      <c r="B19" s="1666"/>
      <c r="C19" s="688"/>
      <c r="D19" s="1667"/>
      <c r="E19" s="1671">
        <v>3.5</v>
      </c>
      <c r="F19" s="1671">
        <v>4</v>
      </c>
      <c r="G19" s="1672">
        <v>0.15</v>
      </c>
      <c r="H19" s="1671">
        <f t="shared" si="1"/>
        <v>0</v>
      </c>
      <c r="I19" s="688" t="s">
        <v>49</v>
      </c>
      <c r="J19" s="1668"/>
      <c r="K19" s="1668"/>
      <c r="L19" s="1669"/>
    </row>
    <row r="20" spans="1:12" s="692" customFormat="1" ht="16.5" hidden="1">
      <c r="A20" s="1670"/>
      <c r="B20" s="1666"/>
      <c r="C20" s="688"/>
      <c r="D20" s="1667"/>
      <c r="E20" s="1671">
        <v>3.5</v>
      </c>
      <c r="F20" s="1671">
        <v>4</v>
      </c>
      <c r="G20" s="1672">
        <v>0.15</v>
      </c>
      <c r="H20" s="1671">
        <f t="shared" si="1"/>
        <v>0</v>
      </c>
      <c r="I20" s="688" t="s">
        <v>49</v>
      </c>
      <c r="J20" s="1668"/>
      <c r="K20" s="1668"/>
      <c r="L20" s="1669"/>
    </row>
    <row r="21" spans="1:12" s="692" customFormat="1" ht="16.5" hidden="1">
      <c r="A21" s="1670"/>
      <c r="B21" s="1666"/>
      <c r="C21" s="688"/>
      <c r="D21" s="1667"/>
      <c r="E21" s="1671">
        <v>3.5</v>
      </c>
      <c r="F21" s="1671">
        <v>4</v>
      </c>
      <c r="G21" s="1672">
        <v>0.15</v>
      </c>
      <c r="H21" s="1671">
        <f t="shared" si="1"/>
        <v>0</v>
      </c>
      <c r="I21" s="688" t="s">
        <v>49</v>
      </c>
      <c r="J21" s="1668"/>
      <c r="K21" s="1668"/>
      <c r="L21" s="1669"/>
    </row>
    <row r="22" spans="1:12" s="692" customFormat="1" ht="16.5" hidden="1">
      <c r="A22" s="1670"/>
      <c r="B22" s="1666"/>
      <c r="C22" s="688"/>
      <c r="D22" s="1667"/>
      <c r="E22" s="688"/>
      <c r="F22" s="688"/>
      <c r="G22" s="1668" t="s">
        <v>928</v>
      </c>
      <c r="H22" s="1673">
        <f>SUM(H16:H21)</f>
        <v>0</v>
      </c>
      <c r="I22" s="1668" t="s">
        <v>49</v>
      </c>
      <c r="J22" s="1669">
        <f>'Lead &amp; ANALYSIS'!L271</f>
        <v>1116.9000000000001</v>
      </c>
      <c r="K22" s="1668" t="s">
        <v>1516</v>
      </c>
      <c r="L22" s="1669">
        <f>ROUND(H22*J22,0)</f>
        <v>0</v>
      </c>
    </row>
    <row r="23" spans="1:12" s="692" customFormat="1" ht="16.5" hidden="1">
      <c r="A23" s="1670" t="s">
        <v>220</v>
      </c>
      <c r="B23" s="1666" t="s">
        <v>387</v>
      </c>
      <c r="C23" s="688"/>
      <c r="D23" s="1667"/>
      <c r="E23" s="688"/>
      <c r="F23" s="688"/>
      <c r="G23" s="1668"/>
      <c r="H23" s="1673"/>
      <c r="I23" s="1668"/>
      <c r="J23" s="1669"/>
      <c r="K23" s="1668"/>
      <c r="L23" s="1669"/>
    </row>
    <row r="24" spans="1:12" s="692" customFormat="1" ht="16.5" hidden="1">
      <c r="A24" s="1670"/>
      <c r="B24" s="1666"/>
      <c r="C24" s="688"/>
      <c r="D24" s="1667"/>
      <c r="E24" s="1671">
        <v>3.5</v>
      </c>
      <c r="F24" s="1671">
        <v>4</v>
      </c>
      <c r="G24" s="1672">
        <v>0.15</v>
      </c>
      <c r="H24" s="1671">
        <f t="shared" ref="H24:H29" si="2">ROUND(D24*E24*F24*G24,2)</f>
        <v>0</v>
      </c>
      <c r="I24" s="688" t="s">
        <v>49</v>
      </c>
      <c r="J24" s="1668"/>
      <c r="K24" s="1668"/>
      <c r="L24" s="1669"/>
    </row>
    <row r="25" spans="1:12" s="692" customFormat="1" ht="16.5" hidden="1">
      <c r="A25" s="1670"/>
      <c r="B25" s="1666"/>
      <c r="C25" s="688"/>
      <c r="D25" s="1667"/>
      <c r="E25" s="1671">
        <v>3.5</v>
      </c>
      <c r="F25" s="1671">
        <v>4</v>
      </c>
      <c r="G25" s="1672">
        <v>0.15</v>
      </c>
      <c r="H25" s="1671">
        <f t="shared" si="2"/>
        <v>0</v>
      </c>
      <c r="I25" s="688" t="s">
        <v>49</v>
      </c>
      <c r="J25" s="1668"/>
      <c r="K25" s="1668"/>
      <c r="L25" s="1669"/>
    </row>
    <row r="26" spans="1:12" s="692" customFormat="1" ht="16.5" hidden="1">
      <c r="A26" s="1670"/>
      <c r="B26" s="1666"/>
      <c r="C26" s="688"/>
      <c r="D26" s="1667"/>
      <c r="E26" s="1671">
        <v>3.5</v>
      </c>
      <c r="F26" s="1671">
        <v>4</v>
      </c>
      <c r="G26" s="1672">
        <v>0.15</v>
      </c>
      <c r="H26" s="1671">
        <f t="shared" si="2"/>
        <v>0</v>
      </c>
      <c r="I26" s="688" t="s">
        <v>49</v>
      </c>
      <c r="J26" s="1668"/>
      <c r="K26" s="1668"/>
      <c r="L26" s="1669"/>
    </row>
    <row r="27" spans="1:12" s="692" customFormat="1" ht="16.5" hidden="1">
      <c r="A27" s="1670"/>
      <c r="B27" s="1666"/>
      <c r="C27" s="688"/>
      <c r="D27" s="1667"/>
      <c r="E27" s="1671">
        <v>3.5</v>
      </c>
      <c r="F27" s="1671">
        <v>4</v>
      </c>
      <c r="G27" s="1672">
        <v>0.15</v>
      </c>
      <c r="H27" s="1671">
        <f t="shared" si="2"/>
        <v>0</v>
      </c>
      <c r="I27" s="688" t="s">
        <v>49</v>
      </c>
      <c r="J27" s="1668"/>
      <c r="K27" s="1668"/>
      <c r="L27" s="1669"/>
    </row>
    <row r="28" spans="1:12" s="692" customFormat="1" ht="16.5" hidden="1">
      <c r="A28" s="1670"/>
      <c r="B28" s="1666"/>
      <c r="C28" s="688"/>
      <c r="D28" s="1667"/>
      <c r="E28" s="1671">
        <v>3.5</v>
      </c>
      <c r="F28" s="1671">
        <v>4</v>
      </c>
      <c r="G28" s="1672">
        <v>0.15</v>
      </c>
      <c r="H28" s="1671">
        <f t="shared" si="2"/>
        <v>0</v>
      </c>
      <c r="I28" s="688" t="s">
        <v>49</v>
      </c>
      <c r="J28" s="1668"/>
      <c r="K28" s="1668"/>
      <c r="L28" s="1669"/>
    </row>
    <row r="29" spans="1:12" s="692" customFormat="1" ht="16.5" hidden="1">
      <c r="A29" s="1670"/>
      <c r="B29" s="1666"/>
      <c r="C29" s="688"/>
      <c r="D29" s="1667"/>
      <c r="E29" s="1671">
        <v>3.5</v>
      </c>
      <c r="F29" s="1671">
        <v>4</v>
      </c>
      <c r="G29" s="1672">
        <v>0.15</v>
      </c>
      <c r="H29" s="1671">
        <f t="shared" si="2"/>
        <v>0</v>
      </c>
      <c r="I29" s="688" t="s">
        <v>49</v>
      </c>
      <c r="J29" s="1668"/>
      <c r="K29" s="1668"/>
      <c r="L29" s="1669"/>
    </row>
    <row r="30" spans="1:12" s="692" customFormat="1" ht="16.5" hidden="1">
      <c r="A30" s="1670"/>
      <c r="B30" s="1666"/>
      <c r="C30" s="688"/>
      <c r="D30" s="1667"/>
      <c r="E30" s="688"/>
      <c r="F30" s="688"/>
      <c r="G30" s="1668" t="s">
        <v>928</v>
      </c>
      <c r="H30" s="1673">
        <f>SUM(H24:H29)</f>
        <v>0</v>
      </c>
      <c r="I30" s="1668" t="s">
        <v>49</v>
      </c>
      <c r="J30" s="1669">
        <f>'Lead &amp; ANALYSIS'!L272</f>
        <v>1171.7</v>
      </c>
      <c r="K30" s="1668" t="s">
        <v>1516</v>
      </c>
      <c r="L30" s="1669">
        <f>ROUND(H30*J30,0)</f>
        <v>0</v>
      </c>
    </row>
    <row r="31" spans="1:12" s="692" customFormat="1" ht="16.5" hidden="1">
      <c r="A31" s="1670" t="s">
        <v>244</v>
      </c>
      <c r="B31" s="1666" t="s">
        <v>3613</v>
      </c>
      <c r="C31" s="688"/>
      <c r="D31" s="1667"/>
      <c r="E31" s="688"/>
      <c r="F31" s="688"/>
      <c r="G31" s="1668"/>
      <c r="H31" s="1673"/>
      <c r="I31" s="1668"/>
      <c r="J31" s="1669"/>
      <c r="K31" s="1668"/>
      <c r="L31" s="1669"/>
    </row>
    <row r="32" spans="1:12" s="692" customFormat="1" ht="16.5" hidden="1">
      <c r="A32" s="1670"/>
      <c r="B32" s="1666"/>
      <c r="C32" s="688"/>
      <c r="D32" s="1667"/>
      <c r="E32" s="1671">
        <v>3.5</v>
      </c>
      <c r="F32" s="1671">
        <v>4</v>
      </c>
      <c r="G32" s="1672">
        <v>0.15</v>
      </c>
      <c r="H32" s="1671">
        <f t="shared" ref="H32:H37" si="3">ROUND(D32*E32*F32*G32,2)</f>
        <v>0</v>
      </c>
      <c r="I32" s="688" t="s">
        <v>49</v>
      </c>
      <c r="J32" s="1668"/>
      <c r="K32" s="1668"/>
      <c r="L32" s="1669"/>
    </row>
    <row r="33" spans="1:12" s="692" customFormat="1" ht="16.5" hidden="1">
      <c r="A33" s="1670"/>
      <c r="B33" s="1666"/>
      <c r="C33" s="688"/>
      <c r="D33" s="1667"/>
      <c r="E33" s="1671">
        <v>3.5</v>
      </c>
      <c r="F33" s="1671">
        <v>4</v>
      </c>
      <c r="G33" s="1672">
        <v>0.15</v>
      </c>
      <c r="H33" s="1671">
        <f t="shared" si="3"/>
        <v>0</v>
      </c>
      <c r="I33" s="688" t="s">
        <v>49</v>
      </c>
      <c r="J33" s="1668"/>
      <c r="K33" s="1668"/>
      <c r="L33" s="1669"/>
    </row>
    <row r="34" spans="1:12" s="692" customFormat="1" ht="16.5" hidden="1">
      <c r="A34" s="1670"/>
      <c r="B34" s="1666"/>
      <c r="C34" s="688"/>
      <c r="D34" s="1667"/>
      <c r="E34" s="1671">
        <v>3.5</v>
      </c>
      <c r="F34" s="1671">
        <v>4</v>
      </c>
      <c r="G34" s="1672">
        <v>0.15</v>
      </c>
      <c r="H34" s="1671">
        <f t="shared" si="3"/>
        <v>0</v>
      </c>
      <c r="I34" s="688" t="s">
        <v>49</v>
      </c>
      <c r="J34" s="1668"/>
      <c r="K34" s="1668"/>
      <c r="L34" s="1669"/>
    </row>
    <row r="35" spans="1:12" s="692" customFormat="1" ht="16.5" hidden="1">
      <c r="A35" s="1670"/>
      <c r="B35" s="1666"/>
      <c r="C35" s="688"/>
      <c r="D35" s="1667"/>
      <c r="E35" s="1671">
        <v>3.5</v>
      </c>
      <c r="F35" s="1671">
        <v>4</v>
      </c>
      <c r="G35" s="1672">
        <v>0.15</v>
      </c>
      <c r="H35" s="1671">
        <f t="shared" si="3"/>
        <v>0</v>
      </c>
      <c r="I35" s="688" t="s">
        <v>49</v>
      </c>
      <c r="J35" s="1668"/>
      <c r="K35" s="1668"/>
      <c r="L35" s="1669"/>
    </row>
    <row r="36" spans="1:12" s="692" customFormat="1" ht="16.5" hidden="1">
      <c r="A36" s="1670"/>
      <c r="B36" s="1666"/>
      <c r="C36" s="688"/>
      <c r="D36" s="1667"/>
      <c r="E36" s="1671">
        <v>3.5</v>
      </c>
      <c r="F36" s="1671">
        <v>4</v>
      </c>
      <c r="G36" s="1672">
        <v>0.15</v>
      </c>
      <c r="H36" s="1671">
        <f t="shared" si="3"/>
        <v>0</v>
      </c>
      <c r="I36" s="688" t="s">
        <v>49</v>
      </c>
      <c r="J36" s="1668"/>
      <c r="K36" s="1668"/>
      <c r="L36" s="1669"/>
    </row>
    <row r="37" spans="1:12" s="692" customFormat="1" ht="16.5" hidden="1">
      <c r="A37" s="1670"/>
      <c r="B37" s="1666"/>
      <c r="C37" s="688"/>
      <c r="D37" s="1667"/>
      <c r="E37" s="1671">
        <v>3.5</v>
      </c>
      <c r="F37" s="1671">
        <v>4</v>
      </c>
      <c r="G37" s="1672">
        <v>0.15</v>
      </c>
      <c r="H37" s="1671">
        <f t="shared" si="3"/>
        <v>0</v>
      </c>
      <c r="I37" s="688" t="s">
        <v>49</v>
      </c>
      <c r="J37" s="1668"/>
      <c r="K37" s="1668"/>
      <c r="L37" s="1669"/>
    </row>
    <row r="38" spans="1:12" s="692" customFormat="1" ht="16.5" hidden="1">
      <c r="A38" s="1670"/>
      <c r="B38" s="1666"/>
      <c r="C38" s="688"/>
      <c r="D38" s="1667"/>
      <c r="E38" s="688"/>
      <c r="F38" s="688"/>
      <c r="G38" s="1668" t="s">
        <v>928</v>
      </c>
      <c r="H38" s="1673">
        <f>SUM(H32:H37)</f>
        <v>0</v>
      </c>
      <c r="I38" s="1668" t="s">
        <v>49</v>
      </c>
      <c r="J38" s="1669">
        <f>'Lead &amp; ANALYSIS'!L273</f>
        <v>1229.0999999999999</v>
      </c>
      <c r="K38" s="1668" t="s">
        <v>1516</v>
      </c>
      <c r="L38" s="1669">
        <f>ROUND(H38*J38,0)</f>
        <v>0</v>
      </c>
    </row>
    <row r="39" spans="1:12" s="692" customFormat="1" ht="16.5" hidden="1">
      <c r="A39" s="1670" t="s">
        <v>291</v>
      </c>
      <c r="B39" s="1666" t="s">
        <v>3632</v>
      </c>
      <c r="C39" s="688"/>
      <c r="D39" s="1667"/>
      <c r="E39" s="688"/>
      <c r="F39" s="688"/>
      <c r="G39" s="1668"/>
      <c r="H39" s="1673"/>
      <c r="I39" s="1668"/>
      <c r="J39" s="1669"/>
      <c r="K39" s="1668"/>
      <c r="L39" s="1669"/>
    </row>
    <row r="40" spans="1:12" s="692" customFormat="1" ht="16.5" hidden="1">
      <c r="A40" s="1670"/>
      <c r="B40" s="1666"/>
      <c r="C40" s="688"/>
      <c r="D40" s="1667"/>
      <c r="E40" s="1671">
        <v>3.5</v>
      </c>
      <c r="F40" s="1671">
        <v>4</v>
      </c>
      <c r="G40" s="1672">
        <v>0.15</v>
      </c>
      <c r="H40" s="1671">
        <f t="shared" ref="H40:H45" si="4">ROUND(D40*E40*F40*G40,2)</f>
        <v>0</v>
      </c>
      <c r="I40" s="688" t="s">
        <v>49</v>
      </c>
      <c r="J40" s="1668"/>
      <c r="K40" s="1668"/>
      <c r="L40" s="1669"/>
    </row>
    <row r="41" spans="1:12" s="692" customFormat="1" ht="16.5" hidden="1">
      <c r="A41" s="1665"/>
      <c r="B41" s="1666"/>
      <c r="C41" s="688"/>
      <c r="D41" s="1667"/>
      <c r="E41" s="1671">
        <v>3.5</v>
      </c>
      <c r="F41" s="1671">
        <v>4</v>
      </c>
      <c r="G41" s="1672">
        <v>0.15</v>
      </c>
      <c r="H41" s="1671">
        <f t="shared" si="4"/>
        <v>0</v>
      </c>
      <c r="I41" s="688" t="s">
        <v>49</v>
      </c>
      <c r="J41" s="1668"/>
      <c r="K41" s="1668"/>
      <c r="L41" s="1669"/>
    </row>
    <row r="42" spans="1:12" s="692" customFormat="1" ht="16.5" hidden="1">
      <c r="A42" s="1665"/>
      <c r="B42" s="1666"/>
      <c r="C42" s="688"/>
      <c r="D42" s="1667"/>
      <c r="E42" s="1671">
        <v>3.5</v>
      </c>
      <c r="F42" s="1671">
        <v>4</v>
      </c>
      <c r="G42" s="1672">
        <v>0.15</v>
      </c>
      <c r="H42" s="1671">
        <f t="shared" si="4"/>
        <v>0</v>
      </c>
      <c r="I42" s="688" t="s">
        <v>49</v>
      </c>
      <c r="J42" s="1668"/>
      <c r="K42" s="1668"/>
      <c r="L42" s="1669"/>
    </row>
    <row r="43" spans="1:12" s="692" customFormat="1" ht="16.5" hidden="1">
      <c r="A43" s="1665"/>
      <c r="B43" s="1666"/>
      <c r="C43" s="688"/>
      <c r="D43" s="1667"/>
      <c r="E43" s="1671">
        <v>3.5</v>
      </c>
      <c r="F43" s="1671">
        <v>4</v>
      </c>
      <c r="G43" s="1672">
        <v>0.15</v>
      </c>
      <c r="H43" s="1671">
        <f t="shared" si="4"/>
        <v>0</v>
      </c>
      <c r="I43" s="688" t="s">
        <v>49</v>
      </c>
      <c r="J43" s="1668"/>
      <c r="K43" s="1668"/>
      <c r="L43" s="1669"/>
    </row>
    <row r="44" spans="1:12" s="692" customFormat="1" ht="16.5" hidden="1">
      <c r="A44" s="1665"/>
      <c r="B44" s="1666"/>
      <c r="C44" s="688"/>
      <c r="D44" s="1667"/>
      <c r="E44" s="1671">
        <v>3.5</v>
      </c>
      <c r="F44" s="1671">
        <v>4</v>
      </c>
      <c r="G44" s="1672">
        <v>0.15</v>
      </c>
      <c r="H44" s="1671">
        <f t="shared" si="4"/>
        <v>0</v>
      </c>
      <c r="I44" s="688" t="s">
        <v>49</v>
      </c>
      <c r="J44" s="1668"/>
      <c r="K44" s="1668"/>
      <c r="L44" s="1669"/>
    </row>
    <row r="45" spans="1:12" s="692" customFormat="1" ht="16.5" hidden="1">
      <c r="A45" s="1665"/>
      <c r="B45" s="1666"/>
      <c r="C45" s="688"/>
      <c r="D45" s="1667"/>
      <c r="E45" s="1671">
        <v>3.5</v>
      </c>
      <c r="F45" s="1671">
        <v>4</v>
      </c>
      <c r="G45" s="1672">
        <v>0.15</v>
      </c>
      <c r="H45" s="1671">
        <f t="shared" si="4"/>
        <v>0</v>
      </c>
      <c r="I45" s="688" t="s">
        <v>49</v>
      </c>
      <c r="J45" s="1668"/>
      <c r="K45" s="1668"/>
      <c r="L45" s="1669"/>
    </row>
    <row r="46" spans="1:12" s="692" customFormat="1" ht="16.5" hidden="1">
      <c r="A46" s="1665"/>
      <c r="B46" s="1666"/>
      <c r="C46" s="688"/>
      <c r="D46" s="1667"/>
      <c r="E46" s="688"/>
      <c r="F46" s="688"/>
      <c r="G46" s="1668" t="s">
        <v>928</v>
      </c>
      <c r="H46" s="1673">
        <f>SUM(H40:H45)</f>
        <v>0</v>
      </c>
      <c r="I46" s="1668" t="s">
        <v>49</v>
      </c>
      <c r="J46" s="1669">
        <f>'Lead &amp; ANALYSIS'!L274</f>
        <v>1289.5</v>
      </c>
      <c r="K46" s="1668" t="s">
        <v>1516</v>
      </c>
      <c r="L46" s="1669">
        <f>ROUND(H46*J46,0)</f>
        <v>0</v>
      </c>
    </row>
    <row r="47" spans="1:12" s="692" customFormat="1" ht="66" hidden="1">
      <c r="A47" s="1665">
        <f>'Lead &amp; ANALYSIS'!A275</f>
        <v>2</v>
      </c>
      <c r="B47" s="1666" t="str">
        <f>'Lead &amp; ANALYSIS'!B275</f>
        <v>Dismantling &amp; removing Brick / Stone Masonry in C.M./L.M. including stacking the useful materials for reuse  &amp;  removing the debris within 50m lead  with  cost  of  all labour etc. complete.</v>
      </c>
      <c r="C47" s="688"/>
      <c r="D47" s="1667"/>
      <c r="E47" s="688"/>
      <c r="F47" s="688"/>
      <c r="G47" s="1674"/>
      <c r="H47" s="688"/>
      <c r="I47" s="1668"/>
      <c r="J47" s="1668"/>
      <c r="K47" s="1668"/>
      <c r="L47" s="1669"/>
    </row>
    <row r="48" spans="1:12" s="692" customFormat="1" ht="16.5" hidden="1">
      <c r="A48" s="1670" t="s">
        <v>201</v>
      </c>
      <c r="B48" s="1666" t="s">
        <v>384</v>
      </c>
      <c r="C48" s="688"/>
      <c r="D48" s="1667"/>
      <c r="E48" s="688"/>
      <c r="F48" s="688"/>
      <c r="G48" s="688"/>
      <c r="H48" s="688"/>
      <c r="I48" s="1668"/>
      <c r="J48" s="1668"/>
      <c r="K48" s="1668"/>
      <c r="L48" s="1669"/>
    </row>
    <row r="49" spans="1:12" s="692" customFormat="1" ht="16.5" hidden="1">
      <c r="A49" s="1670"/>
      <c r="B49" s="1666"/>
      <c r="C49" s="688"/>
      <c r="D49" s="1667"/>
      <c r="E49" s="1671">
        <v>3.5</v>
      </c>
      <c r="F49" s="1671">
        <v>4</v>
      </c>
      <c r="G49" s="1672">
        <v>0.15</v>
      </c>
      <c r="H49" s="1671">
        <f t="shared" ref="H49:H54" si="5">ROUND(D49*E49*F49*G49,2)</f>
        <v>0</v>
      </c>
      <c r="I49" s="688" t="s">
        <v>49</v>
      </c>
      <c r="J49" s="1668"/>
      <c r="K49" s="1668"/>
      <c r="L49" s="1669"/>
    </row>
    <row r="50" spans="1:12" s="692" customFormat="1" ht="16.5" hidden="1">
      <c r="A50" s="1670"/>
      <c r="B50" s="1666"/>
      <c r="C50" s="688"/>
      <c r="D50" s="1667"/>
      <c r="E50" s="1671">
        <v>3.5</v>
      </c>
      <c r="F50" s="1671">
        <v>4</v>
      </c>
      <c r="G50" s="1672">
        <v>0.15</v>
      </c>
      <c r="H50" s="1671">
        <f t="shared" si="5"/>
        <v>0</v>
      </c>
      <c r="I50" s="688" t="s">
        <v>49</v>
      </c>
      <c r="J50" s="1668"/>
      <c r="K50" s="1668"/>
      <c r="L50" s="1669"/>
    </row>
    <row r="51" spans="1:12" s="692" customFormat="1" ht="16.5" hidden="1">
      <c r="A51" s="1670"/>
      <c r="B51" s="1666"/>
      <c r="C51" s="688"/>
      <c r="D51" s="1667"/>
      <c r="E51" s="1671">
        <v>3.5</v>
      </c>
      <c r="F51" s="1671">
        <v>4</v>
      </c>
      <c r="G51" s="1672">
        <v>0.15</v>
      </c>
      <c r="H51" s="1671">
        <f t="shared" si="5"/>
        <v>0</v>
      </c>
      <c r="I51" s="688" t="s">
        <v>49</v>
      </c>
      <c r="J51" s="1668"/>
      <c r="K51" s="1668"/>
      <c r="L51" s="1669"/>
    </row>
    <row r="52" spans="1:12" s="692" customFormat="1" ht="16.5" hidden="1">
      <c r="A52" s="1670"/>
      <c r="B52" s="1666"/>
      <c r="C52" s="688"/>
      <c r="D52" s="1667"/>
      <c r="E52" s="1671">
        <v>3.5</v>
      </c>
      <c r="F52" s="1671">
        <v>4</v>
      </c>
      <c r="G52" s="1672">
        <v>0.15</v>
      </c>
      <c r="H52" s="1671">
        <f t="shared" si="5"/>
        <v>0</v>
      </c>
      <c r="I52" s="688" t="s">
        <v>49</v>
      </c>
      <c r="J52" s="1668"/>
      <c r="K52" s="1668"/>
      <c r="L52" s="1669"/>
    </row>
    <row r="53" spans="1:12" s="692" customFormat="1" ht="16.5" hidden="1">
      <c r="A53" s="1670"/>
      <c r="B53" s="1666"/>
      <c r="C53" s="688"/>
      <c r="D53" s="1667"/>
      <c r="E53" s="1671">
        <v>3.5</v>
      </c>
      <c r="F53" s="1671">
        <v>4</v>
      </c>
      <c r="G53" s="1672">
        <v>0.15</v>
      </c>
      <c r="H53" s="1671">
        <f t="shared" si="5"/>
        <v>0</v>
      </c>
      <c r="I53" s="688" t="s">
        <v>49</v>
      </c>
      <c r="J53" s="1668"/>
      <c r="K53" s="1668"/>
      <c r="L53" s="1669"/>
    </row>
    <row r="54" spans="1:12" s="692" customFormat="1" ht="16.5" hidden="1">
      <c r="A54" s="1670"/>
      <c r="B54" s="1666"/>
      <c r="C54" s="688"/>
      <c r="D54" s="1667"/>
      <c r="E54" s="1671">
        <v>3.5</v>
      </c>
      <c r="F54" s="1671">
        <v>4</v>
      </c>
      <c r="G54" s="1672">
        <v>0.15</v>
      </c>
      <c r="H54" s="1671">
        <f t="shared" si="5"/>
        <v>0</v>
      </c>
      <c r="I54" s="688" t="s">
        <v>49</v>
      </c>
      <c r="J54" s="1668"/>
      <c r="K54" s="1668"/>
      <c r="L54" s="1669"/>
    </row>
    <row r="55" spans="1:12" s="692" customFormat="1" ht="16.5" hidden="1">
      <c r="A55" s="1670"/>
      <c r="B55" s="1666"/>
      <c r="C55" s="688"/>
      <c r="D55" s="1667"/>
      <c r="E55" s="688"/>
      <c r="F55" s="688"/>
      <c r="G55" s="1668" t="s">
        <v>928</v>
      </c>
      <c r="H55" s="1673">
        <f>SUM(H49:H54)</f>
        <v>0</v>
      </c>
      <c r="I55" s="1668" t="s">
        <v>49</v>
      </c>
      <c r="J55" s="1669">
        <f>'Lead &amp; ANALYSIS'!L276</f>
        <v>1056.9000000000001</v>
      </c>
      <c r="K55" s="1668" t="s">
        <v>1516</v>
      </c>
      <c r="L55" s="1669">
        <f>ROUND(H55*J55,0)</f>
        <v>0</v>
      </c>
    </row>
    <row r="56" spans="1:12" s="692" customFormat="1" ht="16.5" hidden="1">
      <c r="A56" s="1670" t="s">
        <v>220</v>
      </c>
      <c r="B56" s="1666" t="s">
        <v>387</v>
      </c>
      <c r="C56" s="688"/>
      <c r="D56" s="1667"/>
      <c r="E56" s="688"/>
      <c r="F56" s="688"/>
      <c r="G56" s="1668"/>
      <c r="H56" s="1673"/>
      <c r="I56" s="1668"/>
      <c r="J56" s="1669"/>
      <c r="K56" s="1668"/>
      <c r="L56" s="1669"/>
    </row>
    <row r="57" spans="1:12" s="692" customFormat="1" ht="16.5" hidden="1">
      <c r="A57" s="1670"/>
      <c r="B57" s="1666"/>
      <c r="C57" s="688"/>
      <c r="D57" s="1667"/>
      <c r="E57" s="1671">
        <v>3.5</v>
      </c>
      <c r="F57" s="1671">
        <v>4</v>
      </c>
      <c r="G57" s="1672">
        <v>0.15</v>
      </c>
      <c r="H57" s="1671">
        <f t="shared" ref="H57:H62" si="6">ROUND(D57*E57*F57*G57,2)</f>
        <v>0</v>
      </c>
      <c r="I57" s="688" t="s">
        <v>49</v>
      </c>
      <c r="J57" s="1668"/>
      <c r="K57" s="1668"/>
      <c r="L57" s="1669"/>
    </row>
    <row r="58" spans="1:12" s="692" customFormat="1" ht="16.5" hidden="1">
      <c r="A58" s="1670"/>
      <c r="B58" s="1666"/>
      <c r="C58" s="688"/>
      <c r="D58" s="1667"/>
      <c r="E58" s="1671">
        <v>3.5</v>
      </c>
      <c r="F58" s="1671">
        <v>4</v>
      </c>
      <c r="G58" s="1672">
        <v>0.15</v>
      </c>
      <c r="H58" s="1671">
        <f t="shared" si="6"/>
        <v>0</v>
      </c>
      <c r="I58" s="688" t="s">
        <v>49</v>
      </c>
      <c r="J58" s="1668"/>
      <c r="K58" s="1668"/>
      <c r="L58" s="1669"/>
    </row>
    <row r="59" spans="1:12" s="692" customFormat="1" ht="16.5" hidden="1">
      <c r="A59" s="1670"/>
      <c r="B59" s="1666"/>
      <c r="C59" s="688"/>
      <c r="D59" s="1667"/>
      <c r="E59" s="1671">
        <v>3.5</v>
      </c>
      <c r="F59" s="1671">
        <v>4</v>
      </c>
      <c r="G59" s="1672">
        <v>0.15</v>
      </c>
      <c r="H59" s="1671">
        <f t="shared" si="6"/>
        <v>0</v>
      </c>
      <c r="I59" s="688" t="s">
        <v>49</v>
      </c>
      <c r="J59" s="1668"/>
      <c r="K59" s="1668"/>
      <c r="L59" s="1669"/>
    </row>
    <row r="60" spans="1:12" s="692" customFormat="1" ht="16.5" hidden="1">
      <c r="A60" s="1670"/>
      <c r="B60" s="1666"/>
      <c r="C60" s="688"/>
      <c r="D60" s="1667"/>
      <c r="E60" s="1671">
        <v>3.5</v>
      </c>
      <c r="F60" s="1671">
        <v>4</v>
      </c>
      <c r="G60" s="1672">
        <v>0.15</v>
      </c>
      <c r="H60" s="1671">
        <f t="shared" si="6"/>
        <v>0</v>
      </c>
      <c r="I60" s="688" t="s">
        <v>49</v>
      </c>
      <c r="J60" s="1668"/>
      <c r="K60" s="1668"/>
      <c r="L60" s="1669"/>
    </row>
    <row r="61" spans="1:12" s="692" customFormat="1" ht="16.5" hidden="1">
      <c r="A61" s="1670"/>
      <c r="B61" s="1666"/>
      <c r="C61" s="688"/>
      <c r="D61" s="1667"/>
      <c r="E61" s="1671">
        <v>3.5</v>
      </c>
      <c r="F61" s="1671">
        <v>4</v>
      </c>
      <c r="G61" s="1672">
        <v>0.15</v>
      </c>
      <c r="H61" s="1671">
        <f t="shared" si="6"/>
        <v>0</v>
      </c>
      <c r="I61" s="688" t="s">
        <v>49</v>
      </c>
      <c r="J61" s="1668"/>
      <c r="K61" s="1668"/>
      <c r="L61" s="1669"/>
    </row>
    <row r="62" spans="1:12" s="692" customFormat="1" ht="16.5" hidden="1">
      <c r="A62" s="1670"/>
      <c r="B62" s="1666"/>
      <c r="C62" s="688"/>
      <c r="D62" s="1667"/>
      <c r="E62" s="1671">
        <v>3.5</v>
      </c>
      <c r="F62" s="1671">
        <v>4</v>
      </c>
      <c r="G62" s="1672">
        <v>0.15</v>
      </c>
      <c r="H62" s="1671">
        <f t="shared" si="6"/>
        <v>0</v>
      </c>
      <c r="I62" s="688" t="s">
        <v>49</v>
      </c>
      <c r="J62" s="1668"/>
      <c r="K62" s="1668"/>
      <c r="L62" s="1669"/>
    </row>
    <row r="63" spans="1:12" s="692" customFormat="1" ht="16.5" hidden="1">
      <c r="A63" s="1670"/>
      <c r="B63" s="1666"/>
      <c r="C63" s="688"/>
      <c r="D63" s="1667"/>
      <c r="E63" s="688"/>
      <c r="F63" s="688"/>
      <c r="G63" s="1668" t="s">
        <v>928</v>
      </c>
      <c r="H63" s="1673">
        <f>SUM(H57:H62)</f>
        <v>0</v>
      </c>
      <c r="I63" s="1668" t="s">
        <v>49</v>
      </c>
      <c r="J63" s="1669">
        <f>'Lead &amp; ANALYSIS'!L277</f>
        <v>1108.8</v>
      </c>
      <c r="K63" s="1668" t="s">
        <v>1516</v>
      </c>
      <c r="L63" s="1669">
        <f>ROUND(H63*J63,0)</f>
        <v>0</v>
      </c>
    </row>
    <row r="64" spans="1:12" s="692" customFormat="1" ht="16.5" hidden="1">
      <c r="A64" s="1670" t="s">
        <v>244</v>
      </c>
      <c r="B64" s="1666" t="s">
        <v>3613</v>
      </c>
      <c r="C64" s="688"/>
      <c r="D64" s="1667"/>
      <c r="E64" s="688"/>
      <c r="F64" s="688"/>
      <c r="G64" s="1668"/>
      <c r="H64" s="1673"/>
      <c r="I64" s="1668"/>
      <c r="J64" s="1669"/>
      <c r="K64" s="1668"/>
      <c r="L64" s="1669"/>
    </row>
    <row r="65" spans="1:12" s="692" customFormat="1" ht="16.5" hidden="1">
      <c r="A65" s="1670"/>
      <c r="B65" s="1666"/>
      <c r="C65" s="688"/>
      <c r="D65" s="1667"/>
      <c r="E65" s="1671">
        <v>3.5</v>
      </c>
      <c r="F65" s="1671">
        <v>4</v>
      </c>
      <c r="G65" s="1672">
        <v>0.15</v>
      </c>
      <c r="H65" s="1671">
        <f t="shared" ref="H65:H70" si="7">ROUND(D65*E65*F65*G65,2)</f>
        <v>0</v>
      </c>
      <c r="I65" s="688" t="s">
        <v>49</v>
      </c>
      <c r="J65" s="1668"/>
      <c r="K65" s="1668"/>
      <c r="L65" s="1669"/>
    </row>
    <row r="66" spans="1:12" s="692" customFormat="1" ht="16.5" hidden="1">
      <c r="A66" s="1670"/>
      <c r="B66" s="1666"/>
      <c r="C66" s="688"/>
      <c r="D66" s="1667"/>
      <c r="E66" s="1671">
        <v>3.5</v>
      </c>
      <c r="F66" s="1671">
        <v>4</v>
      </c>
      <c r="G66" s="1672">
        <v>0.15</v>
      </c>
      <c r="H66" s="1671">
        <f t="shared" si="7"/>
        <v>0</v>
      </c>
      <c r="I66" s="688" t="s">
        <v>49</v>
      </c>
      <c r="J66" s="1668"/>
      <c r="K66" s="1668"/>
      <c r="L66" s="1669"/>
    </row>
    <row r="67" spans="1:12" s="692" customFormat="1" ht="16.5" hidden="1">
      <c r="A67" s="1670"/>
      <c r="B67" s="1666"/>
      <c r="C67" s="688"/>
      <c r="D67" s="1667"/>
      <c r="E67" s="1671">
        <v>3.5</v>
      </c>
      <c r="F67" s="1671">
        <v>4</v>
      </c>
      <c r="G67" s="1672">
        <v>0.15</v>
      </c>
      <c r="H67" s="1671">
        <f t="shared" si="7"/>
        <v>0</v>
      </c>
      <c r="I67" s="688" t="s">
        <v>49</v>
      </c>
      <c r="J67" s="1668"/>
      <c r="K67" s="1668"/>
      <c r="L67" s="1669"/>
    </row>
    <row r="68" spans="1:12" s="692" customFormat="1" ht="16.5" hidden="1">
      <c r="A68" s="1670"/>
      <c r="B68" s="1666"/>
      <c r="C68" s="688"/>
      <c r="D68" s="1667"/>
      <c r="E68" s="1671">
        <v>3.5</v>
      </c>
      <c r="F68" s="1671">
        <v>4</v>
      </c>
      <c r="G68" s="1672">
        <v>0.15</v>
      </c>
      <c r="H68" s="1671">
        <f t="shared" si="7"/>
        <v>0</v>
      </c>
      <c r="I68" s="688" t="s">
        <v>49</v>
      </c>
      <c r="J68" s="1668"/>
      <c r="K68" s="1668"/>
      <c r="L68" s="1669"/>
    </row>
    <row r="69" spans="1:12" s="692" customFormat="1" ht="16.5" hidden="1">
      <c r="A69" s="1670"/>
      <c r="B69" s="1666"/>
      <c r="C69" s="688"/>
      <c r="D69" s="1667"/>
      <c r="E69" s="1671">
        <v>3.5</v>
      </c>
      <c r="F69" s="1671">
        <v>4</v>
      </c>
      <c r="G69" s="1672">
        <v>0.15</v>
      </c>
      <c r="H69" s="1671">
        <f t="shared" si="7"/>
        <v>0</v>
      </c>
      <c r="I69" s="688" t="s">
        <v>49</v>
      </c>
      <c r="J69" s="1668"/>
      <c r="K69" s="1668"/>
      <c r="L69" s="1669"/>
    </row>
    <row r="70" spans="1:12" s="692" customFormat="1" ht="16.5" hidden="1">
      <c r="A70" s="1670"/>
      <c r="B70" s="1666"/>
      <c r="C70" s="688"/>
      <c r="D70" s="1667"/>
      <c r="E70" s="1671">
        <v>3.5</v>
      </c>
      <c r="F70" s="1671">
        <v>4</v>
      </c>
      <c r="G70" s="1672">
        <v>0.15</v>
      </c>
      <c r="H70" s="1671">
        <f t="shared" si="7"/>
        <v>0</v>
      </c>
      <c r="I70" s="688" t="s">
        <v>49</v>
      </c>
      <c r="J70" s="1668"/>
      <c r="K70" s="1668"/>
      <c r="L70" s="1669"/>
    </row>
    <row r="71" spans="1:12" s="692" customFormat="1" ht="16.5" hidden="1">
      <c r="A71" s="1670"/>
      <c r="B71" s="1666"/>
      <c r="C71" s="688"/>
      <c r="D71" s="1667"/>
      <c r="E71" s="688"/>
      <c r="F71" s="688"/>
      <c r="G71" s="1668" t="s">
        <v>928</v>
      </c>
      <c r="H71" s="1673">
        <f>SUM(H65:H70)</f>
        <v>0</v>
      </c>
      <c r="I71" s="1668" t="s">
        <v>49</v>
      </c>
      <c r="J71" s="1669">
        <f>'Lead &amp; ANALYSIS'!L278</f>
        <v>1163.2</v>
      </c>
      <c r="K71" s="1668" t="s">
        <v>1516</v>
      </c>
      <c r="L71" s="1669">
        <f>ROUND(H71*J71,0)</f>
        <v>0</v>
      </c>
    </row>
    <row r="72" spans="1:12" s="692" customFormat="1" ht="16.5" hidden="1">
      <c r="A72" s="1670" t="s">
        <v>291</v>
      </c>
      <c r="B72" s="1666" t="s">
        <v>3632</v>
      </c>
      <c r="C72" s="688"/>
      <c r="D72" s="1667"/>
      <c r="E72" s="688"/>
      <c r="F72" s="688"/>
      <c r="G72" s="1668"/>
      <c r="H72" s="1673"/>
      <c r="I72" s="1668"/>
      <c r="J72" s="1669"/>
      <c r="K72" s="1668"/>
      <c r="L72" s="1669"/>
    </row>
    <row r="73" spans="1:12" s="692" customFormat="1" ht="16.5" hidden="1">
      <c r="A73" s="1670"/>
      <c r="B73" s="1666"/>
      <c r="C73" s="688"/>
      <c r="D73" s="1667"/>
      <c r="E73" s="1671">
        <v>3.5</v>
      </c>
      <c r="F73" s="1671">
        <v>4</v>
      </c>
      <c r="G73" s="1672">
        <v>0.15</v>
      </c>
      <c r="H73" s="1671">
        <f t="shared" ref="H73:H78" si="8">ROUND(D73*E73*F73*G73,2)</f>
        <v>0</v>
      </c>
      <c r="I73" s="688" t="s">
        <v>49</v>
      </c>
      <c r="J73" s="1668"/>
      <c r="K73" s="1668"/>
      <c r="L73" s="1669"/>
    </row>
    <row r="74" spans="1:12" s="692" customFormat="1" ht="16.5" hidden="1">
      <c r="A74" s="1670"/>
      <c r="B74" s="1666"/>
      <c r="C74" s="688"/>
      <c r="D74" s="1667"/>
      <c r="E74" s="1671">
        <v>3.5</v>
      </c>
      <c r="F74" s="1671">
        <v>4</v>
      </c>
      <c r="G74" s="1672">
        <v>0.15</v>
      </c>
      <c r="H74" s="1671">
        <f t="shared" si="8"/>
        <v>0</v>
      </c>
      <c r="I74" s="688" t="s">
        <v>49</v>
      </c>
      <c r="J74" s="1668"/>
      <c r="K74" s="1668"/>
      <c r="L74" s="1669"/>
    </row>
    <row r="75" spans="1:12" s="692" customFormat="1" ht="16.5" hidden="1">
      <c r="A75" s="1665"/>
      <c r="B75" s="1666"/>
      <c r="C75" s="688"/>
      <c r="D75" s="1667"/>
      <c r="E75" s="1671">
        <v>3.5</v>
      </c>
      <c r="F75" s="1671">
        <v>4</v>
      </c>
      <c r="G75" s="1672">
        <v>0.15</v>
      </c>
      <c r="H75" s="1671">
        <f t="shared" si="8"/>
        <v>0</v>
      </c>
      <c r="I75" s="688" t="s">
        <v>49</v>
      </c>
      <c r="J75" s="1668"/>
      <c r="K75" s="1668"/>
      <c r="L75" s="1669"/>
    </row>
    <row r="76" spans="1:12" s="692" customFormat="1" ht="16.5" hidden="1">
      <c r="A76" s="1665"/>
      <c r="B76" s="1666"/>
      <c r="C76" s="688"/>
      <c r="D76" s="1667"/>
      <c r="E76" s="1671">
        <v>3.5</v>
      </c>
      <c r="F76" s="1671">
        <v>4</v>
      </c>
      <c r="G76" s="1672">
        <v>0.15</v>
      </c>
      <c r="H76" s="1671">
        <f t="shared" si="8"/>
        <v>0</v>
      </c>
      <c r="I76" s="688" t="s">
        <v>49</v>
      </c>
      <c r="J76" s="1668"/>
      <c r="K76" s="1668"/>
      <c r="L76" s="1669"/>
    </row>
    <row r="77" spans="1:12" s="692" customFormat="1" ht="16.5" hidden="1">
      <c r="A77" s="1665"/>
      <c r="B77" s="1666"/>
      <c r="C77" s="688"/>
      <c r="D77" s="1667"/>
      <c r="E77" s="1671">
        <v>3.5</v>
      </c>
      <c r="F77" s="1671">
        <v>4</v>
      </c>
      <c r="G77" s="1672">
        <v>0.15</v>
      </c>
      <c r="H77" s="1671">
        <f t="shared" si="8"/>
        <v>0</v>
      </c>
      <c r="I77" s="688" t="s">
        <v>49</v>
      </c>
      <c r="J77" s="1668"/>
      <c r="K77" s="1668"/>
      <c r="L77" s="1669"/>
    </row>
    <row r="78" spans="1:12" s="692" customFormat="1" ht="16.5" hidden="1">
      <c r="A78" s="1665"/>
      <c r="B78" s="1666"/>
      <c r="C78" s="688"/>
      <c r="D78" s="1667"/>
      <c r="E78" s="1671">
        <v>3.5</v>
      </c>
      <c r="F78" s="1671">
        <v>4</v>
      </c>
      <c r="G78" s="1672">
        <v>0.15</v>
      </c>
      <c r="H78" s="1671">
        <f t="shared" si="8"/>
        <v>0</v>
      </c>
      <c r="I78" s="688" t="s">
        <v>49</v>
      </c>
      <c r="J78" s="1668"/>
      <c r="K78" s="1668"/>
      <c r="L78" s="1669"/>
    </row>
    <row r="79" spans="1:12" s="692" customFormat="1" ht="16.5" hidden="1">
      <c r="A79" s="1665"/>
      <c r="B79" s="1666"/>
      <c r="C79" s="688"/>
      <c r="D79" s="1667"/>
      <c r="E79" s="688"/>
      <c r="F79" s="688"/>
      <c r="G79" s="1668" t="s">
        <v>928</v>
      </c>
      <c r="H79" s="1673">
        <f>SUM(H73:H78)</f>
        <v>0</v>
      </c>
      <c r="I79" s="1668" t="s">
        <v>49</v>
      </c>
      <c r="J79" s="1669">
        <f>'Lead &amp; ANALYSIS'!L279</f>
        <v>1220.3</v>
      </c>
      <c r="K79" s="1668" t="s">
        <v>1516</v>
      </c>
      <c r="L79" s="1669">
        <f>ROUND(H79*J79,0)</f>
        <v>0</v>
      </c>
    </row>
    <row r="80" spans="1:12" s="692" customFormat="1" ht="66" hidden="1">
      <c r="A80" s="1665">
        <f>'Lead &amp; ANALYSIS'!A280</f>
        <v>3</v>
      </c>
      <c r="B80" s="1666" t="str">
        <f>'Lead &amp; ANALYSIS'!B280</f>
        <v>Dismantling &amp; removing 2.5cm thick A.S. Flooring including stacking the useful materials for reuse  &amp;  removing the debris within 50m lead  with  cost  of  all labour etc. complete.</v>
      </c>
      <c r="C80" s="688"/>
      <c r="D80" s="1667"/>
      <c r="E80" s="688"/>
      <c r="F80" s="688"/>
      <c r="G80" s="1674"/>
      <c r="H80" s="688"/>
      <c r="I80" s="1668"/>
      <c r="J80" s="1668"/>
      <c r="K80" s="1668"/>
      <c r="L80" s="1669"/>
    </row>
    <row r="81" spans="1:12" s="692" customFormat="1" ht="16.5" hidden="1">
      <c r="A81" s="1670" t="s">
        <v>201</v>
      </c>
      <c r="B81" s="1666" t="s">
        <v>384</v>
      </c>
      <c r="C81" s="688"/>
      <c r="D81" s="1667"/>
      <c r="E81" s="688"/>
      <c r="F81" s="688"/>
      <c r="G81" s="688"/>
      <c r="H81" s="688"/>
      <c r="I81" s="1668"/>
      <c r="J81" s="1668"/>
      <c r="K81" s="1668"/>
      <c r="L81" s="1669"/>
    </row>
    <row r="82" spans="1:12" s="692" customFormat="1" ht="16.5" hidden="1">
      <c r="A82" s="1670"/>
      <c r="B82" s="1666"/>
      <c r="C82" s="688"/>
      <c r="D82" s="1667"/>
      <c r="E82" s="1671">
        <v>3.5</v>
      </c>
      <c r="F82" s="1671">
        <v>4</v>
      </c>
      <c r="G82" s="1672">
        <v>0.15</v>
      </c>
      <c r="H82" s="1671">
        <f t="shared" ref="H82:H87" si="9">ROUND(D82*E82*F82*G82,2)</f>
        <v>0</v>
      </c>
      <c r="I82" s="688" t="s">
        <v>49</v>
      </c>
      <c r="J82" s="1668"/>
      <c r="K82" s="1668"/>
      <c r="L82" s="1669"/>
    </row>
    <row r="83" spans="1:12" s="692" customFormat="1" ht="16.5" hidden="1">
      <c r="A83" s="1670"/>
      <c r="B83" s="1666"/>
      <c r="C83" s="688"/>
      <c r="D83" s="1667"/>
      <c r="E83" s="1671">
        <v>3.5</v>
      </c>
      <c r="F83" s="1671">
        <v>4</v>
      </c>
      <c r="G83" s="1672">
        <v>0.15</v>
      </c>
      <c r="H83" s="1671">
        <f t="shared" si="9"/>
        <v>0</v>
      </c>
      <c r="I83" s="688" t="s">
        <v>49</v>
      </c>
      <c r="J83" s="1668"/>
      <c r="K83" s="1668"/>
      <c r="L83" s="1669"/>
    </row>
    <row r="84" spans="1:12" s="692" customFormat="1" ht="16.5" hidden="1">
      <c r="A84" s="1670"/>
      <c r="B84" s="1666"/>
      <c r="C84" s="688"/>
      <c r="D84" s="1667"/>
      <c r="E84" s="1671">
        <v>3.5</v>
      </c>
      <c r="F84" s="1671">
        <v>4</v>
      </c>
      <c r="G84" s="1672">
        <v>0.15</v>
      </c>
      <c r="H84" s="1671">
        <f t="shared" si="9"/>
        <v>0</v>
      </c>
      <c r="I84" s="688" t="s">
        <v>49</v>
      </c>
      <c r="J84" s="1668"/>
      <c r="K84" s="1668"/>
      <c r="L84" s="1669"/>
    </row>
    <row r="85" spans="1:12" s="692" customFormat="1" ht="16.5" hidden="1">
      <c r="A85" s="1670"/>
      <c r="B85" s="1666"/>
      <c r="C85" s="688"/>
      <c r="D85" s="1667"/>
      <c r="E85" s="1671">
        <v>3.5</v>
      </c>
      <c r="F85" s="1671">
        <v>4</v>
      </c>
      <c r="G85" s="1672">
        <v>0.15</v>
      </c>
      <c r="H85" s="1671">
        <f t="shared" si="9"/>
        <v>0</v>
      </c>
      <c r="I85" s="688" t="s">
        <v>49</v>
      </c>
      <c r="J85" s="1668"/>
      <c r="K85" s="1668"/>
      <c r="L85" s="1669"/>
    </row>
    <row r="86" spans="1:12" s="692" customFormat="1" ht="16.5" hidden="1">
      <c r="A86" s="1670"/>
      <c r="B86" s="1666"/>
      <c r="C86" s="688"/>
      <c r="D86" s="1667"/>
      <c r="E86" s="1671">
        <v>3.5</v>
      </c>
      <c r="F86" s="1671">
        <v>4</v>
      </c>
      <c r="G86" s="1672">
        <v>0.15</v>
      </c>
      <c r="H86" s="1671">
        <f t="shared" si="9"/>
        <v>0</v>
      </c>
      <c r="I86" s="688" t="s">
        <v>49</v>
      </c>
      <c r="J86" s="1668"/>
      <c r="K86" s="1668"/>
      <c r="L86" s="1669"/>
    </row>
    <row r="87" spans="1:12" s="692" customFormat="1" ht="16.5" hidden="1">
      <c r="A87" s="1670"/>
      <c r="B87" s="1666"/>
      <c r="C87" s="688"/>
      <c r="D87" s="1667"/>
      <c r="E87" s="1671">
        <v>3.5</v>
      </c>
      <c r="F87" s="1671">
        <v>4</v>
      </c>
      <c r="G87" s="1672">
        <v>0.15</v>
      </c>
      <c r="H87" s="1671">
        <f t="shared" si="9"/>
        <v>0</v>
      </c>
      <c r="I87" s="688" t="s">
        <v>49</v>
      </c>
      <c r="J87" s="1668"/>
      <c r="K87" s="1668"/>
      <c r="L87" s="1669"/>
    </row>
    <row r="88" spans="1:12" s="692" customFormat="1" ht="16.5" hidden="1">
      <c r="A88" s="1670"/>
      <c r="B88" s="1666"/>
      <c r="C88" s="688"/>
      <c r="D88" s="1667"/>
      <c r="E88" s="688"/>
      <c r="F88" s="688"/>
      <c r="G88" s="1668" t="s">
        <v>928</v>
      </c>
      <c r="H88" s="1673">
        <f>SUM(H82:H87)</f>
        <v>0</v>
      </c>
      <c r="I88" s="1668" t="s">
        <v>49</v>
      </c>
      <c r="J88" s="1669">
        <f>'Lead &amp; ANALYSIS'!L281</f>
        <v>75.7</v>
      </c>
      <c r="K88" s="1668" t="s">
        <v>1514</v>
      </c>
      <c r="L88" s="1669">
        <f>ROUND(H88*J88,0)</f>
        <v>0</v>
      </c>
    </row>
    <row r="89" spans="1:12" s="692" customFormat="1" ht="16.5" hidden="1">
      <c r="A89" s="1670" t="s">
        <v>220</v>
      </c>
      <c r="B89" s="1666" t="s">
        <v>387</v>
      </c>
      <c r="C89" s="688"/>
      <c r="D89" s="1667"/>
      <c r="E89" s="688"/>
      <c r="F89" s="688"/>
      <c r="G89" s="1668"/>
      <c r="H89" s="1673"/>
      <c r="I89" s="1668"/>
      <c r="J89" s="1669"/>
      <c r="K89" s="1668"/>
      <c r="L89" s="1669"/>
    </row>
    <row r="90" spans="1:12" s="692" customFormat="1" ht="16.5" hidden="1">
      <c r="A90" s="1670"/>
      <c r="B90" s="1666"/>
      <c r="C90" s="688"/>
      <c r="D90" s="1667"/>
      <c r="E90" s="1671">
        <v>3.5</v>
      </c>
      <c r="F90" s="1671">
        <v>4</v>
      </c>
      <c r="G90" s="1672">
        <v>0.15</v>
      </c>
      <c r="H90" s="1671">
        <f t="shared" ref="H90:H95" si="10">ROUND(D90*E90*F90*G90,2)</f>
        <v>0</v>
      </c>
      <c r="I90" s="688" t="s">
        <v>49</v>
      </c>
      <c r="J90" s="1668"/>
      <c r="K90" s="1668"/>
      <c r="L90" s="1669"/>
    </row>
    <row r="91" spans="1:12" s="692" customFormat="1" ht="16.5" hidden="1">
      <c r="A91" s="1670"/>
      <c r="B91" s="1666"/>
      <c r="C91" s="688"/>
      <c r="D91" s="1667"/>
      <c r="E91" s="1671">
        <v>3.5</v>
      </c>
      <c r="F91" s="1671">
        <v>4</v>
      </c>
      <c r="G91" s="1672">
        <v>0.15</v>
      </c>
      <c r="H91" s="1671">
        <f t="shared" si="10"/>
        <v>0</v>
      </c>
      <c r="I91" s="688" t="s">
        <v>49</v>
      </c>
      <c r="J91" s="1668"/>
      <c r="K91" s="1668"/>
      <c r="L91" s="1669"/>
    </row>
    <row r="92" spans="1:12" s="692" customFormat="1" ht="16.5" hidden="1">
      <c r="A92" s="1670"/>
      <c r="B92" s="1666"/>
      <c r="C92" s="688"/>
      <c r="D92" s="1667"/>
      <c r="E92" s="1671">
        <v>3.5</v>
      </c>
      <c r="F92" s="1671">
        <v>4</v>
      </c>
      <c r="G92" s="1672">
        <v>0.15</v>
      </c>
      <c r="H92" s="1671">
        <f t="shared" si="10"/>
        <v>0</v>
      </c>
      <c r="I92" s="688" t="s">
        <v>49</v>
      </c>
      <c r="J92" s="1668"/>
      <c r="K92" s="1668"/>
      <c r="L92" s="1669"/>
    </row>
    <row r="93" spans="1:12" s="692" customFormat="1" ht="16.5" hidden="1">
      <c r="A93" s="1670"/>
      <c r="B93" s="1666"/>
      <c r="C93" s="688"/>
      <c r="D93" s="1667"/>
      <c r="E93" s="1671">
        <v>3.5</v>
      </c>
      <c r="F93" s="1671">
        <v>4</v>
      </c>
      <c r="G93" s="1672">
        <v>0.15</v>
      </c>
      <c r="H93" s="1671">
        <f t="shared" si="10"/>
        <v>0</v>
      </c>
      <c r="I93" s="688" t="s">
        <v>49</v>
      </c>
      <c r="J93" s="1668"/>
      <c r="K93" s="1668"/>
      <c r="L93" s="1669"/>
    </row>
    <row r="94" spans="1:12" s="692" customFormat="1" ht="16.5" hidden="1">
      <c r="A94" s="1670"/>
      <c r="B94" s="1666"/>
      <c r="C94" s="688"/>
      <c r="D94" s="1667"/>
      <c r="E94" s="1671">
        <v>3.5</v>
      </c>
      <c r="F94" s="1671">
        <v>4</v>
      </c>
      <c r="G94" s="1672">
        <v>0.15</v>
      </c>
      <c r="H94" s="1671">
        <f t="shared" si="10"/>
        <v>0</v>
      </c>
      <c r="I94" s="688" t="s">
        <v>49</v>
      </c>
      <c r="J94" s="1668"/>
      <c r="K94" s="1668"/>
      <c r="L94" s="1669"/>
    </row>
    <row r="95" spans="1:12" s="692" customFormat="1" ht="16.5" hidden="1">
      <c r="A95" s="1670"/>
      <c r="B95" s="1666"/>
      <c r="C95" s="688"/>
      <c r="D95" s="1667"/>
      <c r="E95" s="1671">
        <v>3.5</v>
      </c>
      <c r="F95" s="1671">
        <v>4</v>
      </c>
      <c r="G95" s="1672">
        <v>0.15</v>
      </c>
      <c r="H95" s="1671">
        <f t="shared" si="10"/>
        <v>0</v>
      </c>
      <c r="I95" s="688" t="s">
        <v>49</v>
      </c>
      <c r="J95" s="1668"/>
      <c r="K95" s="1668"/>
      <c r="L95" s="1669"/>
    </row>
    <row r="96" spans="1:12" s="692" customFormat="1" ht="16.5" hidden="1">
      <c r="A96" s="1670"/>
      <c r="B96" s="1666"/>
      <c r="C96" s="688"/>
      <c r="D96" s="1667"/>
      <c r="E96" s="688"/>
      <c r="F96" s="688"/>
      <c r="G96" s="1668" t="s">
        <v>928</v>
      </c>
      <c r="H96" s="1673">
        <f>SUM(H90:H95)</f>
        <v>0</v>
      </c>
      <c r="I96" s="1668" t="s">
        <v>49</v>
      </c>
      <c r="J96" s="1669">
        <f>'Lead &amp; ANALYSIS'!L282</f>
        <v>79.400000000000006</v>
      </c>
      <c r="K96" s="1668" t="s">
        <v>1514</v>
      </c>
      <c r="L96" s="1669">
        <f>ROUND(H96*J96,0)</f>
        <v>0</v>
      </c>
    </row>
    <row r="97" spans="1:12" s="692" customFormat="1" ht="16.5" hidden="1">
      <c r="A97" s="1670" t="s">
        <v>244</v>
      </c>
      <c r="B97" s="1666" t="s">
        <v>3613</v>
      </c>
      <c r="C97" s="688"/>
      <c r="D97" s="1667"/>
      <c r="E97" s="688"/>
      <c r="F97" s="688"/>
      <c r="G97" s="1668"/>
      <c r="H97" s="1673"/>
      <c r="I97" s="1668"/>
      <c r="J97" s="1669"/>
      <c r="K97" s="1668"/>
      <c r="L97" s="1669"/>
    </row>
    <row r="98" spans="1:12" s="692" customFormat="1" ht="16.5" hidden="1">
      <c r="A98" s="1670"/>
      <c r="B98" s="1666"/>
      <c r="C98" s="688"/>
      <c r="D98" s="1667"/>
      <c r="E98" s="1671">
        <v>3.5</v>
      </c>
      <c r="F98" s="1671">
        <v>4</v>
      </c>
      <c r="G98" s="1672">
        <v>0.15</v>
      </c>
      <c r="H98" s="1671">
        <f t="shared" ref="H98:H103" si="11">ROUND(D98*E98*F98*G98,2)</f>
        <v>0</v>
      </c>
      <c r="I98" s="688" t="s">
        <v>49</v>
      </c>
      <c r="J98" s="1668"/>
      <c r="K98" s="1668"/>
      <c r="L98" s="1669"/>
    </row>
    <row r="99" spans="1:12" s="692" customFormat="1" ht="16.5" hidden="1">
      <c r="A99" s="1670"/>
      <c r="B99" s="1666"/>
      <c r="C99" s="688"/>
      <c r="D99" s="1667"/>
      <c r="E99" s="1671">
        <v>3.5</v>
      </c>
      <c r="F99" s="1671">
        <v>4</v>
      </c>
      <c r="G99" s="1672">
        <v>0.15</v>
      </c>
      <c r="H99" s="1671">
        <f t="shared" si="11"/>
        <v>0</v>
      </c>
      <c r="I99" s="688" t="s">
        <v>49</v>
      </c>
      <c r="J99" s="1668"/>
      <c r="K99" s="1668"/>
      <c r="L99" s="1669"/>
    </row>
    <row r="100" spans="1:12" s="692" customFormat="1" ht="16.5" hidden="1">
      <c r="A100" s="1670"/>
      <c r="B100" s="1666"/>
      <c r="C100" s="688"/>
      <c r="D100" s="1667"/>
      <c r="E100" s="1671">
        <v>3.5</v>
      </c>
      <c r="F100" s="1671">
        <v>4</v>
      </c>
      <c r="G100" s="1672">
        <v>0.15</v>
      </c>
      <c r="H100" s="1671">
        <f t="shared" si="11"/>
        <v>0</v>
      </c>
      <c r="I100" s="688" t="s">
        <v>49</v>
      </c>
      <c r="J100" s="1668"/>
      <c r="K100" s="1668"/>
      <c r="L100" s="1669"/>
    </row>
    <row r="101" spans="1:12" s="692" customFormat="1" ht="16.5" hidden="1">
      <c r="A101" s="1670"/>
      <c r="B101" s="1666"/>
      <c r="C101" s="688"/>
      <c r="D101" s="1667"/>
      <c r="E101" s="1671">
        <v>3.5</v>
      </c>
      <c r="F101" s="1671">
        <v>4</v>
      </c>
      <c r="G101" s="1672">
        <v>0.15</v>
      </c>
      <c r="H101" s="1671">
        <f t="shared" si="11"/>
        <v>0</v>
      </c>
      <c r="I101" s="688" t="s">
        <v>49</v>
      </c>
      <c r="J101" s="1668"/>
      <c r="K101" s="1668"/>
      <c r="L101" s="1669"/>
    </row>
    <row r="102" spans="1:12" s="692" customFormat="1" ht="16.5" hidden="1">
      <c r="A102" s="1670"/>
      <c r="B102" s="1666"/>
      <c r="C102" s="688"/>
      <c r="D102" s="1667"/>
      <c r="E102" s="1671">
        <v>3.5</v>
      </c>
      <c r="F102" s="1671">
        <v>4</v>
      </c>
      <c r="G102" s="1672">
        <v>0.15</v>
      </c>
      <c r="H102" s="1671">
        <f t="shared" si="11"/>
        <v>0</v>
      </c>
      <c r="I102" s="688" t="s">
        <v>49</v>
      </c>
      <c r="J102" s="1668"/>
      <c r="K102" s="1668"/>
      <c r="L102" s="1669"/>
    </row>
    <row r="103" spans="1:12" s="692" customFormat="1" ht="16.5" hidden="1">
      <c r="A103" s="1670"/>
      <c r="B103" s="1666"/>
      <c r="C103" s="688"/>
      <c r="D103" s="1667"/>
      <c r="E103" s="1671">
        <v>3.5</v>
      </c>
      <c r="F103" s="1671">
        <v>4</v>
      </c>
      <c r="G103" s="1672">
        <v>0.15</v>
      </c>
      <c r="H103" s="1671">
        <f t="shared" si="11"/>
        <v>0</v>
      </c>
      <c r="I103" s="688" t="s">
        <v>49</v>
      </c>
      <c r="J103" s="1668"/>
      <c r="K103" s="1668"/>
      <c r="L103" s="1669"/>
    </row>
    <row r="104" spans="1:12" s="692" customFormat="1" ht="16.5" hidden="1">
      <c r="A104" s="1670"/>
      <c r="B104" s="1666"/>
      <c r="C104" s="688"/>
      <c r="D104" s="1667"/>
      <c r="E104" s="688"/>
      <c r="F104" s="688"/>
      <c r="G104" s="1668" t="s">
        <v>928</v>
      </c>
      <c r="H104" s="1673">
        <f>SUM(H98:H103)</f>
        <v>0</v>
      </c>
      <c r="I104" s="1668" t="s">
        <v>49</v>
      </c>
      <c r="J104" s="1669">
        <f>'Lead &amp; ANALYSIS'!L283</f>
        <v>83.3</v>
      </c>
      <c r="K104" s="1668" t="s">
        <v>1516</v>
      </c>
      <c r="L104" s="1669">
        <f>ROUND(H104*J104,0)</f>
        <v>0</v>
      </c>
    </row>
    <row r="105" spans="1:12" s="692" customFormat="1" ht="16.5" hidden="1">
      <c r="A105" s="1670" t="s">
        <v>291</v>
      </c>
      <c r="B105" s="1666" t="s">
        <v>3632</v>
      </c>
      <c r="C105" s="688"/>
      <c r="D105" s="1667"/>
      <c r="E105" s="688"/>
      <c r="F105" s="688"/>
      <c r="G105" s="1668"/>
      <c r="H105" s="1673"/>
      <c r="I105" s="1668"/>
      <c r="J105" s="1669"/>
      <c r="K105" s="1668"/>
      <c r="L105" s="1669"/>
    </row>
    <row r="106" spans="1:12" s="692" customFormat="1" ht="16.5" hidden="1">
      <c r="A106" s="1670"/>
      <c r="B106" s="1666"/>
      <c r="C106" s="688"/>
      <c r="D106" s="1667"/>
      <c r="E106" s="1671">
        <v>3.5</v>
      </c>
      <c r="F106" s="1671">
        <v>4</v>
      </c>
      <c r="G106" s="1672">
        <v>0.15</v>
      </c>
      <c r="H106" s="1671">
        <f t="shared" ref="H106:H111" si="12">ROUND(D106*E106*F106*G106,2)</f>
        <v>0</v>
      </c>
      <c r="I106" s="688" t="s">
        <v>49</v>
      </c>
      <c r="J106" s="1668"/>
      <c r="K106" s="1668"/>
      <c r="L106" s="1669"/>
    </row>
    <row r="107" spans="1:12" s="692" customFormat="1" ht="16.5" hidden="1">
      <c r="A107" s="1670"/>
      <c r="B107" s="1666"/>
      <c r="C107" s="688"/>
      <c r="D107" s="1667"/>
      <c r="E107" s="1671">
        <v>3.5</v>
      </c>
      <c r="F107" s="1671">
        <v>4</v>
      </c>
      <c r="G107" s="1672">
        <v>0.15</v>
      </c>
      <c r="H107" s="1671">
        <f t="shared" si="12"/>
        <v>0</v>
      </c>
      <c r="I107" s="688" t="s">
        <v>49</v>
      </c>
      <c r="J107" s="1668"/>
      <c r="K107" s="1668"/>
      <c r="L107" s="1669"/>
    </row>
    <row r="108" spans="1:12" s="692" customFormat="1" ht="16.5" hidden="1">
      <c r="A108" s="1670"/>
      <c r="B108" s="1666"/>
      <c r="C108" s="688"/>
      <c r="D108" s="1667"/>
      <c r="E108" s="1671">
        <v>3.5</v>
      </c>
      <c r="F108" s="1671">
        <v>4</v>
      </c>
      <c r="G108" s="1672">
        <v>0.15</v>
      </c>
      <c r="H108" s="1671">
        <f t="shared" si="12"/>
        <v>0</v>
      </c>
      <c r="I108" s="688" t="s">
        <v>49</v>
      </c>
      <c r="J108" s="1668"/>
      <c r="K108" s="1668"/>
      <c r="L108" s="1669"/>
    </row>
    <row r="109" spans="1:12" s="692" customFormat="1" ht="16.5" hidden="1">
      <c r="A109" s="1670"/>
      <c r="B109" s="1666"/>
      <c r="C109" s="688"/>
      <c r="D109" s="1667"/>
      <c r="E109" s="1671">
        <v>3.5</v>
      </c>
      <c r="F109" s="1671">
        <v>4</v>
      </c>
      <c r="G109" s="1672">
        <v>0.15</v>
      </c>
      <c r="H109" s="1671">
        <f t="shared" si="12"/>
        <v>0</v>
      </c>
      <c r="I109" s="688" t="s">
        <v>49</v>
      </c>
      <c r="J109" s="1668"/>
      <c r="K109" s="1668"/>
      <c r="L109" s="1669"/>
    </row>
    <row r="110" spans="1:12" s="692" customFormat="1" ht="16.5" hidden="1">
      <c r="A110" s="1665"/>
      <c r="B110" s="1666"/>
      <c r="C110" s="688"/>
      <c r="D110" s="1667"/>
      <c r="E110" s="1671">
        <v>3.5</v>
      </c>
      <c r="F110" s="1671">
        <v>4</v>
      </c>
      <c r="G110" s="1672">
        <v>0.15</v>
      </c>
      <c r="H110" s="1671">
        <f t="shared" si="12"/>
        <v>0</v>
      </c>
      <c r="I110" s="688" t="s">
        <v>49</v>
      </c>
      <c r="J110" s="1668"/>
      <c r="K110" s="1668"/>
      <c r="L110" s="1669"/>
    </row>
    <row r="111" spans="1:12" s="692" customFormat="1" ht="16.5" hidden="1">
      <c r="A111" s="1665"/>
      <c r="B111" s="1666"/>
      <c r="C111" s="688"/>
      <c r="D111" s="1667"/>
      <c r="E111" s="1671">
        <v>3.5</v>
      </c>
      <c r="F111" s="1671">
        <v>4</v>
      </c>
      <c r="G111" s="1672">
        <v>0.15</v>
      </c>
      <c r="H111" s="1671">
        <f t="shared" si="12"/>
        <v>0</v>
      </c>
      <c r="I111" s="688" t="s">
        <v>49</v>
      </c>
      <c r="J111" s="1668"/>
      <c r="K111" s="1668"/>
      <c r="L111" s="1669"/>
    </row>
    <row r="112" spans="1:12" s="692" customFormat="1" ht="16.5" hidden="1">
      <c r="A112" s="1665"/>
      <c r="B112" s="1666"/>
      <c r="C112" s="688"/>
      <c r="D112" s="1667"/>
      <c r="E112" s="688"/>
      <c r="F112" s="688"/>
      <c r="G112" s="1668" t="s">
        <v>928</v>
      </c>
      <c r="H112" s="1673">
        <f>SUM(H106:H111)</f>
        <v>0</v>
      </c>
      <c r="I112" s="1668" t="s">
        <v>49</v>
      </c>
      <c r="J112" s="1669">
        <f>'Lead &amp; ANALYSIS'!L284</f>
        <v>87.4</v>
      </c>
      <c r="K112" s="1668" t="s">
        <v>1516</v>
      </c>
      <c r="L112" s="1669">
        <f>ROUND(H112*J112,0)</f>
        <v>0</v>
      </c>
    </row>
    <row r="113" spans="1:12" s="692" customFormat="1" ht="66" hidden="1">
      <c r="A113" s="1665">
        <f>'Lead &amp; ANALYSIS'!A285</f>
        <v>4</v>
      </c>
      <c r="B113" s="1666" t="str">
        <f>'Lead &amp; ANALYSIS'!B285</f>
        <v>Removing Old lime or cement plaster including raking out joints 12mm deep and removing the debris within 50m lead  with  cost  of  all labour etc. complete.</v>
      </c>
      <c r="C113" s="688"/>
      <c r="D113" s="1667"/>
      <c r="E113" s="688"/>
      <c r="F113" s="688"/>
      <c r="G113" s="1674"/>
      <c r="H113" s="688"/>
      <c r="I113" s="1668"/>
      <c r="J113" s="1668"/>
      <c r="K113" s="1668"/>
      <c r="L113" s="1669"/>
    </row>
    <row r="114" spans="1:12" s="692" customFormat="1" ht="16.5" hidden="1">
      <c r="A114" s="1670" t="s">
        <v>201</v>
      </c>
      <c r="B114" s="1666" t="s">
        <v>384</v>
      </c>
      <c r="C114" s="688"/>
      <c r="D114" s="1667"/>
      <c r="E114" s="688"/>
      <c r="F114" s="688"/>
      <c r="G114" s="688"/>
      <c r="H114" s="688"/>
      <c r="I114" s="1668"/>
      <c r="J114" s="1668"/>
      <c r="K114" s="1668"/>
      <c r="L114" s="1669"/>
    </row>
    <row r="115" spans="1:12" s="692" customFormat="1" ht="16.5" hidden="1">
      <c r="A115" s="1670"/>
      <c r="B115" s="1666"/>
      <c r="C115" s="688"/>
      <c r="D115" s="1667"/>
      <c r="E115" s="1671">
        <v>3.5</v>
      </c>
      <c r="F115" s="1671">
        <v>4</v>
      </c>
      <c r="G115" s="1672">
        <v>0.15</v>
      </c>
      <c r="H115" s="1671">
        <f t="shared" ref="H115:H120" si="13">ROUND(D115*E115*F115*G115,2)</f>
        <v>0</v>
      </c>
      <c r="I115" s="688" t="s">
        <v>49</v>
      </c>
      <c r="J115" s="1668"/>
      <c r="K115" s="1668"/>
      <c r="L115" s="1669"/>
    </row>
    <row r="116" spans="1:12" s="692" customFormat="1" ht="16.5" hidden="1">
      <c r="A116" s="1670"/>
      <c r="B116" s="1666"/>
      <c r="C116" s="688"/>
      <c r="D116" s="1667"/>
      <c r="E116" s="1671">
        <v>3.5</v>
      </c>
      <c r="F116" s="1671">
        <v>4</v>
      </c>
      <c r="G116" s="1672">
        <v>0.15</v>
      </c>
      <c r="H116" s="1671">
        <f t="shared" si="13"/>
        <v>0</v>
      </c>
      <c r="I116" s="688" t="s">
        <v>49</v>
      </c>
      <c r="J116" s="1668"/>
      <c r="K116" s="1668"/>
      <c r="L116" s="1669"/>
    </row>
    <row r="117" spans="1:12" s="692" customFormat="1" ht="16.5" hidden="1">
      <c r="A117" s="1670"/>
      <c r="B117" s="1666"/>
      <c r="C117" s="688"/>
      <c r="D117" s="1667"/>
      <c r="E117" s="1671">
        <v>3.5</v>
      </c>
      <c r="F117" s="1671">
        <v>4</v>
      </c>
      <c r="G117" s="1672">
        <v>0.15</v>
      </c>
      <c r="H117" s="1671">
        <f t="shared" si="13"/>
        <v>0</v>
      </c>
      <c r="I117" s="688" t="s">
        <v>49</v>
      </c>
      <c r="J117" s="1668"/>
      <c r="K117" s="1668"/>
      <c r="L117" s="1669"/>
    </row>
    <row r="118" spans="1:12" s="692" customFormat="1" ht="16.5" hidden="1">
      <c r="A118" s="1670"/>
      <c r="B118" s="1666"/>
      <c r="C118" s="688"/>
      <c r="D118" s="1667"/>
      <c r="E118" s="1671">
        <v>3.5</v>
      </c>
      <c r="F118" s="1671">
        <v>4</v>
      </c>
      <c r="G118" s="1672">
        <v>0.15</v>
      </c>
      <c r="H118" s="1671">
        <f t="shared" si="13"/>
        <v>0</v>
      </c>
      <c r="I118" s="688" t="s">
        <v>49</v>
      </c>
      <c r="J118" s="1668"/>
      <c r="K118" s="1668"/>
      <c r="L118" s="1669"/>
    </row>
    <row r="119" spans="1:12" s="692" customFormat="1" ht="16.5" hidden="1">
      <c r="A119" s="1670"/>
      <c r="B119" s="1666"/>
      <c r="C119" s="688"/>
      <c r="D119" s="1667"/>
      <c r="E119" s="1671">
        <v>3.5</v>
      </c>
      <c r="F119" s="1671">
        <v>4</v>
      </c>
      <c r="G119" s="1672">
        <v>0.15</v>
      </c>
      <c r="H119" s="1671">
        <f t="shared" si="13"/>
        <v>0</v>
      </c>
      <c r="I119" s="688" t="s">
        <v>49</v>
      </c>
      <c r="J119" s="1668"/>
      <c r="K119" s="1668"/>
      <c r="L119" s="1669"/>
    </row>
    <row r="120" spans="1:12" s="692" customFormat="1" ht="16.5" hidden="1">
      <c r="A120" s="1670"/>
      <c r="B120" s="1666"/>
      <c r="C120" s="688"/>
      <c r="D120" s="1667"/>
      <c r="E120" s="1671">
        <v>3.5</v>
      </c>
      <c r="F120" s="1671">
        <v>4</v>
      </c>
      <c r="G120" s="1672">
        <v>0.15</v>
      </c>
      <c r="H120" s="1671">
        <f t="shared" si="13"/>
        <v>0</v>
      </c>
      <c r="I120" s="688" t="s">
        <v>49</v>
      </c>
      <c r="J120" s="1668"/>
      <c r="K120" s="1668"/>
      <c r="L120" s="1669"/>
    </row>
    <row r="121" spans="1:12" s="692" customFormat="1" ht="16.5" hidden="1">
      <c r="A121" s="1670"/>
      <c r="B121" s="1666"/>
      <c r="C121" s="688"/>
      <c r="D121" s="1667"/>
      <c r="E121" s="688"/>
      <c r="F121" s="688"/>
      <c r="G121" s="1668" t="s">
        <v>928</v>
      </c>
      <c r="H121" s="1673">
        <f>SUM(H115:H120)</f>
        <v>0</v>
      </c>
      <c r="I121" s="1668" t="s">
        <v>49</v>
      </c>
      <c r="J121" s="1669">
        <f>'Lead &amp; ANALYSIS'!L286</f>
        <v>37.799999999999997</v>
      </c>
      <c r="K121" s="1668" t="s">
        <v>1514</v>
      </c>
      <c r="L121" s="1669">
        <f>ROUND(H121*J121,0)</f>
        <v>0</v>
      </c>
    </row>
    <row r="122" spans="1:12" s="692" customFormat="1" ht="16.5" hidden="1">
      <c r="A122" s="1670" t="s">
        <v>220</v>
      </c>
      <c r="B122" s="1666" t="s">
        <v>387</v>
      </c>
      <c r="C122" s="688"/>
      <c r="D122" s="1667"/>
      <c r="E122" s="688"/>
      <c r="F122" s="688"/>
      <c r="G122" s="1668"/>
      <c r="H122" s="1673"/>
      <c r="I122" s="1668"/>
      <c r="J122" s="1669"/>
      <c r="K122" s="1668"/>
      <c r="L122" s="1669"/>
    </row>
    <row r="123" spans="1:12" s="692" customFormat="1" ht="16.5" hidden="1">
      <c r="A123" s="1670"/>
      <c r="B123" s="1666"/>
      <c r="C123" s="688"/>
      <c r="D123" s="1667"/>
      <c r="E123" s="1671">
        <v>3.5</v>
      </c>
      <c r="F123" s="1671">
        <v>4</v>
      </c>
      <c r="G123" s="1672">
        <v>0.15</v>
      </c>
      <c r="H123" s="1671">
        <f t="shared" ref="H123:H128" si="14">ROUND(D123*E123*F123*G123,2)</f>
        <v>0</v>
      </c>
      <c r="I123" s="688" t="s">
        <v>49</v>
      </c>
      <c r="J123" s="1668"/>
      <c r="K123" s="1668"/>
      <c r="L123" s="1669"/>
    </row>
    <row r="124" spans="1:12" s="692" customFormat="1" ht="16.5" hidden="1">
      <c r="A124" s="1670"/>
      <c r="B124" s="1666"/>
      <c r="C124" s="688"/>
      <c r="D124" s="1667"/>
      <c r="E124" s="1671">
        <v>3.5</v>
      </c>
      <c r="F124" s="1671">
        <v>4</v>
      </c>
      <c r="G124" s="1672">
        <v>0.15</v>
      </c>
      <c r="H124" s="1671">
        <f t="shared" si="14"/>
        <v>0</v>
      </c>
      <c r="I124" s="688" t="s">
        <v>49</v>
      </c>
      <c r="J124" s="1668"/>
      <c r="K124" s="1668"/>
      <c r="L124" s="1669"/>
    </row>
    <row r="125" spans="1:12" s="692" customFormat="1" ht="16.5" hidden="1">
      <c r="A125" s="1670"/>
      <c r="B125" s="1666"/>
      <c r="C125" s="688"/>
      <c r="D125" s="1667"/>
      <c r="E125" s="1671">
        <v>3.5</v>
      </c>
      <c r="F125" s="1671">
        <v>4</v>
      </c>
      <c r="G125" s="1672">
        <v>0.15</v>
      </c>
      <c r="H125" s="1671">
        <f t="shared" si="14"/>
        <v>0</v>
      </c>
      <c r="I125" s="688" t="s">
        <v>49</v>
      </c>
      <c r="J125" s="1668"/>
      <c r="K125" s="1668"/>
      <c r="L125" s="1669"/>
    </row>
    <row r="126" spans="1:12" s="692" customFormat="1" ht="16.5" hidden="1">
      <c r="A126" s="1670"/>
      <c r="B126" s="1666"/>
      <c r="C126" s="688"/>
      <c r="D126" s="1667"/>
      <c r="E126" s="1671">
        <v>3.5</v>
      </c>
      <c r="F126" s="1671">
        <v>4</v>
      </c>
      <c r="G126" s="1672">
        <v>0.15</v>
      </c>
      <c r="H126" s="1671">
        <f t="shared" si="14"/>
        <v>0</v>
      </c>
      <c r="I126" s="688" t="s">
        <v>49</v>
      </c>
      <c r="J126" s="1668"/>
      <c r="K126" s="1668"/>
      <c r="L126" s="1669"/>
    </row>
    <row r="127" spans="1:12" s="692" customFormat="1" ht="16.5" hidden="1">
      <c r="A127" s="1670"/>
      <c r="B127" s="1666"/>
      <c r="C127" s="688"/>
      <c r="D127" s="1667"/>
      <c r="E127" s="1671">
        <v>3.5</v>
      </c>
      <c r="F127" s="1671">
        <v>4</v>
      </c>
      <c r="G127" s="1672">
        <v>0.15</v>
      </c>
      <c r="H127" s="1671">
        <f t="shared" si="14"/>
        <v>0</v>
      </c>
      <c r="I127" s="688" t="s">
        <v>49</v>
      </c>
      <c r="J127" s="1668"/>
      <c r="K127" s="1668"/>
      <c r="L127" s="1669"/>
    </row>
    <row r="128" spans="1:12" s="692" customFormat="1" ht="16.5" hidden="1">
      <c r="A128" s="1670"/>
      <c r="B128" s="1666"/>
      <c r="C128" s="688"/>
      <c r="D128" s="1667"/>
      <c r="E128" s="1671">
        <v>3.5</v>
      </c>
      <c r="F128" s="1671">
        <v>4</v>
      </c>
      <c r="G128" s="1672">
        <v>0.15</v>
      </c>
      <c r="H128" s="1671">
        <f t="shared" si="14"/>
        <v>0</v>
      </c>
      <c r="I128" s="688" t="s">
        <v>49</v>
      </c>
      <c r="J128" s="1668"/>
      <c r="K128" s="1668"/>
      <c r="L128" s="1669"/>
    </row>
    <row r="129" spans="1:12" s="692" customFormat="1" ht="16.5" hidden="1">
      <c r="A129" s="1670"/>
      <c r="B129" s="1666"/>
      <c r="C129" s="688"/>
      <c r="D129" s="1667"/>
      <c r="E129" s="688"/>
      <c r="F129" s="688"/>
      <c r="G129" s="1668" t="s">
        <v>928</v>
      </c>
      <c r="H129" s="1673">
        <f>SUM(H123:H128)</f>
        <v>0</v>
      </c>
      <c r="I129" s="1668" t="s">
        <v>49</v>
      </c>
      <c r="J129" s="1669">
        <f>'Lead &amp; ANALYSIS'!L287</f>
        <v>39.700000000000003</v>
      </c>
      <c r="K129" s="1668" t="s">
        <v>1514</v>
      </c>
      <c r="L129" s="1669">
        <f>ROUND(H129*J129,0)</f>
        <v>0</v>
      </c>
    </row>
    <row r="130" spans="1:12" s="692" customFormat="1" ht="16.5" hidden="1">
      <c r="A130" s="1670" t="s">
        <v>244</v>
      </c>
      <c r="B130" s="1666" t="s">
        <v>3613</v>
      </c>
      <c r="C130" s="688"/>
      <c r="D130" s="1667"/>
      <c r="E130" s="688"/>
      <c r="F130" s="688"/>
      <c r="G130" s="1668"/>
      <c r="H130" s="1673"/>
      <c r="I130" s="1668"/>
      <c r="J130" s="1669"/>
      <c r="K130" s="1668"/>
      <c r="L130" s="1669"/>
    </row>
    <row r="131" spans="1:12" s="692" customFormat="1" ht="16.5" hidden="1">
      <c r="A131" s="1670"/>
      <c r="B131" s="1666"/>
      <c r="C131" s="688"/>
      <c r="D131" s="1667"/>
      <c r="E131" s="1671">
        <v>3.5</v>
      </c>
      <c r="F131" s="1671">
        <v>4</v>
      </c>
      <c r="G131" s="1672">
        <v>0.15</v>
      </c>
      <c r="H131" s="1671">
        <f t="shared" ref="H131:H136" si="15">ROUND(D131*E131*F131*G131,2)</f>
        <v>0</v>
      </c>
      <c r="I131" s="688" t="s">
        <v>49</v>
      </c>
      <c r="J131" s="1668"/>
      <c r="K131" s="1668"/>
      <c r="L131" s="1669"/>
    </row>
    <row r="132" spans="1:12" s="692" customFormat="1" ht="16.5" hidden="1">
      <c r="A132" s="1670"/>
      <c r="B132" s="1666"/>
      <c r="C132" s="688"/>
      <c r="D132" s="1667"/>
      <c r="E132" s="1671">
        <v>3.5</v>
      </c>
      <c r="F132" s="1671">
        <v>4</v>
      </c>
      <c r="G132" s="1672">
        <v>0.15</v>
      </c>
      <c r="H132" s="1671">
        <f t="shared" si="15"/>
        <v>0</v>
      </c>
      <c r="I132" s="688" t="s">
        <v>49</v>
      </c>
      <c r="J132" s="1668"/>
      <c r="K132" s="1668"/>
      <c r="L132" s="1669"/>
    </row>
    <row r="133" spans="1:12" s="692" customFormat="1" ht="16.5" hidden="1">
      <c r="A133" s="1670"/>
      <c r="B133" s="1666"/>
      <c r="C133" s="688"/>
      <c r="D133" s="1667"/>
      <c r="E133" s="1671">
        <v>3.5</v>
      </c>
      <c r="F133" s="1671">
        <v>4</v>
      </c>
      <c r="G133" s="1672">
        <v>0.15</v>
      </c>
      <c r="H133" s="1671">
        <f t="shared" si="15"/>
        <v>0</v>
      </c>
      <c r="I133" s="688" t="s">
        <v>49</v>
      </c>
      <c r="J133" s="1668"/>
      <c r="K133" s="1668"/>
      <c r="L133" s="1669"/>
    </row>
    <row r="134" spans="1:12" s="692" customFormat="1" ht="16.5" hidden="1">
      <c r="A134" s="1670"/>
      <c r="B134" s="1666"/>
      <c r="C134" s="688"/>
      <c r="D134" s="1667"/>
      <c r="E134" s="1671">
        <v>3.5</v>
      </c>
      <c r="F134" s="1671">
        <v>4</v>
      </c>
      <c r="G134" s="1672">
        <v>0.15</v>
      </c>
      <c r="H134" s="1671">
        <f t="shared" si="15"/>
        <v>0</v>
      </c>
      <c r="I134" s="688" t="s">
        <v>49</v>
      </c>
      <c r="J134" s="1668"/>
      <c r="K134" s="1668"/>
      <c r="L134" s="1669"/>
    </row>
    <row r="135" spans="1:12" s="692" customFormat="1" ht="16.5" hidden="1">
      <c r="A135" s="1670"/>
      <c r="B135" s="1666"/>
      <c r="C135" s="688"/>
      <c r="D135" s="1667"/>
      <c r="E135" s="1671">
        <v>3.5</v>
      </c>
      <c r="F135" s="1671">
        <v>4</v>
      </c>
      <c r="G135" s="1672">
        <v>0.15</v>
      </c>
      <c r="H135" s="1671">
        <f t="shared" si="15"/>
        <v>0</v>
      </c>
      <c r="I135" s="688" t="s">
        <v>49</v>
      </c>
      <c r="J135" s="1668"/>
      <c r="K135" s="1668"/>
      <c r="L135" s="1669"/>
    </row>
    <row r="136" spans="1:12" s="692" customFormat="1" ht="16.5" hidden="1">
      <c r="A136" s="1670"/>
      <c r="B136" s="1666"/>
      <c r="C136" s="688"/>
      <c r="D136" s="1667"/>
      <c r="E136" s="1671">
        <v>3.5</v>
      </c>
      <c r="F136" s="1671">
        <v>4</v>
      </c>
      <c r="G136" s="1672">
        <v>0.15</v>
      </c>
      <c r="H136" s="1671">
        <f t="shared" si="15"/>
        <v>0</v>
      </c>
      <c r="I136" s="688" t="s">
        <v>49</v>
      </c>
      <c r="J136" s="1668"/>
      <c r="K136" s="1668"/>
      <c r="L136" s="1669"/>
    </row>
    <row r="137" spans="1:12" s="692" customFormat="1" ht="16.5" hidden="1">
      <c r="A137" s="1670"/>
      <c r="B137" s="1666"/>
      <c r="C137" s="688"/>
      <c r="D137" s="1667"/>
      <c r="E137" s="688"/>
      <c r="F137" s="688"/>
      <c r="G137" s="1668" t="s">
        <v>928</v>
      </c>
      <c r="H137" s="1673">
        <f>SUM(H131:H136)</f>
        <v>0</v>
      </c>
      <c r="I137" s="1668" t="s">
        <v>49</v>
      </c>
      <c r="J137" s="1669">
        <f>'Lead &amp; ANALYSIS'!L288</f>
        <v>41.6</v>
      </c>
      <c r="K137" s="1668" t="s">
        <v>1516</v>
      </c>
      <c r="L137" s="1669">
        <f>ROUND(H137*J137,0)</f>
        <v>0</v>
      </c>
    </row>
    <row r="138" spans="1:12" s="692" customFormat="1" ht="16.5" hidden="1">
      <c r="A138" s="1670" t="s">
        <v>291</v>
      </c>
      <c r="B138" s="1666" t="s">
        <v>3632</v>
      </c>
      <c r="C138" s="688"/>
      <c r="D138" s="1667"/>
      <c r="E138" s="688"/>
      <c r="F138" s="688"/>
      <c r="G138" s="1668"/>
      <c r="H138" s="1673"/>
      <c r="I138" s="1668"/>
      <c r="J138" s="1669"/>
      <c r="K138" s="1668"/>
      <c r="L138" s="1669"/>
    </row>
    <row r="139" spans="1:12" s="692" customFormat="1" ht="16.5" hidden="1">
      <c r="A139" s="1670"/>
      <c r="B139" s="1666"/>
      <c r="C139" s="688"/>
      <c r="D139" s="1667"/>
      <c r="E139" s="1671">
        <v>3.5</v>
      </c>
      <c r="F139" s="1671">
        <v>4</v>
      </c>
      <c r="G139" s="1672">
        <v>0.15</v>
      </c>
      <c r="H139" s="1671">
        <f t="shared" ref="H139:H144" si="16">ROUND(D139*E139*F139*G139,2)</f>
        <v>0</v>
      </c>
      <c r="I139" s="688" t="s">
        <v>49</v>
      </c>
      <c r="J139" s="1668"/>
      <c r="K139" s="1668"/>
      <c r="L139" s="1669"/>
    </row>
    <row r="140" spans="1:12" s="692" customFormat="1" ht="16.5" hidden="1">
      <c r="A140" s="1670"/>
      <c r="B140" s="1666"/>
      <c r="C140" s="688"/>
      <c r="D140" s="1667"/>
      <c r="E140" s="1671">
        <v>3.5</v>
      </c>
      <c r="F140" s="1671">
        <v>4</v>
      </c>
      <c r="G140" s="1672">
        <v>0.15</v>
      </c>
      <c r="H140" s="1671">
        <f t="shared" si="16"/>
        <v>0</v>
      </c>
      <c r="I140" s="688" t="s">
        <v>49</v>
      </c>
      <c r="J140" s="1668"/>
      <c r="K140" s="1668"/>
      <c r="L140" s="1669"/>
    </row>
    <row r="141" spans="1:12" s="692" customFormat="1" ht="16.5" hidden="1">
      <c r="A141" s="1670"/>
      <c r="B141" s="1666"/>
      <c r="C141" s="688"/>
      <c r="D141" s="1667"/>
      <c r="E141" s="1671">
        <v>3.5</v>
      </c>
      <c r="F141" s="1671">
        <v>4</v>
      </c>
      <c r="G141" s="1672">
        <v>0.15</v>
      </c>
      <c r="H141" s="1671">
        <f t="shared" si="16"/>
        <v>0</v>
      </c>
      <c r="I141" s="688" t="s">
        <v>49</v>
      </c>
      <c r="J141" s="1668"/>
      <c r="K141" s="1668"/>
      <c r="L141" s="1669"/>
    </row>
    <row r="142" spans="1:12" s="692" customFormat="1" ht="16.5" hidden="1">
      <c r="A142" s="1665"/>
      <c r="B142" s="1666"/>
      <c r="C142" s="688"/>
      <c r="D142" s="1667"/>
      <c r="E142" s="1671">
        <v>3.5</v>
      </c>
      <c r="F142" s="1671">
        <v>4</v>
      </c>
      <c r="G142" s="1672">
        <v>0.15</v>
      </c>
      <c r="H142" s="1671">
        <f t="shared" si="16"/>
        <v>0</v>
      </c>
      <c r="I142" s="688" t="s">
        <v>49</v>
      </c>
      <c r="J142" s="1668"/>
      <c r="K142" s="1668"/>
      <c r="L142" s="1669"/>
    </row>
    <row r="143" spans="1:12" s="692" customFormat="1" ht="16.5" hidden="1">
      <c r="A143" s="1665"/>
      <c r="B143" s="1666"/>
      <c r="C143" s="688"/>
      <c r="D143" s="1667"/>
      <c r="E143" s="1671">
        <v>3.5</v>
      </c>
      <c r="F143" s="1671">
        <v>4</v>
      </c>
      <c r="G143" s="1672">
        <v>0.15</v>
      </c>
      <c r="H143" s="1671">
        <f t="shared" si="16"/>
        <v>0</v>
      </c>
      <c r="I143" s="688" t="s">
        <v>49</v>
      </c>
      <c r="J143" s="1668"/>
      <c r="K143" s="1668"/>
      <c r="L143" s="1669"/>
    </row>
    <row r="144" spans="1:12" s="692" customFormat="1" ht="16.5" hidden="1">
      <c r="A144" s="1665"/>
      <c r="B144" s="1666"/>
      <c r="C144" s="688"/>
      <c r="D144" s="1667"/>
      <c r="E144" s="1671">
        <v>3.5</v>
      </c>
      <c r="F144" s="1671">
        <v>4</v>
      </c>
      <c r="G144" s="1672">
        <v>0.15</v>
      </c>
      <c r="H144" s="1671">
        <f t="shared" si="16"/>
        <v>0</v>
      </c>
      <c r="I144" s="688" t="s">
        <v>49</v>
      </c>
      <c r="J144" s="1668"/>
      <c r="K144" s="1668"/>
      <c r="L144" s="1669"/>
    </row>
    <row r="145" spans="1:12" s="692" customFormat="1" ht="16.5" hidden="1">
      <c r="A145" s="1665"/>
      <c r="B145" s="1666"/>
      <c r="C145" s="688"/>
      <c r="D145" s="1667"/>
      <c r="E145" s="688"/>
      <c r="F145" s="688"/>
      <c r="G145" s="1668" t="s">
        <v>928</v>
      </c>
      <c r="H145" s="1673">
        <f>SUM(H139:H144)</f>
        <v>0</v>
      </c>
      <c r="I145" s="1668" t="s">
        <v>49</v>
      </c>
      <c r="J145" s="1669">
        <f>'Lead &amp; ANALYSIS'!L289</f>
        <v>43.7</v>
      </c>
      <c r="K145" s="1668" t="s">
        <v>1516</v>
      </c>
      <c r="L145" s="1669">
        <f>ROUND(H145*J145,0)</f>
        <v>0</v>
      </c>
    </row>
    <row r="146" spans="1:12" s="692" customFormat="1" ht="82.5" hidden="1">
      <c r="A146" s="1665">
        <f>'Lead &amp; ANALYSIS'!A290</f>
        <v>5</v>
      </c>
      <c r="B146" s="1666" t="str">
        <f>'Lead &amp; ANALYSIS'!B290</f>
        <v>Dismantling G.C.I. Sheet or A.C. Sheet roofing after carefully removing nuts &amp; bolts including stacking the useful materials for reuse  &amp;  removing the debris within 50m lead  with  cost  of  all labour etc. complete.</v>
      </c>
      <c r="C146" s="688"/>
      <c r="D146" s="1667"/>
      <c r="E146" s="688"/>
      <c r="F146" s="688"/>
      <c r="G146" s="1674"/>
      <c r="H146" s="688"/>
      <c r="I146" s="1668"/>
      <c r="J146" s="1668"/>
      <c r="K146" s="1668"/>
      <c r="L146" s="1669"/>
    </row>
    <row r="147" spans="1:12" s="692" customFormat="1" ht="16.5" hidden="1">
      <c r="A147" s="1670" t="s">
        <v>201</v>
      </c>
      <c r="B147" s="1666" t="s">
        <v>384</v>
      </c>
      <c r="C147" s="688"/>
      <c r="D147" s="1667"/>
      <c r="E147" s="688"/>
      <c r="F147" s="688"/>
      <c r="G147" s="688"/>
      <c r="H147" s="688"/>
      <c r="I147" s="1668"/>
      <c r="J147" s="1668"/>
      <c r="K147" s="1668"/>
      <c r="L147" s="1669"/>
    </row>
    <row r="148" spans="1:12" s="692" customFormat="1" ht="16.5" hidden="1">
      <c r="A148" s="1670"/>
      <c r="B148" s="1666"/>
      <c r="C148" s="688"/>
      <c r="D148" s="1667"/>
      <c r="E148" s="1671">
        <v>3.5</v>
      </c>
      <c r="F148" s="1671">
        <v>4</v>
      </c>
      <c r="G148" s="1672">
        <v>0.15</v>
      </c>
      <c r="H148" s="1671">
        <f t="shared" ref="H148:H153" si="17">ROUND(D148*E148*F148*G148,2)</f>
        <v>0</v>
      </c>
      <c r="I148" s="688" t="s">
        <v>49</v>
      </c>
      <c r="J148" s="1668"/>
      <c r="K148" s="1668"/>
      <c r="L148" s="1669"/>
    </row>
    <row r="149" spans="1:12" s="692" customFormat="1" ht="16.5" hidden="1">
      <c r="A149" s="1670"/>
      <c r="B149" s="1666"/>
      <c r="C149" s="688"/>
      <c r="D149" s="1667"/>
      <c r="E149" s="1671">
        <v>3.5</v>
      </c>
      <c r="F149" s="1671">
        <v>4</v>
      </c>
      <c r="G149" s="1672">
        <v>0.15</v>
      </c>
      <c r="H149" s="1671">
        <f t="shared" si="17"/>
        <v>0</v>
      </c>
      <c r="I149" s="688" t="s">
        <v>49</v>
      </c>
      <c r="J149" s="1668"/>
      <c r="K149" s="1668"/>
      <c r="L149" s="1669"/>
    </row>
    <row r="150" spans="1:12" s="692" customFormat="1" ht="16.5" hidden="1">
      <c r="A150" s="1670"/>
      <c r="B150" s="1666"/>
      <c r="C150" s="688"/>
      <c r="D150" s="1667"/>
      <c r="E150" s="1671">
        <v>3.5</v>
      </c>
      <c r="F150" s="1671">
        <v>4</v>
      </c>
      <c r="G150" s="1672">
        <v>0.15</v>
      </c>
      <c r="H150" s="1671">
        <f t="shared" si="17"/>
        <v>0</v>
      </c>
      <c r="I150" s="688" t="s">
        <v>49</v>
      </c>
      <c r="J150" s="1668"/>
      <c r="K150" s="1668"/>
      <c r="L150" s="1669"/>
    </row>
    <row r="151" spans="1:12" s="692" customFormat="1" ht="16.5" hidden="1">
      <c r="A151" s="1670"/>
      <c r="B151" s="1666"/>
      <c r="C151" s="688"/>
      <c r="D151" s="1667"/>
      <c r="E151" s="1671">
        <v>3.5</v>
      </c>
      <c r="F151" s="1671">
        <v>4</v>
      </c>
      <c r="G151" s="1672">
        <v>0.15</v>
      </c>
      <c r="H151" s="1671">
        <f t="shared" si="17"/>
        <v>0</v>
      </c>
      <c r="I151" s="688" t="s">
        <v>49</v>
      </c>
      <c r="J151" s="1668"/>
      <c r="K151" s="1668"/>
      <c r="L151" s="1669"/>
    </row>
    <row r="152" spans="1:12" s="692" customFormat="1" ht="16.5" hidden="1">
      <c r="A152" s="1670"/>
      <c r="B152" s="1666"/>
      <c r="C152" s="688"/>
      <c r="D152" s="1667"/>
      <c r="E152" s="1671">
        <v>3.5</v>
      </c>
      <c r="F152" s="1671">
        <v>4</v>
      </c>
      <c r="G152" s="1672">
        <v>0.15</v>
      </c>
      <c r="H152" s="1671">
        <f t="shared" si="17"/>
        <v>0</v>
      </c>
      <c r="I152" s="688" t="s">
        <v>49</v>
      </c>
      <c r="J152" s="1668"/>
      <c r="K152" s="1668"/>
      <c r="L152" s="1669"/>
    </row>
    <row r="153" spans="1:12" s="692" customFormat="1" ht="16.5" hidden="1">
      <c r="A153" s="1670"/>
      <c r="B153" s="1666"/>
      <c r="C153" s="688"/>
      <c r="D153" s="1667"/>
      <c r="E153" s="1671">
        <v>3.5</v>
      </c>
      <c r="F153" s="1671">
        <v>4</v>
      </c>
      <c r="G153" s="1672">
        <v>0.15</v>
      </c>
      <c r="H153" s="1671">
        <f t="shared" si="17"/>
        <v>0</v>
      </c>
      <c r="I153" s="688" t="s">
        <v>49</v>
      </c>
      <c r="J153" s="1668"/>
      <c r="K153" s="1668"/>
      <c r="L153" s="1669"/>
    </row>
    <row r="154" spans="1:12" s="692" customFormat="1" ht="16.5" hidden="1">
      <c r="A154" s="1670"/>
      <c r="B154" s="1666"/>
      <c r="C154" s="688"/>
      <c r="D154" s="1667"/>
      <c r="E154" s="688"/>
      <c r="F154" s="688"/>
      <c r="G154" s="1668" t="s">
        <v>928</v>
      </c>
      <c r="H154" s="1673">
        <f>SUM(H148:H153)</f>
        <v>0</v>
      </c>
      <c r="I154" s="1668" t="s">
        <v>49</v>
      </c>
      <c r="J154" s="1669">
        <f>'Lead &amp; ANALYSIS'!L291</f>
        <v>68.7</v>
      </c>
      <c r="K154" s="1668" t="s">
        <v>1514</v>
      </c>
      <c r="L154" s="1669">
        <f>ROUND(H154*J154,0)</f>
        <v>0</v>
      </c>
    </row>
    <row r="155" spans="1:12" s="692" customFormat="1" ht="16.5" hidden="1">
      <c r="A155" s="1670" t="s">
        <v>220</v>
      </c>
      <c r="B155" s="1666" t="s">
        <v>387</v>
      </c>
      <c r="C155" s="688"/>
      <c r="D155" s="1667"/>
      <c r="E155" s="688"/>
      <c r="F155" s="688"/>
      <c r="G155" s="1668"/>
      <c r="H155" s="1673"/>
      <c r="I155" s="1668"/>
      <c r="J155" s="1669"/>
      <c r="K155" s="1668"/>
      <c r="L155" s="1669"/>
    </row>
    <row r="156" spans="1:12" s="692" customFormat="1" ht="16.5" hidden="1">
      <c r="A156" s="1670"/>
      <c r="B156" s="1666"/>
      <c r="C156" s="688"/>
      <c r="D156" s="1667"/>
      <c r="E156" s="1671">
        <v>3.5</v>
      </c>
      <c r="F156" s="1671">
        <v>4</v>
      </c>
      <c r="G156" s="1672">
        <v>0.15</v>
      </c>
      <c r="H156" s="1671">
        <f t="shared" ref="H156:H161" si="18">ROUND(D156*E156*F156*G156,2)</f>
        <v>0</v>
      </c>
      <c r="I156" s="688" t="s">
        <v>49</v>
      </c>
      <c r="J156" s="1668"/>
      <c r="K156" s="1668"/>
      <c r="L156" s="1669"/>
    </row>
    <row r="157" spans="1:12" s="692" customFormat="1" ht="16.5" hidden="1">
      <c r="A157" s="1670"/>
      <c r="B157" s="1666"/>
      <c r="C157" s="688"/>
      <c r="D157" s="1667"/>
      <c r="E157" s="1671">
        <v>3.5</v>
      </c>
      <c r="F157" s="1671">
        <v>4</v>
      </c>
      <c r="G157" s="1672">
        <v>0.15</v>
      </c>
      <c r="H157" s="1671">
        <f t="shared" si="18"/>
        <v>0</v>
      </c>
      <c r="I157" s="688" t="s">
        <v>49</v>
      </c>
      <c r="J157" s="1668"/>
      <c r="K157" s="1668"/>
      <c r="L157" s="1669"/>
    </row>
    <row r="158" spans="1:12" s="692" customFormat="1" ht="16.5" hidden="1">
      <c r="A158" s="1670"/>
      <c r="B158" s="1666"/>
      <c r="C158" s="688"/>
      <c r="D158" s="1667"/>
      <c r="E158" s="1671">
        <v>3.5</v>
      </c>
      <c r="F158" s="1671">
        <v>4</v>
      </c>
      <c r="G158" s="1672">
        <v>0.15</v>
      </c>
      <c r="H158" s="1671">
        <f t="shared" si="18"/>
        <v>0</v>
      </c>
      <c r="I158" s="688" t="s">
        <v>49</v>
      </c>
      <c r="J158" s="1668"/>
      <c r="K158" s="1668"/>
      <c r="L158" s="1669"/>
    </row>
    <row r="159" spans="1:12" s="692" customFormat="1" ht="16.5" hidden="1">
      <c r="A159" s="1670"/>
      <c r="B159" s="1666"/>
      <c r="C159" s="688"/>
      <c r="D159" s="1667"/>
      <c r="E159" s="1671">
        <v>3.5</v>
      </c>
      <c r="F159" s="1671">
        <v>4</v>
      </c>
      <c r="G159" s="1672">
        <v>0.15</v>
      </c>
      <c r="H159" s="1671">
        <f t="shared" si="18"/>
        <v>0</v>
      </c>
      <c r="I159" s="688" t="s">
        <v>49</v>
      </c>
      <c r="J159" s="1668"/>
      <c r="K159" s="1668"/>
      <c r="L159" s="1669"/>
    </row>
    <row r="160" spans="1:12" s="692" customFormat="1" ht="16.5" hidden="1">
      <c r="A160" s="1670"/>
      <c r="B160" s="1666"/>
      <c r="C160" s="688"/>
      <c r="D160" s="1667"/>
      <c r="E160" s="1671">
        <v>3.5</v>
      </c>
      <c r="F160" s="1671">
        <v>4</v>
      </c>
      <c r="G160" s="1672">
        <v>0.15</v>
      </c>
      <c r="H160" s="1671">
        <f t="shared" si="18"/>
        <v>0</v>
      </c>
      <c r="I160" s="688" t="s">
        <v>49</v>
      </c>
      <c r="J160" s="1668"/>
      <c r="K160" s="1668"/>
      <c r="L160" s="1669"/>
    </row>
    <row r="161" spans="1:12" s="692" customFormat="1" ht="16.5" hidden="1">
      <c r="A161" s="1670"/>
      <c r="B161" s="1666"/>
      <c r="C161" s="688"/>
      <c r="D161" s="1667"/>
      <c r="E161" s="1671">
        <v>3.5</v>
      </c>
      <c r="F161" s="1671">
        <v>4</v>
      </c>
      <c r="G161" s="1672">
        <v>0.15</v>
      </c>
      <c r="H161" s="1671">
        <f t="shared" si="18"/>
        <v>0</v>
      </c>
      <c r="I161" s="688" t="s">
        <v>49</v>
      </c>
      <c r="J161" s="1668"/>
      <c r="K161" s="1668"/>
      <c r="L161" s="1669"/>
    </row>
    <row r="162" spans="1:12" s="692" customFormat="1" ht="16.5" hidden="1">
      <c r="A162" s="1670"/>
      <c r="B162" s="1666"/>
      <c r="C162" s="688"/>
      <c r="D162" s="1667"/>
      <c r="E162" s="688"/>
      <c r="F162" s="688"/>
      <c r="G162" s="1668" t="s">
        <v>928</v>
      </c>
      <c r="H162" s="1673">
        <f>SUM(H156:H161)</f>
        <v>0</v>
      </c>
      <c r="I162" s="1668" t="s">
        <v>49</v>
      </c>
      <c r="J162" s="1669">
        <f>'Lead &amp; ANALYSIS'!L292</f>
        <v>72.099999999999994</v>
      </c>
      <c r="K162" s="1668" t="s">
        <v>1514</v>
      </c>
      <c r="L162" s="1669">
        <f>ROUND(H162*J162,0)</f>
        <v>0</v>
      </c>
    </row>
    <row r="163" spans="1:12" s="692" customFormat="1" ht="16.5" hidden="1">
      <c r="A163" s="1670" t="s">
        <v>244</v>
      </c>
      <c r="B163" s="1666" t="s">
        <v>3613</v>
      </c>
      <c r="C163" s="688"/>
      <c r="D163" s="1667"/>
      <c r="E163" s="688"/>
      <c r="F163" s="688"/>
      <c r="G163" s="1668"/>
      <c r="H163" s="1673"/>
      <c r="I163" s="1668"/>
      <c r="J163" s="1669"/>
      <c r="K163" s="1668"/>
      <c r="L163" s="1669"/>
    </row>
    <row r="164" spans="1:12" s="692" customFormat="1" ht="16.5" hidden="1">
      <c r="A164" s="1670"/>
      <c r="B164" s="1666"/>
      <c r="C164" s="688"/>
      <c r="D164" s="1667"/>
      <c r="E164" s="1671">
        <v>3.5</v>
      </c>
      <c r="F164" s="1671">
        <v>4</v>
      </c>
      <c r="G164" s="1672">
        <v>0.15</v>
      </c>
      <c r="H164" s="1671">
        <f t="shared" ref="H164:H169" si="19">ROUND(D164*E164*F164*G164,2)</f>
        <v>0</v>
      </c>
      <c r="I164" s="688" t="s">
        <v>49</v>
      </c>
      <c r="J164" s="1668"/>
      <c r="K164" s="1668"/>
      <c r="L164" s="1669"/>
    </row>
    <row r="165" spans="1:12" s="692" customFormat="1" ht="16.5" hidden="1">
      <c r="A165" s="1670"/>
      <c r="B165" s="1666"/>
      <c r="C165" s="688"/>
      <c r="D165" s="1667"/>
      <c r="E165" s="1671">
        <v>3.5</v>
      </c>
      <c r="F165" s="1671">
        <v>4</v>
      </c>
      <c r="G165" s="1672">
        <v>0.15</v>
      </c>
      <c r="H165" s="1671">
        <f t="shared" si="19"/>
        <v>0</v>
      </c>
      <c r="I165" s="688" t="s">
        <v>49</v>
      </c>
      <c r="J165" s="1668"/>
      <c r="K165" s="1668"/>
      <c r="L165" s="1669"/>
    </row>
    <row r="166" spans="1:12" s="692" customFormat="1" ht="16.5" hidden="1">
      <c r="A166" s="1670"/>
      <c r="B166" s="1666"/>
      <c r="C166" s="688"/>
      <c r="D166" s="1667"/>
      <c r="E166" s="1671">
        <v>3.5</v>
      </c>
      <c r="F166" s="1671">
        <v>4</v>
      </c>
      <c r="G166" s="1672">
        <v>0.15</v>
      </c>
      <c r="H166" s="1671">
        <f t="shared" si="19"/>
        <v>0</v>
      </c>
      <c r="I166" s="688" t="s">
        <v>49</v>
      </c>
      <c r="J166" s="1668"/>
      <c r="K166" s="1668"/>
      <c r="L166" s="1669"/>
    </row>
    <row r="167" spans="1:12" s="692" customFormat="1" ht="16.5" hidden="1">
      <c r="A167" s="1670"/>
      <c r="B167" s="1666"/>
      <c r="C167" s="688"/>
      <c r="D167" s="1667"/>
      <c r="E167" s="1671">
        <v>3.5</v>
      </c>
      <c r="F167" s="1671">
        <v>4</v>
      </c>
      <c r="G167" s="1672">
        <v>0.15</v>
      </c>
      <c r="H167" s="1671">
        <f t="shared" si="19"/>
        <v>0</v>
      </c>
      <c r="I167" s="688" t="s">
        <v>49</v>
      </c>
      <c r="J167" s="1668"/>
      <c r="K167" s="1668"/>
      <c r="L167" s="1669"/>
    </row>
    <row r="168" spans="1:12" s="692" customFormat="1" ht="16.5" hidden="1">
      <c r="A168" s="1670"/>
      <c r="B168" s="1666"/>
      <c r="C168" s="688"/>
      <c r="D168" s="1667"/>
      <c r="E168" s="1671">
        <v>3.5</v>
      </c>
      <c r="F168" s="1671">
        <v>4</v>
      </c>
      <c r="G168" s="1672">
        <v>0.15</v>
      </c>
      <c r="H168" s="1671">
        <f t="shared" si="19"/>
        <v>0</v>
      </c>
      <c r="I168" s="688" t="s">
        <v>49</v>
      </c>
      <c r="J168" s="1668"/>
      <c r="K168" s="1668"/>
      <c r="L168" s="1669"/>
    </row>
    <row r="169" spans="1:12" s="692" customFormat="1" ht="16.5" hidden="1">
      <c r="A169" s="1670"/>
      <c r="B169" s="1666"/>
      <c r="C169" s="688"/>
      <c r="D169" s="1667"/>
      <c r="E169" s="1671">
        <v>3.5</v>
      </c>
      <c r="F169" s="1671">
        <v>4</v>
      </c>
      <c r="G169" s="1672">
        <v>0.15</v>
      </c>
      <c r="H169" s="1671">
        <f t="shared" si="19"/>
        <v>0</v>
      </c>
      <c r="I169" s="688" t="s">
        <v>49</v>
      </c>
      <c r="J169" s="1668"/>
      <c r="K169" s="1668"/>
      <c r="L169" s="1669"/>
    </row>
    <row r="170" spans="1:12" s="692" customFormat="1" ht="16.5" hidden="1">
      <c r="A170" s="1670"/>
      <c r="B170" s="1666"/>
      <c r="C170" s="688"/>
      <c r="D170" s="1667"/>
      <c r="E170" s="688"/>
      <c r="F170" s="688"/>
      <c r="G170" s="1668" t="s">
        <v>928</v>
      </c>
      <c r="H170" s="1673">
        <f>SUM(H164:H169)</f>
        <v>0</v>
      </c>
      <c r="I170" s="1668" t="s">
        <v>49</v>
      </c>
      <c r="J170" s="1669">
        <f>'Lead &amp; ANALYSIS'!L293</f>
        <v>75.599999999999994</v>
      </c>
      <c r="K170" s="1668" t="s">
        <v>1516</v>
      </c>
      <c r="L170" s="1669">
        <f>ROUND(H170*J170,0)</f>
        <v>0</v>
      </c>
    </row>
    <row r="171" spans="1:12" s="692" customFormat="1" ht="16.5" hidden="1">
      <c r="A171" s="1670" t="s">
        <v>291</v>
      </c>
      <c r="B171" s="1666" t="s">
        <v>3632</v>
      </c>
      <c r="C171" s="688"/>
      <c r="D171" s="1667"/>
      <c r="E171" s="688"/>
      <c r="F171" s="688"/>
      <c r="G171" s="1668"/>
      <c r="H171" s="1673"/>
      <c r="I171" s="1668"/>
      <c r="J171" s="1669"/>
      <c r="K171" s="1668"/>
      <c r="L171" s="1669"/>
    </row>
    <row r="172" spans="1:12" s="692" customFormat="1" ht="16.5" hidden="1">
      <c r="A172" s="1670"/>
      <c r="B172" s="1666"/>
      <c r="C172" s="688"/>
      <c r="D172" s="1667"/>
      <c r="E172" s="1671">
        <v>3.5</v>
      </c>
      <c r="F172" s="1671">
        <v>4</v>
      </c>
      <c r="G172" s="1672">
        <v>0.15</v>
      </c>
      <c r="H172" s="1671">
        <f t="shared" ref="H172:H177" si="20">ROUND(D172*E172*F172*G172,2)</f>
        <v>0</v>
      </c>
      <c r="I172" s="688" t="s">
        <v>49</v>
      </c>
      <c r="J172" s="1668"/>
      <c r="K172" s="1668"/>
      <c r="L172" s="1669"/>
    </row>
    <row r="173" spans="1:12" s="692" customFormat="1" ht="16.5" hidden="1">
      <c r="A173" s="1665"/>
      <c r="B173" s="1666"/>
      <c r="C173" s="688"/>
      <c r="D173" s="1667"/>
      <c r="E173" s="1671">
        <v>3.5</v>
      </c>
      <c r="F173" s="1671">
        <v>4</v>
      </c>
      <c r="G173" s="1672">
        <v>0.15</v>
      </c>
      <c r="H173" s="1671">
        <f t="shared" si="20"/>
        <v>0</v>
      </c>
      <c r="I173" s="688" t="s">
        <v>49</v>
      </c>
      <c r="J173" s="1668"/>
      <c r="K173" s="1668"/>
      <c r="L173" s="1669"/>
    </row>
    <row r="174" spans="1:12" s="692" customFormat="1" ht="16.5" hidden="1">
      <c r="A174" s="1665"/>
      <c r="B174" s="1666"/>
      <c r="C174" s="688"/>
      <c r="D174" s="1667"/>
      <c r="E174" s="1671">
        <v>3.5</v>
      </c>
      <c r="F174" s="1671">
        <v>4</v>
      </c>
      <c r="G174" s="1672">
        <v>0.15</v>
      </c>
      <c r="H174" s="1671">
        <f t="shared" si="20"/>
        <v>0</v>
      </c>
      <c r="I174" s="688" t="s">
        <v>49</v>
      </c>
      <c r="J174" s="1668"/>
      <c r="K174" s="1668"/>
      <c r="L174" s="1669"/>
    </row>
    <row r="175" spans="1:12" s="692" customFormat="1" ht="16.5" hidden="1">
      <c r="A175" s="1665"/>
      <c r="B175" s="1666"/>
      <c r="C175" s="688"/>
      <c r="D175" s="1667"/>
      <c r="E175" s="1671">
        <v>3.5</v>
      </c>
      <c r="F175" s="1671">
        <v>4</v>
      </c>
      <c r="G175" s="1672">
        <v>0.15</v>
      </c>
      <c r="H175" s="1671">
        <f t="shared" si="20"/>
        <v>0</v>
      </c>
      <c r="I175" s="688" t="s">
        <v>49</v>
      </c>
      <c r="J175" s="1668"/>
      <c r="K175" s="1668"/>
      <c r="L175" s="1669"/>
    </row>
    <row r="176" spans="1:12" s="692" customFormat="1" ht="16.5" hidden="1">
      <c r="A176" s="1665"/>
      <c r="B176" s="1666"/>
      <c r="C176" s="688"/>
      <c r="D176" s="1667"/>
      <c r="E176" s="1671">
        <v>3.5</v>
      </c>
      <c r="F176" s="1671">
        <v>4</v>
      </c>
      <c r="G176" s="1672">
        <v>0.15</v>
      </c>
      <c r="H176" s="1671">
        <f t="shared" si="20"/>
        <v>0</v>
      </c>
      <c r="I176" s="688" t="s">
        <v>49</v>
      </c>
      <c r="J176" s="1668"/>
      <c r="K176" s="1668"/>
      <c r="L176" s="1669"/>
    </row>
    <row r="177" spans="1:12" s="692" customFormat="1" ht="16.5" hidden="1">
      <c r="A177" s="1665"/>
      <c r="B177" s="1666"/>
      <c r="C177" s="688"/>
      <c r="D177" s="1667"/>
      <c r="E177" s="1671">
        <v>3.5</v>
      </c>
      <c r="F177" s="1671">
        <v>4</v>
      </c>
      <c r="G177" s="1672">
        <v>0.15</v>
      </c>
      <c r="H177" s="1671">
        <f t="shared" si="20"/>
        <v>0</v>
      </c>
      <c r="I177" s="688" t="s">
        <v>49</v>
      </c>
      <c r="J177" s="1668"/>
      <c r="K177" s="1668"/>
      <c r="L177" s="1669"/>
    </row>
    <row r="178" spans="1:12" s="692" customFormat="1" ht="16.5" hidden="1">
      <c r="A178" s="1665"/>
      <c r="B178" s="1666"/>
      <c r="C178" s="688"/>
      <c r="D178" s="1667"/>
      <c r="E178" s="688"/>
      <c r="F178" s="688"/>
      <c r="G178" s="1668" t="s">
        <v>928</v>
      </c>
      <c r="H178" s="1673">
        <f>SUM(H172:H177)</f>
        <v>0</v>
      </c>
      <c r="I178" s="1668" t="s">
        <v>49</v>
      </c>
      <c r="J178" s="1669">
        <f>'Lead &amp; ANALYSIS'!L294</f>
        <v>79.3</v>
      </c>
      <c r="K178" s="1668" t="s">
        <v>1516</v>
      </c>
      <c r="L178" s="1669">
        <f>ROUND(H178*J178,0)</f>
        <v>0</v>
      </c>
    </row>
    <row r="179" spans="1:12" s="692" customFormat="1" ht="58.15" hidden="1" customHeight="1">
      <c r="A179" s="1665">
        <f>'Lead &amp; ANALYSIS'!A295</f>
        <v>6</v>
      </c>
      <c r="B179" s="1666" t="str">
        <f>'Lead &amp; ANALYSIS'!B295</f>
        <v>Dismantling wrought and framed timber in roof frame work or floors after carefully removing nails, nuts &amp; bolts including stacking the useful materials for reuse  &amp;  removing the debris within 50m lead  with  cost  of  all labour etc. complete.</v>
      </c>
      <c r="C179" s="688"/>
      <c r="D179" s="1667"/>
      <c r="E179" s="688"/>
      <c r="F179" s="688"/>
      <c r="G179" s="1674"/>
      <c r="H179" s="688"/>
      <c r="I179" s="1668"/>
      <c r="J179" s="1668"/>
      <c r="K179" s="1668"/>
      <c r="L179" s="1669"/>
    </row>
    <row r="180" spans="1:12" s="692" customFormat="1" ht="16.5" hidden="1">
      <c r="A180" s="1670" t="s">
        <v>201</v>
      </c>
      <c r="B180" s="1666" t="s">
        <v>384</v>
      </c>
      <c r="C180" s="688"/>
      <c r="D180" s="1667"/>
      <c r="E180" s="688"/>
      <c r="F180" s="688"/>
      <c r="G180" s="688"/>
      <c r="H180" s="688"/>
      <c r="I180" s="1668"/>
      <c r="J180" s="1668"/>
      <c r="K180" s="1668"/>
      <c r="L180" s="1669"/>
    </row>
    <row r="181" spans="1:12" s="692" customFormat="1" ht="16.5" hidden="1">
      <c r="A181" s="1670"/>
      <c r="B181" s="1666"/>
      <c r="C181" s="688"/>
      <c r="D181" s="1667"/>
      <c r="E181" s="1671">
        <v>3.5</v>
      </c>
      <c r="F181" s="1671">
        <v>4</v>
      </c>
      <c r="G181" s="1672">
        <v>0.15</v>
      </c>
      <c r="H181" s="1671">
        <f t="shared" ref="H181:H186" si="21">ROUND(D181*E181*F181*G181,2)</f>
        <v>0</v>
      </c>
      <c r="I181" s="688" t="s">
        <v>49</v>
      </c>
      <c r="J181" s="1668"/>
      <c r="K181" s="1668"/>
      <c r="L181" s="1669"/>
    </row>
    <row r="182" spans="1:12" s="692" customFormat="1" ht="16.5" hidden="1">
      <c r="A182" s="1670"/>
      <c r="B182" s="1666"/>
      <c r="C182" s="688"/>
      <c r="D182" s="1667"/>
      <c r="E182" s="1671">
        <v>3.5</v>
      </c>
      <c r="F182" s="1671">
        <v>4</v>
      </c>
      <c r="G182" s="1672">
        <v>0.15</v>
      </c>
      <c r="H182" s="1671">
        <f t="shared" si="21"/>
        <v>0</v>
      </c>
      <c r="I182" s="688" t="s">
        <v>49</v>
      </c>
      <c r="J182" s="1668"/>
      <c r="K182" s="1668"/>
      <c r="L182" s="1669"/>
    </row>
    <row r="183" spans="1:12" s="692" customFormat="1" ht="16.5" hidden="1">
      <c r="A183" s="1670"/>
      <c r="B183" s="1666"/>
      <c r="C183" s="688"/>
      <c r="D183" s="1667"/>
      <c r="E183" s="1671">
        <v>3.5</v>
      </c>
      <c r="F183" s="1671">
        <v>4</v>
      </c>
      <c r="G183" s="1672">
        <v>0.15</v>
      </c>
      <c r="H183" s="1671">
        <f t="shared" si="21"/>
        <v>0</v>
      </c>
      <c r="I183" s="688" t="s">
        <v>49</v>
      </c>
      <c r="J183" s="1668"/>
      <c r="K183" s="1668"/>
      <c r="L183" s="1669"/>
    </row>
    <row r="184" spans="1:12" s="692" customFormat="1" ht="16.5" hidden="1">
      <c r="A184" s="1670"/>
      <c r="B184" s="1666"/>
      <c r="C184" s="688"/>
      <c r="D184" s="1667"/>
      <c r="E184" s="1671">
        <v>3.5</v>
      </c>
      <c r="F184" s="1671">
        <v>4</v>
      </c>
      <c r="G184" s="1672">
        <v>0.15</v>
      </c>
      <c r="H184" s="1671">
        <f t="shared" si="21"/>
        <v>0</v>
      </c>
      <c r="I184" s="688" t="s">
        <v>49</v>
      </c>
      <c r="J184" s="1668"/>
      <c r="K184" s="1668"/>
      <c r="L184" s="1669"/>
    </row>
    <row r="185" spans="1:12" s="692" customFormat="1" ht="16.5" hidden="1">
      <c r="A185" s="1670"/>
      <c r="B185" s="1666"/>
      <c r="C185" s="688"/>
      <c r="D185" s="1667"/>
      <c r="E185" s="1671">
        <v>3.5</v>
      </c>
      <c r="F185" s="1671">
        <v>4</v>
      </c>
      <c r="G185" s="1672">
        <v>0.15</v>
      </c>
      <c r="H185" s="1671">
        <f t="shared" si="21"/>
        <v>0</v>
      </c>
      <c r="I185" s="688" t="s">
        <v>49</v>
      </c>
      <c r="J185" s="1668"/>
      <c r="K185" s="1668"/>
      <c r="L185" s="1669"/>
    </row>
    <row r="186" spans="1:12" s="692" customFormat="1" ht="16.5" hidden="1">
      <c r="A186" s="1670"/>
      <c r="B186" s="1666"/>
      <c r="C186" s="688"/>
      <c r="D186" s="1667"/>
      <c r="E186" s="1671">
        <v>3.5</v>
      </c>
      <c r="F186" s="1671">
        <v>4</v>
      </c>
      <c r="G186" s="1672">
        <v>0.15</v>
      </c>
      <c r="H186" s="1671">
        <f t="shared" si="21"/>
        <v>0</v>
      </c>
      <c r="I186" s="688" t="s">
        <v>49</v>
      </c>
      <c r="J186" s="1668"/>
      <c r="K186" s="1668"/>
      <c r="L186" s="1669"/>
    </row>
    <row r="187" spans="1:12" s="692" customFormat="1" ht="16.5" hidden="1">
      <c r="A187" s="1670"/>
      <c r="B187" s="1666"/>
      <c r="C187" s="688"/>
      <c r="D187" s="1667"/>
      <c r="E187" s="688"/>
      <c r="F187" s="688"/>
      <c r="G187" s="1668" t="s">
        <v>928</v>
      </c>
      <c r="H187" s="1673">
        <f>SUM(H181:H186)</f>
        <v>0</v>
      </c>
      <c r="I187" s="1668" t="s">
        <v>49</v>
      </c>
      <c r="J187" s="1669">
        <f>'Lead &amp; ANALYSIS'!L296</f>
        <v>967.8</v>
      </c>
      <c r="K187" s="1668" t="s">
        <v>1514</v>
      </c>
      <c r="L187" s="1669">
        <f>ROUND(H187*J187,0)</f>
        <v>0</v>
      </c>
    </row>
    <row r="188" spans="1:12" s="692" customFormat="1" ht="16.5" hidden="1">
      <c r="A188" s="1670" t="s">
        <v>220</v>
      </c>
      <c r="B188" s="1666" t="s">
        <v>387</v>
      </c>
      <c r="C188" s="688"/>
      <c r="D188" s="1667"/>
      <c r="E188" s="688"/>
      <c r="F188" s="688"/>
      <c r="G188" s="1668"/>
      <c r="H188" s="1673"/>
      <c r="I188" s="1668"/>
      <c r="J188" s="1669"/>
      <c r="K188" s="1668"/>
      <c r="L188" s="1669"/>
    </row>
    <row r="189" spans="1:12" s="692" customFormat="1" ht="16.5" hidden="1">
      <c r="A189" s="1670"/>
      <c r="B189" s="1666"/>
      <c r="C189" s="688"/>
      <c r="D189" s="1667"/>
      <c r="E189" s="1671">
        <v>3.5</v>
      </c>
      <c r="F189" s="1671">
        <v>4</v>
      </c>
      <c r="G189" s="1672">
        <v>0.15</v>
      </c>
      <c r="H189" s="1671">
        <f t="shared" ref="H189:H194" si="22">ROUND(D189*E189*F189*G189,2)</f>
        <v>0</v>
      </c>
      <c r="I189" s="688" t="s">
        <v>49</v>
      </c>
      <c r="J189" s="1668"/>
      <c r="K189" s="1668"/>
      <c r="L189" s="1669"/>
    </row>
    <row r="190" spans="1:12" s="692" customFormat="1" ht="16.5" hidden="1">
      <c r="A190" s="1670"/>
      <c r="B190" s="1666"/>
      <c r="C190" s="688"/>
      <c r="D190" s="1667"/>
      <c r="E190" s="1671">
        <v>3.5</v>
      </c>
      <c r="F190" s="1671">
        <v>4</v>
      </c>
      <c r="G190" s="1672">
        <v>0.15</v>
      </c>
      <c r="H190" s="1671">
        <f t="shared" si="22"/>
        <v>0</v>
      </c>
      <c r="I190" s="688" t="s">
        <v>49</v>
      </c>
      <c r="J190" s="1668"/>
      <c r="K190" s="1668"/>
      <c r="L190" s="1669"/>
    </row>
    <row r="191" spans="1:12" s="692" customFormat="1" ht="16.5" hidden="1">
      <c r="A191" s="1670"/>
      <c r="B191" s="1666"/>
      <c r="C191" s="688"/>
      <c r="D191" s="1667"/>
      <c r="E191" s="1671">
        <v>3.5</v>
      </c>
      <c r="F191" s="1671">
        <v>4</v>
      </c>
      <c r="G191" s="1672">
        <v>0.15</v>
      </c>
      <c r="H191" s="1671">
        <f t="shared" si="22"/>
        <v>0</v>
      </c>
      <c r="I191" s="688" t="s">
        <v>49</v>
      </c>
      <c r="J191" s="1668"/>
      <c r="K191" s="1668"/>
      <c r="L191" s="1669"/>
    </row>
    <row r="192" spans="1:12" s="692" customFormat="1" ht="16.5" hidden="1">
      <c r="A192" s="1670"/>
      <c r="B192" s="1666"/>
      <c r="C192" s="688"/>
      <c r="D192" s="1667"/>
      <c r="E192" s="1671">
        <v>3.5</v>
      </c>
      <c r="F192" s="1671">
        <v>4</v>
      </c>
      <c r="G192" s="1672">
        <v>0.15</v>
      </c>
      <c r="H192" s="1671">
        <f t="shared" si="22"/>
        <v>0</v>
      </c>
      <c r="I192" s="688" t="s">
        <v>49</v>
      </c>
      <c r="J192" s="1668"/>
      <c r="K192" s="1668"/>
      <c r="L192" s="1669"/>
    </row>
    <row r="193" spans="1:12" s="692" customFormat="1" ht="16.5" hidden="1">
      <c r="A193" s="1670"/>
      <c r="B193" s="1666"/>
      <c r="C193" s="688"/>
      <c r="D193" s="1667"/>
      <c r="E193" s="1671">
        <v>3.5</v>
      </c>
      <c r="F193" s="1671">
        <v>4</v>
      </c>
      <c r="G193" s="1672">
        <v>0.15</v>
      </c>
      <c r="H193" s="1671">
        <f t="shared" si="22"/>
        <v>0</v>
      </c>
      <c r="I193" s="688" t="s">
        <v>49</v>
      </c>
      <c r="J193" s="1668"/>
      <c r="K193" s="1668"/>
      <c r="L193" s="1669"/>
    </row>
    <row r="194" spans="1:12" s="692" customFormat="1" ht="16.5" hidden="1">
      <c r="A194" s="1670"/>
      <c r="B194" s="1666"/>
      <c r="C194" s="688"/>
      <c r="D194" s="1667"/>
      <c r="E194" s="1671">
        <v>3.5</v>
      </c>
      <c r="F194" s="1671">
        <v>4</v>
      </c>
      <c r="G194" s="1672">
        <v>0.15</v>
      </c>
      <c r="H194" s="1671">
        <f t="shared" si="22"/>
        <v>0</v>
      </c>
      <c r="I194" s="688" t="s">
        <v>49</v>
      </c>
      <c r="J194" s="1668"/>
      <c r="K194" s="1668"/>
      <c r="L194" s="1669"/>
    </row>
    <row r="195" spans="1:12" s="692" customFormat="1" ht="16.5" hidden="1">
      <c r="A195" s="1670"/>
      <c r="B195" s="1666"/>
      <c r="C195" s="688"/>
      <c r="D195" s="1667"/>
      <c r="E195" s="688"/>
      <c r="F195" s="688"/>
      <c r="G195" s="1668" t="s">
        <v>928</v>
      </c>
      <c r="H195" s="1673">
        <f>SUM(H189:H194)</f>
        <v>0</v>
      </c>
      <c r="I195" s="1668" t="s">
        <v>49</v>
      </c>
      <c r="J195" s="1669">
        <f>'Lead &amp; ANALYSIS'!L297</f>
        <v>1015.3</v>
      </c>
      <c r="K195" s="1668" t="s">
        <v>1514</v>
      </c>
      <c r="L195" s="1669">
        <f>ROUND(H195*J195,0)</f>
        <v>0</v>
      </c>
    </row>
    <row r="196" spans="1:12" s="692" customFormat="1" ht="16.5" hidden="1">
      <c r="A196" s="1670" t="s">
        <v>244</v>
      </c>
      <c r="B196" s="1666" t="s">
        <v>3613</v>
      </c>
      <c r="C196" s="688"/>
      <c r="D196" s="1667"/>
      <c r="E196" s="688"/>
      <c r="F196" s="688"/>
      <c r="G196" s="1668"/>
      <c r="H196" s="1673"/>
      <c r="I196" s="1668"/>
      <c r="J196" s="1669"/>
      <c r="K196" s="1668"/>
      <c r="L196" s="1669"/>
    </row>
    <row r="197" spans="1:12" s="692" customFormat="1" ht="16.5" hidden="1">
      <c r="A197" s="1670"/>
      <c r="B197" s="1666"/>
      <c r="C197" s="688"/>
      <c r="D197" s="1667"/>
      <c r="E197" s="1671">
        <v>3.5</v>
      </c>
      <c r="F197" s="1671">
        <v>4</v>
      </c>
      <c r="G197" s="1672">
        <v>0.15</v>
      </c>
      <c r="H197" s="1671">
        <f t="shared" ref="H197:H202" si="23">ROUND(D197*E197*F197*G197,2)</f>
        <v>0</v>
      </c>
      <c r="I197" s="688" t="s">
        <v>49</v>
      </c>
      <c r="J197" s="1668"/>
      <c r="K197" s="1668"/>
      <c r="L197" s="1669"/>
    </row>
    <row r="198" spans="1:12" s="692" customFormat="1" ht="16.5" hidden="1">
      <c r="A198" s="1670"/>
      <c r="B198" s="1666"/>
      <c r="C198" s="688"/>
      <c r="D198" s="1667"/>
      <c r="E198" s="1671">
        <v>3.5</v>
      </c>
      <c r="F198" s="1671">
        <v>4</v>
      </c>
      <c r="G198" s="1672">
        <v>0.15</v>
      </c>
      <c r="H198" s="1671">
        <f t="shared" si="23"/>
        <v>0</v>
      </c>
      <c r="I198" s="688" t="s">
        <v>49</v>
      </c>
      <c r="J198" s="1668"/>
      <c r="K198" s="1668"/>
      <c r="L198" s="1669"/>
    </row>
    <row r="199" spans="1:12" s="692" customFormat="1" ht="16.5" hidden="1">
      <c r="A199" s="1670"/>
      <c r="B199" s="1666"/>
      <c r="C199" s="688"/>
      <c r="D199" s="1667"/>
      <c r="E199" s="1671">
        <v>3.5</v>
      </c>
      <c r="F199" s="1671">
        <v>4</v>
      </c>
      <c r="G199" s="1672">
        <v>0.15</v>
      </c>
      <c r="H199" s="1671">
        <f t="shared" si="23"/>
        <v>0</v>
      </c>
      <c r="I199" s="688" t="s">
        <v>49</v>
      </c>
      <c r="J199" s="1668"/>
      <c r="K199" s="1668"/>
      <c r="L199" s="1669"/>
    </row>
    <row r="200" spans="1:12" s="692" customFormat="1" ht="16.5" hidden="1">
      <c r="A200" s="1670"/>
      <c r="B200" s="1666"/>
      <c r="C200" s="688"/>
      <c r="D200" s="1667"/>
      <c r="E200" s="1671">
        <v>3.5</v>
      </c>
      <c r="F200" s="1671">
        <v>4</v>
      </c>
      <c r="G200" s="1672">
        <v>0.15</v>
      </c>
      <c r="H200" s="1671">
        <f t="shared" si="23"/>
        <v>0</v>
      </c>
      <c r="I200" s="688" t="s">
        <v>49</v>
      </c>
      <c r="J200" s="1668"/>
      <c r="K200" s="1668"/>
      <c r="L200" s="1669"/>
    </row>
    <row r="201" spans="1:12" s="692" customFormat="1" ht="16.5" hidden="1">
      <c r="A201" s="1670"/>
      <c r="B201" s="1666"/>
      <c r="C201" s="688"/>
      <c r="D201" s="1667"/>
      <c r="E201" s="1671">
        <v>3.5</v>
      </c>
      <c r="F201" s="1671">
        <v>4</v>
      </c>
      <c r="G201" s="1672">
        <v>0.15</v>
      </c>
      <c r="H201" s="1671">
        <f t="shared" si="23"/>
        <v>0</v>
      </c>
      <c r="I201" s="688" t="s">
        <v>49</v>
      </c>
      <c r="J201" s="1668"/>
      <c r="K201" s="1668"/>
      <c r="L201" s="1669"/>
    </row>
    <row r="202" spans="1:12" s="692" customFormat="1" ht="16.5" hidden="1">
      <c r="A202" s="1670"/>
      <c r="B202" s="1666"/>
      <c r="C202" s="688"/>
      <c r="D202" s="1667"/>
      <c r="E202" s="1671">
        <v>3.5</v>
      </c>
      <c r="F202" s="1671">
        <v>4</v>
      </c>
      <c r="G202" s="1672">
        <v>0.15</v>
      </c>
      <c r="H202" s="1671">
        <f t="shared" si="23"/>
        <v>0</v>
      </c>
      <c r="I202" s="688" t="s">
        <v>49</v>
      </c>
      <c r="J202" s="1668"/>
      <c r="K202" s="1668"/>
      <c r="L202" s="1669"/>
    </row>
    <row r="203" spans="1:12" s="692" customFormat="1" ht="16.5" hidden="1">
      <c r="A203" s="1670"/>
      <c r="B203" s="1666"/>
      <c r="C203" s="688"/>
      <c r="D203" s="1667"/>
      <c r="E203" s="688"/>
      <c r="F203" s="688"/>
      <c r="G203" s="1668" t="s">
        <v>928</v>
      </c>
      <c r="H203" s="1673">
        <f>SUM(H197:H202)</f>
        <v>0</v>
      </c>
      <c r="I203" s="1668" t="s">
        <v>49</v>
      </c>
      <c r="J203" s="1669">
        <f>'Lead &amp; ANALYSIS'!L298</f>
        <v>1065.0999999999999</v>
      </c>
      <c r="K203" s="1668" t="s">
        <v>1516</v>
      </c>
      <c r="L203" s="1669">
        <f>ROUND(H203*J203,0)</f>
        <v>0</v>
      </c>
    </row>
    <row r="204" spans="1:12" s="692" customFormat="1" ht="16.5" hidden="1">
      <c r="A204" s="1670" t="s">
        <v>291</v>
      </c>
      <c r="B204" s="1666" t="s">
        <v>3632</v>
      </c>
      <c r="C204" s="688"/>
      <c r="D204" s="1667"/>
      <c r="E204" s="688"/>
      <c r="F204" s="688"/>
      <c r="G204" s="1668"/>
      <c r="H204" s="1673"/>
      <c r="I204" s="1668"/>
      <c r="J204" s="1669"/>
      <c r="K204" s="1668"/>
      <c r="L204" s="1669"/>
    </row>
    <row r="205" spans="1:12" s="692" customFormat="1" ht="16.5" hidden="1">
      <c r="A205" s="1665"/>
      <c r="B205" s="1666"/>
      <c r="C205" s="688"/>
      <c r="D205" s="1667"/>
      <c r="E205" s="1671">
        <v>3.5</v>
      </c>
      <c r="F205" s="1671">
        <v>4</v>
      </c>
      <c r="G205" s="1672">
        <v>0.15</v>
      </c>
      <c r="H205" s="1671">
        <f t="shared" ref="H205:H210" si="24">ROUND(D205*E205*F205*G205,2)</f>
        <v>0</v>
      </c>
      <c r="I205" s="688" t="s">
        <v>49</v>
      </c>
      <c r="J205" s="1668"/>
      <c r="K205" s="1668"/>
      <c r="L205" s="1669"/>
    </row>
    <row r="206" spans="1:12" s="692" customFormat="1" ht="16.5" hidden="1">
      <c r="A206" s="1665"/>
      <c r="B206" s="1666"/>
      <c r="C206" s="688"/>
      <c r="D206" s="1667"/>
      <c r="E206" s="1671">
        <v>3.5</v>
      </c>
      <c r="F206" s="1671">
        <v>4</v>
      </c>
      <c r="G206" s="1672">
        <v>0.15</v>
      </c>
      <c r="H206" s="1671">
        <f t="shared" si="24"/>
        <v>0</v>
      </c>
      <c r="I206" s="688" t="s">
        <v>49</v>
      </c>
      <c r="J206" s="1668"/>
      <c r="K206" s="1668"/>
      <c r="L206" s="1669"/>
    </row>
    <row r="207" spans="1:12" s="692" customFormat="1" ht="16.5" hidden="1">
      <c r="A207" s="1665"/>
      <c r="B207" s="1666"/>
      <c r="C207" s="688"/>
      <c r="D207" s="1667"/>
      <c r="E207" s="1671">
        <v>3.5</v>
      </c>
      <c r="F207" s="1671">
        <v>4</v>
      </c>
      <c r="G207" s="1672">
        <v>0.15</v>
      </c>
      <c r="H207" s="1671">
        <f t="shared" si="24"/>
        <v>0</v>
      </c>
      <c r="I207" s="688" t="s">
        <v>49</v>
      </c>
      <c r="J207" s="1668"/>
      <c r="K207" s="1668"/>
      <c r="L207" s="1669"/>
    </row>
    <row r="208" spans="1:12" s="692" customFormat="1" ht="16.5" hidden="1">
      <c r="A208" s="1665"/>
      <c r="B208" s="1666"/>
      <c r="C208" s="688"/>
      <c r="D208" s="1667"/>
      <c r="E208" s="1671">
        <v>3.5</v>
      </c>
      <c r="F208" s="1671">
        <v>4</v>
      </c>
      <c r="G208" s="1672">
        <v>0.15</v>
      </c>
      <c r="H208" s="1671">
        <f t="shared" si="24"/>
        <v>0</v>
      </c>
      <c r="I208" s="688" t="s">
        <v>49</v>
      </c>
      <c r="J208" s="1668"/>
      <c r="K208" s="1668"/>
      <c r="L208" s="1669"/>
    </row>
    <row r="209" spans="1:12" s="692" customFormat="1" ht="16.5" hidden="1">
      <c r="A209" s="1665"/>
      <c r="B209" s="1666"/>
      <c r="C209" s="688"/>
      <c r="D209" s="1667"/>
      <c r="E209" s="1671">
        <v>3.5</v>
      </c>
      <c r="F209" s="1671">
        <v>4</v>
      </c>
      <c r="G209" s="1672">
        <v>0.15</v>
      </c>
      <c r="H209" s="1671">
        <f t="shared" si="24"/>
        <v>0</v>
      </c>
      <c r="I209" s="688" t="s">
        <v>49</v>
      </c>
      <c r="J209" s="1668"/>
      <c r="K209" s="1668"/>
      <c r="L209" s="1669"/>
    </row>
    <row r="210" spans="1:12" s="692" customFormat="1" ht="16.5" hidden="1">
      <c r="A210" s="1665"/>
      <c r="B210" s="1666"/>
      <c r="C210" s="688"/>
      <c r="D210" s="1667"/>
      <c r="E210" s="1671">
        <v>3.5</v>
      </c>
      <c r="F210" s="1671">
        <v>4</v>
      </c>
      <c r="G210" s="1672">
        <v>0.15</v>
      </c>
      <c r="H210" s="1671">
        <f t="shared" si="24"/>
        <v>0</v>
      </c>
      <c r="I210" s="688" t="s">
        <v>49</v>
      </c>
      <c r="J210" s="1668"/>
      <c r="K210" s="1668"/>
      <c r="L210" s="1669"/>
    </row>
    <row r="211" spans="1:12" s="692" customFormat="1" ht="16.5" hidden="1">
      <c r="A211" s="1665"/>
      <c r="B211" s="1666"/>
      <c r="C211" s="688"/>
      <c r="D211" s="1667"/>
      <c r="E211" s="688"/>
      <c r="F211" s="688"/>
      <c r="G211" s="1668" t="s">
        <v>928</v>
      </c>
      <c r="H211" s="1673">
        <f>SUM(H205:H210)</f>
        <v>0</v>
      </c>
      <c r="I211" s="1668" t="s">
        <v>49</v>
      </c>
      <c r="J211" s="1669">
        <f>'Lead &amp; ANALYSIS'!L299</f>
        <v>1117.4000000000001</v>
      </c>
      <c r="K211" s="1668" t="s">
        <v>1516</v>
      </c>
      <c r="L211" s="1669">
        <f>ROUND(H211*J211,0)</f>
        <v>0</v>
      </c>
    </row>
    <row r="212" spans="1:12" s="692" customFormat="1" ht="82.5" hidden="1">
      <c r="A212" s="1665">
        <f>'Lead &amp; ANALYSIS'!A300</f>
        <v>7</v>
      </c>
      <c r="B212" s="1666" t="str">
        <f>'Lead &amp; ANALYSIS'!B300</f>
        <v>Dismantling &amp; removing doors, windows &amp; ventilators including removal of frame, hinges, fastening  and stacking the useful materials for reuse  &amp;  removing the debris within 50m lead  with  cost  of  all labour etc. complete.</v>
      </c>
      <c r="C212" s="688"/>
      <c r="D212" s="1667"/>
      <c r="E212" s="688"/>
      <c r="F212" s="688"/>
      <c r="G212" s="1674"/>
      <c r="H212" s="688"/>
      <c r="I212" s="1668"/>
      <c r="J212" s="1668"/>
      <c r="K212" s="1668"/>
      <c r="L212" s="1669"/>
    </row>
    <row r="213" spans="1:12" s="692" customFormat="1" ht="16.5" hidden="1">
      <c r="A213" s="1670" t="s">
        <v>201</v>
      </c>
      <c r="B213" s="1666" t="s">
        <v>384</v>
      </c>
      <c r="C213" s="688"/>
      <c r="D213" s="1667"/>
      <c r="E213" s="688"/>
      <c r="F213" s="688"/>
      <c r="G213" s="688"/>
      <c r="H213" s="688"/>
      <c r="I213" s="1668"/>
      <c r="J213" s="1668"/>
      <c r="K213" s="1668"/>
      <c r="L213" s="1669"/>
    </row>
    <row r="214" spans="1:12" s="692" customFormat="1" ht="16.5" hidden="1">
      <c r="A214" s="1670"/>
      <c r="B214" s="1666"/>
      <c r="C214" s="688"/>
      <c r="D214" s="1667"/>
      <c r="E214" s="1671">
        <v>3.5</v>
      </c>
      <c r="F214" s="1671">
        <v>4</v>
      </c>
      <c r="G214" s="1672">
        <v>0.15</v>
      </c>
      <c r="H214" s="1671">
        <f t="shared" ref="H214:H219" si="25">ROUND(D214*E214*F214*G214,2)</f>
        <v>0</v>
      </c>
      <c r="I214" s="688" t="s">
        <v>49</v>
      </c>
      <c r="J214" s="1668"/>
      <c r="K214" s="1668"/>
      <c r="L214" s="1669"/>
    </row>
    <row r="215" spans="1:12" s="692" customFormat="1" ht="16.5" hidden="1">
      <c r="A215" s="1670"/>
      <c r="B215" s="1666"/>
      <c r="C215" s="688"/>
      <c r="D215" s="1667"/>
      <c r="E215" s="1671">
        <v>3.5</v>
      </c>
      <c r="F215" s="1671">
        <v>4</v>
      </c>
      <c r="G215" s="1672">
        <v>0.15</v>
      </c>
      <c r="H215" s="1671">
        <f t="shared" si="25"/>
        <v>0</v>
      </c>
      <c r="I215" s="688" t="s">
        <v>49</v>
      </c>
      <c r="J215" s="1668"/>
      <c r="K215" s="1668"/>
      <c r="L215" s="1669"/>
    </row>
    <row r="216" spans="1:12" s="692" customFormat="1" ht="16.5" hidden="1">
      <c r="A216" s="1670"/>
      <c r="B216" s="1666"/>
      <c r="C216" s="688"/>
      <c r="D216" s="1667"/>
      <c r="E216" s="1671">
        <v>3.5</v>
      </c>
      <c r="F216" s="1671">
        <v>4</v>
      </c>
      <c r="G216" s="1672">
        <v>0.15</v>
      </c>
      <c r="H216" s="1671">
        <f t="shared" si="25"/>
        <v>0</v>
      </c>
      <c r="I216" s="688" t="s">
        <v>49</v>
      </c>
      <c r="J216" s="1668"/>
      <c r="K216" s="1668"/>
      <c r="L216" s="1669"/>
    </row>
    <row r="217" spans="1:12" s="692" customFormat="1" ht="16.5" hidden="1">
      <c r="A217" s="1670"/>
      <c r="B217" s="1666"/>
      <c r="C217" s="688"/>
      <c r="D217" s="1667"/>
      <c r="E217" s="1671">
        <v>3.5</v>
      </c>
      <c r="F217" s="1671">
        <v>4</v>
      </c>
      <c r="G217" s="1672">
        <v>0.15</v>
      </c>
      <c r="H217" s="1671">
        <f t="shared" si="25"/>
        <v>0</v>
      </c>
      <c r="I217" s="688" t="s">
        <v>49</v>
      </c>
      <c r="J217" s="1668"/>
      <c r="K217" s="1668"/>
      <c r="L217" s="1669"/>
    </row>
    <row r="218" spans="1:12" s="692" customFormat="1" ht="16.5" hidden="1">
      <c r="A218" s="1670"/>
      <c r="B218" s="1666"/>
      <c r="C218" s="688"/>
      <c r="D218" s="1667"/>
      <c r="E218" s="1671">
        <v>3.5</v>
      </c>
      <c r="F218" s="1671">
        <v>4</v>
      </c>
      <c r="G218" s="1672">
        <v>0.15</v>
      </c>
      <c r="H218" s="1671">
        <f t="shared" si="25"/>
        <v>0</v>
      </c>
      <c r="I218" s="688" t="s">
        <v>49</v>
      </c>
      <c r="J218" s="1668"/>
      <c r="K218" s="1668"/>
      <c r="L218" s="1669"/>
    </row>
    <row r="219" spans="1:12" s="692" customFormat="1" ht="16.5" hidden="1">
      <c r="A219" s="1670"/>
      <c r="B219" s="1666"/>
      <c r="C219" s="688"/>
      <c r="D219" s="1667"/>
      <c r="E219" s="1671">
        <v>3.5</v>
      </c>
      <c r="F219" s="1671">
        <v>4</v>
      </c>
      <c r="G219" s="1672">
        <v>0.15</v>
      </c>
      <c r="H219" s="1671">
        <f t="shared" si="25"/>
        <v>0</v>
      </c>
      <c r="I219" s="688" t="s">
        <v>49</v>
      </c>
      <c r="J219" s="1668"/>
      <c r="K219" s="1668"/>
      <c r="L219" s="1669"/>
    </row>
    <row r="220" spans="1:12" s="692" customFormat="1" ht="16.5" hidden="1">
      <c r="A220" s="1670"/>
      <c r="B220" s="1666"/>
      <c r="C220" s="688"/>
      <c r="D220" s="1667"/>
      <c r="E220" s="688"/>
      <c r="F220" s="688"/>
      <c r="G220" s="1668" t="s">
        <v>928</v>
      </c>
      <c r="H220" s="1673">
        <f>SUM(H214:H219)</f>
        <v>0</v>
      </c>
      <c r="I220" s="1668" t="s">
        <v>49</v>
      </c>
      <c r="J220" s="1669">
        <f>'Lead &amp; ANALYSIS'!L301</f>
        <v>301.89999999999998</v>
      </c>
      <c r="K220" s="1668" t="s">
        <v>1514</v>
      </c>
      <c r="L220" s="1669">
        <f>ROUND(H220*J220,0)</f>
        <v>0</v>
      </c>
    </row>
    <row r="221" spans="1:12" s="692" customFormat="1" ht="16.5" hidden="1">
      <c r="A221" s="1670" t="s">
        <v>220</v>
      </c>
      <c r="B221" s="1666" t="s">
        <v>387</v>
      </c>
      <c r="C221" s="688"/>
      <c r="D221" s="1667"/>
      <c r="E221" s="688"/>
      <c r="F221" s="688"/>
      <c r="G221" s="1668"/>
      <c r="H221" s="1673"/>
      <c r="I221" s="1668"/>
      <c r="J221" s="1669"/>
      <c r="K221" s="1668"/>
      <c r="L221" s="1669"/>
    </row>
    <row r="222" spans="1:12" s="692" customFormat="1" ht="16.5" hidden="1">
      <c r="A222" s="1670"/>
      <c r="B222" s="1666"/>
      <c r="C222" s="688"/>
      <c r="D222" s="1667"/>
      <c r="E222" s="1671">
        <v>3.5</v>
      </c>
      <c r="F222" s="1671">
        <v>4</v>
      </c>
      <c r="G222" s="1672">
        <v>0.15</v>
      </c>
      <c r="H222" s="1671">
        <f t="shared" ref="H222:H227" si="26">ROUND(D222*E222*F222*G222,2)</f>
        <v>0</v>
      </c>
      <c r="I222" s="688" t="s">
        <v>49</v>
      </c>
      <c r="J222" s="1668"/>
      <c r="K222" s="1668"/>
      <c r="L222" s="1669"/>
    </row>
    <row r="223" spans="1:12" s="692" customFormat="1" ht="16.5" hidden="1">
      <c r="A223" s="1670"/>
      <c r="B223" s="1666"/>
      <c r="C223" s="688"/>
      <c r="D223" s="1667"/>
      <c r="E223" s="1671">
        <v>3.5</v>
      </c>
      <c r="F223" s="1671">
        <v>4</v>
      </c>
      <c r="G223" s="1672">
        <v>0.15</v>
      </c>
      <c r="H223" s="1671">
        <f t="shared" si="26"/>
        <v>0</v>
      </c>
      <c r="I223" s="688" t="s">
        <v>49</v>
      </c>
      <c r="J223" s="1668"/>
      <c r="K223" s="1668"/>
      <c r="L223" s="1669"/>
    </row>
    <row r="224" spans="1:12" s="692" customFormat="1" ht="16.5" hidden="1">
      <c r="A224" s="1670"/>
      <c r="B224" s="1666"/>
      <c r="C224" s="688"/>
      <c r="D224" s="1667"/>
      <c r="E224" s="1671">
        <v>3.5</v>
      </c>
      <c r="F224" s="1671">
        <v>4</v>
      </c>
      <c r="G224" s="1672">
        <v>0.15</v>
      </c>
      <c r="H224" s="1671">
        <f t="shared" si="26"/>
        <v>0</v>
      </c>
      <c r="I224" s="688" t="s">
        <v>49</v>
      </c>
      <c r="J224" s="1668"/>
      <c r="K224" s="1668"/>
      <c r="L224" s="1669"/>
    </row>
    <row r="225" spans="1:12" s="692" customFormat="1" ht="16.5" hidden="1">
      <c r="A225" s="1670"/>
      <c r="B225" s="1666"/>
      <c r="C225" s="688"/>
      <c r="D225" s="1667"/>
      <c r="E225" s="1671">
        <v>3.5</v>
      </c>
      <c r="F225" s="1671">
        <v>4</v>
      </c>
      <c r="G225" s="1672">
        <v>0.15</v>
      </c>
      <c r="H225" s="1671">
        <f t="shared" si="26"/>
        <v>0</v>
      </c>
      <c r="I225" s="688" t="s">
        <v>49</v>
      </c>
      <c r="J225" s="1668"/>
      <c r="K225" s="1668"/>
      <c r="L225" s="1669"/>
    </row>
    <row r="226" spans="1:12" s="692" customFormat="1" ht="16.5" hidden="1">
      <c r="A226" s="1670"/>
      <c r="B226" s="1666"/>
      <c r="C226" s="688"/>
      <c r="D226" s="1667"/>
      <c r="E226" s="1671">
        <v>3.5</v>
      </c>
      <c r="F226" s="1671">
        <v>4</v>
      </c>
      <c r="G226" s="1672">
        <v>0.15</v>
      </c>
      <c r="H226" s="1671">
        <f t="shared" si="26"/>
        <v>0</v>
      </c>
      <c r="I226" s="688" t="s">
        <v>49</v>
      </c>
      <c r="J226" s="1668"/>
      <c r="K226" s="1668"/>
      <c r="L226" s="1669"/>
    </row>
    <row r="227" spans="1:12" s="692" customFormat="1" ht="16.5" hidden="1">
      <c r="A227" s="1670"/>
      <c r="B227" s="1666"/>
      <c r="C227" s="688"/>
      <c r="D227" s="1667"/>
      <c r="E227" s="1671">
        <v>3.5</v>
      </c>
      <c r="F227" s="1671">
        <v>4</v>
      </c>
      <c r="G227" s="1672">
        <v>0.15</v>
      </c>
      <c r="H227" s="1671">
        <f t="shared" si="26"/>
        <v>0</v>
      </c>
      <c r="I227" s="688" t="s">
        <v>49</v>
      </c>
      <c r="J227" s="1668"/>
      <c r="K227" s="1668"/>
      <c r="L227" s="1669"/>
    </row>
    <row r="228" spans="1:12" s="692" customFormat="1" ht="16.5" hidden="1">
      <c r="A228" s="1670"/>
      <c r="B228" s="1666"/>
      <c r="C228" s="688"/>
      <c r="D228" s="1667"/>
      <c r="E228" s="688"/>
      <c r="F228" s="688"/>
      <c r="G228" s="1668" t="s">
        <v>928</v>
      </c>
      <c r="H228" s="1673">
        <f>SUM(H222:H227)</f>
        <v>0</v>
      </c>
      <c r="I228" s="1668" t="s">
        <v>49</v>
      </c>
      <c r="J228" s="1669">
        <f>'Lead &amp; ANALYSIS'!L302</f>
        <v>316.7</v>
      </c>
      <c r="K228" s="1668" t="s">
        <v>1514</v>
      </c>
      <c r="L228" s="1669">
        <f>ROUND(H228*J228,0)</f>
        <v>0</v>
      </c>
    </row>
    <row r="229" spans="1:12" s="692" customFormat="1" ht="16.5" hidden="1">
      <c r="A229" s="1670" t="s">
        <v>244</v>
      </c>
      <c r="B229" s="1666" t="s">
        <v>3613</v>
      </c>
      <c r="C229" s="688"/>
      <c r="D229" s="1667"/>
      <c r="E229" s="688"/>
      <c r="F229" s="688"/>
      <c r="G229" s="1668"/>
      <c r="H229" s="1673"/>
      <c r="I229" s="1668"/>
      <c r="J229" s="1669"/>
      <c r="K229" s="1668"/>
      <c r="L229" s="1669"/>
    </row>
    <row r="230" spans="1:12" s="692" customFormat="1" ht="16.5" hidden="1">
      <c r="A230" s="1670"/>
      <c r="B230" s="1666"/>
      <c r="C230" s="688"/>
      <c r="D230" s="1667"/>
      <c r="E230" s="1671">
        <v>3.5</v>
      </c>
      <c r="F230" s="1671">
        <v>4</v>
      </c>
      <c r="G230" s="1672">
        <v>0.15</v>
      </c>
      <c r="H230" s="1671">
        <f t="shared" ref="H230:H235" si="27">ROUND(D230*E230*F230*G230,2)</f>
        <v>0</v>
      </c>
      <c r="I230" s="688" t="s">
        <v>49</v>
      </c>
      <c r="J230" s="1668"/>
      <c r="K230" s="1668"/>
      <c r="L230" s="1669"/>
    </row>
    <row r="231" spans="1:12" s="692" customFormat="1" ht="16.5" hidden="1">
      <c r="A231" s="1670"/>
      <c r="B231" s="1666"/>
      <c r="C231" s="688"/>
      <c r="D231" s="1667"/>
      <c r="E231" s="1671">
        <v>3.5</v>
      </c>
      <c r="F231" s="1671">
        <v>4</v>
      </c>
      <c r="G231" s="1672">
        <v>0.15</v>
      </c>
      <c r="H231" s="1671">
        <f t="shared" si="27"/>
        <v>0</v>
      </c>
      <c r="I231" s="688" t="s">
        <v>49</v>
      </c>
      <c r="J231" s="1668"/>
      <c r="K231" s="1668"/>
      <c r="L231" s="1669"/>
    </row>
    <row r="232" spans="1:12" s="692" customFormat="1" ht="16.5" hidden="1">
      <c r="A232" s="1670"/>
      <c r="B232" s="1666"/>
      <c r="C232" s="688"/>
      <c r="D232" s="1667"/>
      <c r="E232" s="1671">
        <v>3.5</v>
      </c>
      <c r="F232" s="1671">
        <v>4</v>
      </c>
      <c r="G232" s="1672">
        <v>0.15</v>
      </c>
      <c r="H232" s="1671">
        <f t="shared" si="27"/>
        <v>0</v>
      </c>
      <c r="I232" s="688" t="s">
        <v>49</v>
      </c>
      <c r="J232" s="1668"/>
      <c r="K232" s="1668"/>
      <c r="L232" s="1669"/>
    </row>
    <row r="233" spans="1:12" s="692" customFormat="1" ht="16.5" hidden="1">
      <c r="A233" s="1670"/>
      <c r="B233" s="1666"/>
      <c r="C233" s="688"/>
      <c r="D233" s="1667"/>
      <c r="E233" s="1671">
        <v>3.5</v>
      </c>
      <c r="F233" s="1671">
        <v>4</v>
      </c>
      <c r="G233" s="1672">
        <v>0.15</v>
      </c>
      <c r="H233" s="1671">
        <f t="shared" si="27"/>
        <v>0</v>
      </c>
      <c r="I233" s="688" t="s">
        <v>49</v>
      </c>
      <c r="J233" s="1668"/>
      <c r="K233" s="1668"/>
      <c r="L233" s="1669"/>
    </row>
    <row r="234" spans="1:12" s="692" customFormat="1" ht="16.5" hidden="1">
      <c r="A234" s="1670"/>
      <c r="B234" s="1666"/>
      <c r="C234" s="688"/>
      <c r="D234" s="1667"/>
      <c r="E234" s="1671">
        <v>3.5</v>
      </c>
      <c r="F234" s="1671">
        <v>4</v>
      </c>
      <c r="G234" s="1672">
        <v>0.15</v>
      </c>
      <c r="H234" s="1671">
        <f t="shared" si="27"/>
        <v>0</v>
      </c>
      <c r="I234" s="688" t="s">
        <v>49</v>
      </c>
      <c r="J234" s="1668"/>
      <c r="K234" s="1668"/>
      <c r="L234" s="1669"/>
    </row>
    <row r="235" spans="1:12" s="692" customFormat="1" ht="16.5" hidden="1">
      <c r="A235" s="1670"/>
      <c r="B235" s="1666"/>
      <c r="C235" s="688"/>
      <c r="D235" s="1667"/>
      <c r="E235" s="1671">
        <v>3.5</v>
      </c>
      <c r="F235" s="1671">
        <v>4</v>
      </c>
      <c r="G235" s="1672">
        <v>0.15</v>
      </c>
      <c r="H235" s="1671">
        <f t="shared" si="27"/>
        <v>0</v>
      </c>
      <c r="I235" s="688" t="s">
        <v>49</v>
      </c>
      <c r="J235" s="1668"/>
      <c r="K235" s="1668"/>
      <c r="L235" s="1669"/>
    </row>
    <row r="236" spans="1:12" s="692" customFormat="1" ht="16.5" hidden="1">
      <c r="A236" s="1670"/>
      <c r="B236" s="1666"/>
      <c r="C236" s="688"/>
      <c r="D236" s="1667"/>
      <c r="E236" s="688"/>
      <c r="F236" s="688"/>
      <c r="G236" s="1668" t="s">
        <v>928</v>
      </c>
      <c r="H236" s="1673">
        <f>SUM(H230:H235)</f>
        <v>0</v>
      </c>
      <c r="I236" s="1668" t="s">
        <v>49</v>
      </c>
      <c r="J236" s="1669">
        <f>'Lead &amp; ANALYSIS'!L303</f>
        <v>332.2</v>
      </c>
      <c r="K236" s="1668" t="s">
        <v>1516</v>
      </c>
      <c r="L236" s="1669">
        <f>ROUND(H236*J236,0)</f>
        <v>0</v>
      </c>
    </row>
    <row r="237" spans="1:12" s="692" customFormat="1" ht="16.5" hidden="1">
      <c r="A237" s="1670" t="s">
        <v>291</v>
      </c>
      <c r="B237" s="1666" t="s">
        <v>3632</v>
      </c>
      <c r="C237" s="688"/>
      <c r="D237" s="1667"/>
      <c r="E237" s="688"/>
      <c r="F237" s="688"/>
      <c r="G237" s="1668"/>
      <c r="H237" s="1673"/>
      <c r="I237" s="1668"/>
      <c r="J237" s="1669"/>
      <c r="K237" s="1668"/>
      <c r="L237" s="1669"/>
    </row>
    <row r="238" spans="1:12" s="692" customFormat="1" ht="16.5" hidden="1">
      <c r="A238" s="1670"/>
      <c r="B238" s="1666"/>
      <c r="C238" s="688"/>
      <c r="D238" s="1667"/>
      <c r="E238" s="1671">
        <v>3.5</v>
      </c>
      <c r="F238" s="1671">
        <v>4</v>
      </c>
      <c r="G238" s="1672">
        <v>0.15</v>
      </c>
      <c r="H238" s="1671">
        <f t="shared" ref="H238:H243" si="28">ROUND(D238*E238*F238*G238,2)</f>
        <v>0</v>
      </c>
      <c r="I238" s="688" t="s">
        <v>49</v>
      </c>
      <c r="J238" s="1668"/>
      <c r="K238" s="1668"/>
      <c r="L238" s="1669"/>
    </row>
    <row r="239" spans="1:12" s="692" customFormat="1" ht="16.5" hidden="1">
      <c r="A239" s="1670"/>
      <c r="B239" s="1666"/>
      <c r="C239" s="688"/>
      <c r="D239" s="1667"/>
      <c r="E239" s="1671">
        <v>3.5</v>
      </c>
      <c r="F239" s="1671">
        <v>4</v>
      </c>
      <c r="G239" s="1672">
        <v>0.15</v>
      </c>
      <c r="H239" s="1671">
        <f t="shared" si="28"/>
        <v>0</v>
      </c>
      <c r="I239" s="688" t="s">
        <v>49</v>
      </c>
      <c r="J239" s="1668"/>
      <c r="K239" s="1668"/>
      <c r="L239" s="1669"/>
    </row>
    <row r="240" spans="1:12" s="692" customFormat="1" ht="16.5" hidden="1">
      <c r="A240" s="1670"/>
      <c r="B240" s="1666"/>
      <c r="C240" s="688"/>
      <c r="D240" s="1667"/>
      <c r="E240" s="1671">
        <v>3.5</v>
      </c>
      <c r="F240" s="1671">
        <v>4</v>
      </c>
      <c r="G240" s="1672">
        <v>0.15</v>
      </c>
      <c r="H240" s="1671">
        <f t="shared" si="28"/>
        <v>0</v>
      </c>
      <c r="I240" s="688" t="s">
        <v>49</v>
      </c>
      <c r="J240" s="1668"/>
      <c r="K240" s="1668"/>
      <c r="L240" s="1669"/>
    </row>
    <row r="241" spans="1:12" s="692" customFormat="1" ht="16.5" hidden="1">
      <c r="A241" s="1665"/>
      <c r="B241" s="1666"/>
      <c r="C241" s="688"/>
      <c r="D241" s="1667"/>
      <c r="E241" s="1671">
        <v>3.5</v>
      </c>
      <c r="F241" s="1671">
        <v>4</v>
      </c>
      <c r="G241" s="1672">
        <v>0.15</v>
      </c>
      <c r="H241" s="1671">
        <f t="shared" si="28"/>
        <v>0</v>
      </c>
      <c r="I241" s="688" t="s">
        <v>49</v>
      </c>
      <c r="J241" s="1668"/>
      <c r="K241" s="1668"/>
      <c r="L241" s="1669"/>
    </row>
    <row r="242" spans="1:12" s="692" customFormat="1" ht="16.5" hidden="1">
      <c r="A242" s="1665"/>
      <c r="B242" s="1666"/>
      <c r="C242" s="688"/>
      <c r="D242" s="1667"/>
      <c r="E242" s="1671">
        <v>3.5</v>
      </c>
      <c r="F242" s="1671">
        <v>4</v>
      </c>
      <c r="G242" s="1672">
        <v>0.15</v>
      </c>
      <c r="H242" s="1671">
        <f t="shared" si="28"/>
        <v>0</v>
      </c>
      <c r="I242" s="688" t="s">
        <v>49</v>
      </c>
      <c r="J242" s="1668"/>
      <c r="K242" s="1668"/>
      <c r="L242" s="1669"/>
    </row>
    <row r="243" spans="1:12" s="692" customFormat="1" ht="16.5" hidden="1">
      <c r="A243" s="1665"/>
      <c r="B243" s="1666"/>
      <c r="C243" s="688"/>
      <c r="D243" s="1667"/>
      <c r="E243" s="1671">
        <v>3.5</v>
      </c>
      <c r="F243" s="1671">
        <v>4</v>
      </c>
      <c r="G243" s="1672">
        <v>0.15</v>
      </c>
      <c r="H243" s="1671">
        <f t="shared" si="28"/>
        <v>0</v>
      </c>
      <c r="I243" s="688" t="s">
        <v>49</v>
      </c>
      <c r="J243" s="1668"/>
      <c r="K243" s="1668"/>
      <c r="L243" s="1669"/>
    </row>
    <row r="244" spans="1:12" s="692" customFormat="1" ht="16.5" hidden="1">
      <c r="A244" s="1665"/>
      <c r="B244" s="1666"/>
      <c r="C244" s="688"/>
      <c r="D244" s="1667"/>
      <c r="E244" s="688"/>
      <c r="F244" s="688"/>
      <c r="G244" s="1668" t="s">
        <v>928</v>
      </c>
      <c r="H244" s="1673">
        <f>SUM(H238:H243)</f>
        <v>0</v>
      </c>
      <c r="I244" s="1668" t="s">
        <v>49</v>
      </c>
      <c r="J244" s="1669">
        <f>'Lead &amp; ANALYSIS'!L304</f>
        <v>348.5</v>
      </c>
      <c r="K244" s="1668" t="s">
        <v>1516</v>
      </c>
      <c r="L244" s="1669">
        <f>ROUND(H244*J244,0)</f>
        <v>0</v>
      </c>
    </row>
    <row r="245" spans="1:12" s="692" customFormat="1" ht="66" hidden="1">
      <c r="A245" s="1665">
        <f>'Lead &amp; ANALYSIS'!A305</f>
        <v>8</v>
      </c>
      <c r="B245" s="1666" t="str">
        <f>'Lead &amp; ANALYSIS'!B305</f>
        <v>Dismantling &amp; Removing 2.5cm thick grading concrete from roof slab including removing the debris within 50m lead  with  cost  of  all labour etc. complete.</v>
      </c>
      <c r="C245" s="688"/>
      <c r="D245" s="1667"/>
      <c r="E245" s="688"/>
      <c r="F245" s="688"/>
      <c r="G245" s="1674"/>
      <c r="H245" s="688"/>
      <c r="I245" s="1668"/>
      <c r="J245" s="1668"/>
      <c r="K245" s="1668"/>
      <c r="L245" s="1669"/>
    </row>
    <row r="246" spans="1:12" s="692" customFormat="1" ht="16.5" hidden="1">
      <c r="A246" s="1670" t="s">
        <v>201</v>
      </c>
      <c r="B246" s="1666" t="s">
        <v>384</v>
      </c>
      <c r="C246" s="688"/>
      <c r="D246" s="1667"/>
      <c r="E246" s="688"/>
      <c r="F246" s="688"/>
      <c r="G246" s="688"/>
      <c r="H246" s="688"/>
      <c r="I246" s="1668"/>
      <c r="J246" s="1668"/>
      <c r="K246" s="1668"/>
      <c r="L246" s="1669"/>
    </row>
    <row r="247" spans="1:12" s="692" customFormat="1" ht="16.5" hidden="1">
      <c r="A247" s="1670"/>
      <c r="B247" s="1666"/>
      <c r="C247" s="688"/>
      <c r="D247" s="1667"/>
      <c r="E247" s="1671">
        <v>3.5</v>
      </c>
      <c r="F247" s="1671">
        <v>4</v>
      </c>
      <c r="G247" s="1672">
        <v>0.15</v>
      </c>
      <c r="H247" s="1671">
        <f t="shared" ref="H247:H252" si="29">ROUND(D247*E247*F247*G247,2)</f>
        <v>0</v>
      </c>
      <c r="I247" s="688" t="s">
        <v>49</v>
      </c>
      <c r="J247" s="1668"/>
      <c r="K247" s="1668"/>
      <c r="L247" s="1669"/>
    </row>
    <row r="248" spans="1:12" s="692" customFormat="1" ht="16.5" hidden="1">
      <c r="A248" s="1670"/>
      <c r="B248" s="1666"/>
      <c r="C248" s="688"/>
      <c r="D248" s="1667"/>
      <c r="E248" s="1671">
        <v>3.5</v>
      </c>
      <c r="F248" s="1671">
        <v>4</v>
      </c>
      <c r="G248" s="1672">
        <v>0.15</v>
      </c>
      <c r="H248" s="1671">
        <f t="shared" si="29"/>
        <v>0</v>
      </c>
      <c r="I248" s="688" t="s">
        <v>49</v>
      </c>
      <c r="J248" s="1668"/>
      <c r="K248" s="1668"/>
      <c r="L248" s="1669"/>
    </row>
    <row r="249" spans="1:12" s="692" customFormat="1" ht="16.5" hidden="1">
      <c r="A249" s="1670"/>
      <c r="B249" s="1666"/>
      <c r="C249" s="688"/>
      <c r="D249" s="1667"/>
      <c r="E249" s="1671">
        <v>3.5</v>
      </c>
      <c r="F249" s="1671">
        <v>4</v>
      </c>
      <c r="G249" s="1672">
        <v>0.15</v>
      </c>
      <c r="H249" s="1671">
        <f t="shared" si="29"/>
        <v>0</v>
      </c>
      <c r="I249" s="688" t="s">
        <v>49</v>
      </c>
      <c r="J249" s="1668"/>
      <c r="K249" s="1668"/>
      <c r="L249" s="1669"/>
    </row>
    <row r="250" spans="1:12" s="692" customFormat="1" ht="16.5" hidden="1">
      <c r="A250" s="1670"/>
      <c r="B250" s="1666"/>
      <c r="C250" s="688"/>
      <c r="D250" s="1667"/>
      <c r="E250" s="1671">
        <v>3.5</v>
      </c>
      <c r="F250" s="1671">
        <v>4</v>
      </c>
      <c r="G250" s="1672">
        <v>0.15</v>
      </c>
      <c r="H250" s="1671">
        <f t="shared" si="29"/>
        <v>0</v>
      </c>
      <c r="I250" s="688" t="s">
        <v>49</v>
      </c>
      <c r="J250" s="1668"/>
      <c r="K250" s="1668"/>
      <c r="L250" s="1669"/>
    </row>
    <row r="251" spans="1:12" s="692" customFormat="1" ht="16.5" hidden="1">
      <c r="A251" s="1670"/>
      <c r="B251" s="1666"/>
      <c r="C251" s="688"/>
      <c r="D251" s="1667"/>
      <c r="E251" s="1671">
        <v>3.5</v>
      </c>
      <c r="F251" s="1671">
        <v>4</v>
      </c>
      <c r="G251" s="1672">
        <v>0.15</v>
      </c>
      <c r="H251" s="1671">
        <f t="shared" si="29"/>
        <v>0</v>
      </c>
      <c r="I251" s="688" t="s">
        <v>49</v>
      </c>
      <c r="J251" s="1668"/>
      <c r="K251" s="1668"/>
      <c r="L251" s="1669"/>
    </row>
    <row r="252" spans="1:12" s="692" customFormat="1" ht="16.5" hidden="1">
      <c r="A252" s="1670"/>
      <c r="B252" s="1666"/>
      <c r="C252" s="688"/>
      <c r="D252" s="1667"/>
      <c r="E252" s="1671">
        <v>3.5</v>
      </c>
      <c r="F252" s="1671">
        <v>4</v>
      </c>
      <c r="G252" s="1672">
        <v>0.15</v>
      </c>
      <c r="H252" s="1671">
        <f t="shared" si="29"/>
        <v>0</v>
      </c>
      <c r="I252" s="688" t="s">
        <v>49</v>
      </c>
      <c r="J252" s="1668"/>
      <c r="K252" s="1668"/>
      <c r="L252" s="1669"/>
    </row>
    <row r="253" spans="1:12" s="692" customFormat="1" ht="16.5" hidden="1">
      <c r="A253" s="1670"/>
      <c r="B253" s="1666"/>
      <c r="C253" s="688"/>
      <c r="D253" s="1667"/>
      <c r="E253" s="688"/>
      <c r="F253" s="688"/>
      <c r="G253" s="1668" t="s">
        <v>928</v>
      </c>
      <c r="H253" s="1673">
        <f>SUM(H247:H252)</f>
        <v>0</v>
      </c>
      <c r="I253" s="1668" t="s">
        <v>49</v>
      </c>
      <c r="J253" s="1669">
        <f>'Lead &amp; ANALYSIS'!L306</f>
        <v>85.1</v>
      </c>
      <c r="K253" s="1668" t="s">
        <v>1514</v>
      </c>
      <c r="L253" s="1669">
        <f>ROUND(H253*J253,0)</f>
        <v>0</v>
      </c>
    </row>
    <row r="254" spans="1:12" s="692" customFormat="1" ht="16.5" hidden="1">
      <c r="A254" s="1670" t="s">
        <v>220</v>
      </c>
      <c r="B254" s="1666" t="s">
        <v>387</v>
      </c>
      <c r="C254" s="688"/>
      <c r="D254" s="1667"/>
      <c r="E254" s="688"/>
      <c r="F254" s="688"/>
      <c r="G254" s="1668"/>
      <c r="H254" s="1673"/>
      <c r="I254" s="1668"/>
      <c r="J254" s="1669"/>
      <c r="K254" s="1668"/>
      <c r="L254" s="1669"/>
    </row>
    <row r="255" spans="1:12" s="692" customFormat="1" ht="16.5" hidden="1">
      <c r="A255" s="1670"/>
      <c r="B255" s="1666"/>
      <c r="C255" s="688"/>
      <c r="D255" s="1667"/>
      <c r="E255" s="1671">
        <v>3.5</v>
      </c>
      <c r="F255" s="1671">
        <v>4</v>
      </c>
      <c r="G255" s="1672">
        <v>0.15</v>
      </c>
      <c r="H255" s="1671">
        <f t="shared" ref="H255:H260" si="30">ROUND(D255*E255*F255*G255,2)</f>
        <v>0</v>
      </c>
      <c r="I255" s="688" t="s">
        <v>49</v>
      </c>
      <c r="J255" s="1668"/>
      <c r="K255" s="1668"/>
      <c r="L255" s="1669"/>
    </row>
    <row r="256" spans="1:12" s="692" customFormat="1" ht="16.5" hidden="1">
      <c r="A256" s="1670"/>
      <c r="B256" s="1666"/>
      <c r="C256" s="688"/>
      <c r="D256" s="1667"/>
      <c r="E256" s="1671">
        <v>3.5</v>
      </c>
      <c r="F256" s="1671">
        <v>4</v>
      </c>
      <c r="G256" s="1672">
        <v>0.15</v>
      </c>
      <c r="H256" s="1671">
        <f t="shared" si="30"/>
        <v>0</v>
      </c>
      <c r="I256" s="688" t="s">
        <v>49</v>
      </c>
      <c r="J256" s="1668"/>
      <c r="K256" s="1668"/>
      <c r="L256" s="1669"/>
    </row>
    <row r="257" spans="1:12" s="692" customFormat="1" ht="16.5" hidden="1">
      <c r="A257" s="1670"/>
      <c r="B257" s="1666"/>
      <c r="C257" s="688"/>
      <c r="D257" s="1667"/>
      <c r="E257" s="1671">
        <v>3.5</v>
      </c>
      <c r="F257" s="1671">
        <v>4</v>
      </c>
      <c r="G257" s="1672">
        <v>0.15</v>
      </c>
      <c r="H257" s="1671">
        <f t="shared" si="30"/>
        <v>0</v>
      </c>
      <c r="I257" s="688" t="s">
        <v>49</v>
      </c>
      <c r="J257" s="1668"/>
      <c r="K257" s="1668"/>
      <c r="L257" s="1669"/>
    </row>
    <row r="258" spans="1:12" s="692" customFormat="1" ht="16.5" hidden="1">
      <c r="A258" s="1670"/>
      <c r="B258" s="1666"/>
      <c r="C258" s="688"/>
      <c r="D258" s="1667"/>
      <c r="E258" s="1671">
        <v>3.5</v>
      </c>
      <c r="F258" s="1671">
        <v>4</v>
      </c>
      <c r="G258" s="1672">
        <v>0.15</v>
      </c>
      <c r="H258" s="1671">
        <f t="shared" si="30"/>
        <v>0</v>
      </c>
      <c r="I258" s="688" t="s">
        <v>49</v>
      </c>
      <c r="J258" s="1668"/>
      <c r="K258" s="1668"/>
      <c r="L258" s="1669"/>
    </row>
    <row r="259" spans="1:12" s="692" customFormat="1" ht="16.5" hidden="1">
      <c r="A259" s="1670"/>
      <c r="B259" s="1666"/>
      <c r="C259" s="688"/>
      <c r="D259" s="1667"/>
      <c r="E259" s="1671">
        <v>3.5</v>
      </c>
      <c r="F259" s="1671">
        <v>4</v>
      </c>
      <c r="G259" s="1672">
        <v>0.15</v>
      </c>
      <c r="H259" s="1671">
        <f t="shared" si="30"/>
        <v>0</v>
      </c>
      <c r="I259" s="688" t="s">
        <v>49</v>
      </c>
      <c r="J259" s="1668"/>
      <c r="K259" s="1668"/>
      <c r="L259" s="1669"/>
    </row>
    <row r="260" spans="1:12" s="692" customFormat="1" ht="16.5" hidden="1">
      <c r="A260" s="1670"/>
      <c r="B260" s="1666"/>
      <c r="C260" s="688"/>
      <c r="D260" s="1667"/>
      <c r="E260" s="1671">
        <v>3.5</v>
      </c>
      <c r="F260" s="1671">
        <v>4</v>
      </c>
      <c r="G260" s="1672">
        <v>0.15</v>
      </c>
      <c r="H260" s="1671">
        <f t="shared" si="30"/>
        <v>0</v>
      </c>
      <c r="I260" s="688" t="s">
        <v>49</v>
      </c>
      <c r="J260" s="1668"/>
      <c r="K260" s="1668"/>
      <c r="L260" s="1669"/>
    </row>
    <row r="261" spans="1:12" s="692" customFormat="1" ht="16.5" hidden="1">
      <c r="A261" s="1670"/>
      <c r="B261" s="1666"/>
      <c r="C261" s="688"/>
      <c r="D261" s="1667"/>
      <c r="E261" s="688"/>
      <c r="F261" s="688"/>
      <c r="G261" s="1668" t="s">
        <v>928</v>
      </c>
      <c r="H261" s="1673">
        <f>SUM(H255:H260)</f>
        <v>0</v>
      </c>
      <c r="I261" s="1668" t="s">
        <v>49</v>
      </c>
      <c r="J261" s="1669">
        <f>'Lead &amp; ANALYSIS'!L307</f>
        <v>89.3</v>
      </c>
      <c r="K261" s="1668" t="s">
        <v>1514</v>
      </c>
      <c r="L261" s="1669">
        <f>ROUND(H261*J261,0)</f>
        <v>0</v>
      </c>
    </row>
    <row r="262" spans="1:12" s="692" customFormat="1" ht="16.5" hidden="1">
      <c r="A262" s="1670" t="s">
        <v>244</v>
      </c>
      <c r="B262" s="1666" t="s">
        <v>3613</v>
      </c>
      <c r="C262" s="688"/>
      <c r="D262" s="1667"/>
      <c r="E262" s="688"/>
      <c r="F262" s="688"/>
      <c r="G262" s="1668"/>
      <c r="H262" s="1673"/>
      <c r="I262" s="1668"/>
      <c r="J262" s="1669"/>
      <c r="K262" s="1668"/>
      <c r="L262" s="1669"/>
    </row>
    <row r="263" spans="1:12" s="692" customFormat="1" ht="16.5" hidden="1">
      <c r="A263" s="1670"/>
      <c r="B263" s="1666"/>
      <c r="C263" s="688"/>
      <c r="D263" s="1667"/>
      <c r="E263" s="1671">
        <v>3.5</v>
      </c>
      <c r="F263" s="1671">
        <v>4</v>
      </c>
      <c r="G263" s="1672">
        <v>0.15</v>
      </c>
      <c r="H263" s="1671">
        <f t="shared" ref="H263:H268" si="31">ROUND(D263*E263*F263*G263,2)</f>
        <v>0</v>
      </c>
      <c r="I263" s="688" t="s">
        <v>49</v>
      </c>
      <c r="J263" s="1668"/>
      <c r="K263" s="1668"/>
      <c r="L263" s="1669"/>
    </row>
    <row r="264" spans="1:12" s="692" customFormat="1" ht="16.5" hidden="1">
      <c r="A264" s="1670"/>
      <c r="B264" s="1666"/>
      <c r="C264" s="688"/>
      <c r="D264" s="1667"/>
      <c r="E264" s="1671">
        <v>3.5</v>
      </c>
      <c r="F264" s="1671">
        <v>4</v>
      </c>
      <c r="G264" s="1672">
        <v>0.15</v>
      </c>
      <c r="H264" s="1671">
        <f t="shared" si="31"/>
        <v>0</v>
      </c>
      <c r="I264" s="688" t="s">
        <v>49</v>
      </c>
      <c r="J264" s="1668"/>
      <c r="K264" s="1668"/>
      <c r="L264" s="1669"/>
    </row>
    <row r="265" spans="1:12" s="692" customFormat="1" ht="16.5" hidden="1">
      <c r="A265" s="1670"/>
      <c r="B265" s="1666"/>
      <c r="C265" s="688"/>
      <c r="D265" s="1667"/>
      <c r="E265" s="1671">
        <v>3.5</v>
      </c>
      <c r="F265" s="1671">
        <v>4</v>
      </c>
      <c r="G265" s="1672">
        <v>0.15</v>
      </c>
      <c r="H265" s="1671">
        <f t="shared" si="31"/>
        <v>0</v>
      </c>
      <c r="I265" s="688" t="s">
        <v>49</v>
      </c>
      <c r="J265" s="1668"/>
      <c r="K265" s="1668"/>
      <c r="L265" s="1669"/>
    </row>
    <row r="266" spans="1:12" s="692" customFormat="1" ht="16.5" hidden="1">
      <c r="A266" s="1670"/>
      <c r="B266" s="1666"/>
      <c r="C266" s="688"/>
      <c r="D266" s="1667"/>
      <c r="E266" s="1671">
        <v>3.5</v>
      </c>
      <c r="F266" s="1671">
        <v>4</v>
      </c>
      <c r="G266" s="1672">
        <v>0.15</v>
      </c>
      <c r="H266" s="1671">
        <f t="shared" si="31"/>
        <v>0</v>
      </c>
      <c r="I266" s="688" t="s">
        <v>49</v>
      </c>
      <c r="J266" s="1668"/>
      <c r="K266" s="1668"/>
      <c r="L266" s="1669"/>
    </row>
    <row r="267" spans="1:12" s="692" customFormat="1" ht="16.5" hidden="1">
      <c r="A267" s="1670"/>
      <c r="B267" s="1666"/>
      <c r="C267" s="688"/>
      <c r="D267" s="1667"/>
      <c r="E267" s="1671">
        <v>3.5</v>
      </c>
      <c r="F267" s="1671">
        <v>4</v>
      </c>
      <c r="G267" s="1672">
        <v>0.15</v>
      </c>
      <c r="H267" s="1671">
        <f t="shared" si="31"/>
        <v>0</v>
      </c>
      <c r="I267" s="688" t="s">
        <v>49</v>
      </c>
      <c r="J267" s="1668"/>
      <c r="K267" s="1668"/>
      <c r="L267" s="1669"/>
    </row>
    <row r="268" spans="1:12" s="692" customFormat="1" ht="16.5" hidden="1">
      <c r="A268" s="1670"/>
      <c r="B268" s="1666"/>
      <c r="C268" s="688"/>
      <c r="D268" s="1667"/>
      <c r="E268" s="1671">
        <v>3.5</v>
      </c>
      <c r="F268" s="1671">
        <v>4</v>
      </c>
      <c r="G268" s="1672">
        <v>0.15</v>
      </c>
      <c r="H268" s="1671">
        <f t="shared" si="31"/>
        <v>0</v>
      </c>
      <c r="I268" s="688" t="s">
        <v>49</v>
      </c>
      <c r="J268" s="1668"/>
      <c r="K268" s="1668"/>
      <c r="L268" s="1669"/>
    </row>
    <row r="269" spans="1:12" s="692" customFormat="1" ht="16.5" hidden="1">
      <c r="A269" s="1670"/>
      <c r="B269" s="1666"/>
      <c r="C269" s="688"/>
      <c r="D269" s="1667"/>
      <c r="E269" s="688"/>
      <c r="F269" s="688"/>
      <c r="G269" s="1668" t="s">
        <v>928</v>
      </c>
      <c r="H269" s="1673">
        <f>SUM(H263:H268)</f>
        <v>0</v>
      </c>
      <c r="I269" s="1668" t="s">
        <v>49</v>
      </c>
      <c r="J269" s="1669">
        <f>'Lead &amp; ANALYSIS'!L308</f>
        <v>93.7</v>
      </c>
      <c r="K269" s="1668" t="s">
        <v>1516</v>
      </c>
      <c r="L269" s="1669">
        <f>ROUND(H269*J269,0)</f>
        <v>0</v>
      </c>
    </row>
    <row r="270" spans="1:12" s="692" customFormat="1" ht="16.5" hidden="1">
      <c r="A270" s="1670" t="s">
        <v>291</v>
      </c>
      <c r="B270" s="1666" t="s">
        <v>3632</v>
      </c>
      <c r="C270" s="688"/>
      <c r="D270" s="1667"/>
      <c r="E270" s="688"/>
      <c r="F270" s="688"/>
      <c r="G270" s="1668"/>
      <c r="H270" s="1673"/>
      <c r="I270" s="1668"/>
      <c r="J270" s="1669"/>
      <c r="K270" s="1668"/>
      <c r="L270" s="1669"/>
    </row>
    <row r="271" spans="1:12" s="692" customFormat="1" ht="16.5" hidden="1">
      <c r="A271" s="1665"/>
      <c r="B271" s="1666"/>
      <c r="C271" s="688"/>
      <c r="D271" s="1667"/>
      <c r="E271" s="1671">
        <v>3.5</v>
      </c>
      <c r="F271" s="1671">
        <v>4</v>
      </c>
      <c r="G271" s="1672">
        <v>0.15</v>
      </c>
      <c r="H271" s="1671">
        <f t="shared" ref="H271:H276" si="32">ROUND(D271*E271*F271*G271,2)</f>
        <v>0</v>
      </c>
      <c r="I271" s="688" t="s">
        <v>49</v>
      </c>
      <c r="J271" s="1668"/>
      <c r="K271" s="1668"/>
      <c r="L271" s="1669"/>
    </row>
    <row r="272" spans="1:12" s="692" customFormat="1" ht="16.5" hidden="1">
      <c r="A272" s="1665"/>
      <c r="B272" s="1666"/>
      <c r="C272" s="688"/>
      <c r="D272" s="1667"/>
      <c r="E272" s="1671">
        <v>3.5</v>
      </c>
      <c r="F272" s="1671">
        <v>4</v>
      </c>
      <c r="G272" s="1672">
        <v>0.15</v>
      </c>
      <c r="H272" s="1671">
        <f t="shared" si="32"/>
        <v>0</v>
      </c>
      <c r="I272" s="688" t="s">
        <v>49</v>
      </c>
      <c r="J272" s="1668"/>
      <c r="K272" s="1668"/>
      <c r="L272" s="1669"/>
    </row>
    <row r="273" spans="1:12" s="692" customFormat="1" ht="16.5" hidden="1">
      <c r="A273" s="1665"/>
      <c r="B273" s="1666"/>
      <c r="C273" s="688"/>
      <c r="D273" s="1667"/>
      <c r="E273" s="1671">
        <v>3.5</v>
      </c>
      <c r="F273" s="1671">
        <v>4</v>
      </c>
      <c r="G273" s="1672">
        <v>0.15</v>
      </c>
      <c r="H273" s="1671">
        <f t="shared" si="32"/>
        <v>0</v>
      </c>
      <c r="I273" s="688" t="s">
        <v>49</v>
      </c>
      <c r="J273" s="1668"/>
      <c r="K273" s="1668"/>
      <c r="L273" s="1669"/>
    </row>
    <row r="274" spans="1:12" s="692" customFormat="1" ht="16.5" hidden="1">
      <c r="A274" s="1665"/>
      <c r="B274" s="1666"/>
      <c r="C274" s="688"/>
      <c r="D274" s="1667"/>
      <c r="E274" s="1671">
        <v>3.5</v>
      </c>
      <c r="F274" s="1671">
        <v>4</v>
      </c>
      <c r="G274" s="1672">
        <v>0.15</v>
      </c>
      <c r="H274" s="1671">
        <f t="shared" si="32"/>
        <v>0</v>
      </c>
      <c r="I274" s="688" t="s">
        <v>49</v>
      </c>
      <c r="J274" s="1668"/>
      <c r="K274" s="1668"/>
      <c r="L274" s="1669"/>
    </row>
    <row r="275" spans="1:12" s="692" customFormat="1" ht="16.5" hidden="1">
      <c r="A275" s="1665"/>
      <c r="B275" s="1666"/>
      <c r="C275" s="688"/>
      <c r="D275" s="1667"/>
      <c r="E275" s="1671">
        <v>3.5</v>
      </c>
      <c r="F275" s="1671">
        <v>4</v>
      </c>
      <c r="G275" s="1672">
        <v>0.15</v>
      </c>
      <c r="H275" s="1671">
        <f t="shared" si="32"/>
        <v>0</v>
      </c>
      <c r="I275" s="688" t="s">
        <v>49</v>
      </c>
      <c r="J275" s="1668"/>
      <c r="K275" s="1668"/>
      <c r="L275" s="1669"/>
    </row>
    <row r="276" spans="1:12" s="692" customFormat="1" ht="16.5" hidden="1">
      <c r="A276" s="1665"/>
      <c r="B276" s="1666"/>
      <c r="C276" s="688"/>
      <c r="D276" s="1667"/>
      <c r="E276" s="1671">
        <v>3.5</v>
      </c>
      <c r="F276" s="1671">
        <v>4</v>
      </c>
      <c r="G276" s="1672">
        <v>0.15</v>
      </c>
      <c r="H276" s="1671">
        <f t="shared" si="32"/>
        <v>0</v>
      </c>
      <c r="I276" s="688" t="s">
        <v>49</v>
      </c>
      <c r="J276" s="1668"/>
      <c r="K276" s="1668"/>
      <c r="L276" s="1669"/>
    </row>
    <row r="277" spans="1:12" s="692" customFormat="1" ht="16.5" hidden="1">
      <c r="A277" s="1665"/>
      <c r="B277" s="1666"/>
      <c r="C277" s="688"/>
      <c r="D277" s="1667"/>
      <c r="E277" s="688"/>
      <c r="F277" s="688"/>
      <c r="G277" s="1668" t="s">
        <v>928</v>
      </c>
      <c r="H277" s="1673">
        <f>SUM(H271:H276)</f>
        <v>0</v>
      </c>
      <c r="I277" s="1668" t="s">
        <v>49</v>
      </c>
      <c r="J277" s="1669">
        <f>'Lead &amp; ANALYSIS'!L309</f>
        <v>98.3</v>
      </c>
      <c r="K277" s="1668" t="s">
        <v>1516</v>
      </c>
      <c r="L277" s="1669">
        <f>ROUND(H277*J277,0)</f>
        <v>0</v>
      </c>
    </row>
    <row r="278" spans="1:12" s="692" customFormat="1" ht="49.5" hidden="1">
      <c r="A278" s="1665">
        <f>'Lead &amp; ANALYSIS'!A310</f>
        <v>9</v>
      </c>
      <c r="B278" s="1666" t="str">
        <f>'Lead &amp; ANALYSIS'!B310</f>
        <v>Removing grading plaster from roof slab including removing the debris within 50m lead  with  cost  of  all labour etc. complete.</v>
      </c>
      <c r="C278" s="688"/>
      <c r="D278" s="1667"/>
      <c r="E278" s="688"/>
      <c r="F278" s="688"/>
      <c r="G278" s="1674"/>
      <c r="H278" s="688"/>
      <c r="I278" s="1668"/>
      <c r="J278" s="1668"/>
      <c r="K278" s="1668"/>
      <c r="L278" s="1669"/>
    </row>
    <row r="279" spans="1:12" s="692" customFormat="1" ht="16.5" hidden="1">
      <c r="A279" s="1670" t="s">
        <v>201</v>
      </c>
      <c r="B279" s="1666" t="s">
        <v>384</v>
      </c>
      <c r="C279" s="688"/>
      <c r="D279" s="1667"/>
      <c r="E279" s="688"/>
      <c r="F279" s="688"/>
      <c r="G279" s="688"/>
      <c r="H279" s="688"/>
      <c r="I279" s="1668"/>
      <c r="J279" s="1668"/>
      <c r="K279" s="1668"/>
      <c r="L279" s="1669"/>
    </row>
    <row r="280" spans="1:12" s="692" customFormat="1" ht="16.5" hidden="1">
      <c r="A280" s="1670"/>
      <c r="B280" s="1666"/>
      <c r="C280" s="688"/>
      <c r="D280" s="1667"/>
      <c r="E280" s="1671">
        <v>3.5</v>
      </c>
      <c r="F280" s="1671">
        <v>4</v>
      </c>
      <c r="G280" s="1672">
        <v>0.15</v>
      </c>
      <c r="H280" s="1671">
        <f t="shared" ref="H280:H285" si="33">ROUND(D280*E280*F280*G280,2)</f>
        <v>0</v>
      </c>
      <c r="I280" s="688" t="s">
        <v>49</v>
      </c>
      <c r="J280" s="1668"/>
      <c r="K280" s="1668"/>
      <c r="L280" s="1669"/>
    </row>
    <row r="281" spans="1:12" s="692" customFormat="1" ht="16.5" hidden="1">
      <c r="A281" s="1670"/>
      <c r="B281" s="1666"/>
      <c r="C281" s="688"/>
      <c r="D281" s="1667"/>
      <c r="E281" s="1671">
        <v>3.5</v>
      </c>
      <c r="F281" s="1671">
        <v>4</v>
      </c>
      <c r="G281" s="1672">
        <v>0.15</v>
      </c>
      <c r="H281" s="1671">
        <f t="shared" si="33"/>
        <v>0</v>
      </c>
      <c r="I281" s="688" t="s">
        <v>49</v>
      </c>
      <c r="J281" s="1668"/>
      <c r="K281" s="1668"/>
      <c r="L281" s="1669"/>
    </row>
    <row r="282" spans="1:12" s="692" customFormat="1" ht="16.5" hidden="1">
      <c r="A282" s="1670"/>
      <c r="B282" s="1666"/>
      <c r="C282" s="688"/>
      <c r="D282" s="1667"/>
      <c r="E282" s="1671">
        <v>3.5</v>
      </c>
      <c r="F282" s="1671">
        <v>4</v>
      </c>
      <c r="G282" s="1672">
        <v>0.15</v>
      </c>
      <c r="H282" s="1671">
        <f t="shared" si="33"/>
        <v>0</v>
      </c>
      <c r="I282" s="688" t="s">
        <v>49</v>
      </c>
      <c r="J282" s="1668"/>
      <c r="K282" s="1668"/>
      <c r="L282" s="1669"/>
    </row>
    <row r="283" spans="1:12" s="692" customFormat="1" ht="16.5" hidden="1">
      <c r="A283" s="1670"/>
      <c r="B283" s="1666"/>
      <c r="C283" s="688"/>
      <c r="D283" s="1667"/>
      <c r="E283" s="1671">
        <v>3.5</v>
      </c>
      <c r="F283" s="1671">
        <v>4</v>
      </c>
      <c r="G283" s="1672">
        <v>0.15</v>
      </c>
      <c r="H283" s="1671">
        <f t="shared" si="33"/>
        <v>0</v>
      </c>
      <c r="I283" s="688" t="s">
        <v>49</v>
      </c>
      <c r="J283" s="1668"/>
      <c r="K283" s="1668"/>
      <c r="L283" s="1669"/>
    </row>
    <row r="284" spans="1:12" s="692" customFormat="1" ht="16.5" hidden="1">
      <c r="A284" s="1670"/>
      <c r="B284" s="1666"/>
      <c r="C284" s="688"/>
      <c r="D284" s="1667"/>
      <c r="E284" s="1671">
        <v>3.5</v>
      </c>
      <c r="F284" s="1671">
        <v>4</v>
      </c>
      <c r="G284" s="1672">
        <v>0.15</v>
      </c>
      <c r="H284" s="1671">
        <f t="shared" si="33"/>
        <v>0</v>
      </c>
      <c r="I284" s="688" t="s">
        <v>49</v>
      </c>
      <c r="J284" s="1668"/>
      <c r="K284" s="1668"/>
      <c r="L284" s="1669"/>
    </row>
    <row r="285" spans="1:12" s="692" customFormat="1" ht="16.5" hidden="1">
      <c r="A285" s="1670"/>
      <c r="B285" s="1666"/>
      <c r="C285" s="688"/>
      <c r="D285" s="1667"/>
      <c r="E285" s="1671">
        <v>3.5</v>
      </c>
      <c r="F285" s="1671">
        <v>4</v>
      </c>
      <c r="G285" s="1672">
        <v>0.15</v>
      </c>
      <c r="H285" s="1671">
        <f t="shared" si="33"/>
        <v>0</v>
      </c>
      <c r="I285" s="688" t="s">
        <v>49</v>
      </c>
      <c r="J285" s="1668"/>
      <c r="K285" s="1668"/>
      <c r="L285" s="1669"/>
    </row>
    <row r="286" spans="1:12" s="692" customFormat="1" ht="16.5" hidden="1">
      <c r="A286" s="1670"/>
      <c r="B286" s="1666"/>
      <c r="C286" s="688"/>
      <c r="D286" s="1667"/>
      <c r="E286" s="688"/>
      <c r="F286" s="688"/>
      <c r="G286" s="1668" t="s">
        <v>928</v>
      </c>
      <c r="H286" s="1673">
        <f>SUM(H280:H285)</f>
        <v>0</v>
      </c>
      <c r="I286" s="1668" t="s">
        <v>49</v>
      </c>
      <c r="J286" s="1669">
        <f>'Lead &amp; ANALYSIS'!L311</f>
        <v>58.7</v>
      </c>
      <c r="K286" s="1668" t="s">
        <v>1514</v>
      </c>
      <c r="L286" s="1669">
        <f>ROUND(H286*J286,0)</f>
        <v>0</v>
      </c>
    </row>
    <row r="287" spans="1:12" s="692" customFormat="1" ht="16.5" hidden="1">
      <c r="A287" s="1670" t="s">
        <v>220</v>
      </c>
      <c r="B287" s="1666" t="s">
        <v>387</v>
      </c>
      <c r="C287" s="688"/>
      <c r="D287" s="1667"/>
      <c r="E287" s="688"/>
      <c r="F287" s="688"/>
      <c r="G287" s="1668"/>
      <c r="H287" s="1673"/>
      <c r="I287" s="1668"/>
      <c r="J287" s="1669"/>
      <c r="K287" s="1668"/>
      <c r="L287" s="1669"/>
    </row>
    <row r="288" spans="1:12" s="692" customFormat="1" ht="16.5" hidden="1">
      <c r="A288" s="1670"/>
      <c r="B288" s="1666"/>
      <c r="C288" s="688"/>
      <c r="D288" s="1667"/>
      <c r="E288" s="1671">
        <v>3.5</v>
      </c>
      <c r="F288" s="1671">
        <v>4</v>
      </c>
      <c r="G288" s="1672">
        <v>0.15</v>
      </c>
      <c r="H288" s="1671">
        <f t="shared" ref="H288:H293" si="34">ROUND(D288*E288*F288*G288,2)</f>
        <v>0</v>
      </c>
      <c r="I288" s="688" t="s">
        <v>49</v>
      </c>
      <c r="J288" s="1668"/>
      <c r="K288" s="1668"/>
      <c r="L288" s="1669"/>
    </row>
    <row r="289" spans="1:12" s="692" customFormat="1" ht="16.5" hidden="1">
      <c r="A289" s="1670"/>
      <c r="B289" s="1666"/>
      <c r="C289" s="688"/>
      <c r="D289" s="1667"/>
      <c r="E289" s="1671">
        <v>3.5</v>
      </c>
      <c r="F289" s="1671">
        <v>4</v>
      </c>
      <c r="G289" s="1672">
        <v>0.15</v>
      </c>
      <c r="H289" s="1671">
        <f t="shared" si="34"/>
        <v>0</v>
      </c>
      <c r="I289" s="688" t="s">
        <v>49</v>
      </c>
      <c r="J289" s="1668"/>
      <c r="K289" s="1668"/>
      <c r="L289" s="1669"/>
    </row>
    <row r="290" spans="1:12" s="692" customFormat="1" ht="16.5" hidden="1">
      <c r="A290" s="1670"/>
      <c r="B290" s="1666"/>
      <c r="C290" s="688"/>
      <c r="D290" s="1667"/>
      <c r="E290" s="1671">
        <v>3.5</v>
      </c>
      <c r="F290" s="1671">
        <v>4</v>
      </c>
      <c r="G290" s="1672">
        <v>0.15</v>
      </c>
      <c r="H290" s="1671">
        <f t="shared" si="34"/>
        <v>0</v>
      </c>
      <c r="I290" s="688" t="s">
        <v>49</v>
      </c>
      <c r="J290" s="1668"/>
      <c r="K290" s="1668"/>
      <c r="L290" s="1669"/>
    </row>
    <row r="291" spans="1:12" s="692" customFormat="1" ht="16.5" hidden="1">
      <c r="A291" s="1670"/>
      <c r="B291" s="1666"/>
      <c r="C291" s="688"/>
      <c r="D291" s="1667"/>
      <c r="E291" s="1671">
        <v>3.5</v>
      </c>
      <c r="F291" s="1671">
        <v>4</v>
      </c>
      <c r="G291" s="1672">
        <v>0.15</v>
      </c>
      <c r="H291" s="1671">
        <f t="shared" si="34"/>
        <v>0</v>
      </c>
      <c r="I291" s="688" t="s">
        <v>49</v>
      </c>
      <c r="J291" s="1668"/>
      <c r="K291" s="1668"/>
      <c r="L291" s="1669"/>
    </row>
    <row r="292" spans="1:12" s="692" customFormat="1" ht="16.5" hidden="1">
      <c r="A292" s="1670"/>
      <c r="B292" s="1666"/>
      <c r="C292" s="688"/>
      <c r="D292" s="1667"/>
      <c r="E292" s="1671">
        <v>3.5</v>
      </c>
      <c r="F292" s="1671">
        <v>4</v>
      </c>
      <c r="G292" s="1672">
        <v>0.15</v>
      </c>
      <c r="H292" s="1671">
        <f t="shared" si="34"/>
        <v>0</v>
      </c>
      <c r="I292" s="688" t="s">
        <v>49</v>
      </c>
      <c r="J292" s="1668"/>
      <c r="K292" s="1668"/>
      <c r="L292" s="1669"/>
    </row>
    <row r="293" spans="1:12" s="692" customFormat="1" ht="16.5" hidden="1">
      <c r="A293" s="1670"/>
      <c r="B293" s="1666"/>
      <c r="C293" s="688"/>
      <c r="D293" s="1667"/>
      <c r="E293" s="1671">
        <v>3.5</v>
      </c>
      <c r="F293" s="1671">
        <v>4</v>
      </c>
      <c r="G293" s="1672">
        <v>0.15</v>
      </c>
      <c r="H293" s="1671">
        <f t="shared" si="34"/>
        <v>0</v>
      </c>
      <c r="I293" s="688" t="s">
        <v>49</v>
      </c>
      <c r="J293" s="1668"/>
      <c r="K293" s="1668"/>
      <c r="L293" s="1669"/>
    </row>
    <row r="294" spans="1:12" s="692" customFormat="1" ht="16.5" hidden="1">
      <c r="A294" s="1670"/>
      <c r="B294" s="1666"/>
      <c r="C294" s="688"/>
      <c r="D294" s="1667"/>
      <c r="E294" s="688"/>
      <c r="F294" s="688"/>
      <c r="G294" s="1668" t="s">
        <v>928</v>
      </c>
      <c r="H294" s="1673">
        <f>SUM(H288:H293)</f>
        <v>0</v>
      </c>
      <c r="I294" s="1668" t="s">
        <v>49</v>
      </c>
      <c r="J294" s="1669">
        <f>'Lead &amp; ANALYSIS'!L312</f>
        <v>61.5</v>
      </c>
      <c r="K294" s="1668" t="s">
        <v>1514</v>
      </c>
      <c r="L294" s="1669">
        <f>ROUND(H294*J294,0)</f>
        <v>0</v>
      </c>
    </row>
    <row r="295" spans="1:12" s="692" customFormat="1" ht="16.5" hidden="1">
      <c r="A295" s="1670" t="s">
        <v>244</v>
      </c>
      <c r="B295" s="1666" t="s">
        <v>3613</v>
      </c>
      <c r="C295" s="688"/>
      <c r="D295" s="1667"/>
      <c r="E295" s="688"/>
      <c r="F295" s="688"/>
      <c r="G295" s="1668"/>
      <c r="H295" s="1673"/>
      <c r="I295" s="1668"/>
      <c r="J295" s="1669"/>
      <c r="K295" s="1668"/>
      <c r="L295" s="1669"/>
    </row>
    <row r="296" spans="1:12" s="692" customFormat="1" ht="16.5" hidden="1">
      <c r="A296" s="1670"/>
      <c r="B296" s="1666"/>
      <c r="C296" s="688"/>
      <c r="D296" s="1667"/>
      <c r="E296" s="1671">
        <v>3.5</v>
      </c>
      <c r="F296" s="1671">
        <v>4</v>
      </c>
      <c r="G296" s="1672">
        <v>0.15</v>
      </c>
      <c r="H296" s="1671">
        <f t="shared" ref="H296:H301" si="35">ROUND(D296*E296*F296*G296,2)</f>
        <v>0</v>
      </c>
      <c r="I296" s="688" t="s">
        <v>49</v>
      </c>
      <c r="J296" s="1668"/>
      <c r="K296" s="1668"/>
      <c r="L296" s="1669"/>
    </row>
    <row r="297" spans="1:12" s="692" customFormat="1" ht="16.5" hidden="1">
      <c r="A297" s="1670"/>
      <c r="B297" s="1666"/>
      <c r="C297" s="688"/>
      <c r="D297" s="1667"/>
      <c r="E297" s="1671">
        <v>3.5</v>
      </c>
      <c r="F297" s="1671">
        <v>4</v>
      </c>
      <c r="G297" s="1672">
        <v>0.15</v>
      </c>
      <c r="H297" s="1671">
        <f t="shared" si="35"/>
        <v>0</v>
      </c>
      <c r="I297" s="688" t="s">
        <v>49</v>
      </c>
      <c r="J297" s="1668"/>
      <c r="K297" s="1668"/>
      <c r="L297" s="1669"/>
    </row>
    <row r="298" spans="1:12" s="692" customFormat="1" ht="16.5" hidden="1">
      <c r="A298" s="1670"/>
      <c r="B298" s="1666"/>
      <c r="C298" s="688"/>
      <c r="D298" s="1667"/>
      <c r="E298" s="1671">
        <v>3.5</v>
      </c>
      <c r="F298" s="1671">
        <v>4</v>
      </c>
      <c r="G298" s="1672">
        <v>0.15</v>
      </c>
      <c r="H298" s="1671">
        <f t="shared" si="35"/>
        <v>0</v>
      </c>
      <c r="I298" s="688" t="s">
        <v>49</v>
      </c>
      <c r="J298" s="1668"/>
      <c r="K298" s="1668"/>
      <c r="L298" s="1669"/>
    </row>
    <row r="299" spans="1:12" s="692" customFormat="1" ht="16.5" hidden="1">
      <c r="A299" s="1670"/>
      <c r="B299" s="1666"/>
      <c r="C299" s="688"/>
      <c r="D299" s="1667"/>
      <c r="E299" s="1671">
        <v>3.5</v>
      </c>
      <c r="F299" s="1671">
        <v>4</v>
      </c>
      <c r="G299" s="1672">
        <v>0.15</v>
      </c>
      <c r="H299" s="1671">
        <f t="shared" si="35"/>
        <v>0</v>
      </c>
      <c r="I299" s="688" t="s">
        <v>49</v>
      </c>
      <c r="J299" s="1668"/>
      <c r="K299" s="1668"/>
      <c r="L299" s="1669"/>
    </row>
    <row r="300" spans="1:12" s="692" customFormat="1" ht="16.5" hidden="1">
      <c r="A300" s="1670"/>
      <c r="B300" s="1666"/>
      <c r="C300" s="688"/>
      <c r="D300" s="1667"/>
      <c r="E300" s="1671">
        <v>3.5</v>
      </c>
      <c r="F300" s="1671">
        <v>4</v>
      </c>
      <c r="G300" s="1672">
        <v>0.15</v>
      </c>
      <c r="H300" s="1671">
        <f t="shared" si="35"/>
        <v>0</v>
      </c>
      <c r="I300" s="688" t="s">
        <v>49</v>
      </c>
      <c r="J300" s="1668"/>
      <c r="K300" s="1668"/>
      <c r="L300" s="1669"/>
    </row>
    <row r="301" spans="1:12" s="692" customFormat="1" ht="16.5" hidden="1">
      <c r="A301" s="1670"/>
      <c r="B301" s="1666"/>
      <c r="C301" s="688"/>
      <c r="D301" s="1667"/>
      <c r="E301" s="1671">
        <v>3.5</v>
      </c>
      <c r="F301" s="1671">
        <v>4</v>
      </c>
      <c r="G301" s="1672">
        <v>0.15</v>
      </c>
      <c r="H301" s="1671">
        <f t="shared" si="35"/>
        <v>0</v>
      </c>
      <c r="I301" s="688" t="s">
        <v>49</v>
      </c>
      <c r="J301" s="1668"/>
      <c r="K301" s="1668"/>
      <c r="L301" s="1669"/>
    </row>
    <row r="302" spans="1:12" s="692" customFormat="1" ht="16.5" hidden="1">
      <c r="A302" s="1670"/>
      <c r="B302" s="1666"/>
      <c r="C302" s="688"/>
      <c r="D302" s="1667"/>
      <c r="E302" s="688"/>
      <c r="F302" s="688"/>
      <c r="G302" s="1668" t="s">
        <v>928</v>
      </c>
      <c r="H302" s="1673">
        <f>SUM(H296:H301)</f>
        <v>0</v>
      </c>
      <c r="I302" s="1668" t="s">
        <v>49</v>
      </c>
      <c r="J302" s="1669">
        <f>'Lead &amp; ANALYSIS'!L313</f>
        <v>64.599999999999994</v>
      </c>
      <c r="K302" s="1668" t="s">
        <v>1516</v>
      </c>
      <c r="L302" s="1669">
        <f>ROUND(H302*J302,0)</f>
        <v>0</v>
      </c>
    </row>
    <row r="303" spans="1:12" s="692" customFormat="1" ht="16.5" hidden="1">
      <c r="A303" s="1670" t="s">
        <v>291</v>
      </c>
      <c r="B303" s="1666" t="s">
        <v>3632</v>
      </c>
      <c r="C303" s="688"/>
      <c r="D303" s="1667"/>
      <c r="E303" s="688"/>
      <c r="F303" s="688"/>
      <c r="G303" s="1668"/>
      <c r="H303" s="1673"/>
      <c r="I303" s="1668"/>
      <c r="J303" s="1669"/>
      <c r="K303" s="1668"/>
      <c r="L303" s="1669"/>
    </row>
    <row r="304" spans="1:12" s="692" customFormat="1" ht="16.5" hidden="1">
      <c r="A304" s="1665"/>
      <c r="B304" s="1666"/>
      <c r="C304" s="688"/>
      <c r="D304" s="1667"/>
      <c r="E304" s="1671">
        <v>3.5</v>
      </c>
      <c r="F304" s="1671">
        <v>4</v>
      </c>
      <c r="G304" s="1672">
        <v>0.15</v>
      </c>
      <c r="H304" s="1671">
        <f t="shared" ref="H304:H309" si="36">ROUND(D304*E304*F304*G304,2)</f>
        <v>0</v>
      </c>
      <c r="I304" s="688" t="s">
        <v>49</v>
      </c>
      <c r="J304" s="1668"/>
      <c r="K304" s="1668"/>
      <c r="L304" s="1669"/>
    </row>
    <row r="305" spans="1:12" s="692" customFormat="1" ht="16.5" hidden="1">
      <c r="A305" s="1665"/>
      <c r="B305" s="1666"/>
      <c r="C305" s="688"/>
      <c r="D305" s="1667"/>
      <c r="E305" s="1671">
        <v>3.5</v>
      </c>
      <c r="F305" s="1671">
        <v>4</v>
      </c>
      <c r="G305" s="1672">
        <v>0.15</v>
      </c>
      <c r="H305" s="1671">
        <f t="shared" si="36"/>
        <v>0</v>
      </c>
      <c r="I305" s="688" t="s">
        <v>49</v>
      </c>
      <c r="J305" s="1668"/>
      <c r="K305" s="1668"/>
      <c r="L305" s="1669"/>
    </row>
    <row r="306" spans="1:12" s="692" customFormat="1" ht="16.5" hidden="1">
      <c r="A306" s="1665"/>
      <c r="B306" s="1666"/>
      <c r="C306" s="688"/>
      <c r="D306" s="1667"/>
      <c r="E306" s="1671">
        <v>3.5</v>
      </c>
      <c r="F306" s="1671">
        <v>4</v>
      </c>
      <c r="G306" s="1672">
        <v>0.15</v>
      </c>
      <c r="H306" s="1671">
        <f t="shared" si="36"/>
        <v>0</v>
      </c>
      <c r="I306" s="688" t="s">
        <v>49</v>
      </c>
      <c r="J306" s="1668"/>
      <c r="K306" s="1668"/>
      <c r="L306" s="1669"/>
    </row>
    <row r="307" spans="1:12" s="692" customFormat="1" ht="16.5" hidden="1">
      <c r="A307" s="1665"/>
      <c r="B307" s="1666"/>
      <c r="C307" s="688"/>
      <c r="D307" s="1667"/>
      <c r="E307" s="1671">
        <v>3.5</v>
      </c>
      <c r="F307" s="1671">
        <v>4</v>
      </c>
      <c r="G307" s="1672">
        <v>0.15</v>
      </c>
      <c r="H307" s="1671">
        <f t="shared" si="36"/>
        <v>0</v>
      </c>
      <c r="I307" s="688" t="s">
        <v>49</v>
      </c>
      <c r="J307" s="1668"/>
      <c r="K307" s="1668"/>
      <c r="L307" s="1669"/>
    </row>
    <row r="308" spans="1:12" s="692" customFormat="1" ht="16.5" hidden="1">
      <c r="A308" s="1665"/>
      <c r="B308" s="1666"/>
      <c r="C308" s="688"/>
      <c r="D308" s="1667"/>
      <c r="E308" s="1671">
        <v>3.5</v>
      </c>
      <c r="F308" s="1671">
        <v>4</v>
      </c>
      <c r="G308" s="1672">
        <v>0.15</v>
      </c>
      <c r="H308" s="1671">
        <f t="shared" si="36"/>
        <v>0</v>
      </c>
      <c r="I308" s="688" t="s">
        <v>49</v>
      </c>
      <c r="J308" s="1668"/>
      <c r="K308" s="1668"/>
      <c r="L308" s="1669"/>
    </row>
    <row r="309" spans="1:12" s="692" customFormat="1" ht="16.5" hidden="1">
      <c r="A309" s="1665"/>
      <c r="B309" s="1666"/>
      <c r="C309" s="688"/>
      <c r="D309" s="1667"/>
      <c r="E309" s="1671">
        <v>3.5</v>
      </c>
      <c r="F309" s="1671">
        <v>4</v>
      </c>
      <c r="G309" s="1672">
        <v>0.15</v>
      </c>
      <c r="H309" s="1671">
        <f t="shared" si="36"/>
        <v>0</v>
      </c>
      <c r="I309" s="688" t="s">
        <v>49</v>
      </c>
      <c r="J309" s="1668"/>
      <c r="K309" s="1668"/>
      <c r="L309" s="1669"/>
    </row>
    <row r="310" spans="1:12" s="692" customFormat="1" ht="16.5" hidden="1">
      <c r="A310" s="1665"/>
      <c r="B310" s="1666"/>
      <c r="C310" s="688"/>
      <c r="D310" s="1667"/>
      <c r="E310" s="688"/>
      <c r="F310" s="688"/>
      <c r="G310" s="1668" t="s">
        <v>928</v>
      </c>
      <c r="H310" s="1673">
        <f>SUM(H304:H309)</f>
        <v>0</v>
      </c>
      <c r="I310" s="1668" t="s">
        <v>49</v>
      </c>
      <c r="J310" s="1669">
        <f>'Lead &amp; ANALYSIS'!L314</f>
        <v>67.7</v>
      </c>
      <c r="K310" s="1668" t="s">
        <v>1516</v>
      </c>
      <c r="L310" s="1669">
        <f>ROUND(H310*J310,0)</f>
        <v>0</v>
      </c>
    </row>
    <row r="311" spans="1:12" s="692" customFormat="1" ht="44.45" hidden="1" customHeight="1">
      <c r="A311" s="1665">
        <f>'Lead &amp; ANALYSIS'!A315</f>
        <v>10</v>
      </c>
      <c r="B311" s="1666" t="str">
        <f>'Lead &amp; ANALYSIS'!B315</f>
        <v>Dismantling &amp; Removing cement concrete including stacking the useful materials for reuse and removing the debris within 50m lead  with  cost  of  all labour etc. complete.</v>
      </c>
      <c r="C311" s="688"/>
      <c r="D311" s="1667"/>
      <c r="E311" s="688"/>
      <c r="F311" s="688"/>
      <c r="G311" s="1674"/>
      <c r="H311" s="688"/>
      <c r="I311" s="1668"/>
      <c r="J311" s="1668"/>
      <c r="K311" s="1668"/>
      <c r="L311" s="1669"/>
    </row>
    <row r="312" spans="1:12" s="692" customFormat="1" ht="16.5" hidden="1">
      <c r="A312" s="1670" t="s">
        <v>201</v>
      </c>
      <c r="B312" s="1666" t="s">
        <v>384</v>
      </c>
      <c r="C312" s="688"/>
      <c r="D312" s="1667"/>
      <c r="E312" s="688"/>
      <c r="F312" s="688"/>
      <c r="G312" s="688"/>
      <c r="H312" s="688"/>
      <c r="I312" s="1668"/>
      <c r="J312" s="1668"/>
      <c r="K312" s="1668"/>
      <c r="L312" s="1669"/>
    </row>
    <row r="313" spans="1:12" s="692" customFormat="1" ht="16.5" hidden="1">
      <c r="A313" s="1670"/>
      <c r="B313" s="1666"/>
      <c r="C313" s="688"/>
      <c r="D313" s="1667"/>
      <c r="E313" s="1671">
        <v>3.5</v>
      </c>
      <c r="F313" s="1671">
        <v>4</v>
      </c>
      <c r="G313" s="1672">
        <v>0.15</v>
      </c>
      <c r="H313" s="1671">
        <f t="shared" ref="H313:H318" si="37">ROUND(D313*E313*F313*G313,2)</f>
        <v>0</v>
      </c>
      <c r="I313" s="688" t="s">
        <v>49</v>
      </c>
      <c r="J313" s="1668"/>
      <c r="K313" s="1668"/>
      <c r="L313" s="1669"/>
    </row>
    <row r="314" spans="1:12" s="692" customFormat="1" ht="16.5" hidden="1">
      <c r="A314" s="1670"/>
      <c r="B314" s="1666"/>
      <c r="C314" s="688"/>
      <c r="D314" s="1667"/>
      <c r="E314" s="1671">
        <v>3.5</v>
      </c>
      <c r="F314" s="1671">
        <v>4</v>
      </c>
      <c r="G314" s="1672">
        <v>0.15</v>
      </c>
      <c r="H314" s="1671">
        <f t="shared" si="37"/>
        <v>0</v>
      </c>
      <c r="I314" s="688" t="s">
        <v>49</v>
      </c>
      <c r="J314" s="1668"/>
      <c r="K314" s="1668"/>
      <c r="L314" s="1669"/>
    </row>
    <row r="315" spans="1:12" s="692" customFormat="1" ht="16.5" hidden="1">
      <c r="A315" s="1670"/>
      <c r="B315" s="1666"/>
      <c r="C315" s="688"/>
      <c r="D315" s="1667"/>
      <c r="E315" s="1671">
        <v>3.5</v>
      </c>
      <c r="F315" s="1671">
        <v>4</v>
      </c>
      <c r="G315" s="1672">
        <v>0.15</v>
      </c>
      <c r="H315" s="1671">
        <f t="shared" si="37"/>
        <v>0</v>
      </c>
      <c r="I315" s="688" t="s">
        <v>49</v>
      </c>
      <c r="J315" s="1668"/>
      <c r="K315" s="1668"/>
      <c r="L315" s="1669"/>
    </row>
    <row r="316" spans="1:12" s="692" customFormat="1" ht="16.5" hidden="1">
      <c r="A316" s="1670"/>
      <c r="B316" s="1666"/>
      <c r="C316" s="688"/>
      <c r="D316" s="1667"/>
      <c r="E316" s="1671">
        <v>3.5</v>
      </c>
      <c r="F316" s="1671">
        <v>4</v>
      </c>
      <c r="G316" s="1672">
        <v>0.15</v>
      </c>
      <c r="H316" s="1671">
        <f t="shared" si="37"/>
        <v>0</v>
      </c>
      <c r="I316" s="688" t="s">
        <v>49</v>
      </c>
      <c r="J316" s="1668"/>
      <c r="K316" s="1668"/>
      <c r="L316" s="1669"/>
    </row>
    <row r="317" spans="1:12" s="692" customFormat="1" ht="16.5" hidden="1">
      <c r="A317" s="1670"/>
      <c r="B317" s="1666"/>
      <c r="C317" s="688"/>
      <c r="D317" s="1667"/>
      <c r="E317" s="1671">
        <v>3.5</v>
      </c>
      <c r="F317" s="1671">
        <v>4</v>
      </c>
      <c r="G317" s="1672">
        <v>0.15</v>
      </c>
      <c r="H317" s="1671">
        <f t="shared" si="37"/>
        <v>0</v>
      </c>
      <c r="I317" s="688" t="s">
        <v>49</v>
      </c>
      <c r="J317" s="1668"/>
      <c r="K317" s="1668"/>
      <c r="L317" s="1669"/>
    </row>
    <row r="318" spans="1:12" s="692" customFormat="1" ht="16.5" hidden="1">
      <c r="A318" s="1670"/>
      <c r="B318" s="1666"/>
      <c r="C318" s="688"/>
      <c r="D318" s="1667"/>
      <c r="E318" s="1671">
        <v>3.5</v>
      </c>
      <c r="F318" s="1671">
        <v>4</v>
      </c>
      <c r="G318" s="1672">
        <v>0.15</v>
      </c>
      <c r="H318" s="1671">
        <f t="shared" si="37"/>
        <v>0</v>
      </c>
      <c r="I318" s="688" t="s">
        <v>49</v>
      </c>
      <c r="J318" s="1668"/>
      <c r="K318" s="1668"/>
      <c r="L318" s="1669"/>
    </row>
    <row r="319" spans="1:12" s="692" customFormat="1" ht="16.5" hidden="1">
      <c r="A319" s="1670"/>
      <c r="B319" s="1666"/>
      <c r="C319" s="688"/>
      <c r="D319" s="1667"/>
      <c r="E319" s="688"/>
      <c r="F319" s="688"/>
      <c r="G319" s="1668" t="s">
        <v>928</v>
      </c>
      <c r="H319" s="1673">
        <f>SUM(H313:H318)</f>
        <v>0</v>
      </c>
      <c r="I319" s="1668" t="s">
        <v>49</v>
      </c>
      <c r="J319" s="1669">
        <f>'Lead &amp; ANALYSIS'!L316</f>
        <v>563</v>
      </c>
      <c r="K319" s="1668" t="s">
        <v>1514</v>
      </c>
      <c r="L319" s="1669">
        <f>ROUND(H319*J319,0)</f>
        <v>0</v>
      </c>
    </row>
    <row r="320" spans="1:12" s="692" customFormat="1" ht="16.5" hidden="1">
      <c r="A320" s="1670" t="s">
        <v>220</v>
      </c>
      <c r="B320" s="1666" t="s">
        <v>387</v>
      </c>
      <c r="C320" s="688"/>
      <c r="D320" s="1667"/>
      <c r="E320" s="688"/>
      <c r="F320" s="688"/>
      <c r="G320" s="1668"/>
      <c r="H320" s="1673"/>
      <c r="I320" s="1668"/>
      <c r="J320" s="1669"/>
      <c r="K320" s="1668"/>
      <c r="L320" s="1669"/>
    </row>
    <row r="321" spans="1:12" s="692" customFormat="1" ht="16.5" hidden="1">
      <c r="A321" s="1670"/>
      <c r="B321" s="1666"/>
      <c r="C321" s="688"/>
      <c r="D321" s="1667"/>
      <c r="E321" s="1671">
        <v>3.5</v>
      </c>
      <c r="F321" s="1671">
        <v>4</v>
      </c>
      <c r="G321" s="1672">
        <v>0.15</v>
      </c>
      <c r="H321" s="1671">
        <f t="shared" ref="H321:H326" si="38">ROUND(D321*E321*F321*G321,2)</f>
        <v>0</v>
      </c>
      <c r="I321" s="688" t="s">
        <v>49</v>
      </c>
      <c r="J321" s="1668"/>
      <c r="K321" s="1668"/>
      <c r="L321" s="1669"/>
    </row>
    <row r="322" spans="1:12" s="692" customFormat="1" ht="16.5" hidden="1">
      <c r="A322" s="1670"/>
      <c r="B322" s="1666"/>
      <c r="C322" s="688"/>
      <c r="D322" s="1667"/>
      <c r="E322" s="1671">
        <v>3.5</v>
      </c>
      <c r="F322" s="1671">
        <v>4</v>
      </c>
      <c r="G322" s="1672">
        <v>0.15</v>
      </c>
      <c r="H322" s="1671">
        <f t="shared" si="38"/>
        <v>0</v>
      </c>
      <c r="I322" s="688" t="s">
        <v>49</v>
      </c>
      <c r="J322" s="1668"/>
      <c r="K322" s="1668"/>
      <c r="L322" s="1669"/>
    </row>
    <row r="323" spans="1:12" s="692" customFormat="1" ht="16.5" hidden="1">
      <c r="A323" s="1670"/>
      <c r="B323" s="1666"/>
      <c r="C323" s="688"/>
      <c r="D323" s="1667"/>
      <c r="E323" s="1671">
        <v>3.5</v>
      </c>
      <c r="F323" s="1671">
        <v>4</v>
      </c>
      <c r="G323" s="1672">
        <v>0.15</v>
      </c>
      <c r="H323" s="1671">
        <f t="shared" si="38"/>
        <v>0</v>
      </c>
      <c r="I323" s="688" t="s">
        <v>49</v>
      </c>
      <c r="J323" s="1668"/>
      <c r="K323" s="1668"/>
      <c r="L323" s="1669"/>
    </row>
    <row r="324" spans="1:12" s="692" customFormat="1" ht="16.5" hidden="1">
      <c r="A324" s="1670"/>
      <c r="B324" s="1666"/>
      <c r="C324" s="688"/>
      <c r="D324" s="1667"/>
      <c r="E324" s="1671">
        <v>3.5</v>
      </c>
      <c r="F324" s="1671">
        <v>4</v>
      </c>
      <c r="G324" s="1672">
        <v>0.15</v>
      </c>
      <c r="H324" s="1671">
        <f t="shared" si="38"/>
        <v>0</v>
      </c>
      <c r="I324" s="688" t="s">
        <v>49</v>
      </c>
      <c r="J324" s="1668"/>
      <c r="K324" s="1668"/>
      <c r="L324" s="1669"/>
    </row>
    <row r="325" spans="1:12" s="692" customFormat="1" ht="16.5" hidden="1">
      <c r="A325" s="1670"/>
      <c r="B325" s="1666"/>
      <c r="C325" s="688"/>
      <c r="D325" s="1667"/>
      <c r="E325" s="1671">
        <v>3.5</v>
      </c>
      <c r="F325" s="1671">
        <v>4</v>
      </c>
      <c r="G325" s="1672">
        <v>0.15</v>
      </c>
      <c r="H325" s="1671">
        <f t="shared" si="38"/>
        <v>0</v>
      </c>
      <c r="I325" s="688" t="s">
        <v>49</v>
      </c>
      <c r="J325" s="1668"/>
      <c r="K325" s="1668"/>
      <c r="L325" s="1669"/>
    </row>
    <row r="326" spans="1:12" s="692" customFormat="1" ht="16.5" hidden="1">
      <c r="A326" s="1670"/>
      <c r="B326" s="1666"/>
      <c r="C326" s="688"/>
      <c r="D326" s="1667"/>
      <c r="E326" s="1671">
        <v>3.5</v>
      </c>
      <c r="F326" s="1671">
        <v>4</v>
      </c>
      <c r="G326" s="1672">
        <v>0.15</v>
      </c>
      <c r="H326" s="1671">
        <f t="shared" si="38"/>
        <v>0</v>
      </c>
      <c r="I326" s="688" t="s">
        <v>49</v>
      </c>
      <c r="J326" s="1668"/>
      <c r="K326" s="1668"/>
      <c r="L326" s="1669"/>
    </row>
    <row r="327" spans="1:12" s="692" customFormat="1" ht="16.5" hidden="1">
      <c r="A327" s="1670"/>
      <c r="B327" s="1666"/>
      <c r="C327" s="688"/>
      <c r="D327" s="1667"/>
      <c r="E327" s="688"/>
      <c r="F327" s="688"/>
      <c r="G327" s="1668" t="s">
        <v>928</v>
      </c>
      <c r="H327" s="1673">
        <f>SUM(H321:H326)</f>
        <v>0</v>
      </c>
      <c r="I327" s="1668" t="s">
        <v>49</v>
      </c>
      <c r="J327" s="1669">
        <f>'Lead &amp; ANALYSIS'!L317</f>
        <v>590.6</v>
      </c>
      <c r="K327" s="1668" t="s">
        <v>1514</v>
      </c>
      <c r="L327" s="1669">
        <f>ROUND(H327*J327,0)</f>
        <v>0</v>
      </c>
    </row>
    <row r="328" spans="1:12" s="692" customFormat="1" ht="16.5" hidden="1">
      <c r="A328" s="1670" t="s">
        <v>244</v>
      </c>
      <c r="B328" s="1666" t="s">
        <v>3613</v>
      </c>
      <c r="C328" s="688"/>
      <c r="D328" s="1667"/>
      <c r="E328" s="688"/>
      <c r="F328" s="688"/>
      <c r="G328" s="1668"/>
      <c r="H328" s="1673"/>
      <c r="I328" s="1668"/>
      <c r="J328" s="1669"/>
      <c r="K328" s="1668"/>
      <c r="L328" s="1669"/>
    </row>
    <row r="329" spans="1:12" s="692" customFormat="1" ht="16.5" hidden="1">
      <c r="A329" s="1670"/>
      <c r="B329" s="1666"/>
      <c r="C329" s="688"/>
      <c r="D329" s="1667"/>
      <c r="E329" s="1671">
        <v>3.5</v>
      </c>
      <c r="F329" s="1671">
        <v>4</v>
      </c>
      <c r="G329" s="1672">
        <v>0.15</v>
      </c>
      <c r="H329" s="1671">
        <f t="shared" ref="H329:H334" si="39">ROUND(D329*E329*F329*G329,2)</f>
        <v>0</v>
      </c>
      <c r="I329" s="688" t="s">
        <v>49</v>
      </c>
      <c r="J329" s="1668"/>
      <c r="K329" s="1668"/>
      <c r="L329" s="1669"/>
    </row>
    <row r="330" spans="1:12" s="692" customFormat="1" ht="16.5" hidden="1">
      <c r="A330" s="1670"/>
      <c r="B330" s="1666"/>
      <c r="C330" s="688"/>
      <c r="D330" s="1667"/>
      <c r="E330" s="1671">
        <v>3.5</v>
      </c>
      <c r="F330" s="1671">
        <v>4</v>
      </c>
      <c r="G330" s="1672">
        <v>0.15</v>
      </c>
      <c r="H330" s="1671">
        <f t="shared" si="39"/>
        <v>0</v>
      </c>
      <c r="I330" s="688" t="s">
        <v>49</v>
      </c>
      <c r="J330" s="1668"/>
      <c r="K330" s="1668"/>
      <c r="L330" s="1669"/>
    </row>
    <row r="331" spans="1:12" s="692" customFormat="1" ht="16.5" hidden="1">
      <c r="A331" s="1670"/>
      <c r="B331" s="1666"/>
      <c r="C331" s="688"/>
      <c r="D331" s="1667"/>
      <c r="E331" s="1671">
        <v>3.5</v>
      </c>
      <c r="F331" s="1671">
        <v>4</v>
      </c>
      <c r="G331" s="1672">
        <v>0.15</v>
      </c>
      <c r="H331" s="1671">
        <f t="shared" si="39"/>
        <v>0</v>
      </c>
      <c r="I331" s="688" t="s">
        <v>49</v>
      </c>
      <c r="J331" s="1668"/>
      <c r="K331" s="1668"/>
      <c r="L331" s="1669"/>
    </row>
    <row r="332" spans="1:12" s="692" customFormat="1" ht="16.5" hidden="1">
      <c r="A332" s="1670"/>
      <c r="B332" s="1666"/>
      <c r="C332" s="688"/>
      <c r="D332" s="1667"/>
      <c r="E332" s="1671">
        <v>3.5</v>
      </c>
      <c r="F332" s="1671">
        <v>4</v>
      </c>
      <c r="G332" s="1672">
        <v>0.15</v>
      </c>
      <c r="H332" s="1671">
        <f t="shared" si="39"/>
        <v>0</v>
      </c>
      <c r="I332" s="688" t="s">
        <v>49</v>
      </c>
      <c r="J332" s="1668"/>
      <c r="K332" s="1668"/>
      <c r="L332" s="1669"/>
    </row>
    <row r="333" spans="1:12" s="692" customFormat="1" ht="16.5" hidden="1">
      <c r="A333" s="1670"/>
      <c r="B333" s="1666"/>
      <c r="C333" s="688"/>
      <c r="D333" s="1667"/>
      <c r="E333" s="1671">
        <v>3.5</v>
      </c>
      <c r="F333" s="1671">
        <v>4</v>
      </c>
      <c r="G333" s="1672">
        <v>0.15</v>
      </c>
      <c r="H333" s="1671">
        <f t="shared" si="39"/>
        <v>0</v>
      </c>
      <c r="I333" s="688" t="s">
        <v>49</v>
      </c>
      <c r="J333" s="1668"/>
      <c r="K333" s="1668"/>
      <c r="L333" s="1669"/>
    </row>
    <row r="334" spans="1:12" s="692" customFormat="1" ht="16.5" hidden="1">
      <c r="A334" s="1670"/>
      <c r="B334" s="1666"/>
      <c r="C334" s="688"/>
      <c r="D334" s="1667"/>
      <c r="E334" s="1671">
        <v>3.5</v>
      </c>
      <c r="F334" s="1671">
        <v>4</v>
      </c>
      <c r="G334" s="1672">
        <v>0.15</v>
      </c>
      <c r="H334" s="1671">
        <f t="shared" si="39"/>
        <v>0</v>
      </c>
      <c r="I334" s="688" t="s">
        <v>49</v>
      </c>
      <c r="J334" s="1668"/>
      <c r="K334" s="1668"/>
      <c r="L334" s="1669"/>
    </row>
    <row r="335" spans="1:12" s="692" customFormat="1" ht="16.5" hidden="1">
      <c r="A335" s="1670"/>
      <c r="B335" s="1666"/>
      <c r="C335" s="688"/>
      <c r="D335" s="1667"/>
      <c r="E335" s="688"/>
      <c r="F335" s="688"/>
      <c r="G335" s="1668" t="s">
        <v>928</v>
      </c>
      <c r="H335" s="1673">
        <f>SUM(H329:H334)</f>
        <v>0</v>
      </c>
      <c r="I335" s="1668" t="s">
        <v>49</v>
      </c>
      <c r="J335" s="1669">
        <f>'Lead &amp; ANALYSIS'!L318</f>
        <v>619.6</v>
      </c>
      <c r="K335" s="1668" t="s">
        <v>1516</v>
      </c>
      <c r="L335" s="1669">
        <f>ROUND(H335*J335,0)</f>
        <v>0</v>
      </c>
    </row>
    <row r="336" spans="1:12" s="692" customFormat="1" ht="16.5" hidden="1">
      <c r="A336" s="1670" t="s">
        <v>291</v>
      </c>
      <c r="B336" s="1666" t="s">
        <v>3632</v>
      </c>
      <c r="C336" s="688"/>
      <c r="D336" s="1667"/>
      <c r="E336" s="688"/>
      <c r="F336" s="688"/>
      <c r="G336" s="1668"/>
      <c r="H336" s="1673"/>
      <c r="I336" s="1668"/>
      <c r="J336" s="1669"/>
      <c r="K336" s="1668"/>
      <c r="L336" s="1669"/>
    </row>
    <row r="337" spans="1:12" s="692" customFormat="1" ht="16.5" hidden="1">
      <c r="A337" s="1665"/>
      <c r="B337" s="1666"/>
      <c r="C337" s="688"/>
      <c r="D337" s="1667"/>
      <c r="E337" s="1671">
        <v>3.5</v>
      </c>
      <c r="F337" s="1671">
        <v>4</v>
      </c>
      <c r="G337" s="1672">
        <v>0.15</v>
      </c>
      <c r="H337" s="1671">
        <f t="shared" ref="H337:H342" si="40">ROUND(D337*E337*F337*G337,2)</f>
        <v>0</v>
      </c>
      <c r="I337" s="688" t="s">
        <v>49</v>
      </c>
      <c r="J337" s="1668"/>
      <c r="K337" s="1668"/>
      <c r="L337" s="1669"/>
    </row>
    <row r="338" spans="1:12" s="692" customFormat="1" ht="16.5" hidden="1">
      <c r="A338" s="1665"/>
      <c r="B338" s="1666"/>
      <c r="C338" s="688"/>
      <c r="D338" s="1667"/>
      <c r="E338" s="1671">
        <v>3.5</v>
      </c>
      <c r="F338" s="1671">
        <v>4</v>
      </c>
      <c r="G338" s="1672">
        <v>0.15</v>
      </c>
      <c r="H338" s="1671">
        <f t="shared" si="40"/>
        <v>0</v>
      </c>
      <c r="I338" s="688" t="s">
        <v>49</v>
      </c>
      <c r="J338" s="1668"/>
      <c r="K338" s="1668"/>
      <c r="L338" s="1669"/>
    </row>
    <row r="339" spans="1:12" s="692" customFormat="1" ht="16.5" hidden="1">
      <c r="A339" s="1665"/>
      <c r="B339" s="1666"/>
      <c r="C339" s="688"/>
      <c r="D339" s="1667"/>
      <c r="E339" s="1671">
        <v>3.5</v>
      </c>
      <c r="F339" s="1671">
        <v>4</v>
      </c>
      <c r="G339" s="1672">
        <v>0.15</v>
      </c>
      <c r="H339" s="1671">
        <f t="shared" si="40"/>
        <v>0</v>
      </c>
      <c r="I339" s="688" t="s">
        <v>49</v>
      </c>
      <c r="J339" s="1668"/>
      <c r="K339" s="1668"/>
      <c r="L339" s="1669"/>
    </row>
    <row r="340" spans="1:12" s="692" customFormat="1" ht="16.5" hidden="1">
      <c r="A340" s="1665"/>
      <c r="B340" s="1666"/>
      <c r="C340" s="688"/>
      <c r="D340" s="1667"/>
      <c r="E340" s="1671">
        <v>3.5</v>
      </c>
      <c r="F340" s="1671">
        <v>4</v>
      </c>
      <c r="G340" s="1672">
        <v>0.15</v>
      </c>
      <c r="H340" s="1671">
        <f t="shared" si="40"/>
        <v>0</v>
      </c>
      <c r="I340" s="688" t="s">
        <v>49</v>
      </c>
      <c r="J340" s="1668"/>
      <c r="K340" s="1668"/>
      <c r="L340" s="1669"/>
    </row>
    <row r="341" spans="1:12" s="692" customFormat="1" ht="16.5" hidden="1">
      <c r="A341" s="1665"/>
      <c r="B341" s="1666"/>
      <c r="C341" s="688"/>
      <c r="D341" s="1667"/>
      <c r="E341" s="1671">
        <v>3.5</v>
      </c>
      <c r="F341" s="1671">
        <v>4</v>
      </c>
      <c r="G341" s="1672">
        <v>0.15</v>
      </c>
      <c r="H341" s="1671">
        <f t="shared" si="40"/>
        <v>0</v>
      </c>
      <c r="I341" s="688" t="s">
        <v>49</v>
      </c>
      <c r="J341" s="1668"/>
      <c r="K341" s="1668"/>
      <c r="L341" s="1669"/>
    </row>
    <row r="342" spans="1:12" s="692" customFormat="1" ht="16.5" hidden="1">
      <c r="A342" s="1665"/>
      <c r="B342" s="1666"/>
      <c r="C342" s="688"/>
      <c r="D342" s="1667"/>
      <c r="E342" s="1671">
        <v>3.5</v>
      </c>
      <c r="F342" s="1671">
        <v>4</v>
      </c>
      <c r="G342" s="1672">
        <v>0.15</v>
      </c>
      <c r="H342" s="1671">
        <f t="shared" si="40"/>
        <v>0</v>
      </c>
      <c r="I342" s="688" t="s">
        <v>49</v>
      </c>
      <c r="J342" s="1668"/>
      <c r="K342" s="1668"/>
      <c r="L342" s="1669"/>
    </row>
    <row r="343" spans="1:12" s="692" customFormat="1" ht="16.5" hidden="1">
      <c r="A343" s="1665"/>
      <c r="B343" s="1666"/>
      <c r="C343" s="688"/>
      <c r="D343" s="1667"/>
      <c r="E343" s="688"/>
      <c r="F343" s="688"/>
      <c r="G343" s="1668" t="s">
        <v>928</v>
      </c>
      <c r="H343" s="1673">
        <f>SUM(H337:H342)</f>
        <v>0</v>
      </c>
      <c r="I343" s="1668" t="s">
        <v>49</v>
      </c>
      <c r="J343" s="1669">
        <f>'Lead &amp; ANALYSIS'!L319</f>
        <v>650</v>
      </c>
      <c r="K343" s="1668" t="s">
        <v>1516</v>
      </c>
      <c r="L343" s="1669">
        <f>ROUND(H343*J343,0)</f>
        <v>0</v>
      </c>
    </row>
    <row r="344" spans="1:12" s="692" customFormat="1" ht="46.15" hidden="1" customHeight="1">
      <c r="A344" s="1665">
        <f>'Lead &amp; ANALYSIS'!A320</f>
        <v>11</v>
      </c>
      <c r="B344" s="1666" t="str">
        <f>'Lead &amp; ANALYSIS'!B320</f>
        <v>Dismantling &amp; Removing RCC Chajja, Shelve, Fins including stacking the useful materials for reuse and removing the debris within 50m lead  with  cost  of  all labour etc. complete.</v>
      </c>
      <c r="C344" s="688"/>
      <c r="D344" s="1667"/>
      <c r="E344" s="688"/>
      <c r="F344" s="688"/>
      <c r="G344" s="1674"/>
      <c r="H344" s="688"/>
      <c r="I344" s="1668"/>
      <c r="J344" s="1668"/>
      <c r="K344" s="1668"/>
      <c r="L344" s="1669"/>
    </row>
    <row r="345" spans="1:12" s="692" customFormat="1" ht="16.5" hidden="1">
      <c r="A345" s="1670" t="s">
        <v>201</v>
      </c>
      <c r="B345" s="1666" t="s">
        <v>384</v>
      </c>
      <c r="C345" s="688"/>
      <c r="D345" s="1667"/>
      <c r="E345" s="688"/>
      <c r="F345" s="688"/>
      <c r="G345" s="688"/>
      <c r="H345" s="688"/>
      <c r="I345" s="1668"/>
      <c r="J345" s="1668"/>
      <c r="K345" s="1668"/>
      <c r="L345" s="1669"/>
    </row>
    <row r="346" spans="1:12" s="692" customFormat="1" ht="16.5" hidden="1">
      <c r="A346" s="1670"/>
      <c r="B346" s="1666"/>
      <c r="C346" s="688"/>
      <c r="D346" s="1667"/>
      <c r="E346" s="1671">
        <v>3.5</v>
      </c>
      <c r="F346" s="1671">
        <v>4</v>
      </c>
      <c r="G346" s="1672">
        <v>0.15</v>
      </c>
      <c r="H346" s="1671">
        <f t="shared" ref="H346:H351" si="41">ROUND(D346*E346*F346*G346,2)</f>
        <v>0</v>
      </c>
      <c r="I346" s="688" t="s">
        <v>49</v>
      </c>
      <c r="J346" s="1668"/>
      <c r="K346" s="1668"/>
      <c r="L346" s="1669"/>
    </row>
    <row r="347" spans="1:12" s="692" customFormat="1" ht="16.5" hidden="1">
      <c r="A347" s="1670"/>
      <c r="B347" s="1666"/>
      <c r="C347" s="688"/>
      <c r="D347" s="1667"/>
      <c r="E347" s="1671">
        <v>3.5</v>
      </c>
      <c r="F347" s="1671">
        <v>4</v>
      </c>
      <c r="G347" s="1672">
        <v>0.15</v>
      </c>
      <c r="H347" s="1671">
        <f t="shared" si="41"/>
        <v>0</v>
      </c>
      <c r="I347" s="688" t="s">
        <v>49</v>
      </c>
      <c r="J347" s="1668"/>
      <c r="K347" s="1668"/>
      <c r="L347" s="1669"/>
    </row>
    <row r="348" spans="1:12" s="692" customFormat="1" ht="16.5" hidden="1">
      <c r="A348" s="1670"/>
      <c r="B348" s="1666"/>
      <c r="C348" s="688"/>
      <c r="D348" s="1667"/>
      <c r="E348" s="1671">
        <v>3.5</v>
      </c>
      <c r="F348" s="1671">
        <v>4</v>
      </c>
      <c r="G348" s="1672">
        <v>0.15</v>
      </c>
      <c r="H348" s="1671">
        <f t="shared" si="41"/>
        <v>0</v>
      </c>
      <c r="I348" s="688" t="s">
        <v>49</v>
      </c>
      <c r="J348" s="1668"/>
      <c r="K348" s="1668"/>
      <c r="L348" s="1669"/>
    </row>
    <row r="349" spans="1:12" s="692" customFormat="1" ht="16.5" hidden="1">
      <c r="A349" s="1670"/>
      <c r="B349" s="1666"/>
      <c r="C349" s="688"/>
      <c r="D349" s="1667"/>
      <c r="E349" s="1671">
        <v>3.5</v>
      </c>
      <c r="F349" s="1671">
        <v>4</v>
      </c>
      <c r="G349" s="1672">
        <v>0.15</v>
      </c>
      <c r="H349" s="1671">
        <f t="shared" si="41"/>
        <v>0</v>
      </c>
      <c r="I349" s="688" t="s">
        <v>49</v>
      </c>
      <c r="J349" s="1668"/>
      <c r="K349" s="1668"/>
      <c r="L349" s="1669"/>
    </row>
    <row r="350" spans="1:12" s="692" customFormat="1" ht="16.5" hidden="1">
      <c r="A350" s="1670"/>
      <c r="B350" s="1666"/>
      <c r="C350" s="688"/>
      <c r="D350" s="1667"/>
      <c r="E350" s="1671">
        <v>3.5</v>
      </c>
      <c r="F350" s="1671">
        <v>4</v>
      </c>
      <c r="G350" s="1672">
        <v>0.15</v>
      </c>
      <c r="H350" s="1671">
        <f t="shared" si="41"/>
        <v>0</v>
      </c>
      <c r="I350" s="688" t="s">
        <v>49</v>
      </c>
      <c r="J350" s="1668"/>
      <c r="K350" s="1668"/>
      <c r="L350" s="1669"/>
    </row>
    <row r="351" spans="1:12" s="692" customFormat="1" ht="16.5" hidden="1">
      <c r="A351" s="1670"/>
      <c r="B351" s="1666"/>
      <c r="C351" s="688"/>
      <c r="D351" s="1667"/>
      <c r="E351" s="1671">
        <v>3.5</v>
      </c>
      <c r="F351" s="1671">
        <v>4</v>
      </c>
      <c r="G351" s="1672">
        <v>0.15</v>
      </c>
      <c r="H351" s="1671">
        <f t="shared" si="41"/>
        <v>0</v>
      </c>
      <c r="I351" s="688" t="s">
        <v>49</v>
      </c>
      <c r="J351" s="1668"/>
      <c r="K351" s="1668"/>
      <c r="L351" s="1669"/>
    </row>
    <row r="352" spans="1:12" s="692" customFormat="1" ht="16.5" hidden="1">
      <c r="A352" s="1670"/>
      <c r="B352" s="1666"/>
      <c r="C352" s="688"/>
      <c r="D352" s="1667"/>
      <c r="E352" s="688"/>
      <c r="F352" s="688"/>
      <c r="G352" s="1668" t="s">
        <v>928</v>
      </c>
      <c r="H352" s="1673">
        <f>SUM(H346:H351)</f>
        <v>0</v>
      </c>
      <c r="I352" s="1668" t="s">
        <v>49</v>
      </c>
      <c r="J352" s="1669">
        <f>'Lead &amp; ANALYSIS'!L321</f>
        <v>132.4</v>
      </c>
      <c r="K352" s="1668" t="s">
        <v>1514</v>
      </c>
      <c r="L352" s="1669">
        <f>ROUND(H352*J352,0)</f>
        <v>0</v>
      </c>
    </row>
    <row r="353" spans="1:12" s="692" customFormat="1" ht="16.5" hidden="1">
      <c r="A353" s="1670" t="s">
        <v>220</v>
      </c>
      <c r="B353" s="1666" t="s">
        <v>387</v>
      </c>
      <c r="C353" s="688"/>
      <c r="D353" s="1667"/>
      <c r="E353" s="688"/>
      <c r="F353" s="688"/>
      <c r="G353" s="1668"/>
      <c r="H353" s="1673"/>
      <c r="I353" s="1668"/>
      <c r="J353" s="1669"/>
      <c r="K353" s="1668"/>
      <c r="L353" s="1669"/>
    </row>
    <row r="354" spans="1:12" s="692" customFormat="1" ht="16.5" hidden="1">
      <c r="A354" s="1670"/>
      <c r="B354" s="1666"/>
      <c r="C354" s="688"/>
      <c r="D354" s="1667"/>
      <c r="E354" s="1671">
        <v>3.5</v>
      </c>
      <c r="F354" s="1671">
        <v>4</v>
      </c>
      <c r="G354" s="1672">
        <v>0.15</v>
      </c>
      <c r="H354" s="1671">
        <f t="shared" ref="H354:H359" si="42">ROUND(D354*E354*F354*G354,2)</f>
        <v>0</v>
      </c>
      <c r="I354" s="688" t="s">
        <v>49</v>
      </c>
      <c r="J354" s="1668"/>
      <c r="K354" s="1668"/>
      <c r="L354" s="1669"/>
    </row>
    <row r="355" spans="1:12" s="692" customFormat="1" ht="16.5" hidden="1">
      <c r="A355" s="1670"/>
      <c r="B355" s="1666"/>
      <c r="C355" s="688"/>
      <c r="D355" s="1667"/>
      <c r="E355" s="1671">
        <v>3.5</v>
      </c>
      <c r="F355" s="1671">
        <v>4</v>
      </c>
      <c r="G355" s="1672">
        <v>0.15</v>
      </c>
      <c r="H355" s="1671">
        <f t="shared" si="42"/>
        <v>0</v>
      </c>
      <c r="I355" s="688" t="s">
        <v>49</v>
      </c>
      <c r="J355" s="1668"/>
      <c r="K355" s="1668"/>
      <c r="L355" s="1669"/>
    </row>
    <row r="356" spans="1:12" s="692" customFormat="1" ht="16.5" hidden="1">
      <c r="A356" s="1670"/>
      <c r="B356" s="1666"/>
      <c r="C356" s="688"/>
      <c r="D356" s="1667"/>
      <c r="E356" s="1671">
        <v>3.5</v>
      </c>
      <c r="F356" s="1671">
        <v>4</v>
      </c>
      <c r="G356" s="1672">
        <v>0.15</v>
      </c>
      <c r="H356" s="1671">
        <f t="shared" si="42"/>
        <v>0</v>
      </c>
      <c r="I356" s="688" t="s">
        <v>49</v>
      </c>
      <c r="J356" s="1668"/>
      <c r="K356" s="1668"/>
      <c r="L356" s="1669"/>
    </row>
    <row r="357" spans="1:12" s="692" customFormat="1" ht="16.5" hidden="1">
      <c r="A357" s="1670"/>
      <c r="B357" s="1666"/>
      <c r="C357" s="688"/>
      <c r="D357" s="1667"/>
      <c r="E357" s="1671">
        <v>3.5</v>
      </c>
      <c r="F357" s="1671">
        <v>4</v>
      </c>
      <c r="G357" s="1672">
        <v>0.15</v>
      </c>
      <c r="H357" s="1671">
        <f t="shared" si="42"/>
        <v>0</v>
      </c>
      <c r="I357" s="688" t="s">
        <v>49</v>
      </c>
      <c r="J357" s="1668"/>
      <c r="K357" s="1668"/>
      <c r="L357" s="1669"/>
    </row>
    <row r="358" spans="1:12" s="692" customFormat="1" ht="16.5" hidden="1">
      <c r="A358" s="1670"/>
      <c r="B358" s="1666"/>
      <c r="C358" s="688"/>
      <c r="D358" s="1667"/>
      <c r="E358" s="1671">
        <v>3.5</v>
      </c>
      <c r="F358" s="1671">
        <v>4</v>
      </c>
      <c r="G358" s="1672">
        <v>0.15</v>
      </c>
      <c r="H358" s="1671">
        <f t="shared" si="42"/>
        <v>0</v>
      </c>
      <c r="I358" s="688" t="s">
        <v>49</v>
      </c>
      <c r="J358" s="1668"/>
      <c r="K358" s="1668"/>
      <c r="L358" s="1669"/>
    </row>
    <row r="359" spans="1:12" s="692" customFormat="1" ht="16.5" hidden="1">
      <c r="A359" s="1670"/>
      <c r="B359" s="1666"/>
      <c r="C359" s="688"/>
      <c r="D359" s="1667"/>
      <c r="E359" s="1671">
        <v>3.5</v>
      </c>
      <c r="F359" s="1671">
        <v>4</v>
      </c>
      <c r="G359" s="1672">
        <v>0.15</v>
      </c>
      <c r="H359" s="1671">
        <f t="shared" si="42"/>
        <v>0</v>
      </c>
      <c r="I359" s="688" t="s">
        <v>49</v>
      </c>
      <c r="J359" s="1668"/>
      <c r="K359" s="1668"/>
      <c r="L359" s="1669"/>
    </row>
    <row r="360" spans="1:12" s="692" customFormat="1" ht="16.5" hidden="1">
      <c r="A360" s="1670"/>
      <c r="B360" s="1666"/>
      <c r="C360" s="688"/>
      <c r="D360" s="1667"/>
      <c r="E360" s="688"/>
      <c r="F360" s="688"/>
      <c r="G360" s="1668" t="s">
        <v>928</v>
      </c>
      <c r="H360" s="1673">
        <f>SUM(H354:H359)</f>
        <v>0</v>
      </c>
      <c r="I360" s="1668" t="s">
        <v>49</v>
      </c>
      <c r="J360" s="1669">
        <f>'Lead &amp; ANALYSIS'!L322</f>
        <v>138.9</v>
      </c>
      <c r="K360" s="1668" t="s">
        <v>1514</v>
      </c>
      <c r="L360" s="1669">
        <f>ROUND(H360*J360,0)</f>
        <v>0</v>
      </c>
    </row>
    <row r="361" spans="1:12" s="692" customFormat="1" ht="16.5" hidden="1">
      <c r="A361" s="1670" t="s">
        <v>244</v>
      </c>
      <c r="B361" s="1666" t="s">
        <v>3613</v>
      </c>
      <c r="C361" s="688"/>
      <c r="D361" s="1667"/>
      <c r="E361" s="688"/>
      <c r="F361" s="688"/>
      <c r="G361" s="1668"/>
      <c r="H361" s="1673"/>
      <c r="I361" s="1668"/>
      <c r="J361" s="1669"/>
      <c r="K361" s="1668"/>
      <c r="L361" s="1669"/>
    </row>
    <row r="362" spans="1:12" s="692" customFormat="1" ht="16.5" hidden="1">
      <c r="A362" s="1670"/>
      <c r="B362" s="1666"/>
      <c r="C362" s="688"/>
      <c r="D362" s="1667"/>
      <c r="E362" s="1671">
        <v>3.5</v>
      </c>
      <c r="F362" s="1671">
        <v>4</v>
      </c>
      <c r="G362" s="1672">
        <v>0.15</v>
      </c>
      <c r="H362" s="1671">
        <f t="shared" ref="H362:H367" si="43">ROUND(D362*E362*F362*G362,2)</f>
        <v>0</v>
      </c>
      <c r="I362" s="688" t="s">
        <v>49</v>
      </c>
      <c r="J362" s="1668"/>
      <c r="K362" s="1668"/>
      <c r="L362" s="1669"/>
    </row>
    <row r="363" spans="1:12" s="692" customFormat="1" ht="16.5" hidden="1">
      <c r="A363" s="1670"/>
      <c r="B363" s="1666"/>
      <c r="C363" s="688"/>
      <c r="D363" s="1667"/>
      <c r="E363" s="1671">
        <v>3.5</v>
      </c>
      <c r="F363" s="1671">
        <v>4</v>
      </c>
      <c r="G363" s="1672">
        <v>0.15</v>
      </c>
      <c r="H363" s="1671">
        <f t="shared" si="43"/>
        <v>0</v>
      </c>
      <c r="I363" s="688" t="s">
        <v>49</v>
      </c>
      <c r="J363" s="1668"/>
      <c r="K363" s="1668"/>
      <c r="L363" s="1669"/>
    </row>
    <row r="364" spans="1:12" s="692" customFormat="1" ht="16.5" hidden="1">
      <c r="A364" s="1670"/>
      <c r="B364" s="1666"/>
      <c r="C364" s="688"/>
      <c r="D364" s="1667"/>
      <c r="E364" s="1671">
        <v>3.5</v>
      </c>
      <c r="F364" s="1671">
        <v>4</v>
      </c>
      <c r="G364" s="1672">
        <v>0.15</v>
      </c>
      <c r="H364" s="1671">
        <f t="shared" si="43"/>
        <v>0</v>
      </c>
      <c r="I364" s="688" t="s">
        <v>49</v>
      </c>
      <c r="J364" s="1668"/>
      <c r="K364" s="1668"/>
      <c r="L364" s="1669"/>
    </row>
    <row r="365" spans="1:12" s="692" customFormat="1" ht="16.5" hidden="1">
      <c r="A365" s="1670"/>
      <c r="B365" s="1666"/>
      <c r="C365" s="688"/>
      <c r="D365" s="1667"/>
      <c r="E365" s="1671">
        <v>3.5</v>
      </c>
      <c r="F365" s="1671">
        <v>4</v>
      </c>
      <c r="G365" s="1672">
        <v>0.15</v>
      </c>
      <c r="H365" s="1671">
        <f t="shared" si="43"/>
        <v>0</v>
      </c>
      <c r="I365" s="688" t="s">
        <v>49</v>
      </c>
      <c r="J365" s="1668"/>
      <c r="K365" s="1668"/>
      <c r="L365" s="1669"/>
    </row>
    <row r="366" spans="1:12" s="692" customFormat="1" ht="16.5" hidden="1">
      <c r="A366" s="1670"/>
      <c r="B366" s="1666"/>
      <c r="C366" s="688"/>
      <c r="D366" s="1667"/>
      <c r="E366" s="1671">
        <v>3.5</v>
      </c>
      <c r="F366" s="1671">
        <v>4</v>
      </c>
      <c r="G366" s="1672">
        <v>0.15</v>
      </c>
      <c r="H366" s="1671">
        <f t="shared" si="43"/>
        <v>0</v>
      </c>
      <c r="I366" s="688" t="s">
        <v>49</v>
      </c>
      <c r="J366" s="1668"/>
      <c r="K366" s="1668"/>
      <c r="L366" s="1669"/>
    </row>
    <row r="367" spans="1:12" s="692" customFormat="1" ht="16.5" hidden="1">
      <c r="A367" s="1670"/>
      <c r="B367" s="1666"/>
      <c r="C367" s="688"/>
      <c r="D367" s="1667"/>
      <c r="E367" s="1671">
        <v>3.5</v>
      </c>
      <c r="F367" s="1671">
        <v>4</v>
      </c>
      <c r="G367" s="1672">
        <v>0.15</v>
      </c>
      <c r="H367" s="1671">
        <f t="shared" si="43"/>
        <v>0</v>
      </c>
      <c r="I367" s="688" t="s">
        <v>49</v>
      </c>
      <c r="J367" s="1668"/>
      <c r="K367" s="1668"/>
      <c r="L367" s="1669"/>
    </row>
    <row r="368" spans="1:12" s="692" customFormat="1" ht="16.5" hidden="1">
      <c r="A368" s="1670"/>
      <c r="B368" s="1666"/>
      <c r="C368" s="688"/>
      <c r="D368" s="1667"/>
      <c r="E368" s="688"/>
      <c r="F368" s="688"/>
      <c r="G368" s="1668" t="s">
        <v>928</v>
      </c>
      <c r="H368" s="1673">
        <f>SUM(H362:H367)</f>
        <v>0</v>
      </c>
      <c r="I368" s="1668" t="s">
        <v>49</v>
      </c>
      <c r="J368" s="1669">
        <f>'Lead &amp; ANALYSIS'!L323</f>
        <v>145.69999999999999</v>
      </c>
      <c r="K368" s="1668" t="s">
        <v>1516</v>
      </c>
      <c r="L368" s="1669">
        <f>ROUND(H368*J368,0)</f>
        <v>0</v>
      </c>
    </row>
    <row r="369" spans="1:12" s="692" customFormat="1" ht="16.5" hidden="1">
      <c r="A369" s="1670" t="s">
        <v>291</v>
      </c>
      <c r="B369" s="1666" t="s">
        <v>3632</v>
      </c>
      <c r="C369" s="688"/>
      <c r="D369" s="1667"/>
      <c r="E369" s="688"/>
      <c r="F369" s="688"/>
      <c r="G369" s="1668"/>
      <c r="H369" s="1673"/>
      <c r="I369" s="1668"/>
      <c r="J369" s="1669"/>
      <c r="K369" s="1668"/>
      <c r="L369" s="1669"/>
    </row>
    <row r="370" spans="1:12" s="692" customFormat="1" ht="16.5" hidden="1">
      <c r="A370" s="1665"/>
      <c r="B370" s="1666"/>
      <c r="C370" s="688"/>
      <c r="D370" s="1667"/>
      <c r="E370" s="1671">
        <v>3.5</v>
      </c>
      <c r="F370" s="1671">
        <v>4</v>
      </c>
      <c r="G370" s="1672">
        <v>0.15</v>
      </c>
      <c r="H370" s="1671">
        <f t="shared" ref="H370:H375" si="44">ROUND(D370*E370*F370*G370,2)</f>
        <v>0</v>
      </c>
      <c r="I370" s="688" t="s">
        <v>49</v>
      </c>
      <c r="J370" s="1668"/>
      <c r="K370" s="1668"/>
      <c r="L370" s="1669"/>
    </row>
    <row r="371" spans="1:12" s="692" customFormat="1" ht="16.5" hidden="1">
      <c r="A371" s="1665"/>
      <c r="B371" s="1666"/>
      <c r="C371" s="688"/>
      <c r="D371" s="1667"/>
      <c r="E371" s="1671">
        <v>3.5</v>
      </c>
      <c r="F371" s="1671">
        <v>4</v>
      </c>
      <c r="G371" s="1672">
        <v>0.15</v>
      </c>
      <c r="H371" s="1671">
        <f t="shared" si="44"/>
        <v>0</v>
      </c>
      <c r="I371" s="688" t="s">
        <v>49</v>
      </c>
      <c r="J371" s="1668"/>
      <c r="K371" s="1668"/>
      <c r="L371" s="1669"/>
    </row>
    <row r="372" spans="1:12" s="692" customFormat="1" ht="16.5" hidden="1">
      <c r="A372" s="1665"/>
      <c r="B372" s="1666"/>
      <c r="C372" s="688"/>
      <c r="D372" s="1667"/>
      <c r="E372" s="1671">
        <v>3.5</v>
      </c>
      <c r="F372" s="1671">
        <v>4</v>
      </c>
      <c r="G372" s="1672">
        <v>0.15</v>
      </c>
      <c r="H372" s="1671">
        <f t="shared" si="44"/>
        <v>0</v>
      </c>
      <c r="I372" s="688" t="s">
        <v>49</v>
      </c>
      <c r="J372" s="1668"/>
      <c r="K372" s="1668"/>
      <c r="L372" s="1669"/>
    </row>
    <row r="373" spans="1:12" s="692" customFormat="1" ht="16.5" hidden="1">
      <c r="A373" s="1665"/>
      <c r="B373" s="1666"/>
      <c r="C373" s="688"/>
      <c r="D373" s="1667"/>
      <c r="E373" s="1671">
        <v>3.5</v>
      </c>
      <c r="F373" s="1671">
        <v>4</v>
      </c>
      <c r="G373" s="1672">
        <v>0.15</v>
      </c>
      <c r="H373" s="1671">
        <f t="shared" si="44"/>
        <v>0</v>
      </c>
      <c r="I373" s="688" t="s">
        <v>49</v>
      </c>
      <c r="J373" s="1668"/>
      <c r="K373" s="1668"/>
      <c r="L373" s="1669"/>
    </row>
    <row r="374" spans="1:12" s="692" customFormat="1" ht="16.5" hidden="1">
      <c r="A374" s="1665"/>
      <c r="B374" s="1666"/>
      <c r="C374" s="688"/>
      <c r="D374" s="1667"/>
      <c r="E374" s="1671">
        <v>3.5</v>
      </c>
      <c r="F374" s="1671">
        <v>4</v>
      </c>
      <c r="G374" s="1672">
        <v>0.15</v>
      </c>
      <c r="H374" s="1671">
        <f t="shared" si="44"/>
        <v>0</v>
      </c>
      <c r="I374" s="688" t="s">
        <v>49</v>
      </c>
      <c r="J374" s="1668"/>
      <c r="K374" s="1668"/>
      <c r="L374" s="1669"/>
    </row>
    <row r="375" spans="1:12" s="692" customFormat="1" ht="16.5" hidden="1">
      <c r="A375" s="1665"/>
      <c r="B375" s="1666"/>
      <c r="C375" s="688"/>
      <c r="D375" s="1667"/>
      <c r="E375" s="1671">
        <v>3.5</v>
      </c>
      <c r="F375" s="1671">
        <v>4</v>
      </c>
      <c r="G375" s="1672">
        <v>0.15</v>
      </c>
      <c r="H375" s="1671">
        <f t="shared" si="44"/>
        <v>0</v>
      </c>
      <c r="I375" s="688" t="s">
        <v>49</v>
      </c>
      <c r="J375" s="1668"/>
      <c r="K375" s="1668"/>
      <c r="L375" s="1669"/>
    </row>
    <row r="376" spans="1:12" s="692" customFormat="1" ht="16.5" hidden="1">
      <c r="A376" s="1665"/>
      <c r="B376" s="1666"/>
      <c r="C376" s="688"/>
      <c r="D376" s="1667"/>
      <c r="E376" s="688"/>
      <c r="F376" s="688"/>
      <c r="G376" s="1668" t="s">
        <v>928</v>
      </c>
      <c r="H376" s="1673">
        <f>SUM(H370:H375)</f>
        <v>0</v>
      </c>
      <c r="I376" s="1668" t="s">
        <v>49</v>
      </c>
      <c r="J376" s="1669">
        <f>'Lead &amp; ANALYSIS'!L324</f>
        <v>152.9</v>
      </c>
      <c r="K376" s="1668" t="s">
        <v>1516</v>
      </c>
      <c r="L376" s="1669">
        <f>ROUND(H376*J376,0)</f>
        <v>0</v>
      </c>
    </row>
    <row r="377" spans="1:12" s="692" customFormat="1" ht="43.9" hidden="1" customHeight="1">
      <c r="A377" s="1665">
        <f>'Lead &amp; ANALYSIS'!A325</f>
        <v>12</v>
      </c>
      <c r="B377" s="1666" t="str">
        <f>'Lead &amp; ANALYSIS'!B325</f>
        <v>Dismantling &amp; Removing marble chips flooring including stacking the useful materials for reuse and removing the debris within 50m lead  with  cost  of  all labour etc. complete.</v>
      </c>
      <c r="C377" s="688"/>
      <c r="D377" s="1667"/>
      <c r="E377" s="688"/>
      <c r="F377" s="688"/>
      <c r="G377" s="1674"/>
      <c r="H377" s="688"/>
      <c r="I377" s="1668"/>
      <c r="J377" s="1668"/>
      <c r="K377" s="1668"/>
      <c r="L377" s="1669"/>
    </row>
    <row r="378" spans="1:12" s="692" customFormat="1" ht="16.5" hidden="1">
      <c r="A378" s="1670" t="s">
        <v>201</v>
      </c>
      <c r="B378" s="1666" t="s">
        <v>384</v>
      </c>
      <c r="C378" s="688"/>
      <c r="D378" s="1667"/>
      <c r="E378" s="688"/>
      <c r="F378" s="688"/>
      <c r="G378" s="688"/>
      <c r="H378" s="688"/>
      <c r="I378" s="1668"/>
      <c r="J378" s="1668"/>
      <c r="K378" s="1668"/>
      <c r="L378" s="1669"/>
    </row>
    <row r="379" spans="1:12" s="692" customFormat="1" ht="16.5" hidden="1">
      <c r="A379" s="1670"/>
      <c r="B379" s="1666"/>
      <c r="C379" s="688"/>
      <c r="D379" s="1667"/>
      <c r="E379" s="1671">
        <v>3.5</v>
      </c>
      <c r="F379" s="1671">
        <v>4</v>
      </c>
      <c r="G379" s="1672">
        <v>0.15</v>
      </c>
      <c r="H379" s="1671">
        <f t="shared" ref="H379:H384" si="45">ROUND(D379*E379*F379*G379,2)</f>
        <v>0</v>
      </c>
      <c r="I379" s="688" t="s">
        <v>49</v>
      </c>
      <c r="J379" s="1668"/>
      <c r="K379" s="1668"/>
      <c r="L379" s="1669"/>
    </row>
    <row r="380" spans="1:12" s="692" customFormat="1" ht="16.5" hidden="1">
      <c r="A380" s="1670"/>
      <c r="B380" s="1666"/>
      <c r="C380" s="688"/>
      <c r="D380" s="1667"/>
      <c r="E380" s="1671">
        <v>3.5</v>
      </c>
      <c r="F380" s="1671">
        <v>4</v>
      </c>
      <c r="G380" s="1672">
        <v>0.15</v>
      </c>
      <c r="H380" s="1671">
        <f t="shared" si="45"/>
        <v>0</v>
      </c>
      <c r="I380" s="688" t="s">
        <v>49</v>
      </c>
      <c r="J380" s="1668"/>
      <c r="K380" s="1668"/>
      <c r="L380" s="1669"/>
    </row>
    <row r="381" spans="1:12" s="692" customFormat="1" ht="16.5" hidden="1">
      <c r="A381" s="1670"/>
      <c r="B381" s="1666"/>
      <c r="C381" s="688"/>
      <c r="D381" s="1667"/>
      <c r="E381" s="1671">
        <v>3.5</v>
      </c>
      <c r="F381" s="1671">
        <v>4</v>
      </c>
      <c r="G381" s="1672">
        <v>0.15</v>
      </c>
      <c r="H381" s="1671">
        <f t="shared" si="45"/>
        <v>0</v>
      </c>
      <c r="I381" s="688" t="s">
        <v>49</v>
      </c>
      <c r="J381" s="1668"/>
      <c r="K381" s="1668"/>
      <c r="L381" s="1669"/>
    </row>
    <row r="382" spans="1:12" s="692" customFormat="1" ht="16.5" hidden="1">
      <c r="A382" s="1670"/>
      <c r="B382" s="1666"/>
      <c r="C382" s="688"/>
      <c r="D382" s="1667"/>
      <c r="E382" s="1671">
        <v>3.5</v>
      </c>
      <c r="F382" s="1671">
        <v>4</v>
      </c>
      <c r="G382" s="1672">
        <v>0.15</v>
      </c>
      <c r="H382" s="1671">
        <f t="shared" si="45"/>
        <v>0</v>
      </c>
      <c r="I382" s="688" t="s">
        <v>49</v>
      </c>
      <c r="J382" s="1668"/>
      <c r="K382" s="1668"/>
      <c r="L382" s="1669"/>
    </row>
    <row r="383" spans="1:12" s="692" customFormat="1" ht="16.5" hidden="1">
      <c r="A383" s="1670"/>
      <c r="B383" s="1666"/>
      <c r="C383" s="688"/>
      <c r="D383" s="1667"/>
      <c r="E383" s="1671">
        <v>3.5</v>
      </c>
      <c r="F383" s="1671">
        <v>4</v>
      </c>
      <c r="G383" s="1672">
        <v>0.15</v>
      </c>
      <c r="H383" s="1671">
        <f t="shared" si="45"/>
        <v>0</v>
      </c>
      <c r="I383" s="688" t="s">
        <v>49</v>
      </c>
      <c r="J383" s="1668"/>
      <c r="K383" s="1668"/>
      <c r="L383" s="1669"/>
    </row>
    <row r="384" spans="1:12" s="692" customFormat="1" ht="16.5" hidden="1">
      <c r="A384" s="1670"/>
      <c r="B384" s="1666"/>
      <c r="C384" s="688"/>
      <c r="D384" s="1667"/>
      <c r="E384" s="1671">
        <v>3.5</v>
      </c>
      <c r="F384" s="1671">
        <v>4</v>
      </c>
      <c r="G384" s="1672">
        <v>0.15</v>
      </c>
      <c r="H384" s="1671">
        <f t="shared" si="45"/>
        <v>0</v>
      </c>
      <c r="I384" s="688" t="s">
        <v>49</v>
      </c>
      <c r="J384" s="1668"/>
      <c r="K384" s="1668"/>
      <c r="L384" s="1669"/>
    </row>
    <row r="385" spans="1:12" s="692" customFormat="1" ht="16.5" hidden="1">
      <c r="A385" s="1670"/>
      <c r="B385" s="1666"/>
      <c r="C385" s="688"/>
      <c r="D385" s="1667"/>
      <c r="E385" s="688"/>
      <c r="F385" s="688"/>
      <c r="G385" s="1668" t="s">
        <v>928</v>
      </c>
      <c r="H385" s="1673">
        <f>SUM(H379:H384)</f>
        <v>0</v>
      </c>
      <c r="I385" s="1668" t="s">
        <v>49</v>
      </c>
      <c r="J385" s="1669">
        <f>'Lead &amp; ANALYSIS'!L326</f>
        <v>85.1</v>
      </c>
      <c r="K385" s="1668" t="s">
        <v>1514</v>
      </c>
      <c r="L385" s="1669">
        <f>ROUND(H385*J385,0)</f>
        <v>0</v>
      </c>
    </row>
    <row r="386" spans="1:12" s="692" customFormat="1" ht="16.5" hidden="1">
      <c r="A386" s="1670" t="s">
        <v>220</v>
      </c>
      <c r="B386" s="1666" t="s">
        <v>387</v>
      </c>
      <c r="C386" s="688"/>
      <c r="D386" s="1667"/>
      <c r="E386" s="688"/>
      <c r="F386" s="688"/>
      <c r="G386" s="1668"/>
      <c r="H386" s="1673"/>
      <c r="I386" s="1668"/>
      <c r="J386" s="1669"/>
      <c r="K386" s="1668"/>
      <c r="L386" s="1669"/>
    </row>
    <row r="387" spans="1:12" s="692" customFormat="1" ht="16.5" hidden="1">
      <c r="A387" s="1670"/>
      <c r="B387" s="1666"/>
      <c r="C387" s="688"/>
      <c r="D387" s="1667"/>
      <c r="E387" s="1671">
        <v>3.5</v>
      </c>
      <c r="F387" s="1671">
        <v>4</v>
      </c>
      <c r="G387" s="1672">
        <v>0.15</v>
      </c>
      <c r="H387" s="1671">
        <f t="shared" ref="H387:H392" si="46">ROUND(D387*E387*F387*G387,2)</f>
        <v>0</v>
      </c>
      <c r="I387" s="688" t="s">
        <v>49</v>
      </c>
      <c r="J387" s="1668"/>
      <c r="K387" s="1668"/>
      <c r="L387" s="1669"/>
    </row>
    <row r="388" spans="1:12" s="692" customFormat="1" ht="16.5" hidden="1">
      <c r="A388" s="1670"/>
      <c r="B388" s="1666"/>
      <c r="C388" s="688"/>
      <c r="D388" s="1667"/>
      <c r="E388" s="1671">
        <v>3.5</v>
      </c>
      <c r="F388" s="1671">
        <v>4</v>
      </c>
      <c r="G388" s="1672">
        <v>0.15</v>
      </c>
      <c r="H388" s="1671">
        <f t="shared" si="46"/>
        <v>0</v>
      </c>
      <c r="I388" s="688" t="s">
        <v>49</v>
      </c>
      <c r="J388" s="1668"/>
      <c r="K388" s="1668"/>
      <c r="L388" s="1669"/>
    </row>
    <row r="389" spans="1:12" s="692" customFormat="1" ht="16.5" hidden="1">
      <c r="A389" s="1670"/>
      <c r="B389" s="1666"/>
      <c r="C389" s="688"/>
      <c r="D389" s="1667"/>
      <c r="E389" s="1671">
        <v>3.5</v>
      </c>
      <c r="F389" s="1671">
        <v>4</v>
      </c>
      <c r="G389" s="1672">
        <v>0.15</v>
      </c>
      <c r="H389" s="1671">
        <f t="shared" si="46"/>
        <v>0</v>
      </c>
      <c r="I389" s="688" t="s">
        <v>49</v>
      </c>
      <c r="J389" s="1668"/>
      <c r="K389" s="1668"/>
      <c r="L389" s="1669"/>
    </row>
    <row r="390" spans="1:12" s="692" customFormat="1" ht="16.5" hidden="1">
      <c r="A390" s="1670"/>
      <c r="B390" s="1666"/>
      <c r="C390" s="688"/>
      <c r="D390" s="1667"/>
      <c r="E390" s="1671">
        <v>3.5</v>
      </c>
      <c r="F390" s="1671">
        <v>4</v>
      </c>
      <c r="G390" s="1672">
        <v>0.15</v>
      </c>
      <c r="H390" s="1671">
        <f t="shared" si="46"/>
        <v>0</v>
      </c>
      <c r="I390" s="688" t="s">
        <v>49</v>
      </c>
      <c r="J390" s="1668"/>
      <c r="K390" s="1668"/>
      <c r="L390" s="1669"/>
    </row>
    <row r="391" spans="1:12" s="692" customFormat="1" ht="16.5" hidden="1">
      <c r="A391" s="1670"/>
      <c r="B391" s="1666"/>
      <c r="C391" s="688"/>
      <c r="D391" s="1667"/>
      <c r="E391" s="1671">
        <v>3.5</v>
      </c>
      <c r="F391" s="1671">
        <v>4</v>
      </c>
      <c r="G391" s="1672">
        <v>0.15</v>
      </c>
      <c r="H391" s="1671">
        <f t="shared" si="46"/>
        <v>0</v>
      </c>
      <c r="I391" s="688" t="s">
        <v>49</v>
      </c>
      <c r="J391" s="1668"/>
      <c r="K391" s="1668"/>
      <c r="L391" s="1669"/>
    </row>
    <row r="392" spans="1:12" s="692" customFormat="1" ht="16.5" hidden="1">
      <c r="A392" s="1670"/>
      <c r="B392" s="1666"/>
      <c r="C392" s="688"/>
      <c r="D392" s="1667"/>
      <c r="E392" s="1671">
        <v>3.5</v>
      </c>
      <c r="F392" s="1671">
        <v>4</v>
      </c>
      <c r="G392" s="1672">
        <v>0.15</v>
      </c>
      <c r="H392" s="1671">
        <f t="shared" si="46"/>
        <v>0</v>
      </c>
      <c r="I392" s="688" t="s">
        <v>49</v>
      </c>
      <c r="J392" s="1668"/>
      <c r="K392" s="1668"/>
      <c r="L392" s="1669"/>
    </row>
    <row r="393" spans="1:12" s="692" customFormat="1" ht="16.5" hidden="1">
      <c r="A393" s="1670"/>
      <c r="B393" s="1666"/>
      <c r="C393" s="688"/>
      <c r="D393" s="1667"/>
      <c r="E393" s="688"/>
      <c r="F393" s="688"/>
      <c r="G393" s="1668" t="s">
        <v>928</v>
      </c>
      <c r="H393" s="1673">
        <f>SUM(H387:H392)</f>
        <v>0</v>
      </c>
      <c r="I393" s="1668" t="s">
        <v>49</v>
      </c>
      <c r="J393" s="1669">
        <f>'Lead &amp; ANALYSIS'!L327</f>
        <v>89.3</v>
      </c>
      <c r="K393" s="1668" t="s">
        <v>1514</v>
      </c>
      <c r="L393" s="1669">
        <f>ROUND(H393*J393,0)</f>
        <v>0</v>
      </c>
    </row>
    <row r="394" spans="1:12" s="692" customFormat="1" ht="16.5" hidden="1">
      <c r="A394" s="1670" t="s">
        <v>244</v>
      </c>
      <c r="B394" s="1666" t="s">
        <v>3613</v>
      </c>
      <c r="C394" s="688"/>
      <c r="D394" s="1667"/>
      <c r="E394" s="688"/>
      <c r="F394" s="688"/>
      <c r="G394" s="1668"/>
      <c r="H394" s="1673"/>
      <c r="I394" s="1668"/>
      <c r="J394" s="1669"/>
      <c r="K394" s="1668"/>
      <c r="L394" s="1669"/>
    </row>
    <row r="395" spans="1:12" s="692" customFormat="1" ht="16.5" hidden="1">
      <c r="A395" s="1670"/>
      <c r="B395" s="1666"/>
      <c r="C395" s="688"/>
      <c r="D395" s="1667"/>
      <c r="E395" s="1671">
        <v>3.5</v>
      </c>
      <c r="F395" s="1671">
        <v>4</v>
      </c>
      <c r="G395" s="1672">
        <v>0.15</v>
      </c>
      <c r="H395" s="1671">
        <f t="shared" ref="H395:H400" si="47">ROUND(D395*E395*F395*G395,2)</f>
        <v>0</v>
      </c>
      <c r="I395" s="688" t="s">
        <v>49</v>
      </c>
      <c r="J395" s="1668"/>
      <c r="K395" s="1668"/>
      <c r="L395" s="1669"/>
    </row>
    <row r="396" spans="1:12" s="692" customFormat="1" ht="16.5" hidden="1">
      <c r="A396" s="1670"/>
      <c r="B396" s="1666"/>
      <c r="C396" s="688"/>
      <c r="D396" s="1667"/>
      <c r="E396" s="1671">
        <v>3.5</v>
      </c>
      <c r="F396" s="1671">
        <v>4</v>
      </c>
      <c r="G396" s="1672">
        <v>0.15</v>
      </c>
      <c r="H396" s="1671">
        <f t="shared" si="47"/>
        <v>0</v>
      </c>
      <c r="I396" s="688" t="s">
        <v>49</v>
      </c>
      <c r="J396" s="1668"/>
      <c r="K396" s="1668"/>
      <c r="L396" s="1669"/>
    </row>
    <row r="397" spans="1:12" s="692" customFormat="1" ht="16.5" hidden="1">
      <c r="A397" s="1670"/>
      <c r="B397" s="1666"/>
      <c r="C397" s="688"/>
      <c r="D397" s="1667"/>
      <c r="E397" s="1671">
        <v>3.5</v>
      </c>
      <c r="F397" s="1671">
        <v>4</v>
      </c>
      <c r="G397" s="1672">
        <v>0.15</v>
      </c>
      <c r="H397" s="1671">
        <f t="shared" si="47"/>
        <v>0</v>
      </c>
      <c r="I397" s="688" t="s">
        <v>49</v>
      </c>
      <c r="J397" s="1668"/>
      <c r="K397" s="1668"/>
      <c r="L397" s="1669"/>
    </row>
    <row r="398" spans="1:12" s="692" customFormat="1" ht="16.5" hidden="1">
      <c r="A398" s="1670"/>
      <c r="B398" s="1666"/>
      <c r="C398" s="688"/>
      <c r="D398" s="1667"/>
      <c r="E398" s="1671">
        <v>3.5</v>
      </c>
      <c r="F398" s="1671">
        <v>4</v>
      </c>
      <c r="G398" s="1672">
        <v>0.15</v>
      </c>
      <c r="H398" s="1671">
        <f t="shared" si="47"/>
        <v>0</v>
      </c>
      <c r="I398" s="688" t="s">
        <v>49</v>
      </c>
      <c r="J398" s="1668"/>
      <c r="K398" s="1668"/>
      <c r="L398" s="1669"/>
    </row>
    <row r="399" spans="1:12" s="692" customFormat="1" ht="16.5" hidden="1">
      <c r="A399" s="1670"/>
      <c r="B399" s="1666"/>
      <c r="C399" s="688"/>
      <c r="D399" s="1667"/>
      <c r="E399" s="1671">
        <v>3.5</v>
      </c>
      <c r="F399" s="1671">
        <v>4</v>
      </c>
      <c r="G399" s="1672">
        <v>0.15</v>
      </c>
      <c r="H399" s="1671">
        <f t="shared" si="47"/>
        <v>0</v>
      </c>
      <c r="I399" s="688" t="s">
        <v>49</v>
      </c>
      <c r="J399" s="1668"/>
      <c r="K399" s="1668"/>
      <c r="L399" s="1669"/>
    </row>
    <row r="400" spans="1:12" s="692" customFormat="1" ht="16.5" hidden="1">
      <c r="A400" s="1670"/>
      <c r="B400" s="1666"/>
      <c r="C400" s="688"/>
      <c r="D400" s="1667"/>
      <c r="E400" s="1671">
        <v>3.5</v>
      </c>
      <c r="F400" s="1671">
        <v>4</v>
      </c>
      <c r="G400" s="1672">
        <v>0.15</v>
      </c>
      <c r="H400" s="1671">
        <f t="shared" si="47"/>
        <v>0</v>
      </c>
      <c r="I400" s="688" t="s">
        <v>49</v>
      </c>
      <c r="J400" s="1668"/>
      <c r="K400" s="1668"/>
      <c r="L400" s="1669"/>
    </row>
    <row r="401" spans="1:12" s="692" customFormat="1" ht="16.5" hidden="1">
      <c r="A401" s="1670"/>
      <c r="B401" s="1666"/>
      <c r="C401" s="688"/>
      <c r="D401" s="1667"/>
      <c r="E401" s="688"/>
      <c r="F401" s="688"/>
      <c r="G401" s="1668" t="s">
        <v>928</v>
      </c>
      <c r="H401" s="1673">
        <f>SUM(H395:H400)</f>
        <v>0</v>
      </c>
      <c r="I401" s="1668" t="s">
        <v>49</v>
      </c>
      <c r="J401" s="1669">
        <f>'Lead &amp; ANALYSIS'!L328</f>
        <v>93.7</v>
      </c>
      <c r="K401" s="1668" t="s">
        <v>1516</v>
      </c>
      <c r="L401" s="1669">
        <f>ROUND(H401*J401,0)</f>
        <v>0</v>
      </c>
    </row>
    <row r="402" spans="1:12" s="692" customFormat="1" ht="16.5" hidden="1">
      <c r="A402" s="1670" t="s">
        <v>291</v>
      </c>
      <c r="B402" s="1666" t="s">
        <v>3632</v>
      </c>
      <c r="C402" s="688"/>
      <c r="D402" s="1667"/>
      <c r="E402" s="688"/>
      <c r="F402" s="688"/>
      <c r="G402" s="1668"/>
      <c r="H402" s="1673"/>
      <c r="I402" s="1668"/>
      <c r="J402" s="1669"/>
      <c r="K402" s="1668"/>
      <c r="L402" s="1669"/>
    </row>
    <row r="403" spans="1:12" s="692" customFormat="1" ht="16.5" hidden="1">
      <c r="A403" s="1670"/>
      <c r="B403" s="1666"/>
      <c r="C403" s="688"/>
      <c r="D403" s="1667"/>
      <c r="E403" s="1671">
        <v>3.5</v>
      </c>
      <c r="F403" s="1671">
        <v>4</v>
      </c>
      <c r="G403" s="1672">
        <v>0.15</v>
      </c>
      <c r="H403" s="1671">
        <f t="shared" ref="H403:H408" si="48">ROUND(D403*E403*F403*G403,2)</f>
        <v>0</v>
      </c>
      <c r="I403" s="688" t="s">
        <v>49</v>
      </c>
      <c r="J403" s="1668"/>
      <c r="K403" s="1668"/>
      <c r="L403" s="1669"/>
    </row>
    <row r="404" spans="1:12" s="692" customFormat="1" ht="16.5" hidden="1">
      <c r="A404" s="1670"/>
      <c r="B404" s="1666"/>
      <c r="C404" s="688"/>
      <c r="D404" s="1667"/>
      <c r="E404" s="1671">
        <v>3.5</v>
      </c>
      <c r="F404" s="1671">
        <v>4</v>
      </c>
      <c r="G404" s="1672">
        <v>0.15</v>
      </c>
      <c r="H404" s="1671">
        <f t="shared" si="48"/>
        <v>0</v>
      </c>
      <c r="I404" s="688" t="s">
        <v>49</v>
      </c>
      <c r="J404" s="1668"/>
      <c r="K404" s="1668"/>
      <c r="L404" s="1669"/>
    </row>
    <row r="405" spans="1:12" s="692" customFormat="1" ht="16.5" hidden="1">
      <c r="A405" s="1670"/>
      <c r="B405" s="1666"/>
      <c r="C405" s="688"/>
      <c r="D405" s="1667"/>
      <c r="E405" s="1671">
        <v>3.5</v>
      </c>
      <c r="F405" s="1671">
        <v>4</v>
      </c>
      <c r="G405" s="1672">
        <v>0.15</v>
      </c>
      <c r="H405" s="1671">
        <f t="shared" si="48"/>
        <v>0</v>
      </c>
      <c r="I405" s="688" t="s">
        <v>49</v>
      </c>
      <c r="J405" s="1668"/>
      <c r="K405" s="1668"/>
      <c r="L405" s="1669"/>
    </row>
    <row r="406" spans="1:12" s="692" customFormat="1" ht="16.5" hidden="1">
      <c r="A406" s="1665"/>
      <c r="B406" s="1666"/>
      <c r="C406" s="688"/>
      <c r="D406" s="1667"/>
      <c r="E406" s="1671">
        <v>3.5</v>
      </c>
      <c r="F406" s="1671">
        <v>4</v>
      </c>
      <c r="G406" s="1672">
        <v>0.15</v>
      </c>
      <c r="H406" s="1671">
        <f t="shared" si="48"/>
        <v>0</v>
      </c>
      <c r="I406" s="688" t="s">
        <v>49</v>
      </c>
      <c r="J406" s="1668"/>
      <c r="K406" s="1668"/>
      <c r="L406" s="1669"/>
    </row>
    <row r="407" spans="1:12" s="692" customFormat="1" ht="16.5" hidden="1">
      <c r="A407" s="1665"/>
      <c r="B407" s="1666"/>
      <c r="C407" s="688"/>
      <c r="D407" s="1667"/>
      <c r="E407" s="1671">
        <v>3.5</v>
      </c>
      <c r="F407" s="1671">
        <v>4</v>
      </c>
      <c r="G407" s="1672">
        <v>0.15</v>
      </c>
      <c r="H407" s="1671">
        <f t="shared" si="48"/>
        <v>0</v>
      </c>
      <c r="I407" s="688" t="s">
        <v>49</v>
      </c>
      <c r="J407" s="1668"/>
      <c r="K407" s="1668"/>
      <c r="L407" s="1669"/>
    </row>
    <row r="408" spans="1:12" s="692" customFormat="1" ht="16.5" hidden="1">
      <c r="A408" s="1665"/>
      <c r="B408" s="1666"/>
      <c r="C408" s="688"/>
      <c r="D408" s="1667"/>
      <c r="E408" s="1671">
        <v>3.5</v>
      </c>
      <c r="F408" s="1671">
        <v>4</v>
      </c>
      <c r="G408" s="1672">
        <v>0.15</v>
      </c>
      <c r="H408" s="1671">
        <f t="shared" si="48"/>
        <v>0</v>
      </c>
      <c r="I408" s="688" t="s">
        <v>49</v>
      </c>
      <c r="J408" s="1668"/>
      <c r="K408" s="1668"/>
      <c r="L408" s="1669"/>
    </row>
    <row r="409" spans="1:12" s="692" customFormat="1" ht="16.5" hidden="1">
      <c r="A409" s="1665"/>
      <c r="B409" s="1666"/>
      <c r="C409" s="688"/>
      <c r="D409" s="1667"/>
      <c r="E409" s="688"/>
      <c r="F409" s="688"/>
      <c r="G409" s="1668" t="s">
        <v>928</v>
      </c>
      <c r="H409" s="1673">
        <f>SUM(H403:H408)</f>
        <v>0</v>
      </c>
      <c r="I409" s="1668" t="s">
        <v>49</v>
      </c>
      <c r="J409" s="1669">
        <f>'Lead &amp; ANALYSIS'!L329</f>
        <v>98.3</v>
      </c>
      <c r="K409" s="1668" t="s">
        <v>1516</v>
      </c>
      <c r="L409" s="1669">
        <f>ROUND(H409*J409,0)</f>
        <v>0</v>
      </c>
    </row>
    <row r="410" spans="1:12" s="692" customFormat="1" ht="66" hidden="1">
      <c r="A410" s="1665">
        <f>'Lead &amp; ANALYSIS'!A330</f>
        <v>13</v>
      </c>
      <c r="B410" s="1666" t="str">
        <f>'Lead &amp; ANALYSIS'!B330</f>
        <v>Dismantling &amp; Removing marble chips dadoos &amp; skirting including stacking the useful materials for reuse and removing the debris within 50m lead  with  cost  of  all labour etc. complete.</v>
      </c>
      <c r="C410" s="688"/>
      <c r="D410" s="1667"/>
      <c r="E410" s="688"/>
      <c r="F410" s="688"/>
      <c r="G410" s="1674"/>
      <c r="H410" s="688"/>
      <c r="I410" s="1668"/>
      <c r="J410" s="1668"/>
      <c r="K410" s="1668"/>
      <c r="L410" s="1669"/>
    </row>
    <row r="411" spans="1:12" s="692" customFormat="1" ht="16.5" hidden="1">
      <c r="A411" s="1670" t="s">
        <v>201</v>
      </c>
      <c r="B411" s="1666" t="s">
        <v>384</v>
      </c>
      <c r="C411" s="688"/>
      <c r="D411" s="1667"/>
      <c r="E411" s="688"/>
      <c r="F411" s="688"/>
      <c r="G411" s="688"/>
      <c r="H411" s="688"/>
      <c r="I411" s="1668"/>
      <c r="J411" s="1668"/>
      <c r="K411" s="1668"/>
      <c r="L411" s="1669"/>
    </row>
    <row r="412" spans="1:12" s="692" customFormat="1" ht="16.5" hidden="1">
      <c r="A412" s="1670"/>
      <c r="B412" s="1666"/>
      <c r="C412" s="688"/>
      <c r="D412" s="1667"/>
      <c r="E412" s="1671">
        <v>3.5</v>
      </c>
      <c r="F412" s="1671">
        <v>4</v>
      </c>
      <c r="G412" s="1672">
        <v>0.15</v>
      </c>
      <c r="H412" s="1671">
        <f t="shared" ref="H412:H417" si="49">ROUND(D412*E412*F412*G412,2)</f>
        <v>0</v>
      </c>
      <c r="I412" s="688" t="s">
        <v>49</v>
      </c>
      <c r="J412" s="1668"/>
      <c r="K412" s="1668"/>
      <c r="L412" s="1669"/>
    </row>
    <row r="413" spans="1:12" s="692" customFormat="1" ht="16.5" hidden="1">
      <c r="A413" s="1670"/>
      <c r="B413" s="1666"/>
      <c r="C413" s="688"/>
      <c r="D413" s="1667"/>
      <c r="E413" s="1671">
        <v>3.5</v>
      </c>
      <c r="F413" s="1671">
        <v>4</v>
      </c>
      <c r="G413" s="1672">
        <v>0.15</v>
      </c>
      <c r="H413" s="1671">
        <f t="shared" si="49"/>
        <v>0</v>
      </c>
      <c r="I413" s="688" t="s">
        <v>49</v>
      </c>
      <c r="J413" s="1668"/>
      <c r="K413" s="1668"/>
      <c r="L413" s="1669"/>
    </row>
    <row r="414" spans="1:12" s="692" customFormat="1" ht="16.5" hidden="1">
      <c r="A414" s="1670"/>
      <c r="B414" s="1666"/>
      <c r="C414" s="688"/>
      <c r="D414" s="1667"/>
      <c r="E414" s="1671">
        <v>3.5</v>
      </c>
      <c r="F414" s="1671">
        <v>4</v>
      </c>
      <c r="G414" s="1672">
        <v>0.15</v>
      </c>
      <c r="H414" s="1671">
        <f t="shared" si="49"/>
        <v>0</v>
      </c>
      <c r="I414" s="688" t="s">
        <v>49</v>
      </c>
      <c r="J414" s="1668"/>
      <c r="K414" s="1668"/>
      <c r="L414" s="1669"/>
    </row>
    <row r="415" spans="1:12" s="692" customFormat="1" ht="16.5" hidden="1">
      <c r="A415" s="1670"/>
      <c r="B415" s="1666"/>
      <c r="C415" s="688"/>
      <c r="D415" s="1667"/>
      <c r="E415" s="1671">
        <v>3.5</v>
      </c>
      <c r="F415" s="1671">
        <v>4</v>
      </c>
      <c r="G415" s="1672">
        <v>0.15</v>
      </c>
      <c r="H415" s="1671">
        <f t="shared" si="49"/>
        <v>0</v>
      </c>
      <c r="I415" s="688" t="s">
        <v>49</v>
      </c>
      <c r="J415" s="1668"/>
      <c r="K415" s="1668"/>
      <c r="L415" s="1669"/>
    </row>
    <row r="416" spans="1:12" s="692" customFormat="1" ht="16.5" hidden="1">
      <c r="A416" s="1670"/>
      <c r="B416" s="1666"/>
      <c r="C416" s="688"/>
      <c r="D416" s="1667"/>
      <c r="E416" s="1671">
        <v>3.5</v>
      </c>
      <c r="F416" s="1671">
        <v>4</v>
      </c>
      <c r="G416" s="1672">
        <v>0.15</v>
      </c>
      <c r="H416" s="1671">
        <f t="shared" si="49"/>
        <v>0</v>
      </c>
      <c r="I416" s="688" t="s">
        <v>49</v>
      </c>
      <c r="J416" s="1668"/>
      <c r="K416" s="1668"/>
      <c r="L416" s="1669"/>
    </row>
    <row r="417" spans="1:12" s="692" customFormat="1" ht="16.5" hidden="1">
      <c r="A417" s="1670"/>
      <c r="B417" s="1666"/>
      <c r="C417" s="688"/>
      <c r="D417" s="1667"/>
      <c r="E417" s="1671">
        <v>3.5</v>
      </c>
      <c r="F417" s="1671">
        <v>4</v>
      </c>
      <c r="G417" s="1672">
        <v>0.15</v>
      </c>
      <c r="H417" s="1671">
        <f t="shared" si="49"/>
        <v>0</v>
      </c>
      <c r="I417" s="688" t="s">
        <v>49</v>
      </c>
      <c r="J417" s="1668"/>
      <c r="K417" s="1668"/>
      <c r="L417" s="1669"/>
    </row>
    <row r="418" spans="1:12" s="692" customFormat="1" ht="16.5" hidden="1">
      <c r="A418" s="1670"/>
      <c r="B418" s="1666"/>
      <c r="C418" s="688"/>
      <c r="D418" s="1667"/>
      <c r="E418" s="688"/>
      <c r="F418" s="688"/>
      <c r="G418" s="1668" t="s">
        <v>928</v>
      </c>
      <c r="H418" s="1673">
        <f>SUM(H412:H417)</f>
        <v>0</v>
      </c>
      <c r="I418" s="1668" t="s">
        <v>49</v>
      </c>
      <c r="J418" s="1669">
        <f>'Lead &amp; ANALYSIS'!L331</f>
        <v>41.6</v>
      </c>
      <c r="K418" s="1668" t="s">
        <v>1514</v>
      </c>
      <c r="L418" s="1669">
        <f>ROUND(H418*J418,0)</f>
        <v>0</v>
      </c>
    </row>
    <row r="419" spans="1:12" s="692" customFormat="1" ht="16.5" hidden="1">
      <c r="A419" s="1670" t="s">
        <v>220</v>
      </c>
      <c r="B419" s="1666" t="s">
        <v>387</v>
      </c>
      <c r="C419" s="688"/>
      <c r="D419" s="1667"/>
      <c r="E419" s="688"/>
      <c r="F419" s="688"/>
      <c r="G419" s="1668"/>
      <c r="H419" s="1673"/>
      <c r="I419" s="1668"/>
      <c r="J419" s="1669"/>
      <c r="K419" s="1668"/>
      <c r="L419" s="1669"/>
    </row>
    <row r="420" spans="1:12" s="692" customFormat="1" ht="16.5" hidden="1">
      <c r="A420" s="1670"/>
      <c r="B420" s="1666"/>
      <c r="C420" s="688"/>
      <c r="D420" s="1667"/>
      <c r="E420" s="1671">
        <v>3.5</v>
      </c>
      <c r="F420" s="1671">
        <v>4</v>
      </c>
      <c r="G420" s="1672">
        <v>0.15</v>
      </c>
      <c r="H420" s="1671">
        <f t="shared" ref="H420:H425" si="50">ROUND(D420*E420*F420*G420,2)</f>
        <v>0</v>
      </c>
      <c r="I420" s="688" t="s">
        <v>49</v>
      </c>
      <c r="J420" s="1668"/>
      <c r="K420" s="1668"/>
      <c r="L420" s="1669"/>
    </row>
    <row r="421" spans="1:12" s="692" customFormat="1" ht="16.5" hidden="1">
      <c r="A421" s="1670"/>
      <c r="B421" s="1666"/>
      <c r="C421" s="688"/>
      <c r="D421" s="1667"/>
      <c r="E421" s="1671">
        <v>3.5</v>
      </c>
      <c r="F421" s="1671">
        <v>4</v>
      </c>
      <c r="G421" s="1672">
        <v>0.15</v>
      </c>
      <c r="H421" s="1671">
        <f t="shared" si="50"/>
        <v>0</v>
      </c>
      <c r="I421" s="688" t="s">
        <v>49</v>
      </c>
      <c r="J421" s="1668"/>
      <c r="K421" s="1668"/>
      <c r="L421" s="1669"/>
    </row>
    <row r="422" spans="1:12" s="692" customFormat="1" ht="16.5" hidden="1">
      <c r="A422" s="1670"/>
      <c r="B422" s="1666"/>
      <c r="C422" s="688"/>
      <c r="D422" s="1667"/>
      <c r="E422" s="1671">
        <v>3.5</v>
      </c>
      <c r="F422" s="1671">
        <v>4</v>
      </c>
      <c r="G422" s="1672">
        <v>0.15</v>
      </c>
      <c r="H422" s="1671">
        <f t="shared" si="50"/>
        <v>0</v>
      </c>
      <c r="I422" s="688" t="s">
        <v>49</v>
      </c>
      <c r="J422" s="1668"/>
      <c r="K422" s="1668"/>
      <c r="L422" s="1669"/>
    </row>
    <row r="423" spans="1:12" s="692" customFormat="1" ht="16.5" hidden="1">
      <c r="A423" s="1670"/>
      <c r="B423" s="1666"/>
      <c r="C423" s="688"/>
      <c r="D423" s="1667"/>
      <c r="E423" s="1671">
        <v>3.5</v>
      </c>
      <c r="F423" s="1671">
        <v>4</v>
      </c>
      <c r="G423" s="1672">
        <v>0.15</v>
      </c>
      <c r="H423" s="1671">
        <f t="shared" si="50"/>
        <v>0</v>
      </c>
      <c r="I423" s="688" t="s">
        <v>49</v>
      </c>
      <c r="J423" s="1668"/>
      <c r="K423" s="1668"/>
      <c r="L423" s="1669"/>
    </row>
    <row r="424" spans="1:12" s="692" customFormat="1" ht="16.5" hidden="1">
      <c r="A424" s="1670"/>
      <c r="B424" s="1666"/>
      <c r="C424" s="688"/>
      <c r="D424" s="1667"/>
      <c r="E424" s="1671">
        <v>3.5</v>
      </c>
      <c r="F424" s="1671">
        <v>4</v>
      </c>
      <c r="G424" s="1672">
        <v>0.15</v>
      </c>
      <c r="H424" s="1671">
        <f t="shared" si="50"/>
        <v>0</v>
      </c>
      <c r="I424" s="688" t="s">
        <v>49</v>
      </c>
      <c r="J424" s="1668"/>
      <c r="K424" s="1668"/>
      <c r="L424" s="1669"/>
    </row>
    <row r="425" spans="1:12" s="692" customFormat="1" ht="16.5" hidden="1">
      <c r="A425" s="1670"/>
      <c r="B425" s="1666"/>
      <c r="C425" s="688"/>
      <c r="D425" s="1667"/>
      <c r="E425" s="1671">
        <v>3.5</v>
      </c>
      <c r="F425" s="1671">
        <v>4</v>
      </c>
      <c r="G425" s="1672">
        <v>0.15</v>
      </c>
      <c r="H425" s="1671">
        <f t="shared" si="50"/>
        <v>0</v>
      </c>
      <c r="I425" s="688" t="s">
        <v>49</v>
      </c>
      <c r="J425" s="1668"/>
      <c r="K425" s="1668"/>
      <c r="L425" s="1669"/>
    </row>
    <row r="426" spans="1:12" s="692" customFormat="1" ht="16.5" hidden="1">
      <c r="A426" s="1670"/>
      <c r="B426" s="1666"/>
      <c r="C426" s="688"/>
      <c r="D426" s="1667"/>
      <c r="E426" s="688"/>
      <c r="F426" s="688"/>
      <c r="G426" s="1668" t="s">
        <v>928</v>
      </c>
      <c r="H426" s="1673">
        <f>SUM(H420:H425)</f>
        <v>0</v>
      </c>
      <c r="I426" s="1668" t="s">
        <v>49</v>
      </c>
      <c r="J426" s="1669">
        <f>'Lead &amp; ANALYSIS'!L332</f>
        <v>43.7</v>
      </c>
      <c r="K426" s="1668" t="s">
        <v>1514</v>
      </c>
      <c r="L426" s="1669">
        <f>ROUND(H426*J426,0)</f>
        <v>0</v>
      </c>
    </row>
    <row r="427" spans="1:12" s="692" customFormat="1" ht="16.5" hidden="1">
      <c r="A427" s="1670" t="s">
        <v>244</v>
      </c>
      <c r="B427" s="1666" t="s">
        <v>3613</v>
      </c>
      <c r="C427" s="688"/>
      <c r="D427" s="1667"/>
      <c r="E427" s="688"/>
      <c r="F427" s="688"/>
      <c r="G427" s="1668"/>
      <c r="H427" s="1673"/>
      <c r="I427" s="1668"/>
      <c r="J427" s="1669"/>
      <c r="K427" s="1668"/>
      <c r="L427" s="1669"/>
    </row>
    <row r="428" spans="1:12" s="692" customFormat="1" ht="16.5" hidden="1">
      <c r="A428" s="1670"/>
      <c r="B428" s="1666"/>
      <c r="C428" s="688"/>
      <c r="D428" s="1667"/>
      <c r="E428" s="1671">
        <v>3.5</v>
      </c>
      <c r="F428" s="1671">
        <v>4</v>
      </c>
      <c r="G428" s="1672">
        <v>0.15</v>
      </c>
      <c r="H428" s="1671">
        <f t="shared" ref="H428:H433" si="51">ROUND(D428*E428*F428*G428,2)</f>
        <v>0</v>
      </c>
      <c r="I428" s="688" t="s">
        <v>49</v>
      </c>
      <c r="J428" s="1668"/>
      <c r="K428" s="1668"/>
      <c r="L428" s="1669"/>
    </row>
    <row r="429" spans="1:12" s="692" customFormat="1" ht="16.5" hidden="1">
      <c r="A429" s="1670"/>
      <c r="B429" s="1666"/>
      <c r="C429" s="688"/>
      <c r="D429" s="1667"/>
      <c r="E429" s="1671">
        <v>3.5</v>
      </c>
      <c r="F429" s="1671">
        <v>4</v>
      </c>
      <c r="G429" s="1672">
        <v>0.15</v>
      </c>
      <c r="H429" s="1671">
        <f t="shared" si="51"/>
        <v>0</v>
      </c>
      <c r="I429" s="688" t="s">
        <v>49</v>
      </c>
      <c r="J429" s="1668"/>
      <c r="K429" s="1668"/>
      <c r="L429" s="1669"/>
    </row>
    <row r="430" spans="1:12" s="692" customFormat="1" ht="16.5" hidden="1">
      <c r="A430" s="1670"/>
      <c r="B430" s="1666"/>
      <c r="C430" s="688"/>
      <c r="D430" s="1667"/>
      <c r="E430" s="1671">
        <v>3.5</v>
      </c>
      <c r="F430" s="1671">
        <v>4</v>
      </c>
      <c r="G430" s="1672">
        <v>0.15</v>
      </c>
      <c r="H430" s="1671">
        <f t="shared" si="51"/>
        <v>0</v>
      </c>
      <c r="I430" s="688" t="s">
        <v>49</v>
      </c>
      <c r="J430" s="1668"/>
      <c r="K430" s="1668"/>
      <c r="L430" s="1669"/>
    </row>
    <row r="431" spans="1:12" s="692" customFormat="1" ht="16.5" hidden="1">
      <c r="A431" s="1670"/>
      <c r="B431" s="1666"/>
      <c r="C431" s="688"/>
      <c r="D431" s="1667"/>
      <c r="E431" s="1671">
        <v>3.5</v>
      </c>
      <c r="F431" s="1671">
        <v>4</v>
      </c>
      <c r="G431" s="1672">
        <v>0.15</v>
      </c>
      <c r="H431" s="1671">
        <f t="shared" si="51"/>
        <v>0</v>
      </c>
      <c r="I431" s="688" t="s">
        <v>49</v>
      </c>
      <c r="J431" s="1668"/>
      <c r="K431" s="1668"/>
      <c r="L431" s="1669"/>
    </row>
    <row r="432" spans="1:12" s="692" customFormat="1" ht="16.5" hidden="1">
      <c r="A432" s="1670"/>
      <c r="B432" s="1666"/>
      <c r="C432" s="688"/>
      <c r="D432" s="1667"/>
      <c r="E432" s="1671">
        <v>3.5</v>
      </c>
      <c r="F432" s="1671">
        <v>4</v>
      </c>
      <c r="G432" s="1672">
        <v>0.15</v>
      </c>
      <c r="H432" s="1671">
        <f t="shared" si="51"/>
        <v>0</v>
      </c>
      <c r="I432" s="688" t="s">
        <v>49</v>
      </c>
      <c r="J432" s="1668"/>
      <c r="K432" s="1668"/>
      <c r="L432" s="1669"/>
    </row>
    <row r="433" spans="1:12" s="692" customFormat="1" ht="16.5" hidden="1">
      <c r="A433" s="1670"/>
      <c r="B433" s="1666"/>
      <c r="C433" s="688"/>
      <c r="D433" s="1667"/>
      <c r="E433" s="1671">
        <v>3.5</v>
      </c>
      <c r="F433" s="1671">
        <v>4</v>
      </c>
      <c r="G433" s="1672">
        <v>0.15</v>
      </c>
      <c r="H433" s="1671">
        <f t="shared" si="51"/>
        <v>0</v>
      </c>
      <c r="I433" s="688" t="s">
        <v>49</v>
      </c>
      <c r="J433" s="1668"/>
      <c r="K433" s="1668"/>
      <c r="L433" s="1669"/>
    </row>
    <row r="434" spans="1:12" s="692" customFormat="1" ht="16.5" hidden="1">
      <c r="A434" s="1670"/>
      <c r="B434" s="1666"/>
      <c r="C434" s="688"/>
      <c r="D434" s="1667"/>
      <c r="E434" s="688"/>
      <c r="F434" s="688"/>
      <c r="G434" s="1668" t="s">
        <v>928</v>
      </c>
      <c r="H434" s="1673">
        <f>SUM(H428:H433)</f>
        <v>0</v>
      </c>
      <c r="I434" s="1668" t="s">
        <v>49</v>
      </c>
      <c r="J434" s="1669">
        <f>'Lead &amp; ANALYSIS'!L333</f>
        <v>45.8</v>
      </c>
      <c r="K434" s="1668" t="s">
        <v>1516</v>
      </c>
      <c r="L434" s="1669">
        <f>ROUND(H434*J434,0)</f>
        <v>0</v>
      </c>
    </row>
    <row r="435" spans="1:12" s="692" customFormat="1" ht="16.5" hidden="1">
      <c r="A435" s="1670" t="s">
        <v>291</v>
      </c>
      <c r="B435" s="1666" t="s">
        <v>3632</v>
      </c>
      <c r="C435" s="688"/>
      <c r="D435" s="1667"/>
      <c r="E435" s="688"/>
      <c r="F435" s="688"/>
      <c r="G435" s="1668"/>
      <c r="H435" s="1673"/>
      <c r="I435" s="1668"/>
      <c r="J435" s="1669"/>
      <c r="K435" s="1668"/>
      <c r="L435" s="1669"/>
    </row>
    <row r="436" spans="1:12" s="692" customFormat="1" ht="16.5" hidden="1">
      <c r="A436" s="1670"/>
      <c r="B436" s="1666"/>
      <c r="C436" s="688"/>
      <c r="D436" s="1667"/>
      <c r="E436" s="1671">
        <v>3.5</v>
      </c>
      <c r="F436" s="1671">
        <v>4</v>
      </c>
      <c r="G436" s="1672">
        <v>0.15</v>
      </c>
      <c r="H436" s="1671">
        <f t="shared" ref="H436:H441" si="52">ROUND(D436*E436*F436*G436,2)</f>
        <v>0</v>
      </c>
      <c r="I436" s="688" t="s">
        <v>49</v>
      </c>
      <c r="J436" s="1668"/>
      <c r="K436" s="1668"/>
      <c r="L436" s="1669"/>
    </row>
    <row r="437" spans="1:12" s="692" customFormat="1" ht="16.5" hidden="1">
      <c r="A437" s="1670"/>
      <c r="B437" s="1666"/>
      <c r="C437" s="688"/>
      <c r="D437" s="1667"/>
      <c r="E437" s="1671">
        <v>3.5</v>
      </c>
      <c r="F437" s="1671">
        <v>4</v>
      </c>
      <c r="G437" s="1672">
        <v>0.15</v>
      </c>
      <c r="H437" s="1671">
        <f t="shared" si="52"/>
        <v>0</v>
      </c>
      <c r="I437" s="688" t="s">
        <v>49</v>
      </c>
      <c r="J437" s="1668"/>
      <c r="K437" s="1668"/>
      <c r="L437" s="1669"/>
    </row>
    <row r="438" spans="1:12" s="692" customFormat="1" ht="16.5" hidden="1">
      <c r="A438" s="1670"/>
      <c r="B438" s="1666"/>
      <c r="C438" s="688"/>
      <c r="D438" s="1667"/>
      <c r="E438" s="1671">
        <v>3.5</v>
      </c>
      <c r="F438" s="1671">
        <v>4</v>
      </c>
      <c r="G438" s="1672">
        <v>0.15</v>
      </c>
      <c r="H438" s="1671">
        <f t="shared" si="52"/>
        <v>0</v>
      </c>
      <c r="I438" s="688" t="s">
        <v>49</v>
      </c>
      <c r="J438" s="1668"/>
      <c r="K438" s="1668"/>
      <c r="L438" s="1669"/>
    </row>
    <row r="439" spans="1:12" s="692" customFormat="1" ht="16.5" hidden="1">
      <c r="A439" s="1665"/>
      <c r="B439" s="1666"/>
      <c r="C439" s="688"/>
      <c r="D439" s="1667"/>
      <c r="E439" s="1671">
        <v>3.5</v>
      </c>
      <c r="F439" s="1671">
        <v>4</v>
      </c>
      <c r="G439" s="1672">
        <v>0.15</v>
      </c>
      <c r="H439" s="1671">
        <f t="shared" si="52"/>
        <v>0</v>
      </c>
      <c r="I439" s="688" t="s">
        <v>49</v>
      </c>
      <c r="J439" s="1668"/>
      <c r="K439" s="1668"/>
      <c r="L439" s="1669"/>
    </row>
    <row r="440" spans="1:12" s="692" customFormat="1" ht="16.5" hidden="1">
      <c r="A440" s="1665"/>
      <c r="B440" s="1666"/>
      <c r="C440" s="688"/>
      <c r="D440" s="1667"/>
      <c r="E440" s="1671">
        <v>3.5</v>
      </c>
      <c r="F440" s="1671">
        <v>4</v>
      </c>
      <c r="G440" s="1672">
        <v>0.15</v>
      </c>
      <c r="H440" s="1671">
        <f t="shared" si="52"/>
        <v>0</v>
      </c>
      <c r="I440" s="688" t="s">
        <v>49</v>
      </c>
      <c r="J440" s="1668"/>
      <c r="K440" s="1668"/>
      <c r="L440" s="1669"/>
    </row>
    <row r="441" spans="1:12" s="692" customFormat="1" ht="16.5" hidden="1">
      <c r="A441" s="1665"/>
      <c r="B441" s="1666"/>
      <c r="C441" s="688"/>
      <c r="D441" s="1667"/>
      <c r="E441" s="1671">
        <v>3.5</v>
      </c>
      <c r="F441" s="1671">
        <v>4</v>
      </c>
      <c r="G441" s="1672">
        <v>0.15</v>
      </c>
      <c r="H441" s="1671">
        <f t="shared" si="52"/>
        <v>0</v>
      </c>
      <c r="I441" s="688" t="s">
        <v>49</v>
      </c>
      <c r="J441" s="1668"/>
      <c r="K441" s="1668"/>
      <c r="L441" s="1669"/>
    </row>
    <row r="442" spans="1:12" s="692" customFormat="1" ht="16.5" hidden="1">
      <c r="A442" s="1665"/>
      <c r="B442" s="1666"/>
      <c r="C442" s="688"/>
      <c r="D442" s="1667"/>
      <c r="E442" s="688"/>
      <c r="F442" s="688"/>
      <c r="G442" s="1668" t="s">
        <v>928</v>
      </c>
      <c r="H442" s="1673">
        <f>SUM(H436:H441)</f>
        <v>0</v>
      </c>
      <c r="I442" s="1668" t="s">
        <v>49</v>
      </c>
      <c r="J442" s="1669">
        <f>'Lead &amp; ANALYSIS'!L334</f>
        <v>48.1</v>
      </c>
      <c r="K442" s="1668" t="s">
        <v>1516</v>
      </c>
      <c r="L442" s="1669">
        <f>ROUND(H442*J442,0)</f>
        <v>0</v>
      </c>
    </row>
    <row r="443" spans="1:12" s="692" customFormat="1" ht="66" hidden="1">
      <c r="A443" s="1665">
        <f>'Lead &amp; ANALYSIS'!A335</f>
        <v>14</v>
      </c>
      <c r="B443" s="1666" t="str">
        <f>'Lead &amp; ANALYSIS'!B335</f>
        <v>Dismantling &amp; Removing old tile flooring including stacking the useful materials for reuse and removing the debris within 50m lead  with  cost  of  all labour etc. complete.</v>
      </c>
      <c r="C443" s="688"/>
      <c r="D443" s="1667"/>
      <c r="E443" s="688"/>
      <c r="F443" s="688"/>
      <c r="G443" s="1674"/>
      <c r="H443" s="688"/>
      <c r="I443" s="1668"/>
      <c r="J443" s="1668"/>
      <c r="K443" s="1668"/>
      <c r="L443" s="1669"/>
    </row>
    <row r="444" spans="1:12" s="692" customFormat="1" ht="16.5" hidden="1">
      <c r="A444" s="1670" t="s">
        <v>201</v>
      </c>
      <c r="B444" s="1666" t="s">
        <v>384</v>
      </c>
      <c r="C444" s="688"/>
      <c r="D444" s="1667"/>
      <c r="E444" s="688"/>
      <c r="F444" s="688"/>
      <c r="G444" s="688"/>
      <c r="H444" s="688"/>
      <c r="I444" s="1668"/>
      <c r="J444" s="1668"/>
      <c r="K444" s="1668"/>
      <c r="L444" s="1669"/>
    </row>
    <row r="445" spans="1:12" s="692" customFormat="1" ht="16.5" hidden="1">
      <c r="A445" s="1670"/>
      <c r="B445" s="1666"/>
      <c r="C445" s="688"/>
      <c r="D445" s="1667"/>
      <c r="E445" s="1671">
        <v>3.5</v>
      </c>
      <c r="F445" s="1671">
        <v>4</v>
      </c>
      <c r="G445" s="1672">
        <v>0.15</v>
      </c>
      <c r="H445" s="1671">
        <f t="shared" ref="H445:H450" si="53">ROUND(D445*E445*F445*G445,2)</f>
        <v>0</v>
      </c>
      <c r="I445" s="688" t="s">
        <v>49</v>
      </c>
      <c r="J445" s="1668"/>
      <c r="K445" s="1668"/>
      <c r="L445" s="1669"/>
    </row>
    <row r="446" spans="1:12" s="692" customFormat="1" ht="16.5" hidden="1">
      <c r="A446" s="1670"/>
      <c r="B446" s="1666"/>
      <c r="C446" s="688"/>
      <c r="D446" s="1667"/>
      <c r="E446" s="1671">
        <v>3.5</v>
      </c>
      <c r="F446" s="1671">
        <v>4</v>
      </c>
      <c r="G446" s="1672">
        <v>0.15</v>
      </c>
      <c r="H446" s="1671">
        <f t="shared" si="53"/>
        <v>0</v>
      </c>
      <c r="I446" s="688" t="s">
        <v>49</v>
      </c>
      <c r="J446" s="1668"/>
      <c r="K446" s="1668"/>
      <c r="L446" s="1669"/>
    </row>
    <row r="447" spans="1:12" s="692" customFormat="1" ht="16.5" hidden="1">
      <c r="A447" s="1670"/>
      <c r="B447" s="1666"/>
      <c r="C447" s="688"/>
      <c r="D447" s="1667"/>
      <c r="E447" s="1671">
        <v>3.5</v>
      </c>
      <c r="F447" s="1671">
        <v>4</v>
      </c>
      <c r="G447" s="1672">
        <v>0.15</v>
      </c>
      <c r="H447" s="1671">
        <f t="shared" si="53"/>
        <v>0</v>
      </c>
      <c r="I447" s="688" t="s">
        <v>49</v>
      </c>
      <c r="J447" s="1668"/>
      <c r="K447" s="1668"/>
      <c r="L447" s="1669"/>
    </row>
    <row r="448" spans="1:12" s="692" customFormat="1" ht="16.5" hidden="1">
      <c r="A448" s="1670"/>
      <c r="B448" s="1666"/>
      <c r="C448" s="688"/>
      <c r="D448" s="1667"/>
      <c r="E448" s="1671">
        <v>3.5</v>
      </c>
      <c r="F448" s="1671">
        <v>4</v>
      </c>
      <c r="G448" s="1672">
        <v>0.15</v>
      </c>
      <c r="H448" s="1671">
        <f t="shared" si="53"/>
        <v>0</v>
      </c>
      <c r="I448" s="688" t="s">
        <v>49</v>
      </c>
      <c r="J448" s="1668"/>
      <c r="K448" s="1668"/>
      <c r="L448" s="1669"/>
    </row>
    <row r="449" spans="1:12" s="692" customFormat="1" ht="16.5" hidden="1">
      <c r="A449" s="1670"/>
      <c r="B449" s="1666"/>
      <c r="C449" s="688"/>
      <c r="D449" s="1667"/>
      <c r="E449" s="1671">
        <v>3.5</v>
      </c>
      <c r="F449" s="1671">
        <v>4</v>
      </c>
      <c r="G449" s="1672">
        <v>0.15</v>
      </c>
      <c r="H449" s="1671">
        <f t="shared" si="53"/>
        <v>0</v>
      </c>
      <c r="I449" s="688" t="s">
        <v>49</v>
      </c>
      <c r="J449" s="1668"/>
      <c r="K449" s="1668"/>
      <c r="L449" s="1669"/>
    </row>
    <row r="450" spans="1:12" s="692" customFormat="1" ht="16.5" hidden="1">
      <c r="A450" s="1670"/>
      <c r="B450" s="1666"/>
      <c r="C450" s="688"/>
      <c r="D450" s="1667"/>
      <c r="E450" s="1671">
        <v>3.5</v>
      </c>
      <c r="F450" s="1671">
        <v>4</v>
      </c>
      <c r="G450" s="1672">
        <v>0.15</v>
      </c>
      <c r="H450" s="1671">
        <f t="shared" si="53"/>
        <v>0</v>
      </c>
      <c r="I450" s="688" t="s">
        <v>49</v>
      </c>
      <c r="J450" s="1668"/>
      <c r="K450" s="1668"/>
      <c r="L450" s="1669"/>
    </row>
    <row r="451" spans="1:12" s="692" customFormat="1" ht="16.5" hidden="1">
      <c r="A451" s="1670"/>
      <c r="B451" s="1666"/>
      <c r="C451" s="688"/>
      <c r="D451" s="1667"/>
      <c r="E451" s="688"/>
      <c r="F451" s="688"/>
      <c r="G451" s="1668" t="s">
        <v>928</v>
      </c>
      <c r="H451" s="1673">
        <f>SUM(H445:H450)</f>
        <v>0</v>
      </c>
      <c r="I451" s="1668" t="s">
        <v>49</v>
      </c>
      <c r="J451" s="1669">
        <f>'Lead &amp; ANALYSIS'!L336</f>
        <v>94.6</v>
      </c>
      <c r="K451" s="1668" t="s">
        <v>1514</v>
      </c>
      <c r="L451" s="1669">
        <f>ROUND(H451*J451,0)</f>
        <v>0</v>
      </c>
    </row>
    <row r="452" spans="1:12" s="692" customFormat="1" ht="16.5" hidden="1">
      <c r="A452" s="1670" t="s">
        <v>220</v>
      </c>
      <c r="B452" s="1666" t="s">
        <v>387</v>
      </c>
      <c r="C452" s="688"/>
      <c r="D452" s="1667"/>
      <c r="E452" s="688"/>
      <c r="F452" s="688"/>
      <c r="G452" s="1668"/>
      <c r="H452" s="1673"/>
      <c r="I452" s="1668"/>
      <c r="J452" s="1669"/>
      <c r="K452" s="1668"/>
      <c r="L452" s="1669"/>
    </row>
    <row r="453" spans="1:12" s="692" customFormat="1" ht="16.5" hidden="1">
      <c r="A453" s="1670"/>
      <c r="B453" s="1666"/>
      <c r="C453" s="688"/>
      <c r="D453" s="1667"/>
      <c r="E453" s="1671">
        <v>3.5</v>
      </c>
      <c r="F453" s="1671">
        <v>4</v>
      </c>
      <c r="G453" s="1672">
        <v>0.15</v>
      </c>
      <c r="H453" s="1671">
        <f t="shared" ref="H453:H458" si="54">ROUND(D453*E453*F453*G453,2)</f>
        <v>0</v>
      </c>
      <c r="I453" s="688" t="s">
        <v>49</v>
      </c>
      <c r="J453" s="1668"/>
      <c r="K453" s="1668"/>
      <c r="L453" s="1669"/>
    </row>
    <row r="454" spans="1:12" s="692" customFormat="1" ht="16.5" hidden="1">
      <c r="A454" s="1670"/>
      <c r="B454" s="1666"/>
      <c r="C454" s="688"/>
      <c r="D454" s="1667"/>
      <c r="E454" s="1671">
        <v>3.5</v>
      </c>
      <c r="F454" s="1671">
        <v>4</v>
      </c>
      <c r="G454" s="1672">
        <v>0.15</v>
      </c>
      <c r="H454" s="1671">
        <f t="shared" si="54"/>
        <v>0</v>
      </c>
      <c r="I454" s="688" t="s">
        <v>49</v>
      </c>
      <c r="J454" s="1668"/>
      <c r="K454" s="1668"/>
      <c r="L454" s="1669"/>
    </row>
    <row r="455" spans="1:12" s="692" customFormat="1" ht="16.5" hidden="1">
      <c r="A455" s="1670"/>
      <c r="B455" s="1666"/>
      <c r="C455" s="688"/>
      <c r="D455" s="1667"/>
      <c r="E455" s="1671">
        <v>3.5</v>
      </c>
      <c r="F455" s="1671">
        <v>4</v>
      </c>
      <c r="G455" s="1672">
        <v>0.15</v>
      </c>
      <c r="H455" s="1671">
        <f t="shared" si="54"/>
        <v>0</v>
      </c>
      <c r="I455" s="688" t="s">
        <v>49</v>
      </c>
      <c r="J455" s="1668"/>
      <c r="K455" s="1668"/>
      <c r="L455" s="1669"/>
    </row>
    <row r="456" spans="1:12" s="692" customFormat="1" ht="16.5" hidden="1">
      <c r="A456" s="1670"/>
      <c r="B456" s="1666"/>
      <c r="C456" s="688"/>
      <c r="D456" s="1667"/>
      <c r="E456" s="1671">
        <v>3.5</v>
      </c>
      <c r="F456" s="1671">
        <v>4</v>
      </c>
      <c r="G456" s="1672">
        <v>0.15</v>
      </c>
      <c r="H456" s="1671">
        <f t="shared" si="54"/>
        <v>0</v>
      </c>
      <c r="I456" s="688" t="s">
        <v>49</v>
      </c>
      <c r="J456" s="1668"/>
      <c r="K456" s="1668"/>
      <c r="L456" s="1669"/>
    </row>
    <row r="457" spans="1:12" s="692" customFormat="1" ht="16.5" hidden="1">
      <c r="A457" s="1670"/>
      <c r="B457" s="1666"/>
      <c r="C457" s="688"/>
      <c r="D457" s="1667"/>
      <c r="E457" s="1671">
        <v>3.5</v>
      </c>
      <c r="F457" s="1671">
        <v>4</v>
      </c>
      <c r="G457" s="1672">
        <v>0.15</v>
      </c>
      <c r="H457" s="1671">
        <f t="shared" si="54"/>
        <v>0</v>
      </c>
      <c r="I457" s="688" t="s">
        <v>49</v>
      </c>
      <c r="J457" s="1668"/>
      <c r="K457" s="1668"/>
      <c r="L457" s="1669"/>
    </row>
    <row r="458" spans="1:12" s="692" customFormat="1" ht="16.5" hidden="1">
      <c r="A458" s="1670"/>
      <c r="B458" s="1666"/>
      <c r="C458" s="688"/>
      <c r="D458" s="1667"/>
      <c r="E458" s="1671">
        <v>3.5</v>
      </c>
      <c r="F458" s="1671">
        <v>4</v>
      </c>
      <c r="G458" s="1672">
        <v>0.15</v>
      </c>
      <c r="H458" s="1671">
        <f t="shared" si="54"/>
        <v>0</v>
      </c>
      <c r="I458" s="688" t="s">
        <v>49</v>
      </c>
      <c r="J458" s="1668"/>
      <c r="K458" s="1668"/>
      <c r="L458" s="1669"/>
    </row>
    <row r="459" spans="1:12" s="692" customFormat="1" ht="16.5" hidden="1">
      <c r="A459" s="1670"/>
      <c r="B459" s="1666"/>
      <c r="C459" s="688"/>
      <c r="D459" s="1667"/>
      <c r="E459" s="688"/>
      <c r="F459" s="688"/>
      <c r="G459" s="1668" t="s">
        <v>928</v>
      </c>
      <c r="H459" s="1673">
        <f>SUM(H453:H458)</f>
        <v>0</v>
      </c>
      <c r="I459" s="1668" t="s">
        <v>49</v>
      </c>
      <c r="J459" s="1669">
        <f>'Lead &amp; ANALYSIS'!L337</f>
        <v>99.2</v>
      </c>
      <c r="K459" s="1668" t="s">
        <v>1514</v>
      </c>
      <c r="L459" s="1669">
        <f>ROUND(H459*J459,0)</f>
        <v>0</v>
      </c>
    </row>
    <row r="460" spans="1:12" s="692" customFormat="1" ht="16.5" hidden="1">
      <c r="A460" s="1670" t="s">
        <v>244</v>
      </c>
      <c r="B460" s="1666" t="s">
        <v>3613</v>
      </c>
      <c r="C460" s="688"/>
      <c r="D460" s="1667"/>
      <c r="E460" s="688"/>
      <c r="F460" s="688"/>
      <c r="G460" s="1668"/>
      <c r="H460" s="1673"/>
      <c r="I460" s="1668"/>
      <c r="J460" s="1669"/>
      <c r="K460" s="1668"/>
      <c r="L460" s="1669"/>
    </row>
    <row r="461" spans="1:12" s="692" customFormat="1" ht="16.5" hidden="1">
      <c r="A461" s="1670"/>
      <c r="B461" s="1666"/>
      <c r="C461" s="688"/>
      <c r="D461" s="1667"/>
      <c r="E461" s="1671">
        <v>3.5</v>
      </c>
      <c r="F461" s="1671">
        <v>4</v>
      </c>
      <c r="G461" s="1672">
        <v>0.15</v>
      </c>
      <c r="H461" s="1671">
        <f t="shared" ref="H461:H466" si="55">ROUND(D461*E461*F461*G461,2)</f>
        <v>0</v>
      </c>
      <c r="I461" s="688" t="s">
        <v>49</v>
      </c>
      <c r="J461" s="1668"/>
      <c r="K461" s="1668"/>
      <c r="L461" s="1669"/>
    </row>
    <row r="462" spans="1:12" s="692" customFormat="1" ht="16.5" hidden="1">
      <c r="A462" s="1670"/>
      <c r="B462" s="1666"/>
      <c r="C462" s="688"/>
      <c r="D462" s="1667"/>
      <c r="E462" s="1671">
        <v>3.5</v>
      </c>
      <c r="F462" s="1671">
        <v>4</v>
      </c>
      <c r="G462" s="1672">
        <v>0.15</v>
      </c>
      <c r="H462" s="1671">
        <f t="shared" si="55"/>
        <v>0</v>
      </c>
      <c r="I462" s="688" t="s">
        <v>49</v>
      </c>
      <c r="J462" s="1668"/>
      <c r="K462" s="1668"/>
      <c r="L462" s="1669"/>
    </row>
    <row r="463" spans="1:12" s="692" customFormat="1" ht="16.5" hidden="1">
      <c r="A463" s="1670"/>
      <c r="B463" s="1666"/>
      <c r="C463" s="688"/>
      <c r="D463" s="1667"/>
      <c r="E463" s="1671">
        <v>3.5</v>
      </c>
      <c r="F463" s="1671">
        <v>4</v>
      </c>
      <c r="G463" s="1672">
        <v>0.15</v>
      </c>
      <c r="H463" s="1671">
        <f t="shared" si="55"/>
        <v>0</v>
      </c>
      <c r="I463" s="688" t="s">
        <v>49</v>
      </c>
      <c r="J463" s="1668"/>
      <c r="K463" s="1668"/>
      <c r="L463" s="1669"/>
    </row>
    <row r="464" spans="1:12" s="692" customFormat="1" ht="16.5" hidden="1">
      <c r="A464" s="1670"/>
      <c r="B464" s="1666"/>
      <c r="C464" s="688"/>
      <c r="D464" s="1667"/>
      <c r="E464" s="1671">
        <v>3.5</v>
      </c>
      <c r="F464" s="1671">
        <v>4</v>
      </c>
      <c r="G464" s="1672">
        <v>0.15</v>
      </c>
      <c r="H464" s="1671">
        <f t="shared" si="55"/>
        <v>0</v>
      </c>
      <c r="I464" s="688" t="s">
        <v>49</v>
      </c>
      <c r="J464" s="1668"/>
      <c r="K464" s="1668"/>
      <c r="L464" s="1669"/>
    </row>
    <row r="465" spans="1:12" s="692" customFormat="1" ht="16.5" hidden="1">
      <c r="A465" s="1670"/>
      <c r="B465" s="1666"/>
      <c r="C465" s="688"/>
      <c r="D465" s="1667"/>
      <c r="E465" s="1671">
        <v>3.5</v>
      </c>
      <c r="F465" s="1671">
        <v>4</v>
      </c>
      <c r="G465" s="1672">
        <v>0.15</v>
      </c>
      <c r="H465" s="1671">
        <f t="shared" si="55"/>
        <v>0</v>
      </c>
      <c r="I465" s="688" t="s">
        <v>49</v>
      </c>
      <c r="J465" s="1668"/>
      <c r="K465" s="1668"/>
      <c r="L465" s="1669"/>
    </row>
    <row r="466" spans="1:12" s="692" customFormat="1" ht="16.5" hidden="1">
      <c r="A466" s="1670"/>
      <c r="B466" s="1666"/>
      <c r="C466" s="688"/>
      <c r="D466" s="1667"/>
      <c r="E466" s="1671">
        <v>3.5</v>
      </c>
      <c r="F466" s="1671">
        <v>4</v>
      </c>
      <c r="G466" s="1672">
        <v>0.15</v>
      </c>
      <c r="H466" s="1671">
        <f t="shared" si="55"/>
        <v>0</v>
      </c>
      <c r="I466" s="688" t="s">
        <v>49</v>
      </c>
      <c r="J466" s="1668"/>
      <c r="K466" s="1668"/>
      <c r="L466" s="1669"/>
    </row>
    <row r="467" spans="1:12" s="692" customFormat="1" ht="16.5" hidden="1">
      <c r="A467" s="1670"/>
      <c r="B467" s="1666"/>
      <c r="C467" s="688"/>
      <c r="D467" s="1667"/>
      <c r="E467" s="688"/>
      <c r="F467" s="688"/>
      <c r="G467" s="1668" t="s">
        <v>928</v>
      </c>
      <c r="H467" s="1673">
        <f>SUM(H461:H466)</f>
        <v>0</v>
      </c>
      <c r="I467" s="1668" t="s">
        <v>49</v>
      </c>
      <c r="J467" s="1669">
        <f>'Lead &amp; ANALYSIS'!L338</f>
        <v>104.1</v>
      </c>
      <c r="K467" s="1668" t="s">
        <v>1516</v>
      </c>
      <c r="L467" s="1669">
        <f>ROUND(H467*J467,0)</f>
        <v>0</v>
      </c>
    </row>
    <row r="468" spans="1:12" s="692" customFormat="1" ht="16.5" hidden="1">
      <c r="A468" s="1670" t="s">
        <v>291</v>
      </c>
      <c r="B468" s="1666" t="s">
        <v>3632</v>
      </c>
      <c r="C468" s="688"/>
      <c r="D468" s="1667"/>
      <c r="E468" s="688"/>
      <c r="F468" s="688"/>
      <c r="G468" s="1668"/>
      <c r="H468" s="1673"/>
      <c r="I468" s="1668"/>
      <c r="J468" s="1669"/>
      <c r="K468" s="1668"/>
      <c r="L468" s="1669"/>
    </row>
    <row r="469" spans="1:12" s="692" customFormat="1" ht="16.5" hidden="1">
      <c r="A469" s="1665"/>
      <c r="B469" s="1666"/>
      <c r="C469" s="688"/>
      <c r="D469" s="1667"/>
      <c r="E469" s="1671">
        <v>3.5</v>
      </c>
      <c r="F469" s="1671">
        <v>4</v>
      </c>
      <c r="G469" s="1672">
        <v>0.15</v>
      </c>
      <c r="H469" s="1671">
        <f t="shared" ref="H469:H474" si="56">ROUND(D469*E469*F469*G469,2)</f>
        <v>0</v>
      </c>
      <c r="I469" s="688" t="s">
        <v>49</v>
      </c>
      <c r="J469" s="1668"/>
      <c r="K469" s="1668"/>
      <c r="L469" s="1669"/>
    </row>
    <row r="470" spans="1:12" s="692" customFormat="1" ht="16.5" hidden="1">
      <c r="A470" s="1665"/>
      <c r="B470" s="1666"/>
      <c r="C470" s="688"/>
      <c r="D470" s="1667"/>
      <c r="E470" s="1671">
        <v>3.5</v>
      </c>
      <c r="F470" s="1671">
        <v>4</v>
      </c>
      <c r="G470" s="1672">
        <v>0.15</v>
      </c>
      <c r="H470" s="1671">
        <f t="shared" si="56"/>
        <v>0</v>
      </c>
      <c r="I470" s="688" t="s">
        <v>49</v>
      </c>
      <c r="J470" s="1668"/>
      <c r="K470" s="1668"/>
      <c r="L470" s="1669"/>
    </row>
    <row r="471" spans="1:12" s="692" customFormat="1" ht="16.5" hidden="1">
      <c r="A471" s="1665"/>
      <c r="B471" s="1666"/>
      <c r="C471" s="688"/>
      <c r="D471" s="1667"/>
      <c r="E471" s="1671">
        <v>3.5</v>
      </c>
      <c r="F471" s="1671">
        <v>4</v>
      </c>
      <c r="G471" s="1672">
        <v>0.15</v>
      </c>
      <c r="H471" s="1671">
        <f t="shared" si="56"/>
        <v>0</v>
      </c>
      <c r="I471" s="688" t="s">
        <v>49</v>
      </c>
      <c r="J471" s="1668"/>
      <c r="K471" s="1668"/>
      <c r="L471" s="1669"/>
    </row>
    <row r="472" spans="1:12" s="692" customFormat="1" ht="16.5" hidden="1">
      <c r="A472" s="1665"/>
      <c r="B472" s="1666"/>
      <c r="C472" s="688"/>
      <c r="D472" s="1667"/>
      <c r="E472" s="1671">
        <v>3.5</v>
      </c>
      <c r="F472" s="1671">
        <v>4</v>
      </c>
      <c r="G472" s="1672">
        <v>0.15</v>
      </c>
      <c r="H472" s="1671">
        <f t="shared" si="56"/>
        <v>0</v>
      </c>
      <c r="I472" s="688" t="s">
        <v>49</v>
      </c>
      <c r="J472" s="1668"/>
      <c r="K472" s="1668"/>
      <c r="L472" s="1669"/>
    </row>
    <row r="473" spans="1:12" s="692" customFormat="1" ht="16.5" hidden="1">
      <c r="A473" s="1665"/>
      <c r="B473" s="1666"/>
      <c r="C473" s="688"/>
      <c r="D473" s="1667"/>
      <c r="E473" s="1671">
        <v>3.5</v>
      </c>
      <c r="F473" s="1671">
        <v>4</v>
      </c>
      <c r="G473" s="1672">
        <v>0.15</v>
      </c>
      <c r="H473" s="1671">
        <f t="shared" si="56"/>
        <v>0</v>
      </c>
      <c r="I473" s="688" t="s">
        <v>49</v>
      </c>
      <c r="J473" s="1668"/>
      <c r="K473" s="1668"/>
      <c r="L473" s="1669"/>
    </row>
    <row r="474" spans="1:12" s="692" customFormat="1" ht="16.5" hidden="1">
      <c r="A474" s="1665"/>
      <c r="B474" s="1666"/>
      <c r="C474" s="688"/>
      <c r="D474" s="1667"/>
      <c r="E474" s="1671">
        <v>3.5</v>
      </c>
      <c r="F474" s="1671">
        <v>4</v>
      </c>
      <c r="G474" s="1672">
        <v>0.15</v>
      </c>
      <c r="H474" s="1671">
        <f t="shared" si="56"/>
        <v>0</v>
      </c>
      <c r="I474" s="688" t="s">
        <v>49</v>
      </c>
      <c r="J474" s="1668"/>
      <c r="K474" s="1668"/>
      <c r="L474" s="1669"/>
    </row>
    <row r="475" spans="1:12" s="692" customFormat="1" ht="16.5" hidden="1">
      <c r="A475" s="1665"/>
      <c r="B475" s="1666"/>
      <c r="C475" s="688"/>
      <c r="D475" s="1667"/>
      <c r="E475" s="688"/>
      <c r="F475" s="688"/>
      <c r="G475" s="1668" t="s">
        <v>928</v>
      </c>
      <c r="H475" s="1673">
        <f>SUM(H469:H474)</f>
        <v>0</v>
      </c>
      <c r="I475" s="1668" t="s">
        <v>49</v>
      </c>
      <c r="J475" s="1669">
        <f>'Lead &amp; ANALYSIS'!L339</f>
        <v>109.2</v>
      </c>
      <c r="K475" s="1668" t="s">
        <v>1516</v>
      </c>
      <c r="L475" s="1669">
        <f>ROUND(H475*J475,0)</f>
        <v>0</v>
      </c>
    </row>
    <row r="476" spans="1:12" s="692" customFormat="1" ht="47.45" hidden="1" customHeight="1">
      <c r="A476" s="1665">
        <f>'Lead &amp; ANALYSIS'!A340</f>
        <v>15</v>
      </c>
      <c r="B476" s="1666" t="str">
        <f>'Lead &amp; ANALYSIS'!B340</f>
        <v>Dismantling &amp; Removing old tile cladding from walls including stacking the useful materials for reuse and removing the debris within 50m lead  with  cost  of  all labour etc. complete.</v>
      </c>
      <c r="C476" s="688"/>
      <c r="D476" s="1667"/>
      <c r="E476" s="688"/>
      <c r="F476" s="688"/>
      <c r="G476" s="1674"/>
      <c r="H476" s="688"/>
      <c r="I476" s="1668"/>
      <c r="J476" s="1668"/>
      <c r="K476" s="1668"/>
      <c r="L476" s="1669"/>
    </row>
    <row r="477" spans="1:12" s="692" customFormat="1" ht="16.5" hidden="1">
      <c r="A477" s="1670" t="s">
        <v>201</v>
      </c>
      <c r="B477" s="1666" t="s">
        <v>384</v>
      </c>
      <c r="C477" s="688"/>
      <c r="D477" s="1667"/>
      <c r="E477" s="688"/>
      <c r="F477" s="688"/>
      <c r="G477" s="688"/>
      <c r="H477" s="688"/>
      <c r="I477" s="1668"/>
      <c r="J477" s="1668"/>
      <c r="K477" s="1668"/>
      <c r="L477" s="1669"/>
    </row>
    <row r="478" spans="1:12" s="692" customFormat="1" ht="16.5" hidden="1">
      <c r="A478" s="1670"/>
      <c r="B478" s="1666"/>
      <c r="C478" s="688"/>
      <c r="D478" s="1667"/>
      <c r="E478" s="1671">
        <v>3.5</v>
      </c>
      <c r="F478" s="1671">
        <v>4</v>
      </c>
      <c r="G478" s="1672">
        <v>0.15</v>
      </c>
      <c r="H478" s="1671">
        <f t="shared" ref="H478:H483" si="57">ROUND(D478*E478*F478*G478,2)</f>
        <v>0</v>
      </c>
      <c r="I478" s="688" t="s">
        <v>49</v>
      </c>
      <c r="J478" s="1668"/>
      <c r="K478" s="1668"/>
      <c r="L478" s="1669"/>
    </row>
    <row r="479" spans="1:12" s="692" customFormat="1" ht="16.5" hidden="1">
      <c r="A479" s="1670"/>
      <c r="B479" s="1666"/>
      <c r="C479" s="688"/>
      <c r="D479" s="1667"/>
      <c r="E479" s="1671">
        <v>3.5</v>
      </c>
      <c r="F479" s="1671">
        <v>4</v>
      </c>
      <c r="G479" s="1672">
        <v>0.15</v>
      </c>
      <c r="H479" s="1671">
        <f t="shared" si="57"/>
        <v>0</v>
      </c>
      <c r="I479" s="688" t="s">
        <v>49</v>
      </c>
      <c r="J479" s="1668"/>
      <c r="K479" s="1668"/>
      <c r="L479" s="1669"/>
    </row>
    <row r="480" spans="1:12" s="692" customFormat="1" ht="16.5" hidden="1">
      <c r="A480" s="1670"/>
      <c r="B480" s="1666"/>
      <c r="C480" s="688"/>
      <c r="D480" s="1667"/>
      <c r="E480" s="1671">
        <v>3.5</v>
      </c>
      <c r="F480" s="1671">
        <v>4</v>
      </c>
      <c r="G480" s="1672">
        <v>0.15</v>
      </c>
      <c r="H480" s="1671">
        <f t="shared" si="57"/>
        <v>0</v>
      </c>
      <c r="I480" s="688" t="s">
        <v>49</v>
      </c>
      <c r="J480" s="1668"/>
      <c r="K480" s="1668"/>
      <c r="L480" s="1669"/>
    </row>
    <row r="481" spans="1:12" s="692" customFormat="1" ht="16.5" hidden="1">
      <c r="A481" s="1670"/>
      <c r="B481" s="1666"/>
      <c r="C481" s="688"/>
      <c r="D481" s="1667"/>
      <c r="E481" s="1671">
        <v>3.5</v>
      </c>
      <c r="F481" s="1671">
        <v>4</v>
      </c>
      <c r="G481" s="1672">
        <v>0.15</v>
      </c>
      <c r="H481" s="1671">
        <f t="shared" si="57"/>
        <v>0</v>
      </c>
      <c r="I481" s="688" t="s">
        <v>49</v>
      </c>
      <c r="J481" s="1668"/>
      <c r="K481" s="1668"/>
      <c r="L481" s="1669"/>
    </row>
    <row r="482" spans="1:12" s="692" customFormat="1" ht="16.5" hidden="1">
      <c r="A482" s="1670"/>
      <c r="B482" s="1666"/>
      <c r="C482" s="688"/>
      <c r="D482" s="1667"/>
      <c r="E482" s="1671">
        <v>3.5</v>
      </c>
      <c r="F482" s="1671">
        <v>4</v>
      </c>
      <c r="G482" s="1672">
        <v>0.15</v>
      </c>
      <c r="H482" s="1671">
        <f t="shared" si="57"/>
        <v>0</v>
      </c>
      <c r="I482" s="688" t="s">
        <v>49</v>
      </c>
      <c r="J482" s="1668"/>
      <c r="K482" s="1668"/>
      <c r="L482" s="1669"/>
    </row>
    <row r="483" spans="1:12" s="692" customFormat="1" ht="16.5" hidden="1">
      <c r="A483" s="1670"/>
      <c r="B483" s="1666"/>
      <c r="C483" s="688"/>
      <c r="D483" s="1667"/>
      <c r="E483" s="1671">
        <v>3.5</v>
      </c>
      <c r="F483" s="1671">
        <v>4</v>
      </c>
      <c r="G483" s="1672">
        <v>0.15</v>
      </c>
      <c r="H483" s="1671">
        <f t="shared" si="57"/>
        <v>0</v>
      </c>
      <c r="I483" s="688" t="s">
        <v>49</v>
      </c>
      <c r="J483" s="1668"/>
      <c r="K483" s="1668"/>
      <c r="L483" s="1669"/>
    </row>
    <row r="484" spans="1:12" s="692" customFormat="1" ht="16.5" hidden="1">
      <c r="A484" s="1670"/>
      <c r="B484" s="1666"/>
      <c r="C484" s="688"/>
      <c r="D484" s="1667"/>
      <c r="E484" s="688"/>
      <c r="F484" s="688"/>
      <c r="G484" s="1668" t="s">
        <v>928</v>
      </c>
      <c r="H484" s="1673">
        <f>SUM(H478:H483)</f>
        <v>0</v>
      </c>
      <c r="I484" s="1668" t="s">
        <v>49</v>
      </c>
      <c r="J484" s="1669">
        <f>'Lead &amp; ANALYSIS'!L341</f>
        <v>49.2</v>
      </c>
      <c r="K484" s="1668" t="s">
        <v>1514</v>
      </c>
      <c r="L484" s="1669">
        <f>ROUND(H484*J484,0)</f>
        <v>0</v>
      </c>
    </row>
    <row r="485" spans="1:12" s="692" customFormat="1" ht="16.5" hidden="1">
      <c r="A485" s="1670" t="s">
        <v>220</v>
      </c>
      <c r="B485" s="1666" t="s">
        <v>387</v>
      </c>
      <c r="C485" s="688"/>
      <c r="D485" s="1667"/>
      <c r="E485" s="688"/>
      <c r="F485" s="688"/>
      <c r="G485" s="1668"/>
      <c r="H485" s="1673"/>
      <c r="I485" s="1668"/>
      <c r="J485" s="1669"/>
      <c r="K485" s="1668"/>
      <c r="L485" s="1669"/>
    </row>
    <row r="486" spans="1:12" s="692" customFormat="1" ht="16.5" hidden="1">
      <c r="A486" s="1670"/>
      <c r="B486" s="1666"/>
      <c r="C486" s="688"/>
      <c r="D486" s="1667"/>
      <c r="E486" s="1671">
        <v>3.5</v>
      </c>
      <c r="F486" s="1671">
        <v>4</v>
      </c>
      <c r="G486" s="1672">
        <v>0.15</v>
      </c>
      <c r="H486" s="1671">
        <f t="shared" ref="H486:H491" si="58">ROUND(D486*E486*F486*G486,2)</f>
        <v>0</v>
      </c>
      <c r="I486" s="688" t="s">
        <v>49</v>
      </c>
      <c r="J486" s="1668"/>
      <c r="K486" s="1668"/>
      <c r="L486" s="1669"/>
    </row>
    <row r="487" spans="1:12" s="692" customFormat="1" ht="16.5" hidden="1">
      <c r="A487" s="1670"/>
      <c r="B487" s="1666"/>
      <c r="C487" s="688"/>
      <c r="D487" s="1667"/>
      <c r="E487" s="1671">
        <v>3.5</v>
      </c>
      <c r="F487" s="1671">
        <v>4</v>
      </c>
      <c r="G487" s="1672">
        <v>0.15</v>
      </c>
      <c r="H487" s="1671">
        <f t="shared" si="58"/>
        <v>0</v>
      </c>
      <c r="I487" s="688" t="s">
        <v>49</v>
      </c>
      <c r="J487" s="1668"/>
      <c r="K487" s="1668"/>
      <c r="L487" s="1669"/>
    </row>
    <row r="488" spans="1:12" s="692" customFormat="1" ht="16.5" hidden="1">
      <c r="A488" s="1670"/>
      <c r="B488" s="1666"/>
      <c r="C488" s="688"/>
      <c r="D488" s="1667"/>
      <c r="E488" s="1671">
        <v>3.5</v>
      </c>
      <c r="F488" s="1671">
        <v>4</v>
      </c>
      <c r="G488" s="1672">
        <v>0.15</v>
      </c>
      <c r="H488" s="1671">
        <f t="shared" si="58"/>
        <v>0</v>
      </c>
      <c r="I488" s="688" t="s">
        <v>49</v>
      </c>
      <c r="J488" s="1668"/>
      <c r="K488" s="1668"/>
      <c r="L488" s="1669"/>
    </row>
    <row r="489" spans="1:12" s="692" customFormat="1" ht="16.5" hidden="1">
      <c r="A489" s="1670"/>
      <c r="B489" s="1666"/>
      <c r="C489" s="688"/>
      <c r="D489" s="1667"/>
      <c r="E489" s="1671">
        <v>3.5</v>
      </c>
      <c r="F489" s="1671">
        <v>4</v>
      </c>
      <c r="G489" s="1672">
        <v>0.15</v>
      </c>
      <c r="H489" s="1671">
        <f t="shared" si="58"/>
        <v>0</v>
      </c>
      <c r="I489" s="688" t="s">
        <v>49</v>
      </c>
      <c r="J489" s="1668"/>
      <c r="K489" s="1668"/>
      <c r="L489" s="1669"/>
    </row>
    <row r="490" spans="1:12" s="692" customFormat="1" ht="16.5" hidden="1">
      <c r="A490" s="1670"/>
      <c r="B490" s="1666"/>
      <c r="C490" s="688"/>
      <c r="D490" s="1667"/>
      <c r="E490" s="1671">
        <v>3.5</v>
      </c>
      <c r="F490" s="1671">
        <v>4</v>
      </c>
      <c r="G490" s="1672">
        <v>0.15</v>
      </c>
      <c r="H490" s="1671">
        <f t="shared" si="58"/>
        <v>0</v>
      </c>
      <c r="I490" s="688" t="s">
        <v>49</v>
      </c>
      <c r="J490" s="1668"/>
      <c r="K490" s="1668"/>
      <c r="L490" s="1669"/>
    </row>
    <row r="491" spans="1:12" s="692" customFormat="1" ht="16.5" hidden="1">
      <c r="A491" s="1670"/>
      <c r="B491" s="1666"/>
      <c r="C491" s="688"/>
      <c r="D491" s="1667"/>
      <c r="E491" s="1671">
        <v>3.5</v>
      </c>
      <c r="F491" s="1671">
        <v>4</v>
      </c>
      <c r="G491" s="1672">
        <v>0.15</v>
      </c>
      <c r="H491" s="1671">
        <f t="shared" si="58"/>
        <v>0</v>
      </c>
      <c r="I491" s="688" t="s">
        <v>49</v>
      </c>
      <c r="J491" s="1668"/>
      <c r="K491" s="1668"/>
      <c r="L491" s="1669"/>
    </row>
    <row r="492" spans="1:12" s="692" customFormat="1" ht="16.5" hidden="1">
      <c r="A492" s="1670"/>
      <c r="B492" s="1666"/>
      <c r="C492" s="688"/>
      <c r="D492" s="1667"/>
      <c r="E492" s="688"/>
      <c r="F492" s="688"/>
      <c r="G492" s="1668" t="s">
        <v>928</v>
      </c>
      <c r="H492" s="1673">
        <f>SUM(H486:H491)</f>
        <v>0</v>
      </c>
      <c r="I492" s="1668" t="s">
        <v>49</v>
      </c>
      <c r="J492" s="1669">
        <f>'Lead &amp; ANALYSIS'!L342</f>
        <v>51.6</v>
      </c>
      <c r="K492" s="1668" t="s">
        <v>1514</v>
      </c>
      <c r="L492" s="1669">
        <f>ROUND(H492*J492,0)</f>
        <v>0</v>
      </c>
    </row>
    <row r="493" spans="1:12" s="692" customFormat="1" ht="16.5" hidden="1">
      <c r="A493" s="1670" t="s">
        <v>244</v>
      </c>
      <c r="B493" s="1666" t="s">
        <v>3613</v>
      </c>
      <c r="C493" s="688"/>
      <c r="D493" s="1667"/>
      <c r="E493" s="688"/>
      <c r="F493" s="688"/>
      <c r="G493" s="1668"/>
      <c r="H493" s="1673"/>
      <c r="I493" s="1668"/>
      <c r="J493" s="1669"/>
      <c r="K493" s="1668"/>
      <c r="L493" s="1669"/>
    </row>
    <row r="494" spans="1:12" s="692" customFormat="1" ht="16.5" hidden="1">
      <c r="A494" s="1670"/>
      <c r="B494" s="1666"/>
      <c r="C494" s="688"/>
      <c r="D494" s="1667"/>
      <c r="E494" s="1671">
        <v>3.5</v>
      </c>
      <c r="F494" s="1671">
        <v>4</v>
      </c>
      <c r="G494" s="1672">
        <v>0.15</v>
      </c>
      <c r="H494" s="1671">
        <f t="shared" ref="H494:H499" si="59">ROUND(D494*E494*F494*G494,2)</f>
        <v>0</v>
      </c>
      <c r="I494" s="688" t="s">
        <v>49</v>
      </c>
      <c r="J494" s="1668"/>
      <c r="K494" s="1668"/>
      <c r="L494" s="1669"/>
    </row>
    <row r="495" spans="1:12" s="692" customFormat="1" ht="16.5" hidden="1">
      <c r="A495" s="1670"/>
      <c r="B495" s="1666"/>
      <c r="C495" s="688"/>
      <c r="D495" s="1667"/>
      <c r="E495" s="1671">
        <v>3.5</v>
      </c>
      <c r="F495" s="1671">
        <v>4</v>
      </c>
      <c r="G495" s="1672">
        <v>0.15</v>
      </c>
      <c r="H495" s="1671">
        <f t="shared" si="59"/>
        <v>0</v>
      </c>
      <c r="I495" s="688" t="s">
        <v>49</v>
      </c>
      <c r="J495" s="1668"/>
      <c r="K495" s="1668"/>
      <c r="L495" s="1669"/>
    </row>
    <row r="496" spans="1:12" s="692" customFormat="1" ht="16.5" hidden="1">
      <c r="A496" s="1670"/>
      <c r="B496" s="1666"/>
      <c r="C496" s="688"/>
      <c r="D496" s="1667"/>
      <c r="E496" s="1671">
        <v>3.5</v>
      </c>
      <c r="F496" s="1671">
        <v>4</v>
      </c>
      <c r="G496" s="1672">
        <v>0.15</v>
      </c>
      <c r="H496" s="1671">
        <f t="shared" si="59"/>
        <v>0</v>
      </c>
      <c r="I496" s="688" t="s">
        <v>49</v>
      </c>
      <c r="J496" s="1668"/>
      <c r="K496" s="1668"/>
      <c r="L496" s="1669"/>
    </row>
    <row r="497" spans="1:12" s="692" customFormat="1" ht="16.5" hidden="1">
      <c r="A497" s="1670"/>
      <c r="B497" s="1666"/>
      <c r="C497" s="688"/>
      <c r="D497" s="1667"/>
      <c r="E497" s="1671">
        <v>3.5</v>
      </c>
      <c r="F497" s="1671">
        <v>4</v>
      </c>
      <c r="G497" s="1672">
        <v>0.15</v>
      </c>
      <c r="H497" s="1671">
        <f t="shared" si="59"/>
        <v>0</v>
      </c>
      <c r="I497" s="688" t="s">
        <v>49</v>
      </c>
      <c r="J497" s="1668"/>
      <c r="K497" s="1668"/>
      <c r="L497" s="1669"/>
    </row>
    <row r="498" spans="1:12" s="692" customFormat="1" ht="16.5" hidden="1">
      <c r="A498" s="1670"/>
      <c r="B498" s="1666"/>
      <c r="C498" s="688"/>
      <c r="D498" s="1667"/>
      <c r="E498" s="1671">
        <v>3.5</v>
      </c>
      <c r="F498" s="1671">
        <v>4</v>
      </c>
      <c r="G498" s="1672">
        <v>0.15</v>
      </c>
      <c r="H498" s="1671">
        <f t="shared" si="59"/>
        <v>0</v>
      </c>
      <c r="I498" s="688" t="s">
        <v>49</v>
      </c>
      <c r="J498" s="1668"/>
      <c r="K498" s="1668"/>
      <c r="L498" s="1669"/>
    </row>
    <row r="499" spans="1:12" s="692" customFormat="1" ht="16.5" hidden="1">
      <c r="A499" s="1670"/>
      <c r="B499" s="1666"/>
      <c r="C499" s="688"/>
      <c r="D499" s="1667"/>
      <c r="E499" s="1671">
        <v>3.5</v>
      </c>
      <c r="F499" s="1671">
        <v>4</v>
      </c>
      <c r="G499" s="1672">
        <v>0.15</v>
      </c>
      <c r="H499" s="1671">
        <f t="shared" si="59"/>
        <v>0</v>
      </c>
      <c r="I499" s="688" t="s">
        <v>49</v>
      </c>
      <c r="J499" s="1668"/>
      <c r="K499" s="1668"/>
      <c r="L499" s="1669"/>
    </row>
    <row r="500" spans="1:12" s="692" customFormat="1" ht="16.5" hidden="1">
      <c r="A500" s="1670"/>
      <c r="B500" s="1666"/>
      <c r="C500" s="688"/>
      <c r="D500" s="1667"/>
      <c r="E500" s="688"/>
      <c r="F500" s="688"/>
      <c r="G500" s="1668" t="s">
        <v>928</v>
      </c>
      <c r="H500" s="1673">
        <f>SUM(H494:H499)</f>
        <v>0</v>
      </c>
      <c r="I500" s="1668" t="s">
        <v>49</v>
      </c>
      <c r="J500" s="1669">
        <f>'Lead &amp; ANALYSIS'!L343</f>
        <v>54.1</v>
      </c>
      <c r="K500" s="1668" t="s">
        <v>1516</v>
      </c>
      <c r="L500" s="1669">
        <f>ROUND(H500*J500,0)</f>
        <v>0</v>
      </c>
    </row>
    <row r="501" spans="1:12" s="692" customFormat="1" ht="16.5" hidden="1">
      <c r="A501" s="1670" t="s">
        <v>291</v>
      </c>
      <c r="B501" s="1666" t="s">
        <v>3632</v>
      </c>
      <c r="C501" s="688"/>
      <c r="D501" s="1667"/>
      <c r="E501" s="688"/>
      <c r="F501" s="688"/>
      <c r="G501" s="1668"/>
      <c r="H501" s="1673"/>
      <c r="I501" s="1668"/>
      <c r="J501" s="1669"/>
      <c r="K501" s="1668"/>
      <c r="L501" s="1669"/>
    </row>
    <row r="502" spans="1:12" s="692" customFormat="1" ht="16.5" hidden="1">
      <c r="A502" s="1670"/>
      <c r="B502" s="1666"/>
      <c r="C502" s="688"/>
      <c r="D502" s="1667"/>
      <c r="E502" s="1671">
        <v>3.5</v>
      </c>
      <c r="F502" s="1671">
        <v>4</v>
      </c>
      <c r="G502" s="1672">
        <v>0.15</v>
      </c>
      <c r="H502" s="1671">
        <f t="shared" ref="H502:H507" si="60">ROUND(D502*E502*F502*G502,2)</f>
        <v>0</v>
      </c>
      <c r="I502" s="688" t="s">
        <v>49</v>
      </c>
      <c r="J502" s="1668"/>
      <c r="K502" s="1668"/>
      <c r="L502" s="1669"/>
    </row>
    <row r="503" spans="1:12" s="692" customFormat="1" ht="16.5" hidden="1">
      <c r="A503" s="1670"/>
      <c r="B503" s="1666"/>
      <c r="C503" s="688"/>
      <c r="D503" s="1667"/>
      <c r="E503" s="1671">
        <v>3.5</v>
      </c>
      <c r="F503" s="1671">
        <v>4</v>
      </c>
      <c r="G503" s="1672">
        <v>0.15</v>
      </c>
      <c r="H503" s="1671">
        <f t="shared" si="60"/>
        <v>0</v>
      </c>
      <c r="I503" s="688" t="s">
        <v>49</v>
      </c>
      <c r="J503" s="1668"/>
      <c r="K503" s="1668"/>
      <c r="L503" s="1669"/>
    </row>
    <row r="504" spans="1:12" s="692" customFormat="1" ht="16.5" hidden="1">
      <c r="A504" s="1670"/>
      <c r="B504" s="1666"/>
      <c r="C504" s="688"/>
      <c r="D504" s="1667"/>
      <c r="E504" s="1671">
        <v>3.5</v>
      </c>
      <c r="F504" s="1671">
        <v>4</v>
      </c>
      <c r="G504" s="1672">
        <v>0.15</v>
      </c>
      <c r="H504" s="1671">
        <f t="shared" si="60"/>
        <v>0</v>
      </c>
      <c r="I504" s="688" t="s">
        <v>49</v>
      </c>
      <c r="J504" s="1668"/>
      <c r="K504" s="1668"/>
      <c r="L504" s="1669"/>
    </row>
    <row r="505" spans="1:12" s="692" customFormat="1" ht="16.5" hidden="1">
      <c r="A505" s="1665"/>
      <c r="B505" s="1666"/>
      <c r="C505" s="688"/>
      <c r="D505" s="1667"/>
      <c r="E505" s="1671">
        <v>3.5</v>
      </c>
      <c r="F505" s="1671">
        <v>4</v>
      </c>
      <c r="G505" s="1672">
        <v>0.15</v>
      </c>
      <c r="H505" s="1671">
        <f t="shared" si="60"/>
        <v>0</v>
      </c>
      <c r="I505" s="688" t="s">
        <v>49</v>
      </c>
      <c r="J505" s="1668"/>
      <c r="K505" s="1668"/>
      <c r="L505" s="1669"/>
    </row>
    <row r="506" spans="1:12" s="692" customFormat="1" ht="16.5" hidden="1">
      <c r="A506" s="1665"/>
      <c r="B506" s="1666"/>
      <c r="C506" s="688"/>
      <c r="D506" s="1667"/>
      <c r="E506" s="1671">
        <v>3.5</v>
      </c>
      <c r="F506" s="1671">
        <v>4</v>
      </c>
      <c r="G506" s="1672">
        <v>0.15</v>
      </c>
      <c r="H506" s="1671">
        <f t="shared" si="60"/>
        <v>0</v>
      </c>
      <c r="I506" s="688" t="s">
        <v>49</v>
      </c>
      <c r="J506" s="1668"/>
      <c r="K506" s="1668"/>
      <c r="L506" s="1669"/>
    </row>
    <row r="507" spans="1:12" s="692" customFormat="1" ht="16.5" hidden="1">
      <c r="A507" s="1665"/>
      <c r="B507" s="1666"/>
      <c r="C507" s="688"/>
      <c r="D507" s="1667"/>
      <c r="E507" s="1671">
        <v>3.5</v>
      </c>
      <c r="F507" s="1671">
        <v>4</v>
      </c>
      <c r="G507" s="1672">
        <v>0.15</v>
      </c>
      <c r="H507" s="1671">
        <f t="shared" si="60"/>
        <v>0</v>
      </c>
      <c r="I507" s="688" t="s">
        <v>49</v>
      </c>
      <c r="J507" s="1668"/>
      <c r="K507" s="1668"/>
      <c r="L507" s="1669"/>
    </row>
    <row r="508" spans="1:12" s="692" customFormat="1" ht="16.5" hidden="1">
      <c r="A508" s="1665"/>
      <c r="B508" s="1666"/>
      <c r="C508" s="688"/>
      <c r="D508" s="1667"/>
      <c r="E508" s="688"/>
      <c r="F508" s="688"/>
      <c r="G508" s="1668" t="s">
        <v>928</v>
      </c>
      <c r="H508" s="1673">
        <f>SUM(H502:H507)</f>
        <v>0</v>
      </c>
      <c r="I508" s="1668" t="s">
        <v>49</v>
      </c>
      <c r="J508" s="1669">
        <f>'Lead &amp; ANALYSIS'!L344</f>
        <v>56.8</v>
      </c>
      <c r="K508" s="1668" t="s">
        <v>1516</v>
      </c>
      <c r="L508" s="1669">
        <f>ROUND(H508*J508,0)</f>
        <v>0</v>
      </c>
    </row>
    <row r="509" spans="1:12" s="692" customFormat="1" ht="82.5" hidden="1">
      <c r="A509" s="1665">
        <f>'Lead &amp; ANALYSIS'!A345</f>
        <v>16</v>
      </c>
      <c r="B509" s="1666" t="str">
        <f>'Lead &amp; ANALYSIS'!B345</f>
        <v>Dismantling &amp; Removing pan or single nuria or Mangalore tile roofing (Tiles only)  including stacking the useful materials for reuse and removing the debris within 50m lead  with  cost  of  all labour etc. complete.</v>
      </c>
      <c r="C509" s="688"/>
      <c r="D509" s="1667"/>
      <c r="E509" s="688"/>
      <c r="F509" s="688"/>
      <c r="G509" s="1674"/>
      <c r="H509" s="688"/>
      <c r="I509" s="1668"/>
      <c r="J509" s="1668"/>
      <c r="K509" s="1668"/>
      <c r="L509" s="1669"/>
    </row>
    <row r="510" spans="1:12" s="692" customFormat="1" ht="16.5" hidden="1">
      <c r="A510" s="1670" t="s">
        <v>201</v>
      </c>
      <c r="B510" s="1666" t="s">
        <v>384</v>
      </c>
      <c r="C510" s="688"/>
      <c r="D510" s="1667"/>
      <c r="E510" s="688"/>
      <c r="F510" s="688"/>
      <c r="G510" s="688"/>
      <c r="H510" s="688"/>
      <c r="I510" s="1668"/>
      <c r="J510" s="1668"/>
      <c r="K510" s="1668"/>
      <c r="L510" s="1669"/>
    </row>
    <row r="511" spans="1:12" s="692" customFormat="1" ht="16.5" hidden="1">
      <c r="A511" s="1670"/>
      <c r="B511" s="1666"/>
      <c r="C511" s="688"/>
      <c r="D511" s="1667"/>
      <c r="E511" s="1671">
        <v>3.5</v>
      </c>
      <c r="F511" s="1671">
        <v>4</v>
      </c>
      <c r="G511" s="1672">
        <v>0.15</v>
      </c>
      <c r="H511" s="1671">
        <f t="shared" ref="H511:H516" si="61">ROUND(D511*E511*F511*G511,2)</f>
        <v>0</v>
      </c>
      <c r="I511" s="688" t="s">
        <v>49</v>
      </c>
      <c r="J511" s="1668"/>
      <c r="K511" s="1668"/>
      <c r="L511" s="1669"/>
    </row>
    <row r="512" spans="1:12" s="692" customFormat="1" ht="16.5" hidden="1">
      <c r="A512" s="1670"/>
      <c r="B512" s="1666"/>
      <c r="C512" s="688"/>
      <c r="D512" s="1667"/>
      <c r="E512" s="1671">
        <v>3.5</v>
      </c>
      <c r="F512" s="1671">
        <v>4</v>
      </c>
      <c r="G512" s="1672">
        <v>0.15</v>
      </c>
      <c r="H512" s="1671">
        <f t="shared" si="61"/>
        <v>0</v>
      </c>
      <c r="I512" s="688" t="s">
        <v>49</v>
      </c>
      <c r="J512" s="1668"/>
      <c r="K512" s="1668"/>
      <c r="L512" s="1669"/>
    </row>
    <row r="513" spans="1:12" s="692" customFormat="1" ht="16.5" hidden="1">
      <c r="A513" s="1670"/>
      <c r="B513" s="1666"/>
      <c r="C513" s="688"/>
      <c r="D513" s="1667"/>
      <c r="E513" s="1671">
        <v>3.5</v>
      </c>
      <c r="F513" s="1671">
        <v>4</v>
      </c>
      <c r="G513" s="1672">
        <v>0.15</v>
      </c>
      <c r="H513" s="1671">
        <f t="shared" si="61"/>
        <v>0</v>
      </c>
      <c r="I513" s="688" t="s">
        <v>49</v>
      </c>
      <c r="J513" s="1668"/>
      <c r="K513" s="1668"/>
      <c r="L513" s="1669"/>
    </row>
    <row r="514" spans="1:12" s="692" customFormat="1" ht="16.5" hidden="1">
      <c r="A514" s="1670"/>
      <c r="B514" s="1666"/>
      <c r="C514" s="688"/>
      <c r="D514" s="1667"/>
      <c r="E514" s="1671">
        <v>3.5</v>
      </c>
      <c r="F514" s="1671">
        <v>4</v>
      </c>
      <c r="G514" s="1672">
        <v>0.15</v>
      </c>
      <c r="H514" s="1671">
        <f t="shared" si="61"/>
        <v>0</v>
      </c>
      <c r="I514" s="688" t="s">
        <v>49</v>
      </c>
      <c r="J514" s="1668"/>
      <c r="K514" s="1668"/>
      <c r="L514" s="1669"/>
    </row>
    <row r="515" spans="1:12" s="692" customFormat="1" ht="16.5" hidden="1">
      <c r="A515" s="1670"/>
      <c r="B515" s="1666"/>
      <c r="C515" s="688"/>
      <c r="D515" s="1667"/>
      <c r="E515" s="1671">
        <v>3.5</v>
      </c>
      <c r="F515" s="1671">
        <v>4</v>
      </c>
      <c r="G515" s="1672">
        <v>0.15</v>
      </c>
      <c r="H515" s="1671">
        <f t="shared" si="61"/>
        <v>0</v>
      </c>
      <c r="I515" s="688" t="s">
        <v>49</v>
      </c>
      <c r="J515" s="1668"/>
      <c r="K515" s="1668"/>
      <c r="L515" s="1669"/>
    </row>
    <row r="516" spans="1:12" s="692" customFormat="1" ht="16.5" hidden="1">
      <c r="A516" s="1670"/>
      <c r="B516" s="1666"/>
      <c r="C516" s="688"/>
      <c r="D516" s="1667"/>
      <c r="E516" s="1671">
        <v>3.5</v>
      </c>
      <c r="F516" s="1671">
        <v>4</v>
      </c>
      <c r="G516" s="1672">
        <v>0.15</v>
      </c>
      <c r="H516" s="1671">
        <f t="shared" si="61"/>
        <v>0</v>
      </c>
      <c r="I516" s="688" t="s">
        <v>49</v>
      </c>
      <c r="J516" s="1668"/>
      <c r="K516" s="1668"/>
      <c r="L516" s="1669"/>
    </row>
    <row r="517" spans="1:12" s="692" customFormat="1" ht="16.5" hidden="1">
      <c r="A517" s="1670"/>
      <c r="B517" s="1666"/>
      <c r="C517" s="688"/>
      <c r="D517" s="1667"/>
      <c r="E517" s="688"/>
      <c r="F517" s="688"/>
      <c r="G517" s="1668" t="s">
        <v>928</v>
      </c>
      <c r="H517" s="1673">
        <f>SUM(H511:H516)</f>
        <v>0</v>
      </c>
      <c r="I517" s="1668" t="s">
        <v>49</v>
      </c>
      <c r="J517" s="1669">
        <f>'Lead &amp; ANALYSIS'!L346</f>
        <v>104.1</v>
      </c>
      <c r="K517" s="1668" t="s">
        <v>1514</v>
      </c>
      <c r="L517" s="1669">
        <f>ROUND(H517*J517,0)</f>
        <v>0</v>
      </c>
    </row>
    <row r="518" spans="1:12" s="692" customFormat="1" ht="16.5" hidden="1">
      <c r="A518" s="1670" t="s">
        <v>220</v>
      </c>
      <c r="B518" s="1666" t="s">
        <v>387</v>
      </c>
      <c r="C518" s="688"/>
      <c r="D518" s="1667"/>
      <c r="E518" s="688"/>
      <c r="F518" s="688"/>
      <c r="G518" s="1668"/>
      <c r="H518" s="1673"/>
      <c r="I518" s="1668"/>
      <c r="J518" s="1669"/>
      <c r="K518" s="1668"/>
      <c r="L518" s="1669"/>
    </row>
    <row r="519" spans="1:12" s="692" customFormat="1" ht="16.5" hidden="1">
      <c r="A519" s="1670"/>
      <c r="B519" s="1666"/>
      <c r="C519" s="688"/>
      <c r="D519" s="1667"/>
      <c r="E519" s="1671">
        <v>3.5</v>
      </c>
      <c r="F519" s="1671">
        <v>4</v>
      </c>
      <c r="G519" s="1672">
        <v>0.15</v>
      </c>
      <c r="H519" s="1671">
        <f t="shared" ref="H519:H524" si="62">ROUND(D519*E519*F519*G519,2)</f>
        <v>0</v>
      </c>
      <c r="I519" s="688" t="s">
        <v>49</v>
      </c>
      <c r="J519" s="1668"/>
      <c r="K519" s="1668"/>
      <c r="L519" s="1669"/>
    </row>
    <row r="520" spans="1:12" s="692" customFormat="1" ht="16.5" hidden="1">
      <c r="A520" s="1670"/>
      <c r="B520" s="1666"/>
      <c r="C520" s="688"/>
      <c r="D520" s="1667"/>
      <c r="E520" s="1671">
        <v>3.5</v>
      </c>
      <c r="F520" s="1671">
        <v>4</v>
      </c>
      <c r="G520" s="1672">
        <v>0.15</v>
      </c>
      <c r="H520" s="1671">
        <f t="shared" si="62"/>
        <v>0</v>
      </c>
      <c r="I520" s="688" t="s">
        <v>49</v>
      </c>
      <c r="J520" s="1668"/>
      <c r="K520" s="1668"/>
      <c r="L520" s="1669"/>
    </row>
    <row r="521" spans="1:12" s="692" customFormat="1" ht="16.5" hidden="1">
      <c r="A521" s="1670"/>
      <c r="B521" s="1666"/>
      <c r="C521" s="688"/>
      <c r="D521" s="1667"/>
      <c r="E521" s="1671">
        <v>3.5</v>
      </c>
      <c r="F521" s="1671">
        <v>4</v>
      </c>
      <c r="G521" s="1672">
        <v>0.15</v>
      </c>
      <c r="H521" s="1671">
        <f t="shared" si="62"/>
        <v>0</v>
      </c>
      <c r="I521" s="688" t="s">
        <v>49</v>
      </c>
      <c r="J521" s="1668"/>
      <c r="K521" s="1668"/>
      <c r="L521" s="1669"/>
    </row>
    <row r="522" spans="1:12" s="692" customFormat="1" ht="16.5" hidden="1">
      <c r="A522" s="1670"/>
      <c r="B522" s="1666"/>
      <c r="C522" s="688"/>
      <c r="D522" s="1667"/>
      <c r="E522" s="1671">
        <v>3.5</v>
      </c>
      <c r="F522" s="1671">
        <v>4</v>
      </c>
      <c r="G522" s="1672">
        <v>0.15</v>
      </c>
      <c r="H522" s="1671">
        <f t="shared" si="62"/>
        <v>0</v>
      </c>
      <c r="I522" s="688" t="s">
        <v>49</v>
      </c>
      <c r="J522" s="1668"/>
      <c r="K522" s="1668"/>
      <c r="L522" s="1669"/>
    </row>
    <row r="523" spans="1:12" s="692" customFormat="1" ht="16.5" hidden="1">
      <c r="A523" s="1670"/>
      <c r="B523" s="1666"/>
      <c r="C523" s="688"/>
      <c r="D523" s="1667"/>
      <c r="E523" s="1671">
        <v>3.5</v>
      </c>
      <c r="F523" s="1671">
        <v>4</v>
      </c>
      <c r="G523" s="1672">
        <v>0.15</v>
      </c>
      <c r="H523" s="1671">
        <f t="shared" si="62"/>
        <v>0</v>
      </c>
      <c r="I523" s="688" t="s">
        <v>49</v>
      </c>
      <c r="J523" s="1668"/>
      <c r="K523" s="1668"/>
      <c r="L523" s="1669"/>
    </row>
    <row r="524" spans="1:12" s="692" customFormat="1" ht="16.5" hidden="1">
      <c r="A524" s="1670"/>
      <c r="B524" s="1666"/>
      <c r="C524" s="688"/>
      <c r="D524" s="1667"/>
      <c r="E524" s="1671">
        <v>3.5</v>
      </c>
      <c r="F524" s="1671">
        <v>4</v>
      </c>
      <c r="G524" s="1672">
        <v>0.15</v>
      </c>
      <c r="H524" s="1671">
        <f t="shared" si="62"/>
        <v>0</v>
      </c>
      <c r="I524" s="688" t="s">
        <v>49</v>
      </c>
      <c r="J524" s="1668"/>
      <c r="K524" s="1668"/>
      <c r="L524" s="1669"/>
    </row>
    <row r="525" spans="1:12" s="692" customFormat="1" ht="16.5" hidden="1">
      <c r="A525" s="1670"/>
      <c r="B525" s="1666"/>
      <c r="C525" s="688"/>
      <c r="D525" s="1667"/>
      <c r="E525" s="688"/>
      <c r="F525" s="688"/>
      <c r="G525" s="1668" t="s">
        <v>928</v>
      </c>
      <c r="H525" s="1673">
        <f>SUM(H519:H524)</f>
        <v>0</v>
      </c>
      <c r="I525" s="1668" t="s">
        <v>49</v>
      </c>
      <c r="J525" s="1669">
        <f>'Lead &amp; ANALYSIS'!L347</f>
        <v>109.2</v>
      </c>
      <c r="K525" s="1668" t="s">
        <v>1514</v>
      </c>
      <c r="L525" s="1669">
        <f>ROUND(H525*J525,0)</f>
        <v>0</v>
      </c>
    </row>
    <row r="526" spans="1:12" s="692" customFormat="1" ht="16.5" hidden="1">
      <c r="A526" s="1670" t="s">
        <v>244</v>
      </c>
      <c r="B526" s="1666" t="s">
        <v>3613</v>
      </c>
      <c r="C526" s="688"/>
      <c r="D526" s="1667"/>
      <c r="E526" s="688"/>
      <c r="F526" s="688"/>
      <c r="G526" s="1668"/>
      <c r="H526" s="1673"/>
      <c r="I526" s="1668"/>
      <c r="J526" s="1669"/>
      <c r="K526" s="1668"/>
      <c r="L526" s="1669"/>
    </row>
    <row r="527" spans="1:12" s="692" customFormat="1" ht="16.5" hidden="1">
      <c r="A527" s="1670"/>
      <c r="B527" s="1666"/>
      <c r="C527" s="688"/>
      <c r="D527" s="1667"/>
      <c r="E527" s="1671">
        <v>3.5</v>
      </c>
      <c r="F527" s="1671">
        <v>4</v>
      </c>
      <c r="G527" s="1672">
        <v>0.15</v>
      </c>
      <c r="H527" s="1671">
        <f t="shared" ref="H527:H532" si="63">ROUND(D527*E527*F527*G527,2)</f>
        <v>0</v>
      </c>
      <c r="I527" s="688" t="s">
        <v>49</v>
      </c>
      <c r="J527" s="1668"/>
      <c r="K527" s="1668"/>
      <c r="L527" s="1669"/>
    </row>
    <row r="528" spans="1:12" s="692" customFormat="1" ht="16.5" hidden="1">
      <c r="A528" s="1670"/>
      <c r="B528" s="1666"/>
      <c r="C528" s="688"/>
      <c r="D528" s="1667"/>
      <c r="E528" s="1671">
        <v>3.5</v>
      </c>
      <c r="F528" s="1671">
        <v>4</v>
      </c>
      <c r="G528" s="1672">
        <v>0.15</v>
      </c>
      <c r="H528" s="1671">
        <f t="shared" si="63"/>
        <v>0</v>
      </c>
      <c r="I528" s="688" t="s">
        <v>49</v>
      </c>
      <c r="J528" s="1668"/>
      <c r="K528" s="1668"/>
      <c r="L528" s="1669"/>
    </row>
    <row r="529" spans="1:12" s="692" customFormat="1" ht="16.5" hidden="1">
      <c r="A529" s="1670"/>
      <c r="B529" s="1666"/>
      <c r="C529" s="688"/>
      <c r="D529" s="1667"/>
      <c r="E529" s="1671">
        <v>3.5</v>
      </c>
      <c r="F529" s="1671">
        <v>4</v>
      </c>
      <c r="G529" s="1672">
        <v>0.15</v>
      </c>
      <c r="H529" s="1671">
        <f t="shared" si="63"/>
        <v>0</v>
      </c>
      <c r="I529" s="688" t="s">
        <v>49</v>
      </c>
      <c r="J529" s="1668"/>
      <c r="K529" s="1668"/>
      <c r="L529" s="1669"/>
    </row>
    <row r="530" spans="1:12" s="692" customFormat="1" ht="16.5" hidden="1">
      <c r="A530" s="1670"/>
      <c r="B530" s="1666"/>
      <c r="C530" s="688"/>
      <c r="D530" s="1667"/>
      <c r="E530" s="1671">
        <v>3.5</v>
      </c>
      <c r="F530" s="1671">
        <v>4</v>
      </c>
      <c r="G530" s="1672">
        <v>0.15</v>
      </c>
      <c r="H530" s="1671">
        <f t="shared" si="63"/>
        <v>0</v>
      </c>
      <c r="I530" s="688" t="s">
        <v>49</v>
      </c>
      <c r="J530" s="1668"/>
      <c r="K530" s="1668"/>
      <c r="L530" s="1669"/>
    </row>
    <row r="531" spans="1:12" s="692" customFormat="1" ht="16.5" hidden="1">
      <c r="A531" s="1670"/>
      <c r="B531" s="1666"/>
      <c r="C531" s="688"/>
      <c r="D531" s="1667"/>
      <c r="E531" s="1671">
        <v>3.5</v>
      </c>
      <c r="F531" s="1671">
        <v>4</v>
      </c>
      <c r="G531" s="1672">
        <v>0.15</v>
      </c>
      <c r="H531" s="1671">
        <f t="shared" si="63"/>
        <v>0</v>
      </c>
      <c r="I531" s="688" t="s">
        <v>49</v>
      </c>
      <c r="J531" s="1668"/>
      <c r="K531" s="1668"/>
      <c r="L531" s="1669"/>
    </row>
    <row r="532" spans="1:12" s="692" customFormat="1" ht="16.5" hidden="1">
      <c r="A532" s="1670"/>
      <c r="B532" s="1666"/>
      <c r="C532" s="688"/>
      <c r="D532" s="1667"/>
      <c r="E532" s="1671">
        <v>3.5</v>
      </c>
      <c r="F532" s="1671">
        <v>4</v>
      </c>
      <c r="G532" s="1672">
        <v>0.15</v>
      </c>
      <c r="H532" s="1671">
        <f t="shared" si="63"/>
        <v>0</v>
      </c>
      <c r="I532" s="688" t="s">
        <v>49</v>
      </c>
      <c r="J532" s="1668"/>
      <c r="K532" s="1668"/>
      <c r="L532" s="1669"/>
    </row>
    <row r="533" spans="1:12" s="692" customFormat="1" ht="16.5" hidden="1">
      <c r="A533" s="1670"/>
      <c r="B533" s="1666"/>
      <c r="C533" s="688"/>
      <c r="D533" s="1667"/>
      <c r="E533" s="688"/>
      <c r="F533" s="688"/>
      <c r="G533" s="1668" t="s">
        <v>928</v>
      </c>
      <c r="H533" s="1673">
        <f>SUM(H527:H532)</f>
        <v>0</v>
      </c>
      <c r="I533" s="1668" t="s">
        <v>49</v>
      </c>
      <c r="J533" s="1669">
        <f>'Lead &amp; ANALYSIS'!L348</f>
        <v>114.5</v>
      </c>
      <c r="K533" s="1668" t="s">
        <v>1516</v>
      </c>
      <c r="L533" s="1669">
        <f>ROUND(H533*J533,0)</f>
        <v>0</v>
      </c>
    </row>
    <row r="534" spans="1:12" s="692" customFormat="1" ht="16.5" hidden="1">
      <c r="A534" s="1670" t="s">
        <v>291</v>
      </c>
      <c r="B534" s="1666" t="s">
        <v>3632</v>
      </c>
      <c r="C534" s="688"/>
      <c r="D534" s="1667"/>
      <c r="E534" s="688"/>
      <c r="F534" s="688"/>
      <c r="G534" s="1668"/>
      <c r="H534" s="1673"/>
      <c r="I534" s="1668"/>
      <c r="J534" s="1669"/>
      <c r="K534" s="1668"/>
      <c r="L534" s="1669"/>
    </row>
    <row r="535" spans="1:12" s="692" customFormat="1" ht="16.5" hidden="1">
      <c r="A535" s="1670"/>
      <c r="B535" s="1666"/>
      <c r="C535" s="688"/>
      <c r="D535" s="1667"/>
      <c r="E535" s="1671">
        <v>3.5</v>
      </c>
      <c r="F535" s="1671">
        <v>4</v>
      </c>
      <c r="G535" s="1672">
        <v>0.15</v>
      </c>
      <c r="H535" s="1671">
        <f t="shared" ref="H535:H540" si="64">ROUND(D535*E535*F535*G535,2)</f>
        <v>0</v>
      </c>
      <c r="I535" s="688" t="s">
        <v>49</v>
      </c>
      <c r="J535" s="1668"/>
      <c r="K535" s="1668"/>
      <c r="L535" s="1669"/>
    </row>
    <row r="536" spans="1:12" s="692" customFormat="1" ht="16.5" hidden="1">
      <c r="A536" s="1665"/>
      <c r="B536" s="1666"/>
      <c r="C536" s="688"/>
      <c r="D536" s="1667"/>
      <c r="E536" s="1671">
        <v>3.5</v>
      </c>
      <c r="F536" s="1671">
        <v>4</v>
      </c>
      <c r="G536" s="1672">
        <v>0.15</v>
      </c>
      <c r="H536" s="1671">
        <f t="shared" si="64"/>
        <v>0</v>
      </c>
      <c r="I536" s="688" t="s">
        <v>49</v>
      </c>
      <c r="J536" s="1668"/>
      <c r="K536" s="1668"/>
      <c r="L536" s="1669"/>
    </row>
    <row r="537" spans="1:12" s="692" customFormat="1" ht="16.5" hidden="1">
      <c r="A537" s="1665"/>
      <c r="B537" s="1666"/>
      <c r="C537" s="688"/>
      <c r="D537" s="1667"/>
      <c r="E537" s="1671">
        <v>3.5</v>
      </c>
      <c r="F537" s="1671">
        <v>4</v>
      </c>
      <c r="G537" s="1672">
        <v>0.15</v>
      </c>
      <c r="H537" s="1671">
        <f t="shared" si="64"/>
        <v>0</v>
      </c>
      <c r="I537" s="688" t="s">
        <v>49</v>
      </c>
      <c r="J537" s="1668"/>
      <c r="K537" s="1668"/>
      <c r="L537" s="1669"/>
    </row>
    <row r="538" spans="1:12" s="692" customFormat="1" ht="16.5" hidden="1">
      <c r="A538" s="1665"/>
      <c r="B538" s="1666"/>
      <c r="C538" s="688"/>
      <c r="D538" s="1667"/>
      <c r="E538" s="1671">
        <v>3.5</v>
      </c>
      <c r="F538" s="1671">
        <v>4</v>
      </c>
      <c r="G538" s="1672">
        <v>0.15</v>
      </c>
      <c r="H538" s="1671">
        <f t="shared" si="64"/>
        <v>0</v>
      </c>
      <c r="I538" s="688" t="s">
        <v>49</v>
      </c>
      <c r="J538" s="1668"/>
      <c r="K538" s="1668"/>
      <c r="L538" s="1669"/>
    </row>
    <row r="539" spans="1:12" s="692" customFormat="1" ht="16.5" hidden="1">
      <c r="A539" s="1665"/>
      <c r="B539" s="1666"/>
      <c r="C539" s="688"/>
      <c r="D539" s="1667"/>
      <c r="E539" s="1671">
        <v>3.5</v>
      </c>
      <c r="F539" s="1671">
        <v>4</v>
      </c>
      <c r="G539" s="1672">
        <v>0.15</v>
      </c>
      <c r="H539" s="1671">
        <f t="shared" si="64"/>
        <v>0</v>
      </c>
      <c r="I539" s="688" t="s">
        <v>49</v>
      </c>
      <c r="J539" s="1668"/>
      <c r="K539" s="1668"/>
      <c r="L539" s="1669"/>
    </row>
    <row r="540" spans="1:12" s="692" customFormat="1" ht="16.5" hidden="1">
      <c r="A540" s="1665"/>
      <c r="B540" s="1666"/>
      <c r="C540" s="688"/>
      <c r="D540" s="1667"/>
      <c r="E540" s="1671">
        <v>3.5</v>
      </c>
      <c r="F540" s="1671">
        <v>4</v>
      </c>
      <c r="G540" s="1672">
        <v>0.15</v>
      </c>
      <c r="H540" s="1671">
        <f t="shared" si="64"/>
        <v>0</v>
      </c>
      <c r="I540" s="688" t="s">
        <v>49</v>
      </c>
      <c r="J540" s="1668"/>
      <c r="K540" s="1668"/>
      <c r="L540" s="1669"/>
    </row>
    <row r="541" spans="1:12" s="692" customFormat="1" ht="16.5" hidden="1">
      <c r="A541" s="1665"/>
      <c r="B541" s="1666"/>
      <c r="C541" s="688"/>
      <c r="D541" s="1667"/>
      <c r="E541" s="688"/>
      <c r="F541" s="688"/>
      <c r="G541" s="1668" t="s">
        <v>928</v>
      </c>
      <c r="H541" s="1673">
        <f>SUM(H535:H540)</f>
        <v>0</v>
      </c>
      <c r="I541" s="1668" t="s">
        <v>49</v>
      </c>
      <c r="J541" s="1669">
        <f>'Lead &amp; ANALYSIS'!L349</f>
        <v>120.1</v>
      </c>
      <c r="K541" s="1668" t="s">
        <v>1516</v>
      </c>
      <c r="L541" s="1669">
        <f>ROUND(H541*J541,0)</f>
        <v>0</v>
      </c>
    </row>
    <row r="542" spans="1:12" s="692" customFormat="1" ht="66" hidden="1">
      <c r="A542" s="1665">
        <f>'Lead &amp; ANALYSIS'!A350</f>
        <v>17</v>
      </c>
      <c r="B542" s="1666" t="str">
        <f>'Lead &amp; ANALYSIS'!B350</f>
        <v>Dismantling &amp; Removing flat and pan tile roofing (Tiles only)  including stacking the useful materials for reuse and removing the debris within 50m lead  with  cost  of  all labour etc. complete.</v>
      </c>
      <c r="C542" s="688"/>
      <c r="D542" s="1667"/>
      <c r="E542" s="688"/>
      <c r="F542" s="688"/>
      <c r="G542" s="1674"/>
      <c r="H542" s="688"/>
      <c r="I542" s="1668"/>
      <c r="J542" s="1668"/>
      <c r="K542" s="1668"/>
      <c r="L542" s="1669"/>
    </row>
    <row r="543" spans="1:12" s="692" customFormat="1" ht="16.5" hidden="1">
      <c r="A543" s="1670" t="s">
        <v>201</v>
      </c>
      <c r="B543" s="1666" t="s">
        <v>384</v>
      </c>
      <c r="C543" s="688"/>
      <c r="D543" s="1667"/>
      <c r="E543" s="688"/>
      <c r="F543" s="688"/>
      <c r="G543" s="688"/>
      <c r="H543" s="688"/>
      <c r="I543" s="1668"/>
      <c r="J543" s="1668"/>
      <c r="K543" s="1668"/>
      <c r="L543" s="1669"/>
    </row>
    <row r="544" spans="1:12" s="692" customFormat="1" ht="16.5" hidden="1">
      <c r="A544" s="1670"/>
      <c r="B544" s="1666"/>
      <c r="C544" s="688"/>
      <c r="D544" s="1667"/>
      <c r="E544" s="1671">
        <v>3.5</v>
      </c>
      <c r="F544" s="1671">
        <v>4</v>
      </c>
      <c r="G544" s="1672">
        <v>0.15</v>
      </c>
      <c r="H544" s="1671">
        <f t="shared" ref="H544:H549" si="65">ROUND(D544*E544*F544*G544,2)</f>
        <v>0</v>
      </c>
      <c r="I544" s="688" t="s">
        <v>49</v>
      </c>
      <c r="J544" s="1668"/>
      <c r="K544" s="1668"/>
      <c r="L544" s="1669"/>
    </row>
    <row r="545" spans="1:12" s="692" customFormat="1" ht="16.5" hidden="1">
      <c r="A545" s="1670"/>
      <c r="B545" s="1666"/>
      <c r="C545" s="688"/>
      <c r="D545" s="1667"/>
      <c r="E545" s="1671">
        <v>3.5</v>
      </c>
      <c r="F545" s="1671">
        <v>4</v>
      </c>
      <c r="G545" s="1672">
        <v>0.15</v>
      </c>
      <c r="H545" s="1671">
        <f t="shared" si="65"/>
        <v>0</v>
      </c>
      <c r="I545" s="688" t="s">
        <v>49</v>
      </c>
      <c r="J545" s="1668"/>
      <c r="K545" s="1668"/>
      <c r="L545" s="1669"/>
    </row>
    <row r="546" spans="1:12" s="692" customFormat="1" ht="16.5" hidden="1">
      <c r="A546" s="1670"/>
      <c r="B546" s="1666"/>
      <c r="C546" s="688"/>
      <c r="D546" s="1667"/>
      <c r="E546" s="1671">
        <v>3.5</v>
      </c>
      <c r="F546" s="1671">
        <v>4</v>
      </c>
      <c r="G546" s="1672">
        <v>0.15</v>
      </c>
      <c r="H546" s="1671">
        <f t="shared" si="65"/>
        <v>0</v>
      </c>
      <c r="I546" s="688" t="s">
        <v>49</v>
      </c>
      <c r="J546" s="1668"/>
      <c r="K546" s="1668"/>
      <c r="L546" s="1669"/>
    </row>
    <row r="547" spans="1:12" s="692" customFormat="1" ht="16.5" hidden="1">
      <c r="A547" s="1670"/>
      <c r="B547" s="1666"/>
      <c r="C547" s="688"/>
      <c r="D547" s="1667"/>
      <c r="E547" s="1671">
        <v>3.5</v>
      </c>
      <c r="F547" s="1671">
        <v>4</v>
      </c>
      <c r="G547" s="1672">
        <v>0.15</v>
      </c>
      <c r="H547" s="1671">
        <f t="shared" si="65"/>
        <v>0</v>
      </c>
      <c r="I547" s="688" t="s">
        <v>49</v>
      </c>
      <c r="J547" s="1668"/>
      <c r="K547" s="1668"/>
      <c r="L547" s="1669"/>
    </row>
    <row r="548" spans="1:12" s="692" customFormat="1" ht="16.5" hidden="1">
      <c r="A548" s="1670"/>
      <c r="B548" s="1666"/>
      <c r="C548" s="688"/>
      <c r="D548" s="1667"/>
      <c r="E548" s="1671">
        <v>3.5</v>
      </c>
      <c r="F548" s="1671">
        <v>4</v>
      </c>
      <c r="G548" s="1672">
        <v>0.15</v>
      </c>
      <c r="H548" s="1671">
        <f t="shared" si="65"/>
        <v>0</v>
      </c>
      <c r="I548" s="688" t="s">
        <v>49</v>
      </c>
      <c r="J548" s="1668"/>
      <c r="K548" s="1668"/>
      <c r="L548" s="1669"/>
    </row>
    <row r="549" spans="1:12" s="692" customFormat="1" ht="16.5" hidden="1">
      <c r="A549" s="1670"/>
      <c r="B549" s="1666"/>
      <c r="C549" s="688"/>
      <c r="D549" s="1667"/>
      <c r="E549" s="1671">
        <v>3.5</v>
      </c>
      <c r="F549" s="1671">
        <v>4</v>
      </c>
      <c r="G549" s="1672">
        <v>0.15</v>
      </c>
      <c r="H549" s="1671">
        <f t="shared" si="65"/>
        <v>0</v>
      </c>
      <c r="I549" s="688" t="s">
        <v>49</v>
      </c>
      <c r="J549" s="1668"/>
      <c r="K549" s="1668"/>
      <c r="L549" s="1669"/>
    </row>
    <row r="550" spans="1:12" s="692" customFormat="1" ht="16.5" hidden="1">
      <c r="A550" s="1670"/>
      <c r="B550" s="1666"/>
      <c r="C550" s="688"/>
      <c r="D550" s="1667"/>
      <c r="E550" s="688"/>
      <c r="F550" s="688"/>
      <c r="G550" s="1668" t="s">
        <v>928</v>
      </c>
      <c r="H550" s="1673">
        <f>SUM(H544:H549)</f>
        <v>0</v>
      </c>
      <c r="I550" s="1668" t="s">
        <v>49</v>
      </c>
      <c r="J550" s="1669">
        <f>'Lead &amp; ANALYSIS'!L351</f>
        <v>198.7</v>
      </c>
      <c r="K550" s="1668" t="s">
        <v>1514</v>
      </c>
      <c r="L550" s="1669">
        <f>ROUND(H550*J550,0)</f>
        <v>0</v>
      </c>
    </row>
    <row r="551" spans="1:12" s="692" customFormat="1" ht="16.5" hidden="1">
      <c r="A551" s="1670" t="s">
        <v>220</v>
      </c>
      <c r="B551" s="1666" t="s">
        <v>387</v>
      </c>
      <c r="C551" s="688"/>
      <c r="D551" s="1667"/>
      <c r="E551" s="688"/>
      <c r="F551" s="688"/>
      <c r="G551" s="1668"/>
      <c r="H551" s="1673"/>
      <c r="I551" s="1668"/>
      <c r="J551" s="1669"/>
      <c r="K551" s="1668"/>
      <c r="L551" s="1669"/>
    </row>
    <row r="552" spans="1:12" s="692" customFormat="1" ht="16.5" hidden="1">
      <c r="A552" s="1670"/>
      <c r="B552" s="1666"/>
      <c r="C552" s="688"/>
      <c r="D552" s="1667"/>
      <c r="E552" s="1671">
        <v>3.5</v>
      </c>
      <c r="F552" s="1671">
        <v>4</v>
      </c>
      <c r="G552" s="1672">
        <v>0.15</v>
      </c>
      <c r="H552" s="1671">
        <f t="shared" ref="H552:H557" si="66">ROUND(D552*E552*F552*G552,2)</f>
        <v>0</v>
      </c>
      <c r="I552" s="688" t="s">
        <v>49</v>
      </c>
      <c r="J552" s="1668"/>
      <c r="K552" s="1668"/>
      <c r="L552" s="1669"/>
    </row>
    <row r="553" spans="1:12" s="692" customFormat="1" ht="16.5" hidden="1">
      <c r="A553" s="1670"/>
      <c r="B553" s="1666"/>
      <c r="C553" s="688"/>
      <c r="D553" s="1667"/>
      <c r="E553" s="1671">
        <v>3.5</v>
      </c>
      <c r="F553" s="1671">
        <v>4</v>
      </c>
      <c r="G553" s="1672">
        <v>0.15</v>
      </c>
      <c r="H553" s="1671">
        <f t="shared" si="66"/>
        <v>0</v>
      </c>
      <c r="I553" s="688" t="s">
        <v>49</v>
      </c>
      <c r="J553" s="1668"/>
      <c r="K553" s="1668"/>
      <c r="L553" s="1669"/>
    </row>
    <row r="554" spans="1:12" s="692" customFormat="1" ht="16.5" hidden="1">
      <c r="A554" s="1670"/>
      <c r="B554" s="1666"/>
      <c r="C554" s="688"/>
      <c r="D554" s="1667"/>
      <c r="E554" s="1671">
        <v>3.5</v>
      </c>
      <c r="F554" s="1671">
        <v>4</v>
      </c>
      <c r="G554" s="1672">
        <v>0.15</v>
      </c>
      <c r="H554" s="1671">
        <f t="shared" si="66"/>
        <v>0</v>
      </c>
      <c r="I554" s="688" t="s">
        <v>49</v>
      </c>
      <c r="J554" s="1668"/>
      <c r="K554" s="1668"/>
      <c r="L554" s="1669"/>
    </row>
    <row r="555" spans="1:12" s="692" customFormat="1" ht="16.5" hidden="1">
      <c r="A555" s="1670"/>
      <c r="B555" s="1666"/>
      <c r="C555" s="688"/>
      <c r="D555" s="1667"/>
      <c r="E555" s="1671">
        <v>3.5</v>
      </c>
      <c r="F555" s="1671">
        <v>4</v>
      </c>
      <c r="G555" s="1672">
        <v>0.15</v>
      </c>
      <c r="H555" s="1671">
        <f t="shared" si="66"/>
        <v>0</v>
      </c>
      <c r="I555" s="688" t="s">
        <v>49</v>
      </c>
      <c r="J555" s="1668"/>
      <c r="K555" s="1668"/>
      <c r="L555" s="1669"/>
    </row>
    <row r="556" spans="1:12" s="692" customFormat="1" ht="16.5" hidden="1">
      <c r="A556" s="1670"/>
      <c r="B556" s="1666"/>
      <c r="C556" s="688"/>
      <c r="D556" s="1667"/>
      <c r="E556" s="1671">
        <v>3.5</v>
      </c>
      <c r="F556" s="1671">
        <v>4</v>
      </c>
      <c r="G556" s="1672">
        <v>0.15</v>
      </c>
      <c r="H556" s="1671">
        <f t="shared" si="66"/>
        <v>0</v>
      </c>
      <c r="I556" s="688" t="s">
        <v>49</v>
      </c>
      <c r="J556" s="1668"/>
      <c r="K556" s="1668"/>
      <c r="L556" s="1669"/>
    </row>
    <row r="557" spans="1:12" s="692" customFormat="1" ht="16.5" hidden="1">
      <c r="A557" s="1670"/>
      <c r="B557" s="1666"/>
      <c r="C557" s="688"/>
      <c r="D557" s="1667"/>
      <c r="E557" s="1671">
        <v>3.5</v>
      </c>
      <c r="F557" s="1671">
        <v>4</v>
      </c>
      <c r="G557" s="1672">
        <v>0.15</v>
      </c>
      <c r="H557" s="1671">
        <f t="shared" si="66"/>
        <v>0</v>
      </c>
      <c r="I557" s="688" t="s">
        <v>49</v>
      </c>
      <c r="J557" s="1668"/>
      <c r="K557" s="1668"/>
      <c r="L557" s="1669"/>
    </row>
    <row r="558" spans="1:12" s="692" customFormat="1" ht="16.5" hidden="1">
      <c r="A558" s="1670"/>
      <c r="B558" s="1666"/>
      <c r="C558" s="688"/>
      <c r="D558" s="1667"/>
      <c r="E558" s="688"/>
      <c r="F558" s="688"/>
      <c r="G558" s="1668" t="s">
        <v>928</v>
      </c>
      <c r="H558" s="1673">
        <f>SUM(H552:H557)</f>
        <v>0</v>
      </c>
      <c r="I558" s="1668" t="s">
        <v>49</v>
      </c>
      <c r="J558" s="1669">
        <f>'Lead &amp; ANALYSIS'!L352</f>
        <v>208.4</v>
      </c>
      <c r="K558" s="1668" t="s">
        <v>1514</v>
      </c>
      <c r="L558" s="1669">
        <f>ROUND(H558*J558,0)</f>
        <v>0</v>
      </c>
    </row>
    <row r="559" spans="1:12" s="692" customFormat="1" ht="16.5" hidden="1">
      <c r="A559" s="1670" t="s">
        <v>244</v>
      </c>
      <c r="B559" s="1666" t="s">
        <v>3613</v>
      </c>
      <c r="C559" s="688"/>
      <c r="D559" s="1667"/>
      <c r="E559" s="688"/>
      <c r="F559" s="688"/>
      <c r="G559" s="1668"/>
      <c r="H559" s="1673"/>
      <c r="I559" s="1668"/>
      <c r="J559" s="1669"/>
      <c r="K559" s="1668"/>
      <c r="L559" s="1669"/>
    </row>
    <row r="560" spans="1:12" s="692" customFormat="1" ht="16.5" hidden="1">
      <c r="A560" s="1670"/>
      <c r="B560" s="1666"/>
      <c r="C560" s="688"/>
      <c r="D560" s="1667"/>
      <c r="E560" s="1671">
        <v>3.5</v>
      </c>
      <c r="F560" s="1671">
        <v>4</v>
      </c>
      <c r="G560" s="1672">
        <v>0.15</v>
      </c>
      <c r="H560" s="1671">
        <f t="shared" ref="H560:H565" si="67">ROUND(D560*E560*F560*G560,2)</f>
        <v>0</v>
      </c>
      <c r="I560" s="688" t="s">
        <v>49</v>
      </c>
      <c r="J560" s="1668"/>
      <c r="K560" s="1668"/>
      <c r="L560" s="1669"/>
    </row>
    <row r="561" spans="1:12" s="692" customFormat="1" ht="16.5" hidden="1">
      <c r="A561" s="1670"/>
      <c r="B561" s="1666"/>
      <c r="C561" s="688"/>
      <c r="D561" s="1667"/>
      <c r="E561" s="1671">
        <v>3.5</v>
      </c>
      <c r="F561" s="1671">
        <v>4</v>
      </c>
      <c r="G561" s="1672">
        <v>0.15</v>
      </c>
      <c r="H561" s="1671">
        <f t="shared" si="67"/>
        <v>0</v>
      </c>
      <c r="I561" s="688" t="s">
        <v>49</v>
      </c>
      <c r="J561" s="1668"/>
      <c r="K561" s="1668"/>
      <c r="L561" s="1669"/>
    </row>
    <row r="562" spans="1:12" s="692" customFormat="1" ht="16.5" hidden="1">
      <c r="A562" s="1670"/>
      <c r="B562" s="1666"/>
      <c r="C562" s="688"/>
      <c r="D562" s="1667"/>
      <c r="E562" s="1671">
        <v>3.5</v>
      </c>
      <c r="F562" s="1671">
        <v>4</v>
      </c>
      <c r="G562" s="1672">
        <v>0.15</v>
      </c>
      <c r="H562" s="1671">
        <f t="shared" si="67"/>
        <v>0</v>
      </c>
      <c r="I562" s="688" t="s">
        <v>49</v>
      </c>
      <c r="J562" s="1668"/>
      <c r="K562" s="1668"/>
      <c r="L562" s="1669"/>
    </row>
    <row r="563" spans="1:12" s="692" customFormat="1" ht="16.5" hidden="1">
      <c r="A563" s="1670"/>
      <c r="B563" s="1666"/>
      <c r="C563" s="688"/>
      <c r="D563" s="1667"/>
      <c r="E563" s="1671">
        <v>3.5</v>
      </c>
      <c r="F563" s="1671">
        <v>4</v>
      </c>
      <c r="G563" s="1672">
        <v>0.15</v>
      </c>
      <c r="H563" s="1671">
        <f t="shared" si="67"/>
        <v>0</v>
      </c>
      <c r="I563" s="688" t="s">
        <v>49</v>
      </c>
      <c r="J563" s="1668"/>
      <c r="K563" s="1668"/>
      <c r="L563" s="1669"/>
    </row>
    <row r="564" spans="1:12" s="692" customFormat="1" ht="16.5" hidden="1">
      <c r="A564" s="1670"/>
      <c r="B564" s="1666"/>
      <c r="C564" s="688"/>
      <c r="D564" s="1667"/>
      <c r="E564" s="1671">
        <v>3.5</v>
      </c>
      <c r="F564" s="1671">
        <v>4</v>
      </c>
      <c r="G564" s="1672">
        <v>0.15</v>
      </c>
      <c r="H564" s="1671">
        <f t="shared" si="67"/>
        <v>0</v>
      </c>
      <c r="I564" s="688" t="s">
        <v>49</v>
      </c>
      <c r="J564" s="1668"/>
      <c r="K564" s="1668"/>
      <c r="L564" s="1669"/>
    </row>
    <row r="565" spans="1:12" s="692" customFormat="1" ht="16.5" hidden="1">
      <c r="A565" s="1670"/>
      <c r="B565" s="1666"/>
      <c r="C565" s="688"/>
      <c r="D565" s="1667"/>
      <c r="E565" s="1671">
        <v>3.5</v>
      </c>
      <c r="F565" s="1671">
        <v>4</v>
      </c>
      <c r="G565" s="1672">
        <v>0.15</v>
      </c>
      <c r="H565" s="1671">
        <f t="shared" si="67"/>
        <v>0</v>
      </c>
      <c r="I565" s="688" t="s">
        <v>49</v>
      </c>
      <c r="J565" s="1668"/>
      <c r="K565" s="1668"/>
      <c r="L565" s="1669"/>
    </row>
    <row r="566" spans="1:12" s="692" customFormat="1" ht="16.5" hidden="1">
      <c r="A566" s="1670"/>
      <c r="B566" s="1666"/>
      <c r="C566" s="688"/>
      <c r="D566" s="1667"/>
      <c r="E566" s="688"/>
      <c r="F566" s="688"/>
      <c r="G566" s="1668" t="s">
        <v>928</v>
      </c>
      <c r="H566" s="1673">
        <f>SUM(H560:H565)</f>
        <v>0</v>
      </c>
      <c r="I566" s="1668" t="s">
        <v>49</v>
      </c>
      <c r="J566" s="1669">
        <f>'Lead &amp; ANALYSIS'!L353</f>
        <v>218.6</v>
      </c>
      <c r="K566" s="1668" t="s">
        <v>1516</v>
      </c>
      <c r="L566" s="1669">
        <f>ROUND(H566*J566,0)</f>
        <v>0</v>
      </c>
    </row>
    <row r="567" spans="1:12" s="692" customFormat="1" ht="16.5" hidden="1">
      <c r="A567" s="1670" t="s">
        <v>291</v>
      </c>
      <c r="B567" s="1666" t="s">
        <v>3632</v>
      </c>
      <c r="C567" s="688"/>
      <c r="D567" s="1667"/>
      <c r="E567" s="688"/>
      <c r="F567" s="688"/>
      <c r="G567" s="1668"/>
      <c r="H567" s="1673"/>
      <c r="I567" s="1668"/>
      <c r="J567" s="1669"/>
      <c r="K567" s="1668"/>
      <c r="L567" s="1669"/>
    </row>
    <row r="568" spans="1:12" s="692" customFormat="1" ht="16.5" hidden="1">
      <c r="A568" s="1665"/>
      <c r="B568" s="1666"/>
      <c r="C568" s="688"/>
      <c r="D568" s="1667"/>
      <c r="E568" s="1671">
        <v>3.5</v>
      </c>
      <c r="F568" s="1671">
        <v>4</v>
      </c>
      <c r="G568" s="1672">
        <v>0.15</v>
      </c>
      <c r="H568" s="1671">
        <f t="shared" ref="H568:H573" si="68">ROUND(D568*E568*F568*G568,2)</f>
        <v>0</v>
      </c>
      <c r="I568" s="688" t="s">
        <v>49</v>
      </c>
      <c r="J568" s="1668"/>
      <c r="K568" s="1668"/>
      <c r="L568" s="1669"/>
    </row>
    <row r="569" spans="1:12" s="692" customFormat="1" ht="16.5" hidden="1">
      <c r="A569" s="1665"/>
      <c r="B569" s="1666"/>
      <c r="C569" s="688"/>
      <c r="D569" s="1667"/>
      <c r="E569" s="1671">
        <v>3.5</v>
      </c>
      <c r="F569" s="1671">
        <v>4</v>
      </c>
      <c r="G569" s="1672">
        <v>0.15</v>
      </c>
      <c r="H569" s="1671">
        <f t="shared" si="68"/>
        <v>0</v>
      </c>
      <c r="I569" s="688" t="s">
        <v>49</v>
      </c>
      <c r="J569" s="1668"/>
      <c r="K569" s="1668"/>
      <c r="L569" s="1669"/>
    </row>
    <row r="570" spans="1:12" s="692" customFormat="1" ht="16.5" hidden="1">
      <c r="A570" s="1665"/>
      <c r="B570" s="1666"/>
      <c r="C570" s="688"/>
      <c r="D570" s="1667"/>
      <c r="E570" s="1671">
        <v>3.5</v>
      </c>
      <c r="F570" s="1671">
        <v>4</v>
      </c>
      <c r="G570" s="1672">
        <v>0.15</v>
      </c>
      <c r="H570" s="1671">
        <f t="shared" si="68"/>
        <v>0</v>
      </c>
      <c r="I570" s="688" t="s">
        <v>49</v>
      </c>
      <c r="J570" s="1668"/>
      <c r="K570" s="1668"/>
      <c r="L570" s="1669"/>
    </row>
    <row r="571" spans="1:12" s="692" customFormat="1" ht="16.5" hidden="1">
      <c r="A571" s="1665"/>
      <c r="B571" s="1666"/>
      <c r="C571" s="688"/>
      <c r="D571" s="1667"/>
      <c r="E571" s="1671">
        <v>3.5</v>
      </c>
      <c r="F571" s="1671">
        <v>4</v>
      </c>
      <c r="G571" s="1672">
        <v>0.15</v>
      </c>
      <c r="H571" s="1671">
        <f t="shared" si="68"/>
        <v>0</v>
      </c>
      <c r="I571" s="688" t="s">
        <v>49</v>
      </c>
      <c r="J571" s="1668"/>
      <c r="K571" s="1668"/>
      <c r="L571" s="1669"/>
    </row>
    <row r="572" spans="1:12" s="692" customFormat="1" ht="16.5" hidden="1">
      <c r="A572" s="1665"/>
      <c r="B572" s="1666"/>
      <c r="C572" s="688"/>
      <c r="D572" s="1667"/>
      <c r="E572" s="1671">
        <v>3.5</v>
      </c>
      <c r="F572" s="1671">
        <v>4</v>
      </c>
      <c r="G572" s="1672">
        <v>0.15</v>
      </c>
      <c r="H572" s="1671">
        <f t="shared" si="68"/>
        <v>0</v>
      </c>
      <c r="I572" s="688" t="s">
        <v>49</v>
      </c>
      <c r="J572" s="1668"/>
      <c r="K572" s="1668"/>
      <c r="L572" s="1669"/>
    </row>
    <row r="573" spans="1:12" s="692" customFormat="1" ht="16.5" hidden="1">
      <c r="A573" s="1665"/>
      <c r="B573" s="1666"/>
      <c r="C573" s="688"/>
      <c r="D573" s="1667"/>
      <c r="E573" s="1671">
        <v>3.5</v>
      </c>
      <c r="F573" s="1671">
        <v>4</v>
      </c>
      <c r="G573" s="1672">
        <v>0.15</v>
      </c>
      <c r="H573" s="1671">
        <f t="shared" si="68"/>
        <v>0</v>
      </c>
      <c r="I573" s="688" t="s">
        <v>49</v>
      </c>
      <c r="J573" s="1668"/>
      <c r="K573" s="1668"/>
      <c r="L573" s="1669"/>
    </row>
    <row r="574" spans="1:12" s="692" customFormat="1" ht="16.5" hidden="1">
      <c r="A574" s="1665"/>
      <c r="B574" s="1666"/>
      <c r="C574" s="688"/>
      <c r="D574" s="1667"/>
      <c r="E574" s="688"/>
      <c r="F574" s="688"/>
      <c r="G574" s="1668" t="s">
        <v>928</v>
      </c>
      <c r="H574" s="1673">
        <f>SUM(H568:H573)</f>
        <v>0</v>
      </c>
      <c r="I574" s="1668" t="s">
        <v>49</v>
      </c>
      <c r="J574" s="1669">
        <f>'Lead &amp; ANALYSIS'!L354</f>
        <v>229.4</v>
      </c>
      <c r="K574" s="1668" t="s">
        <v>1516</v>
      </c>
      <c r="L574" s="1669">
        <f>ROUND(H574*J574,0)</f>
        <v>0</v>
      </c>
    </row>
    <row r="575" spans="1:12" s="692" customFormat="1" ht="82.5" hidden="1">
      <c r="A575" s="1665">
        <f>'Lead &amp; ANALYSIS'!A355</f>
        <v>18</v>
      </c>
      <c r="B575" s="1666" t="str">
        <f>'Lead &amp; ANALYSIS'!B355</f>
        <v>Dismantling reepers under tiled roof ( Pan, flat or nuria tiles after careful removal of nails including stacking the useful materials for reuse and removing the debris within 50m lead  with  cost  of  all labour etc. complete.</v>
      </c>
      <c r="C575" s="688"/>
      <c r="D575" s="1667"/>
      <c r="E575" s="688"/>
      <c r="F575" s="688"/>
      <c r="G575" s="1674"/>
      <c r="H575" s="688"/>
      <c r="I575" s="1668"/>
      <c r="J575" s="1668"/>
      <c r="K575" s="1668"/>
      <c r="L575" s="1669"/>
    </row>
    <row r="576" spans="1:12" s="692" customFormat="1" ht="16.5" hidden="1">
      <c r="A576" s="1670" t="s">
        <v>201</v>
      </c>
      <c r="B576" s="1666" t="s">
        <v>384</v>
      </c>
      <c r="C576" s="688"/>
      <c r="D576" s="1667"/>
      <c r="E576" s="688"/>
      <c r="F576" s="688"/>
      <c r="G576" s="688"/>
      <c r="H576" s="688"/>
      <c r="I576" s="1668"/>
      <c r="J576" s="1668"/>
      <c r="K576" s="1668"/>
      <c r="L576" s="1669"/>
    </row>
    <row r="577" spans="1:12" s="692" customFormat="1" ht="16.5" hidden="1">
      <c r="A577" s="1670"/>
      <c r="B577" s="1666"/>
      <c r="C577" s="688"/>
      <c r="D577" s="1667"/>
      <c r="E577" s="1671">
        <v>3.5</v>
      </c>
      <c r="F577" s="1671">
        <v>4</v>
      </c>
      <c r="G577" s="1672">
        <v>0.15</v>
      </c>
      <c r="H577" s="1671">
        <f t="shared" ref="H577:H582" si="69">ROUND(D577*E577*F577*G577,2)</f>
        <v>0</v>
      </c>
      <c r="I577" s="688" t="s">
        <v>49</v>
      </c>
      <c r="J577" s="1668"/>
      <c r="K577" s="1668"/>
      <c r="L577" s="1669"/>
    </row>
    <row r="578" spans="1:12" s="692" customFormat="1" ht="16.5" hidden="1">
      <c r="A578" s="1670"/>
      <c r="B578" s="1666"/>
      <c r="C578" s="688"/>
      <c r="D578" s="1667"/>
      <c r="E578" s="1671">
        <v>3.5</v>
      </c>
      <c r="F578" s="1671">
        <v>4</v>
      </c>
      <c r="G578" s="1672">
        <v>0.15</v>
      </c>
      <c r="H578" s="1671">
        <f t="shared" si="69"/>
        <v>0</v>
      </c>
      <c r="I578" s="688" t="s">
        <v>49</v>
      </c>
      <c r="J578" s="1668"/>
      <c r="K578" s="1668"/>
      <c r="L578" s="1669"/>
    </row>
    <row r="579" spans="1:12" s="692" customFormat="1" ht="16.5" hidden="1">
      <c r="A579" s="1670"/>
      <c r="B579" s="1666"/>
      <c r="C579" s="688"/>
      <c r="D579" s="1667"/>
      <c r="E579" s="1671">
        <v>3.5</v>
      </c>
      <c r="F579" s="1671">
        <v>4</v>
      </c>
      <c r="G579" s="1672">
        <v>0.15</v>
      </c>
      <c r="H579" s="1671">
        <f t="shared" si="69"/>
        <v>0</v>
      </c>
      <c r="I579" s="688" t="s">
        <v>49</v>
      </c>
      <c r="J579" s="1668"/>
      <c r="K579" s="1668"/>
      <c r="L579" s="1669"/>
    </row>
    <row r="580" spans="1:12" s="692" customFormat="1" ht="16.5" hidden="1">
      <c r="A580" s="1670"/>
      <c r="B580" s="1666"/>
      <c r="C580" s="688"/>
      <c r="D580" s="1667"/>
      <c r="E580" s="1671">
        <v>3.5</v>
      </c>
      <c r="F580" s="1671">
        <v>4</v>
      </c>
      <c r="G580" s="1672">
        <v>0.15</v>
      </c>
      <c r="H580" s="1671">
        <f t="shared" si="69"/>
        <v>0</v>
      </c>
      <c r="I580" s="688" t="s">
        <v>49</v>
      </c>
      <c r="J580" s="1668"/>
      <c r="K580" s="1668"/>
      <c r="L580" s="1669"/>
    </row>
    <row r="581" spans="1:12" s="692" customFormat="1" ht="16.5" hidden="1">
      <c r="A581" s="1670"/>
      <c r="B581" s="1666"/>
      <c r="C581" s="688"/>
      <c r="D581" s="1667"/>
      <c r="E581" s="1671">
        <v>3.5</v>
      </c>
      <c r="F581" s="1671">
        <v>4</v>
      </c>
      <c r="G581" s="1672">
        <v>0.15</v>
      </c>
      <c r="H581" s="1671">
        <f t="shared" si="69"/>
        <v>0</v>
      </c>
      <c r="I581" s="688" t="s">
        <v>49</v>
      </c>
      <c r="J581" s="1668"/>
      <c r="K581" s="1668"/>
      <c r="L581" s="1669"/>
    </row>
    <row r="582" spans="1:12" s="692" customFormat="1" ht="16.5" hidden="1">
      <c r="A582" s="1670"/>
      <c r="B582" s="1666"/>
      <c r="C582" s="688"/>
      <c r="D582" s="1667"/>
      <c r="E582" s="1671">
        <v>3.5</v>
      </c>
      <c r="F582" s="1671">
        <v>4</v>
      </c>
      <c r="G582" s="1672">
        <v>0.15</v>
      </c>
      <c r="H582" s="1671">
        <f t="shared" si="69"/>
        <v>0</v>
      </c>
      <c r="I582" s="688" t="s">
        <v>49</v>
      </c>
      <c r="J582" s="1668"/>
      <c r="K582" s="1668"/>
      <c r="L582" s="1669"/>
    </row>
    <row r="583" spans="1:12" s="692" customFormat="1" ht="16.5" hidden="1">
      <c r="A583" s="1670"/>
      <c r="B583" s="1666"/>
      <c r="C583" s="688"/>
      <c r="D583" s="1667"/>
      <c r="E583" s="688"/>
      <c r="F583" s="688"/>
      <c r="G583" s="1668" t="s">
        <v>928</v>
      </c>
      <c r="H583" s="1673">
        <f>SUM(H577:H582)</f>
        <v>0</v>
      </c>
      <c r="I583" s="1668" t="s">
        <v>49</v>
      </c>
      <c r="J583" s="1669">
        <f>'Lead &amp; ANALYSIS'!L356</f>
        <v>63</v>
      </c>
      <c r="K583" s="1668" t="s">
        <v>1514</v>
      </c>
      <c r="L583" s="1669">
        <f>ROUND(H583*J583,0)</f>
        <v>0</v>
      </c>
    </row>
    <row r="584" spans="1:12" s="692" customFormat="1" ht="16.5" hidden="1">
      <c r="A584" s="1670" t="s">
        <v>220</v>
      </c>
      <c r="B584" s="1666" t="s">
        <v>387</v>
      </c>
      <c r="C584" s="688"/>
      <c r="D584" s="1667"/>
      <c r="E584" s="688"/>
      <c r="F584" s="688"/>
      <c r="G584" s="1668"/>
      <c r="H584" s="1673"/>
      <c r="I584" s="1668"/>
      <c r="J584" s="1669"/>
      <c r="K584" s="1668"/>
      <c r="L584" s="1669"/>
    </row>
    <row r="585" spans="1:12" s="692" customFormat="1" ht="16.5" hidden="1">
      <c r="A585" s="1670"/>
      <c r="B585" s="1666"/>
      <c r="C585" s="688"/>
      <c r="D585" s="1667"/>
      <c r="E585" s="1671">
        <v>3.5</v>
      </c>
      <c r="F585" s="1671">
        <v>4</v>
      </c>
      <c r="G585" s="1672">
        <v>0.15</v>
      </c>
      <c r="H585" s="1671">
        <f t="shared" ref="H585:H590" si="70">ROUND(D585*E585*F585*G585,2)</f>
        <v>0</v>
      </c>
      <c r="I585" s="688" t="s">
        <v>49</v>
      </c>
      <c r="J585" s="1668"/>
      <c r="K585" s="1668"/>
      <c r="L585" s="1669"/>
    </row>
    <row r="586" spans="1:12" s="692" customFormat="1" ht="16.5" hidden="1">
      <c r="A586" s="1670"/>
      <c r="B586" s="1666"/>
      <c r="C586" s="688"/>
      <c r="D586" s="1667"/>
      <c r="E586" s="1671">
        <v>3.5</v>
      </c>
      <c r="F586" s="1671">
        <v>4</v>
      </c>
      <c r="G586" s="1672">
        <v>0.15</v>
      </c>
      <c r="H586" s="1671">
        <f t="shared" si="70"/>
        <v>0</v>
      </c>
      <c r="I586" s="688" t="s">
        <v>49</v>
      </c>
      <c r="J586" s="1668"/>
      <c r="K586" s="1668"/>
      <c r="L586" s="1669"/>
    </row>
    <row r="587" spans="1:12" s="692" customFormat="1" ht="16.5" hidden="1">
      <c r="A587" s="1670"/>
      <c r="B587" s="1666"/>
      <c r="C587" s="688"/>
      <c r="D587" s="1667"/>
      <c r="E587" s="1671">
        <v>3.5</v>
      </c>
      <c r="F587" s="1671">
        <v>4</v>
      </c>
      <c r="G587" s="1672">
        <v>0.15</v>
      </c>
      <c r="H587" s="1671">
        <f t="shared" si="70"/>
        <v>0</v>
      </c>
      <c r="I587" s="688" t="s">
        <v>49</v>
      </c>
      <c r="J587" s="1668"/>
      <c r="K587" s="1668"/>
      <c r="L587" s="1669"/>
    </row>
    <row r="588" spans="1:12" s="692" customFormat="1" ht="16.5" hidden="1">
      <c r="A588" s="1670"/>
      <c r="B588" s="1666"/>
      <c r="C588" s="688"/>
      <c r="D588" s="1667"/>
      <c r="E588" s="1671">
        <v>3.5</v>
      </c>
      <c r="F588" s="1671">
        <v>4</v>
      </c>
      <c r="G588" s="1672">
        <v>0.15</v>
      </c>
      <c r="H588" s="1671">
        <f t="shared" si="70"/>
        <v>0</v>
      </c>
      <c r="I588" s="688" t="s">
        <v>49</v>
      </c>
      <c r="J588" s="1668"/>
      <c r="K588" s="1668"/>
      <c r="L588" s="1669"/>
    </row>
    <row r="589" spans="1:12" s="692" customFormat="1" ht="16.5" hidden="1">
      <c r="A589" s="1670"/>
      <c r="B589" s="1666"/>
      <c r="C589" s="688"/>
      <c r="D589" s="1667"/>
      <c r="E589" s="1671">
        <v>3.5</v>
      </c>
      <c r="F589" s="1671">
        <v>4</v>
      </c>
      <c r="G589" s="1672">
        <v>0.15</v>
      </c>
      <c r="H589" s="1671">
        <f t="shared" si="70"/>
        <v>0</v>
      </c>
      <c r="I589" s="688" t="s">
        <v>49</v>
      </c>
      <c r="J589" s="1668"/>
      <c r="K589" s="1668"/>
      <c r="L589" s="1669"/>
    </row>
    <row r="590" spans="1:12" s="692" customFormat="1" ht="16.5" hidden="1">
      <c r="A590" s="1670"/>
      <c r="B590" s="1666"/>
      <c r="C590" s="688"/>
      <c r="D590" s="1667"/>
      <c r="E590" s="1671">
        <v>3.5</v>
      </c>
      <c r="F590" s="1671">
        <v>4</v>
      </c>
      <c r="G590" s="1672">
        <v>0.15</v>
      </c>
      <c r="H590" s="1671">
        <f t="shared" si="70"/>
        <v>0</v>
      </c>
      <c r="I590" s="688" t="s">
        <v>49</v>
      </c>
      <c r="J590" s="1668"/>
      <c r="K590" s="1668"/>
      <c r="L590" s="1669"/>
    </row>
    <row r="591" spans="1:12" s="692" customFormat="1" ht="16.5" hidden="1">
      <c r="A591" s="1670"/>
      <c r="B591" s="1666"/>
      <c r="C591" s="688"/>
      <c r="D591" s="1667"/>
      <c r="E591" s="688"/>
      <c r="F591" s="688"/>
      <c r="G591" s="1668" t="s">
        <v>928</v>
      </c>
      <c r="H591" s="1673">
        <f>SUM(H585:H590)</f>
        <v>0</v>
      </c>
      <c r="I591" s="1668" t="s">
        <v>49</v>
      </c>
      <c r="J591" s="1669">
        <f>'Lead &amp; ANALYSIS'!L357</f>
        <v>66.099999999999994</v>
      </c>
      <c r="K591" s="1668" t="s">
        <v>1514</v>
      </c>
      <c r="L591" s="1669">
        <f>ROUND(H591*J591,0)</f>
        <v>0</v>
      </c>
    </row>
    <row r="592" spans="1:12" s="692" customFormat="1" ht="16.5" hidden="1">
      <c r="A592" s="1670" t="s">
        <v>244</v>
      </c>
      <c r="B592" s="1666" t="s">
        <v>3613</v>
      </c>
      <c r="C592" s="688"/>
      <c r="D592" s="1667"/>
      <c r="E592" s="688"/>
      <c r="F592" s="688"/>
      <c r="G592" s="1668"/>
      <c r="H592" s="1673"/>
      <c r="I592" s="1668"/>
      <c r="J592" s="1669"/>
      <c r="K592" s="1668"/>
      <c r="L592" s="1669"/>
    </row>
    <row r="593" spans="1:12" s="692" customFormat="1" ht="16.5" hidden="1">
      <c r="A593" s="1670"/>
      <c r="B593" s="1666"/>
      <c r="C593" s="688"/>
      <c r="D593" s="1667"/>
      <c r="E593" s="1671">
        <v>3.5</v>
      </c>
      <c r="F593" s="1671">
        <v>4</v>
      </c>
      <c r="G593" s="1672">
        <v>0.15</v>
      </c>
      <c r="H593" s="1671">
        <f t="shared" ref="H593:H598" si="71">ROUND(D593*E593*F593*G593,2)</f>
        <v>0</v>
      </c>
      <c r="I593" s="688" t="s">
        <v>49</v>
      </c>
      <c r="J593" s="1668"/>
      <c r="K593" s="1668"/>
      <c r="L593" s="1669"/>
    </row>
    <row r="594" spans="1:12" s="692" customFormat="1" ht="16.5" hidden="1">
      <c r="A594" s="1670"/>
      <c r="B594" s="1666"/>
      <c r="C594" s="688"/>
      <c r="D594" s="1667"/>
      <c r="E594" s="1671">
        <v>3.5</v>
      </c>
      <c r="F594" s="1671">
        <v>4</v>
      </c>
      <c r="G594" s="1672">
        <v>0.15</v>
      </c>
      <c r="H594" s="1671">
        <f t="shared" si="71"/>
        <v>0</v>
      </c>
      <c r="I594" s="688" t="s">
        <v>49</v>
      </c>
      <c r="J594" s="1668"/>
      <c r="K594" s="1668"/>
      <c r="L594" s="1669"/>
    </row>
    <row r="595" spans="1:12" s="692" customFormat="1" ht="16.5" hidden="1">
      <c r="A595" s="1670"/>
      <c r="B595" s="1666"/>
      <c r="C595" s="688"/>
      <c r="D595" s="1667"/>
      <c r="E595" s="1671">
        <v>3.5</v>
      </c>
      <c r="F595" s="1671">
        <v>4</v>
      </c>
      <c r="G595" s="1672">
        <v>0.15</v>
      </c>
      <c r="H595" s="1671">
        <f t="shared" si="71"/>
        <v>0</v>
      </c>
      <c r="I595" s="688" t="s">
        <v>49</v>
      </c>
      <c r="J595" s="1668"/>
      <c r="K595" s="1668"/>
      <c r="L595" s="1669"/>
    </row>
    <row r="596" spans="1:12" s="692" customFormat="1" ht="16.5" hidden="1">
      <c r="A596" s="1670"/>
      <c r="B596" s="1666"/>
      <c r="C596" s="688"/>
      <c r="D596" s="1667"/>
      <c r="E596" s="1671">
        <v>3.5</v>
      </c>
      <c r="F596" s="1671">
        <v>4</v>
      </c>
      <c r="G596" s="1672">
        <v>0.15</v>
      </c>
      <c r="H596" s="1671">
        <f t="shared" si="71"/>
        <v>0</v>
      </c>
      <c r="I596" s="688" t="s">
        <v>49</v>
      </c>
      <c r="J596" s="1668"/>
      <c r="K596" s="1668"/>
      <c r="L596" s="1669"/>
    </row>
    <row r="597" spans="1:12" s="692" customFormat="1" ht="16.5" hidden="1">
      <c r="A597" s="1670"/>
      <c r="B597" s="1666"/>
      <c r="C597" s="688"/>
      <c r="D597" s="1667"/>
      <c r="E597" s="1671">
        <v>3.5</v>
      </c>
      <c r="F597" s="1671">
        <v>4</v>
      </c>
      <c r="G597" s="1672">
        <v>0.15</v>
      </c>
      <c r="H597" s="1671">
        <f t="shared" si="71"/>
        <v>0</v>
      </c>
      <c r="I597" s="688" t="s">
        <v>49</v>
      </c>
      <c r="J597" s="1668"/>
      <c r="K597" s="1668"/>
      <c r="L597" s="1669"/>
    </row>
    <row r="598" spans="1:12" s="692" customFormat="1" ht="16.5" hidden="1">
      <c r="A598" s="1670"/>
      <c r="B598" s="1666"/>
      <c r="C598" s="688"/>
      <c r="D598" s="1667"/>
      <c r="E598" s="1671">
        <v>3.5</v>
      </c>
      <c r="F598" s="1671">
        <v>4</v>
      </c>
      <c r="G598" s="1672">
        <v>0.15</v>
      </c>
      <c r="H598" s="1671">
        <f t="shared" si="71"/>
        <v>0</v>
      </c>
      <c r="I598" s="688" t="s">
        <v>49</v>
      </c>
      <c r="J598" s="1668"/>
      <c r="K598" s="1668"/>
      <c r="L598" s="1669"/>
    </row>
    <row r="599" spans="1:12" s="692" customFormat="1" ht="16.5" hidden="1">
      <c r="A599" s="1670"/>
      <c r="B599" s="1666"/>
      <c r="C599" s="688"/>
      <c r="D599" s="1667"/>
      <c r="E599" s="688"/>
      <c r="F599" s="688"/>
      <c r="G599" s="1668" t="s">
        <v>928</v>
      </c>
      <c r="H599" s="1673">
        <f>SUM(H593:H598)</f>
        <v>0</v>
      </c>
      <c r="I599" s="1668" t="s">
        <v>49</v>
      </c>
      <c r="J599" s="1669">
        <f>'Lead &amp; ANALYSIS'!L358</f>
        <v>69.400000000000006</v>
      </c>
      <c r="K599" s="1668" t="s">
        <v>1516</v>
      </c>
      <c r="L599" s="1669">
        <f>ROUND(H599*J599,0)</f>
        <v>0</v>
      </c>
    </row>
    <row r="600" spans="1:12" s="692" customFormat="1" ht="16.5" hidden="1">
      <c r="A600" s="1670" t="s">
        <v>291</v>
      </c>
      <c r="B600" s="1666" t="s">
        <v>3632</v>
      </c>
      <c r="C600" s="688"/>
      <c r="D600" s="1667"/>
      <c r="E600" s="688"/>
      <c r="F600" s="688"/>
      <c r="G600" s="1668"/>
      <c r="H600" s="1673"/>
      <c r="I600" s="1668"/>
      <c r="J600" s="1669"/>
      <c r="K600" s="1668"/>
      <c r="L600" s="1669"/>
    </row>
    <row r="601" spans="1:12" s="692" customFormat="1" ht="16.5" hidden="1">
      <c r="A601" s="1665"/>
      <c r="B601" s="1666"/>
      <c r="C601" s="688"/>
      <c r="D601" s="1667"/>
      <c r="E601" s="1671">
        <v>3.5</v>
      </c>
      <c r="F601" s="1671">
        <v>4</v>
      </c>
      <c r="G601" s="1672">
        <v>0.15</v>
      </c>
      <c r="H601" s="1671">
        <f t="shared" ref="H601:H606" si="72">ROUND(D601*E601*F601*G601,2)</f>
        <v>0</v>
      </c>
      <c r="I601" s="688" t="s">
        <v>49</v>
      </c>
      <c r="J601" s="1668"/>
      <c r="K601" s="1668"/>
      <c r="L601" s="1669"/>
    </row>
    <row r="602" spans="1:12" s="692" customFormat="1" ht="16.5" hidden="1">
      <c r="A602" s="1665"/>
      <c r="B602" s="1666"/>
      <c r="C602" s="688"/>
      <c r="D602" s="1667"/>
      <c r="E602" s="1671">
        <v>3.5</v>
      </c>
      <c r="F602" s="1671">
        <v>4</v>
      </c>
      <c r="G602" s="1672">
        <v>0.15</v>
      </c>
      <c r="H602" s="1671">
        <f t="shared" si="72"/>
        <v>0</v>
      </c>
      <c r="I602" s="688" t="s">
        <v>49</v>
      </c>
      <c r="J602" s="1668"/>
      <c r="K602" s="1668"/>
      <c r="L602" s="1669"/>
    </row>
    <row r="603" spans="1:12" s="692" customFormat="1" ht="16.5" hidden="1">
      <c r="A603" s="1665"/>
      <c r="B603" s="1666"/>
      <c r="C603" s="688"/>
      <c r="D603" s="1667"/>
      <c r="E603" s="1671">
        <v>3.5</v>
      </c>
      <c r="F603" s="1671">
        <v>4</v>
      </c>
      <c r="G603" s="1672">
        <v>0.15</v>
      </c>
      <c r="H603" s="1671">
        <f t="shared" si="72"/>
        <v>0</v>
      </c>
      <c r="I603" s="688" t="s">
        <v>49</v>
      </c>
      <c r="J603" s="1668"/>
      <c r="K603" s="1668"/>
      <c r="L603" s="1669"/>
    </row>
    <row r="604" spans="1:12" s="692" customFormat="1" ht="16.5" hidden="1">
      <c r="A604" s="1665"/>
      <c r="B604" s="1666"/>
      <c r="C604" s="688"/>
      <c r="D604" s="1667"/>
      <c r="E604" s="1671">
        <v>3.5</v>
      </c>
      <c r="F604" s="1671">
        <v>4</v>
      </c>
      <c r="G604" s="1672">
        <v>0.15</v>
      </c>
      <c r="H604" s="1671">
        <f t="shared" si="72"/>
        <v>0</v>
      </c>
      <c r="I604" s="688" t="s">
        <v>49</v>
      </c>
      <c r="J604" s="1668"/>
      <c r="K604" s="1668"/>
      <c r="L604" s="1669"/>
    </row>
    <row r="605" spans="1:12" s="692" customFormat="1" ht="16.5" hidden="1">
      <c r="A605" s="1665"/>
      <c r="B605" s="1666"/>
      <c r="C605" s="688"/>
      <c r="D605" s="1667"/>
      <c r="E605" s="1671">
        <v>3.5</v>
      </c>
      <c r="F605" s="1671">
        <v>4</v>
      </c>
      <c r="G605" s="1672">
        <v>0.15</v>
      </c>
      <c r="H605" s="1671">
        <f t="shared" si="72"/>
        <v>0</v>
      </c>
      <c r="I605" s="688" t="s">
        <v>49</v>
      </c>
      <c r="J605" s="1668"/>
      <c r="K605" s="1668"/>
      <c r="L605" s="1669"/>
    </row>
    <row r="606" spans="1:12" s="692" customFormat="1" ht="16.5" hidden="1">
      <c r="A606" s="1665"/>
      <c r="B606" s="1666"/>
      <c r="C606" s="688"/>
      <c r="D606" s="1667"/>
      <c r="E606" s="1671">
        <v>3.5</v>
      </c>
      <c r="F606" s="1671">
        <v>4</v>
      </c>
      <c r="G606" s="1672">
        <v>0.15</v>
      </c>
      <c r="H606" s="1671">
        <f t="shared" si="72"/>
        <v>0</v>
      </c>
      <c r="I606" s="688" t="s">
        <v>49</v>
      </c>
      <c r="J606" s="1668"/>
      <c r="K606" s="1668"/>
      <c r="L606" s="1669"/>
    </row>
    <row r="607" spans="1:12" s="692" customFormat="1" ht="16.5" hidden="1">
      <c r="A607" s="1665"/>
      <c r="B607" s="1666"/>
      <c r="C607" s="688"/>
      <c r="D607" s="1667"/>
      <c r="E607" s="688"/>
      <c r="F607" s="688"/>
      <c r="G607" s="1668" t="s">
        <v>928</v>
      </c>
      <c r="H607" s="1673">
        <f>SUM(H601:H606)</f>
        <v>0</v>
      </c>
      <c r="I607" s="1668" t="s">
        <v>49</v>
      </c>
      <c r="J607" s="1669">
        <f>'Lead &amp; ANALYSIS'!L359</f>
        <v>72.8</v>
      </c>
      <c r="K607" s="1668" t="s">
        <v>1516</v>
      </c>
      <c r="L607" s="1669">
        <f>ROUND(H607*J607,0)</f>
        <v>0</v>
      </c>
    </row>
    <row r="608" spans="1:12" s="692" customFormat="1" ht="66" hidden="1">
      <c r="A608" s="1665">
        <f>'Lead &amp; ANALYSIS'!A360</f>
        <v>19</v>
      </c>
      <c r="B608" s="1666" t="str">
        <f>'Lead &amp; ANALYSIS'!B360</f>
        <v>Dismantling and removing old tarfelt from roof slab, cleaning the surface,lowering and removing the debris within 50m lead etc complete as per specification and direction of Engineer-in-Charge.</v>
      </c>
      <c r="C608" s="688"/>
      <c r="D608" s="1667"/>
      <c r="E608" s="688"/>
      <c r="F608" s="688"/>
      <c r="G608" s="1674"/>
      <c r="H608" s="688"/>
      <c r="I608" s="1668"/>
      <c r="J608" s="1668"/>
      <c r="K608" s="1668"/>
      <c r="L608" s="1669"/>
    </row>
    <row r="609" spans="1:12" s="692" customFormat="1" ht="16.5" hidden="1">
      <c r="A609" s="1670" t="s">
        <v>201</v>
      </c>
      <c r="B609" s="1666" t="s">
        <v>384</v>
      </c>
      <c r="C609" s="688"/>
      <c r="D609" s="1667"/>
      <c r="E609" s="688"/>
      <c r="F609" s="688"/>
      <c r="G609" s="688"/>
      <c r="H609" s="688"/>
      <c r="I609" s="1668"/>
      <c r="J609" s="1668"/>
      <c r="K609" s="1668"/>
      <c r="L609" s="1669"/>
    </row>
    <row r="610" spans="1:12" s="692" customFormat="1" ht="16.5" hidden="1">
      <c r="A610" s="1670"/>
      <c r="B610" s="1666"/>
      <c r="C610" s="688"/>
      <c r="D610" s="1667"/>
      <c r="E610" s="1671">
        <v>3.5</v>
      </c>
      <c r="F610" s="1671">
        <v>4</v>
      </c>
      <c r="G610" s="1672">
        <v>0.15</v>
      </c>
      <c r="H610" s="1671">
        <f t="shared" ref="H610:H615" si="73">ROUND(D610*E610*F610*G610,2)</f>
        <v>0</v>
      </c>
      <c r="I610" s="688" t="s">
        <v>49</v>
      </c>
      <c r="J610" s="1668"/>
      <c r="K610" s="1668"/>
      <c r="L610" s="1669"/>
    </row>
    <row r="611" spans="1:12" s="692" customFormat="1" ht="16.5" hidden="1">
      <c r="A611" s="1670"/>
      <c r="B611" s="1666"/>
      <c r="C611" s="688"/>
      <c r="D611" s="1667"/>
      <c r="E611" s="1671">
        <v>3.5</v>
      </c>
      <c r="F611" s="1671">
        <v>4</v>
      </c>
      <c r="G611" s="1672">
        <v>0.15</v>
      </c>
      <c r="H611" s="1671">
        <f t="shared" si="73"/>
        <v>0</v>
      </c>
      <c r="I611" s="688" t="s">
        <v>49</v>
      </c>
      <c r="J611" s="1668"/>
      <c r="K611" s="1668"/>
      <c r="L611" s="1669"/>
    </row>
    <row r="612" spans="1:12" s="692" customFormat="1" ht="16.5" hidden="1">
      <c r="A612" s="1670"/>
      <c r="B612" s="1666"/>
      <c r="C612" s="688"/>
      <c r="D612" s="1667"/>
      <c r="E612" s="1671">
        <v>3.5</v>
      </c>
      <c r="F612" s="1671">
        <v>4</v>
      </c>
      <c r="G612" s="1672">
        <v>0.15</v>
      </c>
      <c r="H612" s="1671">
        <f t="shared" si="73"/>
        <v>0</v>
      </c>
      <c r="I612" s="688" t="s">
        <v>49</v>
      </c>
      <c r="J612" s="1668"/>
      <c r="K612" s="1668"/>
      <c r="L612" s="1669"/>
    </row>
    <row r="613" spans="1:12" s="692" customFormat="1" ht="16.5" hidden="1">
      <c r="A613" s="1670"/>
      <c r="B613" s="1666"/>
      <c r="C613" s="688"/>
      <c r="D613" s="1667"/>
      <c r="E613" s="1671">
        <v>3.5</v>
      </c>
      <c r="F613" s="1671">
        <v>4</v>
      </c>
      <c r="G613" s="1672">
        <v>0.15</v>
      </c>
      <c r="H613" s="1671">
        <f t="shared" si="73"/>
        <v>0</v>
      </c>
      <c r="I613" s="688" t="s">
        <v>49</v>
      </c>
      <c r="J613" s="1668"/>
      <c r="K613" s="1668"/>
      <c r="L613" s="1669"/>
    </row>
    <row r="614" spans="1:12" s="692" customFormat="1" ht="16.5" hidden="1">
      <c r="A614" s="1670"/>
      <c r="B614" s="1666"/>
      <c r="C614" s="688"/>
      <c r="D614" s="1667"/>
      <c r="E614" s="1671">
        <v>3.5</v>
      </c>
      <c r="F614" s="1671">
        <v>4</v>
      </c>
      <c r="G614" s="1672">
        <v>0.15</v>
      </c>
      <c r="H614" s="1671">
        <f t="shared" si="73"/>
        <v>0</v>
      </c>
      <c r="I614" s="688" t="s">
        <v>49</v>
      </c>
      <c r="J614" s="1668"/>
      <c r="K614" s="1668"/>
      <c r="L614" s="1669"/>
    </row>
    <row r="615" spans="1:12" s="692" customFormat="1" ht="16.5" hidden="1">
      <c r="A615" s="1670"/>
      <c r="B615" s="1666"/>
      <c r="C615" s="688"/>
      <c r="D615" s="1667"/>
      <c r="E615" s="1671">
        <v>3.5</v>
      </c>
      <c r="F615" s="1671">
        <v>4</v>
      </c>
      <c r="G615" s="1672">
        <v>0.15</v>
      </c>
      <c r="H615" s="1671">
        <f t="shared" si="73"/>
        <v>0</v>
      </c>
      <c r="I615" s="688" t="s">
        <v>49</v>
      </c>
      <c r="J615" s="1668"/>
      <c r="K615" s="1668"/>
      <c r="L615" s="1669"/>
    </row>
    <row r="616" spans="1:12" s="692" customFormat="1" ht="16.5" hidden="1">
      <c r="A616" s="1670"/>
      <c r="B616" s="1666"/>
      <c r="C616" s="688"/>
      <c r="D616" s="1667"/>
      <c r="E616" s="688"/>
      <c r="F616" s="688"/>
      <c r="G616" s="1668" t="s">
        <v>928</v>
      </c>
      <c r="H616" s="1673">
        <f>SUM(H610:H615)</f>
        <v>0</v>
      </c>
      <c r="I616" s="1668" t="s">
        <v>49</v>
      </c>
      <c r="J616" s="1669">
        <f>'Lead &amp; ANALYSIS'!L361</f>
        <v>66.2</v>
      </c>
      <c r="K616" s="1668" t="s">
        <v>1514</v>
      </c>
      <c r="L616" s="1669">
        <f>ROUND(H616*J616,0)</f>
        <v>0</v>
      </c>
    </row>
    <row r="617" spans="1:12" s="692" customFormat="1" ht="16.5" hidden="1">
      <c r="A617" s="1670" t="s">
        <v>220</v>
      </c>
      <c r="B617" s="1666" t="s">
        <v>387</v>
      </c>
      <c r="C617" s="688"/>
      <c r="D617" s="1667"/>
      <c r="E617" s="688"/>
      <c r="F617" s="688"/>
      <c r="G617" s="1668"/>
      <c r="H617" s="1673"/>
      <c r="I617" s="1668"/>
      <c r="J617" s="1669"/>
      <c r="K617" s="1668"/>
      <c r="L617" s="1669"/>
    </row>
    <row r="618" spans="1:12" s="692" customFormat="1" ht="16.5" hidden="1">
      <c r="A618" s="1670"/>
      <c r="B618" s="1666"/>
      <c r="C618" s="688"/>
      <c r="D618" s="1667"/>
      <c r="E618" s="1671">
        <v>3.5</v>
      </c>
      <c r="F618" s="1671">
        <v>4</v>
      </c>
      <c r="G618" s="1672">
        <v>0.15</v>
      </c>
      <c r="H618" s="1671">
        <f t="shared" ref="H618:H623" si="74">ROUND(D618*E618*F618*G618,2)</f>
        <v>0</v>
      </c>
      <c r="I618" s="688" t="s">
        <v>49</v>
      </c>
      <c r="J618" s="1668"/>
      <c r="K618" s="1668"/>
      <c r="L618" s="1669"/>
    </row>
    <row r="619" spans="1:12" s="692" customFormat="1" ht="16.5" hidden="1">
      <c r="A619" s="1670"/>
      <c r="B619" s="1666"/>
      <c r="C619" s="688"/>
      <c r="D619" s="1667"/>
      <c r="E619" s="1671">
        <v>3.5</v>
      </c>
      <c r="F619" s="1671">
        <v>4</v>
      </c>
      <c r="G619" s="1672">
        <v>0.15</v>
      </c>
      <c r="H619" s="1671">
        <f t="shared" si="74"/>
        <v>0</v>
      </c>
      <c r="I619" s="688" t="s">
        <v>49</v>
      </c>
      <c r="J619" s="1668"/>
      <c r="K619" s="1668"/>
      <c r="L619" s="1669"/>
    </row>
    <row r="620" spans="1:12" s="692" customFormat="1" ht="16.5" hidden="1">
      <c r="A620" s="1670"/>
      <c r="B620" s="1666"/>
      <c r="C620" s="688"/>
      <c r="D620" s="1667"/>
      <c r="E620" s="1671">
        <v>3.5</v>
      </c>
      <c r="F620" s="1671">
        <v>4</v>
      </c>
      <c r="G620" s="1672">
        <v>0.15</v>
      </c>
      <c r="H620" s="1671">
        <f t="shared" si="74"/>
        <v>0</v>
      </c>
      <c r="I620" s="688" t="s">
        <v>49</v>
      </c>
      <c r="J620" s="1668"/>
      <c r="K620" s="1668"/>
      <c r="L620" s="1669"/>
    </row>
    <row r="621" spans="1:12" s="692" customFormat="1" ht="16.5" hidden="1">
      <c r="A621" s="1670"/>
      <c r="B621" s="1666"/>
      <c r="C621" s="688"/>
      <c r="D621" s="1667"/>
      <c r="E621" s="1671">
        <v>3.5</v>
      </c>
      <c r="F621" s="1671">
        <v>4</v>
      </c>
      <c r="G621" s="1672">
        <v>0.15</v>
      </c>
      <c r="H621" s="1671">
        <f t="shared" si="74"/>
        <v>0</v>
      </c>
      <c r="I621" s="688" t="s">
        <v>49</v>
      </c>
      <c r="J621" s="1668"/>
      <c r="K621" s="1668"/>
      <c r="L621" s="1669"/>
    </row>
    <row r="622" spans="1:12" s="692" customFormat="1" ht="16.5" hidden="1">
      <c r="A622" s="1670"/>
      <c r="B622" s="1666"/>
      <c r="C622" s="688"/>
      <c r="D622" s="1667"/>
      <c r="E622" s="1671">
        <v>3.5</v>
      </c>
      <c r="F622" s="1671">
        <v>4</v>
      </c>
      <c r="G622" s="1672">
        <v>0.15</v>
      </c>
      <c r="H622" s="1671">
        <f t="shared" si="74"/>
        <v>0</v>
      </c>
      <c r="I622" s="688" t="s">
        <v>49</v>
      </c>
      <c r="J622" s="1668"/>
      <c r="K622" s="1668"/>
      <c r="L622" s="1669"/>
    </row>
    <row r="623" spans="1:12" s="692" customFormat="1" ht="16.5" hidden="1">
      <c r="A623" s="1670"/>
      <c r="B623" s="1666"/>
      <c r="C623" s="688"/>
      <c r="D623" s="1667"/>
      <c r="E623" s="1671">
        <v>3.5</v>
      </c>
      <c r="F623" s="1671">
        <v>4</v>
      </c>
      <c r="G623" s="1672">
        <v>0.15</v>
      </c>
      <c r="H623" s="1671">
        <f t="shared" si="74"/>
        <v>0</v>
      </c>
      <c r="I623" s="688" t="s">
        <v>49</v>
      </c>
      <c r="J623" s="1668"/>
      <c r="K623" s="1668"/>
      <c r="L623" s="1669"/>
    </row>
    <row r="624" spans="1:12" s="692" customFormat="1" ht="16.5" hidden="1">
      <c r="A624" s="1670"/>
      <c r="B624" s="1666"/>
      <c r="C624" s="688"/>
      <c r="D624" s="1667"/>
      <c r="E624" s="688"/>
      <c r="F624" s="688"/>
      <c r="G624" s="1668" t="s">
        <v>928</v>
      </c>
      <c r="H624" s="1673">
        <f>SUM(H618:H623)</f>
        <v>0</v>
      </c>
      <c r="I624" s="1668" t="s">
        <v>49</v>
      </c>
      <c r="J624" s="1669">
        <f>'Lead &amp; ANALYSIS'!L362</f>
        <v>69.5</v>
      </c>
      <c r="K624" s="1668" t="s">
        <v>1514</v>
      </c>
      <c r="L624" s="1669">
        <f>ROUND(H624*J624,0)</f>
        <v>0</v>
      </c>
    </row>
    <row r="625" spans="1:12" s="692" customFormat="1" ht="16.5" hidden="1">
      <c r="A625" s="1670" t="s">
        <v>244</v>
      </c>
      <c r="B625" s="1666" t="s">
        <v>3613</v>
      </c>
      <c r="C625" s="688"/>
      <c r="D625" s="1667"/>
      <c r="E625" s="688"/>
      <c r="F625" s="688"/>
      <c r="G625" s="1668"/>
      <c r="H625" s="1673"/>
      <c r="I625" s="1668"/>
      <c r="J625" s="1669"/>
      <c r="K625" s="1668"/>
      <c r="L625" s="1669"/>
    </row>
    <row r="626" spans="1:12" s="692" customFormat="1" ht="16.5" hidden="1">
      <c r="A626" s="1670"/>
      <c r="B626" s="1666"/>
      <c r="C626" s="688"/>
      <c r="D626" s="1667"/>
      <c r="E626" s="1671">
        <v>3.5</v>
      </c>
      <c r="F626" s="1671">
        <v>4</v>
      </c>
      <c r="G626" s="1672">
        <v>0.15</v>
      </c>
      <c r="H626" s="1671">
        <f t="shared" ref="H626:H631" si="75">ROUND(D626*E626*F626*G626,2)</f>
        <v>0</v>
      </c>
      <c r="I626" s="688" t="s">
        <v>49</v>
      </c>
      <c r="J626" s="1668"/>
      <c r="K626" s="1668"/>
      <c r="L626" s="1669"/>
    </row>
    <row r="627" spans="1:12" s="692" customFormat="1" ht="16.5" hidden="1">
      <c r="A627" s="1670"/>
      <c r="B627" s="1666"/>
      <c r="C627" s="688"/>
      <c r="D627" s="1667"/>
      <c r="E627" s="1671">
        <v>3.5</v>
      </c>
      <c r="F627" s="1671">
        <v>4</v>
      </c>
      <c r="G627" s="1672">
        <v>0.15</v>
      </c>
      <c r="H627" s="1671">
        <f t="shared" si="75"/>
        <v>0</v>
      </c>
      <c r="I627" s="688" t="s">
        <v>49</v>
      </c>
      <c r="J627" s="1668"/>
      <c r="K627" s="1668"/>
      <c r="L627" s="1669"/>
    </row>
    <row r="628" spans="1:12" s="692" customFormat="1" ht="16.5" hidden="1">
      <c r="A628" s="1670"/>
      <c r="B628" s="1666"/>
      <c r="C628" s="688"/>
      <c r="D628" s="1667"/>
      <c r="E628" s="1671">
        <v>3.5</v>
      </c>
      <c r="F628" s="1671">
        <v>4</v>
      </c>
      <c r="G628" s="1672">
        <v>0.15</v>
      </c>
      <c r="H628" s="1671">
        <f t="shared" si="75"/>
        <v>0</v>
      </c>
      <c r="I628" s="688" t="s">
        <v>49</v>
      </c>
      <c r="J628" s="1668"/>
      <c r="K628" s="1668"/>
      <c r="L628" s="1669"/>
    </row>
    <row r="629" spans="1:12" s="692" customFormat="1" ht="16.5" hidden="1">
      <c r="A629" s="1670"/>
      <c r="B629" s="1666"/>
      <c r="C629" s="688"/>
      <c r="D629" s="1667"/>
      <c r="E629" s="1671">
        <v>3.5</v>
      </c>
      <c r="F629" s="1671">
        <v>4</v>
      </c>
      <c r="G629" s="1672">
        <v>0.15</v>
      </c>
      <c r="H629" s="1671">
        <f t="shared" si="75"/>
        <v>0</v>
      </c>
      <c r="I629" s="688" t="s">
        <v>49</v>
      </c>
      <c r="J629" s="1668"/>
      <c r="K629" s="1668"/>
      <c r="L629" s="1669"/>
    </row>
    <row r="630" spans="1:12" s="692" customFormat="1" ht="16.5" hidden="1">
      <c r="A630" s="1670"/>
      <c r="B630" s="1666"/>
      <c r="C630" s="688"/>
      <c r="D630" s="1667"/>
      <c r="E630" s="1671">
        <v>3.5</v>
      </c>
      <c r="F630" s="1671">
        <v>4</v>
      </c>
      <c r="G630" s="1672">
        <v>0.15</v>
      </c>
      <c r="H630" s="1671">
        <f t="shared" si="75"/>
        <v>0</v>
      </c>
      <c r="I630" s="688" t="s">
        <v>49</v>
      </c>
      <c r="J630" s="1668"/>
      <c r="K630" s="1668"/>
      <c r="L630" s="1669"/>
    </row>
    <row r="631" spans="1:12" s="692" customFormat="1" ht="16.5" hidden="1">
      <c r="A631" s="1670"/>
      <c r="B631" s="1666"/>
      <c r="C631" s="688"/>
      <c r="D631" s="1667"/>
      <c r="E631" s="1671">
        <v>3.5</v>
      </c>
      <c r="F631" s="1671">
        <v>4</v>
      </c>
      <c r="G631" s="1672">
        <v>0.15</v>
      </c>
      <c r="H631" s="1671">
        <f t="shared" si="75"/>
        <v>0</v>
      </c>
      <c r="I631" s="688" t="s">
        <v>49</v>
      </c>
      <c r="J631" s="1668"/>
      <c r="K631" s="1668"/>
      <c r="L631" s="1669"/>
    </row>
    <row r="632" spans="1:12" s="692" customFormat="1" ht="16.5" hidden="1">
      <c r="A632" s="1670"/>
      <c r="B632" s="1666"/>
      <c r="C632" s="688"/>
      <c r="D632" s="1667"/>
      <c r="E632" s="688"/>
      <c r="F632" s="688"/>
      <c r="G632" s="1668" t="s">
        <v>928</v>
      </c>
      <c r="H632" s="1673">
        <f>SUM(H626:H631)</f>
        <v>0</v>
      </c>
      <c r="I632" s="1668" t="s">
        <v>49</v>
      </c>
      <c r="J632" s="1669">
        <f>'Lead &amp; ANALYSIS'!L363</f>
        <v>72.900000000000006</v>
      </c>
      <c r="K632" s="1668" t="s">
        <v>1516</v>
      </c>
      <c r="L632" s="1669">
        <f>ROUND(H632*J632,0)</f>
        <v>0</v>
      </c>
    </row>
    <row r="633" spans="1:12" s="692" customFormat="1" ht="16.5" hidden="1">
      <c r="A633" s="1670" t="s">
        <v>291</v>
      </c>
      <c r="B633" s="1666" t="s">
        <v>3632</v>
      </c>
      <c r="C633" s="688"/>
      <c r="D633" s="1667"/>
      <c r="E633" s="688"/>
      <c r="F633" s="688"/>
      <c r="G633" s="1668"/>
      <c r="H633" s="1673"/>
      <c r="I633" s="1668"/>
      <c r="J633" s="1669"/>
      <c r="K633" s="1668"/>
      <c r="L633" s="1669"/>
    </row>
    <row r="634" spans="1:12" s="692" customFormat="1" ht="16.5" hidden="1">
      <c r="A634" s="1665"/>
      <c r="B634" s="1666"/>
      <c r="C634" s="688"/>
      <c r="D634" s="1667"/>
      <c r="E634" s="1671">
        <v>3.5</v>
      </c>
      <c r="F634" s="1671">
        <v>4</v>
      </c>
      <c r="G634" s="1672">
        <v>0.15</v>
      </c>
      <c r="H634" s="1671">
        <f t="shared" ref="H634:H639" si="76">ROUND(D634*E634*F634*G634,2)</f>
        <v>0</v>
      </c>
      <c r="I634" s="688" t="s">
        <v>49</v>
      </c>
      <c r="J634" s="1668"/>
      <c r="K634" s="1668"/>
      <c r="L634" s="1669"/>
    </row>
    <row r="635" spans="1:12" s="692" customFormat="1" ht="16.5" hidden="1">
      <c r="A635" s="1665"/>
      <c r="B635" s="1666"/>
      <c r="C635" s="688"/>
      <c r="D635" s="1667"/>
      <c r="E635" s="1671">
        <v>3.5</v>
      </c>
      <c r="F635" s="1671">
        <v>4</v>
      </c>
      <c r="G635" s="1672">
        <v>0.15</v>
      </c>
      <c r="H635" s="1671">
        <f t="shared" si="76"/>
        <v>0</v>
      </c>
      <c r="I635" s="688" t="s">
        <v>49</v>
      </c>
      <c r="J635" s="1668"/>
      <c r="K635" s="1668"/>
      <c r="L635" s="1669"/>
    </row>
    <row r="636" spans="1:12" s="692" customFormat="1" ht="16.5" hidden="1">
      <c r="A636" s="1665"/>
      <c r="B636" s="1666"/>
      <c r="C636" s="688"/>
      <c r="D636" s="1667"/>
      <c r="E636" s="1671">
        <v>3.5</v>
      </c>
      <c r="F636" s="1671">
        <v>4</v>
      </c>
      <c r="G636" s="1672">
        <v>0.15</v>
      </c>
      <c r="H636" s="1671">
        <f t="shared" si="76"/>
        <v>0</v>
      </c>
      <c r="I636" s="688" t="s">
        <v>49</v>
      </c>
      <c r="J636" s="1668"/>
      <c r="K636" s="1668"/>
      <c r="L636" s="1669"/>
    </row>
    <row r="637" spans="1:12" s="692" customFormat="1" ht="16.5" hidden="1">
      <c r="A637" s="1665"/>
      <c r="B637" s="1666"/>
      <c r="C637" s="688"/>
      <c r="D637" s="1667"/>
      <c r="E637" s="1671">
        <v>3.5</v>
      </c>
      <c r="F637" s="1671">
        <v>4</v>
      </c>
      <c r="G637" s="1672">
        <v>0.15</v>
      </c>
      <c r="H637" s="1671">
        <f t="shared" si="76"/>
        <v>0</v>
      </c>
      <c r="I637" s="688" t="s">
        <v>49</v>
      </c>
      <c r="J637" s="1668"/>
      <c r="K637" s="1668"/>
      <c r="L637" s="1669"/>
    </row>
    <row r="638" spans="1:12" s="692" customFormat="1" ht="16.5" hidden="1">
      <c r="A638" s="1665"/>
      <c r="B638" s="1666"/>
      <c r="C638" s="688"/>
      <c r="D638" s="1667"/>
      <c r="E638" s="1671">
        <v>3.5</v>
      </c>
      <c r="F638" s="1671">
        <v>4</v>
      </c>
      <c r="G638" s="1672">
        <v>0.15</v>
      </c>
      <c r="H638" s="1671">
        <f t="shared" si="76"/>
        <v>0</v>
      </c>
      <c r="I638" s="688" t="s">
        <v>49</v>
      </c>
      <c r="J638" s="1668"/>
      <c r="K638" s="1668"/>
      <c r="L638" s="1669"/>
    </row>
    <row r="639" spans="1:12" s="692" customFormat="1" ht="16.5" hidden="1">
      <c r="A639" s="1665"/>
      <c r="B639" s="1666"/>
      <c r="C639" s="688"/>
      <c r="D639" s="1667"/>
      <c r="E639" s="1671">
        <v>3.5</v>
      </c>
      <c r="F639" s="1671">
        <v>4</v>
      </c>
      <c r="G639" s="1672">
        <v>0.15</v>
      </c>
      <c r="H639" s="1671">
        <f t="shared" si="76"/>
        <v>0</v>
      </c>
      <c r="I639" s="688" t="s">
        <v>49</v>
      </c>
      <c r="J639" s="1668"/>
      <c r="K639" s="1668"/>
      <c r="L639" s="1669"/>
    </row>
    <row r="640" spans="1:12" s="692" customFormat="1" ht="16.5" hidden="1">
      <c r="A640" s="1665"/>
      <c r="B640" s="1666"/>
      <c r="C640" s="688"/>
      <c r="D640" s="1667"/>
      <c r="E640" s="688"/>
      <c r="F640" s="688"/>
      <c r="G640" s="1668" t="s">
        <v>928</v>
      </c>
      <c r="H640" s="1673">
        <f>SUM(H634:H639)</f>
        <v>0</v>
      </c>
      <c r="I640" s="1668" t="s">
        <v>49</v>
      </c>
      <c r="J640" s="1669">
        <f>'Lead &amp; ANALYSIS'!L364</f>
        <v>76.5</v>
      </c>
      <c r="K640" s="1668" t="s">
        <v>1516</v>
      </c>
      <c r="L640" s="1669">
        <f>ROUND(H640*J640,0)</f>
        <v>0</v>
      </c>
    </row>
    <row r="641" spans="1:12" s="692" customFormat="1" ht="99" hidden="1">
      <c r="A641" s="1665">
        <f>'Lead &amp; ANALYSIS'!A365</f>
        <v>20</v>
      </c>
      <c r="B641" s="1666" t="str">
        <f>'Lead &amp; ANALYSIS'!B365</f>
        <v>Scarping Plaster in Lime or Cement Mortar from Brick/ Stone Masonry including T&amp;P, sorting the dismantled material, disposal of unserviceable material and stacking the serviceable material with all lifts and lead of 1000 metres etc complete as per specification and direction of Engineer-in-Charge.</v>
      </c>
      <c r="C641" s="688"/>
      <c r="D641" s="1667"/>
      <c r="E641" s="688"/>
      <c r="F641" s="688"/>
      <c r="G641" s="1674"/>
      <c r="H641" s="688"/>
      <c r="I641" s="1668"/>
      <c r="J641" s="1668"/>
      <c r="K641" s="1668"/>
      <c r="L641" s="1669"/>
    </row>
    <row r="642" spans="1:12" s="692" customFormat="1" ht="16.5" hidden="1">
      <c r="A642" s="1670" t="s">
        <v>201</v>
      </c>
      <c r="B642" s="1666" t="s">
        <v>384</v>
      </c>
      <c r="C642" s="688"/>
      <c r="D642" s="1667"/>
      <c r="E642" s="688"/>
      <c r="F642" s="688"/>
      <c r="G642" s="688"/>
      <c r="H642" s="688"/>
      <c r="I642" s="1668"/>
      <c r="J642" s="1668"/>
      <c r="K642" s="1668"/>
      <c r="L642" s="1669"/>
    </row>
    <row r="643" spans="1:12" s="692" customFormat="1" ht="16.5" hidden="1">
      <c r="A643" s="1670"/>
      <c r="B643" s="1666"/>
      <c r="C643" s="688"/>
      <c r="D643" s="1667"/>
      <c r="E643" s="1671">
        <v>3.5</v>
      </c>
      <c r="F643" s="1671">
        <v>4</v>
      </c>
      <c r="G643" s="1672">
        <v>0.15</v>
      </c>
      <c r="H643" s="1671">
        <f t="shared" ref="H643:H648" si="77">ROUND(D643*E643*F643*G643,2)</f>
        <v>0</v>
      </c>
      <c r="I643" s="688" t="s">
        <v>49</v>
      </c>
      <c r="J643" s="1668"/>
      <c r="K643" s="1668"/>
      <c r="L643" s="1669"/>
    </row>
    <row r="644" spans="1:12" s="692" customFormat="1" ht="16.5" hidden="1">
      <c r="A644" s="1670"/>
      <c r="B644" s="1666"/>
      <c r="C644" s="688"/>
      <c r="D644" s="1667"/>
      <c r="E644" s="1671">
        <v>3.5</v>
      </c>
      <c r="F644" s="1671">
        <v>4</v>
      </c>
      <c r="G644" s="1672">
        <v>0.15</v>
      </c>
      <c r="H644" s="1671">
        <f t="shared" si="77"/>
        <v>0</v>
      </c>
      <c r="I644" s="688" t="s">
        <v>49</v>
      </c>
      <c r="J644" s="1668"/>
      <c r="K644" s="1668"/>
      <c r="L644" s="1669"/>
    </row>
    <row r="645" spans="1:12" s="692" customFormat="1" ht="16.5" hidden="1">
      <c r="A645" s="1670"/>
      <c r="B645" s="1666"/>
      <c r="C645" s="688"/>
      <c r="D645" s="1667"/>
      <c r="E645" s="1671">
        <v>3.5</v>
      </c>
      <c r="F645" s="1671">
        <v>4</v>
      </c>
      <c r="G645" s="1672">
        <v>0.15</v>
      </c>
      <c r="H645" s="1671">
        <f t="shared" si="77"/>
        <v>0</v>
      </c>
      <c r="I645" s="688" t="s">
        <v>49</v>
      </c>
      <c r="J645" s="1668"/>
      <c r="K645" s="1668"/>
      <c r="L645" s="1669"/>
    </row>
    <row r="646" spans="1:12" s="692" customFormat="1" ht="16.5" hidden="1">
      <c r="A646" s="1670"/>
      <c r="B646" s="1666"/>
      <c r="C646" s="688"/>
      <c r="D646" s="1667"/>
      <c r="E646" s="1671">
        <v>3.5</v>
      </c>
      <c r="F646" s="1671">
        <v>4</v>
      </c>
      <c r="G646" s="1672">
        <v>0.15</v>
      </c>
      <c r="H646" s="1671">
        <f t="shared" si="77"/>
        <v>0</v>
      </c>
      <c r="I646" s="688" t="s">
        <v>49</v>
      </c>
      <c r="J646" s="1668"/>
      <c r="K646" s="1668"/>
      <c r="L646" s="1669"/>
    </row>
    <row r="647" spans="1:12" s="692" customFormat="1" ht="16.5" hidden="1">
      <c r="A647" s="1670"/>
      <c r="B647" s="1666"/>
      <c r="C647" s="688"/>
      <c r="D647" s="1667"/>
      <c r="E647" s="1671">
        <v>3.5</v>
      </c>
      <c r="F647" s="1671">
        <v>4</v>
      </c>
      <c r="G647" s="1672">
        <v>0.15</v>
      </c>
      <c r="H647" s="1671">
        <f t="shared" si="77"/>
        <v>0</v>
      </c>
      <c r="I647" s="688" t="s">
        <v>49</v>
      </c>
      <c r="J647" s="1668"/>
      <c r="K647" s="1668"/>
      <c r="L647" s="1669"/>
    </row>
    <row r="648" spans="1:12" s="692" customFormat="1" ht="16.5" hidden="1">
      <c r="A648" s="1670"/>
      <c r="B648" s="1666"/>
      <c r="C648" s="688"/>
      <c r="D648" s="1667"/>
      <c r="E648" s="1671">
        <v>3.5</v>
      </c>
      <c r="F648" s="1671">
        <v>4</v>
      </c>
      <c r="G648" s="1672">
        <v>0.15</v>
      </c>
      <c r="H648" s="1671">
        <f t="shared" si="77"/>
        <v>0</v>
      </c>
      <c r="I648" s="688" t="s">
        <v>49</v>
      </c>
      <c r="J648" s="1668"/>
      <c r="K648" s="1668"/>
      <c r="L648" s="1669"/>
    </row>
    <row r="649" spans="1:12" s="692" customFormat="1" ht="16.5" hidden="1">
      <c r="A649" s="1670"/>
      <c r="B649" s="1666"/>
      <c r="C649" s="688"/>
      <c r="D649" s="1667"/>
      <c r="E649" s="688"/>
      <c r="F649" s="688"/>
      <c r="G649" s="1668" t="s">
        <v>928</v>
      </c>
      <c r="H649" s="1673">
        <f>SUM(H643:H648)</f>
        <v>0</v>
      </c>
      <c r="I649" s="1668" t="s">
        <v>49</v>
      </c>
      <c r="J649" s="1669">
        <f>'Lead &amp; ANALYSIS'!L366</f>
        <v>15.6</v>
      </c>
      <c r="K649" s="1668" t="s">
        <v>1514</v>
      </c>
      <c r="L649" s="1669">
        <f>ROUND(H649*J649,0)</f>
        <v>0</v>
      </c>
    </row>
    <row r="650" spans="1:12" s="692" customFormat="1" ht="16.5" hidden="1">
      <c r="A650" s="1670" t="s">
        <v>220</v>
      </c>
      <c r="B650" s="1666" t="s">
        <v>387</v>
      </c>
      <c r="C650" s="688"/>
      <c r="D650" s="1667"/>
      <c r="E650" s="688"/>
      <c r="F650" s="688"/>
      <c r="G650" s="1668"/>
      <c r="H650" s="1673"/>
      <c r="I650" s="1668"/>
      <c r="J650" s="1669"/>
      <c r="K650" s="1668"/>
      <c r="L650" s="1669"/>
    </row>
    <row r="651" spans="1:12" s="692" customFormat="1" ht="16.5" hidden="1">
      <c r="A651" s="1670"/>
      <c r="B651" s="1666"/>
      <c r="C651" s="688"/>
      <c r="D651" s="1667"/>
      <c r="E651" s="1671">
        <v>3.5</v>
      </c>
      <c r="F651" s="1671">
        <v>4</v>
      </c>
      <c r="G651" s="1672">
        <v>0.15</v>
      </c>
      <c r="H651" s="1671">
        <f t="shared" ref="H651:H656" si="78">ROUND(D651*E651*F651*G651,2)</f>
        <v>0</v>
      </c>
      <c r="I651" s="688" t="s">
        <v>49</v>
      </c>
      <c r="J651" s="1668"/>
      <c r="K651" s="1668"/>
      <c r="L651" s="1669"/>
    </row>
    <row r="652" spans="1:12" s="692" customFormat="1" ht="16.5" hidden="1">
      <c r="A652" s="1670"/>
      <c r="B652" s="1666"/>
      <c r="C652" s="688"/>
      <c r="D652" s="1667"/>
      <c r="E652" s="1671">
        <v>3.5</v>
      </c>
      <c r="F652" s="1671">
        <v>4</v>
      </c>
      <c r="G652" s="1672">
        <v>0.15</v>
      </c>
      <c r="H652" s="1671">
        <f t="shared" si="78"/>
        <v>0</v>
      </c>
      <c r="I652" s="688" t="s">
        <v>49</v>
      </c>
      <c r="J652" s="1668"/>
      <c r="K652" s="1668"/>
      <c r="L652" s="1669"/>
    </row>
    <row r="653" spans="1:12" s="692" customFormat="1" ht="16.5" hidden="1">
      <c r="A653" s="1670"/>
      <c r="B653" s="1666"/>
      <c r="C653" s="688"/>
      <c r="D653" s="1667"/>
      <c r="E653" s="1671">
        <v>3.5</v>
      </c>
      <c r="F653" s="1671">
        <v>4</v>
      </c>
      <c r="G653" s="1672">
        <v>0.15</v>
      </c>
      <c r="H653" s="1671">
        <f t="shared" si="78"/>
        <v>0</v>
      </c>
      <c r="I653" s="688" t="s">
        <v>49</v>
      </c>
      <c r="J653" s="1668"/>
      <c r="K653" s="1668"/>
      <c r="L653" s="1669"/>
    </row>
    <row r="654" spans="1:12" s="692" customFormat="1" ht="16.5" hidden="1">
      <c r="A654" s="1670"/>
      <c r="B654" s="1666"/>
      <c r="C654" s="688"/>
      <c r="D654" s="1667"/>
      <c r="E654" s="1671">
        <v>3.5</v>
      </c>
      <c r="F654" s="1671">
        <v>4</v>
      </c>
      <c r="G654" s="1672">
        <v>0.15</v>
      </c>
      <c r="H654" s="1671">
        <f t="shared" si="78"/>
        <v>0</v>
      </c>
      <c r="I654" s="688" t="s">
        <v>49</v>
      </c>
      <c r="J654" s="1668"/>
      <c r="K654" s="1668"/>
      <c r="L654" s="1669"/>
    </row>
    <row r="655" spans="1:12" s="692" customFormat="1" ht="16.5" hidden="1">
      <c r="A655" s="1670"/>
      <c r="B655" s="1666"/>
      <c r="C655" s="688"/>
      <c r="D655" s="1667"/>
      <c r="E655" s="1671">
        <v>3.5</v>
      </c>
      <c r="F655" s="1671">
        <v>4</v>
      </c>
      <c r="G655" s="1672">
        <v>0.15</v>
      </c>
      <c r="H655" s="1671">
        <f t="shared" si="78"/>
        <v>0</v>
      </c>
      <c r="I655" s="688" t="s">
        <v>49</v>
      </c>
      <c r="J655" s="1668"/>
      <c r="K655" s="1668"/>
      <c r="L655" s="1669"/>
    </row>
    <row r="656" spans="1:12" s="692" customFormat="1" ht="16.5" hidden="1">
      <c r="A656" s="1670"/>
      <c r="B656" s="1666"/>
      <c r="C656" s="688"/>
      <c r="D656" s="1667"/>
      <c r="E656" s="1671">
        <v>3.5</v>
      </c>
      <c r="F656" s="1671">
        <v>4</v>
      </c>
      <c r="G656" s="1672">
        <v>0.15</v>
      </c>
      <c r="H656" s="1671">
        <f t="shared" si="78"/>
        <v>0</v>
      </c>
      <c r="I656" s="688" t="s">
        <v>49</v>
      </c>
      <c r="J656" s="1668"/>
      <c r="K656" s="1668"/>
      <c r="L656" s="1669"/>
    </row>
    <row r="657" spans="1:12" s="692" customFormat="1" ht="16.5" hidden="1">
      <c r="A657" s="1670"/>
      <c r="B657" s="1666"/>
      <c r="C657" s="688"/>
      <c r="D657" s="1667"/>
      <c r="E657" s="688"/>
      <c r="F657" s="688"/>
      <c r="G657" s="1668" t="s">
        <v>928</v>
      </c>
      <c r="H657" s="1673">
        <f>SUM(H651:H656)</f>
        <v>0</v>
      </c>
      <c r="I657" s="1668" t="s">
        <v>49</v>
      </c>
      <c r="J657" s="1669">
        <f>'Lead &amp; ANALYSIS'!L367</f>
        <v>16.3</v>
      </c>
      <c r="K657" s="1668" t="s">
        <v>1514</v>
      </c>
      <c r="L657" s="1669">
        <f>ROUND(H657*J657,0)</f>
        <v>0</v>
      </c>
    </row>
    <row r="658" spans="1:12" s="692" customFormat="1" ht="16.5" hidden="1">
      <c r="A658" s="1670" t="s">
        <v>244</v>
      </c>
      <c r="B658" s="1666" t="s">
        <v>3613</v>
      </c>
      <c r="C658" s="688"/>
      <c r="D658" s="1667"/>
      <c r="E658" s="688"/>
      <c r="F658" s="688"/>
      <c r="G658" s="1668"/>
      <c r="H658" s="1673"/>
      <c r="I658" s="1668"/>
      <c r="J658" s="1669"/>
      <c r="K658" s="1668"/>
      <c r="L658" s="1669"/>
    </row>
    <row r="659" spans="1:12" s="692" customFormat="1" ht="16.5" hidden="1">
      <c r="A659" s="1670"/>
      <c r="B659" s="1666"/>
      <c r="C659" s="688"/>
      <c r="D659" s="1667"/>
      <c r="E659" s="1671">
        <v>3.5</v>
      </c>
      <c r="F659" s="1671">
        <v>4</v>
      </c>
      <c r="G659" s="1672">
        <v>0.15</v>
      </c>
      <c r="H659" s="1671">
        <f t="shared" ref="H659:H664" si="79">ROUND(D659*E659*F659*G659,2)</f>
        <v>0</v>
      </c>
      <c r="I659" s="688" t="s">
        <v>49</v>
      </c>
      <c r="J659" s="1668"/>
      <c r="K659" s="1668"/>
      <c r="L659" s="1669"/>
    </row>
    <row r="660" spans="1:12" s="692" customFormat="1" ht="16.5" hidden="1">
      <c r="A660" s="1670"/>
      <c r="B660" s="1666"/>
      <c r="C660" s="688"/>
      <c r="D660" s="1667"/>
      <c r="E660" s="1671">
        <v>3.5</v>
      </c>
      <c r="F660" s="1671">
        <v>4</v>
      </c>
      <c r="G660" s="1672">
        <v>0.15</v>
      </c>
      <c r="H660" s="1671">
        <f t="shared" si="79"/>
        <v>0</v>
      </c>
      <c r="I660" s="688" t="s">
        <v>49</v>
      </c>
      <c r="J660" s="1668"/>
      <c r="K660" s="1668"/>
      <c r="L660" s="1669"/>
    </row>
    <row r="661" spans="1:12" s="692" customFormat="1" ht="16.5" hidden="1">
      <c r="A661" s="1670"/>
      <c r="B661" s="1666"/>
      <c r="C661" s="688"/>
      <c r="D661" s="1667"/>
      <c r="E661" s="1671">
        <v>3.5</v>
      </c>
      <c r="F661" s="1671">
        <v>4</v>
      </c>
      <c r="G661" s="1672">
        <v>0.15</v>
      </c>
      <c r="H661" s="1671">
        <f t="shared" si="79"/>
        <v>0</v>
      </c>
      <c r="I661" s="688" t="s">
        <v>49</v>
      </c>
      <c r="J661" s="1668"/>
      <c r="K661" s="1668"/>
      <c r="L661" s="1669"/>
    </row>
    <row r="662" spans="1:12" s="692" customFormat="1" ht="16.5" hidden="1">
      <c r="A662" s="1670"/>
      <c r="B662" s="1666"/>
      <c r="C662" s="688"/>
      <c r="D662" s="1667"/>
      <c r="E662" s="1671">
        <v>3.5</v>
      </c>
      <c r="F662" s="1671">
        <v>4</v>
      </c>
      <c r="G662" s="1672">
        <v>0.15</v>
      </c>
      <c r="H662" s="1671">
        <f t="shared" si="79"/>
        <v>0</v>
      </c>
      <c r="I662" s="688" t="s">
        <v>49</v>
      </c>
      <c r="J662" s="1668"/>
      <c r="K662" s="1668"/>
      <c r="L662" s="1669"/>
    </row>
    <row r="663" spans="1:12" s="692" customFormat="1" ht="16.5" hidden="1">
      <c r="A663" s="1670"/>
      <c r="B663" s="1666"/>
      <c r="C663" s="688"/>
      <c r="D663" s="1667"/>
      <c r="E663" s="1671">
        <v>3.5</v>
      </c>
      <c r="F663" s="1671">
        <v>4</v>
      </c>
      <c r="G663" s="1672">
        <v>0.15</v>
      </c>
      <c r="H663" s="1671">
        <f t="shared" si="79"/>
        <v>0</v>
      </c>
      <c r="I663" s="688" t="s">
        <v>49</v>
      </c>
      <c r="J663" s="1668"/>
      <c r="K663" s="1668"/>
      <c r="L663" s="1669"/>
    </row>
    <row r="664" spans="1:12" s="692" customFormat="1" ht="16.5" hidden="1">
      <c r="A664" s="1670"/>
      <c r="B664" s="1666"/>
      <c r="C664" s="688"/>
      <c r="D664" s="1667"/>
      <c r="E664" s="1671">
        <v>3.5</v>
      </c>
      <c r="F664" s="1671">
        <v>4</v>
      </c>
      <c r="G664" s="1672">
        <v>0.15</v>
      </c>
      <c r="H664" s="1671">
        <f t="shared" si="79"/>
        <v>0</v>
      </c>
      <c r="I664" s="688" t="s">
        <v>49</v>
      </c>
      <c r="J664" s="1668"/>
      <c r="K664" s="1668"/>
      <c r="L664" s="1669"/>
    </row>
    <row r="665" spans="1:12" s="692" customFormat="1" ht="16.5" hidden="1">
      <c r="A665" s="1670"/>
      <c r="B665" s="1666"/>
      <c r="C665" s="688"/>
      <c r="D665" s="1667"/>
      <c r="E665" s="688"/>
      <c r="F665" s="688"/>
      <c r="G665" s="1668" t="s">
        <v>928</v>
      </c>
      <c r="H665" s="1673">
        <f>SUM(H659:H664)</f>
        <v>0</v>
      </c>
      <c r="I665" s="1668" t="s">
        <v>49</v>
      </c>
      <c r="J665" s="1669">
        <f>'Lead &amp; ANALYSIS'!L368</f>
        <v>17</v>
      </c>
      <c r="K665" s="1668" t="s">
        <v>1516</v>
      </c>
      <c r="L665" s="1669">
        <f>ROUND(H665*J665,0)</f>
        <v>0</v>
      </c>
    </row>
    <row r="666" spans="1:12" s="692" customFormat="1" ht="16.5" hidden="1">
      <c r="A666" s="1670" t="s">
        <v>291</v>
      </c>
      <c r="B666" s="1666" t="s">
        <v>3632</v>
      </c>
      <c r="C666" s="688"/>
      <c r="D666" s="1667"/>
      <c r="E666" s="688"/>
      <c r="F666" s="688"/>
      <c r="G666" s="1668"/>
      <c r="H666" s="1673"/>
      <c r="I666" s="1668"/>
      <c r="J666" s="1669"/>
      <c r="K666" s="1668"/>
      <c r="L666" s="1669"/>
    </row>
    <row r="667" spans="1:12" s="692" customFormat="1" ht="16.5" hidden="1">
      <c r="A667" s="1670"/>
      <c r="B667" s="1666"/>
      <c r="C667" s="688"/>
      <c r="D667" s="1667"/>
      <c r="E667" s="1671">
        <v>3.5</v>
      </c>
      <c r="F667" s="1671">
        <v>4</v>
      </c>
      <c r="G667" s="1672">
        <v>0.15</v>
      </c>
      <c r="H667" s="1671">
        <f t="shared" ref="H667:H672" si="80">ROUND(D667*E667*F667*G667,2)</f>
        <v>0</v>
      </c>
      <c r="I667" s="688" t="s">
        <v>49</v>
      </c>
      <c r="J667" s="1668"/>
      <c r="K667" s="1668"/>
      <c r="L667" s="1669"/>
    </row>
    <row r="668" spans="1:12" s="692" customFormat="1" ht="16.5" hidden="1">
      <c r="A668" s="1670"/>
      <c r="B668" s="1666"/>
      <c r="C668" s="688"/>
      <c r="D668" s="1667"/>
      <c r="E668" s="1671">
        <v>3.5</v>
      </c>
      <c r="F668" s="1671">
        <v>4</v>
      </c>
      <c r="G668" s="1672">
        <v>0.15</v>
      </c>
      <c r="H668" s="1671">
        <f t="shared" si="80"/>
        <v>0</v>
      </c>
      <c r="I668" s="688" t="s">
        <v>49</v>
      </c>
      <c r="J668" s="1668"/>
      <c r="K668" s="1668"/>
      <c r="L668" s="1669"/>
    </row>
    <row r="669" spans="1:12" s="692" customFormat="1" ht="16.5" hidden="1">
      <c r="A669" s="1670"/>
      <c r="B669" s="1666"/>
      <c r="C669" s="688"/>
      <c r="D669" s="1667"/>
      <c r="E669" s="1671">
        <v>3.5</v>
      </c>
      <c r="F669" s="1671">
        <v>4</v>
      </c>
      <c r="G669" s="1672">
        <v>0.15</v>
      </c>
      <c r="H669" s="1671">
        <f t="shared" si="80"/>
        <v>0</v>
      </c>
      <c r="I669" s="688" t="s">
        <v>49</v>
      </c>
      <c r="J669" s="1668"/>
      <c r="K669" s="1668"/>
      <c r="L669" s="1669"/>
    </row>
    <row r="670" spans="1:12" s="692" customFormat="1" ht="16.5" hidden="1">
      <c r="A670" s="1670"/>
      <c r="B670" s="1666"/>
      <c r="C670" s="688"/>
      <c r="D670" s="1667"/>
      <c r="E670" s="1671">
        <v>3.5</v>
      </c>
      <c r="F670" s="1671">
        <v>4</v>
      </c>
      <c r="G670" s="1672">
        <v>0.15</v>
      </c>
      <c r="H670" s="1671">
        <f t="shared" si="80"/>
        <v>0</v>
      </c>
      <c r="I670" s="688" t="s">
        <v>49</v>
      </c>
      <c r="J670" s="1668"/>
      <c r="K670" s="1668"/>
      <c r="L670" s="1669"/>
    </row>
    <row r="671" spans="1:12" s="692" customFormat="1" ht="16.5" hidden="1">
      <c r="A671" s="1665"/>
      <c r="B671" s="1666"/>
      <c r="C671" s="688"/>
      <c r="D671" s="1667"/>
      <c r="E671" s="1671">
        <v>3.5</v>
      </c>
      <c r="F671" s="1671">
        <v>4</v>
      </c>
      <c r="G671" s="1672">
        <v>0.15</v>
      </c>
      <c r="H671" s="1671">
        <f t="shared" si="80"/>
        <v>0</v>
      </c>
      <c r="I671" s="688" t="s">
        <v>49</v>
      </c>
      <c r="J671" s="1668"/>
      <c r="K671" s="1668"/>
      <c r="L671" s="1669"/>
    </row>
    <row r="672" spans="1:12" s="692" customFormat="1" ht="16.5" hidden="1">
      <c r="A672" s="1665"/>
      <c r="B672" s="1666"/>
      <c r="C672" s="688"/>
      <c r="D672" s="1667"/>
      <c r="E672" s="1671">
        <v>3.5</v>
      </c>
      <c r="F672" s="1671">
        <v>4</v>
      </c>
      <c r="G672" s="1672">
        <v>0.15</v>
      </c>
      <c r="H672" s="1671">
        <f t="shared" si="80"/>
        <v>0</v>
      </c>
      <c r="I672" s="688" t="s">
        <v>49</v>
      </c>
      <c r="J672" s="1668"/>
      <c r="K672" s="1668"/>
      <c r="L672" s="1669"/>
    </row>
    <row r="673" spans="1:12" s="692" customFormat="1" ht="16.5" hidden="1">
      <c r="A673" s="1665"/>
      <c r="B673" s="1666"/>
      <c r="C673" s="688"/>
      <c r="D673" s="1667"/>
      <c r="E673" s="688"/>
      <c r="F673" s="688"/>
      <c r="G673" s="1668" t="s">
        <v>928</v>
      </c>
      <c r="H673" s="1673">
        <f>SUM(H667:H672)</f>
        <v>0</v>
      </c>
      <c r="I673" s="1668" t="s">
        <v>49</v>
      </c>
      <c r="J673" s="1669">
        <f>'Lead &amp; ANALYSIS'!L369</f>
        <v>17.8</v>
      </c>
      <c r="K673" s="1668" t="s">
        <v>1516</v>
      </c>
      <c r="L673" s="1669">
        <f>ROUND(H673*J673,0)</f>
        <v>0</v>
      </c>
    </row>
    <row r="674" spans="1:12" s="692" customFormat="1" ht="99" hidden="1">
      <c r="A674" s="1665">
        <f>'Lead &amp; ANALYSIS'!A370</f>
        <v>21</v>
      </c>
      <c r="B674" s="1666" t="str">
        <f>'Lead &amp; ANALYSIS'!B370</f>
        <v>Scraping of Bricks dismantled from Brick Work in lime or cement mortar including T&amp;P, sorting the dismantled material, disposal of unserviceable material and stacking the serviceable material with all lifts and lead of 1000 metres etc complete as per specification and direction of Engineer-in-Charge.</v>
      </c>
      <c r="C674" s="688"/>
      <c r="D674" s="1667"/>
      <c r="E674" s="688"/>
      <c r="F674" s="688"/>
      <c r="G674" s="1674"/>
      <c r="H674" s="688"/>
      <c r="I674" s="1668"/>
      <c r="J674" s="1668"/>
      <c r="K674" s="1668"/>
      <c r="L674" s="1669"/>
    </row>
    <row r="675" spans="1:12" s="692" customFormat="1" ht="16.5" hidden="1">
      <c r="A675" s="1670" t="s">
        <v>201</v>
      </c>
      <c r="B675" s="1666" t="s">
        <v>384</v>
      </c>
      <c r="C675" s="688"/>
      <c r="D675" s="1667"/>
      <c r="E675" s="688"/>
      <c r="F675" s="688"/>
      <c r="G675" s="688"/>
      <c r="H675" s="688"/>
      <c r="I675" s="1668"/>
      <c r="J675" s="1668"/>
      <c r="K675" s="1668"/>
      <c r="L675" s="1669"/>
    </row>
    <row r="676" spans="1:12" s="692" customFormat="1" ht="16.5" hidden="1">
      <c r="A676" s="1670"/>
      <c r="B676" s="1666"/>
      <c r="C676" s="688"/>
      <c r="D676" s="1667"/>
      <c r="E676" s="1671">
        <v>3.5</v>
      </c>
      <c r="F676" s="1671">
        <v>4</v>
      </c>
      <c r="G676" s="1672">
        <v>0.15</v>
      </c>
      <c r="H676" s="1671">
        <f t="shared" ref="H676:H681" si="81">ROUND(D676*E676*F676*G676,2)</f>
        <v>0</v>
      </c>
      <c r="I676" s="688" t="s">
        <v>49</v>
      </c>
      <c r="J676" s="1668"/>
      <c r="K676" s="1668"/>
      <c r="L676" s="1669"/>
    </row>
    <row r="677" spans="1:12" s="692" customFormat="1" ht="16.5" hidden="1">
      <c r="A677" s="1670"/>
      <c r="B677" s="1666"/>
      <c r="C677" s="688"/>
      <c r="D677" s="1667"/>
      <c r="E677" s="1671">
        <v>3.5</v>
      </c>
      <c r="F677" s="1671">
        <v>4</v>
      </c>
      <c r="G677" s="1672">
        <v>0.15</v>
      </c>
      <c r="H677" s="1671">
        <f t="shared" si="81"/>
        <v>0</v>
      </c>
      <c r="I677" s="688" t="s">
        <v>49</v>
      </c>
      <c r="J677" s="1668"/>
      <c r="K677" s="1668"/>
      <c r="L677" s="1669"/>
    </row>
    <row r="678" spans="1:12" s="692" customFormat="1" ht="16.5" hidden="1">
      <c r="A678" s="1670"/>
      <c r="B678" s="1666"/>
      <c r="C678" s="688"/>
      <c r="D678" s="1667"/>
      <c r="E678" s="1671">
        <v>3.5</v>
      </c>
      <c r="F678" s="1671">
        <v>4</v>
      </c>
      <c r="G678" s="1672">
        <v>0.15</v>
      </c>
      <c r="H678" s="1671">
        <f t="shared" si="81"/>
        <v>0</v>
      </c>
      <c r="I678" s="688" t="s">
        <v>49</v>
      </c>
      <c r="J678" s="1668"/>
      <c r="K678" s="1668"/>
      <c r="L678" s="1669"/>
    </row>
    <row r="679" spans="1:12" s="692" customFormat="1" ht="16.5" hidden="1">
      <c r="A679" s="1670"/>
      <c r="B679" s="1666"/>
      <c r="C679" s="688"/>
      <c r="D679" s="1667"/>
      <c r="E679" s="1671">
        <v>3.5</v>
      </c>
      <c r="F679" s="1671">
        <v>4</v>
      </c>
      <c r="G679" s="1672">
        <v>0.15</v>
      </c>
      <c r="H679" s="1671">
        <f t="shared" si="81"/>
        <v>0</v>
      </c>
      <c r="I679" s="688" t="s">
        <v>49</v>
      </c>
      <c r="J679" s="1668"/>
      <c r="K679" s="1668"/>
      <c r="L679" s="1669"/>
    </row>
    <row r="680" spans="1:12" s="692" customFormat="1" ht="16.5" hidden="1">
      <c r="A680" s="1670"/>
      <c r="B680" s="1666"/>
      <c r="C680" s="688"/>
      <c r="D680" s="1667"/>
      <c r="E680" s="1671">
        <v>3.5</v>
      </c>
      <c r="F680" s="1671">
        <v>4</v>
      </c>
      <c r="G680" s="1672">
        <v>0.15</v>
      </c>
      <c r="H680" s="1671">
        <f t="shared" si="81"/>
        <v>0</v>
      </c>
      <c r="I680" s="688" t="s">
        <v>49</v>
      </c>
      <c r="J680" s="1668"/>
      <c r="K680" s="1668"/>
      <c r="L680" s="1669"/>
    </row>
    <row r="681" spans="1:12" s="692" customFormat="1" ht="16.5" hidden="1">
      <c r="A681" s="1670"/>
      <c r="B681" s="1666"/>
      <c r="C681" s="688"/>
      <c r="D681" s="1667"/>
      <c r="E681" s="1671">
        <v>3.5</v>
      </c>
      <c r="F681" s="1671">
        <v>4</v>
      </c>
      <c r="G681" s="1672">
        <v>0.15</v>
      </c>
      <c r="H681" s="1671">
        <f t="shared" si="81"/>
        <v>0</v>
      </c>
      <c r="I681" s="688" t="s">
        <v>49</v>
      </c>
      <c r="J681" s="1668"/>
      <c r="K681" s="1668"/>
      <c r="L681" s="1669"/>
    </row>
    <row r="682" spans="1:12" s="692" customFormat="1" ht="16.5" hidden="1">
      <c r="A682" s="1670"/>
      <c r="B682" s="1666"/>
      <c r="C682" s="688"/>
      <c r="D682" s="1667"/>
      <c r="E682" s="688"/>
      <c r="F682" s="688"/>
      <c r="G682" s="1668" t="s">
        <v>928</v>
      </c>
      <c r="H682" s="1673">
        <f>SUM(H676:H681)</f>
        <v>0</v>
      </c>
      <c r="I682" s="1668" t="s">
        <v>49</v>
      </c>
      <c r="J682" s="1669">
        <f>'Lead &amp; ANALYSIS'!L371</f>
        <v>1.3</v>
      </c>
      <c r="K682" s="1668" t="s">
        <v>1514</v>
      </c>
      <c r="L682" s="1669">
        <f>ROUND(H682*J682,0)</f>
        <v>0</v>
      </c>
    </row>
    <row r="683" spans="1:12" s="692" customFormat="1" ht="16.5" hidden="1">
      <c r="A683" s="1670" t="s">
        <v>220</v>
      </c>
      <c r="B683" s="1666" t="s">
        <v>387</v>
      </c>
      <c r="C683" s="688"/>
      <c r="D683" s="1667"/>
      <c r="E683" s="688"/>
      <c r="F683" s="688"/>
      <c r="G683" s="1668"/>
      <c r="H683" s="1673"/>
      <c r="I683" s="1668"/>
      <c r="J683" s="1669"/>
      <c r="K683" s="1668"/>
      <c r="L683" s="1669"/>
    </row>
    <row r="684" spans="1:12" s="692" customFormat="1" ht="16.5" hidden="1">
      <c r="A684" s="1670"/>
      <c r="B684" s="1666"/>
      <c r="C684" s="688"/>
      <c r="D684" s="1667"/>
      <c r="E684" s="1671">
        <v>3.5</v>
      </c>
      <c r="F684" s="1671">
        <v>4</v>
      </c>
      <c r="G684" s="1672">
        <v>0.15</v>
      </c>
      <c r="H684" s="1671">
        <f t="shared" ref="H684:H689" si="82">ROUND(D684*E684*F684*G684,2)</f>
        <v>0</v>
      </c>
      <c r="I684" s="688" t="s">
        <v>49</v>
      </c>
      <c r="J684" s="1668"/>
      <c r="K684" s="1668"/>
      <c r="L684" s="1669"/>
    </row>
    <row r="685" spans="1:12" s="692" customFormat="1" ht="16.5" hidden="1">
      <c r="A685" s="1670"/>
      <c r="B685" s="1666"/>
      <c r="C685" s="688"/>
      <c r="D685" s="1667"/>
      <c r="E685" s="1671">
        <v>3.5</v>
      </c>
      <c r="F685" s="1671">
        <v>4</v>
      </c>
      <c r="G685" s="1672">
        <v>0.15</v>
      </c>
      <c r="H685" s="1671">
        <f t="shared" si="82"/>
        <v>0</v>
      </c>
      <c r="I685" s="688" t="s">
        <v>49</v>
      </c>
      <c r="J685" s="1668"/>
      <c r="K685" s="1668"/>
      <c r="L685" s="1669"/>
    </row>
    <row r="686" spans="1:12" s="692" customFormat="1" ht="16.5" hidden="1">
      <c r="A686" s="1670"/>
      <c r="B686" s="1666"/>
      <c r="C686" s="688"/>
      <c r="D686" s="1667"/>
      <c r="E686" s="1671">
        <v>3.5</v>
      </c>
      <c r="F686" s="1671">
        <v>4</v>
      </c>
      <c r="G686" s="1672">
        <v>0.15</v>
      </c>
      <c r="H686" s="1671">
        <f t="shared" si="82"/>
        <v>0</v>
      </c>
      <c r="I686" s="688" t="s">
        <v>49</v>
      </c>
      <c r="J686" s="1668"/>
      <c r="K686" s="1668"/>
      <c r="L686" s="1669"/>
    </row>
    <row r="687" spans="1:12" s="692" customFormat="1" ht="16.5" hidden="1">
      <c r="A687" s="1670"/>
      <c r="B687" s="1666"/>
      <c r="C687" s="688"/>
      <c r="D687" s="1667"/>
      <c r="E687" s="1671">
        <v>3.5</v>
      </c>
      <c r="F687" s="1671">
        <v>4</v>
      </c>
      <c r="G687" s="1672">
        <v>0.15</v>
      </c>
      <c r="H687" s="1671">
        <f t="shared" si="82"/>
        <v>0</v>
      </c>
      <c r="I687" s="688" t="s">
        <v>49</v>
      </c>
      <c r="J687" s="1668"/>
      <c r="K687" s="1668"/>
      <c r="L687" s="1669"/>
    </row>
    <row r="688" spans="1:12" s="692" customFormat="1" ht="16.5" hidden="1">
      <c r="A688" s="1670"/>
      <c r="B688" s="1666"/>
      <c r="C688" s="688"/>
      <c r="D688" s="1667"/>
      <c r="E688" s="1671">
        <v>3.5</v>
      </c>
      <c r="F688" s="1671">
        <v>4</v>
      </c>
      <c r="G688" s="1672">
        <v>0.15</v>
      </c>
      <c r="H688" s="1671">
        <f t="shared" si="82"/>
        <v>0</v>
      </c>
      <c r="I688" s="688" t="s">
        <v>49</v>
      </c>
      <c r="J688" s="1668"/>
      <c r="K688" s="1668"/>
      <c r="L688" s="1669"/>
    </row>
    <row r="689" spans="1:12" s="692" customFormat="1" ht="16.5" hidden="1">
      <c r="A689" s="1670"/>
      <c r="B689" s="1666"/>
      <c r="C689" s="688"/>
      <c r="D689" s="1667"/>
      <c r="E689" s="1671">
        <v>3.5</v>
      </c>
      <c r="F689" s="1671">
        <v>4</v>
      </c>
      <c r="G689" s="1672">
        <v>0.15</v>
      </c>
      <c r="H689" s="1671">
        <f t="shared" si="82"/>
        <v>0</v>
      </c>
      <c r="I689" s="688" t="s">
        <v>49</v>
      </c>
      <c r="J689" s="1668"/>
      <c r="K689" s="1668"/>
      <c r="L689" s="1669"/>
    </row>
    <row r="690" spans="1:12" s="692" customFormat="1" ht="16.5" hidden="1">
      <c r="A690" s="1670"/>
      <c r="B690" s="1666"/>
      <c r="C690" s="688"/>
      <c r="D690" s="1667"/>
      <c r="E690" s="688"/>
      <c r="F690" s="688"/>
      <c r="G690" s="1668" t="s">
        <v>928</v>
      </c>
      <c r="H690" s="1673">
        <f>SUM(H684:H689)</f>
        <v>0</v>
      </c>
      <c r="I690" s="1668" t="s">
        <v>49</v>
      </c>
      <c r="J690" s="1669">
        <f>'Lead &amp; ANALYSIS'!L372</f>
        <v>1.3</v>
      </c>
      <c r="K690" s="1668" t="s">
        <v>1514</v>
      </c>
      <c r="L690" s="1669">
        <f>ROUND(H690*J690,0)</f>
        <v>0</v>
      </c>
    </row>
    <row r="691" spans="1:12" s="692" customFormat="1" ht="16.5" hidden="1">
      <c r="A691" s="1670" t="s">
        <v>244</v>
      </c>
      <c r="B691" s="1666" t="s">
        <v>3613</v>
      </c>
      <c r="C691" s="688"/>
      <c r="D691" s="1667"/>
      <c r="E691" s="688"/>
      <c r="F691" s="688"/>
      <c r="G691" s="1668"/>
      <c r="H691" s="1673"/>
      <c r="I691" s="1668"/>
      <c r="J691" s="1669"/>
      <c r="K691" s="1668"/>
      <c r="L691" s="1669"/>
    </row>
    <row r="692" spans="1:12" s="692" customFormat="1" ht="16.5" hidden="1">
      <c r="A692" s="1670"/>
      <c r="B692" s="1666"/>
      <c r="C692" s="688"/>
      <c r="D692" s="1667"/>
      <c r="E692" s="1671">
        <v>3.5</v>
      </c>
      <c r="F692" s="1671">
        <v>4</v>
      </c>
      <c r="G692" s="1672">
        <v>0.15</v>
      </c>
      <c r="H692" s="1671">
        <f t="shared" ref="H692:H697" si="83">ROUND(D692*E692*F692*G692,2)</f>
        <v>0</v>
      </c>
      <c r="I692" s="688" t="s">
        <v>49</v>
      </c>
      <c r="J692" s="1668"/>
      <c r="K692" s="1668"/>
      <c r="L692" s="1669"/>
    </row>
    <row r="693" spans="1:12" s="692" customFormat="1" ht="16.5" hidden="1">
      <c r="A693" s="1670"/>
      <c r="B693" s="1666"/>
      <c r="C693" s="688"/>
      <c r="D693" s="1667"/>
      <c r="E693" s="1671">
        <v>3.5</v>
      </c>
      <c r="F693" s="1671">
        <v>4</v>
      </c>
      <c r="G693" s="1672">
        <v>0.15</v>
      </c>
      <c r="H693" s="1671">
        <f t="shared" si="83"/>
        <v>0</v>
      </c>
      <c r="I693" s="688" t="s">
        <v>49</v>
      </c>
      <c r="J693" s="1668"/>
      <c r="K693" s="1668"/>
      <c r="L693" s="1669"/>
    </row>
    <row r="694" spans="1:12" s="692" customFormat="1" ht="16.5" hidden="1">
      <c r="A694" s="1670"/>
      <c r="B694" s="1666"/>
      <c r="C694" s="688"/>
      <c r="D694" s="1667"/>
      <c r="E694" s="1671">
        <v>3.5</v>
      </c>
      <c r="F694" s="1671">
        <v>4</v>
      </c>
      <c r="G694" s="1672">
        <v>0.15</v>
      </c>
      <c r="H694" s="1671">
        <f t="shared" si="83"/>
        <v>0</v>
      </c>
      <c r="I694" s="688" t="s">
        <v>49</v>
      </c>
      <c r="J694" s="1668"/>
      <c r="K694" s="1668"/>
      <c r="L694" s="1669"/>
    </row>
    <row r="695" spans="1:12" s="692" customFormat="1" ht="16.5" hidden="1">
      <c r="A695" s="1670"/>
      <c r="B695" s="1666"/>
      <c r="C695" s="688"/>
      <c r="D695" s="1667"/>
      <c r="E695" s="1671">
        <v>3.5</v>
      </c>
      <c r="F695" s="1671">
        <v>4</v>
      </c>
      <c r="G695" s="1672">
        <v>0.15</v>
      </c>
      <c r="H695" s="1671">
        <f t="shared" si="83"/>
        <v>0</v>
      </c>
      <c r="I695" s="688" t="s">
        <v>49</v>
      </c>
      <c r="J695" s="1668"/>
      <c r="K695" s="1668"/>
      <c r="L695" s="1669"/>
    </row>
    <row r="696" spans="1:12" s="692" customFormat="1" ht="16.5" hidden="1">
      <c r="A696" s="1670"/>
      <c r="B696" s="1666"/>
      <c r="C696" s="688"/>
      <c r="D696" s="1667"/>
      <c r="E696" s="1671">
        <v>3.5</v>
      </c>
      <c r="F696" s="1671">
        <v>4</v>
      </c>
      <c r="G696" s="1672">
        <v>0.15</v>
      </c>
      <c r="H696" s="1671">
        <f t="shared" si="83"/>
        <v>0</v>
      </c>
      <c r="I696" s="688" t="s">
        <v>49</v>
      </c>
      <c r="J696" s="1668"/>
      <c r="K696" s="1668"/>
      <c r="L696" s="1669"/>
    </row>
    <row r="697" spans="1:12" s="692" customFormat="1" ht="16.5" hidden="1">
      <c r="A697" s="1670"/>
      <c r="B697" s="1666"/>
      <c r="C697" s="688"/>
      <c r="D697" s="1667"/>
      <c r="E697" s="1671">
        <v>3.5</v>
      </c>
      <c r="F697" s="1671">
        <v>4</v>
      </c>
      <c r="G697" s="1672">
        <v>0.15</v>
      </c>
      <c r="H697" s="1671">
        <f t="shared" si="83"/>
        <v>0</v>
      </c>
      <c r="I697" s="688" t="s">
        <v>49</v>
      </c>
      <c r="J697" s="1668"/>
      <c r="K697" s="1668"/>
      <c r="L697" s="1669"/>
    </row>
    <row r="698" spans="1:12" s="692" customFormat="1" ht="16.5" hidden="1">
      <c r="A698" s="1670"/>
      <c r="B698" s="1666"/>
      <c r="C698" s="688"/>
      <c r="D698" s="1667"/>
      <c r="E698" s="688"/>
      <c r="F698" s="688"/>
      <c r="G698" s="1668" t="s">
        <v>928</v>
      </c>
      <c r="H698" s="1673">
        <f>SUM(H692:H697)</f>
        <v>0</v>
      </c>
      <c r="I698" s="1668" t="s">
        <v>49</v>
      </c>
      <c r="J698" s="1669">
        <f>'Lead &amp; ANALYSIS'!L373</f>
        <v>1.4</v>
      </c>
      <c r="K698" s="1668" t="s">
        <v>1516</v>
      </c>
      <c r="L698" s="1669">
        <f>ROUND(H698*J698,0)</f>
        <v>0</v>
      </c>
    </row>
    <row r="699" spans="1:12" s="692" customFormat="1" ht="16.5" hidden="1">
      <c r="A699" s="1670" t="s">
        <v>291</v>
      </c>
      <c r="B699" s="1666" t="s">
        <v>3632</v>
      </c>
      <c r="C699" s="688"/>
      <c r="D699" s="1667"/>
      <c r="E699" s="688"/>
      <c r="F699" s="688"/>
      <c r="G699" s="1668"/>
      <c r="H699" s="1673"/>
      <c r="I699" s="1668"/>
      <c r="J699" s="1669"/>
      <c r="K699" s="1668"/>
      <c r="L699" s="1669"/>
    </row>
    <row r="700" spans="1:12" s="692" customFormat="1" ht="16.5" hidden="1">
      <c r="A700" s="1670"/>
      <c r="B700" s="1666"/>
      <c r="C700" s="688"/>
      <c r="D700" s="1667"/>
      <c r="E700" s="1671">
        <v>3.5</v>
      </c>
      <c r="F700" s="1671">
        <v>4</v>
      </c>
      <c r="G700" s="1672">
        <v>0.15</v>
      </c>
      <c r="H700" s="1671">
        <f t="shared" ref="H700:H705" si="84">ROUND(D700*E700*F700*G700,2)</f>
        <v>0</v>
      </c>
      <c r="I700" s="688" t="s">
        <v>49</v>
      </c>
      <c r="J700" s="1668"/>
      <c r="K700" s="1668"/>
      <c r="L700" s="1669"/>
    </row>
    <row r="701" spans="1:12" s="692" customFormat="1" ht="16.5" hidden="1">
      <c r="A701" s="1665"/>
      <c r="B701" s="1666"/>
      <c r="C701" s="688"/>
      <c r="D701" s="1667"/>
      <c r="E701" s="1671">
        <v>3.5</v>
      </c>
      <c r="F701" s="1671">
        <v>4</v>
      </c>
      <c r="G701" s="1672">
        <v>0.15</v>
      </c>
      <c r="H701" s="1671">
        <f t="shared" si="84"/>
        <v>0</v>
      </c>
      <c r="I701" s="688" t="s">
        <v>49</v>
      </c>
      <c r="J701" s="1668"/>
      <c r="K701" s="1668"/>
      <c r="L701" s="1669"/>
    </row>
    <row r="702" spans="1:12" s="692" customFormat="1" ht="16.5" hidden="1">
      <c r="A702" s="1665"/>
      <c r="B702" s="1666"/>
      <c r="C702" s="688"/>
      <c r="D702" s="1667"/>
      <c r="E702" s="1671">
        <v>3.5</v>
      </c>
      <c r="F702" s="1671">
        <v>4</v>
      </c>
      <c r="G702" s="1672">
        <v>0.15</v>
      </c>
      <c r="H702" s="1671">
        <f t="shared" si="84"/>
        <v>0</v>
      </c>
      <c r="I702" s="688" t="s">
        <v>49</v>
      </c>
      <c r="J702" s="1668"/>
      <c r="K702" s="1668"/>
      <c r="L702" s="1669"/>
    </row>
    <row r="703" spans="1:12" s="692" customFormat="1" ht="16.5" hidden="1">
      <c r="A703" s="1665"/>
      <c r="B703" s="1666"/>
      <c r="C703" s="688"/>
      <c r="D703" s="1667"/>
      <c r="E703" s="1671">
        <v>3.5</v>
      </c>
      <c r="F703" s="1671">
        <v>4</v>
      </c>
      <c r="G703" s="1672">
        <v>0.15</v>
      </c>
      <c r="H703" s="1671">
        <f t="shared" si="84"/>
        <v>0</v>
      </c>
      <c r="I703" s="688" t="s">
        <v>49</v>
      </c>
      <c r="J703" s="1668"/>
      <c r="K703" s="1668"/>
      <c r="L703" s="1669"/>
    </row>
    <row r="704" spans="1:12" s="692" customFormat="1" ht="16.5" hidden="1">
      <c r="A704" s="1665"/>
      <c r="B704" s="1666"/>
      <c r="C704" s="688"/>
      <c r="D704" s="1667"/>
      <c r="E704" s="1671">
        <v>3.5</v>
      </c>
      <c r="F704" s="1671">
        <v>4</v>
      </c>
      <c r="G704" s="1672">
        <v>0.15</v>
      </c>
      <c r="H704" s="1671">
        <f t="shared" si="84"/>
        <v>0</v>
      </c>
      <c r="I704" s="688" t="s">
        <v>49</v>
      </c>
      <c r="J704" s="1668"/>
      <c r="K704" s="1668"/>
      <c r="L704" s="1669"/>
    </row>
    <row r="705" spans="1:12" s="692" customFormat="1" ht="16.5" hidden="1">
      <c r="A705" s="1665"/>
      <c r="B705" s="1666"/>
      <c r="C705" s="688"/>
      <c r="D705" s="1667"/>
      <c r="E705" s="1671">
        <v>3.5</v>
      </c>
      <c r="F705" s="1671">
        <v>4</v>
      </c>
      <c r="G705" s="1672">
        <v>0.15</v>
      </c>
      <c r="H705" s="1671">
        <f t="shared" si="84"/>
        <v>0</v>
      </c>
      <c r="I705" s="688" t="s">
        <v>49</v>
      </c>
      <c r="J705" s="1668"/>
      <c r="K705" s="1668"/>
      <c r="L705" s="1669"/>
    </row>
    <row r="706" spans="1:12" s="692" customFormat="1" ht="16.5" hidden="1">
      <c r="A706" s="1665"/>
      <c r="B706" s="1666"/>
      <c r="C706" s="688"/>
      <c r="D706" s="1667"/>
      <c r="E706" s="688"/>
      <c r="F706" s="688"/>
      <c r="G706" s="1668" t="s">
        <v>928</v>
      </c>
      <c r="H706" s="1673">
        <f>SUM(H700:H705)</f>
        <v>0</v>
      </c>
      <c r="I706" s="1668" t="s">
        <v>49</v>
      </c>
      <c r="J706" s="1669">
        <f>'Lead &amp; ANALYSIS'!L374</f>
        <v>1.4</v>
      </c>
      <c r="K706" s="1668" t="s">
        <v>1516</v>
      </c>
      <c r="L706" s="1669">
        <f>ROUND(H706*J706,0)</f>
        <v>0</v>
      </c>
    </row>
    <row r="707" spans="1:12" s="692" customFormat="1" ht="132" hidden="1">
      <c r="A707" s="1665">
        <f>'Lead &amp; ANALYSIS'!A375</f>
        <v>22</v>
      </c>
      <c r="B707" s="1666" t="str">
        <f>'Lead &amp; ANALYSIS'!B375</f>
        <v>Dismantling Wood Work wrought framed and fixed in frames of trusses upto a height of 5 m above plinth level including T&amp;P and scaffolding wherever necessary, sorting the dismantled material, disposal of unserviceable material and stacking the serviceable material with all lifts and lead of 1000 metres etc complete as per specification and direction of Engineer-in-Charge.</v>
      </c>
      <c r="C707" s="688"/>
      <c r="D707" s="1667"/>
      <c r="E707" s="688"/>
      <c r="F707" s="688"/>
      <c r="G707" s="1674"/>
      <c r="H707" s="688"/>
      <c r="I707" s="1668"/>
      <c r="J707" s="1668"/>
      <c r="K707" s="1668"/>
      <c r="L707" s="1669"/>
    </row>
    <row r="708" spans="1:12" s="692" customFormat="1" ht="16.5" hidden="1">
      <c r="A708" s="1670" t="s">
        <v>201</v>
      </c>
      <c r="B708" s="1666" t="s">
        <v>384</v>
      </c>
      <c r="C708" s="688"/>
      <c r="D708" s="1667"/>
      <c r="E708" s="688"/>
      <c r="F708" s="688"/>
      <c r="G708" s="688"/>
      <c r="H708" s="688"/>
      <c r="I708" s="1668"/>
      <c r="J708" s="1668"/>
      <c r="K708" s="1668"/>
      <c r="L708" s="1669"/>
    </row>
    <row r="709" spans="1:12" s="692" customFormat="1" ht="16.5" hidden="1">
      <c r="A709" s="1670"/>
      <c r="B709" s="1666"/>
      <c r="C709" s="688"/>
      <c r="D709" s="1667"/>
      <c r="E709" s="1671">
        <v>3.5</v>
      </c>
      <c r="F709" s="1671">
        <v>4</v>
      </c>
      <c r="G709" s="1672">
        <v>0.15</v>
      </c>
      <c r="H709" s="1671">
        <f t="shared" ref="H709:H714" si="85">ROUND(D709*E709*F709*G709,2)</f>
        <v>0</v>
      </c>
      <c r="I709" s="688" t="s">
        <v>49</v>
      </c>
      <c r="J709" s="1668"/>
      <c r="K709" s="1668"/>
      <c r="L709" s="1669"/>
    </row>
    <row r="710" spans="1:12" s="692" customFormat="1" ht="16.5" hidden="1">
      <c r="A710" s="1670"/>
      <c r="B710" s="1666"/>
      <c r="C710" s="688"/>
      <c r="D710" s="1667"/>
      <c r="E710" s="1671">
        <v>3.5</v>
      </c>
      <c r="F710" s="1671">
        <v>4</v>
      </c>
      <c r="G710" s="1672">
        <v>0.15</v>
      </c>
      <c r="H710" s="1671">
        <f t="shared" si="85"/>
        <v>0</v>
      </c>
      <c r="I710" s="688" t="s">
        <v>49</v>
      </c>
      <c r="J710" s="1668"/>
      <c r="K710" s="1668"/>
      <c r="L710" s="1669"/>
    </row>
    <row r="711" spans="1:12" s="692" customFormat="1" ht="16.5" hidden="1">
      <c r="A711" s="1670"/>
      <c r="B711" s="1666"/>
      <c r="C711" s="688"/>
      <c r="D711" s="1667"/>
      <c r="E711" s="1671">
        <v>3.5</v>
      </c>
      <c r="F711" s="1671">
        <v>4</v>
      </c>
      <c r="G711" s="1672">
        <v>0.15</v>
      </c>
      <c r="H711" s="1671">
        <f t="shared" si="85"/>
        <v>0</v>
      </c>
      <c r="I711" s="688" t="s">
        <v>49</v>
      </c>
      <c r="J711" s="1668"/>
      <c r="K711" s="1668"/>
      <c r="L711" s="1669"/>
    </row>
    <row r="712" spans="1:12" s="692" customFormat="1" ht="16.5" hidden="1">
      <c r="A712" s="1670"/>
      <c r="B712" s="1666"/>
      <c r="C712" s="688"/>
      <c r="D712" s="1667"/>
      <c r="E712" s="1671">
        <v>3.5</v>
      </c>
      <c r="F712" s="1671">
        <v>4</v>
      </c>
      <c r="G712" s="1672">
        <v>0.15</v>
      </c>
      <c r="H712" s="1671">
        <f t="shared" si="85"/>
        <v>0</v>
      </c>
      <c r="I712" s="688" t="s">
        <v>49</v>
      </c>
      <c r="J712" s="1668"/>
      <c r="K712" s="1668"/>
      <c r="L712" s="1669"/>
    </row>
    <row r="713" spans="1:12" s="692" customFormat="1" ht="16.5" hidden="1">
      <c r="A713" s="1670"/>
      <c r="B713" s="1666"/>
      <c r="C713" s="688"/>
      <c r="D713" s="1667"/>
      <c r="E713" s="1671">
        <v>3.5</v>
      </c>
      <c r="F713" s="1671">
        <v>4</v>
      </c>
      <c r="G713" s="1672">
        <v>0.15</v>
      </c>
      <c r="H713" s="1671">
        <f t="shared" si="85"/>
        <v>0</v>
      </c>
      <c r="I713" s="688" t="s">
        <v>49</v>
      </c>
      <c r="J713" s="1668"/>
      <c r="K713" s="1668"/>
      <c r="L713" s="1669"/>
    </row>
    <row r="714" spans="1:12" s="692" customFormat="1" ht="16.5" hidden="1">
      <c r="A714" s="1670"/>
      <c r="B714" s="1666"/>
      <c r="C714" s="688"/>
      <c r="D714" s="1667"/>
      <c r="E714" s="1671">
        <v>3.5</v>
      </c>
      <c r="F714" s="1671">
        <v>4</v>
      </c>
      <c r="G714" s="1672">
        <v>0.15</v>
      </c>
      <c r="H714" s="1671">
        <f t="shared" si="85"/>
        <v>0</v>
      </c>
      <c r="I714" s="688" t="s">
        <v>49</v>
      </c>
      <c r="J714" s="1668"/>
      <c r="K714" s="1668"/>
      <c r="L714" s="1669"/>
    </row>
    <row r="715" spans="1:12" s="692" customFormat="1" ht="16.5" hidden="1">
      <c r="A715" s="1670"/>
      <c r="B715" s="1666"/>
      <c r="C715" s="688"/>
      <c r="D715" s="1667"/>
      <c r="E715" s="688"/>
      <c r="F715" s="688"/>
      <c r="G715" s="1668" t="s">
        <v>928</v>
      </c>
      <c r="H715" s="1673">
        <f>SUM(H709:H714)</f>
        <v>0</v>
      </c>
      <c r="I715" s="1668" t="s">
        <v>49</v>
      </c>
      <c r="J715" s="1669">
        <f>'Lead &amp; ANALYSIS'!L376</f>
        <v>545.70000000000005</v>
      </c>
      <c r="K715" s="1668" t="s">
        <v>1514</v>
      </c>
      <c r="L715" s="1669">
        <f>ROUND(H715*J715,0)</f>
        <v>0</v>
      </c>
    </row>
    <row r="716" spans="1:12" s="692" customFormat="1" ht="16.5" hidden="1">
      <c r="A716" s="1670" t="s">
        <v>220</v>
      </c>
      <c r="B716" s="1666" t="s">
        <v>387</v>
      </c>
      <c r="C716" s="688"/>
      <c r="D716" s="1667"/>
      <c r="E716" s="688"/>
      <c r="F716" s="688"/>
      <c r="G716" s="1668"/>
      <c r="H716" s="1673"/>
      <c r="I716" s="1668"/>
      <c r="J716" s="1669"/>
      <c r="K716" s="1668"/>
      <c r="L716" s="1669"/>
    </row>
    <row r="717" spans="1:12" s="692" customFormat="1" ht="16.5" hidden="1">
      <c r="A717" s="1670"/>
      <c r="B717" s="1666"/>
      <c r="C717" s="688"/>
      <c r="D717" s="1667"/>
      <c r="E717" s="1671">
        <v>3.5</v>
      </c>
      <c r="F717" s="1671">
        <v>4</v>
      </c>
      <c r="G717" s="1672">
        <v>0.15</v>
      </c>
      <c r="H717" s="1671">
        <f t="shared" ref="H717:H722" si="86">ROUND(D717*E717*F717*G717,2)</f>
        <v>0</v>
      </c>
      <c r="I717" s="688" t="s">
        <v>49</v>
      </c>
      <c r="J717" s="1668"/>
      <c r="K717" s="1668"/>
      <c r="L717" s="1669"/>
    </row>
    <row r="718" spans="1:12" s="692" customFormat="1" ht="16.5" hidden="1">
      <c r="A718" s="1670"/>
      <c r="B718" s="1666"/>
      <c r="C718" s="688"/>
      <c r="D718" s="1667"/>
      <c r="E718" s="1671">
        <v>3.5</v>
      </c>
      <c r="F718" s="1671">
        <v>4</v>
      </c>
      <c r="G718" s="1672">
        <v>0.15</v>
      </c>
      <c r="H718" s="1671">
        <f t="shared" si="86"/>
        <v>0</v>
      </c>
      <c r="I718" s="688" t="s">
        <v>49</v>
      </c>
      <c r="J718" s="1668"/>
      <c r="K718" s="1668"/>
      <c r="L718" s="1669"/>
    </row>
    <row r="719" spans="1:12" s="692" customFormat="1" ht="16.5" hidden="1">
      <c r="A719" s="1670"/>
      <c r="B719" s="1666"/>
      <c r="C719" s="688"/>
      <c r="D719" s="1667"/>
      <c r="E719" s="1671">
        <v>3.5</v>
      </c>
      <c r="F719" s="1671">
        <v>4</v>
      </c>
      <c r="G719" s="1672">
        <v>0.15</v>
      </c>
      <c r="H719" s="1671">
        <f t="shared" si="86"/>
        <v>0</v>
      </c>
      <c r="I719" s="688" t="s">
        <v>49</v>
      </c>
      <c r="J719" s="1668"/>
      <c r="K719" s="1668"/>
      <c r="L719" s="1669"/>
    </row>
    <row r="720" spans="1:12" s="692" customFormat="1" ht="16.5" hidden="1">
      <c r="A720" s="1670"/>
      <c r="B720" s="1666"/>
      <c r="C720" s="688"/>
      <c r="D720" s="1667"/>
      <c r="E720" s="1671">
        <v>3.5</v>
      </c>
      <c r="F720" s="1671">
        <v>4</v>
      </c>
      <c r="G720" s="1672">
        <v>0.15</v>
      </c>
      <c r="H720" s="1671">
        <f t="shared" si="86"/>
        <v>0</v>
      </c>
      <c r="I720" s="688" t="s">
        <v>49</v>
      </c>
      <c r="J720" s="1668"/>
      <c r="K720" s="1668"/>
      <c r="L720" s="1669"/>
    </row>
    <row r="721" spans="1:12" s="692" customFormat="1" ht="16.5" hidden="1">
      <c r="A721" s="1670"/>
      <c r="B721" s="1666"/>
      <c r="C721" s="688"/>
      <c r="D721" s="1667"/>
      <c r="E721" s="1671">
        <v>3.5</v>
      </c>
      <c r="F721" s="1671">
        <v>4</v>
      </c>
      <c r="G721" s="1672">
        <v>0.15</v>
      </c>
      <c r="H721" s="1671">
        <f t="shared" si="86"/>
        <v>0</v>
      </c>
      <c r="I721" s="688" t="s">
        <v>49</v>
      </c>
      <c r="J721" s="1668"/>
      <c r="K721" s="1668"/>
      <c r="L721" s="1669"/>
    </row>
    <row r="722" spans="1:12" s="692" customFormat="1" ht="16.5" hidden="1">
      <c r="A722" s="1670"/>
      <c r="B722" s="1666"/>
      <c r="C722" s="688"/>
      <c r="D722" s="1667"/>
      <c r="E722" s="1671">
        <v>3.5</v>
      </c>
      <c r="F722" s="1671">
        <v>4</v>
      </c>
      <c r="G722" s="1672">
        <v>0.15</v>
      </c>
      <c r="H722" s="1671">
        <f t="shared" si="86"/>
        <v>0</v>
      </c>
      <c r="I722" s="688" t="s">
        <v>49</v>
      </c>
      <c r="J722" s="1668"/>
      <c r="K722" s="1668"/>
      <c r="L722" s="1669"/>
    </row>
    <row r="723" spans="1:12" s="692" customFormat="1" ht="16.5" hidden="1">
      <c r="A723" s="1670"/>
      <c r="B723" s="1666"/>
      <c r="C723" s="688"/>
      <c r="D723" s="1667"/>
      <c r="E723" s="688"/>
      <c r="F723" s="688"/>
      <c r="G723" s="1668" t="s">
        <v>928</v>
      </c>
      <c r="H723" s="1673">
        <f>SUM(H717:H722)</f>
        <v>0</v>
      </c>
      <c r="I723" s="1668" t="s">
        <v>49</v>
      </c>
      <c r="J723" s="1669">
        <f>'Lead &amp; ANALYSIS'!L377</f>
        <v>569.1</v>
      </c>
      <c r="K723" s="1668" t="s">
        <v>1514</v>
      </c>
      <c r="L723" s="1669">
        <f>ROUND(H723*J723,0)</f>
        <v>0</v>
      </c>
    </row>
    <row r="724" spans="1:12" s="692" customFormat="1" ht="16.5" hidden="1">
      <c r="A724" s="1670" t="s">
        <v>244</v>
      </c>
      <c r="B724" s="1666" t="s">
        <v>3613</v>
      </c>
      <c r="C724" s="688"/>
      <c r="D724" s="1667"/>
      <c r="E724" s="688"/>
      <c r="F724" s="688"/>
      <c r="G724" s="1668"/>
      <c r="H724" s="1673"/>
      <c r="I724" s="1668"/>
      <c r="J724" s="1669"/>
      <c r="K724" s="1668"/>
      <c r="L724" s="1669"/>
    </row>
    <row r="725" spans="1:12" s="692" customFormat="1" ht="16.5" hidden="1">
      <c r="A725" s="1670"/>
      <c r="B725" s="1666"/>
      <c r="C725" s="688"/>
      <c r="D725" s="1667"/>
      <c r="E725" s="1671">
        <v>3.5</v>
      </c>
      <c r="F725" s="1671">
        <v>4</v>
      </c>
      <c r="G725" s="1672">
        <v>0.15</v>
      </c>
      <c r="H725" s="1671">
        <f t="shared" ref="H725:H730" si="87">ROUND(D725*E725*F725*G725,2)</f>
        <v>0</v>
      </c>
      <c r="I725" s="688" t="s">
        <v>49</v>
      </c>
      <c r="J725" s="1668"/>
      <c r="K725" s="1668"/>
      <c r="L725" s="1669"/>
    </row>
    <row r="726" spans="1:12" s="692" customFormat="1" ht="16.5" hidden="1">
      <c r="A726" s="1670"/>
      <c r="B726" s="1666"/>
      <c r="C726" s="688"/>
      <c r="D726" s="1667"/>
      <c r="E726" s="1671">
        <v>3.5</v>
      </c>
      <c r="F726" s="1671">
        <v>4</v>
      </c>
      <c r="G726" s="1672">
        <v>0.15</v>
      </c>
      <c r="H726" s="1671">
        <f t="shared" si="87"/>
        <v>0</v>
      </c>
      <c r="I726" s="688" t="s">
        <v>49</v>
      </c>
      <c r="J726" s="1668"/>
      <c r="K726" s="1668"/>
      <c r="L726" s="1669"/>
    </row>
    <row r="727" spans="1:12" s="692" customFormat="1" ht="16.5" hidden="1">
      <c r="A727" s="1670"/>
      <c r="B727" s="1666"/>
      <c r="C727" s="688"/>
      <c r="D727" s="1667"/>
      <c r="E727" s="1671">
        <v>3.5</v>
      </c>
      <c r="F727" s="1671">
        <v>4</v>
      </c>
      <c r="G727" s="1672">
        <v>0.15</v>
      </c>
      <c r="H727" s="1671">
        <f t="shared" si="87"/>
        <v>0</v>
      </c>
      <c r="I727" s="688" t="s">
        <v>49</v>
      </c>
      <c r="J727" s="1668"/>
      <c r="K727" s="1668"/>
      <c r="L727" s="1669"/>
    </row>
    <row r="728" spans="1:12" s="692" customFormat="1" ht="16.5" hidden="1">
      <c r="A728" s="1670"/>
      <c r="B728" s="1666"/>
      <c r="C728" s="688"/>
      <c r="D728" s="1667"/>
      <c r="E728" s="1671">
        <v>3.5</v>
      </c>
      <c r="F728" s="1671">
        <v>4</v>
      </c>
      <c r="G728" s="1672">
        <v>0.15</v>
      </c>
      <c r="H728" s="1671">
        <f t="shared" si="87"/>
        <v>0</v>
      </c>
      <c r="I728" s="688" t="s">
        <v>49</v>
      </c>
      <c r="J728" s="1668"/>
      <c r="K728" s="1668"/>
      <c r="L728" s="1669"/>
    </row>
    <row r="729" spans="1:12" s="692" customFormat="1" ht="16.5" hidden="1">
      <c r="A729" s="1670"/>
      <c r="B729" s="1666"/>
      <c r="C729" s="688"/>
      <c r="D729" s="1667"/>
      <c r="E729" s="1671">
        <v>3.5</v>
      </c>
      <c r="F729" s="1671">
        <v>4</v>
      </c>
      <c r="G729" s="1672">
        <v>0.15</v>
      </c>
      <c r="H729" s="1671">
        <f t="shared" si="87"/>
        <v>0</v>
      </c>
      <c r="I729" s="688" t="s">
        <v>49</v>
      </c>
      <c r="J729" s="1668"/>
      <c r="K729" s="1668"/>
      <c r="L729" s="1669"/>
    </row>
    <row r="730" spans="1:12" s="692" customFormat="1" ht="16.5" hidden="1">
      <c r="A730" s="1670"/>
      <c r="B730" s="1666"/>
      <c r="C730" s="688"/>
      <c r="D730" s="1667"/>
      <c r="E730" s="1671">
        <v>3.5</v>
      </c>
      <c r="F730" s="1671">
        <v>4</v>
      </c>
      <c r="G730" s="1672">
        <v>0.15</v>
      </c>
      <c r="H730" s="1671">
        <f t="shared" si="87"/>
        <v>0</v>
      </c>
      <c r="I730" s="688" t="s">
        <v>49</v>
      </c>
      <c r="J730" s="1668"/>
      <c r="K730" s="1668"/>
      <c r="L730" s="1669"/>
    </row>
    <row r="731" spans="1:12" s="692" customFormat="1" ht="16.5" hidden="1">
      <c r="A731" s="1670"/>
      <c r="B731" s="1666"/>
      <c r="C731" s="688"/>
      <c r="D731" s="1667"/>
      <c r="E731" s="688"/>
      <c r="F731" s="688"/>
      <c r="G731" s="1668" t="s">
        <v>928</v>
      </c>
      <c r="H731" s="1673">
        <f>SUM(H725:H730)</f>
        <v>0</v>
      </c>
      <c r="I731" s="1668" t="s">
        <v>49</v>
      </c>
      <c r="J731" s="1669">
        <f>'Lead &amp; ANALYSIS'!L378</f>
        <v>593.70000000000005</v>
      </c>
      <c r="K731" s="1668" t="s">
        <v>1516</v>
      </c>
      <c r="L731" s="1669">
        <f>ROUND(H731*J731,0)</f>
        <v>0</v>
      </c>
    </row>
    <row r="732" spans="1:12" s="692" customFormat="1" ht="16.5" hidden="1">
      <c r="A732" s="1670" t="s">
        <v>291</v>
      </c>
      <c r="B732" s="1666" t="s">
        <v>3632</v>
      </c>
      <c r="C732" s="688"/>
      <c r="D732" s="1667"/>
      <c r="E732" s="688"/>
      <c r="F732" s="688"/>
      <c r="G732" s="1668"/>
      <c r="H732" s="1673"/>
      <c r="I732" s="1668"/>
      <c r="J732" s="1669"/>
      <c r="K732" s="1668"/>
      <c r="L732" s="1669"/>
    </row>
    <row r="733" spans="1:12" s="692" customFormat="1" ht="16.5" hidden="1">
      <c r="A733" s="1670"/>
      <c r="B733" s="1666"/>
      <c r="C733" s="688"/>
      <c r="D733" s="1667"/>
      <c r="E733" s="1671">
        <v>3.5</v>
      </c>
      <c r="F733" s="1671">
        <v>4</v>
      </c>
      <c r="G733" s="1672">
        <v>0.15</v>
      </c>
      <c r="H733" s="1671">
        <f t="shared" ref="H733:H738" si="88">ROUND(D733*E733*F733*G733,2)</f>
        <v>0</v>
      </c>
      <c r="I733" s="688" t="s">
        <v>49</v>
      </c>
      <c r="J733" s="1668"/>
      <c r="K733" s="1668"/>
      <c r="L733" s="1669"/>
    </row>
    <row r="734" spans="1:12" s="692" customFormat="1" ht="16.5" hidden="1">
      <c r="A734" s="1670"/>
      <c r="B734" s="1666"/>
      <c r="C734" s="688"/>
      <c r="D734" s="1667"/>
      <c r="E734" s="1671">
        <v>3.5</v>
      </c>
      <c r="F734" s="1671">
        <v>4</v>
      </c>
      <c r="G734" s="1672">
        <v>0.15</v>
      </c>
      <c r="H734" s="1671">
        <f t="shared" si="88"/>
        <v>0</v>
      </c>
      <c r="I734" s="688" t="s">
        <v>49</v>
      </c>
      <c r="J734" s="1668"/>
      <c r="K734" s="1668"/>
      <c r="L734" s="1669"/>
    </row>
    <row r="735" spans="1:12" s="692" customFormat="1" ht="16.5" hidden="1">
      <c r="A735" s="1670"/>
      <c r="B735" s="1666"/>
      <c r="C735" s="688"/>
      <c r="D735" s="1667"/>
      <c r="E735" s="1671">
        <v>3.5</v>
      </c>
      <c r="F735" s="1671">
        <v>4</v>
      </c>
      <c r="G735" s="1672">
        <v>0.15</v>
      </c>
      <c r="H735" s="1671">
        <f t="shared" si="88"/>
        <v>0</v>
      </c>
      <c r="I735" s="688" t="s">
        <v>49</v>
      </c>
      <c r="J735" s="1668"/>
      <c r="K735" s="1668"/>
      <c r="L735" s="1669"/>
    </row>
    <row r="736" spans="1:12" s="692" customFormat="1" ht="16.5" hidden="1">
      <c r="A736" s="1665"/>
      <c r="B736" s="1666"/>
      <c r="C736" s="688"/>
      <c r="D736" s="1667"/>
      <c r="E736" s="1671">
        <v>3.5</v>
      </c>
      <c r="F736" s="1671">
        <v>4</v>
      </c>
      <c r="G736" s="1672">
        <v>0.15</v>
      </c>
      <c r="H736" s="1671">
        <f t="shared" si="88"/>
        <v>0</v>
      </c>
      <c r="I736" s="688" t="s">
        <v>49</v>
      </c>
      <c r="J736" s="1668"/>
      <c r="K736" s="1668"/>
      <c r="L736" s="1669"/>
    </row>
    <row r="737" spans="1:12" s="692" customFormat="1" ht="16.5" hidden="1">
      <c r="A737" s="1665"/>
      <c r="B737" s="1666"/>
      <c r="C737" s="688"/>
      <c r="D737" s="1667"/>
      <c r="E737" s="1671">
        <v>3.5</v>
      </c>
      <c r="F737" s="1671">
        <v>4</v>
      </c>
      <c r="G737" s="1672">
        <v>0.15</v>
      </c>
      <c r="H737" s="1671">
        <f t="shared" si="88"/>
        <v>0</v>
      </c>
      <c r="I737" s="688" t="s">
        <v>49</v>
      </c>
      <c r="J737" s="1668"/>
      <c r="K737" s="1668"/>
      <c r="L737" s="1669"/>
    </row>
    <row r="738" spans="1:12" s="692" customFormat="1" ht="16.5" hidden="1">
      <c r="A738" s="1665"/>
      <c r="B738" s="1666"/>
      <c r="C738" s="688"/>
      <c r="D738" s="1667"/>
      <c r="E738" s="1671">
        <v>3.5</v>
      </c>
      <c r="F738" s="1671">
        <v>4</v>
      </c>
      <c r="G738" s="1672">
        <v>0.15</v>
      </c>
      <c r="H738" s="1671">
        <f t="shared" si="88"/>
        <v>0</v>
      </c>
      <c r="I738" s="688" t="s">
        <v>49</v>
      </c>
      <c r="J738" s="1668"/>
      <c r="K738" s="1668"/>
      <c r="L738" s="1669"/>
    </row>
    <row r="739" spans="1:12" s="692" customFormat="1" ht="16.5" hidden="1">
      <c r="A739" s="1665"/>
      <c r="B739" s="1666"/>
      <c r="C739" s="688"/>
      <c r="D739" s="1667"/>
      <c r="E739" s="688"/>
      <c r="F739" s="688"/>
      <c r="G739" s="1668" t="s">
        <v>928</v>
      </c>
      <c r="H739" s="1673">
        <f>SUM(H733:H738)</f>
        <v>0</v>
      </c>
      <c r="I739" s="1668" t="s">
        <v>49</v>
      </c>
      <c r="J739" s="1669">
        <f>'Lead &amp; ANALYSIS'!L379</f>
        <v>619.5</v>
      </c>
      <c r="K739" s="1668" t="s">
        <v>1516</v>
      </c>
      <c r="L739" s="1669">
        <f>ROUND(H739*J739,0)</f>
        <v>0</v>
      </c>
    </row>
    <row r="740" spans="1:12" s="692" customFormat="1" ht="49.5">
      <c r="A740" s="1665">
        <v>1</v>
      </c>
      <c r="B740" s="1666" t="str">
        <f>'Lead &amp; ANALYSIS'!B381</f>
        <v>E/W in excavation of foundation trenches in hard soil including dressing of sides and levelling the bed complete as directed by the Engineer in charge.</v>
      </c>
      <c r="C740" s="688"/>
      <c r="D740" s="1667"/>
      <c r="E740" s="688"/>
      <c r="F740" s="688"/>
      <c r="G740" s="1674"/>
      <c r="H740" s="688"/>
      <c r="I740" s="1668"/>
      <c r="J740" s="1668"/>
      <c r="K740" s="1668"/>
      <c r="L740" s="1669"/>
    </row>
    <row r="741" spans="1:12" s="692" customFormat="1" ht="16.5">
      <c r="A741" s="1665" t="s">
        <v>201</v>
      </c>
      <c r="B741" s="1675" t="s">
        <v>384</v>
      </c>
      <c r="C741" s="688"/>
      <c r="D741" s="1667"/>
      <c r="E741" s="688"/>
      <c r="F741" s="688"/>
      <c r="G741" s="688"/>
      <c r="H741" s="688"/>
      <c r="I741" s="1668"/>
      <c r="J741" s="1668"/>
      <c r="K741" s="1668"/>
      <c r="L741" s="1669"/>
    </row>
    <row r="742" spans="1:12" s="692" customFormat="1" ht="16.5">
      <c r="A742" s="1665"/>
      <c r="B742" s="1676" t="s">
        <v>3751</v>
      </c>
      <c r="C742" s="1677"/>
      <c r="D742" s="1678">
        <v>4</v>
      </c>
      <c r="E742" s="1679"/>
      <c r="F742" s="1679"/>
      <c r="G742" s="1680"/>
      <c r="H742" s="1679">
        <f t="shared" ref="H742:H747" si="89">ROUND(D742*E742*F742*G742,2)</f>
        <v>0</v>
      </c>
      <c r="I742" s="1677" t="s">
        <v>49</v>
      </c>
      <c r="J742" s="1668"/>
      <c r="K742" s="1668"/>
      <c r="L742" s="1669"/>
    </row>
    <row r="743" spans="1:12" s="692" customFormat="1" ht="16.5">
      <c r="A743" s="1665"/>
      <c r="B743" s="1676" t="s">
        <v>3752</v>
      </c>
      <c r="C743" s="1677"/>
      <c r="D743" s="1678">
        <v>14</v>
      </c>
      <c r="E743" s="1679"/>
      <c r="F743" s="1679"/>
      <c r="G743" s="1680"/>
      <c r="H743" s="1679">
        <f t="shared" si="89"/>
        <v>0</v>
      </c>
      <c r="I743" s="1677" t="s">
        <v>49</v>
      </c>
      <c r="J743" s="1668"/>
      <c r="K743" s="1668"/>
      <c r="L743" s="1669"/>
    </row>
    <row r="744" spans="1:12" s="692" customFormat="1" ht="16.5">
      <c r="A744" s="1665"/>
      <c r="B744" s="1676" t="s">
        <v>3753</v>
      </c>
      <c r="C744" s="1677"/>
      <c r="D744" s="1678">
        <f>C6</f>
        <v>3</v>
      </c>
      <c r="E744" s="1679"/>
      <c r="F744" s="1679"/>
      <c r="G744" s="1680"/>
      <c r="H744" s="1679">
        <f t="shared" si="89"/>
        <v>0</v>
      </c>
      <c r="I744" s="1677" t="s">
        <v>49</v>
      </c>
      <c r="J744" s="1668"/>
      <c r="K744" s="1668"/>
      <c r="L744" s="1669"/>
    </row>
    <row r="745" spans="1:12" s="692" customFormat="1" ht="16.5">
      <c r="A745" s="1665"/>
      <c r="B745" s="1676" t="s">
        <v>3705</v>
      </c>
      <c r="C745" s="1677"/>
      <c r="D745" s="1678">
        <f>C9</f>
        <v>3</v>
      </c>
      <c r="E745" s="1679"/>
      <c r="F745" s="1679"/>
      <c r="G745" s="1680"/>
      <c r="H745" s="1679">
        <f t="shared" si="89"/>
        <v>0</v>
      </c>
      <c r="I745" s="1677" t="s">
        <v>49</v>
      </c>
      <c r="J745" s="1668"/>
      <c r="K745" s="1668"/>
      <c r="L745" s="1669"/>
    </row>
    <row r="746" spans="1:12" s="692" customFormat="1" ht="16.5">
      <c r="A746" s="1665"/>
      <c r="B746" s="1676"/>
      <c r="C746" s="1677"/>
      <c r="D746" s="1678">
        <f>C10</f>
        <v>2</v>
      </c>
      <c r="E746" s="1679"/>
      <c r="F746" s="1679"/>
      <c r="G746" s="1680"/>
      <c r="H746" s="1679">
        <f t="shared" si="89"/>
        <v>0</v>
      </c>
      <c r="I746" s="1677" t="s">
        <v>49</v>
      </c>
      <c r="J746" s="1668"/>
      <c r="K746" s="1668"/>
      <c r="L746" s="1669"/>
    </row>
    <row r="747" spans="1:12" s="692" customFormat="1" ht="16.5">
      <c r="A747" s="1665"/>
      <c r="B747" s="1676" t="s">
        <v>1880</v>
      </c>
      <c r="C747" s="1677"/>
      <c r="D747" s="1678">
        <v>1</v>
      </c>
      <c r="E747" s="1679"/>
      <c r="F747" s="1681"/>
      <c r="G747" s="1680"/>
      <c r="H747" s="1679">
        <f t="shared" si="89"/>
        <v>0</v>
      </c>
      <c r="I747" s="1677" t="s">
        <v>49</v>
      </c>
      <c r="J747" s="1668"/>
      <c r="K747" s="1668"/>
      <c r="L747" s="1669"/>
    </row>
    <row r="748" spans="1:12" s="692" customFormat="1" ht="16.5">
      <c r="A748" s="1665"/>
      <c r="B748" s="1676" t="s">
        <v>1834</v>
      </c>
      <c r="C748" s="1677"/>
      <c r="D748" s="1678">
        <f>D742</f>
        <v>4</v>
      </c>
      <c r="E748" s="1679"/>
      <c r="F748" s="1679"/>
      <c r="G748" s="1680"/>
      <c r="H748" s="1679">
        <f>-ROUND(D748*E748*F748*G748,2)</f>
        <v>0</v>
      </c>
      <c r="I748" s="1677" t="s">
        <v>49</v>
      </c>
      <c r="J748" s="1668"/>
      <c r="K748" s="1668"/>
      <c r="L748" s="1669"/>
    </row>
    <row r="749" spans="1:12" s="692" customFormat="1" ht="16.5">
      <c r="A749" s="1665"/>
      <c r="B749" s="1666"/>
      <c r="C749" s="688"/>
      <c r="D749" s="1667">
        <f>D743</f>
        <v>14</v>
      </c>
      <c r="E749" s="1671"/>
      <c r="F749" s="1671"/>
      <c r="G749" s="1672"/>
      <c r="H749" s="1679">
        <f>-ROUND(D749*E749*F749*G749,2)</f>
        <v>0</v>
      </c>
      <c r="I749" s="1677" t="s">
        <v>49</v>
      </c>
      <c r="J749" s="1668"/>
      <c r="K749" s="1668"/>
      <c r="L749" s="1669"/>
    </row>
    <row r="750" spans="1:12" s="692" customFormat="1" ht="16.5">
      <c r="A750" s="1665"/>
      <c r="B750" s="1666"/>
      <c r="C750" s="688"/>
      <c r="D750" s="1667"/>
      <c r="E750" s="1671"/>
      <c r="F750" s="1671"/>
      <c r="G750" s="1672"/>
      <c r="H750" s="1671">
        <f t="shared" ref="H750" si="90">ROUND(D750*E750*F750*G750,2)</f>
        <v>0</v>
      </c>
      <c r="I750" s="688" t="s">
        <v>49</v>
      </c>
      <c r="J750" s="1668"/>
      <c r="K750" s="1668"/>
      <c r="L750" s="1669"/>
    </row>
    <row r="751" spans="1:12" s="692" customFormat="1" ht="16.5">
      <c r="A751" s="1665"/>
      <c r="B751" s="1666"/>
      <c r="C751" s="688"/>
      <c r="D751" s="1667"/>
      <c r="E751" s="688"/>
      <c r="F751" s="688"/>
      <c r="G751" s="1668" t="s">
        <v>928</v>
      </c>
      <c r="H751" s="1673">
        <f>SUM(H742:H750)</f>
        <v>0</v>
      </c>
      <c r="I751" s="1668" t="s">
        <v>49</v>
      </c>
      <c r="J751" s="1669">
        <f>'Lead &amp; ANALYSIS'!L381</f>
        <v>206.8</v>
      </c>
      <c r="K751" s="1668" t="s">
        <v>1514</v>
      </c>
      <c r="L751" s="1669">
        <f>ROUND(H751*J751,0)</f>
        <v>0</v>
      </c>
    </row>
    <row r="752" spans="1:12" s="692" customFormat="1" ht="49.5" hidden="1">
      <c r="A752" s="1665">
        <f>'Lead &amp; ANALYSIS'!A382</f>
        <v>24</v>
      </c>
      <c r="B752" s="1666" t="str">
        <f>'Lead &amp; ANALYSIS'!B382</f>
        <v>E/W in excavation of foundation trenches in hard soil including dressing of sides and levelling the bed complete as directed by the Engineer in charge.</v>
      </c>
      <c r="C752" s="688"/>
      <c r="D752" s="1667"/>
      <c r="E752" s="688"/>
      <c r="F752" s="688"/>
      <c r="G752" s="1674"/>
      <c r="H752" s="688"/>
      <c r="I752" s="1668"/>
      <c r="J752" s="1668"/>
      <c r="K752" s="1668"/>
      <c r="L752" s="1669"/>
    </row>
    <row r="753" spans="1:12" s="692" customFormat="1" ht="16.5" hidden="1">
      <c r="A753" s="1665" t="s">
        <v>2977</v>
      </c>
      <c r="B753" s="1666" t="s">
        <v>414</v>
      </c>
      <c r="C753" s="688"/>
      <c r="D753" s="1667"/>
      <c r="E753" s="688"/>
      <c r="F753" s="688"/>
      <c r="G753" s="1674"/>
      <c r="H753" s="688"/>
      <c r="I753" s="1668"/>
      <c r="J753" s="1668"/>
      <c r="K753" s="1668"/>
      <c r="L753" s="1669"/>
    </row>
    <row r="754" spans="1:12" s="692" customFormat="1" ht="16.5" hidden="1">
      <c r="A754" s="1665"/>
      <c r="B754" s="1666"/>
      <c r="C754" s="688"/>
      <c r="D754" s="1667"/>
      <c r="E754" s="1671">
        <v>3.5</v>
      </c>
      <c r="F754" s="1671">
        <v>4</v>
      </c>
      <c r="G754" s="1672">
        <v>0.15</v>
      </c>
      <c r="H754" s="1671">
        <f t="shared" ref="H754:H759" si="91">ROUND(D754*E754*F754*G754,2)</f>
        <v>0</v>
      </c>
      <c r="I754" s="1671" t="s">
        <v>49</v>
      </c>
      <c r="J754" s="1668"/>
      <c r="K754" s="1668"/>
      <c r="L754" s="1669"/>
    </row>
    <row r="755" spans="1:12" s="692" customFormat="1" ht="16.5" hidden="1">
      <c r="A755" s="1665"/>
      <c r="B755" s="1666"/>
      <c r="C755" s="688"/>
      <c r="D755" s="1667"/>
      <c r="E755" s="1671">
        <v>3.5</v>
      </c>
      <c r="F755" s="1671">
        <v>4</v>
      </c>
      <c r="G755" s="1672">
        <v>0.15</v>
      </c>
      <c r="H755" s="1671">
        <f t="shared" si="91"/>
        <v>0</v>
      </c>
      <c r="I755" s="1671" t="s">
        <v>49</v>
      </c>
      <c r="J755" s="1668"/>
      <c r="K755" s="1668"/>
      <c r="L755" s="1669"/>
    </row>
    <row r="756" spans="1:12" s="692" customFormat="1" ht="16.5" hidden="1">
      <c r="A756" s="1665"/>
      <c r="B756" s="1666"/>
      <c r="C756" s="688"/>
      <c r="D756" s="1667"/>
      <c r="E756" s="1671">
        <v>3.5</v>
      </c>
      <c r="F756" s="1671">
        <v>4</v>
      </c>
      <c r="G756" s="1672">
        <v>0.15</v>
      </c>
      <c r="H756" s="1671">
        <f t="shared" si="91"/>
        <v>0</v>
      </c>
      <c r="I756" s="1671" t="s">
        <v>49</v>
      </c>
      <c r="J756" s="1668"/>
      <c r="K756" s="1668"/>
      <c r="L756" s="1669"/>
    </row>
    <row r="757" spans="1:12" s="692" customFormat="1" ht="16.5" hidden="1">
      <c r="A757" s="1665"/>
      <c r="B757" s="1666"/>
      <c r="C757" s="688"/>
      <c r="D757" s="1667"/>
      <c r="E757" s="1671">
        <v>3.5</v>
      </c>
      <c r="F757" s="1671">
        <v>4</v>
      </c>
      <c r="G757" s="1672">
        <v>0.15</v>
      </c>
      <c r="H757" s="1671">
        <f t="shared" si="91"/>
        <v>0</v>
      </c>
      <c r="I757" s="1671" t="s">
        <v>49</v>
      </c>
      <c r="J757" s="1668"/>
      <c r="K757" s="1668"/>
      <c r="L757" s="1669"/>
    </row>
    <row r="758" spans="1:12" s="692" customFormat="1" ht="16.5" hidden="1">
      <c r="A758" s="1665"/>
      <c r="B758" s="1666"/>
      <c r="C758" s="688"/>
      <c r="D758" s="1667"/>
      <c r="E758" s="1671">
        <v>3.5</v>
      </c>
      <c r="F758" s="1671">
        <v>4</v>
      </c>
      <c r="G758" s="1672">
        <v>0.15</v>
      </c>
      <c r="H758" s="1671">
        <f t="shared" si="91"/>
        <v>0</v>
      </c>
      <c r="I758" s="1671" t="s">
        <v>49</v>
      </c>
      <c r="J758" s="1668"/>
      <c r="K758" s="1668"/>
      <c r="L758" s="1669"/>
    </row>
    <row r="759" spans="1:12" s="692" customFormat="1" ht="16.5" hidden="1">
      <c r="A759" s="1665"/>
      <c r="B759" s="1666"/>
      <c r="C759" s="688"/>
      <c r="D759" s="1667"/>
      <c r="E759" s="1671">
        <v>3.5</v>
      </c>
      <c r="F759" s="1671">
        <v>4</v>
      </c>
      <c r="G759" s="1672">
        <v>0.15</v>
      </c>
      <c r="H759" s="1671">
        <f t="shared" si="91"/>
        <v>0</v>
      </c>
      <c r="I759" s="1671" t="s">
        <v>49</v>
      </c>
      <c r="J759" s="1668"/>
      <c r="K759" s="1668"/>
      <c r="L759" s="1669"/>
    </row>
    <row r="760" spans="1:12" s="692" customFormat="1" ht="16.5" hidden="1">
      <c r="A760" s="1665"/>
      <c r="B760" s="1666"/>
      <c r="C760" s="688"/>
      <c r="D760" s="1667"/>
      <c r="E760" s="1671"/>
      <c r="F760" s="1671"/>
      <c r="G760" s="1669" t="s">
        <v>928</v>
      </c>
      <c r="H760" s="1673">
        <f>SUM(H754:H759)</f>
        <v>0</v>
      </c>
      <c r="I760" s="1669" t="s">
        <v>49</v>
      </c>
      <c r="J760" s="1669">
        <f>'Lead &amp; ANALYSIS'!L383</f>
        <v>248.7</v>
      </c>
      <c r="K760" s="1668" t="s">
        <v>1516</v>
      </c>
      <c r="L760" s="1669">
        <f>ROUND(H760*J760,0)</f>
        <v>0</v>
      </c>
    </row>
    <row r="761" spans="1:12" s="692" customFormat="1" ht="16.5" hidden="1">
      <c r="A761" s="1665" t="s">
        <v>2978</v>
      </c>
      <c r="B761" s="1666" t="s">
        <v>416</v>
      </c>
      <c r="C761" s="688"/>
      <c r="D761" s="1667"/>
      <c r="E761" s="688"/>
      <c r="F761" s="688"/>
      <c r="G761" s="1674"/>
      <c r="H761" s="688"/>
      <c r="I761" s="1668"/>
      <c r="J761" s="1668"/>
      <c r="K761" s="1668"/>
      <c r="L761" s="1669"/>
    </row>
    <row r="762" spans="1:12" s="692" customFormat="1" ht="16.5" hidden="1">
      <c r="A762" s="1665"/>
      <c r="B762" s="1666"/>
      <c r="C762" s="688"/>
      <c r="D762" s="1667"/>
      <c r="E762" s="1671">
        <v>3.5</v>
      </c>
      <c r="F762" s="1671">
        <v>4</v>
      </c>
      <c r="G762" s="1672">
        <v>0.15</v>
      </c>
      <c r="H762" s="1671">
        <f t="shared" ref="H762:H767" si="92">ROUND(D762*E762*F762*G762,2)</f>
        <v>0</v>
      </c>
      <c r="I762" s="1671" t="s">
        <v>49</v>
      </c>
      <c r="J762" s="1668"/>
      <c r="K762" s="1668"/>
      <c r="L762" s="1669"/>
    </row>
    <row r="763" spans="1:12" s="692" customFormat="1" ht="16.5" hidden="1">
      <c r="A763" s="1665"/>
      <c r="B763" s="1666"/>
      <c r="C763" s="688"/>
      <c r="D763" s="1667"/>
      <c r="E763" s="1671">
        <v>3.5</v>
      </c>
      <c r="F763" s="1671">
        <v>4</v>
      </c>
      <c r="G763" s="1672">
        <v>0.15</v>
      </c>
      <c r="H763" s="1671">
        <f t="shared" si="92"/>
        <v>0</v>
      </c>
      <c r="I763" s="1671" t="s">
        <v>49</v>
      </c>
      <c r="J763" s="1668"/>
      <c r="K763" s="1668"/>
      <c r="L763" s="1669"/>
    </row>
    <row r="764" spans="1:12" s="692" customFormat="1" ht="16.5" hidden="1">
      <c r="A764" s="1665"/>
      <c r="B764" s="1666"/>
      <c r="C764" s="688"/>
      <c r="D764" s="1667"/>
      <c r="E764" s="1671">
        <v>3.5</v>
      </c>
      <c r="F764" s="1671">
        <v>4</v>
      </c>
      <c r="G764" s="1672">
        <v>0.15</v>
      </c>
      <c r="H764" s="1671">
        <f t="shared" si="92"/>
        <v>0</v>
      </c>
      <c r="I764" s="1671" t="s">
        <v>49</v>
      </c>
      <c r="J764" s="1668"/>
      <c r="K764" s="1668"/>
      <c r="L764" s="1669"/>
    </row>
    <row r="765" spans="1:12" s="692" customFormat="1" ht="16.5" hidden="1">
      <c r="A765" s="1665"/>
      <c r="B765" s="1666"/>
      <c r="C765" s="688"/>
      <c r="D765" s="1667"/>
      <c r="E765" s="1671">
        <v>3.5</v>
      </c>
      <c r="F765" s="1671">
        <v>4</v>
      </c>
      <c r="G765" s="1672">
        <v>0.15</v>
      </c>
      <c r="H765" s="1671">
        <f t="shared" si="92"/>
        <v>0</v>
      </c>
      <c r="I765" s="1671" t="s">
        <v>49</v>
      </c>
      <c r="J765" s="1668"/>
      <c r="K765" s="1668"/>
      <c r="L765" s="1669"/>
    </row>
    <row r="766" spans="1:12" s="692" customFormat="1" ht="16.5" hidden="1">
      <c r="A766" s="1665"/>
      <c r="B766" s="1666"/>
      <c r="C766" s="688"/>
      <c r="D766" s="1667"/>
      <c r="E766" s="1671">
        <v>3.5</v>
      </c>
      <c r="F766" s="1671">
        <v>4</v>
      </c>
      <c r="G766" s="1672">
        <v>0.15</v>
      </c>
      <c r="H766" s="1671">
        <f t="shared" si="92"/>
        <v>0</v>
      </c>
      <c r="I766" s="1671" t="s">
        <v>49</v>
      </c>
      <c r="J766" s="1668"/>
      <c r="K766" s="1668"/>
      <c r="L766" s="1669"/>
    </row>
    <row r="767" spans="1:12" s="692" customFormat="1" ht="16.5" hidden="1">
      <c r="A767" s="1665"/>
      <c r="B767" s="1666"/>
      <c r="C767" s="688"/>
      <c r="D767" s="1667"/>
      <c r="E767" s="1671">
        <v>3.5</v>
      </c>
      <c r="F767" s="1671">
        <v>4</v>
      </c>
      <c r="G767" s="1672">
        <v>0.15</v>
      </c>
      <c r="H767" s="1671">
        <f t="shared" si="92"/>
        <v>0</v>
      </c>
      <c r="I767" s="1671" t="s">
        <v>49</v>
      </c>
      <c r="J767" s="1668"/>
      <c r="K767" s="1668"/>
      <c r="L767" s="1669"/>
    </row>
    <row r="768" spans="1:12" s="692" customFormat="1" ht="16.5" hidden="1">
      <c r="A768" s="1665"/>
      <c r="B768" s="1666"/>
      <c r="C768" s="688"/>
      <c r="D768" s="1667"/>
      <c r="E768" s="1671"/>
      <c r="F768" s="1671"/>
      <c r="G768" s="1669" t="s">
        <v>928</v>
      </c>
      <c r="H768" s="1673">
        <f>SUM(H762:H767)</f>
        <v>0</v>
      </c>
      <c r="I768" s="1669" t="s">
        <v>49</v>
      </c>
      <c r="J768" s="1669">
        <f>'Lead &amp; ANALYSIS'!L384</f>
        <v>298.39999999999998</v>
      </c>
      <c r="K768" s="1668" t="s">
        <v>1516</v>
      </c>
      <c r="L768" s="1669">
        <f>ROUND(H768*J768,0)</f>
        <v>0</v>
      </c>
    </row>
    <row r="769" spans="1:12" s="692" customFormat="1" ht="40.15" hidden="1" customHeight="1">
      <c r="A769" s="1665">
        <f>'Lead &amp; ANALYSIS'!A385</f>
        <v>25</v>
      </c>
      <c r="B769" s="1666" t="str">
        <f>'Lead &amp; ANALYSIS'!B385</f>
        <v>E/W in excavation of foundation trenches in ordinary soil including dressing of sides and levelling the bed complete as directed by the Engineer in charge.</v>
      </c>
      <c r="C769" s="688"/>
      <c r="D769" s="1667"/>
      <c r="E769" s="688"/>
      <c r="F769" s="688"/>
      <c r="G769" s="1674"/>
      <c r="H769" s="688"/>
      <c r="I769" s="1668"/>
      <c r="J769" s="1668"/>
      <c r="K769" s="1668"/>
      <c r="L769" s="1669"/>
    </row>
    <row r="770" spans="1:12" s="692" customFormat="1" ht="16.5" hidden="1">
      <c r="A770" s="1665"/>
      <c r="B770" s="1666"/>
      <c r="C770" s="688"/>
      <c r="D770" s="1667"/>
      <c r="E770" s="1671">
        <v>3.5</v>
      </c>
      <c r="F770" s="1671">
        <v>4</v>
      </c>
      <c r="G770" s="1672">
        <v>0.15</v>
      </c>
      <c r="H770" s="1671">
        <f t="shared" ref="H770:H775" si="93">ROUND(D770*E770*F770*G770,2)</f>
        <v>0</v>
      </c>
      <c r="I770" s="1671" t="s">
        <v>49</v>
      </c>
      <c r="J770" s="1668"/>
      <c r="K770" s="1668"/>
      <c r="L770" s="1669"/>
    </row>
    <row r="771" spans="1:12" s="692" customFormat="1" ht="16.5" hidden="1">
      <c r="A771" s="1665"/>
      <c r="B771" s="1666"/>
      <c r="C771" s="688"/>
      <c r="D771" s="1667"/>
      <c r="E771" s="1671">
        <v>3.5</v>
      </c>
      <c r="F771" s="1671">
        <v>4</v>
      </c>
      <c r="G771" s="1672">
        <v>0.15</v>
      </c>
      <c r="H771" s="1671">
        <f t="shared" si="93"/>
        <v>0</v>
      </c>
      <c r="I771" s="1671" t="s">
        <v>49</v>
      </c>
      <c r="J771" s="1668"/>
      <c r="K771" s="1668"/>
      <c r="L771" s="1669"/>
    </row>
    <row r="772" spans="1:12" s="692" customFormat="1" ht="16.5" hidden="1">
      <c r="A772" s="1665"/>
      <c r="B772" s="1666"/>
      <c r="C772" s="688"/>
      <c r="D772" s="1667"/>
      <c r="E772" s="1671">
        <v>3.5</v>
      </c>
      <c r="F772" s="1671">
        <v>4</v>
      </c>
      <c r="G772" s="1672">
        <v>0.15</v>
      </c>
      <c r="H772" s="1671">
        <f t="shared" si="93"/>
        <v>0</v>
      </c>
      <c r="I772" s="1671" t="s">
        <v>49</v>
      </c>
      <c r="J772" s="1668"/>
      <c r="K772" s="1668"/>
      <c r="L772" s="1669"/>
    </row>
    <row r="773" spans="1:12" s="692" customFormat="1" ht="16.5" hidden="1">
      <c r="A773" s="1665"/>
      <c r="B773" s="1666"/>
      <c r="C773" s="688"/>
      <c r="D773" s="1667"/>
      <c r="E773" s="1671">
        <v>3.5</v>
      </c>
      <c r="F773" s="1671">
        <v>4</v>
      </c>
      <c r="G773" s="1672">
        <v>0.15</v>
      </c>
      <c r="H773" s="1671">
        <f t="shared" si="93"/>
        <v>0</v>
      </c>
      <c r="I773" s="1671" t="s">
        <v>49</v>
      </c>
      <c r="J773" s="1668"/>
      <c r="K773" s="1668"/>
      <c r="L773" s="1669"/>
    </row>
    <row r="774" spans="1:12" s="692" customFormat="1" ht="16.5" hidden="1">
      <c r="A774" s="1665"/>
      <c r="B774" s="1666"/>
      <c r="C774" s="688"/>
      <c r="D774" s="1667"/>
      <c r="E774" s="1671">
        <v>3.5</v>
      </c>
      <c r="F774" s="1671">
        <v>4</v>
      </c>
      <c r="G774" s="1672">
        <v>0.15</v>
      </c>
      <c r="H774" s="1671">
        <f t="shared" si="93"/>
        <v>0</v>
      </c>
      <c r="I774" s="1671" t="s">
        <v>49</v>
      </c>
      <c r="J774" s="1668"/>
      <c r="K774" s="1668"/>
      <c r="L774" s="1669"/>
    </row>
    <row r="775" spans="1:12" s="692" customFormat="1" ht="16.5" hidden="1">
      <c r="A775" s="1665"/>
      <c r="B775" s="1666"/>
      <c r="C775" s="688"/>
      <c r="D775" s="1667"/>
      <c r="E775" s="1671">
        <v>3.5</v>
      </c>
      <c r="F775" s="1671">
        <v>4</v>
      </c>
      <c r="G775" s="1672">
        <v>0.15</v>
      </c>
      <c r="H775" s="1671">
        <f t="shared" si="93"/>
        <v>0</v>
      </c>
      <c r="I775" s="1671" t="s">
        <v>49</v>
      </c>
      <c r="J775" s="1668"/>
      <c r="K775" s="1668"/>
      <c r="L775" s="1669"/>
    </row>
    <row r="776" spans="1:12" s="692" customFormat="1" ht="16.5" hidden="1">
      <c r="A776" s="1665"/>
      <c r="B776" s="1666"/>
      <c r="C776" s="688"/>
      <c r="D776" s="1667"/>
      <c r="E776" s="1671"/>
      <c r="F776" s="1671"/>
      <c r="G776" s="1669" t="s">
        <v>928</v>
      </c>
      <c r="H776" s="1673">
        <f>SUM(H770:H775)</f>
        <v>0</v>
      </c>
      <c r="I776" s="1669" t="s">
        <v>49</v>
      </c>
      <c r="J776" s="1669">
        <f>'Lead &amp; ANALYSIS'!L385</f>
        <v>135.1</v>
      </c>
      <c r="K776" s="1668" t="s">
        <v>1516</v>
      </c>
      <c r="L776" s="1669">
        <f>ROUND(H776*J776,0)</f>
        <v>0</v>
      </c>
    </row>
    <row r="777" spans="1:12" s="692" customFormat="1" ht="49.5" hidden="1">
      <c r="A777" s="1665">
        <f>'Lead &amp; ANALYSIS'!A386</f>
        <v>26</v>
      </c>
      <c r="B777" s="1666" t="str">
        <f>'Lead &amp; ANALYSIS'!B386</f>
        <v>E/W in excavation of foundation trenches in ordinary soil including dressing of sides and levelling the bed complete as directed by the Engineer in charge.</v>
      </c>
      <c r="C777" s="688"/>
      <c r="D777" s="1667"/>
      <c r="E777" s="688"/>
      <c r="F777" s="688"/>
      <c r="G777" s="1674"/>
      <c r="H777" s="688"/>
      <c r="I777" s="1668"/>
      <c r="J777" s="1668"/>
      <c r="K777" s="1668"/>
      <c r="L777" s="1669"/>
    </row>
    <row r="778" spans="1:12" s="692" customFormat="1" ht="16.5" hidden="1">
      <c r="A778" s="1665"/>
      <c r="B778" s="1666" t="s">
        <v>414</v>
      </c>
      <c r="C778" s="688"/>
      <c r="D778" s="1667"/>
      <c r="E778" s="688"/>
      <c r="F778" s="688"/>
      <c r="G778" s="1674"/>
      <c r="H778" s="688"/>
      <c r="I778" s="1668"/>
      <c r="J778" s="1668"/>
      <c r="K778" s="1668"/>
      <c r="L778" s="1669"/>
    </row>
    <row r="779" spans="1:12" s="692" customFormat="1" ht="16.5" hidden="1">
      <c r="A779" s="1665"/>
      <c r="B779" s="1666"/>
      <c r="C779" s="688"/>
      <c r="D779" s="1667"/>
      <c r="E779" s="1671">
        <v>3.5</v>
      </c>
      <c r="F779" s="1671">
        <v>4</v>
      </c>
      <c r="G779" s="1672">
        <v>0.15</v>
      </c>
      <c r="H779" s="1671">
        <f t="shared" ref="H779:H784" si="94">ROUND(D779*E779*F779*G779,2)</f>
        <v>0</v>
      </c>
      <c r="I779" s="1671" t="s">
        <v>49</v>
      </c>
      <c r="J779" s="1668"/>
      <c r="K779" s="1668"/>
      <c r="L779" s="1669"/>
    </row>
    <row r="780" spans="1:12" s="692" customFormat="1" ht="16.5" hidden="1">
      <c r="A780" s="1665"/>
      <c r="B780" s="1666"/>
      <c r="C780" s="688"/>
      <c r="D780" s="1667"/>
      <c r="E780" s="1671">
        <v>3.5</v>
      </c>
      <c r="F780" s="1671">
        <v>4</v>
      </c>
      <c r="G780" s="1672">
        <v>0.15</v>
      </c>
      <c r="H780" s="1671">
        <f t="shared" si="94"/>
        <v>0</v>
      </c>
      <c r="I780" s="1671" t="s">
        <v>49</v>
      </c>
      <c r="J780" s="1668"/>
      <c r="K780" s="1668"/>
      <c r="L780" s="1669"/>
    </row>
    <row r="781" spans="1:12" s="692" customFormat="1" ht="16.5" hidden="1">
      <c r="A781" s="1665"/>
      <c r="B781" s="1666"/>
      <c r="C781" s="688"/>
      <c r="D781" s="1667"/>
      <c r="E781" s="1671">
        <v>3.5</v>
      </c>
      <c r="F781" s="1671">
        <v>4</v>
      </c>
      <c r="G781" s="1672">
        <v>0.15</v>
      </c>
      <c r="H781" s="1671">
        <f t="shared" si="94"/>
        <v>0</v>
      </c>
      <c r="I781" s="1671" t="s">
        <v>49</v>
      </c>
      <c r="J781" s="1668"/>
      <c r="K781" s="1668"/>
      <c r="L781" s="1669"/>
    </row>
    <row r="782" spans="1:12" s="692" customFormat="1" ht="16.5" hidden="1">
      <c r="A782" s="1665"/>
      <c r="B782" s="1666"/>
      <c r="C782" s="688"/>
      <c r="D782" s="1667"/>
      <c r="E782" s="1671">
        <v>3.5</v>
      </c>
      <c r="F782" s="1671">
        <v>4</v>
      </c>
      <c r="G782" s="1672">
        <v>0.15</v>
      </c>
      <c r="H782" s="1671">
        <f t="shared" si="94"/>
        <v>0</v>
      </c>
      <c r="I782" s="1671" t="s">
        <v>49</v>
      </c>
      <c r="J782" s="1668"/>
      <c r="K782" s="1668"/>
      <c r="L782" s="1669"/>
    </row>
    <row r="783" spans="1:12" s="692" customFormat="1" ht="16.5" hidden="1">
      <c r="A783" s="1665"/>
      <c r="B783" s="1666"/>
      <c r="C783" s="688"/>
      <c r="D783" s="1667"/>
      <c r="E783" s="1671">
        <v>3.5</v>
      </c>
      <c r="F783" s="1671">
        <v>4</v>
      </c>
      <c r="G783" s="1672">
        <v>0.15</v>
      </c>
      <c r="H783" s="1671">
        <f t="shared" si="94"/>
        <v>0</v>
      </c>
      <c r="I783" s="1671" t="s">
        <v>49</v>
      </c>
      <c r="J783" s="1668"/>
      <c r="K783" s="1668"/>
      <c r="L783" s="1669"/>
    </row>
    <row r="784" spans="1:12" s="692" customFormat="1" ht="16.5" hidden="1">
      <c r="A784" s="1665"/>
      <c r="B784" s="1666"/>
      <c r="C784" s="688"/>
      <c r="D784" s="1667"/>
      <c r="E784" s="1671">
        <v>3.5</v>
      </c>
      <c r="F784" s="1671">
        <v>4</v>
      </c>
      <c r="G784" s="1672">
        <v>0.15</v>
      </c>
      <c r="H784" s="1671">
        <f t="shared" si="94"/>
        <v>0</v>
      </c>
      <c r="I784" s="1671" t="s">
        <v>49</v>
      </c>
      <c r="J784" s="1668"/>
      <c r="K784" s="1668"/>
      <c r="L784" s="1669"/>
    </row>
    <row r="785" spans="1:12" s="692" customFormat="1" ht="16.5" hidden="1">
      <c r="A785" s="1665"/>
      <c r="B785" s="1666"/>
      <c r="C785" s="688"/>
      <c r="D785" s="1667"/>
      <c r="E785" s="1671"/>
      <c r="F785" s="1671"/>
      <c r="G785" s="1669" t="s">
        <v>928</v>
      </c>
      <c r="H785" s="1673">
        <f>SUM(H779:H784)</f>
        <v>0</v>
      </c>
      <c r="I785" s="1669" t="s">
        <v>49</v>
      </c>
      <c r="J785" s="1669">
        <f>'Lead &amp; ANALYSIS'!L387</f>
        <v>200.2</v>
      </c>
      <c r="K785" s="1668" t="s">
        <v>1516</v>
      </c>
      <c r="L785" s="1669">
        <f>ROUND(H785*J785,0)</f>
        <v>0</v>
      </c>
    </row>
    <row r="786" spans="1:12" s="692" customFormat="1" ht="16.5" hidden="1">
      <c r="A786" s="1665"/>
      <c r="B786" s="1666" t="s">
        <v>416</v>
      </c>
      <c r="C786" s="688"/>
      <c r="D786" s="1667"/>
      <c r="E786" s="688"/>
      <c r="F786" s="688"/>
      <c r="G786" s="1674"/>
      <c r="H786" s="688"/>
      <c r="I786" s="1668"/>
      <c r="J786" s="1668"/>
      <c r="K786" s="1668"/>
      <c r="L786" s="1669"/>
    </row>
    <row r="787" spans="1:12" s="692" customFormat="1" ht="16.5" hidden="1">
      <c r="A787" s="1665"/>
      <c r="B787" s="1666"/>
      <c r="C787" s="688"/>
      <c r="D787" s="1667"/>
      <c r="E787" s="1671">
        <v>3.5</v>
      </c>
      <c r="F787" s="1671">
        <v>4</v>
      </c>
      <c r="G787" s="1672">
        <v>0.15</v>
      </c>
      <c r="H787" s="1671">
        <f t="shared" ref="H787:H792" si="95">ROUND(D787*E787*F787*G787,2)</f>
        <v>0</v>
      </c>
      <c r="I787" s="1671" t="s">
        <v>49</v>
      </c>
      <c r="J787" s="1668"/>
      <c r="K787" s="1668"/>
      <c r="L787" s="1669"/>
    </row>
    <row r="788" spans="1:12" s="692" customFormat="1" ht="16.5" hidden="1">
      <c r="A788" s="1665"/>
      <c r="B788" s="1666"/>
      <c r="C788" s="688"/>
      <c r="D788" s="1667"/>
      <c r="E788" s="1671">
        <v>3.5</v>
      </c>
      <c r="F788" s="1671">
        <v>4</v>
      </c>
      <c r="G788" s="1672">
        <v>0.15</v>
      </c>
      <c r="H788" s="1671">
        <f t="shared" si="95"/>
        <v>0</v>
      </c>
      <c r="I788" s="1671" t="s">
        <v>49</v>
      </c>
      <c r="J788" s="1668"/>
      <c r="K788" s="1668"/>
      <c r="L788" s="1669"/>
    </row>
    <row r="789" spans="1:12" s="692" customFormat="1" ht="16.5" hidden="1">
      <c r="A789" s="1665"/>
      <c r="B789" s="1666"/>
      <c r="C789" s="688"/>
      <c r="D789" s="1667"/>
      <c r="E789" s="1671">
        <v>3.5</v>
      </c>
      <c r="F789" s="1671">
        <v>4</v>
      </c>
      <c r="G789" s="1672">
        <v>0.15</v>
      </c>
      <c r="H789" s="1671">
        <f t="shared" si="95"/>
        <v>0</v>
      </c>
      <c r="I789" s="1671" t="s">
        <v>49</v>
      </c>
      <c r="J789" s="1668"/>
      <c r="K789" s="1668"/>
      <c r="L789" s="1669"/>
    </row>
    <row r="790" spans="1:12" s="692" customFormat="1" ht="16.5" hidden="1">
      <c r="A790" s="1665"/>
      <c r="B790" s="1666"/>
      <c r="C790" s="688"/>
      <c r="D790" s="1667"/>
      <c r="E790" s="1671">
        <v>3.5</v>
      </c>
      <c r="F790" s="1671">
        <v>4</v>
      </c>
      <c r="G790" s="1672">
        <v>0.15</v>
      </c>
      <c r="H790" s="1671">
        <f t="shared" si="95"/>
        <v>0</v>
      </c>
      <c r="I790" s="1671" t="s">
        <v>49</v>
      </c>
      <c r="J790" s="1668"/>
      <c r="K790" s="1668"/>
      <c r="L790" s="1669"/>
    </row>
    <row r="791" spans="1:12" s="692" customFormat="1" ht="16.5" hidden="1">
      <c r="A791" s="1665"/>
      <c r="B791" s="1666"/>
      <c r="C791" s="688"/>
      <c r="D791" s="1667"/>
      <c r="E791" s="1671">
        <v>3.5</v>
      </c>
      <c r="F791" s="1671">
        <v>4</v>
      </c>
      <c r="G791" s="1672">
        <v>0.15</v>
      </c>
      <c r="H791" s="1671">
        <f t="shared" si="95"/>
        <v>0</v>
      </c>
      <c r="I791" s="1671" t="s">
        <v>49</v>
      </c>
      <c r="J791" s="1668"/>
      <c r="K791" s="1668"/>
      <c r="L791" s="1669"/>
    </row>
    <row r="792" spans="1:12" s="692" customFormat="1" ht="16.5" hidden="1">
      <c r="A792" s="1665"/>
      <c r="B792" s="1666"/>
      <c r="C792" s="688"/>
      <c r="D792" s="1667"/>
      <c r="E792" s="1671">
        <v>3.5</v>
      </c>
      <c r="F792" s="1671">
        <v>4</v>
      </c>
      <c r="G792" s="1672">
        <v>0.15</v>
      </c>
      <c r="H792" s="1671">
        <f t="shared" si="95"/>
        <v>0</v>
      </c>
      <c r="I792" s="1671" t="s">
        <v>49</v>
      </c>
      <c r="J792" s="1668"/>
      <c r="K792" s="1668"/>
      <c r="L792" s="1669"/>
    </row>
    <row r="793" spans="1:12" s="692" customFormat="1" ht="16.5" hidden="1">
      <c r="A793" s="1665"/>
      <c r="B793" s="1666"/>
      <c r="C793" s="688"/>
      <c r="D793" s="1667"/>
      <c r="E793" s="1671"/>
      <c r="F793" s="1671"/>
      <c r="G793" s="1669" t="s">
        <v>928</v>
      </c>
      <c r="H793" s="1673">
        <f>SUM(H787:H792)</f>
        <v>0</v>
      </c>
      <c r="I793" s="1669" t="s">
        <v>49</v>
      </c>
      <c r="J793" s="1669">
        <f>'Lead &amp; ANALYSIS'!L388</f>
        <v>240.2</v>
      </c>
      <c r="K793" s="1668" t="s">
        <v>1516</v>
      </c>
      <c r="L793" s="1669">
        <f>ROUND(H793*J793,0)</f>
        <v>0</v>
      </c>
    </row>
    <row r="794" spans="1:12" s="692" customFormat="1" ht="49.5" hidden="1">
      <c r="A794" s="1665">
        <f>'Lead &amp; ANALYSIS'!A389</f>
        <v>27</v>
      </c>
      <c r="B794" s="1666" t="str">
        <f>'Lead &amp; ANALYSIS'!B389</f>
        <v>E/W in excavation of foundation trenches in slushy  soil including dressing of sides and levelling the bed complete as directed by the Engineer in charge.</v>
      </c>
      <c r="C794" s="688"/>
      <c r="D794" s="1667"/>
      <c r="E794" s="688"/>
      <c r="F794" s="688"/>
      <c r="G794" s="1674"/>
      <c r="H794" s="688"/>
      <c r="I794" s="1668"/>
      <c r="J794" s="1668"/>
      <c r="K794" s="1668"/>
      <c r="L794" s="1669"/>
    </row>
    <row r="795" spans="1:12" s="692" customFormat="1" ht="16.5" hidden="1">
      <c r="A795" s="1665"/>
      <c r="B795" s="1666"/>
      <c r="C795" s="688"/>
      <c r="D795" s="1667"/>
      <c r="E795" s="1671">
        <v>3.5</v>
      </c>
      <c r="F795" s="1671">
        <v>4</v>
      </c>
      <c r="G795" s="1672">
        <v>0.15</v>
      </c>
      <c r="H795" s="1671">
        <f t="shared" ref="H795:H800" si="96">ROUND(D795*E795*F795*G795,2)</f>
        <v>0</v>
      </c>
      <c r="I795" s="1671" t="s">
        <v>49</v>
      </c>
      <c r="J795" s="1668"/>
      <c r="K795" s="1668"/>
      <c r="L795" s="1669"/>
    </row>
    <row r="796" spans="1:12" s="692" customFormat="1" ht="16.5" hidden="1">
      <c r="A796" s="1665"/>
      <c r="B796" s="1666"/>
      <c r="C796" s="688"/>
      <c r="D796" s="1667"/>
      <c r="E796" s="1671">
        <v>3.5</v>
      </c>
      <c r="F796" s="1671">
        <v>4</v>
      </c>
      <c r="G796" s="1672">
        <v>0.15</v>
      </c>
      <c r="H796" s="1671">
        <f t="shared" si="96"/>
        <v>0</v>
      </c>
      <c r="I796" s="1671" t="s">
        <v>49</v>
      </c>
      <c r="J796" s="1668"/>
      <c r="K796" s="1668"/>
      <c r="L796" s="1669"/>
    </row>
    <row r="797" spans="1:12" s="692" customFormat="1" ht="16.5" hidden="1">
      <c r="A797" s="1665"/>
      <c r="B797" s="1666"/>
      <c r="C797" s="688"/>
      <c r="D797" s="1667"/>
      <c r="E797" s="1671">
        <v>3.5</v>
      </c>
      <c r="F797" s="1671">
        <v>4</v>
      </c>
      <c r="G797" s="1672">
        <v>0.15</v>
      </c>
      <c r="H797" s="1671">
        <f t="shared" si="96"/>
        <v>0</v>
      </c>
      <c r="I797" s="1671" t="s">
        <v>49</v>
      </c>
      <c r="J797" s="1668"/>
      <c r="K797" s="1668"/>
      <c r="L797" s="1669"/>
    </row>
    <row r="798" spans="1:12" s="692" customFormat="1" ht="16.5" hidden="1">
      <c r="A798" s="1665"/>
      <c r="B798" s="1666"/>
      <c r="C798" s="688"/>
      <c r="D798" s="1667"/>
      <c r="E798" s="1671">
        <v>3.5</v>
      </c>
      <c r="F798" s="1671">
        <v>4</v>
      </c>
      <c r="G798" s="1672">
        <v>0.15</v>
      </c>
      <c r="H798" s="1671">
        <f t="shared" si="96"/>
        <v>0</v>
      </c>
      <c r="I798" s="1671" t="s">
        <v>49</v>
      </c>
      <c r="J798" s="1668"/>
      <c r="K798" s="1668"/>
      <c r="L798" s="1669"/>
    </row>
    <row r="799" spans="1:12" s="692" customFormat="1" ht="16.5" hidden="1">
      <c r="A799" s="1665"/>
      <c r="B799" s="1666"/>
      <c r="C799" s="688"/>
      <c r="D799" s="1667"/>
      <c r="E799" s="1671">
        <v>3.5</v>
      </c>
      <c r="F799" s="1671">
        <v>4</v>
      </c>
      <c r="G799" s="1672">
        <v>0.15</v>
      </c>
      <c r="H799" s="1671">
        <f t="shared" si="96"/>
        <v>0</v>
      </c>
      <c r="I799" s="1671" t="s">
        <v>49</v>
      </c>
      <c r="J799" s="1668"/>
      <c r="K799" s="1668"/>
      <c r="L799" s="1669"/>
    </row>
    <row r="800" spans="1:12" s="692" customFormat="1" ht="16.5" hidden="1">
      <c r="A800" s="1665"/>
      <c r="B800" s="1666"/>
      <c r="C800" s="688"/>
      <c r="D800" s="1667"/>
      <c r="E800" s="1671">
        <v>3.5</v>
      </c>
      <c r="F800" s="1671">
        <v>4</v>
      </c>
      <c r="G800" s="1672">
        <v>0.15</v>
      </c>
      <c r="H800" s="1671">
        <f t="shared" si="96"/>
        <v>0</v>
      </c>
      <c r="I800" s="1671" t="s">
        <v>49</v>
      </c>
      <c r="J800" s="1668"/>
      <c r="K800" s="1668"/>
      <c r="L800" s="1669"/>
    </row>
    <row r="801" spans="1:12" s="692" customFormat="1" ht="16.5" hidden="1">
      <c r="A801" s="1665"/>
      <c r="B801" s="1666"/>
      <c r="C801" s="688"/>
      <c r="D801" s="1667"/>
      <c r="E801" s="1671"/>
      <c r="F801" s="1671"/>
      <c r="G801" s="1669" t="s">
        <v>928</v>
      </c>
      <c r="H801" s="1673">
        <f>SUM(H795:H800)</f>
        <v>0</v>
      </c>
      <c r="I801" s="1669" t="s">
        <v>49</v>
      </c>
      <c r="J801" s="1669">
        <f>'Lead &amp; ANALYSIS'!L389</f>
        <v>185.8</v>
      </c>
      <c r="K801" s="1668" t="s">
        <v>1516</v>
      </c>
      <c r="L801" s="1669">
        <f>ROUND(H801*J801,0)</f>
        <v>0</v>
      </c>
    </row>
    <row r="802" spans="1:12" s="692" customFormat="1" ht="49.5" hidden="1">
      <c r="A802" s="1665">
        <f>'Lead &amp; ANALYSIS'!A390</f>
        <v>28</v>
      </c>
      <c r="B802" s="1666" t="str">
        <f>'Lead &amp; ANALYSIS'!B390</f>
        <v>E/W in excavation of foundation trenches in slushy  soil including dressing of sides and levelling the bed complete as directed by the Engineer in charge.</v>
      </c>
      <c r="C802" s="688"/>
      <c r="D802" s="1667"/>
      <c r="E802" s="688"/>
      <c r="F802" s="688"/>
      <c r="G802" s="1674"/>
      <c r="H802" s="688"/>
      <c r="I802" s="1668"/>
      <c r="J802" s="1668"/>
      <c r="K802" s="1668"/>
      <c r="L802" s="1669"/>
    </row>
    <row r="803" spans="1:12" s="692" customFormat="1" ht="16.5" hidden="1">
      <c r="A803" s="1665"/>
      <c r="B803" s="1666" t="s">
        <v>414</v>
      </c>
      <c r="C803" s="688"/>
      <c r="D803" s="1667"/>
      <c r="E803" s="688"/>
      <c r="F803" s="688"/>
      <c r="G803" s="1674"/>
      <c r="H803" s="688"/>
      <c r="I803" s="1668"/>
      <c r="J803" s="1668"/>
      <c r="K803" s="1668"/>
      <c r="L803" s="1669"/>
    </row>
    <row r="804" spans="1:12" s="692" customFormat="1" ht="16.5" hidden="1">
      <c r="A804" s="1665"/>
      <c r="B804" s="1666"/>
      <c r="C804" s="688"/>
      <c r="D804" s="1667"/>
      <c r="E804" s="1671">
        <v>3.5</v>
      </c>
      <c r="F804" s="1671">
        <v>4</v>
      </c>
      <c r="G804" s="1672">
        <v>0.15</v>
      </c>
      <c r="H804" s="1671">
        <f t="shared" ref="H804:H809" si="97">ROUND(D804*E804*F804*G804,2)</f>
        <v>0</v>
      </c>
      <c r="I804" s="1671" t="s">
        <v>49</v>
      </c>
      <c r="J804" s="1668"/>
      <c r="K804" s="1668"/>
      <c r="L804" s="1669"/>
    </row>
    <row r="805" spans="1:12" s="692" customFormat="1" ht="16.5" hidden="1">
      <c r="A805" s="1665"/>
      <c r="B805" s="1666"/>
      <c r="C805" s="688"/>
      <c r="D805" s="1667"/>
      <c r="E805" s="1671">
        <v>3.5</v>
      </c>
      <c r="F805" s="1671">
        <v>4</v>
      </c>
      <c r="G805" s="1672">
        <v>0.15</v>
      </c>
      <c r="H805" s="1671">
        <f t="shared" si="97"/>
        <v>0</v>
      </c>
      <c r="I805" s="1671" t="s">
        <v>49</v>
      </c>
      <c r="J805" s="1668"/>
      <c r="K805" s="1668"/>
      <c r="L805" s="1669"/>
    </row>
    <row r="806" spans="1:12" s="692" customFormat="1" ht="16.5" hidden="1">
      <c r="A806" s="1665"/>
      <c r="B806" s="1666"/>
      <c r="C806" s="688"/>
      <c r="D806" s="1667"/>
      <c r="E806" s="1671">
        <v>3.5</v>
      </c>
      <c r="F806" s="1671">
        <v>4</v>
      </c>
      <c r="G806" s="1672">
        <v>0.15</v>
      </c>
      <c r="H806" s="1671">
        <f t="shared" si="97"/>
        <v>0</v>
      </c>
      <c r="I806" s="1671" t="s">
        <v>49</v>
      </c>
      <c r="J806" s="1668"/>
      <c r="K806" s="1668"/>
      <c r="L806" s="1669"/>
    </row>
    <row r="807" spans="1:12" s="692" customFormat="1" ht="16.5" hidden="1">
      <c r="A807" s="1665"/>
      <c r="B807" s="1666"/>
      <c r="C807" s="688"/>
      <c r="D807" s="1667"/>
      <c r="E807" s="1671">
        <v>3.5</v>
      </c>
      <c r="F807" s="1671">
        <v>4</v>
      </c>
      <c r="G807" s="1672">
        <v>0.15</v>
      </c>
      <c r="H807" s="1671">
        <f t="shared" si="97"/>
        <v>0</v>
      </c>
      <c r="I807" s="1671" t="s">
        <v>49</v>
      </c>
      <c r="J807" s="1668"/>
      <c r="K807" s="1668"/>
      <c r="L807" s="1669"/>
    </row>
    <row r="808" spans="1:12" s="692" customFormat="1" ht="16.5" hidden="1">
      <c r="A808" s="1665"/>
      <c r="B808" s="1666"/>
      <c r="C808" s="688"/>
      <c r="D808" s="1667"/>
      <c r="E808" s="1671">
        <v>3.5</v>
      </c>
      <c r="F808" s="1671">
        <v>4</v>
      </c>
      <c r="G808" s="1672">
        <v>0.15</v>
      </c>
      <c r="H808" s="1671">
        <f t="shared" si="97"/>
        <v>0</v>
      </c>
      <c r="I808" s="1671" t="s">
        <v>49</v>
      </c>
      <c r="J808" s="1668"/>
      <c r="K808" s="1668"/>
      <c r="L808" s="1669"/>
    </row>
    <row r="809" spans="1:12" s="692" customFormat="1" ht="16.5" hidden="1">
      <c r="A809" s="1665"/>
      <c r="B809" s="1666"/>
      <c r="C809" s="688"/>
      <c r="D809" s="1667"/>
      <c r="E809" s="1671">
        <v>3.5</v>
      </c>
      <c r="F809" s="1671">
        <v>4</v>
      </c>
      <c r="G809" s="1672">
        <v>0.15</v>
      </c>
      <c r="H809" s="1671">
        <f t="shared" si="97"/>
        <v>0</v>
      </c>
      <c r="I809" s="1671" t="s">
        <v>49</v>
      </c>
      <c r="J809" s="1668"/>
      <c r="K809" s="1668"/>
      <c r="L809" s="1669"/>
    </row>
    <row r="810" spans="1:12" s="692" customFormat="1" ht="16.5" hidden="1">
      <c r="A810" s="1665"/>
      <c r="B810" s="1666"/>
      <c r="C810" s="688"/>
      <c r="D810" s="1667"/>
      <c r="E810" s="1671"/>
      <c r="F810" s="1671"/>
      <c r="G810" s="1669" t="s">
        <v>928</v>
      </c>
      <c r="H810" s="1673">
        <f>SUM(H804:H809)</f>
        <v>0</v>
      </c>
      <c r="I810" s="1669" t="s">
        <v>49</v>
      </c>
      <c r="J810" s="1669">
        <f>'Lead &amp; ANALYSIS'!L391</f>
        <v>264.60000000000002</v>
      </c>
      <c r="K810" s="1668" t="s">
        <v>1516</v>
      </c>
      <c r="L810" s="1669">
        <f>ROUND(H810*J810,0)</f>
        <v>0</v>
      </c>
    </row>
    <row r="811" spans="1:12" s="692" customFormat="1" ht="16.5" hidden="1">
      <c r="A811" s="1665"/>
      <c r="B811" s="1666" t="s">
        <v>416</v>
      </c>
      <c r="C811" s="688"/>
      <c r="D811" s="1667"/>
      <c r="E811" s="688"/>
      <c r="F811" s="688"/>
      <c r="G811" s="1674"/>
      <c r="H811" s="688"/>
      <c r="I811" s="1668"/>
      <c r="J811" s="1668"/>
      <c r="K811" s="1668"/>
      <c r="L811" s="1669"/>
    </row>
    <row r="812" spans="1:12" s="692" customFormat="1" ht="16.5" hidden="1">
      <c r="A812" s="1665"/>
      <c r="B812" s="1666"/>
      <c r="C812" s="688"/>
      <c r="D812" s="1667"/>
      <c r="E812" s="1671">
        <v>3.5</v>
      </c>
      <c r="F812" s="1671">
        <v>4</v>
      </c>
      <c r="G812" s="1672">
        <v>0.15</v>
      </c>
      <c r="H812" s="1671">
        <f t="shared" ref="H812:H817" si="98">ROUND(D812*E812*F812*G812,2)</f>
        <v>0</v>
      </c>
      <c r="I812" s="1671" t="s">
        <v>49</v>
      </c>
      <c r="J812" s="1668"/>
      <c r="K812" s="1668"/>
      <c r="L812" s="1669"/>
    </row>
    <row r="813" spans="1:12" s="692" customFormat="1" ht="16.5" hidden="1">
      <c r="A813" s="1665"/>
      <c r="B813" s="1666"/>
      <c r="C813" s="688"/>
      <c r="D813" s="1667"/>
      <c r="E813" s="1671">
        <v>3.5</v>
      </c>
      <c r="F813" s="1671">
        <v>4</v>
      </c>
      <c r="G813" s="1672">
        <v>0.15</v>
      </c>
      <c r="H813" s="1671">
        <f t="shared" si="98"/>
        <v>0</v>
      </c>
      <c r="I813" s="1671" t="s">
        <v>49</v>
      </c>
      <c r="J813" s="1668"/>
      <c r="K813" s="1668"/>
      <c r="L813" s="1669"/>
    </row>
    <row r="814" spans="1:12" s="692" customFormat="1" ht="16.5" hidden="1">
      <c r="A814" s="1665"/>
      <c r="B814" s="1666"/>
      <c r="C814" s="688"/>
      <c r="D814" s="1667"/>
      <c r="E814" s="1671">
        <v>3.5</v>
      </c>
      <c r="F814" s="1671">
        <v>4</v>
      </c>
      <c r="G814" s="1672">
        <v>0.15</v>
      </c>
      <c r="H814" s="1671">
        <f t="shared" si="98"/>
        <v>0</v>
      </c>
      <c r="I814" s="1671" t="s">
        <v>49</v>
      </c>
      <c r="J814" s="1668"/>
      <c r="K814" s="1668"/>
      <c r="L814" s="1669"/>
    </row>
    <row r="815" spans="1:12" s="692" customFormat="1" ht="16.5" hidden="1">
      <c r="A815" s="1665"/>
      <c r="B815" s="1666"/>
      <c r="C815" s="688"/>
      <c r="D815" s="1667"/>
      <c r="E815" s="1671">
        <v>3.5</v>
      </c>
      <c r="F815" s="1671">
        <v>4</v>
      </c>
      <c r="G815" s="1672">
        <v>0.15</v>
      </c>
      <c r="H815" s="1671">
        <f t="shared" si="98"/>
        <v>0</v>
      </c>
      <c r="I815" s="1671" t="s">
        <v>49</v>
      </c>
      <c r="J815" s="1668"/>
      <c r="K815" s="1668"/>
      <c r="L815" s="1669"/>
    </row>
    <row r="816" spans="1:12" s="692" customFormat="1" ht="16.5" hidden="1">
      <c r="A816" s="1665"/>
      <c r="B816" s="1666"/>
      <c r="C816" s="688"/>
      <c r="D816" s="1667"/>
      <c r="E816" s="1671">
        <v>3.5</v>
      </c>
      <c r="F816" s="1671">
        <v>4</v>
      </c>
      <c r="G816" s="1672">
        <v>0.15</v>
      </c>
      <c r="H816" s="1671">
        <f t="shared" si="98"/>
        <v>0</v>
      </c>
      <c r="I816" s="1671" t="s">
        <v>49</v>
      </c>
      <c r="J816" s="1668"/>
      <c r="K816" s="1668"/>
      <c r="L816" s="1669"/>
    </row>
    <row r="817" spans="1:12" s="692" customFormat="1" ht="16.5" hidden="1">
      <c r="A817" s="1665"/>
      <c r="B817" s="1666"/>
      <c r="C817" s="688"/>
      <c r="D817" s="1667"/>
      <c r="E817" s="1671">
        <v>3.5</v>
      </c>
      <c r="F817" s="1671">
        <v>4</v>
      </c>
      <c r="G817" s="1672">
        <v>0.15</v>
      </c>
      <c r="H817" s="1671">
        <f t="shared" si="98"/>
        <v>0</v>
      </c>
      <c r="I817" s="1671" t="s">
        <v>49</v>
      </c>
      <c r="J817" s="1668"/>
      <c r="K817" s="1668"/>
      <c r="L817" s="1669"/>
    </row>
    <row r="818" spans="1:12" s="692" customFormat="1" ht="16.5" hidden="1">
      <c r="A818" s="1665"/>
      <c r="B818" s="1666"/>
      <c r="C818" s="688"/>
      <c r="D818" s="1667"/>
      <c r="E818" s="1671"/>
      <c r="F818" s="1671"/>
      <c r="G818" s="1669" t="s">
        <v>928</v>
      </c>
      <c r="H818" s="1673">
        <f>SUM(H812:H817)</f>
        <v>0</v>
      </c>
      <c r="I818" s="1669" t="s">
        <v>49</v>
      </c>
      <c r="J818" s="1669">
        <f>'Lead &amp; ANALYSIS'!L392</f>
        <v>317.5</v>
      </c>
      <c r="K818" s="1668" t="s">
        <v>1516</v>
      </c>
      <c r="L818" s="1669">
        <f>ROUND(H818*J818,0)</f>
        <v>0</v>
      </c>
    </row>
    <row r="819" spans="1:12" s="692" customFormat="1" ht="49.5" hidden="1">
      <c r="A819" s="1665">
        <f>'Lead &amp; ANALYSIS'!A393</f>
        <v>29</v>
      </c>
      <c r="B819" s="1666" t="str">
        <f>'Lead &amp; ANALYSIS'!B393</f>
        <v>E/W in excavation of foundation trenches in stoney earth including dressing of sides and levelling the bed complete as directed by the Engineer in charge.</v>
      </c>
      <c r="C819" s="688"/>
      <c r="D819" s="1667"/>
      <c r="E819" s="688"/>
      <c r="F819" s="688"/>
      <c r="G819" s="1674"/>
      <c r="H819" s="688"/>
      <c r="I819" s="1668"/>
      <c r="J819" s="1668"/>
      <c r="K819" s="1668"/>
      <c r="L819" s="1669"/>
    </row>
    <row r="820" spans="1:12" s="692" customFormat="1" ht="16.5" hidden="1">
      <c r="A820" s="1665"/>
      <c r="B820" s="1666"/>
      <c r="C820" s="688"/>
      <c r="D820" s="1667"/>
      <c r="E820" s="1671">
        <v>3.5</v>
      </c>
      <c r="F820" s="1671">
        <v>4</v>
      </c>
      <c r="G820" s="1672">
        <v>0.15</v>
      </c>
      <c r="H820" s="1671">
        <f t="shared" ref="H820:H825" si="99">ROUND(D820*E820*F820*G820,2)</f>
        <v>0</v>
      </c>
      <c r="I820" s="1671" t="s">
        <v>49</v>
      </c>
      <c r="J820" s="1668"/>
      <c r="K820" s="1668"/>
      <c r="L820" s="1669"/>
    </row>
    <row r="821" spans="1:12" s="692" customFormat="1" ht="16.5" hidden="1">
      <c r="A821" s="1665"/>
      <c r="B821" s="1666"/>
      <c r="C821" s="688"/>
      <c r="D821" s="1667"/>
      <c r="E821" s="1671">
        <v>3.5</v>
      </c>
      <c r="F821" s="1671">
        <v>4</v>
      </c>
      <c r="G821" s="1672">
        <v>0.15</v>
      </c>
      <c r="H821" s="1671">
        <f t="shared" si="99"/>
        <v>0</v>
      </c>
      <c r="I821" s="1671" t="s">
        <v>49</v>
      </c>
      <c r="J821" s="1668"/>
      <c r="K821" s="1668"/>
      <c r="L821" s="1669"/>
    </row>
    <row r="822" spans="1:12" s="692" customFormat="1" ht="16.5" hidden="1">
      <c r="A822" s="1665"/>
      <c r="B822" s="1666"/>
      <c r="C822" s="688"/>
      <c r="D822" s="1667"/>
      <c r="E822" s="1671">
        <v>3.5</v>
      </c>
      <c r="F822" s="1671">
        <v>4</v>
      </c>
      <c r="G822" s="1672">
        <v>0.15</v>
      </c>
      <c r="H822" s="1671">
        <f t="shared" si="99"/>
        <v>0</v>
      </c>
      <c r="I822" s="1671" t="s">
        <v>49</v>
      </c>
      <c r="J822" s="1668"/>
      <c r="K822" s="1668"/>
      <c r="L822" s="1669"/>
    </row>
    <row r="823" spans="1:12" s="692" customFormat="1" ht="16.5" hidden="1">
      <c r="A823" s="1665"/>
      <c r="B823" s="1666"/>
      <c r="C823" s="688"/>
      <c r="D823" s="1667"/>
      <c r="E823" s="1671">
        <v>3.5</v>
      </c>
      <c r="F823" s="1671">
        <v>4</v>
      </c>
      <c r="G823" s="1672">
        <v>0.15</v>
      </c>
      <c r="H823" s="1671">
        <f t="shared" si="99"/>
        <v>0</v>
      </c>
      <c r="I823" s="1671" t="s">
        <v>49</v>
      </c>
      <c r="J823" s="1668"/>
      <c r="K823" s="1668"/>
      <c r="L823" s="1669"/>
    </row>
    <row r="824" spans="1:12" s="692" customFormat="1" ht="16.5" hidden="1">
      <c r="A824" s="1665"/>
      <c r="B824" s="1666"/>
      <c r="C824" s="688"/>
      <c r="D824" s="1667"/>
      <c r="E824" s="1671">
        <v>3.5</v>
      </c>
      <c r="F824" s="1671">
        <v>4</v>
      </c>
      <c r="G824" s="1672">
        <v>0.15</v>
      </c>
      <c r="H824" s="1671">
        <f t="shared" si="99"/>
        <v>0</v>
      </c>
      <c r="I824" s="1671" t="s">
        <v>49</v>
      </c>
      <c r="J824" s="1668"/>
      <c r="K824" s="1668"/>
      <c r="L824" s="1669"/>
    </row>
    <row r="825" spans="1:12" s="692" customFormat="1" ht="16.5" hidden="1">
      <c r="A825" s="1665"/>
      <c r="B825" s="1666"/>
      <c r="C825" s="688"/>
      <c r="D825" s="1667"/>
      <c r="E825" s="1671">
        <v>3.5</v>
      </c>
      <c r="F825" s="1671">
        <v>4</v>
      </c>
      <c r="G825" s="1672">
        <v>0.15</v>
      </c>
      <c r="H825" s="1671">
        <f t="shared" si="99"/>
        <v>0</v>
      </c>
      <c r="I825" s="1671" t="s">
        <v>49</v>
      </c>
      <c r="J825" s="1668"/>
      <c r="K825" s="1668"/>
      <c r="L825" s="1669"/>
    </row>
    <row r="826" spans="1:12" s="692" customFormat="1" ht="16.5" hidden="1">
      <c r="A826" s="1665"/>
      <c r="B826" s="1666"/>
      <c r="C826" s="688"/>
      <c r="D826" s="1667"/>
      <c r="E826" s="1671"/>
      <c r="F826" s="1671"/>
      <c r="G826" s="1669" t="s">
        <v>928</v>
      </c>
      <c r="H826" s="1673">
        <f>SUM(H820:H825)</f>
        <v>0</v>
      </c>
      <c r="I826" s="1669" t="s">
        <v>49</v>
      </c>
      <c r="J826" s="1669">
        <f>'Lead &amp; ANALYSIS'!L393</f>
        <v>283.2</v>
      </c>
      <c r="K826" s="1668" t="s">
        <v>1516</v>
      </c>
      <c r="L826" s="1669">
        <f>ROUND(H826*J826,0)</f>
        <v>0</v>
      </c>
    </row>
    <row r="827" spans="1:12" s="692" customFormat="1" ht="49.5" hidden="1">
      <c r="A827" s="1665">
        <f>'Lead &amp; ANALYSIS'!A394</f>
        <v>30</v>
      </c>
      <c r="B827" s="1666" t="str">
        <f>'Lead &amp; ANALYSIS'!B394</f>
        <v>E/W in excavation of foundation trenches in stoney earth including dressing of sides and levelling the bed complete as directed by the Engineer in charge.</v>
      </c>
      <c r="C827" s="688"/>
      <c r="D827" s="1667"/>
      <c r="E827" s="688"/>
      <c r="F827" s="688"/>
      <c r="G827" s="1674"/>
      <c r="H827" s="688"/>
      <c r="I827" s="1668"/>
      <c r="J827" s="1668"/>
      <c r="K827" s="1668"/>
      <c r="L827" s="1669"/>
    </row>
    <row r="828" spans="1:12" s="692" customFormat="1" ht="16.5" hidden="1">
      <c r="A828" s="1665"/>
      <c r="B828" s="1666" t="s">
        <v>414</v>
      </c>
      <c r="C828" s="688"/>
      <c r="D828" s="1667"/>
      <c r="E828" s="688"/>
      <c r="F828" s="688"/>
      <c r="G828" s="1674"/>
      <c r="H828" s="688"/>
      <c r="I828" s="1668"/>
      <c r="J828" s="1668"/>
      <c r="K828" s="1668"/>
      <c r="L828" s="1669"/>
    </row>
    <row r="829" spans="1:12" s="692" customFormat="1" ht="16.5" hidden="1">
      <c r="A829" s="1665"/>
      <c r="B829" s="1666"/>
      <c r="C829" s="688"/>
      <c r="D829" s="1667"/>
      <c r="E829" s="1671">
        <v>3.5</v>
      </c>
      <c r="F829" s="1671">
        <v>4</v>
      </c>
      <c r="G829" s="1672">
        <v>0.15</v>
      </c>
      <c r="H829" s="1671">
        <f t="shared" ref="H829:H834" si="100">ROUND(D829*E829*F829*G829,2)</f>
        <v>0</v>
      </c>
      <c r="I829" s="1671" t="s">
        <v>49</v>
      </c>
      <c r="J829" s="1668"/>
      <c r="K829" s="1668"/>
      <c r="L829" s="1669"/>
    </row>
    <row r="830" spans="1:12" s="692" customFormat="1" ht="16.5" hidden="1">
      <c r="A830" s="1665"/>
      <c r="B830" s="1666"/>
      <c r="C830" s="688"/>
      <c r="D830" s="1667"/>
      <c r="E830" s="1671">
        <v>3.5</v>
      </c>
      <c r="F830" s="1671">
        <v>4</v>
      </c>
      <c r="G830" s="1672">
        <v>0.15</v>
      </c>
      <c r="H830" s="1671">
        <f t="shared" si="100"/>
        <v>0</v>
      </c>
      <c r="I830" s="1671" t="s">
        <v>49</v>
      </c>
      <c r="J830" s="1668"/>
      <c r="K830" s="1668"/>
      <c r="L830" s="1669"/>
    </row>
    <row r="831" spans="1:12" s="692" customFormat="1" ht="16.5" hidden="1">
      <c r="A831" s="1665"/>
      <c r="B831" s="1666"/>
      <c r="C831" s="688"/>
      <c r="D831" s="1667"/>
      <c r="E831" s="1671">
        <v>3.5</v>
      </c>
      <c r="F831" s="1671">
        <v>4</v>
      </c>
      <c r="G831" s="1672">
        <v>0.15</v>
      </c>
      <c r="H831" s="1671">
        <f t="shared" si="100"/>
        <v>0</v>
      </c>
      <c r="I831" s="1671" t="s">
        <v>49</v>
      </c>
      <c r="J831" s="1668"/>
      <c r="K831" s="1668"/>
      <c r="L831" s="1669"/>
    </row>
    <row r="832" spans="1:12" s="692" customFormat="1" ht="16.5" hidden="1">
      <c r="A832" s="1665"/>
      <c r="B832" s="1666"/>
      <c r="C832" s="688"/>
      <c r="D832" s="1667"/>
      <c r="E832" s="1671">
        <v>3.5</v>
      </c>
      <c r="F832" s="1671">
        <v>4</v>
      </c>
      <c r="G832" s="1672">
        <v>0.15</v>
      </c>
      <c r="H832" s="1671">
        <f t="shared" si="100"/>
        <v>0</v>
      </c>
      <c r="I832" s="1671" t="s">
        <v>49</v>
      </c>
      <c r="J832" s="1668"/>
      <c r="K832" s="1668"/>
      <c r="L832" s="1669"/>
    </row>
    <row r="833" spans="1:12" s="692" customFormat="1" ht="16.5" hidden="1">
      <c r="A833" s="1665"/>
      <c r="B833" s="1666"/>
      <c r="C833" s="688"/>
      <c r="D833" s="1667"/>
      <c r="E833" s="1671">
        <v>3.5</v>
      </c>
      <c r="F833" s="1671">
        <v>4</v>
      </c>
      <c r="G833" s="1672">
        <v>0.15</v>
      </c>
      <c r="H833" s="1671">
        <f t="shared" si="100"/>
        <v>0</v>
      </c>
      <c r="I833" s="1671" t="s">
        <v>49</v>
      </c>
      <c r="J833" s="1668"/>
      <c r="K833" s="1668"/>
      <c r="L833" s="1669"/>
    </row>
    <row r="834" spans="1:12" s="692" customFormat="1" ht="16.5" hidden="1">
      <c r="A834" s="1665"/>
      <c r="B834" s="1666"/>
      <c r="C834" s="688"/>
      <c r="D834" s="1667"/>
      <c r="E834" s="1671">
        <v>3.5</v>
      </c>
      <c r="F834" s="1671">
        <v>4</v>
      </c>
      <c r="G834" s="1672">
        <v>0.15</v>
      </c>
      <c r="H834" s="1671">
        <f t="shared" si="100"/>
        <v>0</v>
      </c>
      <c r="I834" s="1671" t="s">
        <v>49</v>
      </c>
      <c r="J834" s="1668"/>
      <c r="K834" s="1668"/>
      <c r="L834" s="1669"/>
    </row>
    <row r="835" spans="1:12" s="692" customFormat="1" ht="16.5" hidden="1">
      <c r="A835" s="1665"/>
      <c r="B835" s="1666"/>
      <c r="C835" s="688"/>
      <c r="D835" s="1667"/>
      <c r="E835" s="1671"/>
      <c r="F835" s="1671"/>
      <c r="G835" s="1669" t="s">
        <v>928</v>
      </c>
      <c r="H835" s="1673">
        <f>SUM(H829:H834)</f>
        <v>0</v>
      </c>
      <c r="I835" s="1669" t="s">
        <v>49</v>
      </c>
      <c r="J835" s="1669">
        <f>'Lead &amp; ANALYSIS'!L395</f>
        <v>345</v>
      </c>
      <c r="K835" s="1668" t="s">
        <v>1516</v>
      </c>
      <c r="L835" s="1669">
        <f>ROUND(H835*J835,0)</f>
        <v>0</v>
      </c>
    </row>
    <row r="836" spans="1:12" s="692" customFormat="1" ht="16.5" hidden="1">
      <c r="A836" s="1665"/>
      <c r="B836" s="1666" t="s">
        <v>416</v>
      </c>
      <c r="C836" s="688"/>
      <c r="D836" s="1667"/>
      <c r="E836" s="688"/>
      <c r="F836" s="688"/>
      <c r="G836" s="1674"/>
      <c r="H836" s="688"/>
      <c r="I836" s="1668"/>
      <c r="J836" s="1668"/>
      <c r="K836" s="1668"/>
      <c r="L836" s="1669"/>
    </row>
    <row r="837" spans="1:12" s="692" customFormat="1" ht="16.5" hidden="1">
      <c r="A837" s="1665"/>
      <c r="B837" s="1666"/>
      <c r="C837" s="688"/>
      <c r="D837" s="1667"/>
      <c r="E837" s="1671">
        <v>3.5</v>
      </c>
      <c r="F837" s="1671">
        <v>4</v>
      </c>
      <c r="G837" s="1672">
        <v>0.15</v>
      </c>
      <c r="H837" s="1671">
        <f t="shared" ref="H837:H842" si="101">ROUND(D837*E837*F837*G837,2)</f>
        <v>0</v>
      </c>
      <c r="I837" s="1671" t="s">
        <v>49</v>
      </c>
      <c r="J837" s="1668"/>
      <c r="K837" s="1668"/>
      <c r="L837" s="1669"/>
    </row>
    <row r="838" spans="1:12" s="692" customFormat="1" ht="16.5" hidden="1">
      <c r="A838" s="1665"/>
      <c r="B838" s="1666"/>
      <c r="C838" s="688"/>
      <c r="D838" s="1667"/>
      <c r="E838" s="1671">
        <v>3.5</v>
      </c>
      <c r="F838" s="1671">
        <v>4</v>
      </c>
      <c r="G838" s="1672">
        <v>0.15</v>
      </c>
      <c r="H838" s="1671">
        <f t="shared" si="101"/>
        <v>0</v>
      </c>
      <c r="I838" s="1671" t="s">
        <v>49</v>
      </c>
      <c r="J838" s="1668"/>
      <c r="K838" s="1668"/>
      <c r="L838" s="1669"/>
    </row>
    <row r="839" spans="1:12" s="692" customFormat="1" ht="16.5" hidden="1">
      <c r="A839" s="1665"/>
      <c r="B839" s="1666"/>
      <c r="C839" s="688"/>
      <c r="D839" s="1667"/>
      <c r="E839" s="1671">
        <v>3.5</v>
      </c>
      <c r="F839" s="1671">
        <v>4</v>
      </c>
      <c r="G839" s="1672">
        <v>0.15</v>
      </c>
      <c r="H839" s="1671">
        <f t="shared" si="101"/>
        <v>0</v>
      </c>
      <c r="I839" s="1671" t="s">
        <v>49</v>
      </c>
      <c r="J839" s="1668"/>
      <c r="K839" s="1668"/>
      <c r="L839" s="1669"/>
    </row>
    <row r="840" spans="1:12" s="692" customFormat="1" ht="16.5" hidden="1">
      <c r="A840" s="1665"/>
      <c r="B840" s="1666"/>
      <c r="C840" s="688"/>
      <c r="D840" s="1667"/>
      <c r="E840" s="1671">
        <v>3.5</v>
      </c>
      <c r="F840" s="1671">
        <v>4</v>
      </c>
      <c r="G840" s="1672">
        <v>0.15</v>
      </c>
      <c r="H840" s="1671">
        <f t="shared" si="101"/>
        <v>0</v>
      </c>
      <c r="I840" s="1671" t="s">
        <v>49</v>
      </c>
      <c r="J840" s="1668"/>
      <c r="K840" s="1668"/>
      <c r="L840" s="1669"/>
    </row>
    <row r="841" spans="1:12" s="692" customFormat="1" ht="16.5" hidden="1">
      <c r="A841" s="1665"/>
      <c r="B841" s="1666"/>
      <c r="C841" s="688"/>
      <c r="D841" s="1667"/>
      <c r="E841" s="1671">
        <v>3.5</v>
      </c>
      <c r="F841" s="1671">
        <v>4</v>
      </c>
      <c r="G841" s="1672">
        <v>0.15</v>
      </c>
      <c r="H841" s="1671">
        <f t="shared" si="101"/>
        <v>0</v>
      </c>
      <c r="I841" s="1671" t="s">
        <v>49</v>
      </c>
      <c r="J841" s="1668"/>
      <c r="K841" s="1668"/>
      <c r="L841" s="1669"/>
    </row>
    <row r="842" spans="1:12" s="692" customFormat="1" ht="16.5" hidden="1">
      <c r="A842" s="1665"/>
      <c r="B842" s="1666"/>
      <c r="C842" s="688"/>
      <c r="D842" s="1667"/>
      <c r="E842" s="1671">
        <v>3.5</v>
      </c>
      <c r="F842" s="1671">
        <v>4</v>
      </c>
      <c r="G842" s="1672">
        <v>0.15</v>
      </c>
      <c r="H842" s="1671">
        <f t="shared" si="101"/>
        <v>0</v>
      </c>
      <c r="I842" s="1671" t="s">
        <v>49</v>
      </c>
      <c r="J842" s="1668"/>
      <c r="K842" s="1668"/>
      <c r="L842" s="1669"/>
    </row>
    <row r="843" spans="1:12" s="692" customFormat="1" ht="16.5" hidden="1">
      <c r="A843" s="1665"/>
      <c r="B843" s="1666"/>
      <c r="C843" s="688"/>
      <c r="D843" s="1667"/>
      <c r="E843" s="1671"/>
      <c r="F843" s="1671"/>
      <c r="G843" s="1669" t="s">
        <v>928</v>
      </c>
      <c r="H843" s="1673">
        <f>SUM(H837:H842)</f>
        <v>0</v>
      </c>
      <c r="I843" s="1669" t="s">
        <v>49</v>
      </c>
      <c r="J843" s="1669">
        <f>'Lead &amp; ANALYSIS'!L396</f>
        <v>414</v>
      </c>
      <c r="K843" s="1668" t="s">
        <v>1516</v>
      </c>
      <c r="L843" s="1669">
        <f>ROUND(H843*J843,0)</f>
        <v>0</v>
      </c>
    </row>
    <row r="844" spans="1:12" s="692" customFormat="1" ht="72" hidden="1" customHeight="1">
      <c r="A844" s="1665">
        <f>'Lead &amp; ANALYSIS'!A397</f>
        <v>31</v>
      </c>
      <c r="B844" s="1666" t="str">
        <f>'Lead &amp; ANALYSIS'!B397</f>
        <v>E/W in excavation of foundation trenches in Laterite rock or any hard rock other than granite removed by  chiselling including dressing of sides and levelling the bed not exceeding 1.5m in depth and depositing the soil within initial lead of 50m  complete as directed by the Engineer in charge.</v>
      </c>
      <c r="C844" s="688"/>
      <c r="D844" s="1667"/>
      <c r="E844" s="688"/>
      <c r="F844" s="688"/>
      <c r="G844" s="1674"/>
      <c r="H844" s="688"/>
      <c r="I844" s="1668"/>
      <c r="J844" s="1668"/>
      <c r="K844" s="1668"/>
      <c r="L844" s="1669"/>
    </row>
    <row r="845" spans="1:12" s="692" customFormat="1" ht="16.5" hidden="1">
      <c r="A845" s="1665"/>
      <c r="B845" s="1666"/>
      <c r="C845" s="688"/>
      <c r="D845" s="1667"/>
      <c r="E845" s="1671">
        <v>3.5</v>
      </c>
      <c r="F845" s="1671">
        <v>4</v>
      </c>
      <c r="G845" s="1672">
        <v>0.15</v>
      </c>
      <c r="H845" s="1671">
        <f t="shared" ref="H845:H850" si="102">ROUND(D845*E845*F845*G845,2)</f>
        <v>0</v>
      </c>
      <c r="I845" s="1671" t="s">
        <v>49</v>
      </c>
      <c r="J845" s="1668"/>
      <c r="K845" s="1668"/>
      <c r="L845" s="1669"/>
    </row>
    <row r="846" spans="1:12" s="692" customFormat="1" ht="16.5" hidden="1">
      <c r="A846" s="1665"/>
      <c r="B846" s="1666"/>
      <c r="C846" s="688"/>
      <c r="D846" s="1667"/>
      <c r="E846" s="1671">
        <v>3.5</v>
      </c>
      <c r="F846" s="1671">
        <v>4</v>
      </c>
      <c r="G846" s="1672">
        <v>0.15</v>
      </c>
      <c r="H846" s="1671">
        <f t="shared" si="102"/>
        <v>0</v>
      </c>
      <c r="I846" s="1671" t="s">
        <v>49</v>
      </c>
      <c r="J846" s="1668"/>
      <c r="K846" s="1668"/>
      <c r="L846" s="1669"/>
    </row>
    <row r="847" spans="1:12" s="692" customFormat="1" ht="16.5" hidden="1">
      <c r="A847" s="1665"/>
      <c r="B847" s="1666"/>
      <c r="C847" s="688"/>
      <c r="D847" s="1667"/>
      <c r="E847" s="1671">
        <v>3.5</v>
      </c>
      <c r="F847" s="1671">
        <v>4</v>
      </c>
      <c r="G847" s="1672">
        <v>0.15</v>
      </c>
      <c r="H847" s="1671">
        <f t="shared" si="102"/>
        <v>0</v>
      </c>
      <c r="I847" s="1671" t="s">
        <v>49</v>
      </c>
      <c r="J847" s="1668"/>
      <c r="K847" s="1668"/>
      <c r="L847" s="1669"/>
    </row>
    <row r="848" spans="1:12" s="692" customFormat="1" ht="16.5" hidden="1">
      <c r="A848" s="1665"/>
      <c r="B848" s="1666"/>
      <c r="C848" s="688"/>
      <c r="D848" s="1667"/>
      <c r="E848" s="1671">
        <v>3.5</v>
      </c>
      <c r="F848" s="1671">
        <v>4</v>
      </c>
      <c r="G848" s="1672">
        <v>0.15</v>
      </c>
      <c r="H848" s="1671">
        <f t="shared" si="102"/>
        <v>0</v>
      </c>
      <c r="I848" s="1671" t="s">
        <v>49</v>
      </c>
      <c r="J848" s="1668"/>
      <c r="K848" s="1668"/>
      <c r="L848" s="1669"/>
    </row>
    <row r="849" spans="1:12" s="692" customFormat="1" ht="16.5" hidden="1">
      <c r="A849" s="1665"/>
      <c r="B849" s="1666"/>
      <c r="C849" s="688"/>
      <c r="D849" s="1667"/>
      <c r="E849" s="1671">
        <v>3.5</v>
      </c>
      <c r="F849" s="1671">
        <v>4</v>
      </c>
      <c r="G849" s="1672">
        <v>0.15</v>
      </c>
      <c r="H849" s="1671">
        <f t="shared" si="102"/>
        <v>0</v>
      </c>
      <c r="I849" s="1671" t="s">
        <v>49</v>
      </c>
      <c r="J849" s="1668"/>
      <c r="K849" s="1668"/>
      <c r="L849" s="1669"/>
    </row>
    <row r="850" spans="1:12" s="692" customFormat="1" ht="16.5" hidden="1">
      <c r="A850" s="1665"/>
      <c r="B850" s="1666"/>
      <c r="C850" s="688"/>
      <c r="D850" s="1667"/>
      <c r="E850" s="1671">
        <v>3.5</v>
      </c>
      <c r="F850" s="1671">
        <v>4</v>
      </c>
      <c r="G850" s="1672">
        <v>0.15</v>
      </c>
      <c r="H850" s="1671">
        <f t="shared" si="102"/>
        <v>0</v>
      </c>
      <c r="I850" s="1671" t="s">
        <v>49</v>
      </c>
      <c r="J850" s="1668"/>
      <c r="K850" s="1668"/>
      <c r="L850" s="1669"/>
    </row>
    <row r="851" spans="1:12" s="692" customFormat="1" ht="16.5" hidden="1">
      <c r="A851" s="1665"/>
      <c r="B851" s="1666"/>
      <c r="C851" s="688"/>
      <c r="D851" s="1667"/>
      <c r="E851" s="1671"/>
      <c r="F851" s="1671"/>
      <c r="G851" s="1669" t="s">
        <v>928</v>
      </c>
      <c r="H851" s="1673">
        <f>SUM(H845:H850)</f>
        <v>0</v>
      </c>
      <c r="I851" s="1669" t="s">
        <v>49</v>
      </c>
      <c r="J851" s="1669">
        <f>'Lead &amp; ANALYSIS'!L397</f>
        <v>1316.1</v>
      </c>
      <c r="K851" s="1668" t="s">
        <v>1516</v>
      </c>
      <c r="L851" s="1669">
        <f>ROUND(H851*J851,0)</f>
        <v>0</v>
      </c>
    </row>
    <row r="852" spans="1:12" s="692" customFormat="1" ht="99" hidden="1">
      <c r="A852" s="1665">
        <f>'Lead &amp; ANALYSIS'!A398</f>
        <v>32</v>
      </c>
      <c r="B852" s="1666" t="str">
        <f>'Lead &amp; ANALYSIS'!B398</f>
        <v>Cutting in disintegrated rock not requiring blasting to be removed by pick axes and crow bars and depositing materials within 50m initial lead and 1.5m initial lift including rough dressing as per direction and specification of the department including stacking the useful materials separately as ordered.</v>
      </c>
      <c r="C852" s="688"/>
      <c r="D852" s="1667"/>
      <c r="E852" s="688"/>
      <c r="F852" s="688"/>
      <c r="G852" s="1674"/>
      <c r="H852" s="688"/>
      <c r="I852" s="1668"/>
      <c r="J852" s="1668"/>
      <c r="K852" s="1668"/>
      <c r="L852" s="1669"/>
    </row>
    <row r="853" spans="1:12" s="692" customFormat="1" ht="16.5" hidden="1">
      <c r="A853" s="1665"/>
      <c r="B853" s="1666"/>
      <c r="C853" s="688"/>
      <c r="D853" s="1667"/>
      <c r="E853" s="1671">
        <v>3.5</v>
      </c>
      <c r="F853" s="1671">
        <v>4</v>
      </c>
      <c r="G853" s="1672">
        <v>0.15</v>
      </c>
      <c r="H853" s="1671">
        <f t="shared" ref="H853:H858" si="103">ROUND(D853*E853*F853*G853,2)</f>
        <v>0</v>
      </c>
      <c r="I853" s="1671" t="s">
        <v>49</v>
      </c>
      <c r="J853" s="1668"/>
      <c r="K853" s="1668"/>
      <c r="L853" s="1669"/>
    </row>
    <row r="854" spans="1:12" s="692" customFormat="1" ht="16.5" hidden="1">
      <c r="A854" s="1665"/>
      <c r="B854" s="1666"/>
      <c r="C854" s="688"/>
      <c r="D854" s="1667"/>
      <c r="E854" s="1671">
        <v>3.5</v>
      </c>
      <c r="F854" s="1671">
        <v>4</v>
      </c>
      <c r="G854" s="1672">
        <v>0.15</v>
      </c>
      <c r="H854" s="1671">
        <f t="shared" si="103"/>
        <v>0</v>
      </c>
      <c r="I854" s="1671" t="s">
        <v>49</v>
      </c>
      <c r="J854" s="1668"/>
      <c r="K854" s="1668"/>
      <c r="L854" s="1669"/>
    </row>
    <row r="855" spans="1:12" s="692" customFormat="1" ht="16.5" hidden="1">
      <c r="A855" s="1665"/>
      <c r="B855" s="1666"/>
      <c r="C855" s="688"/>
      <c r="D855" s="1667"/>
      <c r="E855" s="1671">
        <v>3.5</v>
      </c>
      <c r="F855" s="1671">
        <v>4</v>
      </c>
      <c r="G855" s="1672">
        <v>0.15</v>
      </c>
      <c r="H855" s="1671">
        <f t="shared" si="103"/>
        <v>0</v>
      </c>
      <c r="I855" s="1671" t="s">
        <v>49</v>
      </c>
      <c r="J855" s="1668"/>
      <c r="K855" s="1668"/>
      <c r="L855" s="1669"/>
    </row>
    <row r="856" spans="1:12" s="692" customFormat="1" ht="16.5" hidden="1">
      <c r="A856" s="1665"/>
      <c r="B856" s="1666"/>
      <c r="C856" s="688"/>
      <c r="D856" s="1667"/>
      <c r="E856" s="1671">
        <v>3.5</v>
      </c>
      <c r="F856" s="1671">
        <v>4</v>
      </c>
      <c r="G856" s="1672">
        <v>0.15</v>
      </c>
      <c r="H856" s="1671">
        <f t="shared" si="103"/>
        <v>0</v>
      </c>
      <c r="I856" s="1671" t="s">
        <v>49</v>
      </c>
      <c r="J856" s="1668"/>
      <c r="K856" s="1668"/>
      <c r="L856" s="1669"/>
    </row>
    <row r="857" spans="1:12" s="692" customFormat="1" ht="16.5" hidden="1">
      <c r="A857" s="1665"/>
      <c r="B857" s="1666"/>
      <c r="C857" s="688"/>
      <c r="D857" s="1667"/>
      <c r="E857" s="1671">
        <v>3.5</v>
      </c>
      <c r="F857" s="1671">
        <v>4</v>
      </c>
      <c r="G857" s="1672">
        <v>0.15</v>
      </c>
      <c r="H857" s="1671">
        <f t="shared" si="103"/>
        <v>0</v>
      </c>
      <c r="I857" s="1671" t="s">
        <v>49</v>
      </c>
      <c r="J857" s="1668"/>
      <c r="K857" s="1668"/>
      <c r="L857" s="1669"/>
    </row>
    <row r="858" spans="1:12" s="692" customFormat="1" ht="16.5" hidden="1">
      <c r="A858" s="1665"/>
      <c r="B858" s="1666"/>
      <c r="C858" s="688"/>
      <c r="D858" s="1667"/>
      <c r="E858" s="1671">
        <v>3.5</v>
      </c>
      <c r="F858" s="1671">
        <v>4</v>
      </c>
      <c r="G858" s="1672">
        <v>0.15</v>
      </c>
      <c r="H858" s="1671">
        <f t="shared" si="103"/>
        <v>0</v>
      </c>
      <c r="I858" s="1671" t="s">
        <v>49</v>
      </c>
      <c r="J858" s="1668"/>
      <c r="K858" s="1668"/>
      <c r="L858" s="1669"/>
    </row>
    <row r="859" spans="1:12" s="692" customFormat="1" ht="16.5" hidden="1">
      <c r="A859" s="1665"/>
      <c r="B859" s="1666"/>
      <c r="C859" s="688"/>
      <c r="D859" s="1667"/>
      <c r="E859" s="1671"/>
      <c r="F859" s="1671"/>
      <c r="G859" s="1669" t="s">
        <v>928</v>
      </c>
      <c r="H859" s="1673">
        <f>SUM(H853:H858)</f>
        <v>0</v>
      </c>
      <c r="I859" s="1669" t="s">
        <v>49</v>
      </c>
      <c r="J859" s="1669">
        <f>'Lead &amp; ANALYSIS'!L398</f>
        <v>383.6</v>
      </c>
      <c r="K859" s="1668" t="s">
        <v>1516</v>
      </c>
      <c r="L859" s="1669">
        <f>ROUND(H859*J859,0)</f>
        <v>0</v>
      </c>
    </row>
    <row r="860" spans="1:12" s="692" customFormat="1" ht="66">
      <c r="A860" s="1665">
        <v>2</v>
      </c>
      <c r="B860" s="1666" t="str">
        <f>'Lead &amp; ANALYSIS'!B399</f>
        <v>Supplying and filling in foundation trenches and plinth, ditches with sand well watered and rammed  etc. complete in all respect as per direction by the Engineer in charge.</v>
      </c>
      <c r="C860" s="688"/>
      <c r="D860" s="1667"/>
      <c r="E860" s="688"/>
      <c r="F860" s="688"/>
      <c r="G860" s="1674"/>
      <c r="H860" s="688"/>
      <c r="I860" s="1668"/>
      <c r="J860" s="1668"/>
      <c r="K860" s="1668"/>
      <c r="L860" s="1669"/>
    </row>
    <row r="861" spans="1:12" s="692" customFormat="1" ht="16.5">
      <c r="A861" s="1665"/>
      <c r="B861" s="1676" t="str">
        <f>B742</f>
        <v>Column C1</v>
      </c>
      <c r="C861" s="1677"/>
      <c r="D861" s="1678">
        <f>D742</f>
        <v>4</v>
      </c>
      <c r="E861" s="1679"/>
      <c r="F861" s="1679"/>
      <c r="G861" s="1680"/>
      <c r="H861" s="1679">
        <f t="shared" ref="H861:H869" si="104">ROUND(D861*E861*F861*G861,2)</f>
        <v>0</v>
      </c>
      <c r="I861" s="1679" t="s">
        <v>49</v>
      </c>
      <c r="J861" s="1668"/>
      <c r="K861" s="1668"/>
      <c r="L861" s="1669"/>
    </row>
    <row r="862" spans="1:12" s="692" customFormat="1" ht="16.5">
      <c r="A862" s="1665"/>
      <c r="B862" s="1676" t="str">
        <f t="shared" ref="B862:B863" si="105">B743</f>
        <v>Column C2</v>
      </c>
      <c r="C862" s="1677"/>
      <c r="D862" s="1678">
        <f t="shared" ref="D862:D866" si="106">D743</f>
        <v>14</v>
      </c>
      <c r="E862" s="1679"/>
      <c r="F862" s="1679"/>
      <c r="G862" s="1680"/>
      <c r="H862" s="1679">
        <f t="shared" si="104"/>
        <v>0</v>
      </c>
      <c r="I862" s="1679" t="s">
        <v>49</v>
      </c>
      <c r="J862" s="1668"/>
      <c r="K862" s="1668"/>
      <c r="L862" s="1669"/>
    </row>
    <row r="863" spans="1:12" s="692" customFormat="1" ht="16.5">
      <c r="A863" s="1665"/>
      <c r="B863" s="1676" t="str">
        <f t="shared" si="105"/>
        <v>Lang Wall</v>
      </c>
      <c r="C863" s="1677"/>
      <c r="D863" s="1678">
        <f t="shared" si="106"/>
        <v>3</v>
      </c>
      <c r="E863" s="1679"/>
      <c r="F863" s="1679"/>
      <c r="G863" s="1680"/>
      <c r="H863" s="1679">
        <f t="shared" si="104"/>
        <v>0</v>
      </c>
      <c r="I863" s="1679" t="s">
        <v>49</v>
      </c>
      <c r="J863" s="1668"/>
      <c r="K863" s="1668"/>
      <c r="L863" s="1669"/>
    </row>
    <row r="864" spans="1:12" s="692" customFormat="1" ht="16.5">
      <c r="A864" s="1665"/>
      <c r="B864" s="1676" t="str">
        <f>B745</f>
        <v>Short Wall</v>
      </c>
      <c r="C864" s="1677"/>
      <c r="D864" s="1678">
        <f t="shared" si="106"/>
        <v>3</v>
      </c>
      <c r="E864" s="1679"/>
      <c r="F864" s="1679"/>
      <c r="G864" s="1680"/>
      <c r="H864" s="1679">
        <f t="shared" si="104"/>
        <v>0</v>
      </c>
      <c r="I864" s="1679" t="s">
        <v>49</v>
      </c>
      <c r="J864" s="1668"/>
      <c r="K864" s="1668"/>
      <c r="L864" s="1669"/>
    </row>
    <row r="865" spans="1:12" s="692" customFormat="1" ht="16.5">
      <c r="A865" s="1665"/>
      <c r="B865" s="1676"/>
      <c r="C865" s="1677"/>
      <c r="D865" s="1678">
        <f t="shared" si="106"/>
        <v>2</v>
      </c>
      <c r="E865" s="1679"/>
      <c r="F865" s="1679"/>
      <c r="G865" s="1680"/>
      <c r="H865" s="1679">
        <f t="shared" si="104"/>
        <v>0</v>
      </c>
      <c r="I865" s="1679" t="s">
        <v>49</v>
      </c>
      <c r="J865" s="1668"/>
      <c r="K865" s="1668"/>
      <c r="L865" s="1669"/>
    </row>
    <row r="866" spans="1:12" s="692" customFormat="1" ht="16.5">
      <c r="A866" s="1665"/>
      <c r="B866" s="1676" t="str">
        <f t="shared" ref="B866" si="107">B747</f>
        <v>Steps</v>
      </c>
      <c r="C866" s="1677"/>
      <c r="D866" s="1678">
        <f t="shared" si="106"/>
        <v>1</v>
      </c>
      <c r="E866" s="1679"/>
      <c r="F866" s="1679"/>
      <c r="G866" s="1680"/>
      <c r="H866" s="1679">
        <f t="shared" si="104"/>
        <v>0</v>
      </c>
      <c r="I866" s="1679" t="s">
        <v>49</v>
      </c>
      <c r="J866" s="1668"/>
      <c r="K866" s="1668"/>
      <c r="L866" s="1669"/>
    </row>
    <row r="867" spans="1:12" s="692" customFormat="1" ht="16.5">
      <c r="A867" s="1665"/>
      <c r="B867" s="1676" t="s">
        <v>3754</v>
      </c>
      <c r="C867" s="1677"/>
      <c r="D867" s="1678">
        <v>2</v>
      </c>
      <c r="E867" s="1679"/>
      <c r="F867" s="1679"/>
      <c r="G867" s="1680"/>
      <c r="H867" s="1679">
        <f>ROUND(D867*E867*F867*G867,2)</f>
        <v>0</v>
      </c>
      <c r="I867" s="1679" t="s">
        <v>49</v>
      </c>
      <c r="J867" s="1668"/>
      <c r="K867" s="1668"/>
      <c r="L867" s="1669"/>
    </row>
    <row r="868" spans="1:12" s="692" customFormat="1" ht="16.5">
      <c r="A868" s="1665"/>
      <c r="B868" s="1676"/>
      <c r="C868" s="1677"/>
      <c r="D868" s="1678">
        <v>1</v>
      </c>
      <c r="E868" s="1679"/>
      <c r="F868" s="1679"/>
      <c r="G868" s="1680"/>
      <c r="H868" s="1679">
        <f t="shared" si="104"/>
        <v>0</v>
      </c>
      <c r="I868" s="1679" t="s">
        <v>49</v>
      </c>
      <c r="J868" s="1668"/>
      <c r="K868" s="1668"/>
      <c r="L868" s="1669"/>
    </row>
    <row r="869" spans="1:12" s="692" customFormat="1" ht="16.5">
      <c r="A869" s="1665"/>
      <c r="B869" s="1676" t="s">
        <v>3755</v>
      </c>
      <c r="C869" s="1677"/>
      <c r="D869" s="1678"/>
      <c r="E869" s="1679"/>
      <c r="F869" s="1679"/>
      <c r="G869" s="1680"/>
      <c r="H869" s="1679">
        <f t="shared" si="104"/>
        <v>0</v>
      </c>
      <c r="I869" s="1679" t="s">
        <v>49</v>
      </c>
      <c r="J869" s="1668"/>
      <c r="K869" s="1668"/>
      <c r="L869" s="1669"/>
    </row>
    <row r="870" spans="1:12" s="692" customFormat="1" ht="16.5">
      <c r="A870" s="1665"/>
      <c r="B870" s="1676" t="str">
        <f>B748</f>
        <v>Deduct Column</v>
      </c>
      <c r="C870" s="1677"/>
      <c r="D870" s="1678">
        <f>D748</f>
        <v>4</v>
      </c>
      <c r="E870" s="1679"/>
      <c r="F870" s="1679"/>
      <c r="G870" s="1680"/>
      <c r="H870" s="1679">
        <f>-ROUND(D870*E870*F870*G870,2)</f>
        <v>0</v>
      </c>
      <c r="I870" s="1679" t="s">
        <v>49</v>
      </c>
      <c r="J870" s="1668"/>
      <c r="K870" s="1668"/>
      <c r="L870" s="1669"/>
    </row>
    <row r="871" spans="1:12" s="692" customFormat="1" ht="16.5">
      <c r="A871" s="1665"/>
      <c r="B871" s="1676"/>
      <c r="C871" s="1677"/>
      <c r="D871" s="1678">
        <f>D749</f>
        <v>14</v>
      </c>
      <c r="E871" s="1679"/>
      <c r="F871" s="1679"/>
      <c r="G871" s="1680"/>
      <c r="H871" s="1679">
        <f>-ROUND(D871*E871*F871*G871,2)</f>
        <v>0</v>
      </c>
      <c r="I871" s="1679" t="s">
        <v>49</v>
      </c>
      <c r="J871" s="1668"/>
      <c r="K871" s="1668"/>
      <c r="L871" s="1669"/>
    </row>
    <row r="872" spans="1:12" s="692" customFormat="1" ht="16.5">
      <c r="A872" s="1665"/>
      <c r="B872" s="1676"/>
      <c r="C872" s="1677"/>
      <c r="D872" s="1678"/>
      <c r="E872" s="1679">
        <v>186.43100000000001</v>
      </c>
      <c r="F872" s="1679">
        <v>0.25</v>
      </c>
      <c r="G872" s="1680">
        <v>0.4</v>
      </c>
      <c r="H872" s="1679">
        <f>-ROUND(D872*E872*F872*G872,2)</f>
        <v>0</v>
      </c>
      <c r="I872" s="1679" t="s">
        <v>49</v>
      </c>
      <c r="J872" s="1668"/>
      <c r="K872" s="1668"/>
      <c r="L872" s="1669"/>
    </row>
    <row r="873" spans="1:12" s="692" customFormat="1" ht="16.5">
      <c r="A873" s="1665"/>
      <c r="B873" s="1666"/>
      <c r="C873" s="688"/>
      <c r="D873" s="1667"/>
      <c r="E873" s="1671"/>
      <c r="F873" s="1671"/>
      <c r="G873" s="1669" t="s">
        <v>928</v>
      </c>
      <c r="H873" s="1673">
        <f>SUM(H861:H872)</f>
        <v>0</v>
      </c>
      <c r="I873" s="1669" t="s">
        <v>49</v>
      </c>
      <c r="J873" s="1669">
        <f>'Lead &amp; ANALYSIS'!L399</f>
        <v>726.2</v>
      </c>
      <c r="K873" s="1668" t="s">
        <v>1516</v>
      </c>
      <c r="L873" s="1669">
        <f>ROUND(H873*J873,0)</f>
        <v>0</v>
      </c>
    </row>
    <row r="874" spans="1:12" s="692" customFormat="1" ht="82.5" hidden="1">
      <c r="A874" s="1665">
        <f>'Lead &amp; ANALYSIS'!A400</f>
        <v>34</v>
      </c>
      <c r="B874" s="1666" t="str">
        <f>'Lead &amp; ANALYSIS'!B400</f>
        <v>Providing and laying P.C.C. (1:4:8) in foundation and floors using 4 cm. size black hard Hand broken granite stone metal and screened and washed sharp sand for mortar  etc complete as per the direction of the Engineer -in –charge.</v>
      </c>
      <c r="C874" s="688"/>
      <c r="D874" s="1667"/>
      <c r="E874" s="688"/>
      <c r="F874" s="688"/>
      <c r="G874" s="1674"/>
      <c r="H874" s="688"/>
      <c r="I874" s="1668"/>
      <c r="J874" s="1668"/>
      <c r="K874" s="1668"/>
      <c r="L874" s="1669"/>
    </row>
    <row r="875" spans="1:12" s="692" customFormat="1" ht="16.5" hidden="1">
      <c r="A875" s="1665"/>
      <c r="B875" s="1666" t="s">
        <v>421</v>
      </c>
      <c r="C875" s="688"/>
      <c r="D875" s="1667"/>
      <c r="E875" s="688"/>
      <c r="F875" s="688"/>
      <c r="G875" s="1674"/>
      <c r="H875" s="688"/>
      <c r="I875" s="1668"/>
      <c r="J875" s="1668"/>
      <c r="K875" s="1668"/>
      <c r="L875" s="1669"/>
    </row>
    <row r="876" spans="1:12" s="692" customFormat="1" ht="16.5" hidden="1">
      <c r="A876" s="1665"/>
      <c r="B876" s="1666"/>
      <c r="C876" s="688"/>
      <c r="D876" s="1667"/>
      <c r="E876" s="1671">
        <v>3.5</v>
      </c>
      <c r="F876" s="1671">
        <v>4</v>
      </c>
      <c r="G876" s="1672">
        <v>0.15</v>
      </c>
      <c r="H876" s="1671">
        <f t="shared" ref="H876:H881" si="108">ROUND(D876*E876*F876*G876,2)</f>
        <v>0</v>
      </c>
      <c r="I876" s="1671" t="s">
        <v>49</v>
      </c>
      <c r="J876" s="1668"/>
      <c r="K876" s="1668"/>
      <c r="L876" s="1669"/>
    </row>
    <row r="877" spans="1:12" s="692" customFormat="1" ht="16.5" hidden="1">
      <c r="A877" s="1665"/>
      <c r="B877" s="1666"/>
      <c r="C877" s="688"/>
      <c r="D877" s="1667"/>
      <c r="E877" s="1671">
        <v>3.5</v>
      </c>
      <c r="F877" s="1671">
        <v>4</v>
      </c>
      <c r="G877" s="1672">
        <v>0.15</v>
      </c>
      <c r="H877" s="1671">
        <f t="shared" si="108"/>
        <v>0</v>
      </c>
      <c r="I877" s="1671" t="s">
        <v>49</v>
      </c>
      <c r="J877" s="1668"/>
      <c r="K877" s="1668"/>
      <c r="L877" s="1669"/>
    </row>
    <row r="878" spans="1:12" s="692" customFormat="1" ht="16.5" hidden="1">
      <c r="A878" s="1665"/>
      <c r="B878" s="1666"/>
      <c r="C878" s="688"/>
      <c r="D878" s="1667"/>
      <c r="E878" s="1671">
        <v>3.5</v>
      </c>
      <c r="F878" s="1671">
        <v>4</v>
      </c>
      <c r="G878" s="1672">
        <v>0.15</v>
      </c>
      <c r="H878" s="1671">
        <f t="shared" si="108"/>
        <v>0</v>
      </c>
      <c r="I878" s="1671" t="s">
        <v>49</v>
      </c>
      <c r="J878" s="1668"/>
      <c r="K878" s="1668"/>
      <c r="L878" s="1669"/>
    </row>
    <row r="879" spans="1:12" s="692" customFormat="1" ht="16.5" hidden="1">
      <c r="A879" s="1665"/>
      <c r="B879" s="1666"/>
      <c r="C879" s="688"/>
      <c r="D879" s="1667"/>
      <c r="E879" s="1671">
        <v>3.5</v>
      </c>
      <c r="F879" s="1671">
        <v>4</v>
      </c>
      <c r="G879" s="1672">
        <v>0.15</v>
      </c>
      <c r="H879" s="1671">
        <f t="shared" si="108"/>
        <v>0</v>
      </c>
      <c r="I879" s="1671" t="s">
        <v>49</v>
      </c>
      <c r="J879" s="1668"/>
      <c r="K879" s="1668"/>
      <c r="L879" s="1669"/>
    </row>
    <row r="880" spans="1:12" s="692" customFormat="1" ht="16.5" hidden="1">
      <c r="A880" s="1665"/>
      <c r="B880" s="1666"/>
      <c r="C880" s="688"/>
      <c r="D880" s="1667"/>
      <c r="E880" s="1671">
        <v>3.5</v>
      </c>
      <c r="F880" s="1671">
        <v>4</v>
      </c>
      <c r="G880" s="1672">
        <v>0.15</v>
      </c>
      <c r="H880" s="1671">
        <f t="shared" si="108"/>
        <v>0</v>
      </c>
      <c r="I880" s="1671" t="s">
        <v>49</v>
      </c>
      <c r="J880" s="1668"/>
      <c r="K880" s="1668"/>
      <c r="L880" s="1669"/>
    </row>
    <row r="881" spans="1:12" s="692" customFormat="1" ht="16.5" hidden="1">
      <c r="A881" s="1665"/>
      <c r="B881" s="1666"/>
      <c r="C881" s="688"/>
      <c r="D881" s="1667"/>
      <c r="E881" s="1671">
        <v>3.5</v>
      </c>
      <c r="F881" s="1671">
        <v>4</v>
      </c>
      <c r="G881" s="1672">
        <v>0.15</v>
      </c>
      <c r="H881" s="1671">
        <f t="shared" si="108"/>
        <v>0</v>
      </c>
      <c r="I881" s="1671" t="s">
        <v>49</v>
      </c>
      <c r="J881" s="1668"/>
      <c r="K881" s="1668"/>
      <c r="L881" s="1669"/>
    </row>
    <row r="882" spans="1:12" s="692" customFormat="1" ht="16.5" hidden="1">
      <c r="A882" s="1665"/>
      <c r="B882" s="1666"/>
      <c r="C882" s="688"/>
      <c r="D882" s="1667"/>
      <c r="E882" s="1671"/>
      <c r="F882" s="1671"/>
      <c r="G882" s="1669" t="s">
        <v>928</v>
      </c>
      <c r="H882" s="1673">
        <f>SUM(H876:H881)</f>
        <v>0</v>
      </c>
      <c r="I882" s="1669" t="s">
        <v>49</v>
      </c>
      <c r="J882" s="1669">
        <f>'Lead &amp; ANALYSIS'!L401</f>
        <v>5350.7</v>
      </c>
      <c r="K882" s="1668" t="s">
        <v>1516</v>
      </c>
      <c r="L882" s="1669">
        <f>ROUND(H882*J882,0)</f>
        <v>0</v>
      </c>
    </row>
    <row r="883" spans="1:12" s="692" customFormat="1" ht="16.5" hidden="1">
      <c r="A883" s="1665"/>
      <c r="B883" s="1666" t="s">
        <v>423</v>
      </c>
      <c r="C883" s="688"/>
      <c r="D883" s="1667"/>
      <c r="E883" s="688"/>
      <c r="F883" s="688"/>
      <c r="G883" s="1674"/>
      <c r="H883" s="688"/>
      <c r="I883" s="1668"/>
      <c r="J883" s="1668"/>
      <c r="K883" s="1668"/>
      <c r="L883" s="1669"/>
    </row>
    <row r="884" spans="1:12" s="692" customFormat="1" ht="16.5" hidden="1">
      <c r="A884" s="1665"/>
      <c r="B884" s="1666"/>
      <c r="C884" s="688"/>
      <c r="D884" s="1667"/>
      <c r="E884" s="1671">
        <v>3.5</v>
      </c>
      <c r="F884" s="1671">
        <v>4</v>
      </c>
      <c r="G884" s="1672">
        <v>0.15</v>
      </c>
      <c r="H884" s="1671">
        <f t="shared" ref="H884:H889" si="109">ROUND(D884*E884*F884*G884,2)</f>
        <v>0</v>
      </c>
      <c r="I884" s="1671" t="s">
        <v>49</v>
      </c>
      <c r="J884" s="1668"/>
      <c r="K884" s="1668"/>
      <c r="L884" s="1669"/>
    </row>
    <row r="885" spans="1:12" s="692" customFormat="1" ht="16.5" hidden="1">
      <c r="A885" s="1665"/>
      <c r="B885" s="1666"/>
      <c r="C885" s="688"/>
      <c r="D885" s="1667"/>
      <c r="E885" s="1671">
        <v>3.5</v>
      </c>
      <c r="F885" s="1671">
        <v>4</v>
      </c>
      <c r="G885" s="1672">
        <v>0.15</v>
      </c>
      <c r="H885" s="1671">
        <f t="shared" si="109"/>
        <v>0</v>
      </c>
      <c r="I885" s="1671" t="s">
        <v>49</v>
      </c>
      <c r="J885" s="1668"/>
      <c r="K885" s="1668"/>
      <c r="L885" s="1669"/>
    </row>
    <row r="886" spans="1:12" s="692" customFormat="1" ht="16.5" hidden="1">
      <c r="A886" s="1665"/>
      <c r="B886" s="1666"/>
      <c r="C886" s="688"/>
      <c r="D886" s="1667"/>
      <c r="E886" s="1671">
        <v>3.5</v>
      </c>
      <c r="F886" s="1671">
        <v>4</v>
      </c>
      <c r="G886" s="1672">
        <v>0.15</v>
      </c>
      <c r="H886" s="1671">
        <f t="shared" si="109"/>
        <v>0</v>
      </c>
      <c r="I886" s="1671" t="s">
        <v>49</v>
      </c>
      <c r="J886" s="1668"/>
      <c r="K886" s="1668"/>
      <c r="L886" s="1669"/>
    </row>
    <row r="887" spans="1:12" s="692" customFormat="1" ht="16.5" hidden="1">
      <c r="A887" s="1665"/>
      <c r="B887" s="1666"/>
      <c r="C887" s="688"/>
      <c r="D887" s="1667"/>
      <c r="E887" s="1671">
        <v>3.5</v>
      </c>
      <c r="F887" s="1671">
        <v>4</v>
      </c>
      <c r="G887" s="1672">
        <v>0.15</v>
      </c>
      <c r="H887" s="1671">
        <f t="shared" si="109"/>
        <v>0</v>
      </c>
      <c r="I887" s="1671" t="s">
        <v>49</v>
      </c>
      <c r="J887" s="1668"/>
      <c r="K887" s="1668"/>
      <c r="L887" s="1669"/>
    </row>
    <row r="888" spans="1:12" s="692" customFormat="1" ht="16.5" hidden="1">
      <c r="A888" s="1665"/>
      <c r="B888" s="1666"/>
      <c r="C888" s="688"/>
      <c r="D888" s="1667"/>
      <c r="E888" s="1671">
        <v>3.5</v>
      </c>
      <c r="F888" s="1671">
        <v>4</v>
      </c>
      <c r="G888" s="1672">
        <v>0.15</v>
      </c>
      <c r="H888" s="1671">
        <f t="shared" si="109"/>
        <v>0</v>
      </c>
      <c r="I888" s="1671" t="s">
        <v>49</v>
      </c>
      <c r="J888" s="1668"/>
      <c r="K888" s="1668"/>
      <c r="L888" s="1669"/>
    </row>
    <row r="889" spans="1:12" s="692" customFormat="1" ht="16.5" hidden="1">
      <c r="A889" s="1665"/>
      <c r="B889" s="1666"/>
      <c r="C889" s="688"/>
      <c r="D889" s="1667"/>
      <c r="E889" s="1671">
        <v>3.5</v>
      </c>
      <c r="F889" s="1671">
        <v>4</v>
      </c>
      <c r="G889" s="1672">
        <v>0.15</v>
      </c>
      <c r="H889" s="1671">
        <f t="shared" si="109"/>
        <v>0</v>
      </c>
      <c r="I889" s="1671" t="s">
        <v>49</v>
      </c>
      <c r="J889" s="1668"/>
      <c r="K889" s="1668"/>
      <c r="L889" s="1669"/>
    </row>
    <row r="890" spans="1:12" s="692" customFormat="1" ht="16.5" hidden="1">
      <c r="A890" s="1665"/>
      <c r="B890" s="1666"/>
      <c r="C890" s="688"/>
      <c r="D890" s="1667"/>
      <c r="E890" s="1671"/>
      <c r="F890" s="1671"/>
      <c r="G890" s="1669" t="s">
        <v>928</v>
      </c>
      <c r="H890" s="1673">
        <f>SUM(H884:H889)</f>
        <v>0</v>
      </c>
      <c r="I890" s="1669" t="s">
        <v>49</v>
      </c>
      <c r="J890" s="1669">
        <f>'Lead &amp; ANALYSIS'!L402</f>
        <v>5580.2</v>
      </c>
      <c r="K890" s="1668" t="s">
        <v>1516</v>
      </c>
      <c r="L890" s="1669">
        <f>ROUND(H890*J890,0)</f>
        <v>0</v>
      </c>
    </row>
    <row r="891" spans="1:12" s="692" customFormat="1" ht="82.5">
      <c r="A891" s="1665">
        <v>3</v>
      </c>
      <c r="B891" s="1666" t="str">
        <f>'Lead &amp; ANALYSIS'!B403</f>
        <v>Providing and laying P.C.C. (1:3:6) in foundation and floors using 4 cm. size black hard crusher broken granite stone metal and screened and washed sharp sand for mortar  etc complete as per the direction of the Engineer -in –charge.</v>
      </c>
      <c r="C891" s="688"/>
      <c r="D891" s="1667"/>
      <c r="E891" s="688"/>
      <c r="F891" s="688"/>
      <c r="G891" s="1674"/>
      <c r="H891" s="688"/>
      <c r="I891" s="1668"/>
      <c r="J891" s="1668"/>
      <c r="K891" s="1668"/>
      <c r="L891" s="1669"/>
    </row>
    <row r="892" spans="1:12" s="692" customFormat="1" ht="16.5" hidden="1">
      <c r="A892" s="1665"/>
      <c r="B892" s="1666" t="s">
        <v>421</v>
      </c>
      <c r="C892" s="688"/>
      <c r="D892" s="1667"/>
      <c r="E892" s="688"/>
      <c r="F892" s="688"/>
      <c r="G892" s="1674"/>
      <c r="H892" s="688"/>
      <c r="I892" s="1668"/>
      <c r="J892" s="1668"/>
      <c r="K892" s="1668"/>
      <c r="L892" s="1669"/>
    </row>
    <row r="893" spans="1:12" s="692" customFormat="1" ht="16.5" hidden="1">
      <c r="A893" s="1665"/>
      <c r="B893" s="1666"/>
      <c r="C893" s="688"/>
      <c r="D893" s="1667"/>
      <c r="E893" s="1671">
        <v>3.5</v>
      </c>
      <c r="F893" s="1671">
        <v>4</v>
      </c>
      <c r="G893" s="1672">
        <v>0.15</v>
      </c>
      <c r="H893" s="1671">
        <f t="shared" ref="H893:H898" si="110">ROUND(D893*E893*F893*G893,2)</f>
        <v>0</v>
      </c>
      <c r="I893" s="1671" t="s">
        <v>49</v>
      </c>
      <c r="J893" s="1668"/>
      <c r="K893" s="1668"/>
      <c r="L893" s="1669"/>
    </row>
    <row r="894" spans="1:12" s="692" customFormat="1" ht="16.5" hidden="1">
      <c r="A894" s="1665"/>
      <c r="B894" s="1666"/>
      <c r="C894" s="688"/>
      <c r="D894" s="1667"/>
      <c r="E894" s="1671">
        <v>3.5</v>
      </c>
      <c r="F894" s="1671">
        <v>4</v>
      </c>
      <c r="G894" s="1672">
        <v>0.15</v>
      </c>
      <c r="H894" s="1671">
        <f t="shared" si="110"/>
        <v>0</v>
      </c>
      <c r="I894" s="1671" t="s">
        <v>49</v>
      </c>
      <c r="J894" s="1668"/>
      <c r="K894" s="1668"/>
      <c r="L894" s="1669"/>
    </row>
    <row r="895" spans="1:12" s="692" customFormat="1" ht="16.5" hidden="1">
      <c r="A895" s="1665"/>
      <c r="B895" s="1666"/>
      <c r="C895" s="688"/>
      <c r="D895" s="1667"/>
      <c r="E895" s="1671">
        <v>3.5</v>
      </c>
      <c r="F895" s="1671">
        <v>4</v>
      </c>
      <c r="G895" s="1672">
        <v>0.15</v>
      </c>
      <c r="H895" s="1671">
        <f t="shared" si="110"/>
        <v>0</v>
      </c>
      <c r="I895" s="1671" t="s">
        <v>49</v>
      </c>
      <c r="J895" s="1668"/>
      <c r="K895" s="1668"/>
      <c r="L895" s="1669"/>
    </row>
    <row r="896" spans="1:12" s="692" customFormat="1" ht="16.5" hidden="1">
      <c r="A896" s="1665"/>
      <c r="B896" s="1666"/>
      <c r="C896" s="688"/>
      <c r="D896" s="1667"/>
      <c r="E896" s="1671">
        <v>3.5</v>
      </c>
      <c r="F896" s="1671">
        <v>4</v>
      </c>
      <c r="G896" s="1672">
        <v>0.15</v>
      </c>
      <c r="H896" s="1671">
        <f t="shared" si="110"/>
        <v>0</v>
      </c>
      <c r="I896" s="1671" t="s">
        <v>49</v>
      </c>
      <c r="J896" s="1668"/>
      <c r="K896" s="1668"/>
      <c r="L896" s="1669"/>
    </row>
    <row r="897" spans="1:12" s="692" customFormat="1" ht="16.5" hidden="1">
      <c r="A897" s="1665"/>
      <c r="B897" s="1666"/>
      <c r="C897" s="688"/>
      <c r="D897" s="1667"/>
      <c r="E897" s="1671">
        <v>3.5</v>
      </c>
      <c r="F897" s="1671">
        <v>4</v>
      </c>
      <c r="G897" s="1672">
        <v>0.15</v>
      </c>
      <c r="H897" s="1671">
        <f t="shared" si="110"/>
        <v>0</v>
      </c>
      <c r="I897" s="1671" t="s">
        <v>49</v>
      </c>
      <c r="J897" s="1668"/>
      <c r="K897" s="1668"/>
      <c r="L897" s="1669"/>
    </row>
    <row r="898" spans="1:12" s="692" customFormat="1" ht="16.5" hidden="1">
      <c r="A898" s="1665"/>
      <c r="B898" s="1666"/>
      <c r="C898" s="688"/>
      <c r="D898" s="1667"/>
      <c r="E898" s="1671">
        <v>3.5</v>
      </c>
      <c r="F898" s="1671">
        <v>4</v>
      </c>
      <c r="G898" s="1672">
        <v>0.15</v>
      </c>
      <c r="H898" s="1671">
        <f t="shared" si="110"/>
        <v>0</v>
      </c>
      <c r="I898" s="1671" t="s">
        <v>49</v>
      </c>
      <c r="J898" s="1668"/>
      <c r="K898" s="1668"/>
      <c r="L898" s="1669"/>
    </row>
    <row r="899" spans="1:12" s="692" customFormat="1" ht="16.5" hidden="1">
      <c r="A899" s="1665"/>
      <c r="B899" s="1666"/>
      <c r="C899" s="688"/>
      <c r="D899" s="1667"/>
      <c r="E899" s="1671"/>
      <c r="F899" s="1671"/>
      <c r="G899" s="1669" t="s">
        <v>928</v>
      </c>
      <c r="H899" s="1673">
        <f>SUM(H893:H898)</f>
        <v>0</v>
      </c>
      <c r="I899" s="1669" t="s">
        <v>49</v>
      </c>
      <c r="J899" s="1669">
        <f>'Lead &amp; ANALYSIS'!L404</f>
        <v>5806.3</v>
      </c>
      <c r="K899" s="1668" t="s">
        <v>1516</v>
      </c>
      <c r="L899" s="1669">
        <f>ROUND(H899*J899,0)</f>
        <v>0</v>
      </c>
    </row>
    <row r="900" spans="1:12" s="692" customFormat="1" ht="16.5">
      <c r="A900" s="1665"/>
      <c r="B900" s="1666" t="s">
        <v>423</v>
      </c>
      <c r="C900" s="688"/>
      <c r="D900" s="1667"/>
      <c r="E900" s="688"/>
      <c r="F900" s="688"/>
      <c r="G900" s="1674"/>
      <c r="H900" s="688"/>
      <c r="I900" s="1668"/>
      <c r="J900" s="1668"/>
      <c r="K900" s="1668"/>
      <c r="L900" s="1669"/>
    </row>
    <row r="901" spans="1:12" s="692" customFormat="1" ht="16.5">
      <c r="A901" s="1665"/>
      <c r="B901" s="1676" t="str">
        <f>B861</f>
        <v>Column C1</v>
      </c>
      <c r="C901" s="1677"/>
      <c r="D901" s="1678">
        <f>D861</f>
        <v>4</v>
      </c>
      <c r="E901" s="1679"/>
      <c r="F901" s="1679"/>
      <c r="G901" s="1680"/>
      <c r="H901" s="1679">
        <f>ROUND(D901*E901*F901*G901,2)</f>
        <v>0</v>
      </c>
      <c r="I901" s="1679" t="s">
        <v>49</v>
      </c>
      <c r="J901" s="1668"/>
      <c r="K901" s="1668"/>
      <c r="L901" s="1669"/>
    </row>
    <row r="902" spans="1:12" s="692" customFormat="1" ht="16.5">
      <c r="A902" s="1665"/>
      <c r="B902" s="1676" t="str">
        <f t="shared" ref="B902:B906" si="111">B862</f>
        <v>Column C2</v>
      </c>
      <c r="C902" s="1677"/>
      <c r="D902" s="1678">
        <f t="shared" ref="D902:D908" si="112">D862</f>
        <v>14</v>
      </c>
      <c r="E902" s="1679"/>
      <c r="F902" s="1679"/>
      <c r="G902" s="1680"/>
      <c r="H902" s="1679">
        <f t="shared" ref="H902:H908" si="113">ROUND(D902*E902*F902*G902,2)</f>
        <v>0</v>
      </c>
      <c r="I902" s="1679" t="s">
        <v>49</v>
      </c>
      <c r="J902" s="1668"/>
      <c r="K902" s="1668"/>
      <c r="L902" s="1669"/>
    </row>
    <row r="903" spans="1:12" s="692" customFormat="1" ht="16.5">
      <c r="A903" s="1665"/>
      <c r="B903" s="1676" t="str">
        <f t="shared" si="111"/>
        <v>Lang Wall</v>
      </c>
      <c r="C903" s="1677"/>
      <c r="D903" s="1678">
        <f t="shared" si="112"/>
        <v>3</v>
      </c>
      <c r="E903" s="1679"/>
      <c r="F903" s="1679"/>
      <c r="G903" s="1680"/>
      <c r="H903" s="1679">
        <f t="shared" si="113"/>
        <v>0</v>
      </c>
      <c r="I903" s="1679" t="s">
        <v>49</v>
      </c>
      <c r="J903" s="1668"/>
      <c r="K903" s="1668"/>
      <c r="L903" s="1669"/>
    </row>
    <row r="904" spans="1:12" s="692" customFormat="1" ht="16.5">
      <c r="A904" s="1665"/>
      <c r="B904" s="1676" t="str">
        <f t="shared" si="111"/>
        <v>Short Wall</v>
      </c>
      <c r="C904" s="1677"/>
      <c r="D904" s="1678">
        <f t="shared" si="112"/>
        <v>3</v>
      </c>
      <c r="E904" s="1679"/>
      <c r="F904" s="1679"/>
      <c r="G904" s="1680"/>
      <c r="H904" s="1679">
        <f t="shared" si="113"/>
        <v>0</v>
      </c>
      <c r="I904" s="1679" t="s">
        <v>49</v>
      </c>
      <c r="J904" s="1668"/>
      <c r="K904" s="1668"/>
      <c r="L904" s="1669"/>
    </row>
    <row r="905" spans="1:12" s="692" customFormat="1" ht="16.5">
      <c r="A905" s="1665"/>
      <c r="B905" s="1676"/>
      <c r="C905" s="1677"/>
      <c r="D905" s="1678">
        <f t="shared" si="112"/>
        <v>2</v>
      </c>
      <c r="E905" s="1679"/>
      <c r="F905" s="1679"/>
      <c r="G905" s="1680"/>
      <c r="H905" s="1679">
        <f t="shared" si="113"/>
        <v>0</v>
      </c>
      <c r="I905" s="1679" t="s">
        <v>49</v>
      </c>
      <c r="J905" s="1668"/>
      <c r="K905" s="1668"/>
      <c r="L905" s="1669"/>
    </row>
    <row r="906" spans="1:12" s="692" customFormat="1" ht="16.5">
      <c r="A906" s="1665"/>
      <c r="B906" s="1676" t="str">
        <f t="shared" si="111"/>
        <v>Steps</v>
      </c>
      <c r="C906" s="1677"/>
      <c r="D906" s="1678">
        <f t="shared" si="112"/>
        <v>1</v>
      </c>
      <c r="E906" s="1679"/>
      <c r="F906" s="1681"/>
      <c r="G906" s="1680"/>
      <c r="H906" s="1679">
        <f t="shared" si="113"/>
        <v>0</v>
      </c>
      <c r="I906" s="1679" t="s">
        <v>49</v>
      </c>
      <c r="J906" s="1668"/>
      <c r="K906" s="1668"/>
      <c r="L906" s="1669"/>
    </row>
    <row r="907" spans="1:12" s="692" customFormat="1" ht="16.5">
      <c r="A907" s="1665"/>
      <c r="B907" s="1676" t="str">
        <f>B867</f>
        <v>Inside Plinth</v>
      </c>
      <c r="C907" s="1677"/>
      <c r="D907" s="1678">
        <f t="shared" si="112"/>
        <v>2</v>
      </c>
      <c r="E907" s="1679"/>
      <c r="F907" s="1679"/>
      <c r="G907" s="1680"/>
      <c r="H907" s="1679">
        <f t="shared" si="113"/>
        <v>0</v>
      </c>
      <c r="I907" s="1679" t="s">
        <v>49</v>
      </c>
      <c r="J907" s="1668"/>
      <c r="K907" s="1668"/>
      <c r="L907" s="1669"/>
    </row>
    <row r="908" spans="1:12" s="692" customFormat="1" ht="16.5">
      <c r="A908" s="1665"/>
      <c r="B908" s="1676"/>
      <c r="C908" s="1677"/>
      <c r="D908" s="1678">
        <f t="shared" si="112"/>
        <v>1</v>
      </c>
      <c r="E908" s="1679"/>
      <c r="F908" s="1679"/>
      <c r="G908" s="1680"/>
      <c r="H908" s="1679">
        <f t="shared" si="113"/>
        <v>0</v>
      </c>
      <c r="I908" s="1679" t="s">
        <v>49</v>
      </c>
      <c r="J908" s="1668"/>
      <c r="K908" s="1668"/>
      <c r="L908" s="1669"/>
    </row>
    <row r="909" spans="1:12" s="692" customFormat="1" ht="16.5">
      <c r="A909" s="1665"/>
      <c r="B909" s="1676" t="str">
        <f>B870</f>
        <v>Deduct Column</v>
      </c>
      <c r="C909" s="1677"/>
      <c r="D909" s="1678">
        <f t="shared" ref="D909:D910" si="114">D870</f>
        <v>4</v>
      </c>
      <c r="E909" s="1679"/>
      <c r="F909" s="1679"/>
      <c r="G909" s="1680"/>
      <c r="H909" s="1679">
        <f>-ROUND(D909*E909*F909*G909,2)</f>
        <v>0</v>
      </c>
      <c r="I909" s="1679" t="s">
        <v>49</v>
      </c>
      <c r="J909" s="1668"/>
      <c r="K909" s="1668"/>
      <c r="L909" s="1669"/>
    </row>
    <row r="910" spans="1:12" s="692" customFormat="1" ht="16.5">
      <c r="A910" s="1665"/>
      <c r="B910" s="1676"/>
      <c r="C910" s="1677"/>
      <c r="D910" s="1678">
        <f t="shared" si="114"/>
        <v>14</v>
      </c>
      <c r="E910" s="1679"/>
      <c r="F910" s="1679"/>
      <c r="G910" s="1680"/>
      <c r="H910" s="1679">
        <f>-ROUND(D910*E910*F910*G910,2)</f>
        <v>0</v>
      </c>
      <c r="I910" s="1679" t="s">
        <v>49</v>
      </c>
      <c r="J910" s="1668"/>
      <c r="K910" s="1668"/>
      <c r="L910" s="1669"/>
    </row>
    <row r="911" spans="1:12" s="692" customFormat="1" ht="16.5" hidden="1">
      <c r="A911" s="1665"/>
      <c r="B911" s="1666"/>
      <c r="C911" s="688"/>
      <c r="D911" s="1667"/>
      <c r="E911" s="1671">
        <v>5</v>
      </c>
      <c r="F911" s="1671">
        <v>0.45</v>
      </c>
      <c r="G911" s="1672">
        <f>G905</f>
        <v>0</v>
      </c>
      <c r="H911" s="1671">
        <f t="shared" ref="H911" si="115">ROUND(D911*E911*F911*G911,2)</f>
        <v>0</v>
      </c>
      <c r="I911" s="1671" t="s">
        <v>49</v>
      </c>
      <c r="J911" s="1668"/>
      <c r="K911" s="1668"/>
      <c r="L911" s="1669"/>
    </row>
    <row r="912" spans="1:12" s="692" customFormat="1" ht="16.5">
      <c r="A912" s="1665"/>
      <c r="B912" s="1666"/>
      <c r="C912" s="688"/>
      <c r="D912" s="1667"/>
      <c r="E912" s="1671"/>
      <c r="F912" s="1671"/>
      <c r="G912" s="1669" t="s">
        <v>928</v>
      </c>
      <c r="H912" s="1673">
        <f>SUM(H901:H911)</f>
        <v>0</v>
      </c>
      <c r="I912" s="1669" t="s">
        <v>49</v>
      </c>
      <c r="J912" s="1669">
        <f>'Lead &amp; ANALYSIS'!L405</f>
        <v>6038.1</v>
      </c>
      <c r="K912" s="1668" t="s">
        <v>1516</v>
      </c>
      <c r="L912" s="1669">
        <f>ROUND(H912*J912,0)</f>
        <v>0</v>
      </c>
    </row>
    <row r="913" spans="1:12" s="692" customFormat="1" ht="82.5" hidden="1">
      <c r="A913" s="1665">
        <f>'Lead &amp; ANALYSIS'!A406</f>
        <v>36</v>
      </c>
      <c r="B913" s="1666" t="str">
        <f>'Lead &amp; ANALYSIS'!B406</f>
        <v>Providing and laying P.C.C. (1:2:4) in foundation and floors using 12 mm. size black hard crusher broken granite stone chips and screened and washed sharp sand for mortar  etc complete as per the direction of the Engineer -in –charge.</v>
      </c>
      <c r="C913" s="688"/>
      <c r="D913" s="1667"/>
      <c r="E913" s="688"/>
      <c r="F913" s="688"/>
      <c r="G913" s="1674"/>
      <c r="H913" s="688"/>
      <c r="I913" s="1668"/>
      <c r="J913" s="1668"/>
      <c r="K913" s="1668"/>
      <c r="L913" s="1669"/>
    </row>
    <row r="914" spans="1:12" s="692" customFormat="1" ht="16.5" hidden="1">
      <c r="A914" s="1665"/>
      <c r="B914" s="1675" t="s">
        <v>3436</v>
      </c>
      <c r="C914" s="688"/>
      <c r="D914" s="1667"/>
      <c r="E914" s="688"/>
      <c r="F914" s="688"/>
      <c r="G914" s="1674"/>
      <c r="H914" s="688"/>
      <c r="I914" s="1668"/>
      <c r="J914" s="1668"/>
      <c r="K914" s="1668"/>
      <c r="L914" s="1669"/>
    </row>
    <row r="915" spans="1:12" s="692" customFormat="1" ht="16.5" hidden="1">
      <c r="A915" s="1665" t="s">
        <v>413</v>
      </c>
      <c r="B915" s="1666" t="s">
        <v>384</v>
      </c>
      <c r="C915" s="688"/>
      <c r="D915" s="1667"/>
      <c r="E915" s="688"/>
      <c r="F915" s="688"/>
      <c r="G915" s="1674"/>
      <c r="H915" s="688"/>
      <c r="I915" s="1668"/>
      <c r="J915" s="1668"/>
      <c r="K915" s="1668"/>
      <c r="L915" s="1669"/>
    </row>
    <row r="916" spans="1:12" s="692" customFormat="1" ht="16.5" hidden="1">
      <c r="A916" s="1665"/>
      <c r="B916" s="1666"/>
      <c r="C916" s="688"/>
      <c r="D916" s="1667"/>
      <c r="E916" s="1671">
        <v>3.5</v>
      </c>
      <c r="F916" s="1671">
        <v>4</v>
      </c>
      <c r="G916" s="1672">
        <v>0.15</v>
      </c>
      <c r="H916" s="1671">
        <f t="shared" ref="H916:H921" si="116">ROUND(D916*E916*F916*G916,2)</f>
        <v>0</v>
      </c>
      <c r="I916" s="1671" t="s">
        <v>49</v>
      </c>
      <c r="J916" s="1668"/>
      <c r="K916" s="1668"/>
      <c r="L916" s="1669"/>
    </row>
    <row r="917" spans="1:12" s="692" customFormat="1" ht="16.5" hidden="1">
      <c r="A917" s="1665"/>
      <c r="B917" s="1666"/>
      <c r="C917" s="688"/>
      <c r="D917" s="1667"/>
      <c r="E917" s="1671">
        <v>3.5</v>
      </c>
      <c r="F917" s="1671">
        <v>4</v>
      </c>
      <c r="G917" s="1672">
        <v>0.15</v>
      </c>
      <c r="H917" s="1671">
        <f t="shared" si="116"/>
        <v>0</v>
      </c>
      <c r="I917" s="1671" t="s">
        <v>49</v>
      </c>
      <c r="J917" s="1668"/>
      <c r="K917" s="1668"/>
      <c r="L917" s="1669"/>
    </row>
    <row r="918" spans="1:12" s="692" customFormat="1" ht="16.5" hidden="1">
      <c r="A918" s="1665"/>
      <c r="B918" s="1666"/>
      <c r="C918" s="688"/>
      <c r="D918" s="1667"/>
      <c r="E918" s="1671">
        <v>3.5</v>
      </c>
      <c r="F918" s="1671">
        <v>4</v>
      </c>
      <c r="G918" s="1672">
        <v>0.15</v>
      </c>
      <c r="H918" s="1671">
        <f t="shared" si="116"/>
        <v>0</v>
      </c>
      <c r="I918" s="1671" t="s">
        <v>49</v>
      </c>
      <c r="J918" s="1668"/>
      <c r="K918" s="1668"/>
      <c r="L918" s="1669"/>
    </row>
    <row r="919" spans="1:12" s="692" customFormat="1" ht="16.5" hidden="1">
      <c r="A919" s="1665"/>
      <c r="B919" s="1666"/>
      <c r="C919" s="688"/>
      <c r="D919" s="1667"/>
      <c r="E919" s="1671">
        <v>3.5</v>
      </c>
      <c r="F919" s="1671">
        <v>4</v>
      </c>
      <c r="G919" s="1672">
        <v>0.15</v>
      </c>
      <c r="H919" s="1671">
        <f t="shared" si="116"/>
        <v>0</v>
      </c>
      <c r="I919" s="1671" t="s">
        <v>49</v>
      </c>
      <c r="J919" s="1668"/>
      <c r="K919" s="1668"/>
      <c r="L919" s="1669"/>
    </row>
    <row r="920" spans="1:12" s="692" customFormat="1" ht="16.5" hidden="1">
      <c r="A920" s="1665"/>
      <c r="B920" s="1666"/>
      <c r="C920" s="688"/>
      <c r="D920" s="1667"/>
      <c r="E920" s="1671">
        <v>3.5</v>
      </c>
      <c r="F920" s="1671">
        <v>4</v>
      </c>
      <c r="G920" s="1672">
        <v>0.15</v>
      </c>
      <c r="H920" s="1671">
        <f t="shared" si="116"/>
        <v>0</v>
      </c>
      <c r="I920" s="1671" t="s">
        <v>49</v>
      </c>
      <c r="J920" s="1668"/>
      <c r="K920" s="1668"/>
      <c r="L920" s="1669"/>
    </row>
    <row r="921" spans="1:12" s="692" customFormat="1" ht="16.5" hidden="1">
      <c r="A921" s="1665"/>
      <c r="B921" s="1666"/>
      <c r="C921" s="688"/>
      <c r="D921" s="1667"/>
      <c r="E921" s="1671">
        <v>3.5</v>
      </c>
      <c r="F921" s="1671">
        <v>4</v>
      </c>
      <c r="G921" s="1672">
        <v>0.15</v>
      </c>
      <c r="H921" s="1671">
        <f t="shared" si="116"/>
        <v>0</v>
      </c>
      <c r="I921" s="1671" t="s">
        <v>49</v>
      </c>
      <c r="J921" s="1668"/>
      <c r="K921" s="1668"/>
      <c r="L921" s="1669"/>
    </row>
    <row r="922" spans="1:12" s="692" customFormat="1" ht="16.5" hidden="1">
      <c r="A922" s="1665"/>
      <c r="B922" s="1666"/>
      <c r="C922" s="688"/>
      <c r="D922" s="1667"/>
      <c r="E922" s="1671"/>
      <c r="F922" s="1671"/>
      <c r="G922" s="1669" t="s">
        <v>928</v>
      </c>
      <c r="H922" s="1673">
        <f>SUM(H916:H921)</f>
        <v>0</v>
      </c>
      <c r="I922" s="1669" t="s">
        <v>49</v>
      </c>
      <c r="J922" s="1669">
        <f>'Lead &amp; ANALYSIS'!L408</f>
        <v>7155.3</v>
      </c>
      <c r="K922" s="1668" t="s">
        <v>1516</v>
      </c>
      <c r="L922" s="1669">
        <f>ROUND(H922*J922,0)</f>
        <v>0</v>
      </c>
    </row>
    <row r="923" spans="1:12" s="692" customFormat="1" ht="16.5" hidden="1">
      <c r="A923" s="1665" t="s">
        <v>415</v>
      </c>
      <c r="B923" s="1666" t="s">
        <v>387</v>
      </c>
      <c r="C923" s="688"/>
      <c r="D923" s="1667"/>
      <c r="E923" s="688"/>
      <c r="F923" s="688"/>
      <c r="G923" s="1674"/>
      <c r="H923" s="688"/>
      <c r="I923" s="1668"/>
      <c r="J923" s="1668"/>
      <c r="K923" s="1668"/>
      <c r="L923" s="1669"/>
    </row>
    <row r="924" spans="1:12" s="692" customFormat="1" ht="16.5" hidden="1">
      <c r="A924" s="1665"/>
      <c r="B924" s="1666"/>
      <c r="C924" s="688"/>
      <c r="D924" s="1667"/>
      <c r="E924" s="1671">
        <v>3.5</v>
      </c>
      <c r="F924" s="1671">
        <v>4</v>
      </c>
      <c r="G924" s="1672">
        <v>0.15</v>
      </c>
      <c r="H924" s="1671">
        <f t="shared" ref="H924:H929" si="117">ROUND(D924*E924*F924*G924,2)</f>
        <v>0</v>
      </c>
      <c r="I924" s="1671" t="s">
        <v>49</v>
      </c>
      <c r="J924" s="1668"/>
      <c r="K924" s="1668"/>
      <c r="L924" s="1669"/>
    </row>
    <row r="925" spans="1:12" s="692" customFormat="1" ht="16.5" hidden="1">
      <c r="A925" s="1665"/>
      <c r="B925" s="1666"/>
      <c r="C925" s="688"/>
      <c r="D925" s="1667"/>
      <c r="E925" s="1671">
        <v>3.5</v>
      </c>
      <c r="F925" s="1671">
        <v>4</v>
      </c>
      <c r="G925" s="1672">
        <v>0.15</v>
      </c>
      <c r="H925" s="1671">
        <f t="shared" si="117"/>
        <v>0</v>
      </c>
      <c r="I925" s="1671" t="s">
        <v>49</v>
      </c>
      <c r="J925" s="1668"/>
      <c r="K925" s="1668"/>
      <c r="L925" s="1669"/>
    </row>
    <row r="926" spans="1:12" s="692" customFormat="1" ht="16.5" hidden="1">
      <c r="A926" s="1665"/>
      <c r="B926" s="1666"/>
      <c r="C926" s="688"/>
      <c r="D926" s="1667"/>
      <c r="E926" s="1671">
        <v>3.5</v>
      </c>
      <c r="F926" s="1671">
        <v>4</v>
      </c>
      <c r="G926" s="1672">
        <v>0.15</v>
      </c>
      <c r="H926" s="1671">
        <f t="shared" si="117"/>
        <v>0</v>
      </c>
      <c r="I926" s="1671" t="s">
        <v>49</v>
      </c>
      <c r="J926" s="1668"/>
      <c r="K926" s="1668"/>
      <c r="L926" s="1669"/>
    </row>
    <row r="927" spans="1:12" s="692" customFormat="1" ht="16.5" hidden="1">
      <c r="A927" s="1665"/>
      <c r="B927" s="1666"/>
      <c r="C927" s="688"/>
      <c r="D927" s="1667"/>
      <c r="E927" s="1671">
        <v>3.5</v>
      </c>
      <c r="F927" s="1671">
        <v>4</v>
      </c>
      <c r="G927" s="1672">
        <v>0.15</v>
      </c>
      <c r="H927" s="1671">
        <f t="shared" si="117"/>
        <v>0</v>
      </c>
      <c r="I927" s="1671" t="s">
        <v>49</v>
      </c>
      <c r="J927" s="1668"/>
      <c r="K927" s="1668"/>
      <c r="L927" s="1669"/>
    </row>
    <row r="928" spans="1:12" s="692" customFormat="1" ht="16.5" hidden="1">
      <c r="A928" s="1665"/>
      <c r="B928" s="1666"/>
      <c r="C928" s="688"/>
      <c r="D928" s="1667"/>
      <c r="E928" s="1671">
        <v>3.5</v>
      </c>
      <c r="F928" s="1671">
        <v>4</v>
      </c>
      <c r="G928" s="1672">
        <v>0.15</v>
      </c>
      <c r="H928" s="1671">
        <f t="shared" si="117"/>
        <v>0</v>
      </c>
      <c r="I928" s="1671" t="s">
        <v>49</v>
      </c>
      <c r="J928" s="1668"/>
      <c r="K928" s="1668"/>
      <c r="L928" s="1669"/>
    </row>
    <row r="929" spans="1:12" s="692" customFormat="1" ht="16.5" hidden="1">
      <c r="A929" s="1665"/>
      <c r="B929" s="1666"/>
      <c r="C929" s="688"/>
      <c r="D929" s="1667"/>
      <c r="E929" s="1671">
        <v>3.5</v>
      </c>
      <c r="F929" s="1671">
        <v>4</v>
      </c>
      <c r="G929" s="1672">
        <v>0.15</v>
      </c>
      <c r="H929" s="1671">
        <f t="shared" si="117"/>
        <v>0</v>
      </c>
      <c r="I929" s="1671" t="s">
        <v>49</v>
      </c>
      <c r="J929" s="1668"/>
      <c r="K929" s="1668"/>
      <c r="L929" s="1669"/>
    </row>
    <row r="930" spans="1:12" s="692" customFormat="1" ht="16.5" hidden="1">
      <c r="A930" s="1665"/>
      <c r="B930" s="1666"/>
      <c r="C930" s="688"/>
      <c r="D930" s="1667"/>
      <c r="E930" s="1671"/>
      <c r="F930" s="1671"/>
      <c r="G930" s="1669" t="s">
        <v>928</v>
      </c>
      <c r="H930" s="1673">
        <f>SUM(H924:H929)</f>
        <v>0</v>
      </c>
      <c r="I930" s="1669" t="s">
        <v>49</v>
      </c>
      <c r="J930" s="1669">
        <f>'Lead &amp; ANALYSIS'!L409</f>
        <v>7440.5</v>
      </c>
      <c r="K930" s="1668" t="s">
        <v>1516</v>
      </c>
      <c r="L930" s="1669">
        <f>ROUND(H930*J930,0)</f>
        <v>0</v>
      </c>
    </row>
    <row r="931" spans="1:12" s="692" customFormat="1" ht="16.5" hidden="1">
      <c r="A931" s="1665" t="s">
        <v>638</v>
      </c>
      <c r="B931" s="1666" t="s">
        <v>3613</v>
      </c>
      <c r="C931" s="688"/>
      <c r="D931" s="1667"/>
      <c r="E931" s="688"/>
      <c r="F931" s="688"/>
      <c r="G931" s="1668"/>
      <c r="H931" s="1673"/>
      <c r="I931" s="1668"/>
      <c r="J931" s="1669"/>
      <c r="K931" s="1668"/>
      <c r="L931" s="1669"/>
    </row>
    <row r="932" spans="1:12" s="692" customFormat="1" ht="16.5" hidden="1">
      <c r="A932" s="1665"/>
      <c r="B932" s="1666"/>
      <c r="C932" s="688"/>
      <c r="D932" s="1667"/>
      <c r="E932" s="1671">
        <v>3.5</v>
      </c>
      <c r="F932" s="1671">
        <v>4</v>
      </c>
      <c r="G932" s="1672">
        <v>0.15</v>
      </c>
      <c r="H932" s="1671">
        <f t="shared" ref="H932:H937" si="118">ROUND(D932*E932*F932*G932,2)</f>
        <v>0</v>
      </c>
      <c r="I932" s="688" t="s">
        <v>49</v>
      </c>
      <c r="J932" s="1668"/>
      <c r="K932" s="1668"/>
      <c r="L932" s="1669"/>
    </row>
    <row r="933" spans="1:12" s="692" customFormat="1" ht="16.5" hidden="1">
      <c r="A933" s="1665"/>
      <c r="B933" s="1666"/>
      <c r="C933" s="688"/>
      <c r="D933" s="1667"/>
      <c r="E933" s="1671">
        <v>3.5</v>
      </c>
      <c r="F933" s="1671">
        <v>4</v>
      </c>
      <c r="G933" s="1672">
        <v>0.15</v>
      </c>
      <c r="H933" s="1671">
        <f t="shared" si="118"/>
        <v>0</v>
      </c>
      <c r="I933" s="688" t="s">
        <v>49</v>
      </c>
      <c r="J933" s="1668"/>
      <c r="K933" s="1668"/>
      <c r="L933" s="1669"/>
    </row>
    <row r="934" spans="1:12" s="692" customFormat="1" ht="16.5" hidden="1">
      <c r="A934" s="1665"/>
      <c r="B934" s="1666"/>
      <c r="C934" s="688"/>
      <c r="D934" s="1667"/>
      <c r="E934" s="1671">
        <v>3.5</v>
      </c>
      <c r="F934" s="1671">
        <v>4</v>
      </c>
      <c r="G934" s="1672">
        <v>0.15</v>
      </c>
      <c r="H934" s="1671">
        <f t="shared" si="118"/>
        <v>0</v>
      </c>
      <c r="I934" s="688" t="s">
        <v>49</v>
      </c>
      <c r="J934" s="1668"/>
      <c r="K934" s="1668"/>
      <c r="L934" s="1669"/>
    </row>
    <row r="935" spans="1:12" s="692" customFormat="1" ht="16.5" hidden="1">
      <c r="A935" s="1665"/>
      <c r="B935" s="1666"/>
      <c r="C935" s="688"/>
      <c r="D935" s="1667"/>
      <c r="E935" s="1671">
        <v>3.5</v>
      </c>
      <c r="F935" s="1671">
        <v>4</v>
      </c>
      <c r="G935" s="1672">
        <v>0.15</v>
      </c>
      <c r="H935" s="1671">
        <f t="shared" si="118"/>
        <v>0</v>
      </c>
      <c r="I935" s="688" t="s">
        <v>49</v>
      </c>
      <c r="J935" s="1668"/>
      <c r="K935" s="1668"/>
      <c r="L935" s="1669"/>
    </row>
    <row r="936" spans="1:12" s="692" customFormat="1" ht="16.5" hidden="1">
      <c r="A936" s="1665"/>
      <c r="B936" s="1666"/>
      <c r="C936" s="688"/>
      <c r="D936" s="1667"/>
      <c r="E936" s="1671">
        <v>3.5</v>
      </c>
      <c r="F936" s="1671">
        <v>4</v>
      </c>
      <c r="G936" s="1672">
        <v>0.15</v>
      </c>
      <c r="H936" s="1671">
        <f t="shared" si="118"/>
        <v>0</v>
      </c>
      <c r="I936" s="688" t="s">
        <v>49</v>
      </c>
      <c r="J936" s="1668"/>
      <c r="K936" s="1668"/>
      <c r="L936" s="1669"/>
    </row>
    <row r="937" spans="1:12" s="692" customFormat="1" ht="16.5" hidden="1">
      <c r="A937" s="1665"/>
      <c r="B937" s="1666"/>
      <c r="C937" s="688"/>
      <c r="D937" s="1667"/>
      <c r="E937" s="1671">
        <v>3.5</v>
      </c>
      <c r="F937" s="1671">
        <v>4</v>
      </c>
      <c r="G937" s="1672">
        <v>0.15</v>
      </c>
      <c r="H937" s="1671">
        <f t="shared" si="118"/>
        <v>0</v>
      </c>
      <c r="I937" s="688" t="s">
        <v>49</v>
      </c>
      <c r="J937" s="1668"/>
      <c r="K937" s="1668"/>
      <c r="L937" s="1669"/>
    </row>
    <row r="938" spans="1:12" s="692" customFormat="1" ht="16.5" hidden="1">
      <c r="A938" s="1665"/>
      <c r="B938" s="1666"/>
      <c r="C938" s="688"/>
      <c r="D938" s="1667"/>
      <c r="E938" s="688"/>
      <c r="F938" s="688"/>
      <c r="G938" s="1668" t="s">
        <v>928</v>
      </c>
      <c r="H938" s="1673">
        <f>SUM(H932:H937)</f>
        <v>0</v>
      </c>
      <c r="I938" s="1668" t="s">
        <v>49</v>
      </c>
      <c r="J938" s="1669">
        <f>'Lead &amp; ANALYSIS'!L410</f>
        <v>7768.5</v>
      </c>
      <c r="K938" s="1668" t="s">
        <v>1516</v>
      </c>
      <c r="L938" s="1669">
        <f>ROUND(H938*J938,0)</f>
        <v>0</v>
      </c>
    </row>
    <row r="939" spans="1:12" s="692" customFormat="1" ht="16.5" hidden="1">
      <c r="A939" s="1665" t="s">
        <v>640</v>
      </c>
      <c r="B939" s="1666" t="s">
        <v>3632</v>
      </c>
      <c r="C939" s="688"/>
      <c r="D939" s="1667"/>
      <c r="E939" s="688"/>
      <c r="F939" s="688"/>
      <c r="G939" s="1668"/>
      <c r="H939" s="1673"/>
      <c r="I939" s="1668"/>
      <c r="J939" s="1669"/>
      <c r="K939" s="1668"/>
      <c r="L939" s="1669"/>
    </row>
    <row r="940" spans="1:12" s="692" customFormat="1" ht="16.5" hidden="1">
      <c r="A940" s="1665"/>
      <c r="B940" s="1666"/>
      <c r="C940" s="688"/>
      <c r="D940" s="1667"/>
      <c r="E940" s="1671">
        <v>3.5</v>
      </c>
      <c r="F940" s="1671">
        <v>4</v>
      </c>
      <c r="G940" s="1672">
        <v>0.15</v>
      </c>
      <c r="H940" s="1671">
        <f t="shared" ref="H940:H945" si="119">ROUND(D940*E940*F940*G940,2)</f>
        <v>0</v>
      </c>
      <c r="I940" s="688" t="s">
        <v>49</v>
      </c>
      <c r="J940" s="1668"/>
      <c r="K940" s="1668"/>
      <c r="L940" s="1669"/>
    </row>
    <row r="941" spans="1:12" s="692" customFormat="1" ht="16.5" hidden="1">
      <c r="A941" s="1665"/>
      <c r="B941" s="1666"/>
      <c r="C941" s="688"/>
      <c r="D941" s="1667"/>
      <c r="E941" s="1671">
        <v>3.5</v>
      </c>
      <c r="F941" s="1671">
        <v>4</v>
      </c>
      <c r="G941" s="1672">
        <v>0.15</v>
      </c>
      <c r="H941" s="1671">
        <f t="shared" si="119"/>
        <v>0</v>
      </c>
      <c r="I941" s="688" t="s">
        <v>49</v>
      </c>
      <c r="J941" s="1668"/>
      <c r="K941" s="1668"/>
      <c r="L941" s="1669"/>
    </row>
    <row r="942" spans="1:12" s="692" customFormat="1" ht="16.5" hidden="1">
      <c r="A942" s="1665"/>
      <c r="B942" s="1666"/>
      <c r="C942" s="688"/>
      <c r="D942" s="1667"/>
      <c r="E942" s="1671">
        <v>3.5</v>
      </c>
      <c r="F942" s="1671">
        <v>4</v>
      </c>
      <c r="G942" s="1672">
        <v>0.15</v>
      </c>
      <c r="H942" s="1671">
        <f t="shared" si="119"/>
        <v>0</v>
      </c>
      <c r="I942" s="688" t="s">
        <v>49</v>
      </c>
      <c r="J942" s="1668"/>
      <c r="K942" s="1668"/>
      <c r="L942" s="1669"/>
    </row>
    <row r="943" spans="1:12" s="692" customFormat="1" ht="16.5" hidden="1">
      <c r="A943" s="1665"/>
      <c r="B943" s="1666"/>
      <c r="C943" s="688"/>
      <c r="D943" s="1667"/>
      <c r="E943" s="1671">
        <v>3.5</v>
      </c>
      <c r="F943" s="1671">
        <v>4</v>
      </c>
      <c r="G943" s="1672">
        <v>0.15</v>
      </c>
      <c r="H943" s="1671">
        <f t="shared" si="119"/>
        <v>0</v>
      </c>
      <c r="I943" s="688" t="s">
        <v>49</v>
      </c>
      <c r="J943" s="1668"/>
      <c r="K943" s="1668"/>
      <c r="L943" s="1669"/>
    </row>
    <row r="944" spans="1:12" s="692" customFormat="1" ht="16.5" hidden="1">
      <c r="A944" s="1665"/>
      <c r="B944" s="1666"/>
      <c r="C944" s="688"/>
      <c r="D944" s="1667"/>
      <c r="E944" s="1671">
        <v>3.5</v>
      </c>
      <c r="F944" s="1671">
        <v>4</v>
      </c>
      <c r="G944" s="1672">
        <v>0.15</v>
      </c>
      <c r="H944" s="1671">
        <f t="shared" si="119"/>
        <v>0</v>
      </c>
      <c r="I944" s="688" t="s">
        <v>49</v>
      </c>
      <c r="J944" s="1668"/>
      <c r="K944" s="1668"/>
      <c r="L944" s="1669"/>
    </row>
    <row r="945" spans="1:12" s="692" customFormat="1" ht="16.5" hidden="1">
      <c r="A945" s="1665"/>
      <c r="B945" s="1666"/>
      <c r="C945" s="688"/>
      <c r="D945" s="1667"/>
      <c r="E945" s="1671">
        <v>3.5</v>
      </c>
      <c r="F945" s="1671">
        <v>4</v>
      </c>
      <c r="G945" s="1672">
        <v>0.15</v>
      </c>
      <c r="H945" s="1671">
        <f t="shared" si="119"/>
        <v>0</v>
      </c>
      <c r="I945" s="688" t="s">
        <v>49</v>
      </c>
      <c r="J945" s="1668"/>
      <c r="K945" s="1668"/>
      <c r="L945" s="1669"/>
    </row>
    <row r="946" spans="1:12" s="692" customFormat="1" ht="16.5" hidden="1">
      <c r="A946" s="1665"/>
      <c r="B946" s="1666"/>
      <c r="C946" s="688"/>
      <c r="D946" s="1667"/>
      <c r="E946" s="688"/>
      <c r="F946" s="688"/>
      <c r="G946" s="1668" t="s">
        <v>928</v>
      </c>
      <c r="H946" s="1673">
        <f>SUM(H940:H945)</f>
        <v>0</v>
      </c>
      <c r="I946" s="1668" t="s">
        <v>49</v>
      </c>
      <c r="J946" s="1669">
        <f>'Lead &amp; ANALYSIS'!L411</f>
        <v>8145.8</v>
      </c>
      <c r="K946" s="1668" t="s">
        <v>1516</v>
      </c>
      <c r="L946" s="1669">
        <f>ROUND(H946*J946,0)</f>
        <v>0</v>
      </c>
    </row>
    <row r="947" spans="1:12" s="692" customFormat="1" ht="16.5" hidden="1">
      <c r="A947" s="1665"/>
      <c r="B947" s="1675" t="s">
        <v>3437</v>
      </c>
      <c r="C947" s="688"/>
      <c r="D947" s="1667"/>
      <c r="E947" s="688"/>
      <c r="F947" s="688"/>
      <c r="G947" s="1674"/>
      <c r="H947" s="688"/>
      <c r="I947" s="1668"/>
      <c r="J947" s="1668"/>
      <c r="K947" s="1668"/>
      <c r="L947" s="1669"/>
    </row>
    <row r="948" spans="1:12" s="692" customFormat="1" ht="16.5" hidden="1">
      <c r="A948" s="1665" t="s">
        <v>413</v>
      </c>
      <c r="B948" s="1666" t="s">
        <v>384</v>
      </c>
      <c r="C948" s="688"/>
      <c r="D948" s="1667"/>
      <c r="E948" s="688"/>
      <c r="F948" s="688"/>
      <c r="G948" s="1674"/>
      <c r="H948" s="688"/>
      <c r="I948" s="1668"/>
      <c r="J948" s="1668"/>
      <c r="K948" s="1668"/>
      <c r="L948" s="1669"/>
    </row>
    <row r="949" spans="1:12" s="692" customFormat="1" ht="16.5" hidden="1">
      <c r="A949" s="1665"/>
      <c r="B949" s="1666"/>
      <c r="C949" s="688"/>
      <c r="D949" s="1667"/>
      <c r="E949" s="1671">
        <v>3.5</v>
      </c>
      <c r="F949" s="1671">
        <v>4</v>
      </c>
      <c r="G949" s="1672">
        <v>0.15</v>
      </c>
      <c r="H949" s="1671">
        <f t="shared" ref="H949:H954" si="120">ROUND(D949*E949*F949*G949,2)</f>
        <v>0</v>
      </c>
      <c r="I949" s="1671" t="s">
        <v>49</v>
      </c>
      <c r="J949" s="1668"/>
      <c r="K949" s="1668"/>
      <c r="L949" s="1669"/>
    </row>
    <row r="950" spans="1:12" s="692" customFormat="1" ht="16.5" hidden="1">
      <c r="A950" s="1665"/>
      <c r="B950" s="1666"/>
      <c r="C950" s="688"/>
      <c r="D950" s="1667"/>
      <c r="E950" s="1671">
        <v>3.5</v>
      </c>
      <c r="F950" s="1671">
        <v>4</v>
      </c>
      <c r="G950" s="1672">
        <v>0.05</v>
      </c>
      <c r="H950" s="1671">
        <f t="shared" si="120"/>
        <v>0</v>
      </c>
      <c r="I950" s="1671" t="s">
        <v>49</v>
      </c>
      <c r="J950" s="1668"/>
      <c r="K950" s="1668"/>
      <c r="L950" s="1669"/>
    </row>
    <row r="951" spans="1:12" s="692" customFormat="1" ht="16.5" hidden="1">
      <c r="A951" s="1665"/>
      <c r="B951" s="1666"/>
      <c r="C951" s="688"/>
      <c r="D951" s="1667"/>
      <c r="E951" s="1671">
        <v>3.5</v>
      </c>
      <c r="F951" s="1671">
        <v>4</v>
      </c>
      <c r="G951" s="1672">
        <v>1.05</v>
      </c>
      <c r="H951" s="1671">
        <f t="shared" si="120"/>
        <v>0</v>
      </c>
      <c r="I951" s="1671" t="s">
        <v>49</v>
      </c>
      <c r="J951" s="1668"/>
      <c r="K951" s="1668"/>
      <c r="L951" s="1669"/>
    </row>
    <row r="952" spans="1:12" s="692" customFormat="1" ht="16.5" hidden="1">
      <c r="A952" s="1665"/>
      <c r="B952" s="1666"/>
      <c r="C952" s="688"/>
      <c r="D952" s="1667"/>
      <c r="E952" s="1671">
        <v>3.5</v>
      </c>
      <c r="F952" s="1671">
        <v>4</v>
      </c>
      <c r="G952" s="1672">
        <v>2.0499999999999998</v>
      </c>
      <c r="H952" s="1671">
        <f t="shared" si="120"/>
        <v>0</v>
      </c>
      <c r="I952" s="1671" t="s">
        <v>49</v>
      </c>
      <c r="J952" s="1668"/>
      <c r="K952" s="1668"/>
      <c r="L952" s="1669"/>
    </row>
    <row r="953" spans="1:12" s="692" customFormat="1" ht="16.5" hidden="1">
      <c r="A953" s="1665"/>
      <c r="B953" s="1666"/>
      <c r="C953" s="688"/>
      <c r="D953" s="1667"/>
      <c r="E953" s="1671">
        <v>3.5</v>
      </c>
      <c r="F953" s="1671">
        <v>4</v>
      </c>
      <c r="G953" s="1672">
        <v>3.05</v>
      </c>
      <c r="H953" s="1671">
        <f t="shared" si="120"/>
        <v>0</v>
      </c>
      <c r="I953" s="1671" t="s">
        <v>49</v>
      </c>
      <c r="J953" s="1668"/>
      <c r="K953" s="1668"/>
      <c r="L953" s="1669"/>
    </row>
    <row r="954" spans="1:12" s="692" customFormat="1" ht="16.5" hidden="1">
      <c r="A954" s="1665"/>
      <c r="B954" s="1666"/>
      <c r="C954" s="688"/>
      <c r="D954" s="1667"/>
      <c r="E954" s="1671">
        <v>3.5</v>
      </c>
      <c r="F954" s="1671">
        <v>4</v>
      </c>
      <c r="G954" s="1672">
        <v>4.05</v>
      </c>
      <c r="H954" s="1671">
        <f t="shared" si="120"/>
        <v>0</v>
      </c>
      <c r="I954" s="1671" t="s">
        <v>49</v>
      </c>
      <c r="J954" s="1668"/>
      <c r="K954" s="1668"/>
      <c r="L954" s="1669"/>
    </row>
    <row r="955" spans="1:12" s="692" customFormat="1" ht="16.5" hidden="1">
      <c r="A955" s="1665"/>
      <c r="B955" s="1666"/>
      <c r="C955" s="688"/>
      <c r="D955" s="1667"/>
      <c r="E955" s="1671"/>
      <c r="F955" s="1671"/>
      <c r="G955" s="1669" t="s">
        <v>928</v>
      </c>
      <c r="H955" s="1673">
        <f>SUM(H949:H954)</f>
        <v>0</v>
      </c>
      <c r="I955" s="1669" t="s">
        <v>49</v>
      </c>
      <c r="J955" s="1669">
        <f>'Lead &amp; ANALYSIS'!L413</f>
        <v>7480.8</v>
      </c>
      <c r="K955" s="1668" t="s">
        <v>1516</v>
      </c>
      <c r="L955" s="1669">
        <f>ROUND(H955*J955,0)</f>
        <v>0</v>
      </c>
    </row>
    <row r="956" spans="1:12" s="692" customFormat="1" ht="16.5" hidden="1">
      <c r="A956" s="1665" t="s">
        <v>415</v>
      </c>
      <c r="B956" s="1666" t="s">
        <v>387</v>
      </c>
      <c r="C956" s="688"/>
      <c r="D956" s="1667"/>
      <c r="E956" s="688"/>
      <c r="F956" s="688"/>
      <c r="G956" s="1674"/>
      <c r="H956" s="688"/>
      <c r="I956" s="1668"/>
      <c r="J956" s="1668"/>
      <c r="K956" s="1668"/>
      <c r="L956" s="1669"/>
    </row>
    <row r="957" spans="1:12" s="692" customFormat="1" ht="16.5" hidden="1">
      <c r="A957" s="1665"/>
      <c r="B957" s="1666"/>
      <c r="C957" s="688"/>
      <c r="D957" s="1667"/>
      <c r="E957" s="1671">
        <v>3.5</v>
      </c>
      <c r="F957" s="1671">
        <v>4</v>
      </c>
      <c r="G957" s="1672">
        <v>0.15</v>
      </c>
      <c r="H957" s="1671">
        <f t="shared" ref="H957:H962" si="121">ROUND(D957*E957*F957*G957,2)</f>
        <v>0</v>
      </c>
      <c r="I957" s="1671" t="s">
        <v>49</v>
      </c>
      <c r="J957" s="1668"/>
      <c r="K957" s="1668"/>
      <c r="L957" s="1669"/>
    </row>
    <row r="958" spans="1:12" s="692" customFormat="1" ht="16.5" hidden="1">
      <c r="A958" s="1665"/>
      <c r="B958" s="1666"/>
      <c r="C958" s="688"/>
      <c r="D958" s="1667"/>
      <c r="E958" s="1671">
        <v>3.5</v>
      </c>
      <c r="F958" s="1671">
        <v>4</v>
      </c>
      <c r="G958" s="1672">
        <v>0.15</v>
      </c>
      <c r="H958" s="1671">
        <f t="shared" si="121"/>
        <v>0</v>
      </c>
      <c r="I958" s="1671" t="s">
        <v>49</v>
      </c>
      <c r="J958" s="1668"/>
      <c r="K958" s="1668"/>
      <c r="L958" s="1669"/>
    </row>
    <row r="959" spans="1:12" s="692" customFormat="1" ht="16.5" hidden="1">
      <c r="A959" s="1665"/>
      <c r="B959" s="1666"/>
      <c r="C959" s="688"/>
      <c r="D959" s="1667"/>
      <c r="E959" s="1671">
        <v>3.5</v>
      </c>
      <c r="F959" s="1671">
        <v>4</v>
      </c>
      <c r="G959" s="1672">
        <v>0.15</v>
      </c>
      <c r="H959" s="1671">
        <f t="shared" si="121"/>
        <v>0</v>
      </c>
      <c r="I959" s="1671" t="s">
        <v>49</v>
      </c>
      <c r="J959" s="1668"/>
      <c r="K959" s="1668"/>
      <c r="L959" s="1669"/>
    </row>
    <row r="960" spans="1:12" s="692" customFormat="1" ht="16.5" hidden="1">
      <c r="A960" s="1665"/>
      <c r="B960" s="1666"/>
      <c r="C960" s="688"/>
      <c r="D960" s="1667"/>
      <c r="E960" s="1671">
        <v>3.5</v>
      </c>
      <c r="F960" s="1671">
        <v>4</v>
      </c>
      <c r="G960" s="1672">
        <v>0.15</v>
      </c>
      <c r="H960" s="1671">
        <f t="shared" si="121"/>
        <v>0</v>
      </c>
      <c r="I960" s="1671" t="s">
        <v>49</v>
      </c>
      <c r="J960" s="1668"/>
      <c r="K960" s="1668"/>
      <c r="L960" s="1669"/>
    </row>
    <row r="961" spans="1:12" s="692" customFormat="1" ht="16.5" hidden="1">
      <c r="A961" s="1665"/>
      <c r="B961" s="1666"/>
      <c r="C961" s="688"/>
      <c r="D961" s="1667"/>
      <c r="E961" s="1671">
        <v>3.5</v>
      </c>
      <c r="F961" s="1671">
        <v>4</v>
      </c>
      <c r="G961" s="1672">
        <v>0.15</v>
      </c>
      <c r="H961" s="1671">
        <f t="shared" si="121"/>
        <v>0</v>
      </c>
      <c r="I961" s="1671" t="s">
        <v>49</v>
      </c>
      <c r="J961" s="1668"/>
      <c r="K961" s="1668"/>
      <c r="L961" s="1669"/>
    </row>
    <row r="962" spans="1:12" s="692" customFormat="1" ht="16.5" hidden="1">
      <c r="A962" s="1665"/>
      <c r="B962" s="1666"/>
      <c r="C962" s="688"/>
      <c r="D962" s="1667"/>
      <c r="E962" s="1671">
        <v>3.5</v>
      </c>
      <c r="F962" s="1671">
        <v>4</v>
      </c>
      <c r="G962" s="1672">
        <v>0.15</v>
      </c>
      <c r="H962" s="1671">
        <f t="shared" si="121"/>
        <v>0</v>
      </c>
      <c r="I962" s="1671" t="s">
        <v>49</v>
      </c>
      <c r="J962" s="1668"/>
      <c r="K962" s="1668"/>
      <c r="L962" s="1669"/>
    </row>
    <row r="963" spans="1:12" s="692" customFormat="1" ht="16.5" hidden="1">
      <c r="A963" s="1665"/>
      <c r="B963" s="1666"/>
      <c r="C963" s="688"/>
      <c r="D963" s="1667"/>
      <c r="E963" s="1671"/>
      <c r="F963" s="1671"/>
      <c r="G963" s="1669" t="s">
        <v>928</v>
      </c>
      <c r="H963" s="1673">
        <f>SUM(H957:H962)</f>
        <v>0</v>
      </c>
      <c r="I963" s="1669" t="s">
        <v>49</v>
      </c>
      <c r="J963" s="1669">
        <f>'Lead &amp; ANALYSIS'!L414</f>
        <v>7766.1</v>
      </c>
      <c r="K963" s="1668" t="s">
        <v>1516</v>
      </c>
      <c r="L963" s="1669">
        <f>ROUND(H963*J963,0)</f>
        <v>0</v>
      </c>
    </row>
    <row r="964" spans="1:12" s="692" customFormat="1" ht="16.5" hidden="1">
      <c r="A964" s="1665" t="s">
        <v>638</v>
      </c>
      <c r="B964" s="1666" t="s">
        <v>3613</v>
      </c>
      <c r="C964" s="688"/>
      <c r="D964" s="1667"/>
      <c r="E964" s="688"/>
      <c r="F964" s="688"/>
      <c r="G964" s="1668"/>
      <c r="H964" s="1673"/>
      <c r="I964" s="1668"/>
      <c r="J964" s="1669"/>
      <c r="K964" s="1668"/>
      <c r="L964" s="1669"/>
    </row>
    <row r="965" spans="1:12" s="692" customFormat="1" ht="16.5" hidden="1">
      <c r="A965" s="1665"/>
      <c r="B965" s="1666"/>
      <c r="C965" s="688"/>
      <c r="D965" s="1667"/>
      <c r="E965" s="1671">
        <v>3.5</v>
      </c>
      <c r="F965" s="1671">
        <v>4</v>
      </c>
      <c r="G965" s="1672">
        <v>0.15</v>
      </c>
      <c r="H965" s="1671">
        <f t="shared" ref="H965:H970" si="122">ROUND(D965*E965*F965*G965,2)</f>
        <v>0</v>
      </c>
      <c r="I965" s="688" t="s">
        <v>49</v>
      </c>
      <c r="J965" s="1668"/>
      <c r="K965" s="1668"/>
      <c r="L965" s="1669"/>
    </row>
    <row r="966" spans="1:12" s="692" customFormat="1" ht="16.5" hidden="1">
      <c r="A966" s="1665"/>
      <c r="B966" s="1666"/>
      <c r="C966" s="688"/>
      <c r="D966" s="1667"/>
      <c r="E966" s="1671">
        <v>3.5</v>
      </c>
      <c r="F966" s="1671">
        <v>4</v>
      </c>
      <c r="G966" s="1672">
        <v>0.15</v>
      </c>
      <c r="H966" s="1671">
        <f t="shared" si="122"/>
        <v>0</v>
      </c>
      <c r="I966" s="688" t="s">
        <v>49</v>
      </c>
      <c r="J966" s="1668"/>
      <c r="K966" s="1668"/>
      <c r="L966" s="1669"/>
    </row>
    <row r="967" spans="1:12" s="692" customFormat="1" ht="16.5" hidden="1">
      <c r="A967" s="1665"/>
      <c r="B967" s="1666"/>
      <c r="C967" s="688"/>
      <c r="D967" s="1667"/>
      <c r="E967" s="1671">
        <v>3.5</v>
      </c>
      <c r="F967" s="1671">
        <v>4</v>
      </c>
      <c r="G967" s="1672">
        <v>0.15</v>
      </c>
      <c r="H967" s="1671">
        <f t="shared" si="122"/>
        <v>0</v>
      </c>
      <c r="I967" s="688" t="s">
        <v>49</v>
      </c>
      <c r="J967" s="1668"/>
      <c r="K967" s="1668"/>
      <c r="L967" s="1669"/>
    </row>
    <row r="968" spans="1:12" s="692" customFormat="1" ht="16.5" hidden="1">
      <c r="A968" s="1665"/>
      <c r="B968" s="1666"/>
      <c r="C968" s="688"/>
      <c r="D968" s="1667"/>
      <c r="E968" s="1671">
        <v>3.5</v>
      </c>
      <c r="F968" s="1671">
        <v>4</v>
      </c>
      <c r="G968" s="1672">
        <v>0.15</v>
      </c>
      <c r="H968" s="1671">
        <f t="shared" si="122"/>
        <v>0</v>
      </c>
      <c r="I968" s="688" t="s">
        <v>49</v>
      </c>
      <c r="J968" s="1668"/>
      <c r="K968" s="1668"/>
      <c r="L968" s="1669"/>
    </row>
    <row r="969" spans="1:12" s="692" customFormat="1" ht="16.5" hidden="1">
      <c r="A969" s="1665"/>
      <c r="B969" s="1666"/>
      <c r="C969" s="688"/>
      <c r="D969" s="1667"/>
      <c r="E969" s="1671">
        <v>3.5</v>
      </c>
      <c r="F969" s="1671">
        <v>4</v>
      </c>
      <c r="G969" s="1672">
        <v>0.15</v>
      </c>
      <c r="H969" s="1671">
        <f t="shared" si="122"/>
        <v>0</v>
      </c>
      <c r="I969" s="688" t="s">
        <v>49</v>
      </c>
      <c r="J969" s="1668"/>
      <c r="K969" s="1668"/>
      <c r="L969" s="1669"/>
    </row>
    <row r="970" spans="1:12" s="692" customFormat="1" ht="16.5" hidden="1">
      <c r="A970" s="1665"/>
      <c r="B970" s="1666"/>
      <c r="C970" s="688"/>
      <c r="D970" s="1667"/>
      <c r="E970" s="1671">
        <v>3.5</v>
      </c>
      <c r="F970" s="1671">
        <v>4</v>
      </c>
      <c r="G970" s="1672">
        <v>0.15</v>
      </c>
      <c r="H970" s="1671">
        <f t="shared" si="122"/>
        <v>0</v>
      </c>
      <c r="I970" s="688" t="s">
        <v>49</v>
      </c>
      <c r="J970" s="1668"/>
      <c r="K970" s="1668"/>
      <c r="L970" s="1669"/>
    </row>
    <row r="971" spans="1:12" s="692" customFormat="1" ht="16.5" hidden="1">
      <c r="A971" s="1665"/>
      <c r="B971" s="1666"/>
      <c r="C971" s="688"/>
      <c r="D971" s="1667"/>
      <c r="E971" s="688"/>
      <c r="F971" s="688"/>
      <c r="G971" s="1668" t="s">
        <v>928</v>
      </c>
      <c r="H971" s="1673">
        <f>SUM(H965:H970)</f>
        <v>0</v>
      </c>
      <c r="I971" s="1668" t="s">
        <v>49</v>
      </c>
      <c r="J971" s="1669">
        <f>'Lead &amp; ANALYSIS'!L415</f>
        <v>8094.1</v>
      </c>
      <c r="K971" s="1668" t="s">
        <v>1516</v>
      </c>
      <c r="L971" s="1669">
        <f>ROUND(H971*J971,0)</f>
        <v>0</v>
      </c>
    </row>
    <row r="972" spans="1:12" s="692" customFormat="1" ht="16.5" hidden="1">
      <c r="A972" s="1665" t="s">
        <v>640</v>
      </c>
      <c r="B972" s="1666" t="s">
        <v>3632</v>
      </c>
      <c r="C972" s="688"/>
      <c r="D972" s="1667"/>
      <c r="E972" s="688"/>
      <c r="F972" s="688"/>
      <c r="G972" s="1668"/>
      <c r="H972" s="1673"/>
      <c r="I972" s="1668"/>
      <c r="J972" s="1669"/>
      <c r="K972" s="1668"/>
      <c r="L972" s="1669"/>
    </row>
    <row r="973" spans="1:12" s="692" customFormat="1" ht="16.5" hidden="1">
      <c r="A973" s="1665"/>
      <c r="B973" s="1666"/>
      <c r="C973" s="688"/>
      <c r="D973" s="1667"/>
      <c r="E973" s="1671">
        <v>3.5</v>
      </c>
      <c r="F973" s="1671">
        <v>4</v>
      </c>
      <c r="G973" s="1672">
        <v>0.15</v>
      </c>
      <c r="H973" s="1671">
        <f t="shared" ref="H973:H978" si="123">ROUND(D973*E973*F973*G973,2)</f>
        <v>0</v>
      </c>
      <c r="I973" s="688" t="s">
        <v>49</v>
      </c>
      <c r="J973" s="1668"/>
      <c r="K973" s="1668"/>
      <c r="L973" s="1669"/>
    </row>
    <row r="974" spans="1:12" s="692" customFormat="1" ht="16.5" hidden="1">
      <c r="A974" s="1665"/>
      <c r="B974" s="1666"/>
      <c r="C974" s="688"/>
      <c r="D974" s="1667"/>
      <c r="E974" s="1671">
        <v>3.5</v>
      </c>
      <c r="F974" s="1671">
        <v>4</v>
      </c>
      <c r="G974" s="1672">
        <v>0.15</v>
      </c>
      <c r="H974" s="1671">
        <f t="shared" si="123"/>
        <v>0</v>
      </c>
      <c r="I974" s="688" t="s">
        <v>49</v>
      </c>
      <c r="J974" s="1668"/>
      <c r="K974" s="1668"/>
      <c r="L974" s="1669"/>
    </row>
    <row r="975" spans="1:12" s="692" customFormat="1" ht="16.5" hidden="1">
      <c r="A975" s="1665"/>
      <c r="B975" s="1666"/>
      <c r="C975" s="688"/>
      <c r="D975" s="1667"/>
      <c r="E975" s="1671">
        <v>3.5</v>
      </c>
      <c r="F975" s="1671">
        <v>4</v>
      </c>
      <c r="G975" s="1672">
        <v>0.15</v>
      </c>
      <c r="H975" s="1671">
        <f t="shared" si="123"/>
        <v>0</v>
      </c>
      <c r="I975" s="688" t="s">
        <v>49</v>
      </c>
      <c r="J975" s="1668"/>
      <c r="K975" s="1668"/>
      <c r="L975" s="1669"/>
    </row>
    <row r="976" spans="1:12" s="692" customFormat="1" ht="16.5" hidden="1">
      <c r="A976" s="1665"/>
      <c r="B976" s="1666"/>
      <c r="C976" s="688"/>
      <c r="D976" s="1667"/>
      <c r="E976" s="1671">
        <v>3.5</v>
      </c>
      <c r="F976" s="1671">
        <v>4</v>
      </c>
      <c r="G976" s="1672">
        <v>0.15</v>
      </c>
      <c r="H976" s="1671">
        <f t="shared" si="123"/>
        <v>0</v>
      </c>
      <c r="I976" s="688" t="s">
        <v>49</v>
      </c>
      <c r="J976" s="1668"/>
      <c r="K976" s="1668"/>
      <c r="L976" s="1669"/>
    </row>
    <row r="977" spans="1:12" s="692" customFormat="1" ht="16.5" hidden="1">
      <c r="A977" s="1665"/>
      <c r="B977" s="1666"/>
      <c r="C977" s="688"/>
      <c r="D977" s="1667"/>
      <c r="E977" s="1671">
        <v>3.5</v>
      </c>
      <c r="F977" s="1671">
        <v>4</v>
      </c>
      <c r="G977" s="1672">
        <v>0.15</v>
      </c>
      <c r="H977" s="1671">
        <f t="shared" si="123"/>
        <v>0</v>
      </c>
      <c r="I977" s="688" t="s">
        <v>49</v>
      </c>
      <c r="J977" s="1668"/>
      <c r="K977" s="1668"/>
      <c r="L977" s="1669"/>
    </row>
    <row r="978" spans="1:12" s="692" customFormat="1" ht="16.5" hidden="1">
      <c r="A978" s="1665"/>
      <c r="B978" s="1666"/>
      <c r="C978" s="688"/>
      <c r="D978" s="1667"/>
      <c r="E978" s="1671">
        <v>3.5</v>
      </c>
      <c r="F978" s="1671">
        <v>4</v>
      </c>
      <c r="G978" s="1672">
        <v>0.15</v>
      </c>
      <c r="H978" s="1671">
        <f t="shared" si="123"/>
        <v>0</v>
      </c>
      <c r="I978" s="688" t="s">
        <v>49</v>
      </c>
      <c r="J978" s="1668"/>
      <c r="K978" s="1668"/>
      <c r="L978" s="1669"/>
    </row>
    <row r="979" spans="1:12" s="692" customFormat="1" ht="16.5" hidden="1">
      <c r="A979" s="1665"/>
      <c r="B979" s="1666"/>
      <c r="C979" s="688"/>
      <c r="D979" s="1667"/>
      <c r="E979" s="688"/>
      <c r="F979" s="688"/>
      <c r="G979" s="1668" t="s">
        <v>928</v>
      </c>
      <c r="H979" s="1673">
        <f>SUM(H973:H978)</f>
        <v>0</v>
      </c>
      <c r="I979" s="1668" t="s">
        <v>49</v>
      </c>
      <c r="J979" s="1669">
        <f>'Lead &amp; ANALYSIS'!L416</f>
        <v>8471.2999999999993</v>
      </c>
      <c r="K979" s="1668" t="s">
        <v>1516</v>
      </c>
      <c r="L979" s="1669">
        <f>ROUND(H979*J979,0)</f>
        <v>0</v>
      </c>
    </row>
    <row r="980" spans="1:12" s="692" customFormat="1" ht="49.5" hidden="1">
      <c r="A980" s="1665">
        <f>'Lead &amp; ANALYSIS'!A417</f>
        <v>37</v>
      </c>
      <c r="B980" s="1666" t="str">
        <f>'Lead &amp; ANALYSIS'!B417</f>
        <v>W.B.K.B brick masonry in cement mortar (1:4) using kiln Burnt bricks of 10” size etc. complete in all respect as directed by the Engineer-in-charge.</v>
      </c>
      <c r="C980" s="688"/>
      <c r="D980" s="1667"/>
      <c r="E980" s="688"/>
      <c r="F980" s="688"/>
      <c r="G980" s="1674"/>
      <c r="H980" s="688"/>
      <c r="I980" s="1668"/>
      <c r="J980" s="1668"/>
      <c r="K980" s="1668"/>
      <c r="L980" s="1669"/>
    </row>
    <row r="981" spans="1:12" s="692" customFormat="1" ht="16.5" hidden="1">
      <c r="A981" s="1665" t="s">
        <v>201</v>
      </c>
      <c r="B981" s="1666" t="s">
        <v>429</v>
      </c>
      <c r="C981" s="688"/>
      <c r="D981" s="1667"/>
      <c r="E981" s="688"/>
      <c r="F981" s="688"/>
      <c r="G981" s="1674"/>
      <c r="H981" s="688"/>
      <c r="I981" s="1668"/>
      <c r="J981" s="1668"/>
      <c r="K981" s="1668"/>
      <c r="L981" s="1669"/>
    </row>
    <row r="982" spans="1:12" s="692" customFormat="1" ht="16.5" hidden="1">
      <c r="A982" s="1665"/>
      <c r="B982" s="1666"/>
      <c r="C982" s="688"/>
      <c r="D982" s="1667"/>
      <c r="E982" s="1671">
        <v>3.5</v>
      </c>
      <c r="F982" s="1671">
        <v>4</v>
      </c>
      <c r="G982" s="1672">
        <v>0.15</v>
      </c>
      <c r="H982" s="1671">
        <f t="shared" ref="H982:H987" si="124">ROUND(D982*E982*F982*G982,2)</f>
        <v>0</v>
      </c>
      <c r="I982" s="1671" t="s">
        <v>49</v>
      </c>
      <c r="J982" s="1668"/>
      <c r="K982" s="1668"/>
      <c r="L982" s="1669"/>
    </row>
    <row r="983" spans="1:12" s="692" customFormat="1" ht="16.5" hidden="1">
      <c r="A983" s="1665"/>
      <c r="B983" s="1666"/>
      <c r="C983" s="688"/>
      <c r="D983" s="1667"/>
      <c r="E983" s="1671">
        <v>3.5</v>
      </c>
      <c r="F983" s="1671">
        <v>4</v>
      </c>
      <c r="G983" s="1672">
        <v>0.15</v>
      </c>
      <c r="H983" s="1671">
        <f t="shared" si="124"/>
        <v>0</v>
      </c>
      <c r="I983" s="1671" t="s">
        <v>49</v>
      </c>
      <c r="J983" s="1668"/>
      <c r="K983" s="1668"/>
      <c r="L983" s="1669"/>
    </row>
    <row r="984" spans="1:12" s="692" customFormat="1" ht="16.5" hidden="1">
      <c r="A984" s="1665"/>
      <c r="B984" s="1666"/>
      <c r="C984" s="688"/>
      <c r="D984" s="1667"/>
      <c r="E984" s="1671">
        <v>3.5</v>
      </c>
      <c r="F984" s="1671">
        <v>4</v>
      </c>
      <c r="G984" s="1672">
        <v>0.15</v>
      </c>
      <c r="H984" s="1671">
        <f t="shared" si="124"/>
        <v>0</v>
      </c>
      <c r="I984" s="1671" t="s">
        <v>49</v>
      </c>
      <c r="J984" s="1668"/>
      <c r="K984" s="1668"/>
      <c r="L984" s="1669"/>
    </row>
    <row r="985" spans="1:12" s="692" customFormat="1" ht="16.5" hidden="1">
      <c r="A985" s="1665"/>
      <c r="B985" s="1666"/>
      <c r="C985" s="688"/>
      <c r="D985" s="1667"/>
      <c r="E985" s="1671">
        <v>3.5</v>
      </c>
      <c r="F985" s="1671">
        <v>4</v>
      </c>
      <c r="G985" s="1672">
        <v>0.15</v>
      </c>
      <c r="H985" s="1671">
        <f t="shared" si="124"/>
        <v>0</v>
      </c>
      <c r="I985" s="1671" t="s">
        <v>49</v>
      </c>
      <c r="J985" s="1668"/>
      <c r="K985" s="1668"/>
      <c r="L985" s="1669"/>
    </row>
    <row r="986" spans="1:12" s="692" customFormat="1" ht="16.5" hidden="1">
      <c r="A986" s="1665"/>
      <c r="B986" s="1666"/>
      <c r="C986" s="688"/>
      <c r="D986" s="1667"/>
      <c r="E986" s="1671">
        <v>3.5</v>
      </c>
      <c r="F986" s="1671">
        <v>4</v>
      </c>
      <c r="G986" s="1672">
        <v>0.15</v>
      </c>
      <c r="H986" s="1671">
        <f t="shared" si="124"/>
        <v>0</v>
      </c>
      <c r="I986" s="1671" t="s">
        <v>49</v>
      </c>
      <c r="J986" s="1668"/>
      <c r="K986" s="1668"/>
      <c r="L986" s="1669"/>
    </row>
    <row r="987" spans="1:12" s="692" customFormat="1" ht="16.5" hidden="1">
      <c r="A987" s="1665"/>
      <c r="B987" s="1666"/>
      <c r="C987" s="688"/>
      <c r="D987" s="1667"/>
      <c r="E987" s="1671">
        <v>3.5</v>
      </c>
      <c r="F987" s="1671">
        <v>4</v>
      </c>
      <c r="G987" s="1672">
        <v>0.15</v>
      </c>
      <c r="H987" s="1671">
        <f t="shared" si="124"/>
        <v>0</v>
      </c>
      <c r="I987" s="1671" t="s">
        <v>49</v>
      </c>
      <c r="J987" s="1668"/>
      <c r="K987" s="1668"/>
      <c r="L987" s="1669"/>
    </row>
    <row r="988" spans="1:12" s="692" customFormat="1" ht="16.5" hidden="1">
      <c r="A988" s="1665"/>
      <c r="B988" s="1666"/>
      <c r="C988" s="688"/>
      <c r="D988" s="1667"/>
      <c r="E988" s="1671"/>
      <c r="F988" s="1671"/>
      <c r="G988" s="1669" t="s">
        <v>928</v>
      </c>
      <c r="H988" s="1673">
        <f>SUM(H982:H987)</f>
        <v>0</v>
      </c>
      <c r="I988" s="1669" t="s">
        <v>49</v>
      </c>
      <c r="J988" s="1669">
        <f>'Lead &amp; ANALYSIS'!L418</f>
        <v>5634.4</v>
      </c>
      <c r="K988" s="1668" t="s">
        <v>1516</v>
      </c>
      <c r="L988" s="1669">
        <f>ROUND(H988*J988,0)</f>
        <v>0</v>
      </c>
    </row>
    <row r="989" spans="1:12" s="692" customFormat="1" ht="16.5" hidden="1">
      <c r="A989" s="1665" t="s">
        <v>220</v>
      </c>
      <c r="B989" s="1666" t="s">
        <v>430</v>
      </c>
      <c r="C989" s="688"/>
      <c r="D989" s="1667"/>
      <c r="E989" s="688"/>
      <c r="F989" s="688"/>
      <c r="G989" s="1674"/>
      <c r="H989" s="688"/>
      <c r="I989" s="1668"/>
      <c r="J989" s="1668"/>
      <c r="K989" s="1668"/>
      <c r="L989" s="1669"/>
    </row>
    <row r="990" spans="1:12" s="692" customFormat="1" ht="16.5" hidden="1">
      <c r="A990" s="1665"/>
      <c r="B990" s="1666"/>
      <c r="C990" s="688"/>
      <c r="D990" s="1667"/>
      <c r="E990" s="1671">
        <v>3.5</v>
      </c>
      <c r="F990" s="1671">
        <v>4</v>
      </c>
      <c r="G990" s="1672">
        <v>0.15</v>
      </c>
      <c r="H990" s="1671">
        <f t="shared" ref="H990:H995" si="125">ROUND(D990*E990*F990*G990,2)</f>
        <v>0</v>
      </c>
      <c r="I990" s="1671" t="s">
        <v>49</v>
      </c>
      <c r="J990" s="1668"/>
      <c r="K990" s="1668"/>
      <c r="L990" s="1669"/>
    </row>
    <row r="991" spans="1:12" s="692" customFormat="1" ht="16.5" hidden="1">
      <c r="A991" s="1665"/>
      <c r="B991" s="1666"/>
      <c r="C991" s="688"/>
      <c r="D991" s="1667"/>
      <c r="E991" s="1671">
        <v>3.5</v>
      </c>
      <c r="F991" s="1671">
        <v>4</v>
      </c>
      <c r="G991" s="1672">
        <v>0.15</v>
      </c>
      <c r="H991" s="1671">
        <f t="shared" si="125"/>
        <v>0</v>
      </c>
      <c r="I991" s="1671" t="s">
        <v>49</v>
      </c>
      <c r="J991" s="1668"/>
      <c r="K991" s="1668"/>
      <c r="L991" s="1669"/>
    </row>
    <row r="992" spans="1:12" s="692" customFormat="1" ht="16.5" hidden="1">
      <c r="A992" s="1665"/>
      <c r="B992" s="1666"/>
      <c r="C992" s="688"/>
      <c r="D992" s="1667"/>
      <c r="E992" s="1671">
        <v>3.5</v>
      </c>
      <c r="F992" s="1671">
        <v>4</v>
      </c>
      <c r="G992" s="1672">
        <v>0.15</v>
      </c>
      <c r="H992" s="1671">
        <f t="shared" si="125"/>
        <v>0</v>
      </c>
      <c r="I992" s="1671" t="s">
        <v>49</v>
      </c>
      <c r="J992" s="1668"/>
      <c r="K992" s="1668"/>
      <c r="L992" s="1669"/>
    </row>
    <row r="993" spans="1:12" s="692" customFormat="1" ht="16.5" hidden="1">
      <c r="A993" s="1665"/>
      <c r="B993" s="1666"/>
      <c r="C993" s="688"/>
      <c r="D993" s="1667"/>
      <c r="E993" s="1671">
        <v>3.5</v>
      </c>
      <c r="F993" s="1671">
        <v>4</v>
      </c>
      <c r="G993" s="1672">
        <v>0.15</v>
      </c>
      <c r="H993" s="1671">
        <f t="shared" si="125"/>
        <v>0</v>
      </c>
      <c r="I993" s="1671" t="s">
        <v>49</v>
      </c>
      <c r="J993" s="1668"/>
      <c r="K993" s="1668"/>
      <c r="L993" s="1669"/>
    </row>
    <row r="994" spans="1:12" s="692" customFormat="1" ht="16.5" hidden="1">
      <c r="A994" s="1665"/>
      <c r="B994" s="1666"/>
      <c r="C994" s="688"/>
      <c r="D994" s="1667"/>
      <c r="E994" s="1671">
        <v>3.5</v>
      </c>
      <c r="F994" s="1671">
        <v>4</v>
      </c>
      <c r="G994" s="1672">
        <v>0.15</v>
      </c>
      <c r="H994" s="1671">
        <f t="shared" si="125"/>
        <v>0</v>
      </c>
      <c r="I994" s="1671" t="s">
        <v>49</v>
      </c>
      <c r="J994" s="1668"/>
      <c r="K994" s="1668"/>
      <c r="L994" s="1669"/>
    </row>
    <row r="995" spans="1:12" s="692" customFormat="1" ht="16.5" hidden="1">
      <c r="A995" s="1665"/>
      <c r="B995" s="1666"/>
      <c r="C995" s="688"/>
      <c r="D995" s="1667"/>
      <c r="E995" s="1671">
        <v>3.5</v>
      </c>
      <c r="F995" s="1671">
        <v>4</v>
      </c>
      <c r="G995" s="1672">
        <v>0.15</v>
      </c>
      <c r="H995" s="1671">
        <f t="shared" si="125"/>
        <v>0</v>
      </c>
      <c r="I995" s="1671" t="s">
        <v>49</v>
      </c>
      <c r="J995" s="1668"/>
      <c r="K995" s="1668"/>
      <c r="L995" s="1669"/>
    </row>
    <row r="996" spans="1:12" s="692" customFormat="1" ht="16.5" hidden="1">
      <c r="A996" s="1665"/>
      <c r="B996" s="1666"/>
      <c r="C996" s="688"/>
      <c r="D996" s="1667"/>
      <c r="E996" s="1671"/>
      <c r="F996" s="1671"/>
      <c r="G996" s="1669" t="s">
        <v>928</v>
      </c>
      <c r="H996" s="1673">
        <f>SUM(H990:H995)</f>
        <v>0</v>
      </c>
      <c r="I996" s="1669" t="s">
        <v>49</v>
      </c>
      <c r="J996" s="1669">
        <f>'Lead &amp; ANALYSIS'!L419</f>
        <v>5667.4</v>
      </c>
      <c r="K996" s="1668" t="s">
        <v>1516</v>
      </c>
      <c r="L996" s="1669">
        <f>ROUND(H996*J996,0)</f>
        <v>0</v>
      </c>
    </row>
    <row r="997" spans="1:12" s="692" customFormat="1" ht="16.5" hidden="1">
      <c r="A997" s="1665" t="s">
        <v>244</v>
      </c>
      <c r="B997" s="1666" t="s">
        <v>433</v>
      </c>
      <c r="C997" s="688"/>
      <c r="D997" s="1667"/>
      <c r="E997" s="688"/>
      <c r="F997" s="688"/>
      <c r="G997" s="1674"/>
      <c r="H997" s="688"/>
      <c r="I997" s="1668"/>
      <c r="J997" s="1668"/>
      <c r="K997" s="1668"/>
      <c r="L997" s="1669"/>
    </row>
    <row r="998" spans="1:12" s="692" customFormat="1" ht="16.5" hidden="1">
      <c r="A998" s="1665"/>
      <c r="B998" s="1666"/>
      <c r="C998" s="688"/>
      <c r="D998" s="1667"/>
      <c r="E998" s="1671">
        <v>3.5</v>
      </c>
      <c r="F998" s="1671">
        <v>4</v>
      </c>
      <c r="G998" s="1672">
        <v>0.15</v>
      </c>
      <c r="H998" s="1671">
        <f t="shared" ref="H998:H1003" si="126">ROUND(D998*E998*F998*G998,2)</f>
        <v>0</v>
      </c>
      <c r="I998" s="1671" t="s">
        <v>49</v>
      </c>
      <c r="J998" s="1668"/>
      <c r="K998" s="1668"/>
      <c r="L998" s="1669"/>
    </row>
    <row r="999" spans="1:12" s="692" customFormat="1" ht="16.5" hidden="1">
      <c r="A999" s="1665"/>
      <c r="B999" s="1666"/>
      <c r="C999" s="688"/>
      <c r="D999" s="1667"/>
      <c r="E999" s="1671">
        <v>3.5</v>
      </c>
      <c r="F999" s="1671">
        <v>4</v>
      </c>
      <c r="G999" s="1672">
        <v>0.15</v>
      </c>
      <c r="H999" s="1671">
        <f t="shared" si="126"/>
        <v>0</v>
      </c>
      <c r="I999" s="1671" t="s">
        <v>49</v>
      </c>
      <c r="J999" s="1668"/>
      <c r="K999" s="1668"/>
      <c r="L999" s="1669"/>
    </row>
    <row r="1000" spans="1:12" s="692" customFormat="1" ht="16.5" hidden="1">
      <c r="A1000" s="1665"/>
      <c r="B1000" s="1666"/>
      <c r="C1000" s="688"/>
      <c r="D1000" s="1667"/>
      <c r="E1000" s="1671">
        <v>3.5</v>
      </c>
      <c r="F1000" s="1671">
        <v>4</v>
      </c>
      <c r="G1000" s="1672">
        <v>0.15</v>
      </c>
      <c r="H1000" s="1671">
        <f t="shared" si="126"/>
        <v>0</v>
      </c>
      <c r="I1000" s="1671" t="s">
        <v>49</v>
      </c>
      <c r="J1000" s="1668"/>
      <c r="K1000" s="1668"/>
      <c r="L1000" s="1669"/>
    </row>
    <row r="1001" spans="1:12" s="692" customFormat="1" ht="16.5" hidden="1">
      <c r="A1001" s="1665"/>
      <c r="B1001" s="1666"/>
      <c r="C1001" s="688"/>
      <c r="D1001" s="1667"/>
      <c r="E1001" s="1671">
        <v>3.5</v>
      </c>
      <c r="F1001" s="1671">
        <v>4</v>
      </c>
      <c r="G1001" s="1672">
        <v>0.15</v>
      </c>
      <c r="H1001" s="1671">
        <f t="shared" si="126"/>
        <v>0</v>
      </c>
      <c r="I1001" s="1671" t="s">
        <v>49</v>
      </c>
      <c r="J1001" s="1668"/>
      <c r="K1001" s="1668"/>
      <c r="L1001" s="1669"/>
    </row>
    <row r="1002" spans="1:12" s="692" customFormat="1" ht="16.5" hidden="1">
      <c r="A1002" s="1665"/>
      <c r="B1002" s="1666"/>
      <c r="C1002" s="688"/>
      <c r="D1002" s="1667"/>
      <c r="E1002" s="1671">
        <v>3.5</v>
      </c>
      <c r="F1002" s="1671">
        <v>4</v>
      </c>
      <c r="G1002" s="1672">
        <v>0.15</v>
      </c>
      <c r="H1002" s="1671">
        <f t="shared" si="126"/>
        <v>0</v>
      </c>
      <c r="I1002" s="1671" t="s">
        <v>49</v>
      </c>
      <c r="J1002" s="1668"/>
      <c r="K1002" s="1668"/>
      <c r="L1002" s="1669"/>
    </row>
    <row r="1003" spans="1:12" s="692" customFormat="1" ht="16.5" hidden="1">
      <c r="A1003" s="1665"/>
      <c r="B1003" s="1666"/>
      <c r="C1003" s="688"/>
      <c r="D1003" s="1667"/>
      <c r="E1003" s="1671">
        <v>3.5</v>
      </c>
      <c r="F1003" s="1671">
        <v>4</v>
      </c>
      <c r="G1003" s="1672">
        <v>0.15</v>
      </c>
      <c r="H1003" s="1671">
        <f t="shared" si="126"/>
        <v>0</v>
      </c>
      <c r="I1003" s="1671" t="s">
        <v>49</v>
      </c>
      <c r="J1003" s="1668"/>
      <c r="K1003" s="1668"/>
      <c r="L1003" s="1669"/>
    </row>
    <row r="1004" spans="1:12" s="692" customFormat="1" ht="16.5" hidden="1">
      <c r="A1004" s="1665"/>
      <c r="B1004" s="1666"/>
      <c r="C1004" s="688"/>
      <c r="D1004" s="1667"/>
      <c r="E1004" s="1671"/>
      <c r="F1004" s="1671"/>
      <c r="G1004" s="1669" t="s">
        <v>928</v>
      </c>
      <c r="H1004" s="1673">
        <f>SUM(H998:H1003)</f>
        <v>0</v>
      </c>
      <c r="I1004" s="1669" t="s">
        <v>49</v>
      </c>
      <c r="J1004" s="1669">
        <f>'Lead &amp; ANALYSIS'!L420</f>
        <v>5958</v>
      </c>
      <c r="K1004" s="1668" t="s">
        <v>1516</v>
      </c>
      <c r="L1004" s="1669">
        <f>ROUND(H1004*J1004,0)</f>
        <v>0</v>
      </c>
    </row>
    <row r="1005" spans="1:12" s="692" customFormat="1" ht="16.5" hidden="1">
      <c r="A1005" s="1665" t="s">
        <v>291</v>
      </c>
      <c r="B1005" s="1666" t="s">
        <v>3639</v>
      </c>
      <c r="C1005" s="688"/>
      <c r="D1005" s="1667"/>
      <c r="E1005" s="688"/>
      <c r="F1005" s="688"/>
      <c r="G1005" s="1668"/>
      <c r="H1005" s="1673"/>
      <c r="I1005" s="1668"/>
      <c r="J1005" s="1669"/>
      <c r="K1005" s="1668"/>
      <c r="L1005" s="1669"/>
    </row>
    <row r="1006" spans="1:12" s="692" customFormat="1" ht="16.5" hidden="1">
      <c r="A1006" s="1665"/>
      <c r="B1006" s="1666"/>
      <c r="C1006" s="688"/>
      <c r="D1006" s="1667"/>
      <c r="E1006" s="1671">
        <v>3.5</v>
      </c>
      <c r="F1006" s="1671">
        <v>4</v>
      </c>
      <c r="G1006" s="1672">
        <v>0.15</v>
      </c>
      <c r="H1006" s="1671">
        <f t="shared" ref="H1006:H1011" si="127">ROUND(D1006*E1006*F1006*G1006,2)</f>
        <v>0</v>
      </c>
      <c r="I1006" s="688" t="s">
        <v>49</v>
      </c>
      <c r="J1006" s="1668"/>
      <c r="K1006" s="1668"/>
      <c r="L1006" s="1669"/>
    </row>
    <row r="1007" spans="1:12" s="692" customFormat="1" ht="16.5" hidden="1">
      <c r="A1007" s="1665"/>
      <c r="B1007" s="1666"/>
      <c r="C1007" s="688"/>
      <c r="D1007" s="1667"/>
      <c r="E1007" s="1671">
        <v>3.5</v>
      </c>
      <c r="F1007" s="1671">
        <v>4</v>
      </c>
      <c r="G1007" s="1672">
        <v>0.15</v>
      </c>
      <c r="H1007" s="1671">
        <f t="shared" si="127"/>
        <v>0</v>
      </c>
      <c r="I1007" s="688" t="s">
        <v>49</v>
      </c>
      <c r="J1007" s="1668"/>
      <c r="K1007" s="1668"/>
      <c r="L1007" s="1669"/>
    </row>
    <row r="1008" spans="1:12" s="692" customFormat="1" ht="16.5" hidden="1">
      <c r="A1008" s="1665"/>
      <c r="B1008" s="1666"/>
      <c r="C1008" s="688"/>
      <c r="D1008" s="1667"/>
      <c r="E1008" s="1671">
        <v>3.5</v>
      </c>
      <c r="F1008" s="1671">
        <v>4</v>
      </c>
      <c r="G1008" s="1672">
        <v>0.15</v>
      </c>
      <c r="H1008" s="1671">
        <f t="shared" si="127"/>
        <v>0</v>
      </c>
      <c r="I1008" s="688" t="s">
        <v>49</v>
      </c>
      <c r="J1008" s="1668"/>
      <c r="K1008" s="1668"/>
      <c r="L1008" s="1669"/>
    </row>
    <row r="1009" spans="1:12" s="692" customFormat="1" ht="16.5" hidden="1">
      <c r="A1009" s="1665"/>
      <c r="B1009" s="1666"/>
      <c r="C1009" s="688"/>
      <c r="D1009" s="1667"/>
      <c r="E1009" s="1671">
        <v>3.5</v>
      </c>
      <c r="F1009" s="1671">
        <v>4</v>
      </c>
      <c r="G1009" s="1672">
        <v>0.15</v>
      </c>
      <c r="H1009" s="1671">
        <f t="shared" si="127"/>
        <v>0</v>
      </c>
      <c r="I1009" s="688" t="s">
        <v>49</v>
      </c>
      <c r="J1009" s="1668"/>
      <c r="K1009" s="1668"/>
      <c r="L1009" s="1669"/>
    </row>
    <row r="1010" spans="1:12" s="692" customFormat="1" ht="16.5" hidden="1">
      <c r="A1010" s="1665"/>
      <c r="B1010" s="1666"/>
      <c r="C1010" s="688"/>
      <c r="D1010" s="1667"/>
      <c r="E1010" s="1671">
        <v>3.5</v>
      </c>
      <c r="F1010" s="1671">
        <v>4</v>
      </c>
      <c r="G1010" s="1672">
        <v>0.15</v>
      </c>
      <c r="H1010" s="1671">
        <f t="shared" si="127"/>
        <v>0</v>
      </c>
      <c r="I1010" s="688" t="s">
        <v>49</v>
      </c>
      <c r="J1010" s="1668"/>
      <c r="K1010" s="1668"/>
      <c r="L1010" s="1669"/>
    </row>
    <row r="1011" spans="1:12" s="692" customFormat="1" ht="16.5" hidden="1">
      <c r="A1011" s="1665"/>
      <c r="B1011" s="1666"/>
      <c r="C1011" s="688"/>
      <c r="D1011" s="1667"/>
      <c r="E1011" s="1671">
        <v>3.5</v>
      </c>
      <c r="F1011" s="1671">
        <v>4</v>
      </c>
      <c r="G1011" s="1672">
        <v>0.15</v>
      </c>
      <c r="H1011" s="1671">
        <f t="shared" si="127"/>
        <v>0</v>
      </c>
      <c r="I1011" s="688" t="s">
        <v>49</v>
      </c>
      <c r="J1011" s="1668"/>
      <c r="K1011" s="1668"/>
      <c r="L1011" s="1669"/>
    </row>
    <row r="1012" spans="1:12" s="692" customFormat="1" ht="16.5" hidden="1">
      <c r="A1012" s="1665"/>
      <c r="B1012" s="1666"/>
      <c r="C1012" s="688"/>
      <c r="D1012" s="1667"/>
      <c r="E1012" s="688"/>
      <c r="F1012" s="688"/>
      <c r="G1012" s="1668" t="s">
        <v>928</v>
      </c>
      <c r="H1012" s="1673">
        <f>SUM(H1006:H1011)</f>
        <v>0</v>
      </c>
      <c r="I1012" s="1668" t="s">
        <v>49</v>
      </c>
      <c r="J1012" s="1669">
        <f>'Lead &amp; ANALYSIS'!L421</f>
        <v>6292.1</v>
      </c>
      <c r="K1012" s="1668" t="s">
        <v>1516</v>
      </c>
      <c r="L1012" s="1669">
        <f>ROUND(H1012*J1012,0)</f>
        <v>0</v>
      </c>
    </row>
    <row r="1013" spans="1:12" s="692" customFormat="1" ht="16.5" hidden="1">
      <c r="A1013" s="1665" t="s">
        <v>308</v>
      </c>
      <c r="B1013" s="1666" t="s">
        <v>3633</v>
      </c>
      <c r="C1013" s="688"/>
      <c r="D1013" s="1667"/>
      <c r="E1013" s="688"/>
      <c r="F1013" s="688"/>
      <c r="G1013" s="1668"/>
      <c r="H1013" s="1673"/>
      <c r="I1013" s="1668"/>
      <c r="J1013" s="1669"/>
      <c r="K1013" s="1668"/>
      <c r="L1013" s="1669"/>
    </row>
    <row r="1014" spans="1:12" s="692" customFormat="1" ht="16.5" hidden="1">
      <c r="A1014" s="1665"/>
      <c r="B1014" s="1666"/>
      <c r="C1014" s="688"/>
      <c r="D1014" s="1667"/>
      <c r="E1014" s="1671">
        <v>3.5</v>
      </c>
      <c r="F1014" s="1671">
        <v>4</v>
      </c>
      <c r="G1014" s="1672">
        <v>0.15</v>
      </c>
      <c r="H1014" s="1671">
        <f t="shared" ref="H1014:H1019" si="128">ROUND(D1014*E1014*F1014*G1014,2)</f>
        <v>0</v>
      </c>
      <c r="I1014" s="688" t="s">
        <v>49</v>
      </c>
      <c r="J1014" s="1668"/>
      <c r="K1014" s="1668"/>
      <c r="L1014" s="1669"/>
    </row>
    <row r="1015" spans="1:12" s="692" customFormat="1" ht="16.5" hidden="1">
      <c r="A1015" s="1665"/>
      <c r="B1015" s="1666"/>
      <c r="C1015" s="688"/>
      <c r="D1015" s="1667"/>
      <c r="E1015" s="1671">
        <v>3.5</v>
      </c>
      <c r="F1015" s="1671">
        <v>4</v>
      </c>
      <c r="G1015" s="1672">
        <v>0.15</v>
      </c>
      <c r="H1015" s="1671">
        <f t="shared" si="128"/>
        <v>0</v>
      </c>
      <c r="I1015" s="688" t="s">
        <v>49</v>
      </c>
      <c r="J1015" s="1668"/>
      <c r="K1015" s="1668"/>
      <c r="L1015" s="1669"/>
    </row>
    <row r="1016" spans="1:12" s="692" customFormat="1" ht="16.5" hidden="1">
      <c r="A1016" s="1665"/>
      <c r="B1016" s="1666"/>
      <c r="C1016" s="688"/>
      <c r="D1016" s="1667"/>
      <c r="E1016" s="1671">
        <v>3.5</v>
      </c>
      <c r="F1016" s="1671">
        <v>4</v>
      </c>
      <c r="G1016" s="1672">
        <v>0.15</v>
      </c>
      <c r="H1016" s="1671">
        <f t="shared" si="128"/>
        <v>0</v>
      </c>
      <c r="I1016" s="688" t="s">
        <v>49</v>
      </c>
      <c r="J1016" s="1668"/>
      <c r="K1016" s="1668"/>
      <c r="L1016" s="1669"/>
    </row>
    <row r="1017" spans="1:12" s="692" customFormat="1" ht="16.5" hidden="1">
      <c r="A1017" s="1665"/>
      <c r="B1017" s="1666"/>
      <c r="C1017" s="688"/>
      <c r="D1017" s="1667"/>
      <c r="E1017" s="1671">
        <v>3.5</v>
      </c>
      <c r="F1017" s="1671">
        <v>4</v>
      </c>
      <c r="G1017" s="1672">
        <v>0.15</v>
      </c>
      <c r="H1017" s="1671">
        <f t="shared" si="128"/>
        <v>0</v>
      </c>
      <c r="I1017" s="688" t="s">
        <v>49</v>
      </c>
      <c r="J1017" s="1668"/>
      <c r="K1017" s="1668"/>
      <c r="L1017" s="1669"/>
    </row>
    <row r="1018" spans="1:12" s="692" customFormat="1" ht="16.5" hidden="1">
      <c r="A1018" s="1665"/>
      <c r="B1018" s="1666"/>
      <c r="C1018" s="688"/>
      <c r="D1018" s="1667"/>
      <c r="E1018" s="1671">
        <v>3.5</v>
      </c>
      <c r="F1018" s="1671">
        <v>4</v>
      </c>
      <c r="G1018" s="1672">
        <v>0.15</v>
      </c>
      <c r="H1018" s="1671">
        <f t="shared" si="128"/>
        <v>0</v>
      </c>
      <c r="I1018" s="688" t="s">
        <v>49</v>
      </c>
      <c r="J1018" s="1668"/>
      <c r="K1018" s="1668"/>
      <c r="L1018" s="1669"/>
    </row>
    <row r="1019" spans="1:12" s="692" customFormat="1" ht="16.5" hidden="1">
      <c r="A1019" s="1665"/>
      <c r="B1019" s="1666"/>
      <c r="C1019" s="688"/>
      <c r="D1019" s="1667"/>
      <c r="E1019" s="1671">
        <v>3.5</v>
      </c>
      <c r="F1019" s="1671">
        <v>4</v>
      </c>
      <c r="G1019" s="1672">
        <v>0.15</v>
      </c>
      <c r="H1019" s="1671">
        <f t="shared" si="128"/>
        <v>0</v>
      </c>
      <c r="I1019" s="688" t="s">
        <v>49</v>
      </c>
      <c r="J1019" s="1668"/>
      <c r="K1019" s="1668"/>
      <c r="L1019" s="1669"/>
    </row>
    <row r="1020" spans="1:12" s="692" customFormat="1" ht="16.5" hidden="1">
      <c r="A1020" s="1665"/>
      <c r="B1020" s="1666"/>
      <c r="C1020" s="688"/>
      <c r="D1020" s="1667"/>
      <c r="E1020" s="688"/>
      <c r="F1020" s="688"/>
      <c r="G1020" s="1668" t="s">
        <v>928</v>
      </c>
      <c r="H1020" s="1673">
        <f>SUM(H1014:H1019)</f>
        <v>0</v>
      </c>
      <c r="I1020" s="1668" t="s">
        <v>49</v>
      </c>
      <c r="J1020" s="1669">
        <f>'Lead &amp; ANALYSIS'!L422</f>
        <v>6676.3</v>
      </c>
      <c r="K1020" s="1668" t="s">
        <v>1516</v>
      </c>
      <c r="L1020" s="1669">
        <f>ROUND(H1020*J1020,0)</f>
        <v>0</v>
      </c>
    </row>
    <row r="1021" spans="1:12" s="692" customFormat="1" ht="49.5" hidden="1">
      <c r="A1021" s="1665">
        <f>'Lead &amp; ANALYSIS'!A423</f>
        <v>38</v>
      </c>
      <c r="B1021" s="1666" t="str">
        <f>'Lead &amp; ANALYSIS'!B423</f>
        <v>W.B.K.B brick masonry in cement mortar (1:6) using kiln Burnt bricks of 10”  etc. complete in all respect as directed by the Engineer-in-charge.</v>
      </c>
      <c r="C1021" s="688"/>
      <c r="D1021" s="1667"/>
      <c r="E1021" s="688"/>
      <c r="F1021" s="688"/>
      <c r="G1021" s="1674"/>
      <c r="H1021" s="688"/>
      <c r="I1021" s="1668"/>
      <c r="J1021" s="1668"/>
      <c r="K1021" s="1668"/>
      <c r="L1021" s="1669"/>
    </row>
    <row r="1022" spans="1:12" s="692" customFormat="1" ht="16.5" hidden="1">
      <c r="A1022" s="1665" t="s">
        <v>201</v>
      </c>
      <c r="B1022" s="1666" t="s">
        <v>429</v>
      </c>
      <c r="C1022" s="688"/>
      <c r="D1022" s="1667"/>
      <c r="E1022" s="688"/>
      <c r="F1022" s="688"/>
      <c r="G1022" s="1674"/>
      <c r="H1022" s="688"/>
      <c r="I1022" s="1668"/>
      <c r="J1022" s="1668"/>
      <c r="K1022" s="1668"/>
      <c r="L1022" s="1669"/>
    </row>
    <row r="1023" spans="1:12" s="692" customFormat="1" ht="16.5" hidden="1">
      <c r="A1023" s="1665"/>
      <c r="B1023" s="1666"/>
      <c r="C1023" s="688"/>
      <c r="D1023" s="1667"/>
      <c r="E1023" s="1671">
        <v>3.5</v>
      </c>
      <c r="F1023" s="1671">
        <v>4</v>
      </c>
      <c r="G1023" s="1672">
        <v>0.15</v>
      </c>
      <c r="H1023" s="1671">
        <f t="shared" ref="H1023:H1028" si="129">ROUND(D1023*E1023*F1023*G1023,2)</f>
        <v>0</v>
      </c>
      <c r="I1023" s="1671" t="s">
        <v>49</v>
      </c>
      <c r="J1023" s="1668"/>
      <c r="K1023" s="1668"/>
      <c r="L1023" s="1669"/>
    </row>
    <row r="1024" spans="1:12" s="692" customFormat="1" ht="16.5" hidden="1">
      <c r="A1024" s="1665"/>
      <c r="B1024" s="1666"/>
      <c r="C1024" s="688"/>
      <c r="D1024" s="1667"/>
      <c r="E1024" s="1671">
        <v>3.5</v>
      </c>
      <c r="F1024" s="1671">
        <v>4</v>
      </c>
      <c r="G1024" s="1672">
        <v>0.15</v>
      </c>
      <c r="H1024" s="1671">
        <f t="shared" si="129"/>
        <v>0</v>
      </c>
      <c r="I1024" s="1671" t="s">
        <v>49</v>
      </c>
      <c r="J1024" s="1668"/>
      <c r="K1024" s="1668"/>
      <c r="L1024" s="1669"/>
    </row>
    <row r="1025" spans="1:12" s="692" customFormat="1" ht="16.5" hidden="1">
      <c r="A1025" s="1665"/>
      <c r="B1025" s="1666"/>
      <c r="C1025" s="688"/>
      <c r="D1025" s="1667"/>
      <c r="E1025" s="1671">
        <v>3.5</v>
      </c>
      <c r="F1025" s="1671">
        <v>4</v>
      </c>
      <c r="G1025" s="1672">
        <v>0.15</v>
      </c>
      <c r="H1025" s="1671">
        <f t="shared" si="129"/>
        <v>0</v>
      </c>
      <c r="I1025" s="1671" t="s">
        <v>49</v>
      </c>
      <c r="J1025" s="1668"/>
      <c r="K1025" s="1668"/>
      <c r="L1025" s="1669"/>
    </row>
    <row r="1026" spans="1:12" s="692" customFormat="1" ht="16.5" hidden="1">
      <c r="A1026" s="1665"/>
      <c r="B1026" s="1666"/>
      <c r="C1026" s="688"/>
      <c r="D1026" s="1667"/>
      <c r="E1026" s="1671">
        <v>3.5</v>
      </c>
      <c r="F1026" s="1671">
        <v>4</v>
      </c>
      <c r="G1026" s="1672">
        <v>0.15</v>
      </c>
      <c r="H1026" s="1671">
        <f t="shared" si="129"/>
        <v>0</v>
      </c>
      <c r="I1026" s="1671" t="s">
        <v>49</v>
      </c>
      <c r="J1026" s="1668"/>
      <c r="K1026" s="1668"/>
      <c r="L1026" s="1669"/>
    </row>
    <row r="1027" spans="1:12" s="692" customFormat="1" ht="16.5" hidden="1">
      <c r="A1027" s="1665"/>
      <c r="B1027" s="1666"/>
      <c r="C1027" s="688"/>
      <c r="D1027" s="1667"/>
      <c r="E1027" s="1671">
        <v>3.5</v>
      </c>
      <c r="F1027" s="1671">
        <v>4</v>
      </c>
      <c r="G1027" s="1672">
        <v>0.15</v>
      </c>
      <c r="H1027" s="1671">
        <f t="shared" si="129"/>
        <v>0</v>
      </c>
      <c r="I1027" s="1671" t="s">
        <v>49</v>
      </c>
      <c r="J1027" s="1668"/>
      <c r="K1027" s="1668"/>
      <c r="L1027" s="1669"/>
    </row>
    <row r="1028" spans="1:12" s="692" customFormat="1" ht="16.5" hidden="1">
      <c r="A1028" s="1665"/>
      <c r="B1028" s="1666"/>
      <c r="C1028" s="688"/>
      <c r="D1028" s="1667"/>
      <c r="E1028" s="1671">
        <v>3.5</v>
      </c>
      <c r="F1028" s="1671">
        <v>4</v>
      </c>
      <c r="G1028" s="1672">
        <v>0.15</v>
      </c>
      <c r="H1028" s="1671">
        <f t="shared" si="129"/>
        <v>0</v>
      </c>
      <c r="I1028" s="1671" t="s">
        <v>49</v>
      </c>
      <c r="J1028" s="1668"/>
      <c r="K1028" s="1668"/>
      <c r="L1028" s="1669"/>
    </row>
    <row r="1029" spans="1:12" s="692" customFormat="1" ht="16.5" hidden="1">
      <c r="A1029" s="1665"/>
      <c r="B1029" s="1666"/>
      <c r="C1029" s="688"/>
      <c r="D1029" s="1667"/>
      <c r="E1029" s="1671"/>
      <c r="F1029" s="1671"/>
      <c r="G1029" s="1669" t="s">
        <v>928</v>
      </c>
      <c r="H1029" s="1673">
        <f>SUM(H1023:H1028)</f>
        <v>0</v>
      </c>
      <c r="I1029" s="1669" t="s">
        <v>49</v>
      </c>
      <c r="J1029" s="1669">
        <f>'Lead &amp; ANALYSIS'!L424</f>
        <v>5405.4</v>
      </c>
      <c r="K1029" s="1668" t="s">
        <v>1516</v>
      </c>
      <c r="L1029" s="1669">
        <f>ROUND(H1029*J1029,0)</f>
        <v>0</v>
      </c>
    </row>
    <row r="1030" spans="1:12" s="692" customFormat="1" ht="16.5" hidden="1">
      <c r="A1030" s="1665" t="s">
        <v>220</v>
      </c>
      <c r="B1030" s="1666" t="s">
        <v>430</v>
      </c>
      <c r="C1030" s="688"/>
      <c r="D1030" s="1667"/>
      <c r="E1030" s="688"/>
      <c r="F1030" s="688"/>
      <c r="G1030" s="1674"/>
      <c r="H1030" s="688"/>
      <c r="I1030" s="1668"/>
      <c r="J1030" s="1668"/>
      <c r="K1030" s="1668"/>
      <c r="L1030" s="1669"/>
    </row>
    <row r="1031" spans="1:12" s="692" customFormat="1" ht="16.5" hidden="1">
      <c r="A1031" s="1665"/>
      <c r="B1031" s="1666"/>
      <c r="C1031" s="688"/>
      <c r="D1031" s="1667"/>
      <c r="E1031" s="1671">
        <v>3.5</v>
      </c>
      <c r="F1031" s="1671">
        <v>4</v>
      </c>
      <c r="G1031" s="1672">
        <v>0.15</v>
      </c>
      <c r="H1031" s="1671">
        <f t="shared" ref="H1031:H1036" si="130">ROUND(D1031*E1031*F1031*G1031,2)</f>
        <v>0</v>
      </c>
      <c r="I1031" s="1671" t="s">
        <v>49</v>
      </c>
      <c r="J1031" s="1668"/>
      <c r="K1031" s="1668"/>
      <c r="L1031" s="1669"/>
    </row>
    <row r="1032" spans="1:12" s="692" customFormat="1" ht="16.5" hidden="1">
      <c r="A1032" s="1665"/>
      <c r="B1032" s="1666"/>
      <c r="C1032" s="688"/>
      <c r="D1032" s="1667"/>
      <c r="E1032" s="1671">
        <v>3.5</v>
      </c>
      <c r="F1032" s="1671">
        <v>4</v>
      </c>
      <c r="G1032" s="1672">
        <v>0.15</v>
      </c>
      <c r="H1032" s="1671">
        <f t="shared" si="130"/>
        <v>0</v>
      </c>
      <c r="I1032" s="1671" t="s">
        <v>49</v>
      </c>
      <c r="J1032" s="1668"/>
      <c r="K1032" s="1668"/>
      <c r="L1032" s="1669"/>
    </row>
    <row r="1033" spans="1:12" s="692" customFormat="1" ht="16.5" hidden="1">
      <c r="A1033" s="1665"/>
      <c r="B1033" s="1666"/>
      <c r="C1033" s="688"/>
      <c r="D1033" s="1667"/>
      <c r="E1033" s="1671">
        <v>3.5</v>
      </c>
      <c r="F1033" s="1671">
        <v>4</v>
      </c>
      <c r="G1033" s="1672">
        <v>0.15</v>
      </c>
      <c r="H1033" s="1671">
        <f t="shared" si="130"/>
        <v>0</v>
      </c>
      <c r="I1033" s="1671" t="s">
        <v>49</v>
      </c>
      <c r="J1033" s="1668"/>
      <c r="K1033" s="1668"/>
      <c r="L1033" s="1669"/>
    </row>
    <row r="1034" spans="1:12" s="692" customFormat="1" ht="16.5" hidden="1">
      <c r="A1034" s="1665"/>
      <c r="B1034" s="1666"/>
      <c r="C1034" s="688"/>
      <c r="D1034" s="1667"/>
      <c r="E1034" s="1671">
        <v>3.5</v>
      </c>
      <c r="F1034" s="1671">
        <v>4</v>
      </c>
      <c r="G1034" s="1672">
        <v>0.15</v>
      </c>
      <c r="H1034" s="1671">
        <f t="shared" si="130"/>
        <v>0</v>
      </c>
      <c r="I1034" s="1671" t="s">
        <v>49</v>
      </c>
      <c r="J1034" s="1668"/>
      <c r="K1034" s="1668"/>
      <c r="L1034" s="1669"/>
    </row>
    <row r="1035" spans="1:12" s="692" customFormat="1" ht="16.5" hidden="1">
      <c r="A1035" s="1665"/>
      <c r="B1035" s="1666"/>
      <c r="C1035" s="688"/>
      <c r="D1035" s="1667"/>
      <c r="E1035" s="1671">
        <v>3.5</v>
      </c>
      <c r="F1035" s="1671">
        <v>4</v>
      </c>
      <c r="G1035" s="1672">
        <v>0.15</v>
      </c>
      <c r="H1035" s="1671">
        <f t="shared" si="130"/>
        <v>0</v>
      </c>
      <c r="I1035" s="1671" t="s">
        <v>49</v>
      </c>
      <c r="J1035" s="1668"/>
      <c r="K1035" s="1668"/>
      <c r="L1035" s="1669"/>
    </row>
    <row r="1036" spans="1:12" s="692" customFormat="1" ht="16.5" hidden="1">
      <c r="A1036" s="1665"/>
      <c r="B1036" s="1666"/>
      <c r="C1036" s="688"/>
      <c r="D1036" s="1667"/>
      <c r="E1036" s="1671">
        <v>3.5</v>
      </c>
      <c r="F1036" s="1671">
        <v>4</v>
      </c>
      <c r="G1036" s="1672">
        <v>0.15</v>
      </c>
      <c r="H1036" s="1671">
        <f t="shared" si="130"/>
        <v>0</v>
      </c>
      <c r="I1036" s="1671" t="s">
        <v>49</v>
      </c>
      <c r="J1036" s="1668"/>
      <c r="K1036" s="1668"/>
      <c r="L1036" s="1669"/>
    </row>
    <row r="1037" spans="1:12" s="692" customFormat="1" ht="16.5" hidden="1">
      <c r="A1037" s="1665"/>
      <c r="B1037" s="1666"/>
      <c r="C1037" s="688"/>
      <c r="D1037" s="1667"/>
      <c r="E1037" s="1671"/>
      <c r="F1037" s="1671"/>
      <c r="G1037" s="1669" t="s">
        <v>928</v>
      </c>
      <c r="H1037" s="1673">
        <f>SUM(H1031:H1036)</f>
        <v>0</v>
      </c>
      <c r="I1037" s="1669" t="s">
        <v>49</v>
      </c>
      <c r="J1037" s="1669">
        <f>'Lead &amp; ANALYSIS'!L425</f>
        <v>5438.4</v>
      </c>
      <c r="K1037" s="1668" t="s">
        <v>1516</v>
      </c>
      <c r="L1037" s="1669">
        <f>ROUND(H1037*J1037,0)</f>
        <v>0</v>
      </c>
    </row>
    <row r="1038" spans="1:12" s="692" customFormat="1" ht="16.5" hidden="1">
      <c r="A1038" s="1665" t="s">
        <v>244</v>
      </c>
      <c r="B1038" s="1666" t="s">
        <v>433</v>
      </c>
      <c r="C1038" s="688"/>
      <c r="D1038" s="1667"/>
      <c r="E1038" s="688"/>
      <c r="F1038" s="688"/>
      <c r="G1038" s="1674"/>
      <c r="H1038" s="688"/>
      <c r="I1038" s="1668"/>
      <c r="J1038" s="1668"/>
      <c r="K1038" s="1668"/>
      <c r="L1038" s="1669"/>
    </row>
    <row r="1039" spans="1:12" s="692" customFormat="1" ht="16.5" hidden="1">
      <c r="A1039" s="1665"/>
      <c r="B1039" s="1666"/>
      <c r="C1039" s="688"/>
      <c r="D1039" s="1667"/>
      <c r="E1039" s="1671">
        <v>3.5</v>
      </c>
      <c r="F1039" s="1671">
        <v>4</v>
      </c>
      <c r="G1039" s="1672">
        <v>0.15</v>
      </c>
      <c r="H1039" s="1671">
        <f t="shared" ref="H1039:H1044" si="131">ROUND(D1039*E1039*F1039*G1039,2)</f>
        <v>0</v>
      </c>
      <c r="I1039" s="1671" t="s">
        <v>49</v>
      </c>
      <c r="J1039" s="1668"/>
      <c r="K1039" s="1668"/>
      <c r="L1039" s="1669"/>
    </row>
    <row r="1040" spans="1:12" s="692" customFormat="1" ht="16.5" hidden="1">
      <c r="A1040" s="1665"/>
      <c r="B1040" s="1666"/>
      <c r="C1040" s="688"/>
      <c r="D1040" s="1667"/>
      <c r="E1040" s="1671">
        <v>3.5</v>
      </c>
      <c r="F1040" s="1671">
        <v>4</v>
      </c>
      <c r="G1040" s="1672">
        <v>0.15</v>
      </c>
      <c r="H1040" s="1671">
        <f t="shared" si="131"/>
        <v>0</v>
      </c>
      <c r="I1040" s="1671" t="s">
        <v>49</v>
      </c>
      <c r="J1040" s="1668"/>
      <c r="K1040" s="1668"/>
      <c r="L1040" s="1669"/>
    </row>
    <row r="1041" spans="1:12" s="692" customFormat="1" ht="16.5" hidden="1">
      <c r="A1041" s="1665"/>
      <c r="B1041" s="1666"/>
      <c r="C1041" s="688"/>
      <c r="D1041" s="1667"/>
      <c r="E1041" s="1671">
        <v>3.5</v>
      </c>
      <c r="F1041" s="1671">
        <v>4</v>
      </c>
      <c r="G1041" s="1672">
        <v>0.15</v>
      </c>
      <c r="H1041" s="1671">
        <f t="shared" si="131"/>
        <v>0</v>
      </c>
      <c r="I1041" s="1671" t="s">
        <v>49</v>
      </c>
      <c r="J1041" s="1668"/>
      <c r="K1041" s="1668"/>
      <c r="L1041" s="1669"/>
    </row>
    <row r="1042" spans="1:12" s="692" customFormat="1" ht="16.5" hidden="1">
      <c r="A1042" s="1665"/>
      <c r="B1042" s="1666"/>
      <c r="C1042" s="688"/>
      <c r="D1042" s="1667"/>
      <c r="E1042" s="1671">
        <v>3.5</v>
      </c>
      <c r="F1042" s="1671">
        <v>4</v>
      </c>
      <c r="G1042" s="1672">
        <v>0.15</v>
      </c>
      <c r="H1042" s="1671">
        <f t="shared" si="131"/>
        <v>0</v>
      </c>
      <c r="I1042" s="1671" t="s">
        <v>49</v>
      </c>
      <c r="J1042" s="1668"/>
      <c r="K1042" s="1668"/>
      <c r="L1042" s="1669"/>
    </row>
    <row r="1043" spans="1:12" s="692" customFormat="1" ht="16.5" hidden="1">
      <c r="A1043" s="1665"/>
      <c r="B1043" s="1666"/>
      <c r="C1043" s="688"/>
      <c r="D1043" s="1667"/>
      <c r="E1043" s="1671">
        <v>3.5</v>
      </c>
      <c r="F1043" s="1671">
        <v>4</v>
      </c>
      <c r="G1043" s="1672">
        <v>0.15</v>
      </c>
      <c r="H1043" s="1671">
        <f t="shared" si="131"/>
        <v>0</v>
      </c>
      <c r="I1043" s="1671" t="s">
        <v>49</v>
      </c>
      <c r="J1043" s="1668"/>
      <c r="K1043" s="1668"/>
      <c r="L1043" s="1669"/>
    </row>
    <row r="1044" spans="1:12" s="692" customFormat="1" ht="16.5" hidden="1">
      <c r="A1044" s="1665"/>
      <c r="B1044" s="1666"/>
      <c r="C1044" s="688"/>
      <c r="D1044" s="1667"/>
      <c r="E1044" s="1671">
        <v>3.5</v>
      </c>
      <c r="F1044" s="1671">
        <v>4</v>
      </c>
      <c r="G1044" s="1672">
        <v>0.15</v>
      </c>
      <c r="H1044" s="1671">
        <f t="shared" si="131"/>
        <v>0</v>
      </c>
      <c r="I1044" s="1671" t="s">
        <v>49</v>
      </c>
      <c r="J1044" s="1668"/>
      <c r="K1044" s="1668"/>
      <c r="L1044" s="1669"/>
    </row>
    <row r="1045" spans="1:12" s="692" customFormat="1" ht="16.5" hidden="1">
      <c r="A1045" s="1665"/>
      <c r="B1045" s="1666"/>
      <c r="C1045" s="688"/>
      <c r="D1045" s="1667"/>
      <c r="E1045" s="1671"/>
      <c r="F1045" s="1671"/>
      <c r="G1045" s="1669" t="s">
        <v>928</v>
      </c>
      <c r="H1045" s="1673">
        <f>SUM(H1039:H1044)</f>
        <v>0</v>
      </c>
      <c r="I1045" s="1669" t="s">
        <v>49</v>
      </c>
      <c r="J1045" s="1669">
        <f>'Lead &amp; ANALYSIS'!L426</f>
        <v>5728.9</v>
      </c>
      <c r="K1045" s="1668" t="s">
        <v>1516</v>
      </c>
      <c r="L1045" s="1669">
        <f>ROUND(H1045*J1045,0)</f>
        <v>0</v>
      </c>
    </row>
    <row r="1046" spans="1:12" s="692" customFormat="1" ht="16.5" hidden="1">
      <c r="A1046" s="1665" t="s">
        <v>291</v>
      </c>
      <c r="B1046" s="1666" t="s">
        <v>3639</v>
      </c>
      <c r="C1046" s="688"/>
      <c r="D1046" s="1667"/>
      <c r="E1046" s="688"/>
      <c r="F1046" s="688"/>
      <c r="G1046" s="1668"/>
      <c r="H1046" s="1673"/>
      <c r="I1046" s="1668"/>
      <c r="J1046" s="1669"/>
      <c r="K1046" s="1668"/>
      <c r="L1046" s="1669"/>
    </row>
    <row r="1047" spans="1:12" s="692" customFormat="1" ht="16.5" hidden="1">
      <c r="A1047" s="1665"/>
      <c r="B1047" s="1666"/>
      <c r="C1047" s="688"/>
      <c r="D1047" s="1667"/>
      <c r="E1047" s="1671">
        <v>3.5</v>
      </c>
      <c r="F1047" s="1671">
        <v>4</v>
      </c>
      <c r="G1047" s="1672">
        <v>0.15</v>
      </c>
      <c r="H1047" s="1671">
        <f t="shared" ref="H1047:H1052" si="132">ROUND(D1047*E1047*F1047*G1047,2)</f>
        <v>0</v>
      </c>
      <c r="I1047" s="688" t="s">
        <v>49</v>
      </c>
      <c r="J1047" s="1668"/>
      <c r="K1047" s="1668"/>
      <c r="L1047" s="1669"/>
    </row>
    <row r="1048" spans="1:12" s="692" customFormat="1" ht="16.5" hidden="1">
      <c r="A1048" s="1665"/>
      <c r="B1048" s="1666"/>
      <c r="C1048" s="688"/>
      <c r="D1048" s="1667"/>
      <c r="E1048" s="1671">
        <v>3.5</v>
      </c>
      <c r="F1048" s="1671">
        <v>4</v>
      </c>
      <c r="G1048" s="1672">
        <v>0.15</v>
      </c>
      <c r="H1048" s="1671">
        <f t="shared" si="132"/>
        <v>0</v>
      </c>
      <c r="I1048" s="688" t="s">
        <v>49</v>
      </c>
      <c r="J1048" s="1668"/>
      <c r="K1048" s="1668"/>
      <c r="L1048" s="1669"/>
    </row>
    <row r="1049" spans="1:12" s="692" customFormat="1" ht="16.5" hidden="1">
      <c r="A1049" s="1665"/>
      <c r="B1049" s="1666"/>
      <c r="C1049" s="688"/>
      <c r="D1049" s="1667"/>
      <c r="E1049" s="1671">
        <v>3.5</v>
      </c>
      <c r="F1049" s="1671">
        <v>4</v>
      </c>
      <c r="G1049" s="1672">
        <v>0.15</v>
      </c>
      <c r="H1049" s="1671">
        <f t="shared" si="132"/>
        <v>0</v>
      </c>
      <c r="I1049" s="688" t="s">
        <v>49</v>
      </c>
      <c r="J1049" s="1668"/>
      <c r="K1049" s="1668"/>
      <c r="L1049" s="1669"/>
    </row>
    <row r="1050" spans="1:12" s="692" customFormat="1" ht="16.5" hidden="1">
      <c r="A1050" s="1665"/>
      <c r="B1050" s="1666"/>
      <c r="C1050" s="688"/>
      <c r="D1050" s="1667"/>
      <c r="E1050" s="1671">
        <v>3.5</v>
      </c>
      <c r="F1050" s="1671">
        <v>4</v>
      </c>
      <c r="G1050" s="1672">
        <v>0.15</v>
      </c>
      <c r="H1050" s="1671">
        <f t="shared" si="132"/>
        <v>0</v>
      </c>
      <c r="I1050" s="688" t="s">
        <v>49</v>
      </c>
      <c r="J1050" s="1668"/>
      <c r="K1050" s="1668"/>
      <c r="L1050" s="1669"/>
    </row>
    <row r="1051" spans="1:12" s="692" customFormat="1" ht="16.5" hidden="1">
      <c r="A1051" s="1665"/>
      <c r="B1051" s="1666"/>
      <c r="C1051" s="688"/>
      <c r="D1051" s="1667"/>
      <c r="E1051" s="1671">
        <v>3.5</v>
      </c>
      <c r="F1051" s="1671">
        <v>4</v>
      </c>
      <c r="G1051" s="1672">
        <v>0.15</v>
      </c>
      <c r="H1051" s="1671">
        <f t="shared" si="132"/>
        <v>0</v>
      </c>
      <c r="I1051" s="688" t="s">
        <v>49</v>
      </c>
      <c r="J1051" s="1668"/>
      <c r="K1051" s="1668"/>
      <c r="L1051" s="1669"/>
    </row>
    <row r="1052" spans="1:12" s="692" customFormat="1" ht="16.5" hidden="1">
      <c r="A1052" s="1665"/>
      <c r="B1052" s="1666"/>
      <c r="C1052" s="688"/>
      <c r="D1052" s="1667"/>
      <c r="E1052" s="1671">
        <v>3.5</v>
      </c>
      <c r="F1052" s="1671">
        <v>4</v>
      </c>
      <c r="G1052" s="1672">
        <v>0.15</v>
      </c>
      <c r="H1052" s="1671">
        <f t="shared" si="132"/>
        <v>0</v>
      </c>
      <c r="I1052" s="688" t="s">
        <v>49</v>
      </c>
      <c r="J1052" s="1668"/>
      <c r="K1052" s="1668"/>
      <c r="L1052" s="1669"/>
    </row>
    <row r="1053" spans="1:12" s="692" customFormat="1" ht="16.5" hidden="1">
      <c r="A1053" s="1665"/>
      <c r="B1053" s="1666"/>
      <c r="C1053" s="688"/>
      <c r="D1053" s="1667"/>
      <c r="E1053" s="688"/>
      <c r="F1053" s="688"/>
      <c r="G1053" s="1668" t="s">
        <v>928</v>
      </c>
      <c r="H1053" s="1673">
        <f>SUM(H1047:H1052)</f>
        <v>0</v>
      </c>
      <c r="I1053" s="1668" t="s">
        <v>49</v>
      </c>
      <c r="J1053" s="1669">
        <f>'Lead &amp; ANALYSIS'!L427</f>
        <v>6063</v>
      </c>
      <c r="K1053" s="1668" t="s">
        <v>1516</v>
      </c>
      <c r="L1053" s="1669">
        <f>ROUND(H1053*J1053,0)</f>
        <v>0</v>
      </c>
    </row>
    <row r="1054" spans="1:12" s="692" customFormat="1" ht="16.5" hidden="1">
      <c r="A1054" s="1665" t="s">
        <v>308</v>
      </c>
      <c r="B1054" s="1666" t="s">
        <v>3633</v>
      </c>
      <c r="C1054" s="688"/>
      <c r="D1054" s="1667"/>
      <c r="E1054" s="688"/>
      <c r="F1054" s="688"/>
      <c r="G1054" s="1668"/>
      <c r="H1054" s="1673"/>
      <c r="I1054" s="1668"/>
      <c r="J1054" s="1669"/>
      <c r="K1054" s="1668"/>
      <c r="L1054" s="1669"/>
    </row>
    <row r="1055" spans="1:12" s="692" customFormat="1" ht="16.5" hidden="1">
      <c r="A1055" s="1665"/>
      <c r="B1055" s="1666"/>
      <c r="C1055" s="688"/>
      <c r="D1055" s="1667"/>
      <c r="E1055" s="1671">
        <v>3.5</v>
      </c>
      <c r="F1055" s="1671">
        <v>4</v>
      </c>
      <c r="G1055" s="1672">
        <v>0.15</v>
      </c>
      <c r="H1055" s="1671">
        <f t="shared" ref="H1055:H1060" si="133">ROUND(D1055*E1055*F1055*G1055,2)</f>
        <v>0</v>
      </c>
      <c r="I1055" s="688" t="s">
        <v>49</v>
      </c>
      <c r="J1055" s="1668"/>
      <c r="K1055" s="1668"/>
      <c r="L1055" s="1669"/>
    </row>
    <row r="1056" spans="1:12" s="692" customFormat="1" ht="16.5" hidden="1">
      <c r="A1056" s="1665"/>
      <c r="B1056" s="1666"/>
      <c r="C1056" s="688"/>
      <c r="D1056" s="1667"/>
      <c r="E1056" s="1671">
        <v>3.5</v>
      </c>
      <c r="F1056" s="1671">
        <v>4</v>
      </c>
      <c r="G1056" s="1672">
        <v>0.15</v>
      </c>
      <c r="H1056" s="1671">
        <f t="shared" si="133"/>
        <v>0</v>
      </c>
      <c r="I1056" s="688" t="s">
        <v>49</v>
      </c>
      <c r="J1056" s="1668"/>
      <c r="K1056" s="1668"/>
      <c r="L1056" s="1669"/>
    </row>
    <row r="1057" spans="1:12" s="692" customFormat="1" ht="16.5" hidden="1">
      <c r="A1057" s="1665"/>
      <c r="B1057" s="1666"/>
      <c r="C1057" s="688"/>
      <c r="D1057" s="1667"/>
      <c r="E1057" s="1671">
        <v>3.5</v>
      </c>
      <c r="F1057" s="1671">
        <v>4</v>
      </c>
      <c r="G1057" s="1672">
        <v>0.15</v>
      </c>
      <c r="H1057" s="1671">
        <f t="shared" si="133"/>
        <v>0</v>
      </c>
      <c r="I1057" s="688" t="s">
        <v>49</v>
      </c>
      <c r="J1057" s="1668"/>
      <c r="K1057" s="1668"/>
      <c r="L1057" s="1669"/>
    </row>
    <row r="1058" spans="1:12" s="692" customFormat="1" ht="16.5" hidden="1">
      <c r="A1058" s="1665"/>
      <c r="B1058" s="1666"/>
      <c r="C1058" s="688"/>
      <c r="D1058" s="1667"/>
      <c r="E1058" s="1671">
        <v>3.5</v>
      </c>
      <c r="F1058" s="1671">
        <v>4</v>
      </c>
      <c r="G1058" s="1672">
        <v>0.15</v>
      </c>
      <c r="H1058" s="1671">
        <f t="shared" si="133"/>
        <v>0</v>
      </c>
      <c r="I1058" s="688" t="s">
        <v>49</v>
      </c>
      <c r="J1058" s="1668"/>
      <c r="K1058" s="1668"/>
      <c r="L1058" s="1669"/>
    </row>
    <row r="1059" spans="1:12" s="692" customFormat="1" ht="16.5" hidden="1">
      <c r="A1059" s="1665"/>
      <c r="B1059" s="1666"/>
      <c r="C1059" s="688"/>
      <c r="D1059" s="1667"/>
      <c r="E1059" s="1671">
        <v>3.5</v>
      </c>
      <c r="F1059" s="1671">
        <v>4</v>
      </c>
      <c r="G1059" s="1672">
        <v>0.15</v>
      </c>
      <c r="H1059" s="1671">
        <f t="shared" si="133"/>
        <v>0</v>
      </c>
      <c r="I1059" s="688" t="s">
        <v>49</v>
      </c>
      <c r="J1059" s="1668"/>
      <c r="K1059" s="1668"/>
      <c r="L1059" s="1669"/>
    </row>
    <row r="1060" spans="1:12" s="692" customFormat="1" ht="16.5" hidden="1">
      <c r="A1060" s="1665"/>
      <c r="B1060" s="1666"/>
      <c r="C1060" s="688"/>
      <c r="D1060" s="1667"/>
      <c r="E1060" s="1671">
        <v>3.5</v>
      </c>
      <c r="F1060" s="1671">
        <v>4</v>
      </c>
      <c r="G1060" s="1672">
        <v>0.15</v>
      </c>
      <c r="H1060" s="1671">
        <f t="shared" si="133"/>
        <v>0</v>
      </c>
      <c r="I1060" s="688" t="s">
        <v>49</v>
      </c>
      <c r="J1060" s="1668"/>
      <c r="K1060" s="1668"/>
      <c r="L1060" s="1669"/>
    </row>
    <row r="1061" spans="1:12" s="692" customFormat="1" ht="16.5" hidden="1">
      <c r="A1061" s="1665"/>
      <c r="B1061" s="1666"/>
      <c r="C1061" s="688"/>
      <c r="D1061" s="1667"/>
      <c r="E1061" s="688"/>
      <c r="F1061" s="688"/>
      <c r="G1061" s="1668" t="s">
        <v>928</v>
      </c>
      <c r="H1061" s="1673">
        <f>SUM(H1055:H1060)</f>
        <v>0</v>
      </c>
      <c r="I1061" s="1668" t="s">
        <v>49</v>
      </c>
      <c r="J1061" s="1669">
        <f>'Lead &amp; ANALYSIS'!L428</f>
        <v>6447.2</v>
      </c>
      <c r="K1061" s="1668" t="s">
        <v>1516</v>
      </c>
      <c r="L1061" s="1669">
        <f>ROUND(H1061*J1061,0)</f>
        <v>0</v>
      </c>
    </row>
    <row r="1062" spans="1:12" s="692" customFormat="1" ht="49.5" hidden="1">
      <c r="A1062" s="1665">
        <f>'Lead &amp; ANALYSIS'!A429</f>
        <v>39</v>
      </c>
      <c r="B1062" s="1666" t="str">
        <f>'Lead &amp; ANALYSIS'!B429</f>
        <v>W.B.C.B brick masonry in cement mortar (1:6) using kiln Burnt bricks of 10”  etc. complete in all respect as directed by the Engineer-in-charge.</v>
      </c>
      <c r="C1062" s="688"/>
      <c r="D1062" s="1667"/>
      <c r="E1062" s="688"/>
      <c r="F1062" s="688"/>
      <c r="G1062" s="1674"/>
      <c r="H1062" s="688"/>
      <c r="I1062" s="1668"/>
      <c r="J1062" s="1668"/>
      <c r="K1062" s="1668"/>
      <c r="L1062" s="1669"/>
    </row>
    <row r="1063" spans="1:12" s="692" customFormat="1" ht="16.5" hidden="1">
      <c r="A1063" s="1665" t="s">
        <v>201</v>
      </c>
      <c r="B1063" s="1666" t="s">
        <v>429</v>
      </c>
      <c r="C1063" s="688"/>
      <c r="D1063" s="1667"/>
      <c r="E1063" s="688"/>
      <c r="F1063" s="688"/>
      <c r="G1063" s="1674"/>
      <c r="H1063" s="688"/>
      <c r="I1063" s="1668"/>
      <c r="J1063" s="1668"/>
      <c r="K1063" s="1668"/>
      <c r="L1063" s="1669"/>
    </row>
    <row r="1064" spans="1:12" s="692" customFormat="1" ht="16.5" hidden="1">
      <c r="A1064" s="1665"/>
      <c r="B1064" s="1666"/>
      <c r="C1064" s="688"/>
      <c r="D1064" s="1667"/>
      <c r="E1064" s="1671">
        <v>3.5</v>
      </c>
      <c r="F1064" s="1671">
        <v>4</v>
      </c>
      <c r="G1064" s="1672">
        <v>0.15</v>
      </c>
      <c r="H1064" s="1671">
        <f t="shared" ref="H1064:H1069" si="134">ROUND(D1064*E1064*F1064*G1064,2)</f>
        <v>0</v>
      </c>
      <c r="I1064" s="1671" t="s">
        <v>49</v>
      </c>
      <c r="J1064" s="1668"/>
      <c r="K1064" s="1668"/>
      <c r="L1064" s="1669"/>
    </row>
    <row r="1065" spans="1:12" s="692" customFormat="1" ht="16.5" hidden="1">
      <c r="A1065" s="1665"/>
      <c r="B1065" s="1666"/>
      <c r="C1065" s="688"/>
      <c r="D1065" s="1667"/>
      <c r="E1065" s="1671">
        <v>3.5</v>
      </c>
      <c r="F1065" s="1671">
        <v>4</v>
      </c>
      <c r="G1065" s="1672">
        <v>0.15</v>
      </c>
      <c r="H1065" s="1671">
        <f t="shared" si="134"/>
        <v>0</v>
      </c>
      <c r="I1065" s="1671" t="s">
        <v>49</v>
      </c>
      <c r="J1065" s="1668"/>
      <c r="K1065" s="1668"/>
      <c r="L1065" s="1669"/>
    </row>
    <row r="1066" spans="1:12" s="692" customFormat="1" ht="16.5" hidden="1">
      <c r="A1066" s="1665"/>
      <c r="B1066" s="1666"/>
      <c r="C1066" s="688"/>
      <c r="D1066" s="1667"/>
      <c r="E1066" s="1671">
        <v>3.5</v>
      </c>
      <c r="F1066" s="1671">
        <v>4</v>
      </c>
      <c r="G1066" s="1672">
        <v>0.15</v>
      </c>
      <c r="H1066" s="1671">
        <f t="shared" si="134"/>
        <v>0</v>
      </c>
      <c r="I1066" s="1671" t="s">
        <v>49</v>
      </c>
      <c r="J1066" s="1668"/>
      <c r="K1066" s="1668"/>
      <c r="L1066" s="1669"/>
    </row>
    <row r="1067" spans="1:12" s="692" customFormat="1" ht="16.5" hidden="1">
      <c r="A1067" s="1665"/>
      <c r="B1067" s="1666"/>
      <c r="C1067" s="688"/>
      <c r="D1067" s="1667"/>
      <c r="E1067" s="1671">
        <v>3.5</v>
      </c>
      <c r="F1067" s="1671">
        <v>4</v>
      </c>
      <c r="G1067" s="1672">
        <v>0.15</v>
      </c>
      <c r="H1067" s="1671">
        <f t="shared" si="134"/>
        <v>0</v>
      </c>
      <c r="I1067" s="1671" t="s">
        <v>49</v>
      </c>
      <c r="J1067" s="1668"/>
      <c r="K1067" s="1668"/>
      <c r="L1067" s="1669"/>
    </row>
    <row r="1068" spans="1:12" s="692" customFormat="1" ht="16.5" hidden="1">
      <c r="A1068" s="1665"/>
      <c r="B1068" s="1666"/>
      <c r="C1068" s="688"/>
      <c r="D1068" s="1667"/>
      <c r="E1068" s="1671">
        <v>3.5</v>
      </c>
      <c r="F1068" s="1671">
        <v>4</v>
      </c>
      <c r="G1068" s="1672">
        <v>0.15</v>
      </c>
      <c r="H1068" s="1671">
        <f t="shared" si="134"/>
        <v>0</v>
      </c>
      <c r="I1068" s="1671" t="s">
        <v>49</v>
      </c>
      <c r="J1068" s="1668"/>
      <c r="K1068" s="1668"/>
      <c r="L1068" s="1669"/>
    </row>
    <row r="1069" spans="1:12" s="692" customFormat="1" ht="16.5" hidden="1">
      <c r="A1069" s="1665"/>
      <c r="B1069" s="1666"/>
      <c r="C1069" s="688"/>
      <c r="D1069" s="1667"/>
      <c r="E1069" s="1671">
        <v>3.5</v>
      </c>
      <c r="F1069" s="1671">
        <v>4</v>
      </c>
      <c r="G1069" s="1672">
        <v>0.15</v>
      </c>
      <c r="H1069" s="1671">
        <f t="shared" si="134"/>
        <v>0</v>
      </c>
      <c r="I1069" s="1671" t="s">
        <v>49</v>
      </c>
      <c r="J1069" s="1668"/>
      <c r="K1069" s="1668"/>
      <c r="L1069" s="1669"/>
    </row>
    <row r="1070" spans="1:12" s="692" customFormat="1" ht="16.5" hidden="1">
      <c r="A1070" s="1665"/>
      <c r="B1070" s="1666"/>
      <c r="C1070" s="688"/>
      <c r="D1070" s="1667"/>
      <c r="E1070" s="1671"/>
      <c r="F1070" s="1671"/>
      <c r="G1070" s="1669" t="s">
        <v>928</v>
      </c>
      <c r="H1070" s="1673">
        <f>SUM(H1064:H1069)</f>
        <v>0</v>
      </c>
      <c r="I1070" s="1669" t="s">
        <v>49</v>
      </c>
      <c r="J1070" s="1669">
        <f>'Lead &amp; ANALYSIS'!L430</f>
        <v>4651.2</v>
      </c>
      <c r="K1070" s="1668" t="s">
        <v>1516</v>
      </c>
      <c r="L1070" s="1669">
        <f>ROUND(H1070*J1070,0)</f>
        <v>0</v>
      </c>
    </row>
    <row r="1071" spans="1:12" s="692" customFormat="1" ht="16.5" hidden="1">
      <c r="A1071" s="1665" t="s">
        <v>220</v>
      </c>
      <c r="B1071" s="1666" t="s">
        <v>430</v>
      </c>
      <c r="C1071" s="688"/>
      <c r="D1071" s="1667"/>
      <c r="E1071" s="688"/>
      <c r="F1071" s="688"/>
      <c r="G1071" s="1674"/>
      <c r="H1071" s="688"/>
      <c r="I1071" s="1668"/>
      <c r="J1071" s="1668"/>
      <c r="K1071" s="1668"/>
      <c r="L1071" s="1669"/>
    </row>
    <row r="1072" spans="1:12" s="692" customFormat="1" ht="16.5" hidden="1">
      <c r="A1072" s="1665"/>
      <c r="B1072" s="1666"/>
      <c r="C1072" s="688"/>
      <c r="D1072" s="1667"/>
      <c r="E1072" s="1671">
        <v>3.5</v>
      </c>
      <c r="F1072" s="1671">
        <v>4</v>
      </c>
      <c r="G1072" s="1672">
        <v>0.15</v>
      </c>
      <c r="H1072" s="1671">
        <f t="shared" ref="H1072:H1077" si="135">ROUND(D1072*E1072*F1072*G1072,2)</f>
        <v>0</v>
      </c>
      <c r="I1072" s="1671" t="s">
        <v>49</v>
      </c>
      <c r="J1072" s="1668"/>
      <c r="K1072" s="1668"/>
      <c r="L1072" s="1669"/>
    </row>
    <row r="1073" spans="1:12" s="692" customFormat="1" ht="16.5" hidden="1">
      <c r="A1073" s="1665"/>
      <c r="B1073" s="1666"/>
      <c r="C1073" s="688"/>
      <c r="D1073" s="1667"/>
      <c r="E1073" s="1671">
        <v>3.5</v>
      </c>
      <c r="F1073" s="1671">
        <v>4</v>
      </c>
      <c r="G1073" s="1672">
        <v>0.15</v>
      </c>
      <c r="H1073" s="1671">
        <f t="shared" si="135"/>
        <v>0</v>
      </c>
      <c r="I1073" s="1671" t="s">
        <v>49</v>
      </c>
      <c r="J1073" s="1668"/>
      <c r="K1073" s="1668"/>
      <c r="L1073" s="1669"/>
    </row>
    <row r="1074" spans="1:12" s="692" customFormat="1" ht="16.5" hidden="1">
      <c r="A1074" s="1665"/>
      <c r="B1074" s="1666"/>
      <c r="C1074" s="688"/>
      <c r="D1074" s="1667"/>
      <c r="E1074" s="1671">
        <v>3.5</v>
      </c>
      <c r="F1074" s="1671">
        <v>4</v>
      </c>
      <c r="G1074" s="1672">
        <v>0.15</v>
      </c>
      <c r="H1074" s="1671">
        <f t="shared" si="135"/>
        <v>0</v>
      </c>
      <c r="I1074" s="1671" t="s">
        <v>49</v>
      </c>
      <c r="J1074" s="1668"/>
      <c r="K1074" s="1668"/>
      <c r="L1074" s="1669"/>
    </row>
    <row r="1075" spans="1:12" s="692" customFormat="1" ht="16.5" hidden="1">
      <c r="A1075" s="1665"/>
      <c r="B1075" s="1666"/>
      <c r="C1075" s="688"/>
      <c r="D1075" s="1667"/>
      <c r="E1075" s="1671">
        <v>3.5</v>
      </c>
      <c r="F1075" s="1671">
        <v>4</v>
      </c>
      <c r="G1075" s="1672">
        <v>0.15</v>
      </c>
      <c r="H1075" s="1671">
        <f t="shared" si="135"/>
        <v>0</v>
      </c>
      <c r="I1075" s="1671" t="s">
        <v>49</v>
      </c>
      <c r="J1075" s="1668"/>
      <c r="K1075" s="1668"/>
      <c r="L1075" s="1669"/>
    </row>
    <row r="1076" spans="1:12" s="692" customFormat="1" ht="16.5" hidden="1">
      <c r="A1076" s="1665"/>
      <c r="B1076" s="1666"/>
      <c r="C1076" s="688"/>
      <c r="D1076" s="1667"/>
      <c r="E1076" s="1671">
        <v>3.5</v>
      </c>
      <c r="F1076" s="1671">
        <v>4</v>
      </c>
      <c r="G1076" s="1672">
        <v>0.15</v>
      </c>
      <c r="H1076" s="1671">
        <f t="shared" si="135"/>
        <v>0</v>
      </c>
      <c r="I1076" s="1671" t="s">
        <v>49</v>
      </c>
      <c r="J1076" s="1668"/>
      <c r="K1076" s="1668"/>
      <c r="L1076" s="1669"/>
    </row>
    <row r="1077" spans="1:12" s="692" customFormat="1" ht="16.5" hidden="1">
      <c r="A1077" s="1665"/>
      <c r="B1077" s="1666"/>
      <c r="C1077" s="688"/>
      <c r="D1077" s="1667"/>
      <c r="E1077" s="1671">
        <v>3.5</v>
      </c>
      <c r="F1077" s="1671">
        <v>4</v>
      </c>
      <c r="G1077" s="1672">
        <v>0.15</v>
      </c>
      <c r="H1077" s="1671">
        <f t="shared" si="135"/>
        <v>0</v>
      </c>
      <c r="I1077" s="1671" t="s">
        <v>49</v>
      </c>
      <c r="J1077" s="1668"/>
      <c r="K1077" s="1668"/>
      <c r="L1077" s="1669"/>
    </row>
    <row r="1078" spans="1:12" s="692" customFormat="1" ht="16.5" hidden="1">
      <c r="A1078" s="1665"/>
      <c r="B1078" s="1666"/>
      <c r="C1078" s="688"/>
      <c r="D1078" s="1667"/>
      <c r="E1078" s="1671"/>
      <c r="F1078" s="1671"/>
      <c r="G1078" s="1669" t="s">
        <v>928</v>
      </c>
      <c r="H1078" s="1673">
        <f>SUM(H1072:H1077)</f>
        <v>0</v>
      </c>
      <c r="I1078" s="1669" t="s">
        <v>49</v>
      </c>
      <c r="J1078" s="1669">
        <f>'Lead &amp; ANALYSIS'!L431</f>
        <v>4684.2</v>
      </c>
      <c r="K1078" s="1668" t="s">
        <v>1516</v>
      </c>
      <c r="L1078" s="1669">
        <f>ROUND(H1078*J1078,0)</f>
        <v>0</v>
      </c>
    </row>
    <row r="1079" spans="1:12" s="692" customFormat="1" ht="16.5" hidden="1">
      <c r="A1079" s="1665" t="s">
        <v>244</v>
      </c>
      <c r="B1079" s="1666" t="s">
        <v>433</v>
      </c>
      <c r="C1079" s="688"/>
      <c r="D1079" s="1667"/>
      <c r="E1079" s="688"/>
      <c r="F1079" s="688"/>
      <c r="G1079" s="1674"/>
      <c r="H1079" s="688"/>
      <c r="I1079" s="1668"/>
      <c r="J1079" s="1668"/>
      <c r="K1079" s="1668"/>
      <c r="L1079" s="1669"/>
    </row>
    <row r="1080" spans="1:12" s="692" customFormat="1" ht="16.5" hidden="1">
      <c r="A1080" s="1665"/>
      <c r="B1080" s="1666"/>
      <c r="C1080" s="688"/>
      <c r="D1080" s="1667"/>
      <c r="E1080" s="1671">
        <v>3.5</v>
      </c>
      <c r="F1080" s="1671">
        <v>4</v>
      </c>
      <c r="G1080" s="1672">
        <v>0.15</v>
      </c>
      <c r="H1080" s="1671">
        <f t="shared" ref="H1080:H1085" si="136">ROUND(D1080*E1080*F1080*G1080,2)</f>
        <v>0</v>
      </c>
      <c r="I1080" s="1671" t="s">
        <v>49</v>
      </c>
      <c r="J1080" s="1668"/>
      <c r="K1080" s="1668"/>
      <c r="L1080" s="1669"/>
    </row>
    <row r="1081" spans="1:12" s="692" customFormat="1" ht="16.5" hidden="1">
      <c r="A1081" s="1665"/>
      <c r="B1081" s="1666"/>
      <c r="C1081" s="688"/>
      <c r="D1081" s="1667"/>
      <c r="E1081" s="1671">
        <v>3.5</v>
      </c>
      <c r="F1081" s="1671">
        <v>4</v>
      </c>
      <c r="G1081" s="1672">
        <v>0.15</v>
      </c>
      <c r="H1081" s="1671">
        <f t="shared" si="136"/>
        <v>0</v>
      </c>
      <c r="I1081" s="1671" t="s">
        <v>49</v>
      </c>
      <c r="J1081" s="1668"/>
      <c r="K1081" s="1668"/>
      <c r="L1081" s="1669"/>
    </row>
    <row r="1082" spans="1:12" s="692" customFormat="1" ht="16.5" hidden="1">
      <c r="A1082" s="1665"/>
      <c r="B1082" s="1666"/>
      <c r="C1082" s="688"/>
      <c r="D1082" s="1667"/>
      <c r="E1082" s="1671">
        <v>3.5</v>
      </c>
      <c r="F1082" s="1671">
        <v>4</v>
      </c>
      <c r="G1082" s="1672">
        <v>0.15</v>
      </c>
      <c r="H1082" s="1671">
        <f t="shared" si="136"/>
        <v>0</v>
      </c>
      <c r="I1082" s="1671" t="s">
        <v>49</v>
      </c>
      <c r="J1082" s="1668"/>
      <c r="K1082" s="1668"/>
      <c r="L1082" s="1669"/>
    </row>
    <row r="1083" spans="1:12" s="692" customFormat="1" ht="16.5" hidden="1">
      <c r="A1083" s="1665"/>
      <c r="B1083" s="1666"/>
      <c r="C1083" s="688"/>
      <c r="D1083" s="1667"/>
      <c r="E1083" s="1671">
        <v>3.5</v>
      </c>
      <c r="F1083" s="1671">
        <v>4</v>
      </c>
      <c r="G1083" s="1672">
        <v>0.15</v>
      </c>
      <c r="H1083" s="1671">
        <f t="shared" si="136"/>
        <v>0</v>
      </c>
      <c r="I1083" s="1671" t="s">
        <v>49</v>
      </c>
      <c r="J1083" s="1668"/>
      <c r="K1083" s="1668"/>
      <c r="L1083" s="1669"/>
    </row>
    <row r="1084" spans="1:12" s="692" customFormat="1" ht="16.5" hidden="1">
      <c r="A1084" s="1665"/>
      <c r="B1084" s="1666"/>
      <c r="C1084" s="688"/>
      <c r="D1084" s="1667"/>
      <c r="E1084" s="1671">
        <v>3.5</v>
      </c>
      <c r="F1084" s="1671">
        <v>4</v>
      </c>
      <c r="G1084" s="1672">
        <v>0.15</v>
      </c>
      <c r="H1084" s="1671">
        <f t="shared" si="136"/>
        <v>0</v>
      </c>
      <c r="I1084" s="1671" t="s">
        <v>49</v>
      </c>
      <c r="J1084" s="1668"/>
      <c r="K1084" s="1668"/>
      <c r="L1084" s="1669"/>
    </row>
    <row r="1085" spans="1:12" s="692" customFormat="1" ht="16.5" hidden="1">
      <c r="A1085" s="1665"/>
      <c r="B1085" s="1666"/>
      <c r="C1085" s="688"/>
      <c r="D1085" s="1667"/>
      <c r="E1085" s="1671">
        <v>3.5</v>
      </c>
      <c r="F1085" s="1671">
        <v>4</v>
      </c>
      <c r="G1085" s="1672">
        <v>0.15</v>
      </c>
      <c r="H1085" s="1671">
        <f t="shared" si="136"/>
        <v>0</v>
      </c>
      <c r="I1085" s="1671" t="s">
        <v>49</v>
      </c>
      <c r="J1085" s="1668"/>
      <c r="K1085" s="1668"/>
      <c r="L1085" s="1669"/>
    </row>
    <row r="1086" spans="1:12" s="692" customFormat="1" ht="16.5" hidden="1">
      <c r="A1086" s="1665"/>
      <c r="B1086" s="1666"/>
      <c r="C1086" s="688"/>
      <c r="D1086" s="1667"/>
      <c r="E1086" s="1671"/>
      <c r="F1086" s="1671"/>
      <c r="G1086" s="1669" t="s">
        <v>928</v>
      </c>
      <c r="H1086" s="1673">
        <f>SUM(H1080:H1085)</f>
        <v>0</v>
      </c>
      <c r="I1086" s="1669" t="s">
        <v>49</v>
      </c>
      <c r="J1086" s="1669">
        <f>'Lead &amp; ANALYSIS'!L432</f>
        <v>4974.7</v>
      </c>
      <c r="K1086" s="1668" t="s">
        <v>1516</v>
      </c>
      <c r="L1086" s="1669">
        <f>ROUND(H1086*J1086,0)</f>
        <v>0</v>
      </c>
    </row>
    <row r="1087" spans="1:12" s="692" customFormat="1" ht="16.5" hidden="1">
      <c r="A1087" s="1665" t="s">
        <v>291</v>
      </c>
      <c r="B1087" s="1666" t="s">
        <v>3639</v>
      </c>
      <c r="C1087" s="688"/>
      <c r="D1087" s="1667"/>
      <c r="E1087" s="688"/>
      <c r="F1087" s="688"/>
      <c r="G1087" s="1668"/>
      <c r="H1087" s="1673"/>
      <c r="I1087" s="1668"/>
      <c r="J1087" s="1669"/>
      <c r="K1087" s="1668"/>
      <c r="L1087" s="1669"/>
    </row>
    <row r="1088" spans="1:12" s="692" customFormat="1" ht="16.5" hidden="1">
      <c r="A1088" s="1665"/>
      <c r="B1088" s="1666"/>
      <c r="C1088" s="688"/>
      <c r="D1088" s="1667"/>
      <c r="E1088" s="1671">
        <v>3.5</v>
      </c>
      <c r="F1088" s="1671">
        <v>4</v>
      </c>
      <c r="G1088" s="1672">
        <v>0.15</v>
      </c>
      <c r="H1088" s="1671">
        <f t="shared" ref="H1088:H1093" si="137">ROUND(D1088*E1088*F1088*G1088,2)</f>
        <v>0</v>
      </c>
      <c r="I1088" s="688" t="s">
        <v>49</v>
      </c>
      <c r="J1088" s="1668"/>
      <c r="K1088" s="1668"/>
      <c r="L1088" s="1669"/>
    </row>
    <row r="1089" spans="1:12" s="692" customFormat="1" ht="16.5" hidden="1">
      <c r="A1089" s="1665"/>
      <c r="B1089" s="1666"/>
      <c r="C1089" s="688"/>
      <c r="D1089" s="1667"/>
      <c r="E1089" s="1671">
        <v>3.5</v>
      </c>
      <c r="F1089" s="1671">
        <v>4</v>
      </c>
      <c r="G1089" s="1672">
        <v>0.15</v>
      </c>
      <c r="H1089" s="1671">
        <f t="shared" si="137"/>
        <v>0</v>
      </c>
      <c r="I1089" s="688" t="s">
        <v>49</v>
      </c>
      <c r="J1089" s="1668"/>
      <c r="K1089" s="1668"/>
      <c r="L1089" s="1669"/>
    </row>
    <row r="1090" spans="1:12" s="692" customFormat="1" ht="16.5" hidden="1">
      <c r="A1090" s="1665"/>
      <c r="B1090" s="1666"/>
      <c r="C1090" s="688"/>
      <c r="D1090" s="1667"/>
      <c r="E1090" s="1671">
        <v>3.5</v>
      </c>
      <c r="F1090" s="1671">
        <v>4</v>
      </c>
      <c r="G1090" s="1672">
        <v>0.15</v>
      </c>
      <c r="H1090" s="1671">
        <f t="shared" si="137"/>
        <v>0</v>
      </c>
      <c r="I1090" s="688" t="s">
        <v>49</v>
      </c>
      <c r="J1090" s="1668"/>
      <c r="K1090" s="1668"/>
      <c r="L1090" s="1669"/>
    </row>
    <row r="1091" spans="1:12" s="692" customFormat="1" ht="16.5" hidden="1">
      <c r="A1091" s="1665"/>
      <c r="B1091" s="1666"/>
      <c r="C1091" s="688"/>
      <c r="D1091" s="1667"/>
      <c r="E1091" s="1671">
        <v>3.5</v>
      </c>
      <c r="F1091" s="1671">
        <v>4</v>
      </c>
      <c r="G1091" s="1672">
        <v>0.15</v>
      </c>
      <c r="H1091" s="1671">
        <f t="shared" si="137"/>
        <v>0</v>
      </c>
      <c r="I1091" s="688" t="s">
        <v>49</v>
      </c>
      <c r="J1091" s="1668"/>
      <c r="K1091" s="1668"/>
      <c r="L1091" s="1669"/>
    </row>
    <row r="1092" spans="1:12" s="692" customFormat="1" ht="16.5" hidden="1">
      <c r="A1092" s="1665"/>
      <c r="B1092" s="1666"/>
      <c r="C1092" s="688"/>
      <c r="D1092" s="1667"/>
      <c r="E1092" s="1671">
        <v>3.5</v>
      </c>
      <c r="F1092" s="1671">
        <v>4</v>
      </c>
      <c r="G1092" s="1672">
        <v>0.15</v>
      </c>
      <c r="H1092" s="1671">
        <f t="shared" si="137"/>
        <v>0</v>
      </c>
      <c r="I1092" s="688" t="s">
        <v>49</v>
      </c>
      <c r="J1092" s="1668"/>
      <c r="K1092" s="1668"/>
      <c r="L1092" s="1669"/>
    </row>
    <row r="1093" spans="1:12" s="692" customFormat="1" ht="16.5" hidden="1">
      <c r="A1093" s="1665"/>
      <c r="B1093" s="1666"/>
      <c r="C1093" s="688"/>
      <c r="D1093" s="1667"/>
      <c r="E1093" s="1671">
        <v>3.5</v>
      </c>
      <c r="F1093" s="1671">
        <v>4</v>
      </c>
      <c r="G1093" s="1672">
        <v>0.15</v>
      </c>
      <c r="H1093" s="1671">
        <f t="shared" si="137"/>
        <v>0</v>
      </c>
      <c r="I1093" s="688" t="s">
        <v>49</v>
      </c>
      <c r="J1093" s="1668"/>
      <c r="K1093" s="1668"/>
      <c r="L1093" s="1669"/>
    </row>
    <row r="1094" spans="1:12" s="692" customFormat="1" ht="16.5" hidden="1">
      <c r="A1094" s="1665"/>
      <c r="B1094" s="1666"/>
      <c r="C1094" s="688"/>
      <c r="D1094" s="1667"/>
      <c r="E1094" s="688"/>
      <c r="F1094" s="688"/>
      <c r="G1094" s="1668" t="s">
        <v>928</v>
      </c>
      <c r="H1094" s="1673">
        <f>SUM(H1088:H1093)</f>
        <v>0</v>
      </c>
      <c r="I1094" s="1668" t="s">
        <v>49</v>
      </c>
      <c r="J1094" s="1669">
        <f>'Lead &amp; ANALYSIS'!L433</f>
        <v>5308.8</v>
      </c>
      <c r="K1094" s="1668" t="s">
        <v>1516</v>
      </c>
      <c r="L1094" s="1669">
        <f>ROUND(H1094*J1094,0)</f>
        <v>0</v>
      </c>
    </row>
    <row r="1095" spans="1:12" s="692" customFormat="1" ht="16.5" hidden="1">
      <c r="A1095" s="1665" t="s">
        <v>308</v>
      </c>
      <c r="B1095" s="1666" t="s">
        <v>3633</v>
      </c>
      <c r="C1095" s="688"/>
      <c r="D1095" s="1667"/>
      <c r="E1095" s="688"/>
      <c r="F1095" s="688"/>
      <c r="G1095" s="1668"/>
      <c r="H1095" s="1673"/>
      <c r="I1095" s="1668"/>
      <c r="J1095" s="1669"/>
      <c r="K1095" s="1668"/>
      <c r="L1095" s="1669"/>
    </row>
    <row r="1096" spans="1:12" s="692" customFormat="1" ht="16.5" hidden="1">
      <c r="A1096" s="1665"/>
      <c r="B1096" s="1666"/>
      <c r="C1096" s="688"/>
      <c r="D1096" s="1667"/>
      <c r="E1096" s="1671">
        <v>3.5</v>
      </c>
      <c r="F1096" s="1671">
        <v>4</v>
      </c>
      <c r="G1096" s="1672">
        <v>0.15</v>
      </c>
      <c r="H1096" s="1671">
        <f t="shared" ref="H1096:H1101" si="138">ROUND(D1096*E1096*F1096*G1096,2)</f>
        <v>0</v>
      </c>
      <c r="I1096" s="688" t="s">
        <v>49</v>
      </c>
      <c r="J1096" s="1668"/>
      <c r="K1096" s="1668"/>
      <c r="L1096" s="1669"/>
    </row>
    <row r="1097" spans="1:12" s="692" customFormat="1" ht="16.5" hidden="1">
      <c r="A1097" s="1665"/>
      <c r="B1097" s="1666"/>
      <c r="C1097" s="688"/>
      <c r="D1097" s="1667"/>
      <c r="E1097" s="1671">
        <v>3.5</v>
      </c>
      <c r="F1097" s="1671">
        <v>4</v>
      </c>
      <c r="G1097" s="1672">
        <v>0.15</v>
      </c>
      <c r="H1097" s="1671">
        <f t="shared" si="138"/>
        <v>0</v>
      </c>
      <c r="I1097" s="688" t="s">
        <v>49</v>
      </c>
      <c r="J1097" s="1668"/>
      <c r="K1097" s="1668"/>
      <c r="L1097" s="1669"/>
    </row>
    <row r="1098" spans="1:12" s="692" customFormat="1" ht="16.5" hidden="1">
      <c r="A1098" s="1665"/>
      <c r="B1098" s="1666"/>
      <c r="C1098" s="688"/>
      <c r="D1098" s="1667"/>
      <c r="E1098" s="1671">
        <v>3.5</v>
      </c>
      <c r="F1098" s="1671">
        <v>4</v>
      </c>
      <c r="G1098" s="1672">
        <v>0.15</v>
      </c>
      <c r="H1098" s="1671">
        <f t="shared" si="138"/>
        <v>0</v>
      </c>
      <c r="I1098" s="688" t="s">
        <v>49</v>
      </c>
      <c r="J1098" s="1668"/>
      <c r="K1098" s="1668"/>
      <c r="L1098" s="1669"/>
    </row>
    <row r="1099" spans="1:12" s="692" customFormat="1" ht="16.5" hidden="1">
      <c r="A1099" s="1665"/>
      <c r="B1099" s="1666"/>
      <c r="C1099" s="688"/>
      <c r="D1099" s="1667"/>
      <c r="E1099" s="1671">
        <v>3.5</v>
      </c>
      <c r="F1099" s="1671">
        <v>4</v>
      </c>
      <c r="G1099" s="1672">
        <v>0.15</v>
      </c>
      <c r="H1099" s="1671">
        <f t="shared" si="138"/>
        <v>0</v>
      </c>
      <c r="I1099" s="688" t="s">
        <v>49</v>
      </c>
      <c r="J1099" s="1668"/>
      <c r="K1099" s="1668"/>
      <c r="L1099" s="1669"/>
    </row>
    <row r="1100" spans="1:12" s="692" customFormat="1" ht="16.5" hidden="1">
      <c r="A1100" s="1665"/>
      <c r="B1100" s="1666"/>
      <c r="C1100" s="688"/>
      <c r="D1100" s="1667"/>
      <c r="E1100" s="1671">
        <v>3.5</v>
      </c>
      <c r="F1100" s="1671">
        <v>4</v>
      </c>
      <c r="G1100" s="1672">
        <v>0.15</v>
      </c>
      <c r="H1100" s="1671">
        <f t="shared" si="138"/>
        <v>0</v>
      </c>
      <c r="I1100" s="688" t="s">
        <v>49</v>
      </c>
      <c r="J1100" s="1668"/>
      <c r="K1100" s="1668"/>
      <c r="L1100" s="1669"/>
    </row>
    <row r="1101" spans="1:12" s="692" customFormat="1" ht="16.5" hidden="1">
      <c r="A1101" s="1665"/>
      <c r="B1101" s="1666"/>
      <c r="C1101" s="688"/>
      <c r="D1101" s="1667"/>
      <c r="E1101" s="1671">
        <v>3.5</v>
      </c>
      <c r="F1101" s="1671">
        <v>4</v>
      </c>
      <c r="G1101" s="1672">
        <v>0.15</v>
      </c>
      <c r="H1101" s="1671">
        <f t="shared" si="138"/>
        <v>0</v>
      </c>
      <c r="I1101" s="688" t="s">
        <v>49</v>
      </c>
      <c r="J1101" s="1668"/>
      <c r="K1101" s="1668"/>
      <c r="L1101" s="1669"/>
    </row>
    <row r="1102" spans="1:12" s="692" customFormat="1" ht="16.5" hidden="1">
      <c r="A1102" s="1665"/>
      <c r="B1102" s="1666"/>
      <c r="C1102" s="688"/>
      <c r="D1102" s="1667"/>
      <c r="E1102" s="688"/>
      <c r="F1102" s="688"/>
      <c r="G1102" s="1668" t="s">
        <v>928</v>
      </c>
      <c r="H1102" s="1673">
        <f>SUM(H1096:H1101)</f>
        <v>0</v>
      </c>
      <c r="I1102" s="1668" t="s">
        <v>49</v>
      </c>
      <c r="J1102" s="1669">
        <f>'Lead &amp; ANALYSIS'!L434</f>
        <v>5693</v>
      </c>
      <c r="K1102" s="1668" t="s">
        <v>1516</v>
      </c>
      <c r="L1102" s="1669">
        <f>ROUND(H1102*J1102,0)</f>
        <v>0</v>
      </c>
    </row>
    <row r="1103" spans="1:12" s="692" customFormat="1" ht="49.5" hidden="1">
      <c r="A1103" s="1665">
        <f>'Lead &amp; ANALYSIS'!A435</f>
        <v>40</v>
      </c>
      <c r="B1103" s="1666" t="str">
        <f>'Lead &amp; ANALYSIS'!B435</f>
        <v>W.B.C.B brick masonry in cement mortar (1:4) using kiln Burnt bricks of 10”  etc. complete in all respect as directed by the Engineer-in-charge.</v>
      </c>
      <c r="C1103" s="688"/>
      <c r="D1103" s="1667"/>
      <c r="E1103" s="688"/>
      <c r="F1103" s="688"/>
      <c r="G1103" s="1674"/>
      <c r="H1103" s="688"/>
      <c r="I1103" s="1668"/>
      <c r="J1103" s="1668"/>
      <c r="K1103" s="1668"/>
      <c r="L1103" s="1669"/>
    </row>
    <row r="1104" spans="1:12" s="692" customFormat="1" ht="16.5" hidden="1">
      <c r="A1104" s="1665" t="s">
        <v>201</v>
      </c>
      <c r="B1104" s="1666" t="s">
        <v>429</v>
      </c>
      <c r="C1104" s="688"/>
      <c r="D1104" s="1667"/>
      <c r="E1104" s="688"/>
      <c r="F1104" s="688"/>
      <c r="G1104" s="1674"/>
      <c r="H1104" s="688"/>
      <c r="I1104" s="1668"/>
      <c r="J1104" s="1668"/>
      <c r="K1104" s="1668"/>
      <c r="L1104" s="1669"/>
    </row>
    <row r="1105" spans="1:12" s="692" customFormat="1" ht="16.5" hidden="1">
      <c r="A1105" s="1665"/>
      <c r="B1105" s="1666"/>
      <c r="C1105" s="688"/>
      <c r="D1105" s="1667"/>
      <c r="E1105" s="1671">
        <v>3.5</v>
      </c>
      <c r="F1105" s="1671">
        <v>4</v>
      </c>
      <c r="G1105" s="1672">
        <v>0.15</v>
      </c>
      <c r="H1105" s="1671">
        <f t="shared" ref="H1105:H1110" si="139">ROUND(D1105*E1105*F1105*G1105,2)</f>
        <v>0</v>
      </c>
      <c r="I1105" s="1671" t="s">
        <v>49</v>
      </c>
      <c r="J1105" s="1668"/>
      <c r="K1105" s="1668"/>
      <c r="L1105" s="1669"/>
    </row>
    <row r="1106" spans="1:12" s="692" customFormat="1" ht="16.5" hidden="1">
      <c r="A1106" s="1665"/>
      <c r="B1106" s="1666"/>
      <c r="C1106" s="688"/>
      <c r="D1106" s="1667"/>
      <c r="E1106" s="1671">
        <v>3.5</v>
      </c>
      <c r="F1106" s="1671">
        <v>4</v>
      </c>
      <c r="G1106" s="1672">
        <v>0.15</v>
      </c>
      <c r="H1106" s="1671">
        <f t="shared" si="139"/>
        <v>0</v>
      </c>
      <c r="I1106" s="1671" t="s">
        <v>49</v>
      </c>
      <c r="J1106" s="1668"/>
      <c r="K1106" s="1668"/>
      <c r="L1106" s="1669"/>
    </row>
    <row r="1107" spans="1:12" s="692" customFormat="1" ht="16.5" hidden="1">
      <c r="A1107" s="1665"/>
      <c r="B1107" s="1666"/>
      <c r="C1107" s="688"/>
      <c r="D1107" s="1667"/>
      <c r="E1107" s="1671">
        <v>3.5</v>
      </c>
      <c r="F1107" s="1671">
        <v>4</v>
      </c>
      <c r="G1107" s="1672">
        <v>0.15</v>
      </c>
      <c r="H1107" s="1671">
        <f t="shared" si="139"/>
        <v>0</v>
      </c>
      <c r="I1107" s="1671" t="s">
        <v>49</v>
      </c>
      <c r="J1107" s="1668"/>
      <c r="K1107" s="1668"/>
      <c r="L1107" s="1669"/>
    </row>
    <row r="1108" spans="1:12" s="692" customFormat="1" ht="16.5" hidden="1">
      <c r="A1108" s="1665"/>
      <c r="B1108" s="1666"/>
      <c r="C1108" s="688"/>
      <c r="D1108" s="1667"/>
      <c r="E1108" s="1671">
        <v>3.5</v>
      </c>
      <c r="F1108" s="1671">
        <v>4</v>
      </c>
      <c r="G1108" s="1672">
        <v>0.15</v>
      </c>
      <c r="H1108" s="1671">
        <f t="shared" si="139"/>
        <v>0</v>
      </c>
      <c r="I1108" s="1671" t="s">
        <v>49</v>
      </c>
      <c r="J1108" s="1668"/>
      <c r="K1108" s="1668"/>
      <c r="L1108" s="1669"/>
    </row>
    <row r="1109" spans="1:12" s="692" customFormat="1" ht="16.5" hidden="1">
      <c r="A1109" s="1665"/>
      <c r="B1109" s="1666"/>
      <c r="C1109" s="688"/>
      <c r="D1109" s="1667"/>
      <c r="E1109" s="1671">
        <v>3.5</v>
      </c>
      <c r="F1109" s="1671">
        <v>4</v>
      </c>
      <c r="G1109" s="1672">
        <v>0.15</v>
      </c>
      <c r="H1109" s="1671">
        <f t="shared" si="139"/>
        <v>0</v>
      </c>
      <c r="I1109" s="1671" t="s">
        <v>49</v>
      </c>
      <c r="J1109" s="1668"/>
      <c r="K1109" s="1668"/>
      <c r="L1109" s="1669"/>
    </row>
    <row r="1110" spans="1:12" s="692" customFormat="1" ht="16.5" hidden="1">
      <c r="A1110" s="1665"/>
      <c r="B1110" s="1666"/>
      <c r="C1110" s="688"/>
      <c r="D1110" s="1667"/>
      <c r="E1110" s="1671">
        <v>3.5</v>
      </c>
      <c r="F1110" s="1671">
        <v>4</v>
      </c>
      <c r="G1110" s="1672">
        <v>0.15</v>
      </c>
      <c r="H1110" s="1671">
        <f t="shared" si="139"/>
        <v>0</v>
      </c>
      <c r="I1110" s="1671" t="s">
        <v>49</v>
      </c>
      <c r="J1110" s="1668"/>
      <c r="K1110" s="1668"/>
      <c r="L1110" s="1669"/>
    </row>
    <row r="1111" spans="1:12" s="692" customFormat="1" ht="16.5" hidden="1">
      <c r="A1111" s="1665"/>
      <c r="B1111" s="1666"/>
      <c r="C1111" s="688"/>
      <c r="D1111" s="1667"/>
      <c r="E1111" s="1671"/>
      <c r="F1111" s="1671"/>
      <c r="G1111" s="1669" t="s">
        <v>928</v>
      </c>
      <c r="H1111" s="1673">
        <f>SUM(H1105:H1110)</f>
        <v>0</v>
      </c>
      <c r="I1111" s="1669" t="s">
        <v>49</v>
      </c>
      <c r="J1111" s="1669">
        <f>'Lead &amp; ANALYSIS'!L436</f>
        <v>4880.3</v>
      </c>
      <c r="K1111" s="1668" t="s">
        <v>1516</v>
      </c>
      <c r="L1111" s="1669">
        <f>ROUND(H1111*J1111,0)</f>
        <v>0</v>
      </c>
    </row>
    <row r="1112" spans="1:12" s="692" customFormat="1" ht="16.5" hidden="1">
      <c r="A1112" s="1665" t="s">
        <v>220</v>
      </c>
      <c r="B1112" s="1666" t="s">
        <v>430</v>
      </c>
      <c r="C1112" s="688"/>
      <c r="D1112" s="1667"/>
      <c r="E1112" s="688"/>
      <c r="F1112" s="688"/>
      <c r="G1112" s="1674"/>
      <c r="H1112" s="688"/>
      <c r="I1112" s="1668"/>
      <c r="J1112" s="1668"/>
      <c r="K1112" s="1668"/>
      <c r="L1112" s="1669"/>
    </row>
    <row r="1113" spans="1:12" s="692" customFormat="1" ht="16.5" hidden="1">
      <c r="A1113" s="1665"/>
      <c r="B1113" s="1666"/>
      <c r="C1113" s="688"/>
      <c r="D1113" s="1667"/>
      <c r="E1113" s="1671">
        <v>3.5</v>
      </c>
      <c r="F1113" s="1671">
        <v>4</v>
      </c>
      <c r="G1113" s="1672">
        <v>0.15</v>
      </c>
      <c r="H1113" s="1671">
        <f t="shared" ref="H1113:H1118" si="140">ROUND(D1113*E1113*F1113*G1113,2)</f>
        <v>0</v>
      </c>
      <c r="I1113" s="1671" t="s">
        <v>49</v>
      </c>
      <c r="J1113" s="1668"/>
      <c r="K1113" s="1668"/>
      <c r="L1113" s="1669"/>
    </row>
    <row r="1114" spans="1:12" s="692" customFormat="1" ht="16.5" hidden="1">
      <c r="A1114" s="1665"/>
      <c r="B1114" s="1666"/>
      <c r="C1114" s="688"/>
      <c r="D1114" s="1667"/>
      <c r="E1114" s="1671">
        <v>3.5</v>
      </c>
      <c r="F1114" s="1671">
        <v>4</v>
      </c>
      <c r="G1114" s="1672">
        <v>0.15</v>
      </c>
      <c r="H1114" s="1671">
        <f t="shared" si="140"/>
        <v>0</v>
      </c>
      <c r="I1114" s="1671" t="s">
        <v>49</v>
      </c>
      <c r="J1114" s="1668"/>
      <c r="K1114" s="1668"/>
      <c r="L1114" s="1669"/>
    </row>
    <row r="1115" spans="1:12" s="692" customFormat="1" ht="16.5" hidden="1">
      <c r="A1115" s="1665"/>
      <c r="B1115" s="1666"/>
      <c r="C1115" s="688"/>
      <c r="D1115" s="1667"/>
      <c r="E1115" s="1671">
        <v>3.5</v>
      </c>
      <c r="F1115" s="1671">
        <v>4</v>
      </c>
      <c r="G1115" s="1672">
        <v>0.15</v>
      </c>
      <c r="H1115" s="1671">
        <f t="shared" si="140"/>
        <v>0</v>
      </c>
      <c r="I1115" s="1671" t="s">
        <v>49</v>
      </c>
      <c r="J1115" s="1668"/>
      <c r="K1115" s="1668"/>
      <c r="L1115" s="1669"/>
    </row>
    <row r="1116" spans="1:12" s="692" customFormat="1" ht="16.5" hidden="1">
      <c r="A1116" s="1665"/>
      <c r="B1116" s="1666"/>
      <c r="C1116" s="688"/>
      <c r="D1116" s="1667"/>
      <c r="E1116" s="1671">
        <v>3.5</v>
      </c>
      <c r="F1116" s="1671">
        <v>4</v>
      </c>
      <c r="G1116" s="1672">
        <v>0.15</v>
      </c>
      <c r="H1116" s="1671">
        <f t="shared" si="140"/>
        <v>0</v>
      </c>
      <c r="I1116" s="1671" t="s">
        <v>49</v>
      </c>
      <c r="J1116" s="1668"/>
      <c r="K1116" s="1668"/>
      <c r="L1116" s="1669"/>
    </row>
    <row r="1117" spans="1:12" s="692" customFormat="1" ht="16.5" hidden="1">
      <c r="A1117" s="1665"/>
      <c r="B1117" s="1666"/>
      <c r="C1117" s="688"/>
      <c r="D1117" s="1667"/>
      <c r="E1117" s="1671">
        <v>3.5</v>
      </c>
      <c r="F1117" s="1671">
        <v>4</v>
      </c>
      <c r="G1117" s="1672">
        <v>0.15</v>
      </c>
      <c r="H1117" s="1671">
        <f t="shared" si="140"/>
        <v>0</v>
      </c>
      <c r="I1117" s="1671" t="s">
        <v>49</v>
      </c>
      <c r="J1117" s="1668"/>
      <c r="K1117" s="1668"/>
      <c r="L1117" s="1669"/>
    </row>
    <row r="1118" spans="1:12" s="692" customFormat="1" ht="16.5" hidden="1">
      <c r="A1118" s="1665"/>
      <c r="B1118" s="1666"/>
      <c r="C1118" s="688"/>
      <c r="D1118" s="1667"/>
      <c r="E1118" s="1671">
        <v>3.5</v>
      </c>
      <c r="F1118" s="1671">
        <v>4</v>
      </c>
      <c r="G1118" s="1672">
        <v>0.15</v>
      </c>
      <c r="H1118" s="1671">
        <f t="shared" si="140"/>
        <v>0</v>
      </c>
      <c r="I1118" s="1671" t="s">
        <v>49</v>
      </c>
      <c r="J1118" s="1668"/>
      <c r="K1118" s="1668"/>
      <c r="L1118" s="1669"/>
    </row>
    <row r="1119" spans="1:12" s="692" customFormat="1" ht="16.5" hidden="1">
      <c r="A1119" s="1665"/>
      <c r="B1119" s="1666"/>
      <c r="C1119" s="688"/>
      <c r="D1119" s="1667"/>
      <c r="E1119" s="1671"/>
      <c r="F1119" s="1671"/>
      <c r="G1119" s="1669" t="s">
        <v>928</v>
      </c>
      <c r="H1119" s="1673">
        <f>SUM(H1113:H1118)</f>
        <v>0</v>
      </c>
      <c r="I1119" s="1669" t="s">
        <v>49</v>
      </c>
      <c r="J1119" s="1669">
        <f>'Lead &amp; ANALYSIS'!L437</f>
        <v>4913.3</v>
      </c>
      <c r="K1119" s="1668" t="s">
        <v>1516</v>
      </c>
      <c r="L1119" s="1669">
        <f>ROUND(H1119*J1119,0)</f>
        <v>0</v>
      </c>
    </row>
    <row r="1120" spans="1:12" s="692" customFormat="1" ht="16.5" hidden="1">
      <c r="A1120" s="1665" t="s">
        <v>244</v>
      </c>
      <c r="B1120" s="1666" t="s">
        <v>433</v>
      </c>
      <c r="C1120" s="688"/>
      <c r="D1120" s="1667"/>
      <c r="E1120" s="688"/>
      <c r="F1120" s="688"/>
      <c r="G1120" s="1674"/>
      <c r="H1120" s="688"/>
      <c r="I1120" s="1668"/>
      <c r="J1120" s="1668"/>
      <c r="K1120" s="1668"/>
      <c r="L1120" s="1669"/>
    </row>
    <row r="1121" spans="1:12" s="692" customFormat="1" ht="16.5" hidden="1">
      <c r="A1121" s="1665"/>
      <c r="B1121" s="1666"/>
      <c r="C1121" s="688"/>
      <c r="D1121" s="1667"/>
      <c r="E1121" s="1671">
        <v>3.5</v>
      </c>
      <c r="F1121" s="1671">
        <v>4</v>
      </c>
      <c r="G1121" s="1672">
        <v>0.15</v>
      </c>
      <c r="H1121" s="1671">
        <f t="shared" ref="H1121:H1126" si="141">ROUND(D1121*E1121*F1121*G1121,2)</f>
        <v>0</v>
      </c>
      <c r="I1121" s="1671" t="s">
        <v>49</v>
      </c>
      <c r="J1121" s="1668"/>
      <c r="K1121" s="1668"/>
      <c r="L1121" s="1669"/>
    </row>
    <row r="1122" spans="1:12" s="692" customFormat="1" ht="16.5" hidden="1">
      <c r="A1122" s="1665"/>
      <c r="B1122" s="1666"/>
      <c r="C1122" s="688"/>
      <c r="D1122" s="1667"/>
      <c r="E1122" s="1671">
        <v>3.5</v>
      </c>
      <c r="F1122" s="1671">
        <v>4</v>
      </c>
      <c r="G1122" s="1672">
        <v>0.15</v>
      </c>
      <c r="H1122" s="1671">
        <f t="shared" si="141"/>
        <v>0</v>
      </c>
      <c r="I1122" s="1671" t="s">
        <v>49</v>
      </c>
      <c r="J1122" s="1668"/>
      <c r="K1122" s="1668"/>
      <c r="L1122" s="1669"/>
    </row>
    <row r="1123" spans="1:12" s="692" customFormat="1" ht="16.5" hidden="1">
      <c r="A1123" s="1665"/>
      <c r="B1123" s="1666"/>
      <c r="C1123" s="688"/>
      <c r="D1123" s="1667"/>
      <c r="E1123" s="1671">
        <v>3.5</v>
      </c>
      <c r="F1123" s="1671">
        <v>4</v>
      </c>
      <c r="G1123" s="1672">
        <v>0.15</v>
      </c>
      <c r="H1123" s="1671">
        <f t="shared" si="141"/>
        <v>0</v>
      </c>
      <c r="I1123" s="1671" t="s">
        <v>49</v>
      </c>
      <c r="J1123" s="1668"/>
      <c r="K1123" s="1668"/>
      <c r="L1123" s="1669"/>
    </row>
    <row r="1124" spans="1:12" s="692" customFormat="1" ht="16.5" hidden="1">
      <c r="A1124" s="1665"/>
      <c r="B1124" s="1666"/>
      <c r="C1124" s="688"/>
      <c r="D1124" s="1667"/>
      <c r="E1124" s="1671">
        <v>3.5</v>
      </c>
      <c r="F1124" s="1671">
        <v>4</v>
      </c>
      <c r="G1124" s="1672">
        <v>0.15</v>
      </c>
      <c r="H1124" s="1671">
        <f t="shared" si="141"/>
        <v>0</v>
      </c>
      <c r="I1124" s="1671" t="s">
        <v>49</v>
      </c>
      <c r="J1124" s="1668"/>
      <c r="K1124" s="1668"/>
      <c r="L1124" s="1669"/>
    </row>
    <row r="1125" spans="1:12" s="692" customFormat="1" ht="16.5" hidden="1">
      <c r="A1125" s="1665"/>
      <c r="B1125" s="1666"/>
      <c r="C1125" s="688"/>
      <c r="D1125" s="1667"/>
      <c r="E1125" s="1671">
        <v>3.5</v>
      </c>
      <c r="F1125" s="1671">
        <v>4</v>
      </c>
      <c r="G1125" s="1672">
        <v>0.15</v>
      </c>
      <c r="H1125" s="1671">
        <f t="shared" si="141"/>
        <v>0</v>
      </c>
      <c r="I1125" s="1671" t="s">
        <v>49</v>
      </c>
      <c r="J1125" s="1668"/>
      <c r="K1125" s="1668"/>
      <c r="L1125" s="1669"/>
    </row>
    <row r="1126" spans="1:12" s="692" customFormat="1" ht="16.5" hidden="1">
      <c r="A1126" s="1665"/>
      <c r="B1126" s="1666"/>
      <c r="C1126" s="688"/>
      <c r="D1126" s="1667"/>
      <c r="E1126" s="1671">
        <v>3.5</v>
      </c>
      <c r="F1126" s="1671">
        <v>4</v>
      </c>
      <c r="G1126" s="1672">
        <v>0.15</v>
      </c>
      <c r="H1126" s="1671">
        <f t="shared" si="141"/>
        <v>0</v>
      </c>
      <c r="I1126" s="1671" t="s">
        <v>49</v>
      </c>
      <c r="J1126" s="1668"/>
      <c r="K1126" s="1668"/>
      <c r="L1126" s="1669"/>
    </row>
    <row r="1127" spans="1:12" s="692" customFormat="1" ht="16.5" hidden="1">
      <c r="A1127" s="1665"/>
      <c r="B1127" s="1666"/>
      <c r="C1127" s="688"/>
      <c r="D1127" s="1667"/>
      <c r="E1127" s="1671"/>
      <c r="F1127" s="1671"/>
      <c r="G1127" s="1669" t="s">
        <v>928</v>
      </c>
      <c r="H1127" s="1673">
        <f>SUM(H1121:H1126)</f>
        <v>0</v>
      </c>
      <c r="I1127" s="1669" t="s">
        <v>49</v>
      </c>
      <c r="J1127" s="1669">
        <f>'Lead &amp; ANALYSIS'!L438</f>
        <v>5203.8</v>
      </c>
      <c r="K1127" s="1668" t="s">
        <v>1516</v>
      </c>
      <c r="L1127" s="1669">
        <f>ROUND(H1127*J1127,0)</f>
        <v>0</v>
      </c>
    </row>
    <row r="1128" spans="1:12" s="692" customFormat="1" ht="16.5" hidden="1">
      <c r="A1128" s="1665" t="s">
        <v>291</v>
      </c>
      <c r="B1128" s="1666" t="s">
        <v>3614</v>
      </c>
      <c r="C1128" s="688"/>
      <c r="D1128" s="1667"/>
      <c r="E1128" s="688"/>
      <c r="F1128" s="688"/>
      <c r="G1128" s="1668"/>
      <c r="H1128" s="1673"/>
      <c r="I1128" s="1668"/>
      <c r="J1128" s="1669"/>
      <c r="K1128" s="1668"/>
      <c r="L1128" s="1669"/>
    </row>
    <row r="1129" spans="1:12" s="692" customFormat="1" ht="16.5" hidden="1">
      <c r="A1129" s="1665"/>
      <c r="B1129" s="1666"/>
      <c r="C1129" s="688"/>
      <c r="D1129" s="1667"/>
      <c r="E1129" s="1671">
        <v>3.5</v>
      </c>
      <c r="F1129" s="1671">
        <v>4</v>
      </c>
      <c r="G1129" s="1672">
        <v>0.15</v>
      </c>
      <c r="H1129" s="1671">
        <f t="shared" ref="H1129:H1134" si="142">ROUND(D1129*E1129*F1129*G1129,2)</f>
        <v>0</v>
      </c>
      <c r="I1129" s="688" t="s">
        <v>49</v>
      </c>
      <c r="J1129" s="1668"/>
      <c r="K1129" s="1668"/>
      <c r="L1129" s="1669"/>
    </row>
    <row r="1130" spans="1:12" s="692" customFormat="1" ht="16.5" hidden="1">
      <c r="A1130" s="1665"/>
      <c r="B1130" s="1666"/>
      <c r="C1130" s="688"/>
      <c r="D1130" s="1667"/>
      <c r="E1130" s="1671">
        <v>3.5</v>
      </c>
      <c r="F1130" s="1671">
        <v>4</v>
      </c>
      <c r="G1130" s="1672">
        <v>0.15</v>
      </c>
      <c r="H1130" s="1671">
        <f t="shared" si="142"/>
        <v>0</v>
      </c>
      <c r="I1130" s="688" t="s">
        <v>49</v>
      </c>
      <c r="J1130" s="1668"/>
      <c r="K1130" s="1668"/>
      <c r="L1130" s="1669"/>
    </row>
    <row r="1131" spans="1:12" s="692" customFormat="1" ht="16.5" hidden="1">
      <c r="A1131" s="1665"/>
      <c r="B1131" s="1666"/>
      <c r="C1131" s="688"/>
      <c r="D1131" s="1667"/>
      <c r="E1131" s="1671">
        <v>3.5</v>
      </c>
      <c r="F1131" s="1671">
        <v>4</v>
      </c>
      <c r="G1131" s="1672">
        <v>0.15</v>
      </c>
      <c r="H1131" s="1671">
        <f t="shared" si="142"/>
        <v>0</v>
      </c>
      <c r="I1131" s="688" t="s">
        <v>49</v>
      </c>
      <c r="J1131" s="1668"/>
      <c r="K1131" s="1668"/>
      <c r="L1131" s="1669"/>
    </row>
    <row r="1132" spans="1:12" s="692" customFormat="1" ht="16.5" hidden="1">
      <c r="A1132" s="1665"/>
      <c r="B1132" s="1666"/>
      <c r="C1132" s="688"/>
      <c r="D1132" s="1667"/>
      <c r="E1132" s="1671">
        <v>3.5</v>
      </c>
      <c r="F1132" s="1671">
        <v>4</v>
      </c>
      <c r="G1132" s="1672">
        <v>0.15</v>
      </c>
      <c r="H1132" s="1671">
        <f t="shared" si="142"/>
        <v>0</v>
      </c>
      <c r="I1132" s="688" t="s">
        <v>49</v>
      </c>
      <c r="J1132" s="1668"/>
      <c r="K1132" s="1668"/>
      <c r="L1132" s="1669"/>
    </row>
    <row r="1133" spans="1:12" s="692" customFormat="1" ht="16.5" hidden="1">
      <c r="A1133" s="1665"/>
      <c r="B1133" s="1666"/>
      <c r="C1133" s="688"/>
      <c r="D1133" s="1667"/>
      <c r="E1133" s="1671">
        <v>3.5</v>
      </c>
      <c r="F1133" s="1671">
        <v>4</v>
      </c>
      <c r="G1133" s="1672">
        <v>0.15</v>
      </c>
      <c r="H1133" s="1671">
        <f t="shared" si="142"/>
        <v>0</v>
      </c>
      <c r="I1133" s="688" t="s">
        <v>49</v>
      </c>
      <c r="J1133" s="1668"/>
      <c r="K1133" s="1668"/>
      <c r="L1133" s="1669"/>
    </row>
    <row r="1134" spans="1:12" s="692" customFormat="1" ht="16.5" hidden="1">
      <c r="A1134" s="1665"/>
      <c r="B1134" s="1666"/>
      <c r="C1134" s="688"/>
      <c r="D1134" s="1667"/>
      <c r="E1134" s="1671">
        <v>3.5</v>
      </c>
      <c r="F1134" s="1671">
        <v>4</v>
      </c>
      <c r="G1134" s="1672">
        <v>0.15</v>
      </c>
      <c r="H1134" s="1671">
        <f t="shared" si="142"/>
        <v>0</v>
      </c>
      <c r="I1134" s="688" t="s">
        <v>49</v>
      </c>
      <c r="J1134" s="1668"/>
      <c r="K1134" s="1668"/>
      <c r="L1134" s="1669"/>
    </row>
    <row r="1135" spans="1:12" s="692" customFormat="1" ht="16.5" hidden="1">
      <c r="A1135" s="1665"/>
      <c r="B1135" s="1666"/>
      <c r="C1135" s="688"/>
      <c r="D1135" s="1667"/>
      <c r="E1135" s="688"/>
      <c r="F1135" s="688"/>
      <c r="G1135" s="1668" t="s">
        <v>928</v>
      </c>
      <c r="H1135" s="1673">
        <f>SUM(H1129:H1134)</f>
        <v>0</v>
      </c>
      <c r="I1135" s="1668" t="s">
        <v>49</v>
      </c>
      <c r="J1135" s="1669">
        <f>'Lead &amp; ANALYSIS'!L439</f>
        <v>5537.9</v>
      </c>
      <c r="K1135" s="1668" t="s">
        <v>1516</v>
      </c>
      <c r="L1135" s="1669">
        <f>ROUND(H1135*J1135,0)</f>
        <v>0</v>
      </c>
    </row>
    <row r="1136" spans="1:12" s="692" customFormat="1" ht="16.5" hidden="1">
      <c r="A1136" s="1665" t="s">
        <v>308</v>
      </c>
      <c r="B1136" s="1666" t="s">
        <v>3633</v>
      </c>
      <c r="C1136" s="688"/>
      <c r="D1136" s="1667"/>
      <c r="E1136" s="688"/>
      <c r="F1136" s="688"/>
      <c r="G1136" s="1668"/>
      <c r="H1136" s="1673"/>
      <c r="I1136" s="1668"/>
      <c r="J1136" s="1669"/>
      <c r="K1136" s="1668"/>
      <c r="L1136" s="1669"/>
    </row>
    <row r="1137" spans="1:12" s="692" customFormat="1" ht="16.5" hidden="1">
      <c r="A1137" s="1665"/>
      <c r="B1137" s="1666"/>
      <c r="C1137" s="688"/>
      <c r="D1137" s="1667"/>
      <c r="E1137" s="1671">
        <v>3.5</v>
      </c>
      <c r="F1137" s="1671">
        <v>4</v>
      </c>
      <c r="G1137" s="1672">
        <v>0.15</v>
      </c>
      <c r="H1137" s="1671">
        <f t="shared" ref="H1137:H1142" si="143">ROUND(D1137*E1137*F1137*G1137,2)</f>
        <v>0</v>
      </c>
      <c r="I1137" s="688" t="s">
        <v>49</v>
      </c>
      <c r="J1137" s="1668"/>
      <c r="K1137" s="1668"/>
      <c r="L1137" s="1669"/>
    </row>
    <row r="1138" spans="1:12" s="692" customFormat="1" ht="16.5" hidden="1">
      <c r="A1138" s="1665"/>
      <c r="B1138" s="1666"/>
      <c r="C1138" s="688"/>
      <c r="D1138" s="1667"/>
      <c r="E1138" s="1671">
        <v>3.5</v>
      </c>
      <c r="F1138" s="1671">
        <v>4</v>
      </c>
      <c r="G1138" s="1672">
        <v>0.15</v>
      </c>
      <c r="H1138" s="1671">
        <f t="shared" si="143"/>
        <v>0</v>
      </c>
      <c r="I1138" s="688" t="s">
        <v>49</v>
      </c>
      <c r="J1138" s="1668"/>
      <c r="K1138" s="1668"/>
      <c r="L1138" s="1669"/>
    </row>
    <row r="1139" spans="1:12" s="692" customFormat="1" ht="16.5" hidden="1">
      <c r="A1139" s="1665"/>
      <c r="B1139" s="1666"/>
      <c r="C1139" s="688"/>
      <c r="D1139" s="1667"/>
      <c r="E1139" s="1671">
        <v>3.5</v>
      </c>
      <c r="F1139" s="1671">
        <v>4</v>
      </c>
      <c r="G1139" s="1672">
        <v>0.15</v>
      </c>
      <c r="H1139" s="1671">
        <f t="shared" si="143"/>
        <v>0</v>
      </c>
      <c r="I1139" s="688" t="s">
        <v>49</v>
      </c>
      <c r="J1139" s="1668"/>
      <c r="K1139" s="1668"/>
      <c r="L1139" s="1669"/>
    </row>
    <row r="1140" spans="1:12" s="692" customFormat="1" ht="16.5" hidden="1">
      <c r="A1140" s="1665"/>
      <c r="B1140" s="1666"/>
      <c r="C1140" s="688"/>
      <c r="D1140" s="1667"/>
      <c r="E1140" s="1671">
        <v>3.5</v>
      </c>
      <c r="F1140" s="1671">
        <v>4</v>
      </c>
      <c r="G1140" s="1672">
        <v>0.15</v>
      </c>
      <c r="H1140" s="1671">
        <f t="shared" si="143"/>
        <v>0</v>
      </c>
      <c r="I1140" s="688" t="s">
        <v>49</v>
      </c>
      <c r="J1140" s="1668"/>
      <c r="K1140" s="1668"/>
      <c r="L1140" s="1669"/>
    </row>
    <row r="1141" spans="1:12" s="692" customFormat="1" ht="16.5" hidden="1">
      <c r="A1141" s="1665"/>
      <c r="B1141" s="1666"/>
      <c r="C1141" s="688"/>
      <c r="D1141" s="1667"/>
      <c r="E1141" s="1671">
        <v>3.5</v>
      </c>
      <c r="F1141" s="1671">
        <v>4</v>
      </c>
      <c r="G1141" s="1672">
        <v>0.15</v>
      </c>
      <c r="H1141" s="1671">
        <f t="shared" si="143"/>
        <v>0</v>
      </c>
      <c r="I1141" s="688" t="s">
        <v>49</v>
      </c>
      <c r="J1141" s="1668"/>
      <c r="K1141" s="1668"/>
      <c r="L1141" s="1669"/>
    </row>
    <row r="1142" spans="1:12" s="692" customFormat="1" ht="16.5" hidden="1">
      <c r="A1142" s="1665"/>
      <c r="B1142" s="1666"/>
      <c r="C1142" s="688"/>
      <c r="D1142" s="1667"/>
      <c r="E1142" s="1671">
        <v>3.5</v>
      </c>
      <c r="F1142" s="1671">
        <v>4</v>
      </c>
      <c r="G1142" s="1672">
        <v>0.15</v>
      </c>
      <c r="H1142" s="1671">
        <f t="shared" si="143"/>
        <v>0</v>
      </c>
      <c r="I1142" s="688" t="s">
        <v>49</v>
      </c>
      <c r="J1142" s="1668"/>
      <c r="K1142" s="1668"/>
      <c r="L1142" s="1669"/>
    </row>
    <row r="1143" spans="1:12" s="692" customFormat="1" ht="16.5" hidden="1">
      <c r="A1143" s="1665"/>
      <c r="B1143" s="1666"/>
      <c r="C1143" s="688"/>
      <c r="D1143" s="1667"/>
      <c r="E1143" s="688"/>
      <c r="F1143" s="688"/>
      <c r="G1143" s="1668" t="s">
        <v>928</v>
      </c>
      <c r="H1143" s="1673">
        <f>SUM(H1137:H1142)</f>
        <v>0</v>
      </c>
      <c r="I1143" s="1668" t="s">
        <v>49</v>
      </c>
      <c r="J1143" s="1669">
        <f>'Lead &amp; ANALYSIS'!L440</f>
        <v>5922.1</v>
      </c>
      <c r="K1143" s="1668" t="s">
        <v>1516</v>
      </c>
      <c r="L1143" s="1669">
        <f>ROUND(H1143*J1143,0)</f>
        <v>0</v>
      </c>
    </row>
    <row r="1144" spans="1:12" s="692" customFormat="1" ht="49.5">
      <c r="A1144" s="1665">
        <v>4</v>
      </c>
      <c r="B1144" s="1666" t="str">
        <f>'Lead &amp; ANALYSIS'!B441</f>
        <v>Fly Ash brick masonry in cement mortar (1:6) using kiln Burnt bricks of 10”  etc. complete in all respect as directed by the Engineer-in-charge.</v>
      </c>
      <c r="C1144" s="688"/>
      <c r="D1144" s="1667"/>
      <c r="E1144" s="688"/>
      <c r="F1144" s="688"/>
      <c r="G1144" s="1674"/>
      <c r="H1144" s="688"/>
      <c r="I1144" s="1668"/>
      <c r="J1144" s="1668"/>
      <c r="K1144" s="1668"/>
      <c r="L1144" s="1669"/>
    </row>
    <row r="1145" spans="1:12" s="692" customFormat="1" ht="16.5">
      <c r="A1145" s="1665" t="s">
        <v>201</v>
      </c>
      <c r="B1145" s="1675" t="s">
        <v>429</v>
      </c>
      <c r="C1145" s="688"/>
      <c r="D1145" s="1667"/>
      <c r="E1145" s="688"/>
      <c r="F1145" s="688"/>
      <c r="G1145" s="1674"/>
      <c r="H1145" s="688"/>
      <c r="I1145" s="1668"/>
      <c r="J1145" s="1668"/>
      <c r="K1145" s="1668"/>
      <c r="L1145" s="1669"/>
    </row>
    <row r="1146" spans="1:12" s="692" customFormat="1" ht="16.5">
      <c r="A1146" s="1665"/>
      <c r="B1146" s="1675" t="s">
        <v>1562</v>
      </c>
      <c r="C1146" s="688"/>
      <c r="D1146" s="1667"/>
      <c r="E1146" s="688"/>
      <c r="F1146" s="688"/>
      <c r="G1146" s="1674"/>
      <c r="H1146" s="688"/>
      <c r="I1146" s="1668"/>
      <c r="J1146" s="1668"/>
      <c r="K1146" s="1668"/>
      <c r="L1146" s="1669"/>
    </row>
    <row r="1147" spans="1:12" s="692" customFormat="1" ht="16.5">
      <c r="A1147" s="1665"/>
      <c r="B1147" s="1666" t="str">
        <f>B903</f>
        <v>Lang Wall</v>
      </c>
      <c r="C1147" s="688"/>
      <c r="D1147" s="1667">
        <f>C6</f>
        <v>3</v>
      </c>
      <c r="E1147" s="1671">
        <f>E6+F1147</f>
        <v>0.5</v>
      </c>
      <c r="F1147" s="1671">
        <v>0.5</v>
      </c>
      <c r="G1147" s="1672">
        <v>0.15</v>
      </c>
      <c r="H1147" s="1671">
        <f t="shared" ref="H1147:H1164" si="144">ROUND(D1147*E1147*F1147*G1147,2)</f>
        <v>0.11</v>
      </c>
      <c r="I1147" s="1671" t="s">
        <v>49</v>
      </c>
      <c r="J1147" s="1668"/>
      <c r="K1147" s="1668"/>
      <c r="L1147" s="1669"/>
    </row>
    <row r="1148" spans="1:12" s="692" customFormat="1" ht="16.5">
      <c r="A1148" s="1665"/>
      <c r="B1148" s="1666" t="str">
        <f>B904</f>
        <v>Short Wall</v>
      </c>
      <c r="C1148" s="688"/>
      <c r="D1148" s="1667">
        <f>C9</f>
        <v>3</v>
      </c>
      <c r="E1148" s="1671">
        <f>E9-F1148</f>
        <v>-0.5</v>
      </c>
      <c r="F1148" s="1671">
        <f>F1147</f>
        <v>0.5</v>
      </c>
      <c r="G1148" s="1672">
        <v>0.15</v>
      </c>
      <c r="H1148" s="1671">
        <f t="shared" si="144"/>
        <v>-0.11</v>
      </c>
      <c r="I1148" s="1671" t="s">
        <v>49</v>
      </c>
      <c r="J1148" s="1668"/>
      <c r="K1148" s="1668"/>
      <c r="L1148" s="1669"/>
    </row>
    <row r="1149" spans="1:12" s="692" customFormat="1" ht="16.5">
      <c r="A1149" s="1665"/>
      <c r="B1149" s="1666"/>
      <c r="C1149" s="688"/>
      <c r="D1149" s="1667">
        <f>C10</f>
        <v>2</v>
      </c>
      <c r="E1149" s="1671">
        <f>E10-F1149</f>
        <v>-0.5</v>
      </c>
      <c r="F1149" s="1671">
        <f>F1148</f>
        <v>0.5</v>
      </c>
      <c r="G1149" s="1672">
        <v>0.15</v>
      </c>
      <c r="H1149" s="1671">
        <f t="shared" si="144"/>
        <v>-0.08</v>
      </c>
      <c r="I1149" s="1671" t="s">
        <v>49</v>
      </c>
      <c r="J1149" s="1668"/>
      <c r="K1149" s="1668"/>
      <c r="L1149" s="1669"/>
    </row>
    <row r="1150" spans="1:12" s="692" customFormat="1" ht="16.5">
      <c r="A1150" s="1665"/>
      <c r="B1150" s="1666" t="s">
        <v>1834</v>
      </c>
      <c r="C1150" s="688"/>
      <c r="D1150" s="1667">
        <f>D909</f>
        <v>4</v>
      </c>
      <c r="E1150" s="1671">
        <v>0.3</v>
      </c>
      <c r="F1150" s="1671">
        <v>0.5</v>
      </c>
      <c r="G1150" s="1672">
        <v>0.15</v>
      </c>
      <c r="H1150" s="1671">
        <f>-ROUND(D1150*E1150*F1150*G1150,2)</f>
        <v>-0.09</v>
      </c>
      <c r="I1150" s="1671" t="s">
        <v>49</v>
      </c>
      <c r="J1150" s="1668"/>
      <c r="K1150" s="1668"/>
      <c r="L1150" s="1669"/>
    </row>
    <row r="1151" spans="1:12" s="692" customFormat="1" ht="16.5">
      <c r="A1151" s="1665"/>
      <c r="B1151" s="1666"/>
      <c r="C1151" s="688"/>
      <c r="D1151" s="1667">
        <f>D910</f>
        <v>14</v>
      </c>
      <c r="E1151" s="1671">
        <v>0.25</v>
      </c>
      <c r="F1151" s="1671">
        <f>F1150</f>
        <v>0.5</v>
      </c>
      <c r="G1151" s="1672">
        <f>G1150</f>
        <v>0.15</v>
      </c>
      <c r="H1151" s="1671">
        <f>-ROUND(D1151*E1151*F1151*G1151,2)</f>
        <v>-0.26</v>
      </c>
      <c r="I1151" s="1671" t="s">
        <v>49</v>
      </c>
      <c r="J1151" s="1668"/>
      <c r="K1151" s="1668"/>
      <c r="L1151" s="1669"/>
    </row>
    <row r="1152" spans="1:12" s="692" customFormat="1" ht="16.5">
      <c r="A1152" s="1665"/>
      <c r="B1152" s="1675" t="s">
        <v>3756</v>
      </c>
      <c r="C1152" s="688"/>
      <c r="D1152" s="1667"/>
      <c r="E1152" s="1671"/>
      <c r="F1152" s="1671"/>
      <c r="G1152" s="1672"/>
      <c r="H1152" s="1671"/>
      <c r="I1152" s="1671"/>
      <c r="J1152" s="1668"/>
      <c r="K1152" s="1668"/>
      <c r="L1152" s="1669"/>
    </row>
    <row r="1153" spans="1:12" s="692" customFormat="1" ht="16.5">
      <c r="A1153" s="1665"/>
      <c r="B1153" s="1666" t="str">
        <f>B1147</f>
        <v>Lang Wall</v>
      </c>
      <c r="C1153" s="688"/>
      <c r="D1153" s="1667">
        <f>D1147</f>
        <v>3</v>
      </c>
      <c r="E1153" s="1671">
        <f>E6+F1153</f>
        <v>0.375</v>
      </c>
      <c r="F1153" s="1682">
        <v>0.375</v>
      </c>
      <c r="G1153" s="1672">
        <v>0.15</v>
      </c>
      <c r="H1153" s="1671">
        <f t="shared" ref="H1153:H1155" si="145">ROUND(D1153*E1153*F1153*G1153,2)</f>
        <v>0.06</v>
      </c>
      <c r="I1153" s="1671" t="s">
        <v>49</v>
      </c>
      <c r="J1153" s="1668"/>
      <c r="K1153" s="1668"/>
      <c r="L1153" s="1669"/>
    </row>
    <row r="1154" spans="1:12" s="692" customFormat="1" ht="16.5">
      <c r="A1154" s="1665"/>
      <c r="B1154" s="1666" t="str">
        <f>B1148</f>
        <v>Short Wall</v>
      </c>
      <c r="C1154" s="688"/>
      <c r="D1154" s="1667">
        <f>D1148</f>
        <v>3</v>
      </c>
      <c r="E1154" s="1671">
        <f>E9-F1154</f>
        <v>-0.375</v>
      </c>
      <c r="F1154" s="1682">
        <f>F1153</f>
        <v>0.375</v>
      </c>
      <c r="G1154" s="1672">
        <f>G1153</f>
        <v>0.15</v>
      </c>
      <c r="H1154" s="1671">
        <f t="shared" si="145"/>
        <v>-0.06</v>
      </c>
      <c r="I1154" s="1671" t="s">
        <v>49</v>
      </c>
      <c r="J1154" s="1668"/>
      <c r="K1154" s="1668"/>
      <c r="L1154" s="1669"/>
    </row>
    <row r="1155" spans="1:12" s="692" customFormat="1" ht="16.5">
      <c r="A1155" s="1665"/>
      <c r="B1155" s="1666"/>
      <c r="C1155" s="688"/>
      <c r="D1155" s="1667">
        <f>D1149</f>
        <v>2</v>
      </c>
      <c r="E1155" s="1671">
        <f>E10-F1155</f>
        <v>-0.375</v>
      </c>
      <c r="F1155" s="1682">
        <f>F1154</f>
        <v>0.375</v>
      </c>
      <c r="G1155" s="1672">
        <f>G1154</f>
        <v>0.15</v>
      </c>
      <c r="H1155" s="1671">
        <f t="shared" si="145"/>
        <v>-0.04</v>
      </c>
      <c r="I1155" s="1671" t="s">
        <v>49</v>
      </c>
      <c r="J1155" s="1668"/>
      <c r="K1155" s="1668"/>
      <c r="L1155" s="1669"/>
    </row>
    <row r="1156" spans="1:12" s="692" customFormat="1" ht="16.5">
      <c r="A1156" s="1665"/>
      <c r="B1156" s="1666" t="s">
        <v>1834</v>
      </c>
      <c r="C1156" s="688"/>
      <c r="D1156" s="1667">
        <f>D1150</f>
        <v>4</v>
      </c>
      <c r="E1156" s="1671">
        <f>E1150</f>
        <v>0.3</v>
      </c>
      <c r="F1156" s="1682">
        <v>0.375</v>
      </c>
      <c r="G1156" s="1672">
        <v>0.15</v>
      </c>
      <c r="H1156" s="1671">
        <f>-ROUND(D1156*E1156*F1156*G1156,2)</f>
        <v>-7.0000000000000007E-2</v>
      </c>
      <c r="I1156" s="1671" t="s">
        <v>49</v>
      </c>
      <c r="J1156" s="1668"/>
      <c r="K1156" s="1668"/>
      <c r="L1156" s="1669"/>
    </row>
    <row r="1157" spans="1:12" s="692" customFormat="1" ht="16.5">
      <c r="A1157" s="1665"/>
      <c r="B1157" s="1666"/>
      <c r="C1157" s="688"/>
      <c r="D1157" s="1667">
        <f>D1151</f>
        <v>14</v>
      </c>
      <c r="E1157" s="1671">
        <f>E1151</f>
        <v>0.25</v>
      </c>
      <c r="F1157" s="1682">
        <f>F1156</f>
        <v>0.375</v>
      </c>
      <c r="G1157" s="1672">
        <f>G1156</f>
        <v>0.15</v>
      </c>
      <c r="H1157" s="1671">
        <f>-ROUND(D1157*E1157*F1157*G1157,2)</f>
        <v>-0.2</v>
      </c>
      <c r="I1157" s="1671" t="s">
        <v>49</v>
      </c>
      <c r="J1157" s="1668"/>
      <c r="K1157" s="1668"/>
      <c r="L1157" s="1669"/>
    </row>
    <row r="1158" spans="1:12" s="692" customFormat="1" ht="16.5">
      <c r="A1158" s="1665"/>
      <c r="B1158" s="1675" t="s">
        <v>3757</v>
      </c>
      <c r="C1158" s="688"/>
      <c r="D1158" s="1667"/>
      <c r="E1158" s="1671"/>
      <c r="F1158" s="1682"/>
      <c r="G1158" s="1672"/>
      <c r="H1158" s="1671"/>
      <c r="I1158" s="1671"/>
      <c r="J1158" s="1668"/>
      <c r="K1158" s="1668"/>
      <c r="L1158" s="1669"/>
    </row>
    <row r="1159" spans="1:12" s="692" customFormat="1" ht="16.5">
      <c r="A1159" s="1665"/>
      <c r="B1159" s="1666" t="str">
        <f>B1153</f>
        <v>Lang Wall</v>
      </c>
      <c r="C1159" s="688"/>
      <c r="D1159" s="1667">
        <f>D1153</f>
        <v>3</v>
      </c>
      <c r="E1159" s="1671">
        <f>E6+F1159</f>
        <v>0.25</v>
      </c>
      <c r="F1159" s="1682">
        <v>0.25</v>
      </c>
      <c r="G1159" s="1672">
        <v>0.3</v>
      </c>
      <c r="H1159" s="1671">
        <f t="shared" ref="H1159" si="146">ROUND(D1159*E1159*F1159*G1159,2)</f>
        <v>0.06</v>
      </c>
      <c r="I1159" s="1671" t="s">
        <v>49</v>
      </c>
      <c r="J1159" s="1668"/>
      <c r="K1159" s="1668"/>
      <c r="L1159" s="1669"/>
    </row>
    <row r="1160" spans="1:12" s="692" customFormat="1" ht="16.5">
      <c r="A1160" s="1665"/>
      <c r="B1160" s="1666" t="str">
        <f>B1154</f>
        <v>Short Wall</v>
      </c>
      <c r="C1160" s="688"/>
      <c r="D1160" s="1667">
        <f>D1154</f>
        <v>3</v>
      </c>
      <c r="E1160" s="1671">
        <f>E9-F1160</f>
        <v>-0.25</v>
      </c>
      <c r="F1160" s="1682">
        <f>F1159</f>
        <v>0.25</v>
      </c>
      <c r="G1160" s="1672">
        <f>G1159</f>
        <v>0.3</v>
      </c>
      <c r="H1160" s="1671">
        <f t="shared" ref="H1160:H1161" si="147">ROUND(D1160*E1160*F1160*G1160,2)</f>
        <v>-0.06</v>
      </c>
      <c r="I1160" s="1671" t="s">
        <v>49</v>
      </c>
      <c r="J1160" s="1668"/>
      <c r="K1160" s="1668"/>
      <c r="L1160" s="1669"/>
    </row>
    <row r="1161" spans="1:12" s="692" customFormat="1" ht="16.5">
      <c r="A1161" s="1665"/>
      <c r="B1161" s="1666"/>
      <c r="C1161" s="688"/>
      <c r="D1161" s="1667">
        <f>D1155</f>
        <v>2</v>
      </c>
      <c r="E1161" s="1671">
        <f>E10-F1161</f>
        <v>-0.25</v>
      </c>
      <c r="F1161" s="1682">
        <f>F1160</f>
        <v>0.25</v>
      </c>
      <c r="G1161" s="1672">
        <f>G1160</f>
        <v>0.3</v>
      </c>
      <c r="H1161" s="1671">
        <f t="shared" si="147"/>
        <v>-0.04</v>
      </c>
      <c r="I1161" s="1671" t="s">
        <v>49</v>
      </c>
      <c r="J1161" s="1668"/>
      <c r="K1161" s="1668"/>
      <c r="L1161" s="1669"/>
    </row>
    <row r="1162" spans="1:12" s="692" customFormat="1" ht="16.5">
      <c r="A1162" s="1665"/>
      <c r="B1162" s="1666" t="str">
        <f>B906</f>
        <v>Steps</v>
      </c>
      <c r="C1162" s="688"/>
      <c r="D1162" s="1667">
        <v>1</v>
      </c>
      <c r="E1162" s="1671">
        <f>E906</f>
        <v>0</v>
      </c>
      <c r="F1162" s="1682">
        <v>1.125</v>
      </c>
      <c r="G1162" s="1672">
        <v>0.15</v>
      </c>
      <c r="H1162" s="1671">
        <f t="shared" si="144"/>
        <v>0</v>
      </c>
      <c r="I1162" s="1671" t="s">
        <v>49</v>
      </c>
      <c r="J1162" s="1668"/>
      <c r="K1162" s="1668"/>
      <c r="L1162" s="1669"/>
    </row>
    <row r="1163" spans="1:12" s="692" customFormat="1" ht="16.5">
      <c r="A1163" s="1665"/>
      <c r="B1163" s="1666"/>
      <c r="C1163" s="688"/>
      <c r="D1163" s="1667">
        <v>1</v>
      </c>
      <c r="E1163" s="1671">
        <f>E1162</f>
        <v>0</v>
      </c>
      <c r="F1163" s="1671">
        <v>0.75</v>
      </c>
      <c r="G1163" s="1672">
        <v>0.15</v>
      </c>
      <c r="H1163" s="1671">
        <f t="shared" si="144"/>
        <v>0</v>
      </c>
      <c r="I1163" s="1671" t="s">
        <v>49</v>
      </c>
      <c r="J1163" s="1668"/>
      <c r="K1163" s="1668"/>
      <c r="L1163" s="1669"/>
    </row>
    <row r="1164" spans="1:12" s="692" customFormat="1" ht="16.5">
      <c r="A1164" s="1665"/>
      <c r="B1164" s="1666"/>
      <c r="C1164" s="688"/>
      <c r="D1164" s="1667">
        <v>1</v>
      </c>
      <c r="E1164" s="1671">
        <f>E1163</f>
        <v>0</v>
      </c>
      <c r="F1164" s="1682">
        <v>0.375</v>
      </c>
      <c r="G1164" s="1672">
        <v>0.15</v>
      </c>
      <c r="H1164" s="1671">
        <f t="shared" si="144"/>
        <v>0</v>
      </c>
      <c r="I1164" s="1671" t="s">
        <v>49</v>
      </c>
      <c r="J1164" s="1668"/>
      <c r="K1164" s="1668"/>
      <c r="L1164" s="1669"/>
    </row>
    <row r="1165" spans="1:12" s="692" customFormat="1" ht="16.5">
      <c r="A1165" s="1665"/>
      <c r="B1165" s="1666" t="s">
        <v>1834</v>
      </c>
      <c r="C1165" s="688"/>
      <c r="D1165" s="1667">
        <f>D1156</f>
        <v>4</v>
      </c>
      <c r="E1165" s="1671">
        <f>E1156</f>
        <v>0.3</v>
      </c>
      <c r="F1165" s="1671">
        <v>0.25</v>
      </c>
      <c r="G1165" s="1672">
        <v>0.3</v>
      </c>
      <c r="H1165" s="1671">
        <f>-ROUND(D1165*E1165*F1165*G1165,2)</f>
        <v>-0.09</v>
      </c>
      <c r="I1165" s="1671" t="s">
        <v>49</v>
      </c>
      <c r="J1165" s="1668"/>
      <c r="K1165" s="1668"/>
      <c r="L1165" s="1669"/>
    </row>
    <row r="1166" spans="1:12" s="692" customFormat="1" ht="16.5">
      <c r="A1166" s="1665"/>
      <c r="B1166" s="1666"/>
      <c r="C1166" s="688"/>
      <c r="D1166" s="1667">
        <f>D1157</f>
        <v>14</v>
      </c>
      <c r="E1166" s="1671">
        <f>E1157</f>
        <v>0.25</v>
      </c>
      <c r="F1166" s="1671">
        <f>F1165</f>
        <v>0.25</v>
      </c>
      <c r="G1166" s="1672">
        <f>G1165</f>
        <v>0.3</v>
      </c>
      <c r="H1166" s="1671">
        <f>-ROUND(D1166*E1166*F1166*G1166,2)</f>
        <v>-0.26</v>
      </c>
      <c r="I1166" s="1671" t="s">
        <v>49</v>
      </c>
      <c r="J1166" s="1668"/>
      <c r="K1166" s="1668"/>
      <c r="L1166" s="1669"/>
    </row>
    <row r="1167" spans="1:12" s="692" customFormat="1" ht="16.5">
      <c r="A1167" s="1665"/>
      <c r="B1167" s="1666"/>
      <c r="C1167" s="688"/>
      <c r="D1167" s="1667"/>
      <c r="E1167" s="1671"/>
      <c r="F1167" s="1671"/>
      <c r="G1167" s="1669" t="s">
        <v>928</v>
      </c>
      <c r="H1167" s="1673">
        <f>SUM(H1147:H1166)</f>
        <v>-1.1299999999999999</v>
      </c>
      <c r="I1167" s="1669" t="s">
        <v>49</v>
      </c>
      <c r="J1167" s="1669">
        <f>'Lead &amp; ANALYSIS'!L442</f>
        <v>5060.3999999999996</v>
      </c>
      <c r="K1167" s="1668" t="s">
        <v>1516</v>
      </c>
      <c r="L1167" s="1669">
        <f>ROUND(H1167*J1167,0)</f>
        <v>-5718</v>
      </c>
    </row>
    <row r="1168" spans="1:12" s="692" customFormat="1" ht="16.5">
      <c r="A1168" s="1665" t="s">
        <v>220</v>
      </c>
      <c r="B1168" s="1675" t="s">
        <v>430</v>
      </c>
      <c r="C1168" s="688"/>
      <c r="D1168" s="1667"/>
      <c r="E1168" s="688"/>
      <c r="F1168" s="688"/>
      <c r="G1168" s="1674"/>
      <c r="H1168" s="688"/>
      <c r="I1168" s="1668"/>
      <c r="J1168" s="1668"/>
      <c r="K1168" s="1668"/>
      <c r="L1168" s="1669"/>
    </row>
    <row r="1169" spans="1:12" s="692" customFormat="1" ht="16.5">
      <c r="A1169" s="1665"/>
      <c r="B1169" s="1666" t="s">
        <v>2983</v>
      </c>
      <c r="C1169" s="688"/>
      <c r="D1169" s="1667">
        <f>C6</f>
        <v>3</v>
      </c>
      <c r="E1169" s="1671">
        <f>E6+F1169</f>
        <v>0.25</v>
      </c>
      <c r="F1169" s="1671">
        <v>0.25</v>
      </c>
      <c r="G1169" s="1672">
        <v>3.1</v>
      </c>
      <c r="H1169" s="1671">
        <f t="shared" ref="H1169:H1174" si="148">ROUND(D1169*E1169*F1169*G1169,2)</f>
        <v>0.57999999999999996</v>
      </c>
      <c r="I1169" s="1671" t="s">
        <v>49</v>
      </c>
      <c r="J1169" s="1668"/>
      <c r="K1169" s="1668"/>
      <c r="L1169" s="1669"/>
    </row>
    <row r="1170" spans="1:12" s="692" customFormat="1" ht="16.5">
      <c r="A1170" s="1665"/>
      <c r="B1170" s="1666" t="s">
        <v>2984</v>
      </c>
      <c r="C1170" s="688"/>
      <c r="D1170" s="1667">
        <f>C9</f>
        <v>3</v>
      </c>
      <c r="E1170" s="1671">
        <f>E9-F1170</f>
        <v>-0.25</v>
      </c>
      <c r="F1170" s="1671">
        <f>F1169</f>
        <v>0.25</v>
      </c>
      <c r="G1170" s="1672">
        <f>G1169</f>
        <v>3.1</v>
      </c>
      <c r="H1170" s="1671">
        <f t="shared" si="148"/>
        <v>-0.57999999999999996</v>
      </c>
      <c r="I1170" s="1671" t="s">
        <v>49</v>
      </c>
      <c r="J1170" s="1668"/>
      <c r="K1170" s="1668"/>
      <c r="L1170" s="1669"/>
    </row>
    <row r="1171" spans="1:12" s="692" customFormat="1" ht="16.5">
      <c r="A1171" s="1665"/>
      <c r="B1171" s="1666"/>
      <c r="C1171" s="688"/>
      <c r="D1171" s="1667">
        <f>C10</f>
        <v>2</v>
      </c>
      <c r="E1171" s="1671">
        <f>E10-F1171</f>
        <v>-0.25</v>
      </c>
      <c r="F1171" s="1671">
        <f>F1170</f>
        <v>0.25</v>
      </c>
      <c r="G1171" s="1672">
        <f>G1170</f>
        <v>3.1</v>
      </c>
      <c r="H1171" s="1671">
        <f t="shared" si="148"/>
        <v>-0.39</v>
      </c>
      <c r="I1171" s="1671" t="s">
        <v>49</v>
      </c>
      <c r="J1171" s="1668"/>
      <c r="K1171" s="1668"/>
      <c r="L1171" s="1669"/>
    </row>
    <row r="1172" spans="1:12" s="692" customFormat="1" ht="16.5" hidden="1">
      <c r="A1172" s="1665"/>
      <c r="B1172" s="1666"/>
      <c r="C1172" s="688"/>
      <c r="D1172" s="1667"/>
      <c r="E1172" s="1671">
        <v>3.5</v>
      </c>
      <c r="F1172" s="1671">
        <v>4</v>
      </c>
      <c r="G1172" s="1672">
        <v>0.15</v>
      </c>
      <c r="H1172" s="1671">
        <f t="shared" si="148"/>
        <v>0</v>
      </c>
      <c r="I1172" s="1671" t="s">
        <v>49</v>
      </c>
      <c r="J1172" s="1668"/>
      <c r="K1172" s="1668"/>
      <c r="L1172" s="1669"/>
    </row>
    <row r="1173" spans="1:12" s="692" customFormat="1" ht="16.5" hidden="1">
      <c r="A1173" s="1665"/>
      <c r="B1173" s="1666"/>
      <c r="C1173" s="688"/>
      <c r="D1173" s="1667"/>
      <c r="E1173" s="1671">
        <v>3.5</v>
      </c>
      <c r="F1173" s="1671">
        <v>4</v>
      </c>
      <c r="G1173" s="1672">
        <v>0.15</v>
      </c>
      <c r="H1173" s="1671">
        <f t="shared" si="148"/>
        <v>0</v>
      </c>
      <c r="I1173" s="1671" t="s">
        <v>49</v>
      </c>
      <c r="J1173" s="1668"/>
      <c r="K1173" s="1668"/>
      <c r="L1173" s="1669"/>
    </row>
    <row r="1174" spans="1:12" s="692" customFormat="1" ht="16.5" hidden="1">
      <c r="A1174" s="1665"/>
      <c r="B1174" s="1666"/>
      <c r="C1174" s="688"/>
      <c r="D1174" s="1667"/>
      <c r="E1174" s="1671">
        <v>3.5</v>
      </c>
      <c r="F1174" s="1671">
        <v>4</v>
      </c>
      <c r="G1174" s="1672">
        <v>0.15</v>
      </c>
      <c r="H1174" s="1671">
        <f t="shared" si="148"/>
        <v>0</v>
      </c>
      <c r="I1174" s="1671" t="s">
        <v>49</v>
      </c>
      <c r="J1174" s="1668"/>
      <c r="K1174" s="1668"/>
      <c r="L1174" s="1669"/>
    </row>
    <row r="1175" spans="1:12" s="692" customFormat="1" ht="16.5">
      <c r="A1175" s="1665"/>
      <c r="B1175" s="1666"/>
      <c r="C1175" s="688"/>
      <c r="D1175" s="1667"/>
      <c r="E1175" s="1671"/>
      <c r="F1175" s="1671"/>
      <c r="G1175" s="1669" t="s">
        <v>928</v>
      </c>
      <c r="H1175" s="1673">
        <f>SUM(H1169:H1174)</f>
        <v>-0.39</v>
      </c>
      <c r="I1175" s="1669" t="s">
        <v>49</v>
      </c>
      <c r="J1175" s="1668"/>
      <c r="K1175" s="1668"/>
      <c r="L1175" s="1669"/>
    </row>
    <row r="1176" spans="1:12" s="692" customFormat="1" ht="16.5">
      <c r="A1176" s="1665"/>
      <c r="B1176" s="1675" t="s">
        <v>1883</v>
      </c>
      <c r="C1176" s="688"/>
      <c r="D1176" s="1668"/>
      <c r="E1176" s="1671"/>
      <c r="F1176" s="1671"/>
      <c r="G1176" s="1669"/>
      <c r="H1176" s="1673"/>
      <c r="I1176" s="1669"/>
      <c r="J1176" s="1668"/>
      <c r="K1176" s="1668"/>
      <c r="L1176" s="1669"/>
    </row>
    <row r="1177" spans="1:12" s="692" customFormat="1" ht="16.5">
      <c r="A1177" s="1665"/>
      <c r="B1177" s="1666" t="s">
        <v>1948</v>
      </c>
      <c r="C1177" s="688"/>
      <c r="D1177" s="1667">
        <v>4</v>
      </c>
      <c r="E1177" s="1671">
        <v>1.2</v>
      </c>
      <c r="F1177" s="1671">
        <f>F1170</f>
        <v>0.25</v>
      </c>
      <c r="G1177" s="1672">
        <f>'DRAWING CC'!JA105</f>
        <v>1.2</v>
      </c>
      <c r="H1177" s="1671">
        <f>ROUND(D1177*E1177*F1177*G1177,2)</f>
        <v>1.44</v>
      </c>
      <c r="I1177" s="1671" t="s">
        <v>49</v>
      </c>
      <c r="J1177" s="1668"/>
      <c r="K1177" s="1668"/>
      <c r="L1177" s="1669"/>
    </row>
    <row r="1178" spans="1:12" s="692" customFormat="1" ht="16.5">
      <c r="A1178" s="1665"/>
      <c r="B1178" s="1666" t="s">
        <v>1890</v>
      </c>
      <c r="C1178" s="688"/>
      <c r="D1178" s="1667">
        <v>4</v>
      </c>
      <c r="E1178" s="1671">
        <v>1.2</v>
      </c>
      <c r="F1178" s="1671">
        <f t="shared" ref="F1178" si="149">F1171</f>
        <v>0.25</v>
      </c>
      <c r="G1178" s="1672">
        <f>'DRAWING CC'!JA102</f>
        <v>2.1</v>
      </c>
      <c r="H1178" s="1671">
        <f t="shared" ref="H1178:H1180" si="150">ROUND(D1178*E1178*F1178*G1178,2)</f>
        <v>2.52</v>
      </c>
      <c r="I1178" s="1671" t="s">
        <v>49</v>
      </c>
      <c r="J1178" s="1668"/>
      <c r="K1178" s="1668"/>
      <c r="L1178" s="1669"/>
    </row>
    <row r="1179" spans="1:12" s="692" customFormat="1" ht="16.5">
      <c r="A1179" s="1665"/>
      <c r="B1179" s="1666" t="s">
        <v>1877</v>
      </c>
      <c r="C1179" s="688"/>
      <c r="D1179" s="1667">
        <v>4</v>
      </c>
      <c r="E1179" s="1671">
        <v>4</v>
      </c>
      <c r="F1179" s="1671">
        <f>F1178</f>
        <v>0.25</v>
      </c>
      <c r="G1179" s="1672">
        <f>'DRAWING CC'!JA108</f>
        <v>2.1</v>
      </c>
      <c r="H1179" s="1671">
        <f t="shared" si="150"/>
        <v>8.4</v>
      </c>
      <c r="I1179" s="1671" t="s">
        <v>49</v>
      </c>
      <c r="J1179" s="1668"/>
      <c r="K1179" s="1668"/>
      <c r="L1179" s="1669"/>
    </row>
    <row r="1180" spans="1:12" s="692" customFormat="1" ht="16.5">
      <c r="A1180" s="1665"/>
      <c r="B1180" s="1666"/>
      <c r="C1180" s="688"/>
      <c r="D1180" s="1667">
        <v>2</v>
      </c>
      <c r="E1180" s="1671">
        <v>1.8</v>
      </c>
      <c r="F1180" s="1671">
        <v>0.25</v>
      </c>
      <c r="G1180" s="1672">
        <v>2.1</v>
      </c>
      <c r="H1180" s="1671">
        <f t="shared" si="150"/>
        <v>1.89</v>
      </c>
      <c r="I1180" s="1671" t="s">
        <v>49</v>
      </c>
      <c r="J1180" s="1668"/>
      <c r="K1180" s="1668"/>
      <c r="L1180" s="1669"/>
    </row>
    <row r="1181" spans="1:12" s="692" customFormat="1" ht="16.5">
      <c r="A1181" s="1665"/>
      <c r="B1181" s="1666" t="s">
        <v>3401</v>
      </c>
      <c r="C1181" s="688"/>
      <c r="D1181" s="1667"/>
      <c r="E1181" s="1671"/>
      <c r="F1181" s="1671"/>
      <c r="G1181" s="1672"/>
      <c r="H1181" s="1671">
        <f>SUM(H1436:H1438)</f>
        <v>1.53</v>
      </c>
      <c r="I1181" s="1671" t="s">
        <v>49</v>
      </c>
      <c r="J1181" s="1668"/>
      <c r="K1181" s="1668"/>
      <c r="L1181" s="1669"/>
    </row>
    <row r="1182" spans="1:12" s="692" customFormat="1" ht="16.5">
      <c r="A1182" s="1665"/>
      <c r="B1182" s="1666" t="s">
        <v>1773</v>
      </c>
      <c r="C1182" s="688"/>
      <c r="D1182" s="1667"/>
      <c r="E1182" s="1671"/>
      <c r="F1182" s="1671"/>
      <c r="G1182" s="1672"/>
      <c r="H1182" s="1671">
        <f>H1395</f>
        <v>5.66</v>
      </c>
      <c r="I1182" s="1671" t="s">
        <v>49</v>
      </c>
      <c r="J1182" s="1668"/>
      <c r="K1182" s="1668"/>
      <c r="L1182" s="1669"/>
    </row>
    <row r="1183" spans="1:12" s="692" customFormat="1" ht="16.5">
      <c r="A1183" s="1665"/>
      <c r="B1183" s="1666" t="s">
        <v>473</v>
      </c>
      <c r="C1183" s="688"/>
      <c r="D1183" s="1667"/>
      <c r="E1183" s="1671"/>
      <c r="F1183" s="1671"/>
      <c r="G1183" s="1672"/>
      <c r="H1183" s="1671">
        <f>H1411</f>
        <v>-9.9999999999999985E-3</v>
      </c>
      <c r="I1183" s="1671" t="s">
        <v>49</v>
      </c>
      <c r="J1183" s="1668"/>
      <c r="K1183" s="1668"/>
      <c r="L1183" s="1669"/>
    </row>
    <row r="1184" spans="1:12" s="692" customFormat="1" ht="16.5">
      <c r="A1184" s="1665"/>
      <c r="C1184" s="688"/>
      <c r="D1184" s="1667"/>
      <c r="E1184" s="1671"/>
      <c r="F1184" s="1671"/>
      <c r="G1184" s="1669" t="s">
        <v>928</v>
      </c>
      <c r="H1184" s="1673">
        <f>SUM(H1177:H1183)</f>
        <v>21.429999999999996</v>
      </c>
      <c r="I1184" s="1671" t="s">
        <v>49</v>
      </c>
      <c r="J1184" s="1668"/>
      <c r="K1184" s="1668"/>
      <c r="L1184" s="1669"/>
    </row>
    <row r="1185" spans="1:12" s="692" customFormat="1" ht="16.5">
      <c r="A1185" s="1665"/>
      <c r="B1185" s="1666"/>
      <c r="C1185" s="688"/>
      <c r="D1185" s="1667"/>
      <c r="E1185" s="1671"/>
      <c r="F1185" s="1671"/>
      <c r="G1185" s="1669" t="s">
        <v>1810</v>
      </c>
      <c r="H1185" s="1673">
        <f>H1175-H1184</f>
        <v>-21.819999999999997</v>
      </c>
      <c r="I1185" s="1671" t="s">
        <v>49</v>
      </c>
      <c r="J1185" s="1669">
        <f>'Lead &amp; ANALYSIS'!L443</f>
        <v>5093.8</v>
      </c>
      <c r="K1185" s="1668" t="s">
        <v>1516</v>
      </c>
      <c r="L1185" s="1669">
        <f>ROUND(H1185*J1185,0)</f>
        <v>-111147</v>
      </c>
    </row>
    <row r="1186" spans="1:12" s="692" customFormat="1" ht="16.5">
      <c r="A1186" s="1665"/>
      <c r="B1186" s="1666"/>
      <c r="C1186" s="688"/>
      <c r="D1186" s="1667"/>
      <c r="E1186" s="1671"/>
      <c r="F1186" s="1671"/>
      <c r="G1186" s="1669"/>
      <c r="H1186" s="1673"/>
      <c r="I1186" s="1669"/>
      <c r="J1186" s="1668"/>
      <c r="K1186" s="1668"/>
      <c r="L1186" s="1669"/>
    </row>
    <row r="1187" spans="1:12" s="692" customFormat="1" ht="16.5">
      <c r="A1187" s="1665"/>
      <c r="B1187" s="1666"/>
      <c r="C1187" s="688"/>
      <c r="D1187" s="1667"/>
      <c r="E1187" s="1671"/>
      <c r="F1187" s="1671"/>
      <c r="G1187" s="1669"/>
      <c r="H1187" s="1673"/>
      <c r="I1187" s="1669"/>
      <c r="J1187" s="1668"/>
      <c r="K1187" s="1668"/>
      <c r="L1187" s="1669"/>
    </row>
    <row r="1188" spans="1:12" s="692" customFormat="1" ht="16.5" hidden="1">
      <c r="A1188" s="1665" t="s">
        <v>244</v>
      </c>
      <c r="B1188" s="1675" t="s">
        <v>433</v>
      </c>
      <c r="C1188" s="688"/>
      <c r="D1188" s="1667"/>
      <c r="E1188" s="688"/>
      <c r="F1188" s="688"/>
      <c r="G1188" s="1674"/>
      <c r="H1188" s="688"/>
      <c r="I1188" s="1668"/>
      <c r="J1188" s="1668"/>
      <c r="K1188" s="1668"/>
      <c r="L1188" s="1669"/>
    </row>
    <row r="1189" spans="1:12" s="692" customFormat="1" ht="16.5" hidden="1">
      <c r="A1189" s="1665"/>
      <c r="B1189" s="1666"/>
      <c r="C1189" s="688"/>
      <c r="D1189" s="1667"/>
      <c r="E1189" s="1671">
        <v>2.5</v>
      </c>
      <c r="F1189" s="1671">
        <v>0.25</v>
      </c>
      <c r="G1189" s="1672">
        <v>3</v>
      </c>
      <c r="H1189" s="1671">
        <f t="shared" ref="H1189:H1194" si="151">ROUND(D1189*E1189*F1189*G1189,2)</f>
        <v>0</v>
      </c>
      <c r="I1189" s="1671" t="s">
        <v>49</v>
      </c>
      <c r="J1189" s="1668"/>
      <c r="K1189" s="1668"/>
      <c r="L1189" s="1669"/>
    </row>
    <row r="1190" spans="1:12" s="692" customFormat="1" ht="16.5" hidden="1">
      <c r="A1190" s="1665"/>
      <c r="B1190" s="1666"/>
      <c r="C1190" s="688"/>
      <c r="D1190" s="1667"/>
      <c r="E1190" s="1671">
        <v>3.5</v>
      </c>
      <c r="F1190" s="1671">
        <v>4</v>
      </c>
      <c r="G1190" s="1672">
        <v>0.15</v>
      </c>
      <c r="H1190" s="1671">
        <f t="shared" si="151"/>
        <v>0</v>
      </c>
      <c r="I1190" s="1671" t="s">
        <v>49</v>
      </c>
      <c r="J1190" s="1668"/>
      <c r="K1190" s="1668"/>
      <c r="L1190" s="1669"/>
    </row>
    <row r="1191" spans="1:12" s="692" customFormat="1" ht="16.5" hidden="1">
      <c r="A1191" s="1665"/>
      <c r="B1191" s="1666"/>
      <c r="C1191" s="688"/>
      <c r="D1191" s="1667"/>
      <c r="E1191" s="1671">
        <v>3.5</v>
      </c>
      <c r="F1191" s="1671">
        <v>4</v>
      </c>
      <c r="G1191" s="1672">
        <v>0.15</v>
      </c>
      <c r="H1191" s="1671">
        <f t="shared" si="151"/>
        <v>0</v>
      </c>
      <c r="I1191" s="1671" t="s">
        <v>49</v>
      </c>
      <c r="J1191" s="1668"/>
      <c r="K1191" s="1668"/>
      <c r="L1191" s="1669"/>
    </row>
    <row r="1192" spans="1:12" s="692" customFormat="1" ht="16.5" hidden="1">
      <c r="A1192" s="1665"/>
      <c r="B1192" s="1666"/>
      <c r="C1192" s="688"/>
      <c r="D1192" s="1667"/>
      <c r="E1192" s="1671">
        <v>3.5</v>
      </c>
      <c r="F1192" s="1671">
        <v>4</v>
      </c>
      <c r="G1192" s="1672">
        <v>0.15</v>
      </c>
      <c r="H1192" s="1671">
        <f t="shared" si="151"/>
        <v>0</v>
      </c>
      <c r="I1192" s="1671" t="s">
        <v>49</v>
      </c>
      <c r="J1192" s="1668"/>
      <c r="K1192" s="1668"/>
      <c r="L1192" s="1669"/>
    </row>
    <row r="1193" spans="1:12" s="692" customFormat="1" ht="16.5" hidden="1">
      <c r="A1193" s="1665"/>
      <c r="B1193" s="1666"/>
      <c r="C1193" s="688"/>
      <c r="D1193" s="1667"/>
      <c r="E1193" s="1671">
        <v>3.5</v>
      </c>
      <c r="F1193" s="1671">
        <v>4</v>
      </c>
      <c r="G1193" s="1672">
        <v>0.15</v>
      </c>
      <c r="H1193" s="1671">
        <f t="shared" si="151"/>
        <v>0</v>
      </c>
      <c r="I1193" s="1671" t="s">
        <v>49</v>
      </c>
      <c r="J1193" s="1668"/>
      <c r="K1193" s="1668"/>
      <c r="L1193" s="1669"/>
    </row>
    <row r="1194" spans="1:12" s="692" customFormat="1" ht="16.5" hidden="1">
      <c r="A1194" s="1665"/>
      <c r="B1194" s="1666"/>
      <c r="C1194" s="688"/>
      <c r="D1194" s="1667"/>
      <c r="E1194" s="1671">
        <v>3.5</v>
      </c>
      <c r="F1194" s="1671">
        <v>4</v>
      </c>
      <c r="G1194" s="1672">
        <v>0.15</v>
      </c>
      <c r="H1194" s="1671">
        <f t="shared" si="151"/>
        <v>0</v>
      </c>
      <c r="I1194" s="1671" t="s">
        <v>49</v>
      </c>
      <c r="J1194" s="1668"/>
      <c r="K1194" s="1668"/>
      <c r="L1194" s="1669"/>
    </row>
    <row r="1195" spans="1:12" s="692" customFormat="1" ht="16.5" hidden="1">
      <c r="A1195" s="1665"/>
      <c r="B1195" s="1666"/>
      <c r="C1195" s="688"/>
      <c r="D1195" s="1667"/>
      <c r="E1195" s="1671"/>
      <c r="F1195" s="1671"/>
      <c r="G1195" s="1669" t="s">
        <v>928</v>
      </c>
      <c r="H1195" s="1671">
        <f>SUM(H1189:H1194)</f>
        <v>0</v>
      </c>
      <c r="I1195" s="1671" t="s">
        <v>49</v>
      </c>
      <c r="J1195" s="1668"/>
      <c r="K1195" s="1668"/>
      <c r="L1195" s="1669"/>
    </row>
    <row r="1196" spans="1:12" s="692" customFormat="1" ht="16.5" hidden="1">
      <c r="A1196" s="1665"/>
      <c r="B1196" s="1666" t="s">
        <v>1883</v>
      </c>
      <c r="C1196" s="688"/>
      <c r="D1196" s="1668"/>
      <c r="E1196" s="1671"/>
      <c r="F1196" s="1671"/>
      <c r="G1196" s="1669"/>
      <c r="H1196" s="1673"/>
      <c r="I1196" s="1669"/>
      <c r="J1196" s="1668"/>
      <c r="K1196" s="1668"/>
      <c r="L1196" s="1669"/>
    </row>
    <row r="1197" spans="1:12" s="692" customFormat="1" ht="16.5" hidden="1">
      <c r="A1197" s="1665"/>
      <c r="B1197" s="1666" t="s">
        <v>1948</v>
      </c>
      <c r="C1197" s="688"/>
      <c r="D1197" s="1667"/>
      <c r="E1197" s="1671">
        <f>'DRAWING CC'!IL120</f>
        <v>0</v>
      </c>
      <c r="F1197" s="1671">
        <f>F1189</f>
        <v>0.25</v>
      </c>
      <c r="G1197" s="1672">
        <f>'DRAWING CC'!JA120</f>
        <v>2.1</v>
      </c>
      <c r="H1197" s="1671">
        <f>ROUND(D1197*E1197*F1197*G1197,2)</f>
        <v>0</v>
      </c>
      <c r="I1197" s="1671" t="s">
        <v>49</v>
      </c>
      <c r="J1197" s="1668"/>
      <c r="K1197" s="1668"/>
      <c r="L1197" s="1669"/>
    </row>
    <row r="1198" spans="1:12" s="692" customFormat="1" ht="16.5" hidden="1">
      <c r="A1198" s="1665"/>
      <c r="B1198" s="1666" t="s">
        <v>1890</v>
      </c>
      <c r="C1198" s="688"/>
      <c r="D1198" s="1667"/>
      <c r="E1198" s="1671">
        <f>'DRAWING CC'!IL117</f>
        <v>0</v>
      </c>
      <c r="F1198" s="1671">
        <f t="shared" ref="F1198" si="152">F1190</f>
        <v>4</v>
      </c>
      <c r="G1198" s="1672">
        <f>'DRAWING CC'!JA117</f>
        <v>1.2</v>
      </c>
      <c r="H1198" s="1671">
        <f t="shared" ref="H1198:H1199" si="153">ROUND(D1198*E1198*F1198*G1198,2)</f>
        <v>0</v>
      </c>
      <c r="I1198" s="1671" t="s">
        <v>49</v>
      </c>
      <c r="J1198" s="1668"/>
      <c r="K1198" s="1668"/>
      <c r="L1198" s="1669"/>
    </row>
    <row r="1199" spans="1:12" s="692" customFormat="1" ht="16.5" hidden="1">
      <c r="A1199" s="1665"/>
      <c r="B1199" s="1666" t="s">
        <v>1877</v>
      </c>
      <c r="C1199" s="688"/>
      <c r="D1199" s="1667"/>
      <c r="E1199" s="1671">
        <f>'DRAWING CC'!IL123</f>
        <v>0</v>
      </c>
      <c r="F1199" s="1671">
        <f>F1198</f>
        <v>4</v>
      </c>
      <c r="G1199" s="1672">
        <f>'DRAWING CC'!JA123</f>
        <v>1.2</v>
      </c>
      <c r="H1199" s="1671">
        <f t="shared" si="153"/>
        <v>0</v>
      </c>
      <c r="I1199" s="1671" t="s">
        <v>49</v>
      </c>
      <c r="J1199" s="1668"/>
      <c r="K1199" s="1668"/>
      <c r="L1199" s="1669"/>
    </row>
    <row r="1200" spans="1:12" s="692" customFormat="1" ht="16.5" hidden="1">
      <c r="A1200" s="1665"/>
      <c r="B1200" s="1666" t="s">
        <v>473</v>
      </c>
      <c r="C1200" s="688"/>
      <c r="D1200" s="1667"/>
      <c r="E1200" s="1671"/>
      <c r="F1200" s="1671"/>
      <c r="G1200" s="1669" t="s">
        <v>928</v>
      </c>
      <c r="H1200" s="1673">
        <f>SUM(H1197:H1199)</f>
        <v>0</v>
      </c>
      <c r="I1200" s="1671" t="s">
        <v>49</v>
      </c>
      <c r="J1200" s="1668"/>
      <c r="K1200" s="1668"/>
      <c r="L1200" s="1669"/>
    </row>
    <row r="1201" spans="1:12" s="692" customFormat="1" ht="16.5" hidden="1">
      <c r="A1201" s="1665"/>
      <c r="B1201" s="1666"/>
      <c r="C1201" s="688"/>
      <c r="D1201" s="1667"/>
      <c r="E1201" s="1671"/>
      <c r="F1201" s="1671"/>
      <c r="G1201" s="1669" t="s">
        <v>928</v>
      </c>
      <c r="H1201" s="1673">
        <f>H1195-H1200</f>
        <v>0</v>
      </c>
      <c r="I1201" s="1669" t="s">
        <v>49</v>
      </c>
      <c r="J1201" s="1669">
        <f>'Lead &amp; ANALYSIS'!L444</f>
        <v>5387.2</v>
      </c>
      <c r="K1201" s="1668" t="s">
        <v>1516</v>
      </c>
      <c r="L1201" s="1669">
        <f>ROUND(H1201*J1201,0)</f>
        <v>0</v>
      </c>
    </row>
    <row r="1202" spans="1:12" s="692" customFormat="1" ht="16.5" hidden="1">
      <c r="A1202" s="1665" t="s">
        <v>244</v>
      </c>
      <c r="B1202" s="1675" t="s">
        <v>3613</v>
      </c>
      <c r="C1202" s="688"/>
      <c r="D1202" s="1667"/>
      <c r="E1202" s="688"/>
      <c r="F1202" s="688"/>
      <c r="G1202" s="1668"/>
      <c r="H1202" s="1673"/>
      <c r="I1202" s="1668"/>
      <c r="J1202" s="1669"/>
      <c r="K1202" s="1668"/>
      <c r="L1202" s="1669"/>
    </row>
    <row r="1203" spans="1:12" s="692" customFormat="1" ht="16.5" hidden="1">
      <c r="A1203" s="1665"/>
      <c r="B1203" s="1666"/>
      <c r="C1203" s="688"/>
      <c r="D1203" s="1667"/>
      <c r="E1203" s="1671">
        <v>2.5</v>
      </c>
      <c r="F1203" s="1671">
        <v>0.25</v>
      </c>
      <c r="G1203" s="1672">
        <v>3</v>
      </c>
      <c r="H1203" s="1671">
        <f t="shared" ref="H1203:H1208" si="154">ROUND(D1203*E1203*F1203*G1203,2)</f>
        <v>0</v>
      </c>
      <c r="I1203" s="688" t="s">
        <v>49</v>
      </c>
      <c r="J1203" s="1668"/>
      <c r="K1203" s="1668"/>
      <c r="L1203" s="1669"/>
    </row>
    <row r="1204" spans="1:12" s="692" customFormat="1" ht="16.5" hidden="1">
      <c r="A1204" s="1665"/>
      <c r="B1204" s="1666"/>
      <c r="C1204" s="688"/>
      <c r="D1204" s="1667"/>
      <c r="E1204" s="1671">
        <v>3.5</v>
      </c>
      <c r="F1204" s="1671">
        <v>4</v>
      </c>
      <c r="G1204" s="1672">
        <v>0.15</v>
      </c>
      <c r="H1204" s="1671">
        <f t="shared" si="154"/>
        <v>0</v>
      </c>
      <c r="I1204" s="688" t="s">
        <v>49</v>
      </c>
      <c r="J1204" s="1668"/>
      <c r="K1204" s="1668"/>
      <c r="L1204" s="1669"/>
    </row>
    <row r="1205" spans="1:12" s="692" customFormat="1" ht="16.5" hidden="1">
      <c r="A1205" s="1665"/>
      <c r="B1205" s="1666"/>
      <c r="C1205" s="688"/>
      <c r="D1205" s="1667"/>
      <c r="E1205" s="1671">
        <v>3.5</v>
      </c>
      <c r="F1205" s="1671">
        <v>4</v>
      </c>
      <c r="G1205" s="1672">
        <v>0.15</v>
      </c>
      <c r="H1205" s="1671">
        <f t="shared" si="154"/>
        <v>0</v>
      </c>
      <c r="I1205" s="688" t="s">
        <v>49</v>
      </c>
      <c r="J1205" s="1668"/>
      <c r="K1205" s="1668"/>
      <c r="L1205" s="1669"/>
    </row>
    <row r="1206" spans="1:12" s="692" customFormat="1" ht="16.5" hidden="1">
      <c r="A1206" s="1665"/>
      <c r="B1206" s="1666"/>
      <c r="C1206" s="688"/>
      <c r="D1206" s="1667"/>
      <c r="E1206" s="1671">
        <v>3.5</v>
      </c>
      <c r="F1206" s="1671">
        <v>4</v>
      </c>
      <c r="G1206" s="1672">
        <v>0.15</v>
      </c>
      <c r="H1206" s="1671">
        <f t="shared" si="154"/>
        <v>0</v>
      </c>
      <c r="I1206" s="688" t="s">
        <v>49</v>
      </c>
      <c r="J1206" s="1668"/>
      <c r="K1206" s="1668"/>
      <c r="L1206" s="1669"/>
    </row>
    <row r="1207" spans="1:12" s="692" customFormat="1" ht="16.5" hidden="1">
      <c r="A1207" s="1665"/>
      <c r="B1207" s="1666"/>
      <c r="C1207" s="688"/>
      <c r="D1207" s="1667"/>
      <c r="E1207" s="1671">
        <v>3.5</v>
      </c>
      <c r="F1207" s="1671">
        <v>4</v>
      </c>
      <c r="G1207" s="1672">
        <v>0.15</v>
      </c>
      <c r="H1207" s="1671">
        <f t="shared" si="154"/>
        <v>0</v>
      </c>
      <c r="I1207" s="688" t="s">
        <v>49</v>
      </c>
      <c r="J1207" s="1668"/>
      <c r="K1207" s="1668"/>
      <c r="L1207" s="1669"/>
    </row>
    <row r="1208" spans="1:12" s="692" customFormat="1" ht="16.5" hidden="1">
      <c r="A1208" s="1665"/>
      <c r="B1208" s="1666"/>
      <c r="C1208" s="688"/>
      <c r="D1208" s="1667"/>
      <c r="E1208" s="1671">
        <v>3.5</v>
      </c>
      <c r="F1208" s="1671">
        <v>4</v>
      </c>
      <c r="G1208" s="1672">
        <v>0.15</v>
      </c>
      <c r="H1208" s="1671">
        <f t="shared" si="154"/>
        <v>0</v>
      </c>
      <c r="I1208" s="688" t="s">
        <v>49</v>
      </c>
      <c r="J1208" s="1668"/>
      <c r="K1208" s="1668"/>
      <c r="L1208" s="1669"/>
    </row>
    <row r="1209" spans="1:12" s="692" customFormat="1" ht="16.5" hidden="1">
      <c r="A1209" s="1665"/>
      <c r="B1209" s="1666"/>
      <c r="C1209" s="688"/>
      <c r="D1209" s="1667"/>
      <c r="E1209" s="1671"/>
      <c r="F1209" s="1671"/>
      <c r="G1209" s="1669" t="s">
        <v>928</v>
      </c>
      <c r="H1209" s="1671">
        <f>SUM(H1203:H1208)</f>
        <v>0</v>
      </c>
      <c r="I1209" s="1671" t="s">
        <v>49</v>
      </c>
      <c r="J1209" s="1668"/>
      <c r="K1209" s="1668"/>
      <c r="L1209" s="1669"/>
    </row>
    <row r="1210" spans="1:12" s="692" customFormat="1" ht="16.5" hidden="1">
      <c r="A1210" s="1665"/>
      <c r="B1210" s="1666" t="s">
        <v>1883</v>
      </c>
      <c r="C1210" s="688"/>
      <c r="D1210" s="1668"/>
      <c r="E1210" s="1671"/>
      <c r="F1210" s="1671"/>
      <c r="G1210" s="1669"/>
      <c r="H1210" s="1673"/>
      <c r="I1210" s="1669"/>
      <c r="J1210" s="1668"/>
      <c r="K1210" s="1668"/>
      <c r="L1210" s="1669"/>
    </row>
    <row r="1211" spans="1:12" s="692" customFormat="1" ht="16.5" hidden="1">
      <c r="A1211" s="1665"/>
      <c r="B1211" s="1666" t="s">
        <v>1948</v>
      </c>
      <c r="C1211" s="688"/>
      <c r="D1211" s="1667"/>
      <c r="E1211" s="1671">
        <f>'DRAWING CC'!IL134</f>
        <v>0</v>
      </c>
      <c r="F1211" s="1671">
        <f>F1203</f>
        <v>0.25</v>
      </c>
      <c r="G1211" s="1672">
        <f>'DRAWING CC'!JA134</f>
        <v>0</v>
      </c>
      <c r="H1211" s="1671">
        <f>ROUND(D1211*E1211*F1211*G1211,2)</f>
        <v>0</v>
      </c>
      <c r="I1211" s="1671" t="s">
        <v>49</v>
      </c>
      <c r="J1211" s="1668"/>
      <c r="K1211" s="1668"/>
      <c r="L1211" s="1669"/>
    </row>
    <row r="1212" spans="1:12" s="692" customFormat="1" ht="16.5" hidden="1">
      <c r="A1212" s="1665"/>
      <c r="B1212" s="1666" t="s">
        <v>1890</v>
      </c>
      <c r="C1212" s="688"/>
      <c r="D1212" s="1667"/>
      <c r="E1212" s="1671">
        <f>'DRAWING CC'!IL131</f>
        <v>0</v>
      </c>
      <c r="F1212" s="1671">
        <f t="shared" ref="F1212" si="155">F1204</f>
        <v>4</v>
      </c>
      <c r="G1212" s="1672">
        <f>'DRAWING CC'!JA131</f>
        <v>0</v>
      </c>
      <c r="H1212" s="1671">
        <f t="shared" ref="H1212:H1213" si="156">ROUND(D1212*E1212*F1212*G1212,2)</f>
        <v>0</v>
      </c>
      <c r="I1212" s="1671" t="s">
        <v>49</v>
      </c>
      <c r="J1212" s="1668"/>
      <c r="K1212" s="1668"/>
      <c r="L1212" s="1669"/>
    </row>
    <row r="1213" spans="1:12" s="692" customFormat="1" ht="16.5" hidden="1">
      <c r="A1213" s="1665"/>
      <c r="B1213" s="1666" t="s">
        <v>1877</v>
      </c>
      <c r="C1213" s="688"/>
      <c r="D1213" s="1667"/>
      <c r="E1213" s="1671">
        <f>'DRAWING CC'!IL137</f>
        <v>0</v>
      </c>
      <c r="F1213" s="1671">
        <f>F1212</f>
        <v>4</v>
      </c>
      <c r="G1213" s="1672">
        <f>'DRAWING CC'!JA137</f>
        <v>0</v>
      </c>
      <c r="H1213" s="1671">
        <f t="shared" si="156"/>
        <v>0</v>
      </c>
      <c r="I1213" s="1671" t="s">
        <v>49</v>
      </c>
      <c r="J1213" s="1668"/>
      <c r="K1213" s="1668"/>
      <c r="L1213" s="1669"/>
    </row>
    <row r="1214" spans="1:12" s="692" customFormat="1" ht="16.5" hidden="1">
      <c r="A1214" s="1665"/>
      <c r="B1214" s="1666" t="s">
        <v>473</v>
      </c>
      <c r="C1214" s="688"/>
      <c r="D1214" s="1667"/>
      <c r="E1214" s="1671"/>
      <c r="F1214" s="1671"/>
      <c r="G1214" s="1669" t="s">
        <v>928</v>
      </c>
      <c r="H1214" s="1673">
        <f>SUM(H1211:H1213)</f>
        <v>0</v>
      </c>
      <c r="I1214" s="1671" t="s">
        <v>49</v>
      </c>
      <c r="J1214" s="1668"/>
      <c r="K1214" s="1668"/>
      <c r="L1214" s="1669"/>
    </row>
    <row r="1215" spans="1:12" s="692" customFormat="1" ht="16.5" hidden="1">
      <c r="A1215" s="1665"/>
      <c r="B1215" s="1666"/>
      <c r="C1215" s="688"/>
      <c r="D1215" s="1667"/>
      <c r="E1215" s="688"/>
      <c r="F1215" s="688"/>
      <c r="G1215" s="1668" t="s">
        <v>928</v>
      </c>
      <c r="H1215" s="1673">
        <f>SUM(H1203:H1208)</f>
        <v>0</v>
      </c>
      <c r="I1215" s="1668" t="s">
        <v>49</v>
      </c>
      <c r="J1215" s="1669">
        <f>'Lead &amp; ANALYSIS'!L445</f>
        <v>5724.6</v>
      </c>
      <c r="K1215" s="1668" t="s">
        <v>1516</v>
      </c>
      <c r="L1215" s="1669">
        <f>ROUND(H1215*J1215,0)</f>
        <v>0</v>
      </c>
    </row>
    <row r="1216" spans="1:12" s="692" customFormat="1" ht="16.5" hidden="1">
      <c r="A1216" s="1665" t="s">
        <v>291</v>
      </c>
      <c r="B1216" s="1675" t="s">
        <v>3632</v>
      </c>
      <c r="C1216" s="688"/>
      <c r="D1216" s="1667"/>
      <c r="E1216" s="688"/>
      <c r="F1216" s="688"/>
      <c r="G1216" s="1668"/>
      <c r="H1216" s="1673"/>
      <c r="I1216" s="1668"/>
      <c r="J1216" s="1669"/>
      <c r="K1216" s="1668"/>
      <c r="L1216" s="1669"/>
    </row>
    <row r="1217" spans="1:12" s="692" customFormat="1" ht="16.5" hidden="1">
      <c r="A1217" s="1665"/>
      <c r="B1217" s="1666"/>
      <c r="C1217" s="688"/>
      <c r="D1217" s="1667"/>
      <c r="E1217" s="1671">
        <v>2.5</v>
      </c>
      <c r="F1217" s="1671">
        <v>0.25</v>
      </c>
      <c r="G1217" s="1672">
        <v>3</v>
      </c>
      <c r="H1217" s="1671">
        <f t="shared" ref="H1217:H1222" si="157">ROUND(D1217*E1217*F1217*G1217,2)</f>
        <v>0</v>
      </c>
      <c r="I1217" s="688" t="s">
        <v>49</v>
      </c>
      <c r="J1217" s="1668"/>
      <c r="K1217" s="1668"/>
      <c r="L1217" s="1669"/>
    </row>
    <row r="1218" spans="1:12" s="692" customFormat="1" ht="16.5" hidden="1">
      <c r="A1218" s="1665"/>
      <c r="B1218" s="1666"/>
      <c r="C1218" s="688"/>
      <c r="D1218" s="1667"/>
      <c r="E1218" s="1671">
        <v>3.5</v>
      </c>
      <c r="F1218" s="1671">
        <v>4</v>
      </c>
      <c r="G1218" s="1672">
        <v>0.15</v>
      </c>
      <c r="H1218" s="1671">
        <f t="shared" si="157"/>
        <v>0</v>
      </c>
      <c r="I1218" s="688" t="s">
        <v>49</v>
      </c>
      <c r="J1218" s="1668"/>
      <c r="K1218" s="1668"/>
      <c r="L1218" s="1669"/>
    </row>
    <row r="1219" spans="1:12" s="692" customFormat="1" ht="16.5" hidden="1">
      <c r="A1219" s="1665"/>
      <c r="B1219" s="1666"/>
      <c r="C1219" s="688"/>
      <c r="D1219" s="1667"/>
      <c r="E1219" s="1671">
        <v>3.5</v>
      </c>
      <c r="F1219" s="1671">
        <v>4</v>
      </c>
      <c r="G1219" s="1672">
        <v>0.15</v>
      </c>
      <c r="H1219" s="1671">
        <f t="shared" si="157"/>
        <v>0</v>
      </c>
      <c r="I1219" s="688" t="s">
        <v>49</v>
      </c>
      <c r="J1219" s="1668"/>
      <c r="K1219" s="1668"/>
      <c r="L1219" s="1669"/>
    </row>
    <row r="1220" spans="1:12" s="692" customFormat="1" ht="16.5" hidden="1">
      <c r="A1220" s="1665"/>
      <c r="B1220" s="1666"/>
      <c r="C1220" s="688"/>
      <c r="D1220" s="1667"/>
      <c r="E1220" s="1671">
        <v>3.5</v>
      </c>
      <c r="F1220" s="1671">
        <v>4</v>
      </c>
      <c r="G1220" s="1672">
        <v>0.15</v>
      </c>
      <c r="H1220" s="1671">
        <f t="shared" si="157"/>
        <v>0</v>
      </c>
      <c r="I1220" s="688" t="s">
        <v>49</v>
      </c>
      <c r="J1220" s="1668"/>
      <c r="K1220" s="1668"/>
      <c r="L1220" s="1669"/>
    </row>
    <row r="1221" spans="1:12" s="692" customFormat="1" ht="16.5" hidden="1">
      <c r="A1221" s="1665"/>
      <c r="B1221" s="1666"/>
      <c r="C1221" s="688"/>
      <c r="D1221" s="1667"/>
      <c r="E1221" s="1671">
        <v>3.5</v>
      </c>
      <c r="F1221" s="1671">
        <v>4</v>
      </c>
      <c r="G1221" s="1672">
        <v>0.15</v>
      </c>
      <c r="H1221" s="1671">
        <f t="shared" si="157"/>
        <v>0</v>
      </c>
      <c r="I1221" s="688" t="s">
        <v>49</v>
      </c>
      <c r="J1221" s="1668"/>
      <c r="K1221" s="1668"/>
      <c r="L1221" s="1669"/>
    </row>
    <row r="1222" spans="1:12" s="692" customFormat="1" ht="16.5" hidden="1">
      <c r="A1222" s="1665"/>
      <c r="B1222" s="1666"/>
      <c r="C1222" s="688"/>
      <c r="D1222" s="1667"/>
      <c r="E1222" s="1671">
        <v>3.5</v>
      </c>
      <c r="F1222" s="1671">
        <v>4</v>
      </c>
      <c r="G1222" s="1672">
        <v>0.15</v>
      </c>
      <c r="H1222" s="1671">
        <f t="shared" si="157"/>
        <v>0</v>
      </c>
      <c r="I1222" s="688" t="s">
        <v>49</v>
      </c>
      <c r="J1222" s="1668"/>
      <c r="K1222" s="1668"/>
      <c r="L1222" s="1669"/>
    </row>
    <row r="1223" spans="1:12" s="692" customFormat="1" ht="16.5" hidden="1">
      <c r="A1223" s="1665"/>
      <c r="B1223" s="1666"/>
      <c r="C1223" s="688"/>
      <c r="D1223" s="1667"/>
      <c r="E1223" s="1671"/>
      <c r="F1223" s="1671"/>
      <c r="G1223" s="1669" t="s">
        <v>928</v>
      </c>
      <c r="H1223" s="1671">
        <f>SUM(H1217:H1222)</f>
        <v>0</v>
      </c>
      <c r="I1223" s="1671" t="s">
        <v>49</v>
      </c>
      <c r="J1223" s="1668"/>
      <c r="K1223" s="1668"/>
      <c r="L1223" s="1669"/>
    </row>
    <row r="1224" spans="1:12" s="692" customFormat="1" ht="16.5" hidden="1">
      <c r="A1224" s="1665"/>
      <c r="B1224" s="1666" t="s">
        <v>1883</v>
      </c>
      <c r="C1224" s="688"/>
      <c r="D1224" s="1668"/>
      <c r="E1224" s="1671"/>
      <c r="F1224" s="1671"/>
      <c r="G1224" s="1669"/>
      <c r="H1224" s="1673"/>
      <c r="I1224" s="1669"/>
      <c r="J1224" s="1668"/>
      <c r="K1224" s="1668"/>
      <c r="L1224" s="1669"/>
    </row>
    <row r="1225" spans="1:12" s="692" customFormat="1" ht="16.5" hidden="1">
      <c r="A1225" s="1665"/>
      <c r="B1225" s="1666" t="s">
        <v>1948</v>
      </c>
      <c r="C1225" s="688"/>
      <c r="D1225" s="1667"/>
      <c r="E1225" s="1671"/>
      <c r="F1225" s="1671">
        <f>F1217</f>
        <v>0.25</v>
      </c>
      <c r="G1225" s="1672">
        <f>'DRAWING CC'!JA148</f>
        <v>0</v>
      </c>
      <c r="H1225" s="1671">
        <f>ROUND(D1225*E1225*F1225*G1225,2)</f>
        <v>0</v>
      </c>
      <c r="I1225" s="1671" t="s">
        <v>49</v>
      </c>
      <c r="J1225" s="1668"/>
      <c r="K1225" s="1668"/>
      <c r="L1225" s="1669"/>
    </row>
    <row r="1226" spans="1:12" s="692" customFormat="1" ht="16.5" hidden="1">
      <c r="A1226" s="1665"/>
      <c r="B1226" s="1666" t="s">
        <v>1890</v>
      </c>
      <c r="C1226" s="688"/>
      <c r="D1226" s="1667"/>
      <c r="E1226" s="1671"/>
      <c r="F1226" s="1671">
        <f t="shared" ref="F1226" si="158">F1218</f>
        <v>4</v>
      </c>
      <c r="G1226" s="1672">
        <f>'DRAWING CC'!JA145</f>
        <v>0</v>
      </c>
      <c r="H1226" s="1671">
        <f t="shared" ref="H1226:H1227" si="159">ROUND(D1226*E1226*F1226*G1226,2)</f>
        <v>0</v>
      </c>
      <c r="I1226" s="1671" t="s">
        <v>49</v>
      </c>
      <c r="J1226" s="1668"/>
      <c r="K1226" s="1668"/>
      <c r="L1226" s="1669"/>
    </row>
    <row r="1227" spans="1:12" s="692" customFormat="1" ht="16.5" hidden="1">
      <c r="A1227" s="1665"/>
      <c r="B1227" s="1666" t="s">
        <v>1877</v>
      </c>
      <c r="C1227" s="688"/>
      <c r="D1227" s="1667"/>
      <c r="E1227" s="1671"/>
      <c r="F1227" s="1671">
        <f>F1226</f>
        <v>4</v>
      </c>
      <c r="G1227" s="1672">
        <f>'DRAWING CC'!JA151</f>
        <v>0</v>
      </c>
      <c r="H1227" s="1671">
        <f t="shared" si="159"/>
        <v>0</v>
      </c>
      <c r="I1227" s="1671" t="s">
        <v>49</v>
      </c>
      <c r="J1227" s="1668"/>
      <c r="K1227" s="1668"/>
      <c r="L1227" s="1669"/>
    </row>
    <row r="1228" spans="1:12" s="692" customFormat="1" ht="16.5" hidden="1">
      <c r="A1228" s="1665"/>
      <c r="B1228" s="1666" t="s">
        <v>473</v>
      </c>
      <c r="C1228" s="688"/>
      <c r="D1228" s="1667"/>
      <c r="E1228" s="1671"/>
      <c r="F1228" s="1671"/>
      <c r="G1228" s="1669" t="s">
        <v>928</v>
      </c>
      <c r="H1228" s="1673">
        <f>SUM(H1225:H1227)</f>
        <v>0</v>
      </c>
      <c r="I1228" s="1671" t="s">
        <v>49</v>
      </c>
      <c r="J1228" s="1668"/>
      <c r="K1228" s="1668"/>
      <c r="L1228" s="1669"/>
    </row>
    <row r="1229" spans="1:12" s="692" customFormat="1" ht="16.5" hidden="1">
      <c r="A1229" s="1665"/>
      <c r="B1229" s="1666"/>
      <c r="C1229" s="688"/>
      <c r="D1229" s="1667"/>
      <c r="E1229" s="688"/>
      <c r="F1229" s="688"/>
      <c r="G1229" s="1668" t="s">
        <v>928</v>
      </c>
      <c r="H1229" s="1673">
        <f>SUM(H1217:H1222)</f>
        <v>0</v>
      </c>
      <c r="I1229" s="1668" t="s">
        <v>49</v>
      </c>
      <c r="J1229" s="1669">
        <f>'Lead &amp; ANALYSIS'!L446</f>
        <v>6112.7</v>
      </c>
      <c r="K1229" s="1668" t="s">
        <v>1516</v>
      </c>
      <c r="L1229" s="1669">
        <f>ROUND(H1229*J1229,0)</f>
        <v>0</v>
      </c>
    </row>
    <row r="1230" spans="1:12" s="692" customFormat="1" ht="66" hidden="1">
      <c r="A1230" s="1665">
        <f>'Lead &amp; ANALYSIS'!A447</f>
        <v>42</v>
      </c>
      <c r="B1230" s="1666" t="str">
        <f>'Lead &amp; ANALYSIS'!B447</f>
        <v>Laterite stone masonry in cement mortar (1:6) using laterite stone of approved quality from approved quarry  etc. complete in all respect as directed by the Engineer-in-charge.</v>
      </c>
      <c r="C1230" s="688"/>
      <c r="D1230" s="1667"/>
      <c r="E1230" s="688"/>
      <c r="F1230" s="688"/>
      <c r="G1230" s="1674"/>
      <c r="H1230" s="688"/>
      <c r="I1230" s="1668"/>
      <c r="J1230" s="1668"/>
      <c r="K1230" s="1668"/>
      <c r="L1230" s="1669"/>
    </row>
    <row r="1231" spans="1:12" s="692" customFormat="1" ht="16.5" hidden="1">
      <c r="A1231" s="1665"/>
      <c r="B1231" s="1666" t="s">
        <v>429</v>
      </c>
      <c r="C1231" s="688"/>
      <c r="D1231" s="1667"/>
      <c r="E1231" s="688"/>
      <c r="F1231" s="688"/>
      <c r="G1231" s="1674"/>
      <c r="H1231" s="688"/>
      <c r="I1231" s="1668"/>
      <c r="J1231" s="1668"/>
      <c r="K1231" s="1668"/>
      <c r="L1231" s="1669"/>
    </row>
    <row r="1232" spans="1:12" s="692" customFormat="1" ht="16.5" hidden="1">
      <c r="A1232" s="1665"/>
      <c r="B1232" s="1675" t="s">
        <v>1562</v>
      </c>
      <c r="C1232" s="688"/>
      <c r="D1232" s="1667"/>
      <c r="E1232" s="688"/>
      <c r="F1232" s="688"/>
      <c r="G1232" s="1674"/>
      <c r="H1232" s="688"/>
      <c r="I1232" s="1668"/>
      <c r="J1232" s="1668"/>
      <c r="K1232" s="1668"/>
      <c r="L1232" s="1669"/>
    </row>
    <row r="1233" spans="1:12" s="692" customFormat="1" ht="16.5" hidden="1">
      <c r="A1233" s="1665"/>
      <c r="B1233" s="1666" t="s">
        <v>2983</v>
      </c>
      <c r="C1233" s="688"/>
      <c r="D1233" s="1667"/>
      <c r="E1233" s="1671">
        <f>E6+F1233</f>
        <v>0.6</v>
      </c>
      <c r="F1233" s="1671">
        <f>'DRAWING CC'!FM72</f>
        <v>0.6</v>
      </c>
      <c r="G1233" s="1683">
        <f>'DRAWING CC'!GI73</f>
        <v>0.22500000000000001</v>
      </c>
      <c r="H1233" s="1671">
        <f t="shared" ref="H1233:H1238" si="160">ROUND(D1233*E1233*F1233*G1233,2)</f>
        <v>0</v>
      </c>
      <c r="I1233" s="1671" t="s">
        <v>49</v>
      </c>
      <c r="J1233" s="1668"/>
      <c r="K1233" s="1668"/>
      <c r="L1233" s="1669"/>
    </row>
    <row r="1234" spans="1:12" s="692" customFormat="1" ht="16.5" hidden="1">
      <c r="A1234" s="1665"/>
      <c r="B1234" s="1666" t="s">
        <v>2984</v>
      </c>
      <c r="C1234" s="688"/>
      <c r="D1234" s="1667"/>
      <c r="E1234" s="1671">
        <f>E9-F1234</f>
        <v>-0.6</v>
      </c>
      <c r="F1234" s="1671">
        <f>F1233</f>
        <v>0.6</v>
      </c>
      <c r="G1234" s="1683">
        <f>G1233</f>
        <v>0.22500000000000001</v>
      </c>
      <c r="H1234" s="1671">
        <f t="shared" si="160"/>
        <v>0</v>
      </c>
      <c r="I1234" s="1671" t="s">
        <v>49</v>
      </c>
      <c r="J1234" s="1668"/>
      <c r="K1234" s="1668"/>
      <c r="L1234" s="1669"/>
    </row>
    <row r="1235" spans="1:12" s="692" customFormat="1" ht="16.5" hidden="1">
      <c r="A1235" s="1665"/>
      <c r="B1235" s="1666"/>
      <c r="C1235" s="688"/>
      <c r="D1235" s="1667"/>
      <c r="E1235" s="1671"/>
      <c r="F1235" s="1671">
        <f>F1234</f>
        <v>0.6</v>
      </c>
      <c r="G1235" s="1683">
        <f>G1234</f>
        <v>0.22500000000000001</v>
      </c>
      <c r="H1235" s="1671">
        <f t="shared" si="160"/>
        <v>0</v>
      </c>
      <c r="I1235" s="1671" t="s">
        <v>49</v>
      </c>
      <c r="J1235" s="1668"/>
      <c r="K1235" s="1668"/>
      <c r="L1235" s="1669"/>
    </row>
    <row r="1236" spans="1:12" s="692" customFormat="1" ht="16.5" hidden="1">
      <c r="A1236" s="1665"/>
      <c r="B1236" s="1666"/>
      <c r="C1236" s="688"/>
      <c r="D1236" s="1667"/>
      <c r="E1236" s="1671">
        <v>3.5</v>
      </c>
      <c r="F1236" s="1671">
        <v>4</v>
      </c>
      <c r="G1236" s="1672">
        <v>0.15</v>
      </c>
      <c r="H1236" s="1671">
        <f t="shared" si="160"/>
        <v>0</v>
      </c>
      <c r="I1236" s="1671" t="s">
        <v>49</v>
      </c>
      <c r="J1236" s="1668"/>
      <c r="K1236" s="1668"/>
      <c r="L1236" s="1669"/>
    </row>
    <row r="1237" spans="1:12" s="692" customFormat="1" ht="16.5" hidden="1">
      <c r="A1237" s="1665"/>
      <c r="B1237" s="1666"/>
      <c r="C1237" s="688"/>
      <c r="D1237" s="1667"/>
      <c r="E1237" s="1671">
        <v>3.5</v>
      </c>
      <c r="F1237" s="1671">
        <v>4</v>
      </c>
      <c r="G1237" s="1672">
        <v>0.15</v>
      </c>
      <c r="H1237" s="1671">
        <f t="shared" si="160"/>
        <v>0</v>
      </c>
      <c r="I1237" s="1671" t="s">
        <v>49</v>
      </c>
      <c r="J1237" s="1668"/>
      <c r="K1237" s="1668"/>
      <c r="L1237" s="1669"/>
    </row>
    <row r="1238" spans="1:12" s="692" customFormat="1" ht="16.5" hidden="1">
      <c r="A1238" s="1665"/>
      <c r="B1238" s="1666"/>
      <c r="C1238" s="688"/>
      <c r="D1238" s="1667"/>
      <c r="E1238" s="1671">
        <v>3.5</v>
      </c>
      <c r="F1238" s="1671">
        <v>4</v>
      </c>
      <c r="G1238" s="1672">
        <v>0.15</v>
      </c>
      <c r="H1238" s="1671">
        <f t="shared" si="160"/>
        <v>0</v>
      </c>
      <c r="I1238" s="1671" t="s">
        <v>49</v>
      </c>
      <c r="J1238" s="1668"/>
      <c r="K1238" s="1668"/>
      <c r="L1238" s="1669"/>
    </row>
    <row r="1239" spans="1:12" s="692" customFormat="1" ht="16.5" hidden="1">
      <c r="A1239" s="1665"/>
      <c r="B1239" s="1666"/>
      <c r="C1239" s="688"/>
      <c r="D1239" s="1667"/>
      <c r="E1239" s="1671"/>
      <c r="F1239" s="1671"/>
      <c r="G1239" s="1669" t="s">
        <v>928</v>
      </c>
      <c r="H1239" s="1673">
        <f>SUM(H1233:H1238)</f>
        <v>0</v>
      </c>
      <c r="I1239" s="1669" t="s">
        <v>49</v>
      </c>
      <c r="J1239" s="1668"/>
      <c r="K1239" s="1668"/>
      <c r="L1239" s="1669"/>
    </row>
    <row r="1240" spans="1:12" s="692" customFormat="1" ht="16.5" hidden="1">
      <c r="A1240" s="1665"/>
      <c r="B1240" s="1675" t="s">
        <v>1945</v>
      </c>
      <c r="C1240" s="688"/>
      <c r="D1240" s="1667"/>
      <c r="E1240" s="1671"/>
      <c r="F1240" s="1671"/>
      <c r="G1240" s="1669"/>
      <c r="H1240" s="1673"/>
      <c r="I1240" s="1669"/>
      <c r="J1240" s="1668"/>
      <c r="K1240" s="1668"/>
      <c r="L1240" s="1669"/>
    </row>
    <row r="1241" spans="1:12" s="692" customFormat="1" ht="16.5" hidden="1">
      <c r="A1241" s="1665"/>
      <c r="B1241" s="1666" t="str">
        <f>B1233</f>
        <v>Long wall</v>
      </c>
      <c r="C1241" s="688"/>
      <c r="D1241" s="1667"/>
      <c r="E1241" s="1671">
        <f>E6+F1241</f>
        <v>0.5</v>
      </c>
      <c r="F1241" s="1671">
        <f>'DRAWING CC'!FO67</f>
        <v>0.5</v>
      </c>
      <c r="G1241" s="1683">
        <f>'DRAWING CC'!GI68</f>
        <v>0.22500000000000001</v>
      </c>
      <c r="H1241" s="1671">
        <f t="shared" ref="H1241:H1246" si="161">ROUND(D1241*E1241*F1241*G1241,2)</f>
        <v>0</v>
      </c>
      <c r="I1241" s="1671" t="s">
        <v>49</v>
      </c>
      <c r="J1241" s="1668"/>
      <c r="K1241" s="1668"/>
      <c r="L1241" s="1669"/>
    </row>
    <row r="1242" spans="1:12" s="692" customFormat="1" ht="16.5" hidden="1">
      <c r="A1242" s="1665"/>
      <c r="B1242" s="1666" t="str">
        <f>B1234</f>
        <v>Short wall</v>
      </c>
      <c r="C1242" s="688"/>
      <c r="D1242" s="1667"/>
      <c r="E1242" s="1671">
        <f>E9-F1242</f>
        <v>-0.5</v>
      </c>
      <c r="F1242" s="1671">
        <f>F1241</f>
        <v>0.5</v>
      </c>
      <c r="G1242" s="1683">
        <f>G1241</f>
        <v>0.22500000000000001</v>
      </c>
      <c r="H1242" s="1671">
        <f t="shared" si="161"/>
        <v>0</v>
      </c>
      <c r="I1242" s="1671" t="s">
        <v>49</v>
      </c>
      <c r="J1242" s="1668"/>
      <c r="K1242" s="1668"/>
      <c r="L1242" s="1669"/>
    </row>
    <row r="1243" spans="1:12" s="692" customFormat="1" ht="16.5" hidden="1">
      <c r="A1243" s="1665"/>
      <c r="B1243" s="1666"/>
      <c r="C1243" s="688"/>
      <c r="D1243" s="1667"/>
      <c r="E1243" s="1671"/>
      <c r="F1243" s="1671">
        <f>F1242</f>
        <v>0.5</v>
      </c>
      <c r="G1243" s="1683">
        <f>G1242</f>
        <v>0.22500000000000001</v>
      </c>
      <c r="H1243" s="1671">
        <f t="shared" si="161"/>
        <v>0</v>
      </c>
      <c r="I1243" s="1671" t="s">
        <v>49</v>
      </c>
      <c r="J1243" s="1668"/>
      <c r="K1243" s="1668"/>
      <c r="L1243" s="1669"/>
    </row>
    <row r="1244" spans="1:12" s="692" customFormat="1" ht="16.5" hidden="1">
      <c r="A1244" s="1665"/>
      <c r="B1244" s="1666"/>
      <c r="C1244" s="688"/>
      <c r="D1244" s="1667"/>
      <c r="E1244" s="1671">
        <v>3.5</v>
      </c>
      <c r="F1244" s="1671">
        <v>4</v>
      </c>
      <c r="G1244" s="1672">
        <v>0.15</v>
      </c>
      <c r="H1244" s="1671">
        <f t="shared" si="161"/>
        <v>0</v>
      </c>
      <c r="I1244" s="1671" t="s">
        <v>49</v>
      </c>
      <c r="J1244" s="1668"/>
      <c r="K1244" s="1668"/>
      <c r="L1244" s="1669"/>
    </row>
    <row r="1245" spans="1:12" s="692" customFormat="1" ht="16.5" hidden="1">
      <c r="A1245" s="1665"/>
      <c r="B1245" s="1666"/>
      <c r="C1245" s="688"/>
      <c r="D1245" s="1667"/>
      <c r="E1245" s="1671">
        <v>3.5</v>
      </c>
      <c r="F1245" s="1671">
        <v>4</v>
      </c>
      <c r="G1245" s="1672">
        <v>0.15</v>
      </c>
      <c r="H1245" s="1671">
        <f t="shared" si="161"/>
        <v>0</v>
      </c>
      <c r="I1245" s="1671" t="s">
        <v>49</v>
      </c>
      <c r="J1245" s="1668"/>
      <c r="K1245" s="1668"/>
      <c r="L1245" s="1669"/>
    </row>
    <row r="1246" spans="1:12" s="692" customFormat="1" ht="16.5" hidden="1">
      <c r="A1246" s="1665"/>
      <c r="B1246" s="1666"/>
      <c r="C1246" s="688"/>
      <c r="D1246" s="1667"/>
      <c r="E1246" s="1671">
        <v>3.5</v>
      </c>
      <c r="F1246" s="1671">
        <v>4</v>
      </c>
      <c r="G1246" s="1672">
        <v>0.15</v>
      </c>
      <c r="H1246" s="1671">
        <f t="shared" si="161"/>
        <v>0</v>
      </c>
      <c r="I1246" s="1671" t="s">
        <v>49</v>
      </c>
      <c r="J1246" s="1668"/>
      <c r="K1246" s="1668"/>
      <c r="L1246" s="1669"/>
    </row>
    <row r="1247" spans="1:12" s="692" customFormat="1" ht="16.5" hidden="1">
      <c r="A1247" s="1665"/>
      <c r="B1247" s="1666"/>
      <c r="C1247" s="688"/>
      <c r="D1247" s="1667"/>
      <c r="E1247" s="1671"/>
      <c r="F1247" s="1671"/>
      <c r="G1247" s="1669" t="s">
        <v>928</v>
      </c>
      <c r="H1247" s="1673">
        <f>SUM(H1241:H1246)</f>
        <v>0</v>
      </c>
      <c r="I1247" s="1669" t="s">
        <v>49</v>
      </c>
      <c r="J1247" s="1669"/>
      <c r="K1247" s="1668"/>
      <c r="L1247" s="1669"/>
    </row>
    <row r="1248" spans="1:12" s="692" customFormat="1" ht="16.5" hidden="1">
      <c r="A1248" s="1665"/>
      <c r="B1248" s="1675" t="s">
        <v>1946</v>
      </c>
      <c r="C1248" s="688"/>
      <c r="D1248" s="1667"/>
      <c r="E1248" s="1671"/>
      <c r="F1248" s="1671"/>
      <c r="G1248" s="1669"/>
      <c r="H1248" s="1673"/>
      <c r="I1248" s="1669"/>
      <c r="J1248" s="1668"/>
      <c r="K1248" s="1668"/>
      <c r="L1248" s="1669"/>
    </row>
    <row r="1249" spans="1:12" s="692" customFormat="1" ht="16.5" hidden="1">
      <c r="A1249" s="1665"/>
      <c r="B1249" s="1666" t="str">
        <f>B1241</f>
        <v>Long wall</v>
      </c>
      <c r="C1249" s="688"/>
      <c r="D1249" s="1667"/>
      <c r="E1249" s="1671">
        <f>E6+F1249</f>
        <v>0.3</v>
      </c>
      <c r="F1249" s="1671">
        <f>'DRAWING CC'!FQ62</f>
        <v>0.3</v>
      </c>
      <c r="G1249" s="1683">
        <f>'DRAWING CC'!GI63</f>
        <v>0.22500000000000001</v>
      </c>
      <c r="H1249" s="1671">
        <f t="shared" ref="H1249:H1254" si="162">ROUND(D1249*E1249*F1249*G1249,2)</f>
        <v>0</v>
      </c>
      <c r="I1249" s="1671" t="s">
        <v>49</v>
      </c>
      <c r="J1249" s="1668"/>
      <c r="K1249" s="1668"/>
      <c r="L1249" s="1669"/>
    </row>
    <row r="1250" spans="1:12" s="692" customFormat="1" ht="16.5" hidden="1">
      <c r="A1250" s="1665"/>
      <c r="B1250" s="1666" t="str">
        <f>B1242</f>
        <v>Short wall</v>
      </c>
      <c r="C1250" s="688"/>
      <c r="D1250" s="1667"/>
      <c r="E1250" s="1671">
        <f>E9-F1250</f>
        <v>-0.3</v>
      </c>
      <c r="F1250" s="1671">
        <f>F1249</f>
        <v>0.3</v>
      </c>
      <c r="G1250" s="1683">
        <f>G1249</f>
        <v>0.22500000000000001</v>
      </c>
      <c r="H1250" s="1671">
        <f t="shared" si="162"/>
        <v>0</v>
      </c>
      <c r="I1250" s="1671" t="s">
        <v>49</v>
      </c>
      <c r="J1250" s="1668"/>
      <c r="K1250" s="1668"/>
      <c r="L1250" s="1669"/>
    </row>
    <row r="1251" spans="1:12" s="692" customFormat="1" ht="16.5" hidden="1">
      <c r="A1251" s="1665"/>
      <c r="B1251" s="1666"/>
      <c r="C1251" s="688"/>
      <c r="D1251" s="1667"/>
      <c r="E1251" s="1671"/>
      <c r="F1251" s="1671">
        <f>F1250</f>
        <v>0.3</v>
      </c>
      <c r="G1251" s="1683">
        <f>G1250</f>
        <v>0.22500000000000001</v>
      </c>
      <c r="H1251" s="1671">
        <f t="shared" si="162"/>
        <v>0</v>
      </c>
      <c r="I1251" s="1671" t="s">
        <v>49</v>
      </c>
      <c r="J1251" s="1668"/>
      <c r="K1251" s="1668"/>
      <c r="L1251" s="1669"/>
    </row>
    <row r="1252" spans="1:12" s="692" customFormat="1" ht="16.5" hidden="1">
      <c r="A1252" s="1665"/>
      <c r="B1252" s="1666"/>
      <c r="C1252" s="688"/>
      <c r="D1252" s="1667"/>
      <c r="E1252" s="1671">
        <v>3.5</v>
      </c>
      <c r="F1252" s="1671">
        <v>4</v>
      </c>
      <c r="G1252" s="1672">
        <v>0.15</v>
      </c>
      <c r="H1252" s="1671">
        <f t="shared" si="162"/>
        <v>0</v>
      </c>
      <c r="I1252" s="1671" t="s">
        <v>49</v>
      </c>
      <c r="J1252" s="1668"/>
      <c r="K1252" s="1668"/>
      <c r="L1252" s="1669"/>
    </row>
    <row r="1253" spans="1:12" s="692" customFormat="1" ht="16.5" hidden="1">
      <c r="A1253" s="1665"/>
      <c r="B1253" s="1666"/>
      <c r="C1253" s="688"/>
      <c r="D1253" s="1667"/>
      <c r="E1253" s="1671">
        <v>3.5</v>
      </c>
      <c r="F1253" s="1671">
        <v>4</v>
      </c>
      <c r="G1253" s="1672">
        <v>0.15</v>
      </c>
      <c r="H1253" s="1671">
        <f t="shared" si="162"/>
        <v>0</v>
      </c>
      <c r="I1253" s="1671" t="s">
        <v>49</v>
      </c>
      <c r="J1253" s="1668"/>
      <c r="K1253" s="1668"/>
      <c r="L1253" s="1669"/>
    </row>
    <row r="1254" spans="1:12" s="692" customFormat="1" ht="16.5" hidden="1">
      <c r="A1254" s="1665"/>
      <c r="B1254" s="1666"/>
      <c r="C1254" s="688"/>
      <c r="D1254" s="1667"/>
      <c r="E1254" s="1671">
        <v>3.5</v>
      </c>
      <c r="F1254" s="1671">
        <v>4</v>
      </c>
      <c r="G1254" s="1672">
        <v>0.15</v>
      </c>
      <c r="H1254" s="1671">
        <f t="shared" si="162"/>
        <v>0</v>
      </c>
      <c r="I1254" s="1671" t="s">
        <v>49</v>
      </c>
      <c r="J1254" s="1668"/>
      <c r="K1254" s="1668"/>
      <c r="L1254" s="1669"/>
    </row>
    <row r="1255" spans="1:12" s="692" customFormat="1" ht="16.5" hidden="1">
      <c r="A1255" s="1665"/>
      <c r="B1255" s="1666"/>
      <c r="C1255" s="688"/>
      <c r="D1255" s="1667"/>
      <c r="E1255" s="1671"/>
      <c r="F1255" s="1671"/>
      <c r="G1255" s="1669" t="s">
        <v>928</v>
      </c>
      <c r="H1255" s="1673">
        <f>SUM(H1249:H1254)</f>
        <v>0</v>
      </c>
      <c r="I1255" s="1669" t="s">
        <v>49</v>
      </c>
      <c r="J1255" s="1668"/>
      <c r="K1255" s="1668"/>
      <c r="L1255" s="1669"/>
    </row>
    <row r="1256" spans="1:12" s="692" customFormat="1" ht="16.5" hidden="1">
      <c r="A1256" s="1665"/>
      <c r="B1256" s="1675" t="s">
        <v>1947</v>
      </c>
      <c r="C1256" s="688"/>
      <c r="D1256" s="1667"/>
      <c r="E1256" s="1671"/>
      <c r="F1256" s="1671"/>
      <c r="G1256" s="1669"/>
      <c r="H1256" s="1673"/>
      <c r="I1256" s="1669"/>
      <c r="J1256" s="1668"/>
      <c r="K1256" s="1668"/>
      <c r="L1256" s="1669"/>
    </row>
    <row r="1257" spans="1:12" s="692" customFormat="1" ht="16.5" hidden="1">
      <c r="A1257" s="1665"/>
      <c r="B1257" s="1666" t="str">
        <f>B1249</f>
        <v>Long wall</v>
      </c>
      <c r="C1257" s="688"/>
      <c r="D1257" s="1667"/>
      <c r="E1257" s="1671">
        <f>E6+F1257</f>
        <v>0.3</v>
      </c>
      <c r="F1257" s="1671">
        <f>'DRAWING CC'!FQ62</f>
        <v>0.3</v>
      </c>
      <c r="G1257" s="1683">
        <v>0.67500000000000004</v>
      </c>
      <c r="H1257" s="1671">
        <f t="shared" ref="H1257:H1262" si="163">ROUND(D1257*E1257*F1257*G1257,2)</f>
        <v>0</v>
      </c>
      <c r="I1257" s="1671" t="s">
        <v>49</v>
      </c>
      <c r="J1257" s="1668"/>
      <c r="K1257" s="1668"/>
      <c r="L1257" s="1669"/>
    </row>
    <row r="1258" spans="1:12" s="692" customFormat="1" ht="16.5" hidden="1">
      <c r="A1258" s="1665"/>
      <c r="B1258" s="1666" t="str">
        <f>B1250</f>
        <v>Short wall</v>
      </c>
      <c r="C1258" s="688"/>
      <c r="D1258" s="1667"/>
      <c r="E1258" s="1671">
        <f>E9-F1258</f>
        <v>-0.3</v>
      </c>
      <c r="F1258" s="1671">
        <f>F1257</f>
        <v>0.3</v>
      </c>
      <c r="G1258" s="1683">
        <f>G1257</f>
        <v>0.67500000000000004</v>
      </c>
      <c r="H1258" s="1671">
        <f t="shared" si="163"/>
        <v>0</v>
      </c>
      <c r="I1258" s="1671" t="s">
        <v>49</v>
      </c>
      <c r="J1258" s="1668"/>
      <c r="K1258" s="1668"/>
      <c r="L1258" s="1669"/>
    </row>
    <row r="1259" spans="1:12" s="692" customFormat="1" ht="16.5" hidden="1">
      <c r="A1259" s="1665"/>
      <c r="B1259" s="1666"/>
      <c r="C1259" s="688"/>
      <c r="D1259" s="1667"/>
      <c r="E1259" s="1671"/>
      <c r="F1259" s="1671">
        <f>F1258</f>
        <v>0.3</v>
      </c>
      <c r="G1259" s="1683">
        <f>G1258</f>
        <v>0.67500000000000004</v>
      </c>
      <c r="H1259" s="1671">
        <f t="shared" si="163"/>
        <v>0</v>
      </c>
      <c r="I1259" s="1671" t="s">
        <v>49</v>
      </c>
      <c r="J1259" s="1668"/>
      <c r="K1259" s="1668"/>
      <c r="L1259" s="1669"/>
    </row>
    <row r="1260" spans="1:12" s="692" customFormat="1" ht="16.5" hidden="1">
      <c r="A1260" s="1665"/>
      <c r="B1260" s="1666"/>
      <c r="C1260" s="688"/>
      <c r="D1260" s="1667"/>
      <c r="E1260" s="1671">
        <v>3.5</v>
      </c>
      <c r="F1260" s="1671">
        <v>4</v>
      </c>
      <c r="G1260" s="1672">
        <v>0.15</v>
      </c>
      <c r="H1260" s="1671">
        <f t="shared" si="163"/>
        <v>0</v>
      </c>
      <c r="I1260" s="1671" t="s">
        <v>49</v>
      </c>
      <c r="J1260" s="1668"/>
      <c r="K1260" s="1668"/>
      <c r="L1260" s="1669"/>
    </row>
    <row r="1261" spans="1:12" s="692" customFormat="1" ht="16.5" hidden="1">
      <c r="A1261" s="1665"/>
      <c r="B1261" s="1666"/>
      <c r="C1261" s="688"/>
      <c r="D1261" s="1667"/>
      <c r="E1261" s="1671">
        <v>3.5</v>
      </c>
      <c r="F1261" s="1671">
        <v>4</v>
      </c>
      <c r="G1261" s="1672">
        <v>0.15</v>
      </c>
      <c r="H1261" s="1671">
        <f t="shared" si="163"/>
        <v>0</v>
      </c>
      <c r="I1261" s="1671" t="s">
        <v>49</v>
      </c>
      <c r="J1261" s="1668"/>
      <c r="K1261" s="1668"/>
      <c r="L1261" s="1669"/>
    </row>
    <row r="1262" spans="1:12" s="692" customFormat="1" ht="16.5" hidden="1">
      <c r="A1262" s="1665"/>
      <c r="B1262" s="1666"/>
      <c r="C1262" s="688"/>
      <c r="D1262" s="1667"/>
      <c r="E1262" s="1671">
        <v>3.5</v>
      </c>
      <c r="F1262" s="1671">
        <v>4</v>
      </c>
      <c r="G1262" s="1672">
        <v>0.15</v>
      </c>
      <c r="H1262" s="1671">
        <f t="shared" si="163"/>
        <v>0</v>
      </c>
      <c r="I1262" s="1671" t="s">
        <v>49</v>
      </c>
      <c r="J1262" s="1668"/>
      <c r="K1262" s="1668"/>
      <c r="L1262" s="1669"/>
    </row>
    <row r="1263" spans="1:12" s="692" customFormat="1" ht="16.5" hidden="1">
      <c r="A1263" s="1665"/>
      <c r="B1263" s="1666"/>
      <c r="C1263" s="688"/>
      <c r="D1263" s="1667"/>
      <c r="E1263" s="1671"/>
      <c r="F1263" s="1671"/>
      <c r="G1263" s="1669" t="s">
        <v>928</v>
      </c>
      <c r="H1263" s="1673">
        <f>SUM(H1257:H1262)</f>
        <v>0</v>
      </c>
      <c r="I1263" s="1669" t="s">
        <v>49</v>
      </c>
      <c r="J1263" s="1668"/>
      <c r="K1263" s="1668"/>
      <c r="L1263" s="1669"/>
    </row>
    <row r="1264" spans="1:12" s="692" customFormat="1" ht="16.5" hidden="1">
      <c r="A1264" s="1665"/>
      <c r="B1264" s="1666"/>
      <c r="C1264" s="688"/>
      <c r="D1264" s="1667"/>
      <c r="E1264" s="1671"/>
      <c r="F1264" s="1671"/>
      <c r="G1264" s="1684" t="s">
        <v>2985</v>
      </c>
      <c r="H1264" s="1673">
        <f>H1239+H1247+H1255+H1263</f>
        <v>0</v>
      </c>
      <c r="I1264" s="1669" t="s">
        <v>49</v>
      </c>
      <c r="J1264" s="1669">
        <f>'Lead &amp; ANALYSIS'!L448</f>
        <v>5235.6000000000004</v>
      </c>
      <c r="K1264" s="1668" t="s">
        <v>1516</v>
      </c>
      <c r="L1264" s="1669">
        <f>ROUND(H1264*J1264,0)</f>
        <v>0</v>
      </c>
    </row>
    <row r="1265" spans="1:12" s="692" customFormat="1" ht="16.5" hidden="1">
      <c r="A1265" s="1665"/>
      <c r="B1265" s="1666" t="s">
        <v>430</v>
      </c>
      <c r="C1265" s="688"/>
      <c r="D1265" s="1667"/>
      <c r="E1265" s="688"/>
      <c r="F1265" s="688"/>
      <c r="G1265" s="1674"/>
      <c r="H1265" s="688"/>
      <c r="I1265" s="1668"/>
      <c r="J1265" s="1668"/>
      <c r="K1265" s="1668"/>
      <c r="L1265" s="1669"/>
    </row>
    <row r="1266" spans="1:12" s="692" customFormat="1" ht="16.5" hidden="1">
      <c r="A1266" s="1665"/>
      <c r="B1266" s="1666"/>
      <c r="C1266" s="688"/>
      <c r="D1266" s="1667"/>
      <c r="E1266" s="1671">
        <v>3.5</v>
      </c>
      <c r="F1266" s="1671">
        <v>4</v>
      </c>
      <c r="G1266" s="1672">
        <v>0.15</v>
      </c>
      <c r="H1266" s="1671">
        <f t="shared" ref="H1266:H1271" si="164">ROUND(D1266*E1266*F1266*G1266,2)</f>
        <v>0</v>
      </c>
      <c r="I1266" s="1671" t="s">
        <v>49</v>
      </c>
      <c r="J1266" s="1668"/>
      <c r="K1266" s="1668"/>
      <c r="L1266" s="1669"/>
    </row>
    <row r="1267" spans="1:12" s="692" customFormat="1" ht="16.5" hidden="1">
      <c r="A1267" s="1665"/>
      <c r="B1267" s="1666"/>
      <c r="C1267" s="688"/>
      <c r="D1267" s="1667"/>
      <c r="E1267" s="1671">
        <v>3.5</v>
      </c>
      <c r="F1267" s="1671">
        <v>4</v>
      </c>
      <c r="G1267" s="1672">
        <v>0.15</v>
      </c>
      <c r="H1267" s="1671">
        <f t="shared" si="164"/>
        <v>0</v>
      </c>
      <c r="I1267" s="1671" t="s">
        <v>49</v>
      </c>
      <c r="J1267" s="1668"/>
      <c r="K1267" s="1668"/>
      <c r="L1267" s="1669"/>
    </row>
    <row r="1268" spans="1:12" s="692" customFormat="1" ht="16.5" hidden="1">
      <c r="A1268" s="1665"/>
      <c r="B1268" s="1666"/>
      <c r="C1268" s="688"/>
      <c r="D1268" s="1667"/>
      <c r="E1268" s="1671">
        <v>3.5</v>
      </c>
      <c r="F1268" s="1671">
        <v>4</v>
      </c>
      <c r="G1268" s="1672">
        <v>0.15</v>
      </c>
      <c r="H1268" s="1671">
        <f t="shared" si="164"/>
        <v>0</v>
      </c>
      <c r="I1268" s="1671" t="s">
        <v>49</v>
      </c>
      <c r="J1268" s="1668"/>
      <c r="K1268" s="1668"/>
      <c r="L1268" s="1669"/>
    </row>
    <row r="1269" spans="1:12" s="692" customFormat="1" ht="16.5" hidden="1">
      <c r="A1269" s="1665"/>
      <c r="B1269" s="1666"/>
      <c r="C1269" s="688"/>
      <c r="D1269" s="1667"/>
      <c r="E1269" s="1671">
        <v>3.5</v>
      </c>
      <c r="F1269" s="1671">
        <v>4</v>
      </c>
      <c r="G1269" s="1672">
        <v>0.15</v>
      </c>
      <c r="H1269" s="1671">
        <f t="shared" si="164"/>
        <v>0</v>
      </c>
      <c r="I1269" s="1671" t="s">
        <v>49</v>
      </c>
      <c r="J1269" s="1668"/>
      <c r="K1269" s="1668"/>
      <c r="L1269" s="1669"/>
    </row>
    <row r="1270" spans="1:12" s="692" customFormat="1" ht="16.5" hidden="1">
      <c r="A1270" s="1665"/>
      <c r="B1270" s="1666"/>
      <c r="C1270" s="688"/>
      <c r="D1270" s="1667"/>
      <c r="E1270" s="1671">
        <v>3.5</v>
      </c>
      <c r="F1270" s="1671">
        <v>4</v>
      </c>
      <c r="G1270" s="1672">
        <v>0.15</v>
      </c>
      <c r="H1270" s="1671">
        <f t="shared" si="164"/>
        <v>0</v>
      </c>
      <c r="I1270" s="1671" t="s">
        <v>49</v>
      </c>
      <c r="J1270" s="1668"/>
      <c r="K1270" s="1668"/>
      <c r="L1270" s="1669"/>
    </row>
    <row r="1271" spans="1:12" s="692" customFormat="1" ht="16.5" hidden="1">
      <c r="A1271" s="1665"/>
      <c r="B1271" s="1666"/>
      <c r="C1271" s="688"/>
      <c r="D1271" s="1667"/>
      <c r="E1271" s="1671">
        <v>3.5</v>
      </c>
      <c r="F1271" s="1671">
        <v>4</v>
      </c>
      <c r="G1271" s="1672">
        <v>0.15</v>
      </c>
      <c r="H1271" s="1671">
        <f t="shared" si="164"/>
        <v>0</v>
      </c>
      <c r="I1271" s="1671" t="s">
        <v>49</v>
      </c>
      <c r="J1271" s="1668"/>
      <c r="K1271" s="1668"/>
      <c r="L1271" s="1669"/>
    </row>
    <row r="1272" spans="1:12" s="692" customFormat="1" ht="16.5" hidden="1">
      <c r="A1272" s="1665"/>
      <c r="B1272" s="1666"/>
      <c r="C1272" s="688"/>
      <c r="D1272" s="1667"/>
      <c r="E1272" s="1671"/>
      <c r="F1272" s="1671"/>
      <c r="G1272" s="1669" t="s">
        <v>928</v>
      </c>
      <c r="H1272" s="1673">
        <f>SUM(H1266:H1271)</f>
        <v>0</v>
      </c>
      <c r="I1272" s="1669" t="s">
        <v>49</v>
      </c>
      <c r="J1272" s="1669">
        <f>'Lead &amp; ANALYSIS'!L449</f>
        <v>5277.5</v>
      </c>
      <c r="K1272" s="1668" t="s">
        <v>1516</v>
      </c>
      <c r="L1272" s="1669">
        <f>ROUND(H1272*J1272,0)</f>
        <v>0</v>
      </c>
    </row>
    <row r="1273" spans="1:12" s="692" customFormat="1" ht="16.5" hidden="1">
      <c r="A1273" s="1665"/>
      <c r="B1273" s="1666" t="s">
        <v>442</v>
      </c>
      <c r="C1273" s="688"/>
      <c r="D1273" s="1667"/>
      <c r="E1273" s="688"/>
      <c r="F1273" s="688"/>
      <c r="G1273" s="1674"/>
      <c r="H1273" s="688"/>
      <c r="I1273" s="1668"/>
      <c r="J1273" s="1668"/>
      <c r="K1273" s="1668"/>
      <c r="L1273" s="1669"/>
    </row>
    <row r="1274" spans="1:12" s="692" customFormat="1" ht="16.5" hidden="1">
      <c r="A1274" s="1665"/>
      <c r="B1274" s="1666"/>
      <c r="C1274" s="688"/>
      <c r="D1274" s="1667"/>
      <c r="E1274" s="1671">
        <v>3.5</v>
      </c>
      <c r="F1274" s="1671">
        <v>4</v>
      </c>
      <c r="G1274" s="1672">
        <v>0.15</v>
      </c>
      <c r="H1274" s="1671">
        <f t="shared" ref="H1274:H1279" si="165">ROUND(D1274*E1274*F1274*G1274,2)</f>
        <v>0</v>
      </c>
      <c r="I1274" s="1671" t="s">
        <v>49</v>
      </c>
      <c r="J1274" s="1668"/>
      <c r="K1274" s="1668"/>
      <c r="L1274" s="1669"/>
    </row>
    <row r="1275" spans="1:12" s="692" customFormat="1" ht="16.5" hidden="1">
      <c r="A1275" s="1665"/>
      <c r="B1275" s="1666"/>
      <c r="C1275" s="688"/>
      <c r="D1275" s="1667"/>
      <c r="E1275" s="1671">
        <v>3.5</v>
      </c>
      <c r="F1275" s="1671">
        <v>4</v>
      </c>
      <c r="G1275" s="1672">
        <v>0.15</v>
      </c>
      <c r="H1275" s="1671">
        <f t="shared" si="165"/>
        <v>0</v>
      </c>
      <c r="I1275" s="1671" t="s">
        <v>49</v>
      </c>
      <c r="J1275" s="1668"/>
      <c r="K1275" s="1668"/>
      <c r="L1275" s="1669"/>
    </row>
    <row r="1276" spans="1:12" s="692" customFormat="1" ht="16.5" hidden="1">
      <c r="A1276" s="1665"/>
      <c r="B1276" s="1666"/>
      <c r="C1276" s="688"/>
      <c r="D1276" s="1667"/>
      <c r="E1276" s="1671">
        <v>3.5</v>
      </c>
      <c r="F1276" s="1671">
        <v>4</v>
      </c>
      <c r="G1276" s="1672">
        <v>0.15</v>
      </c>
      <c r="H1276" s="1671">
        <f t="shared" si="165"/>
        <v>0</v>
      </c>
      <c r="I1276" s="1671" t="s">
        <v>49</v>
      </c>
      <c r="J1276" s="1668"/>
      <c r="K1276" s="1668"/>
      <c r="L1276" s="1669"/>
    </row>
    <row r="1277" spans="1:12" s="692" customFormat="1" ht="16.5" hidden="1">
      <c r="A1277" s="1665"/>
      <c r="B1277" s="1666"/>
      <c r="C1277" s="688"/>
      <c r="D1277" s="1667"/>
      <c r="E1277" s="1671">
        <v>3.5</v>
      </c>
      <c r="F1277" s="1671">
        <v>4</v>
      </c>
      <c r="G1277" s="1672">
        <v>0.15</v>
      </c>
      <c r="H1277" s="1671">
        <f t="shared" si="165"/>
        <v>0</v>
      </c>
      <c r="I1277" s="1671" t="s">
        <v>49</v>
      </c>
      <c r="J1277" s="1668"/>
      <c r="K1277" s="1668"/>
      <c r="L1277" s="1669"/>
    </row>
    <row r="1278" spans="1:12" s="692" customFormat="1" ht="16.5" hidden="1">
      <c r="A1278" s="1665"/>
      <c r="B1278" s="1666"/>
      <c r="C1278" s="688"/>
      <c r="D1278" s="1667"/>
      <c r="E1278" s="1671">
        <v>3.5</v>
      </c>
      <c r="F1278" s="1671">
        <v>4</v>
      </c>
      <c r="G1278" s="1672">
        <v>0.15</v>
      </c>
      <c r="H1278" s="1671">
        <f t="shared" si="165"/>
        <v>0</v>
      </c>
      <c r="I1278" s="1671" t="s">
        <v>49</v>
      </c>
      <c r="J1278" s="1668"/>
      <c r="K1278" s="1668"/>
      <c r="L1278" s="1669"/>
    </row>
    <row r="1279" spans="1:12" s="692" customFormat="1" ht="16.5" hidden="1">
      <c r="A1279" s="1665"/>
      <c r="B1279" s="1666"/>
      <c r="C1279" s="688"/>
      <c r="D1279" s="1667"/>
      <c r="E1279" s="1671">
        <v>3.5</v>
      </c>
      <c r="F1279" s="1671">
        <v>4</v>
      </c>
      <c r="G1279" s="1672">
        <v>0.15</v>
      </c>
      <c r="H1279" s="1671">
        <f t="shared" si="165"/>
        <v>0</v>
      </c>
      <c r="I1279" s="1671" t="s">
        <v>49</v>
      </c>
      <c r="J1279" s="1668"/>
      <c r="K1279" s="1668"/>
      <c r="L1279" s="1669"/>
    </row>
    <row r="1280" spans="1:12" s="692" customFormat="1" ht="16.5" hidden="1">
      <c r="A1280" s="1665"/>
      <c r="B1280" s="1666"/>
      <c r="C1280" s="688"/>
      <c r="D1280" s="1667"/>
      <c r="E1280" s="1671"/>
      <c r="F1280" s="1671"/>
      <c r="G1280" s="1669" t="s">
        <v>928</v>
      </c>
      <c r="H1280" s="1673">
        <f>SUM(H1274:H1279)</f>
        <v>0</v>
      </c>
      <c r="I1280" s="1669" t="s">
        <v>49</v>
      </c>
      <c r="J1280" s="1669">
        <f>'Lead &amp; ANALYSIS'!L450</f>
        <v>5725.1</v>
      </c>
      <c r="K1280" s="1668" t="s">
        <v>1516</v>
      </c>
      <c r="L1280" s="1669">
        <f>ROUND(H1280*J1280,0)</f>
        <v>0</v>
      </c>
    </row>
    <row r="1281" spans="1:12" s="692" customFormat="1" ht="16.5" hidden="1">
      <c r="A1281" s="1665" t="s">
        <v>244</v>
      </c>
      <c r="B1281" s="1675" t="s">
        <v>3613</v>
      </c>
      <c r="C1281" s="688"/>
      <c r="D1281" s="1667"/>
      <c r="E1281" s="688"/>
      <c r="F1281" s="688"/>
      <c r="G1281" s="1668"/>
      <c r="H1281" s="1673"/>
      <c r="I1281" s="1668"/>
      <c r="J1281" s="1669"/>
      <c r="K1281" s="1668"/>
      <c r="L1281" s="1669"/>
    </row>
    <row r="1282" spans="1:12" s="692" customFormat="1" ht="16.5" hidden="1">
      <c r="A1282" s="1665"/>
      <c r="B1282" s="1666"/>
      <c r="C1282" s="688"/>
      <c r="D1282" s="1667"/>
      <c r="E1282" s="1671">
        <v>3.5</v>
      </c>
      <c r="F1282" s="1671">
        <v>4</v>
      </c>
      <c r="G1282" s="1672">
        <v>0.15</v>
      </c>
      <c r="H1282" s="1671">
        <f t="shared" ref="H1282:H1287" si="166">ROUND(D1282*E1282*F1282*G1282,2)</f>
        <v>0</v>
      </c>
      <c r="I1282" s="688" t="s">
        <v>49</v>
      </c>
      <c r="J1282" s="1668"/>
      <c r="K1282" s="1668"/>
      <c r="L1282" s="1669"/>
    </row>
    <row r="1283" spans="1:12" s="692" customFormat="1" ht="16.5" hidden="1">
      <c r="A1283" s="1665"/>
      <c r="B1283" s="1666"/>
      <c r="C1283" s="688"/>
      <c r="D1283" s="1667"/>
      <c r="E1283" s="1671">
        <v>3.5</v>
      </c>
      <c r="F1283" s="1671">
        <v>4</v>
      </c>
      <c r="G1283" s="1672">
        <v>0.15</v>
      </c>
      <c r="H1283" s="1671">
        <f t="shared" si="166"/>
        <v>0</v>
      </c>
      <c r="I1283" s="688" t="s">
        <v>49</v>
      </c>
      <c r="J1283" s="1668"/>
      <c r="K1283" s="1668"/>
      <c r="L1283" s="1669"/>
    </row>
    <row r="1284" spans="1:12" s="692" customFormat="1" ht="16.5" hidden="1">
      <c r="A1284" s="1665"/>
      <c r="B1284" s="1666"/>
      <c r="C1284" s="688"/>
      <c r="D1284" s="1667"/>
      <c r="E1284" s="1671">
        <v>3.5</v>
      </c>
      <c r="F1284" s="1671">
        <v>4</v>
      </c>
      <c r="G1284" s="1672">
        <v>0.15</v>
      </c>
      <c r="H1284" s="1671">
        <f t="shared" si="166"/>
        <v>0</v>
      </c>
      <c r="I1284" s="688" t="s">
        <v>49</v>
      </c>
      <c r="J1284" s="1668"/>
      <c r="K1284" s="1668"/>
      <c r="L1284" s="1669"/>
    </row>
    <row r="1285" spans="1:12" s="692" customFormat="1" ht="16.5" hidden="1">
      <c r="A1285" s="1665"/>
      <c r="B1285" s="1666"/>
      <c r="C1285" s="688"/>
      <c r="D1285" s="1667"/>
      <c r="E1285" s="1671">
        <v>3.5</v>
      </c>
      <c r="F1285" s="1671">
        <v>4</v>
      </c>
      <c r="G1285" s="1672">
        <v>0.15</v>
      </c>
      <c r="H1285" s="1671">
        <f t="shared" si="166"/>
        <v>0</v>
      </c>
      <c r="I1285" s="688" t="s">
        <v>49</v>
      </c>
      <c r="J1285" s="1668"/>
      <c r="K1285" s="1668"/>
      <c r="L1285" s="1669"/>
    </row>
    <row r="1286" spans="1:12" s="692" customFormat="1" ht="16.5" hidden="1">
      <c r="A1286" s="1665"/>
      <c r="B1286" s="1666"/>
      <c r="C1286" s="688"/>
      <c r="D1286" s="1667"/>
      <c r="E1286" s="1671">
        <v>3.5</v>
      </c>
      <c r="F1286" s="1671">
        <v>4</v>
      </c>
      <c r="G1286" s="1672">
        <v>0.15</v>
      </c>
      <c r="H1286" s="1671">
        <f t="shared" si="166"/>
        <v>0</v>
      </c>
      <c r="I1286" s="688" t="s">
        <v>49</v>
      </c>
      <c r="J1286" s="1668"/>
      <c r="K1286" s="1668"/>
      <c r="L1286" s="1669"/>
    </row>
    <row r="1287" spans="1:12" s="692" customFormat="1" ht="16.5" hidden="1">
      <c r="A1287" s="1665"/>
      <c r="B1287" s="1666"/>
      <c r="C1287" s="688"/>
      <c r="D1287" s="1667"/>
      <c r="E1287" s="1671">
        <v>3.5</v>
      </c>
      <c r="F1287" s="1671">
        <v>4</v>
      </c>
      <c r="G1287" s="1672">
        <v>0.15</v>
      </c>
      <c r="H1287" s="1671">
        <f t="shared" si="166"/>
        <v>0</v>
      </c>
      <c r="I1287" s="688" t="s">
        <v>49</v>
      </c>
      <c r="J1287" s="1668"/>
      <c r="K1287" s="1668"/>
      <c r="L1287" s="1669"/>
    </row>
    <row r="1288" spans="1:12" s="692" customFormat="1" ht="16.5" hidden="1">
      <c r="A1288" s="1665"/>
      <c r="B1288" s="1666"/>
      <c r="C1288" s="688"/>
      <c r="D1288" s="1667"/>
      <c r="E1288" s="688"/>
      <c r="F1288" s="688"/>
      <c r="G1288" s="1668" t="s">
        <v>928</v>
      </c>
      <c r="H1288" s="1673">
        <f>SUM(H1282:H1287)</f>
        <v>0</v>
      </c>
      <c r="I1288" s="1668" t="s">
        <v>49</v>
      </c>
      <c r="J1288" s="1669">
        <f>'Lead &amp; ANALYSIS'!L451</f>
        <v>6239.9</v>
      </c>
      <c r="K1288" s="1668" t="s">
        <v>1516</v>
      </c>
      <c r="L1288" s="1669">
        <f>ROUND(H1288*J1288,0)</f>
        <v>0</v>
      </c>
    </row>
    <row r="1289" spans="1:12" s="692" customFormat="1" ht="16.5" hidden="1">
      <c r="A1289" s="1665" t="s">
        <v>291</v>
      </c>
      <c r="B1289" s="1675" t="s">
        <v>3632</v>
      </c>
      <c r="C1289" s="688"/>
      <c r="D1289" s="1667"/>
      <c r="E1289" s="688"/>
      <c r="F1289" s="688"/>
      <c r="G1289" s="1668"/>
      <c r="H1289" s="1673"/>
      <c r="I1289" s="1668"/>
      <c r="J1289" s="1669"/>
      <c r="K1289" s="1668"/>
      <c r="L1289" s="1669"/>
    </row>
    <row r="1290" spans="1:12" s="692" customFormat="1" ht="16.5" hidden="1">
      <c r="A1290" s="1665"/>
      <c r="B1290" s="1666"/>
      <c r="C1290" s="688"/>
      <c r="D1290" s="1667"/>
      <c r="E1290" s="1671">
        <v>3.5</v>
      </c>
      <c r="F1290" s="1671">
        <v>4</v>
      </c>
      <c r="G1290" s="1672">
        <v>0.15</v>
      </c>
      <c r="H1290" s="1671">
        <f t="shared" ref="H1290:H1295" si="167">ROUND(D1290*E1290*F1290*G1290,2)</f>
        <v>0</v>
      </c>
      <c r="I1290" s="688" t="s">
        <v>49</v>
      </c>
      <c r="J1290" s="1668"/>
      <c r="K1290" s="1668"/>
      <c r="L1290" s="1669"/>
    </row>
    <row r="1291" spans="1:12" s="692" customFormat="1" ht="16.5" hidden="1">
      <c r="A1291" s="1665"/>
      <c r="B1291" s="1666"/>
      <c r="C1291" s="688"/>
      <c r="D1291" s="1667"/>
      <c r="E1291" s="1671">
        <v>3.5</v>
      </c>
      <c r="F1291" s="1671">
        <v>4</v>
      </c>
      <c r="G1291" s="1672">
        <v>0.15</v>
      </c>
      <c r="H1291" s="1671">
        <f t="shared" si="167"/>
        <v>0</v>
      </c>
      <c r="I1291" s="688" t="s">
        <v>49</v>
      </c>
      <c r="J1291" s="1668"/>
      <c r="K1291" s="1668"/>
      <c r="L1291" s="1669"/>
    </row>
    <row r="1292" spans="1:12" s="692" customFormat="1" ht="16.5" hidden="1">
      <c r="A1292" s="1665"/>
      <c r="B1292" s="1666"/>
      <c r="C1292" s="688"/>
      <c r="D1292" s="1667"/>
      <c r="E1292" s="1671">
        <v>3.5</v>
      </c>
      <c r="F1292" s="1671">
        <v>4</v>
      </c>
      <c r="G1292" s="1672">
        <v>0.15</v>
      </c>
      <c r="H1292" s="1671">
        <f t="shared" si="167"/>
        <v>0</v>
      </c>
      <c r="I1292" s="688" t="s">
        <v>49</v>
      </c>
      <c r="J1292" s="1668"/>
      <c r="K1292" s="1668"/>
      <c r="L1292" s="1669"/>
    </row>
    <row r="1293" spans="1:12" s="692" customFormat="1" ht="16.5" hidden="1">
      <c r="A1293" s="1665"/>
      <c r="B1293" s="1666"/>
      <c r="C1293" s="688"/>
      <c r="D1293" s="1667"/>
      <c r="E1293" s="1671">
        <v>3.5</v>
      </c>
      <c r="F1293" s="1671">
        <v>4</v>
      </c>
      <c r="G1293" s="1672">
        <v>0.15</v>
      </c>
      <c r="H1293" s="1671">
        <f t="shared" si="167"/>
        <v>0</v>
      </c>
      <c r="I1293" s="688" t="s">
        <v>49</v>
      </c>
      <c r="J1293" s="1668"/>
      <c r="K1293" s="1668"/>
      <c r="L1293" s="1669"/>
    </row>
    <row r="1294" spans="1:12" s="692" customFormat="1" ht="16.5" hidden="1">
      <c r="A1294" s="1665"/>
      <c r="B1294" s="1666"/>
      <c r="C1294" s="688"/>
      <c r="D1294" s="1667"/>
      <c r="E1294" s="1671">
        <v>3.5</v>
      </c>
      <c r="F1294" s="1671">
        <v>4</v>
      </c>
      <c r="G1294" s="1672">
        <v>0.15</v>
      </c>
      <c r="H1294" s="1671">
        <f t="shared" si="167"/>
        <v>0</v>
      </c>
      <c r="I1294" s="688" t="s">
        <v>49</v>
      </c>
      <c r="J1294" s="1668"/>
      <c r="K1294" s="1668"/>
      <c r="L1294" s="1669"/>
    </row>
    <row r="1295" spans="1:12" s="692" customFormat="1" ht="16.5" hidden="1">
      <c r="A1295" s="1665"/>
      <c r="B1295" s="1666"/>
      <c r="C1295" s="688"/>
      <c r="D1295" s="1667"/>
      <c r="E1295" s="1671">
        <v>3.5</v>
      </c>
      <c r="F1295" s="1671">
        <v>4</v>
      </c>
      <c r="G1295" s="1672">
        <v>0.15</v>
      </c>
      <c r="H1295" s="1671">
        <f t="shared" si="167"/>
        <v>0</v>
      </c>
      <c r="I1295" s="688" t="s">
        <v>49</v>
      </c>
      <c r="J1295" s="1668"/>
      <c r="K1295" s="1668"/>
      <c r="L1295" s="1669"/>
    </row>
    <row r="1296" spans="1:12" s="692" customFormat="1" ht="16.5" hidden="1">
      <c r="A1296" s="1665"/>
      <c r="B1296" s="1666"/>
      <c r="C1296" s="688"/>
      <c r="D1296" s="1667"/>
      <c r="E1296" s="688"/>
      <c r="F1296" s="688"/>
      <c r="G1296" s="1668" t="s">
        <v>928</v>
      </c>
      <c r="H1296" s="1673">
        <f>SUM(H1290:H1295)</f>
        <v>0</v>
      </c>
      <c r="I1296" s="1668" t="s">
        <v>49</v>
      </c>
      <c r="J1296" s="1669">
        <f>'Lead &amp; ANALYSIS'!L452</f>
        <v>6831.9</v>
      </c>
      <c r="K1296" s="1668" t="s">
        <v>1516</v>
      </c>
      <c r="L1296" s="1669">
        <f>ROUND(H1296*J1296,0)</f>
        <v>0</v>
      </c>
    </row>
    <row r="1297" spans="1:12" s="692" customFormat="1" ht="16.5" hidden="1">
      <c r="A1297" s="1665"/>
      <c r="B1297" s="1666" t="s">
        <v>444</v>
      </c>
      <c r="C1297" s="688"/>
      <c r="D1297" s="1667"/>
      <c r="E1297" s="688"/>
      <c r="F1297" s="688"/>
      <c r="G1297" s="1674"/>
      <c r="H1297" s="688"/>
      <c r="I1297" s="1668"/>
      <c r="J1297" s="1668"/>
      <c r="K1297" s="1668"/>
      <c r="L1297" s="1669"/>
    </row>
    <row r="1298" spans="1:12" s="692" customFormat="1" ht="16.5" hidden="1">
      <c r="A1298" s="1665"/>
      <c r="B1298" s="1666"/>
      <c r="C1298" s="688"/>
      <c r="D1298" s="1667"/>
      <c r="E1298" s="1671">
        <v>3.5</v>
      </c>
      <c r="F1298" s="1671">
        <v>4</v>
      </c>
      <c r="G1298" s="1672">
        <v>0.15</v>
      </c>
      <c r="H1298" s="1671">
        <f t="shared" ref="H1298:H1303" si="168">ROUND(D1298*E1298*F1298*G1298,2)</f>
        <v>0</v>
      </c>
      <c r="I1298" s="1671" t="s">
        <v>49</v>
      </c>
      <c r="J1298" s="1668"/>
      <c r="K1298" s="1668"/>
      <c r="L1298" s="1669"/>
    </row>
    <row r="1299" spans="1:12" s="692" customFormat="1" ht="16.5" hidden="1">
      <c r="A1299" s="1665"/>
      <c r="B1299" s="1666"/>
      <c r="C1299" s="688"/>
      <c r="D1299" s="1667"/>
      <c r="E1299" s="1671">
        <v>3.5</v>
      </c>
      <c r="F1299" s="1671">
        <v>4</v>
      </c>
      <c r="G1299" s="1672">
        <v>0.15</v>
      </c>
      <c r="H1299" s="1671">
        <f t="shared" si="168"/>
        <v>0</v>
      </c>
      <c r="I1299" s="1671" t="s">
        <v>49</v>
      </c>
      <c r="J1299" s="1668"/>
      <c r="K1299" s="1668"/>
      <c r="L1299" s="1669"/>
    </row>
    <row r="1300" spans="1:12" s="692" customFormat="1" ht="16.5" hidden="1">
      <c r="A1300" s="1665"/>
      <c r="B1300" s="1666"/>
      <c r="C1300" s="688"/>
      <c r="D1300" s="1667"/>
      <c r="E1300" s="1671">
        <v>3.5</v>
      </c>
      <c r="F1300" s="1671">
        <v>4</v>
      </c>
      <c r="G1300" s="1672">
        <v>0.15</v>
      </c>
      <c r="H1300" s="1671">
        <f t="shared" si="168"/>
        <v>0</v>
      </c>
      <c r="I1300" s="1671" t="s">
        <v>49</v>
      </c>
      <c r="J1300" s="1668"/>
      <c r="K1300" s="1668"/>
      <c r="L1300" s="1669"/>
    </row>
    <row r="1301" spans="1:12" s="692" customFormat="1" ht="16.5" hidden="1">
      <c r="A1301" s="1665"/>
      <c r="B1301" s="1666"/>
      <c r="C1301" s="688"/>
      <c r="D1301" s="1667"/>
      <c r="E1301" s="1671">
        <v>3.5</v>
      </c>
      <c r="F1301" s="1671">
        <v>4</v>
      </c>
      <c r="G1301" s="1672">
        <v>0.15</v>
      </c>
      <c r="H1301" s="1671">
        <f t="shared" si="168"/>
        <v>0</v>
      </c>
      <c r="I1301" s="1671" t="s">
        <v>49</v>
      </c>
      <c r="J1301" s="1668"/>
      <c r="K1301" s="1668"/>
      <c r="L1301" s="1669"/>
    </row>
    <row r="1302" spans="1:12" s="692" customFormat="1" ht="16.5" hidden="1">
      <c r="A1302" s="1665"/>
      <c r="B1302" s="1666"/>
      <c r="C1302" s="688"/>
      <c r="D1302" s="1667"/>
      <c r="E1302" s="1671">
        <v>3.5</v>
      </c>
      <c r="F1302" s="1671">
        <v>4</v>
      </c>
      <c r="G1302" s="1672">
        <v>0.15</v>
      </c>
      <c r="H1302" s="1671">
        <f t="shared" si="168"/>
        <v>0</v>
      </c>
      <c r="I1302" s="1671" t="s">
        <v>49</v>
      </c>
      <c r="J1302" s="1668"/>
      <c r="K1302" s="1668"/>
      <c r="L1302" s="1669"/>
    </row>
    <row r="1303" spans="1:12" s="692" customFormat="1" ht="16.5" hidden="1">
      <c r="A1303" s="1665"/>
      <c r="B1303" s="1666"/>
      <c r="C1303" s="688"/>
      <c r="D1303" s="1667"/>
      <c r="E1303" s="1671">
        <v>3.5</v>
      </c>
      <c r="F1303" s="1671">
        <v>4</v>
      </c>
      <c r="G1303" s="1672">
        <v>0.15</v>
      </c>
      <c r="H1303" s="1671">
        <f t="shared" si="168"/>
        <v>0</v>
      </c>
      <c r="I1303" s="1671" t="s">
        <v>49</v>
      </c>
      <c r="J1303" s="1668"/>
      <c r="K1303" s="1668"/>
      <c r="L1303" s="1669"/>
    </row>
    <row r="1304" spans="1:12" s="692" customFormat="1" ht="16.5" hidden="1">
      <c r="A1304" s="1665"/>
      <c r="B1304" s="1666"/>
      <c r="C1304" s="688"/>
      <c r="D1304" s="1667"/>
      <c r="E1304" s="1671"/>
      <c r="F1304" s="1671"/>
      <c r="G1304" s="1669" t="s">
        <v>928</v>
      </c>
      <c r="H1304" s="1673">
        <f>SUM(H1298:H1303)</f>
        <v>0</v>
      </c>
      <c r="I1304" s="1669" t="s">
        <v>49</v>
      </c>
      <c r="J1304" s="1669">
        <f>'Lead &amp; ANALYSIS'!L453</f>
        <v>5307.3</v>
      </c>
      <c r="K1304" s="1668" t="s">
        <v>1516</v>
      </c>
      <c r="L1304" s="1669">
        <f>ROUND(H1304*J1304,0)</f>
        <v>0</v>
      </c>
    </row>
    <row r="1305" spans="1:12" s="692" customFormat="1" ht="16.5" hidden="1">
      <c r="A1305" s="1665"/>
      <c r="B1305" s="1666" t="s">
        <v>446</v>
      </c>
      <c r="C1305" s="688"/>
      <c r="D1305" s="1667"/>
      <c r="E1305" s="688"/>
      <c r="F1305" s="688"/>
      <c r="G1305" s="1674"/>
      <c r="H1305" s="688"/>
      <c r="I1305" s="1668"/>
      <c r="J1305" s="1668"/>
      <c r="K1305" s="1668"/>
      <c r="L1305" s="1669"/>
    </row>
    <row r="1306" spans="1:12" s="692" customFormat="1" ht="16.5" hidden="1">
      <c r="A1306" s="1665"/>
      <c r="B1306" s="1666"/>
      <c r="C1306" s="688"/>
      <c r="D1306" s="1667"/>
      <c r="E1306" s="1671">
        <v>3.5</v>
      </c>
      <c r="F1306" s="1671">
        <v>4</v>
      </c>
      <c r="G1306" s="1672">
        <v>0.15</v>
      </c>
      <c r="H1306" s="1671">
        <f t="shared" ref="H1306:H1311" si="169">ROUND(D1306*E1306*F1306*G1306,2)</f>
        <v>0</v>
      </c>
      <c r="I1306" s="1671" t="s">
        <v>49</v>
      </c>
      <c r="J1306" s="1668"/>
      <c r="K1306" s="1668"/>
      <c r="L1306" s="1669"/>
    </row>
    <row r="1307" spans="1:12" s="692" customFormat="1" ht="16.5" hidden="1">
      <c r="A1307" s="1665"/>
      <c r="B1307" s="1666"/>
      <c r="C1307" s="688"/>
      <c r="D1307" s="1667"/>
      <c r="E1307" s="1671">
        <v>3.5</v>
      </c>
      <c r="F1307" s="1671">
        <v>4</v>
      </c>
      <c r="G1307" s="1672">
        <v>0.15</v>
      </c>
      <c r="H1307" s="1671">
        <f t="shared" si="169"/>
        <v>0</v>
      </c>
      <c r="I1307" s="1671" t="s">
        <v>49</v>
      </c>
      <c r="J1307" s="1668"/>
      <c r="K1307" s="1668"/>
      <c r="L1307" s="1669"/>
    </row>
    <row r="1308" spans="1:12" s="692" customFormat="1" ht="16.5" hidden="1">
      <c r="A1308" s="1665"/>
      <c r="B1308" s="1666"/>
      <c r="C1308" s="688"/>
      <c r="D1308" s="1667"/>
      <c r="E1308" s="1671">
        <v>3.5</v>
      </c>
      <c r="F1308" s="1671">
        <v>4</v>
      </c>
      <c r="G1308" s="1672">
        <v>0.15</v>
      </c>
      <c r="H1308" s="1671">
        <f t="shared" si="169"/>
        <v>0</v>
      </c>
      <c r="I1308" s="1671" t="s">
        <v>49</v>
      </c>
      <c r="J1308" s="1668"/>
      <c r="K1308" s="1668"/>
      <c r="L1308" s="1669"/>
    </row>
    <row r="1309" spans="1:12" s="692" customFormat="1" ht="16.5" hidden="1">
      <c r="A1309" s="1665"/>
      <c r="B1309" s="1666"/>
      <c r="C1309" s="688"/>
      <c r="D1309" s="1667"/>
      <c r="E1309" s="1671">
        <v>3.5</v>
      </c>
      <c r="F1309" s="1671">
        <v>4</v>
      </c>
      <c r="G1309" s="1672">
        <v>0.15</v>
      </c>
      <c r="H1309" s="1671">
        <f t="shared" si="169"/>
        <v>0</v>
      </c>
      <c r="I1309" s="1671" t="s">
        <v>49</v>
      </c>
      <c r="J1309" s="1668"/>
      <c r="K1309" s="1668"/>
      <c r="L1309" s="1669"/>
    </row>
    <row r="1310" spans="1:12" s="692" customFormat="1" ht="16.5" hidden="1">
      <c r="A1310" s="1665"/>
      <c r="B1310" s="1666"/>
      <c r="C1310" s="688"/>
      <c r="D1310" s="1667"/>
      <c r="E1310" s="1671">
        <v>3.5</v>
      </c>
      <c r="F1310" s="1671">
        <v>4</v>
      </c>
      <c r="G1310" s="1672">
        <v>0.15</v>
      </c>
      <c r="H1310" s="1671">
        <f t="shared" si="169"/>
        <v>0</v>
      </c>
      <c r="I1310" s="1671" t="s">
        <v>49</v>
      </c>
      <c r="J1310" s="1668"/>
      <c r="K1310" s="1668"/>
      <c r="L1310" s="1669"/>
    </row>
    <row r="1311" spans="1:12" s="692" customFormat="1" ht="16.5" hidden="1">
      <c r="A1311" s="1665"/>
      <c r="B1311" s="1666"/>
      <c r="C1311" s="688"/>
      <c r="D1311" s="1667"/>
      <c r="E1311" s="1671">
        <v>3.5</v>
      </c>
      <c r="F1311" s="1671">
        <v>4</v>
      </c>
      <c r="G1311" s="1672">
        <v>0.15</v>
      </c>
      <c r="H1311" s="1671">
        <f t="shared" si="169"/>
        <v>0</v>
      </c>
      <c r="I1311" s="1671" t="s">
        <v>49</v>
      </c>
      <c r="J1311" s="1668"/>
      <c r="K1311" s="1668"/>
      <c r="L1311" s="1669"/>
    </row>
    <row r="1312" spans="1:12" s="692" customFormat="1" ht="16.5" hidden="1">
      <c r="A1312" s="1665"/>
      <c r="B1312" s="1666"/>
      <c r="C1312" s="688"/>
      <c r="D1312" s="1667"/>
      <c r="E1312" s="1671"/>
      <c r="F1312" s="1671"/>
      <c r="G1312" s="1669" t="s">
        <v>928</v>
      </c>
      <c r="H1312" s="1673">
        <f>SUM(H1306:H1311)</f>
        <v>0</v>
      </c>
      <c r="I1312" s="1669" t="s">
        <v>49</v>
      </c>
      <c r="J1312" s="1669">
        <f>'Lead &amp; ANALYSIS'!L454</f>
        <v>5760.1</v>
      </c>
      <c r="K1312" s="1668" t="s">
        <v>1516</v>
      </c>
      <c r="L1312" s="1669">
        <f>ROUND(H1312*J1312,0)</f>
        <v>0</v>
      </c>
    </row>
    <row r="1313" spans="1:12" s="692" customFormat="1" ht="16.5" hidden="1">
      <c r="A1313" s="1665"/>
      <c r="B1313" s="1666" t="s">
        <v>448</v>
      </c>
      <c r="C1313" s="688"/>
      <c r="D1313" s="1667"/>
      <c r="E1313" s="688"/>
      <c r="F1313" s="688"/>
      <c r="G1313" s="1674"/>
      <c r="H1313" s="688"/>
      <c r="I1313" s="1668"/>
      <c r="J1313" s="1668"/>
      <c r="K1313" s="1668"/>
      <c r="L1313" s="1669"/>
    </row>
    <row r="1314" spans="1:12" s="692" customFormat="1" ht="16.5" hidden="1">
      <c r="A1314" s="1665"/>
      <c r="B1314" s="1666"/>
      <c r="C1314" s="688"/>
      <c r="D1314" s="1667"/>
      <c r="E1314" s="1671">
        <v>3.5</v>
      </c>
      <c r="F1314" s="1671">
        <v>4</v>
      </c>
      <c r="G1314" s="1672">
        <v>0.15</v>
      </c>
      <c r="H1314" s="1671">
        <f t="shared" ref="H1314:H1319" si="170">ROUND(D1314*E1314*F1314*G1314,2)</f>
        <v>0</v>
      </c>
      <c r="I1314" s="1671" t="s">
        <v>49</v>
      </c>
      <c r="J1314" s="1668"/>
      <c r="K1314" s="1668"/>
      <c r="L1314" s="1669"/>
    </row>
    <row r="1315" spans="1:12" s="692" customFormat="1" ht="16.5" hidden="1">
      <c r="A1315" s="1665"/>
      <c r="B1315" s="1666"/>
      <c r="C1315" s="688"/>
      <c r="D1315" s="1667"/>
      <c r="E1315" s="1671">
        <v>3.5</v>
      </c>
      <c r="F1315" s="1671">
        <v>4</v>
      </c>
      <c r="G1315" s="1672">
        <v>0.15</v>
      </c>
      <c r="H1315" s="1671">
        <f t="shared" si="170"/>
        <v>0</v>
      </c>
      <c r="I1315" s="1671" t="s">
        <v>49</v>
      </c>
      <c r="J1315" s="1668"/>
      <c r="K1315" s="1668"/>
      <c r="L1315" s="1669"/>
    </row>
    <row r="1316" spans="1:12" s="692" customFormat="1" ht="16.5" hidden="1">
      <c r="A1316" s="1665"/>
      <c r="B1316" s="1666"/>
      <c r="C1316" s="688"/>
      <c r="D1316" s="1667"/>
      <c r="E1316" s="1671">
        <v>3.5</v>
      </c>
      <c r="F1316" s="1671">
        <v>4</v>
      </c>
      <c r="G1316" s="1672">
        <v>0.15</v>
      </c>
      <c r="H1316" s="1671">
        <f t="shared" si="170"/>
        <v>0</v>
      </c>
      <c r="I1316" s="1671" t="s">
        <v>49</v>
      </c>
      <c r="J1316" s="1668"/>
      <c r="K1316" s="1668"/>
      <c r="L1316" s="1669"/>
    </row>
    <row r="1317" spans="1:12" s="692" customFormat="1" ht="16.5" hidden="1">
      <c r="A1317" s="1665"/>
      <c r="B1317" s="1666"/>
      <c r="C1317" s="688"/>
      <c r="D1317" s="1667"/>
      <c r="E1317" s="1671">
        <v>3.5</v>
      </c>
      <c r="F1317" s="1671">
        <v>4</v>
      </c>
      <c r="G1317" s="1672">
        <v>0.15</v>
      </c>
      <c r="H1317" s="1671">
        <f t="shared" si="170"/>
        <v>0</v>
      </c>
      <c r="I1317" s="1671" t="s">
        <v>49</v>
      </c>
      <c r="J1317" s="1668"/>
      <c r="K1317" s="1668"/>
      <c r="L1317" s="1669"/>
    </row>
    <row r="1318" spans="1:12" s="692" customFormat="1" ht="16.5" hidden="1">
      <c r="A1318" s="1665"/>
      <c r="B1318" s="1666"/>
      <c r="C1318" s="688"/>
      <c r="D1318" s="1667"/>
      <c r="E1318" s="1671">
        <v>3.5</v>
      </c>
      <c r="F1318" s="1671">
        <v>4</v>
      </c>
      <c r="G1318" s="1672">
        <v>0.15</v>
      </c>
      <c r="H1318" s="1671">
        <f t="shared" si="170"/>
        <v>0</v>
      </c>
      <c r="I1318" s="1671" t="s">
        <v>49</v>
      </c>
      <c r="J1318" s="1668"/>
      <c r="K1318" s="1668"/>
      <c r="L1318" s="1669"/>
    </row>
    <row r="1319" spans="1:12" s="692" customFormat="1" ht="16.5" hidden="1">
      <c r="A1319" s="1665"/>
      <c r="B1319" s="1666"/>
      <c r="C1319" s="688"/>
      <c r="D1319" s="1667"/>
      <c r="E1319" s="1671">
        <v>3.5</v>
      </c>
      <c r="F1319" s="1671">
        <v>4</v>
      </c>
      <c r="G1319" s="1672">
        <v>0.15</v>
      </c>
      <c r="H1319" s="1671">
        <f t="shared" si="170"/>
        <v>0</v>
      </c>
      <c r="I1319" s="1671" t="s">
        <v>49</v>
      </c>
      <c r="J1319" s="1668"/>
      <c r="K1319" s="1668"/>
      <c r="L1319" s="1669"/>
    </row>
    <row r="1320" spans="1:12" s="692" customFormat="1" ht="16.5" hidden="1">
      <c r="A1320" s="1665"/>
      <c r="B1320" s="1666"/>
      <c r="C1320" s="688"/>
      <c r="D1320" s="1667"/>
      <c r="E1320" s="1671"/>
      <c r="F1320" s="1671"/>
      <c r="G1320" s="1669" t="s">
        <v>928</v>
      </c>
      <c r="H1320" s="1673">
        <f>SUM(H1314:H1319)</f>
        <v>0</v>
      </c>
      <c r="I1320" s="1669" t="s">
        <v>49</v>
      </c>
      <c r="J1320" s="1669">
        <f>'Lead &amp; ANALYSIS'!L455</f>
        <v>6001.6</v>
      </c>
      <c r="K1320" s="1668" t="s">
        <v>1516</v>
      </c>
      <c r="L1320" s="1669">
        <f>ROUND(H1320*J1320,0)</f>
        <v>0</v>
      </c>
    </row>
    <row r="1321" spans="1:12" s="692" customFormat="1" ht="39.6" hidden="1" customHeight="1">
      <c r="A1321" s="1665">
        <f>'Lead &amp; ANALYSIS'!A456</f>
        <v>43</v>
      </c>
      <c r="B1321" s="1666" t="str">
        <f>'Lead &amp; ANALYSIS'!B456</f>
        <v>R.R.H.G. Stone Masonry in cement mortar (1:4) in foundation &amp; plinth including cost,conveyance &amp; royality of all materials and labour charges etc. complete. in all respect as directed by the Engineer-in-charge.</v>
      </c>
      <c r="C1321" s="688"/>
      <c r="D1321" s="1667"/>
      <c r="E1321" s="688"/>
      <c r="F1321" s="688"/>
      <c r="G1321" s="1674"/>
      <c r="H1321" s="688"/>
      <c r="I1321" s="1668"/>
      <c r="J1321" s="1668"/>
      <c r="K1321" s="1668"/>
      <c r="L1321" s="1669"/>
    </row>
    <row r="1322" spans="1:12" s="692" customFormat="1" ht="16.5" hidden="1">
      <c r="A1322" s="1665"/>
      <c r="B1322" s="1666"/>
      <c r="C1322" s="688"/>
      <c r="D1322" s="1667"/>
      <c r="E1322" s="1671">
        <v>3.5</v>
      </c>
      <c r="F1322" s="1671">
        <v>4</v>
      </c>
      <c r="G1322" s="1672">
        <v>0.15</v>
      </c>
      <c r="H1322" s="1671">
        <f t="shared" ref="H1322:H1327" si="171">ROUND(D1322*E1322*F1322*G1322,2)</f>
        <v>0</v>
      </c>
      <c r="I1322" s="1671" t="s">
        <v>49</v>
      </c>
      <c r="J1322" s="1668"/>
      <c r="K1322" s="1668"/>
      <c r="L1322" s="1669"/>
    </row>
    <row r="1323" spans="1:12" s="692" customFormat="1" ht="16.5" hidden="1">
      <c r="A1323" s="1665"/>
      <c r="B1323" s="1666"/>
      <c r="C1323" s="688"/>
      <c r="D1323" s="1667"/>
      <c r="E1323" s="1671">
        <v>3.5</v>
      </c>
      <c r="F1323" s="1671">
        <v>4</v>
      </c>
      <c r="G1323" s="1672">
        <v>0.15</v>
      </c>
      <c r="H1323" s="1671">
        <f t="shared" si="171"/>
        <v>0</v>
      </c>
      <c r="I1323" s="1671" t="s">
        <v>49</v>
      </c>
      <c r="J1323" s="1668"/>
      <c r="K1323" s="1668"/>
      <c r="L1323" s="1669"/>
    </row>
    <row r="1324" spans="1:12" s="692" customFormat="1" ht="16.5" hidden="1">
      <c r="A1324" s="1665"/>
      <c r="B1324" s="1666"/>
      <c r="C1324" s="688"/>
      <c r="D1324" s="1667"/>
      <c r="E1324" s="1671">
        <v>3.5</v>
      </c>
      <c r="F1324" s="1671">
        <v>4</v>
      </c>
      <c r="G1324" s="1672">
        <v>0.15</v>
      </c>
      <c r="H1324" s="1671">
        <f t="shared" si="171"/>
        <v>0</v>
      </c>
      <c r="I1324" s="1671" t="s">
        <v>49</v>
      </c>
      <c r="J1324" s="1668"/>
      <c r="K1324" s="1668"/>
      <c r="L1324" s="1669"/>
    </row>
    <row r="1325" spans="1:12" s="692" customFormat="1" ht="16.5" hidden="1">
      <c r="A1325" s="1665"/>
      <c r="B1325" s="1666"/>
      <c r="C1325" s="688"/>
      <c r="D1325" s="1667"/>
      <c r="E1325" s="1671">
        <v>3.5</v>
      </c>
      <c r="F1325" s="1671">
        <v>4</v>
      </c>
      <c r="G1325" s="1672">
        <v>0.15</v>
      </c>
      <c r="H1325" s="1671">
        <f t="shared" si="171"/>
        <v>0</v>
      </c>
      <c r="I1325" s="1671" t="s">
        <v>49</v>
      </c>
      <c r="J1325" s="1668"/>
      <c r="K1325" s="1668"/>
      <c r="L1325" s="1669"/>
    </row>
    <row r="1326" spans="1:12" s="692" customFormat="1" ht="16.5" hidden="1">
      <c r="A1326" s="1665"/>
      <c r="B1326" s="1666"/>
      <c r="C1326" s="688"/>
      <c r="D1326" s="1667"/>
      <c r="E1326" s="1671">
        <v>3.5</v>
      </c>
      <c r="F1326" s="1671">
        <v>4</v>
      </c>
      <c r="G1326" s="1672">
        <v>0.15</v>
      </c>
      <c r="H1326" s="1671">
        <f t="shared" si="171"/>
        <v>0</v>
      </c>
      <c r="I1326" s="1671" t="s">
        <v>49</v>
      </c>
      <c r="J1326" s="1668"/>
      <c r="K1326" s="1668"/>
      <c r="L1326" s="1669"/>
    </row>
    <row r="1327" spans="1:12" s="692" customFormat="1" ht="16.5" hidden="1">
      <c r="A1327" s="1665"/>
      <c r="B1327" s="1666"/>
      <c r="C1327" s="688"/>
      <c r="D1327" s="1667"/>
      <c r="E1327" s="1671">
        <v>3.5</v>
      </c>
      <c r="F1327" s="1671">
        <v>4</v>
      </c>
      <c r="G1327" s="1672">
        <v>0.15</v>
      </c>
      <c r="H1327" s="1671">
        <f t="shared" si="171"/>
        <v>0</v>
      </c>
      <c r="I1327" s="1671" t="s">
        <v>49</v>
      </c>
      <c r="J1327" s="1668"/>
      <c r="K1327" s="1668"/>
      <c r="L1327" s="1669"/>
    </row>
    <row r="1328" spans="1:12" s="692" customFormat="1" ht="16.5" hidden="1">
      <c r="A1328" s="1665"/>
      <c r="B1328" s="1666"/>
      <c r="C1328" s="688"/>
      <c r="D1328" s="1667"/>
      <c r="E1328" s="1671"/>
      <c r="F1328" s="1671"/>
      <c r="G1328" s="1669" t="s">
        <v>928</v>
      </c>
      <c r="H1328" s="1673">
        <f>SUM(H1322:H1327)</f>
        <v>0</v>
      </c>
      <c r="I1328" s="1669" t="s">
        <v>49</v>
      </c>
      <c r="J1328" s="1669">
        <f>'Lead &amp; ANALYSIS'!L456</f>
        <v>4929.3999999999996</v>
      </c>
      <c r="K1328" s="1668" t="s">
        <v>1516</v>
      </c>
      <c r="L1328" s="1669">
        <f>ROUND(H1328*J1328,0)</f>
        <v>0</v>
      </c>
    </row>
    <row r="1329" spans="1:12" s="692" customFormat="1" ht="82.5" hidden="1">
      <c r="A1329" s="1665">
        <f>'Lead &amp; ANALYSIS'!A457</f>
        <v>44</v>
      </c>
      <c r="B1329" s="1666" t="str">
        <f>'Lead &amp; ANALYSIS'!B457</f>
        <v>R.R.H.G. Stone Masonry in cement mortar (1:6) in foundation &amp; plinth including cost,conveyance &amp; royality of all materials and labour charges etc. complete. in all respect as directed by the Engineer-in-charge.</v>
      </c>
      <c r="C1329" s="688"/>
      <c r="D1329" s="1667"/>
      <c r="E1329" s="688"/>
      <c r="F1329" s="688"/>
      <c r="G1329" s="1674"/>
      <c r="H1329" s="688"/>
      <c r="I1329" s="1668"/>
      <c r="J1329" s="1668"/>
      <c r="K1329" s="1668"/>
      <c r="L1329" s="1669"/>
    </row>
    <row r="1330" spans="1:12" s="692" customFormat="1" ht="16.5" hidden="1">
      <c r="A1330" s="1665"/>
      <c r="B1330" s="1666"/>
      <c r="C1330" s="688"/>
      <c r="D1330" s="1667"/>
      <c r="E1330" s="1671">
        <v>3.5</v>
      </c>
      <c r="F1330" s="1671">
        <v>4</v>
      </c>
      <c r="G1330" s="1672">
        <v>0.15</v>
      </c>
      <c r="H1330" s="1671">
        <f t="shared" ref="H1330:H1335" si="172">ROUND(D1330*E1330*F1330*G1330,2)</f>
        <v>0</v>
      </c>
      <c r="I1330" s="1671" t="s">
        <v>49</v>
      </c>
      <c r="J1330" s="1668"/>
      <c r="K1330" s="1668"/>
      <c r="L1330" s="1669"/>
    </row>
    <row r="1331" spans="1:12" s="692" customFormat="1" ht="16.5" hidden="1">
      <c r="A1331" s="1665"/>
      <c r="B1331" s="1666"/>
      <c r="C1331" s="688"/>
      <c r="D1331" s="1667"/>
      <c r="E1331" s="1671">
        <v>3.5</v>
      </c>
      <c r="F1331" s="1671">
        <v>4</v>
      </c>
      <c r="G1331" s="1672">
        <v>0.15</v>
      </c>
      <c r="H1331" s="1671">
        <f t="shared" si="172"/>
        <v>0</v>
      </c>
      <c r="I1331" s="1671" t="s">
        <v>49</v>
      </c>
      <c r="J1331" s="1668"/>
      <c r="K1331" s="1668"/>
      <c r="L1331" s="1669"/>
    </row>
    <row r="1332" spans="1:12" s="692" customFormat="1" ht="16.5" hidden="1">
      <c r="A1332" s="1665"/>
      <c r="B1332" s="1666"/>
      <c r="C1332" s="688"/>
      <c r="D1332" s="1667"/>
      <c r="E1332" s="1671">
        <v>3.5</v>
      </c>
      <c r="F1332" s="1671">
        <v>4</v>
      </c>
      <c r="G1332" s="1672">
        <v>0.15</v>
      </c>
      <c r="H1332" s="1671">
        <f t="shared" si="172"/>
        <v>0</v>
      </c>
      <c r="I1332" s="1671" t="s">
        <v>49</v>
      </c>
      <c r="J1332" s="1668"/>
      <c r="K1332" s="1668"/>
      <c r="L1332" s="1669"/>
    </row>
    <row r="1333" spans="1:12" s="692" customFormat="1" ht="16.5" hidden="1">
      <c r="A1333" s="1665"/>
      <c r="B1333" s="1666"/>
      <c r="C1333" s="688"/>
      <c r="D1333" s="1667"/>
      <c r="E1333" s="1671">
        <v>3.5</v>
      </c>
      <c r="F1333" s="1671">
        <v>4</v>
      </c>
      <c r="G1333" s="1672">
        <v>0.15</v>
      </c>
      <c r="H1333" s="1671">
        <f t="shared" si="172"/>
        <v>0</v>
      </c>
      <c r="I1333" s="1671" t="s">
        <v>49</v>
      </c>
      <c r="J1333" s="1668"/>
      <c r="K1333" s="1668"/>
      <c r="L1333" s="1669"/>
    </row>
    <row r="1334" spans="1:12" s="692" customFormat="1" ht="16.5" hidden="1">
      <c r="A1334" s="1665"/>
      <c r="B1334" s="1666"/>
      <c r="C1334" s="688"/>
      <c r="D1334" s="1667"/>
      <c r="E1334" s="1671">
        <v>3.5</v>
      </c>
      <c r="F1334" s="1671">
        <v>4</v>
      </c>
      <c r="G1334" s="1672">
        <v>0.15</v>
      </c>
      <c r="H1334" s="1671">
        <f t="shared" si="172"/>
        <v>0</v>
      </c>
      <c r="I1334" s="1671" t="s">
        <v>49</v>
      </c>
      <c r="J1334" s="1668"/>
      <c r="K1334" s="1668"/>
      <c r="L1334" s="1669"/>
    </row>
    <row r="1335" spans="1:12" s="692" customFormat="1" ht="16.5" hidden="1">
      <c r="A1335" s="1665"/>
      <c r="B1335" s="1666"/>
      <c r="C1335" s="688"/>
      <c r="D1335" s="1667"/>
      <c r="E1335" s="1671">
        <v>3.5</v>
      </c>
      <c r="F1335" s="1671">
        <v>4</v>
      </c>
      <c r="G1335" s="1672">
        <v>0.15</v>
      </c>
      <c r="H1335" s="1671">
        <f t="shared" si="172"/>
        <v>0</v>
      </c>
      <c r="I1335" s="1671" t="s">
        <v>49</v>
      </c>
      <c r="J1335" s="1668"/>
      <c r="K1335" s="1668"/>
      <c r="L1335" s="1669"/>
    </row>
    <row r="1336" spans="1:12" s="692" customFormat="1" ht="16.5" hidden="1">
      <c r="A1336" s="1665"/>
      <c r="B1336" s="1666"/>
      <c r="C1336" s="688"/>
      <c r="D1336" s="1667"/>
      <c r="E1336" s="1671"/>
      <c r="F1336" s="1671"/>
      <c r="G1336" s="1669" t="s">
        <v>928</v>
      </c>
      <c r="H1336" s="1673">
        <f>SUM(H1330:H1335)</f>
        <v>0</v>
      </c>
      <c r="I1336" s="1669" t="s">
        <v>49</v>
      </c>
      <c r="J1336" s="1669">
        <f>'Lead &amp; ANALYSIS'!L457</f>
        <v>4649.7</v>
      </c>
      <c r="K1336" s="1668" t="s">
        <v>3150</v>
      </c>
      <c r="L1336" s="1669">
        <f>ROUND(H1336*J1336,0)</f>
        <v>0</v>
      </c>
    </row>
    <row r="1337" spans="1:12" s="692" customFormat="1" ht="82.5" hidden="1">
      <c r="A1337" s="1665">
        <f>'Lead &amp; ANALYSIS'!A458</f>
        <v>45</v>
      </c>
      <c r="B1337" s="1666" t="str">
        <f>'Lead &amp; ANALYSIS'!B458</f>
        <v>Providing 2.5cm thick Damp Proof Course with cement concrete (1:2:4) using 12mm size black hard granite crusher broken chips and screened &amp; washed sharp sand for mortar  etc. complete in all respect as directed by the Engineer in charge.</v>
      </c>
      <c r="C1337" s="688"/>
      <c r="D1337" s="1667"/>
      <c r="E1337" s="688"/>
      <c r="F1337" s="688"/>
      <c r="G1337" s="1674"/>
      <c r="H1337" s="688"/>
      <c r="I1337" s="1668"/>
      <c r="J1337" s="1668"/>
      <c r="K1337" s="1668"/>
      <c r="L1337" s="1669"/>
    </row>
    <row r="1338" spans="1:12" s="692" customFormat="1" ht="16.5" hidden="1">
      <c r="A1338" s="1665"/>
      <c r="B1338" s="1666"/>
      <c r="C1338" s="688"/>
      <c r="D1338" s="1667"/>
      <c r="E1338" s="1671">
        <v>3.5</v>
      </c>
      <c r="F1338" s="1671">
        <v>4</v>
      </c>
      <c r="G1338" s="1672">
        <v>0.15</v>
      </c>
      <c r="H1338" s="1671">
        <f t="shared" ref="H1338:H1343" si="173">ROUND(D1338*E1338*F1338*G1338,2)</f>
        <v>0</v>
      </c>
      <c r="I1338" s="1671" t="s">
        <v>49</v>
      </c>
      <c r="J1338" s="1668"/>
      <c r="K1338" s="1668"/>
      <c r="L1338" s="1669"/>
    </row>
    <row r="1339" spans="1:12" s="692" customFormat="1" ht="16.5" hidden="1">
      <c r="A1339" s="1665"/>
      <c r="B1339" s="1666"/>
      <c r="C1339" s="688"/>
      <c r="D1339" s="1667"/>
      <c r="E1339" s="1671">
        <v>3.5</v>
      </c>
      <c r="F1339" s="1671">
        <v>4</v>
      </c>
      <c r="G1339" s="1672">
        <v>0.15</v>
      </c>
      <c r="H1339" s="1671">
        <f t="shared" si="173"/>
        <v>0</v>
      </c>
      <c r="I1339" s="1671" t="s">
        <v>49</v>
      </c>
      <c r="J1339" s="1668"/>
      <c r="K1339" s="1668"/>
      <c r="L1339" s="1669"/>
    </row>
    <row r="1340" spans="1:12" s="692" customFormat="1" ht="16.5" hidden="1">
      <c r="A1340" s="1665"/>
      <c r="B1340" s="1666"/>
      <c r="C1340" s="688"/>
      <c r="D1340" s="1667"/>
      <c r="E1340" s="1671">
        <v>3.5</v>
      </c>
      <c r="F1340" s="1671">
        <v>4</v>
      </c>
      <c r="G1340" s="1672">
        <v>0.15</v>
      </c>
      <c r="H1340" s="1671">
        <f t="shared" si="173"/>
        <v>0</v>
      </c>
      <c r="I1340" s="1671" t="s">
        <v>49</v>
      </c>
      <c r="J1340" s="1668"/>
      <c r="K1340" s="1668"/>
      <c r="L1340" s="1669"/>
    </row>
    <row r="1341" spans="1:12" s="692" customFormat="1" ht="16.5" hidden="1">
      <c r="A1341" s="1665"/>
      <c r="B1341" s="1666"/>
      <c r="C1341" s="688"/>
      <c r="D1341" s="1667"/>
      <c r="E1341" s="1671">
        <v>3.5</v>
      </c>
      <c r="F1341" s="1671">
        <v>4</v>
      </c>
      <c r="G1341" s="1672">
        <v>0.15</v>
      </c>
      <c r="H1341" s="1671">
        <f t="shared" si="173"/>
        <v>0</v>
      </c>
      <c r="I1341" s="1671" t="s">
        <v>49</v>
      </c>
      <c r="J1341" s="1668"/>
      <c r="K1341" s="1668"/>
      <c r="L1341" s="1669"/>
    </row>
    <row r="1342" spans="1:12" s="692" customFormat="1" ht="16.5" hidden="1">
      <c r="A1342" s="1665"/>
      <c r="B1342" s="1666"/>
      <c r="C1342" s="688"/>
      <c r="D1342" s="1667"/>
      <c r="E1342" s="1671">
        <v>3.5</v>
      </c>
      <c r="F1342" s="1671">
        <v>4</v>
      </c>
      <c r="G1342" s="1672">
        <v>0.15</v>
      </c>
      <c r="H1342" s="1671">
        <f t="shared" si="173"/>
        <v>0</v>
      </c>
      <c r="I1342" s="1671" t="s">
        <v>49</v>
      </c>
      <c r="J1342" s="1668"/>
      <c r="K1342" s="1668"/>
      <c r="L1342" s="1669"/>
    </row>
    <row r="1343" spans="1:12" s="692" customFormat="1" ht="16.5" hidden="1">
      <c r="A1343" s="1665"/>
      <c r="B1343" s="1666"/>
      <c r="C1343" s="688"/>
      <c r="D1343" s="1667"/>
      <c r="E1343" s="1671">
        <v>3.5</v>
      </c>
      <c r="F1343" s="1671">
        <v>4</v>
      </c>
      <c r="G1343" s="1672">
        <v>0.15</v>
      </c>
      <c r="H1343" s="1671">
        <f t="shared" si="173"/>
        <v>0</v>
      </c>
      <c r="I1343" s="1671" t="s">
        <v>49</v>
      </c>
      <c r="J1343" s="1668"/>
      <c r="K1343" s="1668"/>
      <c r="L1343" s="1669"/>
    </row>
    <row r="1344" spans="1:12" s="692" customFormat="1" ht="16.5" hidden="1">
      <c r="A1344" s="1665"/>
      <c r="B1344" s="1666"/>
      <c r="C1344" s="688"/>
      <c r="D1344" s="1667"/>
      <c r="E1344" s="1671"/>
      <c r="F1344" s="1671"/>
      <c r="G1344" s="1669" t="s">
        <v>928</v>
      </c>
      <c r="H1344" s="1673">
        <f>SUM(H1338:H1343)</f>
        <v>0</v>
      </c>
      <c r="I1344" s="1669" t="s">
        <v>49</v>
      </c>
      <c r="J1344" s="1669">
        <f>'Lead &amp; ANALYSIS'!L458</f>
        <v>330.8</v>
      </c>
      <c r="K1344" s="1668" t="s">
        <v>3150</v>
      </c>
      <c r="L1344" s="1669">
        <f>ROUND(H1344*J1344,0)</f>
        <v>0</v>
      </c>
    </row>
    <row r="1345" spans="1:12" s="692" customFormat="1" ht="66">
      <c r="A1345" s="1665">
        <v>5</v>
      </c>
      <c r="B1345" s="1666" t="str">
        <f>'Lead &amp; ANALYSIS'!B459</f>
        <v>Back Filling of surplus excavated earth at work site by initial lead of 50.00mtr and initial lift of 1.50mtr including cost of all labour T&amp;P required for the work etc. complete as directed by Engineer-In-Charge</v>
      </c>
      <c r="C1345" s="688"/>
      <c r="D1345" s="1667"/>
      <c r="E1345" s="688"/>
      <c r="F1345" s="688"/>
      <c r="G1345" s="1674"/>
      <c r="H1345" s="688"/>
      <c r="I1345" s="1668"/>
      <c r="J1345" s="1668"/>
      <c r="K1345" s="1668"/>
      <c r="L1345" s="1669"/>
    </row>
    <row r="1346" spans="1:12" s="692" customFormat="1" ht="16.5">
      <c r="A1346" s="1665"/>
      <c r="B1346" s="1666" t="s">
        <v>2986</v>
      </c>
      <c r="C1346" s="688"/>
      <c r="D1346" s="1667"/>
      <c r="E1346" s="1671"/>
      <c r="F1346" s="1671"/>
      <c r="G1346" s="1669" t="s">
        <v>928</v>
      </c>
      <c r="H1346" s="1673">
        <f>H751</f>
        <v>0</v>
      </c>
      <c r="I1346" s="1673" t="s">
        <v>49</v>
      </c>
      <c r="J1346" s="1669">
        <f>'Lead &amp; ANALYSIS'!L459</f>
        <v>98.9</v>
      </c>
      <c r="K1346" s="1668" t="s">
        <v>3150</v>
      </c>
      <c r="L1346" s="1669">
        <f>ROUND(H1346*J1346,0)</f>
        <v>0</v>
      </c>
    </row>
    <row r="1347" spans="1:12" s="692" customFormat="1" ht="16.5">
      <c r="A1347" s="1665"/>
      <c r="B1347" s="1666"/>
      <c r="C1347" s="688"/>
      <c r="D1347" s="1667"/>
      <c r="E1347" s="688"/>
      <c r="F1347" s="688"/>
      <c r="G1347" s="1674"/>
      <c r="H1347" s="688"/>
      <c r="I1347" s="1668"/>
      <c r="J1347" s="1668"/>
      <c r="K1347" s="1668"/>
      <c r="L1347" s="1669"/>
    </row>
    <row r="1348" spans="1:12" s="692" customFormat="1" ht="66">
      <c r="A1348" s="1665">
        <v>6</v>
      </c>
      <c r="B1348" s="1666" t="str">
        <f>'Lead &amp; ANALYSIS'!B460</f>
        <v>R.C.C. M20  using  20 mm to 10mm  size black hard crusher broken granite stone chips of approved quality and from approved quarry  etc. complete in all respect .</v>
      </c>
      <c r="C1348" s="688"/>
      <c r="D1348" s="1667"/>
      <c r="E1348" s="688"/>
      <c r="F1348" s="688"/>
      <c r="G1348" s="1674"/>
      <c r="H1348" s="688"/>
      <c r="I1348" s="1668"/>
      <c r="J1348" s="1668"/>
      <c r="K1348" s="1668"/>
      <c r="L1348" s="1669"/>
    </row>
    <row r="1349" spans="1:12" s="692" customFormat="1" ht="16.5">
      <c r="A1349" s="1665" t="s">
        <v>2977</v>
      </c>
      <c r="B1349" s="1675" t="s">
        <v>384</v>
      </c>
      <c r="C1349" s="688"/>
      <c r="D1349" s="1667"/>
      <c r="E1349" s="688"/>
      <c r="F1349" s="688"/>
      <c r="G1349" s="1674"/>
      <c r="H1349" s="688"/>
      <c r="I1349" s="1668"/>
      <c r="J1349" s="1668"/>
      <c r="K1349" s="1668"/>
      <c r="L1349" s="1669"/>
    </row>
    <row r="1350" spans="1:12" s="692" customFormat="1" ht="16.5">
      <c r="A1350" s="1665" t="s">
        <v>201</v>
      </c>
      <c r="B1350" s="1666" t="s">
        <v>1824</v>
      </c>
      <c r="C1350" s="688"/>
      <c r="D1350" s="1667"/>
      <c r="E1350" s="688"/>
      <c r="F1350" s="688"/>
      <c r="G1350" s="1674"/>
      <c r="H1350" s="688"/>
      <c r="I1350" s="1668"/>
      <c r="J1350" s="1668"/>
      <c r="K1350" s="1668"/>
      <c r="L1350" s="1669"/>
    </row>
    <row r="1351" spans="1:12" s="692" customFormat="1" ht="16.5" hidden="1">
      <c r="A1351" s="1665"/>
      <c r="B1351" s="1666"/>
      <c r="C1351" s="688"/>
      <c r="D1351" s="1667"/>
      <c r="E1351" s="1671">
        <v>3.5</v>
      </c>
      <c r="F1351" s="1671">
        <v>4</v>
      </c>
      <c r="G1351" s="1672">
        <v>0.15</v>
      </c>
      <c r="H1351" s="1671">
        <f t="shared" ref="H1351:H1356" si="174">ROUND(D1351*E1351*F1351*G1351,2)</f>
        <v>0</v>
      </c>
      <c r="I1351" s="1671" t="s">
        <v>49</v>
      </c>
      <c r="J1351" s="1668"/>
      <c r="K1351" s="1668"/>
      <c r="L1351" s="1669"/>
    </row>
    <row r="1352" spans="1:12" s="692" customFormat="1" ht="16.5" hidden="1">
      <c r="A1352" s="1665"/>
      <c r="B1352" s="1666"/>
      <c r="C1352" s="688"/>
      <c r="D1352" s="1667"/>
      <c r="E1352" s="1671">
        <v>3.5</v>
      </c>
      <c r="F1352" s="1671">
        <v>4</v>
      </c>
      <c r="G1352" s="1672">
        <v>0.15</v>
      </c>
      <c r="H1352" s="1671">
        <f t="shared" si="174"/>
        <v>0</v>
      </c>
      <c r="I1352" s="1671" t="s">
        <v>49</v>
      </c>
      <c r="J1352" s="1668"/>
      <c r="K1352" s="1668"/>
      <c r="L1352" s="1669"/>
    </row>
    <row r="1353" spans="1:12" s="692" customFormat="1" ht="16.5" hidden="1">
      <c r="A1353" s="1665"/>
      <c r="B1353" s="1666"/>
      <c r="C1353" s="688"/>
      <c r="D1353" s="1667"/>
      <c r="E1353" s="1671">
        <v>3.5</v>
      </c>
      <c r="F1353" s="1671">
        <v>4</v>
      </c>
      <c r="G1353" s="1672">
        <v>0.15</v>
      </c>
      <c r="H1353" s="1671">
        <f t="shared" si="174"/>
        <v>0</v>
      </c>
      <c r="I1353" s="1671" t="s">
        <v>49</v>
      </c>
      <c r="J1353" s="1668"/>
      <c r="K1353" s="1668"/>
      <c r="L1353" s="1669"/>
    </row>
    <row r="1354" spans="1:12" s="692" customFormat="1" ht="16.5" hidden="1">
      <c r="A1354" s="1665"/>
      <c r="B1354" s="1666"/>
      <c r="C1354" s="688"/>
      <c r="D1354" s="1667"/>
      <c r="E1354" s="1671">
        <v>3.5</v>
      </c>
      <c r="F1354" s="1671">
        <v>4</v>
      </c>
      <c r="G1354" s="1672">
        <v>0.15</v>
      </c>
      <c r="H1354" s="1671">
        <f t="shared" si="174"/>
        <v>0</v>
      </c>
      <c r="I1354" s="1671" t="s">
        <v>49</v>
      </c>
      <c r="J1354" s="1668"/>
      <c r="K1354" s="1668"/>
      <c r="L1354" s="1669"/>
    </row>
    <row r="1355" spans="1:12" s="692" customFormat="1" ht="16.5" hidden="1">
      <c r="A1355" s="1665"/>
      <c r="B1355" s="1666"/>
      <c r="C1355" s="688"/>
      <c r="D1355" s="1667"/>
      <c r="E1355" s="1671">
        <v>3.5</v>
      </c>
      <c r="F1355" s="1671">
        <v>4</v>
      </c>
      <c r="G1355" s="1672">
        <v>0.15</v>
      </c>
      <c r="H1355" s="1671">
        <f t="shared" si="174"/>
        <v>0</v>
      </c>
      <c r="I1355" s="1671" t="s">
        <v>49</v>
      </c>
      <c r="J1355" s="1668"/>
      <c r="K1355" s="1668"/>
      <c r="L1355" s="1669"/>
    </row>
    <row r="1356" spans="1:12" s="692" customFormat="1" ht="16.5" hidden="1">
      <c r="A1356" s="1665"/>
      <c r="B1356" s="1666"/>
      <c r="C1356" s="688"/>
      <c r="D1356" s="1667"/>
      <c r="E1356" s="1671">
        <v>3.5</v>
      </c>
      <c r="F1356" s="1671">
        <v>4</v>
      </c>
      <c r="G1356" s="1672">
        <v>0.15</v>
      </c>
      <c r="H1356" s="1671">
        <f t="shared" si="174"/>
        <v>0</v>
      </c>
      <c r="I1356" s="1671" t="s">
        <v>49</v>
      </c>
      <c r="J1356" s="1668"/>
      <c r="K1356" s="1668"/>
      <c r="L1356" s="1669"/>
    </row>
    <row r="1357" spans="1:12" s="692" customFormat="1" ht="16.5" hidden="1">
      <c r="A1357" s="1665"/>
      <c r="B1357" s="1666"/>
      <c r="C1357" s="688"/>
      <c r="D1357" s="1667"/>
      <c r="E1357" s="1671"/>
      <c r="F1357" s="1671"/>
      <c r="G1357" s="1669" t="s">
        <v>928</v>
      </c>
      <c r="H1357" s="1673">
        <f>SUM(H1351:H1356)</f>
        <v>0</v>
      </c>
      <c r="I1357" s="1669" t="s">
        <v>49</v>
      </c>
      <c r="J1357" s="1668"/>
      <c r="K1357" s="1668"/>
      <c r="L1357" s="1669"/>
    </row>
    <row r="1358" spans="1:12" s="692" customFormat="1" ht="16.5">
      <c r="A1358" s="1665"/>
      <c r="B1358" s="1666" t="s">
        <v>1773</v>
      </c>
      <c r="C1358" s="688"/>
      <c r="D1358" s="1667">
        <f>D1165</f>
        <v>4</v>
      </c>
      <c r="E1358" s="1671">
        <f>E742</f>
        <v>0</v>
      </c>
      <c r="F1358" s="1671">
        <v>1.8</v>
      </c>
      <c r="G1358" s="1672">
        <v>0.4</v>
      </c>
      <c r="H1358" s="1671">
        <f t="shared" ref="H1358:H1363" si="175">ROUND(D1358*E1358*F1358*G1358,2)</f>
        <v>0</v>
      </c>
      <c r="I1358" s="1671" t="s">
        <v>49</v>
      </c>
      <c r="J1358" s="1668"/>
      <c r="K1358" s="1668"/>
      <c r="L1358" s="1669"/>
    </row>
    <row r="1359" spans="1:12" s="692" customFormat="1" ht="16.5">
      <c r="A1359" s="1665"/>
      <c r="B1359" s="1666"/>
      <c r="C1359" s="688"/>
      <c r="D1359" s="1667">
        <f>D1166</f>
        <v>14</v>
      </c>
      <c r="E1359" s="1671">
        <f>E743</f>
        <v>0</v>
      </c>
      <c r="F1359" s="1671">
        <f>F743</f>
        <v>0</v>
      </c>
      <c r="G1359" s="1672">
        <v>0.4</v>
      </c>
      <c r="H1359" s="1671">
        <f t="shared" si="175"/>
        <v>0</v>
      </c>
      <c r="I1359" s="1671" t="s">
        <v>49</v>
      </c>
      <c r="J1359" s="1668"/>
      <c r="K1359" s="1668"/>
      <c r="L1359" s="1669"/>
    </row>
    <row r="1360" spans="1:12" s="692" customFormat="1" ht="16.5">
      <c r="A1360" s="1665"/>
      <c r="B1360" s="1666" t="s">
        <v>1562</v>
      </c>
      <c r="C1360" s="688"/>
      <c r="D1360" s="1667">
        <f>D1358</f>
        <v>4</v>
      </c>
      <c r="E1360" s="1671">
        <v>0.3</v>
      </c>
      <c r="F1360" s="1682">
        <v>0.45</v>
      </c>
      <c r="G1360" s="1672">
        <v>0.4</v>
      </c>
      <c r="H1360" s="1671">
        <f t="shared" si="175"/>
        <v>0.22</v>
      </c>
      <c r="I1360" s="1671" t="s">
        <v>49</v>
      </c>
      <c r="J1360" s="1668"/>
      <c r="K1360" s="1668"/>
      <c r="L1360" s="1669"/>
    </row>
    <row r="1361" spans="1:12" s="692" customFormat="1" ht="16.5">
      <c r="A1361" s="1665"/>
      <c r="B1361" s="1666"/>
      <c r="C1361" s="688"/>
      <c r="D1361" s="1667">
        <f>D1359</f>
        <v>14</v>
      </c>
      <c r="E1361" s="1671">
        <v>0.25</v>
      </c>
      <c r="F1361" s="1671">
        <v>0.25</v>
      </c>
      <c r="G1361" s="1672">
        <v>0.4</v>
      </c>
      <c r="H1361" s="1671">
        <f t="shared" si="175"/>
        <v>0.35</v>
      </c>
      <c r="I1361" s="1671" t="s">
        <v>49</v>
      </c>
      <c r="J1361" s="1668"/>
      <c r="K1361" s="1668"/>
      <c r="L1361" s="1669"/>
    </row>
    <row r="1362" spans="1:12" s="692" customFormat="1" ht="16.5" hidden="1">
      <c r="A1362" s="1665"/>
      <c r="B1362" s="1666"/>
      <c r="C1362" s="688"/>
      <c r="D1362" s="1667"/>
      <c r="E1362" s="1671">
        <v>3.5</v>
      </c>
      <c r="F1362" s="1671">
        <v>4</v>
      </c>
      <c r="G1362" s="1672">
        <v>0.15</v>
      </c>
      <c r="H1362" s="1671">
        <f t="shared" si="175"/>
        <v>0</v>
      </c>
      <c r="I1362" s="1671" t="s">
        <v>49</v>
      </c>
      <c r="J1362" s="1668"/>
      <c r="K1362" s="1668"/>
      <c r="L1362" s="1669"/>
    </row>
    <row r="1363" spans="1:12" s="692" customFormat="1" ht="16.5" hidden="1">
      <c r="A1363" s="1665"/>
      <c r="B1363" s="1666"/>
      <c r="C1363" s="688"/>
      <c r="D1363" s="1667"/>
      <c r="E1363" s="1671">
        <v>3.5</v>
      </c>
      <c r="F1363" s="1671">
        <v>4</v>
      </c>
      <c r="G1363" s="1672">
        <v>0.15</v>
      </c>
      <c r="H1363" s="1671">
        <f t="shared" si="175"/>
        <v>0</v>
      </c>
      <c r="I1363" s="1671" t="s">
        <v>49</v>
      </c>
      <c r="J1363" s="1668"/>
      <c r="K1363" s="1668"/>
      <c r="L1363" s="1669"/>
    </row>
    <row r="1364" spans="1:12" s="692" customFormat="1" ht="16.5">
      <c r="A1364" s="1665"/>
      <c r="B1364" s="1666"/>
      <c r="C1364" s="688"/>
      <c r="D1364" s="1667"/>
      <c r="E1364" s="1671"/>
      <c r="F1364" s="1671"/>
      <c r="G1364" s="1669" t="s">
        <v>928</v>
      </c>
      <c r="H1364" s="1673">
        <f>SUM(H1358:H1363)</f>
        <v>0.56999999999999995</v>
      </c>
      <c r="I1364" s="1669" t="s">
        <v>49</v>
      </c>
      <c r="J1364" s="1669">
        <f>'Lead &amp; ANALYSIS'!L521</f>
        <v>6788.5</v>
      </c>
      <c r="K1364" s="1668" t="s">
        <v>1516</v>
      </c>
      <c r="L1364" s="1669">
        <f>ROUND(H1364*J1364,0)</f>
        <v>3869</v>
      </c>
    </row>
    <row r="1365" spans="1:12" s="692" customFormat="1" ht="16.5">
      <c r="A1365" s="1665" t="s">
        <v>220</v>
      </c>
      <c r="B1365" s="1666" t="s">
        <v>471</v>
      </c>
      <c r="C1365" s="688"/>
      <c r="D1365" s="1667"/>
      <c r="E1365" s="688"/>
      <c r="F1365" s="688"/>
      <c r="G1365" s="1674"/>
      <c r="H1365" s="688"/>
      <c r="I1365" s="1668"/>
      <c r="J1365" s="1668"/>
      <c r="K1365" s="1668"/>
      <c r="L1365" s="1669"/>
    </row>
    <row r="1366" spans="1:12" s="692" customFormat="1" ht="16.5" hidden="1">
      <c r="A1366" s="1665"/>
      <c r="B1366" s="1666"/>
      <c r="C1366" s="688"/>
      <c r="D1366" s="1667"/>
      <c r="E1366" s="1671">
        <f>E6+F1366</f>
        <v>0.25</v>
      </c>
      <c r="F1366" s="1671">
        <f>'DRAWING CC'!FS56</f>
        <v>0.25</v>
      </c>
      <c r="G1366" s="1672">
        <f>'DRAWING CC'!GI53</f>
        <v>0.15</v>
      </c>
      <c r="H1366" s="1671">
        <f t="shared" ref="H1366:H1371" si="176">ROUND(D1366*E1366*F1366*G1366,2)</f>
        <v>0</v>
      </c>
      <c r="I1366" s="1671" t="s">
        <v>49</v>
      </c>
      <c r="J1366" s="1668"/>
      <c r="K1366" s="1668"/>
      <c r="L1366" s="1669"/>
    </row>
    <row r="1367" spans="1:12" s="692" customFormat="1" ht="16.5" hidden="1">
      <c r="A1367" s="1665"/>
      <c r="B1367" s="1666"/>
      <c r="C1367" s="688"/>
      <c r="D1367" s="1667"/>
      <c r="E1367" s="1671">
        <f>E9-F1367</f>
        <v>-0.25</v>
      </c>
      <c r="F1367" s="1671">
        <f>F1366</f>
        <v>0.25</v>
      </c>
      <c r="G1367" s="1672">
        <f>G1366</f>
        <v>0.15</v>
      </c>
      <c r="H1367" s="1671">
        <f t="shared" si="176"/>
        <v>0</v>
      </c>
      <c r="I1367" s="1671" t="s">
        <v>49</v>
      </c>
      <c r="J1367" s="1668"/>
      <c r="K1367" s="1668"/>
      <c r="L1367" s="1669"/>
    </row>
    <row r="1368" spans="1:12" s="692" customFormat="1" ht="16.5" hidden="1">
      <c r="A1368" s="1665"/>
      <c r="B1368" s="1666"/>
      <c r="C1368" s="688"/>
      <c r="D1368" s="1667"/>
      <c r="E1368" s="1671"/>
      <c r="F1368" s="1671">
        <f>F1367</f>
        <v>0.25</v>
      </c>
      <c r="G1368" s="1672">
        <f>G1367</f>
        <v>0.15</v>
      </c>
      <c r="H1368" s="1671">
        <f t="shared" si="176"/>
        <v>0</v>
      </c>
      <c r="I1368" s="1671" t="s">
        <v>49</v>
      </c>
      <c r="J1368" s="1668"/>
      <c r="K1368" s="1668"/>
      <c r="L1368" s="1669"/>
    </row>
    <row r="1369" spans="1:12" s="692" customFormat="1" ht="16.5" hidden="1">
      <c r="A1369" s="1665"/>
      <c r="B1369" s="1666"/>
      <c r="C1369" s="688"/>
      <c r="D1369" s="1667"/>
      <c r="E1369" s="1671">
        <v>3.5</v>
      </c>
      <c r="F1369" s="1671">
        <v>4</v>
      </c>
      <c r="G1369" s="1672">
        <v>0.15</v>
      </c>
      <c r="H1369" s="1671">
        <f t="shared" si="176"/>
        <v>0</v>
      </c>
      <c r="I1369" s="1671" t="s">
        <v>49</v>
      </c>
      <c r="J1369" s="1668"/>
      <c r="K1369" s="1668"/>
      <c r="L1369" s="1669"/>
    </row>
    <row r="1370" spans="1:12" s="692" customFormat="1" ht="16.5" hidden="1">
      <c r="A1370" s="1665"/>
      <c r="B1370" s="1666"/>
      <c r="C1370" s="688"/>
      <c r="D1370" s="1667"/>
      <c r="E1370" s="1671">
        <v>3.5</v>
      </c>
      <c r="F1370" s="1671">
        <v>4</v>
      </c>
      <c r="G1370" s="1672">
        <v>0.15</v>
      </c>
      <c r="H1370" s="1671">
        <f t="shared" si="176"/>
        <v>0</v>
      </c>
      <c r="I1370" s="1671" t="s">
        <v>49</v>
      </c>
      <c r="J1370" s="1668"/>
      <c r="K1370" s="1668"/>
      <c r="L1370" s="1669"/>
    </row>
    <row r="1371" spans="1:12" s="692" customFormat="1" ht="16.5" hidden="1">
      <c r="A1371" s="1665"/>
      <c r="B1371" s="1666"/>
      <c r="C1371" s="688"/>
      <c r="D1371" s="1667"/>
      <c r="E1371" s="1671">
        <v>3.5</v>
      </c>
      <c r="F1371" s="1671">
        <v>4</v>
      </c>
      <c r="G1371" s="1672">
        <v>0.15</v>
      </c>
      <c r="H1371" s="1671">
        <f t="shared" si="176"/>
        <v>0</v>
      </c>
      <c r="I1371" s="1671" t="s">
        <v>49</v>
      </c>
      <c r="J1371" s="1668"/>
      <c r="K1371" s="1668"/>
      <c r="L1371" s="1669"/>
    </row>
    <row r="1372" spans="1:12" s="692" customFormat="1" ht="16.5" hidden="1">
      <c r="A1372" s="1665"/>
      <c r="B1372" s="1666"/>
      <c r="C1372" s="688"/>
      <c r="D1372" s="1667"/>
      <c r="E1372" s="1671"/>
      <c r="F1372" s="1671"/>
      <c r="G1372" s="1669" t="s">
        <v>928</v>
      </c>
      <c r="H1372" s="1673">
        <f>SUM(H1366:H1371)</f>
        <v>0</v>
      </c>
      <c r="I1372" s="1669" t="s">
        <v>49</v>
      </c>
      <c r="J1372" s="1668"/>
      <c r="K1372" s="1668"/>
      <c r="L1372" s="1669"/>
    </row>
    <row r="1373" spans="1:12" s="692" customFormat="1" ht="16.5">
      <c r="A1373" s="1665"/>
      <c r="B1373" s="1666" t="s">
        <v>3704</v>
      </c>
      <c r="C1373" s="688"/>
      <c r="D1373" s="1667">
        <f>C6</f>
        <v>3</v>
      </c>
      <c r="E1373" s="1671">
        <f>E6+F1373</f>
        <v>0.25</v>
      </c>
      <c r="F1373" s="1671">
        <v>0.25</v>
      </c>
      <c r="G1373" s="1672">
        <v>0.3</v>
      </c>
      <c r="H1373" s="1671">
        <f t="shared" ref="H1373:H1379" si="177">ROUND(D1373*E1373*F1373*G1373,2)</f>
        <v>0.06</v>
      </c>
      <c r="I1373" s="1671" t="s">
        <v>49</v>
      </c>
      <c r="J1373" s="1668"/>
      <c r="K1373" s="1668"/>
      <c r="L1373" s="1669"/>
    </row>
    <row r="1374" spans="1:12" s="692" customFormat="1" ht="16.5">
      <c r="A1374" s="1665"/>
      <c r="B1374" s="1666" t="s">
        <v>3705</v>
      </c>
      <c r="C1374" s="688"/>
      <c r="D1374" s="1667">
        <f>C9</f>
        <v>3</v>
      </c>
      <c r="E1374" s="1671">
        <f>E9-F1374</f>
        <v>-0.25</v>
      </c>
      <c r="F1374" s="1671">
        <f>F1373</f>
        <v>0.25</v>
      </c>
      <c r="G1374" s="1672">
        <f>G1373</f>
        <v>0.3</v>
      </c>
      <c r="H1374" s="1671">
        <f t="shared" si="177"/>
        <v>-0.06</v>
      </c>
      <c r="I1374" s="1671" t="s">
        <v>49</v>
      </c>
      <c r="J1374" s="1668"/>
      <c r="K1374" s="1668"/>
      <c r="L1374" s="1669"/>
    </row>
    <row r="1375" spans="1:12" s="692" customFormat="1" ht="16.5">
      <c r="A1375" s="1665"/>
      <c r="B1375" s="1666"/>
      <c r="C1375" s="688"/>
      <c r="D1375" s="1667">
        <v>2</v>
      </c>
      <c r="E1375" s="1671">
        <f>E1374</f>
        <v>-0.25</v>
      </c>
      <c r="F1375" s="1671">
        <f>F1374</f>
        <v>0.25</v>
      </c>
      <c r="G1375" s="1683">
        <v>0.375</v>
      </c>
      <c r="H1375" s="1671">
        <f t="shared" ref="H1375" si="178">ROUND(D1375*E1375*F1375*G1375,2)</f>
        <v>-0.05</v>
      </c>
      <c r="I1375" s="1671" t="s">
        <v>49</v>
      </c>
      <c r="J1375" s="1668"/>
      <c r="K1375" s="1668"/>
      <c r="L1375" s="1669"/>
    </row>
    <row r="1376" spans="1:12" s="692" customFormat="1" ht="16.5">
      <c r="A1376" s="1665"/>
      <c r="B1376" s="1666"/>
      <c r="C1376" s="688"/>
      <c r="D1376" s="1667">
        <v>5</v>
      </c>
      <c r="E1376" s="1671">
        <f>E10-F1376</f>
        <v>-0.25</v>
      </c>
      <c r="F1376" s="1671">
        <f>F1374</f>
        <v>0.25</v>
      </c>
      <c r="G1376" s="1672">
        <f>G1374</f>
        <v>0.3</v>
      </c>
      <c r="H1376" s="1671">
        <f t="shared" si="177"/>
        <v>-0.09</v>
      </c>
      <c r="I1376" s="1671" t="s">
        <v>49</v>
      </c>
      <c r="J1376" s="1668"/>
      <c r="K1376" s="1668"/>
      <c r="L1376" s="1669"/>
    </row>
    <row r="1377" spans="1:12" s="692" customFormat="1" ht="16.5">
      <c r="A1377" s="1665"/>
      <c r="B1377" s="1666"/>
      <c r="C1377" s="688"/>
      <c r="D1377" s="1667"/>
      <c r="E1377" s="1671">
        <v>3.5</v>
      </c>
      <c r="F1377" s="1671">
        <v>4</v>
      </c>
      <c r="G1377" s="1672">
        <v>0.15</v>
      </c>
      <c r="H1377" s="1671">
        <f t="shared" si="177"/>
        <v>0</v>
      </c>
      <c r="I1377" s="1671" t="s">
        <v>49</v>
      </c>
      <c r="J1377" s="1668"/>
      <c r="K1377" s="1668"/>
      <c r="L1377" s="1669"/>
    </row>
    <row r="1378" spans="1:12" s="692" customFormat="1" ht="16.5" hidden="1">
      <c r="A1378" s="1665"/>
      <c r="B1378" s="1666"/>
      <c r="C1378" s="688"/>
      <c r="D1378" s="1667"/>
      <c r="E1378" s="1671">
        <v>3.5</v>
      </c>
      <c r="F1378" s="1671">
        <v>4</v>
      </c>
      <c r="G1378" s="1672">
        <v>0.15</v>
      </c>
      <c r="H1378" s="1671">
        <f t="shared" si="177"/>
        <v>0</v>
      </c>
      <c r="I1378" s="1671" t="s">
        <v>49</v>
      </c>
      <c r="J1378" s="1668"/>
      <c r="K1378" s="1668"/>
      <c r="L1378" s="1669"/>
    </row>
    <row r="1379" spans="1:12" s="692" customFormat="1" ht="16.5" hidden="1">
      <c r="A1379" s="1665"/>
      <c r="B1379" s="1666"/>
      <c r="C1379" s="688"/>
      <c r="D1379" s="1667"/>
      <c r="E1379" s="1671">
        <v>3.5</v>
      </c>
      <c r="F1379" s="1671">
        <v>4</v>
      </c>
      <c r="G1379" s="1672">
        <v>0.15</v>
      </c>
      <c r="H1379" s="1671">
        <f t="shared" si="177"/>
        <v>0</v>
      </c>
      <c r="I1379" s="1671" t="s">
        <v>49</v>
      </c>
      <c r="J1379" s="1668"/>
      <c r="K1379" s="1668"/>
      <c r="L1379" s="1669"/>
    </row>
    <row r="1380" spans="1:12" s="692" customFormat="1" ht="16.5">
      <c r="A1380" s="1665"/>
      <c r="B1380" s="1666"/>
      <c r="C1380" s="688"/>
      <c r="D1380" s="1667"/>
      <c r="E1380" s="1671"/>
      <c r="F1380" s="1671"/>
      <c r="G1380" s="1669" t="s">
        <v>928</v>
      </c>
      <c r="H1380" s="1673">
        <f>SUM(H1373:H1379)</f>
        <v>-0.14000000000000001</v>
      </c>
      <c r="I1380" s="1669" t="s">
        <v>49</v>
      </c>
      <c r="J1380" s="1669">
        <f>'Lead &amp; ANALYSIS'!L524</f>
        <v>7609.1</v>
      </c>
      <c r="K1380" s="1668" t="s">
        <v>1516</v>
      </c>
      <c r="L1380" s="1669">
        <f>ROUND(H1380*J1380,0)</f>
        <v>-1065</v>
      </c>
    </row>
    <row r="1381" spans="1:12" s="692" customFormat="1" ht="16.5">
      <c r="A1381" s="1665" t="s">
        <v>244</v>
      </c>
      <c r="B1381" s="1666" t="s">
        <v>1773</v>
      </c>
      <c r="C1381" s="688"/>
      <c r="D1381" s="1667"/>
      <c r="E1381" s="688"/>
      <c r="F1381" s="688"/>
      <c r="G1381" s="1674"/>
      <c r="H1381" s="688"/>
      <c r="I1381" s="1668"/>
      <c r="J1381" s="1668"/>
      <c r="K1381" s="1668"/>
      <c r="L1381" s="1669"/>
    </row>
    <row r="1382" spans="1:12" s="692" customFormat="1" ht="16.5" hidden="1">
      <c r="A1382" s="1665"/>
      <c r="B1382" s="1666"/>
      <c r="C1382" s="688"/>
      <c r="D1382" s="1667"/>
      <c r="E1382" s="1671">
        <v>0.3</v>
      </c>
      <c r="F1382" s="1682">
        <v>0.375</v>
      </c>
      <c r="G1382" s="1672">
        <v>4.5</v>
      </c>
      <c r="H1382" s="1671">
        <f t="shared" ref="H1382:H1387" si="179">ROUND(D1382*E1382*F1382*G1382,2)</f>
        <v>0</v>
      </c>
      <c r="I1382" s="1671" t="s">
        <v>49</v>
      </c>
      <c r="J1382" s="1668"/>
      <c r="K1382" s="1668"/>
      <c r="L1382" s="1669"/>
    </row>
    <row r="1383" spans="1:12" s="692" customFormat="1" ht="16.5" hidden="1">
      <c r="A1383" s="1665"/>
      <c r="B1383" s="1666"/>
      <c r="C1383" s="688"/>
      <c r="D1383" s="1667"/>
      <c r="E1383" s="1671">
        <f>E17-F1383</f>
        <v>3.125</v>
      </c>
      <c r="F1383" s="1671">
        <f>F1382</f>
        <v>0.375</v>
      </c>
      <c r="G1383" s="1672">
        <f>G1382</f>
        <v>4.5</v>
      </c>
      <c r="H1383" s="1671">
        <f t="shared" si="179"/>
        <v>0</v>
      </c>
      <c r="I1383" s="1671" t="s">
        <v>49</v>
      </c>
      <c r="J1383" s="1668"/>
      <c r="K1383" s="1668"/>
      <c r="L1383" s="1669"/>
    </row>
    <row r="1384" spans="1:12" s="692" customFormat="1" ht="16.5" hidden="1">
      <c r="A1384" s="1665"/>
      <c r="B1384" s="1666"/>
      <c r="C1384" s="688"/>
      <c r="D1384" s="1667"/>
      <c r="E1384" s="1671">
        <f>E18-F1384</f>
        <v>3.125</v>
      </c>
      <c r="F1384" s="1671">
        <f>F1383</f>
        <v>0.375</v>
      </c>
      <c r="G1384" s="1672">
        <f>G1383</f>
        <v>4.5</v>
      </c>
      <c r="H1384" s="1671">
        <f t="shared" si="179"/>
        <v>0</v>
      </c>
      <c r="I1384" s="1671" t="s">
        <v>49</v>
      </c>
      <c r="J1384" s="1668"/>
      <c r="K1384" s="1668"/>
      <c r="L1384" s="1669"/>
    </row>
    <row r="1385" spans="1:12" s="692" customFormat="1" ht="16.5" hidden="1">
      <c r="A1385" s="1665"/>
      <c r="B1385" s="1666"/>
      <c r="C1385" s="688"/>
      <c r="D1385" s="1667"/>
      <c r="E1385" s="1671">
        <v>3.5</v>
      </c>
      <c r="F1385" s="1671">
        <v>4</v>
      </c>
      <c r="G1385" s="1672">
        <v>0.15</v>
      </c>
      <c r="H1385" s="1671">
        <f t="shared" si="179"/>
        <v>0</v>
      </c>
      <c r="I1385" s="1671" t="s">
        <v>49</v>
      </c>
      <c r="J1385" s="1668"/>
      <c r="K1385" s="1668"/>
      <c r="L1385" s="1669"/>
    </row>
    <row r="1386" spans="1:12" s="692" customFormat="1" ht="16.5" hidden="1">
      <c r="A1386" s="1665"/>
      <c r="B1386" s="1666"/>
      <c r="C1386" s="688"/>
      <c r="D1386" s="1667"/>
      <c r="E1386" s="1671">
        <v>3.5</v>
      </c>
      <c r="F1386" s="1671">
        <v>4</v>
      </c>
      <c r="G1386" s="1672">
        <v>0.15</v>
      </c>
      <c r="H1386" s="1671">
        <f t="shared" si="179"/>
        <v>0</v>
      </c>
      <c r="I1386" s="1671" t="s">
        <v>49</v>
      </c>
      <c r="J1386" s="1668"/>
      <c r="K1386" s="1668"/>
      <c r="L1386" s="1669"/>
    </row>
    <row r="1387" spans="1:12" s="692" customFormat="1" ht="16.5" hidden="1">
      <c r="A1387" s="1665"/>
      <c r="B1387" s="1666"/>
      <c r="C1387" s="688"/>
      <c r="D1387" s="1667"/>
      <c r="E1387" s="1671">
        <v>3.5</v>
      </c>
      <c r="F1387" s="1671">
        <v>4</v>
      </c>
      <c r="G1387" s="1672">
        <v>0.15</v>
      </c>
      <c r="H1387" s="1671">
        <f t="shared" si="179"/>
        <v>0</v>
      </c>
      <c r="I1387" s="1671" t="s">
        <v>49</v>
      </c>
      <c r="J1387" s="1668"/>
      <c r="K1387" s="1668"/>
      <c r="L1387" s="1669"/>
    </row>
    <row r="1388" spans="1:12" s="692" customFormat="1" ht="16.5" hidden="1">
      <c r="A1388" s="1665"/>
      <c r="B1388" s="1666"/>
      <c r="C1388" s="688"/>
      <c r="D1388" s="1667"/>
      <c r="E1388" s="1671"/>
      <c r="F1388" s="1671"/>
      <c r="G1388" s="1669" t="s">
        <v>928</v>
      </c>
      <c r="H1388" s="1673">
        <f>SUM(H1382:H1387)</f>
        <v>0</v>
      </c>
      <c r="I1388" s="1669" t="s">
        <v>49</v>
      </c>
      <c r="J1388" s="1668"/>
      <c r="K1388" s="1668"/>
      <c r="L1388" s="1669"/>
    </row>
    <row r="1389" spans="1:12" s="692" customFormat="1" ht="16.5">
      <c r="A1389" s="1665"/>
      <c r="B1389" s="1666" t="s">
        <v>3758</v>
      </c>
      <c r="C1389" s="688"/>
      <c r="D1389" s="1667">
        <f>D1358</f>
        <v>4</v>
      </c>
      <c r="E1389" s="1671">
        <v>0.3</v>
      </c>
      <c r="F1389" s="1682">
        <v>0.45</v>
      </c>
      <c r="G1389" s="1672">
        <v>4</v>
      </c>
      <c r="H1389" s="1671">
        <f t="shared" ref="H1389:H1394" si="180">ROUND(D1389*E1389*F1389*G1389,2)</f>
        <v>2.16</v>
      </c>
      <c r="I1389" s="1671" t="s">
        <v>49</v>
      </c>
      <c r="J1389" s="1668"/>
      <c r="K1389" s="1668"/>
      <c r="L1389" s="1669"/>
    </row>
    <row r="1390" spans="1:12" s="692" customFormat="1" ht="16.5">
      <c r="A1390" s="1665"/>
      <c r="B1390" s="1666" t="s">
        <v>3759</v>
      </c>
      <c r="C1390" s="688"/>
      <c r="D1390" s="1667">
        <f>D1359</f>
        <v>14</v>
      </c>
      <c r="E1390" s="1671">
        <v>0.25</v>
      </c>
      <c r="F1390" s="1671">
        <v>0.25</v>
      </c>
      <c r="G1390" s="1672">
        <f>G1389</f>
        <v>4</v>
      </c>
      <c r="H1390" s="1671">
        <f t="shared" si="180"/>
        <v>3.5</v>
      </c>
      <c r="I1390" s="1671" t="s">
        <v>49</v>
      </c>
      <c r="J1390" s="1668"/>
      <c r="K1390" s="1668"/>
      <c r="L1390" s="1669"/>
    </row>
    <row r="1391" spans="1:12" s="692" customFormat="1" ht="16.5" hidden="1">
      <c r="A1391" s="1665"/>
      <c r="B1391" s="1666"/>
      <c r="C1391" s="688"/>
      <c r="D1391" s="1667"/>
      <c r="E1391" s="1671">
        <f>E25-F1391</f>
        <v>3.25</v>
      </c>
      <c r="F1391" s="1671">
        <f>F1390</f>
        <v>0.25</v>
      </c>
      <c r="G1391" s="1672">
        <f>G1390</f>
        <v>4</v>
      </c>
      <c r="H1391" s="1671">
        <f t="shared" si="180"/>
        <v>0</v>
      </c>
      <c r="I1391" s="1671" t="s">
        <v>49</v>
      </c>
      <c r="J1391" s="1668"/>
      <c r="K1391" s="1668"/>
      <c r="L1391" s="1669"/>
    </row>
    <row r="1392" spans="1:12" s="692" customFormat="1" ht="16.5" hidden="1">
      <c r="A1392" s="1665"/>
      <c r="B1392" s="1666"/>
      <c r="C1392" s="688"/>
      <c r="D1392" s="1667"/>
      <c r="E1392" s="1671">
        <v>3.5</v>
      </c>
      <c r="F1392" s="1671">
        <v>4</v>
      </c>
      <c r="G1392" s="1672">
        <v>0.15</v>
      </c>
      <c r="H1392" s="1671">
        <f t="shared" si="180"/>
        <v>0</v>
      </c>
      <c r="I1392" s="1671" t="s">
        <v>49</v>
      </c>
      <c r="J1392" s="1668"/>
      <c r="K1392" s="1668"/>
      <c r="L1392" s="1669"/>
    </row>
    <row r="1393" spans="1:12" s="692" customFormat="1" ht="16.5" hidden="1">
      <c r="A1393" s="1665"/>
      <c r="B1393" s="1666"/>
      <c r="C1393" s="688"/>
      <c r="D1393" s="1667"/>
      <c r="E1393" s="1671">
        <v>3.5</v>
      </c>
      <c r="F1393" s="1671">
        <v>4</v>
      </c>
      <c r="G1393" s="1672">
        <v>0.15</v>
      </c>
      <c r="H1393" s="1671">
        <f t="shared" si="180"/>
        <v>0</v>
      </c>
      <c r="I1393" s="1671" t="s">
        <v>49</v>
      </c>
      <c r="J1393" s="1668"/>
      <c r="K1393" s="1668"/>
      <c r="L1393" s="1669"/>
    </row>
    <row r="1394" spans="1:12" s="692" customFormat="1" ht="16.5" hidden="1">
      <c r="A1394" s="1665"/>
      <c r="B1394" s="1666"/>
      <c r="C1394" s="688"/>
      <c r="D1394" s="1667"/>
      <c r="E1394" s="1671">
        <v>3.5</v>
      </c>
      <c r="F1394" s="1671">
        <v>4</v>
      </c>
      <c r="G1394" s="1672">
        <v>0.15</v>
      </c>
      <c r="H1394" s="1671">
        <f t="shared" si="180"/>
        <v>0</v>
      </c>
      <c r="I1394" s="1671" t="s">
        <v>49</v>
      </c>
      <c r="J1394" s="1668"/>
      <c r="K1394" s="1668"/>
      <c r="L1394" s="1669"/>
    </row>
    <row r="1395" spans="1:12" s="692" customFormat="1" ht="16.5">
      <c r="A1395" s="1665"/>
      <c r="B1395" s="1666"/>
      <c r="C1395" s="688"/>
      <c r="D1395" s="1667"/>
      <c r="E1395" s="1671"/>
      <c r="F1395" s="1671"/>
      <c r="G1395" s="1669" t="s">
        <v>928</v>
      </c>
      <c r="H1395" s="1673">
        <f>SUM(H1389:H1394)</f>
        <v>5.66</v>
      </c>
      <c r="I1395" s="1669" t="s">
        <v>49</v>
      </c>
      <c r="J1395" s="1669">
        <f>'Lead &amp; ANALYSIS'!L541</f>
        <v>14541.8</v>
      </c>
      <c r="K1395" s="1668" t="s">
        <v>1516</v>
      </c>
      <c r="L1395" s="1669">
        <f>ROUND(H1395*J1395,0)</f>
        <v>82307</v>
      </c>
    </row>
    <row r="1396" spans="1:12" s="692" customFormat="1" ht="16.5">
      <c r="A1396" s="1665" t="s">
        <v>291</v>
      </c>
      <c r="B1396" s="1666" t="s">
        <v>1848</v>
      </c>
      <c r="C1396" s="688"/>
      <c r="D1396" s="1667"/>
      <c r="E1396" s="688"/>
      <c r="F1396" s="688"/>
      <c r="G1396" s="1674"/>
      <c r="H1396" s="688"/>
      <c r="I1396" s="1668"/>
      <c r="J1396" s="1668"/>
      <c r="K1396" s="1668"/>
      <c r="L1396" s="1669"/>
    </row>
    <row r="1397" spans="1:12" s="692" customFormat="1" ht="16.5" hidden="1">
      <c r="A1397" s="1665"/>
      <c r="B1397" s="1666"/>
      <c r="C1397" s="688"/>
      <c r="D1397" s="1667"/>
      <c r="E1397" s="1671">
        <f>E6+F1397</f>
        <v>0.25</v>
      </c>
      <c r="F1397" s="1671">
        <f>F1366</f>
        <v>0.25</v>
      </c>
      <c r="G1397" s="1672">
        <f>'DRAWING CC'!GI27</f>
        <v>0.15</v>
      </c>
      <c r="H1397" s="1671">
        <f t="shared" ref="H1397:H1402" si="181">ROUND(D1397*E1397*F1397*G1397,2)</f>
        <v>0</v>
      </c>
      <c r="I1397" s="1671" t="s">
        <v>49</v>
      </c>
      <c r="J1397" s="1668"/>
      <c r="K1397" s="1668"/>
      <c r="L1397" s="1669"/>
    </row>
    <row r="1398" spans="1:12" s="692" customFormat="1" ht="16.5" hidden="1">
      <c r="A1398" s="1665"/>
      <c r="B1398" s="1666"/>
      <c r="C1398" s="688"/>
      <c r="D1398" s="1667"/>
      <c r="E1398" s="1671">
        <f>E9-F1398</f>
        <v>-0.25</v>
      </c>
      <c r="F1398" s="1671">
        <f>F1397</f>
        <v>0.25</v>
      </c>
      <c r="G1398" s="1672">
        <f>G1397</f>
        <v>0.15</v>
      </c>
      <c r="H1398" s="1671">
        <f t="shared" si="181"/>
        <v>0</v>
      </c>
      <c r="I1398" s="1671" t="s">
        <v>49</v>
      </c>
      <c r="J1398" s="1668"/>
      <c r="K1398" s="1668"/>
      <c r="L1398" s="1669"/>
    </row>
    <row r="1399" spans="1:12" s="692" customFormat="1" ht="16.5" hidden="1">
      <c r="A1399" s="1665"/>
      <c r="B1399" s="1666"/>
      <c r="C1399" s="688"/>
      <c r="D1399" s="1667"/>
      <c r="E1399" s="1671"/>
      <c r="F1399" s="1671">
        <f>F1398</f>
        <v>0.25</v>
      </c>
      <c r="G1399" s="1672">
        <f>G1398</f>
        <v>0.15</v>
      </c>
      <c r="H1399" s="1671">
        <f t="shared" si="181"/>
        <v>0</v>
      </c>
      <c r="I1399" s="1671" t="s">
        <v>49</v>
      </c>
      <c r="J1399" s="1668"/>
      <c r="K1399" s="1668"/>
      <c r="L1399" s="1669"/>
    </row>
    <row r="1400" spans="1:12" s="692" customFormat="1" ht="16.5" hidden="1">
      <c r="A1400" s="1665"/>
      <c r="B1400" s="1666"/>
      <c r="C1400" s="688"/>
      <c r="D1400" s="1667"/>
      <c r="E1400" s="1671">
        <v>3.5</v>
      </c>
      <c r="F1400" s="1671">
        <v>4</v>
      </c>
      <c r="G1400" s="1672">
        <v>0.15</v>
      </c>
      <c r="H1400" s="1671">
        <f t="shared" si="181"/>
        <v>0</v>
      </c>
      <c r="I1400" s="1671" t="s">
        <v>49</v>
      </c>
      <c r="J1400" s="1668"/>
      <c r="K1400" s="1668"/>
      <c r="L1400" s="1669"/>
    </row>
    <row r="1401" spans="1:12" s="692" customFormat="1" ht="16.5" hidden="1">
      <c r="A1401" s="1665"/>
      <c r="B1401" s="1666"/>
      <c r="C1401" s="688"/>
      <c r="D1401" s="1667"/>
      <c r="E1401" s="1671">
        <v>3.5</v>
      </c>
      <c r="F1401" s="1671">
        <v>4</v>
      </c>
      <c r="G1401" s="1672">
        <v>0.15</v>
      </c>
      <c r="H1401" s="1671">
        <f t="shared" si="181"/>
        <v>0</v>
      </c>
      <c r="I1401" s="1671" t="s">
        <v>49</v>
      </c>
      <c r="J1401" s="1668"/>
      <c r="K1401" s="1668"/>
      <c r="L1401" s="1669"/>
    </row>
    <row r="1402" spans="1:12" s="692" customFormat="1" ht="16.5" hidden="1">
      <c r="A1402" s="1665"/>
      <c r="B1402" s="1666"/>
      <c r="C1402" s="688"/>
      <c r="D1402" s="1667"/>
      <c r="E1402" s="1671">
        <v>3.5</v>
      </c>
      <c r="F1402" s="1671">
        <v>4</v>
      </c>
      <c r="G1402" s="1672">
        <v>0.15</v>
      </c>
      <c r="H1402" s="1671">
        <f t="shared" si="181"/>
        <v>0</v>
      </c>
      <c r="I1402" s="1671" t="s">
        <v>49</v>
      </c>
      <c r="J1402" s="1668"/>
      <c r="K1402" s="1668"/>
      <c r="L1402" s="1669"/>
    </row>
    <row r="1403" spans="1:12" s="692" customFormat="1" ht="16.5" hidden="1">
      <c r="A1403" s="1665"/>
      <c r="B1403" s="1666"/>
      <c r="C1403" s="688"/>
      <c r="D1403" s="1667"/>
      <c r="E1403" s="1671"/>
      <c r="F1403" s="1671"/>
      <c r="G1403" s="1669" t="s">
        <v>928</v>
      </c>
      <c r="H1403" s="1673">
        <f>SUM(H1397:H1402)</f>
        <v>0</v>
      </c>
      <c r="I1403" s="1669" t="s">
        <v>49</v>
      </c>
      <c r="J1403" s="1668"/>
      <c r="K1403" s="1668"/>
      <c r="L1403" s="1669"/>
    </row>
    <row r="1404" spans="1:12" s="692" customFormat="1" ht="16.5">
      <c r="A1404" s="1665"/>
      <c r="B1404" s="1666" t="str">
        <f>B1373</f>
        <v>Long Wall</v>
      </c>
      <c r="C1404" s="688"/>
      <c r="D1404" s="1667">
        <f>D1373-1</f>
        <v>2</v>
      </c>
      <c r="E1404" s="1671">
        <f>E1373</f>
        <v>0.25</v>
      </c>
      <c r="F1404" s="1671">
        <f>F1373</f>
        <v>0.25</v>
      </c>
      <c r="G1404" s="1672">
        <v>0.15</v>
      </c>
      <c r="H1404" s="1671">
        <f t="shared" ref="H1404:H1410" si="182">ROUND(D1404*E1404*F1404*G1404,2)</f>
        <v>0.02</v>
      </c>
      <c r="I1404" s="1671" t="s">
        <v>49</v>
      </c>
      <c r="J1404" s="1668"/>
      <c r="K1404" s="1668"/>
      <c r="L1404" s="1669"/>
    </row>
    <row r="1405" spans="1:12" s="692" customFormat="1" ht="16.5">
      <c r="A1405" s="1665"/>
      <c r="B1405" s="1666"/>
      <c r="C1405" s="688"/>
      <c r="D1405" s="1667">
        <v>1</v>
      </c>
      <c r="E1405" s="1671">
        <f>E1404</f>
        <v>0.25</v>
      </c>
      <c r="F1405" s="1671">
        <v>0.25</v>
      </c>
      <c r="G1405" s="1672">
        <v>0.25</v>
      </c>
      <c r="H1405" s="1671">
        <f t="shared" ref="H1405" si="183">ROUND(D1405*E1405*F1405*G1405,2)</f>
        <v>0.02</v>
      </c>
      <c r="I1405" s="1671" t="s">
        <v>49</v>
      </c>
      <c r="J1405" s="1668"/>
      <c r="K1405" s="1668"/>
      <c r="L1405" s="1669"/>
    </row>
    <row r="1406" spans="1:12" s="692" customFormat="1" ht="16.5">
      <c r="A1406" s="1665"/>
      <c r="B1406" s="1666" t="str">
        <f>B1374</f>
        <v>Short Wall</v>
      </c>
      <c r="C1406" s="688"/>
      <c r="D1406" s="1667">
        <f>D1374</f>
        <v>3</v>
      </c>
      <c r="E1406" s="1671">
        <f>E1374</f>
        <v>-0.25</v>
      </c>
      <c r="F1406" s="1671">
        <f>F1404</f>
        <v>0.25</v>
      </c>
      <c r="G1406" s="1672">
        <f>G1404</f>
        <v>0.15</v>
      </c>
      <c r="H1406" s="1671">
        <f t="shared" si="182"/>
        <v>-0.03</v>
      </c>
      <c r="I1406" s="1671" t="s">
        <v>49</v>
      </c>
      <c r="J1406" s="1668"/>
      <c r="K1406" s="1668"/>
      <c r="L1406" s="1669"/>
    </row>
    <row r="1407" spans="1:12" s="692" customFormat="1" ht="16.5">
      <c r="A1407" s="1665"/>
      <c r="B1407" s="1666"/>
      <c r="C1407" s="688"/>
      <c r="D1407" s="1667">
        <f>D1171</f>
        <v>2</v>
      </c>
      <c r="E1407" s="1671">
        <f>E1376</f>
        <v>-0.25</v>
      </c>
      <c r="F1407" s="1671">
        <f>F1406</f>
        <v>0.25</v>
      </c>
      <c r="G1407" s="1672">
        <f>G1406</f>
        <v>0.15</v>
      </c>
      <c r="H1407" s="1671">
        <f t="shared" si="182"/>
        <v>-0.02</v>
      </c>
      <c r="I1407" s="1671" t="s">
        <v>49</v>
      </c>
      <c r="J1407" s="1668"/>
      <c r="K1407" s="1668"/>
      <c r="L1407" s="1669"/>
    </row>
    <row r="1408" spans="1:12" s="692" customFormat="1" ht="16.5" hidden="1">
      <c r="A1408" s="1665"/>
      <c r="B1408" s="1666"/>
      <c r="C1408" s="688"/>
      <c r="D1408" s="1667"/>
      <c r="E1408" s="1671">
        <v>3.5</v>
      </c>
      <c r="F1408" s="1671">
        <v>4</v>
      </c>
      <c r="G1408" s="1672">
        <v>0.15</v>
      </c>
      <c r="H1408" s="1671">
        <f t="shared" si="182"/>
        <v>0</v>
      </c>
      <c r="I1408" s="1671" t="s">
        <v>49</v>
      </c>
      <c r="J1408" s="1668"/>
      <c r="K1408" s="1668"/>
      <c r="L1408" s="1669"/>
    </row>
    <row r="1409" spans="1:12" s="692" customFormat="1" ht="16.5" hidden="1">
      <c r="A1409" s="1665"/>
      <c r="B1409" s="1666"/>
      <c r="C1409" s="688"/>
      <c r="D1409" s="1667"/>
      <c r="E1409" s="1671">
        <v>3.5</v>
      </c>
      <c r="F1409" s="1671">
        <v>4</v>
      </c>
      <c r="G1409" s="1672">
        <v>0.15</v>
      </c>
      <c r="H1409" s="1671">
        <f t="shared" si="182"/>
        <v>0</v>
      </c>
      <c r="I1409" s="1671" t="s">
        <v>49</v>
      </c>
      <c r="J1409" s="1668"/>
      <c r="K1409" s="1668"/>
      <c r="L1409" s="1669"/>
    </row>
    <row r="1410" spans="1:12" s="692" customFormat="1" ht="16.5" hidden="1">
      <c r="A1410" s="1665"/>
      <c r="B1410" s="1666"/>
      <c r="C1410" s="688"/>
      <c r="D1410" s="1667"/>
      <c r="E1410" s="1671">
        <v>3.5</v>
      </c>
      <c r="F1410" s="1671">
        <v>4</v>
      </c>
      <c r="G1410" s="1672">
        <v>0.15</v>
      </c>
      <c r="H1410" s="1671">
        <f t="shared" si="182"/>
        <v>0</v>
      </c>
      <c r="I1410" s="1671" t="s">
        <v>49</v>
      </c>
      <c r="J1410" s="1668"/>
      <c r="K1410" s="1668"/>
      <c r="L1410" s="1669"/>
    </row>
    <row r="1411" spans="1:12" s="692" customFormat="1" ht="16.5">
      <c r="A1411" s="1665"/>
      <c r="B1411" s="1666"/>
      <c r="C1411" s="688"/>
      <c r="D1411" s="1667"/>
      <c r="E1411" s="1671"/>
      <c r="F1411" s="1671"/>
      <c r="G1411" s="1669" t="s">
        <v>928</v>
      </c>
      <c r="H1411" s="1673">
        <f>SUM(H1404:H1410)</f>
        <v>-9.9999999999999985E-3</v>
      </c>
      <c r="I1411" s="1669" t="s">
        <v>49</v>
      </c>
      <c r="J1411" s="1669">
        <f>'Lead &amp; ANALYSIS'!L528</f>
        <v>13831.7</v>
      </c>
      <c r="K1411" s="1668" t="s">
        <v>1516</v>
      </c>
      <c r="L1411" s="1669">
        <f>ROUND(H1411*J1411,0)</f>
        <v>-138</v>
      </c>
    </row>
    <row r="1412" spans="1:12" s="692" customFormat="1" ht="16.5">
      <c r="A1412" s="1665" t="s">
        <v>308</v>
      </c>
      <c r="B1412" s="1666" t="s">
        <v>481</v>
      </c>
      <c r="C1412" s="688"/>
      <c r="D1412" s="1667"/>
      <c r="E1412" s="688"/>
      <c r="F1412" s="688"/>
      <c r="G1412" s="1674"/>
      <c r="H1412" s="688"/>
      <c r="I1412" s="1668"/>
      <c r="J1412" s="1668"/>
      <c r="K1412" s="1668"/>
      <c r="L1412" s="1669"/>
    </row>
    <row r="1413" spans="1:12" s="692" customFormat="1" ht="16.5" hidden="1">
      <c r="A1413" s="1665"/>
      <c r="B1413" s="1666"/>
      <c r="C1413" s="688"/>
      <c r="D1413" s="1667"/>
      <c r="E1413" s="1671">
        <f>'DRAWING CC'!IL105+0.3</f>
        <v>1.2</v>
      </c>
      <c r="F1413" s="1671">
        <f>'DRAWING CC'!FL31</f>
        <v>0.6</v>
      </c>
      <c r="G1413" s="1683">
        <f>0.065</f>
        <v>6.5000000000000002E-2</v>
      </c>
      <c r="H1413" s="1671">
        <f t="shared" ref="H1413:H1418" si="184">ROUND(D1413*E1413*F1413*G1413,2)</f>
        <v>0</v>
      </c>
      <c r="I1413" s="1671" t="s">
        <v>49</v>
      </c>
      <c r="J1413" s="1668"/>
      <c r="K1413" s="1668"/>
      <c r="L1413" s="1669"/>
    </row>
    <row r="1414" spans="1:12" s="692" customFormat="1" ht="16.5" hidden="1">
      <c r="A1414" s="1665"/>
      <c r="B1414" s="1666"/>
      <c r="C1414" s="688"/>
      <c r="D1414" s="1667"/>
      <c r="E1414" s="1671">
        <f>'DRAWING CC'!AW62</f>
        <v>4.1500000000000004</v>
      </c>
      <c r="F1414" s="1671">
        <f>F1413</f>
        <v>0.6</v>
      </c>
      <c r="G1414" s="1683">
        <f>0.065</f>
        <v>6.5000000000000002E-2</v>
      </c>
      <c r="H1414" s="1671">
        <f t="shared" si="184"/>
        <v>0</v>
      </c>
      <c r="I1414" s="1671" t="s">
        <v>49</v>
      </c>
      <c r="J1414" s="1668"/>
      <c r="K1414" s="1668"/>
      <c r="L1414" s="1669"/>
    </row>
    <row r="1415" spans="1:12" s="692" customFormat="1" ht="16.5" hidden="1">
      <c r="A1415" s="1665"/>
      <c r="B1415" s="1666"/>
      <c r="C1415" s="688"/>
      <c r="D1415" s="1667"/>
      <c r="E1415" s="1671">
        <f>'DRAWING CC'!AW63</f>
        <v>0</v>
      </c>
      <c r="F1415" s="1671">
        <f>F1414</f>
        <v>0.6</v>
      </c>
      <c r="G1415" s="1672">
        <f>G1414</f>
        <v>6.5000000000000002E-2</v>
      </c>
      <c r="H1415" s="1671">
        <f t="shared" si="184"/>
        <v>0</v>
      </c>
      <c r="I1415" s="1671" t="s">
        <v>49</v>
      </c>
      <c r="J1415" s="1668"/>
      <c r="K1415" s="1668"/>
      <c r="L1415" s="1669"/>
    </row>
    <row r="1416" spans="1:12" s="692" customFormat="1" ht="16.5" hidden="1">
      <c r="A1416" s="1665"/>
      <c r="B1416" s="1666"/>
      <c r="C1416" s="688"/>
      <c r="D1416" s="1667"/>
      <c r="E1416" s="1671">
        <v>3.5</v>
      </c>
      <c r="F1416" s="1671">
        <v>4</v>
      </c>
      <c r="G1416" s="1672">
        <v>0.15</v>
      </c>
      <c r="H1416" s="1671">
        <f t="shared" si="184"/>
        <v>0</v>
      </c>
      <c r="I1416" s="1671" t="s">
        <v>49</v>
      </c>
      <c r="J1416" s="1668"/>
      <c r="K1416" s="1668"/>
      <c r="L1416" s="1669"/>
    </row>
    <row r="1417" spans="1:12" s="692" customFormat="1" ht="16.5" hidden="1">
      <c r="A1417" s="1665"/>
      <c r="B1417" s="1666"/>
      <c r="C1417" s="688"/>
      <c r="D1417" s="1667"/>
      <c r="E1417" s="1671">
        <v>3.5</v>
      </c>
      <c r="F1417" s="1671">
        <v>4</v>
      </c>
      <c r="G1417" s="1672">
        <v>0.15</v>
      </c>
      <c r="H1417" s="1671">
        <f t="shared" si="184"/>
        <v>0</v>
      </c>
      <c r="I1417" s="1671" t="s">
        <v>49</v>
      </c>
      <c r="J1417" s="1668"/>
      <c r="K1417" s="1668"/>
      <c r="L1417" s="1669"/>
    </row>
    <row r="1418" spans="1:12" s="692" customFormat="1" ht="16.5" hidden="1">
      <c r="A1418" s="1665"/>
      <c r="B1418" s="1666"/>
      <c r="C1418" s="688"/>
      <c r="D1418" s="1667"/>
      <c r="E1418" s="1671">
        <v>3.5</v>
      </c>
      <c r="F1418" s="1671">
        <v>4</v>
      </c>
      <c r="G1418" s="1672">
        <v>0.15</v>
      </c>
      <c r="H1418" s="1671">
        <f t="shared" si="184"/>
        <v>0</v>
      </c>
      <c r="I1418" s="1671" t="s">
        <v>49</v>
      </c>
      <c r="J1418" s="1668"/>
      <c r="K1418" s="1668"/>
      <c r="L1418" s="1669"/>
    </row>
    <row r="1419" spans="1:12" s="692" customFormat="1" ht="16.5" hidden="1">
      <c r="A1419" s="1665"/>
      <c r="B1419" s="1666"/>
      <c r="C1419" s="688"/>
      <c r="D1419" s="1667"/>
      <c r="E1419" s="1671"/>
      <c r="F1419" s="1671"/>
      <c r="G1419" s="1669" t="s">
        <v>928</v>
      </c>
      <c r="H1419" s="1673">
        <f>SUM(H1413:H1418)</f>
        <v>0</v>
      </c>
      <c r="I1419" s="1669" t="s">
        <v>49</v>
      </c>
      <c r="J1419" s="1668"/>
      <c r="K1419" s="1668"/>
      <c r="L1419" s="1669"/>
    </row>
    <row r="1420" spans="1:12" s="692" customFormat="1" ht="16.5">
      <c r="A1420" s="1665"/>
      <c r="B1420" s="1666" t="s">
        <v>1948</v>
      </c>
      <c r="C1420" s="688"/>
      <c r="D1420" s="1667">
        <v>4</v>
      </c>
      <c r="E1420" s="1671">
        <v>1.5</v>
      </c>
      <c r="F1420" s="1671">
        <v>0.6</v>
      </c>
      <c r="G1420" s="1672"/>
      <c r="H1420" s="1671">
        <f>ROUND(D1420*E1420*F1420,2)</f>
        <v>3.6</v>
      </c>
      <c r="I1420" s="1671" t="s">
        <v>92</v>
      </c>
      <c r="J1420" s="1668"/>
      <c r="K1420" s="1668"/>
      <c r="L1420" s="1669"/>
    </row>
    <row r="1421" spans="1:12" s="692" customFormat="1" ht="16.5">
      <c r="A1421" s="1665"/>
      <c r="B1421" s="1666" t="s">
        <v>1780</v>
      </c>
      <c r="C1421" s="688"/>
      <c r="D1421" s="1667">
        <v>1</v>
      </c>
      <c r="E1421" s="1671">
        <f>E1405+1.2</f>
        <v>1.45</v>
      </c>
      <c r="F1421" s="1671">
        <v>0.6</v>
      </c>
      <c r="G1421" s="1672"/>
      <c r="H1421" s="1671">
        <f t="shared" ref="H1421:H1425" si="185">ROUND(D1421*E1421*F1421,2)</f>
        <v>0.87</v>
      </c>
      <c r="I1421" s="1671" t="s">
        <v>92</v>
      </c>
      <c r="J1421" s="1668"/>
      <c r="K1421" s="1668"/>
      <c r="L1421" s="1669"/>
    </row>
    <row r="1422" spans="1:12" s="692" customFormat="1" ht="16.5">
      <c r="A1422" s="1665"/>
      <c r="B1422" s="1666"/>
      <c r="C1422" s="688"/>
      <c r="D1422" s="1667">
        <v>2</v>
      </c>
      <c r="E1422" s="1671">
        <v>2.2999999999999998</v>
      </c>
      <c r="F1422" s="1671">
        <v>0.6</v>
      </c>
      <c r="G1422" s="1672"/>
      <c r="H1422" s="1671">
        <f t="shared" si="185"/>
        <v>2.76</v>
      </c>
      <c r="I1422" s="1671" t="s">
        <v>92</v>
      </c>
      <c r="J1422" s="1668"/>
      <c r="K1422" s="1668"/>
      <c r="L1422" s="1669"/>
    </row>
    <row r="1423" spans="1:12" s="692" customFormat="1" ht="16.5" hidden="1">
      <c r="A1423" s="1665"/>
      <c r="B1423" s="1666"/>
      <c r="C1423" s="688"/>
      <c r="D1423" s="1667"/>
      <c r="E1423" s="1671">
        <v>3.5</v>
      </c>
      <c r="F1423" s="1671">
        <v>4</v>
      </c>
      <c r="G1423" s="1672"/>
      <c r="H1423" s="1671">
        <f t="shared" si="185"/>
        <v>0</v>
      </c>
      <c r="I1423" s="1671" t="s">
        <v>92</v>
      </c>
      <c r="J1423" s="1668"/>
      <c r="K1423" s="1668"/>
      <c r="L1423" s="1669"/>
    </row>
    <row r="1424" spans="1:12" s="692" customFormat="1" ht="16.5" hidden="1">
      <c r="A1424" s="1665"/>
      <c r="B1424" s="1666"/>
      <c r="C1424" s="688"/>
      <c r="D1424" s="1667"/>
      <c r="E1424" s="1671">
        <v>3.5</v>
      </c>
      <c r="F1424" s="1671">
        <v>4</v>
      </c>
      <c r="G1424" s="1672"/>
      <c r="H1424" s="1671">
        <f t="shared" si="185"/>
        <v>0</v>
      </c>
      <c r="I1424" s="1671" t="s">
        <v>92</v>
      </c>
      <c r="J1424" s="1668"/>
      <c r="K1424" s="1668"/>
      <c r="L1424" s="1669"/>
    </row>
    <row r="1425" spans="1:12" s="692" customFormat="1" ht="16.5" hidden="1">
      <c r="A1425" s="1665"/>
      <c r="B1425" s="1666"/>
      <c r="C1425" s="688"/>
      <c r="D1425" s="1667"/>
      <c r="E1425" s="1671">
        <v>3.5</v>
      </c>
      <c r="F1425" s="1671">
        <v>4</v>
      </c>
      <c r="G1425" s="1672"/>
      <c r="H1425" s="1671">
        <f t="shared" si="185"/>
        <v>0</v>
      </c>
      <c r="I1425" s="1671" t="s">
        <v>92</v>
      </c>
      <c r="J1425" s="1668"/>
      <c r="K1425" s="1668"/>
      <c r="L1425" s="1669"/>
    </row>
    <row r="1426" spans="1:12" s="692" customFormat="1" ht="16.5">
      <c r="A1426" s="1665"/>
      <c r="B1426" s="1666"/>
      <c r="C1426" s="688"/>
      <c r="D1426" s="1667"/>
      <c r="E1426" s="1671"/>
      <c r="F1426" s="1671"/>
      <c r="G1426" s="1669" t="s">
        <v>928</v>
      </c>
      <c r="H1426" s="1673">
        <f>SUM(H1420:H1425)</f>
        <v>7.2299999999999995</v>
      </c>
      <c r="I1426" s="1671" t="s">
        <v>92</v>
      </c>
      <c r="J1426" s="1669">
        <f>'Lead &amp; ANALYSIS'!L580</f>
        <v>1159.8</v>
      </c>
      <c r="K1426" s="1668" t="s">
        <v>1514</v>
      </c>
      <c r="L1426" s="1669">
        <f>ROUND(H1426*J1426,0)</f>
        <v>8385</v>
      </c>
    </row>
    <row r="1427" spans="1:12" s="692" customFormat="1" ht="16.5">
      <c r="A1427" s="1665" t="s">
        <v>352</v>
      </c>
      <c r="B1427" s="1666" t="s">
        <v>3401</v>
      </c>
      <c r="C1427" s="688"/>
      <c r="D1427" s="1667"/>
      <c r="E1427" s="688"/>
      <c r="F1427" s="688"/>
      <c r="G1427" s="1674"/>
      <c r="H1427" s="688"/>
      <c r="I1427" s="1668"/>
      <c r="J1427" s="1668"/>
      <c r="K1427" s="1668"/>
      <c r="L1427" s="1669"/>
    </row>
    <row r="1428" spans="1:12" s="692" customFormat="1" ht="16.5" hidden="1">
      <c r="A1428" s="1665"/>
      <c r="B1428" s="1666"/>
      <c r="C1428" s="688"/>
      <c r="D1428" s="1667"/>
      <c r="E1428" s="1671">
        <v>32.6</v>
      </c>
      <c r="F1428" s="1671">
        <v>0.25</v>
      </c>
      <c r="G1428" s="1672">
        <v>0.2</v>
      </c>
      <c r="H1428" s="1671">
        <f t="shared" ref="H1428:H1433" si="186">ROUND(D1428*E1428*F1428*G1428,2)</f>
        <v>0</v>
      </c>
      <c r="I1428" s="1671" t="s">
        <v>49</v>
      </c>
      <c r="J1428" s="1668"/>
      <c r="K1428" s="1668"/>
      <c r="L1428" s="1669"/>
    </row>
    <row r="1429" spans="1:12" s="692" customFormat="1" ht="16.5" hidden="1">
      <c r="A1429" s="1665"/>
      <c r="B1429" s="1666"/>
      <c r="C1429" s="688"/>
      <c r="D1429" s="1667"/>
      <c r="E1429" s="1671">
        <v>1.5</v>
      </c>
      <c r="F1429" s="1671">
        <f>F1428</f>
        <v>0.25</v>
      </c>
      <c r="G1429" s="1672">
        <f>G1428</f>
        <v>0.2</v>
      </c>
      <c r="H1429" s="1671">
        <f t="shared" si="186"/>
        <v>0</v>
      </c>
      <c r="I1429" s="1671" t="s">
        <v>49</v>
      </c>
      <c r="J1429" s="1668"/>
      <c r="K1429" s="1668"/>
      <c r="L1429" s="1669"/>
    </row>
    <row r="1430" spans="1:12" s="692" customFormat="1" ht="16.5" hidden="1">
      <c r="A1430" s="1665"/>
      <c r="B1430" s="1666"/>
      <c r="C1430" s="688"/>
      <c r="D1430" s="1667"/>
      <c r="E1430" s="1671">
        <f>D24+F1430</f>
        <v>0.25</v>
      </c>
      <c r="F1430" s="1671">
        <f>F1429</f>
        <v>0.25</v>
      </c>
      <c r="G1430" s="1672">
        <f>G1429</f>
        <v>0.2</v>
      </c>
      <c r="H1430" s="1671">
        <f t="shared" si="186"/>
        <v>0</v>
      </c>
      <c r="I1430" s="1671" t="s">
        <v>49</v>
      </c>
      <c r="J1430" s="1668"/>
      <c r="K1430" s="1668"/>
      <c r="L1430" s="1669"/>
    </row>
    <row r="1431" spans="1:12" s="692" customFormat="1" ht="16.5" hidden="1">
      <c r="A1431" s="1665"/>
      <c r="B1431" s="1666"/>
      <c r="C1431" s="688"/>
      <c r="D1431" s="1667"/>
      <c r="E1431" s="1671">
        <v>3.5</v>
      </c>
      <c r="F1431" s="1671">
        <v>4</v>
      </c>
      <c r="G1431" s="1672">
        <v>0.15</v>
      </c>
      <c r="H1431" s="1671">
        <f t="shared" si="186"/>
        <v>0</v>
      </c>
      <c r="I1431" s="1671" t="s">
        <v>49</v>
      </c>
      <c r="J1431" s="1668"/>
      <c r="K1431" s="1668"/>
      <c r="L1431" s="1669"/>
    </row>
    <row r="1432" spans="1:12" s="692" customFormat="1" ht="16.5" hidden="1">
      <c r="A1432" s="1665"/>
      <c r="B1432" s="1666"/>
      <c r="C1432" s="688"/>
      <c r="D1432" s="1667"/>
      <c r="E1432" s="1671">
        <v>3.5</v>
      </c>
      <c r="F1432" s="1671">
        <v>4</v>
      </c>
      <c r="G1432" s="1672">
        <v>0.15</v>
      </c>
      <c r="H1432" s="1671">
        <f t="shared" si="186"/>
        <v>0</v>
      </c>
      <c r="I1432" s="1671" t="s">
        <v>49</v>
      </c>
      <c r="J1432" s="1668"/>
      <c r="K1432" s="1668"/>
      <c r="L1432" s="1669"/>
    </row>
    <row r="1433" spans="1:12" s="692" customFormat="1" ht="16.5" hidden="1">
      <c r="A1433" s="1665"/>
      <c r="B1433" s="1666"/>
      <c r="C1433" s="688"/>
      <c r="D1433" s="1667"/>
      <c r="E1433" s="1671">
        <v>3.5</v>
      </c>
      <c r="F1433" s="1671">
        <v>4</v>
      </c>
      <c r="G1433" s="1672">
        <v>0.15</v>
      </c>
      <c r="H1433" s="1671">
        <f t="shared" si="186"/>
        <v>0</v>
      </c>
      <c r="I1433" s="1671" t="s">
        <v>49</v>
      </c>
      <c r="J1433" s="1668"/>
      <c r="K1433" s="1668"/>
      <c r="L1433" s="1669"/>
    </row>
    <row r="1434" spans="1:12" s="692" customFormat="1" ht="16.5" hidden="1">
      <c r="A1434" s="1665"/>
      <c r="B1434" s="1666"/>
      <c r="C1434" s="688"/>
      <c r="D1434" s="1667"/>
      <c r="E1434" s="1671"/>
      <c r="F1434" s="1671"/>
      <c r="G1434" s="1669" t="s">
        <v>928</v>
      </c>
      <c r="H1434" s="1673">
        <f>SUM(H1428:H1433)</f>
        <v>0</v>
      </c>
      <c r="I1434" s="1669" t="s">
        <v>49</v>
      </c>
      <c r="J1434" s="1668"/>
      <c r="K1434" s="1668"/>
      <c r="L1434" s="1669"/>
    </row>
    <row r="1435" spans="1:12" s="692" customFormat="1" ht="16.5">
      <c r="A1435" s="1665"/>
      <c r="B1435" s="1666" t="s">
        <v>1944</v>
      </c>
      <c r="C1435" s="688"/>
      <c r="D1435" s="1667">
        <v>2</v>
      </c>
      <c r="E1435" s="1671">
        <v>6.1</v>
      </c>
      <c r="F1435" s="1671">
        <v>0.25</v>
      </c>
      <c r="G1435" s="1683">
        <v>0.375</v>
      </c>
      <c r="H1435" s="1671">
        <f t="shared" ref="H1435:H1440" si="187">ROUND(D1435*E1435*F1435*G1435,2)</f>
        <v>1.1399999999999999</v>
      </c>
      <c r="I1435" s="1671" t="s">
        <v>49</v>
      </c>
      <c r="J1435" s="1668"/>
      <c r="K1435" s="1668"/>
      <c r="L1435" s="1669"/>
    </row>
    <row r="1436" spans="1:12" s="692" customFormat="1" ht="16.5">
      <c r="A1436" s="1665"/>
      <c r="B1436" s="1666" t="s">
        <v>1791</v>
      </c>
      <c r="C1436" s="688"/>
      <c r="D1436" s="1667">
        <f>C6</f>
        <v>3</v>
      </c>
      <c r="E1436" s="1671">
        <f>E1404</f>
        <v>0.25</v>
      </c>
      <c r="F1436" s="1671">
        <f>F1435</f>
        <v>0.25</v>
      </c>
      <c r="G1436" s="1683">
        <v>0.25</v>
      </c>
      <c r="H1436" s="1671">
        <f t="shared" si="187"/>
        <v>0.05</v>
      </c>
      <c r="I1436" s="1671" t="s">
        <v>49</v>
      </c>
      <c r="J1436" s="1668"/>
      <c r="K1436" s="1668"/>
      <c r="L1436" s="1669"/>
    </row>
    <row r="1437" spans="1:12" s="692" customFormat="1" ht="16.5">
      <c r="A1437" s="1665"/>
      <c r="B1437" s="1666"/>
      <c r="C1437" s="688"/>
      <c r="D1437" s="1667">
        <f>C9</f>
        <v>3</v>
      </c>
      <c r="E1437" s="1671">
        <v>6.1</v>
      </c>
      <c r="F1437" s="1671">
        <f>F1436</f>
        <v>0.25</v>
      </c>
      <c r="G1437" s="1672">
        <v>0.25</v>
      </c>
      <c r="H1437" s="1671">
        <f t="shared" si="187"/>
        <v>1.1399999999999999</v>
      </c>
      <c r="I1437" s="1671" t="s">
        <v>49</v>
      </c>
      <c r="J1437" s="1668"/>
      <c r="K1437" s="1668"/>
      <c r="L1437" s="1669"/>
    </row>
    <row r="1438" spans="1:12" s="692" customFormat="1" ht="16.5">
      <c r="A1438" s="1665"/>
      <c r="B1438" s="1666"/>
      <c r="C1438" s="688"/>
      <c r="D1438" s="1667">
        <v>3</v>
      </c>
      <c r="E1438" s="1671">
        <v>1.8</v>
      </c>
      <c r="F1438" s="1671">
        <v>0.25</v>
      </c>
      <c r="G1438" s="1672">
        <v>0.25</v>
      </c>
      <c r="H1438" s="1671">
        <f t="shared" si="187"/>
        <v>0.34</v>
      </c>
      <c r="I1438" s="1671" t="s">
        <v>49</v>
      </c>
      <c r="J1438" s="1668"/>
      <c r="K1438" s="1668"/>
      <c r="L1438" s="1669"/>
    </row>
    <row r="1439" spans="1:12" s="692" customFormat="1" ht="16.5" hidden="1">
      <c r="A1439" s="1665"/>
      <c r="B1439" s="1666"/>
      <c r="C1439" s="688"/>
      <c r="D1439" s="1667"/>
      <c r="E1439" s="1671">
        <v>3.5</v>
      </c>
      <c r="F1439" s="1671">
        <v>4</v>
      </c>
      <c r="G1439" s="1672">
        <v>0.15</v>
      </c>
      <c r="H1439" s="1671">
        <f t="shared" si="187"/>
        <v>0</v>
      </c>
      <c r="I1439" s="1671" t="s">
        <v>49</v>
      </c>
      <c r="J1439" s="1668"/>
      <c r="K1439" s="1668"/>
      <c r="L1439" s="1669"/>
    </row>
    <row r="1440" spans="1:12" s="692" customFormat="1" ht="16.5" hidden="1">
      <c r="A1440" s="1665"/>
      <c r="B1440" s="1666"/>
      <c r="C1440" s="688"/>
      <c r="D1440" s="1667"/>
      <c r="E1440" s="1671">
        <v>3.5</v>
      </c>
      <c r="F1440" s="1671">
        <v>4</v>
      </c>
      <c r="G1440" s="1672">
        <v>0.15</v>
      </c>
      <c r="H1440" s="1671">
        <f t="shared" si="187"/>
        <v>0</v>
      </c>
      <c r="I1440" s="1671" t="s">
        <v>49</v>
      </c>
      <c r="J1440" s="1668"/>
      <c r="K1440" s="1668"/>
      <c r="L1440" s="1669"/>
    </row>
    <row r="1441" spans="1:12" s="692" customFormat="1" ht="16.5">
      <c r="A1441" s="1665"/>
      <c r="B1441" s="1666"/>
      <c r="C1441" s="688"/>
      <c r="D1441" s="1667"/>
      <c r="E1441" s="1671"/>
      <c r="F1441" s="1671"/>
      <c r="G1441" s="1669" t="s">
        <v>928</v>
      </c>
      <c r="H1441" s="1673">
        <f>SUM(H1435:H1440)</f>
        <v>2.67</v>
      </c>
      <c r="I1441" s="1669" t="s">
        <v>49</v>
      </c>
      <c r="J1441" s="1669">
        <f>'Lead &amp; ANALYSIS'!L541</f>
        <v>14541.8</v>
      </c>
      <c r="K1441" s="1668" t="s">
        <v>1516</v>
      </c>
      <c r="L1441" s="1669">
        <f>ROUND(H1441*J1441,0)</f>
        <v>38827</v>
      </c>
    </row>
    <row r="1442" spans="1:12" s="692" customFormat="1" ht="16.5" hidden="1">
      <c r="A1442" s="1665" t="s">
        <v>2072</v>
      </c>
      <c r="B1442" s="1666" t="s">
        <v>1926</v>
      </c>
      <c r="C1442" s="688"/>
      <c r="D1442" s="1667"/>
      <c r="E1442" s="688"/>
      <c r="F1442" s="688"/>
      <c r="G1442" s="1674"/>
      <c r="H1442" s="688"/>
      <c r="I1442" s="1668"/>
      <c r="J1442" s="1668"/>
      <c r="K1442" s="1668"/>
      <c r="L1442" s="1669"/>
    </row>
    <row r="1443" spans="1:12" s="692" customFormat="1" ht="16.5" hidden="1">
      <c r="A1443" s="1665"/>
      <c r="B1443" s="1666"/>
      <c r="C1443" s="688"/>
      <c r="D1443" s="1667"/>
      <c r="E1443" s="1671">
        <f>E1435</f>
        <v>6.1</v>
      </c>
      <c r="F1443" s="1671">
        <f>F1435</f>
        <v>0.25</v>
      </c>
      <c r="G1443" s="1672">
        <f>G1435</f>
        <v>0.375</v>
      </c>
      <c r="H1443" s="1671">
        <f t="shared" ref="H1443:H1448" si="188">ROUND(D1443*E1443*F1443*G1443,2)</f>
        <v>0</v>
      </c>
      <c r="I1443" s="1671" t="s">
        <v>49</v>
      </c>
      <c r="J1443" s="1668"/>
      <c r="K1443" s="1668"/>
      <c r="L1443" s="1669"/>
    </row>
    <row r="1444" spans="1:12" s="692" customFormat="1" ht="16.5" hidden="1">
      <c r="A1444" s="1665"/>
      <c r="B1444" s="1666"/>
      <c r="C1444" s="688"/>
      <c r="D1444" s="1667"/>
      <c r="E1444" s="1671">
        <f t="shared" ref="E1444:G1445" si="189">E1443</f>
        <v>6.1</v>
      </c>
      <c r="F1444" s="1671">
        <f t="shared" si="189"/>
        <v>0.25</v>
      </c>
      <c r="G1444" s="1672">
        <f t="shared" si="189"/>
        <v>0.375</v>
      </c>
      <c r="H1444" s="1671">
        <f t="shared" si="188"/>
        <v>0</v>
      </c>
      <c r="I1444" s="1671" t="s">
        <v>49</v>
      </c>
      <c r="J1444" s="1668"/>
      <c r="K1444" s="1668"/>
      <c r="L1444" s="1669"/>
    </row>
    <row r="1445" spans="1:12" s="692" customFormat="1" ht="16.5" hidden="1">
      <c r="A1445" s="1665"/>
      <c r="B1445" s="1666"/>
      <c r="C1445" s="688"/>
      <c r="D1445" s="1667"/>
      <c r="E1445" s="1671">
        <f t="shared" si="189"/>
        <v>6.1</v>
      </c>
      <c r="F1445" s="1671">
        <f t="shared" si="189"/>
        <v>0.25</v>
      </c>
      <c r="G1445" s="1672">
        <f t="shared" si="189"/>
        <v>0.375</v>
      </c>
      <c r="H1445" s="1671">
        <f t="shared" si="188"/>
        <v>0</v>
      </c>
      <c r="I1445" s="1671" t="s">
        <v>49</v>
      </c>
      <c r="J1445" s="1668"/>
      <c r="K1445" s="1668"/>
      <c r="L1445" s="1669"/>
    </row>
    <row r="1446" spans="1:12" s="692" customFormat="1" ht="16.5" hidden="1">
      <c r="A1446" s="1665"/>
      <c r="B1446" s="1666"/>
      <c r="C1446" s="688"/>
      <c r="D1446" s="1667"/>
      <c r="E1446" s="1671">
        <v>3.5</v>
      </c>
      <c r="F1446" s="1671">
        <v>4</v>
      </c>
      <c r="G1446" s="1672">
        <v>0.15</v>
      </c>
      <c r="H1446" s="1671">
        <f t="shared" si="188"/>
        <v>0</v>
      </c>
      <c r="I1446" s="1671" t="s">
        <v>49</v>
      </c>
      <c r="J1446" s="1668"/>
      <c r="K1446" s="1668"/>
      <c r="L1446" s="1669"/>
    </row>
    <row r="1447" spans="1:12" s="692" customFormat="1" ht="16.5" hidden="1">
      <c r="A1447" s="1665"/>
      <c r="B1447" s="1666"/>
      <c r="C1447" s="688"/>
      <c r="D1447" s="1667"/>
      <c r="E1447" s="1671">
        <v>3.5</v>
      </c>
      <c r="F1447" s="1671">
        <v>4</v>
      </c>
      <c r="G1447" s="1672">
        <v>0.15</v>
      </c>
      <c r="H1447" s="1671">
        <f t="shared" si="188"/>
        <v>0</v>
      </c>
      <c r="I1447" s="1671" t="s">
        <v>49</v>
      </c>
      <c r="J1447" s="1668"/>
      <c r="K1447" s="1668"/>
      <c r="L1447" s="1669"/>
    </row>
    <row r="1448" spans="1:12" s="692" customFormat="1" ht="16.5" hidden="1">
      <c r="A1448" s="1665"/>
      <c r="B1448" s="1666"/>
      <c r="C1448" s="688"/>
      <c r="D1448" s="1667"/>
      <c r="E1448" s="1671">
        <v>3.5</v>
      </c>
      <c r="F1448" s="1671">
        <v>4</v>
      </c>
      <c r="G1448" s="1672">
        <v>0.15</v>
      </c>
      <c r="H1448" s="1671">
        <f t="shared" si="188"/>
        <v>0</v>
      </c>
      <c r="I1448" s="1671" t="s">
        <v>49</v>
      </c>
      <c r="J1448" s="1668"/>
      <c r="K1448" s="1668"/>
      <c r="L1448" s="1669"/>
    </row>
    <row r="1449" spans="1:12" s="692" customFormat="1" ht="16.5" hidden="1">
      <c r="A1449" s="1665"/>
      <c r="B1449" s="1666"/>
      <c r="C1449" s="688"/>
      <c r="D1449" s="1667"/>
      <c r="E1449" s="1671"/>
      <c r="F1449" s="1671"/>
      <c r="G1449" s="1669" t="s">
        <v>928</v>
      </c>
      <c r="H1449" s="1673">
        <f>SUM(H1443:H1448)</f>
        <v>0</v>
      </c>
      <c r="I1449" s="1669" t="s">
        <v>49</v>
      </c>
      <c r="J1449" s="1668"/>
      <c r="K1449" s="1668"/>
      <c r="L1449" s="1669"/>
    </row>
    <row r="1450" spans="1:12" s="692" customFormat="1" ht="16.5" hidden="1">
      <c r="A1450" s="1665"/>
      <c r="B1450" s="1666"/>
      <c r="C1450" s="688"/>
      <c r="D1450" s="1667"/>
      <c r="E1450" s="1671">
        <v>3.5</v>
      </c>
      <c r="F1450" s="1671">
        <v>4</v>
      </c>
      <c r="G1450" s="1672"/>
      <c r="H1450" s="1671">
        <f>ROUND(D1450*E1450*F1450,2)</f>
        <v>0</v>
      </c>
      <c r="I1450" s="1671" t="s">
        <v>92</v>
      </c>
      <c r="J1450" s="1668"/>
      <c r="K1450" s="1668"/>
      <c r="L1450" s="1669"/>
    </row>
    <row r="1451" spans="1:12" s="692" customFormat="1" ht="16.5" hidden="1">
      <c r="A1451" s="1665"/>
      <c r="B1451" s="1666"/>
      <c r="C1451" s="688"/>
      <c r="D1451" s="1667"/>
      <c r="E1451" s="1671">
        <v>3.5</v>
      </c>
      <c r="F1451" s="1671">
        <v>4</v>
      </c>
      <c r="G1451" s="1672"/>
      <c r="H1451" s="1671">
        <f t="shared" ref="H1451:H1455" si="190">ROUND(D1451*E1451*F1451,2)</f>
        <v>0</v>
      </c>
      <c r="I1451" s="1671" t="s">
        <v>92</v>
      </c>
      <c r="J1451" s="1668"/>
      <c r="K1451" s="1668"/>
      <c r="L1451" s="1669"/>
    </row>
    <row r="1452" spans="1:12" s="692" customFormat="1" ht="16.5" hidden="1">
      <c r="A1452" s="1665"/>
      <c r="B1452" s="1666"/>
      <c r="C1452" s="688"/>
      <c r="D1452" s="1667"/>
      <c r="E1452" s="1671">
        <v>3.5</v>
      </c>
      <c r="F1452" s="1671">
        <v>4</v>
      </c>
      <c r="G1452" s="1672"/>
      <c r="H1452" s="1671">
        <f t="shared" si="190"/>
        <v>0</v>
      </c>
      <c r="I1452" s="1671" t="s">
        <v>92</v>
      </c>
      <c r="J1452" s="1668"/>
      <c r="K1452" s="1668"/>
      <c r="L1452" s="1669"/>
    </row>
    <row r="1453" spans="1:12" s="692" customFormat="1" ht="16.5" hidden="1">
      <c r="A1453" s="1665"/>
      <c r="B1453" s="1666"/>
      <c r="C1453" s="688"/>
      <c r="D1453" s="1667"/>
      <c r="E1453" s="1671">
        <v>3.5</v>
      </c>
      <c r="F1453" s="1671">
        <v>4</v>
      </c>
      <c r="G1453" s="1672"/>
      <c r="H1453" s="1671">
        <f t="shared" si="190"/>
        <v>0</v>
      </c>
      <c r="I1453" s="1671" t="s">
        <v>92</v>
      </c>
      <c r="J1453" s="1668"/>
      <c r="K1453" s="1668"/>
      <c r="L1453" s="1669"/>
    </row>
    <row r="1454" spans="1:12" s="692" customFormat="1" ht="16.5" hidden="1">
      <c r="A1454" s="1665"/>
      <c r="B1454" s="1666"/>
      <c r="C1454" s="688"/>
      <c r="D1454" s="1667"/>
      <c r="E1454" s="1671">
        <v>3.5</v>
      </c>
      <c r="F1454" s="1671">
        <v>4</v>
      </c>
      <c r="G1454" s="1672"/>
      <c r="H1454" s="1671">
        <f t="shared" si="190"/>
        <v>0</v>
      </c>
      <c r="I1454" s="1671" t="s">
        <v>92</v>
      </c>
      <c r="J1454" s="1668"/>
      <c r="K1454" s="1668"/>
      <c r="L1454" s="1669"/>
    </row>
    <row r="1455" spans="1:12" s="692" customFormat="1" ht="16.5" hidden="1">
      <c r="A1455" s="1665"/>
      <c r="B1455" s="1666"/>
      <c r="C1455" s="688"/>
      <c r="D1455" s="1667"/>
      <c r="E1455" s="1671">
        <v>3.5</v>
      </c>
      <c r="F1455" s="1671">
        <v>4</v>
      </c>
      <c r="G1455" s="1672"/>
      <c r="H1455" s="1671">
        <f t="shared" si="190"/>
        <v>0</v>
      </c>
      <c r="I1455" s="1671" t="s">
        <v>92</v>
      </c>
      <c r="J1455" s="1668"/>
      <c r="K1455" s="1668"/>
      <c r="L1455" s="1669"/>
    </row>
    <row r="1456" spans="1:12" s="692" customFormat="1" ht="16.5" hidden="1">
      <c r="A1456" s="1665"/>
      <c r="B1456" s="1666"/>
      <c r="C1456" s="688"/>
      <c r="D1456" s="1667"/>
      <c r="E1456" s="1671"/>
      <c r="F1456" s="1671"/>
      <c r="G1456" s="1669" t="s">
        <v>928</v>
      </c>
      <c r="H1456" s="1673">
        <f>SUM(H1450:H1455)</f>
        <v>0</v>
      </c>
      <c r="I1456" s="1671" t="s">
        <v>92</v>
      </c>
      <c r="J1456" s="1669">
        <f>'Lead &amp; ANALYSIS'!L606</f>
        <v>2096.6999999999998</v>
      </c>
      <c r="K1456" s="1668" t="s">
        <v>1514</v>
      </c>
      <c r="L1456" s="1669">
        <f>ROUND(H1456*J1456,0)</f>
        <v>0</v>
      </c>
    </row>
    <row r="1457" spans="1:12" s="692" customFormat="1" ht="16.5" hidden="1">
      <c r="A1457" s="1665" t="s">
        <v>3415</v>
      </c>
      <c r="B1457" s="1666" t="s">
        <v>3416</v>
      </c>
      <c r="C1457" s="688"/>
      <c r="D1457" s="1667"/>
      <c r="E1457" s="688"/>
      <c r="F1457" s="688"/>
      <c r="G1457" s="1674"/>
      <c r="H1457" s="688"/>
      <c r="I1457" s="1668"/>
      <c r="J1457" s="1668"/>
      <c r="K1457" s="1668"/>
      <c r="L1457" s="1669"/>
    </row>
    <row r="1458" spans="1:12" s="692" customFormat="1" ht="16.5" hidden="1">
      <c r="A1458" s="1665"/>
      <c r="B1458" s="1666"/>
      <c r="C1458" s="688"/>
      <c r="D1458" s="1667"/>
      <c r="E1458" s="1671">
        <v>3.5</v>
      </c>
      <c r="F1458" s="1671">
        <v>4</v>
      </c>
      <c r="G1458" s="1672">
        <v>0.15</v>
      </c>
      <c r="H1458" s="1671">
        <f t="shared" ref="H1458:H1463" si="191">ROUND(D1458*E1458*F1458*G1458,2)</f>
        <v>0</v>
      </c>
      <c r="I1458" s="1671" t="s">
        <v>49</v>
      </c>
      <c r="J1458" s="1668"/>
      <c r="K1458" s="1668"/>
      <c r="L1458" s="1669"/>
    </row>
    <row r="1459" spans="1:12" s="692" customFormat="1" ht="16.5" hidden="1">
      <c r="A1459" s="1665"/>
      <c r="B1459" s="1666"/>
      <c r="C1459" s="688"/>
      <c r="D1459" s="1667"/>
      <c r="E1459" s="1671">
        <v>3.5</v>
      </c>
      <c r="F1459" s="1671">
        <v>4</v>
      </c>
      <c r="G1459" s="1672">
        <v>0.15</v>
      </c>
      <c r="H1459" s="1671">
        <f t="shared" si="191"/>
        <v>0</v>
      </c>
      <c r="I1459" s="1671" t="s">
        <v>49</v>
      </c>
      <c r="J1459" s="1668"/>
      <c r="K1459" s="1668"/>
      <c r="L1459" s="1669"/>
    </row>
    <row r="1460" spans="1:12" s="692" customFormat="1" ht="16.5" hidden="1">
      <c r="A1460" s="1665"/>
      <c r="B1460" s="1666"/>
      <c r="C1460" s="688"/>
      <c r="D1460" s="1667"/>
      <c r="E1460" s="1671">
        <v>3.5</v>
      </c>
      <c r="F1460" s="1671">
        <v>4</v>
      </c>
      <c r="G1460" s="1672">
        <v>0.15</v>
      </c>
      <c r="H1460" s="1671">
        <f t="shared" si="191"/>
        <v>0</v>
      </c>
      <c r="I1460" s="1671" t="s">
        <v>49</v>
      </c>
      <c r="J1460" s="1668"/>
      <c r="K1460" s="1668"/>
      <c r="L1460" s="1669"/>
    </row>
    <row r="1461" spans="1:12" s="692" customFormat="1" ht="16.5" hidden="1">
      <c r="A1461" s="1665"/>
      <c r="B1461" s="1666"/>
      <c r="C1461" s="688"/>
      <c r="D1461" s="1667"/>
      <c r="E1461" s="1671">
        <v>3.5</v>
      </c>
      <c r="F1461" s="1671">
        <v>4</v>
      </c>
      <c r="G1461" s="1672">
        <v>0.15</v>
      </c>
      <c r="H1461" s="1671">
        <f t="shared" si="191"/>
        <v>0</v>
      </c>
      <c r="I1461" s="1671" t="s">
        <v>49</v>
      </c>
      <c r="J1461" s="1668"/>
      <c r="K1461" s="1668"/>
      <c r="L1461" s="1669"/>
    </row>
    <row r="1462" spans="1:12" s="692" customFormat="1" ht="16.5" hidden="1">
      <c r="A1462" s="1665"/>
      <c r="B1462" s="1666"/>
      <c r="C1462" s="688"/>
      <c r="D1462" s="1667"/>
      <c r="E1462" s="1671">
        <v>3.5</v>
      </c>
      <c r="F1462" s="1671">
        <v>4</v>
      </c>
      <c r="G1462" s="1672">
        <v>0.15</v>
      </c>
      <c r="H1462" s="1671">
        <f t="shared" si="191"/>
        <v>0</v>
      </c>
      <c r="I1462" s="1671" t="s">
        <v>49</v>
      </c>
      <c r="J1462" s="1668"/>
      <c r="K1462" s="1668"/>
      <c r="L1462" s="1669"/>
    </row>
    <row r="1463" spans="1:12" s="692" customFormat="1" ht="16.5" hidden="1">
      <c r="A1463" s="1665"/>
      <c r="B1463" s="1666"/>
      <c r="C1463" s="688"/>
      <c r="D1463" s="1667"/>
      <c r="E1463" s="1671">
        <v>3.5</v>
      </c>
      <c r="F1463" s="1671">
        <v>4</v>
      </c>
      <c r="G1463" s="1672">
        <v>0.15</v>
      </c>
      <c r="H1463" s="1671">
        <f t="shared" si="191"/>
        <v>0</v>
      </c>
      <c r="I1463" s="1671" t="s">
        <v>49</v>
      </c>
      <c r="J1463" s="1668"/>
      <c r="K1463" s="1668"/>
      <c r="L1463" s="1669"/>
    </row>
    <row r="1464" spans="1:12" s="692" customFormat="1" ht="16.5" hidden="1">
      <c r="A1464" s="1665"/>
      <c r="B1464" s="1666"/>
      <c r="C1464" s="688"/>
      <c r="D1464" s="1667"/>
      <c r="E1464" s="1671"/>
      <c r="F1464" s="1671"/>
      <c r="G1464" s="1669" t="s">
        <v>928</v>
      </c>
      <c r="H1464" s="1673">
        <f>SUM(H1458:H1463)</f>
        <v>0</v>
      </c>
      <c r="I1464" s="1669" t="s">
        <v>49</v>
      </c>
      <c r="J1464" s="1668"/>
      <c r="K1464" s="1668"/>
      <c r="L1464" s="1669"/>
    </row>
    <row r="1465" spans="1:12" s="692" customFormat="1" ht="16.5" hidden="1">
      <c r="A1465" s="1665"/>
      <c r="B1465" s="1666"/>
      <c r="C1465" s="688"/>
      <c r="D1465" s="1667"/>
      <c r="E1465" s="1671">
        <v>3.5</v>
      </c>
      <c r="F1465" s="1671">
        <v>4</v>
      </c>
      <c r="G1465" s="1672">
        <v>0.15</v>
      </c>
      <c r="H1465" s="1671">
        <f t="shared" ref="H1465:H1470" si="192">ROUND(D1465*E1465*F1465*G1465,2)</f>
        <v>0</v>
      </c>
      <c r="I1465" s="1671" t="s">
        <v>49</v>
      </c>
      <c r="J1465" s="1668"/>
      <c r="K1465" s="1668"/>
      <c r="L1465" s="1669"/>
    </row>
    <row r="1466" spans="1:12" s="692" customFormat="1" ht="16.5" hidden="1">
      <c r="A1466" s="1665"/>
      <c r="B1466" s="1666"/>
      <c r="C1466" s="688"/>
      <c r="D1466" s="1667"/>
      <c r="E1466" s="1671">
        <v>3.5</v>
      </c>
      <c r="F1466" s="1671">
        <v>4</v>
      </c>
      <c r="G1466" s="1672">
        <v>0.15</v>
      </c>
      <c r="H1466" s="1671">
        <f t="shared" si="192"/>
        <v>0</v>
      </c>
      <c r="I1466" s="1671" t="s">
        <v>49</v>
      </c>
      <c r="J1466" s="1668"/>
      <c r="K1466" s="1668"/>
      <c r="L1466" s="1669"/>
    </row>
    <row r="1467" spans="1:12" s="692" customFormat="1" ht="16.5" hidden="1">
      <c r="A1467" s="1665"/>
      <c r="B1467" s="1666"/>
      <c r="C1467" s="688"/>
      <c r="D1467" s="1667"/>
      <c r="E1467" s="1671">
        <v>3.5</v>
      </c>
      <c r="F1467" s="1671">
        <v>4</v>
      </c>
      <c r="G1467" s="1672">
        <v>0.15</v>
      </c>
      <c r="H1467" s="1671">
        <f t="shared" si="192"/>
        <v>0</v>
      </c>
      <c r="I1467" s="1671" t="s">
        <v>49</v>
      </c>
      <c r="J1467" s="1668"/>
      <c r="K1467" s="1668"/>
      <c r="L1467" s="1669"/>
    </row>
    <row r="1468" spans="1:12" s="692" customFormat="1" ht="16.5" hidden="1">
      <c r="A1468" s="1665"/>
      <c r="B1468" s="1666"/>
      <c r="C1468" s="688"/>
      <c r="D1468" s="1667"/>
      <c r="E1468" s="1671">
        <v>3.5</v>
      </c>
      <c r="F1468" s="1671">
        <v>4</v>
      </c>
      <c r="G1468" s="1672">
        <v>0.15</v>
      </c>
      <c r="H1468" s="1671">
        <f t="shared" si="192"/>
        <v>0</v>
      </c>
      <c r="I1468" s="1671" t="s">
        <v>49</v>
      </c>
      <c r="J1468" s="1668"/>
      <c r="K1468" s="1668"/>
      <c r="L1468" s="1669"/>
    </row>
    <row r="1469" spans="1:12" s="692" customFormat="1" ht="16.5" hidden="1">
      <c r="A1469" s="1665"/>
      <c r="B1469" s="1666"/>
      <c r="C1469" s="688"/>
      <c r="D1469" s="1667"/>
      <c r="E1469" s="1671">
        <v>3.5</v>
      </c>
      <c r="F1469" s="1671">
        <v>4</v>
      </c>
      <c r="G1469" s="1672">
        <v>0.15</v>
      </c>
      <c r="H1469" s="1671">
        <f t="shared" si="192"/>
        <v>0</v>
      </c>
      <c r="I1469" s="1671" t="s">
        <v>49</v>
      </c>
      <c r="J1469" s="1668"/>
      <c r="K1469" s="1668"/>
      <c r="L1469" s="1669"/>
    </row>
    <row r="1470" spans="1:12" s="692" customFormat="1" ht="16.5" hidden="1">
      <c r="A1470" s="1665"/>
      <c r="B1470" s="1666"/>
      <c r="C1470" s="688"/>
      <c r="D1470" s="1667"/>
      <c r="E1470" s="1671">
        <v>3.5</v>
      </c>
      <c r="F1470" s="1671">
        <v>4</v>
      </c>
      <c r="G1470" s="1672">
        <v>0.15</v>
      </c>
      <c r="H1470" s="1671">
        <f t="shared" si="192"/>
        <v>0</v>
      </c>
      <c r="I1470" s="1671" t="s">
        <v>49</v>
      </c>
      <c r="J1470" s="1668"/>
      <c r="K1470" s="1668"/>
      <c r="L1470" s="1669"/>
    </row>
    <row r="1471" spans="1:12" s="692" customFormat="1" ht="16.5" hidden="1">
      <c r="A1471" s="1665"/>
      <c r="B1471" s="1666"/>
      <c r="C1471" s="688"/>
      <c r="D1471" s="1667"/>
      <c r="E1471" s="1671"/>
      <c r="F1471" s="1671"/>
      <c r="G1471" s="1669" t="s">
        <v>928</v>
      </c>
      <c r="H1471" s="1673">
        <f>SUM(H1465:H1470)</f>
        <v>0</v>
      </c>
      <c r="I1471" s="1669" t="s">
        <v>49</v>
      </c>
      <c r="J1471" s="1669">
        <f>'Lead &amp; ANALYSIS'!L528</f>
        <v>13831.7</v>
      </c>
      <c r="K1471" s="1668" t="s">
        <v>1516</v>
      </c>
      <c r="L1471" s="1669">
        <f>ROUND(H1471*J1471,0)</f>
        <v>0</v>
      </c>
    </row>
    <row r="1472" spans="1:12" s="692" customFormat="1" ht="16.5" hidden="1">
      <c r="A1472" s="1665" t="s">
        <v>2977</v>
      </c>
      <c r="B1472" s="1666" t="s">
        <v>1929</v>
      </c>
      <c r="C1472" s="688"/>
      <c r="D1472" s="1667"/>
      <c r="E1472" s="688"/>
      <c r="F1472" s="688"/>
      <c r="G1472" s="1674"/>
      <c r="H1472" s="688"/>
      <c r="I1472" s="1668"/>
      <c r="J1472" s="1668"/>
      <c r="K1472" s="1668"/>
      <c r="L1472" s="1669"/>
    </row>
    <row r="1473" spans="1:12" s="692" customFormat="1" ht="16.5" hidden="1">
      <c r="A1473" s="1665"/>
      <c r="B1473" s="1666"/>
      <c r="C1473" s="688"/>
      <c r="D1473" s="1667"/>
      <c r="E1473" s="1671">
        <v>3.5</v>
      </c>
      <c r="F1473" s="1671">
        <v>4</v>
      </c>
      <c r="G1473" s="1672">
        <v>0.15</v>
      </c>
      <c r="H1473" s="1671">
        <f t="shared" ref="H1473:H1478" si="193">ROUND(D1473*E1473*F1473*G1473,2)</f>
        <v>0</v>
      </c>
      <c r="I1473" s="1671" t="s">
        <v>49</v>
      </c>
      <c r="J1473" s="1668"/>
      <c r="K1473" s="1668"/>
      <c r="L1473" s="1669"/>
    </row>
    <row r="1474" spans="1:12" s="692" customFormat="1" ht="16.5" hidden="1">
      <c r="A1474" s="1665"/>
      <c r="B1474" s="1666"/>
      <c r="C1474" s="688"/>
      <c r="D1474" s="1667"/>
      <c r="E1474" s="1671">
        <v>3.5</v>
      </c>
      <c r="F1474" s="1671">
        <v>4</v>
      </c>
      <c r="G1474" s="1672">
        <v>0.15</v>
      </c>
      <c r="H1474" s="1671">
        <f t="shared" si="193"/>
        <v>0</v>
      </c>
      <c r="I1474" s="1671" t="s">
        <v>49</v>
      </c>
      <c r="J1474" s="1668"/>
      <c r="K1474" s="1668"/>
      <c r="L1474" s="1669"/>
    </row>
    <row r="1475" spans="1:12" s="692" customFormat="1" ht="16.5" hidden="1">
      <c r="A1475" s="1665"/>
      <c r="B1475" s="1666"/>
      <c r="C1475" s="688"/>
      <c r="D1475" s="1667"/>
      <c r="E1475" s="1671">
        <v>3.5</v>
      </c>
      <c r="F1475" s="1671">
        <v>4</v>
      </c>
      <c r="G1475" s="1672">
        <v>0.15</v>
      </c>
      <c r="H1475" s="1671">
        <f t="shared" si="193"/>
        <v>0</v>
      </c>
      <c r="I1475" s="1671" t="s">
        <v>49</v>
      </c>
      <c r="J1475" s="1668"/>
      <c r="K1475" s="1668"/>
      <c r="L1475" s="1669"/>
    </row>
    <row r="1476" spans="1:12" s="692" customFormat="1" ht="16.5" hidden="1">
      <c r="A1476" s="1665"/>
      <c r="B1476" s="1666"/>
      <c r="C1476" s="688"/>
      <c r="D1476" s="1667"/>
      <c r="E1476" s="1671">
        <v>3.5</v>
      </c>
      <c r="F1476" s="1671">
        <v>4</v>
      </c>
      <c r="G1476" s="1672">
        <v>0.15</v>
      </c>
      <c r="H1476" s="1671">
        <f t="shared" si="193"/>
        <v>0</v>
      </c>
      <c r="I1476" s="1671" t="s">
        <v>49</v>
      </c>
      <c r="J1476" s="1668"/>
      <c r="K1476" s="1668"/>
      <c r="L1476" s="1669"/>
    </row>
    <row r="1477" spans="1:12" s="692" customFormat="1" ht="16.5" hidden="1">
      <c r="A1477" s="1665"/>
      <c r="B1477" s="1666"/>
      <c r="C1477" s="688"/>
      <c r="D1477" s="1667"/>
      <c r="E1477" s="1671">
        <v>3.5</v>
      </c>
      <c r="F1477" s="1671">
        <v>4</v>
      </c>
      <c r="G1477" s="1672">
        <v>0.15</v>
      </c>
      <c r="H1477" s="1671">
        <f t="shared" si="193"/>
        <v>0</v>
      </c>
      <c r="I1477" s="1671" t="s">
        <v>49</v>
      </c>
      <c r="J1477" s="1668"/>
      <c r="K1477" s="1668"/>
      <c r="L1477" s="1669"/>
    </row>
    <row r="1478" spans="1:12" s="692" customFormat="1" ht="16.5" hidden="1">
      <c r="A1478" s="1665"/>
      <c r="B1478" s="1666"/>
      <c r="C1478" s="688"/>
      <c r="D1478" s="1667"/>
      <c r="E1478" s="1671">
        <v>3.5</v>
      </c>
      <c r="F1478" s="1671">
        <v>4</v>
      </c>
      <c r="G1478" s="1672">
        <v>0.15</v>
      </c>
      <c r="H1478" s="1671">
        <f t="shared" si="193"/>
        <v>0</v>
      </c>
      <c r="I1478" s="1671" t="s">
        <v>49</v>
      </c>
      <c r="J1478" s="1668"/>
      <c r="K1478" s="1668"/>
      <c r="L1478" s="1669"/>
    </row>
    <row r="1479" spans="1:12" s="692" customFormat="1" ht="16.5" hidden="1">
      <c r="A1479" s="1665"/>
      <c r="B1479" s="1666"/>
      <c r="C1479" s="688"/>
      <c r="D1479" s="1667"/>
      <c r="E1479" s="1671"/>
      <c r="F1479" s="1671"/>
      <c r="G1479" s="1669" t="s">
        <v>928</v>
      </c>
      <c r="H1479" s="1673">
        <f>SUM(H1473:H1478)</f>
        <v>0</v>
      </c>
      <c r="I1479" s="1669" t="s">
        <v>49</v>
      </c>
      <c r="J1479" s="1668"/>
      <c r="K1479" s="1668"/>
      <c r="L1479" s="1669"/>
    </row>
    <row r="1480" spans="1:12" s="692" customFormat="1" ht="16.5" hidden="1">
      <c r="A1480" s="1665"/>
      <c r="B1480" s="1666"/>
      <c r="C1480" s="688"/>
      <c r="D1480" s="1667"/>
      <c r="E1480" s="1671">
        <v>3.5</v>
      </c>
      <c r="F1480" s="1671">
        <v>4</v>
      </c>
      <c r="G1480" s="1672"/>
      <c r="H1480" s="1671">
        <f>ROUND(D1480*E1480*F1480,2)</f>
        <v>0</v>
      </c>
      <c r="I1480" s="1671" t="s">
        <v>92</v>
      </c>
      <c r="J1480" s="1668"/>
      <c r="K1480" s="1668"/>
      <c r="L1480" s="1669"/>
    </row>
    <row r="1481" spans="1:12" s="692" customFormat="1" ht="16.5" hidden="1">
      <c r="A1481" s="1665"/>
      <c r="B1481" s="1666"/>
      <c r="C1481" s="688"/>
      <c r="D1481" s="1667"/>
      <c r="E1481" s="1671">
        <v>3.5</v>
      </c>
      <c r="F1481" s="1671">
        <v>4</v>
      </c>
      <c r="G1481" s="1672"/>
      <c r="H1481" s="1671">
        <f t="shared" ref="H1481:H1485" si="194">ROUND(D1481*E1481*F1481,2)</f>
        <v>0</v>
      </c>
      <c r="I1481" s="1671" t="s">
        <v>92</v>
      </c>
      <c r="J1481" s="1668"/>
      <c r="K1481" s="1668"/>
      <c r="L1481" s="1669"/>
    </row>
    <row r="1482" spans="1:12" s="692" customFormat="1" ht="16.5" hidden="1">
      <c r="A1482" s="1665"/>
      <c r="B1482" s="1666"/>
      <c r="C1482" s="688"/>
      <c r="D1482" s="1667"/>
      <c r="E1482" s="1671">
        <v>3.5</v>
      </c>
      <c r="F1482" s="1671">
        <v>4</v>
      </c>
      <c r="G1482" s="1672"/>
      <c r="H1482" s="1671">
        <f t="shared" si="194"/>
        <v>0</v>
      </c>
      <c r="I1482" s="1671" t="s">
        <v>92</v>
      </c>
      <c r="J1482" s="1668"/>
      <c r="K1482" s="1668"/>
      <c r="L1482" s="1669"/>
    </row>
    <row r="1483" spans="1:12" s="692" customFormat="1" ht="16.5" hidden="1">
      <c r="A1483" s="1665"/>
      <c r="B1483" s="1666"/>
      <c r="C1483" s="688"/>
      <c r="D1483" s="1667"/>
      <c r="E1483" s="1671">
        <v>3.5</v>
      </c>
      <c r="F1483" s="1671">
        <v>4</v>
      </c>
      <c r="G1483" s="1672"/>
      <c r="H1483" s="1671">
        <f t="shared" si="194"/>
        <v>0</v>
      </c>
      <c r="I1483" s="1671" t="s">
        <v>92</v>
      </c>
      <c r="J1483" s="1668"/>
      <c r="K1483" s="1668"/>
      <c r="L1483" s="1669"/>
    </row>
    <row r="1484" spans="1:12" s="692" customFormat="1" ht="16.5" hidden="1">
      <c r="A1484" s="1665"/>
      <c r="B1484" s="1666"/>
      <c r="C1484" s="688"/>
      <c r="D1484" s="1667"/>
      <c r="E1484" s="1671">
        <v>3.5</v>
      </c>
      <c r="F1484" s="1671">
        <v>4</v>
      </c>
      <c r="G1484" s="1672"/>
      <c r="H1484" s="1671">
        <f t="shared" si="194"/>
        <v>0</v>
      </c>
      <c r="I1484" s="1671" t="s">
        <v>92</v>
      </c>
      <c r="J1484" s="1668"/>
      <c r="K1484" s="1668"/>
      <c r="L1484" s="1669"/>
    </row>
    <row r="1485" spans="1:12" s="692" customFormat="1" ht="16.5" hidden="1">
      <c r="A1485" s="1665"/>
      <c r="B1485" s="1666"/>
      <c r="C1485" s="688"/>
      <c r="D1485" s="1667"/>
      <c r="E1485" s="1671">
        <v>3.5</v>
      </c>
      <c r="F1485" s="1671">
        <v>4</v>
      </c>
      <c r="G1485" s="1672"/>
      <c r="H1485" s="1671">
        <f t="shared" si="194"/>
        <v>0</v>
      </c>
      <c r="I1485" s="1671" t="s">
        <v>92</v>
      </c>
      <c r="J1485" s="1668"/>
      <c r="K1485" s="1668"/>
      <c r="L1485" s="1669"/>
    </row>
    <row r="1486" spans="1:12" s="692" customFormat="1" ht="16.5" hidden="1">
      <c r="A1486" s="1665"/>
      <c r="B1486" s="1666"/>
      <c r="C1486" s="688"/>
      <c r="D1486" s="1667"/>
      <c r="E1486" s="1671"/>
      <c r="F1486" s="1671"/>
      <c r="G1486" s="1669" t="s">
        <v>928</v>
      </c>
      <c r="H1486" s="1673">
        <f>SUM(H1480:H1485)</f>
        <v>0</v>
      </c>
      <c r="I1486" s="1671" t="s">
        <v>92</v>
      </c>
      <c r="J1486" s="1669">
        <f>'Lead &amp; ANALYSIS'!L593</f>
        <v>1063.3</v>
      </c>
      <c r="K1486" s="1668" t="s">
        <v>1514</v>
      </c>
      <c r="L1486" s="1669">
        <f>ROUND(H1486*J1486,0)</f>
        <v>0</v>
      </c>
    </row>
    <row r="1487" spans="1:12" s="692" customFormat="1" ht="16.5" hidden="1">
      <c r="A1487" s="1665" t="s">
        <v>3417</v>
      </c>
      <c r="B1487" s="1666" t="s">
        <v>479</v>
      </c>
      <c r="C1487" s="688"/>
      <c r="D1487" s="1667"/>
      <c r="E1487" s="688"/>
      <c r="F1487" s="688"/>
      <c r="G1487" s="1674"/>
      <c r="H1487" s="688"/>
      <c r="I1487" s="1668"/>
      <c r="J1487" s="1668"/>
      <c r="K1487" s="1668"/>
      <c r="L1487" s="1669"/>
    </row>
    <row r="1488" spans="1:12" s="692" customFormat="1" ht="16.5" hidden="1">
      <c r="A1488" s="1665"/>
      <c r="B1488" s="1666"/>
      <c r="C1488" s="688"/>
      <c r="D1488" s="1667"/>
      <c r="E1488" s="1671">
        <v>3.5</v>
      </c>
      <c r="F1488" s="1671">
        <v>4</v>
      </c>
      <c r="G1488" s="1672">
        <v>0.15</v>
      </c>
      <c r="H1488" s="1671">
        <f t="shared" ref="H1488:H1493" si="195">ROUND(D1488*E1488*F1488*G1488,2)</f>
        <v>0</v>
      </c>
      <c r="I1488" s="1671" t="s">
        <v>49</v>
      </c>
      <c r="J1488" s="1668"/>
      <c r="K1488" s="1668"/>
      <c r="L1488" s="1669"/>
    </row>
    <row r="1489" spans="1:12" s="692" customFormat="1" ht="16.5" hidden="1">
      <c r="A1489" s="1665"/>
      <c r="B1489" s="1666"/>
      <c r="C1489" s="688"/>
      <c r="D1489" s="1667"/>
      <c r="E1489" s="1671">
        <v>3.5</v>
      </c>
      <c r="F1489" s="1671">
        <v>4</v>
      </c>
      <c r="G1489" s="1672">
        <v>0.15</v>
      </c>
      <c r="H1489" s="1671">
        <f t="shared" si="195"/>
        <v>0</v>
      </c>
      <c r="I1489" s="1671" t="s">
        <v>49</v>
      </c>
      <c r="J1489" s="1668"/>
      <c r="K1489" s="1668"/>
      <c r="L1489" s="1669"/>
    </row>
    <row r="1490" spans="1:12" s="692" customFormat="1" ht="16.5" hidden="1">
      <c r="A1490" s="1665"/>
      <c r="B1490" s="1666"/>
      <c r="C1490" s="688"/>
      <c r="D1490" s="1667"/>
      <c r="E1490" s="1671">
        <v>3.5</v>
      </c>
      <c r="F1490" s="1671">
        <v>4</v>
      </c>
      <c r="G1490" s="1672">
        <v>0.15</v>
      </c>
      <c r="H1490" s="1671">
        <f t="shared" si="195"/>
        <v>0</v>
      </c>
      <c r="I1490" s="1671" t="s">
        <v>49</v>
      </c>
      <c r="J1490" s="1668"/>
      <c r="K1490" s="1668"/>
      <c r="L1490" s="1669"/>
    </row>
    <row r="1491" spans="1:12" s="692" customFormat="1" ht="16.5" hidden="1">
      <c r="A1491" s="1665"/>
      <c r="B1491" s="1666"/>
      <c r="C1491" s="688"/>
      <c r="D1491" s="1667"/>
      <c r="E1491" s="1671">
        <v>3.5</v>
      </c>
      <c r="F1491" s="1671">
        <v>4</v>
      </c>
      <c r="G1491" s="1672">
        <v>0.15</v>
      </c>
      <c r="H1491" s="1671">
        <f t="shared" si="195"/>
        <v>0</v>
      </c>
      <c r="I1491" s="1671" t="s">
        <v>49</v>
      </c>
      <c r="J1491" s="1668"/>
      <c r="K1491" s="1668"/>
      <c r="L1491" s="1669"/>
    </row>
    <row r="1492" spans="1:12" s="692" customFormat="1" ht="16.5" hidden="1">
      <c r="A1492" s="1665"/>
      <c r="B1492" s="1666"/>
      <c r="C1492" s="688"/>
      <c r="D1492" s="1667"/>
      <c r="E1492" s="1671">
        <v>3.5</v>
      </c>
      <c r="F1492" s="1671">
        <v>4</v>
      </c>
      <c r="G1492" s="1672">
        <v>0.15</v>
      </c>
      <c r="H1492" s="1671">
        <f t="shared" si="195"/>
        <v>0</v>
      </c>
      <c r="I1492" s="1671" t="s">
        <v>49</v>
      </c>
      <c r="J1492" s="1668"/>
      <c r="K1492" s="1668"/>
      <c r="L1492" s="1669"/>
    </row>
    <row r="1493" spans="1:12" s="692" customFormat="1" ht="16.5" hidden="1">
      <c r="A1493" s="1665"/>
      <c r="B1493" s="1666"/>
      <c r="C1493" s="688"/>
      <c r="D1493" s="1667"/>
      <c r="E1493" s="1671">
        <v>3.5</v>
      </c>
      <c r="F1493" s="1671">
        <v>4</v>
      </c>
      <c r="G1493" s="1672">
        <v>0.15</v>
      </c>
      <c r="H1493" s="1671">
        <f t="shared" si="195"/>
        <v>0</v>
      </c>
      <c r="I1493" s="1671" t="s">
        <v>49</v>
      </c>
      <c r="J1493" s="1668"/>
      <c r="K1493" s="1668"/>
      <c r="L1493" s="1669"/>
    </row>
    <row r="1494" spans="1:12" s="692" customFormat="1" ht="16.5" hidden="1">
      <c r="A1494" s="1665"/>
      <c r="B1494" s="1666"/>
      <c r="C1494" s="688"/>
      <c r="D1494" s="1667"/>
      <c r="E1494" s="1671"/>
      <c r="F1494" s="1671"/>
      <c r="G1494" s="1669" t="s">
        <v>928</v>
      </c>
      <c r="H1494" s="1673">
        <f>SUM(H1488:H1493)</f>
        <v>0</v>
      </c>
      <c r="I1494" s="1669" t="s">
        <v>49</v>
      </c>
      <c r="J1494" s="1668"/>
      <c r="K1494" s="1668"/>
      <c r="L1494" s="1669"/>
    </row>
    <row r="1495" spans="1:12" s="692" customFormat="1" ht="16.5" hidden="1">
      <c r="A1495" s="1665"/>
      <c r="B1495" s="1666"/>
      <c r="C1495" s="688"/>
      <c r="D1495" s="1667"/>
      <c r="E1495" s="1671">
        <v>3.5</v>
      </c>
      <c r="F1495" s="1671">
        <v>4</v>
      </c>
      <c r="G1495" s="1672">
        <v>0.15</v>
      </c>
      <c r="H1495" s="1671">
        <f t="shared" ref="H1495:H1500" si="196">ROUND(D1495*E1495*F1495*G1495,2)</f>
        <v>0</v>
      </c>
      <c r="I1495" s="1671" t="s">
        <v>49</v>
      </c>
      <c r="J1495" s="1668"/>
      <c r="K1495" s="1668"/>
      <c r="L1495" s="1669"/>
    </row>
    <row r="1496" spans="1:12" s="692" customFormat="1" ht="16.5" hidden="1">
      <c r="A1496" s="1665"/>
      <c r="B1496" s="1666"/>
      <c r="C1496" s="688"/>
      <c r="D1496" s="1667"/>
      <c r="E1496" s="1671">
        <v>3.5</v>
      </c>
      <c r="F1496" s="1671">
        <v>4</v>
      </c>
      <c r="G1496" s="1672">
        <v>0.15</v>
      </c>
      <c r="H1496" s="1671">
        <f t="shared" si="196"/>
        <v>0</v>
      </c>
      <c r="I1496" s="1671" t="s">
        <v>49</v>
      </c>
      <c r="J1496" s="1668"/>
      <c r="K1496" s="1668"/>
      <c r="L1496" s="1669"/>
    </row>
    <row r="1497" spans="1:12" s="692" customFormat="1" ht="16.5" hidden="1">
      <c r="A1497" s="1665"/>
      <c r="B1497" s="1666"/>
      <c r="C1497" s="688"/>
      <c r="D1497" s="1667"/>
      <c r="E1497" s="1671">
        <v>3.5</v>
      </c>
      <c r="F1497" s="1671">
        <v>4</v>
      </c>
      <c r="G1497" s="1672">
        <v>0.15</v>
      </c>
      <c r="H1497" s="1671">
        <f t="shared" si="196"/>
        <v>0</v>
      </c>
      <c r="I1497" s="1671" t="s">
        <v>49</v>
      </c>
      <c r="J1497" s="1668"/>
      <c r="K1497" s="1668"/>
      <c r="L1497" s="1669"/>
    </row>
    <row r="1498" spans="1:12" s="692" customFormat="1" ht="16.5" hidden="1">
      <c r="A1498" s="1665"/>
      <c r="B1498" s="1666"/>
      <c r="C1498" s="688"/>
      <c r="D1498" s="1667"/>
      <c r="E1498" s="1671">
        <v>3.5</v>
      </c>
      <c r="F1498" s="1671">
        <v>4</v>
      </c>
      <c r="G1498" s="1672">
        <v>0.15</v>
      </c>
      <c r="H1498" s="1671">
        <f t="shared" si="196"/>
        <v>0</v>
      </c>
      <c r="I1498" s="1671" t="s">
        <v>49</v>
      </c>
      <c r="J1498" s="1668"/>
      <c r="K1498" s="1668"/>
      <c r="L1498" s="1669"/>
    </row>
    <row r="1499" spans="1:12" s="692" customFormat="1" ht="16.5" hidden="1">
      <c r="A1499" s="1665"/>
      <c r="B1499" s="1666"/>
      <c r="C1499" s="688"/>
      <c r="D1499" s="1667"/>
      <c r="E1499" s="1671">
        <v>3.5</v>
      </c>
      <c r="F1499" s="1671">
        <v>4</v>
      </c>
      <c r="G1499" s="1672">
        <v>0.15</v>
      </c>
      <c r="H1499" s="1671">
        <f t="shared" si="196"/>
        <v>0</v>
      </c>
      <c r="I1499" s="1671" t="s">
        <v>49</v>
      </c>
      <c r="J1499" s="1668"/>
      <c r="K1499" s="1668"/>
      <c r="L1499" s="1669"/>
    </row>
    <row r="1500" spans="1:12" s="692" customFormat="1" ht="16.5" hidden="1">
      <c r="A1500" s="1665"/>
      <c r="B1500" s="1666"/>
      <c r="C1500" s="688"/>
      <c r="D1500" s="1667"/>
      <c r="E1500" s="1671">
        <v>3.5</v>
      </c>
      <c r="F1500" s="1671">
        <v>4</v>
      </c>
      <c r="G1500" s="1672">
        <v>0.15</v>
      </c>
      <c r="H1500" s="1671">
        <f t="shared" si="196"/>
        <v>0</v>
      </c>
      <c r="I1500" s="1671" t="s">
        <v>49</v>
      </c>
      <c r="J1500" s="1668"/>
      <c r="K1500" s="1668"/>
      <c r="L1500" s="1669"/>
    </row>
    <row r="1501" spans="1:12" s="692" customFormat="1" ht="16.5" hidden="1">
      <c r="A1501" s="1665"/>
      <c r="B1501" s="1666"/>
      <c r="C1501" s="688"/>
      <c r="D1501" s="1667"/>
      <c r="E1501" s="1671"/>
      <c r="F1501" s="1671"/>
      <c r="G1501" s="1669" t="s">
        <v>928</v>
      </c>
      <c r="H1501" s="1673">
        <f>SUM(H1495:H1500)</f>
        <v>0</v>
      </c>
      <c r="I1501" s="1669" t="s">
        <v>49</v>
      </c>
      <c r="J1501" s="1669">
        <f>'Lead &amp; ANALYSIS'!L567</f>
        <v>14491.6</v>
      </c>
      <c r="K1501" s="1668" t="s">
        <v>1516</v>
      </c>
      <c r="L1501" s="1669">
        <f>ROUND(H1501*J1501,0)</f>
        <v>0</v>
      </c>
    </row>
    <row r="1502" spans="1:12" s="692" customFormat="1" ht="16.5" hidden="1">
      <c r="A1502" s="1665" t="s">
        <v>3418</v>
      </c>
      <c r="B1502" s="1666" t="s">
        <v>1935</v>
      </c>
      <c r="C1502" s="688"/>
      <c r="D1502" s="1667"/>
      <c r="E1502" s="688"/>
      <c r="F1502" s="688"/>
      <c r="G1502" s="1674"/>
      <c r="H1502" s="688"/>
      <c r="I1502" s="1668"/>
      <c r="J1502" s="1668"/>
      <c r="K1502" s="1668"/>
      <c r="L1502" s="1669"/>
    </row>
    <row r="1503" spans="1:12" s="692" customFormat="1" ht="16.5" hidden="1">
      <c r="A1503" s="1665"/>
      <c r="B1503" s="1666"/>
      <c r="C1503" s="688"/>
      <c r="D1503" s="1667"/>
      <c r="E1503" s="1671">
        <v>3.5</v>
      </c>
      <c r="F1503" s="1671">
        <v>4</v>
      </c>
      <c r="G1503" s="1672">
        <v>0.15</v>
      </c>
      <c r="H1503" s="1671">
        <f t="shared" ref="H1503:H1508" si="197">ROUND(D1503*E1503*F1503*G1503,2)</f>
        <v>0</v>
      </c>
      <c r="I1503" s="1671" t="s">
        <v>49</v>
      </c>
      <c r="J1503" s="1668"/>
      <c r="K1503" s="1668"/>
      <c r="L1503" s="1669"/>
    </row>
    <row r="1504" spans="1:12" s="692" customFormat="1" ht="16.5" hidden="1">
      <c r="A1504" s="1665"/>
      <c r="B1504" s="1666"/>
      <c r="C1504" s="688"/>
      <c r="D1504" s="1667"/>
      <c r="E1504" s="1671">
        <v>3.5</v>
      </c>
      <c r="F1504" s="1671">
        <v>4</v>
      </c>
      <c r="G1504" s="1672">
        <v>0.15</v>
      </c>
      <c r="H1504" s="1671">
        <f t="shared" si="197"/>
        <v>0</v>
      </c>
      <c r="I1504" s="1671" t="s">
        <v>49</v>
      </c>
      <c r="J1504" s="1668"/>
      <c r="K1504" s="1668"/>
      <c r="L1504" s="1669"/>
    </row>
    <row r="1505" spans="1:12" s="692" customFormat="1" ht="16.5" hidden="1">
      <c r="A1505" s="1665"/>
      <c r="B1505" s="1666"/>
      <c r="C1505" s="688"/>
      <c r="D1505" s="1667"/>
      <c r="E1505" s="1671">
        <v>3.5</v>
      </c>
      <c r="F1505" s="1671">
        <v>4</v>
      </c>
      <c r="G1505" s="1672">
        <v>0.15</v>
      </c>
      <c r="H1505" s="1671">
        <f t="shared" si="197"/>
        <v>0</v>
      </c>
      <c r="I1505" s="1671" t="s">
        <v>49</v>
      </c>
      <c r="J1505" s="1668"/>
      <c r="K1505" s="1668"/>
      <c r="L1505" s="1669"/>
    </row>
    <row r="1506" spans="1:12" s="692" customFormat="1" ht="16.5" hidden="1">
      <c r="A1506" s="1665"/>
      <c r="B1506" s="1666"/>
      <c r="C1506" s="688"/>
      <c r="D1506" s="1667"/>
      <c r="E1506" s="1671">
        <v>3.5</v>
      </c>
      <c r="F1506" s="1671">
        <v>4</v>
      </c>
      <c r="G1506" s="1672">
        <v>0.15</v>
      </c>
      <c r="H1506" s="1671">
        <f t="shared" si="197"/>
        <v>0</v>
      </c>
      <c r="I1506" s="1671" t="s">
        <v>49</v>
      </c>
      <c r="J1506" s="1668"/>
      <c r="K1506" s="1668"/>
      <c r="L1506" s="1669"/>
    </row>
    <row r="1507" spans="1:12" s="692" customFormat="1" ht="16.5" hidden="1">
      <c r="A1507" s="1665"/>
      <c r="B1507" s="1666"/>
      <c r="C1507" s="688"/>
      <c r="D1507" s="1667"/>
      <c r="E1507" s="1671">
        <v>3.5</v>
      </c>
      <c r="F1507" s="1671">
        <v>4</v>
      </c>
      <c r="G1507" s="1672">
        <v>0.15</v>
      </c>
      <c r="H1507" s="1671">
        <f t="shared" si="197"/>
        <v>0</v>
      </c>
      <c r="I1507" s="1671" t="s">
        <v>49</v>
      </c>
      <c r="J1507" s="1668"/>
      <c r="K1507" s="1668"/>
      <c r="L1507" s="1669"/>
    </row>
    <row r="1508" spans="1:12" s="692" customFormat="1" ht="16.5" hidden="1">
      <c r="A1508" s="1665"/>
      <c r="B1508" s="1666"/>
      <c r="C1508" s="688"/>
      <c r="D1508" s="1667"/>
      <c r="E1508" s="1671">
        <v>3.5</v>
      </c>
      <c r="F1508" s="1671">
        <v>4</v>
      </c>
      <c r="G1508" s="1672">
        <v>0.15</v>
      </c>
      <c r="H1508" s="1671">
        <f t="shared" si="197"/>
        <v>0</v>
      </c>
      <c r="I1508" s="1671" t="s">
        <v>49</v>
      </c>
      <c r="J1508" s="1668"/>
      <c r="K1508" s="1668"/>
      <c r="L1508" s="1669"/>
    </row>
    <row r="1509" spans="1:12" s="692" customFormat="1" ht="16.5" hidden="1">
      <c r="A1509" s="1665"/>
      <c r="B1509" s="1666"/>
      <c r="C1509" s="688"/>
      <c r="D1509" s="1667"/>
      <c r="E1509" s="1671"/>
      <c r="F1509" s="1671"/>
      <c r="G1509" s="1669" t="s">
        <v>928</v>
      </c>
      <c r="H1509" s="1673">
        <f>SUM(H1503:H1508)</f>
        <v>0</v>
      </c>
      <c r="I1509" s="1669" t="s">
        <v>49</v>
      </c>
      <c r="J1509" s="1668"/>
      <c r="K1509" s="1668"/>
      <c r="L1509" s="1669"/>
    </row>
    <row r="1510" spans="1:12" s="692" customFormat="1" ht="16.5" hidden="1">
      <c r="A1510" s="1665"/>
      <c r="B1510" s="1666"/>
      <c r="C1510" s="688"/>
      <c r="D1510" s="1667"/>
      <c r="E1510" s="1671">
        <v>3.5</v>
      </c>
      <c r="F1510" s="1671">
        <v>4</v>
      </c>
      <c r="G1510" s="1672">
        <v>0.15</v>
      </c>
      <c r="H1510" s="1671">
        <f t="shared" ref="H1510:H1515" si="198">ROUND(D1510*E1510*F1510*G1510,2)</f>
        <v>0</v>
      </c>
      <c r="I1510" s="1671" t="s">
        <v>49</v>
      </c>
      <c r="J1510" s="1668"/>
      <c r="K1510" s="1668"/>
      <c r="L1510" s="1669"/>
    </row>
    <row r="1511" spans="1:12" s="692" customFormat="1" ht="16.5" hidden="1">
      <c r="A1511" s="1665"/>
      <c r="B1511" s="1666"/>
      <c r="C1511" s="688"/>
      <c r="D1511" s="1667"/>
      <c r="E1511" s="1671">
        <v>3.5</v>
      </c>
      <c r="F1511" s="1671">
        <v>4</v>
      </c>
      <c r="G1511" s="1672">
        <v>0.15</v>
      </c>
      <c r="H1511" s="1671">
        <f t="shared" si="198"/>
        <v>0</v>
      </c>
      <c r="I1511" s="1671" t="s">
        <v>49</v>
      </c>
      <c r="J1511" s="1668"/>
      <c r="K1511" s="1668"/>
      <c r="L1511" s="1669"/>
    </row>
    <row r="1512" spans="1:12" s="692" customFormat="1" ht="16.5" hidden="1">
      <c r="A1512" s="1665"/>
      <c r="B1512" s="1666"/>
      <c r="C1512" s="688"/>
      <c r="D1512" s="1667"/>
      <c r="E1512" s="1671">
        <v>3.5</v>
      </c>
      <c r="F1512" s="1671">
        <v>4</v>
      </c>
      <c r="G1512" s="1672">
        <v>0.15</v>
      </c>
      <c r="H1512" s="1671">
        <f t="shared" si="198"/>
        <v>0</v>
      </c>
      <c r="I1512" s="1671" t="s">
        <v>49</v>
      </c>
      <c r="J1512" s="1668"/>
      <c r="K1512" s="1668"/>
      <c r="L1512" s="1669"/>
    </row>
    <row r="1513" spans="1:12" s="692" customFormat="1" ht="16.5" hidden="1">
      <c r="A1513" s="1665"/>
      <c r="B1513" s="1666"/>
      <c r="C1513" s="688"/>
      <c r="D1513" s="1667"/>
      <c r="E1513" s="1671">
        <v>3.5</v>
      </c>
      <c r="F1513" s="1671">
        <v>4</v>
      </c>
      <c r="G1513" s="1672">
        <v>0.15</v>
      </c>
      <c r="H1513" s="1671">
        <f t="shared" si="198"/>
        <v>0</v>
      </c>
      <c r="I1513" s="1671" t="s">
        <v>49</v>
      </c>
      <c r="J1513" s="1668"/>
      <c r="K1513" s="1668"/>
      <c r="L1513" s="1669"/>
    </row>
    <row r="1514" spans="1:12" s="692" customFormat="1" ht="16.5" hidden="1">
      <c r="A1514" s="1665"/>
      <c r="B1514" s="1666"/>
      <c r="C1514" s="688"/>
      <c r="D1514" s="1667"/>
      <c r="E1514" s="1671">
        <v>3.5</v>
      </c>
      <c r="F1514" s="1671">
        <v>4</v>
      </c>
      <c r="G1514" s="1672">
        <v>0.15</v>
      </c>
      <c r="H1514" s="1671">
        <f t="shared" si="198"/>
        <v>0</v>
      </c>
      <c r="I1514" s="1671" t="s">
        <v>49</v>
      </c>
      <c r="J1514" s="1668"/>
      <c r="K1514" s="1668"/>
      <c r="L1514" s="1669"/>
    </row>
    <row r="1515" spans="1:12" s="692" customFormat="1" ht="16.5" hidden="1">
      <c r="A1515" s="1665"/>
      <c r="B1515" s="1666"/>
      <c r="C1515" s="688"/>
      <c r="D1515" s="1667"/>
      <c r="E1515" s="1671">
        <v>3.5</v>
      </c>
      <c r="F1515" s="1671">
        <v>4</v>
      </c>
      <c r="G1515" s="1672">
        <v>0.15</v>
      </c>
      <c r="H1515" s="1671">
        <f t="shared" si="198"/>
        <v>0</v>
      </c>
      <c r="I1515" s="1671" t="s">
        <v>49</v>
      </c>
      <c r="J1515" s="1668"/>
      <c r="K1515" s="1668"/>
      <c r="L1515" s="1669"/>
    </row>
    <row r="1516" spans="1:12" s="692" customFormat="1" ht="16.5" hidden="1">
      <c r="A1516" s="1665"/>
      <c r="B1516" s="1666"/>
      <c r="C1516" s="688"/>
      <c r="D1516" s="1667"/>
      <c r="E1516" s="1671"/>
      <c r="F1516" s="1671"/>
      <c r="G1516" s="1669" t="s">
        <v>928</v>
      </c>
      <c r="H1516" s="1673">
        <f>SUM(H1510:H1515)</f>
        <v>0</v>
      </c>
      <c r="I1516" s="1669" t="s">
        <v>49</v>
      </c>
      <c r="J1516" s="1669">
        <f>'Lead &amp; ANALYSIS'!L521</f>
        <v>6788.5</v>
      </c>
      <c r="K1516" s="1668" t="s">
        <v>1516</v>
      </c>
      <c r="L1516" s="1669">
        <f>ROUND(H1516*J1516,0)</f>
        <v>0</v>
      </c>
    </row>
    <row r="1517" spans="1:12" s="692" customFormat="1" ht="16.5" hidden="1">
      <c r="A1517" s="1665" t="s">
        <v>3419</v>
      </c>
      <c r="B1517" s="1666" t="s">
        <v>1937</v>
      </c>
      <c r="C1517" s="688"/>
      <c r="D1517" s="1667"/>
      <c r="E1517" s="688"/>
      <c r="F1517" s="688"/>
      <c r="G1517" s="1674"/>
      <c r="H1517" s="688"/>
      <c r="I1517" s="1668"/>
      <c r="J1517" s="1668"/>
      <c r="K1517" s="1668"/>
      <c r="L1517" s="1669"/>
    </row>
    <row r="1518" spans="1:12" s="692" customFormat="1" ht="16.5" hidden="1">
      <c r="A1518" s="1665"/>
      <c r="B1518" s="1666"/>
      <c r="C1518" s="688"/>
      <c r="D1518" s="1667"/>
      <c r="E1518" s="1671">
        <v>3.5</v>
      </c>
      <c r="F1518" s="1671">
        <v>4</v>
      </c>
      <c r="G1518" s="1672">
        <v>0.15</v>
      </c>
      <c r="H1518" s="1671">
        <f t="shared" ref="H1518:H1523" si="199">ROUND(D1518*E1518*F1518*G1518,2)</f>
        <v>0</v>
      </c>
      <c r="I1518" s="1671" t="s">
        <v>49</v>
      </c>
      <c r="J1518" s="1668"/>
      <c r="K1518" s="1668"/>
      <c r="L1518" s="1669"/>
    </row>
    <row r="1519" spans="1:12" s="692" customFormat="1" ht="16.5" hidden="1">
      <c r="A1519" s="1665"/>
      <c r="B1519" s="1666"/>
      <c r="C1519" s="688"/>
      <c r="D1519" s="1667"/>
      <c r="E1519" s="1671">
        <v>3.5</v>
      </c>
      <c r="F1519" s="1671">
        <v>4</v>
      </c>
      <c r="G1519" s="1672">
        <v>0.15</v>
      </c>
      <c r="H1519" s="1671">
        <f t="shared" si="199"/>
        <v>0</v>
      </c>
      <c r="I1519" s="1671" t="s">
        <v>49</v>
      </c>
      <c r="J1519" s="1668"/>
      <c r="K1519" s="1668"/>
      <c r="L1519" s="1669"/>
    </row>
    <row r="1520" spans="1:12" s="692" customFormat="1" ht="16.5" hidden="1">
      <c r="A1520" s="1665"/>
      <c r="B1520" s="1666"/>
      <c r="C1520" s="688"/>
      <c r="D1520" s="1667"/>
      <c r="E1520" s="1671">
        <v>3.5</v>
      </c>
      <c r="F1520" s="1671">
        <v>4</v>
      </c>
      <c r="G1520" s="1672">
        <v>0.15</v>
      </c>
      <c r="H1520" s="1671">
        <f t="shared" si="199"/>
        <v>0</v>
      </c>
      <c r="I1520" s="1671" t="s">
        <v>49</v>
      </c>
      <c r="J1520" s="1668"/>
      <c r="K1520" s="1668"/>
      <c r="L1520" s="1669"/>
    </row>
    <row r="1521" spans="1:12" s="692" customFormat="1" ht="16.5" hidden="1">
      <c r="A1521" s="1665"/>
      <c r="B1521" s="1666"/>
      <c r="C1521" s="688"/>
      <c r="D1521" s="1667"/>
      <c r="E1521" s="1671">
        <v>3.5</v>
      </c>
      <c r="F1521" s="1671">
        <v>4</v>
      </c>
      <c r="G1521" s="1672">
        <v>0.15</v>
      </c>
      <c r="H1521" s="1671">
        <f t="shared" si="199"/>
        <v>0</v>
      </c>
      <c r="I1521" s="1671" t="s">
        <v>49</v>
      </c>
      <c r="J1521" s="1668"/>
      <c r="K1521" s="1668"/>
      <c r="L1521" s="1669"/>
    </row>
    <row r="1522" spans="1:12" s="692" customFormat="1" ht="16.5" hidden="1">
      <c r="A1522" s="1665"/>
      <c r="B1522" s="1666"/>
      <c r="C1522" s="688"/>
      <c r="D1522" s="1667"/>
      <c r="E1522" s="1671">
        <v>3.5</v>
      </c>
      <c r="F1522" s="1671">
        <v>4</v>
      </c>
      <c r="G1522" s="1672">
        <v>0.15</v>
      </c>
      <c r="H1522" s="1671">
        <f t="shared" si="199"/>
        <v>0</v>
      </c>
      <c r="I1522" s="1671" t="s">
        <v>49</v>
      </c>
      <c r="J1522" s="1668"/>
      <c r="K1522" s="1668"/>
      <c r="L1522" s="1669"/>
    </row>
    <row r="1523" spans="1:12" s="692" customFormat="1" ht="16.5" hidden="1">
      <c r="A1523" s="1665"/>
      <c r="B1523" s="1666"/>
      <c r="C1523" s="688"/>
      <c r="D1523" s="1667"/>
      <c r="E1523" s="1671">
        <v>3.5</v>
      </c>
      <c r="F1523" s="1671">
        <v>4</v>
      </c>
      <c r="G1523" s="1672">
        <v>0.15</v>
      </c>
      <c r="H1523" s="1671">
        <f t="shared" si="199"/>
        <v>0</v>
      </c>
      <c r="I1523" s="1671" t="s">
        <v>49</v>
      </c>
      <c r="J1523" s="1668"/>
      <c r="K1523" s="1668"/>
      <c r="L1523" s="1669"/>
    </row>
    <row r="1524" spans="1:12" s="692" customFormat="1" ht="16.5" hidden="1">
      <c r="A1524" s="1665"/>
      <c r="B1524" s="1666"/>
      <c r="C1524" s="688"/>
      <c r="D1524" s="1667"/>
      <c r="E1524" s="1671"/>
      <c r="F1524" s="1671"/>
      <c r="G1524" s="1669" t="s">
        <v>928</v>
      </c>
      <c r="H1524" s="1673">
        <f>SUM(H1518:H1523)</f>
        <v>0</v>
      </c>
      <c r="I1524" s="1669" t="s">
        <v>49</v>
      </c>
      <c r="J1524" s="1668"/>
      <c r="K1524" s="1668"/>
      <c r="L1524" s="1669"/>
    </row>
    <row r="1525" spans="1:12" s="692" customFormat="1" ht="16.5" hidden="1">
      <c r="A1525" s="1665"/>
      <c r="B1525" s="1666"/>
      <c r="C1525" s="688"/>
      <c r="D1525" s="1667"/>
      <c r="E1525" s="1671">
        <v>3.5</v>
      </c>
      <c r="F1525" s="1671">
        <v>4</v>
      </c>
      <c r="G1525" s="1672">
        <v>0.15</v>
      </c>
      <c r="H1525" s="1671">
        <f t="shared" ref="H1525:H1530" si="200">ROUND(D1525*E1525*F1525*G1525,2)</f>
        <v>0</v>
      </c>
      <c r="I1525" s="1671" t="s">
        <v>49</v>
      </c>
      <c r="J1525" s="1668"/>
      <c r="K1525" s="1668"/>
      <c r="L1525" s="1669"/>
    </row>
    <row r="1526" spans="1:12" s="692" customFormat="1" ht="16.5" hidden="1">
      <c r="A1526" s="1665"/>
      <c r="B1526" s="1666"/>
      <c r="C1526" s="688"/>
      <c r="D1526" s="1667"/>
      <c r="E1526" s="1671">
        <v>3.5</v>
      </c>
      <c r="F1526" s="1671">
        <v>4</v>
      </c>
      <c r="G1526" s="1672">
        <v>0.15</v>
      </c>
      <c r="H1526" s="1671">
        <f t="shared" si="200"/>
        <v>0</v>
      </c>
      <c r="I1526" s="1671" t="s">
        <v>49</v>
      </c>
      <c r="J1526" s="1668"/>
      <c r="K1526" s="1668"/>
      <c r="L1526" s="1669"/>
    </row>
    <row r="1527" spans="1:12" s="692" customFormat="1" ht="16.5" hidden="1">
      <c r="A1527" s="1665"/>
      <c r="B1527" s="1666"/>
      <c r="C1527" s="688"/>
      <c r="D1527" s="1667"/>
      <c r="E1527" s="1671">
        <v>3.5</v>
      </c>
      <c r="F1527" s="1671">
        <v>4</v>
      </c>
      <c r="G1527" s="1672">
        <v>0.15</v>
      </c>
      <c r="H1527" s="1671">
        <f t="shared" si="200"/>
        <v>0</v>
      </c>
      <c r="I1527" s="1671" t="s">
        <v>49</v>
      </c>
      <c r="J1527" s="1668"/>
      <c r="K1527" s="1668"/>
      <c r="L1527" s="1669"/>
    </row>
    <row r="1528" spans="1:12" s="692" customFormat="1" ht="16.5" hidden="1">
      <c r="A1528" s="1665"/>
      <c r="B1528" s="1666"/>
      <c r="C1528" s="688"/>
      <c r="D1528" s="1667"/>
      <c r="E1528" s="1671">
        <v>3.5</v>
      </c>
      <c r="F1528" s="1671">
        <v>4</v>
      </c>
      <c r="G1528" s="1672">
        <v>0.15</v>
      </c>
      <c r="H1528" s="1671">
        <f t="shared" si="200"/>
        <v>0</v>
      </c>
      <c r="I1528" s="1671" t="s">
        <v>49</v>
      </c>
      <c r="J1528" s="1668"/>
      <c r="K1528" s="1668"/>
      <c r="L1528" s="1669"/>
    </row>
    <row r="1529" spans="1:12" s="692" customFormat="1" ht="16.5" hidden="1">
      <c r="A1529" s="1665"/>
      <c r="B1529" s="1666"/>
      <c r="C1529" s="688"/>
      <c r="D1529" s="1667"/>
      <c r="E1529" s="1671">
        <v>3.5</v>
      </c>
      <c r="F1529" s="1671">
        <v>4</v>
      </c>
      <c r="G1529" s="1672">
        <v>0.15</v>
      </c>
      <c r="H1529" s="1671">
        <f t="shared" si="200"/>
        <v>0</v>
      </c>
      <c r="I1529" s="1671" t="s">
        <v>49</v>
      </c>
      <c r="J1529" s="1668"/>
      <c r="K1529" s="1668"/>
      <c r="L1529" s="1669"/>
    </row>
    <row r="1530" spans="1:12" s="692" customFormat="1" ht="16.5" hidden="1">
      <c r="A1530" s="1665"/>
      <c r="B1530" s="1666"/>
      <c r="C1530" s="688"/>
      <c r="D1530" s="1667"/>
      <c r="E1530" s="1671">
        <v>3.5</v>
      </c>
      <c r="F1530" s="1671">
        <v>4</v>
      </c>
      <c r="G1530" s="1672">
        <v>0.15</v>
      </c>
      <c r="H1530" s="1671">
        <f t="shared" si="200"/>
        <v>0</v>
      </c>
      <c r="I1530" s="1671" t="s">
        <v>49</v>
      </c>
      <c r="J1530" s="1668"/>
      <c r="K1530" s="1668"/>
      <c r="L1530" s="1669"/>
    </row>
    <row r="1531" spans="1:12" s="692" customFormat="1" ht="16.5" hidden="1">
      <c r="A1531" s="1665"/>
      <c r="B1531" s="1666"/>
      <c r="C1531" s="688"/>
      <c r="D1531" s="1667"/>
      <c r="E1531" s="1671"/>
      <c r="F1531" s="1671"/>
      <c r="G1531" s="1669" t="s">
        <v>928</v>
      </c>
      <c r="H1531" s="1673">
        <f>SUM(H1525:H1530)</f>
        <v>0</v>
      </c>
      <c r="I1531" s="1669" t="s">
        <v>49</v>
      </c>
      <c r="J1531" s="1669">
        <f>'Lead &amp; ANALYSIS'!L541</f>
        <v>14541.8</v>
      </c>
      <c r="K1531" s="1668" t="s">
        <v>1516</v>
      </c>
      <c r="L1531" s="1669">
        <f>ROUND(H1531*J1531,0)</f>
        <v>0</v>
      </c>
    </row>
    <row r="1532" spans="1:12" s="692" customFormat="1" ht="16.5" hidden="1">
      <c r="A1532" s="1665" t="s">
        <v>3420</v>
      </c>
      <c r="B1532" s="1666" t="s">
        <v>1939</v>
      </c>
      <c r="C1532" s="688"/>
      <c r="D1532" s="1667"/>
      <c r="E1532" s="688"/>
      <c r="F1532" s="688"/>
      <c r="G1532" s="1674"/>
      <c r="H1532" s="688"/>
      <c r="I1532" s="1668"/>
      <c r="J1532" s="1668"/>
      <c r="K1532" s="1668"/>
      <c r="L1532" s="1669"/>
    </row>
    <row r="1533" spans="1:12" s="692" customFormat="1" ht="16.5" hidden="1">
      <c r="A1533" s="1665"/>
      <c r="B1533" s="1666"/>
      <c r="C1533" s="688"/>
      <c r="D1533" s="1667"/>
      <c r="E1533" s="1671">
        <v>3.5</v>
      </c>
      <c r="F1533" s="1671">
        <v>4</v>
      </c>
      <c r="G1533" s="1672">
        <v>0.15</v>
      </c>
      <c r="H1533" s="1671">
        <f t="shared" ref="H1533:H1538" si="201">ROUND(D1533*E1533*F1533*G1533,2)</f>
        <v>0</v>
      </c>
      <c r="I1533" s="1671" t="s">
        <v>49</v>
      </c>
      <c r="J1533" s="1668"/>
      <c r="K1533" s="1668"/>
      <c r="L1533" s="1669"/>
    </row>
    <row r="1534" spans="1:12" s="692" customFormat="1" ht="16.5" hidden="1">
      <c r="A1534" s="1665"/>
      <c r="B1534" s="1666"/>
      <c r="C1534" s="688"/>
      <c r="D1534" s="1667"/>
      <c r="E1534" s="1671">
        <v>3.5</v>
      </c>
      <c r="F1534" s="1671">
        <v>4</v>
      </c>
      <c r="G1534" s="1672">
        <v>0.15</v>
      </c>
      <c r="H1534" s="1671">
        <f t="shared" si="201"/>
        <v>0</v>
      </c>
      <c r="I1534" s="1671" t="s">
        <v>49</v>
      </c>
      <c r="J1534" s="1668"/>
      <c r="K1534" s="1668"/>
      <c r="L1534" s="1669"/>
    </row>
    <row r="1535" spans="1:12" s="692" customFormat="1" ht="16.5" hidden="1">
      <c r="A1535" s="1665"/>
      <c r="B1535" s="1666"/>
      <c r="C1535" s="688"/>
      <c r="D1535" s="1667"/>
      <c r="E1535" s="1671">
        <v>3.5</v>
      </c>
      <c r="F1535" s="1671">
        <v>4</v>
      </c>
      <c r="G1535" s="1672">
        <v>0.15</v>
      </c>
      <c r="H1535" s="1671">
        <f t="shared" si="201"/>
        <v>0</v>
      </c>
      <c r="I1535" s="1671" t="s">
        <v>49</v>
      </c>
      <c r="J1535" s="1668"/>
      <c r="K1535" s="1668"/>
      <c r="L1535" s="1669"/>
    </row>
    <row r="1536" spans="1:12" s="692" customFormat="1" ht="16.5" hidden="1">
      <c r="A1536" s="1665"/>
      <c r="B1536" s="1666"/>
      <c r="C1536" s="688"/>
      <c r="D1536" s="1667"/>
      <c r="E1536" s="1671">
        <v>3.5</v>
      </c>
      <c r="F1536" s="1671">
        <v>4</v>
      </c>
      <c r="G1536" s="1672">
        <v>0.15</v>
      </c>
      <c r="H1536" s="1671">
        <f t="shared" si="201"/>
        <v>0</v>
      </c>
      <c r="I1536" s="1671" t="s">
        <v>49</v>
      </c>
      <c r="J1536" s="1668"/>
      <c r="K1536" s="1668"/>
      <c r="L1536" s="1669"/>
    </row>
    <row r="1537" spans="1:12" s="692" customFormat="1" ht="16.5" hidden="1">
      <c r="A1537" s="1665"/>
      <c r="B1537" s="1666"/>
      <c r="C1537" s="688"/>
      <c r="D1537" s="1667"/>
      <c r="E1537" s="1671">
        <v>3.5</v>
      </c>
      <c r="F1537" s="1671">
        <v>4</v>
      </c>
      <c r="G1537" s="1672">
        <v>0.15</v>
      </c>
      <c r="H1537" s="1671">
        <f t="shared" si="201"/>
        <v>0</v>
      </c>
      <c r="I1537" s="1671" t="s">
        <v>49</v>
      </c>
      <c r="J1537" s="1668"/>
      <c r="K1537" s="1668"/>
      <c r="L1537" s="1669"/>
    </row>
    <row r="1538" spans="1:12" s="692" customFormat="1" ht="16.5" hidden="1">
      <c r="A1538" s="1665"/>
      <c r="B1538" s="1666"/>
      <c r="C1538" s="688"/>
      <c r="D1538" s="1667"/>
      <c r="E1538" s="1671">
        <v>3.5</v>
      </c>
      <c r="F1538" s="1671">
        <v>4</v>
      </c>
      <c r="G1538" s="1672">
        <v>0.15</v>
      </c>
      <c r="H1538" s="1671">
        <f t="shared" si="201"/>
        <v>0</v>
      </c>
      <c r="I1538" s="1671" t="s">
        <v>49</v>
      </c>
      <c r="J1538" s="1668"/>
      <c r="K1538" s="1668"/>
      <c r="L1538" s="1669"/>
    </row>
    <row r="1539" spans="1:12" s="692" customFormat="1" ht="16.5" hidden="1">
      <c r="A1539" s="1665"/>
      <c r="B1539" s="1666"/>
      <c r="C1539" s="688"/>
      <c r="D1539" s="1667"/>
      <c r="E1539" s="1671"/>
      <c r="F1539" s="1671"/>
      <c r="G1539" s="1669" t="s">
        <v>928</v>
      </c>
      <c r="H1539" s="1673">
        <f>SUM(H1533:H1538)</f>
        <v>0</v>
      </c>
      <c r="I1539" s="1669" t="s">
        <v>49</v>
      </c>
      <c r="J1539" s="1668"/>
      <c r="K1539" s="1668"/>
      <c r="L1539" s="1669"/>
    </row>
    <row r="1540" spans="1:12" s="692" customFormat="1" ht="16.5" hidden="1">
      <c r="A1540" s="1665"/>
      <c r="B1540" s="1666"/>
      <c r="C1540" s="688"/>
      <c r="D1540" s="1667"/>
      <c r="E1540" s="1671">
        <v>3.5</v>
      </c>
      <c r="F1540" s="1671">
        <v>4</v>
      </c>
      <c r="G1540" s="1672">
        <v>0.15</v>
      </c>
      <c r="H1540" s="1671">
        <f t="shared" ref="H1540:H1545" si="202">ROUND(D1540*E1540*F1540*G1540,2)</f>
        <v>0</v>
      </c>
      <c r="I1540" s="1671" t="s">
        <v>49</v>
      </c>
      <c r="J1540" s="1668"/>
      <c r="K1540" s="1668"/>
      <c r="L1540" s="1669"/>
    </row>
    <row r="1541" spans="1:12" s="692" customFormat="1" ht="16.5" hidden="1">
      <c r="A1541" s="1665"/>
      <c r="B1541" s="1666"/>
      <c r="C1541" s="688"/>
      <c r="D1541" s="1667"/>
      <c r="E1541" s="1671">
        <v>3.5</v>
      </c>
      <c r="F1541" s="1671">
        <v>4</v>
      </c>
      <c r="G1541" s="1672">
        <v>0.15</v>
      </c>
      <c r="H1541" s="1671">
        <f t="shared" si="202"/>
        <v>0</v>
      </c>
      <c r="I1541" s="1671" t="s">
        <v>49</v>
      </c>
      <c r="J1541" s="1668"/>
      <c r="K1541" s="1668"/>
      <c r="L1541" s="1669"/>
    </row>
    <row r="1542" spans="1:12" s="692" customFormat="1" ht="16.5" hidden="1">
      <c r="A1542" s="1665"/>
      <c r="B1542" s="1666"/>
      <c r="C1542" s="688"/>
      <c r="D1542" s="1667"/>
      <c r="E1542" s="1671">
        <v>3.5</v>
      </c>
      <c r="F1542" s="1671">
        <v>4</v>
      </c>
      <c r="G1542" s="1672">
        <v>0.15</v>
      </c>
      <c r="H1542" s="1671">
        <f t="shared" si="202"/>
        <v>0</v>
      </c>
      <c r="I1542" s="1671" t="s">
        <v>49</v>
      </c>
      <c r="J1542" s="1668"/>
      <c r="K1542" s="1668"/>
      <c r="L1542" s="1669"/>
    </row>
    <row r="1543" spans="1:12" s="692" customFormat="1" ht="16.5" hidden="1">
      <c r="A1543" s="1665"/>
      <c r="B1543" s="1666"/>
      <c r="C1543" s="688"/>
      <c r="D1543" s="1667"/>
      <c r="E1543" s="1671">
        <v>3.5</v>
      </c>
      <c r="F1543" s="1671">
        <v>4</v>
      </c>
      <c r="G1543" s="1672">
        <v>0.15</v>
      </c>
      <c r="H1543" s="1671">
        <f t="shared" si="202"/>
        <v>0</v>
      </c>
      <c r="I1543" s="1671" t="s">
        <v>49</v>
      </c>
      <c r="J1543" s="1668"/>
      <c r="K1543" s="1668"/>
      <c r="L1543" s="1669"/>
    </row>
    <row r="1544" spans="1:12" s="692" customFormat="1" ht="16.5" hidden="1">
      <c r="A1544" s="1665"/>
      <c r="B1544" s="1666"/>
      <c r="C1544" s="688"/>
      <c r="D1544" s="1667"/>
      <c r="E1544" s="1671">
        <v>3.5</v>
      </c>
      <c r="F1544" s="1671">
        <v>4</v>
      </c>
      <c r="G1544" s="1672">
        <v>0.15</v>
      </c>
      <c r="H1544" s="1671">
        <f t="shared" si="202"/>
        <v>0</v>
      </c>
      <c r="I1544" s="1671" t="s">
        <v>49</v>
      </c>
      <c r="J1544" s="1668"/>
      <c r="K1544" s="1668"/>
      <c r="L1544" s="1669"/>
    </row>
    <row r="1545" spans="1:12" s="692" customFormat="1" ht="16.5" hidden="1">
      <c r="A1545" s="1665"/>
      <c r="B1545" s="1666"/>
      <c r="C1545" s="688"/>
      <c r="D1545" s="1667"/>
      <c r="E1545" s="1671">
        <v>3.5</v>
      </c>
      <c r="F1545" s="1671">
        <v>4</v>
      </c>
      <c r="G1545" s="1672">
        <v>0.15</v>
      </c>
      <c r="H1545" s="1671">
        <f t="shared" si="202"/>
        <v>0</v>
      </c>
      <c r="I1545" s="1671" t="s">
        <v>49</v>
      </c>
      <c r="J1545" s="1668"/>
      <c r="K1545" s="1668"/>
      <c r="L1545" s="1669"/>
    </row>
    <row r="1546" spans="1:12" s="692" customFormat="1" ht="16.5" hidden="1">
      <c r="A1546" s="1665"/>
      <c r="B1546" s="1666"/>
      <c r="C1546" s="688"/>
      <c r="D1546" s="1667"/>
      <c r="E1546" s="1671"/>
      <c r="F1546" s="1671"/>
      <c r="G1546" s="1669" t="s">
        <v>928</v>
      </c>
      <c r="H1546" s="1673">
        <f>SUM(H1540:H1545)</f>
        <v>0</v>
      </c>
      <c r="I1546" s="1669" t="s">
        <v>49</v>
      </c>
      <c r="J1546" s="1669">
        <f>'Lead &amp; ANALYSIS'!L541</f>
        <v>14541.8</v>
      </c>
      <c r="K1546" s="1668" t="s">
        <v>1516</v>
      </c>
      <c r="L1546" s="1669">
        <f>ROUND(H1546*J1546,0)</f>
        <v>0</v>
      </c>
    </row>
    <row r="1547" spans="1:12" s="692" customFormat="1" ht="16.5" hidden="1">
      <c r="A1547" s="1665" t="s">
        <v>3421</v>
      </c>
      <c r="B1547" s="1666" t="s">
        <v>1941</v>
      </c>
      <c r="C1547" s="688"/>
      <c r="D1547" s="1667"/>
      <c r="E1547" s="688"/>
      <c r="F1547" s="688"/>
      <c r="G1547" s="1674"/>
      <c r="H1547" s="688"/>
      <c r="I1547" s="1668"/>
      <c r="J1547" s="1668"/>
      <c r="K1547" s="1668"/>
      <c r="L1547" s="1669"/>
    </row>
    <row r="1548" spans="1:12" s="692" customFormat="1" ht="16.5" hidden="1">
      <c r="A1548" s="1665"/>
      <c r="B1548" s="1666"/>
      <c r="C1548" s="688"/>
      <c r="D1548" s="1667"/>
      <c r="E1548" s="1671">
        <v>3.5</v>
      </c>
      <c r="F1548" s="1671">
        <v>4</v>
      </c>
      <c r="G1548" s="1672">
        <v>0.15</v>
      </c>
      <c r="H1548" s="1671">
        <f t="shared" ref="H1548:H1553" si="203">ROUND(D1548*E1548*F1548*G1548,2)</f>
        <v>0</v>
      </c>
      <c r="I1548" s="1671" t="s">
        <v>49</v>
      </c>
      <c r="J1548" s="1668"/>
      <c r="K1548" s="1668"/>
      <c r="L1548" s="1669"/>
    </row>
    <row r="1549" spans="1:12" s="692" customFormat="1" ht="16.5" hidden="1">
      <c r="A1549" s="1665"/>
      <c r="B1549" s="1666"/>
      <c r="C1549" s="688"/>
      <c r="D1549" s="1667"/>
      <c r="E1549" s="1671">
        <v>3.5</v>
      </c>
      <c r="F1549" s="1671">
        <v>4</v>
      </c>
      <c r="G1549" s="1672">
        <v>0.15</v>
      </c>
      <c r="H1549" s="1671">
        <f t="shared" si="203"/>
        <v>0</v>
      </c>
      <c r="I1549" s="1671" t="s">
        <v>49</v>
      </c>
      <c r="J1549" s="1668"/>
      <c r="K1549" s="1668"/>
      <c r="L1549" s="1669"/>
    </row>
    <row r="1550" spans="1:12" s="692" customFormat="1" ht="16.5" hidden="1">
      <c r="A1550" s="1665"/>
      <c r="B1550" s="1666"/>
      <c r="C1550" s="688"/>
      <c r="D1550" s="1667"/>
      <c r="E1550" s="1671">
        <v>3.5</v>
      </c>
      <c r="F1550" s="1671">
        <v>4</v>
      </c>
      <c r="G1550" s="1672">
        <v>0.15</v>
      </c>
      <c r="H1550" s="1671">
        <f t="shared" si="203"/>
        <v>0</v>
      </c>
      <c r="I1550" s="1671" t="s">
        <v>49</v>
      </c>
      <c r="J1550" s="1668"/>
      <c r="K1550" s="1668"/>
      <c r="L1550" s="1669"/>
    </row>
    <row r="1551" spans="1:12" s="692" customFormat="1" ht="16.5" hidden="1">
      <c r="A1551" s="1665"/>
      <c r="B1551" s="1666"/>
      <c r="C1551" s="688"/>
      <c r="D1551" s="1667"/>
      <c r="E1551" s="1671">
        <v>3.5</v>
      </c>
      <c r="F1551" s="1671">
        <v>4</v>
      </c>
      <c r="G1551" s="1672">
        <v>0.15</v>
      </c>
      <c r="H1551" s="1671">
        <f t="shared" si="203"/>
        <v>0</v>
      </c>
      <c r="I1551" s="1671" t="s">
        <v>49</v>
      </c>
      <c r="J1551" s="1668"/>
      <c r="K1551" s="1668"/>
      <c r="L1551" s="1669"/>
    </row>
    <row r="1552" spans="1:12" s="692" customFormat="1" ht="16.5" hidden="1">
      <c r="A1552" s="1665"/>
      <c r="B1552" s="1666"/>
      <c r="C1552" s="688"/>
      <c r="D1552" s="1667"/>
      <c r="E1552" s="1671">
        <v>3.5</v>
      </c>
      <c r="F1552" s="1671">
        <v>4</v>
      </c>
      <c r="G1552" s="1672">
        <v>0.15</v>
      </c>
      <c r="H1552" s="1671">
        <f t="shared" si="203"/>
        <v>0</v>
      </c>
      <c r="I1552" s="1671" t="s">
        <v>49</v>
      </c>
      <c r="J1552" s="1668"/>
      <c r="K1552" s="1668"/>
      <c r="L1552" s="1669"/>
    </row>
    <row r="1553" spans="1:12" s="692" customFormat="1" ht="16.5" hidden="1">
      <c r="A1553" s="1665"/>
      <c r="B1553" s="1666"/>
      <c r="C1553" s="688"/>
      <c r="D1553" s="1667"/>
      <c r="E1553" s="1671">
        <v>3.5</v>
      </c>
      <c r="F1553" s="1671">
        <v>4</v>
      </c>
      <c r="G1553" s="1672">
        <v>0.15</v>
      </c>
      <c r="H1553" s="1671">
        <f t="shared" si="203"/>
        <v>0</v>
      </c>
      <c r="I1553" s="1671" t="s">
        <v>49</v>
      </c>
      <c r="J1553" s="1668"/>
      <c r="K1553" s="1668"/>
      <c r="L1553" s="1669"/>
    </row>
    <row r="1554" spans="1:12" s="692" customFormat="1" ht="16.5" hidden="1">
      <c r="A1554" s="1665"/>
      <c r="B1554" s="1666"/>
      <c r="C1554" s="688"/>
      <c r="D1554" s="1667"/>
      <c r="E1554" s="1671"/>
      <c r="F1554" s="1671"/>
      <c r="G1554" s="1669" t="s">
        <v>928</v>
      </c>
      <c r="H1554" s="1673">
        <f>SUM(H1548:H1553)</f>
        <v>0</v>
      </c>
      <c r="I1554" s="1669" t="s">
        <v>49</v>
      </c>
      <c r="J1554" s="1668"/>
      <c r="K1554" s="1668"/>
      <c r="L1554" s="1669"/>
    </row>
    <row r="1555" spans="1:12" s="692" customFormat="1" ht="16.5" hidden="1">
      <c r="A1555" s="1665"/>
      <c r="B1555" s="1666"/>
      <c r="C1555" s="688"/>
      <c r="D1555" s="1667"/>
      <c r="E1555" s="1671">
        <v>3.5</v>
      </c>
      <c r="F1555" s="1671">
        <v>4</v>
      </c>
      <c r="G1555" s="1672">
        <v>0.15</v>
      </c>
      <c r="H1555" s="1671">
        <f t="shared" ref="H1555:H1560" si="204">ROUND(D1555*E1555*F1555*G1555,2)</f>
        <v>0</v>
      </c>
      <c r="I1555" s="1671" t="s">
        <v>49</v>
      </c>
      <c r="J1555" s="1668"/>
      <c r="K1555" s="1668"/>
      <c r="L1555" s="1669"/>
    </row>
    <row r="1556" spans="1:12" s="692" customFormat="1" ht="16.5" hidden="1">
      <c r="A1556" s="1665"/>
      <c r="B1556" s="1666"/>
      <c r="C1556" s="688"/>
      <c r="D1556" s="1667"/>
      <c r="E1556" s="1671">
        <v>3.5</v>
      </c>
      <c r="F1556" s="1671">
        <v>4</v>
      </c>
      <c r="G1556" s="1672">
        <v>0.15</v>
      </c>
      <c r="H1556" s="1671">
        <f t="shared" si="204"/>
        <v>0</v>
      </c>
      <c r="I1556" s="1671" t="s">
        <v>49</v>
      </c>
      <c r="J1556" s="1668"/>
      <c r="K1556" s="1668"/>
      <c r="L1556" s="1669"/>
    </row>
    <row r="1557" spans="1:12" s="692" customFormat="1" ht="16.5" hidden="1">
      <c r="A1557" s="1665"/>
      <c r="B1557" s="1666"/>
      <c r="C1557" s="688"/>
      <c r="D1557" s="1667"/>
      <c r="E1557" s="1671">
        <v>3.5</v>
      </c>
      <c r="F1557" s="1671">
        <v>4</v>
      </c>
      <c r="G1557" s="1672">
        <v>0.15</v>
      </c>
      <c r="H1557" s="1671">
        <f t="shared" si="204"/>
        <v>0</v>
      </c>
      <c r="I1557" s="1671" t="s">
        <v>49</v>
      </c>
      <c r="J1557" s="1668"/>
      <c r="K1557" s="1668"/>
      <c r="L1557" s="1669"/>
    </row>
    <row r="1558" spans="1:12" s="692" customFormat="1" ht="16.5" hidden="1">
      <c r="A1558" s="1665"/>
      <c r="B1558" s="1666"/>
      <c r="C1558" s="688"/>
      <c r="D1558" s="1667"/>
      <c r="E1558" s="1671">
        <v>3.5</v>
      </c>
      <c r="F1558" s="1671">
        <v>4</v>
      </c>
      <c r="G1558" s="1672">
        <v>0.15</v>
      </c>
      <c r="H1558" s="1671">
        <f t="shared" si="204"/>
        <v>0</v>
      </c>
      <c r="I1558" s="1671" t="s">
        <v>49</v>
      </c>
      <c r="J1558" s="1668"/>
      <c r="K1558" s="1668"/>
      <c r="L1558" s="1669"/>
    </row>
    <row r="1559" spans="1:12" s="692" customFormat="1" ht="16.5" hidden="1">
      <c r="A1559" s="1665"/>
      <c r="B1559" s="1666"/>
      <c r="C1559" s="688"/>
      <c r="D1559" s="1667"/>
      <c r="E1559" s="1671">
        <v>3.5</v>
      </c>
      <c r="F1559" s="1671">
        <v>4</v>
      </c>
      <c r="G1559" s="1672">
        <v>0.15</v>
      </c>
      <c r="H1559" s="1671">
        <f t="shared" si="204"/>
        <v>0</v>
      </c>
      <c r="I1559" s="1671" t="s">
        <v>49</v>
      </c>
      <c r="J1559" s="1668"/>
      <c r="K1559" s="1668"/>
      <c r="L1559" s="1669"/>
    </row>
    <row r="1560" spans="1:12" s="692" customFormat="1" ht="16.5" hidden="1">
      <c r="A1560" s="1665"/>
      <c r="B1560" s="1666"/>
      <c r="C1560" s="688"/>
      <c r="D1560" s="1667"/>
      <c r="E1560" s="1671">
        <v>3.5</v>
      </c>
      <c r="F1560" s="1671">
        <v>4</v>
      </c>
      <c r="G1560" s="1672">
        <v>0.15</v>
      </c>
      <c r="H1560" s="1671">
        <f t="shared" si="204"/>
        <v>0</v>
      </c>
      <c r="I1560" s="1671" t="s">
        <v>49</v>
      </c>
      <c r="J1560" s="1668"/>
      <c r="K1560" s="1668"/>
      <c r="L1560" s="1669"/>
    </row>
    <row r="1561" spans="1:12" s="692" customFormat="1" ht="16.5" hidden="1">
      <c r="A1561" s="1665"/>
      <c r="B1561" s="1666"/>
      <c r="C1561" s="688"/>
      <c r="D1561" s="1667"/>
      <c r="E1561" s="1671"/>
      <c r="F1561" s="1671"/>
      <c r="G1561" s="1669" t="s">
        <v>928</v>
      </c>
      <c r="H1561" s="1673">
        <f>SUM(H1555:H1560)</f>
        <v>0</v>
      </c>
      <c r="I1561" s="1669" t="s">
        <v>49</v>
      </c>
      <c r="J1561" s="1669">
        <f>'Lead &amp; ANALYSIS'!L554</f>
        <v>13177.3</v>
      </c>
      <c r="K1561" s="1668" t="s">
        <v>1516</v>
      </c>
      <c r="L1561" s="1669">
        <f>ROUND(H1561*J1561,0)</f>
        <v>0</v>
      </c>
    </row>
    <row r="1562" spans="1:12" s="692" customFormat="1" ht="16.5">
      <c r="A1562" s="1665" t="s">
        <v>3653</v>
      </c>
      <c r="B1562" s="1666" t="s">
        <v>477</v>
      </c>
      <c r="C1562" s="688"/>
      <c r="D1562" s="1667"/>
      <c r="E1562" s="688"/>
      <c r="F1562" s="688"/>
      <c r="G1562" s="1674"/>
      <c r="H1562" s="688"/>
      <c r="I1562" s="1668"/>
      <c r="J1562" s="1668"/>
      <c r="K1562" s="1668"/>
      <c r="L1562" s="1669"/>
    </row>
    <row r="1563" spans="1:12" s="692" customFormat="1" ht="16.5" hidden="1">
      <c r="A1563" s="1665"/>
      <c r="B1563" s="1666" t="s">
        <v>477</v>
      </c>
      <c r="C1563" s="688"/>
      <c r="D1563" s="1667"/>
      <c r="E1563" s="1671">
        <f>'DRAWING CC'!AW62+0.3</f>
        <v>4.45</v>
      </c>
      <c r="F1563" s="1671">
        <f>'DRAWING CC'!O106+0.3</f>
        <v>5.55</v>
      </c>
      <c r="G1563" s="1683">
        <v>0.1</v>
      </c>
      <c r="H1563" s="1671">
        <f t="shared" ref="H1563:H1568" si="205">ROUND(D1563*E1563*F1563*G1563,2)</f>
        <v>0</v>
      </c>
      <c r="I1563" s="1671" t="s">
        <v>49</v>
      </c>
      <c r="J1563" s="1668"/>
      <c r="K1563" s="1668"/>
      <c r="L1563" s="1669"/>
    </row>
    <row r="1564" spans="1:12" s="692" customFormat="1" ht="16.5" hidden="1">
      <c r="A1564" s="1665"/>
      <c r="B1564" s="1666"/>
      <c r="C1564" s="688"/>
      <c r="D1564" s="1667"/>
      <c r="E1564" s="1671">
        <f>'DRAWING CC'!AW63+0.3</f>
        <v>0.3</v>
      </c>
      <c r="F1564" s="1671">
        <f>'DRAWING CC'!O107+0.3</f>
        <v>0.3</v>
      </c>
      <c r="G1564" s="1683">
        <v>1.1000000000000001</v>
      </c>
      <c r="H1564" s="1671">
        <f t="shared" ref="H1564:H1565" si="206">ROUND(D1564*E1564*F1564*G1564,2)</f>
        <v>0</v>
      </c>
      <c r="I1564" s="1671" t="s">
        <v>49</v>
      </c>
      <c r="J1564" s="1668"/>
      <c r="K1564" s="1668"/>
      <c r="L1564" s="1669"/>
    </row>
    <row r="1565" spans="1:12" s="692" customFormat="1" ht="16.5" hidden="1">
      <c r="A1565" s="1665"/>
      <c r="B1565" s="1666"/>
      <c r="C1565" s="688"/>
      <c r="D1565" s="1667"/>
      <c r="E1565" s="1671">
        <f>'DRAWING CC'!AW64+0.3</f>
        <v>0.3</v>
      </c>
      <c r="F1565" s="1671">
        <f>'DRAWING CC'!O108+0.3</f>
        <v>0.3</v>
      </c>
      <c r="G1565" s="1683">
        <v>2.1</v>
      </c>
      <c r="H1565" s="1671">
        <f t="shared" si="206"/>
        <v>0</v>
      </c>
      <c r="I1565" s="1671" t="s">
        <v>49</v>
      </c>
      <c r="J1565" s="1668"/>
      <c r="K1565" s="1668"/>
      <c r="L1565" s="1669"/>
    </row>
    <row r="1566" spans="1:12" s="692" customFormat="1" ht="16.5" hidden="1">
      <c r="A1566" s="1665"/>
      <c r="B1566" s="1666"/>
      <c r="C1566" s="688"/>
      <c r="D1566" s="1667"/>
      <c r="E1566" s="1671">
        <v>3.5</v>
      </c>
      <c r="F1566" s="1671">
        <v>4</v>
      </c>
      <c r="G1566" s="1672">
        <v>0.15</v>
      </c>
      <c r="H1566" s="1671">
        <f t="shared" si="205"/>
        <v>0</v>
      </c>
      <c r="I1566" s="1671" t="s">
        <v>49</v>
      </c>
      <c r="J1566" s="1668"/>
      <c r="K1566" s="1668"/>
      <c r="L1566" s="1669"/>
    </row>
    <row r="1567" spans="1:12" s="692" customFormat="1" ht="16.5" hidden="1">
      <c r="A1567" s="1665"/>
      <c r="B1567" s="1666"/>
      <c r="C1567" s="688"/>
      <c r="D1567" s="1667"/>
      <c r="E1567" s="1671">
        <v>3.5</v>
      </c>
      <c r="F1567" s="1671">
        <v>4</v>
      </c>
      <c r="G1567" s="1672">
        <v>0.15</v>
      </c>
      <c r="H1567" s="1671">
        <f t="shared" si="205"/>
        <v>0</v>
      </c>
      <c r="I1567" s="1671" t="s">
        <v>49</v>
      </c>
      <c r="J1567" s="1668"/>
      <c r="K1567" s="1668"/>
      <c r="L1567" s="1669"/>
    </row>
    <row r="1568" spans="1:12" s="692" customFormat="1" ht="16.5" hidden="1">
      <c r="A1568" s="1665"/>
      <c r="B1568" s="1666"/>
      <c r="C1568" s="688"/>
      <c r="D1568" s="1667"/>
      <c r="E1568" s="1671">
        <v>3.5</v>
      </c>
      <c r="F1568" s="1671">
        <v>4</v>
      </c>
      <c r="G1568" s="1672">
        <v>0.15</v>
      </c>
      <c r="H1568" s="1671">
        <f t="shared" si="205"/>
        <v>0</v>
      </c>
      <c r="I1568" s="1671" t="s">
        <v>49</v>
      </c>
      <c r="J1568" s="1668"/>
      <c r="K1568" s="1668"/>
      <c r="L1568" s="1669"/>
    </row>
    <row r="1569" spans="1:13" s="692" customFormat="1" ht="16.5" hidden="1">
      <c r="A1569" s="1665"/>
      <c r="B1569" s="1666"/>
      <c r="C1569" s="688"/>
      <c r="D1569" s="1667"/>
      <c r="E1569" s="1671"/>
      <c r="F1569" s="1671"/>
      <c r="G1569" s="1669" t="s">
        <v>928</v>
      </c>
      <c r="H1569" s="1673">
        <f>SUM(H1563:H1568)</f>
        <v>0</v>
      </c>
      <c r="I1569" s="1669" t="s">
        <v>49</v>
      </c>
      <c r="J1569" s="1668"/>
      <c r="K1569" s="1668"/>
      <c r="L1569" s="1669"/>
    </row>
    <row r="1570" spans="1:13" s="692" customFormat="1" ht="16.5">
      <c r="A1570" s="1665"/>
      <c r="B1570" s="1666" t="s">
        <v>477</v>
      </c>
      <c r="C1570" s="688"/>
      <c r="D1570" s="1667">
        <v>1</v>
      </c>
      <c r="E1570" s="1671">
        <v>17.55</v>
      </c>
      <c r="F1570" s="1671">
        <v>8.9499999999999993</v>
      </c>
      <c r="G1570" s="1683">
        <v>0.125</v>
      </c>
      <c r="H1570" s="1671">
        <f t="shared" ref="H1570:H1575" si="207">ROUND(D1570*E1570*F1570*G1570,2)</f>
        <v>19.63</v>
      </c>
      <c r="I1570" s="1671" t="s">
        <v>49</v>
      </c>
      <c r="J1570" s="1668"/>
      <c r="K1570" s="1668"/>
      <c r="L1570" s="1669"/>
    </row>
    <row r="1571" spans="1:13" s="692" customFormat="1" ht="16.5" hidden="1">
      <c r="A1571" s="1665"/>
      <c r="B1571" s="1666"/>
      <c r="C1571" s="688"/>
      <c r="D1571" s="1667"/>
      <c r="E1571" s="1671">
        <f>'DRAWING CC'!AW70+0.3</f>
        <v>0.3</v>
      </c>
      <c r="F1571" s="1671">
        <f>'DRAWING CC'!O114+0.3</f>
        <v>0.3</v>
      </c>
      <c r="G1571" s="1683">
        <v>1.1000000000000001</v>
      </c>
      <c r="H1571" s="1671">
        <f t="shared" si="207"/>
        <v>0</v>
      </c>
      <c r="I1571" s="1671" t="s">
        <v>49</v>
      </c>
      <c r="J1571" s="1668"/>
      <c r="K1571" s="1668"/>
      <c r="L1571" s="1669"/>
    </row>
    <row r="1572" spans="1:13" s="692" customFormat="1" ht="16.5" hidden="1">
      <c r="A1572" s="1665"/>
      <c r="B1572" s="1666"/>
      <c r="C1572" s="688"/>
      <c r="D1572" s="1667"/>
      <c r="E1572" s="1671">
        <f>'DRAWING CC'!AW71+0.3</f>
        <v>0.3</v>
      </c>
      <c r="F1572" s="1671">
        <f>'DRAWING CC'!O115+0.3</f>
        <v>0.3</v>
      </c>
      <c r="G1572" s="1683">
        <v>2.1</v>
      </c>
      <c r="H1572" s="1671">
        <f t="shared" si="207"/>
        <v>0</v>
      </c>
      <c r="I1572" s="1671" t="s">
        <v>49</v>
      </c>
      <c r="J1572" s="1668"/>
      <c r="K1572" s="1668"/>
      <c r="L1572" s="1669"/>
    </row>
    <row r="1573" spans="1:13" s="692" customFormat="1" ht="16.5" hidden="1">
      <c r="A1573" s="1665"/>
      <c r="B1573" s="1666"/>
      <c r="C1573" s="688"/>
      <c r="D1573" s="1667"/>
      <c r="E1573" s="1671">
        <v>3.5</v>
      </c>
      <c r="F1573" s="1671">
        <v>4</v>
      </c>
      <c r="G1573" s="1672">
        <v>0.15</v>
      </c>
      <c r="H1573" s="1671">
        <f t="shared" si="207"/>
        <v>0</v>
      </c>
      <c r="I1573" s="1671" t="s">
        <v>49</v>
      </c>
      <c r="J1573" s="1668"/>
      <c r="K1573" s="1668"/>
      <c r="L1573" s="1669"/>
    </row>
    <row r="1574" spans="1:13" s="692" customFormat="1" ht="16.5" hidden="1">
      <c r="A1574" s="1665"/>
      <c r="B1574" s="1666"/>
      <c r="C1574" s="688"/>
      <c r="D1574" s="1667"/>
      <c r="E1574" s="1671">
        <v>3.5</v>
      </c>
      <c r="F1574" s="1671">
        <v>4</v>
      </c>
      <c r="G1574" s="1672">
        <v>0.15</v>
      </c>
      <c r="H1574" s="1671">
        <f t="shared" si="207"/>
        <v>0</v>
      </c>
      <c r="I1574" s="1671" t="s">
        <v>49</v>
      </c>
      <c r="J1574" s="1668"/>
      <c r="K1574" s="1668"/>
      <c r="L1574" s="1669"/>
    </row>
    <row r="1575" spans="1:13" s="692" customFormat="1" ht="16.5" hidden="1">
      <c r="A1575" s="1665"/>
      <c r="B1575" s="1666"/>
      <c r="C1575" s="688"/>
      <c r="D1575" s="1667"/>
      <c r="E1575" s="1671">
        <v>3.5</v>
      </c>
      <c r="F1575" s="1671">
        <v>4</v>
      </c>
      <c r="G1575" s="1672">
        <v>0.15</v>
      </c>
      <c r="H1575" s="1671">
        <f t="shared" si="207"/>
        <v>0</v>
      </c>
      <c r="I1575" s="1671" t="s">
        <v>49</v>
      </c>
      <c r="J1575" s="1668"/>
      <c r="K1575" s="1668"/>
      <c r="L1575" s="1669"/>
    </row>
    <row r="1576" spans="1:13" s="692" customFormat="1" ht="16.5">
      <c r="A1576" s="1665"/>
      <c r="B1576" s="1666"/>
      <c r="C1576" s="688"/>
      <c r="D1576" s="1667"/>
      <c r="E1576" s="1671"/>
      <c r="F1576" s="1671"/>
      <c r="G1576" s="1669" t="s">
        <v>928</v>
      </c>
      <c r="H1576" s="1673">
        <f>SUM(H1570:H1575)</f>
        <v>19.63</v>
      </c>
      <c r="I1576" s="1669" t="s">
        <v>49</v>
      </c>
      <c r="J1576" s="1669">
        <f>'Lead &amp; ANALYSIS'!L554</f>
        <v>13177.3</v>
      </c>
      <c r="K1576" s="1668" t="s">
        <v>1516</v>
      </c>
      <c r="L1576" s="1669">
        <f>ROUND(H1576*J1576,0)</f>
        <v>258670</v>
      </c>
    </row>
    <row r="1577" spans="1:13" s="692" customFormat="1" ht="16.5" hidden="1">
      <c r="A1577" s="1665"/>
      <c r="B1577" s="1666"/>
      <c r="C1577" s="688"/>
      <c r="D1577" s="1667"/>
      <c r="E1577" s="1671"/>
      <c r="F1577" s="1671"/>
      <c r="G1577" s="1684" t="s">
        <v>3402</v>
      </c>
      <c r="H1577" s="1673">
        <f>H1357+H1372+H1388+H1403+H1419+H1434+H1449+H1464+H1494+H1509+H1524+H1539+H1554+H1569</f>
        <v>0</v>
      </c>
      <c r="I1577" s="1669" t="s">
        <v>49</v>
      </c>
      <c r="J1577" s="1669">
        <f>'Lead &amp; ANALYSIS'!L461</f>
        <v>6501.2</v>
      </c>
      <c r="K1577" s="1668" t="s">
        <v>1516</v>
      </c>
      <c r="L1577" s="1669">
        <f>ROUND(H1577*J1577,0)</f>
        <v>0</v>
      </c>
      <c r="M1577" s="692" t="s">
        <v>3588</v>
      </c>
    </row>
    <row r="1578" spans="1:13" s="692" customFormat="1" ht="16.5" hidden="1">
      <c r="A1578" s="1665" t="s">
        <v>2978</v>
      </c>
      <c r="B1578" s="1675" t="s">
        <v>387</v>
      </c>
      <c r="C1578" s="688"/>
      <c r="D1578" s="1667"/>
      <c r="E1578" s="688"/>
      <c r="F1578" s="688"/>
      <c r="G1578" s="1674"/>
      <c r="H1578" s="688"/>
      <c r="I1578" s="1668"/>
      <c r="J1578" s="1668"/>
      <c r="K1578" s="1668"/>
      <c r="L1578" s="1669"/>
    </row>
    <row r="1579" spans="1:13" s="692" customFormat="1" ht="16.5" hidden="1">
      <c r="A1579" s="1665" t="s">
        <v>201</v>
      </c>
      <c r="B1579" s="1666" t="s">
        <v>1773</v>
      </c>
      <c r="C1579" s="688"/>
      <c r="D1579" s="1667"/>
      <c r="E1579" s="688"/>
      <c r="F1579" s="688"/>
      <c r="G1579" s="1674"/>
      <c r="H1579" s="688"/>
      <c r="I1579" s="1668"/>
      <c r="J1579" s="1668"/>
      <c r="K1579" s="1668"/>
      <c r="L1579" s="1669"/>
    </row>
    <row r="1580" spans="1:13" s="692" customFormat="1" ht="16.5" hidden="1">
      <c r="A1580" s="1665"/>
      <c r="B1580" s="1666"/>
      <c r="C1580" s="688"/>
      <c r="D1580" s="1667"/>
      <c r="E1580" s="1671">
        <f>E88+F1580</f>
        <v>0</v>
      </c>
      <c r="F1580" s="1671">
        <f>'DRAWING CC'!FS106</f>
        <v>0</v>
      </c>
      <c r="G1580" s="1672">
        <f>'DRAWING CC'!GI103</f>
        <v>0</v>
      </c>
      <c r="H1580" s="1671">
        <f t="shared" ref="H1580:H1585" si="208">ROUND(D1580*E1580*F1580*G1580,2)</f>
        <v>0</v>
      </c>
      <c r="I1580" s="1671" t="s">
        <v>49</v>
      </c>
      <c r="J1580" s="1668"/>
      <c r="K1580" s="1668"/>
      <c r="L1580" s="1669"/>
    </row>
    <row r="1581" spans="1:13" s="692" customFormat="1" ht="16.5" hidden="1">
      <c r="A1581" s="1665"/>
      <c r="B1581" s="1666"/>
      <c r="C1581" s="688"/>
      <c r="D1581" s="1667"/>
      <c r="E1581" s="1671">
        <f>E91-F1581</f>
        <v>3.5</v>
      </c>
      <c r="F1581" s="1671">
        <f>F1580</f>
        <v>0</v>
      </c>
      <c r="G1581" s="1672">
        <f>G1580</f>
        <v>0</v>
      </c>
      <c r="H1581" s="1671">
        <f t="shared" si="208"/>
        <v>0</v>
      </c>
      <c r="I1581" s="1671" t="s">
        <v>49</v>
      </c>
      <c r="J1581" s="1668"/>
      <c r="K1581" s="1668"/>
      <c r="L1581" s="1669"/>
    </row>
    <row r="1582" spans="1:13" s="692" customFormat="1" ht="16.5" hidden="1">
      <c r="A1582" s="1665"/>
      <c r="B1582" s="1666"/>
      <c r="C1582" s="688"/>
      <c r="D1582" s="1667"/>
      <c r="E1582" s="1671">
        <f>E92-F1582</f>
        <v>3.5</v>
      </c>
      <c r="F1582" s="1671">
        <f>F1581</f>
        <v>0</v>
      </c>
      <c r="G1582" s="1672">
        <f>G1581</f>
        <v>0</v>
      </c>
      <c r="H1582" s="1671">
        <f t="shared" si="208"/>
        <v>0</v>
      </c>
      <c r="I1582" s="1671" t="s">
        <v>49</v>
      </c>
      <c r="J1582" s="1668"/>
      <c r="K1582" s="1668"/>
      <c r="L1582" s="1669"/>
    </row>
    <row r="1583" spans="1:13" s="692" customFormat="1" ht="16.5" hidden="1">
      <c r="A1583" s="1665"/>
      <c r="B1583" s="1666"/>
      <c r="C1583" s="688"/>
      <c r="D1583" s="1667"/>
      <c r="E1583" s="1671">
        <v>3.5</v>
      </c>
      <c r="F1583" s="1671">
        <v>4</v>
      </c>
      <c r="G1583" s="1672">
        <v>0.15</v>
      </c>
      <c r="H1583" s="1671">
        <f t="shared" si="208"/>
        <v>0</v>
      </c>
      <c r="I1583" s="1671" t="s">
        <v>49</v>
      </c>
      <c r="J1583" s="1668"/>
      <c r="K1583" s="1668"/>
      <c r="L1583" s="1669"/>
    </row>
    <row r="1584" spans="1:13" s="692" customFormat="1" ht="16.5" hidden="1">
      <c r="A1584" s="1665"/>
      <c r="B1584" s="1666"/>
      <c r="C1584" s="688"/>
      <c r="D1584" s="1667"/>
      <c r="E1584" s="1671">
        <v>3.5</v>
      </c>
      <c r="F1584" s="1671">
        <v>4</v>
      </c>
      <c r="G1584" s="1672">
        <v>0.15</v>
      </c>
      <c r="H1584" s="1671">
        <f t="shared" si="208"/>
        <v>0</v>
      </c>
      <c r="I1584" s="1671" t="s">
        <v>49</v>
      </c>
      <c r="J1584" s="1668"/>
      <c r="K1584" s="1668"/>
      <c r="L1584" s="1669"/>
    </row>
    <row r="1585" spans="1:12" s="692" customFormat="1" ht="16.5" hidden="1">
      <c r="A1585" s="1665"/>
      <c r="B1585" s="1666"/>
      <c r="C1585" s="688"/>
      <c r="D1585" s="1667"/>
      <c r="E1585" s="1671">
        <v>3.5</v>
      </c>
      <c r="F1585" s="1671">
        <v>4</v>
      </c>
      <c r="G1585" s="1672">
        <v>0.15</v>
      </c>
      <c r="H1585" s="1671">
        <f t="shared" si="208"/>
        <v>0</v>
      </c>
      <c r="I1585" s="1671" t="s">
        <v>49</v>
      </c>
      <c r="J1585" s="1668"/>
      <c r="K1585" s="1668"/>
      <c r="L1585" s="1669"/>
    </row>
    <row r="1586" spans="1:12" s="692" customFormat="1" ht="16.5" hidden="1">
      <c r="A1586" s="1665"/>
      <c r="B1586" s="1666"/>
      <c r="C1586" s="688"/>
      <c r="D1586" s="1667"/>
      <c r="E1586" s="1671"/>
      <c r="F1586" s="1671"/>
      <c r="G1586" s="1669" t="s">
        <v>928</v>
      </c>
      <c r="H1586" s="1673">
        <f>SUM(H1580:H1585)</f>
        <v>0</v>
      </c>
      <c r="I1586" s="1669" t="s">
        <v>49</v>
      </c>
      <c r="J1586" s="1668"/>
      <c r="K1586" s="1668"/>
      <c r="L1586" s="1669"/>
    </row>
    <row r="1587" spans="1:12" s="692" customFormat="1" ht="16.5" hidden="1">
      <c r="A1587" s="1665"/>
      <c r="B1587" s="1666"/>
      <c r="C1587" s="688"/>
      <c r="D1587" s="1667"/>
      <c r="E1587" s="1671">
        <f>E95+F1587</f>
        <v>3.5</v>
      </c>
      <c r="F1587" s="1671">
        <f>'DRAWING CC'!FS113</f>
        <v>0</v>
      </c>
      <c r="G1587" s="1672">
        <f>'DRAWING CC'!GI110</f>
        <v>0</v>
      </c>
      <c r="H1587" s="1671">
        <f t="shared" ref="H1587:H1592" si="209">ROUND(D1587*E1587*F1587*G1587,2)</f>
        <v>0</v>
      </c>
      <c r="I1587" s="1671" t="s">
        <v>49</v>
      </c>
      <c r="J1587" s="1668"/>
      <c r="K1587" s="1668"/>
      <c r="L1587" s="1669"/>
    </row>
    <row r="1588" spans="1:12" s="692" customFormat="1" ht="16.5" hidden="1">
      <c r="A1588" s="1665"/>
      <c r="B1588" s="1666"/>
      <c r="C1588" s="688"/>
      <c r="D1588" s="1667"/>
      <c r="E1588" s="1671">
        <f>E114-F1588</f>
        <v>0</v>
      </c>
      <c r="F1588" s="1671">
        <f>F1587</f>
        <v>0</v>
      </c>
      <c r="G1588" s="1672">
        <f>G1587</f>
        <v>0</v>
      </c>
      <c r="H1588" s="1671">
        <f t="shared" si="209"/>
        <v>0</v>
      </c>
      <c r="I1588" s="1671" t="s">
        <v>49</v>
      </c>
      <c r="J1588" s="1668"/>
      <c r="K1588" s="1668"/>
      <c r="L1588" s="1669"/>
    </row>
    <row r="1589" spans="1:12" s="692" customFormat="1" ht="16.5" hidden="1">
      <c r="A1589" s="1665"/>
      <c r="B1589" s="1666"/>
      <c r="C1589" s="688"/>
      <c r="D1589" s="1667"/>
      <c r="E1589" s="1671">
        <f>E115-F1589</f>
        <v>3.5</v>
      </c>
      <c r="F1589" s="1671">
        <f>F1588</f>
        <v>0</v>
      </c>
      <c r="G1589" s="1672">
        <f>G1588</f>
        <v>0</v>
      </c>
      <c r="H1589" s="1671">
        <f t="shared" si="209"/>
        <v>0</v>
      </c>
      <c r="I1589" s="1671" t="s">
        <v>49</v>
      </c>
      <c r="J1589" s="1668"/>
      <c r="K1589" s="1668"/>
      <c r="L1589" s="1669"/>
    </row>
    <row r="1590" spans="1:12" s="692" customFormat="1" ht="16.5" hidden="1">
      <c r="A1590" s="1665"/>
      <c r="B1590" s="1666"/>
      <c r="C1590" s="688"/>
      <c r="D1590" s="1667"/>
      <c r="E1590" s="1671">
        <v>3.5</v>
      </c>
      <c r="F1590" s="1671">
        <v>4</v>
      </c>
      <c r="G1590" s="1672">
        <v>0.15</v>
      </c>
      <c r="H1590" s="1671">
        <f t="shared" si="209"/>
        <v>0</v>
      </c>
      <c r="I1590" s="1671" t="s">
        <v>49</v>
      </c>
      <c r="J1590" s="1668"/>
      <c r="K1590" s="1668"/>
      <c r="L1590" s="1669"/>
    </row>
    <row r="1591" spans="1:12" s="692" customFormat="1" ht="16.5" hidden="1">
      <c r="A1591" s="1665"/>
      <c r="B1591" s="1666"/>
      <c r="C1591" s="688"/>
      <c r="D1591" s="1667"/>
      <c r="E1591" s="1671">
        <v>3.5</v>
      </c>
      <c r="F1591" s="1671">
        <v>4</v>
      </c>
      <c r="G1591" s="1672">
        <v>0.15</v>
      </c>
      <c r="H1591" s="1671">
        <f t="shared" si="209"/>
        <v>0</v>
      </c>
      <c r="I1591" s="1671" t="s">
        <v>49</v>
      </c>
      <c r="J1591" s="1668"/>
      <c r="K1591" s="1668"/>
      <c r="L1591" s="1669"/>
    </row>
    <row r="1592" spans="1:12" s="692" customFormat="1" ht="16.5" hidden="1">
      <c r="A1592" s="1665"/>
      <c r="B1592" s="1666"/>
      <c r="C1592" s="688"/>
      <c r="D1592" s="1667"/>
      <c r="E1592" s="1671">
        <v>3.5</v>
      </c>
      <c r="F1592" s="1671">
        <v>4</v>
      </c>
      <c r="G1592" s="1672">
        <v>0.15</v>
      </c>
      <c r="H1592" s="1671">
        <f t="shared" si="209"/>
        <v>0</v>
      </c>
      <c r="I1592" s="1671" t="s">
        <v>49</v>
      </c>
      <c r="J1592" s="1668"/>
      <c r="K1592" s="1668"/>
      <c r="L1592" s="1669"/>
    </row>
    <row r="1593" spans="1:12" s="692" customFormat="1" ht="16.5" hidden="1">
      <c r="A1593" s="1665"/>
      <c r="B1593" s="1666"/>
      <c r="C1593" s="688"/>
      <c r="D1593" s="1667"/>
      <c r="E1593" s="1671"/>
      <c r="F1593" s="1671"/>
      <c r="G1593" s="1669" t="s">
        <v>928</v>
      </c>
      <c r="H1593" s="1673">
        <f>SUM(H1587:H1592)</f>
        <v>0</v>
      </c>
      <c r="I1593" s="1669" t="s">
        <v>49</v>
      </c>
      <c r="J1593" s="1669">
        <f>'Lead &amp; ANALYSIS'!L544</f>
        <v>16241.6</v>
      </c>
      <c r="K1593" s="1668" t="s">
        <v>1516</v>
      </c>
      <c r="L1593" s="1669">
        <f>ROUND(H1593*J1593,0)</f>
        <v>0</v>
      </c>
    </row>
    <row r="1594" spans="1:12" s="692" customFormat="1" ht="16.5" hidden="1">
      <c r="A1594" s="1665" t="s">
        <v>220</v>
      </c>
      <c r="B1594" s="1666" t="s">
        <v>473</v>
      </c>
      <c r="C1594" s="688"/>
      <c r="D1594" s="1667"/>
      <c r="E1594" s="688"/>
      <c r="F1594" s="688"/>
      <c r="G1594" s="1674"/>
      <c r="H1594" s="688"/>
      <c r="I1594" s="1668"/>
      <c r="J1594" s="1668"/>
      <c r="K1594" s="1668"/>
      <c r="L1594" s="1669"/>
    </row>
    <row r="1595" spans="1:12" s="692" customFormat="1" ht="16.5" hidden="1">
      <c r="A1595" s="1665"/>
      <c r="B1595" s="1666"/>
      <c r="C1595" s="688"/>
      <c r="D1595" s="1667"/>
      <c r="E1595" s="1671">
        <f>E103+F1595</f>
        <v>3.5</v>
      </c>
      <c r="F1595" s="1671">
        <f>'DRAWING CC'!FS121</f>
        <v>0</v>
      </c>
      <c r="G1595" s="1672">
        <f>'DRAWING CC'!GI118</f>
        <v>0</v>
      </c>
      <c r="H1595" s="1671">
        <f t="shared" ref="H1595:H1600" si="210">ROUND(D1595*E1595*F1595*G1595,2)</f>
        <v>0</v>
      </c>
      <c r="I1595" s="1671" t="s">
        <v>49</v>
      </c>
      <c r="J1595" s="1668"/>
      <c r="K1595" s="1668"/>
      <c r="L1595" s="1669"/>
    </row>
    <row r="1596" spans="1:12" s="692" customFormat="1" ht="16.5" hidden="1">
      <c r="A1596" s="1665"/>
      <c r="B1596" s="1666"/>
      <c r="C1596" s="688"/>
      <c r="D1596" s="1667"/>
      <c r="E1596" s="1671">
        <f>E106-F1596</f>
        <v>3.5</v>
      </c>
      <c r="F1596" s="1671">
        <f>F1595</f>
        <v>0</v>
      </c>
      <c r="G1596" s="1672">
        <f>G1595</f>
        <v>0</v>
      </c>
      <c r="H1596" s="1671">
        <f t="shared" si="210"/>
        <v>0</v>
      </c>
      <c r="I1596" s="1671" t="s">
        <v>49</v>
      </c>
      <c r="J1596" s="1668"/>
      <c r="K1596" s="1668"/>
      <c r="L1596" s="1669"/>
    </row>
    <row r="1597" spans="1:12" s="692" customFormat="1" ht="16.5" hidden="1">
      <c r="A1597" s="1665"/>
      <c r="B1597" s="1666"/>
      <c r="C1597" s="688"/>
      <c r="D1597" s="1667"/>
      <c r="E1597" s="1671">
        <f>E107-F1597</f>
        <v>3.5</v>
      </c>
      <c r="F1597" s="1671">
        <f>F1596</f>
        <v>0</v>
      </c>
      <c r="G1597" s="1672">
        <f>G1596</f>
        <v>0</v>
      </c>
      <c r="H1597" s="1671">
        <f t="shared" si="210"/>
        <v>0</v>
      </c>
      <c r="I1597" s="1671" t="s">
        <v>49</v>
      </c>
      <c r="J1597" s="1668"/>
      <c r="K1597" s="1668"/>
      <c r="L1597" s="1669"/>
    </row>
    <row r="1598" spans="1:12" s="692" customFormat="1" ht="16.5" hidden="1">
      <c r="A1598" s="1665"/>
      <c r="B1598" s="1666"/>
      <c r="C1598" s="688"/>
      <c r="D1598" s="1667"/>
      <c r="E1598" s="1671">
        <v>3.5</v>
      </c>
      <c r="F1598" s="1671">
        <v>4</v>
      </c>
      <c r="G1598" s="1672">
        <v>0.15</v>
      </c>
      <c r="H1598" s="1671">
        <f t="shared" si="210"/>
        <v>0</v>
      </c>
      <c r="I1598" s="1671" t="s">
        <v>49</v>
      </c>
      <c r="J1598" s="1668"/>
      <c r="K1598" s="1668"/>
      <c r="L1598" s="1669"/>
    </row>
    <row r="1599" spans="1:12" s="692" customFormat="1" ht="16.5" hidden="1">
      <c r="A1599" s="1665"/>
      <c r="B1599" s="1666"/>
      <c r="C1599" s="688"/>
      <c r="D1599" s="1667"/>
      <c r="E1599" s="1671">
        <v>3.5</v>
      </c>
      <c r="F1599" s="1671">
        <v>4</v>
      </c>
      <c r="G1599" s="1672">
        <v>0.15</v>
      </c>
      <c r="H1599" s="1671">
        <f t="shared" si="210"/>
        <v>0</v>
      </c>
      <c r="I1599" s="1671" t="s">
        <v>49</v>
      </c>
      <c r="J1599" s="1668"/>
      <c r="K1599" s="1668"/>
      <c r="L1599" s="1669"/>
    </row>
    <row r="1600" spans="1:12" s="692" customFormat="1" ht="16.5" hidden="1">
      <c r="A1600" s="1665"/>
      <c r="B1600" s="1666"/>
      <c r="C1600" s="688"/>
      <c r="D1600" s="1667"/>
      <c r="E1600" s="1671">
        <v>3.5</v>
      </c>
      <c r="F1600" s="1671">
        <v>4</v>
      </c>
      <c r="G1600" s="1672">
        <v>0.15</v>
      </c>
      <c r="H1600" s="1671">
        <f t="shared" si="210"/>
        <v>0</v>
      </c>
      <c r="I1600" s="1671" t="s">
        <v>49</v>
      </c>
      <c r="J1600" s="1668"/>
      <c r="K1600" s="1668"/>
      <c r="L1600" s="1669"/>
    </row>
    <row r="1601" spans="1:12" s="692" customFormat="1" ht="16.5" hidden="1">
      <c r="A1601" s="1665"/>
      <c r="B1601" s="1666"/>
      <c r="C1601" s="688"/>
      <c r="D1601" s="1667"/>
      <c r="E1601" s="1671"/>
      <c r="F1601" s="1671"/>
      <c r="G1601" s="1669" t="s">
        <v>928</v>
      </c>
      <c r="H1601" s="1673">
        <f>SUM(H1595:H1600)</f>
        <v>0</v>
      </c>
      <c r="I1601" s="1669" t="s">
        <v>49</v>
      </c>
      <c r="J1601" s="1668"/>
      <c r="K1601" s="1668"/>
      <c r="L1601" s="1669"/>
    </row>
    <row r="1602" spans="1:12" s="692" customFormat="1" ht="16.5" hidden="1">
      <c r="A1602" s="1665"/>
      <c r="B1602" s="1666"/>
      <c r="C1602" s="688"/>
      <c r="D1602" s="1667"/>
      <c r="E1602" s="1671">
        <f>E110+F1602</f>
        <v>3.5</v>
      </c>
      <c r="F1602" s="1671">
        <f>'DRAWING CC'!FS128</f>
        <v>0</v>
      </c>
      <c r="G1602" s="1672">
        <f>'DRAWING CC'!GI125</f>
        <v>0</v>
      </c>
      <c r="H1602" s="1671">
        <f t="shared" ref="H1602:H1607" si="211">ROUND(D1602*E1602*F1602*G1602,2)</f>
        <v>0</v>
      </c>
      <c r="I1602" s="1671" t="s">
        <v>49</v>
      </c>
      <c r="J1602" s="1668"/>
      <c r="K1602" s="1668"/>
      <c r="L1602" s="1669"/>
    </row>
    <row r="1603" spans="1:12" s="692" customFormat="1" ht="16.5" hidden="1">
      <c r="A1603" s="1665"/>
      <c r="B1603" s="1666"/>
      <c r="C1603" s="688"/>
      <c r="D1603" s="1667"/>
      <c r="E1603" s="1671">
        <f>E129-F1603</f>
        <v>0</v>
      </c>
      <c r="F1603" s="1671">
        <f>F1602</f>
        <v>0</v>
      </c>
      <c r="G1603" s="1672">
        <f>G1602</f>
        <v>0</v>
      </c>
      <c r="H1603" s="1671">
        <f t="shared" si="211"/>
        <v>0</v>
      </c>
      <c r="I1603" s="1671" t="s">
        <v>49</v>
      </c>
      <c r="J1603" s="1668"/>
      <c r="K1603" s="1668"/>
      <c r="L1603" s="1669"/>
    </row>
    <row r="1604" spans="1:12" s="692" customFormat="1" ht="16.5" hidden="1">
      <c r="A1604" s="1665"/>
      <c r="B1604" s="1666"/>
      <c r="C1604" s="688"/>
      <c r="D1604" s="1667"/>
      <c r="E1604" s="1671">
        <f>E130-F1604</f>
        <v>0</v>
      </c>
      <c r="F1604" s="1671">
        <f>F1603</f>
        <v>0</v>
      </c>
      <c r="G1604" s="1672">
        <f>G1603</f>
        <v>0</v>
      </c>
      <c r="H1604" s="1671">
        <f t="shared" si="211"/>
        <v>0</v>
      </c>
      <c r="I1604" s="1671" t="s">
        <v>49</v>
      </c>
      <c r="J1604" s="1668"/>
      <c r="K1604" s="1668"/>
      <c r="L1604" s="1669"/>
    </row>
    <row r="1605" spans="1:12" s="692" customFormat="1" ht="16.5" hidden="1">
      <c r="A1605" s="1665"/>
      <c r="B1605" s="1666"/>
      <c r="C1605" s="688"/>
      <c r="D1605" s="1667"/>
      <c r="E1605" s="1671">
        <v>3.5</v>
      </c>
      <c r="F1605" s="1671">
        <v>4</v>
      </c>
      <c r="G1605" s="1672">
        <v>0.15</v>
      </c>
      <c r="H1605" s="1671">
        <f t="shared" si="211"/>
        <v>0</v>
      </c>
      <c r="I1605" s="1671" t="s">
        <v>49</v>
      </c>
      <c r="J1605" s="1668"/>
      <c r="K1605" s="1668"/>
      <c r="L1605" s="1669"/>
    </row>
    <row r="1606" spans="1:12" s="692" customFormat="1" ht="16.5" hidden="1">
      <c r="A1606" s="1665"/>
      <c r="B1606" s="1666"/>
      <c r="C1606" s="688"/>
      <c r="D1606" s="1667"/>
      <c r="E1606" s="1671">
        <v>3.5</v>
      </c>
      <c r="F1606" s="1671">
        <v>4</v>
      </c>
      <c r="G1606" s="1672">
        <v>0.15</v>
      </c>
      <c r="H1606" s="1671">
        <f t="shared" si="211"/>
        <v>0</v>
      </c>
      <c r="I1606" s="1671" t="s">
        <v>49</v>
      </c>
      <c r="J1606" s="1668"/>
      <c r="K1606" s="1668"/>
      <c r="L1606" s="1669"/>
    </row>
    <row r="1607" spans="1:12" s="692" customFormat="1" ht="16.5" hidden="1">
      <c r="A1607" s="1665"/>
      <c r="B1607" s="1666"/>
      <c r="C1607" s="688"/>
      <c r="D1607" s="1667"/>
      <c r="E1607" s="1671">
        <v>3.5</v>
      </c>
      <c r="F1607" s="1671">
        <v>4</v>
      </c>
      <c r="G1607" s="1672">
        <v>0.15</v>
      </c>
      <c r="H1607" s="1671">
        <f t="shared" si="211"/>
        <v>0</v>
      </c>
      <c r="I1607" s="1671" t="s">
        <v>49</v>
      </c>
      <c r="J1607" s="1668"/>
      <c r="K1607" s="1668"/>
      <c r="L1607" s="1669"/>
    </row>
    <row r="1608" spans="1:12" s="692" customFormat="1" ht="16.5" hidden="1">
      <c r="A1608" s="1665"/>
      <c r="B1608" s="1666"/>
      <c r="C1608" s="688"/>
      <c r="D1608" s="1667"/>
      <c r="E1608" s="1671"/>
      <c r="F1608" s="1671"/>
      <c r="G1608" s="1669" t="s">
        <v>928</v>
      </c>
      <c r="H1608" s="1673">
        <f>SUM(H1602:H1607)</f>
        <v>0</v>
      </c>
      <c r="I1608" s="1669" t="s">
        <v>49</v>
      </c>
      <c r="J1608" s="1669">
        <f>'Lead &amp; ANALYSIS'!L531</f>
        <v>15389.6</v>
      </c>
      <c r="K1608" s="1668" t="s">
        <v>1516</v>
      </c>
      <c r="L1608" s="1669">
        <f>ROUND(H1608*J1608,0)</f>
        <v>0</v>
      </c>
    </row>
    <row r="1609" spans="1:12" s="692" customFormat="1" ht="16.5" hidden="1">
      <c r="A1609" s="1665" t="s">
        <v>244</v>
      </c>
      <c r="B1609" s="1666" t="s">
        <v>481</v>
      </c>
      <c r="C1609" s="688"/>
      <c r="D1609" s="1667"/>
      <c r="E1609" s="688"/>
      <c r="F1609" s="688"/>
      <c r="G1609" s="1674"/>
      <c r="H1609" s="688"/>
      <c r="I1609" s="1668"/>
      <c r="J1609" s="1668"/>
      <c r="K1609" s="1668"/>
      <c r="L1609" s="1669"/>
    </row>
    <row r="1610" spans="1:12" s="692" customFormat="1" ht="16.5" hidden="1">
      <c r="A1610" s="1665"/>
      <c r="B1610" s="1666" t="s">
        <v>1948</v>
      </c>
      <c r="C1610" s="688"/>
      <c r="D1610" s="1667"/>
      <c r="E1610" s="1671">
        <f>'DRAWING CC'!IL131+0.3</f>
        <v>0.3</v>
      </c>
      <c r="F1610" s="1671">
        <f>'DRAWING CC'!FL57</f>
        <v>0</v>
      </c>
      <c r="G1610" s="1683">
        <f>0.065</f>
        <v>6.5000000000000002E-2</v>
      </c>
      <c r="H1610" s="1671">
        <f t="shared" ref="H1610:H1615" si="212">ROUND(D1610*E1610*F1610*G1610,2)</f>
        <v>0</v>
      </c>
      <c r="I1610" s="1671" t="s">
        <v>49</v>
      </c>
      <c r="J1610" s="1668"/>
      <c r="K1610" s="1668"/>
      <c r="L1610" s="1669"/>
    </row>
    <row r="1611" spans="1:12" s="692" customFormat="1" ht="16.5" hidden="1">
      <c r="A1611" s="1665"/>
      <c r="B1611" s="1666" t="s">
        <v>2987</v>
      </c>
      <c r="C1611" s="688"/>
      <c r="D1611" s="1667"/>
      <c r="E1611" s="1671">
        <f>'DRAWING CC'!AW88</f>
        <v>0</v>
      </c>
      <c r="F1611" s="1671">
        <f>F1610</f>
        <v>0</v>
      </c>
      <c r="G1611" s="1683">
        <f>0.065</f>
        <v>6.5000000000000002E-2</v>
      </c>
      <c r="H1611" s="1671">
        <f t="shared" si="212"/>
        <v>0</v>
      </c>
      <c r="I1611" s="1671" t="s">
        <v>49</v>
      </c>
      <c r="J1611" s="1668"/>
      <c r="K1611" s="1668"/>
      <c r="L1611" s="1669"/>
    </row>
    <row r="1612" spans="1:12" s="692" customFormat="1" ht="16.5" hidden="1">
      <c r="A1612" s="1665"/>
      <c r="B1612" s="1666"/>
      <c r="C1612" s="688"/>
      <c r="D1612" s="1667"/>
      <c r="E1612" s="1671">
        <f>D58-F1612</f>
        <v>0</v>
      </c>
      <c r="F1612" s="1671">
        <f>F1611</f>
        <v>0</v>
      </c>
      <c r="G1612" s="1672">
        <f>G1611</f>
        <v>6.5000000000000002E-2</v>
      </c>
      <c r="H1612" s="1671">
        <f t="shared" si="212"/>
        <v>0</v>
      </c>
      <c r="I1612" s="1671" t="s">
        <v>49</v>
      </c>
      <c r="J1612" s="1668"/>
      <c r="K1612" s="1668"/>
      <c r="L1612" s="1669"/>
    </row>
    <row r="1613" spans="1:12" s="692" customFormat="1" ht="16.5" hidden="1">
      <c r="A1613" s="1665"/>
      <c r="B1613" s="1666"/>
      <c r="C1613" s="688"/>
      <c r="D1613" s="1667"/>
      <c r="E1613" s="1671">
        <v>3.5</v>
      </c>
      <c r="F1613" s="1671">
        <v>4</v>
      </c>
      <c r="G1613" s="1672">
        <v>0.15</v>
      </c>
      <c r="H1613" s="1671">
        <f t="shared" si="212"/>
        <v>0</v>
      </c>
      <c r="I1613" s="1671" t="s">
        <v>49</v>
      </c>
      <c r="J1613" s="1668"/>
      <c r="K1613" s="1668"/>
      <c r="L1613" s="1669"/>
    </row>
    <row r="1614" spans="1:12" s="692" customFormat="1" ht="16.5" hidden="1">
      <c r="A1614" s="1665"/>
      <c r="B1614" s="1666"/>
      <c r="C1614" s="688"/>
      <c r="D1614" s="1667"/>
      <c r="E1614" s="1671">
        <v>3.5</v>
      </c>
      <c r="F1614" s="1671">
        <v>4</v>
      </c>
      <c r="G1614" s="1672">
        <v>0.15</v>
      </c>
      <c r="H1614" s="1671">
        <f t="shared" si="212"/>
        <v>0</v>
      </c>
      <c r="I1614" s="1671" t="s">
        <v>49</v>
      </c>
      <c r="J1614" s="1668"/>
      <c r="K1614" s="1668"/>
      <c r="L1614" s="1669"/>
    </row>
    <row r="1615" spans="1:12" s="692" customFormat="1" ht="16.5" hidden="1">
      <c r="A1615" s="1665"/>
      <c r="B1615" s="1666"/>
      <c r="C1615" s="688"/>
      <c r="D1615" s="1667"/>
      <c r="E1615" s="1671">
        <v>3.5</v>
      </c>
      <c r="F1615" s="1671">
        <v>4</v>
      </c>
      <c r="G1615" s="1672">
        <v>0.15</v>
      </c>
      <c r="H1615" s="1671">
        <f t="shared" si="212"/>
        <v>0</v>
      </c>
      <c r="I1615" s="1671" t="s">
        <v>49</v>
      </c>
      <c r="J1615" s="1668"/>
      <c r="K1615" s="1668"/>
      <c r="L1615" s="1669"/>
    </row>
    <row r="1616" spans="1:12" s="692" customFormat="1" ht="16.5" hidden="1">
      <c r="A1616" s="1665"/>
      <c r="B1616" s="1666"/>
      <c r="C1616" s="688"/>
      <c r="D1616" s="1667"/>
      <c r="E1616" s="1671"/>
      <c r="F1616" s="1671"/>
      <c r="G1616" s="1669" t="s">
        <v>928</v>
      </c>
      <c r="H1616" s="1673">
        <f>SUM(H1610:H1615)</f>
        <v>0</v>
      </c>
      <c r="I1616" s="1669" t="s">
        <v>49</v>
      </c>
      <c r="J1616" s="1668"/>
      <c r="K1616" s="1668"/>
      <c r="L1616" s="1669"/>
    </row>
    <row r="1617" spans="1:12" s="692" customFormat="1" ht="16.5" hidden="1">
      <c r="A1617" s="1665"/>
      <c r="B1617" s="1666" t="s">
        <v>1948</v>
      </c>
      <c r="C1617" s="688"/>
      <c r="D1617" s="1667"/>
      <c r="E1617" s="1671">
        <v>3.5</v>
      </c>
      <c r="F1617" s="1671">
        <v>4</v>
      </c>
      <c r="G1617" s="1672"/>
      <c r="H1617" s="1671">
        <f>ROUND(D1617*E1617*F1617,2)</f>
        <v>0</v>
      </c>
      <c r="I1617" s="1671" t="s">
        <v>92</v>
      </c>
      <c r="J1617" s="1668"/>
      <c r="K1617" s="1668"/>
      <c r="L1617" s="1669"/>
    </row>
    <row r="1618" spans="1:12" s="692" customFormat="1" ht="16.5" hidden="1">
      <c r="A1618" s="1665"/>
      <c r="B1618" s="1666" t="s">
        <v>2987</v>
      </c>
      <c r="C1618" s="688"/>
      <c r="D1618" s="1667"/>
      <c r="E1618" s="1671">
        <v>3.5</v>
      </c>
      <c r="F1618" s="1671">
        <v>4</v>
      </c>
      <c r="G1618" s="1672"/>
      <c r="H1618" s="1671">
        <f t="shared" ref="H1618:H1622" si="213">ROUND(D1618*E1618*F1618,2)</f>
        <v>0</v>
      </c>
      <c r="I1618" s="1671" t="s">
        <v>92</v>
      </c>
      <c r="J1618" s="1668"/>
      <c r="K1618" s="1668"/>
      <c r="L1618" s="1669"/>
    </row>
    <row r="1619" spans="1:12" s="692" customFormat="1" ht="16.5" hidden="1">
      <c r="A1619" s="1665"/>
      <c r="B1619" s="1666"/>
      <c r="C1619" s="688"/>
      <c r="D1619" s="1667"/>
      <c r="E1619" s="1671">
        <v>3.5</v>
      </c>
      <c r="F1619" s="1671">
        <v>4</v>
      </c>
      <c r="G1619" s="1672"/>
      <c r="H1619" s="1671">
        <f t="shared" si="213"/>
        <v>0</v>
      </c>
      <c r="I1619" s="1671" t="s">
        <v>92</v>
      </c>
      <c r="J1619" s="1668"/>
      <c r="K1619" s="1668"/>
      <c r="L1619" s="1669"/>
    </row>
    <row r="1620" spans="1:12" s="692" customFormat="1" ht="16.5" hidden="1">
      <c r="A1620" s="1665"/>
      <c r="B1620" s="1666"/>
      <c r="C1620" s="688"/>
      <c r="D1620" s="1667"/>
      <c r="E1620" s="1671">
        <v>3.5</v>
      </c>
      <c r="F1620" s="1671">
        <v>4</v>
      </c>
      <c r="G1620" s="1672"/>
      <c r="H1620" s="1671">
        <f t="shared" si="213"/>
        <v>0</v>
      </c>
      <c r="I1620" s="1671" t="s">
        <v>92</v>
      </c>
      <c r="J1620" s="1668"/>
      <c r="K1620" s="1668"/>
      <c r="L1620" s="1669"/>
    </row>
    <row r="1621" spans="1:12" s="692" customFormat="1" ht="16.5" hidden="1">
      <c r="A1621" s="1665"/>
      <c r="B1621" s="1666"/>
      <c r="C1621" s="688"/>
      <c r="D1621" s="1667"/>
      <c r="E1621" s="1671">
        <v>3.5</v>
      </c>
      <c r="F1621" s="1671">
        <v>4</v>
      </c>
      <c r="G1621" s="1672"/>
      <c r="H1621" s="1671">
        <f t="shared" si="213"/>
        <v>0</v>
      </c>
      <c r="I1621" s="1671" t="s">
        <v>92</v>
      </c>
      <c r="J1621" s="1668"/>
      <c r="K1621" s="1668"/>
      <c r="L1621" s="1669"/>
    </row>
    <row r="1622" spans="1:12" s="692" customFormat="1" ht="16.5" hidden="1">
      <c r="A1622" s="1665"/>
      <c r="B1622" s="1666"/>
      <c r="C1622" s="688"/>
      <c r="D1622" s="1667"/>
      <c r="E1622" s="1671">
        <v>3.5</v>
      </c>
      <c r="F1622" s="1671">
        <v>4</v>
      </c>
      <c r="G1622" s="1672"/>
      <c r="H1622" s="1671">
        <f t="shared" si="213"/>
        <v>0</v>
      </c>
      <c r="I1622" s="1671" t="s">
        <v>92</v>
      </c>
      <c r="J1622" s="1668"/>
      <c r="K1622" s="1668"/>
      <c r="L1622" s="1669"/>
    </row>
    <row r="1623" spans="1:12" s="692" customFormat="1" ht="16.5" hidden="1">
      <c r="A1623" s="1665"/>
      <c r="B1623" s="1666"/>
      <c r="C1623" s="688"/>
      <c r="D1623" s="1667"/>
      <c r="E1623" s="1671"/>
      <c r="F1623" s="1671"/>
      <c r="G1623" s="1669" t="s">
        <v>928</v>
      </c>
      <c r="H1623" s="1673">
        <f>SUM(H1617:H1622)</f>
        <v>0</v>
      </c>
      <c r="I1623" s="1671" t="s">
        <v>92</v>
      </c>
      <c r="J1623" s="1669">
        <f>'Lead &amp; ANALYSIS'!L583</f>
        <v>1313.3</v>
      </c>
      <c r="K1623" s="1668" t="s">
        <v>1514</v>
      </c>
      <c r="L1623" s="1669">
        <f>ROUND(H1623*J1623,0)</f>
        <v>0</v>
      </c>
    </row>
    <row r="1624" spans="1:12" s="692" customFormat="1" ht="16.5" hidden="1">
      <c r="A1624" s="1665" t="s">
        <v>291</v>
      </c>
      <c r="B1624" s="1666" t="s">
        <v>3401</v>
      </c>
      <c r="C1624" s="688"/>
      <c r="D1624" s="1667"/>
      <c r="E1624" s="688"/>
      <c r="F1624" s="688"/>
      <c r="G1624" s="1674"/>
      <c r="H1624" s="688"/>
      <c r="I1624" s="1668"/>
      <c r="J1624" s="1668"/>
      <c r="K1624" s="1668"/>
      <c r="L1624" s="1669"/>
    </row>
    <row r="1625" spans="1:12" s="692" customFormat="1" ht="16.5" hidden="1">
      <c r="A1625" s="1665"/>
      <c r="B1625" s="1666"/>
      <c r="C1625" s="688"/>
      <c r="D1625" s="1667"/>
      <c r="E1625" s="1671">
        <f>D80+F1625</f>
        <v>0</v>
      </c>
      <c r="F1625" s="1671">
        <f>F1610</f>
        <v>0</v>
      </c>
      <c r="G1625" s="1672">
        <f>'DRAWING CC'!GI69</f>
        <v>0</v>
      </c>
      <c r="H1625" s="1671">
        <f t="shared" ref="H1625:H1630" si="214">ROUND(D1625*E1625*F1625*G1625,2)</f>
        <v>0</v>
      </c>
      <c r="I1625" s="1671" t="s">
        <v>49</v>
      </c>
      <c r="J1625" s="1668"/>
      <c r="K1625" s="1668"/>
      <c r="L1625" s="1669"/>
    </row>
    <row r="1626" spans="1:12" s="692" customFormat="1" ht="16.5" hidden="1">
      <c r="A1626" s="1665"/>
      <c r="B1626" s="1666"/>
      <c r="C1626" s="688"/>
      <c r="D1626" s="1667"/>
      <c r="E1626" s="1671">
        <f>D83-F1626</f>
        <v>0</v>
      </c>
      <c r="F1626" s="1671">
        <f>F1625</f>
        <v>0</v>
      </c>
      <c r="G1626" s="1672">
        <f>G1625</f>
        <v>0</v>
      </c>
      <c r="H1626" s="1671">
        <f t="shared" si="214"/>
        <v>0</v>
      </c>
      <c r="I1626" s="1671" t="s">
        <v>49</v>
      </c>
      <c r="J1626" s="1668"/>
      <c r="K1626" s="1668"/>
      <c r="L1626" s="1669"/>
    </row>
    <row r="1627" spans="1:12" s="692" customFormat="1" ht="16.5" hidden="1">
      <c r="A1627" s="1665"/>
      <c r="B1627" s="1666"/>
      <c r="C1627" s="688"/>
      <c r="D1627" s="1667"/>
      <c r="E1627" s="1671">
        <f>D84-F1627</f>
        <v>0</v>
      </c>
      <c r="F1627" s="1671">
        <f>F1626</f>
        <v>0</v>
      </c>
      <c r="G1627" s="1672">
        <f>G1626</f>
        <v>0</v>
      </c>
      <c r="H1627" s="1671">
        <f t="shared" si="214"/>
        <v>0</v>
      </c>
      <c r="I1627" s="1671" t="s">
        <v>49</v>
      </c>
      <c r="J1627" s="1668"/>
      <c r="K1627" s="1668"/>
      <c r="L1627" s="1669"/>
    </row>
    <row r="1628" spans="1:12" s="692" customFormat="1" ht="16.5" hidden="1">
      <c r="A1628" s="1665"/>
      <c r="B1628" s="1666"/>
      <c r="C1628" s="688"/>
      <c r="D1628" s="1667"/>
      <c r="E1628" s="1671">
        <v>3.5</v>
      </c>
      <c r="F1628" s="1671">
        <v>4</v>
      </c>
      <c r="G1628" s="1672">
        <v>0.15</v>
      </c>
      <c r="H1628" s="1671">
        <f t="shared" si="214"/>
        <v>0</v>
      </c>
      <c r="I1628" s="1671" t="s">
        <v>49</v>
      </c>
      <c r="J1628" s="1668"/>
      <c r="K1628" s="1668"/>
      <c r="L1628" s="1669"/>
    </row>
    <row r="1629" spans="1:12" s="692" customFormat="1" ht="16.5" hidden="1">
      <c r="A1629" s="1665"/>
      <c r="B1629" s="1666"/>
      <c r="C1629" s="688"/>
      <c r="D1629" s="1667"/>
      <c r="E1629" s="1671">
        <v>3.5</v>
      </c>
      <c r="F1629" s="1671">
        <v>4</v>
      </c>
      <c r="G1629" s="1672">
        <v>0.15</v>
      </c>
      <c r="H1629" s="1671">
        <f t="shared" si="214"/>
        <v>0</v>
      </c>
      <c r="I1629" s="1671" t="s">
        <v>49</v>
      </c>
      <c r="J1629" s="1668"/>
      <c r="K1629" s="1668"/>
      <c r="L1629" s="1669"/>
    </row>
    <row r="1630" spans="1:12" s="692" customFormat="1" ht="16.5" hidden="1">
      <c r="A1630" s="1665"/>
      <c r="B1630" s="1666"/>
      <c r="C1630" s="688"/>
      <c r="D1630" s="1667"/>
      <c r="E1630" s="1671">
        <v>3.5</v>
      </c>
      <c r="F1630" s="1671">
        <v>4</v>
      </c>
      <c r="G1630" s="1672">
        <v>0.15</v>
      </c>
      <c r="H1630" s="1671">
        <f t="shared" si="214"/>
        <v>0</v>
      </c>
      <c r="I1630" s="1671" t="s">
        <v>49</v>
      </c>
      <c r="J1630" s="1668"/>
      <c r="K1630" s="1668"/>
      <c r="L1630" s="1669"/>
    </row>
    <row r="1631" spans="1:12" s="692" customFormat="1" ht="16.5" hidden="1">
      <c r="A1631" s="1665"/>
      <c r="B1631" s="1666"/>
      <c r="C1631" s="688"/>
      <c r="D1631" s="1667"/>
      <c r="E1631" s="1671"/>
      <c r="F1631" s="1671"/>
      <c r="G1631" s="1669" t="s">
        <v>928</v>
      </c>
      <c r="H1631" s="1673">
        <f>SUM(H1625:H1630)</f>
        <v>0</v>
      </c>
      <c r="I1631" s="1669" t="s">
        <v>49</v>
      </c>
      <c r="J1631" s="1668"/>
      <c r="K1631" s="1668"/>
      <c r="L1631" s="1669"/>
    </row>
    <row r="1632" spans="1:12" s="692" customFormat="1" ht="16.5" hidden="1">
      <c r="A1632" s="1665"/>
      <c r="B1632" s="1666"/>
      <c r="C1632" s="688"/>
      <c r="D1632" s="1667"/>
      <c r="E1632" s="1671">
        <f>D87+F1632</f>
        <v>4</v>
      </c>
      <c r="F1632" s="1671">
        <f>F1617</f>
        <v>4</v>
      </c>
      <c r="G1632" s="1672">
        <f>'DRAWING CC'!GI76</f>
        <v>0</v>
      </c>
      <c r="H1632" s="1671">
        <f t="shared" ref="H1632:H1637" si="215">ROUND(D1632*E1632*F1632*G1632,2)</f>
        <v>0</v>
      </c>
      <c r="I1632" s="1671" t="s">
        <v>49</v>
      </c>
      <c r="J1632" s="1668"/>
      <c r="K1632" s="1668"/>
      <c r="L1632" s="1669"/>
    </row>
    <row r="1633" spans="1:12" s="692" customFormat="1" ht="16.5" hidden="1">
      <c r="A1633" s="1665"/>
      <c r="B1633" s="1666"/>
      <c r="C1633" s="688"/>
      <c r="D1633" s="1667"/>
      <c r="E1633" s="1671">
        <f>D90-F1633</f>
        <v>-4</v>
      </c>
      <c r="F1633" s="1671">
        <f>F1632</f>
        <v>4</v>
      </c>
      <c r="G1633" s="1672">
        <f>G1632</f>
        <v>0</v>
      </c>
      <c r="H1633" s="1671">
        <f t="shared" si="215"/>
        <v>0</v>
      </c>
      <c r="I1633" s="1671" t="s">
        <v>49</v>
      </c>
      <c r="J1633" s="1668"/>
      <c r="K1633" s="1668"/>
      <c r="L1633" s="1669"/>
    </row>
    <row r="1634" spans="1:12" s="692" customFormat="1" ht="16.5" hidden="1">
      <c r="A1634" s="1665"/>
      <c r="B1634" s="1666"/>
      <c r="C1634" s="688"/>
      <c r="D1634" s="1667"/>
      <c r="E1634" s="1671">
        <f>D91-F1634</f>
        <v>-4</v>
      </c>
      <c r="F1634" s="1671">
        <f>F1633</f>
        <v>4</v>
      </c>
      <c r="G1634" s="1672">
        <f>G1633</f>
        <v>0</v>
      </c>
      <c r="H1634" s="1671">
        <f t="shared" si="215"/>
        <v>0</v>
      </c>
      <c r="I1634" s="1671" t="s">
        <v>49</v>
      </c>
      <c r="J1634" s="1668"/>
      <c r="K1634" s="1668"/>
      <c r="L1634" s="1669"/>
    </row>
    <row r="1635" spans="1:12" s="692" customFormat="1" ht="16.5" hidden="1">
      <c r="A1635" s="1665"/>
      <c r="B1635" s="1666"/>
      <c r="C1635" s="688"/>
      <c r="D1635" s="1667"/>
      <c r="E1635" s="1671">
        <v>3.5</v>
      </c>
      <c r="F1635" s="1671">
        <v>4</v>
      </c>
      <c r="G1635" s="1672">
        <v>0.15</v>
      </c>
      <c r="H1635" s="1671">
        <f t="shared" si="215"/>
        <v>0</v>
      </c>
      <c r="I1635" s="1671" t="s">
        <v>49</v>
      </c>
      <c r="J1635" s="1668"/>
      <c r="K1635" s="1668"/>
      <c r="L1635" s="1669"/>
    </row>
    <row r="1636" spans="1:12" s="692" customFormat="1" ht="16.5" hidden="1">
      <c r="A1636" s="1665"/>
      <c r="B1636" s="1666"/>
      <c r="C1636" s="688"/>
      <c r="D1636" s="1667"/>
      <c r="E1636" s="1671">
        <v>3.5</v>
      </c>
      <c r="F1636" s="1671">
        <v>4</v>
      </c>
      <c r="G1636" s="1672">
        <v>0.15</v>
      </c>
      <c r="H1636" s="1671">
        <f t="shared" si="215"/>
        <v>0</v>
      </c>
      <c r="I1636" s="1671" t="s">
        <v>49</v>
      </c>
      <c r="J1636" s="1668"/>
      <c r="K1636" s="1668"/>
      <c r="L1636" s="1669"/>
    </row>
    <row r="1637" spans="1:12" s="692" customFormat="1" ht="16.5" hidden="1">
      <c r="A1637" s="1665"/>
      <c r="B1637" s="1666"/>
      <c r="C1637" s="688"/>
      <c r="D1637" s="1667"/>
      <c r="E1637" s="1671">
        <v>3.5</v>
      </c>
      <c r="F1637" s="1671">
        <v>4</v>
      </c>
      <c r="G1637" s="1672">
        <v>0.15</v>
      </c>
      <c r="H1637" s="1671">
        <f t="shared" si="215"/>
        <v>0</v>
      </c>
      <c r="I1637" s="1671" t="s">
        <v>49</v>
      </c>
      <c r="J1637" s="1668"/>
      <c r="K1637" s="1668"/>
      <c r="L1637" s="1669"/>
    </row>
    <row r="1638" spans="1:12" s="692" customFormat="1" ht="16.5" hidden="1">
      <c r="A1638" s="1665"/>
      <c r="B1638" s="1666"/>
      <c r="C1638" s="688"/>
      <c r="D1638" s="1667"/>
      <c r="E1638" s="1671"/>
      <c r="F1638" s="1671"/>
      <c r="G1638" s="1669" t="s">
        <v>928</v>
      </c>
      <c r="H1638" s="1673">
        <f>SUM(H1632:H1637)</f>
        <v>0</v>
      </c>
      <c r="I1638" s="1669" t="s">
        <v>49</v>
      </c>
      <c r="J1638" s="1669">
        <f>'Lead &amp; ANALYSIS'!L544</f>
        <v>16241.6</v>
      </c>
      <c r="K1638" s="1668" t="s">
        <v>1516</v>
      </c>
      <c r="L1638" s="1669">
        <f>ROUND(H1638*J1638,0)</f>
        <v>0</v>
      </c>
    </row>
    <row r="1639" spans="1:12" s="692" customFormat="1" ht="16.5" hidden="1">
      <c r="A1639" s="1665" t="s">
        <v>308</v>
      </c>
      <c r="B1639" s="1666" t="s">
        <v>1926</v>
      </c>
      <c r="C1639" s="688"/>
      <c r="D1639" s="1667"/>
      <c r="E1639" s="688"/>
      <c r="F1639" s="688"/>
      <c r="G1639" s="1674"/>
      <c r="H1639" s="688"/>
      <c r="I1639" s="1668"/>
      <c r="J1639" s="1668"/>
      <c r="K1639" s="1668"/>
      <c r="L1639" s="1669"/>
    </row>
    <row r="1640" spans="1:12" s="692" customFormat="1" ht="16.5" hidden="1">
      <c r="A1640" s="1665"/>
      <c r="B1640" s="1666"/>
      <c r="C1640" s="688"/>
      <c r="D1640" s="1667"/>
      <c r="E1640" s="1671">
        <v>3.5</v>
      </c>
      <c r="F1640" s="1671">
        <v>4</v>
      </c>
      <c r="G1640" s="1672">
        <v>0.15</v>
      </c>
      <c r="H1640" s="1671">
        <f t="shared" ref="H1640:H1645" si="216">ROUND(D1640*E1640*F1640*G1640,2)</f>
        <v>0</v>
      </c>
      <c r="I1640" s="1671" t="s">
        <v>49</v>
      </c>
      <c r="J1640" s="1668"/>
      <c r="K1640" s="1668"/>
      <c r="L1640" s="1669"/>
    </row>
    <row r="1641" spans="1:12" s="692" customFormat="1" ht="16.5" hidden="1">
      <c r="A1641" s="1665"/>
      <c r="B1641" s="1666"/>
      <c r="C1641" s="688"/>
      <c r="D1641" s="1667"/>
      <c r="E1641" s="1671">
        <v>3.5</v>
      </c>
      <c r="F1641" s="1671">
        <v>4</v>
      </c>
      <c r="G1641" s="1672">
        <v>0.15</v>
      </c>
      <c r="H1641" s="1671">
        <f t="shared" si="216"/>
        <v>0</v>
      </c>
      <c r="I1641" s="1671" t="s">
        <v>49</v>
      </c>
      <c r="J1641" s="1668"/>
      <c r="K1641" s="1668"/>
      <c r="L1641" s="1669"/>
    </row>
    <row r="1642" spans="1:12" s="692" customFormat="1" ht="16.5" hidden="1">
      <c r="A1642" s="1665"/>
      <c r="B1642" s="1666"/>
      <c r="C1642" s="688"/>
      <c r="D1642" s="1667"/>
      <c r="E1642" s="1671">
        <v>3.5</v>
      </c>
      <c r="F1642" s="1671">
        <v>4</v>
      </c>
      <c r="G1642" s="1672">
        <v>0.15</v>
      </c>
      <c r="H1642" s="1671">
        <f t="shared" si="216"/>
        <v>0</v>
      </c>
      <c r="I1642" s="1671" t="s">
        <v>49</v>
      </c>
      <c r="J1642" s="1668"/>
      <c r="K1642" s="1668"/>
      <c r="L1642" s="1669"/>
    </row>
    <row r="1643" spans="1:12" s="692" customFormat="1" ht="16.5" hidden="1">
      <c r="A1643" s="1665"/>
      <c r="B1643" s="1666"/>
      <c r="C1643" s="688"/>
      <c r="D1643" s="1667"/>
      <c r="E1643" s="1671">
        <v>3.5</v>
      </c>
      <c r="F1643" s="1671">
        <v>4</v>
      </c>
      <c r="G1643" s="1672">
        <v>0.15</v>
      </c>
      <c r="H1643" s="1671">
        <f t="shared" si="216"/>
        <v>0</v>
      </c>
      <c r="I1643" s="1671" t="s">
        <v>49</v>
      </c>
      <c r="J1643" s="1668"/>
      <c r="K1643" s="1668"/>
      <c r="L1643" s="1669"/>
    </row>
    <row r="1644" spans="1:12" s="692" customFormat="1" ht="16.5" hidden="1">
      <c r="A1644" s="1665"/>
      <c r="B1644" s="1666"/>
      <c r="C1644" s="688"/>
      <c r="D1644" s="1667"/>
      <c r="E1644" s="1671">
        <v>3.5</v>
      </c>
      <c r="F1644" s="1671">
        <v>4</v>
      </c>
      <c r="G1644" s="1672">
        <v>0.15</v>
      </c>
      <c r="H1644" s="1671">
        <f t="shared" si="216"/>
        <v>0</v>
      </c>
      <c r="I1644" s="1671" t="s">
        <v>49</v>
      </c>
      <c r="J1644" s="1668"/>
      <c r="K1644" s="1668"/>
      <c r="L1644" s="1669"/>
    </row>
    <row r="1645" spans="1:12" s="692" customFormat="1" ht="16.5" hidden="1">
      <c r="A1645" s="1665"/>
      <c r="B1645" s="1666"/>
      <c r="C1645" s="688"/>
      <c r="D1645" s="1667"/>
      <c r="E1645" s="1671">
        <v>3.5</v>
      </c>
      <c r="F1645" s="1671">
        <v>4</v>
      </c>
      <c r="G1645" s="1672">
        <v>0.15</v>
      </c>
      <c r="H1645" s="1671">
        <f t="shared" si="216"/>
        <v>0</v>
      </c>
      <c r="I1645" s="1671" t="s">
        <v>49</v>
      </c>
      <c r="J1645" s="1668"/>
      <c r="K1645" s="1668"/>
      <c r="L1645" s="1669"/>
    </row>
    <row r="1646" spans="1:12" s="692" customFormat="1" ht="16.5" hidden="1">
      <c r="A1646" s="1665"/>
      <c r="B1646" s="1666"/>
      <c r="C1646" s="688"/>
      <c r="D1646" s="1667"/>
      <c r="E1646" s="1671"/>
      <c r="F1646" s="1671"/>
      <c r="G1646" s="1669" t="s">
        <v>928</v>
      </c>
      <c r="H1646" s="1673">
        <f>SUM(H1640:H1645)</f>
        <v>0</v>
      </c>
      <c r="I1646" s="1669" t="s">
        <v>49</v>
      </c>
      <c r="J1646" s="1668"/>
      <c r="K1646" s="1668"/>
      <c r="L1646" s="1669"/>
    </row>
    <row r="1647" spans="1:12" s="692" customFormat="1" ht="16.5" hidden="1">
      <c r="A1647" s="1665"/>
      <c r="B1647" s="1666"/>
      <c r="C1647" s="688"/>
      <c r="D1647" s="1667"/>
      <c r="E1647" s="1671">
        <v>3.5</v>
      </c>
      <c r="F1647" s="1671">
        <v>4</v>
      </c>
      <c r="G1647" s="1672"/>
      <c r="H1647" s="1671">
        <f>ROUND(D1647*E1647*F1647,2)</f>
        <v>0</v>
      </c>
      <c r="I1647" s="1671" t="s">
        <v>92</v>
      </c>
      <c r="J1647" s="1668"/>
      <c r="K1647" s="1668"/>
      <c r="L1647" s="1669"/>
    </row>
    <row r="1648" spans="1:12" s="692" customFormat="1" ht="16.5" hidden="1">
      <c r="A1648" s="1665"/>
      <c r="B1648" s="1666"/>
      <c r="C1648" s="688"/>
      <c r="D1648" s="1667"/>
      <c r="E1648" s="1671">
        <v>3.5</v>
      </c>
      <c r="F1648" s="1671">
        <v>4</v>
      </c>
      <c r="G1648" s="1672"/>
      <c r="H1648" s="1671">
        <f t="shared" ref="H1648:H1652" si="217">ROUND(D1648*E1648*F1648,2)</f>
        <v>0</v>
      </c>
      <c r="I1648" s="1671" t="s">
        <v>92</v>
      </c>
      <c r="J1648" s="1668"/>
      <c r="K1648" s="1668"/>
      <c r="L1648" s="1669"/>
    </row>
    <row r="1649" spans="1:12" s="692" customFormat="1" ht="16.5" hidden="1">
      <c r="A1649" s="1665"/>
      <c r="B1649" s="1666"/>
      <c r="C1649" s="688"/>
      <c r="D1649" s="1667"/>
      <c r="E1649" s="1671">
        <v>3.5</v>
      </c>
      <c r="F1649" s="1671">
        <v>4</v>
      </c>
      <c r="G1649" s="1672"/>
      <c r="H1649" s="1671">
        <f t="shared" si="217"/>
        <v>0</v>
      </c>
      <c r="I1649" s="1671" t="s">
        <v>92</v>
      </c>
      <c r="J1649" s="1668"/>
      <c r="K1649" s="1668"/>
      <c r="L1649" s="1669"/>
    </row>
    <row r="1650" spans="1:12" s="692" customFormat="1" ht="16.5" hidden="1">
      <c r="A1650" s="1665"/>
      <c r="B1650" s="1666"/>
      <c r="C1650" s="688"/>
      <c r="D1650" s="1667"/>
      <c r="E1650" s="1671">
        <v>3.5</v>
      </c>
      <c r="F1650" s="1671">
        <v>4</v>
      </c>
      <c r="G1650" s="1672"/>
      <c r="H1650" s="1671">
        <f t="shared" si="217"/>
        <v>0</v>
      </c>
      <c r="I1650" s="1671" t="s">
        <v>92</v>
      </c>
      <c r="J1650" s="1668"/>
      <c r="K1650" s="1668"/>
      <c r="L1650" s="1669"/>
    </row>
    <row r="1651" spans="1:12" s="692" customFormat="1" ht="16.5" hidden="1">
      <c r="A1651" s="1665"/>
      <c r="B1651" s="1666"/>
      <c r="C1651" s="688"/>
      <c r="D1651" s="1667"/>
      <c r="E1651" s="1671">
        <v>3.5</v>
      </c>
      <c r="F1651" s="1671">
        <v>4</v>
      </c>
      <c r="G1651" s="1672"/>
      <c r="H1651" s="1671">
        <f t="shared" si="217"/>
        <v>0</v>
      </c>
      <c r="I1651" s="1671" t="s">
        <v>92</v>
      </c>
      <c r="J1651" s="1668"/>
      <c r="K1651" s="1668"/>
      <c r="L1651" s="1669"/>
    </row>
    <row r="1652" spans="1:12" s="692" customFormat="1" ht="16.5" hidden="1">
      <c r="A1652" s="1665"/>
      <c r="B1652" s="1666"/>
      <c r="C1652" s="688"/>
      <c r="D1652" s="1667"/>
      <c r="E1652" s="1671">
        <v>3.5</v>
      </c>
      <c r="F1652" s="1671">
        <v>4</v>
      </c>
      <c r="G1652" s="1672"/>
      <c r="H1652" s="1671">
        <f t="shared" si="217"/>
        <v>0</v>
      </c>
      <c r="I1652" s="1671" t="s">
        <v>92</v>
      </c>
      <c r="J1652" s="1668"/>
      <c r="K1652" s="1668"/>
      <c r="L1652" s="1669"/>
    </row>
    <row r="1653" spans="1:12" s="692" customFormat="1" ht="16.5" hidden="1">
      <c r="A1653" s="1665"/>
      <c r="B1653" s="1666"/>
      <c r="C1653" s="688"/>
      <c r="D1653" s="1667"/>
      <c r="E1653" s="1671"/>
      <c r="F1653" s="1671"/>
      <c r="G1653" s="1669" t="s">
        <v>928</v>
      </c>
      <c r="H1653" s="1673">
        <f>SUM(H1647:H1652)</f>
        <v>0</v>
      </c>
      <c r="I1653" s="1671" t="s">
        <v>92</v>
      </c>
      <c r="J1653" s="1669">
        <f>'Lead &amp; ANALYSIS'!L609</f>
        <v>2419.3000000000002</v>
      </c>
      <c r="K1653" s="1668" t="s">
        <v>1514</v>
      </c>
      <c r="L1653" s="1669">
        <f>ROUND(H1653*J1653,0)</f>
        <v>0</v>
      </c>
    </row>
    <row r="1654" spans="1:12" s="692" customFormat="1" ht="16.5" hidden="1">
      <c r="A1654" s="1665" t="s">
        <v>352</v>
      </c>
      <c r="B1654" s="1666" t="s">
        <v>3416</v>
      </c>
      <c r="C1654" s="688"/>
      <c r="D1654" s="1667"/>
      <c r="E1654" s="688"/>
      <c r="F1654" s="688"/>
      <c r="G1654" s="1674"/>
      <c r="H1654" s="688"/>
      <c r="I1654" s="1668"/>
      <c r="J1654" s="1668"/>
      <c r="K1654" s="1668"/>
      <c r="L1654" s="1669"/>
    </row>
    <row r="1655" spans="1:12" s="692" customFormat="1" ht="16.5" hidden="1">
      <c r="A1655" s="1665"/>
      <c r="B1655" s="1666"/>
      <c r="C1655" s="688"/>
      <c r="D1655" s="1667"/>
      <c r="E1655" s="1671">
        <v>3.5</v>
      </c>
      <c r="F1655" s="1671">
        <v>4</v>
      </c>
      <c r="G1655" s="1672">
        <v>0.15</v>
      </c>
      <c r="H1655" s="1671">
        <f t="shared" ref="H1655:H1660" si="218">ROUND(D1655*E1655*F1655*G1655,2)</f>
        <v>0</v>
      </c>
      <c r="I1655" s="1671" t="s">
        <v>49</v>
      </c>
      <c r="J1655" s="1668"/>
      <c r="K1655" s="1668"/>
      <c r="L1655" s="1669"/>
    </row>
    <row r="1656" spans="1:12" s="692" customFormat="1" ht="16.5" hidden="1">
      <c r="A1656" s="1665"/>
      <c r="B1656" s="1666"/>
      <c r="C1656" s="688"/>
      <c r="D1656" s="1667"/>
      <c r="E1656" s="1671">
        <v>3.5</v>
      </c>
      <c r="F1656" s="1671">
        <v>4</v>
      </c>
      <c r="G1656" s="1672">
        <v>0.15</v>
      </c>
      <c r="H1656" s="1671">
        <f t="shared" si="218"/>
        <v>0</v>
      </c>
      <c r="I1656" s="1671" t="s">
        <v>49</v>
      </c>
      <c r="J1656" s="1668"/>
      <c r="K1656" s="1668"/>
      <c r="L1656" s="1669"/>
    </row>
    <row r="1657" spans="1:12" s="692" customFormat="1" ht="16.5" hidden="1">
      <c r="A1657" s="1665"/>
      <c r="B1657" s="1666"/>
      <c r="C1657" s="688"/>
      <c r="D1657" s="1667"/>
      <c r="E1657" s="1671">
        <v>3.5</v>
      </c>
      <c r="F1657" s="1671">
        <v>4</v>
      </c>
      <c r="G1657" s="1672">
        <v>0.15</v>
      </c>
      <c r="H1657" s="1671">
        <f t="shared" si="218"/>
        <v>0</v>
      </c>
      <c r="I1657" s="1671" t="s">
        <v>49</v>
      </c>
      <c r="J1657" s="1668"/>
      <c r="K1657" s="1668"/>
      <c r="L1657" s="1669"/>
    </row>
    <row r="1658" spans="1:12" s="692" customFormat="1" ht="16.5" hidden="1">
      <c r="A1658" s="1665"/>
      <c r="B1658" s="1666"/>
      <c r="C1658" s="688"/>
      <c r="D1658" s="1667"/>
      <c r="E1658" s="1671">
        <v>3.5</v>
      </c>
      <c r="F1658" s="1671">
        <v>4</v>
      </c>
      <c r="G1658" s="1672">
        <v>0.15</v>
      </c>
      <c r="H1658" s="1671">
        <f t="shared" si="218"/>
        <v>0</v>
      </c>
      <c r="I1658" s="1671" t="s">
        <v>49</v>
      </c>
      <c r="J1658" s="1668"/>
      <c r="K1658" s="1668"/>
      <c r="L1658" s="1669"/>
    </row>
    <row r="1659" spans="1:12" s="692" customFormat="1" ht="16.5" hidden="1">
      <c r="A1659" s="1665"/>
      <c r="B1659" s="1666"/>
      <c r="C1659" s="688"/>
      <c r="D1659" s="1667"/>
      <c r="E1659" s="1671">
        <v>3.5</v>
      </c>
      <c r="F1659" s="1671">
        <v>4</v>
      </c>
      <c r="G1659" s="1672">
        <v>0.15</v>
      </c>
      <c r="H1659" s="1671">
        <f t="shared" si="218"/>
        <v>0</v>
      </c>
      <c r="I1659" s="1671" t="s">
        <v>49</v>
      </c>
      <c r="J1659" s="1668"/>
      <c r="K1659" s="1668"/>
      <c r="L1659" s="1669"/>
    </row>
    <row r="1660" spans="1:12" s="692" customFormat="1" ht="16.5" hidden="1">
      <c r="A1660" s="1665"/>
      <c r="B1660" s="1666"/>
      <c r="C1660" s="688"/>
      <c r="D1660" s="1667"/>
      <c r="E1660" s="1671">
        <v>3.5</v>
      </c>
      <c r="F1660" s="1671">
        <v>4</v>
      </c>
      <c r="G1660" s="1672">
        <v>0.15</v>
      </c>
      <c r="H1660" s="1671">
        <f t="shared" si="218"/>
        <v>0</v>
      </c>
      <c r="I1660" s="1671" t="s">
        <v>49</v>
      </c>
      <c r="J1660" s="1668"/>
      <c r="K1660" s="1668"/>
      <c r="L1660" s="1669"/>
    </row>
    <row r="1661" spans="1:12" s="692" customFormat="1" ht="16.5" hidden="1">
      <c r="A1661" s="1665"/>
      <c r="B1661" s="1666"/>
      <c r="C1661" s="688"/>
      <c r="D1661" s="1667"/>
      <c r="E1661" s="1671"/>
      <c r="F1661" s="1671"/>
      <c r="G1661" s="1669" t="s">
        <v>928</v>
      </c>
      <c r="H1661" s="1673">
        <f>SUM(H1655:H1660)</f>
        <v>0</v>
      </c>
      <c r="I1661" s="1669" t="s">
        <v>49</v>
      </c>
      <c r="J1661" s="1668"/>
      <c r="K1661" s="1668"/>
      <c r="L1661" s="1669"/>
    </row>
    <row r="1662" spans="1:12" s="692" customFormat="1" ht="16.5" hidden="1">
      <c r="A1662" s="1665"/>
      <c r="B1662" s="1666"/>
      <c r="C1662" s="688"/>
      <c r="D1662" s="1667"/>
      <c r="E1662" s="1671">
        <v>3.5</v>
      </c>
      <c r="F1662" s="1671">
        <v>4</v>
      </c>
      <c r="G1662" s="1672">
        <v>0.15</v>
      </c>
      <c r="H1662" s="1671">
        <f t="shared" ref="H1662:H1667" si="219">ROUND(D1662*E1662*F1662*G1662,2)</f>
        <v>0</v>
      </c>
      <c r="I1662" s="1671" t="s">
        <v>49</v>
      </c>
      <c r="J1662" s="1668"/>
      <c r="K1662" s="1668"/>
      <c r="L1662" s="1669"/>
    </row>
    <row r="1663" spans="1:12" s="692" customFormat="1" ht="16.5" hidden="1">
      <c r="A1663" s="1665"/>
      <c r="B1663" s="1666"/>
      <c r="C1663" s="688"/>
      <c r="D1663" s="1667"/>
      <c r="E1663" s="1671">
        <v>3.5</v>
      </c>
      <c r="F1663" s="1671">
        <v>4</v>
      </c>
      <c r="G1663" s="1672">
        <v>0.15</v>
      </c>
      <c r="H1663" s="1671">
        <f t="shared" si="219"/>
        <v>0</v>
      </c>
      <c r="I1663" s="1671" t="s">
        <v>49</v>
      </c>
      <c r="J1663" s="1668"/>
      <c r="K1663" s="1668"/>
      <c r="L1663" s="1669"/>
    </row>
    <row r="1664" spans="1:12" s="692" customFormat="1" ht="16.5" hidden="1">
      <c r="A1664" s="1665"/>
      <c r="B1664" s="1666"/>
      <c r="C1664" s="688"/>
      <c r="D1664" s="1667"/>
      <c r="E1664" s="1671">
        <v>3.5</v>
      </c>
      <c r="F1664" s="1671">
        <v>4</v>
      </c>
      <c r="G1664" s="1672">
        <v>0.15</v>
      </c>
      <c r="H1664" s="1671">
        <f t="shared" si="219"/>
        <v>0</v>
      </c>
      <c r="I1664" s="1671" t="s">
        <v>49</v>
      </c>
      <c r="J1664" s="1668"/>
      <c r="K1664" s="1668"/>
      <c r="L1664" s="1669"/>
    </row>
    <row r="1665" spans="1:12" s="692" customFormat="1" ht="16.5" hidden="1">
      <c r="A1665" s="1665"/>
      <c r="B1665" s="1666"/>
      <c r="C1665" s="688"/>
      <c r="D1665" s="1667"/>
      <c r="E1665" s="1671">
        <v>3.5</v>
      </c>
      <c r="F1665" s="1671">
        <v>4</v>
      </c>
      <c r="G1665" s="1672">
        <v>0.15</v>
      </c>
      <c r="H1665" s="1671">
        <f t="shared" si="219"/>
        <v>0</v>
      </c>
      <c r="I1665" s="1671" t="s">
        <v>49</v>
      </c>
      <c r="J1665" s="1668"/>
      <c r="K1665" s="1668"/>
      <c r="L1665" s="1669"/>
    </row>
    <row r="1666" spans="1:12" s="692" customFormat="1" ht="16.5" hidden="1">
      <c r="A1666" s="1665"/>
      <c r="B1666" s="1666"/>
      <c r="C1666" s="688"/>
      <c r="D1666" s="1667"/>
      <c r="E1666" s="1671">
        <v>3.5</v>
      </c>
      <c r="F1666" s="1671">
        <v>4</v>
      </c>
      <c r="G1666" s="1672">
        <v>0.15</v>
      </c>
      <c r="H1666" s="1671">
        <f t="shared" si="219"/>
        <v>0</v>
      </c>
      <c r="I1666" s="1671" t="s">
        <v>49</v>
      </c>
      <c r="J1666" s="1668"/>
      <c r="K1666" s="1668"/>
      <c r="L1666" s="1669"/>
    </row>
    <row r="1667" spans="1:12" s="692" customFormat="1" ht="16.5" hidden="1">
      <c r="A1667" s="1665"/>
      <c r="B1667" s="1666"/>
      <c r="C1667" s="688"/>
      <c r="D1667" s="1667"/>
      <c r="E1667" s="1671">
        <v>3.5</v>
      </c>
      <c r="F1667" s="1671">
        <v>4</v>
      </c>
      <c r="G1667" s="1672">
        <v>0.15</v>
      </c>
      <c r="H1667" s="1671">
        <f t="shared" si="219"/>
        <v>0</v>
      </c>
      <c r="I1667" s="1671" t="s">
        <v>49</v>
      </c>
      <c r="J1667" s="1668"/>
      <c r="K1667" s="1668"/>
      <c r="L1667" s="1669"/>
    </row>
    <row r="1668" spans="1:12" s="692" customFormat="1" ht="16.5" hidden="1">
      <c r="A1668" s="1665"/>
      <c r="B1668" s="1666"/>
      <c r="C1668" s="688"/>
      <c r="D1668" s="1667"/>
      <c r="E1668" s="1671"/>
      <c r="F1668" s="1671"/>
      <c r="G1668" s="1669" t="s">
        <v>928</v>
      </c>
      <c r="H1668" s="1673">
        <f>SUM(H1662:H1667)</f>
        <v>0</v>
      </c>
      <c r="I1668" s="1669" t="s">
        <v>49</v>
      </c>
      <c r="J1668" s="1669">
        <f>'Lead &amp; ANALYSIS'!L531</f>
        <v>15389.6</v>
      </c>
      <c r="K1668" s="1668" t="s">
        <v>1516</v>
      </c>
      <c r="L1668" s="1669">
        <f>ROUND(H1668*J1668,0)</f>
        <v>0</v>
      </c>
    </row>
    <row r="1669" spans="1:12" s="692" customFormat="1" ht="16.5" hidden="1">
      <c r="A1669" s="1665" t="s">
        <v>2977</v>
      </c>
      <c r="B1669" s="1666" t="s">
        <v>1929</v>
      </c>
      <c r="C1669" s="688"/>
      <c r="D1669" s="1667"/>
      <c r="E1669" s="688"/>
      <c r="F1669" s="688"/>
      <c r="G1669" s="1674"/>
      <c r="H1669" s="688"/>
      <c r="I1669" s="1668"/>
      <c r="J1669" s="1668"/>
      <c r="K1669" s="1668"/>
      <c r="L1669" s="1669"/>
    </row>
    <row r="1670" spans="1:12" s="692" customFormat="1" ht="16.5" hidden="1">
      <c r="A1670" s="1665"/>
      <c r="B1670" s="1666"/>
      <c r="C1670" s="688"/>
      <c r="D1670" s="1667"/>
      <c r="E1670" s="1671">
        <v>3.5</v>
      </c>
      <c r="F1670" s="1671">
        <v>4</v>
      </c>
      <c r="G1670" s="1672">
        <v>0.15</v>
      </c>
      <c r="H1670" s="1671">
        <f t="shared" ref="H1670:H1675" si="220">ROUND(D1670*E1670*F1670*G1670,2)</f>
        <v>0</v>
      </c>
      <c r="I1670" s="1671" t="s">
        <v>49</v>
      </c>
      <c r="J1670" s="1668"/>
      <c r="K1670" s="1668"/>
      <c r="L1670" s="1669"/>
    </row>
    <row r="1671" spans="1:12" s="692" customFormat="1" ht="16.5" hidden="1">
      <c r="A1671" s="1665"/>
      <c r="B1671" s="1666"/>
      <c r="C1671" s="688"/>
      <c r="D1671" s="1667"/>
      <c r="E1671" s="1671">
        <v>3.5</v>
      </c>
      <c r="F1671" s="1671">
        <v>4</v>
      </c>
      <c r="G1671" s="1672">
        <v>0.15</v>
      </c>
      <c r="H1671" s="1671">
        <f t="shared" si="220"/>
        <v>0</v>
      </c>
      <c r="I1671" s="1671" t="s">
        <v>49</v>
      </c>
      <c r="J1671" s="1668"/>
      <c r="K1671" s="1668"/>
      <c r="L1671" s="1669"/>
    </row>
    <row r="1672" spans="1:12" s="692" customFormat="1" ht="16.5" hidden="1">
      <c r="A1672" s="1665"/>
      <c r="B1672" s="1666"/>
      <c r="C1672" s="688"/>
      <c r="D1672" s="1667"/>
      <c r="E1672" s="1671">
        <v>3.5</v>
      </c>
      <c r="F1672" s="1671">
        <v>4</v>
      </c>
      <c r="G1672" s="1672">
        <v>0.15</v>
      </c>
      <c r="H1672" s="1671">
        <f t="shared" si="220"/>
        <v>0</v>
      </c>
      <c r="I1672" s="1671" t="s">
        <v>49</v>
      </c>
      <c r="J1672" s="1668"/>
      <c r="K1672" s="1668"/>
      <c r="L1672" s="1669"/>
    </row>
    <row r="1673" spans="1:12" s="692" customFormat="1" ht="16.5" hidden="1">
      <c r="A1673" s="1665"/>
      <c r="B1673" s="1666"/>
      <c r="C1673" s="688"/>
      <c r="D1673" s="1667"/>
      <c r="E1673" s="1671">
        <v>3.5</v>
      </c>
      <c r="F1673" s="1671">
        <v>4</v>
      </c>
      <c r="G1673" s="1672">
        <v>0.15</v>
      </c>
      <c r="H1673" s="1671">
        <f t="shared" si="220"/>
        <v>0</v>
      </c>
      <c r="I1673" s="1671" t="s">
        <v>49</v>
      </c>
      <c r="J1673" s="1668"/>
      <c r="K1673" s="1668"/>
      <c r="L1673" s="1669"/>
    </row>
    <row r="1674" spans="1:12" s="692" customFormat="1" ht="16.5" hidden="1">
      <c r="A1674" s="1665"/>
      <c r="B1674" s="1666"/>
      <c r="C1674" s="688"/>
      <c r="D1674" s="1667"/>
      <c r="E1674" s="1671">
        <v>3.5</v>
      </c>
      <c r="F1674" s="1671">
        <v>4</v>
      </c>
      <c r="G1674" s="1672">
        <v>0.15</v>
      </c>
      <c r="H1674" s="1671">
        <f t="shared" si="220"/>
        <v>0</v>
      </c>
      <c r="I1674" s="1671" t="s">
        <v>49</v>
      </c>
      <c r="J1674" s="1668"/>
      <c r="K1674" s="1668"/>
      <c r="L1674" s="1669"/>
    </row>
    <row r="1675" spans="1:12" s="692" customFormat="1" ht="16.5" hidden="1">
      <c r="A1675" s="1665"/>
      <c r="B1675" s="1666"/>
      <c r="C1675" s="688"/>
      <c r="D1675" s="1667"/>
      <c r="E1675" s="1671">
        <v>3.5</v>
      </c>
      <c r="F1675" s="1671">
        <v>4</v>
      </c>
      <c r="G1675" s="1672">
        <v>0.15</v>
      </c>
      <c r="H1675" s="1671">
        <f t="shared" si="220"/>
        <v>0</v>
      </c>
      <c r="I1675" s="1671" t="s">
        <v>49</v>
      </c>
      <c r="J1675" s="1668"/>
      <c r="K1675" s="1668"/>
      <c r="L1675" s="1669"/>
    </row>
    <row r="1676" spans="1:12" s="692" customFormat="1" ht="16.5" hidden="1">
      <c r="A1676" s="1665"/>
      <c r="B1676" s="1666"/>
      <c r="C1676" s="688"/>
      <c r="D1676" s="1667"/>
      <c r="E1676" s="1671"/>
      <c r="F1676" s="1671"/>
      <c r="G1676" s="1669" t="s">
        <v>928</v>
      </c>
      <c r="H1676" s="1673">
        <f>SUM(H1670:H1675)</f>
        <v>0</v>
      </c>
      <c r="I1676" s="1669" t="s">
        <v>49</v>
      </c>
      <c r="J1676" s="1668"/>
      <c r="K1676" s="1668"/>
      <c r="L1676" s="1669"/>
    </row>
    <row r="1677" spans="1:12" s="692" customFormat="1" ht="16.5" hidden="1">
      <c r="A1677" s="1665"/>
      <c r="B1677" s="1666"/>
      <c r="C1677" s="688"/>
      <c r="D1677" s="1667"/>
      <c r="E1677" s="1671">
        <v>3.5</v>
      </c>
      <c r="F1677" s="1671">
        <v>4</v>
      </c>
      <c r="G1677" s="1672"/>
      <c r="H1677" s="1671">
        <f>ROUND(D1677*E1677*F1677,2)</f>
        <v>0</v>
      </c>
      <c r="I1677" s="1671" t="s">
        <v>92</v>
      </c>
      <c r="J1677" s="1668"/>
      <c r="K1677" s="1668"/>
      <c r="L1677" s="1669"/>
    </row>
    <row r="1678" spans="1:12" s="692" customFormat="1" ht="16.5" hidden="1">
      <c r="A1678" s="1665"/>
      <c r="B1678" s="1666"/>
      <c r="C1678" s="688"/>
      <c r="D1678" s="1667"/>
      <c r="E1678" s="1671">
        <v>3.5</v>
      </c>
      <c r="F1678" s="1671">
        <v>4</v>
      </c>
      <c r="G1678" s="1672"/>
      <c r="H1678" s="1671">
        <f t="shared" ref="H1678:H1682" si="221">ROUND(D1678*E1678*F1678,2)</f>
        <v>0</v>
      </c>
      <c r="I1678" s="1671" t="s">
        <v>92</v>
      </c>
      <c r="J1678" s="1668"/>
      <c r="K1678" s="1668"/>
      <c r="L1678" s="1669"/>
    </row>
    <row r="1679" spans="1:12" s="692" customFormat="1" ht="16.5" hidden="1">
      <c r="A1679" s="1665"/>
      <c r="B1679" s="1666"/>
      <c r="C1679" s="688"/>
      <c r="D1679" s="1667"/>
      <c r="E1679" s="1671">
        <v>3.5</v>
      </c>
      <c r="F1679" s="1671">
        <v>4</v>
      </c>
      <c r="G1679" s="1672"/>
      <c r="H1679" s="1671">
        <f t="shared" si="221"/>
        <v>0</v>
      </c>
      <c r="I1679" s="1671" t="s">
        <v>92</v>
      </c>
      <c r="J1679" s="1668"/>
      <c r="K1679" s="1668"/>
      <c r="L1679" s="1669"/>
    </row>
    <row r="1680" spans="1:12" s="692" customFormat="1" ht="16.5" hidden="1">
      <c r="A1680" s="1665"/>
      <c r="B1680" s="1666"/>
      <c r="C1680" s="688"/>
      <c r="D1680" s="1667"/>
      <c r="E1680" s="1671">
        <v>3.5</v>
      </c>
      <c r="F1680" s="1671">
        <v>4</v>
      </c>
      <c r="G1680" s="1672"/>
      <c r="H1680" s="1671">
        <f t="shared" si="221"/>
        <v>0</v>
      </c>
      <c r="I1680" s="1671" t="s">
        <v>92</v>
      </c>
      <c r="J1680" s="1668"/>
      <c r="K1680" s="1668"/>
      <c r="L1680" s="1669"/>
    </row>
    <row r="1681" spans="1:12" s="692" customFormat="1" ht="16.5" hidden="1">
      <c r="A1681" s="1665"/>
      <c r="B1681" s="1666"/>
      <c r="C1681" s="688"/>
      <c r="D1681" s="1667"/>
      <c r="E1681" s="1671">
        <v>3.5</v>
      </c>
      <c r="F1681" s="1671">
        <v>4</v>
      </c>
      <c r="G1681" s="1672"/>
      <c r="H1681" s="1671">
        <f t="shared" si="221"/>
        <v>0</v>
      </c>
      <c r="I1681" s="1671" t="s">
        <v>92</v>
      </c>
      <c r="J1681" s="1668"/>
      <c r="K1681" s="1668"/>
      <c r="L1681" s="1669"/>
    </row>
    <row r="1682" spans="1:12" s="692" customFormat="1" ht="16.5" hidden="1">
      <c r="A1682" s="1665"/>
      <c r="B1682" s="1666"/>
      <c r="C1682" s="688"/>
      <c r="D1682" s="1667"/>
      <c r="E1682" s="1671">
        <v>3.5</v>
      </c>
      <c r="F1682" s="1671">
        <v>4</v>
      </c>
      <c r="G1682" s="1672"/>
      <c r="H1682" s="1671">
        <f t="shared" si="221"/>
        <v>0</v>
      </c>
      <c r="I1682" s="1671" t="s">
        <v>92</v>
      </c>
      <c r="J1682" s="1668"/>
      <c r="K1682" s="1668"/>
      <c r="L1682" s="1669"/>
    </row>
    <row r="1683" spans="1:12" s="692" customFormat="1" ht="16.5" hidden="1">
      <c r="A1683" s="1665"/>
      <c r="B1683" s="1666"/>
      <c r="C1683" s="688"/>
      <c r="D1683" s="1667"/>
      <c r="E1683" s="1671"/>
      <c r="F1683" s="1671"/>
      <c r="G1683" s="1669" t="s">
        <v>928</v>
      </c>
      <c r="H1683" s="1673">
        <f>SUM(H1677:H1682)</f>
        <v>0</v>
      </c>
      <c r="I1683" s="1671" t="s">
        <v>92</v>
      </c>
      <c r="J1683" s="1669">
        <f>'Lead &amp; ANALYSIS'!L596</f>
        <v>1215.5</v>
      </c>
      <c r="K1683" s="1668" t="s">
        <v>1514</v>
      </c>
      <c r="L1683" s="1669">
        <f>ROUND(H1683*J1683,0)</f>
        <v>0</v>
      </c>
    </row>
    <row r="1684" spans="1:12" s="692" customFormat="1" ht="16.5" hidden="1">
      <c r="A1684" s="1665" t="s">
        <v>2072</v>
      </c>
      <c r="B1684" s="1666" t="s">
        <v>479</v>
      </c>
      <c r="C1684" s="688"/>
      <c r="D1684" s="1667"/>
      <c r="E1684" s="688"/>
      <c r="F1684" s="688"/>
      <c r="G1684" s="1674"/>
      <c r="H1684" s="688"/>
      <c r="I1684" s="1668"/>
      <c r="J1684" s="1668"/>
      <c r="K1684" s="1668"/>
      <c r="L1684" s="1669"/>
    </row>
    <row r="1685" spans="1:12" s="692" customFormat="1" ht="16.5" hidden="1">
      <c r="A1685" s="1665"/>
      <c r="B1685" s="1666"/>
      <c r="C1685" s="688"/>
      <c r="D1685" s="1667"/>
      <c r="E1685" s="1671">
        <v>3.5</v>
      </c>
      <c r="F1685" s="1671">
        <v>4</v>
      </c>
      <c r="G1685" s="1672">
        <v>0.15</v>
      </c>
      <c r="H1685" s="1671">
        <f t="shared" ref="H1685:H1690" si="222">ROUND(D1685*E1685*F1685*G1685,2)</f>
        <v>0</v>
      </c>
      <c r="I1685" s="1671" t="s">
        <v>49</v>
      </c>
      <c r="J1685" s="1668"/>
      <c r="K1685" s="1668"/>
      <c r="L1685" s="1669"/>
    </row>
    <row r="1686" spans="1:12" s="692" customFormat="1" ht="16.5" hidden="1">
      <c r="A1686" s="1665"/>
      <c r="B1686" s="1666"/>
      <c r="C1686" s="688"/>
      <c r="D1686" s="1667"/>
      <c r="E1686" s="1671">
        <v>3.5</v>
      </c>
      <c r="F1686" s="1671">
        <v>4</v>
      </c>
      <c r="G1686" s="1672">
        <v>0.15</v>
      </c>
      <c r="H1686" s="1671">
        <f t="shared" si="222"/>
        <v>0</v>
      </c>
      <c r="I1686" s="1671" t="s">
        <v>49</v>
      </c>
      <c r="J1686" s="1668"/>
      <c r="K1686" s="1668"/>
      <c r="L1686" s="1669"/>
    </row>
    <row r="1687" spans="1:12" s="692" customFormat="1" ht="16.5" hidden="1">
      <c r="A1687" s="1665"/>
      <c r="B1687" s="1666"/>
      <c r="C1687" s="688"/>
      <c r="D1687" s="1667"/>
      <c r="E1687" s="1671">
        <v>3.5</v>
      </c>
      <c r="F1687" s="1671">
        <v>4</v>
      </c>
      <c r="G1687" s="1672">
        <v>0.15</v>
      </c>
      <c r="H1687" s="1671">
        <f t="shared" si="222"/>
        <v>0</v>
      </c>
      <c r="I1687" s="1671" t="s">
        <v>49</v>
      </c>
      <c r="J1687" s="1668"/>
      <c r="K1687" s="1668"/>
      <c r="L1687" s="1669"/>
    </row>
    <row r="1688" spans="1:12" s="692" customFormat="1" ht="16.5" hidden="1">
      <c r="A1688" s="1665"/>
      <c r="B1688" s="1666"/>
      <c r="C1688" s="688"/>
      <c r="D1688" s="1667"/>
      <c r="E1688" s="1671">
        <v>3.5</v>
      </c>
      <c r="F1688" s="1671">
        <v>4</v>
      </c>
      <c r="G1688" s="1672">
        <v>0.15</v>
      </c>
      <c r="H1688" s="1671">
        <f t="shared" si="222"/>
        <v>0</v>
      </c>
      <c r="I1688" s="1671" t="s">
        <v>49</v>
      </c>
      <c r="J1688" s="1668"/>
      <c r="K1688" s="1668"/>
      <c r="L1688" s="1669"/>
    </row>
    <row r="1689" spans="1:12" s="692" customFormat="1" ht="16.5" hidden="1">
      <c r="A1689" s="1665"/>
      <c r="B1689" s="1666"/>
      <c r="C1689" s="688"/>
      <c r="D1689" s="1667"/>
      <c r="E1689" s="1671">
        <v>3.5</v>
      </c>
      <c r="F1689" s="1671">
        <v>4</v>
      </c>
      <c r="G1689" s="1672">
        <v>0.15</v>
      </c>
      <c r="H1689" s="1671">
        <f t="shared" si="222"/>
        <v>0</v>
      </c>
      <c r="I1689" s="1671" t="s">
        <v>49</v>
      </c>
      <c r="J1689" s="1668"/>
      <c r="K1689" s="1668"/>
      <c r="L1689" s="1669"/>
    </row>
    <row r="1690" spans="1:12" s="692" customFormat="1" ht="16.5" hidden="1">
      <c r="A1690" s="1665"/>
      <c r="B1690" s="1666"/>
      <c r="C1690" s="688"/>
      <c r="D1690" s="1667"/>
      <c r="E1690" s="1671">
        <v>3.5</v>
      </c>
      <c r="F1690" s="1671">
        <v>4</v>
      </c>
      <c r="G1690" s="1672">
        <v>0.15</v>
      </c>
      <c r="H1690" s="1671">
        <f t="shared" si="222"/>
        <v>0</v>
      </c>
      <c r="I1690" s="1671" t="s">
        <v>49</v>
      </c>
      <c r="J1690" s="1668"/>
      <c r="K1690" s="1668"/>
      <c r="L1690" s="1669"/>
    </row>
    <row r="1691" spans="1:12" s="692" customFormat="1" ht="16.5" hidden="1">
      <c r="A1691" s="1665"/>
      <c r="B1691" s="1666"/>
      <c r="C1691" s="688"/>
      <c r="D1691" s="1667"/>
      <c r="E1691" s="1671"/>
      <c r="F1691" s="1671"/>
      <c r="G1691" s="1669" t="s">
        <v>928</v>
      </c>
      <c r="H1691" s="1673">
        <f>SUM(H1685:H1690)</f>
        <v>0</v>
      </c>
      <c r="I1691" s="1669" t="s">
        <v>49</v>
      </c>
      <c r="J1691" s="1668"/>
      <c r="K1691" s="1668"/>
      <c r="L1691" s="1669"/>
    </row>
    <row r="1692" spans="1:12" s="692" customFormat="1" ht="16.5" hidden="1">
      <c r="A1692" s="1665"/>
      <c r="B1692" s="1666"/>
      <c r="C1692" s="688"/>
      <c r="D1692" s="1667"/>
      <c r="E1692" s="1671">
        <v>3.5</v>
      </c>
      <c r="F1692" s="1671">
        <v>4</v>
      </c>
      <c r="G1692" s="1672">
        <v>0.15</v>
      </c>
      <c r="H1692" s="1671">
        <f t="shared" ref="H1692:H1697" si="223">ROUND(D1692*E1692*F1692*G1692,2)</f>
        <v>0</v>
      </c>
      <c r="I1692" s="1671" t="s">
        <v>49</v>
      </c>
      <c r="J1692" s="1668"/>
      <c r="K1692" s="1668"/>
      <c r="L1692" s="1669"/>
    </row>
    <row r="1693" spans="1:12" s="692" customFormat="1" ht="16.5" hidden="1">
      <c r="A1693" s="1665"/>
      <c r="B1693" s="1666"/>
      <c r="C1693" s="688"/>
      <c r="D1693" s="1667"/>
      <c r="E1693" s="1671">
        <v>3.5</v>
      </c>
      <c r="F1693" s="1671">
        <v>4</v>
      </c>
      <c r="G1693" s="1672">
        <v>0.15</v>
      </c>
      <c r="H1693" s="1671">
        <f t="shared" si="223"/>
        <v>0</v>
      </c>
      <c r="I1693" s="1671" t="s">
        <v>49</v>
      </c>
      <c r="J1693" s="1668"/>
      <c r="K1693" s="1668"/>
      <c r="L1693" s="1669"/>
    </row>
    <row r="1694" spans="1:12" s="692" customFormat="1" ht="16.5" hidden="1">
      <c r="A1694" s="1665"/>
      <c r="B1694" s="1666"/>
      <c r="C1694" s="688"/>
      <c r="D1694" s="1667"/>
      <c r="E1694" s="1671">
        <v>3.5</v>
      </c>
      <c r="F1694" s="1671">
        <v>4</v>
      </c>
      <c r="G1694" s="1672">
        <v>0.15</v>
      </c>
      <c r="H1694" s="1671">
        <f t="shared" si="223"/>
        <v>0</v>
      </c>
      <c r="I1694" s="1671" t="s">
        <v>49</v>
      </c>
      <c r="J1694" s="1668"/>
      <c r="K1694" s="1668"/>
      <c r="L1694" s="1669"/>
    </row>
    <row r="1695" spans="1:12" s="692" customFormat="1" ht="16.5" hidden="1">
      <c r="A1695" s="1665"/>
      <c r="B1695" s="1666"/>
      <c r="C1695" s="688"/>
      <c r="D1695" s="1667"/>
      <c r="E1695" s="1671">
        <v>3.5</v>
      </c>
      <c r="F1695" s="1671">
        <v>4</v>
      </c>
      <c r="G1695" s="1672">
        <v>0.15</v>
      </c>
      <c r="H1695" s="1671">
        <f t="shared" si="223"/>
        <v>0</v>
      </c>
      <c r="I1695" s="1671" t="s">
        <v>49</v>
      </c>
      <c r="J1695" s="1668"/>
      <c r="K1695" s="1668"/>
      <c r="L1695" s="1669"/>
    </row>
    <row r="1696" spans="1:12" s="692" customFormat="1" ht="16.5" hidden="1">
      <c r="A1696" s="1665"/>
      <c r="B1696" s="1666"/>
      <c r="C1696" s="688"/>
      <c r="D1696" s="1667"/>
      <c r="E1696" s="1671">
        <v>3.5</v>
      </c>
      <c r="F1696" s="1671">
        <v>4</v>
      </c>
      <c r="G1696" s="1672">
        <v>0.15</v>
      </c>
      <c r="H1696" s="1671">
        <f t="shared" si="223"/>
        <v>0</v>
      </c>
      <c r="I1696" s="1671" t="s">
        <v>49</v>
      </c>
      <c r="J1696" s="1668"/>
      <c r="K1696" s="1668"/>
      <c r="L1696" s="1669"/>
    </row>
    <row r="1697" spans="1:12" s="692" customFormat="1" ht="16.5" hidden="1">
      <c r="A1697" s="1665"/>
      <c r="B1697" s="1666"/>
      <c r="C1697" s="688"/>
      <c r="D1697" s="1667"/>
      <c r="E1697" s="1671">
        <v>3.5</v>
      </c>
      <c r="F1697" s="1671">
        <v>4</v>
      </c>
      <c r="G1697" s="1672">
        <v>0.15</v>
      </c>
      <c r="H1697" s="1671">
        <f t="shared" si="223"/>
        <v>0</v>
      </c>
      <c r="I1697" s="1671" t="s">
        <v>49</v>
      </c>
      <c r="J1697" s="1668"/>
      <c r="K1697" s="1668"/>
      <c r="L1697" s="1669"/>
    </row>
    <row r="1698" spans="1:12" s="692" customFormat="1" ht="16.5" hidden="1">
      <c r="A1698" s="1665"/>
      <c r="B1698" s="1666"/>
      <c r="C1698" s="688"/>
      <c r="D1698" s="1667"/>
      <c r="E1698" s="1671"/>
      <c r="F1698" s="1671"/>
      <c r="G1698" s="1669" t="s">
        <v>928</v>
      </c>
      <c r="H1698" s="1673">
        <f>SUM(H1692:H1697)</f>
        <v>0</v>
      </c>
      <c r="I1698" s="1669" t="s">
        <v>49</v>
      </c>
      <c r="J1698" s="1669">
        <f>'Lead &amp; ANALYSIS'!L570</f>
        <v>16181.4</v>
      </c>
      <c r="K1698" s="1668" t="s">
        <v>1516</v>
      </c>
      <c r="L1698" s="1669">
        <f>ROUND(H1698*J1698,0)</f>
        <v>0</v>
      </c>
    </row>
    <row r="1699" spans="1:12" s="692" customFormat="1" ht="16.5" hidden="1">
      <c r="A1699" s="1665" t="s">
        <v>3415</v>
      </c>
      <c r="B1699" s="1666" t="s">
        <v>477</v>
      </c>
      <c r="C1699" s="688"/>
      <c r="D1699" s="1667"/>
      <c r="E1699" s="688"/>
      <c r="F1699" s="688"/>
      <c r="G1699" s="1674"/>
      <c r="H1699" s="688"/>
      <c r="I1699" s="1668"/>
      <c r="J1699" s="1668"/>
      <c r="K1699" s="1668"/>
      <c r="L1699" s="1669"/>
    </row>
    <row r="1700" spans="1:12" s="692" customFormat="1" ht="16.5" hidden="1">
      <c r="A1700" s="1665"/>
      <c r="B1700" s="1666" t="s">
        <v>477</v>
      </c>
      <c r="C1700" s="688"/>
      <c r="D1700" s="1667"/>
      <c r="E1700" s="1671">
        <f>'DRAWING CC'!AW88+0.3</f>
        <v>0.3</v>
      </c>
      <c r="F1700" s="1671">
        <f>'DRAWING CC'!O132+0.3</f>
        <v>0.3</v>
      </c>
      <c r="G1700" s="1683">
        <v>0.1</v>
      </c>
      <c r="H1700" s="1671">
        <f t="shared" ref="H1700:H1705" si="224">ROUND(D1700*E1700*F1700*G1700,2)</f>
        <v>0</v>
      </c>
      <c r="I1700" s="1671" t="s">
        <v>49</v>
      </c>
      <c r="J1700" s="1668"/>
      <c r="K1700" s="1668"/>
      <c r="L1700" s="1669"/>
    </row>
    <row r="1701" spans="1:12" s="692" customFormat="1" ht="16.5" hidden="1">
      <c r="A1701" s="1665"/>
      <c r="B1701" s="1666"/>
      <c r="C1701" s="688"/>
      <c r="D1701" s="1667"/>
      <c r="E1701" s="1671">
        <f>'DRAWING CC'!AW89+0.3</f>
        <v>0.3</v>
      </c>
      <c r="F1701" s="1671">
        <f>'DRAWING CC'!O133+0.3</f>
        <v>0.3</v>
      </c>
      <c r="G1701" s="1683">
        <v>1.1000000000000001</v>
      </c>
      <c r="H1701" s="1671">
        <f t="shared" si="224"/>
        <v>0</v>
      </c>
      <c r="I1701" s="1671" t="s">
        <v>49</v>
      </c>
      <c r="J1701" s="1668"/>
      <c r="K1701" s="1668"/>
      <c r="L1701" s="1669"/>
    </row>
    <row r="1702" spans="1:12" s="692" customFormat="1" ht="16.5" hidden="1">
      <c r="A1702" s="1665"/>
      <c r="B1702" s="1666"/>
      <c r="C1702" s="688"/>
      <c r="D1702" s="1667"/>
      <c r="E1702" s="1671">
        <f>'DRAWING CC'!AW90+0.3</f>
        <v>0.3</v>
      </c>
      <c r="F1702" s="1671">
        <f>'DRAWING CC'!O134+0.3</f>
        <v>0.3</v>
      </c>
      <c r="G1702" s="1683">
        <v>2.1</v>
      </c>
      <c r="H1702" s="1671">
        <f t="shared" si="224"/>
        <v>0</v>
      </c>
      <c r="I1702" s="1671" t="s">
        <v>49</v>
      </c>
      <c r="J1702" s="1668"/>
      <c r="K1702" s="1668"/>
      <c r="L1702" s="1669"/>
    </row>
    <row r="1703" spans="1:12" s="692" customFormat="1" ht="16.5" hidden="1">
      <c r="A1703" s="1665"/>
      <c r="B1703" s="1666"/>
      <c r="C1703" s="688"/>
      <c r="D1703" s="1667"/>
      <c r="E1703" s="1671">
        <v>3.5</v>
      </c>
      <c r="F1703" s="1671">
        <v>4</v>
      </c>
      <c r="G1703" s="1672">
        <v>0.15</v>
      </c>
      <c r="H1703" s="1671">
        <f t="shared" si="224"/>
        <v>0</v>
      </c>
      <c r="I1703" s="1671" t="s">
        <v>49</v>
      </c>
      <c r="J1703" s="1668"/>
      <c r="K1703" s="1668"/>
      <c r="L1703" s="1669"/>
    </row>
    <row r="1704" spans="1:12" s="692" customFormat="1" ht="16.5" hidden="1">
      <c r="A1704" s="1665"/>
      <c r="B1704" s="1666"/>
      <c r="C1704" s="688"/>
      <c r="D1704" s="1667"/>
      <c r="E1704" s="1671">
        <v>3.5</v>
      </c>
      <c r="F1704" s="1671">
        <v>4</v>
      </c>
      <c r="G1704" s="1672">
        <v>0.15</v>
      </c>
      <c r="H1704" s="1671">
        <f t="shared" si="224"/>
        <v>0</v>
      </c>
      <c r="I1704" s="1671" t="s">
        <v>49</v>
      </c>
      <c r="J1704" s="1668"/>
      <c r="K1704" s="1668"/>
      <c r="L1704" s="1669"/>
    </row>
    <row r="1705" spans="1:12" s="692" customFormat="1" ht="16.5" hidden="1">
      <c r="A1705" s="1665"/>
      <c r="B1705" s="1666"/>
      <c r="C1705" s="688"/>
      <c r="D1705" s="1667"/>
      <c r="E1705" s="1671">
        <v>3.5</v>
      </c>
      <c r="F1705" s="1671">
        <v>4</v>
      </c>
      <c r="G1705" s="1672">
        <v>0.15</v>
      </c>
      <c r="H1705" s="1671">
        <f t="shared" si="224"/>
        <v>0</v>
      </c>
      <c r="I1705" s="1671" t="s">
        <v>49</v>
      </c>
      <c r="J1705" s="1668"/>
      <c r="K1705" s="1668"/>
      <c r="L1705" s="1669"/>
    </row>
    <row r="1706" spans="1:12" s="692" customFormat="1" ht="16.5" hidden="1">
      <c r="A1706" s="1665"/>
      <c r="B1706" s="1666"/>
      <c r="C1706" s="688"/>
      <c r="D1706" s="1667"/>
      <c r="E1706" s="1671"/>
      <c r="F1706" s="1671"/>
      <c r="G1706" s="1669" t="s">
        <v>928</v>
      </c>
      <c r="H1706" s="1673">
        <f>SUM(H1700:H1705)</f>
        <v>0</v>
      </c>
      <c r="I1706" s="1669" t="s">
        <v>49</v>
      </c>
      <c r="J1706" s="1668"/>
      <c r="K1706" s="1668"/>
      <c r="L1706" s="1669"/>
    </row>
    <row r="1707" spans="1:12" s="692" customFormat="1" ht="16.5" hidden="1">
      <c r="A1707" s="1665"/>
      <c r="B1707" s="1666" t="s">
        <v>477</v>
      </c>
      <c r="C1707" s="688"/>
      <c r="D1707" s="1667"/>
      <c r="E1707" s="1671">
        <f>'DRAWING CC'!AW95+0.3</f>
        <v>0.3</v>
      </c>
      <c r="F1707" s="1671">
        <f>'DRAWING CC'!O139+0.3</f>
        <v>0.3</v>
      </c>
      <c r="G1707" s="1683">
        <v>0.1</v>
      </c>
      <c r="H1707" s="1671">
        <f t="shared" ref="H1707:H1712" si="225">ROUND(D1707*E1707*F1707*G1707,2)</f>
        <v>0</v>
      </c>
      <c r="I1707" s="1671" t="s">
        <v>49</v>
      </c>
      <c r="J1707" s="1668"/>
      <c r="K1707" s="1668"/>
      <c r="L1707" s="1669"/>
    </row>
    <row r="1708" spans="1:12" s="692" customFormat="1" ht="16.5" hidden="1">
      <c r="A1708" s="1665"/>
      <c r="B1708" s="1666"/>
      <c r="C1708" s="688"/>
      <c r="D1708" s="1667"/>
      <c r="E1708" s="1671">
        <f>'DRAWING CC'!AW96+0.3</f>
        <v>0.3</v>
      </c>
      <c r="F1708" s="1671">
        <f>'DRAWING CC'!O140+0.3</f>
        <v>0.3</v>
      </c>
      <c r="G1708" s="1683">
        <v>1.1000000000000001</v>
      </c>
      <c r="H1708" s="1671">
        <f t="shared" si="225"/>
        <v>0</v>
      </c>
      <c r="I1708" s="1671" t="s">
        <v>49</v>
      </c>
      <c r="J1708" s="1668"/>
      <c r="K1708" s="1668"/>
      <c r="L1708" s="1669"/>
    </row>
    <row r="1709" spans="1:12" s="692" customFormat="1" ht="16.5" hidden="1">
      <c r="A1709" s="1665"/>
      <c r="B1709" s="1666"/>
      <c r="C1709" s="688"/>
      <c r="D1709" s="1667"/>
      <c r="E1709" s="1671">
        <f>'DRAWING CC'!AW97+0.3</f>
        <v>0.3</v>
      </c>
      <c r="F1709" s="1671">
        <f>'DRAWING CC'!O141+0.3</f>
        <v>0.3</v>
      </c>
      <c r="G1709" s="1683">
        <v>2.1</v>
      </c>
      <c r="H1709" s="1671">
        <f t="shared" si="225"/>
        <v>0</v>
      </c>
      <c r="I1709" s="1671" t="s">
        <v>49</v>
      </c>
      <c r="J1709" s="1668"/>
      <c r="K1709" s="1668"/>
      <c r="L1709" s="1669"/>
    </row>
    <row r="1710" spans="1:12" s="692" customFormat="1" ht="16.5" hidden="1">
      <c r="A1710" s="1665"/>
      <c r="B1710" s="1666"/>
      <c r="C1710" s="688"/>
      <c r="D1710" s="1667"/>
      <c r="E1710" s="1671">
        <v>3.5</v>
      </c>
      <c r="F1710" s="1671">
        <v>4</v>
      </c>
      <c r="G1710" s="1672">
        <v>0.15</v>
      </c>
      <c r="H1710" s="1671">
        <f t="shared" si="225"/>
        <v>0</v>
      </c>
      <c r="I1710" s="1671" t="s">
        <v>49</v>
      </c>
      <c r="J1710" s="1668"/>
      <c r="K1710" s="1668"/>
      <c r="L1710" s="1669"/>
    </row>
    <row r="1711" spans="1:12" s="692" customFormat="1" ht="16.5" hidden="1">
      <c r="A1711" s="1665"/>
      <c r="B1711" s="1666"/>
      <c r="C1711" s="688"/>
      <c r="D1711" s="1667"/>
      <c r="E1711" s="1671">
        <v>3.5</v>
      </c>
      <c r="F1711" s="1671">
        <v>4</v>
      </c>
      <c r="G1711" s="1672">
        <v>0.15</v>
      </c>
      <c r="H1711" s="1671">
        <f t="shared" si="225"/>
        <v>0</v>
      </c>
      <c r="I1711" s="1671" t="s">
        <v>49</v>
      </c>
      <c r="J1711" s="1668"/>
      <c r="K1711" s="1668"/>
      <c r="L1711" s="1669"/>
    </row>
    <row r="1712" spans="1:12" s="692" customFormat="1" ht="16.5" hidden="1">
      <c r="A1712" s="1665"/>
      <c r="B1712" s="1666"/>
      <c r="C1712" s="688"/>
      <c r="D1712" s="1667"/>
      <c r="E1712" s="1671">
        <v>3.5</v>
      </c>
      <c r="F1712" s="1671">
        <v>4</v>
      </c>
      <c r="G1712" s="1672">
        <v>0.15</v>
      </c>
      <c r="H1712" s="1671">
        <f t="shared" si="225"/>
        <v>0</v>
      </c>
      <c r="I1712" s="1671" t="s">
        <v>49</v>
      </c>
      <c r="J1712" s="1668"/>
      <c r="K1712" s="1668"/>
      <c r="L1712" s="1669"/>
    </row>
    <row r="1713" spans="1:13" s="692" customFormat="1" ht="16.5" hidden="1">
      <c r="A1713" s="1665"/>
      <c r="B1713" s="1666"/>
      <c r="C1713" s="688"/>
      <c r="D1713" s="1667"/>
      <c r="E1713" s="1671"/>
      <c r="F1713" s="1671"/>
      <c r="G1713" s="1669" t="s">
        <v>928</v>
      </c>
      <c r="H1713" s="1673">
        <f>SUM(H1707:H1712)</f>
        <v>0</v>
      </c>
      <c r="I1713" s="1669" t="s">
        <v>49</v>
      </c>
      <c r="J1713" s="1669">
        <f>'Lead &amp; ANALYSIS'!L557</f>
        <v>14604.2</v>
      </c>
      <c r="K1713" s="1668" t="s">
        <v>1516</v>
      </c>
      <c r="L1713" s="1669">
        <f>ROUND(H1713*J1713,0)</f>
        <v>0</v>
      </c>
    </row>
    <row r="1714" spans="1:13" s="692" customFormat="1" ht="16.5" hidden="1">
      <c r="A1714" s="1665"/>
      <c r="B1714" s="1666"/>
      <c r="C1714" s="688"/>
      <c r="D1714" s="1667"/>
      <c r="E1714" s="1671"/>
      <c r="F1714" s="1671"/>
      <c r="G1714" s="1684" t="s">
        <v>1823</v>
      </c>
      <c r="H1714" s="1673">
        <f>H1706+H1691+H1661+H1646+H1631+H1616+H1586+H1601</f>
        <v>0</v>
      </c>
      <c r="I1714" s="1669" t="s">
        <v>49</v>
      </c>
      <c r="J1714" s="1669">
        <f>'Lead &amp; ANALYSIS'!L462</f>
        <v>6527.5</v>
      </c>
      <c r="K1714" s="1668" t="s">
        <v>1516</v>
      </c>
      <c r="L1714" s="1669">
        <f>ROUND(H1714*J1714,0)</f>
        <v>0</v>
      </c>
      <c r="M1714" s="692" t="s">
        <v>3588</v>
      </c>
    </row>
    <row r="1715" spans="1:13" s="692" customFormat="1" ht="16.5" hidden="1">
      <c r="A1715" s="1665" t="s">
        <v>3627</v>
      </c>
      <c r="B1715" s="1675" t="s">
        <v>3613</v>
      </c>
      <c r="C1715" s="688"/>
      <c r="D1715" s="1667"/>
      <c r="E1715" s="688"/>
      <c r="F1715" s="688"/>
      <c r="G1715" s="1674"/>
      <c r="H1715" s="688"/>
      <c r="I1715" s="1668"/>
      <c r="J1715" s="1668"/>
      <c r="K1715" s="1668"/>
      <c r="L1715" s="1669"/>
    </row>
    <row r="1716" spans="1:13" s="692" customFormat="1" ht="16.5" hidden="1">
      <c r="A1716" s="1665" t="s">
        <v>201</v>
      </c>
      <c r="B1716" s="1666" t="s">
        <v>1773</v>
      </c>
      <c r="C1716" s="688"/>
      <c r="D1716" s="1667"/>
      <c r="E1716" s="688"/>
      <c r="F1716" s="688"/>
      <c r="G1716" s="1674"/>
      <c r="H1716" s="688"/>
      <c r="I1716" s="1668"/>
      <c r="J1716" s="1668"/>
      <c r="K1716" s="1668"/>
      <c r="L1716" s="1669"/>
    </row>
    <row r="1717" spans="1:13" s="692" customFormat="1" ht="16.5" hidden="1">
      <c r="A1717" s="1665"/>
      <c r="B1717" s="1666"/>
      <c r="C1717" s="688"/>
      <c r="D1717" s="1667"/>
      <c r="E1717" s="1671">
        <f>E291+F1717</f>
        <v>3.5</v>
      </c>
      <c r="F1717" s="1671">
        <f>'DRAWING CC'!FS213</f>
        <v>0</v>
      </c>
      <c r="G1717" s="1672">
        <f>'DRAWING CC'!GI210</f>
        <v>0</v>
      </c>
      <c r="H1717" s="1671">
        <f t="shared" ref="H1717:H1722" si="226">ROUND(D1717*E1717*F1717*G1717,2)</f>
        <v>0</v>
      </c>
      <c r="I1717" s="1671" t="s">
        <v>49</v>
      </c>
      <c r="J1717" s="1668"/>
      <c r="K1717" s="1668"/>
      <c r="L1717" s="1669"/>
    </row>
    <row r="1718" spans="1:13" s="692" customFormat="1" ht="16.5" hidden="1">
      <c r="A1718" s="1665"/>
      <c r="B1718" s="1666"/>
      <c r="C1718" s="688"/>
      <c r="D1718" s="1667"/>
      <c r="E1718" s="1671">
        <f>E294-F1718</f>
        <v>0</v>
      </c>
      <c r="F1718" s="1671">
        <f>F1717</f>
        <v>0</v>
      </c>
      <c r="G1718" s="1672">
        <f>G1717</f>
        <v>0</v>
      </c>
      <c r="H1718" s="1671">
        <f t="shared" si="226"/>
        <v>0</v>
      </c>
      <c r="I1718" s="1671" t="s">
        <v>49</v>
      </c>
      <c r="J1718" s="1668"/>
      <c r="K1718" s="1668"/>
      <c r="L1718" s="1669"/>
    </row>
    <row r="1719" spans="1:13" s="692" customFormat="1" ht="16.5" hidden="1">
      <c r="A1719" s="1665"/>
      <c r="B1719" s="1666"/>
      <c r="C1719" s="688"/>
      <c r="D1719" s="1667"/>
      <c r="E1719" s="1671">
        <f>E311-F1719</f>
        <v>0</v>
      </c>
      <c r="F1719" s="1671">
        <f>F1718</f>
        <v>0</v>
      </c>
      <c r="G1719" s="1672">
        <f>G1718</f>
        <v>0</v>
      </c>
      <c r="H1719" s="1671">
        <f t="shared" si="226"/>
        <v>0</v>
      </c>
      <c r="I1719" s="1671" t="s">
        <v>49</v>
      </c>
      <c r="J1719" s="1668"/>
      <c r="K1719" s="1668"/>
      <c r="L1719" s="1669"/>
    </row>
    <row r="1720" spans="1:13" s="692" customFormat="1" ht="16.5" hidden="1">
      <c r="A1720" s="1665"/>
      <c r="B1720" s="1666"/>
      <c r="C1720" s="688"/>
      <c r="D1720" s="1667"/>
      <c r="E1720" s="1671">
        <v>3.5</v>
      </c>
      <c r="F1720" s="1671">
        <v>4</v>
      </c>
      <c r="G1720" s="1672">
        <v>0.15</v>
      </c>
      <c r="H1720" s="1671">
        <f t="shared" si="226"/>
        <v>0</v>
      </c>
      <c r="I1720" s="1671" t="s">
        <v>49</v>
      </c>
      <c r="J1720" s="1668"/>
      <c r="K1720" s="1668"/>
      <c r="L1720" s="1669"/>
    </row>
    <row r="1721" spans="1:13" s="692" customFormat="1" ht="16.5" hidden="1">
      <c r="A1721" s="1665"/>
      <c r="B1721" s="1666"/>
      <c r="C1721" s="688"/>
      <c r="D1721" s="1667"/>
      <c r="E1721" s="1671">
        <v>3.5</v>
      </c>
      <c r="F1721" s="1671">
        <v>4</v>
      </c>
      <c r="G1721" s="1672">
        <v>0.15</v>
      </c>
      <c r="H1721" s="1671">
        <f t="shared" si="226"/>
        <v>0</v>
      </c>
      <c r="I1721" s="1671" t="s">
        <v>49</v>
      </c>
      <c r="J1721" s="1668"/>
      <c r="K1721" s="1668"/>
      <c r="L1721" s="1669"/>
    </row>
    <row r="1722" spans="1:13" s="692" customFormat="1" ht="16.5" hidden="1">
      <c r="A1722" s="1665"/>
      <c r="B1722" s="1666"/>
      <c r="C1722" s="688"/>
      <c r="D1722" s="1667"/>
      <c r="E1722" s="1671">
        <v>3.5</v>
      </c>
      <c r="F1722" s="1671">
        <v>4</v>
      </c>
      <c r="G1722" s="1672">
        <v>0.15</v>
      </c>
      <c r="H1722" s="1671">
        <f t="shared" si="226"/>
        <v>0</v>
      </c>
      <c r="I1722" s="1671" t="s">
        <v>49</v>
      </c>
      <c r="J1722" s="1668"/>
      <c r="K1722" s="1668"/>
      <c r="L1722" s="1669"/>
    </row>
    <row r="1723" spans="1:13" s="692" customFormat="1" ht="16.5" hidden="1">
      <c r="A1723" s="1665"/>
      <c r="B1723" s="1666"/>
      <c r="C1723" s="688"/>
      <c r="D1723" s="1667"/>
      <c r="E1723" s="1671"/>
      <c r="F1723" s="1671"/>
      <c r="G1723" s="1669" t="s">
        <v>928</v>
      </c>
      <c r="H1723" s="1673">
        <f>SUM(H1717:H1722)</f>
        <v>0</v>
      </c>
      <c r="I1723" s="1669" t="s">
        <v>49</v>
      </c>
      <c r="J1723" s="1668"/>
      <c r="K1723" s="1668"/>
      <c r="L1723" s="1669"/>
    </row>
    <row r="1724" spans="1:13" s="692" customFormat="1" ht="16.5" hidden="1">
      <c r="A1724" s="1665"/>
      <c r="B1724" s="1666"/>
      <c r="C1724" s="688"/>
      <c r="D1724" s="1667"/>
      <c r="E1724" s="1671">
        <f>E314+F1724</f>
        <v>3.5</v>
      </c>
      <c r="F1724" s="1671">
        <f>'DRAWING CC'!FS220</f>
        <v>0</v>
      </c>
      <c r="G1724" s="1672">
        <f>'DRAWING CC'!GI217</f>
        <v>0</v>
      </c>
      <c r="H1724" s="1671">
        <f t="shared" ref="H1724:H1729" si="227">ROUND(D1724*E1724*F1724*G1724,2)</f>
        <v>0</v>
      </c>
      <c r="I1724" s="1671" t="s">
        <v>49</v>
      </c>
      <c r="J1724" s="1668"/>
      <c r="K1724" s="1668"/>
      <c r="L1724" s="1669"/>
    </row>
    <row r="1725" spans="1:13" s="692" customFormat="1" ht="16.5" hidden="1">
      <c r="A1725" s="1665"/>
      <c r="B1725" s="1666"/>
      <c r="C1725" s="688"/>
      <c r="D1725" s="1667"/>
      <c r="E1725" s="1671">
        <f>E317-F1725</f>
        <v>3.5</v>
      </c>
      <c r="F1725" s="1671">
        <f>F1724</f>
        <v>0</v>
      </c>
      <c r="G1725" s="1672">
        <f>G1724</f>
        <v>0</v>
      </c>
      <c r="H1725" s="1671">
        <f t="shared" si="227"/>
        <v>0</v>
      </c>
      <c r="I1725" s="1671" t="s">
        <v>49</v>
      </c>
      <c r="J1725" s="1668"/>
      <c r="K1725" s="1668"/>
      <c r="L1725" s="1669"/>
    </row>
    <row r="1726" spans="1:13" s="692" customFormat="1" ht="16.5" hidden="1">
      <c r="A1726" s="1665"/>
      <c r="B1726" s="1666"/>
      <c r="C1726" s="688"/>
      <c r="D1726" s="1667"/>
      <c r="E1726" s="1671">
        <f>E318-F1726</f>
        <v>3.5</v>
      </c>
      <c r="F1726" s="1671">
        <f>F1725</f>
        <v>0</v>
      </c>
      <c r="G1726" s="1672">
        <f>G1725</f>
        <v>0</v>
      </c>
      <c r="H1726" s="1671">
        <f t="shared" si="227"/>
        <v>0</v>
      </c>
      <c r="I1726" s="1671" t="s">
        <v>49</v>
      </c>
      <c r="J1726" s="1668"/>
      <c r="K1726" s="1668"/>
      <c r="L1726" s="1669"/>
    </row>
    <row r="1727" spans="1:13" s="692" customFormat="1" ht="16.5" hidden="1">
      <c r="A1727" s="1665"/>
      <c r="B1727" s="1666"/>
      <c r="C1727" s="688"/>
      <c r="D1727" s="1667"/>
      <c r="E1727" s="1671">
        <v>3.5</v>
      </c>
      <c r="F1727" s="1671">
        <v>4</v>
      </c>
      <c r="G1727" s="1672">
        <v>0.15</v>
      </c>
      <c r="H1727" s="1671">
        <f t="shared" si="227"/>
        <v>0</v>
      </c>
      <c r="I1727" s="1671" t="s">
        <v>49</v>
      </c>
      <c r="J1727" s="1668"/>
      <c r="K1727" s="1668"/>
      <c r="L1727" s="1669"/>
    </row>
    <row r="1728" spans="1:13" s="692" customFormat="1" ht="16.5" hidden="1">
      <c r="A1728" s="1665"/>
      <c r="B1728" s="1666"/>
      <c r="C1728" s="688"/>
      <c r="D1728" s="1667"/>
      <c r="E1728" s="1671">
        <v>3.5</v>
      </c>
      <c r="F1728" s="1671">
        <v>4</v>
      </c>
      <c r="G1728" s="1672">
        <v>0.15</v>
      </c>
      <c r="H1728" s="1671">
        <f t="shared" si="227"/>
        <v>0</v>
      </c>
      <c r="I1728" s="1671" t="s">
        <v>49</v>
      </c>
      <c r="J1728" s="1668"/>
      <c r="K1728" s="1668"/>
      <c r="L1728" s="1669"/>
    </row>
    <row r="1729" spans="1:12" s="692" customFormat="1" ht="16.5" hidden="1">
      <c r="A1729" s="1665"/>
      <c r="B1729" s="1666"/>
      <c r="C1729" s="688"/>
      <c r="D1729" s="1667"/>
      <c r="E1729" s="1671">
        <v>3.5</v>
      </c>
      <c r="F1729" s="1671">
        <v>4</v>
      </c>
      <c r="G1729" s="1672">
        <v>0.15</v>
      </c>
      <c r="H1729" s="1671">
        <f t="shared" si="227"/>
        <v>0</v>
      </c>
      <c r="I1729" s="1671" t="s">
        <v>49</v>
      </c>
      <c r="J1729" s="1668"/>
      <c r="K1729" s="1668"/>
      <c r="L1729" s="1669"/>
    </row>
    <row r="1730" spans="1:12" s="692" customFormat="1" ht="16.5" hidden="1">
      <c r="A1730" s="1665"/>
      <c r="B1730" s="1666"/>
      <c r="C1730" s="688"/>
      <c r="D1730" s="1667"/>
      <c r="E1730" s="1671"/>
      <c r="F1730" s="1671"/>
      <c r="G1730" s="1669" t="s">
        <v>928</v>
      </c>
      <c r="H1730" s="1673">
        <f>SUM(H1724:H1729)</f>
        <v>0</v>
      </c>
      <c r="I1730" s="1669" t="s">
        <v>49</v>
      </c>
      <c r="J1730" s="1669">
        <f>'Lead &amp; ANALYSIS'!L547</f>
        <v>18277.400000000001</v>
      </c>
      <c r="K1730" s="1668" t="s">
        <v>1516</v>
      </c>
      <c r="L1730" s="1669">
        <f>ROUND(H1730*J1730,0)</f>
        <v>0</v>
      </c>
    </row>
    <row r="1731" spans="1:12" s="692" customFormat="1" ht="16.5" hidden="1">
      <c r="A1731" s="1665" t="s">
        <v>220</v>
      </c>
      <c r="B1731" s="1666" t="s">
        <v>473</v>
      </c>
      <c r="C1731" s="688"/>
      <c r="D1731" s="1667"/>
      <c r="E1731" s="688"/>
      <c r="F1731" s="688"/>
      <c r="G1731" s="1674"/>
      <c r="H1731" s="688"/>
      <c r="I1731" s="1668"/>
      <c r="J1731" s="1668"/>
      <c r="K1731" s="1668"/>
      <c r="L1731" s="1669"/>
    </row>
    <row r="1732" spans="1:12" s="692" customFormat="1" ht="16.5" hidden="1">
      <c r="A1732" s="1665"/>
      <c r="B1732" s="1666"/>
      <c r="C1732" s="688"/>
      <c r="D1732" s="1667"/>
      <c r="E1732" s="1671">
        <f>E306+F1732</f>
        <v>3.5</v>
      </c>
      <c r="F1732" s="1671">
        <f>'DRAWING CC'!FS228</f>
        <v>0</v>
      </c>
      <c r="G1732" s="1672">
        <f>'DRAWING CC'!GI225</f>
        <v>0</v>
      </c>
      <c r="H1732" s="1671">
        <f t="shared" ref="H1732:H1737" si="228">ROUND(D1732*E1732*F1732*G1732,2)</f>
        <v>0</v>
      </c>
      <c r="I1732" s="1671" t="s">
        <v>49</v>
      </c>
      <c r="J1732" s="1668"/>
      <c r="K1732" s="1668"/>
      <c r="L1732" s="1669"/>
    </row>
    <row r="1733" spans="1:12" s="692" customFormat="1" ht="16.5" hidden="1">
      <c r="A1733" s="1665"/>
      <c r="B1733" s="1666"/>
      <c r="C1733" s="688"/>
      <c r="D1733" s="1667"/>
      <c r="E1733" s="1671">
        <f>E309-F1733</f>
        <v>3.5</v>
      </c>
      <c r="F1733" s="1671">
        <f>F1732</f>
        <v>0</v>
      </c>
      <c r="G1733" s="1672">
        <f>G1732</f>
        <v>0</v>
      </c>
      <c r="H1733" s="1671">
        <f t="shared" si="228"/>
        <v>0</v>
      </c>
      <c r="I1733" s="1671" t="s">
        <v>49</v>
      </c>
      <c r="J1733" s="1668"/>
      <c r="K1733" s="1668"/>
      <c r="L1733" s="1669"/>
    </row>
    <row r="1734" spans="1:12" s="692" customFormat="1" ht="16.5" hidden="1">
      <c r="A1734" s="1665"/>
      <c r="B1734" s="1666"/>
      <c r="C1734" s="688"/>
      <c r="D1734" s="1667"/>
      <c r="E1734" s="1671">
        <f>E326-F1734</f>
        <v>3.5</v>
      </c>
      <c r="F1734" s="1671">
        <f>F1733</f>
        <v>0</v>
      </c>
      <c r="G1734" s="1672">
        <f>G1733</f>
        <v>0</v>
      </c>
      <c r="H1734" s="1671">
        <f t="shared" si="228"/>
        <v>0</v>
      </c>
      <c r="I1734" s="1671" t="s">
        <v>49</v>
      </c>
      <c r="J1734" s="1668"/>
      <c r="K1734" s="1668"/>
      <c r="L1734" s="1669"/>
    </row>
    <row r="1735" spans="1:12" s="692" customFormat="1" ht="16.5" hidden="1">
      <c r="A1735" s="1665"/>
      <c r="B1735" s="1666"/>
      <c r="C1735" s="688"/>
      <c r="D1735" s="1667"/>
      <c r="E1735" s="1671">
        <v>3.5</v>
      </c>
      <c r="F1735" s="1671">
        <v>4</v>
      </c>
      <c r="G1735" s="1672">
        <v>0.15</v>
      </c>
      <c r="H1735" s="1671">
        <f t="shared" si="228"/>
        <v>0</v>
      </c>
      <c r="I1735" s="1671" t="s">
        <v>49</v>
      </c>
      <c r="J1735" s="1668"/>
      <c r="K1735" s="1668"/>
      <c r="L1735" s="1669"/>
    </row>
    <row r="1736" spans="1:12" s="692" customFormat="1" ht="16.5" hidden="1">
      <c r="A1736" s="1665"/>
      <c r="B1736" s="1666"/>
      <c r="C1736" s="688"/>
      <c r="D1736" s="1667"/>
      <c r="E1736" s="1671">
        <v>3.5</v>
      </c>
      <c r="F1736" s="1671">
        <v>4</v>
      </c>
      <c r="G1736" s="1672">
        <v>0.15</v>
      </c>
      <c r="H1736" s="1671">
        <f t="shared" si="228"/>
        <v>0</v>
      </c>
      <c r="I1736" s="1671" t="s">
        <v>49</v>
      </c>
      <c r="J1736" s="1668"/>
      <c r="K1736" s="1668"/>
      <c r="L1736" s="1669"/>
    </row>
    <row r="1737" spans="1:12" s="692" customFormat="1" ht="16.5" hidden="1">
      <c r="A1737" s="1665"/>
      <c r="B1737" s="1666"/>
      <c r="C1737" s="688"/>
      <c r="D1737" s="1667"/>
      <c r="E1737" s="1671">
        <v>3.5</v>
      </c>
      <c r="F1737" s="1671">
        <v>4</v>
      </c>
      <c r="G1737" s="1672">
        <v>0.15</v>
      </c>
      <c r="H1737" s="1671">
        <f t="shared" si="228"/>
        <v>0</v>
      </c>
      <c r="I1737" s="1671" t="s">
        <v>49</v>
      </c>
      <c r="J1737" s="1668"/>
      <c r="K1737" s="1668"/>
      <c r="L1737" s="1669"/>
    </row>
    <row r="1738" spans="1:12" s="692" customFormat="1" ht="16.5" hidden="1">
      <c r="A1738" s="1665"/>
      <c r="B1738" s="1666"/>
      <c r="C1738" s="688"/>
      <c r="D1738" s="1667"/>
      <c r="E1738" s="1671"/>
      <c r="F1738" s="1671"/>
      <c r="G1738" s="1669" t="s">
        <v>928</v>
      </c>
      <c r="H1738" s="1673">
        <f>SUM(H1732:H1737)</f>
        <v>0</v>
      </c>
      <c r="I1738" s="1669" t="s">
        <v>49</v>
      </c>
      <c r="J1738" s="1668"/>
      <c r="K1738" s="1668"/>
      <c r="L1738" s="1669"/>
    </row>
    <row r="1739" spans="1:12" s="692" customFormat="1" ht="16.5" hidden="1">
      <c r="A1739" s="1665"/>
      <c r="B1739" s="1666"/>
      <c r="C1739" s="688"/>
      <c r="D1739" s="1667"/>
      <c r="E1739" s="1671">
        <f>E329+F1739</f>
        <v>3.5</v>
      </c>
      <c r="F1739" s="1671">
        <f>'DRAWING CC'!FS235</f>
        <v>0</v>
      </c>
      <c r="G1739" s="1672">
        <f>'DRAWING CC'!GI232</f>
        <v>0</v>
      </c>
      <c r="H1739" s="1671">
        <f t="shared" ref="H1739:H1744" si="229">ROUND(D1739*E1739*F1739*G1739,2)</f>
        <v>0</v>
      </c>
      <c r="I1739" s="1671" t="s">
        <v>49</v>
      </c>
      <c r="J1739" s="1668"/>
      <c r="K1739" s="1668"/>
      <c r="L1739" s="1669"/>
    </row>
    <row r="1740" spans="1:12" s="692" customFormat="1" ht="16.5" hidden="1">
      <c r="A1740" s="1665"/>
      <c r="B1740" s="1666"/>
      <c r="C1740" s="688"/>
      <c r="D1740" s="1667"/>
      <c r="E1740" s="1671">
        <f>E332-F1740</f>
        <v>3.5</v>
      </c>
      <c r="F1740" s="1671">
        <f>F1739</f>
        <v>0</v>
      </c>
      <c r="G1740" s="1672">
        <f>G1739</f>
        <v>0</v>
      </c>
      <c r="H1740" s="1671">
        <f t="shared" si="229"/>
        <v>0</v>
      </c>
      <c r="I1740" s="1671" t="s">
        <v>49</v>
      </c>
      <c r="J1740" s="1668"/>
      <c r="K1740" s="1668"/>
      <c r="L1740" s="1669"/>
    </row>
    <row r="1741" spans="1:12" s="692" customFormat="1" ht="16.5" hidden="1">
      <c r="A1741" s="1665"/>
      <c r="B1741" s="1666"/>
      <c r="C1741" s="688"/>
      <c r="D1741" s="1667"/>
      <c r="E1741" s="1671">
        <f>E333-F1741</f>
        <v>3.5</v>
      </c>
      <c r="F1741" s="1671">
        <f>F1740</f>
        <v>0</v>
      </c>
      <c r="G1741" s="1672">
        <f>G1740</f>
        <v>0</v>
      </c>
      <c r="H1741" s="1671">
        <f t="shared" si="229"/>
        <v>0</v>
      </c>
      <c r="I1741" s="1671" t="s">
        <v>49</v>
      </c>
      <c r="J1741" s="1668"/>
      <c r="K1741" s="1668"/>
      <c r="L1741" s="1669"/>
    </row>
    <row r="1742" spans="1:12" s="692" customFormat="1" ht="16.5" hidden="1">
      <c r="A1742" s="1665"/>
      <c r="B1742" s="1666"/>
      <c r="C1742" s="688"/>
      <c r="D1742" s="1667"/>
      <c r="E1742" s="1671">
        <v>3.5</v>
      </c>
      <c r="F1742" s="1671">
        <v>4</v>
      </c>
      <c r="G1742" s="1672">
        <v>0.15</v>
      </c>
      <c r="H1742" s="1671">
        <f t="shared" si="229"/>
        <v>0</v>
      </c>
      <c r="I1742" s="1671" t="s">
        <v>49</v>
      </c>
      <c r="J1742" s="1668"/>
      <c r="K1742" s="1668"/>
      <c r="L1742" s="1669"/>
    </row>
    <row r="1743" spans="1:12" s="692" customFormat="1" ht="16.5" hidden="1">
      <c r="A1743" s="1665"/>
      <c r="B1743" s="1666"/>
      <c r="C1743" s="688"/>
      <c r="D1743" s="1667"/>
      <c r="E1743" s="1671">
        <v>3.5</v>
      </c>
      <c r="F1743" s="1671">
        <v>4</v>
      </c>
      <c r="G1743" s="1672">
        <v>0.15</v>
      </c>
      <c r="H1743" s="1671">
        <f t="shared" si="229"/>
        <v>0</v>
      </c>
      <c r="I1743" s="1671" t="s">
        <v>49</v>
      </c>
      <c r="J1743" s="1668"/>
      <c r="K1743" s="1668"/>
      <c r="L1743" s="1669"/>
    </row>
    <row r="1744" spans="1:12" s="692" customFormat="1" ht="16.5" hidden="1">
      <c r="A1744" s="1665"/>
      <c r="B1744" s="1666"/>
      <c r="C1744" s="688"/>
      <c r="D1744" s="1667"/>
      <c r="E1744" s="1671">
        <v>3.5</v>
      </c>
      <c r="F1744" s="1671">
        <v>4</v>
      </c>
      <c r="G1744" s="1672">
        <v>0.15</v>
      </c>
      <c r="H1744" s="1671">
        <f t="shared" si="229"/>
        <v>0</v>
      </c>
      <c r="I1744" s="1671" t="s">
        <v>49</v>
      </c>
      <c r="J1744" s="1668"/>
      <c r="K1744" s="1668"/>
      <c r="L1744" s="1669"/>
    </row>
    <row r="1745" spans="1:12" s="692" customFormat="1" ht="16.5" hidden="1">
      <c r="A1745" s="1665"/>
      <c r="B1745" s="1666"/>
      <c r="C1745" s="688"/>
      <c r="D1745" s="1667"/>
      <c r="E1745" s="1671"/>
      <c r="F1745" s="1671"/>
      <c r="G1745" s="1669" t="s">
        <v>928</v>
      </c>
      <c r="H1745" s="1673">
        <f>SUM(H1739:H1744)</f>
        <v>0</v>
      </c>
      <c r="I1745" s="1669" t="s">
        <v>49</v>
      </c>
      <c r="J1745" s="1669">
        <f>'Lead &amp; ANALYSIS'!L534</f>
        <v>17255</v>
      </c>
      <c r="K1745" s="1668" t="s">
        <v>1516</v>
      </c>
      <c r="L1745" s="1669">
        <f>ROUND(H1745*J1745,0)</f>
        <v>0</v>
      </c>
    </row>
    <row r="1746" spans="1:12" s="692" customFormat="1" ht="16.5" hidden="1">
      <c r="A1746" s="1665" t="s">
        <v>244</v>
      </c>
      <c r="B1746" s="1666" t="s">
        <v>481</v>
      </c>
      <c r="C1746" s="688"/>
      <c r="D1746" s="1667"/>
      <c r="E1746" s="688"/>
      <c r="F1746" s="688"/>
      <c r="G1746" s="1674"/>
      <c r="H1746" s="688"/>
      <c r="I1746" s="1668"/>
      <c r="J1746" s="1668"/>
      <c r="K1746" s="1668"/>
      <c r="L1746" s="1669"/>
    </row>
    <row r="1747" spans="1:12" s="692" customFormat="1" ht="16.5" hidden="1">
      <c r="A1747" s="1665"/>
      <c r="B1747" s="1666" t="s">
        <v>1948</v>
      </c>
      <c r="C1747" s="688"/>
      <c r="D1747" s="1667"/>
      <c r="E1747" s="1671">
        <f>'DRAWING CC'!IL238+0.3</f>
        <v>0.3</v>
      </c>
      <c r="F1747" s="1671">
        <f>'DRAWING CC'!FL164</f>
        <v>0</v>
      </c>
      <c r="G1747" s="1683">
        <f>0.065</f>
        <v>6.5000000000000002E-2</v>
      </c>
      <c r="H1747" s="1671">
        <f t="shared" ref="H1747:H1752" si="230">ROUND(D1747*E1747*F1747*G1747,2)</f>
        <v>0</v>
      </c>
      <c r="I1747" s="1671" t="s">
        <v>49</v>
      </c>
      <c r="J1747" s="1668"/>
      <c r="K1747" s="1668"/>
      <c r="L1747" s="1669"/>
    </row>
    <row r="1748" spans="1:12" s="692" customFormat="1" ht="16.5" hidden="1">
      <c r="A1748" s="1665"/>
      <c r="B1748" s="1666" t="s">
        <v>2987</v>
      </c>
      <c r="C1748" s="688"/>
      <c r="D1748" s="1667"/>
      <c r="E1748" s="1671">
        <f>'DRAWING CC'!AW195</f>
        <v>0</v>
      </c>
      <c r="F1748" s="1671">
        <f>F1747</f>
        <v>0</v>
      </c>
      <c r="G1748" s="1683">
        <f>0.065</f>
        <v>6.5000000000000002E-2</v>
      </c>
      <c r="H1748" s="1671">
        <f t="shared" si="230"/>
        <v>0</v>
      </c>
      <c r="I1748" s="1671" t="s">
        <v>49</v>
      </c>
      <c r="J1748" s="1668"/>
      <c r="K1748" s="1668"/>
      <c r="L1748" s="1669"/>
    </row>
    <row r="1749" spans="1:12" s="692" customFormat="1" ht="16.5" hidden="1">
      <c r="A1749" s="1665"/>
      <c r="B1749" s="1666"/>
      <c r="C1749" s="688"/>
      <c r="D1749" s="1667"/>
      <c r="E1749" s="1671">
        <f>D261-F1749</f>
        <v>0</v>
      </c>
      <c r="F1749" s="1671">
        <f>F1748</f>
        <v>0</v>
      </c>
      <c r="G1749" s="1672">
        <f>G1748</f>
        <v>6.5000000000000002E-2</v>
      </c>
      <c r="H1749" s="1671">
        <f t="shared" si="230"/>
        <v>0</v>
      </c>
      <c r="I1749" s="1671" t="s">
        <v>49</v>
      </c>
      <c r="J1749" s="1668"/>
      <c r="K1749" s="1668"/>
      <c r="L1749" s="1669"/>
    </row>
    <row r="1750" spans="1:12" s="692" customFormat="1" ht="16.5" hidden="1">
      <c r="A1750" s="1665"/>
      <c r="B1750" s="1666"/>
      <c r="C1750" s="688"/>
      <c r="D1750" s="1667"/>
      <c r="E1750" s="1671">
        <v>3.5</v>
      </c>
      <c r="F1750" s="1671">
        <v>4</v>
      </c>
      <c r="G1750" s="1672">
        <v>0.15</v>
      </c>
      <c r="H1750" s="1671">
        <f t="shared" si="230"/>
        <v>0</v>
      </c>
      <c r="I1750" s="1671" t="s">
        <v>49</v>
      </c>
      <c r="J1750" s="1668"/>
      <c r="K1750" s="1668"/>
      <c r="L1750" s="1669"/>
    </row>
    <row r="1751" spans="1:12" s="692" customFormat="1" ht="16.5" hidden="1">
      <c r="A1751" s="1665"/>
      <c r="B1751" s="1666"/>
      <c r="C1751" s="688"/>
      <c r="D1751" s="1667"/>
      <c r="E1751" s="1671">
        <v>3.5</v>
      </c>
      <c r="F1751" s="1671">
        <v>4</v>
      </c>
      <c r="G1751" s="1672">
        <v>0.15</v>
      </c>
      <c r="H1751" s="1671">
        <f t="shared" si="230"/>
        <v>0</v>
      </c>
      <c r="I1751" s="1671" t="s">
        <v>49</v>
      </c>
      <c r="J1751" s="1668"/>
      <c r="K1751" s="1668"/>
      <c r="L1751" s="1669"/>
    </row>
    <row r="1752" spans="1:12" s="692" customFormat="1" ht="16.5" hidden="1">
      <c r="A1752" s="1665"/>
      <c r="B1752" s="1666"/>
      <c r="C1752" s="688"/>
      <c r="D1752" s="1667"/>
      <c r="E1752" s="1671">
        <v>3.5</v>
      </c>
      <c r="F1752" s="1671">
        <v>4</v>
      </c>
      <c r="G1752" s="1672">
        <v>0.15</v>
      </c>
      <c r="H1752" s="1671">
        <f t="shared" si="230"/>
        <v>0</v>
      </c>
      <c r="I1752" s="1671" t="s">
        <v>49</v>
      </c>
      <c r="J1752" s="1668"/>
      <c r="K1752" s="1668"/>
      <c r="L1752" s="1669"/>
    </row>
    <row r="1753" spans="1:12" s="692" customFormat="1" ht="16.5" hidden="1">
      <c r="A1753" s="1665"/>
      <c r="B1753" s="1666"/>
      <c r="C1753" s="688"/>
      <c r="D1753" s="1667"/>
      <c r="E1753" s="1671"/>
      <c r="F1753" s="1671"/>
      <c r="G1753" s="1669" t="s">
        <v>928</v>
      </c>
      <c r="H1753" s="1673">
        <f>SUM(H1747:H1752)</f>
        <v>0</v>
      </c>
      <c r="I1753" s="1669" t="s">
        <v>49</v>
      </c>
      <c r="J1753" s="1668"/>
      <c r="K1753" s="1668"/>
      <c r="L1753" s="1669"/>
    </row>
    <row r="1754" spans="1:12" s="692" customFormat="1" ht="16.5" hidden="1">
      <c r="A1754" s="1665"/>
      <c r="B1754" s="1666" t="s">
        <v>1948</v>
      </c>
      <c r="C1754" s="688"/>
      <c r="D1754" s="1667"/>
      <c r="E1754" s="1671">
        <v>3.5</v>
      </c>
      <c r="F1754" s="1671">
        <v>4</v>
      </c>
      <c r="G1754" s="1672"/>
      <c r="H1754" s="1671">
        <f>ROUND(D1754*E1754*F1754,2)</f>
        <v>0</v>
      </c>
      <c r="I1754" s="1671" t="s">
        <v>92</v>
      </c>
      <c r="J1754" s="1668"/>
      <c r="K1754" s="1668"/>
      <c r="L1754" s="1669"/>
    </row>
    <row r="1755" spans="1:12" s="692" customFormat="1" ht="16.5" hidden="1">
      <c r="A1755" s="1665"/>
      <c r="B1755" s="1666" t="s">
        <v>2987</v>
      </c>
      <c r="C1755" s="688"/>
      <c r="D1755" s="1667"/>
      <c r="E1755" s="1671">
        <v>3.5</v>
      </c>
      <c r="F1755" s="1671">
        <v>4</v>
      </c>
      <c r="G1755" s="1672"/>
      <c r="H1755" s="1671">
        <f t="shared" ref="H1755:H1759" si="231">ROUND(D1755*E1755*F1755,2)</f>
        <v>0</v>
      </c>
      <c r="I1755" s="1671" t="s">
        <v>92</v>
      </c>
      <c r="J1755" s="1668"/>
      <c r="K1755" s="1668"/>
      <c r="L1755" s="1669"/>
    </row>
    <row r="1756" spans="1:12" s="692" customFormat="1" ht="16.5" hidden="1">
      <c r="A1756" s="1665"/>
      <c r="B1756" s="1666"/>
      <c r="C1756" s="688"/>
      <c r="D1756" s="1667"/>
      <c r="E1756" s="1671">
        <v>3.5</v>
      </c>
      <c r="F1756" s="1671">
        <v>4</v>
      </c>
      <c r="G1756" s="1672"/>
      <c r="H1756" s="1671">
        <f t="shared" si="231"/>
        <v>0</v>
      </c>
      <c r="I1756" s="1671" t="s">
        <v>92</v>
      </c>
      <c r="J1756" s="1668"/>
      <c r="K1756" s="1668"/>
      <c r="L1756" s="1669"/>
    </row>
    <row r="1757" spans="1:12" s="692" customFormat="1" ht="16.5" hidden="1">
      <c r="A1757" s="1665"/>
      <c r="B1757" s="1666"/>
      <c r="C1757" s="688"/>
      <c r="D1757" s="1667"/>
      <c r="E1757" s="1671">
        <v>3.5</v>
      </c>
      <c r="F1757" s="1671">
        <v>4</v>
      </c>
      <c r="G1757" s="1672"/>
      <c r="H1757" s="1671">
        <f t="shared" si="231"/>
        <v>0</v>
      </c>
      <c r="I1757" s="1671" t="s">
        <v>92</v>
      </c>
      <c r="J1757" s="1668"/>
      <c r="K1757" s="1668"/>
      <c r="L1757" s="1669"/>
    </row>
    <row r="1758" spans="1:12" s="692" customFormat="1" ht="16.5" hidden="1">
      <c r="A1758" s="1665"/>
      <c r="B1758" s="1666"/>
      <c r="C1758" s="688"/>
      <c r="D1758" s="1667"/>
      <c r="E1758" s="1671">
        <v>3.5</v>
      </c>
      <c r="F1758" s="1671">
        <v>4</v>
      </c>
      <c r="G1758" s="1672"/>
      <c r="H1758" s="1671">
        <f t="shared" si="231"/>
        <v>0</v>
      </c>
      <c r="I1758" s="1671" t="s">
        <v>92</v>
      </c>
      <c r="J1758" s="1668"/>
      <c r="K1758" s="1668"/>
      <c r="L1758" s="1669"/>
    </row>
    <row r="1759" spans="1:12" s="692" customFormat="1" ht="16.5" hidden="1">
      <c r="A1759" s="1665"/>
      <c r="B1759" s="1666"/>
      <c r="C1759" s="688"/>
      <c r="D1759" s="1667"/>
      <c r="E1759" s="1671">
        <v>3.5</v>
      </c>
      <c r="F1759" s="1671">
        <v>4</v>
      </c>
      <c r="G1759" s="1672"/>
      <c r="H1759" s="1671">
        <f t="shared" si="231"/>
        <v>0</v>
      </c>
      <c r="I1759" s="1671" t="s">
        <v>92</v>
      </c>
      <c r="J1759" s="1668"/>
      <c r="K1759" s="1668"/>
      <c r="L1759" s="1669"/>
    </row>
    <row r="1760" spans="1:12" s="692" customFormat="1" ht="16.5" hidden="1">
      <c r="A1760" s="1665"/>
      <c r="B1760" s="1666"/>
      <c r="C1760" s="688"/>
      <c r="D1760" s="1667"/>
      <c r="E1760" s="1671"/>
      <c r="F1760" s="1671"/>
      <c r="G1760" s="1669" t="s">
        <v>928</v>
      </c>
      <c r="H1760" s="1673">
        <f>SUM(H1754:H1759)</f>
        <v>0</v>
      </c>
      <c r="I1760" s="1671" t="s">
        <v>92</v>
      </c>
      <c r="J1760" s="1669">
        <f>'Lead &amp; ANALYSIS'!L586</f>
        <v>1497.1</v>
      </c>
      <c r="K1760" s="1668" t="s">
        <v>1514</v>
      </c>
      <c r="L1760" s="1669">
        <f>ROUND(H1760*J1760,0)</f>
        <v>0</v>
      </c>
    </row>
    <row r="1761" spans="1:12" s="692" customFormat="1" ht="16.5" hidden="1">
      <c r="A1761" s="1665" t="s">
        <v>291</v>
      </c>
      <c r="B1761" s="1666" t="s">
        <v>3401</v>
      </c>
      <c r="C1761" s="688"/>
      <c r="D1761" s="1667"/>
      <c r="E1761" s="688"/>
      <c r="F1761" s="688"/>
      <c r="G1761" s="1674"/>
      <c r="H1761" s="688"/>
      <c r="I1761" s="1668"/>
      <c r="J1761" s="1668"/>
      <c r="K1761" s="1668"/>
      <c r="L1761" s="1669"/>
    </row>
    <row r="1762" spans="1:12" s="692" customFormat="1" ht="16.5" hidden="1">
      <c r="A1762" s="1665"/>
      <c r="B1762" s="1666"/>
      <c r="C1762" s="688"/>
      <c r="D1762" s="1667"/>
      <c r="E1762" s="1671">
        <f>D283+F1762</f>
        <v>0</v>
      </c>
      <c r="F1762" s="1671">
        <f>F1747</f>
        <v>0</v>
      </c>
      <c r="G1762" s="1672">
        <f>'DRAWING CC'!GI176</f>
        <v>0</v>
      </c>
      <c r="H1762" s="1671">
        <f t="shared" ref="H1762:H1767" si="232">ROUND(D1762*E1762*F1762*G1762,2)</f>
        <v>0</v>
      </c>
      <c r="I1762" s="1671" t="s">
        <v>49</v>
      </c>
      <c r="J1762" s="1668"/>
      <c r="K1762" s="1668"/>
      <c r="L1762" s="1669"/>
    </row>
    <row r="1763" spans="1:12" s="692" customFormat="1" ht="16.5" hidden="1">
      <c r="A1763" s="1665"/>
      <c r="B1763" s="1666"/>
      <c r="C1763" s="688"/>
      <c r="D1763" s="1667"/>
      <c r="E1763" s="1671">
        <f>D286-F1763</f>
        <v>0</v>
      </c>
      <c r="F1763" s="1671">
        <f>F1762</f>
        <v>0</v>
      </c>
      <c r="G1763" s="1672">
        <f>G1762</f>
        <v>0</v>
      </c>
      <c r="H1763" s="1671">
        <f t="shared" si="232"/>
        <v>0</v>
      </c>
      <c r="I1763" s="1671" t="s">
        <v>49</v>
      </c>
      <c r="J1763" s="1668"/>
      <c r="K1763" s="1668"/>
      <c r="L1763" s="1669"/>
    </row>
    <row r="1764" spans="1:12" s="692" customFormat="1" ht="16.5" hidden="1">
      <c r="A1764" s="1665"/>
      <c r="B1764" s="1666"/>
      <c r="C1764" s="688"/>
      <c r="D1764" s="1667"/>
      <c r="E1764" s="1671">
        <f>D287-F1764</f>
        <v>0</v>
      </c>
      <c r="F1764" s="1671">
        <f>F1763</f>
        <v>0</v>
      </c>
      <c r="G1764" s="1672">
        <f>G1763</f>
        <v>0</v>
      </c>
      <c r="H1764" s="1671">
        <f t="shared" si="232"/>
        <v>0</v>
      </c>
      <c r="I1764" s="1671" t="s">
        <v>49</v>
      </c>
      <c r="J1764" s="1668"/>
      <c r="K1764" s="1668"/>
      <c r="L1764" s="1669"/>
    </row>
    <row r="1765" spans="1:12" s="692" customFormat="1" ht="16.5" hidden="1">
      <c r="A1765" s="1665"/>
      <c r="B1765" s="1666"/>
      <c r="C1765" s="688"/>
      <c r="D1765" s="1667"/>
      <c r="E1765" s="1671">
        <v>3.5</v>
      </c>
      <c r="F1765" s="1671">
        <v>4</v>
      </c>
      <c r="G1765" s="1672">
        <v>0.15</v>
      </c>
      <c r="H1765" s="1671">
        <f t="shared" si="232"/>
        <v>0</v>
      </c>
      <c r="I1765" s="1671" t="s">
        <v>49</v>
      </c>
      <c r="J1765" s="1668"/>
      <c r="K1765" s="1668"/>
      <c r="L1765" s="1669"/>
    </row>
    <row r="1766" spans="1:12" s="692" customFormat="1" ht="16.5" hidden="1">
      <c r="A1766" s="1665"/>
      <c r="B1766" s="1666"/>
      <c r="C1766" s="688"/>
      <c r="D1766" s="1667"/>
      <c r="E1766" s="1671">
        <v>3.5</v>
      </c>
      <c r="F1766" s="1671">
        <v>4</v>
      </c>
      <c r="G1766" s="1672">
        <v>0.15</v>
      </c>
      <c r="H1766" s="1671">
        <f t="shared" si="232"/>
        <v>0</v>
      </c>
      <c r="I1766" s="1671" t="s">
        <v>49</v>
      </c>
      <c r="J1766" s="1668"/>
      <c r="K1766" s="1668"/>
      <c r="L1766" s="1669"/>
    </row>
    <row r="1767" spans="1:12" s="692" customFormat="1" ht="16.5" hidden="1">
      <c r="A1767" s="1665"/>
      <c r="B1767" s="1666"/>
      <c r="C1767" s="688"/>
      <c r="D1767" s="1667"/>
      <c r="E1767" s="1671">
        <v>3.5</v>
      </c>
      <c r="F1767" s="1671">
        <v>4</v>
      </c>
      <c r="G1767" s="1672">
        <v>0.15</v>
      </c>
      <c r="H1767" s="1671">
        <f t="shared" si="232"/>
        <v>0</v>
      </c>
      <c r="I1767" s="1671" t="s">
        <v>49</v>
      </c>
      <c r="J1767" s="1668"/>
      <c r="K1767" s="1668"/>
      <c r="L1767" s="1669"/>
    </row>
    <row r="1768" spans="1:12" s="692" customFormat="1" ht="16.5" hidden="1">
      <c r="A1768" s="1665"/>
      <c r="B1768" s="1666"/>
      <c r="C1768" s="688"/>
      <c r="D1768" s="1667"/>
      <c r="E1768" s="1671"/>
      <c r="F1768" s="1671"/>
      <c r="G1768" s="1669" t="s">
        <v>928</v>
      </c>
      <c r="H1768" s="1673">
        <f>SUM(H1762:H1767)</f>
        <v>0</v>
      </c>
      <c r="I1768" s="1669" t="s">
        <v>49</v>
      </c>
      <c r="J1768" s="1668"/>
      <c r="K1768" s="1668"/>
      <c r="L1768" s="1669"/>
    </row>
    <row r="1769" spans="1:12" s="692" customFormat="1" ht="16.5" hidden="1">
      <c r="A1769" s="1665"/>
      <c r="B1769" s="1666"/>
      <c r="C1769" s="688"/>
      <c r="D1769" s="1667"/>
      <c r="E1769" s="1671">
        <f>D290+F1769</f>
        <v>4</v>
      </c>
      <c r="F1769" s="1671">
        <f>F1754</f>
        <v>4</v>
      </c>
      <c r="G1769" s="1672">
        <f>'DRAWING CC'!GI183</f>
        <v>0</v>
      </c>
      <c r="H1769" s="1671">
        <f t="shared" ref="H1769:H1774" si="233">ROUND(D1769*E1769*F1769*G1769,2)</f>
        <v>0</v>
      </c>
      <c r="I1769" s="1671" t="s">
        <v>49</v>
      </c>
      <c r="J1769" s="1668"/>
      <c r="K1769" s="1668"/>
      <c r="L1769" s="1669"/>
    </row>
    <row r="1770" spans="1:12" s="692" customFormat="1" ht="16.5" hidden="1">
      <c r="A1770" s="1665"/>
      <c r="B1770" s="1666"/>
      <c r="C1770" s="688"/>
      <c r="D1770" s="1667"/>
      <c r="E1770" s="1671">
        <f>D293-F1770</f>
        <v>-4</v>
      </c>
      <c r="F1770" s="1671">
        <f>F1769</f>
        <v>4</v>
      </c>
      <c r="G1770" s="1672">
        <f>G1769</f>
        <v>0</v>
      </c>
      <c r="H1770" s="1671">
        <f t="shared" si="233"/>
        <v>0</v>
      </c>
      <c r="I1770" s="1671" t="s">
        <v>49</v>
      </c>
      <c r="J1770" s="1668"/>
      <c r="K1770" s="1668"/>
      <c r="L1770" s="1669"/>
    </row>
    <row r="1771" spans="1:12" s="692" customFormat="1" ht="16.5" hidden="1">
      <c r="A1771" s="1665"/>
      <c r="B1771" s="1666"/>
      <c r="C1771" s="688"/>
      <c r="D1771" s="1667"/>
      <c r="E1771" s="1671">
        <f>D294-F1771</f>
        <v>-4</v>
      </c>
      <c r="F1771" s="1671">
        <f>F1770</f>
        <v>4</v>
      </c>
      <c r="G1771" s="1672">
        <f>G1770</f>
        <v>0</v>
      </c>
      <c r="H1771" s="1671">
        <f t="shared" si="233"/>
        <v>0</v>
      </c>
      <c r="I1771" s="1671" t="s">
        <v>49</v>
      </c>
      <c r="J1771" s="1668"/>
      <c r="K1771" s="1668"/>
      <c r="L1771" s="1669"/>
    </row>
    <row r="1772" spans="1:12" s="692" customFormat="1" ht="16.5" hidden="1">
      <c r="A1772" s="1665"/>
      <c r="B1772" s="1666"/>
      <c r="C1772" s="688"/>
      <c r="D1772" s="1667"/>
      <c r="E1772" s="1671">
        <v>3.5</v>
      </c>
      <c r="F1772" s="1671">
        <v>4</v>
      </c>
      <c r="G1772" s="1672">
        <v>0.15</v>
      </c>
      <c r="H1772" s="1671">
        <f t="shared" si="233"/>
        <v>0</v>
      </c>
      <c r="I1772" s="1671" t="s">
        <v>49</v>
      </c>
      <c r="J1772" s="1668"/>
      <c r="K1772" s="1668"/>
      <c r="L1772" s="1669"/>
    </row>
    <row r="1773" spans="1:12" s="692" customFormat="1" ht="16.5" hidden="1">
      <c r="A1773" s="1665"/>
      <c r="B1773" s="1666"/>
      <c r="C1773" s="688"/>
      <c r="D1773" s="1667"/>
      <c r="E1773" s="1671">
        <v>3.5</v>
      </c>
      <c r="F1773" s="1671">
        <v>4</v>
      </c>
      <c r="G1773" s="1672">
        <v>0.15</v>
      </c>
      <c r="H1773" s="1671">
        <f t="shared" si="233"/>
        <v>0</v>
      </c>
      <c r="I1773" s="1671" t="s">
        <v>49</v>
      </c>
      <c r="J1773" s="1668"/>
      <c r="K1773" s="1668"/>
      <c r="L1773" s="1669"/>
    </row>
    <row r="1774" spans="1:12" s="692" customFormat="1" ht="16.5" hidden="1">
      <c r="A1774" s="1665"/>
      <c r="B1774" s="1666"/>
      <c r="C1774" s="688"/>
      <c r="D1774" s="1667"/>
      <c r="E1774" s="1671">
        <v>3.5</v>
      </c>
      <c r="F1774" s="1671">
        <v>4</v>
      </c>
      <c r="G1774" s="1672">
        <v>0.15</v>
      </c>
      <c r="H1774" s="1671">
        <f t="shared" si="233"/>
        <v>0</v>
      </c>
      <c r="I1774" s="1671" t="s">
        <v>49</v>
      </c>
      <c r="J1774" s="1668"/>
      <c r="K1774" s="1668"/>
      <c r="L1774" s="1669"/>
    </row>
    <row r="1775" spans="1:12" s="692" customFormat="1" ht="16.5" hidden="1">
      <c r="A1775" s="1665"/>
      <c r="B1775" s="1666"/>
      <c r="C1775" s="688"/>
      <c r="D1775" s="1667"/>
      <c r="E1775" s="1671"/>
      <c r="F1775" s="1671"/>
      <c r="G1775" s="1669" t="s">
        <v>928</v>
      </c>
      <c r="H1775" s="1673">
        <f>SUM(H1769:H1774)</f>
        <v>0</v>
      </c>
      <c r="I1775" s="1669" t="s">
        <v>49</v>
      </c>
      <c r="J1775" s="1669">
        <f>'Lead &amp; ANALYSIS'!L547</f>
        <v>18277.400000000001</v>
      </c>
      <c r="K1775" s="1668" t="s">
        <v>1516</v>
      </c>
      <c r="L1775" s="1669">
        <f>ROUND(H1775*J1775,0)</f>
        <v>0</v>
      </c>
    </row>
    <row r="1776" spans="1:12" s="692" customFormat="1" ht="16.5" hidden="1">
      <c r="A1776" s="1665" t="s">
        <v>308</v>
      </c>
      <c r="B1776" s="1666" t="s">
        <v>1926</v>
      </c>
      <c r="C1776" s="688"/>
      <c r="D1776" s="1667"/>
      <c r="E1776" s="688"/>
      <c r="F1776" s="688"/>
      <c r="G1776" s="1674"/>
      <c r="H1776" s="688"/>
      <c r="I1776" s="1668"/>
      <c r="J1776" s="1668"/>
      <c r="K1776" s="1668"/>
      <c r="L1776" s="1669"/>
    </row>
    <row r="1777" spans="1:12" s="692" customFormat="1" ht="16.5" hidden="1">
      <c r="A1777" s="1665"/>
      <c r="B1777" s="1666"/>
      <c r="C1777" s="688"/>
      <c r="D1777" s="1667"/>
      <c r="E1777" s="1671">
        <v>3.5</v>
      </c>
      <c r="F1777" s="1671">
        <v>4</v>
      </c>
      <c r="G1777" s="1672">
        <v>0.15</v>
      </c>
      <c r="H1777" s="1671">
        <f t="shared" ref="H1777:H1782" si="234">ROUND(D1777*E1777*F1777*G1777,2)</f>
        <v>0</v>
      </c>
      <c r="I1777" s="1671" t="s">
        <v>49</v>
      </c>
      <c r="J1777" s="1668"/>
      <c r="K1777" s="1668"/>
      <c r="L1777" s="1669"/>
    </row>
    <row r="1778" spans="1:12" s="692" customFormat="1" ht="16.5" hidden="1">
      <c r="A1778" s="1665"/>
      <c r="B1778" s="1666"/>
      <c r="C1778" s="688"/>
      <c r="D1778" s="1667"/>
      <c r="E1778" s="1671">
        <v>3.5</v>
      </c>
      <c r="F1778" s="1671">
        <v>4</v>
      </c>
      <c r="G1778" s="1672">
        <v>0.15</v>
      </c>
      <c r="H1778" s="1671">
        <f t="shared" si="234"/>
        <v>0</v>
      </c>
      <c r="I1778" s="1671" t="s">
        <v>49</v>
      </c>
      <c r="J1778" s="1668"/>
      <c r="K1778" s="1668"/>
      <c r="L1778" s="1669"/>
    </row>
    <row r="1779" spans="1:12" s="692" customFormat="1" ht="16.5" hidden="1">
      <c r="A1779" s="1665"/>
      <c r="B1779" s="1666"/>
      <c r="C1779" s="688"/>
      <c r="D1779" s="1667"/>
      <c r="E1779" s="1671">
        <v>3.5</v>
      </c>
      <c r="F1779" s="1671">
        <v>4</v>
      </c>
      <c r="G1779" s="1672">
        <v>0.15</v>
      </c>
      <c r="H1779" s="1671">
        <f t="shared" si="234"/>
        <v>0</v>
      </c>
      <c r="I1779" s="1671" t="s">
        <v>49</v>
      </c>
      <c r="J1779" s="1668"/>
      <c r="K1779" s="1668"/>
      <c r="L1779" s="1669"/>
    </row>
    <row r="1780" spans="1:12" s="692" customFormat="1" ht="16.5" hidden="1">
      <c r="A1780" s="1665"/>
      <c r="B1780" s="1666"/>
      <c r="C1780" s="688"/>
      <c r="D1780" s="1667"/>
      <c r="E1780" s="1671">
        <v>3.5</v>
      </c>
      <c r="F1780" s="1671">
        <v>4</v>
      </c>
      <c r="G1780" s="1672">
        <v>0.15</v>
      </c>
      <c r="H1780" s="1671">
        <f t="shared" si="234"/>
        <v>0</v>
      </c>
      <c r="I1780" s="1671" t="s">
        <v>49</v>
      </c>
      <c r="J1780" s="1668"/>
      <c r="K1780" s="1668"/>
      <c r="L1780" s="1669"/>
    </row>
    <row r="1781" spans="1:12" s="692" customFormat="1" ht="16.5" hidden="1">
      <c r="A1781" s="1665"/>
      <c r="B1781" s="1666"/>
      <c r="C1781" s="688"/>
      <c r="D1781" s="1667"/>
      <c r="E1781" s="1671">
        <v>3.5</v>
      </c>
      <c r="F1781" s="1671">
        <v>4</v>
      </c>
      <c r="G1781" s="1672">
        <v>0.15</v>
      </c>
      <c r="H1781" s="1671">
        <f t="shared" si="234"/>
        <v>0</v>
      </c>
      <c r="I1781" s="1671" t="s">
        <v>49</v>
      </c>
      <c r="J1781" s="1668"/>
      <c r="K1781" s="1668"/>
      <c r="L1781" s="1669"/>
    </row>
    <row r="1782" spans="1:12" s="692" customFormat="1" ht="16.5" hidden="1">
      <c r="A1782" s="1665"/>
      <c r="B1782" s="1666"/>
      <c r="C1782" s="688"/>
      <c r="D1782" s="1667"/>
      <c r="E1782" s="1671">
        <v>3.5</v>
      </c>
      <c r="F1782" s="1671">
        <v>4</v>
      </c>
      <c r="G1782" s="1672">
        <v>0.15</v>
      </c>
      <c r="H1782" s="1671">
        <f t="shared" si="234"/>
        <v>0</v>
      </c>
      <c r="I1782" s="1671" t="s">
        <v>49</v>
      </c>
      <c r="J1782" s="1668"/>
      <c r="K1782" s="1668"/>
      <c r="L1782" s="1669"/>
    </row>
    <row r="1783" spans="1:12" s="692" customFormat="1" ht="16.5" hidden="1">
      <c r="A1783" s="1665"/>
      <c r="B1783" s="1666"/>
      <c r="C1783" s="688"/>
      <c r="D1783" s="1667"/>
      <c r="E1783" s="1671"/>
      <c r="F1783" s="1671"/>
      <c r="G1783" s="1669" t="s">
        <v>928</v>
      </c>
      <c r="H1783" s="1673">
        <f>SUM(H1777:H1782)</f>
        <v>0</v>
      </c>
      <c r="I1783" s="1669" t="s">
        <v>49</v>
      </c>
      <c r="J1783" s="1668"/>
      <c r="K1783" s="1668"/>
      <c r="L1783" s="1669"/>
    </row>
    <row r="1784" spans="1:12" s="692" customFormat="1" ht="16.5" hidden="1">
      <c r="A1784" s="1665"/>
      <c r="B1784" s="1666"/>
      <c r="C1784" s="688"/>
      <c r="D1784" s="1667"/>
      <c r="E1784" s="1671">
        <v>3.5</v>
      </c>
      <c r="F1784" s="1671">
        <v>4</v>
      </c>
      <c r="G1784" s="1672"/>
      <c r="H1784" s="1671">
        <f>ROUND(D1784*E1784*F1784,2)</f>
        <v>0</v>
      </c>
      <c r="I1784" s="1671" t="s">
        <v>92</v>
      </c>
      <c r="J1784" s="1668"/>
      <c r="K1784" s="1668"/>
      <c r="L1784" s="1669"/>
    </row>
    <row r="1785" spans="1:12" s="692" customFormat="1" ht="16.5" hidden="1">
      <c r="A1785" s="1665"/>
      <c r="B1785" s="1666"/>
      <c r="C1785" s="688"/>
      <c r="D1785" s="1667"/>
      <c r="E1785" s="1671">
        <v>3.5</v>
      </c>
      <c r="F1785" s="1671">
        <v>4</v>
      </c>
      <c r="G1785" s="1672"/>
      <c r="H1785" s="1671">
        <f t="shared" ref="H1785:H1789" si="235">ROUND(D1785*E1785*F1785,2)</f>
        <v>0</v>
      </c>
      <c r="I1785" s="1671" t="s">
        <v>92</v>
      </c>
      <c r="J1785" s="1668"/>
      <c r="K1785" s="1668"/>
      <c r="L1785" s="1669"/>
    </row>
    <row r="1786" spans="1:12" s="692" customFormat="1" ht="16.5" hidden="1">
      <c r="A1786" s="1665"/>
      <c r="B1786" s="1666"/>
      <c r="C1786" s="688"/>
      <c r="D1786" s="1667"/>
      <c r="E1786" s="1671">
        <v>3.5</v>
      </c>
      <c r="F1786" s="1671">
        <v>4</v>
      </c>
      <c r="G1786" s="1672"/>
      <c r="H1786" s="1671">
        <f t="shared" si="235"/>
        <v>0</v>
      </c>
      <c r="I1786" s="1671" t="s">
        <v>92</v>
      </c>
      <c r="J1786" s="1668"/>
      <c r="K1786" s="1668"/>
      <c r="L1786" s="1669"/>
    </row>
    <row r="1787" spans="1:12" s="692" customFormat="1" ht="16.5" hidden="1">
      <c r="A1787" s="1665"/>
      <c r="B1787" s="1666"/>
      <c r="C1787" s="688"/>
      <c r="D1787" s="1667"/>
      <c r="E1787" s="1671">
        <v>3.5</v>
      </c>
      <c r="F1787" s="1671">
        <v>4</v>
      </c>
      <c r="G1787" s="1672"/>
      <c r="H1787" s="1671">
        <f t="shared" si="235"/>
        <v>0</v>
      </c>
      <c r="I1787" s="1671" t="s">
        <v>92</v>
      </c>
      <c r="J1787" s="1668"/>
      <c r="K1787" s="1668"/>
      <c r="L1787" s="1669"/>
    </row>
    <row r="1788" spans="1:12" s="692" customFormat="1" ht="16.5" hidden="1">
      <c r="A1788" s="1665"/>
      <c r="B1788" s="1666"/>
      <c r="C1788" s="688"/>
      <c r="D1788" s="1667"/>
      <c r="E1788" s="1671">
        <v>3.5</v>
      </c>
      <c r="F1788" s="1671">
        <v>4</v>
      </c>
      <c r="G1788" s="1672"/>
      <c r="H1788" s="1671">
        <f t="shared" si="235"/>
        <v>0</v>
      </c>
      <c r="I1788" s="1671" t="s">
        <v>92</v>
      </c>
      <c r="J1788" s="1668"/>
      <c r="K1788" s="1668"/>
      <c r="L1788" s="1669"/>
    </row>
    <row r="1789" spans="1:12" s="692" customFormat="1" ht="16.5" hidden="1">
      <c r="A1789" s="1665"/>
      <c r="B1789" s="1666"/>
      <c r="C1789" s="688"/>
      <c r="D1789" s="1667"/>
      <c r="E1789" s="1671">
        <v>3.5</v>
      </c>
      <c r="F1789" s="1671">
        <v>4</v>
      </c>
      <c r="G1789" s="1672"/>
      <c r="H1789" s="1671">
        <f t="shared" si="235"/>
        <v>0</v>
      </c>
      <c r="I1789" s="1671" t="s">
        <v>92</v>
      </c>
      <c r="J1789" s="1668"/>
      <c r="K1789" s="1668"/>
      <c r="L1789" s="1669"/>
    </row>
    <row r="1790" spans="1:12" s="692" customFormat="1" ht="16.5" hidden="1">
      <c r="A1790" s="1665"/>
      <c r="B1790" s="1666"/>
      <c r="C1790" s="688"/>
      <c r="D1790" s="1667"/>
      <c r="E1790" s="1671"/>
      <c r="F1790" s="1671"/>
      <c r="G1790" s="1669" t="s">
        <v>928</v>
      </c>
      <c r="H1790" s="1673">
        <f>SUM(H1784:H1789)</f>
        <v>0</v>
      </c>
      <c r="I1790" s="1671" t="s">
        <v>92</v>
      </c>
      <c r="J1790" s="1669">
        <f>'Lead &amp; ANALYSIS'!L612</f>
        <v>2806.2</v>
      </c>
      <c r="K1790" s="1668" t="s">
        <v>1514</v>
      </c>
      <c r="L1790" s="1669">
        <f>ROUND(H1790*J1790,0)</f>
        <v>0</v>
      </c>
    </row>
    <row r="1791" spans="1:12" s="692" customFormat="1" ht="16.5" hidden="1">
      <c r="A1791" s="1665" t="s">
        <v>352</v>
      </c>
      <c r="B1791" s="1666" t="s">
        <v>3416</v>
      </c>
      <c r="C1791" s="688"/>
      <c r="D1791" s="1667"/>
      <c r="E1791" s="688"/>
      <c r="F1791" s="688"/>
      <c r="G1791" s="1674"/>
      <c r="H1791" s="688"/>
      <c r="I1791" s="1668"/>
      <c r="J1791" s="1668"/>
      <c r="K1791" s="1668"/>
      <c r="L1791" s="1669"/>
    </row>
    <row r="1792" spans="1:12" s="692" customFormat="1" ht="16.5" hidden="1">
      <c r="A1792" s="1665"/>
      <c r="B1792" s="1666"/>
      <c r="C1792" s="688"/>
      <c r="D1792" s="1667"/>
      <c r="E1792" s="1671">
        <v>3.5</v>
      </c>
      <c r="F1792" s="1671">
        <v>4</v>
      </c>
      <c r="G1792" s="1672">
        <v>0.15</v>
      </c>
      <c r="H1792" s="1671">
        <f t="shared" ref="H1792:H1797" si="236">ROUND(D1792*E1792*F1792*G1792,2)</f>
        <v>0</v>
      </c>
      <c r="I1792" s="1671" t="s">
        <v>49</v>
      </c>
      <c r="J1792" s="1668"/>
      <c r="K1792" s="1668"/>
      <c r="L1792" s="1669"/>
    </row>
    <row r="1793" spans="1:12" s="692" customFormat="1" ht="16.5" hidden="1">
      <c r="A1793" s="1665"/>
      <c r="B1793" s="1666"/>
      <c r="C1793" s="688"/>
      <c r="D1793" s="1667"/>
      <c r="E1793" s="1671">
        <v>3.5</v>
      </c>
      <c r="F1793" s="1671">
        <v>4</v>
      </c>
      <c r="G1793" s="1672">
        <v>0.15</v>
      </c>
      <c r="H1793" s="1671">
        <f t="shared" si="236"/>
        <v>0</v>
      </c>
      <c r="I1793" s="1671" t="s">
        <v>49</v>
      </c>
      <c r="J1793" s="1668"/>
      <c r="K1793" s="1668"/>
      <c r="L1793" s="1669"/>
    </row>
    <row r="1794" spans="1:12" s="692" customFormat="1" ht="16.5" hidden="1">
      <c r="A1794" s="1665"/>
      <c r="B1794" s="1666"/>
      <c r="C1794" s="688"/>
      <c r="D1794" s="1667"/>
      <c r="E1794" s="1671">
        <v>3.5</v>
      </c>
      <c r="F1794" s="1671">
        <v>4</v>
      </c>
      <c r="G1794" s="1672">
        <v>0.15</v>
      </c>
      <c r="H1794" s="1671">
        <f t="shared" si="236"/>
        <v>0</v>
      </c>
      <c r="I1794" s="1671" t="s">
        <v>49</v>
      </c>
      <c r="J1794" s="1668"/>
      <c r="K1794" s="1668"/>
      <c r="L1794" s="1669"/>
    </row>
    <row r="1795" spans="1:12" s="692" customFormat="1" ht="16.5" hidden="1">
      <c r="A1795" s="1665"/>
      <c r="B1795" s="1666"/>
      <c r="C1795" s="688"/>
      <c r="D1795" s="1667"/>
      <c r="E1795" s="1671">
        <v>3.5</v>
      </c>
      <c r="F1795" s="1671">
        <v>4</v>
      </c>
      <c r="G1795" s="1672">
        <v>0.15</v>
      </c>
      <c r="H1795" s="1671">
        <f t="shared" si="236"/>
        <v>0</v>
      </c>
      <c r="I1795" s="1671" t="s">
        <v>49</v>
      </c>
      <c r="J1795" s="1668"/>
      <c r="K1795" s="1668"/>
      <c r="L1795" s="1669"/>
    </row>
    <row r="1796" spans="1:12" s="692" customFormat="1" ht="16.5" hidden="1">
      <c r="A1796" s="1665"/>
      <c r="B1796" s="1666"/>
      <c r="C1796" s="688"/>
      <c r="D1796" s="1667"/>
      <c r="E1796" s="1671">
        <v>3.5</v>
      </c>
      <c r="F1796" s="1671">
        <v>4</v>
      </c>
      <c r="G1796" s="1672">
        <v>0.15</v>
      </c>
      <c r="H1796" s="1671">
        <f t="shared" si="236"/>
        <v>0</v>
      </c>
      <c r="I1796" s="1671" t="s">
        <v>49</v>
      </c>
      <c r="J1796" s="1668"/>
      <c r="K1796" s="1668"/>
      <c r="L1796" s="1669"/>
    </row>
    <row r="1797" spans="1:12" s="692" customFormat="1" ht="16.5" hidden="1">
      <c r="A1797" s="1665"/>
      <c r="B1797" s="1666"/>
      <c r="C1797" s="688"/>
      <c r="D1797" s="1667"/>
      <c r="E1797" s="1671">
        <v>3.5</v>
      </c>
      <c r="F1797" s="1671">
        <v>4</v>
      </c>
      <c r="G1797" s="1672">
        <v>0.15</v>
      </c>
      <c r="H1797" s="1671">
        <f t="shared" si="236"/>
        <v>0</v>
      </c>
      <c r="I1797" s="1671" t="s">
        <v>49</v>
      </c>
      <c r="J1797" s="1668"/>
      <c r="K1797" s="1668"/>
      <c r="L1797" s="1669"/>
    </row>
    <row r="1798" spans="1:12" s="692" customFormat="1" ht="16.5" hidden="1">
      <c r="A1798" s="1665"/>
      <c r="B1798" s="1666"/>
      <c r="C1798" s="688"/>
      <c r="D1798" s="1667"/>
      <c r="E1798" s="1671"/>
      <c r="F1798" s="1671"/>
      <c r="G1798" s="1669" t="s">
        <v>928</v>
      </c>
      <c r="H1798" s="1673">
        <f>SUM(H1792:H1797)</f>
        <v>0</v>
      </c>
      <c r="I1798" s="1669" t="s">
        <v>49</v>
      </c>
      <c r="J1798" s="1668"/>
      <c r="K1798" s="1668"/>
      <c r="L1798" s="1669"/>
    </row>
    <row r="1799" spans="1:12" s="692" customFormat="1" ht="16.5" hidden="1">
      <c r="A1799" s="1665"/>
      <c r="B1799" s="1666"/>
      <c r="C1799" s="688"/>
      <c r="D1799" s="1667"/>
      <c r="E1799" s="1671">
        <v>3.5</v>
      </c>
      <c r="F1799" s="1671">
        <v>4</v>
      </c>
      <c r="G1799" s="1672">
        <v>0.15</v>
      </c>
      <c r="H1799" s="1671">
        <f t="shared" ref="H1799:H1804" si="237">ROUND(D1799*E1799*F1799*G1799,2)</f>
        <v>0</v>
      </c>
      <c r="I1799" s="1671" t="s">
        <v>49</v>
      </c>
      <c r="J1799" s="1668"/>
      <c r="K1799" s="1668"/>
      <c r="L1799" s="1669"/>
    </row>
    <row r="1800" spans="1:12" s="692" customFormat="1" ht="16.5" hidden="1">
      <c r="A1800" s="1665"/>
      <c r="B1800" s="1666"/>
      <c r="C1800" s="688"/>
      <c r="D1800" s="1667"/>
      <c r="E1800" s="1671">
        <v>3.5</v>
      </c>
      <c r="F1800" s="1671">
        <v>4</v>
      </c>
      <c r="G1800" s="1672">
        <v>0.15</v>
      </c>
      <c r="H1800" s="1671">
        <f t="shared" si="237"/>
        <v>0</v>
      </c>
      <c r="I1800" s="1671" t="s">
        <v>49</v>
      </c>
      <c r="J1800" s="1668"/>
      <c r="K1800" s="1668"/>
      <c r="L1800" s="1669"/>
    </row>
    <row r="1801" spans="1:12" s="692" customFormat="1" ht="16.5" hidden="1">
      <c r="A1801" s="1665"/>
      <c r="B1801" s="1666"/>
      <c r="C1801" s="688"/>
      <c r="D1801" s="1667"/>
      <c r="E1801" s="1671">
        <v>3.5</v>
      </c>
      <c r="F1801" s="1671">
        <v>4</v>
      </c>
      <c r="G1801" s="1672">
        <v>0.15</v>
      </c>
      <c r="H1801" s="1671">
        <f t="shared" si="237"/>
        <v>0</v>
      </c>
      <c r="I1801" s="1671" t="s">
        <v>49</v>
      </c>
      <c r="J1801" s="1668"/>
      <c r="K1801" s="1668"/>
      <c r="L1801" s="1669"/>
    </row>
    <row r="1802" spans="1:12" s="692" customFormat="1" ht="16.5" hidden="1">
      <c r="A1802" s="1665"/>
      <c r="B1802" s="1666"/>
      <c r="C1802" s="688"/>
      <c r="D1802" s="1667"/>
      <c r="E1802" s="1671">
        <v>3.5</v>
      </c>
      <c r="F1802" s="1671">
        <v>4</v>
      </c>
      <c r="G1802" s="1672">
        <v>0.15</v>
      </c>
      <c r="H1802" s="1671">
        <f t="shared" si="237"/>
        <v>0</v>
      </c>
      <c r="I1802" s="1671" t="s">
        <v>49</v>
      </c>
      <c r="J1802" s="1668"/>
      <c r="K1802" s="1668"/>
      <c r="L1802" s="1669"/>
    </row>
    <row r="1803" spans="1:12" s="692" customFormat="1" ht="16.5" hidden="1">
      <c r="A1803" s="1665"/>
      <c r="B1803" s="1666"/>
      <c r="C1803" s="688"/>
      <c r="D1803" s="1667"/>
      <c r="E1803" s="1671">
        <v>3.5</v>
      </c>
      <c r="F1803" s="1671">
        <v>4</v>
      </c>
      <c r="G1803" s="1672">
        <v>0.15</v>
      </c>
      <c r="H1803" s="1671">
        <f t="shared" si="237"/>
        <v>0</v>
      </c>
      <c r="I1803" s="1671" t="s">
        <v>49</v>
      </c>
      <c r="J1803" s="1668"/>
      <c r="K1803" s="1668"/>
      <c r="L1803" s="1669"/>
    </row>
    <row r="1804" spans="1:12" s="692" customFormat="1" ht="16.5" hidden="1">
      <c r="A1804" s="1665"/>
      <c r="B1804" s="1666"/>
      <c r="C1804" s="688"/>
      <c r="D1804" s="1667"/>
      <c r="E1804" s="1671">
        <v>3.5</v>
      </c>
      <c r="F1804" s="1671">
        <v>4</v>
      </c>
      <c r="G1804" s="1672">
        <v>0.15</v>
      </c>
      <c r="H1804" s="1671">
        <f t="shared" si="237"/>
        <v>0</v>
      </c>
      <c r="I1804" s="1671" t="s">
        <v>49</v>
      </c>
      <c r="J1804" s="1668"/>
      <c r="K1804" s="1668"/>
      <c r="L1804" s="1669"/>
    </row>
    <row r="1805" spans="1:12" s="692" customFormat="1" ht="16.5" hidden="1">
      <c r="A1805" s="1665"/>
      <c r="B1805" s="1666"/>
      <c r="C1805" s="688"/>
      <c r="D1805" s="1667"/>
      <c r="E1805" s="1671"/>
      <c r="F1805" s="1671"/>
      <c r="G1805" s="1669" t="s">
        <v>928</v>
      </c>
      <c r="H1805" s="1673">
        <f>SUM(H1799:H1804)</f>
        <v>0</v>
      </c>
      <c r="I1805" s="1669" t="s">
        <v>49</v>
      </c>
      <c r="J1805" s="1669">
        <f>'Lead &amp; ANALYSIS'!L534</f>
        <v>17255</v>
      </c>
      <c r="K1805" s="1668" t="s">
        <v>1516</v>
      </c>
      <c r="L1805" s="1669">
        <f>ROUND(H1805*J1805,0)</f>
        <v>0</v>
      </c>
    </row>
    <row r="1806" spans="1:12" s="692" customFormat="1" ht="16.5" hidden="1">
      <c r="A1806" s="1665" t="s">
        <v>2977</v>
      </c>
      <c r="B1806" s="1666" t="s">
        <v>1929</v>
      </c>
      <c r="C1806" s="688"/>
      <c r="D1806" s="1667"/>
      <c r="E1806" s="688"/>
      <c r="F1806" s="688"/>
      <c r="G1806" s="1674"/>
      <c r="H1806" s="688"/>
      <c r="I1806" s="1668"/>
      <c r="J1806" s="1668"/>
      <c r="K1806" s="1668"/>
      <c r="L1806" s="1669"/>
    </row>
    <row r="1807" spans="1:12" s="692" customFormat="1" ht="16.5" hidden="1">
      <c r="A1807" s="1665"/>
      <c r="B1807" s="1666"/>
      <c r="C1807" s="688"/>
      <c r="D1807" s="1667"/>
      <c r="E1807" s="1671">
        <v>3.5</v>
      </c>
      <c r="F1807" s="1671">
        <v>4</v>
      </c>
      <c r="G1807" s="1672">
        <v>0.15</v>
      </c>
      <c r="H1807" s="1671">
        <f t="shared" ref="H1807:H1812" si="238">ROUND(D1807*E1807*F1807*G1807,2)</f>
        <v>0</v>
      </c>
      <c r="I1807" s="1671" t="s">
        <v>49</v>
      </c>
      <c r="J1807" s="1668"/>
      <c r="K1807" s="1668"/>
      <c r="L1807" s="1669"/>
    </row>
    <row r="1808" spans="1:12" s="692" customFormat="1" ht="16.5" hidden="1">
      <c r="A1808" s="1665"/>
      <c r="B1808" s="1666"/>
      <c r="C1808" s="688"/>
      <c r="D1808" s="1667"/>
      <c r="E1808" s="1671">
        <v>3.5</v>
      </c>
      <c r="F1808" s="1671">
        <v>4</v>
      </c>
      <c r="G1808" s="1672">
        <v>0.15</v>
      </c>
      <c r="H1808" s="1671">
        <f t="shared" si="238"/>
        <v>0</v>
      </c>
      <c r="I1808" s="1671" t="s">
        <v>49</v>
      </c>
      <c r="J1808" s="1668"/>
      <c r="K1808" s="1668"/>
      <c r="L1808" s="1669"/>
    </row>
    <row r="1809" spans="1:12" s="692" customFormat="1" ht="16.5" hidden="1">
      <c r="A1809" s="1665"/>
      <c r="B1809" s="1666"/>
      <c r="C1809" s="688"/>
      <c r="D1809" s="1667"/>
      <c r="E1809" s="1671">
        <v>3.5</v>
      </c>
      <c r="F1809" s="1671">
        <v>4</v>
      </c>
      <c r="G1809" s="1672">
        <v>0.15</v>
      </c>
      <c r="H1809" s="1671">
        <f t="shared" si="238"/>
        <v>0</v>
      </c>
      <c r="I1809" s="1671" t="s">
        <v>49</v>
      </c>
      <c r="J1809" s="1668"/>
      <c r="K1809" s="1668"/>
      <c r="L1809" s="1669"/>
    </row>
    <row r="1810" spans="1:12" s="692" customFormat="1" ht="16.5" hidden="1">
      <c r="A1810" s="1665"/>
      <c r="B1810" s="1666"/>
      <c r="C1810" s="688"/>
      <c r="D1810" s="1667"/>
      <c r="E1810" s="1671">
        <v>3.5</v>
      </c>
      <c r="F1810" s="1671">
        <v>4</v>
      </c>
      <c r="G1810" s="1672">
        <v>0.15</v>
      </c>
      <c r="H1810" s="1671">
        <f t="shared" si="238"/>
        <v>0</v>
      </c>
      <c r="I1810" s="1671" t="s">
        <v>49</v>
      </c>
      <c r="J1810" s="1668"/>
      <c r="K1810" s="1668"/>
      <c r="L1810" s="1669"/>
    </row>
    <row r="1811" spans="1:12" s="692" customFormat="1" ht="16.5" hidden="1">
      <c r="A1811" s="1665"/>
      <c r="B1811" s="1666"/>
      <c r="C1811" s="688"/>
      <c r="D1811" s="1667"/>
      <c r="E1811" s="1671">
        <v>3.5</v>
      </c>
      <c r="F1811" s="1671">
        <v>4</v>
      </c>
      <c r="G1811" s="1672">
        <v>0.15</v>
      </c>
      <c r="H1811" s="1671">
        <f t="shared" si="238"/>
        <v>0</v>
      </c>
      <c r="I1811" s="1671" t="s">
        <v>49</v>
      </c>
      <c r="J1811" s="1668"/>
      <c r="K1811" s="1668"/>
      <c r="L1811" s="1669"/>
    </row>
    <row r="1812" spans="1:12" s="692" customFormat="1" ht="16.5" hidden="1">
      <c r="A1812" s="1665"/>
      <c r="B1812" s="1666"/>
      <c r="C1812" s="688"/>
      <c r="D1812" s="1667"/>
      <c r="E1812" s="1671">
        <v>3.5</v>
      </c>
      <c r="F1812" s="1671">
        <v>4</v>
      </c>
      <c r="G1812" s="1672">
        <v>0.15</v>
      </c>
      <c r="H1812" s="1671">
        <f t="shared" si="238"/>
        <v>0</v>
      </c>
      <c r="I1812" s="1671" t="s">
        <v>49</v>
      </c>
      <c r="J1812" s="1668"/>
      <c r="K1812" s="1668"/>
      <c r="L1812" s="1669"/>
    </row>
    <row r="1813" spans="1:12" s="692" customFormat="1" ht="16.5" hidden="1">
      <c r="A1813" s="1665"/>
      <c r="B1813" s="1666"/>
      <c r="C1813" s="688"/>
      <c r="D1813" s="1667"/>
      <c r="E1813" s="1671"/>
      <c r="F1813" s="1671"/>
      <c r="G1813" s="1669" t="s">
        <v>928</v>
      </c>
      <c r="H1813" s="1673">
        <f>SUM(H1807:H1812)</f>
        <v>0</v>
      </c>
      <c r="I1813" s="1669" t="s">
        <v>49</v>
      </c>
      <c r="J1813" s="1668"/>
      <c r="K1813" s="1668"/>
      <c r="L1813" s="1669"/>
    </row>
    <row r="1814" spans="1:12" s="692" customFormat="1" ht="16.5" hidden="1">
      <c r="A1814" s="1665"/>
      <c r="B1814" s="1666"/>
      <c r="C1814" s="688"/>
      <c r="D1814" s="1667"/>
      <c r="E1814" s="1671">
        <v>3.5</v>
      </c>
      <c r="F1814" s="1671">
        <v>4</v>
      </c>
      <c r="G1814" s="1672"/>
      <c r="H1814" s="1671">
        <f>ROUND(D1814*E1814*F1814,2)</f>
        <v>0</v>
      </c>
      <c r="I1814" s="1671" t="s">
        <v>92</v>
      </c>
      <c r="J1814" s="1668"/>
      <c r="K1814" s="1668"/>
      <c r="L1814" s="1669"/>
    </row>
    <row r="1815" spans="1:12" s="692" customFormat="1" ht="16.5" hidden="1">
      <c r="A1815" s="1665"/>
      <c r="B1815" s="1666"/>
      <c r="C1815" s="688"/>
      <c r="D1815" s="1667"/>
      <c r="E1815" s="1671">
        <v>3.5</v>
      </c>
      <c r="F1815" s="1671">
        <v>4</v>
      </c>
      <c r="G1815" s="1672"/>
      <c r="H1815" s="1671">
        <f t="shared" ref="H1815:H1819" si="239">ROUND(D1815*E1815*F1815,2)</f>
        <v>0</v>
      </c>
      <c r="I1815" s="1671" t="s">
        <v>92</v>
      </c>
      <c r="J1815" s="1668"/>
      <c r="K1815" s="1668"/>
      <c r="L1815" s="1669"/>
    </row>
    <row r="1816" spans="1:12" s="692" customFormat="1" ht="16.5" hidden="1">
      <c r="A1816" s="1665"/>
      <c r="B1816" s="1666"/>
      <c r="C1816" s="688"/>
      <c r="D1816" s="1667"/>
      <c r="E1816" s="1671">
        <v>3.5</v>
      </c>
      <c r="F1816" s="1671">
        <v>4</v>
      </c>
      <c r="G1816" s="1672"/>
      <c r="H1816" s="1671">
        <f t="shared" si="239"/>
        <v>0</v>
      </c>
      <c r="I1816" s="1671" t="s">
        <v>92</v>
      </c>
      <c r="J1816" s="1668"/>
      <c r="K1816" s="1668"/>
      <c r="L1816" s="1669"/>
    </row>
    <row r="1817" spans="1:12" s="692" customFormat="1" ht="16.5" hidden="1">
      <c r="A1817" s="1665"/>
      <c r="B1817" s="1666"/>
      <c r="C1817" s="688"/>
      <c r="D1817" s="1667"/>
      <c r="E1817" s="1671">
        <v>3.5</v>
      </c>
      <c r="F1817" s="1671">
        <v>4</v>
      </c>
      <c r="G1817" s="1672"/>
      <c r="H1817" s="1671">
        <f t="shared" si="239"/>
        <v>0</v>
      </c>
      <c r="I1817" s="1671" t="s">
        <v>92</v>
      </c>
      <c r="J1817" s="1668"/>
      <c r="K1817" s="1668"/>
      <c r="L1817" s="1669"/>
    </row>
    <row r="1818" spans="1:12" s="692" customFormat="1" ht="16.5" hidden="1">
      <c r="A1818" s="1665"/>
      <c r="B1818" s="1666"/>
      <c r="C1818" s="688"/>
      <c r="D1818" s="1667"/>
      <c r="E1818" s="1671">
        <v>3.5</v>
      </c>
      <c r="F1818" s="1671">
        <v>4</v>
      </c>
      <c r="G1818" s="1672"/>
      <c r="H1818" s="1671">
        <f t="shared" si="239"/>
        <v>0</v>
      </c>
      <c r="I1818" s="1671" t="s">
        <v>92</v>
      </c>
      <c r="J1818" s="1668"/>
      <c r="K1818" s="1668"/>
      <c r="L1818" s="1669"/>
    </row>
    <row r="1819" spans="1:12" s="692" customFormat="1" ht="16.5" hidden="1">
      <c r="A1819" s="1665"/>
      <c r="B1819" s="1666"/>
      <c r="C1819" s="688"/>
      <c r="D1819" s="1667"/>
      <c r="E1819" s="1671">
        <v>3.5</v>
      </c>
      <c r="F1819" s="1671">
        <v>4</v>
      </c>
      <c r="G1819" s="1672"/>
      <c r="H1819" s="1671">
        <f t="shared" si="239"/>
        <v>0</v>
      </c>
      <c r="I1819" s="1671" t="s">
        <v>92</v>
      </c>
      <c r="J1819" s="1668"/>
      <c r="K1819" s="1668"/>
      <c r="L1819" s="1669"/>
    </row>
    <row r="1820" spans="1:12" s="692" customFormat="1" ht="16.5" hidden="1">
      <c r="A1820" s="1665"/>
      <c r="B1820" s="1666"/>
      <c r="C1820" s="688"/>
      <c r="D1820" s="1667"/>
      <c r="E1820" s="1671"/>
      <c r="F1820" s="1671"/>
      <c r="G1820" s="1669" t="s">
        <v>928</v>
      </c>
      <c r="H1820" s="1673">
        <f>SUM(H1814:H1819)</f>
        <v>0</v>
      </c>
      <c r="I1820" s="1671" t="s">
        <v>92</v>
      </c>
      <c r="J1820" s="1669">
        <f>'Lead &amp; ANALYSIS'!L599</f>
        <v>1398</v>
      </c>
      <c r="K1820" s="1668" t="s">
        <v>1514</v>
      </c>
      <c r="L1820" s="1669">
        <f>ROUND(H1820*J1820,0)</f>
        <v>0</v>
      </c>
    </row>
    <row r="1821" spans="1:12" s="692" customFormat="1" ht="16.5" hidden="1">
      <c r="A1821" s="1665" t="s">
        <v>2072</v>
      </c>
      <c r="B1821" s="1666" t="s">
        <v>479</v>
      </c>
      <c r="C1821" s="688"/>
      <c r="D1821" s="1667"/>
      <c r="E1821" s="688"/>
      <c r="F1821" s="688"/>
      <c r="G1821" s="1674"/>
      <c r="H1821" s="688"/>
      <c r="I1821" s="1668"/>
      <c r="J1821" s="1668"/>
      <c r="K1821" s="1668"/>
      <c r="L1821" s="1669"/>
    </row>
    <row r="1822" spans="1:12" s="692" customFormat="1" ht="16.5" hidden="1">
      <c r="A1822" s="1665"/>
      <c r="B1822" s="1666"/>
      <c r="C1822" s="688"/>
      <c r="D1822" s="1667"/>
      <c r="E1822" s="1671">
        <v>3.5</v>
      </c>
      <c r="F1822" s="1671">
        <v>4</v>
      </c>
      <c r="G1822" s="1672">
        <v>0.15</v>
      </c>
      <c r="H1822" s="1671">
        <f t="shared" ref="H1822:H1827" si="240">ROUND(D1822*E1822*F1822*G1822,2)</f>
        <v>0</v>
      </c>
      <c r="I1822" s="1671" t="s">
        <v>49</v>
      </c>
      <c r="J1822" s="1668"/>
      <c r="K1822" s="1668"/>
      <c r="L1822" s="1669"/>
    </row>
    <row r="1823" spans="1:12" s="692" customFormat="1" ht="16.5" hidden="1">
      <c r="A1823" s="1665"/>
      <c r="B1823" s="1666"/>
      <c r="C1823" s="688"/>
      <c r="D1823" s="1667"/>
      <c r="E1823" s="1671">
        <v>3.5</v>
      </c>
      <c r="F1823" s="1671">
        <v>4</v>
      </c>
      <c r="G1823" s="1672">
        <v>0.15</v>
      </c>
      <c r="H1823" s="1671">
        <f t="shared" si="240"/>
        <v>0</v>
      </c>
      <c r="I1823" s="1671" t="s">
        <v>49</v>
      </c>
      <c r="J1823" s="1668"/>
      <c r="K1823" s="1668"/>
      <c r="L1823" s="1669"/>
    </row>
    <row r="1824" spans="1:12" s="692" customFormat="1" ht="16.5" hidden="1">
      <c r="A1824" s="1665"/>
      <c r="B1824" s="1666"/>
      <c r="C1824" s="688"/>
      <c r="D1824" s="1667"/>
      <c r="E1824" s="1671">
        <v>3.5</v>
      </c>
      <c r="F1824" s="1671">
        <v>4</v>
      </c>
      <c r="G1824" s="1672">
        <v>0.15</v>
      </c>
      <c r="H1824" s="1671">
        <f t="shared" si="240"/>
        <v>0</v>
      </c>
      <c r="I1824" s="1671" t="s">
        <v>49</v>
      </c>
      <c r="J1824" s="1668"/>
      <c r="K1824" s="1668"/>
      <c r="L1824" s="1669"/>
    </row>
    <row r="1825" spans="1:12" s="692" customFormat="1" ht="16.5" hidden="1">
      <c r="A1825" s="1665"/>
      <c r="B1825" s="1666"/>
      <c r="C1825" s="688"/>
      <c r="D1825" s="1667"/>
      <c r="E1825" s="1671">
        <v>3.5</v>
      </c>
      <c r="F1825" s="1671">
        <v>4</v>
      </c>
      <c r="G1825" s="1672">
        <v>0.15</v>
      </c>
      <c r="H1825" s="1671">
        <f t="shared" si="240"/>
        <v>0</v>
      </c>
      <c r="I1825" s="1671" t="s">
        <v>49</v>
      </c>
      <c r="J1825" s="1668"/>
      <c r="K1825" s="1668"/>
      <c r="L1825" s="1669"/>
    </row>
    <row r="1826" spans="1:12" s="692" customFormat="1" ht="16.5" hidden="1">
      <c r="A1826" s="1665"/>
      <c r="B1826" s="1666"/>
      <c r="C1826" s="688"/>
      <c r="D1826" s="1667"/>
      <c r="E1826" s="1671">
        <v>3.5</v>
      </c>
      <c r="F1826" s="1671">
        <v>4</v>
      </c>
      <c r="G1826" s="1672">
        <v>0.15</v>
      </c>
      <c r="H1826" s="1671">
        <f t="shared" si="240"/>
        <v>0</v>
      </c>
      <c r="I1826" s="1671" t="s">
        <v>49</v>
      </c>
      <c r="J1826" s="1668"/>
      <c r="K1826" s="1668"/>
      <c r="L1826" s="1669"/>
    </row>
    <row r="1827" spans="1:12" s="692" customFormat="1" ht="16.5" hidden="1">
      <c r="A1827" s="1665"/>
      <c r="B1827" s="1666"/>
      <c r="C1827" s="688"/>
      <c r="D1827" s="1667"/>
      <c r="E1827" s="1671">
        <v>3.5</v>
      </c>
      <c r="F1827" s="1671">
        <v>4</v>
      </c>
      <c r="G1827" s="1672">
        <v>0.15</v>
      </c>
      <c r="H1827" s="1671">
        <f t="shared" si="240"/>
        <v>0</v>
      </c>
      <c r="I1827" s="1671" t="s">
        <v>49</v>
      </c>
      <c r="J1827" s="1668"/>
      <c r="K1827" s="1668"/>
      <c r="L1827" s="1669"/>
    </row>
    <row r="1828" spans="1:12" s="692" customFormat="1" ht="16.5" hidden="1">
      <c r="A1828" s="1665"/>
      <c r="B1828" s="1666"/>
      <c r="C1828" s="688"/>
      <c r="D1828" s="1667"/>
      <c r="E1828" s="1671"/>
      <c r="F1828" s="1671"/>
      <c r="G1828" s="1669" t="s">
        <v>928</v>
      </c>
      <c r="H1828" s="1673">
        <f>SUM(H1822:H1827)</f>
        <v>0</v>
      </c>
      <c r="I1828" s="1669" t="s">
        <v>49</v>
      </c>
      <c r="J1828" s="1668"/>
      <c r="K1828" s="1668"/>
      <c r="L1828" s="1669"/>
    </row>
    <row r="1829" spans="1:12" s="692" customFormat="1" ht="16.5" hidden="1">
      <c r="A1829" s="1665"/>
      <c r="B1829" s="1666"/>
      <c r="C1829" s="688"/>
      <c r="D1829" s="1667"/>
      <c r="E1829" s="1671">
        <v>3.5</v>
      </c>
      <c r="F1829" s="1671">
        <v>4</v>
      </c>
      <c r="G1829" s="1672">
        <v>0.15</v>
      </c>
      <c r="H1829" s="1671">
        <f t="shared" ref="H1829:H1834" si="241">ROUND(D1829*E1829*F1829*G1829,2)</f>
        <v>0</v>
      </c>
      <c r="I1829" s="1671" t="s">
        <v>49</v>
      </c>
      <c r="J1829" s="1668"/>
      <c r="K1829" s="1668"/>
      <c r="L1829" s="1669"/>
    </row>
    <row r="1830" spans="1:12" s="692" customFormat="1" ht="16.5" hidden="1">
      <c r="A1830" s="1665"/>
      <c r="B1830" s="1666"/>
      <c r="C1830" s="688"/>
      <c r="D1830" s="1667"/>
      <c r="E1830" s="1671">
        <v>3.5</v>
      </c>
      <c r="F1830" s="1671">
        <v>4</v>
      </c>
      <c r="G1830" s="1672">
        <v>0.15</v>
      </c>
      <c r="H1830" s="1671">
        <f t="shared" si="241"/>
        <v>0</v>
      </c>
      <c r="I1830" s="1671" t="s">
        <v>49</v>
      </c>
      <c r="J1830" s="1668"/>
      <c r="K1830" s="1668"/>
      <c r="L1830" s="1669"/>
    </row>
    <row r="1831" spans="1:12" s="692" customFormat="1" ht="16.5" hidden="1">
      <c r="A1831" s="1665"/>
      <c r="B1831" s="1666"/>
      <c r="C1831" s="688"/>
      <c r="D1831" s="1667"/>
      <c r="E1831" s="1671">
        <v>3.5</v>
      </c>
      <c r="F1831" s="1671">
        <v>4</v>
      </c>
      <c r="G1831" s="1672">
        <v>0.15</v>
      </c>
      <c r="H1831" s="1671">
        <f t="shared" si="241"/>
        <v>0</v>
      </c>
      <c r="I1831" s="1671" t="s">
        <v>49</v>
      </c>
      <c r="J1831" s="1668"/>
      <c r="K1831" s="1668"/>
      <c r="L1831" s="1669"/>
    </row>
    <row r="1832" spans="1:12" s="692" customFormat="1" ht="16.5" hidden="1">
      <c r="A1832" s="1665"/>
      <c r="B1832" s="1666"/>
      <c r="C1832" s="688"/>
      <c r="D1832" s="1667"/>
      <c r="E1832" s="1671">
        <v>3.5</v>
      </c>
      <c r="F1832" s="1671">
        <v>4</v>
      </c>
      <c r="G1832" s="1672">
        <v>0.15</v>
      </c>
      <c r="H1832" s="1671">
        <f t="shared" si="241"/>
        <v>0</v>
      </c>
      <c r="I1832" s="1671" t="s">
        <v>49</v>
      </c>
      <c r="J1832" s="1668"/>
      <c r="K1832" s="1668"/>
      <c r="L1832" s="1669"/>
    </row>
    <row r="1833" spans="1:12" s="692" customFormat="1" ht="16.5" hidden="1">
      <c r="A1833" s="1665"/>
      <c r="B1833" s="1666"/>
      <c r="C1833" s="688"/>
      <c r="D1833" s="1667"/>
      <c r="E1833" s="1671">
        <v>3.5</v>
      </c>
      <c r="F1833" s="1671">
        <v>4</v>
      </c>
      <c r="G1833" s="1672">
        <v>0.15</v>
      </c>
      <c r="H1833" s="1671">
        <f t="shared" si="241"/>
        <v>0</v>
      </c>
      <c r="I1833" s="1671" t="s">
        <v>49</v>
      </c>
      <c r="J1833" s="1668"/>
      <c r="K1833" s="1668"/>
      <c r="L1833" s="1669"/>
    </row>
    <row r="1834" spans="1:12" s="692" customFormat="1" ht="16.5" hidden="1">
      <c r="A1834" s="1665"/>
      <c r="B1834" s="1666"/>
      <c r="C1834" s="688"/>
      <c r="D1834" s="1667"/>
      <c r="E1834" s="1671">
        <v>3.5</v>
      </c>
      <c r="F1834" s="1671">
        <v>4</v>
      </c>
      <c r="G1834" s="1672">
        <v>0.15</v>
      </c>
      <c r="H1834" s="1671">
        <f t="shared" si="241"/>
        <v>0</v>
      </c>
      <c r="I1834" s="1671" t="s">
        <v>49</v>
      </c>
      <c r="J1834" s="1668"/>
      <c r="K1834" s="1668"/>
      <c r="L1834" s="1669"/>
    </row>
    <row r="1835" spans="1:12" s="692" customFormat="1" ht="16.5" hidden="1">
      <c r="A1835" s="1665"/>
      <c r="B1835" s="1666"/>
      <c r="C1835" s="688"/>
      <c r="D1835" s="1667"/>
      <c r="E1835" s="1671"/>
      <c r="F1835" s="1671"/>
      <c r="G1835" s="1669" t="s">
        <v>928</v>
      </c>
      <c r="H1835" s="1673">
        <f>SUM(H1829:H1834)</f>
        <v>0</v>
      </c>
      <c r="I1835" s="1669" t="s">
        <v>49</v>
      </c>
      <c r="J1835" s="1669">
        <f>'Lead &amp; ANALYSIS'!L573</f>
        <v>18205.2</v>
      </c>
      <c r="K1835" s="1668" t="s">
        <v>1516</v>
      </c>
      <c r="L1835" s="1669">
        <f>ROUND(H1835*J1835,0)</f>
        <v>0</v>
      </c>
    </row>
    <row r="1836" spans="1:12" s="692" customFormat="1" ht="16.5" hidden="1">
      <c r="A1836" s="1665" t="s">
        <v>3415</v>
      </c>
      <c r="B1836" s="1666" t="s">
        <v>477</v>
      </c>
      <c r="C1836" s="688"/>
      <c r="D1836" s="1667"/>
      <c r="E1836" s="688"/>
      <c r="F1836" s="688"/>
      <c r="G1836" s="1674"/>
      <c r="H1836" s="688"/>
      <c r="I1836" s="1668"/>
      <c r="J1836" s="1668"/>
      <c r="K1836" s="1668"/>
      <c r="L1836" s="1669"/>
    </row>
    <row r="1837" spans="1:12" s="692" customFormat="1" ht="16.5" hidden="1">
      <c r="A1837" s="1665"/>
      <c r="B1837" s="1666" t="s">
        <v>477</v>
      </c>
      <c r="C1837" s="688"/>
      <c r="D1837" s="1667"/>
      <c r="E1837" s="1671">
        <f>'DRAWING CC'!AW195+0.3</f>
        <v>0.3</v>
      </c>
      <c r="F1837" s="1671">
        <f>'DRAWING CC'!O239+0.3</f>
        <v>0.3</v>
      </c>
      <c r="G1837" s="1683">
        <v>0.1</v>
      </c>
      <c r="H1837" s="1671">
        <f t="shared" ref="H1837:H1842" si="242">ROUND(D1837*E1837*F1837*G1837,2)</f>
        <v>0</v>
      </c>
      <c r="I1837" s="1671" t="s">
        <v>49</v>
      </c>
      <c r="J1837" s="1668"/>
      <c r="K1837" s="1668"/>
      <c r="L1837" s="1669"/>
    </row>
    <row r="1838" spans="1:12" s="692" customFormat="1" ht="16.5" hidden="1">
      <c r="A1838" s="1665"/>
      <c r="B1838" s="1666"/>
      <c r="C1838" s="688"/>
      <c r="D1838" s="1667"/>
      <c r="E1838" s="1671">
        <f>'DRAWING CC'!AW196+0.3</f>
        <v>0.3</v>
      </c>
      <c r="F1838" s="1671">
        <f>'DRAWING CC'!O240+0.3</f>
        <v>0.3</v>
      </c>
      <c r="G1838" s="1683">
        <v>1.1000000000000001</v>
      </c>
      <c r="H1838" s="1671">
        <f t="shared" si="242"/>
        <v>0</v>
      </c>
      <c r="I1838" s="1671" t="s">
        <v>49</v>
      </c>
      <c r="J1838" s="1668"/>
      <c r="K1838" s="1668"/>
      <c r="L1838" s="1669"/>
    </row>
    <row r="1839" spans="1:12" s="692" customFormat="1" ht="16.5" hidden="1">
      <c r="A1839" s="1665"/>
      <c r="B1839" s="1666"/>
      <c r="C1839" s="688"/>
      <c r="D1839" s="1667"/>
      <c r="E1839" s="1671">
        <f>'DRAWING CC'!AW197+0.3</f>
        <v>0.3</v>
      </c>
      <c r="F1839" s="1671">
        <f>'DRAWING CC'!O241+0.3</f>
        <v>0.3</v>
      </c>
      <c r="G1839" s="1683">
        <v>2.1</v>
      </c>
      <c r="H1839" s="1671">
        <f t="shared" si="242"/>
        <v>0</v>
      </c>
      <c r="I1839" s="1671" t="s">
        <v>49</v>
      </c>
      <c r="J1839" s="1668"/>
      <c r="K1839" s="1668"/>
      <c r="L1839" s="1669"/>
    </row>
    <row r="1840" spans="1:12" s="692" customFormat="1" ht="16.5" hidden="1">
      <c r="A1840" s="1665"/>
      <c r="B1840" s="1666"/>
      <c r="C1840" s="688"/>
      <c r="D1840" s="1667"/>
      <c r="E1840" s="1671">
        <v>3.5</v>
      </c>
      <c r="F1840" s="1671">
        <v>4</v>
      </c>
      <c r="G1840" s="1672">
        <v>0.15</v>
      </c>
      <c r="H1840" s="1671">
        <f t="shared" si="242"/>
        <v>0</v>
      </c>
      <c r="I1840" s="1671" t="s">
        <v>49</v>
      </c>
      <c r="J1840" s="1668"/>
      <c r="K1840" s="1668"/>
      <c r="L1840" s="1669"/>
    </row>
    <row r="1841" spans="1:13" s="692" customFormat="1" ht="16.5" hidden="1">
      <c r="A1841" s="1665"/>
      <c r="B1841" s="1666"/>
      <c r="C1841" s="688"/>
      <c r="D1841" s="1667"/>
      <c r="E1841" s="1671">
        <v>3.5</v>
      </c>
      <c r="F1841" s="1671">
        <v>4</v>
      </c>
      <c r="G1841" s="1672">
        <v>0.15</v>
      </c>
      <c r="H1841" s="1671">
        <f t="shared" si="242"/>
        <v>0</v>
      </c>
      <c r="I1841" s="1671" t="s">
        <v>49</v>
      </c>
      <c r="J1841" s="1668"/>
      <c r="K1841" s="1668"/>
      <c r="L1841" s="1669"/>
    </row>
    <row r="1842" spans="1:13" s="692" customFormat="1" ht="16.5" hidden="1">
      <c r="A1842" s="1665"/>
      <c r="B1842" s="1666"/>
      <c r="C1842" s="688"/>
      <c r="D1842" s="1667"/>
      <c r="E1842" s="1671">
        <v>3.5</v>
      </c>
      <c r="F1842" s="1671">
        <v>4</v>
      </c>
      <c r="G1842" s="1672">
        <v>0.15</v>
      </c>
      <c r="H1842" s="1671">
        <f t="shared" si="242"/>
        <v>0</v>
      </c>
      <c r="I1842" s="1671" t="s">
        <v>49</v>
      </c>
      <c r="J1842" s="1668"/>
      <c r="K1842" s="1668"/>
      <c r="L1842" s="1669"/>
    </row>
    <row r="1843" spans="1:13" s="692" customFormat="1" ht="16.5" hidden="1">
      <c r="A1843" s="1665"/>
      <c r="B1843" s="1666"/>
      <c r="C1843" s="688"/>
      <c r="D1843" s="1667"/>
      <c r="E1843" s="1671"/>
      <c r="F1843" s="1671"/>
      <c r="G1843" s="1669" t="s">
        <v>928</v>
      </c>
      <c r="H1843" s="1673">
        <f>SUM(H1837:H1842)</f>
        <v>0</v>
      </c>
      <c r="I1843" s="1669" t="s">
        <v>49</v>
      </c>
      <c r="J1843" s="1668"/>
      <c r="K1843" s="1668"/>
      <c r="L1843" s="1669"/>
    </row>
    <row r="1844" spans="1:13" s="692" customFormat="1" ht="16.5" hidden="1">
      <c r="A1844" s="1665"/>
      <c r="B1844" s="1666" t="s">
        <v>477</v>
      </c>
      <c r="C1844" s="688"/>
      <c r="D1844" s="1667"/>
      <c r="E1844" s="1671">
        <f>'DRAWING CC'!AW202+0.3</f>
        <v>0.3</v>
      </c>
      <c r="F1844" s="1671">
        <f>'DRAWING CC'!O246+0.3</f>
        <v>0.3</v>
      </c>
      <c r="G1844" s="1683">
        <v>0.1</v>
      </c>
      <c r="H1844" s="1671">
        <f t="shared" ref="H1844:H1849" si="243">ROUND(D1844*E1844*F1844*G1844,2)</f>
        <v>0</v>
      </c>
      <c r="I1844" s="1671" t="s">
        <v>49</v>
      </c>
      <c r="J1844" s="1668"/>
      <c r="K1844" s="1668"/>
      <c r="L1844" s="1669"/>
    </row>
    <row r="1845" spans="1:13" s="692" customFormat="1" ht="16.5" hidden="1">
      <c r="A1845" s="1665"/>
      <c r="B1845" s="1666"/>
      <c r="C1845" s="688"/>
      <c r="D1845" s="1667"/>
      <c r="E1845" s="1671">
        <f>'DRAWING CC'!AW203+0.3</f>
        <v>0.3</v>
      </c>
      <c r="F1845" s="1671">
        <f>'DRAWING CC'!O247+0.3</f>
        <v>0.3</v>
      </c>
      <c r="G1845" s="1683">
        <v>1.1000000000000001</v>
      </c>
      <c r="H1845" s="1671">
        <f t="shared" si="243"/>
        <v>0</v>
      </c>
      <c r="I1845" s="1671" t="s">
        <v>49</v>
      </c>
      <c r="J1845" s="1668"/>
      <c r="K1845" s="1668"/>
      <c r="L1845" s="1669"/>
    </row>
    <row r="1846" spans="1:13" s="692" customFormat="1" ht="16.5" hidden="1">
      <c r="A1846" s="1665"/>
      <c r="B1846" s="1666"/>
      <c r="C1846" s="688"/>
      <c r="D1846" s="1667"/>
      <c r="E1846" s="1671">
        <f>'DRAWING CC'!AW204+0.3</f>
        <v>0.3</v>
      </c>
      <c r="F1846" s="1671">
        <f>'DRAWING CC'!O248+0.3</f>
        <v>0.3</v>
      </c>
      <c r="G1846" s="1683">
        <v>2.1</v>
      </c>
      <c r="H1846" s="1671">
        <f t="shared" si="243"/>
        <v>0</v>
      </c>
      <c r="I1846" s="1671" t="s">
        <v>49</v>
      </c>
      <c r="J1846" s="1668"/>
      <c r="K1846" s="1668"/>
      <c r="L1846" s="1669"/>
    </row>
    <row r="1847" spans="1:13" s="692" customFormat="1" ht="16.5" hidden="1">
      <c r="A1847" s="1665"/>
      <c r="B1847" s="1666"/>
      <c r="C1847" s="688"/>
      <c r="D1847" s="1667"/>
      <c r="E1847" s="1671">
        <v>3.5</v>
      </c>
      <c r="F1847" s="1671">
        <v>4</v>
      </c>
      <c r="G1847" s="1672">
        <v>0.15</v>
      </c>
      <c r="H1847" s="1671">
        <f t="shared" si="243"/>
        <v>0</v>
      </c>
      <c r="I1847" s="1671" t="s">
        <v>49</v>
      </c>
      <c r="J1847" s="1668"/>
      <c r="K1847" s="1668"/>
      <c r="L1847" s="1669"/>
    </row>
    <row r="1848" spans="1:13" s="692" customFormat="1" ht="16.5" hidden="1">
      <c r="A1848" s="1665"/>
      <c r="B1848" s="1666"/>
      <c r="C1848" s="688"/>
      <c r="D1848" s="1667"/>
      <c r="E1848" s="1671">
        <v>3.5</v>
      </c>
      <c r="F1848" s="1671">
        <v>4</v>
      </c>
      <c r="G1848" s="1672">
        <v>0.15</v>
      </c>
      <c r="H1848" s="1671">
        <f t="shared" si="243"/>
        <v>0</v>
      </c>
      <c r="I1848" s="1671" t="s">
        <v>49</v>
      </c>
      <c r="J1848" s="1668"/>
      <c r="K1848" s="1668"/>
      <c r="L1848" s="1669"/>
    </row>
    <row r="1849" spans="1:13" s="692" customFormat="1" ht="16.5" hidden="1">
      <c r="A1849" s="1665"/>
      <c r="B1849" s="1666"/>
      <c r="C1849" s="688"/>
      <c r="D1849" s="1667"/>
      <c r="E1849" s="1671">
        <v>3.5</v>
      </c>
      <c r="F1849" s="1671">
        <v>4</v>
      </c>
      <c r="G1849" s="1672">
        <v>0.15</v>
      </c>
      <c r="H1849" s="1671">
        <f t="shared" si="243"/>
        <v>0</v>
      </c>
      <c r="I1849" s="1671" t="s">
        <v>49</v>
      </c>
      <c r="J1849" s="1668"/>
      <c r="K1849" s="1668"/>
      <c r="L1849" s="1669"/>
    </row>
    <row r="1850" spans="1:13" s="692" customFormat="1" ht="16.5" hidden="1">
      <c r="A1850" s="1665"/>
      <c r="B1850" s="1666"/>
      <c r="C1850" s="688"/>
      <c r="D1850" s="1667"/>
      <c r="E1850" s="1671"/>
      <c r="F1850" s="1671"/>
      <c r="G1850" s="1669" t="s">
        <v>928</v>
      </c>
      <c r="H1850" s="1673">
        <f>SUM(H1844:H1849)</f>
        <v>0</v>
      </c>
      <c r="I1850" s="1669" t="s">
        <v>49</v>
      </c>
      <c r="J1850" s="1669">
        <f>'Lead &amp; ANALYSIS'!L560</f>
        <v>16312.6</v>
      </c>
      <c r="K1850" s="1668" t="s">
        <v>1516</v>
      </c>
      <c r="L1850" s="1669">
        <f>ROUND(H1850*J1850,0)</f>
        <v>0</v>
      </c>
    </row>
    <row r="1851" spans="1:13" s="692" customFormat="1" ht="16.5" hidden="1">
      <c r="A1851" s="1665"/>
      <c r="B1851" s="1666"/>
      <c r="C1851" s="688"/>
      <c r="D1851" s="1667"/>
      <c r="E1851" s="1671"/>
      <c r="F1851" s="1671"/>
      <c r="G1851" s="1684" t="s">
        <v>1823</v>
      </c>
      <c r="H1851" s="1673">
        <f>H1843+H1828+H1798+H1783+H1768+H1753+H1723+H1738</f>
        <v>0</v>
      </c>
      <c r="I1851" s="1669" t="s">
        <v>49</v>
      </c>
      <c r="J1851" s="1669">
        <f>'Lead &amp; ANALYSIS'!L463</f>
        <v>6698</v>
      </c>
      <c r="K1851" s="1668" t="s">
        <v>1516</v>
      </c>
      <c r="L1851" s="1669">
        <f>ROUND(H1851*J1851,0)</f>
        <v>0</v>
      </c>
      <c r="M1851" s="692" t="s">
        <v>3588</v>
      </c>
    </row>
    <row r="1852" spans="1:13" s="692" customFormat="1" ht="16.5" hidden="1">
      <c r="A1852" s="1665" t="s">
        <v>3638</v>
      </c>
      <c r="B1852" s="1675" t="s">
        <v>3632</v>
      </c>
      <c r="C1852" s="688"/>
      <c r="D1852" s="1667"/>
      <c r="E1852" s="688"/>
      <c r="F1852" s="688"/>
      <c r="G1852" s="1674"/>
      <c r="H1852" s="688"/>
      <c r="I1852" s="1668"/>
      <c r="J1852" s="1668"/>
      <c r="K1852" s="1668"/>
      <c r="L1852" s="1669"/>
    </row>
    <row r="1853" spans="1:13" s="692" customFormat="1" ht="16.5" hidden="1">
      <c r="A1853" s="1665" t="s">
        <v>201</v>
      </c>
      <c r="B1853" s="1666" t="s">
        <v>1773</v>
      </c>
      <c r="C1853" s="688"/>
      <c r="D1853" s="1667"/>
      <c r="E1853" s="688"/>
      <c r="F1853" s="688"/>
      <c r="G1853" s="1674"/>
      <c r="H1853" s="688"/>
      <c r="I1853" s="1668"/>
      <c r="J1853" s="1668"/>
      <c r="K1853" s="1668"/>
      <c r="L1853" s="1669"/>
    </row>
    <row r="1854" spans="1:13" s="692" customFormat="1" ht="16.5" hidden="1">
      <c r="A1854" s="1665"/>
      <c r="B1854" s="1666"/>
      <c r="C1854" s="688"/>
      <c r="D1854" s="1667"/>
      <c r="E1854" s="1671">
        <f>E398+F1854</f>
        <v>3.5</v>
      </c>
      <c r="F1854" s="1671">
        <f>'DRAWING CC'!FS320</f>
        <v>0</v>
      </c>
      <c r="G1854" s="1672">
        <f>'DRAWING CC'!GI317</f>
        <v>0</v>
      </c>
      <c r="H1854" s="1671">
        <f t="shared" ref="H1854:H1859" si="244">ROUND(D1854*E1854*F1854*G1854,2)</f>
        <v>0</v>
      </c>
      <c r="I1854" s="1671" t="s">
        <v>49</v>
      </c>
      <c r="J1854" s="1668"/>
      <c r="K1854" s="1668"/>
      <c r="L1854" s="1669"/>
    </row>
    <row r="1855" spans="1:13" s="692" customFormat="1" ht="16.5" hidden="1">
      <c r="A1855" s="1665"/>
      <c r="B1855" s="1666"/>
      <c r="C1855" s="688"/>
      <c r="D1855" s="1667"/>
      <c r="E1855" s="1671">
        <f>E401-F1855</f>
        <v>0</v>
      </c>
      <c r="F1855" s="1671">
        <f>F1854</f>
        <v>0</v>
      </c>
      <c r="G1855" s="1672">
        <f>G1854</f>
        <v>0</v>
      </c>
      <c r="H1855" s="1671">
        <f t="shared" si="244"/>
        <v>0</v>
      </c>
      <c r="I1855" s="1671" t="s">
        <v>49</v>
      </c>
      <c r="J1855" s="1668"/>
      <c r="K1855" s="1668"/>
      <c r="L1855" s="1669"/>
    </row>
    <row r="1856" spans="1:13" s="692" customFormat="1" ht="16.5" hidden="1">
      <c r="A1856" s="1665"/>
      <c r="B1856" s="1666"/>
      <c r="C1856" s="688"/>
      <c r="D1856" s="1667"/>
      <c r="E1856" s="1671">
        <f>E418-F1856</f>
        <v>0</v>
      </c>
      <c r="F1856" s="1671">
        <f>F1855</f>
        <v>0</v>
      </c>
      <c r="G1856" s="1672">
        <f>G1855</f>
        <v>0</v>
      </c>
      <c r="H1856" s="1671">
        <f t="shared" si="244"/>
        <v>0</v>
      </c>
      <c r="I1856" s="1671" t="s">
        <v>49</v>
      </c>
      <c r="J1856" s="1668"/>
      <c r="K1856" s="1668"/>
      <c r="L1856" s="1669"/>
    </row>
    <row r="1857" spans="1:12" s="692" customFormat="1" ht="16.5" hidden="1">
      <c r="A1857" s="1665"/>
      <c r="B1857" s="1666"/>
      <c r="C1857" s="688"/>
      <c r="D1857" s="1667"/>
      <c r="E1857" s="1671">
        <v>3.5</v>
      </c>
      <c r="F1857" s="1671">
        <v>4</v>
      </c>
      <c r="G1857" s="1672">
        <v>0.15</v>
      </c>
      <c r="H1857" s="1671">
        <f t="shared" si="244"/>
        <v>0</v>
      </c>
      <c r="I1857" s="1671" t="s">
        <v>49</v>
      </c>
      <c r="J1857" s="1668"/>
      <c r="K1857" s="1668"/>
      <c r="L1857" s="1669"/>
    </row>
    <row r="1858" spans="1:12" s="692" customFormat="1" ht="16.5" hidden="1">
      <c r="A1858" s="1665"/>
      <c r="B1858" s="1666"/>
      <c r="C1858" s="688"/>
      <c r="D1858" s="1667"/>
      <c r="E1858" s="1671">
        <v>3.5</v>
      </c>
      <c r="F1858" s="1671">
        <v>4</v>
      </c>
      <c r="G1858" s="1672">
        <v>0.15</v>
      </c>
      <c r="H1858" s="1671">
        <f t="shared" si="244"/>
        <v>0</v>
      </c>
      <c r="I1858" s="1671" t="s">
        <v>49</v>
      </c>
      <c r="J1858" s="1668"/>
      <c r="K1858" s="1668"/>
      <c r="L1858" s="1669"/>
    </row>
    <row r="1859" spans="1:12" s="692" customFormat="1" ht="16.5" hidden="1">
      <c r="A1859" s="1665"/>
      <c r="B1859" s="1666"/>
      <c r="C1859" s="688"/>
      <c r="D1859" s="1667"/>
      <c r="E1859" s="1671">
        <v>3.5</v>
      </c>
      <c r="F1859" s="1671">
        <v>4</v>
      </c>
      <c r="G1859" s="1672">
        <v>0.15</v>
      </c>
      <c r="H1859" s="1671">
        <f t="shared" si="244"/>
        <v>0</v>
      </c>
      <c r="I1859" s="1671" t="s">
        <v>49</v>
      </c>
      <c r="J1859" s="1668"/>
      <c r="K1859" s="1668"/>
      <c r="L1859" s="1669"/>
    </row>
    <row r="1860" spans="1:12" s="692" customFormat="1" ht="16.5" hidden="1">
      <c r="A1860" s="1665"/>
      <c r="B1860" s="1666"/>
      <c r="C1860" s="688"/>
      <c r="D1860" s="1667"/>
      <c r="E1860" s="1671"/>
      <c r="F1860" s="1671"/>
      <c r="G1860" s="1669" t="s">
        <v>928</v>
      </c>
      <c r="H1860" s="1673">
        <f>SUM(H1854:H1859)</f>
        <v>0</v>
      </c>
      <c r="I1860" s="1669" t="s">
        <v>49</v>
      </c>
      <c r="J1860" s="1668"/>
      <c r="K1860" s="1668"/>
      <c r="L1860" s="1669"/>
    </row>
    <row r="1861" spans="1:12" s="692" customFormat="1" ht="16.5" hidden="1">
      <c r="A1861" s="1665"/>
      <c r="B1861" s="1666"/>
      <c r="C1861" s="688"/>
      <c r="D1861" s="1667"/>
      <c r="E1861" s="1671">
        <f>E421+F1861</f>
        <v>3.5</v>
      </c>
      <c r="F1861" s="1671">
        <f>'DRAWING CC'!FS327</f>
        <v>0</v>
      </c>
      <c r="G1861" s="1672">
        <f>'DRAWING CC'!GI324</f>
        <v>0</v>
      </c>
      <c r="H1861" s="1671">
        <f t="shared" ref="H1861:H1866" si="245">ROUND(D1861*E1861*F1861*G1861,2)</f>
        <v>0</v>
      </c>
      <c r="I1861" s="1671" t="s">
        <v>49</v>
      </c>
      <c r="J1861" s="1668"/>
      <c r="K1861" s="1668"/>
      <c r="L1861" s="1669"/>
    </row>
    <row r="1862" spans="1:12" s="692" customFormat="1" ht="16.5" hidden="1">
      <c r="A1862" s="1665"/>
      <c r="B1862" s="1666"/>
      <c r="C1862" s="688"/>
      <c r="D1862" s="1667"/>
      <c r="E1862" s="1671">
        <f>E424-F1862</f>
        <v>3.5</v>
      </c>
      <c r="F1862" s="1671">
        <f>F1861</f>
        <v>0</v>
      </c>
      <c r="G1862" s="1672">
        <f>G1861</f>
        <v>0</v>
      </c>
      <c r="H1862" s="1671">
        <f t="shared" si="245"/>
        <v>0</v>
      </c>
      <c r="I1862" s="1671" t="s">
        <v>49</v>
      </c>
      <c r="J1862" s="1668"/>
      <c r="K1862" s="1668"/>
      <c r="L1862" s="1669"/>
    </row>
    <row r="1863" spans="1:12" s="692" customFormat="1" ht="16.5" hidden="1">
      <c r="A1863" s="1665"/>
      <c r="B1863" s="1666"/>
      <c r="C1863" s="688"/>
      <c r="D1863" s="1667"/>
      <c r="E1863" s="1671">
        <f>E425-F1863</f>
        <v>3.5</v>
      </c>
      <c r="F1863" s="1671">
        <f>F1862</f>
        <v>0</v>
      </c>
      <c r="G1863" s="1672">
        <f>G1862</f>
        <v>0</v>
      </c>
      <c r="H1863" s="1671">
        <f t="shared" si="245"/>
        <v>0</v>
      </c>
      <c r="I1863" s="1671" t="s">
        <v>49</v>
      </c>
      <c r="J1863" s="1668"/>
      <c r="K1863" s="1668"/>
      <c r="L1863" s="1669"/>
    </row>
    <row r="1864" spans="1:12" s="692" customFormat="1" ht="16.5" hidden="1">
      <c r="A1864" s="1665"/>
      <c r="B1864" s="1666"/>
      <c r="C1864" s="688"/>
      <c r="D1864" s="1667"/>
      <c r="E1864" s="1671">
        <v>3.5</v>
      </c>
      <c r="F1864" s="1671">
        <v>4</v>
      </c>
      <c r="G1864" s="1672">
        <v>0.15</v>
      </c>
      <c r="H1864" s="1671">
        <f t="shared" si="245"/>
        <v>0</v>
      </c>
      <c r="I1864" s="1671" t="s">
        <v>49</v>
      </c>
      <c r="J1864" s="1668"/>
      <c r="K1864" s="1668"/>
      <c r="L1864" s="1669"/>
    </row>
    <row r="1865" spans="1:12" s="692" customFormat="1" ht="16.5" hidden="1">
      <c r="A1865" s="1665"/>
      <c r="B1865" s="1666"/>
      <c r="C1865" s="688"/>
      <c r="D1865" s="1667"/>
      <c r="E1865" s="1671">
        <v>3.5</v>
      </c>
      <c r="F1865" s="1671">
        <v>4</v>
      </c>
      <c r="G1865" s="1672">
        <v>0.15</v>
      </c>
      <c r="H1865" s="1671">
        <f t="shared" si="245"/>
        <v>0</v>
      </c>
      <c r="I1865" s="1671" t="s">
        <v>49</v>
      </c>
      <c r="J1865" s="1668"/>
      <c r="K1865" s="1668"/>
      <c r="L1865" s="1669"/>
    </row>
    <row r="1866" spans="1:12" s="692" customFormat="1" ht="16.5" hidden="1">
      <c r="A1866" s="1665"/>
      <c r="B1866" s="1666"/>
      <c r="C1866" s="688"/>
      <c r="D1866" s="1667"/>
      <c r="E1866" s="1671">
        <v>3.5</v>
      </c>
      <c r="F1866" s="1671">
        <v>4</v>
      </c>
      <c r="G1866" s="1672">
        <v>0.15</v>
      </c>
      <c r="H1866" s="1671">
        <f t="shared" si="245"/>
        <v>0</v>
      </c>
      <c r="I1866" s="1671" t="s">
        <v>49</v>
      </c>
      <c r="J1866" s="1668"/>
      <c r="K1866" s="1668"/>
      <c r="L1866" s="1669"/>
    </row>
    <row r="1867" spans="1:12" s="692" customFormat="1" ht="16.5" hidden="1">
      <c r="A1867" s="1665"/>
      <c r="B1867" s="1666"/>
      <c r="C1867" s="688"/>
      <c r="D1867" s="1667"/>
      <c r="E1867" s="1671"/>
      <c r="F1867" s="1671"/>
      <c r="G1867" s="1669" t="s">
        <v>928</v>
      </c>
      <c r="H1867" s="1673">
        <f>SUM(H1861:H1866)</f>
        <v>0</v>
      </c>
      <c r="I1867" s="1669" t="s">
        <v>49</v>
      </c>
      <c r="J1867" s="1669">
        <f>'Lead &amp; ANALYSIS'!L550</f>
        <v>20715.900000000001</v>
      </c>
      <c r="K1867" s="1668" t="s">
        <v>1516</v>
      </c>
      <c r="L1867" s="1669">
        <f>ROUND(H1867*J1867,0)</f>
        <v>0</v>
      </c>
    </row>
    <row r="1868" spans="1:12" s="692" customFormat="1" ht="16.5" hidden="1">
      <c r="A1868" s="1665" t="s">
        <v>220</v>
      </c>
      <c r="B1868" s="1666" t="s">
        <v>473</v>
      </c>
      <c r="C1868" s="688"/>
      <c r="D1868" s="1667"/>
      <c r="E1868" s="688"/>
      <c r="F1868" s="688"/>
      <c r="G1868" s="1674"/>
      <c r="H1868" s="688"/>
      <c r="I1868" s="1668"/>
      <c r="J1868" s="1668"/>
      <c r="K1868" s="1668"/>
      <c r="L1868" s="1669"/>
    </row>
    <row r="1869" spans="1:12" s="692" customFormat="1" ht="16.5" hidden="1">
      <c r="A1869" s="1665"/>
      <c r="B1869" s="1666"/>
      <c r="C1869" s="688"/>
      <c r="D1869" s="1667"/>
      <c r="E1869" s="1671">
        <f>E428+F1869</f>
        <v>3.5</v>
      </c>
      <c r="F1869" s="1671">
        <f>'DRAWING CC'!FS350</f>
        <v>0</v>
      </c>
      <c r="G1869" s="1672">
        <f>'DRAWING CC'!GI347</f>
        <v>0</v>
      </c>
      <c r="H1869" s="1671">
        <f t="shared" ref="H1869:H1874" si="246">ROUND(D1869*E1869*F1869*G1869,2)</f>
        <v>0</v>
      </c>
      <c r="I1869" s="1671" t="s">
        <v>49</v>
      </c>
      <c r="J1869" s="1668"/>
      <c r="K1869" s="1668"/>
      <c r="L1869" s="1669"/>
    </row>
    <row r="1870" spans="1:12" s="692" customFormat="1" ht="16.5" hidden="1">
      <c r="A1870" s="1665"/>
      <c r="B1870" s="1666"/>
      <c r="C1870" s="688"/>
      <c r="D1870" s="1667"/>
      <c r="E1870" s="1671">
        <f>E431-F1870</f>
        <v>3.5</v>
      </c>
      <c r="F1870" s="1671">
        <f>F1869</f>
        <v>0</v>
      </c>
      <c r="G1870" s="1672">
        <f>G1869</f>
        <v>0</v>
      </c>
      <c r="H1870" s="1671">
        <f t="shared" si="246"/>
        <v>0</v>
      </c>
      <c r="I1870" s="1671" t="s">
        <v>49</v>
      </c>
      <c r="J1870" s="1668"/>
      <c r="K1870" s="1668"/>
      <c r="L1870" s="1669"/>
    </row>
    <row r="1871" spans="1:12" s="692" customFormat="1" ht="16.5" hidden="1">
      <c r="A1871" s="1665"/>
      <c r="B1871" s="1666"/>
      <c r="C1871" s="688"/>
      <c r="D1871" s="1667"/>
      <c r="E1871" s="1671">
        <f>E448-F1871</f>
        <v>3.5</v>
      </c>
      <c r="F1871" s="1671">
        <f>F1870</f>
        <v>0</v>
      </c>
      <c r="G1871" s="1672">
        <f>G1870</f>
        <v>0</v>
      </c>
      <c r="H1871" s="1671">
        <f t="shared" si="246"/>
        <v>0</v>
      </c>
      <c r="I1871" s="1671" t="s">
        <v>49</v>
      </c>
      <c r="J1871" s="1668"/>
      <c r="K1871" s="1668"/>
      <c r="L1871" s="1669"/>
    </row>
    <row r="1872" spans="1:12" s="692" customFormat="1" ht="16.5" hidden="1">
      <c r="A1872" s="1665"/>
      <c r="B1872" s="1666"/>
      <c r="C1872" s="688"/>
      <c r="D1872" s="1667"/>
      <c r="E1872" s="1671">
        <v>3.5</v>
      </c>
      <c r="F1872" s="1671">
        <v>4</v>
      </c>
      <c r="G1872" s="1672">
        <v>0.15</v>
      </c>
      <c r="H1872" s="1671">
        <f t="shared" si="246"/>
        <v>0</v>
      </c>
      <c r="I1872" s="1671" t="s">
        <v>49</v>
      </c>
      <c r="J1872" s="1668"/>
      <c r="K1872" s="1668"/>
      <c r="L1872" s="1669"/>
    </row>
    <row r="1873" spans="1:12" s="692" customFormat="1" ht="16.5" hidden="1">
      <c r="A1873" s="1665"/>
      <c r="B1873" s="1666"/>
      <c r="C1873" s="688"/>
      <c r="D1873" s="1667"/>
      <c r="E1873" s="1671">
        <v>3.5</v>
      </c>
      <c r="F1873" s="1671">
        <v>4</v>
      </c>
      <c r="G1873" s="1672">
        <v>0.15</v>
      </c>
      <c r="H1873" s="1671">
        <f t="shared" si="246"/>
        <v>0</v>
      </c>
      <c r="I1873" s="1671" t="s">
        <v>49</v>
      </c>
      <c r="J1873" s="1668"/>
      <c r="K1873" s="1668"/>
      <c r="L1873" s="1669"/>
    </row>
    <row r="1874" spans="1:12" s="692" customFormat="1" ht="16.5" hidden="1">
      <c r="A1874" s="1665"/>
      <c r="B1874" s="1666"/>
      <c r="C1874" s="688"/>
      <c r="D1874" s="1667"/>
      <c r="E1874" s="1671">
        <v>3.5</v>
      </c>
      <c r="F1874" s="1671">
        <v>4</v>
      </c>
      <c r="G1874" s="1672">
        <v>0.15</v>
      </c>
      <c r="H1874" s="1671">
        <f t="shared" si="246"/>
        <v>0</v>
      </c>
      <c r="I1874" s="1671" t="s">
        <v>49</v>
      </c>
      <c r="J1874" s="1668"/>
      <c r="K1874" s="1668"/>
      <c r="L1874" s="1669"/>
    </row>
    <row r="1875" spans="1:12" s="692" customFormat="1" ht="16.5" hidden="1">
      <c r="A1875" s="1665"/>
      <c r="B1875" s="1666"/>
      <c r="C1875" s="688"/>
      <c r="D1875" s="1667"/>
      <c r="E1875" s="1671"/>
      <c r="F1875" s="1671"/>
      <c r="G1875" s="1669" t="s">
        <v>928</v>
      </c>
      <c r="H1875" s="1673">
        <f>SUM(H1869:H1874)</f>
        <v>0</v>
      </c>
      <c r="I1875" s="1669" t="s">
        <v>49</v>
      </c>
      <c r="J1875" s="1668"/>
      <c r="K1875" s="1668"/>
      <c r="L1875" s="1669"/>
    </row>
    <row r="1876" spans="1:12" s="692" customFormat="1" ht="16.5" hidden="1">
      <c r="A1876" s="1665"/>
      <c r="B1876" s="1666"/>
      <c r="C1876" s="688"/>
      <c r="D1876" s="1667"/>
      <c r="E1876" s="1671">
        <f>E451+F1876</f>
        <v>0</v>
      </c>
      <c r="F1876" s="1671">
        <f>'DRAWING CC'!FS357</f>
        <v>0</v>
      </c>
      <c r="G1876" s="1672">
        <f>'DRAWING CC'!GI354</f>
        <v>0</v>
      </c>
      <c r="H1876" s="1671">
        <f t="shared" ref="H1876:H1881" si="247">ROUND(D1876*E1876*F1876*G1876,2)</f>
        <v>0</v>
      </c>
      <c r="I1876" s="1671" t="s">
        <v>49</v>
      </c>
      <c r="J1876" s="1668"/>
      <c r="K1876" s="1668"/>
      <c r="L1876" s="1669"/>
    </row>
    <row r="1877" spans="1:12" s="692" customFormat="1" ht="16.5" hidden="1">
      <c r="A1877" s="1665"/>
      <c r="B1877" s="1666"/>
      <c r="C1877" s="688"/>
      <c r="D1877" s="1667"/>
      <c r="E1877" s="1671">
        <f>E454-F1877</f>
        <v>3.5</v>
      </c>
      <c r="F1877" s="1671">
        <f>F1876</f>
        <v>0</v>
      </c>
      <c r="G1877" s="1672">
        <f>G1876</f>
        <v>0</v>
      </c>
      <c r="H1877" s="1671">
        <f t="shared" si="247"/>
        <v>0</v>
      </c>
      <c r="I1877" s="1671" t="s">
        <v>49</v>
      </c>
      <c r="J1877" s="1668"/>
      <c r="K1877" s="1668"/>
      <c r="L1877" s="1669"/>
    </row>
    <row r="1878" spans="1:12" s="692" customFormat="1" ht="16.5" hidden="1">
      <c r="A1878" s="1665"/>
      <c r="B1878" s="1666"/>
      <c r="C1878" s="688"/>
      <c r="D1878" s="1667"/>
      <c r="E1878" s="1671">
        <f>E455-F1878</f>
        <v>3.5</v>
      </c>
      <c r="F1878" s="1671">
        <f>F1877</f>
        <v>0</v>
      </c>
      <c r="G1878" s="1672">
        <f>G1877</f>
        <v>0</v>
      </c>
      <c r="H1878" s="1671">
        <f t="shared" si="247"/>
        <v>0</v>
      </c>
      <c r="I1878" s="1671" t="s">
        <v>49</v>
      </c>
      <c r="J1878" s="1668"/>
      <c r="K1878" s="1668"/>
      <c r="L1878" s="1669"/>
    </row>
    <row r="1879" spans="1:12" s="692" customFormat="1" ht="16.5" hidden="1">
      <c r="A1879" s="1665"/>
      <c r="B1879" s="1666"/>
      <c r="C1879" s="688"/>
      <c r="D1879" s="1667"/>
      <c r="E1879" s="1671">
        <v>3.5</v>
      </c>
      <c r="F1879" s="1671">
        <v>4</v>
      </c>
      <c r="G1879" s="1672">
        <v>0.15</v>
      </c>
      <c r="H1879" s="1671">
        <f t="shared" si="247"/>
        <v>0</v>
      </c>
      <c r="I1879" s="1671" t="s">
        <v>49</v>
      </c>
      <c r="J1879" s="1668"/>
      <c r="K1879" s="1668"/>
      <c r="L1879" s="1669"/>
    </row>
    <row r="1880" spans="1:12" s="692" customFormat="1" ht="16.5" hidden="1">
      <c r="A1880" s="1665"/>
      <c r="B1880" s="1666"/>
      <c r="C1880" s="688"/>
      <c r="D1880" s="1667"/>
      <c r="E1880" s="1671">
        <v>3.5</v>
      </c>
      <c r="F1880" s="1671">
        <v>4</v>
      </c>
      <c r="G1880" s="1672">
        <v>0.15</v>
      </c>
      <c r="H1880" s="1671">
        <f t="shared" si="247"/>
        <v>0</v>
      </c>
      <c r="I1880" s="1671" t="s">
        <v>49</v>
      </c>
      <c r="J1880" s="1668"/>
      <c r="K1880" s="1668"/>
      <c r="L1880" s="1669"/>
    </row>
    <row r="1881" spans="1:12" s="692" customFormat="1" ht="16.5" hidden="1">
      <c r="A1881" s="1665"/>
      <c r="B1881" s="1666"/>
      <c r="C1881" s="688"/>
      <c r="D1881" s="1667"/>
      <c r="E1881" s="1671">
        <v>3.5</v>
      </c>
      <c r="F1881" s="1671">
        <v>4</v>
      </c>
      <c r="G1881" s="1672">
        <v>0.15</v>
      </c>
      <c r="H1881" s="1671">
        <f t="shared" si="247"/>
        <v>0</v>
      </c>
      <c r="I1881" s="1671" t="s">
        <v>49</v>
      </c>
      <c r="J1881" s="1668"/>
      <c r="K1881" s="1668"/>
      <c r="L1881" s="1669"/>
    </row>
    <row r="1882" spans="1:12" s="692" customFormat="1" ht="16.5" hidden="1">
      <c r="A1882" s="1665"/>
      <c r="B1882" s="1666"/>
      <c r="C1882" s="688"/>
      <c r="D1882" s="1667"/>
      <c r="E1882" s="1671"/>
      <c r="F1882" s="1671"/>
      <c r="G1882" s="1669" t="s">
        <v>928</v>
      </c>
      <c r="H1882" s="1673">
        <f>SUM(H1876:H1881)</f>
        <v>0</v>
      </c>
      <c r="I1882" s="1669" t="s">
        <v>49</v>
      </c>
      <c r="J1882" s="1669">
        <f>'Lead &amp; ANALYSIS'!L537</f>
        <v>19489</v>
      </c>
      <c r="K1882" s="1668" t="s">
        <v>1516</v>
      </c>
      <c r="L1882" s="1669">
        <f>ROUND(H1882*J1882,0)</f>
        <v>0</v>
      </c>
    </row>
    <row r="1883" spans="1:12" s="692" customFormat="1" ht="16.5" hidden="1">
      <c r="A1883" s="1665" t="s">
        <v>220</v>
      </c>
      <c r="B1883" s="1666" t="s">
        <v>481</v>
      </c>
      <c r="C1883" s="688"/>
      <c r="D1883" s="1667"/>
      <c r="E1883" s="688"/>
      <c r="F1883" s="688"/>
      <c r="G1883" s="1674"/>
      <c r="H1883" s="688"/>
      <c r="I1883" s="1668"/>
      <c r="J1883" s="1668"/>
      <c r="K1883" s="1668"/>
      <c r="L1883" s="1669"/>
    </row>
    <row r="1884" spans="1:12" s="692" customFormat="1" ht="16.5" hidden="1">
      <c r="A1884" s="1665"/>
      <c r="B1884" s="1666" t="s">
        <v>1948</v>
      </c>
      <c r="C1884" s="688"/>
      <c r="D1884" s="1667"/>
      <c r="E1884" s="1671">
        <f>'DRAWING CC'!IL345+0.3</f>
        <v>0.3</v>
      </c>
      <c r="F1884" s="1671">
        <f>'DRAWING CC'!FL271</f>
        <v>0</v>
      </c>
      <c r="G1884" s="1683">
        <f>0.065</f>
        <v>6.5000000000000002E-2</v>
      </c>
      <c r="H1884" s="1671">
        <f t="shared" ref="H1884:H1889" si="248">ROUND(D1884*E1884*F1884*G1884,2)</f>
        <v>0</v>
      </c>
      <c r="I1884" s="1671" t="s">
        <v>49</v>
      </c>
      <c r="J1884" s="1668"/>
      <c r="K1884" s="1668"/>
      <c r="L1884" s="1669"/>
    </row>
    <row r="1885" spans="1:12" s="692" customFormat="1" ht="16.5" hidden="1">
      <c r="A1885" s="1665"/>
      <c r="B1885" s="1666" t="s">
        <v>2987</v>
      </c>
      <c r="C1885" s="688"/>
      <c r="D1885" s="1667"/>
      <c r="E1885" s="1671">
        <f>'DRAWING CC'!AW302</f>
        <v>0</v>
      </c>
      <c r="F1885" s="1671">
        <f>F1884</f>
        <v>0</v>
      </c>
      <c r="G1885" s="1683">
        <f>0.065</f>
        <v>6.5000000000000002E-2</v>
      </c>
      <c r="H1885" s="1671">
        <f t="shared" si="248"/>
        <v>0</v>
      </c>
      <c r="I1885" s="1671" t="s">
        <v>49</v>
      </c>
      <c r="J1885" s="1668"/>
      <c r="K1885" s="1668"/>
      <c r="L1885" s="1669"/>
    </row>
    <row r="1886" spans="1:12" s="692" customFormat="1" ht="16.5" hidden="1">
      <c r="A1886" s="1665"/>
      <c r="B1886" s="1666"/>
      <c r="C1886" s="688"/>
      <c r="D1886" s="1667"/>
      <c r="E1886" s="1671">
        <f>D368-F1886</f>
        <v>0</v>
      </c>
      <c r="F1886" s="1671">
        <f>F1885</f>
        <v>0</v>
      </c>
      <c r="G1886" s="1672">
        <f>G1885</f>
        <v>6.5000000000000002E-2</v>
      </c>
      <c r="H1886" s="1671">
        <f t="shared" si="248"/>
        <v>0</v>
      </c>
      <c r="I1886" s="1671" t="s">
        <v>49</v>
      </c>
      <c r="J1886" s="1668"/>
      <c r="K1886" s="1668"/>
      <c r="L1886" s="1669"/>
    </row>
    <row r="1887" spans="1:12" s="692" customFormat="1" ht="16.5" hidden="1">
      <c r="A1887" s="1665"/>
      <c r="B1887" s="1666"/>
      <c r="C1887" s="688"/>
      <c r="D1887" s="1667"/>
      <c r="E1887" s="1671">
        <v>3.5</v>
      </c>
      <c r="F1887" s="1671">
        <v>4</v>
      </c>
      <c r="G1887" s="1672">
        <v>0.15</v>
      </c>
      <c r="H1887" s="1671">
        <f t="shared" si="248"/>
        <v>0</v>
      </c>
      <c r="I1887" s="1671" t="s">
        <v>49</v>
      </c>
      <c r="J1887" s="1668"/>
      <c r="K1887" s="1668"/>
      <c r="L1887" s="1669"/>
    </row>
    <row r="1888" spans="1:12" s="692" customFormat="1" ht="16.5" hidden="1">
      <c r="A1888" s="1665"/>
      <c r="B1888" s="1666"/>
      <c r="C1888" s="688"/>
      <c r="D1888" s="1667"/>
      <c r="E1888" s="1671">
        <v>3.5</v>
      </c>
      <c r="F1888" s="1671">
        <v>4</v>
      </c>
      <c r="G1888" s="1672">
        <v>0.15</v>
      </c>
      <c r="H1888" s="1671">
        <f t="shared" si="248"/>
        <v>0</v>
      </c>
      <c r="I1888" s="1671" t="s">
        <v>49</v>
      </c>
      <c r="J1888" s="1668"/>
      <c r="K1888" s="1668"/>
      <c r="L1888" s="1669"/>
    </row>
    <row r="1889" spans="1:12" s="692" customFormat="1" ht="16.5" hidden="1">
      <c r="A1889" s="1665"/>
      <c r="B1889" s="1666"/>
      <c r="C1889" s="688"/>
      <c r="D1889" s="1667"/>
      <c r="E1889" s="1671">
        <v>3.5</v>
      </c>
      <c r="F1889" s="1671">
        <v>4</v>
      </c>
      <c r="G1889" s="1672">
        <v>0.15</v>
      </c>
      <c r="H1889" s="1671">
        <f t="shared" si="248"/>
        <v>0</v>
      </c>
      <c r="I1889" s="1671" t="s">
        <v>49</v>
      </c>
      <c r="J1889" s="1668"/>
      <c r="K1889" s="1668"/>
      <c r="L1889" s="1669"/>
    </row>
    <row r="1890" spans="1:12" s="692" customFormat="1" ht="16.5" hidden="1">
      <c r="A1890" s="1665"/>
      <c r="B1890" s="1666"/>
      <c r="C1890" s="688"/>
      <c r="D1890" s="1667"/>
      <c r="E1890" s="1671"/>
      <c r="F1890" s="1671"/>
      <c r="G1890" s="1669" t="s">
        <v>928</v>
      </c>
      <c r="H1890" s="1673">
        <f>SUM(H1884:H1889)</f>
        <v>0</v>
      </c>
      <c r="I1890" s="1669" t="s">
        <v>49</v>
      </c>
      <c r="J1890" s="1668"/>
      <c r="K1890" s="1668"/>
      <c r="L1890" s="1669"/>
    </row>
    <row r="1891" spans="1:12" s="692" customFormat="1" ht="16.5" hidden="1">
      <c r="A1891" s="1665"/>
      <c r="B1891" s="1666" t="s">
        <v>1948</v>
      </c>
      <c r="C1891" s="688"/>
      <c r="D1891" s="1667"/>
      <c r="E1891" s="1671">
        <v>3.5</v>
      </c>
      <c r="F1891" s="1671">
        <v>4</v>
      </c>
      <c r="G1891" s="1672"/>
      <c r="H1891" s="1671">
        <f>ROUND(D1891*E1891*F1891,2)</f>
        <v>0</v>
      </c>
      <c r="I1891" s="1671" t="s">
        <v>92</v>
      </c>
      <c r="J1891" s="1668"/>
      <c r="K1891" s="1668"/>
      <c r="L1891" s="1669"/>
    </row>
    <row r="1892" spans="1:12" s="692" customFormat="1" ht="16.5" hidden="1">
      <c r="A1892" s="1665"/>
      <c r="B1892" s="1666" t="s">
        <v>2987</v>
      </c>
      <c r="C1892" s="688"/>
      <c r="D1892" s="1667"/>
      <c r="E1892" s="1671">
        <v>3.5</v>
      </c>
      <c r="F1892" s="1671">
        <v>4</v>
      </c>
      <c r="G1892" s="1672"/>
      <c r="H1892" s="1671">
        <f t="shared" ref="H1892:H1896" si="249">ROUND(D1892*E1892*F1892,2)</f>
        <v>0</v>
      </c>
      <c r="I1892" s="1671" t="s">
        <v>92</v>
      </c>
      <c r="J1892" s="1668"/>
      <c r="K1892" s="1668"/>
      <c r="L1892" s="1669"/>
    </row>
    <row r="1893" spans="1:12" s="692" customFormat="1" ht="16.5" hidden="1">
      <c r="A1893" s="1665"/>
      <c r="B1893" s="1666"/>
      <c r="C1893" s="688"/>
      <c r="D1893" s="1667"/>
      <c r="E1893" s="1671">
        <v>3.5</v>
      </c>
      <c r="F1893" s="1671">
        <v>4</v>
      </c>
      <c r="G1893" s="1672"/>
      <c r="H1893" s="1671">
        <f t="shared" si="249"/>
        <v>0</v>
      </c>
      <c r="I1893" s="1671" t="s">
        <v>92</v>
      </c>
      <c r="J1893" s="1668"/>
      <c r="K1893" s="1668"/>
      <c r="L1893" s="1669"/>
    </row>
    <row r="1894" spans="1:12" s="692" customFormat="1" ht="16.5" hidden="1">
      <c r="A1894" s="1665"/>
      <c r="B1894" s="1666"/>
      <c r="C1894" s="688"/>
      <c r="D1894" s="1667"/>
      <c r="E1894" s="1671">
        <v>3.5</v>
      </c>
      <c r="F1894" s="1671">
        <v>4</v>
      </c>
      <c r="G1894" s="1672"/>
      <c r="H1894" s="1671">
        <f t="shared" si="249"/>
        <v>0</v>
      </c>
      <c r="I1894" s="1671" t="s">
        <v>92</v>
      </c>
      <c r="J1894" s="1668"/>
      <c r="K1894" s="1668"/>
      <c r="L1894" s="1669"/>
    </row>
    <row r="1895" spans="1:12" s="692" customFormat="1" ht="16.5" hidden="1">
      <c r="A1895" s="1665"/>
      <c r="B1895" s="1666"/>
      <c r="C1895" s="688"/>
      <c r="D1895" s="1667"/>
      <c r="E1895" s="1671">
        <v>3.5</v>
      </c>
      <c r="F1895" s="1671">
        <v>4</v>
      </c>
      <c r="G1895" s="1672"/>
      <c r="H1895" s="1671">
        <f t="shared" si="249"/>
        <v>0</v>
      </c>
      <c r="I1895" s="1671" t="s">
        <v>92</v>
      </c>
      <c r="J1895" s="1668"/>
      <c r="K1895" s="1668"/>
      <c r="L1895" s="1669"/>
    </row>
    <row r="1896" spans="1:12" s="692" customFormat="1" ht="16.5" hidden="1">
      <c r="A1896" s="1665"/>
      <c r="B1896" s="1666"/>
      <c r="C1896" s="688"/>
      <c r="D1896" s="1667"/>
      <c r="E1896" s="1671">
        <v>3.5</v>
      </c>
      <c r="F1896" s="1671">
        <v>4</v>
      </c>
      <c r="G1896" s="1672"/>
      <c r="H1896" s="1671">
        <f t="shared" si="249"/>
        <v>0</v>
      </c>
      <c r="I1896" s="1671" t="s">
        <v>92</v>
      </c>
      <c r="J1896" s="1668"/>
      <c r="K1896" s="1668"/>
      <c r="L1896" s="1669"/>
    </row>
    <row r="1897" spans="1:12" s="692" customFormat="1" ht="16.5" hidden="1">
      <c r="A1897" s="1665"/>
      <c r="B1897" s="1666"/>
      <c r="C1897" s="688"/>
      <c r="D1897" s="1667"/>
      <c r="E1897" s="1671"/>
      <c r="F1897" s="1671"/>
      <c r="G1897" s="1669" t="s">
        <v>928</v>
      </c>
      <c r="H1897" s="1673">
        <f>SUM(H1891:H1896)</f>
        <v>0</v>
      </c>
      <c r="I1897" s="1671" t="s">
        <v>92</v>
      </c>
      <c r="J1897" s="1669">
        <f>'Lead &amp; ANALYSIS'!L589</f>
        <v>1717.4</v>
      </c>
      <c r="K1897" s="1668" t="s">
        <v>1514</v>
      </c>
      <c r="L1897" s="1669">
        <f>ROUND(H1897*J1897,0)</f>
        <v>0</v>
      </c>
    </row>
    <row r="1898" spans="1:12" s="692" customFormat="1" ht="16.5" hidden="1">
      <c r="A1898" s="1665" t="s">
        <v>244</v>
      </c>
      <c r="B1898" s="1666" t="s">
        <v>3401</v>
      </c>
      <c r="C1898" s="688"/>
      <c r="D1898" s="1667"/>
      <c r="E1898" s="688"/>
      <c r="F1898" s="688"/>
      <c r="G1898" s="1674"/>
      <c r="H1898" s="688"/>
      <c r="I1898" s="1668"/>
      <c r="J1898" s="1668"/>
      <c r="K1898" s="1668"/>
      <c r="L1898" s="1669"/>
    </row>
    <row r="1899" spans="1:12" s="692" customFormat="1" ht="16.5" hidden="1">
      <c r="A1899" s="1665"/>
      <c r="B1899" s="1666"/>
      <c r="C1899" s="688"/>
      <c r="D1899" s="1667"/>
      <c r="E1899" s="1671">
        <f>D390+F1899</f>
        <v>0</v>
      </c>
      <c r="F1899" s="1671">
        <f>F1884</f>
        <v>0</v>
      </c>
      <c r="G1899" s="1672">
        <f>'DRAWING CC'!GI283</f>
        <v>0</v>
      </c>
      <c r="H1899" s="1671">
        <f t="shared" ref="H1899:H1904" si="250">ROUND(D1899*E1899*F1899*G1899,2)</f>
        <v>0</v>
      </c>
      <c r="I1899" s="1671" t="s">
        <v>49</v>
      </c>
      <c r="J1899" s="1668"/>
      <c r="K1899" s="1668"/>
      <c r="L1899" s="1669"/>
    </row>
    <row r="1900" spans="1:12" s="692" customFormat="1" ht="16.5" hidden="1">
      <c r="A1900" s="1665"/>
      <c r="B1900" s="1666"/>
      <c r="C1900" s="688"/>
      <c r="D1900" s="1667"/>
      <c r="E1900" s="1671">
        <f>D393-F1900</f>
        <v>0</v>
      </c>
      <c r="F1900" s="1671">
        <f>F1899</f>
        <v>0</v>
      </c>
      <c r="G1900" s="1672">
        <f>G1899</f>
        <v>0</v>
      </c>
      <c r="H1900" s="1671">
        <f t="shared" si="250"/>
        <v>0</v>
      </c>
      <c r="I1900" s="1671" t="s">
        <v>49</v>
      </c>
      <c r="J1900" s="1668"/>
      <c r="K1900" s="1668"/>
      <c r="L1900" s="1669"/>
    </row>
    <row r="1901" spans="1:12" s="692" customFormat="1" ht="16.5" hidden="1">
      <c r="A1901" s="1665"/>
      <c r="B1901" s="1666"/>
      <c r="C1901" s="688"/>
      <c r="D1901" s="1667"/>
      <c r="E1901" s="1671">
        <f>D394-F1901</f>
        <v>0</v>
      </c>
      <c r="F1901" s="1671">
        <f>F1900</f>
        <v>0</v>
      </c>
      <c r="G1901" s="1672">
        <f>G1900</f>
        <v>0</v>
      </c>
      <c r="H1901" s="1671">
        <f t="shared" si="250"/>
        <v>0</v>
      </c>
      <c r="I1901" s="1671" t="s">
        <v>49</v>
      </c>
      <c r="J1901" s="1668"/>
      <c r="K1901" s="1668"/>
      <c r="L1901" s="1669"/>
    </row>
    <row r="1902" spans="1:12" s="692" customFormat="1" ht="16.5" hidden="1">
      <c r="A1902" s="1665"/>
      <c r="B1902" s="1666"/>
      <c r="C1902" s="688"/>
      <c r="D1902" s="1667"/>
      <c r="E1902" s="1671">
        <v>3.5</v>
      </c>
      <c r="F1902" s="1671">
        <v>4</v>
      </c>
      <c r="G1902" s="1672">
        <v>0.15</v>
      </c>
      <c r="H1902" s="1671">
        <f t="shared" si="250"/>
        <v>0</v>
      </c>
      <c r="I1902" s="1671" t="s">
        <v>49</v>
      </c>
      <c r="J1902" s="1668"/>
      <c r="K1902" s="1668"/>
      <c r="L1902" s="1669"/>
    </row>
    <row r="1903" spans="1:12" s="692" customFormat="1" ht="16.5" hidden="1">
      <c r="A1903" s="1665"/>
      <c r="B1903" s="1666"/>
      <c r="C1903" s="688"/>
      <c r="D1903" s="1667"/>
      <c r="E1903" s="1671">
        <v>3.5</v>
      </c>
      <c r="F1903" s="1671">
        <v>4</v>
      </c>
      <c r="G1903" s="1672">
        <v>0.15</v>
      </c>
      <c r="H1903" s="1671">
        <f t="shared" si="250"/>
        <v>0</v>
      </c>
      <c r="I1903" s="1671" t="s">
        <v>49</v>
      </c>
      <c r="J1903" s="1668"/>
      <c r="K1903" s="1668"/>
      <c r="L1903" s="1669"/>
    </row>
    <row r="1904" spans="1:12" s="692" customFormat="1" ht="16.5" hidden="1">
      <c r="A1904" s="1665"/>
      <c r="B1904" s="1666"/>
      <c r="C1904" s="688"/>
      <c r="D1904" s="1667"/>
      <c r="E1904" s="1671">
        <v>3.5</v>
      </c>
      <c r="F1904" s="1671">
        <v>4</v>
      </c>
      <c r="G1904" s="1672">
        <v>0.15</v>
      </c>
      <c r="H1904" s="1671">
        <f t="shared" si="250"/>
        <v>0</v>
      </c>
      <c r="I1904" s="1671" t="s">
        <v>49</v>
      </c>
      <c r="J1904" s="1668"/>
      <c r="K1904" s="1668"/>
      <c r="L1904" s="1669"/>
    </row>
    <row r="1905" spans="1:12" s="692" customFormat="1" ht="16.5" hidden="1">
      <c r="A1905" s="1665"/>
      <c r="B1905" s="1666"/>
      <c r="C1905" s="688"/>
      <c r="D1905" s="1667"/>
      <c r="E1905" s="1671"/>
      <c r="F1905" s="1671"/>
      <c r="G1905" s="1669" t="s">
        <v>928</v>
      </c>
      <c r="H1905" s="1673">
        <f>SUM(H1899:H1904)</f>
        <v>0</v>
      </c>
      <c r="I1905" s="1669" t="s">
        <v>49</v>
      </c>
      <c r="J1905" s="1668"/>
      <c r="K1905" s="1668"/>
      <c r="L1905" s="1669"/>
    </row>
    <row r="1906" spans="1:12" s="692" customFormat="1" ht="16.5" hidden="1">
      <c r="A1906" s="1665"/>
      <c r="B1906" s="1666"/>
      <c r="C1906" s="688"/>
      <c r="D1906" s="1667"/>
      <c r="E1906" s="1671">
        <f>D397+F1906</f>
        <v>4</v>
      </c>
      <c r="F1906" s="1671">
        <f>F1891</f>
        <v>4</v>
      </c>
      <c r="G1906" s="1672">
        <f>'DRAWING CC'!GI290</f>
        <v>0</v>
      </c>
      <c r="H1906" s="1671">
        <f t="shared" ref="H1906:H1911" si="251">ROUND(D1906*E1906*F1906*G1906,2)</f>
        <v>0</v>
      </c>
      <c r="I1906" s="1671" t="s">
        <v>49</v>
      </c>
      <c r="J1906" s="1668"/>
      <c r="K1906" s="1668"/>
      <c r="L1906" s="1669"/>
    </row>
    <row r="1907" spans="1:12" s="692" customFormat="1" ht="16.5" hidden="1">
      <c r="A1907" s="1665"/>
      <c r="B1907" s="1666"/>
      <c r="C1907" s="688"/>
      <c r="D1907" s="1667"/>
      <c r="E1907" s="1671">
        <f>D400-F1907</f>
        <v>-4</v>
      </c>
      <c r="F1907" s="1671">
        <f>F1906</f>
        <v>4</v>
      </c>
      <c r="G1907" s="1672">
        <f>G1906</f>
        <v>0</v>
      </c>
      <c r="H1907" s="1671">
        <f t="shared" si="251"/>
        <v>0</v>
      </c>
      <c r="I1907" s="1671" t="s">
        <v>49</v>
      </c>
      <c r="J1907" s="1668"/>
      <c r="K1907" s="1668"/>
      <c r="L1907" s="1669"/>
    </row>
    <row r="1908" spans="1:12" s="692" customFormat="1" ht="16.5" hidden="1">
      <c r="A1908" s="1665"/>
      <c r="B1908" s="1666"/>
      <c r="C1908" s="688"/>
      <c r="D1908" s="1667"/>
      <c r="E1908" s="1671">
        <f>D401-F1908</f>
        <v>-4</v>
      </c>
      <c r="F1908" s="1671">
        <f>F1907</f>
        <v>4</v>
      </c>
      <c r="G1908" s="1672">
        <f>G1907</f>
        <v>0</v>
      </c>
      <c r="H1908" s="1671">
        <f t="shared" si="251"/>
        <v>0</v>
      </c>
      <c r="I1908" s="1671" t="s">
        <v>49</v>
      </c>
      <c r="J1908" s="1668"/>
      <c r="K1908" s="1668"/>
      <c r="L1908" s="1669"/>
    </row>
    <row r="1909" spans="1:12" s="692" customFormat="1" ht="16.5" hidden="1">
      <c r="A1909" s="1665"/>
      <c r="B1909" s="1666"/>
      <c r="C1909" s="688"/>
      <c r="D1909" s="1667"/>
      <c r="E1909" s="1671">
        <v>3.5</v>
      </c>
      <c r="F1909" s="1671">
        <v>4</v>
      </c>
      <c r="G1909" s="1672">
        <v>0.15</v>
      </c>
      <c r="H1909" s="1671">
        <f t="shared" si="251"/>
        <v>0</v>
      </c>
      <c r="I1909" s="1671" t="s">
        <v>49</v>
      </c>
      <c r="J1909" s="1668"/>
      <c r="K1909" s="1668"/>
      <c r="L1909" s="1669"/>
    </row>
    <row r="1910" spans="1:12" s="692" customFormat="1" ht="16.5" hidden="1">
      <c r="A1910" s="1665"/>
      <c r="B1910" s="1666"/>
      <c r="C1910" s="688"/>
      <c r="D1910" s="1667"/>
      <c r="E1910" s="1671">
        <v>3.5</v>
      </c>
      <c r="F1910" s="1671">
        <v>4</v>
      </c>
      <c r="G1910" s="1672">
        <v>0.15</v>
      </c>
      <c r="H1910" s="1671">
        <f t="shared" si="251"/>
        <v>0</v>
      </c>
      <c r="I1910" s="1671" t="s">
        <v>49</v>
      </c>
      <c r="J1910" s="1668"/>
      <c r="K1910" s="1668"/>
      <c r="L1910" s="1669"/>
    </row>
    <row r="1911" spans="1:12" s="692" customFormat="1" ht="16.5" hidden="1">
      <c r="A1911" s="1665"/>
      <c r="B1911" s="1666"/>
      <c r="C1911" s="688"/>
      <c r="D1911" s="1667"/>
      <c r="E1911" s="1671">
        <v>3.5</v>
      </c>
      <c r="F1911" s="1671">
        <v>4</v>
      </c>
      <c r="G1911" s="1672">
        <v>0.15</v>
      </c>
      <c r="H1911" s="1671">
        <f t="shared" si="251"/>
        <v>0</v>
      </c>
      <c r="I1911" s="1671" t="s">
        <v>49</v>
      </c>
      <c r="J1911" s="1668"/>
      <c r="K1911" s="1668"/>
      <c r="L1911" s="1669"/>
    </row>
    <row r="1912" spans="1:12" s="692" customFormat="1" ht="16.5" hidden="1">
      <c r="A1912" s="1665"/>
      <c r="B1912" s="1666"/>
      <c r="C1912" s="688"/>
      <c r="D1912" s="1667"/>
      <c r="E1912" s="1671"/>
      <c r="F1912" s="1671"/>
      <c r="G1912" s="1669" t="s">
        <v>928</v>
      </c>
      <c r="H1912" s="1673">
        <f>SUM(H1906:H1911)</f>
        <v>0</v>
      </c>
      <c r="I1912" s="1669" t="s">
        <v>49</v>
      </c>
      <c r="J1912" s="1669">
        <f>'Lead &amp; ANALYSIS'!L550</f>
        <v>20715.900000000001</v>
      </c>
      <c r="K1912" s="1668" t="s">
        <v>1516</v>
      </c>
      <c r="L1912" s="1669">
        <f>ROUND(H1912*J1912,0)</f>
        <v>0</v>
      </c>
    </row>
    <row r="1913" spans="1:12" s="692" customFormat="1" ht="16.5" hidden="1">
      <c r="A1913" s="1665" t="s">
        <v>291</v>
      </c>
      <c r="B1913" s="1666" t="s">
        <v>1926</v>
      </c>
      <c r="C1913" s="688"/>
      <c r="D1913" s="1667"/>
      <c r="E1913" s="688"/>
      <c r="F1913" s="688"/>
      <c r="G1913" s="1674"/>
      <c r="H1913" s="688"/>
      <c r="I1913" s="1668"/>
      <c r="J1913" s="1668"/>
      <c r="K1913" s="1668"/>
      <c r="L1913" s="1669"/>
    </row>
    <row r="1914" spans="1:12" s="692" customFormat="1" ht="16.5" hidden="1">
      <c r="A1914" s="1665"/>
      <c r="B1914" s="1666"/>
      <c r="C1914" s="688"/>
      <c r="D1914" s="1667"/>
      <c r="E1914" s="1671">
        <v>3.5</v>
      </c>
      <c r="F1914" s="1671">
        <v>4</v>
      </c>
      <c r="G1914" s="1672">
        <v>0.15</v>
      </c>
      <c r="H1914" s="1671">
        <f t="shared" ref="H1914:H1919" si="252">ROUND(D1914*E1914*F1914*G1914,2)</f>
        <v>0</v>
      </c>
      <c r="I1914" s="1671" t="s">
        <v>49</v>
      </c>
      <c r="J1914" s="1668"/>
      <c r="K1914" s="1668"/>
      <c r="L1914" s="1669"/>
    </row>
    <row r="1915" spans="1:12" s="692" customFormat="1" ht="16.5" hidden="1">
      <c r="A1915" s="1665"/>
      <c r="B1915" s="1666"/>
      <c r="C1915" s="688"/>
      <c r="D1915" s="1667"/>
      <c r="E1915" s="1671">
        <v>3.5</v>
      </c>
      <c r="F1915" s="1671">
        <v>4</v>
      </c>
      <c r="G1915" s="1672">
        <v>0.15</v>
      </c>
      <c r="H1915" s="1671">
        <f t="shared" si="252"/>
        <v>0</v>
      </c>
      <c r="I1915" s="1671" t="s">
        <v>49</v>
      </c>
      <c r="J1915" s="1668"/>
      <c r="K1915" s="1668"/>
      <c r="L1915" s="1669"/>
    </row>
    <row r="1916" spans="1:12" s="692" customFormat="1" ht="16.5" hidden="1">
      <c r="A1916" s="1665"/>
      <c r="B1916" s="1666"/>
      <c r="C1916" s="688"/>
      <c r="D1916" s="1667"/>
      <c r="E1916" s="1671">
        <v>3.5</v>
      </c>
      <c r="F1916" s="1671">
        <v>4</v>
      </c>
      <c r="G1916" s="1672">
        <v>0.15</v>
      </c>
      <c r="H1916" s="1671">
        <f t="shared" si="252"/>
        <v>0</v>
      </c>
      <c r="I1916" s="1671" t="s">
        <v>49</v>
      </c>
      <c r="J1916" s="1668"/>
      <c r="K1916" s="1668"/>
      <c r="L1916" s="1669"/>
    </row>
    <row r="1917" spans="1:12" s="692" customFormat="1" ht="16.5" hidden="1">
      <c r="A1917" s="1665"/>
      <c r="B1917" s="1666"/>
      <c r="C1917" s="688"/>
      <c r="D1917" s="1667"/>
      <c r="E1917" s="1671">
        <v>3.5</v>
      </c>
      <c r="F1917" s="1671">
        <v>4</v>
      </c>
      <c r="G1917" s="1672">
        <v>0.15</v>
      </c>
      <c r="H1917" s="1671">
        <f t="shared" si="252"/>
        <v>0</v>
      </c>
      <c r="I1917" s="1671" t="s">
        <v>49</v>
      </c>
      <c r="J1917" s="1668"/>
      <c r="K1917" s="1668"/>
      <c r="L1917" s="1669"/>
    </row>
    <row r="1918" spans="1:12" s="692" customFormat="1" ht="16.5" hidden="1">
      <c r="A1918" s="1665"/>
      <c r="B1918" s="1666"/>
      <c r="C1918" s="688"/>
      <c r="D1918" s="1667"/>
      <c r="E1918" s="1671">
        <v>3.5</v>
      </c>
      <c r="F1918" s="1671">
        <v>4</v>
      </c>
      <c r="G1918" s="1672">
        <v>0.15</v>
      </c>
      <c r="H1918" s="1671">
        <f t="shared" si="252"/>
        <v>0</v>
      </c>
      <c r="I1918" s="1671" t="s">
        <v>49</v>
      </c>
      <c r="J1918" s="1668"/>
      <c r="K1918" s="1668"/>
      <c r="L1918" s="1669"/>
    </row>
    <row r="1919" spans="1:12" s="692" customFormat="1" ht="16.5" hidden="1">
      <c r="A1919" s="1665"/>
      <c r="B1919" s="1666"/>
      <c r="C1919" s="688"/>
      <c r="D1919" s="1667"/>
      <c r="E1919" s="1671">
        <v>3.5</v>
      </c>
      <c r="F1919" s="1671">
        <v>4</v>
      </c>
      <c r="G1919" s="1672">
        <v>0.15</v>
      </c>
      <c r="H1919" s="1671">
        <f t="shared" si="252"/>
        <v>0</v>
      </c>
      <c r="I1919" s="1671" t="s">
        <v>49</v>
      </c>
      <c r="J1919" s="1668"/>
      <c r="K1919" s="1668"/>
      <c r="L1919" s="1669"/>
    </row>
    <row r="1920" spans="1:12" s="692" customFormat="1" ht="16.5" hidden="1">
      <c r="A1920" s="1665"/>
      <c r="B1920" s="1666"/>
      <c r="C1920" s="688"/>
      <c r="D1920" s="1667"/>
      <c r="E1920" s="1671"/>
      <c r="F1920" s="1671"/>
      <c r="G1920" s="1669" t="s">
        <v>928</v>
      </c>
      <c r="H1920" s="1673">
        <f>SUM(H1914:H1919)</f>
        <v>0</v>
      </c>
      <c r="I1920" s="1669" t="s">
        <v>49</v>
      </c>
      <c r="J1920" s="1668"/>
      <c r="K1920" s="1668"/>
      <c r="L1920" s="1669"/>
    </row>
    <row r="1921" spans="1:12" s="692" customFormat="1" ht="16.5" hidden="1">
      <c r="A1921" s="1665"/>
      <c r="B1921" s="1666"/>
      <c r="C1921" s="688"/>
      <c r="D1921" s="1667"/>
      <c r="E1921" s="1671">
        <v>3.5</v>
      </c>
      <c r="F1921" s="1671">
        <v>4</v>
      </c>
      <c r="G1921" s="1672"/>
      <c r="H1921" s="1671">
        <f>ROUND(D1921*E1921*F1921,2)</f>
        <v>0</v>
      </c>
      <c r="I1921" s="1671" t="s">
        <v>92</v>
      </c>
      <c r="J1921" s="1668"/>
      <c r="K1921" s="1668"/>
      <c r="L1921" s="1669"/>
    </row>
    <row r="1922" spans="1:12" s="692" customFormat="1" ht="16.5" hidden="1">
      <c r="A1922" s="1665"/>
      <c r="B1922" s="1666"/>
      <c r="C1922" s="688"/>
      <c r="D1922" s="1667"/>
      <c r="E1922" s="1671">
        <v>3.5</v>
      </c>
      <c r="F1922" s="1671">
        <v>4</v>
      </c>
      <c r="G1922" s="1672"/>
      <c r="H1922" s="1671">
        <f t="shared" ref="H1922:H1926" si="253">ROUND(D1922*E1922*F1922,2)</f>
        <v>0</v>
      </c>
      <c r="I1922" s="1671" t="s">
        <v>92</v>
      </c>
      <c r="J1922" s="1668"/>
      <c r="K1922" s="1668"/>
      <c r="L1922" s="1669"/>
    </row>
    <row r="1923" spans="1:12" s="692" customFormat="1" ht="16.5" hidden="1">
      <c r="A1923" s="1665"/>
      <c r="B1923" s="1666"/>
      <c r="C1923" s="688"/>
      <c r="D1923" s="1667"/>
      <c r="E1923" s="1671">
        <v>3.5</v>
      </c>
      <c r="F1923" s="1671">
        <v>4</v>
      </c>
      <c r="G1923" s="1672"/>
      <c r="H1923" s="1671">
        <f t="shared" si="253"/>
        <v>0</v>
      </c>
      <c r="I1923" s="1671" t="s">
        <v>92</v>
      </c>
      <c r="J1923" s="1668"/>
      <c r="K1923" s="1668"/>
      <c r="L1923" s="1669"/>
    </row>
    <row r="1924" spans="1:12" s="692" customFormat="1" ht="16.5" hidden="1">
      <c r="A1924" s="1665"/>
      <c r="B1924" s="1666"/>
      <c r="C1924" s="688"/>
      <c r="D1924" s="1667"/>
      <c r="E1924" s="1671">
        <v>3.5</v>
      </c>
      <c r="F1924" s="1671">
        <v>4</v>
      </c>
      <c r="G1924" s="1672"/>
      <c r="H1924" s="1671">
        <f t="shared" si="253"/>
        <v>0</v>
      </c>
      <c r="I1924" s="1671" t="s">
        <v>92</v>
      </c>
      <c r="J1924" s="1668"/>
      <c r="K1924" s="1668"/>
      <c r="L1924" s="1669"/>
    </row>
    <row r="1925" spans="1:12" s="692" customFormat="1" ht="16.5" hidden="1">
      <c r="A1925" s="1665"/>
      <c r="B1925" s="1666"/>
      <c r="C1925" s="688"/>
      <c r="D1925" s="1667"/>
      <c r="E1925" s="1671">
        <v>3.5</v>
      </c>
      <c r="F1925" s="1671">
        <v>4</v>
      </c>
      <c r="G1925" s="1672"/>
      <c r="H1925" s="1671">
        <f t="shared" si="253"/>
        <v>0</v>
      </c>
      <c r="I1925" s="1671" t="s">
        <v>92</v>
      </c>
      <c r="J1925" s="1668"/>
      <c r="K1925" s="1668"/>
      <c r="L1925" s="1669"/>
    </row>
    <row r="1926" spans="1:12" s="692" customFormat="1" ht="16.5" hidden="1">
      <c r="A1926" s="1665"/>
      <c r="B1926" s="1666"/>
      <c r="C1926" s="688"/>
      <c r="D1926" s="1667"/>
      <c r="E1926" s="1671">
        <v>3.5</v>
      </c>
      <c r="F1926" s="1671">
        <v>4</v>
      </c>
      <c r="G1926" s="1672"/>
      <c r="H1926" s="1671">
        <f t="shared" si="253"/>
        <v>0</v>
      </c>
      <c r="I1926" s="1671" t="s">
        <v>92</v>
      </c>
      <c r="J1926" s="1668"/>
      <c r="K1926" s="1668"/>
      <c r="L1926" s="1669"/>
    </row>
    <row r="1927" spans="1:12" s="692" customFormat="1" ht="16.5" hidden="1">
      <c r="A1927" s="1665"/>
      <c r="B1927" s="1666"/>
      <c r="C1927" s="688"/>
      <c r="D1927" s="1667"/>
      <c r="E1927" s="1671"/>
      <c r="F1927" s="1671"/>
      <c r="G1927" s="1669" t="s">
        <v>928</v>
      </c>
      <c r="H1927" s="1673">
        <f>SUM(H1921:H1926)</f>
        <v>0</v>
      </c>
      <c r="I1927" s="1671" t="s">
        <v>92</v>
      </c>
      <c r="J1927" s="1669">
        <f>'Lead &amp; ANALYSIS'!L615</f>
        <v>3270.1</v>
      </c>
      <c r="K1927" s="1668" t="s">
        <v>1514</v>
      </c>
      <c r="L1927" s="1669">
        <f>ROUND(H1927*J1927,0)</f>
        <v>0</v>
      </c>
    </row>
    <row r="1928" spans="1:12" s="692" customFormat="1" ht="16.5" hidden="1">
      <c r="A1928" s="1665" t="s">
        <v>308</v>
      </c>
      <c r="B1928" s="1666" t="s">
        <v>3416</v>
      </c>
      <c r="C1928" s="688"/>
      <c r="D1928" s="1667"/>
      <c r="E1928" s="688"/>
      <c r="F1928" s="688"/>
      <c r="G1928" s="1674"/>
      <c r="H1928" s="688"/>
      <c r="I1928" s="1668"/>
      <c r="J1928" s="1668"/>
      <c r="K1928" s="1668"/>
      <c r="L1928" s="1669"/>
    </row>
    <row r="1929" spans="1:12" s="692" customFormat="1" ht="16.5" hidden="1">
      <c r="A1929" s="1665"/>
      <c r="B1929" s="1666"/>
      <c r="C1929" s="688"/>
      <c r="D1929" s="1667"/>
      <c r="E1929" s="1671">
        <v>3.5</v>
      </c>
      <c r="F1929" s="1671">
        <v>4</v>
      </c>
      <c r="G1929" s="1672">
        <v>0.15</v>
      </c>
      <c r="H1929" s="1671">
        <f t="shared" ref="H1929:H1934" si="254">ROUND(D1929*E1929*F1929*G1929,2)</f>
        <v>0</v>
      </c>
      <c r="I1929" s="1671" t="s">
        <v>49</v>
      </c>
      <c r="J1929" s="1668"/>
      <c r="K1929" s="1668"/>
      <c r="L1929" s="1669"/>
    </row>
    <row r="1930" spans="1:12" s="692" customFormat="1" ht="16.5" hidden="1">
      <c r="A1930" s="1665"/>
      <c r="B1930" s="1666"/>
      <c r="C1930" s="688"/>
      <c r="D1930" s="1667"/>
      <c r="E1930" s="1671">
        <v>3.5</v>
      </c>
      <c r="F1930" s="1671">
        <v>4</v>
      </c>
      <c r="G1930" s="1672">
        <v>0.15</v>
      </c>
      <c r="H1930" s="1671">
        <f t="shared" si="254"/>
        <v>0</v>
      </c>
      <c r="I1930" s="1671" t="s">
        <v>49</v>
      </c>
      <c r="J1930" s="1668"/>
      <c r="K1930" s="1668"/>
      <c r="L1930" s="1669"/>
    </row>
    <row r="1931" spans="1:12" s="692" customFormat="1" ht="16.5" hidden="1">
      <c r="A1931" s="1665"/>
      <c r="B1931" s="1666"/>
      <c r="C1931" s="688"/>
      <c r="D1931" s="1667"/>
      <c r="E1931" s="1671">
        <v>3.5</v>
      </c>
      <c r="F1931" s="1671">
        <v>4</v>
      </c>
      <c r="G1931" s="1672">
        <v>0.15</v>
      </c>
      <c r="H1931" s="1671">
        <f t="shared" si="254"/>
        <v>0</v>
      </c>
      <c r="I1931" s="1671" t="s">
        <v>49</v>
      </c>
      <c r="J1931" s="1668"/>
      <c r="K1931" s="1668"/>
      <c r="L1931" s="1669"/>
    </row>
    <row r="1932" spans="1:12" s="692" customFormat="1" ht="16.5" hidden="1">
      <c r="A1932" s="1665"/>
      <c r="B1932" s="1666"/>
      <c r="C1932" s="688"/>
      <c r="D1932" s="1667"/>
      <c r="E1932" s="1671">
        <v>3.5</v>
      </c>
      <c r="F1932" s="1671">
        <v>4</v>
      </c>
      <c r="G1932" s="1672">
        <v>0.15</v>
      </c>
      <c r="H1932" s="1671">
        <f t="shared" si="254"/>
        <v>0</v>
      </c>
      <c r="I1932" s="1671" t="s">
        <v>49</v>
      </c>
      <c r="J1932" s="1668"/>
      <c r="K1932" s="1668"/>
      <c r="L1932" s="1669"/>
    </row>
    <row r="1933" spans="1:12" s="692" customFormat="1" ht="16.5" hidden="1">
      <c r="A1933" s="1665"/>
      <c r="B1933" s="1666"/>
      <c r="C1933" s="688"/>
      <c r="D1933" s="1667"/>
      <c r="E1933" s="1671">
        <v>3.5</v>
      </c>
      <c r="F1933" s="1671">
        <v>4</v>
      </c>
      <c r="G1933" s="1672">
        <v>0.15</v>
      </c>
      <c r="H1933" s="1671">
        <f t="shared" si="254"/>
        <v>0</v>
      </c>
      <c r="I1933" s="1671" t="s">
        <v>49</v>
      </c>
      <c r="J1933" s="1668"/>
      <c r="K1933" s="1668"/>
      <c r="L1933" s="1669"/>
    </row>
    <row r="1934" spans="1:12" s="692" customFormat="1" ht="16.5" hidden="1">
      <c r="A1934" s="1665"/>
      <c r="B1934" s="1666"/>
      <c r="C1934" s="688"/>
      <c r="D1934" s="1667"/>
      <c r="E1934" s="1671">
        <v>3.5</v>
      </c>
      <c r="F1934" s="1671">
        <v>4</v>
      </c>
      <c r="G1934" s="1672">
        <v>0.15</v>
      </c>
      <c r="H1934" s="1671">
        <f t="shared" si="254"/>
        <v>0</v>
      </c>
      <c r="I1934" s="1671" t="s">
        <v>49</v>
      </c>
      <c r="J1934" s="1668"/>
      <c r="K1934" s="1668"/>
      <c r="L1934" s="1669"/>
    </row>
    <row r="1935" spans="1:12" s="692" customFormat="1" ht="16.5" hidden="1">
      <c r="A1935" s="1665"/>
      <c r="B1935" s="1666"/>
      <c r="C1935" s="688"/>
      <c r="D1935" s="1667"/>
      <c r="E1935" s="1671"/>
      <c r="F1935" s="1671"/>
      <c r="G1935" s="1669" t="s">
        <v>928</v>
      </c>
      <c r="H1935" s="1673">
        <f>SUM(H1929:H1934)</f>
        <v>0</v>
      </c>
      <c r="I1935" s="1669" t="s">
        <v>49</v>
      </c>
      <c r="J1935" s="1668"/>
      <c r="K1935" s="1668"/>
      <c r="L1935" s="1669"/>
    </row>
    <row r="1936" spans="1:12" s="692" customFormat="1" ht="16.5" hidden="1">
      <c r="A1936" s="1665"/>
      <c r="B1936" s="1666"/>
      <c r="C1936" s="688"/>
      <c r="D1936" s="1667"/>
      <c r="E1936" s="1671">
        <v>3.5</v>
      </c>
      <c r="F1936" s="1671">
        <v>4</v>
      </c>
      <c r="G1936" s="1672">
        <v>0.15</v>
      </c>
      <c r="H1936" s="1671">
        <f t="shared" ref="H1936:H1941" si="255">ROUND(D1936*E1936*F1936*G1936,2)</f>
        <v>0</v>
      </c>
      <c r="I1936" s="1671" t="s">
        <v>49</v>
      </c>
      <c r="J1936" s="1668"/>
      <c r="K1936" s="1668"/>
      <c r="L1936" s="1669"/>
    </row>
    <row r="1937" spans="1:12" s="692" customFormat="1" ht="16.5" hidden="1">
      <c r="A1937" s="1665"/>
      <c r="B1937" s="1666"/>
      <c r="C1937" s="688"/>
      <c r="D1937" s="1667"/>
      <c r="E1937" s="1671">
        <v>3.5</v>
      </c>
      <c r="F1937" s="1671">
        <v>4</v>
      </c>
      <c r="G1937" s="1672">
        <v>0.15</v>
      </c>
      <c r="H1937" s="1671">
        <f t="shared" si="255"/>
        <v>0</v>
      </c>
      <c r="I1937" s="1671" t="s">
        <v>49</v>
      </c>
      <c r="J1937" s="1668"/>
      <c r="K1937" s="1668"/>
      <c r="L1937" s="1669"/>
    </row>
    <row r="1938" spans="1:12" s="692" customFormat="1" ht="16.5" hidden="1">
      <c r="A1938" s="1665"/>
      <c r="B1938" s="1666"/>
      <c r="C1938" s="688"/>
      <c r="D1938" s="1667"/>
      <c r="E1938" s="1671">
        <v>3.5</v>
      </c>
      <c r="F1938" s="1671">
        <v>4</v>
      </c>
      <c r="G1938" s="1672">
        <v>0.15</v>
      </c>
      <c r="H1938" s="1671">
        <f t="shared" si="255"/>
        <v>0</v>
      </c>
      <c r="I1938" s="1671" t="s">
        <v>49</v>
      </c>
      <c r="J1938" s="1668"/>
      <c r="K1938" s="1668"/>
      <c r="L1938" s="1669"/>
    </row>
    <row r="1939" spans="1:12" s="692" customFormat="1" ht="16.5" hidden="1">
      <c r="A1939" s="1665"/>
      <c r="B1939" s="1666"/>
      <c r="C1939" s="688"/>
      <c r="D1939" s="1667"/>
      <c r="E1939" s="1671">
        <v>3.5</v>
      </c>
      <c r="F1939" s="1671">
        <v>4</v>
      </c>
      <c r="G1939" s="1672">
        <v>0.15</v>
      </c>
      <c r="H1939" s="1671">
        <f t="shared" si="255"/>
        <v>0</v>
      </c>
      <c r="I1939" s="1671" t="s">
        <v>49</v>
      </c>
      <c r="J1939" s="1668"/>
      <c r="K1939" s="1668"/>
      <c r="L1939" s="1669"/>
    </row>
    <row r="1940" spans="1:12" s="692" customFormat="1" ht="16.5" hidden="1">
      <c r="A1940" s="1665"/>
      <c r="B1940" s="1666"/>
      <c r="C1940" s="688"/>
      <c r="D1940" s="1667"/>
      <c r="E1940" s="1671">
        <v>3.5</v>
      </c>
      <c r="F1940" s="1671">
        <v>4</v>
      </c>
      <c r="G1940" s="1672">
        <v>0.15</v>
      </c>
      <c r="H1940" s="1671">
        <f t="shared" si="255"/>
        <v>0</v>
      </c>
      <c r="I1940" s="1671" t="s">
        <v>49</v>
      </c>
      <c r="J1940" s="1668"/>
      <c r="K1940" s="1668"/>
      <c r="L1940" s="1669"/>
    </row>
    <row r="1941" spans="1:12" s="692" customFormat="1" ht="16.5" hidden="1">
      <c r="A1941" s="1665"/>
      <c r="B1941" s="1666"/>
      <c r="C1941" s="688"/>
      <c r="D1941" s="1667"/>
      <c r="E1941" s="1671">
        <v>3.5</v>
      </c>
      <c r="F1941" s="1671">
        <v>4</v>
      </c>
      <c r="G1941" s="1672">
        <v>0.15</v>
      </c>
      <c r="H1941" s="1671">
        <f t="shared" si="255"/>
        <v>0</v>
      </c>
      <c r="I1941" s="1671" t="s">
        <v>49</v>
      </c>
      <c r="J1941" s="1668"/>
      <c r="K1941" s="1668"/>
      <c r="L1941" s="1669"/>
    </row>
    <row r="1942" spans="1:12" s="692" customFormat="1" ht="16.5" hidden="1">
      <c r="A1942" s="1665"/>
      <c r="B1942" s="1666"/>
      <c r="C1942" s="688"/>
      <c r="D1942" s="1667"/>
      <c r="E1942" s="1671"/>
      <c r="F1942" s="1671"/>
      <c r="G1942" s="1669" t="s">
        <v>928</v>
      </c>
      <c r="H1942" s="1673">
        <f>SUM(H1936:H1941)</f>
        <v>0</v>
      </c>
      <c r="I1942" s="1669" t="s">
        <v>49</v>
      </c>
      <c r="J1942" s="1669">
        <f>'Lead &amp; ANALYSIS'!L537</f>
        <v>19489</v>
      </c>
      <c r="K1942" s="1668" t="s">
        <v>1516</v>
      </c>
      <c r="L1942" s="1669">
        <f>ROUND(H1942*J1942,0)</f>
        <v>0</v>
      </c>
    </row>
    <row r="1943" spans="1:12" s="692" customFormat="1" ht="16.5" hidden="1">
      <c r="A1943" s="1665" t="s">
        <v>2977</v>
      </c>
      <c r="B1943" s="1666" t="s">
        <v>1929</v>
      </c>
      <c r="C1943" s="688"/>
      <c r="D1943" s="1667"/>
      <c r="E1943" s="688"/>
      <c r="F1943" s="688"/>
      <c r="G1943" s="1674"/>
      <c r="H1943" s="688"/>
      <c r="I1943" s="1668"/>
      <c r="J1943" s="1668"/>
      <c r="K1943" s="1668"/>
      <c r="L1943" s="1669"/>
    </row>
    <row r="1944" spans="1:12" s="692" customFormat="1" ht="16.5" hidden="1">
      <c r="A1944" s="1665"/>
      <c r="B1944" s="1666"/>
      <c r="C1944" s="688"/>
      <c r="D1944" s="1667"/>
      <c r="E1944" s="1671">
        <v>3.5</v>
      </c>
      <c r="F1944" s="1671">
        <v>4</v>
      </c>
      <c r="G1944" s="1672">
        <v>0.15</v>
      </c>
      <c r="H1944" s="1671">
        <f t="shared" ref="H1944:H1949" si="256">ROUND(D1944*E1944*F1944*G1944,2)</f>
        <v>0</v>
      </c>
      <c r="I1944" s="1671" t="s">
        <v>49</v>
      </c>
      <c r="J1944" s="1668"/>
      <c r="K1944" s="1668"/>
      <c r="L1944" s="1669"/>
    </row>
    <row r="1945" spans="1:12" s="692" customFormat="1" ht="16.5" hidden="1">
      <c r="A1945" s="1665"/>
      <c r="B1945" s="1666"/>
      <c r="C1945" s="688"/>
      <c r="D1945" s="1667"/>
      <c r="E1945" s="1671">
        <v>3.5</v>
      </c>
      <c r="F1945" s="1671">
        <v>4</v>
      </c>
      <c r="G1945" s="1672">
        <v>0.15</v>
      </c>
      <c r="H1945" s="1671">
        <f t="shared" si="256"/>
        <v>0</v>
      </c>
      <c r="I1945" s="1671" t="s">
        <v>49</v>
      </c>
      <c r="J1945" s="1668"/>
      <c r="K1945" s="1668"/>
      <c r="L1945" s="1669"/>
    </row>
    <row r="1946" spans="1:12" s="692" customFormat="1" ht="16.5" hidden="1">
      <c r="A1946" s="1665"/>
      <c r="B1946" s="1666"/>
      <c r="C1946" s="688"/>
      <c r="D1946" s="1667"/>
      <c r="E1946" s="1671">
        <v>3.5</v>
      </c>
      <c r="F1946" s="1671">
        <v>4</v>
      </c>
      <c r="G1946" s="1672">
        <v>0.15</v>
      </c>
      <c r="H1946" s="1671">
        <f t="shared" si="256"/>
        <v>0</v>
      </c>
      <c r="I1946" s="1671" t="s">
        <v>49</v>
      </c>
      <c r="J1946" s="1668"/>
      <c r="K1946" s="1668"/>
      <c r="L1946" s="1669"/>
    </row>
    <row r="1947" spans="1:12" s="692" customFormat="1" ht="16.5" hidden="1">
      <c r="A1947" s="1665"/>
      <c r="B1947" s="1666"/>
      <c r="C1947" s="688"/>
      <c r="D1947" s="1667"/>
      <c r="E1947" s="1671">
        <v>3.5</v>
      </c>
      <c r="F1947" s="1671">
        <v>4</v>
      </c>
      <c r="G1947" s="1672">
        <v>0.15</v>
      </c>
      <c r="H1947" s="1671">
        <f t="shared" si="256"/>
        <v>0</v>
      </c>
      <c r="I1947" s="1671" t="s">
        <v>49</v>
      </c>
      <c r="J1947" s="1668"/>
      <c r="K1947" s="1668"/>
      <c r="L1947" s="1669"/>
    </row>
    <row r="1948" spans="1:12" s="692" customFormat="1" ht="16.5" hidden="1">
      <c r="A1948" s="1665"/>
      <c r="B1948" s="1666"/>
      <c r="C1948" s="688"/>
      <c r="D1948" s="1667"/>
      <c r="E1948" s="1671">
        <v>3.5</v>
      </c>
      <c r="F1948" s="1671">
        <v>4</v>
      </c>
      <c r="G1948" s="1672">
        <v>0.15</v>
      </c>
      <c r="H1948" s="1671">
        <f t="shared" si="256"/>
        <v>0</v>
      </c>
      <c r="I1948" s="1671" t="s">
        <v>49</v>
      </c>
      <c r="J1948" s="1668"/>
      <c r="K1948" s="1668"/>
      <c r="L1948" s="1669"/>
    </row>
    <row r="1949" spans="1:12" s="692" customFormat="1" ht="16.5" hidden="1">
      <c r="A1949" s="1665"/>
      <c r="B1949" s="1666"/>
      <c r="C1949" s="688"/>
      <c r="D1949" s="1667"/>
      <c r="E1949" s="1671">
        <v>3.5</v>
      </c>
      <c r="F1949" s="1671">
        <v>4</v>
      </c>
      <c r="G1949" s="1672">
        <v>0.15</v>
      </c>
      <c r="H1949" s="1671">
        <f t="shared" si="256"/>
        <v>0</v>
      </c>
      <c r="I1949" s="1671" t="s">
        <v>49</v>
      </c>
      <c r="J1949" s="1668"/>
      <c r="K1949" s="1668"/>
      <c r="L1949" s="1669"/>
    </row>
    <row r="1950" spans="1:12" s="692" customFormat="1" ht="16.5" hidden="1">
      <c r="A1950" s="1665"/>
      <c r="B1950" s="1666"/>
      <c r="C1950" s="688"/>
      <c r="D1950" s="1667"/>
      <c r="E1950" s="1671"/>
      <c r="F1950" s="1671"/>
      <c r="G1950" s="1669" t="s">
        <v>928</v>
      </c>
      <c r="H1950" s="1673">
        <f>SUM(H1944:H1949)</f>
        <v>0</v>
      </c>
      <c r="I1950" s="1669" t="s">
        <v>49</v>
      </c>
      <c r="J1950" s="1668"/>
      <c r="K1950" s="1668"/>
      <c r="L1950" s="1669"/>
    </row>
    <row r="1951" spans="1:12" s="692" customFormat="1" ht="16.5" hidden="1">
      <c r="A1951" s="1665"/>
      <c r="B1951" s="1666"/>
      <c r="C1951" s="688"/>
      <c r="D1951" s="1667"/>
      <c r="E1951" s="1671">
        <v>3.5</v>
      </c>
      <c r="F1951" s="1671">
        <v>4</v>
      </c>
      <c r="G1951" s="1672"/>
      <c r="H1951" s="1671">
        <f>ROUND(D1951*E1951*F1951,2)</f>
        <v>0</v>
      </c>
      <c r="I1951" s="1671" t="s">
        <v>92</v>
      </c>
      <c r="J1951" s="1668"/>
      <c r="K1951" s="1668"/>
      <c r="L1951" s="1669"/>
    </row>
    <row r="1952" spans="1:12" s="692" customFormat="1" ht="16.5" hidden="1">
      <c r="A1952" s="1665"/>
      <c r="B1952" s="1666"/>
      <c r="C1952" s="688"/>
      <c r="D1952" s="1667"/>
      <c r="E1952" s="1671">
        <v>3.5</v>
      </c>
      <c r="F1952" s="1671">
        <v>4</v>
      </c>
      <c r="G1952" s="1672"/>
      <c r="H1952" s="1671">
        <f t="shared" ref="H1952:H1956" si="257">ROUND(D1952*E1952*F1952,2)</f>
        <v>0</v>
      </c>
      <c r="I1952" s="1671" t="s">
        <v>92</v>
      </c>
      <c r="J1952" s="1668"/>
      <c r="K1952" s="1668"/>
      <c r="L1952" s="1669"/>
    </row>
    <row r="1953" spans="1:12" s="692" customFormat="1" ht="16.5" hidden="1">
      <c r="A1953" s="1665"/>
      <c r="B1953" s="1666"/>
      <c r="C1953" s="688"/>
      <c r="D1953" s="1667"/>
      <c r="E1953" s="1671">
        <v>3.5</v>
      </c>
      <c r="F1953" s="1671">
        <v>4</v>
      </c>
      <c r="G1953" s="1672"/>
      <c r="H1953" s="1671">
        <f t="shared" si="257"/>
        <v>0</v>
      </c>
      <c r="I1953" s="1671" t="s">
        <v>92</v>
      </c>
      <c r="J1953" s="1668"/>
      <c r="K1953" s="1668"/>
      <c r="L1953" s="1669"/>
    </row>
    <row r="1954" spans="1:12" s="692" customFormat="1" ht="16.5" hidden="1">
      <c r="A1954" s="1665"/>
      <c r="B1954" s="1666"/>
      <c r="C1954" s="688"/>
      <c r="D1954" s="1667"/>
      <c r="E1954" s="1671">
        <v>3.5</v>
      </c>
      <c r="F1954" s="1671">
        <v>4</v>
      </c>
      <c r="G1954" s="1672"/>
      <c r="H1954" s="1671">
        <f t="shared" si="257"/>
        <v>0</v>
      </c>
      <c r="I1954" s="1671" t="s">
        <v>92</v>
      </c>
      <c r="J1954" s="1668"/>
      <c r="K1954" s="1668"/>
      <c r="L1954" s="1669"/>
    </row>
    <row r="1955" spans="1:12" s="692" customFormat="1" ht="16.5" hidden="1">
      <c r="A1955" s="1665"/>
      <c r="B1955" s="1666"/>
      <c r="C1955" s="688"/>
      <c r="D1955" s="1667"/>
      <c r="E1955" s="1671">
        <v>3.5</v>
      </c>
      <c r="F1955" s="1671">
        <v>4</v>
      </c>
      <c r="G1955" s="1672"/>
      <c r="H1955" s="1671">
        <f t="shared" si="257"/>
        <v>0</v>
      </c>
      <c r="I1955" s="1671" t="s">
        <v>92</v>
      </c>
      <c r="J1955" s="1668"/>
      <c r="K1955" s="1668"/>
      <c r="L1955" s="1669"/>
    </row>
    <row r="1956" spans="1:12" s="692" customFormat="1" ht="16.5" hidden="1">
      <c r="A1956" s="1665"/>
      <c r="B1956" s="1666"/>
      <c r="C1956" s="688"/>
      <c r="D1956" s="1667"/>
      <c r="E1956" s="1671">
        <v>3.5</v>
      </c>
      <c r="F1956" s="1671">
        <v>4</v>
      </c>
      <c r="G1956" s="1672"/>
      <c r="H1956" s="1671">
        <f t="shared" si="257"/>
        <v>0</v>
      </c>
      <c r="I1956" s="1671" t="s">
        <v>92</v>
      </c>
      <c r="J1956" s="1668"/>
      <c r="K1956" s="1668"/>
      <c r="L1956" s="1669"/>
    </row>
    <row r="1957" spans="1:12" s="692" customFormat="1" ht="16.5" hidden="1">
      <c r="A1957" s="1665"/>
      <c r="B1957" s="1666"/>
      <c r="C1957" s="688"/>
      <c r="D1957" s="1667"/>
      <c r="E1957" s="1671"/>
      <c r="F1957" s="1671"/>
      <c r="G1957" s="1669" t="s">
        <v>928</v>
      </c>
      <c r="H1957" s="1673">
        <f>SUM(H1951:H1956)</f>
        <v>0</v>
      </c>
      <c r="I1957" s="1671" t="s">
        <v>92</v>
      </c>
      <c r="J1957" s="1669">
        <f>'Lead &amp; ANALYSIS'!L602</f>
        <v>1616.8</v>
      </c>
      <c r="K1957" s="1668" t="s">
        <v>1514</v>
      </c>
      <c r="L1957" s="1669">
        <f>ROUND(H1957*J1957,0)</f>
        <v>0</v>
      </c>
    </row>
    <row r="1958" spans="1:12" s="692" customFormat="1" ht="16.5" hidden="1">
      <c r="A1958" s="1665" t="s">
        <v>352</v>
      </c>
      <c r="B1958" s="1666" t="s">
        <v>479</v>
      </c>
      <c r="C1958" s="688"/>
      <c r="D1958" s="1667"/>
      <c r="E1958" s="688"/>
      <c r="F1958" s="688"/>
      <c r="G1958" s="1674"/>
      <c r="H1958" s="688"/>
      <c r="I1958" s="1668"/>
      <c r="J1958" s="1668"/>
      <c r="K1958" s="1668"/>
      <c r="L1958" s="1669"/>
    </row>
    <row r="1959" spans="1:12" s="692" customFormat="1" ht="16.5" hidden="1">
      <c r="A1959" s="1665"/>
      <c r="B1959" s="1666"/>
      <c r="C1959" s="688"/>
      <c r="D1959" s="1667"/>
      <c r="E1959" s="1671">
        <v>3.5</v>
      </c>
      <c r="F1959" s="1671">
        <v>4</v>
      </c>
      <c r="G1959" s="1672">
        <v>0.15</v>
      </c>
      <c r="H1959" s="1671">
        <f t="shared" ref="H1959:H1964" si="258">ROUND(D1959*E1959*F1959*G1959,2)</f>
        <v>0</v>
      </c>
      <c r="I1959" s="1671" t="s">
        <v>49</v>
      </c>
      <c r="J1959" s="1668"/>
      <c r="K1959" s="1668"/>
      <c r="L1959" s="1669"/>
    </row>
    <row r="1960" spans="1:12" s="692" customFormat="1" ht="16.5" hidden="1">
      <c r="A1960" s="1665"/>
      <c r="B1960" s="1666"/>
      <c r="C1960" s="688"/>
      <c r="D1960" s="1667"/>
      <c r="E1960" s="1671">
        <v>3.5</v>
      </c>
      <c r="F1960" s="1671">
        <v>4</v>
      </c>
      <c r="G1960" s="1672">
        <v>0.15</v>
      </c>
      <c r="H1960" s="1671">
        <f t="shared" si="258"/>
        <v>0</v>
      </c>
      <c r="I1960" s="1671" t="s">
        <v>49</v>
      </c>
      <c r="J1960" s="1668"/>
      <c r="K1960" s="1668"/>
      <c r="L1960" s="1669"/>
    </row>
    <row r="1961" spans="1:12" s="692" customFormat="1" ht="16.5" hidden="1">
      <c r="A1961" s="1665"/>
      <c r="B1961" s="1666"/>
      <c r="C1961" s="688"/>
      <c r="D1961" s="1667"/>
      <c r="E1961" s="1671">
        <v>3.5</v>
      </c>
      <c r="F1961" s="1671">
        <v>4</v>
      </c>
      <c r="G1961" s="1672">
        <v>0.15</v>
      </c>
      <c r="H1961" s="1671">
        <f t="shared" si="258"/>
        <v>0</v>
      </c>
      <c r="I1961" s="1671" t="s">
        <v>49</v>
      </c>
      <c r="J1961" s="1668"/>
      <c r="K1961" s="1668"/>
      <c r="L1961" s="1669"/>
    </row>
    <row r="1962" spans="1:12" s="692" customFormat="1" ht="16.5" hidden="1">
      <c r="A1962" s="1665"/>
      <c r="B1962" s="1666"/>
      <c r="C1962" s="688"/>
      <c r="D1962" s="1667"/>
      <c r="E1962" s="1671">
        <v>3.5</v>
      </c>
      <c r="F1962" s="1671">
        <v>4</v>
      </c>
      <c r="G1962" s="1672">
        <v>0.15</v>
      </c>
      <c r="H1962" s="1671">
        <f t="shared" si="258"/>
        <v>0</v>
      </c>
      <c r="I1962" s="1671" t="s">
        <v>49</v>
      </c>
      <c r="J1962" s="1668"/>
      <c r="K1962" s="1668"/>
      <c r="L1962" s="1669"/>
    </row>
    <row r="1963" spans="1:12" s="692" customFormat="1" ht="16.5" hidden="1">
      <c r="A1963" s="1665"/>
      <c r="B1963" s="1666"/>
      <c r="C1963" s="688"/>
      <c r="D1963" s="1667"/>
      <c r="E1963" s="1671">
        <v>3.5</v>
      </c>
      <c r="F1963" s="1671">
        <v>4</v>
      </c>
      <c r="G1963" s="1672">
        <v>0.15</v>
      </c>
      <c r="H1963" s="1671">
        <f t="shared" si="258"/>
        <v>0</v>
      </c>
      <c r="I1963" s="1671" t="s">
        <v>49</v>
      </c>
      <c r="J1963" s="1668"/>
      <c r="K1963" s="1668"/>
      <c r="L1963" s="1669"/>
    </row>
    <row r="1964" spans="1:12" s="692" customFormat="1" ht="16.5" hidden="1">
      <c r="A1964" s="1665"/>
      <c r="B1964" s="1666"/>
      <c r="C1964" s="688"/>
      <c r="D1964" s="1667"/>
      <c r="E1964" s="1671">
        <v>3.5</v>
      </c>
      <c r="F1964" s="1671">
        <v>4</v>
      </c>
      <c r="G1964" s="1672">
        <v>0.15</v>
      </c>
      <c r="H1964" s="1671">
        <f t="shared" si="258"/>
        <v>0</v>
      </c>
      <c r="I1964" s="1671" t="s">
        <v>49</v>
      </c>
      <c r="J1964" s="1668"/>
      <c r="K1964" s="1668"/>
      <c r="L1964" s="1669"/>
    </row>
    <row r="1965" spans="1:12" s="692" customFormat="1" ht="16.5" hidden="1">
      <c r="A1965" s="1665"/>
      <c r="B1965" s="1666"/>
      <c r="C1965" s="688"/>
      <c r="D1965" s="1667"/>
      <c r="E1965" s="1671"/>
      <c r="F1965" s="1671"/>
      <c r="G1965" s="1669" t="s">
        <v>928</v>
      </c>
      <c r="H1965" s="1673">
        <f>SUM(H1959:H1964)</f>
        <v>0</v>
      </c>
      <c r="I1965" s="1669" t="s">
        <v>49</v>
      </c>
      <c r="J1965" s="1668"/>
      <c r="K1965" s="1668"/>
      <c r="L1965" s="1669"/>
    </row>
    <row r="1966" spans="1:12" s="692" customFormat="1" ht="16.5" hidden="1">
      <c r="A1966" s="1665"/>
      <c r="B1966" s="1666"/>
      <c r="C1966" s="688"/>
      <c r="D1966" s="1667"/>
      <c r="E1966" s="1671">
        <v>3.5</v>
      </c>
      <c r="F1966" s="1671">
        <v>4</v>
      </c>
      <c r="G1966" s="1672">
        <v>0.15</v>
      </c>
      <c r="H1966" s="1671">
        <f t="shared" ref="H1966:H1971" si="259">ROUND(D1966*E1966*F1966*G1966,2)</f>
        <v>0</v>
      </c>
      <c r="I1966" s="1671" t="s">
        <v>49</v>
      </c>
      <c r="J1966" s="1668"/>
      <c r="K1966" s="1668"/>
      <c r="L1966" s="1669"/>
    </row>
    <row r="1967" spans="1:12" s="692" customFormat="1" ht="16.5" hidden="1">
      <c r="A1967" s="1665"/>
      <c r="B1967" s="1666"/>
      <c r="C1967" s="688"/>
      <c r="D1967" s="1667"/>
      <c r="E1967" s="1671">
        <v>3.5</v>
      </c>
      <c r="F1967" s="1671">
        <v>4</v>
      </c>
      <c r="G1967" s="1672">
        <v>0.15</v>
      </c>
      <c r="H1967" s="1671">
        <f t="shared" si="259"/>
        <v>0</v>
      </c>
      <c r="I1967" s="1671" t="s">
        <v>49</v>
      </c>
      <c r="J1967" s="1668"/>
      <c r="K1967" s="1668"/>
      <c r="L1967" s="1669"/>
    </row>
    <row r="1968" spans="1:12" s="692" customFormat="1" ht="16.5" hidden="1">
      <c r="A1968" s="1665"/>
      <c r="B1968" s="1666"/>
      <c r="C1968" s="688"/>
      <c r="D1968" s="1667"/>
      <c r="E1968" s="1671">
        <v>3.5</v>
      </c>
      <c r="F1968" s="1671">
        <v>4</v>
      </c>
      <c r="G1968" s="1672">
        <v>0.15</v>
      </c>
      <c r="H1968" s="1671">
        <f t="shared" si="259"/>
        <v>0</v>
      </c>
      <c r="I1968" s="1671" t="s">
        <v>49</v>
      </c>
      <c r="J1968" s="1668"/>
      <c r="K1968" s="1668"/>
      <c r="L1968" s="1669"/>
    </row>
    <row r="1969" spans="1:12" s="692" customFormat="1" ht="16.5" hidden="1">
      <c r="A1969" s="1665"/>
      <c r="B1969" s="1666"/>
      <c r="C1969" s="688"/>
      <c r="D1969" s="1667"/>
      <c r="E1969" s="1671">
        <v>3.5</v>
      </c>
      <c r="F1969" s="1671">
        <v>4</v>
      </c>
      <c r="G1969" s="1672">
        <v>0.15</v>
      </c>
      <c r="H1969" s="1671">
        <f t="shared" si="259"/>
        <v>0</v>
      </c>
      <c r="I1969" s="1671" t="s">
        <v>49</v>
      </c>
      <c r="J1969" s="1668"/>
      <c r="K1969" s="1668"/>
      <c r="L1969" s="1669"/>
    </row>
    <row r="1970" spans="1:12" s="692" customFormat="1" ht="16.5" hidden="1">
      <c r="A1970" s="1665"/>
      <c r="B1970" s="1666"/>
      <c r="C1970" s="688"/>
      <c r="D1970" s="1667"/>
      <c r="E1970" s="1671">
        <v>3.5</v>
      </c>
      <c r="F1970" s="1671">
        <v>4</v>
      </c>
      <c r="G1970" s="1672">
        <v>0.15</v>
      </c>
      <c r="H1970" s="1671">
        <f t="shared" si="259"/>
        <v>0</v>
      </c>
      <c r="I1970" s="1671" t="s">
        <v>49</v>
      </c>
      <c r="J1970" s="1668"/>
      <c r="K1970" s="1668"/>
      <c r="L1970" s="1669"/>
    </row>
    <row r="1971" spans="1:12" s="692" customFormat="1" ht="16.5" hidden="1">
      <c r="A1971" s="1665"/>
      <c r="B1971" s="1666"/>
      <c r="C1971" s="688"/>
      <c r="D1971" s="1667"/>
      <c r="E1971" s="1671">
        <v>3.5</v>
      </c>
      <c r="F1971" s="1671">
        <v>4</v>
      </c>
      <c r="G1971" s="1672">
        <v>0.15</v>
      </c>
      <c r="H1971" s="1671">
        <f t="shared" si="259"/>
        <v>0</v>
      </c>
      <c r="I1971" s="1671" t="s">
        <v>49</v>
      </c>
      <c r="J1971" s="1668"/>
      <c r="K1971" s="1668"/>
      <c r="L1971" s="1669"/>
    </row>
    <row r="1972" spans="1:12" s="692" customFormat="1" ht="16.5" hidden="1">
      <c r="A1972" s="1665"/>
      <c r="B1972" s="1666"/>
      <c r="C1972" s="688"/>
      <c r="D1972" s="1667"/>
      <c r="E1972" s="1671"/>
      <c r="F1972" s="1671"/>
      <c r="G1972" s="1669" t="s">
        <v>928</v>
      </c>
      <c r="H1972" s="1673">
        <f>SUM(H1966:H1971)</f>
        <v>0</v>
      </c>
      <c r="I1972" s="1669" t="s">
        <v>49</v>
      </c>
      <c r="J1972" s="1669">
        <f>'Lead &amp; ANALYSIS'!L576</f>
        <v>20629.3</v>
      </c>
      <c r="K1972" s="1668" t="s">
        <v>1516</v>
      </c>
      <c r="L1972" s="1669">
        <f>ROUND(H1972*J1972,0)</f>
        <v>0</v>
      </c>
    </row>
    <row r="1973" spans="1:12" s="692" customFormat="1" ht="16.5" hidden="1">
      <c r="A1973" s="1665" t="s">
        <v>2072</v>
      </c>
      <c r="B1973" s="1666" t="s">
        <v>477</v>
      </c>
      <c r="C1973" s="688"/>
      <c r="D1973" s="1667"/>
      <c r="E1973" s="688"/>
      <c r="F1973" s="688"/>
      <c r="G1973" s="1674"/>
      <c r="H1973" s="688"/>
      <c r="I1973" s="1668"/>
      <c r="J1973" s="1668"/>
      <c r="K1973" s="1668"/>
      <c r="L1973" s="1669"/>
    </row>
    <row r="1974" spans="1:12" s="692" customFormat="1" ht="16.5" hidden="1">
      <c r="A1974" s="1665"/>
      <c r="B1974" s="1666" t="s">
        <v>477</v>
      </c>
      <c r="C1974" s="688"/>
      <c r="D1974" s="1667"/>
      <c r="E1974" s="1671">
        <f>'DRAWING CC'!AW302+0.3</f>
        <v>0.3</v>
      </c>
      <c r="F1974" s="1671">
        <f>'DRAWING CC'!O346+0.3</f>
        <v>0.3</v>
      </c>
      <c r="G1974" s="1683">
        <v>0.1</v>
      </c>
      <c r="H1974" s="1671">
        <f t="shared" ref="H1974:H1979" si="260">ROUND(D1974*E1974*F1974*G1974,2)</f>
        <v>0</v>
      </c>
      <c r="I1974" s="1671" t="s">
        <v>49</v>
      </c>
      <c r="J1974" s="1668"/>
      <c r="K1974" s="1668"/>
      <c r="L1974" s="1669"/>
    </row>
    <row r="1975" spans="1:12" s="692" customFormat="1" ht="16.5" hidden="1">
      <c r="A1975" s="1665"/>
      <c r="B1975" s="1666"/>
      <c r="C1975" s="688"/>
      <c r="D1975" s="1667"/>
      <c r="E1975" s="1671">
        <f>'DRAWING CC'!AW303+0.3</f>
        <v>0.3</v>
      </c>
      <c r="F1975" s="1671">
        <f>'DRAWING CC'!O347+0.3</f>
        <v>0.3</v>
      </c>
      <c r="G1975" s="1683">
        <v>1.1000000000000001</v>
      </c>
      <c r="H1975" s="1671">
        <f t="shared" si="260"/>
        <v>0</v>
      </c>
      <c r="I1975" s="1671" t="s">
        <v>49</v>
      </c>
      <c r="J1975" s="1668"/>
      <c r="K1975" s="1668"/>
      <c r="L1975" s="1669"/>
    </row>
    <row r="1976" spans="1:12" s="692" customFormat="1" ht="16.5" hidden="1">
      <c r="A1976" s="1665"/>
      <c r="B1976" s="1666"/>
      <c r="C1976" s="688"/>
      <c r="D1976" s="1667"/>
      <c r="E1976" s="1671">
        <f>'DRAWING CC'!AW304+0.3</f>
        <v>0.3</v>
      </c>
      <c r="F1976" s="1671">
        <f>'DRAWING CC'!O348+0.3</f>
        <v>0.3</v>
      </c>
      <c r="G1976" s="1683">
        <v>2.1</v>
      </c>
      <c r="H1976" s="1671">
        <f t="shared" si="260"/>
        <v>0</v>
      </c>
      <c r="I1976" s="1671" t="s">
        <v>49</v>
      </c>
      <c r="J1976" s="1668"/>
      <c r="K1976" s="1668"/>
      <c r="L1976" s="1669"/>
    </row>
    <row r="1977" spans="1:12" s="692" customFormat="1" ht="16.5" hidden="1">
      <c r="A1977" s="1665"/>
      <c r="B1977" s="1666"/>
      <c r="C1977" s="688"/>
      <c r="D1977" s="1667"/>
      <c r="E1977" s="1671">
        <v>3.5</v>
      </c>
      <c r="F1977" s="1671">
        <v>4</v>
      </c>
      <c r="G1977" s="1672">
        <v>0.15</v>
      </c>
      <c r="H1977" s="1671">
        <f t="shared" si="260"/>
        <v>0</v>
      </c>
      <c r="I1977" s="1671" t="s">
        <v>49</v>
      </c>
      <c r="J1977" s="1668"/>
      <c r="K1977" s="1668"/>
      <c r="L1977" s="1669"/>
    </row>
    <row r="1978" spans="1:12" s="692" customFormat="1" ht="16.5" hidden="1">
      <c r="A1978" s="1665"/>
      <c r="B1978" s="1666"/>
      <c r="C1978" s="688"/>
      <c r="D1978" s="1667"/>
      <c r="E1978" s="1671">
        <v>3.5</v>
      </c>
      <c r="F1978" s="1671">
        <v>4</v>
      </c>
      <c r="G1978" s="1672">
        <v>0.15</v>
      </c>
      <c r="H1978" s="1671">
        <f t="shared" si="260"/>
        <v>0</v>
      </c>
      <c r="I1978" s="1671" t="s">
        <v>49</v>
      </c>
      <c r="J1978" s="1668"/>
      <c r="K1978" s="1668"/>
      <c r="L1978" s="1669"/>
    </row>
    <row r="1979" spans="1:12" s="692" customFormat="1" ht="16.5" hidden="1">
      <c r="A1979" s="1665"/>
      <c r="B1979" s="1666"/>
      <c r="C1979" s="688"/>
      <c r="D1979" s="1667"/>
      <c r="E1979" s="1671">
        <v>3.5</v>
      </c>
      <c r="F1979" s="1671">
        <v>4</v>
      </c>
      <c r="G1979" s="1672">
        <v>0.15</v>
      </c>
      <c r="H1979" s="1671">
        <f t="shared" si="260"/>
        <v>0</v>
      </c>
      <c r="I1979" s="1671" t="s">
        <v>49</v>
      </c>
      <c r="J1979" s="1668"/>
      <c r="K1979" s="1668"/>
      <c r="L1979" s="1669"/>
    </row>
    <row r="1980" spans="1:12" s="692" customFormat="1" ht="16.5" hidden="1">
      <c r="A1980" s="1665"/>
      <c r="B1980" s="1666"/>
      <c r="C1980" s="688"/>
      <c r="D1980" s="1667"/>
      <c r="E1980" s="1671"/>
      <c r="F1980" s="1671"/>
      <c r="G1980" s="1669" t="s">
        <v>928</v>
      </c>
      <c r="H1980" s="1673">
        <f>SUM(H1974:H1979)</f>
        <v>0</v>
      </c>
      <c r="I1980" s="1669" t="s">
        <v>49</v>
      </c>
      <c r="J1980" s="1668"/>
      <c r="K1980" s="1668"/>
      <c r="L1980" s="1669"/>
    </row>
    <row r="1981" spans="1:12" s="692" customFormat="1" ht="16.5" hidden="1">
      <c r="A1981" s="1665"/>
      <c r="B1981" s="1666" t="s">
        <v>477</v>
      </c>
      <c r="C1981" s="688"/>
      <c r="D1981" s="1667"/>
      <c r="E1981" s="1671">
        <f>'DRAWING CC'!AW309+0.3</f>
        <v>0.3</v>
      </c>
      <c r="F1981" s="1671">
        <f>'DRAWING CC'!O353+0.3</f>
        <v>0.3</v>
      </c>
      <c r="G1981" s="1683">
        <v>0.1</v>
      </c>
      <c r="H1981" s="1671">
        <f t="shared" ref="H1981:H1986" si="261">ROUND(D1981*E1981*F1981*G1981,2)</f>
        <v>0</v>
      </c>
      <c r="I1981" s="1671" t="s">
        <v>49</v>
      </c>
      <c r="J1981" s="1668"/>
      <c r="K1981" s="1668"/>
      <c r="L1981" s="1669"/>
    </row>
    <row r="1982" spans="1:12" s="692" customFormat="1" ht="16.5" hidden="1">
      <c r="A1982" s="1665"/>
      <c r="B1982" s="1666"/>
      <c r="C1982" s="688"/>
      <c r="D1982" s="1667"/>
      <c r="E1982" s="1671">
        <f>'DRAWING CC'!AW310+0.3</f>
        <v>0.3</v>
      </c>
      <c r="F1982" s="1671">
        <f>'DRAWING CC'!O354+0.3</f>
        <v>0.3</v>
      </c>
      <c r="G1982" s="1683">
        <v>1.1000000000000001</v>
      </c>
      <c r="H1982" s="1671">
        <f t="shared" si="261"/>
        <v>0</v>
      </c>
      <c r="I1982" s="1671" t="s">
        <v>49</v>
      </c>
      <c r="J1982" s="1668"/>
      <c r="K1982" s="1668"/>
      <c r="L1982" s="1669"/>
    </row>
    <row r="1983" spans="1:12" s="692" customFormat="1" ht="16.5" hidden="1">
      <c r="A1983" s="1665"/>
      <c r="B1983" s="1666"/>
      <c r="C1983" s="688"/>
      <c r="D1983" s="1667"/>
      <c r="E1983" s="1671">
        <f>'DRAWING CC'!AW311+0.3</f>
        <v>0.3</v>
      </c>
      <c r="F1983" s="1671">
        <f>'DRAWING CC'!O355+0.3</f>
        <v>0.3</v>
      </c>
      <c r="G1983" s="1683">
        <v>2.1</v>
      </c>
      <c r="H1983" s="1671">
        <f t="shared" si="261"/>
        <v>0</v>
      </c>
      <c r="I1983" s="1671" t="s">
        <v>49</v>
      </c>
      <c r="J1983" s="1668"/>
      <c r="K1983" s="1668"/>
      <c r="L1983" s="1669"/>
    </row>
    <row r="1984" spans="1:12" s="692" customFormat="1" ht="16.5" hidden="1">
      <c r="A1984" s="1665"/>
      <c r="B1984" s="1666"/>
      <c r="C1984" s="688"/>
      <c r="D1984" s="1667"/>
      <c r="E1984" s="1671">
        <v>3.5</v>
      </c>
      <c r="F1984" s="1671">
        <v>4</v>
      </c>
      <c r="G1984" s="1672">
        <v>0.15</v>
      </c>
      <c r="H1984" s="1671">
        <f t="shared" si="261"/>
        <v>0</v>
      </c>
      <c r="I1984" s="1671" t="s">
        <v>49</v>
      </c>
      <c r="J1984" s="1668"/>
      <c r="K1984" s="1668"/>
      <c r="L1984" s="1669"/>
    </row>
    <row r="1985" spans="1:13" s="692" customFormat="1" ht="16.5" hidden="1">
      <c r="A1985" s="1665"/>
      <c r="B1985" s="1666"/>
      <c r="C1985" s="688"/>
      <c r="D1985" s="1667"/>
      <c r="E1985" s="1671">
        <v>3.5</v>
      </c>
      <c r="F1985" s="1671">
        <v>4</v>
      </c>
      <c r="G1985" s="1672">
        <v>0.15</v>
      </c>
      <c r="H1985" s="1671">
        <f t="shared" si="261"/>
        <v>0</v>
      </c>
      <c r="I1985" s="1671" t="s">
        <v>49</v>
      </c>
      <c r="J1985" s="1668"/>
      <c r="K1985" s="1668"/>
      <c r="L1985" s="1669"/>
    </row>
    <row r="1986" spans="1:13" s="692" customFormat="1" ht="16.5" hidden="1">
      <c r="A1986" s="1665"/>
      <c r="B1986" s="1666"/>
      <c r="C1986" s="688"/>
      <c r="D1986" s="1667"/>
      <c r="E1986" s="1671">
        <v>3.5</v>
      </c>
      <c r="F1986" s="1671">
        <v>4</v>
      </c>
      <c r="G1986" s="1672">
        <v>0.15</v>
      </c>
      <c r="H1986" s="1671">
        <f t="shared" si="261"/>
        <v>0</v>
      </c>
      <c r="I1986" s="1671" t="s">
        <v>49</v>
      </c>
      <c r="J1986" s="1668"/>
      <c r="K1986" s="1668"/>
      <c r="L1986" s="1669"/>
    </row>
    <row r="1987" spans="1:13" s="692" customFormat="1" ht="16.5" hidden="1">
      <c r="A1987" s="1665"/>
      <c r="B1987" s="1666"/>
      <c r="C1987" s="688"/>
      <c r="D1987" s="1667"/>
      <c r="E1987" s="1671"/>
      <c r="F1987" s="1671"/>
      <c r="G1987" s="1669" t="s">
        <v>928</v>
      </c>
      <c r="H1987" s="1673">
        <f>SUM(H1981:H1986)</f>
        <v>0</v>
      </c>
      <c r="I1987" s="1669" t="s">
        <v>49</v>
      </c>
      <c r="J1987" s="1669">
        <f>'Lead &amp; ANALYSIS'!L563</f>
        <v>18358.2</v>
      </c>
      <c r="K1987" s="1668" t="s">
        <v>1516</v>
      </c>
      <c r="L1987" s="1669">
        <f>ROUND(H1987*J1987,0)</f>
        <v>0</v>
      </c>
    </row>
    <row r="1988" spans="1:13" s="692" customFormat="1" ht="16.5" hidden="1">
      <c r="A1988" s="1665"/>
      <c r="B1988" s="1666"/>
      <c r="C1988" s="688"/>
      <c r="D1988" s="1667"/>
      <c r="E1988" s="1671"/>
      <c r="F1988" s="1671"/>
      <c r="G1988" s="1684" t="s">
        <v>1823</v>
      </c>
      <c r="H1988" s="1673">
        <f>H1980+H1965+H1935+H1920+H1905+H1890+H1860+H1875</f>
        <v>0</v>
      </c>
      <c r="I1988" s="1669" t="s">
        <v>49</v>
      </c>
      <c r="J1988" s="1669">
        <f>'Lead &amp; ANALYSIS'!L464</f>
        <v>6819.2</v>
      </c>
      <c r="K1988" s="1668" t="s">
        <v>1516</v>
      </c>
      <c r="L1988" s="1669">
        <f>ROUND(H1988*J1988,0)</f>
        <v>0</v>
      </c>
      <c r="M1988" s="692" t="s">
        <v>3588</v>
      </c>
    </row>
    <row r="1989" spans="1:13" s="692" customFormat="1" ht="66" hidden="1">
      <c r="A1989" s="1665">
        <f>'Lead &amp; ANALYSIS'!A465</f>
        <v>48</v>
      </c>
      <c r="B1989" s="1666" t="str">
        <f>'Lead &amp; ANALYSIS'!B465</f>
        <v>R.C.C. M15  using   20 mm to 10mm  size black hard crusher broken granite stone chips of approved quality and from approved quarry  etc. complete in all respect .</v>
      </c>
      <c r="C1989" s="688"/>
      <c r="D1989" s="1667"/>
      <c r="E1989" s="688"/>
      <c r="F1989" s="688"/>
      <c r="G1989" s="1674"/>
      <c r="H1989" s="688"/>
      <c r="I1989" s="1668"/>
      <c r="J1989" s="1668"/>
      <c r="K1989" s="1668"/>
      <c r="L1989" s="1669"/>
    </row>
    <row r="1990" spans="1:13" s="692" customFormat="1" ht="16.5" hidden="1">
      <c r="A1990" s="1665" t="s">
        <v>201</v>
      </c>
      <c r="B1990" s="1666" t="s">
        <v>384</v>
      </c>
      <c r="C1990" s="688"/>
      <c r="D1990" s="1667"/>
      <c r="E1990" s="688"/>
      <c r="F1990" s="688"/>
      <c r="G1990" s="1674"/>
      <c r="H1990" s="688"/>
      <c r="I1990" s="1668"/>
      <c r="J1990" s="1668"/>
      <c r="K1990" s="1668"/>
      <c r="L1990" s="1669"/>
    </row>
    <row r="1991" spans="1:13" s="692" customFormat="1" ht="16.5" hidden="1">
      <c r="A1991" s="1665"/>
      <c r="B1991" s="1666"/>
      <c r="C1991" s="688"/>
      <c r="D1991" s="1667"/>
      <c r="E1991" s="1671">
        <v>3.5</v>
      </c>
      <c r="F1991" s="1671">
        <v>4</v>
      </c>
      <c r="G1991" s="1672">
        <v>0.15</v>
      </c>
      <c r="H1991" s="1671">
        <f t="shared" ref="H1991:H1996" si="262">ROUND(D1991*E1991*F1991*G1991,2)</f>
        <v>0</v>
      </c>
      <c r="I1991" s="1671" t="s">
        <v>49</v>
      </c>
      <c r="J1991" s="1668"/>
      <c r="K1991" s="1668"/>
      <c r="L1991" s="1669"/>
    </row>
    <row r="1992" spans="1:13" s="692" customFormat="1" ht="16.5" hidden="1">
      <c r="A1992" s="1665"/>
      <c r="B1992" s="1666"/>
      <c r="C1992" s="688"/>
      <c r="D1992" s="1667"/>
      <c r="E1992" s="1671">
        <v>3.5</v>
      </c>
      <c r="F1992" s="1671">
        <v>4</v>
      </c>
      <c r="G1992" s="1672">
        <v>0.15</v>
      </c>
      <c r="H1992" s="1671">
        <f t="shared" si="262"/>
        <v>0</v>
      </c>
      <c r="I1992" s="1671" t="s">
        <v>49</v>
      </c>
      <c r="J1992" s="1668"/>
      <c r="K1992" s="1668"/>
      <c r="L1992" s="1669"/>
    </row>
    <row r="1993" spans="1:13" s="692" customFormat="1" ht="16.5" hidden="1">
      <c r="A1993" s="1665"/>
      <c r="B1993" s="1666"/>
      <c r="C1993" s="688"/>
      <c r="D1993" s="1667"/>
      <c r="E1993" s="1671">
        <v>3.5</v>
      </c>
      <c r="F1993" s="1671">
        <v>4</v>
      </c>
      <c r="G1993" s="1672">
        <v>0.15</v>
      </c>
      <c r="H1993" s="1671">
        <f t="shared" si="262"/>
        <v>0</v>
      </c>
      <c r="I1993" s="1671" t="s">
        <v>49</v>
      </c>
      <c r="J1993" s="1668"/>
      <c r="K1993" s="1668"/>
      <c r="L1993" s="1669"/>
    </row>
    <row r="1994" spans="1:13" s="692" customFormat="1" ht="16.5" hidden="1">
      <c r="A1994" s="1665"/>
      <c r="B1994" s="1666"/>
      <c r="C1994" s="688"/>
      <c r="D1994" s="1667"/>
      <c r="E1994" s="1671">
        <v>3.5</v>
      </c>
      <c r="F1994" s="1671">
        <v>4</v>
      </c>
      <c r="G1994" s="1672">
        <v>0.15</v>
      </c>
      <c r="H1994" s="1671">
        <f t="shared" si="262"/>
        <v>0</v>
      </c>
      <c r="I1994" s="1671" t="s">
        <v>49</v>
      </c>
      <c r="J1994" s="1668"/>
      <c r="K1994" s="1668"/>
      <c r="L1994" s="1669"/>
    </row>
    <row r="1995" spans="1:13" s="692" customFormat="1" ht="16.5" hidden="1">
      <c r="A1995" s="1665"/>
      <c r="B1995" s="1666"/>
      <c r="C1995" s="688"/>
      <c r="D1995" s="1667"/>
      <c r="E1995" s="1671">
        <v>3.5</v>
      </c>
      <c r="F1995" s="1671">
        <v>4</v>
      </c>
      <c r="G1995" s="1672">
        <v>0.15</v>
      </c>
      <c r="H1995" s="1671">
        <f t="shared" si="262"/>
        <v>0</v>
      </c>
      <c r="I1995" s="1671" t="s">
        <v>49</v>
      </c>
      <c r="J1995" s="1668"/>
      <c r="K1995" s="1668"/>
      <c r="L1995" s="1669"/>
    </row>
    <row r="1996" spans="1:13" s="692" customFormat="1" ht="16.5" hidden="1">
      <c r="A1996" s="1665"/>
      <c r="B1996" s="1666"/>
      <c r="C1996" s="688"/>
      <c r="D1996" s="1667"/>
      <c r="E1996" s="1671">
        <v>3.5</v>
      </c>
      <c r="F1996" s="1671">
        <v>4</v>
      </c>
      <c r="G1996" s="1672">
        <v>0.15</v>
      </c>
      <c r="H1996" s="1671">
        <f t="shared" si="262"/>
        <v>0</v>
      </c>
      <c r="I1996" s="1671" t="s">
        <v>49</v>
      </c>
      <c r="J1996" s="1668"/>
      <c r="K1996" s="1668"/>
      <c r="L1996" s="1669"/>
    </row>
    <row r="1997" spans="1:13" s="692" customFormat="1" ht="16.5" hidden="1">
      <c r="A1997" s="1665"/>
      <c r="B1997" s="1666"/>
      <c r="C1997" s="688"/>
      <c r="D1997" s="1667"/>
      <c r="E1997" s="1671"/>
      <c r="F1997" s="1671"/>
      <c r="G1997" s="1669" t="s">
        <v>928</v>
      </c>
      <c r="H1997" s="1673">
        <f>SUM(H1991:H1996)</f>
        <v>0</v>
      </c>
      <c r="I1997" s="1669" t="s">
        <v>49</v>
      </c>
      <c r="J1997" s="1669">
        <f>'Lead &amp; ANALYSIS'!L466</f>
        <v>5966.4</v>
      </c>
      <c r="K1997" s="1668" t="s">
        <v>1516</v>
      </c>
      <c r="L1997" s="1669">
        <f>ROUND(H1997*J1997,0)</f>
        <v>0</v>
      </c>
    </row>
    <row r="1998" spans="1:13" s="692" customFormat="1" ht="16.5" hidden="1">
      <c r="A1998" s="1665" t="s">
        <v>220</v>
      </c>
      <c r="B1998" s="1666" t="s">
        <v>387</v>
      </c>
      <c r="C1998" s="688"/>
      <c r="D1998" s="1667"/>
      <c r="E1998" s="688"/>
      <c r="F1998" s="688"/>
      <c r="G1998" s="1674"/>
      <c r="H1998" s="688"/>
      <c r="I1998" s="1668"/>
      <c r="J1998" s="1668"/>
      <c r="K1998" s="1668"/>
      <c r="L1998" s="1669"/>
    </row>
    <row r="1999" spans="1:13" s="692" customFormat="1" ht="16.5" hidden="1">
      <c r="A1999" s="1665"/>
      <c r="B1999" s="1666"/>
      <c r="C1999" s="688"/>
      <c r="D1999" s="1667"/>
      <c r="E1999" s="1671">
        <v>3.5</v>
      </c>
      <c r="F1999" s="1671">
        <v>4</v>
      </c>
      <c r="G1999" s="1672">
        <v>0.15</v>
      </c>
      <c r="H1999" s="1671">
        <f t="shared" ref="H1999:H2004" si="263">ROUND(D1999*E1999*F1999*G1999,2)</f>
        <v>0</v>
      </c>
      <c r="I1999" s="1671" t="s">
        <v>49</v>
      </c>
      <c r="J1999" s="1668"/>
      <c r="K1999" s="1668"/>
      <c r="L1999" s="1669"/>
    </row>
    <row r="2000" spans="1:13" s="692" customFormat="1" ht="16.5" hidden="1">
      <c r="A2000" s="1665"/>
      <c r="B2000" s="1666"/>
      <c r="C2000" s="688"/>
      <c r="D2000" s="1667"/>
      <c r="E2000" s="1671">
        <v>3.5</v>
      </c>
      <c r="F2000" s="1671">
        <v>4</v>
      </c>
      <c r="G2000" s="1672">
        <v>0.15</v>
      </c>
      <c r="H2000" s="1671">
        <f t="shared" si="263"/>
        <v>0</v>
      </c>
      <c r="I2000" s="1671" t="s">
        <v>49</v>
      </c>
      <c r="J2000" s="1668"/>
      <c r="K2000" s="1668"/>
      <c r="L2000" s="1669"/>
    </row>
    <row r="2001" spans="1:12" s="692" customFormat="1" ht="16.5" hidden="1">
      <c r="A2001" s="1665"/>
      <c r="B2001" s="1666"/>
      <c r="C2001" s="688"/>
      <c r="D2001" s="1667"/>
      <c r="E2001" s="1671">
        <v>3.5</v>
      </c>
      <c r="F2001" s="1671">
        <v>4</v>
      </c>
      <c r="G2001" s="1672">
        <v>0.15</v>
      </c>
      <c r="H2001" s="1671">
        <f t="shared" si="263"/>
        <v>0</v>
      </c>
      <c r="I2001" s="1671" t="s">
        <v>49</v>
      </c>
      <c r="J2001" s="1668"/>
      <c r="K2001" s="1668"/>
      <c r="L2001" s="1669"/>
    </row>
    <row r="2002" spans="1:12" s="692" customFormat="1" ht="16.5" hidden="1">
      <c r="A2002" s="1665"/>
      <c r="B2002" s="1666"/>
      <c r="C2002" s="688"/>
      <c r="D2002" s="1667"/>
      <c r="E2002" s="1671">
        <v>3.5</v>
      </c>
      <c r="F2002" s="1671">
        <v>4</v>
      </c>
      <c r="G2002" s="1672">
        <v>0.15</v>
      </c>
      <c r="H2002" s="1671">
        <f t="shared" si="263"/>
        <v>0</v>
      </c>
      <c r="I2002" s="1671" t="s">
        <v>49</v>
      </c>
      <c r="J2002" s="1668"/>
      <c r="K2002" s="1668"/>
      <c r="L2002" s="1669"/>
    </row>
    <row r="2003" spans="1:12" s="692" customFormat="1" ht="16.5" hidden="1">
      <c r="A2003" s="1665"/>
      <c r="B2003" s="1666"/>
      <c r="C2003" s="688"/>
      <c r="D2003" s="1667"/>
      <c r="E2003" s="1671">
        <v>3.5</v>
      </c>
      <c r="F2003" s="1671">
        <v>4</v>
      </c>
      <c r="G2003" s="1672">
        <v>0.15</v>
      </c>
      <c r="H2003" s="1671">
        <f t="shared" si="263"/>
        <v>0</v>
      </c>
      <c r="I2003" s="1671" t="s">
        <v>49</v>
      </c>
      <c r="J2003" s="1668"/>
      <c r="K2003" s="1668"/>
      <c r="L2003" s="1669"/>
    </row>
    <row r="2004" spans="1:12" s="692" customFormat="1" ht="16.5" hidden="1">
      <c r="A2004" s="1665"/>
      <c r="B2004" s="1666"/>
      <c r="C2004" s="688"/>
      <c r="D2004" s="1667"/>
      <c r="E2004" s="1671">
        <v>3.5</v>
      </c>
      <c r="F2004" s="1671">
        <v>4</v>
      </c>
      <c r="G2004" s="1672">
        <v>0.15</v>
      </c>
      <c r="H2004" s="1671">
        <f t="shared" si="263"/>
        <v>0</v>
      </c>
      <c r="I2004" s="1671" t="s">
        <v>49</v>
      </c>
      <c r="J2004" s="1668"/>
      <c r="K2004" s="1668"/>
      <c r="L2004" s="1669"/>
    </row>
    <row r="2005" spans="1:12" s="692" customFormat="1" ht="16.5" hidden="1">
      <c r="A2005" s="1665"/>
      <c r="B2005" s="1666"/>
      <c r="C2005" s="688"/>
      <c r="D2005" s="1667"/>
      <c r="E2005" s="1671"/>
      <c r="F2005" s="1671"/>
      <c r="G2005" s="1669" t="s">
        <v>928</v>
      </c>
      <c r="H2005" s="1673">
        <f>SUM(H1999:H2004)</f>
        <v>0</v>
      </c>
      <c r="I2005" s="1669" t="s">
        <v>49</v>
      </c>
      <c r="J2005" s="1669">
        <f>'Lead &amp; ANALYSIS'!L467</f>
        <v>6057.1</v>
      </c>
      <c r="K2005" s="1668" t="s">
        <v>1516</v>
      </c>
      <c r="L2005" s="1669">
        <f>ROUND(H2005*J2005,0)</f>
        <v>0</v>
      </c>
    </row>
    <row r="2006" spans="1:12" s="692" customFormat="1" ht="16.5" hidden="1">
      <c r="A2006" s="1665" t="s">
        <v>244</v>
      </c>
      <c r="B2006" s="1666" t="s">
        <v>3613</v>
      </c>
      <c r="C2006" s="688"/>
      <c r="D2006" s="1667"/>
      <c r="E2006" s="688"/>
      <c r="F2006" s="688"/>
      <c r="G2006" s="1668"/>
      <c r="H2006" s="1673"/>
      <c r="I2006" s="1668"/>
      <c r="J2006" s="1669"/>
      <c r="K2006" s="1668"/>
      <c r="L2006" s="1669"/>
    </row>
    <row r="2007" spans="1:12" s="692" customFormat="1" ht="16.5" hidden="1">
      <c r="A2007" s="1665"/>
      <c r="B2007" s="1666"/>
      <c r="C2007" s="688"/>
      <c r="D2007" s="1667"/>
      <c r="E2007" s="1671">
        <v>3.5</v>
      </c>
      <c r="F2007" s="1671">
        <v>4</v>
      </c>
      <c r="G2007" s="1672">
        <v>0.15</v>
      </c>
      <c r="H2007" s="1671">
        <f t="shared" ref="H2007:H2012" si="264">ROUND(D2007*E2007*F2007*G2007,2)</f>
        <v>0</v>
      </c>
      <c r="I2007" s="688" t="s">
        <v>49</v>
      </c>
      <c r="J2007" s="1668"/>
      <c r="K2007" s="1668"/>
      <c r="L2007" s="1669"/>
    </row>
    <row r="2008" spans="1:12" s="692" customFormat="1" ht="16.5" hidden="1">
      <c r="A2008" s="1665"/>
      <c r="B2008" s="1666"/>
      <c r="C2008" s="688"/>
      <c r="D2008" s="1667"/>
      <c r="E2008" s="1671">
        <v>3.5</v>
      </c>
      <c r="F2008" s="1671">
        <v>4</v>
      </c>
      <c r="G2008" s="1672">
        <v>0.15</v>
      </c>
      <c r="H2008" s="1671">
        <f t="shared" si="264"/>
        <v>0</v>
      </c>
      <c r="I2008" s="688" t="s">
        <v>49</v>
      </c>
      <c r="J2008" s="1668"/>
      <c r="K2008" s="1668"/>
      <c r="L2008" s="1669"/>
    </row>
    <row r="2009" spans="1:12" s="692" customFormat="1" ht="16.5" hidden="1">
      <c r="A2009" s="1665"/>
      <c r="B2009" s="1666"/>
      <c r="C2009" s="688"/>
      <c r="D2009" s="1667"/>
      <c r="E2009" s="1671">
        <v>3.5</v>
      </c>
      <c r="F2009" s="1671">
        <v>4</v>
      </c>
      <c r="G2009" s="1672">
        <v>0.15</v>
      </c>
      <c r="H2009" s="1671">
        <f t="shared" si="264"/>
        <v>0</v>
      </c>
      <c r="I2009" s="688" t="s">
        <v>49</v>
      </c>
      <c r="J2009" s="1668"/>
      <c r="K2009" s="1668"/>
      <c r="L2009" s="1669"/>
    </row>
    <row r="2010" spans="1:12" s="692" customFormat="1" ht="16.5" hidden="1">
      <c r="A2010" s="1665"/>
      <c r="B2010" s="1666"/>
      <c r="C2010" s="688"/>
      <c r="D2010" s="1667"/>
      <c r="E2010" s="1671">
        <v>3.5</v>
      </c>
      <c r="F2010" s="1671">
        <v>4</v>
      </c>
      <c r="G2010" s="1672">
        <v>0.15</v>
      </c>
      <c r="H2010" s="1671">
        <f t="shared" si="264"/>
        <v>0</v>
      </c>
      <c r="I2010" s="688" t="s">
        <v>49</v>
      </c>
      <c r="J2010" s="1668"/>
      <c r="K2010" s="1668"/>
      <c r="L2010" s="1669"/>
    </row>
    <row r="2011" spans="1:12" s="692" customFormat="1" ht="16.5" hidden="1">
      <c r="A2011" s="1665"/>
      <c r="B2011" s="1666"/>
      <c r="C2011" s="688"/>
      <c r="D2011" s="1667"/>
      <c r="E2011" s="1671">
        <v>3.5</v>
      </c>
      <c r="F2011" s="1671">
        <v>4</v>
      </c>
      <c r="G2011" s="1672">
        <v>0.15</v>
      </c>
      <c r="H2011" s="1671">
        <f t="shared" si="264"/>
        <v>0</v>
      </c>
      <c r="I2011" s="688" t="s">
        <v>49</v>
      </c>
      <c r="J2011" s="1668"/>
      <c r="K2011" s="1668"/>
      <c r="L2011" s="1669"/>
    </row>
    <row r="2012" spans="1:12" s="692" customFormat="1" ht="16.5" hidden="1">
      <c r="A2012" s="1665"/>
      <c r="B2012" s="1666"/>
      <c r="C2012" s="688"/>
      <c r="D2012" s="1667"/>
      <c r="E2012" s="1671">
        <v>3.5</v>
      </c>
      <c r="F2012" s="1671">
        <v>4</v>
      </c>
      <c r="G2012" s="1672">
        <v>0.15</v>
      </c>
      <c r="H2012" s="1671">
        <f t="shared" si="264"/>
        <v>0</v>
      </c>
      <c r="I2012" s="688" t="s">
        <v>49</v>
      </c>
      <c r="J2012" s="1668"/>
      <c r="K2012" s="1668"/>
      <c r="L2012" s="1669"/>
    </row>
    <row r="2013" spans="1:12" s="692" customFormat="1" ht="16.5" hidden="1">
      <c r="A2013" s="1665"/>
      <c r="B2013" s="1666"/>
      <c r="C2013" s="688"/>
      <c r="D2013" s="1667"/>
      <c r="E2013" s="688"/>
      <c r="F2013" s="688"/>
      <c r="G2013" s="1668" t="s">
        <v>928</v>
      </c>
      <c r="H2013" s="1673">
        <f>SUM(H2007:H2012)</f>
        <v>0</v>
      </c>
      <c r="I2013" s="1668" t="s">
        <v>49</v>
      </c>
      <c r="J2013" s="1669">
        <f>'Lead &amp; ANALYSIS'!L468</f>
        <v>6222.9</v>
      </c>
      <c r="K2013" s="1668" t="s">
        <v>1516</v>
      </c>
      <c r="L2013" s="1669">
        <f>ROUND(H2013*J2013,0)</f>
        <v>0</v>
      </c>
    </row>
    <row r="2014" spans="1:12" s="692" customFormat="1" ht="16.5" hidden="1">
      <c r="A2014" s="1665" t="s">
        <v>291</v>
      </c>
      <c r="B2014" s="1666" t="s">
        <v>3632</v>
      </c>
      <c r="C2014" s="688"/>
      <c r="D2014" s="1667"/>
      <c r="E2014" s="688"/>
      <c r="F2014" s="688"/>
      <c r="G2014" s="1668"/>
      <c r="H2014" s="1673"/>
      <c r="I2014" s="1668"/>
      <c r="J2014" s="1669"/>
      <c r="K2014" s="1668"/>
      <c r="L2014" s="1669"/>
    </row>
    <row r="2015" spans="1:12" s="692" customFormat="1" ht="16.5" hidden="1">
      <c r="A2015" s="1665"/>
      <c r="B2015" s="1666"/>
      <c r="C2015" s="688"/>
      <c r="D2015" s="1667"/>
      <c r="E2015" s="1671">
        <v>3.5</v>
      </c>
      <c r="F2015" s="1671">
        <v>4</v>
      </c>
      <c r="G2015" s="1672">
        <v>0.15</v>
      </c>
      <c r="H2015" s="1671">
        <f t="shared" ref="H2015:H2020" si="265">ROUND(D2015*E2015*F2015*G2015,2)</f>
        <v>0</v>
      </c>
      <c r="I2015" s="688" t="s">
        <v>49</v>
      </c>
      <c r="J2015" s="1668"/>
      <c r="K2015" s="1668"/>
      <c r="L2015" s="1669"/>
    </row>
    <row r="2016" spans="1:12" s="692" customFormat="1" ht="16.5" hidden="1">
      <c r="A2016" s="1665"/>
      <c r="B2016" s="1666"/>
      <c r="C2016" s="688"/>
      <c r="D2016" s="1667"/>
      <c r="E2016" s="1671">
        <v>3.5</v>
      </c>
      <c r="F2016" s="1671">
        <v>4</v>
      </c>
      <c r="G2016" s="1672">
        <v>0.15</v>
      </c>
      <c r="H2016" s="1671">
        <f t="shared" si="265"/>
        <v>0</v>
      </c>
      <c r="I2016" s="688" t="s">
        <v>49</v>
      </c>
      <c r="J2016" s="1668"/>
      <c r="K2016" s="1668"/>
      <c r="L2016" s="1669"/>
    </row>
    <row r="2017" spans="1:12" s="692" customFormat="1" ht="16.5" hidden="1">
      <c r="A2017" s="1665"/>
      <c r="B2017" s="1666"/>
      <c r="C2017" s="688"/>
      <c r="D2017" s="1667"/>
      <c r="E2017" s="1671">
        <v>3.5</v>
      </c>
      <c r="F2017" s="1671">
        <v>4</v>
      </c>
      <c r="G2017" s="1672">
        <v>0.15</v>
      </c>
      <c r="H2017" s="1671">
        <f t="shared" si="265"/>
        <v>0</v>
      </c>
      <c r="I2017" s="688" t="s">
        <v>49</v>
      </c>
      <c r="J2017" s="1668"/>
      <c r="K2017" s="1668"/>
      <c r="L2017" s="1669"/>
    </row>
    <row r="2018" spans="1:12" s="692" customFormat="1" ht="16.5" hidden="1">
      <c r="A2018" s="1665"/>
      <c r="B2018" s="1666"/>
      <c r="C2018" s="688"/>
      <c r="D2018" s="1667"/>
      <c r="E2018" s="1671">
        <v>3.5</v>
      </c>
      <c r="F2018" s="1671">
        <v>4</v>
      </c>
      <c r="G2018" s="1672">
        <v>0.15</v>
      </c>
      <c r="H2018" s="1671">
        <f t="shared" si="265"/>
        <v>0</v>
      </c>
      <c r="I2018" s="688" t="s">
        <v>49</v>
      </c>
      <c r="J2018" s="1668"/>
      <c r="K2018" s="1668"/>
      <c r="L2018" s="1669"/>
    </row>
    <row r="2019" spans="1:12" s="692" customFormat="1" ht="16.5" hidden="1">
      <c r="A2019" s="1665"/>
      <c r="B2019" s="1666"/>
      <c r="C2019" s="688"/>
      <c r="D2019" s="1667"/>
      <c r="E2019" s="1671">
        <v>3.5</v>
      </c>
      <c r="F2019" s="1671">
        <v>4</v>
      </c>
      <c r="G2019" s="1672">
        <v>0.15</v>
      </c>
      <c r="H2019" s="1671">
        <f t="shared" si="265"/>
        <v>0</v>
      </c>
      <c r="I2019" s="688" t="s">
        <v>49</v>
      </c>
      <c r="J2019" s="1668"/>
      <c r="K2019" s="1668"/>
      <c r="L2019" s="1669"/>
    </row>
    <row r="2020" spans="1:12" s="692" customFormat="1" ht="16.5" hidden="1">
      <c r="A2020" s="1665"/>
      <c r="B2020" s="1666"/>
      <c r="C2020" s="688"/>
      <c r="D2020" s="1667"/>
      <c r="E2020" s="1671">
        <v>3.5</v>
      </c>
      <c r="F2020" s="1671">
        <v>4</v>
      </c>
      <c r="G2020" s="1672">
        <v>0.15</v>
      </c>
      <c r="H2020" s="1671">
        <f t="shared" si="265"/>
        <v>0</v>
      </c>
      <c r="I2020" s="688" t="s">
        <v>49</v>
      </c>
      <c r="J2020" s="1668"/>
      <c r="K2020" s="1668"/>
      <c r="L2020" s="1669"/>
    </row>
    <row r="2021" spans="1:12" s="692" customFormat="1" ht="16.5" hidden="1">
      <c r="A2021" s="1665"/>
      <c r="B2021" s="1666"/>
      <c r="C2021" s="688"/>
      <c r="D2021" s="1667"/>
      <c r="E2021" s="688"/>
      <c r="F2021" s="688"/>
      <c r="G2021" s="1668" t="s">
        <v>928</v>
      </c>
      <c r="H2021" s="1673">
        <f>SUM(H2015:H2020)</f>
        <v>0</v>
      </c>
      <c r="I2021" s="1668" t="s">
        <v>49</v>
      </c>
      <c r="J2021" s="1669">
        <f>'Lead &amp; ANALYSIS'!L469</f>
        <v>6344</v>
      </c>
      <c r="K2021" s="1668" t="s">
        <v>1516</v>
      </c>
      <c r="L2021" s="1669">
        <f>ROUND(H2021*J2021,0)</f>
        <v>0</v>
      </c>
    </row>
    <row r="2022" spans="1:12" s="692" customFormat="1" ht="66" hidden="1">
      <c r="A2022" s="1665">
        <f>'Lead &amp; ANALYSIS'!A470</f>
        <v>49</v>
      </c>
      <c r="B2022" s="1666" t="str">
        <f>'Lead &amp; ANALYSIS'!B470</f>
        <v>R.C.C. M25  using   20 mm to 10mm  size black hard crusher broken granite stone chips of approved quality and from approved quarry  etc. complete in all respect .</v>
      </c>
      <c r="C2022" s="688"/>
      <c r="D2022" s="1667"/>
      <c r="E2022" s="688"/>
      <c r="F2022" s="688"/>
      <c r="G2022" s="1674"/>
      <c r="H2022" s="688"/>
      <c r="I2022" s="1668"/>
      <c r="J2022" s="1668"/>
      <c r="K2022" s="1668"/>
      <c r="L2022" s="1669"/>
    </row>
    <row r="2023" spans="1:12" s="692" customFormat="1" ht="16.5" hidden="1">
      <c r="A2023" s="1665" t="s">
        <v>201</v>
      </c>
      <c r="B2023" s="1666" t="s">
        <v>384</v>
      </c>
      <c r="C2023" s="688"/>
      <c r="D2023" s="1667"/>
      <c r="E2023" s="688"/>
      <c r="F2023" s="688"/>
      <c r="G2023" s="1674"/>
      <c r="H2023" s="688"/>
      <c r="I2023" s="1668"/>
      <c r="J2023" s="1668"/>
      <c r="K2023" s="1668"/>
      <c r="L2023" s="1669"/>
    </row>
    <row r="2024" spans="1:12" s="692" customFormat="1" ht="16.5" hidden="1">
      <c r="A2024" s="1665"/>
      <c r="B2024" s="1666"/>
      <c r="C2024" s="688"/>
      <c r="D2024" s="1667"/>
      <c r="E2024" s="1671">
        <v>3.5</v>
      </c>
      <c r="F2024" s="1671">
        <v>4</v>
      </c>
      <c r="G2024" s="1672">
        <v>0.15</v>
      </c>
      <c r="H2024" s="1671">
        <f t="shared" ref="H2024:H2029" si="266">ROUND(D2024*E2024*F2024*G2024,2)</f>
        <v>0</v>
      </c>
      <c r="I2024" s="1671" t="s">
        <v>49</v>
      </c>
      <c r="J2024" s="1668"/>
      <c r="K2024" s="1668"/>
      <c r="L2024" s="1669"/>
    </row>
    <row r="2025" spans="1:12" s="692" customFormat="1" ht="16.5" hidden="1">
      <c r="A2025" s="1665"/>
      <c r="B2025" s="1666"/>
      <c r="C2025" s="688"/>
      <c r="D2025" s="1667"/>
      <c r="E2025" s="1671">
        <v>3.5</v>
      </c>
      <c r="F2025" s="1671">
        <v>4</v>
      </c>
      <c r="G2025" s="1672">
        <v>0.15</v>
      </c>
      <c r="H2025" s="1671">
        <f t="shared" si="266"/>
        <v>0</v>
      </c>
      <c r="I2025" s="1671" t="s">
        <v>49</v>
      </c>
      <c r="J2025" s="1668"/>
      <c r="K2025" s="1668"/>
      <c r="L2025" s="1669"/>
    </row>
    <row r="2026" spans="1:12" s="692" customFormat="1" ht="16.5" hidden="1">
      <c r="A2026" s="1665"/>
      <c r="B2026" s="1666"/>
      <c r="C2026" s="688"/>
      <c r="D2026" s="1667"/>
      <c r="E2026" s="1671">
        <v>3.5</v>
      </c>
      <c r="F2026" s="1671">
        <v>4</v>
      </c>
      <c r="G2026" s="1672">
        <v>0.15</v>
      </c>
      <c r="H2026" s="1671">
        <f t="shared" si="266"/>
        <v>0</v>
      </c>
      <c r="I2026" s="1671" t="s">
        <v>49</v>
      </c>
      <c r="J2026" s="1668"/>
      <c r="K2026" s="1668"/>
      <c r="L2026" s="1669"/>
    </row>
    <row r="2027" spans="1:12" s="692" customFormat="1" ht="16.5" hidden="1">
      <c r="A2027" s="1665"/>
      <c r="B2027" s="1666"/>
      <c r="C2027" s="688"/>
      <c r="D2027" s="1667"/>
      <c r="E2027" s="1671">
        <v>3.5</v>
      </c>
      <c r="F2027" s="1671">
        <v>4</v>
      </c>
      <c r="G2027" s="1672">
        <v>0.15</v>
      </c>
      <c r="H2027" s="1671">
        <f t="shared" si="266"/>
        <v>0</v>
      </c>
      <c r="I2027" s="1671" t="s">
        <v>49</v>
      </c>
      <c r="J2027" s="1668"/>
      <c r="K2027" s="1668"/>
      <c r="L2027" s="1669"/>
    </row>
    <row r="2028" spans="1:12" s="692" customFormat="1" ht="16.5" hidden="1">
      <c r="A2028" s="1665"/>
      <c r="B2028" s="1666"/>
      <c r="C2028" s="688"/>
      <c r="D2028" s="1667"/>
      <c r="E2028" s="1671">
        <v>3.5</v>
      </c>
      <c r="F2028" s="1671">
        <v>4</v>
      </c>
      <c r="G2028" s="1672">
        <v>0.15</v>
      </c>
      <c r="H2028" s="1671">
        <f t="shared" si="266"/>
        <v>0</v>
      </c>
      <c r="I2028" s="1671" t="s">
        <v>49</v>
      </c>
      <c r="J2028" s="1668"/>
      <c r="K2028" s="1668"/>
      <c r="L2028" s="1669"/>
    </row>
    <row r="2029" spans="1:12" s="692" customFormat="1" ht="16.5" hidden="1">
      <c r="A2029" s="1665"/>
      <c r="B2029" s="1666"/>
      <c r="C2029" s="688"/>
      <c r="D2029" s="1667"/>
      <c r="E2029" s="1671">
        <v>3.5</v>
      </c>
      <c r="F2029" s="1671">
        <v>4</v>
      </c>
      <c r="G2029" s="1672">
        <v>0.15</v>
      </c>
      <c r="H2029" s="1671">
        <f t="shared" si="266"/>
        <v>0</v>
      </c>
      <c r="I2029" s="1671" t="s">
        <v>49</v>
      </c>
      <c r="J2029" s="1668"/>
      <c r="K2029" s="1668"/>
      <c r="L2029" s="1669"/>
    </row>
    <row r="2030" spans="1:12" s="692" customFormat="1" ht="16.5" hidden="1">
      <c r="A2030" s="1665"/>
      <c r="B2030" s="1666"/>
      <c r="C2030" s="688"/>
      <c r="D2030" s="1667"/>
      <c r="E2030" s="1671"/>
      <c r="F2030" s="1671"/>
      <c r="G2030" s="1669" t="s">
        <v>928</v>
      </c>
      <c r="H2030" s="1673">
        <f>SUM(H2024:H2029)</f>
        <v>0</v>
      </c>
      <c r="I2030" s="1669" t="s">
        <v>49</v>
      </c>
      <c r="J2030" s="1669">
        <f>'Lead &amp; ANALYSIS'!L471</f>
        <v>6436.8</v>
      </c>
      <c r="K2030" s="1668" t="s">
        <v>1516</v>
      </c>
      <c r="L2030" s="1669">
        <f>ROUND(H2030*J2030,0)</f>
        <v>0</v>
      </c>
    </row>
    <row r="2031" spans="1:12" s="692" customFormat="1" ht="16.5" hidden="1">
      <c r="A2031" s="1665" t="s">
        <v>220</v>
      </c>
      <c r="B2031" s="1666" t="s">
        <v>387</v>
      </c>
      <c r="C2031" s="688"/>
      <c r="D2031" s="1667"/>
      <c r="E2031" s="688"/>
      <c r="F2031" s="688"/>
      <c r="G2031" s="1674"/>
      <c r="H2031" s="688"/>
      <c r="I2031" s="1668"/>
      <c r="J2031" s="1668"/>
      <c r="K2031" s="1668"/>
      <c r="L2031" s="1669"/>
    </row>
    <row r="2032" spans="1:12" s="692" customFormat="1" ht="16.5" hidden="1">
      <c r="A2032" s="1665"/>
      <c r="B2032" s="1666"/>
      <c r="C2032" s="688"/>
      <c r="D2032" s="1667"/>
      <c r="E2032" s="1671">
        <v>3.5</v>
      </c>
      <c r="F2032" s="1671">
        <v>4</v>
      </c>
      <c r="G2032" s="1672">
        <v>0.15</v>
      </c>
      <c r="H2032" s="1671">
        <f t="shared" ref="H2032:H2037" si="267">ROUND(D2032*E2032*F2032*G2032,2)</f>
        <v>0</v>
      </c>
      <c r="I2032" s="1671" t="s">
        <v>49</v>
      </c>
      <c r="J2032" s="1668"/>
      <c r="K2032" s="1668"/>
      <c r="L2032" s="1669"/>
    </row>
    <row r="2033" spans="1:12" s="692" customFormat="1" ht="16.5" hidden="1">
      <c r="A2033" s="1665"/>
      <c r="B2033" s="1666"/>
      <c r="C2033" s="688"/>
      <c r="D2033" s="1667"/>
      <c r="E2033" s="1671">
        <v>3.5</v>
      </c>
      <c r="F2033" s="1671">
        <v>4</v>
      </c>
      <c r="G2033" s="1672">
        <v>0.15</v>
      </c>
      <c r="H2033" s="1671">
        <f t="shared" si="267"/>
        <v>0</v>
      </c>
      <c r="I2033" s="1671" t="s">
        <v>49</v>
      </c>
      <c r="J2033" s="1668"/>
      <c r="K2033" s="1668"/>
      <c r="L2033" s="1669"/>
    </row>
    <row r="2034" spans="1:12" s="692" customFormat="1" ht="16.5" hidden="1">
      <c r="A2034" s="1665"/>
      <c r="B2034" s="1666"/>
      <c r="C2034" s="688"/>
      <c r="D2034" s="1667"/>
      <c r="E2034" s="1671">
        <v>3.5</v>
      </c>
      <c r="F2034" s="1671">
        <v>4</v>
      </c>
      <c r="G2034" s="1672">
        <v>0.15</v>
      </c>
      <c r="H2034" s="1671">
        <f t="shared" si="267"/>
        <v>0</v>
      </c>
      <c r="I2034" s="1671" t="s">
        <v>49</v>
      </c>
      <c r="J2034" s="1668"/>
      <c r="K2034" s="1668"/>
      <c r="L2034" s="1669"/>
    </row>
    <row r="2035" spans="1:12" s="692" customFormat="1" ht="16.5" hidden="1">
      <c r="A2035" s="1665"/>
      <c r="B2035" s="1666"/>
      <c r="C2035" s="688"/>
      <c r="D2035" s="1667"/>
      <c r="E2035" s="1671">
        <v>3.5</v>
      </c>
      <c r="F2035" s="1671">
        <v>4</v>
      </c>
      <c r="G2035" s="1672">
        <v>0.15</v>
      </c>
      <c r="H2035" s="1671">
        <f t="shared" si="267"/>
        <v>0</v>
      </c>
      <c r="I2035" s="1671" t="s">
        <v>49</v>
      </c>
      <c r="J2035" s="1668"/>
      <c r="K2035" s="1668"/>
      <c r="L2035" s="1669"/>
    </row>
    <row r="2036" spans="1:12" s="692" customFormat="1" ht="16.5" hidden="1">
      <c r="A2036" s="1665"/>
      <c r="B2036" s="1666"/>
      <c r="C2036" s="688"/>
      <c r="D2036" s="1667"/>
      <c r="E2036" s="1671">
        <v>3.5</v>
      </c>
      <c r="F2036" s="1671">
        <v>4</v>
      </c>
      <c r="G2036" s="1672">
        <v>0.15</v>
      </c>
      <c r="H2036" s="1671">
        <f t="shared" si="267"/>
        <v>0</v>
      </c>
      <c r="I2036" s="1671" t="s">
        <v>49</v>
      </c>
      <c r="J2036" s="1668"/>
      <c r="K2036" s="1668"/>
      <c r="L2036" s="1669"/>
    </row>
    <row r="2037" spans="1:12" s="692" customFormat="1" ht="16.5" hidden="1">
      <c r="A2037" s="1665"/>
      <c r="B2037" s="1666"/>
      <c r="C2037" s="688"/>
      <c r="D2037" s="1667"/>
      <c r="E2037" s="1671">
        <v>3.5</v>
      </c>
      <c r="F2037" s="1671">
        <v>4</v>
      </c>
      <c r="G2037" s="1672">
        <v>0.15</v>
      </c>
      <c r="H2037" s="1671">
        <f t="shared" si="267"/>
        <v>0</v>
      </c>
      <c r="I2037" s="1671" t="s">
        <v>49</v>
      </c>
      <c r="J2037" s="1668"/>
      <c r="K2037" s="1668"/>
      <c r="L2037" s="1669"/>
    </row>
    <row r="2038" spans="1:12" s="692" customFormat="1" ht="16.5" hidden="1">
      <c r="A2038" s="1665"/>
      <c r="B2038" s="1666"/>
      <c r="C2038" s="688"/>
      <c r="D2038" s="1667"/>
      <c r="E2038" s="1671"/>
      <c r="F2038" s="1671"/>
      <c r="G2038" s="1669" t="s">
        <v>928</v>
      </c>
      <c r="H2038" s="1673">
        <f>SUM(H2032:H2037)</f>
        <v>0</v>
      </c>
      <c r="I2038" s="1669" t="s">
        <v>49</v>
      </c>
      <c r="J2038" s="1669">
        <f>'Lead &amp; ANALYSIS'!L472</f>
        <v>6527.4</v>
      </c>
      <c r="K2038" s="1668" t="s">
        <v>1516</v>
      </c>
      <c r="L2038" s="1669">
        <f>ROUND(H2038*J2038,0)</f>
        <v>0</v>
      </c>
    </row>
    <row r="2039" spans="1:12" s="692" customFormat="1" ht="16.5" hidden="1">
      <c r="A2039" s="1665" t="s">
        <v>244</v>
      </c>
      <c r="B2039" s="1666" t="s">
        <v>3613</v>
      </c>
      <c r="C2039" s="688"/>
      <c r="D2039" s="1667"/>
      <c r="E2039" s="688"/>
      <c r="F2039" s="688"/>
      <c r="G2039" s="1668"/>
      <c r="H2039" s="1673"/>
      <c r="I2039" s="1668"/>
      <c r="J2039" s="1669"/>
      <c r="K2039" s="1668"/>
      <c r="L2039" s="1669"/>
    </row>
    <row r="2040" spans="1:12" s="692" customFormat="1" ht="16.5" hidden="1">
      <c r="A2040" s="1665"/>
      <c r="B2040" s="1666"/>
      <c r="C2040" s="688"/>
      <c r="D2040" s="1667"/>
      <c r="E2040" s="1671">
        <v>3.5</v>
      </c>
      <c r="F2040" s="1671">
        <v>4</v>
      </c>
      <c r="G2040" s="1672">
        <v>0.15</v>
      </c>
      <c r="H2040" s="1671">
        <f t="shared" ref="H2040:H2045" si="268">ROUND(D2040*E2040*F2040*G2040,2)</f>
        <v>0</v>
      </c>
      <c r="I2040" s="688" t="s">
        <v>49</v>
      </c>
      <c r="J2040" s="1668"/>
      <c r="K2040" s="1668"/>
      <c r="L2040" s="1669"/>
    </row>
    <row r="2041" spans="1:12" s="692" customFormat="1" ht="16.5" hidden="1">
      <c r="A2041" s="1665"/>
      <c r="B2041" s="1666"/>
      <c r="C2041" s="688"/>
      <c r="D2041" s="1667"/>
      <c r="E2041" s="1671">
        <v>3.5</v>
      </c>
      <c r="F2041" s="1671">
        <v>4</v>
      </c>
      <c r="G2041" s="1672">
        <v>0.15</v>
      </c>
      <c r="H2041" s="1671">
        <f t="shared" si="268"/>
        <v>0</v>
      </c>
      <c r="I2041" s="688" t="s">
        <v>49</v>
      </c>
      <c r="J2041" s="1668"/>
      <c r="K2041" s="1668"/>
      <c r="L2041" s="1669"/>
    </row>
    <row r="2042" spans="1:12" s="692" customFormat="1" ht="16.5" hidden="1">
      <c r="A2042" s="1665"/>
      <c r="B2042" s="1666"/>
      <c r="C2042" s="688"/>
      <c r="D2042" s="1667"/>
      <c r="E2042" s="1671">
        <v>3.5</v>
      </c>
      <c r="F2042" s="1671">
        <v>4</v>
      </c>
      <c r="G2042" s="1672">
        <v>0.15</v>
      </c>
      <c r="H2042" s="1671">
        <f t="shared" si="268"/>
        <v>0</v>
      </c>
      <c r="I2042" s="688" t="s">
        <v>49</v>
      </c>
      <c r="J2042" s="1668"/>
      <c r="K2042" s="1668"/>
      <c r="L2042" s="1669"/>
    </row>
    <row r="2043" spans="1:12" s="692" customFormat="1" ht="16.5" hidden="1">
      <c r="A2043" s="1665"/>
      <c r="B2043" s="1666"/>
      <c r="C2043" s="688"/>
      <c r="D2043" s="1667"/>
      <c r="E2043" s="1671">
        <v>3.5</v>
      </c>
      <c r="F2043" s="1671">
        <v>4</v>
      </c>
      <c r="G2043" s="1672">
        <v>0.15</v>
      </c>
      <c r="H2043" s="1671">
        <f t="shared" si="268"/>
        <v>0</v>
      </c>
      <c r="I2043" s="688" t="s">
        <v>49</v>
      </c>
      <c r="J2043" s="1668"/>
      <c r="K2043" s="1668"/>
      <c r="L2043" s="1669"/>
    </row>
    <row r="2044" spans="1:12" s="692" customFormat="1" ht="16.5" hidden="1">
      <c r="A2044" s="1665"/>
      <c r="B2044" s="1666"/>
      <c r="C2044" s="688"/>
      <c r="D2044" s="1667"/>
      <c r="E2044" s="1671">
        <v>3.5</v>
      </c>
      <c r="F2044" s="1671">
        <v>4</v>
      </c>
      <c r="G2044" s="1672">
        <v>0.15</v>
      </c>
      <c r="H2044" s="1671">
        <f t="shared" si="268"/>
        <v>0</v>
      </c>
      <c r="I2044" s="688" t="s">
        <v>49</v>
      </c>
      <c r="J2044" s="1668"/>
      <c r="K2044" s="1668"/>
      <c r="L2044" s="1669"/>
    </row>
    <row r="2045" spans="1:12" s="692" customFormat="1" ht="16.5" hidden="1">
      <c r="A2045" s="1665"/>
      <c r="B2045" s="1666"/>
      <c r="C2045" s="688"/>
      <c r="D2045" s="1667"/>
      <c r="E2045" s="1671">
        <v>3.5</v>
      </c>
      <c r="F2045" s="1671">
        <v>4</v>
      </c>
      <c r="G2045" s="1672">
        <v>0.15</v>
      </c>
      <c r="H2045" s="1671">
        <f t="shared" si="268"/>
        <v>0</v>
      </c>
      <c r="I2045" s="688" t="s">
        <v>49</v>
      </c>
      <c r="J2045" s="1668"/>
      <c r="K2045" s="1668"/>
      <c r="L2045" s="1669"/>
    </row>
    <row r="2046" spans="1:12" s="692" customFormat="1" ht="16.5" hidden="1">
      <c r="A2046" s="1665"/>
      <c r="B2046" s="1666"/>
      <c r="C2046" s="688"/>
      <c r="D2046" s="1667"/>
      <c r="E2046" s="688"/>
      <c r="F2046" s="688"/>
      <c r="G2046" s="1668" t="s">
        <v>928</v>
      </c>
      <c r="H2046" s="1673">
        <f>SUM(H2040:H2045)</f>
        <v>0</v>
      </c>
      <c r="I2046" s="1668" t="s">
        <v>49</v>
      </c>
      <c r="J2046" s="1669">
        <f>'Lead &amp; ANALYSIS'!L473</f>
        <v>6698</v>
      </c>
      <c r="K2046" s="1668" t="s">
        <v>1516</v>
      </c>
      <c r="L2046" s="1669">
        <f>ROUND(H2046*J2046,0)</f>
        <v>0</v>
      </c>
    </row>
    <row r="2047" spans="1:12" s="692" customFormat="1" ht="16.5" hidden="1">
      <c r="A2047" s="1665" t="s">
        <v>291</v>
      </c>
      <c r="B2047" s="1666" t="s">
        <v>3632</v>
      </c>
      <c r="C2047" s="688"/>
      <c r="D2047" s="1667"/>
      <c r="E2047" s="688"/>
      <c r="F2047" s="688"/>
      <c r="G2047" s="1668"/>
      <c r="H2047" s="1673"/>
      <c r="I2047" s="1668"/>
      <c r="J2047" s="1669"/>
      <c r="K2047" s="1668"/>
      <c r="L2047" s="1669"/>
    </row>
    <row r="2048" spans="1:12" s="692" customFormat="1" ht="16.5" hidden="1">
      <c r="A2048" s="1665"/>
      <c r="B2048" s="1666"/>
      <c r="C2048" s="688"/>
      <c r="D2048" s="1667"/>
      <c r="E2048" s="1671">
        <v>3.5</v>
      </c>
      <c r="F2048" s="1671">
        <v>4</v>
      </c>
      <c r="G2048" s="1672">
        <v>0.15</v>
      </c>
      <c r="H2048" s="1671">
        <f t="shared" ref="H2048:H2053" si="269">ROUND(D2048*E2048*F2048*G2048,2)</f>
        <v>0</v>
      </c>
      <c r="I2048" s="688" t="s">
        <v>49</v>
      </c>
      <c r="J2048" s="1668"/>
      <c r="K2048" s="1668"/>
      <c r="L2048" s="1669"/>
    </row>
    <row r="2049" spans="1:12" s="692" customFormat="1" ht="16.5" hidden="1">
      <c r="A2049" s="1665"/>
      <c r="B2049" s="1666"/>
      <c r="C2049" s="688"/>
      <c r="D2049" s="1667"/>
      <c r="E2049" s="1671">
        <v>3.5</v>
      </c>
      <c r="F2049" s="1671">
        <v>4</v>
      </c>
      <c r="G2049" s="1672">
        <v>0.15</v>
      </c>
      <c r="H2049" s="1671">
        <f t="shared" si="269"/>
        <v>0</v>
      </c>
      <c r="I2049" s="688" t="s">
        <v>49</v>
      </c>
      <c r="J2049" s="1668"/>
      <c r="K2049" s="1668"/>
      <c r="L2049" s="1669"/>
    </row>
    <row r="2050" spans="1:12" s="692" customFormat="1" ht="16.5" hidden="1">
      <c r="A2050" s="1665"/>
      <c r="B2050" s="1666"/>
      <c r="C2050" s="688"/>
      <c r="D2050" s="1667"/>
      <c r="E2050" s="1671">
        <v>3.5</v>
      </c>
      <c r="F2050" s="1671">
        <v>4</v>
      </c>
      <c r="G2050" s="1672">
        <v>0.15</v>
      </c>
      <c r="H2050" s="1671">
        <f t="shared" si="269"/>
        <v>0</v>
      </c>
      <c r="I2050" s="688" t="s">
        <v>49</v>
      </c>
      <c r="J2050" s="1668"/>
      <c r="K2050" s="1668"/>
      <c r="L2050" s="1669"/>
    </row>
    <row r="2051" spans="1:12" s="692" customFormat="1" ht="16.5" hidden="1">
      <c r="A2051" s="1665"/>
      <c r="B2051" s="1666"/>
      <c r="C2051" s="688"/>
      <c r="D2051" s="1667"/>
      <c r="E2051" s="1671">
        <v>3.5</v>
      </c>
      <c r="F2051" s="1671">
        <v>4</v>
      </c>
      <c r="G2051" s="1672">
        <v>0.15</v>
      </c>
      <c r="H2051" s="1671">
        <f t="shared" si="269"/>
        <v>0</v>
      </c>
      <c r="I2051" s="688" t="s">
        <v>49</v>
      </c>
      <c r="J2051" s="1668"/>
      <c r="K2051" s="1668"/>
      <c r="L2051" s="1669"/>
    </row>
    <row r="2052" spans="1:12" s="692" customFormat="1" ht="16.5" hidden="1">
      <c r="A2052" s="1665"/>
      <c r="B2052" s="1666"/>
      <c r="C2052" s="688"/>
      <c r="D2052" s="1667"/>
      <c r="E2052" s="1671">
        <v>3.5</v>
      </c>
      <c r="F2052" s="1671">
        <v>4</v>
      </c>
      <c r="G2052" s="1672">
        <v>0.15</v>
      </c>
      <c r="H2052" s="1671">
        <f t="shared" si="269"/>
        <v>0</v>
      </c>
      <c r="I2052" s="688" t="s">
        <v>49</v>
      </c>
      <c r="J2052" s="1668"/>
      <c r="K2052" s="1668"/>
      <c r="L2052" s="1669"/>
    </row>
    <row r="2053" spans="1:12" s="692" customFormat="1" ht="16.5" hidden="1">
      <c r="A2053" s="1665"/>
      <c r="B2053" s="1666"/>
      <c r="C2053" s="688"/>
      <c r="D2053" s="1667"/>
      <c r="E2053" s="1671">
        <v>3.5</v>
      </c>
      <c r="F2053" s="1671">
        <v>4</v>
      </c>
      <c r="G2053" s="1672">
        <v>0.15</v>
      </c>
      <c r="H2053" s="1671">
        <f t="shared" si="269"/>
        <v>0</v>
      </c>
      <c r="I2053" s="688" t="s">
        <v>49</v>
      </c>
      <c r="J2053" s="1668"/>
      <c r="K2053" s="1668"/>
      <c r="L2053" s="1669"/>
    </row>
    <row r="2054" spans="1:12" s="692" customFormat="1" ht="16.5" hidden="1">
      <c r="A2054" s="1665"/>
      <c r="B2054" s="1666"/>
      <c r="C2054" s="688"/>
      <c r="D2054" s="1667"/>
      <c r="E2054" s="688"/>
      <c r="F2054" s="688"/>
      <c r="G2054" s="1668" t="s">
        <v>928</v>
      </c>
      <c r="H2054" s="1673">
        <f>SUM(H2048:H2053)</f>
        <v>0</v>
      </c>
      <c r="I2054" s="1668" t="s">
        <v>49</v>
      </c>
      <c r="J2054" s="1669">
        <f>'Lead &amp; ANALYSIS'!L474</f>
        <v>6819.1</v>
      </c>
      <c r="K2054" s="1668" t="s">
        <v>1516</v>
      </c>
      <c r="L2054" s="1669">
        <f>ROUND(H2054*J2054,0)</f>
        <v>0</v>
      </c>
    </row>
    <row r="2055" spans="1:12" s="692" customFormat="1" ht="66" hidden="1">
      <c r="A2055" s="1665">
        <f>'Lead &amp; ANALYSIS'!A475</f>
        <v>50</v>
      </c>
      <c r="B2055" s="1666" t="str">
        <f>'Lead &amp; ANALYSIS'!B475</f>
        <v>R.C.C. work of (1:1.5:3)  using  12 mm  size black hard crusher broken granite stone chips of approved quality and from approved quarry  etc. complete in all respect .</v>
      </c>
      <c r="C2055" s="688"/>
      <c r="D2055" s="1667"/>
      <c r="E2055" s="688"/>
      <c r="F2055" s="688"/>
      <c r="G2055" s="1674"/>
      <c r="H2055" s="688"/>
      <c r="I2055" s="1668"/>
      <c r="J2055" s="1668"/>
      <c r="K2055" s="1668"/>
      <c r="L2055" s="1669"/>
    </row>
    <row r="2056" spans="1:12" s="692" customFormat="1" ht="16.5" hidden="1">
      <c r="A2056" s="1665" t="s">
        <v>2977</v>
      </c>
      <c r="B2056" s="1675" t="s">
        <v>384</v>
      </c>
      <c r="C2056" s="688"/>
      <c r="D2056" s="1667"/>
      <c r="E2056" s="688"/>
      <c r="F2056" s="688"/>
      <c r="G2056" s="1674"/>
      <c r="H2056" s="688"/>
      <c r="I2056" s="1668"/>
      <c r="J2056" s="1668"/>
      <c r="K2056" s="1668"/>
      <c r="L2056" s="1669"/>
    </row>
    <row r="2057" spans="1:12" s="692" customFormat="1" ht="16.5" hidden="1">
      <c r="A2057" s="1665" t="s">
        <v>201</v>
      </c>
      <c r="B2057" s="1666" t="s">
        <v>1824</v>
      </c>
      <c r="C2057" s="688"/>
      <c r="D2057" s="1667"/>
      <c r="E2057" s="688"/>
      <c r="F2057" s="688"/>
      <c r="G2057" s="1674"/>
      <c r="H2057" s="688"/>
      <c r="I2057" s="1668"/>
      <c r="J2057" s="1668"/>
      <c r="K2057" s="1668"/>
      <c r="L2057" s="1669"/>
    </row>
    <row r="2058" spans="1:12" s="692" customFormat="1" ht="16.5" hidden="1">
      <c r="A2058" s="1665"/>
      <c r="B2058" s="1666"/>
      <c r="C2058" s="688"/>
      <c r="D2058" s="1667"/>
      <c r="E2058" s="1671">
        <v>3.5</v>
      </c>
      <c r="F2058" s="1671">
        <v>1.2</v>
      </c>
      <c r="G2058" s="1672">
        <v>0.3</v>
      </c>
      <c r="H2058" s="1671">
        <f t="shared" ref="H2058:H2063" si="270">ROUND(D2058*E2058*F2058*G2058,2)</f>
        <v>0</v>
      </c>
      <c r="I2058" s="1671" t="s">
        <v>49</v>
      </c>
      <c r="J2058" s="1668"/>
      <c r="K2058" s="1668"/>
      <c r="L2058" s="1669"/>
    </row>
    <row r="2059" spans="1:12" s="692" customFormat="1" ht="16.5" hidden="1">
      <c r="A2059" s="1665"/>
      <c r="B2059" s="1666"/>
      <c r="C2059" s="688"/>
      <c r="D2059" s="1667"/>
      <c r="E2059" s="1671">
        <v>3.5</v>
      </c>
      <c r="F2059" s="1671">
        <f>F2058</f>
        <v>1.2</v>
      </c>
      <c r="G2059" s="1672">
        <f>G2058</f>
        <v>0.3</v>
      </c>
      <c r="H2059" s="1671">
        <f t="shared" si="270"/>
        <v>0</v>
      </c>
      <c r="I2059" s="1671" t="s">
        <v>49</v>
      </c>
      <c r="J2059" s="1668"/>
      <c r="K2059" s="1668"/>
      <c r="L2059" s="1669"/>
    </row>
    <row r="2060" spans="1:12" s="692" customFormat="1" ht="16.5" hidden="1">
      <c r="A2060" s="1665"/>
      <c r="B2060" s="1666"/>
      <c r="C2060" s="688"/>
      <c r="D2060" s="1667"/>
      <c r="E2060" s="1671">
        <v>3.5</v>
      </c>
      <c r="F2060" s="1671">
        <f>F2059</f>
        <v>1.2</v>
      </c>
      <c r="G2060" s="1672">
        <f>G2059</f>
        <v>0.3</v>
      </c>
      <c r="H2060" s="1671">
        <f t="shared" si="270"/>
        <v>0</v>
      </c>
      <c r="I2060" s="1671" t="s">
        <v>49</v>
      </c>
      <c r="J2060" s="1668"/>
      <c r="K2060" s="1668"/>
      <c r="L2060" s="1669"/>
    </row>
    <row r="2061" spans="1:12" s="692" customFormat="1" ht="16.5" hidden="1">
      <c r="A2061" s="1665"/>
      <c r="B2061" s="1666"/>
      <c r="C2061" s="688"/>
      <c r="D2061" s="1667"/>
      <c r="E2061" s="1671">
        <v>3.5</v>
      </c>
      <c r="F2061" s="1671">
        <v>4</v>
      </c>
      <c r="G2061" s="1672">
        <v>0.15</v>
      </c>
      <c r="H2061" s="1671">
        <f t="shared" si="270"/>
        <v>0</v>
      </c>
      <c r="I2061" s="1671" t="s">
        <v>49</v>
      </c>
      <c r="J2061" s="1668"/>
      <c r="K2061" s="1668"/>
      <c r="L2061" s="1669"/>
    </row>
    <row r="2062" spans="1:12" s="692" customFormat="1" ht="16.5" hidden="1">
      <c r="A2062" s="1665"/>
      <c r="B2062" s="1666"/>
      <c r="C2062" s="688"/>
      <c r="D2062" s="1667"/>
      <c r="E2062" s="1671">
        <v>3.5</v>
      </c>
      <c r="F2062" s="1671">
        <v>4</v>
      </c>
      <c r="G2062" s="1672">
        <v>0.15</v>
      </c>
      <c r="H2062" s="1671">
        <f t="shared" si="270"/>
        <v>0</v>
      </c>
      <c r="I2062" s="1671" t="s">
        <v>49</v>
      </c>
      <c r="J2062" s="1668"/>
      <c r="K2062" s="1668"/>
      <c r="L2062" s="1669"/>
    </row>
    <row r="2063" spans="1:12" s="692" customFormat="1" ht="16.5" hidden="1">
      <c r="A2063" s="1665"/>
      <c r="B2063" s="1666"/>
      <c r="C2063" s="688"/>
      <c r="D2063" s="1667"/>
      <c r="E2063" s="1671">
        <v>3.5</v>
      </c>
      <c r="F2063" s="1671">
        <v>4</v>
      </c>
      <c r="G2063" s="1672">
        <v>0.15</v>
      </c>
      <c r="H2063" s="1671">
        <f t="shared" si="270"/>
        <v>0</v>
      </c>
      <c r="I2063" s="1671" t="s">
        <v>49</v>
      </c>
      <c r="J2063" s="1668"/>
      <c r="K2063" s="1668"/>
      <c r="L2063" s="1669"/>
    </row>
    <row r="2064" spans="1:12" s="692" customFormat="1" ht="16.5" hidden="1">
      <c r="A2064" s="1665"/>
      <c r="B2064" s="1666"/>
      <c r="C2064" s="688"/>
      <c r="D2064" s="1667"/>
      <c r="E2064" s="1671"/>
      <c r="F2064" s="1671"/>
      <c r="G2064" s="1669" t="s">
        <v>928</v>
      </c>
      <c r="H2064" s="1673">
        <f>SUM(H2058:H2063)</f>
        <v>0</v>
      </c>
      <c r="I2064" s="1669" t="s">
        <v>49</v>
      </c>
      <c r="J2064" s="1668"/>
      <c r="K2064" s="1668"/>
      <c r="L2064" s="1669"/>
    </row>
    <row r="2065" spans="1:12" s="692" customFormat="1" ht="16.5" hidden="1">
      <c r="A2065" s="1665"/>
      <c r="B2065" s="1666"/>
      <c r="C2065" s="688"/>
      <c r="D2065" s="1667"/>
      <c r="E2065" s="1671">
        <f>D146+F2065</f>
        <v>0</v>
      </c>
      <c r="F2065" s="1671">
        <f>'DRAWING CC'!FS132</f>
        <v>0</v>
      </c>
      <c r="G2065" s="1672">
        <f>'DRAWING CC'!GI129</f>
        <v>0</v>
      </c>
      <c r="H2065" s="1671">
        <f t="shared" ref="H2065:H2070" si="271">ROUND(D2065*E2065*F2065*G2065,2)</f>
        <v>0</v>
      </c>
      <c r="I2065" s="1671" t="s">
        <v>49</v>
      </c>
      <c r="J2065" s="1668"/>
      <c r="K2065" s="1668"/>
      <c r="L2065" s="1669"/>
    </row>
    <row r="2066" spans="1:12" s="692" customFormat="1" ht="16.5" hidden="1">
      <c r="A2066" s="1665"/>
      <c r="B2066" s="1666"/>
      <c r="C2066" s="688"/>
      <c r="D2066" s="1667"/>
      <c r="E2066" s="1671">
        <f>D149-F2066</f>
        <v>0</v>
      </c>
      <c r="F2066" s="1671">
        <f>F2065</f>
        <v>0</v>
      </c>
      <c r="G2066" s="1672">
        <f>G2065</f>
        <v>0</v>
      </c>
      <c r="H2066" s="1671">
        <f t="shared" si="271"/>
        <v>0</v>
      </c>
      <c r="I2066" s="1671" t="s">
        <v>49</v>
      </c>
      <c r="J2066" s="1668"/>
      <c r="K2066" s="1668"/>
      <c r="L2066" s="1669"/>
    </row>
    <row r="2067" spans="1:12" s="692" customFormat="1" ht="16.5" hidden="1">
      <c r="A2067" s="1665"/>
      <c r="B2067" s="1666"/>
      <c r="C2067" s="688"/>
      <c r="D2067" s="1667"/>
      <c r="E2067" s="1671">
        <f>D150-F2067</f>
        <v>0</v>
      </c>
      <c r="F2067" s="1671">
        <f>F2066</f>
        <v>0</v>
      </c>
      <c r="G2067" s="1672">
        <f>G2066</f>
        <v>0</v>
      </c>
      <c r="H2067" s="1671">
        <f t="shared" si="271"/>
        <v>0</v>
      </c>
      <c r="I2067" s="1671" t="s">
        <v>49</v>
      </c>
      <c r="J2067" s="1668"/>
      <c r="K2067" s="1668"/>
      <c r="L2067" s="1669"/>
    </row>
    <row r="2068" spans="1:12" s="692" customFormat="1" ht="16.5" hidden="1">
      <c r="A2068" s="1665"/>
      <c r="B2068" s="1666"/>
      <c r="C2068" s="688"/>
      <c r="D2068" s="1667"/>
      <c r="E2068" s="1671">
        <v>3.5</v>
      </c>
      <c r="F2068" s="1671">
        <v>4</v>
      </c>
      <c r="G2068" s="1672">
        <v>0.15</v>
      </c>
      <c r="H2068" s="1671">
        <f t="shared" si="271"/>
        <v>0</v>
      </c>
      <c r="I2068" s="1671" t="s">
        <v>49</v>
      </c>
      <c r="J2068" s="1668"/>
      <c r="K2068" s="1668"/>
      <c r="L2068" s="1669"/>
    </row>
    <row r="2069" spans="1:12" s="692" customFormat="1" ht="16.5" hidden="1">
      <c r="A2069" s="1665"/>
      <c r="B2069" s="1666"/>
      <c r="C2069" s="688"/>
      <c r="D2069" s="1667"/>
      <c r="E2069" s="1671">
        <v>3.5</v>
      </c>
      <c r="F2069" s="1671">
        <v>4</v>
      </c>
      <c r="G2069" s="1672">
        <v>0.15</v>
      </c>
      <c r="H2069" s="1671">
        <f t="shared" si="271"/>
        <v>0</v>
      </c>
      <c r="I2069" s="1671" t="s">
        <v>49</v>
      </c>
      <c r="J2069" s="1668"/>
      <c r="K2069" s="1668"/>
      <c r="L2069" s="1669"/>
    </row>
    <row r="2070" spans="1:12" s="692" customFormat="1" ht="16.5" hidden="1">
      <c r="A2070" s="1665"/>
      <c r="B2070" s="1666"/>
      <c r="C2070" s="688"/>
      <c r="D2070" s="1667"/>
      <c r="E2070" s="1671">
        <v>3.5</v>
      </c>
      <c r="F2070" s="1671">
        <v>4</v>
      </c>
      <c r="G2070" s="1672">
        <v>0.15</v>
      </c>
      <c r="H2070" s="1671">
        <f t="shared" si="271"/>
        <v>0</v>
      </c>
      <c r="I2070" s="1671" t="s">
        <v>49</v>
      </c>
      <c r="J2070" s="1668"/>
      <c r="K2070" s="1668"/>
      <c r="L2070" s="1669"/>
    </row>
    <row r="2071" spans="1:12" s="692" customFormat="1" ht="16.5" hidden="1">
      <c r="A2071" s="1665"/>
      <c r="B2071" s="1666"/>
      <c r="C2071" s="688"/>
      <c r="D2071" s="1667"/>
      <c r="E2071" s="1671"/>
      <c r="F2071" s="1671"/>
      <c r="G2071" s="1669" t="s">
        <v>928</v>
      </c>
      <c r="H2071" s="1673">
        <f>SUM(H2065:H2070)</f>
        <v>0</v>
      </c>
      <c r="I2071" s="1669" t="s">
        <v>49</v>
      </c>
      <c r="J2071" s="1669">
        <f>'Lead &amp; ANALYSIS'!L520</f>
        <v>8580.2000000000007</v>
      </c>
      <c r="K2071" s="1668" t="s">
        <v>1516</v>
      </c>
      <c r="L2071" s="1669">
        <f>ROUND(H2071*J2071,0)</f>
        <v>0</v>
      </c>
    </row>
    <row r="2072" spans="1:12" s="692" customFormat="1" ht="16.5" hidden="1">
      <c r="A2072" s="1665" t="s">
        <v>220</v>
      </c>
      <c r="B2072" s="1666" t="s">
        <v>471</v>
      </c>
      <c r="C2072" s="688"/>
      <c r="D2072" s="1667"/>
      <c r="E2072" s="688"/>
      <c r="F2072" s="688"/>
      <c r="G2072" s="1674"/>
      <c r="H2072" s="688"/>
      <c r="I2072" s="1668"/>
      <c r="J2072" s="1668"/>
      <c r="K2072" s="1668"/>
      <c r="L2072" s="1669"/>
    </row>
    <row r="2073" spans="1:12" s="692" customFormat="1" ht="16.5" hidden="1">
      <c r="A2073" s="1665"/>
      <c r="B2073" s="1666"/>
      <c r="C2073" s="688"/>
      <c r="D2073" s="1667"/>
      <c r="E2073" s="1671">
        <v>3.5</v>
      </c>
      <c r="F2073" s="1671">
        <v>1.2</v>
      </c>
      <c r="G2073" s="1672">
        <v>0.3</v>
      </c>
      <c r="H2073" s="1671">
        <f t="shared" ref="H2073:H2078" si="272">ROUND(D2073*E2073*F2073*G2073,2)</f>
        <v>0</v>
      </c>
      <c r="I2073" s="1671" t="s">
        <v>49</v>
      </c>
      <c r="J2073" s="1668"/>
      <c r="K2073" s="1668"/>
      <c r="L2073" s="1669"/>
    </row>
    <row r="2074" spans="1:12" s="692" customFormat="1" ht="16.5" hidden="1">
      <c r="A2074" s="1665"/>
      <c r="B2074" s="1666"/>
      <c r="C2074" s="688"/>
      <c r="D2074" s="1667"/>
      <c r="E2074" s="1671">
        <v>3.5</v>
      </c>
      <c r="F2074" s="1671">
        <f>F2073</f>
        <v>1.2</v>
      </c>
      <c r="G2074" s="1672">
        <f>G2073</f>
        <v>0.3</v>
      </c>
      <c r="H2074" s="1671">
        <f>ROUND(D2074*E2074*F2074*G2074,2)</f>
        <v>0</v>
      </c>
      <c r="I2074" s="1671" t="s">
        <v>49</v>
      </c>
      <c r="J2074" s="1668"/>
      <c r="K2074" s="1668"/>
      <c r="L2074" s="1669"/>
    </row>
    <row r="2075" spans="1:12" s="692" customFormat="1" ht="16.5" hidden="1">
      <c r="A2075" s="1665"/>
      <c r="B2075" s="1666"/>
      <c r="C2075" s="688"/>
      <c r="D2075" s="1667"/>
      <c r="E2075" s="1671">
        <v>3.5</v>
      </c>
      <c r="F2075" s="1671">
        <f>F2074</f>
        <v>1.2</v>
      </c>
      <c r="G2075" s="1672">
        <f>G2074</f>
        <v>0.3</v>
      </c>
      <c r="H2075" s="1671">
        <f t="shared" si="272"/>
        <v>0</v>
      </c>
      <c r="I2075" s="1671" t="s">
        <v>49</v>
      </c>
      <c r="J2075" s="1668"/>
      <c r="K2075" s="1668"/>
      <c r="L2075" s="1669"/>
    </row>
    <row r="2076" spans="1:12" s="692" customFormat="1" ht="16.5" hidden="1">
      <c r="A2076" s="1665"/>
      <c r="B2076" s="1666"/>
      <c r="C2076" s="688"/>
      <c r="D2076" s="1667"/>
      <c r="E2076" s="1671">
        <v>3.5</v>
      </c>
      <c r="F2076" s="1671">
        <v>4</v>
      </c>
      <c r="G2076" s="1672">
        <v>0.15</v>
      </c>
      <c r="H2076" s="1671">
        <f t="shared" si="272"/>
        <v>0</v>
      </c>
      <c r="I2076" s="1671" t="s">
        <v>49</v>
      </c>
      <c r="J2076" s="1668"/>
      <c r="K2076" s="1668"/>
      <c r="L2076" s="1669"/>
    </row>
    <row r="2077" spans="1:12" s="692" customFormat="1" ht="16.5" hidden="1">
      <c r="A2077" s="1665"/>
      <c r="B2077" s="1666"/>
      <c r="C2077" s="688"/>
      <c r="D2077" s="1667"/>
      <c r="E2077" s="1671">
        <v>3.5</v>
      </c>
      <c r="F2077" s="1671">
        <v>4</v>
      </c>
      <c r="G2077" s="1672">
        <v>0.15</v>
      </c>
      <c r="H2077" s="1671">
        <f>ROUND(D2077*E2077*F2077*G2077,2)</f>
        <v>0</v>
      </c>
      <c r="I2077" s="1671" t="s">
        <v>49</v>
      </c>
      <c r="J2077" s="1668"/>
      <c r="K2077" s="1668"/>
      <c r="L2077" s="1669"/>
    </row>
    <row r="2078" spans="1:12" s="692" customFormat="1" ht="16.5" hidden="1">
      <c r="A2078" s="1665"/>
      <c r="B2078" s="1666"/>
      <c r="C2078" s="688"/>
      <c r="D2078" s="1667"/>
      <c r="E2078" s="1671">
        <v>3.5</v>
      </c>
      <c r="F2078" s="1671">
        <v>4</v>
      </c>
      <c r="G2078" s="1672">
        <v>0.15</v>
      </c>
      <c r="H2078" s="1671">
        <f t="shared" si="272"/>
        <v>0</v>
      </c>
      <c r="I2078" s="1671" t="s">
        <v>49</v>
      </c>
      <c r="J2078" s="1668"/>
      <c r="K2078" s="1668"/>
      <c r="L2078" s="1669"/>
    </row>
    <row r="2079" spans="1:12" s="692" customFormat="1" ht="16.5" hidden="1">
      <c r="A2079" s="1665"/>
      <c r="B2079" s="1666"/>
      <c r="C2079" s="688"/>
      <c r="D2079" s="1667"/>
      <c r="E2079" s="1671"/>
      <c r="F2079" s="1671"/>
      <c r="G2079" s="1669" t="s">
        <v>928</v>
      </c>
      <c r="H2079" s="1673">
        <f>SUM(H2073:H2078)</f>
        <v>0</v>
      </c>
      <c r="I2079" s="1669" t="s">
        <v>49</v>
      </c>
      <c r="J2079" s="1668"/>
      <c r="K2079" s="1668"/>
      <c r="L2079" s="1669"/>
    </row>
    <row r="2080" spans="1:12" s="692" customFormat="1" ht="16.5" hidden="1">
      <c r="A2080" s="1665"/>
      <c r="B2080" s="1666"/>
      <c r="C2080" s="688"/>
      <c r="D2080" s="1667"/>
      <c r="E2080" s="1671">
        <f>D154+F2080</f>
        <v>0</v>
      </c>
      <c r="F2080" s="1671">
        <f>'DRAWING CC'!FS140</f>
        <v>0</v>
      </c>
      <c r="G2080" s="1672">
        <f>'DRAWING CC'!GI137</f>
        <v>0</v>
      </c>
      <c r="H2080" s="1671">
        <f t="shared" ref="H2080" si="273">ROUND(D2080*E2080*F2080*G2080,2)</f>
        <v>0</v>
      </c>
      <c r="I2080" s="1671" t="s">
        <v>49</v>
      </c>
      <c r="J2080" s="1668"/>
      <c r="K2080" s="1668"/>
      <c r="L2080" s="1669"/>
    </row>
    <row r="2081" spans="1:12" s="692" customFormat="1" ht="16.5" hidden="1">
      <c r="A2081" s="1665"/>
      <c r="B2081" s="1666"/>
      <c r="C2081" s="688"/>
      <c r="D2081" s="1667"/>
      <c r="E2081" s="1671">
        <f>D157-F2081</f>
        <v>0</v>
      </c>
      <c r="F2081" s="1671">
        <f>F2080</f>
        <v>0</v>
      </c>
      <c r="G2081" s="1672">
        <f>G2080</f>
        <v>0</v>
      </c>
      <c r="H2081" s="1671">
        <f>ROUND(D2081*E2081*F2081*G2081,2)</f>
        <v>0</v>
      </c>
      <c r="I2081" s="1671" t="s">
        <v>49</v>
      </c>
      <c r="J2081" s="1668"/>
      <c r="K2081" s="1668"/>
      <c r="L2081" s="1669"/>
    </row>
    <row r="2082" spans="1:12" s="692" customFormat="1" ht="16.5" hidden="1">
      <c r="A2082" s="1665"/>
      <c r="B2082" s="1666"/>
      <c r="C2082" s="688"/>
      <c r="D2082" s="1667"/>
      <c r="E2082" s="1671">
        <f>D158-F2082</f>
        <v>0</v>
      </c>
      <c r="F2082" s="1671">
        <f>F2081</f>
        <v>0</v>
      </c>
      <c r="G2082" s="1672">
        <f>G2081</f>
        <v>0</v>
      </c>
      <c r="H2082" s="1671">
        <f t="shared" ref="H2082:H2083" si="274">ROUND(D2082*E2082*F2082*G2082,2)</f>
        <v>0</v>
      </c>
      <c r="I2082" s="1671" t="s">
        <v>49</v>
      </c>
      <c r="J2082" s="1668"/>
      <c r="K2082" s="1668"/>
      <c r="L2082" s="1669"/>
    </row>
    <row r="2083" spans="1:12" s="692" customFormat="1" ht="16.5" hidden="1">
      <c r="A2083" s="1665"/>
      <c r="B2083" s="1666"/>
      <c r="C2083" s="688"/>
      <c r="D2083" s="1667"/>
      <c r="E2083" s="1671">
        <v>3.5</v>
      </c>
      <c r="F2083" s="1671">
        <v>4</v>
      </c>
      <c r="G2083" s="1672">
        <v>0.15</v>
      </c>
      <c r="H2083" s="1671">
        <f t="shared" si="274"/>
        <v>0</v>
      </c>
      <c r="I2083" s="1671" t="s">
        <v>49</v>
      </c>
      <c r="J2083" s="1668"/>
      <c r="K2083" s="1668"/>
      <c r="L2083" s="1669"/>
    </row>
    <row r="2084" spans="1:12" s="692" customFormat="1" ht="16.5" hidden="1">
      <c r="A2084" s="1665"/>
      <c r="B2084" s="1666"/>
      <c r="C2084" s="688"/>
      <c r="D2084" s="1667"/>
      <c r="E2084" s="1671">
        <v>3.5</v>
      </c>
      <c r="F2084" s="1671">
        <v>4</v>
      </c>
      <c r="G2084" s="1672">
        <v>0.15</v>
      </c>
      <c r="H2084" s="1671">
        <f>ROUND(D2084*E2084*F2084*G2084,2)</f>
        <v>0</v>
      </c>
      <c r="I2084" s="1671" t="s">
        <v>49</v>
      </c>
      <c r="J2084" s="1668"/>
      <c r="K2084" s="1668"/>
      <c r="L2084" s="1669"/>
    </row>
    <row r="2085" spans="1:12" s="692" customFormat="1" ht="16.5" hidden="1">
      <c r="A2085" s="1665"/>
      <c r="B2085" s="1666"/>
      <c r="C2085" s="688"/>
      <c r="D2085" s="1667"/>
      <c r="E2085" s="1671">
        <v>3.5</v>
      </c>
      <c r="F2085" s="1671">
        <v>4</v>
      </c>
      <c r="G2085" s="1672">
        <v>0.15</v>
      </c>
      <c r="H2085" s="1671">
        <f t="shared" ref="H2085" si="275">ROUND(D2085*E2085*F2085*G2085,2)</f>
        <v>0</v>
      </c>
      <c r="I2085" s="1671" t="s">
        <v>49</v>
      </c>
      <c r="J2085" s="1668"/>
      <c r="K2085" s="1668"/>
      <c r="L2085" s="1669"/>
    </row>
    <row r="2086" spans="1:12" s="692" customFormat="1" ht="16.5" hidden="1">
      <c r="A2086" s="1665"/>
      <c r="B2086" s="1666"/>
      <c r="C2086" s="688"/>
      <c r="D2086" s="1667"/>
      <c r="E2086" s="1671"/>
      <c r="F2086" s="1671"/>
      <c r="G2086" s="1669" t="s">
        <v>928</v>
      </c>
      <c r="H2086" s="1673">
        <f>SUM(H2080:H2085)</f>
        <v>0</v>
      </c>
      <c r="I2086" s="1669" t="s">
        <v>49</v>
      </c>
      <c r="J2086" s="1669">
        <f>'Lead &amp; ANALYSIS'!L523</f>
        <v>9400.7999999999993</v>
      </c>
      <c r="K2086" s="1668" t="s">
        <v>1516</v>
      </c>
      <c r="L2086" s="1669">
        <f>ROUND(H2086*J2086,0)</f>
        <v>0</v>
      </c>
    </row>
    <row r="2087" spans="1:12" s="692" customFormat="1" ht="16.5" hidden="1">
      <c r="A2087" s="1665" t="s">
        <v>244</v>
      </c>
      <c r="B2087" s="1666" t="s">
        <v>1773</v>
      </c>
      <c r="C2087" s="688"/>
      <c r="D2087" s="1667"/>
      <c r="E2087" s="688"/>
      <c r="F2087" s="688"/>
      <c r="G2087" s="1674"/>
      <c r="H2087" s="688"/>
      <c r="I2087" s="1668"/>
      <c r="J2087" s="1668"/>
      <c r="K2087" s="1668"/>
      <c r="L2087" s="1669"/>
    </row>
    <row r="2088" spans="1:12" s="692" customFormat="1" ht="16.5" hidden="1">
      <c r="A2088" s="1665"/>
      <c r="B2088" s="1666"/>
      <c r="C2088" s="688"/>
      <c r="D2088" s="1667"/>
      <c r="E2088" s="1671">
        <v>3.5</v>
      </c>
      <c r="F2088" s="1671">
        <v>1.2</v>
      </c>
      <c r="G2088" s="1672">
        <v>0.3</v>
      </c>
      <c r="H2088" s="1671">
        <f t="shared" ref="H2088:H2093" si="276">ROUND(D2088*E2088*F2088*G2088,2)</f>
        <v>0</v>
      </c>
      <c r="I2088" s="1671" t="s">
        <v>49</v>
      </c>
      <c r="J2088" s="1668"/>
      <c r="K2088" s="1668"/>
      <c r="L2088" s="1669"/>
    </row>
    <row r="2089" spans="1:12" s="692" customFormat="1" ht="16.5" hidden="1">
      <c r="A2089" s="1665"/>
      <c r="B2089" s="1666"/>
      <c r="C2089" s="688"/>
      <c r="D2089" s="1667"/>
      <c r="E2089" s="1671">
        <v>3.5</v>
      </c>
      <c r="F2089" s="1671">
        <f>F2088</f>
        <v>1.2</v>
      </c>
      <c r="G2089" s="1672">
        <f>G2088</f>
        <v>0.3</v>
      </c>
      <c r="H2089" s="1671">
        <f t="shared" si="276"/>
        <v>0</v>
      </c>
      <c r="I2089" s="1671" t="s">
        <v>49</v>
      </c>
      <c r="J2089" s="1668"/>
      <c r="K2089" s="1668"/>
      <c r="L2089" s="1669"/>
    </row>
    <row r="2090" spans="1:12" s="692" customFormat="1" ht="16.5" hidden="1">
      <c r="A2090" s="1665"/>
      <c r="B2090" s="1666"/>
      <c r="C2090" s="688"/>
      <c r="D2090" s="1667"/>
      <c r="E2090" s="1671">
        <v>3.5</v>
      </c>
      <c r="F2090" s="1671">
        <f>F2089</f>
        <v>1.2</v>
      </c>
      <c r="G2090" s="1672">
        <f>G2089</f>
        <v>0.3</v>
      </c>
      <c r="H2090" s="1671">
        <f t="shared" si="276"/>
        <v>0</v>
      </c>
      <c r="I2090" s="1671" t="s">
        <v>49</v>
      </c>
      <c r="J2090" s="1668"/>
      <c r="K2090" s="1668"/>
      <c r="L2090" s="1669"/>
    </row>
    <row r="2091" spans="1:12" s="692" customFormat="1" ht="16.5" hidden="1">
      <c r="A2091" s="1665"/>
      <c r="B2091" s="1666"/>
      <c r="C2091" s="688"/>
      <c r="D2091" s="1667"/>
      <c r="E2091" s="1671">
        <v>3.5</v>
      </c>
      <c r="F2091" s="1671">
        <v>4</v>
      </c>
      <c r="G2091" s="1672">
        <v>0.15</v>
      </c>
      <c r="H2091" s="1671">
        <f t="shared" si="276"/>
        <v>0</v>
      </c>
      <c r="I2091" s="1671" t="s">
        <v>49</v>
      </c>
      <c r="J2091" s="1668"/>
      <c r="K2091" s="1668"/>
      <c r="L2091" s="1669"/>
    </row>
    <row r="2092" spans="1:12" s="692" customFormat="1" ht="16.5" hidden="1">
      <c r="A2092" s="1665"/>
      <c r="B2092" s="1666"/>
      <c r="C2092" s="688"/>
      <c r="D2092" s="1667"/>
      <c r="E2092" s="1671">
        <v>3.5</v>
      </c>
      <c r="F2092" s="1671">
        <v>4</v>
      </c>
      <c r="G2092" s="1672">
        <v>0.15</v>
      </c>
      <c r="H2092" s="1671">
        <f t="shared" si="276"/>
        <v>0</v>
      </c>
      <c r="I2092" s="1671" t="s">
        <v>49</v>
      </c>
      <c r="J2092" s="1668"/>
      <c r="K2092" s="1668"/>
      <c r="L2092" s="1669"/>
    </row>
    <row r="2093" spans="1:12" s="692" customFormat="1" ht="16.5" hidden="1">
      <c r="A2093" s="1665"/>
      <c r="B2093" s="1666"/>
      <c r="C2093" s="688"/>
      <c r="D2093" s="1667"/>
      <c r="E2093" s="1671">
        <v>3.5</v>
      </c>
      <c r="F2093" s="1671">
        <v>4</v>
      </c>
      <c r="G2093" s="1672">
        <v>0.15</v>
      </c>
      <c r="H2093" s="1671">
        <f t="shared" si="276"/>
        <v>0</v>
      </c>
      <c r="I2093" s="1671" t="s">
        <v>49</v>
      </c>
      <c r="J2093" s="1668"/>
      <c r="K2093" s="1668"/>
      <c r="L2093" s="1669"/>
    </row>
    <row r="2094" spans="1:12" s="692" customFormat="1" ht="16.5" hidden="1">
      <c r="A2094" s="1665"/>
      <c r="B2094" s="1666"/>
      <c r="C2094" s="688"/>
      <c r="D2094" s="1667"/>
      <c r="E2094" s="1671"/>
      <c r="F2094" s="1671"/>
      <c r="G2094" s="1669" t="s">
        <v>928</v>
      </c>
      <c r="H2094" s="1673">
        <f>SUM(H2088:H2093)</f>
        <v>0</v>
      </c>
      <c r="I2094" s="1669" t="s">
        <v>49</v>
      </c>
      <c r="J2094" s="1668"/>
      <c r="K2094" s="1668"/>
      <c r="L2094" s="1669"/>
    </row>
    <row r="2095" spans="1:12" s="692" customFormat="1" ht="16.5" hidden="1">
      <c r="A2095" s="1665"/>
      <c r="B2095" s="1666"/>
      <c r="C2095" s="688"/>
      <c r="D2095" s="1667"/>
      <c r="E2095" s="1671">
        <f>D146+F2095</f>
        <v>0</v>
      </c>
      <c r="F2095" s="1671">
        <f>F2065</f>
        <v>0</v>
      </c>
      <c r="G2095" s="1672">
        <f>'DRAWING CC'!GI103</f>
        <v>0</v>
      </c>
      <c r="H2095" s="1671">
        <f t="shared" ref="H2095:H2100" si="277">ROUND(D2095*E2095*F2095*G2095,2)</f>
        <v>0</v>
      </c>
      <c r="I2095" s="1671" t="s">
        <v>49</v>
      </c>
      <c r="J2095" s="1668"/>
      <c r="K2095" s="1668"/>
      <c r="L2095" s="1669"/>
    </row>
    <row r="2096" spans="1:12" s="692" customFormat="1" ht="16.5" hidden="1">
      <c r="A2096" s="1665"/>
      <c r="B2096" s="1666"/>
      <c r="C2096" s="688"/>
      <c r="D2096" s="1667"/>
      <c r="E2096" s="1671">
        <f>D149-F2096</f>
        <v>0</v>
      </c>
      <c r="F2096" s="1671">
        <f>F2095</f>
        <v>0</v>
      </c>
      <c r="G2096" s="1672">
        <f>G2095</f>
        <v>0</v>
      </c>
      <c r="H2096" s="1671">
        <f t="shared" si="277"/>
        <v>0</v>
      </c>
      <c r="I2096" s="1671" t="s">
        <v>49</v>
      </c>
      <c r="J2096" s="1668"/>
      <c r="K2096" s="1668"/>
      <c r="L2096" s="1669"/>
    </row>
    <row r="2097" spans="1:12" s="692" customFormat="1" ht="16.5" hidden="1">
      <c r="A2097" s="1665"/>
      <c r="B2097" s="1666"/>
      <c r="C2097" s="688"/>
      <c r="D2097" s="1667"/>
      <c r="E2097" s="1671">
        <f>D150-F2097</f>
        <v>0</v>
      </c>
      <c r="F2097" s="1671">
        <f>F2096</f>
        <v>0</v>
      </c>
      <c r="G2097" s="1672">
        <f>G2096</f>
        <v>0</v>
      </c>
      <c r="H2097" s="1671">
        <f t="shared" si="277"/>
        <v>0</v>
      </c>
      <c r="I2097" s="1671" t="s">
        <v>49</v>
      </c>
      <c r="J2097" s="1668"/>
      <c r="K2097" s="1668"/>
      <c r="L2097" s="1669"/>
    </row>
    <row r="2098" spans="1:12" s="692" customFormat="1" ht="16.5" hidden="1">
      <c r="A2098" s="1665"/>
      <c r="B2098" s="1666"/>
      <c r="C2098" s="688"/>
      <c r="D2098" s="1667"/>
      <c r="E2098" s="1671">
        <v>3.5</v>
      </c>
      <c r="F2098" s="1671">
        <v>4</v>
      </c>
      <c r="G2098" s="1672">
        <v>0.15</v>
      </c>
      <c r="H2098" s="1671">
        <f t="shared" si="277"/>
        <v>0</v>
      </c>
      <c r="I2098" s="1671" t="s">
        <v>49</v>
      </c>
      <c r="J2098" s="1668"/>
      <c r="K2098" s="1668"/>
      <c r="L2098" s="1669"/>
    </row>
    <row r="2099" spans="1:12" s="692" customFormat="1" ht="16.5" hidden="1">
      <c r="A2099" s="1665"/>
      <c r="B2099" s="1666"/>
      <c r="C2099" s="688"/>
      <c r="D2099" s="1667"/>
      <c r="E2099" s="1671">
        <v>3.5</v>
      </c>
      <c r="F2099" s="1671">
        <v>4</v>
      </c>
      <c r="G2099" s="1672">
        <v>0.15</v>
      </c>
      <c r="H2099" s="1671">
        <f t="shared" si="277"/>
        <v>0</v>
      </c>
      <c r="I2099" s="1671" t="s">
        <v>49</v>
      </c>
      <c r="J2099" s="1668"/>
      <c r="K2099" s="1668"/>
      <c r="L2099" s="1669"/>
    </row>
    <row r="2100" spans="1:12" s="692" customFormat="1" ht="16.5" hidden="1">
      <c r="A2100" s="1665"/>
      <c r="B2100" s="1666"/>
      <c r="C2100" s="688"/>
      <c r="D2100" s="1667"/>
      <c r="E2100" s="1671">
        <v>3.5</v>
      </c>
      <c r="F2100" s="1671">
        <v>4</v>
      </c>
      <c r="G2100" s="1672">
        <v>0.15</v>
      </c>
      <c r="H2100" s="1671">
        <f t="shared" si="277"/>
        <v>0</v>
      </c>
      <c r="I2100" s="1671" t="s">
        <v>49</v>
      </c>
      <c r="J2100" s="1668"/>
      <c r="K2100" s="1668"/>
      <c r="L2100" s="1669"/>
    </row>
    <row r="2101" spans="1:12" s="692" customFormat="1" ht="16.5" hidden="1">
      <c r="A2101" s="1665"/>
      <c r="B2101" s="1666"/>
      <c r="C2101" s="688"/>
      <c r="D2101" s="1667"/>
      <c r="E2101" s="1671"/>
      <c r="F2101" s="1671"/>
      <c r="G2101" s="1669" t="s">
        <v>928</v>
      </c>
      <c r="H2101" s="1673">
        <f>SUM(H2095:H2100)</f>
        <v>0</v>
      </c>
      <c r="I2101" s="1669" t="s">
        <v>49</v>
      </c>
      <c r="J2101" s="1669">
        <f>'Lead &amp; ANALYSIS'!L540</f>
        <v>16333.5</v>
      </c>
      <c r="K2101" s="1668" t="s">
        <v>1516</v>
      </c>
      <c r="L2101" s="1669">
        <f>ROUND(H2101*J2101,0)</f>
        <v>0</v>
      </c>
    </row>
    <row r="2102" spans="1:12" s="692" customFormat="1" ht="16.5" hidden="1">
      <c r="A2102" s="1665" t="s">
        <v>291</v>
      </c>
      <c r="B2102" s="1666" t="s">
        <v>1848</v>
      </c>
      <c r="C2102" s="688"/>
      <c r="D2102" s="1667"/>
      <c r="E2102" s="688"/>
      <c r="F2102" s="688"/>
      <c r="G2102" s="1674"/>
      <c r="H2102" s="688"/>
      <c r="I2102" s="1668"/>
      <c r="J2102" s="1668"/>
      <c r="K2102" s="1668"/>
      <c r="L2102" s="1669"/>
    </row>
    <row r="2103" spans="1:12" s="692" customFormat="1" ht="16.5" hidden="1">
      <c r="A2103" s="1665"/>
      <c r="B2103" s="1666"/>
      <c r="C2103" s="688"/>
      <c r="D2103" s="1667"/>
      <c r="E2103" s="1671">
        <v>3.5</v>
      </c>
      <c r="F2103" s="1671">
        <v>1.2</v>
      </c>
      <c r="G2103" s="1672">
        <v>0.3</v>
      </c>
      <c r="H2103" s="1671">
        <f t="shared" ref="H2103:H2108" si="278">ROUND(D2103*E2103*F2103*G2103,2)</f>
        <v>0</v>
      </c>
      <c r="I2103" s="1671" t="s">
        <v>49</v>
      </c>
      <c r="J2103" s="1668"/>
      <c r="K2103" s="1668"/>
      <c r="L2103" s="1669"/>
    </row>
    <row r="2104" spans="1:12" s="692" customFormat="1" ht="16.5" hidden="1">
      <c r="A2104" s="1665"/>
      <c r="B2104" s="1666"/>
      <c r="C2104" s="688"/>
      <c r="D2104" s="1667"/>
      <c r="E2104" s="1671">
        <v>3.5</v>
      </c>
      <c r="F2104" s="1671">
        <f>F2103</f>
        <v>1.2</v>
      </c>
      <c r="G2104" s="1672">
        <f>G2103</f>
        <v>0.3</v>
      </c>
      <c r="H2104" s="1671">
        <f t="shared" si="278"/>
        <v>0</v>
      </c>
      <c r="I2104" s="1671" t="s">
        <v>49</v>
      </c>
      <c r="J2104" s="1668"/>
      <c r="K2104" s="1668"/>
      <c r="L2104" s="1669"/>
    </row>
    <row r="2105" spans="1:12" s="692" customFormat="1" ht="16.5" hidden="1">
      <c r="A2105" s="1665"/>
      <c r="B2105" s="1666"/>
      <c r="C2105" s="688"/>
      <c r="D2105" s="1667"/>
      <c r="E2105" s="1671">
        <v>3.5</v>
      </c>
      <c r="F2105" s="1671">
        <f>F2104</f>
        <v>1.2</v>
      </c>
      <c r="G2105" s="1672">
        <f>G2104</f>
        <v>0.3</v>
      </c>
      <c r="H2105" s="1671">
        <f t="shared" si="278"/>
        <v>0</v>
      </c>
      <c r="I2105" s="1671" t="s">
        <v>49</v>
      </c>
      <c r="J2105" s="1668"/>
      <c r="K2105" s="1668"/>
      <c r="L2105" s="1669"/>
    </row>
    <row r="2106" spans="1:12" s="692" customFormat="1" ht="16.5" hidden="1">
      <c r="A2106" s="1665"/>
      <c r="B2106" s="1666"/>
      <c r="C2106" s="688"/>
      <c r="D2106" s="1667"/>
      <c r="E2106" s="1671">
        <v>3.5</v>
      </c>
      <c r="F2106" s="1671">
        <v>4</v>
      </c>
      <c r="G2106" s="1672">
        <v>0.15</v>
      </c>
      <c r="H2106" s="1671">
        <f t="shared" si="278"/>
        <v>0</v>
      </c>
      <c r="I2106" s="1671" t="s">
        <v>49</v>
      </c>
      <c r="J2106" s="1668"/>
      <c r="K2106" s="1668"/>
      <c r="L2106" s="1669"/>
    </row>
    <row r="2107" spans="1:12" s="692" customFormat="1" ht="16.5" hidden="1">
      <c r="A2107" s="1665"/>
      <c r="B2107" s="1666"/>
      <c r="C2107" s="688"/>
      <c r="D2107" s="1667"/>
      <c r="E2107" s="1671">
        <v>3.5</v>
      </c>
      <c r="F2107" s="1671">
        <v>4</v>
      </c>
      <c r="G2107" s="1672">
        <v>0.15</v>
      </c>
      <c r="H2107" s="1671">
        <f t="shared" si="278"/>
        <v>0</v>
      </c>
      <c r="I2107" s="1671" t="s">
        <v>49</v>
      </c>
      <c r="J2107" s="1668"/>
      <c r="K2107" s="1668"/>
      <c r="L2107" s="1669"/>
    </row>
    <row r="2108" spans="1:12" s="692" customFormat="1" ht="16.5" hidden="1">
      <c r="A2108" s="1665"/>
      <c r="B2108" s="1666"/>
      <c r="C2108" s="688"/>
      <c r="D2108" s="1667"/>
      <c r="E2108" s="1671">
        <v>3.5</v>
      </c>
      <c r="F2108" s="1671">
        <v>4</v>
      </c>
      <c r="G2108" s="1672">
        <v>0.15</v>
      </c>
      <c r="H2108" s="1671">
        <f t="shared" si="278"/>
        <v>0</v>
      </c>
      <c r="I2108" s="1671" t="s">
        <v>49</v>
      </c>
      <c r="J2108" s="1668"/>
      <c r="K2108" s="1668"/>
      <c r="L2108" s="1669"/>
    </row>
    <row r="2109" spans="1:12" s="692" customFormat="1" ht="16.5" hidden="1">
      <c r="A2109" s="1665"/>
      <c r="B2109" s="1666"/>
      <c r="C2109" s="688"/>
      <c r="D2109" s="1667"/>
      <c r="E2109" s="1671"/>
      <c r="F2109" s="1671"/>
      <c r="G2109" s="1669" t="s">
        <v>928</v>
      </c>
      <c r="H2109" s="1673">
        <f>SUM(H2103:H2108)</f>
        <v>0</v>
      </c>
      <c r="I2109" s="1669" t="s">
        <v>49</v>
      </c>
      <c r="J2109" s="1668"/>
      <c r="K2109" s="1668"/>
      <c r="L2109" s="1669"/>
    </row>
    <row r="2110" spans="1:12" s="692" customFormat="1" ht="16.5" hidden="1">
      <c r="A2110" s="1665"/>
      <c r="B2110" s="1666"/>
      <c r="C2110" s="688"/>
      <c r="D2110" s="1667"/>
      <c r="E2110" s="1671">
        <f>D154+F2110</f>
        <v>0</v>
      </c>
      <c r="F2110" s="1671">
        <f>F2080</f>
        <v>0</v>
      </c>
      <c r="G2110" s="1672">
        <f>'DRAWING CC'!GI111</f>
        <v>0</v>
      </c>
      <c r="H2110" s="1671">
        <f t="shared" ref="H2110:H2115" si="279">ROUND(D2110*E2110*F2110*G2110,2)</f>
        <v>0</v>
      </c>
      <c r="I2110" s="1671" t="s">
        <v>49</v>
      </c>
      <c r="J2110" s="1668"/>
      <c r="K2110" s="1668"/>
      <c r="L2110" s="1669"/>
    </row>
    <row r="2111" spans="1:12" s="692" customFormat="1" ht="16.5" hidden="1">
      <c r="A2111" s="1665"/>
      <c r="B2111" s="1666"/>
      <c r="C2111" s="688"/>
      <c r="D2111" s="1667"/>
      <c r="E2111" s="1671">
        <f>D157-F2111</f>
        <v>0</v>
      </c>
      <c r="F2111" s="1671">
        <f>F2110</f>
        <v>0</v>
      </c>
      <c r="G2111" s="1672">
        <f>G2110</f>
        <v>0</v>
      </c>
      <c r="H2111" s="1671">
        <f t="shared" si="279"/>
        <v>0</v>
      </c>
      <c r="I2111" s="1671" t="s">
        <v>49</v>
      </c>
      <c r="J2111" s="1668"/>
      <c r="K2111" s="1668"/>
      <c r="L2111" s="1669"/>
    </row>
    <row r="2112" spans="1:12" s="692" customFormat="1" ht="16.5" hidden="1">
      <c r="A2112" s="1665"/>
      <c r="B2112" s="1666"/>
      <c r="C2112" s="688"/>
      <c r="D2112" s="1667"/>
      <c r="E2112" s="1671">
        <f>D158-F2112</f>
        <v>0</v>
      </c>
      <c r="F2112" s="1671">
        <f>F2111</f>
        <v>0</v>
      </c>
      <c r="G2112" s="1672">
        <f>G2111</f>
        <v>0</v>
      </c>
      <c r="H2112" s="1671">
        <f t="shared" si="279"/>
        <v>0</v>
      </c>
      <c r="I2112" s="1671" t="s">
        <v>49</v>
      </c>
      <c r="J2112" s="1668"/>
      <c r="K2112" s="1668"/>
      <c r="L2112" s="1669"/>
    </row>
    <row r="2113" spans="1:12" s="692" customFormat="1" ht="16.5" hidden="1">
      <c r="A2113" s="1665"/>
      <c r="B2113" s="1666"/>
      <c r="C2113" s="688"/>
      <c r="D2113" s="1667"/>
      <c r="E2113" s="1671">
        <v>3.5</v>
      </c>
      <c r="F2113" s="1671">
        <v>4</v>
      </c>
      <c r="G2113" s="1672">
        <v>0.15</v>
      </c>
      <c r="H2113" s="1671">
        <f t="shared" si="279"/>
        <v>0</v>
      </c>
      <c r="I2113" s="1671" t="s">
        <v>49</v>
      </c>
      <c r="J2113" s="1668"/>
      <c r="K2113" s="1668"/>
      <c r="L2113" s="1669"/>
    </row>
    <row r="2114" spans="1:12" s="692" customFormat="1" ht="16.5" hidden="1">
      <c r="A2114" s="1665"/>
      <c r="B2114" s="1666"/>
      <c r="C2114" s="688"/>
      <c r="D2114" s="1667"/>
      <c r="E2114" s="1671">
        <v>3.5</v>
      </c>
      <c r="F2114" s="1671">
        <v>4</v>
      </c>
      <c r="G2114" s="1672">
        <v>0.15</v>
      </c>
      <c r="H2114" s="1671">
        <f t="shared" si="279"/>
        <v>0</v>
      </c>
      <c r="I2114" s="1671" t="s">
        <v>49</v>
      </c>
      <c r="J2114" s="1668"/>
      <c r="K2114" s="1668"/>
      <c r="L2114" s="1669"/>
    </row>
    <row r="2115" spans="1:12" s="692" customFormat="1" ht="16.5" hidden="1">
      <c r="A2115" s="1665"/>
      <c r="B2115" s="1666"/>
      <c r="C2115" s="688"/>
      <c r="D2115" s="1667"/>
      <c r="E2115" s="1671">
        <v>3.5</v>
      </c>
      <c r="F2115" s="1671">
        <v>4</v>
      </c>
      <c r="G2115" s="1672">
        <v>0.15</v>
      </c>
      <c r="H2115" s="1671">
        <f t="shared" si="279"/>
        <v>0</v>
      </c>
      <c r="I2115" s="1671" t="s">
        <v>49</v>
      </c>
      <c r="J2115" s="1668"/>
      <c r="K2115" s="1668"/>
      <c r="L2115" s="1669"/>
    </row>
    <row r="2116" spans="1:12" s="692" customFormat="1" ht="16.5" hidden="1">
      <c r="A2116" s="1665"/>
      <c r="B2116" s="1666"/>
      <c r="C2116" s="688"/>
      <c r="D2116" s="1667"/>
      <c r="E2116" s="1671"/>
      <c r="F2116" s="1671"/>
      <c r="G2116" s="1669" t="s">
        <v>928</v>
      </c>
      <c r="H2116" s="1673">
        <f>SUM(H2110:H2115)</f>
        <v>0</v>
      </c>
      <c r="I2116" s="1669" t="s">
        <v>49</v>
      </c>
      <c r="J2116" s="1669">
        <f>'Lead &amp; ANALYSIS'!L527</f>
        <v>15623.5</v>
      </c>
      <c r="K2116" s="1668" t="s">
        <v>1516</v>
      </c>
      <c r="L2116" s="1669">
        <f>ROUND(H2116*J2116,0)</f>
        <v>0</v>
      </c>
    </row>
    <row r="2117" spans="1:12" s="692" customFormat="1" ht="16.5" hidden="1">
      <c r="A2117" s="1665" t="s">
        <v>308</v>
      </c>
      <c r="B2117" s="1666" t="s">
        <v>481</v>
      </c>
      <c r="C2117" s="688"/>
      <c r="D2117" s="1667"/>
      <c r="E2117" s="688"/>
      <c r="F2117" s="688"/>
      <c r="G2117" s="1674"/>
      <c r="H2117" s="688"/>
      <c r="I2117" s="1668"/>
      <c r="J2117" s="1668"/>
      <c r="K2117" s="1668"/>
      <c r="L2117" s="1669"/>
    </row>
    <row r="2118" spans="1:12" s="692" customFormat="1" ht="16.5" hidden="1">
      <c r="A2118" s="1665"/>
      <c r="B2118" s="1666" t="s">
        <v>1948</v>
      </c>
      <c r="C2118" s="688"/>
      <c r="D2118" s="1667"/>
      <c r="E2118" s="1671">
        <v>3.5</v>
      </c>
      <c r="F2118" s="1671">
        <v>1.2</v>
      </c>
      <c r="G2118" s="1683">
        <v>6.5000000000000002E-2</v>
      </c>
      <c r="H2118" s="1671">
        <f t="shared" ref="H2118:H2123" si="280">ROUND(D2118*E2118*F2118*G2118,2)</f>
        <v>0</v>
      </c>
      <c r="I2118" s="1671" t="s">
        <v>49</v>
      </c>
      <c r="J2118" s="1668"/>
      <c r="K2118" s="1668"/>
      <c r="L2118" s="1669"/>
    </row>
    <row r="2119" spans="1:12" s="692" customFormat="1" ht="16.5" hidden="1">
      <c r="A2119" s="1665"/>
      <c r="B2119" s="1666" t="s">
        <v>2987</v>
      </c>
      <c r="C2119" s="688"/>
      <c r="D2119" s="1667"/>
      <c r="E2119" s="1671">
        <v>3.5</v>
      </c>
      <c r="F2119" s="1671">
        <f>F2118</f>
        <v>1.2</v>
      </c>
      <c r="G2119" s="1683">
        <f>0.065</f>
        <v>6.5000000000000002E-2</v>
      </c>
      <c r="H2119" s="1671">
        <f t="shared" si="280"/>
        <v>0</v>
      </c>
      <c r="I2119" s="1671" t="s">
        <v>49</v>
      </c>
      <c r="J2119" s="1668"/>
      <c r="K2119" s="1668"/>
      <c r="L2119" s="1669"/>
    </row>
    <row r="2120" spans="1:12" s="692" customFormat="1" ht="16.5" hidden="1">
      <c r="A2120" s="1665"/>
      <c r="B2120" s="1666"/>
      <c r="C2120" s="688"/>
      <c r="D2120" s="1667"/>
      <c r="E2120" s="1671">
        <v>3.5</v>
      </c>
      <c r="F2120" s="1671">
        <f>F2119</f>
        <v>1.2</v>
      </c>
      <c r="G2120" s="1683">
        <f>G2119</f>
        <v>6.5000000000000002E-2</v>
      </c>
      <c r="H2120" s="1671">
        <f t="shared" si="280"/>
        <v>0</v>
      </c>
      <c r="I2120" s="1671" t="s">
        <v>49</v>
      </c>
      <c r="J2120" s="1668"/>
      <c r="K2120" s="1668"/>
      <c r="L2120" s="1669"/>
    </row>
    <row r="2121" spans="1:12" s="692" customFormat="1" ht="16.5" hidden="1">
      <c r="A2121" s="1665"/>
      <c r="B2121" s="1666"/>
      <c r="C2121" s="688"/>
      <c r="D2121" s="1667"/>
      <c r="E2121" s="1671">
        <v>3.5</v>
      </c>
      <c r="F2121" s="1671">
        <v>4</v>
      </c>
      <c r="G2121" s="1672">
        <v>0.15</v>
      </c>
      <c r="H2121" s="1671">
        <f t="shared" si="280"/>
        <v>0</v>
      </c>
      <c r="I2121" s="1671" t="s">
        <v>49</v>
      </c>
      <c r="J2121" s="1668"/>
      <c r="K2121" s="1668"/>
      <c r="L2121" s="1669"/>
    </row>
    <row r="2122" spans="1:12" s="692" customFormat="1" ht="16.5" hidden="1">
      <c r="A2122" s="1665"/>
      <c r="B2122" s="1666"/>
      <c r="C2122" s="688"/>
      <c r="D2122" s="1667"/>
      <c r="E2122" s="1671">
        <v>3.5</v>
      </c>
      <c r="F2122" s="1671">
        <v>4</v>
      </c>
      <c r="G2122" s="1672">
        <v>0.15</v>
      </c>
      <c r="H2122" s="1671">
        <f t="shared" si="280"/>
        <v>0</v>
      </c>
      <c r="I2122" s="1671" t="s">
        <v>49</v>
      </c>
      <c r="J2122" s="1668"/>
      <c r="K2122" s="1668"/>
      <c r="L2122" s="1669"/>
    </row>
    <row r="2123" spans="1:12" s="692" customFormat="1" ht="16.5" hidden="1">
      <c r="A2123" s="1665"/>
      <c r="B2123" s="1666"/>
      <c r="C2123" s="688"/>
      <c r="D2123" s="1667"/>
      <c r="E2123" s="1671">
        <v>3.5</v>
      </c>
      <c r="F2123" s="1671">
        <v>4</v>
      </c>
      <c r="G2123" s="1672">
        <v>0.15</v>
      </c>
      <c r="H2123" s="1671">
        <f t="shared" si="280"/>
        <v>0</v>
      </c>
      <c r="I2123" s="1671" t="s">
        <v>49</v>
      </c>
      <c r="J2123" s="1668"/>
      <c r="K2123" s="1668"/>
      <c r="L2123" s="1669"/>
    </row>
    <row r="2124" spans="1:12" s="692" customFormat="1" ht="16.5" hidden="1">
      <c r="A2124" s="1665"/>
      <c r="B2124" s="1666"/>
      <c r="C2124" s="688"/>
      <c r="D2124" s="1667"/>
      <c r="E2124" s="1671"/>
      <c r="F2124" s="1671"/>
      <c r="G2124" s="1669" t="s">
        <v>928</v>
      </c>
      <c r="H2124" s="1673">
        <f>SUM(H2118:H2123)</f>
        <v>0</v>
      </c>
      <c r="I2124" s="1669" t="s">
        <v>49</v>
      </c>
      <c r="J2124" s="1668"/>
      <c r="K2124" s="1668"/>
      <c r="L2124" s="1669"/>
    </row>
    <row r="2125" spans="1:12" s="692" customFormat="1" ht="16.5" hidden="1">
      <c r="A2125" s="1665"/>
      <c r="B2125" s="1666" t="s">
        <v>1948</v>
      </c>
      <c r="C2125" s="688"/>
      <c r="D2125" s="1667"/>
      <c r="E2125" s="1671">
        <f>'DRAWING CC'!IL189+0.3</f>
        <v>0.3</v>
      </c>
      <c r="F2125" s="1671">
        <f>'DRAWING CC'!FL115</f>
        <v>0</v>
      </c>
      <c r="G2125" s="1683"/>
      <c r="H2125" s="1671">
        <f>ROUND(D2125*E2125*F2125,2)</f>
        <v>0</v>
      </c>
      <c r="I2125" s="1671" t="s">
        <v>92</v>
      </c>
      <c r="J2125" s="1668"/>
      <c r="K2125" s="1668"/>
      <c r="L2125" s="1669"/>
    </row>
    <row r="2126" spans="1:12" s="692" customFormat="1" ht="16.5" hidden="1">
      <c r="A2126" s="1665"/>
      <c r="B2126" s="1666" t="s">
        <v>2987</v>
      </c>
      <c r="C2126" s="688"/>
      <c r="D2126" s="1667"/>
      <c r="E2126" s="1671">
        <f>'DRAWING CC'!AW146</f>
        <v>0</v>
      </c>
      <c r="F2126" s="1671">
        <f>F2125</f>
        <v>0</v>
      </c>
      <c r="G2126" s="1683"/>
      <c r="H2126" s="1671">
        <f t="shared" ref="H2126:H2130" si="281">ROUND(D2126*E2126*F2126,2)</f>
        <v>0</v>
      </c>
      <c r="I2126" s="1671" t="s">
        <v>92</v>
      </c>
      <c r="J2126" s="1668"/>
      <c r="K2126" s="1668"/>
      <c r="L2126" s="1669"/>
    </row>
    <row r="2127" spans="1:12" s="692" customFormat="1" ht="16.5" hidden="1">
      <c r="A2127" s="1665"/>
      <c r="B2127" s="1666"/>
      <c r="C2127" s="688"/>
      <c r="D2127" s="1667"/>
      <c r="E2127" s="1671">
        <f>D180-F2127</f>
        <v>0</v>
      </c>
      <c r="F2127" s="1671">
        <f>F2126</f>
        <v>0</v>
      </c>
      <c r="G2127" s="1672"/>
      <c r="H2127" s="1671">
        <f t="shared" si="281"/>
        <v>0</v>
      </c>
      <c r="I2127" s="1671" t="s">
        <v>92</v>
      </c>
      <c r="J2127" s="1668"/>
      <c r="K2127" s="1668"/>
      <c r="L2127" s="1669"/>
    </row>
    <row r="2128" spans="1:12" s="692" customFormat="1" ht="16.5" hidden="1">
      <c r="A2128" s="1665"/>
      <c r="B2128" s="1666"/>
      <c r="C2128" s="688"/>
      <c r="D2128" s="1667"/>
      <c r="E2128" s="1671">
        <v>3.5</v>
      </c>
      <c r="F2128" s="1671">
        <v>4</v>
      </c>
      <c r="G2128" s="1672"/>
      <c r="H2128" s="1671">
        <f t="shared" si="281"/>
        <v>0</v>
      </c>
      <c r="I2128" s="1671" t="s">
        <v>92</v>
      </c>
      <c r="J2128" s="1668"/>
      <c r="K2128" s="1668"/>
      <c r="L2128" s="1669"/>
    </row>
    <row r="2129" spans="1:12" s="692" customFormat="1" ht="16.5" hidden="1">
      <c r="A2129" s="1665"/>
      <c r="B2129" s="1666"/>
      <c r="C2129" s="688"/>
      <c r="D2129" s="1667"/>
      <c r="E2129" s="1671">
        <v>3.5</v>
      </c>
      <c r="F2129" s="1671">
        <v>4</v>
      </c>
      <c r="G2129" s="1672"/>
      <c r="H2129" s="1671">
        <f t="shared" si="281"/>
        <v>0</v>
      </c>
      <c r="I2129" s="1671" t="s">
        <v>92</v>
      </c>
      <c r="J2129" s="1668"/>
      <c r="K2129" s="1668"/>
      <c r="L2129" s="1669"/>
    </row>
    <row r="2130" spans="1:12" s="692" customFormat="1" ht="16.5" hidden="1">
      <c r="A2130" s="1665"/>
      <c r="B2130" s="1666"/>
      <c r="C2130" s="688"/>
      <c r="D2130" s="1667"/>
      <c r="E2130" s="1671">
        <v>3.5</v>
      </c>
      <c r="F2130" s="1671">
        <v>4</v>
      </c>
      <c r="G2130" s="1672"/>
      <c r="H2130" s="1671">
        <f t="shared" si="281"/>
        <v>0</v>
      </c>
      <c r="I2130" s="1671" t="s">
        <v>92</v>
      </c>
      <c r="J2130" s="1668"/>
      <c r="K2130" s="1668"/>
      <c r="L2130" s="1669"/>
    </row>
    <row r="2131" spans="1:12" s="692" customFormat="1" ht="16.5" hidden="1">
      <c r="A2131" s="1665"/>
      <c r="B2131" s="1666"/>
      <c r="C2131" s="688"/>
      <c r="D2131" s="1667"/>
      <c r="E2131" s="1671"/>
      <c r="F2131" s="1671"/>
      <c r="G2131" s="1669" t="s">
        <v>928</v>
      </c>
      <c r="H2131" s="1673">
        <f>SUM(H2125:H2130)</f>
        <v>0</v>
      </c>
      <c r="I2131" s="1671" t="s">
        <v>92</v>
      </c>
      <c r="J2131" s="1669">
        <f>'Lead &amp; ANALYSIS'!L579</f>
        <v>1276.3</v>
      </c>
      <c r="K2131" s="1668" t="s">
        <v>1514</v>
      </c>
      <c r="L2131" s="1669">
        <f>ROUND(H2131*J2131,0)</f>
        <v>0</v>
      </c>
    </row>
    <row r="2132" spans="1:12" s="692" customFormat="1" ht="16.5" hidden="1">
      <c r="A2132" s="1665" t="s">
        <v>352</v>
      </c>
      <c r="B2132" s="1666" t="s">
        <v>3400</v>
      </c>
      <c r="C2132" s="688"/>
      <c r="D2132" s="1667"/>
      <c r="E2132" s="688"/>
      <c r="F2132" s="688"/>
      <c r="G2132" s="1674"/>
      <c r="H2132" s="688"/>
      <c r="I2132" s="1668"/>
      <c r="J2132" s="1668"/>
      <c r="K2132" s="1668"/>
      <c r="L2132" s="1669"/>
    </row>
    <row r="2133" spans="1:12" s="692" customFormat="1" ht="16.5" hidden="1">
      <c r="A2133" s="1665"/>
      <c r="B2133" s="1666"/>
      <c r="C2133" s="688"/>
      <c r="D2133" s="1667"/>
      <c r="E2133" s="1671">
        <v>3.5</v>
      </c>
      <c r="F2133" s="1671">
        <v>1.2</v>
      </c>
      <c r="G2133" s="1672">
        <v>0.3</v>
      </c>
      <c r="H2133" s="1671">
        <f t="shared" ref="H2133:H2138" si="282">ROUND(D2133*E2133*F2133*G2133,2)</f>
        <v>0</v>
      </c>
      <c r="I2133" s="1671" t="s">
        <v>49</v>
      </c>
      <c r="J2133" s="1668"/>
      <c r="K2133" s="1668"/>
      <c r="L2133" s="1669"/>
    </row>
    <row r="2134" spans="1:12" s="692" customFormat="1" ht="16.5" hidden="1">
      <c r="A2134" s="1665"/>
      <c r="B2134" s="1666"/>
      <c r="C2134" s="688"/>
      <c r="D2134" s="1667"/>
      <c r="E2134" s="1671">
        <v>3.5</v>
      </c>
      <c r="F2134" s="1671">
        <f>F2133</f>
        <v>1.2</v>
      </c>
      <c r="G2134" s="1672">
        <f>G2133</f>
        <v>0.3</v>
      </c>
      <c r="H2134" s="1671">
        <f t="shared" si="282"/>
        <v>0</v>
      </c>
      <c r="I2134" s="1671" t="s">
        <v>49</v>
      </c>
      <c r="J2134" s="1668"/>
      <c r="K2134" s="1668"/>
      <c r="L2134" s="1669"/>
    </row>
    <row r="2135" spans="1:12" s="692" customFormat="1" ht="16.5" hidden="1">
      <c r="A2135" s="1665"/>
      <c r="B2135" s="1666"/>
      <c r="C2135" s="688"/>
      <c r="D2135" s="1667"/>
      <c r="E2135" s="1671">
        <v>3.5</v>
      </c>
      <c r="F2135" s="1671">
        <f>F2134</f>
        <v>1.2</v>
      </c>
      <c r="G2135" s="1672">
        <f>G2134</f>
        <v>0.3</v>
      </c>
      <c r="H2135" s="1671">
        <f t="shared" si="282"/>
        <v>0</v>
      </c>
      <c r="I2135" s="1671" t="s">
        <v>49</v>
      </c>
      <c r="J2135" s="1668"/>
      <c r="K2135" s="1668"/>
      <c r="L2135" s="1669"/>
    </row>
    <row r="2136" spans="1:12" s="692" customFormat="1" ht="16.5" hidden="1">
      <c r="A2136" s="1665"/>
      <c r="B2136" s="1666"/>
      <c r="C2136" s="688"/>
      <c r="D2136" s="1667"/>
      <c r="E2136" s="1671">
        <v>3.5</v>
      </c>
      <c r="F2136" s="1671">
        <v>4</v>
      </c>
      <c r="G2136" s="1672">
        <v>0.15</v>
      </c>
      <c r="H2136" s="1671">
        <f t="shared" si="282"/>
        <v>0</v>
      </c>
      <c r="I2136" s="1671" t="s">
        <v>49</v>
      </c>
      <c r="J2136" s="1668"/>
      <c r="K2136" s="1668"/>
      <c r="L2136" s="1669"/>
    </row>
    <row r="2137" spans="1:12" s="692" customFormat="1" ht="16.5" hidden="1">
      <c r="A2137" s="1665"/>
      <c r="B2137" s="1666"/>
      <c r="C2137" s="688"/>
      <c r="D2137" s="1667"/>
      <c r="E2137" s="1671">
        <v>3.5</v>
      </c>
      <c r="F2137" s="1671">
        <v>4</v>
      </c>
      <c r="G2137" s="1672">
        <v>0.15</v>
      </c>
      <c r="H2137" s="1671">
        <f t="shared" si="282"/>
        <v>0</v>
      </c>
      <c r="I2137" s="1671" t="s">
        <v>49</v>
      </c>
      <c r="J2137" s="1668"/>
      <c r="K2137" s="1668"/>
      <c r="L2137" s="1669"/>
    </row>
    <row r="2138" spans="1:12" s="692" customFormat="1" ht="16.5" hidden="1">
      <c r="A2138" s="1665"/>
      <c r="B2138" s="1666"/>
      <c r="C2138" s="688"/>
      <c r="D2138" s="1667"/>
      <c r="E2138" s="1671">
        <v>3.5</v>
      </c>
      <c r="F2138" s="1671">
        <v>4</v>
      </c>
      <c r="G2138" s="1672">
        <v>0.15</v>
      </c>
      <c r="H2138" s="1671">
        <f t="shared" si="282"/>
        <v>0</v>
      </c>
      <c r="I2138" s="1671" t="s">
        <v>49</v>
      </c>
      <c r="J2138" s="1668"/>
      <c r="K2138" s="1668"/>
      <c r="L2138" s="1669"/>
    </row>
    <row r="2139" spans="1:12" s="692" customFormat="1" ht="16.5" hidden="1">
      <c r="A2139" s="1665"/>
      <c r="B2139" s="1666"/>
      <c r="C2139" s="688"/>
      <c r="D2139" s="1667"/>
      <c r="E2139" s="1671"/>
      <c r="F2139" s="1671"/>
      <c r="G2139" s="1669" t="s">
        <v>928</v>
      </c>
      <c r="H2139" s="1673">
        <f>SUM(H2133:H2138)</f>
        <v>0</v>
      </c>
      <c r="I2139" s="1669" t="s">
        <v>49</v>
      </c>
      <c r="J2139" s="1668"/>
      <c r="K2139" s="1668"/>
      <c r="L2139" s="1669"/>
    </row>
    <row r="2140" spans="1:12" s="692" customFormat="1" ht="16.5" hidden="1">
      <c r="A2140" s="1665"/>
      <c r="B2140" s="1666"/>
      <c r="C2140" s="688"/>
      <c r="D2140" s="1667"/>
      <c r="E2140" s="1671">
        <v>5</v>
      </c>
      <c r="F2140" s="1671">
        <v>0.25</v>
      </c>
      <c r="G2140" s="1672">
        <v>0.45</v>
      </c>
      <c r="H2140" s="1671">
        <f t="shared" ref="H2140:H2145" si="283">ROUND(D2140*E2140*F2140*G2140,2)</f>
        <v>0</v>
      </c>
      <c r="I2140" s="1671" t="s">
        <v>49</v>
      </c>
      <c r="J2140" s="1668"/>
      <c r="K2140" s="1668"/>
      <c r="L2140" s="1669"/>
    </row>
    <row r="2141" spans="1:12" s="692" customFormat="1" ht="16.5" hidden="1">
      <c r="A2141" s="1665"/>
      <c r="B2141" s="1666"/>
      <c r="C2141" s="688"/>
      <c r="D2141" s="1667"/>
      <c r="E2141" s="1671">
        <f>D189-F2141</f>
        <v>-0.25</v>
      </c>
      <c r="F2141" s="1671">
        <f>F2140</f>
        <v>0.25</v>
      </c>
      <c r="G2141" s="1672">
        <f>G2140</f>
        <v>0.45</v>
      </c>
      <c r="H2141" s="1671">
        <f t="shared" si="283"/>
        <v>0</v>
      </c>
      <c r="I2141" s="1671" t="s">
        <v>49</v>
      </c>
      <c r="J2141" s="1668"/>
      <c r="K2141" s="1668"/>
      <c r="L2141" s="1669"/>
    </row>
    <row r="2142" spans="1:12" s="692" customFormat="1" ht="16.5" hidden="1">
      <c r="A2142" s="1665"/>
      <c r="B2142" s="1666"/>
      <c r="C2142" s="688"/>
      <c r="D2142" s="1667"/>
      <c r="E2142" s="1671">
        <f>D190-F2142</f>
        <v>-0.25</v>
      </c>
      <c r="F2142" s="1671">
        <f>F2141</f>
        <v>0.25</v>
      </c>
      <c r="G2142" s="1672">
        <f>G2141</f>
        <v>0.45</v>
      </c>
      <c r="H2142" s="1671">
        <f t="shared" si="283"/>
        <v>0</v>
      </c>
      <c r="I2142" s="1671" t="s">
        <v>49</v>
      </c>
      <c r="J2142" s="1668"/>
      <c r="K2142" s="1668"/>
      <c r="L2142" s="1669"/>
    </row>
    <row r="2143" spans="1:12" s="692" customFormat="1" ht="16.5" hidden="1">
      <c r="A2143" s="1665"/>
      <c r="B2143" s="1666"/>
      <c r="C2143" s="688"/>
      <c r="D2143" s="1667"/>
      <c r="E2143" s="1671">
        <v>3.5</v>
      </c>
      <c r="F2143" s="1671">
        <v>4</v>
      </c>
      <c r="G2143" s="1672">
        <v>0.15</v>
      </c>
      <c r="H2143" s="1671">
        <f t="shared" si="283"/>
        <v>0</v>
      </c>
      <c r="I2143" s="1671" t="s">
        <v>49</v>
      </c>
      <c r="J2143" s="1668"/>
      <c r="K2143" s="1668"/>
      <c r="L2143" s="1669"/>
    </row>
    <row r="2144" spans="1:12" s="692" customFormat="1" ht="16.5" hidden="1">
      <c r="A2144" s="1665"/>
      <c r="B2144" s="1666"/>
      <c r="C2144" s="688"/>
      <c r="D2144" s="1667"/>
      <c r="E2144" s="1671">
        <v>3.5</v>
      </c>
      <c r="F2144" s="1671">
        <v>4</v>
      </c>
      <c r="G2144" s="1672">
        <v>0.15</v>
      </c>
      <c r="H2144" s="1671">
        <f t="shared" si="283"/>
        <v>0</v>
      </c>
      <c r="I2144" s="1671" t="s">
        <v>49</v>
      </c>
      <c r="J2144" s="1668"/>
      <c r="K2144" s="1668"/>
      <c r="L2144" s="1669"/>
    </row>
    <row r="2145" spans="1:12" s="692" customFormat="1" ht="16.5" hidden="1">
      <c r="A2145" s="1665"/>
      <c r="B2145" s="1666"/>
      <c r="C2145" s="688"/>
      <c r="D2145" s="1667"/>
      <c r="E2145" s="1671">
        <v>3.5</v>
      </c>
      <c r="F2145" s="1671">
        <v>4</v>
      </c>
      <c r="G2145" s="1672">
        <v>0.15</v>
      </c>
      <c r="H2145" s="1671">
        <f t="shared" si="283"/>
        <v>0</v>
      </c>
      <c r="I2145" s="1671" t="s">
        <v>49</v>
      </c>
      <c r="J2145" s="1668"/>
      <c r="K2145" s="1668"/>
      <c r="L2145" s="1669"/>
    </row>
    <row r="2146" spans="1:12" s="692" customFormat="1" ht="16.5" hidden="1">
      <c r="A2146" s="1665"/>
      <c r="B2146" s="1666"/>
      <c r="C2146" s="688"/>
      <c r="D2146" s="1667"/>
      <c r="E2146" s="1671"/>
      <c r="F2146" s="1671"/>
      <c r="G2146" s="1669" t="s">
        <v>928</v>
      </c>
      <c r="H2146" s="1673">
        <f>SUM(H2140:H2145)</f>
        <v>0</v>
      </c>
      <c r="I2146" s="1669" t="s">
        <v>49</v>
      </c>
      <c r="J2146" s="1669">
        <f>'Lead &amp; ANALYSIS'!L540</f>
        <v>16333.5</v>
      </c>
      <c r="K2146" s="1668" t="s">
        <v>1516</v>
      </c>
      <c r="L2146" s="1669">
        <f>ROUND(H2146*J2146,0)</f>
        <v>0</v>
      </c>
    </row>
    <row r="2147" spans="1:12" s="692" customFormat="1" ht="16.5" hidden="1">
      <c r="A2147" s="1665" t="s">
        <v>2072</v>
      </c>
      <c r="B2147" s="1666" t="s">
        <v>1926</v>
      </c>
      <c r="C2147" s="688"/>
      <c r="D2147" s="1667"/>
      <c r="E2147" s="688"/>
      <c r="F2147" s="688"/>
      <c r="G2147" s="1674"/>
      <c r="H2147" s="688"/>
      <c r="I2147" s="1668"/>
      <c r="J2147" s="1668"/>
      <c r="K2147" s="1668"/>
      <c r="L2147" s="1669"/>
    </row>
    <row r="2148" spans="1:12" s="692" customFormat="1" ht="16.5" hidden="1">
      <c r="A2148" s="1665"/>
      <c r="B2148" s="1666"/>
      <c r="C2148" s="688"/>
      <c r="D2148" s="1667"/>
      <c r="E2148" s="1671">
        <v>3.5</v>
      </c>
      <c r="F2148" s="1671">
        <v>1.2</v>
      </c>
      <c r="G2148" s="1672">
        <v>0.08</v>
      </c>
      <c r="H2148" s="1671">
        <f t="shared" ref="H2148:H2153" si="284">ROUND(D2148*E2148*F2148*G2148,2)</f>
        <v>0</v>
      </c>
      <c r="I2148" s="1671" t="s">
        <v>49</v>
      </c>
      <c r="J2148" s="1668"/>
      <c r="K2148" s="1668"/>
      <c r="L2148" s="1669"/>
    </row>
    <row r="2149" spans="1:12" s="692" customFormat="1" ht="16.5" hidden="1">
      <c r="A2149" s="1665"/>
      <c r="B2149" s="1666"/>
      <c r="C2149" s="688"/>
      <c r="D2149" s="1667"/>
      <c r="E2149" s="1671">
        <v>3.5</v>
      </c>
      <c r="F2149" s="1671">
        <f>F2148</f>
        <v>1.2</v>
      </c>
      <c r="G2149" s="1672">
        <f>G2148</f>
        <v>0.08</v>
      </c>
      <c r="H2149" s="1671">
        <f t="shared" si="284"/>
        <v>0</v>
      </c>
      <c r="I2149" s="1671" t="s">
        <v>49</v>
      </c>
      <c r="J2149" s="1668"/>
      <c r="K2149" s="1668"/>
      <c r="L2149" s="1669"/>
    </row>
    <row r="2150" spans="1:12" s="692" customFormat="1" ht="16.5" hidden="1">
      <c r="A2150" s="1665"/>
      <c r="B2150" s="1666"/>
      <c r="C2150" s="688"/>
      <c r="D2150" s="1667"/>
      <c r="E2150" s="1671">
        <v>3.5</v>
      </c>
      <c r="F2150" s="1671">
        <f>F2149</f>
        <v>1.2</v>
      </c>
      <c r="G2150" s="1672">
        <f>G2149</f>
        <v>0.08</v>
      </c>
      <c r="H2150" s="1671">
        <f t="shared" si="284"/>
        <v>0</v>
      </c>
      <c r="I2150" s="1671" t="s">
        <v>49</v>
      </c>
      <c r="J2150" s="1668"/>
      <c r="K2150" s="1668"/>
      <c r="L2150" s="1669"/>
    </row>
    <row r="2151" spans="1:12" s="692" customFormat="1" ht="16.5" hidden="1">
      <c r="A2151" s="1665"/>
      <c r="B2151" s="1666"/>
      <c r="C2151" s="688"/>
      <c r="D2151" s="1667"/>
      <c r="E2151" s="1671">
        <v>3.5</v>
      </c>
      <c r="F2151" s="1671">
        <v>4</v>
      </c>
      <c r="G2151" s="1672">
        <v>0.15</v>
      </c>
      <c r="H2151" s="1671">
        <f t="shared" si="284"/>
        <v>0</v>
      </c>
      <c r="I2151" s="1671" t="s">
        <v>49</v>
      </c>
      <c r="J2151" s="1668"/>
      <c r="K2151" s="1668"/>
      <c r="L2151" s="1669"/>
    </row>
    <row r="2152" spans="1:12" s="692" customFormat="1" ht="16.5" hidden="1">
      <c r="A2152" s="1665"/>
      <c r="B2152" s="1666"/>
      <c r="C2152" s="688"/>
      <c r="D2152" s="1667"/>
      <c r="E2152" s="1671">
        <v>3.5</v>
      </c>
      <c r="F2152" s="1671">
        <v>4</v>
      </c>
      <c r="G2152" s="1672">
        <v>0.15</v>
      </c>
      <c r="H2152" s="1671">
        <f t="shared" si="284"/>
        <v>0</v>
      </c>
      <c r="I2152" s="1671" t="s">
        <v>49</v>
      </c>
      <c r="J2152" s="1668"/>
      <c r="K2152" s="1668"/>
      <c r="L2152" s="1669"/>
    </row>
    <row r="2153" spans="1:12" s="692" customFormat="1" ht="16.5" hidden="1">
      <c r="A2153" s="1665"/>
      <c r="B2153" s="1666"/>
      <c r="C2153" s="688"/>
      <c r="D2153" s="1667"/>
      <c r="E2153" s="1671">
        <v>3.5</v>
      </c>
      <c r="F2153" s="1671">
        <v>4</v>
      </c>
      <c r="G2153" s="1672">
        <v>0.15</v>
      </c>
      <c r="H2153" s="1671">
        <f t="shared" si="284"/>
        <v>0</v>
      </c>
      <c r="I2153" s="1671" t="s">
        <v>49</v>
      </c>
      <c r="J2153" s="1668"/>
      <c r="K2153" s="1668"/>
      <c r="L2153" s="1669"/>
    </row>
    <row r="2154" spans="1:12" s="692" customFormat="1" ht="16.5" hidden="1">
      <c r="A2154" s="1665"/>
      <c r="B2154" s="1666"/>
      <c r="C2154" s="688"/>
      <c r="D2154" s="1667"/>
      <c r="E2154" s="1671"/>
      <c r="F2154" s="1671"/>
      <c r="G2154" s="1669" t="s">
        <v>928</v>
      </c>
      <c r="H2154" s="1673">
        <f>SUM(H2148:H2153)</f>
        <v>0</v>
      </c>
      <c r="I2154" s="1669" t="s">
        <v>49</v>
      </c>
      <c r="J2154" s="1668"/>
      <c r="K2154" s="1668"/>
      <c r="L2154" s="1669"/>
    </row>
    <row r="2155" spans="1:12" s="692" customFormat="1" ht="16.5" hidden="1">
      <c r="A2155" s="1665"/>
      <c r="B2155" s="1666"/>
      <c r="C2155" s="688"/>
      <c r="D2155" s="1667"/>
      <c r="E2155" s="1671">
        <f>D194+F2155</f>
        <v>0.25</v>
      </c>
      <c r="F2155" s="1671">
        <f>F2140</f>
        <v>0.25</v>
      </c>
      <c r="G2155" s="1672"/>
      <c r="H2155" s="1671">
        <f>ROUND(D2155*E2155*F2155,2)</f>
        <v>0</v>
      </c>
      <c r="I2155" s="1671" t="s">
        <v>92</v>
      </c>
      <c r="J2155" s="1668"/>
      <c r="K2155" s="1668"/>
      <c r="L2155" s="1669"/>
    </row>
    <row r="2156" spans="1:12" s="692" customFormat="1" ht="16.5" hidden="1">
      <c r="A2156" s="1665"/>
      <c r="B2156" s="1666"/>
      <c r="C2156" s="688"/>
      <c r="D2156" s="1667"/>
      <c r="E2156" s="1671">
        <f>D213-F2156</f>
        <v>-0.25</v>
      </c>
      <c r="F2156" s="1671">
        <f>F2155</f>
        <v>0.25</v>
      </c>
      <c r="G2156" s="1672"/>
      <c r="H2156" s="1671">
        <f t="shared" ref="H2156:H2160" si="285">ROUND(D2156*E2156*F2156,2)</f>
        <v>0</v>
      </c>
      <c r="I2156" s="1671" t="s">
        <v>92</v>
      </c>
      <c r="J2156" s="1668"/>
      <c r="K2156" s="1668"/>
      <c r="L2156" s="1669"/>
    </row>
    <row r="2157" spans="1:12" s="692" customFormat="1" ht="16.5" hidden="1">
      <c r="A2157" s="1665"/>
      <c r="B2157" s="1666"/>
      <c r="C2157" s="688"/>
      <c r="D2157" s="1667"/>
      <c r="E2157" s="1671">
        <f>D214-F2157</f>
        <v>-0.25</v>
      </c>
      <c r="F2157" s="1671">
        <f>F2156</f>
        <v>0.25</v>
      </c>
      <c r="G2157" s="1672"/>
      <c r="H2157" s="1671">
        <f t="shared" si="285"/>
        <v>0</v>
      </c>
      <c r="I2157" s="1671" t="s">
        <v>92</v>
      </c>
      <c r="J2157" s="1668"/>
      <c r="K2157" s="1668"/>
      <c r="L2157" s="1669"/>
    </row>
    <row r="2158" spans="1:12" s="692" customFormat="1" ht="16.5" hidden="1">
      <c r="A2158" s="1665"/>
      <c r="B2158" s="1666"/>
      <c r="C2158" s="688"/>
      <c r="D2158" s="1667"/>
      <c r="E2158" s="1671">
        <v>3.5</v>
      </c>
      <c r="F2158" s="1671">
        <v>4</v>
      </c>
      <c r="G2158" s="1672"/>
      <c r="H2158" s="1671">
        <f t="shared" si="285"/>
        <v>0</v>
      </c>
      <c r="I2158" s="1671" t="s">
        <v>92</v>
      </c>
      <c r="J2158" s="1668"/>
      <c r="K2158" s="1668"/>
      <c r="L2158" s="1669"/>
    </row>
    <row r="2159" spans="1:12" s="692" customFormat="1" ht="16.5" hidden="1">
      <c r="A2159" s="1665"/>
      <c r="B2159" s="1666"/>
      <c r="C2159" s="688"/>
      <c r="D2159" s="1667"/>
      <c r="E2159" s="1671">
        <v>3.5</v>
      </c>
      <c r="F2159" s="1671">
        <v>4</v>
      </c>
      <c r="G2159" s="1672"/>
      <c r="H2159" s="1671">
        <f t="shared" si="285"/>
        <v>0</v>
      </c>
      <c r="I2159" s="1671" t="s">
        <v>92</v>
      </c>
      <c r="J2159" s="1668"/>
      <c r="K2159" s="1668"/>
      <c r="L2159" s="1669"/>
    </row>
    <row r="2160" spans="1:12" s="692" customFormat="1" ht="16.5" hidden="1">
      <c r="A2160" s="1665"/>
      <c r="B2160" s="1666"/>
      <c r="C2160" s="688"/>
      <c r="D2160" s="1667"/>
      <c r="E2160" s="1671">
        <v>3.5</v>
      </c>
      <c r="F2160" s="1671">
        <v>4</v>
      </c>
      <c r="G2160" s="1672"/>
      <c r="H2160" s="1671">
        <f t="shared" si="285"/>
        <v>0</v>
      </c>
      <c r="I2160" s="1671" t="s">
        <v>92</v>
      </c>
      <c r="J2160" s="1668"/>
      <c r="K2160" s="1668"/>
      <c r="L2160" s="1669"/>
    </row>
    <row r="2161" spans="1:12" s="692" customFormat="1" ht="16.5" hidden="1">
      <c r="A2161" s="1665"/>
      <c r="B2161" s="1666"/>
      <c r="C2161" s="688"/>
      <c r="D2161" s="1667"/>
      <c r="E2161" s="1671"/>
      <c r="F2161" s="1671"/>
      <c r="G2161" s="1669" t="s">
        <v>928</v>
      </c>
      <c r="H2161" s="1673">
        <f>SUM(H2155:H2160)</f>
        <v>0</v>
      </c>
      <c r="I2161" s="1671" t="s">
        <v>92</v>
      </c>
      <c r="J2161" s="1669">
        <f>'Lead &amp; ANALYSIS'!L605</f>
        <v>2240</v>
      </c>
      <c r="K2161" s="1668" t="s">
        <v>1514</v>
      </c>
      <c r="L2161" s="1669">
        <f>ROUND(H2161*J2161,0)</f>
        <v>0</v>
      </c>
    </row>
    <row r="2162" spans="1:12" s="692" customFormat="1" ht="16.5" hidden="1">
      <c r="A2162" s="1665" t="s">
        <v>3415</v>
      </c>
      <c r="B2162" s="1666" t="s">
        <v>3416</v>
      </c>
      <c r="C2162" s="688"/>
      <c r="D2162" s="1667"/>
      <c r="E2162" s="688"/>
      <c r="F2162" s="688"/>
      <c r="G2162" s="1674"/>
      <c r="H2162" s="688"/>
      <c r="I2162" s="1668"/>
      <c r="J2162" s="1668"/>
      <c r="K2162" s="1668"/>
      <c r="L2162" s="1669"/>
    </row>
    <row r="2163" spans="1:12" s="692" customFormat="1" ht="16.5" hidden="1">
      <c r="A2163" s="1665"/>
      <c r="B2163" s="1666"/>
      <c r="C2163" s="688"/>
      <c r="D2163" s="1667"/>
      <c r="E2163" s="1671">
        <v>3.5</v>
      </c>
      <c r="F2163" s="1671">
        <v>1.2</v>
      </c>
      <c r="G2163" s="1672">
        <v>0.3</v>
      </c>
      <c r="H2163" s="1671">
        <f t="shared" ref="H2163:H2168" si="286">ROUND(D2163*E2163*F2163*G2163,2)</f>
        <v>0</v>
      </c>
      <c r="I2163" s="1671" t="s">
        <v>49</v>
      </c>
      <c r="J2163" s="1668"/>
      <c r="K2163" s="1668"/>
      <c r="L2163" s="1669"/>
    </row>
    <row r="2164" spans="1:12" s="692" customFormat="1" ht="16.5" hidden="1">
      <c r="A2164" s="1665"/>
      <c r="B2164" s="1666"/>
      <c r="C2164" s="688"/>
      <c r="D2164" s="1667"/>
      <c r="E2164" s="1671">
        <v>3.5</v>
      </c>
      <c r="F2164" s="1671">
        <f>F2163</f>
        <v>1.2</v>
      </c>
      <c r="G2164" s="1672">
        <f>G2163</f>
        <v>0.3</v>
      </c>
      <c r="H2164" s="1671">
        <f t="shared" si="286"/>
        <v>0</v>
      </c>
      <c r="I2164" s="1671" t="s">
        <v>49</v>
      </c>
      <c r="J2164" s="1668"/>
      <c r="K2164" s="1668"/>
      <c r="L2164" s="1669"/>
    </row>
    <row r="2165" spans="1:12" s="692" customFormat="1" ht="16.5" hidden="1">
      <c r="A2165" s="1665"/>
      <c r="B2165" s="1666"/>
      <c r="C2165" s="688"/>
      <c r="D2165" s="1667"/>
      <c r="E2165" s="1671">
        <v>3.5</v>
      </c>
      <c r="F2165" s="1671">
        <f>F2164</f>
        <v>1.2</v>
      </c>
      <c r="G2165" s="1672">
        <f>G2164</f>
        <v>0.3</v>
      </c>
      <c r="H2165" s="1671">
        <f t="shared" si="286"/>
        <v>0</v>
      </c>
      <c r="I2165" s="1671" t="s">
        <v>49</v>
      </c>
      <c r="J2165" s="1668"/>
      <c r="K2165" s="1668"/>
      <c r="L2165" s="1669"/>
    </row>
    <row r="2166" spans="1:12" s="692" customFormat="1" ht="16.5" hidden="1">
      <c r="A2166" s="1665"/>
      <c r="B2166" s="1666"/>
      <c r="C2166" s="688"/>
      <c r="D2166" s="1667"/>
      <c r="E2166" s="1671">
        <v>3.5</v>
      </c>
      <c r="F2166" s="1671">
        <v>4</v>
      </c>
      <c r="G2166" s="1672">
        <v>0.15</v>
      </c>
      <c r="H2166" s="1671">
        <f t="shared" si="286"/>
        <v>0</v>
      </c>
      <c r="I2166" s="1671" t="s">
        <v>49</v>
      </c>
      <c r="J2166" s="1668"/>
      <c r="K2166" s="1668"/>
      <c r="L2166" s="1669"/>
    </row>
    <row r="2167" spans="1:12" s="692" customFormat="1" ht="16.5" hidden="1">
      <c r="A2167" s="1665"/>
      <c r="B2167" s="1666"/>
      <c r="C2167" s="688"/>
      <c r="D2167" s="1667"/>
      <c r="E2167" s="1671">
        <v>3.5</v>
      </c>
      <c r="F2167" s="1671">
        <v>4</v>
      </c>
      <c r="G2167" s="1672">
        <v>0.15</v>
      </c>
      <c r="H2167" s="1671">
        <f t="shared" si="286"/>
        <v>0</v>
      </c>
      <c r="I2167" s="1671" t="s">
        <v>49</v>
      </c>
      <c r="J2167" s="1668"/>
      <c r="K2167" s="1668"/>
      <c r="L2167" s="1669"/>
    </row>
    <row r="2168" spans="1:12" s="692" customFormat="1" ht="16.5" hidden="1">
      <c r="A2168" s="1665"/>
      <c r="B2168" s="1666"/>
      <c r="C2168" s="688"/>
      <c r="D2168" s="1667"/>
      <c r="E2168" s="1671">
        <v>3.5</v>
      </c>
      <c r="F2168" s="1671">
        <v>4</v>
      </c>
      <c r="G2168" s="1672">
        <v>0.15</v>
      </c>
      <c r="H2168" s="1671">
        <f t="shared" si="286"/>
        <v>0</v>
      </c>
      <c r="I2168" s="1671" t="s">
        <v>49</v>
      </c>
      <c r="J2168" s="1668"/>
      <c r="K2168" s="1668"/>
      <c r="L2168" s="1669"/>
    </row>
    <row r="2169" spans="1:12" s="692" customFormat="1" ht="16.5" hidden="1">
      <c r="A2169" s="1665"/>
      <c r="B2169" s="1666"/>
      <c r="C2169" s="688"/>
      <c r="D2169" s="1667"/>
      <c r="E2169" s="1671"/>
      <c r="F2169" s="1671"/>
      <c r="G2169" s="1669" t="s">
        <v>928</v>
      </c>
      <c r="H2169" s="1673">
        <f>SUM(H2163:H2168)</f>
        <v>0</v>
      </c>
      <c r="I2169" s="1669" t="s">
        <v>49</v>
      </c>
      <c r="J2169" s="1668"/>
      <c r="K2169" s="1668"/>
      <c r="L2169" s="1669"/>
    </row>
    <row r="2170" spans="1:12" s="692" customFormat="1" ht="16.5" hidden="1">
      <c r="A2170" s="1665"/>
      <c r="B2170" s="1666"/>
      <c r="C2170" s="688"/>
      <c r="D2170" s="1667"/>
      <c r="E2170" s="1671">
        <f>D218+F2170</f>
        <v>0.25</v>
      </c>
      <c r="F2170" s="1671">
        <f>F2155</f>
        <v>0.25</v>
      </c>
      <c r="G2170" s="1672">
        <f>'DRAWING CC'!GI143</f>
        <v>0</v>
      </c>
      <c r="H2170" s="1671">
        <f t="shared" ref="H2170:H2175" si="287">ROUND(D2170*E2170*F2170*G2170,2)</f>
        <v>0</v>
      </c>
      <c r="I2170" s="1671" t="s">
        <v>49</v>
      </c>
      <c r="J2170" s="1668"/>
      <c r="K2170" s="1668"/>
      <c r="L2170" s="1669"/>
    </row>
    <row r="2171" spans="1:12" s="692" customFormat="1" ht="16.5" hidden="1">
      <c r="A2171" s="1665"/>
      <c r="B2171" s="1666"/>
      <c r="C2171" s="688"/>
      <c r="D2171" s="1667"/>
      <c r="E2171" s="1671">
        <f>D221-F2171</f>
        <v>-0.25</v>
      </c>
      <c r="F2171" s="1671">
        <f>F2170</f>
        <v>0.25</v>
      </c>
      <c r="G2171" s="1672">
        <f>G2170</f>
        <v>0</v>
      </c>
      <c r="H2171" s="1671">
        <f t="shared" si="287"/>
        <v>0</v>
      </c>
      <c r="I2171" s="1671" t="s">
        <v>49</v>
      </c>
      <c r="J2171" s="1668"/>
      <c r="K2171" s="1668"/>
      <c r="L2171" s="1669"/>
    </row>
    <row r="2172" spans="1:12" s="692" customFormat="1" ht="16.5" hidden="1">
      <c r="A2172" s="1665"/>
      <c r="B2172" s="1666"/>
      <c r="C2172" s="688"/>
      <c r="D2172" s="1667"/>
      <c r="E2172" s="1671">
        <f>D222-F2172</f>
        <v>-0.25</v>
      </c>
      <c r="F2172" s="1671">
        <f>F2171</f>
        <v>0.25</v>
      </c>
      <c r="G2172" s="1672">
        <f>G2171</f>
        <v>0</v>
      </c>
      <c r="H2172" s="1671">
        <f t="shared" si="287"/>
        <v>0</v>
      </c>
      <c r="I2172" s="1671" t="s">
        <v>49</v>
      </c>
      <c r="J2172" s="1668"/>
      <c r="K2172" s="1668"/>
      <c r="L2172" s="1669"/>
    </row>
    <row r="2173" spans="1:12" s="692" customFormat="1" ht="16.5" hidden="1">
      <c r="A2173" s="1665"/>
      <c r="B2173" s="1666"/>
      <c r="C2173" s="688"/>
      <c r="D2173" s="1667"/>
      <c r="E2173" s="1671">
        <v>3.5</v>
      </c>
      <c r="F2173" s="1671">
        <v>4</v>
      </c>
      <c r="G2173" s="1672">
        <v>0.15</v>
      </c>
      <c r="H2173" s="1671">
        <f t="shared" si="287"/>
        <v>0</v>
      </c>
      <c r="I2173" s="1671" t="s">
        <v>49</v>
      </c>
      <c r="J2173" s="1668"/>
      <c r="K2173" s="1668"/>
      <c r="L2173" s="1669"/>
    </row>
    <row r="2174" spans="1:12" s="692" customFormat="1" ht="16.5" hidden="1">
      <c r="A2174" s="1665"/>
      <c r="B2174" s="1666"/>
      <c r="C2174" s="688"/>
      <c r="D2174" s="1667"/>
      <c r="E2174" s="1671">
        <v>3.5</v>
      </c>
      <c r="F2174" s="1671">
        <v>4</v>
      </c>
      <c r="G2174" s="1672">
        <v>0.15</v>
      </c>
      <c r="H2174" s="1671">
        <f t="shared" si="287"/>
        <v>0</v>
      </c>
      <c r="I2174" s="1671" t="s">
        <v>49</v>
      </c>
      <c r="J2174" s="1668"/>
      <c r="K2174" s="1668"/>
      <c r="L2174" s="1669"/>
    </row>
    <row r="2175" spans="1:12" s="692" customFormat="1" ht="16.5" hidden="1">
      <c r="A2175" s="1665"/>
      <c r="B2175" s="1666"/>
      <c r="C2175" s="688"/>
      <c r="D2175" s="1667"/>
      <c r="E2175" s="1671">
        <v>3.5</v>
      </c>
      <c r="F2175" s="1671">
        <v>4</v>
      </c>
      <c r="G2175" s="1672">
        <v>0.15</v>
      </c>
      <c r="H2175" s="1671">
        <f t="shared" si="287"/>
        <v>0</v>
      </c>
      <c r="I2175" s="1671" t="s">
        <v>49</v>
      </c>
      <c r="J2175" s="1668"/>
      <c r="K2175" s="1668"/>
      <c r="L2175" s="1669"/>
    </row>
    <row r="2176" spans="1:12" s="692" customFormat="1" ht="16.5" hidden="1">
      <c r="A2176" s="1665"/>
      <c r="B2176" s="1666"/>
      <c r="C2176" s="688"/>
      <c r="D2176" s="1667"/>
      <c r="E2176" s="1671"/>
      <c r="F2176" s="1671"/>
      <c r="G2176" s="1669" t="s">
        <v>928</v>
      </c>
      <c r="H2176" s="1673">
        <f>SUM(H2170:H2175)</f>
        <v>0</v>
      </c>
      <c r="I2176" s="1669" t="s">
        <v>49</v>
      </c>
      <c r="J2176" s="1669">
        <f>'Lead &amp; ANALYSIS'!L527</f>
        <v>15623.5</v>
      </c>
      <c r="K2176" s="1668" t="s">
        <v>1516</v>
      </c>
      <c r="L2176" s="1669">
        <f>ROUND(H2176*J2176,0)</f>
        <v>0</v>
      </c>
    </row>
    <row r="2177" spans="1:12" s="692" customFormat="1" ht="16.5" hidden="1">
      <c r="A2177" s="1665" t="s">
        <v>2977</v>
      </c>
      <c r="B2177" s="1666" t="s">
        <v>1929</v>
      </c>
      <c r="C2177" s="688"/>
      <c r="D2177" s="1667"/>
      <c r="E2177" s="688"/>
      <c r="F2177" s="688"/>
      <c r="G2177" s="1674"/>
      <c r="H2177" s="688"/>
      <c r="I2177" s="1668"/>
      <c r="J2177" s="1668"/>
      <c r="K2177" s="1668"/>
      <c r="L2177" s="1669"/>
    </row>
    <row r="2178" spans="1:12" s="692" customFormat="1" ht="16.5" hidden="1">
      <c r="A2178" s="1665"/>
      <c r="B2178" s="1666"/>
      <c r="C2178" s="688"/>
      <c r="D2178" s="1667"/>
      <c r="E2178" s="1671">
        <v>3.5</v>
      </c>
      <c r="F2178" s="1671">
        <v>1.2</v>
      </c>
      <c r="G2178" s="1672">
        <v>0.05</v>
      </c>
      <c r="H2178" s="1671">
        <f t="shared" ref="H2178:H2183" si="288">ROUND(D2178*E2178*F2178*G2178,2)</f>
        <v>0</v>
      </c>
      <c r="I2178" s="1671" t="s">
        <v>49</v>
      </c>
      <c r="J2178" s="1668"/>
      <c r="K2178" s="1668"/>
      <c r="L2178" s="1669"/>
    </row>
    <row r="2179" spans="1:12" s="692" customFormat="1" ht="16.5" hidden="1">
      <c r="A2179" s="1665"/>
      <c r="B2179" s="1666"/>
      <c r="C2179" s="688"/>
      <c r="D2179" s="1667"/>
      <c r="E2179" s="1671">
        <v>3.5</v>
      </c>
      <c r="F2179" s="1671">
        <f>F2178</f>
        <v>1.2</v>
      </c>
      <c r="G2179" s="1672">
        <f>G2178</f>
        <v>0.05</v>
      </c>
      <c r="H2179" s="1671">
        <f t="shared" si="288"/>
        <v>0</v>
      </c>
      <c r="I2179" s="1671" t="s">
        <v>49</v>
      </c>
      <c r="J2179" s="1668"/>
      <c r="K2179" s="1668"/>
      <c r="L2179" s="1669"/>
    </row>
    <row r="2180" spans="1:12" s="692" customFormat="1" ht="16.5" hidden="1">
      <c r="A2180" s="1665"/>
      <c r="B2180" s="1666"/>
      <c r="C2180" s="688"/>
      <c r="D2180" s="1667"/>
      <c r="E2180" s="1671">
        <v>3.5</v>
      </c>
      <c r="F2180" s="1671">
        <f>F2179</f>
        <v>1.2</v>
      </c>
      <c r="G2180" s="1672">
        <f>G2179</f>
        <v>0.05</v>
      </c>
      <c r="H2180" s="1671">
        <f t="shared" si="288"/>
        <v>0</v>
      </c>
      <c r="I2180" s="1671" t="s">
        <v>49</v>
      </c>
      <c r="J2180" s="1668"/>
      <c r="K2180" s="1668"/>
      <c r="L2180" s="1669"/>
    </row>
    <row r="2181" spans="1:12" s="692" customFormat="1" ht="16.5" hidden="1">
      <c r="A2181" s="1665"/>
      <c r="B2181" s="1666"/>
      <c r="C2181" s="688"/>
      <c r="D2181" s="1667"/>
      <c r="E2181" s="1671">
        <v>3.5</v>
      </c>
      <c r="F2181" s="1671">
        <v>4</v>
      </c>
      <c r="G2181" s="1672">
        <v>0.15</v>
      </c>
      <c r="H2181" s="1671">
        <f t="shared" si="288"/>
        <v>0</v>
      </c>
      <c r="I2181" s="1671" t="s">
        <v>49</v>
      </c>
      <c r="J2181" s="1668"/>
      <c r="K2181" s="1668"/>
      <c r="L2181" s="1669"/>
    </row>
    <row r="2182" spans="1:12" s="692" customFormat="1" ht="16.5" hidden="1">
      <c r="A2182" s="1665"/>
      <c r="B2182" s="1666"/>
      <c r="C2182" s="688"/>
      <c r="D2182" s="1667"/>
      <c r="E2182" s="1671">
        <v>3.5</v>
      </c>
      <c r="F2182" s="1671">
        <v>4</v>
      </c>
      <c r="G2182" s="1672">
        <v>0.15</v>
      </c>
      <c r="H2182" s="1671">
        <f t="shared" si="288"/>
        <v>0</v>
      </c>
      <c r="I2182" s="1671" t="s">
        <v>49</v>
      </c>
      <c r="J2182" s="1668"/>
      <c r="K2182" s="1668"/>
      <c r="L2182" s="1669"/>
    </row>
    <row r="2183" spans="1:12" s="692" customFormat="1" ht="16.5" hidden="1">
      <c r="A2183" s="1665"/>
      <c r="B2183" s="1666"/>
      <c r="C2183" s="688"/>
      <c r="D2183" s="1667"/>
      <c r="E2183" s="1671">
        <v>3.5</v>
      </c>
      <c r="F2183" s="1671">
        <v>4</v>
      </c>
      <c r="G2183" s="1672">
        <v>0.15</v>
      </c>
      <c r="H2183" s="1671">
        <f t="shared" si="288"/>
        <v>0</v>
      </c>
      <c r="I2183" s="1671" t="s">
        <v>49</v>
      </c>
      <c r="J2183" s="1668"/>
      <c r="K2183" s="1668"/>
      <c r="L2183" s="1669"/>
    </row>
    <row r="2184" spans="1:12" s="692" customFormat="1" ht="16.5" hidden="1">
      <c r="A2184" s="1665"/>
      <c r="B2184" s="1666"/>
      <c r="C2184" s="688"/>
      <c r="D2184" s="1667"/>
      <c r="E2184" s="1671"/>
      <c r="F2184" s="1671"/>
      <c r="G2184" s="1669" t="s">
        <v>928</v>
      </c>
      <c r="H2184" s="1673">
        <f>SUM(H2178:H2183)</f>
        <v>0</v>
      </c>
      <c r="I2184" s="1669" t="s">
        <v>49</v>
      </c>
      <c r="J2184" s="1668"/>
      <c r="K2184" s="1668"/>
      <c r="L2184" s="1669"/>
    </row>
    <row r="2185" spans="1:12" s="692" customFormat="1" ht="16.5" hidden="1">
      <c r="A2185" s="1665"/>
      <c r="B2185" s="1666"/>
      <c r="C2185" s="688"/>
      <c r="D2185" s="1667"/>
      <c r="E2185" s="1671">
        <f>D233+F2185</f>
        <v>0.25</v>
      </c>
      <c r="F2185" s="1671">
        <f>F2170</f>
        <v>0.25</v>
      </c>
      <c r="G2185" s="1672"/>
      <c r="H2185" s="1671">
        <f>ROUND(D2185*E2185*F2185,2)</f>
        <v>0</v>
      </c>
      <c r="I2185" s="1671" t="s">
        <v>92</v>
      </c>
      <c r="J2185" s="1668"/>
      <c r="K2185" s="1668"/>
      <c r="L2185" s="1669"/>
    </row>
    <row r="2186" spans="1:12" s="692" customFormat="1" ht="16.5" hidden="1">
      <c r="A2186" s="1665"/>
      <c r="B2186" s="1666"/>
      <c r="C2186" s="688"/>
      <c r="D2186" s="1667"/>
      <c r="E2186" s="1671">
        <f>D236-F2186</f>
        <v>-0.25</v>
      </c>
      <c r="F2186" s="1671">
        <f>F2185</f>
        <v>0.25</v>
      </c>
      <c r="G2186" s="1672"/>
      <c r="H2186" s="1671">
        <f t="shared" ref="H2186:H2190" si="289">ROUND(D2186*E2186*F2186,2)</f>
        <v>0</v>
      </c>
      <c r="I2186" s="1671" t="s">
        <v>92</v>
      </c>
      <c r="J2186" s="1668"/>
      <c r="K2186" s="1668"/>
      <c r="L2186" s="1669"/>
    </row>
    <row r="2187" spans="1:12" s="692" customFormat="1" ht="16.5" hidden="1">
      <c r="A2187" s="1665"/>
      <c r="B2187" s="1666"/>
      <c r="C2187" s="688"/>
      <c r="D2187" s="1667"/>
      <c r="E2187" s="1671">
        <f>D237-F2187</f>
        <v>-0.25</v>
      </c>
      <c r="F2187" s="1671">
        <f>F2186</f>
        <v>0.25</v>
      </c>
      <c r="G2187" s="1672"/>
      <c r="H2187" s="1671">
        <f t="shared" si="289"/>
        <v>0</v>
      </c>
      <c r="I2187" s="1671" t="s">
        <v>92</v>
      </c>
      <c r="J2187" s="1668"/>
      <c r="K2187" s="1668"/>
      <c r="L2187" s="1669"/>
    </row>
    <row r="2188" spans="1:12" s="692" customFormat="1" ht="16.5" hidden="1">
      <c r="A2188" s="1665"/>
      <c r="B2188" s="1666"/>
      <c r="C2188" s="688"/>
      <c r="D2188" s="1667"/>
      <c r="E2188" s="1671">
        <v>3.5</v>
      </c>
      <c r="F2188" s="1671">
        <v>4</v>
      </c>
      <c r="G2188" s="1672"/>
      <c r="H2188" s="1671">
        <f t="shared" si="289"/>
        <v>0</v>
      </c>
      <c r="I2188" s="1671" t="s">
        <v>92</v>
      </c>
      <c r="J2188" s="1668"/>
      <c r="K2188" s="1668"/>
      <c r="L2188" s="1669"/>
    </row>
    <row r="2189" spans="1:12" s="692" customFormat="1" ht="16.5" hidden="1">
      <c r="A2189" s="1665"/>
      <c r="B2189" s="1666"/>
      <c r="C2189" s="688"/>
      <c r="D2189" s="1667"/>
      <c r="E2189" s="1671">
        <v>3.5</v>
      </c>
      <c r="F2189" s="1671">
        <v>4</v>
      </c>
      <c r="G2189" s="1672"/>
      <c r="H2189" s="1671">
        <f t="shared" si="289"/>
        <v>0</v>
      </c>
      <c r="I2189" s="1671" t="s">
        <v>92</v>
      </c>
      <c r="J2189" s="1668"/>
      <c r="K2189" s="1668"/>
      <c r="L2189" s="1669"/>
    </row>
    <row r="2190" spans="1:12" s="692" customFormat="1" ht="16.5" hidden="1">
      <c r="A2190" s="1665"/>
      <c r="B2190" s="1666"/>
      <c r="C2190" s="688"/>
      <c r="D2190" s="1667"/>
      <c r="E2190" s="1671">
        <v>3.5</v>
      </c>
      <c r="F2190" s="1671">
        <v>4</v>
      </c>
      <c r="G2190" s="1672"/>
      <c r="H2190" s="1671">
        <f t="shared" si="289"/>
        <v>0</v>
      </c>
      <c r="I2190" s="1671" t="s">
        <v>92</v>
      </c>
      <c r="J2190" s="1668"/>
      <c r="K2190" s="1668"/>
      <c r="L2190" s="1669"/>
    </row>
    <row r="2191" spans="1:12" s="692" customFormat="1" ht="16.5" hidden="1">
      <c r="A2191" s="1665"/>
      <c r="B2191" s="1666"/>
      <c r="C2191" s="688"/>
      <c r="D2191" s="1667"/>
      <c r="E2191" s="1671"/>
      <c r="F2191" s="1671"/>
      <c r="G2191" s="1669" t="s">
        <v>928</v>
      </c>
      <c r="H2191" s="1673">
        <f>SUM(H2185:H2190)</f>
        <v>0</v>
      </c>
      <c r="I2191" s="1671" t="s">
        <v>92</v>
      </c>
      <c r="J2191" s="1669">
        <f>'Lead &amp; ANALYSIS'!L592</f>
        <v>1152.9000000000001</v>
      </c>
      <c r="K2191" s="1668" t="s">
        <v>1514</v>
      </c>
      <c r="L2191" s="1669">
        <f>ROUND(H2191*J2191,0)</f>
        <v>0</v>
      </c>
    </row>
    <row r="2192" spans="1:12" s="692" customFormat="1" ht="16.5" hidden="1">
      <c r="A2192" s="1665" t="s">
        <v>3417</v>
      </c>
      <c r="B2192" s="1666" t="s">
        <v>479</v>
      </c>
      <c r="C2192" s="688"/>
      <c r="D2192" s="1667"/>
      <c r="E2192" s="688"/>
      <c r="F2192" s="688"/>
      <c r="G2192" s="1674"/>
      <c r="H2192" s="688"/>
      <c r="I2192" s="1668"/>
      <c r="J2192" s="1668"/>
      <c r="K2192" s="1668"/>
      <c r="L2192" s="1669"/>
    </row>
    <row r="2193" spans="1:12" s="692" customFormat="1" ht="16.5" hidden="1">
      <c r="A2193" s="1665"/>
      <c r="B2193" s="1666"/>
      <c r="C2193" s="688"/>
      <c r="D2193" s="1667"/>
      <c r="E2193" s="1671">
        <v>3.5</v>
      </c>
      <c r="F2193" s="1671">
        <v>1.2</v>
      </c>
      <c r="G2193" s="1672">
        <v>0.3</v>
      </c>
      <c r="H2193" s="1671">
        <f t="shared" ref="H2193:H2198" si="290">ROUND(D2193*E2193*F2193*G2193,2)</f>
        <v>0</v>
      </c>
      <c r="I2193" s="1671" t="s">
        <v>49</v>
      </c>
      <c r="J2193" s="1668"/>
      <c r="K2193" s="1668"/>
      <c r="L2193" s="1669"/>
    </row>
    <row r="2194" spans="1:12" s="692" customFormat="1" ht="16.5" hidden="1">
      <c r="A2194" s="1665"/>
      <c r="B2194" s="1666"/>
      <c r="C2194" s="688"/>
      <c r="D2194" s="1667"/>
      <c r="E2194" s="1671">
        <v>3.5</v>
      </c>
      <c r="F2194" s="1671">
        <f>F2193</f>
        <v>1.2</v>
      </c>
      <c r="G2194" s="1672">
        <f>G2193</f>
        <v>0.3</v>
      </c>
      <c r="H2194" s="1671">
        <f t="shared" si="290"/>
        <v>0</v>
      </c>
      <c r="I2194" s="1671" t="s">
        <v>49</v>
      </c>
      <c r="J2194" s="1668"/>
      <c r="K2194" s="1668"/>
      <c r="L2194" s="1669"/>
    </row>
    <row r="2195" spans="1:12" s="692" customFormat="1" ht="16.5" hidden="1">
      <c r="A2195" s="1665"/>
      <c r="B2195" s="1666"/>
      <c r="C2195" s="688"/>
      <c r="D2195" s="1667"/>
      <c r="E2195" s="1671">
        <v>3.5</v>
      </c>
      <c r="F2195" s="1671">
        <f>F2194</f>
        <v>1.2</v>
      </c>
      <c r="G2195" s="1672">
        <f>G2194</f>
        <v>0.3</v>
      </c>
      <c r="H2195" s="1671">
        <f t="shared" si="290"/>
        <v>0</v>
      </c>
      <c r="I2195" s="1671" t="s">
        <v>49</v>
      </c>
      <c r="J2195" s="1668"/>
      <c r="K2195" s="1668"/>
      <c r="L2195" s="1669"/>
    </row>
    <row r="2196" spans="1:12" s="692" customFormat="1" ht="16.5" hidden="1">
      <c r="A2196" s="1665"/>
      <c r="B2196" s="1666"/>
      <c r="C2196" s="688"/>
      <c r="D2196" s="1667"/>
      <c r="E2196" s="1671">
        <v>3.5</v>
      </c>
      <c r="F2196" s="1671">
        <v>4</v>
      </c>
      <c r="G2196" s="1672">
        <v>0.15</v>
      </c>
      <c r="H2196" s="1671">
        <f t="shared" si="290"/>
        <v>0</v>
      </c>
      <c r="I2196" s="1671" t="s">
        <v>49</v>
      </c>
      <c r="J2196" s="1668"/>
      <c r="K2196" s="1668"/>
      <c r="L2196" s="1669"/>
    </row>
    <row r="2197" spans="1:12" s="692" customFormat="1" ht="16.5" hidden="1">
      <c r="A2197" s="1665"/>
      <c r="B2197" s="1666"/>
      <c r="C2197" s="688"/>
      <c r="D2197" s="1667"/>
      <c r="E2197" s="1671">
        <v>3.5</v>
      </c>
      <c r="F2197" s="1671">
        <v>4</v>
      </c>
      <c r="G2197" s="1672">
        <v>0.15</v>
      </c>
      <c r="H2197" s="1671">
        <f t="shared" si="290"/>
        <v>0</v>
      </c>
      <c r="I2197" s="1671" t="s">
        <v>49</v>
      </c>
      <c r="J2197" s="1668"/>
      <c r="K2197" s="1668"/>
      <c r="L2197" s="1669"/>
    </row>
    <row r="2198" spans="1:12" s="692" customFormat="1" ht="16.5" hidden="1">
      <c r="A2198" s="1665"/>
      <c r="B2198" s="1666"/>
      <c r="C2198" s="688"/>
      <c r="D2198" s="1667"/>
      <c r="E2198" s="1671">
        <v>3.5</v>
      </c>
      <c r="F2198" s="1671">
        <v>4</v>
      </c>
      <c r="G2198" s="1672">
        <v>0.15</v>
      </c>
      <c r="H2198" s="1671">
        <f t="shared" si="290"/>
        <v>0</v>
      </c>
      <c r="I2198" s="1671" t="s">
        <v>49</v>
      </c>
      <c r="J2198" s="1668"/>
      <c r="K2198" s="1668"/>
      <c r="L2198" s="1669"/>
    </row>
    <row r="2199" spans="1:12" s="692" customFormat="1" ht="16.5" hidden="1">
      <c r="A2199" s="1665"/>
      <c r="B2199" s="1666"/>
      <c r="C2199" s="688"/>
      <c r="D2199" s="1667"/>
      <c r="E2199" s="1671"/>
      <c r="F2199" s="1671"/>
      <c r="G2199" s="1669" t="s">
        <v>928</v>
      </c>
      <c r="H2199" s="1673">
        <f>SUM(H2193:H2198)</f>
        <v>0</v>
      </c>
      <c r="I2199" s="1669" t="s">
        <v>49</v>
      </c>
      <c r="J2199" s="1668"/>
      <c r="K2199" s="1668"/>
      <c r="L2199" s="1669"/>
    </row>
    <row r="2200" spans="1:12" s="692" customFormat="1" ht="16.5" hidden="1">
      <c r="A2200" s="1665"/>
      <c r="B2200" s="1666"/>
      <c r="C2200" s="688"/>
      <c r="D2200" s="1667"/>
      <c r="E2200" s="1671">
        <f>D218+F2200</f>
        <v>0.25</v>
      </c>
      <c r="F2200" s="1671">
        <f>F2155</f>
        <v>0.25</v>
      </c>
      <c r="G2200" s="1672">
        <f>'DRAWING CC'!GI143</f>
        <v>0</v>
      </c>
      <c r="H2200" s="1671">
        <f t="shared" ref="H2200:H2205" si="291">ROUND(D2200*E2200*F2200*G2200,2)</f>
        <v>0</v>
      </c>
      <c r="I2200" s="1671" t="s">
        <v>49</v>
      </c>
      <c r="J2200" s="1668"/>
      <c r="K2200" s="1668"/>
      <c r="L2200" s="1669"/>
    </row>
    <row r="2201" spans="1:12" s="692" customFormat="1" ht="16.5" hidden="1">
      <c r="A2201" s="1665"/>
      <c r="B2201" s="1666"/>
      <c r="C2201" s="688"/>
      <c r="D2201" s="1667"/>
      <c r="E2201" s="1671">
        <f>D221-F2201</f>
        <v>-0.25</v>
      </c>
      <c r="F2201" s="1671">
        <f>F2200</f>
        <v>0.25</v>
      </c>
      <c r="G2201" s="1672">
        <f>G2200</f>
        <v>0</v>
      </c>
      <c r="H2201" s="1671">
        <f t="shared" si="291"/>
        <v>0</v>
      </c>
      <c r="I2201" s="1671" t="s">
        <v>49</v>
      </c>
      <c r="J2201" s="1668"/>
      <c r="K2201" s="1668"/>
      <c r="L2201" s="1669"/>
    </row>
    <row r="2202" spans="1:12" s="692" customFormat="1" ht="16.5" hidden="1">
      <c r="A2202" s="1665"/>
      <c r="B2202" s="1666"/>
      <c r="C2202" s="688"/>
      <c r="D2202" s="1667"/>
      <c r="E2202" s="1671">
        <f>D222-F2202</f>
        <v>-0.25</v>
      </c>
      <c r="F2202" s="1671">
        <f>F2201</f>
        <v>0.25</v>
      </c>
      <c r="G2202" s="1672">
        <f>G2201</f>
        <v>0</v>
      </c>
      <c r="H2202" s="1671">
        <f t="shared" si="291"/>
        <v>0</v>
      </c>
      <c r="I2202" s="1671" t="s">
        <v>49</v>
      </c>
      <c r="J2202" s="1668"/>
      <c r="K2202" s="1668"/>
      <c r="L2202" s="1669"/>
    </row>
    <row r="2203" spans="1:12" s="692" customFormat="1" ht="16.5" hidden="1">
      <c r="A2203" s="1665"/>
      <c r="B2203" s="1666"/>
      <c r="C2203" s="688"/>
      <c r="D2203" s="1667"/>
      <c r="E2203" s="1671">
        <v>3.5</v>
      </c>
      <c r="F2203" s="1671">
        <v>4</v>
      </c>
      <c r="G2203" s="1672">
        <v>0.15</v>
      </c>
      <c r="H2203" s="1671">
        <f t="shared" si="291"/>
        <v>0</v>
      </c>
      <c r="I2203" s="1671" t="s">
        <v>49</v>
      </c>
      <c r="J2203" s="1668"/>
      <c r="K2203" s="1668"/>
      <c r="L2203" s="1669"/>
    </row>
    <row r="2204" spans="1:12" s="692" customFormat="1" ht="16.5" hidden="1">
      <c r="A2204" s="1665"/>
      <c r="B2204" s="1666"/>
      <c r="C2204" s="688"/>
      <c r="D2204" s="1667"/>
      <c r="E2204" s="1671">
        <v>3.5</v>
      </c>
      <c r="F2204" s="1671">
        <v>4</v>
      </c>
      <c r="G2204" s="1672">
        <v>0.15</v>
      </c>
      <c r="H2204" s="1671">
        <f t="shared" si="291"/>
        <v>0</v>
      </c>
      <c r="I2204" s="1671" t="s">
        <v>49</v>
      </c>
      <c r="J2204" s="1668"/>
      <c r="K2204" s="1668"/>
      <c r="L2204" s="1669"/>
    </row>
    <row r="2205" spans="1:12" s="692" customFormat="1" ht="16.5" hidden="1">
      <c r="A2205" s="1665"/>
      <c r="B2205" s="1666"/>
      <c r="C2205" s="688"/>
      <c r="D2205" s="1667"/>
      <c r="E2205" s="1671">
        <v>3.5</v>
      </c>
      <c r="F2205" s="1671">
        <v>4</v>
      </c>
      <c r="G2205" s="1672">
        <v>0.15</v>
      </c>
      <c r="H2205" s="1671">
        <f t="shared" si="291"/>
        <v>0</v>
      </c>
      <c r="I2205" s="1671" t="s">
        <v>49</v>
      </c>
      <c r="J2205" s="1668"/>
      <c r="K2205" s="1668"/>
      <c r="L2205" s="1669"/>
    </row>
    <row r="2206" spans="1:12" s="692" customFormat="1" ht="16.5" hidden="1">
      <c r="A2206" s="1665"/>
      <c r="B2206" s="1666"/>
      <c r="C2206" s="688"/>
      <c r="D2206" s="1667"/>
      <c r="E2206" s="1671"/>
      <c r="F2206" s="1671"/>
      <c r="G2206" s="1669" t="s">
        <v>928</v>
      </c>
      <c r="H2206" s="1673">
        <f>SUM(H2200:H2205)</f>
        <v>0</v>
      </c>
      <c r="I2206" s="1669" t="s">
        <v>49</v>
      </c>
      <c r="J2206" s="1669">
        <f>'Lead &amp; ANALYSIS'!L566</f>
        <v>16283.3</v>
      </c>
      <c r="K2206" s="1668" t="s">
        <v>1516</v>
      </c>
      <c r="L2206" s="1669">
        <f>ROUND(H2206*J2206,0)</f>
        <v>0</v>
      </c>
    </row>
    <row r="2207" spans="1:12" s="692" customFormat="1" ht="16.5" hidden="1">
      <c r="A2207" s="1665" t="s">
        <v>3418</v>
      </c>
      <c r="B2207" s="1666" t="s">
        <v>1935</v>
      </c>
      <c r="C2207" s="688"/>
      <c r="D2207" s="1667"/>
      <c r="E2207" s="688"/>
      <c r="F2207" s="688"/>
      <c r="G2207" s="1674"/>
      <c r="H2207" s="688"/>
      <c r="I2207" s="1668"/>
      <c r="J2207" s="1668"/>
      <c r="K2207" s="1668"/>
      <c r="L2207" s="1669"/>
    </row>
    <row r="2208" spans="1:12" s="692" customFormat="1" ht="16.5" hidden="1">
      <c r="A2208" s="1665"/>
      <c r="B2208" s="1666"/>
      <c r="C2208" s="688"/>
      <c r="D2208" s="1667"/>
      <c r="E2208" s="1671">
        <v>3.5</v>
      </c>
      <c r="F2208" s="1671">
        <v>1.2</v>
      </c>
      <c r="G2208" s="1672">
        <v>0.3</v>
      </c>
      <c r="H2208" s="1671">
        <f t="shared" ref="H2208:H2213" si="292">ROUND(D2208*E2208*F2208*G2208,2)</f>
        <v>0</v>
      </c>
      <c r="I2208" s="1671" t="s">
        <v>49</v>
      </c>
      <c r="J2208" s="1668"/>
      <c r="K2208" s="1668"/>
      <c r="L2208" s="1669"/>
    </row>
    <row r="2209" spans="1:12" s="692" customFormat="1" ht="16.5" hidden="1">
      <c r="A2209" s="1665"/>
      <c r="B2209" s="1666"/>
      <c r="C2209" s="688"/>
      <c r="D2209" s="1667"/>
      <c r="E2209" s="1671">
        <v>3.5</v>
      </c>
      <c r="F2209" s="1671">
        <f>F2208</f>
        <v>1.2</v>
      </c>
      <c r="G2209" s="1672">
        <f>G2208</f>
        <v>0.3</v>
      </c>
      <c r="H2209" s="1671">
        <f t="shared" si="292"/>
        <v>0</v>
      </c>
      <c r="I2209" s="1671" t="s">
        <v>49</v>
      </c>
      <c r="J2209" s="1668"/>
      <c r="K2209" s="1668"/>
      <c r="L2209" s="1669"/>
    </row>
    <row r="2210" spans="1:12" s="692" customFormat="1" ht="16.5" hidden="1">
      <c r="A2210" s="1665"/>
      <c r="B2210" s="1666"/>
      <c r="C2210" s="688"/>
      <c r="D2210" s="1667"/>
      <c r="E2210" s="1671">
        <v>3.5</v>
      </c>
      <c r="F2210" s="1671">
        <f>F2209</f>
        <v>1.2</v>
      </c>
      <c r="G2210" s="1672">
        <f>G2209</f>
        <v>0.3</v>
      </c>
      <c r="H2210" s="1671">
        <f t="shared" si="292"/>
        <v>0</v>
      </c>
      <c r="I2210" s="1671" t="s">
        <v>49</v>
      </c>
      <c r="J2210" s="1668"/>
      <c r="K2210" s="1668"/>
      <c r="L2210" s="1669"/>
    </row>
    <row r="2211" spans="1:12" s="692" customFormat="1" ht="16.5" hidden="1">
      <c r="A2211" s="1665"/>
      <c r="B2211" s="1666"/>
      <c r="C2211" s="688"/>
      <c r="D2211" s="1667"/>
      <c r="E2211" s="1671">
        <v>3.5</v>
      </c>
      <c r="F2211" s="1671">
        <v>4</v>
      </c>
      <c r="G2211" s="1672">
        <v>0.15</v>
      </c>
      <c r="H2211" s="1671">
        <f t="shared" si="292"/>
        <v>0</v>
      </c>
      <c r="I2211" s="1671" t="s">
        <v>49</v>
      </c>
      <c r="J2211" s="1668"/>
      <c r="K2211" s="1668"/>
      <c r="L2211" s="1669"/>
    </row>
    <row r="2212" spans="1:12" s="692" customFormat="1" ht="16.5" hidden="1">
      <c r="A2212" s="1665"/>
      <c r="B2212" s="1666"/>
      <c r="C2212" s="688"/>
      <c r="D2212" s="1667"/>
      <c r="E2212" s="1671">
        <v>3.5</v>
      </c>
      <c r="F2212" s="1671">
        <v>4</v>
      </c>
      <c r="G2212" s="1672">
        <v>0.15</v>
      </c>
      <c r="H2212" s="1671">
        <f t="shared" si="292"/>
        <v>0</v>
      </c>
      <c r="I2212" s="1671" t="s">
        <v>49</v>
      </c>
      <c r="J2212" s="1668"/>
      <c r="K2212" s="1668"/>
      <c r="L2212" s="1669"/>
    </row>
    <row r="2213" spans="1:12" s="692" customFormat="1" ht="16.5" hidden="1">
      <c r="A2213" s="1665"/>
      <c r="B2213" s="1666"/>
      <c r="C2213" s="688"/>
      <c r="D2213" s="1667"/>
      <c r="E2213" s="1671">
        <v>3.5</v>
      </c>
      <c r="F2213" s="1671">
        <v>4</v>
      </c>
      <c r="G2213" s="1672">
        <v>0.15</v>
      </c>
      <c r="H2213" s="1671">
        <f t="shared" si="292"/>
        <v>0</v>
      </c>
      <c r="I2213" s="1671" t="s">
        <v>49</v>
      </c>
      <c r="J2213" s="1668"/>
      <c r="K2213" s="1668"/>
      <c r="L2213" s="1669"/>
    </row>
    <row r="2214" spans="1:12" s="692" customFormat="1" ht="16.5" hidden="1">
      <c r="A2214" s="1665"/>
      <c r="B2214" s="1666"/>
      <c r="C2214" s="688"/>
      <c r="D2214" s="1667"/>
      <c r="E2214" s="1671"/>
      <c r="F2214" s="1671"/>
      <c r="G2214" s="1669" t="s">
        <v>928</v>
      </c>
      <c r="H2214" s="1673">
        <f>SUM(H2208:H2213)</f>
        <v>0</v>
      </c>
      <c r="I2214" s="1669" t="s">
        <v>49</v>
      </c>
      <c r="J2214" s="1668"/>
      <c r="K2214" s="1668"/>
      <c r="L2214" s="1669"/>
    </row>
    <row r="2215" spans="1:12" s="692" customFormat="1" ht="16.5" hidden="1">
      <c r="A2215" s="1665"/>
      <c r="B2215" s="1666"/>
      <c r="C2215" s="688"/>
      <c r="D2215" s="1667"/>
      <c r="E2215" s="1671">
        <f>D188+F2215</f>
        <v>0.25</v>
      </c>
      <c r="F2215" s="1671">
        <f>F2200</f>
        <v>0.25</v>
      </c>
      <c r="G2215" s="1672">
        <f>'DRAWING CC'!GI129</f>
        <v>0</v>
      </c>
      <c r="H2215" s="1671">
        <f t="shared" ref="H2215:H2220" si="293">ROUND(D2215*E2215*F2215*G2215,2)</f>
        <v>0</v>
      </c>
      <c r="I2215" s="1671" t="s">
        <v>49</v>
      </c>
      <c r="J2215" s="1668"/>
      <c r="K2215" s="1668"/>
      <c r="L2215" s="1669"/>
    </row>
    <row r="2216" spans="1:12" s="692" customFormat="1" ht="16.5" hidden="1">
      <c r="A2216" s="1665"/>
      <c r="B2216" s="1666"/>
      <c r="C2216" s="688"/>
      <c r="D2216" s="1667"/>
      <c r="E2216" s="1671">
        <f>D191-F2216</f>
        <v>-0.25</v>
      </c>
      <c r="F2216" s="1671">
        <f>F2215</f>
        <v>0.25</v>
      </c>
      <c r="G2216" s="1672">
        <f>G2215</f>
        <v>0</v>
      </c>
      <c r="H2216" s="1671">
        <f t="shared" si="293"/>
        <v>0</v>
      </c>
      <c r="I2216" s="1671" t="s">
        <v>49</v>
      </c>
      <c r="J2216" s="1668"/>
      <c r="K2216" s="1668"/>
      <c r="L2216" s="1669"/>
    </row>
    <row r="2217" spans="1:12" s="692" customFormat="1" ht="16.5" hidden="1">
      <c r="A2217" s="1665"/>
      <c r="B2217" s="1666"/>
      <c r="C2217" s="688"/>
      <c r="D2217" s="1667"/>
      <c r="E2217" s="1671">
        <f>D192-F2217</f>
        <v>-0.25</v>
      </c>
      <c r="F2217" s="1671">
        <f>F2216</f>
        <v>0.25</v>
      </c>
      <c r="G2217" s="1672">
        <f>G2216</f>
        <v>0</v>
      </c>
      <c r="H2217" s="1671">
        <f t="shared" si="293"/>
        <v>0</v>
      </c>
      <c r="I2217" s="1671" t="s">
        <v>49</v>
      </c>
      <c r="J2217" s="1668"/>
      <c r="K2217" s="1668"/>
      <c r="L2217" s="1669"/>
    </row>
    <row r="2218" spans="1:12" s="692" customFormat="1" ht="16.5" hidden="1">
      <c r="A2218" s="1665"/>
      <c r="B2218" s="1666"/>
      <c r="C2218" s="688"/>
      <c r="D2218" s="1667"/>
      <c r="E2218" s="1671">
        <v>3.5</v>
      </c>
      <c r="F2218" s="1671">
        <v>4</v>
      </c>
      <c r="G2218" s="1672">
        <v>0.15</v>
      </c>
      <c r="H2218" s="1671">
        <f t="shared" si="293"/>
        <v>0</v>
      </c>
      <c r="I2218" s="1671" t="s">
        <v>49</v>
      </c>
      <c r="J2218" s="1668"/>
      <c r="K2218" s="1668"/>
      <c r="L2218" s="1669"/>
    </row>
    <row r="2219" spans="1:12" s="692" customFormat="1" ht="16.5" hidden="1">
      <c r="A2219" s="1665"/>
      <c r="B2219" s="1666"/>
      <c r="C2219" s="688"/>
      <c r="D2219" s="1667"/>
      <c r="E2219" s="1671">
        <v>3.5</v>
      </c>
      <c r="F2219" s="1671">
        <v>4</v>
      </c>
      <c r="G2219" s="1672">
        <v>0.15</v>
      </c>
      <c r="H2219" s="1671">
        <f t="shared" si="293"/>
        <v>0</v>
      </c>
      <c r="I2219" s="1671" t="s">
        <v>49</v>
      </c>
      <c r="J2219" s="1668"/>
      <c r="K2219" s="1668"/>
      <c r="L2219" s="1669"/>
    </row>
    <row r="2220" spans="1:12" s="692" customFormat="1" ht="16.5" hidden="1">
      <c r="A2220" s="1665"/>
      <c r="B2220" s="1666"/>
      <c r="C2220" s="688"/>
      <c r="D2220" s="1667"/>
      <c r="E2220" s="1671">
        <v>3.5</v>
      </c>
      <c r="F2220" s="1671">
        <v>4</v>
      </c>
      <c r="G2220" s="1672">
        <v>0.15</v>
      </c>
      <c r="H2220" s="1671">
        <f t="shared" si="293"/>
        <v>0</v>
      </c>
      <c r="I2220" s="1671" t="s">
        <v>49</v>
      </c>
      <c r="J2220" s="1668"/>
      <c r="K2220" s="1668"/>
      <c r="L2220" s="1669"/>
    </row>
    <row r="2221" spans="1:12" s="692" customFormat="1" ht="16.5" hidden="1">
      <c r="A2221" s="1665"/>
      <c r="B2221" s="1666"/>
      <c r="C2221" s="688"/>
      <c r="D2221" s="1667"/>
      <c r="E2221" s="1671"/>
      <c r="F2221" s="1671"/>
      <c r="G2221" s="1669" t="s">
        <v>928</v>
      </c>
      <c r="H2221" s="1673">
        <f>SUM(H2215:H2220)</f>
        <v>0</v>
      </c>
      <c r="I2221" s="1669" t="s">
        <v>49</v>
      </c>
      <c r="J2221" s="1669">
        <f>'Lead &amp; ANALYSIS'!L520</f>
        <v>8580.2000000000007</v>
      </c>
      <c r="K2221" s="1668" t="s">
        <v>1516</v>
      </c>
      <c r="L2221" s="1669">
        <f>ROUND(H2221*J2221,0)</f>
        <v>0</v>
      </c>
    </row>
    <row r="2222" spans="1:12" s="692" customFormat="1" ht="16.5" hidden="1">
      <c r="A2222" s="1665" t="s">
        <v>3419</v>
      </c>
      <c r="B2222" s="1666" t="s">
        <v>1937</v>
      </c>
      <c r="C2222" s="688"/>
      <c r="D2222" s="1667"/>
      <c r="E2222" s="688"/>
      <c r="F2222" s="688"/>
      <c r="G2222" s="1674"/>
      <c r="H2222" s="688"/>
      <c r="I2222" s="1668"/>
      <c r="J2222" s="1668"/>
      <c r="K2222" s="1668"/>
      <c r="L2222" s="1669"/>
    </row>
    <row r="2223" spans="1:12" s="692" customFormat="1" ht="16.5" hidden="1">
      <c r="A2223" s="1665"/>
      <c r="B2223" s="1666"/>
      <c r="C2223" s="688"/>
      <c r="D2223" s="1667"/>
      <c r="E2223" s="1671">
        <v>3.5</v>
      </c>
      <c r="F2223" s="1671">
        <v>1.2</v>
      </c>
      <c r="G2223" s="1672">
        <v>0.3</v>
      </c>
      <c r="H2223" s="1671">
        <f t="shared" ref="H2223:H2228" si="294">ROUND(D2223*E2223*F2223*G2223,2)</f>
        <v>0</v>
      </c>
      <c r="I2223" s="1671" t="s">
        <v>49</v>
      </c>
      <c r="J2223" s="1668"/>
      <c r="K2223" s="1668"/>
      <c r="L2223" s="1669"/>
    </row>
    <row r="2224" spans="1:12" s="692" customFormat="1" ht="16.5" hidden="1">
      <c r="A2224" s="1665"/>
      <c r="B2224" s="1666"/>
      <c r="C2224" s="688"/>
      <c r="D2224" s="1667"/>
      <c r="E2224" s="1671">
        <v>3.5</v>
      </c>
      <c r="F2224" s="1671">
        <f>F2223</f>
        <v>1.2</v>
      </c>
      <c r="G2224" s="1672">
        <f>G2223</f>
        <v>0.3</v>
      </c>
      <c r="H2224" s="1671">
        <f t="shared" si="294"/>
        <v>0</v>
      </c>
      <c r="I2224" s="1671" t="s">
        <v>49</v>
      </c>
      <c r="J2224" s="1668"/>
      <c r="K2224" s="1668"/>
      <c r="L2224" s="1669"/>
    </row>
    <row r="2225" spans="1:12" s="692" customFormat="1" ht="16.5" hidden="1">
      <c r="A2225" s="1665"/>
      <c r="B2225" s="1666"/>
      <c r="C2225" s="688"/>
      <c r="D2225" s="1667"/>
      <c r="E2225" s="1671">
        <v>3.5</v>
      </c>
      <c r="F2225" s="1671">
        <f>F2224</f>
        <v>1.2</v>
      </c>
      <c r="G2225" s="1672">
        <f>G2224</f>
        <v>0.3</v>
      </c>
      <c r="H2225" s="1671">
        <f t="shared" si="294"/>
        <v>0</v>
      </c>
      <c r="I2225" s="1671" t="s">
        <v>49</v>
      </c>
      <c r="J2225" s="1668"/>
      <c r="K2225" s="1668"/>
      <c r="L2225" s="1669"/>
    </row>
    <row r="2226" spans="1:12" s="692" customFormat="1" ht="16.5" hidden="1">
      <c r="A2226" s="1665"/>
      <c r="B2226" s="1666"/>
      <c r="C2226" s="688"/>
      <c r="D2226" s="1667"/>
      <c r="E2226" s="1671">
        <v>3.5</v>
      </c>
      <c r="F2226" s="1671">
        <v>4</v>
      </c>
      <c r="G2226" s="1672">
        <v>0.15</v>
      </c>
      <c r="H2226" s="1671">
        <f t="shared" si="294"/>
        <v>0</v>
      </c>
      <c r="I2226" s="1671" t="s">
        <v>49</v>
      </c>
      <c r="J2226" s="1668"/>
      <c r="K2226" s="1668"/>
      <c r="L2226" s="1669"/>
    </row>
    <row r="2227" spans="1:12" s="692" customFormat="1" ht="16.5" hidden="1">
      <c r="A2227" s="1665"/>
      <c r="B2227" s="1666"/>
      <c r="C2227" s="688"/>
      <c r="D2227" s="1667"/>
      <c r="E2227" s="1671">
        <v>3.5</v>
      </c>
      <c r="F2227" s="1671">
        <v>4</v>
      </c>
      <c r="G2227" s="1672">
        <v>0.15</v>
      </c>
      <c r="H2227" s="1671">
        <f t="shared" si="294"/>
        <v>0</v>
      </c>
      <c r="I2227" s="1671" t="s">
        <v>49</v>
      </c>
      <c r="J2227" s="1668"/>
      <c r="K2227" s="1668"/>
      <c r="L2227" s="1669"/>
    </row>
    <row r="2228" spans="1:12" s="692" customFormat="1" ht="16.5" hidden="1">
      <c r="A2228" s="1665"/>
      <c r="B2228" s="1666"/>
      <c r="C2228" s="688"/>
      <c r="D2228" s="1667"/>
      <c r="E2228" s="1671">
        <v>3.5</v>
      </c>
      <c r="F2228" s="1671">
        <v>4</v>
      </c>
      <c r="G2228" s="1672">
        <v>0.15</v>
      </c>
      <c r="H2228" s="1671">
        <f t="shared" si="294"/>
        <v>0</v>
      </c>
      <c r="I2228" s="1671" t="s">
        <v>49</v>
      </c>
      <c r="J2228" s="1668"/>
      <c r="K2228" s="1668"/>
      <c r="L2228" s="1669"/>
    </row>
    <row r="2229" spans="1:12" s="692" customFormat="1" ht="16.5" hidden="1">
      <c r="A2229" s="1665"/>
      <c r="B2229" s="1666"/>
      <c r="C2229" s="688"/>
      <c r="D2229" s="1667"/>
      <c r="E2229" s="1671"/>
      <c r="F2229" s="1671"/>
      <c r="G2229" s="1669" t="s">
        <v>928</v>
      </c>
      <c r="H2229" s="1673">
        <f>SUM(H2223:H2228)</f>
        <v>0</v>
      </c>
      <c r="I2229" s="1669" t="s">
        <v>49</v>
      </c>
      <c r="J2229" s="1668"/>
      <c r="K2229" s="1668"/>
      <c r="L2229" s="1669"/>
    </row>
    <row r="2230" spans="1:12" s="692" customFormat="1" ht="16.5" hidden="1">
      <c r="A2230" s="1665"/>
      <c r="B2230" s="1666"/>
      <c r="C2230" s="688"/>
      <c r="D2230" s="1667"/>
      <c r="E2230" s="1671">
        <f>D212+F2230</f>
        <v>0.25</v>
      </c>
      <c r="F2230" s="1671">
        <f>F2215</f>
        <v>0.25</v>
      </c>
      <c r="G2230" s="1672">
        <f>'DRAWING CC'!GI137</f>
        <v>0</v>
      </c>
      <c r="H2230" s="1671">
        <f t="shared" ref="H2230:H2235" si="295">ROUND(D2230*E2230*F2230*G2230,2)</f>
        <v>0</v>
      </c>
      <c r="I2230" s="1671" t="s">
        <v>49</v>
      </c>
      <c r="J2230" s="1668"/>
      <c r="K2230" s="1668"/>
      <c r="L2230" s="1669"/>
    </row>
    <row r="2231" spans="1:12" s="692" customFormat="1" ht="16.5" hidden="1">
      <c r="A2231" s="1665"/>
      <c r="B2231" s="1666"/>
      <c r="C2231" s="688"/>
      <c r="D2231" s="1667"/>
      <c r="E2231" s="1671">
        <f>D215-F2231</f>
        <v>-0.25</v>
      </c>
      <c r="F2231" s="1671">
        <f>F2230</f>
        <v>0.25</v>
      </c>
      <c r="G2231" s="1672">
        <f>G2230</f>
        <v>0</v>
      </c>
      <c r="H2231" s="1671">
        <f t="shared" si="295"/>
        <v>0</v>
      </c>
      <c r="I2231" s="1671" t="s">
        <v>49</v>
      </c>
      <c r="J2231" s="1668"/>
      <c r="K2231" s="1668"/>
      <c r="L2231" s="1669"/>
    </row>
    <row r="2232" spans="1:12" s="692" customFormat="1" ht="16.5" hidden="1">
      <c r="A2232" s="1665"/>
      <c r="B2232" s="1666"/>
      <c r="C2232" s="688"/>
      <c r="D2232" s="1667"/>
      <c r="E2232" s="1671">
        <f>D216-F2232</f>
        <v>-0.25</v>
      </c>
      <c r="F2232" s="1671">
        <f>F2231</f>
        <v>0.25</v>
      </c>
      <c r="G2232" s="1672">
        <f>G2231</f>
        <v>0</v>
      </c>
      <c r="H2232" s="1671">
        <f t="shared" si="295"/>
        <v>0</v>
      </c>
      <c r="I2232" s="1671" t="s">
        <v>49</v>
      </c>
      <c r="J2232" s="1668"/>
      <c r="K2232" s="1668"/>
      <c r="L2232" s="1669"/>
    </row>
    <row r="2233" spans="1:12" s="692" customFormat="1" ht="16.5" hidden="1">
      <c r="A2233" s="1665"/>
      <c r="B2233" s="1666"/>
      <c r="C2233" s="688"/>
      <c r="D2233" s="1667"/>
      <c r="E2233" s="1671">
        <v>3.5</v>
      </c>
      <c r="F2233" s="1671">
        <v>4</v>
      </c>
      <c r="G2233" s="1672">
        <v>0.15</v>
      </c>
      <c r="H2233" s="1671">
        <f t="shared" si="295"/>
        <v>0</v>
      </c>
      <c r="I2233" s="1671" t="s">
        <v>49</v>
      </c>
      <c r="J2233" s="1668"/>
      <c r="K2233" s="1668"/>
      <c r="L2233" s="1669"/>
    </row>
    <row r="2234" spans="1:12" s="692" customFormat="1" ht="16.5" hidden="1">
      <c r="A2234" s="1665"/>
      <c r="B2234" s="1666"/>
      <c r="C2234" s="688"/>
      <c r="D2234" s="1667"/>
      <c r="E2234" s="1671">
        <v>3.5</v>
      </c>
      <c r="F2234" s="1671">
        <v>4</v>
      </c>
      <c r="G2234" s="1672">
        <v>0.15</v>
      </c>
      <c r="H2234" s="1671">
        <f t="shared" si="295"/>
        <v>0</v>
      </c>
      <c r="I2234" s="1671" t="s">
        <v>49</v>
      </c>
      <c r="J2234" s="1668"/>
      <c r="K2234" s="1668"/>
      <c r="L2234" s="1669"/>
    </row>
    <row r="2235" spans="1:12" s="692" customFormat="1" ht="16.5" hidden="1">
      <c r="A2235" s="1665"/>
      <c r="B2235" s="1666"/>
      <c r="C2235" s="688"/>
      <c r="D2235" s="1667"/>
      <c r="E2235" s="1671">
        <v>3.5</v>
      </c>
      <c r="F2235" s="1671">
        <v>4</v>
      </c>
      <c r="G2235" s="1672">
        <v>0.15</v>
      </c>
      <c r="H2235" s="1671">
        <f t="shared" si="295"/>
        <v>0</v>
      </c>
      <c r="I2235" s="1671" t="s">
        <v>49</v>
      </c>
      <c r="J2235" s="1668"/>
      <c r="K2235" s="1668"/>
      <c r="L2235" s="1669"/>
    </row>
    <row r="2236" spans="1:12" s="692" customFormat="1" ht="16.5" hidden="1">
      <c r="A2236" s="1665"/>
      <c r="B2236" s="1666"/>
      <c r="C2236" s="688"/>
      <c r="D2236" s="1667"/>
      <c r="E2236" s="1671"/>
      <c r="F2236" s="1671"/>
      <c r="G2236" s="1669" t="s">
        <v>928</v>
      </c>
      <c r="H2236" s="1673">
        <f>SUM(H2230:H2235)</f>
        <v>0</v>
      </c>
      <c r="I2236" s="1669" t="s">
        <v>49</v>
      </c>
      <c r="J2236" s="1669">
        <f>'Lead &amp; ANALYSIS'!L540</f>
        <v>16333.5</v>
      </c>
      <c r="K2236" s="1668" t="s">
        <v>1516</v>
      </c>
      <c r="L2236" s="1669">
        <f>ROUND(H2236*J2236,0)</f>
        <v>0</v>
      </c>
    </row>
    <row r="2237" spans="1:12" s="692" customFormat="1" ht="16.5" hidden="1">
      <c r="A2237" s="1665" t="s">
        <v>3420</v>
      </c>
      <c r="B2237" s="1666" t="s">
        <v>1939</v>
      </c>
      <c r="C2237" s="688"/>
      <c r="D2237" s="1667"/>
      <c r="E2237" s="688"/>
      <c r="F2237" s="688"/>
      <c r="G2237" s="1674"/>
      <c r="H2237" s="688"/>
      <c r="I2237" s="1668"/>
      <c r="J2237" s="1668"/>
      <c r="K2237" s="1668"/>
      <c r="L2237" s="1669"/>
    </row>
    <row r="2238" spans="1:12" s="692" customFormat="1" ht="16.5" hidden="1">
      <c r="A2238" s="1665"/>
      <c r="B2238" s="1666"/>
      <c r="C2238" s="688"/>
      <c r="D2238" s="1667"/>
      <c r="E2238" s="1671">
        <v>3.5</v>
      </c>
      <c r="F2238" s="1671">
        <v>1.2</v>
      </c>
      <c r="G2238" s="1672">
        <v>0.3</v>
      </c>
      <c r="H2238" s="1671">
        <f t="shared" ref="H2238:H2243" si="296">ROUND(D2238*E2238*F2238*G2238,2)</f>
        <v>0</v>
      </c>
      <c r="I2238" s="1671" t="s">
        <v>49</v>
      </c>
      <c r="J2238" s="1668"/>
      <c r="K2238" s="1668"/>
      <c r="L2238" s="1669"/>
    </row>
    <row r="2239" spans="1:12" s="692" customFormat="1" ht="16.5" hidden="1">
      <c r="A2239" s="1665"/>
      <c r="B2239" s="1666"/>
      <c r="C2239" s="688"/>
      <c r="D2239" s="1667"/>
      <c r="E2239" s="1671">
        <v>3.5</v>
      </c>
      <c r="F2239" s="1671">
        <f>F2238</f>
        <v>1.2</v>
      </c>
      <c r="G2239" s="1672">
        <f>G2238</f>
        <v>0.3</v>
      </c>
      <c r="H2239" s="1671">
        <f t="shared" si="296"/>
        <v>0</v>
      </c>
      <c r="I2239" s="1671" t="s">
        <v>49</v>
      </c>
      <c r="J2239" s="1668"/>
      <c r="K2239" s="1668"/>
      <c r="L2239" s="1669"/>
    </row>
    <row r="2240" spans="1:12" s="692" customFormat="1" ht="16.5" hidden="1">
      <c r="A2240" s="1665"/>
      <c r="B2240" s="1666"/>
      <c r="C2240" s="688"/>
      <c r="D2240" s="1667"/>
      <c r="E2240" s="1671">
        <v>3.5</v>
      </c>
      <c r="F2240" s="1671">
        <f>F2239</f>
        <v>1.2</v>
      </c>
      <c r="G2240" s="1672">
        <f>G2239</f>
        <v>0.3</v>
      </c>
      <c r="H2240" s="1671">
        <f t="shared" si="296"/>
        <v>0</v>
      </c>
      <c r="I2240" s="1671" t="s">
        <v>49</v>
      </c>
      <c r="J2240" s="1668"/>
      <c r="K2240" s="1668"/>
      <c r="L2240" s="1669"/>
    </row>
    <row r="2241" spans="1:12" s="692" customFormat="1" ht="16.5" hidden="1">
      <c r="A2241" s="1665"/>
      <c r="B2241" s="1666"/>
      <c r="C2241" s="688"/>
      <c r="D2241" s="1667"/>
      <c r="E2241" s="1671">
        <v>3.5</v>
      </c>
      <c r="F2241" s="1671">
        <v>4</v>
      </c>
      <c r="G2241" s="1672">
        <v>0.15</v>
      </c>
      <c r="H2241" s="1671">
        <f t="shared" si="296"/>
        <v>0</v>
      </c>
      <c r="I2241" s="1671" t="s">
        <v>49</v>
      </c>
      <c r="J2241" s="1668"/>
      <c r="K2241" s="1668"/>
      <c r="L2241" s="1669"/>
    </row>
    <row r="2242" spans="1:12" s="692" customFormat="1" ht="16.5" hidden="1">
      <c r="A2242" s="1665"/>
      <c r="B2242" s="1666"/>
      <c r="C2242" s="688"/>
      <c r="D2242" s="1667"/>
      <c r="E2242" s="1671">
        <v>3.5</v>
      </c>
      <c r="F2242" s="1671">
        <v>4</v>
      </c>
      <c r="G2242" s="1672">
        <v>0.15</v>
      </c>
      <c r="H2242" s="1671">
        <f t="shared" si="296"/>
        <v>0</v>
      </c>
      <c r="I2242" s="1671" t="s">
        <v>49</v>
      </c>
      <c r="J2242" s="1668"/>
      <c r="K2242" s="1668"/>
      <c r="L2242" s="1669"/>
    </row>
    <row r="2243" spans="1:12" s="692" customFormat="1" ht="16.5" hidden="1">
      <c r="A2243" s="1665"/>
      <c r="B2243" s="1666"/>
      <c r="C2243" s="688"/>
      <c r="D2243" s="1667"/>
      <c r="E2243" s="1671">
        <v>3.5</v>
      </c>
      <c r="F2243" s="1671">
        <v>4</v>
      </c>
      <c r="G2243" s="1672">
        <v>0.15</v>
      </c>
      <c r="H2243" s="1671">
        <f t="shared" si="296"/>
        <v>0</v>
      </c>
      <c r="I2243" s="1671" t="s">
        <v>49</v>
      </c>
      <c r="J2243" s="1668"/>
      <c r="K2243" s="1668"/>
      <c r="L2243" s="1669"/>
    </row>
    <row r="2244" spans="1:12" s="692" customFormat="1" ht="16.5" hidden="1">
      <c r="A2244" s="1665"/>
      <c r="B2244" s="1666"/>
      <c r="C2244" s="688"/>
      <c r="D2244" s="1667"/>
      <c r="E2244" s="1671"/>
      <c r="F2244" s="1671"/>
      <c r="G2244" s="1669" t="s">
        <v>928</v>
      </c>
      <c r="H2244" s="1673">
        <f>SUM(H2238:H2243)</f>
        <v>0</v>
      </c>
      <c r="I2244" s="1669" t="s">
        <v>49</v>
      </c>
      <c r="J2244" s="1668"/>
      <c r="K2244" s="1668"/>
      <c r="L2244" s="1669"/>
    </row>
    <row r="2245" spans="1:12" s="692" customFormat="1" ht="16.5" hidden="1">
      <c r="A2245" s="1665"/>
      <c r="B2245" s="1666"/>
      <c r="C2245" s="688"/>
      <c r="D2245" s="1667"/>
      <c r="E2245" s="1671">
        <f>D220+F2245</f>
        <v>0.25</v>
      </c>
      <c r="F2245" s="1671">
        <f>F2230</f>
        <v>0.25</v>
      </c>
      <c r="G2245" s="1672">
        <f>'DRAWING CC'!GI145</f>
        <v>0</v>
      </c>
      <c r="H2245" s="1671">
        <f t="shared" ref="H2245:H2250" si="297">ROUND(D2245*E2245*F2245*G2245,2)</f>
        <v>0</v>
      </c>
      <c r="I2245" s="1671" t="s">
        <v>49</v>
      </c>
      <c r="J2245" s="1668"/>
      <c r="K2245" s="1668"/>
      <c r="L2245" s="1669"/>
    </row>
    <row r="2246" spans="1:12" s="692" customFormat="1" ht="16.5" hidden="1">
      <c r="A2246" s="1665"/>
      <c r="B2246" s="1666"/>
      <c r="C2246" s="688"/>
      <c r="D2246" s="1667"/>
      <c r="E2246" s="1671">
        <f>D223-F2246</f>
        <v>-0.25</v>
      </c>
      <c r="F2246" s="1671">
        <f>F2245</f>
        <v>0.25</v>
      </c>
      <c r="G2246" s="1672">
        <f>G2245</f>
        <v>0</v>
      </c>
      <c r="H2246" s="1671">
        <f t="shared" si="297"/>
        <v>0</v>
      </c>
      <c r="I2246" s="1671" t="s">
        <v>49</v>
      </c>
      <c r="J2246" s="1668"/>
      <c r="K2246" s="1668"/>
      <c r="L2246" s="1669"/>
    </row>
    <row r="2247" spans="1:12" s="692" customFormat="1" ht="16.5" hidden="1">
      <c r="A2247" s="1665"/>
      <c r="B2247" s="1666"/>
      <c r="C2247" s="688"/>
      <c r="D2247" s="1667"/>
      <c r="E2247" s="1671">
        <f>D224-F2247</f>
        <v>-0.25</v>
      </c>
      <c r="F2247" s="1671">
        <f>F2246</f>
        <v>0.25</v>
      </c>
      <c r="G2247" s="1672">
        <f>G2246</f>
        <v>0</v>
      </c>
      <c r="H2247" s="1671">
        <f t="shared" si="297"/>
        <v>0</v>
      </c>
      <c r="I2247" s="1671" t="s">
        <v>49</v>
      </c>
      <c r="J2247" s="1668"/>
      <c r="K2247" s="1668"/>
      <c r="L2247" s="1669"/>
    </row>
    <row r="2248" spans="1:12" s="692" customFormat="1" ht="16.5" hidden="1">
      <c r="A2248" s="1665"/>
      <c r="B2248" s="1666"/>
      <c r="C2248" s="688"/>
      <c r="D2248" s="1667"/>
      <c r="E2248" s="1671">
        <v>3.5</v>
      </c>
      <c r="F2248" s="1671">
        <v>4</v>
      </c>
      <c r="G2248" s="1672">
        <v>0.15</v>
      </c>
      <c r="H2248" s="1671">
        <f t="shared" si="297"/>
        <v>0</v>
      </c>
      <c r="I2248" s="1671" t="s">
        <v>49</v>
      </c>
      <c r="J2248" s="1668"/>
      <c r="K2248" s="1668"/>
      <c r="L2248" s="1669"/>
    </row>
    <row r="2249" spans="1:12" s="692" customFormat="1" ht="16.5" hidden="1">
      <c r="A2249" s="1665"/>
      <c r="B2249" s="1666"/>
      <c r="C2249" s="688"/>
      <c r="D2249" s="1667"/>
      <c r="E2249" s="1671">
        <v>3.5</v>
      </c>
      <c r="F2249" s="1671">
        <v>4</v>
      </c>
      <c r="G2249" s="1672">
        <v>0.15</v>
      </c>
      <c r="H2249" s="1671">
        <f t="shared" si="297"/>
        <v>0</v>
      </c>
      <c r="I2249" s="1671" t="s">
        <v>49</v>
      </c>
      <c r="J2249" s="1668"/>
      <c r="K2249" s="1668"/>
      <c r="L2249" s="1669"/>
    </row>
    <row r="2250" spans="1:12" s="692" customFormat="1" ht="16.5" hidden="1">
      <c r="A2250" s="1665"/>
      <c r="B2250" s="1666"/>
      <c r="C2250" s="688"/>
      <c r="D2250" s="1667"/>
      <c r="E2250" s="1671">
        <v>3.5</v>
      </c>
      <c r="F2250" s="1671">
        <v>4</v>
      </c>
      <c r="G2250" s="1672">
        <v>0.15</v>
      </c>
      <c r="H2250" s="1671">
        <f t="shared" si="297"/>
        <v>0</v>
      </c>
      <c r="I2250" s="1671" t="s">
        <v>49</v>
      </c>
      <c r="J2250" s="1668"/>
      <c r="K2250" s="1668"/>
      <c r="L2250" s="1669"/>
    </row>
    <row r="2251" spans="1:12" s="692" customFormat="1" ht="16.5" hidden="1">
      <c r="A2251" s="1665"/>
      <c r="B2251" s="1666"/>
      <c r="C2251" s="688"/>
      <c r="D2251" s="1667"/>
      <c r="E2251" s="1671"/>
      <c r="F2251" s="1671"/>
      <c r="G2251" s="1669" t="s">
        <v>928</v>
      </c>
      <c r="H2251" s="1673">
        <f>SUM(H2245:H2250)</f>
        <v>0</v>
      </c>
      <c r="I2251" s="1669" t="s">
        <v>49</v>
      </c>
      <c r="J2251" s="1669">
        <f>'Lead &amp; ANALYSIS'!L540</f>
        <v>16333.5</v>
      </c>
      <c r="K2251" s="1668" t="s">
        <v>1516</v>
      </c>
      <c r="L2251" s="1669">
        <f>ROUND(H2251*J2251,0)</f>
        <v>0</v>
      </c>
    </row>
    <row r="2252" spans="1:12" s="692" customFormat="1" ht="16.5" hidden="1">
      <c r="A2252" s="1665" t="s">
        <v>3421</v>
      </c>
      <c r="B2252" s="1666" t="s">
        <v>1941</v>
      </c>
      <c r="C2252" s="688"/>
      <c r="D2252" s="1667"/>
      <c r="E2252" s="688"/>
      <c r="F2252" s="688"/>
      <c r="G2252" s="1674"/>
      <c r="H2252" s="688"/>
      <c r="I2252" s="1668"/>
      <c r="J2252" s="1668"/>
      <c r="K2252" s="1668"/>
      <c r="L2252" s="1669"/>
    </row>
    <row r="2253" spans="1:12" s="692" customFormat="1" ht="16.5" hidden="1">
      <c r="A2253" s="1665"/>
      <c r="B2253" s="1666"/>
      <c r="C2253" s="688"/>
      <c r="D2253" s="1667"/>
      <c r="E2253" s="1671">
        <v>3.5</v>
      </c>
      <c r="F2253" s="1671">
        <v>1.2</v>
      </c>
      <c r="G2253" s="1672">
        <v>0.3</v>
      </c>
      <c r="H2253" s="1671">
        <f t="shared" ref="H2253:H2258" si="298">ROUND(D2253*E2253*F2253*G2253,2)</f>
        <v>0</v>
      </c>
      <c r="I2253" s="1671" t="s">
        <v>49</v>
      </c>
      <c r="J2253" s="1668"/>
      <c r="K2253" s="1668"/>
      <c r="L2253" s="1669"/>
    </row>
    <row r="2254" spans="1:12" s="692" customFormat="1" ht="16.5" hidden="1">
      <c r="A2254" s="1665"/>
      <c r="B2254" s="1666"/>
      <c r="C2254" s="688"/>
      <c r="D2254" s="1667"/>
      <c r="E2254" s="1671">
        <v>3.5</v>
      </c>
      <c r="F2254" s="1671">
        <f>F2253</f>
        <v>1.2</v>
      </c>
      <c r="G2254" s="1672">
        <f>G2253</f>
        <v>0.3</v>
      </c>
      <c r="H2254" s="1671">
        <f t="shared" si="298"/>
        <v>0</v>
      </c>
      <c r="I2254" s="1671" t="s">
        <v>49</v>
      </c>
      <c r="J2254" s="1668"/>
      <c r="K2254" s="1668"/>
      <c r="L2254" s="1669"/>
    </row>
    <row r="2255" spans="1:12" s="692" customFormat="1" ht="16.5" hidden="1">
      <c r="A2255" s="1665"/>
      <c r="B2255" s="1666"/>
      <c r="C2255" s="688"/>
      <c r="D2255" s="1667"/>
      <c r="E2255" s="1671">
        <v>3.5</v>
      </c>
      <c r="F2255" s="1671">
        <f>F2254</f>
        <v>1.2</v>
      </c>
      <c r="G2255" s="1672">
        <f>G2254</f>
        <v>0.3</v>
      </c>
      <c r="H2255" s="1671">
        <f t="shared" si="298"/>
        <v>0</v>
      </c>
      <c r="I2255" s="1671" t="s">
        <v>49</v>
      </c>
      <c r="J2255" s="1668"/>
      <c r="K2255" s="1668"/>
      <c r="L2255" s="1669"/>
    </row>
    <row r="2256" spans="1:12" s="692" customFormat="1" ht="16.5" hidden="1">
      <c r="A2256" s="1665"/>
      <c r="B2256" s="1666"/>
      <c r="C2256" s="688"/>
      <c r="D2256" s="1667"/>
      <c r="E2256" s="1671">
        <v>3.5</v>
      </c>
      <c r="F2256" s="1671">
        <v>4</v>
      </c>
      <c r="G2256" s="1672">
        <v>0.15</v>
      </c>
      <c r="H2256" s="1671">
        <f t="shared" si="298"/>
        <v>0</v>
      </c>
      <c r="I2256" s="1671" t="s">
        <v>49</v>
      </c>
      <c r="J2256" s="1668"/>
      <c r="K2256" s="1668"/>
      <c r="L2256" s="1669"/>
    </row>
    <row r="2257" spans="1:12" s="692" customFormat="1" ht="16.5" hidden="1">
      <c r="A2257" s="1665"/>
      <c r="B2257" s="1666"/>
      <c r="C2257" s="688"/>
      <c r="D2257" s="1667"/>
      <c r="E2257" s="1671">
        <v>3.5</v>
      </c>
      <c r="F2257" s="1671">
        <v>4</v>
      </c>
      <c r="G2257" s="1672">
        <v>0.15</v>
      </c>
      <c r="H2257" s="1671">
        <f t="shared" si="298"/>
        <v>0</v>
      </c>
      <c r="I2257" s="1671" t="s">
        <v>49</v>
      </c>
      <c r="J2257" s="1668"/>
      <c r="K2257" s="1668"/>
      <c r="L2257" s="1669"/>
    </row>
    <row r="2258" spans="1:12" s="692" customFormat="1" ht="16.5" hidden="1">
      <c r="A2258" s="1665"/>
      <c r="B2258" s="1666"/>
      <c r="C2258" s="688"/>
      <c r="D2258" s="1667"/>
      <c r="E2258" s="1671">
        <v>3.5</v>
      </c>
      <c r="F2258" s="1671">
        <v>4</v>
      </c>
      <c r="G2258" s="1672">
        <v>0.15</v>
      </c>
      <c r="H2258" s="1671">
        <f t="shared" si="298"/>
        <v>0</v>
      </c>
      <c r="I2258" s="1671" t="s">
        <v>49</v>
      </c>
      <c r="J2258" s="1668"/>
      <c r="K2258" s="1668"/>
      <c r="L2258" s="1669"/>
    </row>
    <row r="2259" spans="1:12" s="692" customFormat="1" ht="16.5" hidden="1">
      <c r="A2259" s="1665"/>
      <c r="B2259" s="1666"/>
      <c r="C2259" s="688"/>
      <c r="D2259" s="1667"/>
      <c r="E2259" s="1671"/>
      <c r="F2259" s="1671"/>
      <c r="G2259" s="1669" t="s">
        <v>928</v>
      </c>
      <c r="H2259" s="1673">
        <f>SUM(H2253:H2258)</f>
        <v>0</v>
      </c>
      <c r="I2259" s="1669" t="s">
        <v>49</v>
      </c>
      <c r="J2259" s="1668"/>
      <c r="K2259" s="1668"/>
      <c r="L2259" s="1669"/>
    </row>
    <row r="2260" spans="1:12" s="692" customFormat="1" ht="16.5" hidden="1">
      <c r="A2260" s="1665"/>
      <c r="B2260" s="1666"/>
      <c r="C2260" s="688"/>
      <c r="D2260" s="1667"/>
      <c r="E2260" s="1671">
        <f>D228+F2260</f>
        <v>0.25</v>
      </c>
      <c r="F2260" s="1671">
        <f>F2245</f>
        <v>0.25</v>
      </c>
      <c r="G2260" s="1672">
        <f>'DRAWING CC'!GI153</f>
        <v>0</v>
      </c>
      <c r="H2260" s="1671">
        <f t="shared" ref="H2260:H2265" si="299">ROUND(D2260*E2260*F2260*G2260,2)</f>
        <v>0</v>
      </c>
      <c r="I2260" s="1671" t="s">
        <v>49</v>
      </c>
      <c r="J2260" s="1668"/>
      <c r="K2260" s="1668"/>
      <c r="L2260" s="1669"/>
    </row>
    <row r="2261" spans="1:12" s="692" customFormat="1" ht="16.5" hidden="1">
      <c r="A2261" s="1665"/>
      <c r="B2261" s="1666"/>
      <c r="C2261" s="688"/>
      <c r="D2261" s="1667"/>
      <c r="E2261" s="1671">
        <f>D247-F2261</f>
        <v>-0.25</v>
      </c>
      <c r="F2261" s="1671">
        <f>F2260</f>
        <v>0.25</v>
      </c>
      <c r="G2261" s="1672">
        <f>G2260</f>
        <v>0</v>
      </c>
      <c r="H2261" s="1671">
        <f t="shared" si="299"/>
        <v>0</v>
      </c>
      <c r="I2261" s="1671" t="s">
        <v>49</v>
      </c>
      <c r="J2261" s="1668"/>
      <c r="K2261" s="1668"/>
      <c r="L2261" s="1669"/>
    </row>
    <row r="2262" spans="1:12" s="692" customFormat="1" ht="16.5" hidden="1">
      <c r="A2262" s="1665"/>
      <c r="B2262" s="1666"/>
      <c r="C2262" s="688"/>
      <c r="D2262" s="1667"/>
      <c r="E2262" s="1671">
        <f>D248-F2262</f>
        <v>-0.25</v>
      </c>
      <c r="F2262" s="1671">
        <f>F2261</f>
        <v>0.25</v>
      </c>
      <c r="G2262" s="1672">
        <f>G2261</f>
        <v>0</v>
      </c>
      <c r="H2262" s="1671">
        <f t="shared" si="299"/>
        <v>0</v>
      </c>
      <c r="I2262" s="1671" t="s">
        <v>49</v>
      </c>
      <c r="J2262" s="1668"/>
      <c r="K2262" s="1668"/>
      <c r="L2262" s="1669"/>
    </row>
    <row r="2263" spans="1:12" s="692" customFormat="1" ht="16.5" hidden="1">
      <c r="A2263" s="1665"/>
      <c r="B2263" s="1666"/>
      <c r="C2263" s="688"/>
      <c r="D2263" s="1667"/>
      <c r="E2263" s="1671">
        <v>3.5</v>
      </c>
      <c r="F2263" s="1671">
        <v>4</v>
      </c>
      <c r="G2263" s="1672">
        <v>0.15</v>
      </c>
      <c r="H2263" s="1671">
        <f t="shared" si="299"/>
        <v>0</v>
      </c>
      <c r="I2263" s="1671" t="s">
        <v>49</v>
      </c>
      <c r="J2263" s="1668"/>
      <c r="K2263" s="1668"/>
      <c r="L2263" s="1669"/>
    </row>
    <row r="2264" spans="1:12" s="692" customFormat="1" ht="16.5" hidden="1">
      <c r="A2264" s="1665"/>
      <c r="B2264" s="1666"/>
      <c r="C2264" s="688"/>
      <c r="D2264" s="1667"/>
      <c r="E2264" s="1671">
        <v>3.5</v>
      </c>
      <c r="F2264" s="1671">
        <v>4</v>
      </c>
      <c r="G2264" s="1672">
        <v>0.15</v>
      </c>
      <c r="H2264" s="1671">
        <f t="shared" si="299"/>
        <v>0</v>
      </c>
      <c r="I2264" s="1671" t="s">
        <v>49</v>
      </c>
      <c r="J2264" s="1668"/>
      <c r="K2264" s="1668"/>
      <c r="L2264" s="1669"/>
    </row>
    <row r="2265" spans="1:12" s="692" customFormat="1" ht="16.5" hidden="1">
      <c r="A2265" s="1665"/>
      <c r="B2265" s="1666"/>
      <c r="C2265" s="688"/>
      <c r="D2265" s="1667"/>
      <c r="E2265" s="1671">
        <v>3.5</v>
      </c>
      <c r="F2265" s="1671">
        <v>4</v>
      </c>
      <c r="G2265" s="1672">
        <v>0.15</v>
      </c>
      <c r="H2265" s="1671">
        <f t="shared" si="299"/>
        <v>0</v>
      </c>
      <c r="I2265" s="1671" t="s">
        <v>49</v>
      </c>
      <c r="J2265" s="1668"/>
      <c r="K2265" s="1668"/>
      <c r="L2265" s="1669"/>
    </row>
    <row r="2266" spans="1:12" s="692" customFormat="1" ht="16.5" hidden="1">
      <c r="A2266" s="1665"/>
      <c r="B2266" s="1666"/>
      <c r="C2266" s="688"/>
      <c r="D2266" s="1667"/>
      <c r="E2266" s="1671"/>
      <c r="F2266" s="1671"/>
      <c r="G2266" s="1669" t="s">
        <v>928</v>
      </c>
      <c r="H2266" s="1673">
        <f>SUM(H2260:H2265)</f>
        <v>0</v>
      </c>
      <c r="I2266" s="1669" t="s">
        <v>49</v>
      </c>
      <c r="J2266" s="1669">
        <f>'Lead &amp; ANALYSIS'!L553</f>
        <v>14969</v>
      </c>
      <c r="K2266" s="1668" t="s">
        <v>1516</v>
      </c>
      <c r="L2266" s="1669">
        <f>ROUND(H2266*J2266,0)</f>
        <v>0</v>
      </c>
    </row>
    <row r="2267" spans="1:12" s="692" customFormat="1" ht="16.5" hidden="1">
      <c r="A2267" s="1665" t="s">
        <v>3653</v>
      </c>
      <c r="B2267" s="1666" t="s">
        <v>477</v>
      </c>
      <c r="C2267" s="688"/>
      <c r="D2267" s="1667"/>
      <c r="E2267" s="688"/>
      <c r="F2267" s="688"/>
      <c r="G2267" s="1674"/>
      <c r="H2267" s="688"/>
      <c r="I2267" s="1668"/>
      <c r="J2267" s="1668"/>
      <c r="K2267" s="1668"/>
      <c r="L2267" s="1669"/>
    </row>
    <row r="2268" spans="1:12" s="692" customFormat="1" ht="16.5" hidden="1">
      <c r="A2268" s="1665"/>
      <c r="B2268" s="1666" t="s">
        <v>477</v>
      </c>
      <c r="C2268" s="688"/>
      <c r="D2268" s="1667"/>
      <c r="E2268" s="1671">
        <v>3.5</v>
      </c>
      <c r="F2268" s="1671">
        <v>1.2</v>
      </c>
      <c r="G2268" s="1672">
        <v>0.3</v>
      </c>
      <c r="H2268" s="1671">
        <f t="shared" ref="H2268:H2273" si="300">ROUND(D2268*E2268*F2268*G2268,2)</f>
        <v>0</v>
      </c>
      <c r="I2268" s="1671" t="s">
        <v>49</v>
      </c>
      <c r="J2268" s="1668"/>
      <c r="K2268" s="1668"/>
      <c r="L2268" s="1669"/>
    </row>
    <row r="2269" spans="1:12" s="692" customFormat="1" ht="16.5" hidden="1">
      <c r="A2269" s="1665"/>
      <c r="B2269" s="1666"/>
      <c r="C2269" s="688"/>
      <c r="D2269" s="1667"/>
      <c r="E2269" s="1671">
        <f>'DRAWING CC'!AW140+0.3</f>
        <v>0.3</v>
      </c>
      <c r="F2269" s="1671">
        <f>'DRAWING CC'!O184+0.3</f>
        <v>0.3</v>
      </c>
      <c r="G2269" s="1683">
        <v>0.1</v>
      </c>
      <c r="H2269" s="1671">
        <f t="shared" si="300"/>
        <v>0</v>
      </c>
      <c r="I2269" s="1671" t="s">
        <v>49</v>
      </c>
      <c r="J2269" s="1668"/>
      <c r="K2269" s="1668"/>
      <c r="L2269" s="1669"/>
    </row>
    <row r="2270" spans="1:12" s="692" customFormat="1" ht="16.5" hidden="1">
      <c r="A2270" s="1665"/>
      <c r="B2270" s="1666"/>
      <c r="C2270" s="688"/>
      <c r="D2270" s="1667"/>
      <c r="E2270" s="1671">
        <f>'DRAWING CC'!AW141+0.3</f>
        <v>0.3</v>
      </c>
      <c r="F2270" s="1671">
        <f>'DRAWING CC'!O185+0.3</f>
        <v>0.3</v>
      </c>
      <c r="G2270" s="1683">
        <v>0.1</v>
      </c>
      <c r="H2270" s="1671">
        <f t="shared" si="300"/>
        <v>0</v>
      </c>
      <c r="I2270" s="1671" t="s">
        <v>49</v>
      </c>
      <c r="J2270" s="1668"/>
      <c r="K2270" s="1668"/>
      <c r="L2270" s="1669"/>
    </row>
    <row r="2271" spans="1:12" s="692" customFormat="1" ht="16.5" hidden="1">
      <c r="A2271" s="1665"/>
      <c r="B2271" s="1666"/>
      <c r="C2271" s="688"/>
      <c r="D2271" s="1667"/>
      <c r="E2271" s="1671">
        <v>3.5</v>
      </c>
      <c r="F2271" s="1671">
        <v>4</v>
      </c>
      <c r="G2271" s="1672">
        <v>0.15</v>
      </c>
      <c r="H2271" s="1671">
        <f t="shared" si="300"/>
        <v>0</v>
      </c>
      <c r="I2271" s="1671" t="s">
        <v>49</v>
      </c>
      <c r="J2271" s="1668"/>
      <c r="K2271" s="1668"/>
      <c r="L2271" s="1669"/>
    </row>
    <row r="2272" spans="1:12" s="692" customFormat="1" ht="16.5" hidden="1">
      <c r="A2272" s="1665"/>
      <c r="B2272" s="1666"/>
      <c r="C2272" s="688"/>
      <c r="D2272" s="1667"/>
      <c r="E2272" s="1671">
        <v>3.5</v>
      </c>
      <c r="F2272" s="1671">
        <v>4</v>
      </c>
      <c r="G2272" s="1672">
        <v>0.15</v>
      </c>
      <c r="H2272" s="1671">
        <f t="shared" si="300"/>
        <v>0</v>
      </c>
      <c r="I2272" s="1671" t="s">
        <v>49</v>
      </c>
      <c r="J2272" s="1668"/>
      <c r="K2272" s="1668"/>
      <c r="L2272" s="1669"/>
    </row>
    <row r="2273" spans="1:12" s="692" customFormat="1" ht="16.5" hidden="1">
      <c r="A2273" s="1665"/>
      <c r="B2273" s="1666"/>
      <c r="C2273" s="688"/>
      <c r="D2273" s="1667"/>
      <c r="E2273" s="1671">
        <v>3.5</v>
      </c>
      <c r="F2273" s="1671">
        <v>4</v>
      </c>
      <c r="G2273" s="1672">
        <v>0.15</v>
      </c>
      <c r="H2273" s="1671">
        <f t="shared" si="300"/>
        <v>0</v>
      </c>
      <c r="I2273" s="1671" t="s">
        <v>49</v>
      </c>
      <c r="J2273" s="1668"/>
      <c r="K2273" s="1668"/>
      <c r="L2273" s="1669"/>
    </row>
    <row r="2274" spans="1:12" s="692" customFormat="1" ht="16.5" hidden="1">
      <c r="A2274" s="1665"/>
      <c r="B2274" s="1666"/>
      <c r="C2274" s="688"/>
      <c r="D2274" s="1667"/>
      <c r="E2274" s="1671"/>
      <c r="F2274" s="1671"/>
      <c r="G2274" s="1669" t="s">
        <v>928</v>
      </c>
      <c r="H2274" s="1673">
        <f>SUM(H2268:H2273)</f>
        <v>0</v>
      </c>
      <c r="I2274" s="1669" t="s">
        <v>49</v>
      </c>
      <c r="J2274" s="1668"/>
      <c r="K2274" s="1668"/>
      <c r="L2274" s="1669"/>
    </row>
    <row r="2275" spans="1:12" s="692" customFormat="1" ht="16.5" hidden="1">
      <c r="A2275" s="1665"/>
      <c r="B2275" s="1666" t="s">
        <v>477</v>
      </c>
      <c r="C2275" s="688"/>
      <c r="D2275" s="1667"/>
      <c r="E2275" s="1671">
        <v>4</v>
      </c>
      <c r="F2275" s="1671">
        <v>5</v>
      </c>
      <c r="G2275" s="1683">
        <v>0.1</v>
      </c>
      <c r="H2275" s="1671">
        <f t="shared" ref="H2275:H2280" si="301">ROUND(D2275*E2275*F2275*G2275,2)</f>
        <v>0</v>
      </c>
      <c r="I2275" s="1671" t="s">
        <v>49</v>
      </c>
      <c r="J2275" s="1668"/>
      <c r="K2275" s="1668"/>
      <c r="L2275" s="1669"/>
    </row>
    <row r="2276" spans="1:12" s="692" customFormat="1" ht="16.5" hidden="1">
      <c r="A2276" s="1665"/>
      <c r="B2276" s="1666"/>
      <c r="C2276" s="688"/>
      <c r="D2276" s="1667"/>
      <c r="E2276" s="1671">
        <f>'DRAWING CC'!AW147+0.3</f>
        <v>0.3</v>
      </c>
      <c r="F2276" s="1671">
        <f>'DRAWING CC'!O191+0.3</f>
        <v>0.3</v>
      </c>
      <c r="G2276" s="1683">
        <v>0.1</v>
      </c>
      <c r="H2276" s="1671">
        <f t="shared" si="301"/>
        <v>0</v>
      </c>
      <c r="I2276" s="1671" t="s">
        <v>49</v>
      </c>
      <c r="J2276" s="1668"/>
      <c r="K2276" s="1668"/>
      <c r="L2276" s="1669"/>
    </row>
    <row r="2277" spans="1:12" s="692" customFormat="1" ht="16.5" hidden="1">
      <c r="A2277" s="1665"/>
      <c r="B2277" s="1666"/>
      <c r="C2277" s="688"/>
      <c r="D2277" s="1667"/>
      <c r="E2277" s="1671">
        <f>'DRAWING CC'!AW148+0.3</f>
        <v>0.3</v>
      </c>
      <c r="F2277" s="1671">
        <f>'DRAWING CC'!O192+0.3</f>
        <v>0.3</v>
      </c>
      <c r="G2277" s="1683">
        <v>0.1</v>
      </c>
      <c r="H2277" s="1671">
        <f t="shared" si="301"/>
        <v>0</v>
      </c>
      <c r="I2277" s="1671" t="s">
        <v>49</v>
      </c>
      <c r="J2277" s="1668"/>
      <c r="K2277" s="1668"/>
      <c r="L2277" s="1669"/>
    </row>
    <row r="2278" spans="1:12" s="692" customFormat="1" ht="16.5" hidden="1">
      <c r="A2278" s="1665"/>
      <c r="B2278" s="1666"/>
      <c r="C2278" s="688"/>
      <c r="D2278" s="1667"/>
      <c r="E2278" s="1671">
        <v>3.5</v>
      </c>
      <c r="F2278" s="1671">
        <v>4</v>
      </c>
      <c r="G2278" s="1672">
        <v>0.15</v>
      </c>
      <c r="H2278" s="1671">
        <f t="shared" si="301"/>
        <v>0</v>
      </c>
      <c r="I2278" s="1671" t="s">
        <v>49</v>
      </c>
      <c r="J2278" s="1668"/>
      <c r="K2278" s="1668"/>
      <c r="L2278" s="1669"/>
    </row>
    <row r="2279" spans="1:12" s="692" customFormat="1" ht="16.5" hidden="1">
      <c r="A2279" s="1665"/>
      <c r="B2279" s="1666"/>
      <c r="C2279" s="688"/>
      <c r="D2279" s="1667"/>
      <c r="E2279" s="1671">
        <v>3.5</v>
      </c>
      <c r="F2279" s="1671">
        <v>4</v>
      </c>
      <c r="G2279" s="1672">
        <v>0.15</v>
      </c>
      <c r="H2279" s="1671">
        <f t="shared" si="301"/>
        <v>0</v>
      </c>
      <c r="I2279" s="1671" t="s">
        <v>49</v>
      </c>
      <c r="J2279" s="1668"/>
      <c r="K2279" s="1668"/>
      <c r="L2279" s="1669"/>
    </row>
    <row r="2280" spans="1:12" s="692" customFormat="1" ht="16.5" hidden="1">
      <c r="A2280" s="1665"/>
      <c r="B2280" s="1666"/>
      <c r="C2280" s="688"/>
      <c r="D2280" s="1667"/>
      <c r="E2280" s="1671">
        <v>3.5</v>
      </c>
      <c r="F2280" s="1671">
        <v>4</v>
      </c>
      <c r="G2280" s="1672">
        <v>0.15</v>
      </c>
      <c r="H2280" s="1671">
        <f t="shared" si="301"/>
        <v>0</v>
      </c>
      <c r="I2280" s="1671" t="s">
        <v>49</v>
      </c>
      <c r="J2280" s="1668"/>
      <c r="K2280" s="1668"/>
      <c r="L2280" s="1669"/>
    </row>
    <row r="2281" spans="1:12" s="692" customFormat="1" ht="16.5" hidden="1">
      <c r="A2281" s="1665"/>
      <c r="B2281" s="1666"/>
      <c r="C2281" s="688"/>
      <c r="D2281" s="1667"/>
      <c r="E2281" s="1671"/>
      <c r="F2281" s="1671"/>
      <c r="G2281" s="1669" t="s">
        <v>928</v>
      </c>
      <c r="H2281" s="1673">
        <f>SUM(H2275:H2280)</f>
        <v>0</v>
      </c>
      <c r="I2281" s="1669" t="s">
        <v>49</v>
      </c>
      <c r="J2281" s="1669">
        <f>'Lead &amp; ANALYSIS'!L553</f>
        <v>14969</v>
      </c>
      <c r="K2281" s="1668" t="s">
        <v>1516</v>
      </c>
      <c r="L2281" s="1669">
        <f>ROUND(H2281*J2281,0)</f>
        <v>0</v>
      </c>
    </row>
    <row r="2282" spans="1:12" s="692" customFormat="1" ht="16.5" hidden="1">
      <c r="A2282" s="1665"/>
      <c r="B2282" s="1666"/>
      <c r="C2282" s="688"/>
      <c r="D2282" s="1667"/>
      <c r="E2282" s="1671"/>
      <c r="F2282" s="1671"/>
      <c r="G2282" s="1684" t="s">
        <v>3402</v>
      </c>
      <c r="H2282" s="1673">
        <f>H2064+H2079+H2094+H2109+H2124+H2139+H2154+H2169+H2199+H2214+H2229+H2244+H2259+H2274</f>
        <v>0</v>
      </c>
      <c r="I2282" s="1669" t="s">
        <v>49</v>
      </c>
      <c r="J2282" s="1669">
        <f>'Lead &amp; ANALYSIS'!L476</f>
        <v>8147</v>
      </c>
      <c r="K2282" s="1668" t="s">
        <v>1516</v>
      </c>
      <c r="L2282" s="1669">
        <f>ROUND(H2282*J2282,0)</f>
        <v>0</v>
      </c>
    </row>
    <row r="2283" spans="1:12" s="692" customFormat="1" ht="16.5" hidden="1">
      <c r="A2283" s="1665" t="s">
        <v>2978</v>
      </c>
      <c r="B2283" s="1675" t="s">
        <v>387</v>
      </c>
      <c r="C2283" s="688"/>
      <c r="D2283" s="1667"/>
      <c r="E2283" s="688"/>
      <c r="F2283" s="688"/>
      <c r="G2283" s="1674"/>
      <c r="H2283" s="688"/>
      <c r="I2283" s="1668"/>
      <c r="J2283" s="1668"/>
      <c r="K2283" s="1668"/>
      <c r="L2283" s="1669"/>
    </row>
    <row r="2284" spans="1:12" s="692" customFormat="1" ht="16.5" hidden="1">
      <c r="A2284" s="1665" t="s">
        <v>201</v>
      </c>
      <c r="B2284" s="1666" t="s">
        <v>1773</v>
      </c>
      <c r="C2284" s="688"/>
      <c r="D2284" s="1667"/>
      <c r="E2284" s="688"/>
      <c r="F2284" s="688"/>
      <c r="G2284" s="1674"/>
      <c r="H2284" s="688"/>
      <c r="I2284" s="1668"/>
      <c r="J2284" s="1668"/>
      <c r="K2284" s="1668"/>
      <c r="L2284" s="1669"/>
    </row>
    <row r="2285" spans="1:12" s="692" customFormat="1" ht="16.5" hidden="1">
      <c r="A2285" s="1665"/>
      <c r="B2285" s="1666"/>
      <c r="C2285" s="688"/>
      <c r="D2285" s="1667"/>
      <c r="E2285" s="1671">
        <v>3.5</v>
      </c>
      <c r="F2285" s="1671">
        <v>1.2</v>
      </c>
      <c r="G2285" s="1672">
        <v>0.3</v>
      </c>
      <c r="H2285" s="1671">
        <f t="shared" ref="H2285:H2290" si="302">ROUND(D2285*E2285*F2285*G2285,2)</f>
        <v>0</v>
      </c>
      <c r="I2285" s="1671" t="s">
        <v>49</v>
      </c>
      <c r="J2285" s="1668"/>
      <c r="K2285" s="1668"/>
      <c r="L2285" s="1669"/>
    </row>
    <row r="2286" spans="1:12" s="692" customFormat="1" ht="16.5" hidden="1">
      <c r="A2286" s="1665"/>
      <c r="B2286" s="1666"/>
      <c r="C2286" s="688"/>
      <c r="D2286" s="1667"/>
      <c r="E2286" s="1671">
        <v>3.5</v>
      </c>
      <c r="F2286" s="1671">
        <f>F2285</f>
        <v>1.2</v>
      </c>
      <c r="G2286" s="1672">
        <f>G2285</f>
        <v>0.3</v>
      </c>
      <c r="H2286" s="1671">
        <f t="shared" si="302"/>
        <v>0</v>
      </c>
      <c r="I2286" s="1671" t="s">
        <v>49</v>
      </c>
      <c r="J2286" s="1668"/>
      <c r="K2286" s="1668"/>
      <c r="L2286" s="1669"/>
    </row>
    <row r="2287" spans="1:12" s="692" customFormat="1" ht="16.5" hidden="1">
      <c r="A2287" s="1665"/>
      <c r="B2287" s="1666"/>
      <c r="C2287" s="688"/>
      <c r="D2287" s="1667"/>
      <c r="E2287" s="1671">
        <v>3.5</v>
      </c>
      <c r="F2287" s="1671">
        <f>F2286</f>
        <v>1.2</v>
      </c>
      <c r="G2287" s="1672">
        <f>G2286</f>
        <v>0.3</v>
      </c>
      <c r="H2287" s="1671">
        <f t="shared" si="302"/>
        <v>0</v>
      </c>
      <c r="I2287" s="1671" t="s">
        <v>49</v>
      </c>
      <c r="J2287" s="1668"/>
      <c r="K2287" s="1668"/>
      <c r="L2287" s="1669"/>
    </row>
    <row r="2288" spans="1:12" s="692" customFormat="1" ht="16.5" hidden="1">
      <c r="A2288" s="1665"/>
      <c r="B2288" s="1666"/>
      <c r="C2288" s="688"/>
      <c r="D2288" s="1667"/>
      <c r="E2288" s="1671">
        <v>3.5</v>
      </c>
      <c r="F2288" s="1671">
        <v>4</v>
      </c>
      <c r="G2288" s="1672">
        <v>0.15</v>
      </c>
      <c r="H2288" s="1671">
        <f t="shared" si="302"/>
        <v>0</v>
      </c>
      <c r="I2288" s="1671" t="s">
        <v>49</v>
      </c>
      <c r="J2288" s="1668"/>
      <c r="K2288" s="1668"/>
      <c r="L2288" s="1669"/>
    </row>
    <row r="2289" spans="1:12" s="692" customFormat="1" ht="16.5" hidden="1">
      <c r="A2289" s="1665"/>
      <c r="B2289" s="1666"/>
      <c r="C2289" s="688"/>
      <c r="D2289" s="1667"/>
      <c r="E2289" s="1671">
        <v>3.5</v>
      </c>
      <c r="F2289" s="1671">
        <v>4</v>
      </c>
      <c r="G2289" s="1672">
        <v>0.15</v>
      </c>
      <c r="H2289" s="1671">
        <f t="shared" si="302"/>
        <v>0</v>
      </c>
      <c r="I2289" s="1671" t="s">
        <v>49</v>
      </c>
      <c r="J2289" s="1668"/>
      <c r="K2289" s="1668"/>
      <c r="L2289" s="1669"/>
    </row>
    <row r="2290" spans="1:12" s="692" customFormat="1" ht="16.5" hidden="1">
      <c r="A2290" s="1665"/>
      <c r="B2290" s="1666"/>
      <c r="C2290" s="688"/>
      <c r="D2290" s="1667"/>
      <c r="E2290" s="1671">
        <v>3.5</v>
      </c>
      <c r="F2290" s="1671">
        <v>4</v>
      </c>
      <c r="G2290" s="1672">
        <v>0.15</v>
      </c>
      <c r="H2290" s="1671">
        <f t="shared" si="302"/>
        <v>0</v>
      </c>
      <c r="I2290" s="1671" t="s">
        <v>49</v>
      </c>
      <c r="J2290" s="1668"/>
      <c r="K2290" s="1668"/>
      <c r="L2290" s="1669"/>
    </row>
    <row r="2291" spans="1:12" s="692" customFormat="1" ht="16.5" hidden="1">
      <c r="A2291" s="1665"/>
      <c r="B2291" s="1666"/>
      <c r="C2291" s="688"/>
      <c r="D2291" s="1667"/>
      <c r="E2291" s="1671"/>
      <c r="F2291" s="1671"/>
      <c r="G2291" s="1669" t="s">
        <v>928</v>
      </c>
      <c r="H2291" s="1673">
        <f>SUM(H2285:H2290)</f>
        <v>0</v>
      </c>
      <c r="I2291" s="1669" t="s">
        <v>49</v>
      </c>
      <c r="J2291" s="1668"/>
      <c r="K2291" s="1668"/>
      <c r="L2291" s="1669"/>
    </row>
    <row r="2292" spans="1:12" s="692" customFormat="1" ht="16.5" hidden="1">
      <c r="A2292" s="1665"/>
      <c r="B2292" s="1666"/>
      <c r="C2292" s="688"/>
      <c r="D2292" s="1667"/>
      <c r="E2292" s="1671">
        <f>D487+F2292</f>
        <v>0.25</v>
      </c>
      <c r="F2292" s="1671">
        <f>F2261</f>
        <v>0.25</v>
      </c>
      <c r="G2292" s="1672">
        <f>'DRAWING CC'!GI284</f>
        <v>0</v>
      </c>
      <c r="H2292" s="1671">
        <f t="shared" ref="H2292:H2297" si="303">ROUND(D2292*E2292*F2292*G2292,2)</f>
        <v>0</v>
      </c>
      <c r="I2292" s="1671" t="s">
        <v>49</v>
      </c>
      <c r="J2292" s="1668"/>
      <c r="K2292" s="1668"/>
      <c r="L2292" s="1669"/>
    </row>
    <row r="2293" spans="1:12" s="692" customFormat="1" ht="16.5" hidden="1">
      <c r="A2293" s="1665"/>
      <c r="B2293" s="1666"/>
      <c r="C2293" s="688"/>
      <c r="D2293" s="1667"/>
      <c r="E2293" s="1671">
        <f>D490-F2293</f>
        <v>-0.25</v>
      </c>
      <c r="F2293" s="1671">
        <f>F2292</f>
        <v>0.25</v>
      </c>
      <c r="G2293" s="1672">
        <f>G2292</f>
        <v>0</v>
      </c>
      <c r="H2293" s="1671">
        <f t="shared" si="303"/>
        <v>0</v>
      </c>
      <c r="I2293" s="1671" t="s">
        <v>49</v>
      </c>
      <c r="J2293" s="1668"/>
      <c r="K2293" s="1668"/>
      <c r="L2293" s="1669"/>
    </row>
    <row r="2294" spans="1:12" s="692" customFormat="1" ht="16.5" hidden="1">
      <c r="A2294" s="1665"/>
      <c r="B2294" s="1666"/>
      <c r="C2294" s="688"/>
      <c r="D2294" s="1667"/>
      <c r="E2294" s="1671">
        <f>D491-F2294</f>
        <v>-0.25</v>
      </c>
      <c r="F2294" s="1671">
        <f>F2293</f>
        <v>0.25</v>
      </c>
      <c r="G2294" s="1672">
        <f>G2293</f>
        <v>0</v>
      </c>
      <c r="H2294" s="1671">
        <f t="shared" si="303"/>
        <v>0</v>
      </c>
      <c r="I2294" s="1671" t="s">
        <v>49</v>
      </c>
      <c r="J2294" s="1668"/>
      <c r="K2294" s="1668"/>
      <c r="L2294" s="1669"/>
    </row>
    <row r="2295" spans="1:12" s="692" customFormat="1" ht="16.5" hidden="1">
      <c r="A2295" s="1665"/>
      <c r="B2295" s="1666"/>
      <c r="C2295" s="688"/>
      <c r="D2295" s="1667"/>
      <c r="E2295" s="1671">
        <v>3.5</v>
      </c>
      <c r="F2295" s="1671">
        <v>4</v>
      </c>
      <c r="G2295" s="1672">
        <v>0.15</v>
      </c>
      <c r="H2295" s="1671">
        <f t="shared" si="303"/>
        <v>0</v>
      </c>
      <c r="I2295" s="1671" t="s">
        <v>49</v>
      </c>
      <c r="J2295" s="1668"/>
      <c r="K2295" s="1668"/>
      <c r="L2295" s="1669"/>
    </row>
    <row r="2296" spans="1:12" s="692" customFormat="1" ht="16.5" hidden="1">
      <c r="A2296" s="1665"/>
      <c r="B2296" s="1666"/>
      <c r="C2296" s="688"/>
      <c r="D2296" s="1667"/>
      <c r="E2296" s="1671">
        <v>3.5</v>
      </c>
      <c r="F2296" s="1671">
        <v>4</v>
      </c>
      <c r="G2296" s="1672">
        <v>0.15</v>
      </c>
      <c r="H2296" s="1671">
        <f t="shared" si="303"/>
        <v>0</v>
      </c>
      <c r="I2296" s="1671" t="s">
        <v>49</v>
      </c>
      <c r="J2296" s="1668"/>
      <c r="K2296" s="1668"/>
      <c r="L2296" s="1669"/>
    </row>
    <row r="2297" spans="1:12" s="692" customFormat="1" ht="16.5" hidden="1">
      <c r="A2297" s="1665"/>
      <c r="B2297" s="1666"/>
      <c r="C2297" s="688"/>
      <c r="D2297" s="1667"/>
      <c r="E2297" s="1671">
        <v>3.5</v>
      </c>
      <c r="F2297" s="1671">
        <v>4</v>
      </c>
      <c r="G2297" s="1672">
        <v>0.15</v>
      </c>
      <c r="H2297" s="1671">
        <f t="shared" si="303"/>
        <v>0</v>
      </c>
      <c r="I2297" s="1671" t="s">
        <v>49</v>
      </c>
      <c r="J2297" s="1668"/>
      <c r="K2297" s="1668"/>
      <c r="L2297" s="1669"/>
    </row>
    <row r="2298" spans="1:12" s="692" customFormat="1" ht="16.5" hidden="1">
      <c r="A2298" s="1665"/>
      <c r="B2298" s="1666"/>
      <c r="C2298" s="688"/>
      <c r="D2298" s="1667"/>
      <c r="E2298" s="1671"/>
      <c r="F2298" s="1671"/>
      <c r="G2298" s="1669" t="s">
        <v>928</v>
      </c>
      <c r="H2298" s="1673">
        <f>SUM(H2292:H2297)</f>
        <v>0</v>
      </c>
      <c r="I2298" s="1669" t="s">
        <v>49</v>
      </c>
      <c r="J2298" s="1669">
        <f>'Lead &amp; ANALYSIS'!L543</f>
        <v>18236.900000000001</v>
      </c>
      <c r="K2298" s="1668" t="s">
        <v>1516</v>
      </c>
      <c r="L2298" s="1669">
        <f>ROUND(H2298*J2298,0)</f>
        <v>0</v>
      </c>
    </row>
    <row r="2299" spans="1:12" s="692" customFormat="1" ht="16.5" hidden="1">
      <c r="A2299" s="1665" t="s">
        <v>220</v>
      </c>
      <c r="B2299" s="1666" t="s">
        <v>1848</v>
      </c>
      <c r="C2299" s="688"/>
      <c r="D2299" s="1667"/>
      <c r="E2299" s="688"/>
      <c r="F2299" s="688"/>
      <c r="G2299" s="1674"/>
      <c r="H2299" s="688"/>
      <c r="I2299" s="1668"/>
      <c r="J2299" s="1668"/>
      <c r="K2299" s="1668"/>
      <c r="L2299" s="1669"/>
    </row>
    <row r="2300" spans="1:12" s="692" customFormat="1" ht="16.5" hidden="1">
      <c r="A2300" s="1665"/>
      <c r="B2300" s="1666"/>
      <c r="C2300" s="688"/>
      <c r="D2300" s="1667"/>
      <c r="E2300" s="1671">
        <f>D317+F2300</f>
        <v>1.2</v>
      </c>
      <c r="F2300" s="1671">
        <f>F2255</f>
        <v>1.2</v>
      </c>
      <c r="G2300" s="1672">
        <f>'DRAWING CC'!GI194</f>
        <v>0</v>
      </c>
      <c r="H2300" s="1671">
        <f t="shared" ref="H2300:H2305" si="304">ROUND(D2300*E2300*F2300*G2300,2)</f>
        <v>0</v>
      </c>
      <c r="I2300" s="1671" t="s">
        <v>49</v>
      </c>
      <c r="J2300" s="1668"/>
      <c r="K2300" s="1668"/>
      <c r="L2300" s="1669"/>
    </row>
    <row r="2301" spans="1:12" s="692" customFormat="1" ht="16.5" hidden="1">
      <c r="A2301" s="1665"/>
      <c r="B2301" s="1666"/>
      <c r="C2301" s="688"/>
      <c r="D2301" s="1667"/>
      <c r="E2301" s="1671">
        <f>D318+F2301</f>
        <v>1.2</v>
      </c>
      <c r="F2301" s="1671">
        <f>F2300</f>
        <v>1.2</v>
      </c>
      <c r="G2301" s="1672">
        <f>G2300</f>
        <v>0</v>
      </c>
      <c r="H2301" s="1671">
        <f t="shared" si="304"/>
        <v>0</v>
      </c>
      <c r="I2301" s="1671" t="s">
        <v>49</v>
      </c>
      <c r="J2301" s="1668"/>
      <c r="K2301" s="1668"/>
      <c r="L2301" s="1669"/>
    </row>
    <row r="2302" spans="1:12" s="692" customFormat="1" ht="16.5" hidden="1">
      <c r="A2302" s="1665"/>
      <c r="B2302" s="1666"/>
      <c r="C2302" s="688"/>
      <c r="D2302" s="1667"/>
      <c r="E2302" s="1671">
        <f>D319+F2302</f>
        <v>1.2</v>
      </c>
      <c r="F2302" s="1671">
        <f>F2301</f>
        <v>1.2</v>
      </c>
      <c r="G2302" s="1672">
        <f>G2301</f>
        <v>0</v>
      </c>
      <c r="H2302" s="1671">
        <f t="shared" si="304"/>
        <v>0</v>
      </c>
      <c r="I2302" s="1671" t="s">
        <v>49</v>
      </c>
      <c r="J2302" s="1668"/>
      <c r="K2302" s="1668"/>
      <c r="L2302" s="1669"/>
    </row>
    <row r="2303" spans="1:12" s="692" customFormat="1" ht="16.5" hidden="1">
      <c r="A2303" s="1665"/>
      <c r="B2303" s="1666"/>
      <c r="C2303" s="688"/>
      <c r="D2303" s="1667"/>
      <c r="E2303" s="1671">
        <v>3.5</v>
      </c>
      <c r="F2303" s="1671">
        <v>4</v>
      </c>
      <c r="G2303" s="1672">
        <v>0.15</v>
      </c>
      <c r="H2303" s="1671">
        <f t="shared" si="304"/>
        <v>0</v>
      </c>
      <c r="I2303" s="1671" t="s">
        <v>49</v>
      </c>
      <c r="J2303" s="1668"/>
      <c r="K2303" s="1668"/>
      <c r="L2303" s="1669"/>
    </row>
    <row r="2304" spans="1:12" s="692" customFormat="1" ht="16.5" hidden="1">
      <c r="A2304" s="1665"/>
      <c r="B2304" s="1666"/>
      <c r="C2304" s="688"/>
      <c r="D2304" s="1667"/>
      <c r="E2304" s="1671">
        <v>3.5</v>
      </c>
      <c r="F2304" s="1671">
        <v>4</v>
      </c>
      <c r="G2304" s="1672">
        <v>0.15</v>
      </c>
      <c r="H2304" s="1671">
        <f t="shared" si="304"/>
        <v>0</v>
      </c>
      <c r="I2304" s="1671" t="s">
        <v>49</v>
      </c>
      <c r="J2304" s="1668"/>
      <c r="K2304" s="1668"/>
      <c r="L2304" s="1669"/>
    </row>
    <row r="2305" spans="1:12" s="692" customFormat="1" ht="16.5" hidden="1">
      <c r="A2305" s="1665"/>
      <c r="B2305" s="1666"/>
      <c r="C2305" s="688"/>
      <c r="D2305" s="1667"/>
      <c r="E2305" s="1671">
        <v>3.5</v>
      </c>
      <c r="F2305" s="1671">
        <v>4</v>
      </c>
      <c r="G2305" s="1672">
        <v>0.15</v>
      </c>
      <c r="H2305" s="1671">
        <f t="shared" si="304"/>
        <v>0</v>
      </c>
      <c r="I2305" s="1671" t="s">
        <v>49</v>
      </c>
      <c r="J2305" s="1668"/>
      <c r="K2305" s="1668"/>
      <c r="L2305" s="1669"/>
    </row>
    <row r="2306" spans="1:12" s="692" customFormat="1" ht="16.5" hidden="1">
      <c r="A2306" s="1665"/>
      <c r="B2306" s="1666"/>
      <c r="C2306" s="688"/>
      <c r="D2306" s="1667"/>
      <c r="E2306" s="1671"/>
      <c r="F2306" s="1671"/>
      <c r="G2306" s="1669" t="s">
        <v>928</v>
      </c>
      <c r="H2306" s="1673">
        <f>SUM(H2300:H2305)</f>
        <v>0</v>
      </c>
      <c r="I2306" s="1669" t="s">
        <v>49</v>
      </c>
      <c r="J2306" s="1668"/>
      <c r="K2306" s="1668"/>
      <c r="L2306" s="1669"/>
    </row>
    <row r="2307" spans="1:12" s="692" customFormat="1" ht="16.5" hidden="1">
      <c r="A2307" s="1665"/>
      <c r="B2307" s="1666"/>
      <c r="C2307" s="688"/>
      <c r="D2307" s="1667"/>
      <c r="E2307" s="1671">
        <f>D324+F2307</f>
        <v>0.25</v>
      </c>
      <c r="F2307" s="1671">
        <f>F2262</f>
        <v>0.25</v>
      </c>
      <c r="G2307" s="1672">
        <f>'DRAWING CC'!GI201</f>
        <v>0</v>
      </c>
      <c r="H2307" s="1671">
        <f t="shared" ref="H2307:H2312" si="305">ROUND(D2307*E2307*F2307*G2307,2)</f>
        <v>0</v>
      </c>
      <c r="I2307" s="1671" t="s">
        <v>49</v>
      </c>
      <c r="J2307" s="1668"/>
      <c r="K2307" s="1668"/>
      <c r="L2307" s="1669"/>
    </row>
    <row r="2308" spans="1:12" s="692" customFormat="1" ht="16.5" hidden="1">
      <c r="A2308" s="1665"/>
      <c r="B2308" s="1666"/>
      <c r="C2308" s="688"/>
      <c r="D2308" s="1667"/>
      <c r="E2308" s="1671">
        <f>D327-F2308</f>
        <v>-0.25</v>
      </c>
      <c r="F2308" s="1671">
        <f>F2307</f>
        <v>0.25</v>
      </c>
      <c r="G2308" s="1672">
        <f>G2307</f>
        <v>0</v>
      </c>
      <c r="H2308" s="1671">
        <f t="shared" si="305"/>
        <v>0</v>
      </c>
      <c r="I2308" s="1671" t="s">
        <v>49</v>
      </c>
      <c r="J2308" s="1668"/>
      <c r="K2308" s="1668"/>
      <c r="L2308" s="1669"/>
    </row>
    <row r="2309" spans="1:12" s="692" customFormat="1" ht="16.5" hidden="1">
      <c r="A2309" s="1665"/>
      <c r="B2309" s="1666"/>
      <c r="C2309" s="688"/>
      <c r="D2309" s="1667"/>
      <c r="E2309" s="1671">
        <f>D344-F2309</f>
        <v>-0.25</v>
      </c>
      <c r="F2309" s="1671">
        <f>F2308</f>
        <v>0.25</v>
      </c>
      <c r="G2309" s="1672">
        <f>G2308</f>
        <v>0</v>
      </c>
      <c r="H2309" s="1671">
        <f t="shared" si="305"/>
        <v>0</v>
      </c>
      <c r="I2309" s="1671" t="s">
        <v>49</v>
      </c>
      <c r="J2309" s="1668"/>
      <c r="K2309" s="1668"/>
      <c r="L2309" s="1669"/>
    </row>
    <row r="2310" spans="1:12" s="692" customFormat="1" ht="16.5" hidden="1">
      <c r="A2310" s="1665"/>
      <c r="B2310" s="1666"/>
      <c r="C2310" s="688"/>
      <c r="D2310" s="1667"/>
      <c r="E2310" s="1671">
        <v>3.5</v>
      </c>
      <c r="F2310" s="1671">
        <v>4</v>
      </c>
      <c r="G2310" s="1672">
        <v>0.15</v>
      </c>
      <c r="H2310" s="1671">
        <f t="shared" si="305"/>
        <v>0</v>
      </c>
      <c r="I2310" s="1671" t="s">
        <v>49</v>
      </c>
      <c r="J2310" s="1668"/>
      <c r="K2310" s="1668"/>
      <c r="L2310" s="1669"/>
    </row>
    <row r="2311" spans="1:12" s="692" customFormat="1" ht="16.5" hidden="1">
      <c r="A2311" s="1665"/>
      <c r="B2311" s="1666"/>
      <c r="C2311" s="688"/>
      <c r="D2311" s="1667"/>
      <c r="E2311" s="1671">
        <v>3.5</v>
      </c>
      <c r="F2311" s="1671">
        <v>4</v>
      </c>
      <c r="G2311" s="1672">
        <v>0.15</v>
      </c>
      <c r="H2311" s="1671">
        <f t="shared" si="305"/>
        <v>0</v>
      </c>
      <c r="I2311" s="1671" t="s">
        <v>49</v>
      </c>
      <c r="J2311" s="1668"/>
      <c r="K2311" s="1668"/>
      <c r="L2311" s="1669"/>
    </row>
    <row r="2312" spans="1:12" s="692" customFormat="1" ht="16.5" hidden="1">
      <c r="A2312" s="1665"/>
      <c r="B2312" s="1666"/>
      <c r="C2312" s="688"/>
      <c r="D2312" s="1667"/>
      <c r="E2312" s="1671">
        <v>3.5</v>
      </c>
      <c r="F2312" s="1671">
        <v>4</v>
      </c>
      <c r="G2312" s="1672">
        <v>0.15</v>
      </c>
      <c r="H2312" s="1671">
        <f t="shared" si="305"/>
        <v>0</v>
      </c>
      <c r="I2312" s="1671" t="s">
        <v>49</v>
      </c>
      <c r="J2312" s="1668"/>
      <c r="K2312" s="1668"/>
      <c r="L2312" s="1669"/>
    </row>
    <row r="2313" spans="1:12" s="692" customFormat="1" ht="16.5" hidden="1">
      <c r="A2313" s="1665"/>
      <c r="B2313" s="1666"/>
      <c r="C2313" s="688"/>
      <c r="D2313" s="1667"/>
      <c r="E2313" s="1671"/>
      <c r="F2313" s="1671"/>
      <c r="G2313" s="1669" t="s">
        <v>928</v>
      </c>
      <c r="H2313" s="1673">
        <f>SUM(H2307:H2312)</f>
        <v>0</v>
      </c>
      <c r="I2313" s="1669" t="s">
        <v>49</v>
      </c>
      <c r="J2313" s="1669">
        <f>'Lead &amp; ANALYSIS'!L530</f>
        <v>17384.900000000001</v>
      </c>
      <c r="K2313" s="1668" t="s">
        <v>1516</v>
      </c>
      <c r="L2313" s="1669">
        <f>ROUND(H2313*J2313,0)</f>
        <v>0</v>
      </c>
    </row>
    <row r="2314" spans="1:12" s="692" customFormat="1" ht="16.5" hidden="1">
      <c r="A2314" s="1665" t="s">
        <v>244</v>
      </c>
      <c r="B2314" s="1666" t="s">
        <v>481</v>
      </c>
      <c r="C2314" s="688"/>
      <c r="D2314" s="1667"/>
      <c r="E2314" s="688"/>
      <c r="F2314" s="688"/>
      <c r="G2314" s="1674"/>
      <c r="H2314" s="688"/>
      <c r="I2314" s="1668"/>
      <c r="J2314" s="1668"/>
      <c r="K2314" s="1668"/>
      <c r="L2314" s="1669"/>
    </row>
    <row r="2315" spans="1:12" s="692" customFormat="1" ht="16.5" hidden="1">
      <c r="A2315" s="1665"/>
      <c r="B2315" s="1666" t="s">
        <v>1948</v>
      </c>
      <c r="C2315" s="688"/>
      <c r="D2315" s="1667"/>
      <c r="E2315" s="1671">
        <f>'DRAWING CC'!IL234+0.3</f>
        <v>0.3</v>
      </c>
      <c r="F2315" s="1671">
        <f>'DRAWING CC'!FL160</f>
        <v>0</v>
      </c>
      <c r="G2315" s="1683">
        <f>0.065</f>
        <v>6.5000000000000002E-2</v>
      </c>
      <c r="H2315" s="1671">
        <f t="shared" ref="H2315:H2320" si="306">ROUND(D2315*E2315*F2315*G2315,2)</f>
        <v>0</v>
      </c>
      <c r="I2315" s="1671" t="s">
        <v>49</v>
      </c>
      <c r="J2315" s="1668"/>
      <c r="K2315" s="1668"/>
      <c r="L2315" s="1669"/>
    </row>
    <row r="2316" spans="1:12" s="692" customFormat="1" ht="16.5" hidden="1">
      <c r="A2316" s="1665"/>
      <c r="B2316" s="1666" t="s">
        <v>2987</v>
      </c>
      <c r="C2316" s="688"/>
      <c r="D2316" s="1667"/>
      <c r="E2316" s="1671">
        <f>'DRAWING CC'!AW191</f>
        <v>0</v>
      </c>
      <c r="F2316" s="1671">
        <f>F2315</f>
        <v>0</v>
      </c>
      <c r="G2316" s="1683">
        <f>0.065</f>
        <v>6.5000000000000002E-2</v>
      </c>
      <c r="H2316" s="1671">
        <f t="shared" si="306"/>
        <v>0</v>
      </c>
      <c r="I2316" s="1671" t="s">
        <v>49</v>
      </c>
      <c r="J2316" s="1668"/>
      <c r="K2316" s="1668"/>
      <c r="L2316" s="1669"/>
    </row>
    <row r="2317" spans="1:12" s="692" customFormat="1" ht="16.5" hidden="1">
      <c r="A2317" s="1665"/>
      <c r="B2317" s="1666"/>
      <c r="C2317" s="688"/>
      <c r="D2317" s="1667"/>
      <c r="E2317" s="1671">
        <f>D257-F2317</f>
        <v>0</v>
      </c>
      <c r="F2317" s="1671">
        <f>F2316</f>
        <v>0</v>
      </c>
      <c r="G2317" s="1672">
        <f>G2316</f>
        <v>6.5000000000000002E-2</v>
      </c>
      <c r="H2317" s="1671">
        <f t="shared" si="306"/>
        <v>0</v>
      </c>
      <c r="I2317" s="1671" t="s">
        <v>49</v>
      </c>
      <c r="J2317" s="1668"/>
      <c r="K2317" s="1668"/>
      <c r="L2317" s="1669"/>
    </row>
    <row r="2318" spans="1:12" s="692" customFormat="1" ht="16.5" hidden="1">
      <c r="A2318" s="1665"/>
      <c r="B2318" s="1666"/>
      <c r="C2318" s="688"/>
      <c r="D2318" s="1667"/>
      <c r="E2318" s="1671">
        <v>3.5</v>
      </c>
      <c r="F2318" s="1671">
        <v>4</v>
      </c>
      <c r="G2318" s="1672">
        <v>0.15</v>
      </c>
      <c r="H2318" s="1671">
        <f t="shared" si="306"/>
        <v>0</v>
      </c>
      <c r="I2318" s="1671" t="s">
        <v>49</v>
      </c>
      <c r="J2318" s="1668"/>
      <c r="K2318" s="1668"/>
      <c r="L2318" s="1669"/>
    </row>
    <row r="2319" spans="1:12" s="692" customFormat="1" ht="16.5" hidden="1">
      <c r="A2319" s="1665"/>
      <c r="B2319" s="1666"/>
      <c r="C2319" s="688"/>
      <c r="D2319" s="1667"/>
      <c r="E2319" s="1671">
        <v>3.5</v>
      </c>
      <c r="F2319" s="1671">
        <v>4</v>
      </c>
      <c r="G2319" s="1672">
        <v>0.15</v>
      </c>
      <c r="H2319" s="1671">
        <f t="shared" si="306"/>
        <v>0</v>
      </c>
      <c r="I2319" s="1671" t="s">
        <v>49</v>
      </c>
      <c r="J2319" s="1668"/>
      <c r="K2319" s="1668"/>
      <c r="L2319" s="1669"/>
    </row>
    <row r="2320" spans="1:12" s="692" customFormat="1" ht="16.5" hidden="1">
      <c r="A2320" s="1665"/>
      <c r="B2320" s="1666"/>
      <c r="C2320" s="688"/>
      <c r="D2320" s="1667"/>
      <c r="E2320" s="1671">
        <v>3.5</v>
      </c>
      <c r="F2320" s="1671">
        <v>4</v>
      </c>
      <c r="G2320" s="1672">
        <v>0.15</v>
      </c>
      <c r="H2320" s="1671">
        <f t="shared" si="306"/>
        <v>0</v>
      </c>
      <c r="I2320" s="1671" t="s">
        <v>49</v>
      </c>
      <c r="J2320" s="1668"/>
      <c r="K2320" s="1668"/>
      <c r="L2320" s="1669"/>
    </row>
    <row r="2321" spans="1:12" s="692" customFormat="1" ht="16.5" hidden="1">
      <c r="A2321" s="1665"/>
      <c r="B2321" s="1666"/>
      <c r="C2321" s="688"/>
      <c r="D2321" s="1667"/>
      <c r="E2321" s="1671"/>
      <c r="F2321" s="1671"/>
      <c r="G2321" s="1669" t="s">
        <v>928</v>
      </c>
      <c r="H2321" s="1673">
        <f>SUM(H2315:H2320)</f>
        <v>0</v>
      </c>
      <c r="I2321" s="1669" t="s">
        <v>49</v>
      </c>
      <c r="J2321" s="1668"/>
      <c r="K2321" s="1668"/>
      <c r="L2321" s="1669"/>
    </row>
    <row r="2322" spans="1:12" s="692" customFormat="1" ht="16.5" hidden="1">
      <c r="A2322" s="1665"/>
      <c r="B2322" s="1666" t="s">
        <v>1948</v>
      </c>
      <c r="C2322" s="688"/>
      <c r="D2322" s="1667"/>
      <c r="E2322" s="1671">
        <f>D370+F2322</f>
        <v>0.25</v>
      </c>
      <c r="F2322" s="1671">
        <f>F2307</f>
        <v>0.25</v>
      </c>
      <c r="G2322" s="1672"/>
      <c r="H2322" s="1671">
        <f>ROUND(D2322*E2322*F2322,2)</f>
        <v>0</v>
      </c>
      <c r="I2322" s="1671" t="s">
        <v>92</v>
      </c>
      <c r="J2322" s="1668"/>
      <c r="K2322" s="1668"/>
      <c r="L2322" s="1669"/>
    </row>
    <row r="2323" spans="1:12" s="692" customFormat="1" ht="16.5" hidden="1">
      <c r="A2323" s="1665"/>
      <c r="B2323" s="1666" t="s">
        <v>2987</v>
      </c>
      <c r="C2323" s="688"/>
      <c r="D2323" s="1667"/>
      <c r="E2323" s="1671">
        <f>D373-F2323</f>
        <v>-0.25</v>
      </c>
      <c r="F2323" s="1671">
        <f>F2322</f>
        <v>0.25</v>
      </c>
      <c r="G2323" s="1672"/>
      <c r="H2323" s="1671">
        <f t="shared" ref="H2323:H2327" si="307">ROUND(D2323*E2323*F2323,2)</f>
        <v>0</v>
      </c>
      <c r="I2323" s="1671" t="s">
        <v>92</v>
      </c>
      <c r="J2323" s="1668"/>
      <c r="K2323" s="1668"/>
      <c r="L2323" s="1669"/>
    </row>
    <row r="2324" spans="1:12" s="692" customFormat="1" ht="16.5" hidden="1">
      <c r="A2324" s="1665"/>
      <c r="B2324" s="1666"/>
      <c r="C2324" s="688"/>
      <c r="D2324" s="1667"/>
      <c r="E2324" s="1671">
        <f>D374-F2324</f>
        <v>-0.25</v>
      </c>
      <c r="F2324" s="1671">
        <f>F2323</f>
        <v>0.25</v>
      </c>
      <c r="G2324" s="1672"/>
      <c r="H2324" s="1671">
        <f t="shared" si="307"/>
        <v>0</v>
      </c>
      <c r="I2324" s="1671" t="s">
        <v>92</v>
      </c>
      <c r="J2324" s="1668"/>
      <c r="K2324" s="1668"/>
      <c r="L2324" s="1669"/>
    </row>
    <row r="2325" spans="1:12" s="692" customFormat="1" ht="16.5" hidden="1">
      <c r="A2325" s="1665"/>
      <c r="B2325" s="1666"/>
      <c r="C2325" s="688"/>
      <c r="D2325" s="1667"/>
      <c r="E2325" s="1671">
        <v>3.5</v>
      </c>
      <c r="F2325" s="1671">
        <v>4</v>
      </c>
      <c r="G2325" s="1672"/>
      <c r="H2325" s="1671">
        <f t="shared" si="307"/>
        <v>0</v>
      </c>
      <c r="I2325" s="1671" t="s">
        <v>92</v>
      </c>
      <c r="J2325" s="1668"/>
      <c r="K2325" s="1668"/>
      <c r="L2325" s="1669"/>
    </row>
    <row r="2326" spans="1:12" s="692" customFormat="1" ht="16.5" hidden="1">
      <c r="A2326" s="1665"/>
      <c r="B2326" s="1666"/>
      <c r="C2326" s="688"/>
      <c r="D2326" s="1667"/>
      <c r="E2326" s="1671">
        <v>3.5</v>
      </c>
      <c r="F2326" s="1671">
        <v>4</v>
      </c>
      <c r="G2326" s="1672"/>
      <c r="H2326" s="1671">
        <f t="shared" si="307"/>
        <v>0</v>
      </c>
      <c r="I2326" s="1671" t="s">
        <v>92</v>
      </c>
      <c r="J2326" s="1668"/>
      <c r="K2326" s="1668"/>
      <c r="L2326" s="1669"/>
    </row>
    <row r="2327" spans="1:12" s="692" customFormat="1" ht="16.5" hidden="1">
      <c r="A2327" s="1665"/>
      <c r="B2327" s="1666"/>
      <c r="C2327" s="688"/>
      <c r="D2327" s="1667"/>
      <c r="E2327" s="1671">
        <v>3.5</v>
      </c>
      <c r="F2327" s="1671">
        <v>4</v>
      </c>
      <c r="G2327" s="1672"/>
      <c r="H2327" s="1671">
        <f t="shared" si="307"/>
        <v>0</v>
      </c>
      <c r="I2327" s="1671" t="s">
        <v>92</v>
      </c>
      <c r="J2327" s="1668"/>
      <c r="K2327" s="1668"/>
      <c r="L2327" s="1669"/>
    </row>
    <row r="2328" spans="1:12" s="692" customFormat="1" ht="16.5" hidden="1">
      <c r="A2328" s="1665"/>
      <c r="B2328" s="1666"/>
      <c r="C2328" s="688"/>
      <c r="D2328" s="1667"/>
      <c r="E2328" s="1671"/>
      <c r="F2328" s="1671"/>
      <c r="G2328" s="1669" t="s">
        <v>928</v>
      </c>
      <c r="H2328" s="1673">
        <f>SUM(H2322:H2327)</f>
        <v>0</v>
      </c>
      <c r="I2328" s="1671" t="s">
        <v>92</v>
      </c>
      <c r="J2328" s="1669">
        <f>'Lead &amp; ANALYSIS'!L582</f>
        <v>1443</v>
      </c>
      <c r="K2328" s="1668" t="s">
        <v>1514</v>
      </c>
      <c r="L2328" s="1669">
        <f>ROUND(H2328*J2328,0)</f>
        <v>0</v>
      </c>
    </row>
    <row r="2329" spans="1:12" s="692" customFormat="1" ht="16.5" hidden="1">
      <c r="A2329" s="1665" t="s">
        <v>291</v>
      </c>
      <c r="B2329" s="1666" t="s">
        <v>3401</v>
      </c>
      <c r="C2329" s="688"/>
      <c r="D2329" s="1667"/>
      <c r="E2329" s="688"/>
      <c r="F2329" s="688"/>
      <c r="G2329" s="1674"/>
      <c r="H2329" s="688"/>
      <c r="I2329" s="1668"/>
      <c r="J2329" s="1668"/>
      <c r="K2329" s="1668"/>
      <c r="L2329" s="1669"/>
    </row>
    <row r="2330" spans="1:12" s="692" customFormat="1" ht="16.5" hidden="1">
      <c r="A2330" s="1665"/>
      <c r="B2330" s="1666"/>
      <c r="C2330" s="688"/>
      <c r="D2330" s="1667"/>
      <c r="E2330" s="1671">
        <f>D279+F2330</f>
        <v>0</v>
      </c>
      <c r="F2330" s="1671">
        <f>F2315</f>
        <v>0</v>
      </c>
      <c r="G2330" s="1672">
        <f>'DRAWING CC'!GI172</f>
        <v>0</v>
      </c>
      <c r="H2330" s="1671">
        <f t="shared" ref="H2330:H2335" si="308">ROUND(D2330*E2330*F2330*G2330,2)</f>
        <v>0</v>
      </c>
      <c r="I2330" s="1671" t="s">
        <v>49</v>
      </c>
      <c r="J2330" s="1668"/>
      <c r="K2330" s="1668"/>
      <c r="L2330" s="1669"/>
    </row>
    <row r="2331" spans="1:12" s="692" customFormat="1" ht="16.5" hidden="1">
      <c r="A2331" s="1665"/>
      <c r="B2331" s="1666"/>
      <c r="C2331" s="688"/>
      <c r="D2331" s="1667"/>
      <c r="E2331" s="1671">
        <f>D282-F2331</f>
        <v>0</v>
      </c>
      <c r="F2331" s="1671">
        <f>F2330</f>
        <v>0</v>
      </c>
      <c r="G2331" s="1672">
        <f>G2330</f>
        <v>0</v>
      </c>
      <c r="H2331" s="1671">
        <f t="shared" si="308"/>
        <v>0</v>
      </c>
      <c r="I2331" s="1671" t="s">
        <v>49</v>
      </c>
      <c r="J2331" s="1668"/>
      <c r="K2331" s="1668"/>
      <c r="L2331" s="1669"/>
    </row>
    <row r="2332" spans="1:12" s="692" customFormat="1" ht="16.5" hidden="1">
      <c r="A2332" s="1665"/>
      <c r="B2332" s="1666"/>
      <c r="C2332" s="688"/>
      <c r="D2332" s="1667"/>
      <c r="E2332" s="1671">
        <f>D283-F2332</f>
        <v>0</v>
      </c>
      <c r="F2332" s="1671">
        <f>F2331</f>
        <v>0</v>
      </c>
      <c r="G2332" s="1672">
        <f>G2331</f>
        <v>0</v>
      </c>
      <c r="H2332" s="1671">
        <f t="shared" si="308"/>
        <v>0</v>
      </c>
      <c r="I2332" s="1671" t="s">
        <v>49</v>
      </c>
      <c r="J2332" s="1668"/>
      <c r="K2332" s="1668"/>
      <c r="L2332" s="1669"/>
    </row>
    <row r="2333" spans="1:12" s="692" customFormat="1" ht="16.5" hidden="1">
      <c r="A2333" s="1665"/>
      <c r="B2333" s="1666"/>
      <c r="C2333" s="688"/>
      <c r="D2333" s="1667"/>
      <c r="E2333" s="1671">
        <v>3.5</v>
      </c>
      <c r="F2333" s="1671">
        <v>4</v>
      </c>
      <c r="G2333" s="1672">
        <v>0.15</v>
      </c>
      <c r="H2333" s="1671">
        <f t="shared" si="308"/>
        <v>0</v>
      </c>
      <c r="I2333" s="1671" t="s">
        <v>49</v>
      </c>
      <c r="J2333" s="1668"/>
      <c r="K2333" s="1668"/>
      <c r="L2333" s="1669"/>
    </row>
    <row r="2334" spans="1:12" s="692" customFormat="1" ht="16.5" hidden="1">
      <c r="A2334" s="1665"/>
      <c r="B2334" s="1666"/>
      <c r="C2334" s="688"/>
      <c r="D2334" s="1667"/>
      <c r="E2334" s="1671">
        <v>3.5</v>
      </c>
      <c r="F2334" s="1671">
        <v>4</v>
      </c>
      <c r="G2334" s="1672">
        <v>0.15</v>
      </c>
      <c r="H2334" s="1671">
        <f t="shared" si="308"/>
        <v>0</v>
      </c>
      <c r="I2334" s="1671" t="s">
        <v>49</v>
      </c>
      <c r="J2334" s="1668"/>
      <c r="K2334" s="1668"/>
      <c r="L2334" s="1669"/>
    </row>
    <row r="2335" spans="1:12" s="692" customFormat="1" ht="16.5" hidden="1">
      <c r="A2335" s="1665"/>
      <c r="B2335" s="1666"/>
      <c r="C2335" s="688"/>
      <c r="D2335" s="1667"/>
      <c r="E2335" s="1671">
        <v>3.5</v>
      </c>
      <c r="F2335" s="1671">
        <v>4</v>
      </c>
      <c r="G2335" s="1672">
        <v>0.15</v>
      </c>
      <c r="H2335" s="1671">
        <f t="shared" si="308"/>
        <v>0</v>
      </c>
      <c r="I2335" s="1671" t="s">
        <v>49</v>
      </c>
      <c r="J2335" s="1668"/>
      <c r="K2335" s="1668"/>
      <c r="L2335" s="1669"/>
    </row>
    <row r="2336" spans="1:12" s="692" customFormat="1" ht="16.5" hidden="1">
      <c r="A2336" s="1665"/>
      <c r="B2336" s="1666"/>
      <c r="C2336" s="688"/>
      <c r="D2336" s="1667"/>
      <c r="E2336" s="1671"/>
      <c r="F2336" s="1671"/>
      <c r="G2336" s="1669" t="s">
        <v>928</v>
      </c>
      <c r="H2336" s="1673">
        <f>SUM(H2330:H2335)</f>
        <v>0</v>
      </c>
      <c r="I2336" s="1669" t="s">
        <v>49</v>
      </c>
      <c r="J2336" s="1668"/>
      <c r="K2336" s="1668"/>
      <c r="L2336" s="1669"/>
    </row>
    <row r="2337" spans="1:12" s="692" customFormat="1" ht="16.5" hidden="1">
      <c r="A2337" s="1665"/>
      <c r="B2337" s="1666"/>
      <c r="C2337" s="688"/>
      <c r="D2337" s="1667"/>
      <c r="E2337" s="1671">
        <f>D286+F2337</f>
        <v>0.25</v>
      </c>
      <c r="F2337" s="1671">
        <f>F2322</f>
        <v>0.25</v>
      </c>
      <c r="G2337" s="1672">
        <f>'DRAWING CC'!GI179</f>
        <v>0</v>
      </c>
      <c r="H2337" s="1671">
        <f t="shared" ref="H2337:H2342" si="309">ROUND(D2337*E2337*F2337*G2337,2)</f>
        <v>0</v>
      </c>
      <c r="I2337" s="1671" t="s">
        <v>49</v>
      </c>
      <c r="J2337" s="1668"/>
      <c r="K2337" s="1668"/>
      <c r="L2337" s="1669"/>
    </row>
    <row r="2338" spans="1:12" s="692" customFormat="1" ht="16.5" hidden="1">
      <c r="A2338" s="1665"/>
      <c r="B2338" s="1666"/>
      <c r="C2338" s="688"/>
      <c r="D2338" s="1667"/>
      <c r="E2338" s="1671">
        <f>D289-F2338</f>
        <v>-0.25</v>
      </c>
      <c r="F2338" s="1671">
        <f>F2337</f>
        <v>0.25</v>
      </c>
      <c r="G2338" s="1672">
        <f>G2337</f>
        <v>0</v>
      </c>
      <c r="H2338" s="1671">
        <f t="shared" si="309"/>
        <v>0</v>
      </c>
      <c r="I2338" s="1671" t="s">
        <v>49</v>
      </c>
      <c r="J2338" s="1668"/>
      <c r="K2338" s="1668"/>
      <c r="L2338" s="1669"/>
    </row>
    <row r="2339" spans="1:12" s="692" customFormat="1" ht="16.5" hidden="1">
      <c r="A2339" s="1665"/>
      <c r="B2339" s="1666"/>
      <c r="C2339" s="688"/>
      <c r="D2339" s="1667"/>
      <c r="E2339" s="1671">
        <f>D290-F2339</f>
        <v>-0.25</v>
      </c>
      <c r="F2339" s="1671">
        <f>F2338</f>
        <v>0.25</v>
      </c>
      <c r="G2339" s="1672">
        <f>G2338</f>
        <v>0</v>
      </c>
      <c r="H2339" s="1671">
        <f t="shared" si="309"/>
        <v>0</v>
      </c>
      <c r="I2339" s="1671" t="s">
        <v>49</v>
      </c>
      <c r="J2339" s="1668"/>
      <c r="K2339" s="1668"/>
      <c r="L2339" s="1669"/>
    </row>
    <row r="2340" spans="1:12" s="692" customFormat="1" ht="16.5" hidden="1">
      <c r="A2340" s="1665"/>
      <c r="B2340" s="1666"/>
      <c r="C2340" s="688"/>
      <c r="D2340" s="1667"/>
      <c r="E2340" s="1671">
        <v>3.5</v>
      </c>
      <c r="F2340" s="1671">
        <v>4</v>
      </c>
      <c r="G2340" s="1672">
        <v>0.15</v>
      </c>
      <c r="H2340" s="1671">
        <f t="shared" si="309"/>
        <v>0</v>
      </c>
      <c r="I2340" s="1671" t="s">
        <v>49</v>
      </c>
      <c r="J2340" s="1668"/>
      <c r="K2340" s="1668"/>
      <c r="L2340" s="1669"/>
    </row>
    <row r="2341" spans="1:12" s="692" customFormat="1" ht="16.5" hidden="1">
      <c r="A2341" s="1665"/>
      <c r="B2341" s="1666"/>
      <c r="C2341" s="688"/>
      <c r="D2341" s="1667"/>
      <c r="E2341" s="1671">
        <v>3.5</v>
      </c>
      <c r="F2341" s="1671">
        <v>4</v>
      </c>
      <c r="G2341" s="1672">
        <v>0.15</v>
      </c>
      <c r="H2341" s="1671">
        <f t="shared" si="309"/>
        <v>0</v>
      </c>
      <c r="I2341" s="1671" t="s">
        <v>49</v>
      </c>
      <c r="J2341" s="1668"/>
      <c r="K2341" s="1668"/>
      <c r="L2341" s="1669"/>
    </row>
    <row r="2342" spans="1:12" s="692" customFormat="1" ht="16.5" hidden="1">
      <c r="A2342" s="1665"/>
      <c r="B2342" s="1666"/>
      <c r="C2342" s="688"/>
      <c r="D2342" s="1667"/>
      <c r="E2342" s="1671">
        <v>3.5</v>
      </c>
      <c r="F2342" s="1671">
        <v>4</v>
      </c>
      <c r="G2342" s="1672">
        <v>0.15</v>
      </c>
      <c r="H2342" s="1671">
        <f t="shared" si="309"/>
        <v>0</v>
      </c>
      <c r="I2342" s="1671" t="s">
        <v>49</v>
      </c>
      <c r="J2342" s="1668"/>
      <c r="K2342" s="1668"/>
      <c r="L2342" s="1669"/>
    </row>
    <row r="2343" spans="1:12" s="692" customFormat="1" ht="16.5" hidden="1">
      <c r="A2343" s="1665"/>
      <c r="B2343" s="1666"/>
      <c r="C2343" s="688"/>
      <c r="D2343" s="1667"/>
      <c r="E2343" s="1671"/>
      <c r="F2343" s="1671"/>
      <c r="G2343" s="1669" t="s">
        <v>928</v>
      </c>
      <c r="H2343" s="1673">
        <f>SUM(H2337:H2342)</f>
        <v>0</v>
      </c>
      <c r="I2343" s="1669" t="s">
        <v>49</v>
      </c>
      <c r="J2343" s="1669">
        <f>'Lead &amp; ANALYSIS'!L543</f>
        <v>18236.900000000001</v>
      </c>
      <c r="K2343" s="1668" t="s">
        <v>1516</v>
      </c>
      <c r="L2343" s="1669">
        <f>ROUND(H2343*J2343,0)</f>
        <v>0</v>
      </c>
    </row>
    <row r="2344" spans="1:12" s="692" customFormat="1" ht="16.5" hidden="1">
      <c r="A2344" s="1665" t="s">
        <v>308</v>
      </c>
      <c r="B2344" s="1666" t="s">
        <v>1926</v>
      </c>
      <c r="C2344" s="688"/>
      <c r="D2344" s="1667"/>
      <c r="E2344" s="688"/>
      <c r="F2344" s="688"/>
      <c r="G2344" s="1674"/>
      <c r="H2344" s="688"/>
      <c r="I2344" s="1668"/>
      <c r="J2344" s="1668"/>
      <c r="K2344" s="1668"/>
      <c r="L2344" s="1669"/>
    </row>
    <row r="2345" spans="1:12" s="692" customFormat="1" ht="16.5" hidden="1">
      <c r="A2345" s="1665"/>
      <c r="B2345" s="1666"/>
      <c r="C2345" s="688"/>
      <c r="D2345" s="1667"/>
      <c r="E2345" s="1671">
        <f>D544+F2345</f>
        <v>0</v>
      </c>
      <c r="F2345" s="1671">
        <f>F2330</f>
        <v>0</v>
      </c>
      <c r="G2345" s="1672">
        <f>'DRAWING CC'!GI309</f>
        <v>0</v>
      </c>
      <c r="H2345" s="1671">
        <f t="shared" ref="H2345:H2350" si="310">ROUND(D2345*E2345*F2345*G2345,2)</f>
        <v>0</v>
      </c>
      <c r="I2345" s="1671" t="s">
        <v>49</v>
      </c>
      <c r="J2345" s="1668"/>
      <c r="K2345" s="1668"/>
      <c r="L2345" s="1669"/>
    </row>
    <row r="2346" spans="1:12" s="692" customFormat="1" ht="16.5" hidden="1">
      <c r="A2346" s="1665"/>
      <c r="B2346" s="1666"/>
      <c r="C2346" s="688"/>
      <c r="D2346" s="1667"/>
      <c r="E2346" s="1671">
        <f>D547-F2346</f>
        <v>0</v>
      </c>
      <c r="F2346" s="1671">
        <f>F2345</f>
        <v>0</v>
      </c>
      <c r="G2346" s="1672">
        <f>G2345</f>
        <v>0</v>
      </c>
      <c r="H2346" s="1671">
        <f t="shared" si="310"/>
        <v>0</v>
      </c>
      <c r="I2346" s="1671" t="s">
        <v>49</v>
      </c>
      <c r="J2346" s="1668"/>
      <c r="K2346" s="1668"/>
      <c r="L2346" s="1669"/>
    </row>
    <row r="2347" spans="1:12" s="692" customFormat="1" ht="16.5" hidden="1">
      <c r="A2347" s="1665"/>
      <c r="B2347" s="1666"/>
      <c r="C2347" s="688"/>
      <c r="D2347" s="1667"/>
      <c r="E2347" s="1671">
        <f>D548-F2347</f>
        <v>0</v>
      </c>
      <c r="F2347" s="1671">
        <f>F2346</f>
        <v>0</v>
      </c>
      <c r="G2347" s="1672">
        <f>G2346</f>
        <v>0</v>
      </c>
      <c r="H2347" s="1671">
        <f t="shared" si="310"/>
        <v>0</v>
      </c>
      <c r="I2347" s="1671" t="s">
        <v>49</v>
      </c>
      <c r="J2347" s="1668"/>
      <c r="K2347" s="1668"/>
      <c r="L2347" s="1669"/>
    </row>
    <row r="2348" spans="1:12" s="692" customFormat="1" ht="16.5" hidden="1">
      <c r="A2348" s="1665"/>
      <c r="B2348" s="1666"/>
      <c r="C2348" s="688"/>
      <c r="D2348" s="1667"/>
      <c r="E2348" s="1671">
        <v>3.5</v>
      </c>
      <c r="F2348" s="1671">
        <v>4</v>
      </c>
      <c r="G2348" s="1672">
        <v>0.15</v>
      </c>
      <c r="H2348" s="1671">
        <f t="shared" si="310"/>
        <v>0</v>
      </c>
      <c r="I2348" s="1671" t="s">
        <v>49</v>
      </c>
      <c r="J2348" s="1668"/>
      <c r="K2348" s="1668"/>
      <c r="L2348" s="1669"/>
    </row>
    <row r="2349" spans="1:12" s="692" customFormat="1" ht="16.5" hidden="1">
      <c r="A2349" s="1665"/>
      <c r="B2349" s="1666"/>
      <c r="C2349" s="688"/>
      <c r="D2349" s="1667"/>
      <c r="E2349" s="1671">
        <v>3.5</v>
      </c>
      <c r="F2349" s="1671">
        <v>4</v>
      </c>
      <c r="G2349" s="1672">
        <v>0.15</v>
      </c>
      <c r="H2349" s="1671">
        <f t="shared" si="310"/>
        <v>0</v>
      </c>
      <c r="I2349" s="1671" t="s">
        <v>49</v>
      </c>
      <c r="J2349" s="1668"/>
      <c r="K2349" s="1668"/>
      <c r="L2349" s="1669"/>
    </row>
    <row r="2350" spans="1:12" s="692" customFormat="1" ht="16.5" hidden="1">
      <c r="A2350" s="1665"/>
      <c r="B2350" s="1666"/>
      <c r="C2350" s="688"/>
      <c r="D2350" s="1667"/>
      <c r="E2350" s="1671">
        <v>3.5</v>
      </c>
      <c r="F2350" s="1671">
        <v>4</v>
      </c>
      <c r="G2350" s="1672">
        <v>0.15</v>
      </c>
      <c r="H2350" s="1671">
        <f t="shared" si="310"/>
        <v>0</v>
      </c>
      <c r="I2350" s="1671" t="s">
        <v>49</v>
      </c>
      <c r="J2350" s="1668"/>
      <c r="K2350" s="1668"/>
      <c r="L2350" s="1669"/>
    </row>
    <row r="2351" spans="1:12" s="692" customFormat="1" ht="16.5" hidden="1">
      <c r="A2351" s="1665"/>
      <c r="B2351" s="1666"/>
      <c r="C2351" s="688"/>
      <c r="D2351" s="1667"/>
      <c r="E2351" s="1671"/>
      <c r="F2351" s="1671"/>
      <c r="G2351" s="1669" t="s">
        <v>928</v>
      </c>
      <c r="H2351" s="1673">
        <f>SUM(H2345:H2350)</f>
        <v>0</v>
      </c>
      <c r="I2351" s="1669" t="s">
        <v>49</v>
      </c>
      <c r="J2351" s="1668"/>
      <c r="K2351" s="1668"/>
      <c r="L2351" s="1669"/>
    </row>
    <row r="2352" spans="1:12" s="692" customFormat="1" ht="16.5" hidden="1">
      <c r="A2352" s="1665"/>
      <c r="B2352" s="1666"/>
      <c r="C2352" s="688"/>
      <c r="D2352" s="1667"/>
      <c r="E2352" s="1671">
        <f>D400+F2352</f>
        <v>0.25</v>
      </c>
      <c r="F2352" s="1671">
        <f>F2337</f>
        <v>0.25</v>
      </c>
      <c r="G2352" s="1672"/>
      <c r="H2352" s="1671">
        <f>ROUND(D2352*E2352*F2352,2)</f>
        <v>0</v>
      </c>
      <c r="I2352" s="1671" t="s">
        <v>92</v>
      </c>
      <c r="J2352" s="1668"/>
      <c r="K2352" s="1668"/>
      <c r="L2352" s="1669"/>
    </row>
    <row r="2353" spans="1:12" s="692" customFormat="1" ht="16.5" hidden="1">
      <c r="A2353" s="1665"/>
      <c r="B2353" s="1666"/>
      <c r="C2353" s="688"/>
      <c r="D2353" s="1667"/>
      <c r="E2353" s="1671">
        <f>D403-F2353</f>
        <v>-0.25</v>
      </c>
      <c r="F2353" s="1671">
        <f>F2352</f>
        <v>0.25</v>
      </c>
      <c r="G2353" s="1672"/>
      <c r="H2353" s="1671">
        <f t="shared" ref="H2353:H2357" si="311">ROUND(D2353*E2353*F2353,2)</f>
        <v>0</v>
      </c>
      <c r="I2353" s="1671" t="s">
        <v>92</v>
      </c>
      <c r="J2353" s="1668"/>
      <c r="K2353" s="1668"/>
      <c r="L2353" s="1669"/>
    </row>
    <row r="2354" spans="1:12" s="692" customFormat="1" ht="16.5" hidden="1">
      <c r="A2354" s="1665"/>
      <c r="B2354" s="1666"/>
      <c r="C2354" s="688"/>
      <c r="D2354" s="1667"/>
      <c r="E2354" s="1671">
        <f>D404-F2354</f>
        <v>-0.25</v>
      </c>
      <c r="F2354" s="1671">
        <f>F2353</f>
        <v>0.25</v>
      </c>
      <c r="G2354" s="1672"/>
      <c r="H2354" s="1671">
        <f t="shared" si="311"/>
        <v>0</v>
      </c>
      <c r="I2354" s="1671" t="s">
        <v>92</v>
      </c>
      <c r="J2354" s="1668"/>
      <c r="K2354" s="1668"/>
      <c r="L2354" s="1669"/>
    </row>
    <row r="2355" spans="1:12" s="692" customFormat="1" ht="16.5" hidden="1">
      <c r="A2355" s="1665"/>
      <c r="B2355" s="1666"/>
      <c r="C2355" s="688"/>
      <c r="D2355" s="1667"/>
      <c r="E2355" s="1671">
        <v>3.5</v>
      </c>
      <c r="F2355" s="1671">
        <v>4</v>
      </c>
      <c r="G2355" s="1672"/>
      <c r="H2355" s="1671">
        <f t="shared" si="311"/>
        <v>0</v>
      </c>
      <c r="I2355" s="1671" t="s">
        <v>92</v>
      </c>
      <c r="J2355" s="1668"/>
      <c r="K2355" s="1668"/>
      <c r="L2355" s="1669"/>
    </row>
    <row r="2356" spans="1:12" s="692" customFormat="1" ht="16.5" hidden="1">
      <c r="A2356" s="1665"/>
      <c r="B2356" s="1666"/>
      <c r="C2356" s="688"/>
      <c r="D2356" s="1667"/>
      <c r="E2356" s="1671">
        <v>3.5</v>
      </c>
      <c r="F2356" s="1671">
        <v>4</v>
      </c>
      <c r="G2356" s="1672"/>
      <c r="H2356" s="1671">
        <f t="shared" si="311"/>
        <v>0</v>
      </c>
      <c r="I2356" s="1671" t="s">
        <v>92</v>
      </c>
      <c r="J2356" s="1668"/>
      <c r="K2356" s="1668"/>
      <c r="L2356" s="1669"/>
    </row>
    <row r="2357" spans="1:12" s="692" customFormat="1" ht="16.5" hidden="1">
      <c r="A2357" s="1665"/>
      <c r="B2357" s="1666"/>
      <c r="C2357" s="688"/>
      <c r="D2357" s="1667"/>
      <c r="E2357" s="1671">
        <v>3.5</v>
      </c>
      <c r="F2357" s="1671">
        <v>4</v>
      </c>
      <c r="G2357" s="1672"/>
      <c r="H2357" s="1671">
        <f t="shared" si="311"/>
        <v>0</v>
      </c>
      <c r="I2357" s="1671" t="s">
        <v>92</v>
      </c>
      <c r="J2357" s="1668"/>
      <c r="K2357" s="1668"/>
      <c r="L2357" s="1669"/>
    </row>
    <row r="2358" spans="1:12" s="692" customFormat="1" ht="16.5" hidden="1">
      <c r="A2358" s="1665"/>
      <c r="B2358" s="1666"/>
      <c r="C2358" s="688"/>
      <c r="D2358" s="1667"/>
      <c r="E2358" s="1671"/>
      <c r="F2358" s="1671"/>
      <c r="G2358" s="1669" t="s">
        <v>928</v>
      </c>
      <c r="H2358" s="1673">
        <f>SUM(H2352:H2357)</f>
        <v>0</v>
      </c>
      <c r="I2358" s="1671" t="s">
        <v>92</v>
      </c>
      <c r="J2358" s="1669">
        <f>'Lead &amp; ANALYSIS'!L608</f>
        <v>2579</v>
      </c>
      <c r="K2358" s="1668" t="s">
        <v>1514</v>
      </c>
      <c r="L2358" s="1669">
        <f>ROUND(H2358*J2358,0)</f>
        <v>0</v>
      </c>
    </row>
    <row r="2359" spans="1:12" s="692" customFormat="1" ht="16.5" hidden="1">
      <c r="A2359" s="1665" t="s">
        <v>352</v>
      </c>
      <c r="B2359" s="1666" t="s">
        <v>3416</v>
      </c>
      <c r="C2359" s="688"/>
      <c r="D2359" s="1667"/>
      <c r="E2359" s="688"/>
      <c r="F2359" s="688"/>
      <c r="G2359" s="1674"/>
      <c r="H2359" s="688"/>
      <c r="I2359" s="1668"/>
      <c r="J2359" s="1668"/>
      <c r="K2359" s="1668"/>
      <c r="L2359" s="1669"/>
    </row>
    <row r="2360" spans="1:12" s="692" customFormat="1" ht="16.5" hidden="1">
      <c r="A2360" s="1665"/>
      <c r="B2360" s="1666"/>
      <c r="C2360" s="688"/>
      <c r="D2360" s="1667"/>
      <c r="E2360" s="1671">
        <f>D552+F2360</f>
        <v>0</v>
      </c>
      <c r="F2360" s="1671">
        <f>F2345</f>
        <v>0</v>
      </c>
      <c r="G2360" s="1672">
        <f>'DRAWING CC'!GI317</f>
        <v>0</v>
      </c>
      <c r="H2360" s="1671">
        <f t="shared" ref="H2360:H2365" si="312">ROUND(D2360*E2360*F2360*G2360,2)</f>
        <v>0</v>
      </c>
      <c r="I2360" s="1671" t="s">
        <v>49</v>
      </c>
      <c r="J2360" s="1668"/>
      <c r="K2360" s="1668"/>
      <c r="L2360" s="1669"/>
    </row>
    <row r="2361" spans="1:12" s="692" customFormat="1" ht="16.5" hidden="1">
      <c r="A2361" s="1665"/>
      <c r="B2361" s="1666"/>
      <c r="C2361" s="688"/>
      <c r="D2361" s="1667"/>
      <c r="E2361" s="1671">
        <f>D555-F2361</f>
        <v>0</v>
      </c>
      <c r="F2361" s="1671">
        <f>F2360</f>
        <v>0</v>
      </c>
      <c r="G2361" s="1672">
        <f>G2360</f>
        <v>0</v>
      </c>
      <c r="H2361" s="1671">
        <f t="shared" si="312"/>
        <v>0</v>
      </c>
      <c r="I2361" s="1671" t="s">
        <v>49</v>
      </c>
      <c r="J2361" s="1668"/>
      <c r="K2361" s="1668"/>
      <c r="L2361" s="1669"/>
    </row>
    <row r="2362" spans="1:12" s="692" customFormat="1" ht="16.5" hidden="1">
      <c r="A2362" s="1665"/>
      <c r="B2362" s="1666"/>
      <c r="C2362" s="688"/>
      <c r="D2362" s="1667"/>
      <c r="E2362" s="1671">
        <f>D556-F2362</f>
        <v>0</v>
      </c>
      <c r="F2362" s="1671">
        <f>F2361</f>
        <v>0</v>
      </c>
      <c r="G2362" s="1672">
        <f>G2361</f>
        <v>0</v>
      </c>
      <c r="H2362" s="1671">
        <f t="shared" si="312"/>
        <v>0</v>
      </c>
      <c r="I2362" s="1671" t="s">
        <v>49</v>
      </c>
      <c r="J2362" s="1668"/>
      <c r="K2362" s="1668"/>
      <c r="L2362" s="1669"/>
    </row>
    <row r="2363" spans="1:12" s="692" customFormat="1" ht="16.5" hidden="1">
      <c r="A2363" s="1665"/>
      <c r="B2363" s="1666"/>
      <c r="C2363" s="688"/>
      <c r="D2363" s="1667"/>
      <c r="E2363" s="1671">
        <v>3.5</v>
      </c>
      <c r="F2363" s="1671">
        <v>4</v>
      </c>
      <c r="G2363" s="1672">
        <v>0.15</v>
      </c>
      <c r="H2363" s="1671">
        <f t="shared" si="312"/>
        <v>0</v>
      </c>
      <c r="I2363" s="1671" t="s">
        <v>49</v>
      </c>
      <c r="J2363" s="1668"/>
      <c r="K2363" s="1668"/>
      <c r="L2363" s="1669"/>
    </row>
    <row r="2364" spans="1:12" s="692" customFormat="1" ht="16.5" hidden="1">
      <c r="A2364" s="1665"/>
      <c r="B2364" s="1666"/>
      <c r="C2364" s="688"/>
      <c r="D2364" s="1667"/>
      <c r="E2364" s="1671">
        <v>3.5</v>
      </c>
      <c r="F2364" s="1671">
        <v>4</v>
      </c>
      <c r="G2364" s="1672">
        <v>0.15</v>
      </c>
      <c r="H2364" s="1671">
        <f t="shared" si="312"/>
        <v>0</v>
      </c>
      <c r="I2364" s="1671" t="s">
        <v>49</v>
      </c>
      <c r="J2364" s="1668"/>
      <c r="K2364" s="1668"/>
      <c r="L2364" s="1669"/>
    </row>
    <row r="2365" spans="1:12" s="692" customFormat="1" ht="16.5" hidden="1">
      <c r="A2365" s="1665"/>
      <c r="B2365" s="1666"/>
      <c r="C2365" s="688"/>
      <c r="D2365" s="1667"/>
      <c r="E2365" s="1671">
        <v>3.5</v>
      </c>
      <c r="F2365" s="1671">
        <v>4</v>
      </c>
      <c r="G2365" s="1672">
        <v>0.15</v>
      </c>
      <c r="H2365" s="1671">
        <f t="shared" si="312"/>
        <v>0</v>
      </c>
      <c r="I2365" s="1671" t="s">
        <v>49</v>
      </c>
      <c r="J2365" s="1668"/>
      <c r="K2365" s="1668"/>
      <c r="L2365" s="1669"/>
    </row>
    <row r="2366" spans="1:12" s="692" customFormat="1" ht="16.5" hidden="1">
      <c r="A2366" s="1665"/>
      <c r="B2366" s="1666"/>
      <c r="C2366" s="688"/>
      <c r="D2366" s="1667"/>
      <c r="E2366" s="1671"/>
      <c r="F2366" s="1671"/>
      <c r="G2366" s="1669" t="s">
        <v>928</v>
      </c>
      <c r="H2366" s="1673">
        <f>SUM(H2360:H2365)</f>
        <v>0</v>
      </c>
      <c r="I2366" s="1669" t="s">
        <v>49</v>
      </c>
      <c r="J2366" s="1668"/>
      <c r="K2366" s="1668"/>
      <c r="L2366" s="1669"/>
    </row>
    <row r="2367" spans="1:12" s="692" customFormat="1" ht="16.5" hidden="1">
      <c r="A2367" s="1665"/>
      <c r="B2367" s="1666"/>
      <c r="C2367" s="688"/>
      <c r="D2367" s="1667"/>
      <c r="E2367" s="1671">
        <f>D575+F2367</f>
        <v>0.25</v>
      </c>
      <c r="F2367" s="1671">
        <f>F2352</f>
        <v>0.25</v>
      </c>
      <c r="G2367" s="1672">
        <f>'DRAWING CC'!GI324</f>
        <v>0</v>
      </c>
      <c r="H2367" s="1671">
        <f t="shared" ref="H2367:H2372" si="313">ROUND(D2367*E2367*F2367*G2367,2)</f>
        <v>0</v>
      </c>
      <c r="I2367" s="1671" t="s">
        <v>49</v>
      </c>
      <c r="J2367" s="1668"/>
      <c r="K2367" s="1668"/>
      <c r="L2367" s="1669"/>
    </row>
    <row r="2368" spans="1:12" s="692" customFormat="1" ht="16.5" hidden="1">
      <c r="A2368" s="1665"/>
      <c r="B2368" s="1666"/>
      <c r="C2368" s="688"/>
      <c r="D2368" s="1667"/>
      <c r="E2368" s="1671">
        <f>D578-F2368</f>
        <v>-0.25</v>
      </c>
      <c r="F2368" s="1671">
        <f>F2367</f>
        <v>0.25</v>
      </c>
      <c r="G2368" s="1672">
        <f>G2367</f>
        <v>0</v>
      </c>
      <c r="H2368" s="1671">
        <f t="shared" si="313"/>
        <v>0</v>
      </c>
      <c r="I2368" s="1671" t="s">
        <v>49</v>
      </c>
      <c r="J2368" s="1668"/>
      <c r="K2368" s="1668"/>
      <c r="L2368" s="1669"/>
    </row>
    <row r="2369" spans="1:12" s="692" customFormat="1" ht="16.5" hidden="1">
      <c r="A2369" s="1665"/>
      <c r="B2369" s="1666"/>
      <c r="C2369" s="688"/>
      <c r="D2369" s="1667"/>
      <c r="E2369" s="1671">
        <f>D579-F2369</f>
        <v>-0.25</v>
      </c>
      <c r="F2369" s="1671">
        <f>F2368</f>
        <v>0.25</v>
      </c>
      <c r="G2369" s="1672">
        <f>G2368</f>
        <v>0</v>
      </c>
      <c r="H2369" s="1671">
        <f t="shared" si="313"/>
        <v>0</v>
      </c>
      <c r="I2369" s="1671" t="s">
        <v>49</v>
      </c>
      <c r="J2369" s="1668"/>
      <c r="K2369" s="1668"/>
      <c r="L2369" s="1669"/>
    </row>
    <row r="2370" spans="1:12" s="692" customFormat="1" ht="16.5" hidden="1">
      <c r="A2370" s="1665"/>
      <c r="B2370" s="1666"/>
      <c r="C2370" s="688"/>
      <c r="D2370" s="1667"/>
      <c r="E2370" s="1671">
        <v>3.5</v>
      </c>
      <c r="F2370" s="1671">
        <v>4</v>
      </c>
      <c r="G2370" s="1672">
        <v>0.15</v>
      </c>
      <c r="H2370" s="1671">
        <f t="shared" si="313"/>
        <v>0</v>
      </c>
      <c r="I2370" s="1671" t="s">
        <v>49</v>
      </c>
      <c r="J2370" s="1668"/>
      <c r="K2370" s="1668"/>
      <c r="L2370" s="1669"/>
    </row>
    <row r="2371" spans="1:12" s="692" customFormat="1" ht="16.5" hidden="1">
      <c r="A2371" s="1665"/>
      <c r="B2371" s="1666"/>
      <c r="C2371" s="688"/>
      <c r="D2371" s="1667"/>
      <c r="E2371" s="1671">
        <v>3.5</v>
      </c>
      <c r="F2371" s="1671">
        <v>4</v>
      </c>
      <c r="G2371" s="1672">
        <v>0.15</v>
      </c>
      <c r="H2371" s="1671">
        <f t="shared" si="313"/>
        <v>0</v>
      </c>
      <c r="I2371" s="1671" t="s">
        <v>49</v>
      </c>
      <c r="J2371" s="1668"/>
      <c r="K2371" s="1668"/>
      <c r="L2371" s="1669"/>
    </row>
    <row r="2372" spans="1:12" s="692" customFormat="1" ht="16.5" hidden="1">
      <c r="A2372" s="1665"/>
      <c r="B2372" s="1666"/>
      <c r="C2372" s="688"/>
      <c r="D2372" s="1667"/>
      <c r="E2372" s="1671">
        <v>3.5</v>
      </c>
      <c r="F2372" s="1671">
        <v>4</v>
      </c>
      <c r="G2372" s="1672">
        <v>0.15</v>
      </c>
      <c r="H2372" s="1671">
        <f t="shared" si="313"/>
        <v>0</v>
      </c>
      <c r="I2372" s="1671" t="s">
        <v>49</v>
      </c>
      <c r="J2372" s="1668"/>
      <c r="K2372" s="1668"/>
      <c r="L2372" s="1669"/>
    </row>
    <row r="2373" spans="1:12" s="692" customFormat="1" ht="16.5" hidden="1">
      <c r="A2373" s="1665"/>
      <c r="B2373" s="1666"/>
      <c r="C2373" s="688"/>
      <c r="D2373" s="1667"/>
      <c r="E2373" s="1671"/>
      <c r="F2373" s="1671"/>
      <c r="G2373" s="1669" t="s">
        <v>928</v>
      </c>
      <c r="H2373" s="1673">
        <f>SUM(H2367:H2372)</f>
        <v>0</v>
      </c>
      <c r="I2373" s="1669" t="s">
        <v>49</v>
      </c>
      <c r="J2373" s="1669">
        <f>'Lead &amp; ANALYSIS'!L530</f>
        <v>17384.900000000001</v>
      </c>
      <c r="K2373" s="1668" t="s">
        <v>1516</v>
      </c>
      <c r="L2373" s="1669">
        <f>ROUND(H2373*J2373,0)</f>
        <v>0</v>
      </c>
    </row>
    <row r="2374" spans="1:12" s="692" customFormat="1" ht="16.5" hidden="1">
      <c r="A2374" s="1665" t="s">
        <v>2072</v>
      </c>
      <c r="B2374" s="1666" t="s">
        <v>1929</v>
      </c>
      <c r="C2374" s="688"/>
      <c r="D2374" s="1667"/>
      <c r="E2374" s="688"/>
      <c r="F2374" s="688"/>
      <c r="G2374" s="1674"/>
      <c r="H2374" s="688"/>
      <c r="I2374" s="1668"/>
      <c r="J2374" s="1668"/>
      <c r="K2374" s="1668"/>
      <c r="L2374" s="1669"/>
    </row>
    <row r="2375" spans="1:12" s="692" customFormat="1" ht="16.5" hidden="1">
      <c r="A2375" s="1665"/>
      <c r="B2375" s="1666"/>
      <c r="C2375" s="688"/>
      <c r="D2375" s="1667"/>
      <c r="E2375" s="1671">
        <v>3.5</v>
      </c>
      <c r="F2375" s="1671">
        <v>1.2</v>
      </c>
      <c r="G2375" s="1672">
        <v>0.3</v>
      </c>
      <c r="H2375" s="1671">
        <f t="shared" ref="H2375:H2380" si="314">ROUND(D2375*E2375*F2375*G2375,2)</f>
        <v>0</v>
      </c>
      <c r="I2375" s="1671" t="s">
        <v>49</v>
      </c>
      <c r="J2375" s="1668"/>
      <c r="K2375" s="1668"/>
      <c r="L2375" s="1669"/>
    </row>
    <row r="2376" spans="1:12" s="692" customFormat="1" ht="16.5" hidden="1">
      <c r="A2376" s="1665"/>
      <c r="B2376" s="1666"/>
      <c r="C2376" s="688"/>
      <c r="D2376" s="1667"/>
      <c r="E2376" s="1671">
        <v>3.5</v>
      </c>
      <c r="F2376" s="1671">
        <f>F2375</f>
        <v>1.2</v>
      </c>
      <c r="G2376" s="1672">
        <f>G2375</f>
        <v>0.3</v>
      </c>
      <c r="H2376" s="1671">
        <f t="shared" si="314"/>
        <v>0</v>
      </c>
      <c r="I2376" s="1671" t="s">
        <v>49</v>
      </c>
      <c r="J2376" s="1668"/>
      <c r="K2376" s="1668"/>
      <c r="L2376" s="1669"/>
    </row>
    <row r="2377" spans="1:12" s="692" customFormat="1" ht="16.5" hidden="1">
      <c r="A2377" s="1665"/>
      <c r="B2377" s="1666"/>
      <c r="C2377" s="688"/>
      <c r="D2377" s="1667"/>
      <c r="E2377" s="1671">
        <v>3.5</v>
      </c>
      <c r="F2377" s="1671">
        <f>F2376</f>
        <v>1.2</v>
      </c>
      <c r="G2377" s="1672">
        <f>G2376</f>
        <v>0.3</v>
      </c>
      <c r="H2377" s="1671">
        <f t="shared" si="314"/>
        <v>0</v>
      </c>
      <c r="I2377" s="1671" t="s">
        <v>49</v>
      </c>
      <c r="J2377" s="1668"/>
      <c r="K2377" s="1668"/>
      <c r="L2377" s="1669"/>
    </row>
    <row r="2378" spans="1:12" s="692" customFormat="1" ht="16.5" hidden="1">
      <c r="A2378" s="1665"/>
      <c r="B2378" s="1666"/>
      <c r="C2378" s="688"/>
      <c r="D2378" s="1667"/>
      <c r="E2378" s="1671">
        <v>3.5</v>
      </c>
      <c r="F2378" s="1671">
        <v>4</v>
      </c>
      <c r="G2378" s="1672">
        <v>0.15</v>
      </c>
      <c r="H2378" s="1671">
        <f t="shared" si="314"/>
        <v>0</v>
      </c>
      <c r="I2378" s="1671" t="s">
        <v>49</v>
      </c>
      <c r="J2378" s="1668"/>
      <c r="K2378" s="1668"/>
      <c r="L2378" s="1669"/>
    </row>
    <row r="2379" spans="1:12" s="692" customFormat="1" ht="16.5" hidden="1">
      <c r="A2379" s="1665"/>
      <c r="B2379" s="1666"/>
      <c r="C2379" s="688"/>
      <c r="D2379" s="1667"/>
      <c r="E2379" s="1671">
        <v>3.5</v>
      </c>
      <c r="F2379" s="1671">
        <v>4</v>
      </c>
      <c r="G2379" s="1672">
        <v>0.15</v>
      </c>
      <c r="H2379" s="1671">
        <f t="shared" si="314"/>
        <v>0</v>
      </c>
      <c r="I2379" s="1671" t="s">
        <v>49</v>
      </c>
      <c r="J2379" s="1668"/>
      <c r="K2379" s="1668"/>
      <c r="L2379" s="1669"/>
    </row>
    <row r="2380" spans="1:12" s="692" customFormat="1" ht="16.5" hidden="1">
      <c r="A2380" s="1665"/>
      <c r="B2380" s="1666"/>
      <c r="C2380" s="688"/>
      <c r="D2380" s="1667"/>
      <c r="E2380" s="1671">
        <v>3.5</v>
      </c>
      <c r="F2380" s="1671">
        <v>4</v>
      </c>
      <c r="G2380" s="1672">
        <v>0.15</v>
      </c>
      <c r="H2380" s="1671">
        <f t="shared" si="314"/>
        <v>0</v>
      </c>
      <c r="I2380" s="1671" t="s">
        <v>49</v>
      </c>
      <c r="J2380" s="1668"/>
      <c r="K2380" s="1668"/>
      <c r="L2380" s="1669"/>
    </row>
    <row r="2381" spans="1:12" s="692" customFormat="1" ht="16.5" hidden="1">
      <c r="A2381" s="1665"/>
      <c r="B2381" s="1666"/>
      <c r="C2381" s="688"/>
      <c r="D2381" s="1667"/>
      <c r="E2381" s="1671"/>
      <c r="F2381" s="1671"/>
      <c r="G2381" s="1669" t="s">
        <v>928</v>
      </c>
      <c r="H2381" s="1673">
        <f>SUM(H2375:H2380)</f>
        <v>0</v>
      </c>
      <c r="I2381" s="1669" t="s">
        <v>49</v>
      </c>
      <c r="J2381" s="1668"/>
      <c r="K2381" s="1668"/>
      <c r="L2381" s="1669"/>
    </row>
    <row r="2382" spans="1:12" s="692" customFormat="1" ht="16.5" hidden="1">
      <c r="A2382" s="1665"/>
      <c r="B2382" s="1666"/>
      <c r="C2382" s="688"/>
      <c r="D2382" s="1667"/>
      <c r="E2382" s="1671">
        <f>D430+F2382</f>
        <v>0.25</v>
      </c>
      <c r="F2382" s="1671">
        <f>F2367</f>
        <v>0.25</v>
      </c>
      <c r="G2382" s="1672"/>
      <c r="H2382" s="1671">
        <f>ROUND(D2382*E2382*F2382,2)</f>
        <v>0</v>
      </c>
      <c r="I2382" s="1671" t="s">
        <v>92</v>
      </c>
      <c r="J2382" s="1668"/>
      <c r="K2382" s="1668"/>
      <c r="L2382" s="1669"/>
    </row>
    <row r="2383" spans="1:12" s="692" customFormat="1" ht="16.5" hidden="1">
      <c r="A2383" s="1665"/>
      <c r="B2383" s="1666"/>
      <c r="C2383" s="688"/>
      <c r="D2383" s="1667"/>
      <c r="E2383" s="1671">
        <f>D433-F2383</f>
        <v>-0.25</v>
      </c>
      <c r="F2383" s="1671">
        <f>F2382</f>
        <v>0.25</v>
      </c>
      <c r="G2383" s="1672"/>
      <c r="H2383" s="1671">
        <f t="shared" ref="H2383:H2387" si="315">ROUND(D2383*E2383*F2383,2)</f>
        <v>0</v>
      </c>
      <c r="I2383" s="1671" t="s">
        <v>92</v>
      </c>
      <c r="J2383" s="1668"/>
      <c r="K2383" s="1668"/>
      <c r="L2383" s="1669"/>
    </row>
    <row r="2384" spans="1:12" s="692" customFormat="1" ht="16.5" hidden="1">
      <c r="A2384" s="1665"/>
      <c r="B2384" s="1666"/>
      <c r="C2384" s="688"/>
      <c r="D2384" s="1667"/>
      <c r="E2384" s="1671">
        <f>D434-F2384</f>
        <v>-0.25</v>
      </c>
      <c r="F2384" s="1671">
        <f>F2383</f>
        <v>0.25</v>
      </c>
      <c r="G2384" s="1672"/>
      <c r="H2384" s="1671">
        <f t="shared" si="315"/>
        <v>0</v>
      </c>
      <c r="I2384" s="1671" t="s">
        <v>92</v>
      </c>
      <c r="J2384" s="1668"/>
      <c r="K2384" s="1668"/>
      <c r="L2384" s="1669"/>
    </row>
    <row r="2385" spans="1:12" s="692" customFormat="1" ht="16.5" hidden="1">
      <c r="A2385" s="1665"/>
      <c r="B2385" s="1666"/>
      <c r="C2385" s="688"/>
      <c r="D2385" s="1667"/>
      <c r="E2385" s="1671">
        <v>3.5</v>
      </c>
      <c r="F2385" s="1671">
        <v>4</v>
      </c>
      <c r="G2385" s="1672"/>
      <c r="H2385" s="1671">
        <f t="shared" si="315"/>
        <v>0</v>
      </c>
      <c r="I2385" s="1671" t="s">
        <v>92</v>
      </c>
      <c r="J2385" s="1668"/>
      <c r="K2385" s="1668"/>
      <c r="L2385" s="1669"/>
    </row>
    <row r="2386" spans="1:12" s="692" customFormat="1" ht="16.5" hidden="1">
      <c r="A2386" s="1665"/>
      <c r="B2386" s="1666"/>
      <c r="C2386" s="688"/>
      <c r="D2386" s="1667"/>
      <c r="E2386" s="1671">
        <v>3.5</v>
      </c>
      <c r="F2386" s="1671">
        <v>4</v>
      </c>
      <c r="G2386" s="1672"/>
      <c r="H2386" s="1671">
        <f t="shared" si="315"/>
        <v>0</v>
      </c>
      <c r="I2386" s="1671" t="s">
        <v>92</v>
      </c>
      <c r="J2386" s="1668"/>
      <c r="K2386" s="1668"/>
      <c r="L2386" s="1669"/>
    </row>
    <row r="2387" spans="1:12" s="692" customFormat="1" ht="16.5" hidden="1">
      <c r="A2387" s="1665"/>
      <c r="B2387" s="1666"/>
      <c r="C2387" s="688"/>
      <c r="D2387" s="1667"/>
      <c r="E2387" s="1671">
        <v>3.5</v>
      </c>
      <c r="F2387" s="1671">
        <v>4</v>
      </c>
      <c r="G2387" s="1672"/>
      <c r="H2387" s="1671">
        <f t="shared" si="315"/>
        <v>0</v>
      </c>
      <c r="I2387" s="1671" t="s">
        <v>92</v>
      </c>
      <c r="J2387" s="1668"/>
      <c r="K2387" s="1668"/>
      <c r="L2387" s="1669"/>
    </row>
    <row r="2388" spans="1:12" s="692" customFormat="1" ht="16.5" hidden="1">
      <c r="A2388" s="1665"/>
      <c r="B2388" s="1666"/>
      <c r="C2388" s="688"/>
      <c r="D2388" s="1667"/>
      <c r="E2388" s="1671"/>
      <c r="F2388" s="1671"/>
      <c r="G2388" s="1669" t="s">
        <v>928</v>
      </c>
      <c r="H2388" s="1673">
        <f>SUM(H2382:H2387)</f>
        <v>0</v>
      </c>
      <c r="I2388" s="1671" t="s">
        <v>92</v>
      </c>
      <c r="J2388" s="1669">
        <f>'Lead &amp; ANALYSIS'!L595</f>
        <v>1315.3</v>
      </c>
      <c r="K2388" s="1668" t="s">
        <v>1514</v>
      </c>
      <c r="L2388" s="1669">
        <f>ROUND(H2388*J2388,0)</f>
        <v>0</v>
      </c>
    </row>
    <row r="2389" spans="1:12" s="692" customFormat="1" ht="16.5" hidden="1">
      <c r="A2389" s="1665" t="s">
        <v>3415</v>
      </c>
      <c r="B2389" s="1666" t="s">
        <v>479</v>
      </c>
      <c r="C2389" s="688"/>
      <c r="D2389" s="1667"/>
      <c r="E2389" s="688"/>
      <c r="F2389" s="688"/>
      <c r="G2389" s="1674"/>
      <c r="H2389" s="688"/>
      <c r="I2389" s="1668"/>
      <c r="J2389" s="1668"/>
      <c r="K2389" s="1668"/>
      <c r="L2389" s="1669"/>
    </row>
    <row r="2390" spans="1:12" s="692" customFormat="1" ht="16.5" hidden="1">
      <c r="A2390" s="1665"/>
      <c r="B2390" s="1666"/>
      <c r="C2390" s="688"/>
      <c r="D2390" s="1667"/>
      <c r="E2390" s="1671">
        <f>D552+F2390</f>
        <v>0</v>
      </c>
      <c r="F2390" s="1671">
        <f>F2345</f>
        <v>0</v>
      </c>
      <c r="G2390" s="1672">
        <f>'DRAWING CC'!GI317</f>
        <v>0</v>
      </c>
      <c r="H2390" s="1671">
        <f t="shared" ref="H2390:H2395" si="316">ROUND(D2390*E2390*F2390*G2390,2)</f>
        <v>0</v>
      </c>
      <c r="I2390" s="1671" t="s">
        <v>49</v>
      </c>
      <c r="J2390" s="1668"/>
      <c r="K2390" s="1668"/>
      <c r="L2390" s="1669"/>
    </row>
    <row r="2391" spans="1:12" s="692" customFormat="1" ht="16.5" hidden="1">
      <c r="A2391" s="1665"/>
      <c r="B2391" s="1666"/>
      <c r="C2391" s="688"/>
      <c r="D2391" s="1667"/>
      <c r="E2391" s="1671">
        <f>D555-F2391</f>
        <v>0</v>
      </c>
      <c r="F2391" s="1671">
        <f>F2390</f>
        <v>0</v>
      </c>
      <c r="G2391" s="1672">
        <f>G2390</f>
        <v>0</v>
      </c>
      <c r="H2391" s="1671">
        <f t="shared" si="316"/>
        <v>0</v>
      </c>
      <c r="I2391" s="1671" t="s">
        <v>49</v>
      </c>
      <c r="J2391" s="1668"/>
      <c r="K2391" s="1668"/>
      <c r="L2391" s="1669"/>
    </row>
    <row r="2392" spans="1:12" s="692" customFormat="1" ht="16.5" hidden="1">
      <c r="A2392" s="1665"/>
      <c r="B2392" s="1666"/>
      <c r="C2392" s="688"/>
      <c r="D2392" s="1667"/>
      <c r="E2392" s="1671">
        <f>D556-F2392</f>
        <v>0</v>
      </c>
      <c r="F2392" s="1671">
        <f>F2391</f>
        <v>0</v>
      </c>
      <c r="G2392" s="1672">
        <f>G2391</f>
        <v>0</v>
      </c>
      <c r="H2392" s="1671">
        <f t="shared" si="316"/>
        <v>0</v>
      </c>
      <c r="I2392" s="1671" t="s">
        <v>49</v>
      </c>
      <c r="J2392" s="1668"/>
      <c r="K2392" s="1668"/>
      <c r="L2392" s="1669"/>
    </row>
    <row r="2393" spans="1:12" s="692" customFormat="1" ht="16.5" hidden="1">
      <c r="A2393" s="1665"/>
      <c r="B2393" s="1666"/>
      <c r="C2393" s="688"/>
      <c r="D2393" s="1667"/>
      <c r="E2393" s="1671">
        <v>3.5</v>
      </c>
      <c r="F2393" s="1671">
        <v>4</v>
      </c>
      <c r="G2393" s="1672">
        <v>0.15</v>
      </c>
      <c r="H2393" s="1671">
        <f t="shared" si="316"/>
        <v>0</v>
      </c>
      <c r="I2393" s="1671" t="s">
        <v>49</v>
      </c>
      <c r="J2393" s="1668"/>
      <c r="K2393" s="1668"/>
      <c r="L2393" s="1669"/>
    </row>
    <row r="2394" spans="1:12" s="692" customFormat="1" ht="16.5" hidden="1">
      <c r="A2394" s="1665"/>
      <c r="B2394" s="1666"/>
      <c r="C2394" s="688"/>
      <c r="D2394" s="1667"/>
      <c r="E2394" s="1671">
        <v>3.5</v>
      </c>
      <c r="F2394" s="1671">
        <v>4</v>
      </c>
      <c r="G2394" s="1672">
        <v>0.15</v>
      </c>
      <c r="H2394" s="1671">
        <f t="shared" si="316"/>
        <v>0</v>
      </c>
      <c r="I2394" s="1671" t="s">
        <v>49</v>
      </c>
      <c r="J2394" s="1668"/>
      <c r="K2394" s="1668"/>
      <c r="L2394" s="1669"/>
    </row>
    <row r="2395" spans="1:12" s="692" customFormat="1" ht="16.5" hidden="1">
      <c r="A2395" s="1665"/>
      <c r="B2395" s="1666"/>
      <c r="C2395" s="688"/>
      <c r="D2395" s="1667"/>
      <c r="E2395" s="1671">
        <v>3.5</v>
      </c>
      <c r="F2395" s="1671">
        <v>4</v>
      </c>
      <c r="G2395" s="1672">
        <v>0.15</v>
      </c>
      <c r="H2395" s="1671">
        <f t="shared" si="316"/>
        <v>0</v>
      </c>
      <c r="I2395" s="1671" t="s">
        <v>49</v>
      </c>
      <c r="J2395" s="1668"/>
      <c r="K2395" s="1668"/>
      <c r="L2395" s="1669"/>
    </row>
    <row r="2396" spans="1:12" s="692" customFormat="1" ht="16.5" hidden="1">
      <c r="A2396" s="1665"/>
      <c r="B2396" s="1666"/>
      <c r="C2396" s="688"/>
      <c r="D2396" s="1667"/>
      <c r="E2396" s="1671"/>
      <c r="F2396" s="1671"/>
      <c r="G2396" s="1669" t="s">
        <v>928</v>
      </c>
      <c r="H2396" s="1673">
        <f>SUM(H2390:H2395)</f>
        <v>0</v>
      </c>
      <c r="I2396" s="1669" t="s">
        <v>49</v>
      </c>
      <c r="J2396" s="1668"/>
      <c r="K2396" s="1668"/>
      <c r="L2396" s="1669"/>
    </row>
    <row r="2397" spans="1:12" s="692" customFormat="1" ht="16.5" hidden="1">
      <c r="A2397" s="1665"/>
      <c r="B2397" s="1666"/>
      <c r="C2397" s="688"/>
      <c r="D2397" s="1667"/>
      <c r="E2397" s="1671">
        <f>D575+F2397</f>
        <v>0.25</v>
      </c>
      <c r="F2397" s="1671">
        <f>F2352</f>
        <v>0.25</v>
      </c>
      <c r="G2397" s="1672">
        <f>'DRAWING CC'!GI324</f>
        <v>0</v>
      </c>
      <c r="H2397" s="1671">
        <f t="shared" ref="H2397:H2402" si="317">ROUND(D2397*E2397*F2397*G2397,2)</f>
        <v>0</v>
      </c>
      <c r="I2397" s="1671" t="s">
        <v>49</v>
      </c>
      <c r="J2397" s="1668"/>
      <c r="K2397" s="1668"/>
      <c r="L2397" s="1669"/>
    </row>
    <row r="2398" spans="1:12" s="692" customFormat="1" ht="16.5" hidden="1">
      <c r="A2398" s="1665"/>
      <c r="B2398" s="1666"/>
      <c r="C2398" s="688"/>
      <c r="D2398" s="1667"/>
      <c r="E2398" s="1671">
        <f>D578-F2398</f>
        <v>-0.25</v>
      </c>
      <c r="F2398" s="1671">
        <f>F2397</f>
        <v>0.25</v>
      </c>
      <c r="G2398" s="1672">
        <f>G2397</f>
        <v>0</v>
      </c>
      <c r="H2398" s="1671">
        <f t="shared" si="317"/>
        <v>0</v>
      </c>
      <c r="I2398" s="1671" t="s">
        <v>49</v>
      </c>
      <c r="J2398" s="1668"/>
      <c r="K2398" s="1668"/>
      <c r="L2398" s="1669"/>
    </row>
    <row r="2399" spans="1:12" s="692" customFormat="1" ht="16.5" hidden="1">
      <c r="A2399" s="1665"/>
      <c r="B2399" s="1666"/>
      <c r="C2399" s="688"/>
      <c r="D2399" s="1667"/>
      <c r="E2399" s="1671">
        <f>D579-F2399</f>
        <v>-0.25</v>
      </c>
      <c r="F2399" s="1671">
        <f>F2398</f>
        <v>0.25</v>
      </c>
      <c r="G2399" s="1672">
        <f>G2398</f>
        <v>0</v>
      </c>
      <c r="H2399" s="1671">
        <f t="shared" si="317"/>
        <v>0</v>
      </c>
      <c r="I2399" s="1671" t="s">
        <v>49</v>
      </c>
      <c r="J2399" s="1668"/>
      <c r="K2399" s="1668"/>
      <c r="L2399" s="1669"/>
    </row>
    <row r="2400" spans="1:12" s="692" customFormat="1" ht="16.5" hidden="1">
      <c r="A2400" s="1665"/>
      <c r="B2400" s="1666"/>
      <c r="C2400" s="688"/>
      <c r="D2400" s="1667"/>
      <c r="E2400" s="1671">
        <v>3.5</v>
      </c>
      <c r="F2400" s="1671">
        <v>4</v>
      </c>
      <c r="G2400" s="1672">
        <v>0.15</v>
      </c>
      <c r="H2400" s="1671">
        <f t="shared" si="317"/>
        <v>0</v>
      </c>
      <c r="I2400" s="1671" t="s">
        <v>49</v>
      </c>
      <c r="J2400" s="1668"/>
      <c r="K2400" s="1668"/>
      <c r="L2400" s="1669"/>
    </row>
    <row r="2401" spans="1:12" s="692" customFormat="1" ht="16.5" hidden="1">
      <c r="A2401" s="1665"/>
      <c r="B2401" s="1666"/>
      <c r="C2401" s="688"/>
      <c r="D2401" s="1667"/>
      <c r="E2401" s="1671">
        <v>3.5</v>
      </c>
      <c r="F2401" s="1671">
        <v>4</v>
      </c>
      <c r="G2401" s="1672">
        <v>0.15</v>
      </c>
      <c r="H2401" s="1671">
        <f t="shared" si="317"/>
        <v>0</v>
      </c>
      <c r="I2401" s="1671" t="s">
        <v>49</v>
      </c>
      <c r="J2401" s="1668"/>
      <c r="K2401" s="1668"/>
      <c r="L2401" s="1669"/>
    </row>
    <row r="2402" spans="1:12" s="692" customFormat="1" ht="16.5" hidden="1">
      <c r="A2402" s="1665"/>
      <c r="B2402" s="1666"/>
      <c r="C2402" s="688"/>
      <c r="D2402" s="1667"/>
      <c r="E2402" s="1671">
        <v>3.5</v>
      </c>
      <c r="F2402" s="1671">
        <v>4</v>
      </c>
      <c r="G2402" s="1672">
        <v>0.15</v>
      </c>
      <c r="H2402" s="1671">
        <f t="shared" si="317"/>
        <v>0</v>
      </c>
      <c r="I2402" s="1671" t="s">
        <v>49</v>
      </c>
      <c r="J2402" s="1668"/>
      <c r="K2402" s="1668"/>
      <c r="L2402" s="1669"/>
    </row>
    <row r="2403" spans="1:12" s="692" customFormat="1" ht="16.5" hidden="1">
      <c r="A2403" s="1665"/>
      <c r="B2403" s="1666"/>
      <c r="C2403" s="688"/>
      <c r="D2403" s="1667"/>
      <c r="E2403" s="1671"/>
      <c r="F2403" s="1671"/>
      <c r="G2403" s="1669" t="s">
        <v>928</v>
      </c>
      <c r="H2403" s="1673">
        <f>SUM(H2397:H2402)</f>
        <v>0</v>
      </c>
      <c r="I2403" s="1669" t="s">
        <v>49</v>
      </c>
      <c r="J2403" s="1669">
        <f>'Lead &amp; ANALYSIS'!L569</f>
        <v>18176.7</v>
      </c>
      <c r="K2403" s="1668" t="s">
        <v>1516</v>
      </c>
      <c r="L2403" s="1669">
        <f>ROUND(H2403*J2403,0)</f>
        <v>0</v>
      </c>
    </row>
    <row r="2404" spans="1:12" s="692" customFormat="1" ht="16.5" hidden="1">
      <c r="A2404" s="1665" t="s">
        <v>2977</v>
      </c>
      <c r="B2404" s="1666" t="s">
        <v>477</v>
      </c>
      <c r="C2404" s="688"/>
      <c r="D2404" s="1667"/>
      <c r="E2404" s="688"/>
      <c r="F2404" s="688"/>
      <c r="G2404" s="1674"/>
      <c r="H2404" s="688"/>
      <c r="I2404" s="1668"/>
      <c r="J2404" s="1668"/>
      <c r="K2404" s="1668"/>
      <c r="L2404" s="1669"/>
    </row>
    <row r="2405" spans="1:12" s="692" customFormat="1" ht="16.5" hidden="1">
      <c r="A2405" s="1665"/>
      <c r="B2405" s="1666" t="s">
        <v>477</v>
      </c>
      <c r="C2405" s="688"/>
      <c r="D2405" s="1667"/>
      <c r="E2405" s="1671">
        <f>'DRAWING CC'!AW191+0.3</f>
        <v>0.3</v>
      </c>
      <c r="F2405" s="1671">
        <f>'DRAWING CC'!O235+0.3</f>
        <v>0.3</v>
      </c>
      <c r="G2405" s="1683">
        <v>0.1</v>
      </c>
      <c r="H2405" s="1671">
        <f t="shared" ref="H2405:H2410" si="318">ROUND(D2405*E2405*F2405*G2405,2)</f>
        <v>0</v>
      </c>
      <c r="I2405" s="1671" t="s">
        <v>49</v>
      </c>
      <c r="J2405" s="1668"/>
      <c r="K2405" s="1668"/>
      <c r="L2405" s="1669"/>
    </row>
    <row r="2406" spans="1:12" s="692" customFormat="1" ht="16.5" hidden="1">
      <c r="A2406" s="1665"/>
      <c r="B2406" s="1666"/>
      <c r="C2406" s="688"/>
      <c r="D2406" s="1667"/>
      <c r="E2406" s="1671">
        <f>'DRAWING CC'!AW192+0.3</f>
        <v>0.3</v>
      </c>
      <c r="F2406" s="1671">
        <f>'DRAWING CC'!O236+0.3</f>
        <v>0.3</v>
      </c>
      <c r="G2406" s="1683">
        <v>1.1000000000000001</v>
      </c>
      <c r="H2406" s="1671">
        <f t="shared" si="318"/>
        <v>0</v>
      </c>
      <c r="I2406" s="1671" t="s">
        <v>49</v>
      </c>
      <c r="J2406" s="1668"/>
      <c r="K2406" s="1668"/>
      <c r="L2406" s="1669"/>
    </row>
    <row r="2407" spans="1:12" s="692" customFormat="1" ht="16.5" hidden="1">
      <c r="A2407" s="1665"/>
      <c r="B2407" s="1666"/>
      <c r="C2407" s="688"/>
      <c r="D2407" s="1667"/>
      <c r="E2407" s="1671">
        <f>'DRAWING CC'!AW193+0.3</f>
        <v>0.3</v>
      </c>
      <c r="F2407" s="1671">
        <f>'DRAWING CC'!O237+0.3</f>
        <v>0.3</v>
      </c>
      <c r="G2407" s="1683">
        <v>2.1</v>
      </c>
      <c r="H2407" s="1671">
        <f t="shared" si="318"/>
        <v>0</v>
      </c>
      <c r="I2407" s="1671" t="s">
        <v>49</v>
      </c>
      <c r="J2407" s="1668"/>
      <c r="K2407" s="1668"/>
      <c r="L2407" s="1669"/>
    </row>
    <row r="2408" spans="1:12" s="692" customFormat="1" ht="16.5" hidden="1">
      <c r="A2408" s="1665"/>
      <c r="B2408" s="1666"/>
      <c r="C2408" s="688"/>
      <c r="D2408" s="1667"/>
      <c r="E2408" s="1671">
        <v>3.5</v>
      </c>
      <c r="F2408" s="1671">
        <v>4</v>
      </c>
      <c r="G2408" s="1672">
        <v>0.15</v>
      </c>
      <c r="H2408" s="1671">
        <f t="shared" si="318"/>
        <v>0</v>
      </c>
      <c r="I2408" s="1671" t="s">
        <v>49</v>
      </c>
      <c r="J2408" s="1668"/>
      <c r="K2408" s="1668"/>
      <c r="L2408" s="1669"/>
    </row>
    <row r="2409" spans="1:12" s="692" customFormat="1" ht="16.5" hidden="1">
      <c r="A2409" s="1665"/>
      <c r="B2409" s="1666"/>
      <c r="C2409" s="688"/>
      <c r="D2409" s="1667"/>
      <c r="E2409" s="1671">
        <v>3.5</v>
      </c>
      <c r="F2409" s="1671">
        <v>4</v>
      </c>
      <c r="G2409" s="1672">
        <v>0.15</v>
      </c>
      <c r="H2409" s="1671">
        <f t="shared" si="318"/>
        <v>0</v>
      </c>
      <c r="I2409" s="1671" t="s">
        <v>49</v>
      </c>
      <c r="J2409" s="1668"/>
      <c r="K2409" s="1668"/>
      <c r="L2409" s="1669"/>
    </row>
    <row r="2410" spans="1:12" s="692" customFormat="1" ht="16.5" hidden="1">
      <c r="A2410" s="1665"/>
      <c r="B2410" s="1666"/>
      <c r="C2410" s="688"/>
      <c r="D2410" s="1667"/>
      <c r="E2410" s="1671">
        <v>3.5</v>
      </c>
      <c r="F2410" s="1671">
        <v>4</v>
      </c>
      <c r="G2410" s="1672">
        <v>0.15</v>
      </c>
      <c r="H2410" s="1671">
        <f t="shared" si="318"/>
        <v>0</v>
      </c>
      <c r="I2410" s="1671" t="s">
        <v>49</v>
      </c>
      <c r="J2410" s="1668"/>
      <c r="K2410" s="1668"/>
      <c r="L2410" s="1669"/>
    </row>
    <row r="2411" spans="1:12" s="692" customFormat="1" ht="16.5" hidden="1">
      <c r="A2411" s="1665"/>
      <c r="B2411" s="1666"/>
      <c r="C2411" s="688"/>
      <c r="D2411" s="1667"/>
      <c r="E2411" s="1671"/>
      <c r="F2411" s="1671"/>
      <c r="G2411" s="1669" t="s">
        <v>928</v>
      </c>
      <c r="H2411" s="1673">
        <f>SUM(H2405:H2410)</f>
        <v>0</v>
      </c>
      <c r="I2411" s="1669" t="s">
        <v>49</v>
      </c>
      <c r="J2411" s="1668"/>
      <c r="K2411" s="1668"/>
      <c r="L2411" s="1669"/>
    </row>
    <row r="2412" spans="1:12" s="692" customFormat="1" ht="16.5" hidden="1">
      <c r="A2412" s="1665"/>
      <c r="B2412" s="1666" t="s">
        <v>477</v>
      </c>
      <c r="C2412" s="688"/>
      <c r="D2412" s="1667"/>
      <c r="E2412" s="1671">
        <f>'DRAWING CC'!AW198+0.3</f>
        <v>0.3</v>
      </c>
      <c r="F2412" s="1671">
        <f>'DRAWING CC'!O242+0.3</f>
        <v>0.3</v>
      </c>
      <c r="G2412" s="1683">
        <v>0.1</v>
      </c>
      <c r="H2412" s="1671">
        <f t="shared" ref="H2412:H2417" si="319">ROUND(D2412*E2412*F2412*G2412,2)</f>
        <v>0</v>
      </c>
      <c r="I2412" s="1671" t="s">
        <v>49</v>
      </c>
      <c r="J2412" s="1668"/>
      <c r="K2412" s="1668"/>
      <c r="L2412" s="1669"/>
    </row>
    <row r="2413" spans="1:12" s="692" customFormat="1" ht="16.5" hidden="1">
      <c r="A2413" s="1665"/>
      <c r="B2413" s="1666"/>
      <c r="C2413" s="688"/>
      <c r="D2413" s="1667"/>
      <c r="E2413" s="1671">
        <f>'DRAWING CC'!AW199+0.3</f>
        <v>0.3</v>
      </c>
      <c r="F2413" s="1671">
        <f>'DRAWING CC'!O243+0.3</f>
        <v>0.3</v>
      </c>
      <c r="G2413" s="1683">
        <v>1.1000000000000001</v>
      </c>
      <c r="H2413" s="1671">
        <f t="shared" si="319"/>
        <v>0</v>
      </c>
      <c r="I2413" s="1671" t="s">
        <v>49</v>
      </c>
      <c r="J2413" s="1668"/>
      <c r="K2413" s="1668"/>
      <c r="L2413" s="1669"/>
    </row>
    <row r="2414" spans="1:12" s="692" customFormat="1" ht="16.5" hidden="1">
      <c r="A2414" s="1665"/>
      <c r="B2414" s="1666"/>
      <c r="C2414" s="688"/>
      <c r="D2414" s="1667"/>
      <c r="E2414" s="1671">
        <f>'DRAWING CC'!AW200+0.3</f>
        <v>0.3</v>
      </c>
      <c r="F2414" s="1671">
        <f>'DRAWING CC'!O244+0.3</f>
        <v>0.3</v>
      </c>
      <c r="G2414" s="1683">
        <v>2.1</v>
      </c>
      <c r="H2414" s="1671">
        <f t="shared" si="319"/>
        <v>0</v>
      </c>
      <c r="I2414" s="1671" t="s">
        <v>49</v>
      </c>
      <c r="J2414" s="1668"/>
      <c r="K2414" s="1668"/>
      <c r="L2414" s="1669"/>
    </row>
    <row r="2415" spans="1:12" s="692" customFormat="1" ht="16.5" hidden="1">
      <c r="A2415" s="1665"/>
      <c r="B2415" s="1666"/>
      <c r="C2415" s="688"/>
      <c r="D2415" s="1667"/>
      <c r="E2415" s="1671">
        <v>3.5</v>
      </c>
      <c r="F2415" s="1671">
        <v>4</v>
      </c>
      <c r="G2415" s="1672">
        <v>0.15</v>
      </c>
      <c r="H2415" s="1671">
        <f t="shared" si="319"/>
        <v>0</v>
      </c>
      <c r="I2415" s="1671" t="s">
        <v>49</v>
      </c>
      <c r="J2415" s="1668"/>
      <c r="K2415" s="1668"/>
      <c r="L2415" s="1669"/>
    </row>
    <row r="2416" spans="1:12" s="692" customFormat="1" ht="16.5" hidden="1">
      <c r="A2416" s="1665"/>
      <c r="B2416" s="1666"/>
      <c r="C2416" s="688"/>
      <c r="D2416" s="1667"/>
      <c r="E2416" s="1671">
        <v>3.5</v>
      </c>
      <c r="F2416" s="1671">
        <v>4</v>
      </c>
      <c r="G2416" s="1672">
        <v>0.15</v>
      </c>
      <c r="H2416" s="1671">
        <f t="shared" si="319"/>
        <v>0</v>
      </c>
      <c r="I2416" s="1671" t="s">
        <v>49</v>
      </c>
      <c r="J2416" s="1668"/>
      <c r="K2416" s="1668"/>
      <c r="L2416" s="1669"/>
    </row>
    <row r="2417" spans="1:12" s="692" customFormat="1" ht="16.5" hidden="1">
      <c r="A2417" s="1665"/>
      <c r="B2417" s="1666"/>
      <c r="C2417" s="688"/>
      <c r="D2417" s="1667"/>
      <c r="E2417" s="1671">
        <v>3.5</v>
      </c>
      <c r="F2417" s="1671">
        <v>4</v>
      </c>
      <c r="G2417" s="1672">
        <v>0.15</v>
      </c>
      <c r="H2417" s="1671">
        <f t="shared" si="319"/>
        <v>0</v>
      </c>
      <c r="I2417" s="1671" t="s">
        <v>49</v>
      </c>
      <c r="J2417" s="1668"/>
      <c r="K2417" s="1668"/>
      <c r="L2417" s="1669"/>
    </row>
    <row r="2418" spans="1:12" s="692" customFormat="1" ht="16.5" hidden="1">
      <c r="A2418" s="1665"/>
      <c r="B2418" s="1666"/>
      <c r="C2418" s="688"/>
      <c r="D2418" s="1667"/>
      <c r="E2418" s="1671"/>
      <c r="F2418" s="1671"/>
      <c r="G2418" s="1669" t="s">
        <v>928</v>
      </c>
      <c r="H2418" s="1673">
        <f>SUM(H2412:H2417)</f>
        <v>0</v>
      </c>
      <c r="I2418" s="1669" t="s">
        <v>49</v>
      </c>
      <c r="J2418" s="1669">
        <f>'Lead &amp; ANALYSIS'!L556</f>
        <v>16599.5</v>
      </c>
      <c r="K2418" s="1668" t="s">
        <v>1516</v>
      </c>
      <c r="L2418" s="1669">
        <f>ROUND(H2418*J2418,0)</f>
        <v>0</v>
      </c>
    </row>
    <row r="2419" spans="1:12" s="692" customFormat="1" ht="16.5" hidden="1">
      <c r="A2419" s="1665"/>
      <c r="B2419" s="1666"/>
      <c r="C2419" s="688"/>
      <c r="D2419" s="1667"/>
      <c r="E2419" s="1671"/>
      <c r="F2419" s="1671"/>
      <c r="G2419" s="1684" t="s">
        <v>1823</v>
      </c>
      <c r="H2419" s="1673">
        <f>H2411+H2396+H2366+H2351+H2336+H2321+H2306+H2291</f>
        <v>0</v>
      </c>
      <c r="I2419" s="1669" t="s">
        <v>49</v>
      </c>
      <c r="J2419" s="1669">
        <f>'Lead &amp; ANALYSIS'!L477</f>
        <v>8471.7999999999993</v>
      </c>
      <c r="K2419" s="1668" t="s">
        <v>1516</v>
      </c>
      <c r="L2419" s="1669">
        <f>ROUND(H2419*J2419,0)</f>
        <v>0</v>
      </c>
    </row>
    <row r="2420" spans="1:12" s="692" customFormat="1" ht="16.5" hidden="1">
      <c r="A2420" s="1665" t="s">
        <v>3627</v>
      </c>
      <c r="B2420" s="1675" t="s">
        <v>3613</v>
      </c>
      <c r="C2420" s="688"/>
      <c r="D2420" s="1667"/>
      <c r="E2420" s="688"/>
      <c r="F2420" s="688"/>
      <c r="G2420" s="1674"/>
      <c r="H2420" s="688"/>
      <c r="I2420" s="1668"/>
      <c r="J2420" s="1668"/>
      <c r="K2420" s="1668"/>
      <c r="L2420" s="1669"/>
    </row>
    <row r="2421" spans="1:12" s="692" customFormat="1" ht="16.5" hidden="1">
      <c r="A2421" s="1665" t="s">
        <v>201</v>
      </c>
      <c r="B2421" s="1666" t="s">
        <v>1773</v>
      </c>
      <c r="C2421" s="688"/>
      <c r="D2421" s="1667"/>
      <c r="E2421" s="688"/>
      <c r="F2421" s="688"/>
      <c r="G2421" s="1674"/>
      <c r="H2421" s="688"/>
      <c r="I2421" s="1668"/>
      <c r="J2421" s="1668"/>
      <c r="K2421" s="1668"/>
      <c r="L2421" s="1669"/>
    </row>
    <row r="2422" spans="1:12" s="692" customFormat="1" ht="16.5" hidden="1">
      <c r="A2422" s="1665"/>
      <c r="B2422" s="1666"/>
      <c r="C2422" s="688"/>
      <c r="D2422" s="1667"/>
      <c r="E2422" s="1671">
        <v>3.5</v>
      </c>
      <c r="F2422" s="1671">
        <v>1.2</v>
      </c>
      <c r="G2422" s="1672">
        <v>0.3</v>
      </c>
      <c r="H2422" s="1671">
        <f t="shared" ref="H2422:H2427" si="320">ROUND(D2422*E2422*F2422*G2422,2)</f>
        <v>0</v>
      </c>
      <c r="I2422" s="1671" t="s">
        <v>49</v>
      </c>
      <c r="J2422" s="1668"/>
      <c r="K2422" s="1668"/>
      <c r="L2422" s="1669"/>
    </row>
    <row r="2423" spans="1:12" s="692" customFormat="1" ht="16.5" hidden="1">
      <c r="A2423" s="1665"/>
      <c r="B2423" s="1666"/>
      <c r="C2423" s="688"/>
      <c r="D2423" s="1667"/>
      <c r="E2423" s="1671">
        <f>D717-F2423</f>
        <v>-1.2</v>
      </c>
      <c r="F2423" s="1671">
        <f>F2422</f>
        <v>1.2</v>
      </c>
      <c r="G2423" s="1672">
        <f>G2422</f>
        <v>0.3</v>
      </c>
      <c r="H2423" s="1671">
        <f t="shared" si="320"/>
        <v>0</v>
      </c>
      <c r="I2423" s="1671" t="s">
        <v>49</v>
      </c>
      <c r="J2423" s="1668"/>
      <c r="K2423" s="1668"/>
      <c r="L2423" s="1669"/>
    </row>
    <row r="2424" spans="1:12" s="692" customFormat="1" ht="16.5" hidden="1">
      <c r="A2424" s="1665"/>
      <c r="B2424" s="1666"/>
      <c r="C2424" s="688"/>
      <c r="D2424" s="1667"/>
      <c r="E2424" s="1671">
        <f>D718-F2424</f>
        <v>-1.2</v>
      </c>
      <c r="F2424" s="1671">
        <f>F2423</f>
        <v>1.2</v>
      </c>
      <c r="G2424" s="1672">
        <f>G2423</f>
        <v>0.3</v>
      </c>
      <c r="H2424" s="1671">
        <f t="shared" si="320"/>
        <v>0</v>
      </c>
      <c r="I2424" s="1671" t="s">
        <v>49</v>
      </c>
      <c r="J2424" s="1668"/>
      <c r="K2424" s="1668"/>
      <c r="L2424" s="1669"/>
    </row>
    <row r="2425" spans="1:12" s="692" customFormat="1" ht="16.5" hidden="1">
      <c r="A2425" s="1665"/>
      <c r="B2425" s="1666"/>
      <c r="C2425" s="688"/>
      <c r="D2425" s="1667"/>
      <c r="E2425" s="1671">
        <v>3.5</v>
      </c>
      <c r="F2425" s="1671">
        <v>4</v>
      </c>
      <c r="G2425" s="1672">
        <v>0.15</v>
      </c>
      <c r="H2425" s="1671">
        <f t="shared" si="320"/>
        <v>0</v>
      </c>
      <c r="I2425" s="1671" t="s">
        <v>49</v>
      </c>
      <c r="J2425" s="1668"/>
      <c r="K2425" s="1668"/>
      <c r="L2425" s="1669"/>
    </row>
    <row r="2426" spans="1:12" s="692" customFormat="1" ht="16.5" hidden="1">
      <c r="A2426" s="1665"/>
      <c r="B2426" s="1666"/>
      <c r="C2426" s="688"/>
      <c r="D2426" s="1667"/>
      <c r="E2426" s="1671">
        <v>3.5</v>
      </c>
      <c r="F2426" s="1671">
        <v>4</v>
      </c>
      <c r="G2426" s="1672">
        <v>0.15</v>
      </c>
      <c r="H2426" s="1671">
        <f t="shared" si="320"/>
        <v>0</v>
      </c>
      <c r="I2426" s="1671" t="s">
        <v>49</v>
      </c>
      <c r="J2426" s="1668"/>
      <c r="K2426" s="1668"/>
      <c r="L2426" s="1669"/>
    </row>
    <row r="2427" spans="1:12" s="692" customFormat="1" ht="16.5" hidden="1">
      <c r="A2427" s="1665"/>
      <c r="B2427" s="1666"/>
      <c r="C2427" s="688"/>
      <c r="D2427" s="1667"/>
      <c r="E2427" s="1671">
        <v>3.5</v>
      </c>
      <c r="F2427" s="1671">
        <v>4</v>
      </c>
      <c r="G2427" s="1672">
        <v>0.15</v>
      </c>
      <c r="H2427" s="1671">
        <f t="shared" si="320"/>
        <v>0</v>
      </c>
      <c r="I2427" s="1671" t="s">
        <v>49</v>
      </c>
      <c r="J2427" s="1668"/>
      <c r="K2427" s="1668"/>
      <c r="L2427" s="1669"/>
    </row>
    <row r="2428" spans="1:12" s="692" customFormat="1" ht="16.5" hidden="1">
      <c r="A2428" s="1665"/>
      <c r="B2428" s="1666"/>
      <c r="C2428" s="688"/>
      <c r="D2428" s="1667"/>
      <c r="E2428" s="1671"/>
      <c r="F2428" s="1671"/>
      <c r="G2428" s="1669" t="s">
        <v>928</v>
      </c>
      <c r="H2428" s="1673">
        <f>SUM(H2422:H2427)</f>
        <v>0</v>
      </c>
      <c r="I2428" s="1669" t="s">
        <v>49</v>
      </c>
      <c r="J2428" s="1668"/>
      <c r="K2428" s="1668"/>
      <c r="L2428" s="1669"/>
    </row>
    <row r="2429" spans="1:12" s="692" customFormat="1" ht="16.5" hidden="1">
      <c r="A2429" s="1665"/>
      <c r="B2429" s="1666"/>
      <c r="C2429" s="688"/>
      <c r="D2429" s="1667"/>
      <c r="E2429" s="1671">
        <f>D721+F2429</f>
        <v>0.25</v>
      </c>
      <c r="F2429" s="1671">
        <f>F2398</f>
        <v>0.25</v>
      </c>
      <c r="G2429" s="1672">
        <f>'DRAWING CC'!GI406</f>
        <v>0</v>
      </c>
      <c r="H2429" s="1671">
        <f t="shared" ref="H2429:H2434" si="321">ROUND(D2429*E2429*F2429*G2429,2)</f>
        <v>0</v>
      </c>
      <c r="I2429" s="1671" t="s">
        <v>49</v>
      </c>
      <c r="J2429" s="1668"/>
      <c r="K2429" s="1668"/>
      <c r="L2429" s="1669"/>
    </row>
    <row r="2430" spans="1:12" s="692" customFormat="1" ht="16.5" hidden="1">
      <c r="A2430" s="1665"/>
      <c r="B2430" s="1666"/>
      <c r="C2430" s="688"/>
      <c r="D2430" s="1667"/>
      <c r="E2430" s="1671">
        <f>D740-F2430</f>
        <v>-0.25</v>
      </c>
      <c r="F2430" s="1671">
        <f>F2429</f>
        <v>0.25</v>
      </c>
      <c r="G2430" s="1672">
        <f>G2429</f>
        <v>0</v>
      </c>
      <c r="H2430" s="1671">
        <f t="shared" si="321"/>
        <v>0</v>
      </c>
      <c r="I2430" s="1671" t="s">
        <v>49</v>
      </c>
      <c r="J2430" s="1668"/>
      <c r="K2430" s="1668"/>
      <c r="L2430" s="1669"/>
    </row>
    <row r="2431" spans="1:12" s="692" customFormat="1" ht="16.5" hidden="1">
      <c r="A2431" s="1665"/>
      <c r="B2431" s="1666"/>
      <c r="C2431" s="688"/>
      <c r="D2431" s="1667"/>
      <c r="E2431" s="1671">
        <f>D741-F2431</f>
        <v>-0.25</v>
      </c>
      <c r="F2431" s="1671">
        <f>F2430</f>
        <v>0.25</v>
      </c>
      <c r="G2431" s="1672">
        <f>G2430</f>
        <v>0</v>
      </c>
      <c r="H2431" s="1671">
        <f t="shared" si="321"/>
        <v>0</v>
      </c>
      <c r="I2431" s="1671" t="s">
        <v>49</v>
      </c>
      <c r="J2431" s="1668"/>
      <c r="K2431" s="1668"/>
      <c r="L2431" s="1669"/>
    </row>
    <row r="2432" spans="1:12" s="692" customFormat="1" ht="16.5" hidden="1">
      <c r="A2432" s="1665"/>
      <c r="B2432" s="1666"/>
      <c r="C2432" s="688"/>
      <c r="D2432" s="1667"/>
      <c r="E2432" s="1671">
        <v>3.5</v>
      </c>
      <c r="F2432" s="1671">
        <v>4</v>
      </c>
      <c r="G2432" s="1672">
        <v>0.15</v>
      </c>
      <c r="H2432" s="1671">
        <f t="shared" si="321"/>
        <v>0</v>
      </c>
      <c r="I2432" s="1671" t="s">
        <v>49</v>
      </c>
      <c r="J2432" s="1668"/>
      <c r="K2432" s="1668"/>
      <c r="L2432" s="1669"/>
    </row>
    <row r="2433" spans="1:12" s="692" customFormat="1" ht="16.5" hidden="1">
      <c r="A2433" s="1665"/>
      <c r="B2433" s="1666"/>
      <c r="C2433" s="688"/>
      <c r="D2433" s="1667"/>
      <c r="E2433" s="1671">
        <v>3.5</v>
      </c>
      <c r="F2433" s="1671">
        <v>4</v>
      </c>
      <c r="G2433" s="1672">
        <v>0.15</v>
      </c>
      <c r="H2433" s="1671">
        <f t="shared" si="321"/>
        <v>0</v>
      </c>
      <c r="I2433" s="1671" t="s">
        <v>49</v>
      </c>
      <c r="J2433" s="1668"/>
      <c r="K2433" s="1668"/>
      <c r="L2433" s="1669"/>
    </row>
    <row r="2434" spans="1:12" s="692" customFormat="1" ht="16.5" hidden="1">
      <c r="A2434" s="1665"/>
      <c r="B2434" s="1666"/>
      <c r="C2434" s="688"/>
      <c r="D2434" s="1667"/>
      <c r="E2434" s="1671">
        <v>3.5</v>
      </c>
      <c r="F2434" s="1671">
        <v>4</v>
      </c>
      <c r="G2434" s="1672">
        <v>0.15</v>
      </c>
      <c r="H2434" s="1671">
        <f t="shared" si="321"/>
        <v>0</v>
      </c>
      <c r="I2434" s="1671" t="s">
        <v>49</v>
      </c>
      <c r="J2434" s="1668"/>
      <c r="K2434" s="1668"/>
      <c r="L2434" s="1669"/>
    </row>
    <row r="2435" spans="1:12" s="692" customFormat="1" ht="16.5" hidden="1">
      <c r="A2435" s="1665"/>
      <c r="B2435" s="1666"/>
      <c r="C2435" s="688"/>
      <c r="D2435" s="1667"/>
      <c r="E2435" s="1671"/>
      <c r="F2435" s="1671"/>
      <c r="G2435" s="1669" t="s">
        <v>928</v>
      </c>
      <c r="H2435" s="1673">
        <f>SUM(H2429:H2434)</f>
        <v>0</v>
      </c>
      <c r="I2435" s="1669" t="s">
        <v>49</v>
      </c>
      <c r="J2435" s="1669">
        <f>'Lead &amp; ANALYSIS'!L546</f>
        <v>20506.900000000001</v>
      </c>
      <c r="K2435" s="1668" t="s">
        <v>1516</v>
      </c>
      <c r="L2435" s="1669">
        <f>ROUND(H2435*J2435,0)</f>
        <v>0</v>
      </c>
    </row>
    <row r="2436" spans="1:12" s="692" customFormat="1" ht="16.5" hidden="1">
      <c r="A2436" s="1665" t="s">
        <v>220</v>
      </c>
      <c r="B2436" s="1666" t="s">
        <v>1848</v>
      </c>
      <c r="C2436" s="688"/>
      <c r="D2436" s="1667"/>
      <c r="E2436" s="688"/>
      <c r="F2436" s="688"/>
      <c r="G2436" s="1674"/>
      <c r="H2436" s="688"/>
      <c r="I2436" s="1668"/>
      <c r="J2436" s="1668"/>
      <c r="K2436" s="1668"/>
      <c r="L2436" s="1669"/>
    </row>
    <row r="2437" spans="1:12" s="692" customFormat="1" ht="16.5" hidden="1">
      <c r="A2437" s="1665"/>
      <c r="B2437" s="1666"/>
      <c r="C2437" s="688"/>
      <c r="D2437" s="1667"/>
      <c r="E2437" s="1671">
        <f>D551+F2437</f>
        <v>0</v>
      </c>
      <c r="F2437" s="1671">
        <f>F2392</f>
        <v>0</v>
      </c>
      <c r="G2437" s="1672">
        <f>'DRAWING CC'!GI316</f>
        <v>0</v>
      </c>
      <c r="H2437" s="1671">
        <f t="shared" ref="H2437:H2442" si="322">ROUND(D2437*E2437*F2437*G2437,2)</f>
        <v>0</v>
      </c>
      <c r="I2437" s="1671" t="s">
        <v>49</v>
      </c>
      <c r="J2437" s="1668"/>
      <c r="K2437" s="1668"/>
      <c r="L2437" s="1669"/>
    </row>
    <row r="2438" spans="1:12" s="692" customFormat="1" ht="16.5" hidden="1">
      <c r="A2438" s="1665"/>
      <c r="B2438" s="1666"/>
      <c r="C2438" s="688"/>
      <c r="D2438" s="1667"/>
      <c r="E2438" s="1671">
        <f>D554-F2438</f>
        <v>0</v>
      </c>
      <c r="F2438" s="1671">
        <f>F2437</f>
        <v>0</v>
      </c>
      <c r="G2438" s="1672">
        <f>G2437</f>
        <v>0</v>
      </c>
      <c r="H2438" s="1671">
        <f t="shared" si="322"/>
        <v>0</v>
      </c>
      <c r="I2438" s="1671" t="s">
        <v>49</v>
      </c>
      <c r="J2438" s="1668"/>
      <c r="K2438" s="1668"/>
      <c r="L2438" s="1669"/>
    </row>
    <row r="2439" spans="1:12" s="692" customFormat="1" ht="16.5" hidden="1">
      <c r="A2439" s="1665"/>
      <c r="B2439" s="1666"/>
      <c r="C2439" s="688"/>
      <c r="D2439" s="1667"/>
      <c r="E2439" s="1671">
        <f>D555-F2439</f>
        <v>0</v>
      </c>
      <c r="F2439" s="1671">
        <f>F2438</f>
        <v>0</v>
      </c>
      <c r="G2439" s="1672">
        <f>G2438</f>
        <v>0</v>
      </c>
      <c r="H2439" s="1671">
        <f t="shared" si="322"/>
        <v>0</v>
      </c>
      <c r="I2439" s="1671" t="s">
        <v>49</v>
      </c>
      <c r="J2439" s="1668"/>
      <c r="K2439" s="1668"/>
      <c r="L2439" s="1669"/>
    </row>
    <row r="2440" spans="1:12" s="692" customFormat="1" ht="16.5" hidden="1">
      <c r="A2440" s="1665"/>
      <c r="B2440" s="1666"/>
      <c r="C2440" s="688"/>
      <c r="D2440" s="1667"/>
      <c r="E2440" s="1671">
        <v>3.5</v>
      </c>
      <c r="F2440" s="1671">
        <v>4</v>
      </c>
      <c r="G2440" s="1672">
        <v>0.15</v>
      </c>
      <c r="H2440" s="1671">
        <f t="shared" si="322"/>
        <v>0</v>
      </c>
      <c r="I2440" s="1671" t="s">
        <v>49</v>
      </c>
      <c r="J2440" s="1668"/>
      <c r="K2440" s="1668"/>
      <c r="L2440" s="1669"/>
    </row>
    <row r="2441" spans="1:12" s="692" customFormat="1" ht="16.5" hidden="1">
      <c r="A2441" s="1665"/>
      <c r="B2441" s="1666"/>
      <c r="C2441" s="688"/>
      <c r="D2441" s="1667"/>
      <c r="E2441" s="1671">
        <v>3.5</v>
      </c>
      <c r="F2441" s="1671">
        <v>4</v>
      </c>
      <c r="G2441" s="1672">
        <v>0.15</v>
      </c>
      <c r="H2441" s="1671">
        <f t="shared" si="322"/>
        <v>0</v>
      </c>
      <c r="I2441" s="1671" t="s">
        <v>49</v>
      </c>
      <c r="J2441" s="1668"/>
      <c r="K2441" s="1668"/>
      <c r="L2441" s="1669"/>
    </row>
    <row r="2442" spans="1:12" s="692" customFormat="1" ht="16.5" hidden="1">
      <c r="A2442" s="1665"/>
      <c r="B2442" s="1666"/>
      <c r="C2442" s="688"/>
      <c r="D2442" s="1667"/>
      <c r="E2442" s="1671">
        <v>3.5</v>
      </c>
      <c r="F2442" s="1671">
        <v>4</v>
      </c>
      <c r="G2442" s="1672">
        <v>0.15</v>
      </c>
      <c r="H2442" s="1671">
        <f t="shared" si="322"/>
        <v>0</v>
      </c>
      <c r="I2442" s="1671" t="s">
        <v>49</v>
      </c>
      <c r="J2442" s="1668"/>
      <c r="K2442" s="1668"/>
      <c r="L2442" s="1669"/>
    </row>
    <row r="2443" spans="1:12" s="692" customFormat="1" ht="16.5" hidden="1">
      <c r="A2443" s="1665"/>
      <c r="B2443" s="1666"/>
      <c r="C2443" s="688"/>
      <c r="D2443" s="1667"/>
      <c r="E2443" s="1671"/>
      <c r="F2443" s="1671"/>
      <c r="G2443" s="1669" t="s">
        <v>928</v>
      </c>
      <c r="H2443" s="1673">
        <f>SUM(H2437:H2442)</f>
        <v>0</v>
      </c>
      <c r="I2443" s="1669" t="s">
        <v>49</v>
      </c>
      <c r="J2443" s="1668"/>
      <c r="K2443" s="1668"/>
      <c r="L2443" s="1669"/>
    </row>
    <row r="2444" spans="1:12" s="692" customFormat="1" ht="16.5" hidden="1">
      <c r="A2444" s="1665"/>
      <c r="B2444" s="1666"/>
      <c r="C2444" s="688"/>
      <c r="D2444" s="1667"/>
      <c r="E2444" s="1671">
        <f>D558+F2444</f>
        <v>0.25</v>
      </c>
      <c r="F2444" s="1671">
        <f>F2399</f>
        <v>0.25</v>
      </c>
      <c r="G2444" s="1672">
        <f>'DRAWING CC'!GI323</f>
        <v>0</v>
      </c>
      <c r="H2444" s="1671">
        <f t="shared" ref="H2444:H2449" si="323">ROUND(D2444*E2444*F2444*G2444,2)</f>
        <v>0</v>
      </c>
      <c r="I2444" s="1671" t="s">
        <v>49</v>
      </c>
      <c r="J2444" s="1668"/>
      <c r="K2444" s="1668"/>
      <c r="L2444" s="1669"/>
    </row>
    <row r="2445" spans="1:12" s="692" customFormat="1" ht="16.5" hidden="1">
      <c r="A2445" s="1665"/>
      <c r="B2445" s="1666"/>
      <c r="C2445" s="688"/>
      <c r="D2445" s="1667"/>
      <c r="E2445" s="1671">
        <f>D577-F2445</f>
        <v>-0.25</v>
      </c>
      <c r="F2445" s="1671">
        <f>F2444</f>
        <v>0.25</v>
      </c>
      <c r="G2445" s="1672">
        <f>G2444</f>
        <v>0</v>
      </c>
      <c r="H2445" s="1671">
        <f t="shared" si="323"/>
        <v>0</v>
      </c>
      <c r="I2445" s="1671" t="s">
        <v>49</v>
      </c>
      <c r="J2445" s="1668"/>
      <c r="K2445" s="1668"/>
      <c r="L2445" s="1669"/>
    </row>
    <row r="2446" spans="1:12" s="692" customFormat="1" ht="16.5" hidden="1">
      <c r="A2446" s="1665"/>
      <c r="B2446" s="1666"/>
      <c r="C2446" s="688"/>
      <c r="D2446" s="1667"/>
      <c r="E2446" s="1671">
        <f>D578-F2446</f>
        <v>-0.25</v>
      </c>
      <c r="F2446" s="1671">
        <f>F2445</f>
        <v>0.25</v>
      </c>
      <c r="G2446" s="1672">
        <f>G2445</f>
        <v>0</v>
      </c>
      <c r="H2446" s="1671">
        <f t="shared" si="323"/>
        <v>0</v>
      </c>
      <c r="I2446" s="1671" t="s">
        <v>49</v>
      </c>
      <c r="J2446" s="1668"/>
      <c r="K2446" s="1668"/>
      <c r="L2446" s="1669"/>
    </row>
    <row r="2447" spans="1:12" s="692" customFormat="1" ht="16.5" hidden="1">
      <c r="A2447" s="1665"/>
      <c r="B2447" s="1666"/>
      <c r="C2447" s="688"/>
      <c r="D2447" s="1667"/>
      <c r="E2447" s="1671">
        <v>3.5</v>
      </c>
      <c r="F2447" s="1671">
        <v>4</v>
      </c>
      <c r="G2447" s="1672">
        <v>0.15</v>
      </c>
      <c r="H2447" s="1671">
        <f t="shared" si="323"/>
        <v>0</v>
      </c>
      <c r="I2447" s="1671" t="s">
        <v>49</v>
      </c>
      <c r="J2447" s="1668"/>
      <c r="K2447" s="1668"/>
      <c r="L2447" s="1669"/>
    </row>
    <row r="2448" spans="1:12" s="692" customFormat="1" ht="16.5" hidden="1">
      <c r="A2448" s="1665"/>
      <c r="B2448" s="1666"/>
      <c r="C2448" s="688"/>
      <c r="D2448" s="1667"/>
      <c r="E2448" s="1671">
        <v>3.5</v>
      </c>
      <c r="F2448" s="1671">
        <v>4</v>
      </c>
      <c r="G2448" s="1672">
        <v>0.15</v>
      </c>
      <c r="H2448" s="1671">
        <f t="shared" si="323"/>
        <v>0</v>
      </c>
      <c r="I2448" s="1671" t="s">
        <v>49</v>
      </c>
      <c r="J2448" s="1668"/>
      <c r="K2448" s="1668"/>
      <c r="L2448" s="1669"/>
    </row>
    <row r="2449" spans="1:12" s="692" customFormat="1" ht="16.5" hidden="1">
      <c r="A2449" s="1665"/>
      <c r="B2449" s="1666"/>
      <c r="C2449" s="688"/>
      <c r="D2449" s="1667"/>
      <c r="E2449" s="1671">
        <v>3.5</v>
      </c>
      <c r="F2449" s="1671">
        <v>4</v>
      </c>
      <c r="G2449" s="1672">
        <v>0.15</v>
      </c>
      <c r="H2449" s="1671">
        <f t="shared" si="323"/>
        <v>0</v>
      </c>
      <c r="I2449" s="1671" t="s">
        <v>49</v>
      </c>
      <c r="J2449" s="1668"/>
      <c r="K2449" s="1668"/>
      <c r="L2449" s="1669"/>
    </row>
    <row r="2450" spans="1:12" s="692" customFormat="1" ht="16.5" hidden="1">
      <c r="A2450" s="1665"/>
      <c r="B2450" s="1666"/>
      <c r="C2450" s="688"/>
      <c r="D2450" s="1667"/>
      <c r="E2450" s="1671"/>
      <c r="F2450" s="1671"/>
      <c r="G2450" s="1669" t="s">
        <v>928</v>
      </c>
      <c r="H2450" s="1673">
        <f>SUM(H2444:H2449)</f>
        <v>0</v>
      </c>
      <c r="I2450" s="1669" t="s">
        <v>49</v>
      </c>
      <c r="J2450" s="1669">
        <f>'Lead &amp; ANALYSIS'!L533</f>
        <v>19484.400000000001</v>
      </c>
      <c r="K2450" s="1668" t="s">
        <v>1516</v>
      </c>
      <c r="L2450" s="1669">
        <f>ROUND(H2450*J2450,0)</f>
        <v>0</v>
      </c>
    </row>
    <row r="2451" spans="1:12" s="692" customFormat="1" ht="16.5" hidden="1">
      <c r="A2451" s="1665" t="s">
        <v>244</v>
      </c>
      <c r="B2451" s="1666" t="s">
        <v>481</v>
      </c>
      <c r="C2451" s="688"/>
      <c r="D2451" s="1667"/>
      <c r="E2451" s="688"/>
      <c r="F2451" s="688"/>
      <c r="G2451" s="1674"/>
      <c r="H2451" s="688"/>
      <c r="I2451" s="1668"/>
      <c r="J2451" s="1668"/>
      <c r="K2451" s="1668"/>
      <c r="L2451" s="1669"/>
    </row>
    <row r="2452" spans="1:12" s="692" customFormat="1" ht="16.5" hidden="1">
      <c r="A2452" s="1665"/>
      <c r="B2452" s="1666" t="s">
        <v>1948</v>
      </c>
      <c r="C2452" s="688"/>
      <c r="D2452" s="1667"/>
      <c r="E2452" s="1671">
        <f>'DRAWING CC'!IL356+0.3</f>
        <v>0.3</v>
      </c>
      <c r="F2452" s="1671">
        <f>'DRAWING CC'!FL282</f>
        <v>0</v>
      </c>
      <c r="G2452" s="1683">
        <f>0.065</f>
        <v>6.5000000000000002E-2</v>
      </c>
      <c r="H2452" s="1671">
        <f t="shared" ref="H2452:H2457" si="324">ROUND(D2452*E2452*F2452*G2452,2)</f>
        <v>0</v>
      </c>
      <c r="I2452" s="1671" t="s">
        <v>49</v>
      </c>
      <c r="J2452" s="1668"/>
      <c r="K2452" s="1668"/>
      <c r="L2452" s="1669"/>
    </row>
    <row r="2453" spans="1:12" s="692" customFormat="1" ht="16.5" hidden="1">
      <c r="A2453" s="1665"/>
      <c r="B2453" s="1666" t="s">
        <v>2987</v>
      </c>
      <c r="C2453" s="688"/>
      <c r="D2453" s="1667"/>
      <c r="E2453" s="1671">
        <f>'DRAWING CC'!AW313</f>
        <v>0</v>
      </c>
      <c r="F2453" s="1671">
        <f>F2452</f>
        <v>0</v>
      </c>
      <c r="G2453" s="1683">
        <f>0.065</f>
        <v>6.5000000000000002E-2</v>
      </c>
      <c r="H2453" s="1671">
        <f t="shared" si="324"/>
        <v>0</v>
      </c>
      <c r="I2453" s="1671" t="s">
        <v>49</v>
      </c>
      <c r="J2453" s="1668"/>
      <c r="K2453" s="1668"/>
      <c r="L2453" s="1669"/>
    </row>
    <row r="2454" spans="1:12" s="692" customFormat="1" ht="16.5" hidden="1">
      <c r="A2454" s="1665"/>
      <c r="B2454" s="1666"/>
      <c r="C2454" s="688"/>
      <c r="D2454" s="1667"/>
      <c r="E2454" s="1671">
        <f>D491-F2454</f>
        <v>0</v>
      </c>
      <c r="F2454" s="1671">
        <f>F2453</f>
        <v>0</v>
      </c>
      <c r="G2454" s="1672">
        <f>G2453</f>
        <v>6.5000000000000002E-2</v>
      </c>
      <c r="H2454" s="1671">
        <f t="shared" si="324"/>
        <v>0</v>
      </c>
      <c r="I2454" s="1671" t="s">
        <v>49</v>
      </c>
      <c r="J2454" s="1668"/>
      <c r="K2454" s="1668"/>
      <c r="L2454" s="1669"/>
    </row>
    <row r="2455" spans="1:12" s="692" customFormat="1" ht="16.5" hidden="1">
      <c r="A2455" s="1665"/>
      <c r="B2455" s="1666"/>
      <c r="C2455" s="688"/>
      <c r="D2455" s="1667"/>
      <c r="E2455" s="1671">
        <v>3.5</v>
      </c>
      <c r="F2455" s="1671">
        <v>4</v>
      </c>
      <c r="G2455" s="1672">
        <v>0.15</v>
      </c>
      <c r="H2455" s="1671">
        <f t="shared" si="324"/>
        <v>0</v>
      </c>
      <c r="I2455" s="1671" t="s">
        <v>49</v>
      </c>
      <c r="J2455" s="1668"/>
      <c r="K2455" s="1668"/>
      <c r="L2455" s="1669"/>
    </row>
    <row r="2456" spans="1:12" s="692" customFormat="1" ht="16.5" hidden="1">
      <c r="A2456" s="1665"/>
      <c r="B2456" s="1666"/>
      <c r="C2456" s="688"/>
      <c r="D2456" s="1667"/>
      <c r="E2456" s="1671">
        <v>3.5</v>
      </c>
      <c r="F2456" s="1671">
        <v>4</v>
      </c>
      <c r="G2456" s="1672">
        <v>0.15</v>
      </c>
      <c r="H2456" s="1671">
        <f t="shared" si="324"/>
        <v>0</v>
      </c>
      <c r="I2456" s="1671" t="s">
        <v>49</v>
      </c>
      <c r="J2456" s="1668"/>
      <c r="K2456" s="1668"/>
      <c r="L2456" s="1669"/>
    </row>
    <row r="2457" spans="1:12" s="692" customFormat="1" ht="16.5" hidden="1">
      <c r="A2457" s="1665"/>
      <c r="B2457" s="1666"/>
      <c r="C2457" s="688"/>
      <c r="D2457" s="1667"/>
      <c r="E2457" s="1671">
        <v>3.5</v>
      </c>
      <c r="F2457" s="1671">
        <v>4</v>
      </c>
      <c r="G2457" s="1672">
        <v>0.15</v>
      </c>
      <c r="H2457" s="1671">
        <f t="shared" si="324"/>
        <v>0</v>
      </c>
      <c r="I2457" s="1671" t="s">
        <v>49</v>
      </c>
      <c r="J2457" s="1668"/>
      <c r="K2457" s="1668"/>
      <c r="L2457" s="1669"/>
    </row>
    <row r="2458" spans="1:12" s="692" customFormat="1" ht="16.5" hidden="1">
      <c r="A2458" s="1665"/>
      <c r="B2458" s="1666"/>
      <c r="C2458" s="688"/>
      <c r="D2458" s="1667"/>
      <c r="E2458" s="1671"/>
      <c r="F2458" s="1671"/>
      <c r="G2458" s="1669" t="s">
        <v>928</v>
      </c>
      <c r="H2458" s="1673">
        <f>SUM(H2452:H2457)</f>
        <v>0</v>
      </c>
      <c r="I2458" s="1669" t="s">
        <v>49</v>
      </c>
      <c r="J2458" s="1668"/>
      <c r="K2458" s="1668"/>
      <c r="L2458" s="1669"/>
    </row>
    <row r="2459" spans="1:12" s="692" customFormat="1" ht="16.5" hidden="1">
      <c r="A2459" s="1665"/>
      <c r="B2459" s="1666" t="s">
        <v>1948</v>
      </c>
      <c r="C2459" s="688"/>
      <c r="D2459" s="1667"/>
      <c r="E2459" s="1671">
        <f>D507+F2459</f>
        <v>0.25</v>
      </c>
      <c r="F2459" s="1671">
        <f>F2444</f>
        <v>0.25</v>
      </c>
      <c r="G2459" s="1672"/>
      <c r="H2459" s="1671">
        <f>ROUND(D2459*E2459*F2459,2)</f>
        <v>0</v>
      </c>
      <c r="I2459" s="1671" t="s">
        <v>92</v>
      </c>
      <c r="J2459" s="1668"/>
      <c r="K2459" s="1668"/>
      <c r="L2459" s="1669"/>
    </row>
    <row r="2460" spans="1:12" s="692" customFormat="1" ht="16.5" hidden="1">
      <c r="A2460" s="1665"/>
      <c r="B2460" s="1666" t="s">
        <v>2987</v>
      </c>
      <c r="C2460" s="688"/>
      <c r="D2460" s="1667"/>
      <c r="E2460" s="1671">
        <f>D510-F2460</f>
        <v>-0.25</v>
      </c>
      <c r="F2460" s="1671">
        <f>F2459</f>
        <v>0.25</v>
      </c>
      <c r="G2460" s="1672"/>
      <c r="H2460" s="1671">
        <f t="shared" ref="H2460:H2464" si="325">ROUND(D2460*E2460*F2460,2)</f>
        <v>0</v>
      </c>
      <c r="I2460" s="1671" t="s">
        <v>92</v>
      </c>
      <c r="J2460" s="1668"/>
      <c r="K2460" s="1668"/>
      <c r="L2460" s="1669"/>
    </row>
    <row r="2461" spans="1:12" s="692" customFormat="1" ht="16.5" hidden="1">
      <c r="A2461" s="1665"/>
      <c r="B2461" s="1666"/>
      <c r="C2461" s="688"/>
      <c r="D2461" s="1667"/>
      <c r="E2461" s="1671">
        <f>D511-F2461</f>
        <v>-0.25</v>
      </c>
      <c r="F2461" s="1671">
        <f>F2460</f>
        <v>0.25</v>
      </c>
      <c r="G2461" s="1672"/>
      <c r="H2461" s="1671">
        <f t="shared" si="325"/>
        <v>0</v>
      </c>
      <c r="I2461" s="1671" t="s">
        <v>92</v>
      </c>
      <c r="J2461" s="1668"/>
      <c r="K2461" s="1668"/>
      <c r="L2461" s="1669"/>
    </row>
    <row r="2462" spans="1:12" s="692" customFormat="1" ht="16.5" hidden="1">
      <c r="A2462" s="1665"/>
      <c r="B2462" s="1666"/>
      <c r="C2462" s="688"/>
      <c r="D2462" s="1667"/>
      <c r="E2462" s="1671">
        <v>3.5</v>
      </c>
      <c r="F2462" s="1671">
        <v>4</v>
      </c>
      <c r="G2462" s="1672"/>
      <c r="H2462" s="1671">
        <f t="shared" si="325"/>
        <v>0</v>
      </c>
      <c r="I2462" s="1671" t="s">
        <v>92</v>
      </c>
      <c r="J2462" s="1668"/>
      <c r="K2462" s="1668"/>
      <c r="L2462" s="1669"/>
    </row>
    <row r="2463" spans="1:12" s="692" customFormat="1" ht="16.5" hidden="1">
      <c r="A2463" s="1665"/>
      <c r="B2463" s="1666"/>
      <c r="C2463" s="688"/>
      <c r="D2463" s="1667"/>
      <c r="E2463" s="1671">
        <v>3.5</v>
      </c>
      <c r="F2463" s="1671">
        <v>4</v>
      </c>
      <c r="G2463" s="1672"/>
      <c r="H2463" s="1671">
        <f t="shared" si="325"/>
        <v>0</v>
      </c>
      <c r="I2463" s="1671" t="s">
        <v>92</v>
      </c>
      <c r="J2463" s="1668"/>
      <c r="K2463" s="1668"/>
      <c r="L2463" s="1669"/>
    </row>
    <row r="2464" spans="1:12" s="692" customFormat="1" ht="16.5" hidden="1">
      <c r="A2464" s="1665"/>
      <c r="B2464" s="1666"/>
      <c r="C2464" s="688"/>
      <c r="D2464" s="1667"/>
      <c r="E2464" s="1671">
        <v>3.5</v>
      </c>
      <c r="F2464" s="1671">
        <v>4</v>
      </c>
      <c r="G2464" s="1672"/>
      <c r="H2464" s="1671">
        <f t="shared" si="325"/>
        <v>0</v>
      </c>
      <c r="I2464" s="1671" t="s">
        <v>92</v>
      </c>
      <c r="J2464" s="1668"/>
      <c r="K2464" s="1668"/>
      <c r="L2464" s="1669"/>
    </row>
    <row r="2465" spans="1:12" s="692" customFormat="1" ht="16.5" hidden="1">
      <c r="A2465" s="1665"/>
      <c r="B2465" s="1666"/>
      <c r="C2465" s="688"/>
      <c r="D2465" s="1667"/>
      <c r="E2465" s="1671"/>
      <c r="F2465" s="1671"/>
      <c r="G2465" s="1669" t="s">
        <v>928</v>
      </c>
      <c r="H2465" s="1673">
        <f>SUM(H2459:H2464)</f>
        <v>0</v>
      </c>
      <c r="I2465" s="1671" t="s">
        <v>92</v>
      </c>
      <c r="J2465" s="1669">
        <f>'Lead &amp; ANALYSIS'!L585</f>
        <v>1642</v>
      </c>
      <c r="K2465" s="1668" t="s">
        <v>1514</v>
      </c>
      <c r="L2465" s="1669">
        <f>ROUND(H2465*J2465,0)</f>
        <v>0</v>
      </c>
    </row>
    <row r="2466" spans="1:12" s="692" customFormat="1" ht="16.5" hidden="1">
      <c r="A2466" s="1665" t="s">
        <v>291</v>
      </c>
      <c r="B2466" s="1666" t="s">
        <v>3401</v>
      </c>
      <c r="C2466" s="688"/>
      <c r="D2466" s="1667"/>
      <c r="E2466" s="688"/>
      <c r="F2466" s="688"/>
      <c r="G2466" s="1674"/>
      <c r="H2466" s="688"/>
      <c r="I2466" s="1668"/>
      <c r="J2466" s="1668"/>
      <c r="K2466" s="1668"/>
      <c r="L2466" s="1669"/>
    </row>
    <row r="2467" spans="1:12" s="692" customFormat="1" ht="16.5" hidden="1">
      <c r="A2467" s="1665"/>
      <c r="B2467" s="1666"/>
      <c r="C2467" s="688"/>
      <c r="D2467" s="1667"/>
      <c r="E2467" s="1671">
        <f>D513+F2467</f>
        <v>0</v>
      </c>
      <c r="F2467" s="1671">
        <f>F2452</f>
        <v>0</v>
      </c>
      <c r="G2467" s="1672">
        <f>'DRAWING CC'!GI294</f>
        <v>0</v>
      </c>
      <c r="H2467" s="1671">
        <f t="shared" ref="H2467:H2472" si="326">ROUND(D2467*E2467*F2467*G2467,2)</f>
        <v>0</v>
      </c>
      <c r="I2467" s="1671" t="s">
        <v>49</v>
      </c>
      <c r="J2467" s="1668"/>
      <c r="K2467" s="1668"/>
      <c r="L2467" s="1669"/>
    </row>
    <row r="2468" spans="1:12" s="692" customFormat="1" ht="16.5" hidden="1">
      <c r="A2468" s="1665"/>
      <c r="B2468" s="1666"/>
      <c r="C2468" s="688"/>
      <c r="D2468" s="1667"/>
      <c r="E2468" s="1671">
        <f>D516-F2468</f>
        <v>0</v>
      </c>
      <c r="F2468" s="1671">
        <f>F2467</f>
        <v>0</v>
      </c>
      <c r="G2468" s="1672">
        <f>G2467</f>
        <v>0</v>
      </c>
      <c r="H2468" s="1671">
        <f t="shared" si="326"/>
        <v>0</v>
      </c>
      <c r="I2468" s="1671" t="s">
        <v>49</v>
      </c>
      <c r="J2468" s="1668"/>
      <c r="K2468" s="1668"/>
      <c r="L2468" s="1669"/>
    </row>
    <row r="2469" spans="1:12" s="692" customFormat="1" ht="16.5" hidden="1">
      <c r="A2469" s="1665"/>
      <c r="B2469" s="1666"/>
      <c r="C2469" s="688"/>
      <c r="D2469" s="1667"/>
      <c r="E2469" s="1671">
        <f>D517-F2469</f>
        <v>0</v>
      </c>
      <c r="F2469" s="1671">
        <f>F2468</f>
        <v>0</v>
      </c>
      <c r="G2469" s="1672">
        <f>G2468</f>
        <v>0</v>
      </c>
      <c r="H2469" s="1671">
        <f t="shared" si="326"/>
        <v>0</v>
      </c>
      <c r="I2469" s="1671" t="s">
        <v>49</v>
      </c>
      <c r="J2469" s="1668"/>
      <c r="K2469" s="1668"/>
      <c r="L2469" s="1669"/>
    </row>
    <row r="2470" spans="1:12" s="692" customFormat="1" ht="16.5" hidden="1">
      <c r="A2470" s="1665"/>
      <c r="B2470" s="1666"/>
      <c r="C2470" s="688"/>
      <c r="D2470" s="1667"/>
      <c r="E2470" s="1671">
        <v>3.5</v>
      </c>
      <c r="F2470" s="1671">
        <v>4</v>
      </c>
      <c r="G2470" s="1672">
        <v>0.15</v>
      </c>
      <c r="H2470" s="1671">
        <f t="shared" si="326"/>
        <v>0</v>
      </c>
      <c r="I2470" s="1671" t="s">
        <v>49</v>
      </c>
      <c r="J2470" s="1668"/>
      <c r="K2470" s="1668"/>
      <c r="L2470" s="1669"/>
    </row>
    <row r="2471" spans="1:12" s="692" customFormat="1" ht="16.5" hidden="1">
      <c r="A2471" s="1665"/>
      <c r="B2471" s="1666"/>
      <c r="C2471" s="688"/>
      <c r="D2471" s="1667"/>
      <c r="E2471" s="1671">
        <v>3.5</v>
      </c>
      <c r="F2471" s="1671">
        <v>4</v>
      </c>
      <c r="G2471" s="1672">
        <v>0.15</v>
      </c>
      <c r="H2471" s="1671">
        <f t="shared" si="326"/>
        <v>0</v>
      </c>
      <c r="I2471" s="1671" t="s">
        <v>49</v>
      </c>
      <c r="J2471" s="1668"/>
      <c r="K2471" s="1668"/>
      <c r="L2471" s="1669"/>
    </row>
    <row r="2472" spans="1:12" s="692" customFormat="1" ht="16.5" hidden="1">
      <c r="A2472" s="1665"/>
      <c r="B2472" s="1666"/>
      <c r="C2472" s="688"/>
      <c r="D2472" s="1667"/>
      <c r="E2472" s="1671">
        <v>3.5</v>
      </c>
      <c r="F2472" s="1671">
        <v>4</v>
      </c>
      <c r="G2472" s="1672">
        <v>0.15</v>
      </c>
      <c r="H2472" s="1671">
        <f t="shared" si="326"/>
        <v>0</v>
      </c>
      <c r="I2472" s="1671" t="s">
        <v>49</v>
      </c>
      <c r="J2472" s="1668"/>
      <c r="K2472" s="1668"/>
      <c r="L2472" s="1669"/>
    </row>
    <row r="2473" spans="1:12" s="692" customFormat="1" ht="16.5" hidden="1">
      <c r="A2473" s="1665"/>
      <c r="B2473" s="1666"/>
      <c r="C2473" s="688"/>
      <c r="D2473" s="1667"/>
      <c r="E2473" s="1671"/>
      <c r="F2473" s="1671"/>
      <c r="G2473" s="1669" t="s">
        <v>928</v>
      </c>
      <c r="H2473" s="1673">
        <f>SUM(H2467:H2472)</f>
        <v>0</v>
      </c>
      <c r="I2473" s="1669" t="s">
        <v>49</v>
      </c>
      <c r="J2473" s="1668"/>
      <c r="K2473" s="1668"/>
      <c r="L2473" s="1669"/>
    </row>
    <row r="2474" spans="1:12" s="692" customFormat="1" ht="16.5" hidden="1">
      <c r="A2474" s="1665"/>
      <c r="B2474" s="1666"/>
      <c r="C2474" s="688"/>
      <c r="D2474" s="1667"/>
      <c r="E2474" s="1671">
        <f>D520+F2474</f>
        <v>0.25</v>
      </c>
      <c r="F2474" s="1671">
        <f>F2459</f>
        <v>0.25</v>
      </c>
      <c r="G2474" s="1672">
        <f>'DRAWING CC'!GI301</f>
        <v>0</v>
      </c>
      <c r="H2474" s="1671">
        <f t="shared" ref="H2474:H2479" si="327">ROUND(D2474*E2474*F2474*G2474,2)</f>
        <v>0</v>
      </c>
      <c r="I2474" s="1671" t="s">
        <v>49</v>
      </c>
      <c r="J2474" s="1668"/>
      <c r="K2474" s="1668"/>
      <c r="L2474" s="1669"/>
    </row>
    <row r="2475" spans="1:12" s="692" customFormat="1" ht="16.5" hidden="1">
      <c r="A2475" s="1665"/>
      <c r="B2475" s="1666"/>
      <c r="C2475" s="688"/>
      <c r="D2475" s="1667"/>
      <c r="E2475" s="1671">
        <f>D523-F2475</f>
        <v>-0.25</v>
      </c>
      <c r="F2475" s="1671">
        <f>F2474</f>
        <v>0.25</v>
      </c>
      <c r="G2475" s="1672">
        <f>G2474</f>
        <v>0</v>
      </c>
      <c r="H2475" s="1671">
        <f t="shared" si="327"/>
        <v>0</v>
      </c>
      <c r="I2475" s="1671" t="s">
        <v>49</v>
      </c>
      <c r="J2475" s="1668"/>
      <c r="K2475" s="1668"/>
      <c r="L2475" s="1669"/>
    </row>
    <row r="2476" spans="1:12" s="692" customFormat="1" ht="16.5" hidden="1">
      <c r="A2476" s="1665"/>
      <c r="B2476" s="1666"/>
      <c r="C2476" s="688"/>
      <c r="D2476" s="1667"/>
      <c r="E2476" s="1671">
        <f>D524-F2476</f>
        <v>-0.25</v>
      </c>
      <c r="F2476" s="1671">
        <f>F2475</f>
        <v>0.25</v>
      </c>
      <c r="G2476" s="1672">
        <f>G2475</f>
        <v>0</v>
      </c>
      <c r="H2476" s="1671">
        <f t="shared" si="327"/>
        <v>0</v>
      </c>
      <c r="I2476" s="1671" t="s">
        <v>49</v>
      </c>
      <c r="J2476" s="1668"/>
      <c r="K2476" s="1668"/>
      <c r="L2476" s="1669"/>
    </row>
    <row r="2477" spans="1:12" s="692" customFormat="1" ht="16.5" hidden="1">
      <c r="A2477" s="1665"/>
      <c r="B2477" s="1666"/>
      <c r="C2477" s="688"/>
      <c r="D2477" s="1667"/>
      <c r="E2477" s="1671">
        <v>3.5</v>
      </c>
      <c r="F2477" s="1671">
        <v>4</v>
      </c>
      <c r="G2477" s="1672">
        <v>0.15</v>
      </c>
      <c r="H2477" s="1671">
        <f t="shared" si="327"/>
        <v>0</v>
      </c>
      <c r="I2477" s="1671" t="s">
        <v>49</v>
      </c>
      <c r="J2477" s="1668"/>
      <c r="K2477" s="1668"/>
      <c r="L2477" s="1669"/>
    </row>
    <row r="2478" spans="1:12" s="692" customFormat="1" ht="16.5" hidden="1">
      <c r="A2478" s="1665"/>
      <c r="B2478" s="1666"/>
      <c r="C2478" s="688"/>
      <c r="D2478" s="1667"/>
      <c r="E2478" s="1671">
        <v>3.5</v>
      </c>
      <c r="F2478" s="1671">
        <v>4</v>
      </c>
      <c r="G2478" s="1672">
        <v>0.15</v>
      </c>
      <c r="H2478" s="1671">
        <f t="shared" si="327"/>
        <v>0</v>
      </c>
      <c r="I2478" s="1671" t="s">
        <v>49</v>
      </c>
      <c r="J2478" s="1668"/>
      <c r="K2478" s="1668"/>
      <c r="L2478" s="1669"/>
    </row>
    <row r="2479" spans="1:12" s="692" customFormat="1" ht="16.5" hidden="1">
      <c r="A2479" s="1665"/>
      <c r="B2479" s="1666"/>
      <c r="C2479" s="688"/>
      <c r="D2479" s="1667"/>
      <c r="E2479" s="1671">
        <v>3.5</v>
      </c>
      <c r="F2479" s="1671">
        <v>4</v>
      </c>
      <c r="G2479" s="1672">
        <v>0.15</v>
      </c>
      <c r="H2479" s="1671">
        <f t="shared" si="327"/>
        <v>0</v>
      </c>
      <c r="I2479" s="1671" t="s">
        <v>49</v>
      </c>
      <c r="J2479" s="1668"/>
      <c r="K2479" s="1668"/>
      <c r="L2479" s="1669"/>
    </row>
    <row r="2480" spans="1:12" s="692" customFormat="1" ht="16.5" hidden="1">
      <c r="A2480" s="1665"/>
      <c r="B2480" s="1666"/>
      <c r="C2480" s="688"/>
      <c r="D2480" s="1667"/>
      <c r="E2480" s="1671"/>
      <c r="F2480" s="1671"/>
      <c r="G2480" s="1669" t="s">
        <v>928</v>
      </c>
      <c r="H2480" s="1673">
        <f>SUM(H2474:H2479)</f>
        <v>0</v>
      </c>
      <c r="I2480" s="1669" t="s">
        <v>49</v>
      </c>
      <c r="J2480" s="1669">
        <f>'Lead &amp; ANALYSIS'!L546</f>
        <v>20506.900000000001</v>
      </c>
      <c r="K2480" s="1668" t="s">
        <v>1516</v>
      </c>
      <c r="L2480" s="1669">
        <f>ROUND(H2480*J2480,0)</f>
        <v>0</v>
      </c>
    </row>
    <row r="2481" spans="1:12" s="692" customFormat="1" ht="16.5" hidden="1">
      <c r="A2481" s="1665" t="s">
        <v>308</v>
      </c>
      <c r="B2481" s="1666" t="s">
        <v>1926</v>
      </c>
      <c r="C2481" s="688"/>
      <c r="D2481" s="1667"/>
      <c r="E2481" s="688"/>
      <c r="F2481" s="688"/>
      <c r="G2481" s="1674"/>
      <c r="H2481" s="688"/>
      <c r="I2481" s="1668"/>
      <c r="J2481" s="1668"/>
      <c r="K2481" s="1668"/>
      <c r="L2481" s="1669"/>
    </row>
    <row r="2482" spans="1:12" s="692" customFormat="1" ht="16.5" hidden="1">
      <c r="A2482" s="1665"/>
      <c r="B2482" s="1666"/>
      <c r="C2482" s="688"/>
      <c r="D2482" s="1667"/>
      <c r="E2482" s="1671">
        <f>D765+F2482</f>
        <v>0</v>
      </c>
      <c r="F2482" s="1671">
        <f>F2467</f>
        <v>0</v>
      </c>
      <c r="G2482" s="1672">
        <f>'DRAWING CC'!GI431</f>
        <v>0</v>
      </c>
      <c r="H2482" s="1671">
        <f t="shared" ref="H2482:H2487" si="328">ROUND(D2482*E2482*F2482*G2482,2)</f>
        <v>0</v>
      </c>
      <c r="I2482" s="1671" t="s">
        <v>49</v>
      </c>
      <c r="J2482" s="1668"/>
      <c r="K2482" s="1668"/>
      <c r="L2482" s="1669"/>
    </row>
    <row r="2483" spans="1:12" s="692" customFormat="1" ht="16.5" hidden="1">
      <c r="A2483" s="1665"/>
      <c r="B2483" s="1666"/>
      <c r="C2483" s="688"/>
      <c r="D2483" s="1667"/>
      <c r="E2483" s="1671">
        <f>D768-F2483</f>
        <v>0</v>
      </c>
      <c r="F2483" s="1671">
        <f>F2482</f>
        <v>0</v>
      </c>
      <c r="G2483" s="1672">
        <f>G2482</f>
        <v>0</v>
      </c>
      <c r="H2483" s="1671">
        <f t="shared" si="328"/>
        <v>0</v>
      </c>
      <c r="I2483" s="1671" t="s">
        <v>49</v>
      </c>
      <c r="J2483" s="1668"/>
      <c r="K2483" s="1668"/>
      <c r="L2483" s="1669"/>
    </row>
    <row r="2484" spans="1:12" s="692" customFormat="1" ht="16.5" hidden="1">
      <c r="A2484" s="1665"/>
      <c r="B2484" s="1666"/>
      <c r="C2484" s="688"/>
      <c r="D2484" s="1667"/>
      <c r="E2484" s="1671">
        <f>D769-F2484</f>
        <v>0</v>
      </c>
      <c r="F2484" s="1671">
        <f>F2483</f>
        <v>0</v>
      </c>
      <c r="G2484" s="1672">
        <f>G2483</f>
        <v>0</v>
      </c>
      <c r="H2484" s="1671">
        <f t="shared" si="328"/>
        <v>0</v>
      </c>
      <c r="I2484" s="1671" t="s">
        <v>49</v>
      </c>
      <c r="J2484" s="1668"/>
      <c r="K2484" s="1668"/>
      <c r="L2484" s="1669"/>
    </row>
    <row r="2485" spans="1:12" s="692" customFormat="1" ht="16.5" hidden="1">
      <c r="A2485" s="1665"/>
      <c r="B2485" s="1666"/>
      <c r="C2485" s="688"/>
      <c r="D2485" s="1667"/>
      <c r="E2485" s="1671">
        <v>3.5</v>
      </c>
      <c r="F2485" s="1671">
        <v>4</v>
      </c>
      <c r="G2485" s="1672">
        <v>0.15</v>
      </c>
      <c r="H2485" s="1671">
        <f t="shared" si="328"/>
        <v>0</v>
      </c>
      <c r="I2485" s="1671" t="s">
        <v>49</v>
      </c>
      <c r="J2485" s="1668"/>
      <c r="K2485" s="1668"/>
      <c r="L2485" s="1669"/>
    </row>
    <row r="2486" spans="1:12" s="692" customFormat="1" ht="16.5" hidden="1">
      <c r="A2486" s="1665"/>
      <c r="B2486" s="1666"/>
      <c r="C2486" s="688"/>
      <c r="D2486" s="1667"/>
      <c r="E2486" s="1671">
        <v>3.5</v>
      </c>
      <c r="F2486" s="1671">
        <v>4</v>
      </c>
      <c r="G2486" s="1672">
        <v>0.15</v>
      </c>
      <c r="H2486" s="1671">
        <f t="shared" si="328"/>
        <v>0</v>
      </c>
      <c r="I2486" s="1671" t="s">
        <v>49</v>
      </c>
      <c r="J2486" s="1668"/>
      <c r="K2486" s="1668"/>
      <c r="L2486" s="1669"/>
    </row>
    <row r="2487" spans="1:12" s="692" customFormat="1" ht="16.5" hidden="1">
      <c r="A2487" s="1665"/>
      <c r="B2487" s="1666"/>
      <c r="C2487" s="688"/>
      <c r="D2487" s="1667"/>
      <c r="E2487" s="1671">
        <v>3.5</v>
      </c>
      <c r="F2487" s="1671">
        <v>4</v>
      </c>
      <c r="G2487" s="1672">
        <v>0.15</v>
      </c>
      <c r="H2487" s="1671">
        <f t="shared" si="328"/>
        <v>0</v>
      </c>
      <c r="I2487" s="1671" t="s">
        <v>49</v>
      </c>
      <c r="J2487" s="1668"/>
      <c r="K2487" s="1668"/>
      <c r="L2487" s="1669"/>
    </row>
    <row r="2488" spans="1:12" s="692" customFormat="1" ht="16.5" hidden="1">
      <c r="A2488" s="1665"/>
      <c r="B2488" s="1666"/>
      <c r="C2488" s="688"/>
      <c r="D2488" s="1667"/>
      <c r="E2488" s="1671"/>
      <c r="F2488" s="1671"/>
      <c r="G2488" s="1669" t="s">
        <v>928</v>
      </c>
      <c r="H2488" s="1673">
        <f>SUM(H2482:H2487)</f>
        <v>0</v>
      </c>
      <c r="I2488" s="1669" t="s">
        <v>49</v>
      </c>
      <c r="J2488" s="1668"/>
      <c r="K2488" s="1668"/>
      <c r="L2488" s="1669"/>
    </row>
    <row r="2489" spans="1:12" s="692" customFormat="1" ht="16.5" hidden="1">
      <c r="A2489" s="1665"/>
      <c r="B2489" s="1666"/>
      <c r="C2489" s="688"/>
      <c r="D2489" s="1667"/>
      <c r="E2489" s="1671">
        <f>D537+F2489</f>
        <v>0.25</v>
      </c>
      <c r="F2489" s="1671">
        <f>F2474</f>
        <v>0.25</v>
      </c>
      <c r="G2489" s="1672"/>
      <c r="H2489" s="1671">
        <f>ROUND(D2489*E2489*F2489,2)</f>
        <v>0</v>
      </c>
      <c r="I2489" s="1671" t="s">
        <v>92</v>
      </c>
      <c r="J2489" s="1668"/>
      <c r="K2489" s="1668"/>
      <c r="L2489" s="1669"/>
    </row>
    <row r="2490" spans="1:12" s="692" customFormat="1" ht="16.5" hidden="1">
      <c r="A2490" s="1665"/>
      <c r="B2490" s="1666"/>
      <c r="C2490" s="688"/>
      <c r="D2490" s="1667"/>
      <c r="E2490" s="1671">
        <f>D540-F2490</f>
        <v>-0.25</v>
      </c>
      <c r="F2490" s="1671">
        <f>F2489</f>
        <v>0.25</v>
      </c>
      <c r="G2490" s="1672"/>
      <c r="H2490" s="1671">
        <f t="shared" ref="H2490:H2494" si="329">ROUND(D2490*E2490*F2490,2)</f>
        <v>0</v>
      </c>
      <c r="I2490" s="1671" t="s">
        <v>92</v>
      </c>
      <c r="J2490" s="1668"/>
      <c r="K2490" s="1668"/>
      <c r="L2490" s="1669"/>
    </row>
    <row r="2491" spans="1:12" s="692" customFormat="1" ht="16.5" hidden="1">
      <c r="A2491" s="1665"/>
      <c r="B2491" s="1666"/>
      <c r="C2491" s="688"/>
      <c r="D2491" s="1667"/>
      <c r="E2491" s="1671">
        <f>D541-F2491</f>
        <v>-0.25</v>
      </c>
      <c r="F2491" s="1671">
        <f>F2490</f>
        <v>0.25</v>
      </c>
      <c r="G2491" s="1672"/>
      <c r="H2491" s="1671">
        <f t="shared" si="329"/>
        <v>0</v>
      </c>
      <c r="I2491" s="1671" t="s">
        <v>92</v>
      </c>
      <c r="J2491" s="1668"/>
      <c r="K2491" s="1668"/>
      <c r="L2491" s="1669"/>
    </row>
    <row r="2492" spans="1:12" s="692" customFormat="1" ht="16.5" hidden="1">
      <c r="A2492" s="1665"/>
      <c r="B2492" s="1666"/>
      <c r="C2492" s="688"/>
      <c r="D2492" s="1667"/>
      <c r="E2492" s="1671">
        <v>3.5</v>
      </c>
      <c r="F2492" s="1671">
        <v>4</v>
      </c>
      <c r="G2492" s="1672"/>
      <c r="H2492" s="1671">
        <f t="shared" si="329"/>
        <v>0</v>
      </c>
      <c r="I2492" s="1671" t="s">
        <v>92</v>
      </c>
      <c r="J2492" s="1668"/>
      <c r="K2492" s="1668"/>
      <c r="L2492" s="1669"/>
    </row>
    <row r="2493" spans="1:12" s="692" customFormat="1" ht="16.5" hidden="1">
      <c r="A2493" s="1665"/>
      <c r="B2493" s="1666"/>
      <c r="C2493" s="688"/>
      <c r="D2493" s="1667"/>
      <c r="E2493" s="1671">
        <v>3.5</v>
      </c>
      <c r="F2493" s="1671">
        <v>4</v>
      </c>
      <c r="G2493" s="1672"/>
      <c r="H2493" s="1671">
        <f t="shared" si="329"/>
        <v>0</v>
      </c>
      <c r="I2493" s="1671" t="s">
        <v>92</v>
      </c>
      <c r="J2493" s="1668"/>
      <c r="K2493" s="1668"/>
      <c r="L2493" s="1669"/>
    </row>
    <row r="2494" spans="1:12" s="692" customFormat="1" ht="16.5" hidden="1">
      <c r="A2494" s="1665"/>
      <c r="B2494" s="1666"/>
      <c r="C2494" s="688"/>
      <c r="D2494" s="1667"/>
      <c r="E2494" s="1671">
        <v>3.5</v>
      </c>
      <c r="F2494" s="1671">
        <v>4</v>
      </c>
      <c r="G2494" s="1672"/>
      <c r="H2494" s="1671">
        <f t="shared" si="329"/>
        <v>0</v>
      </c>
      <c r="I2494" s="1671" t="s">
        <v>92</v>
      </c>
      <c r="J2494" s="1668"/>
      <c r="K2494" s="1668"/>
      <c r="L2494" s="1669"/>
    </row>
    <row r="2495" spans="1:12" s="692" customFormat="1" ht="16.5" hidden="1">
      <c r="A2495" s="1665"/>
      <c r="B2495" s="1666"/>
      <c r="C2495" s="688"/>
      <c r="D2495" s="1667"/>
      <c r="E2495" s="1671"/>
      <c r="F2495" s="1671"/>
      <c r="G2495" s="1669" t="s">
        <v>928</v>
      </c>
      <c r="H2495" s="1673">
        <f>SUM(H2489:H2494)</f>
        <v>0</v>
      </c>
      <c r="I2495" s="1671" t="s">
        <v>92</v>
      </c>
      <c r="J2495" s="1669">
        <f>'Lead &amp; ANALYSIS'!L611</f>
        <v>2984.6</v>
      </c>
      <c r="K2495" s="1668" t="s">
        <v>1514</v>
      </c>
      <c r="L2495" s="1669">
        <f>ROUND(H2495*J2495,0)</f>
        <v>0</v>
      </c>
    </row>
    <row r="2496" spans="1:12" s="692" customFormat="1" ht="16.5" hidden="1">
      <c r="A2496" s="1665" t="s">
        <v>352</v>
      </c>
      <c r="B2496" s="1666" t="s">
        <v>3416</v>
      </c>
      <c r="C2496" s="688"/>
      <c r="D2496" s="1667"/>
      <c r="E2496" s="688"/>
      <c r="F2496" s="688"/>
      <c r="G2496" s="1674"/>
      <c r="H2496" s="688"/>
      <c r="I2496" s="1668"/>
      <c r="J2496" s="1668"/>
      <c r="K2496" s="1668"/>
      <c r="L2496" s="1669"/>
    </row>
    <row r="2497" spans="1:12" s="692" customFormat="1" ht="16.5" hidden="1">
      <c r="A2497" s="1665"/>
      <c r="B2497" s="1666"/>
      <c r="C2497" s="688"/>
      <c r="D2497" s="1667"/>
      <c r="E2497" s="1671">
        <f>D773+F2497</f>
        <v>0</v>
      </c>
      <c r="F2497" s="1671">
        <f>F2482</f>
        <v>0</v>
      </c>
      <c r="G2497" s="1672">
        <f>'DRAWING CC'!GI439</f>
        <v>0</v>
      </c>
      <c r="H2497" s="1671">
        <f t="shared" ref="H2497:H2502" si="330">ROUND(D2497*E2497*F2497*G2497,2)</f>
        <v>0</v>
      </c>
      <c r="I2497" s="1671" t="s">
        <v>49</v>
      </c>
      <c r="J2497" s="1668"/>
      <c r="K2497" s="1668"/>
      <c r="L2497" s="1669"/>
    </row>
    <row r="2498" spans="1:12" s="692" customFormat="1" ht="16.5" hidden="1">
      <c r="A2498" s="1665"/>
      <c r="B2498" s="1666"/>
      <c r="C2498" s="688"/>
      <c r="D2498" s="1667"/>
      <c r="E2498" s="1671">
        <f>D776-F2498</f>
        <v>0</v>
      </c>
      <c r="F2498" s="1671">
        <f>F2497</f>
        <v>0</v>
      </c>
      <c r="G2498" s="1672">
        <f>G2497</f>
        <v>0</v>
      </c>
      <c r="H2498" s="1671">
        <f t="shared" si="330"/>
        <v>0</v>
      </c>
      <c r="I2498" s="1671" t="s">
        <v>49</v>
      </c>
      <c r="J2498" s="1668"/>
      <c r="K2498" s="1668"/>
      <c r="L2498" s="1669"/>
    </row>
    <row r="2499" spans="1:12" s="692" customFormat="1" ht="16.5" hidden="1">
      <c r="A2499" s="1665"/>
      <c r="B2499" s="1666"/>
      <c r="C2499" s="688"/>
      <c r="D2499" s="1667"/>
      <c r="E2499" s="1671">
        <f>D777-F2499</f>
        <v>0</v>
      </c>
      <c r="F2499" s="1671">
        <f>F2498</f>
        <v>0</v>
      </c>
      <c r="G2499" s="1672">
        <f>G2498</f>
        <v>0</v>
      </c>
      <c r="H2499" s="1671">
        <f t="shared" si="330"/>
        <v>0</v>
      </c>
      <c r="I2499" s="1671" t="s">
        <v>49</v>
      </c>
      <c r="J2499" s="1668"/>
      <c r="K2499" s="1668"/>
      <c r="L2499" s="1669"/>
    </row>
    <row r="2500" spans="1:12" s="692" customFormat="1" ht="16.5" hidden="1">
      <c r="A2500" s="1665"/>
      <c r="B2500" s="1666"/>
      <c r="C2500" s="688"/>
      <c r="D2500" s="1667"/>
      <c r="E2500" s="1671">
        <v>3.5</v>
      </c>
      <c r="F2500" s="1671">
        <v>4</v>
      </c>
      <c r="G2500" s="1672">
        <v>0.15</v>
      </c>
      <c r="H2500" s="1671">
        <f t="shared" si="330"/>
        <v>0</v>
      </c>
      <c r="I2500" s="1671" t="s">
        <v>49</v>
      </c>
      <c r="J2500" s="1668"/>
      <c r="K2500" s="1668"/>
      <c r="L2500" s="1669"/>
    </row>
    <row r="2501" spans="1:12" s="692" customFormat="1" ht="16.5" hidden="1">
      <c r="A2501" s="1665"/>
      <c r="B2501" s="1666"/>
      <c r="C2501" s="688"/>
      <c r="D2501" s="1667"/>
      <c r="E2501" s="1671">
        <v>3.5</v>
      </c>
      <c r="F2501" s="1671">
        <v>4</v>
      </c>
      <c r="G2501" s="1672">
        <v>0.15</v>
      </c>
      <c r="H2501" s="1671">
        <f t="shared" si="330"/>
        <v>0</v>
      </c>
      <c r="I2501" s="1671" t="s">
        <v>49</v>
      </c>
      <c r="J2501" s="1668"/>
      <c r="K2501" s="1668"/>
      <c r="L2501" s="1669"/>
    </row>
    <row r="2502" spans="1:12" s="692" customFormat="1" ht="16.5" hidden="1">
      <c r="A2502" s="1665"/>
      <c r="B2502" s="1666"/>
      <c r="C2502" s="688"/>
      <c r="D2502" s="1667"/>
      <c r="E2502" s="1671">
        <v>3.5</v>
      </c>
      <c r="F2502" s="1671">
        <v>4</v>
      </c>
      <c r="G2502" s="1672">
        <v>0.15</v>
      </c>
      <c r="H2502" s="1671">
        <f t="shared" si="330"/>
        <v>0</v>
      </c>
      <c r="I2502" s="1671" t="s">
        <v>49</v>
      </c>
      <c r="J2502" s="1668"/>
      <c r="K2502" s="1668"/>
      <c r="L2502" s="1669"/>
    </row>
    <row r="2503" spans="1:12" s="692" customFormat="1" ht="16.5" hidden="1">
      <c r="A2503" s="1665"/>
      <c r="B2503" s="1666"/>
      <c r="C2503" s="688"/>
      <c r="D2503" s="1667"/>
      <c r="E2503" s="1671"/>
      <c r="F2503" s="1671"/>
      <c r="G2503" s="1669" t="s">
        <v>928</v>
      </c>
      <c r="H2503" s="1673">
        <f>SUM(H2497:H2502)</f>
        <v>0</v>
      </c>
      <c r="I2503" s="1669" t="s">
        <v>49</v>
      </c>
      <c r="J2503" s="1668"/>
      <c r="K2503" s="1668"/>
      <c r="L2503" s="1669"/>
    </row>
    <row r="2504" spans="1:12" s="692" customFormat="1" ht="16.5" hidden="1">
      <c r="A2504" s="1665"/>
      <c r="B2504" s="1666"/>
      <c r="C2504" s="688"/>
      <c r="D2504" s="1667"/>
      <c r="E2504" s="1671">
        <f>D780+F2504</f>
        <v>0.25</v>
      </c>
      <c r="F2504" s="1671">
        <f>F2489</f>
        <v>0.25</v>
      </c>
      <c r="G2504" s="1672">
        <f>'DRAWING CC'!GI446</f>
        <v>0</v>
      </c>
      <c r="H2504" s="1671">
        <f t="shared" ref="H2504:H2509" si="331">ROUND(D2504*E2504*F2504*G2504,2)</f>
        <v>0</v>
      </c>
      <c r="I2504" s="1671" t="s">
        <v>49</v>
      </c>
      <c r="J2504" s="1668"/>
      <c r="K2504" s="1668"/>
      <c r="L2504" s="1669"/>
    </row>
    <row r="2505" spans="1:12" s="692" customFormat="1" ht="16.5" hidden="1">
      <c r="A2505" s="1665"/>
      <c r="B2505" s="1666"/>
      <c r="C2505" s="688"/>
      <c r="D2505" s="1667"/>
      <c r="E2505" s="1671">
        <f>D783-F2505</f>
        <v>-0.25</v>
      </c>
      <c r="F2505" s="1671">
        <f>F2504</f>
        <v>0.25</v>
      </c>
      <c r="G2505" s="1672">
        <f>G2504</f>
        <v>0</v>
      </c>
      <c r="H2505" s="1671">
        <f t="shared" si="331"/>
        <v>0</v>
      </c>
      <c r="I2505" s="1671" t="s">
        <v>49</v>
      </c>
      <c r="J2505" s="1668"/>
      <c r="K2505" s="1668"/>
      <c r="L2505" s="1669"/>
    </row>
    <row r="2506" spans="1:12" s="692" customFormat="1" ht="16.5" hidden="1">
      <c r="A2506" s="1665"/>
      <c r="B2506" s="1666"/>
      <c r="C2506" s="688"/>
      <c r="D2506" s="1667"/>
      <c r="E2506" s="1671">
        <f>D784-F2506</f>
        <v>-0.25</v>
      </c>
      <c r="F2506" s="1671">
        <f>F2505</f>
        <v>0.25</v>
      </c>
      <c r="G2506" s="1672">
        <f>G2505</f>
        <v>0</v>
      </c>
      <c r="H2506" s="1671">
        <f t="shared" si="331"/>
        <v>0</v>
      </c>
      <c r="I2506" s="1671" t="s">
        <v>49</v>
      </c>
      <c r="J2506" s="1668"/>
      <c r="K2506" s="1668"/>
      <c r="L2506" s="1669"/>
    </row>
    <row r="2507" spans="1:12" s="692" customFormat="1" ht="16.5" hidden="1">
      <c r="A2507" s="1665"/>
      <c r="B2507" s="1666"/>
      <c r="C2507" s="688"/>
      <c r="D2507" s="1667"/>
      <c r="E2507" s="1671">
        <v>3.5</v>
      </c>
      <c r="F2507" s="1671">
        <v>4</v>
      </c>
      <c r="G2507" s="1672">
        <v>0.15</v>
      </c>
      <c r="H2507" s="1671">
        <f t="shared" si="331"/>
        <v>0</v>
      </c>
      <c r="I2507" s="1671" t="s">
        <v>49</v>
      </c>
      <c r="J2507" s="1668"/>
      <c r="K2507" s="1668"/>
      <c r="L2507" s="1669"/>
    </row>
    <row r="2508" spans="1:12" s="692" customFormat="1" ht="16.5" hidden="1">
      <c r="A2508" s="1665"/>
      <c r="B2508" s="1666"/>
      <c r="C2508" s="688"/>
      <c r="D2508" s="1667"/>
      <c r="E2508" s="1671">
        <v>3.5</v>
      </c>
      <c r="F2508" s="1671">
        <v>4</v>
      </c>
      <c r="G2508" s="1672">
        <v>0.15</v>
      </c>
      <c r="H2508" s="1671">
        <f t="shared" si="331"/>
        <v>0</v>
      </c>
      <c r="I2508" s="1671" t="s">
        <v>49</v>
      </c>
      <c r="J2508" s="1668"/>
      <c r="K2508" s="1668"/>
      <c r="L2508" s="1669"/>
    </row>
    <row r="2509" spans="1:12" s="692" customFormat="1" ht="16.5" hidden="1">
      <c r="A2509" s="1665"/>
      <c r="B2509" s="1666"/>
      <c r="C2509" s="688"/>
      <c r="D2509" s="1667"/>
      <c r="E2509" s="1671">
        <v>3.5</v>
      </c>
      <c r="F2509" s="1671">
        <v>4</v>
      </c>
      <c r="G2509" s="1672">
        <v>0.15</v>
      </c>
      <c r="H2509" s="1671">
        <f t="shared" si="331"/>
        <v>0</v>
      </c>
      <c r="I2509" s="1671" t="s">
        <v>49</v>
      </c>
      <c r="J2509" s="1668"/>
      <c r="K2509" s="1668"/>
      <c r="L2509" s="1669"/>
    </row>
    <row r="2510" spans="1:12" s="692" customFormat="1" ht="16.5" hidden="1">
      <c r="A2510" s="1665"/>
      <c r="B2510" s="1666"/>
      <c r="C2510" s="688"/>
      <c r="D2510" s="1667"/>
      <c r="E2510" s="1671"/>
      <c r="F2510" s="1671"/>
      <c r="G2510" s="1669" t="s">
        <v>928</v>
      </c>
      <c r="H2510" s="1673">
        <f>SUM(H2504:H2509)</f>
        <v>0</v>
      </c>
      <c r="I2510" s="1669" t="s">
        <v>49</v>
      </c>
      <c r="J2510" s="1669">
        <f>'Lead &amp; ANALYSIS'!L533</f>
        <v>19484.400000000001</v>
      </c>
      <c r="K2510" s="1668" t="s">
        <v>1516</v>
      </c>
      <c r="L2510" s="1669">
        <f>ROUND(H2510*J2510,0)</f>
        <v>0</v>
      </c>
    </row>
    <row r="2511" spans="1:12" s="692" customFormat="1" ht="16.5" hidden="1">
      <c r="A2511" s="1665" t="s">
        <v>2072</v>
      </c>
      <c r="B2511" s="1666" t="s">
        <v>1929</v>
      </c>
      <c r="C2511" s="688"/>
      <c r="D2511" s="1667"/>
      <c r="E2511" s="688"/>
      <c r="F2511" s="688"/>
      <c r="G2511" s="1674"/>
      <c r="H2511" s="688"/>
      <c r="I2511" s="1668"/>
      <c r="J2511" s="1668"/>
      <c r="K2511" s="1668"/>
      <c r="L2511" s="1669"/>
    </row>
    <row r="2512" spans="1:12" s="692" customFormat="1" ht="16.5" hidden="1">
      <c r="A2512" s="1665"/>
      <c r="B2512" s="1666"/>
      <c r="C2512" s="688"/>
      <c r="D2512" s="1667"/>
      <c r="E2512" s="1671">
        <v>3.5</v>
      </c>
      <c r="F2512" s="1671">
        <v>1.2</v>
      </c>
      <c r="G2512" s="1672">
        <v>0.3</v>
      </c>
      <c r="H2512" s="1671">
        <f t="shared" ref="H2512:H2517" si="332">ROUND(D2512*E2512*F2512*G2512,2)</f>
        <v>0</v>
      </c>
      <c r="I2512" s="1671" t="s">
        <v>49</v>
      </c>
      <c r="J2512" s="1668"/>
      <c r="K2512" s="1668"/>
      <c r="L2512" s="1669"/>
    </row>
    <row r="2513" spans="1:12" s="692" customFormat="1" ht="16.5" hidden="1">
      <c r="A2513" s="1665"/>
      <c r="B2513" s="1666"/>
      <c r="C2513" s="688"/>
      <c r="D2513" s="1667"/>
      <c r="E2513" s="1671">
        <v>3.5</v>
      </c>
      <c r="F2513" s="1671">
        <f>F2512</f>
        <v>1.2</v>
      </c>
      <c r="G2513" s="1672">
        <f>G2512</f>
        <v>0.3</v>
      </c>
      <c r="H2513" s="1671">
        <f t="shared" si="332"/>
        <v>0</v>
      </c>
      <c r="I2513" s="1671" t="s">
        <v>49</v>
      </c>
      <c r="J2513" s="1668"/>
      <c r="K2513" s="1668"/>
      <c r="L2513" s="1669"/>
    </row>
    <row r="2514" spans="1:12" s="692" customFormat="1" ht="16.5" hidden="1">
      <c r="A2514" s="1665"/>
      <c r="B2514" s="1666"/>
      <c r="C2514" s="688"/>
      <c r="D2514" s="1667"/>
      <c r="E2514" s="1671">
        <v>3.5</v>
      </c>
      <c r="F2514" s="1671">
        <f>F2513</f>
        <v>1.2</v>
      </c>
      <c r="G2514" s="1672">
        <f>G2513</f>
        <v>0.3</v>
      </c>
      <c r="H2514" s="1671">
        <f t="shared" si="332"/>
        <v>0</v>
      </c>
      <c r="I2514" s="1671" t="s">
        <v>49</v>
      </c>
      <c r="J2514" s="1668"/>
      <c r="K2514" s="1668"/>
      <c r="L2514" s="1669"/>
    </row>
    <row r="2515" spans="1:12" s="692" customFormat="1" ht="16.5" hidden="1">
      <c r="A2515" s="1665"/>
      <c r="B2515" s="1666"/>
      <c r="C2515" s="688"/>
      <c r="D2515" s="1667"/>
      <c r="E2515" s="1671">
        <v>3.5</v>
      </c>
      <c r="F2515" s="1671">
        <v>4</v>
      </c>
      <c r="G2515" s="1672">
        <v>0.15</v>
      </c>
      <c r="H2515" s="1671">
        <f t="shared" si="332"/>
        <v>0</v>
      </c>
      <c r="I2515" s="1671" t="s">
        <v>49</v>
      </c>
      <c r="J2515" s="1668"/>
      <c r="K2515" s="1668"/>
      <c r="L2515" s="1669"/>
    </row>
    <row r="2516" spans="1:12" s="692" customFormat="1" ht="16.5" hidden="1">
      <c r="A2516" s="1665"/>
      <c r="B2516" s="1666"/>
      <c r="C2516" s="688"/>
      <c r="D2516" s="1667"/>
      <c r="E2516" s="1671">
        <v>3.5</v>
      </c>
      <c r="F2516" s="1671">
        <v>4</v>
      </c>
      <c r="G2516" s="1672">
        <v>0.15</v>
      </c>
      <c r="H2516" s="1671">
        <f t="shared" si="332"/>
        <v>0</v>
      </c>
      <c r="I2516" s="1671" t="s">
        <v>49</v>
      </c>
      <c r="J2516" s="1668"/>
      <c r="K2516" s="1668"/>
      <c r="L2516" s="1669"/>
    </row>
    <row r="2517" spans="1:12" s="692" customFormat="1" ht="16.5" hidden="1">
      <c r="A2517" s="1665"/>
      <c r="B2517" s="1666"/>
      <c r="C2517" s="688"/>
      <c r="D2517" s="1667"/>
      <c r="E2517" s="1671">
        <v>3.5</v>
      </c>
      <c r="F2517" s="1671">
        <v>4</v>
      </c>
      <c r="G2517" s="1672">
        <v>0.15</v>
      </c>
      <c r="H2517" s="1671">
        <f t="shared" si="332"/>
        <v>0</v>
      </c>
      <c r="I2517" s="1671" t="s">
        <v>49</v>
      </c>
      <c r="J2517" s="1668"/>
      <c r="K2517" s="1668"/>
      <c r="L2517" s="1669"/>
    </row>
    <row r="2518" spans="1:12" s="692" customFormat="1" ht="16.5" hidden="1">
      <c r="A2518" s="1665"/>
      <c r="B2518" s="1666"/>
      <c r="C2518" s="688"/>
      <c r="D2518" s="1667"/>
      <c r="E2518" s="1671"/>
      <c r="F2518" s="1671"/>
      <c r="G2518" s="1669" t="s">
        <v>928</v>
      </c>
      <c r="H2518" s="1673">
        <f>SUM(H2512:H2517)</f>
        <v>0</v>
      </c>
      <c r="I2518" s="1669" t="s">
        <v>49</v>
      </c>
      <c r="J2518" s="1668"/>
      <c r="K2518" s="1668"/>
      <c r="L2518" s="1669"/>
    </row>
    <row r="2519" spans="1:12" s="692" customFormat="1" ht="16.5" hidden="1">
      <c r="A2519" s="1665"/>
      <c r="B2519" s="1666"/>
      <c r="C2519" s="688"/>
      <c r="D2519" s="1667"/>
      <c r="E2519" s="1671">
        <f>D567+F2519</f>
        <v>0.25</v>
      </c>
      <c r="F2519" s="1671">
        <f>F2504</f>
        <v>0.25</v>
      </c>
      <c r="G2519" s="1672"/>
      <c r="H2519" s="1671">
        <f>ROUND(D2519*E2519*F2519,2)</f>
        <v>0</v>
      </c>
      <c r="I2519" s="1671" t="s">
        <v>92</v>
      </c>
      <c r="J2519" s="1668"/>
      <c r="K2519" s="1668"/>
      <c r="L2519" s="1669"/>
    </row>
    <row r="2520" spans="1:12" s="692" customFormat="1" ht="16.5" hidden="1">
      <c r="A2520" s="1665"/>
      <c r="B2520" s="1666"/>
      <c r="C2520" s="688"/>
      <c r="D2520" s="1667"/>
      <c r="E2520" s="1671">
        <f>D570-F2520</f>
        <v>-0.25</v>
      </c>
      <c r="F2520" s="1671">
        <f>F2519</f>
        <v>0.25</v>
      </c>
      <c r="G2520" s="1672"/>
      <c r="H2520" s="1671">
        <f t="shared" ref="H2520:H2524" si="333">ROUND(D2520*E2520*F2520,2)</f>
        <v>0</v>
      </c>
      <c r="I2520" s="1671" t="s">
        <v>92</v>
      </c>
      <c r="J2520" s="1668"/>
      <c r="K2520" s="1668"/>
      <c r="L2520" s="1669"/>
    </row>
    <row r="2521" spans="1:12" s="692" customFormat="1" ht="16.5" hidden="1">
      <c r="A2521" s="1665"/>
      <c r="B2521" s="1666"/>
      <c r="C2521" s="688"/>
      <c r="D2521" s="1667"/>
      <c r="E2521" s="1671">
        <f>D571-F2521</f>
        <v>-0.25</v>
      </c>
      <c r="F2521" s="1671">
        <f>F2520</f>
        <v>0.25</v>
      </c>
      <c r="G2521" s="1672"/>
      <c r="H2521" s="1671">
        <f t="shared" si="333"/>
        <v>0</v>
      </c>
      <c r="I2521" s="1671" t="s">
        <v>92</v>
      </c>
      <c r="J2521" s="1668"/>
      <c r="K2521" s="1668"/>
      <c r="L2521" s="1669"/>
    </row>
    <row r="2522" spans="1:12" s="692" customFormat="1" ht="16.5" hidden="1">
      <c r="A2522" s="1665"/>
      <c r="B2522" s="1666"/>
      <c r="C2522" s="688"/>
      <c r="D2522" s="1667"/>
      <c r="E2522" s="1671">
        <v>3.5</v>
      </c>
      <c r="F2522" s="1671">
        <v>4</v>
      </c>
      <c r="G2522" s="1672"/>
      <c r="H2522" s="1671">
        <f t="shared" si="333"/>
        <v>0</v>
      </c>
      <c r="I2522" s="1671" t="s">
        <v>92</v>
      </c>
      <c r="J2522" s="1668"/>
      <c r="K2522" s="1668"/>
      <c r="L2522" s="1669"/>
    </row>
    <row r="2523" spans="1:12" s="692" customFormat="1" ht="16.5" hidden="1">
      <c r="A2523" s="1665"/>
      <c r="B2523" s="1666"/>
      <c r="C2523" s="688"/>
      <c r="D2523" s="1667"/>
      <c r="E2523" s="1671">
        <v>3.5</v>
      </c>
      <c r="F2523" s="1671">
        <v>4</v>
      </c>
      <c r="G2523" s="1672"/>
      <c r="H2523" s="1671">
        <f t="shared" si="333"/>
        <v>0</v>
      </c>
      <c r="I2523" s="1671" t="s">
        <v>92</v>
      </c>
      <c r="J2523" s="1668"/>
      <c r="K2523" s="1668"/>
      <c r="L2523" s="1669"/>
    </row>
    <row r="2524" spans="1:12" s="692" customFormat="1" ht="16.5" hidden="1">
      <c r="A2524" s="1665"/>
      <c r="B2524" s="1666"/>
      <c r="C2524" s="688"/>
      <c r="D2524" s="1667"/>
      <c r="E2524" s="1671">
        <v>3.5</v>
      </c>
      <c r="F2524" s="1671">
        <v>4</v>
      </c>
      <c r="G2524" s="1672"/>
      <c r="H2524" s="1671">
        <f t="shared" si="333"/>
        <v>0</v>
      </c>
      <c r="I2524" s="1671" t="s">
        <v>92</v>
      </c>
      <c r="J2524" s="1668"/>
      <c r="K2524" s="1668"/>
      <c r="L2524" s="1669"/>
    </row>
    <row r="2525" spans="1:12" s="692" customFormat="1" ht="16.5" hidden="1">
      <c r="A2525" s="1665"/>
      <c r="B2525" s="1666"/>
      <c r="C2525" s="688"/>
      <c r="D2525" s="1667"/>
      <c r="E2525" s="1671"/>
      <c r="F2525" s="1671"/>
      <c r="G2525" s="1669" t="s">
        <v>928</v>
      </c>
      <c r="H2525" s="1673">
        <f>SUM(H2519:H2524)</f>
        <v>0</v>
      </c>
      <c r="I2525" s="1671" t="s">
        <v>92</v>
      </c>
      <c r="J2525" s="1669">
        <f>'Lead &amp; ANALYSIS'!L598</f>
        <v>1509.5</v>
      </c>
      <c r="K2525" s="1668" t="s">
        <v>1514</v>
      </c>
      <c r="L2525" s="1669">
        <f>ROUND(H2525*J2525,0)</f>
        <v>0</v>
      </c>
    </row>
    <row r="2526" spans="1:12" s="692" customFormat="1" ht="16.5" hidden="1">
      <c r="A2526" s="1665" t="s">
        <v>3415</v>
      </c>
      <c r="B2526" s="1666" t="s">
        <v>479</v>
      </c>
      <c r="C2526" s="688"/>
      <c r="D2526" s="1667"/>
      <c r="E2526" s="688"/>
      <c r="F2526" s="688"/>
      <c r="G2526" s="1674"/>
      <c r="H2526" s="688"/>
      <c r="I2526" s="1668"/>
      <c r="J2526" s="1668"/>
      <c r="K2526" s="1668"/>
      <c r="L2526" s="1669"/>
    </row>
    <row r="2527" spans="1:12" s="692" customFormat="1" ht="16.5" hidden="1">
      <c r="A2527" s="1665"/>
      <c r="B2527" s="1666"/>
      <c r="C2527" s="688"/>
      <c r="D2527" s="1667"/>
      <c r="E2527" s="1671">
        <f>D773+F2527</f>
        <v>0</v>
      </c>
      <c r="F2527" s="1671">
        <f>F2482</f>
        <v>0</v>
      </c>
      <c r="G2527" s="1672">
        <f>'DRAWING CC'!GI439</f>
        <v>0</v>
      </c>
      <c r="H2527" s="1671">
        <f t="shared" ref="H2527:H2532" si="334">ROUND(D2527*E2527*F2527*G2527,2)</f>
        <v>0</v>
      </c>
      <c r="I2527" s="1671" t="s">
        <v>49</v>
      </c>
      <c r="J2527" s="1668"/>
      <c r="K2527" s="1668"/>
      <c r="L2527" s="1669"/>
    </row>
    <row r="2528" spans="1:12" s="692" customFormat="1" ht="16.5" hidden="1">
      <c r="A2528" s="1665"/>
      <c r="B2528" s="1666"/>
      <c r="C2528" s="688"/>
      <c r="D2528" s="1667"/>
      <c r="E2528" s="1671">
        <f>D776-F2528</f>
        <v>0</v>
      </c>
      <c r="F2528" s="1671">
        <f>F2527</f>
        <v>0</v>
      </c>
      <c r="G2528" s="1672">
        <f>G2527</f>
        <v>0</v>
      </c>
      <c r="H2528" s="1671">
        <f t="shared" si="334"/>
        <v>0</v>
      </c>
      <c r="I2528" s="1671" t="s">
        <v>49</v>
      </c>
      <c r="J2528" s="1668"/>
      <c r="K2528" s="1668"/>
      <c r="L2528" s="1669"/>
    </row>
    <row r="2529" spans="1:12" s="692" customFormat="1" ht="16.5" hidden="1">
      <c r="A2529" s="1665"/>
      <c r="B2529" s="1666"/>
      <c r="C2529" s="688"/>
      <c r="D2529" s="1667"/>
      <c r="E2529" s="1671">
        <f>D777-F2529</f>
        <v>0</v>
      </c>
      <c r="F2529" s="1671">
        <f>F2528</f>
        <v>0</v>
      </c>
      <c r="G2529" s="1672">
        <f>G2528</f>
        <v>0</v>
      </c>
      <c r="H2529" s="1671">
        <f t="shared" si="334"/>
        <v>0</v>
      </c>
      <c r="I2529" s="1671" t="s">
        <v>49</v>
      </c>
      <c r="J2529" s="1668"/>
      <c r="K2529" s="1668"/>
      <c r="L2529" s="1669"/>
    </row>
    <row r="2530" spans="1:12" s="692" customFormat="1" ht="16.5" hidden="1">
      <c r="A2530" s="1665"/>
      <c r="B2530" s="1666"/>
      <c r="C2530" s="688"/>
      <c r="D2530" s="1667"/>
      <c r="E2530" s="1671">
        <v>3.5</v>
      </c>
      <c r="F2530" s="1671">
        <v>4</v>
      </c>
      <c r="G2530" s="1672">
        <v>0.15</v>
      </c>
      <c r="H2530" s="1671">
        <f t="shared" si="334"/>
        <v>0</v>
      </c>
      <c r="I2530" s="1671" t="s">
        <v>49</v>
      </c>
      <c r="J2530" s="1668"/>
      <c r="K2530" s="1668"/>
      <c r="L2530" s="1669"/>
    </row>
    <row r="2531" spans="1:12" s="692" customFormat="1" ht="16.5" hidden="1">
      <c r="A2531" s="1665"/>
      <c r="B2531" s="1666"/>
      <c r="C2531" s="688"/>
      <c r="D2531" s="1667"/>
      <c r="E2531" s="1671">
        <v>3.5</v>
      </c>
      <c r="F2531" s="1671">
        <v>4</v>
      </c>
      <c r="G2531" s="1672">
        <v>0.15</v>
      </c>
      <c r="H2531" s="1671">
        <f t="shared" si="334"/>
        <v>0</v>
      </c>
      <c r="I2531" s="1671" t="s">
        <v>49</v>
      </c>
      <c r="J2531" s="1668"/>
      <c r="K2531" s="1668"/>
      <c r="L2531" s="1669"/>
    </row>
    <row r="2532" spans="1:12" s="692" customFormat="1" ht="16.5" hidden="1">
      <c r="A2532" s="1665"/>
      <c r="B2532" s="1666"/>
      <c r="C2532" s="688"/>
      <c r="D2532" s="1667"/>
      <c r="E2532" s="1671">
        <v>3.5</v>
      </c>
      <c r="F2532" s="1671">
        <v>4</v>
      </c>
      <c r="G2532" s="1672">
        <v>0.15</v>
      </c>
      <c r="H2532" s="1671">
        <f t="shared" si="334"/>
        <v>0</v>
      </c>
      <c r="I2532" s="1671" t="s">
        <v>49</v>
      </c>
      <c r="J2532" s="1668"/>
      <c r="K2532" s="1668"/>
      <c r="L2532" s="1669"/>
    </row>
    <row r="2533" spans="1:12" s="692" customFormat="1" ht="16.5" hidden="1">
      <c r="A2533" s="1665"/>
      <c r="B2533" s="1666"/>
      <c r="C2533" s="688"/>
      <c r="D2533" s="1667"/>
      <c r="E2533" s="1671"/>
      <c r="F2533" s="1671"/>
      <c r="G2533" s="1669" t="s">
        <v>928</v>
      </c>
      <c r="H2533" s="1673">
        <f>SUM(H2527:H2532)</f>
        <v>0</v>
      </c>
      <c r="I2533" s="1669" t="s">
        <v>49</v>
      </c>
      <c r="J2533" s="1668"/>
      <c r="K2533" s="1668"/>
      <c r="L2533" s="1669"/>
    </row>
    <row r="2534" spans="1:12" s="692" customFormat="1" ht="16.5" hidden="1">
      <c r="A2534" s="1665"/>
      <c r="B2534" s="1666"/>
      <c r="C2534" s="688"/>
      <c r="D2534" s="1667"/>
      <c r="E2534" s="1671">
        <f>D780+F2534</f>
        <v>0.25</v>
      </c>
      <c r="F2534" s="1671">
        <f>F2489</f>
        <v>0.25</v>
      </c>
      <c r="G2534" s="1672">
        <f>'DRAWING CC'!GI446</f>
        <v>0</v>
      </c>
      <c r="H2534" s="1671">
        <f t="shared" ref="H2534:H2539" si="335">ROUND(D2534*E2534*F2534*G2534,2)</f>
        <v>0</v>
      </c>
      <c r="I2534" s="1671" t="s">
        <v>49</v>
      </c>
      <c r="J2534" s="1668"/>
      <c r="K2534" s="1668"/>
      <c r="L2534" s="1669"/>
    </row>
    <row r="2535" spans="1:12" s="692" customFormat="1" ht="16.5" hidden="1">
      <c r="A2535" s="1665"/>
      <c r="B2535" s="1666"/>
      <c r="C2535" s="688"/>
      <c r="D2535" s="1667"/>
      <c r="E2535" s="1671">
        <f>D783-F2535</f>
        <v>-0.25</v>
      </c>
      <c r="F2535" s="1671">
        <f>F2534</f>
        <v>0.25</v>
      </c>
      <c r="G2535" s="1672">
        <f>G2534</f>
        <v>0</v>
      </c>
      <c r="H2535" s="1671">
        <f t="shared" si="335"/>
        <v>0</v>
      </c>
      <c r="I2535" s="1671" t="s">
        <v>49</v>
      </c>
      <c r="J2535" s="1668"/>
      <c r="K2535" s="1668"/>
      <c r="L2535" s="1669"/>
    </row>
    <row r="2536" spans="1:12" s="692" customFormat="1" ht="16.5" hidden="1">
      <c r="A2536" s="1665"/>
      <c r="B2536" s="1666"/>
      <c r="C2536" s="688"/>
      <c r="D2536" s="1667"/>
      <c r="E2536" s="1671">
        <f>D784-F2536</f>
        <v>-0.25</v>
      </c>
      <c r="F2536" s="1671">
        <f>F2535</f>
        <v>0.25</v>
      </c>
      <c r="G2536" s="1672">
        <f>G2535</f>
        <v>0</v>
      </c>
      <c r="H2536" s="1671">
        <f t="shared" si="335"/>
        <v>0</v>
      </c>
      <c r="I2536" s="1671" t="s">
        <v>49</v>
      </c>
      <c r="J2536" s="1668"/>
      <c r="K2536" s="1668"/>
      <c r="L2536" s="1669"/>
    </row>
    <row r="2537" spans="1:12" s="692" customFormat="1" ht="16.5" hidden="1">
      <c r="A2537" s="1665"/>
      <c r="B2537" s="1666"/>
      <c r="C2537" s="688"/>
      <c r="D2537" s="1667"/>
      <c r="E2537" s="1671">
        <v>3.5</v>
      </c>
      <c r="F2537" s="1671">
        <v>4</v>
      </c>
      <c r="G2537" s="1672">
        <v>0.15</v>
      </c>
      <c r="H2537" s="1671">
        <f t="shared" si="335"/>
        <v>0</v>
      </c>
      <c r="I2537" s="1671" t="s">
        <v>49</v>
      </c>
      <c r="J2537" s="1668"/>
      <c r="K2537" s="1668"/>
      <c r="L2537" s="1669"/>
    </row>
    <row r="2538" spans="1:12" s="692" customFormat="1" ht="16.5" hidden="1">
      <c r="A2538" s="1665"/>
      <c r="B2538" s="1666"/>
      <c r="C2538" s="688"/>
      <c r="D2538" s="1667"/>
      <c r="E2538" s="1671">
        <v>3.5</v>
      </c>
      <c r="F2538" s="1671">
        <v>4</v>
      </c>
      <c r="G2538" s="1672">
        <v>0.15</v>
      </c>
      <c r="H2538" s="1671">
        <f t="shared" si="335"/>
        <v>0</v>
      </c>
      <c r="I2538" s="1671" t="s">
        <v>49</v>
      </c>
      <c r="J2538" s="1668"/>
      <c r="K2538" s="1668"/>
      <c r="L2538" s="1669"/>
    </row>
    <row r="2539" spans="1:12" s="692" customFormat="1" ht="16.5" hidden="1">
      <c r="A2539" s="1665"/>
      <c r="B2539" s="1666"/>
      <c r="C2539" s="688"/>
      <c r="D2539" s="1667"/>
      <c r="E2539" s="1671">
        <v>3.5</v>
      </c>
      <c r="F2539" s="1671">
        <v>4</v>
      </c>
      <c r="G2539" s="1672">
        <v>0.15</v>
      </c>
      <c r="H2539" s="1671">
        <f t="shared" si="335"/>
        <v>0</v>
      </c>
      <c r="I2539" s="1671" t="s">
        <v>49</v>
      </c>
      <c r="J2539" s="1668"/>
      <c r="K2539" s="1668"/>
      <c r="L2539" s="1669"/>
    </row>
    <row r="2540" spans="1:12" s="692" customFormat="1" ht="16.5" hidden="1">
      <c r="A2540" s="1665"/>
      <c r="B2540" s="1666"/>
      <c r="C2540" s="688"/>
      <c r="D2540" s="1667"/>
      <c r="E2540" s="1671"/>
      <c r="F2540" s="1671"/>
      <c r="G2540" s="1669" t="s">
        <v>928</v>
      </c>
      <c r="H2540" s="1673">
        <f>SUM(H2534:H2539)</f>
        <v>0</v>
      </c>
      <c r="I2540" s="1669" t="s">
        <v>49</v>
      </c>
      <c r="J2540" s="1669">
        <f>'Lead &amp; ANALYSIS'!L572</f>
        <v>20434.599999999999</v>
      </c>
      <c r="K2540" s="1668" t="s">
        <v>1516</v>
      </c>
      <c r="L2540" s="1669">
        <f>ROUND(H2540*J2540,0)</f>
        <v>0</v>
      </c>
    </row>
    <row r="2541" spans="1:12" s="692" customFormat="1" ht="16.5" hidden="1">
      <c r="A2541" s="1665" t="s">
        <v>2977</v>
      </c>
      <c r="B2541" s="1666" t="s">
        <v>477</v>
      </c>
      <c r="C2541" s="688"/>
      <c r="D2541" s="1667"/>
      <c r="E2541" s="688"/>
      <c r="F2541" s="688"/>
      <c r="G2541" s="1674"/>
      <c r="H2541" s="688"/>
      <c r="I2541" s="1668"/>
      <c r="J2541" s="1668"/>
      <c r="K2541" s="1668"/>
      <c r="L2541" s="1669"/>
    </row>
    <row r="2542" spans="1:12" s="692" customFormat="1" ht="16.5" hidden="1">
      <c r="A2542" s="1665"/>
      <c r="B2542" s="1666" t="s">
        <v>477</v>
      </c>
      <c r="C2542" s="688"/>
      <c r="D2542" s="1667"/>
      <c r="E2542" s="1671">
        <f>'DRAWING CC'!AW313+0.3</f>
        <v>0.3</v>
      </c>
      <c r="F2542" s="1671">
        <f>'DRAWING CC'!O357+0.3</f>
        <v>0.3</v>
      </c>
      <c r="G2542" s="1683">
        <v>0.1</v>
      </c>
      <c r="H2542" s="1671">
        <f t="shared" ref="H2542:H2547" si="336">ROUND(D2542*E2542*F2542*G2542,2)</f>
        <v>0</v>
      </c>
      <c r="I2542" s="1671" t="s">
        <v>49</v>
      </c>
      <c r="J2542" s="1668"/>
      <c r="K2542" s="1668"/>
      <c r="L2542" s="1669"/>
    </row>
    <row r="2543" spans="1:12" s="692" customFormat="1" ht="16.5" hidden="1">
      <c r="A2543" s="1665"/>
      <c r="B2543" s="1666"/>
      <c r="C2543" s="688"/>
      <c r="D2543" s="1667"/>
      <c r="E2543" s="1671">
        <f>'DRAWING CC'!AW314+0.3</f>
        <v>0.3</v>
      </c>
      <c r="F2543" s="1671">
        <f>'DRAWING CC'!O358+0.3</f>
        <v>0.3</v>
      </c>
      <c r="G2543" s="1683">
        <v>1.1000000000000001</v>
      </c>
      <c r="H2543" s="1671">
        <f t="shared" si="336"/>
        <v>0</v>
      </c>
      <c r="I2543" s="1671" t="s">
        <v>49</v>
      </c>
      <c r="J2543" s="1668"/>
      <c r="K2543" s="1668"/>
      <c r="L2543" s="1669"/>
    </row>
    <row r="2544" spans="1:12" s="692" customFormat="1" ht="16.5" hidden="1">
      <c r="A2544" s="1665"/>
      <c r="B2544" s="1666"/>
      <c r="C2544" s="688"/>
      <c r="D2544" s="1667"/>
      <c r="E2544" s="1671">
        <f>'DRAWING CC'!AW315+0.3</f>
        <v>0.3</v>
      </c>
      <c r="F2544" s="1671">
        <f>'DRAWING CC'!O359+0.3</f>
        <v>0.3</v>
      </c>
      <c r="G2544" s="1683">
        <v>2.1</v>
      </c>
      <c r="H2544" s="1671">
        <f t="shared" si="336"/>
        <v>0</v>
      </c>
      <c r="I2544" s="1671" t="s">
        <v>49</v>
      </c>
      <c r="J2544" s="1668"/>
      <c r="K2544" s="1668"/>
      <c r="L2544" s="1669"/>
    </row>
    <row r="2545" spans="1:12" s="692" customFormat="1" ht="16.5" hidden="1">
      <c r="A2545" s="1665"/>
      <c r="B2545" s="1666"/>
      <c r="C2545" s="688"/>
      <c r="D2545" s="1667"/>
      <c r="E2545" s="1671">
        <v>3.5</v>
      </c>
      <c r="F2545" s="1671">
        <v>4</v>
      </c>
      <c r="G2545" s="1672">
        <v>0.15</v>
      </c>
      <c r="H2545" s="1671">
        <f t="shared" si="336"/>
        <v>0</v>
      </c>
      <c r="I2545" s="1671" t="s">
        <v>49</v>
      </c>
      <c r="J2545" s="1668"/>
      <c r="K2545" s="1668"/>
      <c r="L2545" s="1669"/>
    </row>
    <row r="2546" spans="1:12" s="692" customFormat="1" ht="16.5" hidden="1">
      <c r="A2546" s="1665"/>
      <c r="B2546" s="1666"/>
      <c r="C2546" s="688"/>
      <c r="D2546" s="1667"/>
      <c r="E2546" s="1671">
        <v>3.5</v>
      </c>
      <c r="F2546" s="1671">
        <v>4</v>
      </c>
      <c r="G2546" s="1672">
        <v>0.15</v>
      </c>
      <c r="H2546" s="1671">
        <f t="shared" si="336"/>
        <v>0</v>
      </c>
      <c r="I2546" s="1671" t="s">
        <v>49</v>
      </c>
      <c r="J2546" s="1668"/>
      <c r="K2546" s="1668"/>
      <c r="L2546" s="1669"/>
    </row>
    <row r="2547" spans="1:12" s="692" customFormat="1" ht="16.5" hidden="1">
      <c r="A2547" s="1665"/>
      <c r="B2547" s="1666"/>
      <c r="C2547" s="688"/>
      <c r="D2547" s="1667"/>
      <c r="E2547" s="1671">
        <v>3.5</v>
      </c>
      <c r="F2547" s="1671">
        <v>4</v>
      </c>
      <c r="G2547" s="1672">
        <v>0.15</v>
      </c>
      <c r="H2547" s="1671">
        <f t="shared" si="336"/>
        <v>0</v>
      </c>
      <c r="I2547" s="1671" t="s">
        <v>49</v>
      </c>
      <c r="J2547" s="1668"/>
      <c r="K2547" s="1668"/>
      <c r="L2547" s="1669"/>
    </row>
    <row r="2548" spans="1:12" s="692" customFormat="1" ht="16.5" hidden="1">
      <c r="A2548" s="1665"/>
      <c r="B2548" s="1666"/>
      <c r="C2548" s="688"/>
      <c r="D2548" s="1667"/>
      <c r="E2548" s="1671"/>
      <c r="F2548" s="1671"/>
      <c r="G2548" s="1669" t="s">
        <v>928</v>
      </c>
      <c r="H2548" s="1673">
        <f>SUM(H2542:H2547)</f>
        <v>0</v>
      </c>
      <c r="I2548" s="1669" t="s">
        <v>49</v>
      </c>
      <c r="J2548" s="1668"/>
      <c r="K2548" s="1668"/>
      <c r="L2548" s="1669"/>
    </row>
    <row r="2549" spans="1:12" s="692" customFormat="1" ht="16.5" hidden="1">
      <c r="A2549" s="1665"/>
      <c r="B2549" s="1666" t="s">
        <v>477</v>
      </c>
      <c r="C2549" s="688"/>
      <c r="D2549" s="1667"/>
      <c r="E2549" s="1671">
        <f>'DRAWING CC'!AW320+0.3</f>
        <v>0.3</v>
      </c>
      <c r="F2549" s="1671">
        <f>'DRAWING CC'!O364+0.3</f>
        <v>0.3</v>
      </c>
      <c r="G2549" s="1683">
        <v>0.1</v>
      </c>
      <c r="H2549" s="1671">
        <f t="shared" ref="H2549:H2554" si="337">ROUND(D2549*E2549*F2549*G2549,2)</f>
        <v>0</v>
      </c>
      <c r="I2549" s="1671" t="s">
        <v>49</v>
      </c>
      <c r="J2549" s="1668"/>
      <c r="K2549" s="1668"/>
      <c r="L2549" s="1669"/>
    </row>
    <row r="2550" spans="1:12" s="692" customFormat="1" ht="16.5" hidden="1">
      <c r="A2550" s="1665"/>
      <c r="B2550" s="1666"/>
      <c r="C2550" s="688"/>
      <c r="D2550" s="1667"/>
      <c r="E2550" s="1671">
        <f>'DRAWING CC'!AW321+0.3</f>
        <v>0.3</v>
      </c>
      <c r="F2550" s="1671">
        <f>'DRAWING CC'!O365+0.3</f>
        <v>0.3</v>
      </c>
      <c r="G2550" s="1683">
        <v>1.1000000000000001</v>
      </c>
      <c r="H2550" s="1671">
        <f t="shared" si="337"/>
        <v>0</v>
      </c>
      <c r="I2550" s="1671" t="s">
        <v>49</v>
      </c>
      <c r="J2550" s="1668"/>
      <c r="K2550" s="1668"/>
      <c r="L2550" s="1669"/>
    </row>
    <row r="2551" spans="1:12" s="692" customFormat="1" ht="16.5" hidden="1">
      <c r="A2551" s="1665"/>
      <c r="B2551" s="1666"/>
      <c r="C2551" s="688"/>
      <c r="D2551" s="1667"/>
      <c r="E2551" s="1671">
        <f>'DRAWING CC'!AW322+0.3</f>
        <v>0.3</v>
      </c>
      <c r="F2551" s="1671">
        <f>'DRAWING CC'!O366+0.3</f>
        <v>0.3</v>
      </c>
      <c r="G2551" s="1683">
        <v>2.1</v>
      </c>
      <c r="H2551" s="1671">
        <f t="shared" si="337"/>
        <v>0</v>
      </c>
      <c r="I2551" s="1671" t="s">
        <v>49</v>
      </c>
      <c r="J2551" s="1668"/>
      <c r="K2551" s="1668"/>
      <c r="L2551" s="1669"/>
    </row>
    <row r="2552" spans="1:12" s="692" customFormat="1" ht="16.5" hidden="1">
      <c r="A2552" s="1665"/>
      <c r="B2552" s="1666"/>
      <c r="C2552" s="688"/>
      <c r="D2552" s="1667"/>
      <c r="E2552" s="1671">
        <v>3.5</v>
      </c>
      <c r="F2552" s="1671">
        <v>4</v>
      </c>
      <c r="G2552" s="1672">
        <v>0.15</v>
      </c>
      <c r="H2552" s="1671">
        <f t="shared" si="337"/>
        <v>0</v>
      </c>
      <c r="I2552" s="1671" t="s">
        <v>49</v>
      </c>
      <c r="J2552" s="1668"/>
      <c r="K2552" s="1668"/>
      <c r="L2552" s="1669"/>
    </row>
    <row r="2553" spans="1:12" s="692" customFormat="1" ht="16.5" hidden="1">
      <c r="A2553" s="1665"/>
      <c r="B2553" s="1666"/>
      <c r="C2553" s="688"/>
      <c r="D2553" s="1667"/>
      <c r="E2553" s="1671">
        <v>3.5</v>
      </c>
      <c r="F2553" s="1671">
        <v>4</v>
      </c>
      <c r="G2553" s="1672">
        <v>0.15</v>
      </c>
      <c r="H2553" s="1671">
        <f t="shared" si="337"/>
        <v>0</v>
      </c>
      <c r="I2553" s="1671" t="s">
        <v>49</v>
      </c>
      <c r="J2553" s="1668"/>
      <c r="K2553" s="1668"/>
      <c r="L2553" s="1669"/>
    </row>
    <row r="2554" spans="1:12" s="692" customFormat="1" ht="16.5" hidden="1">
      <c r="A2554" s="1665"/>
      <c r="B2554" s="1666"/>
      <c r="C2554" s="688"/>
      <c r="D2554" s="1667"/>
      <c r="E2554" s="1671">
        <v>3.5</v>
      </c>
      <c r="F2554" s="1671">
        <v>4</v>
      </c>
      <c r="G2554" s="1672">
        <v>0.15</v>
      </c>
      <c r="H2554" s="1671">
        <f t="shared" si="337"/>
        <v>0</v>
      </c>
      <c r="I2554" s="1671" t="s">
        <v>49</v>
      </c>
      <c r="J2554" s="1668"/>
      <c r="K2554" s="1668"/>
      <c r="L2554" s="1669"/>
    </row>
    <row r="2555" spans="1:12" s="692" customFormat="1" ht="16.5" hidden="1">
      <c r="A2555" s="1665"/>
      <c r="B2555" s="1666"/>
      <c r="C2555" s="688"/>
      <c r="D2555" s="1667"/>
      <c r="E2555" s="1671"/>
      <c r="F2555" s="1671"/>
      <c r="G2555" s="1669" t="s">
        <v>928</v>
      </c>
      <c r="H2555" s="1673">
        <f>SUM(H2549:H2554)</f>
        <v>0</v>
      </c>
      <c r="I2555" s="1669" t="s">
        <v>49</v>
      </c>
      <c r="J2555" s="1669">
        <f>'Lead &amp; ANALYSIS'!L559</f>
        <v>18542</v>
      </c>
      <c r="K2555" s="1668" t="s">
        <v>1516</v>
      </c>
      <c r="L2555" s="1669">
        <f>ROUND(H2555*J2555,0)</f>
        <v>0</v>
      </c>
    </row>
    <row r="2556" spans="1:12" s="692" customFormat="1" ht="16.5" hidden="1">
      <c r="A2556" s="1665"/>
      <c r="B2556" s="1666"/>
      <c r="C2556" s="688"/>
      <c r="D2556" s="1667"/>
      <c r="E2556" s="1671"/>
      <c r="F2556" s="1671"/>
      <c r="G2556" s="1684" t="s">
        <v>1823</v>
      </c>
      <c r="H2556" s="1673">
        <f>H2548+H2533+H2503+H2488+H2473+H2458+H2443+H2428</f>
        <v>0</v>
      </c>
      <c r="I2556" s="1669" t="s">
        <v>49</v>
      </c>
      <c r="J2556" s="1669">
        <f>'Lead &amp; ANALYSIS'!L478</f>
        <v>9019.2999999999993</v>
      </c>
      <c r="K2556" s="1668" t="s">
        <v>1516</v>
      </c>
      <c r="L2556" s="1669">
        <f>ROUND(H2556*J2556,0)</f>
        <v>0</v>
      </c>
    </row>
    <row r="2557" spans="1:12" s="692" customFormat="1" ht="16.5" hidden="1">
      <c r="A2557" s="1665" t="s">
        <v>3638</v>
      </c>
      <c r="B2557" s="1675" t="s">
        <v>3632</v>
      </c>
      <c r="C2557" s="688"/>
      <c r="D2557" s="1667"/>
      <c r="E2557" s="688"/>
      <c r="F2557" s="688"/>
      <c r="G2557" s="1674"/>
      <c r="H2557" s="688"/>
      <c r="I2557" s="1668"/>
      <c r="J2557" s="1668"/>
      <c r="K2557" s="1668"/>
      <c r="L2557" s="1669"/>
    </row>
    <row r="2558" spans="1:12" s="692" customFormat="1" ht="16.5" hidden="1">
      <c r="A2558" s="1665" t="s">
        <v>201</v>
      </c>
      <c r="B2558" s="1666" t="s">
        <v>1773</v>
      </c>
      <c r="C2558" s="688"/>
      <c r="D2558" s="1667"/>
      <c r="E2558" s="688"/>
      <c r="F2558" s="688"/>
      <c r="G2558" s="1674"/>
      <c r="H2558" s="688"/>
      <c r="I2558" s="1668"/>
      <c r="J2558" s="1668"/>
      <c r="K2558" s="1668"/>
      <c r="L2558" s="1669"/>
    </row>
    <row r="2559" spans="1:12" s="692" customFormat="1" ht="16.5" hidden="1">
      <c r="A2559" s="1665"/>
      <c r="B2559" s="1666"/>
      <c r="C2559" s="688"/>
      <c r="D2559" s="1667"/>
      <c r="E2559" s="1671">
        <v>3.5</v>
      </c>
      <c r="F2559" s="1671">
        <v>1.2</v>
      </c>
      <c r="G2559" s="1672">
        <v>0.3</v>
      </c>
      <c r="H2559" s="1671">
        <f t="shared" ref="H2559:H2564" si="338">ROUND(D2559*E2559*F2559*G2559,2)</f>
        <v>0</v>
      </c>
      <c r="I2559" s="1671" t="s">
        <v>49</v>
      </c>
      <c r="J2559" s="1668"/>
      <c r="K2559" s="1668"/>
      <c r="L2559" s="1669"/>
    </row>
    <row r="2560" spans="1:12" s="692" customFormat="1" ht="16.5" hidden="1">
      <c r="A2560" s="1665"/>
      <c r="B2560" s="1666"/>
      <c r="C2560" s="688"/>
      <c r="D2560" s="1667"/>
      <c r="E2560" s="1671">
        <f>D842-F2560</f>
        <v>-1.2</v>
      </c>
      <c r="F2560" s="1671">
        <f>F2559</f>
        <v>1.2</v>
      </c>
      <c r="G2560" s="1672">
        <f>G2559</f>
        <v>0.3</v>
      </c>
      <c r="H2560" s="1671">
        <f t="shared" si="338"/>
        <v>0</v>
      </c>
      <c r="I2560" s="1671" t="s">
        <v>49</v>
      </c>
      <c r="J2560" s="1668"/>
      <c r="K2560" s="1668"/>
      <c r="L2560" s="1669"/>
    </row>
    <row r="2561" spans="1:12" s="692" customFormat="1" ht="16.5" hidden="1">
      <c r="A2561" s="1665"/>
      <c r="B2561" s="1666"/>
      <c r="C2561" s="688"/>
      <c r="D2561" s="1667"/>
      <c r="E2561" s="1671">
        <f>D843-F2561</f>
        <v>-1.2</v>
      </c>
      <c r="F2561" s="1671">
        <f>F2560</f>
        <v>1.2</v>
      </c>
      <c r="G2561" s="1672">
        <f>G2560</f>
        <v>0.3</v>
      </c>
      <c r="H2561" s="1671">
        <f t="shared" si="338"/>
        <v>0</v>
      </c>
      <c r="I2561" s="1671" t="s">
        <v>49</v>
      </c>
      <c r="J2561" s="1668"/>
      <c r="K2561" s="1668"/>
      <c r="L2561" s="1669"/>
    </row>
    <row r="2562" spans="1:12" s="692" customFormat="1" ht="16.5" hidden="1">
      <c r="A2562" s="1665"/>
      <c r="B2562" s="1666"/>
      <c r="C2562" s="688"/>
      <c r="D2562" s="1667"/>
      <c r="E2562" s="1671">
        <v>3.5</v>
      </c>
      <c r="F2562" s="1671">
        <v>4</v>
      </c>
      <c r="G2562" s="1672">
        <v>0.15</v>
      </c>
      <c r="H2562" s="1671">
        <f t="shared" si="338"/>
        <v>0</v>
      </c>
      <c r="I2562" s="1671" t="s">
        <v>49</v>
      </c>
      <c r="J2562" s="1668"/>
      <c r="K2562" s="1668"/>
      <c r="L2562" s="1669"/>
    </row>
    <row r="2563" spans="1:12" s="692" customFormat="1" ht="16.5" hidden="1">
      <c r="A2563" s="1665"/>
      <c r="B2563" s="1666"/>
      <c r="C2563" s="688"/>
      <c r="D2563" s="1667"/>
      <c r="E2563" s="1671">
        <v>3.5</v>
      </c>
      <c r="F2563" s="1671">
        <v>4</v>
      </c>
      <c r="G2563" s="1672">
        <v>0.15</v>
      </c>
      <c r="H2563" s="1671">
        <f t="shared" si="338"/>
        <v>0</v>
      </c>
      <c r="I2563" s="1671" t="s">
        <v>49</v>
      </c>
      <c r="J2563" s="1668"/>
      <c r="K2563" s="1668"/>
      <c r="L2563" s="1669"/>
    </row>
    <row r="2564" spans="1:12" s="692" customFormat="1" ht="16.5" hidden="1">
      <c r="A2564" s="1665"/>
      <c r="B2564" s="1666"/>
      <c r="C2564" s="688"/>
      <c r="D2564" s="1667"/>
      <c r="E2564" s="1671">
        <v>3.5</v>
      </c>
      <c r="F2564" s="1671">
        <v>4</v>
      </c>
      <c r="G2564" s="1672">
        <v>0.15</v>
      </c>
      <c r="H2564" s="1671">
        <f t="shared" si="338"/>
        <v>0</v>
      </c>
      <c r="I2564" s="1671" t="s">
        <v>49</v>
      </c>
      <c r="J2564" s="1668"/>
      <c r="K2564" s="1668"/>
      <c r="L2564" s="1669"/>
    </row>
    <row r="2565" spans="1:12" s="692" customFormat="1" ht="16.5" hidden="1">
      <c r="A2565" s="1665"/>
      <c r="B2565" s="1666"/>
      <c r="C2565" s="688"/>
      <c r="D2565" s="1667"/>
      <c r="E2565" s="1671"/>
      <c r="F2565" s="1671"/>
      <c r="G2565" s="1669" t="s">
        <v>928</v>
      </c>
      <c r="H2565" s="1673">
        <f>SUM(H2559:H2564)</f>
        <v>0</v>
      </c>
      <c r="I2565" s="1669" t="s">
        <v>49</v>
      </c>
      <c r="J2565" s="1668"/>
      <c r="K2565" s="1668"/>
      <c r="L2565" s="1669"/>
    </row>
    <row r="2566" spans="1:12" s="692" customFormat="1" ht="16.5" hidden="1">
      <c r="A2566" s="1665"/>
      <c r="B2566" s="1666"/>
      <c r="C2566" s="688"/>
      <c r="D2566" s="1667"/>
      <c r="E2566" s="1671">
        <f>D846+F2566</f>
        <v>0.25</v>
      </c>
      <c r="F2566" s="1671">
        <f>F2535</f>
        <v>0.25</v>
      </c>
      <c r="G2566" s="1672">
        <f>'DRAWING CC'!GI528</f>
        <v>0</v>
      </c>
      <c r="H2566" s="1671">
        <f t="shared" ref="H2566:H2571" si="339">ROUND(D2566*E2566*F2566*G2566,2)</f>
        <v>0</v>
      </c>
      <c r="I2566" s="1671" t="s">
        <v>49</v>
      </c>
      <c r="J2566" s="1668"/>
      <c r="K2566" s="1668"/>
      <c r="L2566" s="1669"/>
    </row>
    <row r="2567" spans="1:12" s="692" customFormat="1" ht="16.5" hidden="1">
      <c r="A2567" s="1665"/>
      <c r="B2567" s="1666"/>
      <c r="C2567" s="688"/>
      <c r="D2567" s="1667"/>
      <c r="E2567" s="1671">
        <f>D865-F2567</f>
        <v>1.75</v>
      </c>
      <c r="F2567" s="1671">
        <f>F2566</f>
        <v>0.25</v>
      </c>
      <c r="G2567" s="1672">
        <f>G2566</f>
        <v>0</v>
      </c>
      <c r="H2567" s="1671">
        <f t="shared" si="339"/>
        <v>0</v>
      </c>
      <c r="I2567" s="1671" t="s">
        <v>49</v>
      </c>
      <c r="J2567" s="1668"/>
      <c r="K2567" s="1668"/>
      <c r="L2567" s="1669"/>
    </row>
    <row r="2568" spans="1:12" s="692" customFormat="1" ht="16.5" hidden="1">
      <c r="A2568" s="1665"/>
      <c r="B2568" s="1666"/>
      <c r="C2568" s="688"/>
      <c r="D2568" s="1667"/>
      <c r="E2568" s="1671">
        <f>D872-F2568</f>
        <v>-0.25</v>
      </c>
      <c r="F2568" s="1671">
        <f>F2567</f>
        <v>0.25</v>
      </c>
      <c r="G2568" s="1672">
        <f>G2567</f>
        <v>0</v>
      </c>
      <c r="H2568" s="1671">
        <f t="shared" si="339"/>
        <v>0</v>
      </c>
      <c r="I2568" s="1671" t="s">
        <v>49</v>
      </c>
      <c r="J2568" s="1668"/>
      <c r="K2568" s="1668"/>
      <c r="L2568" s="1669"/>
    </row>
    <row r="2569" spans="1:12" s="692" customFormat="1" ht="16.5" hidden="1">
      <c r="A2569" s="1665"/>
      <c r="B2569" s="1666"/>
      <c r="C2569" s="688"/>
      <c r="D2569" s="1667"/>
      <c r="E2569" s="1671">
        <v>3.5</v>
      </c>
      <c r="F2569" s="1671">
        <v>4</v>
      </c>
      <c r="G2569" s="1672">
        <v>0.15</v>
      </c>
      <c r="H2569" s="1671">
        <f t="shared" si="339"/>
        <v>0</v>
      </c>
      <c r="I2569" s="1671" t="s">
        <v>49</v>
      </c>
      <c r="J2569" s="1668"/>
      <c r="K2569" s="1668"/>
      <c r="L2569" s="1669"/>
    </row>
    <row r="2570" spans="1:12" s="692" customFormat="1" ht="16.5" hidden="1">
      <c r="A2570" s="1665"/>
      <c r="B2570" s="1666"/>
      <c r="C2570" s="688"/>
      <c r="D2570" s="1667"/>
      <c r="E2570" s="1671">
        <v>3.5</v>
      </c>
      <c r="F2570" s="1671">
        <v>4</v>
      </c>
      <c r="G2570" s="1672">
        <v>0.15</v>
      </c>
      <c r="H2570" s="1671">
        <f t="shared" si="339"/>
        <v>0</v>
      </c>
      <c r="I2570" s="1671" t="s">
        <v>49</v>
      </c>
      <c r="J2570" s="1668"/>
      <c r="K2570" s="1668"/>
      <c r="L2570" s="1669"/>
    </row>
    <row r="2571" spans="1:12" s="692" customFormat="1" ht="16.5" hidden="1">
      <c r="A2571" s="1665"/>
      <c r="B2571" s="1666"/>
      <c r="C2571" s="688"/>
      <c r="D2571" s="1667"/>
      <c r="E2571" s="1671">
        <v>3.5</v>
      </c>
      <c r="F2571" s="1671">
        <v>4</v>
      </c>
      <c r="G2571" s="1672">
        <v>0.15</v>
      </c>
      <c r="H2571" s="1671">
        <f t="shared" si="339"/>
        <v>0</v>
      </c>
      <c r="I2571" s="1671" t="s">
        <v>49</v>
      </c>
      <c r="J2571" s="1668"/>
      <c r="K2571" s="1668"/>
      <c r="L2571" s="1669"/>
    </row>
    <row r="2572" spans="1:12" s="692" customFormat="1" ht="16.5" hidden="1">
      <c r="A2572" s="1665"/>
      <c r="B2572" s="1666"/>
      <c r="C2572" s="688"/>
      <c r="D2572" s="1667"/>
      <c r="E2572" s="1671"/>
      <c r="F2572" s="1671"/>
      <c r="G2572" s="1669" t="s">
        <v>928</v>
      </c>
      <c r="H2572" s="1673">
        <f>SUM(H2566:H2571)</f>
        <v>0</v>
      </c>
      <c r="I2572" s="1669" t="s">
        <v>49</v>
      </c>
      <c r="J2572" s="1669">
        <f>'Lead &amp; ANALYSIS'!L549</f>
        <v>23214.6</v>
      </c>
      <c r="K2572" s="1668" t="s">
        <v>1516</v>
      </c>
      <c r="L2572" s="1669">
        <f>ROUND(H2572*J2572,0)</f>
        <v>0</v>
      </c>
    </row>
    <row r="2573" spans="1:12" s="692" customFormat="1" ht="16.5" hidden="1">
      <c r="A2573" s="1665" t="s">
        <v>220</v>
      </c>
      <c r="B2573" s="1666" t="s">
        <v>1848</v>
      </c>
      <c r="C2573" s="688"/>
      <c r="D2573" s="1667"/>
      <c r="E2573" s="688"/>
      <c r="F2573" s="688"/>
      <c r="G2573" s="1674"/>
      <c r="H2573" s="688"/>
      <c r="I2573" s="1668"/>
      <c r="J2573" s="1668"/>
      <c r="K2573" s="1668"/>
      <c r="L2573" s="1669"/>
    </row>
    <row r="2574" spans="1:12" s="692" customFormat="1" ht="16.5" hidden="1">
      <c r="A2574" s="1665"/>
      <c r="B2574" s="1666"/>
      <c r="C2574" s="688"/>
      <c r="D2574" s="1667"/>
      <c r="E2574" s="1671">
        <f>D673+F2574</f>
        <v>0</v>
      </c>
      <c r="F2574" s="1671">
        <f>F2529</f>
        <v>0</v>
      </c>
      <c r="G2574" s="1672">
        <f>'DRAWING CC'!GI438</f>
        <v>0</v>
      </c>
      <c r="H2574" s="1671">
        <f t="shared" ref="H2574:H2579" si="340">ROUND(D2574*E2574*F2574*G2574,2)</f>
        <v>0</v>
      </c>
      <c r="I2574" s="1671" t="s">
        <v>49</v>
      </c>
      <c r="J2574" s="1668"/>
      <c r="K2574" s="1668"/>
      <c r="L2574" s="1669"/>
    </row>
    <row r="2575" spans="1:12" s="692" customFormat="1" ht="16.5" hidden="1">
      <c r="A2575" s="1665"/>
      <c r="B2575" s="1666"/>
      <c r="C2575" s="688"/>
      <c r="D2575" s="1667"/>
      <c r="E2575" s="1671">
        <f>D676-F2575</f>
        <v>0</v>
      </c>
      <c r="F2575" s="1671">
        <f>F2574</f>
        <v>0</v>
      </c>
      <c r="G2575" s="1672">
        <f>G2574</f>
        <v>0</v>
      </c>
      <c r="H2575" s="1671">
        <f t="shared" si="340"/>
        <v>0</v>
      </c>
      <c r="I2575" s="1671" t="s">
        <v>49</v>
      </c>
      <c r="J2575" s="1668"/>
      <c r="K2575" s="1668"/>
      <c r="L2575" s="1669"/>
    </row>
    <row r="2576" spans="1:12" s="692" customFormat="1" ht="16.5" hidden="1">
      <c r="A2576" s="1665"/>
      <c r="B2576" s="1666"/>
      <c r="C2576" s="688"/>
      <c r="D2576" s="1667"/>
      <c r="E2576" s="1671">
        <f>D677-F2576</f>
        <v>0</v>
      </c>
      <c r="F2576" s="1671">
        <f>F2575</f>
        <v>0</v>
      </c>
      <c r="G2576" s="1672">
        <f>G2575</f>
        <v>0</v>
      </c>
      <c r="H2576" s="1671">
        <f t="shared" si="340"/>
        <v>0</v>
      </c>
      <c r="I2576" s="1671" t="s">
        <v>49</v>
      </c>
      <c r="J2576" s="1668"/>
      <c r="K2576" s="1668"/>
      <c r="L2576" s="1669"/>
    </row>
    <row r="2577" spans="1:12" s="692" customFormat="1" ht="16.5" hidden="1">
      <c r="A2577" s="1665"/>
      <c r="B2577" s="1666"/>
      <c r="C2577" s="688"/>
      <c r="D2577" s="1667"/>
      <c r="E2577" s="1671">
        <v>3.5</v>
      </c>
      <c r="F2577" s="1671">
        <v>4</v>
      </c>
      <c r="G2577" s="1672">
        <v>0.15</v>
      </c>
      <c r="H2577" s="1671">
        <f t="shared" si="340"/>
        <v>0</v>
      </c>
      <c r="I2577" s="1671" t="s">
        <v>49</v>
      </c>
      <c r="J2577" s="1668"/>
      <c r="K2577" s="1668"/>
      <c r="L2577" s="1669"/>
    </row>
    <row r="2578" spans="1:12" s="692" customFormat="1" ht="16.5" hidden="1">
      <c r="A2578" s="1665"/>
      <c r="B2578" s="1666"/>
      <c r="C2578" s="688"/>
      <c r="D2578" s="1667"/>
      <c r="E2578" s="1671">
        <v>3.5</v>
      </c>
      <c r="F2578" s="1671">
        <v>4</v>
      </c>
      <c r="G2578" s="1672">
        <v>0.15</v>
      </c>
      <c r="H2578" s="1671">
        <f t="shared" si="340"/>
        <v>0</v>
      </c>
      <c r="I2578" s="1671" t="s">
        <v>49</v>
      </c>
      <c r="J2578" s="1668"/>
      <c r="K2578" s="1668"/>
      <c r="L2578" s="1669"/>
    </row>
    <row r="2579" spans="1:12" s="692" customFormat="1" ht="16.5" hidden="1">
      <c r="A2579" s="1665"/>
      <c r="B2579" s="1666"/>
      <c r="C2579" s="688"/>
      <c r="D2579" s="1667"/>
      <c r="E2579" s="1671">
        <v>3.5</v>
      </c>
      <c r="F2579" s="1671">
        <v>4</v>
      </c>
      <c r="G2579" s="1672">
        <v>0.15</v>
      </c>
      <c r="H2579" s="1671">
        <f t="shared" si="340"/>
        <v>0</v>
      </c>
      <c r="I2579" s="1671" t="s">
        <v>49</v>
      </c>
      <c r="J2579" s="1668"/>
      <c r="K2579" s="1668"/>
      <c r="L2579" s="1669"/>
    </row>
    <row r="2580" spans="1:12" s="692" customFormat="1" ht="16.5" hidden="1">
      <c r="A2580" s="1665"/>
      <c r="B2580" s="1666"/>
      <c r="C2580" s="688"/>
      <c r="D2580" s="1667"/>
      <c r="E2580" s="1671"/>
      <c r="F2580" s="1671"/>
      <c r="G2580" s="1669" t="s">
        <v>928</v>
      </c>
      <c r="H2580" s="1673">
        <f>SUM(H2574:H2579)</f>
        <v>0</v>
      </c>
      <c r="I2580" s="1669" t="s">
        <v>49</v>
      </c>
      <c r="J2580" s="1668"/>
      <c r="K2580" s="1668"/>
      <c r="L2580" s="1669"/>
    </row>
    <row r="2581" spans="1:12" s="692" customFormat="1" ht="16.5" hidden="1">
      <c r="A2581" s="1665"/>
      <c r="B2581" s="1666"/>
      <c r="C2581" s="688"/>
      <c r="D2581" s="1667"/>
      <c r="E2581" s="1671">
        <f>D680+F2581</f>
        <v>0.25</v>
      </c>
      <c r="F2581" s="1671">
        <f>F2536</f>
        <v>0.25</v>
      </c>
      <c r="G2581" s="1672">
        <f>'DRAWING CC'!GI445</f>
        <v>0</v>
      </c>
      <c r="H2581" s="1671">
        <f t="shared" ref="H2581:H2586" si="341">ROUND(D2581*E2581*F2581*G2581,2)</f>
        <v>0</v>
      </c>
      <c r="I2581" s="1671" t="s">
        <v>49</v>
      </c>
      <c r="J2581" s="1668"/>
      <c r="K2581" s="1668"/>
      <c r="L2581" s="1669"/>
    </row>
    <row r="2582" spans="1:12" s="692" customFormat="1" ht="16.5" hidden="1">
      <c r="A2582" s="1665"/>
      <c r="B2582" s="1666"/>
      <c r="C2582" s="688"/>
      <c r="D2582" s="1667"/>
      <c r="E2582" s="1671">
        <f>D699-F2582</f>
        <v>-0.25</v>
      </c>
      <c r="F2582" s="1671">
        <f>F2581</f>
        <v>0.25</v>
      </c>
      <c r="G2582" s="1672">
        <f>G2581</f>
        <v>0</v>
      </c>
      <c r="H2582" s="1671">
        <f t="shared" si="341"/>
        <v>0</v>
      </c>
      <c r="I2582" s="1671" t="s">
        <v>49</v>
      </c>
      <c r="J2582" s="1668"/>
      <c r="K2582" s="1668"/>
      <c r="L2582" s="1669"/>
    </row>
    <row r="2583" spans="1:12" s="692" customFormat="1" ht="16.5" hidden="1">
      <c r="A2583" s="1665"/>
      <c r="B2583" s="1666"/>
      <c r="C2583" s="688"/>
      <c r="D2583" s="1667"/>
      <c r="E2583" s="1671">
        <f>D700-F2583</f>
        <v>-0.25</v>
      </c>
      <c r="F2583" s="1671">
        <f>F2582</f>
        <v>0.25</v>
      </c>
      <c r="G2583" s="1672">
        <f>G2582</f>
        <v>0</v>
      </c>
      <c r="H2583" s="1671">
        <f t="shared" si="341"/>
        <v>0</v>
      </c>
      <c r="I2583" s="1671" t="s">
        <v>49</v>
      </c>
      <c r="J2583" s="1668"/>
      <c r="K2583" s="1668"/>
      <c r="L2583" s="1669"/>
    </row>
    <row r="2584" spans="1:12" s="692" customFormat="1" ht="16.5" hidden="1">
      <c r="A2584" s="1665"/>
      <c r="B2584" s="1666"/>
      <c r="C2584" s="688"/>
      <c r="D2584" s="1667"/>
      <c r="E2584" s="1671">
        <v>3.5</v>
      </c>
      <c r="F2584" s="1671">
        <v>4</v>
      </c>
      <c r="G2584" s="1672">
        <v>0.15</v>
      </c>
      <c r="H2584" s="1671">
        <f t="shared" si="341"/>
        <v>0</v>
      </c>
      <c r="I2584" s="1671" t="s">
        <v>49</v>
      </c>
      <c r="J2584" s="1668"/>
      <c r="K2584" s="1668"/>
      <c r="L2584" s="1669"/>
    </row>
    <row r="2585" spans="1:12" s="692" customFormat="1" ht="16.5" hidden="1">
      <c r="A2585" s="1665"/>
      <c r="B2585" s="1666"/>
      <c r="C2585" s="688"/>
      <c r="D2585" s="1667"/>
      <c r="E2585" s="1671">
        <v>3.5</v>
      </c>
      <c r="F2585" s="1671">
        <v>4</v>
      </c>
      <c r="G2585" s="1672">
        <v>0.15</v>
      </c>
      <c r="H2585" s="1671">
        <f t="shared" si="341"/>
        <v>0</v>
      </c>
      <c r="I2585" s="1671" t="s">
        <v>49</v>
      </c>
      <c r="J2585" s="1668"/>
      <c r="K2585" s="1668"/>
      <c r="L2585" s="1669"/>
    </row>
    <row r="2586" spans="1:12" s="692" customFormat="1" ht="16.5" hidden="1">
      <c r="A2586" s="1665"/>
      <c r="B2586" s="1666"/>
      <c r="C2586" s="688"/>
      <c r="D2586" s="1667"/>
      <c r="E2586" s="1671">
        <v>3.5</v>
      </c>
      <c r="F2586" s="1671">
        <v>4</v>
      </c>
      <c r="G2586" s="1672">
        <v>0.15</v>
      </c>
      <c r="H2586" s="1671">
        <f t="shared" si="341"/>
        <v>0</v>
      </c>
      <c r="I2586" s="1671" t="s">
        <v>49</v>
      </c>
      <c r="J2586" s="1668"/>
      <c r="K2586" s="1668"/>
      <c r="L2586" s="1669"/>
    </row>
    <row r="2587" spans="1:12" s="692" customFormat="1" ht="16.5" hidden="1">
      <c r="A2587" s="1665"/>
      <c r="B2587" s="1666"/>
      <c r="C2587" s="688"/>
      <c r="D2587" s="1667"/>
      <c r="E2587" s="1671"/>
      <c r="F2587" s="1671"/>
      <c r="G2587" s="1669" t="s">
        <v>928</v>
      </c>
      <c r="H2587" s="1673">
        <f>SUM(H2581:H2586)</f>
        <v>0</v>
      </c>
      <c r="I2587" s="1669" t="s">
        <v>49</v>
      </c>
      <c r="J2587" s="1669">
        <f>'Lead &amp; ANALYSIS'!L536</f>
        <v>21987.7</v>
      </c>
      <c r="K2587" s="1668" t="s">
        <v>1516</v>
      </c>
      <c r="L2587" s="1669">
        <f>ROUND(H2587*J2587,0)</f>
        <v>0</v>
      </c>
    </row>
    <row r="2588" spans="1:12" s="692" customFormat="1" ht="16.5" hidden="1">
      <c r="A2588" s="1665" t="s">
        <v>244</v>
      </c>
      <c r="B2588" s="1666" t="s">
        <v>481</v>
      </c>
      <c r="C2588" s="688"/>
      <c r="D2588" s="1667"/>
      <c r="E2588" s="688"/>
      <c r="F2588" s="688"/>
      <c r="G2588" s="1674"/>
      <c r="H2588" s="688"/>
      <c r="I2588" s="1668"/>
      <c r="J2588" s="1668"/>
      <c r="K2588" s="1668"/>
      <c r="L2588" s="1669"/>
    </row>
    <row r="2589" spans="1:12" s="692" customFormat="1" ht="16.5" hidden="1">
      <c r="A2589" s="1665"/>
      <c r="B2589" s="1666" t="s">
        <v>1948</v>
      </c>
      <c r="C2589" s="688"/>
      <c r="D2589" s="1667"/>
      <c r="E2589" s="1671">
        <f>'DRAWING CC'!IL478+0.3</f>
        <v>0.3</v>
      </c>
      <c r="F2589" s="1671">
        <f>'DRAWING CC'!FL404</f>
        <v>0</v>
      </c>
      <c r="G2589" s="1683">
        <f>0.065</f>
        <v>6.5000000000000002E-2</v>
      </c>
      <c r="H2589" s="1671">
        <f t="shared" ref="H2589:H2594" si="342">ROUND(D2589*E2589*F2589*G2589,2)</f>
        <v>0</v>
      </c>
      <c r="I2589" s="1671" t="s">
        <v>49</v>
      </c>
      <c r="J2589" s="1668"/>
      <c r="K2589" s="1668"/>
      <c r="L2589" s="1669"/>
    </row>
    <row r="2590" spans="1:12" s="692" customFormat="1" ht="16.5" hidden="1">
      <c r="A2590" s="1665"/>
      <c r="B2590" s="1666" t="s">
        <v>2987</v>
      </c>
      <c r="C2590" s="688"/>
      <c r="D2590" s="1667"/>
      <c r="E2590" s="1671">
        <f>'DRAWING CC'!AW435</f>
        <v>0</v>
      </c>
      <c r="F2590" s="1671">
        <f>F2589</f>
        <v>0</v>
      </c>
      <c r="G2590" s="1683">
        <f>0.065</f>
        <v>6.5000000000000002E-2</v>
      </c>
      <c r="H2590" s="1671">
        <f t="shared" si="342"/>
        <v>0</v>
      </c>
      <c r="I2590" s="1671" t="s">
        <v>49</v>
      </c>
      <c r="J2590" s="1668"/>
      <c r="K2590" s="1668"/>
      <c r="L2590" s="1669"/>
    </row>
    <row r="2591" spans="1:12" s="692" customFormat="1" ht="16.5" hidden="1">
      <c r="A2591" s="1665"/>
      <c r="B2591" s="1666"/>
      <c r="C2591" s="688"/>
      <c r="D2591" s="1667"/>
      <c r="E2591" s="1671">
        <f>D613-F2591</f>
        <v>0</v>
      </c>
      <c r="F2591" s="1671">
        <f>F2590</f>
        <v>0</v>
      </c>
      <c r="G2591" s="1672">
        <f>G2590</f>
        <v>6.5000000000000002E-2</v>
      </c>
      <c r="H2591" s="1671">
        <f t="shared" si="342"/>
        <v>0</v>
      </c>
      <c r="I2591" s="1671" t="s">
        <v>49</v>
      </c>
      <c r="J2591" s="1668"/>
      <c r="K2591" s="1668"/>
      <c r="L2591" s="1669"/>
    </row>
    <row r="2592" spans="1:12" s="692" customFormat="1" ht="16.5" hidden="1">
      <c r="A2592" s="1665"/>
      <c r="B2592" s="1666"/>
      <c r="C2592" s="688"/>
      <c r="D2592" s="1667"/>
      <c r="E2592" s="1671">
        <v>3.5</v>
      </c>
      <c r="F2592" s="1671">
        <v>4</v>
      </c>
      <c r="G2592" s="1672">
        <v>0.15</v>
      </c>
      <c r="H2592" s="1671">
        <f t="shared" si="342"/>
        <v>0</v>
      </c>
      <c r="I2592" s="1671" t="s">
        <v>49</v>
      </c>
      <c r="J2592" s="1668"/>
      <c r="K2592" s="1668"/>
      <c r="L2592" s="1669"/>
    </row>
    <row r="2593" spans="1:12" s="692" customFormat="1" ht="16.5" hidden="1">
      <c r="A2593" s="1665"/>
      <c r="B2593" s="1666"/>
      <c r="C2593" s="688"/>
      <c r="D2593" s="1667"/>
      <c r="E2593" s="1671">
        <v>3.5</v>
      </c>
      <c r="F2593" s="1671">
        <v>4</v>
      </c>
      <c r="G2593" s="1672">
        <v>0.15</v>
      </c>
      <c r="H2593" s="1671">
        <f t="shared" si="342"/>
        <v>0</v>
      </c>
      <c r="I2593" s="1671" t="s">
        <v>49</v>
      </c>
      <c r="J2593" s="1668"/>
      <c r="K2593" s="1668"/>
      <c r="L2593" s="1669"/>
    </row>
    <row r="2594" spans="1:12" s="692" customFormat="1" ht="16.5" hidden="1">
      <c r="A2594" s="1665"/>
      <c r="B2594" s="1666"/>
      <c r="C2594" s="688"/>
      <c r="D2594" s="1667"/>
      <c r="E2594" s="1671">
        <v>3.5</v>
      </c>
      <c r="F2594" s="1671">
        <v>4</v>
      </c>
      <c r="G2594" s="1672">
        <v>0.15</v>
      </c>
      <c r="H2594" s="1671">
        <f t="shared" si="342"/>
        <v>0</v>
      </c>
      <c r="I2594" s="1671" t="s">
        <v>49</v>
      </c>
      <c r="J2594" s="1668"/>
      <c r="K2594" s="1668"/>
      <c r="L2594" s="1669"/>
    </row>
    <row r="2595" spans="1:12" s="692" customFormat="1" ht="16.5" hidden="1">
      <c r="A2595" s="1665"/>
      <c r="B2595" s="1666"/>
      <c r="C2595" s="688"/>
      <c r="D2595" s="1667"/>
      <c r="E2595" s="1671"/>
      <c r="F2595" s="1671"/>
      <c r="G2595" s="1669" t="s">
        <v>928</v>
      </c>
      <c r="H2595" s="1673">
        <f>SUM(H2589:H2594)</f>
        <v>0</v>
      </c>
      <c r="I2595" s="1669" t="s">
        <v>49</v>
      </c>
      <c r="J2595" s="1668"/>
      <c r="K2595" s="1668"/>
      <c r="L2595" s="1669"/>
    </row>
    <row r="2596" spans="1:12" s="692" customFormat="1" ht="16.5" hidden="1">
      <c r="A2596" s="1665"/>
      <c r="B2596" s="1666" t="s">
        <v>1948</v>
      </c>
      <c r="C2596" s="688"/>
      <c r="D2596" s="1667"/>
      <c r="E2596" s="1671">
        <f>D644+F2596</f>
        <v>0.25</v>
      </c>
      <c r="F2596" s="1671">
        <f>F2581</f>
        <v>0.25</v>
      </c>
      <c r="G2596" s="1672"/>
      <c r="H2596" s="1671">
        <f>ROUND(D2596*E2596*F2596,2)</f>
        <v>0</v>
      </c>
      <c r="I2596" s="1671" t="s">
        <v>92</v>
      </c>
      <c r="J2596" s="1668"/>
      <c r="K2596" s="1668"/>
      <c r="L2596" s="1669"/>
    </row>
    <row r="2597" spans="1:12" s="692" customFormat="1" ht="16.5" hidden="1">
      <c r="A2597" s="1665"/>
      <c r="B2597" s="1666" t="s">
        <v>2987</v>
      </c>
      <c r="C2597" s="688"/>
      <c r="D2597" s="1667"/>
      <c r="E2597" s="1671">
        <f>D647-F2597</f>
        <v>-0.25</v>
      </c>
      <c r="F2597" s="1671">
        <f>F2596</f>
        <v>0.25</v>
      </c>
      <c r="G2597" s="1672"/>
      <c r="H2597" s="1671">
        <f t="shared" ref="H2597:H2601" si="343">ROUND(D2597*E2597*F2597,2)</f>
        <v>0</v>
      </c>
      <c r="I2597" s="1671" t="s">
        <v>92</v>
      </c>
      <c r="J2597" s="1668"/>
      <c r="K2597" s="1668"/>
      <c r="L2597" s="1669"/>
    </row>
    <row r="2598" spans="1:12" s="692" customFormat="1" ht="16.5" hidden="1">
      <c r="A2598" s="1665"/>
      <c r="B2598" s="1666"/>
      <c r="C2598" s="688"/>
      <c r="D2598" s="1667"/>
      <c r="E2598" s="1671">
        <f>D648-F2598</f>
        <v>-0.25</v>
      </c>
      <c r="F2598" s="1671">
        <f>F2597</f>
        <v>0.25</v>
      </c>
      <c r="G2598" s="1672"/>
      <c r="H2598" s="1671">
        <f t="shared" si="343"/>
        <v>0</v>
      </c>
      <c r="I2598" s="1671" t="s">
        <v>92</v>
      </c>
      <c r="J2598" s="1668"/>
      <c r="K2598" s="1668"/>
      <c r="L2598" s="1669"/>
    </row>
    <row r="2599" spans="1:12" s="692" customFormat="1" ht="16.5" hidden="1">
      <c r="A2599" s="1665"/>
      <c r="B2599" s="1666"/>
      <c r="C2599" s="688"/>
      <c r="D2599" s="1667"/>
      <c r="E2599" s="1671">
        <v>3.5</v>
      </c>
      <c r="F2599" s="1671">
        <v>4</v>
      </c>
      <c r="G2599" s="1672"/>
      <c r="H2599" s="1671">
        <f t="shared" si="343"/>
        <v>0</v>
      </c>
      <c r="I2599" s="1671" t="s">
        <v>92</v>
      </c>
      <c r="J2599" s="1668"/>
      <c r="K2599" s="1668"/>
      <c r="L2599" s="1669"/>
    </row>
    <row r="2600" spans="1:12" s="692" customFormat="1" ht="16.5" hidden="1">
      <c r="A2600" s="1665"/>
      <c r="B2600" s="1666"/>
      <c r="C2600" s="688"/>
      <c r="D2600" s="1667"/>
      <c r="E2600" s="1671">
        <v>3.5</v>
      </c>
      <c r="F2600" s="1671">
        <v>4</v>
      </c>
      <c r="G2600" s="1672"/>
      <c r="H2600" s="1671">
        <f t="shared" si="343"/>
        <v>0</v>
      </c>
      <c r="I2600" s="1671" t="s">
        <v>92</v>
      </c>
      <c r="J2600" s="1668"/>
      <c r="K2600" s="1668"/>
      <c r="L2600" s="1669"/>
    </row>
    <row r="2601" spans="1:12" s="692" customFormat="1" ht="16.5" hidden="1">
      <c r="A2601" s="1665"/>
      <c r="B2601" s="1666"/>
      <c r="C2601" s="688"/>
      <c r="D2601" s="1667"/>
      <c r="E2601" s="1671">
        <v>3.5</v>
      </c>
      <c r="F2601" s="1671">
        <v>4</v>
      </c>
      <c r="G2601" s="1672"/>
      <c r="H2601" s="1671">
        <f t="shared" si="343"/>
        <v>0</v>
      </c>
      <c r="I2601" s="1671" t="s">
        <v>92</v>
      </c>
      <c r="J2601" s="1668"/>
      <c r="K2601" s="1668"/>
      <c r="L2601" s="1669"/>
    </row>
    <row r="2602" spans="1:12" s="692" customFormat="1" ht="16.5" hidden="1">
      <c r="A2602" s="1665"/>
      <c r="B2602" s="1666"/>
      <c r="C2602" s="688"/>
      <c r="D2602" s="1667"/>
      <c r="E2602" s="1671"/>
      <c r="F2602" s="1671"/>
      <c r="G2602" s="1669" t="s">
        <v>928</v>
      </c>
      <c r="H2602" s="1673">
        <f>SUM(H2596:H2601)</f>
        <v>0</v>
      </c>
      <c r="I2602" s="1671" t="s">
        <v>92</v>
      </c>
      <c r="J2602" s="1669">
        <f>'Lead &amp; ANALYSIS'!L588</f>
        <v>1879.8</v>
      </c>
      <c r="K2602" s="1668" t="s">
        <v>1514</v>
      </c>
      <c r="L2602" s="1669">
        <f>ROUND(H2602*J2602,0)</f>
        <v>0</v>
      </c>
    </row>
    <row r="2603" spans="1:12" s="692" customFormat="1" ht="16.5" hidden="1">
      <c r="A2603" s="1665" t="s">
        <v>291</v>
      </c>
      <c r="B2603" s="1666" t="s">
        <v>3401</v>
      </c>
      <c r="C2603" s="688"/>
      <c r="D2603" s="1667"/>
      <c r="E2603" s="688"/>
      <c r="F2603" s="688"/>
      <c r="G2603" s="1674"/>
      <c r="H2603" s="688"/>
      <c r="I2603" s="1668"/>
      <c r="J2603" s="1668"/>
      <c r="K2603" s="1668"/>
      <c r="L2603" s="1669"/>
    </row>
    <row r="2604" spans="1:12" s="692" customFormat="1" ht="16.5" hidden="1">
      <c r="A2604" s="1665"/>
      <c r="B2604" s="1666"/>
      <c r="C2604" s="688"/>
      <c r="D2604" s="1667"/>
      <c r="E2604" s="1671">
        <f>D635+F2604</f>
        <v>0</v>
      </c>
      <c r="F2604" s="1671">
        <f>F2589</f>
        <v>0</v>
      </c>
      <c r="G2604" s="1672">
        <f>'DRAWING CC'!GI416</f>
        <v>0</v>
      </c>
      <c r="H2604" s="1671">
        <f t="shared" ref="H2604:H2609" si="344">ROUND(D2604*E2604*F2604*G2604,2)</f>
        <v>0</v>
      </c>
      <c r="I2604" s="1671" t="s">
        <v>49</v>
      </c>
      <c r="J2604" s="1668"/>
      <c r="K2604" s="1668"/>
      <c r="L2604" s="1669"/>
    </row>
    <row r="2605" spans="1:12" s="692" customFormat="1" ht="16.5" hidden="1">
      <c r="A2605" s="1665"/>
      <c r="B2605" s="1666"/>
      <c r="C2605" s="688"/>
      <c r="D2605" s="1667"/>
      <c r="E2605" s="1671">
        <f>D638-F2605</f>
        <v>0</v>
      </c>
      <c r="F2605" s="1671">
        <f>F2604</f>
        <v>0</v>
      </c>
      <c r="G2605" s="1672">
        <f>G2604</f>
        <v>0</v>
      </c>
      <c r="H2605" s="1671">
        <f t="shared" si="344"/>
        <v>0</v>
      </c>
      <c r="I2605" s="1671" t="s">
        <v>49</v>
      </c>
      <c r="J2605" s="1668"/>
      <c r="K2605" s="1668"/>
      <c r="L2605" s="1669"/>
    </row>
    <row r="2606" spans="1:12" s="692" customFormat="1" ht="16.5" hidden="1">
      <c r="A2606" s="1665"/>
      <c r="B2606" s="1666"/>
      <c r="C2606" s="688"/>
      <c r="D2606" s="1667"/>
      <c r="E2606" s="1671">
        <f>D639-F2606</f>
        <v>0</v>
      </c>
      <c r="F2606" s="1671">
        <f>F2605</f>
        <v>0</v>
      </c>
      <c r="G2606" s="1672">
        <f>G2605</f>
        <v>0</v>
      </c>
      <c r="H2606" s="1671">
        <f t="shared" si="344"/>
        <v>0</v>
      </c>
      <c r="I2606" s="1671" t="s">
        <v>49</v>
      </c>
      <c r="J2606" s="1668"/>
      <c r="K2606" s="1668"/>
      <c r="L2606" s="1669"/>
    </row>
    <row r="2607" spans="1:12" s="692" customFormat="1" ht="16.5" hidden="1">
      <c r="A2607" s="1665"/>
      <c r="B2607" s="1666"/>
      <c r="C2607" s="688"/>
      <c r="D2607" s="1667"/>
      <c r="E2607" s="1671">
        <v>3.5</v>
      </c>
      <c r="F2607" s="1671">
        <v>4</v>
      </c>
      <c r="G2607" s="1672">
        <v>0.15</v>
      </c>
      <c r="H2607" s="1671">
        <f t="shared" si="344"/>
        <v>0</v>
      </c>
      <c r="I2607" s="1671" t="s">
        <v>49</v>
      </c>
      <c r="J2607" s="1668"/>
      <c r="K2607" s="1668"/>
      <c r="L2607" s="1669"/>
    </row>
    <row r="2608" spans="1:12" s="692" customFormat="1" ht="16.5" hidden="1">
      <c r="A2608" s="1665"/>
      <c r="B2608" s="1666"/>
      <c r="C2608" s="688"/>
      <c r="D2608" s="1667"/>
      <c r="E2608" s="1671">
        <v>3.5</v>
      </c>
      <c r="F2608" s="1671">
        <v>4</v>
      </c>
      <c r="G2608" s="1672">
        <v>0.15</v>
      </c>
      <c r="H2608" s="1671">
        <f t="shared" si="344"/>
        <v>0</v>
      </c>
      <c r="I2608" s="1671" t="s">
        <v>49</v>
      </c>
      <c r="J2608" s="1668"/>
      <c r="K2608" s="1668"/>
      <c r="L2608" s="1669"/>
    </row>
    <row r="2609" spans="1:12" s="692" customFormat="1" ht="16.5" hidden="1">
      <c r="A2609" s="1665"/>
      <c r="B2609" s="1666"/>
      <c r="C2609" s="688"/>
      <c r="D2609" s="1667"/>
      <c r="E2609" s="1671">
        <v>3.5</v>
      </c>
      <c r="F2609" s="1671">
        <v>4</v>
      </c>
      <c r="G2609" s="1672">
        <v>0.15</v>
      </c>
      <c r="H2609" s="1671">
        <f t="shared" si="344"/>
        <v>0</v>
      </c>
      <c r="I2609" s="1671" t="s">
        <v>49</v>
      </c>
      <c r="J2609" s="1668"/>
      <c r="K2609" s="1668"/>
      <c r="L2609" s="1669"/>
    </row>
    <row r="2610" spans="1:12" s="692" customFormat="1" ht="16.5" hidden="1">
      <c r="A2610" s="1665"/>
      <c r="B2610" s="1666"/>
      <c r="C2610" s="688"/>
      <c r="D2610" s="1667"/>
      <c r="E2610" s="1671"/>
      <c r="F2610" s="1671"/>
      <c r="G2610" s="1669" t="s">
        <v>928</v>
      </c>
      <c r="H2610" s="1673">
        <f>SUM(H2604:H2609)</f>
        <v>0</v>
      </c>
      <c r="I2610" s="1669" t="s">
        <v>49</v>
      </c>
      <c r="J2610" s="1668"/>
      <c r="K2610" s="1668"/>
      <c r="L2610" s="1669"/>
    </row>
    <row r="2611" spans="1:12" s="692" customFormat="1" ht="16.5" hidden="1">
      <c r="A2611" s="1665"/>
      <c r="B2611" s="1666"/>
      <c r="C2611" s="688"/>
      <c r="D2611" s="1667"/>
      <c r="E2611" s="1671">
        <f>D642+F2611</f>
        <v>0.25</v>
      </c>
      <c r="F2611" s="1671">
        <f>F2596</f>
        <v>0.25</v>
      </c>
      <c r="G2611" s="1672">
        <f>'DRAWING CC'!GI423</f>
        <v>0</v>
      </c>
      <c r="H2611" s="1671">
        <f t="shared" ref="H2611:H2616" si="345">ROUND(D2611*E2611*F2611*G2611,2)</f>
        <v>0</v>
      </c>
      <c r="I2611" s="1671" t="s">
        <v>49</v>
      </c>
      <c r="J2611" s="1668"/>
      <c r="K2611" s="1668"/>
      <c r="L2611" s="1669"/>
    </row>
    <row r="2612" spans="1:12" s="692" customFormat="1" ht="16.5" hidden="1">
      <c r="A2612" s="1665"/>
      <c r="B2612" s="1666"/>
      <c r="C2612" s="688"/>
      <c r="D2612" s="1667"/>
      <c r="E2612" s="1671">
        <f>D645-F2612</f>
        <v>-0.25</v>
      </c>
      <c r="F2612" s="1671">
        <f>F2611</f>
        <v>0.25</v>
      </c>
      <c r="G2612" s="1672">
        <f>G2611</f>
        <v>0</v>
      </c>
      <c r="H2612" s="1671">
        <f t="shared" si="345"/>
        <v>0</v>
      </c>
      <c r="I2612" s="1671" t="s">
        <v>49</v>
      </c>
      <c r="J2612" s="1668"/>
      <c r="K2612" s="1668"/>
      <c r="L2612" s="1669"/>
    </row>
    <row r="2613" spans="1:12" s="692" customFormat="1" ht="16.5" hidden="1">
      <c r="A2613" s="1665"/>
      <c r="B2613" s="1666"/>
      <c r="C2613" s="688"/>
      <c r="D2613" s="1667"/>
      <c r="E2613" s="1671">
        <f>D646-F2613</f>
        <v>-0.25</v>
      </c>
      <c r="F2613" s="1671">
        <f>F2612</f>
        <v>0.25</v>
      </c>
      <c r="G2613" s="1672">
        <f>G2612</f>
        <v>0</v>
      </c>
      <c r="H2613" s="1671">
        <f t="shared" si="345"/>
        <v>0</v>
      </c>
      <c r="I2613" s="1671" t="s">
        <v>49</v>
      </c>
      <c r="J2613" s="1668"/>
      <c r="K2613" s="1668"/>
      <c r="L2613" s="1669"/>
    </row>
    <row r="2614" spans="1:12" s="692" customFormat="1" ht="16.5" hidden="1">
      <c r="A2614" s="1665"/>
      <c r="B2614" s="1666"/>
      <c r="C2614" s="688"/>
      <c r="D2614" s="1667"/>
      <c r="E2614" s="1671">
        <v>3.5</v>
      </c>
      <c r="F2614" s="1671">
        <v>4</v>
      </c>
      <c r="G2614" s="1672">
        <v>0.15</v>
      </c>
      <c r="H2614" s="1671">
        <f t="shared" si="345"/>
        <v>0</v>
      </c>
      <c r="I2614" s="1671" t="s">
        <v>49</v>
      </c>
      <c r="J2614" s="1668"/>
      <c r="K2614" s="1668"/>
      <c r="L2614" s="1669"/>
    </row>
    <row r="2615" spans="1:12" s="692" customFormat="1" ht="16.5" hidden="1">
      <c r="A2615" s="1665"/>
      <c r="B2615" s="1666"/>
      <c r="C2615" s="688"/>
      <c r="D2615" s="1667"/>
      <c r="E2615" s="1671">
        <v>3.5</v>
      </c>
      <c r="F2615" s="1671">
        <v>4</v>
      </c>
      <c r="G2615" s="1672">
        <v>0.15</v>
      </c>
      <c r="H2615" s="1671">
        <f t="shared" si="345"/>
        <v>0</v>
      </c>
      <c r="I2615" s="1671" t="s">
        <v>49</v>
      </c>
      <c r="J2615" s="1668"/>
      <c r="K2615" s="1668"/>
      <c r="L2615" s="1669"/>
    </row>
    <row r="2616" spans="1:12" s="692" customFormat="1" ht="16.5" hidden="1">
      <c r="A2616" s="1665"/>
      <c r="B2616" s="1666"/>
      <c r="C2616" s="688"/>
      <c r="D2616" s="1667"/>
      <c r="E2616" s="1671">
        <v>3.5</v>
      </c>
      <c r="F2616" s="1671">
        <v>4</v>
      </c>
      <c r="G2616" s="1672">
        <v>0.15</v>
      </c>
      <c r="H2616" s="1671">
        <f t="shared" si="345"/>
        <v>0</v>
      </c>
      <c r="I2616" s="1671" t="s">
        <v>49</v>
      </c>
      <c r="J2616" s="1668"/>
      <c r="K2616" s="1668"/>
      <c r="L2616" s="1669"/>
    </row>
    <row r="2617" spans="1:12" s="692" customFormat="1" ht="16.5" hidden="1">
      <c r="A2617" s="1665"/>
      <c r="B2617" s="1666"/>
      <c r="C2617" s="688"/>
      <c r="D2617" s="1667"/>
      <c r="E2617" s="1671"/>
      <c r="F2617" s="1671"/>
      <c r="G2617" s="1669" t="s">
        <v>928</v>
      </c>
      <c r="H2617" s="1673">
        <f>SUM(H2611:H2616)</f>
        <v>0</v>
      </c>
      <c r="I2617" s="1669" t="s">
        <v>49</v>
      </c>
      <c r="J2617" s="1669">
        <f>'Lead &amp; ANALYSIS'!L549</f>
        <v>23214.6</v>
      </c>
      <c r="K2617" s="1668" t="s">
        <v>1516</v>
      </c>
      <c r="L2617" s="1669">
        <f>ROUND(H2617*J2617,0)</f>
        <v>0</v>
      </c>
    </row>
    <row r="2618" spans="1:12" s="692" customFormat="1" ht="16.5" hidden="1">
      <c r="A2618" s="1665" t="s">
        <v>308</v>
      </c>
      <c r="B2618" s="1666" t="s">
        <v>1926</v>
      </c>
      <c r="C2618" s="688"/>
      <c r="D2618" s="1667"/>
      <c r="E2618" s="688"/>
      <c r="F2618" s="688"/>
      <c r="G2618" s="1674"/>
      <c r="H2618" s="688"/>
      <c r="I2618" s="1668"/>
      <c r="J2618" s="1668"/>
      <c r="K2618" s="1668"/>
      <c r="L2618" s="1669"/>
    </row>
    <row r="2619" spans="1:12" s="692" customFormat="1" ht="16.5" hidden="1">
      <c r="A2619" s="1665"/>
      <c r="B2619" s="1666"/>
      <c r="C2619" s="688"/>
      <c r="D2619" s="1667"/>
      <c r="E2619" s="1671">
        <f>D893+F2619</f>
        <v>0</v>
      </c>
      <c r="F2619" s="1671">
        <f>F2604</f>
        <v>0</v>
      </c>
      <c r="G2619" s="1672">
        <f>'DRAWING CC'!GI553</f>
        <v>0</v>
      </c>
      <c r="H2619" s="1671">
        <f t="shared" ref="H2619:H2624" si="346">ROUND(D2619*E2619*F2619*G2619,2)</f>
        <v>0</v>
      </c>
      <c r="I2619" s="1671" t="s">
        <v>49</v>
      </c>
      <c r="J2619" s="1668"/>
      <c r="K2619" s="1668"/>
      <c r="L2619" s="1669"/>
    </row>
    <row r="2620" spans="1:12" s="692" customFormat="1" ht="16.5" hidden="1">
      <c r="A2620" s="1665"/>
      <c r="B2620" s="1666"/>
      <c r="C2620" s="688"/>
      <c r="D2620" s="1667"/>
      <c r="E2620" s="1671">
        <f>D896-F2620</f>
        <v>0</v>
      </c>
      <c r="F2620" s="1671">
        <f>F2619</f>
        <v>0</v>
      </c>
      <c r="G2620" s="1672">
        <f>G2619</f>
        <v>0</v>
      </c>
      <c r="H2620" s="1671">
        <f t="shared" si="346"/>
        <v>0</v>
      </c>
      <c r="I2620" s="1671" t="s">
        <v>49</v>
      </c>
      <c r="J2620" s="1668"/>
      <c r="K2620" s="1668"/>
      <c r="L2620" s="1669"/>
    </row>
    <row r="2621" spans="1:12" s="692" customFormat="1" ht="16.5" hidden="1">
      <c r="A2621" s="1665"/>
      <c r="B2621" s="1666"/>
      <c r="C2621" s="688"/>
      <c r="D2621" s="1667"/>
      <c r="E2621" s="1671">
        <f>D897-F2621</f>
        <v>0</v>
      </c>
      <c r="F2621" s="1671">
        <f>F2620</f>
        <v>0</v>
      </c>
      <c r="G2621" s="1672">
        <f>G2620</f>
        <v>0</v>
      </c>
      <c r="H2621" s="1671">
        <f t="shared" si="346"/>
        <v>0</v>
      </c>
      <c r="I2621" s="1671" t="s">
        <v>49</v>
      </c>
      <c r="J2621" s="1668"/>
      <c r="K2621" s="1668"/>
      <c r="L2621" s="1669"/>
    </row>
    <row r="2622" spans="1:12" s="692" customFormat="1" ht="16.5" hidden="1">
      <c r="A2622" s="1665"/>
      <c r="B2622" s="1666"/>
      <c r="C2622" s="688"/>
      <c r="D2622" s="1667"/>
      <c r="E2622" s="1671">
        <v>3.5</v>
      </c>
      <c r="F2622" s="1671">
        <v>4</v>
      </c>
      <c r="G2622" s="1672">
        <v>0.15</v>
      </c>
      <c r="H2622" s="1671">
        <f t="shared" si="346"/>
        <v>0</v>
      </c>
      <c r="I2622" s="1671" t="s">
        <v>49</v>
      </c>
      <c r="J2622" s="1668"/>
      <c r="K2622" s="1668"/>
      <c r="L2622" s="1669"/>
    </row>
    <row r="2623" spans="1:12" s="692" customFormat="1" ht="16.5" hidden="1">
      <c r="A2623" s="1665"/>
      <c r="B2623" s="1666"/>
      <c r="C2623" s="688"/>
      <c r="D2623" s="1667"/>
      <c r="E2623" s="1671">
        <v>3.5</v>
      </c>
      <c r="F2623" s="1671">
        <v>4</v>
      </c>
      <c r="G2623" s="1672">
        <v>0.15</v>
      </c>
      <c r="H2623" s="1671">
        <f t="shared" si="346"/>
        <v>0</v>
      </c>
      <c r="I2623" s="1671" t="s">
        <v>49</v>
      </c>
      <c r="J2623" s="1668"/>
      <c r="K2623" s="1668"/>
      <c r="L2623" s="1669"/>
    </row>
    <row r="2624" spans="1:12" s="692" customFormat="1" ht="16.5" hidden="1">
      <c r="A2624" s="1665"/>
      <c r="B2624" s="1666"/>
      <c r="C2624" s="688"/>
      <c r="D2624" s="1667"/>
      <c r="E2624" s="1671">
        <v>3.5</v>
      </c>
      <c r="F2624" s="1671">
        <v>4</v>
      </c>
      <c r="G2624" s="1672">
        <v>0.15</v>
      </c>
      <c r="H2624" s="1671">
        <f t="shared" si="346"/>
        <v>0</v>
      </c>
      <c r="I2624" s="1671" t="s">
        <v>49</v>
      </c>
      <c r="J2624" s="1668"/>
      <c r="K2624" s="1668"/>
      <c r="L2624" s="1669"/>
    </row>
    <row r="2625" spans="1:12" s="692" customFormat="1" ht="16.5" hidden="1">
      <c r="A2625" s="1665"/>
      <c r="B2625" s="1666"/>
      <c r="C2625" s="688"/>
      <c r="D2625" s="1667"/>
      <c r="E2625" s="1671"/>
      <c r="F2625" s="1671"/>
      <c r="G2625" s="1669" t="s">
        <v>928</v>
      </c>
      <c r="H2625" s="1673">
        <f>SUM(H2619:H2624)</f>
        <v>0</v>
      </c>
      <c r="I2625" s="1669" t="s">
        <v>49</v>
      </c>
      <c r="J2625" s="1668"/>
      <c r="K2625" s="1668"/>
      <c r="L2625" s="1669"/>
    </row>
    <row r="2626" spans="1:12" s="692" customFormat="1" ht="16.5" hidden="1">
      <c r="A2626" s="1665"/>
      <c r="B2626" s="1666"/>
      <c r="C2626" s="688"/>
      <c r="D2626" s="1667"/>
      <c r="E2626" s="1671">
        <f>D674+F2626</f>
        <v>0.25</v>
      </c>
      <c r="F2626" s="1671">
        <f>F2611</f>
        <v>0.25</v>
      </c>
      <c r="G2626" s="1672"/>
      <c r="H2626" s="1671">
        <f>ROUND(D2626*E2626*F2626,2)</f>
        <v>0</v>
      </c>
      <c r="I2626" s="1671" t="s">
        <v>92</v>
      </c>
      <c r="J2626" s="1668"/>
      <c r="K2626" s="1668"/>
      <c r="L2626" s="1669"/>
    </row>
    <row r="2627" spans="1:12" s="692" customFormat="1" ht="16.5" hidden="1">
      <c r="A2627" s="1665"/>
      <c r="B2627" s="1666"/>
      <c r="C2627" s="688"/>
      <c r="D2627" s="1667"/>
      <c r="E2627" s="1671">
        <f>D677-F2627</f>
        <v>-0.25</v>
      </c>
      <c r="F2627" s="1671">
        <f>F2626</f>
        <v>0.25</v>
      </c>
      <c r="G2627" s="1672"/>
      <c r="H2627" s="1671">
        <f t="shared" ref="H2627:H2631" si="347">ROUND(D2627*E2627*F2627,2)</f>
        <v>0</v>
      </c>
      <c r="I2627" s="1671" t="s">
        <v>92</v>
      </c>
      <c r="J2627" s="1668"/>
      <c r="K2627" s="1668"/>
      <c r="L2627" s="1669"/>
    </row>
    <row r="2628" spans="1:12" s="692" customFormat="1" ht="16.5" hidden="1">
      <c r="A2628" s="1665"/>
      <c r="B2628" s="1666"/>
      <c r="C2628" s="688"/>
      <c r="D2628" s="1667"/>
      <c r="E2628" s="1671">
        <f>D678-F2628</f>
        <v>-0.25</v>
      </c>
      <c r="F2628" s="1671">
        <f>F2627</f>
        <v>0.25</v>
      </c>
      <c r="G2628" s="1672"/>
      <c r="H2628" s="1671">
        <f t="shared" si="347"/>
        <v>0</v>
      </c>
      <c r="I2628" s="1671" t="s">
        <v>92</v>
      </c>
      <c r="J2628" s="1668"/>
      <c r="K2628" s="1668"/>
      <c r="L2628" s="1669"/>
    </row>
    <row r="2629" spans="1:12" s="692" customFormat="1" ht="16.5" hidden="1">
      <c r="A2629" s="1665"/>
      <c r="B2629" s="1666"/>
      <c r="C2629" s="688"/>
      <c r="D2629" s="1667"/>
      <c r="E2629" s="1671">
        <v>3.5</v>
      </c>
      <c r="F2629" s="1671">
        <v>4</v>
      </c>
      <c r="G2629" s="1672"/>
      <c r="H2629" s="1671">
        <f t="shared" si="347"/>
        <v>0</v>
      </c>
      <c r="I2629" s="1671" t="s">
        <v>92</v>
      </c>
      <c r="J2629" s="1668"/>
      <c r="K2629" s="1668"/>
      <c r="L2629" s="1669"/>
    </row>
    <row r="2630" spans="1:12" s="692" customFormat="1" ht="16.5" hidden="1">
      <c r="A2630" s="1665"/>
      <c r="B2630" s="1666"/>
      <c r="C2630" s="688"/>
      <c r="D2630" s="1667"/>
      <c r="E2630" s="1671">
        <v>3.5</v>
      </c>
      <c r="F2630" s="1671">
        <v>4</v>
      </c>
      <c r="G2630" s="1672"/>
      <c r="H2630" s="1671">
        <f t="shared" si="347"/>
        <v>0</v>
      </c>
      <c r="I2630" s="1671" t="s">
        <v>92</v>
      </c>
      <c r="J2630" s="1668"/>
      <c r="K2630" s="1668"/>
      <c r="L2630" s="1669"/>
    </row>
    <row r="2631" spans="1:12" s="692" customFormat="1" ht="16.5" hidden="1">
      <c r="A2631" s="1665"/>
      <c r="B2631" s="1666"/>
      <c r="C2631" s="688"/>
      <c r="D2631" s="1667"/>
      <c r="E2631" s="1671">
        <v>3.5</v>
      </c>
      <c r="F2631" s="1671">
        <v>4</v>
      </c>
      <c r="G2631" s="1672"/>
      <c r="H2631" s="1671">
        <f t="shared" si="347"/>
        <v>0</v>
      </c>
      <c r="I2631" s="1671" t="s">
        <v>92</v>
      </c>
      <c r="J2631" s="1668"/>
      <c r="K2631" s="1668"/>
      <c r="L2631" s="1669"/>
    </row>
    <row r="2632" spans="1:12" s="692" customFormat="1" ht="16.5" hidden="1">
      <c r="A2632" s="1665"/>
      <c r="B2632" s="1666"/>
      <c r="C2632" s="688"/>
      <c r="D2632" s="1667"/>
      <c r="E2632" s="1671"/>
      <c r="F2632" s="1671"/>
      <c r="G2632" s="1669" t="s">
        <v>928</v>
      </c>
      <c r="H2632" s="1673">
        <f>SUM(H2626:H2631)</f>
        <v>0</v>
      </c>
      <c r="I2632" s="1671" t="s">
        <v>92</v>
      </c>
      <c r="J2632" s="1669">
        <f>'Lead &amp; ANALYSIS'!L614</f>
        <v>3470</v>
      </c>
      <c r="K2632" s="1668" t="s">
        <v>1514</v>
      </c>
      <c r="L2632" s="1669">
        <f>ROUND(H2632*J2632,0)</f>
        <v>0</v>
      </c>
    </row>
    <row r="2633" spans="1:12" s="692" customFormat="1" ht="16.5" hidden="1">
      <c r="A2633" s="1665" t="s">
        <v>352</v>
      </c>
      <c r="B2633" s="1666" t="s">
        <v>3416</v>
      </c>
      <c r="C2633" s="688"/>
      <c r="D2633" s="1667"/>
      <c r="E2633" s="688"/>
      <c r="F2633" s="688"/>
      <c r="G2633" s="1674"/>
      <c r="H2633" s="688"/>
      <c r="I2633" s="1668"/>
      <c r="J2633" s="1668"/>
      <c r="K2633" s="1668"/>
      <c r="L2633" s="1669"/>
    </row>
    <row r="2634" spans="1:12" s="692" customFormat="1" ht="16.5" hidden="1">
      <c r="A2634" s="1665"/>
      <c r="B2634" s="1666"/>
      <c r="C2634" s="688"/>
      <c r="D2634" s="1667"/>
      <c r="E2634" s="1671">
        <f>D901+F2634</f>
        <v>4</v>
      </c>
      <c r="F2634" s="1671">
        <f>F2619</f>
        <v>0</v>
      </c>
      <c r="G2634" s="1672">
        <f>'DRAWING CC'!GI561</f>
        <v>0</v>
      </c>
      <c r="H2634" s="1671">
        <f t="shared" ref="H2634:H2639" si="348">ROUND(D2634*E2634*F2634*G2634,2)</f>
        <v>0</v>
      </c>
      <c r="I2634" s="1671" t="s">
        <v>49</v>
      </c>
      <c r="J2634" s="1668"/>
      <c r="K2634" s="1668"/>
      <c r="L2634" s="1669"/>
    </row>
    <row r="2635" spans="1:12" s="692" customFormat="1" ht="16.5" hidden="1">
      <c r="A2635" s="1665"/>
      <c r="B2635" s="1666"/>
      <c r="C2635" s="688"/>
      <c r="D2635" s="1667"/>
      <c r="E2635" s="1671">
        <f>D904-F2635</f>
        <v>3</v>
      </c>
      <c r="F2635" s="1671">
        <f>F2634</f>
        <v>0</v>
      </c>
      <c r="G2635" s="1672">
        <f>G2634</f>
        <v>0</v>
      </c>
      <c r="H2635" s="1671">
        <f t="shared" si="348"/>
        <v>0</v>
      </c>
      <c r="I2635" s="1671" t="s">
        <v>49</v>
      </c>
      <c r="J2635" s="1668"/>
      <c r="K2635" s="1668"/>
      <c r="L2635" s="1669"/>
    </row>
    <row r="2636" spans="1:12" s="692" customFormat="1" ht="16.5" hidden="1">
      <c r="A2636" s="1665"/>
      <c r="B2636" s="1666"/>
      <c r="C2636" s="688"/>
      <c r="D2636" s="1667"/>
      <c r="E2636" s="1671">
        <f>D905-F2636</f>
        <v>2</v>
      </c>
      <c r="F2636" s="1671">
        <f>F2635</f>
        <v>0</v>
      </c>
      <c r="G2636" s="1672">
        <f>G2635</f>
        <v>0</v>
      </c>
      <c r="H2636" s="1671">
        <f t="shared" si="348"/>
        <v>0</v>
      </c>
      <c r="I2636" s="1671" t="s">
        <v>49</v>
      </c>
      <c r="J2636" s="1668"/>
      <c r="K2636" s="1668"/>
      <c r="L2636" s="1669"/>
    </row>
    <row r="2637" spans="1:12" s="692" customFormat="1" ht="16.5" hidden="1">
      <c r="A2637" s="1665"/>
      <c r="B2637" s="1666"/>
      <c r="C2637" s="688"/>
      <c r="D2637" s="1667"/>
      <c r="E2637" s="1671">
        <v>3.5</v>
      </c>
      <c r="F2637" s="1671">
        <v>4</v>
      </c>
      <c r="G2637" s="1672">
        <v>0.15</v>
      </c>
      <c r="H2637" s="1671">
        <f t="shared" si="348"/>
        <v>0</v>
      </c>
      <c r="I2637" s="1671" t="s">
        <v>49</v>
      </c>
      <c r="J2637" s="1668"/>
      <c r="K2637" s="1668"/>
      <c r="L2637" s="1669"/>
    </row>
    <row r="2638" spans="1:12" s="692" customFormat="1" ht="16.5" hidden="1">
      <c r="A2638" s="1665"/>
      <c r="B2638" s="1666"/>
      <c r="C2638" s="688"/>
      <c r="D2638" s="1667"/>
      <c r="E2638" s="1671">
        <v>3.5</v>
      </c>
      <c r="F2638" s="1671">
        <v>4</v>
      </c>
      <c r="G2638" s="1672">
        <v>0.15</v>
      </c>
      <c r="H2638" s="1671">
        <f t="shared" si="348"/>
        <v>0</v>
      </c>
      <c r="I2638" s="1671" t="s">
        <v>49</v>
      </c>
      <c r="J2638" s="1668"/>
      <c r="K2638" s="1668"/>
      <c r="L2638" s="1669"/>
    </row>
    <row r="2639" spans="1:12" s="692" customFormat="1" ht="16.5" hidden="1">
      <c r="A2639" s="1665"/>
      <c r="B2639" s="1666"/>
      <c r="C2639" s="688"/>
      <c r="D2639" s="1667"/>
      <c r="E2639" s="1671">
        <v>3.5</v>
      </c>
      <c r="F2639" s="1671">
        <v>4</v>
      </c>
      <c r="G2639" s="1672">
        <v>0.15</v>
      </c>
      <c r="H2639" s="1671">
        <f t="shared" si="348"/>
        <v>0</v>
      </c>
      <c r="I2639" s="1671" t="s">
        <v>49</v>
      </c>
      <c r="J2639" s="1668"/>
      <c r="K2639" s="1668"/>
      <c r="L2639" s="1669"/>
    </row>
    <row r="2640" spans="1:12" s="692" customFormat="1" ht="16.5" hidden="1">
      <c r="A2640" s="1665"/>
      <c r="B2640" s="1666"/>
      <c r="C2640" s="688"/>
      <c r="D2640" s="1667"/>
      <c r="E2640" s="1671"/>
      <c r="F2640" s="1671"/>
      <c r="G2640" s="1669" t="s">
        <v>928</v>
      </c>
      <c r="H2640" s="1673">
        <f>SUM(H2634:H2639)</f>
        <v>0</v>
      </c>
      <c r="I2640" s="1669" t="s">
        <v>49</v>
      </c>
      <c r="J2640" s="1668"/>
      <c r="K2640" s="1668"/>
      <c r="L2640" s="1669"/>
    </row>
    <row r="2641" spans="1:12" s="692" customFormat="1" ht="16.5" hidden="1">
      <c r="A2641" s="1665"/>
      <c r="B2641" s="1666"/>
      <c r="C2641" s="688"/>
      <c r="D2641" s="1667"/>
      <c r="E2641" s="1671">
        <f>D893+F2641</f>
        <v>0.25</v>
      </c>
      <c r="F2641" s="1671">
        <f>F2626</f>
        <v>0.25</v>
      </c>
      <c r="G2641" s="1672">
        <f>'DRAWING CC'!GI568</f>
        <v>0</v>
      </c>
      <c r="H2641" s="1671">
        <f t="shared" ref="H2641:H2646" si="349">ROUND(D2641*E2641*F2641*G2641,2)</f>
        <v>0</v>
      </c>
      <c r="I2641" s="1671" t="s">
        <v>49</v>
      </c>
      <c r="J2641" s="1668"/>
      <c r="K2641" s="1668"/>
      <c r="L2641" s="1669"/>
    </row>
    <row r="2642" spans="1:12" s="692" customFormat="1" ht="16.5" hidden="1">
      <c r="A2642" s="1665"/>
      <c r="B2642" s="1666"/>
      <c r="C2642" s="688"/>
      <c r="D2642" s="1667"/>
      <c r="E2642" s="1671">
        <f>D896-F2642</f>
        <v>-0.25</v>
      </c>
      <c r="F2642" s="1671">
        <f>F2641</f>
        <v>0.25</v>
      </c>
      <c r="G2642" s="1672">
        <f>G2641</f>
        <v>0</v>
      </c>
      <c r="H2642" s="1671">
        <f t="shared" si="349"/>
        <v>0</v>
      </c>
      <c r="I2642" s="1671" t="s">
        <v>49</v>
      </c>
      <c r="J2642" s="1668"/>
      <c r="K2642" s="1668"/>
      <c r="L2642" s="1669"/>
    </row>
    <row r="2643" spans="1:12" s="692" customFormat="1" ht="16.5" hidden="1">
      <c r="A2643" s="1665"/>
      <c r="B2643" s="1666"/>
      <c r="C2643" s="688"/>
      <c r="D2643" s="1667"/>
      <c r="E2643" s="1671">
        <f>D897-F2643</f>
        <v>-0.25</v>
      </c>
      <c r="F2643" s="1671">
        <f>F2642</f>
        <v>0.25</v>
      </c>
      <c r="G2643" s="1672">
        <f>G2642</f>
        <v>0</v>
      </c>
      <c r="H2643" s="1671">
        <f t="shared" si="349"/>
        <v>0</v>
      </c>
      <c r="I2643" s="1671" t="s">
        <v>49</v>
      </c>
      <c r="J2643" s="1668"/>
      <c r="K2643" s="1668"/>
      <c r="L2643" s="1669"/>
    </row>
    <row r="2644" spans="1:12" s="692" customFormat="1" ht="16.5" hidden="1">
      <c r="A2644" s="1665"/>
      <c r="B2644" s="1666"/>
      <c r="C2644" s="688"/>
      <c r="D2644" s="1667"/>
      <c r="E2644" s="1671">
        <v>3.5</v>
      </c>
      <c r="F2644" s="1671">
        <v>4</v>
      </c>
      <c r="G2644" s="1672">
        <v>0.15</v>
      </c>
      <c r="H2644" s="1671">
        <f t="shared" si="349"/>
        <v>0</v>
      </c>
      <c r="I2644" s="1671" t="s">
        <v>49</v>
      </c>
      <c r="J2644" s="1668"/>
      <c r="K2644" s="1668"/>
      <c r="L2644" s="1669"/>
    </row>
    <row r="2645" spans="1:12" s="692" customFormat="1" ht="16.5" hidden="1">
      <c r="A2645" s="1665"/>
      <c r="B2645" s="1666"/>
      <c r="C2645" s="688"/>
      <c r="D2645" s="1667"/>
      <c r="E2645" s="1671">
        <v>3.5</v>
      </c>
      <c r="F2645" s="1671">
        <v>4</v>
      </c>
      <c r="G2645" s="1672">
        <v>0.15</v>
      </c>
      <c r="H2645" s="1671">
        <f t="shared" si="349"/>
        <v>0</v>
      </c>
      <c r="I2645" s="1671" t="s">
        <v>49</v>
      </c>
      <c r="J2645" s="1668"/>
      <c r="K2645" s="1668"/>
      <c r="L2645" s="1669"/>
    </row>
    <row r="2646" spans="1:12" s="692" customFormat="1" ht="16.5" hidden="1">
      <c r="A2646" s="1665"/>
      <c r="B2646" s="1666"/>
      <c r="C2646" s="688"/>
      <c r="D2646" s="1667"/>
      <c r="E2646" s="1671">
        <v>3.5</v>
      </c>
      <c r="F2646" s="1671">
        <v>4</v>
      </c>
      <c r="G2646" s="1672">
        <v>0.15</v>
      </c>
      <c r="H2646" s="1671">
        <f t="shared" si="349"/>
        <v>0</v>
      </c>
      <c r="I2646" s="1671" t="s">
        <v>49</v>
      </c>
      <c r="J2646" s="1668"/>
      <c r="K2646" s="1668"/>
      <c r="L2646" s="1669"/>
    </row>
    <row r="2647" spans="1:12" s="692" customFormat="1" ht="16.5" hidden="1">
      <c r="A2647" s="1665"/>
      <c r="B2647" s="1666"/>
      <c r="C2647" s="688"/>
      <c r="D2647" s="1667"/>
      <c r="E2647" s="1671"/>
      <c r="F2647" s="1671"/>
      <c r="G2647" s="1669" t="s">
        <v>928</v>
      </c>
      <c r="H2647" s="1673">
        <f>SUM(H2641:H2646)</f>
        <v>0</v>
      </c>
      <c r="I2647" s="1669" t="s">
        <v>49</v>
      </c>
      <c r="J2647" s="1669">
        <f>'Lead &amp; ANALYSIS'!L536</f>
        <v>21987.7</v>
      </c>
      <c r="K2647" s="1668" t="s">
        <v>1516</v>
      </c>
      <c r="L2647" s="1669">
        <f>ROUND(H2647*J2647,0)</f>
        <v>0</v>
      </c>
    </row>
    <row r="2648" spans="1:12" s="692" customFormat="1" ht="16.5" hidden="1">
      <c r="A2648" s="1665" t="s">
        <v>2072</v>
      </c>
      <c r="B2648" s="1666" t="s">
        <v>1929</v>
      </c>
      <c r="C2648" s="688"/>
      <c r="D2648" s="1667"/>
      <c r="E2648" s="688"/>
      <c r="F2648" s="688"/>
      <c r="G2648" s="1674"/>
      <c r="H2648" s="688"/>
      <c r="I2648" s="1668"/>
      <c r="J2648" s="1668"/>
      <c r="K2648" s="1668"/>
      <c r="L2648" s="1669"/>
    </row>
    <row r="2649" spans="1:12" s="692" customFormat="1" ht="16.5" hidden="1">
      <c r="A2649" s="1665"/>
      <c r="B2649" s="1666"/>
      <c r="C2649" s="688"/>
      <c r="D2649" s="1667"/>
      <c r="E2649" s="1671">
        <v>3.5</v>
      </c>
      <c r="F2649" s="1671">
        <v>1.2</v>
      </c>
      <c r="G2649" s="1672">
        <v>0.3</v>
      </c>
      <c r="H2649" s="1671">
        <f t="shared" ref="H2649:H2654" si="350">ROUND(D2649*E2649*F2649*G2649,2)</f>
        <v>0</v>
      </c>
      <c r="I2649" s="1671" t="s">
        <v>49</v>
      </c>
      <c r="J2649" s="1668"/>
      <c r="K2649" s="1668"/>
      <c r="L2649" s="1669"/>
    </row>
    <row r="2650" spans="1:12" s="692" customFormat="1" ht="16.5" hidden="1">
      <c r="A2650" s="1665"/>
      <c r="B2650" s="1666"/>
      <c r="C2650" s="688"/>
      <c r="D2650" s="1667"/>
      <c r="E2650" s="1671">
        <v>3.5</v>
      </c>
      <c r="F2650" s="1671">
        <f>F2649</f>
        <v>1.2</v>
      </c>
      <c r="G2650" s="1672">
        <f>G2649</f>
        <v>0.3</v>
      </c>
      <c r="H2650" s="1671">
        <f t="shared" si="350"/>
        <v>0</v>
      </c>
      <c r="I2650" s="1671" t="s">
        <v>49</v>
      </c>
      <c r="J2650" s="1668"/>
      <c r="K2650" s="1668"/>
      <c r="L2650" s="1669"/>
    </row>
    <row r="2651" spans="1:12" s="692" customFormat="1" ht="16.5" hidden="1">
      <c r="A2651" s="1665"/>
      <c r="B2651" s="1666"/>
      <c r="C2651" s="688"/>
      <c r="D2651" s="1667"/>
      <c r="E2651" s="1671">
        <v>3.5</v>
      </c>
      <c r="F2651" s="1671">
        <f>F2650</f>
        <v>1.2</v>
      </c>
      <c r="G2651" s="1672">
        <f>G2650</f>
        <v>0.3</v>
      </c>
      <c r="H2651" s="1671">
        <f t="shared" si="350"/>
        <v>0</v>
      </c>
      <c r="I2651" s="1671" t="s">
        <v>49</v>
      </c>
      <c r="J2651" s="1668"/>
      <c r="K2651" s="1668"/>
      <c r="L2651" s="1669"/>
    </row>
    <row r="2652" spans="1:12" s="692" customFormat="1" ht="16.5" hidden="1">
      <c r="A2652" s="1665"/>
      <c r="B2652" s="1666"/>
      <c r="C2652" s="688"/>
      <c r="D2652" s="1667"/>
      <c r="E2652" s="1671">
        <v>3.5</v>
      </c>
      <c r="F2652" s="1671">
        <v>4</v>
      </c>
      <c r="G2652" s="1672">
        <v>0.15</v>
      </c>
      <c r="H2652" s="1671">
        <f t="shared" si="350"/>
        <v>0</v>
      </c>
      <c r="I2652" s="1671" t="s">
        <v>49</v>
      </c>
      <c r="J2652" s="1668"/>
      <c r="K2652" s="1668"/>
      <c r="L2652" s="1669"/>
    </row>
    <row r="2653" spans="1:12" s="692" customFormat="1" ht="16.5" hidden="1">
      <c r="A2653" s="1665"/>
      <c r="B2653" s="1666"/>
      <c r="C2653" s="688"/>
      <c r="D2653" s="1667"/>
      <c r="E2653" s="1671">
        <v>3.5</v>
      </c>
      <c r="F2653" s="1671">
        <v>4</v>
      </c>
      <c r="G2653" s="1672">
        <v>0.15</v>
      </c>
      <c r="H2653" s="1671">
        <f t="shared" si="350"/>
        <v>0</v>
      </c>
      <c r="I2653" s="1671" t="s">
        <v>49</v>
      </c>
      <c r="J2653" s="1668"/>
      <c r="K2653" s="1668"/>
      <c r="L2653" s="1669"/>
    </row>
    <row r="2654" spans="1:12" s="692" customFormat="1" ht="16.5" hidden="1">
      <c r="A2654" s="1665"/>
      <c r="B2654" s="1666"/>
      <c r="C2654" s="688"/>
      <c r="D2654" s="1667"/>
      <c r="E2654" s="1671">
        <v>3.5</v>
      </c>
      <c r="F2654" s="1671">
        <v>4</v>
      </c>
      <c r="G2654" s="1672">
        <v>0.15</v>
      </c>
      <c r="H2654" s="1671">
        <f t="shared" si="350"/>
        <v>0</v>
      </c>
      <c r="I2654" s="1671" t="s">
        <v>49</v>
      </c>
      <c r="J2654" s="1668"/>
      <c r="K2654" s="1668"/>
      <c r="L2654" s="1669"/>
    </row>
    <row r="2655" spans="1:12" s="692" customFormat="1" ht="16.5" hidden="1">
      <c r="A2655" s="1665"/>
      <c r="B2655" s="1666"/>
      <c r="C2655" s="688"/>
      <c r="D2655" s="1667"/>
      <c r="E2655" s="1671"/>
      <c r="F2655" s="1671"/>
      <c r="G2655" s="1669" t="s">
        <v>928</v>
      </c>
      <c r="H2655" s="1673">
        <f>SUM(H2649:H2654)</f>
        <v>0</v>
      </c>
      <c r="I2655" s="1669" t="s">
        <v>49</v>
      </c>
      <c r="J2655" s="1668"/>
      <c r="K2655" s="1668"/>
      <c r="L2655" s="1669"/>
    </row>
    <row r="2656" spans="1:12" s="692" customFormat="1" ht="16.5" hidden="1">
      <c r="A2656" s="1665"/>
      <c r="B2656" s="1666"/>
      <c r="C2656" s="688"/>
      <c r="D2656" s="1667"/>
      <c r="E2656" s="1671">
        <f>D704+F2656</f>
        <v>0.25</v>
      </c>
      <c r="F2656" s="1671">
        <f>F2641</f>
        <v>0.25</v>
      </c>
      <c r="G2656" s="1672"/>
      <c r="H2656" s="1671">
        <f>ROUND(D2656*E2656*F2656,2)</f>
        <v>0</v>
      </c>
      <c r="I2656" s="1671" t="s">
        <v>92</v>
      </c>
      <c r="J2656" s="1668"/>
      <c r="K2656" s="1668"/>
      <c r="L2656" s="1669"/>
    </row>
    <row r="2657" spans="1:12" s="692" customFormat="1" ht="16.5" hidden="1">
      <c r="A2657" s="1665"/>
      <c r="B2657" s="1666"/>
      <c r="C2657" s="688"/>
      <c r="D2657" s="1667"/>
      <c r="E2657" s="1671">
        <f>D707-F2657</f>
        <v>-0.25</v>
      </c>
      <c r="F2657" s="1671">
        <f>F2656</f>
        <v>0.25</v>
      </c>
      <c r="G2657" s="1672"/>
      <c r="H2657" s="1671">
        <f t="shared" ref="H2657:H2661" si="351">ROUND(D2657*E2657*F2657,2)</f>
        <v>0</v>
      </c>
      <c r="I2657" s="1671" t="s">
        <v>92</v>
      </c>
      <c r="J2657" s="1668"/>
      <c r="K2657" s="1668"/>
      <c r="L2657" s="1669"/>
    </row>
    <row r="2658" spans="1:12" s="692" customFormat="1" ht="16.5" hidden="1">
      <c r="A2658" s="1665"/>
      <c r="B2658" s="1666"/>
      <c r="C2658" s="688"/>
      <c r="D2658" s="1667"/>
      <c r="E2658" s="1671">
        <f>D708-F2658</f>
        <v>-0.25</v>
      </c>
      <c r="F2658" s="1671">
        <f>F2657</f>
        <v>0.25</v>
      </c>
      <c r="G2658" s="1672"/>
      <c r="H2658" s="1671">
        <f t="shared" si="351"/>
        <v>0</v>
      </c>
      <c r="I2658" s="1671" t="s">
        <v>92</v>
      </c>
      <c r="J2658" s="1668"/>
      <c r="K2658" s="1668"/>
      <c r="L2658" s="1669"/>
    </row>
    <row r="2659" spans="1:12" s="692" customFormat="1" ht="16.5" hidden="1">
      <c r="A2659" s="1665"/>
      <c r="B2659" s="1666"/>
      <c r="C2659" s="688"/>
      <c r="D2659" s="1667"/>
      <c r="E2659" s="1671">
        <v>3.5</v>
      </c>
      <c r="F2659" s="1671">
        <v>4</v>
      </c>
      <c r="G2659" s="1672"/>
      <c r="H2659" s="1671">
        <f t="shared" si="351"/>
        <v>0</v>
      </c>
      <c r="I2659" s="1671" t="s">
        <v>92</v>
      </c>
      <c r="J2659" s="1668"/>
      <c r="K2659" s="1668"/>
      <c r="L2659" s="1669"/>
    </row>
    <row r="2660" spans="1:12" s="692" customFormat="1" ht="16.5" hidden="1">
      <c r="A2660" s="1665"/>
      <c r="B2660" s="1666"/>
      <c r="C2660" s="688"/>
      <c r="D2660" s="1667"/>
      <c r="E2660" s="1671">
        <v>3.5</v>
      </c>
      <c r="F2660" s="1671">
        <v>4</v>
      </c>
      <c r="G2660" s="1672"/>
      <c r="H2660" s="1671">
        <f t="shared" si="351"/>
        <v>0</v>
      </c>
      <c r="I2660" s="1671" t="s">
        <v>92</v>
      </c>
      <c r="J2660" s="1668"/>
      <c r="K2660" s="1668"/>
      <c r="L2660" s="1669"/>
    </row>
    <row r="2661" spans="1:12" s="692" customFormat="1" ht="16.5" hidden="1">
      <c r="A2661" s="1665"/>
      <c r="B2661" s="1666"/>
      <c r="C2661" s="688"/>
      <c r="D2661" s="1667"/>
      <c r="E2661" s="1671">
        <v>3.5</v>
      </c>
      <c r="F2661" s="1671">
        <v>4</v>
      </c>
      <c r="G2661" s="1672"/>
      <c r="H2661" s="1671">
        <f t="shared" si="351"/>
        <v>0</v>
      </c>
      <c r="I2661" s="1671" t="s">
        <v>92</v>
      </c>
      <c r="J2661" s="1668"/>
      <c r="K2661" s="1668"/>
      <c r="L2661" s="1669"/>
    </row>
    <row r="2662" spans="1:12" s="692" customFormat="1" ht="16.5" hidden="1">
      <c r="A2662" s="1665"/>
      <c r="B2662" s="1666"/>
      <c r="C2662" s="688"/>
      <c r="D2662" s="1667"/>
      <c r="E2662" s="1671"/>
      <c r="F2662" s="1671"/>
      <c r="G2662" s="1669" t="s">
        <v>928</v>
      </c>
      <c r="H2662" s="1673">
        <f>SUM(H2656:H2661)</f>
        <v>0</v>
      </c>
      <c r="I2662" s="1671" t="s">
        <v>92</v>
      </c>
      <c r="J2662" s="1669">
        <f>'Lead &amp; ANALYSIS'!L601</f>
        <v>1741.7</v>
      </c>
      <c r="K2662" s="1668" t="s">
        <v>1514</v>
      </c>
      <c r="L2662" s="1669">
        <f>ROUND(H2662*J2662,0)</f>
        <v>0</v>
      </c>
    </row>
    <row r="2663" spans="1:12" s="692" customFormat="1" ht="16.5" hidden="1">
      <c r="A2663" s="1665" t="s">
        <v>3415</v>
      </c>
      <c r="B2663" s="1666" t="s">
        <v>479</v>
      </c>
      <c r="C2663" s="688"/>
      <c r="D2663" s="1667"/>
      <c r="E2663" s="688"/>
      <c r="F2663" s="688"/>
      <c r="G2663" s="1674"/>
      <c r="H2663" s="688"/>
      <c r="I2663" s="1668"/>
      <c r="J2663" s="1668"/>
      <c r="K2663" s="1668"/>
      <c r="L2663" s="1669"/>
    </row>
    <row r="2664" spans="1:12" s="692" customFormat="1" ht="16.5" hidden="1">
      <c r="A2664" s="1665"/>
      <c r="B2664" s="1666"/>
      <c r="C2664" s="688"/>
      <c r="D2664" s="1667"/>
      <c r="E2664" s="1671">
        <f>D901+F2664</f>
        <v>4</v>
      </c>
      <c r="F2664" s="1671">
        <f>F2619</f>
        <v>0</v>
      </c>
      <c r="G2664" s="1672">
        <f>'DRAWING CC'!GI561</f>
        <v>0</v>
      </c>
      <c r="H2664" s="1671">
        <f t="shared" ref="H2664:H2669" si="352">ROUND(D2664*E2664*F2664*G2664,2)</f>
        <v>0</v>
      </c>
      <c r="I2664" s="1671" t="s">
        <v>49</v>
      </c>
      <c r="J2664" s="1668"/>
      <c r="K2664" s="1668"/>
      <c r="L2664" s="1669"/>
    </row>
    <row r="2665" spans="1:12" s="692" customFormat="1" ht="16.5" hidden="1">
      <c r="A2665" s="1665"/>
      <c r="B2665" s="1666"/>
      <c r="C2665" s="688"/>
      <c r="D2665" s="1667"/>
      <c r="E2665" s="1671">
        <f>D904-F2665</f>
        <v>3</v>
      </c>
      <c r="F2665" s="1671">
        <f>F2664</f>
        <v>0</v>
      </c>
      <c r="G2665" s="1672">
        <f>G2664</f>
        <v>0</v>
      </c>
      <c r="H2665" s="1671">
        <f t="shared" si="352"/>
        <v>0</v>
      </c>
      <c r="I2665" s="1671" t="s">
        <v>49</v>
      </c>
      <c r="J2665" s="1668"/>
      <c r="K2665" s="1668"/>
      <c r="L2665" s="1669"/>
    </row>
    <row r="2666" spans="1:12" s="692" customFormat="1" ht="16.5" hidden="1">
      <c r="A2666" s="1665"/>
      <c r="B2666" s="1666"/>
      <c r="C2666" s="688"/>
      <c r="D2666" s="1667"/>
      <c r="E2666" s="1671">
        <f>D905-F2666</f>
        <v>2</v>
      </c>
      <c r="F2666" s="1671">
        <f>F2665</f>
        <v>0</v>
      </c>
      <c r="G2666" s="1672">
        <f>G2665</f>
        <v>0</v>
      </c>
      <c r="H2666" s="1671">
        <f t="shared" si="352"/>
        <v>0</v>
      </c>
      <c r="I2666" s="1671" t="s">
        <v>49</v>
      </c>
      <c r="J2666" s="1668"/>
      <c r="K2666" s="1668"/>
      <c r="L2666" s="1669"/>
    </row>
    <row r="2667" spans="1:12" s="692" customFormat="1" ht="16.5" hidden="1">
      <c r="A2667" s="1665"/>
      <c r="B2667" s="1666"/>
      <c r="C2667" s="688"/>
      <c r="D2667" s="1667"/>
      <c r="E2667" s="1671">
        <v>3.5</v>
      </c>
      <c r="F2667" s="1671">
        <v>4</v>
      </c>
      <c r="G2667" s="1672">
        <v>0.15</v>
      </c>
      <c r="H2667" s="1671">
        <f t="shared" si="352"/>
        <v>0</v>
      </c>
      <c r="I2667" s="1671" t="s">
        <v>49</v>
      </c>
      <c r="J2667" s="1668"/>
      <c r="K2667" s="1668"/>
      <c r="L2667" s="1669"/>
    </row>
    <row r="2668" spans="1:12" s="692" customFormat="1" ht="16.5" hidden="1">
      <c r="A2668" s="1665"/>
      <c r="B2668" s="1666"/>
      <c r="C2668" s="688"/>
      <c r="D2668" s="1667"/>
      <c r="E2668" s="1671">
        <v>3.5</v>
      </c>
      <c r="F2668" s="1671">
        <v>4</v>
      </c>
      <c r="G2668" s="1672">
        <v>0.15</v>
      </c>
      <c r="H2668" s="1671">
        <f t="shared" si="352"/>
        <v>0</v>
      </c>
      <c r="I2668" s="1671" t="s">
        <v>49</v>
      </c>
      <c r="J2668" s="1668"/>
      <c r="K2668" s="1668"/>
      <c r="L2668" s="1669"/>
    </row>
    <row r="2669" spans="1:12" s="692" customFormat="1" ht="16.5" hidden="1">
      <c r="A2669" s="1665"/>
      <c r="B2669" s="1666"/>
      <c r="C2669" s="688"/>
      <c r="D2669" s="1667"/>
      <c r="E2669" s="1671">
        <v>3.5</v>
      </c>
      <c r="F2669" s="1671">
        <v>4</v>
      </c>
      <c r="G2669" s="1672">
        <v>0.15</v>
      </c>
      <c r="H2669" s="1671">
        <f t="shared" si="352"/>
        <v>0</v>
      </c>
      <c r="I2669" s="1671" t="s">
        <v>49</v>
      </c>
      <c r="J2669" s="1668"/>
      <c r="K2669" s="1668"/>
      <c r="L2669" s="1669"/>
    </row>
    <row r="2670" spans="1:12" s="692" customFormat="1" ht="16.5" hidden="1">
      <c r="A2670" s="1665"/>
      <c r="B2670" s="1666"/>
      <c r="C2670" s="688"/>
      <c r="D2670" s="1667"/>
      <c r="E2670" s="1671"/>
      <c r="F2670" s="1671"/>
      <c r="G2670" s="1669" t="s">
        <v>928</v>
      </c>
      <c r="H2670" s="1673">
        <f>SUM(H2664:H2669)</f>
        <v>0</v>
      </c>
      <c r="I2670" s="1669" t="s">
        <v>49</v>
      </c>
      <c r="J2670" s="1668"/>
      <c r="K2670" s="1668"/>
      <c r="L2670" s="1669"/>
    </row>
    <row r="2671" spans="1:12" s="692" customFormat="1" ht="16.5" hidden="1">
      <c r="A2671" s="1665"/>
      <c r="B2671" s="1666"/>
      <c r="C2671" s="688"/>
      <c r="D2671" s="1667"/>
      <c r="E2671" s="1671">
        <f>D913+F2671</f>
        <v>0.25</v>
      </c>
      <c r="F2671" s="1671">
        <f>F2626</f>
        <v>0.25</v>
      </c>
      <c r="G2671" s="1672">
        <f>'DRAWING CC'!GI568</f>
        <v>0</v>
      </c>
      <c r="H2671" s="1671">
        <f t="shared" ref="H2671:H2676" si="353">ROUND(D2671*E2671*F2671*G2671,2)</f>
        <v>0</v>
      </c>
      <c r="I2671" s="1671" t="s">
        <v>49</v>
      </c>
      <c r="J2671" s="1668"/>
      <c r="K2671" s="1668"/>
      <c r="L2671" s="1669"/>
    </row>
    <row r="2672" spans="1:12" s="692" customFormat="1" ht="16.5" hidden="1">
      <c r="A2672" s="1665"/>
      <c r="B2672" s="1666"/>
      <c r="C2672" s="688"/>
      <c r="D2672" s="1667"/>
      <c r="E2672" s="1671">
        <f>D916-F2672</f>
        <v>-0.25</v>
      </c>
      <c r="F2672" s="1671">
        <f>F2671</f>
        <v>0.25</v>
      </c>
      <c r="G2672" s="1672">
        <f>G2671</f>
        <v>0</v>
      </c>
      <c r="H2672" s="1671">
        <f t="shared" si="353"/>
        <v>0</v>
      </c>
      <c r="I2672" s="1671" t="s">
        <v>49</v>
      </c>
      <c r="J2672" s="1668"/>
      <c r="K2672" s="1668"/>
      <c r="L2672" s="1669"/>
    </row>
    <row r="2673" spans="1:12" s="692" customFormat="1" ht="16.5" hidden="1">
      <c r="A2673" s="1665"/>
      <c r="B2673" s="1666"/>
      <c r="C2673" s="688"/>
      <c r="D2673" s="1667"/>
      <c r="E2673" s="1671">
        <f>D917-F2673</f>
        <v>-0.25</v>
      </c>
      <c r="F2673" s="1671">
        <f>F2672</f>
        <v>0.25</v>
      </c>
      <c r="G2673" s="1672">
        <f>G2672</f>
        <v>0</v>
      </c>
      <c r="H2673" s="1671">
        <f t="shared" si="353"/>
        <v>0</v>
      </c>
      <c r="I2673" s="1671" t="s">
        <v>49</v>
      </c>
      <c r="J2673" s="1668"/>
      <c r="K2673" s="1668"/>
      <c r="L2673" s="1669"/>
    </row>
    <row r="2674" spans="1:12" s="692" customFormat="1" ht="16.5" hidden="1">
      <c r="A2674" s="1665"/>
      <c r="B2674" s="1666"/>
      <c r="C2674" s="688"/>
      <c r="D2674" s="1667"/>
      <c r="E2674" s="1671">
        <v>3.5</v>
      </c>
      <c r="F2674" s="1671">
        <v>4</v>
      </c>
      <c r="G2674" s="1672">
        <v>0.15</v>
      </c>
      <c r="H2674" s="1671">
        <f t="shared" si="353"/>
        <v>0</v>
      </c>
      <c r="I2674" s="1671" t="s">
        <v>49</v>
      </c>
      <c r="J2674" s="1668"/>
      <c r="K2674" s="1668"/>
      <c r="L2674" s="1669"/>
    </row>
    <row r="2675" spans="1:12" s="692" customFormat="1" ht="16.5" hidden="1">
      <c r="A2675" s="1665"/>
      <c r="B2675" s="1666"/>
      <c r="C2675" s="688"/>
      <c r="D2675" s="1667"/>
      <c r="E2675" s="1671">
        <v>3.5</v>
      </c>
      <c r="F2675" s="1671">
        <v>4</v>
      </c>
      <c r="G2675" s="1672">
        <v>0.15</v>
      </c>
      <c r="H2675" s="1671">
        <f t="shared" si="353"/>
        <v>0</v>
      </c>
      <c r="I2675" s="1671" t="s">
        <v>49</v>
      </c>
      <c r="J2675" s="1668"/>
      <c r="K2675" s="1668"/>
      <c r="L2675" s="1669"/>
    </row>
    <row r="2676" spans="1:12" s="692" customFormat="1" ht="16.5" hidden="1">
      <c r="A2676" s="1665"/>
      <c r="B2676" s="1666"/>
      <c r="C2676" s="688"/>
      <c r="D2676" s="1667"/>
      <c r="E2676" s="1671">
        <v>3.5</v>
      </c>
      <c r="F2676" s="1671">
        <v>4</v>
      </c>
      <c r="G2676" s="1672">
        <v>0.15</v>
      </c>
      <c r="H2676" s="1671">
        <f t="shared" si="353"/>
        <v>0</v>
      </c>
      <c r="I2676" s="1671" t="s">
        <v>49</v>
      </c>
      <c r="J2676" s="1668"/>
      <c r="K2676" s="1668"/>
      <c r="L2676" s="1669"/>
    </row>
    <row r="2677" spans="1:12" s="692" customFormat="1" ht="16.5" hidden="1">
      <c r="A2677" s="1665"/>
      <c r="B2677" s="1666"/>
      <c r="C2677" s="688"/>
      <c r="D2677" s="1667"/>
      <c r="E2677" s="1671"/>
      <c r="F2677" s="1671"/>
      <c r="G2677" s="1669" t="s">
        <v>928</v>
      </c>
      <c r="H2677" s="1673">
        <f>SUM(H2671:H2676)</f>
        <v>0</v>
      </c>
      <c r="I2677" s="1669" t="s">
        <v>49</v>
      </c>
      <c r="J2677" s="1669">
        <f>'Lead &amp; ANALYSIS'!L575</f>
        <v>23127.9</v>
      </c>
      <c r="K2677" s="1668" t="s">
        <v>1516</v>
      </c>
      <c r="L2677" s="1669">
        <f>ROUND(H2677*J2677,0)</f>
        <v>0</v>
      </c>
    </row>
    <row r="2678" spans="1:12" s="692" customFormat="1" ht="16.5" hidden="1">
      <c r="A2678" s="1665" t="s">
        <v>2977</v>
      </c>
      <c r="B2678" s="1666" t="s">
        <v>477</v>
      </c>
      <c r="C2678" s="688"/>
      <c r="D2678" s="1667"/>
      <c r="E2678" s="688"/>
      <c r="F2678" s="688"/>
      <c r="G2678" s="1674"/>
      <c r="H2678" s="688"/>
      <c r="I2678" s="1668"/>
      <c r="J2678" s="1668"/>
      <c r="K2678" s="1668"/>
      <c r="L2678" s="1669"/>
    </row>
    <row r="2679" spans="1:12" s="692" customFormat="1" ht="16.5" hidden="1">
      <c r="A2679" s="1665"/>
      <c r="B2679" s="1666" t="s">
        <v>477</v>
      </c>
      <c r="C2679" s="688"/>
      <c r="D2679" s="1667"/>
      <c r="E2679" s="1671">
        <f>'DRAWING CC'!AW435+0.3</f>
        <v>0.3</v>
      </c>
      <c r="F2679" s="1671">
        <f>'DRAWING CC'!O479+0.3</f>
        <v>0.3</v>
      </c>
      <c r="G2679" s="1683">
        <v>0.1</v>
      </c>
      <c r="H2679" s="1671">
        <f t="shared" ref="H2679:H2684" si="354">ROUND(D2679*E2679*F2679*G2679,2)</f>
        <v>0</v>
      </c>
      <c r="I2679" s="1671" t="s">
        <v>49</v>
      </c>
      <c r="J2679" s="1668"/>
      <c r="K2679" s="1668"/>
      <c r="L2679" s="1669"/>
    </row>
    <row r="2680" spans="1:12" s="692" customFormat="1" ht="16.5" hidden="1">
      <c r="A2680" s="1665"/>
      <c r="B2680" s="1666"/>
      <c r="C2680" s="688"/>
      <c r="D2680" s="1667"/>
      <c r="E2680" s="1671">
        <f>'DRAWING CC'!AW436+0.3</f>
        <v>0.3</v>
      </c>
      <c r="F2680" s="1671">
        <f>'DRAWING CC'!O480+0.3</f>
        <v>0.3</v>
      </c>
      <c r="G2680" s="1683">
        <v>1.1000000000000001</v>
      </c>
      <c r="H2680" s="1671">
        <f t="shared" si="354"/>
        <v>0</v>
      </c>
      <c r="I2680" s="1671" t="s">
        <v>49</v>
      </c>
      <c r="J2680" s="1668"/>
      <c r="K2680" s="1668"/>
      <c r="L2680" s="1669"/>
    </row>
    <row r="2681" spans="1:12" s="692" customFormat="1" ht="16.5" hidden="1">
      <c r="A2681" s="1665"/>
      <c r="B2681" s="1666"/>
      <c r="C2681" s="688"/>
      <c r="D2681" s="1667"/>
      <c r="E2681" s="1671">
        <f>'DRAWING CC'!AW437+0.3</f>
        <v>0.3</v>
      </c>
      <c r="F2681" s="1671">
        <f>'DRAWING CC'!O481+0.3</f>
        <v>0.3</v>
      </c>
      <c r="G2681" s="1683">
        <v>2.1</v>
      </c>
      <c r="H2681" s="1671">
        <f t="shared" si="354"/>
        <v>0</v>
      </c>
      <c r="I2681" s="1671" t="s">
        <v>49</v>
      </c>
      <c r="J2681" s="1668"/>
      <c r="K2681" s="1668"/>
      <c r="L2681" s="1669"/>
    </row>
    <row r="2682" spans="1:12" s="692" customFormat="1" ht="16.5" hidden="1">
      <c r="A2682" s="1665"/>
      <c r="B2682" s="1666"/>
      <c r="C2682" s="688"/>
      <c r="D2682" s="1667"/>
      <c r="E2682" s="1671">
        <v>3.5</v>
      </c>
      <c r="F2682" s="1671">
        <v>4</v>
      </c>
      <c r="G2682" s="1672">
        <v>0.15</v>
      </c>
      <c r="H2682" s="1671">
        <f t="shared" si="354"/>
        <v>0</v>
      </c>
      <c r="I2682" s="1671" t="s">
        <v>49</v>
      </c>
      <c r="J2682" s="1668"/>
      <c r="K2682" s="1668"/>
      <c r="L2682" s="1669"/>
    </row>
    <row r="2683" spans="1:12" s="692" customFormat="1" ht="16.5" hidden="1">
      <c r="A2683" s="1665"/>
      <c r="B2683" s="1666"/>
      <c r="C2683" s="688"/>
      <c r="D2683" s="1667"/>
      <c r="E2683" s="1671">
        <v>3.5</v>
      </c>
      <c r="F2683" s="1671">
        <v>4</v>
      </c>
      <c r="G2683" s="1672">
        <v>0.15</v>
      </c>
      <c r="H2683" s="1671">
        <f t="shared" si="354"/>
        <v>0</v>
      </c>
      <c r="I2683" s="1671" t="s">
        <v>49</v>
      </c>
      <c r="J2683" s="1668"/>
      <c r="K2683" s="1668"/>
      <c r="L2683" s="1669"/>
    </row>
    <row r="2684" spans="1:12" s="692" customFormat="1" ht="16.5" hidden="1">
      <c r="A2684" s="1665"/>
      <c r="B2684" s="1666"/>
      <c r="C2684" s="688"/>
      <c r="D2684" s="1667"/>
      <c r="E2684" s="1671">
        <v>3.5</v>
      </c>
      <c r="F2684" s="1671">
        <v>4</v>
      </c>
      <c r="G2684" s="1672">
        <v>0.15</v>
      </c>
      <c r="H2684" s="1671">
        <f t="shared" si="354"/>
        <v>0</v>
      </c>
      <c r="I2684" s="1671" t="s">
        <v>49</v>
      </c>
      <c r="J2684" s="1668"/>
      <c r="K2684" s="1668"/>
      <c r="L2684" s="1669"/>
    </row>
    <row r="2685" spans="1:12" s="692" customFormat="1" ht="16.5" hidden="1">
      <c r="A2685" s="1665"/>
      <c r="B2685" s="1666"/>
      <c r="C2685" s="688"/>
      <c r="D2685" s="1667"/>
      <c r="E2685" s="1671"/>
      <c r="F2685" s="1671"/>
      <c r="G2685" s="1669" t="s">
        <v>928</v>
      </c>
      <c r="H2685" s="1673">
        <f>SUM(H2679:H2684)</f>
        <v>0</v>
      </c>
      <c r="I2685" s="1669" t="s">
        <v>49</v>
      </c>
      <c r="J2685" s="1668"/>
      <c r="K2685" s="1668"/>
      <c r="L2685" s="1669"/>
    </row>
    <row r="2686" spans="1:12" s="692" customFormat="1" ht="16.5" hidden="1">
      <c r="A2686" s="1665"/>
      <c r="B2686" s="1666" t="s">
        <v>477</v>
      </c>
      <c r="C2686" s="688"/>
      <c r="D2686" s="1667"/>
      <c r="E2686" s="1671">
        <v>3</v>
      </c>
      <c r="F2686" s="1671">
        <v>4</v>
      </c>
      <c r="G2686" s="1683">
        <v>0.1</v>
      </c>
      <c r="H2686" s="1671">
        <f t="shared" ref="H2686:H2691" si="355">ROUND(D2686*E2686*F2686*G2686,2)</f>
        <v>0</v>
      </c>
      <c r="I2686" s="1671" t="s">
        <v>49</v>
      </c>
      <c r="J2686" s="1668"/>
      <c r="K2686" s="1668"/>
      <c r="L2686" s="1669"/>
    </row>
    <row r="2687" spans="1:12" s="692" customFormat="1" ht="16.5" hidden="1">
      <c r="A2687" s="1665"/>
      <c r="B2687" s="1666"/>
      <c r="C2687" s="688"/>
      <c r="D2687" s="1667"/>
      <c r="E2687" s="1671">
        <f>'DRAWING CC'!AW443+0.3</f>
        <v>0.3</v>
      </c>
      <c r="F2687" s="1671">
        <f>'DRAWING CC'!O487+0.3</f>
        <v>0.3</v>
      </c>
      <c r="G2687" s="1683">
        <v>1.1000000000000001</v>
      </c>
      <c r="H2687" s="1671">
        <f t="shared" si="355"/>
        <v>0</v>
      </c>
      <c r="I2687" s="1671" t="s">
        <v>49</v>
      </c>
      <c r="J2687" s="1668"/>
      <c r="K2687" s="1668"/>
      <c r="L2687" s="1669"/>
    </row>
    <row r="2688" spans="1:12" s="692" customFormat="1" ht="16.5" hidden="1">
      <c r="A2688" s="1665"/>
      <c r="B2688" s="1666"/>
      <c r="C2688" s="688"/>
      <c r="D2688" s="1667"/>
      <c r="E2688" s="1671">
        <f>'DRAWING CC'!AW444+0.3</f>
        <v>0.3</v>
      </c>
      <c r="F2688" s="1671">
        <f>'DRAWING CC'!O488+0.3</f>
        <v>0.3</v>
      </c>
      <c r="G2688" s="1683">
        <v>2.1</v>
      </c>
      <c r="H2688" s="1671">
        <f t="shared" si="355"/>
        <v>0</v>
      </c>
      <c r="I2688" s="1671" t="s">
        <v>49</v>
      </c>
      <c r="J2688" s="1668"/>
      <c r="K2688" s="1668"/>
      <c r="L2688" s="1669"/>
    </row>
    <row r="2689" spans="1:12" s="692" customFormat="1" ht="16.5" hidden="1">
      <c r="A2689" s="1665"/>
      <c r="B2689" s="1666"/>
      <c r="C2689" s="688"/>
      <c r="D2689" s="1667"/>
      <c r="E2689" s="1671">
        <v>3.5</v>
      </c>
      <c r="F2689" s="1671">
        <v>4</v>
      </c>
      <c r="G2689" s="1672">
        <v>0.15</v>
      </c>
      <c r="H2689" s="1671">
        <f t="shared" si="355"/>
        <v>0</v>
      </c>
      <c r="I2689" s="1671" t="s">
        <v>49</v>
      </c>
      <c r="J2689" s="1668"/>
      <c r="K2689" s="1668"/>
      <c r="L2689" s="1669"/>
    </row>
    <row r="2690" spans="1:12" s="692" customFormat="1" ht="16.5" hidden="1">
      <c r="A2690" s="1665"/>
      <c r="B2690" s="1666"/>
      <c r="C2690" s="688"/>
      <c r="D2690" s="1667"/>
      <c r="E2690" s="1671">
        <v>3.5</v>
      </c>
      <c r="F2690" s="1671">
        <v>4</v>
      </c>
      <c r="G2690" s="1672">
        <v>0.15</v>
      </c>
      <c r="H2690" s="1671">
        <f t="shared" si="355"/>
        <v>0</v>
      </c>
      <c r="I2690" s="1671" t="s">
        <v>49</v>
      </c>
      <c r="J2690" s="1668"/>
      <c r="K2690" s="1668"/>
      <c r="L2690" s="1669"/>
    </row>
    <row r="2691" spans="1:12" s="692" customFormat="1" ht="16.5" hidden="1">
      <c r="A2691" s="1665"/>
      <c r="B2691" s="1666"/>
      <c r="C2691" s="688"/>
      <c r="D2691" s="1667"/>
      <c r="E2691" s="1671">
        <v>3.5</v>
      </c>
      <c r="F2691" s="1671">
        <v>4</v>
      </c>
      <c r="G2691" s="1672">
        <v>0.15</v>
      </c>
      <c r="H2691" s="1671">
        <f t="shared" si="355"/>
        <v>0</v>
      </c>
      <c r="I2691" s="1671" t="s">
        <v>49</v>
      </c>
      <c r="J2691" s="1668"/>
      <c r="K2691" s="1668"/>
      <c r="L2691" s="1669"/>
    </row>
    <row r="2692" spans="1:12" s="692" customFormat="1" ht="16.5" hidden="1">
      <c r="A2692" s="1665"/>
      <c r="B2692" s="1666"/>
      <c r="C2692" s="688"/>
      <c r="D2692" s="1667"/>
      <c r="E2692" s="1671"/>
      <c r="F2692" s="1671"/>
      <c r="G2692" s="1669" t="s">
        <v>928</v>
      </c>
      <c r="H2692" s="1673">
        <f>SUM(H2686:H2691)</f>
        <v>0</v>
      </c>
      <c r="I2692" s="1669" t="s">
        <v>49</v>
      </c>
      <c r="J2692" s="1669">
        <f>'Lead &amp; ANALYSIS'!L562</f>
        <v>20856.8</v>
      </c>
      <c r="K2692" s="1668" t="s">
        <v>1516</v>
      </c>
      <c r="L2692" s="1669">
        <f>ROUND(H2692*J2692,0)</f>
        <v>0</v>
      </c>
    </row>
    <row r="2693" spans="1:12" s="692" customFormat="1" ht="16.5" hidden="1">
      <c r="A2693" s="1665"/>
      <c r="B2693" s="1666"/>
      <c r="C2693" s="688"/>
      <c r="D2693" s="1667"/>
      <c r="E2693" s="1671"/>
      <c r="F2693" s="1671"/>
      <c r="G2693" s="1684" t="s">
        <v>1823</v>
      </c>
      <c r="H2693" s="1673">
        <f>H2685+H2670+H2640+H2625+H2610+H2595+H2580+H2565</f>
        <v>0</v>
      </c>
      <c r="I2693" s="1669" t="s">
        <v>49</v>
      </c>
      <c r="J2693" s="1669">
        <f>'Lead &amp; ANALYSIS'!L479</f>
        <v>9543.4</v>
      </c>
      <c r="K2693" s="1668" t="s">
        <v>1516</v>
      </c>
      <c r="L2693" s="1669">
        <f>ROUND(H2693*J2693,0)</f>
        <v>0</v>
      </c>
    </row>
    <row r="2694" spans="1:12" s="692" customFormat="1" ht="33" hidden="1">
      <c r="A2694" s="1665">
        <f>'Lead &amp; ANALYSIS'!A480</f>
        <v>51</v>
      </c>
      <c r="B2694" s="1666" t="str">
        <f>'Lead &amp; ANALYSIS'!B480</f>
        <v>Rigid Smooth centering and shuttering for RCC work using wooden planks and bullahs etc complete.</v>
      </c>
      <c r="C2694" s="688"/>
      <c r="D2694" s="1667"/>
      <c r="E2694" s="688"/>
      <c r="F2694" s="688"/>
      <c r="G2694" s="1674"/>
      <c r="H2694" s="688"/>
      <c r="I2694" s="1668"/>
      <c r="J2694" s="1668"/>
      <c r="K2694" s="1668"/>
      <c r="L2694" s="1669"/>
    </row>
    <row r="2695" spans="1:12" s="692" customFormat="1" ht="33" hidden="1">
      <c r="A2695" s="1665" t="s">
        <v>201</v>
      </c>
      <c r="B2695" s="1666" t="str">
        <f>'Lead &amp; ANALYSIS'!B481</f>
        <v>RCC foundation and plinth bend bases of columns  mass concrete precast slab.</v>
      </c>
      <c r="C2695" s="688"/>
      <c r="D2695" s="1667"/>
      <c r="E2695" s="688"/>
      <c r="F2695" s="688"/>
      <c r="G2695" s="1674"/>
      <c r="H2695" s="688"/>
      <c r="I2695" s="1668"/>
      <c r="J2695" s="1668"/>
      <c r="K2695" s="1668"/>
      <c r="L2695" s="1669"/>
    </row>
    <row r="2696" spans="1:12" s="692" customFormat="1" ht="16.5" hidden="1">
      <c r="A2696" s="1665" t="s">
        <v>413</v>
      </c>
      <c r="B2696" s="1666" t="s">
        <v>384</v>
      </c>
      <c r="C2696" s="688"/>
      <c r="D2696" s="1667"/>
      <c r="E2696" s="688"/>
      <c r="F2696" s="688"/>
      <c r="G2696" s="1674"/>
      <c r="H2696" s="688"/>
      <c r="I2696" s="1668"/>
      <c r="J2696" s="1668"/>
      <c r="K2696" s="1668"/>
      <c r="L2696" s="1669"/>
    </row>
    <row r="2697" spans="1:12" s="692" customFormat="1" ht="16.5" hidden="1">
      <c r="A2697" s="1665"/>
      <c r="B2697" s="1666" t="s">
        <v>2988</v>
      </c>
      <c r="C2697" s="688"/>
      <c r="D2697" s="1667"/>
      <c r="E2697" s="1671">
        <f>'DRAWING CC'!AT95</f>
        <v>3.65</v>
      </c>
      <c r="F2697" s="1672"/>
      <c r="G2697" s="1671">
        <f>'DRAWING CC'!GI53</f>
        <v>0.15</v>
      </c>
      <c r="H2697" s="1671">
        <f t="shared" ref="H2697:H2702" si="356">ROUND(D2697*E2697*G2697,2)</f>
        <v>0</v>
      </c>
      <c r="I2697" s="688" t="s">
        <v>92</v>
      </c>
      <c r="J2697" s="1668"/>
      <c r="K2697" s="1668"/>
      <c r="L2697" s="1669"/>
    </row>
    <row r="2698" spans="1:12" s="692" customFormat="1" ht="16.5" hidden="1">
      <c r="A2698" s="1665"/>
      <c r="B2698" s="1666"/>
      <c r="C2698" s="688"/>
      <c r="D2698" s="1667"/>
      <c r="E2698" s="1671">
        <f>'DRAWING CC'!BE95</f>
        <v>3</v>
      </c>
      <c r="F2698" s="1672"/>
      <c r="G2698" s="1671">
        <f>G2697</f>
        <v>0.15</v>
      </c>
      <c r="H2698" s="1671">
        <f t="shared" si="356"/>
        <v>0</v>
      </c>
      <c r="I2698" s="688" t="s">
        <v>92</v>
      </c>
      <c r="J2698" s="1668"/>
      <c r="K2698" s="1668"/>
      <c r="L2698" s="1669"/>
    </row>
    <row r="2699" spans="1:12" s="692" customFormat="1" ht="16.5" hidden="1">
      <c r="A2699" s="1665"/>
      <c r="B2699" s="1666" t="s">
        <v>2982</v>
      </c>
      <c r="C2699" s="688"/>
      <c r="D2699" s="1667"/>
      <c r="E2699" s="1671">
        <f>'DRAWING CC'!AT129</f>
        <v>3.65</v>
      </c>
      <c r="F2699" s="1672"/>
      <c r="G2699" s="1671">
        <f>G2698</f>
        <v>0.15</v>
      </c>
      <c r="H2699" s="1671">
        <f t="shared" si="356"/>
        <v>0</v>
      </c>
      <c r="I2699" s="688" t="s">
        <v>92</v>
      </c>
      <c r="J2699" s="1668"/>
      <c r="K2699" s="1668"/>
      <c r="L2699" s="1669"/>
    </row>
    <row r="2700" spans="1:12" s="692" customFormat="1" ht="16.5" hidden="1">
      <c r="A2700" s="1665"/>
      <c r="B2700" s="1666"/>
      <c r="C2700" s="688"/>
      <c r="D2700" s="1667"/>
      <c r="E2700" s="1671">
        <f>'DRAWING CC'!BE129</f>
        <v>1.5</v>
      </c>
      <c r="F2700" s="1672"/>
      <c r="G2700" s="1671">
        <f>G2699</f>
        <v>0.15</v>
      </c>
      <c r="H2700" s="1671">
        <f t="shared" si="356"/>
        <v>0</v>
      </c>
      <c r="I2700" s="688" t="s">
        <v>92</v>
      </c>
      <c r="J2700" s="1668"/>
      <c r="K2700" s="1668"/>
      <c r="L2700" s="1669"/>
    </row>
    <row r="2701" spans="1:12" s="692" customFormat="1" ht="16.5" hidden="1">
      <c r="A2701" s="1665"/>
      <c r="B2701" s="1666" t="s">
        <v>2989</v>
      </c>
      <c r="C2701" s="688"/>
      <c r="D2701" s="1667"/>
      <c r="E2701" s="1671">
        <f>'DRAWING CC'!AW62</f>
        <v>4.1500000000000004</v>
      </c>
      <c r="F2701" s="1672"/>
      <c r="G2701" s="1671">
        <f>G2700</f>
        <v>0.15</v>
      </c>
      <c r="H2701" s="1671">
        <f t="shared" si="356"/>
        <v>0</v>
      </c>
      <c r="I2701" s="688" t="s">
        <v>92</v>
      </c>
      <c r="J2701" s="1668"/>
      <c r="K2701" s="1668"/>
      <c r="L2701" s="1669"/>
    </row>
    <row r="2702" spans="1:12" s="692" customFormat="1" ht="16.5" hidden="1">
      <c r="A2702" s="1665"/>
      <c r="B2702" s="1666"/>
      <c r="C2702" s="688"/>
      <c r="D2702" s="1667"/>
      <c r="E2702" s="1671">
        <f>'DRAWING CC'!O106</f>
        <v>5.25</v>
      </c>
      <c r="F2702" s="1672"/>
      <c r="G2702" s="1671">
        <f>G2701</f>
        <v>0.15</v>
      </c>
      <c r="H2702" s="1671">
        <f t="shared" si="356"/>
        <v>0</v>
      </c>
      <c r="I2702" s="688" t="s">
        <v>92</v>
      </c>
      <c r="J2702" s="1668"/>
      <c r="K2702" s="1668"/>
      <c r="L2702" s="1669"/>
    </row>
    <row r="2703" spans="1:12" s="692" customFormat="1" ht="16.5" hidden="1">
      <c r="A2703" s="1665"/>
      <c r="B2703" s="1666"/>
      <c r="C2703" s="688"/>
      <c r="D2703" s="1667"/>
      <c r="E2703" s="1671"/>
      <c r="F2703" s="1671"/>
      <c r="G2703" s="1669" t="s">
        <v>928</v>
      </c>
      <c r="H2703" s="1673">
        <f>SUM(H2697:H2702)</f>
        <v>0</v>
      </c>
      <c r="I2703" s="1668" t="s">
        <v>92</v>
      </c>
      <c r="J2703" s="1669">
        <f>'Lead &amp; ANALYSIS'!L482</f>
        <v>232.1</v>
      </c>
      <c r="K2703" s="1668" t="s">
        <v>1514</v>
      </c>
      <c r="L2703" s="1669">
        <f>ROUND(H2703*J2703,0)</f>
        <v>0</v>
      </c>
    </row>
    <row r="2704" spans="1:12" s="692" customFormat="1" ht="16.5" hidden="1">
      <c r="A2704" s="1665" t="s">
        <v>415</v>
      </c>
      <c r="B2704" s="1666" t="s">
        <v>387</v>
      </c>
      <c r="C2704" s="688"/>
      <c r="D2704" s="1667"/>
      <c r="E2704" s="688"/>
      <c r="F2704" s="688"/>
      <c r="G2704" s="1674"/>
      <c r="H2704" s="688"/>
      <c r="I2704" s="1668"/>
      <c r="J2704" s="1668"/>
      <c r="K2704" s="1668"/>
      <c r="L2704" s="1669"/>
    </row>
    <row r="2705" spans="1:12" s="692" customFormat="1" ht="16.5" hidden="1">
      <c r="A2705" s="1665"/>
      <c r="B2705" s="1666"/>
      <c r="C2705" s="688"/>
      <c r="D2705" s="1667"/>
      <c r="E2705" s="1671">
        <v>3.5</v>
      </c>
      <c r="F2705" s="1672"/>
      <c r="G2705" s="1671">
        <v>4</v>
      </c>
      <c r="H2705" s="1671">
        <f t="shared" ref="H2705:H2710" si="357">ROUND(D2705*E2705*G2705,2)</f>
        <v>0</v>
      </c>
      <c r="I2705" s="1671" t="s">
        <v>92</v>
      </c>
      <c r="J2705" s="1668"/>
      <c r="K2705" s="1668"/>
      <c r="L2705" s="1669"/>
    </row>
    <row r="2706" spans="1:12" s="692" customFormat="1" ht="16.5" hidden="1">
      <c r="A2706" s="1665"/>
      <c r="B2706" s="1666"/>
      <c r="C2706" s="688"/>
      <c r="D2706" s="1667"/>
      <c r="E2706" s="1671">
        <v>3.5</v>
      </c>
      <c r="F2706" s="1672"/>
      <c r="G2706" s="1671">
        <v>4</v>
      </c>
      <c r="H2706" s="1671">
        <f t="shared" si="357"/>
        <v>0</v>
      </c>
      <c r="I2706" s="1671" t="s">
        <v>92</v>
      </c>
      <c r="J2706" s="1668"/>
      <c r="K2706" s="1668"/>
      <c r="L2706" s="1669"/>
    </row>
    <row r="2707" spans="1:12" s="692" customFormat="1" ht="16.5" hidden="1">
      <c r="A2707" s="1665"/>
      <c r="B2707" s="1666"/>
      <c r="C2707" s="688"/>
      <c r="D2707" s="1667"/>
      <c r="E2707" s="1671">
        <v>3.5</v>
      </c>
      <c r="F2707" s="1672"/>
      <c r="G2707" s="1671">
        <v>4</v>
      </c>
      <c r="H2707" s="1671">
        <f t="shared" si="357"/>
        <v>0</v>
      </c>
      <c r="I2707" s="1671" t="s">
        <v>92</v>
      </c>
      <c r="J2707" s="1668"/>
      <c r="K2707" s="1668"/>
      <c r="L2707" s="1669"/>
    </row>
    <row r="2708" spans="1:12" s="692" customFormat="1" ht="16.5" hidden="1">
      <c r="A2708" s="1665"/>
      <c r="B2708" s="1666"/>
      <c r="C2708" s="688"/>
      <c r="D2708" s="1667"/>
      <c r="E2708" s="1671">
        <v>3.5</v>
      </c>
      <c r="F2708" s="1672"/>
      <c r="G2708" s="1671">
        <v>4</v>
      </c>
      <c r="H2708" s="1671">
        <f t="shared" si="357"/>
        <v>0</v>
      </c>
      <c r="I2708" s="1671" t="s">
        <v>92</v>
      </c>
      <c r="J2708" s="1668"/>
      <c r="K2708" s="1668"/>
      <c r="L2708" s="1669"/>
    </row>
    <row r="2709" spans="1:12" s="692" customFormat="1" ht="16.5" hidden="1">
      <c r="A2709" s="1665"/>
      <c r="B2709" s="1666"/>
      <c r="C2709" s="688"/>
      <c r="D2709" s="1667"/>
      <c r="E2709" s="1671">
        <v>3.5</v>
      </c>
      <c r="F2709" s="1672"/>
      <c r="G2709" s="1671">
        <v>4</v>
      </c>
      <c r="H2709" s="1671">
        <f t="shared" si="357"/>
        <v>0</v>
      </c>
      <c r="I2709" s="1671" t="s">
        <v>92</v>
      </c>
      <c r="J2709" s="1668"/>
      <c r="K2709" s="1668"/>
      <c r="L2709" s="1669"/>
    </row>
    <row r="2710" spans="1:12" s="692" customFormat="1" ht="16.5" hidden="1">
      <c r="A2710" s="1665"/>
      <c r="B2710" s="1666"/>
      <c r="C2710" s="688"/>
      <c r="D2710" s="1667"/>
      <c r="E2710" s="1671">
        <v>3.5</v>
      </c>
      <c r="F2710" s="1672"/>
      <c r="G2710" s="1671">
        <v>4</v>
      </c>
      <c r="H2710" s="1671">
        <f t="shared" si="357"/>
        <v>0</v>
      </c>
      <c r="I2710" s="1671" t="s">
        <v>92</v>
      </c>
      <c r="J2710" s="1668"/>
      <c r="K2710" s="1668"/>
      <c r="L2710" s="1669"/>
    </row>
    <row r="2711" spans="1:12" s="692" customFormat="1" ht="16.5" hidden="1">
      <c r="A2711" s="1665"/>
      <c r="B2711" s="1666"/>
      <c r="C2711" s="688"/>
      <c r="D2711" s="1667"/>
      <c r="E2711" s="1671"/>
      <c r="F2711" s="1671"/>
      <c r="G2711" s="1669" t="s">
        <v>928</v>
      </c>
      <c r="H2711" s="1673">
        <f>SUM(H2705:H2710)</f>
        <v>0</v>
      </c>
      <c r="I2711" s="1669" t="s">
        <v>92</v>
      </c>
      <c r="J2711" s="1669">
        <f>'Lead &amp; ANALYSIS'!L483</f>
        <v>267</v>
      </c>
      <c r="K2711" s="1668" t="s">
        <v>1514</v>
      </c>
      <c r="L2711" s="1669">
        <f>ROUND(H2711*J2711,0)</f>
        <v>0</v>
      </c>
    </row>
    <row r="2712" spans="1:12" s="692" customFormat="1" ht="16.5" hidden="1">
      <c r="A2712" s="1665" t="s">
        <v>638</v>
      </c>
      <c r="B2712" s="1666" t="s">
        <v>3622</v>
      </c>
      <c r="C2712" s="688"/>
      <c r="D2712" s="1667"/>
      <c r="E2712" s="688"/>
      <c r="F2712" s="688"/>
      <c r="G2712" s="1674"/>
      <c r="H2712" s="688"/>
      <c r="I2712" s="1668"/>
      <c r="J2712" s="1668"/>
      <c r="K2712" s="1668"/>
      <c r="L2712" s="1669"/>
    </row>
    <row r="2713" spans="1:12" s="692" customFormat="1" ht="16.5" hidden="1">
      <c r="A2713" s="1665"/>
      <c r="B2713" s="1666"/>
      <c r="C2713" s="688"/>
      <c r="D2713" s="1667"/>
      <c r="E2713" s="1671">
        <v>3.5</v>
      </c>
      <c r="F2713" s="1672"/>
      <c r="G2713" s="1671">
        <v>4</v>
      </c>
      <c r="H2713" s="1671">
        <f t="shared" ref="H2713:H2718" si="358">ROUND(D2713*E2713*G2713,2)</f>
        <v>0</v>
      </c>
      <c r="I2713" s="1671" t="s">
        <v>92</v>
      </c>
      <c r="J2713" s="1668"/>
      <c r="K2713" s="1668"/>
      <c r="L2713" s="1669"/>
    </row>
    <row r="2714" spans="1:12" s="692" customFormat="1" ht="16.5" hidden="1">
      <c r="A2714" s="1665"/>
      <c r="B2714" s="1666"/>
      <c r="C2714" s="688"/>
      <c r="D2714" s="1667"/>
      <c r="E2714" s="1671">
        <v>3.5</v>
      </c>
      <c r="F2714" s="1672"/>
      <c r="G2714" s="1671">
        <v>4</v>
      </c>
      <c r="H2714" s="1671">
        <f t="shared" si="358"/>
        <v>0</v>
      </c>
      <c r="I2714" s="1671" t="s">
        <v>92</v>
      </c>
      <c r="J2714" s="1668"/>
      <c r="K2714" s="1668"/>
      <c r="L2714" s="1669"/>
    </row>
    <row r="2715" spans="1:12" s="692" customFormat="1" ht="16.5" hidden="1">
      <c r="A2715" s="1665"/>
      <c r="B2715" s="1666"/>
      <c r="C2715" s="688"/>
      <c r="D2715" s="1667"/>
      <c r="E2715" s="1671">
        <v>3.5</v>
      </c>
      <c r="F2715" s="1672"/>
      <c r="G2715" s="1671">
        <v>4</v>
      </c>
      <c r="H2715" s="1671">
        <f t="shared" si="358"/>
        <v>0</v>
      </c>
      <c r="I2715" s="1671" t="s">
        <v>92</v>
      </c>
      <c r="J2715" s="1668"/>
      <c r="K2715" s="1668"/>
      <c r="L2715" s="1669"/>
    </row>
    <row r="2716" spans="1:12" s="692" customFormat="1" ht="16.5" hidden="1">
      <c r="A2716" s="1665"/>
      <c r="B2716" s="1666"/>
      <c r="C2716" s="688"/>
      <c r="D2716" s="1667"/>
      <c r="E2716" s="1671">
        <v>3.5</v>
      </c>
      <c r="F2716" s="1672"/>
      <c r="G2716" s="1671">
        <v>4</v>
      </c>
      <c r="H2716" s="1671">
        <f t="shared" si="358"/>
        <v>0</v>
      </c>
      <c r="I2716" s="1671" t="s">
        <v>92</v>
      </c>
      <c r="J2716" s="1668"/>
      <c r="K2716" s="1668"/>
      <c r="L2716" s="1669"/>
    </row>
    <row r="2717" spans="1:12" s="692" customFormat="1" ht="16.5" hidden="1">
      <c r="A2717" s="1665"/>
      <c r="B2717" s="1666"/>
      <c r="C2717" s="688"/>
      <c r="D2717" s="1667"/>
      <c r="E2717" s="1671">
        <v>3.5</v>
      </c>
      <c r="F2717" s="1672"/>
      <c r="G2717" s="1671">
        <v>4</v>
      </c>
      <c r="H2717" s="1671">
        <f t="shared" si="358"/>
        <v>0</v>
      </c>
      <c r="I2717" s="1671" t="s">
        <v>92</v>
      </c>
      <c r="J2717" s="1668"/>
      <c r="K2717" s="1668"/>
      <c r="L2717" s="1669"/>
    </row>
    <row r="2718" spans="1:12" s="692" customFormat="1" ht="16.5" hidden="1">
      <c r="A2718" s="1665"/>
      <c r="B2718" s="1666"/>
      <c r="C2718" s="688"/>
      <c r="D2718" s="1667"/>
      <c r="E2718" s="1671">
        <v>3.5</v>
      </c>
      <c r="F2718" s="1672"/>
      <c r="G2718" s="1671">
        <v>4</v>
      </c>
      <c r="H2718" s="1671">
        <f t="shared" si="358"/>
        <v>0</v>
      </c>
      <c r="I2718" s="1671" t="s">
        <v>92</v>
      </c>
      <c r="J2718" s="1668"/>
      <c r="K2718" s="1668"/>
      <c r="L2718" s="1669"/>
    </row>
    <row r="2719" spans="1:12" s="692" customFormat="1" ht="16.5" hidden="1">
      <c r="A2719" s="1665"/>
      <c r="B2719" s="1666"/>
      <c r="C2719" s="688"/>
      <c r="D2719" s="1667"/>
      <c r="E2719" s="1671"/>
      <c r="F2719" s="1671"/>
      <c r="G2719" s="1669" t="s">
        <v>928</v>
      </c>
      <c r="H2719" s="1673">
        <f>SUM(H2713:H2718)</f>
        <v>0</v>
      </c>
      <c r="I2719" s="1669" t="s">
        <v>92</v>
      </c>
      <c r="J2719" s="1669">
        <f>'Lead &amp; ANALYSIS'!L484</f>
        <v>308.8</v>
      </c>
      <c r="K2719" s="1668" t="s">
        <v>1514</v>
      </c>
      <c r="L2719" s="1669">
        <f>ROUND(H2719*J2719,0)</f>
        <v>0</v>
      </c>
    </row>
    <row r="2720" spans="1:12" s="692" customFormat="1" ht="16.5" hidden="1">
      <c r="A2720" s="1665" t="s">
        <v>640</v>
      </c>
      <c r="B2720" s="1666" t="s">
        <v>3636</v>
      </c>
      <c r="C2720" s="688"/>
      <c r="D2720" s="1667"/>
      <c r="E2720" s="688"/>
      <c r="F2720" s="688"/>
      <c r="G2720" s="1674"/>
      <c r="H2720" s="688"/>
      <c r="I2720" s="1668"/>
      <c r="J2720" s="1668"/>
      <c r="K2720" s="1668"/>
      <c r="L2720" s="1669"/>
    </row>
    <row r="2721" spans="1:12" s="692" customFormat="1" ht="16.5" hidden="1">
      <c r="A2721" s="1665"/>
      <c r="B2721" s="1666"/>
      <c r="C2721" s="688"/>
      <c r="D2721" s="1667"/>
      <c r="E2721" s="1671">
        <v>3.5</v>
      </c>
      <c r="F2721" s="1672"/>
      <c r="G2721" s="1671">
        <v>4</v>
      </c>
      <c r="H2721" s="1671">
        <f t="shared" ref="H2721:H2726" si="359">ROUND(D2721*E2721*G2721,2)</f>
        <v>0</v>
      </c>
      <c r="I2721" s="1671" t="s">
        <v>92</v>
      </c>
      <c r="J2721" s="1668"/>
      <c r="K2721" s="1668"/>
      <c r="L2721" s="1669"/>
    </row>
    <row r="2722" spans="1:12" s="692" customFormat="1" ht="16.5" hidden="1">
      <c r="A2722" s="1665"/>
      <c r="B2722" s="1666"/>
      <c r="C2722" s="688"/>
      <c r="D2722" s="1667"/>
      <c r="E2722" s="1671">
        <v>3.5</v>
      </c>
      <c r="F2722" s="1672"/>
      <c r="G2722" s="1671">
        <v>4</v>
      </c>
      <c r="H2722" s="1671">
        <f t="shared" si="359"/>
        <v>0</v>
      </c>
      <c r="I2722" s="1671" t="s">
        <v>92</v>
      </c>
      <c r="J2722" s="1668"/>
      <c r="K2722" s="1668"/>
      <c r="L2722" s="1669"/>
    </row>
    <row r="2723" spans="1:12" s="692" customFormat="1" ht="16.5" hidden="1">
      <c r="A2723" s="1665"/>
      <c r="B2723" s="1666"/>
      <c r="C2723" s="688"/>
      <c r="D2723" s="1667"/>
      <c r="E2723" s="1671">
        <v>3.5</v>
      </c>
      <c r="F2723" s="1672"/>
      <c r="G2723" s="1671">
        <v>4</v>
      </c>
      <c r="H2723" s="1671">
        <f t="shared" si="359"/>
        <v>0</v>
      </c>
      <c r="I2723" s="1671" t="s">
        <v>92</v>
      </c>
      <c r="J2723" s="1668"/>
      <c r="K2723" s="1668"/>
      <c r="L2723" s="1669"/>
    </row>
    <row r="2724" spans="1:12" s="692" customFormat="1" ht="16.5" hidden="1">
      <c r="A2724" s="1665"/>
      <c r="B2724" s="1666"/>
      <c r="C2724" s="688"/>
      <c r="D2724" s="1667"/>
      <c r="E2724" s="1671">
        <v>3.5</v>
      </c>
      <c r="F2724" s="1672"/>
      <c r="G2724" s="1671">
        <v>4</v>
      </c>
      <c r="H2724" s="1671">
        <f t="shared" si="359"/>
        <v>0</v>
      </c>
      <c r="I2724" s="1671" t="s">
        <v>92</v>
      </c>
      <c r="J2724" s="1668"/>
      <c r="K2724" s="1668"/>
      <c r="L2724" s="1669"/>
    </row>
    <row r="2725" spans="1:12" s="692" customFormat="1" ht="16.5" hidden="1">
      <c r="A2725" s="1665"/>
      <c r="B2725" s="1666"/>
      <c r="C2725" s="688"/>
      <c r="D2725" s="1667"/>
      <c r="E2725" s="1671">
        <v>3.5</v>
      </c>
      <c r="F2725" s="1672"/>
      <c r="G2725" s="1671">
        <v>4</v>
      </c>
      <c r="H2725" s="1671">
        <f t="shared" si="359"/>
        <v>0</v>
      </c>
      <c r="I2725" s="1671" t="s">
        <v>92</v>
      </c>
      <c r="J2725" s="1668"/>
      <c r="K2725" s="1668"/>
      <c r="L2725" s="1669"/>
    </row>
    <row r="2726" spans="1:12" s="692" customFormat="1" ht="16.5" hidden="1">
      <c r="A2726" s="1665"/>
      <c r="B2726" s="1666"/>
      <c r="C2726" s="688"/>
      <c r="D2726" s="1667"/>
      <c r="E2726" s="1671">
        <v>3.5</v>
      </c>
      <c r="F2726" s="1672"/>
      <c r="G2726" s="1671">
        <v>4</v>
      </c>
      <c r="H2726" s="1671">
        <f t="shared" si="359"/>
        <v>0</v>
      </c>
      <c r="I2726" s="1671" t="s">
        <v>92</v>
      </c>
      <c r="J2726" s="1668"/>
      <c r="K2726" s="1668"/>
      <c r="L2726" s="1669"/>
    </row>
    <row r="2727" spans="1:12" s="692" customFormat="1" ht="16.5" hidden="1">
      <c r="A2727" s="1665"/>
      <c r="B2727" s="1666"/>
      <c r="C2727" s="688"/>
      <c r="D2727" s="1667"/>
      <c r="E2727" s="1671"/>
      <c r="F2727" s="1671"/>
      <c r="G2727" s="1669" t="s">
        <v>928</v>
      </c>
      <c r="H2727" s="1673">
        <f>SUM(H2721:H2726)</f>
        <v>0</v>
      </c>
      <c r="I2727" s="1669" t="s">
        <v>92</v>
      </c>
      <c r="J2727" s="1669">
        <f>'Lead &amp; ANALYSIS'!L485</f>
        <v>358.9</v>
      </c>
      <c r="K2727" s="1668" t="s">
        <v>1514</v>
      </c>
      <c r="L2727" s="1669">
        <f>ROUND(H2727*J2727,0)</f>
        <v>0</v>
      </c>
    </row>
    <row r="2728" spans="1:12" s="692" customFormat="1" ht="33" hidden="1">
      <c r="A2728" s="1665" t="s">
        <v>220</v>
      </c>
      <c r="B2728" s="1666" t="str">
        <f>'Lead &amp; ANALYSIS'!B486</f>
        <v>RCC floor &amp; roof slab,landing,balconies, projecting sunshade &amp; chajja upto 4.3m ht.</v>
      </c>
      <c r="C2728" s="688"/>
      <c r="D2728" s="1667"/>
      <c r="E2728" s="688"/>
      <c r="F2728" s="688"/>
      <c r="G2728" s="1674"/>
      <c r="H2728" s="688"/>
      <c r="I2728" s="1668"/>
      <c r="J2728" s="1668"/>
      <c r="K2728" s="1668"/>
      <c r="L2728" s="1669"/>
    </row>
    <row r="2729" spans="1:12" s="692" customFormat="1" ht="16.5" hidden="1">
      <c r="A2729" s="1665" t="s">
        <v>413</v>
      </c>
      <c r="B2729" s="1666" t="s">
        <v>384</v>
      </c>
      <c r="C2729" s="688"/>
      <c r="D2729" s="1667"/>
      <c r="E2729" s="688"/>
      <c r="F2729" s="688"/>
      <c r="G2729" s="1674"/>
      <c r="H2729" s="688"/>
      <c r="I2729" s="1668"/>
      <c r="J2729" s="1668"/>
      <c r="K2729" s="1668"/>
      <c r="L2729" s="1669"/>
    </row>
    <row r="2730" spans="1:12" s="692" customFormat="1" ht="16.5" hidden="1">
      <c r="A2730" s="1665"/>
      <c r="B2730" s="1666" t="s">
        <v>481</v>
      </c>
      <c r="C2730" s="688"/>
      <c r="D2730" s="1667"/>
      <c r="E2730" s="1671">
        <f>E1413</f>
        <v>1.2</v>
      </c>
      <c r="F2730" s="1672"/>
      <c r="G2730" s="1671">
        <f>F1413</f>
        <v>0.6</v>
      </c>
      <c r="H2730" s="1671">
        <f t="shared" ref="H2730:H2735" si="360">ROUND(D2730*E2730*G2730,2)</f>
        <v>0</v>
      </c>
      <c r="I2730" s="1671" t="s">
        <v>92</v>
      </c>
      <c r="J2730" s="1668"/>
      <c r="K2730" s="1668"/>
      <c r="L2730" s="1669"/>
    </row>
    <row r="2731" spans="1:12" s="692" customFormat="1" ht="16.5" hidden="1">
      <c r="A2731" s="1665"/>
      <c r="B2731" s="1666"/>
      <c r="C2731" s="688"/>
      <c r="D2731" s="1667"/>
      <c r="E2731" s="1671">
        <f>E1414</f>
        <v>4.1500000000000004</v>
      </c>
      <c r="F2731" s="1672"/>
      <c r="G2731" s="1671">
        <f>G2730</f>
        <v>0.6</v>
      </c>
      <c r="H2731" s="1671">
        <f t="shared" si="360"/>
        <v>0</v>
      </c>
      <c r="I2731" s="1671" t="s">
        <v>92</v>
      </c>
      <c r="J2731" s="1668"/>
      <c r="K2731" s="1668"/>
      <c r="L2731" s="1669"/>
    </row>
    <row r="2732" spans="1:12" s="692" customFormat="1" ht="16.5" hidden="1">
      <c r="A2732" s="1665"/>
      <c r="B2732" s="1666"/>
      <c r="C2732" s="688"/>
      <c r="D2732" s="1667"/>
      <c r="E2732" s="1671">
        <f>E2730</f>
        <v>1.2</v>
      </c>
      <c r="F2732" s="1672"/>
      <c r="G2732" s="1671">
        <v>0.05</v>
      </c>
      <c r="H2732" s="1671">
        <f t="shared" si="360"/>
        <v>0</v>
      </c>
      <c r="I2732" s="1671" t="s">
        <v>92</v>
      </c>
      <c r="J2732" s="1668"/>
      <c r="K2732" s="1668"/>
      <c r="L2732" s="1669"/>
    </row>
    <row r="2733" spans="1:12" s="692" customFormat="1" ht="16.5" hidden="1">
      <c r="A2733" s="1665"/>
      <c r="B2733" s="1666"/>
      <c r="C2733" s="688"/>
      <c r="D2733" s="1667"/>
      <c r="E2733" s="1671">
        <f>E2732</f>
        <v>1.2</v>
      </c>
      <c r="F2733" s="1672"/>
      <c r="G2733" s="1671">
        <f>G2732</f>
        <v>0.05</v>
      </c>
      <c r="H2733" s="1671">
        <f t="shared" si="360"/>
        <v>0</v>
      </c>
      <c r="I2733" s="1671" t="s">
        <v>92</v>
      </c>
      <c r="J2733" s="1668"/>
      <c r="K2733" s="1668"/>
      <c r="L2733" s="1669"/>
    </row>
    <row r="2734" spans="1:12" s="692" customFormat="1" ht="16.5" hidden="1">
      <c r="A2734" s="1665"/>
      <c r="B2734" s="1666"/>
      <c r="C2734" s="688"/>
      <c r="D2734" s="1667"/>
      <c r="E2734" s="1671">
        <f>E2731</f>
        <v>4.1500000000000004</v>
      </c>
      <c r="F2734" s="1672"/>
      <c r="G2734" s="1671">
        <f>G2733</f>
        <v>0.05</v>
      </c>
      <c r="H2734" s="1671">
        <f t="shared" si="360"/>
        <v>0</v>
      </c>
      <c r="I2734" s="1671" t="s">
        <v>92</v>
      </c>
      <c r="J2734" s="1668"/>
      <c r="K2734" s="1668"/>
      <c r="L2734" s="1669"/>
    </row>
    <row r="2735" spans="1:12" s="692" customFormat="1" ht="16.5" hidden="1">
      <c r="A2735" s="1665"/>
      <c r="B2735" s="1666"/>
      <c r="C2735" s="688"/>
      <c r="D2735" s="1667"/>
      <c r="E2735" s="1671">
        <f>E2734</f>
        <v>4.1500000000000004</v>
      </c>
      <c r="F2735" s="1672"/>
      <c r="G2735" s="1671">
        <f>G2734</f>
        <v>0.05</v>
      </c>
      <c r="H2735" s="1671">
        <f t="shared" si="360"/>
        <v>0</v>
      </c>
      <c r="I2735" s="1671" t="s">
        <v>92</v>
      </c>
      <c r="J2735" s="1668"/>
      <c r="K2735" s="1668"/>
      <c r="L2735" s="1669"/>
    </row>
    <row r="2736" spans="1:12" s="692" customFormat="1" ht="16.5" hidden="1">
      <c r="A2736" s="1665"/>
      <c r="B2736" s="1666" t="s">
        <v>2990</v>
      </c>
      <c r="C2736" s="688"/>
      <c r="D2736" s="1667"/>
      <c r="E2736" s="1671">
        <f>'DRAWING CC'!AT95</f>
        <v>3.65</v>
      </c>
      <c r="F2736" s="1672">
        <f>'DRAWING CC'!BE95</f>
        <v>3</v>
      </c>
      <c r="G2736" s="1671"/>
      <c r="H2736" s="1671">
        <f t="shared" ref="H2736:H2741" si="361">ROUND(D2736*E2736*F2736,2)</f>
        <v>0</v>
      </c>
      <c r="I2736" s="1671" t="s">
        <v>92</v>
      </c>
      <c r="J2736" s="1668"/>
      <c r="K2736" s="1668"/>
      <c r="L2736" s="1669"/>
    </row>
    <row r="2737" spans="1:12" s="692" customFormat="1" ht="16.5" hidden="1">
      <c r="A2737" s="1665"/>
      <c r="B2737" s="1666"/>
      <c r="C2737" s="688"/>
      <c r="D2737" s="1667"/>
      <c r="E2737" s="1671">
        <f>'DRAWING CC'!AT129</f>
        <v>3.65</v>
      </c>
      <c r="F2737" s="1672">
        <f>'DRAWING CC'!BE129</f>
        <v>1.5</v>
      </c>
      <c r="G2737" s="1671"/>
      <c r="H2737" s="1671">
        <f t="shared" si="361"/>
        <v>0</v>
      </c>
      <c r="I2737" s="1671" t="s">
        <v>92</v>
      </c>
      <c r="J2737" s="1668"/>
      <c r="K2737" s="1668"/>
      <c r="L2737" s="1669"/>
    </row>
    <row r="2738" spans="1:12" s="692" customFormat="1" ht="16.5" hidden="1">
      <c r="A2738" s="1665"/>
      <c r="B2738" s="1666" t="s">
        <v>1872</v>
      </c>
      <c r="C2738" s="688"/>
      <c r="D2738" s="1667"/>
      <c r="E2738" s="1671">
        <f>E1563</f>
        <v>4.45</v>
      </c>
      <c r="F2738" s="1672">
        <v>0.15</v>
      </c>
      <c r="G2738" s="1671"/>
      <c r="H2738" s="1671">
        <f t="shared" si="361"/>
        <v>0</v>
      </c>
      <c r="I2738" s="1671" t="s">
        <v>92</v>
      </c>
      <c r="J2738" s="1668"/>
      <c r="K2738" s="1668"/>
      <c r="L2738" s="1669"/>
    </row>
    <row r="2739" spans="1:12" s="692" customFormat="1" ht="16.5" hidden="1">
      <c r="A2739" s="1665"/>
      <c r="B2739" s="1666"/>
      <c r="C2739" s="688"/>
      <c r="D2739" s="1667"/>
      <c r="E2739" s="1671">
        <f>F1563-0.3</f>
        <v>5.25</v>
      </c>
      <c r="F2739" s="1672">
        <f>F2738</f>
        <v>0.15</v>
      </c>
      <c r="G2739" s="1671"/>
      <c r="H2739" s="1671">
        <f t="shared" si="361"/>
        <v>0</v>
      </c>
      <c r="I2739" s="1671" t="s">
        <v>92</v>
      </c>
      <c r="J2739" s="1668"/>
      <c r="K2739" s="1668"/>
      <c r="L2739" s="1669"/>
    </row>
    <row r="2740" spans="1:12" s="692" customFormat="1" ht="16.5" hidden="1">
      <c r="A2740" s="1665"/>
      <c r="B2740" s="1666"/>
      <c r="C2740" s="688"/>
      <c r="D2740" s="1667"/>
      <c r="E2740" s="1671">
        <f>E2738</f>
        <v>4.45</v>
      </c>
      <c r="F2740" s="1672">
        <v>0.1</v>
      </c>
      <c r="G2740" s="1671"/>
      <c r="H2740" s="1671">
        <f t="shared" si="361"/>
        <v>0</v>
      </c>
      <c r="I2740" s="1671" t="s">
        <v>92</v>
      </c>
      <c r="J2740" s="1668"/>
      <c r="K2740" s="1668"/>
      <c r="L2740" s="1669"/>
    </row>
    <row r="2741" spans="1:12" s="692" customFormat="1" ht="16.5" hidden="1">
      <c r="A2741" s="1665"/>
      <c r="B2741" s="1666"/>
      <c r="C2741" s="688"/>
      <c r="D2741" s="1667"/>
      <c r="E2741" s="1671">
        <f>F1563</f>
        <v>5.55</v>
      </c>
      <c r="F2741" s="1672">
        <f>F2740</f>
        <v>0.1</v>
      </c>
      <c r="G2741" s="1671"/>
      <c r="H2741" s="1671">
        <f t="shared" si="361"/>
        <v>0</v>
      </c>
      <c r="I2741" s="1671" t="s">
        <v>92</v>
      </c>
      <c r="J2741" s="1668"/>
      <c r="K2741" s="1668"/>
      <c r="L2741" s="1669"/>
    </row>
    <row r="2742" spans="1:12" s="692" customFormat="1" ht="16.5" hidden="1">
      <c r="A2742" s="1665"/>
      <c r="B2742" s="1666"/>
      <c r="C2742" s="688"/>
      <c r="D2742" s="1667"/>
      <c r="E2742" s="1671"/>
      <c r="F2742" s="1671"/>
      <c r="G2742" s="1685" t="s">
        <v>928</v>
      </c>
      <c r="H2742" s="1686">
        <f>SUM(H2730:H2741)</f>
        <v>0</v>
      </c>
      <c r="I2742" s="1669" t="s">
        <v>92</v>
      </c>
      <c r="J2742" s="1669">
        <f>'Lead &amp; ANALYSIS'!L487</f>
        <v>667.4</v>
      </c>
      <c r="K2742" s="1668" t="s">
        <v>1514</v>
      </c>
      <c r="L2742" s="1669">
        <f>ROUND(H2742*J2742,0)</f>
        <v>0</v>
      </c>
    </row>
    <row r="2743" spans="1:12" s="692" customFormat="1" ht="16.5" hidden="1">
      <c r="A2743" s="1665" t="s">
        <v>415</v>
      </c>
      <c r="B2743" s="1666" t="s">
        <v>387</v>
      </c>
      <c r="C2743" s="688"/>
      <c r="D2743" s="1667"/>
      <c r="E2743" s="688"/>
      <c r="F2743" s="688"/>
      <c r="G2743" s="1674"/>
      <c r="H2743" s="688"/>
      <c r="I2743" s="1668"/>
      <c r="J2743" s="1668"/>
      <c r="K2743" s="1668"/>
      <c r="L2743" s="1669"/>
    </row>
    <row r="2744" spans="1:12" s="692" customFormat="1" ht="16.5" hidden="1">
      <c r="A2744" s="1665"/>
      <c r="B2744" s="1666"/>
      <c r="C2744" s="688"/>
      <c r="D2744" s="1667"/>
      <c r="E2744" s="1671">
        <v>3.5</v>
      </c>
      <c r="F2744" s="1672"/>
      <c r="G2744" s="1671">
        <v>4</v>
      </c>
      <c r="H2744" s="1671">
        <f t="shared" ref="H2744:H2749" si="362">ROUND(D2744*E2744*G2744,2)</f>
        <v>0</v>
      </c>
      <c r="I2744" s="1671" t="s">
        <v>92</v>
      </c>
      <c r="J2744" s="1668"/>
      <c r="K2744" s="1668"/>
      <c r="L2744" s="1669"/>
    </row>
    <row r="2745" spans="1:12" s="692" customFormat="1" ht="16.5" hidden="1">
      <c r="A2745" s="1665"/>
      <c r="B2745" s="1666"/>
      <c r="C2745" s="688"/>
      <c r="D2745" s="1667"/>
      <c r="E2745" s="1671">
        <v>3.5</v>
      </c>
      <c r="F2745" s="1672"/>
      <c r="G2745" s="1671">
        <v>4</v>
      </c>
      <c r="H2745" s="1671">
        <f t="shared" si="362"/>
        <v>0</v>
      </c>
      <c r="I2745" s="1671" t="s">
        <v>92</v>
      </c>
      <c r="J2745" s="1668"/>
      <c r="K2745" s="1668"/>
      <c r="L2745" s="1669"/>
    </row>
    <row r="2746" spans="1:12" s="692" customFormat="1" ht="16.5" hidden="1">
      <c r="A2746" s="1665"/>
      <c r="B2746" s="1666"/>
      <c r="C2746" s="688"/>
      <c r="D2746" s="1667"/>
      <c r="E2746" s="1671">
        <v>3.5</v>
      </c>
      <c r="F2746" s="1672"/>
      <c r="G2746" s="1671">
        <v>4</v>
      </c>
      <c r="H2746" s="1671">
        <f t="shared" si="362"/>
        <v>0</v>
      </c>
      <c r="I2746" s="1671" t="s">
        <v>92</v>
      </c>
      <c r="J2746" s="1668"/>
      <c r="K2746" s="1668"/>
      <c r="L2746" s="1669"/>
    </row>
    <row r="2747" spans="1:12" s="692" customFormat="1" ht="16.5" hidden="1">
      <c r="A2747" s="1665"/>
      <c r="B2747" s="1666"/>
      <c r="C2747" s="688"/>
      <c r="D2747" s="1667"/>
      <c r="E2747" s="1671">
        <v>3.5</v>
      </c>
      <c r="F2747" s="1672"/>
      <c r="G2747" s="1671">
        <v>4</v>
      </c>
      <c r="H2747" s="1671">
        <f t="shared" si="362"/>
        <v>0</v>
      </c>
      <c r="I2747" s="1671" t="s">
        <v>92</v>
      </c>
      <c r="J2747" s="1668"/>
      <c r="K2747" s="1668"/>
      <c r="L2747" s="1669"/>
    </row>
    <row r="2748" spans="1:12" s="692" customFormat="1" ht="16.5" hidden="1">
      <c r="A2748" s="1665"/>
      <c r="B2748" s="1666"/>
      <c r="C2748" s="688"/>
      <c r="D2748" s="1667"/>
      <c r="E2748" s="1671">
        <v>3.5</v>
      </c>
      <c r="F2748" s="1672"/>
      <c r="G2748" s="1671">
        <v>4</v>
      </c>
      <c r="H2748" s="1671">
        <f t="shared" si="362"/>
        <v>0</v>
      </c>
      <c r="I2748" s="1671" t="s">
        <v>92</v>
      </c>
      <c r="J2748" s="1668"/>
      <c r="K2748" s="1668"/>
      <c r="L2748" s="1669"/>
    </row>
    <row r="2749" spans="1:12" s="692" customFormat="1" ht="16.5" hidden="1">
      <c r="A2749" s="1665"/>
      <c r="B2749" s="1666"/>
      <c r="C2749" s="688"/>
      <c r="D2749" s="1667"/>
      <c r="E2749" s="1671">
        <v>3.5</v>
      </c>
      <c r="F2749" s="1672"/>
      <c r="G2749" s="1671">
        <v>4</v>
      </c>
      <c r="H2749" s="1671">
        <f t="shared" si="362"/>
        <v>0</v>
      </c>
      <c r="I2749" s="1671" t="s">
        <v>92</v>
      </c>
      <c r="J2749" s="1668"/>
      <c r="K2749" s="1668"/>
      <c r="L2749" s="1669"/>
    </row>
    <row r="2750" spans="1:12" s="692" customFormat="1" ht="16.5" hidden="1">
      <c r="A2750" s="1665"/>
      <c r="B2750" s="1666"/>
      <c r="C2750" s="688"/>
      <c r="D2750" s="1667"/>
      <c r="E2750" s="1671"/>
      <c r="F2750" s="1671"/>
      <c r="G2750" s="1685" t="s">
        <v>928</v>
      </c>
      <c r="H2750" s="1673">
        <f>SUM(H2744:H2749)</f>
        <v>0</v>
      </c>
      <c r="I2750" s="1669" t="s">
        <v>92</v>
      </c>
      <c r="J2750" s="1669">
        <f>'Lead &amp; ANALYSIS'!L488</f>
        <v>731.7</v>
      </c>
      <c r="K2750" s="1668" t="s">
        <v>1514</v>
      </c>
      <c r="L2750" s="1669">
        <f>ROUND(H2750*J2750,0)</f>
        <v>0</v>
      </c>
    </row>
    <row r="2751" spans="1:12" s="692" customFormat="1" ht="16.5" hidden="1">
      <c r="A2751" s="1665" t="s">
        <v>638</v>
      </c>
      <c r="B2751" s="1666" t="s">
        <v>3622</v>
      </c>
      <c r="C2751" s="688"/>
      <c r="D2751" s="1667"/>
      <c r="E2751" s="688"/>
      <c r="F2751" s="688"/>
      <c r="G2751" s="1674"/>
      <c r="H2751" s="688"/>
      <c r="I2751" s="1668"/>
      <c r="J2751" s="1668"/>
      <c r="K2751" s="1668"/>
      <c r="L2751" s="1669"/>
    </row>
    <row r="2752" spans="1:12" s="692" customFormat="1" ht="16.5" hidden="1">
      <c r="A2752" s="1665"/>
      <c r="B2752" s="1666"/>
      <c r="C2752" s="688"/>
      <c r="D2752" s="1667"/>
      <c r="E2752" s="1671">
        <v>3.5</v>
      </c>
      <c r="F2752" s="1672"/>
      <c r="G2752" s="1671">
        <v>4</v>
      </c>
      <c r="H2752" s="1671">
        <f t="shared" ref="H2752:H2757" si="363">ROUND(D2752*E2752*G2752,2)</f>
        <v>0</v>
      </c>
      <c r="I2752" s="1671" t="s">
        <v>92</v>
      </c>
      <c r="J2752" s="1668"/>
      <c r="K2752" s="1668"/>
      <c r="L2752" s="1669"/>
    </row>
    <row r="2753" spans="1:12" s="692" customFormat="1" ht="16.5" hidden="1">
      <c r="A2753" s="1665"/>
      <c r="B2753" s="1666"/>
      <c r="C2753" s="688"/>
      <c r="D2753" s="1667"/>
      <c r="E2753" s="1671">
        <v>3.5</v>
      </c>
      <c r="F2753" s="1672"/>
      <c r="G2753" s="1671">
        <v>4</v>
      </c>
      <c r="H2753" s="1671">
        <f t="shared" si="363"/>
        <v>0</v>
      </c>
      <c r="I2753" s="1671" t="s">
        <v>92</v>
      </c>
      <c r="J2753" s="1668"/>
      <c r="K2753" s="1668"/>
      <c r="L2753" s="1669"/>
    </row>
    <row r="2754" spans="1:12" s="692" customFormat="1" ht="16.5" hidden="1">
      <c r="A2754" s="1665"/>
      <c r="B2754" s="1666"/>
      <c r="C2754" s="688"/>
      <c r="D2754" s="1667"/>
      <c r="E2754" s="1671">
        <v>3.5</v>
      </c>
      <c r="F2754" s="1672"/>
      <c r="G2754" s="1671">
        <v>4</v>
      </c>
      <c r="H2754" s="1671">
        <f t="shared" si="363"/>
        <v>0</v>
      </c>
      <c r="I2754" s="1671" t="s">
        <v>92</v>
      </c>
      <c r="J2754" s="1668"/>
      <c r="K2754" s="1668"/>
      <c r="L2754" s="1669"/>
    </row>
    <row r="2755" spans="1:12" s="692" customFormat="1" ht="16.5" hidden="1">
      <c r="A2755" s="1665"/>
      <c r="B2755" s="1666"/>
      <c r="C2755" s="688"/>
      <c r="D2755" s="1667"/>
      <c r="E2755" s="1671">
        <v>3.5</v>
      </c>
      <c r="F2755" s="1672"/>
      <c r="G2755" s="1671">
        <v>4</v>
      </c>
      <c r="H2755" s="1671">
        <f t="shared" si="363"/>
        <v>0</v>
      </c>
      <c r="I2755" s="1671" t="s">
        <v>92</v>
      </c>
      <c r="J2755" s="1668"/>
      <c r="K2755" s="1668"/>
      <c r="L2755" s="1669"/>
    </row>
    <row r="2756" spans="1:12" s="692" customFormat="1" ht="16.5" hidden="1">
      <c r="A2756" s="1665"/>
      <c r="B2756" s="1666"/>
      <c r="C2756" s="688"/>
      <c r="D2756" s="1667"/>
      <c r="E2756" s="1671">
        <v>3.5</v>
      </c>
      <c r="F2756" s="1672"/>
      <c r="G2756" s="1671">
        <v>4</v>
      </c>
      <c r="H2756" s="1671">
        <f t="shared" si="363"/>
        <v>0</v>
      </c>
      <c r="I2756" s="1671" t="s">
        <v>92</v>
      </c>
      <c r="J2756" s="1668"/>
      <c r="K2756" s="1668"/>
      <c r="L2756" s="1669"/>
    </row>
    <row r="2757" spans="1:12" s="692" customFormat="1" ht="16.5" hidden="1">
      <c r="A2757" s="1665"/>
      <c r="B2757" s="1666"/>
      <c r="C2757" s="688"/>
      <c r="D2757" s="1667"/>
      <c r="E2757" s="1671">
        <v>3.5</v>
      </c>
      <c r="F2757" s="1672"/>
      <c r="G2757" s="1671">
        <v>4</v>
      </c>
      <c r="H2757" s="1671">
        <f t="shared" si="363"/>
        <v>0</v>
      </c>
      <c r="I2757" s="1671" t="s">
        <v>92</v>
      </c>
      <c r="J2757" s="1668"/>
      <c r="K2757" s="1668"/>
      <c r="L2757" s="1669"/>
    </row>
    <row r="2758" spans="1:12" s="692" customFormat="1" ht="16.5" hidden="1">
      <c r="A2758" s="1665"/>
      <c r="B2758" s="1666"/>
      <c r="C2758" s="688"/>
      <c r="D2758" s="1667"/>
      <c r="E2758" s="1671"/>
      <c r="F2758" s="1671"/>
      <c r="G2758" s="1685" t="s">
        <v>928</v>
      </c>
      <c r="H2758" s="1673">
        <f>SUM(H2752:H2757)</f>
        <v>0</v>
      </c>
      <c r="I2758" s="1669" t="s">
        <v>92</v>
      </c>
      <c r="J2758" s="1669">
        <f>'Lead &amp; ANALYSIS'!L489</f>
        <v>808.8</v>
      </c>
      <c r="K2758" s="1668" t="s">
        <v>1514</v>
      </c>
      <c r="L2758" s="1669">
        <f>ROUND(H2758*J2758,0)</f>
        <v>0</v>
      </c>
    </row>
    <row r="2759" spans="1:12" s="692" customFormat="1" ht="16.5" hidden="1">
      <c r="A2759" s="1665" t="s">
        <v>640</v>
      </c>
      <c r="B2759" s="1666" t="s">
        <v>3636</v>
      </c>
      <c r="C2759" s="688"/>
      <c r="D2759" s="1667"/>
      <c r="E2759" s="688"/>
      <c r="F2759" s="688"/>
      <c r="G2759" s="1674"/>
      <c r="H2759" s="688"/>
      <c r="I2759" s="1668"/>
      <c r="J2759" s="1668"/>
      <c r="K2759" s="1668"/>
      <c r="L2759" s="1669"/>
    </row>
    <row r="2760" spans="1:12" s="692" customFormat="1" ht="16.5" hidden="1">
      <c r="A2760" s="1665"/>
      <c r="B2760" s="1666"/>
      <c r="C2760" s="688"/>
      <c r="D2760" s="1667"/>
      <c r="E2760" s="1671">
        <v>3.5</v>
      </c>
      <c r="F2760" s="1672"/>
      <c r="G2760" s="1671">
        <v>4</v>
      </c>
      <c r="H2760" s="1671">
        <f t="shared" ref="H2760:H2765" si="364">ROUND(D2760*E2760*G2760,2)</f>
        <v>0</v>
      </c>
      <c r="I2760" s="1671" t="s">
        <v>92</v>
      </c>
      <c r="J2760" s="1668"/>
      <c r="K2760" s="1668"/>
      <c r="L2760" s="1669"/>
    </row>
    <row r="2761" spans="1:12" s="692" customFormat="1" ht="16.5" hidden="1">
      <c r="A2761" s="1665"/>
      <c r="B2761" s="1666"/>
      <c r="C2761" s="688"/>
      <c r="D2761" s="1667"/>
      <c r="E2761" s="1671">
        <v>3.5</v>
      </c>
      <c r="F2761" s="1672"/>
      <c r="G2761" s="1671">
        <v>4</v>
      </c>
      <c r="H2761" s="1671">
        <f t="shared" si="364"/>
        <v>0</v>
      </c>
      <c r="I2761" s="1671" t="s">
        <v>92</v>
      </c>
      <c r="J2761" s="1668"/>
      <c r="K2761" s="1668"/>
      <c r="L2761" s="1669"/>
    </row>
    <row r="2762" spans="1:12" s="692" customFormat="1" ht="16.5" hidden="1">
      <c r="A2762" s="1665"/>
      <c r="B2762" s="1666"/>
      <c r="C2762" s="688"/>
      <c r="D2762" s="1667"/>
      <c r="E2762" s="1671">
        <v>3.5</v>
      </c>
      <c r="F2762" s="1672"/>
      <c r="G2762" s="1671">
        <v>4</v>
      </c>
      <c r="H2762" s="1671">
        <f t="shared" si="364"/>
        <v>0</v>
      </c>
      <c r="I2762" s="1671" t="s">
        <v>92</v>
      </c>
      <c r="J2762" s="1668"/>
      <c r="K2762" s="1668"/>
      <c r="L2762" s="1669"/>
    </row>
    <row r="2763" spans="1:12" s="692" customFormat="1" ht="16.5" hidden="1">
      <c r="A2763" s="1665"/>
      <c r="B2763" s="1666"/>
      <c r="C2763" s="688"/>
      <c r="D2763" s="1667"/>
      <c r="E2763" s="1671">
        <v>3.5</v>
      </c>
      <c r="F2763" s="1672"/>
      <c r="G2763" s="1671">
        <v>4</v>
      </c>
      <c r="H2763" s="1671">
        <f t="shared" si="364"/>
        <v>0</v>
      </c>
      <c r="I2763" s="1671" t="s">
        <v>92</v>
      </c>
      <c r="J2763" s="1668"/>
      <c r="K2763" s="1668"/>
      <c r="L2763" s="1669"/>
    </row>
    <row r="2764" spans="1:12" s="692" customFormat="1" ht="16.5" hidden="1">
      <c r="A2764" s="1665"/>
      <c r="B2764" s="1666"/>
      <c r="C2764" s="688"/>
      <c r="D2764" s="1667"/>
      <c r="E2764" s="1671">
        <v>3.5</v>
      </c>
      <c r="F2764" s="1672"/>
      <c r="G2764" s="1671">
        <v>4</v>
      </c>
      <c r="H2764" s="1671">
        <f t="shared" si="364"/>
        <v>0</v>
      </c>
      <c r="I2764" s="1671" t="s">
        <v>92</v>
      </c>
      <c r="J2764" s="1668"/>
      <c r="K2764" s="1668"/>
      <c r="L2764" s="1669"/>
    </row>
    <row r="2765" spans="1:12" s="692" customFormat="1" ht="16.5" hidden="1">
      <c r="A2765" s="1665"/>
      <c r="B2765" s="1666"/>
      <c r="C2765" s="688"/>
      <c r="D2765" s="1667"/>
      <c r="E2765" s="1671">
        <v>3.5</v>
      </c>
      <c r="F2765" s="1672"/>
      <c r="G2765" s="1671">
        <v>4</v>
      </c>
      <c r="H2765" s="1671">
        <f t="shared" si="364"/>
        <v>0</v>
      </c>
      <c r="I2765" s="1671" t="s">
        <v>92</v>
      </c>
      <c r="J2765" s="1668"/>
      <c r="K2765" s="1668"/>
      <c r="L2765" s="1669"/>
    </row>
    <row r="2766" spans="1:12" s="692" customFormat="1" ht="16.5" hidden="1">
      <c r="A2766" s="1665"/>
      <c r="B2766" s="1666"/>
      <c r="C2766" s="688"/>
      <c r="D2766" s="1667"/>
      <c r="E2766" s="1671"/>
      <c r="F2766" s="1671"/>
      <c r="G2766" s="1685" t="s">
        <v>928</v>
      </c>
      <c r="H2766" s="1673">
        <f>SUM(H2760:H2765)</f>
        <v>0</v>
      </c>
      <c r="I2766" s="1669" t="s">
        <v>92</v>
      </c>
      <c r="J2766" s="1669">
        <f>'Lead &amp; ANALYSIS'!L490</f>
        <v>892.7</v>
      </c>
      <c r="K2766" s="1668" t="s">
        <v>1514</v>
      </c>
      <c r="L2766" s="1669">
        <f>ROUND(H2766*J2766,0)</f>
        <v>0</v>
      </c>
    </row>
    <row r="2767" spans="1:12" s="692" customFormat="1" ht="16.5" hidden="1">
      <c r="A2767" s="1665" t="s">
        <v>244</v>
      </c>
      <c r="B2767" s="1666" t="str">
        <f>'Lead &amp; ANALYSIS'!B491</f>
        <v>RCC stairs excluding landing, but including railing.</v>
      </c>
      <c r="C2767" s="688"/>
      <c r="D2767" s="1667"/>
      <c r="E2767" s="688"/>
      <c r="F2767" s="688"/>
      <c r="G2767" s="1674"/>
      <c r="H2767" s="688"/>
      <c r="I2767" s="1668"/>
      <c r="J2767" s="1668"/>
      <c r="K2767" s="1668"/>
      <c r="L2767" s="1669"/>
    </row>
    <row r="2768" spans="1:12" s="692" customFormat="1" ht="16.5" hidden="1">
      <c r="A2768" s="1665" t="s">
        <v>413</v>
      </c>
      <c r="B2768" s="1666" t="s">
        <v>384</v>
      </c>
      <c r="C2768" s="688"/>
      <c r="D2768" s="1667"/>
      <c r="E2768" s="688"/>
      <c r="F2768" s="688"/>
      <c r="G2768" s="1674"/>
      <c r="H2768" s="688"/>
      <c r="I2768" s="1668"/>
      <c r="J2768" s="1668"/>
      <c r="K2768" s="1668"/>
      <c r="L2768" s="1669"/>
    </row>
    <row r="2769" spans="1:12" s="692" customFormat="1" ht="16.5" hidden="1">
      <c r="A2769" s="1665"/>
      <c r="B2769" s="1666"/>
      <c r="C2769" s="688"/>
      <c r="D2769" s="1667"/>
      <c r="E2769" s="1671">
        <v>3.5</v>
      </c>
      <c r="F2769" s="1672"/>
      <c r="G2769" s="1671">
        <v>4</v>
      </c>
      <c r="H2769" s="1671">
        <f t="shared" ref="H2769:H2774" si="365">ROUND(D2769*E2769*G2769,2)</f>
        <v>0</v>
      </c>
      <c r="I2769" s="688" t="s">
        <v>92</v>
      </c>
      <c r="J2769" s="1668"/>
      <c r="K2769" s="1668"/>
      <c r="L2769" s="1669"/>
    </row>
    <row r="2770" spans="1:12" s="692" customFormat="1" ht="16.5" hidden="1">
      <c r="A2770" s="1665"/>
      <c r="B2770" s="1666"/>
      <c r="C2770" s="688"/>
      <c r="D2770" s="1667"/>
      <c r="E2770" s="1671">
        <v>3.5</v>
      </c>
      <c r="F2770" s="1672"/>
      <c r="G2770" s="1671">
        <v>4</v>
      </c>
      <c r="H2770" s="1671">
        <f t="shared" si="365"/>
        <v>0</v>
      </c>
      <c r="I2770" s="688" t="s">
        <v>92</v>
      </c>
      <c r="J2770" s="1668"/>
      <c r="K2770" s="1668"/>
      <c r="L2770" s="1669"/>
    </row>
    <row r="2771" spans="1:12" s="692" customFormat="1" ht="16.5" hidden="1">
      <c r="A2771" s="1665"/>
      <c r="B2771" s="1666"/>
      <c r="C2771" s="688"/>
      <c r="D2771" s="1667"/>
      <c r="E2771" s="1671">
        <v>3.5</v>
      </c>
      <c r="F2771" s="1672"/>
      <c r="G2771" s="1671">
        <v>4</v>
      </c>
      <c r="H2771" s="1671">
        <f t="shared" si="365"/>
        <v>0</v>
      </c>
      <c r="I2771" s="688" t="s">
        <v>92</v>
      </c>
      <c r="J2771" s="1668"/>
      <c r="K2771" s="1668"/>
      <c r="L2771" s="1669"/>
    </row>
    <row r="2772" spans="1:12" s="692" customFormat="1" ht="16.5" hidden="1">
      <c r="A2772" s="1665"/>
      <c r="B2772" s="1666"/>
      <c r="C2772" s="688"/>
      <c r="D2772" s="1667"/>
      <c r="E2772" s="1671">
        <v>3.5</v>
      </c>
      <c r="F2772" s="1672"/>
      <c r="G2772" s="1671">
        <v>4</v>
      </c>
      <c r="H2772" s="1671">
        <f t="shared" si="365"/>
        <v>0</v>
      </c>
      <c r="I2772" s="688" t="s">
        <v>92</v>
      </c>
      <c r="J2772" s="1668"/>
      <c r="K2772" s="1668"/>
      <c r="L2772" s="1669"/>
    </row>
    <row r="2773" spans="1:12" s="692" customFormat="1" ht="16.5" hidden="1">
      <c r="A2773" s="1665"/>
      <c r="B2773" s="1666"/>
      <c r="C2773" s="688"/>
      <c r="D2773" s="1667"/>
      <c r="E2773" s="1671">
        <v>3.5</v>
      </c>
      <c r="F2773" s="1672"/>
      <c r="G2773" s="1671">
        <v>4</v>
      </c>
      <c r="H2773" s="1671">
        <f t="shared" si="365"/>
        <v>0</v>
      </c>
      <c r="I2773" s="688" t="s">
        <v>92</v>
      </c>
      <c r="J2773" s="1668"/>
      <c r="K2773" s="1668"/>
      <c r="L2773" s="1669"/>
    </row>
    <row r="2774" spans="1:12" s="692" customFormat="1" ht="16.5" hidden="1">
      <c r="A2774" s="1665"/>
      <c r="B2774" s="1666"/>
      <c r="C2774" s="688"/>
      <c r="D2774" s="1667"/>
      <c r="E2774" s="1671">
        <v>3.5</v>
      </c>
      <c r="F2774" s="1672"/>
      <c r="G2774" s="1671">
        <v>4</v>
      </c>
      <c r="H2774" s="1671">
        <f t="shared" si="365"/>
        <v>0</v>
      </c>
      <c r="I2774" s="688" t="s">
        <v>92</v>
      </c>
      <c r="J2774" s="1668"/>
      <c r="K2774" s="1668"/>
      <c r="L2774" s="1669"/>
    </row>
    <row r="2775" spans="1:12" s="692" customFormat="1" ht="16.5" hidden="1">
      <c r="A2775" s="1665"/>
      <c r="B2775" s="1666"/>
      <c r="C2775" s="688"/>
      <c r="D2775" s="1667"/>
      <c r="E2775" s="1671"/>
      <c r="F2775" s="1671"/>
      <c r="G2775" s="1669" t="s">
        <v>928</v>
      </c>
      <c r="H2775" s="1673">
        <f>SUM(H2769:H2774)</f>
        <v>0</v>
      </c>
      <c r="I2775" s="1668" t="s">
        <v>92</v>
      </c>
      <c r="J2775" s="1669">
        <f>'Lead &amp; ANALYSIS'!L492</f>
        <v>886.1</v>
      </c>
      <c r="K2775" s="1668" t="s">
        <v>1514</v>
      </c>
      <c r="L2775" s="1669">
        <f>ROUND(H2775*J2775,0)</f>
        <v>0</v>
      </c>
    </row>
    <row r="2776" spans="1:12" s="692" customFormat="1" ht="16.5" hidden="1">
      <c r="A2776" s="1665" t="s">
        <v>415</v>
      </c>
      <c r="B2776" s="1666" t="s">
        <v>387</v>
      </c>
      <c r="C2776" s="688"/>
      <c r="D2776" s="1667"/>
      <c r="E2776" s="688"/>
      <c r="F2776" s="688"/>
      <c r="G2776" s="1674"/>
      <c r="H2776" s="688"/>
      <c r="I2776" s="1668"/>
      <c r="J2776" s="1668"/>
      <c r="K2776" s="1668"/>
      <c r="L2776" s="1669"/>
    </row>
    <row r="2777" spans="1:12" s="692" customFormat="1" ht="16.5" hidden="1">
      <c r="A2777" s="1665"/>
      <c r="B2777" s="1666"/>
      <c r="C2777" s="688"/>
      <c r="D2777" s="1667"/>
      <c r="E2777" s="1671">
        <v>3.5</v>
      </c>
      <c r="F2777" s="1672"/>
      <c r="G2777" s="1671">
        <v>4</v>
      </c>
      <c r="H2777" s="1671">
        <f t="shared" ref="H2777:H2782" si="366">ROUND(D2777*E2777*G2777,2)</f>
        <v>0</v>
      </c>
      <c r="I2777" s="1671" t="s">
        <v>92</v>
      </c>
      <c r="J2777" s="1668"/>
      <c r="K2777" s="1668"/>
      <c r="L2777" s="1669"/>
    </row>
    <row r="2778" spans="1:12" s="692" customFormat="1" ht="16.5" hidden="1">
      <c r="A2778" s="1665"/>
      <c r="B2778" s="1666"/>
      <c r="C2778" s="688"/>
      <c r="D2778" s="1667"/>
      <c r="E2778" s="1671">
        <v>3.5</v>
      </c>
      <c r="F2778" s="1672"/>
      <c r="G2778" s="1671">
        <v>4</v>
      </c>
      <c r="H2778" s="1671">
        <f t="shared" si="366"/>
        <v>0</v>
      </c>
      <c r="I2778" s="1671" t="s">
        <v>92</v>
      </c>
      <c r="J2778" s="1668"/>
      <c r="K2778" s="1668"/>
      <c r="L2778" s="1669"/>
    </row>
    <row r="2779" spans="1:12" s="692" customFormat="1" ht="16.5" hidden="1">
      <c r="A2779" s="1665"/>
      <c r="B2779" s="1666"/>
      <c r="C2779" s="688"/>
      <c r="D2779" s="1667"/>
      <c r="E2779" s="1671">
        <v>3.5</v>
      </c>
      <c r="F2779" s="1672"/>
      <c r="G2779" s="1671">
        <v>4</v>
      </c>
      <c r="H2779" s="1671">
        <f t="shared" si="366"/>
        <v>0</v>
      </c>
      <c r="I2779" s="1671" t="s">
        <v>92</v>
      </c>
      <c r="J2779" s="1668"/>
      <c r="K2779" s="1668"/>
      <c r="L2779" s="1669"/>
    </row>
    <row r="2780" spans="1:12" s="692" customFormat="1" ht="16.5" hidden="1">
      <c r="A2780" s="1665"/>
      <c r="B2780" s="1666"/>
      <c r="C2780" s="688"/>
      <c r="D2780" s="1667"/>
      <c r="E2780" s="1671">
        <v>3.5</v>
      </c>
      <c r="F2780" s="1672"/>
      <c r="G2780" s="1671">
        <v>4</v>
      </c>
      <c r="H2780" s="1671">
        <f t="shared" si="366"/>
        <v>0</v>
      </c>
      <c r="I2780" s="1671" t="s">
        <v>92</v>
      </c>
      <c r="J2780" s="1668"/>
      <c r="K2780" s="1668"/>
      <c r="L2780" s="1669"/>
    </row>
    <row r="2781" spans="1:12" s="692" customFormat="1" ht="16.5" hidden="1">
      <c r="A2781" s="1665"/>
      <c r="B2781" s="1666"/>
      <c r="C2781" s="688"/>
      <c r="D2781" s="1667"/>
      <c r="E2781" s="1671">
        <v>3.5</v>
      </c>
      <c r="F2781" s="1672"/>
      <c r="G2781" s="1671">
        <v>4</v>
      </c>
      <c r="H2781" s="1671">
        <f t="shared" si="366"/>
        <v>0</v>
      </c>
      <c r="I2781" s="1671" t="s">
        <v>92</v>
      </c>
      <c r="J2781" s="1668"/>
      <c r="K2781" s="1668"/>
      <c r="L2781" s="1669"/>
    </row>
    <row r="2782" spans="1:12" s="692" customFormat="1" ht="16.5" hidden="1">
      <c r="A2782" s="1665"/>
      <c r="B2782" s="1666"/>
      <c r="C2782" s="688"/>
      <c r="D2782" s="1667"/>
      <c r="E2782" s="1671">
        <v>3.5</v>
      </c>
      <c r="F2782" s="1672"/>
      <c r="G2782" s="1671">
        <v>4</v>
      </c>
      <c r="H2782" s="1671">
        <f t="shared" si="366"/>
        <v>0</v>
      </c>
      <c r="I2782" s="1671" t="s">
        <v>92</v>
      </c>
      <c r="J2782" s="1668"/>
      <c r="K2782" s="1668"/>
      <c r="L2782" s="1669"/>
    </row>
    <row r="2783" spans="1:12" s="692" customFormat="1" ht="16.5" hidden="1">
      <c r="A2783" s="1665"/>
      <c r="B2783" s="1666"/>
      <c r="C2783" s="688"/>
      <c r="D2783" s="1667"/>
      <c r="E2783" s="1671"/>
      <c r="F2783" s="1671"/>
      <c r="G2783" s="1669" t="s">
        <v>928</v>
      </c>
      <c r="H2783" s="1673">
        <f>SUM(H2777:H2782)</f>
        <v>0</v>
      </c>
      <c r="I2783" s="1669" t="s">
        <v>92</v>
      </c>
      <c r="J2783" s="1669">
        <f>'Lead &amp; ANALYSIS'!L493</f>
        <v>989.9</v>
      </c>
      <c r="K2783" s="1668" t="s">
        <v>1514</v>
      </c>
      <c r="L2783" s="1669">
        <f>ROUND(H2783*J2783,0)</f>
        <v>0</v>
      </c>
    </row>
    <row r="2784" spans="1:12" s="692" customFormat="1" ht="16.5" hidden="1">
      <c r="A2784" s="1665" t="s">
        <v>638</v>
      </c>
      <c r="B2784" s="1666" t="s">
        <v>3622</v>
      </c>
      <c r="C2784" s="688"/>
      <c r="D2784" s="1667"/>
      <c r="E2784" s="688"/>
      <c r="F2784" s="688"/>
      <c r="G2784" s="1674"/>
      <c r="H2784" s="688"/>
      <c r="I2784" s="1668"/>
      <c r="J2784" s="1668"/>
      <c r="K2784" s="1668"/>
      <c r="L2784" s="1669"/>
    </row>
    <row r="2785" spans="1:12" s="692" customFormat="1" ht="16.5" hidden="1">
      <c r="A2785" s="1665"/>
      <c r="B2785" s="1666"/>
      <c r="C2785" s="688"/>
      <c r="D2785" s="1667"/>
      <c r="E2785" s="1671">
        <v>3.5</v>
      </c>
      <c r="F2785" s="1672"/>
      <c r="G2785" s="1671">
        <v>4</v>
      </c>
      <c r="H2785" s="1671">
        <f t="shared" ref="H2785:H2790" si="367">ROUND(D2785*E2785*G2785,2)</f>
        <v>0</v>
      </c>
      <c r="I2785" s="1671" t="s">
        <v>92</v>
      </c>
      <c r="J2785" s="1668"/>
      <c r="K2785" s="1668"/>
      <c r="L2785" s="1669"/>
    </row>
    <row r="2786" spans="1:12" s="692" customFormat="1" ht="16.5" hidden="1">
      <c r="A2786" s="1665"/>
      <c r="B2786" s="1666"/>
      <c r="C2786" s="688"/>
      <c r="D2786" s="1667"/>
      <c r="E2786" s="1671">
        <v>3.5</v>
      </c>
      <c r="F2786" s="1672"/>
      <c r="G2786" s="1671">
        <v>4</v>
      </c>
      <c r="H2786" s="1671">
        <f t="shared" si="367"/>
        <v>0</v>
      </c>
      <c r="I2786" s="1671" t="s">
        <v>92</v>
      </c>
      <c r="J2786" s="1668"/>
      <c r="K2786" s="1668"/>
      <c r="L2786" s="1669"/>
    </row>
    <row r="2787" spans="1:12" s="692" customFormat="1" ht="16.5" hidden="1">
      <c r="A2787" s="1665"/>
      <c r="B2787" s="1666"/>
      <c r="C2787" s="688"/>
      <c r="D2787" s="1667"/>
      <c r="E2787" s="1671">
        <v>3.5</v>
      </c>
      <c r="F2787" s="1672"/>
      <c r="G2787" s="1671">
        <v>4</v>
      </c>
      <c r="H2787" s="1671">
        <f t="shared" si="367"/>
        <v>0</v>
      </c>
      <c r="I2787" s="1671" t="s">
        <v>92</v>
      </c>
      <c r="J2787" s="1668"/>
      <c r="K2787" s="1668"/>
      <c r="L2787" s="1669"/>
    </row>
    <row r="2788" spans="1:12" s="692" customFormat="1" ht="16.5" hidden="1">
      <c r="A2788" s="1665"/>
      <c r="B2788" s="1666"/>
      <c r="C2788" s="688"/>
      <c r="D2788" s="1667"/>
      <c r="E2788" s="1671">
        <v>3.5</v>
      </c>
      <c r="F2788" s="1672"/>
      <c r="G2788" s="1671">
        <v>4</v>
      </c>
      <c r="H2788" s="1671">
        <f t="shared" si="367"/>
        <v>0</v>
      </c>
      <c r="I2788" s="1671" t="s">
        <v>92</v>
      </c>
      <c r="J2788" s="1668"/>
      <c r="K2788" s="1668"/>
      <c r="L2788" s="1669"/>
    </row>
    <row r="2789" spans="1:12" s="692" customFormat="1" ht="16.5" hidden="1">
      <c r="A2789" s="1665"/>
      <c r="B2789" s="1666"/>
      <c r="C2789" s="688"/>
      <c r="D2789" s="1667"/>
      <c r="E2789" s="1671">
        <v>3.5</v>
      </c>
      <c r="F2789" s="1672"/>
      <c r="G2789" s="1671">
        <v>4</v>
      </c>
      <c r="H2789" s="1671">
        <f t="shared" si="367"/>
        <v>0</v>
      </c>
      <c r="I2789" s="1671" t="s">
        <v>92</v>
      </c>
      <c r="J2789" s="1668"/>
      <c r="K2789" s="1668"/>
      <c r="L2789" s="1669"/>
    </row>
    <row r="2790" spans="1:12" s="692" customFormat="1" ht="16.5" hidden="1">
      <c r="A2790" s="1665"/>
      <c r="B2790" s="1666"/>
      <c r="C2790" s="688"/>
      <c r="D2790" s="1667"/>
      <c r="E2790" s="1671">
        <v>3.5</v>
      </c>
      <c r="F2790" s="1672"/>
      <c r="G2790" s="1671">
        <v>4</v>
      </c>
      <c r="H2790" s="1671">
        <f t="shared" si="367"/>
        <v>0</v>
      </c>
      <c r="I2790" s="1671" t="s">
        <v>92</v>
      </c>
      <c r="J2790" s="1668"/>
      <c r="K2790" s="1668"/>
      <c r="L2790" s="1669"/>
    </row>
    <row r="2791" spans="1:12" s="692" customFormat="1" ht="16.5" hidden="1">
      <c r="A2791" s="1665"/>
      <c r="B2791" s="1666"/>
      <c r="C2791" s="688"/>
      <c r="D2791" s="1667"/>
      <c r="E2791" s="1671"/>
      <c r="F2791" s="1671"/>
      <c r="G2791" s="1669" t="s">
        <v>928</v>
      </c>
      <c r="H2791" s="1673">
        <f>SUM(H2785:H2790)</f>
        <v>0</v>
      </c>
      <c r="I2791" s="1669" t="s">
        <v>92</v>
      </c>
      <c r="J2791" s="1669">
        <f>'Lead &amp; ANALYSIS'!L494</f>
        <v>1125.5</v>
      </c>
      <c r="K2791" s="1668" t="s">
        <v>1514</v>
      </c>
      <c r="L2791" s="1669">
        <f>ROUND(H2791*J2791,0)</f>
        <v>0</v>
      </c>
    </row>
    <row r="2792" spans="1:12" s="692" customFormat="1" ht="16.5" hidden="1">
      <c r="A2792" s="1665" t="s">
        <v>640</v>
      </c>
      <c r="B2792" s="1666" t="s">
        <v>3636</v>
      </c>
      <c r="C2792" s="688"/>
      <c r="D2792" s="1667"/>
      <c r="E2792" s="688"/>
      <c r="F2792" s="688"/>
      <c r="G2792" s="1674"/>
      <c r="H2792" s="688"/>
      <c r="I2792" s="1668"/>
      <c r="J2792" s="1668"/>
      <c r="K2792" s="1668"/>
      <c r="L2792" s="1669"/>
    </row>
    <row r="2793" spans="1:12" s="692" customFormat="1" ht="16.5" hidden="1">
      <c r="A2793" s="1665"/>
      <c r="B2793" s="1666"/>
      <c r="C2793" s="688"/>
      <c r="D2793" s="1667"/>
      <c r="E2793" s="1671">
        <v>3.5</v>
      </c>
      <c r="F2793" s="1672"/>
      <c r="G2793" s="1671">
        <v>4</v>
      </c>
      <c r="H2793" s="1671">
        <f t="shared" ref="H2793:H2798" si="368">ROUND(D2793*E2793*G2793,2)</f>
        <v>0</v>
      </c>
      <c r="I2793" s="1671" t="s">
        <v>92</v>
      </c>
      <c r="J2793" s="1668"/>
      <c r="K2793" s="1668"/>
      <c r="L2793" s="1669"/>
    </row>
    <row r="2794" spans="1:12" s="692" customFormat="1" ht="16.5" hidden="1">
      <c r="A2794" s="1665"/>
      <c r="B2794" s="1666"/>
      <c r="C2794" s="688"/>
      <c r="D2794" s="1667"/>
      <c r="E2794" s="1671">
        <v>3.5</v>
      </c>
      <c r="F2794" s="1672"/>
      <c r="G2794" s="1671">
        <v>4</v>
      </c>
      <c r="H2794" s="1671">
        <f t="shared" si="368"/>
        <v>0</v>
      </c>
      <c r="I2794" s="1671" t="s">
        <v>92</v>
      </c>
      <c r="J2794" s="1668"/>
      <c r="K2794" s="1668"/>
      <c r="L2794" s="1669"/>
    </row>
    <row r="2795" spans="1:12" s="692" customFormat="1" ht="16.5" hidden="1">
      <c r="A2795" s="1665"/>
      <c r="B2795" s="1666"/>
      <c r="C2795" s="688"/>
      <c r="D2795" s="1667"/>
      <c r="E2795" s="1671">
        <v>3.5</v>
      </c>
      <c r="F2795" s="1672"/>
      <c r="G2795" s="1671">
        <v>4</v>
      </c>
      <c r="H2795" s="1671">
        <f t="shared" si="368"/>
        <v>0</v>
      </c>
      <c r="I2795" s="1671" t="s">
        <v>92</v>
      </c>
      <c r="J2795" s="1668"/>
      <c r="K2795" s="1668"/>
      <c r="L2795" s="1669"/>
    </row>
    <row r="2796" spans="1:12" s="692" customFormat="1" ht="16.5" hidden="1">
      <c r="A2796" s="1665"/>
      <c r="B2796" s="1666"/>
      <c r="C2796" s="688"/>
      <c r="D2796" s="1667"/>
      <c r="E2796" s="1671">
        <v>3.5</v>
      </c>
      <c r="F2796" s="1672"/>
      <c r="G2796" s="1671">
        <v>4</v>
      </c>
      <c r="H2796" s="1671">
        <f t="shared" si="368"/>
        <v>0</v>
      </c>
      <c r="I2796" s="1671" t="s">
        <v>92</v>
      </c>
      <c r="J2796" s="1668"/>
      <c r="K2796" s="1668"/>
      <c r="L2796" s="1669"/>
    </row>
    <row r="2797" spans="1:12" s="692" customFormat="1" ht="16.5" hidden="1">
      <c r="A2797" s="1665"/>
      <c r="B2797" s="1666"/>
      <c r="C2797" s="688"/>
      <c r="D2797" s="1667"/>
      <c r="E2797" s="1671">
        <v>3.5</v>
      </c>
      <c r="F2797" s="1672"/>
      <c r="G2797" s="1671">
        <v>4</v>
      </c>
      <c r="H2797" s="1671">
        <f t="shared" si="368"/>
        <v>0</v>
      </c>
      <c r="I2797" s="1671" t="s">
        <v>92</v>
      </c>
      <c r="J2797" s="1668"/>
      <c r="K2797" s="1668"/>
      <c r="L2797" s="1669"/>
    </row>
    <row r="2798" spans="1:12" s="692" customFormat="1" ht="16.5" hidden="1">
      <c r="A2798" s="1665"/>
      <c r="B2798" s="1666"/>
      <c r="C2798" s="688"/>
      <c r="D2798" s="1667"/>
      <c r="E2798" s="1671">
        <v>3.5</v>
      </c>
      <c r="F2798" s="1672"/>
      <c r="G2798" s="1671">
        <v>4</v>
      </c>
      <c r="H2798" s="1671">
        <f t="shared" si="368"/>
        <v>0</v>
      </c>
      <c r="I2798" s="1671" t="s">
        <v>92</v>
      </c>
      <c r="J2798" s="1668"/>
      <c r="K2798" s="1668"/>
      <c r="L2798" s="1669"/>
    </row>
    <row r="2799" spans="1:12" s="692" customFormat="1" ht="16.5" hidden="1">
      <c r="A2799" s="1665"/>
      <c r="B2799" s="1666"/>
      <c r="C2799" s="688"/>
      <c r="D2799" s="1667"/>
      <c r="E2799" s="1671"/>
      <c r="F2799" s="1671"/>
      <c r="G2799" s="1669" t="s">
        <v>928</v>
      </c>
      <c r="H2799" s="1673">
        <f>SUM(H2793:H2798)</f>
        <v>0</v>
      </c>
      <c r="I2799" s="1669" t="s">
        <v>92</v>
      </c>
      <c r="J2799" s="1669">
        <f>'Lead &amp; ANALYSIS'!L495</f>
        <v>1276.4000000000001</v>
      </c>
      <c r="K2799" s="1668" t="s">
        <v>1514</v>
      </c>
      <c r="L2799" s="1669">
        <f>ROUND(H2799*J2799,0)</f>
        <v>0</v>
      </c>
    </row>
    <row r="2800" spans="1:12" s="692" customFormat="1" ht="16.5" hidden="1">
      <c r="A2800" s="1665" t="s">
        <v>291</v>
      </c>
      <c r="B2800" s="1666" t="str">
        <f>'Lead &amp; ANALYSIS'!B496</f>
        <v>RCC beam, column, girder and bressmer etc.</v>
      </c>
      <c r="C2800" s="688"/>
      <c r="D2800" s="1667"/>
      <c r="E2800" s="688"/>
      <c r="F2800" s="688"/>
      <c r="G2800" s="1674"/>
      <c r="H2800" s="688"/>
      <c r="I2800" s="1668"/>
      <c r="J2800" s="1668"/>
      <c r="K2800" s="1668"/>
      <c r="L2800" s="1669"/>
    </row>
    <row r="2801" spans="1:12" s="692" customFormat="1" ht="16.5" hidden="1">
      <c r="A2801" s="1665" t="s">
        <v>413</v>
      </c>
      <c r="B2801" s="1666" t="s">
        <v>384</v>
      </c>
      <c r="C2801" s="688"/>
      <c r="D2801" s="1667"/>
      <c r="E2801" s="688"/>
      <c r="F2801" s="688"/>
      <c r="G2801" s="1674"/>
      <c r="H2801" s="688"/>
      <c r="I2801" s="1668"/>
      <c r="J2801" s="1668"/>
      <c r="K2801" s="1668"/>
      <c r="L2801" s="1669"/>
    </row>
    <row r="2802" spans="1:12" s="692" customFormat="1" ht="16.5" hidden="1">
      <c r="A2802" s="1665"/>
      <c r="B2802" s="1666"/>
      <c r="C2802" s="688"/>
      <c r="D2802" s="1667"/>
      <c r="E2802" s="1671">
        <v>3.5</v>
      </c>
      <c r="F2802" s="1672"/>
      <c r="G2802" s="1671">
        <v>4</v>
      </c>
      <c r="H2802" s="1671">
        <f t="shared" ref="H2802:H2807" si="369">ROUND(D2802*E2802*G2802,2)</f>
        <v>0</v>
      </c>
      <c r="I2802" s="1671" t="s">
        <v>92</v>
      </c>
      <c r="J2802" s="1668"/>
      <c r="K2802" s="1668"/>
      <c r="L2802" s="1669"/>
    </row>
    <row r="2803" spans="1:12" s="692" customFormat="1" ht="16.5" hidden="1">
      <c r="A2803" s="1665"/>
      <c r="B2803" s="1666"/>
      <c r="C2803" s="688"/>
      <c r="D2803" s="1667"/>
      <c r="E2803" s="1671">
        <v>3.5</v>
      </c>
      <c r="F2803" s="1672"/>
      <c r="G2803" s="1671">
        <v>4</v>
      </c>
      <c r="H2803" s="1671">
        <f t="shared" si="369"/>
        <v>0</v>
      </c>
      <c r="I2803" s="1671" t="s">
        <v>92</v>
      </c>
      <c r="J2803" s="1668"/>
      <c r="K2803" s="1668"/>
      <c r="L2803" s="1669"/>
    </row>
    <row r="2804" spans="1:12" s="692" customFormat="1" ht="16.5" hidden="1">
      <c r="A2804" s="1665"/>
      <c r="B2804" s="1666"/>
      <c r="C2804" s="688"/>
      <c r="D2804" s="1667"/>
      <c r="E2804" s="1671">
        <v>3.5</v>
      </c>
      <c r="F2804" s="1672"/>
      <c r="G2804" s="1671">
        <v>4</v>
      </c>
      <c r="H2804" s="1671">
        <f t="shared" si="369"/>
        <v>0</v>
      </c>
      <c r="I2804" s="1671" t="s">
        <v>92</v>
      </c>
      <c r="J2804" s="1668"/>
      <c r="K2804" s="1668"/>
      <c r="L2804" s="1669"/>
    </row>
    <row r="2805" spans="1:12" s="692" customFormat="1" ht="16.5" hidden="1">
      <c r="A2805" s="1665"/>
      <c r="B2805" s="1666"/>
      <c r="C2805" s="688"/>
      <c r="D2805" s="1667"/>
      <c r="E2805" s="1671">
        <v>3.5</v>
      </c>
      <c r="F2805" s="1672"/>
      <c r="G2805" s="1671">
        <v>4</v>
      </c>
      <c r="H2805" s="1671">
        <f t="shared" si="369"/>
        <v>0</v>
      </c>
      <c r="I2805" s="1671" t="s">
        <v>92</v>
      </c>
      <c r="J2805" s="1668"/>
      <c r="K2805" s="1668"/>
      <c r="L2805" s="1669"/>
    </row>
    <row r="2806" spans="1:12" s="692" customFormat="1" ht="16.5" hidden="1">
      <c r="A2806" s="1665"/>
      <c r="B2806" s="1666"/>
      <c r="C2806" s="688"/>
      <c r="D2806" s="1667"/>
      <c r="E2806" s="1671">
        <v>3.5</v>
      </c>
      <c r="F2806" s="1672"/>
      <c r="G2806" s="1671">
        <v>4</v>
      </c>
      <c r="H2806" s="1671">
        <f t="shared" si="369"/>
        <v>0</v>
      </c>
      <c r="I2806" s="1671" t="s">
        <v>92</v>
      </c>
      <c r="J2806" s="1668"/>
      <c r="K2806" s="1668"/>
      <c r="L2806" s="1669"/>
    </row>
    <row r="2807" spans="1:12" s="692" customFormat="1" ht="16.5" hidden="1">
      <c r="A2807" s="1665"/>
      <c r="B2807" s="1666"/>
      <c r="C2807" s="688"/>
      <c r="D2807" s="1667"/>
      <c r="E2807" s="1671">
        <v>3.5</v>
      </c>
      <c r="F2807" s="1672"/>
      <c r="G2807" s="1671">
        <v>4</v>
      </c>
      <c r="H2807" s="1671">
        <f t="shared" si="369"/>
        <v>0</v>
      </c>
      <c r="I2807" s="1671" t="s">
        <v>92</v>
      </c>
      <c r="J2807" s="1668"/>
      <c r="K2807" s="1668"/>
      <c r="L2807" s="1669"/>
    </row>
    <row r="2808" spans="1:12" s="692" customFormat="1" ht="16.5" hidden="1">
      <c r="A2808" s="1665"/>
      <c r="B2808" s="1666"/>
      <c r="C2808" s="688"/>
      <c r="D2808" s="1667"/>
      <c r="E2808" s="1671"/>
      <c r="F2808" s="1671"/>
      <c r="G2808" s="1669" t="s">
        <v>928</v>
      </c>
      <c r="H2808" s="1673">
        <f>SUM(H2802:H2807)</f>
        <v>0</v>
      </c>
      <c r="I2808" s="1669" t="s">
        <v>92</v>
      </c>
      <c r="J2808" s="1669">
        <f>'Lead &amp; ANALYSIS'!L497</f>
        <v>1003.1</v>
      </c>
      <c r="K2808" s="1668" t="s">
        <v>1514</v>
      </c>
      <c r="L2808" s="1669">
        <f>ROUND(H2808*J2808,0)</f>
        <v>0</v>
      </c>
    </row>
    <row r="2809" spans="1:12" s="692" customFormat="1" ht="16.5" hidden="1">
      <c r="A2809" s="1665" t="s">
        <v>415</v>
      </c>
      <c r="B2809" s="1666" t="s">
        <v>387</v>
      </c>
      <c r="C2809" s="688"/>
      <c r="D2809" s="1667"/>
      <c r="E2809" s="688"/>
      <c r="F2809" s="688"/>
      <c r="G2809" s="1674"/>
      <c r="H2809" s="688"/>
      <c r="I2809" s="1668"/>
      <c r="J2809" s="1668"/>
      <c r="K2809" s="1668"/>
      <c r="L2809" s="1669"/>
    </row>
    <row r="2810" spans="1:12" s="692" customFormat="1" ht="16.5" hidden="1">
      <c r="A2810" s="1665"/>
      <c r="B2810" s="1666"/>
      <c r="C2810" s="688"/>
      <c r="D2810" s="1667"/>
      <c r="E2810" s="1671">
        <v>3.5</v>
      </c>
      <c r="F2810" s="1672"/>
      <c r="G2810" s="1671">
        <v>4</v>
      </c>
      <c r="H2810" s="1671">
        <f t="shared" ref="H2810:H2815" si="370">ROUND(D2810*E2810*G2810,2)</f>
        <v>0</v>
      </c>
      <c r="I2810" s="688" t="s">
        <v>92</v>
      </c>
      <c r="J2810" s="1668"/>
      <c r="K2810" s="1668"/>
      <c r="L2810" s="1669"/>
    </row>
    <row r="2811" spans="1:12" s="692" customFormat="1" ht="16.5" hidden="1">
      <c r="A2811" s="1665"/>
      <c r="B2811" s="1666"/>
      <c r="C2811" s="688"/>
      <c r="D2811" s="1667"/>
      <c r="E2811" s="1671">
        <v>3.5</v>
      </c>
      <c r="F2811" s="1672"/>
      <c r="G2811" s="1671">
        <v>4</v>
      </c>
      <c r="H2811" s="1671">
        <f t="shared" si="370"/>
        <v>0</v>
      </c>
      <c r="I2811" s="688" t="s">
        <v>92</v>
      </c>
      <c r="J2811" s="1668"/>
      <c r="K2811" s="1668"/>
      <c r="L2811" s="1669"/>
    </row>
    <row r="2812" spans="1:12" s="692" customFormat="1" ht="16.5" hidden="1">
      <c r="A2812" s="1665"/>
      <c r="B2812" s="1666"/>
      <c r="C2812" s="688"/>
      <c r="D2812" s="1667"/>
      <c r="E2812" s="1671">
        <v>3.5</v>
      </c>
      <c r="F2812" s="1672"/>
      <c r="G2812" s="1671">
        <v>4</v>
      </c>
      <c r="H2812" s="1671">
        <f t="shared" si="370"/>
        <v>0</v>
      </c>
      <c r="I2812" s="688" t="s">
        <v>92</v>
      </c>
      <c r="J2812" s="1668"/>
      <c r="K2812" s="1668"/>
      <c r="L2812" s="1669"/>
    </row>
    <row r="2813" spans="1:12" s="692" customFormat="1" ht="16.5" hidden="1">
      <c r="A2813" s="1665"/>
      <c r="B2813" s="1666"/>
      <c r="C2813" s="688"/>
      <c r="D2813" s="1667"/>
      <c r="E2813" s="1671">
        <v>3.5</v>
      </c>
      <c r="F2813" s="1672"/>
      <c r="G2813" s="1671">
        <v>4</v>
      </c>
      <c r="H2813" s="1671">
        <f t="shared" si="370"/>
        <v>0</v>
      </c>
      <c r="I2813" s="688" t="s">
        <v>92</v>
      </c>
      <c r="J2813" s="1668"/>
      <c r="K2813" s="1668"/>
      <c r="L2813" s="1669"/>
    </row>
    <row r="2814" spans="1:12" s="692" customFormat="1" ht="16.5" hidden="1">
      <c r="A2814" s="1665"/>
      <c r="B2814" s="1666"/>
      <c r="C2814" s="688"/>
      <c r="D2814" s="1667"/>
      <c r="E2814" s="1671">
        <v>3.5</v>
      </c>
      <c r="F2814" s="1672"/>
      <c r="G2814" s="1671">
        <v>4</v>
      </c>
      <c r="H2814" s="1671">
        <f t="shared" si="370"/>
        <v>0</v>
      </c>
      <c r="I2814" s="688" t="s">
        <v>92</v>
      </c>
      <c r="J2814" s="1668"/>
      <c r="K2814" s="1668"/>
      <c r="L2814" s="1669"/>
    </row>
    <row r="2815" spans="1:12" s="692" customFormat="1" ht="16.5" hidden="1">
      <c r="A2815" s="1665"/>
      <c r="B2815" s="1666"/>
      <c r="C2815" s="688"/>
      <c r="D2815" s="1667"/>
      <c r="E2815" s="1671">
        <v>3.5</v>
      </c>
      <c r="F2815" s="1672"/>
      <c r="G2815" s="1671">
        <v>4</v>
      </c>
      <c r="H2815" s="1671">
        <f t="shared" si="370"/>
        <v>0</v>
      </c>
      <c r="I2815" s="688" t="s">
        <v>92</v>
      </c>
      <c r="J2815" s="1668"/>
      <c r="K2815" s="1668"/>
      <c r="L2815" s="1669"/>
    </row>
    <row r="2816" spans="1:12" s="692" customFormat="1" ht="16.5" hidden="1">
      <c r="A2816" s="1665"/>
      <c r="B2816" s="1666"/>
      <c r="C2816" s="688"/>
      <c r="D2816" s="1667"/>
      <c r="E2816" s="1673"/>
      <c r="F2816" s="1673"/>
      <c r="G2816" s="1669" t="s">
        <v>928</v>
      </c>
      <c r="H2816" s="1673">
        <f>SUM(H2810:H2815)</f>
        <v>0</v>
      </c>
      <c r="I2816" s="1668" t="s">
        <v>92</v>
      </c>
      <c r="J2816" s="1669">
        <f>'Lead &amp; ANALYSIS'!L498</f>
        <v>1136.5999999999999</v>
      </c>
      <c r="K2816" s="1668" t="s">
        <v>1514</v>
      </c>
      <c r="L2816" s="1669">
        <f>ROUND(H2816*J2816,0)</f>
        <v>0</v>
      </c>
    </row>
    <row r="2817" spans="1:12" s="692" customFormat="1" ht="16.5" hidden="1">
      <c r="A2817" s="1665" t="s">
        <v>638</v>
      </c>
      <c r="B2817" s="1666" t="s">
        <v>3622</v>
      </c>
      <c r="C2817" s="688"/>
      <c r="D2817" s="1667"/>
      <c r="E2817" s="688"/>
      <c r="F2817" s="688"/>
      <c r="G2817" s="1674"/>
      <c r="H2817" s="688"/>
      <c r="I2817" s="1668"/>
      <c r="J2817" s="1668"/>
      <c r="K2817" s="1668"/>
      <c r="L2817" s="1669"/>
    </row>
    <row r="2818" spans="1:12" s="692" customFormat="1" ht="16.5" hidden="1">
      <c r="A2818" s="1665"/>
      <c r="B2818" s="1666"/>
      <c r="C2818" s="688"/>
      <c r="D2818" s="1667"/>
      <c r="E2818" s="1671">
        <v>3.5</v>
      </c>
      <c r="F2818" s="1672"/>
      <c r="G2818" s="1671">
        <v>4</v>
      </c>
      <c r="H2818" s="1671">
        <f t="shared" ref="H2818:H2823" si="371">ROUND(D2818*E2818*G2818,2)</f>
        <v>0</v>
      </c>
      <c r="I2818" s="688" t="s">
        <v>92</v>
      </c>
      <c r="J2818" s="1668"/>
      <c r="K2818" s="1668"/>
      <c r="L2818" s="1669"/>
    </row>
    <row r="2819" spans="1:12" s="692" customFormat="1" ht="16.5" hidden="1">
      <c r="A2819" s="1665"/>
      <c r="B2819" s="1666"/>
      <c r="C2819" s="688"/>
      <c r="D2819" s="1667"/>
      <c r="E2819" s="1671">
        <v>3.5</v>
      </c>
      <c r="F2819" s="1672"/>
      <c r="G2819" s="1671">
        <v>4</v>
      </c>
      <c r="H2819" s="1671">
        <f t="shared" si="371"/>
        <v>0</v>
      </c>
      <c r="I2819" s="688" t="s">
        <v>92</v>
      </c>
      <c r="J2819" s="1668"/>
      <c r="K2819" s="1668"/>
      <c r="L2819" s="1669"/>
    </row>
    <row r="2820" spans="1:12" s="692" customFormat="1" ht="16.5" hidden="1">
      <c r="A2820" s="1665"/>
      <c r="B2820" s="1666"/>
      <c r="C2820" s="688"/>
      <c r="D2820" s="1667"/>
      <c r="E2820" s="1671">
        <v>3.5</v>
      </c>
      <c r="F2820" s="1672"/>
      <c r="G2820" s="1671">
        <v>4</v>
      </c>
      <c r="H2820" s="1671">
        <f t="shared" si="371"/>
        <v>0</v>
      </c>
      <c r="I2820" s="688" t="s">
        <v>92</v>
      </c>
      <c r="J2820" s="1668"/>
      <c r="K2820" s="1668"/>
      <c r="L2820" s="1669"/>
    </row>
    <row r="2821" spans="1:12" s="692" customFormat="1" ht="16.5" hidden="1">
      <c r="A2821" s="1665"/>
      <c r="B2821" s="1666"/>
      <c r="C2821" s="688"/>
      <c r="D2821" s="1667"/>
      <c r="E2821" s="1671">
        <v>3.5</v>
      </c>
      <c r="F2821" s="1672"/>
      <c r="G2821" s="1671">
        <v>4</v>
      </c>
      <c r="H2821" s="1671">
        <f t="shared" si="371"/>
        <v>0</v>
      </c>
      <c r="I2821" s="688" t="s">
        <v>92</v>
      </c>
      <c r="J2821" s="1668"/>
      <c r="K2821" s="1668"/>
      <c r="L2821" s="1669"/>
    </row>
    <row r="2822" spans="1:12" s="692" customFormat="1" ht="16.5" hidden="1">
      <c r="A2822" s="1665"/>
      <c r="B2822" s="1666"/>
      <c r="C2822" s="688"/>
      <c r="D2822" s="1667"/>
      <c r="E2822" s="1671">
        <v>3.5</v>
      </c>
      <c r="F2822" s="1672"/>
      <c r="G2822" s="1671">
        <v>4</v>
      </c>
      <c r="H2822" s="1671">
        <f t="shared" si="371"/>
        <v>0</v>
      </c>
      <c r="I2822" s="688" t="s">
        <v>92</v>
      </c>
      <c r="J2822" s="1668"/>
      <c r="K2822" s="1668"/>
      <c r="L2822" s="1669"/>
    </row>
    <row r="2823" spans="1:12" s="692" customFormat="1" ht="16.5" hidden="1">
      <c r="A2823" s="1665"/>
      <c r="B2823" s="1666"/>
      <c r="C2823" s="688"/>
      <c r="D2823" s="1667"/>
      <c r="E2823" s="1671">
        <v>3.5</v>
      </c>
      <c r="F2823" s="1672"/>
      <c r="G2823" s="1671">
        <v>4</v>
      </c>
      <c r="H2823" s="1671">
        <f t="shared" si="371"/>
        <v>0</v>
      </c>
      <c r="I2823" s="688" t="s">
        <v>92</v>
      </c>
      <c r="J2823" s="1668"/>
      <c r="K2823" s="1668"/>
      <c r="L2823" s="1669"/>
    </row>
    <row r="2824" spans="1:12" s="692" customFormat="1" ht="16.5" hidden="1">
      <c r="A2824" s="1665"/>
      <c r="B2824" s="1666"/>
      <c r="C2824" s="688"/>
      <c r="D2824" s="1667"/>
      <c r="E2824" s="1673"/>
      <c r="F2824" s="1673"/>
      <c r="G2824" s="1669" t="s">
        <v>928</v>
      </c>
      <c r="H2824" s="1673">
        <f>SUM(H2818:H2823)</f>
        <v>0</v>
      </c>
      <c r="I2824" s="1668" t="s">
        <v>92</v>
      </c>
      <c r="J2824" s="1669">
        <f>'Lead &amp; ANALYSIS'!L499</f>
        <v>1309.0999999999999</v>
      </c>
      <c r="K2824" s="1668" t="s">
        <v>1514</v>
      </c>
      <c r="L2824" s="1669">
        <f>ROUND(H2824*J2824,0)</f>
        <v>0</v>
      </c>
    </row>
    <row r="2825" spans="1:12" s="692" customFormat="1" ht="16.5" hidden="1">
      <c r="A2825" s="1665" t="s">
        <v>640</v>
      </c>
      <c r="B2825" s="1666" t="s">
        <v>3636</v>
      </c>
      <c r="C2825" s="688"/>
      <c r="D2825" s="1667"/>
      <c r="E2825" s="688"/>
      <c r="F2825" s="688"/>
      <c r="G2825" s="1674"/>
      <c r="H2825" s="688"/>
      <c r="I2825" s="1668"/>
      <c r="J2825" s="1668"/>
      <c r="K2825" s="1668"/>
      <c r="L2825" s="1669"/>
    </row>
    <row r="2826" spans="1:12" s="692" customFormat="1" ht="16.5" hidden="1">
      <c r="A2826" s="1665"/>
      <c r="B2826" s="1666"/>
      <c r="C2826" s="688"/>
      <c r="D2826" s="1667"/>
      <c r="E2826" s="1671">
        <v>3.5</v>
      </c>
      <c r="F2826" s="1672"/>
      <c r="G2826" s="1671">
        <v>4</v>
      </c>
      <c r="H2826" s="1671">
        <f t="shared" ref="H2826:H2831" si="372">ROUND(D2826*E2826*G2826,2)</f>
        <v>0</v>
      </c>
      <c r="I2826" s="688" t="s">
        <v>92</v>
      </c>
      <c r="J2826" s="1668"/>
      <c r="K2826" s="1668"/>
      <c r="L2826" s="1669"/>
    </row>
    <row r="2827" spans="1:12" s="692" customFormat="1" ht="16.5" hidden="1">
      <c r="A2827" s="1665"/>
      <c r="B2827" s="1666"/>
      <c r="C2827" s="688"/>
      <c r="D2827" s="1667"/>
      <c r="E2827" s="1671">
        <v>3.5</v>
      </c>
      <c r="F2827" s="1672"/>
      <c r="G2827" s="1671">
        <v>4</v>
      </c>
      <c r="H2827" s="1671">
        <f t="shared" si="372"/>
        <v>0</v>
      </c>
      <c r="I2827" s="688" t="s">
        <v>92</v>
      </c>
      <c r="J2827" s="1668"/>
      <c r="K2827" s="1668"/>
      <c r="L2827" s="1669"/>
    </row>
    <row r="2828" spans="1:12" s="692" customFormat="1" ht="16.5" hidden="1">
      <c r="A2828" s="1665"/>
      <c r="B2828" s="1666"/>
      <c r="C2828" s="688"/>
      <c r="D2828" s="1667"/>
      <c r="E2828" s="1671">
        <v>3.5</v>
      </c>
      <c r="F2828" s="1672"/>
      <c r="G2828" s="1671">
        <v>4</v>
      </c>
      <c r="H2828" s="1671">
        <f t="shared" si="372"/>
        <v>0</v>
      </c>
      <c r="I2828" s="688" t="s">
        <v>92</v>
      </c>
      <c r="J2828" s="1668"/>
      <c r="K2828" s="1668"/>
      <c r="L2828" s="1669"/>
    </row>
    <row r="2829" spans="1:12" s="692" customFormat="1" ht="16.5" hidden="1">
      <c r="A2829" s="1665"/>
      <c r="B2829" s="1666"/>
      <c r="C2829" s="688"/>
      <c r="D2829" s="1667"/>
      <c r="E2829" s="1671">
        <v>3.5</v>
      </c>
      <c r="F2829" s="1672"/>
      <c r="G2829" s="1671">
        <v>4</v>
      </c>
      <c r="H2829" s="1671">
        <f t="shared" si="372"/>
        <v>0</v>
      </c>
      <c r="I2829" s="688" t="s">
        <v>92</v>
      </c>
      <c r="J2829" s="1668"/>
      <c r="K2829" s="1668"/>
      <c r="L2829" s="1669"/>
    </row>
    <row r="2830" spans="1:12" s="692" customFormat="1" ht="16.5" hidden="1">
      <c r="A2830" s="1665"/>
      <c r="B2830" s="1666"/>
      <c r="C2830" s="688"/>
      <c r="D2830" s="1667"/>
      <c r="E2830" s="1671">
        <v>3.5</v>
      </c>
      <c r="F2830" s="1672"/>
      <c r="G2830" s="1671">
        <v>4</v>
      </c>
      <c r="H2830" s="1671">
        <f t="shared" si="372"/>
        <v>0</v>
      </c>
      <c r="I2830" s="688" t="s">
        <v>92</v>
      </c>
      <c r="J2830" s="1668"/>
      <c r="K2830" s="1668"/>
      <c r="L2830" s="1669"/>
    </row>
    <row r="2831" spans="1:12" s="692" customFormat="1" ht="16.5" hidden="1">
      <c r="A2831" s="1665"/>
      <c r="B2831" s="1666"/>
      <c r="C2831" s="688"/>
      <c r="D2831" s="1667"/>
      <c r="E2831" s="1671">
        <v>3.5</v>
      </c>
      <c r="F2831" s="1672"/>
      <c r="G2831" s="1671">
        <v>4</v>
      </c>
      <c r="H2831" s="1671">
        <f t="shared" si="372"/>
        <v>0</v>
      </c>
      <c r="I2831" s="688" t="s">
        <v>92</v>
      </c>
      <c r="J2831" s="1668"/>
      <c r="K2831" s="1668"/>
      <c r="L2831" s="1669"/>
    </row>
    <row r="2832" spans="1:12" s="692" customFormat="1" ht="16.5" hidden="1">
      <c r="A2832" s="1665"/>
      <c r="B2832" s="1666"/>
      <c r="C2832" s="688"/>
      <c r="D2832" s="1667"/>
      <c r="E2832" s="1673"/>
      <c r="F2832" s="1673"/>
      <c r="G2832" s="1669" t="s">
        <v>928</v>
      </c>
      <c r="H2832" s="1673">
        <f>SUM(H2826:H2831)</f>
        <v>0</v>
      </c>
      <c r="I2832" s="1668" t="s">
        <v>92</v>
      </c>
      <c r="J2832" s="1669">
        <f>'Lead &amp; ANALYSIS'!L500</f>
        <v>1501.8</v>
      </c>
      <c r="K2832" s="1668" t="s">
        <v>1514</v>
      </c>
      <c r="L2832" s="1669">
        <f>ROUND(H2832*J2832,0)</f>
        <v>0</v>
      </c>
    </row>
    <row r="2833" spans="1:12" s="692" customFormat="1" ht="16.5" hidden="1">
      <c r="A2833" s="1665" t="s">
        <v>308</v>
      </c>
      <c r="B2833" s="1666" t="str">
        <f>'Lead &amp; ANALYSIS'!B501</f>
        <v>RCC wall &amp;  Fins including attach pillaster</v>
      </c>
      <c r="C2833" s="688"/>
      <c r="D2833" s="1667"/>
      <c r="E2833" s="688"/>
      <c r="F2833" s="688"/>
      <c r="G2833" s="1674"/>
      <c r="H2833" s="688"/>
      <c r="I2833" s="1668"/>
      <c r="J2833" s="1668"/>
      <c r="K2833" s="1668"/>
      <c r="L2833" s="1669"/>
    </row>
    <row r="2834" spans="1:12" s="692" customFormat="1" ht="16.5" hidden="1">
      <c r="A2834" s="1665" t="s">
        <v>413</v>
      </c>
      <c r="B2834" s="1666" t="s">
        <v>384</v>
      </c>
      <c r="C2834" s="688"/>
      <c r="D2834" s="1667"/>
      <c r="E2834" s="688"/>
      <c r="F2834" s="688"/>
      <c r="G2834" s="1674"/>
      <c r="H2834" s="688"/>
      <c r="I2834" s="1668"/>
      <c r="J2834" s="1668"/>
      <c r="K2834" s="1668"/>
      <c r="L2834" s="1669"/>
    </row>
    <row r="2835" spans="1:12" s="692" customFormat="1" ht="16.5" hidden="1">
      <c r="A2835" s="1665"/>
      <c r="B2835" s="1666"/>
      <c r="C2835" s="688"/>
      <c r="D2835" s="1667"/>
      <c r="E2835" s="1671">
        <v>3.5</v>
      </c>
      <c r="F2835" s="1672"/>
      <c r="G2835" s="1671">
        <v>4</v>
      </c>
      <c r="H2835" s="1671">
        <f t="shared" ref="H2835:H2840" si="373">ROUND(D2835*E2835*G2835,2)</f>
        <v>0</v>
      </c>
      <c r="I2835" s="688" t="s">
        <v>92</v>
      </c>
      <c r="J2835" s="1668"/>
      <c r="K2835" s="1668"/>
      <c r="L2835" s="1669"/>
    </row>
    <row r="2836" spans="1:12" s="692" customFormat="1" ht="16.5" hidden="1">
      <c r="A2836" s="1665"/>
      <c r="B2836" s="1666"/>
      <c r="C2836" s="688"/>
      <c r="D2836" s="1667"/>
      <c r="E2836" s="1671">
        <v>3.5</v>
      </c>
      <c r="F2836" s="1672"/>
      <c r="G2836" s="1671">
        <v>4</v>
      </c>
      <c r="H2836" s="1671">
        <f t="shared" si="373"/>
        <v>0</v>
      </c>
      <c r="I2836" s="688" t="s">
        <v>92</v>
      </c>
      <c r="J2836" s="1668"/>
      <c r="K2836" s="1668"/>
      <c r="L2836" s="1669"/>
    </row>
    <row r="2837" spans="1:12" s="692" customFormat="1" ht="16.5" hidden="1">
      <c r="A2837" s="1665"/>
      <c r="B2837" s="1666"/>
      <c r="C2837" s="688"/>
      <c r="D2837" s="1667"/>
      <c r="E2837" s="1671">
        <v>3.5</v>
      </c>
      <c r="F2837" s="1672"/>
      <c r="G2837" s="1671">
        <v>4</v>
      </c>
      <c r="H2837" s="1671">
        <f t="shared" si="373"/>
        <v>0</v>
      </c>
      <c r="I2837" s="688" t="s">
        <v>92</v>
      </c>
      <c r="J2837" s="1668"/>
      <c r="K2837" s="1668"/>
      <c r="L2837" s="1669"/>
    </row>
    <row r="2838" spans="1:12" s="692" customFormat="1" ht="16.5" hidden="1">
      <c r="A2838" s="1665"/>
      <c r="B2838" s="1666"/>
      <c r="C2838" s="688"/>
      <c r="D2838" s="1667"/>
      <c r="E2838" s="1671">
        <v>3.5</v>
      </c>
      <c r="F2838" s="1672"/>
      <c r="G2838" s="1671">
        <v>4</v>
      </c>
      <c r="H2838" s="1671">
        <f t="shared" si="373"/>
        <v>0</v>
      </c>
      <c r="I2838" s="688" t="s">
        <v>92</v>
      </c>
      <c r="J2838" s="1668"/>
      <c r="K2838" s="1668"/>
      <c r="L2838" s="1669"/>
    </row>
    <row r="2839" spans="1:12" s="692" customFormat="1" ht="16.5" hidden="1">
      <c r="A2839" s="1665"/>
      <c r="B2839" s="1666"/>
      <c r="C2839" s="688"/>
      <c r="D2839" s="1667"/>
      <c r="E2839" s="1671">
        <v>3.5</v>
      </c>
      <c r="F2839" s="1672"/>
      <c r="G2839" s="1671">
        <v>4</v>
      </c>
      <c r="H2839" s="1671">
        <f t="shared" si="373"/>
        <v>0</v>
      </c>
      <c r="I2839" s="688" t="s">
        <v>92</v>
      </c>
      <c r="J2839" s="1668"/>
      <c r="K2839" s="1668"/>
      <c r="L2839" s="1669"/>
    </row>
    <row r="2840" spans="1:12" s="692" customFormat="1" ht="16.5" hidden="1">
      <c r="A2840" s="1665"/>
      <c r="B2840" s="1666"/>
      <c r="C2840" s="688"/>
      <c r="D2840" s="1667"/>
      <c r="E2840" s="1671">
        <v>3.5</v>
      </c>
      <c r="F2840" s="1672"/>
      <c r="G2840" s="1671">
        <v>4</v>
      </c>
      <c r="H2840" s="1671">
        <f t="shared" si="373"/>
        <v>0</v>
      </c>
      <c r="I2840" s="688" t="s">
        <v>92</v>
      </c>
      <c r="J2840" s="1668"/>
      <c r="K2840" s="1668"/>
      <c r="L2840" s="1669"/>
    </row>
    <row r="2841" spans="1:12" s="692" customFormat="1" ht="16.5" hidden="1">
      <c r="A2841" s="1665"/>
      <c r="B2841" s="1666"/>
      <c r="C2841" s="688"/>
      <c r="D2841" s="1667"/>
      <c r="E2841" s="688"/>
      <c r="F2841" s="688"/>
      <c r="G2841" s="1665" t="s">
        <v>928</v>
      </c>
      <c r="H2841" s="1686">
        <f>SUM(H2835:H2840)</f>
        <v>0</v>
      </c>
      <c r="I2841" s="1668" t="s">
        <v>92</v>
      </c>
      <c r="J2841" s="1669">
        <f>'Lead &amp; ANALYSIS'!L502</f>
        <v>783</v>
      </c>
      <c r="K2841" s="1668" t="s">
        <v>1514</v>
      </c>
      <c r="L2841" s="1669">
        <f>ROUND(H2841*J2841,0)</f>
        <v>0</v>
      </c>
    </row>
    <row r="2842" spans="1:12" s="692" customFormat="1" ht="16.5" hidden="1">
      <c r="A2842" s="1665" t="s">
        <v>415</v>
      </c>
      <c r="B2842" s="1666" t="s">
        <v>387</v>
      </c>
      <c r="C2842" s="688"/>
      <c r="D2842" s="1667"/>
      <c r="E2842" s="688"/>
      <c r="F2842" s="688"/>
      <c r="G2842" s="1674"/>
      <c r="H2842" s="688"/>
      <c r="I2842" s="1668"/>
      <c r="J2842" s="1668"/>
      <c r="K2842" s="1668"/>
      <c r="L2842" s="1669"/>
    </row>
    <row r="2843" spans="1:12" s="692" customFormat="1" ht="16.5" hidden="1">
      <c r="A2843" s="1665"/>
      <c r="B2843" s="1666"/>
      <c r="C2843" s="688"/>
      <c r="D2843" s="1667"/>
      <c r="E2843" s="1671">
        <v>3.5</v>
      </c>
      <c r="F2843" s="1672"/>
      <c r="G2843" s="1671">
        <v>4</v>
      </c>
      <c r="H2843" s="1671">
        <f t="shared" ref="H2843:H2848" si="374">ROUND(D2843*E2843*G2843,2)</f>
        <v>0</v>
      </c>
      <c r="I2843" s="688" t="s">
        <v>92</v>
      </c>
      <c r="J2843" s="1668"/>
      <c r="K2843" s="1668"/>
      <c r="L2843" s="1669"/>
    </row>
    <row r="2844" spans="1:12" s="692" customFormat="1" ht="16.5" hidden="1">
      <c r="A2844" s="1665"/>
      <c r="B2844" s="1666"/>
      <c r="C2844" s="688"/>
      <c r="D2844" s="1667"/>
      <c r="E2844" s="1671">
        <v>3.5</v>
      </c>
      <c r="F2844" s="1672"/>
      <c r="G2844" s="1671">
        <v>4</v>
      </c>
      <c r="H2844" s="1671">
        <f t="shared" si="374"/>
        <v>0</v>
      </c>
      <c r="I2844" s="688" t="s">
        <v>92</v>
      </c>
      <c r="J2844" s="1668"/>
      <c r="K2844" s="1668"/>
      <c r="L2844" s="1669"/>
    </row>
    <row r="2845" spans="1:12" s="692" customFormat="1" ht="16.5" hidden="1">
      <c r="A2845" s="1665"/>
      <c r="B2845" s="1666"/>
      <c r="C2845" s="688"/>
      <c r="D2845" s="1667"/>
      <c r="E2845" s="1671">
        <v>3.5</v>
      </c>
      <c r="F2845" s="1672"/>
      <c r="G2845" s="1671">
        <v>4</v>
      </c>
      <c r="H2845" s="1671">
        <f t="shared" si="374"/>
        <v>0</v>
      </c>
      <c r="I2845" s="688" t="s">
        <v>92</v>
      </c>
      <c r="J2845" s="1668"/>
      <c r="K2845" s="1668"/>
      <c r="L2845" s="1669"/>
    </row>
    <row r="2846" spans="1:12" s="692" customFormat="1" ht="16.5" hidden="1">
      <c r="A2846" s="1665"/>
      <c r="B2846" s="1666"/>
      <c r="C2846" s="688"/>
      <c r="D2846" s="1667"/>
      <c r="E2846" s="1671">
        <v>3.5</v>
      </c>
      <c r="F2846" s="1672"/>
      <c r="G2846" s="1671">
        <v>4</v>
      </c>
      <c r="H2846" s="1671">
        <f t="shared" si="374"/>
        <v>0</v>
      </c>
      <c r="I2846" s="688" t="s">
        <v>92</v>
      </c>
      <c r="J2846" s="1668"/>
      <c r="K2846" s="1668"/>
      <c r="L2846" s="1669"/>
    </row>
    <row r="2847" spans="1:12" s="692" customFormat="1" ht="16.5" hidden="1">
      <c r="A2847" s="1665"/>
      <c r="B2847" s="1666"/>
      <c r="C2847" s="688"/>
      <c r="D2847" s="1667"/>
      <c r="E2847" s="1671">
        <v>3.5</v>
      </c>
      <c r="F2847" s="1672"/>
      <c r="G2847" s="1671">
        <v>4</v>
      </c>
      <c r="H2847" s="1671">
        <f t="shared" si="374"/>
        <v>0</v>
      </c>
      <c r="I2847" s="688" t="s">
        <v>92</v>
      </c>
      <c r="J2847" s="1668"/>
      <c r="K2847" s="1668"/>
      <c r="L2847" s="1669"/>
    </row>
    <row r="2848" spans="1:12" s="692" customFormat="1" ht="16.5" hidden="1">
      <c r="A2848" s="1665"/>
      <c r="B2848" s="1666"/>
      <c r="C2848" s="688"/>
      <c r="D2848" s="1667"/>
      <c r="E2848" s="1671">
        <v>3.5</v>
      </c>
      <c r="F2848" s="1672"/>
      <c r="G2848" s="1671">
        <v>4</v>
      </c>
      <c r="H2848" s="1671">
        <f t="shared" si="374"/>
        <v>0</v>
      </c>
      <c r="I2848" s="688" t="s">
        <v>92</v>
      </c>
      <c r="J2848" s="1668"/>
      <c r="K2848" s="1668"/>
      <c r="L2848" s="1669"/>
    </row>
    <row r="2849" spans="1:12" s="692" customFormat="1" ht="16.5" hidden="1">
      <c r="A2849" s="1665"/>
      <c r="B2849" s="1666"/>
      <c r="C2849" s="688"/>
      <c r="D2849" s="1667"/>
      <c r="E2849" s="688"/>
      <c r="F2849" s="688"/>
      <c r="G2849" s="1665" t="s">
        <v>928</v>
      </c>
      <c r="H2849" s="1686">
        <f>SUM(H2843:H2848)</f>
        <v>0</v>
      </c>
      <c r="I2849" s="1668" t="s">
        <v>92</v>
      </c>
      <c r="J2849" s="1669">
        <f>'Lead &amp; ANALYSIS'!L503</f>
        <v>875.7</v>
      </c>
      <c r="K2849" s="1668" t="s">
        <v>1514</v>
      </c>
      <c r="L2849" s="1669">
        <f>ROUND(H2849*J2849,0)</f>
        <v>0</v>
      </c>
    </row>
    <row r="2850" spans="1:12" s="692" customFormat="1" ht="16.5" hidden="1">
      <c r="A2850" s="1665" t="s">
        <v>638</v>
      </c>
      <c r="B2850" s="1666" t="s">
        <v>3622</v>
      </c>
      <c r="C2850" s="688"/>
      <c r="D2850" s="1667"/>
      <c r="E2850" s="688"/>
      <c r="F2850" s="688"/>
      <c r="G2850" s="1674"/>
      <c r="H2850" s="688"/>
      <c r="I2850" s="1668"/>
      <c r="J2850" s="1668"/>
      <c r="K2850" s="1668"/>
      <c r="L2850" s="1669"/>
    </row>
    <row r="2851" spans="1:12" s="692" customFormat="1" ht="16.5" hidden="1">
      <c r="A2851" s="1665"/>
      <c r="B2851" s="1666"/>
      <c r="C2851" s="688"/>
      <c r="D2851" s="1667"/>
      <c r="E2851" s="1671">
        <v>3.5</v>
      </c>
      <c r="F2851" s="1672"/>
      <c r="G2851" s="1671">
        <v>4</v>
      </c>
      <c r="H2851" s="1671">
        <f t="shared" ref="H2851:H2856" si="375">ROUND(D2851*E2851*G2851,2)</f>
        <v>0</v>
      </c>
      <c r="I2851" s="688" t="s">
        <v>92</v>
      </c>
      <c r="J2851" s="1668"/>
      <c r="K2851" s="1668"/>
      <c r="L2851" s="1669"/>
    </row>
    <row r="2852" spans="1:12" s="692" customFormat="1" ht="16.5" hidden="1">
      <c r="A2852" s="1665"/>
      <c r="B2852" s="1666"/>
      <c r="C2852" s="688"/>
      <c r="D2852" s="1667"/>
      <c r="E2852" s="1671">
        <v>3.5</v>
      </c>
      <c r="F2852" s="1672"/>
      <c r="G2852" s="1671">
        <v>4</v>
      </c>
      <c r="H2852" s="1671">
        <f t="shared" si="375"/>
        <v>0</v>
      </c>
      <c r="I2852" s="688" t="s">
        <v>92</v>
      </c>
      <c r="J2852" s="1668"/>
      <c r="K2852" s="1668"/>
      <c r="L2852" s="1669"/>
    </row>
    <row r="2853" spans="1:12" s="692" customFormat="1" ht="16.5" hidden="1">
      <c r="A2853" s="1665"/>
      <c r="B2853" s="1666"/>
      <c r="C2853" s="688"/>
      <c r="D2853" s="1667"/>
      <c r="E2853" s="1671">
        <v>3.5</v>
      </c>
      <c r="F2853" s="1672"/>
      <c r="G2853" s="1671">
        <v>4</v>
      </c>
      <c r="H2853" s="1671">
        <f t="shared" si="375"/>
        <v>0</v>
      </c>
      <c r="I2853" s="688" t="s">
        <v>92</v>
      </c>
      <c r="J2853" s="1668"/>
      <c r="K2853" s="1668"/>
      <c r="L2853" s="1669"/>
    </row>
    <row r="2854" spans="1:12" s="692" customFormat="1" ht="16.5" hidden="1">
      <c r="A2854" s="1665"/>
      <c r="B2854" s="1666"/>
      <c r="C2854" s="688"/>
      <c r="D2854" s="1667"/>
      <c r="E2854" s="1671">
        <v>3.5</v>
      </c>
      <c r="F2854" s="1672"/>
      <c r="G2854" s="1671">
        <v>4</v>
      </c>
      <c r="H2854" s="1671">
        <f t="shared" si="375"/>
        <v>0</v>
      </c>
      <c r="I2854" s="688" t="s">
        <v>92</v>
      </c>
      <c r="J2854" s="1668"/>
      <c r="K2854" s="1668"/>
      <c r="L2854" s="1669"/>
    </row>
    <row r="2855" spans="1:12" s="692" customFormat="1" ht="16.5" hidden="1">
      <c r="A2855" s="1665"/>
      <c r="B2855" s="1666"/>
      <c r="C2855" s="688"/>
      <c r="D2855" s="1667"/>
      <c r="E2855" s="1671">
        <v>3.5</v>
      </c>
      <c r="F2855" s="1672"/>
      <c r="G2855" s="1671">
        <v>4</v>
      </c>
      <c r="H2855" s="1671">
        <f t="shared" si="375"/>
        <v>0</v>
      </c>
      <c r="I2855" s="688" t="s">
        <v>92</v>
      </c>
      <c r="J2855" s="1668"/>
      <c r="K2855" s="1668"/>
      <c r="L2855" s="1669"/>
    </row>
    <row r="2856" spans="1:12" s="692" customFormat="1" ht="16.5" hidden="1">
      <c r="A2856" s="1665"/>
      <c r="B2856" s="1666"/>
      <c r="C2856" s="688"/>
      <c r="D2856" s="1667"/>
      <c r="E2856" s="1671">
        <v>3.5</v>
      </c>
      <c r="F2856" s="1672"/>
      <c r="G2856" s="1671">
        <v>4</v>
      </c>
      <c r="H2856" s="1671">
        <f t="shared" si="375"/>
        <v>0</v>
      </c>
      <c r="I2856" s="688" t="s">
        <v>92</v>
      </c>
      <c r="J2856" s="1668"/>
      <c r="K2856" s="1668"/>
      <c r="L2856" s="1669"/>
    </row>
    <row r="2857" spans="1:12" s="692" customFormat="1" ht="16.5" hidden="1">
      <c r="A2857" s="1665"/>
      <c r="B2857" s="1666"/>
      <c r="C2857" s="688"/>
      <c r="D2857" s="1667"/>
      <c r="E2857" s="1673"/>
      <c r="F2857" s="1673"/>
      <c r="G2857" s="1669" t="s">
        <v>928</v>
      </c>
      <c r="H2857" s="1673">
        <f>SUM(H2851:H2856)</f>
        <v>0</v>
      </c>
      <c r="I2857" s="1668" t="s">
        <v>92</v>
      </c>
      <c r="J2857" s="1669">
        <f>'Lead &amp; ANALYSIS'!L504</f>
        <v>996.7</v>
      </c>
      <c r="K2857" s="1668" t="s">
        <v>1514</v>
      </c>
      <c r="L2857" s="1669">
        <f>ROUND(H2857*J2857,0)</f>
        <v>0</v>
      </c>
    </row>
    <row r="2858" spans="1:12" s="692" customFormat="1" ht="16.5" hidden="1">
      <c r="A2858" s="1665" t="s">
        <v>640</v>
      </c>
      <c r="B2858" s="1666" t="s">
        <v>3636</v>
      </c>
      <c r="C2858" s="688"/>
      <c r="D2858" s="1667"/>
      <c r="E2858" s="688"/>
      <c r="F2858" s="688"/>
      <c r="G2858" s="1674"/>
      <c r="H2858" s="688"/>
      <c r="I2858" s="1668"/>
      <c r="J2858" s="1668"/>
      <c r="K2858" s="1668"/>
      <c r="L2858" s="1669"/>
    </row>
    <row r="2859" spans="1:12" s="692" customFormat="1" ht="16.5" hidden="1">
      <c r="A2859" s="1665"/>
      <c r="B2859" s="1666"/>
      <c r="C2859" s="688"/>
      <c r="D2859" s="1667"/>
      <c r="E2859" s="1671">
        <v>3.5</v>
      </c>
      <c r="F2859" s="1672"/>
      <c r="G2859" s="1671">
        <v>4</v>
      </c>
      <c r="H2859" s="1671">
        <f t="shared" ref="H2859:H2864" si="376">ROUND(D2859*E2859*G2859,2)</f>
        <v>0</v>
      </c>
      <c r="I2859" s="688" t="s">
        <v>92</v>
      </c>
      <c r="J2859" s="1668"/>
      <c r="K2859" s="1668"/>
      <c r="L2859" s="1669"/>
    </row>
    <row r="2860" spans="1:12" s="692" customFormat="1" ht="16.5" hidden="1">
      <c r="A2860" s="1665"/>
      <c r="B2860" s="1666"/>
      <c r="C2860" s="688"/>
      <c r="D2860" s="1667"/>
      <c r="E2860" s="1671">
        <v>3.5</v>
      </c>
      <c r="F2860" s="1672"/>
      <c r="G2860" s="1671">
        <v>4</v>
      </c>
      <c r="H2860" s="1671">
        <f t="shared" si="376"/>
        <v>0</v>
      </c>
      <c r="I2860" s="688" t="s">
        <v>92</v>
      </c>
      <c r="J2860" s="1668"/>
      <c r="K2860" s="1668"/>
      <c r="L2860" s="1669"/>
    </row>
    <row r="2861" spans="1:12" s="692" customFormat="1" ht="16.5" hidden="1">
      <c r="A2861" s="1665"/>
      <c r="B2861" s="1666"/>
      <c r="C2861" s="688"/>
      <c r="D2861" s="1667"/>
      <c r="E2861" s="1671">
        <v>3.5</v>
      </c>
      <c r="F2861" s="1672"/>
      <c r="G2861" s="1671">
        <v>4</v>
      </c>
      <c r="H2861" s="1671">
        <f t="shared" si="376"/>
        <v>0</v>
      </c>
      <c r="I2861" s="688" t="s">
        <v>92</v>
      </c>
      <c r="J2861" s="1668"/>
      <c r="K2861" s="1668"/>
      <c r="L2861" s="1669"/>
    </row>
    <row r="2862" spans="1:12" s="692" customFormat="1" ht="16.5" hidden="1">
      <c r="A2862" s="1665"/>
      <c r="B2862" s="1666"/>
      <c r="C2862" s="688"/>
      <c r="D2862" s="1667"/>
      <c r="E2862" s="1671">
        <v>3.5</v>
      </c>
      <c r="F2862" s="1672"/>
      <c r="G2862" s="1671">
        <v>4</v>
      </c>
      <c r="H2862" s="1671">
        <f t="shared" si="376"/>
        <v>0</v>
      </c>
      <c r="I2862" s="688" t="s">
        <v>92</v>
      </c>
      <c r="J2862" s="1668"/>
      <c r="K2862" s="1668"/>
      <c r="L2862" s="1669"/>
    </row>
    <row r="2863" spans="1:12" s="692" customFormat="1" ht="16.5" hidden="1">
      <c r="A2863" s="1665"/>
      <c r="B2863" s="1666"/>
      <c r="C2863" s="688"/>
      <c r="D2863" s="1667"/>
      <c r="E2863" s="1671">
        <v>3.5</v>
      </c>
      <c r="F2863" s="1672"/>
      <c r="G2863" s="1671">
        <v>4</v>
      </c>
      <c r="H2863" s="1671">
        <f t="shared" si="376"/>
        <v>0</v>
      </c>
      <c r="I2863" s="688" t="s">
        <v>92</v>
      </c>
      <c r="J2863" s="1668"/>
      <c r="K2863" s="1668"/>
      <c r="L2863" s="1669"/>
    </row>
    <row r="2864" spans="1:12" s="692" customFormat="1" ht="16.5" hidden="1">
      <c r="A2864" s="1665"/>
      <c r="B2864" s="1666"/>
      <c r="C2864" s="688"/>
      <c r="D2864" s="1667"/>
      <c r="E2864" s="1671">
        <v>3.5</v>
      </c>
      <c r="F2864" s="1672"/>
      <c r="G2864" s="1671">
        <v>4</v>
      </c>
      <c r="H2864" s="1671">
        <f t="shared" si="376"/>
        <v>0</v>
      </c>
      <c r="I2864" s="688" t="s">
        <v>92</v>
      </c>
      <c r="J2864" s="1668"/>
      <c r="K2864" s="1668"/>
      <c r="L2864" s="1669"/>
    </row>
    <row r="2865" spans="1:12" s="692" customFormat="1" ht="16.5" hidden="1">
      <c r="A2865" s="1665"/>
      <c r="B2865" s="1666"/>
      <c r="C2865" s="688"/>
      <c r="D2865" s="1667"/>
      <c r="E2865" s="1673"/>
      <c r="F2865" s="1673"/>
      <c r="G2865" s="1669" t="s">
        <v>928</v>
      </c>
      <c r="H2865" s="1673">
        <f>SUM(H2859:H2864)</f>
        <v>0</v>
      </c>
      <c r="I2865" s="1668" t="s">
        <v>92</v>
      </c>
      <c r="J2865" s="1669">
        <f>'Lead &amp; ANALYSIS'!L505</f>
        <v>1131.4000000000001</v>
      </c>
      <c r="K2865" s="1668" t="s">
        <v>1514</v>
      </c>
      <c r="L2865" s="1669">
        <f>ROUND(H2865*J2865,0)</f>
        <v>0</v>
      </c>
    </row>
    <row r="2866" spans="1:12" s="692" customFormat="1" ht="16.5" hidden="1">
      <c r="A2866" s="1665" t="s">
        <v>352</v>
      </c>
      <c r="B2866" s="1666" t="str">
        <f>'Lead &amp; ANALYSIS'!B506</f>
        <v>RCC lintels</v>
      </c>
      <c r="C2866" s="688"/>
      <c r="D2866" s="1667"/>
      <c r="E2866" s="688"/>
      <c r="F2866" s="688"/>
      <c r="G2866" s="1674"/>
      <c r="H2866" s="688"/>
      <c r="I2866" s="1668"/>
      <c r="J2866" s="1668"/>
      <c r="K2866" s="1668"/>
      <c r="L2866" s="1669"/>
    </row>
    <row r="2867" spans="1:12" s="692" customFormat="1" ht="16.5" hidden="1">
      <c r="A2867" s="1665" t="s">
        <v>413</v>
      </c>
      <c r="B2867" s="1666" t="s">
        <v>384</v>
      </c>
      <c r="C2867" s="688"/>
      <c r="D2867" s="1667"/>
      <c r="E2867" s="688"/>
      <c r="F2867" s="688"/>
      <c r="G2867" s="1674"/>
      <c r="H2867" s="688"/>
      <c r="I2867" s="1668"/>
      <c r="J2867" s="1668"/>
      <c r="K2867" s="1668"/>
      <c r="L2867" s="1669"/>
    </row>
    <row r="2868" spans="1:12" s="692" customFormat="1" ht="16.5" hidden="1">
      <c r="A2868" s="1665"/>
      <c r="B2868" s="1666"/>
      <c r="C2868" s="688"/>
      <c r="D2868" s="1667"/>
      <c r="E2868" s="1671">
        <f>E2697</f>
        <v>3.65</v>
      </c>
      <c r="F2868" s="1672"/>
      <c r="G2868" s="1671">
        <f>G1397</f>
        <v>0.15</v>
      </c>
      <c r="H2868" s="1671">
        <f t="shared" ref="H2868:H2873" si="377">ROUND(D2868*E2868*G2868,2)</f>
        <v>0</v>
      </c>
      <c r="I2868" s="688" t="s">
        <v>92</v>
      </c>
      <c r="J2868" s="1668"/>
      <c r="K2868" s="1668"/>
      <c r="L2868" s="1669"/>
    </row>
    <row r="2869" spans="1:12" s="692" customFormat="1" ht="16.5" hidden="1">
      <c r="A2869" s="1665"/>
      <c r="B2869" s="1666"/>
      <c r="C2869" s="688"/>
      <c r="D2869" s="1667"/>
      <c r="E2869" s="1671">
        <f t="shared" ref="E2869:E2870" si="378">E2698</f>
        <v>3</v>
      </c>
      <c r="F2869" s="1672"/>
      <c r="G2869" s="1671">
        <f>G2868</f>
        <v>0.15</v>
      </c>
      <c r="H2869" s="1671">
        <f t="shared" si="377"/>
        <v>0</v>
      </c>
      <c r="I2869" s="688" t="s">
        <v>92</v>
      </c>
      <c r="J2869" s="1668"/>
      <c r="K2869" s="1668"/>
      <c r="L2869" s="1669"/>
    </row>
    <row r="2870" spans="1:12" s="692" customFormat="1" ht="16.5" hidden="1">
      <c r="A2870" s="1665"/>
      <c r="B2870" s="1666"/>
      <c r="C2870" s="688"/>
      <c r="D2870" s="1667"/>
      <c r="E2870" s="1671">
        <f t="shared" si="378"/>
        <v>3.65</v>
      </c>
      <c r="F2870" s="1672"/>
      <c r="G2870" s="1671">
        <f t="shared" ref="G2870:G2873" si="379">G2869</f>
        <v>0.15</v>
      </c>
      <c r="H2870" s="1671">
        <f t="shared" si="377"/>
        <v>0</v>
      </c>
      <c r="I2870" s="688" t="s">
        <v>92</v>
      </c>
      <c r="J2870" s="1668"/>
      <c r="K2870" s="1668"/>
      <c r="L2870" s="1669"/>
    </row>
    <row r="2871" spans="1:12" s="692" customFormat="1" ht="16.5" hidden="1">
      <c r="A2871" s="1665"/>
      <c r="B2871" s="1666"/>
      <c r="C2871" s="688"/>
      <c r="D2871" s="1667"/>
      <c r="E2871" s="1671">
        <f>E2700</f>
        <v>1.5</v>
      </c>
      <c r="F2871" s="1672"/>
      <c r="G2871" s="1671">
        <f t="shared" si="379"/>
        <v>0.15</v>
      </c>
      <c r="H2871" s="1671">
        <f t="shared" si="377"/>
        <v>0</v>
      </c>
      <c r="I2871" s="688" t="s">
        <v>92</v>
      </c>
      <c r="J2871" s="1668"/>
      <c r="K2871" s="1668"/>
      <c r="L2871" s="1669"/>
    </row>
    <row r="2872" spans="1:12" s="692" customFormat="1" ht="16.5" hidden="1">
      <c r="A2872" s="1665"/>
      <c r="B2872" s="1666"/>
      <c r="C2872" s="688"/>
      <c r="D2872" s="1667"/>
      <c r="E2872" s="1671">
        <f>E2701</f>
        <v>4.1500000000000004</v>
      </c>
      <c r="F2872" s="1672"/>
      <c r="G2872" s="1671">
        <f t="shared" si="379"/>
        <v>0.15</v>
      </c>
      <c r="H2872" s="1671">
        <f t="shared" si="377"/>
        <v>0</v>
      </c>
      <c r="I2872" s="688" t="s">
        <v>92</v>
      </c>
      <c r="J2872" s="1668"/>
      <c r="K2872" s="1668"/>
      <c r="L2872" s="1669"/>
    </row>
    <row r="2873" spans="1:12" s="692" customFormat="1" ht="16.5" hidden="1">
      <c r="A2873" s="1665"/>
      <c r="B2873" s="1666"/>
      <c r="C2873" s="688"/>
      <c r="D2873" s="1667"/>
      <c r="E2873" s="1671">
        <f t="shared" ref="E2873" si="380">E2702</f>
        <v>5.25</v>
      </c>
      <c r="F2873" s="1672"/>
      <c r="G2873" s="1671">
        <f t="shared" si="379"/>
        <v>0.15</v>
      </c>
      <c r="H2873" s="1671">
        <f t="shared" si="377"/>
        <v>0</v>
      </c>
      <c r="I2873" s="688" t="s">
        <v>92</v>
      </c>
      <c r="J2873" s="1668"/>
      <c r="K2873" s="1668"/>
      <c r="L2873" s="1669"/>
    </row>
    <row r="2874" spans="1:12" s="692" customFormat="1" ht="16.5" hidden="1">
      <c r="A2874" s="1665"/>
      <c r="B2874" s="1666"/>
      <c r="C2874" s="688"/>
      <c r="D2874" s="1667"/>
      <c r="E2874" s="688"/>
      <c r="F2874" s="688"/>
      <c r="G2874" s="1665" t="s">
        <v>928</v>
      </c>
      <c r="H2874" s="1673">
        <f>SUM(H2868:H2873)</f>
        <v>0</v>
      </c>
      <c r="I2874" s="1668" t="s">
        <v>92</v>
      </c>
      <c r="J2874" s="1669">
        <f>'Lead &amp; ANALYSIS'!L507</f>
        <v>523</v>
      </c>
      <c r="K2874" s="1668" t="s">
        <v>1514</v>
      </c>
      <c r="L2874" s="1669">
        <f>ROUND(H2874*J2874,0)</f>
        <v>0</v>
      </c>
    </row>
    <row r="2875" spans="1:12" s="692" customFormat="1" ht="16.5" hidden="1">
      <c r="A2875" s="1665" t="s">
        <v>415</v>
      </c>
      <c r="B2875" s="1666" t="s">
        <v>387</v>
      </c>
      <c r="C2875" s="688"/>
      <c r="D2875" s="1667"/>
      <c r="E2875" s="688"/>
      <c r="F2875" s="688"/>
      <c r="G2875" s="1674"/>
      <c r="H2875" s="688"/>
      <c r="I2875" s="1668"/>
      <c r="J2875" s="1668"/>
      <c r="K2875" s="1668"/>
      <c r="L2875" s="1669"/>
    </row>
    <row r="2876" spans="1:12" s="692" customFormat="1" ht="16.5" hidden="1">
      <c r="A2876" s="1665"/>
      <c r="B2876" s="1666"/>
      <c r="C2876" s="688"/>
      <c r="D2876" s="1667"/>
      <c r="E2876" s="1671">
        <v>3.5</v>
      </c>
      <c r="F2876" s="1672"/>
      <c r="G2876" s="1671">
        <v>4</v>
      </c>
      <c r="H2876" s="1671">
        <f t="shared" ref="H2876:H2881" si="381">ROUND(D2876*E2876*G2876,2)</f>
        <v>0</v>
      </c>
      <c r="I2876" s="688" t="s">
        <v>92</v>
      </c>
      <c r="J2876" s="1668"/>
      <c r="K2876" s="1668"/>
      <c r="L2876" s="1669"/>
    </row>
    <row r="2877" spans="1:12" s="692" customFormat="1" ht="16.5" hidden="1">
      <c r="A2877" s="1665"/>
      <c r="B2877" s="1666"/>
      <c r="C2877" s="688"/>
      <c r="D2877" s="1667"/>
      <c r="E2877" s="1671">
        <v>3.5</v>
      </c>
      <c r="F2877" s="1672"/>
      <c r="G2877" s="1671">
        <v>4</v>
      </c>
      <c r="H2877" s="1671">
        <f t="shared" si="381"/>
        <v>0</v>
      </c>
      <c r="I2877" s="688" t="s">
        <v>92</v>
      </c>
      <c r="J2877" s="1668"/>
      <c r="K2877" s="1668"/>
      <c r="L2877" s="1669"/>
    </row>
    <row r="2878" spans="1:12" s="692" customFormat="1" ht="16.5" hidden="1">
      <c r="A2878" s="1665"/>
      <c r="B2878" s="1666"/>
      <c r="C2878" s="688"/>
      <c r="D2878" s="1667"/>
      <c r="E2878" s="1671">
        <v>3.5</v>
      </c>
      <c r="F2878" s="1672"/>
      <c r="G2878" s="1671">
        <v>4</v>
      </c>
      <c r="H2878" s="1671">
        <f t="shared" si="381"/>
        <v>0</v>
      </c>
      <c r="I2878" s="688" t="s">
        <v>92</v>
      </c>
      <c r="J2878" s="1668"/>
      <c r="K2878" s="1668"/>
      <c r="L2878" s="1669"/>
    </row>
    <row r="2879" spans="1:12" s="692" customFormat="1" ht="16.5" hidden="1">
      <c r="A2879" s="1665"/>
      <c r="B2879" s="1666"/>
      <c r="C2879" s="688"/>
      <c r="D2879" s="1667"/>
      <c r="E2879" s="1671">
        <v>3.5</v>
      </c>
      <c r="F2879" s="1672"/>
      <c r="G2879" s="1671">
        <v>4</v>
      </c>
      <c r="H2879" s="1671">
        <f t="shared" si="381"/>
        <v>0</v>
      </c>
      <c r="I2879" s="688" t="s">
        <v>92</v>
      </c>
      <c r="J2879" s="1668"/>
      <c r="K2879" s="1668"/>
      <c r="L2879" s="1669"/>
    </row>
    <row r="2880" spans="1:12" s="692" customFormat="1" ht="16.5" hidden="1">
      <c r="A2880" s="1665"/>
      <c r="B2880" s="1666"/>
      <c r="C2880" s="688"/>
      <c r="D2880" s="1667"/>
      <c r="E2880" s="1671">
        <v>3.5</v>
      </c>
      <c r="F2880" s="1672"/>
      <c r="G2880" s="1671">
        <v>4</v>
      </c>
      <c r="H2880" s="1671">
        <f t="shared" si="381"/>
        <v>0</v>
      </c>
      <c r="I2880" s="688" t="s">
        <v>92</v>
      </c>
      <c r="J2880" s="1668"/>
      <c r="K2880" s="1668"/>
      <c r="L2880" s="1669"/>
    </row>
    <row r="2881" spans="1:12" s="692" customFormat="1" ht="16.5" hidden="1">
      <c r="A2881" s="1665"/>
      <c r="B2881" s="1666"/>
      <c r="C2881" s="688"/>
      <c r="D2881" s="1667"/>
      <c r="E2881" s="1671">
        <v>3.5</v>
      </c>
      <c r="F2881" s="1672"/>
      <c r="G2881" s="1671">
        <v>4</v>
      </c>
      <c r="H2881" s="1671">
        <f t="shared" si="381"/>
        <v>0</v>
      </c>
      <c r="I2881" s="688" t="s">
        <v>92</v>
      </c>
      <c r="J2881" s="1668"/>
      <c r="K2881" s="1668"/>
      <c r="L2881" s="1669"/>
    </row>
    <row r="2882" spans="1:12" s="692" customFormat="1" ht="16.5" hidden="1">
      <c r="A2882" s="1665"/>
      <c r="B2882" s="1666"/>
      <c r="C2882" s="688"/>
      <c r="D2882" s="1667"/>
      <c r="E2882" s="688"/>
      <c r="F2882" s="688"/>
      <c r="G2882" s="1665" t="s">
        <v>928</v>
      </c>
      <c r="H2882" s="1673">
        <f>SUM(H2876:H2881)</f>
        <v>0</v>
      </c>
      <c r="I2882" s="1668" t="s">
        <v>92</v>
      </c>
      <c r="J2882" s="1669">
        <f>'Lead &amp; ANALYSIS'!L508</f>
        <v>553.20000000000005</v>
      </c>
      <c r="K2882" s="1668" t="s">
        <v>1514</v>
      </c>
      <c r="L2882" s="1669">
        <f>ROUND(H2882*J2882,0)</f>
        <v>0</v>
      </c>
    </row>
    <row r="2883" spans="1:12" s="692" customFormat="1" ht="16.5" hidden="1">
      <c r="A2883" s="1665" t="s">
        <v>638</v>
      </c>
      <c r="B2883" s="1666" t="s">
        <v>3622</v>
      </c>
      <c r="C2883" s="688"/>
      <c r="D2883" s="1667"/>
      <c r="E2883" s="688"/>
      <c r="F2883" s="688"/>
      <c r="G2883" s="1674"/>
      <c r="H2883" s="688"/>
      <c r="I2883" s="1668"/>
      <c r="J2883" s="1668"/>
      <c r="K2883" s="1668"/>
      <c r="L2883" s="1669"/>
    </row>
    <row r="2884" spans="1:12" s="692" customFormat="1" ht="16.5" hidden="1">
      <c r="A2884" s="1665"/>
      <c r="B2884" s="1666"/>
      <c r="C2884" s="688"/>
      <c r="D2884" s="1667"/>
      <c r="E2884" s="1671">
        <v>3.5</v>
      </c>
      <c r="F2884" s="1672"/>
      <c r="G2884" s="1671">
        <v>4</v>
      </c>
      <c r="H2884" s="1671">
        <f t="shared" ref="H2884:H2889" si="382">ROUND(D2884*E2884*G2884,2)</f>
        <v>0</v>
      </c>
      <c r="I2884" s="688" t="s">
        <v>92</v>
      </c>
      <c r="J2884" s="1668"/>
      <c r="K2884" s="1668"/>
      <c r="L2884" s="1669"/>
    </row>
    <row r="2885" spans="1:12" s="692" customFormat="1" ht="16.5" hidden="1">
      <c r="A2885" s="1665"/>
      <c r="B2885" s="1666"/>
      <c r="C2885" s="688"/>
      <c r="D2885" s="1667"/>
      <c r="E2885" s="1671">
        <v>3.5</v>
      </c>
      <c r="F2885" s="1672"/>
      <c r="G2885" s="1671">
        <v>4</v>
      </c>
      <c r="H2885" s="1671">
        <f t="shared" si="382"/>
        <v>0</v>
      </c>
      <c r="I2885" s="688" t="s">
        <v>92</v>
      </c>
      <c r="J2885" s="1668"/>
      <c r="K2885" s="1668"/>
      <c r="L2885" s="1669"/>
    </row>
    <row r="2886" spans="1:12" s="692" customFormat="1" ht="16.5" hidden="1">
      <c r="A2886" s="1665"/>
      <c r="B2886" s="1666"/>
      <c r="C2886" s="688"/>
      <c r="D2886" s="1667"/>
      <c r="E2886" s="1671">
        <v>3.5</v>
      </c>
      <c r="F2886" s="1672"/>
      <c r="G2886" s="1671">
        <v>4</v>
      </c>
      <c r="H2886" s="1671">
        <f t="shared" si="382"/>
        <v>0</v>
      </c>
      <c r="I2886" s="688" t="s">
        <v>92</v>
      </c>
      <c r="J2886" s="1668"/>
      <c r="K2886" s="1668"/>
      <c r="L2886" s="1669"/>
    </row>
    <row r="2887" spans="1:12" s="692" customFormat="1" ht="16.5" hidden="1">
      <c r="A2887" s="1665"/>
      <c r="B2887" s="1666"/>
      <c r="C2887" s="688"/>
      <c r="D2887" s="1667"/>
      <c r="E2887" s="1671">
        <v>3.5</v>
      </c>
      <c r="F2887" s="1672"/>
      <c r="G2887" s="1671">
        <v>4</v>
      </c>
      <c r="H2887" s="1671">
        <f t="shared" si="382"/>
        <v>0</v>
      </c>
      <c r="I2887" s="688" t="s">
        <v>92</v>
      </c>
      <c r="J2887" s="1668"/>
      <c r="K2887" s="1668"/>
      <c r="L2887" s="1669"/>
    </row>
    <row r="2888" spans="1:12" s="692" customFormat="1" ht="16.5" hidden="1">
      <c r="A2888" s="1665"/>
      <c r="B2888" s="1666"/>
      <c r="C2888" s="688"/>
      <c r="D2888" s="1667"/>
      <c r="E2888" s="1671">
        <v>3.5</v>
      </c>
      <c r="F2888" s="1672"/>
      <c r="G2888" s="1671">
        <v>4</v>
      </c>
      <c r="H2888" s="1671">
        <f t="shared" si="382"/>
        <v>0</v>
      </c>
      <c r="I2888" s="688" t="s">
        <v>92</v>
      </c>
      <c r="J2888" s="1668"/>
      <c r="K2888" s="1668"/>
      <c r="L2888" s="1669"/>
    </row>
    <row r="2889" spans="1:12" s="692" customFormat="1" ht="16.5" hidden="1">
      <c r="A2889" s="1665"/>
      <c r="B2889" s="1666"/>
      <c r="C2889" s="688"/>
      <c r="D2889" s="1667"/>
      <c r="E2889" s="1671">
        <v>3.5</v>
      </c>
      <c r="F2889" s="1672"/>
      <c r="G2889" s="1671">
        <v>4</v>
      </c>
      <c r="H2889" s="1671">
        <f t="shared" si="382"/>
        <v>0</v>
      </c>
      <c r="I2889" s="688" t="s">
        <v>92</v>
      </c>
      <c r="J2889" s="1668"/>
      <c r="K2889" s="1668"/>
      <c r="L2889" s="1669"/>
    </row>
    <row r="2890" spans="1:12" s="692" customFormat="1" ht="16.5" hidden="1">
      <c r="A2890" s="1665"/>
      <c r="B2890" s="1666"/>
      <c r="C2890" s="688"/>
      <c r="D2890" s="1667"/>
      <c r="E2890" s="1673"/>
      <c r="F2890" s="1673"/>
      <c r="G2890" s="1669" t="s">
        <v>928</v>
      </c>
      <c r="H2890" s="1673">
        <f>SUM(H2884:H2889)</f>
        <v>0</v>
      </c>
      <c r="I2890" s="1668" t="s">
        <v>92</v>
      </c>
      <c r="J2890" s="1669">
        <f>'Lead &amp; ANALYSIS'!L509</f>
        <v>595.4</v>
      </c>
      <c r="K2890" s="1668" t="s">
        <v>1514</v>
      </c>
      <c r="L2890" s="1669">
        <f>ROUND(H2890*J2890,0)</f>
        <v>0</v>
      </c>
    </row>
    <row r="2891" spans="1:12" s="692" customFormat="1" ht="16.5" hidden="1">
      <c r="A2891" s="1665" t="s">
        <v>640</v>
      </c>
      <c r="B2891" s="1666" t="s">
        <v>3636</v>
      </c>
      <c r="C2891" s="688"/>
      <c r="D2891" s="1667"/>
      <c r="E2891" s="688"/>
      <c r="F2891" s="688"/>
      <c r="G2891" s="1674"/>
      <c r="H2891" s="688"/>
      <c r="I2891" s="1668"/>
      <c r="J2891" s="1668"/>
      <c r="K2891" s="1668"/>
      <c r="L2891" s="1669"/>
    </row>
    <row r="2892" spans="1:12" s="692" customFormat="1" ht="16.5" hidden="1">
      <c r="A2892" s="1665"/>
      <c r="B2892" s="1666"/>
      <c r="C2892" s="688"/>
      <c r="D2892" s="1667"/>
      <c r="E2892" s="1671">
        <v>3.5</v>
      </c>
      <c r="F2892" s="1672"/>
      <c r="G2892" s="1671">
        <v>4</v>
      </c>
      <c r="H2892" s="1671">
        <f t="shared" ref="H2892:H2897" si="383">ROUND(D2892*E2892*G2892,2)</f>
        <v>0</v>
      </c>
      <c r="I2892" s="688" t="s">
        <v>92</v>
      </c>
      <c r="J2892" s="1668"/>
      <c r="K2892" s="1668"/>
      <c r="L2892" s="1669"/>
    </row>
    <row r="2893" spans="1:12" s="692" customFormat="1" ht="16.5" hidden="1">
      <c r="A2893" s="1665"/>
      <c r="B2893" s="1666"/>
      <c r="C2893" s="688"/>
      <c r="D2893" s="1667"/>
      <c r="E2893" s="1671">
        <v>3.5</v>
      </c>
      <c r="F2893" s="1672"/>
      <c r="G2893" s="1671">
        <v>4</v>
      </c>
      <c r="H2893" s="1671">
        <f t="shared" si="383"/>
        <v>0</v>
      </c>
      <c r="I2893" s="688" t="s">
        <v>92</v>
      </c>
      <c r="J2893" s="1668"/>
      <c r="K2893" s="1668"/>
      <c r="L2893" s="1669"/>
    </row>
    <row r="2894" spans="1:12" s="692" customFormat="1" ht="16.5" hidden="1">
      <c r="A2894" s="1665"/>
      <c r="B2894" s="1666"/>
      <c r="C2894" s="688"/>
      <c r="D2894" s="1667"/>
      <c r="E2894" s="1671">
        <v>3.5</v>
      </c>
      <c r="F2894" s="1672"/>
      <c r="G2894" s="1671">
        <v>4</v>
      </c>
      <c r="H2894" s="1671">
        <f t="shared" si="383"/>
        <v>0</v>
      </c>
      <c r="I2894" s="688" t="s">
        <v>92</v>
      </c>
      <c r="J2894" s="1668"/>
      <c r="K2894" s="1668"/>
      <c r="L2894" s="1669"/>
    </row>
    <row r="2895" spans="1:12" s="692" customFormat="1" ht="16.5" hidden="1">
      <c r="A2895" s="1665"/>
      <c r="B2895" s="1666"/>
      <c r="C2895" s="688"/>
      <c r="D2895" s="1667"/>
      <c r="E2895" s="1671">
        <v>3.5</v>
      </c>
      <c r="F2895" s="1672"/>
      <c r="G2895" s="1671">
        <v>4</v>
      </c>
      <c r="H2895" s="1671">
        <f t="shared" si="383"/>
        <v>0</v>
      </c>
      <c r="I2895" s="688" t="s">
        <v>92</v>
      </c>
      <c r="J2895" s="1668"/>
      <c r="K2895" s="1668"/>
      <c r="L2895" s="1669"/>
    </row>
    <row r="2896" spans="1:12" s="692" customFormat="1" ht="16.5" hidden="1">
      <c r="A2896" s="1665"/>
      <c r="B2896" s="1666"/>
      <c r="C2896" s="688"/>
      <c r="D2896" s="1667"/>
      <c r="E2896" s="1671">
        <v>3.5</v>
      </c>
      <c r="F2896" s="1672"/>
      <c r="G2896" s="1671">
        <v>4</v>
      </c>
      <c r="H2896" s="1671">
        <f t="shared" si="383"/>
        <v>0</v>
      </c>
      <c r="I2896" s="688" t="s">
        <v>92</v>
      </c>
      <c r="J2896" s="1668"/>
      <c r="K2896" s="1668"/>
      <c r="L2896" s="1669"/>
    </row>
    <row r="2897" spans="1:12" s="692" customFormat="1" ht="16.5" hidden="1">
      <c r="A2897" s="1665"/>
      <c r="B2897" s="1666"/>
      <c r="C2897" s="688"/>
      <c r="D2897" s="1667"/>
      <c r="E2897" s="1671">
        <v>3.5</v>
      </c>
      <c r="F2897" s="1672"/>
      <c r="G2897" s="1671">
        <v>4</v>
      </c>
      <c r="H2897" s="1671">
        <f t="shared" si="383"/>
        <v>0</v>
      </c>
      <c r="I2897" s="688" t="s">
        <v>92</v>
      </c>
      <c r="J2897" s="1668"/>
      <c r="K2897" s="1668"/>
      <c r="L2897" s="1669"/>
    </row>
    <row r="2898" spans="1:12" s="692" customFormat="1" ht="16.5" hidden="1">
      <c r="A2898" s="1665"/>
      <c r="B2898" s="1666"/>
      <c r="C2898" s="688"/>
      <c r="D2898" s="1667"/>
      <c r="E2898" s="1673"/>
      <c r="F2898" s="1673"/>
      <c r="G2898" s="1669" t="s">
        <v>928</v>
      </c>
      <c r="H2898" s="1673">
        <f>SUM(H2892:H2897)</f>
        <v>0</v>
      </c>
      <c r="I2898" s="1668" t="s">
        <v>92</v>
      </c>
      <c r="J2898" s="1669">
        <f>'Lead &amp; ANALYSIS'!L510</f>
        <v>639.29999999999995</v>
      </c>
      <c r="K2898" s="1668" t="s">
        <v>1514</v>
      </c>
      <c r="L2898" s="1669">
        <f>ROUND(H2898*J2898,0)</f>
        <v>0</v>
      </c>
    </row>
    <row r="2899" spans="1:12" s="692" customFormat="1" ht="33" hidden="1">
      <c r="A2899" s="1665" t="s">
        <v>2072</v>
      </c>
      <c r="B2899" s="1666" t="str">
        <f>'Lead &amp; ANALYSIS'!B511</f>
        <v>Centering and shuttering for slope roof upto 3.6m height</v>
      </c>
      <c r="C2899" s="688"/>
      <c r="D2899" s="1667"/>
      <c r="E2899" s="688"/>
      <c r="F2899" s="688"/>
      <c r="G2899" s="1674"/>
      <c r="H2899" s="688"/>
      <c r="I2899" s="1668"/>
      <c r="J2899" s="1668"/>
      <c r="K2899" s="1668"/>
      <c r="L2899" s="1669"/>
    </row>
    <row r="2900" spans="1:12" s="692" customFormat="1" ht="16.5" hidden="1">
      <c r="A2900" s="1665" t="s">
        <v>413</v>
      </c>
      <c r="B2900" s="1666" t="s">
        <v>384</v>
      </c>
      <c r="C2900" s="688"/>
      <c r="D2900" s="1667"/>
      <c r="E2900" s="688"/>
      <c r="F2900" s="688"/>
      <c r="G2900" s="1674"/>
      <c r="H2900" s="688"/>
      <c r="I2900" s="1668"/>
      <c r="J2900" s="1668"/>
      <c r="K2900" s="1668"/>
      <c r="L2900" s="1669"/>
    </row>
    <row r="2901" spans="1:12" s="692" customFormat="1" ht="16.5" hidden="1">
      <c r="A2901" s="1665"/>
      <c r="B2901" s="1666"/>
      <c r="C2901" s="688"/>
      <c r="D2901" s="1667"/>
      <c r="E2901" s="1671">
        <v>3.5</v>
      </c>
      <c r="F2901" s="1672"/>
      <c r="G2901" s="1671">
        <v>4</v>
      </c>
      <c r="H2901" s="1671">
        <f t="shared" ref="H2901:H2906" si="384">ROUND(D2901*E2901*G2901,2)</f>
        <v>0</v>
      </c>
      <c r="I2901" s="688" t="s">
        <v>92</v>
      </c>
      <c r="J2901" s="1668"/>
      <c r="K2901" s="1668"/>
      <c r="L2901" s="1669"/>
    </row>
    <row r="2902" spans="1:12" s="692" customFormat="1" ht="16.5" hidden="1">
      <c r="A2902" s="1665"/>
      <c r="B2902" s="1666"/>
      <c r="C2902" s="688"/>
      <c r="D2902" s="1667"/>
      <c r="E2902" s="1671">
        <v>3.5</v>
      </c>
      <c r="F2902" s="1672"/>
      <c r="G2902" s="1671">
        <v>4</v>
      </c>
      <c r="H2902" s="1671">
        <f t="shared" si="384"/>
        <v>0</v>
      </c>
      <c r="I2902" s="688" t="s">
        <v>92</v>
      </c>
      <c r="J2902" s="1668"/>
      <c r="K2902" s="1668"/>
      <c r="L2902" s="1669"/>
    </row>
    <row r="2903" spans="1:12" s="692" customFormat="1" ht="16.5" hidden="1">
      <c r="A2903" s="1665"/>
      <c r="B2903" s="1666"/>
      <c r="C2903" s="688"/>
      <c r="D2903" s="1667"/>
      <c r="E2903" s="1671">
        <v>3.5</v>
      </c>
      <c r="F2903" s="1672"/>
      <c r="G2903" s="1671">
        <v>4</v>
      </c>
      <c r="H2903" s="1671">
        <f t="shared" si="384"/>
        <v>0</v>
      </c>
      <c r="I2903" s="688" t="s">
        <v>92</v>
      </c>
      <c r="J2903" s="1668"/>
      <c r="K2903" s="1668"/>
      <c r="L2903" s="1669"/>
    </row>
    <row r="2904" spans="1:12" s="692" customFormat="1" ht="16.5" hidden="1">
      <c r="A2904" s="1665"/>
      <c r="B2904" s="1666"/>
      <c r="C2904" s="688"/>
      <c r="D2904" s="1667"/>
      <c r="E2904" s="1671">
        <v>3.5</v>
      </c>
      <c r="F2904" s="1672"/>
      <c r="G2904" s="1671">
        <v>4</v>
      </c>
      <c r="H2904" s="1671">
        <f t="shared" si="384"/>
        <v>0</v>
      </c>
      <c r="I2904" s="688" t="s">
        <v>92</v>
      </c>
      <c r="J2904" s="1668"/>
      <c r="K2904" s="1668"/>
      <c r="L2904" s="1669"/>
    </row>
    <row r="2905" spans="1:12" s="692" customFormat="1" ht="16.5" hidden="1">
      <c r="A2905" s="1665"/>
      <c r="B2905" s="1666"/>
      <c r="C2905" s="688"/>
      <c r="D2905" s="1667"/>
      <c r="E2905" s="1671">
        <v>3.5</v>
      </c>
      <c r="F2905" s="1672"/>
      <c r="G2905" s="1671">
        <v>4</v>
      </c>
      <c r="H2905" s="1671">
        <f t="shared" si="384"/>
        <v>0</v>
      </c>
      <c r="I2905" s="688" t="s">
        <v>92</v>
      </c>
      <c r="J2905" s="1668"/>
      <c r="K2905" s="1668"/>
      <c r="L2905" s="1669"/>
    </row>
    <row r="2906" spans="1:12" s="692" customFormat="1" ht="16.5" hidden="1">
      <c r="A2906" s="1665"/>
      <c r="B2906" s="1666"/>
      <c r="C2906" s="688"/>
      <c r="D2906" s="1667"/>
      <c r="E2906" s="1671">
        <v>3.5</v>
      </c>
      <c r="F2906" s="1672"/>
      <c r="G2906" s="1671">
        <v>4</v>
      </c>
      <c r="H2906" s="1671">
        <f t="shared" si="384"/>
        <v>0</v>
      </c>
      <c r="I2906" s="688" t="s">
        <v>92</v>
      </c>
      <c r="J2906" s="1668"/>
      <c r="K2906" s="1668"/>
      <c r="L2906" s="1669"/>
    </row>
    <row r="2907" spans="1:12" s="692" customFormat="1" ht="16.5" hidden="1">
      <c r="A2907" s="1665"/>
      <c r="B2907" s="1666"/>
      <c r="C2907" s="688"/>
      <c r="D2907" s="1667"/>
      <c r="E2907" s="1671"/>
      <c r="F2907" s="1671"/>
      <c r="G2907" s="1685" t="s">
        <v>928</v>
      </c>
      <c r="H2907" s="1673">
        <f>SUM(H2901:H2906)</f>
        <v>0</v>
      </c>
      <c r="I2907" s="1668" t="s">
        <v>92</v>
      </c>
      <c r="J2907" s="1669">
        <f>'Lead &amp; ANALYSIS'!L512</f>
        <v>636.29999999999995</v>
      </c>
      <c r="K2907" s="1668" t="s">
        <v>1514</v>
      </c>
      <c r="L2907" s="1669">
        <f>ROUND(H2907*J2907,0)</f>
        <v>0</v>
      </c>
    </row>
    <row r="2908" spans="1:12" s="692" customFormat="1" ht="16.5" hidden="1">
      <c r="A2908" s="1665" t="s">
        <v>415</v>
      </c>
      <c r="B2908" s="1666" t="s">
        <v>387</v>
      </c>
      <c r="C2908" s="688"/>
      <c r="D2908" s="1667"/>
      <c r="E2908" s="688"/>
      <c r="F2908" s="688"/>
      <c r="G2908" s="1674"/>
      <c r="H2908" s="688"/>
      <c r="I2908" s="1668"/>
      <c r="J2908" s="1668"/>
      <c r="K2908" s="1668"/>
      <c r="L2908" s="1669"/>
    </row>
    <row r="2909" spans="1:12" s="692" customFormat="1" ht="16.5" hidden="1">
      <c r="A2909" s="1665"/>
      <c r="B2909" s="1666"/>
      <c r="C2909" s="688"/>
      <c r="D2909" s="1667"/>
      <c r="E2909" s="1671">
        <v>3.5</v>
      </c>
      <c r="F2909" s="1672"/>
      <c r="G2909" s="1671">
        <v>4</v>
      </c>
      <c r="H2909" s="1671">
        <f t="shared" ref="H2909:H2914" si="385">ROUND(D2909*E2909*G2909,2)</f>
        <v>0</v>
      </c>
      <c r="I2909" s="688" t="s">
        <v>92</v>
      </c>
      <c r="J2909" s="1668"/>
      <c r="K2909" s="1668"/>
      <c r="L2909" s="1669"/>
    </row>
    <row r="2910" spans="1:12" s="692" customFormat="1" ht="16.5" hidden="1">
      <c r="A2910" s="1665"/>
      <c r="B2910" s="1666"/>
      <c r="C2910" s="688"/>
      <c r="D2910" s="1667"/>
      <c r="E2910" s="1671">
        <v>3.5</v>
      </c>
      <c r="F2910" s="1672"/>
      <c r="G2910" s="1671">
        <v>4</v>
      </c>
      <c r="H2910" s="1671">
        <f t="shared" si="385"/>
        <v>0</v>
      </c>
      <c r="I2910" s="688" t="s">
        <v>92</v>
      </c>
      <c r="J2910" s="1668"/>
      <c r="K2910" s="1668"/>
      <c r="L2910" s="1669"/>
    </row>
    <row r="2911" spans="1:12" s="692" customFormat="1" ht="16.5" hidden="1">
      <c r="A2911" s="1665"/>
      <c r="B2911" s="1666"/>
      <c r="C2911" s="688"/>
      <c r="D2911" s="1667"/>
      <c r="E2911" s="1671">
        <v>3.5</v>
      </c>
      <c r="F2911" s="1672"/>
      <c r="G2911" s="1671">
        <v>4</v>
      </c>
      <c r="H2911" s="1671">
        <f t="shared" si="385"/>
        <v>0</v>
      </c>
      <c r="I2911" s="688" t="s">
        <v>92</v>
      </c>
      <c r="J2911" s="1668"/>
      <c r="K2911" s="1668"/>
      <c r="L2911" s="1669"/>
    </row>
    <row r="2912" spans="1:12" s="692" customFormat="1" ht="16.5" hidden="1">
      <c r="A2912" s="1665"/>
      <c r="B2912" s="1666"/>
      <c r="C2912" s="688"/>
      <c r="D2912" s="1667"/>
      <c r="E2912" s="1671">
        <v>3.5</v>
      </c>
      <c r="F2912" s="1672"/>
      <c r="G2912" s="1671">
        <v>4</v>
      </c>
      <c r="H2912" s="1671">
        <f t="shared" si="385"/>
        <v>0</v>
      </c>
      <c r="I2912" s="688" t="s">
        <v>92</v>
      </c>
      <c r="J2912" s="1668"/>
      <c r="K2912" s="1668"/>
      <c r="L2912" s="1669"/>
    </row>
    <row r="2913" spans="1:12" s="692" customFormat="1" ht="16.5" hidden="1">
      <c r="A2913" s="1665"/>
      <c r="B2913" s="1666"/>
      <c r="C2913" s="688"/>
      <c r="D2913" s="1667"/>
      <c r="E2913" s="1671">
        <v>3.5</v>
      </c>
      <c r="F2913" s="1672"/>
      <c r="G2913" s="1671">
        <v>4</v>
      </c>
      <c r="H2913" s="1671">
        <f t="shared" si="385"/>
        <v>0</v>
      </c>
      <c r="I2913" s="688" t="s">
        <v>92</v>
      </c>
      <c r="J2913" s="1668"/>
      <c r="K2913" s="1668"/>
      <c r="L2913" s="1669"/>
    </row>
    <row r="2914" spans="1:12" s="692" customFormat="1" ht="16.5" hidden="1">
      <c r="A2914" s="1665"/>
      <c r="B2914" s="1666"/>
      <c r="C2914" s="688"/>
      <c r="D2914" s="1667"/>
      <c r="E2914" s="1671">
        <v>3.5</v>
      </c>
      <c r="F2914" s="1672"/>
      <c r="G2914" s="1671">
        <v>4</v>
      </c>
      <c r="H2914" s="1671">
        <f t="shared" si="385"/>
        <v>0</v>
      </c>
      <c r="I2914" s="688" t="s">
        <v>92</v>
      </c>
      <c r="J2914" s="1668"/>
      <c r="K2914" s="1668"/>
      <c r="L2914" s="1669"/>
    </row>
    <row r="2915" spans="1:12" s="692" customFormat="1" ht="16.5" hidden="1">
      <c r="A2915" s="1665"/>
      <c r="B2915" s="1666"/>
      <c r="C2915" s="688"/>
      <c r="D2915" s="1667"/>
      <c r="E2915" s="1671"/>
      <c r="F2915" s="1671"/>
      <c r="G2915" s="1669" t="s">
        <v>928</v>
      </c>
      <c r="H2915" s="1673">
        <f>SUM(H2909:H2914)</f>
        <v>0</v>
      </c>
      <c r="I2915" s="1668" t="s">
        <v>92</v>
      </c>
      <c r="J2915" s="1669">
        <f>'Lead &amp; ANALYSIS'!L513</f>
        <v>763.6</v>
      </c>
      <c r="K2915" s="1668" t="s">
        <v>1514</v>
      </c>
      <c r="L2915" s="1669">
        <f>ROUND(H2915*J2915,0)</f>
        <v>0</v>
      </c>
    </row>
    <row r="2916" spans="1:12" s="692" customFormat="1" ht="16.5" hidden="1">
      <c r="A2916" s="1665" t="s">
        <v>638</v>
      </c>
      <c r="B2916" s="1666" t="s">
        <v>3622</v>
      </c>
      <c r="C2916" s="688"/>
      <c r="D2916" s="1667"/>
      <c r="E2916" s="688"/>
      <c r="F2916" s="688"/>
      <c r="G2916" s="1674"/>
      <c r="H2916" s="688"/>
      <c r="I2916" s="1668"/>
      <c r="J2916" s="1668"/>
      <c r="K2916" s="1668"/>
      <c r="L2916" s="1669"/>
    </row>
    <row r="2917" spans="1:12" s="692" customFormat="1" ht="16.5" hidden="1">
      <c r="A2917" s="1665"/>
      <c r="B2917" s="1666"/>
      <c r="C2917" s="688"/>
      <c r="D2917" s="1667"/>
      <c r="E2917" s="1671">
        <v>3.5</v>
      </c>
      <c r="F2917" s="1672"/>
      <c r="G2917" s="1671">
        <v>4</v>
      </c>
      <c r="H2917" s="1671">
        <f t="shared" ref="H2917:H2922" si="386">ROUND(D2917*E2917*G2917,2)</f>
        <v>0</v>
      </c>
      <c r="I2917" s="688" t="s">
        <v>92</v>
      </c>
      <c r="J2917" s="1668"/>
      <c r="K2917" s="1668"/>
      <c r="L2917" s="1669"/>
    </row>
    <row r="2918" spans="1:12" s="692" customFormat="1" ht="16.5" hidden="1">
      <c r="A2918" s="1665"/>
      <c r="B2918" s="1666"/>
      <c r="C2918" s="688"/>
      <c r="D2918" s="1667"/>
      <c r="E2918" s="1671">
        <v>3.5</v>
      </c>
      <c r="F2918" s="1672"/>
      <c r="G2918" s="1671">
        <v>4</v>
      </c>
      <c r="H2918" s="1671">
        <f t="shared" si="386"/>
        <v>0</v>
      </c>
      <c r="I2918" s="688" t="s">
        <v>92</v>
      </c>
      <c r="J2918" s="1668"/>
      <c r="K2918" s="1668"/>
      <c r="L2918" s="1669"/>
    </row>
    <row r="2919" spans="1:12" s="692" customFormat="1" ht="16.5" hidden="1">
      <c r="A2919" s="1665"/>
      <c r="B2919" s="1666"/>
      <c r="C2919" s="688"/>
      <c r="D2919" s="1667"/>
      <c r="E2919" s="1671">
        <v>3.5</v>
      </c>
      <c r="F2919" s="1672"/>
      <c r="G2919" s="1671">
        <v>4</v>
      </c>
      <c r="H2919" s="1671">
        <f t="shared" si="386"/>
        <v>0</v>
      </c>
      <c r="I2919" s="688" t="s">
        <v>92</v>
      </c>
      <c r="J2919" s="1668"/>
      <c r="K2919" s="1668"/>
      <c r="L2919" s="1669"/>
    </row>
    <row r="2920" spans="1:12" s="692" customFormat="1" ht="16.5" hidden="1">
      <c r="A2920" s="1665"/>
      <c r="B2920" s="1666"/>
      <c r="C2920" s="688"/>
      <c r="D2920" s="1667"/>
      <c r="E2920" s="1671">
        <v>3.5</v>
      </c>
      <c r="F2920" s="1672"/>
      <c r="G2920" s="1671">
        <v>4</v>
      </c>
      <c r="H2920" s="1671">
        <f t="shared" si="386"/>
        <v>0</v>
      </c>
      <c r="I2920" s="688" t="s">
        <v>92</v>
      </c>
      <c r="J2920" s="1668"/>
      <c r="K2920" s="1668"/>
      <c r="L2920" s="1669"/>
    </row>
    <row r="2921" spans="1:12" s="692" customFormat="1" ht="16.5" hidden="1">
      <c r="A2921" s="1665"/>
      <c r="B2921" s="1666"/>
      <c r="C2921" s="688"/>
      <c r="D2921" s="1667"/>
      <c r="E2921" s="1671">
        <v>3.5</v>
      </c>
      <c r="F2921" s="1672"/>
      <c r="G2921" s="1671">
        <v>4</v>
      </c>
      <c r="H2921" s="1671">
        <f t="shared" si="386"/>
        <v>0</v>
      </c>
      <c r="I2921" s="688" t="s">
        <v>92</v>
      </c>
      <c r="J2921" s="1668"/>
      <c r="K2921" s="1668"/>
      <c r="L2921" s="1669"/>
    </row>
    <row r="2922" spans="1:12" s="692" customFormat="1" ht="16.5" hidden="1">
      <c r="A2922" s="1665"/>
      <c r="B2922" s="1666"/>
      <c r="C2922" s="688"/>
      <c r="D2922" s="1667"/>
      <c r="E2922" s="1671">
        <v>3.5</v>
      </c>
      <c r="F2922" s="1672"/>
      <c r="G2922" s="1671">
        <v>4</v>
      </c>
      <c r="H2922" s="1671">
        <f t="shared" si="386"/>
        <v>0</v>
      </c>
      <c r="I2922" s="688" t="s">
        <v>92</v>
      </c>
      <c r="J2922" s="1668"/>
      <c r="K2922" s="1668"/>
      <c r="L2922" s="1669"/>
    </row>
    <row r="2923" spans="1:12" s="692" customFormat="1" ht="16.5" hidden="1">
      <c r="A2923" s="1665"/>
      <c r="B2923" s="1666"/>
      <c r="C2923" s="688"/>
      <c r="D2923" s="1667"/>
      <c r="E2923" s="1673"/>
      <c r="F2923" s="1673"/>
      <c r="G2923" s="1669" t="s">
        <v>928</v>
      </c>
      <c r="H2923" s="1673">
        <f>SUM(H2917:H2922)</f>
        <v>0</v>
      </c>
      <c r="I2923" s="1668" t="s">
        <v>92</v>
      </c>
      <c r="J2923" s="1669">
        <f>'Lead &amp; ANALYSIS'!L514</f>
        <v>916.3</v>
      </c>
      <c r="K2923" s="1668" t="s">
        <v>1514</v>
      </c>
      <c r="L2923" s="1669">
        <f>ROUND(H2923*J2923,0)</f>
        <v>0</v>
      </c>
    </row>
    <row r="2924" spans="1:12" s="692" customFormat="1" ht="16.5" hidden="1">
      <c r="A2924" s="1665" t="s">
        <v>640</v>
      </c>
      <c r="B2924" s="1666" t="s">
        <v>3636</v>
      </c>
      <c r="C2924" s="688"/>
      <c r="D2924" s="1667"/>
      <c r="E2924" s="688"/>
      <c r="F2924" s="688"/>
      <c r="G2924" s="1674"/>
      <c r="H2924" s="688"/>
      <c r="I2924" s="1668"/>
      <c r="J2924" s="1668"/>
      <c r="K2924" s="1668"/>
      <c r="L2924" s="1669"/>
    </row>
    <row r="2925" spans="1:12" s="692" customFormat="1" ht="16.5" hidden="1">
      <c r="A2925" s="1665"/>
      <c r="B2925" s="1666"/>
      <c r="C2925" s="688"/>
      <c r="D2925" s="1667"/>
      <c r="E2925" s="1671">
        <v>3.5</v>
      </c>
      <c r="F2925" s="1672"/>
      <c r="G2925" s="1671">
        <v>4</v>
      </c>
      <c r="H2925" s="1671">
        <f t="shared" ref="H2925:H2930" si="387">ROUND(D2925*E2925*G2925,2)</f>
        <v>0</v>
      </c>
      <c r="I2925" s="688" t="s">
        <v>92</v>
      </c>
      <c r="J2925" s="1668"/>
      <c r="K2925" s="1668"/>
      <c r="L2925" s="1669"/>
    </row>
    <row r="2926" spans="1:12" s="692" customFormat="1" ht="16.5" hidden="1">
      <c r="A2926" s="1665"/>
      <c r="B2926" s="1666"/>
      <c r="C2926" s="688"/>
      <c r="D2926" s="1667"/>
      <c r="E2926" s="1671">
        <v>3.5</v>
      </c>
      <c r="F2926" s="1672"/>
      <c r="G2926" s="1671">
        <v>4</v>
      </c>
      <c r="H2926" s="1671">
        <f t="shared" si="387"/>
        <v>0</v>
      </c>
      <c r="I2926" s="688" t="s">
        <v>92</v>
      </c>
      <c r="J2926" s="1668"/>
      <c r="K2926" s="1668"/>
      <c r="L2926" s="1669"/>
    </row>
    <row r="2927" spans="1:12" s="692" customFormat="1" ht="16.5" hidden="1">
      <c r="A2927" s="1665"/>
      <c r="B2927" s="1666"/>
      <c r="C2927" s="688"/>
      <c r="D2927" s="1667"/>
      <c r="E2927" s="1671">
        <v>3.5</v>
      </c>
      <c r="F2927" s="1672"/>
      <c r="G2927" s="1671">
        <v>4</v>
      </c>
      <c r="H2927" s="1671">
        <f t="shared" si="387"/>
        <v>0</v>
      </c>
      <c r="I2927" s="688" t="s">
        <v>92</v>
      </c>
      <c r="J2927" s="1668"/>
      <c r="K2927" s="1668"/>
      <c r="L2927" s="1669"/>
    </row>
    <row r="2928" spans="1:12" s="692" customFormat="1" ht="16.5" hidden="1">
      <c r="A2928" s="1665"/>
      <c r="B2928" s="1666"/>
      <c r="C2928" s="688"/>
      <c r="D2928" s="1667"/>
      <c r="E2928" s="1671">
        <v>3.5</v>
      </c>
      <c r="F2928" s="1672"/>
      <c r="G2928" s="1671">
        <v>4</v>
      </c>
      <c r="H2928" s="1671">
        <f t="shared" si="387"/>
        <v>0</v>
      </c>
      <c r="I2928" s="688" t="s">
        <v>92</v>
      </c>
      <c r="J2928" s="1668"/>
      <c r="K2928" s="1668"/>
      <c r="L2928" s="1669"/>
    </row>
    <row r="2929" spans="1:12" s="692" customFormat="1" ht="16.5" hidden="1">
      <c r="A2929" s="1665"/>
      <c r="B2929" s="1666"/>
      <c r="C2929" s="688"/>
      <c r="D2929" s="1667"/>
      <c r="E2929" s="1671">
        <v>3.5</v>
      </c>
      <c r="F2929" s="1672"/>
      <c r="G2929" s="1671">
        <v>4</v>
      </c>
      <c r="H2929" s="1671">
        <f t="shared" si="387"/>
        <v>0</v>
      </c>
      <c r="I2929" s="688" t="s">
        <v>92</v>
      </c>
      <c r="J2929" s="1668"/>
      <c r="K2929" s="1668"/>
      <c r="L2929" s="1669"/>
    </row>
    <row r="2930" spans="1:12" s="692" customFormat="1" ht="16.5" hidden="1">
      <c r="A2930" s="1665"/>
      <c r="B2930" s="1666"/>
      <c r="C2930" s="688"/>
      <c r="D2930" s="1667"/>
      <c r="E2930" s="1671">
        <v>3.5</v>
      </c>
      <c r="F2930" s="1672"/>
      <c r="G2930" s="1671">
        <v>4</v>
      </c>
      <c r="H2930" s="1671">
        <f t="shared" si="387"/>
        <v>0</v>
      </c>
      <c r="I2930" s="688" t="s">
        <v>92</v>
      </c>
      <c r="J2930" s="1668"/>
      <c r="K2930" s="1668"/>
      <c r="L2930" s="1669"/>
    </row>
    <row r="2931" spans="1:12" s="692" customFormat="1" ht="16.5" hidden="1">
      <c r="A2931" s="1665"/>
      <c r="B2931" s="1666"/>
      <c r="C2931" s="688"/>
      <c r="D2931" s="1667"/>
      <c r="E2931" s="1673"/>
      <c r="F2931" s="1673"/>
      <c r="G2931" s="1669" t="s">
        <v>928</v>
      </c>
      <c r="H2931" s="1673">
        <f>SUM(H2925:H2930)</f>
        <v>0</v>
      </c>
      <c r="I2931" s="1668" t="s">
        <v>92</v>
      </c>
      <c r="J2931" s="1669">
        <f>'Lead &amp; ANALYSIS'!L515</f>
        <v>1099.5999999999999</v>
      </c>
      <c r="K2931" s="1668" t="s">
        <v>1514</v>
      </c>
      <c r="L2931" s="1669">
        <f>ROUND(H2931*J2931,0)</f>
        <v>0</v>
      </c>
    </row>
    <row r="2932" spans="1:12" s="692" customFormat="1" ht="16.5" hidden="1">
      <c r="A2932" s="1665" t="s">
        <v>3415</v>
      </c>
      <c r="B2932" s="1666" t="str">
        <f>'Lead &amp; ANALYSIS'!B516</f>
        <v>RCC Slab for Culvert &amp; Bridges Upto 8 mtr. Span.</v>
      </c>
      <c r="C2932" s="688"/>
      <c r="D2932" s="1667"/>
      <c r="E2932" s="688"/>
      <c r="F2932" s="688"/>
      <c r="G2932" s="1674"/>
      <c r="H2932" s="688"/>
      <c r="I2932" s="1668"/>
      <c r="J2932" s="1668"/>
      <c r="K2932" s="1668"/>
      <c r="L2932" s="1669"/>
    </row>
    <row r="2933" spans="1:12" s="692" customFormat="1" ht="16.5" hidden="1">
      <c r="A2933" s="1665"/>
      <c r="B2933" s="1666" t="s">
        <v>467</v>
      </c>
      <c r="C2933" s="688"/>
      <c r="D2933" s="1667"/>
      <c r="E2933" s="688"/>
      <c r="F2933" s="688"/>
      <c r="G2933" s="1674"/>
      <c r="H2933" s="688"/>
      <c r="I2933" s="1668"/>
      <c r="J2933" s="1668"/>
      <c r="K2933" s="1668"/>
      <c r="L2933" s="1669"/>
    </row>
    <row r="2934" spans="1:12" s="692" customFormat="1" ht="16.5" hidden="1">
      <c r="A2934" s="1665"/>
      <c r="B2934" s="1666"/>
      <c r="C2934" s="688"/>
      <c r="D2934" s="1667"/>
      <c r="E2934" s="1671">
        <v>3.5</v>
      </c>
      <c r="F2934" s="1672"/>
      <c r="G2934" s="1671">
        <v>4</v>
      </c>
      <c r="H2934" s="1671">
        <f t="shared" ref="H2934:H2939" si="388">ROUND(D2934*E2934*G2934,2)</f>
        <v>0</v>
      </c>
      <c r="I2934" s="688" t="s">
        <v>92</v>
      </c>
      <c r="J2934" s="1668"/>
      <c r="K2934" s="1668"/>
      <c r="L2934" s="1669"/>
    </row>
    <row r="2935" spans="1:12" s="692" customFormat="1" ht="16.5" hidden="1">
      <c r="A2935" s="1665"/>
      <c r="B2935" s="1666"/>
      <c r="C2935" s="688"/>
      <c r="D2935" s="1667"/>
      <c r="E2935" s="1671">
        <v>3.5</v>
      </c>
      <c r="F2935" s="1672"/>
      <c r="G2935" s="1671">
        <v>4</v>
      </c>
      <c r="H2935" s="1671">
        <f t="shared" si="388"/>
        <v>0</v>
      </c>
      <c r="I2935" s="688" t="s">
        <v>92</v>
      </c>
      <c r="J2935" s="1668"/>
      <c r="K2935" s="1668"/>
      <c r="L2935" s="1669"/>
    </row>
    <row r="2936" spans="1:12" s="692" customFormat="1" ht="16.5" hidden="1">
      <c r="A2936" s="1665"/>
      <c r="B2936" s="1666"/>
      <c r="C2936" s="688"/>
      <c r="D2936" s="1667"/>
      <c r="E2936" s="1671">
        <v>3.5</v>
      </c>
      <c r="F2936" s="1672"/>
      <c r="G2936" s="1671">
        <v>4</v>
      </c>
      <c r="H2936" s="1671">
        <f t="shared" si="388"/>
        <v>0</v>
      </c>
      <c r="I2936" s="688" t="s">
        <v>92</v>
      </c>
      <c r="J2936" s="1668"/>
      <c r="K2936" s="1668"/>
      <c r="L2936" s="1669"/>
    </row>
    <row r="2937" spans="1:12" s="692" customFormat="1" ht="16.5" hidden="1">
      <c r="A2937" s="1665"/>
      <c r="B2937" s="1666"/>
      <c r="C2937" s="688"/>
      <c r="D2937" s="1667"/>
      <c r="E2937" s="1671">
        <v>3.5</v>
      </c>
      <c r="F2937" s="1672"/>
      <c r="G2937" s="1671">
        <v>4</v>
      </c>
      <c r="H2937" s="1671">
        <f t="shared" si="388"/>
        <v>0</v>
      </c>
      <c r="I2937" s="688" t="s">
        <v>92</v>
      </c>
      <c r="J2937" s="1668"/>
      <c r="K2937" s="1668"/>
      <c r="L2937" s="1669"/>
    </row>
    <row r="2938" spans="1:12" s="692" customFormat="1" ht="16.5" hidden="1">
      <c r="A2938" s="1665"/>
      <c r="B2938" s="1666"/>
      <c r="C2938" s="688"/>
      <c r="D2938" s="1667"/>
      <c r="E2938" s="1671">
        <v>3.5</v>
      </c>
      <c r="F2938" s="1672"/>
      <c r="G2938" s="1671">
        <v>4</v>
      </c>
      <c r="H2938" s="1671">
        <f t="shared" si="388"/>
        <v>0</v>
      </c>
      <c r="I2938" s="688" t="s">
        <v>92</v>
      </c>
      <c r="J2938" s="1668"/>
      <c r="K2938" s="1668"/>
      <c r="L2938" s="1669"/>
    </row>
    <row r="2939" spans="1:12" s="692" customFormat="1" ht="16.5" hidden="1">
      <c r="A2939" s="1665"/>
      <c r="B2939" s="1666"/>
      <c r="C2939" s="688"/>
      <c r="D2939" s="1667"/>
      <c r="E2939" s="1671">
        <v>3.5</v>
      </c>
      <c r="F2939" s="1672"/>
      <c r="G2939" s="1671">
        <v>4</v>
      </c>
      <c r="H2939" s="1671">
        <f t="shared" si="388"/>
        <v>0</v>
      </c>
      <c r="I2939" s="688" t="s">
        <v>92</v>
      </c>
      <c r="J2939" s="1668"/>
      <c r="K2939" s="1668"/>
      <c r="L2939" s="1669"/>
    </row>
    <row r="2940" spans="1:12" s="692" customFormat="1" ht="16.5" hidden="1">
      <c r="A2940" s="1665"/>
      <c r="B2940" s="1666"/>
      <c r="C2940" s="688"/>
      <c r="D2940" s="1667"/>
      <c r="E2940" s="1671"/>
      <c r="F2940" s="1671"/>
      <c r="G2940" s="1685" t="s">
        <v>928</v>
      </c>
      <c r="H2940" s="1686">
        <f>SUM(H2934:H2939)</f>
        <v>0</v>
      </c>
      <c r="I2940" s="1668" t="s">
        <v>92</v>
      </c>
      <c r="J2940" s="1669">
        <f>'Lead &amp; ANALYSIS'!L517</f>
        <v>800.9</v>
      </c>
      <c r="K2940" s="1668" t="s">
        <v>1514</v>
      </c>
      <c r="L2940" s="1669">
        <f>ROUND(H2940*J2940,0)</f>
        <v>0</v>
      </c>
    </row>
    <row r="2941" spans="1:12" s="692" customFormat="1" ht="66">
      <c r="A2941" s="1665">
        <v>7</v>
      </c>
      <c r="B2941" s="1666" t="str">
        <f>'Lead &amp; ANALYSIS'!B616</f>
        <v>Straightening cutting, bending bent up or coiled rods, including cranking, hooking, welding or jointing the M.S. rodsetc. complete as directed by the Engineer- in-Charge.</v>
      </c>
      <c r="C2941" s="688"/>
      <c r="D2941" s="1667"/>
      <c r="E2941" s="688"/>
      <c r="F2941" s="688"/>
      <c r="G2941" s="1674"/>
      <c r="H2941" s="688"/>
      <c r="I2941" s="1668"/>
      <c r="J2941" s="1668"/>
      <c r="K2941" s="1668"/>
      <c r="L2941" s="1669"/>
    </row>
    <row r="2942" spans="1:12" s="692" customFormat="1" ht="16.5">
      <c r="A2942" s="1665" t="s">
        <v>201</v>
      </c>
      <c r="B2942" s="1675" t="s">
        <v>3649</v>
      </c>
      <c r="C2942" s="688"/>
      <c r="D2942" s="1667"/>
      <c r="E2942" s="688"/>
      <c r="F2942" s="688"/>
      <c r="G2942" s="1674"/>
      <c r="H2942" s="688"/>
      <c r="I2942" s="1668"/>
      <c r="J2942" s="1668"/>
      <c r="K2942" s="1668"/>
      <c r="L2942" s="1669"/>
    </row>
    <row r="2943" spans="1:12" s="692" customFormat="1" ht="16.5">
      <c r="A2943" s="1687" t="s">
        <v>413</v>
      </c>
      <c r="B2943" s="1688" t="s">
        <v>1922</v>
      </c>
      <c r="C2943" s="688"/>
      <c r="D2943" s="1689">
        <f>H1357+H1364+H2064+H2071</f>
        <v>0.56999999999999995</v>
      </c>
      <c r="E2943" s="688" t="s">
        <v>1844</v>
      </c>
      <c r="F2943" s="688">
        <v>1.05</v>
      </c>
      <c r="G2943" s="688" t="s">
        <v>1923</v>
      </c>
      <c r="H2943" s="1671">
        <f>ROUND(D2943*F2943,2)</f>
        <v>0.6</v>
      </c>
      <c r="I2943" s="688" t="s">
        <v>125</v>
      </c>
      <c r="J2943" s="1668"/>
      <c r="K2943" s="1668"/>
      <c r="L2943" s="1669"/>
    </row>
    <row r="2944" spans="1:12" s="692" customFormat="1" ht="16.5">
      <c r="A2944" s="1687" t="s">
        <v>415</v>
      </c>
      <c r="B2944" s="1688" t="s">
        <v>1773</v>
      </c>
      <c r="C2944" s="688"/>
      <c r="D2944" s="1689">
        <f>H1388+H1395+H2094+H2101</f>
        <v>5.66</v>
      </c>
      <c r="E2944" s="688" t="s">
        <v>1844</v>
      </c>
      <c r="F2944" s="688">
        <v>1.35</v>
      </c>
      <c r="G2944" s="688" t="s">
        <v>1923</v>
      </c>
      <c r="H2944" s="1671">
        <f t="shared" ref="H2944:H2959" si="389">ROUND(D2944*F2944,2)</f>
        <v>7.64</v>
      </c>
      <c r="I2944" s="688" t="s">
        <v>125</v>
      </c>
      <c r="J2944" s="1668"/>
      <c r="K2944" s="1668"/>
      <c r="L2944" s="1669"/>
    </row>
    <row r="2945" spans="1:12" s="692" customFormat="1" ht="16.5">
      <c r="A2945" s="1687" t="s">
        <v>638</v>
      </c>
      <c r="B2945" s="1688" t="s">
        <v>1924</v>
      </c>
      <c r="C2945" s="688"/>
      <c r="D2945" s="1689">
        <f>H1380</f>
        <v>-0.14000000000000001</v>
      </c>
      <c r="E2945" s="688" t="s">
        <v>1844</v>
      </c>
      <c r="F2945" s="688">
        <v>1.05</v>
      </c>
      <c r="G2945" s="688" t="s">
        <v>1923</v>
      </c>
      <c r="H2945" s="1671">
        <f t="shared" si="389"/>
        <v>-0.15</v>
      </c>
      <c r="I2945" s="688" t="s">
        <v>125</v>
      </c>
      <c r="J2945" s="1668"/>
      <c r="K2945" s="1668"/>
      <c r="L2945" s="1669"/>
    </row>
    <row r="2946" spans="1:12" s="692" customFormat="1" ht="16.5" hidden="1">
      <c r="A2946" s="1687" t="s">
        <v>640</v>
      </c>
      <c r="B2946" s="1688" t="s">
        <v>1925</v>
      </c>
      <c r="C2946" s="688"/>
      <c r="D2946" s="1689">
        <f>H1464+H1471+H2169+H2176</f>
        <v>0</v>
      </c>
      <c r="E2946" s="688" t="s">
        <v>1844</v>
      </c>
      <c r="F2946" s="1671">
        <v>0.5</v>
      </c>
      <c r="G2946" s="688" t="s">
        <v>1923</v>
      </c>
      <c r="H2946" s="1671">
        <f t="shared" si="389"/>
        <v>0</v>
      </c>
      <c r="I2946" s="688" t="s">
        <v>125</v>
      </c>
      <c r="J2946" s="1668"/>
      <c r="K2946" s="1668"/>
      <c r="L2946" s="1669"/>
    </row>
    <row r="2947" spans="1:12" s="692" customFormat="1" ht="16.5">
      <c r="A2947" s="1687" t="s">
        <v>642</v>
      </c>
      <c r="B2947" s="1688" t="s">
        <v>473</v>
      </c>
      <c r="C2947" s="688"/>
      <c r="D2947" s="1689">
        <f>H1411</f>
        <v>-9.9999999999999985E-3</v>
      </c>
      <c r="E2947" s="688" t="s">
        <v>1844</v>
      </c>
      <c r="F2947" s="688">
        <v>1.25</v>
      </c>
      <c r="G2947" s="688" t="s">
        <v>1923</v>
      </c>
      <c r="H2947" s="1671">
        <f t="shared" si="389"/>
        <v>-0.01</v>
      </c>
      <c r="I2947" s="688" t="s">
        <v>125</v>
      </c>
      <c r="J2947" s="1668"/>
      <c r="K2947" s="1668"/>
      <c r="L2947" s="1669"/>
    </row>
    <row r="2948" spans="1:12" s="692" customFormat="1" ht="16.5">
      <c r="A2948" s="1687" t="s">
        <v>699</v>
      </c>
      <c r="B2948" s="1688" t="s">
        <v>481</v>
      </c>
      <c r="C2948" s="688"/>
      <c r="D2948" s="1689">
        <f>H2124+H2131+H1419+H1426</f>
        <v>7.2299999999999995</v>
      </c>
      <c r="E2948" s="688" t="s">
        <v>3671</v>
      </c>
      <c r="F2948" s="688">
        <v>0.05</v>
      </c>
      <c r="G2948" s="688" t="s">
        <v>1923</v>
      </c>
      <c r="H2948" s="1671">
        <f t="shared" si="389"/>
        <v>0.36</v>
      </c>
      <c r="I2948" s="688" t="s">
        <v>125</v>
      </c>
      <c r="J2948" s="1668"/>
      <c r="K2948" s="1668"/>
      <c r="L2948" s="1669"/>
    </row>
    <row r="2949" spans="1:12" s="692" customFormat="1" ht="16.5" hidden="1">
      <c r="A2949" s="1687" t="s">
        <v>701</v>
      </c>
      <c r="B2949" s="1688" t="s">
        <v>479</v>
      </c>
      <c r="C2949" s="688"/>
      <c r="D2949" s="1689">
        <f>H1494+H1501+H2199+H2206</f>
        <v>0</v>
      </c>
      <c r="E2949" s="688" t="s">
        <v>1844</v>
      </c>
      <c r="F2949" s="1671">
        <v>1.3</v>
      </c>
      <c r="G2949" s="688" t="s">
        <v>1923</v>
      </c>
      <c r="H2949" s="1671">
        <f t="shared" si="389"/>
        <v>0</v>
      </c>
      <c r="I2949" s="688" t="s">
        <v>125</v>
      </c>
      <c r="J2949" s="1668"/>
      <c r="K2949" s="1668"/>
      <c r="L2949" s="1669"/>
    </row>
    <row r="2950" spans="1:12" s="692" customFormat="1" ht="16.5" hidden="1">
      <c r="A2950" s="1687" t="s">
        <v>703</v>
      </c>
      <c r="B2950" s="1688" t="s">
        <v>1926</v>
      </c>
      <c r="C2950" s="688"/>
      <c r="D2950" s="1689">
        <f>H1449+H1456+H2154+H2161</f>
        <v>0</v>
      </c>
      <c r="E2950" s="688" t="s">
        <v>3671</v>
      </c>
      <c r="F2950" s="1671">
        <v>0.04</v>
      </c>
      <c r="G2950" s="688" t="s">
        <v>1923</v>
      </c>
      <c r="H2950" s="1671">
        <f t="shared" ref="H2950:H2952" si="390">ROUND(D2950*F2950,2)</f>
        <v>0</v>
      </c>
      <c r="I2950" s="688" t="s">
        <v>125</v>
      </c>
      <c r="J2950" s="1668"/>
      <c r="K2950" s="1668"/>
      <c r="L2950" s="1669"/>
    </row>
    <row r="2951" spans="1:12" s="692" customFormat="1" ht="16.5" hidden="1">
      <c r="A2951" s="1687" t="s">
        <v>1927</v>
      </c>
      <c r="B2951" s="1688" t="s">
        <v>1928</v>
      </c>
      <c r="C2951" s="688"/>
      <c r="D2951" s="1667"/>
      <c r="E2951" s="688" t="s">
        <v>3671</v>
      </c>
      <c r="F2951" s="1671">
        <v>0.04</v>
      </c>
      <c r="G2951" s="688" t="s">
        <v>1923</v>
      </c>
      <c r="H2951" s="1671">
        <f t="shared" si="390"/>
        <v>0</v>
      </c>
      <c r="I2951" s="688" t="s">
        <v>125</v>
      </c>
      <c r="J2951" s="1668"/>
      <c r="K2951" s="1668"/>
      <c r="L2951" s="1669"/>
    </row>
    <row r="2952" spans="1:12" s="692" customFormat="1" ht="16.5" hidden="1">
      <c r="A2952" s="1687" t="s">
        <v>901</v>
      </c>
      <c r="B2952" s="1688" t="s">
        <v>1929</v>
      </c>
      <c r="C2952" s="688"/>
      <c r="D2952" s="1689">
        <f>H2184+H2191+H1479+H1486</f>
        <v>0</v>
      </c>
      <c r="E2952" s="688" t="s">
        <v>3671</v>
      </c>
      <c r="F2952" s="1671">
        <v>0.04</v>
      </c>
      <c r="G2952" s="688" t="s">
        <v>1923</v>
      </c>
      <c r="H2952" s="1671">
        <f t="shared" si="390"/>
        <v>0</v>
      </c>
      <c r="I2952" s="688" t="s">
        <v>125</v>
      </c>
      <c r="J2952" s="1668"/>
      <c r="K2952" s="1668"/>
      <c r="L2952" s="1669"/>
    </row>
    <row r="2953" spans="1:12" s="692" customFormat="1" ht="16.5">
      <c r="A2953" s="1687" t="s">
        <v>1930</v>
      </c>
      <c r="B2953" s="1688" t="s">
        <v>1850</v>
      </c>
      <c r="C2953" s="688"/>
      <c r="D2953" s="1689">
        <f>H1434+H1441+H2139+H2146</f>
        <v>2.67</v>
      </c>
      <c r="E2953" s="688" t="s">
        <v>1844</v>
      </c>
      <c r="F2953" s="1671">
        <v>1.25</v>
      </c>
      <c r="G2953" s="688" t="s">
        <v>1923</v>
      </c>
      <c r="H2953" s="1671">
        <f t="shared" si="389"/>
        <v>3.34</v>
      </c>
      <c r="I2953" s="688" t="s">
        <v>125</v>
      </c>
      <c r="J2953" s="1668"/>
      <c r="K2953" s="1668"/>
      <c r="L2953" s="1669"/>
    </row>
    <row r="2954" spans="1:12" s="692" customFormat="1" ht="16.5">
      <c r="A2954" s="1687" t="s">
        <v>1931</v>
      </c>
      <c r="B2954" s="1688" t="s">
        <v>477</v>
      </c>
      <c r="C2954" s="688"/>
      <c r="D2954" s="1689">
        <f>H1569+H1576+H2274+H2281</f>
        <v>19.63</v>
      </c>
      <c r="E2954" s="688" t="s">
        <v>1844</v>
      </c>
      <c r="F2954" s="1671">
        <v>0.9</v>
      </c>
      <c r="G2954" s="688" t="s">
        <v>1923</v>
      </c>
      <c r="H2954" s="1671">
        <f t="shared" si="389"/>
        <v>17.670000000000002</v>
      </c>
      <c r="I2954" s="688" t="s">
        <v>125</v>
      </c>
      <c r="J2954" s="1668"/>
      <c r="K2954" s="1668"/>
      <c r="L2954" s="1669"/>
    </row>
    <row r="2955" spans="1:12" s="692" customFormat="1" ht="16.5" hidden="1">
      <c r="A2955" s="1687" t="s">
        <v>1932</v>
      </c>
      <c r="B2955" s="1688" t="s">
        <v>1933</v>
      </c>
      <c r="C2955" s="688"/>
      <c r="D2955" s="1689"/>
      <c r="E2955" s="688" t="s">
        <v>1844</v>
      </c>
      <c r="F2955" s="1671">
        <v>0.3</v>
      </c>
      <c r="G2955" s="688" t="s">
        <v>1923</v>
      </c>
      <c r="H2955" s="1671">
        <f t="shared" si="389"/>
        <v>0</v>
      </c>
      <c r="I2955" s="688" t="s">
        <v>125</v>
      </c>
      <c r="J2955" s="1668"/>
      <c r="K2955" s="1668"/>
      <c r="L2955" s="1669"/>
    </row>
    <row r="2956" spans="1:12" s="692" customFormat="1" ht="16.5" hidden="1">
      <c r="A2956" s="1687" t="s">
        <v>1934</v>
      </c>
      <c r="B2956" s="1688" t="s">
        <v>1935</v>
      </c>
      <c r="C2956" s="688"/>
      <c r="D2956" s="1689">
        <f>H1509+H1516+H2214+H2221</f>
        <v>0</v>
      </c>
      <c r="E2956" s="688" t="s">
        <v>1844</v>
      </c>
      <c r="F2956" s="1671">
        <v>0.7</v>
      </c>
      <c r="G2956" s="688" t="s">
        <v>1923</v>
      </c>
      <c r="H2956" s="1671">
        <f t="shared" si="389"/>
        <v>0</v>
      </c>
      <c r="I2956" s="688" t="s">
        <v>125</v>
      </c>
      <c r="J2956" s="1668"/>
      <c r="K2956" s="1668"/>
      <c r="L2956" s="1669"/>
    </row>
    <row r="2957" spans="1:12" s="692" customFormat="1" ht="16.5" hidden="1">
      <c r="A2957" s="1687" t="s">
        <v>1936</v>
      </c>
      <c r="B2957" s="1688" t="s">
        <v>1937</v>
      </c>
      <c r="C2957" s="688"/>
      <c r="D2957" s="1689">
        <f>H1524+H1531+H2229+H2236</f>
        <v>0</v>
      </c>
      <c r="E2957" s="688" t="s">
        <v>1844</v>
      </c>
      <c r="F2957" s="1671">
        <v>1</v>
      </c>
      <c r="G2957" s="688" t="s">
        <v>1923</v>
      </c>
      <c r="H2957" s="1671">
        <f t="shared" si="389"/>
        <v>0</v>
      </c>
      <c r="I2957" s="688" t="s">
        <v>125</v>
      </c>
      <c r="J2957" s="1668"/>
      <c r="K2957" s="1668"/>
      <c r="L2957" s="1669"/>
    </row>
    <row r="2958" spans="1:12" s="692" customFormat="1" ht="16.5" hidden="1">
      <c r="A2958" s="1687" t="s">
        <v>1938</v>
      </c>
      <c r="B2958" s="1688" t="s">
        <v>1939</v>
      </c>
      <c r="C2958" s="688"/>
      <c r="D2958" s="1689">
        <f>H1539+H1546+H2244+H2251</f>
        <v>0</v>
      </c>
      <c r="E2958" s="688" t="s">
        <v>1844</v>
      </c>
      <c r="F2958" s="1671">
        <v>0.3</v>
      </c>
      <c r="G2958" s="688" t="s">
        <v>1923</v>
      </c>
      <c r="H2958" s="1671">
        <f t="shared" si="389"/>
        <v>0</v>
      </c>
      <c r="I2958" s="688" t="s">
        <v>125</v>
      </c>
      <c r="J2958" s="1668"/>
      <c r="K2958" s="1668"/>
      <c r="L2958" s="1669"/>
    </row>
    <row r="2959" spans="1:12" s="692" customFormat="1" ht="16.5" hidden="1">
      <c r="A2959" s="1687" t="s">
        <v>1940</v>
      </c>
      <c r="B2959" s="1688" t="s">
        <v>1941</v>
      </c>
      <c r="C2959" s="688"/>
      <c r="D2959" s="1689">
        <f>H1554+H1561+H2259+H2266</f>
        <v>0</v>
      </c>
      <c r="E2959" s="688" t="s">
        <v>1844</v>
      </c>
      <c r="F2959" s="1671">
        <v>1</v>
      </c>
      <c r="G2959" s="688" t="s">
        <v>1923</v>
      </c>
      <c r="H2959" s="1671">
        <f t="shared" si="389"/>
        <v>0</v>
      </c>
      <c r="I2959" s="688" t="s">
        <v>125</v>
      </c>
      <c r="J2959" s="1668"/>
      <c r="K2959" s="1668"/>
      <c r="L2959" s="1669"/>
    </row>
    <row r="2960" spans="1:12" s="692" customFormat="1" ht="16.5">
      <c r="A2960" s="1665"/>
      <c r="B2960" s="1666"/>
      <c r="C2960" s="688"/>
      <c r="D2960" s="1667"/>
      <c r="E2960" s="688"/>
      <c r="F2960" s="688"/>
      <c r="G2960" s="1674" t="s">
        <v>928</v>
      </c>
      <c r="H2960" s="1673">
        <f>SUM(H2943:H2959)</f>
        <v>29.450000000000003</v>
      </c>
      <c r="I2960" s="677" t="s">
        <v>125</v>
      </c>
      <c r="J2960" s="1669">
        <f>'Lead &amp; ANALYSIS'!L617</f>
        <v>8589.7000000000007</v>
      </c>
      <c r="K2960" s="1668" t="s">
        <v>1512</v>
      </c>
      <c r="L2960" s="1669">
        <f>ROUND(H2960*J2960,0)</f>
        <v>252967</v>
      </c>
    </row>
    <row r="2961" spans="1:12" s="692" customFormat="1" ht="16.5" hidden="1">
      <c r="A2961" s="1665" t="s">
        <v>220</v>
      </c>
      <c r="B2961" s="1675" t="s">
        <v>3650</v>
      </c>
      <c r="C2961" s="688"/>
      <c r="D2961" s="1667"/>
      <c r="E2961" s="688"/>
      <c r="F2961" s="688"/>
      <c r="G2961" s="1674"/>
      <c r="H2961" s="1671"/>
      <c r="I2961" s="1668"/>
      <c r="J2961" s="1668"/>
      <c r="K2961" s="1668"/>
      <c r="L2961" s="1669"/>
    </row>
    <row r="2962" spans="1:12" s="692" customFormat="1" ht="16.5" hidden="1">
      <c r="A2962" s="1687" t="s">
        <v>413</v>
      </c>
      <c r="B2962" s="1688" t="s">
        <v>1773</v>
      </c>
      <c r="C2962" s="688"/>
      <c r="D2962" s="1689">
        <f>H1586+H1593+H2291+H2298</f>
        <v>0</v>
      </c>
      <c r="E2962" s="688" t="s">
        <v>1844</v>
      </c>
      <c r="F2962" s="1671">
        <v>1.75</v>
      </c>
      <c r="G2962" s="688" t="s">
        <v>1923</v>
      </c>
      <c r="H2962" s="1671">
        <f t="shared" ref="H2962:H2970" si="391">ROUND(D2962*F2962,2)</f>
        <v>0</v>
      </c>
      <c r="I2962" s="688" t="s">
        <v>125</v>
      </c>
      <c r="J2962" s="1668"/>
      <c r="K2962" s="1668"/>
      <c r="L2962" s="1669"/>
    </row>
    <row r="2963" spans="1:12" s="692" customFormat="1" ht="16.5" hidden="1">
      <c r="A2963" s="1687" t="s">
        <v>415</v>
      </c>
      <c r="B2963" s="1688" t="s">
        <v>1925</v>
      </c>
      <c r="C2963" s="688"/>
      <c r="D2963" s="1689">
        <f>H1661+H1668+H2366+H2373</f>
        <v>0</v>
      </c>
      <c r="E2963" s="688" t="s">
        <v>1844</v>
      </c>
      <c r="F2963" s="1671">
        <v>1</v>
      </c>
      <c r="G2963" s="688" t="s">
        <v>1923</v>
      </c>
      <c r="H2963" s="1671">
        <f t="shared" si="391"/>
        <v>0</v>
      </c>
      <c r="I2963" s="688" t="s">
        <v>125</v>
      </c>
      <c r="J2963" s="1668"/>
      <c r="K2963" s="1668"/>
      <c r="L2963" s="1669"/>
    </row>
    <row r="2964" spans="1:12" s="692" customFormat="1" ht="16.5" hidden="1">
      <c r="A2964" s="1687" t="s">
        <v>638</v>
      </c>
      <c r="B2964" s="1688" t="s">
        <v>473</v>
      </c>
      <c r="C2964" s="688"/>
      <c r="D2964" s="1689">
        <f>H1601+H1608+H2306+H2313</f>
        <v>0</v>
      </c>
      <c r="E2964" s="688" t="s">
        <v>1844</v>
      </c>
      <c r="F2964" s="1671">
        <f>F2947</f>
        <v>1.25</v>
      </c>
      <c r="G2964" s="688" t="s">
        <v>1923</v>
      </c>
      <c r="H2964" s="1671">
        <f t="shared" si="391"/>
        <v>0</v>
      </c>
      <c r="I2964" s="688" t="s">
        <v>125</v>
      </c>
      <c r="J2964" s="1668"/>
      <c r="K2964" s="1668"/>
      <c r="L2964" s="1669"/>
    </row>
    <row r="2965" spans="1:12" s="692" customFormat="1" ht="16.5" hidden="1">
      <c r="A2965" s="1687" t="s">
        <v>640</v>
      </c>
      <c r="B2965" s="1688" t="s">
        <v>481</v>
      </c>
      <c r="C2965" s="688"/>
      <c r="D2965" s="1689">
        <f>H1616+H1623+H2321+H2328</f>
        <v>0</v>
      </c>
      <c r="E2965" s="688" t="s">
        <v>1844</v>
      </c>
      <c r="F2965" s="1671">
        <f>F2948</f>
        <v>0.05</v>
      </c>
      <c r="G2965" s="688" t="s">
        <v>1923</v>
      </c>
      <c r="H2965" s="1671">
        <f t="shared" si="391"/>
        <v>0</v>
      </c>
      <c r="I2965" s="688" t="s">
        <v>125</v>
      </c>
      <c r="J2965" s="1668"/>
      <c r="K2965" s="1668"/>
      <c r="L2965" s="1669"/>
    </row>
    <row r="2966" spans="1:12" s="692" customFormat="1" ht="16.5" hidden="1">
      <c r="A2966" s="1687" t="s">
        <v>642</v>
      </c>
      <c r="B2966" s="1688" t="s">
        <v>479</v>
      </c>
      <c r="C2966" s="688"/>
      <c r="D2966" s="1689">
        <f>H1691+H1698+H2396+H2403</f>
        <v>0</v>
      </c>
      <c r="E2966" s="688" t="s">
        <v>1844</v>
      </c>
      <c r="F2966" s="1671">
        <f>F2949</f>
        <v>1.3</v>
      </c>
      <c r="G2966" s="688" t="s">
        <v>1923</v>
      </c>
      <c r="H2966" s="1671">
        <f t="shared" si="391"/>
        <v>0</v>
      </c>
      <c r="I2966" s="688" t="s">
        <v>125</v>
      </c>
      <c r="J2966" s="1668"/>
      <c r="K2966" s="1668"/>
      <c r="L2966" s="1669"/>
    </row>
    <row r="2967" spans="1:12" s="692" customFormat="1" ht="16.5" hidden="1">
      <c r="A2967" s="1687" t="s">
        <v>699</v>
      </c>
      <c r="B2967" s="1688" t="s">
        <v>1850</v>
      </c>
      <c r="C2967" s="688"/>
      <c r="D2967" s="1689">
        <f>H1631+H1638+H2336+H2343</f>
        <v>0</v>
      </c>
      <c r="E2967" s="688" t="s">
        <v>1844</v>
      </c>
      <c r="F2967" s="1671">
        <f>F2953</f>
        <v>1.25</v>
      </c>
      <c r="G2967" s="688" t="s">
        <v>1923</v>
      </c>
      <c r="H2967" s="1671">
        <f t="shared" si="391"/>
        <v>0</v>
      </c>
      <c r="I2967" s="688" t="s">
        <v>125</v>
      </c>
      <c r="J2967" s="1668"/>
      <c r="K2967" s="1668"/>
      <c r="L2967" s="1669"/>
    </row>
    <row r="2968" spans="1:12" s="692" customFormat="1" ht="16.5" hidden="1">
      <c r="A2968" s="1687" t="s">
        <v>701</v>
      </c>
      <c r="B2968" s="1688" t="s">
        <v>477</v>
      </c>
      <c r="C2968" s="688"/>
      <c r="D2968" s="1689">
        <f>H1706+H1713+H2411+H2418</f>
        <v>0</v>
      </c>
      <c r="E2968" s="688" t="s">
        <v>1844</v>
      </c>
      <c r="F2968" s="1671">
        <f>F2954</f>
        <v>0.9</v>
      </c>
      <c r="G2968" s="688" t="s">
        <v>1923</v>
      </c>
      <c r="H2968" s="1671">
        <f t="shared" si="391"/>
        <v>0</v>
      </c>
      <c r="I2968" s="688" t="s">
        <v>125</v>
      </c>
      <c r="J2968" s="1668"/>
      <c r="K2968" s="1668"/>
      <c r="L2968" s="1669"/>
    </row>
    <row r="2969" spans="1:12" s="692" customFormat="1" ht="16.5" hidden="1">
      <c r="A2969" s="1687" t="s">
        <v>703</v>
      </c>
      <c r="B2969" s="1688" t="s">
        <v>1929</v>
      </c>
      <c r="C2969" s="688"/>
      <c r="D2969" s="1689">
        <f>H2381+H2388+H1676+H1683</f>
        <v>0</v>
      </c>
      <c r="E2969" s="688" t="s">
        <v>1844</v>
      </c>
      <c r="F2969" s="1671">
        <f>F2952</f>
        <v>0.04</v>
      </c>
      <c r="G2969" s="688" t="s">
        <v>1923</v>
      </c>
      <c r="H2969" s="1671">
        <f t="shared" ref="H2969" si="392">ROUND(D2969*F2969,2)</f>
        <v>0</v>
      </c>
      <c r="I2969" s="688" t="s">
        <v>125</v>
      </c>
      <c r="J2969" s="1668"/>
      <c r="K2969" s="1668"/>
      <c r="L2969" s="1669"/>
    </row>
    <row r="2970" spans="1:12" s="692" customFormat="1" ht="16.5" hidden="1">
      <c r="A2970" s="1687" t="s">
        <v>1927</v>
      </c>
      <c r="B2970" s="1688" t="s">
        <v>1926</v>
      </c>
      <c r="C2970" s="688"/>
      <c r="D2970" s="1689">
        <f>H2351+H2358+H1646+H1653</f>
        <v>0</v>
      </c>
      <c r="E2970" s="688" t="s">
        <v>1844</v>
      </c>
      <c r="F2970" s="1671">
        <v>0.5</v>
      </c>
      <c r="G2970" s="688" t="s">
        <v>1923</v>
      </c>
      <c r="H2970" s="1671">
        <f t="shared" si="391"/>
        <v>0</v>
      </c>
      <c r="I2970" s="688" t="s">
        <v>125</v>
      </c>
      <c r="J2970" s="1668"/>
      <c r="K2970" s="1668"/>
      <c r="L2970" s="1669"/>
    </row>
    <row r="2971" spans="1:12" s="692" customFormat="1" ht="16.5" hidden="1">
      <c r="A2971" s="1665"/>
      <c r="B2971" s="1666"/>
      <c r="C2971" s="688"/>
      <c r="D2971" s="1667"/>
      <c r="E2971" s="688"/>
      <c r="F2971" s="688"/>
      <c r="G2971" s="688" t="s">
        <v>928</v>
      </c>
      <c r="H2971" s="1673">
        <f>SUM(H2962:H2970)</f>
        <v>0</v>
      </c>
      <c r="I2971" s="677" t="s">
        <v>125</v>
      </c>
      <c r="J2971" s="1669">
        <f>'Lead &amp; ANALYSIS'!L618</f>
        <v>9016.9</v>
      </c>
      <c r="K2971" s="1668" t="s">
        <v>1512</v>
      </c>
      <c r="L2971" s="1669">
        <f>ROUND(H2971*J2971,0)</f>
        <v>0</v>
      </c>
    </row>
    <row r="2972" spans="1:12" s="692" customFormat="1" ht="16.5" hidden="1">
      <c r="A2972" s="1665" t="s">
        <v>244</v>
      </c>
      <c r="B2972" s="1675" t="s">
        <v>3651</v>
      </c>
      <c r="C2972" s="688"/>
      <c r="D2972" s="1667"/>
      <c r="E2972" s="688"/>
      <c r="F2972" s="688"/>
      <c r="G2972" s="1674"/>
      <c r="H2972" s="1671"/>
      <c r="I2972" s="1668"/>
      <c r="J2972" s="1668"/>
      <c r="K2972" s="1668"/>
      <c r="L2972" s="1669"/>
    </row>
    <row r="2973" spans="1:12" s="692" customFormat="1" ht="16.5" hidden="1">
      <c r="A2973" s="1687" t="s">
        <v>413</v>
      </c>
      <c r="B2973" s="1688" t="s">
        <v>1773</v>
      </c>
      <c r="C2973" s="688"/>
      <c r="D2973" s="1689">
        <f>H1723+H1730+H2428+H2435</f>
        <v>0</v>
      </c>
      <c r="E2973" s="688" t="s">
        <v>1844</v>
      </c>
      <c r="F2973" s="1671">
        <v>1.75</v>
      </c>
      <c r="G2973" s="688" t="s">
        <v>1923</v>
      </c>
      <c r="H2973" s="1671">
        <f t="shared" ref="H2973:H2981" si="393">ROUND(D2973*F2973,2)</f>
        <v>0</v>
      </c>
      <c r="I2973" s="688" t="s">
        <v>125</v>
      </c>
      <c r="J2973" s="1668"/>
      <c r="K2973" s="1668"/>
      <c r="L2973" s="1669"/>
    </row>
    <row r="2974" spans="1:12" s="692" customFormat="1" ht="16.5" hidden="1">
      <c r="A2974" s="1687" t="s">
        <v>415</v>
      </c>
      <c r="B2974" s="1688" t="s">
        <v>1925</v>
      </c>
      <c r="C2974" s="688"/>
      <c r="D2974" s="1689">
        <f>H1798+H1805+H2503+H2510</f>
        <v>0</v>
      </c>
      <c r="E2974" s="688" t="s">
        <v>1844</v>
      </c>
      <c r="F2974" s="1671">
        <v>1</v>
      </c>
      <c r="G2974" s="688" t="s">
        <v>1923</v>
      </c>
      <c r="H2974" s="1671">
        <f t="shared" si="393"/>
        <v>0</v>
      </c>
      <c r="I2974" s="688" t="s">
        <v>125</v>
      </c>
      <c r="J2974" s="1668"/>
      <c r="K2974" s="1668"/>
      <c r="L2974" s="1669"/>
    </row>
    <row r="2975" spans="1:12" s="692" customFormat="1" ht="16.5" hidden="1">
      <c r="A2975" s="1687" t="s">
        <v>638</v>
      </c>
      <c r="B2975" s="1688" t="s">
        <v>473</v>
      </c>
      <c r="C2975" s="688"/>
      <c r="D2975" s="1689">
        <f>H1738+H1745+H2443+H2450</f>
        <v>0</v>
      </c>
      <c r="E2975" s="688" t="s">
        <v>1844</v>
      </c>
      <c r="F2975" s="1671">
        <f>F2956</f>
        <v>0.7</v>
      </c>
      <c r="G2975" s="688" t="s">
        <v>1923</v>
      </c>
      <c r="H2975" s="1671">
        <f t="shared" si="393"/>
        <v>0</v>
      </c>
      <c r="I2975" s="688" t="s">
        <v>125</v>
      </c>
      <c r="J2975" s="1668"/>
      <c r="K2975" s="1668"/>
      <c r="L2975" s="1669"/>
    </row>
    <row r="2976" spans="1:12" s="692" customFormat="1" ht="16.5" hidden="1">
      <c r="A2976" s="1687" t="s">
        <v>640</v>
      </c>
      <c r="B2976" s="1688" t="s">
        <v>481</v>
      </c>
      <c r="C2976" s="688"/>
      <c r="D2976" s="1689">
        <f>H1753+H1760+H2458+H2465</f>
        <v>0</v>
      </c>
      <c r="E2976" s="688" t="s">
        <v>1844</v>
      </c>
      <c r="F2976" s="1671">
        <f>F2957</f>
        <v>1</v>
      </c>
      <c r="G2976" s="688" t="s">
        <v>1923</v>
      </c>
      <c r="H2976" s="1671">
        <f t="shared" si="393"/>
        <v>0</v>
      </c>
      <c r="I2976" s="688" t="s">
        <v>125</v>
      </c>
      <c r="J2976" s="1668"/>
      <c r="K2976" s="1668"/>
      <c r="L2976" s="1669"/>
    </row>
    <row r="2977" spans="1:12" s="692" customFormat="1" ht="16.5" hidden="1">
      <c r="A2977" s="1687" t="s">
        <v>642</v>
      </c>
      <c r="B2977" s="1688" t="s">
        <v>479</v>
      </c>
      <c r="C2977" s="688"/>
      <c r="D2977" s="1689">
        <f>H1828+H1835+H2533+H2540</f>
        <v>0</v>
      </c>
      <c r="E2977" s="688" t="s">
        <v>1844</v>
      </c>
      <c r="F2977" s="1671">
        <f>F2958</f>
        <v>0.3</v>
      </c>
      <c r="G2977" s="688" t="s">
        <v>1923</v>
      </c>
      <c r="H2977" s="1671">
        <f t="shared" si="393"/>
        <v>0</v>
      </c>
      <c r="I2977" s="688" t="s">
        <v>125</v>
      </c>
      <c r="J2977" s="1668"/>
      <c r="K2977" s="1668"/>
      <c r="L2977" s="1669"/>
    </row>
    <row r="2978" spans="1:12" s="692" customFormat="1" ht="16.5" hidden="1">
      <c r="A2978" s="1687" t="s">
        <v>699</v>
      </c>
      <c r="B2978" s="1688" t="s">
        <v>1850</v>
      </c>
      <c r="C2978" s="688"/>
      <c r="D2978" s="1689">
        <f>H1768+H1775+H2473+H2480</f>
        <v>0</v>
      </c>
      <c r="E2978" s="688" t="s">
        <v>1844</v>
      </c>
      <c r="F2978" s="1671">
        <f>F2962</f>
        <v>1.75</v>
      </c>
      <c r="G2978" s="688" t="s">
        <v>1923</v>
      </c>
      <c r="H2978" s="1671">
        <f t="shared" si="393"/>
        <v>0</v>
      </c>
      <c r="I2978" s="688" t="s">
        <v>125</v>
      </c>
      <c r="J2978" s="1668"/>
      <c r="K2978" s="1668"/>
      <c r="L2978" s="1669"/>
    </row>
    <row r="2979" spans="1:12" s="692" customFormat="1" ht="16.5" hidden="1">
      <c r="A2979" s="1687" t="s">
        <v>701</v>
      </c>
      <c r="B2979" s="1688" t="s">
        <v>477</v>
      </c>
      <c r="C2979" s="688"/>
      <c r="D2979" s="1689">
        <f>H1843+H1850+H2548+H2555</f>
        <v>0</v>
      </c>
      <c r="E2979" s="688" t="s">
        <v>1844</v>
      </c>
      <c r="F2979" s="1671">
        <f>F2963</f>
        <v>1</v>
      </c>
      <c r="G2979" s="688" t="s">
        <v>1923</v>
      </c>
      <c r="H2979" s="1671">
        <f t="shared" si="393"/>
        <v>0</v>
      </c>
      <c r="I2979" s="688" t="s">
        <v>125</v>
      </c>
      <c r="J2979" s="1668"/>
      <c r="K2979" s="1668"/>
      <c r="L2979" s="1669"/>
    </row>
    <row r="2980" spans="1:12" s="692" customFormat="1" ht="16.5" hidden="1">
      <c r="A2980" s="1687" t="s">
        <v>703</v>
      </c>
      <c r="B2980" s="1688" t="s">
        <v>1929</v>
      </c>
      <c r="C2980" s="688"/>
      <c r="D2980" s="1689">
        <f>H2518+H2525+H1813+H1820</f>
        <v>0</v>
      </c>
      <c r="E2980" s="688" t="s">
        <v>1844</v>
      </c>
      <c r="F2980" s="1671">
        <f>F2969</f>
        <v>0.04</v>
      </c>
      <c r="G2980" s="688" t="s">
        <v>1923</v>
      </c>
      <c r="H2980" s="1671">
        <f t="shared" ref="H2980" si="394">ROUND(D2980*F2980,2)</f>
        <v>0</v>
      </c>
      <c r="I2980" s="688" t="s">
        <v>125</v>
      </c>
      <c r="J2980" s="1668"/>
      <c r="K2980" s="1668"/>
      <c r="L2980" s="1669"/>
    </row>
    <row r="2981" spans="1:12" s="692" customFormat="1" ht="16.5" hidden="1">
      <c r="A2981" s="1687" t="s">
        <v>1927</v>
      </c>
      <c r="B2981" s="1688" t="s">
        <v>1926</v>
      </c>
      <c r="C2981" s="688"/>
      <c r="D2981" s="1689">
        <f>H2488+H2495+H1783+H1790</f>
        <v>0</v>
      </c>
      <c r="E2981" s="688" t="s">
        <v>1844</v>
      </c>
      <c r="F2981" s="1671">
        <v>0.5</v>
      </c>
      <c r="G2981" s="688" t="s">
        <v>1923</v>
      </c>
      <c r="H2981" s="1671">
        <f t="shared" si="393"/>
        <v>0</v>
      </c>
      <c r="I2981" s="688" t="s">
        <v>125</v>
      </c>
      <c r="J2981" s="1668"/>
      <c r="K2981" s="1668"/>
      <c r="L2981" s="1669"/>
    </row>
    <row r="2982" spans="1:12" s="692" customFormat="1" ht="16.5" hidden="1">
      <c r="A2982" s="1665"/>
      <c r="B2982" s="1666"/>
      <c r="C2982" s="688"/>
      <c r="D2982" s="1667"/>
      <c r="E2982" s="688"/>
      <c r="F2982" s="688"/>
      <c r="G2982" s="688" t="s">
        <v>928</v>
      </c>
      <c r="H2982" s="1673">
        <f>SUM(H2973:H2979)</f>
        <v>0</v>
      </c>
      <c r="I2982" s="677" t="s">
        <v>125</v>
      </c>
      <c r="J2982" s="1669">
        <f>'Lead &amp; ANALYSIS'!L619</f>
        <v>9465.5</v>
      </c>
      <c r="K2982" s="1668" t="s">
        <v>1512</v>
      </c>
      <c r="L2982" s="1669">
        <f>ROUND(H2982*J2982,0)</f>
        <v>0</v>
      </c>
    </row>
    <row r="2983" spans="1:12" s="692" customFormat="1" ht="16.5" hidden="1">
      <c r="A2983" s="1665" t="s">
        <v>291</v>
      </c>
      <c r="B2983" s="1675" t="s">
        <v>3652</v>
      </c>
      <c r="C2983" s="688"/>
      <c r="D2983" s="1667"/>
      <c r="E2983" s="688"/>
      <c r="F2983" s="688"/>
      <c r="G2983" s="1674"/>
      <c r="H2983" s="1671"/>
      <c r="I2983" s="1668"/>
      <c r="J2983" s="1668"/>
      <c r="K2983" s="1668"/>
      <c r="L2983" s="1669"/>
    </row>
    <row r="2984" spans="1:12" s="692" customFormat="1" ht="16.5" hidden="1">
      <c r="A2984" s="1687" t="s">
        <v>413</v>
      </c>
      <c r="B2984" s="1688" t="s">
        <v>1773</v>
      </c>
      <c r="C2984" s="688"/>
      <c r="D2984" s="1689">
        <f>H1860+H1867+H2565+H2572</f>
        <v>0</v>
      </c>
      <c r="E2984" s="688" t="s">
        <v>1844</v>
      </c>
      <c r="F2984" s="1671">
        <v>1.75</v>
      </c>
      <c r="G2984" s="688" t="s">
        <v>1923</v>
      </c>
      <c r="H2984" s="1671">
        <f t="shared" ref="H2984:H2990" si="395">ROUND(D2984*F2984,2)</f>
        <v>0</v>
      </c>
      <c r="I2984" s="688" t="s">
        <v>125</v>
      </c>
      <c r="J2984" s="1668"/>
      <c r="K2984" s="1668"/>
      <c r="L2984" s="1669"/>
    </row>
    <row r="2985" spans="1:12" s="692" customFormat="1" ht="16.5" hidden="1">
      <c r="A2985" s="1687" t="s">
        <v>415</v>
      </c>
      <c r="B2985" s="1688" t="s">
        <v>1925</v>
      </c>
      <c r="C2985" s="688"/>
      <c r="D2985" s="1689">
        <f>H1935+H1942+H2640+H2647</f>
        <v>0</v>
      </c>
      <c r="E2985" s="688" t="s">
        <v>1844</v>
      </c>
      <c r="F2985" s="1671">
        <v>1</v>
      </c>
      <c r="G2985" s="688" t="s">
        <v>1923</v>
      </c>
      <c r="H2985" s="1671">
        <f t="shared" si="395"/>
        <v>0</v>
      </c>
      <c r="I2985" s="688" t="s">
        <v>125</v>
      </c>
      <c r="J2985" s="1668"/>
      <c r="K2985" s="1668"/>
      <c r="L2985" s="1669"/>
    </row>
    <row r="2986" spans="1:12" s="692" customFormat="1" ht="16.5" hidden="1">
      <c r="A2986" s="1687" t="s">
        <v>638</v>
      </c>
      <c r="B2986" s="1688" t="s">
        <v>473</v>
      </c>
      <c r="C2986" s="688"/>
      <c r="D2986" s="1689">
        <f>H1875+H1882+H2580+H2587</f>
        <v>0</v>
      </c>
      <c r="E2986" s="688" t="s">
        <v>1844</v>
      </c>
      <c r="F2986" s="1671">
        <f>F2965</f>
        <v>0.05</v>
      </c>
      <c r="G2986" s="688" t="s">
        <v>1923</v>
      </c>
      <c r="H2986" s="1671">
        <f t="shared" si="395"/>
        <v>0</v>
      </c>
      <c r="I2986" s="688" t="s">
        <v>125</v>
      </c>
      <c r="J2986" s="1668"/>
      <c r="K2986" s="1668"/>
      <c r="L2986" s="1669"/>
    </row>
    <row r="2987" spans="1:12" s="692" customFormat="1" ht="16.5" hidden="1">
      <c r="A2987" s="1687" t="s">
        <v>640</v>
      </c>
      <c r="B2987" s="1688" t="s">
        <v>481</v>
      </c>
      <c r="C2987" s="688"/>
      <c r="D2987" s="1689">
        <f>H1890+H1897+H2595+H2602</f>
        <v>0</v>
      </c>
      <c r="E2987" s="688" t="s">
        <v>1844</v>
      </c>
      <c r="F2987" s="1671">
        <f>F2966</f>
        <v>1.3</v>
      </c>
      <c r="G2987" s="688" t="s">
        <v>1923</v>
      </c>
      <c r="H2987" s="1671">
        <f t="shared" si="395"/>
        <v>0</v>
      </c>
      <c r="I2987" s="688" t="s">
        <v>125</v>
      </c>
      <c r="J2987" s="1668"/>
      <c r="K2987" s="1668"/>
      <c r="L2987" s="1669"/>
    </row>
    <row r="2988" spans="1:12" s="692" customFormat="1" ht="16.5" hidden="1">
      <c r="A2988" s="1687" t="s">
        <v>642</v>
      </c>
      <c r="B2988" s="1688" t="s">
        <v>479</v>
      </c>
      <c r="C2988" s="688"/>
      <c r="D2988" s="1689">
        <f>H1965+H1972+H2670+H2677</f>
        <v>0</v>
      </c>
      <c r="E2988" s="688" t="s">
        <v>1844</v>
      </c>
      <c r="F2988" s="1671">
        <f>F2967</f>
        <v>1.25</v>
      </c>
      <c r="G2988" s="688" t="s">
        <v>1923</v>
      </c>
      <c r="H2988" s="1671">
        <f t="shared" si="395"/>
        <v>0</v>
      </c>
      <c r="I2988" s="688" t="s">
        <v>125</v>
      </c>
      <c r="J2988" s="1668"/>
      <c r="K2988" s="1668"/>
      <c r="L2988" s="1669"/>
    </row>
    <row r="2989" spans="1:12" s="692" customFormat="1" ht="16.5" hidden="1">
      <c r="A2989" s="1687" t="s">
        <v>699</v>
      </c>
      <c r="B2989" s="1688" t="s">
        <v>1850</v>
      </c>
      <c r="C2989" s="688"/>
      <c r="D2989" s="1689">
        <f>H1905+H1912+H2610+H2617</f>
        <v>0</v>
      </c>
      <c r="E2989" s="688" t="s">
        <v>1844</v>
      </c>
      <c r="F2989" s="1671">
        <f>F2973</f>
        <v>1.75</v>
      </c>
      <c r="G2989" s="688" t="s">
        <v>1923</v>
      </c>
      <c r="H2989" s="1671">
        <f t="shared" si="395"/>
        <v>0</v>
      </c>
      <c r="I2989" s="688" t="s">
        <v>125</v>
      </c>
      <c r="J2989" s="1668"/>
      <c r="K2989" s="1668"/>
      <c r="L2989" s="1669"/>
    </row>
    <row r="2990" spans="1:12" s="692" customFormat="1" ht="16.5" hidden="1">
      <c r="A2990" s="1687" t="s">
        <v>701</v>
      </c>
      <c r="B2990" s="1688" t="s">
        <v>477</v>
      </c>
      <c r="C2990" s="688"/>
      <c r="D2990" s="1689">
        <f>H1980+H1987+H2685+H2692</f>
        <v>0</v>
      </c>
      <c r="E2990" s="688" t="s">
        <v>1844</v>
      </c>
      <c r="F2990" s="1671">
        <f>F2974</f>
        <v>1</v>
      </c>
      <c r="G2990" s="688" t="s">
        <v>1923</v>
      </c>
      <c r="H2990" s="1671">
        <f t="shared" si="395"/>
        <v>0</v>
      </c>
      <c r="I2990" s="688" t="s">
        <v>125</v>
      </c>
      <c r="J2990" s="1668"/>
      <c r="K2990" s="1668"/>
      <c r="L2990" s="1669"/>
    </row>
    <row r="2991" spans="1:12" s="692" customFormat="1" ht="16.5" hidden="1">
      <c r="A2991" s="1687" t="s">
        <v>703</v>
      </c>
      <c r="B2991" s="1688" t="s">
        <v>1929</v>
      </c>
      <c r="C2991" s="688"/>
      <c r="D2991" s="1689">
        <f>H2655+H2662+H1950+H1957</f>
        <v>0</v>
      </c>
      <c r="E2991" s="688" t="s">
        <v>1844</v>
      </c>
      <c r="F2991" s="1671">
        <f>F2980</f>
        <v>0.04</v>
      </c>
      <c r="G2991" s="688" t="s">
        <v>1923</v>
      </c>
      <c r="H2991" s="1671">
        <f t="shared" ref="H2991" si="396">ROUND(D2991*F2991,2)</f>
        <v>0</v>
      </c>
      <c r="I2991" s="688" t="s">
        <v>125</v>
      </c>
      <c r="J2991" s="1668"/>
      <c r="K2991" s="1668"/>
      <c r="L2991" s="1669"/>
    </row>
    <row r="2992" spans="1:12" s="692" customFormat="1" ht="16.5" hidden="1">
      <c r="A2992" s="1687" t="s">
        <v>1927</v>
      </c>
      <c r="B2992" s="1688" t="s">
        <v>1926</v>
      </c>
      <c r="C2992" s="688"/>
      <c r="D2992" s="1689">
        <f>H2625+H2632+H1920+H1927</f>
        <v>0</v>
      </c>
      <c r="E2992" s="688" t="s">
        <v>1844</v>
      </c>
      <c r="F2992" s="1671">
        <v>0.5</v>
      </c>
      <c r="G2992" s="688" t="s">
        <v>1923</v>
      </c>
      <c r="H2992" s="1671">
        <f t="shared" ref="H2992" si="397">ROUND(D2992*F2992,2)</f>
        <v>0</v>
      </c>
      <c r="I2992" s="688" t="s">
        <v>125</v>
      </c>
      <c r="J2992" s="1668"/>
      <c r="K2992" s="1668"/>
      <c r="L2992" s="1669"/>
    </row>
    <row r="2993" spans="1:12" s="692" customFormat="1" ht="16.5" hidden="1">
      <c r="A2993" s="1665"/>
      <c r="B2993" s="1666"/>
      <c r="C2993" s="688"/>
      <c r="D2993" s="1667"/>
      <c r="E2993" s="688"/>
      <c r="F2993" s="688"/>
      <c r="G2993" s="688" t="s">
        <v>928</v>
      </c>
      <c r="H2993" s="1673">
        <f>SUM(H2984:H2992)</f>
        <v>0</v>
      </c>
      <c r="I2993" s="677" t="s">
        <v>125</v>
      </c>
      <c r="J2993" s="1669">
        <f>'Lead &amp; ANALYSIS'!L620</f>
        <v>9936.5</v>
      </c>
      <c r="K2993" s="1668" t="s">
        <v>1512</v>
      </c>
      <c r="L2993" s="1669">
        <f>ROUND(H2993*J2993,0)</f>
        <v>0</v>
      </c>
    </row>
    <row r="2994" spans="1:12" s="692" customFormat="1" ht="82.5" hidden="1">
      <c r="A2994" s="1665">
        <f>'Lead &amp; ANALYSIS'!A621</f>
        <v>54</v>
      </c>
      <c r="B2994" s="1666" t="str">
        <f>'Lead &amp; ANALYSIS'!B621</f>
        <v>Single Under reamed Bore Compacted Piles of different size in foundation with RCC M-20 including cost of boaring, all cost of RCC work excluding cost of steel with labour for bending binding etc.complete as per the instruction of Engineer-in-Charge .</v>
      </c>
      <c r="C2994" s="688"/>
      <c r="D2994" s="1667"/>
      <c r="E2994" s="688"/>
      <c r="F2994" s="688"/>
      <c r="G2994" s="1674"/>
      <c r="H2994" s="688"/>
      <c r="I2994" s="1668"/>
      <c r="J2994" s="1668"/>
      <c r="K2994" s="1668"/>
      <c r="L2994" s="1669"/>
    </row>
    <row r="2995" spans="1:12" s="692" customFormat="1" ht="16.5" hidden="1">
      <c r="A2995" s="1665" t="s">
        <v>468</v>
      </c>
      <c r="B2995" s="1666" t="s">
        <v>489</v>
      </c>
      <c r="C2995" s="688"/>
      <c r="D2995" s="1667"/>
      <c r="E2995" s="688"/>
      <c r="F2995" s="688"/>
      <c r="G2995" s="1674"/>
      <c r="H2995" s="688"/>
      <c r="I2995" s="1668"/>
      <c r="J2995" s="1669">
        <f>'Lead &amp; ANALYSIS'!L622</f>
        <v>17022</v>
      </c>
      <c r="K2995" s="1668"/>
      <c r="L2995" s="1669">
        <f>ROUND(H2995*J2995,0)</f>
        <v>0</v>
      </c>
    </row>
    <row r="2996" spans="1:12" s="692" customFormat="1" ht="16.5" hidden="1">
      <c r="A2996" s="1665" t="s">
        <v>383</v>
      </c>
      <c r="B2996" s="1666" t="s">
        <v>490</v>
      </c>
      <c r="C2996" s="688"/>
      <c r="D2996" s="1667"/>
      <c r="E2996" s="688"/>
      <c r="F2996" s="688"/>
      <c r="G2996" s="1674"/>
      <c r="H2996" s="688"/>
      <c r="I2996" s="1668"/>
      <c r="J2996" s="1669">
        <f>'Lead &amp; ANALYSIS'!L623</f>
        <v>11396.6</v>
      </c>
      <c r="K2996" s="1668"/>
      <c r="L2996" s="1669">
        <f t="shared" ref="L2996:L3003" si="398">ROUND(H2996*J2996,0)</f>
        <v>0</v>
      </c>
    </row>
    <row r="2997" spans="1:12" s="692" customFormat="1" ht="33" hidden="1">
      <c r="A2997" s="1665" t="s">
        <v>386</v>
      </c>
      <c r="B2997" s="1666" t="s">
        <v>491</v>
      </c>
      <c r="C2997" s="688"/>
      <c r="D2997" s="1667"/>
      <c r="E2997" s="688"/>
      <c r="F2997" s="688"/>
      <c r="G2997" s="1674"/>
      <c r="H2997" s="688"/>
      <c r="I2997" s="1668"/>
      <c r="J2997" s="1669">
        <f>'Lead &amp; ANALYSIS'!L624</f>
        <v>1406.3</v>
      </c>
      <c r="K2997" s="1668"/>
      <c r="L2997" s="1669">
        <f t="shared" si="398"/>
        <v>0</v>
      </c>
    </row>
    <row r="2998" spans="1:12" s="692" customFormat="1" ht="16.5" hidden="1">
      <c r="A2998" s="1665" t="s">
        <v>470</v>
      </c>
      <c r="B2998" s="1666" t="s">
        <v>493</v>
      </c>
      <c r="C2998" s="688"/>
      <c r="D2998" s="1667"/>
      <c r="E2998" s="688"/>
      <c r="F2998" s="688"/>
      <c r="G2998" s="1674"/>
      <c r="H2998" s="688"/>
      <c r="I2998" s="1668"/>
      <c r="J2998" s="1669">
        <f>'Lead &amp; ANALYSIS'!L625</f>
        <v>12517.9</v>
      </c>
      <c r="K2998" s="1668"/>
      <c r="L2998" s="1669">
        <f t="shared" si="398"/>
        <v>0</v>
      </c>
    </row>
    <row r="2999" spans="1:12" s="692" customFormat="1" ht="16.5" hidden="1">
      <c r="A2999" s="1665" t="s">
        <v>383</v>
      </c>
      <c r="B2999" s="1666" t="s">
        <v>494</v>
      </c>
      <c r="C2999" s="688"/>
      <c r="D2999" s="1667"/>
      <c r="E2999" s="688"/>
      <c r="F2999" s="688"/>
      <c r="G2999" s="1674"/>
      <c r="H2999" s="688"/>
      <c r="I2999" s="1668"/>
      <c r="J2999" s="1669">
        <f>'Lead &amp; ANALYSIS'!L626</f>
        <v>8178.2</v>
      </c>
      <c r="K2999" s="1668"/>
      <c r="L2999" s="1669">
        <f t="shared" si="398"/>
        <v>0</v>
      </c>
    </row>
    <row r="3000" spans="1:12" s="692" customFormat="1" ht="33" hidden="1">
      <c r="A3000" s="1665" t="s">
        <v>386</v>
      </c>
      <c r="B3000" s="1666" t="s">
        <v>491</v>
      </c>
      <c r="C3000" s="688"/>
      <c r="D3000" s="1667"/>
      <c r="E3000" s="688"/>
      <c r="F3000" s="688"/>
      <c r="G3000" s="1674"/>
      <c r="H3000" s="688"/>
      <c r="I3000" s="1668"/>
      <c r="J3000" s="1669">
        <f>'Lead &amp; ANALYSIS'!L627</f>
        <v>1084.9000000000001</v>
      </c>
      <c r="K3000" s="1668"/>
      <c r="L3000" s="1669">
        <f t="shared" si="398"/>
        <v>0</v>
      </c>
    </row>
    <row r="3001" spans="1:12" s="692" customFormat="1" ht="16.5" hidden="1">
      <c r="A3001" s="1665" t="s">
        <v>472</v>
      </c>
      <c r="B3001" s="1666" t="s">
        <v>495</v>
      </c>
      <c r="C3001" s="688"/>
      <c r="D3001" s="1667"/>
      <c r="E3001" s="688"/>
      <c r="F3001" s="688"/>
      <c r="G3001" s="1674"/>
      <c r="H3001" s="688"/>
      <c r="I3001" s="1668"/>
      <c r="J3001" s="1669">
        <f>'Lead &amp; ANALYSIS'!L628</f>
        <v>10097.700000000001</v>
      </c>
      <c r="K3001" s="1668"/>
      <c r="L3001" s="1669">
        <f t="shared" si="398"/>
        <v>0</v>
      </c>
    </row>
    <row r="3002" spans="1:12" s="692" customFormat="1" ht="16.5" hidden="1">
      <c r="A3002" s="1665" t="s">
        <v>383</v>
      </c>
      <c r="B3002" s="1666" t="s">
        <v>496</v>
      </c>
      <c r="C3002" s="688"/>
      <c r="D3002" s="1667"/>
      <c r="E3002" s="688"/>
      <c r="F3002" s="688"/>
      <c r="G3002" s="1674"/>
      <c r="H3002" s="688"/>
      <c r="I3002" s="1668"/>
      <c r="J3002" s="1669">
        <f>'Lead &amp; ANALYSIS'!L629</f>
        <v>6456.5</v>
      </c>
      <c r="K3002" s="1668"/>
      <c r="L3002" s="1669">
        <f t="shared" si="398"/>
        <v>0</v>
      </c>
    </row>
    <row r="3003" spans="1:12" s="692" customFormat="1" ht="33" hidden="1">
      <c r="A3003" s="1665" t="s">
        <v>386</v>
      </c>
      <c r="B3003" s="1666" t="s">
        <v>491</v>
      </c>
      <c r="C3003" s="688"/>
      <c r="D3003" s="1667"/>
      <c r="E3003" s="688"/>
      <c r="F3003" s="688"/>
      <c r="G3003" s="1674"/>
      <c r="H3003" s="688"/>
      <c r="I3003" s="1668"/>
      <c r="J3003" s="1669">
        <f>'Lead &amp; ANALYSIS'!L630</f>
        <v>910.3</v>
      </c>
      <c r="K3003" s="1668"/>
      <c r="L3003" s="1669">
        <f t="shared" si="398"/>
        <v>0</v>
      </c>
    </row>
    <row r="3004" spans="1:12" s="692" customFormat="1" ht="82.5" hidden="1">
      <c r="A3004" s="1665">
        <f>'Lead &amp; ANALYSIS'!A631</f>
        <v>55</v>
      </c>
      <c r="B3004" s="1666" t="str">
        <f>'Lead &amp; ANALYSIS'!B631</f>
        <v>Double Under reamed Bore Compacted Piles of different size in foundation with RCC M-20 including cost of boaring, all cost of RCC work excluding cost of steel with labour for bending binding etc.complete as per the instruction of Engineer-in-Charge .</v>
      </c>
      <c r="C3004" s="688"/>
      <c r="D3004" s="1667"/>
      <c r="E3004" s="688"/>
      <c r="F3004" s="688"/>
      <c r="G3004" s="1674"/>
      <c r="H3004" s="688"/>
      <c r="I3004" s="1668"/>
      <c r="J3004" s="1668"/>
      <c r="K3004" s="1668"/>
      <c r="L3004" s="1669"/>
    </row>
    <row r="3005" spans="1:12" s="692" customFormat="1" ht="16.5" hidden="1">
      <c r="A3005" s="1665" t="s">
        <v>468</v>
      </c>
      <c r="B3005" s="1666" t="s">
        <v>489</v>
      </c>
      <c r="C3005" s="688"/>
      <c r="D3005" s="1667"/>
      <c r="E3005" s="688"/>
      <c r="F3005" s="688"/>
      <c r="G3005" s="1674"/>
      <c r="H3005" s="688"/>
      <c r="I3005" s="1668"/>
      <c r="J3005" s="1669">
        <f>'Lead &amp; ANALYSIS'!L632</f>
        <v>18787.900000000001</v>
      </c>
      <c r="K3005" s="1668"/>
      <c r="L3005" s="1669">
        <f>ROUND(H3005*J3005,0)</f>
        <v>0</v>
      </c>
    </row>
    <row r="3006" spans="1:12" s="692" customFormat="1" ht="16.5" hidden="1">
      <c r="A3006" s="1665" t="s">
        <v>383</v>
      </c>
      <c r="B3006" s="1666" t="s">
        <v>490</v>
      </c>
      <c r="C3006" s="688"/>
      <c r="D3006" s="1667"/>
      <c r="E3006" s="688"/>
      <c r="F3006" s="688"/>
      <c r="G3006" s="1674"/>
      <c r="H3006" s="688"/>
      <c r="I3006" s="1668"/>
      <c r="J3006" s="1669">
        <f>'Lead &amp; ANALYSIS'!L633</f>
        <v>13162.6</v>
      </c>
      <c r="K3006" s="1668"/>
      <c r="L3006" s="1669">
        <f t="shared" ref="L3006:L3013" si="399">ROUND(H3006*J3006,0)</f>
        <v>0</v>
      </c>
    </row>
    <row r="3007" spans="1:12" s="692" customFormat="1" ht="33" hidden="1">
      <c r="A3007" s="1665" t="s">
        <v>386</v>
      </c>
      <c r="B3007" s="1666" t="s">
        <v>491</v>
      </c>
      <c r="C3007" s="688"/>
      <c r="D3007" s="1667"/>
      <c r="E3007" s="688"/>
      <c r="F3007" s="688"/>
      <c r="G3007" s="1674"/>
      <c r="H3007" s="688"/>
      <c r="I3007" s="1668"/>
      <c r="J3007" s="1669">
        <f>'Lead &amp; ANALYSIS'!L634</f>
        <v>1406.3</v>
      </c>
      <c r="K3007" s="1668"/>
      <c r="L3007" s="1669">
        <f t="shared" si="399"/>
        <v>0</v>
      </c>
    </row>
    <row r="3008" spans="1:12" s="692" customFormat="1" ht="16.5" hidden="1">
      <c r="A3008" s="1665" t="s">
        <v>470</v>
      </c>
      <c r="B3008" s="1666" t="s">
        <v>493</v>
      </c>
      <c r="C3008" s="688"/>
      <c r="D3008" s="1667"/>
      <c r="E3008" s="688"/>
      <c r="F3008" s="688"/>
      <c r="G3008" s="1674"/>
      <c r="H3008" s="688"/>
      <c r="I3008" s="1668"/>
      <c r="J3008" s="1669">
        <f>'Lead &amp; ANALYSIS'!L635</f>
        <v>14383.8</v>
      </c>
      <c r="K3008" s="1668"/>
      <c r="L3008" s="1669">
        <f t="shared" si="399"/>
        <v>0</v>
      </c>
    </row>
    <row r="3009" spans="1:12" s="692" customFormat="1" ht="16.5" hidden="1">
      <c r="A3009" s="1665" t="s">
        <v>383</v>
      </c>
      <c r="B3009" s="1666" t="s">
        <v>494</v>
      </c>
      <c r="C3009" s="688"/>
      <c r="D3009" s="1667"/>
      <c r="E3009" s="688"/>
      <c r="F3009" s="688"/>
      <c r="G3009" s="1674"/>
      <c r="H3009" s="688"/>
      <c r="I3009" s="1668"/>
      <c r="J3009" s="1669">
        <f>'Lead &amp; ANALYSIS'!L636</f>
        <v>10044.200000000001</v>
      </c>
      <c r="K3009" s="1668"/>
      <c r="L3009" s="1669">
        <f t="shared" si="399"/>
        <v>0</v>
      </c>
    </row>
    <row r="3010" spans="1:12" s="692" customFormat="1" ht="33" hidden="1">
      <c r="A3010" s="1665" t="s">
        <v>386</v>
      </c>
      <c r="B3010" s="1666" t="s">
        <v>491</v>
      </c>
      <c r="C3010" s="688"/>
      <c r="D3010" s="1667"/>
      <c r="E3010" s="688"/>
      <c r="F3010" s="688"/>
      <c r="G3010" s="1674"/>
      <c r="H3010" s="688"/>
      <c r="I3010" s="1668"/>
      <c r="J3010" s="1669">
        <f>'Lead &amp; ANALYSIS'!L637</f>
        <v>1084.9000000000001</v>
      </c>
      <c r="K3010" s="1668"/>
      <c r="L3010" s="1669">
        <f t="shared" si="399"/>
        <v>0</v>
      </c>
    </row>
    <row r="3011" spans="1:12" s="692" customFormat="1" ht="16.5" hidden="1">
      <c r="A3011" s="1665" t="s">
        <v>472</v>
      </c>
      <c r="B3011" s="1666" t="s">
        <v>495</v>
      </c>
      <c r="C3011" s="688"/>
      <c r="D3011" s="1667"/>
      <c r="E3011" s="688"/>
      <c r="F3011" s="688"/>
      <c r="G3011" s="1674"/>
      <c r="H3011" s="688"/>
      <c r="I3011" s="1668"/>
      <c r="J3011" s="1669">
        <f>'Lead &amp; ANALYSIS'!L638</f>
        <v>11504.6</v>
      </c>
      <c r="K3011" s="1668"/>
      <c r="L3011" s="1669">
        <f t="shared" si="399"/>
        <v>0</v>
      </c>
    </row>
    <row r="3012" spans="1:12" s="692" customFormat="1" ht="16.5" hidden="1">
      <c r="A3012" s="1665" t="s">
        <v>383</v>
      </c>
      <c r="B3012" s="1666" t="s">
        <v>496</v>
      </c>
      <c r="C3012" s="688"/>
      <c r="D3012" s="1667"/>
      <c r="E3012" s="688"/>
      <c r="F3012" s="688"/>
      <c r="G3012" s="1674"/>
      <c r="H3012" s="688"/>
      <c r="I3012" s="1668"/>
      <c r="J3012" s="1669">
        <f>'Lead &amp; ANALYSIS'!L639</f>
        <v>7863.4</v>
      </c>
      <c r="K3012" s="1668"/>
      <c r="L3012" s="1669">
        <f t="shared" si="399"/>
        <v>0</v>
      </c>
    </row>
    <row r="3013" spans="1:12" s="692" customFormat="1" ht="33" hidden="1">
      <c r="A3013" s="1665" t="s">
        <v>386</v>
      </c>
      <c r="B3013" s="1666" t="s">
        <v>491</v>
      </c>
      <c r="C3013" s="688"/>
      <c r="D3013" s="1667"/>
      <c r="E3013" s="688"/>
      <c r="F3013" s="688"/>
      <c r="G3013" s="1674"/>
      <c r="H3013" s="688"/>
      <c r="I3013" s="1668"/>
      <c r="J3013" s="1669">
        <f>'Lead &amp; ANALYSIS'!L640</f>
        <v>910.3</v>
      </c>
      <c r="K3013" s="1668"/>
      <c r="L3013" s="1669">
        <f t="shared" si="399"/>
        <v>0</v>
      </c>
    </row>
    <row r="3014" spans="1:12" s="692" customFormat="1" ht="16.5" hidden="1">
      <c r="A3014" s="1665"/>
      <c r="B3014" s="1666"/>
      <c r="C3014" s="688"/>
      <c r="D3014" s="1667"/>
      <c r="E3014" s="688"/>
      <c r="F3014" s="688"/>
      <c r="G3014" s="1674"/>
      <c r="H3014" s="688"/>
      <c r="I3014" s="1668"/>
      <c r="J3014" s="1668"/>
      <c r="K3014" s="1668"/>
      <c r="L3014" s="1669"/>
    </row>
    <row r="3015" spans="1:12" s="692" customFormat="1" ht="57.6" customHeight="1">
      <c r="A3015" s="1665">
        <v>8</v>
      </c>
      <c r="B3015" s="1666" t="str">
        <f>'Lead &amp; ANALYSIS'!B642</f>
        <v>Providing 12 mm thick C.P. with C.M. (1:6) with screened and washed sharp sand for mortar and finished smooth to the rough surface of walls in all heights after racking out joints etc. complete in all respect as directed by the Engineer in charge.</v>
      </c>
      <c r="C3015" s="688"/>
      <c r="D3015" s="1667"/>
      <c r="E3015" s="688"/>
      <c r="F3015" s="688"/>
      <c r="G3015" s="1674"/>
      <c r="H3015" s="688"/>
      <c r="I3015" s="1668"/>
      <c r="J3015" s="1668"/>
      <c r="K3015" s="1668"/>
      <c r="L3015" s="1669"/>
    </row>
    <row r="3016" spans="1:12" s="692" customFormat="1" ht="16.5">
      <c r="A3016" s="1665" t="s">
        <v>468</v>
      </c>
      <c r="B3016" s="1675" t="s">
        <v>500</v>
      </c>
      <c r="C3016" s="688"/>
      <c r="D3016" s="1667"/>
      <c r="E3016" s="688"/>
      <c r="F3016" s="688"/>
      <c r="G3016" s="1674"/>
      <c r="H3016" s="688"/>
      <c r="I3016" s="1668"/>
      <c r="J3016" s="1668"/>
      <c r="K3016" s="1668"/>
      <c r="L3016" s="1669"/>
    </row>
    <row r="3017" spans="1:12" s="692" customFormat="1" ht="16.5" hidden="1">
      <c r="A3017" s="1665" t="s">
        <v>383</v>
      </c>
      <c r="B3017" s="1675" t="s">
        <v>384</v>
      </c>
      <c r="C3017" s="688"/>
      <c r="D3017" s="1667"/>
      <c r="E3017" s="688"/>
      <c r="F3017" s="688"/>
      <c r="G3017" s="1674"/>
      <c r="H3017" s="688"/>
      <c r="I3017" s="1668"/>
      <c r="J3017" s="1668"/>
      <c r="K3017" s="1668"/>
      <c r="L3017" s="1669"/>
    </row>
    <row r="3018" spans="1:12" s="692" customFormat="1" ht="16.5">
      <c r="A3018" s="1665"/>
      <c r="B3018" s="1666" t="s">
        <v>2989</v>
      </c>
      <c r="C3018" s="688"/>
      <c r="D3018" s="1667">
        <v>2</v>
      </c>
      <c r="E3018" s="1671">
        <v>17.25</v>
      </c>
      <c r="F3018" s="1672"/>
      <c r="G3018" s="1671">
        <v>3.7</v>
      </c>
      <c r="H3018" s="1671">
        <f t="shared" ref="H3018:H3023" si="400">ROUND(D3018*E3018*G3018,2)</f>
        <v>127.65</v>
      </c>
      <c r="I3018" s="1671" t="s">
        <v>92</v>
      </c>
      <c r="J3018" s="1668"/>
      <c r="K3018" s="1668"/>
      <c r="L3018" s="1669"/>
    </row>
    <row r="3019" spans="1:12" s="692" customFormat="1" ht="16.5">
      <c r="A3019" s="1665"/>
      <c r="B3019" s="1666"/>
      <c r="C3019" s="688"/>
      <c r="D3019" s="1667">
        <v>2</v>
      </c>
      <c r="E3019" s="1671">
        <v>8.65</v>
      </c>
      <c r="F3019" s="1672"/>
      <c r="G3019" s="1671">
        <f>G3018</f>
        <v>3.7</v>
      </c>
      <c r="H3019" s="1671">
        <f t="shared" si="400"/>
        <v>64.010000000000005</v>
      </c>
      <c r="I3019" s="1671" t="s">
        <v>92</v>
      </c>
      <c r="J3019" s="1668"/>
      <c r="K3019" s="1668"/>
      <c r="L3019" s="1669"/>
    </row>
    <row r="3020" spans="1:12" s="692" customFormat="1" ht="16.5" hidden="1">
      <c r="A3020" s="1665"/>
      <c r="B3020" s="1666"/>
      <c r="C3020" s="688"/>
      <c r="D3020" s="1667"/>
      <c r="E3020" s="1671">
        <f>'DRAWING CC'!AT129</f>
        <v>3.65</v>
      </c>
      <c r="F3020" s="1672"/>
      <c r="G3020" s="1671">
        <f>G3019</f>
        <v>3.7</v>
      </c>
      <c r="H3020" s="1671">
        <f t="shared" si="400"/>
        <v>0</v>
      </c>
      <c r="I3020" s="1671" t="s">
        <v>92</v>
      </c>
      <c r="J3020" s="1668"/>
      <c r="K3020" s="1668"/>
      <c r="L3020" s="1669"/>
    </row>
    <row r="3021" spans="1:12" s="692" customFormat="1" ht="16.5" hidden="1">
      <c r="A3021" s="1665"/>
      <c r="B3021" s="1666"/>
      <c r="C3021" s="688"/>
      <c r="D3021" s="1667"/>
      <c r="E3021" s="1671">
        <f>'DRAWING CC'!BE129</f>
        <v>1.5</v>
      </c>
      <c r="F3021" s="1672"/>
      <c r="G3021" s="1671">
        <f>G3020</f>
        <v>3.7</v>
      </c>
      <c r="H3021" s="1671">
        <f t="shared" si="400"/>
        <v>0</v>
      </c>
      <c r="I3021" s="1671" t="s">
        <v>92</v>
      </c>
      <c r="J3021" s="1668"/>
      <c r="K3021" s="1668"/>
      <c r="L3021" s="1669"/>
    </row>
    <row r="3022" spans="1:12" s="692" customFormat="1" ht="16.5" hidden="1">
      <c r="A3022" s="1665"/>
      <c r="B3022" s="1666" t="s">
        <v>2989</v>
      </c>
      <c r="C3022" s="688"/>
      <c r="D3022" s="1667"/>
      <c r="E3022" s="1671">
        <f>'DRAWING CC'!AW62</f>
        <v>4.1500000000000004</v>
      </c>
      <c r="F3022" s="1672"/>
      <c r="G3022" s="1671">
        <f>'DRAWING CC'!FD32</f>
        <v>3.7500000000000004</v>
      </c>
      <c r="H3022" s="1671">
        <f t="shared" si="400"/>
        <v>0</v>
      </c>
      <c r="I3022" s="1671" t="s">
        <v>92</v>
      </c>
      <c r="J3022" s="1668"/>
      <c r="K3022" s="1668"/>
      <c r="L3022" s="1669"/>
    </row>
    <row r="3023" spans="1:12" s="692" customFormat="1" ht="16.5" hidden="1">
      <c r="A3023" s="1665"/>
      <c r="B3023" s="1666"/>
      <c r="C3023" s="688"/>
      <c r="D3023" s="1667"/>
      <c r="E3023" s="1671">
        <f>'DRAWING CC'!O106</f>
        <v>5.25</v>
      </c>
      <c r="F3023" s="1672"/>
      <c r="G3023" s="1671">
        <f>G3022</f>
        <v>3.7500000000000004</v>
      </c>
      <c r="H3023" s="1671">
        <f t="shared" si="400"/>
        <v>0</v>
      </c>
      <c r="I3023" s="1671" t="s">
        <v>92</v>
      </c>
      <c r="J3023" s="1668"/>
      <c r="K3023" s="1668"/>
      <c r="L3023" s="1669"/>
    </row>
    <row r="3024" spans="1:12" s="692" customFormat="1" ht="16.5">
      <c r="A3024" s="1665"/>
      <c r="B3024" s="1666"/>
      <c r="C3024" s="688"/>
      <c r="D3024" s="1667"/>
      <c r="E3024" s="688"/>
      <c r="F3024" s="688"/>
      <c r="G3024" s="1665" t="s">
        <v>928</v>
      </c>
      <c r="H3024" s="1673">
        <f>SUM(H3018:H3023)</f>
        <v>191.66000000000003</v>
      </c>
      <c r="I3024" s="1668" t="s">
        <v>92</v>
      </c>
      <c r="J3024" s="1668"/>
      <c r="K3024" s="1668"/>
      <c r="L3024" s="1669"/>
    </row>
    <row r="3025" spans="1:12" s="692" customFormat="1" ht="16.5">
      <c r="A3025" s="1665"/>
      <c r="B3025" s="1675" t="s">
        <v>1883</v>
      </c>
      <c r="C3025" s="688"/>
      <c r="D3025" s="1667"/>
      <c r="E3025" s="688"/>
      <c r="F3025" s="688"/>
      <c r="G3025" s="1665"/>
      <c r="H3025" s="1673"/>
      <c r="I3025" s="1668"/>
      <c r="J3025" s="1668"/>
      <c r="K3025" s="1668"/>
      <c r="L3025" s="1669"/>
    </row>
    <row r="3026" spans="1:12" s="692" customFormat="1" ht="16.5">
      <c r="A3026" s="1665"/>
      <c r="B3026" s="1666" t="str">
        <f>B1177</f>
        <v>Window</v>
      </c>
      <c r="C3026" s="688">
        <v>0.5</v>
      </c>
      <c r="D3026" s="1667">
        <f t="shared" ref="D3026:E3029" si="401">D1177</f>
        <v>4</v>
      </c>
      <c r="E3026" s="1671">
        <f t="shared" si="401"/>
        <v>1.2</v>
      </c>
      <c r="F3026" s="1672"/>
      <c r="G3026" s="1671">
        <f>G1177</f>
        <v>1.2</v>
      </c>
      <c r="H3026" s="1671">
        <f>ROUND(C3026*D3026*E3026*G3026,2)</f>
        <v>2.88</v>
      </c>
      <c r="I3026" s="1671" t="s">
        <v>92</v>
      </c>
      <c r="J3026" s="1668"/>
      <c r="K3026" s="1668"/>
      <c r="L3026" s="1669"/>
    </row>
    <row r="3027" spans="1:12" s="692" customFormat="1" ht="16.5">
      <c r="A3027" s="1665"/>
      <c r="B3027" s="1666" t="str">
        <f>B1178</f>
        <v>Door</v>
      </c>
      <c r="C3027" s="688">
        <v>0.5</v>
      </c>
      <c r="D3027" s="1667">
        <f t="shared" si="401"/>
        <v>4</v>
      </c>
      <c r="E3027" s="1671">
        <f t="shared" si="401"/>
        <v>1.2</v>
      </c>
      <c r="F3027" s="1672"/>
      <c r="G3027" s="1671">
        <f>G1178</f>
        <v>2.1</v>
      </c>
      <c r="H3027" s="1671"/>
      <c r="I3027" s="1671" t="s">
        <v>92</v>
      </c>
      <c r="J3027" s="1668"/>
      <c r="K3027" s="1668"/>
      <c r="L3027" s="1669"/>
    </row>
    <row r="3028" spans="1:12" s="692" customFormat="1" ht="16.5">
      <c r="A3028" s="1665"/>
      <c r="B3028" s="1666" t="str">
        <f>B1179</f>
        <v>Openings</v>
      </c>
      <c r="C3028" s="688">
        <v>0.5</v>
      </c>
      <c r="D3028" s="1667">
        <f t="shared" si="401"/>
        <v>4</v>
      </c>
      <c r="E3028" s="1671">
        <f t="shared" si="401"/>
        <v>4</v>
      </c>
      <c r="F3028" s="1672"/>
      <c r="G3028" s="1671">
        <f>G1179</f>
        <v>2.1</v>
      </c>
      <c r="H3028" s="1671">
        <f t="shared" ref="H3028:H3029" si="402">ROUND(C3028*D3028*E3028*G3028,2)</f>
        <v>16.8</v>
      </c>
      <c r="I3028" s="1671" t="s">
        <v>92</v>
      </c>
      <c r="J3028" s="1668"/>
      <c r="K3028" s="1668"/>
      <c r="L3028" s="1669"/>
    </row>
    <row r="3029" spans="1:12" s="692" customFormat="1" ht="16.5">
      <c r="A3029" s="1665"/>
      <c r="B3029" s="1666"/>
      <c r="C3029" s="688">
        <v>0.5</v>
      </c>
      <c r="D3029" s="1667">
        <f t="shared" si="401"/>
        <v>2</v>
      </c>
      <c r="E3029" s="1671">
        <f t="shared" si="401"/>
        <v>1.8</v>
      </c>
      <c r="F3029" s="1672"/>
      <c r="G3029" s="1671">
        <f>G3028</f>
        <v>2.1</v>
      </c>
      <c r="H3029" s="1671">
        <f t="shared" si="402"/>
        <v>3.78</v>
      </c>
      <c r="I3029" s="1671" t="s">
        <v>92</v>
      </c>
      <c r="J3029" s="1668"/>
      <c r="K3029" s="1668"/>
      <c r="L3029" s="1669"/>
    </row>
    <row r="3030" spans="1:12" s="692" customFormat="1" ht="16.5" hidden="1">
      <c r="A3030" s="1665"/>
      <c r="B3030" s="1666"/>
      <c r="C3030" s="688"/>
      <c r="D3030" s="1667"/>
      <c r="E3030" s="1671">
        <f>'DRAWING CC'!AW69</f>
        <v>0</v>
      </c>
      <c r="F3030" s="1672"/>
      <c r="G3030" s="1671">
        <f>'DRAWING CC'!FD39</f>
        <v>0</v>
      </c>
      <c r="H3030" s="1671">
        <f t="shared" ref="H3030:H3031" si="403">ROUND(D3030*E3030*G3030,2)</f>
        <v>0</v>
      </c>
      <c r="I3030" s="1671" t="s">
        <v>92</v>
      </c>
      <c r="J3030" s="1668"/>
      <c r="K3030" s="1668"/>
      <c r="L3030" s="1669"/>
    </row>
    <row r="3031" spans="1:12" s="692" customFormat="1" ht="16.5" hidden="1">
      <c r="A3031" s="1665"/>
      <c r="B3031" s="1666"/>
      <c r="C3031" s="688"/>
      <c r="D3031" s="1667"/>
      <c r="E3031" s="1671">
        <f>'DRAWING CC'!O113</f>
        <v>0</v>
      </c>
      <c r="F3031" s="1672"/>
      <c r="G3031" s="1671">
        <f>G3030</f>
        <v>0</v>
      </c>
      <c r="H3031" s="1671">
        <f t="shared" si="403"/>
        <v>0</v>
      </c>
      <c r="I3031" s="1671" t="s">
        <v>92</v>
      </c>
      <c r="J3031" s="1668"/>
      <c r="K3031" s="1668"/>
      <c r="L3031" s="1669"/>
    </row>
    <row r="3032" spans="1:12" s="692" customFormat="1" ht="16.5">
      <c r="A3032" s="1665"/>
      <c r="B3032" s="1666"/>
      <c r="C3032" s="688"/>
      <c r="D3032" s="1667"/>
      <c r="E3032" s="688"/>
      <c r="F3032" s="688"/>
      <c r="G3032" s="1665" t="s">
        <v>928</v>
      </c>
      <c r="H3032" s="1673">
        <f>SUM(H3026:H3031)</f>
        <v>23.46</v>
      </c>
      <c r="I3032" s="1668" t="s">
        <v>92</v>
      </c>
      <c r="J3032" s="1668"/>
      <c r="K3032" s="1668"/>
      <c r="L3032" s="1669"/>
    </row>
    <row r="3033" spans="1:12" s="692" customFormat="1" ht="16.5">
      <c r="A3033" s="1665"/>
      <c r="B3033" s="1666"/>
      <c r="C3033" s="688"/>
      <c r="D3033" s="1667"/>
      <c r="E3033" s="688"/>
      <c r="F3033" s="688"/>
      <c r="G3033" s="1665" t="s">
        <v>1810</v>
      </c>
      <c r="H3033" s="1673">
        <f>H3024-H3032</f>
        <v>168.20000000000002</v>
      </c>
      <c r="I3033" s="1668" t="s">
        <v>92</v>
      </c>
      <c r="J3033" s="1668"/>
      <c r="K3033" s="1668"/>
      <c r="L3033" s="1669"/>
    </row>
    <row r="3034" spans="1:12" s="692" customFormat="1" ht="16.5">
      <c r="A3034" s="1665"/>
      <c r="B3034" s="1675"/>
      <c r="C3034" s="688"/>
      <c r="D3034" s="1667"/>
      <c r="E3034" s="688"/>
      <c r="F3034" s="688"/>
      <c r="G3034" s="1665"/>
      <c r="H3034" s="1673">
        <f>H3033</f>
        <v>168.20000000000002</v>
      </c>
      <c r="I3034" s="1668" t="s">
        <v>92</v>
      </c>
      <c r="J3034" s="1669">
        <f>'Lead &amp; ANALYSIS'!L644</f>
        <v>156.30000000000001</v>
      </c>
      <c r="K3034" s="1668" t="s">
        <v>1514</v>
      </c>
      <c r="L3034" s="1669">
        <f t="shared" ref="L3034" si="404">ROUND(H3034*J3034,0)</f>
        <v>26290</v>
      </c>
    </row>
    <row r="3035" spans="1:12" s="692" customFormat="1" ht="16.5" hidden="1">
      <c r="A3035" s="1665" t="s">
        <v>386</v>
      </c>
      <c r="B3035" s="1666" t="s">
        <v>387</v>
      </c>
      <c r="C3035" s="688"/>
      <c r="D3035" s="1667"/>
      <c r="E3035" s="688"/>
      <c r="F3035" s="688"/>
      <c r="G3035" s="1674"/>
      <c r="H3035" s="688"/>
      <c r="I3035" s="1668"/>
      <c r="J3035" s="1668"/>
      <c r="K3035" s="1668"/>
      <c r="L3035" s="1669"/>
    </row>
    <row r="3036" spans="1:12" s="692" customFormat="1" ht="16.5" hidden="1">
      <c r="A3036" s="1665"/>
      <c r="B3036" s="1666"/>
      <c r="C3036" s="688"/>
      <c r="D3036" s="1667"/>
      <c r="E3036" s="1671">
        <v>5</v>
      </c>
      <c r="F3036" s="1672"/>
      <c r="G3036" s="1671">
        <v>2</v>
      </c>
      <c r="H3036" s="1671">
        <f t="shared" ref="H3036:H3041" si="405">ROUND(D3036*E3036*G3036,2)</f>
        <v>0</v>
      </c>
      <c r="I3036" s="1671" t="s">
        <v>92</v>
      </c>
      <c r="J3036" s="1668"/>
      <c r="K3036" s="1668"/>
      <c r="L3036" s="1669"/>
    </row>
    <row r="3037" spans="1:12" s="692" customFormat="1" ht="16.5" hidden="1">
      <c r="A3037" s="1665"/>
      <c r="B3037" s="1666"/>
      <c r="C3037" s="688"/>
      <c r="D3037" s="1667"/>
      <c r="E3037" s="1671">
        <v>3.5</v>
      </c>
      <c r="F3037" s="1672"/>
      <c r="G3037" s="1671">
        <v>4</v>
      </c>
      <c r="H3037" s="1671">
        <f t="shared" si="405"/>
        <v>0</v>
      </c>
      <c r="I3037" s="1671" t="s">
        <v>92</v>
      </c>
      <c r="J3037" s="1668"/>
      <c r="K3037" s="1668"/>
      <c r="L3037" s="1669"/>
    </row>
    <row r="3038" spans="1:12" s="692" customFormat="1" ht="16.5" hidden="1">
      <c r="A3038" s="1665"/>
      <c r="B3038" s="1666"/>
      <c r="C3038" s="688"/>
      <c r="D3038" s="1667"/>
      <c r="E3038" s="1671">
        <v>3.5</v>
      </c>
      <c r="F3038" s="1672"/>
      <c r="G3038" s="1671">
        <v>4</v>
      </c>
      <c r="H3038" s="1671">
        <f t="shared" si="405"/>
        <v>0</v>
      </c>
      <c r="I3038" s="1671" t="s">
        <v>92</v>
      </c>
      <c r="J3038" s="1668"/>
      <c r="K3038" s="1668"/>
      <c r="L3038" s="1669"/>
    </row>
    <row r="3039" spans="1:12" s="692" customFormat="1" ht="16.5" hidden="1">
      <c r="A3039" s="1665"/>
      <c r="B3039" s="1666"/>
      <c r="C3039" s="688"/>
      <c r="D3039" s="1667"/>
      <c r="E3039" s="1671">
        <v>3.5</v>
      </c>
      <c r="F3039" s="1672"/>
      <c r="G3039" s="1671">
        <v>4</v>
      </c>
      <c r="H3039" s="1671">
        <f t="shared" si="405"/>
        <v>0</v>
      </c>
      <c r="I3039" s="1671" t="s">
        <v>92</v>
      </c>
      <c r="J3039" s="1668"/>
      <c r="K3039" s="1668"/>
      <c r="L3039" s="1669"/>
    </row>
    <row r="3040" spans="1:12" s="692" customFormat="1" ht="16.5" hidden="1">
      <c r="A3040" s="1665"/>
      <c r="B3040" s="1666"/>
      <c r="C3040" s="688"/>
      <c r="D3040" s="1667"/>
      <c r="E3040" s="1671">
        <v>3.5</v>
      </c>
      <c r="F3040" s="1672"/>
      <c r="G3040" s="1671">
        <v>4</v>
      </c>
      <c r="H3040" s="1671">
        <f t="shared" si="405"/>
        <v>0</v>
      </c>
      <c r="I3040" s="1671" t="s">
        <v>92</v>
      </c>
      <c r="J3040" s="1668"/>
      <c r="K3040" s="1668"/>
      <c r="L3040" s="1669"/>
    </row>
    <row r="3041" spans="1:12" s="692" customFormat="1" ht="16.5" hidden="1">
      <c r="A3041" s="1665"/>
      <c r="B3041" s="1666"/>
      <c r="C3041" s="688"/>
      <c r="D3041" s="1667"/>
      <c r="E3041" s="1671">
        <v>3.5</v>
      </c>
      <c r="F3041" s="1672"/>
      <c r="G3041" s="1671">
        <v>4</v>
      </c>
      <c r="H3041" s="1671">
        <f t="shared" si="405"/>
        <v>0</v>
      </c>
      <c r="I3041" s="1671" t="s">
        <v>92</v>
      </c>
      <c r="J3041" s="1668"/>
      <c r="K3041" s="1668"/>
      <c r="L3041" s="1669"/>
    </row>
    <row r="3042" spans="1:12" s="692" customFormat="1" ht="16.5" hidden="1">
      <c r="A3042" s="1665"/>
      <c r="B3042" s="1666"/>
      <c r="C3042" s="688"/>
      <c r="D3042" s="1667"/>
      <c r="E3042" s="688"/>
      <c r="F3042" s="688"/>
      <c r="G3042" s="1665" t="s">
        <v>928</v>
      </c>
      <c r="H3042" s="1673">
        <f>SUM(H3036:H3041)</f>
        <v>0</v>
      </c>
      <c r="I3042" s="1668" t="s">
        <v>92</v>
      </c>
      <c r="J3042" s="1669">
        <f>'Lead &amp; ANALYSIS'!L645</f>
        <v>159.80000000000001</v>
      </c>
      <c r="K3042" s="1668" t="s">
        <v>1514</v>
      </c>
      <c r="L3042" s="1669">
        <f t="shared" ref="L3042" si="406">ROUND(H3042*J3042,0)</f>
        <v>0</v>
      </c>
    </row>
    <row r="3043" spans="1:12" s="692" customFormat="1" ht="16.5" hidden="1">
      <c r="A3043" s="1665" t="s">
        <v>432</v>
      </c>
      <c r="B3043" s="1666" t="s">
        <v>3622</v>
      </c>
      <c r="C3043" s="688"/>
      <c r="D3043" s="1667"/>
      <c r="E3043" s="688"/>
      <c r="F3043" s="688"/>
      <c r="G3043" s="1674"/>
      <c r="H3043" s="688"/>
      <c r="I3043" s="1668"/>
      <c r="J3043" s="1668"/>
      <c r="K3043" s="1668"/>
      <c r="L3043" s="1669"/>
    </row>
    <row r="3044" spans="1:12" s="692" customFormat="1" ht="16.5" hidden="1">
      <c r="A3044" s="1665"/>
      <c r="B3044" s="1666"/>
      <c r="C3044" s="688"/>
      <c r="D3044" s="1667"/>
      <c r="E3044" s="1671">
        <v>5</v>
      </c>
      <c r="F3044" s="1672"/>
      <c r="G3044" s="1671">
        <v>2</v>
      </c>
      <c r="H3044" s="1671">
        <f t="shared" ref="H3044:H3049" si="407">ROUND(D3044*E3044*G3044,2)</f>
        <v>0</v>
      </c>
      <c r="I3044" s="1671" t="s">
        <v>92</v>
      </c>
      <c r="J3044" s="1668"/>
      <c r="K3044" s="1668"/>
      <c r="L3044" s="1669"/>
    </row>
    <row r="3045" spans="1:12" s="692" customFormat="1" ht="16.5" hidden="1">
      <c r="A3045" s="1665"/>
      <c r="B3045" s="1666"/>
      <c r="C3045" s="688"/>
      <c r="D3045" s="1667"/>
      <c r="E3045" s="1671">
        <v>3.5</v>
      </c>
      <c r="F3045" s="1672"/>
      <c r="G3045" s="1671">
        <v>4</v>
      </c>
      <c r="H3045" s="1671">
        <f t="shared" si="407"/>
        <v>0</v>
      </c>
      <c r="I3045" s="1671" t="s">
        <v>92</v>
      </c>
      <c r="J3045" s="1668"/>
      <c r="K3045" s="1668"/>
      <c r="L3045" s="1669"/>
    </row>
    <row r="3046" spans="1:12" s="692" customFormat="1" ht="16.5" hidden="1">
      <c r="A3046" s="1665"/>
      <c r="B3046" s="1666"/>
      <c r="C3046" s="688"/>
      <c r="D3046" s="1667"/>
      <c r="E3046" s="1671">
        <v>3.5</v>
      </c>
      <c r="F3046" s="1672"/>
      <c r="G3046" s="1671">
        <v>4</v>
      </c>
      <c r="H3046" s="1671">
        <f t="shared" si="407"/>
        <v>0</v>
      </c>
      <c r="I3046" s="1671" t="s">
        <v>92</v>
      </c>
      <c r="J3046" s="1668"/>
      <c r="K3046" s="1668"/>
      <c r="L3046" s="1669"/>
    </row>
    <row r="3047" spans="1:12" s="692" customFormat="1" ht="16.5" hidden="1">
      <c r="A3047" s="1665"/>
      <c r="B3047" s="1666"/>
      <c r="C3047" s="688"/>
      <c r="D3047" s="1667"/>
      <c r="E3047" s="1671">
        <v>3.5</v>
      </c>
      <c r="F3047" s="1672"/>
      <c r="G3047" s="1671">
        <v>4</v>
      </c>
      <c r="H3047" s="1671">
        <f t="shared" si="407"/>
        <v>0</v>
      </c>
      <c r="I3047" s="1671" t="s">
        <v>92</v>
      </c>
      <c r="J3047" s="1668"/>
      <c r="K3047" s="1668"/>
      <c r="L3047" s="1669"/>
    </row>
    <row r="3048" spans="1:12" s="692" customFormat="1" ht="16.5" hidden="1">
      <c r="A3048" s="1665"/>
      <c r="B3048" s="1666"/>
      <c r="C3048" s="688"/>
      <c r="D3048" s="1667"/>
      <c r="E3048" s="1671">
        <v>3.5</v>
      </c>
      <c r="F3048" s="1672"/>
      <c r="G3048" s="1671">
        <v>4</v>
      </c>
      <c r="H3048" s="1671">
        <f t="shared" si="407"/>
        <v>0</v>
      </c>
      <c r="I3048" s="1671" t="s">
        <v>92</v>
      </c>
      <c r="J3048" s="1668"/>
      <c r="K3048" s="1668"/>
      <c r="L3048" s="1669"/>
    </row>
    <row r="3049" spans="1:12" s="692" customFormat="1" ht="16.5" hidden="1">
      <c r="A3049" s="1665"/>
      <c r="B3049" s="1666"/>
      <c r="C3049" s="688"/>
      <c r="D3049" s="1667"/>
      <c r="E3049" s="1671">
        <v>3.5</v>
      </c>
      <c r="F3049" s="1672"/>
      <c r="G3049" s="1671">
        <v>4</v>
      </c>
      <c r="H3049" s="1671">
        <f t="shared" si="407"/>
        <v>0</v>
      </c>
      <c r="I3049" s="1671" t="s">
        <v>92</v>
      </c>
      <c r="J3049" s="1668"/>
      <c r="K3049" s="1668"/>
      <c r="L3049" s="1669"/>
    </row>
    <row r="3050" spans="1:12" s="692" customFormat="1" ht="16.5" hidden="1">
      <c r="A3050" s="1665"/>
      <c r="B3050" s="1666"/>
      <c r="C3050" s="688"/>
      <c r="D3050" s="1667"/>
      <c r="E3050" s="688"/>
      <c r="F3050" s="688"/>
      <c r="G3050" s="1665" t="s">
        <v>928</v>
      </c>
      <c r="H3050" s="1673">
        <f>SUM(H3044:H3049)</f>
        <v>0</v>
      </c>
      <c r="I3050" s="1668" t="s">
        <v>92</v>
      </c>
      <c r="J3050" s="1669">
        <f>'Lead &amp; ANALYSIS'!L646</f>
        <v>163.5</v>
      </c>
      <c r="K3050" s="1668" t="s">
        <v>1514</v>
      </c>
      <c r="L3050" s="1669">
        <f t="shared" ref="L3050" si="408">ROUND(H3050*J3050,0)</f>
        <v>0</v>
      </c>
    </row>
    <row r="3051" spans="1:12" s="692" customFormat="1" ht="16.5" hidden="1">
      <c r="A3051" s="1665" t="s">
        <v>443</v>
      </c>
      <c r="B3051" s="1666" t="s">
        <v>3636</v>
      </c>
      <c r="C3051" s="688"/>
      <c r="D3051" s="1667"/>
      <c r="E3051" s="688"/>
      <c r="F3051" s="688"/>
      <c r="G3051" s="1674"/>
      <c r="H3051" s="688"/>
      <c r="I3051" s="1668"/>
      <c r="J3051" s="1668"/>
      <c r="K3051" s="1668"/>
      <c r="L3051" s="1669"/>
    </row>
    <row r="3052" spans="1:12" s="692" customFormat="1" ht="16.5" hidden="1">
      <c r="A3052" s="1665"/>
      <c r="B3052" s="1666"/>
      <c r="C3052" s="688"/>
      <c r="D3052" s="1667"/>
      <c r="E3052" s="1671">
        <v>5</v>
      </c>
      <c r="F3052" s="1672"/>
      <c r="G3052" s="1671">
        <v>2</v>
      </c>
      <c r="H3052" s="1671">
        <f t="shared" ref="H3052:H3057" si="409">ROUND(D3052*E3052*G3052,2)</f>
        <v>0</v>
      </c>
      <c r="I3052" s="1671" t="s">
        <v>92</v>
      </c>
      <c r="J3052" s="1668"/>
      <c r="K3052" s="1668"/>
      <c r="L3052" s="1669"/>
    </row>
    <row r="3053" spans="1:12" s="692" customFormat="1" ht="16.5" hidden="1">
      <c r="A3053" s="1665"/>
      <c r="B3053" s="1666"/>
      <c r="C3053" s="688"/>
      <c r="D3053" s="1667"/>
      <c r="E3053" s="1671">
        <v>3.5</v>
      </c>
      <c r="F3053" s="1672"/>
      <c r="G3053" s="1671">
        <v>4</v>
      </c>
      <c r="H3053" s="1671">
        <f t="shared" si="409"/>
        <v>0</v>
      </c>
      <c r="I3053" s="1671" t="s">
        <v>92</v>
      </c>
      <c r="J3053" s="1668"/>
      <c r="K3053" s="1668"/>
      <c r="L3053" s="1669"/>
    </row>
    <row r="3054" spans="1:12" s="692" customFormat="1" ht="16.5" hidden="1">
      <c r="A3054" s="1665"/>
      <c r="B3054" s="1666"/>
      <c r="C3054" s="688"/>
      <c r="D3054" s="1667"/>
      <c r="E3054" s="1671">
        <v>3.5</v>
      </c>
      <c r="F3054" s="1672"/>
      <c r="G3054" s="1671">
        <v>4</v>
      </c>
      <c r="H3054" s="1671">
        <f t="shared" si="409"/>
        <v>0</v>
      </c>
      <c r="I3054" s="1671" t="s">
        <v>92</v>
      </c>
      <c r="J3054" s="1668"/>
      <c r="K3054" s="1668"/>
      <c r="L3054" s="1669"/>
    </row>
    <row r="3055" spans="1:12" s="692" customFormat="1" ht="16.5" hidden="1">
      <c r="A3055" s="1665"/>
      <c r="B3055" s="1666"/>
      <c r="C3055" s="688"/>
      <c r="D3055" s="1667"/>
      <c r="E3055" s="1671">
        <v>3.5</v>
      </c>
      <c r="F3055" s="1672"/>
      <c r="G3055" s="1671">
        <v>4</v>
      </c>
      <c r="H3055" s="1671">
        <f t="shared" si="409"/>
        <v>0</v>
      </c>
      <c r="I3055" s="1671" t="s">
        <v>92</v>
      </c>
      <c r="J3055" s="1668"/>
      <c r="K3055" s="1668"/>
      <c r="L3055" s="1669"/>
    </row>
    <row r="3056" spans="1:12" s="692" customFormat="1" ht="16.5" hidden="1">
      <c r="A3056" s="1665"/>
      <c r="B3056" s="1666"/>
      <c r="C3056" s="688"/>
      <c r="D3056" s="1667"/>
      <c r="E3056" s="1671">
        <v>3.5</v>
      </c>
      <c r="F3056" s="1672"/>
      <c r="G3056" s="1671">
        <v>4</v>
      </c>
      <c r="H3056" s="1671">
        <f t="shared" si="409"/>
        <v>0</v>
      </c>
      <c r="I3056" s="1671" t="s">
        <v>92</v>
      </c>
      <c r="J3056" s="1668"/>
      <c r="K3056" s="1668"/>
      <c r="L3056" s="1669"/>
    </row>
    <row r="3057" spans="1:12" s="692" customFormat="1" ht="16.5" hidden="1">
      <c r="A3057" s="1665"/>
      <c r="B3057" s="1666"/>
      <c r="C3057" s="688"/>
      <c r="D3057" s="1667"/>
      <c r="E3057" s="1671">
        <v>3.5</v>
      </c>
      <c r="F3057" s="1672"/>
      <c r="G3057" s="1671">
        <v>4</v>
      </c>
      <c r="H3057" s="1671">
        <f t="shared" si="409"/>
        <v>0</v>
      </c>
      <c r="I3057" s="1671" t="s">
        <v>92</v>
      </c>
      <c r="J3057" s="1668"/>
      <c r="K3057" s="1668"/>
      <c r="L3057" s="1669"/>
    </row>
    <row r="3058" spans="1:12" s="692" customFormat="1" ht="16.5" hidden="1">
      <c r="A3058" s="1665"/>
      <c r="B3058" s="1666"/>
      <c r="C3058" s="688"/>
      <c r="D3058" s="1667"/>
      <c r="E3058" s="688"/>
      <c r="F3058" s="688"/>
      <c r="G3058" s="1665" t="s">
        <v>928</v>
      </c>
      <c r="H3058" s="1673">
        <f>SUM(H3052:H3057)</f>
        <v>0</v>
      </c>
      <c r="I3058" s="1668" t="s">
        <v>92</v>
      </c>
      <c r="J3058" s="1669">
        <f>'Lead &amp; ANALYSIS'!L647</f>
        <v>167.3</v>
      </c>
      <c r="K3058" s="1668" t="s">
        <v>1514</v>
      </c>
      <c r="L3058" s="1669">
        <f t="shared" ref="L3058" si="410">ROUND(H3058*J3058,0)</f>
        <v>0</v>
      </c>
    </row>
    <row r="3059" spans="1:12" s="692" customFormat="1" ht="16.5" hidden="1">
      <c r="A3059" s="1665" t="s">
        <v>470</v>
      </c>
      <c r="B3059" s="1666" t="s">
        <v>501</v>
      </c>
      <c r="C3059" s="688"/>
      <c r="D3059" s="1667"/>
      <c r="E3059" s="688"/>
      <c r="F3059" s="688"/>
      <c r="G3059" s="1674"/>
      <c r="H3059" s="688"/>
      <c r="I3059" s="1668"/>
      <c r="J3059" s="1668"/>
      <c r="K3059" s="1668"/>
      <c r="L3059" s="1669"/>
    </row>
    <row r="3060" spans="1:12" s="692" customFormat="1" ht="16.5" hidden="1">
      <c r="A3060" s="1665" t="s">
        <v>383</v>
      </c>
      <c r="B3060" s="1666" t="s">
        <v>384</v>
      </c>
      <c r="C3060" s="688"/>
      <c r="D3060" s="1667"/>
      <c r="E3060" s="688"/>
      <c r="F3060" s="688"/>
      <c r="G3060" s="1674"/>
      <c r="H3060" s="688"/>
      <c r="I3060" s="1668"/>
      <c r="J3060" s="1668"/>
      <c r="K3060" s="1668"/>
      <c r="L3060" s="1669"/>
    </row>
    <row r="3061" spans="1:12" s="692" customFormat="1" ht="16.5" hidden="1">
      <c r="A3061" s="1665"/>
      <c r="B3061" s="1666"/>
      <c r="C3061" s="688"/>
      <c r="D3061" s="1667"/>
      <c r="E3061" s="1671">
        <v>3.5</v>
      </c>
      <c r="F3061" s="1672"/>
      <c r="G3061" s="1671">
        <v>4</v>
      </c>
      <c r="H3061" s="1671">
        <f t="shared" ref="H3061:H3066" si="411">ROUND(D3061*E3061*G3061,2)</f>
        <v>0</v>
      </c>
      <c r="I3061" s="1671" t="s">
        <v>92</v>
      </c>
      <c r="J3061" s="1668"/>
      <c r="K3061" s="1668"/>
      <c r="L3061" s="1669"/>
    </row>
    <row r="3062" spans="1:12" s="692" customFormat="1" ht="16.5" hidden="1">
      <c r="A3062" s="1665"/>
      <c r="B3062" s="1666"/>
      <c r="C3062" s="688"/>
      <c r="D3062" s="1667"/>
      <c r="E3062" s="1671">
        <v>3.5</v>
      </c>
      <c r="F3062" s="1672"/>
      <c r="G3062" s="1671">
        <v>4</v>
      </c>
      <c r="H3062" s="1671">
        <f t="shared" si="411"/>
        <v>0</v>
      </c>
      <c r="I3062" s="1671" t="s">
        <v>92</v>
      </c>
      <c r="J3062" s="1668"/>
      <c r="K3062" s="1668"/>
      <c r="L3062" s="1669"/>
    </row>
    <row r="3063" spans="1:12" s="692" customFormat="1" ht="16.5" hidden="1">
      <c r="A3063" s="1665"/>
      <c r="B3063" s="1666"/>
      <c r="C3063" s="688"/>
      <c r="D3063" s="1667"/>
      <c r="E3063" s="1671">
        <v>3.5</v>
      </c>
      <c r="F3063" s="1672"/>
      <c r="G3063" s="1671">
        <v>4</v>
      </c>
      <c r="H3063" s="1671">
        <f t="shared" si="411"/>
        <v>0</v>
      </c>
      <c r="I3063" s="1671" t="s">
        <v>92</v>
      </c>
      <c r="J3063" s="1668"/>
      <c r="K3063" s="1668"/>
      <c r="L3063" s="1669"/>
    </row>
    <row r="3064" spans="1:12" s="692" customFormat="1" ht="16.5" hidden="1">
      <c r="A3064" s="1665"/>
      <c r="B3064" s="1666"/>
      <c r="C3064" s="688"/>
      <c r="D3064" s="1667"/>
      <c r="E3064" s="1671">
        <v>3.5</v>
      </c>
      <c r="F3064" s="1672"/>
      <c r="G3064" s="1671">
        <v>4</v>
      </c>
      <c r="H3064" s="1671">
        <f t="shared" si="411"/>
        <v>0</v>
      </c>
      <c r="I3064" s="1671" t="s">
        <v>92</v>
      </c>
      <c r="J3064" s="1668"/>
      <c r="K3064" s="1668"/>
      <c r="L3064" s="1669"/>
    </row>
    <row r="3065" spans="1:12" s="692" customFormat="1" ht="16.5" hidden="1">
      <c r="A3065" s="1665"/>
      <c r="B3065" s="1666"/>
      <c r="C3065" s="688"/>
      <c r="D3065" s="1667"/>
      <c r="E3065" s="1671">
        <v>3.5</v>
      </c>
      <c r="F3065" s="1672"/>
      <c r="G3065" s="1671">
        <v>4</v>
      </c>
      <c r="H3065" s="1671">
        <f t="shared" si="411"/>
        <v>0</v>
      </c>
      <c r="I3065" s="1671" t="s">
        <v>92</v>
      </c>
      <c r="J3065" s="1668"/>
      <c r="K3065" s="1668"/>
      <c r="L3065" s="1669"/>
    </row>
    <row r="3066" spans="1:12" s="692" customFormat="1" ht="16.5" hidden="1">
      <c r="A3066" s="1665"/>
      <c r="B3066" s="1666"/>
      <c r="C3066" s="688"/>
      <c r="D3066" s="1667"/>
      <c r="E3066" s="1671">
        <v>3.5</v>
      </c>
      <c r="F3066" s="1672"/>
      <c r="G3066" s="1671">
        <v>4</v>
      </c>
      <c r="H3066" s="1671">
        <f t="shared" si="411"/>
        <v>0</v>
      </c>
      <c r="I3066" s="1671" t="s">
        <v>92</v>
      </c>
      <c r="J3066" s="1668"/>
      <c r="K3066" s="1668"/>
      <c r="L3066" s="1669"/>
    </row>
    <row r="3067" spans="1:12" s="692" customFormat="1" ht="16.5" hidden="1">
      <c r="A3067" s="1665"/>
      <c r="B3067" s="1666"/>
      <c r="C3067" s="688"/>
      <c r="D3067" s="1667"/>
      <c r="E3067" s="688"/>
      <c r="F3067" s="688"/>
      <c r="G3067" s="1665" t="s">
        <v>928</v>
      </c>
      <c r="H3067" s="1673">
        <f>SUM(H3061:H3066)</f>
        <v>0</v>
      </c>
      <c r="I3067" s="1668" t="s">
        <v>92</v>
      </c>
      <c r="J3067" s="1669">
        <f>'Lead &amp; ANALYSIS'!L649</f>
        <v>154.69999999999999</v>
      </c>
      <c r="K3067" s="1668" t="s">
        <v>1514</v>
      </c>
      <c r="L3067" s="1669">
        <f t="shared" ref="L3067" si="412">ROUND(H3067*J3067,0)</f>
        <v>0</v>
      </c>
    </row>
    <row r="3068" spans="1:12" s="692" customFormat="1" ht="16.5" hidden="1">
      <c r="A3068" s="1665" t="s">
        <v>386</v>
      </c>
      <c r="B3068" s="1666" t="s">
        <v>387</v>
      </c>
      <c r="C3068" s="688"/>
      <c r="D3068" s="1667"/>
      <c r="E3068" s="688"/>
      <c r="F3068" s="688"/>
      <c r="G3068" s="1674"/>
      <c r="H3068" s="688"/>
      <c r="I3068" s="1668"/>
      <c r="J3068" s="1668"/>
      <c r="K3068" s="1668"/>
      <c r="L3068" s="1669"/>
    </row>
    <row r="3069" spans="1:12" s="692" customFormat="1" ht="16.5" hidden="1">
      <c r="A3069" s="1665"/>
      <c r="B3069" s="1666"/>
      <c r="C3069" s="688"/>
      <c r="D3069" s="1667"/>
      <c r="E3069" s="1671">
        <v>3.5</v>
      </c>
      <c r="F3069" s="1672"/>
      <c r="G3069" s="1671">
        <v>4</v>
      </c>
      <c r="H3069" s="1671">
        <f t="shared" ref="H3069:H3074" si="413">ROUND(D3069*E3069*G3069,2)</f>
        <v>0</v>
      </c>
      <c r="I3069" s="1671" t="s">
        <v>92</v>
      </c>
      <c r="J3069" s="1668"/>
      <c r="K3069" s="1668"/>
      <c r="L3069" s="1669"/>
    </row>
    <row r="3070" spans="1:12" s="692" customFormat="1" ht="16.5" hidden="1">
      <c r="A3070" s="1665"/>
      <c r="B3070" s="1666"/>
      <c r="C3070" s="688"/>
      <c r="D3070" s="1667"/>
      <c r="E3070" s="1671">
        <v>3.5</v>
      </c>
      <c r="F3070" s="1672"/>
      <c r="G3070" s="1671">
        <v>4</v>
      </c>
      <c r="H3070" s="1671">
        <f t="shared" si="413"/>
        <v>0</v>
      </c>
      <c r="I3070" s="1671" t="s">
        <v>92</v>
      </c>
      <c r="J3070" s="1668"/>
      <c r="K3070" s="1668"/>
      <c r="L3070" s="1669"/>
    </row>
    <row r="3071" spans="1:12" s="692" customFormat="1" ht="16.5" hidden="1">
      <c r="A3071" s="1665"/>
      <c r="B3071" s="1666"/>
      <c r="C3071" s="688"/>
      <c r="D3071" s="1667"/>
      <c r="E3071" s="1671">
        <v>3.5</v>
      </c>
      <c r="F3071" s="1672"/>
      <c r="G3071" s="1671">
        <v>4</v>
      </c>
      <c r="H3071" s="1671">
        <f t="shared" si="413"/>
        <v>0</v>
      </c>
      <c r="I3071" s="1671" t="s">
        <v>92</v>
      </c>
      <c r="J3071" s="1668"/>
      <c r="K3071" s="1668"/>
      <c r="L3071" s="1669"/>
    </row>
    <row r="3072" spans="1:12" s="692" customFormat="1" ht="16.5" hidden="1">
      <c r="A3072" s="1665"/>
      <c r="B3072" s="1666"/>
      <c r="C3072" s="688"/>
      <c r="D3072" s="1667"/>
      <c r="E3072" s="1671">
        <v>3.5</v>
      </c>
      <c r="F3072" s="1672"/>
      <c r="G3072" s="1671">
        <v>4</v>
      </c>
      <c r="H3072" s="1671">
        <f t="shared" si="413"/>
        <v>0</v>
      </c>
      <c r="I3072" s="1671" t="s">
        <v>92</v>
      </c>
      <c r="J3072" s="1668"/>
      <c r="K3072" s="1668"/>
      <c r="L3072" s="1669"/>
    </row>
    <row r="3073" spans="1:12" s="692" customFormat="1" ht="16.5" hidden="1">
      <c r="A3073" s="1665"/>
      <c r="B3073" s="1666"/>
      <c r="C3073" s="688"/>
      <c r="D3073" s="1667"/>
      <c r="E3073" s="1671">
        <v>3.5</v>
      </c>
      <c r="F3073" s="1672"/>
      <c r="G3073" s="1671">
        <v>4</v>
      </c>
      <c r="H3073" s="1671">
        <f t="shared" si="413"/>
        <v>0</v>
      </c>
      <c r="I3073" s="1671" t="s">
        <v>92</v>
      </c>
      <c r="J3073" s="1668"/>
      <c r="K3073" s="1668"/>
      <c r="L3073" s="1669"/>
    </row>
    <row r="3074" spans="1:12" s="692" customFormat="1" ht="16.5" hidden="1">
      <c r="A3074" s="1665"/>
      <c r="B3074" s="1666"/>
      <c r="C3074" s="688"/>
      <c r="D3074" s="1667"/>
      <c r="E3074" s="1671">
        <v>3.5</v>
      </c>
      <c r="F3074" s="1672"/>
      <c r="G3074" s="1671">
        <v>4</v>
      </c>
      <c r="H3074" s="1671">
        <f t="shared" si="413"/>
        <v>0</v>
      </c>
      <c r="I3074" s="1671" t="s">
        <v>92</v>
      </c>
      <c r="J3074" s="1668"/>
      <c r="K3074" s="1668"/>
      <c r="L3074" s="1669"/>
    </row>
    <row r="3075" spans="1:12" s="692" customFormat="1" ht="16.5" hidden="1">
      <c r="A3075" s="1665"/>
      <c r="B3075" s="1666"/>
      <c r="C3075" s="688"/>
      <c r="D3075" s="1667"/>
      <c r="E3075" s="688"/>
      <c r="F3075" s="688"/>
      <c r="G3075" s="1665" t="s">
        <v>928</v>
      </c>
      <c r="H3075" s="1673">
        <f>SUM(H3069:H3074)</f>
        <v>0</v>
      </c>
      <c r="I3075" s="1668" t="s">
        <v>92</v>
      </c>
      <c r="J3075" s="1669">
        <f>'Lead &amp; ANALYSIS'!L650</f>
        <v>162.19999999999999</v>
      </c>
      <c r="K3075" s="1668" t="s">
        <v>1514</v>
      </c>
      <c r="L3075" s="1669">
        <f t="shared" ref="L3075" si="414">ROUND(H3075*J3075,0)</f>
        <v>0</v>
      </c>
    </row>
    <row r="3076" spans="1:12" s="692" customFormat="1" ht="16.5" hidden="1">
      <c r="A3076" s="1665" t="s">
        <v>432</v>
      </c>
      <c r="B3076" s="1666" t="s">
        <v>3622</v>
      </c>
      <c r="C3076" s="688"/>
      <c r="D3076" s="1667"/>
      <c r="E3076" s="688"/>
      <c r="F3076" s="688"/>
      <c r="G3076" s="1674"/>
      <c r="H3076" s="688"/>
      <c r="I3076" s="1668"/>
      <c r="J3076" s="1668"/>
      <c r="K3076" s="1668"/>
      <c r="L3076" s="1669"/>
    </row>
    <row r="3077" spans="1:12" s="692" customFormat="1" ht="16.5" hidden="1">
      <c r="A3077" s="1665"/>
      <c r="B3077" s="1666"/>
      <c r="C3077" s="688"/>
      <c r="D3077" s="1667"/>
      <c r="E3077" s="1671">
        <v>3.5</v>
      </c>
      <c r="F3077" s="1672"/>
      <c r="G3077" s="1671">
        <v>4</v>
      </c>
      <c r="H3077" s="1671">
        <f t="shared" ref="H3077:H3082" si="415">ROUND(D3077*E3077*G3077,2)</f>
        <v>0</v>
      </c>
      <c r="I3077" s="1671" t="s">
        <v>92</v>
      </c>
      <c r="J3077" s="1668"/>
      <c r="K3077" s="1668"/>
      <c r="L3077" s="1669"/>
    </row>
    <row r="3078" spans="1:12" s="692" customFormat="1" ht="16.5" hidden="1">
      <c r="A3078" s="1665"/>
      <c r="B3078" s="1666"/>
      <c r="C3078" s="688"/>
      <c r="D3078" s="1667"/>
      <c r="E3078" s="1671">
        <v>3.5</v>
      </c>
      <c r="F3078" s="1672"/>
      <c r="G3078" s="1671">
        <v>4</v>
      </c>
      <c r="H3078" s="1671">
        <f t="shared" si="415"/>
        <v>0</v>
      </c>
      <c r="I3078" s="1671" t="s">
        <v>92</v>
      </c>
      <c r="J3078" s="1668"/>
      <c r="K3078" s="1668"/>
      <c r="L3078" s="1669"/>
    </row>
    <row r="3079" spans="1:12" s="692" customFormat="1" ht="16.5" hidden="1">
      <c r="A3079" s="1665"/>
      <c r="B3079" s="1666"/>
      <c r="C3079" s="688"/>
      <c r="D3079" s="1667"/>
      <c r="E3079" s="1671">
        <v>3.5</v>
      </c>
      <c r="F3079" s="1672"/>
      <c r="G3079" s="1671">
        <v>4</v>
      </c>
      <c r="H3079" s="1671">
        <f t="shared" si="415"/>
        <v>0</v>
      </c>
      <c r="I3079" s="1671" t="s">
        <v>92</v>
      </c>
      <c r="J3079" s="1668"/>
      <c r="K3079" s="1668"/>
      <c r="L3079" s="1669"/>
    </row>
    <row r="3080" spans="1:12" s="692" customFormat="1" ht="16.5" hidden="1">
      <c r="A3080" s="1665"/>
      <c r="B3080" s="1666"/>
      <c r="C3080" s="688"/>
      <c r="D3080" s="1667"/>
      <c r="E3080" s="1671">
        <v>3.5</v>
      </c>
      <c r="F3080" s="1672"/>
      <c r="G3080" s="1671">
        <v>4</v>
      </c>
      <c r="H3080" s="1671">
        <f t="shared" si="415"/>
        <v>0</v>
      </c>
      <c r="I3080" s="1671" t="s">
        <v>92</v>
      </c>
      <c r="J3080" s="1668"/>
      <c r="K3080" s="1668"/>
      <c r="L3080" s="1669"/>
    </row>
    <row r="3081" spans="1:12" s="692" customFormat="1" ht="16.5" hidden="1">
      <c r="A3081" s="1665"/>
      <c r="B3081" s="1666"/>
      <c r="C3081" s="688"/>
      <c r="D3081" s="1667"/>
      <c r="E3081" s="1671">
        <v>3.5</v>
      </c>
      <c r="F3081" s="1672"/>
      <c r="G3081" s="1671">
        <v>4</v>
      </c>
      <c r="H3081" s="1671">
        <f t="shared" si="415"/>
        <v>0</v>
      </c>
      <c r="I3081" s="1671" t="s">
        <v>92</v>
      </c>
      <c r="J3081" s="1668"/>
      <c r="K3081" s="1668"/>
      <c r="L3081" s="1669"/>
    </row>
    <row r="3082" spans="1:12" s="692" customFormat="1" ht="16.5" hidden="1">
      <c r="A3082" s="1665"/>
      <c r="B3082" s="1666"/>
      <c r="C3082" s="688"/>
      <c r="D3082" s="1667"/>
      <c r="E3082" s="1671">
        <v>3.5</v>
      </c>
      <c r="F3082" s="1672"/>
      <c r="G3082" s="1671">
        <v>4</v>
      </c>
      <c r="H3082" s="1671">
        <f t="shared" si="415"/>
        <v>0</v>
      </c>
      <c r="I3082" s="1671" t="s">
        <v>92</v>
      </c>
      <c r="J3082" s="1668"/>
      <c r="K3082" s="1668"/>
      <c r="L3082" s="1669"/>
    </row>
    <row r="3083" spans="1:12" s="692" customFormat="1" ht="16.5" hidden="1">
      <c r="A3083" s="1665"/>
      <c r="B3083" s="1666"/>
      <c r="C3083" s="688"/>
      <c r="D3083" s="1667"/>
      <c r="E3083" s="688"/>
      <c r="F3083" s="688"/>
      <c r="G3083" s="1665" t="s">
        <v>928</v>
      </c>
      <c r="H3083" s="1673">
        <f>SUM(H3077:H3082)</f>
        <v>0</v>
      </c>
      <c r="I3083" s="1668" t="s">
        <v>92</v>
      </c>
      <c r="J3083" s="1669">
        <f>'Lead &amp; ANALYSIS'!L651</f>
        <v>168.5</v>
      </c>
      <c r="K3083" s="1668" t="s">
        <v>1514</v>
      </c>
      <c r="L3083" s="1669">
        <f t="shared" ref="L3083" si="416">ROUND(H3083*J3083,0)</f>
        <v>0</v>
      </c>
    </row>
    <row r="3084" spans="1:12" s="692" customFormat="1" ht="16.5" hidden="1">
      <c r="A3084" s="1665" t="s">
        <v>443</v>
      </c>
      <c r="B3084" s="1666" t="s">
        <v>3636</v>
      </c>
      <c r="C3084" s="688"/>
      <c r="D3084" s="1667"/>
      <c r="E3084" s="688"/>
      <c r="F3084" s="688"/>
      <c r="G3084" s="1674"/>
      <c r="H3084" s="688"/>
      <c r="I3084" s="1668"/>
      <c r="J3084" s="1668"/>
      <c r="K3084" s="1668"/>
      <c r="L3084" s="1669"/>
    </row>
    <row r="3085" spans="1:12" s="692" customFormat="1" ht="16.5" hidden="1">
      <c r="A3085" s="1665"/>
      <c r="B3085" s="1666"/>
      <c r="C3085" s="688"/>
      <c r="D3085" s="1667"/>
      <c r="E3085" s="1671">
        <v>3.5</v>
      </c>
      <c r="F3085" s="1672"/>
      <c r="G3085" s="1671">
        <v>4</v>
      </c>
      <c r="H3085" s="1671">
        <f t="shared" ref="H3085:H3090" si="417">ROUND(D3085*E3085*G3085,2)</f>
        <v>0</v>
      </c>
      <c r="I3085" s="1671" t="s">
        <v>92</v>
      </c>
      <c r="J3085" s="1668"/>
      <c r="K3085" s="1668"/>
      <c r="L3085" s="1669"/>
    </row>
    <row r="3086" spans="1:12" s="692" customFormat="1" ht="16.5" hidden="1">
      <c r="A3086" s="1665"/>
      <c r="B3086" s="1666"/>
      <c r="C3086" s="688"/>
      <c r="D3086" s="1667"/>
      <c r="E3086" s="1671">
        <v>3.5</v>
      </c>
      <c r="F3086" s="1672"/>
      <c r="G3086" s="1671">
        <v>4</v>
      </c>
      <c r="H3086" s="1671">
        <f t="shared" si="417"/>
        <v>0</v>
      </c>
      <c r="I3086" s="1671" t="s">
        <v>92</v>
      </c>
      <c r="J3086" s="1668"/>
      <c r="K3086" s="1668"/>
      <c r="L3086" s="1669"/>
    </row>
    <row r="3087" spans="1:12" s="692" customFormat="1" ht="16.5" hidden="1">
      <c r="A3087" s="1665"/>
      <c r="B3087" s="1666"/>
      <c r="C3087" s="688"/>
      <c r="D3087" s="1667"/>
      <c r="E3087" s="1671">
        <v>3.5</v>
      </c>
      <c r="F3087" s="1672"/>
      <c r="G3087" s="1671">
        <v>4</v>
      </c>
      <c r="H3087" s="1671">
        <f t="shared" si="417"/>
        <v>0</v>
      </c>
      <c r="I3087" s="1671" t="s">
        <v>92</v>
      </c>
      <c r="J3087" s="1668"/>
      <c r="K3087" s="1668"/>
      <c r="L3087" s="1669"/>
    </row>
    <row r="3088" spans="1:12" s="692" customFormat="1" ht="16.5" hidden="1">
      <c r="A3088" s="1665"/>
      <c r="B3088" s="1666"/>
      <c r="C3088" s="688"/>
      <c r="D3088" s="1667"/>
      <c r="E3088" s="1671">
        <v>3.5</v>
      </c>
      <c r="F3088" s="1672"/>
      <c r="G3088" s="1671">
        <v>4</v>
      </c>
      <c r="H3088" s="1671">
        <f t="shared" si="417"/>
        <v>0</v>
      </c>
      <c r="I3088" s="1671" t="s">
        <v>92</v>
      </c>
      <c r="J3088" s="1668"/>
      <c r="K3088" s="1668"/>
      <c r="L3088" s="1669"/>
    </row>
    <row r="3089" spans="1:12" s="692" customFormat="1" ht="16.5" hidden="1">
      <c r="A3089" s="1665"/>
      <c r="B3089" s="1666"/>
      <c r="C3089" s="688"/>
      <c r="D3089" s="1667"/>
      <c r="E3089" s="1671">
        <v>3.5</v>
      </c>
      <c r="F3089" s="1672"/>
      <c r="G3089" s="1671">
        <v>4</v>
      </c>
      <c r="H3089" s="1671">
        <f t="shared" si="417"/>
        <v>0</v>
      </c>
      <c r="I3089" s="1671" t="s">
        <v>92</v>
      </c>
      <c r="J3089" s="1668"/>
      <c r="K3089" s="1668"/>
      <c r="L3089" s="1669"/>
    </row>
    <row r="3090" spans="1:12" s="692" customFormat="1" ht="16.5" hidden="1">
      <c r="A3090" s="1665"/>
      <c r="B3090" s="1666"/>
      <c r="C3090" s="688"/>
      <c r="D3090" s="1667"/>
      <c r="E3090" s="1671">
        <v>3.5</v>
      </c>
      <c r="F3090" s="1672"/>
      <c r="G3090" s="1671">
        <v>4</v>
      </c>
      <c r="H3090" s="1671">
        <f t="shared" si="417"/>
        <v>0</v>
      </c>
      <c r="I3090" s="1671" t="s">
        <v>92</v>
      </c>
      <c r="J3090" s="1668"/>
      <c r="K3090" s="1668"/>
      <c r="L3090" s="1669"/>
    </row>
    <row r="3091" spans="1:12" s="692" customFormat="1" ht="16.5" hidden="1">
      <c r="A3091" s="1665"/>
      <c r="B3091" s="1666"/>
      <c r="C3091" s="688"/>
      <c r="D3091" s="1667"/>
      <c r="E3091" s="688"/>
      <c r="F3091" s="688"/>
      <c r="G3091" s="1665" t="s">
        <v>928</v>
      </c>
      <c r="H3091" s="1673">
        <f>SUM(H3085:H3090)</f>
        <v>0</v>
      </c>
      <c r="I3091" s="1668" t="s">
        <v>92</v>
      </c>
      <c r="J3091" s="1669">
        <f>'Lead &amp; ANALYSIS'!L652</f>
        <v>175</v>
      </c>
      <c r="K3091" s="1668" t="s">
        <v>1514</v>
      </c>
      <c r="L3091" s="1669">
        <f t="shared" ref="L3091" si="418">ROUND(H3091*J3091,0)</f>
        <v>0</v>
      </c>
    </row>
    <row r="3092" spans="1:12" s="692" customFormat="1" ht="99" hidden="1">
      <c r="A3092" s="1665">
        <f>'Lead &amp; ANALYSIS'!A653</f>
        <v>57</v>
      </c>
      <c r="B3092" s="1666" t="str">
        <f>'Lead &amp; ANALYSIS'!B653</f>
        <v>Providing 12 mm thick CP with CM (1:4) and punning  for skirting in walls for dadoo with screened and washed sharp sand for mortar and finished smooth to the rough surface of walls including watering and curing etc. complete in all respect as directed by the Engineer in charge.</v>
      </c>
      <c r="C3092" s="688"/>
      <c r="D3092" s="1667"/>
      <c r="E3092" s="688"/>
      <c r="F3092" s="688"/>
      <c r="G3092" s="1674"/>
      <c r="H3092" s="688"/>
      <c r="I3092" s="1668"/>
      <c r="J3092" s="1668"/>
      <c r="K3092" s="1668"/>
      <c r="L3092" s="1669"/>
    </row>
    <row r="3093" spans="1:12" s="692" customFormat="1" ht="16.5" hidden="1">
      <c r="A3093" s="1665" t="s">
        <v>383</v>
      </c>
      <c r="B3093" s="1666" t="s">
        <v>384</v>
      </c>
      <c r="C3093" s="688"/>
      <c r="D3093" s="1667"/>
      <c r="E3093" s="688"/>
      <c r="F3093" s="688"/>
      <c r="G3093" s="1674"/>
      <c r="H3093" s="688"/>
      <c r="I3093" s="1668"/>
      <c r="J3093" s="1668"/>
      <c r="K3093" s="1668"/>
      <c r="L3093" s="1669"/>
    </row>
    <row r="3094" spans="1:12" s="692" customFormat="1" ht="16.5" hidden="1">
      <c r="A3094" s="1665"/>
      <c r="B3094" s="1666"/>
      <c r="C3094" s="688"/>
      <c r="D3094" s="1667"/>
      <c r="E3094" s="1671">
        <v>3.5</v>
      </c>
      <c r="F3094" s="1672"/>
      <c r="G3094" s="1671">
        <v>4</v>
      </c>
      <c r="H3094" s="1671">
        <f t="shared" ref="H3094:H3099" si="419">ROUND(D3094*E3094*G3094,2)</f>
        <v>0</v>
      </c>
      <c r="I3094" s="1671" t="s">
        <v>92</v>
      </c>
      <c r="J3094" s="1668"/>
      <c r="K3094" s="1668"/>
      <c r="L3094" s="1669"/>
    </row>
    <row r="3095" spans="1:12" s="692" customFormat="1" ht="16.5" hidden="1">
      <c r="A3095" s="1665"/>
      <c r="B3095" s="1666"/>
      <c r="C3095" s="688"/>
      <c r="D3095" s="1667"/>
      <c r="E3095" s="1671">
        <v>3.5</v>
      </c>
      <c r="F3095" s="1672"/>
      <c r="G3095" s="1671">
        <v>4</v>
      </c>
      <c r="H3095" s="1671">
        <f t="shared" si="419"/>
        <v>0</v>
      </c>
      <c r="I3095" s="1671" t="s">
        <v>92</v>
      </c>
      <c r="J3095" s="1668"/>
      <c r="K3095" s="1668"/>
      <c r="L3095" s="1669"/>
    </row>
    <row r="3096" spans="1:12" s="692" customFormat="1" ht="16.5" hidden="1">
      <c r="A3096" s="1665"/>
      <c r="B3096" s="1666"/>
      <c r="C3096" s="688"/>
      <c r="D3096" s="1667"/>
      <c r="E3096" s="1671">
        <v>3.5</v>
      </c>
      <c r="F3096" s="1672"/>
      <c r="G3096" s="1671">
        <v>4</v>
      </c>
      <c r="H3096" s="1671">
        <f t="shared" si="419"/>
        <v>0</v>
      </c>
      <c r="I3096" s="1671" t="s">
        <v>92</v>
      </c>
      <c r="J3096" s="1668"/>
      <c r="K3096" s="1668"/>
      <c r="L3096" s="1669"/>
    </row>
    <row r="3097" spans="1:12" s="692" customFormat="1" ht="16.5" hidden="1">
      <c r="A3097" s="1665"/>
      <c r="B3097" s="1666"/>
      <c r="C3097" s="688"/>
      <c r="D3097" s="1667"/>
      <c r="E3097" s="1671">
        <v>3.5</v>
      </c>
      <c r="F3097" s="1672"/>
      <c r="G3097" s="1671">
        <v>4</v>
      </c>
      <c r="H3097" s="1671">
        <f t="shared" si="419"/>
        <v>0</v>
      </c>
      <c r="I3097" s="1671" t="s">
        <v>92</v>
      </c>
      <c r="J3097" s="1668"/>
      <c r="K3097" s="1668"/>
      <c r="L3097" s="1669"/>
    </row>
    <row r="3098" spans="1:12" s="692" customFormat="1" ht="16.5" hidden="1">
      <c r="A3098" s="1665"/>
      <c r="B3098" s="1666"/>
      <c r="C3098" s="688"/>
      <c r="D3098" s="1667"/>
      <c r="E3098" s="1671">
        <v>3.5</v>
      </c>
      <c r="F3098" s="1672"/>
      <c r="G3098" s="1671">
        <v>4</v>
      </c>
      <c r="H3098" s="1671">
        <f t="shared" si="419"/>
        <v>0</v>
      </c>
      <c r="I3098" s="1671" t="s">
        <v>92</v>
      </c>
      <c r="J3098" s="1668"/>
      <c r="K3098" s="1668"/>
      <c r="L3098" s="1669"/>
    </row>
    <row r="3099" spans="1:12" s="692" customFormat="1" ht="16.5" hidden="1">
      <c r="A3099" s="1665"/>
      <c r="B3099" s="1666"/>
      <c r="C3099" s="688"/>
      <c r="D3099" s="1667"/>
      <c r="E3099" s="1671">
        <v>3.5</v>
      </c>
      <c r="F3099" s="1672"/>
      <c r="G3099" s="1671">
        <v>4</v>
      </c>
      <c r="H3099" s="1671">
        <f t="shared" si="419"/>
        <v>0</v>
      </c>
      <c r="I3099" s="1671" t="s">
        <v>92</v>
      </c>
      <c r="J3099" s="1668"/>
      <c r="K3099" s="1668"/>
      <c r="L3099" s="1669"/>
    </row>
    <row r="3100" spans="1:12" s="692" customFormat="1" ht="16.5" hidden="1">
      <c r="A3100" s="1665"/>
      <c r="B3100" s="1666"/>
      <c r="C3100" s="688"/>
      <c r="D3100" s="1667"/>
      <c r="E3100" s="688"/>
      <c r="F3100" s="688"/>
      <c r="G3100" s="1665" t="s">
        <v>928</v>
      </c>
      <c r="H3100" s="1673">
        <f>SUM(H3094:H3099)</f>
        <v>0</v>
      </c>
      <c r="I3100" s="1668" t="s">
        <v>92</v>
      </c>
      <c r="J3100" s="1669">
        <f>'Lead &amp; ANALYSIS'!L654</f>
        <v>139.19999999999999</v>
      </c>
      <c r="K3100" s="1668" t="s">
        <v>1514</v>
      </c>
      <c r="L3100" s="1669">
        <f t="shared" ref="L3100" si="420">ROUND(H3100*J3100,0)</f>
        <v>0</v>
      </c>
    </row>
    <row r="3101" spans="1:12" s="692" customFormat="1" ht="16.5" hidden="1">
      <c r="A3101" s="1665" t="s">
        <v>386</v>
      </c>
      <c r="B3101" s="1666" t="s">
        <v>387</v>
      </c>
      <c r="C3101" s="688"/>
      <c r="D3101" s="1667"/>
      <c r="E3101" s="688"/>
      <c r="F3101" s="688"/>
      <c r="G3101" s="1674"/>
      <c r="H3101" s="688"/>
      <c r="I3101" s="1668"/>
      <c r="J3101" s="1668"/>
      <c r="K3101" s="1668"/>
      <c r="L3101" s="1669"/>
    </row>
    <row r="3102" spans="1:12" s="692" customFormat="1" ht="16.5" hidden="1">
      <c r="A3102" s="1665"/>
      <c r="B3102" s="1666"/>
      <c r="C3102" s="688"/>
      <c r="D3102" s="1667"/>
      <c r="E3102" s="1671">
        <v>3.5</v>
      </c>
      <c r="F3102" s="1672"/>
      <c r="G3102" s="1671">
        <v>4</v>
      </c>
      <c r="H3102" s="1671">
        <f t="shared" ref="H3102:H3107" si="421">ROUND(D3102*E3102*G3102,2)</f>
        <v>0</v>
      </c>
      <c r="I3102" s="1671" t="s">
        <v>92</v>
      </c>
      <c r="J3102" s="1668"/>
      <c r="K3102" s="1668"/>
      <c r="L3102" s="1669"/>
    </row>
    <row r="3103" spans="1:12" s="692" customFormat="1" ht="16.5" hidden="1">
      <c r="A3103" s="1665"/>
      <c r="B3103" s="1666"/>
      <c r="C3103" s="688"/>
      <c r="D3103" s="1667"/>
      <c r="E3103" s="1671">
        <v>3.5</v>
      </c>
      <c r="F3103" s="1672"/>
      <c r="G3103" s="1671">
        <v>4</v>
      </c>
      <c r="H3103" s="1671">
        <f t="shared" si="421"/>
        <v>0</v>
      </c>
      <c r="I3103" s="1671" t="s">
        <v>92</v>
      </c>
      <c r="J3103" s="1668"/>
      <c r="K3103" s="1668"/>
      <c r="L3103" s="1669"/>
    </row>
    <row r="3104" spans="1:12" s="692" customFormat="1" ht="16.5" hidden="1">
      <c r="A3104" s="1665"/>
      <c r="B3104" s="1666"/>
      <c r="C3104" s="688"/>
      <c r="D3104" s="1667"/>
      <c r="E3104" s="1671">
        <v>3.5</v>
      </c>
      <c r="F3104" s="1672"/>
      <c r="G3104" s="1671">
        <v>4</v>
      </c>
      <c r="H3104" s="1671">
        <f t="shared" si="421"/>
        <v>0</v>
      </c>
      <c r="I3104" s="1671" t="s">
        <v>92</v>
      </c>
      <c r="J3104" s="1668"/>
      <c r="K3104" s="1668"/>
      <c r="L3104" s="1669"/>
    </row>
    <row r="3105" spans="1:12" s="692" customFormat="1" ht="16.5" hidden="1">
      <c r="A3105" s="1665"/>
      <c r="B3105" s="1666"/>
      <c r="C3105" s="688"/>
      <c r="D3105" s="1667"/>
      <c r="E3105" s="1671">
        <v>3.5</v>
      </c>
      <c r="F3105" s="1672"/>
      <c r="G3105" s="1671">
        <v>4</v>
      </c>
      <c r="H3105" s="1671">
        <f t="shared" si="421"/>
        <v>0</v>
      </c>
      <c r="I3105" s="1671" t="s">
        <v>92</v>
      </c>
      <c r="J3105" s="1668"/>
      <c r="K3105" s="1668"/>
      <c r="L3105" s="1669"/>
    </row>
    <row r="3106" spans="1:12" s="692" customFormat="1" ht="16.5" hidden="1">
      <c r="A3106" s="1665"/>
      <c r="B3106" s="1666"/>
      <c r="C3106" s="688"/>
      <c r="D3106" s="1667"/>
      <c r="E3106" s="1671">
        <v>3.5</v>
      </c>
      <c r="F3106" s="1672"/>
      <c r="G3106" s="1671">
        <v>4</v>
      </c>
      <c r="H3106" s="1671">
        <f t="shared" si="421"/>
        <v>0</v>
      </c>
      <c r="I3106" s="1671" t="s">
        <v>92</v>
      </c>
      <c r="J3106" s="1668"/>
      <c r="K3106" s="1668"/>
      <c r="L3106" s="1669"/>
    </row>
    <row r="3107" spans="1:12" s="692" customFormat="1" ht="16.5" hidden="1">
      <c r="A3107" s="1665"/>
      <c r="B3107" s="1666"/>
      <c r="C3107" s="688"/>
      <c r="D3107" s="1667"/>
      <c r="E3107" s="1671">
        <v>3.5</v>
      </c>
      <c r="F3107" s="1672"/>
      <c r="G3107" s="1671">
        <v>4</v>
      </c>
      <c r="H3107" s="1671">
        <f t="shared" si="421"/>
        <v>0</v>
      </c>
      <c r="I3107" s="1671" t="s">
        <v>92</v>
      </c>
      <c r="J3107" s="1668"/>
      <c r="K3107" s="1668"/>
      <c r="L3107" s="1669"/>
    </row>
    <row r="3108" spans="1:12" s="692" customFormat="1" ht="16.5" hidden="1">
      <c r="A3108" s="1665"/>
      <c r="B3108" s="1666"/>
      <c r="C3108" s="688"/>
      <c r="D3108" s="1667"/>
      <c r="E3108" s="688"/>
      <c r="F3108" s="688"/>
      <c r="G3108" s="1665" t="s">
        <v>928</v>
      </c>
      <c r="H3108" s="1673">
        <f>SUM(H3102:H3107)</f>
        <v>0</v>
      </c>
      <c r="I3108" s="1668" t="s">
        <v>92</v>
      </c>
      <c r="J3108" s="1669">
        <f>'Lead &amp; ANALYSIS'!L655</f>
        <v>142.80000000000001</v>
      </c>
      <c r="K3108" s="1668" t="s">
        <v>1514</v>
      </c>
      <c r="L3108" s="1669">
        <f t="shared" ref="L3108" si="422">ROUND(H3108*J3108,0)</f>
        <v>0</v>
      </c>
    </row>
    <row r="3109" spans="1:12" s="692" customFormat="1" ht="16.5" hidden="1">
      <c r="A3109" s="1665" t="s">
        <v>432</v>
      </c>
      <c r="B3109" s="1666" t="s">
        <v>3622</v>
      </c>
      <c r="C3109" s="688"/>
      <c r="D3109" s="1667"/>
      <c r="E3109" s="688"/>
      <c r="F3109" s="688"/>
      <c r="G3109" s="1674"/>
      <c r="H3109" s="688"/>
      <c r="I3109" s="1668"/>
      <c r="J3109" s="1668"/>
      <c r="K3109" s="1668"/>
      <c r="L3109" s="1669"/>
    </row>
    <row r="3110" spans="1:12" s="692" customFormat="1" ht="16.5" hidden="1">
      <c r="A3110" s="1665"/>
      <c r="B3110" s="1666"/>
      <c r="C3110" s="688"/>
      <c r="D3110" s="1667"/>
      <c r="E3110" s="1671">
        <v>3.5</v>
      </c>
      <c r="F3110" s="1672"/>
      <c r="G3110" s="1671">
        <v>4</v>
      </c>
      <c r="H3110" s="1671">
        <f t="shared" ref="H3110:H3115" si="423">ROUND(D3110*E3110*G3110,2)</f>
        <v>0</v>
      </c>
      <c r="I3110" s="1671" t="s">
        <v>92</v>
      </c>
      <c r="J3110" s="1668"/>
      <c r="K3110" s="1668"/>
      <c r="L3110" s="1669"/>
    </row>
    <row r="3111" spans="1:12" s="692" customFormat="1" ht="16.5" hidden="1">
      <c r="A3111" s="1665"/>
      <c r="B3111" s="1666"/>
      <c r="C3111" s="688"/>
      <c r="D3111" s="1667"/>
      <c r="E3111" s="1671">
        <v>3.5</v>
      </c>
      <c r="F3111" s="1672"/>
      <c r="G3111" s="1671">
        <v>4</v>
      </c>
      <c r="H3111" s="1671">
        <f t="shared" si="423"/>
        <v>0</v>
      </c>
      <c r="I3111" s="1671" t="s">
        <v>92</v>
      </c>
      <c r="J3111" s="1668"/>
      <c r="K3111" s="1668"/>
      <c r="L3111" s="1669"/>
    </row>
    <row r="3112" spans="1:12" s="692" customFormat="1" ht="16.5" hidden="1">
      <c r="A3112" s="1665"/>
      <c r="B3112" s="1666"/>
      <c r="C3112" s="688"/>
      <c r="D3112" s="1667"/>
      <c r="E3112" s="1671">
        <v>3.5</v>
      </c>
      <c r="F3112" s="1672"/>
      <c r="G3112" s="1671">
        <v>4</v>
      </c>
      <c r="H3112" s="1671">
        <f t="shared" si="423"/>
        <v>0</v>
      </c>
      <c r="I3112" s="1671" t="s">
        <v>92</v>
      </c>
      <c r="J3112" s="1668"/>
      <c r="K3112" s="1668"/>
      <c r="L3112" s="1669"/>
    </row>
    <row r="3113" spans="1:12" s="692" customFormat="1" ht="16.5" hidden="1">
      <c r="A3113" s="1665"/>
      <c r="B3113" s="1666"/>
      <c r="C3113" s="688"/>
      <c r="D3113" s="1667"/>
      <c r="E3113" s="1671">
        <v>3.5</v>
      </c>
      <c r="F3113" s="1672"/>
      <c r="G3113" s="1671">
        <v>4</v>
      </c>
      <c r="H3113" s="1671">
        <f t="shared" si="423"/>
        <v>0</v>
      </c>
      <c r="I3113" s="1671" t="s">
        <v>92</v>
      </c>
      <c r="J3113" s="1668"/>
      <c r="K3113" s="1668"/>
      <c r="L3113" s="1669"/>
    </row>
    <row r="3114" spans="1:12" s="692" customFormat="1" ht="16.5" hidden="1">
      <c r="A3114" s="1665"/>
      <c r="B3114" s="1666"/>
      <c r="C3114" s="688"/>
      <c r="D3114" s="1667"/>
      <c r="E3114" s="1671">
        <v>3.5</v>
      </c>
      <c r="F3114" s="1672"/>
      <c r="G3114" s="1671">
        <v>4</v>
      </c>
      <c r="H3114" s="1671">
        <f t="shared" si="423"/>
        <v>0</v>
      </c>
      <c r="I3114" s="1671" t="s">
        <v>92</v>
      </c>
      <c r="J3114" s="1668"/>
      <c r="K3114" s="1668"/>
      <c r="L3114" s="1669"/>
    </row>
    <row r="3115" spans="1:12" s="692" customFormat="1" ht="16.5" hidden="1">
      <c r="A3115" s="1665"/>
      <c r="B3115" s="1666"/>
      <c r="C3115" s="688"/>
      <c r="D3115" s="1667"/>
      <c r="E3115" s="1671">
        <v>3.5</v>
      </c>
      <c r="F3115" s="1672"/>
      <c r="G3115" s="1671">
        <v>4</v>
      </c>
      <c r="H3115" s="1671">
        <f t="shared" si="423"/>
        <v>0</v>
      </c>
      <c r="I3115" s="1671" t="s">
        <v>92</v>
      </c>
      <c r="J3115" s="1668"/>
      <c r="K3115" s="1668"/>
      <c r="L3115" s="1669"/>
    </row>
    <row r="3116" spans="1:12" s="692" customFormat="1" ht="16.5" hidden="1">
      <c r="A3116" s="1665"/>
      <c r="B3116" s="1666"/>
      <c r="C3116" s="688"/>
      <c r="D3116" s="1667"/>
      <c r="E3116" s="688"/>
      <c r="F3116" s="688"/>
      <c r="G3116" s="1665" t="s">
        <v>928</v>
      </c>
      <c r="H3116" s="1673">
        <f>SUM(H3110:H3115)</f>
        <v>0</v>
      </c>
      <c r="I3116" s="1668" t="s">
        <v>92</v>
      </c>
      <c r="J3116" s="1669">
        <f>'Lead &amp; ANALYSIS'!L656</f>
        <v>0.2</v>
      </c>
      <c r="K3116" s="1668" t="s">
        <v>1514</v>
      </c>
      <c r="L3116" s="1669">
        <f t="shared" ref="L3116" si="424">ROUND(H3116*J3116,0)</f>
        <v>0</v>
      </c>
    </row>
    <row r="3117" spans="1:12" s="692" customFormat="1" ht="16.5" hidden="1">
      <c r="A3117" s="1665" t="s">
        <v>443</v>
      </c>
      <c r="B3117" s="1666" t="s">
        <v>3636</v>
      </c>
      <c r="C3117" s="688"/>
      <c r="D3117" s="1667"/>
      <c r="E3117" s="688"/>
      <c r="F3117" s="688"/>
      <c r="G3117" s="1674"/>
      <c r="H3117" s="688"/>
      <c r="I3117" s="1668"/>
      <c r="J3117" s="1668"/>
      <c r="K3117" s="1668"/>
      <c r="L3117" s="1669"/>
    </row>
    <row r="3118" spans="1:12" s="692" customFormat="1" ht="16.5" hidden="1">
      <c r="A3118" s="1665"/>
      <c r="B3118" s="1666"/>
      <c r="C3118" s="688"/>
      <c r="D3118" s="1667"/>
      <c r="E3118" s="1671">
        <v>3.5</v>
      </c>
      <c r="F3118" s="1672"/>
      <c r="G3118" s="1671">
        <v>4</v>
      </c>
      <c r="H3118" s="1671">
        <f t="shared" ref="H3118:H3123" si="425">ROUND(D3118*E3118*G3118,2)</f>
        <v>0</v>
      </c>
      <c r="I3118" s="1671" t="s">
        <v>92</v>
      </c>
      <c r="J3118" s="1668"/>
      <c r="K3118" s="1668"/>
      <c r="L3118" s="1669"/>
    </row>
    <row r="3119" spans="1:12" s="692" customFormat="1" ht="16.5" hidden="1">
      <c r="A3119" s="1665"/>
      <c r="B3119" s="1666"/>
      <c r="C3119" s="688"/>
      <c r="D3119" s="1667"/>
      <c r="E3119" s="1671">
        <v>3.5</v>
      </c>
      <c r="F3119" s="1672"/>
      <c r="G3119" s="1671">
        <v>4</v>
      </c>
      <c r="H3119" s="1671">
        <f t="shared" si="425"/>
        <v>0</v>
      </c>
      <c r="I3119" s="1671" t="s">
        <v>92</v>
      </c>
      <c r="J3119" s="1668"/>
      <c r="K3119" s="1668"/>
      <c r="L3119" s="1669"/>
    </row>
    <row r="3120" spans="1:12" s="692" customFormat="1" ht="16.5" hidden="1">
      <c r="A3120" s="1665"/>
      <c r="B3120" s="1666"/>
      <c r="C3120" s="688"/>
      <c r="D3120" s="1667"/>
      <c r="E3120" s="1671">
        <v>3.5</v>
      </c>
      <c r="F3120" s="1672"/>
      <c r="G3120" s="1671">
        <v>4</v>
      </c>
      <c r="H3120" s="1671">
        <f t="shared" si="425"/>
        <v>0</v>
      </c>
      <c r="I3120" s="1671" t="s">
        <v>92</v>
      </c>
      <c r="J3120" s="1668"/>
      <c r="K3120" s="1668"/>
      <c r="L3120" s="1669"/>
    </row>
    <row r="3121" spans="1:12" s="692" customFormat="1" ht="16.5" hidden="1">
      <c r="A3121" s="1665"/>
      <c r="B3121" s="1666"/>
      <c r="C3121" s="688"/>
      <c r="D3121" s="1667"/>
      <c r="E3121" s="1671">
        <v>3.5</v>
      </c>
      <c r="F3121" s="1672"/>
      <c r="G3121" s="1671">
        <v>4</v>
      </c>
      <c r="H3121" s="1671">
        <f t="shared" si="425"/>
        <v>0</v>
      </c>
      <c r="I3121" s="1671" t="s">
        <v>92</v>
      </c>
      <c r="J3121" s="1668"/>
      <c r="K3121" s="1668"/>
      <c r="L3121" s="1669"/>
    </row>
    <row r="3122" spans="1:12" s="692" customFormat="1" ht="16.5" hidden="1">
      <c r="A3122" s="1665"/>
      <c r="B3122" s="1666"/>
      <c r="C3122" s="688"/>
      <c r="D3122" s="1667"/>
      <c r="E3122" s="1671">
        <v>3.5</v>
      </c>
      <c r="F3122" s="1672"/>
      <c r="G3122" s="1671">
        <v>4</v>
      </c>
      <c r="H3122" s="1671">
        <f t="shared" si="425"/>
        <v>0</v>
      </c>
      <c r="I3122" s="1671" t="s">
        <v>92</v>
      </c>
      <c r="J3122" s="1668"/>
      <c r="K3122" s="1668"/>
      <c r="L3122" s="1669"/>
    </row>
    <row r="3123" spans="1:12" s="692" customFormat="1" ht="16.5" hidden="1">
      <c r="A3123" s="1665"/>
      <c r="B3123" s="1666"/>
      <c r="C3123" s="688"/>
      <c r="D3123" s="1667"/>
      <c r="E3123" s="1671">
        <v>3.5</v>
      </c>
      <c r="F3123" s="1672"/>
      <c r="G3123" s="1671">
        <v>4</v>
      </c>
      <c r="H3123" s="1671">
        <f t="shared" si="425"/>
        <v>0</v>
      </c>
      <c r="I3123" s="1671" t="s">
        <v>92</v>
      </c>
      <c r="J3123" s="1668"/>
      <c r="K3123" s="1668"/>
      <c r="L3123" s="1669"/>
    </row>
    <row r="3124" spans="1:12" s="692" customFormat="1" ht="16.5" hidden="1">
      <c r="A3124" s="1665"/>
      <c r="B3124" s="1666"/>
      <c r="C3124" s="688"/>
      <c r="D3124" s="1667"/>
      <c r="E3124" s="688"/>
      <c r="F3124" s="688"/>
      <c r="G3124" s="1665" t="s">
        <v>928</v>
      </c>
      <c r="H3124" s="1673">
        <f>SUM(H3118:H3123)</f>
        <v>0</v>
      </c>
      <c r="I3124" s="1668" t="s">
        <v>92</v>
      </c>
      <c r="J3124" s="1669">
        <f>'Lead &amp; ANALYSIS'!L657</f>
        <v>150.4</v>
      </c>
      <c r="K3124" s="1668" t="s">
        <v>1514</v>
      </c>
      <c r="L3124" s="1669">
        <f t="shared" ref="L3124" si="426">ROUND(H3124*J3124,0)</f>
        <v>0</v>
      </c>
    </row>
    <row r="3125" spans="1:12" s="692" customFormat="1" ht="99" hidden="1">
      <c r="A3125" s="1665">
        <f>'Lead &amp; ANALYSIS'!A658</f>
        <v>58</v>
      </c>
      <c r="B3125" s="1666" t="str">
        <f>'Lead &amp; ANALYSIS'!B658</f>
        <v>Providing 12 mm thick CP with CM (1:4)punning &amp; coaltaring onecoat on top of wall surface with screened and washed sharp sand for mortar and finished smooth to the rough surface of walls  including watering and curing  etc. complete in all respect as directed by the Engineer in charge.</v>
      </c>
      <c r="C3125" s="688"/>
      <c r="D3125" s="1667"/>
      <c r="E3125" s="688"/>
      <c r="F3125" s="688"/>
      <c r="G3125" s="1674"/>
      <c r="H3125" s="688"/>
      <c r="I3125" s="1668"/>
      <c r="J3125" s="1668"/>
      <c r="K3125" s="1668"/>
      <c r="L3125" s="1669"/>
    </row>
    <row r="3126" spans="1:12" s="692" customFormat="1" ht="16.5" hidden="1">
      <c r="A3126" s="1665" t="s">
        <v>383</v>
      </c>
      <c r="B3126" s="1666" t="s">
        <v>384</v>
      </c>
      <c r="C3126" s="688"/>
      <c r="D3126" s="1667"/>
      <c r="E3126" s="688"/>
      <c r="F3126" s="688"/>
      <c r="G3126" s="1674"/>
      <c r="H3126" s="688"/>
      <c r="I3126" s="1668"/>
      <c r="J3126" s="1668"/>
      <c r="K3126" s="1668"/>
      <c r="L3126" s="1669"/>
    </row>
    <row r="3127" spans="1:12" s="692" customFormat="1" ht="16.5" hidden="1">
      <c r="A3127" s="1665"/>
      <c r="B3127" s="1666"/>
      <c r="C3127" s="688"/>
      <c r="D3127" s="1667"/>
      <c r="E3127" s="1671">
        <v>3.5</v>
      </c>
      <c r="F3127" s="1672"/>
      <c r="G3127" s="1671">
        <v>4</v>
      </c>
      <c r="H3127" s="1671">
        <f t="shared" ref="H3127:H3132" si="427">ROUND(D3127*E3127*G3127,2)</f>
        <v>0</v>
      </c>
      <c r="I3127" s="1671" t="s">
        <v>92</v>
      </c>
      <c r="J3127" s="1668"/>
      <c r="K3127" s="1668"/>
      <c r="L3127" s="1669"/>
    </row>
    <row r="3128" spans="1:12" s="692" customFormat="1" ht="16.5" hidden="1">
      <c r="A3128" s="1665"/>
      <c r="B3128" s="1666"/>
      <c r="C3128" s="688"/>
      <c r="D3128" s="1667"/>
      <c r="E3128" s="1671">
        <v>3.5</v>
      </c>
      <c r="F3128" s="1672"/>
      <c r="G3128" s="1671">
        <v>4</v>
      </c>
      <c r="H3128" s="1671">
        <f t="shared" si="427"/>
        <v>0</v>
      </c>
      <c r="I3128" s="1671" t="s">
        <v>92</v>
      </c>
      <c r="J3128" s="1668"/>
      <c r="K3128" s="1668"/>
      <c r="L3128" s="1669"/>
    </row>
    <row r="3129" spans="1:12" s="692" customFormat="1" ht="16.5" hidden="1">
      <c r="A3129" s="1665"/>
      <c r="B3129" s="1666"/>
      <c r="C3129" s="688"/>
      <c r="D3129" s="1667"/>
      <c r="E3129" s="1671">
        <v>3.5</v>
      </c>
      <c r="F3129" s="1672"/>
      <c r="G3129" s="1671">
        <v>4</v>
      </c>
      <c r="H3129" s="1671">
        <f t="shared" si="427"/>
        <v>0</v>
      </c>
      <c r="I3129" s="1671" t="s">
        <v>92</v>
      </c>
      <c r="J3129" s="1668"/>
      <c r="K3129" s="1668"/>
      <c r="L3129" s="1669"/>
    </row>
    <row r="3130" spans="1:12" s="692" customFormat="1" ht="16.5" hidden="1">
      <c r="A3130" s="1665"/>
      <c r="B3130" s="1666"/>
      <c r="C3130" s="688"/>
      <c r="D3130" s="1667"/>
      <c r="E3130" s="1671">
        <v>3.5</v>
      </c>
      <c r="F3130" s="1672"/>
      <c r="G3130" s="1671">
        <v>4</v>
      </c>
      <c r="H3130" s="1671">
        <f t="shared" si="427"/>
        <v>0</v>
      </c>
      <c r="I3130" s="1671" t="s">
        <v>92</v>
      </c>
      <c r="J3130" s="1668"/>
      <c r="K3130" s="1668"/>
      <c r="L3130" s="1669"/>
    </row>
    <row r="3131" spans="1:12" s="692" customFormat="1" ht="16.5" hidden="1">
      <c r="A3131" s="1665"/>
      <c r="B3131" s="1666"/>
      <c r="C3131" s="688"/>
      <c r="D3131" s="1667"/>
      <c r="E3131" s="1671">
        <v>3.5</v>
      </c>
      <c r="F3131" s="1672"/>
      <c r="G3131" s="1671">
        <v>4</v>
      </c>
      <c r="H3131" s="1671">
        <f t="shared" si="427"/>
        <v>0</v>
      </c>
      <c r="I3131" s="1671" t="s">
        <v>92</v>
      </c>
      <c r="J3131" s="1668"/>
      <c r="K3131" s="1668"/>
      <c r="L3131" s="1669"/>
    </row>
    <row r="3132" spans="1:12" s="692" customFormat="1" ht="16.5" hidden="1">
      <c r="A3132" s="1665"/>
      <c r="B3132" s="1666"/>
      <c r="C3132" s="688"/>
      <c r="D3132" s="1667"/>
      <c r="E3132" s="1671">
        <v>3.5</v>
      </c>
      <c r="F3132" s="1672"/>
      <c r="G3132" s="1671">
        <v>4</v>
      </c>
      <c r="H3132" s="1671">
        <f t="shared" si="427"/>
        <v>0</v>
      </c>
      <c r="I3132" s="1671" t="s">
        <v>92</v>
      </c>
      <c r="J3132" s="1668"/>
      <c r="K3132" s="1668"/>
      <c r="L3132" s="1669"/>
    </row>
    <row r="3133" spans="1:12" s="692" customFormat="1" ht="16.5" hidden="1">
      <c r="A3133" s="1665"/>
      <c r="B3133" s="1666"/>
      <c r="C3133" s="688"/>
      <c r="D3133" s="1667"/>
      <c r="E3133" s="688"/>
      <c r="F3133" s="688"/>
      <c r="G3133" s="1665" t="s">
        <v>928</v>
      </c>
      <c r="H3133" s="1673">
        <f>SUM(H3127:H3132)</f>
        <v>0</v>
      </c>
      <c r="I3133" s="1668" t="s">
        <v>92</v>
      </c>
      <c r="J3133" s="1669">
        <f>'Lead &amp; ANALYSIS'!L659</f>
        <v>183.4</v>
      </c>
      <c r="K3133" s="1668" t="s">
        <v>1514</v>
      </c>
      <c r="L3133" s="1669">
        <f t="shared" ref="L3133" si="428">ROUND(H3133*J3133,0)</f>
        <v>0</v>
      </c>
    </row>
    <row r="3134" spans="1:12" s="692" customFormat="1" ht="16.5" hidden="1">
      <c r="A3134" s="1665" t="s">
        <v>386</v>
      </c>
      <c r="B3134" s="1666" t="s">
        <v>387</v>
      </c>
      <c r="C3134" s="688"/>
      <c r="D3134" s="1667"/>
      <c r="E3134" s="688"/>
      <c r="F3134" s="688"/>
      <c r="G3134" s="1674"/>
      <c r="H3134" s="688"/>
      <c r="I3134" s="1668"/>
      <c r="J3134" s="1668"/>
      <c r="K3134" s="1668"/>
      <c r="L3134" s="1669"/>
    </row>
    <row r="3135" spans="1:12" s="692" customFormat="1" ht="16.5" hidden="1">
      <c r="A3135" s="1665"/>
      <c r="B3135" s="1666"/>
      <c r="C3135" s="688"/>
      <c r="D3135" s="1667"/>
      <c r="E3135" s="1671">
        <v>3.5</v>
      </c>
      <c r="F3135" s="1672"/>
      <c r="G3135" s="1671">
        <v>4</v>
      </c>
      <c r="H3135" s="1671">
        <f t="shared" ref="H3135:H3140" si="429">ROUND(D3135*E3135*G3135,2)</f>
        <v>0</v>
      </c>
      <c r="I3135" s="1671" t="s">
        <v>92</v>
      </c>
      <c r="J3135" s="1668"/>
      <c r="K3135" s="1668"/>
      <c r="L3135" s="1669"/>
    </row>
    <row r="3136" spans="1:12" s="692" customFormat="1" ht="16.5" hidden="1">
      <c r="A3136" s="1665"/>
      <c r="B3136" s="1666"/>
      <c r="C3136" s="688"/>
      <c r="D3136" s="1667"/>
      <c r="E3136" s="1671">
        <v>3.5</v>
      </c>
      <c r="F3136" s="1672"/>
      <c r="G3136" s="1671">
        <v>4</v>
      </c>
      <c r="H3136" s="1671">
        <f t="shared" si="429"/>
        <v>0</v>
      </c>
      <c r="I3136" s="1671" t="s">
        <v>92</v>
      </c>
      <c r="J3136" s="1668"/>
      <c r="K3136" s="1668"/>
      <c r="L3136" s="1669"/>
    </row>
    <row r="3137" spans="1:12" s="692" customFormat="1" ht="16.5" hidden="1">
      <c r="A3137" s="1665"/>
      <c r="B3137" s="1666"/>
      <c r="C3137" s="688"/>
      <c r="D3137" s="1667"/>
      <c r="E3137" s="1671">
        <v>3.5</v>
      </c>
      <c r="F3137" s="1672"/>
      <c r="G3137" s="1671">
        <v>4</v>
      </c>
      <c r="H3137" s="1671">
        <f t="shared" si="429"/>
        <v>0</v>
      </c>
      <c r="I3137" s="1671" t="s">
        <v>92</v>
      </c>
      <c r="J3137" s="1668"/>
      <c r="K3137" s="1668"/>
      <c r="L3137" s="1669"/>
    </row>
    <row r="3138" spans="1:12" s="692" customFormat="1" ht="16.5" hidden="1">
      <c r="A3138" s="1665"/>
      <c r="B3138" s="1666"/>
      <c r="C3138" s="688"/>
      <c r="D3138" s="1667"/>
      <c r="E3138" s="1671">
        <v>3.5</v>
      </c>
      <c r="F3138" s="1672"/>
      <c r="G3138" s="1671">
        <v>4</v>
      </c>
      <c r="H3138" s="1671">
        <f t="shared" si="429"/>
        <v>0</v>
      </c>
      <c r="I3138" s="1671" t="s">
        <v>92</v>
      </c>
      <c r="J3138" s="1668"/>
      <c r="K3138" s="1668"/>
      <c r="L3138" s="1669"/>
    </row>
    <row r="3139" spans="1:12" s="692" customFormat="1" ht="16.5" hidden="1">
      <c r="A3139" s="1665"/>
      <c r="B3139" s="1666"/>
      <c r="C3139" s="688"/>
      <c r="D3139" s="1667"/>
      <c r="E3139" s="1671">
        <v>3.5</v>
      </c>
      <c r="F3139" s="1672"/>
      <c r="G3139" s="1671">
        <v>4</v>
      </c>
      <c r="H3139" s="1671">
        <f t="shared" si="429"/>
        <v>0</v>
      </c>
      <c r="I3139" s="1671" t="s">
        <v>92</v>
      </c>
      <c r="J3139" s="1668"/>
      <c r="K3139" s="1668"/>
      <c r="L3139" s="1669"/>
    </row>
    <row r="3140" spans="1:12" s="692" customFormat="1" ht="16.5" hidden="1">
      <c r="A3140" s="1665"/>
      <c r="B3140" s="1666"/>
      <c r="C3140" s="688"/>
      <c r="D3140" s="1667"/>
      <c r="E3140" s="1671">
        <v>3.5</v>
      </c>
      <c r="F3140" s="1672"/>
      <c r="G3140" s="1671">
        <v>4</v>
      </c>
      <c r="H3140" s="1671">
        <f t="shared" si="429"/>
        <v>0</v>
      </c>
      <c r="I3140" s="1671" t="s">
        <v>92</v>
      </c>
      <c r="J3140" s="1668"/>
      <c r="K3140" s="1668"/>
      <c r="L3140" s="1669"/>
    </row>
    <row r="3141" spans="1:12" s="692" customFormat="1" ht="16.5" hidden="1">
      <c r="A3141" s="1665"/>
      <c r="B3141" s="1666"/>
      <c r="C3141" s="688"/>
      <c r="D3141" s="1667"/>
      <c r="E3141" s="688"/>
      <c r="F3141" s="688"/>
      <c r="G3141" s="1665" t="s">
        <v>928</v>
      </c>
      <c r="H3141" s="1673">
        <f>SUM(H3135:H3140)</f>
        <v>0</v>
      </c>
      <c r="I3141" s="1668" t="s">
        <v>92</v>
      </c>
      <c r="J3141" s="1669">
        <f>'Lead &amp; ANALYSIS'!L660</f>
        <v>199.1</v>
      </c>
      <c r="K3141" s="1668" t="s">
        <v>1514</v>
      </c>
      <c r="L3141" s="1669">
        <f t="shared" ref="L3141" si="430">ROUND(H3141*J3141,0)</f>
        <v>0</v>
      </c>
    </row>
    <row r="3142" spans="1:12" s="692" customFormat="1" ht="16.5" hidden="1">
      <c r="A3142" s="1665" t="s">
        <v>432</v>
      </c>
      <c r="B3142" s="1666" t="s">
        <v>3622</v>
      </c>
      <c r="C3142" s="688"/>
      <c r="D3142" s="1667"/>
      <c r="E3142" s="688"/>
      <c r="F3142" s="688"/>
      <c r="G3142" s="1674"/>
      <c r="H3142" s="688"/>
      <c r="I3142" s="1668"/>
      <c r="J3142" s="1668"/>
      <c r="K3142" s="1668"/>
      <c r="L3142" s="1669"/>
    </row>
    <row r="3143" spans="1:12" s="692" customFormat="1" ht="16.5" hidden="1">
      <c r="A3143" s="1665"/>
      <c r="B3143" s="1666"/>
      <c r="C3143" s="688"/>
      <c r="D3143" s="1667"/>
      <c r="E3143" s="1671">
        <v>3.5</v>
      </c>
      <c r="F3143" s="1672"/>
      <c r="G3143" s="1671">
        <v>4</v>
      </c>
      <c r="H3143" s="1671">
        <f t="shared" ref="H3143:H3148" si="431">ROUND(D3143*E3143*G3143,2)</f>
        <v>0</v>
      </c>
      <c r="I3143" s="1671" t="s">
        <v>92</v>
      </c>
      <c r="J3143" s="1668"/>
      <c r="K3143" s="1668"/>
      <c r="L3143" s="1669"/>
    </row>
    <row r="3144" spans="1:12" s="692" customFormat="1" ht="16.5" hidden="1">
      <c r="A3144" s="1665"/>
      <c r="B3144" s="1666"/>
      <c r="C3144" s="688"/>
      <c r="D3144" s="1667"/>
      <c r="E3144" s="1671">
        <v>3.5</v>
      </c>
      <c r="F3144" s="1672"/>
      <c r="G3144" s="1671">
        <v>4</v>
      </c>
      <c r="H3144" s="1671">
        <f t="shared" si="431"/>
        <v>0</v>
      </c>
      <c r="I3144" s="1671" t="s">
        <v>92</v>
      </c>
      <c r="J3144" s="1668"/>
      <c r="K3144" s="1668"/>
      <c r="L3144" s="1669"/>
    </row>
    <row r="3145" spans="1:12" s="692" customFormat="1" ht="16.5" hidden="1">
      <c r="A3145" s="1665"/>
      <c r="B3145" s="1666"/>
      <c r="C3145" s="688"/>
      <c r="D3145" s="1667"/>
      <c r="E3145" s="1671">
        <v>3.5</v>
      </c>
      <c r="F3145" s="1672"/>
      <c r="G3145" s="1671">
        <v>4</v>
      </c>
      <c r="H3145" s="1671">
        <f t="shared" si="431"/>
        <v>0</v>
      </c>
      <c r="I3145" s="1671" t="s">
        <v>92</v>
      </c>
      <c r="J3145" s="1668"/>
      <c r="K3145" s="1668"/>
      <c r="L3145" s="1669"/>
    </row>
    <row r="3146" spans="1:12" s="692" customFormat="1" ht="16.5" hidden="1">
      <c r="A3146" s="1665"/>
      <c r="B3146" s="1666"/>
      <c r="C3146" s="688"/>
      <c r="D3146" s="1667"/>
      <c r="E3146" s="1671">
        <v>3.5</v>
      </c>
      <c r="F3146" s="1672"/>
      <c r="G3146" s="1671">
        <v>4</v>
      </c>
      <c r="H3146" s="1671">
        <f t="shared" si="431"/>
        <v>0</v>
      </c>
      <c r="I3146" s="1671" t="s">
        <v>92</v>
      </c>
      <c r="J3146" s="1668"/>
      <c r="K3146" s="1668"/>
      <c r="L3146" s="1669"/>
    </row>
    <row r="3147" spans="1:12" s="692" customFormat="1" ht="16.5" hidden="1">
      <c r="A3147" s="1665"/>
      <c r="B3147" s="1666"/>
      <c r="C3147" s="688"/>
      <c r="D3147" s="1667"/>
      <c r="E3147" s="1671">
        <v>3.5</v>
      </c>
      <c r="F3147" s="1672"/>
      <c r="G3147" s="1671">
        <v>4</v>
      </c>
      <c r="H3147" s="1671">
        <f t="shared" si="431"/>
        <v>0</v>
      </c>
      <c r="I3147" s="1671" t="s">
        <v>92</v>
      </c>
      <c r="J3147" s="1668"/>
      <c r="K3147" s="1668"/>
      <c r="L3147" s="1669"/>
    </row>
    <row r="3148" spans="1:12" s="692" customFormat="1" ht="16.5" hidden="1">
      <c r="A3148" s="1665"/>
      <c r="B3148" s="1666"/>
      <c r="C3148" s="688"/>
      <c r="D3148" s="1667"/>
      <c r="E3148" s="1671">
        <v>3.5</v>
      </c>
      <c r="F3148" s="1672"/>
      <c r="G3148" s="1671">
        <v>4</v>
      </c>
      <c r="H3148" s="1671">
        <f t="shared" si="431"/>
        <v>0</v>
      </c>
      <c r="I3148" s="1671" t="s">
        <v>92</v>
      </c>
      <c r="J3148" s="1668"/>
      <c r="K3148" s="1668"/>
      <c r="L3148" s="1669"/>
    </row>
    <row r="3149" spans="1:12" s="692" customFormat="1" ht="16.5" hidden="1">
      <c r="A3149" s="1665"/>
      <c r="B3149" s="1666"/>
      <c r="C3149" s="688"/>
      <c r="D3149" s="1667"/>
      <c r="E3149" s="688"/>
      <c r="F3149" s="688"/>
      <c r="G3149" s="1665" t="s">
        <v>928</v>
      </c>
      <c r="H3149" s="1673">
        <f>SUM(H3143:H3148)</f>
        <v>0</v>
      </c>
      <c r="I3149" s="1668" t="s">
        <v>92</v>
      </c>
      <c r="J3149" s="1669">
        <f>'Lead &amp; ANALYSIS'!L661</f>
        <v>215</v>
      </c>
      <c r="K3149" s="1668" t="s">
        <v>1514</v>
      </c>
      <c r="L3149" s="1669">
        <f t="shared" ref="L3149" si="432">ROUND(H3149*J3149,0)</f>
        <v>0</v>
      </c>
    </row>
    <row r="3150" spans="1:12" s="692" customFormat="1" ht="16.5" hidden="1">
      <c r="A3150" s="1665" t="s">
        <v>443</v>
      </c>
      <c r="B3150" s="1666" t="s">
        <v>3636</v>
      </c>
      <c r="C3150" s="688"/>
      <c r="D3150" s="1667"/>
      <c r="E3150" s="688"/>
      <c r="F3150" s="688"/>
      <c r="G3150" s="1674"/>
      <c r="H3150" s="688"/>
      <c r="I3150" s="1668"/>
      <c r="J3150" s="1668"/>
      <c r="K3150" s="1668"/>
      <c r="L3150" s="1669"/>
    </row>
    <row r="3151" spans="1:12" s="692" customFormat="1" ht="16.5" hidden="1">
      <c r="A3151" s="1665"/>
      <c r="B3151" s="1666"/>
      <c r="C3151" s="688"/>
      <c r="D3151" s="1667"/>
      <c r="E3151" s="1671">
        <v>3.5</v>
      </c>
      <c r="F3151" s="1672"/>
      <c r="G3151" s="1671">
        <v>4</v>
      </c>
      <c r="H3151" s="1671">
        <f t="shared" ref="H3151:H3156" si="433">ROUND(D3151*E3151*G3151,2)</f>
        <v>0</v>
      </c>
      <c r="I3151" s="1671" t="s">
        <v>92</v>
      </c>
      <c r="J3151" s="1668"/>
      <c r="K3151" s="1668"/>
      <c r="L3151" s="1669"/>
    </row>
    <row r="3152" spans="1:12" s="692" customFormat="1" ht="16.5" hidden="1">
      <c r="A3152" s="1665"/>
      <c r="B3152" s="1666"/>
      <c r="C3152" s="688"/>
      <c r="D3152" s="1667"/>
      <c r="E3152" s="1671">
        <v>3.5</v>
      </c>
      <c r="F3152" s="1672"/>
      <c r="G3152" s="1671">
        <v>4</v>
      </c>
      <c r="H3152" s="1671">
        <f t="shared" si="433"/>
        <v>0</v>
      </c>
      <c r="I3152" s="1671" t="s">
        <v>92</v>
      </c>
      <c r="J3152" s="1668"/>
      <c r="K3152" s="1668"/>
      <c r="L3152" s="1669"/>
    </row>
    <row r="3153" spans="1:12" s="692" customFormat="1" ht="16.5" hidden="1">
      <c r="A3153" s="1665"/>
      <c r="B3153" s="1666"/>
      <c r="C3153" s="688"/>
      <c r="D3153" s="1667"/>
      <c r="E3153" s="1671">
        <v>3.5</v>
      </c>
      <c r="F3153" s="1672"/>
      <c r="G3153" s="1671">
        <v>4</v>
      </c>
      <c r="H3153" s="1671">
        <f t="shared" si="433"/>
        <v>0</v>
      </c>
      <c r="I3153" s="1671" t="s">
        <v>92</v>
      </c>
      <c r="J3153" s="1668"/>
      <c r="K3153" s="1668"/>
      <c r="L3153" s="1669"/>
    </row>
    <row r="3154" spans="1:12" s="692" customFormat="1" ht="16.5" hidden="1">
      <c r="A3154" s="1665"/>
      <c r="B3154" s="1666"/>
      <c r="C3154" s="688"/>
      <c r="D3154" s="1667"/>
      <c r="E3154" s="1671">
        <v>3.5</v>
      </c>
      <c r="F3154" s="1672"/>
      <c r="G3154" s="1671">
        <v>4</v>
      </c>
      <c r="H3154" s="1671">
        <f t="shared" si="433"/>
        <v>0</v>
      </c>
      <c r="I3154" s="1671" t="s">
        <v>92</v>
      </c>
      <c r="J3154" s="1668"/>
      <c r="K3154" s="1668"/>
      <c r="L3154" s="1669"/>
    </row>
    <row r="3155" spans="1:12" s="692" customFormat="1" ht="16.5" hidden="1">
      <c r="A3155" s="1665"/>
      <c r="B3155" s="1666"/>
      <c r="C3155" s="688"/>
      <c r="D3155" s="1667"/>
      <c r="E3155" s="1671">
        <v>3.5</v>
      </c>
      <c r="F3155" s="1672"/>
      <c r="G3155" s="1671">
        <v>4</v>
      </c>
      <c r="H3155" s="1671">
        <f t="shared" si="433"/>
        <v>0</v>
      </c>
      <c r="I3155" s="1671" t="s">
        <v>92</v>
      </c>
      <c r="J3155" s="1668"/>
      <c r="K3155" s="1668"/>
      <c r="L3155" s="1669"/>
    </row>
    <row r="3156" spans="1:12" s="692" customFormat="1" ht="16.5" hidden="1">
      <c r="A3156" s="1665"/>
      <c r="B3156" s="1666"/>
      <c r="C3156" s="688"/>
      <c r="D3156" s="1667"/>
      <c r="E3156" s="1671">
        <v>3.5</v>
      </c>
      <c r="F3156" s="1672"/>
      <c r="G3156" s="1671">
        <v>4</v>
      </c>
      <c r="H3156" s="1671">
        <f t="shared" si="433"/>
        <v>0</v>
      </c>
      <c r="I3156" s="1671" t="s">
        <v>92</v>
      </c>
      <c r="J3156" s="1668"/>
      <c r="K3156" s="1668"/>
      <c r="L3156" s="1669"/>
    </row>
    <row r="3157" spans="1:12" s="692" customFormat="1" ht="16.5" hidden="1">
      <c r="A3157" s="1665"/>
      <c r="B3157" s="1666"/>
      <c r="C3157" s="688"/>
      <c r="D3157" s="1667"/>
      <c r="E3157" s="688"/>
      <c r="F3157" s="688"/>
      <c r="G3157" s="1665" t="s">
        <v>928</v>
      </c>
      <c r="H3157" s="1673">
        <f>SUM(H3151:H3156)</f>
        <v>0</v>
      </c>
      <c r="I3157" s="1668" t="s">
        <v>92</v>
      </c>
      <c r="J3157" s="1669">
        <f>'Lead &amp; ANALYSIS'!L662</f>
        <v>231.4</v>
      </c>
      <c r="K3157" s="1668" t="s">
        <v>1514</v>
      </c>
      <c r="L3157" s="1669">
        <f t="shared" ref="L3157" si="434">ROUND(H3157*J3157,0)</f>
        <v>0</v>
      </c>
    </row>
    <row r="3158" spans="1:12" s="692" customFormat="1" ht="52.9" customHeight="1">
      <c r="A3158" s="1665">
        <v>9</v>
      </c>
      <c r="B3158" s="1666" t="str">
        <f>'Lead &amp; ANALYSIS'!B663</f>
        <v>Providing 16 mm thick C.P. with C.M. (1:6) with screened and washed sharp sand for mortar and finished smooth to the rough surface of walls in all heights after racking out joints  etc. complete in all respect as directed by the Engineer in charge.</v>
      </c>
      <c r="C3158" s="688"/>
      <c r="D3158" s="1667"/>
      <c r="E3158" s="688"/>
      <c r="F3158" s="688"/>
      <c r="G3158" s="1674"/>
      <c r="H3158" s="688"/>
      <c r="I3158" s="1668"/>
      <c r="J3158" s="1668"/>
      <c r="K3158" s="1668"/>
      <c r="L3158" s="1669"/>
    </row>
    <row r="3159" spans="1:12" s="692" customFormat="1" ht="16.5" hidden="1">
      <c r="A3159" s="1665" t="s">
        <v>383</v>
      </c>
      <c r="B3159" s="1675" t="s">
        <v>384</v>
      </c>
      <c r="C3159" s="688"/>
      <c r="D3159" s="1667"/>
      <c r="E3159" s="688"/>
      <c r="F3159" s="688"/>
      <c r="G3159" s="1674"/>
      <c r="H3159" s="1673"/>
      <c r="I3159" s="1668" t="s">
        <v>92</v>
      </c>
      <c r="J3159" s="1668"/>
      <c r="K3159" s="1668"/>
      <c r="L3159" s="1669"/>
    </row>
    <row r="3160" spans="1:12" s="692" customFormat="1" ht="16.5">
      <c r="A3160" s="1665"/>
      <c r="B3160" s="1666" t="s">
        <v>2996</v>
      </c>
      <c r="C3160" s="688"/>
      <c r="D3160" s="1667">
        <v>4</v>
      </c>
      <c r="E3160" s="1671">
        <v>8.25</v>
      </c>
      <c r="F3160" s="1672"/>
      <c r="G3160" s="1671">
        <v>3.1</v>
      </c>
      <c r="H3160" s="1671">
        <f t="shared" ref="H3160:H3165" si="435">ROUND(D3160*E3160*G3160,2)</f>
        <v>102.3</v>
      </c>
      <c r="I3160" s="1671" t="s">
        <v>92</v>
      </c>
      <c r="J3160" s="1668"/>
      <c r="K3160" s="1668"/>
      <c r="L3160" s="1669"/>
    </row>
    <row r="3161" spans="1:12" s="692" customFormat="1" ht="16.5">
      <c r="A3161" s="1665"/>
      <c r="B3161" s="1666"/>
      <c r="C3161" s="688"/>
      <c r="D3161" s="1667">
        <v>4</v>
      </c>
      <c r="E3161" s="1671">
        <v>6.1</v>
      </c>
      <c r="F3161" s="1672"/>
      <c r="G3161" s="1671">
        <f>G3160</f>
        <v>3.1</v>
      </c>
      <c r="H3161" s="1671">
        <f t="shared" si="435"/>
        <v>75.64</v>
      </c>
      <c r="I3161" s="1671" t="s">
        <v>92</v>
      </c>
      <c r="J3161" s="1668"/>
      <c r="K3161" s="1668"/>
      <c r="L3161" s="1669"/>
    </row>
    <row r="3162" spans="1:12" s="692" customFormat="1" ht="16.5">
      <c r="A3162" s="1665"/>
      <c r="B3162" s="1666"/>
      <c r="C3162" s="688"/>
      <c r="D3162" s="1667">
        <v>2</v>
      </c>
      <c r="E3162" s="1671">
        <v>16.75</v>
      </c>
      <c r="F3162" s="1672"/>
      <c r="G3162" s="1671">
        <f>G3161</f>
        <v>3.1</v>
      </c>
      <c r="H3162" s="1671">
        <f t="shared" si="435"/>
        <v>103.85</v>
      </c>
      <c r="I3162" s="1671" t="s">
        <v>92</v>
      </c>
      <c r="J3162" s="1668"/>
      <c r="K3162" s="1668"/>
      <c r="L3162" s="1669"/>
    </row>
    <row r="3163" spans="1:12" s="692" customFormat="1" ht="16.5">
      <c r="A3163" s="1665"/>
      <c r="B3163" s="1666"/>
      <c r="C3163" s="688"/>
      <c r="D3163" s="1667">
        <v>2</v>
      </c>
      <c r="E3163" s="1671">
        <v>1.8</v>
      </c>
      <c r="F3163" s="1672"/>
      <c r="G3163" s="1671">
        <f>G3162</f>
        <v>3.1</v>
      </c>
      <c r="H3163" s="1671">
        <f t="shared" si="435"/>
        <v>11.16</v>
      </c>
      <c r="I3163" s="1671" t="s">
        <v>92</v>
      </c>
      <c r="J3163" s="1668"/>
      <c r="K3163" s="1668"/>
      <c r="L3163" s="1669"/>
    </row>
    <row r="3164" spans="1:12" s="692" customFormat="1" ht="16.5" hidden="1">
      <c r="A3164" s="1665"/>
      <c r="B3164" s="1666"/>
      <c r="C3164" s="688"/>
      <c r="D3164" s="1667"/>
      <c r="E3164" s="1671">
        <v>3.5</v>
      </c>
      <c r="F3164" s="1672"/>
      <c r="G3164" s="1671">
        <v>4</v>
      </c>
      <c r="H3164" s="1671">
        <f t="shared" si="435"/>
        <v>0</v>
      </c>
      <c r="I3164" s="1671" t="s">
        <v>92</v>
      </c>
      <c r="J3164" s="1668"/>
      <c r="K3164" s="1668"/>
      <c r="L3164" s="1669"/>
    </row>
    <row r="3165" spans="1:12" s="692" customFormat="1" ht="16.5" hidden="1">
      <c r="A3165" s="1665"/>
      <c r="B3165" s="1666"/>
      <c r="C3165" s="688"/>
      <c r="D3165" s="1667"/>
      <c r="E3165" s="1671">
        <v>3.5</v>
      </c>
      <c r="F3165" s="1672"/>
      <c r="G3165" s="1671">
        <v>4</v>
      </c>
      <c r="H3165" s="1671">
        <f t="shared" si="435"/>
        <v>0</v>
      </c>
      <c r="I3165" s="1671" t="s">
        <v>92</v>
      </c>
      <c r="J3165" s="1668"/>
      <c r="K3165" s="1668"/>
      <c r="L3165" s="1669"/>
    </row>
    <row r="3166" spans="1:12" s="692" customFormat="1" ht="16.5">
      <c r="A3166" s="1665"/>
      <c r="B3166" s="1666"/>
      <c r="C3166" s="688"/>
      <c r="D3166" s="1667"/>
      <c r="E3166" s="1671"/>
      <c r="F3166" s="1672"/>
      <c r="G3166" s="1665" t="s">
        <v>928</v>
      </c>
      <c r="H3166" s="1673">
        <f>SUM(H3160:H3165)</f>
        <v>292.95</v>
      </c>
      <c r="I3166" s="1668" t="s">
        <v>92</v>
      </c>
      <c r="J3166" s="1668"/>
      <c r="K3166" s="1668"/>
      <c r="L3166" s="1669"/>
    </row>
    <row r="3167" spans="1:12" s="692" customFormat="1" ht="16.5">
      <c r="A3167" s="1665"/>
      <c r="B3167" s="1675" t="s">
        <v>1883</v>
      </c>
      <c r="C3167" s="688"/>
      <c r="D3167" s="1667"/>
      <c r="E3167" s="688"/>
      <c r="F3167" s="688"/>
      <c r="G3167" s="1665"/>
      <c r="H3167" s="1673"/>
      <c r="I3167" s="1668"/>
      <c r="J3167" s="1668"/>
      <c r="K3167" s="1668"/>
      <c r="L3167" s="1669"/>
    </row>
    <row r="3168" spans="1:12" s="692" customFormat="1" ht="16.5">
      <c r="A3168" s="1665"/>
      <c r="B3168" s="1666" t="str">
        <f>B3026</f>
        <v>Window</v>
      </c>
      <c r="C3168" s="688">
        <v>0.5</v>
      </c>
      <c r="D3168" s="1667">
        <v>8</v>
      </c>
      <c r="E3168" s="1671">
        <v>1.2</v>
      </c>
      <c r="F3168" s="1672"/>
      <c r="G3168" s="1671">
        <v>1.2</v>
      </c>
      <c r="H3168" s="1671">
        <f>ROUND(C3168*D3168*E3168*G3168,2)</f>
        <v>5.76</v>
      </c>
      <c r="I3168" s="1671" t="s">
        <v>92</v>
      </c>
      <c r="J3168" s="1668"/>
      <c r="K3168" s="1668"/>
      <c r="L3168" s="1669"/>
    </row>
    <row r="3169" spans="1:12" s="692" customFormat="1" ht="16.5">
      <c r="A3169" s="1665"/>
      <c r="B3169" s="1666" t="str">
        <f t="shared" ref="B3169:B3170" si="436">B3027</f>
        <v>Door</v>
      </c>
      <c r="C3169" s="688">
        <v>0.5</v>
      </c>
      <c r="D3169" s="1667">
        <v>4</v>
      </c>
      <c r="E3169" s="1671">
        <v>1.2</v>
      </c>
      <c r="F3169" s="1672"/>
      <c r="G3169" s="1671">
        <v>2.1</v>
      </c>
      <c r="H3169" s="1671">
        <f t="shared" ref="H3169:H3171" si="437">ROUND(C3169*D3169*E3169*G3169,2)</f>
        <v>5.04</v>
      </c>
      <c r="I3169" s="1671" t="s">
        <v>92</v>
      </c>
      <c r="J3169" s="1668"/>
      <c r="K3169" s="1668"/>
      <c r="L3169" s="1669"/>
    </row>
    <row r="3170" spans="1:12" s="692" customFormat="1" ht="16.5">
      <c r="A3170" s="1665"/>
      <c r="B3170" s="1666" t="str">
        <f t="shared" si="436"/>
        <v>Openings</v>
      </c>
      <c r="C3170" s="688">
        <v>0.5</v>
      </c>
      <c r="D3170" s="1667">
        <v>4</v>
      </c>
      <c r="E3170" s="1671">
        <f>E3028</f>
        <v>4</v>
      </c>
      <c r="F3170" s="1672"/>
      <c r="G3170" s="1671">
        <f>G3028</f>
        <v>2.1</v>
      </c>
      <c r="H3170" s="1671">
        <f t="shared" si="437"/>
        <v>16.8</v>
      </c>
      <c r="I3170" s="1671" t="s">
        <v>92</v>
      </c>
      <c r="J3170" s="1668"/>
      <c r="K3170" s="1668"/>
      <c r="L3170" s="1669"/>
    </row>
    <row r="3171" spans="1:12" s="692" customFormat="1" ht="16.5">
      <c r="A3171" s="1665"/>
      <c r="B3171" s="1666"/>
      <c r="C3171" s="688">
        <v>0.5</v>
      </c>
      <c r="D3171" s="1667">
        <v>2</v>
      </c>
      <c r="E3171" s="1671">
        <v>1.8</v>
      </c>
      <c r="F3171" s="1672"/>
      <c r="G3171" s="1671">
        <f>G3170</f>
        <v>2.1</v>
      </c>
      <c r="H3171" s="1671">
        <f t="shared" si="437"/>
        <v>3.78</v>
      </c>
      <c r="I3171" s="1671" t="s">
        <v>92</v>
      </c>
      <c r="J3171" s="1668"/>
      <c r="K3171" s="1668"/>
      <c r="L3171" s="1669"/>
    </row>
    <row r="3172" spans="1:12" s="692" customFormat="1" ht="16.5" hidden="1">
      <c r="A3172" s="1665"/>
      <c r="B3172" s="1666"/>
      <c r="C3172" s="688"/>
      <c r="D3172" s="1667"/>
      <c r="E3172" s="1671">
        <f>'DRAWING CC'!AW211</f>
        <v>0</v>
      </c>
      <c r="F3172" s="1672"/>
      <c r="G3172" s="1671">
        <v>0</v>
      </c>
      <c r="H3172" s="1671">
        <f t="shared" ref="H3172:H3173" si="438">ROUND(D3172*E3172*G3172,2)</f>
        <v>0</v>
      </c>
      <c r="I3172" s="1671" t="s">
        <v>92</v>
      </c>
      <c r="J3172" s="1668"/>
      <c r="K3172" s="1668"/>
      <c r="L3172" s="1669"/>
    </row>
    <row r="3173" spans="1:12" s="692" customFormat="1" ht="16.5" hidden="1">
      <c r="A3173" s="1665"/>
      <c r="B3173" s="1666"/>
      <c r="C3173" s="688"/>
      <c r="D3173" s="1667"/>
      <c r="E3173" s="1671">
        <f>'DRAWING CC'!O255</f>
        <v>0</v>
      </c>
      <c r="F3173" s="1672"/>
      <c r="G3173" s="1671">
        <f>G3172</f>
        <v>0</v>
      </c>
      <c r="H3173" s="1671">
        <f t="shared" si="438"/>
        <v>0</v>
      </c>
      <c r="I3173" s="1671" t="s">
        <v>92</v>
      </c>
      <c r="J3173" s="1668"/>
      <c r="K3173" s="1668"/>
      <c r="L3173" s="1669"/>
    </row>
    <row r="3174" spans="1:12" s="692" customFormat="1" ht="16.5">
      <c r="A3174" s="1665"/>
      <c r="B3174" s="1666"/>
      <c r="C3174" s="688"/>
      <c r="D3174" s="1667"/>
      <c r="E3174" s="688"/>
      <c r="F3174" s="688"/>
      <c r="G3174" s="1665" t="s">
        <v>928</v>
      </c>
      <c r="H3174" s="1673">
        <f>SUM(H3168:H3173)</f>
        <v>31.380000000000003</v>
      </c>
      <c r="I3174" s="1668" t="s">
        <v>92</v>
      </c>
      <c r="J3174" s="1668"/>
      <c r="K3174" s="1668"/>
      <c r="L3174" s="1669"/>
    </row>
    <row r="3175" spans="1:12" s="692" customFormat="1" ht="16.5">
      <c r="A3175" s="1665"/>
      <c r="B3175" s="1666"/>
      <c r="C3175" s="688"/>
      <c r="D3175" s="1667"/>
      <c r="E3175" s="688"/>
      <c r="F3175" s="688"/>
      <c r="G3175" s="1665" t="s">
        <v>1810</v>
      </c>
      <c r="H3175" s="1673">
        <f>H3166-H3174</f>
        <v>261.57</v>
      </c>
      <c r="I3175" s="1668" t="s">
        <v>92</v>
      </c>
      <c r="J3175" s="1668"/>
      <c r="K3175" s="1668"/>
      <c r="L3175" s="1669"/>
    </row>
    <row r="3176" spans="1:12" s="692" customFormat="1" ht="16.5">
      <c r="A3176" s="1665"/>
      <c r="B3176" s="1666"/>
      <c r="C3176" s="688"/>
      <c r="D3176" s="1667"/>
      <c r="E3176" s="688"/>
      <c r="F3176" s="688"/>
      <c r="G3176" s="1665" t="s">
        <v>928</v>
      </c>
      <c r="H3176" s="1673">
        <f>H3175</f>
        <v>261.57</v>
      </c>
      <c r="I3176" s="1668" t="s">
        <v>92</v>
      </c>
      <c r="J3176" s="1669">
        <f>'Lead &amp; ANALYSIS'!L664</f>
        <v>222</v>
      </c>
      <c r="K3176" s="1668" t="s">
        <v>1514</v>
      </c>
      <c r="L3176" s="1669">
        <f t="shared" ref="L3176" si="439">ROUND(H3176*J3176,0)</f>
        <v>58069</v>
      </c>
    </row>
    <row r="3177" spans="1:12" s="692" customFormat="1" ht="16.5" hidden="1">
      <c r="A3177" s="1665" t="s">
        <v>386</v>
      </c>
      <c r="B3177" s="1666" t="s">
        <v>387</v>
      </c>
      <c r="C3177" s="688"/>
      <c r="D3177" s="1667"/>
      <c r="E3177" s="688"/>
      <c r="F3177" s="688"/>
      <c r="G3177" s="1674"/>
      <c r="H3177" s="688"/>
      <c r="I3177" s="1668"/>
      <c r="J3177" s="1668"/>
      <c r="K3177" s="1668"/>
      <c r="L3177" s="1669"/>
    </row>
    <row r="3178" spans="1:12" s="692" customFormat="1" ht="16.5" hidden="1">
      <c r="A3178" s="1665"/>
      <c r="B3178" s="1666"/>
      <c r="C3178" s="688"/>
      <c r="D3178" s="1667"/>
      <c r="E3178" s="1671">
        <v>3.5</v>
      </c>
      <c r="F3178" s="1672"/>
      <c r="G3178" s="1671">
        <v>4</v>
      </c>
      <c r="H3178" s="1671">
        <f t="shared" ref="H3178:H3183" si="440">ROUND(D3178*E3178*G3178,2)</f>
        <v>0</v>
      </c>
      <c r="I3178" s="1671" t="s">
        <v>92</v>
      </c>
      <c r="J3178" s="1668"/>
      <c r="K3178" s="1668"/>
      <c r="L3178" s="1669"/>
    </row>
    <row r="3179" spans="1:12" s="692" customFormat="1" ht="16.5" hidden="1">
      <c r="A3179" s="1665"/>
      <c r="B3179" s="1666"/>
      <c r="C3179" s="688"/>
      <c r="D3179" s="1667"/>
      <c r="E3179" s="1671">
        <v>3.5</v>
      </c>
      <c r="F3179" s="1672"/>
      <c r="G3179" s="1671">
        <v>4</v>
      </c>
      <c r="H3179" s="1671">
        <f t="shared" si="440"/>
        <v>0</v>
      </c>
      <c r="I3179" s="1671" t="s">
        <v>92</v>
      </c>
      <c r="J3179" s="1668"/>
      <c r="K3179" s="1668"/>
      <c r="L3179" s="1669"/>
    </row>
    <row r="3180" spans="1:12" s="692" customFormat="1" ht="16.5" hidden="1">
      <c r="A3180" s="1665"/>
      <c r="B3180" s="1666"/>
      <c r="C3180" s="688"/>
      <c r="D3180" s="1667"/>
      <c r="E3180" s="1671">
        <v>3.5</v>
      </c>
      <c r="F3180" s="1672"/>
      <c r="G3180" s="1671">
        <v>4</v>
      </c>
      <c r="H3180" s="1671">
        <f t="shared" si="440"/>
        <v>0</v>
      </c>
      <c r="I3180" s="1671" t="s">
        <v>92</v>
      </c>
      <c r="J3180" s="1668"/>
      <c r="K3180" s="1668"/>
      <c r="L3180" s="1669"/>
    </row>
    <row r="3181" spans="1:12" s="692" customFormat="1" ht="16.5" hidden="1">
      <c r="A3181" s="1665"/>
      <c r="B3181" s="1666"/>
      <c r="C3181" s="688"/>
      <c r="D3181" s="1667"/>
      <c r="E3181" s="1671">
        <v>3.5</v>
      </c>
      <c r="F3181" s="1672"/>
      <c r="G3181" s="1671">
        <v>4</v>
      </c>
      <c r="H3181" s="1671">
        <f t="shared" si="440"/>
        <v>0</v>
      </c>
      <c r="I3181" s="1671" t="s">
        <v>92</v>
      </c>
      <c r="J3181" s="1668"/>
      <c r="K3181" s="1668"/>
      <c r="L3181" s="1669"/>
    </row>
    <row r="3182" spans="1:12" s="692" customFormat="1" ht="16.5" hidden="1">
      <c r="A3182" s="1665"/>
      <c r="B3182" s="1666"/>
      <c r="C3182" s="688"/>
      <c r="D3182" s="1667"/>
      <c r="E3182" s="1671">
        <v>3.5</v>
      </c>
      <c r="F3182" s="1672"/>
      <c r="G3182" s="1671">
        <v>4</v>
      </c>
      <c r="H3182" s="1671">
        <f t="shared" si="440"/>
        <v>0</v>
      </c>
      <c r="I3182" s="1671" t="s">
        <v>92</v>
      </c>
      <c r="J3182" s="1668"/>
      <c r="K3182" s="1668"/>
      <c r="L3182" s="1669"/>
    </row>
    <row r="3183" spans="1:12" s="692" customFormat="1" ht="16.5" hidden="1">
      <c r="A3183" s="1665"/>
      <c r="B3183" s="1666"/>
      <c r="C3183" s="688"/>
      <c r="D3183" s="1667"/>
      <c r="E3183" s="1671">
        <v>3.5</v>
      </c>
      <c r="F3183" s="1672"/>
      <c r="G3183" s="1671">
        <v>4</v>
      </c>
      <c r="H3183" s="1671">
        <f t="shared" si="440"/>
        <v>0</v>
      </c>
      <c r="I3183" s="1671" t="s">
        <v>92</v>
      </c>
      <c r="J3183" s="1668"/>
      <c r="K3183" s="1668"/>
      <c r="L3183" s="1669"/>
    </row>
    <row r="3184" spans="1:12" s="692" customFormat="1" ht="16.5" hidden="1">
      <c r="A3184" s="1665"/>
      <c r="B3184" s="1666"/>
      <c r="C3184" s="688"/>
      <c r="D3184" s="1667"/>
      <c r="E3184" s="688"/>
      <c r="F3184" s="688"/>
      <c r="G3184" s="1665" t="s">
        <v>928</v>
      </c>
      <c r="H3184" s="1673">
        <f>SUM(H3178:H3183)</f>
        <v>0</v>
      </c>
      <c r="I3184" s="1668" t="s">
        <v>92</v>
      </c>
      <c r="J3184" s="1669">
        <f>'Lead &amp; ANALYSIS'!L665</f>
        <v>227.3</v>
      </c>
      <c r="K3184" s="1668" t="s">
        <v>1514</v>
      </c>
      <c r="L3184" s="1669">
        <f t="shared" ref="L3184" si="441">ROUND(H3184*J3184,0)</f>
        <v>0</v>
      </c>
    </row>
    <row r="3185" spans="1:12" s="692" customFormat="1" ht="16.5" hidden="1">
      <c r="A3185" s="1665" t="s">
        <v>432</v>
      </c>
      <c r="B3185" s="1666" t="s">
        <v>3622</v>
      </c>
      <c r="C3185" s="688"/>
      <c r="D3185" s="1667"/>
      <c r="E3185" s="688"/>
      <c r="F3185" s="688"/>
      <c r="G3185" s="1674"/>
      <c r="H3185" s="688"/>
      <c r="I3185" s="1668"/>
      <c r="J3185" s="1668"/>
      <c r="K3185" s="1668"/>
      <c r="L3185" s="1669"/>
    </row>
    <row r="3186" spans="1:12" s="692" customFormat="1" ht="16.5" hidden="1">
      <c r="A3186" s="1665"/>
      <c r="B3186" s="1666"/>
      <c r="C3186" s="688"/>
      <c r="D3186" s="1667"/>
      <c r="E3186" s="1671">
        <v>3.5</v>
      </c>
      <c r="F3186" s="1672"/>
      <c r="G3186" s="1671">
        <v>4</v>
      </c>
      <c r="H3186" s="1671">
        <f t="shared" ref="H3186:H3191" si="442">ROUND(D3186*E3186*G3186,2)</f>
        <v>0</v>
      </c>
      <c r="I3186" s="1671" t="s">
        <v>92</v>
      </c>
      <c r="J3186" s="1668"/>
      <c r="K3186" s="1668"/>
      <c r="L3186" s="1669"/>
    </row>
    <row r="3187" spans="1:12" s="692" customFormat="1" ht="16.5" hidden="1">
      <c r="A3187" s="1665"/>
      <c r="B3187" s="1666"/>
      <c r="C3187" s="688"/>
      <c r="D3187" s="1667"/>
      <c r="E3187" s="1671">
        <v>3.5</v>
      </c>
      <c r="F3187" s="1672"/>
      <c r="G3187" s="1671">
        <v>4</v>
      </c>
      <c r="H3187" s="1671">
        <f t="shared" si="442"/>
        <v>0</v>
      </c>
      <c r="I3187" s="1671" t="s">
        <v>92</v>
      </c>
      <c r="J3187" s="1668"/>
      <c r="K3187" s="1668"/>
      <c r="L3187" s="1669"/>
    </row>
    <row r="3188" spans="1:12" s="692" customFormat="1" ht="16.5" hidden="1">
      <c r="A3188" s="1665"/>
      <c r="B3188" s="1666"/>
      <c r="C3188" s="688"/>
      <c r="D3188" s="1667"/>
      <c r="E3188" s="1671">
        <v>3.5</v>
      </c>
      <c r="F3188" s="1672"/>
      <c r="G3188" s="1671">
        <v>4</v>
      </c>
      <c r="H3188" s="1671">
        <f t="shared" si="442"/>
        <v>0</v>
      </c>
      <c r="I3188" s="1671" t="s">
        <v>92</v>
      </c>
      <c r="J3188" s="1668"/>
      <c r="K3188" s="1668"/>
      <c r="L3188" s="1669"/>
    </row>
    <row r="3189" spans="1:12" s="692" customFormat="1" ht="16.5" hidden="1">
      <c r="A3189" s="1665"/>
      <c r="B3189" s="1666"/>
      <c r="C3189" s="688"/>
      <c r="D3189" s="1667"/>
      <c r="E3189" s="1671">
        <v>3.5</v>
      </c>
      <c r="F3189" s="1672"/>
      <c r="G3189" s="1671">
        <v>4</v>
      </c>
      <c r="H3189" s="1671">
        <f t="shared" si="442"/>
        <v>0</v>
      </c>
      <c r="I3189" s="1671" t="s">
        <v>92</v>
      </c>
      <c r="J3189" s="1668"/>
      <c r="K3189" s="1668"/>
      <c r="L3189" s="1669"/>
    </row>
    <row r="3190" spans="1:12" s="692" customFormat="1" ht="16.5" hidden="1">
      <c r="A3190" s="1665"/>
      <c r="B3190" s="1666"/>
      <c r="C3190" s="688"/>
      <c r="D3190" s="1667"/>
      <c r="E3190" s="1671">
        <v>3.5</v>
      </c>
      <c r="F3190" s="1672"/>
      <c r="G3190" s="1671">
        <v>4</v>
      </c>
      <c r="H3190" s="1671">
        <f t="shared" si="442"/>
        <v>0</v>
      </c>
      <c r="I3190" s="1671" t="s">
        <v>92</v>
      </c>
      <c r="J3190" s="1668"/>
      <c r="K3190" s="1668"/>
      <c r="L3190" s="1669"/>
    </row>
    <row r="3191" spans="1:12" s="692" customFormat="1" ht="16.5" hidden="1">
      <c r="A3191" s="1665"/>
      <c r="B3191" s="1666"/>
      <c r="C3191" s="688"/>
      <c r="D3191" s="1667"/>
      <c r="E3191" s="1671">
        <v>3.5</v>
      </c>
      <c r="F3191" s="1672"/>
      <c r="G3191" s="1671">
        <v>4</v>
      </c>
      <c r="H3191" s="1671">
        <f t="shared" si="442"/>
        <v>0</v>
      </c>
      <c r="I3191" s="1671" t="s">
        <v>92</v>
      </c>
      <c r="J3191" s="1668"/>
      <c r="K3191" s="1668"/>
      <c r="L3191" s="1669"/>
    </row>
    <row r="3192" spans="1:12" s="692" customFormat="1" ht="16.5" hidden="1">
      <c r="A3192" s="1665"/>
      <c r="B3192" s="1666"/>
      <c r="C3192" s="688"/>
      <c r="D3192" s="1667"/>
      <c r="E3192" s="688"/>
      <c r="F3192" s="688"/>
      <c r="G3192" s="1665" t="s">
        <v>928</v>
      </c>
      <c r="H3192" s="1673">
        <f>SUM(H3186:H3191)</f>
        <v>0</v>
      </c>
      <c r="I3192" s="1668" t="s">
        <v>92</v>
      </c>
      <c r="J3192" s="1669">
        <f>'Lead &amp; ANALYSIS'!L666</f>
        <v>232.7</v>
      </c>
      <c r="K3192" s="1668" t="s">
        <v>1514</v>
      </c>
      <c r="L3192" s="1669">
        <f t="shared" ref="L3192" si="443">ROUND(H3192*J3192,0)</f>
        <v>0</v>
      </c>
    </row>
    <row r="3193" spans="1:12" s="692" customFormat="1" ht="16.5" hidden="1">
      <c r="A3193" s="1665" t="s">
        <v>443</v>
      </c>
      <c r="B3193" s="1666" t="s">
        <v>3636</v>
      </c>
      <c r="C3193" s="688"/>
      <c r="D3193" s="1667"/>
      <c r="E3193" s="688"/>
      <c r="F3193" s="688"/>
      <c r="G3193" s="1674"/>
      <c r="H3193" s="688"/>
      <c r="I3193" s="1668"/>
      <c r="J3193" s="1668"/>
      <c r="K3193" s="1668"/>
      <c r="L3193" s="1669"/>
    </row>
    <row r="3194" spans="1:12" s="692" customFormat="1" ht="16.5" hidden="1">
      <c r="A3194" s="1665"/>
      <c r="B3194" s="1666"/>
      <c r="C3194" s="688"/>
      <c r="D3194" s="1667"/>
      <c r="E3194" s="1671">
        <v>3.5</v>
      </c>
      <c r="F3194" s="1672"/>
      <c r="G3194" s="1671">
        <v>4</v>
      </c>
      <c r="H3194" s="1671">
        <f t="shared" ref="H3194:H3199" si="444">ROUND(D3194*E3194*G3194,2)</f>
        <v>0</v>
      </c>
      <c r="I3194" s="1671" t="s">
        <v>92</v>
      </c>
      <c r="J3194" s="1668"/>
      <c r="K3194" s="1668"/>
      <c r="L3194" s="1669"/>
    </row>
    <row r="3195" spans="1:12" s="692" customFormat="1" ht="16.5" hidden="1">
      <c r="A3195" s="1665"/>
      <c r="B3195" s="1666"/>
      <c r="C3195" s="688"/>
      <c r="D3195" s="1667"/>
      <c r="E3195" s="1671">
        <v>3.5</v>
      </c>
      <c r="F3195" s="1672"/>
      <c r="G3195" s="1671">
        <v>4</v>
      </c>
      <c r="H3195" s="1671">
        <f t="shared" si="444"/>
        <v>0</v>
      </c>
      <c r="I3195" s="1671" t="s">
        <v>92</v>
      </c>
      <c r="J3195" s="1668"/>
      <c r="K3195" s="1668"/>
      <c r="L3195" s="1669"/>
    </row>
    <row r="3196" spans="1:12" s="692" customFormat="1" ht="16.5" hidden="1">
      <c r="A3196" s="1665"/>
      <c r="B3196" s="1666"/>
      <c r="C3196" s="688"/>
      <c r="D3196" s="1667"/>
      <c r="E3196" s="1671">
        <v>3.5</v>
      </c>
      <c r="F3196" s="1672"/>
      <c r="G3196" s="1671">
        <v>4</v>
      </c>
      <c r="H3196" s="1671">
        <f t="shared" si="444"/>
        <v>0</v>
      </c>
      <c r="I3196" s="1671" t="s">
        <v>92</v>
      </c>
      <c r="J3196" s="1668"/>
      <c r="K3196" s="1668"/>
      <c r="L3196" s="1669"/>
    </row>
    <row r="3197" spans="1:12" s="692" customFormat="1" ht="16.5" hidden="1">
      <c r="A3197" s="1665"/>
      <c r="B3197" s="1666"/>
      <c r="C3197" s="688"/>
      <c r="D3197" s="1667"/>
      <c r="E3197" s="1671">
        <v>3.5</v>
      </c>
      <c r="F3197" s="1672"/>
      <c r="G3197" s="1671">
        <v>4</v>
      </c>
      <c r="H3197" s="1671">
        <f t="shared" si="444"/>
        <v>0</v>
      </c>
      <c r="I3197" s="1671" t="s">
        <v>92</v>
      </c>
      <c r="J3197" s="1668"/>
      <c r="K3197" s="1668"/>
      <c r="L3197" s="1669"/>
    </row>
    <row r="3198" spans="1:12" s="692" customFormat="1" ht="16.5" hidden="1">
      <c r="A3198" s="1665"/>
      <c r="B3198" s="1666"/>
      <c r="C3198" s="688"/>
      <c r="D3198" s="1667"/>
      <c r="E3198" s="1671">
        <v>3.5</v>
      </c>
      <c r="F3198" s="1672"/>
      <c r="G3198" s="1671">
        <v>4</v>
      </c>
      <c r="H3198" s="1671">
        <f t="shared" si="444"/>
        <v>0</v>
      </c>
      <c r="I3198" s="1671" t="s">
        <v>92</v>
      </c>
      <c r="J3198" s="1668"/>
      <c r="K3198" s="1668"/>
      <c r="L3198" s="1669"/>
    </row>
    <row r="3199" spans="1:12" s="692" customFormat="1" ht="16.5" hidden="1">
      <c r="A3199" s="1665"/>
      <c r="B3199" s="1666"/>
      <c r="C3199" s="688"/>
      <c r="D3199" s="1667"/>
      <c r="E3199" s="1671">
        <v>3.5</v>
      </c>
      <c r="F3199" s="1672"/>
      <c r="G3199" s="1671">
        <v>4</v>
      </c>
      <c r="H3199" s="1671">
        <f t="shared" si="444"/>
        <v>0</v>
      </c>
      <c r="I3199" s="1671" t="s">
        <v>92</v>
      </c>
      <c r="J3199" s="1668"/>
      <c r="K3199" s="1668"/>
      <c r="L3199" s="1669"/>
    </row>
    <row r="3200" spans="1:12" s="692" customFormat="1" ht="16.5" hidden="1">
      <c r="A3200" s="1665"/>
      <c r="B3200" s="1666"/>
      <c r="C3200" s="688"/>
      <c r="D3200" s="1667"/>
      <c r="E3200" s="688"/>
      <c r="F3200" s="688"/>
      <c r="G3200" s="1665" t="s">
        <v>928</v>
      </c>
      <c r="H3200" s="1673">
        <f>SUM(H3194:H3199)</f>
        <v>0</v>
      </c>
      <c r="I3200" s="1668" t="s">
        <v>92</v>
      </c>
      <c r="J3200" s="1669">
        <f>'Lead &amp; ANALYSIS'!L667</f>
        <v>240.7</v>
      </c>
      <c r="K3200" s="1668" t="s">
        <v>1514</v>
      </c>
      <c r="L3200" s="1669">
        <f t="shared" ref="L3200" si="445">ROUND(H3200*J3200,0)</f>
        <v>0</v>
      </c>
    </row>
    <row r="3201" spans="1:12" s="692" customFormat="1" ht="99" hidden="1">
      <c r="A3201" s="1665">
        <f>'Lead &amp; ANALYSIS'!A668</f>
        <v>60</v>
      </c>
      <c r="B3201" s="1666" t="str">
        <f>'Lead &amp; ANALYSIS'!B668</f>
        <v>Providing 16 mm thick C.P. with C.M. (1:6) with Punning with screened and washed sharp sand for mortar and finished smooth to the rough surface of walls in all heights after racking out joints  etc. complete in all respect as directed by the Engineer in charge.</v>
      </c>
      <c r="C3201" s="688"/>
      <c r="D3201" s="1667"/>
      <c r="E3201" s="688"/>
      <c r="F3201" s="688"/>
      <c r="G3201" s="1674"/>
      <c r="H3201" s="688"/>
      <c r="I3201" s="1668"/>
      <c r="J3201" s="1668"/>
      <c r="K3201" s="1668"/>
      <c r="L3201" s="1669"/>
    </row>
    <row r="3202" spans="1:12" s="692" customFormat="1" ht="16.5" hidden="1">
      <c r="A3202" s="1665" t="s">
        <v>383</v>
      </c>
      <c r="B3202" s="1666" t="s">
        <v>384</v>
      </c>
      <c r="C3202" s="688"/>
      <c r="D3202" s="1667"/>
      <c r="E3202" s="688"/>
      <c r="F3202" s="688"/>
      <c r="G3202" s="1674"/>
      <c r="H3202" s="688"/>
      <c r="I3202" s="1668"/>
      <c r="J3202" s="1668"/>
      <c r="K3202" s="1668"/>
      <c r="L3202" s="1669"/>
    </row>
    <row r="3203" spans="1:12" s="692" customFormat="1" ht="16.5" hidden="1">
      <c r="A3203" s="1665"/>
      <c r="B3203" s="1666" t="s">
        <v>2979</v>
      </c>
      <c r="C3203" s="688"/>
      <c r="D3203" s="1667"/>
      <c r="E3203" s="1671">
        <f>'DRAWING CC'!AT95</f>
        <v>3.65</v>
      </c>
      <c r="F3203" s="1672"/>
      <c r="G3203" s="1671">
        <v>0.2</v>
      </c>
      <c r="H3203" s="1671">
        <f t="shared" ref="H3203:H3206" si="446">ROUND(D3203*E3203*G3203,2)</f>
        <v>0</v>
      </c>
      <c r="I3203" s="1671" t="s">
        <v>92</v>
      </c>
      <c r="J3203" s="1668"/>
      <c r="K3203" s="1668"/>
      <c r="L3203" s="1669"/>
    </row>
    <row r="3204" spans="1:12" s="692" customFormat="1" ht="16.5" hidden="1">
      <c r="A3204" s="1665"/>
      <c r="B3204" s="1666"/>
      <c r="C3204" s="688"/>
      <c r="D3204" s="1667"/>
      <c r="E3204" s="1671">
        <f>'DRAWING CC'!BE95</f>
        <v>3</v>
      </c>
      <c r="F3204" s="1672"/>
      <c r="G3204" s="1671">
        <f>G3203</f>
        <v>0.2</v>
      </c>
      <c r="H3204" s="1671">
        <f t="shared" si="446"/>
        <v>0</v>
      </c>
      <c r="I3204" s="1671" t="s">
        <v>92</v>
      </c>
      <c r="J3204" s="1668"/>
      <c r="K3204" s="1668"/>
      <c r="L3204" s="1669"/>
    </row>
    <row r="3205" spans="1:12" s="692" customFormat="1" ht="16.5" hidden="1">
      <c r="A3205" s="1665"/>
      <c r="B3205" s="1666" t="s">
        <v>2991</v>
      </c>
      <c r="C3205" s="688"/>
      <c r="D3205" s="1667"/>
      <c r="E3205" s="1671">
        <f>'DRAWING CC'!AT129</f>
        <v>3.65</v>
      </c>
      <c r="F3205" s="1672"/>
      <c r="G3205" s="1671">
        <f t="shared" ref="G3205:G3206" si="447">G3204</f>
        <v>0.2</v>
      </c>
      <c r="H3205" s="1671">
        <f t="shared" si="446"/>
        <v>0</v>
      </c>
      <c r="I3205" s="1671" t="s">
        <v>92</v>
      </c>
      <c r="J3205" s="1668"/>
      <c r="K3205" s="1668"/>
      <c r="L3205" s="1669"/>
    </row>
    <row r="3206" spans="1:12" s="692" customFormat="1" ht="16.5" hidden="1">
      <c r="A3206" s="1665"/>
      <c r="B3206" s="1666"/>
      <c r="C3206" s="688"/>
      <c r="D3206" s="1667"/>
      <c r="E3206" s="1671">
        <f>'DRAWING CC'!BE129</f>
        <v>1.5</v>
      </c>
      <c r="F3206" s="1672"/>
      <c r="G3206" s="1671">
        <f t="shared" si="447"/>
        <v>0.2</v>
      </c>
      <c r="H3206" s="1671">
        <f t="shared" si="446"/>
        <v>0</v>
      </c>
      <c r="I3206" s="1671" t="s">
        <v>92</v>
      </c>
      <c r="J3206" s="1668"/>
      <c r="K3206" s="1668"/>
      <c r="L3206" s="1669"/>
    </row>
    <row r="3207" spans="1:12" s="692" customFormat="1" ht="16.5" hidden="1">
      <c r="A3207" s="1665"/>
      <c r="B3207" s="1666" t="s">
        <v>2992</v>
      </c>
      <c r="C3207" s="688"/>
      <c r="D3207" s="1690"/>
      <c r="E3207" s="1671">
        <f>'DRAWING CC'!IL102</f>
        <v>1.05</v>
      </c>
      <c r="F3207" s="1672"/>
      <c r="G3207" s="1671">
        <f>G3206</f>
        <v>0.2</v>
      </c>
      <c r="H3207" s="1671">
        <f t="shared" ref="H3207:H3208" si="448">ROUND(D3207*E3207*G3207,2)</f>
        <v>0</v>
      </c>
      <c r="I3207" s="1671" t="s">
        <v>92</v>
      </c>
      <c r="J3207" s="1668"/>
      <c r="K3207" s="1668"/>
      <c r="L3207" s="1669"/>
    </row>
    <row r="3208" spans="1:12" s="692" customFormat="1" ht="16.5" hidden="1">
      <c r="A3208" s="1665"/>
      <c r="B3208" s="1666"/>
      <c r="C3208" s="688"/>
      <c r="D3208" s="1667"/>
      <c r="E3208" s="1671">
        <f>'DRAWING CC'!IL108</f>
        <v>1.325</v>
      </c>
      <c r="F3208" s="1672"/>
      <c r="G3208" s="1671">
        <f>G3207</f>
        <v>0.2</v>
      </c>
      <c r="H3208" s="1671">
        <f t="shared" si="448"/>
        <v>0</v>
      </c>
      <c r="I3208" s="1671" t="s">
        <v>92</v>
      </c>
      <c r="J3208" s="1668"/>
      <c r="K3208" s="1668"/>
      <c r="L3208" s="1669"/>
    </row>
    <row r="3209" spans="1:12" s="692" customFormat="1" ht="16.5" hidden="1">
      <c r="A3209" s="1665"/>
      <c r="B3209" s="1666" t="s">
        <v>2993</v>
      </c>
      <c r="C3209" s="688"/>
      <c r="D3209" s="1690"/>
      <c r="E3209" s="1671">
        <f>E3207</f>
        <v>1.05</v>
      </c>
      <c r="F3209" s="1672"/>
      <c r="G3209" s="1671">
        <f>G3208</f>
        <v>0.2</v>
      </c>
      <c r="H3209" s="1671">
        <f>-ROUND(D3209*E3209*G3209,2)</f>
        <v>0</v>
      </c>
      <c r="I3209" s="1671" t="s">
        <v>92</v>
      </c>
      <c r="J3209" s="1668"/>
      <c r="K3209" s="1668"/>
      <c r="L3209" s="1669"/>
    </row>
    <row r="3210" spans="1:12" s="692" customFormat="1" ht="16.5" hidden="1">
      <c r="A3210" s="1665"/>
      <c r="B3210" s="1666"/>
      <c r="C3210" s="688"/>
      <c r="D3210" s="1667"/>
      <c r="E3210" s="1671">
        <f>E3208</f>
        <v>1.325</v>
      </c>
      <c r="F3210" s="1672"/>
      <c r="G3210" s="1671">
        <f>G3209</f>
        <v>0.2</v>
      </c>
      <c r="H3210" s="1671">
        <f>-ROUND(D3210*E3210*G3210,2)</f>
        <v>0</v>
      </c>
      <c r="I3210" s="1671" t="s">
        <v>92</v>
      </c>
      <c r="J3210" s="1668"/>
      <c r="K3210" s="1668"/>
      <c r="L3210" s="1669"/>
    </row>
    <row r="3211" spans="1:12" s="692" customFormat="1" ht="16.5" hidden="1">
      <c r="A3211" s="1665"/>
      <c r="B3211" s="1666"/>
      <c r="C3211" s="688"/>
      <c r="D3211" s="1667"/>
      <c r="E3211" s="688"/>
      <c r="F3211" s="688"/>
      <c r="G3211" s="1665" t="s">
        <v>928</v>
      </c>
      <c r="H3211" s="1673">
        <f>SUM(H3203:H3210)</f>
        <v>0</v>
      </c>
      <c r="I3211" s="1668" t="s">
        <v>92</v>
      </c>
      <c r="J3211" s="1669">
        <f>'Lead &amp; ANALYSIS'!L669</f>
        <v>254.5</v>
      </c>
      <c r="K3211" s="1668" t="s">
        <v>1514</v>
      </c>
      <c r="L3211" s="1669">
        <f t="shared" ref="L3211" si="449">ROUND(H3211*J3211,0)</f>
        <v>0</v>
      </c>
    </row>
    <row r="3212" spans="1:12" s="692" customFormat="1" ht="16.5" hidden="1">
      <c r="A3212" s="1665" t="s">
        <v>386</v>
      </c>
      <c r="B3212" s="1666" t="s">
        <v>387</v>
      </c>
      <c r="C3212" s="688"/>
      <c r="D3212" s="1667"/>
      <c r="E3212" s="688"/>
      <c r="F3212" s="688"/>
      <c r="G3212" s="1674"/>
      <c r="H3212" s="688"/>
      <c r="I3212" s="1668"/>
      <c r="J3212" s="1668"/>
      <c r="K3212" s="1668"/>
      <c r="L3212" s="1669"/>
    </row>
    <row r="3213" spans="1:12" s="692" customFormat="1" ht="16.5" hidden="1">
      <c r="A3213" s="1665"/>
      <c r="B3213" s="1666"/>
      <c r="C3213" s="688"/>
      <c r="D3213" s="1667"/>
      <c r="E3213" s="1671">
        <v>3.5</v>
      </c>
      <c r="F3213" s="1672"/>
      <c r="G3213" s="1671">
        <v>4</v>
      </c>
      <c r="H3213" s="1671">
        <f t="shared" ref="H3213:H3218" si="450">ROUND(D3213*E3213*G3213,2)</f>
        <v>0</v>
      </c>
      <c r="I3213" s="1671" t="s">
        <v>92</v>
      </c>
      <c r="J3213" s="1668"/>
      <c r="K3213" s="1668"/>
      <c r="L3213" s="1669"/>
    </row>
    <row r="3214" spans="1:12" s="692" customFormat="1" ht="16.5" hidden="1">
      <c r="A3214" s="1665"/>
      <c r="B3214" s="1666"/>
      <c r="C3214" s="688"/>
      <c r="D3214" s="1667"/>
      <c r="E3214" s="1671">
        <v>3.5</v>
      </c>
      <c r="F3214" s="1672"/>
      <c r="G3214" s="1671">
        <v>4</v>
      </c>
      <c r="H3214" s="1671">
        <f t="shared" si="450"/>
        <v>0</v>
      </c>
      <c r="I3214" s="1671" t="s">
        <v>92</v>
      </c>
      <c r="J3214" s="1668"/>
      <c r="K3214" s="1668"/>
      <c r="L3214" s="1669"/>
    </row>
    <row r="3215" spans="1:12" s="692" customFormat="1" ht="16.5" hidden="1">
      <c r="A3215" s="1665"/>
      <c r="B3215" s="1666"/>
      <c r="C3215" s="688"/>
      <c r="D3215" s="1667"/>
      <c r="E3215" s="1671">
        <v>3.5</v>
      </c>
      <c r="F3215" s="1672"/>
      <c r="G3215" s="1671">
        <v>4</v>
      </c>
      <c r="H3215" s="1671">
        <f t="shared" si="450"/>
        <v>0</v>
      </c>
      <c r="I3215" s="1671" t="s">
        <v>92</v>
      </c>
      <c r="J3215" s="1668"/>
      <c r="K3215" s="1668"/>
      <c r="L3215" s="1669"/>
    </row>
    <row r="3216" spans="1:12" s="692" customFormat="1" ht="16.5" hidden="1">
      <c r="A3216" s="1665"/>
      <c r="B3216" s="1666"/>
      <c r="C3216" s="688"/>
      <c r="D3216" s="1667"/>
      <c r="E3216" s="1671">
        <v>3.5</v>
      </c>
      <c r="F3216" s="1672"/>
      <c r="G3216" s="1671">
        <v>4</v>
      </c>
      <c r="H3216" s="1671">
        <f t="shared" si="450"/>
        <v>0</v>
      </c>
      <c r="I3216" s="1671" t="s">
        <v>92</v>
      </c>
      <c r="J3216" s="1668"/>
      <c r="K3216" s="1668"/>
      <c r="L3216" s="1669"/>
    </row>
    <row r="3217" spans="1:12" s="692" customFormat="1" ht="16.5" hidden="1">
      <c r="A3217" s="1665"/>
      <c r="B3217" s="1666"/>
      <c r="C3217" s="688"/>
      <c r="D3217" s="1667"/>
      <c r="E3217" s="1671">
        <v>3.5</v>
      </c>
      <c r="F3217" s="1672"/>
      <c r="G3217" s="1671">
        <v>4</v>
      </c>
      <c r="H3217" s="1671">
        <f t="shared" si="450"/>
        <v>0</v>
      </c>
      <c r="I3217" s="1671" t="s">
        <v>92</v>
      </c>
      <c r="J3217" s="1668"/>
      <c r="K3217" s="1668"/>
      <c r="L3217" s="1669"/>
    </row>
    <row r="3218" spans="1:12" s="692" customFormat="1" ht="16.5" hidden="1">
      <c r="A3218" s="1665"/>
      <c r="B3218" s="1666"/>
      <c r="C3218" s="688"/>
      <c r="D3218" s="1667"/>
      <c r="E3218" s="1671">
        <v>3.5</v>
      </c>
      <c r="F3218" s="1672"/>
      <c r="G3218" s="1671">
        <v>4</v>
      </c>
      <c r="H3218" s="1671">
        <f t="shared" si="450"/>
        <v>0</v>
      </c>
      <c r="I3218" s="1671" t="s">
        <v>92</v>
      </c>
      <c r="J3218" s="1668"/>
      <c r="K3218" s="1668"/>
      <c r="L3218" s="1669"/>
    </row>
    <row r="3219" spans="1:12" s="692" customFormat="1" ht="16.5" hidden="1">
      <c r="A3219" s="1665"/>
      <c r="B3219" s="1666"/>
      <c r="C3219" s="688"/>
      <c r="D3219" s="1667"/>
      <c r="E3219" s="688"/>
      <c r="F3219" s="688"/>
      <c r="G3219" s="1665" t="s">
        <v>928</v>
      </c>
      <c r="H3219" s="1673">
        <f>SUM(H3213:H3218)</f>
        <v>0</v>
      </c>
      <c r="I3219" s="1668" t="s">
        <v>92</v>
      </c>
      <c r="J3219" s="1669">
        <f>'Lead &amp; ANALYSIS'!L670</f>
        <v>260.5</v>
      </c>
      <c r="K3219" s="1668" t="s">
        <v>1514</v>
      </c>
      <c r="L3219" s="1669">
        <f t="shared" ref="L3219" si="451">ROUND(H3219*J3219,0)</f>
        <v>0</v>
      </c>
    </row>
    <row r="3220" spans="1:12" s="692" customFormat="1" ht="16.5" hidden="1">
      <c r="A3220" s="1665" t="s">
        <v>432</v>
      </c>
      <c r="B3220" s="1666" t="s">
        <v>3622</v>
      </c>
      <c r="C3220" s="688"/>
      <c r="D3220" s="1667"/>
      <c r="E3220" s="688"/>
      <c r="F3220" s="688"/>
      <c r="G3220" s="1674"/>
      <c r="H3220" s="688"/>
      <c r="I3220" s="1668"/>
      <c r="J3220" s="1668"/>
      <c r="K3220" s="1668"/>
      <c r="L3220" s="1669"/>
    </row>
    <row r="3221" spans="1:12" s="692" customFormat="1" ht="16.5" hidden="1">
      <c r="A3221" s="1665"/>
      <c r="B3221" s="1666"/>
      <c r="C3221" s="688"/>
      <c r="D3221" s="1667"/>
      <c r="E3221" s="1671">
        <v>3.5</v>
      </c>
      <c r="F3221" s="1672"/>
      <c r="G3221" s="1671">
        <v>4</v>
      </c>
      <c r="H3221" s="1671">
        <f t="shared" ref="H3221:H3226" si="452">ROUND(D3221*E3221*G3221,2)</f>
        <v>0</v>
      </c>
      <c r="I3221" s="1671" t="s">
        <v>92</v>
      </c>
      <c r="J3221" s="1668"/>
      <c r="K3221" s="1668"/>
      <c r="L3221" s="1669"/>
    </row>
    <row r="3222" spans="1:12" s="692" customFormat="1" ht="16.5" hidden="1">
      <c r="A3222" s="1665"/>
      <c r="B3222" s="1666"/>
      <c r="C3222" s="688"/>
      <c r="D3222" s="1667"/>
      <c r="E3222" s="1671">
        <v>3.5</v>
      </c>
      <c r="F3222" s="1672"/>
      <c r="G3222" s="1671">
        <v>4</v>
      </c>
      <c r="H3222" s="1671">
        <f t="shared" si="452"/>
        <v>0</v>
      </c>
      <c r="I3222" s="1671" t="s">
        <v>92</v>
      </c>
      <c r="J3222" s="1668"/>
      <c r="K3222" s="1668"/>
      <c r="L3222" s="1669"/>
    </row>
    <row r="3223" spans="1:12" s="692" customFormat="1" ht="16.5" hidden="1">
      <c r="A3223" s="1665"/>
      <c r="B3223" s="1666"/>
      <c r="C3223" s="688"/>
      <c r="D3223" s="1667"/>
      <c r="E3223" s="1671">
        <v>3.5</v>
      </c>
      <c r="F3223" s="1672"/>
      <c r="G3223" s="1671">
        <v>4</v>
      </c>
      <c r="H3223" s="1671">
        <f t="shared" si="452"/>
        <v>0</v>
      </c>
      <c r="I3223" s="1671" t="s">
        <v>92</v>
      </c>
      <c r="J3223" s="1668"/>
      <c r="K3223" s="1668"/>
      <c r="L3223" s="1669"/>
    </row>
    <row r="3224" spans="1:12" s="692" customFormat="1" ht="16.5" hidden="1">
      <c r="A3224" s="1665"/>
      <c r="B3224" s="1666"/>
      <c r="C3224" s="688"/>
      <c r="D3224" s="1667"/>
      <c r="E3224" s="1671">
        <v>3.5</v>
      </c>
      <c r="F3224" s="1672"/>
      <c r="G3224" s="1671">
        <v>4</v>
      </c>
      <c r="H3224" s="1671">
        <f t="shared" si="452"/>
        <v>0</v>
      </c>
      <c r="I3224" s="1671" t="s">
        <v>92</v>
      </c>
      <c r="J3224" s="1668"/>
      <c r="K3224" s="1668"/>
      <c r="L3224" s="1669"/>
    </row>
    <row r="3225" spans="1:12" s="692" customFormat="1" ht="16.5" hidden="1">
      <c r="A3225" s="1665"/>
      <c r="B3225" s="1666"/>
      <c r="C3225" s="688"/>
      <c r="D3225" s="1667"/>
      <c r="E3225" s="1671">
        <v>3.5</v>
      </c>
      <c r="F3225" s="1672"/>
      <c r="G3225" s="1671">
        <v>4</v>
      </c>
      <c r="H3225" s="1671">
        <f t="shared" si="452"/>
        <v>0</v>
      </c>
      <c r="I3225" s="1671" t="s">
        <v>92</v>
      </c>
      <c r="J3225" s="1668"/>
      <c r="K3225" s="1668"/>
      <c r="L3225" s="1669"/>
    </row>
    <row r="3226" spans="1:12" s="692" customFormat="1" ht="16.5" hidden="1">
      <c r="A3226" s="1665"/>
      <c r="B3226" s="1666"/>
      <c r="C3226" s="688"/>
      <c r="D3226" s="1667"/>
      <c r="E3226" s="1671">
        <v>3.5</v>
      </c>
      <c r="F3226" s="1672"/>
      <c r="G3226" s="1671">
        <v>4</v>
      </c>
      <c r="H3226" s="1671">
        <f t="shared" si="452"/>
        <v>0</v>
      </c>
      <c r="I3226" s="1671" t="s">
        <v>92</v>
      </c>
      <c r="J3226" s="1668"/>
      <c r="K3226" s="1668"/>
      <c r="L3226" s="1669"/>
    </row>
    <row r="3227" spans="1:12" s="692" customFormat="1" ht="16.5" hidden="1">
      <c r="A3227" s="1665"/>
      <c r="B3227" s="1666"/>
      <c r="C3227" s="688"/>
      <c r="D3227" s="1667"/>
      <c r="E3227" s="688"/>
      <c r="F3227" s="688"/>
      <c r="G3227" s="1665" t="s">
        <v>928</v>
      </c>
      <c r="H3227" s="1673">
        <f>SUM(H3221:H3226)</f>
        <v>0</v>
      </c>
      <c r="I3227" s="1668" t="s">
        <v>92</v>
      </c>
      <c r="J3227" s="1669">
        <f>'Lead &amp; ANALYSIS'!L671</f>
        <v>266.8</v>
      </c>
      <c r="K3227" s="1668" t="s">
        <v>1514</v>
      </c>
      <c r="L3227" s="1669">
        <f t="shared" ref="L3227" si="453">ROUND(H3227*J3227,0)</f>
        <v>0</v>
      </c>
    </row>
    <row r="3228" spans="1:12" s="692" customFormat="1" ht="16.5" hidden="1">
      <c r="A3228" s="1665" t="s">
        <v>443</v>
      </c>
      <c r="B3228" s="1666" t="s">
        <v>3636</v>
      </c>
      <c r="C3228" s="688"/>
      <c r="D3228" s="1667"/>
      <c r="E3228" s="688"/>
      <c r="F3228" s="688"/>
      <c r="G3228" s="1674"/>
      <c r="H3228" s="688"/>
      <c r="I3228" s="1668"/>
      <c r="J3228" s="1668"/>
      <c r="K3228" s="1668"/>
      <c r="L3228" s="1669"/>
    </row>
    <row r="3229" spans="1:12" s="692" customFormat="1" ht="16.5" hidden="1">
      <c r="A3229" s="1665"/>
      <c r="B3229" s="1666"/>
      <c r="C3229" s="688"/>
      <c r="D3229" s="1667"/>
      <c r="E3229" s="1671">
        <v>3.5</v>
      </c>
      <c r="F3229" s="1672"/>
      <c r="G3229" s="1671">
        <v>4</v>
      </c>
      <c r="H3229" s="1671">
        <f t="shared" ref="H3229:H3234" si="454">ROUND(D3229*E3229*G3229,2)</f>
        <v>0</v>
      </c>
      <c r="I3229" s="1671" t="s">
        <v>92</v>
      </c>
      <c r="J3229" s="1668"/>
      <c r="K3229" s="1668"/>
      <c r="L3229" s="1669"/>
    </row>
    <row r="3230" spans="1:12" s="692" customFormat="1" ht="16.5" hidden="1">
      <c r="A3230" s="1665"/>
      <c r="B3230" s="1666"/>
      <c r="C3230" s="688"/>
      <c r="D3230" s="1667"/>
      <c r="E3230" s="1671">
        <v>3.5</v>
      </c>
      <c r="F3230" s="1672"/>
      <c r="G3230" s="1671">
        <v>4</v>
      </c>
      <c r="H3230" s="1671">
        <f t="shared" si="454"/>
        <v>0</v>
      </c>
      <c r="I3230" s="1671" t="s">
        <v>92</v>
      </c>
      <c r="J3230" s="1668"/>
      <c r="K3230" s="1668"/>
      <c r="L3230" s="1669"/>
    </row>
    <row r="3231" spans="1:12" s="692" customFormat="1" ht="16.5" hidden="1">
      <c r="A3231" s="1665"/>
      <c r="B3231" s="1666"/>
      <c r="C3231" s="688"/>
      <c r="D3231" s="1667"/>
      <c r="E3231" s="1671">
        <v>3.5</v>
      </c>
      <c r="F3231" s="1672"/>
      <c r="G3231" s="1671">
        <v>4</v>
      </c>
      <c r="H3231" s="1671">
        <f t="shared" si="454"/>
        <v>0</v>
      </c>
      <c r="I3231" s="1671" t="s">
        <v>92</v>
      </c>
      <c r="J3231" s="1668"/>
      <c r="K3231" s="1668"/>
      <c r="L3231" s="1669"/>
    </row>
    <row r="3232" spans="1:12" s="692" customFormat="1" ht="16.5" hidden="1">
      <c r="A3232" s="1665"/>
      <c r="B3232" s="1666"/>
      <c r="C3232" s="688"/>
      <c r="D3232" s="1667"/>
      <c r="E3232" s="1671">
        <v>3.5</v>
      </c>
      <c r="F3232" s="1672"/>
      <c r="G3232" s="1671">
        <v>4</v>
      </c>
      <c r="H3232" s="1671">
        <f t="shared" si="454"/>
        <v>0</v>
      </c>
      <c r="I3232" s="1671" t="s">
        <v>92</v>
      </c>
      <c r="J3232" s="1668"/>
      <c r="K3232" s="1668"/>
      <c r="L3232" s="1669"/>
    </row>
    <row r="3233" spans="1:12" s="692" customFormat="1" ht="16.5" hidden="1">
      <c r="A3233" s="1665"/>
      <c r="B3233" s="1666"/>
      <c r="C3233" s="688"/>
      <c r="D3233" s="1667"/>
      <c r="E3233" s="1671">
        <v>3.5</v>
      </c>
      <c r="F3233" s="1672"/>
      <c r="G3233" s="1671">
        <v>4</v>
      </c>
      <c r="H3233" s="1671">
        <f t="shared" si="454"/>
        <v>0</v>
      </c>
      <c r="I3233" s="1671" t="s">
        <v>92</v>
      </c>
      <c r="J3233" s="1668"/>
      <c r="K3233" s="1668"/>
      <c r="L3233" s="1669"/>
    </row>
    <row r="3234" spans="1:12" s="692" customFormat="1" ht="16.5" hidden="1">
      <c r="A3234" s="1665"/>
      <c r="B3234" s="1666"/>
      <c r="C3234" s="688"/>
      <c r="D3234" s="1667"/>
      <c r="E3234" s="1671">
        <v>3.5</v>
      </c>
      <c r="F3234" s="1672"/>
      <c r="G3234" s="1671">
        <v>4</v>
      </c>
      <c r="H3234" s="1671">
        <f t="shared" si="454"/>
        <v>0</v>
      </c>
      <c r="I3234" s="1671" t="s">
        <v>92</v>
      </c>
      <c r="J3234" s="1668"/>
      <c r="K3234" s="1668"/>
      <c r="L3234" s="1669"/>
    </row>
    <row r="3235" spans="1:12" s="692" customFormat="1" ht="16.5" hidden="1">
      <c r="A3235" s="1665"/>
      <c r="B3235" s="1666"/>
      <c r="C3235" s="688"/>
      <c r="D3235" s="1667"/>
      <c r="E3235" s="688"/>
      <c r="F3235" s="688"/>
      <c r="G3235" s="1665" t="s">
        <v>928</v>
      </c>
      <c r="H3235" s="1673">
        <f>SUM(H3229:H3234)</f>
        <v>0</v>
      </c>
      <c r="I3235" s="1668" t="s">
        <v>92</v>
      </c>
      <c r="J3235" s="1669">
        <f>'Lead &amp; ANALYSIS'!L672</f>
        <v>275.8</v>
      </c>
      <c r="K3235" s="1668" t="s">
        <v>1514</v>
      </c>
      <c r="L3235" s="1669">
        <f t="shared" ref="L3235" si="455">ROUND(H3235*J3235,0)</f>
        <v>0</v>
      </c>
    </row>
    <row r="3236" spans="1:12" s="692" customFormat="1" ht="99">
      <c r="A3236" s="1665">
        <v>10</v>
      </c>
      <c r="B3236" s="1666" t="str">
        <f>'Lead &amp; ANALYSIS'!B673</f>
        <v>Providing 6 mm thick C.P. with C.M. (1:4) with screened and washed sharp sand for mortar and finished smooth to R.C.C. work after closed deep chipping &amp; slurry treatment including watering and curing,  etc. complete in all respect as directed by the Engineer in charge.</v>
      </c>
      <c r="C3236" s="688"/>
      <c r="D3236" s="1667"/>
      <c r="E3236" s="688"/>
      <c r="F3236" s="688"/>
      <c r="G3236" s="1674"/>
      <c r="H3236" s="688"/>
      <c r="I3236" s="1668"/>
      <c r="J3236" s="1668"/>
      <c r="K3236" s="1668"/>
      <c r="L3236" s="1669"/>
    </row>
    <row r="3237" spans="1:12" s="692" customFormat="1" ht="16.5" hidden="1">
      <c r="A3237" s="1665" t="s">
        <v>383</v>
      </c>
      <c r="B3237" s="1666" t="s">
        <v>384</v>
      </c>
      <c r="C3237" s="688"/>
      <c r="D3237" s="1667"/>
      <c r="E3237" s="688"/>
      <c r="F3237" s="688"/>
      <c r="G3237" s="1674"/>
      <c r="H3237" s="688"/>
      <c r="I3237" s="1668"/>
      <c r="J3237" s="1668"/>
      <c r="K3237" s="1668"/>
      <c r="L3237" s="1669"/>
    </row>
    <row r="3238" spans="1:12" s="692" customFormat="1" ht="16.5">
      <c r="A3238" s="1665"/>
      <c r="B3238" s="1666" t="s">
        <v>3763</v>
      </c>
      <c r="C3238" s="688">
        <v>2</v>
      </c>
      <c r="D3238" s="1667">
        <v>4</v>
      </c>
      <c r="E3238" s="1671">
        <v>4</v>
      </c>
      <c r="F3238" s="1672"/>
      <c r="G3238" s="1682">
        <v>2.9249999999999998</v>
      </c>
      <c r="H3238" s="1671">
        <f>ROUND(C3238*D3238*E3238*G3238,2)</f>
        <v>93.6</v>
      </c>
      <c r="I3238" s="1671" t="s">
        <v>92</v>
      </c>
      <c r="J3238" s="1668"/>
      <c r="K3238" s="1668"/>
      <c r="L3238" s="1669"/>
    </row>
    <row r="3239" spans="1:12" s="692" customFormat="1" ht="16.5">
      <c r="A3239" s="1665"/>
      <c r="B3239" s="1666"/>
      <c r="C3239" s="688">
        <v>1</v>
      </c>
      <c r="D3239" s="1667">
        <v>2</v>
      </c>
      <c r="E3239" s="1671">
        <v>8.25</v>
      </c>
      <c r="F3239" s="1672"/>
      <c r="G3239" s="1671">
        <v>1.8</v>
      </c>
      <c r="H3239" s="1671">
        <f>ROUND(C3239*D3239*E3239*G3239,2)</f>
        <v>29.7</v>
      </c>
      <c r="I3239" s="1671" t="s">
        <v>92</v>
      </c>
      <c r="J3239" s="1668"/>
      <c r="K3239" s="1668"/>
      <c r="L3239" s="1669"/>
    </row>
    <row r="3240" spans="1:12" s="692" customFormat="1" ht="16.5">
      <c r="A3240" s="1665"/>
      <c r="B3240" s="1666" t="s">
        <v>3401</v>
      </c>
      <c r="C3240" s="688"/>
      <c r="D3240" s="1667">
        <v>4</v>
      </c>
      <c r="E3240" s="1682">
        <f>G3238</f>
        <v>2.9249999999999998</v>
      </c>
      <c r="F3240" s="1672"/>
      <c r="G3240" s="1671">
        <v>1.05</v>
      </c>
      <c r="H3240" s="1671">
        <f t="shared" ref="H3240:H3243" si="456">ROUND(D3240*E3240*G3240,2)</f>
        <v>12.29</v>
      </c>
      <c r="I3240" s="1671" t="s">
        <v>92</v>
      </c>
      <c r="J3240" s="1668"/>
      <c r="K3240" s="1668"/>
      <c r="L3240" s="1669"/>
    </row>
    <row r="3241" spans="1:12" s="692" customFormat="1" ht="16.5">
      <c r="A3241" s="1665"/>
      <c r="B3241" s="1666"/>
      <c r="C3241" s="688"/>
      <c r="D3241" s="1667">
        <v>4</v>
      </c>
      <c r="E3241" s="1671">
        <v>4</v>
      </c>
      <c r="F3241" s="1672"/>
      <c r="G3241" s="1671">
        <v>0.75</v>
      </c>
      <c r="H3241" s="1671">
        <f t="shared" si="456"/>
        <v>12</v>
      </c>
      <c r="I3241" s="1671" t="s">
        <v>92</v>
      </c>
      <c r="J3241" s="1668"/>
      <c r="K3241" s="1668"/>
      <c r="L3241" s="1669"/>
    </row>
    <row r="3242" spans="1:12" s="692" customFormat="1" ht="16.5">
      <c r="A3242" s="1665"/>
      <c r="B3242" s="1666" t="s">
        <v>481</v>
      </c>
      <c r="C3242" s="688"/>
      <c r="D3242" s="1667">
        <v>4</v>
      </c>
      <c r="E3242" s="1671">
        <v>1.5</v>
      </c>
      <c r="F3242" s="1672"/>
      <c r="G3242" s="1671">
        <v>1.25</v>
      </c>
      <c r="H3242" s="1671">
        <f t="shared" si="456"/>
        <v>7.5</v>
      </c>
      <c r="I3242" s="1671" t="s">
        <v>92</v>
      </c>
      <c r="J3242" s="1668"/>
      <c r="K3242" s="1668"/>
      <c r="L3242" s="1669"/>
    </row>
    <row r="3243" spans="1:12" s="692" customFormat="1" ht="16.5">
      <c r="A3243" s="1665"/>
      <c r="B3243" s="1666"/>
      <c r="C3243" s="688"/>
      <c r="D3243" s="1667">
        <v>1</v>
      </c>
      <c r="E3243" s="1671">
        <v>21.85</v>
      </c>
      <c r="F3243" s="1672"/>
      <c r="G3243" s="1671">
        <v>1.25</v>
      </c>
      <c r="H3243" s="1671">
        <f t="shared" si="456"/>
        <v>27.31</v>
      </c>
      <c r="I3243" s="1671" t="s">
        <v>92</v>
      </c>
      <c r="J3243" s="1668"/>
      <c r="K3243" s="1668"/>
      <c r="L3243" s="1669"/>
    </row>
    <row r="3244" spans="1:12" s="692" customFormat="1" ht="16.5">
      <c r="A3244" s="1665"/>
      <c r="B3244" s="1666"/>
      <c r="C3244" s="688"/>
      <c r="D3244" s="1667"/>
      <c r="E3244" s="688"/>
      <c r="F3244" s="688"/>
      <c r="G3244" s="1665" t="s">
        <v>928</v>
      </c>
      <c r="H3244" s="1673">
        <f>SUM(H3238:H3243)</f>
        <v>182.4</v>
      </c>
      <c r="I3244" s="1668" t="s">
        <v>92</v>
      </c>
      <c r="J3244" s="1669">
        <f>'Lead &amp; ANALYSIS'!L674</f>
        <v>171.2</v>
      </c>
      <c r="K3244" s="1668" t="s">
        <v>1514</v>
      </c>
      <c r="L3244" s="1669">
        <f t="shared" ref="L3244" si="457">ROUND(H3244*J3244,0)</f>
        <v>31227</v>
      </c>
    </row>
    <row r="3245" spans="1:12" s="692" customFormat="1" ht="16.5" hidden="1">
      <c r="A3245" s="1665" t="s">
        <v>386</v>
      </c>
      <c r="B3245" s="1666" t="s">
        <v>387</v>
      </c>
      <c r="C3245" s="688"/>
      <c r="D3245" s="1667"/>
      <c r="E3245" s="688"/>
      <c r="F3245" s="688"/>
      <c r="G3245" s="1674"/>
      <c r="H3245" s="688"/>
      <c r="I3245" s="1668"/>
      <c r="J3245" s="1668"/>
      <c r="K3245" s="1668"/>
      <c r="L3245" s="1669"/>
    </row>
    <row r="3246" spans="1:12" s="692" customFormat="1" ht="16.5" hidden="1">
      <c r="A3246" s="1665"/>
      <c r="B3246" s="1666"/>
      <c r="C3246" s="688"/>
      <c r="D3246" s="1667"/>
      <c r="E3246" s="1671">
        <v>3.5</v>
      </c>
      <c r="F3246" s="1672"/>
      <c r="G3246" s="1671">
        <v>4</v>
      </c>
      <c r="H3246" s="1671">
        <f t="shared" ref="H3246:H3251" si="458">ROUND(D3246*E3246*G3246,2)</f>
        <v>0</v>
      </c>
      <c r="I3246" s="1671" t="s">
        <v>92</v>
      </c>
      <c r="J3246" s="1668"/>
      <c r="K3246" s="1668"/>
      <c r="L3246" s="1669"/>
    </row>
    <row r="3247" spans="1:12" s="692" customFormat="1" ht="16.5" hidden="1">
      <c r="A3247" s="1665"/>
      <c r="B3247" s="1666"/>
      <c r="C3247" s="688"/>
      <c r="D3247" s="1667"/>
      <c r="E3247" s="1671">
        <v>3.5</v>
      </c>
      <c r="F3247" s="1672"/>
      <c r="G3247" s="1671">
        <v>4</v>
      </c>
      <c r="H3247" s="1671">
        <f t="shared" si="458"/>
        <v>0</v>
      </c>
      <c r="I3247" s="1671" t="s">
        <v>92</v>
      </c>
      <c r="J3247" s="1668"/>
      <c r="K3247" s="1668"/>
      <c r="L3247" s="1669"/>
    </row>
    <row r="3248" spans="1:12" s="692" customFormat="1" ht="16.5" hidden="1">
      <c r="A3248" s="1665"/>
      <c r="B3248" s="1666"/>
      <c r="C3248" s="688"/>
      <c r="D3248" s="1667"/>
      <c r="E3248" s="1671">
        <v>3.5</v>
      </c>
      <c r="F3248" s="1672"/>
      <c r="G3248" s="1671">
        <v>4</v>
      </c>
      <c r="H3248" s="1671">
        <f t="shared" si="458"/>
        <v>0</v>
      </c>
      <c r="I3248" s="1671" t="s">
        <v>92</v>
      </c>
      <c r="J3248" s="1668"/>
      <c r="K3248" s="1668"/>
      <c r="L3248" s="1669"/>
    </row>
    <row r="3249" spans="1:12" s="692" customFormat="1" ht="16.5" hidden="1">
      <c r="A3249" s="1665"/>
      <c r="B3249" s="1666"/>
      <c r="C3249" s="688"/>
      <c r="D3249" s="1667"/>
      <c r="E3249" s="1671">
        <v>3.5</v>
      </c>
      <c r="F3249" s="1672"/>
      <c r="G3249" s="1671">
        <v>4</v>
      </c>
      <c r="H3249" s="1671">
        <f t="shared" si="458"/>
        <v>0</v>
      </c>
      <c r="I3249" s="1671" t="s">
        <v>92</v>
      </c>
      <c r="J3249" s="1668"/>
      <c r="K3249" s="1668"/>
      <c r="L3249" s="1669"/>
    </row>
    <row r="3250" spans="1:12" s="692" customFormat="1" ht="16.5" hidden="1">
      <c r="A3250" s="1665"/>
      <c r="B3250" s="1666"/>
      <c r="C3250" s="688"/>
      <c r="D3250" s="1667"/>
      <c r="E3250" s="1671">
        <v>3.5</v>
      </c>
      <c r="F3250" s="1672"/>
      <c r="G3250" s="1671">
        <v>4</v>
      </c>
      <c r="H3250" s="1671">
        <f t="shared" si="458"/>
        <v>0</v>
      </c>
      <c r="I3250" s="1671" t="s">
        <v>92</v>
      </c>
      <c r="J3250" s="1668"/>
      <c r="K3250" s="1668"/>
      <c r="L3250" s="1669"/>
    </row>
    <row r="3251" spans="1:12" s="692" customFormat="1" ht="16.5" hidden="1">
      <c r="A3251" s="1665"/>
      <c r="B3251" s="1666"/>
      <c r="C3251" s="688"/>
      <c r="D3251" s="1667"/>
      <c r="E3251" s="1671">
        <v>3.5</v>
      </c>
      <c r="F3251" s="1672"/>
      <c r="G3251" s="1671">
        <v>4</v>
      </c>
      <c r="H3251" s="1671">
        <f t="shared" si="458"/>
        <v>0</v>
      </c>
      <c r="I3251" s="1671" t="s">
        <v>92</v>
      </c>
      <c r="J3251" s="1668"/>
      <c r="K3251" s="1668"/>
      <c r="L3251" s="1669"/>
    </row>
    <row r="3252" spans="1:12" s="692" customFormat="1" ht="16.5" hidden="1">
      <c r="A3252" s="1665"/>
      <c r="B3252" s="1666"/>
      <c r="C3252" s="688"/>
      <c r="D3252" s="1667"/>
      <c r="E3252" s="688"/>
      <c r="F3252" s="688"/>
      <c r="G3252" s="1665" t="s">
        <v>928</v>
      </c>
      <c r="H3252" s="1673">
        <f>SUM(H3246:H3251)</f>
        <v>0</v>
      </c>
      <c r="I3252" s="1668" t="s">
        <v>92</v>
      </c>
      <c r="J3252" s="1669">
        <f>'Lead &amp; ANALYSIS'!L675</f>
        <v>175.4</v>
      </c>
      <c r="K3252" s="1668" t="s">
        <v>1514</v>
      </c>
      <c r="L3252" s="1669">
        <f t="shared" ref="L3252" si="459">ROUND(H3252*J3252,0)</f>
        <v>0</v>
      </c>
    </row>
    <row r="3253" spans="1:12" s="692" customFormat="1" ht="16.5" hidden="1">
      <c r="A3253" s="1665" t="s">
        <v>432</v>
      </c>
      <c r="B3253" s="1666" t="s">
        <v>3622</v>
      </c>
      <c r="C3253" s="688"/>
      <c r="D3253" s="1667"/>
      <c r="E3253" s="688"/>
      <c r="F3253" s="688"/>
      <c r="G3253" s="1674"/>
      <c r="H3253" s="688"/>
      <c r="I3253" s="1668"/>
      <c r="J3253" s="1668"/>
      <c r="K3253" s="1668"/>
      <c r="L3253" s="1669"/>
    </row>
    <row r="3254" spans="1:12" s="692" customFormat="1" ht="16.5" hidden="1">
      <c r="A3254" s="1665"/>
      <c r="B3254" s="1666"/>
      <c r="C3254" s="688"/>
      <c r="D3254" s="1667"/>
      <c r="E3254" s="1671">
        <v>3.5</v>
      </c>
      <c r="F3254" s="1672"/>
      <c r="G3254" s="1671">
        <v>4</v>
      </c>
      <c r="H3254" s="1671">
        <f t="shared" ref="H3254:H3259" si="460">ROUND(D3254*E3254*G3254,2)</f>
        <v>0</v>
      </c>
      <c r="I3254" s="1671" t="s">
        <v>92</v>
      </c>
      <c r="J3254" s="1668"/>
      <c r="K3254" s="1668"/>
      <c r="L3254" s="1669"/>
    </row>
    <row r="3255" spans="1:12" s="692" customFormat="1" ht="16.5" hidden="1">
      <c r="A3255" s="1665"/>
      <c r="B3255" s="1666"/>
      <c r="C3255" s="688"/>
      <c r="D3255" s="1667"/>
      <c r="E3255" s="1671">
        <v>3.5</v>
      </c>
      <c r="F3255" s="1672"/>
      <c r="G3255" s="1671">
        <v>4</v>
      </c>
      <c r="H3255" s="1671">
        <f t="shared" si="460"/>
        <v>0</v>
      </c>
      <c r="I3255" s="1671" t="s">
        <v>92</v>
      </c>
      <c r="J3255" s="1668"/>
      <c r="K3255" s="1668"/>
      <c r="L3255" s="1669"/>
    </row>
    <row r="3256" spans="1:12" s="692" customFormat="1" ht="16.5" hidden="1">
      <c r="A3256" s="1665"/>
      <c r="B3256" s="1666"/>
      <c r="C3256" s="688"/>
      <c r="D3256" s="1667"/>
      <c r="E3256" s="1671">
        <v>3.5</v>
      </c>
      <c r="F3256" s="1672"/>
      <c r="G3256" s="1671">
        <v>4</v>
      </c>
      <c r="H3256" s="1671">
        <f t="shared" si="460"/>
        <v>0</v>
      </c>
      <c r="I3256" s="1671" t="s">
        <v>92</v>
      </c>
      <c r="J3256" s="1668"/>
      <c r="K3256" s="1668"/>
      <c r="L3256" s="1669"/>
    </row>
    <row r="3257" spans="1:12" s="692" customFormat="1" ht="16.5" hidden="1">
      <c r="A3257" s="1665"/>
      <c r="B3257" s="1666"/>
      <c r="C3257" s="688"/>
      <c r="D3257" s="1667"/>
      <c r="E3257" s="1671">
        <v>3.5</v>
      </c>
      <c r="F3257" s="1672"/>
      <c r="G3257" s="1671">
        <v>4</v>
      </c>
      <c r="H3257" s="1671">
        <f t="shared" si="460"/>
        <v>0</v>
      </c>
      <c r="I3257" s="1671" t="s">
        <v>92</v>
      </c>
      <c r="J3257" s="1668"/>
      <c r="K3257" s="1668"/>
      <c r="L3257" s="1669"/>
    </row>
    <row r="3258" spans="1:12" s="692" customFormat="1" ht="16.5" hidden="1">
      <c r="A3258" s="1665"/>
      <c r="B3258" s="1666"/>
      <c r="C3258" s="688"/>
      <c r="D3258" s="1667"/>
      <c r="E3258" s="1671">
        <v>3.5</v>
      </c>
      <c r="F3258" s="1672"/>
      <c r="G3258" s="1671">
        <v>4</v>
      </c>
      <c r="H3258" s="1671">
        <f t="shared" si="460"/>
        <v>0</v>
      </c>
      <c r="I3258" s="1671" t="s">
        <v>92</v>
      </c>
      <c r="J3258" s="1668"/>
      <c r="K3258" s="1668"/>
      <c r="L3258" s="1669"/>
    </row>
    <row r="3259" spans="1:12" s="692" customFormat="1" ht="16.5" hidden="1">
      <c r="A3259" s="1665"/>
      <c r="B3259" s="1666"/>
      <c r="C3259" s="688"/>
      <c r="D3259" s="1667"/>
      <c r="E3259" s="1671">
        <v>3.5</v>
      </c>
      <c r="F3259" s="1672"/>
      <c r="G3259" s="1671">
        <v>4</v>
      </c>
      <c r="H3259" s="1671">
        <f t="shared" si="460"/>
        <v>0</v>
      </c>
      <c r="I3259" s="1671" t="s">
        <v>92</v>
      </c>
      <c r="J3259" s="1668"/>
      <c r="K3259" s="1668"/>
      <c r="L3259" s="1669"/>
    </row>
    <row r="3260" spans="1:12" s="692" customFormat="1" ht="16.5" hidden="1">
      <c r="A3260" s="1665"/>
      <c r="B3260" s="1666"/>
      <c r="C3260" s="688"/>
      <c r="D3260" s="1667"/>
      <c r="E3260" s="688"/>
      <c r="F3260" s="688"/>
      <c r="G3260" s="1665" t="s">
        <v>928</v>
      </c>
      <c r="H3260" s="1673">
        <f>SUM(H3254:H3259)</f>
        <v>0</v>
      </c>
      <c r="I3260" s="1668" t="s">
        <v>92</v>
      </c>
      <c r="J3260" s="1669">
        <f>'Lead &amp; ANALYSIS'!L676</f>
        <v>179.7</v>
      </c>
      <c r="K3260" s="1668" t="s">
        <v>1514</v>
      </c>
      <c r="L3260" s="1669">
        <f t="shared" ref="L3260" si="461">ROUND(H3260*J3260,0)</f>
        <v>0</v>
      </c>
    </row>
    <row r="3261" spans="1:12" s="692" customFormat="1" ht="16.5" hidden="1">
      <c r="A3261" s="1665" t="s">
        <v>443</v>
      </c>
      <c r="B3261" s="1666" t="s">
        <v>3636</v>
      </c>
      <c r="C3261" s="688"/>
      <c r="D3261" s="1667"/>
      <c r="E3261" s="688"/>
      <c r="F3261" s="688"/>
      <c r="G3261" s="1674"/>
      <c r="H3261" s="688"/>
      <c r="I3261" s="1668"/>
      <c r="J3261" s="1668"/>
      <c r="K3261" s="1668"/>
      <c r="L3261" s="1669"/>
    </row>
    <row r="3262" spans="1:12" s="692" customFormat="1" ht="16.5" hidden="1">
      <c r="A3262" s="1665"/>
      <c r="B3262" s="1666"/>
      <c r="C3262" s="688"/>
      <c r="D3262" s="1667"/>
      <c r="E3262" s="1671">
        <v>3.5</v>
      </c>
      <c r="F3262" s="1672"/>
      <c r="G3262" s="1671">
        <v>4</v>
      </c>
      <c r="H3262" s="1671">
        <f t="shared" ref="H3262:H3267" si="462">ROUND(D3262*E3262*G3262,2)</f>
        <v>0</v>
      </c>
      <c r="I3262" s="1671" t="s">
        <v>92</v>
      </c>
      <c r="J3262" s="1668"/>
      <c r="K3262" s="1668"/>
      <c r="L3262" s="1669"/>
    </row>
    <row r="3263" spans="1:12" s="692" customFormat="1" ht="16.5" hidden="1">
      <c r="A3263" s="1665"/>
      <c r="B3263" s="1666"/>
      <c r="C3263" s="688"/>
      <c r="D3263" s="1667"/>
      <c r="E3263" s="1671">
        <v>3.5</v>
      </c>
      <c r="F3263" s="1672"/>
      <c r="G3263" s="1671">
        <v>4</v>
      </c>
      <c r="H3263" s="1671">
        <f t="shared" si="462"/>
        <v>0</v>
      </c>
      <c r="I3263" s="1671" t="s">
        <v>92</v>
      </c>
      <c r="J3263" s="1668"/>
      <c r="K3263" s="1668"/>
      <c r="L3263" s="1669"/>
    </row>
    <row r="3264" spans="1:12" s="692" customFormat="1" ht="16.5" hidden="1">
      <c r="A3264" s="1665"/>
      <c r="B3264" s="1666"/>
      <c r="C3264" s="688"/>
      <c r="D3264" s="1667"/>
      <c r="E3264" s="1671">
        <v>3.5</v>
      </c>
      <c r="F3264" s="1672"/>
      <c r="G3264" s="1671">
        <v>4</v>
      </c>
      <c r="H3264" s="1671">
        <f t="shared" si="462"/>
        <v>0</v>
      </c>
      <c r="I3264" s="1671" t="s">
        <v>92</v>
      </c>
      <c r="J3264" s="1668"/>
      <c r="K3264" s="1668"/>
      <c r="L3264" s="1669"/>
    </row>
    <row r="3265" spans="1:12" s="692" customFormat="1" ht="16.5" hidden="1">
      <c r="A3265" s="1665"/>
      <c r="B3265" s="1666"/>
      <c r="C3265" s="688"/>
      <c r="D3265" s="1667"/>
      <c r="E3265" s="1671">
        <v>3.5</v>
      </c>
      <c r="F3265" s="1672"/>
      <c r="G3265" s="1671">
        <v>4</v>
      </c>
      <c r="H3265" s="1671">
        <f t="shared" si="462"/>
        <v>0</v>
      </c>
      <c r="I3265" s="1671" t="s">
        <v>92</v>
      </c>
      <c r="J3265" s="1668"/>
      <c r="K3265" s="1668"/>
      <c r="L3265" s="1669"/>
    </row>
    <row r="3266" spans="1:12" s="692" customFormat="1" ht="16.5" hidden="1">
      <c r="A3266" s="1665"/>
      <c r="B3266" s="1666"/>
      <c r="C3266" s="688"/>
      <c r="D3266" s="1667"/>
      <c r="E3266" s="1671">
        <v>3.5</v>
      </c>
      <c r="F3266" s="1672"/>
      <c r="G3266" s="1671">
        <v>4</v>
      </c>
      <c r="H3266" s="1671">
        <f t="shared" si="462"/>
        <v>0</v>
      </c>
      <c r="I3266" s="1671" t="s">
        <v>92</v>
      </c>
      <c r="J3266" s="1668"/>
      <c r="K3266" s="1668"/>
      <c r="L3266" s="1669"/>
    </row>
    <row r="3267" spans="1:12" s="692" customFormat="1" ht="16.5" hidden="1">
      <c r="A3267" s="1665"/>
      <c r="B3267" s="1666"/>
      <c r="C3267" s="688"/>
      <c r="D3267" s="1667"/>
      <c r="E3267" s="1671">
        <v>3.5</v>
      </c>
      <c r="F3267" s="1672"/>
      <c r="G3267" s="1671">
        <v>4</v>
      </c>
      <c r="H3267" s="1671">
        <f t="shared" si="462"/>
        <v>0</v>
      </c>
      <c r="I3267" s="1671" t="s">
        <v>92</v>
      </c>
      <c r="J3267" s="1668"/>
      <c r="K3267" s="1668"/>
      <c r="L3267" s="1669"/>
    </row>
    <row r="3268" spans="1:12" s="692" customFormat="1" ht="16.5" hidden="1">
      <c r="A3268" s="1665"/>
      <c r="B3268" s="1666"/>
      <c r="C3268" s="688"/>
      <c r="D3268" s="1667"/>
      <c r="E3268" s="688"/>
      <c r="F3268" s="688"/>
      <c r="G3268" s="1665" t="s">
        <v>928</v>
      </c>
      <c r="H3268" s="1673">
        <f>SUM(H3262:H3267)</f>
        <v>0</v>
      </c>
      <c r="I3268" s="1668" t="s">
        <v>92</v>
      </c>
      <c r="J3268" s="1669">
        <f>'Lead &amp; ANALYSIS'!L677</f>
        <v>184.1</v>
      </c>
      <c r="K3268" s="1668" t="s">
        <v>1514</v>
      </c>
      <c r="L3268" s="1669">
        <f t="shared" ref="L3268" si="463">ROUND(H3268*J3268,0)</f>
        <v>0</v>
      </c>
    </row>
    <row r="3269" spans="1:12" s="692" customFormat="1" ht="82.5">
      <c r="A3269" s="1665">
        <v>11</v>
      </c>
      <c r="B3269" s="1666" t="str">
        <f>'Lead &amp; ANALYSIS'!B678</f>
        <v>Providing 20 mm thick C.P. with C.M. (1:4) with screened and washed sharp sand for mortar and finished smooth to the rough surface of walls in all heights after racking out joints  etc. complete in all respect as directed by the Engineer in charge.</v>
      </c>
      <c r="C3269" s="688"/>
      <c r="D3269" s="1667"/>
      <c r="E3269" s="688"/>
      <c r="F3269" s="688"/>
      <c r="G3269" s="1674"/>
      <c r="H3269" s="688"/>
      <c r="I3269" s="1668"/>
      <c r="J3269" s="1668"/>
      <c r="K3269" s="1668"/>
      <c r="L3269" s="1669"/>
    </row>
    <row r="3270" spans="1:12" s="692" customFormat="1" ht="16.5" hidden="1">
      <c r="A3270" s="1665" t="s">
        <v>383</v>
      </c>
      <c r="B3270" s="1666" t="s">
        <v>384</v>
      </c>
      <c r="C3270" s="688"/>
      <c r="D3270" s="1667"/>
      <c r="E3270" s="688"/>
      <c r="F3270" s="688"/>
      <c r="G3270" s="1674"/>
      <c r="H3270" s="688"/>
      <c r="I3270" s="1668"/>
      <c r="J3270" s="1668"/>
      <c r="K3270" s="1668"/>
      <c r="L3270" s="1669"/>
    </row>
    <row r="3271" spans="1:12" s="692" customFormat="1" ht="16.5">
      <c r="A3271" s="1665"/>
      <c r="B3271" s="1666" t="s">
        <v>2994</v>
      </c>
      <c r="C3271" s="688"/>
      <c r="D3271" s="1667">
        <v>1</v>
      </c>
      <c r="E3271" s="1671">
        <f>E1570</f>
        <v>17.55</v>
      </c>
      <c r="F3271" s="1672">
        <f>F1570</f>
        <v>8.9499999999999993</v>
      </c>
      <c r="G3271" s="1671"/>
      <c r="H3271" s="1671">
        <f>ROUND(D3271*E3271*F3271,2)</f>
        <v>157.07</v>
      </c>
      <c r="I3271" s="1671" t="s">
        <v>92</v>
      </c>
      <c r="J3271" s="1668"/>
      <c r="K3271" s="1668"/>
      <c r="L3271" s="1669"/>
    </row>
    <row r="3272" spans="1:12" s="692" customFormat="1" ht="16.5" hidden="1">
      <c r="A3272" s="1665"/>
      <c r="B3272" s="1666"/>
      <c r="C3272" s="688"/>
      <c r="D3272" s="1667"/>
      <c r="E3272" s="1671">
        <v>3.5</v>
      </c>
      <c r="F3272" s="1672">
        <f t="shared" ref="F3272:F3276" si="464">F1571</f>
        <v>0.3</v>
      </c>
      <c r="G3272" s="1671"/>
      <c r="H3272" s="1671">
        <f t="shared" ref="H3272:H3276" si="465">ROUND(D3272*E3272*G3272,2)</f>
        <v>0</v>
      </c>
      <c r="I3272" s="1671" t="s">
        <v>92</v>
      </c>
      <c r="J3272" s="1668"/>
      <c r="K3272" s="1668"/>
      <c r="L3272" s="1669"/>
    </row>
    <row r="3273" spans="1:12" s="692" customFormat="1" ht="16.5" hidden="1">
      <c r="A3273" s="1665"/>
      <c r="B3273" s="1666"/>
      <c r="C3273" s="688"/>
      <c r="D3273" s="1667"/>
      <c r="E3273" s="1671">
        <v>3.5</v>
      </c>
      <c r="F3273" s="1672">
        <f t="shared" si="464"/>
        <v>0.3</v>
      </c>
      <c r="G3273" s="1671"/>
      <c r="H3273" s="1671">
        <f t="shared" si="465"/>
        <v>0</v>
      </c>
      <c r="I3273" s="1671" t="s">
        <v>92</v>
      </c>
      <c r="J3273" s="1668"/>
      <c r="K3273" s="1668"/>
      <c r="L3273" s="1669"/>
    </row>
    <row r="3274" spans="1:12" s="692" customFormat="1" ht="16.5" hidden="1">
      <c r="A3274" s="1665"/>
      <c r="B3274" s="1666"/>
      <c r="C3274" s="688"/>
      <c r="D3274" s="1667"/>
      <c r="E3274" s="1671">
        <v>3.5</v>
      </c>
      <c r="F3274" s="1672">
        <f t="shared" si="464"/>
        <v>4</v>
      </c>
      <c r="G3274" s="1671"/>
      <c r="H3274" s="1671">
        <f t="shared" si="465"/>
        <v>0</v>
      </c>
      <c r="I3274" s="1671" t="s">
        <v>92</v>
      </c>
      <c r="J3274" s="1668"/>
      <c r="K3274" s="1668"/>
      <c r="L3274" s="1669"/>
    </row>
    <row r="3275" spans="1:12" s="692" customFormat="1" ht="16.5" hidden="1">
      <c r="A3275" s="1665"/>
      <c r="B3275" s="1666"/>
      <c r="C3275" s="688"/>
      <c r="D3275" s="1667"/>
      <c r="E3275" s="1671">
        <v>3.5</v>
      </c>
      <c r="F3275" s="1672">
        <f t="shared" si="464"/>
        <v>4</v>
      </c>
      <c r="G3275" s="1671"/>
      <c r="H3275" s="1671">
        <f t="shared" si="465"/>
        <v>0</v>
      </c>
      <c r="I3275" s="1671" t="s">
        <v>92</v>
      </c>
      <c r="J3275" s="1668"/>
      <c r="K3275" s="1668"/>
      <c r="L3275" s="1669"/>
    </row>
    <row r="3276" spans="1:12" s="692" customFormat="1" ht="16.5" hidden="1">
      <c r="A3276" s="1665"/>
      <c r="B3276" s="1666"/>
      <c r="C3276" s="688"/>
      <c r="D3276" s="1667"/>
      <c r="E3276" s="1671">
        <v>3.5</v>
      </c>
      <c r="F3276" s="1672">
        <f t="shared" si="464"/>
        <v>4</v>
      </c>
      <c r="G3276" s="1671"/>
      <c r="H3276" s="1671">
        <f t="shared" si="465"/>
        <v>0</v>
      </c>
      <c r="I3276" s="1671" t="s">
        <v>92</v>
      </c>
      <c r="J3276" s="1668"/>
      <c r="K3276" s="1668"/>
      <c r="L3276" s="1669"/>
    </row>
    <row r="3277" spans="1:12" s="692" customFormat="1" ht="16.5">
      <c r="A3277" s="1665"/>
      <c r="B3277" s="1666"/>
      <c r="C3277" s="688"/>
      <c r="D3277" s="1667"/>
      <c r="E3277" s="688"/>
      <c r="F3277" s="688"/>
      <c r="G3277" s="1665" t="s">
        <v>928</v>
      </c>
      <c r="H3277" s="1673">
        <f>SUM(H3271:H3276)</f>
        <v>157.07</v>
      </c>
      <c r="I3277" s="1668" t="s">
        <v>92</v>
      </c>
      <c r="J3277" s="1669">
        <f>'Lead &amp; ANALYSIS'!L679</f>
        <v>246.6</v>
      </c>
      <c r="K3277" s="1668" t="s">
        <v>1514</v>
      </c>
      <c r="L3277" s="1669">
        <f t="shared" ref="L3277" si="466">ROUND(H3277*J3277,0)</f>
        <v>38733</v>
      </c>
    </row>
    <row r="3278" spans="1:12" s="692" customFormat="1" ht="16.5" hidden="1">
      <c r="A3278" s="1665" t="s">
        <v>386</v>
      </c>
      <c r="B3278" s="1666" t="s">
        <v>387</v>
      </c>
      <c r="C3278" s="688"/>
      <c r="D3278" s="1667"/>
      <c r="E3278" s="688"/>
      <c r="F3278" s="688"/>
      <c r="G3278" s="1674"/>
      <c r="H3278" s="688"/>
      <c r="I3278" s="1668"/>
      <c r="J3278" s="1668"/>
      <c r="K3278" s="1668"/>
      <c r="L3278" s="1669"/>
    </row>
    <row r="3279" spans="1:12" s="692" customFormat="1" ht="16.5" hidden="1">
      <c r="A3279" s="1665"/>
      <c r="B3279" s="1666"/>
      <c r="C3279" s="688"/>
      <c r="D3279" s="1667"/>
      <c r="E3279" s="1671">
        <v>3.5</v>
      </c>
      <c r="F3279" s="1672"/>
      <c r="G3279" s="1671">
        <v>4</v>
      </c>
      <c r="H3279" s="1671">
        <f t="shared" ref="H3279:H3284" si="467">ROUND(D3279*E3279*G3279,2)</f>
        <v>0</v>
      </c>
      <c r="I3279" s="1671" t="s">
        <v>92</v>
      </c>
      <c r="J3279" s="1668"/>
      <c r="K3279" s="1668"/>
      <c r="L3279" s="1669"/>
    </row>
    <row r="3280" spans="1:12" s="692" customFormat="1" ht="16.5" hidden="1">
      <c r="A3280" s="1665"/>
      <c r="B3280" s="1666"/>
      <c r="C3280" s="688"/>
      <c r="D3280" s="1667"/>
      <c r="E3280" s="1671">
        <v>3.5</v>
      </c>
      <c r="F3280" s="1672"/>
      <c r="G3280" s="1671">
        <v>4</v>
      </c>
      <c r="H3280" s="1671">
        <f t="shared" si="467"/>
        <v>0</v>
      </c>
      <c r="I3280" s="1671" t="s">
        <v>92</v>
      </c>
      <c r="J3280" s="1668"/>
      <c r="K3280" s="1668"/>
      <c r="L3280" s="1669"/>
    </row>
    <row r="3281" spans="1:12" s="692" customFormat="1" ht="16.5" hidden="1">
      <c r="A3281" s="1665"/>
      <c r="B3281" s="1666"/>
      <c r="C3281" s="688"/>
      <c r="D3281" s="1667"/>
      <c r="E3281" s="1671">
        <v>3.5</v>
      </c>
      <c r="F3281" s="1672"/>
      <c r="G3281" s="1671">
        <v>4</v>
      </c>
      <c r="H3281" s="1671">
        <f t="shared" si="467"/>
        <v>0</v>
      </c>
      <c r="I3281" s="1671" t="s">
        <v>92</v>
      </c>
      <c r="J3281" s="1668"/>
      <c r="K3281" s="1668"/>
      <c r="L3281" s="1669"/>
    </row>
    <row r="3282" spans="1:12" s="692" customFormat="1" ht="16.5" hidden="1">
      <c r="A3282" s="1665"/>
      <c r="B3282" s="1666"/>
      <c r="C3282" s="688"/>
      <c r="D3282" s="1667"/>
      <c r="E3282" s="1671">
        <v>3.5</v>
      </c>
      <c r="F3282" s="1672"/>
      <c r="G3282" s="1671">
        <v>4</v>
      </c>
      <c r="H3282" s="1671">
        <f t="shared" si="467"/>
        <v>0</v>
      </c>
      <c r="I3282" s="1671" t="s">
        <v>92</v>
      </c>
      <c r="J3282" s="1668"/>
      <c r="K3282" s="1668"/>
      <c r="L3282" s="1669"/>
    </row>
    <row r="3283" spans="1:12" s="692" customFormat="1" ht="16.5" hidden="1">
      <c r="A3283" s="1665"/>
      <c r="B3283" s="1666"/>
      <c r="C3283" s="688"/>
      <c r="D3283" s="1667"/>
      <c r="E3283" s="1671">
        <v>3.5</v>
      </c>
      <c r="F3283" s="1672"/>
      <c r="G3283" s="1671">
        <v>4</v>
      </c>
      <c r="H3283" s="1671">
        <f t="shared" si="467"/>
        <v>0</v>
      </c>
      <c r="I3283" s="1671" t="s">
        <v>92</v>
      </c>
      <c r="J3283" s="1668"/>
      <c r="K3283" s="1668"/>
      <c r="L3283" s="1669"/>
    </row>
    <row r="3284" spans="1:12" s="692" customFormat="1" ht="16.5" hidden="1">
      <c r="A3284" s="1665"/>
      <c r="B3284" s="1666"/>
      <c r="C3284" s="688"/>
      <c r="D3284" s="1667"/>
      <c r="E3284" s="1671">
        <v>3.5</v>
      </c>
      <c r="F3284" s="1672"/>
      <c r="G3284" s="1671">
        <v>4</v>
      </c>
      <c r="H3284" s="1671">
        <f t="shared" si="467"/>
        <v>0</v>
      </c>
      <c r="I3284" s="1671" t="s">
        <v>92</v>
      </c>
      <c r="J3284" s="1668"/>
      <c r="K3284" s="1668"/>
      <c r="L3284" s="1669"/>
    </row>
    <row r="3285" spans="1:12" s="692" customFormat="1" ht="16.5" hidden="1">
      <c r="A3285" s="1665"/>
      <c r="B3285" s="1666"/>
      <c r="C3285" s="688"/>
      <c r="D3285" s="1667"/>
      <c r="E3285" s="688"/>
      <c r="F3285" s="688"/>
      <c r="G3285" s="1665" t="s">
        <v>928</v>
      </c>
      <c r="H3285" s="1673">
        <f>SUM(H3279:H3284)</f>
        <v>0</v>
      </c>
      <c r="I3285" s="1668" t="s">
        <v>92</v>
      </c>
      <c r="J3285" s="1669">
        <f>'Lead &amp; ANALYSIS'!L680</f>
        <v>251.9</v>
      </c>
      <c r="K3285" s="1668" t="s">
        <v>1514</v>
      </c>
      <c r="L3285" s="1669">
        <f t="shared" ref="L3285" si="468">ROUND(H3285*J3285,0)</f>
        <v>0</v>
      </c>
    </row>
    <row r="3286" spans="1:12" s="692" customFormat="1" ht="16.5" hidden="1">
      <c r="A3286" s="1665" t="s">
        <v>432</v>
      </c>
      <c r="B3286" s="1666" t="s">
        <v>3622</v>
      </c>
      <c r="C3286" s="688"/>
      <c r="D3286" s="1667"/>
      <c r="E3286" s="688"/>
      <c r="F3286" s="688"/>
      <c r="G3286" s="1674"/>
      <c r="H3286" s="688"/>
      <c r="I3286" s="1668"/>
      <c r="J3286" s="1668"/>
      <c r="K3286" s="1668"/>
      <c r="L3286" s="1669"/>
    </row>
    <row r="3287" spans="1:12" s="692" customFormat="1" ht="16.5" hidden="1">
      <c r="A3287" s="1665"/>
      <c r="B3287" s="1666"/>
      <c r="C3287" s="688"/>
      <c r="D3287" s="1667"/>
      <c r="E3287" s="1671">
        <v>3.5</v>
      </c>
      <c r="F3287" s="1672"/>
      <c r="G3287" s="1671">
        <v>4</v>
      </c>
      <c r="H3287" s="1671">
        <f t="shared" ref="H3287:H3292" si="469">ROUND(D3287*E3287*G3287,2)</f>
        <v>0</v>
      </c>
      <c r="I3287" s="1671" t="s">
        <v>92</v>
      </c>
      <c r="J3287" s="1668"/>
      <c r="K3287" s="1668"/>
      <c r="L3287" s="1669"/>
    </row>
    <row r="3288" spans="1:12" s="692" customFormat="1" ht="16.5" hidden="1">
      <c r="A3288" s="1665"/>
      <c r="B3288" s="1666"/>
      <c r="C3288" s="688"/>
      <c r="D3288" s="1667"/>
      <c r="E3288" s="1671">
        <v>3.5</v>
      </c>
      <c r="F3288" s="1672"/>
      <c r="G3288" s="1671">
        <v>4</v>
      </c>
      <c r="H3288" s="1671">
        <f t="shared" si="469"/>
        <v>0</v>
      </c>
      <c r="I3288" s="1671" t="s">
        <v>92</v>
      </c>
      <c r="J3288" s="1668"/>
      <c r="K3288" s="1668"/>
      <c r="L3288" s="1669"/>
    </row>
    <row r="3289" spans="1:12" s="692" customFormat="1" ht="16.5" hidden="1">
      <c r="A3289" s="1665"/>
      <c r="B3289" s="1666"/>
      <c r="C3289" s="688"/>
      <c r="D3289" s="1667"/>
      <c r="E3289" s="1671">
        <v>3.5</v>
      </c>
      <c r="F3289" s="1672"/>
      <c r="G3289" s="1671">
        <v>4</v>
      </c>
      <c r="H3289" s="1671">
        <f t="shared" si="469"/>
        <v>0</v>
      </c>
      <c r="I3289" s="1671" t="s">
        <v>92</v>
      </c>
      <c r="J3289" s="1668"/>
      <c r="K3289" s="1668"/>
      <c r="L3289" s="1669"/>
    </row>
    <row r="3290" spans="1:12" s="692" customFormat="1" ht="16.5" hidden="1">
      <c r="A3290" s="1665"/>
      <c r="B3290" s="1666"/>
      <c r="C3290" s="688"/>
      <c r="D3290" s="1667"/>
      <c r="E3290" s="1671">
        <v>3.5</v>
      </c>
      <c r="F3290" s="1672"/>
      <c r="G3290" s="1671">
        <v>4</v>
      </c>
      <c r="H3290" s="1671">
        <f t="shared" si="469"/>
        <v>0</v>
      </c>
      <c r="I3290" s="1671" t="s">
        <v>92</v>
      </c>
      <c r="J3290" s="1668"/>
      <c r="K3290" s="1668"/>
      <c r="L3290" s="1669"/>
    </row>
    <row r="3291" spans="1:12" s="692" customFormat="1" ht="16.5" hidden="1">
      <c r="A3291" s="1665"/>
      <c r="B3291" s="1666"/>
      <c r="C3291" s="688"/>
      <c r="D3291" s="1667"/>
      <c r="E3291" s="1671">
        <v>3.5</v>
      </c>
      <c r="F3291" s="1672"/>
      <c r="G3291" s="1671">
        <v>4</v>
      </c>
      <c r="H3291" s="1671">
        <f t="shared" si="469"/>
        <v>0</v>
      </c>
      <c r="I3291" s="1671" t="s">
        <v>92</v>
      </c>
      <c r="J3291" s="1668"/>
      <c r="K3291" s="1668"/>
      <c r="L3291" s="1669"/>
    </row>
    <row r="3292" spans="1:12" s="692" customFormat="1" ht="16.5" hidden="1">
      <c r="A3292" s="1665"/>
      <c r="B3292" s="1666"/>
      <c r="C3292" s="688"/>
      <c r="D3292" s="1667"/>
      <c r="E3292" s="1671">
        <v>3.5</v>
      </c>
      <c r="F3292" s="1672"/>
      <c r="G3292" s="1671">
        <v>4</v>
      </c>
      <c r="H3292" s="1671">
        <f t="shared" si="469"/>
        <v>0</v>
      </c>
      <c r="I3292" s="1671" t="s">
        <v>92</v>
      </c>
      <c r="J3292" s="1668"/>
      <c r="K3292" s="1668"/>
      <c r="L3292" s="1669"/>
    </row>
    <row r="3293" spans="1:12" s="692" customFormat="1" ht="16.5" hidden="1">
      <c r="A3293" s="1665"/>
      <c r="B3293" s="1666"/>
      <c r="C3293" s="688"/>
      <c r="D3293" s="1667"/>
      <c r="E3293" s="688"/>
      <c r="F3293" s="688"/>
      <c r="G3293" s="1665" t="s">
        <v>928</v>
      </c>
      <c r="H3293" s="1673">
        <f>SUM(H3287:H3292)</f>
        <v>0</v>
      </c>
      <c r="I3293" s="1668" t="s">
        <v>92</v>
      </c>
      <c r="J3293" s="1669">
        <f>'Lead &amp; ANALYSIS'!L681</f>
        <v>259.89999999999998</v>
      </c>
      <c r="K3293" s="1668" t="s">
        <v>1514</v>
      </c>
      <c r="L3293" s="1669">
        <f t="shared" ref="L3293" si="470">ROUND(H3293*J3293,0)</f>
        <v>0</v>
      </c>
    </row>
    <row r="3294" spans="1:12" s="692" customFormat="1" ht="16.5" hidden="1">
      <c r="A3294" s="1665" t="s">
        <v>443</v>
      </c>
      <c r="B3294" s="1666" t="s">
        <v>3636</v>
      </c>
      <c r="C3294" s="688"/>
      <c r="D3294" s="1667"/>
      <c r="E3294" s="688"/>
      <c r="F3294" s="688"/>
      <c r="G3294" s="1674"/>
      <c r="H3294" s="688"/>
      <c r="I3294" s="1668"/>
      <c r="J3294" s="1668"/>
      <c r="K3294" s="1668"/>
      <c r="L3294" s="1669"/>
    </row>
    <row r="3295" spans="1:12" s="692" customFormat="1" ht="16.5" hidden="1">
      <c r="A3295" s="1665"/>
      <c r="B3295" s="1666"/>
      <c r="C3295" s="688"/>
      <c r="D3295" s="1667"/>
      <c r="E3295" s="1671">
        <v>3.5</v>
      </c>
      <c r="F3295" s="1672"/>
      <c r="G3295" s="1671">
        <v>4</v>
      </c>
      <c r="H3295" s="1671">
        <f t="shared" ref="H3295:H3300" si="471">ROUND(D3295*E3295*G3295,2)</f>
        <v>0</v>
      </c>
      <c r="I3295" s="1671" t="s">
        <v>92</v>
      </c>
      <c r="J3295" s="1668"/>
      <c r="K3295" s="1668"/>
      <c r="L3295" s="1669"/>
    </row>
    <row r="3296" spans="1:12" s="692" customFormat="1" ht="16.5" hidden="1">
      <c r="A3296" s="1665"/>
      <c r="B3296" s="1666"/>
      <c r="C3296" s="688"/>
      <c r="D3296" s="1667"/>
      <c r="E3296" s="1671">
        <v>3.5</v>
      </c>
      <c r="F3296" s="1672"/>
      <c r="G3296" s="1671">
        <v>4</v>
      </c>
      <c r="H3296" s="1671">
        <f t="shared" si="471"/>
        <v>0</v>
      </c>
      <c r="I3296" s="1671" t="s">
        <v>92</v>
      </c>
      <c r="J3296" s="1668"/>
      <c r="K3296" s="1668"/>
      <c r="L3296" s="1669"/>
    </row>
    <row r="3297" spans="1:12" s="692" customFormat="1" ht="16.5" hidden="1">
      <c r="A3297" s="1665"/>
      <c r="B3297" s="1666"/>
      <c r="C3297" s="688"/>
      <c r="D3297" s="1667"/>
      <c r="E3297" s="1671">
        <v>3.5</v>
      </c>
      <c r="F3297" s="1672"/>
      <c r="G3297" s="1671">
        <v>4</v>
      </c>
      <c r="H3297" s="1671">
        <f t="shared" si="471"/>
        <v>0</v>
      </c>
      <c r="I3297" s="1671" t="s">
        <v>92</v>
      </c>
      <c r="J3297" s="1668"/>
      <c r="K3297" s="1668"/>
      <c r="L3297" s="1669"/>
    </row>
    <row r="3298" spans="1:12" s="692" customFormat="1" ht="16.5" hidden="1">
      <c r="A3298" s="1665"/>
      <c r="B3298" s="1666"/>
      <c r="C3298" s="688"/>
      <c r="D3298" s="1667"/>
      <c r="E3298" s="1671">
        <v>3.5</v>
      </c>
      <c r="F3298" s="1672"/>
      <c r="G3298" s="1671">
        <v>4</v>
      </c>
      <c r="H3298" s="1671">
        <f t="shared" si="471"/>
        <v>0</v>
      </c>
      <c r="I3298" s="1671" t="s">
        <v>92</v>
      </c>
      <c r="J3298" s="1668"/>
      <c r="K3298" s="1668"/>
      <c r="L3298" s="1669"/>
    </row>
    <row r="3299" spans="1:12" s="692" customFormat="1" ht="16.5" hidden="1">
      <c r="A3299" s="1665"/>
      <c r="B3299" s="1666"/>
      <c r="C3299" s="688"/>
      <c r="D3299" s="1667"/>
      <c r="E3299" s="1671">
        <v>3.5</v>
      </c>
      <c r="F3299" s="1672"/>
      <c r="G3299" s="1671">
        <v>4</v>
      </c>
      <c r="H3299" s="1671">
        <f t="shared" si="471"/>
        <v>0</v>
      </c>
      <c r="I3299" s="1671" t="s">
        <v>92</v>
      </c>
      <c r="J3299" s="1668"/>
      <c r="K3299" s="1668"/>
      <c r="L3299" s="1669"/>
    </row>
    <row r="3300" spans="1:12" s="692" customFormat="1" ht="16.5" hidden="1">
      <c r="A3300" s="1665"/>
      <c r="B3300" s="1666"/>
      <c r="C3300" s="688"/>
      <c r="D3300" s="1667"/>
      <c r="E3300" s="1671">
        <v>3.5</v>
      </c>
      <c r="F3300" s="1672"/>
      <c r="G3300" s="1671">
        <v>4</v>
      </c>
      <c r="H3300" s="1671">
        <f t="shared" si="471"/>
        <v>0</v>
      </c>
      <c r="I3300" s="1671" t="s">
        <v>92</v>
      </c>
      <c r="J3300" s="1668"/>
      <c r="K3300" s="1668"/>
      <c r="L3300" s="1669"/>
    </row>
    <row r="3301" spans="1:12" s="692" customFormat="1" ht="16.5" hidden="1">
      <c r="A3301" s="1665"/>
      <c r="B3301" s="1666"/>
      <c r="C3301" s="688"/>
      <c r="D3301" s="1667"/>
      <c r="E3301" s="688"/>
      <c r="F3301" s="688"/>
      <c r="G3301" s="1665" t="s">
        <v>928</v>
      </c>
      <c r="H3301" s="1673">
        <f>SUM(H3295:H3300)</f>
        <v>0</v>
      </c>
      <c r="I3301" s="1668" t="s">
        <v>92</v>
      </c>
      <c r="J3301" s="1669">
        <f>'Lead &amp; ANALYSIS'!L682</f>
        <v>268.10000000000002</v>
      </c>
      <c r="K3301" s="1668" t="s">
        <v>1514</v>
      </c>
      <c r="L3301" s="1669">
        <f t="shared" ref="L3301" si="472">ROUND(H3301*J3301,0)</f>
        <v>0</v>
      </c>
    </row>
    <row r="3302" spans="1:12" s="692" customFormat="1" ht="82.5" hidden="1">
      <c r="A3302" s="1665">
        <f>'Lead &amp; ANALYSIS'!A683</f>
        <v>63</v>
      </c>
      <c r="B3302" s="1666" t="str">
        <f>'Lead &amp; ANALYSIS'!B683</f>
        <v>Providing 20 mm thick C.P. with C.M. (1:6) with screened and washed sharp sand for mortar and finished smooth to the rough surface of walls in all heights after racking out joints  etc. complete in all respect as directed by the Engineer in charge.</v>
      </c>
      <c r="C3302" s="688"/>
      <c r="D3302" s="1667"/>
      <c r="E3302" s="688"/>
      <c r="F3302" s="688"/>
      <c r="G3302" s="1674"/>
      <c r="H3302" s="688"/>
      <c r="I3302" s="1668"/>
      <c r="J3302" s="1668"/>
      <c r="K3302" s="1668"/>
      <c r="L3302" s="1669"/>
    </row>
    <row r="3303" spans="1:12" s="692" customFormat="1" ht="16.5" hidden="1">
      <c r="A3303" s="1665" t="s">
        <v>383</v>
      </c>
      <c r="B3303" s="1666" t="s">
        <v>384</v>
      </c>
      <c r="C3303" s="688"/>
      <c r="D3303" s="1667"/>
      <c r="E3303" s="688"/>
      <c r="F3303" s="688"/>
      <c r="G3303" s="1674"/>
      <c r="H3303" s="688"/>
      <c r="I3303" s="1668"/>
      <c r="J3303" s="1668"/>
      <c r="K3303" s="1668"/>
      <c r="L3303" s="1669"/>
    </row>
    <row r="3304" spans="1:12" s="692" customFormat="1" ht="16.5" hidden="1">
      <c r="A3304" s="1665"/>
      <c r="B3304" s="1666"/>
      <c r="C3304" s="688"/>
      <c r="D3304" s="1667"/>
      <c r="E3304" s="1671">
        <v>3.5</v>
      </c>
      <c r="F3304" s="1672"/>
      <c r="G3304" s="1671">
        <v>4</v>
      </c>
      <c r="H3304" s="1671">
        <f t="shared" ref="H3304:H3309" si="473">ROUND(D3304*E3304*G3304,2)</f>
        <v>0</v>
      </c>
      <c r="I3304" s="1671" t="s">
        <v>92</v>
      </c>
      <c r="J3304" s="1668"/>
      <c r="K3304" s="1668"/>
      <c r="L3304" s="1669"/>
    </row>
    <row r="3305" spans="1:12" s="692" customFormat="1" ht="16.5" hidden="1">
      <c r="A3305" s="1665"/>
      <c r="B3305" s="1666"/>
      <c r="C3305" s="688"/>
      <c r="D3305" s="1667"/>
      <c r="E3305" s="1671">
        <v>3.5</v>
      </c>
      <c r="F3305" s="1672"/>
      <c r="G3305" s="1671">
        <v>4</v>
      </c>
      <c r="H3305" s="1671">
        <f t="shared" si="473"/>
        <v>0</v>
      </c>
      <c r="I3305" s="1671" t="s">
        <v>92</v>
      </c>
      <c r="J3305" s="1668"/>
      <c r="K3305" s="1668"/>
      <c r="L3305" s="1669"/>
    </row>
    <row r="3306" spans="1:12" s="692" customFormat="1" ht="16.5" hidden="1">
      <c r="A3306" s="1665"/>
      <c r="B3306" s="1666"/>
      <c r="C3306" s="688"/>
      <c r="D3306" s="1667"/>
      <c r="E3306" s="1671">
        <v>3.5</v>
      </c>
      <c r="F3306" s="1672"/>
      <c r="G3306" s="1671">
        <v>4</v>
      </c>
      <c r="H3306" s="1671">
        <f t="shared" si="473"/>
        <v>0</v>
      </c>
      <c r="I3306" s="1671" t="s">
        <v>92</v>
      </c>
      <c r="J3306" s="1668"/>
      <c r="K3306" s="1668"/>
      <c r="L3306" s="1669"/>
    </row>
    <row r="3307" spans="1:12" s="692" customFormat="1" ht="16.5" hidden="1">
      <c r="A3307" s="1665"/>
      <c r="B3307" s="1666"/>
      <c r="C3307" s="688"/>
      <c r="D3307" s="1667"/>
      <c r="E3307" s="1671">
        <v>3.5</v>
      </c>
      <c r="F3307" s="1672"/>
      <c r="G3307" s="1671">
        <v>4</v>
      </c>
      <c r="H3307" s="1671">
        <f t="shared" si="473"/>
        <v>0</v>
      </c>
      <c r="I3307" s="1671" t="s">
        <v>92</v>
      </c>
      <c r="J3307" s="1668"/>
      <c r="K3307" s="1668"/>
      <c r="L3307" s="1669"/>
    </row>
    <row r="3308" spans="1:12" s="692" customFormat="1" ht="16.5" hidden="1">
      <c r="A3308" s="1665"/>
      <c r="B3308" s="1666"/>
      <c r="C3308" s="688"/>
      <c r="D3308" s="1667"/>
      <c r="E3308" s="1671">
        <v>3.5</v>
      </c>
      <c r="F3308" s="1672"/>
      <c r="G3308" s="1671">
        <v>4</v>
      </c>
      <c r="H3308" s="1671">
        <f t="shared" si="473"/>
        <v>0</v>
      </c>
      <c r="I3308" s="1671" t="s">
        <v>92</v>
      </c>
      <c r="J3308" s="1668"/>
      <c r="K3308" s="1668"/>
      <c r="L3308" s="1669"/>
    </row>
    <row r="3309" spans="1:12" s="692" customFormat="1" ht="16.5" hidden="1">
      <c r="A3309" s="1665"/>
      <c r="B3309" s="1666"/>
      <c r="C3309" s="688"/>
      <c r="D3309" s="1667"/>
      <c r="E3309" s="1671">
        <v>3.5</v>
      </c>
      <c r="F3309" s="1672"/>
      <c r="G3309" s="1671">
        <v>4</v>
      </c>
      <c r="H3309" s="1671">
        <f t="shared" si="473"/>
        <v>0</v>
      </c>
      <c r="I3309" s="1671" t="s">
        <v>92</v>
      </c>
      <c r="J3309" s="1668"/>
      <c r="K3309" s="1668"/>
      <c r="L3309" s="1669"/>
    </row>
    <row r="3310" spans="1:12" s="692" customFormat="1" ht="16.5" hidden="1">
      <c r="A3310" s="1665"/>
      <c r="B3310" s="1666"/>
      <c r="C3310" s="688"/>
      <c r="D3310" s="1667"/>
      <c r="E3310" s="688"/>
      <c r="F3310" s="688"/>
      <c r="G3310" s="1665" t="s">
        <v>928</v>
      </c>
      <c r="H3310" s="1673">
        <f>SUM(H3304:H3309)</f>
        <v>0</v>
      </c>
      <c r="I3310" s="1668" t="s">
        <v>92</v>
      </c>
      <c r="J3310" s="1669">
        <f>'Lead &amp; ANALYSIS'!L684</f>
        <v>234.3</v>
      </c>
      <c r="K3310" s="1668" t="s">
        <v>1514</v>
      </c>
      <c r="L3310" s="1669">
        <f t="shared" ref="L3310" si="474">ROUND(H3310*J3310,0)</f>
        <v>0</v>
      </c>
    </row>
    <row r="3311" spans="1:12" s="692" customFormat="1" ht="16.5" hidden="1">
      <c r="A3311" s="1665" t="s">
        <v>386</v>
      </c>
      <c r="B3311" s="1666" t="s">
        <v>387</v>
      </c>
      <c r="C3311" s="688"/>
      <c r="D3311" s="1667"/>
      <c r="E3311" s="688"/>
      <c r="F3311" s="688"/>
      <c r="G3311" s="1674"/>
      <c r="H3311" s="688"/>
      <c r="I3311" s="1668"/>
      <c r="J3311" s="1668"/>
      <c r="K3311" s="1668"/>
      <c r="L3311" s="1669"/>
    </row>
    <row r="3312" spans="1:12" s="692" customFormat="1" ht="16.5" hidden="1">
      <c r="A3312" s="1665"/>
      <c r="B3312" s="1666"/>
      <c r="C3312" s="688"/>
      <c r="D3312" s="1667"/>
      <c r="E3312" s="1671">
        <v>3.5</v>
      </c>
      <c r="F3312" s="1672"/>
      <c r="G3312" s="1671">
        <v>4</v>
      </c>
      <c r="H3312" s="1671">
        <f t="shared" ref="H3312:H3317" si="475">ROUND(D3312*E3312*G3312,2)</f>
        <v>0</v>
      </c>
      <c r="I3312" s="1671" t="s">
        <v>92</v>
      </c>
      <c r="J3312" s="1668"/>
      <c r="K3312" s="1668"/>
      <c r="L3312" s="1669"/>
    </row>
    <row r="3313" spans="1:12" s="692" customFormat="1" ht="16.5" hidden="1">
      <c r="A3313" s="1665"/>
      <c r="B3313" s="1666"/>
      <c r="C3313" s="688"/>
      <c r="D3313" s="1667"/>
      <c r="E3313" s="1671">
        <v>3.5</v>
      </c>
      <c r="F3313" s="1672"/>
      <c r="G3313" s="1671">
        <v>4</v>
      </c>
      <c r="H3313" s="1671">
        <f t="shared" si="475"/>
        <v>0</v>
      </c>
      <c r="I3313" s="1671" t="s">
        <v>92</v>
      </c>
      <c r="J3313" s="1668"/>
      <c r="K3313" s="1668"/>
      <c r="L3313" s="1669"/>
    </row>
    <row r="3314" spans="1:12" s="692" customFormat="1" ht="16.5" hidden="1">
      <c r="A3314" s="1665"/>
      <c r="B3314" s="1666"/>
      <c r="C3314" s="688"/>
      <c r="D3314" s="1667"/>
      <c r="E3314" s="1671">
        <v>3.5</v>
      </c>
      <c r="F3314" s="1672"/>
      <c r="G3314" s="1671">
        <v>4</v>
      </c>
      <c r="H3314" s="1671">
        <f t="shared" si="475"/>
        <v>0</v>
      </c>
      <c r="I3314" s="1671" t="s">
        <v>92</v>
      </c>
      <c r="J3314" s="1668"/>
      <c r="K3314" s="1668"/>
      <c r="L3314" s="1669"/>
    </row>
    <row r="3315" spans="1:12" s="692" customFormat="1" ht="16.5" hidden="1">
      <c r="A3315" s="1665"/>
      <c r="B3315" s="1666"/>
      <c r="C3315" s="688"/>
      <c r="D3315" s="1667"/>
      <c r="E3315" s="1671">
        <v>3.5</v>
      </c>
      <c r="F3315" s="1672"/>
      <c r="G3315" s="1671">
        <v>4</v>
      </c>
      <c r="H3315" s="1671">
        <f t="shared" si="475"/>
        <v>0</v>
      </c>
      <c r="I3315" s="1671" t="s">
        <v>92</v>
      </c>
      <c r="J3315" s="1668"/>
      <c r="K3315" s="1668"/>
      <c r="L3315" s="1669"/>
    </row>
    <row r="3316" spans="1:12" s="692" customFormat="1" ht="16.5" hidden="1">
      <c r="A3316" s="1665"/>
      <c r="B3316" s="1666"/>
      <c r="C3316" s="688"/>
      <c r="D3316" s="1667"/>
      <c r="E3316" s="1671">
        <v>3.5</v>
      </c>
      <c r="F3316" s="1672"/>
      <c r="G3316" s="1671">
        <v>4</v>
      </c>
      <c r="H3316" s="1671">
        <f t="shared" si="475"/>
        <v>0</v>
      </c>
      <c r="I3316" s="1671" t="s">
        <v>92</v>
      </c>
      <c r="J3316" s="1668"/>
      <c r="K3316" s="1668"/>
      <c r="L3316" s="1669"/>
    </row>
    <row r="3317" spans="1:12" s="692" customFormat="1" ht="16.5" hidden="1">
      <c r="A3317" s="1665"/>
      <c r="B3317" s="1666"/>
      <c r="C3317" s="688"/>
      <c r="D3317" s="1667"/>
      <c r="E3317" s="1671">
        <v>3.5</v>
      </c>
      <c r="F3317" s="1672"/>
      <c r="G3317" s="1671">
        <v>4</v>
      </c>
      <c r="H3317" s="1671">
        <f t="shared" si="475"/>
        <v>0</v>
      </c>
      <c r="I3317" s="1671" t="s">
        <v>92</v>
      </c>
      <c r="J3317" s="1668"/>
      <c r="K3317" s="1668"/>
      <c r="L3317" s="1669"/>
    </row>
    <row r="3318" spans="1:12" s="692" customFormat="1" ht="16.5" hidden="1">
      <c r="A3318" s="1665"/>
      <c r="B3318" s="1666"/>
      <c r="C3318" s="688"/>
      <c r="D3318" s="1667"/>
      <c r="E3318" s="688"/>
      <c r="F3318" s="688"/>
      <c r="G3318" s="1665" t="s">
        <v>928</v>
      </c>
      <c r="H3318" s="1673">
        <f>SUM(H3312:H3317)</f>
        <v>0</v>
      </c>
      <c r="I3318" s="1668" t="s">
        <v>92</v>
      </c>
      <c r="J3318" s="1669">
        <f>'Lead &amp; ANALYSIS'!L685</f>
        <v>239.6</v>
      </c>
      <c r="K3318" s="1668" t="s">
        <v>1514</v>
      </c>
      <c r="L3318" s="1669">
        <f t="shared" ref="L3318" si="476">ROUND(H3318*J3318,0)</f>
        <v>0</v>
      </c>
    </row>
    <row r="3319" spans="1:12" s="692" customFormat="1" ht="16.5" hidden="1">
      <c r="A3319" s="1665" t="s">
        <v>432</v>
      </c>
      <c r="B3319" s="1666" t="s">
        <v>3622</v>
      </c>
      <c r="C3319" s="688"/>
      <c r="D3319" s="1667"/>
      <c r="E3319" s="688"/>
      <c r="F3319" s="688"/>
      <c r="G3319" s="1674"/>
      <c r="H3319" s="688"/>
      <c r="I3319" s="1668"/>
      <c r="J3319" s="1668"/>
      <c r="K3319" s="1668"/>
      <c r="L3319" s="1669"/>
    </row>
    <row r="3320" spans="1:12" s="692" customFormat="1" ht="16.5" hidden="1">
      <c r="A3320" s="1665"/>
      <c r="B3320" s="1666"/>
      <c r="C3320" s="688"/>
      <c r="D3320" s="1667"/>
      <c r="E3320" s="1671">
        <v>3.5</v>
      </c>
      <c r="F3320" s="1672"/>
      <c r="G3320" s="1671">
        <v>4</v>
      </c>
      <c r="H3320" s="1671">
        <f t="shared" ref="H3320:H3325" si="477">ROUND(D3320*E3320*G3320,2)</f>
        <v>0</v>
      </c>
      <c r="I3320" s="1671" t="s">
        <v>92</v>
      </c>
      <c r="J3320" s="1668"/>
      <c r="K3320" s="1668"/>
      <c r="L3320" s="1669"/>
    </row>
    <row r="3321" spans="1:12" s="692" customFormat="1" ht="16.5" hidden="1">
      <c r="A3321" s="1665"/>
      <c r="B3321" s="1666"/>
      <c r="C3321" s="688"/>
      <c r="D3321" s="1667"/>
      <c r="E3321" s="1671">
        <v>3.5</v>
      </c>
      <c r="F3321" s="1672"/>
      <c r="G3321" s="1671">
        <v>4</v>
      </c>
      <c r="H3321" s="1671">
        <f t="shared" si="477"/>
        <v>0</v>
      </c>
      <c r="I3321" s="1671" t="s">
        <v>92</v>
      </c>
      <c r="J3321" s="1668"/>
      <c r="K3321" s="1668"/>
      <c r="L3321" s="1669"/>
    </row>
    <row r="3322" spans="1:12" s="692" customFormat="1" ht="16.5" hidden="1">
      <c r="A3322" s="1665"/>
      <c r="B3322" s="1666"/>
      <c r="C3322" s="688"/>
      <c r="D3322" s="1667"/>
      <c r="E3322" s="1671">
        <v>3.5</v>
      </c>
      <c r="F3322" s="1672"/>
      <c r="G3322" s="1671">
        <v>4</v>
      </c>
      <c r="H3322" s="1671">
        <f t="shared" si="477"/>
        <v>0</v>
      </c>
      <c r="I3322" s="1671" t="s">
        <v>92</v>
      </c>
      <c r="J3322" s="1668"/>
      <c r="K3322" s="1668"/>
      <c r="L3322" s="1669"/>
    </row>
    <row r="3323" spans="1:12" s="692" customFormat="1" ht="16.5" hidden="1">
      <c r="A3323" s="1665"/>
      <c r="B3323" s="1666"/>
      <c r="C3323" s="688"/>
      <c r="D3323" s="1667"/>
      <c r="E3323" s="1671">
        <v>3.5</v>
      </c>
      <c r="F3323" s="1672"/>
      <c r="G3323" s="1671">
        <v>4</v>
      </c>
      <c r="H3323" s="1671">
        <f t="shared" si="477"/>
        <v>0</v>
      </c>
      <c r="I3323" s="1671" t="s">
        <v>92</v>
      </c>
      <c r="J3323" s="1668"/>
      <c r="K3323" s="1668"/>
      <c r="L3323" s="1669"/>
    </row>
    <row r="3324" spans="1:12" s="692" customFormat="1" ht="16.5" hidden="1">
      <c r="A3324" s="1665"/>
      <c r="B3324" s="1666"/>
      <c r="C3324" s="688"/>
      <c r="D3324" s="1667"/>
      <c r="E3324" s="1671">
        <v>3.5</v>
      </c>
      <c r="F3324" s="1672"/>
      <c r="G3324" s="1671">
        <v>4</v>
      </c>
      <c r="H3324" s="1671">
        <f t="shared" si="477"/>
        <v>0</v>
      </c>
      <c r="I3324" s="1671" t="s">
        <v>92</v>
      </c>
      <c r="J3324" s="1668"/>
      <c r="K3324" s="1668"/>
      <c r="L3324" s="1669"/>
    </row>
    <row r="3325" spans="1:12" s="692" customFormat="1" ht="16.5" hidden="1">
      <c r="A3325" s="1665"/>
      <c r="B3325" s="1666"/>
      <c r="C3325" s="688"/>
      <c r="D3325" s="1667"/>
      <c r="E3325" s="1671">
        <v>3.5</v>
      </c>
      <c r="F3325" s="1672"/>
      <c r="G3325" s="1671">
        <v>4</v>
      </c>
      <c r="H3325" s="1671">
        <f t="shared" si="477"/>
        <v>0</v>
      </c>
      <c r="I3325" s="1671" t="s">
        <v>92</v>
      </c>
      <c r="J3325" s="1668"/>
      <c r="K3325" s="1668"/>
      <c r="L3325" s="1669"/>
    </row>
    <row r="3326" spans="1:12" s="692" customFormat="1" ht="16.5" hidden="1">
      <c r="A3326" s="1665"/>
      <c r="B3326" s="1666"/>
      <c r="C3326" s="688"/>
      <c r="D3326" s="1667"/>
      <c r="E3326" s="688"/>
      <c r="F3326" s="688"/>
      <c r="G3326" s="1665" t="s">
        <v>928</v>
      </c>
      <c r="H3326" s="1673">
        <f>SUM(H3320:H3325)</f>
        <v>0</v>
      </c>
      <c r="I3326" s="1668" t="s">
        <v>92</v>
      </c>
      <c r="J3326" s="1669">
        <f>'Lead &amp; ANALYSIS'!L686</f>
        <v>245.1</v>
      </c>
      <c r="K3326" s="1668" t="s">
        <v>1514</v>
      </c>
      <c r="L3326" s="1669">
        <f t="shared" ref="L3326" si="478">ROUND(H3326*J3326,0)</f>
        <v>0</v>
      </c>
    </row>
    <row r="3327" spans="1:12" s="692" customFormat="1" ht="16.5" hidden="1">
      <c r="A3327" s="1665" t="s">
        <v>443</v>
      </c>
      <c r="B3327" s="1666" t="s">
        <v>3636</v>
      </c>
      <c r="C3327" s="688"/>
      <c r="D3327" s="1667"/>
      <c r="E3327" s="688"/>
      <c r="F3327" s="688"/>
      <c r="G3327" s="1674"/>
      <c r="H3327" s="688"/>
      <c r="I3327" s="1668"/>
      <c r="J3327" s="1668"/>
      <c r="K3327" s="1668"/>
      <c r="L3327" s="1669"/>
    </row>
    <row r="3328" spans="1:12" s="692" customFormat="1" ht="16.5" hidden="1">
      <c r="A3328" s="1665"/>
      <c r="B3328" s="1666"/>
      <c r="C3328" s="688"/>
      <c r="D3328" s="1667"/>
      <c r="E3328" s="1671">
        <v>3.5</v>
      </c>
      <c r="F3328" s="1672"/>
      <c r="G3328" s="1671">
        <v>4</v>
      </c>
      <c r="H3328" s="1671">
        <f t="shared" ref="H3328:H3333" si="479">ROUND(D3328*E3328*G3328,2)</f>
        <v>0</v>
      </c>
      <c r="I3328" s="1671" t="s">
        <v>92</v>
      </c>
      <c r="J3328" s="1668"/>
      <c r="K3328" s="1668"/>
      <c r="L3328" s="1669"/>
    </row>
    <row r="3329" spans="1:12" s="692" customFormat="1" ht="16.5" hidden="1">
      <c r="A3329" s="1665"/>
      <c r="B3329" s="1666"/>
      <c r="C3329" s="688"/>
      <c r="D3329" s="1667"/>
      <c r="E3329" s="1671">
        <v>3.5</v>
      </c>
      <c r="F3329" s="1672"/>
      <c r="G3329" s="1671">
        <v>4</v>
      </c>
      <c r="H3329" s="1671">
        <f t="shared" si="479"/>
        <v>0</v>
      </c>
      <c r="I3329" s="1671" t="s">
        <v>92</v>
      </c>
      <c r="J3329" s="1668"/>
      <c r="K3329" s="1668"/>
      <c r="L3329" s="1669"/>
    </row>
    <row r="3330" spans="1:12" s="692" customFormat="1" ht="16.5" hidden="1">
      <c r="A3330" s="1665"/>
      <c r="B3330" s="1666"/>
      <c r="C3330" s="688"/>
      <c r="D3330" s="1667"/>
      <c r="E3330" s="1671">
        <v>3.5</v>
      </c>
      <c r="F3330" s="1672"/>
      <c r="G3330" s="1671">
        <v>4</v>
      </c>
      <c r="H3330" s="1671">
        <f t="shared" si="479"/>
        <v>0</v>
      </c>
      <c r="I3330" s="1671" t="s">
        <v>92</v>
      </c>
      <c r="J3330" s="1668"/>
      <c r="K3330" s="1668"/>
      <c r="L3330" s="1669"/>
    </row>
    <row r="3331" spans="1:12" s="692" customFormat="1" ht="16.5" hidden="1">
      <c r="A3331" s="1665"/>
      <c r="B3331" s="1666"/>
      <c r="C3331" s="688"/>
      <c r="D3331" s="1667"/>
      <c r="E3331" s="1671">
        <v>3.5</v>
      </c>
      <c r="F3331" s="1672"/>
      <c r="G3331" s="1671">
        <v>4</v>
      </c>
      <c r="H3331" s="1671">
        <f t="shared" si="479"/>
        <v>0</v>
      </c>
      <c r="I3331" s="1671" t="s">
        <v>92</v>
      </c>
      <c r="J3331" s="1668"/>
      <c r="K3331" s="1668"/>
      <c r="L3331" s="1669"/>
    </row>
    <row r="3332" spans="1:12" s="692" customFormat="1" ht="16.5" hidden="1">
      <c r="A3332" s="1665"/>
      <c r="B3332" s="1666"/>
      <c r="C3332" s="688"/>
      <c r="D3332" s="1667"/>
      <c r="E3332" s="1671">
        <v>3.5</v>
      </c>
      <c r="F3332" s="1672"/>
      <c r="G3332" s="1671">
        <v>4</v>
      </c>
      <c r="H3332" s="1671">
        <f t="shared" si="479"/>
        <v>0</v>
      </c>
      <c r="I3332" s="1671" t="s">
        <v>92</v>
      </c>
      <c r="J3332" s="1668"/>
      <c r="K3332" s="1668"/>
      <c r="L3332" s="1669"/>
    </row>
    <row r="3333" spans="1:12" s="692" customFormat="1" ht="16.5" hidden="1">
      <c r="A3333" s="1665"/>
      <c r="B3333" s="1666"/>
      <c r="C3333" s="688"/>
      <c r="D3333" s="1667"/>
      <c r="E3333" s="1671">
        <v>3.5</v>
      </c>
      <c r="F3333" s="1672"/>
      <c r="G3333" s="1671">
        <v>4</v>
      </c>
      <c r="H3333" s="1671">
        <f t="shared" si="479"/>
        <v>0</v>
      </c>
      <c r="I3333" s="1671" t="s">
        <v>92</v>
      </c>
      <c r="J3333" s="1668"/>
      <c r="K3333" s="1668"/>
      <c r="L3333" s="1669"/>
    </row>
    <row r="3334" spans="1:12" s="692" customFormat="1" ht="16.5" hidden="1">
      <c r="A3334" s="1665"/>
      <c r="B3334" s="1666"/>
      <c r="C3334" s="688"/>
      <c r="D3334" s="1667"/>
      <c r="E3334" s="688"/>
      <c r="F3334" s="688"/>
      <c r="G3334" s="1665" t="s">
        <v>928</v>
      </c>
      <c r="H3334" s="1673">
        <f>SUM(H3328:H3333)</f>
        <v>0</v>
      </c>
      <c r="I3334" s="1668" t="s">
        <v>92</v>
      </c>
      <c r="J3334" s="1669">
        <f>'Lead &amp; ANALYSIS'!L687</f>
        <v>253.2</v>
      </c>
      <c r="K3334" s="1668" t="s">
        <v>1514</v>
      </c>
      <c r="L3334" s="1669">
        <f t="shared" ref="L3334" si="480">ROUND(H3334*J3334,0)</f>
        <v>0</v>
      </c>
    </row>
    <row r="3335" spans="1:12" s="692" customFormat="1" ht="33" hidden="1">
      <c r="A3335" s="1665">
        <f>'Lead &amp; ANALYSIS'!A688</f>
        <v>64</v>
      </c>
      <c r="B3335" s="1666" t="str">
        <f>'Lead &amp; ANALYSIS'!B688</f>
        <v>Closed deep chipping and cleaning to R.C.C surface for receiving cement plaster per 1</v>
      </c>
      <c r="C3335" s="688"/>
      <c r="D3335" s="1667"/>
      <c r="E3335" s="688"/>
      <c r="F3335" s="688"/>
      <c r="G3335" s="1674"/>
      <c r="H3335" s="688"/>
      <c r="I3335" s="1668"/>
      <c r="J3335" s="1668"/>
      <c r="K3335" s="1668"/>
      <c r="L3335" s="1669"/>
    </row>
    <row r="3336" spans="1:12" s="692" customFormat="1" ht="16.5" hidden="1">
      <c r="A3336" s="1665" t="s">
        <v>383</v>
      </c>
      <c r="B3336" s="1666" t="s">
        <v>384</v>
      </c>
      <c r="C3336" s="688"/>
      <c r="D3336" s="1667"/>
      <c r="E3336" s="688"/>
      <c r="F3336" s="688"/>
      <c r="G3336" s="1674"/>
      <c r="H3336" s="688"/>
      <c r="I3336" s="1668"/>
      <c r="J3336" s="1668"/>
      <c r="K3336" s="1668"/>
      <c r="L3336" s="1669"/>
    </row>
    <row r="3337" spans="1:12" s="692" customFormat="1" ht="16.5" hidden="1">
      <c r="A3337" s="1665"/>
      <c r="B3337" s="1666"/>
      <c r="C3337" s="688"/>
      <c r="D3337" s="1667"/>
      <c r="E3337" s="1671">
        <v>3.5</v>
      </c>
      <c r="F3337" s="1672"/>
      <c r="G3337" s="1671">
        <v>4</v>
      </c>
      <c r="H3337" s="1671">
        <f t="shared" ref="H3337:H3342" si="481">ROUND(D3337*E3337*G3337,2)</f>
        <v>0</v>
      </c>
      <c r="I3337" s="1671" t="s">
        <v>92</v>
      </c>
      <c r="J3337" s="1668"/>
      <c r="K3337" s="1668"/>
      <c r="L3337" s="1669"/>
    </row>
    <row r="3338" spans="1:12" s="692" customFormat="1" ht="16.5" hidden="1">
      <c r="A3338" s="1665"/>
      <c r="B3338" s="1666"/>
      <c r="C3338" s="688"/>
      <c r="D3338" s="1667"/>
      <c r="E3338" s="1671">
        <v>3.5</v>
      </c>
      <c r="F3338" s="1672"/>
      <c r="G3338" s="1671">
        <v>4</v>
      </c>
      <c r="H3338" s="1671">
        <f t="shared" si="481"/>
        <v>0</v>
      </c>
      <c r="I3338" s="1671" t="s">
        <v>92</v>
      </c>
      <c r="J3338" s="1668"/>
      <c r="K3338" s="1668"/>
      <c r="L3338" s="1669"/>
    </row>
    <row r="3339" spans="1:12" s="692" customFormat="1" ht="16.5" hidden="1">
      <c r="A3339" s="1665"/>
      <c r="B3339" s="1666"/>
      <c r="C3339" s="688"/>
      <c r="D3339" s="1667"/>
      <c r="E3339" s="1671">
        <v>3.5</v>
      </c>
      <c r="F3339" s="1672"/>
      <c r="G3339" s="1671">
        <v>4</v>
      </c>
      <c r="H3339" s="1671">
        <f t="shared" si="481"/>
        <v>0</v>
      </c>
      <c r="I3339" s="1671" t="s">
        <v>92</v>
      </c>
      <c r="J3339" s="1668"/>
      <c r="K3339" s="1668"/>
      <c r="L3339" s="1669"/>
    </row>
    <row r="3340" spans="1:12" s="692" customFormat="1" ht="16.5" hidden="1">
      <c r="A3340" s="1665"/>
      <c r="B3340" s="1666"/>
      <c r="C3340" s="688"/>
      <c r="D3340" s="1667"/>
      <c r="E3340" s="1671">
        <v>3.5</v>
      </c>
      <c r="F3340" s="1672"/>
      <c r="G3340" s="1671">
        <v>4</v>
      </c>
      <c r="H3340" s="1671">
        <f t="shared" si="481"/>
        <v>0</v>
      </c>
      <c r="I3340" s="1671" t="s">
        <v>92</v>
      </c>
      <c r="J3340" s="1668"/>
      <c r="K3340" s="1668"/>
      <c r="L3340" s="1669"/>
    </row>
    <row r="3341" spans="1:12" s="692" customFormat="1" ht="16.5" hidden="1">
      <c r="A3341" s="1665"/>
      <c r="B3341" s="1666"/>
      <c r="C3341" s="688"/>
      <c r="D3341" s="1667"/>
      <c r="E3341" s="1671">
        <v>3.5</v>
      </c>
      <c r="F3341" s="1672"/>
      <c r="G3341" s="1671">
        <v>4</v>
      </c>
      <c r="H3341" s="1671">
        <f t="shared" si="481"/>
        <v>0</v>
      </c>
      <c r="I3341" s="1671" t="s">
        <v>92</v>
      </c>
      <c r="J3341" s="1668"/>
      <c r="K3341" s="1668"/>
      <c r="L3341" s="1669"/>
    </row>
    <row r="3342" spans="1:12" s="692" customFormat="1" ht="16.5" hidden="1">
      <c r="A3342" s="1665"/>
      <c r="B3342" s="1666"/>
      <c r="C3342" s="688"/>
      <c r="D3342" s="1667"/>
      <c r="E3342" s="1671">
        <v>3.5</v>
      </c>
      <c r="F3342" s="1672"/>
      <c r="G3342" s="1671">
        <v>4</v>
      </c>
      <c r="H3342" s="1671">
        <f t="shared" si="481"/>
        <v>0</v>
      </c>
      <c r="I3342" s="1671" t="s">
        <v>92</v>
      </c>
      <c r="J3342" s="1668"/>
      <c r="K3342" s="1668"/>
      <c r="L3342" s="1669"/>
    </row>
    <row r="3343" spans="1:12" s="692" customFormat="1" ht="16.5" hidden="1">
      <c r="A3343" s="1665"/>
      <c r="B3343" s="1666"/>
      <c r="C3343" s="688"/>
      <c r="D3343" s="1667"/>
      <c r="E3343" s="688"/>
      <c r="F3343" s="688"/>
      <c r="G3343" s="1665" t="s">
        <v>928</v>
      </c>
      <c r="H3343" s="1673">
        <f>SUM(H3337:H3342)</f>
        <v>0</v>
      </c>
      <c r="I3343" s="1668" t="s">
        <v>92</v>
      </c>
      <c r="J3343" s="1669">
        <f>'Lead &amp; ANALYSIS'!L689</f>
        <v>17.600000000000001</v>
      </c>
      <c r="K3343" s="1668" t="s">
        <v>1514</v>
      </c>
      <c r="L3343" s="1669">
        <f t="shared" ref="L3343" si="482">ROUND(H3343*J3343,0)</f>
        <v>0</v>
      </c>
    </row>
    <row r="3344" spans="1:12" s="692" customFormat="1" ht="16.5" hidden="1">
      <c r="A3344" s="1665" t="s">
        <v>386</v>
      </c>
      <c r="B3344" s="1666" t="s">
        <v>387</v>
      </c>
      <c r="C3344" s="688"/>
      <c r="D3344" s="1667"/>
      <c r="E3344" s="688"/>
      <c r="F3344" s="688"/>
      <c r="G3344" s="1674"/>
      <c r="H3344" s="688"/>
      <c r="I3344" s="1668"/>
      <c r="J3344" s="1668"/>
      <c r="K3344" s="1668"/>
      <c r="L3344" s="1669"/>
    </row>
    <row r="3345" spans="1:12" s="692" customFormat="1" ht="16.5" hidden="1">
      <c r="A3345" s="1665"/>
      <c r="B3345" s="1666"/>
      <c r="C3345" s="688"/>
      <c r="D3345" s="1667"/>
      <c r="E3345" s="1671">
        <v>3.5</v>
      </c>
      <c r="F3345" s="1672"/>
      <c r="G3345" s="1671">
        <v>4</v>
      </c>
      <c r="H3345" s="1671">
        <f t="shared" ref="H3345:H3350" si="483">ROUND(D3345*E3345*G3345,2)</f>
        <v>0</v>
      </c>
      <c r="I3345" s="1671" t="s">
        <v>92</v>
      </c>
      <c r="J3345" s="1668"/>
      <c r="K3345" s="1668"/>
      <c r="L3345" s="1669"/>
    </row>
    <row r="3346" spans="1:12" s="692" customFormat="1" ht="16.5" hidden="1">
      <c r="A3346" s="1665"/>
      <c r="B3346" s="1666"/>
      <c r="C3346" s="688"/>
      <c r="D3346" s="1667"/>
      <c r="E3346" s="1671">
        <v>3.5</v>
      </c>
      <c r="F3346" s="1672"/>
      <c r="G3346" s="1671">
        <v>4</v>
      </c>
      <c r="H3346" s="1671">
        <f t="shared" si="483"/>
        <v>0</v>
      </c>
      <c r="I3346" s="1671" t="s">
        <v>92</v>
      </c>
      <c r="J3346" s="1668"/>
      <c r="K3346" s="1668"/>
      <c r="L3346" s="1669"/>
    </row>
    <row r="3347" spans="1:12" s="692" customFormat="1" ht="16.5" hidden="1">
      <c r="A3347" s="1665"/>
      <c r="B3347" s="1666"/>
      <c r="C3347" s="688"/>
      <c r="D3347" s="1667"/>
      <c r="E3347" s="1671">
        <v>3.5</v>
      </c>
      <c r="F3347" s="1672"/>
      <c r="G3347" s="1671">
        <v>4</v>
      </c>
      <c r="H3347" s="1671">
        <f t="shared" si="483"/>
        <v>0</v>
      </c>
      <c r="I3347" s="1671" t="s">
        <v>92</v>
      </c>
      <c r="J3347" s="1668"/>
      <c r="K3347" s="1668"/>
      <c r="L3347" s="1669"/>
    </row>
    <row r="3348" spans="1:12" s="692" customFormat="1" ht="16.5" hidden="1">
      <c r="A3348" s="1665"/>
      <c r="B3348" s="1666"/>
      <c r="C3348" s="688"/>
      <c r="D3348" s="1667"/>
      <c r="E3348" s="1671">
        <v>3.5</v>
      </c>
      <c r="F3348" s="1672"/>
      <c r="G3348" s="1671">
        <v>4</v>
      </c>
      <c r="H3348" s="1671">
        <f t="shared" si="483"/>
        <v>0</v>
      </c>
      <c r="I3348" s="1671" t="s">
        <v>92</v>
      </c>
      <c r="J3348" s="1668"/>
      <c r="K3348" s="1668"/>
      <c r="L3348" s="1669"/>
    </row>
    <row r="3349" spans="1:12" s="692" customFormat="1" ht="16.5" hidden="1">
      <c r="A3349" s="1665"/>
      <c r="B3349" s="1666"/>
      <c r="C3349" s="688"/>
      <c r="D3349" s="1667"/>
      <c r="E3349" s="1671">
        <v>3.5</v>
      </c>
      <c r="F3349" s="1672"/>
      <c r="G3349" s="1671">
        <v>4</v>
      </c>
      <c r="H3349" s="1671">
        <f t="shared" si="483"/>
        <v>0</v>
      </c>
      <c r="I3349" s="1671" t="s">
        <v>92</v>
      </c>
      <c r="J3349" s="1668"/>
      <c r="K3349" s="1668"/>
      <c r="L3349" s="1669"/>
    </row>
    <row r="3350" spans="1:12" s="692" customFormat="1" ht="16.5" hidden="1">
      <c r="A3350" s="1665"/>
      <c r="B3350" s="1666"/>
      <c r="C3350" s="688"/>
      <c r="D3350" s="1667"/>
      <c r="E3350" s="1671">
        <v>3.5</v>
      </c>
      <c r="F3350" s="1672"/>
      <c r="G3350" s="1671">
        <v>4</v>
      </c>
      <c r="H3350" s="1671">
        <f t="shared" si="483"/>
        <v>0</v>
      </c>
      <c r="I3350" s="1671" t="s">
        <v>92</v>
      </c>
      <c r="J3350" s="1668"/>
      <c r="K3350" s="1668"/>
      <c r="L3350" s="1669"/>
    </row>
    <row r="3351" spans="1:12" s="692" customFormat="1" ht="16.5" hidden="1">
      <c r="A3351" s="1665"/>
      <c r="B3351" s="1666"/>
      <c r="C3351" s="688"/>
      <c r="D3351" s="1667"/>
      <c r="E3351" s="688"/>
      <c r="F3351" s="688"/>
      <c r="G3351" s="1665" t="s">
        <v>928</v>
      </c>
      <c r="H3351" s="1673">
        <f>SUM(H3345:H3350)</f>
        <v>0</v>
      </c>
      <c r="I3351" s="1668" t="s">
        <v>92</v>
      </c>
      <c r="J3351" s="1669">
        <f>'Lead &amp; ANALYSIS'!L690</f>
        <v>22.8</v>
      </c>
      <c r="K3351" s="1668" t="s">
        <v>1514</v>
      </c>
      <c r="L3351" s="1669">
        <f t="shared" ref="L3351" si="484">ROUND(H3351*J3351,0)</f>
        <v>0</v>
      </c>
    </row>
    <row r="3352" spans="1:12" s="692" customFormat="1" ht="16.5" hidden="1">
      <c r="A3352" s="1665" t="s">
        <v>432</v>
      </c>
      <c r="B3352" s="1666" t="s">
        <v>3622</v>
      </c>
      <c r="C3352" s="688"/>
      <c r="D3352" s="1667"/>
      <c r="E3352" s="688"/>
      <c r="F3352" s="688"/>
      <c r="G3352" s="1674"/>
      <c r="H3352" s="688"/>
      <c r="I3352" s="1668"/>
      <c r="J3352" s="1668"/>
      <c r="K3352" s="1668"/>
      <c r="L3352" s="1669"/>
    </row>
    <row r="3353" spans="1:12" s="692" customFormat="1" ht="16.5" hidden="1">
      <c r="A3353" s="1665"/>
      <c r="B3353" s="1666"/>
      <c r="C3353" s="688"/>
      <c r="D3353" s="1667"/>
      <c r="E3353" s="1671">
        <v>3.5</v>
      </c>
      <c r="F3353" s="1672"/>
      <c r="G3353" s="1671">
        <v>4</v>
      </c>
      <c r="H3353" s="1671">
        <f t="shared" ref="H3353:H3358" si="485">ROUND(D3353*E3353*G3353,2)</f>
        <v>0</v>
      </c>
      <c r="I3353" s="1671" t="s">
        <v>92</v>
      </c>
      <c r="J3353" s="1668"/>
      <c r="K3353" s="1668"/>
      <c r="L3353" s="1669"/>
    </row>
    <row r="3354" spans="1:12" s="692" customFormat="1" ht="16.5" hidden="1">
      <c r="A3354" s="1665"/>
      <c r="B3354" s="1666"/>
      <c r="C3354" s="688"/>
      <c r="D3354" s="1667"/>
      <c r="E3354" s="1671">
        <v>3.5</v>
      </c>
      <c r="F3354" s="1672"/>
      <c r="G3354" s="1671">
        <v>4</v>
      </c>
      <c r="H3354" s="1671">
        <f t="shared" si="485"/>
        <v>0</v>
      </c>
      <c r="I3354" s="1671" t="s">
        <v>92</v>
      </c>
      <c r="J3354" s="1668"/>
      <c r="K3354" s="1668"/>
      <c r="L3354" s="1669"/>
    </row>
    <row r="3355" spans="1:12" s="692" customFormat="1" ht="16.5" hidden="1">
      <c r="A3355" s="1665"/>
      <c r="B3355" s="1666"/>
      <c r="C3355" s="688"/>
      <c r="D3355" s="1667"/>
      <c r="E3355" s="1671">
        <v>3.5</v>
      </c>
      <c r="F3355" s="1672"/>
      <c r="G3355" s="1671">
        <v>4</v>
      </c>
      <c r="H3355" s="1671">
        <f t="shared" si="485"/>
        <v>0</v>
      </c>
      <c r="I3355" s="1671" t="s">
        <v>92</v>
      </c>
      <c r="J3355" s="1668"/>
      <c r="K3355" s="1668"/>
      <c r="L3355" s="1669"/>
    </row>
    <row r="3356" spans="1:12" s="692" customFormat="1" ht="16.5" hidden="1">
      <c r="A3356" s="1665"/>
      <c r="B3356" s="1666"/>
      <c r="C3356" s="688"/>
      <c r="D3356" s="1667"/>
      <c r="E3356" s="1671">
        <v>3.5</v>
      </c>
      <c r="F3356" s="1672"/>
      <c r="G3356" s="1671">
        <v>4</v>
      </c>
      <c r="H3356" s="1671">
        <f t="shared" si="485"/>
        <v>0</v>
      </c>
      <c r="I3356" s="1671" t="s">
        <v>92</v>
      </c>
      <c r="J3356" s="1668"/>
      <c r="K3356" s="1668"/>
      <c r="L3356" s="1669"/>
    </row>
    <row r="3357" spans="1:12" s="692" customFormat="1" ht="16.5" hidden="1">
      <c r="A3357" s="1665"/>
      <c r="B3357" s="1666"/>
      <c r="C3357" s="688"/>
      <c r="D3357" s="1667"/>
      <c r="E3357" s="1671">
        <v>3.5</v>
      </c>
      <c r="F3357" s="1672"/>
      <c r="G3357" s="1671">
        <v>4</v>
      </c>
      <c r="H3357" s="1671">
        <f t="shared" si="485"/>
        <v>0</v>
      </c>
      <c r="I3357" s="1671" t="s">
        <v>92</v>
      </c>
      <c r="J3357" s="1668"/>
      <c r="K3357" s="1668"/>
      <c r="L3357" s="1669"/>
    </row>
    <row r="3358" spans="1:12" s="692" customFormat="1" ht="16.5" hidden="1">
      <c r="A3358" s="1665"/>
      <c r="B3358" s="1666"/>
      <c r="C3358" s="688"/>
      <c r="D3358" s="1667"/>
      <c r="E3358" s="1671">
        <v>3.5</v>
      </c>
      <c r="F3358" s="1672"/>
      <c r="G3358" s="1671">
        <v>4</v>
      </c>
      <c r="H3358" s="1671">
        <f t="shared" si="485"/>
        <v>0</v>
      </c>
      <c r="I3358" s="1671" t="s">
        <v>92</v>
      </c>
      <c r="J3358" s="1668"/>
      <c r="K3358" s="1668"/>
      <c r="L3358" s="1669"/>
    </row>
    <row r="3359" spans="1:12" s="692" customFormat="1" ht="16.5" hidden="1">
      <c r="A3359" s="1665"/>
      <c r="B3359" s="1666"/>
      <c r="C3359" s="688"/>
      <c r="D3359" s="1667"/>
      <c r="E3359" s="688"/>
      <c r="F3359" s="688"/>
      <c r="G3359" s="1665" t="s">
        <v>928</v>
      </c>
      <c r="H3359" s="1673">
        <f>SUM(H3353:H3358)</f>
        <v>0</v>
      </c>
      <c r="I3359" s="1668" t="s">
        <v>92</v>
      </c>
      <c r="J3359" s="1669">
        <f>'Lead &amp; ANALYSIS'!L691</f>
        <v>28.1</v>
      </c>
      <c r="K3359" s="1668" t="s">
        <v>1514</v>
      </c>
      <c r="L3359" s="1669">
        <f t="shared" ref="L3359" si="486">ROUND(H3359*J3359,0)</f>
        <v>0</v>
      </c>
    </row>
    <row r="3360" spans="1:12" s="692" customFormat="1" ht="16.5" hidden="1">
      <c r="A3360" s="1665" t="s">
        <v>443</v>
      </c>
      <c r="B3360" s="1666" t="s">
        <v>3636</v>
      </c>
      <c r="C3360" s="688"/>
      <c r="D3360" s="1667"/>
      <c r="E3360" s="688"/>
      <c r="F3360" s="688"/>
      <c r="G3360" s="1674"/>
      <c r="H3360" s="688"/>
      <c r="I3360" s="1668"/>
      <c r="J3360" s="1668"/>
      <c r="K3360" s="1668"/>
      <c r="L3360" s="1669"/>
    </row>
    <row r="3361" spans="1:12" s="692" customFormat="1" ht="16.5" hidden="1">
      <c r="A3361" s="1665"/>
      <c r="B3361" s="1666"/>
      <c r="C3361" s="688"/>
      <c r="D3361" s="1667"/>
      <c r="E3361" s="1671">
        <v>3.5</v>
      </c>
      <c r="F3361" s="1672"/>
      <c r="G3361" s="1671">
        <v>4</v>
      </c>
      <c r="H3361" s="1671">
        <f t="shared" ref="H3361:H3366" si="487">ROUND(D3361*E3361*G3361,2)</f>
        <v>0</v>
      </c>
      <c r="I3361" s="1671" t="s">
        <v>92</v>
      </c>
      <c r="J3361" s="1668"/>
      <c r="K3361" s="1668"/>
      <c r="L3361" s="1669"/>
    </row>
    <row r="3362" spans="1:12" s="692" customFormat="1" ht="16.5" hidden="1">
      <c r="A3362" s="1665"/>
      <c r="B3362" s="1666"/>
      <c r="C3362" s="688"/>
      <c r="D3362" s="1667"/>
      <c r="E3362" s="1671">
        <v>3.5</v>
      </c>
      <c r="F3362" s="1672"/>
      <c r="G3362" s="1671">
        <v>4</v>
      </c>
      <c r="H3362" s="1671">
        <f t="shared" si="487"/>
        <v>0</v>
      </c>
      <c r="I3362" s="1671" t="s">
        <v>92</v>
      </c>
      <c r="J3362" s="1668"/>
      <c r="K3362" s="1668"/>
      <c r="L3362" s="1669"/>
    </row>
    <row r="3363" spans="1:12" s="692" customFormat="1" ht="16.5" hidden="1">
      <c r="A3363" s="1665"/>
      <c r="B3363" s="1666"/>
      <c r="C3363" s="688"/>
      <c r="D3363" s="1667"/>
      <c r="E3363" s="1671">
        <v>3.5</v>
      </c>
      <c r="F3363" s="1672"/>
      <c r="G3363" s="1671">
        <v>4</v>
      </c>
      <c r="H3363" s="1671">
        <f t="shared" si="487"/>
        <v>0</v>
      </c>
      <c r="I3363" s="1671" t="s">
        <v>92</v>
      </c>
      <c r="J3363" s="1668"/>
      <c r="K3363" s="1668"/>
      <c r="L3363" s="1669"/>
    </row>
    <row r="3364" spans="1:12" s="692" customFormat="1" ht="16.5" hidden="1">
      <c r="A3364" s="1665"/>
      <c r="B3364" s="1666"/>
      <c r="C3364" s="688"/>
      <c r="D3364" s="1667"/>
      <c r="E3364" s="1671">
        <v>3.5</v>
      </c>
      <c r="F3364" s="1672"/>
      <c r="G3364" s="1671">
        <v>4</v>
      </c>
      <c r="H3364" s="1671">
        <f t="shared" si="487"/>
        <v>0</v>
      </c>
      <c r="I3364" s="1671" t="s">
        <v>92</v>
      </c>
      <c r="J3364" s="1668"/>
      <c r="K3364" s="1668"/>
      <c r="L3364" s="1669"/>
    </row>
    <row r="3365" spans="1:12" s="692" customFormat="1" ht="16.5" hidden="1">
      <c r="A3365" s="1665"/>
      <c r="B3365" s="1666"/>
      <c r="C3365" s="688"/>
      <c r="D3365" s="1667"/>
      <c r="E3365" s="1671">
        <v>3.5</v>
      </c>
      <c r="F3365" s="1672"/>
      <c r="G3365" s="1671">
        <v>4</v>
      </c>
      <c r="H3365" s="1671">
        <f t="shared" si="487"/>
        <v>0</v>
      </c>
      <c r="I3365" s="1671" t="s">
        <v>92</v>
      </c>
      <c r="J3365" s="1668"/>
      <c r="K3365" s="1668"/>
      <c r="L3365" s="1669"/>
    </row>
    <row r="3366" spans="1:12" s="692" customFormat="1" ht="16.5" hidden="1">
      <c r="A3366" s="1665"/>
      <c r="B3366" s="1666"/>
      <c r="C3366" s="688"/>
      <c r="D3366" s="1667"/>
      <c r="E3366" s="1671">
        <v>3.5</v>
      </c>
      <c r="F3366" s="1672"/>
      <c r="G3366" s="1671">
        <v>4</v>
      </c>
      <c r="H3366" s="1671">
        <f t="shared" si="487"/>
        <v>0</v>
      </c>
      <c r="I3366" s="1671" t="s">
        <v>92</v>
      </c>
      <c r="J3366" s="1668"/>
      <c r="K3366" s="1668"/>
      <c r="L3366" s="1669"/>
    </row>
    <row r="3367" spans="1:12" s="692" customFormat="1" ht="16.5" hidden="1">
      <c r="A3367" s="1665"/>
      <c r="B3367" s="1666"/>
      <c r="C3367" s="688"/>
      <c r="D3367" s="1667"/>
      <c r="E3367" s="688"/>
      <c r="F3367" s="688"/>
      <c r="G3367" s="1665" t="s">
        <v>928</v>
      </c>
      <c r="H3367" s="1673">
        <f>SUM(H3361:H3366)</f>
        <v>0</v>
      </c>
      <c r="I3367" s="1668" t="s">
        <v>92</v>
      </c>
      <c r="J3367" s="1669">
        <f>'Lead &amp; ANALYSIS'!L692</f>
        <v>33.6</v>
      </c>
      <c r="K3367" s="1668" t="s">
        <v>1514</v>
      </c>
      <c r="L3367" s="1669">
        <f t="shared" ref="L3367" si="488">ROUND(H3367*J3367,0)</f>
        <v>0</v>
      </c>
    </row>
    <row r="3368" spans="1:12" s="692" customFormat="1" ht="33" hidden="1">
      <c r="A3368" s="1665">
        <f>'Lead &amp; ANALYSIS'!A693</f>
        <v>65</v>
      </c>
      <c r="B3368" s="1666" t="str">
        <f>'Lead &amp; ANALYSIS'!B693</f>
        <v>Providing Cement Punning to the plastered surface of wall etc complete.</v>
      </c>
      <c r="C3368" s="688"/>
      <c r="D3368" s="1667"/>
      <c r="E3368" s="688"/>
      <c r="F3368" s="688"/>
      <c r="G3368" s="1674"/>
      <c r="H3368" s="688"/>
      <c r="I3368" s="1668"/>
      <c r="J3368" s="1668"/>
      <c r="K3368" s="1668"/>
      <c r="L3368" s="1669"/>
    </row>
    <row r="3369" spans="1:12" s="692" customFormat="1" ht="16.5" hidden="1">
      <c r="A3369" s="1665"/>
      <c r="B3369" s="1666"/>
      <c r="C3369" s="688"/>
      <c r="D3369" s="1667"/>
      <c r="E3369" s="1671">
        <v>3.5</v>
      </c>
      <c r="F3369" s="1672"/>
      <c r="G3369" s="1671">
        <v>4</v>
      </c>
      <c r="H3369" s="1671">
        <f t="shared" ref="H3369:H3374" si="489">ROUND(D3369*E3369*G3369,2)</f>
        <v>0</v>
      </c>
      <c r="I3369" s="1671" t="s">
        <v>92</v>
      </c>
      <c r="J3369" s="1668"/>
      <c r="K3369" s="1668"/>
      <c r="L3369" s="1669"/>
    </row>
    <row r="3370" spans="1:12" s="692" customFormat="1" ht="16.5" hidden="1">
      <c r="A3370" s="1665"/>
      <c r="B3370" s="1666"/>
      <c r="C3370" s="688"/>
      <c r="D3370" s="1667"/>
      <c r="E3370" s="1671">
        <v>3.5</v>
      </c>
      <c r="F3370" s="1672"/>
      <c r="G3370" s="1671">
        <v>4</v>
      </c>
      <c r="H3370" s="1671">
        <f t="shared" si="489"/>
        <v>0</v>
      </c>
      <c r="I3370" s="1671" t="s">
        <v>92</v>
      </c>
      <c r="J3370" s="1668"/>
      <c r="K3370" s="1668"/>
      <c r="L3370" s="1669"/>
    </row>
    <row r="3371" spans="1:12" s="692" customFormat="1" ht="16.5" hidden="1">
      <c r="A3371" s="1665"/>
      <c r="B3371" s="1666"/>
      <c r="C3371" s="688"/>
      <c r="D3371" s="1667"/>
      <c r="E3371" s="1671">
        <v>3.5</v>
      </c>
      <c r="F3371" s="1672"/>
      <c r="G3371" s="1671">
        <v>4</v>
      </c>
      <c r="H3371" s="1671">
        <f t="shared" si="489"/>
        <v>0</v>
      </c>
      <c r="I3371" s="1671" t="s">
        <v>92</v>
      </c>
      <c r="J3371" s="1668"/>
      <c r="K3371" s="1668"/>
      <c r="L3371" s="1669"/>
    </row>
    <row r="3372" spans="1:12" s="692" customFormat="1" ht="16.5" hidden="1">
      <c r="A3372" s="1665"/>
      <c r="B3372" s="1666"/>
      <c r="C3372" s="688"/>
      <c r="D3372" s="1667"/>
      <c r="E3372" s="1671">
        <v>3.5</v>
      </c>
      <c r="F3372" s="1672"/>
      <c r="G3372" s="1671">
        <v>4</v>
      </c>
      <c r="H3372" s="1671">
        <f t="shared" si="489"/>
        <v>0</v>
      </c>
      <c r="I3372" s="1671" t="s">
        <v>92</v>
      </c>
      <c r="J3372" s="1668"/>
      <c r="K3372" s="1668"/>
      <c r="L3372" s="1669"/>
    </row>
    <row r="3373" spans="1:12" s="692" customFormat="1" ht="16.5" hidden="1">
      <c r="A3373" s="1665"/>
      <c r="B3373" s="1666"/>
      <c r="C3373" s="688"/>
      <c r="D3373" s="1667"/>
      <c r="E3373" s="1671">
        <v>3.5</v>
      </c>
      <c r="F3373" s="1672"/>
      <c r="G3373" s="1671">
        <v>4</v>
      </c>
      <c r="H3373" s="1671">
        <f t="shared" si="489"/>
        <v>0</v>
      </c>
      <c r="I3373" s="1671" t="s">
        <v>92</v>
      </c>
      <c r="J3373" s="1668"/>
      <c r="K3373" s="1668"/>
      <c r="L3373" s="1669"/>
    </row>
    <row r="3374" spans="1:12" s="692" customFormat="1" ht="16.5" hidden="1">
      <c r="A3374" s="1665"/>
      <c r="B3374" s="1666"/>
      <c r="C3374" s="688"/>
      <c r="D3374" s="1667"/>
      <c r="E3374" s="1671">
        <v>3.5</v>
      </c>
      <c r="F3374" s="1672"/>
      <c r="G3374" s="1671">
        <v>4</v>
      </c>
      <c r="H3374" s="1671">
        <f t="shared" si="489"/>
        <v>0</v>
      </c>
      <c r="I3374" s="1671" t="s">
        <v>92</v>
      </c>
      <c r="J3374" s="1668"/>
      <c r="K3374" s="1668"/>
      <c r="L3374" s="1669"/>
    </row>
    <row r="3375" spans="1:12" s="692" customFormat="1" ht="16.5" hidden="1">
      <c r="A3375" s="1665"/>
      <c r="B3375" s="1666"/>
      <c r="C3375" s="688"/>
      <c r="D3375" s="1667"/>
      <c r="E3375" s="688"/>
      <c r="F3375" s="688"/>
      <c r="G3375" s="1665" t="s">
        <v>928</v>
      </c>
      <c r="H3375" s="1673">
        <f>SUM(H3369:H3374)</f>
        <v>0</v>
      </c>
      <c r="I3375" s="1668" t="s">
        <v>92</v>
      </c>
      <c r="J3375" s="1669">
        <f>'Lead &amp; ANALYSIS'!L693</f>
        <v>29.7</v>
      </c>
      <c r="K3375" s="1668" t="s">
        <v>1514</v>
      </c>
      <c r="L3375" s="1669">
        <f t="shared" ref="L3375" si="490">ROUND(H3375*J3375,0)</f>
        <v>0</v>
      </c>
    </row>
    <row r="3376" spans="1:12" s="692" customFormat="1" ht="82.5" hidden="1">
      <c r="A3376" s="1665">
        <f>'Lead &amp; ANALYSIS'!A694</f>
        <v>66</v>
      </c>
      <c r="B3376" s="1666" t="str">
        <f>'Lead &amp; ANALYSIS'!B694</f>
        <v xml:space="preserve">10cm  thick  dry  brick  khoa  using 4cm size including well watered  &amp; rammed to receive A.S. Flooring with cost, conveyance of  brick khoa and cost of labour etc. complete as per the direction of the Engineer-in-charge. </v>
      </c>
      <c r="C3376" s="688"/>
      <c r="D3376" s="1667"/>
      <c r="E3376" s="688"/>
      <c r="F3376" s="688"/>
      <c r="G3376" s="1674"/>
      <c r="H3376" s="688"/>
      <c r="I3376" s="1668"/>
      <c r="J3376" s="1668"/>
      <c r="K3376" s="1668"/>
      <c r="L3376" s="1669"/>
    </row>
    <row r="3377" spans="1:12" s="692" customFormat="1" ht="16.5" hidden="1">
      <c r="A3377" s="1665"/>
      <c r="B3377" s="1666"/>
      <c r="C3377" s="688"/>
      <c r="D3377" s="1667"/>
      <c r="E3377" s="1671">
        <v>3.5</v>
      </c>
      <c r="F3377" s="1672"/>
      <c r="G3377" s="1671">
        <v>4</v>
      </c>
      <c r="H3377" s="1671">
        <f t="shared" ref="H3377:H3382" si="491">ROUND(D3377*E3377*G3377,2)</f>
        <v>0</v>
      </c>
      <c r="I3377" s="1671" t="s">
        <v>92</v>
      </c>
      <c r="J3377" s="1668"/>
      <c r="K3377" s="1668"/>
      <c r="L3377" s="1669"/>
    </row>
    <row r="3378" spans="1:12" s="692" customFormat="1" ht="16.5" hidden="1">
      <c r="A3378" s="1665"/>
      <c r="B3378" s="1666"/>
      <c r="C3378" s="688"/>
      <c r="D3378" s="1667"/>
      <c r="E3378" s="1671">
        <v>3.5</v>
      </c>
      <c r="F3378" s="1672"/>
      <c r="G3378" s="1671">
        <v>4</v>
      </c>
      <c r="H3378" s="1671">
        <f t="shared" si="491"/>
        <v>0</v>
      </c>
      <c r="I3378" s="1671" t="s">
        <v>92</v>
      </c>
      <c r="J3378" s="1668"/>
      <c r="K3378" s="1668"/>
      <c r="L3378" s="1669"/>
    </row>
    <row r="3379" spans="1:12" s="692" customFormat="1" ht="16.5" hidden="1">
      <c r="A3379" s="1665"/>
      <c r="B3379" s="1666"/>
      <c r="C3379" s="688"/>
      <c r="D3379" s="1667"/>
      <c r="E3379" s="1671">
        <v>3.5</v>
      </c>
      <c r="F3379" s="1672"/>
      <c r="G3379" s="1671">
        <v>4</v>
      </c>
      <c r="H3379" s="1671">
        <f t="shared" si="491"/>
        <v>0</v>
      </c>
      <c r="I3379" s="1671" t="s">
        <v>92</v>
      </c>
      <c r="J3379" s="1668"/>
      <c r="K3379" s="1668"/>
      <c r="L3379" s="1669"/>
    </row>
    <row r="3380" spans="1:12" s="692" customFormat="1" ht="16.5" hidden="1">
      <c r="A3380" s="1665"/>
      <c r="B3380" s="1666"/>
      <c r="C3380" s="688"/>
      <c r="D3380" s="1667"/>
      <c r="E3380" s="1671">
        <v>3.5</v>
      </c>
      <c r="F3380" s="1672"/>
      <c r="G3380" s="1671">
        <v>4</v>
      </c>
      <c r="H3380" s="1671">
        <f t="shared" si="491"/>
        <v>0</v>
      </c>
      <c r="I3380" s="1671" t="s">
        <v>92</v>
      </c>
      <c r="J3380" s="1668"/>
      <c r="K3380" s="1668"/>
      <c r="L3380" s="1669"/>
    </row>
    <row r="3381" spans="1:12" s="692" customFormat="1" ht="16.5" hidden="1">
      <c r="A3381" s="1665"/>
      <c r="B3381" s="1666"/>
      <c r="C3381" s="688"/>
      <c r="D3381" s="1667"/>
      <c r="E3381" s="1671">
        <v>3.5</v>
      </c>
      <c r="F3381" s="1672"/>
      <c r="G3381" s="1671">
        <v>4</v>
      </c>
      <c r="H3381" s="1671">
        <f t="shared" si="491"/>
        <v>0</v>
      </c>
      <c r="I3381" s="1671" t="s">
        <v>92</v>
      </c>
      <c r="J3381" s="1668"/>
      <c r="K3381" s="1668"/>
      <c r="L3381" s="1669"/>
    </row>
    <row r="3382" spans="1:12" s="692" customFormat="1" ht="16.5" hidden="1">
      <c r="A3382" s="1665"/>
      <c r="B3382" s="1666"/>
      <c r="C3382" s="688"/>
      <c r="D3382" s="1667"/>
      <c r="E3382" s="1671">
        <v>3.5</v>
      </c>
      <c r="F3382" s="1672"/>
      <c r="G3382" s="1671">
        <v>4</v>
      </c>
      <c r="H3382" s="1671">
        <f t="shared" si="491"/>
        <v>0</v>
      </c>
      <c r="I3382" s="1671" t="s">
        <v>92</v>
      </c>
      <c r="J3382" s="1668"/>
      <c r="K3382" s="1668"/>
      <c r="L3382" s="1669"/>
    </row>
    <row r="3383" spans="1:12" s="692" customFormat="1" ht="16.5" hidden="1">
      <c r="A3383" s="1665"/>
      <c r="B3383" s="1666"/>
      <c r="C3383" s="688"/>
      <c r="D3383" s="1667"/>
      <c r="E3383" s="688"/>
      <c r="F3383" s="688"/>
      <c r="G3383" s="1665" t="s">
        <v>928</v>
      </c>
      <c r="H3383" s="1673">
        <f>SUM(H3377:H3382)</f>
        <v>0</v>
      </c>
      <c r="I3383" s="1668" t="s">
        <v>92</v>
      </c>
      <c r="J3383" s="1669">
        <f>'Lead &amp; ANALYSIS'!L694</f>
        <v>220.5</v>
      </c>
      <c r="K3383" s="1668" t="s">
        <v>1514</v>
      </c>
      <c r="L3383" s="1669">
        <f t="shared" ref="L3383" si="492">ROUND(H3383*J3383,0)</f>
        <v>0</v>
      </c>
    </row>
    <row r="3384" spans="1:12" s="692" customFormat="1" ht="99" hidden="1">
      <c r="A3384" s="1665">
        <f>'Lead &amp; ANALYSIS'!A695</f>
        <v>67</v>
      </c>
      <c r="B3384" s="1666" t="str">
        <f>'Lead &amp; ANALYSIS'!B695</f>
        <v xml:space="preserve">10cm  thick  dry  epidorite metal or any other hard metal using 4cm size including well watered  &amp; rammed to receive A.S. Flooring with cost, conveyance of epidorite metal/any hard metal and cost of labour etc. complete as per the direction of the Engineer-in-charge. </v>
      </c>
      <c r="C3384" s="688"/>
      <c r="D3384" s="1667"/>
      <c r="E3384" s="688"/>
      <c r="F3384" s="688"/>
      <c r="G3384" s="1674"/>
      <c r="H3384" s="688"/>
      <c r="I3384" s="1668"/>
      <c r="J3384" s="1668"/>
      <c r="K3384" s="1668"/>
      <c r="L3384" s="1669"/>
    </row>
    <row r="3385" spans="1:12" s="692" customFormat="1" ht="16.5" hidden="1">
      <c r="A3385" s="1665"/>
      <c r="B3385" s="1666" t="s">
        <v>3008</v>
      </c>
      <c r="C3385" s="688"/>
      <c r="D3385" s="1667"/>
      <c r="E3385" s="688"/>
      <c r="F3385" s="688"/>
      <c r="G3385" s="1674"/>
      <c r="H3385" s="688"/>
      <c r="I3385" s="1668"/>
      <c r="J3385" s="1668"/>
      <c r="K3385" s="1668"/>
      <c r="L3385" s="1669"/>
    </row>
    <row r="3386" spans="1:12" s="692" customFormat="1" ht="16.5" hidden="1">
      <c r="A3386" s="1665"/>
      <c r="B3386" s="1666"/>
      <c r="C3386" s="688"/>
      <c r="D3386" s="1667"/>
      <c r="E3386" s="1671">
        <v>3.5</v>
      </c>
      <c r="F3386" s="1672"/>
      <c r="G3386" s="1671">
        <v>4</v>
      </c>
      <c r="H3386" s="1671">
        <f t="shared" ref="H3386:H3391" si="493">ROUND(D3386*E3386*G3386,2)</f>
        <v>0</v>
      </c>
      <c r="I3386" s="1671" t="s">
        <v>92</v>
      </c>
      <c r="J3386" s="1668"/>
      <c r="K3386" s="1668"/>
      <c r="L3386" s="1669"/>
    </row>
    <row r="3387" spans="1:12" s="692" customFormat="1" ht="16.5" hidden="1">
      <c r="A3387" s="1665"/>
      <c r="B3387" s="1666"/>
      <c r="C3387" s="688"/>
      <c r="D3387" s="1667"/>
      <c r="E3387" s="1671">
        <v>3.5</v>
      </c>
      <c r="F3387" s="1672"/>
      <c r="G3387" s="1671">
        <v>4</v>
      </c>
      <c r="H3387" s="1671">
        <f t="shared" si="493"/>
        <v>0</v>
      </c>
      <c r="I3387" s="1671" t="s">
        <v>92</v>
      </c>
      <c r="J3387" s="1668"/>
      <c r="K3387" s="1668"/>
      <c r="L3387" s="1669"/>
    </row>
    <row r="3388" spans="1:12" s="692" customFormat="1" ht="16.5" hidden="1">
      <c r="A3388" s="1665"/>
      <c r="B3388" s="1666"/>
      <c r="C3388" s="688"/>
      <c r="D3388" s="1667"/>
      <c r="E3388" s="1671">
        <v>3.5</v>
      </c>
      <c r="F3388" s="1672"/>
      <c r="G3388" s="1671">
        <v>4</v>
      </c>
      <c r="H3388" s="1671">
        <f t="shared" si="493"/>
        <v>0</v>
      </c>
      <c r="I3388" s="1671" t="s">
        <v>92</v>
      </c>
      <c r="J3388" s="1668"/>
      <c r="K3388" s="1668"/>
      <c r="L3388" s="1669"/>
    </row>
    <row r="3389" spans="1:12" s="692" customFormat="1" ht="16.5" hidden="1">
      <c r="A3389" s="1665"/>
      <c r="B3389" s="1666"/>
      <c r="C3389" s="688"/>
      <c r="D3389" s="1667"/>
      <c r="E3389" s="1671">
        <v>3.5</v>
      </c>
      <c r="F3389" s="1672"/>
      <c r="G3389" s="1671">
        <v>4</v>
      </c>
      <c r="H3389" s="1671">
        <f t="shared" si="493"/>
        <v>0</v>
      </c>
      <c r="I3389" s="1671" t="s">
        <v>92</v>
      </c>
      <c r="J3389" s="1668"/>
      <c r="K3389" s="1668"/>
      <c r="L3389" s="1669"/>
    </row>
    <row r="3390" spans="1:12" s="692" customFormat="1" ht="16.5" hidden="1">
      <c r="A3390" s="1665"/>
      <c r="B3390" s="1666"/>
      <c r="C3390" s="688"/>
      <c r="D3390" s="1667"/>
      <c r="E3390" s="1671">
        <v>3.5</v>
      </c>
      <c r="F3390" s="1672"/>
      <c r="G3390" s="1671">
        <v>4</v>
      </c>
      <c r="H3390" s="1671">
        <f t="shared" si="493"/>
        <v>0</v>
      </c>
      <c r="I3390" s="1671" t="s">
        <v>92</v>
      </c>
      <c r="J3390" s="1668"/>
      <c r="K3390" s="1668"/>
      <c r="L3390" s="1669"/>
    </row>
    <row r="3391" spans="1:12" s="692" customFormat="1" ht="16.5" hidden="1">
      <c r="A3391" s="1665"/>
      <c r="B3391" s="1666"/>
      <c r="C3391" s="688"/>
      <c r="D3391" s="1667"/>
      <c r="E3391" s="1671">
        <v>3.5</v>
      </c>
      <c r="F3391" s="1672"/>
      <c r="G3391" s="1671">
        <v>4</v>
      </c>
      <c r="H3391" s="1671">
        <f t="shared" si="493"/>
        <v>0</v>
      </c>
      <c r="I3391" s="1671" t="s">
        <v>92</v>
      </c>
      <c r="J3391" s="1668"/>
      <c r="K3391" s="1668"/>
      <c r="L3391" s="1669"/>
    </row>
    <row r="3392" spans="1:12" s="692" customFormat="1" ht="16.5" hidden="1">
      <c r="A3392" s="1665"/>
      <c r="B3392" s="1666"/>
      <c r="C3392" s="688"/>
      <c r="D3392" s="1667"/>
      <c r="E3392" s="688"/>
      <c r="F3392" s="688"/>
      <c r="G3392" s="1665" t="s">
        <v>928</v>
      </c>
      <c r="H3392" s="1673">
        <f>SUM(H3386:H3391)</f>
        <v>0</v>
      </c>
      <c r="I3392" s="1668" t="s">
        <v>92</v>
      </c>
      <c r="J3392" s="1669">
        <f>'Lead &amp; ANALYSIS'!L695</f>
        <v>351</v>
      </c>
      <c r="K3392" s="1668" t="s">
        <v>1514</v>
      </c>
      <c r="L3392" s="1669">
        <f t="shared" ref="L3392" si="494">ROUND(H3392*J3392,0)</f>
        <v>0</v>
      </c>
    </row>
    <row r="3393" spans="1:12" s="692" customFormat="1" ht="115.5" hidden="1">
      <c r="A3393" s="1665">
        <f>'Lead &amp; ANALYSIS'!A696</f>
        <v>68</v>
      </c>
      <c r="B3393" s="1666" t="str">
        <f>'Lead &amp; ANALYSIS'!B696</f>
        <v>Providing 2.5cm thick A.S. Flooring with cement concrete (1:2:4) using 12mm size black hard granite crusher broken chips and screened &amp; washed sharp sand for mortar and finished smooth to the rough surface of floor and punning including watering and curing  etc. complete in all respect as directed by the Engineer in charge.</v>
      </c>
      <c r="C3393" s="688"/>
      <c r="D3393" s="1667"/>
      <c r="E3393" s="688"/>
      <c r="F3393" s="688"/>
      <c r="G3393" s="1674"/>
      <c r="H3393" s="688"/>
      <c r="I3393" s="1668"/>
      <c r="J3393" s="1668"/>
      <c r="K3393" s="1668"/>
      <c r="L3393" s="1669"/>
    </row>
    <row r="3394" spans="1:12" s="692" customFormat="1" ht="16.5" hidden="1">
      <c r="A3394" s="1665" t="s">
        <v>383</v>
      </c>
      <c r="B3394" s="1666" t="s">
        <v>384</v>
      </c>
      <c r="C3394" s="688"/>
      <c r="D3394" s="1667"/>
      <c r="E3394" s="688"/>
      <c r="F3394" s="688"/>
      <c r="G3394" s="1674"/>
      <c r="H3394" s="688"/>
      <c r="I3394" s="1668"/>
      <c r="J3394" s="1668"/>
      <c r="K3394" s="1668"/>
      <c r="L3394" s="1669"/>
    </row>
    <row r="3395" spans="1:12" s="692" customFormat="1" ht="16.5" hidden="1">
      <c r="A3395" s="1665"/>
      <c r="B3395" s="1666"/>
      <c r="C3395" s="688"/>
      <c r="D3395" s="1667">
        <v>1</v>
      </c>
      <c r="E3395" s="1671">
        <v>9.15</v>
      </c>
      <c r="F3395" s="1672">
        <v>6.7</v>
      </c>
      <c r="G3395" s="1671"/>
      <c r="H3395" s="1671">
        <f>ROUND(D3395*E3395*F3395,2)</f>
        <v>61.31</v>
      </c>
      <c r="I3395" s="1671" t="s">
        <v>92</v>
      </c>
      <c r="J3395" s="1668"/>
      <c r="K3395" s="1668"/>
      <c r="L3395" s="1669"/>
    </row>
    <row r="3396" spans="1:12" s="692" customFormat="1" ht="16.5" hidden="1">
      <c r="A3396" s="1665"/>
      <c r="B3396" s="1666"/>
      <c r="C3396" s="688"/>
      <c r="D3396" s="1667">
        <v>1</v>
      </c>
      <c r="E3396" s="1671">
        <v>9.15</v>
      </c>
      <c r="F3396" s="1672">
        <v>2.1</v>
      </c>
      <c r="G3396" s="1671"/>
      <c r="H3396" s="1671">
        <f t="shared" ref="H3396:H3400" si="495">ROUND(D3396*E3396*F3396,2)</f>
        <v>19.22</v>
      </c>
      <c r="I3396" s="1671" t="s">
        <v>92</v>
      </c>
      <c r="J3396" s="1668"/>
      <c r="K3396" s="1668"/>
      <c r="L3396" s="1669"/>
    </row>
    <row r="3397" spans="1:12" s="692" customFormat="1" ht="16.5" hidden="1">
      <c r="A3397" s="1665"/>
      <c r="B3397" s="1666"/>
      <c r="C3397" s="688"/>
      <c r="D3397" s="1667">
        <v>3</v>
      </c>
      <c r="E3397" s="1671">
        <v>2.88</v>
      </c>
      <c r="F3397" s="1672">
        <v>0.25</v>
      </c>
      <c r="G3397" s="1671"/>
      <c r="H3397" s="1671">
        <f t="shared" si="495"/>
        <v>2.16</v>
      </c>
      <c r="I3397" s="1671" t="s">
        <v>92</v>
      </c>
      <c r="J3397" s="1668"/>
      <c r="K3397" s="1668"/>
      <c r="L3397" s="1669"/>
    </row>
    <row r="3398" spans="1:12" s="692" customFormat="1" ht="16.5" hidden="1">
      <c r="A3398" s="1665"/>
      <c r="B3398" s="1666"/>
      <c r="C3398" s="688"/>
      <c r="D3398" s="1667">
        <v>2</v>
      </c>
      <c r="E3398" s="1671">
        <v>2.1</v>
      </c>
      <c r="F3398" s="1672">
        <v>0.25</v>
      </c>
      <c r="G3398" s="1671"/>
      <c r="H3398" s="1671">
        <f t="shared" si="495"/>
        <v>1.05</v>
      </c>
      <c r="I3398" s="1671" t="s">
        <v>92</v>
      </c>
      <c r="J3398" s="1668"/>
      <c r="K3398" s="1668"/>
      <c r="L3398" s="1669"/>
    </row>
    <row r="3399" spans="1:12" s="692" customFormat="1" ht="16.5" hidden="1">
      <c r="A3399" s="1665"/>
      <c r="B3399" s="1666"/>
      <c r="C3399" s="688"/>
      <c r="D3399" s="1667">
        <v>2</v>
      </c>
      <c r="E3399" s="1671">
        <v>1.2</v>
      </c>
      <c r="F3399" s="1672">
        <v>0.25</v>
      </c>
      <c r="G3399" s="1671"/>
      <c r="H3399" s="1671">
        <f t="shared" si="495"/>
        <v>0.6</v>
      </c>
      <c r="I3399" s="1671" t="s">
        <v>92</v>
      </c>
      <c r="J3399" s="1668"/>
      <c r="K3399" s="1668"/>
      <c r="L3399" s="1669"/>
    </row>
    <row r="3400" spans="1:12" s="692" customFormat="1" ht="16.5" hidden="1">
      <c r="A3400" s="1665"/>
      <c r="B3400" s="1666"/>
      <c r="C3400" s="688"/>
      <c r="D3400" s="1667"/>
      <c r="E3400" s="1671">
        <v>3.5</v>
      </c>
      <c r="F3400" s="1672">
        <v>0.25</v>
      </c>
      <c r="G3400" s="1671"/>
      <c r="H3400" s="1671">
        <f t="shared" si="495"/>
        <v>0</v>
      </c>
      <c r="I3400" s="1671" t="s">
        <v>92</v>
      </c>
      <c r="J3400" s="1668"/>
      <c r="K3400" s="1668"/>
      <c r="L3400" s="1669"/>
    </row>
    <row r="3401" spans="1:12" s="692" customFormat="1" ht="16.5" hidden="1">
      <c r="A3401" s="1665"/>
      <c r="B3401" s="1666"/>
      <c r="C3401" s="688"/>
      <c r="D3401" s="1667"/>
      <c r="E3401" s="688"/>
      <c r="F3401" s="688"/>
      <c r="G3401" s="1665" t="s">
        <v>928</v>
      </c>
      <c r="H3401" s="1673"/>
      <c r="I3401" s="1668" t="s">
        <v>92</v>
      </c>
      <c r="J3401" s="1669">
        <f>'Lead &amp; ANALYSIS'!L697</f>
        <v>312.89999999999998</v>
      </c>
      <c r="K3401" s="1668" t="s">
        <v>1514</v>
      </c>
      <c r="L3401" s="1669">
        <f t="shared" ref="L3401" si="496">ROUND(H3401*J3401,0)</f>
        <v>0</v>
      </c>
    </row>
    <row r="3402" spans="1:12" s="692" customFormat="1" ht="16.5" hidden="1">
      <c r="A3402" s="1665" t="s">
        <v>386</v>
      </c>
      <c r="B3402" s="1666" t="s">
        <v>387</v>
      </c>
      <c r="C3402" s="688"/>
      <c r="D3402" s="1667"/>
      <c r="E3402" s="688"/>
      <c r="F3402" s="688"/>
      <c r="G3402" s="1674"/>
      <c r="H3402" s="688"/>
      <c r="I3402" s="1668"/>
      <c r="J3402" s="1668"/>
      <c r="K3402" s="1668"/>
      <c r="L3402" s="1669"/>
    </row>
    <row r="3403" spans="1:12" s="692" customFormat="1" ht="16.5" hidden="1">
      <c r="A3403" s="1665"/>
      <c r="B3403" s="1666"/>
      <c r="C3403" s="688"/>
      <c r="D3403" s="1667"/>
      <c r="E3403" s="1671">
        <v>3.5</v>
      </c>
      <c r="F3403" s="1672"/>
      <c r="G3403" s="1671">
        <v>4</v>
      </c>
      <c r="H3403" s="1671">
        <f t="shared" ref="H3403:H3408" si="497">ROUND(D3403*E3403*G3403,2)</f>
        <v>0</v>
      </c>
      <c r="I3403" s="1671" t="s">
        <v>92</v>
      </c>
      <c r="J3403" s="1668"/>
      <c r="K3403" s="1668"/>
      <c r="L3403" s="1669"/>
    </row>
    <row r="3404" spans="1:12" s="692" customFormat="1" ht="16.5" hidden="1">
      <c r="A3404" s="1665"/>
      <c r="B3404" s="1666"/>
      <c r="C3404" s="688"/>
      <c r="D3404" s="1667"/>
      <c r="E3404" s="1671">
        <v>3.5</v>
      </c>
      <c r="F3404" s="1672"/>
      <c r="G3404" s="1671">
        <v>4</v>
      </c>
      <c r="H3404" s="1671">
        <f t="shared" si="497"/>
        <v>0</v>
      </c>
      <c r="I3404" s="1671" t="s">
        <v>92</v>
      </c>
      <c r="J3404" s="1668"/>
      <c r="K3404" s="1668"/>
      <c r="L3404" s="1669"/>
    </row>
    <row r="3405" spans="1:12" s="692" customFormat="1" ht="16.5" hidden="1">
      <c r="A3405" s="1665"/>
      <c r="B3405" s="1666"/>
      <c r="C3405" s="688"/>
      <c r="D3405" s="1667"/>
      <c r="E3405" s="1671">
        <v>3.5</v>
      </c>
      <c r="F3405" s="1672"/>
      <c r="G3405" s="1671">
        <v>4</v>
      </c>
      <c r="H3405" s="1671">
        <f t="shared" si="497"/>
        <v>0</v>
      </c>
      <c r="I3405" s="1671" t="s">
        <v>92</v>
      </c>
      <c r="J3405" s="1668"/>
      <c r="K3405" s="1668"/>
      <c r="L3405" s="1669"/>
    </row>
    <row r="3406" spans="1:12" s="692" customFormat="1" ht="16.5" hidden="1">
      <c r="A3406" s="1665"/>
      <c r="B3406" s="1666"/>
      <c r="C3406" s="688"/>
      <c r="D3406" s="1667"/>
      <c r="E3406" s="1671">
        <v>3.5</v>
      </c>
      <c r="F3406" s="1672"/>
      <c r="G3406" s="1671">
        <v>4</v>
      </c>
      <c r="H3406" s="1671">
        <f t="shared" si="497"/>
        <v>0</v>
      </c>
      <c r="I3406" s="1671" t="s">
        <v>92</v>
      </c>
      <c r="J3406" s="1668"/>
      <c r="K3406" s="1668"/>
      <c r="L3406" s="1669"/>
    </row>
    <row r="3407" spans="1:12" s="692" customFormat="1" ht="16.5" hidden="1">
      <c r="A3407" s="1665"/>
      <c r="B3407" s="1666"/>
      <c r="C3407" s="688"/>
      <c r="D3407" s="1667"/>
      <c r="E3407" s="1671">
        <v>3.5</v>
      </c>
      <c r="F3407" s="1672"/>
      <c r="G3407" s="1671">
        <v>4</v>
      </c>
      <c r="H3407" s="1671">
        <f t="shared" si="497"/>
        <v>0</v>
      </c>
      <c r="I3407" s="1671" t="s">
        <v>92</v>
      </c>
      <c r="J3407" s="1668"/>
      <c r="K3407" s="1668"/>
      <c r="L3407" s="1669"/>
    </row>
    <row r="3408" spans="1:12" s="692" customFormat="1" ht="16.5" hidden="1">
      <c r="A3408" s="1665"/>
      <c r="B3408" s="1666"/>
      <c r="C3408" s="688"/>
      <c r="D3408" s="1667"/>
      <c r="E3408" s="1671">
        <v>3.5</v>
      </c>
      <c r="F3408" s="1672"/>
      <c r="G3408" s="1671">
        <v>4</v>
      </c>
      <c r="H3408" s="1671">
        <f t="shared" si="497"/>
        <v>0</v>
      </c>
      <c r="I3408" s="1671" t="s">
        <v>92</v>
      </c>
      <c r="J3408" s="1668"/>
      <c r="K3408" s="1668"/>
      <c r="L3408" s="1669"/>
    </row>
    <row r="3409" spans="1:12" s="692" customFormat="1" ht="16.5" hidden="1">
      <c r="A3409" s="1665"/>
      <c r="B3409" s="1666"/>
      <c r="C3409" s="688"/>
      <c r="D3409" s="1667"/>
      <c r="E3409" s="688"/>
      <c r="F3409" s="688"/>
      <c r="G3409" s="1665" t="s">
        <v>928</v>
      </c>
      <c r="H3409" s="1673">
        <f>SUM(H3403:H3408)</f>
        <v>0</v>
      </c>
      <c r="I3409" s="1668" t="s">
        <v>92</v>
      </c>
      <c r="J3409" s="1669">
        <f>'Lead &amp; ANALYSIS'!L698</f>
        <v>322.3</v>
      </c>
      <c r="K3409" s="1668" t="s">
        <v>1514</v>
      </c>
      <c r="L3409" s="1669">
        <f t="shared" ref="L3409" si="498">ROUND(H3409*J3409,0)</f>
        <v>0</v>
      </c>
    </row>
    <row r="3410" spans="1:12" s="692" customFormat="1" ht="16.5" hidden="1">
      <c r="A3410" s="1665" t="s">
        <v>432</v>
      </c>
      <c r="B3410" s="1666" t="s">
        <v>3622</v>
      </c>
      <c r="C3410" s="688"/>
      <c r="D3410" s="1667"/>
      <c r="E3410" s="688"/>
      <c r="F3410" s="688"/>
      <c r="G3410" s="1674"/>
      <c r="H3410" s="688"/>
      <c r="I3410" s="1668"/>
      <c r="J3410" s="1668"/>
      <c r="K3410" s="1668"/>
      <c r="L3410" s="1669"/>
    </row>
    <row r="3411" spans="1:12" s="692" customFormat="1" ht="16.5" hidden="1">
      <c r="A3411" s="1665"/>
      <c r="B3411" s="1666"/>
      <c r="C3411" s="688"/>
      <c r="D3411" s="1667"/>
      <c r="E3411" s="1671">
        <v>3.5</v>
      </c>
      <c r="F3411" s="1672"/>
      <c r="G3411" s="1671">
        <v>4</v>
      </c>
      <c r="H3411" s="1671">
        <f t="shared" ref="H3411:H3416" si="499">ROUND(D3411*E3411*G3411,2)</f>
        <v>0</v>
      </c>
      <c r="I3411" s="1671" t="s">
        <v>92</v>
      </c>
      <c r="J3411" s="1668"/>
      <c r="K3411" s="1668"/>
      <c r="L3411" s="1669"/>
    </row>
    <row r="3412" spans="1:12" s="692" customFormat="1" ht="16.5" hidden="1">
      <c r="A3412" s="1665"/>
      <c r="B3412" s="1666"/>
      <c r="C3412" s="688"/>
      <c r="D3412" s="1667"/>
      <c r="E3412" s="1671">
        <v>3.5</v>
      </c>
      <c r="F3412" s="1672"/>
      <c r="G3412" s="1671">
        <v>4</v>
      </c>
      <c r="H3412" s="1671">
        <f t="shared" si="499"/>
        <v>0</v>
      </c>
      <c r="I3412" s="1671" t="s">
        <v>92</v>
      </c>
      <c r="J3412" s="1668"/>
      <c r="K3412" s="1668"/>
      <c r="L3412" s="1669"/>
    </row>
    <row r="3413" spans="1:12" s="692" customFormat="1" ht="16.5" hidden="1">
      <c r="A3413" s="1665"/>
      <c r="B3413" s="1666"/>
      <c r="C3413" s="688"/>
      <c r="D3413" s="1667"/>
      <c r="E3413" s="1671">
        <v>3.5</v>
      </c>
      <c r="F3413" s="1672"/>
      <c r="G3413" s="1671">
        <v>4</v>
      </c>
      <c r="H3413" s="1671">
        <f t="shared" si="499"/>
        <v>0</v>
      </c>
      <c r="I3413" s="1671" t="s">
        <v>92</v>
      </c>
      <c r="J3413" s="1668"/>
      <c r="K3413" s="1668"/>
      <c r="L3413" s="1669"/>
    </row>
    <row r="3414" spans="1:12" s="692" customFormat="1" ht="16.5" hidden="1">
      <c r="A3414" s="1665"/>
      <c r="B3414" s="1666"/>
      <c r="C3414" s="688"/>
      <c r="D3414" s="1667"/>
      <c r="E3414" s="1671">
        <v>3.5</v>
      </c>
      <c r="F3414" s="1672"/>
      <c r="G3414" s="1671">
        <v>4</v>
      </c>
      <c r="H3414" s="1671">
        <f t="shared" si="499"/>
        <v>0</v>
      </c>
      <c r="I3414" s="1671" t="s">
        <v>92</v>
      </c>
      <c r="J3414" s="1668"/>
      <c r="K3414" s="1668"/>
      <c r="L3414" s="1669"/>
    </row>
    <row r="3415" spans="1:12" s="692" customFormat="1" ht="16.5" hidden="1">
      <c r="A3415" s="1665"/>
      <c r="B3415" s="1666"/>
      <c r="C3415" s="688"/>
      <c r="D3415" s="1667"/>
      <c r="E3415" s="1671">
        <v>3.5</v>
      </c>
      <c r="F3415" s="1672"/>
      <c r="G3415" s="1671">
        <v>4</v>
      </c>
      <c r="H3415" s="1671">
        <f t="shared" si="499"/>
        <v>0</v>
      </c>
      <c r="I3415" s="1671" t="s">
        <v>92</v>
      </c>
      <c r="J3415" s="1668"/>
      <c r="K3415" s="1668"/>
      <c r="L3415" s="1669"/>
    </row>
    <row r="3416" spans="1:12" s="692" customFormat="1" ht="16.5" hidden="1">
      <c r="A3416" s="1665"/>
      <c r="B3416" s="1666"/>
      <c r="C3416" s="688"/>
      <c r="D3416" s="1667"/>
      <c r="E3416" s="1671">
        <v>3.5</v>
      </c>
      <c r="F3416" s="1672"/>
      <c r="G3416" s="1671">
        <v>4</v>
      </c>
      <c r="H3416" s="1671">
        <f t="shared" si="499"/>
        <v>0</v>
      </c>
      <c r="I3416" s="1671" t="s">
        <v>92</v>
      </c>
      <c r="J3416" s="1668"/>
      <c r="K3416" s="1668"/>
      <c r="L3416" s="1669"/>
    </row>
    <row r="3417" spans="1:12" s="692" customFormat="1" ht="16.5" hidden="1">
      <c r="A3417" s="1665"/>
      <c r="B3417" s="1666"/>
      <c r="C3417" s="688"/>
      <c r="D3417" s="1667"/>
      <c r="E3417" s="688"/>
      <c r="F3417" s="688"/>
      <c r="G3417" s="1665" t="s">
        <v>928</v>
      </c>
      <c r="H3417" s="1673">
        <f>SUM(H3411:H3416)</f>
        <v>0</v>
      </c>
      <c r="I3417" s="1668" t="s">
        <v>92</v>
      </c>
      <c r="J3417" s="1669">
        <f>'Lead &amp; ANALYSIS'!L699</f>
        <v>332.2</v>
      </c>
      <c r="K3417" s="1668" t="s">
        <v>1514</v>
      </c>
      <c r="L3417" s="1669">
        <f t="shared" ref="L3417" si="500">ROUND(H3417*J3417,0)</f>
        <v>0</v>
      </c>
    </row>
    <row r="3418" spans="1:12" s="692" customFormat="1" ht="16.5" hidden="1">
      <c r="A3418" s="1665" t="s">
        <v>443</v>
      </c>
      <c r="B3418" s="1666" t="s">
        <v>3636</v>
      </c>
      <c r="C3418" s="688"/>
      <c r="D3418" s="1667"/>
      <c r="E3418" s="688"/>
      <c r="F3418" s="688"/>
      <c r="G3418" s="1674"/>
      <c r="H3418" s="688"/>
      <c r="I3418" s="1668"/>
      <c r="J3418" s="1668"/>
      <c r="K3418" s="1668"/>
      <c r="L3418" s="1669"/>
    </row>
    <row r="3419" spans="1:12" s="692" customFormat="1" ht="16.5" hidden="1">
      <c r="A3419" s="1665"/>
      <c r="B3419" s="1666"/>
      <c r="C3419" s="688"/>
      <c r="D3419" s="1667"/>
      <c r="E3419" s="1671">
        <v>3.5</v>
      </c>
      <c r="F3419" s="1672"/>
      <c r="G3419" s="1671">
        <v>4</v>
      </c>
      <c r="H3419" s="1671">
        <f t="shared" ref="H3419:H3424" si="501">ROUND(D3419*E3419*G3419,2)</f>
        <v>0</v>
      </c>
      <c r="I3419" s="1671" t="s">
        <v>92</v>
      </c>
      <c r="J3419" s="1668"/>
      <c r="K3419" s="1668"/>
      <c r="L3419" s="1669"/>
    </row>
    <row r="3420" spans="1:12" s="692" customFormat="1" ht="16.5" hidden="1">
      <c r="A3420" s="1665"/>
      <c r="B3420" s="1666"/>
      <c r="C3420" s="688"/>
      <c r="D3420" s="1667"/>
      <c r="E3420" s="1671">
        <v>3.5</v>
      </c>
      <c r="F3420" s="1672"/>
      <c r="G3420" s="1671">
        <v>4</v>
      </c>
      <c r="H3420" s="1671">
        <f t="shared" si="501"/>
        <v>0</v>
      </c>
      <c r="I3420" s="1671" t="s">
        <v>92</v>
      </c>
      <c r="J3420" s="1668"/>
      <c r="K3420" s="1668"/>
      <c r="L3420" s="1669"/>
    </row>
    <row r="3421" spans="1:12" s="692" customFormat="1" ht="16.5" hidden="1">
      <c r="A3421" s="1665"/>
      <c r="B3421" s="1666"/>
      <c r="C3421" s="688"/>
      <c r="D3421" s="1667"/>
      <c r="E3421" s="1671">
        <v>3.5</v>
      </c>
      <c r="F3421" s="1672"/>
      <c r="G3421" s="1671">
        <v>4</v>
      </c>
      <c r="H3421" s="1671">
        <f t="shared" si="501"/>
        <v>0</v>
      </c>
      <c r="I3421" s="1671" t="s">
        <v>92</v>
      </c>
      <c r="J3421" s="1668"/>
      <c r="K3421" s="1668"/>
      <c r="L3421" s="1669"/>
    </row>
    <row r="3422" spans="1:12" s="692" customFormat="1" ht="16.5" hidden="1">
      <c r="A3422" s="1665"/>
      <c r="B3422" s="1666"/>
      <c r="C3422" s="688"/>
      <c r="D3422" s="1667"/>
      <c r="E3422" s="1671">
        <v>3.5</v>
      </c>
      <c r="F3422" s="1672"/>
      <c r="G3422" s="1671">
        <v>4</v>
      </c>
      <c r="H3422" s="1671">
        <f t="shared" si="501"/>
        <v>0</v>
      </c>
      <c r="I3422" s="1671" t="s">
        <v>92</v>
      </c>
      <c r="J3422" s="1668"/>
      <c r="K3422" s="1668"/>
      <c r="L3422" s="1669"/>
    </row>
    <row r="3423" spans="1:12" s="692" customFormat="1" ht="16.5" hidden="1">
      <c r="A3423" s="1665"/>
      <c r="B3423" s="1666"/>
      <c r="C3423" s="688"/>
      <c r="D3423" s="1667"/>
      <c r="E3423" s="1671">
        <v>3.5</v>
      </c>
      <c r="F3423" s="1672"/>
      <c r="G3423" s="1671">
        <v>4</v>
      </c>
      <c r="H3423" s="1671">
        <f t="shared" si="501"/>
        <v>0</v>
      </c>
      <c r="I3423" s="1671" t="s">
        <v>92</v>
      </c>
      <c r="J3423" s="1668"/>
      <c r="K3423" s="1668"/>
      <c r="L3423" s="1669"/>
    </row>
    <row r="3424" spans="1:12" s="692" customFormat="1" ht="16.5" hidden="1">
      <c r="A3424" s="1665"/>
      <c r="B3424" s="1666"/>
      <c r="C3424" s="688"/>
      <c r="D3424" s="1667"/>
      <c r="E3424" s="1671">
        <v>3.5</v>
      </c>
      <c r="F3424" s="1672"/>
      <c r="G3424" s="1671">
        <v>4</v>
      </c>
      <c r="H3424" s="1671">
        <f t="shared" si="501"/>
        <v>0</v>
      </c>
      <c r="I3424" s="1671" t="s">
        <v>92</v>
      </c>
      <c r="J3424" s="1668"/>
      <c r="K3424" s="1668"/>
      <c r="L3424" s="1669"/>
    </row>
    <row r="3425" spans="1:12" s="692" customFormat="1" ht="16.5" hidden="1">
      <c r="A3425" s="1665"/>
      <c r="B3425" s="1666"/>
      <c r="C3425" s="688"/>
      <c r="D3425" s="1667"/>
      <c r="E3425" s="688"/>
      <c r="F3425" s="688"/>
      <c r="G3425" s="1665" t="s">
        <v>928</v>
      </c>
      <c r="H3425" s="1673">
        <f>SUM(H3419:H3424)</f>
        <v>0</v>
      </c>
      <c r="I3425" s="1668" t="s">
        <v>92</v>
      </c>
      <c r="J3425" s="1669">
        <f>'Lead &amp; ANALYSIS'!L700</f>
        <v>342</v>
      </c>
      <c r="K3425" s="1668" t="s">
        <v>1514</v>
      </c>
      <c r="L3425" s="1669">
        <f t="shared" ref="L3425" si="502">ROUND(H3425*J3425,0)</f>
        <v>0</v>
      </c>
    </row>
    <row r="3426" spans="1:12" s="692" customFormat="1" ht="129" hidden="1" customHeight="1">
      <c r="A3426" s="1665">
        <f>'Lead &amp; ANALYSIS'!A701</f>
        <v>69</v>
      </c>
      <c r="B3426" s="1666" t="str">
        <f>'Lead &amp; ANALYSIS'!B701</f>
        <v>Providing laying  of 60mm thick factory made cement concrete Paver Block of M35 grade of concrete and of approved veriety in colour and size made by block making mechine with strong vibratory compaction of approved design &amp; shape laid in required colour and pattern over 50mm thick compacted bed of course sand filling the joints with fine sand etc all complete including cost of all materials all labour T&amp;P etc required for the work complete in all respectas per the direction of the Engineer-in- Charge.</v>
      </c>
      <c r="C3426" s="688"/>
      <c r="D3426" s="1667"/>
      <c r="E3426" s="688"/>
      <c r="F3426" s="688"/>
      <c r="G3426" s="1674"/>
      <c r="H3426" s="688"/>
      <c r="I3426" s="1668"/>
      <c r="J3426" s="1668"/>
      <c r="K3426" s="1668"/>
      <c r="L3426" s="1669"/>
    </row>
    <row r="3427" spans="1:12" s="692" customFormat="1" ht="16.5" hidden="1">
      <c r="A3427" s="1665" t="s">
        <v>383</v>
      </c>
      <c r="B3427" s="1666" t="s">
        <v>384</v>
      </c>
      <c r="C3427" s="688"/>
      <c r="D3427" s="1667"/>
      <c r="E3427" s="688"/>
      <c r="F3427" s="688"/>
      <c r="G3427" s="1674"/>
      <c r="H3427" s="688"/>
      <c r="I3427" s="1668"/>
      <c r="J3427" s="1668"/>
      <c r="K3427" s="1668"/>
      <c r="L3427" s="1669"/>
    </row>
    <row r="3428" spans="1:12" s="692" customFormat="1" ht="16.5" hidden="1">
      <c r="A3428" s="1665"/>
      <c r="B3428" s="1666"/>
      <c r="C3428" s="688"/>
      <c r="D3428" s="1667"/>
      <c r="E3428" s="1671">
        <f>'DRAWING CC'!AT112</f>
        <v>0</v>
      </c>
      <c r="F3428" s="1672"/>
      <c r="G3428" s="1671">
        <f>'DRAWING CC'!BE112</f>
        <v>0</v>
      </c>
      <c r="H3428" s="1671">
        <f t="shared" ref="H3428:H3433" si="503">ROUND(D3428*E3428*G3428,2)</f>
        <v>0</v>
      </c>
      <c r="I3428" s="1671" t="s">
        <v>92</v>
      </c>
      <c r="J3428" s="1668"/>
      <c r="K3428" s="1668"/>
      <c r="L3428" s="1669"/>
    </row>
    <row r="3429" spans="1:12" s="692" customFormat="1" ht="16.5" hidden="1">
      <c r="A3429" s="1665"/>
      <c r="B3429" s="1666"/>
      <c r="C3429" s="688"/>
      <c r="D3429" s="1667"/>
      <c r="E3429" s="1671">
        <f>'DRAWING CC'!AT146</f>
        <v>0</v>
      </c>
      <c r="F3429" s="1672"/>
      <c r="G3429" s="1671">
        <f>'DRAWING CC'!BE146</f>
        <v>0</v>
      </c>
      <c r="H3429" s="1671">
        <f t="shared" si="503"/>
        <v>0</v>
      </c>
      <c r="I3429" s="1671" t="s">
        <v>92</v>
      </c>
      <c r="J3429" s="1668"/>
      <c r="K3429" s="1668"/>
      <c r="L3429" s="1669"/>
    </row>
    <row r="3430" spans="1:12" s="692" customFormat="1" ht="16.5" hidden="1">
      <c r="A3430" s="1665"/>
      <c r="B3430" s="1666"/>
      <c r="C3430" s="688"/>
      <c r="D3430" s="1667"/>
      <c r="E3430" s="1671">
        <f>E3240</f>
        <v>2.9249999999999998</v>
      </c>
      <c r="F3430" s="1672"/>
      <c r="G3430" s="1671">
        <f>G3240</f>
        <v>1.05</v>
      </c>
      <c r="H3430" s="1671">
        <f t="shared" si="503"/>
        <v>0</v>
      </c>
      <c r="I3430" s="1671" t="s">
        <v>92</v>
      </c>
      <c r="J3430" s="1668"/>
      <c r="K3430" s="1668"/>
      <c r="L3430" s="1669"/>
    </row>
    <row r="3431" spans="1:12" s="692" customFormat="1" ht="16.5" hidden="1">
      <c r="A3431" s="1665"/>
      <c r="B3431" s="1666"/>
      <c r="C3431" s="688"/>
      <c r="D3431" s="1667"/>
      <c r="E3431" s="1671">
        <f>E3241</f>
        <v>4</v>
      </c>
      <c r="F3431" s="1672"/>
      <c r="G3431" s="1671">
        <f>G3241</f>
        <v>0.75</v>
      </c>
      <c r="H3431" s="1671">
        <f t="shared" si="503"/>
        <v>0</v>
      </c>
      <c r="I3431" s="1671" t="s">
        <v>92</v>
      </c>
      <c r="J3431" s="1668"/>
      <c r="K3431" s="1668"/>
      <c r="L3431" s="1669"/>
    </row>
    <row r="3432" spans="1:12" s="692" customFormat="1" ht="16.5" hidden="1">
      <c r="A3432" s="1665"/>
      <c r="B3432" s="1666"/>
      <c r="C3432" s="688"/>
      <c r="D3432" s="1667"/>
      <c r="E3432" s="1671">
        <f>E3431</f>
        <v>4</v>
      </c>
      <c r="F3432" s="1672"/>
      <c r="G3432" s="1671">
        <f>'DRAWING CC'!GJ112</f>
        <v>0</v>
      </c>
      <c r="H3432" s="1671">
        <f t="shared" si="503"/>
        <v>0</v>
      </c>
      <c r="I3432" s="1671" t="s">
        <v>92</v>
      </c>
      <c r="J3432" s="1668"/>
      <c r="K3432" s="1668"/>
      <c r="L3432" s="1669"/>
    </row>
    <row r="3433" spans="1:12" s="692" customFormat="1" ht="16.5" hidden="1">
      <c r="A3433" s="1665"/>
      <c r="B3433" s="1666"/>
      <c r="C3433" s="688"/>
      <c r="D3433" s="1667"/>
      <c r="E3433" s="1671">
        <v>3.5</v>
      </c>
      <c r="F3433" s="1672"/>
      <c r="G3433" s="1671">
        <v>4</v>
      </c>
      <c r="H3433" s="1671">
        <f t="shared" si="503"/>
        <v>0</v>
      </c>
      <c r="I3433" s="1671" t="s">
        <v>92</v>
      </c>
      <c r="J3433" s="1668"/>
      <c r="K3433" s="1668"/>
      <c r="L3433" s="1669"/>
    </row>
    <row r="3434" spans="1:12" s="692" customFormat="1" ht="16.5" hidden="1">
      <c r="A3434" s="1665"/>
      <c r="B3434" s="1666"/>
      <c r="C3434" s="688"/>
      <c r="D3434" s="1667"/>
      <c r="E3434" s="688"/>
      <c r="F3434" s="688"/>
      <c r="G3434" s="1665" t="s">
        <v>928</v>
      </c>
      <c r="H3434" s="1673">
        <f>SUM(H3428:H3433)</f>
        <v>0</v>
      </c>
      <c r="I3434" s="1668" t="s">
        <v>92</v>
      </c>
      <c r="J3434" s="1669">
        <f>'Lead &amp; ANALYSIS'!L702</f>
        <v>631.1</v>
      </c>
      <c r="K3434" s="1668" t="s">
        <v>1514</v>
      </c>
      <c r="L3434" s="1669">
        <f t="shared" ref="L3434" si="504">ROUND(H3434*J3434,0)</f>
        <v>0</v>
      </c>
    </row>
    <row r="3435" spans="1:12" s="692" customFormat="1" ht="126" hidden="1" customHeight="1">
      <c r="A3435" s="1665">
        <f>'Lead &amp; ANALYSIS'!A703</f>
        <v>70</v>
      </c>
      <c r="B3435" s="1666" t="str">
        <f>'Lead &amp; ANALYSIS'!B703</f>
        <v>Providing laying  of 80mm thick factory made cement concrete Paver Block of M35 grade of concrete and of approved veriety in colour and size made by block making mechine with strong vibratory compaction of approved design &amp; shape laid in required colour and pattern over 50mm thick compacted bed of course sand filling the joints with fine sand etc all complete including cost of all materials all labour T&amp;P etc required for the work complete in all respectas per the direction of the Engineer-in- Charge.</v>
      </c>
      <c r="C3435" s="688"/>
      <c r="D3435" s="1667"/>
      <c r="E3435" s="688"/>
      <c r="F3435" s="688"/>
      <c r="G3435" s="1674"/>
      <c r="H3435" s="688"/>
      <c r="I3435" s="1668"/>
      <c r="J3435" s="1668"/>
      <c r="K3435" s="1668"/>
      <c r="L3435" s="1669"/>
    </row>
    <row r="3436" spans="1:12" s="692" customFormat="1" ht="16.5" hidden="1">
      <c r="A3436" s="1665" t="s">
        <v>383</v>
      </c>
      <c r="B3436" s="1666" t="s">
        <v>384</v>
      </c>
      <c r="C3436" s="688"/>
      <c r="D3436" s="1667"/>
      <c r="E3436" s="688"/>
      <c r="F3436" s="688"/>
      <c r="G3436" s="1674"/>
      <c r="H3436" s="688"/>
      <c r="I3436" s="1668"/>
      <c r="J3436" s="1668"/>
      <c r="K3436" s="1668"/>
      <c r="L3436" s="1669"/>
    </row>
    <row r="3437" spans="1:12" s="692" customFormat="1" ht="16.5" hidden="1">
      <c r="A3437" s="1665"/>
      <c r="B3437" s="1666"/>
      <c r="C3437" s="688"/>
      <c r="D3437" s="1667"/>
      <c r="E3437" s="1671">
        <f>'DRAWING CC'!AT121</f>
        <v>0</v>
      </c>
      <c r="F3437" s="1672"/>
      <c r="G3437" s="1671">
        <f>'DRAWING CC'!BE121</f>
        <v>0</v>
      </c>
      <c r="H3437" s="1671">
        <f t="shared" ref="H3437:H3442" si="505">ROUND(D3437*E3437*G3437,2)</f>
        <v>0</v>
      </c>
      <c r="I3437" s="1671" t="s">
        <v>92</v>
      </c>
      <c r="J3437" s="1668"/>
      <c r="K3437" s="1668"/>
      <c r="L3437" s="1669"/>
    </row>
    <row r="3438" spans="1:12" s="692" customFormat="1" ht="16.5" hidden="1">
      <c r="A3438" s="1665"/>
      <c r="B3438" s="1666"/>
      <c r="C3438" s="688"/>
      <c r="D3438" s="1667"/>
      <c r="E3438" s="1671">
        <f>'DRAWING CC'!AT155</f>
        <v>0</v>
      </c>
      <c r="F3438" s="1672"/>
      <c r="G3438" s="1671">
        <f>'DRAWING CC'!BE155</f>
        <v>0</v>
      </c>
      <c r="H3438" s="1671">
        <f t="shared" si="505"/>
        <v>0</v>
      </c>
      <c r="I3438" s="1671" t="s">
        <v>92</v>
      </c>
      <c r="J3438" s="1668"/>
      <c r="K3438" s="1668"/>
      <c r="L3438" s="1669"/>
    </row>
    <row r="3439" spans="1:12" s="692" customFormat="1" ht="16.5" hidden="1">
      <c r="A3439" s="1665"/>
      <c r="B3439" s="1666"/>
      <c r="C3439" s="688"/>
      <c r="D3439" s="1667"/>
      <c r="E3439" s="1671">
        <f>E3249</f>
        <v>3.5</v>
      </c>
      <c r="F3439" s="1672"/>
      <c r="G3439" s="1671">
        <f>G3249</f>
        <v>4</v>
      </c>
      <c r="H3439" s="1671">
        <f t="shared" si="505"/>
        <v>0</v>
      </c>
      <c r="I3439" s="1671" t="s">
        <v>92</v>
      </c>
      <c r="J3439" s="1668"/>
      <c r="K3439" s="1668"/>
      <c r="L3439" s="1669"/>
    </row>
    <row r="3440" spans="1:12" s="692" customFormat="1" ht="16.5" hidden="1">
      <c r="A3440" s="1665"/>
      <c r="B3440" s="1666"/>
      <c r="C3440" s="688"/>
      <c r="D3440" s="1667"/>
      <c r="E3440" s="1671">
        <f>E3250</f>
        <v>3.5</v>
      </c>
      <c r="F3440" s="1672"/>
      <c r="G3440" s="1671">
        <f>G3250</f>
        <v>4</v>
      </c>
      <c r="H3440" s="1671">
        <f t="shared" si="505"/>
        <v>0</v>
      </c>
      <c r="I3440" s="1671" t="s">
        <v>92</v>
      </c>
      <c r="J3440" s="1668"/>
      <c r="K3440" s="1668"/>
      <c r="L3440" s="1669"/>
    </row>
    <row r="3441" spans="1:12" s="692" customFormat="1" ht="16.5" hidden="1">
      <c r="A3441" s="1665"/>
      <c r="B3441" s="1666"/>
      <c r="C3441" s="688"/>
      <c r="D3441" s="1667"/>
      <c r="E3441" s="1671">
        <f>E3440</f>
        <v>3.5</v>
      </c>
      <c r="F3441" s="1672"/>
      <c r="G3441" s="1671">
        <f>'DRAWING CC'!GJ121</f>
        <v>0</v>
      </c>
      <c r="H3441" s="1671">
        <f t="shared" si="505"/>
        <v>0</v>
      </c>
      <c r="I3441" s="1671" t="s">
        <v>92</v>
      </c>
      <c r="J3441" s="1668"/>
      <c r="K3441" s="1668"/>
      <c r="L3441" s="1669"/>
    </row>
    <row r="3442" spans="1:12" s="692" customFormat="1" ht="16.5" hidden="1">
      <c r="A3442" s="1665"/>
      <c r="B3442" s="1666"/>
      <c r="C3442" s="688"/>
      <c r="D3442" s="1667"/>
      <c r="E3442" s="1671">
        <v>3.5</v>
      </c>
      <c r="F3442" s="1672"/>
      <c r="G3442" s="1671">
        <v>4</v>
      </c>
      <c r="H3442" s="1671">
        <f t="shared" si="505"/>
        <v>0</v>
      </c>
      <c r="I3442" s="1671" t="s">
        <v>92</v>
      </c>
      <c r="J3442" s="1668"/>
      <c r="K3442" s="1668"/>
      <c r="L3442" s="1669"/>
    </row>
    <row r="3443" spans="1:12" s="692" customFormat="1" ht="16.5" hidden="1">
      <c r="A3443" s="1665"/>
      <c r="B3443" s="1666"/>
      <c r="C3443" s="688"/>
      <c r="D3443" s="1667"/>
      <c r="E3443" s="688"/>
      <c r="F3443" s="688"/>
      <c r="G3443" s="1665" t="s">
        <v>928</v>
      </c>
      <c r="H3443" s="1673">
        <f>SUM(H3437:H3442)</f>
        <v>0</v>
      </c>
      <c r="I3443" s="1668" t="s">
        <v>92</v>
      </c>
      <c r="J3443" s="1669">
        <f>'Lead &amp; ANALYSIS'!L704</f>
        <v>718</v>
      </c>
      <c r="K3443" s="1668" t="s">
        <v>1514</v>
      </c>
      <c r="L3443" s="1669">
        <f t="shared" ref="L3443" si="506">ROUND(H3443*J3443,0)</f>
        <v>0</v>
      </c>
    </row>
    <row r="3444" spans="1:12" s="692" customFormat="1" ht="115.5" hidden="1">
      <c r="A3444" s="1665">
        <f>'Lead &amp; ANALYSIS'!A705</f>
        <v>71</v>
      </c>
      <c r="B3444" s="1666" t="str">
        <f>'Lead &amp; ANALYSIS'!B705</f>
        <v>Providing 2.5cm thick Grading Concrete over roof slab with cement concrete (1:2:2) using 6mm size black hard granite crusher broken chips and screened &amp; washed sharp sand for mortar and finished smooth to the rough surface of slab including watering and curing  etc. complete in all respect as directed by the Engineer in charge.</v>
      </c>
      <c r="C3444" s="688"/>
      <c r="D3444" s="1667"/>
      <c r="E3444" s="688"/>
      <c r="F3444" s="688"/>
      <c r="G3444" s="1674"/>
      <c r="H3444" s="688"/>
      <c r="I3444" s="1668"/>
      <c r="J3444" s="1668"/>
      <c r="K3444" s="1668"/>
      <c r="L3444" s="1669"/>
    </row>
    <row r="3445" spans="1:12" s="692" customFormat="1" ht="16.5" hidden="1">
      <c r="A3445" s="1665" t="s">
        <v>383</v>
      </c>
      <c r="B3445" s="1666" t="s">
        <v>384</v>
      </c>
      <c r="C3445" s="688"/>
      <c r="D3445" s="1667"/>
      <c r="E3445" s="688"/>
      <c r="F3445" s="688"/>
      <c r="G3445" s="1674"/>
      <c r="H3445" s="688"/>
      <c r="I3445" s="1668"/>
      <c r="J3445" s="1668"/>
      <c r="K3445" s="1668"/>
      <c r="L3445" s="1669"/>
    </row>
    <row r="3446" spans="1:12" s="692" customFormat="1" ht="16.5" hidden="1">
      <c r="A3446" s="1665"/>
      <c r="B3446" s="1666"/>
      <c r="C3446" s="688"/>
      <c r="D3446" s="1667"/>
      <c r="E3446" s="1671">
        <v>3.5</v>
      </c>
      <c r="F3446" s="1672"/>
      <c r="G3446" s="1671">
        <v>4</v>
      </c>
      <c r="H3446" s="1671">
        <f t="shared" ref="H3446:H3451" si="507">ROUND(D3446*E3446*G3446,2)</f>
        <v>0</v>
      </c>
      <c r="I3446" s="1671" t="s">
        <v>92</v>
      </c>
      <c r="J3446" s="1668"/>
      <c r="K3446" s="1668"/>
      <c r="L3446" s="1669"/>
    </row>
    <row r="3447" spans="1:12" s="692" customFormat="1" ht="16.5" hidden="1">
      <c r="A3447" s="1665"/>
      <c r="B3447" s="1666"/>
      <c r="C3447" s="688"/>
      <c r="D3447" s="1667"/>
      <c r="E3447" s="1671">
        <v>3.5</v>
      </c>
      <c r="F3447" s="1672"/>
      <c r="G3447" s="1671">
        <v>4</v>
      </c>
      <c r="H3447" s="1671">
        <f t="shared" si="507"/>
        <v>0</v>
      </c>
      <c r="I3447" s="1671" t="s">
        <v>92</v>
      </c>
      <c r="J3447" s="1668"/>
      <c r="K3447" s="1668"/>
      <c r="L3447" s="1669"/>
    </row>
    <row r="3448" spans="1:12" s="692" customFormat="1" ht="16.5" hidden="1">
      <c r="A3448" s="1665"/>
      <c r="B3448" s="1666"/>
      <c r="C3448" s="688"/>
      <c r="D3448" s="1667"/>
      <c r="E3448" s="1671">
        <v>3.5</v>
      </c>
      <c r="F3448" s="1672"/>
      <c r="G3448" s="1671">
        <v>4</v>
      </c>
      <c r="H3448" s="1671">
        <f t="shared" si="507"/>
        <v>0</v>
      </c>
      <c r="I3448" s="1671" t="s">
        <v>92</v>
      </c>
      <c r="J3448" s="1668"/>
      <c r="K3448" s="1668"/>
      <c r="L3448" s="1669"/>
    </row>
    <row r="3449" spans="1:12" s="692" customFormat="1" ht="16.5" hidden="1">
      <c r="A3449" s="1665"/>
      <c r="B3449" s="1666"/>
      <c r="C3449" s="688"/>
      <c r="D3449" s="1667"/>
      <c r="E3449" s="1671">
        <v>3.5</v>
      </c>
      <c r="F3449" s="1672"/>
      <c r="G3449" s="1671">
        <v>4</v>
      </c>
      <c r="H3449" s="1671">
        <f t="shared" si="507"/>
        <v>0</v>
      </c>
      <c r="I3449" s="1671" t="s">
        <v>92</v>
      </c>
      <c r="J3449" s="1668"/>
      <c r="K3449" s="1668"/>
      <c r="L3449" s="1669"/>
    </row>
    <row r="3450" spans="1:12" s="692" customFormat="1" ht="16.5" hidden="1">
      <c r="A3450" s="1665"/>
      <c r="B3450" s="1666"/>
      <c r="C3450" s="688"/>
      <c r="D3450" s="1667"/>
      <c r="E3450" s="1671">
        <v>3.5</v>
      </c>
      <c r="F3450" s="1672"/>
      <c r="G3450" s="1671">
        <v>4</v>
      </c>
      <c r="H3450" s="1671">
        <f t="shared" si="507"/>
        <v>0</v>
      </c>
      <c r="I3450" s="1671" t="s">
        <v>92</v>
      </c>
      <c r="J3450" s="1668"/>
      <c r="K3450" s="1668"/>
      <c r="L3450" s="1669"/>
    </row>
    <row r="3451" spans="1:12" s="692" customFormat="1" ht="16.5" hidden="1">
      <c r="A3451" s="1665"/>
      <c r="B3451" s="1666"/>
      <c r="C3451" s="688"/>
      <c r="D3451" s="1667"/>
      <c r="E3451" s="1671">
        <v>3.5</v>
      </c>
      <c r="F3451" s="1672"/>
      <c r="G3451" s="1671">
        <v>4</v>
      </c>
      <c r="H3451" s="1671">
        <f t="shared" si="507"/>
        <v>0</v>
      </c>
      <c r="I3451" s="1671" t="s">
        <v>92</v>
      </c>
      <c r="J3451" s="1668"/>
      <c r="K3451" s="1668"/>
      <c r="L3451" s="1669"/>
    </row>
    <row r="3452" spans="1:12" s="692" customFormat="1" ht="16.5" hidden="1">
      <c r="A3452" s="1665"/>
      <c r="B3452" s="1666"/>
      <c r="C3452" s="688"/>
      <c r="D3452" s="1667"/>
      <c r="E3452" s="688"/>
      <c r="F3452" s="688"/>
      <c r="G3452" s="1665" t="s">
        <v>928</v>
      </c>
      <c r="H3452" s="1673">
        <f>SUM(H3446:H3451)</f>
        <v>0</v>
      </c>
      <c r="I3452" s="1668" t="s">
        <v>92</v>
      </c>
      <c r="J3452" s="1669">
        <f>'Lead &amp; ANALYSIS'!L706</f>
        <v>338.6</v>
      </c>
      <c r="K3452" s="1668" t="s">
        <v>1514</v>
      </c>
      <c r="L3452" s="1669">
        <f t="shared" ref="L3452" si="508">ROUND(H3452*J3452,0)</f>
        <v>0</v>
      </c>
    </row>
    <row r="3453" spans="1:12" s="692" customFormat="1" ht="16.5" hidden="1">
      <c r="A3453" s="1665" t="s">
        <v>386</v>
      </c>
      <c r="B3453" s="1666" t="s">
        <v>387</v>
      </c>
      <c r="C3453" s="688"/>
      <c r="D3453" s="1667"/>
      <c r="E3453" s="688"/>
      <c r="F3453" s="688"/>
      <c r="G3453" s="1674"/>
      <c r="H3453" s="688"/>
      <c r="I3453" s="1668"/>
      <c r="J3453" s="1668"/>
      <c r="K3453" s="1668"/>
      <c r="L3453" s="1669"/>
    </row>
    <row r="3454" spans="1:12" s="692" customFormat="1" ht="16.5" hidden="1">
      <c r="A3454" s="1665"/>
      <c r="B3454" s="1666"/>
      <c r="C3454" s="688"/>
      <c r="D3454" s="1667"/>
      <c r="E3454" s="1671">
        <v>3.5</v>
      </c>
      <c r="F3454" s="1672"/>
      <c r="G3454" s="1671">
        <v>4</v>
      </c>
      <c r="H3454" s="1671">
        <f t="shared" ref="H3454:H3459" si="509">ROUND(D3454*E3454*G3454,2)</f>
        <v>0</v>
      </c>
      <c r="I3454" s="1671" t="s">
        <v>92</v>
      </c>
      <c r="J3454" s="1668"/>
      <c r="K3454" s="1668"/>
      <c r="L3454" s="1669"/>
    </row>
    <row r="3455" spans="1:12" s="692" customFormat="1" ht="16.5" hidden="1">
      <c r="A3455" s="1665"/>
      <c r="B3455" s="1666"/>
      <c r="C3455" s="688"/>
      <c r="D3455" s="1667"/>
      <c r="E3455" s="1671">
        <v>3.5</v>
      </c>
      <c r="F3455" s="1672"/>
      <c r="G3455" s="1671">
        <v>4</v>
      </c>
      <c r="H3455" s="1671">
        <f t="shared" si="509"/>
        <v>0</v>
      </c>
      <c r="I3455" s="1671" t="s">
        <v>92</v>
      </c>
      <c r="J3455" s="1668"/>
      <c r="K3455" s="1668"/>
      <c r="L3455" s="1669"/>
    </row>
    <row r="3456" spans="1:12" s="692" customFormat="1" ht="16.5" hidden="1">
      <c r="A3456" s="1665"/>
      <c r="B3456" s="1666"/>
      <c r="C3456" s="688"/>
      <c r="D3456" s="1667"/>
      <c r="E3456" s="1671">
        <v>3.5</v>
      </c>
      <c r="F3456" s="1672"/>
      <c r="G3456" s="1671">
        <v>4</v>
      </c>
      <c r="H3456" s="1671">
        <f t="shared" si="509"/>
        <v>0</v>
      </c>
      <c r="I3456" s="1671" t="s">
        <v>92</v>
      </c>
      <c r="J3456" s="1668"/>
      <c r="K3456" s="1668"/>
      <c r="L3456" s="1669"/>
    </row>
    <row r="3457" spans="1:12" s="692" customFormat="1" ht="16.5" hidden="1">
      <c r="A3457" s="1665"/>
      <c r="B3457" s="1666"/>
      <c r="C3457" s="688"/>
      <c r="D3457" s="1667"/>
      <c r="E3457" s="1671">
        <v>3.5</v>
      </c>
      <c r="F3457" s="1672"/>
      <c r="G3457" s="1671">
        <v>4</v>
      </c>
      <c r="H3457" s="1671">
        <f t="shared" si="509"/>
        <v>0</v>
      </c>
      <c r="I3457" s="1671" t="s">
        <v>92</v>
      </c>
      <c r="J3457" s="1668"/>
      <c r="K3457" s="1668"/>
      <c r="L3457" s="1669"/>
    </row>
    <row r="3458" spans="1:12" s="692" customFormat="1" ht="16.5" hidden="1">
      <c r="A3458" s="1665"/>
      <c r="B3458" s="1666"/>
      <c r="C3458" s="688"/>
      <c r="D3458" s="1667"/>
      <c r="E3458" s="1671">
        <v>3.5</v>
      </c>
      <c r="F3458" s="1672"/>
      <c r="G3458" s="1671">
        <v>4</v>
      </c>
      <c r="H3458" s="1671">
        <f t="shared" si="509"/>
        <v>0</v>
      </c>
      <c r="I3458" s="1671" t="s">
        <v>92</v>
      </c>
      <c r="J3458" s="1668"/>
      <c r="K3458" s="1668"/>
      <c r="L3458" s="1669"/>
    </row>
    <row r="3459" spans="1:12" s="692" customFormat="1" ht="16.5" hidden="1">
      <c r="A3459" s="1665"/>
      <c r="B3459" s="1666"/>
      <c r="C3459" s="688"/>
      <c r="D3459" s="1667"/>
      <c r="E3459" s="1671">
        <v>3.5</v>
      </c>
      <c r="F3459" s="1672"/>
      <c r="G3459" s="1671">
        <v>4</v>
      </c>
      <c r="H3459" s="1671">
        <f t="shared" si="509"/>
        <v>0</v>
      </c>
      <c r="I3459" s="1671" t="s">
        <v>92</v>
      </c>
      <c r="J3459" s="1668"/>
      <c r="K3459" s="1668"/>
      <c r="L3459" s="1669"/>
    </row>
    <row r="3460" spans="1:12" s="692" customFormat="1" ht="16.5" hidden="1">
      <c r="A3460" s="1665"/>
      <c r="B3460" s="1666"/>
      <c r="C3460" s="688"/>
      <c r="D3460" s="1667"/>
      <c r="E3460" s="688"/>
      <c r="F3460" s="688"/>
      <c r="G3460" s="1665" t="s">
        <v>928</v>
      </c>
      <c r="H3460" s="1673">
        <f>SUM(H3454:H3459)</f>
        <v>0</v>
      </c>
      <c r="I3460" s="1668" t="s">
        <v>92</v>
      </c>
      <c r="J3460" s="1669">
        <f>'Lead &amp; ANALYSIS'!L707</f>
        <v>348.7</v>
      </c>
      <c r="K3460" s="1668" t="s">
        <v>1514</v>
      </c>
      <c r="L3460" s="1669">
        <f t="shared" ref="L3460" si="510">ROUND(H3460*J3460,0)</f>
        <v>0</v>
      </c>
    </row>
    <row r="3461" spans="1:12" s="692" customFormat="1" ht="16.5" hidden="1">
      <c r="A3461" s="1665" t="s">
        <v>432</v>
      </c>
      <c r="B3461" s="1666" t="s">
        <v>3622</v>
      </c>
      <c r="C3461" s="688"/>
      <c r="D3461" s="1667"/>
      <c r="E3461" s="688"/>
      <c r="F3461" s="688"/>
      <c r="G3461" s="1674"/>
      <c r="H3461" s="688"/>
      <c r="I3461" s="1668"/>
      <c r="J3461" s="1668"/>
      <c r="K3461" s="1668"/>
      <c r="L3461" s="1669"/>
    </row>
    <row r="3462" spans="1:12" s="692" customFormat="1" ht="16.5" hidden="1">
      <c r="A3462" s="1665"/>
      <c r="B3462" s="1666"/>
      <c r="C3462" s="688"/>
      <c r="D3462" s="1667"/>
      <c r="E3462" s="1671">
        <v>3.5</v>
      </c>
      <c r="F3462" s="1672"/>
      <c r="G3462" s="1671">
        <v>4</v>
      </c>
      <c r="H3462" s="1671">
        <f t="shared" ref="H3462:H3467" si="511">ROUND(D3462*E3462*G3462,2)</f>
        <v>0</v>
      </c>
      <c r="I3462" s="1671" t="s">
        <v>92</v>
      </c>
      <c r="J3462" s="1668"/>
      <c r="K3462" s="1668"/>
      <c r="L3462" s="1669"/>
    </row>
    <row r="3463" spans="1:12" s="692" customFormat="1" ht="16.5" hidden="1">
      <c r="A3463" s="1665"/>
      <c r="B3463" s="1666"/>
      <c r="C3463" s="688"/>
      <c r="D3463" s="1667"/>
      <c r="E3463" s="1671">
        <v>3.5</v>
      </c>
      <c r="F3463" s="1672"/>
      <c r="G3463" s="1671">
        <v>4</v>
      </c>
      <c r="H3463" s="1671">
        <f t="shared" si="511"/>
        <v>0</v>
      </c>
      <c r="I3463" s="1671" t="s">
        <v>92</v>
      </c>
      <c r="J3463" s="1668"/>
      <c r="K3463" s="1668"/>
      <c r="L3463" s="1669"/>
    </row>
    <row r="3464" spans="1:12" s="692" customFormat="1" ht="16.5" hidden="1">
      <c r="A3464" s="1665"/>
      <c r="B3464" s="1666"/>
      <c r="C3464" s="688"/>
      <c r="D3464" s="1667"/>
      <c r="E3464" s="1671">
        <v>3.5</v>
      </c>
      <c r="F3464" s="1672"/>
      <c r="G3464" s="1671">
        <v>4</v>
      </c>
      <c r="H3464" s="1671">
        <f t="shared" si="511"/>
        <v>0</v>
      </c>
      <c r="I3464" s="1671" t="s">
        <v>92</v>
      </c>
      <c r="J3464" s="1668"/>
      <c r="K3464" s="1668"/>
      <c r="L3464" s="1669"/>
    </row>
    <row r="3465" spans="1:12" s="692" customFormat="1" ht="16.5" hidden="1">
      <c r="A3465" s="1665"/>
      <c r="B3465" s="1666"/>
      <c r="C3465" s="688"/>
      <c r="D3465" s="1667"/>
      <c r="E3465" s="1671">
        <v>3.5</v>
      </c>
      <c r="F3465" s="1672"/>
      <c r="G3465" s="1671">
        <v>4</v>
      </c>
      <c r="H3465" s="1671">
        <f t="shared" si="511"/>
        <v>0</v>
      </c>
      <c r="I3465" s="1671" t="s">
        <v>92</v>
      </c>
      <c r="J3465" s="1668"/>
      <c r="K3465" s="1668"/>
      <c r="L3465" s="1669"/>
    </row>
    <row r="3466" spans="1:12" s="692" customFormat="1" ht="16.5" hidden="1">
      <c r="A3466" s="1665"/>
      <c r="B3466" s="1666"/>
      <c r="C3466" s="688"/>
      <c r="D3466" s="1667"/>
      <c r="E3466" s="1671">
        <v>3.5</v>
      </c>
      <c r="F3466" s="1672"/>
      <c r="G3466" s="1671">
        <v>4</v>
      </c>
      <c r="H3466" s="1671">
        <f t="shared" si="511"/>
        <v>0</v>
      </c>
      <c r="I3466" s="1671" t="s">
        <v>92</v>
      </c>
      <c r="J3466" s="1668"/>
      <c r="K3466" s="1668"/>
      <c r="L3466" s="1669"/>
    </row>
    <row r="3467" spans="1:12" s="692" customFormat="1" ht="16.5" hidden="1">
      <c r="A3467" s="1665"/>
      <c r="B3467" s="1666"/>
      <c r="C3467" s="688"/>
      <c r="D3467" s="1667"/>
      <c r="E3467" s="1671">
        <v>3.5</v>
      </c>
      <c r="F3467" s="1672"/>
      <c r="G3467" s="1671">
        <v>4</v>
      </c>
      <c r="H3467" s="1671">
        <f t="shared" si="511"/>
        <v>0</v>
      </c>
      <c r="I3467" s="1671" t="s">
        <v>92</v>
      </c>
      <c r="J3467" s="1668"/>
      <c r="K3467" s="1668"/>
      <c r="L3467" s="1669"/>
    </row>
    <row r="3468" spans="1:12" s="692" customFormat="1" ht="16.5" hidden="1">
      <c r="A3468" s="1665"/>
      <c r="B3468" s="1666"/>
      <c r="C3468" s="688"/>
      <c r="D3468" s="1667"/>
      <c r="E3468" s="688"/>
      <c r="F3468" s="688"/>
      <c r="G3468" s="1665" t="s">
        <v>928</v>
      </c>
      <c r="H3468" s="1673">
        <f>SUM(H3462:H3467)</f>
        <v>0</v>
      </c>
      <c r="I3468" s="1668" t="s">
        <v>92</v>
      </c>
      <c r="J3468" s="1669">
        <f>'Lead &amp; ANALYSIS'!L708</f>
        <v>359.3</v>
      </c>
      <c r="K3468" s="1668" t="s">
        <v>1514</v>
      </c>
      <c r="L3468" s="1669">
        <f t="shared" ref="L3468" si="512">ROUND(H3468*J3468,0)</f>
        <v>0</v>
      </c>
    </row>
    <row r="3469" spans="1:12" s="692" customFormat="1" ht="16.5" hidden="1">
      <c r="A3469" s="1665" t="s">
        <v>443</v>
      </c>
      <c r="B3469" s="1666" t="s">
        <v>3636</v>
      </c>
      <c r="C3469" s="688"/>
      <c r="D3469" s="1667"/>
      <c r="E3469" s="688"/>
      <c r="F3469" s="688"/>
      <c r="G3469" s="1674"/>
      <c r="H3469" s="688"/>
      <c r="I3469" s="1668"/>
      <c r="J3469" s="1668"/>
      <c r="K3469" s="1668"/>
      <c r="L3469" s="1669"/>
    </row>
    <row r="3470" spans="1:12" s="692" customFormat="1" ht="16.5" hidden="1">
      <c r="A3470" s="1665"/>
      <c r="B3470" s="1666"/>
      <c r="C3470" s="688"/>
      <c r="D3470" s="1667"/>
      <c r="E3470" s="1671">
        <v>3.5</v>
      </c>
      <c r="F3470" s="1672"/>
      <c r="G3470" s="1671">
        <v>4</v>
      </c>
      <c r="H3470" s="1671">
        <f t="shared" ref="H3470:H3475" si="513">ROUND(D3470*E3470*G3470,2)</f>
        <v>0</v>
      </c>
      <c r="I3470" s="1671" t="s">
        <v>92</v>
      </c>
      <c r="J3470" s="1668"/>
      <c r="K3470" s="1668"/>
      <c r="L3470" s="1669"/>
    </row>
    <row r="3471" spans="1:12" s="692" customFormat="1" ht="16.5" hidden="1">
      <c r="A3471" s="1665"/>
      <c r="B3471" s="1666"/>
      <c r="C3471" s="688"/>
      <c r="D3471" s="1667"/>
      <c r="E3471" s="1671">
        <v>3.5</v>
      </c>
      <c r="F3471" s="1672"/>
      <c r="G3471" s="1671">
        <v>4</v>
      </c>
      <c r="H3471" s="1671">
        <f t="shared" si="513"/>
        <v>0</v>
      </c>
      <c r="I3471" s="1671" t="s">
        <v>92</v>
      </c>
      <c r="J3471" s="1668"/>
      <c r="K3471" s="1668"/>
      <c r="L3471" s="1669"/>
    </row>
    <row r="3472" spans="1:12" s="692" customFormat="1" ht="16.5" hidden="1">
      <c r="A3472" s="1665"/>
      <c r="B3472" s="1666"/>
      <c r="C3472" s="688"/>
      <c r="D3472" s="1667"/>
      <c r="E3472" s="1671">
        <v>3.5</v>
      </c>
      <c r="F3472" s="1672"/>
      <c r="G3472" s="1671">
        <v>4</v>
      </c>
      <c r="H3472" s="1671">
        <f t="shared" si="513"/>
        <v>0</v>
      </c>
      <c r="I3472" s="1671" t="s">
        <v>92</v>
      </c>
      <c r="J3472" s="1668"/>
      <c r="K3472" s="1668"/>
      <c r="L3472" s="1669"/>
    </row>
    <row r="3473" spans="1:12" s="692" customFormat="1" ht="16.5" hidden="1">
      <c r="A3473" s="1665"/>
      <c r="B3473" s="1666"/>
      <c r="C3473" s="688"/>
      <c r="D3473" s="1667"/>
      <c r="E3473" s="1671">
        <v>3.5</v>
      </c>
      <c r="F3473" s="1672"/>
      <c r="G3473" s="1671">
        <v>4</v>
      </c>
      <c r="H3473" s="1671">
        <f t="shared" si="513"/>
        <v>0</v>
      </c>
      <c r="I3473" s="1671" t="s">
        <v>92</v>
      </c>
      <c r="J3473" s="1668"/>
      <c r="K3473" s="1668"/>
      <c r="L3473" s="1669"/>
    </row>
    <row r="3474" spans="1:12" s="692" customFormat="1" ht="16.5" hidden="1">
      <c r="A3474" s="1665"/>
      <c r="B3474" s="1666"/>
      <c r="C3474" s="688"/>
      <c r="D3474" s="1667"/>
      <c r="E3474" s="1671">
        <v>3.5</v>
      </c>
      <c r="F3474" s="1672"/>
      <c r="G3474" s="1671">
        <v>4</v>
      </c>
      <c r="H3474" s="1671">
        <f t="shared" si="513"/>
        <v>0</v>
      </c>
      <c r="I3474" s="1671" t="s">
        <v>92</v>
      </c>
      <c r="J3474" s="1668"/>
      <c r="K3474" s="1668"/>
      <c r="L3474" s="1669"/>
    </row>
    <row r="3475" spans="1:12" s="692" customFormat="1" ht="16.5" hidden="1">
      <c r="A3475" s="1665"/>
      <c r="B3475" s="1666"/>
      <c r="C3475" s="688"/>
      <c r="D3475" s="1667"/>
      <c r="E3475" s="1671">
        <v>3.5</v>
      </c>
      <c r="F3475" s="1672"/>
      <c r="G3475" s="1671">
        <v>4</v>
      </c>
      <c r="H3475" s="1671">
        <f t="shared" si="513"/>
        <v>0</v>
      </c>
      <c r="I3475" s="1671" t="s">
        <v>92</v>
      </c>
      <c r="J3475" s="1668"/>
      <c r="K3475" s="1668"/>
      <c r="L3475" s="1669"/>
    </row>
    <row r="3476" spans="1:12" s="692" customFormat="1" ht="16.5" hidden="1">
      <c r="A3476" s="1665"/>
      <c r="B3476" s="1666"/>
      <c r="C3476" s="688"/>
      <c r="D3476" s="1667"/>
      <c r="E3476" s="688"/>
      <c r="F3476" s="688"/>
      <c r="G3476" s="1665" t="s">
        <v>928</v>
      </c>
      <c r="H3476" s="1673">
        <f>SUM(H3470:H3475)</f>
        <v>0</v>
      </c>
      <c r="I3476" s="1668" t="s">
        <v>92</v>
      </c>
      <c r="J3476" s="1669">
        <f>'Lead &amp; ANALYSIS'!L709</f>
        <v>370.4</v>
      </c>
      <c r="K3476" s="1668" t="s">
        <v>1514</v>
      </c>
      <c r="L3476" s="1669">
        <f t="shared" ref="L3476" si="514">ROUND(H3476*J3476,0)</f>
        <v>0</v>
      </c>
    </row>
    <row r="3477" spans="1:12" s="692" customFormat="1" ht="148.5" hidden="1">
      <c r="A3477" s="1665">
        <f>'Lead &amp; ANALYSIS'!A710</f>
        <v>72</v>
      </c>
      <c r="B3477" s="1666" t="str">
        <f>'Lead &amp; ANALYSIS'!B710</f>
        <v>Providing 4cm thick Grading Concrete over roof slab with cement concrete (1:2:4) using 12mm size black hard granite crusher broken chips and screened &amp; washed sharp sand for mortar and finished smooth to the rough surface of slab including watering and curing with cost, conveyance, royalties and taxes of all materials with cost of all labour, and T&amp;P required for the work etc. complete in all respect as directed by the Engineer in charge.</v>
      </c>
      <c r="C3477" s="688"/>
      <c r="D3477" s="1667"/>
      <c r="E3477" s="688"/>
      <c r="F3477" s="688"/>
      <c r="G3477" s="1674"/>
      <c r="H3477" s="688"/>
      <c r="I3477" s="1668"/>
      <c r="J3477" s="1668"/>
      <c r="K3477" s="1668"/>
      <c r="L3477" s="1669"/>
    </row>
    <row r="3478" spans="1:12" s="692" customFormat="1" ht="16.5" hidden="1">
      <c r="A3478" s="1665" t="s">
        <v>383</v>
      </c>
      <c r="B3478" s="1666" t="s">
        <v>384</v>
      </c>
      <c r="C3478" s="688"/>
      <c r="D3478" s="1667"/>
      <c r="E3478" s="688"/>
      <c r="F3478" s="688"/>
      <c r="G3478" s="1674"/>
      <c r="H3478" s="688"/>
      <c r="I3478" s="1668"/>
      <c r="J3478" s="1668"/>
      <c r="K3478" s="1668"/>
      <c r="L3478" s="1669"/>
    </row>
    <row r="3479" spans="1:12" s="692" customFormat="1" ht="16.5" hidden="1">
      <c r="A3479" s="1665"/>
      <c r="B3479" s="1666"/>
      <c r="C3479" s="688"/>
      <c r="D3479" s="1667"/>
      <c r="E3479" s="1671">
        <v>3.5</v>
      </c>
      <c r="F3479" s="1672"/>
      <c r="G3479" s="1671">
        <v>4</v>
      </c>
      <c r="H3479" s="1671">
        <f t="shared" ref="H3479:H3484" si="515">ROUND(D3479*E3479*G3479,2)</f>
        <v>0</v>
      </c>
      <c r="I3479" s="1671" t="s">
        <v>92</v>
      </c>
      <c r="J3479" s="1668"/>
      <c r="K3479" s="1668"/>
      <c r="L3479" s="1669"/>
    </row>
    <row r="3480" spans="1:12" s="692" customFormat="1" ht="16.5" hidden="1">
      <c r="A3480" s="1665"/>
      <c r="B3480" s="1666"/>
      <c r="C3480" s="688"/>
      <c r="D3480" s="1667"/>
      <c r="E3480" s="1671">
        <v>3.5</v>
      </c>
      <c r="F3480" s="1672"/>
      <c r="G3480" s="1671">
        <v>4</v>
      </c>
      <c r="H3480" s="1671">
        <f t="shared" si="515"/>
        <v>0</v>
      </c>
      <c r="I3480" s="1671" t="s">
        <v>92</v>
      </c>
      <c r="J3480" s="1668"/>
      <c r="K3480" s="1668"/>
      <c r="L3480" s="1669"/>
    </row>
    <row r="3481" spans="1:12" s="692" customFormat="1" ht="16.5" hidden="1">
      <c r="A3481" s="1665"/>
      <c r="B3481" s="1666"/>
      <c r="C3481" s="688"/>
      <c r="D3481" s="1667"/>
      <c r="E3481" s="1671">
        <v>3.5</v>
      </c>
      <c r="F3481" s="1672"/>
      <c r="G3481" s="1671">
        <v>4</v>
      </c>
      <c r="H3481" s="1671">
        <f t="shared" si="515"/>
        <v>0</v>
      </c>
      <c r="I3481" s="1671" t="s">
        <v>92</v>
      </c>
      <c r="J3481" s="1668"/>
      <c r="K3481" s="1668"/>
      <c r="L3481" s="1669"/>
    </row>
    <row r="3482" spans="1:12" s="692" customFormat="1" ht="16.5" hidden="1">
      <c r="A3482" s="1665"/>
      <c r="B3482" s="1666"/>
      <c r="C3482" s="688"/>
      <c r="D3482" s="1667"/>
      <c r="E3482" s="1671">
        <v>3.5</v>
      </c>
      <c r="F3482" s="1672"/>
      <c r="G3482" s="1671">
        <v>4</v>
      </c>
      <c r="H3482" s="1671">
        <f t="shared" si="515"/>
        <v>0</v>
      </c>
      <c r="I3482" s="1671" t="s">
        <v>92</v>
      </c>
      <c r="J3482" s="1668"/>
      <c r="K3482" s="1668"/>
      <c r="L3482" s="1669"/>
    </row>
    <row r="3483" spans="1:12" s="692" customFormat="1" ht="16.5" hidden="1">
      <c r="A3483" s="1665"/>
      <c r="B3483" s="1666"/>
      <c r="C3483" s="688"/>
      <c r="D3483" s="1667"/>
      <c r="E3483" s="1671">
        <v>3.5</v>
      </c>
      <c r="F3483" s="1672"/>
      <c r="G3483" s="1671">
        <v>4</v>
      </c>
      <c r="H3483" s="1671">
        <f t="shared" si="515"/>
        <v>0</v>
      </c>
      <c r="I3483" s="1671" t="s">
        <v>92</v>
      </c>
      <c r="J3483" s="1668"/>
      <c r="K3483" s="1668"/>
      <c r="L3483" s="1669"/>
    </row>
    <row r="3484" spans="1:12" s="692" customFormat="1" ht="16.5" hidden="1">
      <c r="A3484" s="1665"/>
      <c r="B3484" s="1666"/>
      <c r="C3484" s="688"/>
      <c r="D3484" s="1667"/>
      <c r="E3484" s="1671">
        <v>3.5</v>
      </c>
      <c r="F3484" s="1672"/>
      <c r="G3484" s="1671">
        <v>4</v>
      </c>
      <c r="H3484" s="1671">
        <f t="shared" si="515"/>
        <v>0</v>
      </c>
      <c r="I3484" s="1671" t="s">
        <v>92</v>
      </c>
      <c r="J3484" s="1668"/>
      <c r="K3484" s="1668"/>
      <c r="L3484" s="1669"/>
    </row>
    <row r="3485" spans="1:12" s="692" customFormat="1" ht="16.5" hidden="1">
      <c r="A3485" s="1665"/>
      <c r="B3485" s="1666"/>
      <c r="C3485" s="688"/>
      <c r="D3485" s="1667"/>
      <c r="E3485" s="688"/>
      <c r="F3485" s="688"/>
      <c r="G3485" s="1665" t="s">
        <v>928</v>
      </c>
      <c r="H3485" s="1673">
        <f>SUM(H3479:H3484)</f>
        <v>0</v>
      </c>
      <c r="I3485" s="1668" t="s">
        <v>92</v>
      </c>
      <c r="J3485" s="1669">
        <f>'Lead &amp; ANALYSIS'!L711</f>
        <v>609.1</v>
      </c>
      <c r="K3485" s="1668" t="s">
        <v>1514</v>
      </c>
      <c r="L3485" s="1669">
        <f t="shared" ref="L3485" si="516">ROUND(H3485*J3485,0)</f>
        <v>0</v>
      </c>
    </row>
    <row r="3486" spans="1:12" s="692" customFormat="1" ht="16.5" hidden="1">
      <c r="A3486" s="1665" t="s">
        <v>386</v>
      </c>
      <c r="B3486" s="1666" t="s">
        <v>387</v>
      </c>
      <c r="C3486" s="688"/>
      <c r="D3486" s="1667"/>
      <c r="E3486" s="688"/>
      <c r="F3486" s="688"/>
      <c r="G3486" s="1674"/>
      <c r="H3486" s="688"/>
      <c r="I3486" s="1668"/>
      <c r="J3486" s="1668"/>
      <c r="K3486" s="1668"/>
      <c r="L3486" s="1669"/>
    </row>
    <row r="3487" spans="1:12" s="692" customFormat="1" ht="16.5" hidden="1">
      <c r="A3487" s="1665"/>
      <c r="B3487" s="1666"/>
      <c r="C3487" s="688"/>
      <c r="D3487" s="1667"/>
      <c r="E3487" s="1671">
        <v>3.5</v>
      </c>
      <c r="F3487" s="1672"/>
      <c r="G3487" s="1671">
        <v>4</v>
      </c>
      <c r="H3487" s="1671">
        <f t="shared" ref="H3487:H3492" si="517">ROUND(D3487*E3487*G3487,2)</f>
        <v>0</v>
      </c>
      <c r="I3487" s="1671" t="s">
        <v>92</v>
      </c>
      <c r="J3487" s="1668"/>
      <c r="K3487" s="1668"/>
      <c r="L3487" s="1669"/>
    </row>
    <row r="3488" spans="1:12" s="692" customFormat="1" ht="16.5" hidden="1">
      <c r="A3488" s="1665"/>
      <c r="B3488" s="1666"/>
      <c r="C3488" s="688"/>
      <c r="D3488" s="1667"/>
      <c r="E3488" s="1671">
        <v>3.5</v>
      </c>
      <c r="F3488" s="1672"/>
      <c r="G3488" s="1671">
        <v>4</v>
      </c>
      <c r="H3488" s="1671">
        <f t="shared" si="517"/>
        <v>0</v>
      </c>
      <c r="I3488" s="1671" t="s">
        <v>92</v>
      </c>
      <c r="J3488" s="1668"/>
      <c r="K3488" s="1668"/>
      <c r="L3488" s="1669"/>
    </row>
    <row r="3489" spans="1:12" s="692" customFormat="1" ht="16.5" hidden="1">
      <c r="A3489" s="1665"/>
      <c r="B3489" s="1666"/>
      <c r="C3489" s="688"/>
      <c r="D3489" s="1667"/>
      <c r="E3489" s="1671">
        <v>3.5</v>
      </c>
      <c r="F3489" s="1672"/>
      <c r="G3489" s="1671">
        <v>4</v>
      </c>
      <c r="H3489" s="1671">
        <f t="shared" si="517"/>
        <v>0</v>
      </c>
      <c r="I3489" s="1671" t="s">
        <v>92</v>
      </c>
      <c r="J3489" s="1668"/>
      <c r="K3489" s="1668"/>
      <c r="L3489" s="1669"/>
    </row>
    <row r="3490" spans="1:12" s="692" customFormat="1" ht="16.5" hidden="1">
      <c r="A3490" s="1665"/>
      <c r="B3490" s="1666"/>
      <c r="C3490" s="688"/>
      <c r="D3490" s="1667"/>
      <c r="E3490" s="1671">
        <v>3.5</v>
      </c>
      <c r="F3490" s="1672"/>
      <c r="G3490" s="1671">
        <v>4</v>
      </c>
      <c r="H3490" s="1671">
        <f t="shared" si="517"/>
        <v>0</v>
      </c>
      <c r="I3490" s="1671" t="s">
        <v>92</v>
      </c>
      <c r="J3490" s="1668"/>
      <c r="K3490" s="1668"/>
      <c r="L3490" s="1669"/>
    </row>
    <row r="3491" spans="1:12" s="692" customFormat="1" ht="16.5" hidden="1">
      <c r="A3491" s="1665"/>
      <c r="B3491" s="1666"/>
      <c r="C3491" s="688"/>
      <c r="D3491" s="1667"/>
      <c r="E3491" s="1671">
        <v>3.5</v>
      </c>
      <c r="F3491" s="1672"/>
      <c r="G3491" s="1671">
        <v>4</v>
      </c>
      <c r="H3491" s="1671">
        <f t="shared" si="517"/>
        <v>0</v>
      </c>
      <c r="I3491" s="1671" t="s">
        <v>92</v>
      </c>
      <c r="J3491" s="1668"/>
      <c r="K3491" s="1668"/>
      <c r="L3491" s="1669"/>
    </row>
    <row r="3492" spans="1:12" s="692" customFormat="1" ht="16.5" hidden="1">
      <c r="A3492" s="1665"/>
      <c r="B3492" s="1666"/>
      <c r="C3492" s="688"/>
      <c r="D3492" s="1667"/>
      <c r="E3492" s="1671">
        <v>3.5</v>
      </c>
      <c r="F3492" s="1672"/>
      <c r="G3492" s="1671">
        <v>4</v>
      </c>
      <c r="H3492" s="1671">
        <f t="shared" si="517"/>
        <v>0</v>
      </c>
      <c r="I3492" s="1671" t="s">
        <v>92</v>
      </c>
      <c r="J3492" s="1668"/>
      <c r="K3492" s="1668"/>
      <c r="L3492" s="1669"/>
    </row>
    <row r="3493" spans="1:12" s="692" customFormat="1" ht="16.5" hidden="1">
      <c r="A3493" s="1665"/>
      <c r="B3493" s="1666"/>
      <c r="C3493" s="688"/>
      <c r="D3493" s="1667"/>
      <c r="E3493" s="688"/>
      <c r="F3493" s="688"/>
      <c r="G3493" s="1665" t="s">
        <v>928</v>
      </c>
      <c r="H3493" s="1673">
        <f>SUM(H3487:H3492)</f>
        <v>0</v>
      </c>
      <c r="I3493" s="1668" t="s">
        <v>92</v>
      </c>
      <c r="J3493" s="1669">
        <f>'Lead &amp; ANALYSIS'!L712</f>
        <v>630.6</v>
      </c>
      <c r="K3493" s="1668" t="s">
        <v>1514</v>
      </c>
      <c r="L3493" s="1669">
        <f t="shared" ref="L3493" si="518">ROUND(H3493*J3493,0)</f>
        <v>0</v>
      </c>
    </row>
    <row r="3494" spans="1:12" s="692" customFormat="1" ht="16.5" hidden="1">
      <c r="A3494" s="1665" t="s">
        <v>432</v>
      </c>
      <c r="B3494" s="1666" t="s">
        <v>3622</v>
      </c>
      <c r="C3494" s="688"/>
      <c r="D3494" s="1667"/>
      <c r="E3494" s="688"/>
      <c r="F3494" s="688"/>
      <c r="G3494" s="1674"/>
      <c r="H3494" s="688"/>
      <c r="I3494" s="1668"/>
      <c r="J3494" s="1668"/>
      <c r="K3494" s="1668"/>
      <c r="L3494" s="1669"/>
    </row>
    <row r="3495" spans="1:12" s="692" customFormat="1" ht="16.5" hidden="1">
      <c r="A3495" s="1665"/>
      <c r="B3495" s="1666"/>
      <c r="C3495" s="688"/>
      <c r="D3495" s="1667"/>
      <c r="E3495" s="1671">
        <v>3.5</v>
      </c>
      <c r="F3495" s="1672"/>
      <c r="G3495" s="1671">
        <v>4</v>
      </c>
      <c r="H3495" s="1671">
        <f t="shared" ref="H3495:H3500" si="519">ROUND(D3495*E3495*G3495,2)</f>
        <v>0</v>
      </c>
      <c r="I3495" s="1671" t="s">
        <v>92</v>
      </c>
      <c r="J3495" s="1668"/>
      <c r="K3495" s="1668"/>
      <c r="L3495" s="1669"/>
    </row>
    <row r="3496" spans="1:12" s="692" customFormat="1" ht="16.5" hidden="1">
      <c r="A3496" s="1665"/>
      <c r="B3496" s="1666"/>
      <c r="C3496" s="688"/>
      <c r="D3496" s="1667"/>
      <c r="E3496" s="1671">
        <v>3.5</v>
      </c>
      <c r="F3496" s="1672"/>
      <c r="G3496" s="1671">
        <v>4</v>
      </c>
      <c r="H3496" s="1671">
        <f t="shared" si="519"/>
        <v>0</v>
      </c>
      <c r="I3496" s="1671" t="s">
        <v>92</v>
      </c>
      <c r="J3496" s="1668"/>
      <c r="K3496" s="1668"/>
      <c r="L3496" s="1669"/>
    </row>
    <row r="3497" spans="1:12" s="692" customFormat="1" ht="16.5" hidden="1">
      <c r="A3497" s="1665"/>
      <c r="B3497" s="1666"/>
      <c r="C3497" s="688"/>
      <c r="D3497" s="1667"/>
      <c r="E3497" s="1671">
        <v>3.5</v>
      </c>
      <c r="F3497" s="1672"/>
      <c r="G3497" s="1671">
        <v>4</v>
      </c>
      <c r="H3497" s="1671">
        <f t="shared" si="519"/>
        <v>0</v>
      </c>
      <c r="I3497" s="1671" t="s">
        <v>92</v>
      </c>
      <c r="J3497" s="1668"/>
      <c r="K3497" s="1668"/>
      <c r="L3497" s="1669"/>
    </row>
    <row r="3498" spans="1:12" s="692" customFormat="1" ht="16.5" hidden="1">
      <c r="A3498" s="1665"/>
      <c r="B3498" s="1666"/>
      <c r="C3498" s="688"/>
      <c r="D3498" s="1667"/>
      <c r="E3498" s="1671">
        <v>3.5</v>
      </c>
      <c r="F3498" s="1672"/>
      <c r="G3498" s="1671">
        <v>4</v>
      </c>
      <c r="H3498" s="1671">
        <f t="shared" si="519"/>
        <v>0</v>
      </c>
      <c r="I3498" s="1671" t="s">
        <v>92</v>
      </c>
      <c r="J3498" s="1668"/>
      <c r="K3498" s="1668"/>
      <c r="L3498" s="1669"/>
    </row>
    <row r="3499" spans="1:12" s="692" customFormat="1" ht="16.5" hidden="1">
      <c r="A3499" s="1665"/>
      <c r="B3499" s="1666"/>
      <c r="C3499" s="688"/>
      <c r="D3499" s="1667"/>
      <c r="E3499" s="1671">
        <v>3.5</v>
      </c>
      <c r="F3499" s="1672"/>
      <c r="G3499" s="1671">
        <v>4</v>
      </c>
      <c r="H3499" s="1671">
        <f t="shared" si="519"/>
        <v>0</v>
      </c>
      <c r="I3499" s="1671" t="s">
        <v>92</v>
      </c>
      <c r="J3499" s="1668"/>
      <c r="K3499" s="1668"/>
      <c r="L3499" s="1669"/>
    </row>
    <row r="3500" spans="1:12" s="692" customFormat="1" ht="16.5" hidden="1">
      <c r="A3500" s="1665"/>
      <c r="B3500" s="1666"/>
      <c r="C3500" s="688"/>
      <c r="D3500" s="1667"/>
      <c r="E3500" s="1671">
        <v>3.5</v>
      </c>
      <c r="F3500" s="1672"/>
      <c r="G3500" s="1671">
        <v>4</v>
      </c>
      <c r="H3500" s="1671">
        <f t="shared" si="519"/>
        <v>0</v>
      </c>
      <c r="I3500" s="1671" t="s">
        <v>92</v>
      </c>
      <c r="J3500" s="1668"/>
      <c r="K3500" s="1668"/>
      <c r="L3500" s="1669"/>
    </row>
    <row r="3501" spans="1:12" s="692" customFormat="1" ht="16.5" hidden="1">
      <c r="A3501" s="1665"/>
      <c r="B3501" s="1666"/>
      <c r="C3501" s="688"/>
      <c r="D3501" s="1667"/>
      <c r="E3501" s="688"/>
      <c r="F3501" s="688"/>
      <c r="G3501" s="1665" t="s">
        <v>928</v>
      </c>
      <c r="H3501" s="1673">
        <f>SUM(H3495:H3500)</f>
        <v>0</v>
      </c>
      <c r="I3501" s="1668" t="s">
        <v>92</v>
      </c>
      <c r="J3501" s="1669">
        <f>'Lead &amp; ANALYSIS'!L713</f>
        <v>653.1</v>
      </c>
      <c r="K3501" s="1668" t="s">
        <v>1514</v>
      </c>
      <c r="L3501" s="1669">
        <f t="shared" ref="L3501" si="520">ROUND(H3501*J3501,0)</f>
        <v>0</v>
      </c>
    </row>
    <row r="3502" spans="1:12" s="692" customFormat="1" ht="16.5" hidden="1">
      <c r="A3502" s="1665" t="s">
        <v>443</v>
      </c>
      <c r="B3502" s="1666" t="s">
        <v>3636</v>
      </c>
      <c r="C3502" s="688"/>
      <c r="D3502" s="1667"/>
      <c r="E3502" s="688"/>
      <c r="F3502" s="688"/>
      <c r="G3502" s="1674"/>
      <c r="H3502" s="688"/>
      <c r="I3502" s="1668"/>
      <c r="J3502" s="1668"/>
      <c r="K3502" s="1668"/>
      <c r="L3502" s="1669"/>
    </row>
    <row r="3503" spans="1:12" s="692" customFormat="1" ht="16.5" hidden="1">
      <c r="A3503" s="1665"/>
      <c r="B3503" s="1666"/>
      <c r="C3503" s="688"/>
      <c r="D3503" s="1667"/>
      <c r="E3503" s="1671">
        <v>3.5</v>
      </c>
      <c r="F3503" s="1672"/>
      <c r="G3503" s="1671">
        <v>4</v>
      </c>
      <c r="H3503" s="1671">
        <f t="shared" ref="H3503:H3508" si="521">ROUND(D3503*E3503*G3503,2)</f>
        <v>0</v>
      </c>
      <c r="I3503" s="1671" t="s">
        <v>92</v>
      </c>
      <c r="J3503" s="1668"/>
      <c r="K3503" s="1668"/>
      <c r="L3503" s="1669"/>
    </row>
    <row r="3504" spans="1:12" s="692" customFormat="1" ht="16.5" hidden="1">
      <c r="A3504" s="1665"/>
      <c r="B3504" s="1666"/>
      <c r="C3504" s="688"/>
      <c r="D3504" s="1667"/>
      <c r="E3504" s="1671">
        <v>3.5</v>
      </c>
      <c r="F3504" s="1672"/>
      <c r="G3504" s="1671">
        <v>4</v>
      </c>
      <c r="H3504" s="1671">
        <f t="shared" si="521"/>
        <v>0</v>
      </c>
      <c r="I3504" s="1671" t="s">
        <v>92</v>
      </c>
      <c r="J3504" s="1668"/>
      <c r="K3504" s="1668"/>
      <c r="L3504" s="1669"/>
    </row>
    <row r="3505" spans="1:12" s="692" customFormat="1" ht="16.5" hidden="1">
      <c r="A3505" s="1665"/>
      <c r="B3505" s="1666"/>
      <c r="C3505" s="688"/>
      <c r="D3505" s="1667"/>
      <c r="E3505" s="1671">
        <v>3.5</v>
      </c>
      <c r="F3505" s="1672"/>
      <c r="G3505" s="1671">
        <v>4</v>
      </c>
      <c r="H3505" s="1671">
        <f t="shared" si="521"/>
        <v>0</v>
      </c>
      <c r="I3505" s="1671" t="s">
        <v>92</v>
      </c>
      <c r="J3505" s="1668"/>
      <c r="K3505" s="1668"/>
      <c r="L3505" s="1669"/>
    </row>
    <row r="3506" spans="1:12" s="692" customFormat="1" ht="16.5" hidden="1">
      <c r="A3506" s="1665"/>
      <c r="B3506" s="1666"/>
      <c r="C3506" s="688"/>
      <c r="D3506" s="1667"/>
      <c r="E3506" s="1671">
        <v>3.5</v>
      </c>
      <c r="F3506" s="1672"/>
      <c r="G3506" s="1671">
        <v>4</v>
      </c>
      <c r="H3506" s="1671">
        <f t="shared" si="521"/>
        <v>0</v>
      </c>
      <c r="I3506" s="1671" t="s">
        <v>92</v>
      </c>
      <c r="J3506" s="1668"/>
      <c r="K3506" s="1668"/>
      <c r="L3506" s="1669"/>
    </row>
    <row r="3507" spans="1:12" s="692" customFormat="1" ht="16.5" hidden="1">
      <c r="A3507" s="1665"/>
      <c r="B3507" s="1666"/>
      <c r="C3507" s="688"/>
      <c r="D3507" s="1667"/>
      <c r="E3507" s="1671">
        <v>3.5</v>
      </c>
      <c r="F3507" s="1672"/>
      <c r="G3507" s="1671">
        <v>4</v>
      </c>
      <c r="H3507" s="1671">
        <f t="shared" si="521"/>
        <v>0</v>
      </c>
      <c r="I3507" s="1671" t="s">
        <v>92</v>
      </c>
      <c r="J3507" s="1668"/>
      <c r="K3507" s="1668"/>
      <c r="L3507" s="1669"/>
    </row>
    <row r="3508" spans="1:12" s="692" customFormat="1" ht="16.5" hidden="1">
      <c r="A3508" s="1665"/>
      <c r="B3508" s="1666"/>
      <c r="C3508" s="688"/>
      <c r="D3508" s="1667"/>
      <c r="E3508" s="1671">
        <v>3.5</v>
      </c>
      <c r="F3508" s="1672"/>
      <c r="G3508" s="1671">
        <v>4</v>
      </c>
      <c r="H3508" s="1671">
        <f t="shared" si="521"/>
        <v>0</v>
      </c>
      <c r="I3508" s="1671" t="s">
        <v>92</v>
      </c>
      <c r="J3508" s="1668"/>
      <c r="K3508" s="1668"/>
      <c r="L3508" s="1669"/>
    </row>
    <row r="3509" spans="1:12" s="692" customFormat="1" ht="16.5" hidden="1">
      <c r="A3509" s="1665"/>
      <c r="B3509" s="1666"/>
      <c r="C3509" s="688"/>
      <c r="D3509" s="1667"/>
      <c r="E3509" s="688"/>
      <c r="F3509" s="688"/>
      <c r="G3509" s="1665" t="s">
        <v>928</v>
      </c>
      <c r="H3509" s="1673">
        <f>SUM(H3503:H3508)</f>
        <v>0</v>
      </c>
      <c r="I3509" s="1668" t="s">
        <v>92</v>
      </c>
      <c r="J3509" s="1669">
        <f>'Lead &amp; ANALYSIS'!L714</f>
        <v>676.8</v>
      </c>
      <c r="K3509" s="1668" t="s">
        <v>1514</v>
      </c>
      <c r="L3509" s="1669">
        <f t="shared" ref="L3509" si="522">ROUND(H3509*J3509,0)</f>
        <v>0</v>
      </c>
    </row>
    <row r="3510" spans="1:12" s="692" customFormat="1" ht="99" hidden="1">
      <c r="A3510" s="1665">
        <f>'Lead &amp; ANALYSIS'!A715</f>
        <v>73</v>
      </c>
      <c r="B3510" s="1666" t="str">
        <f>'Lead &amp; ANALYSIS'!B715</f>
        <v xml:space="preserve">Supplying, fitting, fixing of tile in floors marbonite or equivalent make in all floors over 25mm thick bed of cement mortar (1:1) jointed with neat cement slurry mixed with pigment to match the shades of the tiles  etc. complete as per the direction of the Engineer-in-charge. </v>
      </c>
      <c r="C3510" s="688"/>
      <c r="D3510" s="1667"/>
      <c r="E3510" s="688"/>
      <c r="F3510" s="688"/>
      <c r="G3510" s="1674"/>
      <c r="H3510" s="688"/>
      <c r="I3510" s="1668"/>
      <c r="J3510" s="1668"/>
      <c r="K3510" s="1668"/>
      <c r="L3510" s="1669"/>
    </row>
    <row r="3511" spans="1:12" s="692" customFormat="1" ht="16.5" hidden="1">
      <c r="A3511" s="1665" t="s">
        <v>468</v>
      </c>
      <c r="B3511" s="1675" t="s">
        <v>230</v>
      </c>
      <c r="C3511" s="688"/>
      <c r="D3511" s="1667"/>
      <c r="E3511" s="688"/>
      <c r="F3511" s="688"/>
      <c r="G3511" s="1674"/>
      <c r="H3511" s="688"/>
      <c r="I3511" s="1668"/>
      <c r="J3511" s="1668"/>
      <c r="K3511" s="1668"/>
      <c r="L3511" s="1669"/>
    </row>
    <row r="3512" spans="1:12" s="692" customFormat="1" ht="16.5" hidden="1">
      <c r="A3512" s="1665" t="s">
        <v>383</v>
      </c>
      <c r="B3512" s="1666" t="s">
        <v>384</v>
      </c>
      <c r="C3512" s="688"/>
      <c r="D3512" s="1667"/>
      <c r="E3512" s="688"/>
      <c r="F3512" s="688"/>
      <c r="G3512" s="1674"/>
      <c r="H3512" s="688"/>
      <c r="I3512" s="1668"/>
      <c r="J3512" s="1668"/>
      <c r="K3512" s="1668"/>
      <c r="L3512" s="1669"/>
    </row>
    <row r="3513" spans="1:12" s="692" customFormat="1" ht="16.5" hidden="1">
      <c r="A3513" s="1665"/>
      <c r="B3513" s="1666"/>
      <c r="C3513" s="688"/>
      <c r="D3513" s="1667"/>
      <c r="E3513" s="1671">
        <v>3.5</v>
      </c>
      <c r="F3513" s="1672"/>
      <c r="G3513" s="1671">
        <v>4</v>
      </c>
      <c r="H3513" s="1671">
        <f t="shared" ref="H3513:H3518" si="523">ROUND(D3513*E3513*G3513,2)</f>
        <v>0</v>
      </c>
      <c r="I3513" s="1671" t="s">
        <v>92</v>
      </c>
      <c r="J3513" s="1668"/>
      <c r="K3513" s="1668"/>
      <c r="L3513" s="1669"/>
    </row>
    <row r="3514" spans="1:12" s="692" customFormat="1" ht="16.5" hidden="1">
      <c r="A3514" s="1665"/>
      <c r="B3514" s="1666"/>
      <c r="C3514" s="688"/>
      <c r="D3514" s="1667"/>
      <c r="E3514" s="1671">
        <v>3.5</v>
      </c>
      <c r="F3514" s="1672"/>
      <c r="G3514" s="1671">
        <v>4</v>
      </c>
      <c r="H3514" s="1671">
        <f t="shared" si="523"/>
        <v>0</v>
      </c>
      <c r="I3514" s="1671" t="s">
        <v>92</v>
      </c>
      <c r="J3514" s="1668"/>
      <c r="K3514" s="1668"/>
      <c r="L3514" s="1669"/>
    </row>
    <row r="3515" spans="1:12" s="692" customFormat="1" ht="16.5" hidden="1">
      <c r="A3515" s="1665"/>
      <c r="B3515" s="1666"/>
      <c r="C3515" s="688"/>
      <c r="D3515" s="1667"/>
      <c r="E3515" s="1671">
        <v>3.5</v>
      </c>
      <c r="F3515" s="1672"/>
      <c r="G3515" s="1671">
        <v>4</v>
      </c>
      <c r="H3515" s="1671">
        <f t="shared" si="523"/>
        <v>0</v>
      </c>
      <c r="I3515" s="1671" t="s">
        <v>92</v>
      </c>
      <c r="J3515" s="1668"/>
      <c r="K3515" s="1668"/>
      <c r="L3515" s="1669"/>
    </row>
    <row r="3516" spans="1:12" s="692" customFormat="1" ht="16.5" hidden="1">
      <c r="A3516" s="1665"/>
      <c r="B3516" s="1666"/>
      <c r="C3516" s="688"/>
      <c r="D3516" s="1667"/>
      <c r="E3516" s="1671">
        <v>3.5</v>
      </c>
      <c r="F3516" s="1672"/>
      <c r="G3516" s="1671">
        <v>4</v>
      </c>
      <c r="H3516" s="1671">
        <f t="shared" si="523"/>
        <v>0</v>
      </c>
      <c r="I3516" s="1671" t="s">
        <v>92</v>
      </c>
      <c r="J3516" s="1668"/>
      <c r="K3516" s="1668"/>
      <c r="L3516" s="1669"/>
    </row>
    <row r="3517" spans="1:12" s="692" customFormat="1" ht="16.5" hidden="1">
      <c r="A3517" s="1665"/>
      <c r="B3517" s="1666"/>
      <c r="C3517" s="688"/>
      <c r="D3517" s="1667"/>
      <c r="E3517" s="1671">
        <v>3.5</v>
      </c>
      <c r="F3517" s="1672"/>
      <c r="G3517" s="1671">
        <v>4</v>
      </c>
      <c r="H3517" s="1671">
        <f t="shared" si="523"/>
        <v>0</v>
      </c>
      <c r="I3517" s="1671" t="s">
        <v>92</v>
      </c>
      <c r="J3517" s="1668"/>
      <c r="K3517" s="1668"/>
      <c r="L3517" s="1669"/>
    </row>
    <row r="3518" spans="1:12" s="692" customFormat="1" ht="16.5" hidden="1">
      <c r="A3518" s="1665"/>
      <c r="B3518" s="1666"/>
      <c r="C3518" s="688"/>
      <c r="D3518" s="1667"/>
      <c r="E3518" s="1671">
        <v>3.5</v>
      </c>
      <c r="F3518" s="1672"/>
      <c r="G3518" s="1671">
        <v>4</v>
      </c>
      <c r="H3518" s="1671">
        <f t="shared" si="523"/>
        <v>0</v>
      </c>
      <c r="I3518" s="1671" t="s">
        <v>92</v>
      </c>
      <c r="J3518" s="1668"/>
      <c r="K3518" s="1668"/>
      <c r="L3518" s="1669"/>
    </row>
    <row r="3519" spans="1:12" s="692" customFormat="1" ht="16.5" hidden="1">
      <c r="A3519" s="1665"/>
      <c r="B3519" s="1666"/>
      <c r="C3519" s="688"/>
      <c r="D3519" s="1667"/>
      <c r="E3519" s="688"/>
      <c r="F3519" s="688"/>
      <c r="G3519" s="1665" t="s">
        <v>928</v>
      </c>
      <c r="H3519" s="1673">
        <f>SUM(H3513:H3518)</f>
        <v>0</v>
      </c>
      <c r="I3519" s="1668" t="s">
        <v>92</v>
      </c>
      <c r="J3519" s="1669">
        <f>'Lead &amp; ANALYSIS'!L717</f>
        <v>1281.5</v>
      </c>
      <c r="K3519" s="1668" t="s">
        <v>1514</v>
      </c>
      <c r="L3519" s="1669">
        <f t="shared" ref="L3519" si="524">ROUND(H3519*J3519,0)</f>
        <v>0</v>
      </c>
    </row>
    <row r="3520" spans="1:12" s="692" customFormat="1" ht="16.5" hidden="1">
      <c r="A3520" s="1665" t="s">
        <v>386</v>
      </c>
      <c r="B3520" s="1666" t="s">
        <v>387</v>
      </c>
      <c r="C3520" s="688"/>
      <c r="D3520" s="1667"/>
      <c r="E3520" s="688"/>
      <c r="F3520" s="688"/>
      <c r="G3520" s="1674"/>
      <c r="H3520" s="688"/>
      <c r="I3520" s="1668"/>
      <c r="J3520" s="1668"/>
      <c r="K3520" s="1668"/>
      <c r="L3520" s="1669"/>
    </row>
    <row r="3521" spans="1:12" s="692" customFormat="1" ht="16.5" hidden="1">
      <c r="A3521" s="1665"/>
      <c r="B3521" s="1666"/>
      <c r="C3521" s="688"/>
      <c r="D3521" s="1667"/>
      <c r="E3521" s="1671">
        <v>3.5</v>
      </c>
      <c r="F3521" s="1672"/>
      <c r="G3521" s="1671">
        <v>4</v>
      </c>
      <c r="H3521" s="1671">
        <f t="shared" ref="H3521:H3526" si="525">ROUND(D3521*E3521*G3521,2)</f>
        <v>0</v>
      </c>
      <c r="I3521" s="1671" t="s">
        <v>92</v>
      </c>
      <c r="J3521" s="1668"/>
      <c r="K3521" s="1668"/>
      <c r="L3521" s="1669"/>
    </row>
    <row r="3522" spans="1:12" s="692" customFormat="1" ht="16.5" hidden="1">
      <c r="A3522" s="1665"/>
      <c r="B3522" s="1666"/>
      <c r="C3522" s="688"/>
      <c r="D3522" s="1667"/>
      <c r="E3522" s="1671">
        <v>3.5</v>
      </c>
      <c r="F3522" s="1672"/>
      <c r="G3522" s="1671">
        <v>4</v>
      </c>
      <c r="H3522" s="1671">
        <f t="shared" si="525"/>
        <v>0</v>
      </c>
      <c r="I3522" s="1671" t="s">
        <v>92</v>
      </c>
      <c r="J3522" s="1668"/>
      <c r="K3522" s="1668"/>
      <c r="L3522" s="1669"/>
    </row>
    <row r="3523" spans="1:12" s="692" customFormat="1" ht="16.5" hidden="1">
      <c r="A3523" s="1665"/>
      <c r="B3523" s="1666"/>
      <c r="C3523" s="688"/>
      <c r="D3523" s="1667"/>
      <c r="E3523" s="1671">
        <v>3.5</v>
      </c>
      <c r="F3523" s="1672"/>
      <c r="G3523" s="1671">
        <v>4</v>
      </c>
      <c r="H3523" s="1671">
        <f t="shared" si="525"/>
        <v>0</v>
      </c>
      <c r="I3523" s="1671" t="s">
        <v>92</v>
      </c>
      <c r="J3523" s="1668"/>
      <c r="K3523" s="1668"/>
      <c r="L3523" s="1669"/>
    </row>
    <row r="3524" spans="1:12" s="692" customFormat="1" ht="16.5" hidden="1">
      <c r="A3524" s="1665"/>
      <c r="B3524" s="1666"/>
      <c r="C3524" s="688"/>
      <c r="D3524" s="1667"/>
      <c r="E3524" s="1671">
        <v>3.5</v>
      </c>
      <c r="F3524" s="1672"/>
      <c r="G3524" s="1671">
        <v>4</v>
      </c>
      <c r="H3524" s="1671">
        <f t="shared" si="525"/>
        <v>0</v>
      </c>
      <c r="I3524" s="1671" t="s">
        <v>92</v>
      </c>
      <c r="J3524" s="1668"/>
      <c r="K3524" s="1668"/>
      <c r="L3524" s="1669"/>
    </row>
    <row r="3525" spans="1:12" s="692" customFormat="1" ht="16.5" hidden="1">
      <c r="A3525" s="1665"/>
      <c r="B3525" s="1666"/>
      <c r="C3525" s="688"/>
      <c r="D3525" s="1667"/>
      <c r="E3525" s="1671">
        <v>3.5</v>
      </c>
      <c r="F3525" s="1672"/>
      <c r="G3525" s="1671">
        <v>4</v>
      </c>
      <c r="H3525" s="1671">
        <f t="shared" si="525"/>
        <v>0</v>
      </c>
      <c r="I3525" s="1671" t="s">
        <v>92</v>
      </c>
      <c r="J3525" s="1668"/>
      <c r="K3525" s="1668"/>
      <c r="L3525" s="1669"/>
    </row>
    <row r="3526" spans="1:12" s="692" customFormat="1" ht="16.5" hidden="1">
      <c r="A3526" s="1665"/>
      <c r="B3526" s="1666"/>
      <c r="C3526" s="688"/>
      <c r="D3526" s="1667"/>
      <c r="E3526" s="1671">
        <v>3.5</v>
      </c>
      <c r="F3526" s="1672"/>
      <c r="G3526" s="1671">
        <v>4</v>
      </c>
      <c r="H3526" s="1671">
        <f t="shared" si="525"/>
        <v>0</v>
      </c>
      <c r="I3526" s="1671" t="s">
        <v>92</v>
      </c>
      <c r="J3526" s="1668"/>
      <c r="K3526" s="1668"/>
      <c r="L3526" s="1669"/>
    </row>
    <row r="3527" spans="1:12" s="692" customFormat="1" ht="16.5" hidden="1">
      <c r="A3527" s="1665"/>
      <c r="B3527" s="1666"/>
      <c r="C3527" s="688"/>
      <c r="D3527" s="1667"/>
      <c r="E3527" s="688"/>
      <c r="F3527" s="688"/>
      <c r="G3527" s="1665" t="s">
        <v>928</v>
      </c>
      <c r="H3527" s="1673">
        <f>SUM(H3521:H3526)</f>
        <v>0</v>
      </c>
      <c r="I3527" s="1668" t="s">
        <v>92</v>
      </c>
      <c r="J3527" s="1669">
        <f>'Lead &amp; ANALYSIS'!L718</f>
        <v>1301.2</v>
      </c>
      <c r="K3527" s="1668" t="s">
        <v>1514</v>
      </c>
      <c r="L3527" s="1669">
        <f t="shared" ref="L3527" si="526">ROUND(H3527*J3527,0)</f>
        <v>0</v>
      </c>
    </row>
    <row r="3528" spans="1:12" s="692" customFormat="1" ht="16.5" hidden="1">
      <c r="A3528" s="1665" t="s">
        <v>432</v>
      </c>
      <c r="B3528" s="1666" t="s">
        <v>3622</v>
      </c>
      <c r="C3528" s="688"/>
      <c r="D3528" s="1667"/>
      <c r="E3528" s="688"/>
      <c r="F3528" s="688"/>
      <c r="G3528" s="1674"/>
      <c r="H3528" s="688"/>
      <c r="I3528" s="1668"/>
      <c r="J3528" s="1668"/>
      <c r="K3528" s="1668"/>
      <c r="L3528" s="1669"/>
    </row>
    <row r="3529" spans="1:12" s="692" customFormat="1" ht="16.5" hidden="1">
      <c r="A3529" s="1665"/>
      <c r="B3529" s="1666"/>
      <c r="C3529" s="688"/>
      <c r="D3529" s="1667"/>
      <c r="E3529" s="1671">
        <v>3.5</v>
      </c>
      <c r="F3529" s="1672"/>
      <c r="G3529" s="1671">
        <v>4</v>
      </c>
      <c r="H3529" s="1671">
        <f t="shared" ref="H3529:H3534" si="527">ROUND(D3529*E3529*G3529,2)</f>
        <v>0</v>
      </c>
      <c r="I3529" s="1671" t="s">
        <v>92</v>
      </c>
      <c r="J3529" s="1668"/>
      <c r="K3529" s="1668"/>
      <c r="L3529" s="1669"/>
    </row>
    <row r="3530" spans="1:12" s="692" customFormat="1" ht="16.5" hidden="1">
      <c r="A3530" s="1665"/>
      <c r="B3530" s="1666"/>
      <c r="C3530" s="688"/>
      <c r="D3530" s="1667"/>
      <c r="E3530" s="1671">
        <v>3.5</v>
      </c>
      <c r="F3530" s="1672"/>
      <c r="G3530" s="1671">
        <v>4</v>
      </c>
      <c r="H3530" s="1671">
        <f t="shared" si="527"/>
        <v>0</v>
      </c>
      <c r="I3530" s="1671" t="s">
        <v>92</v>
      </c>
      <c r="J3530" s="1668"/>
      <c r="K3530" s="1668"/>
      <c r="L3530" s="1669"/>
    </row>
    <row r="3531" spans="1:12" s="692" customFormat="1" ht="16.5" hidden="1">
      <c r="A3531" s="1665"/>
      <c r="B3531" s="1666"/>
      <c r="C3531" s="688"/>
      <c r="D3531" s="1667"/>
      <c r="E3531" s="1671">
        <v>3.5</v>
      </c>
      <c r="F3531" s="1672"/>
      <c r="G3531" s="1671">
        <v>4</v>
      </c>
      <c r="H3531" s="1671">
        <f t="shared" si="527"/>
        <v>0</v>
      </c>
      <c r="I3531" s="1671" t="s">
        <v>92</v>
      </c>
      <c r="J3531" s="1668"/>
      <c r="K3531" s="1668"/>
      <c r="L3531" s="1669"/>
    </row>
    <row r="3532" spans="1:12" s="692" customFormat="1" ht="16.5" hidden="1">
      <c r="A3532" s="1665"/>
      <c r="B3532" s="1666"/>
      <c r="C3532" s="688"/>
      <c r="D3532" s="1667"/>
      <c r="E3532" s="1671">
        <v>3.5</v>
      </c>
      <c r="F3532" s="1672"/>
      <c r="G3532" s="1671">
        <v>4</v>
      </c>
      <c r="H3532" s="1671">
        <f t="shared" si="527"/>
        <v>0</v>
      </c>
      <c r="I3532" s="1671" t="s">
        <v>92</v>
      </c>
      <c r="J3532" s="1668"/>
      <c r="K3532" s="1668"/>
      <c r="L3532" s="1669"/>
    </row>
    <row r="3533" spans="1:12" s="692" customFormat="1" ht="16.5" hidden="1">
      <c r="A3533" s="1665"/>
      <c r="B3533" s="1666"/>
      <c r="C3533" s="688"/>
      <c r="D3533" s="1667"/>
      <c r="E3533" s="1671">
        <v>3.5</v>
      </c>
      <c r="F3533" s="1672"/>
      <c r="G3533" s="1671">
        <v>4</v>
      </c>
      <c r="H3533" s="1671">
        <f t="shared" si="527"/>
        <v>0</v>
      </c>
      <c r="I3533" s="1671" t="s">
        <v>92</v>
      </c>
      <c r="J3533" s="1668"/>
      <c r="K3533" s="1668"/>
      <c r="L3533" s="1669"/>
    </row>
    <row r="3534" spans="1:12" s="692" customFormat="1" ht="16.5" hidden="1">
      <c r="A3534" s="1665"/>
      <c r="B3534" s="1666"/>
      <c r="C3534" s="688"/>
      <c r="D3534" s="1667"/>
      <c r="E3534" s="1671">
        <v>3.5</v>
      </c>
      <c r="F3534" s="1672"/>
      <c r="G3534" s="1671">
        <v>4</v>
      </c>
      <c r="H3534" s="1671">
        <f t="shared" si="527"/>
        <v>0</v>
      </c>
      <c r="I3534" s="1671" t="s">
        <v>92</v>
      </c>
      <c r="J3534" s="1668"/>
      <c r="K3534" s="1668"/>
      <c r="L3534" s="1669"/>
    </row>
    <row r="3535" spans="1:12" s="692" customFormat="1" ht="16.5" hidden="1">
      <c r="A3535" s="1665"/>
      <c r="B3535" s="1666"/>
      <c r="C3535" s="688"/>
      <c r="D3535" s="1667"/>
      <c r="E3535" s="688"/>
      <c r="F3535" s="688"/>
      <c r="G3535" s="1665" t="s">
        <v>928</v>
      </c>
      <c r="H3535" s="1673">
        <f>SUM(H3529:H3534)</f>
        <v>0</v>
      </c>
      <c r="I3535" s="1668" t="s">
        <v>92</v>
      </c>
      <c r="J3535" s="1669">
        <f>'Lead &amp; ANALYSIS'!L719</f>
        <v>1321.8</v>
      </c>
      <c r="K3535" s="1668" t="s">
        <v>1514</v>
      </c>
      <c r="L3535" s="1669">
        <f t="shared" ref="L3535" si="528">ROUND(H3535*J3535,0)</f>
        <v>0</v>
      </c>
    </row>
    <row r="3536" spans="1:12" s="692" customFormat="1" ht="16.5" hidden="1">
      <c r="A3536" s="1665" t="s">
        <v>443</v>
      </c>
      <c r="B3536" s="1666" t="s">
        <v>3636</v>
      </c>
      <c r="C3536" s="688"/>
      <c r="D3536" s="1667"/>
      <c r="E3536" s="688"/>
      <c r="F3536" s="688"/>
      <c r="G3536" s="1674"/>
      <c r="H3536" s="688"/>
      <c r="I3536" s="1668"/>
      <c r="J3536" s="1668"/>
      <c r="K3536" s="1668"/>
      <c r="L3536" s="1669"/>
    </row>
    <row r="3537" spans="1:12" s="692" customFormat="1" ht="16.5" hidden="1">
      <c r="A3537" s="1665"/>
      <c r="B3537" s="1666"/>
      <c r="C3537" s="688"/>
      <c r="D3537" s="1667"/>
      <c r="E3537" s="1671">
        <v>3.5</v>
      </c>
      <c r="F3537" s="1672"/>
      <c r="G3537" s="1671">
        <v>4</v>
      </c>
      <c r="H3537" s="1671">
        <f t="shared" ref="H3537:H3542" si="529">ROUND(D3537*E3537*G3537,2)</f>
        <v>0</v>
      </c>
      <c r="I3537" s="1671" t="s">
        <v>92</v>
      </c>
      <c r="J3537" s="1668"/>
      <c r="K3537" s="1668"/>
      <c r="L3537" s="1669"/>
    </row>
    <row r="3538" spans="1:12" s="692" customFormat="1" ht="16.5" hidden="1">
      <c r="A3538" s="1665"/>
      <c r="B3538" s="1666"/>
      <c r="C3538" s="688"/>
      <c r="D3538" s="1667"/>
      <c r="E3538" s="1671">
        <v>3.5</v>
      </c>
      <c r="F3538" s="1672"/>
      <c r="G3538" s="1671">
        <v>4</v>
      </c>
      <c r="H3538" s="1671">
        <f t="shared" si="529"/>
        <v>0</v>
      </c>
      <c r="I3538" s="1671" t="s">
        <v>92</v>
      </c>
      <c r="J3538" s="1668"/>
      <c r="K3538" s="1668"/>
      <c r="L3538" s="1669"/>
    </row>
    <row r="3539" spans="1:12" s="692" customFormat="1" ht="16.5" hidden="1">
      <c r="A3539" s="1665"/>
      <c r="B3539" s="1666"/>
      <c r="C3539" s="688"/>
      <c r="D3539" s="1667"/>
      <c r="E3539" s="1671">
        <v>3.5</v>
      </c>
      <c r="F3539" s="1672"/>
      <c r="G3539" s="1671">
        <v>4</v>
      </c>
      <c r="H3539" s="1671">
        <f t="shared" si="529"/>
        <v>0</v>
      </c>
      <c r="I3539" s="1671" t="s">
        <v>92</v>
      </c>
      <c r="J3539" s="1668"/>
      <c r="K3539" s="1668"/>
      <c r="L3539" s="1669"/>
    </row>
    <row r="3540" spans="1:12" s="692" customFormat="1" ht="16.5" hidden="1">
      <c r="A3540" s="1665"/>
      <c r="B3540" s="1666"/>
      <c r="C3540" s="688"/>
      <c r="D3540" s="1667"/>
      <c r="E3540" s="1671">
        <v>3.5</v>
      </c>
      <c r="F3540" s="1672"/>
      <c r="G3540" s="1671">
        <v>4</v>
      </c>
      <c r="H3540" s="1671">
        <f t="shared" si="529"/>
        <v>0</v>
      </c>
      <c r="I3540" s="1671" t="s">
        <v>92</v>
      </c>
      <c r="J3540" s="1668"/>
      <c r="K3540" s="1668"/>
      <c r="L3540" s="1669"/>
    </row>
    <row r="3541" spans="1:12" s="692" customFormat="1" ht="16.5" hidden="1">
      <c r="A3541" s="1665"/>
      <c r="B3541" s="1666"/>
      <c r="C3541" s="688"/>
      <c r="D3541" s="1667"/>
      <c r="E3541" s="1671">
        <v>3.5</v>
      </c>
      <c r="F3541" s="1672"/>
      <c r="G3541" s="1671">
        <v>4</v>
      </c>
      <c r="H3541" s="1671">
        <f t="shared" si="529"/>
        <v>0</v>
      </c>
      <c r="I3541" s="1671" t="s">
        <v>92</v>
      </c>
      <c r="J3541" s="1668"/>
      <c r="K3541" s="1668"/>
      <c r="L3541" s="1669"/>
    </row>
    <row r="3542" spans="1:12" s="692" customFormat="1" ht="16.5" hidden="1">
      <c r="A3542" s="1665"/>
      <c r="B3542" s="1666"/>
      <c r="C3542" s="688"/>
      <c r="D3542" s="1667"/>
      <c r="E3542" s="1671">
        <v>3.5</v>
      </c>
      <c r="F3542" s="1672"/>
      <c r="G3542" s="1671">
        <v>4</v>
      </c>
      <c r="H3542" s="1671">
        <f t="shared" si="529"/>
        <v>0</v>
      </c>
      <c r="I3542" s="1671" t="s">
        <v>92</v>
      </c>
      <c r="J3542" s="1668"/>
      <c r="K3542" s="1668"/>
      <c r="L3542" s="1669"/>
    </row>
    <row r="3543" spans="1:12" s="692" customFormat="1" ht="16.5" hidden="1">
      <c r="A3543" s="1665"/>
      <c r="B3543" s="1666"/>
      <c r="C3543" s="688"/>
      <c r="D3543" s="1667"/>
      <c r="E3543" s="688"/>
      <c r="F3543" s="688"/>
      <c r="G3543" s="1665" t="s">
        <v>928</v>
      </c>
      <c r="H3543" s="1673">
        <f>SUM(H3537:H3542)</f>
        <v>0</v>
      </c>
      <c r="I3543" s="1668" t="s">
        <v>92</v>
      </c>
      <c r="J3543" s="1669">
        <f>'Lead &amp; ANALYSIS'!L720</f>
        <v>1343.5</v>
      </c>
      <c r="K3543" s="1668" t="s">
        <v>1514</v>
      </c>
      <c r="L3543" s="1669">
        <f t="shared" ref="L3543" si="530">ROUND(H3543*J3543,0)</f>
        <v>0</v>
      </c>
    </row>
    <row r="3544" spans="1:12" s="692" customFormat="1" ht="16.5" hidden="1">
      <c r="A3544" s="1665" t="s">
        <v>470</v>
      </c>
      <c r="B3544" s="1675" t="s">
        <v>236</v>
      </c>
      <c r="C3544" s="688"/>
      <c r="D3544" s="1667"/>
      <c r="E3544" s="688"/>
      <c r="F3544" s="688"/>
      <c r="G3544" s="1674"/>
      <c r="H3544" s="688"/>
      <c r="I3544" s="1668"/>
      <c r="J3544" s="1668"/>
      <c r="K3544" s="1668"/>
      <c r="L3544" s="1669"/>
    </row>
    <row r="3545" spans="1:12" s="692" customFormat="1" ht="16.5" hidden="1">
      <c r="A3545" s="1665" t="s">
        <v>383</v>
      </c>
      <c r="B3545" s="1666" t="s">
        <v>384</v>
      </c>
      <c r="C3545" s="688"/>
      <c r="D3545" s="1667"/>
      <c r="E3545" s="688"/>
      <c r="F3545" s="688"/>
      <c r="G3545" s="1674"/>
      <c r="H3545" s="688"/>
      <c r="I3545" s="1668"/>
      <c r="J3545" s="1668"/>
      <c r="K3545" s="1668"/>
      <c r="L3545" s="1669"/>
    </row>
    <row r="3546" spans="1:12" s="692" customFormat="1" ht="16.5" hidden="1">
      <c r="A3546" s="1665"/>
      <c r="B3546" s="1666"/>
      <c r="C3546" s="688"/>
      <c r="D3546" s="1667"/>
      <c r="E3546" s="1671">
        <v>3.5</v>
      </c>
      <c r="F3546" s="1672"/>
      <c r="G3546" s="1671">
        <v>4</v>
      </c>
      <c r="H3546" s="1671">
        <f t="shared" ref="H3546:H3551" si="531">ROUND(D3546*E3546*G3546,2)</f>
        <v>0</v>
      </c>
      <c r="I3546" s="1671" t="s">
        <v>92</v>
      </c>
      <c r="J3546" s="1668"/>
      <c r="K3546" s="1668"/>
      <c r="L3546" s="1669"/>
    </row>
    <row r="3547" spans="1:12" s="692" customFormat="1" ht="16.5" hidden="1">
      <c r="A3547" s="1665"/>
      <c r="B3547" s="1666"/>
      <c r="C3547" s="688"/>
      <c r="D3547" s="1667"/>
      <c r="E3547" s="1671">
        <v>3.5</v>
      </c>
      <c r="F3547" s="1672"/>
      <c r="G3547" s="1671">
        <v>4</v>
      </c>
      <c r="H3547" s="1671">
        <f t="shared" si="531"/>
        <v>0</v>
      </c>
      <c r="I3547" s="1671" t="s">
        <v>92</v>
      </c>
      <c r="J3547" s="1668"/>
      <c r="K3547" s="1668"/>
      <c r="L3547" s="1669"/>
    </row>
    <row r="3548" spans="1:12" s="692" customFormat="1" ht="16.5" hidden="1">
      <c r="A3548" s="1665"/>
      <c r="B3548" s="1666"/>
      <c r="C3548" s="688"/>
      <c r="D3548" s="1667"/>
      <c r="E3548" s="1671">
        <v>3.5</v>
      </c>
      <c r="F3548" s="1672"/>
      <c r="G3548" s="1671">
        <v>4</v>
      </c>
      <c r="H3548" s="1671">
        <f t="shared" si="531"/>
        <v>0</v>
      </c>
      <c r="I3548" s="1671" t="s">
        <v>92</v>
      </c>
      <c r="J3548" s="1668"/>
      <c r="K3548" s="1668"/>
      <c r="L3548" s="1669"/>
    </row>
    <row r="3549" spans="1:12" s="692" customFormat="1" ht="16.5" hidden="1">
      <c r="A3549" s="1665"/>
      <c r="B3549" s="1666"/>
      <c r="C3549" s="688"/>
      <c r="D3549" s="1667"/>
      <c r="E3549" s="1671">
        <v>3.5</v>
      </c>
      <c r="F3549" s="1672"/>
      <c r="G3549" s="1671">
        <v>4</v>
      </c>
      <c r="H3549" s="1671">
        <f t="shared" si="531"/>
        <v>0</v>
      </c>
      <c r="I3549" s="1671" t="s">
        <v>92</v>
      </c>
      <c r="J3549" s="1668"/>
      <c r="K3549" s="1668"/>
      <c r="L3549" s="1669"/>
    </row>
    <row r="3550" spans="1:12" s="692" customFormat="1" ht="16.5" hidden="1">
      <c r="A3550" s="1665"/>
      <c r="B3550" s="1666"/>
      <c r="C3550" s="688"/>
      <c r="D3550" s="1667"/>
      <c r="E3550" s="1671">
        <v>3.5</v>
      </c>
      <c r="F3550" s="1672"/>
      <c r="G3550" s="1671">
        <v>4</v>
      </c>
      <c r="H3550" s="1671">
        <f t="shared" si="531"/>
        <v>0</v>
      </c>
      <c r="I3550" s="1671" t="s">
        <v>92</v>
      </c>
      <c r="J3550" s="1668"/>
      <c r="K3550" s="1668"/>
      <c r="L3550" s="1669"/>
    </row>
    <row r="3551" spans="1:12" s="692" customFormat="1" ht="16.5" hidden="1">
      <c r="A3551" s="1665"/>
      <c r="B3551" s="1666"/>
      <c r="C3551" s="688"/>
      <c r="D3551" s="1667"/>
      <c r="E3551" s="1671">
        <v>3.5</v>
      </c>
      <c r="F3551" s="1672"/>
      <c r="G3551" s="1671">
        <v>4</v>
      </c>
      <c r="H3551" s="1671">
        <f t="shared" si="531"/>
        <v>0</v>
      </c>
      <c r="I3551" s="1671" t="s">
        <v>92</v>
      </c>
      <c r="J3551" s="1668"/>
      <c r="K3551" s="1668"/>
      <c r="L3551" s="1669"/>
    </row>
    <row r="3552" spans="1:12" s="692" customFormat="1" ht="16.5" hidden="1">
      <c r="A3552" s="1665"/>
      <c r="B3552" s="1666"/>
      <c r="C3552" s="688"/>
      <c r="D3552" s="1667"/>
      <c r="E3552" s="688"/>
      <c r="F3552" s="688"/>
      <c r="G3552" s="1665" t="s">
        <v>928</v>
      </c>
      <c r="H3552" s="1673">
        <f>SUM(H3546:H3551)</f>
        <v>0</v>
      </c>
      <c r="I3552" s="1668" t="s">
        <v>92</v>
      </c>
      <c r="J3552" s="1669">
        <f>'Lead &amp; ANALYSIS'!L722</f>
        <v>1236.9000000000001</v>
      </c>
      <c r="K3552" s="1668" t="s">
        <v>1514</v>
      </c>
      <c r="L3552" s="1669">
        <f t="shared" ref="L3552" si="532">ROUND(H3552*J3552,0)</f>
        <v>0</v>
      </c>
    </row>
    <row r="3553" spans="1:12" s="692" customFormat="1" ht="16.5" hidden="1">
      <c r="A3553" s="1665" t="s">
        <v>386</v>
      </c>
      <c r="B3553" s="1666" t="s">
        <v>387</v>
      </c>
      <c r="C3553" s="688"/>
      <c r="D3553" s="1667"/>
      <c r="E3553" s="688"/>
      <c r="F3553" s="688"/>
      <c r="G3553" s="1674"/>
      <c r="H3553" s="688"/>
      <c r="I3553" s="1668"/>
      <c r="J3553" s="1668"/>
      <c r="K3553" s="1668"/>
      <c r="L3553" s="1669"/>
    </row>
    <row r="3554" spans="1:12" s="692" customFormat="1" ht="16.5" hidden="1">
      <c r="A3554" s="1665"/>
      <c r="B3554" s="1666"/>
      <c r="C3554" s="688"/>
      <c r="D3554" s="1667"/>
      <c r="E3554" s="1671">
        <v>3.5</v>
      </c>
      <c r="F3554" s="1672"/>
      <c r="G3554" s="1671">
        <v>4</v>
      </c>
      <c r="H3554" s="1671">
        <f t="shared" ref="H3554:H3559" si="533">ROUND(D3554*E3554*G3554,2)</f>
        <v>0</v>
      </c>
      <c r="I3554" s="1671" t="s">
        <v>92</v>
      </c>
      <c r="J3554" s="1668"/>
      <c r="K3554" s="1668"/>
      <c r="L3554" s="1669"/>
    </row>
    <row r="3555" spans="1:12" s="692" customFormat="1" ht="16.5" hidden="1">
      <c r="A3555" s="1665"/>
      <c r="B3555" s="1666"/>
      <c r="C3555" s="688"/>
      <c r="D3555" s="1667"/>
      <c r="E3555" s="1671">
        <v>3.5</v>
      </c>
      <c r="F3555" s="1672"/>
      <c r="G3555" s="1671">
        <v>4</v>
      </c>
      <c r="H3555" s="1671">
        <f t="shared" si="533"/>
        <v>0</v>
      </c>
      <c r="I3555" s="1671" t="s">
        <v>92</v>
      </c>
      <c r="J3555" s="1668"/>
      <c r="K3555" s="1668"/>
      <c r="L3555" s="1669"/>
    </row>
    <row r="3556" spans="1:12" s="692" customFormat="1" ht="16.5" hidden="1">
      <c r="A3556" s="1665"/>
      <c r="B3556" s="1666"/>
      <c r="C3556" s="688"/>
      <c r="D3556" s="1667"/>
      <c r="E3556" s="1671">
        <v>3.5</v>
      </c>
      <c r="F3556" s="1672"/>
      <c r="G3556" s="1671">
        <v>4</v>
      </c>
      <c r="H3556" s="1671">
        <f t="shared" si="533"/>
        <v>0</v>
      </c>
      <c r="I3556" s="1671" t="s">
        <v>92</v>
      </c>
      <c r="J3556" s="1668"/>
      <c r="K3556" s="1668"/>
      <c r="L3556" s="1669"/>
    </row>
    <row r="3557" spans="1:12" s="692" customFormat="1" ht="16.5" hidden="1">
      <c r="A3557" s="1665"/>
      <c r="B3557" s="1666"/>
      <c r="C3557" s="688"/>
      <c r="D3557" s="1667"/>
      <c r="E3557" s="1671">
        <v>3.5</v>
      </c>
      <c r="F3557" s="1672"/>
      <c r="G3557" s="1671">
        <v>4</v>
      </c>
      <c r="H3557" s="1671">
        <f t="shared" si="533"/>
        <v>0</v>
      </c>
      <c r="I3557" s="1671" t="s">
        <v>92</v>
      </c>
      <c r="J3557" s="1668"/>
      <c r="K3557" s="1668"/>
      <c r="L3557" s="1669"/>
    </row>
    <row r="3558" spans="1:12" s="692" customFormat="1" ht="16.5" hidden="1">
      <c r="A3558" s="1665"/>
      <c r="B3558" s="1666"/>
      <c r="C3558" s="688"/>
      <c r="D3558" s="1667"/>
      <c r="E3558" s="1671">
        <v>3.5</v>
      </c>
      <c r="F3558" s="1672"/>
      <c r="G3558" s="1671">
        <v>4</v>
      </c>
      <c r="H3558" s="1671">
        <f t="shared" si="533"/>
        <v>0</v>
      </c>
      <c r="I3558" s="1671" t="s">
        <v>92</v>
      </c>
      <c r="J3558" s="1668"/>
      <c r="K3558" s="1668"/>
      <c r="L3558" s="1669"/>
    </row>
    <row r="3559" spans="1:12" s="692" customFormat="1" ht="16.5" hidden="1">
      <c r="A3559" s="1665"/>
      <c r="B3559" s="1666"/>
      <c r="C3559" s="688"/>
      <c r="D3559" s="1667"/>
      <c r="E3559" s="1671">
        <v>3.5</v>
      </c>
      <c r="F3559" s="1672"/>
      <c r="G3559" s="1671">
        <v>4</v>
      </c>
      <c r="H3559" s="1671">
        <f t="shared" si="533"/>
        <v>0</v>
      </c>
      <c r="I3559" s="1671" t="s">
        <v>92</v>
      </c>
      <c r="J3559" s="1668"/>
      <c r="K3559" s="1668"/>
      <c r="L3559" s="1669"/>
    </row>
    <row r="3560" spans="1:12" s="692" customFormat="1" ht="16.5" hidden="1">
      <c r="A3560" s="1665"/>
      <c r="B3560" s="1666"/>
      <c r="C3560" s="688"/>
      <c r="D3560" s="1667"/>
      <c r="E3560" s="688"/>
      <c r="F3560" s="688"/>
      <c r="G3560" s="1665" t="s">
        <v>928</v>
      </c>
      <c r="H3560" s="1673">
        <f>SUM(H3554:H3559)</f>
        <v>0</v>
      </c>
      <c r="I3560" s="1668" t="s">
        <v>92</v>
      </c>
      <c r="J3560" s="1669">
        <f>'Lead &amp; ANALYSIS'!L723</f>
        <v>1256.5</v>
      </c>
      <c r="K3560" s="1668" t="s">
        <v>1514</v>
      </c>
      <c r="L3560" s="1669">
        <f t="shared" ref="L3560" si="534">ROUND(H3560*J3560,0)</f>
        <v>0</v>
      </c>
    </row>
    <row r="3561" spans="1:12" s="692" customFormat="1" ht="16.5" hidden="1">
      <c r="A3561" s="1665" t="s">
        <v>432</v>
      </c>
      <c r="B3561" s="1666" t="s">
        <v>3622</v>
      </c>
      <c r="C3561" s="688"/>
      <c r="D3561" s="1667"/>
      <c r="E3561" s="688"/>
      <c r="F3561" s="688"/>
      <c r="G3561" s="1674"/>
      <c r="H3561" s="688"/>
      <c r="I3561" s="1668"/>
      <c r="J3561" s="1668"/>
      <c r="K3561" s="1668"/>
      <c r="L3561" s="1669"/>
    </row>
    <row r="3562" spans="1:12" s="692" customFormat="1" ht="16.5" hidden="1">
      <c r="A3562" s="1665"/>
      <c r="B3562" s="1666"/>
      <c r="C3562" s="688"/>
      <c r="D3562" s="1667"/>
      <c r="E3562" s="1671">
        <v>3.5</v>
      </c>
      <c r="F3562" s="1672"/>
      <c r="G3562" s="1671">
        <v>4</v>
      </c>
      <c r="H3562" s="1671">
        <f t="shared" ref="H3562:H3567" si="535">ROUND(D3562*E3562*G3562,2)</f>
        <v>0</v>
      </c>
      <c r="I3562" s="1671" t="s">
        <v>92</v>
      </c>
      <c r="J3562" s="1668"/>
      <c r="K3562" s="1668"/>
      <c r="L3562" s="1669"/>
    </row>
    <row r="3563" spans="1:12" s="692" customFormat="1" ht="16.5" hidden="1">
      <c r="A3563" s="1665"/>
      <c r="B3563" s="1666"/>
      <c r="C3563" s="688"/>
      <c r="D3563" s="1667"/>
      <c r="E3563" s="1671">
        <v>3.5</v>
      </c>
      <c r="F3563" s="1672"/>
      <c r="G3563" s="1671">
        <v>4</v>
      </c>
      <c r="H3563" s="1671">
        <f t="shared" si="535"/>
        <v>0</v>
      </c>
      <c r="I3563" s="1671" t="s">
        <v>92</v>
      </c>
      <c r="J3563" s="1668"/>
      <c r="K3563" s="1668"/>
      <c r="L3563" s="1669"/>
    </row>
    <row r="3564" spans="1:12" s="692" customFormat="1" ht="16.5" hidden="1">
      <c r="A3564" s="1665"/>
      <c r="B3564" s="1666"/>
      <c r="C3564" s="688"/>
      <c r="D3564" s="1667"/>
      <c r="E3564" s="1671">
        <v>3.5</v>
      </c>
      <c r="F3564" s="1672"/>
      <c r="G3564" s="1671">
        <v>4</v>
      </c>
      <c r="H3564" s="1671">
        <f t="shared" si="535"/>
        <v>0</v>
      </c>
      <c r="I3564" s="1671" t="s">
        <v>92</v>
      </c>
      <c r="J3564" s="1668"/>
      <c r="K3564" s="1668"/>
      <c r="L3564" s="1669"/>
    </row>
    <row r="3565" spans="1:12" s="692" customFormat="1" ht="16.5" hidden="1">
      <c r="A3565" s="1665"/>
      <c r="B3565" s="1666"/>
      <c r="C3565" s="688"/>
      <c r="D3565" s="1667"/>
      <c r="E3565" s="1671">
        <v>3.5</v>
      </c>
      <c r="F3565" s="1672"/>
      <c r="G3565" s="1671">
        <v>4</v>
      </c>
      <c r="H3565" s="1671">
        <f t="shared" si="535"/>
        <v>0</v>
      </c>
      <c r="I3565" s="1671" t="s">
        <v>92</v>
      </c>
      <c r="J3565" s="1668"/>
      <c r="K3565" s="1668"/>
      <c r="L3565" s="1669"/>
    </row>
    <row r="3566" spans="1:12" s="692" customFormat="1" ht="16.5" hidden="1">
      <c r="A3566" s="1665"/>
      <c r="B3566" s="1666"/>
      <c r="C3566" s="688"/>
      <c r="D3566" s="1667"/>
      <c r="E3566" s="1671">
        <v>3.5</v>
      </c>
      <c r="F3566" s="1672"/>
      <c r="G3566" s="1671">
        <v>4</v>
      </c>
      <c r="H3566" s="1671">
        <f t="shared" si="535"/>
        <v>0</v>
      </c>
      <c r="I3566" s="1671" t="s">
        <v>92</v>
      </c>
      <c r="J3566" s="1668"/>
      <c r="K3566" s="1668"/>
      <c r="L3566" s="1669"/>
    </row>
    <row r="3567" spans="1:12" s="692" customFormat="1" ht="16.5" hidden="1">
      <c r="A3567" s="1665"/>
      <c r="B3567" s="1666"/>
      <c r="C3567" s="688"/>
      <c r="D3567" s="1667"/>
      <c r="E3567" s="1671">
        <v>3.5</v>
      </c>
      <c r="F3567" s="1672"/>
      <c r="G3567" s="1671">
        <v>4</v>
      </c>
      <c r="H3567" s="1671">
        <f t="shared" si="535"/>
        <v>0</v>
      </c>
      <c r="I3567" s="1671" t="s">
        <v>92</v>
      </c>
      <c r="J3567" s="1668"/>
      <c r="K3567" s="1668"/>
      <c r="L3567" s="1669"/>
    </row>
    <row r="3568" spans="1:12" s="692" customFormat="1" ht="16.5" hidden="1">
      <c r="A3568" s="1665"/>
      <c r="B3568" s="1666"/>
      <c r="C3568" s="688"/>
      <c r="D3568" s="1667"/>
      <c r="E3568" s="688"/>
      <c r="F3568" s="688"/>
      <c r="G3568" s="1665" t="s">
        <v>928</v>
      </c>
      <c r="H3568" s="1673">
        <f>SUM(H3562:H3567)</f>
        <v>0</v>
      </c>
      <c r="I3568" s="1668" t="s">
        <v>92</v>
      </c>
      <c r="J3568" s="1669">
        <f>'Lead &amp; ANALYSIS'!L724</f>
        <v>1277.2</v>
      </c>
      <c r="K3568" s="1668" t="s">
        <v>1514</v>
      </c>
      <c r="L3568" s="1669">
        <f t="shared" ref="L3568" si="536">ROUND(H3568*J3568,0)</f>
        <v>0</v>
      </c>
    </row>
    <row r="3569" spans="1:12" s="692" customFormat="1" ht="16.5" hidden="1">
      <c r="A3569" s="1665" t="s">
        <v>443</v>
      </c>
      <c r="B3569" s="1666" t="s">
        <v>3636</v>
      </c>
      <c r="C3569" s="688"/>
      <c r="D3569" s="1667"/>
      <c r="E3569" s="688"/>
      <c r="F3569" s="688"/>
      <c r="G3569" s="1674"/>
      <c r="H3569" s="688"/>
      <c r="I3569" s="1668"/>
      <c r="J3569" s="1668"/>
      <c r="K3569" s="1668"/>
      <c r="L3569" s="1669"/>
    </row>
    <row r="3570" spans="1:12" s="692" customFormat="1" ht="16.5" hidden="1">
      <c r="A3570" s="1665"/>
      <c r="B3570" s="1666"/>
      <c r="C3570" s="688"/>
      <c r="D3570" s="1667"/>
      <c r="E3570" s="1671">
        <v>3.5</v>
      </c>
      <c r="F3570" s="1672"/>
      <c r="G3570" s="1671">
        <v>4</v>
      </c>
      <c r="H3570" s="1671">
        <f t="shared" ref="H3570:H3575" si="537">ROUND(D3570*E3570*G3570,2)</f>
        <v>0</v>
      </c>
      <c r="I3570" s="1671" t="s">
        <v>92</v>
      </c>
      <c r="J3570" s="1668"/>
      <c r="K3570" s="1668"/>
      <c r="L3570" s="1669"/>
    </row>
    <row r="3571" spans="1:12" s="692" customFormat="1" ht="16.5" hidden="1">
      <c r="A3571" s="1665"/>
      <c r="B3571" s="1666"/>
      <c r="C3571" s="688"/>
      <c r="D3571" s="1667"/>
      <c r="E3571" s="1671">
        <v>3.5</v>
      </c>
      <c r="F3571" s="1672"/>
      <c r="G3571" s="1671">
        <v>4</v>
      </c>
      <c r="H3571" s="1671">
        <f t="shared" si="537"/>
        <v>0</v>
      </c>
      <c r="I3571" s="1671" t="s">
        <v>92</v>
      </c>
      <c r="J3571" s="1668"/>
      <c r="K3571" s="1668"/>
      <c r="L3571" s="1669"/>
    </row>
    <row r="3572" spans="1:12" s="692" customFormat="1" ht="16.5" hidden="1">
      <c r="A3572" s="1665"/>
      <c r="B3572" s="1666"/>
      <c r="C3572" s="688"/>
      <c r="D3572" s="1667"/>
      <c r="E3572" s="1671">
        <v>3.5</v>
      </c>
      <c r="F3572" s="1672"/>
      <c r="G3572" s="1671">
        <v>4</v>
      </c>
      <c r="H3572" s="1671">
        <f t="shared" si="537"/>
        <v>0</v>
      </c>
      <c r="I3572" s="1671" t="s">
        <v>92</v>
      </c>
      <c r="J3572" s="1668"/>
      <c r="K3572" s="1668"/>
      <c r="L3572" s="1669"/>
    </row>
    <row r="3573" spans="1:12" s="692" customFormat="1" ht="16.5" hidden="1">
      <c r="A3573" s="1665"/>
      <c r="B3573" s="1666"/>
      <c r="C3573" s="688"/>
      <c r="D3573" s="1667"/>
      <c r="E3573" s="1671">
        <v>3.5</v>
      </c>
      <c r="F3573" s="1672"/>
      <c r="G3573" s="1671">
        <v>4</v>
      </c>
      <c r="H3573" s="1671">
        <f t="shared" si="537"/>
        <v>0</v>
      </c>
      <c r="I3573" s="1671" t="s">
        <v>92</v>
      </c>
      <c r="J3573" s="1668"/>
      <c r="K3573" s="1668"/>
      <c r="L3573" s="1669"/>
    </row>
    <row r="3574" spans="1:12" s="692" customFormat="1" ht="16.5" hidden="1">
      <c r="A3574" s="1665"/>
      <c r="B3574" s="1666"/>
      <c r="C3574" s="688"/>
      <c r="D3574" s="1667"/>
      <c r="E3574" s="1671">
        <v>3.5</v>
      </c>
      <c r="F3574" s="1672"/>
      <c r="G3574" s="1671">
        <v>4</v>
      </c>
      <c r="H3574" s="1671">
        <f t="shared" si="537"/>
        <v>0</v>
      </c>
      <c r="I3574" s="1671" t="s">
        <v>92</v>
      </c>
      <c r="J3574" s="1668"/>
      <c r="K3574" s="1668"/>
      <c r="L3574" s="1669"/>
    </row>
    <row r="3575" spans="1:12" s="692" customFormat="1" ht="16.5" hidden="1">
      <c r="A3575" s="1665"/>
      <c r="B3575" s="1666"/>
      <c r="C3575" s="688"/>
      <c r="D3575" s="1667"/>
      <c r="E3575" s="1671">
        <v>3.5</v>
      </c>
      <c r="F3575" s="1672"/>
      <c r="G3575" s="1671">
        <v>4</v>
      </c>
      <c r="H3575" s="1671">
        <f t="shared" si="537"/>
        <v>0</v>
      </c>
      <c r="I3575" s="1671" t="s">
        <v>92</v>
      </c>
      <c r="J3575" s="1668"/>
      <c r="K3575" s="1668"/>
      <c r="L3575" s="1669"/>
    </row>
    <row r="3576" spans="1:12" s="692" customFormat="1" ht="16.5" hidden="1">
      <c r="A3576" s="1665"/>
      <c r="B3576" s="1666"/>
      <c r="C3576" s="688"/>
      <c r="D3576" s="1667"/>
      <c r="E3576" s="688"/>
      <c r="F3576" s="688"/>
      <c r="G3576" s="1665" t="s">
        <v>928</v>
      </c>
      <c r="H3576" s="1673">
        <f>SUM(H3570:H3575)</f>
        <v>0</v>
      </c>
      <c r="I3576" s="1668" t="s">
        <v>92</v>
      </c>
      <c r="J3576" s="1669">
        <f>'Lead &amp; ANALYSIS'!L725</f>
        <v>1298.8</v>
      </c>
      <c r="K3576" s="1668" t="s">
        <v>1514</v>
      </c>
      <c r="L3576" s="1669">
        <f t="shared" ref="L3576" si="538">ROUND(H3576*J3576,0)</f>
        <v>0</v>
      </c>
    </row>
    <row r="3577" spans="1:12" s="692" customFormat="1" ht="16.5" hidden="1">
      <c r="A3577" s="1665" t="s">
        <v>472</v>
      </c>
      <c r="B3577" s="1675" t="s">
        <v>231</v>
      </c>
      <c r="C3577" s="688"/>
      <c r="D3577" s="1667"/>
      <c r="E3577" s="688"/>
      <c r="F3577" s="688"/>
      <c r="G3577" s="1674"/>
      <c r="H3577" s="688"/>
      <c r="I3577" s="1668"/>
      <c r="J3577" s="1668"/>
      <c r="K3577" s="1668"/>
      <c r="L3577" s="1669"/>
    </row>
    <row r="3578" spans="1:12" s="692" customFormat="1" ht="16.5" hidden="1">
      <c r="A3578" s="1665" t="s">
        <v>383</v>
      </c>
      <c r="B3578" s="1666" t="s">
        <v>384</v>
      </c>
      <c r="C3578" s="688"/>
      <c r="D3578" s="1667"/>
      <c r="E3578" s="688"/>
      <c r="F3578" s="688"/>
      <c r="G3578" s="1674"/>
      <c r="H3578" s="688"/>
      <c r="I3578" s="1668"/>
      <c r="J3578" s="1668"/>
      <c r="K3578" s="1668"/>
      <c r="L3578" s="1669"/>
    </row>
    <row r="3579" spans="1:12" s="692" customFormat="1" ht="16.5" hidden="1">
      <c r="A3579" s="1665"/>
      <c r="B3579" s="1666"/>
      <c r="C3579" s="688"/>
      <c r="D3579" s="1667"/>
      <c r="E3579" s="1671">
        <v>3.5</v>
      </c>
      <c r="F3579" s="1672"/>
      <c r="G3579" s="1671">
        <v>4</v>
      </c>
      <c r="H3579" s="1671">
        <f t="shared" ref="H3579:H3584" si="539">ROUND(D3579*E3579*G3579,2)</f>
        <v>0</v>
      </c>
      <c r="I3579" s="1671" t="s">
        <v>92</v>
      </c>
      <c r="J3579" s="1668"/>
      <c r="K3579" s="1668"/>
      <c r="L3579" s="1669"/>
    </row>
    <row r="3580" spans="1:12" s="692" customFormat="1" ht="16.5" hidden="1">
      <c r="A3580" s="1665"/>
      <c r="B3580" s="1666"/>
      <c r="C3580" s="688"/>
      <c r="D3580" s="1667"/>
      <c r="E3580" s="1671">
        <v>3.5</v>
      </c>
      <c r="F3580" s="1672"/>
      <c r="G3580" s="1671">
        <v>4</v>
      </c>
      <c r="H3580" s="1671">
        <f t="shared" si="539"/>
        <v>0</v>
      </c>
      <c r="I3580" s="1671" t="s">
        <v>92</v>
      </c>
      <c r="J3580" s="1668"/>
      <c r="K3580" s="1668"/>
      <c r="L3580" s="1669"/>
    </row>
    <row r="3581" spans="1:12" s="692" customFormat="1" ht="16.5" hidden="1">
      <c r="A3581" s="1665"/>
      <c r="B3581" s="1666"/>
      <c r="C3581" s="688"/>
      <c r="D3581" s="1667"/>
      <c r="E3581" s="1671">
        <v>3.5</v>
      </c>
      <c r="F3581" s="1672"/>
      <c r="G3581" s="1671">
        <v>4</v>
      </c>
      <c r="H3581" s="1671">
        <f t="shared" si="539"/>
        <v>0</v>
      </c>
      <c r="I3581" s="1671" t="s">
        <v>92</v>
      </c>
      <c r="J3581" s="1668"/>
      <c r="K3581" s="1668"/>
      <c r="L3581" s="1669"/>
    </row>
    <row r="3582" spans="1:12" s="692" customFormat="1" ht="16.5" hidden="1">
      <c r="A3582" s="1665"/>
      <c r="B3582" s="1666"/>
      <c r="C3582" s="688"/>
      <c r="D3582" s="1667"/>
      <c r="E3582" s="1671">
        <v>3.5</v>
      </c>
      <c r="F3582" s="1672"/>
      <c r="G3582" s="1671">
        <v>4</v>
      </c>
      <c r="H3582" s="1671">
        <f t="shared" si="539"/>
        <v>0</v>
      </c>
      <c r="I3582" s="1671" t="s">
        <v>92</v>
      </c>
      <c r="J3582" s="1668"/>
      <c r="K3582" s="1668"/>
      <c r="L3582" s="1669"/>
    </row>
    <row r="3583" spans="1:12" s="692" customFormat="1" ht="16.5" hidden="1">
      <c r="A3583" s="1665"/>
      <c r="B3583" s="1666"/>
      <c r="C3583" s="688"/>
      <c r="D3583" s="1667"/>
      <c r="E3583" s="1671">
        <v>3.5</v>
      </c>
      <c r="F3583" s="1672"/>
      <c r="G3583" s="1671">
        <v>4</v>
      </c>
      <c r="H3583" s="1671">
        <f t="shared" si="539"/>
        <v>0</v>
      </c>
      <c r="I3583" s="1671" t="s">
        <v>92</v>
      </c>
      <c r="J3583" s="1668"/>
      <c r="K3583" s="1668"/>
      <c r="L3583" s="1669"/>
    </row>
    <row r="3584" spans="1:12" s="692" customFormat="1" ht="16.5" hidden="1">
      <c r="A3584" s="1665"/>
      <c r="B3584" s="1666"/>
      <c r="C3584" s="688"/>
      <c r="D3584" s="1667"/>
      <c r="E3584" s="1671">
        <v>3.5</v>
      </c>
      <c r="F3584" s="1672"/>
      <c r="G3584" s="1671">
        <v>4</v>
      </c>
      <c r="H3584" s="1671">
        <f t="shared" si="539"/>
        <v>0</v>
      </c>
      <c r="I3584" s="1671" t="s">
        <v>92</v>
      </c>
      <c r="J3584" s="1668"/>
      <c r="K3584" s="1668"/>
      <c r="L3584" s="1669"/>
    </row>
    <row r="3585" spans="1:12" s="692" customFormat="1" ht="16.5" hidden="1">
      <c r="A3585" s="1665"/>
      <c r="B3585" s="1666"/>
      <c r="C3585" s="688"/>
      <c r="D3585" s="1667"/>
      <c r="E3585" s="688"/>
      <c r="F3585" s="688"/>
      <c r="G3585" s="1665" t="s">
        <v>928</v>
      </c>
      <c r="H3585" s="1673">
        <f>SUM(H3579:H3584)</f>
        <v>0</v>
      </c>
      <c r="I3585" s="1668" t="s">
        <v>92</v>
      </c>
      <c r="J3585" s="1669">
        <f>'Lead &amp; ANALYSIS'!L727</f>
        <v>1164.0999999999999</v>
      </c>
      <c r="K3585" s="1668" t="s">
        <v>1514</v>
      </c>
      <c r="L3585" s="1669">
        <f t="shared" ref="L3585" si="540">ROUND(H3585*J3585,0)</f>
        <v>0</v>
      </c>
    </row>
    <row r="3586" spans="1:12" s="692" customFormat="1" ht="16.5" hidden="1">
      <c r="A3586" s="1665" t="s">
        <v>386</v>
      </c>
      <c r="B3586" s="1666" t="s">
        <v>387</v>
      </c>
      <c r="C3586" s="688"/>
      <c r="D3586" s="1667"/>
      <c r="E3586" s="688"/>
      <c r="F3586" s="688"/>
      <c r="G3586" s="1674"/>
      <c r="H3586" s="688"/>
      <c r="I3586" s="1668"/>
      <c r="J3586" s="1668"/>
      <c r="K3586" s="1668"/>
      <c r="L3586" s="1669"/>
    </row>
    <row r="3587" spans="1:12" s="692" customFormat="1" ht="16.5" hidden="1">
      <c r="A3587" s="1665"/>
      <c r="B3587" s="1666"/>
      <c r="C3587" s="688"/>
      <c r="D3587" s="1667"/>
      <c r="E3587" s="1671">
        <v>3.5</v>
      </c>
      <c r="F3587" s="1672"/>
      <c r="G3587" s="1671">
        <v>4</v>
      </c>
      <c r="H3587" s="1671">
        <f t="shared" ref="H3587:H3592" si="541">ROUND(D3587*E3587*G3587,2)</f>
        <v>0</v>
      </c>
      <c r="I3587" s="1671" t="s">
        <v>92</v>
      </c>
      <c r="J3587" s="1668"/>
      <c r="K3587" s="1668"/>
      <c r="L3587" s="1669"/>
    </row>
    <row r="3588" spans="1:12" s="692" customFormat="1" ht="16.5" hidden="1">
      <c r="A3588" s="1665"/>
      <c r="B3588" s="1666"/>
      <c r="C3588" s="688"/>
      <c r="D3588" s="1667"/>
      <c r="E3588" s="1671">
        <v>3.5</v>
      </c>
      <c r="F3588" s="1672"/>
      <c r="G3588" s="1671">
        <v>4</v>
      </c>
      <c r="H3588" s="1671">
        <f t="shared" si="541"/>
        <v>0</v>
      </c>
      <c r="I3588" s="1671" t="s">
        <v>92</v>
      </c>
      <c r="J3588" s="1668"/>
      <c r="K3588" s="1668"/>
      <c r="L3588" s="1669"/>
    </row>
    <row r="3589" spans="1:12" s="692" customFormat="1" ht="16.5" hidden="1">
      <c r="A3589" s="1665"/>
      <c r="B3589" s="1666"/>
      <c r="C3589" s="688"/>
      <c r="D3589" s="1667"/>
      <c r="E3589" s="1671">
        <v>3.5</v>
      </c>
      <c r="F3589" s="1672"/>
      <c r="G3589" s="1671">
        <v>4</v>
      </c>
      <c r="H3589" s="1671">
        <f t="shared" si="541"/>
        <v>0</v>
      </c>
      <c r="I3589" s="1671" t="s">
        <v>92</v>
      </c>
      <c r="J3589" s="1668"/>
      <c r="K3589" s="1668"/>
      <c r="L3589" s="1669"/>
    </row>
    <row r="3590" spans="1:12" s="692" customFormat="1" ht="16.5" hidden="1">
      <c r="A3590" s="1665"/>
      <c r="B3590" s="1666"/>
      <c r="C3590" s="688"/>
      <c r="D3590" s="1667"/>
      <c r="E3590" s="1671">
        <v>3.5</v>
      </c>
      <c r="F3590" s="1672"/>
      <c r="G3590" s="1671">
        <v>4</v>
      </c>
      <c r="H3590" s="1671">
        <f t="shared" si="541"/>
        <v>0</v>
      </c>
      <c r="I3590" s="1671" t="s">
        <v>92</v>
      </c>
      <c r="J3590" s="1668"/>
      <c r="K3590" s="1668"/>
      <c r="L3590" s="1669"/>
    </row>
    <row r="3591" spans="1:12" s="692" customFormat="1" ht="16.5" hidden="1">
      <c r="A3591" s="1665"/>
      <c r="B3591" s="1666"/>
      <c r="C3591" s="688"/>
      <c r="D3591" s="1667"/>
      <c r="E3591" s="1671">
        <v>3.5</v>
      </c>
      <c r="F3591" s="1672"/>
      <c r="G3591" s="1671">
        <v>4</v>
      </c>
      <c r="H3591" s="1671">
        <f t="shared" si="541"/>
        <v>0</v>
      </c>
      <c r="I3591" s="1671" t="s">
        <v>92</v>
      </c>
      <c r="J3591" s="1668"/>
      <c r="K3591" s="1668"/>
      <c r="L3591" s="1669"/>
    </row>
    <row r="3592" spans="1:12" s="692" customFormat="1" ht="16.5" hidden="1">
      <c r="A3592" s="1665"/>
      <c r="B3592" s="1666"/>
      <c r="C3592" s="688"/>
      <c r="D3592" s="1667"/>
      <c r="E3592" s="1671">
        <v>3.5</v>
      </c>
      <c r="F3592" s="1672"/>
      <c r="G3592" s="1671">
        <v>4</v>
      </c>
      <c r="H3592" s="1671">
        <f t="shared" si="541"/>
        <v>0</v>
      </c>
      <c r="I3592" s="1671" t="s">
        <v>92</v>
      </c>
      <c r="J3592" s="1668"/>
      <c r="K3592" s="1668"/>
      <c r="L3592" s="1669"/>
    </row>
    <row r="3593" spans="1:12" s="692" customFormat="1" ht="16.5" hidden="1">
      <c r="A3593" s="1665"/>
      <c r="B3593" s="1666"/>
      <c r="C3593" s="688"/>
      <c r="D3593" s="1667"/>
      <c r="E3593" s="688"/>
      <c r="F3593" s="688"/>
      <c r="G3593" s="1665" t="s">
        <v>928</v>
      </c>
      <c r="H3593" s="1673">
        <f>SUM(H3587:H3592)</f>
        <v>0</v>
      </c>
      <c r="I3593" s="1668" t="s">
        <v>92</v>
      </c>
      <c r="J3593" s="1669">
        <f>'Lead &amp; ANALYSIS'!L728</f>
        <v>1183.8</v>
      </c>
      <c r="K3593" s="1668" t="s">
        <v>1514</v>
      </c>
      <c r="L3593" s="1669">
        <f t="shared" ref="L3593" si="542">ROUND(H3593*J3593,0)</f>
        <v>0</v>
      </c>
    </row>
    <row r="3594" spans="1:12" s="692" customFormat="1" ht="16.5" hidden="1">
      <c r="A3594" s="1665" t="s">
        <v>432</v>
      </c>
      <c r="B3594" s="1666" t="s">
        <v>3622</v>
      </c>
      <c r="C3594" s="688"/>
      <c r="D3594" s="1667"/>
      <c r="E3594" s="688"/>
      <c r="F3594" s="688"/>
      <c r="G3594" s="1674"/>
      <c r="H3594" s="688"/>
      <c r="I3594" s="1668"/>
      <c r="J3594" s="1668"/>
      <c r="K3594" s="1668"/>
      <c r="L3594" s="1669"/>
    </row>
    <row r="3595" spans="1:12" s="692" customFormat="1" ht="16.5" hidden="1">
      <c r="A3595" s="1665"/>
      <c r="B3595" s="1666"/>
      <c r="C3595" s="688"/>
      <c r="D3595" s="1667"/>
      <c r="E3595" s="1671">
        <v>3.5</v>
      </c>
      <c r="F3595" s="1672"/>
      <c r="G3595" s="1671">
        <v>4</v>
      </c>
      <c r="H3595" s="1671">
        <f t="shared" ref="H3595:H3600" si="543">ROUND(D3595*E3595*G3595,2)</f>
        <v>0</v>
      </c>
      <c r="I3595" s="1671" t="s">
        <v>92</v>
      </c>
      <c r="J3595" s="1668"/>
      <c r="K3595" s="1668"/>
      <c r="L3595" s="1669"/>
    </row>
    <row r="3596" spans="1:12" s="692" customFormat="1" ht="16.5" hidden="1">
      <c r="A3596" s="1665"/>
      <c r="B3596" s="1666"/>
      <c r="C3596" s="688"/>
      <c r="D3596" s="1667"/>
      <c r="E3596" s="1671">
        <v>3.5</v>
      </c>
      <c r="F3596" s="1672"/>
      <c r="G3596" s="1671">
        <v>4</v>
      </c>
      <c r="H3596" s="1671">
        <f t="shared" si="543"/>
        <v>0</v>
      </c>
      <c r="I3596" s="1671" t="s">
        <v>92</v>
      </c>
      <c r="J3596" s="1668"/>
      <c r="K3596" s="1668"/>
      <c r="L3596" s="1669"/>
    </row>
    <row r="3597" spans="1:12" s="692" customFormat="1" ht="16.5" hidden="1">
      <c r="A3597" s="1665"/>
      <c r="B3597" s="1666"/>
      <c r="C3597" s="688"/>
      <c r="D3597" s="1667"/>
      <c r="E3597" s="1671">
        <v>3.5</v>
      </c>
      <c r="F3597" s="1672"/>
      <c r="G3597" s="1671">
        <v>4</v>
      </c>
      <c r="H3597" s="1671">
        <f t="shared" si="543"/>
        <v>0</v>
      </c>
      <c r="I3597" s="1671" t="s">
        <v>92</v>
      </c>
      <c r="J3597" s="1668"/>
      <c r="K3597" s="1668"/>
      <c r="L3597" s="1669"/>
    </row>
    <row r="3598" spans="1:12" s="692" customFormat="1" ht="16.5" hidden="1">
      <c r="A3598" s="1665"/>
      <c r="B3598" s="1666"/>
      <c r="C3598" s="688"/>
      <c r="D3598" s="1667"/>
      <c r="E3598" s="1671">
        <v>3.5</v>
      </c>
      <c r="F3598" s="1672"/>
      <c r="G3598" s="1671">
        <v>4</v>
      </c>
      <c r="H3598" s="1671">
        <f t="shared" si="543"/>
        <v>0</v>
      </c>
      <c r="I3598" s="1671" t="s">
        <v>92</v>
      </c>
      <c r="J3598" s="1668"/>
      <c r="K3598" s="1668"/>
      <c r="L3598" s="1669"/>
    </row>
    <row r="3599" spans="1:12" s="692" customFormat="1" ht="16.5" hidden="1">
      <c r="A3599" s="1665"/>
      <c r="B3599" s="1666"/>
      <c r="C3599" s="688"/>
      <c r="D3599" s="1667"/>
      <c r="E3599" s="1671">
        <v>3.5</v>
      </c>
      <c r="F3599" s="1672"/>
      <c r="G3599" s="1671">
        <v>4</v>
      </c>
      <c r="H3599" s="1671">
        <f t="shared" si="543"/>
        <v>0</v>
      </c>
      <c r="I3599" s="1671" t="s">
        <v>92</v>
      </c>
      <c r="J3599" s="1668"/>
      <c r="K3599" s="1668"/>
      <c r="L3599" s="1669"/>
    </row>
    <row r="3600" spans="1:12" s="692" customFormat="1" ht="16.5" hidden="1">
      <c r="A3600" s="1665"/>
      <c r="B3600" s="1666"/>
      <c r="C3600" s="688"/>
      <c r="D3600" s="1667"/>
      <c r="E3600" s="1671">
        <v>3.5</v>
      </c>
      <c r="F3600" s="1672"/>
      <c r="G3600" s="1671">
        <v>4</v>
      </c>
      <c r="H3600" s="1671">
        <f t="shared" si="543"/>
        <v>0</v>
      </c>
      <c r="I3600" s="1671" t="s">
        <v>92</v>
      </c>
      <c r="J3600" s="1668"/>
      <c r="K3600" s="1668"/>
      <c r="L3600" s="1669"/>
    </row>
    <row r="3601" spans="1:12" s="692" customFormat="1" ht="16.5" hidden="1">
      <c r="A3601" s="1665"/>
      <c r="B3601" s="1666"/>
      <c r="C3601" s="688"/>
      <c r="D3601" s="1667"/>
      <c r="E3601" s="688"/>
      <c r="F3601" s="688"/>
      <c r="G3601" s="1665" t="s">
        <v>928</v>
      </c>
      <c r="H3601" s="1673">
        <f>SUM(H3595:H3600)</f>
        <v>0</v>
      </c>
      <c r="I3601" s="1668" t="s">
        <v>92</v>
      </c>
      <c r="J3601" s="1669">
        <f>'Lead &amp; ANALYSIS'!L729</f>
        <v>1204.4000000000001</v>
      </c>
      <c r="K3601" s="1668" t="s">
        <v>1514</v>
      </c>
      <c r="L3601" s="1669">
        <f t="shared" ref="L3601" si="544">ROUND(H3601*J3601,0)</f>
        <v>0</v>
      </c>
    </row>
    <row r="3602" spans="1:12" s="692" customFormat="1" ht="16.5" hidden="1">
      <c r="A3602" s="1665" t="s">
        <v>443</v>
      </c>
      <c r="B3602" s="1666" t="s">
        <v>3636</v>
      </c>
      <c r="C3602" s="688"/>
      <c r="D3602" s="1667"/>
      <c r="E3602" s="688"/>
      <c r="F3602" s="688"/>
      <c r="G3602" s="1674"/>
      <c r="H3602" s="688"/>
      <c r="I3602" s="1668"/>
      <c r="J3602" s="1668"/>
      <c r="K3602" s="1668"/>
      <c r="L3602" s="1669"/>
    </row>
    <row r="3603" spans="1:12" s="692" customFormat="1" ht="16.5" hidden="1">
      <c r="A3603" s="1665"/>
      <c r="B3603" s="1666"/>
      <c r="C3603" s="688"/>
      <c r="D3603" s="1667"/>
      <c r="E3603" s="1671">
        <v>3.5</v>
      </c>
      <c r="F3603" s="1672"/>
      <c r="G3603" s="1671">
        <v>4</v>
      </c>
      <c r="H3603" s="1671">
        <f t="shared" ref="H3603:H3608" si="545">ROUND(D3603*E3603*G3603,2)</f>
        <v>0</v>
      </c>
      <c r="I3603" s="1671" t="s">
        <v>92</v>
      </c>
      <c r="J3603" s="1668"/>
      <c r="K3603" s="1668"/>
      <c r="L3603" s="1669"/>
    </row>
    <row r="3604" spans="1:12" s="692" customFormat="1" ht="16.5" hidden="1">
      <c r="A3604" s="1665"/>
      <c r="B3604" s="1666"/>
      <c r="C3604" s="688"/>
      <c r="D3604" s="1667"/>
      <c r="E3604" s="1671">
        <v>3.5</v>
      </c>
      <c r="F3604" s="1672"/>
      <c r="G3604" s="1671">
        <v>4</v>
      </c>
      <c r="H3604" s="1671">
        <f t="shared" si="545"/>
        <v>0</v>
      </c>
      <c r="I3604" s="1671" t="s">
        <v>92</v>
      </c>
      <c r="J3604" s="1668"/>
      <c r="K3604" s="1668"/>
      <c r="L3604" s="1669"/>
    </row>
    <row r="3605" spans="1:12" s="692" customFormat="1" ht="16.5" hidden="1">
      <c r="A3605" s="1665"/>
      <c r="B3605" s="1666"/>
      <c r="C3605" s="688"/>
      <c r="D3605" s="1667"/>
      <c r="E3605" s="1671">
        <v>3.5</v>
      </c>
      <c r="F3605" s="1672"/>
      <c r="G3605" s="1671">
        <v>4</v>
      </c>
      <c r="H3605" s="1671">
        <f t="shared" si="545"/>
        <v>0</v>
      </c>
      <c r="I3605" s="1671" t="s">
        <v>92</v>
      </c>
      <c r="J3605" s="1668"/>
      <c r="K3605" s="1668"/>
      <c r="L3605" s="1669"/>
    </row>
    <row r="3606" spans="1:12" s="692" customFormat="1" ht="16.5" hidden="1">
      <c r="A3606" s="1665"/>
      <c r="B3606" s="1666"/>
      <c r="C3606" s="688"/>
      <c r="D3606" s="1667"/>
      <c r="E3606" s="1671">
        <v>3.5</v>
      </c>
      <c r="F3606" s="1672"/>
      <c r="G3606" s="1671">
        <v>4</v>
      </c>
      <c r="H3606" s="1671">
        <f t="shared" si="545"/>
        <v>0</v>
      </c>
      <c r="I3606" s="1671" t="s">
        <v>92</v>
      </c>
      <c r="J3606" s="1668"/>
      <c r="K3606" s="1668"/>
      <c r="L3606" s="1669"/>
    </row>
    <row r="3607" spans="1:12" s="692" customFormat="1" ht="16.5" hidden="1">
      <c r="A3607" s="1665"/>
      <c r="B3607" s="1666"/>
      <c r="C3607" s="688"/>
      <c r="D3607" s="1667"/>
      <c r="E3607" s="1671">
        <v>3.5</v>
      </c>
      <c r="F3607" s="1672"/>
      <c r="G3607" s="1671">
        <v>4</v>
      </c>
      <c r="H3607" s="1671">
        <f t="shared" si="545"/>
        <v>0</v>
      </c>
      <c r="I3607" s="1671" t="s">
        <v>92</v>
      </c>
      <c r="J3607" s="1668"/>
      <c r="K3607" s="1668"/>
      <c r="L3607" s="1669"/>
    </row>
    <row r="3608" spans="1:12" s="692" customFormat="1" ht="16.5" hidden="1">
      <c r="A3608" s="1665"/>
      <c r="B3608" s="1666"/>
      <c r="C3608" s="688"/>
      <c r="D3608" s="1667"/>
      <c r="E3608" s="1671">
        <v>3.5</v>
      </c>
      <c r="F3608" s="1672"/>
      <c r="G3608" s="1671">
        <v>4</v>
      </c>
      <c r="H3608" s="1671">
        <f t="shared" si="545"/>
        <v>0</v>
      </c>
      <c r="I3608" s="1671" t="s">
        <v>92</v>
      </c>
      <c r="J3608" s="1668"/>
      <c r="K3608" s="1668"/>
      <c r="L3608" s="1669"/>
    </row>
    <row r="3609" spans="1:12" s="692" customFormat="1" ht="16.5" hidden="1">
      <c r="A3609" s="1665"/>
      <c r="B3609" s="1666"/>
      <c r="C3609" s="688"/>
      <c r="D3609" s="1667"/>
      <c r="E3609" s="688"/>
      <c r="F3609" s="688"/>
      <c r="G3609" s="1665" t="s">
        <v>928</v>
      </c>
      <c r="H3609" s="1673">
        <f>SUM(H3603:H3608)</f>
        <v>0</v>
      </c>
      <c r="I3609" s="1668" t="s">
        <v>92</v>
      </c>
      <c r="J3609" s="1669">
        <f>'Lead &amp; ANALYSIS'!L730</f>
        <v>1226.0999999999999</v>
      </c>
      <c r="K3609" s="1668" t="s">
        <v>1514</v>
      </c>
      <c r="L3609" s="1669">
        <f t="shared" ref="L3609" si="546">ROUND(H3609*J3609,0)</f>
        <v>0</v>
      </c>
    </row>
    <row r="3610" spans="1:12" s="692" customFormat="1" ht="16.5" hidden="1">
      <c r="A3610" s="1665" t="s">
        <v>474</v>
      </c>
      <c r="B3610" s="1675" t="s">
        <v>222</v>
      </c>
      <c r="C3610" s="688"/>
      <c r="D3610" s="1667"/>
      <c r="E3610" s="688"/>
      <c r="F3610" s="688"/>
      <c r="G3610" s="1674"/>
      <c r="H3610" s="688"/>
      <c r="I3610" s="1668"/>
      <c r="J3610" s="1668"/>
      <c r="K3610" s="1668"/>
      <c r="L3610" s="1669"/>
    </row>
    <row r="3611" spans="1:12" s="692" customFormat="1" ht="16.5" hidden="1">
      <c r="A3611" s="1665" t="s">
        <v>383</v>
      </c>
      <c r="B3611" s="1666" t="s">
        <v>384</v>
      </c>
      <c r="C3611" s="688"/>
      <c r="D3611" s="1667"/>
      <c r="E3611" s="688"/>
      <c r="F3611" s="688"/>
      <c r="G3611" s="1674"/>
      <c r="H3611" s="688"/>
      <c r="I3611" s="1668"/>
      <c r="J3611" s="1668"/>
      <c r="K3611" s="1668"/>
      <c r="L3611" s="1669"/>
    </row>
    <row r="3612" spans="1:12" s="692" customFormat="1" ht="16.5" hidden="1">
      <c r="A3612" s="1665"/>
      <c r="B3612" s="1666"/>
      <c r="C3612" s="688"/>
      <c r="D3612" s="1667"/>
      <c r="E3612" s="1671">
        <v>3.5</v>
      </c>
      <c r="F3612" s="1672"/>
      <c r="G3612" s="1671">
        <v>4</v>
      </c>
      <c r="H3612" s="1671">
        <f t="shared" ref="H3612:H3617" si="547">ROUND(D3612*E3612*G3612,2)</f>
        <v>0</v>
      </c>
      <c r="I3612" s="1671" t="s">
        <v>92</v>
      </c>
      <c r="J3612" s="1668"/>
      <c r="K3612" s="1668"/>
      <c r="L3612" s="1669"/>
    </row>
    <row r="3613" spans="1:12" s="692" customFormat="1" ht="16.5" hidden="1">
      <c r="A3613" s="1665"/>
      <c r="B3613" s="1666"/>
      <c r="C3613" s="688"/>
      <c r="D3613" s="1667"/>
      <c r="E3613" s="1671">
        <v>3.5</v>
      </c>
      <c r="F3613" s="1672"/>
      <c r="G3613" s="1671">
        <v>4</v>
      </c>
      <c r="H3613" s="1671">
        <f t="shared" si="547"/>
        <v>0</v>
      </c>
      <c r="I3613" s="1671" t="s">
        <v>92</v>
      </c>
      <c r="J3613" s="1668"/>
      <c r="K3613" s="1668"/>
      <c r="L3613" s="1669"/>
    </row>
    <row r="3614" spans="1:12" s="692" customFormat="1" ht="16.5" hidden="1">
      <c r="A3614" s="1665"/>
      <c r="B3614" s="1666"/>
      <c r="C3614" s="688"/>
      <c r="D3614" s="1667"/>
      <c r="E3614" s="1671">
        <v>3.5</v>
      </c>
      <c r="F3614" s="1672"/>
      <c r="G3614" s="1671">
        <v>4</v>
      </c>
      <c r="H3614" s="1671">
        <f t="shared" si="547"/>
        <v>0</v>
      </c>
      <c r="I3614" s="1671" t="s">
        <v>92</v>
      </c>
      <c r="J3614" s="1668"/>
      <c r="K3614" s="1668"/>
      <c r="L3614" s="1669"/>
    </row>
    <row r="3615" spans="1:12" s="692" customFormat="1" ht="16.5" hidden="1">
      <c r="A3615" s="1665"/>
      <c r="B3615" s="1666"/>
      <c r="C3615" s="688"/>
      <c r="D3615" s="1667"/>
      <c r="E3615" s="1671">
        <v>3.5</v>
      </c>
      <c r="F3615" s="1672"/>
      <c r="G3615" s="1671">
        <v>4</v>
      </c>
      <c r="H3615" s="1671">
        <f t="shared" si="547"/>
        <v>0</v>
      </c>
      <c r="I3615" s="1671" t="s">
        <v>92</v>
      </c>
      <c r="J3615" s="1668"/>
      <c r="K3615" s="1668"/>
      <c r="L3615" s="1669"/>
    </row>
    <row r="3616" spans="1:12" s="692" customFormat="1" ht="16.5" hidden="1">
      <c r="A3616" s="1665"/>
      <c r="B3616" s="1666"/>
      <c r="C3616" s="688"/>
      <c r="D3616" s="1667"/>
      <c r="E3616" s="1671">
        <v>3.5</v>
      </c>
      <c r="F3616" s="1672"/>
      <c r="G3616" s="1671">
        <v>4</v>
      </c>
      <c r="H3616" s="1671">
        <f t="shared" si="547"/>
        <v>0</v>
      </c>
      <c r="I3616" s="1671" t="s">
        <v>92</v>
      </c>
      <c r="J3616" s="1668"/>
      <c r="K3616" s="1668"/>
      <c r="L3616" s="1669"/>
    </row>
    <row r="3617" spans="1:12" s="692" customFormat="1" ht="16.5" hidden="1">
      <c r="A3617" s="1665"/>
      <c r="B3617" s="1666"/>
      <c r="C3617" s="688"/>
      <c r="D3617" s="1667"/>
      <c r="E3617" s="1671">
        <v>3.5</v>
      </c>
      <c r="F3617" s="1672"/>
      <c r="G3617" s="1671">
        <v>4</v>
      </c>
      <c r="H3617" s="1671">
        <f t="shared" si="547"/>
        <v>0</v>
      </c>
      <c r="I3617" s="1671" t="s">
        <v>92</v>
      </c>
      <c r="J3617" s="1668"/>
      <c r="K3617" s="1668"/>
      <c r="L3617" s="1669"/>
    </row>
    <row r="3618" spans="1:12" s="692" customFormat="1" ht="16.5" hidden="1">
      <c r="A3618" s="1665"/>
      <c r="B3618" s="1666"/>
      <c r="C3618" s="688"/>
      <c r="D3618" s="1667"/>
      <c r="E3618" s="688"/>
      <c r="F3618" s="688"/>
      <c r="G3618" s="1665" t="s">
        <v>928</v>
      </c>
      <c r="H3618" s="1673">
        <f>SUM(H3612:H3617)</f>
        <v>0</v>
      </c>
      <c r="I3618" s="1668" t="s">
        <v>92</v>
      </c>
      <c r="J3618" s="1669">
        <f>'Lead &amp; ANALYSIS'!L732</f>
        <v>840.5</v>
      </c>
      <c r="K3618" s="1668" t="s">
        <v>1514</v>
      </c>
      <c r="L3618" s="1669">
        <f t="shared" ref="L3618" si="548">ROUND(H3618*J3618,0)</f>
        <v>0</v>
      </c>
    </row>
    <row r="3619" spans="1:12" s="692" customFormat="1" ht="16.5" hidden="1">
      <c r="A3619" s="1665" t="s">
        <v>386</v>
      </c>
      <c r="B3619" s="1666" t="s">
        <v>387</v>
      </c>
      <c r="C3619" s="688"/>
      <c r="D3619" s="1667"/>
      <c r="E3619" s="688"/>
      <c r="F3619" s="688"/>
      <c r="G3619" s="1674"/>
      <c r="H3619" s="688"/>
      <c r="I3619" s="1668"/>
      <c r="J3619" s="1668"/>
      <c r="K3619" s="1668"/>
      <c r="L3619" s="1669"/>
    </row>
    <row r="3620" spans="1:12" s="692" customFormat="1" ht="16.5" hidden="1">
      <c r="A3620" s="1665"/>
      <c r="B3620" s="1666"/>
      <c r="C3620" s="688"/>
      <c r="D3620" s="1667"/>
      <c r="E3620" s="1671">
        <v>3.5</v>
      </c>
      <c r="F3620" s="1672"/>
      <c r="G3620" s="1671">
        <v>4</v>
      </c>
      <c r="H3620" s="1671">
        <f t="shared" ref="H3620:H3625" si="549">ROUND(D3620*E3620*G3620,2)</f>
        <v>0</v>
      </c>
      <c r="I3620" s="1671" t="s">
        <v>92</v>
      </c>
      <c r="J3620" s="1668"/>
      <c r="K3620" s="1668"/>
      <c r="L3620" s="1669"/>
    </row>
    <row r="3621" spans="1:12" s="692" customFormat="1" ht="16.5" hidden="1">
      <c r="A3621" s="1665"/>
      <c r="B3621" s="1666"/>
      <c r="C3621" s="688"/>
      <c r="D3621" s="1667"/>
      <c r="E3621" s="1671">
        <v>3.5</v>
      </c>
      <c r="F3621" s="1672"/>
      <c r="G3621" s="1671">
        <v>4</v>
      </c>
      <c r="H3621" s="1671">
        <f t="shared" si="549"/>
        <v>0</v>
      </c>
      <c r="I3621" s="1671" t="s">
        <v>92</v>
      </c>
      <c r="J3621" s="1668"/>
      <c r="K3621" s="1668"/>
      <c r="L3621" s="1669"/>
    </row>
    <row r="3622" spans="1:12" s="692" customFormat="1" ht="16.5" hidden="1">
      <c r="A3622" s="1665"/>
      <c r="B3622" s="1666"/>
      <c r="C3622" s="688"/>
      <c r="D3622" s="1667"/>
      <c r="E3622" s="1671">
        <v>3.5</v>
      </c>
      <c r="F3622" s="1672"/>
      <c r="G3622" s="1671">
        <v>4</v>
      </c>
      <c r="H3622" s="1671">
        <f t="shared" si="549"/>
        <v>0</v>
      </c>
      <c r="I3622" s="1671" t="s">
        <v>92</v>
      </c>
      <c r="J3622" s="1668"/>
      <c r="K3622" s="1668"/>
      <c r="L3622" s="1669"/>
    </row>
    <row r="3623" spans="1:12" s="692" customFormat="1" ht="16.5" hidden="1">
      <c r="A3623" s="1665"/>
      <c r="B3623" s="1666"/>
      <c r="C3623" s="688"/>
      <c r="D3623" s="1667"/>
      <c r="E3623" s="1671">
        <v>3.5</v>
      </c>
      <c r="F3623" s="1672"/>
      <c r="G3623" s="1671">
        <v>4</v>
      </c>
      <c r="H3623" s="1671">
        <f t="shared" si="549"/>
        <v>0</v>
      </c>
      <c r="I3623" s="1671" t="s">
        <v>92</v>
      </c>
      <c r="J3623" s="1668"/>
      <c r="K3623" s="1668"/>
      <c r="L3623" s="1669"/>
    </row>
    <row r="3624" spans="1:12" s="692" customFormat="1" ht="16.5" hidden="1">
      <c r="A3624" s="1665"/>
      <c r="B3624" s="1666"/>
      <c r="C3624" s="688"/>
      <c r="D3624" s="1667"/>
      <c r="E3624" s="1671">
        <v>3.5</v>
      </c>
      <c r="F3624" s="1672"/>
      <c r="G3624" s="1671">
        <v>4</v>
      </c>
      <c r="H3624" s="1671">
        <f t="shared" si="549"/>
        <v>0</v>
      </c>
      <c r="I3624" s="1671" t="s">
        <v>92</v>
      </c>
      <c r="J3624" s="1668"/>
      <c r="K3624" s="1668"/>
      <c r="L3624" s="1669"/>
    </row>
    <row r="3625" spans="1:12" s="692" customFormat="1" ht="16.5" hidden="1">
      <c r="A3625" s="1665"/>
      <c r="B3625" s="1666"/>
      <c r="C3625" s="688"/>
      <c r="D3625" s="1667"/>
      <c r="E3625" s="1671">
        <v>3.5</v>
      </c>
      <c r="F3625" s="1672"/>
      <c r="G3625" s="1671">
        <v>4</v>
      </c>
      <c r="H3625" s="1671">
        <f t="shared" si="549"/>
        <v>0</v>
      </c>
      <c r="I3625" s="1671" t="s">
        <v>92</v>
      </c>
      <c r="J3625" s="1668"/>
      <c r="K3625" s="1668"/>
      <c r="L3625" s="1669"/>
    </row>
    <row r="3626" spans="1:12" s="692" customFormat="1" ht="16.5" hidden="1">
      <c r="A3626" s="1665"/>
      <c r="B3626" s="1666"/>
      <c r="C3626" s="688"/>
      <c r="D3626" s="1667"/>
      <c r="E3626" s="688"/>
      <c r="F3626" s="688"/>
      <c r="G3626" s="1665" t="s">
        <v>928</v>
      </c>
      <c r="H3626" s="1673">
        <f>SUM(H3620:H3625)</f>
        <v>0</v>
      </c>
      <c r="I3626" s="1668" t="s">
        <v>92</v>
      </c>
      <c r="J3626" s="1669">
        <f>'Lead &amp; ANALYSIS'!L733</f>
        <v>860.2</v>
      </c>
      <c r="K3626" s="1668" t="s">
        <v>1514</v>
      </c>
      <c r="L3626" s="1669">
        <f t="shared" ref="L3626" si="550">ROUND(H3626*J3626,0)</f>
        <v>0</v>
      </c>
    </row>
    <row r="3627" spans="1:12" s="692" customFormat="1" ht="16.5" hidden="1">
      <c r="A3627" s="1665" t="s">
        <v>432</v>
      </c>
      <c r="B3627" s="1666" t="s">
        <v>3622</v>
      </c>
      <c r="C3627" s="688"/>
      <c r="D3627" s="1667"/>
      <c r="E3627" s="688"/>
      <c r="F3627" s="688"/>
      <c r="G3627" s="1674"/>
      <c r="H3627" s="688"/>
      <c r="I3627" s="1668"/>
      <c r="J3627" s="1668"/>
      <c r="K3627" s="1668"/>
      <c r="L3627" s="1669"/>
    </row>
    <row r="3628" spans="1:12" s="692" customFormat="1" ht="16.5" hidden="1">
      <c r="A3628" s="1665"/>
      <c r="B3628" s="1666"/>
      <c r="C3628" s="688"/>
      <c r="D3628" s="1667"/>
      <c r="E3628" s="1671">
        <v>3.5</v>
      </c>
      <c r="F3628" s="1672"/>
      <c r="G3628" s="1671">
        <v>4</v>
      </c>
      <c r="H3628" s="1671">
        <f t="shared" ref="H3628:H3633" si="551">ROUND(D3628*E3628*G3628,2)</f>
        <v>0</v>
      </c>
      <c r="I3628" s="1671" t="s">
        <v>92</v>
      </c>
      <c r="J3628" s="1668"/>
      <c r="K3628" s="1668"/>
      <c r="L3628" s="1669"/>
    </row>
    <row r="3629" spans="1:12" s="692" customFormat="1" ht="16.5" hidden="1">
      <c r="A3629" s="1665"/>
      <c r="B3629" s="1666"/>
      <c r="C3629" s="688"/>
      <c r="D3629" s="1667"/>
      <c r="E3629" s="1671">
        <v>3.5</v>
      </c>
      <c r="F3629" s="1672"/>
      <c r="G3629" s="1671">
        <v>4</v>
      </c>
      <c r="H3629" s="1671">
        <f t="shared" si="551"/>
        <v>0</v>
      </c>
      <c r="I3629" s="1671" t="s">
        <v>92</v>
      </c>
      <c r="J3629" s="1668"/>
      <c r="K3629" s="1668"/>
      <c r="L3629" s="1669"/>
    </row>
    <row r="3630" spans="1:12" s="692" customFormat="1" ht="16.5" hidden="1">
      <c r="A3630" s="1665"/>
      <c r="B3630" s="1666"/>
      <c r="C3630" s="688"/>
      <c r="D3630" s="1667"/>
      <c r="E3630" s="1671">
        <v>3.5</v>
      </c>
      <c r="F3630" s="1672"/>
      <c r="G3630" s="1671">
        <v>4</v>
      </c>
      <c r="H3630" s="1671">
        <f t="shared" si="551"/>
        <v>0</v>
      </c>
      <c r="I3630" s="1671" t="s">
        <v>92</v>
      </c>
      <c r="J3630" s="1668"/>
      <c r="K3630" s="1668"/>
      <c r="L3630" s="1669"/>
    </row>
    <row r="3631" spans="1:12" s="692" customFormat="1" ht="16.5" hidden="1">
      <c r="A3631" s="1665"/>
      <c r="B3631" s="1666"/>
      <c r="C3631" s="688"/>
      <c r="D3631" s="1667"/>
      <c r="E3631" s="1671">
        <v>3.5</v>
      </c>
      <c r="F3631" s="1672"/>
      <c r="G3631" s="1671">
        <v>4</v>
      </c>
      <c r="H3631" s="1671">
        <f t="shared" si="551"/>
        <v>0</v>
      </c>
      <c r="I3631" s="1671" t="s">
        <v>92</v>
      </c>
      <c r="J3631" s="1668"/>
      <c r="K3631" s="1668"/>
      <c r="L3631" s="1669"/>
    </row>
    <row r="3632" spans="1:12" s="692" customFormat="1" ht="16.5" hidden="1">
      <c r="A3632" s="1665"/>
      <c r="B3632" s="1666"/>
      <c r="C3632" s="688"/>
      <c r="D3632" s="1667"/>
      <c r="E3632" s="1671">
        <v>3.5</v>
      </c>
      <c r="F3632" s="1672"/>
      <c r="G3632" s="1671">
        <v>4</v>
      </c>
      <c r="H3632" s="1671">
        <f t="shared" si="551"/>
        <v>0</v>
      </c>
      <c r="I3632" s="1671" t="s">
        <v>92</v>
      </c>
      <c r="J3632" s="1668"/>
      <c r="K3632" s="1668"/>
      <c r="L3632" s="1669"/>
    </row>
    <row r="3633" spans="1:12" s="692" customFormat="1" ht="16.5" hidden="1">
      <c r="A3633" s="1665"/>
      <c r="B3633" s="1666"/>
      <c r="C3633" s="688"/>
      <c r="D3633" s="1667"/>
      <c r="E3633" s="1671">
        <v>3.5</v>
      </c>
      <c r="F3633" s="1672"/>
      <c r="G3633" s="1671">
        <v>4</v>
      </c>
      <c r="H3633" s="1671">
        <f t="shared" si="551"/>
        <v>0</v>
      </c>
      <c r="I3633" s="1671" t="s">
        <v>92</v>
      </c>
      <c r="J3633" s="1668"/>
      <c r="K3633" s="1668"/>
      <c r="L3633" s="1669"/>
    </row>
    <row r="3634" spans="1:12" s="692" customFormat="1" ht="16.5" hidden="1">
      <c r="A3634" s="1665"/>
      <c r="B3634" s="1666"/>
      <c r="C3634" s="688"/>
      <c r="D3634" s="1667"/>
      <c r="E3634" s="688"/>
      <c r="F3634" s="688"/>
      <c r="G3634" s="1665" t="s">
        <v>928</v>
      </c>
      <c r="H3634" s="1673">
        <f>SUM(H3628:H3633)</f>
        <v>0</v>
      </c>
      <c r="I3634" s="1668" t="s">
        <v>92</v>
      </c>
      <c r="J3634" s="1669">
        <f>'Lead &amp; ANALYSIS'!L734</f>
        <v>880.8</v>
      </c>
      <c r="K3634" s="1668" t="s">
        <v>1514</v>
      </c>
      <c r="L3634" s="1669">
        <f t="shared" ref="L3634" si="552">ROUND(H3634*J3634,0)</f>
        <v>0</v>
      </c>
    </row>
    <row r="3635" spans="1:12" s="692" customFormat="1" ht="16.5" hidden="1">
      <c r="A3635" s="1665" t="s">
        <v>443</v>
      </c>
      <c r="B3635" s="1666" t="s">
        <v>3636</v>
      </c>
      <c r="C3635" s="688"/>
      <c r="D3635" s="1667"/>
      <c r="E3635" s="688"/>
      <c r="F3635" s="688"/>
      <c r="G3635" s="1674"/>
      <c r="H3635" s="688"/>
      <c r="I3635" s="1668"/>
      <c r="J3635" s="1668"/>
      <c r="K3635" s="1668"/>
      <c r="L3635" s="1669"/>
    </row>
    <row r="3636" spans="1:12" s="692" customFormat="1" ht="16.5" hidden="1">
      <c r="A3636" s="1665"/>
      <c r="B3636" s="1666"/>
      <c r="C3636" s="688"/>
      <c r="D3636" s="1667"/>
      <c r="E3636" s="1671">
        <v>3.5</v>
      </c>
      <c r="F3636" s="1672"/>
      <c r="G3636" s="1671">
        <v>4</v>
      </c>
      <c r="H3636" s="1671">
        <f t="shared" ref="H3636:H3641" si="553">ROUND(D3636*E3636*G3636,2)</f>
        <v>0</v>
      </c>
      <c r="I3636" s="1671" t="s">
        <v>92</v>
      </c>
      <c r="J3636" s="1668"/>
      <c r="K3636" s="1668"/>
      <c r="L3636" s="1669"/>
    </row>
    <row r="3637" spans="1:12" s="692" customFormat="1" ht="16.5" hidden="1">
      <c r="A3637" s="1665"/>
      <c r="B3637" s="1666"/>
      <c r="C3637" s="688"/>
      <c r="D3637" s="1667"/>
      <c r="E3637" s="1671">
        <v>3.5</v>
      </c>
      <c r="F3637" s="1672"/>
      <c r="G3637" s="1671">
        <v>4</v>
      </c>
      <c r="H3637" s="1671">
        <f t="shared" si="553"/>
        <v>0</v>
      </c>
      <c r="I3637" s="1671" t="s">
        <v>92</v>
      </c>
      <c r="J3637" s="1668"/>
      <c r="K3637" s="1668"/>
      <c r="L3637" s="1669"/>
    </row>
    <row r="3638" spans="1:12" s="692" customFormat="1" ht="16.5" hidden="1">
      <c r="A3638" s="1665"/>
      <c r="B3638" s="1666"/>
      <c r="C3638" s="688"/>
      <c r="D3638" s="1667"/>
      <c r="E3638" s="1671">
        <v>3.5</v>
      </c>
      <c r="F3638" s="1672"/>
      <c r="G3638" s="1671">
        <v>4</v>
      </c>
      <c r="H3638" s="1671">
        <f t="shared" si="553"/>
        <v>0</v>
      </c>
      <c r="I3638" s="1671" t="s">
        <v>92</v>
      </c>
      <c r="J3638" s="1668"/>
      <c r="K3638" s="1668"/>
      <c r="L3638" s="1669"/>
    </row>
    <row r="3639" spans="1:12" s="692" customFormat="1" ht="16.5" hidden="1">
      <c r="A3639" s="1665"/>
      <c r="B3639" s="1666"/>
      <c r="C3639" s="688"/>
      <c r="D3639" s="1667"/>
      <c r="E3639" s="1671">
        <v>3.5</v>
      </c>
      <c r="F3639" s="1672"/>
      <c r="G3639" s="1671">
        <v>4</v>
      </c>
      <c r="H3639" s="1671">
        <f t="shared" si="553"/>
        <v>0</v>
      </c>
      <c r="I3639" s="1671" t="s">
        <v>92</v>
      </c>
      <c r="J3639" s="1668"/>
      <c r="K3639" s="1668"/>
      <c r="L3639" s="1669"/>
    </row>
    <row r="3640" spans="1:12" s="692" customFormat="1" ht="16.5" hidden="1">
      <c r="A3640" s="1665"/>
      <c r="B3640" s="1666"/>
      <c r="C3640" s="688"/>
      <c r="D3640" s="1667"/>
      <c r="E3640" s="1671">
        <v>3.5</v>
      </c>
      <c r="F3640" s="1672"/>
      <c r="G3640" s="1671">
        <v>4</v>
      </c>
      <c r="H3640" s="1671">
        <f t="shared" si="553"/>
        <v>0</v>
      </c>
      <c r="I3640" s="1671" t="s">
        <v>92</v>
      </c>
      <c r="J3640" s="1668"/>
      <c r="K3640" s="1668"/>
      <c r="L3640" s="1669"/>
    </row>
    <row r="3641" spans="1:12" s="692" customFormat="1" ht="16.5" hidden="1">
      <c r="A3641" s="1665"/>
      <c r="B3641" s="1666"/>
      <c r="C3641" s="688"/>
      <c r="D3641" s="1667"/>
      <c r="E3641" s="1671">
        <v>3.5</v>
      </c>
      <c r="F3641" s="1672"/>
      <c r="G3641" s="1671">
        <v>4</v>
      </c>
      <c r="H3641" s="1671">
        <f t="shared" si="553"/>
        <v>0</v>
      </c>
      <c r="I3641" s="1671" t="s">
        <v>92</v>
      </c>
      <c r="J3641" s="1668"/>
      <c r="K3641" s="1668"/>
      <c r="L3641" s="1669"/>
    </row>
    <row r="3642" spans="1:12" s="692" customFormat="1" ht="16.5" hidden="1">
      <c r="A3642" s="1665"/>
      <c r="B3642" s="1666"/>
      <c r="C3642" s="688"/>
      <c r="D3642" s="1667"/>
      <c r="E3642" s="688"/>
      <c r="F3642" s="688"/>
      <c r="G3642" s="1665" t="s">
        <v>928</v>
      </c>
      <c r="H3642" s="1673">
        <f>SUM(H3636:H3641)</f>
        <v>0</v>
      </c>
      <c r="I3642" s="1668" t="s">
        <v>92</v>
      </c>
      <c r="J3642" s="1669">
        <f>'Lead &amp; ANALYSIS'!L735</f>
        <v>902.5</v>
      </c>
      <c r="K3642" s="1668" t="s">
        <v>1514</v>
      </c>
      <c r="L3642" s="1669">
        <f t="shared" ref="L3642" si="554">ROUND(H3642*J3642,0)</f>
        <v>0</v>
      </c>
    </row>
    <row r="3643" spans="1:12" s="692" customFormat="1" ht="16.5" hidden="1">
      <c r="A3643" s="1665" t="s">
        <v>476</v>
      </c>
      <c r="B3643" s="1675" t="s">
        <v>228</v>
      </c>
      <c r="C3643" s="688"/>
      <c r="D3643" s="1667"/>
      <c r="E3643" s="688"/>
      <c r="F3643" s="688"/>
      <c r="G3643" s="1674"/>
      <c r="H3643" s="688"/>
      <c r="I3643" s="1668"/>
      <c r="J3643" s="1668"/>
      <c r="K3643" s="1668"/>
      <c r="L3643" s="1669"/>
    </row>
    <row r="3644" spans="1:12" s="692" customFormat="1" ht="16.5" hidden="1">
      <c r="A3644" s="1665" t="s">
        <v>383</v>
      </c>
      <c r="B3644" s="1666" t="s">
        <v>384</v>
      </c>
      <c r="C3644" s="688"/>
      <c r="D3644" s="1667"/>
      <c r="E3644" s="688"/>
      <c r="F3644" s="688"/>
      <c r="G3644" s="1674"/>
      <c r="H3644" s="688"/>
      <c r="I3644" s="1668"/>
      <c r="J3644" s="1668"/>
      <c r="K3644" s="1668"/>
      <c r="L3644" s="1669"/>
    </row>
    <row r="3645" spans="1:12" s="692" customFormat="1" ht="16.5" hidden="1">
      <c r="A3645" s="1665"/>
      <c r="B3645" s="1666"/>
      <c r="C3645" s="688"/>
      <c r="D3645" s="1667"/>
      <c r="E3645" s="1671">
        <v>3.5</v>
      </c>
      <c r="F3645" s="1672"/>
      <c r="G3645" s="1671">
        <v>4</v>
      </c>
      <c r="H3645" s="1671">
        <f t="shared" ref="H3645:H3650" si="555">ROUND(D3645*E3645*G3645,2)</f>
        <v>0</v>
      </c>
      <c r="I3645" s="1671" t="s">
        <v>92</v>
      </c>
      <c r="J3645" s="1668"/>
      <c r="K3645" s="1668"/>
      <c r="L3645" s="1669"/>
    </row>
    <row r="3646" spans="1:12" s="692" customFormat="1" ht="16.5" hidden="1">
      <c r="A3646" s="1665"/>
      <c r="B3646" s="1666"/>
      <c r="C3646" s="688"/>
      <c r="D3646" s="1667"/>
      <c r="E3646" s="1671">
        <v>3.5</v>
      </c>
      <c r="F3646" s="1672"/>
      <c r="G3646" s="1671">
        <v>4</v>
      </c>
      <c r="H3646" s="1671">
        <f t="shared" si="555"/>
        <v>0</v>
      </c>
      <c r="I3646" s="1671" t="s">
        <v>92</v>
      </c>
      <c r="J3646" s="1668"/>
      <c r="K3646" s="1668"/>
      <c r="L3646" s="1669"/>
    </row>
    <row r="3647" spans="1:12" s="692" customFormat="1" ht="16.5" hidden="1">
      <c r="A3647" s="1665"/>
      <c r="B3647" s="1666"/>
      <c r="C3647" s="688"/>
      <c r="D3647" s="1667"/>
      <c r="E3647" s="1671">
        <v>3.5</v>
      </c>
      <c r="F3647" s="1672"/>
      <c r="G3647" s="1671">
        <v>4</v>
      </c>
      <c r="H3647" s="1671">
        <f t="shared" si="555"/>
        <v>0</v>
      </c>
      <c r="I3647" s="1671" t="s">
        <v>92</v>
      </c>
      <c r="J3647" s="1668"/>
      <c r="K3647" s="1668"/>
      <c r="L3647" s="1669"/>
    </row>
    <row r="3648" spans="1:12" s="692" customFormat="1" ht="16.5" hidden="1">
      <c r="A3648" s="1665"/>
      <c r="B3648" s="1666"/>
      <c r="C3648" s="688"/>
      <c r="D3648" s="1667"/>
      <c r="E3648" s="1671">
        <v>3.5</v>
      </c>
      <c r="F3648" s="1672"/>
      <c r="G3648" s="1671">
        <v>4</v>
      </c>
      <c r="H3648" s="1671">
        <f t="shared" si="555"/>
        <v>0</v>
      </c>
      <c r="I3648" s="1671" t="s">
        <v>92</v>
      </c>
      <c r="J3648" s="1668"/>
      <c r="K3648" s="1668"/>
      <c r="L3648" s="1669"/>
    </row>
    <row r="3649" spans="1:12" s="692" customFormat="1" ht="16.5" hidden="1">
      <c r="A3649" s="1665"/>
      <c r="B3649" s="1666"/>
      <c r="C3649" s="688"/>
      <c r="D3649" s="1667"/>
      <c r="E3649" s="1671">
        <v>3.5</v>
      </c>
      <c r="F3649" s="1672"/>
      <c r="G3649" s="1671">
        <v>4</v>
      </c>
      <c r="H3649" s="1671">
        <f t="shared" si="555"/>
        <v>0</v>
      </c>
      <c r="I3649" s="1671" t="s">
        <v>92</v>
      </c>
      <c r="J3649" s="1668"/>
      <c r="K3649" s="1668"/>
      <c r="L3649" s="1669"/>
    </row>
    <row r="3650" spans="1:12" s="692" customFormat="1" ht="16.5" hidden="1">
      <c r="A3650" s="1665"/>
      <c r="B3650" s="1666"/>
      <c r="C3650" s="688"/>
      <c r="D3650" s="1667"/>
      <c r="E3650" s="1671">
        <v>3.5</v>
      </c>
      <c r="F3650" s="1672"/>
      <c r="G3650" s="1671">
        <v>4</v>
      </c>
      <c r="H3650" s="1671">
        <f t="shared" si="555"/>
        <v>0</v>
      </c>
      <c r="I3650" s="1671" t="s">
        <v>92</v>
      </c>
      <c r="J3650" s="1668"/>
      <c r="K3650" s="1668"/>
      <c r="L3650" s="1669"/>
    </row>
    <row r="3651" spans="1:12" s="692" customFormat="1" ht="16.5" hidden="1">
      <c r="A3651" s="1665"/>
      <c r="B3651" s="1666"/>
      <c r="C3651" s="688"/>
      <c r="D3651" s="1667"/>
      <c r="E3651" s="688"/>
      <c r="F3651" s="688"/>
      <c r="G3651" s="1665" t="s">
        <v>928</v>
      </c>
      <c r="H3651" s="1673">
        <f>SUM(H3645:H3650)</f>
        <v>0</v>
      </c>
      <c r="I3651" s="1668" t="s">
        <v>92</v>
      </c>
      <c r="J3651" s="1669">
        <f>'Lead &amp; ANALYSIS'!L737</f>
        <v>1025.8</v>
      </c>
      <c r="K3651" s="1668" t="s">
        <v>1514</v>
      </c>
      <c r="L3651" s="1669">
        <f t="shared" ref="L3651" si="556">ROUND(H3651*J3651,0)</f>
        <v>0</v>
      </c>
    </row>
    <row r="3652" spans="1:12" s="692" customFormat="1" ht="16.5" hidden="1">
      <c r="A3652" s="1665" t="s">
        <v>386</v>
      </c>
      <c r="B3652" s="1666" t="s">
        <v>387</v>
      </c>
      <c r="C3652" s="688"/>
      <c r="D3652" s="1667"/>
      <c r="E3652" s="688"/>
      <c r="F3652" s="688"/>
      <c r="G3652" s="1674"/>
      <c r="H3652" s="688"/>
      <c r="I3652" s="1668"/>
      <c r="J3652" s="1668"/>
      <c r="K3652" s="1668"/>
      <c r="L3652" s="1669"/>
    </row>
    <row r="3653" spans="1:12" s="692" customFormat="1" ht="16.5" hidden="1">
      <c r="A3653" s="1665"/>
      <c r="B3653" s="1666"/>
      <c r="C3653" s="688"/>
      <c r="D3653" s="1667"/>
      <c r="E3653" s="1671">
        <v>3.5</v>
      </c>
      <c r="F3653" s="1672"/>
      <c r="G3653" s="1671">
        <v>4</v>
      </c>
      <c r="H3653" s="1671">
        <f t="shared" ref="H3653:H3658" si="557">ROUND(D3653*E3653*G3653,2)</f>
        <v>0</v>
      </c>
      <c r="I3653" s="1671" t="s">
        <v>92</v>
      </c>
      <c r="J3653" s="1668"/>
      <c r="K3653" s="1668"/>
      <c r="L3653" s="1669"/>
    </row>
    <row r="3654" spans="1:12" s="692" customFormat="1" ht="16.5" hidden="1">
      <c r="A3654" s="1665"/>
      <c r="B3654" s="1666"/>
      <c r="C3654" s="688"/>
      <c r="D3654" s="1667"/>
      <c r="E3654" s="1671">
        <v>3.5</v>
      </c>
      <c r="F3654" s="1672"/>
      <c r="G3654" s="1671">
        <v>4</v>
      </c>
      <c r="H3654" s="1671">
        <f t="shared" si="557"/>
        <v>0</v>
      </c>
      <c r="I3654" s="1671" t="s">
        <v>92</v>
      </c>
      <c r="J3654" s="1668"/>
      <c r="K3654" s="1668"/>
      <c r="L3654" s="1669"/>
    </row>
    <row r="3655" spans="1:12" s="692" customFormat="1" ht="16.5" hidden="1">
      <c r="A3655" s="1665"/>
      <c r="B3655" s="1666"/>
      <c r="C3655" s="688"/>
      <c r="D3655" s="1667"/>
      <c r="E3655" s="1671">
        <v>3.5</v>
      </c>
      <c r="F3655" s="1672"/>
      <c r="G3655" s="1671">
        <v>4</v>
      </c>
      <c r="H3655" s="1671">
        <f t="shared" si="557"/>
        <v>0</v>
      </c>
      <c r="I3655" s="1671" t="s">
        <v>92</v>
      </c>
      <c r="J3655" s="1668"/>
      <c r="K3655" s="1668"/>
      <c r="L3655" s="1669"/>
    </row>
    <row r="3656" spans="1:12" s="692" customFormat="1" ht="16.5" hidden="1">
      <c r="A3656" s="1665"/>
      <c r="B3656" s="1666"/>
      <c r="C3656" s="688"/>
      <c r="D3656" s="1667"/>
      <c r="E3656" s="1671">
        <v>3.5</v>
      </c>
      <c r="F3656" s="1672"/>
      <c r="G3656" s="1671">
        <v>4</v>
      </c>
      <c r="H3656" s="1671">
        <f t="shared" si="557"/>
        <v>0</v>
      </c>
      <c r="I3656" s="1671" t="s">
        <v>92</v>
      </c>
      <c r="J3656" s="1668"/>
      <c r="K3656" s="1668"/>
      <c r="L3656" s="1669"/>
    </row>
    <row r="3657" spans="1:12" s="692" customFormat="1" ht="16.5" hidden="1">
      <c r="A3657" s="1665"/>
      <c r="B3657" s="1666"/>
      <c r="C3657" s="688"/>
      <c r="D3657" s="1667"/>
      <c r="E3657" s="1671">
        <v>3.5</v>
      </c>
      <c r="F3657" s="1672"/>
      <c r="G3657" s="1671">
        <v>4</v>
      </c>
      <c r="H3657" s="1671">
        <f t="shared" si="557"/>
        <v>0</v>
      </c>
      <c r="I3657" s="1671" t="s">
        <v>92</v>
      </c>
      <c r="J3657" s="1668"/>
      <c r="K3657" s="1668"/>
      <c r="L3657" s="1669"/>
    </row>
    <row r="3658" spans="1:12" s="692" customFormat="1" ht="16.5" hidden="1">
      <c r="A3658" s="1665"/>
      <c r="B3658" s="1666"/>
      <c r="C3658" s="688"/>
      <c r="D3658" s="1667"/>
      <c r="E3658" s="1671">
        <v>3.5</v>
      </c>
      <c r="F3658" s="1672"/>
      <c r="G3658" s="1671">
        <v>4</v>
      </c>
      <c r="H3658" s="1671">
        <f t="shared" si="557"/>
        <v>0</v>
      </c>
      <c r="I3658" s="1671" t="s">
        <v>92</v>
      </c>
      <c r="J3658" s="1668"/>
      <c r="K3658" s="1668"/>
      <c r="L3658" s="1669"/>
    </row>
    <row r="3659" spans="1:12" s="692" customFormat="1" ht="16.5" hidden="1">
      <c r="A3659" s="1665"/>
      <c r="B3659" s="1666"/>
      <c r="C3659" s="688"/>
      <c r="D3659" s="1667"/>
      <c r="E3659" s="688"/>
      <c r="F3659" s="688"/>
      <c r="G3659" s="1665" t="s">
        <v>928</v>
      </c>
      <c r="H3659" s="1673">
        <f>SUM(H3653:H3658)</f>
        <v>0</v>
      </c>
      <c r="I3659" s="1668" t="s">
        <v>92</v>
      </c>
      <c r="J3659" s="1669">
        <f>'Lead &amp; ANALYSIS'!L738</f>
        <v>1045.4000000000001</v>
      </c>
      <c r="K3659" s="1668" t="s">
        <v>1514</v>
      </c>
      <c r="L3659" s="1669">
        <f t="shared" ref="L3659" si="558">ROUND(H3659*J3659,0)</f>
        <v>0</v>
      </c>
    </row>
    <row r="3660" spans="1:12" s="692" customFormat="1" ht="16.5" hidden="1">
      <c r="A3660" s="1665" t="s">
        <v>432</v>
      </c>
      <c r="B3660" s="1666" t="s">
        <v>3622</v>
      </c>
      <c r="C3660" s="688"/>
      <c r="D3660" s="1667"/>
      <c r="E3660" s="688"/>
      <c r="F3660" s="688"/>
      <c r="G3660" s="1674"/>
      <c r="H3660" s="688"/>
      <c r="I3660" s="1668"/>
      <c r="J3660" s="1668"/>
      <c r="K3660" s="1668"/>
      <c r="L3660" s="1669"/>
    </row>
    <row r="3661" spans="1:12" s="692" customFormat="1" ht="16.5" hidden="1">
      <c r="A3661" s="1665"/>
      <c r="B3661" s="1666"/>
      <c r="C3661" s="688"/>
      <c r="D3661" s="1667"/>
      <c r="E3661" s="1671">
        <v>3.5</v>
      </c>
      <c r="F3661" s="1672"/>
      <c r="G3661" s="1671">
        <v>4</v>
      </c>
      <c r="H3661" s="1671">
        <f t="shared" ref="H3661:H3666" si="559">ROUND(D3661*E3661*G3661,2)</f>
        <v>0</v>
      </c>
      <c r="I3661" s="1671" t="s">
        <v>92</v>
      </c>
      <c r="J3661" s="1668"/>
      <c r="K3661" s="1668"/>
      <c r="L3661" s="1669"/>
    </row>
    <row r="3662" spans="1:12" s="692" customFormat="1" ht="16.5" hidden="1">
      <c r="A3662" s="1665"/>
      <c r="B3662" s="1666"/>
      <c r="C3662" s="688"/>
      <c r="D3662" s="1667"/>
      <c r="E3662" s="1671">
        <v>3.5</v>
      </c>
      <c r="F3662" s="1672"/>
      <c r="G3662" s="1671">
        <v>4</v>
      </c>
      <c r="H3662" s="1671">
        <f t="shared" si="559"/>
        <v>0</v>
      </c>
      <c r="I3662" s="1671" t="s">
        <v>92</v>
      </c>
      <c r="J3662" s="1668"/>
      <c r="K3662" s="1668"/>
      <c r="L3662" s="1669"/>
    </row>
    <row r="3663" spans="1:12" s="692" customFormat="1" ht="16.5" hidden="1">
      <c r="A3663" s="1665"/>
      <c r="B3663" s="1666"/>
      <c r="C3663" s="688"/>
      <c r="D3663" s="1667"/>
      <c r="E3663" s="1671">
        <v>3.5</v>
      </c>
      <c r="F3663" s="1672"/>
      <c r="G3663" s="1671">
        <v>4</v>
      </c>
      <c r="H3663" s="1671">
        <f t="shared" si="559"/>
        <v>0</v>
      </c>
      <c r="I3663" s="1671" t="s">
        <v>92</v>
      </c>
      <c r="J3663" s="1668"/>
      <c r="K3663" s="1668"/>
      <c r="L3663" s="1669"/>
    </row>
    <row r="3664" spans="1:12" s="692" customFormat="1" ht="16.5" hidden="1">
      <c r="A3664" s="1665"/>
      <c r="B3664" s="1666"/>
      <c r="C3664" s="688"/>
      <c r="D3664" s="1667"/>
      <c r="E3664" s="1671">
        <v>3.5</v>
      </c>
      <c r="F3664" s="1672"/>
      <c r="G3664" s="1671">
        <v>4</v>
      </c>
      <c r="H3664" s="1671">
        <f t="shared" si="559"/>
        <v>0</v>
      </c>
      <c r="I3664" s="1671" t="s">
        <v>92</v>
      </c>
      <c r="J3664" s="1668"/>
      <c r="K3664" s="1668"/>
      <c r="L3664" s="1669"/>
    </row>
    <row r="3665" spans="1:12" s="692" customFormat="1" ht="16.5" hidden="1">
      <c r="A3665" s="1665"/>
      <c r="B3665" s="1666"/>
      <c r="C3665" s="688"/>
      <c r="D3665" s="1667"/>
      <c r="E3665" s="1671">
        <v>3.5</v>
      </c>
      <c r="F3665" s="1672"/>
      <c r="G3665" s="1671">
        <v>4</v>
      </c>
      <c r="H3665" s="1671">
        <f t="shared" si="559"/>
        <v>0</v>
      </c>
      <c r="I3665" s="1671" t="s">
        <v>92</v>
      </c>
      <c r="J3665" s="1668"/>
      <c r="K3665" s="1668"/>
      <c r="L3665" s="1669"/>
    </row>
    <row r="3666" spans="1:12" s="692" customFormat="1" ht="16.5" hidden="1">
      <c r="A3666" s="1665"/>
      <c r="B3666" s="1666"/>
      <c r="C3666" s="688"/>
      <c r="D3666" s="1667"/>
      <c r="E3666" s="1671">
        <v>3.5</v>
      </c>
      <c r="F3666" s="1672"/>
      <c r="G3666" s="1671">
        <v>4</v>
      </c>
      <c r="H3666" s="1671">
        <f t="shared" si="559"/>
        <v>0</v>
      </c>
      <c r="I3666" s="1671" t="s">
        <v>92</v>
      </c>
      <c r="J3666" s="1668"/>
      <c r="K3666" s="1668"/>
      <c r="L3666" s="1669"/>
    </row>
    <row r="3667" spans="1:12" s="692" customFormat="1" ht="16.5" hidden="1">
      <c r="A3667" s="1665"/>
      <c r="B3667" s="1666"/>
      <c r="C3667" s="688"/>
      <c r="D3667" s="1667"/>
      <c r="E3667" s="688"/>
      <c r="F3667" s="688"/>
      <c r="G3667" s="1665" t="s">
        <v>928</v>
      </c>
      <c r="H3667" s="1673">
        <f>SUM(H3661:H3666)</f>
        <v>0</v>
      </c>
      <c r="I3667" s="1668" t="s">
        <v>92</v>
      </c>
      <c r="J3667" s="1669">
        <f>'Lead &amp; ANALYSIS'!L739</f>
        <v>1066.0999999999999</v>
      </c>
      <c r="K3667" s="1668" t="s">
        <v>1514</v>
      </c>
      <c r="L3667" s="1669">
        <f t="shared" ref="L3667" si="560">ROUND(H3667*J3667,0)</f>
        <v>0</v>
      </c>
    </row>
    <row r="3668" spans="1:12" s="692" customFormat="1" ht="16.5" hidden="1">
      <c r="A3668" s="1665" t="s">
        <v>443</v>
      </c>
      <c r="B3668" s="1666" t="s">
        <v>3636</v>
      </c>
      <c r="C3668" s="688"/>
      <c r="D3668" s="1667"/>
      <c r="E3668" s="688"/>
      <c r="F3668" s="688"/>
      <c r="G3668" s="1674"/>
      <c r="H3668" s="688"/>
      <c r="I3668" s="1668"/>
      <c r="J3668" s="1668"/>
      <c r="K3668" s="1668"/>
      <c r="L3668" s="1669"/>
    </row>
    <row r="3669" spans="1:12" s="692" customFormat="1" ht="16.5" hidden="1">
      <c r="A3669" s="1665"/>
      <c r="B3669" s="1666"/>
      <c r="C3669" s="688"/>
      <c r="D3669" s="1667"/>
      <c r="E3669" s="1671">
        <v>3.5</v>
      </c>
      <c r="F3669" s="1672"/>
      <c r="G3669" s="1671">
        <v>4</v>
      </c>
      <c r="H3669" s="1671">
        <f t="shared" ref="H3669:H3674" si="561">ROUND(D3669*E3669*G3669,2)</f>
        <v>0</v>
      </c>
      <c r="I3669" s="1671" t="s">
        <v>92</v>
      </c>
      <c r="J3669" s="1668"/>
      <c r="K3669" s="1668"/>
      <c r="L3669" s="1669"/>
    </row>
    <row r="3670" spans="1:12" s="692" customFormat="1" ht="16.5" hidden="1">
      <c r="A3670" s="1665"/>
      <c r="B3670" s="1666"/>
      <c r="C3670" s="688"/>
      <c r="D3670" s="1667"/>
      <c r="E3670" s="1671">
        <v>3.5</v>
      </c>
      <c r="F3670" s="1672"/>
      <c r="G3670" s="1671">
        <v>4</v>
      </c>
      <c r="H3670" s="1671">
        <f t="shared" si="561"/>
        <v>0</v>
      </c>
      <c r="I3670" s="1671" t="s">
        <v>92</v>
      </c>
      <c r="J3670" s="1668"/>
      <c r="K3670" s="1668"/>
      <c r="L3670" s="1669"/>
    </row>
    <row r="3671" spans="1:12" s="692" customFormat="1" ht="16.5" hidden="1">
      <c r="A3671" s="1665"/>
      <c r="B3671" s="1666"/>
      <c r="C3671" s="688"/>
      <c r="D3671" s="1667"/>
      <c r="E3671" s="1671">
        <v>3.5</v>
      </c>
      <c r="F3671" s="1672"/>
      <c r="G3671" s="1671">
        <v>4</v>
      </c>
      <c r="H3671" s="1671">
        <f t="shared" si="561"/>
        <v>0</v>
      </c>
      <c r="I3671" s="1671" t="s">
        <v>92</v>
      </c>
      <c r="J3671" s="1668"/>
      <c r="K3671" s="1668"/>
      <c r="L3671" s="1669"/>
    </row>
    <row r="3672" spans="1:12" s="692" customFormat="1" ht="16.5" hidden="1">
      <c r="A3672" s="1665"/>
      <c r="B3672" s="1666"/>
      <c r="C3672" s="688"/>
      <c r="D3672" s="1667"/>
      <c r="E3672" s="1671">
        <v>3.5</v>
      </c>
      <c r="F3672" s="1672"/>
      <c r="G3672" s="1671">
        <v>4</v>
      </c>
      <c r="H3672" s="1671">
        <f t="shared" si="561"/>
        <v>0</v>
      </c>
      <c r="I3672" s="1671" t="s">
        <v>92</v>
      </c>
      <c r="J3672" s="1668"/>
      <c r="K3672" s="1668"/>
      <c r="L3672" s="1669"/>
    </row>
    <row r="3673" spans="1:12" s="692" customFormat="1" ht="16.5" hidden="1">
      <c r="A3673" s="1665"/>
      <c r="B3673" s="1666"/>
      <c r="C3673" s="688"/>
      <c r="D3673" s="1667"/>
      <c r="E3673" s="1671">
        <v>3.5</v>
      </c>
      <c r="F3673" s="1672"/>
      <c r="G3673" s="1671">
        <v>4</v>
      </c>
      <c r="H3673" s="1671">
        <f t="shared" si="561"/>
        <v>0</v>
      </c>
      <c r="I3673" s="1671" t="s">
        <v>92</v>
      </c>
      <c r="J3673" s="1668"/>
      <c r="K3673" s="1668"/>
      <c r="L3673" s="1669"/>
    </row>
    <row r="3674" spans="1:12" s="692" customFormat="1" ht="16.5" hidden="1">
      <c r="A3674" s="1665"/>
      <c r="B3674" s="1666"/>
      <c r="C3674" s="688"/>
      <c r="D3674" s="1667"/>
      <c r="E3674" s="1671">
        <v>3.5</v>
      </c>
      <c r="F3674" s="1672"/>
      <c r="G3674" s="1671">
        <v>4</v>
      </c>
      <c r="H3674" s="1671">
        <f t="shared" si="561"/>
        <v>0</v>
      </c>
      <c r="I3674" s="1671" t="s">
        <v>92</v>
      </c>
      <c r="J3674" s="1668"/>
      <c r="K3674" s="1668"/>
      <c r="L3674" s="1669"/>
    </row>
    <row r="3675" spans="1:12" s="692" customFormat="1" ht="16.5" hidden="1">
      <c r="A3675" s="1665"/>
      <c r="B3675" s="1666"/>
      <c r="C3675" s="688"/>
      <c r="D3675" s="1667"/>
      <c r="E3675" s="688"/>
      <c r="F3675" s="688"/>
      <c r="G3675" s="1665" t="s">
        <v>928</v>
      </c>
      <c r="H3675" s="1673">
        <f>SUM(H3669:H3674)</f>
        <v>0</v>
      </c>
      <c r="I3675" s="1668" t="s">
        <v>92</v>
      </c>
      <c r="J3675" s="1669">
        <f>'Lead &amp; ANALYSIS'!L740</f>
        <v>1087.7</v>
      </c>
      <c r="K3675" s="1668" t="s">
        <v>1514</v>
      </c>
      <c r="L3675" s="1669">
        <f t="shared" ref="L3675" si="562">ROUND(H3675*J3675,0)</f>
        <v>0</v>
      </c>
    </row>
    <row r="3676" spans="1:12" s="692" customFormat="1" ht="16.5" hidden="1">
      <c r="A3676" s="1665" t="s">
        <v>478</v>
      </c>
      <c r="B3676" s="1675" t="s">
        <v>225</v>
      </c>
      <c r="C3676" s="688"/>
      <c r="D3676" s="1667"/>
      <c r="E3676" s="688"/>
      <c r="F3676" s="688"/>
      <c r="G3676" s="1674"/>
      <c r="H3676" s="688"/>
      <c r="I3676" s="1668"/>
      <c r="J3676" s="1668"/>
      <c r="K3676" s="1668"/>
      <c r="L3676" s="1669"/>
    </row>
    <row r="3677" spans="1:12" s="692" customFormat="1" ht="16.5" hidden="1">
      <c r="A3677" s="1665" t="s">
        <v>383</v>
      </c>
      <c r="B3677" s="1666" t="s">
        <v>384</v>
      </c>
      <c r="C3677" s="688"/>
      <c r="D3677" s="1667"/>
      <c r="E3677" s="688"/>
      <c r="F3677" s="688"/>
      <c r="G3677" s="1674"/>
      <c r="H3677" s="688"/>
      <c r="I3677" s="1668"/>
      <c r="J3677" s="1668"/>
      <c r="K3677" s="1668"/>
      <c r="L3677" s="1669"/>
    </row>
    <row r="3678" spans="1:12" s="692" customFormat="1" ht="16.5" hidden="1">
      <c r="A3678" s="1665"/>
      <c r="B3678" s="1666"/>
      <c r="C3678" s="688"/>
      <c r="D3678" s="1667"/>
      <c r="E3678" s="1671">
        <v>3.5</v>
      </c>
      <c r="F3678" s="1671">
        <v>4</v>
      </c>
      <c r="G3678" s="1674"/>
      <c r="H3678" s="1671">
        <f t="shared" ref="H3678:H3683" si="563">ROUND(D3678*E3678*F3678,2)</f>
        <v>0</v>
      </c>
      <c r="I3678" s="688" t="s">
        <v>92</v>
      </c>
      <c r="J3678" s="1668"/>
      <c r="K3678" s="1668"/>
      <c r="L3678" s="1669"/>
    </row>
    <row r="3679" spans="1:12" s="692" customFormat="1" ht="16.5" hidden="1">
      <c r="A3679" s="1665"/>
      <c r="B3679" s="1666"/>
      <c r="C3679" s="688"/>
      <c r="D3679" s="1667"/>
      <c r="E3679" s="1671">
        <v>3.5</v>
      </c>
      <c r="F3679" s="1671">
        <v>4</v>
      </c>
      <c r="G3679" s="1674"/>
      <c r="H3679" s="1671">
        <f t="shared" si="563"/>
        <v>0</v>
      </c>
      <c r="I3679" s="688" t="s">
        <v>92</v>
      </c>
      <c r="J3679" s="1668"/>
      <c r="K3679" s="1668"/>
      <c r="L3679" s="1669"/>
    </row>
    <row r="3680" spans="1:12" s="692" customFormat="1" ht="16.5" hidden="1">
      <c r="A3680" s="1665"/>
      <c r="B3680" s="1666"/>
      <c r="C3680" s="688"/>
      <c r="D3680" s="1667"/>
      <c r="E3680" s="1671">
        <v>3.5</v>
      </c>
      <c r="F3680" s="1671">
        <v>4</v>
      </c>
      <c r="G3680" s="1674"/>
      <c r="H3680" s="1671">
        <f t="shared" si="563"/>
        <v>0</v>
      </c>
      <c r="I3680" s="688" t="s">
        <v>92</v>
      </c>
      <c r="J3680" s="1668"/>
      <c r="K3680" s="1668"/>
      <c r="L3680" s="1669"/>
    </row>
    <row r="3681" spans="1:12" s="692" customFormat="1" ht="16.5" hidden="1">
      <c r="A3681" s="1665"/>
      <c r="B3681" s="1666"/>
      <c r="C3681" s="688"/>
      <c r="D3681" s="1667"/>
      <c r="E3681" s="1671">
        <v>3.5</v>
      </c>
      <c r="F3681" s="1671">
        <v>4</v>
      </c>
      <c r="G3681" s="1674"/>
      <c r="H3681" s="1671">
        <f t="shared" si="563"/>
        <v>0</v>
      </c>
      <c r="I3681" s="688" t="s">
        <v>92</v>
      </c>
      <c r="J3681" s="1668"/>
      <c r="K3681" s="1668"/>
      <c r="L3681" s="1669"/>
    </row>
    <row r="3682" spans="1:12" s="692" customFormat="1" ht="16.5" hidden="1">
      <c r="A3682" s="1665"/>
      <c r="B3682" s="1666"/>
      <c r="C3682" s="688"/>
      <c r="D3682" s="1667"/>
      <c r="E3682" s="1671">
        <v>3.5</v>
      </c>
      <c r="F3682" s="1671">
        <v>4</v>
      </c>
      <c r="G3682" s="1674"/>
      <c r="H3682" s="1671">
        <f t="shared" si="563"/>
        <v>0</v>
      </c>
      <c r="I3682" s="688" t="s">
        <v>92</v>
      </c>
      <c r="J3682" s="1668"/>
      <c r="K3682" s="1668"/>
      <c r="L3682" s="1669"/>
    </row>
    <row r="3683" spans="1:12" s="692" customFormat="1" ht="16.5" hidden="1">
      <c r="A3683" s="1665"/>
      <c r="B3683" s="1666"/>
      <c r="C3683" s="688"/>
      <c r="D3683" s="1667"/>
      <c r="E3683" s="1671">
        <v>3.5</v>
      </c>
      <c r="F3683" s="1671">
        <v>4</v>
      </c>
      <c r="G3683" s="1674"/>
      <c r="H3683" s="1671">
        <f t="shared" si="563"/>
        <v>0</v>
      </c>
      <c r="I3683" s="688" t="s">
        <v>92</v>
      </c>
      <c r="J3683" s="1668"/>
      <c r="K3683" s="1668"/>
      <c r="L3683" s="1669"/>
    </row>
    <row r="3684" spans="1:12" s="692" customFormat="1" ht="16.5" hidden="1">
      <c r="A3684" s="1665"/>
      <c r="B3684" s="1666"/>
      <c r="C3684" s="688"/>
      <c r="D3684" s="1667"/>
      <c r="E3684" s="688"/>
      <c r="F3684" s="688"/>
      <c r="G3684" s="1674" t="s">
        <v>928</v>
      </c>
      <c r="H3684" s="1671">
        <f>SUM(H3678:H3683)</f>
        <v>0</v>
      </c>
      <c r="I3684" s="1668" t="s">
        <v>92</v>
      </c>
      <c r="J3684" s="1669">
        <f>'Lead &amp; ANALYSIS'!L742</f>
        <v>1345.7</v>
      </c>
      <c r="K3684" s="1668" t="s">
        <v>1514</v>
      </c>
      <c r="L3684" s="1669">
        <f t="shared" ref="L3684" si="564">ROUND(H3684*J3684,0)</f>
        <v>0</v>
      </c>
    </row>
    <row r="3685" spans="1:12" s="692" customFormat="1" ht="16.5" hidden="1">
      <c r="A3685" s="1665" t="s">
        <v>386</v>
      </c>
      <c r="B3685" s="1666" t="s">
        <v>387</v>
      </c>
      <c r="C3685" s="688"/>
      <c r="D3685" s="1667"/>
      <c r="E3685" s="688"/>
      <c r="F3685" s="688"/>
      <c r="G3685" s="1674"/>
      <c r="H3685" s="688"/>
      <c r="I3685" s="1668"/>
      <c r="J3685" s="1668"/>
      <c r="K3685" s="1668"/>
      <c r="L3685" s="1669"/>
    </row>
    <row r="3686" spans="1:12" s="692" customFormat="1" ht="16.5" hidden="1">
      <c r="A3686" s="1665"/>
      <c r="B3686" s="1666"/>
      <c r="C3686" s="688"/>
      <c r="D3686" s="1667"/>
      <c r="E3686" s="1671">
        <v>3.5</v>
      </c>
      <c r="F3686" s="1671">
        <v>4</v>
      </c>
      <c r="G3686" s="1674"/>
      <c r="H3686" s="1671">
        <f t="shared" ref="H3686:H3691" si="565">ROUND(D3686*E3686*F3686,2)</f>
        <v>0</v>
      </c>
      <c r="I3686" s="688" t="s">
        <v>92</v>
      </c>
      <c r="J3686" s="1668"/>
      <c r="K3686" s="1668"/>
      <c r="L3686" s="1669"/>
    </row>
    <row r="3687" spans="1:12" s="692" customFormat="1" ht="16.5" hidden="1">
      <c r="A3687" s="1665"/>
      <c r="B3687" s="1666"/>
      <c r="C3687" s="688"/>
      <c r="D3687" s="1667"/>
      <c r="E3687" s="1671">
        <v>3.5</v>
      </c>
      <c r="F3687" s="1671">
        <v>4</v>
      </c>
      <c r="G3687" s="1674"/>
      <c r="H3687" s="1671">
        <f t="shared" si="565"/>
        <v>0</v>
      </c>
      <c r="I3687" s="688" t="s">
        <v>92</v>
      </c>
      <c r="J3687" s="1668"/>
      <c r="K3687" s="1668"/>
      <c r="L3687" s="1669"/>
    </row>
    <row r="3688" spans="1:12" s="692" customFormat="1" ht="16.5" hidden="1">
      <c r="A3688" s="1665"/>
      <c r="B3688" s="1666"/>
      <c r="C3688" s="688"/>
      <c r="D3688" s="1667"/>
      <c r="E3688" s="1671">
        <v>3.5</v>
      </c>
      <c r="F3688" s="1671">
        <v>4</v>
      </c>
      <c r="G3688" s="1674"/>
      <c r="H3688" s="1671">
        <f t="shared" si="565"/>
        <v>0</v>
      </c>
      <c r="I3688" s="688" t="s">
        <v>92</v>
      </c>
      <c r="J3688" s="1668"/>
      <c r="K3688" s="1668"/>
      <c r="L3688" s="1669"/>
    </row>
    <row r="3689" spans="1:12" s="692" customFormat="1" ht="16.5" hidden="1">
      <c r="A3689" s="1665"/>
      <c r="B3689" s="1666"/>
      <c r="C3689" s="688"/>
      <c r="D3689" s="1667"/>
      <c r="E3689" s="1671">
        <v>3.5</v>
      </c>
      <c r="F3689" s="1671">
        <v>4</v>
      </c>
      <c r="G3689" s="1674"/>
      <c r="H3689" s="1671">
        <f t="shared" si="565"/>
        <v>0</v>
      </c>
      <c r="I3689" s="688" t="s">
        <v>92</v>
      </c>
      <c r="J3689" s="1668"/>
      <c r="K3689" s="1668"/>
      <c r="L3689" s="1669"/>
    </row>
    <row r="3690" spans="1:12" s="692" customFormat="1" ht="16.5" hidden="1">
      <c r="A3690" s="1665"/>
      <c r="B3690" s="1666"/>
      <c r="C3690" s="688"/>
      <c r="D3690" s="1667"/>
      <c r="E3690" s="1671">
        <v>3.5</v>
      </c>
      <c r="F3690" s="1671">
        <v>4</v>
      </c>
      <c r="G3690" s="1674"/>
      <c r="H3690" s="1671">
        <f t="shared" si="565"/>
        <v>0</v>
      </c>
      <c r="I3690" s="688" t="s">
        <v>92</v>
      </c>
      <c r="J3690" s="1668"/>
      <c r="K3690" s="1668"/>
      <c r="L3690" s="1669"/>
    </row>
    <row r="3691" spans="1:12" s="692" customFormat="1" ht="16.5" hidden="1">
      <c r="A3691" s="1665"/>
      <c r="B3691" s="1666"/>
      <c r="C3691" s="688"/>
      <c r="D3691" s="1667"/>
      <c r="E3691" s="1671">
        <v>3.5</v>
      </c>
      <c r="F3691" s="1671">
        <v>4</v>
      </c>
      <c r="G3691" s="1674"/>
      <c r="H3691" s="1671">
        <f t="shared" si="565"/>
        <v>0</v>
      </c>
      <c r="I3691" s="688" t="s">
        <v>92</v>
      </c>
      <c r="J3691" s="1668"/>
      <c r="K3691" s="1668"/>
      <c r="L3691" s="1669"/>
    </row>
    <row r="3692" spans="1:12" s="692" customFormat="1" ht="16.5" hidden="1">
      <c r="A3692" s="1665"/>
      <c r="B3692" s="1666"/>
      <c r="C3692" s="688"/>
      <c r="D3692" s="1667"/>
      <c r="E3692" s="688"/>
      <c r="F3692" s="688"/>
      <c r="G3692" s="1674" t="s">
        <v>928</v>
      </c>
      <c r="H3692" s="1671">
        <f>SUM(H3686:H3691)</f>
        <v>0</v>
      </c>
      <c r="I3692" s="1668" t="s">
        <v>92</v>
      </c>
      <c r="J3692" s="1669">
        <f>'Lead &amp; ANALYSIS'!L743</f>
        <v>1376</v>
      </c>
      <c r="K3692" s="1668" t="s">
        <v>1514</v>
      </c>
      <c r="L3692" s="1669">
        <f t="shared" ref="L3692" si="566">ROUND(H3692*J3692,0)</f>
        <v>0</v>
      </c>
    </row>
    <row r="3693" spans="1:12" s="692" customFormat="1" ht="16.5" hidden="1">
      <c r="A3693" s="1665" t="s">
        <v>432</v>
      </c>
      <c r="B3693" s="1666" t="s">
        <v>3622</v>
      </c>
      <c r="C3693" s="688"/>
      <c r="D3693" s="1667"/>
      <c r="E3693" s="688"/>
      <c r="F3693" s="688"/>
      <c r="G3693" s="1674"/>
      <c r="H3693" s="688"/>
      <c r="I3693" s="1668"/>
      <c r="J3693" s="1668"/>
      <c r="K3693" s="1668"/>
      <c r="L3693" s="1669"/>
    </row>
    <row r="3694" spans="1:12" s="692" customFormat="1" ht="16.5" hidden="1">
      <c r="A3694" s="1665"/>
      <c r="B3694" s="1666"/>
      <c r="C3694" s="688"/>
      <c r="D3694" s="1667"/>
      <c r="E3694" s="1671">
        <v>3.5</v>
      </c>
      <c r="F3694" s="1672"/>
      <c r="G3694" s="1671">
        <v>4</v>
      </c>
      <c r="H3694" s="1671">
        <f t="shared" ref="H3694:H3699" si="567">ROUND(D3694*E3694*G3694,2)</f>
        <v>0</v>
      </c>
      <c r="I3694" s="1671" t="s">
        <v>92</v>
      </c>
      <c r="J3694" s="1668"/>
      <c r="K3694" s="1668"/>
      <c r="L3694" s="1669"/>
    </row>
    <row r="3695" spans="1:12" s="692" customFormat="1" ht="16.5" hidden="1">
      <c r="A3695" s="1665"/>
      <c r="B3695" s="1666"/>
      <c r="C3695" s="688"/>
      <c r="D3695" s="1667"/>
      <c r="E3695" s="1671">
        <v>3.5</v>
      </c>
      <c r="F3695" s="1672"/>
      <c r="G3695" s="1671">
        <v>4</v>
      </c>
      <c r="H3695" s="1671">
        <f t="shared" si="567"/>
        <v>0</v>
      </c>
      <c r="I3695" s="1671" t="s">
        <v>92</v>
      </c>
      <c r="J3695" s="1668"/>
      <c r="K3695" s="1668"/>
      <c r="L3695" s="1669"/>
    </row>
    <row r="3696" spans="1:12" s="692" customFormat="1" ht="16.5" hidden="1">
      <c r="A3696" s="1665"/>
      <c r="B3696" s="1666"/>
      <c r="C3696" s="688"/>
      <c r="D3696" s="1667"/>
      <c r="E3696" s="1671">
        <v>3.5</v>
      </c>
      <c r="F3696" s="1672"/>
      <c r="G3696" s="1671">
        <v>4</v>
      </c>
      <c r="H3696" s="1671">
        <f t="shared" si="567"/>
        <v>0</v>
      </c>
      <c r="I3696" s="1671" t="s">
        <v>92</v>
      </c>
      <c r="J3696" s="1668"/>
      <c r="K3696" s="1668"/>
      <c r="L3696" s="1669"/>
    </row>
    <row r="3697" spans="1:12" s="692" customFormat="1" ht="16.5" hidden="1">
      <c r="A3697" s="1665"/>
      <c r="B3697" s="1666"/>
      <c r="C3697" s="688"/>
      <c r="D3697" s="1667"/>
      <c r="E3697" s="1671">
        <v>3.5</v>
      </c>
      <c r="F3697" s="1672"/>
      <c r="G3697" s="1671">
        <v>4</v>
      </c>
      <c r="H3697" s="1671">
        <f t="shared" si="567"/>
        <v>0</v>
      </c>
      <c r="I3697" s="1671" t="s">
        <v>92</v>
      </c>
      <c r="J3697" s="1668"/>
      <c r="K3697" s="1668"/>
      <c r="L3697" s="1669"/>
    </row>
    <row r="3698" spans="1:12" s="692" customFormat="1" ht="16.5" hidden="1">
      <c r="A3698" s="1665"/>
      <c r="B3698" s="1666"/>
      <c r="C3698" s="688"/>
      <c r="D3698" s="1667"/>
      <c r="E3698" s="1671">
        <v>3.5</v>
      </c>
      <c r="F3698" s="1672"/>
      <c r="G3698" s="1671">
        <v>4</v>
      </c>
      <c r="H3698" s="1671">
        <f t="shared" si="567"/>
        <v>0</v>
      </c>
      <c r="I3698" s="1671" t="s">
        <v>92</v>
      </c>
      <c r="J3698" s="1668"/>
      <c r="K3698" s="1668"/>
      <c r="L3698" s="1669"/>
    </row>
    <row r="3699" spans="1:12" s="692" customFormat="1" ht="16.5" hidden="1">
      <c r="A3699" s="1665"/>
      <c r="B3699" s="1666"/>
      <c r="C3699" s="688"/>
      <c r="D3699" s="1667"/>
      <c r="E3699" s="1671">
        <v>3.5</v>
      </c>
      <c r="F3699" s="1672"/>
      <c r="G3699" s="1671">
        <v>4</v>
      </c>
      <c r="H3699" s="1671">
        <f t="shared" si="567"/>
        <v>0</v>
      </c>
      <c r="I3699" s="1671" t="s">
        <v>92</v>
      </c>
      <c r="J3699" s="1668"/>
      <c r="K3699" s="1668"/>
      <c r="L3699" s="1669"/>
    </row>
    <row r="3700" spans="1:12" s="692" customFormat="1" ht="16.5" hidden="1">
      <c r="A3700" s="1665"/>
      <c r="B3700" s="1666"/>
      <c r="C3700" s="688"/>
      <c r="D3700" s="1667"/>
      <c r="E3700" s="688"/>
      <c r="F3700" s="688"/>
      <c r="G3700" s="1665" t="s">
        <v>928</v>
      </c>
      <c r="H3700" s="1673">
        <f>SUM(H3694:H3699)</f>
        <v>0</v>
      </c>
      <c r="I3700" s="1668" t="s">
        <v>92</v>
      </c>
      <c r="J3700" s="1669">
        <f>'Lead &amp; ANALYSIS'!L744</f>
        <v>1407.7</v>
      </c>
      <c r="K3700" s="1668" t="s">
        <v>1514</v>
      </c>
      <c r="L3700" s="1669">
        <f t="shared" ref="L3700" si="568">ROUND(H3700*J3700,0)</f>
        <v>0</v>
      </c>
    </row>
    <row r="3701" spans="1:12" s="692" customFormat="1" ht="16.5" hidden="1">
      <c r="A3701" s="1665" t="s">
        <v>443</v>
      </c>
      <c r="B3701" s="1666" t="s">
        <v>3636</v>
      </c>
      <c r="C3701" s="688"/>
      <c r="D3701" s="1667"/>
      <c r="E3701" s="688"/>
      <c r="F3701" s="688"/>
      <c r="G3701" s="1674"/>
      <c r="H3701" s="688"/>
      <c r="I3701" s="1668"/>
      <c r="J3701" s="1668"/>
      <c r="K3701" s="1668"/>
      <c r="L3701" s="1669"/>
    </row>
    <row r="3702" spans="1:12" s="692" customFormat="1" ht="16.5" hidden="1">
      <c r="A3702" s="1665"/>
      <c r="B3702" s="1666"/>
      <c r="C3702" s="688"/>
      <c r="D3702" s="1667"/>
      <c r="E3702" s="1671">
        <v>3.5</v>
      </c>
      <c r="F3702" s="1672"/>
      <c r="G3702" s="1671">
        <v>4</v>
      </c>
      <c r="H3702" s="1671">
        <f t="shared" ref="H3702:H3707" si="569">ROUND(D3702*E3702*G3702,2)</f>
        <v>0</v>
      </c>
      <c r="I3702" s="1671" t="s">
        <v>92</v>
      </c>
      <c r="J3702" s="1668"/>
      <c r="K3702" s="1668"/>
      <c r="L3702" s="1669"/>
    </row>
    <row r="3703" spans="1:12" s="692" customFormat="1" ht="16.5" hidden="1">
      <c r="A3703" s="1665"/>
      <c r="B3703" s="1666"/>
      <c r="C3703" s="688"/>
      <c r="D3703" s="1667"/>
      <c r="E3703" s="1671">
        <v>3.5</v>
      </c>
      <c r="F3703" s="1672"/>
      <c r="G3703" s="1671">
        <v>4</v>
      </c>
      <c r="H3703" s="1671">
        <f t="shared" si="569"/>
        <v>0</v>
      </c>
      <c r="I3703" s="1671" t="s">
        <v>92</v>
      </c>
      <c r="J3703" s="1668"/>
      <c r="K3703" s="1668"/>
      <c r="L3703" s="1669"/>
    </row>
    <row r="3704" spans="1:12" s="692" customFormat="1" ht="16.5" hidden="1">
      <c r="A3704" s="1665"/>
      <c r="B3704" s="1666"/>
      <c r="C3704" s="688"/>
      <c r="D3704" s="1667"/>
      <c r="E3704" s="1671">
        <v>3.5</v>
      </c>
      <c r="F3704" s="1672"/>
      <c r="G3704" s="1671">
        <v>4</v>
      </c>
      <c r="H3704" s="1671">
        <f t="shared" si="569"/>
        <v>0</v>
      </c>
      <c r="I3704" s="1671" t="s">
        <v>92</v>
      </c>
      <c r="J3704" s="1668"/>
      <c r="K3704" s="1668"/>
      <c r="L3704" s="1669"/>
    </row>
    <row r="3705" spans="1:12" s="692" customFormat="1" ht="16.5" hidden="1">
      <c r="A3705" s="1665"/>
      <c r="B3705" s="1666"/>
      <c r="C3705" s="688"/>
      <c r="D3705" s="1667"/>
      <c r="E3705" s="1671">
        <v>3.5</v>
      </c>
      <c r="F3705" s="1672"/>
      <c r="G3705" s="1671">
        <v>4</v>
      </c>
      <c r="H3705" s="1671">
        <f t="shared" si="569"/>
        <v>0</v>
      </c>
      <c r="I3705" s="1671" t="s">
        <v>92</v>
      </c>
      <c r="J3705" s="1668"/>
      <c r="K3705" s="1668"/>
      <c r="L3705" s="1669"/>
    </row>
    <row r="3706" spans="1:12" s="692" customFormat="1" ht="16.5" hidden="1">
      <c r="A3706" s="1665"/>
      <c r="B3706" s="1666"/>
      <c r="C3706" s="688"/>
      <c r="D3706" s="1667"/>
      <c r="E3706" s="1671">
        <v>3.5</v>
      </c>
      <c r="F3706" s="1672"/>
      <c r="G3706" s="1671">
        <v>4</v>
      </c>
      <c r="H3706" s="1671">
        <f t="shared" si="569"/>
        <v>0</v>
      </c>
      <c r="I3706" s="1671" t="s">
        <v>92</v>
      </c>
      <c r="J3706" s="1668"/>
      <c r="K3706" s="1668"/>
      <c r="L3706" s="1669"/>
    </row>
    <row r="3707" spans="1:12" s="692" customFormat="1" ht="16.5" hidden="1">
      <c r="A3707" s="1665"/>
      <c r="B3707" s="1666"/>
      <c r="C3707" s="688"/>
      <c r="D3707" s="1667"/>
      <c r="E3707" s="1671">
        <v>3.5</v>
      </c>
      <c r="F3707" s="1672"/>
      <c r="G3707" s="1671">
        <v>4</v>
      </c>
      <c r="H3707" s="1671">
        <f t="shared" si="569"/>
        <v>0</v>
      </c>
      <c r="I3707" s="1671" t="s">
        <v>92</v>
      </c>
      <c r="J3707" s="1668"/>
      <c r="K3707" s="1668"/>
      <c r="L3707" s="1669"/>
    </row>
    <row r="3708" spans="1:12" s="692" customFormat="1" ht="16.5" hidden="1">
      <c r="A3708" s="1665"/>
      <c r="B3708" s="1666"/>
      <c r="C3708" s="688"/>
      <c r="D3708" s="1667"/>
      <c r="E3708" s="688"/>
      <c r="F3708" s="688"/>
      <c r="G3708" s="1665" t="s">
        <v>928</v>
      </c>
      <c r="H3708" s="1673">
        <f>SUM(H3702:H3707)</f>
        <v>0</v>
      </c>
      <c r="I3708" s="1668" t="s">
        <v>92</v>
      </c>
      <c r="J3708" s="1669">
        <f>'Lead &amp; ANALYSIS'!L745</f>
        <v>1441.1</v>
      </c>
      <c r="K3708" s="1668" t="s">
        <v>1514</v>
      </c>
      <c r="L3708" s="1669">
        <f t="shared" ref="L3708" si="570">ROUND(H3708*J3708,0)</f>
        <v>0</v>
      </c>
    </row>
    <row r="3709" spans="1:12" s="692" customFormat="1" ht="16.5" hidden="1">
      <c r="A3709" s="1665" t="s">
        <v>480</v>
      </c>
      <c r="B3709" s="1675" t="str">
        <f>'Lead &amp; ANALYSIS'!B746</f>
        <v>Marble tile (size0.10-0.40sqm)</v>
      </c>
      <c r="C3709" s="688"/>
      <c r="D3709" s="1667"/>
      <c r="E3709" s="688"/>
      <c r="F3709" s="688"/>
      <c r="G3709" s="1674"/>
      <c r="H3709" s="688"/>
      <c r="I3709" s="1668"/>
      <c r="J3709" s="1668"/>
      <c r="K3709" s="1668"/>
      <c r="L3709" s="1669"/>
    </row>
    <row r="3710" spans="1:12" s="692" customFormat="1" ht="16.5" hidden="1">
      <c r="A3710" s="1665" t="s">
        <v>383</v>
      </c>
      <c r="B3710" s="1666" t="s">
        <v>384</v>
      </c>
      <c r="C3710" s="688"/>
      <c r="D3710" s="1667"/>
      <c r="E3710" s="688"/>
      <c r="F3710" s="688"/>
      <c r="G3710" s="1674"/>
      <c r="H3710" s="688"/>
      <c r="I3710" s="1668"/>
      <c r="J3710" s="1668"/>
      <c r="K3710" s="1668"/>
      <c r="L3710" s="1669"/>
    </row>
    <row r="3711" spans="1:12" s="692" customFormat="1" ht="16.5" hidden="1">
      <c r="A3711" s="1665"/>
      <c r="B3711" s="1666"/>
      <c r="C3711" s="688"/>
      <c r="D3711" s="1667"/>
      <c r="E3711" s="1671">
        <v>3.5</v>
      </c>
      <c r="F3711" s="1671">
        <v>4</v>
      </c>
      <c r="G3711" s="1674"/>
      <c r="H3711" s="1671">
        <f t="shared" ref="H3711:H3716" si="571">ROUND(D3711*E3711*F3711,2)</f>
        <v>0</v>
      </c>
      <c r="I3711" s="688" t="s">
        <v>92</v>
      </c>
      <c r="J3711" s="1668"/>
      <c r="K3711" s="1668"/>
      <c r="L3711" s="1669"/>
    </row>
    <row r="3712" spans="1:12" s="692" customFormat="1" ht="16.5" hidden="1">
      <c r="A3712" s="1665"/>
      <c r="B3712" s="1666"/>
      <c r="C3712" s="688"/>
      <c r="D3712" s="1667"/>
      <c r="E3712" s="1671">
        <v>3.5</v>
      </c>
      <c r="F3712" s="1671">
        <v>4</v>
      </c>
      <c r="G3712" s="1674"/>
      <c r="H3712" s="1671">
        <f t="shared" si="571"/>
        <v>0</v>
      </c>
      <c r="I3712" s="688" t="s">
        <v>92</v>
      </c>
      <c r="J3712" s="1668"/>
      <c r="K3712" s="1668"/>
      <c r="L3712" s="1669"/>
    </row>
    <row r="3713" spans="1:12" s="692" customFormat="1" ht="16.5" hidden="1">
      <c r="A3713" s="1665"/>
      <c r="B3713" s="1666"/>
      <c r="C3713" s="688"/>
      <c r="D3713" s="1667"/>
      <c r="E3713" s="1671">
        <v>3.5</v>
      </c>
      <c r="F3713" s="1671">
        <v>4</v>
      </c>
      <c r="G3713" s="1674"/>
      <c r="H3713" s="1671">
        <f t="shared" si="571"/>
        <v>0</v>
      </c>
      <c r="I3713" s="688" t="s">
        <v>92</v>
      </c>
      <c r="J3713" s="1668"/>
      <c r="K3713" s="1668"/>
      <c r="L3713" s="1669"/>
    </row>
    <row r="3714" spans="1:12" s="692" customFormat="1" ht="16.5" hidden="1">
      <c r="A3714" s="1665"/>
      <c r="B3714" s="1666"/>
      <c r="C3714" s="688"/>
      <c r="D3714" s="1667"/>
      <c r="E3714" s="1671">
        <v>3.5</v>
      </c>
      <c r="F3714" s="1671">
        <v>4</v>
      </c>
      <c r="G3714" s="1674"/>
      <c r="H3714" s="1671">
        <f t="shared" si="571"/>
        <v>0</v>
      </c>
      <c r="I3714" s="688" t="s">
        <v>92</v>
      </c>
      <c r="J3714" s="1668"/>
      <c r="K3714" s="1668"/>
      <c r="L3714" s="1669"/>
    </row>
    <row r="3715" spans="1:12" s="692" customFormat="1" ht="16.5" hidden="1">
      <c r="A3715" s="1665"/>
      <c r="B3715" s="1666"/>
      <c r="C3715" s="688"/>
      <c r="D3715" s="1667"/>
      <c r="E3715" s="1671">
        <v>3.5</v>
      </c>
      <c r="F3715" s="1671">
        <v>4</v>
      </c>
      <c r="G3715" s="1674"/>
      <c r="H3715" s="1671">
        <f t="shared" si="571"/>
        <v>0</v>
      </c>
      <c r="I3715" s="688" t="s">
        <v>92</v>
      </c>
      <c r="J3715" s="1668"/>
      <c r="K3715" s="1668"/>
      <c r="L3715" s="1669"/>
    </row>
    <row r="3716" spans="1:12" s="692" customFormat="1" ht="16.5" hidden="1">
      <c r="A3716" s="1665"/>
      <c r="B3716" s="1666"/>
      <c r="C3716" s="688"/>
      <c r="D3716" s="1667"/>
      <c r="E3716" s="1671">
        <v>3.5</v>
      </c>
      <c r="F3716" s="1671">
        <v>4</v>
      </c>
      <c r="G3716" s="1674"/>
      <c r="H3716" s="1671">
        <f t="shared" si="571"/>
        <v>0</v>
      </c>
      <c r="I3716" s="688" t="s">
        <v>92</v>
      </c>
      <c r="J3716" s="1668"/>
      <c r="K3716" s="1668"/>
      <c r="L3716" s="1669"/>
    </row>
    <row r="3717" spans="1:12" s="692" customFormat="1" ht="16.5" hidden="1">
      <c r="A3717" s="1665"/>
      <c r="B3717" s="1666"/>
      <c r="C3717" s="688"/>
      <c r="D3717" s="1667"/>
      <c r="E3717" s="688"/>
      <c r="F3717" s="688"/>
      <c r="G3717" s="1674" t="s">
        <v>928</v>
      </c>
      <c r="H3717" s="1671">
        <f>SUM(H3711:H3716)</f>
        <v>0</v>
      </c>
      <c r="I3717" s="1668" t="s">
        <v>92</v>
      </c>
      <c r="J3717" s="1669">
        <f>'Lead &amp; ANALYSIS'!L747</f>
        <v>1523.5</v>
      </c>
      <c r="K3717" s="1668" t="s">
        <v>1514</v>
      </c>
      <c r="L3717" s="1669">
        <f t="shared" ref="L3717" si="572">ROUND(H3717*J3717,0)</f>
        <v>0</v>
      </c>
    </row>
    <row r="3718" spans="1:12" s="692" customFormat="1" ht="16.5" hidden="1">
      <c r="A3718" s="1665" t="s">
        <v>386</v>
      </c>
      <c r="B3718" s="1666" t="s">
        <v>387</v>
      </c>
      <c r="C3718" s="688"/>
      <c r="D3718" s="1667"/>
      <c r="E3718" s="688"/>
      <c r="F3718" s="688"/>
      <c r="G3718" s="1674"/>
      <c r="H3718" s="688"/>
      <c r="I3718" s="1668"/>
      <c r="J3718" s="1668"/>
      <c r="K3718" s="1668"/>
      <c r="L3718" s="1669"/>
    </row>
    <row r="3719" spans="1:12" s="692" customFormat="1" ht="16.5" hidden="1">
      <c r="A3719" s="1665"/>
      <c r="B3719" s="1666"/>
      <c r="C3719" s="688"/>
      <c r="D3719" s="1667"/>
      <c r="E3719" s="1671">
        <v>3.5</v>
      </c>
      <c r="F3719" s="1671">
        <v>4</v>
      </c>
      <c r="G3719" s="1674"/>
      <c r="H3719" s="1671">
        <f t="shared" ref="H3719:H3724" si="573">ROUND(D3719*E3719*F3719,2)</f>
        <v>0</v>
      </c>
      <c r="I3719" s="688" t="s">
        <v>92</v>
      </c>
      <c r="J3719" s="1668"/>
      <c r="K3719" s="1668"/>
      <c r="L3719" s="1669"/>
    </row>
    <row r="3720" spans="1:12" s="692" customFormat="1" ht="16.5" hidden="1">
      <c r="A3720" s="1665"/>
      <c r="B3720" s="1666"/>
      <c r="C3720" s="688"/>
      <c r="D3720" s="1667"/>
      <c r="E3720" s="1671">
        <v>3.5</v>
      </c>
      <c r="F3720" s="1671">
        <v>4</v>
      </c>
      <c r="G3720" s="1674"/>
      <c r="H3720" s="1671">
        <f t="shared" si="573"/>
        <v>0</v>
      </c>
      <c r="I3720" s="688" t="s">
        <v>92</v>
      </c>
      <c r="J3720" s="1668"/>
      <c r="K3720" s="1668"/>
      <c r="L3720" s="1669"/>
    </row>
    <row r="3721" spans="1:12" s="692" customFormat="1" ht="16.5" hidden="1">
      <c r="A3721" s="1665"/>
      <c r="B3721" s="1666"/>
      <c r="C3721" s="688"/>
      <c r="D3721" s="1667"/>
      <c r="E3721" s="1671">
        <v>3.5</v>
      </c>
      <c r="F3721" s="1671">
        <v>4</v>
      </c>
      <c r="G3721" s="1674"/>
      <c r="H3721" s="1671">
        <f t="shared" si="573"/>
        <v>0</v>
      </c>
      <c r="I3721" s="688" t="s">
        <v>92</v>
      </c>
      <c r="J3721" s="1668"/>
      <c r="K3721" s="1668"/>
      <c r="L3721" s="1669"/>
    </row>
    <row r="3722" spans="1:12" s="692" customFormat="1" ht="16.5" hidden="1">
      <c r="A3722" s="1665"/>
      <c r="B3722" s="1666"/>
      <c r="C3722" s="688"/>
      <c r="D3722" s="1667"/>
      <c r="E3722" s="1671">
        <v>3.5</v>
      </c>
      <c r="F3722" s="1671">
        <v>4</v>
      </c>
      <c r="G3722" s="1674"/>
      <c r="H3722" s="1671">
        <f t="shared" si="573"/>
        <v>0</v>
      </c>
      <c r="I3722" s="688" t="s">
        <v>92</v>
      </c>
      <c r="J3722" s="1668"/>
      <c r="K3722" s="1668"/>
      <c r="L3722" s="1669"/>
    </row>
    <row r="3723" spans="1:12" s="692" customFormat="1" ht="16.5" hidden="1">
      <c r="A3723" s="1665"/>
      <c r="B3723" s="1666"/>
      <c r="C3723" s="688"/>
      <c r="D3723" s="1667"/>
      <c r="E3723" s="1671">
        <v>3.5</v>
      </c>
      <c r="F3723" s="1671">
        <v>4</v>
      </c>
      <c r="G3723" s="1674"/>
      <c r="H3723" s="1671">
        <f t="shared" si="573"/>
        <v>0</v>
      </c>
      <c r="I3723" s="688" t="s">
        <v>92</v>
      </c>
      <c r="J3723" s="1668"/>
      <c r="K3723" s="1668"/>
      <c r="L3723" s="1669"/>
    </row>
    <row r="3724" spans="1:12" s="692" customFormat="1" ht="16.5" hidden="1">
      <c r="A3724" s="1665"/>
      <c r="B3724" s="1666"/>
      <c r="C3724" s="688"/>
      <c r="D3724" s="1667"/>
      <c r="E3724" s="1671">
        <v>3.5</v>
      </c>
      <c r="F3724" s="1671">
        <v>4</v>
      </c>
      <c r="G3724" s="1674"/>
      <c r="H3724" s="1671">
        <f t="shared" si="573"/>
        <v>0</v>
      </c>
      <c r="I3724" s="688" t="s">
        <v>92</v>
      </c>
      <c r="J3724" s="1668"/>
      <c r="K3724" s="1668"/>
      <c r="L3724" s="1669"/>
    </row>
    <row r="3725" spans="1:12" s="692" customFormat="1" ht="16.5" hidden="1">
      <c r="A3725" s="1665"/>
      <c r="B3725" s="1666"/>
      <c r="C3725" s="688"/>
      <c r="D3725" s="1667"/>
      <c r="E3725" s="688"/>
      <c r="F3725" s="688"/>
      <c r="G3725" s="1674" t="s">
        <v>928</v>
      </c>
      <c r="H3725" s="1671">
        <f>SUM(H3719:H3724)</f>
        <v>0</v>
      </c>
      <c r="I3725" s="1668" t="s">
        <v>92</v>
      </c>
      <c r="J3725" s="1669">
        <f>'Lead &amp; ANALYSIS'!L748</f>
        <v>1553.7</v>
      </c>
      <c r="K3725" s="1668" t="s">
        <v>1514</v>
      </c>
      <c r="L3725" s="1669">
        <f t="shared" ref="L3725" si="574">ROUND(H3725*J3725,0)</f>
        <v>0</v>
      </c>
    </row>
    <row r="3726" spans="1:12" s="692" customFormat="1" ht="16.5" hidden="1">
      <c r="A3726" s="1665" t="s">
        <v>432</v>
      </c>
      <c r="B3726" s="1666" t="s">
        <v>3622</v>
      </c>
      <c r="C3726" s="688"/>
      <c r="D3726" s="1667"/>
      <c r="E3726" s="688"/>
      <c r="F3726" s="688"/>
      <c r="G3726" s="1674"/>
      <c r="H3726" s="688"/>
      <c r="I3726" s="1668"/>
      <c r="J3726" s="1668"/>
      <c r="K3726" s="1668"/>
      <c r="L3726" s="1669"/>
    </row>
    <row r="3727" spans="1:12" s="692" customFormat="1" ht="16.5" hidden="1">
      <c r="A3727" s="1665"/>
      <c r="B3727" s="1666"/>
      <c r="C3727" s="688"/>
      <c r="D3727" s="1667"/>
      <c r="E3727" s="1671">
        <v>3.5</v>
      </c>
      <c r="F3727" s="1672"/>
      <c r="G3727" s="1671">
        <v>4</v>
      </c>
      <c r="H3727" s="1671">
        <f t="shared" ref="H3727:H3732" si="575">ROUND(D3727*E3727*G3727,2)</f>
        <v>0</v>
      </c>
      <c r="I3727" s="1671" t="s">
        <v>92</v>
      </c>
      <c r="J3727" s="1668"/>
      <c r="K3727" s="1668"/>
      <c r="L3727" s="1669"/>
    </row>
    <row r="3728" spans="1:12" s="692" customFormat="1" ht="16.5" hidden="1">
      <c r="A3728" s="1665"/>
      <c r="B3728" s="1666"/>
      <c r="C3728" s="688"/>
      <c r="D3728" s="1667"/>
      <c r="E3728" s="1671">
        <v>3.5</v>
      </c>
      <c r="F3728" s="1672"/>
      <c r="G3728" s="1671">
        <v>4</v>
      </c>
      <c r="H3728" s="1671">
        <f t="shared" si="575"/>
        <v>0</v>
      </c>
      <c r="I3728" s="1671" t="s">
        <v>92</v>
      </c>
      <c r="J3728" s="1668"/>
      <c r="K3728" s="1668"/>
      <c r="L3728" s="1669"/>
    </row>
    <row r="3729" spans="1:12" s="692" customFormat="1" ht="16.5" hidden="1">
      <c r="A3729" s="1665"/>
      <c r="B3729" s="1666"/>
      <c r="C3729" s="688"/>
      <c r="D3729" s="1667"/>
      <c r="E3729" s="1671">
        <v>3.5</v>
      </c>
      <c r="F3729" s="1672"/>
      <c r="G3729" s="1671">
        <v>4</v>
      </c>
      <c r="H3729" s="1671">
        <f t="shared" si="575"/>
        <v>0</v>
      </c>
      <c r="I3729" s="1671" t="s">
        <v>92</v>
      </c>
      <c r="J3729" s="1668"/>
      <c r="K3729" s="1668"/>
      <c r="L3729" s="1669"/>
    </row>
    <row r="3730" spans="1:12" s="692" customFormat="1" ht="16.5" hidden="1">
      <c r="A3730" s="1665"/>
      <c r="B3730" s="1666"/>
      <c r="C3730" s="688"/>
      <c r="D3730" s="1667"/>
      <c r="E3730" s="1671">
        <v>3.5</v>
      </c>
      <c r="F3730" s="1672"/>
      <c r="G3730" s="1671">
        <v>4</v>
      </c>
      <c r="H3730" s="1671">
        <f t="shared" si="575"/>
        <v>0</v>
      </c>
      <c r="I3730" s="1671" t="s">
        <v>92</v>
      </c>
      <c r="J3730" s="1668"/>
      <c r="K3730" s="1668"/>
      <c r="L3730" s="1669"/>
    </row>
    <row r="3731" spans="1:12" s="692" customFormat="1" ht="16.5" hidden="1">
      <c r="A3731" s="1665"/>
      <c r="B3731" s="1666"/>
      <c r="C3731" s="688"/>
      <c r="D3731" s="1667"/>
      <c r="E3731" s="1671">
        <v>3.5</v>
      </c>
      <c r="F3731" s="1672"/>
      <c r="G3731" s="1671">
        <v>4</v>
      </c>
      <c r="H3731" s="1671">
        <f t="shared" si="575"/>
        <v>0</v>
      </c>
      <c r="I3731" s="1671" t="s">
        <v>92</v>
      </c>
      <c r="J3731" s="1668"/>
      <c r="K3731" s="1668"/>
      <c r="L3731" s="1669"/>
    </row>
    <row r="3732" spans="1:12" s="692" customFormat="1" ht="16.5" hidden="1">
      <c r="A3732" s="1665"/>
      <c r="B3732" s="1666"/>
      <c r="C3732" s="688"/>
      <c r="D3732" s="1667"/>
      <c r="E3732" s="1671">
        <v>3.5</v>
      </c>
      <c r="F3732" s="1672"/>
      <c r="G3732" s="1671">
        <v>4</v>
      </c>
      <c r="H3732" s="1671">
        <f t="shared" si="575"/>
        <v>0</v>
      </c>
      <c r="I3732" s="1671" t="s">
        <v>92</v>
      </c>
      <c r="J3732" s="1668"/>
      <c r="K3732" s="1668"/>
      <c r="L3732" s="1669"/>
    </row>
    <row r="3733" spans="1:12" s="692" customFormat="1" ht="16.5" hidden="1">
      <c r="A3733" s="1665"/>
      <c r="B3733" s="1666"/>
      <c r="C3733" s="688"/>
      <c r="D3733" s="1667"/>
      <c r="E3733" s="688"/>
      <c r="F3733" s="688"/>
      <c r="G3733" s="1665" t="s">
        <v>928</v>
      </c>
      <c r="H3733" s="1673">
        <f>SUM(H3727:H3732)</f>
        <v>0</v>
      </c>
      <c r="I3733" s="1668" t="s">
        <v>92</v>
      </c>
      <c r="J3733" s="1669">
        <f>'Lead &amp; ANALYSIS'!L749</f>
        <v>1585.5</v>
      </c>
      <c r="K3733" s="1668" t="s">
        <v>1514</v>
      </c>
      <c r="L3733" s="1669">
        <f t="shared" ref="L3733" si="576">ROUND(H3733*J3733,0)</f>
        <v>0</v>
      </c>
    </row>
    <row r="3734" spans="1:12" s="692" customFormat="1" ht="16.5" hidden="1">
      <c r="A3734" s="1665" t="s">
        <v>443</v>
      </c>
      <c r="B3734" s="1666" t="s">
        <v>3636</v>
      </c>
      <c r="C3734" s="688"/>
      <c r="D3734" s="1667"/>
      <c r="E3734" s="688"/>
      <c r="F3734" s="688"/>
      <c r="G3734" s="1674"/>
      <c r="H3734" s="688"/>
      <c r="I3734" s="1668"/>
      <c r="J3734" s="1668"/>
      <c r="K3734" s="1668"/>
      <c r="L3734" s="1669"/>
    </row>
    <row r="3735" spans="1:12" s="692" customFormat="1" ht="16.5" hidden="1">
      <c r="A3735" s="1665"/>
      <c r="B3735" s="1666"/>
      <c r="C3735" s="688"/>
      <c r="D3735" s="1667"/>
      <c r="E3735" s="1671">
        <v>3.5</v>
      </c>
      <c r="F3735" s="1672"/>
      <c r="G3735" s="1671">
        <v>4</v>
      </c>
      <c r="H3735" s="1671">
        <f t="shared" ref="H3735:H3740" si="577">ROUND(D3735*E3735*G3735,2)</f>
        <v>0</v>
      </c>
      <c r="I3735" s="1671" t="s">
        <v>92</v>
      </c>
      <c r="J3735" s="1668"/>
      <c r="K3735" s="1668"/>
      <c r="L3735" s="1669"/>
    </row>
    <row r="3736" spans="1:12" s="692" customFormat="1" ht="16.5" hidden="1">
      <c r="A3736" s="1665"/>
      <c r="B3736" s="1666"/>
      <c r="C3736" s="688"/>
      <c r="D3736" s="1667"/>
      <c r="E3736" s="1671">
        <v>3.5</v>
      </c>
      <c r="F3736" s="1672"/>
      <c r="G3736" s="1671">
        <v>4</v>
      </c>
      <c r="H3736" s="1671">
        <f t="shared" si="577"/>
        <v>0</v>
      </c>
      <c r="I3736" s="1671" t="s">
        <v>92</v>
      </c>
      <c r="J3736" s="1668"/>
      <c r="K3736" s="1668"/>
      <c r="L3736" s="1669"/>
    </row>
    <row r="3737" spans="1:12" s="692" customFormat="1" ht="16.5" hidden="1">
      <c r="A3737" s="1665"/>
      <c r="B3737" s="1666"/>
      <c r="C3737" s="688"/>
      <c r="D3737" s="1667"/>
      <c r="E3737" s="1671">
        <v>3.5</v>
      </c>
      <c r="F3737" s="1672"/>
      <c r="G3737" s="1671">
        <v>4</v>
      </c>
      <c r="H3737" s="1671">
        <f t="shared" si="577"/>
        <v>0</v>
      </c>
      <c r="I3737" s="1671" t="s">
        <v>92</v>
      </c>
      <c r="J3737" s="1668"/>
      <c r="K3737" s="1668"/>
      <c r="L3737" s="1669"/>
    </row>
    <row r="3738" spans="1:12" s="692" customFormat="1" ht="16.5" hidden="1">
      <c r="A3738" s="1665"/>
      <c r="B3738" s="1666"/>
      <c r="C3738" s="688"/>
      <c r="D3738" s="1667"/>
      <c r="E3738" s="1671">
        <v>3.5</v>
      </c>
      <c r="F3738" s="1672"/>
      <c r="G3738" s="1671">
        <v>4</v>
      </c>
      <c r="H3738" s="1671">
        <f t="shared" si="577"/>
        <v>0</v>
      </c>
      <c r="I3738" s="1671" t="s">
        <v>92</v>
      </c>
      <c r="J3738" s="1668"/>
      <c r="K3738" s="1668"/>
      <c r="L3738" s="1669"/>
    </row>
    <row r="3739" spans="1:12" s="692" customFormat="1" ht="16.5" hidden="1">
      <c r="A3739" s="1665"/>
      <c r="B3739" s="1666"/>
      <c r="C3739" s="688"/>
      <c r="D3739" s="1667"/>
      <c r="E3739" s="1671">
        <v>3.5</v>
      </c>
      <c r="F3739" s="1672"/>
      <c r="G3739" s="1671">
        <v>4</v>
      </c>
      <c r="H3739" s="1671">
        <f t="shared" si="577"/>
        <v>0</v>
      </c>
      <c r="I3739" s="1671" t="s">
        <v>92</v>
      </c>
      <c r="J3739" s="1668"/>
      <c r="K3739" s="1668"/>
      <c r="L3739" s="1669"/>
    </row>
    <row r="3740" spans="1:12" s="692" customFormat="1" ht="16.5" hidden="1">
      <c r="A3740" s="1665"/>
      <c r="B3740" s="1666"/>
      <c r="C3740" s="688"/>
      <c r="D3740" s="1667"/>
      <c r="E3740" s="1671">
        <v>3.5</v>
      </c>
      <c r="F3740" s="1672"/>
      <c r="G3740" s="1671">
        <v>4</v>
      </c>
      <c r="H3740" s="1671">
        <f t="shared" si="577"/>
        <v>0</v>
      </c>
      <c r="I3740" s="1671" t="s">
        <v>92</v>
      </c>
      <c r="J3740" s="1668"/>
      <c r="K3740" s="1668"/>
      <c r="L3740" s="1669"/>
    </row>
    <row r="3741" spans="1:12" s="692" customFormat="1" ht="16.5" hidden="1">
      <c r="A3741" s="1665"/>
      <c r="B3741" s="1666"/>
      <c r="C3741" s="688"/>
      <c r="D3741" s="1667"/>
      <c r="E3741" s="688"/>
      <c r="F3741" s="688"/>
      <c r="G3741" s="1665" t="s">
        <v>928</v>
      </c>
      <c r="H3741" s="1673">
        <f>SUM(H3735:H3740)</f>
        <v>0</v>
      </c>
      <c r="I3741" s="1668" t="s">
        <v>92</v>
      </c>
      <c r="J3741" s="1669">
        <f>'Lead &amp; ANALYSIS'!L750</f>
        <v>1618.8</v>
      </c>
      <c r="K3741" s="1668" t="s">
        <v>1514</v>
      </c>
      <c r="L3741" s="1669">
        <f t="shared" ref="L3741" si="578">ROUND(H3741*J3741,0)</f>
        <v>0</v>
      </c>
    </row>
    <row r="3742" spans="1:12" s="692" customFormat="1" ht="99">
      <c r="A3742" s="1665">
        <v>12</v>
      </c>
      <c r="B3742" s="1666" t="str">
        <f>'Lead &amp; ANALYSIS'!B751</f>
        <v xml:space="preserve">Supplying, fitting, fixing of tile in floors marbonite or equivalent make in all floors over 25mm thick bed of cement mortar (1:4) jointed with neat cement slurry mixed with pigment to match the shades of the tiles  etc. complete as per the direction of the Engineer-in-charge. </v>
      </c>
      <c r="C3742" s="688"/>
      <c r="D3742" s="1667"/>
      <c r="E3742" s="688"/>
      <c r="F3742" s="688"/>
      <c r="G3742" s="1674"/>
      <c r="H3742" s="688"/>
      <c r="I3742" s="1668"/>
      <c r="J3742" s="1668"/>
      <c r="K3742" s="1668"/>
      <c r="L3742" s="1669"/>
    </row>
    <row r="3743" spans="1:12" s="692" customFormat="1" ht="16.5" hidden="1">
      <c r="A3743" s="1665" t="s">
        <v>468</v>
      </c>
      <c r="B3743" s="1666" t="s">
        <v>230</v>
      </c>
      <c r="C3743" s="688"/>
      <c r="D3743" s="1667"/>
      <c r="E3743" s="688"/>
      <c r="F3743" s="688"/>
      <c r="G3743" s="1674"/>
      <c r="H3743" s="688"/>
      <c r="I3743" s="1668"/>
      <c r="J3743" s="1668"/>
      <c r="K3743" s="1668"/>
      <c r="L3743" s="1669"/>
    </row>
    <row r="3744" spans="1:12" s="692" customFormat="1" ht="16.5" hidden="1">
      <c r="A3744" s="1665" t="s">
        <v>383</v>
      </c>
      <c r="B3744" s="1666" t="s">
        <v>384</v>
      </c>
      <c r="C3744" s="688"/>
      <c r="D3744" s="1667"/>
      <c r="E3744" s="688"/>
      <c r="F3744" s="688"/>
      <c r="G3744" s="1674"/>
      <c r="H3744" s="688"/>
      <c r="I3744" s="1668"/>
      <c r="J3744" s="1668"/>
      <c r="K3744" s="1668"/>
      <c r="L3744" s="1669"/>
    </row>
    <row r="3745" spans="1:12" s="692" customFormat="1" ht="16.5" hidden="1">
      <c r="A3745" s="1665"/>
      <c r="B3745" s="1666"/>
      <c r="C3745" s="688"/>
      <c r="D3745" s="1667"/>
      <c r="E3745" s="1671">
        <v>3.5</v>
      </c>
      <c r="F3745" s="1671">
        <v>4</v>
      </c>
      <c r="G3745" s="1674"/>
      <c r="H3745" s="1671">
        <f t="shared" ref="H3745:H3750" si="579">ROUND(D3745*E3745*F3745,2)</f>
        <v>0</v>
      </c>
      <c r="I3745" s="688" t="s">
        <v>92</v>
      </c>
      <c r="J3745" s="1668"/>
      <c r="K3745" s="1668"/>
      <c r="L3745" s="1669"/>
    </row>
    <row r="3746" spans="1:12" s="692" customFormat="1" ht="16.5" hidden="1">
      <c r="A3746" s="1665"/>
      <c r="B3746" s="1666"/>
      <c r="C3746" s="688"/>
      <c r="D3746" s="1667"/>
      <c r="E3746" s="1671">
        <v>3.5</v>
      </c>
      <c r="F3746" s="1671">
        <v>4</v>
      </c>
      <c r="G3746" s="1674"/>
      <c r="H3746" s="1671">
        <f t="shared" si="579"/>
        <v>0</v>
      </c>
      <c r="I3746" s="688" t="s">
        <v>92</v>
      </c>
      <c r="J3746" s="1668"/>
      <c r="K3746" s="1668"/>
      <c r="L3746" s="1669"/>
    </row>
    <row r="3747" spans="1:12" s="692" customFormat="1" ht="16.5" hidden="1">
      <c r="A3747" s="1665"/>
      <c r="B3747" s="1666"/>
      <c r="C3747" s="688"/>
      <c r="D3747" s="1667"/>
      <c r="E3747" s="1671">
        <v>3.5</v>
      </c>
      <c r="F3747" s="1671">
        <v>4</v>
      </c>
      <c r="G3747" s="1674"/>
      <c r="H3747" s="1671">
        <f t="shared" si="579"/>
        <v>0</v>
      </c>
      <c r="I3747" s="688" t="s">
        <v>92</v>
      </c>
      <c r="J3747" s="1668"/>
      <c r="K3747" s="1668"/>
      <c r="L3747" s="1669"/>
    </row>
    <row r="3748" spans="1:12" s="692" customFormat="1" ht="16.5" hidden="1">
      <c r="A3748" s="1665"/>
      <c r="B3748" s="1666"/>
      <c r="C3748" s="688"/>
      <c r="D3748" s="1667"/>
      <c r="E3748" s="1671">
        <v>3.5</v>
      </c>
      <c r="F3748" s="1671">
        <v>4</v>
      </c>
      <c r="G3748" s="1674"/>
      <c r="H3748" s="1671">
        <f t="shared" si="579"/>
        <v>0</v>
      </c>
      <c r="I3748" s="688" t="s">
        <v>92</v>
      </c>
      <c r="J3748" s="1668"/>
      <c r="K3748" s="1668"/>
      <c r="L3748" s="1669"/>
    </row>
    <row r="3749" spans="1:12" s="692" customFormat="1" ht="16.5" hidden="1">
      <c r="A3749" s="1665"/>
      <c r="B3749" s="1666"/>
      <c r="C3749" s="688"/>
      <c r="D3749" s="1667"/>
      <c r="E3749" s="1671">
        <v>3.5</v>
      </c>
      <c r="F3749" s="1671">
        <v>4</v>
      </c>
      <c r="G3749" s="1674"/>
      <c r="H3749" s="1671">
        <f t="shared" si="579"/>
        <v>0</v>
      </c>
      <c r="I3749" s="688" t="s">
        <v>92</v>
      </c>
      <c r="J3749" s="1668"/>
      <c r="K3749" s="1668"/>
      <c r="L3749" s="1669"/>
    </row>
    <row r="3750" spans="1:12" s="692" customFormat="1" ht="16.5" hidden="1">
      <c r="A3750" s="1665"/>
      <c r="B3750" s="1666"/>
      <c r="C3750" s="688"/>
      <c r="D3750" s="1667"/>
      <c r="E3750" s="1671">
        <v>3.5</v>
      </c>
      <c r="F3750" s="1671">
        <v>4</v>
      </c>
      <c r="G3750" s="1674"/>
      <c r="H3750" s="1671">
        <f t="shared" si="579"/>
        <v>0</v>
      </c>
      <c r="I3750" s="688" t="s">
        <v>92</v>
      </c>
      <c r="J3750" s="1668"/>
      <c r="K3750" s="1668"/>
      <c r="L3750" s="1669"/>
    </row>
    <row r="3751" spans="1:12" s="692" customFormat="1" ht="16.5" hidden="1">
      <c r="A3751" s="1665"/>
      <c r="B3751" s="1666"/>
      <c r="C3751" s="688"/>
      <c r="D3751" s="1667"/>
      <c r="E3751" s="688"/>
      <c r="F3751" s="688"/>
      <c r="G3751" s="1674" t="s">
        <v>928</v>
      </c>
      <c r="H3751" s="1671">
        <f>SUM(H3745:H3750)</f>
        <v>0</v>
      </c>
      <c r="I3751" s="1668" t="s">
        <v>92</v>
      </c>
      <c r="J3751" s="1669">
        <f>'Lead &amp; ANALYSIS'!L753</f>
        <v>336.4</v>
      </c>
      <c r="K3751" s="1668" t="s">
        <v>1514</v>
      </c>
      <c r="L3751" s="1669">
        <f t="shared" ref="L3751" si="580">ROUND(H3751*J3751,0)</f>
        <v>0</v>
      </c>
    </row>
    <row r="3752" spans="1:12" s="692" customFormat="1" ht="16.5" hidden="1">
      <c r="A3752" s="1665" t="s">
        <v>386</v>
      </c>
      <c r="B3752" s="1666" t="s">
        <v>387</v>
      </c>
      <c r="C3752" s="688"/>
      <c r="D3752" s="1667"/>
      <c r="E3752" s="688"/>
      <c r="F3752" s="688"/>
      <c r="G3752" s="1674"/>
      <c r="H3752" s="688"/>
      <c r="I3752" s="1668"/>
      <c r="J3752" s="1668"/>
      <c r="K3752" s="1668"/>
      <c r="L3752" s="1669"/>
    </row>
    <row r="3753" spans="1:12" s="692" customFormat="1" ht="16.5" hidden="1">
      <c r="A3753" s="1665"/>
      <c r="B3753" s="1666"/>
      <c r="C3753" s="688"/>
      <c r="D3753" s="1667"/>
      <c r="E3753" s="1671">
        <v>3.5</v>
      </c>
      <c r="F3753" s="1671">
        <v>4</v>
      </c>
      <c r="G3753" s="1674"/>
      <c r="H3753" s="1671">
        <f t="shared" ref="H3753:H3758" si="581">ROUND(D3753*E3753*F3753,2)</f>
        <v>0</v>
      </c>
      <c r="I3753" s="688" t="s">
        <v>92</v>
      </c>
      <c r="J3753" s="1668"/>
      <c r="K3753" s="1668"/>
      <c r="L3753" s="1669"/>
    </row>
    <row r="3754" spans="1:12" s="692" customFormat="1" ht="16.5" hidden="1">
      <c r="A3754" s="1665"/>
      <c r="B3754" s="1666"/>
      <c r="C3754" s="688"/>
      <c r="D3754" s="1667"/>
      <c r="E3754" s="1671">
        <v>3.5</v>
      </c>
      <c r="F3754" s="1671">
        <v>4</v>
      </c>
      <c r="G3754" s="1674"/>
      <c r="H3754" s="1671">
        <f t="shared" si="581"/>
        <v>0</v>
      </c>
      <c r="I3754" s="688" t="s">
        <v>92</v>
      </c>
      <c r="J3754" s="1668"/>
      <c r="K3754" s="1668"/>
      <c r="L3754" s="1669"/>
    </row>
    <row r="3755" spans="1:12" s="692" customFormat="1" ht="16.5" hidden="1">
      <c r="A3755" s="1665"/>
      <c r="B3755" s="1666"/>
      <c r="C3755" s="688"/>
      <c r="D3755" s="1667"/>
      <c r="E3755" s="1671">
        <v>3.5</v>
      </c>
      <c r="F3755" s="1671">
        <v>4</v>
      </c>
      <c r="G3755" s="1674"/>
      <c r="H3755" s="1671">
        <f t="shared" si="581"/>
        <v>0</v>
      </c>
      <c r="I3755" s="688" t="s">
        <v>92</v>
      </c>
      <c r="J3755" s="1668"/>
      <c r="K3755" s="1668"/>
      <c r="L3755" s="1669"/>
    </row>
    <row r="3756" spans="1:12" s="692" customFormat="1" ht="16.5" hidden="1">
      <c r="A3756" s="1665"/>
      <c r="B3756" s="1666"/>
      <c r="C3756" s="688"/>
      <c r="D3756" s="1667"/>
      <c r="E3756" s="1671">
        <v>3.5</v>
      </c>
      <c r="F3756" s="1671">
        <v>4</v>
      </c>
      <c r="G3756" s="1674"/>
      <c r="H3756" s="1671">
        <f t="shared" si="581"/>
        <v>0</v>
      </c>
      <c r="I3756" s="688" t="s">
        <v>92</v>
      </c>
      <c r="J3756" s="1668"/>
      <c r="K3756" s="1668"/>
      <c r="L3756" s="1669"/>
    </row>
    <row r="3757" spans="1:12" s="692" customFormat="1" ht="16.5" hidden="1">
      <c r="A3757" s="1665"/>
      <c r="B3757" s="1666"/>
      <c r="C3757" s="688"/>
      <c r="D3757" s="1667"/>
      <c r="E3757" s="1671">
        <v>3.5</v>
      </c>
      <c r="F3757" s="1671">
        <v>4</v>
      </c>
      <c r="G3757" s="1674"/>
      <c r="H3757" s="1671">
        <f t="shared" si="581"/>
        <v>0</v>
      </c>
      <c r="I3757" s="688" t="s">
        <v>92</v>
      </c>
      <c r="J3757" s="1668"/>
      <c r="K3757" s="1668"/>
      <c r="L3757" s="1669"/>
    </row>
    <row r="3758" spans="1:12" s="692" customFormat="1" ht="16.5" hidden="1">
      <c r="A3758" s="1665"/>
      <c r="B3758" s="1666"/>
      <c r="C3758" s="688"/>
      <c r="D3758" s="1667"/>
      <c r="E3758" s="1671">
        <v>3.5</v>
      </c>
      <c r="F3758" s="1671">
        <v>4</v>
      </c>
      <c r="G3758" s="1674"/>
      <c r="H3758" s="1671">
        <f t="shared" si="581"/>
        <v>0</v>
      </c>
      <c r="I3758" s="688" t="s">
        <v>92</v>
      </c>
      <c r="J3758" s="1668"/>
      <c r="K3758" s="1668"/>
      <c r="L3758" s="1669"/>
    </row>
    <row r="3759" spans="1:12" s="692" customFormat="1" ht="16.5" hidden="1">
      <c r="A3759" s="1665"/>
      <c r="B3759" s="1666"/>
      <c r="C3759" s="688"/>
      <c r="D3759" s="1667"/>
      <c r="E3759" s="688"/>
      <c r="F3759" s="688"/>
      <c r="G3759" s="1674" t="s">
        <v>928</v>
      </c>
      <c r="H3759" s="1671">
        <f>SUM(H3753:H3758)</f>
        <v>0</v>
      </c>
      <c r="I3759" s="1668" t="s">
        <v>92</v>
      </c>
      <c r="J3759" s="1669">
        <f>'Lead &amp; ANALYSIS'!L754</f>
        <v>1155</v>
      </c>
      <c r="K3759" s="1668" t="s">
        <v>1514</v>
      </c>
      <c r="L3759" s="1669">
        <f t="shared" ref="L3759" si="582">ROUND(H3759*J3759,0)</f>
        <v>0</v>
      </c>
    </row>
    <row r="3760" spans="1:12" s="692" customFormat="1" ht="16.5" hidden="1">
      <c r="A3760" s="1665" t="s">
        <v>432</v>
      </c>
      <c r="B3760" s="1666" t="s">
        <v>3622</v>
      </c>
      <c r="C3760" s="688"/>
      <c r="D3760" s="1667"/>
      <c r="E3760" s="688"/>
      <c r="F3760" s="688"/>
      <c r="G3760" s="1674"/>
      <c r="H3760" s="688"/>
      <c r="I3760" s="1668"/>
      <c r="J3760" s="1668"/>
      <c r="K3760" s="1668"/>
      <c r="L3760" s="1669"/>
    </row>
    <row r="3761" spans="1:12" s="692" customFormat="1" ht="16.5" hidden="1">
      <c r="A3761" s="1665"/>
      <c r="B3761" s="1666"/>
      <c r="C3761" s="688"/>
      <c r="D3761" s="1667"/>
      <c r="E3761" s="1671">
        <v>3.5</v>
      </c>
      <c r="F3761" s="1672"/>
      <c r="G3761" s="1671">
        <v>4</v>
      </c>
      <c r="H3761" s="1671">
        <f t="shared" ref="H3761:H3766" si="583">ROUND(D3761*E3761*G3761,2)</f>
        <v>0</v>
      </c>
      <c r="I3761" s="1671" t="s">
        <v>92</v>
      </c>
      <c r="J3761" s="1668"/>
      <c r="K3761" s="1668"/>
      <c r="L3761" s="1669"/>
    </row>
    <row r="3762" spans="1:12" s="692" customFormat="1" ht="16.5" hidden="1">
      <c r="A3762" s="1665"/>
      <c r="B3762" s="1666"/>
      <c r="C3762" s="688"/>
      <c r="D3762" s="1667"/>
      <c r="E3762" s="1671">
        <v>3.5</v>
      </c>
      <c r="F3762" s="1672"/>
      <c r="G3762" s="1671">
        <v>4</v>
      </c>
      <c r="H3762" s="1671">
        <f t="shared" si="583"/>
        <v>0</v>
      </c>
      <c r="I3762" s="1671" t="s">
        <v>92</v>
      </c>
      <c r="J3762" s="1668"/>
      <c r="K3762" s="1668"/>
      <c r="L3762" s="1669"/>
    </row>
    <row r="3763" spans="1:12" s="692" customFormat="1" ht="16.5" hidden="1">
      <c r="A3763" s="1665"/>
      <c r="B3763" s="1666"/>
      <c r="C3763" s="688"/>
      <c r="D3763" s="1667"/>
      <c r="E3763" s="1671">
        <v>3.5</v>
      </c>
      <c r="F3763" s="1672"/>
      <c r="G3763" s="1671">
        <v>4</v>
      </c>
      <c r="H3763" s="1671">
        <f t="shared" si="583"/>
        <v>0</v>
      </c>
      <c r="I3763" s="1671" t="s">
        <v>92</v>
      </c>
      <c r="J3763" s="1668"/>
      <c r="K3763" s="1668"/>
      <c r="L3763" s="1669"/>
    </row>
    <row r="3764" spans="1:12" s="692" customFormat="1" ht="16.5" hidden="1">
      <c r="A3764" s="1665"/>
      <c r="B3764" s="1666"/>
      <c r="C3764" s="688"/>
      <c r="D3764" s="1667"/>
      <c r="E3764" s="1671">
        <v>3.5</v>
      </c>
      <c r="F3764" s="1672"/>
      <c r="G3764" s="1671">
        <v>4</v>
      </c>
      <c r="H3764" s="1671">
        <f t="shared" si="583"/>
        <v>0</v>
      </c>
      <c r="I3764" s="1671" t="s">
        <v>92</v>
      </c>
      <c r="J3764" s="1668"/>
      <c r="K3764" s="1668"/>
      <c r="L3764" s="1669"/>
    </row>
    <row r="3765" spans="1:12" s="692" customFormat="1" ht="16.5" hidden="1">
      <c r="A3765" s="1665"/>
      <c r="B3765" s="1666"/>
      <c r="C3765" s="688"/>
      <c r="D3765" s="1667"/>
      <c r="E3765" s="1671">
        <v>3.5</v>
      </c>
      <c r="F3765" s="1672"/>
      <c r="G3765" s="1671">
        <v>4</v>
      </c>
      <c r="H3765" s="1671">
        <f t="shared" si="583"/>
        <v>0</v>
      </c>
      <c r="I3765" s="1671" t="s">
        <v>92</v>
      </c>
      <c r="J3765" s="1668"/>
      <c r="K3765" s="1668"/>
      <c r="L3765" s="1669"/>
    </row>
    <row r="3766" spans="1:12" s="692" customFormat="1" ht="16.5" hidden="1">
      <c r="A3766" s="1665"/>
      <c r="B3766" s="1666"/>
      <c r="C3766" s="688"/>
      <c r="D3766" s="1667"/>
      <c r="E3766" s="1671">
        <v>3.5</v>
      </c>
      <c r="F3766" s="1672"/>
      <c r="G3766" s="1671">
        <v>4</v>
      </c>
      <c r="H3766" s="1671">
        <f t="shared" si="583"/>
        <v>0</v>
      </c>
      <c r="I3766" s="1671" t="s">
        <v>92</v>
      </c>
      <c r="J3766" s="1668"/>
      <c r="K3766" s="1668"/>
      <c r="L3766" s="1669"/>
    </row>
    <row r="3767" spans="1:12" s="692" customFormat="1" ht="16.5" hidden="1">
      <c r="A3767" s="1665"/>
      <c r="B3767" s="1666"/>
      <c r="C3767" s="688"/>
      <c r="D3767" s="1667"/>
      <c r="E3767" s="688"/>
      <c r="F3767" s="688"/>
      <c r="G3767" s="1665" t="s">
        <v>928</v>
      </c>
      <c r="H3767" s="1673">
        <f>SUM(H3761:H3766)</f>
        <v>0</v>
      </c>
      <c r="I3767" s="1668" t="s">
        <v>92</v>
      </c>
      <c r="J3767" s="1669">
        <f>'Lead &amp; ANALYSIS'!L755</f>
        <v>1166.0999999999999</v>
      </c>
      <c r="K3767" s="1668" t="s">
        <v>1514</v>
      </c>
      <c r="L3767" s="1669">
        <f t="shared" ref="L3767" si="584">ROUND(H3767*J3767,0)</f>
        <v>0</v>
      </c>
    </row>
    <row r="3768" spans="1:12" s="692" customFormat="1" ht="16.5" hidden="1">
      <c r="A3768" s="1665" t="s">
        <v>443</v>
      </c>
      <c r="B3768" s="1666" t="s">
        <v>3636</v>
      </c>
      <c r="C3768" s="688"/>
      <c r="D3768" s="1667"/>
      <c r="E3768" s="688"/>
      <c r="F3768" s="688"/>
      <c r="G3768" s="1674"/>
      <c r="H3768" s="688"/>
      <c r="I3768" s="1668"/>
      <c r="J3768" s="1668"/>
      <c r="K3768" s="1668"/>
      <c r="L3768" s="1669"/>
    </row>
    <row r="3769" spans="1:12" s="692" customFormat="1" ht="16.5" hidden="1">
      <c r="A3769" s="1665"/>
      <c r="B3769" s="1666"/>
      <c r="C3769" s="688"/>
      <c r="D3769" s="1667"/>
      <c r="E3769" s="1671">
        <v>3.5</v>
      </c>
      <c r="F3769" s="1672"/>
      <c r="G3769" s="1671">
        <v>4</v>
      </c>
      <c r="H3769" s="1671">
        <f t="shared" ref="H3769:H3774" si="585">ROUND(D3769*E3769*G3769,2)</f>
        <v>0</v>
      </c>
      <c r="I3769" s="1671" t="s">
        <v>92</v>
      </c>
      <c r="J3769" s="1668"/>
      <c r="K3769" s="1668"/>
      <c r="L3769" s="1669"/>
    </row>
    <row r="3770" spans="1:12" s="692" customFormat="1" ht="16.5" hidden="1">
      <c r="A3770" s="1665"/>
      <c r="B3770" s="1666"/>
      <c r="C3770" s="688"/>
      <c r="D3770" s="1667"/>
      <c r="E3770" s="1671">
        <v>3.5</v>
      </c>
      <c r="F3770" s="1672"/>
      <c r="G3770" s="1671">
        <v>4</v>
      </c>
      <c r="H3770" s="1671">
        <f t="shared" si="585"/>
        <v>0</v>
      </c>
      <c r="I3770" s="1671" t="s">
        <v>92</v>
      </c>
      <c r="J3770" s="1668"/>
      <c r="K3770" s="1668"/>
      <c r="L3770" s="1669"/>
    </row>
    <row r="3771" spans="1:12" s="692" customFormat="1" ht="16.5" hidden="1">
      <c r="A3771" s="1665"/>
      <c r="B3771" s="1666"/>
      <c r="C3771" s="688"/>
      <c r="D3771" s="1667"/>
      <c r="E3771" s="1671">
        <v>3.5</v>
      </c>
      <c r="F3771" s="1672"/>
      <c r="G3771" s="1671">
        <v>4</v>
      </c>
      <c r="H3771" s="1671">
        <f t="shared" si="585"/>
        <v>0</v>
      </c>
      <c r="I3771" s="1671" t="s">
        <v>92</v>
      </c>
      <c r="J3771" s="1668"/>
      <c r="K3771" s="1668"/>
      <c r="L3771" s="1669"/>
    </row>
    <row r="3772" spans="1:12" s="692" customFormat="1" ht="16.5" hidden="1">
      <c r="A3772" s="1665"/>
      <c r="B3772" s="1666"/>
      <c r="C3772" s="688"/>
      <c r="D3772" s="1667"/>
      <c r="E3772" s="1671">
        <v>3.5</v>
      </c>
      <c r="F3772" s="1672"/>
      <c r="G3772" s="1671">
        <v>4</v>
      </c>
      <c r="H3772" s="1671">
        <f t="shared" si="585"/>
        <v>0</v>
      </c>
      <c r="I3772" s="1671" t="s">
        <v>92</v>
      </c>
      <c r="J3772" s="1668"/>
      <c r="K3772" s="1668"/>
      <c r="L3772" s="1669"/>
    </row>
    <row r="3773" spans="1:12" s="692" customFormat="1" ht="16.5" hidden="1">
      <c r="A3773" s="1665"/>
      <c r="B3773" s="1666"/>
      <c r="C3773" s="688"/>
      <c r="D3773" s="1667"/>
      <c r="E3773" s="1671">
        <v>3.5</v>
      </c>
      <c r="F3773" s="1672"/>
      <c r="G3773" s="1671">
        <v>4</v>
      </c>
      <c r="H3773" s="1671">
        <f t="shared" si="585"/>
        <v>0</v>
      </c>
      <c r="I3773" s="1671" t="s">
        <v>92</v>
      </c>
      <c r="J3773" s="1668"/>
      <c r="K3773" s="1668"/>
      <c r="L3773" s="1669"/>
    </row>
    <row r="3774" spans="1:12" s="692" customFormat="1" ht="16.5" hidden="1">
      <c r="A3774" s="1665"/>
      <c r="B3774" s="1666"/>
      <c r="C3774" s="688"/>
      <c r="D3774" s="1667"/>
      <c r="E3774" s="1671">
        <v>3.5</v>
      </c>
      <c r="F3774" s="1672"/>
      <c r="G3774" s="1671">
        <v>4</v>
      </c>
      <c r="H3774" s="1671">
        <f t="shared" si="585"/>
        <v>0</v>
      </c>
      <c r="I3774" s="1671" t="s">
        <v>92</v>
      </c>
      <c r="J3774" s="1668"/>
      <c r="K3774" s="1668"/>
      <c r="L3774" s="1669"/>
    </row>
    <row r="3775" spans="1:12" s="692" customFormat="1" ht="16.5" hidden="1">
      <c r="A3775" s="1665"/>
      <c r="B3775" s="1666"/>
      <c r="C3775" s="688"/>
      <c r="D3775" s="1667"/>
      <c r="E3775" s="688"/>
      <c r="F3775" s="688"/>
      <c r="G3775" s="1665" t="s">
        <v>928</v>
      </c>
      <c r="H3775" s="1673">
        <f>SUM(H3769:H3774)</f>
        <v>0</v>
      </c>
      <c r="I3775" s="1668" t="s">
        <v>92</v>
      </c>
      <c r="J3775" s="1669">
        <f>'Lead &amp; ANALYSIS'!L756</f>
        <v>1177.7</v>
      </c>
      <c r="K3775" s="1668" t="s">
        <v>1514</v>
      </c>
      <c r="L3775" s="1669">
        <f t="shared" ref="L3775" si="586">ROUND(H3775*J3775,0)</f>
        <v>0</v>
      </c>
    </row>
    <row r="3776" spans="1:12" s="692" customFormat="1" ht="16.5">
      <c r="A3776" s="1665" t="s">
        <v>470</v>
      </c>
      <c r="B3776" s="1666" t="s">
        <v>236</v>
      </c>
      <c r="C3776" s="688"/>
      <c r="D3776" s="1667"/>
      <c r="E3776" s="688"/>
      <c r="F3776" s="688"/>
      <c r="G3776" s="1674"/>
      <c r="H3776" s="688"/>
      <c r="I3776" s="1668"/>
      <c r="J3776" s="1668"/>
      <c r="K3776" s="1668"/>
      <c r="L3776" s="1669"/>
    </row>
    <row r="3777" spans="1:12" s="692" customFormat="1" ht="16.5" hidden="1">
      <c r="A3777" s="1665" t="s">
        <v>383</v>
      </c>
      <c r="B3777" s="1666" t="s">
        <v>384</v>
      </c>
      <c r="C3777" s="688"/>
      <c r="D3777" s="1667"/>
      <c r="E3777" s="688"/>
      <c r="F3777" s="688"/>
      <c r="G3777" s="1674"/>
      <c r="H3777" s="688"/>
      <c r="I3777" s="1668"/>
      <c r="J3777" s="1668"/>
      <c r="K3777" s="1668"/>
      <c r="L3777" s="1669"/>
    </row>
    <row r="3778" spans="1:12" s="692" customFormat="1" ht="16.5">
      <c r="A3778" s="1665"/>
      <c r="B3778" s="1666" t="s">
        <v>2979</v>
      </c>
      <c r="C3778" s="688"/>
      <c r="D3778" s="1667">
        <v>2</v>
      </c>
      <c r="E3778" s="1671">
        <v>8.25</v>
      </c>
      <c r="F3778" s="1671">
        <v>6.1</v>
      </c>
      <c r="G3778" s="1674"/>
      <c r="H3778" s="1671">
        <f t="shared" ref="H3778:H3783" si="587">ROUND(D3778*E3778*F3778,2)</f>
        <v>100.65</v>
      </c>
      <c r="I3778" s="688" t="s">
        <v>92</v>
      </c>
      <c r="J3778" s="1668"/>
      <c r="K3778" s="1668"/>
      <c r="L3778" s="1669"/>
    </row>
    <row r="3779" spans="1:12" s="692" customFormat="1" ht="16.5">
      <c r="A3779" s="1665"/>
      <c r="B3779" s="1666" t="s">
        <v>1780</v>
      </c>
      <c r="C3779" s="688"/>
      <c r="D3779" s="1667">
        <v>1</v>
      </c>
      <c r="E3779" s="1671">
        <v>16.75</v>
      </c>
      <c r="F3779" s="1671">
        <v>1.8</v>
      </c>
      <c r="G3779" s="1674"/>
      <c r="H3779" s="1671">
        <f t="shared" si="587"/>
        <v>30.15</v>
      </c>
      <c r="I3779" s="688" t="s">
        <v>92</v>
      </c>
      <c r="J3779" s="1668"/>
      <c r="K3779" s="1668"/>
      <c r="L3779" s="1669"/>
    </row>
    <row r="3780" spans="1:12" s="692" customFormat="1" ht="16.5">
      <c r="A3780" s="1665"/>
      <c r="B3780" s="1666" t="s">
        <v>3500</v>
      </c>
      <c r="C3780" s="688"/>
      <c r="D3780" s="1667">
        <v>4</v>
      </c>
      <c r="E3780" s="1671">
        <v>4</v>
      </c>
      <c r="F3780" s="1671">
        <v>0.25</v>
      </c>
      <c r="G3780" s="1674"/>
      <c r="H3780" s="1671">
        <f t="shared" si="587"/>
        <v>4</v>
      </c>
      <c r="I3780" s="688" t="s">
        <v>92</v>
      </c>
      <c r="J3780" s="1668"/>
      <c r="K3780" s="1668"/>
      <c r="L3780" s="1669"/>
    </row>
    <row r="3781" spans="1:12" s="692" customFormat="1" ht="16.5">
      <c r="A3781" s="1665"/>
      <c r="B3781" s="1666"/>
      <c r="C3781" s="688"/>
      <c r="D3781" s="1667">
        <v>2</v>
      </c>
      <c r="E3781" s="1671">
        <v>1.8</v>
      </c>
      <c r="F3781" s="1671">
        <v>0.25</v>
      </c>
      <c r="G3781" s="1674"/>
      <c r="H3781" s="1671">
        <f t="shared" si="587"/>
        <v>0.9</v>
      </c>
      <c r="I3781" s="688" t="s">
        <v>92</v>
      </c>
      <c r="J3781" s="1668"/>
      <c r="K3781" s="1668"/>
      <c r="L3781" s="1669"/>
    </row>
    <row r="3782" spans="1:12" s="692" customFormat="1" ht="16.5">
      <c r="A3782" s="1665"/>
      <c r="B3782" s="1666" t="s">
        <v>2992</v>
      </c>
      <c r="C3782" s="688"/>
      <c r="D3782" s="1667">
        <v>4</v>
      </c>
      <c r="E3782" s="1671">
        <v>1.2</v>
      </c>
      <c r="F3782" s="1671">
        <v>0.25</v>
      </c>
      <c r="G3782" s="1674"/>
      <c r="H3782" s="1671">
        <f t="shared" si="587"/>
        <v>1.2</v>
      </c>
      <c r="I3782" s="688" t="s">
        <v>92</v>
      </c>
      <c r="J3782" s="1668"/>
      <c r="K3782" s="1668"/>
      <c r="L3782" s="1669"/>
    </row>
    <row r="3783" spans="1:12" s="692" customFormat="1" ht="16.5" hidden="1">
      <c r="A3783" s="1665"/>
      <c r="B3783" s="1666"/>
      <c r="C3783" s="688"/>
      <c r="D3783" s="1667"/>
      <c r="E3783" s="1671">
        <v>3.5</v>
      </c>
      <c r="F3783" s="1671">
        <v>4</v>
      </c>
      <c r="G3783" s="1674"/>
      <c r="H3783" s="1671">
        <f t="shared" si="587"/>
        <v>0</v>
      </c>
      <c r="I3783" s="688" t="s">
        <v>92</v>
      </c>
      <c r="J3783" s="1668"/>
      <c r="K3783" s="1668"/>
      <c r="L3783" s="1669"/>
    </row>
    <row r="3784" spans="1:12" s="692" customFormat="1" ht="16.5">
      <c r="A3784" s="1665"/>
      <c r="B3784" s="1666"/>
      <c r="C3784" s="688"/>
      <c r="D3784" s="1667"/>
      <c r="E3784" s="688"/>
      <c r="F3784" s="688"/>
      <c r="G3784" s="1674" t="s">
        <v>928</v>
      </c>
      <c r="H3784" s="1671">
        <f>SUM(H3778:H3783)</f>
        <v>136.9</v>
      </c>
      <c r="I3784" s="1668" t="s">
        <v>92</v>
      </c>
      <c r="J3784" s="1669">
        <f>'Lead &amp; ANALYSIS'!L758</f>
        <v>1092.5999999999999</v>
      </c>
      <c r="K3784" s="1668" t="s">
        <v>1514</v>
      </c>
      <c r="L3784" s="1669">
        <f t="shared" ref="L3784" si="588">ROUND(H3784*J3784,0)</f>
        <v>149577</v>
      </c>
    </row>
    <row r="3785" spans="1:12" s="692" customFormat="1" ht="16.5" hidden="1">
      <c r="A3785" s="1665" t="s">
        <v>386</v>
      </c>
      <c r="B3785" s="1666" t="s">
        <v>387</v>
      </c>
      <c r="C3785" s="688"/>
      <c r="D3785" s="1667"/>
      <c r="E3785" s="688"/>
      <c r="F3785" s="688"/>
      <c r="G3785" s="1674"/>
      <c r="H3785" s="688"/>
      <c r="I3785" s="1668"/>
      <c r="J3785" s="1668"/>
      <c r="K3785" s="1668"/>
      <c r="L3785" s="1669"/>
    </row>
    <row r="3786" spans="1:12" s="692" customFormat="1" ht="16.5" hidden="1">
      <c r="A3786" s="1665"/>
      <c r="B3786" s="1666"/>
      <c r="C3786" s="688"/>
      <c r="D3786" s="1667"/>
      <c r="E3786" s="1671">
        <v>3.5</v>
      </c>
      <c r="F3786" s="1671">
        <v>4</v>
      </c>
      <c r="G3786" s="1674"/>
      <c r="H3786" s="1671">
        <f t="shared" ref="H3786:H3791" si="589">ROUND(D3786*E3786*F3786,2)</f>
        <v>0</v>
      </c>
      <c r="I3786" s="688" t="s">
        <v>92</v>
      </c>
      <c r="J3786" s="1668"/>
      <c r="K3786" s="1668"/>
      <c r="L3786" s="1669"/>
    </row>
    <row r="3787" spans="1:12" s="692" customFormat="1" ht="16.5" hidden="1">
      <c r="A3787" s="1665"/>
      <c r="B3787" s="1666"/>
      <c r="C3787" s="688"/>
      <c r="D3787" s="1667"/>
      <c r="E3787" s="1671">
        <v>3.5</v>
      </c>
      <c r="F3787" s="1671">
        <v>4</v>
      </c>
      <c r="G3787" s="1674"/>
      <c r="H3787" s="1671">
        <f t="shared" si="589"/>
        <v>0</v>
      </c>
      <c r="I3787" s="688" t="s">
        <v>92</v>
      </c>
      <c r="J3787" s="1668"/>
      <c r="K3787" s="1668"/>
      <c r="L3787" s="1669"/>
    </row>
    <row r="3788" spans="1:12" s="692" customFormat="1" ht="16.5" hidden="1">
      <c r="A3788" s="1665"/>
      <c r="B3788" s="1666"/>
      <c r="C3788" s="688"/>
      <c r="D3788" s="1667"/>
      <c r="E3788" s="1671">
        <v>3.5</v>
      </c>
      <c r="F3788" s="1671">
        <v>4</v>
      </c>
      <c r="G3788" s="1674"/>
      <c r="H3788" s="1671">
        <f t="shared" si="589"/>
        <v>0</v>
      </c>
      <c r="I3788" s="688" t="s">
        <v>92</v>
      </c>
      <c r="J3788" s="1668"/>
      <c r="K3788" s="1668"/>
      <c r="L3788" s="1669"/>
    </row>
    <row r="3789" spans="1:12" s="692" customFormat="1" ht="16.5" hidden="1">
      <c r="A3789" s="1665"/>
      <c r="B3789" s="1666"/>
      <c r="C3789" s="688"/>
      <c r="D3789" s="1667"/>
      <c r="E3789" s="1671">
        <v>3.5</v>
      </c>
      <c r="F3789" s="1671">
        <v>4</v>
      </c>
      <c r="G3789" s="1674"/>
      <c r="H3789" s="1671">
        <f t="shared" si="589"/>
        <v>0</v>
      </c>
      <c r="I3789" s="688" t="s">
        <v>92</v>
      </c>
      <c r="J3789" s="1668"/>
      <c r="K3789" s="1668"/>
      <c r="L3789" s="1669"/>
    </row>
    <row r="3790" spans="1:12" s="692" customFormat="1" ht="16.5" hidden="1">
      <c r="A3790" s="1665"/>
      <c r="B3790" s="1666"/>
      <c r="C3790" s="688"/>
      <c r="D3790" s="1667"/>
      <c r="E3790" s="1671">
        <v>3.5</v>
      </c>
      <c r="F3790" s="1671">
        <v>4</v>
      </c>
      <c r="G3790" s="1674"/>
      <c r="H3790" s="1671">
        <f t="shared" si="589"/>
        <v>0</v>
      </c>
      <c r="I3790" s="688" t="s">
        <v>92</v>
      </c>
      <c r="J3790" s="1668"/>
      <c r="K3790" s="1668"/>
      <c r="L3790" s="1669"/>
    </row>
    <row r="3791" spans="1:12" s="692" customFormat="1" ht="16.5" hidden="1">
      <c r="A3791" s="1665"/>
      <c r="B3791" s="1666"/>
      <c r="C3791" s="688"/>
      <c r="D3791" s="1667"/>
      <c r="E3791" s="1671">
        <v>3.5</v>
      </c>
      <c r="F3791" s="1671">
        <v>4</v>
      </c>
      <c r="G3791" s="1674"/>
      <c r="H3791" s="1671">
        <f t="shared" si="589"/>
        <v>0</v>
      </c>
      <c r="I3791" s="688" t="s">
        <v>92</v>
      </c>
      <c r="J3791" s="1668"/>
      <c r="K3791" s="1668"/>
      <c r="L3791" s="1669"/>
    </row>
    <row r="3792" spans="1:12" s="692" customFormat="1" ht="16.5" hidden="1">
      <c r="A3792" s="1665"/>
      <c r="B3792" s="1666"/>
      <c r="C3792" s="688"/>
      <c r="D3792" s="1667"/>
      <c r="E3792" s="688"/>
      <c r="F3792" s="688"/>
      <c r="G3792" s="1674" t="s">
        <v>928</v>
      </c>
      <c r="H3792" s="1671">
        <f>SUM(H3786:H3791)</f>
        <v>0</v>
      </c>
      <c r="I3792" s="1668" t="s">
        <v>92</v>
      </c>
      <c r="J3792" s="1669">
        <f>'Lead &amp; ANALYSIS'!L759</f>
        <v>1103.0999999999999</v>
      </c>
      <c r="K3792" s="1668" t="s">
        <v>1514</v>
      </c>
      <c r="L3792" s="1669">
        <f t="shared" ref="L3792" si="590">ROUND(H3792*J3792,0)</f>
        <v>0</v>
      </c>
    </row>
    <row r="3793" spans="1:12" s="692" customFormat="1" ht="16.5" hidden="1">
      <c r="A3793" s="1665" t="s">
        <v>432</v>
      </c>
      <c r="B3793" s="1666" t="s">
        <v>3622</v>
      </c>
      <c r="C3793" s="688"/>
      <c r="D3793" s="1667"/>
      <c r="E3793" s="688"/>
      <c r="F3793" s="688"/>
      <c r="G3793" s="1674"/>
      <c r="H3793" s="688"/>
      <c r="I3793" s="1668"/>
      <c r="J3793" s="1668"/>
      <c r="K3793" s="1668"/>
      <c r="L3793" s="1669"/>
    </row>
    <row r="3794" spans="1:12" s="692" customFormat="1" ht="16.5" hidden="1">
      <c r="A3794" s="1665"/>
      <c r="B3794" s="1666"/>
      <c r="C3794" s="688"/>
      <c r="D3794" s="1667"/>
      <c r="E3794" s="1671">
        <v>3.5</v>
      </c>
      <c r="F3794" s="1672"/>
      <c r="G3794" s="1671">
        <v>4</v>
      </c>
      <c r="H3794" s="1671">
        <f t="shared" ref="H3794:H3799" si="591">ROUND(D3794*E3794*G3794,2)</f>
        <v>0</v>
      </c>
      <c r="I3794" s="1671" t="s">
        <v>92</v>
      </c>
      <c r="J3794" s="1668"/>
      <c r="K3794" s="1668"/>
      <c r="L3794" s="1669"/>
    </row>
    <row r="3795" spans="1:12" s="692" customFormat="1" ht="16.5" hidden="1">
      <c r="A3795" s="1665"/>
      <c r="B3795" s="1666"/>
      <c r="C3795" s="688"/>
      <c r="D3795" s="1667"/>
      <c r="E3795" s="1671">
        <v>3.5</v>
      </c>
      <c r="F3795" s="1672"/>
      <c r="G3795" s="1671">
        <v>4</v>
      </c>
      <c r="H3795" s="1671">
        <f t="shared" si="591"/>
        <v>0</v>
      </c>
      <c r="I3795" s="1671" t="s">
        <v>92</v>
      </c>
      <c r="J3795" s="1668"/>
      <c r="K3795" s="1668"/>
      <c r="L3795" s="1669"/>
    </row>
    <row r="3796" spans="1:12" s="692" customFormat="1" ht="16.5" hidden="1">
      <c r="A3796" s="1665"/>
      <c r="B3796" s="1666"/>
      <c r="C3796" s="688"/>
      <c r="D3796" s="1667"/>
      <c r="E3796" s="1671">
        <v>3.5</v>
      </c>
      <c r="F3796" s="1672"/>
      <c r="G3796" s="1671">
        <v>4</v>
      </c>
      <c r="H3796" s="1671">
        <f t="shared" si="591"/>
        <v>0</v>
      </c>
      <c r="I3796" s="1671" t="s">
        <v>92</v>
      </c>
      <c r="J3796" s="1668"/>
      <c r="K3796" s="1668"/>
      <c r="L3796" s="1669"/>
    </row>
    <row r="3797" spans="1:12" s="692" customFormat="1" ht="16.5" hidden="1">
      <c r="A3797" s="1665"/>
      <c r="B3797" s="1666"/>
      <c r="C3797" s="688"/>
      <c r="D3797" s="1667"/>
      <c r="E3797" s="1671">
        <v>3.5</v>
      </c>
      <c r="F3797" s="1672"/>
      <c r="G3797" s="1671">
        <v>4</v>
      </c>
      <c r="H3797" s="1671">
        <f t="shared" si="591"/>
        <v>0</v>
      </c>
      <c r="I3797" s="1671" t="s">
        <v>92</v>
      </c>
      <c r="J3797" s="1668"/>
      <c r="K3797" s="1668"/>
      <c r="L3797" s="1669"/>
    </row>
    <row r="3798" spans="1:12" s="692" customFormat="1" ht="16.5" hidden="1">
      <c r="A3798" s="1665"/>
      <c r="B3798" s="1666"/>
      <c r="C3798" s="688"/>
      <c r="D3798" s="1667"/>
      <c r="E3798" s="1671">
        <v>3.5</v>
      </c>
      <c r="F3798" s="1672"/>
      <c r="G3798" s="1671">
        <v>4</v>
      </c>
      <c r="H3798" s="1671">
        <f t="shared" si="591"/>
        <v>0</v>
      </c>
      <c r="I3798" s="1671" t="s">
        <v>92</v>
      </c>
      <c r="J3798" s="1668"/>
      <c r="K3798" s="1668"/>
      <c r="L3798" s="1669"/>
    </row>
    <row r="3799" spans="1:12" s="692" customFormat="1" ht="16.5" hidden="1">
      <c r="A3799" s="1665"/>
      <c r="B3799" s="1666"/>
      <c r="C3799" s="688"/>
      <c r="D3799" s="1667"/>
      <c r="E3799" s="1671">
        <v>3.5</v>
      </c>
      <c r="F3799" s="1672"/>
      <c r="G3799" s="1671">
        <v>4</v>
      </c>
      <c r="H3799" s="1671">
        <f t="shared" si="591"/>
        <v>0</v>
      </c>
      <c r="I3799" s="1671" t="s">
        <v>92</v>
      </c>
      <c r="J3799" s="1668"/>
      <c r="K3799" s="1668"/>
      <c r="L3799" s="1669"/>
    </row>
    <row r="3800" spans="1:12" s="692" customFormat="1" ht="16.5" hidden="1">
      <c r="A3800" s="1665"/>
      <c r="B3800" s="1666"/>
      <c r="C3800" s="688"/>
      <c r="D3800" s="1667"/>
      <c r="E3800" s="688"/>
      <c r="F3800" s="688"/>
      <c r="G3800" s="1665" t="s">
        <v>928</v>
      </c>
      <c r="H3800" s="1673">
        <f>SUM(H3794:H3799)</f>
        <v>0</v>
      </c>
      <c r="I3800" s="1668" t="s">
        <v>92</v>
      </c>
      <c r="J3800" s="1669">
        <f>'Lead &amp; ANALYSIS'!L760</f>
        <v>1114.2</v>
      </c>
      <c r="K3800" s="1668" t="s">
        <v>1514</v>
      </c>
      <c r="L3800" s="1669">
        <f t="shared" ref="L3800" si="592">ROUND(H3800*J3800,0)</f>
        <v>0</v>
      </c>
    </row>
    <row r="3801" spans="1:12" s="692" customFormat="1" ht="16.5" hidden="1">
      <c r="A3801" s="1665" t="s">
        <v>443</v>
      </c>
      <c r="B3801" s="1666" t="s">
        <v>3636</v>
      </c>
      <c r="C3801" s="688"/>
      <c r="D3801" s="1667"/>
      <c r="E3801" s="688"/>
      <c r="F3801" s="688"/>
      <c r="G3801" s="1674"/>
      <c r="H3801" s="688"/>
      <c r="I3801" s="1668"/>
      <c r="J3801" s="1668"/>
      <c r="K3801" s="1668"/>
      <c r="L3801" s="1669"/>
    </row>
    <row r="3802" spans="1:12" s="692" customFormat="1" ht="16.5" hidden="1">
      <c r="A3802" s="1665"/>
      <c r="B3802" s="1666"/>
      <c r="C3802" s="688"/>
      <c r="D3802" s="1667"/>
      <c r="E3802" s="1671">
        <v>3.5</v>
      </c>
      <c r="F3802" s="1672"/>
      <c r="G3802" s="1671">
        <v>4</v>
      </c>
      <c r="H3802" s="1671">
        <f t="shared" ref="H3802:H3807" si="593">ROUND(D3802*E3802*G3802,2)</f>
        <v>0</v>
      </c>
      <c r="I3802" s="1671" t="s">
        <v>92</v>
      </c>
      <c r="J3802" s="1668"/>
      <c r="K3802" s="1668"/>
      <c r="L3802" s="1669"/>
    </row>
    <row r="3803" spans="1:12" s="692" customFormat="1" ht="16.5" hidden="1">
      <c r="A3803" s="1665"/>
      <c r="B3803" s="1666"/>
      <c r="C3803" s="688"/>
      <c r="D3803" s="1667"/>
      <c r="E3803" s="1671">
        <v>3.5</v>
      </c>
      <c r="F3803" s="1672"/>
      <c r="G3803" s="1671">
        <v>4</v>
      </c>
      <c r="H3803" s="1671">
        <f t="shared" si="593"/>
        <v>0</v>
      </c>
      <c r="I3803" s="1671" t="s">
        <v>92</v>
      </c>
      <c r="J3803" s="1668"/>
      <c r="K3803" s="1668"/>
      <c r="L3803" s="1669"/>
    </row>
    <row r="3804" spans="1:12" s="692" customFormat="1" ht="16.5" hidden="1">
      <c r="A3804" s="1665"/>
      <c r="B3804" s="1666"/>
      <c r="C3804" s="688"/>
      <c r="D3804" s="1667"/>
      <c r="E3804" s="1671">
        <v>3.5</v>
      </c>
      <c r="F3804" s="1672"/>
      <c r="G3804" s="1671">
        <v>4</v>
      </c>
      <c r="H3804" s="1671">
        <f t="shared" si="593"/>
        <v>0</v>
      </c>
      <c r="I3804" s="1671" t="s">
        <v>92</v>
      </c>
      <c r="J3804" s="1668"/>
      <c r="K3804" s="1668"/>
      <c r="L3804" s="1669"/>
    </row>
    <row r="3805" spans="1:12" s="692" customFormat="1" ht="16.5" hidden="1">
      <c r="A3805" s="1665"/>
      <c r="B3805" s="1666"/>
      <c r="C3805" s="688"/>
      <c r="D3805" s="1667"/>
      <c r="E3805" s="1671">
        <v>3.5</v>
      </c>
      <c r="F3805" s="1672"/>
      <c r="G3805" s="1671">
        <v>4</v>
      </c>
      <c r="H3805" s="1671">
        <f t="shared" si="593"/>
        <v>0</v>
      </c>
      <c r="I3805" s="1671" t="s">
        <v>92</v>
      </c>
      <c r="J3805" s="1668"/>
      <c r="K3805" s="1668"/>
      <c r="L3805" s="1669"/>
    </row>
    <row r="3806" spans="1:12" s="692" customFormat="1" ht="16.5" hidden="1">
      <c r="A3806" s="1665"/>
      <c r="B3806" s="1666"/>
      <c r="C3806" s="688"/>
      <c r="D3806" s="1667"/>
      <c r="E3806" s="1671">
        <v>3.5</v>
      </c>
      <c r="F3806" s="1672"/>
      <c r="G3806" s="1671">
        <v>4</v>
      </c>
      <c r="H3806" s="1671">
        <f t="shared" si="593"/>
        <v>0</v>
      </c>
      <c r="I3806" s="1671" t="s">
        <v>92</v>
      </c>
      <c r="J3806" s="1668"/>
      <c r="K3806" s="1668"/>
      <c r="L3806" s="1669"/>
    </row>
    <row r="3807" spans="1:12" s="692" customFormat="1" ht="16.5" hidden="1">
      <c r="A3807" s="1665"/>
      <c r="B3807" s="1666"/>
      <c r="C3807" s="688"/>
      <c r="D3807" s="1667"/>
      <c r="E3807" s="1671">
        <v>3.5</v>
      </c>
      <c r="F3807" s="1672"/>
      <c r="G3807" s="1671">
        <v>4</v>
      </c>
      <c r="H3807" s="1671">
        <f t="shared" si="593"/>
        <v>0</v>
      </c>
      <c r="I3807" s="1671" t="s">
        <v>92</v>
      </c>
      <c r="J3807" s="1668"/>
      <c r="K3807" s="1668"/>
      <c r="L3807" s="1669"/>
    </row>
    <row r="3808" spans="1:12" s="692" customFormat="1" ht="16.5" hidden="1">
      <c r="A3808" s="1665"/>
      <c r="B3808" s="1666"/>
      <c r="C3808" s="688"/>
      <c r="D3808" s="1667"/>
      <c r="E3808" s="688"/>
      <c r="F3808" s="688"/>
      <c r="G3808" s="1665" t="s">
        <v>928</v>
      </c>
      <c r="H3808" s="1673">
        <f>SUM(H3802:H3807)</f>
        <v>0</v>
      </c>
      <c r="I3808" s="1668" t="s">
        <v>92</v>
      </c>
      <c r="J3808" s="1669">
        <f>'Lead &amp; ANALYSIS'!L761</f>
        <v>1125.8</v>
      </c>
      <c r="K3808" s="1668" t="s">
        <v>1514</v>
      </c>
      <c r="L3808" s="1669">
        <f t="shared" ref="L3808" si="594">ROUND(H3808*J3808,0)</f>
        <v>0</v>
      </c>
    </row>
    <row r="3809" spans="1:12" s="692" customFormat="1" ht="16.5" hidden="1">
      <c r="A3809" s="1665" t="s">
        <v>472</v>
      </c>
      <c r="B3809" s="1666" t="s">
        <v>231</v>
      </c>
      <c r="C3809" s="688"/>
      <c r="D3809" s="1667"/>
      <c r="E3809" s="688"/>
      <c r="F3809" s="688"/>
      <c r="G3809" s="1674"/>
      <c r="H3809" s="688"/>
      <c r="I3809" s="1668"/>
      <c r="J3809" s="1668"/>
      <c r="K3809" s="1668"/>
      <c r="L3809" s="1669"/>
    </row>
    <row r="3810" spans="1:12" s="692" customFormat="1" ht="16.5" hidden="1">
      <c r="A3810" s="1665" t="s">
        <v>383</v>
      </c>
      <c r="B3810" s="1666" t="s">
        <v>384</v>
      </c>
      <c r="C3810" s="688"/>
      <c r="D3810" s="1667"/>
      <c r="E3810" s="688"/>
      <c r="F3810" s="688"/>
      <c r="G3810" s="1674"/>
      <c r="H3810" s="688"/>
      <c r="I3810" s="1668"/>
      <c r="J3810" s="1668"/>
      <c r="K3810" s="1668"/>
      <c r="L3810" s="1669"/>
    </row>
    <row r="3811" spans="1:12" s="692" customFormat="1" ht="16.5" hidden="1">
      <c r="A3811" s="1665"/>
      <c r="B3811" s="1666"/>
      <c r="C3811" s="688"/>
      <c r="D3811" s="1667"/>
      <c r="E3811" s="1671">
        <v>3.5</v>
      </c>
      <c r="F3811" s="1671">
        <v>4</v>
      </c>
      <c r="G3811" s="1674"/>
      <c r="H3811" s="1671">
        <f t="shared" ref="H3811:H3816" si="595">ROUND(D3811*E3811*F3811,2)</f>
        <v>0</v>
      </c>
      <c r="I3811" s="688" t="s">
        <v>92</v>
      </c>
      <c r="J3811" s="1668"/>
      <c r="K3811" s="1668"/>
      <c r="L3811" s="1669"/>
    </row>
    <row r="3812" spans="1:12" s="692" customFormat="1" ht="16.5" hidden="1">
      <c r="A3812" s="1665"/>
      <c r="B3812" s="1666"/>
      <c r="C3812" s="688"/>
      <c r="D3812" s="1667"/>
      <c r="E3812" s="1671">
        <v>3.5</v>
      </c>
      <c r="F3812" s="1671">
        <v>4</v>
      </c>
      <c r="G3812" s="1674"/>
      <c r="H3812" s="1671">
        <f t="shared" si="595"/>
        <v>0</v>
      </c>
      <c r="I3812" s="688" t="s">
        <v>92</v>
      </c>
      <c r="J3812" s="1668"/>
      <c r="K3812" s="1668"/>
      <c r="L3812" s="1669"/>
    </row>
    <row r="3813" spans="1:12" s="692" customFormat="1" ht="16.5" hidden="1">
      <c r="A3813" s="1665"/>
      <c r="B3813" s="1666"/>
      <c r="C3813" s="688"/>
      <c r="D3813" s="1667"/>
      <c r="E3813" s="1671">
        <v>3.5</v>
      </c>
      <c r="F3813" s="1671">
        <v>4</v>
      </c>
      <c r="G3813" s="1674"/>
      <c r="H3813" s="1671">
        <f t="shared" si="595"/>
        <v>0</v>
      </c>
      <c r="I3813" s="688" t="s">
        <v>92</v>
      </c>
      <c r="J3813" s="1668"/>
      <c r="K3813" s="1668"/>
      <c r="L3813" s="1669"/>
    </row>
    <row r="3814" spans="1:12" s="692" customFormat="1" ht="16.5" hidden="1">
      <c r="A3814" s="1665"/>
      <c r="B3814" s="1666"/>
      <c r="C3814" s="688"/>
      <c r="D3814" s="1667"/>
      <c r="E3814" s="1671">
        <v>3.5</v>
      </c>
      <c r="F3814" s="1671">
        <v>4</v>
      </c>
      <c r="G3814" s="1674"/>
      <c r="H3814" s="1671">
        <f t="shared" si="595"/>
        <v>0</v>
      </c>
      <c r="I3814" s="688" t="s">
        <v>92</v>
      </c>
      <c r="J3814" s="1668"/>
      <c r="K3814" s="1668"/>
      <c r="L3814" s="1669"/>
    </row>
    <row r="3815" spans="1:12" s="692" customFormat="1" ht="16.5" hidden="1">
      <c r="A3815" s="1665"/>
      <c r="B3815" s="1666"/>
      <c r="C3815" s="688"/>
      <c r="D3815" s="1667"/>
      <c r="E3815" s="1671">
        <v>3.5</v>
      </c>
      <c r="F3815" s="1671">
        <v>4</v>
      </c>
      <c r="G3815" s="1674"/>
      <c r="H3815" s="1671">
        <f t="shared" si="595"/>
        <v>0</v>
      </c>
      <c r="I3815" s="688" t="s">
        <v>92</v>
      </c>
      <c r="J3815" s="1668"/>
      <c r="K3815" s="1668"/>
      <c r="L3815" s="1669"/>
    </row>
    <row r="3816" spans="1:12" s="692" customFormat="1" ht="16.5" hidden="1">
      <c r="A3816" s="1665"/>
      <c r="B3816" s="1666"/>
      <c r="C3816" s="688"/>
      <c r="D3816" s="1667"/>
      <c r="E3816" s="1671">
        <v>3.5</v>
      </c>
      <c r="F3816" s="1671">
        <v>4</v>
      </c>
      <c r="G3816" s="1674"/>
      <c r="H3816" s="1671">
        <f t="shared" si="595"/>
        <v>0</v>
      </c>
      <c r="I3816" s="688" t="s">
        <v>92</v>
      </c>
      <c r="J3816" s="1668"/>
      <c r="K3816" s="1668"/>
      <c r="L3816" s="1669"/>
    </row>
    <row r="3817" spans="1:12" s="692" customFormat="1" ht="16.5" hidden="1">
      <c r="A3817" s="1665"/>
      <c r="B3817" s="1666"/>
      <c r="C3817" s="688"/>
      <c r="D3817" s="1667"/>
      <c r="E3817" s="688"/>
      <c r="F3817" s="688"/>
      <c r="G3817" s="1674" t="s">
        <v>928</v>
      </c>
      <c r="H3817" s="1671">
        <f>SUM(H3811:H3816)</f>
        <v>0</v>
      </c>
      <c r="I3817" s="1668" t="s">
        <v>92</v>
      </c>
      <c r="J3817" s="1669">
        <f>'Lead &amp; ANALYSIS'!L763</f>
        <v>1008.1</v>
      </c>
      <c r="K3817" s="1668" t="s">
        <v>1514</v>
      </c>
      <c r="L3817" s="1669">
        <f t="shared" ref="L3817" si="596">ROUND(H3817*J3817,0)</f>
        <v>0</v>
      </c>
    </row>
    <row r="3818" spans="1:12" s="692" customFormat="1" ht="16.5" hidden="1">
      <c r="A3818" s="1665" t="s">
        <v>386</v>
      </c>
      <c r="B3818" s="1666" t="s">
        <v>387</v>
      </c>
      <c r="C3818" s="688"/>
      <c r="D3818" s="1667"/>
      <c r="E3818" s="688"/>
      <c r="F3818" s="688"/>
      <c r="G3818" s="1674"/>
      <c r="H3818" s="688"/>
      <c r="I3818" s="1668"/>
      <c r="J3818" s="1668"/>
      <c r="K3818" s="1668"/>
      <c r="L3818" s="1669"/>
    </row>
    <row r="3819" spans="1:12" s="692" customFormat="1" ht="16.5" hidden="1">
      <c r="A3819" s="1665"/>
      <c r="B3819" s="1666"/>
      <c r="C3819" s="688"/>
      <c r="D3819" s="1667"/>
      <c r="E3819" s="1671">
        <v>3.5</v>
      </c>
      <c r="F3819" s="1671">
        <v>4</v>
      </c>
      <c r="G3819" s="1674"/>
      <c r="H3819" s="1671">
        <f t="shared" ref="H3819:H3824" si="597">ROUND(D3819*E3819*F3819,2)</f>
        <v>0</v>
      </c>
      <c r="I3819" s="688" t="s">
        <v>92</v>
      </c>
      <c r="J3819" s="1668"/>
      <c r="K3819" s="1668"/>
      <c r="L3819" s="1669"/>
    </row>
    <row r="3820" spans="1:12" s="692" customFormat="1" ht="16.5" hidden="1">
      <c r="A3820" s="1665"/>
      <c r="B3820" s="1666"/>
      <c r="C3820" s="688"/>
      <c r="D3820" s="1667"/>
      <c r="E3820" s="1671">
        <v>3.5</v>
      </c>
      <c r="F3820" s="1671">
        <v>4</v>
      </c>
      <c r="G3820" s="1674"/>
      <c r="H3820" s="1671">
        <f t="shared" si="597"/>
        <v>0</v>
      </c>
      <c r="I3820" s="688" t="s">
        <v>92</v>
      </c>
      <c r="J3820" s="1668"/>
      <c r="K3820" s="1668"/>
      <c r="L3820" s="1669"/>
    </row>
    <row r="3821" spans="1:12" s="692" customFormat="1" ht="16.5" hidden="1">
      <c r="A3821" s="1665"/>
      <c r="B3821" s="1666"/>
      <c r="C3821" s="688"/>
      <c r="D3821" s="1667"/>
      <c r="E3821" s="1671">
        <v>3.5</v>
      </c>
      <c r="F3821" s="1671">
        <v>4</v>
      </c>
      <c r="G3821" s="1674"/>
      <c r="H3821" s="1671">
        <f t="shared" si="597"/>
        <v>0</v>
      </c>
      <c r="I3821" s="688" t="s">
        <v>92</v>
      </c>
      <c r="J3821" s="1668"/>
      <c r="K3821" s="1668"/>
      <c r="L3821" s="1669"/>
    </row>
    <row r="3822" spans="1:12" s="692" customFormat="1" ht="16.5" hidden="1">
      <c r="A3822" s="1665"/>
      <c r="B3822" s="1666"/>
      <c r="C3822" s="688"/>
      <c r="D3822" s="1667"/>
      <c r="E3822" s="1671">
        <v>3.5</v>
      </c>
      <c r="F3822" s="1671">
        <v>4</v>
      </c>
      <c r="G3822" s="1674"/>
      <c r="H3822" s="1671">
        <f t="shared" si="597"/>
        <v>0</v>
      </c>
      <c r="I3822" s="688" t="s">
        <v>92</v>
      </c>
      <c r="J3822" s="1668"/>
      <c r="K3822" s="1668"/>
      <c r="L3822" s="1669"/>
    </row>
    <row r="3823" spans="1:12" s="692" customFormat="1" ht="16.5" hidden="1">
      <c r="A3823" s="1665"/>
      <c r="B3823" s="1666"/>
      <c r="C3823" s="688"/>
      <c r="D3823" s="1667"/>
      <c r="E3823" s="1671">
        <v>3.5</v>
      </c>
      <c r="F3823" s="1671">
        <v>4</v>
      </c>
      <c r="G3823" s="1674"/>
      <c r="H3823" s="1671">
        <f t="shared" si="597"/>
        <v>0</v>
      </c>
      <c r="I3823" s="688" t="s">
        <v>92</v>
      </c>
      <c r="J3823" s="1668"/>
      <c r="K3823" s="1668"/>
      <c r="L3823" s="1669"/>
    </row>
    <row r="3824" spans="1:12" s="692" customFormat="1" ht="16.5" hidden="1">
      <c r="A3824" s="1665"/>
      <c r="B3824" s="1666"/>
      <c r="C3824" s="688"/>
      <c r="D3824" s="1667"/>
      <c r="E3824" s="1671">
        <v>3.5</v>
      </c>
      <c r="F3824" s="1671">
        <v>4</v>
      </c>
      <c r="G3824" s="1674"/>
      <c r="H3824" s="1671">
        <f t="shared" si="597"/>
        <v>0</v>
      </c>
      <c r="I3824" s="688" t="s">
        <v>92</v>
      </c>
      <c r="J3824" s="1668"/>
      <c r="K3824" s="1668"/>
      <c r="L3824" s="1669"/>
    </row>
    <row r="3825" spans="1:12" s="692" customFormat="1" ht="16.5" hidden="1">
      <c r="A3825" s="1665"/>
      <c r="B3825" s="1666"/>
      <c r="C3825" s="688"/>
      <c r="D3825" s="1667"/>
      <c r="E3825" s="688"/>
      <c r="F3825" s="688"/>
      <c r="G3825" s="1674" t="s">
        <v>928</v>
      </c>
      <c r="H3825" s="1671">
        <f>SUM(H3819:H3824)</f>
        <v>0</v>
      </c>
      <c r="I3825" s="1668" t="s">
        <v>92</v>
      </c>
      <c r="J3825" s="1669">
        <f>'Lead &amp; ANALYSIS'!L764</f>
        <v>1018.7</v>
      </c>
      <c r="K3825" s="1668" t="s">
        <v>1514</v>
      </c>
      <c r="L3825" s="1669">
        <f t="shared" ref="L3825" si="598">ROUND(H3825*J3825,0)</f>
        <v>0</v>
      </c>
    </row>
    <row r="3826" spans="1:12" s="692" customFormat="1" ht="16.5" hidden="1">
      <c r="A3826" s="1665" t="s">
        <v>432</v>
      </c>
      <c r="B3826" s="1666" t="s">
        <v>3622</v>
      </c>
      <c r="C3826" s="688"/>
      <c r="D3826" s="1667"/>
      <c r="E3826" s="688"/>
      <c r="F3826" s="688"/>
      <c r="G3826" s="1674"/>
      <c r="H3826" s="688"/>
      <c r="I3826" s="1668"/>
      <c r="J3826" s="1668"/>
      <c r="K3826" s="1668"/>
      <c r="L3826" s="1669"/>
    </row>
    <row r="3827" spans="1:12" s="692" customFormat="1" ht="16.5" hidden="1">
      <c r="A3827" s="1665"/>
      <c r="B3827" s="1666"/>
      <c r="C3827" s="688"/>
      <c r="D3827" s="1667"/>
      <c r="E3827" s="1671">
        <v>3.5</v>
      </c>
      <c r="F3827" s="1672"/>
      <c r="G3827" s="1671">
        <v>4</v>
      </c>
      <c r="H3827" s="1671">
        <f t="shared" ref="H3827:H3832" si="599">ROUND(D3827*E3827*G3827,2)</f>
        <v>0</v>
      </c>
      <c r="I3827" s="1671" t="s">
        <v>92</v>
      </c>
      <c r="J3827" s="1668"/>
      <c r="K3827" s="1668"/>
      <c r="L3827" s="1669"/>
    </row>
    <row r="3828" spans="1:12" s="692" customFormat="1" ht="16.5" hidden="1">
      <c r="A3828" s="1665"/>
      <c r="B3828" s="1666"/>
      <c r="C3828" s="688"/>
      <c r="D3828" s="1667"/>
      <c r="E3828" s="1671">
        <v>3.5</v>
      </c>
      <c r="F3828" s="1672"/>
      <c r="G3828" s="1671">
        <v>4</v>
      </c>
      <c r="H3828" s="1671">
        <f t="shared" si="599"/>
        <v>0</v>
      </c>
      <c r="I3828" s="1671" t="s">
        <v>92</v>
      </c>
      <c r="J3828" s="1668"/>
      <c r="K3828" s="1668"/>
      <c r="L3828" s="1669"/>
    </row>
    <row r="3829" spans="1:12" s="692" customFormat="1" ht="16.5" hidden="1">
      <c r="A3829" s="1665"/>
      <c r="B3829" s="1666"/>
      <c r="C3829" s="688"/>
      <c r="D3829" s="1667"/>
      <c r="E3829" s="1671">
        <v>3.5</v>
      </c>
      <c r="F3829" s="1672"/>
      <c r="G3829" s="1671">
        <v>4</v>
      </c>
      <c r="H3829" s="1671">
        <f t="shared" si="599"/>
        <v>0</v>
      </c>
      <c r="I3829" s="1671" t="s">
        <v>92</v>
      </c>
      <c r="J3829" s="1668"/>
      <c r="K3829" s="1668"/>
      <c r="L3829" s="1669"/>
    </row>
    <row r="3830" spans="1:12" s="692" customFormat="1" ht="16.5" hidden="1">
      <c r="A3830" s="1665"/>
      <c r="B3830" s="1666"/>
      <c r="C3830" s="688"/>
      <c r="D3830" s="1667"/>
      <c r="E3830" s="1671">
        <v>3.5</v>
      </c>
      <c r="F3830" s="1672"/>
      <c r="G3830" s="1671">
        <v>4</v>
      </c>
      <c r="H3830" s="1671">
        <f t="shared" si="599"/>
        <v>0</v>
      </c>
      <c r="I3830" s="1671" t="s">
        <v>92</v>
      </c>
      <c r="J3830" s="1668"/>
      <c r="K3830" s="1668"/>
      <c r="L3830" s="1669"/>
    </row>
    <row r="3831" spans="1:12" s="692" customFormat="1" ht="16.5" hidden="1">
      <c r="A3831" s="1665"/>
      <c r="B3831" s="1666"/>
      <c r="C3831" s="688"/>
      <c r="D3831" s="1667"/>
      <c r="E3831" s="1671">
        <v>3.5</v>
      </c>
      <c r="F3831" s="1672"/>
      <c r="G3831" s="1671">
        <v>4</v>
      </c>
      <c r="H3831" s="1671">
        <f t="shared" si="599"/>
        <v>0</v>
      </c>
      <c r="I3831" s="1671" t="s">
        <v>92</v>
      </c>
      <c r="J3831" s="1668"/>
      <c r="K3831" s="1668"/>
      <c r="L3831" s="1669"/>
    </row>
    <row r="3832" spans="1:12" s="692" customFormat="1" ht="16.5" hidden="1">
      <c r="A3832" s="1665"/>
      <c r="B3832" s="1666"/>
      <c r="C3832" s="688"/>
      <c r="D3832" s="1667"/>
      <c r="E3832" s="1671">
        <v>3.5</v>
      </c>
      <c r="F3832" s="1672"/>
      <c r="G3832" s="1671">
        <v>4</v>
      </c>
      <c r="H3832" s="1671">
        <f t="shared" si="599"/>
        <v>0</v>
      </c>
      <c r="I3832" s="1671" t="s">
        <v>92</v>
      </c>
      <c r="J3832" s="1668"/>
      <c r="K3832" s="1668"/>
      <c r="L3832" s="1669"/>
    </row>
    <row r="3833" spans="1:12" s="692" customFormat="1" ht="16.5" hidden="1">
      <c r="A3833" s="1665"/>
      <c r="B3833" s="1666"/>
      <c r="C3833" s="688"/>
      <c r="D3833" s="1667"/>
      <c r="E3833" s="688"/>
      <c r="F3833" s="688"/>
      <c r="G3833" s="1665" t="s">
        <v>928</v>
      </c>
      <c r="H3833" s="1673">
        <f>SUM(H3827:H3832)</f>
        <v>0</v>
      </c>
      <c r="I3833" s="1668" t="s">
        <v>92</v>
      </c>
      <c r="J3833" s="1669">
        <f>'Lead &amp; ANALYSIS'!L765</f>
        <v>1039.9000000000001</v>
      </c>
      <c r="K3833" s="1668" t="s">
        <v>1514</v>
      </c>
      <c r="L3833" s="1669">
        <f t="shared" ref="L3833" si="600">ROUND(H3833*J3833,0)</f>
        <v>0</v>
      </c>
    </row>
    <row r="3834" spans="1:12" s="692" customFormat="1" ht="16.5" hidden="1">
      <c r="A3834" s="1665" t="s">
        <v>443</v>
      </c>
      <c r="B3834" s="1666" t="s">
        <v>3636</v>
      </c>
      <c r="C3834" s="688"/>
      <c r="D3834" s="1667"/>
      <c r="E3834" s="688"/>
      <c r="F3834" s="688"/>
      <c r="G3834" s="1674"/>
      <c r="H3834" s="688"/>
      <c r="I3834" s="1668"/>
      <c r="J3834" s="1668"/>
      <c r="K3834" s="1668"/>
      <c r="L3834" s="1669"/>
    </row>
    <row r="3835" spans="1:12" s="692" customFormat="1" ht="16.5" hidden="1">
      <c r="A3835" s="1665"/>
      <c r="B3835" s="1666"/>
      <c r="C3835" s="688"/>
      <c r="D3835" s="1667"/>
      <c r="E3835" s="1671">
        <v>3.5</v>
      </c>
      <c r="F3835" s="1672"/>
      <c r="G3835" s="1671">
        <v>4</v>
      </c>
      <c r="H3835" s="1671">
        <f t="shared" ref="H3835:H3840" si="601">ROUND(D3835*E3835*G3835,2)</f>
        <v>0</v>
      </c>
      <c r="I3835" s="1671" t="s">
        <v>92</v>
      </c>
      <c r="J3835" s="1668"/>
      <c r="K3835" s="1668"/>
      <c r="L3835" s="1669"/>
    </row>
    <row r="3836" spans="1:12" s="692" customFormat="1" ht="16.5" hidden="1">
      <c r="A3836" s="1665"/>
      <c r="B3836" s="1666"/>
      <c r="C3836" s="688"/>
      <c r="D3836" s="1667"/>
      <c r="E3836" s="1671">
        <v>3.5</v>
      </c>
      <c r="F3836" s="1672"/>
      <c r="G3836" s="1671">
        <v>4</v>
      </c>
      <c r="H3836" s="1671">
        <f t="shared" si="601"/>
        <v>0</v>
      </c>
      <c r="I3836" s="1671" t="s">
        <v>92</v>
      </c>
      <c r="J3836" s="1668"/>
      <c r="K3836" s="1668"/>
      <c r="L3836" s="1669"/>
    </row>
    <row r="3837" spans="1:12" s="692" customFormat="1" ht="16.5" hidden="1">
      <c r="A3837" s="1665"/>
      <c r="B3837" s="1666"/>
      <c r="C3837" s="688"/>
      <c r="D3837" s="1667"/>
      <c r="E3837" s="1671">
        <v>3.5</v>
      </c>
      <c r="F3837" s="1672"/>
      <c r="G3837" s="1671">
        <v>4</v>
      </c>
      <c r="H3837" s="1671">
        <f t="shared" si="601"/>
        <v>0</v>
      </c>
      <c r="I3837" s="1671" t="s">
        <v>92</v>
      </c>
      <c r="J3837" s="1668"/>
      <c r="K3837" s="1668"/>
      <c r="L3837" s="1669"/>
    </row>
    <row r="3838" spans="1:12" s="692" customFormat="1" ht="16.5" hidden="1">
      <c r="A3838" s="1665"/>
      <c r="B3838" s="1666"/>
      <c r="C3838" s="688"/>
      <c r="D3838" s="1667"/>
      <c r="E3838" s="1671">
        <v>3.5</v>
      </c>
      <c r="F3838" s="1672"/>
      <c r="G3838" s="1671">
        <v>4</v>
      </c>
      <c r="H3838" s="1671">
        <f t="shared" si="601"/>
        <v>0</v>
      </c>
      <c r="I3838" s="1671" t="s">
        <v>92</v>
      </c>
      <c r="J3838" s="1668"/>
      <c r="K3838" s="1668"/>
      <c r="L3838" s="1669"/>
    </row>
    <row r="3839" spans="1:12" s="692" customFormat="1" ht="16.5" hidden="1">
      <c r="A3839" s="1665"/>
      <c r="B3839" s="1666"/>
      <c r="C3839" s="688"/>
      <c r="D3839" s="1667"/>
      <c r="E3839" s="1671">
        <v>3.5</v>
      </c>
      <c r="F3839" s="1672"/>
      <c r="G3839" s="1671">
        <v>4</v>
      </c>
      <c r="H3839" s="1671">
        <f t="shared" si="601"/>
        <v>0</v>
      </c>
      <c r="I3839" s="1671" t="s">
        <v>92</v>
      </c>
      <c r="J3839" s="1668"/>
      <c r="K3839" s="1668"/>
      <c r="L3839" s="1669"/>
    </row>
    <row r="3840" spans="1:12" s="692" customFormat="1" ht="16.5" hidden="1">
      <c r="A3840" s="1665"/>
      <c r="B3840" s="1666"/>
      <c r="C3840" s="688"/>
      <c r="D3840" s="1667"/>
      <c r="E3840" s="1671">
        <v>3.5</v>
      </c>
      <c r="F3840" s="1672"/>
      <c r="G3840" s="1671">
        <v>4</v>
      </c>
      <c r="H3840" s="1671">
        <f t="shared" si="601"/>
        <v>0</v>
      </c>
      <c r="I3840" s="1671" t="s">
        <v>92</v>
      </c>
      <c r="J3840" s="1668"/>
      <c r="K3840" s="1668"/>
      <c r="L3840" s="1669"/>
    </row>
    <row r="3841" spans="1:12" s="692" customFormat="1" ht="16.5" hidden="1">
      <c r="A3841" s="1665"/>
      <c r="B3841" s="1666"/>
      <c r="C3841" s="688"/>
      <c r="D3841" s="1667"/>
      <c r="E3841" s="688"/>
      <c r="F3841" s="688"/>
      <c r="G3841" s="1665" t="s">
        <v>928</v>
      </c>
      <c r="H3841" s="1673">
        <f>SUM(H3835:H3840)</f>
        <v>0</v>
      </c>
      <c r="I3841" s="1668" t="s">
        <v>92</v>
      </c>
      <c r="J3841" s="1669">
        <f>'Lead &amp; ANALYSIS'!L766</f>
        <v>1061.9000000000001</v>
      </c>
      <c r="K3841" s="1668" t="s">
        <v>1514</v>
      </c>
      <c r="L3841" s="1669">
        <f t="shared" ref="L3841" si="602">ROUND(H3841*J3841,0)</f>
        <v>0</v>
      </c>
    </row>
    <row r="3842" spans="1:12" s="692" customFormat="1" ht="16.5" hidden="1">
      <c r="A3842" s="1665" t="s">
        <v>474</v>
      </c>
      <c r="B3842" s="1666" t="s">
        <v>222</v>
      </c>
      <c r="C3842" s="688"/>
      <c r="D3842" s="1667"/>
      <c r="E3842" s="688"/>
      <c r="F3842" s="688"/>
      <c r="G3842" s="1674"/>
      <c r="H3842" s="688"/>
      <c r="I3842" s="1668"/>
      <c r="J3842" s="1668"/>
      <c r="K3842" s="1668"/>
      <c r="L3842" s="1669"/>
    </row>
    <row r="3843" spans="1:12" s="692" customFormat="1" ht="16.5" hidden="1">
      <c r="A3843" s="1665" t="s">
        <v>383</v>
      </c>
      <c r="B3843" s="1666" t="s">
        <v>384</v>
      </c>
      <c r="C3843" s="688"/>
      <c r="D3843" s="1667"/>
      <c r="E3843" s="688"/>
      <c r="F3843" s="688"/>
      <c r="G3843" s="1674"/>
      <c r="H3843" s="688"/>
      <c r="I3843" s="1668"/>
      <c r="J3843" s="1668"/>
      <c r="K3843" s="1668"/>
      <c r="L3843" s="1669"/>
    </row>
    <row r="3844" spans="1:12" s="692" customFormat="1" ht="16.5" hidden="1">
      <c r="A3844" s="1665"/>
      <c r="B3844" s="1666"/>
      <c r="C3844" s="688"/>
      <c r="D3844" s="1667"/>
      <c r="E3844" s="1671">
        <v>3.5</v>
      </c>
      <c r="F3844" s="1671">
        <v>4</v>
      </c>
      <c r="G3844" s="1674"/>
      <c r="H3844" s="1671">
        <f t="shared" ref="H3844:H3849" si="603">ROUND(D3844*E3844*F3844,2)</f>
        <v>0</v>
      </c>
      <c r="I3844" s="688" t="s">
        <v>92</v>
      </c>
      <c r="J3844" s="1668"/>
      <c r="K3844" s="1668"/>
      <c r="L3844" s="1669"/>
    </row>
    <row r="3845" spans="1:12" s="692" customFormat="1" ht="16.5" hidden="1">
      <c r="A3845" s="1665"/>
      <c r="B3845" s="1666"/>
      <c r="C3845" s="688"/>
      <c r="D3845" s="1667"/>
      <c r="E3845" s="1671">
        <v>3.5</v>
      </c>
      <c r="F3845" s="1671">
        <v>4</v>
      </c>
      <c r="G3845" s="1674"/>
      <c r="H3845" s="1671">
        <f t="shared" si="603"/>
        <v>0</v>
      </c>
      <c r="I3845" s="688" t="s">
        <v>92</v>
      </c>
      <c r="J3845" s="1668"/>
      <c r="K3845" s="1668"/>
      <c r="L3845" s="1669"/>
    </row>
    <row r="3846" spans="1:12" s="692" customFormat="1" ht="16.5" hidden="1">
      <c r="A3846" s="1665"/>
      <c r="B3846" s="1666"/>
      <c r="C3846" s="688"/>
      <c r="D3846" s="1667"/>
      <c r="E3846" s="1671">
        <v>3.5</v>
      </c>
      <c r="F3846" s="1671">
        <v>4</v>
      </c>
      <c r="G3846" s="1674"/>
      <c r="H3846" s="1671">
        <f t="shared" si="603"/>
        <v>0</v>
      </c>
      <c r="I3846" s="688" t="s">
        <v>92</v>
      </c>
      <c r="J3846" s="1668"/>
      <c r="K3846" s="1668"/>
      <c r="L3846" s="1669"/>
    </row>
    <row r="3847" spans="1:12" s="692" customFormat="1" ht="16.5" hidden="1">
      <c r="A3847" s="1665"/>
      <c r="B3847" s="1666"/>
      <c r="C3847" s="688"/>
      <c r="D3847" s="1667"/>
      <c r="E3847" s="1671">
        <v>3.5</v>
      </c>
      <c r="F3847" s="1671">
        <v>4</v>
      </c>
      <c r="G3847" s="1674"/>
      <c r="H3847" s="1671">
        <f t="shared" si="603"/>
        <v>0</v>
      </c>
      <c r="I3847" s="688" t="s">
        <v>92</v>
      </c>
      <c r="J3847" s="1668"/>
      <c r="K3847" s="1668"/>
      <c r="L3847" s="1669"/>
    </row>
    <row r="3848" spans="1:12" s="692" customFormat="1" ht="16.5" hidden="1">
      <c r="A3848" s="1665"/>
      <c r="B3848" s="1666"/>
      <c r="C3848" s="688"/>
      <c r="D3848" s="1667"/>
      <c r="E3848" s="1671">
        <v>3.5</v>
      </c>
      <c r="F3848" s="1671">
        <v>4</v>
      </c>
      <c r="G3848" s="1674"/>
      <c r="H3848" s="1671">
        <f t="shared" si="603"/>
        <v>0</v>
      </c>
      <c r="I3848" s="688" t="s">
        <v>92</v>
      </c>
      <c r="J3848" s="1668"/>
      <c r="K3848" s="1668"/>
      <c r="L3848" s="1669"/>
    </row>
    <row r="3849" spans="1:12" s="692" customFormat="1" ht="16.5" hidden="1">
      <c r="A3849" s="1665"/>
      <c r="B3849" s="1666"/>
      <c r="C3849" s="688"/>
      <c r="D3849" s="1667"/>
      <c r="E3849" s="1671">
        <v>3.5</v>
      </c>
      <c r="F3849" s="1671">
        <v>4</v>
      </c>
      <c r="G3849" s="1674"/>
      <c r="H3849" s="1671">
        <f t="shared" si="603"/>
        <v>0</v>
      </c>
      <c r="I3849" s="688" t="s">
        <v>92</v>
      </c>
      <c r="J3849" s="1668"/>
      <c r="K3849" s="1668"/>
      <c r="L3849" s="1669"/>
    </row>
    <row r="3850" spans="1:12" s="692" customFormat="1" ht="16.5" hidden="1">
      <c r="A3850" s="1665"/>
      <c r="B3850" s="1666"/>
      <c r="C3850" s="688"/>
      <c r="D3850" s="1667"/>
      <c r="E3850" s="688"/>
      <c r="F3850" s="688"/>
      <c r="G3850" s="1674" t="s">
        <v>928</v>
      </c>
      <c r="H3850" s="1671">
        <f>SUM(H3844:H3849)</f>
        <v>0</v>
      </c>
      <c r="I3850" s="1668" t="s">
        <v>92</v>
      </c>
      <c r="J3850" s="1669">
        <f>'Lead &amp; ANALYSIS'!L768</f>
        <v>632.29999999999995</v>
      </c>
      <c r="K3850" s="1668" t="s">
        <v>1514</v>
      </c>
      <c r="L3850" s="1669">
        <f t="shared" ref="L3850" si="604">ROUND(H3850*J3850,0)</f>
        <v>0</v>
      </c>
    </row>
    <row r="3851" spans="1:12" s="692" customFormat="1" ht="16.5" hidden="1">
      <c r="A3851" s="1665" t="s">
        <v>386</v>
      </c>
      <c r="B3851" s="1666" t="s">
        <v>387</v>
      </c>
      <c r="C3851" s="688"/>
      <c r="D3851" s="1667"/>
      <c r="E3851" s="688"/>
      <c r="F3851" s="688"/>
      <c r="G3851" s="1674"/>
      <c r="H3851" s="688"/>
      <c r="I3851" s="1668"/>
      <c r="J3851" s="1668"/>
      <c r="K3851" s="1668"/>
      <c r="L3851" s="1669"/>
    </row>
    <row r="3852" spans="1:12" s="692" customFormat="1" ht="16.5" hidden="1">
      <c r="A3852" s="1665"/>
      <c r="B3852" s="1666"/>
      <c r="C3852" s="688"/>
      <c r="D3852" s="1667"/>
      <c r="E3852" s="1671">
        <v>3.5</v>
      </c>
      <c r="F3852" s="1671">
        <v>4</v>
      </c>
      <c r="G3852" s="1674"/>
      <c r="H3852" s="1671">
        <f t="shared" ref="H3852:H3857" si="605">ROUND(D3852*E3852*F3852,2)</f>
        <v>0</v>
      </c>
      <c r="I3852" s="688" t="s">
        <v>92</v>
      </c>
      <c r="J3852" s="1668"/>
      <c r="K3852" s="1668"/>
      <c r="L3852" s="1669"/>
    </row>
    <row r="3853" spans="1:12" s="692" customFormat="1" ht="16.5" hidden="1">
      <c r="A3853" s="1665"/>
      <c r="B3853" s="1666"/>
      <c r="C3853" s="688"/>
      <c r="D3853" s="1667"/>
      <c r="E3853" s="1671">
        <v>3.5</v>
      </c>
      <c r="F3853" s="1671">
        <v>4</v>
      </c>
      <c r="G3853" s="1674"/>
      <c r="H3853" s="1671">
        <f t="shared" si="605"/>
        <v>0</v>
      </c>
      <c r="I3853" s="688" t="s">
        <v>92</v>
      </c>
      <c r="J3853" s="1668"/>
      <c r="K3853" s="1668"/>
      <c r="L3853" s="1669"/>
    </row>
    <row r="3854" spans="1:12" s="692" customFormat="1" ht="16.5" hidden="1">
      <c r="A3854" s="1665"/>
      <c r="B3854" s="1666"/>
      <c r="C3854" s="688"/>
      <c r="D3854" s="1667"/>
      <c r="E3854" s="1671">
        <v>3.5</v>
      </c>
      <c r="F3854" s="1671">
        <v>4</v>
      </c>
      <c r="G3854" s="1674"/>
      <c r="H3854" s="1671">
        <f t="shared" si="605"/>
        <v>0</v>
      </c>
      <c r="I3854" s="688" t="s">
        <v>92</v>
      </c>
      <c r="J3854" s="1668"/>
      <c r="K3854" s="1668"/>
      <c r="L3854" s="1669"/>
    </row>
    <row r="3855" spans="1:12" s="692" customFormat="1" ht="16.5" hidden="1">
      <c r="A3855" s="1665"/>
      <c r="B3855" s="1666"/>
      <c r="C3855" s="688"/>
      <c r="D3855" s="1667"/>
      <c r="E3855" s="1671">
        <v>3.5</v>
      </c>
      <c r="F3855" s="1671">
        <v>4</v>
      </c>
      <c r="G3855" s="1674"/>
      <c r="H3855" s="1671">
        <f t="shared" si="605"/>
        <v>0</v>
      </c>
      <c r="I3855" s="688" t="s">
        <v>92</v>
      </c>
      <c r="J3855" s="1668"/>
      <c r="K3855" s="1668"/>
      <c r="L3855" s="1669"/>
    </row>
    <row r="3856" spans="1:12" s="692" customFormat="1" ht="16.5" hidden="1">
      <c r="A3856" s="1665"/>
      <c r="B3856" s="1666"/>
      <c r="C3856" s="688"/>
      <c r="D3856" s="1667"/>
      <c r="E3856" s="1671">
        <v>3.5</v>
      </c>
      <c r="F3856" s="1671">
        <v>4</v>
      </c>
      <c r="G3856" s="1674"/>
      <c r="H3856" s="1671">
        <f t="shared" si="605"/>
        <v>0</v>
      </c>
      <c r="I3856" s="688" t="s">
        <v>92</v>
      </c>
      <c r="J3856" s="1668"/>
      <c r="K3856" s="1668"/>
      <c r="L3856" s="1669"/>
    </row>
    <row r="3857" spans="1:12" s="692" customFormat="1" ht="16.5" hidden="1">
      <c r="A3857" s="1665"/>
      <c r="B3857" s="1666"/>
      <c r="C3857" s="688"/>
      <c r="D3857" s="1667"/>
      <c r="E3857" s="1671">
        <v>3.5</v>
      </c>
      <c r="F3857" s="1671">
        <v>4</v>
      </c>
      <c r="G3857" s="1674"/>
      <c r="H3857" s="1671">
        <f t="shared" si="605"/>
        <v>0</v>
      </c>
      <c r="I3857" s="688" t="s">
        <v>92</v>
      </c>
      <c r="J3857" s="1668"/>
      <c r="K3857" s="1668"/>
      <c r="L3857" s="1669"/>
    </row>
    <row r="3858" spans="1:12" s="692" customFormat="1" ht="16.5" hidden="1">
      <c r="A3858" s="1665"/>
      <c r="B3858" s="1666"/>
      <c r="C3858" s="688"/>
      <c r="D3858" s="1667"/>
      <c r="E3858" s="688"/>
      <c r="F3858" s="688"/>
      <c r="G3858" s="1674" t="s">
        <v>928</v>
      </c>
      <c r="H3858" s="1671">
        <f>SUM(H3852:H3857)</f>
        <v>0</v>
      </c>
      <c r="I3858" s="1668" t="s">
        <v>92</v>
      </c>
      <c r="J3858" s="1669">
        <f>'Lead &amp; ANALYSIS'!L769</f>
        <v>642.79999999999995</v>
      </c>
      <c r="K3858" s="1668" t="s">
        <v>1514</v>
      </c>
      <c r="L3858" s="1669">
        <f t="shared" ref="L3858" si="606">ROUND(H3858*J3858,0)</f>
        <v>0</v>
      </c>
    </row>
    <row r="3859" spans="1:12" s="692" customFormat="1" ht="16.5" hidden="1">
      <c r="A3859" s="1665" t="s">
        <v>432</v>
      </c>
      <c r="B3859" s="1666" t="s">
        <v>3622</v>
      </c>
      <c r="C3859" s="688"/>
      <c r="D3859" s="1667"/>
      <c r="E3859" s="688"/>
      <c r="F3859" s="688"/>
      <c r="G3859" s="1674"/>
      <c r="H3859" s="688"/>
      <c r="I3859" s="1668"/>
      <c r="J3859" s="1668"/>
      <c r="K3859" s="1668"/>
      <c r="L3859" s="1669"/>
    </row>
    <row r="3860" spans="1:12" s="692" customFormat="1" ht="16.5" hidden="1">
      <c r="A3860" s="1665"/>
      <c r="B3860" s="1666"/>
      <c r="C3860" s="688"/>
      <c r="D3860" s="1667"/>
      <c r="E3860" s="1671">
        <v>3.5</v>
      </c>
      <c r="F3860" s="1672"/>
      <c r="G3860" s="1671">
        <v>4</v>
      </c>
      <c r="H3860" s="1671">
        <f t="shared" ref="H3860:H3865" si="607">ROUND(D3860*E3860*G3860,2)</f>
        <v>0</v>
      </c>
      <c r="I3860" s="1671" t="s">
        <v>92</v>
      </c>
      <c r="J3860" s="1668"/>
      <c r="K3860" s="1668"/>
      <c r="L3860" s="1669"/>
    </row>
    <row r="3861" spans="1:12" s="692" customFormat="1" ht="16.5" hidden="1">
      <c r="A3861" s="1665"/>
      <c r="B3861" s="1666"/>
      <c r="C3861" s="688"/>
      <c r="D3861" s="1667"/>
      <c r="E3861" s="1671">
        <v>3.5</v>
      </c>
      <c r="F3861" s="1672"/>
      <c r="G3861" s="1671">
        <v>4</v>
      </c>
      <c r="H3861" s="1671">
        <f t="shared" si="607"/>
        <v>0</v>
      </c>
      <c r="I3861" s="1671" t="s">
        <v>92</v>
      </c>
      <c r="J3861" s="1668"/>
      <c r="K3861" s="1668"/>
      <c r="L3861" s="1669"/>
    </row>
    <row r="3862" spans="1:12" s="692" customFormat="1" ht="16.5" hidden="1">
      <c r="A3862" s="1665"/>
      <c r="B3862" s="1666"/>
      <c r="C3862" s="688"/>
      <c r="D3862" s="1667"/>
      <c r="E3862" s="1671">
        <v>3.5</v>
      </c>
      <c r="F3862" s="1672"/>
      <c r="G3862" s="1671">
        <v>4</v>
      </c>
      <c r="H3862" s="1671">
        <f t="shared" si="607"/>
        <v>0</v>
      </c>
      <c r="I3862" s="1671" t="s">
        <v>92</v>
      </c>
      <c r="J3862" s="1668"/>
      <c r="K3862" s="1668"/>
      <c r="L3862" s="1669"/>
    </row>
    <row r="3863" spans="1:12" s="692" customFormat="1" ht="16.5" hidden="1">
      <c r="A3863" s="1665"/>
      <c r="B3863" s="1666"/>
      <c r="C3863" s="688"/>
      <c r="D3863" s="1667"/>
      <c r="E3863" s="1671">
        <v>3.5</v>
      </c>
      <c r="F3863" s="1672"/>
      <c r="G3863" s="1671">
        <v>4</v>
      </c>
      <c r="H3863" s="1671">
        <f t="shared" si="607"/>
        <v>0</v>
      </c>
      <c r="I3863" s="1671" t="s">
        <v>92</v>
      </c>
      <c r="J3863" s="1668"/>
      <c r="K3863" s="1668"/>
      <c r="L3863" s="1669"/>
    </row>
    <row r="3864" spans="1:12" s="692" customFormat="1" ht="16.5" hidden="1">
      <c r="A3864" s="1665"/>
      <c r="B3864" s="1666"/>
      <c r="C3864" s="688"/>
      <c r="D3864" s="1667"/>
      <c r="E3864" s="1671">
        <v>3.5</v>
      </c>
      <c r="F3864" s="1672"/>
      <c r="G3864" s="1671">
        <v>4</v>
      </c>
      <c r="H3864" s="1671">
        <f t="shared" si="607"/>
        <v>0</v>
      </c>
      <c r="I3864" s="1671" t="s">
        <v>92</v>
      </c>
      <c r="J3864" s="1668"/>
      <c r="K3864" s="1668"/>
      <c r="L3864" s="1669"/>
    </row>
    <row r="3865" spans="1:12" s="692" customFormat="1" ht="16.5" hidden="1">
      <c r="A3865" s="1665"/>
      <c r="B3865" s="1666"/>
      <c r="C3865" s="688"/>
      <c r="D3865" s="1667"/>
      <c r="E3865" s="1671">
        <v>3.5</v>
      </c>
      <c r="F3865" s="1672"/>
      <c r="G3865" s="1671">
        <v>4</v>
      </c>
      <c r="H3865" s="1671">
        <f t="shared" si="607"/>
        <v>0</v>
      </c>
      <c r="I3865" s="1671" t="s">
        <v>92</v>
      </c>
      <c r="J3865" s="1668"/>
      <c r="K3865" s="1668"/>
      <c r="L3865" s="1669"/>
    </row>
    <row r="3866" spans="1:12" s="692" customFormat="1" ht="16.5" hidden="1">
      <c r="A3866" s="1665"/>
      <c r="B3866" s="1666"/>
      <c r="C3866" s="688"/>
      <c r="D3866" s="1667"/>
      <c r="E3866" s="688"/>
      <c r="F3866" s="688"/>
      <c r="G3866" s="1665" t="s">
        <v>928</v>
      </c>
      <c r="H3866" s="1673">
        <f>SUM(H3860:H3865)</f>
        <v>0</v>
      </c>
      <c r="I3866" s="1668" t="s">
        <v>92</v>
      </c>
      <c r="J3866" s="1669">
        <f>'Lead &amp; ANALYSIS'!L770</f>
        <v>653.9</v>
      </c>
      <c r="K3866" s="1668" t="s">
        <v>1514</v>
      </c>
      <c r="L3866" s="1669">
        <f t="shared" ref="L3866" si="608">ROUND(H3866*J3866,0)</f>
        <v>0</v>
      </c>
    </row>
    <row r="3867" spans="1:12" s="692" customFormat="1" ht="16.5" hidden="1">
      <c r="A3867" s="1665" t="s">
        <v>443</v>
      </c>
      <c r="B3867" s="1666" t="s">
        <v>3636</v>
      </c>
      <c r="C3867" s="688"/>
      <c r="D3867" s="1667"/>
      <c r="E3867" s="688"/>
      <c r="F3867" s="688"/>
      <c r="G3867" s="1674"/>
      <c r="H3867" s="688"/>
      <c r="I3867" s="1668"/>
      <c r="J3867" s="1668"/>
      <c r="K3867" s="1668"/>
      <c r="L3867" s="1669"/>
    </row>
    <row r="3868" spans="1:12" s="692" customFormat="1" ht="16.5" hidden="1">
      <c r="A3868" s="1665"/>
      <c r="B3868" s="1666"/>
      <c r="C3868" s="688"/>
      <c r="D3868" s="1667"/>
      <c r="E3868" s="1671">
        <v>3.5</v>
      </c>
      <c r="F3868" s="1672"/>
      <c r="G3868" s="1671">
        <v>4</v>
      </c>
      <c r="H3868" s="1671">
        <f t="shared" ref="H3868:H3873" si="609">ROUND(D3868*E3868*G3868,2)</f>
        <v>0</v>
      </c>
      <c r="I3868" s="1671" t="s">
        <v>92</v>
      </c>
      <c r="J3868" s="1668"/>
      <c r="K3868" s="1668"/>
      <c r="L3868" s="1669"/>
    </row>
    <row r="3869" spans="1:12" s="692" customFormat="1" ht="16.5" hidden="1">
      <c r="A3869" s="1665"/>
      <c r="B3869" s="1666"/>
      <c r="C3869" s="688"/>
      <c r="D3869" s="1667"/>
      <c r="E3869" s="1671">
        <v>3.5</v>
      </c>
      <c r="F3869" s="1672"/>
      <c r="G3869" s="1671">
        <v>4</v>
      </c>
      <c r="H3869" s="1671">
        <f t="shared" si="609"/>
        <v>0</v>
      </c>
      <c r="I3869" s="1671" t="s">
        <v>92</v>
      </c>
      <c r="J3869" s="1668"/>
      <c r="K3869" s="1668"/>
      <c r="L3869" s="1669"/>
    </row>
    <row r="3870" spans="1:12" s="692" customFormat="1" ht="16.5" hidden="1">
      <c r="A3870" s="1665"/>
      <c r="B3870" s="1666"/>
      <c r="C3870" s="688"/>
      <c r="D3870" s="1667"/>
      <c r="E3870" s="1671">
        <v>3.5</v>
      </c>
      <c r="F3870" s="1672"/>
      <c r="G3870" s="1671">
        <v>4</v>
      </c>
      <c r="H3870" s="1671">
        <f t="shared" si="609"/>
        <v>0</v>
      </c>
      <c r="I3870" s="1671" t="s">
        <v>92</v>
      </c>
      <c r="J3870" s="1668"/>
      <c r="K3870" s="1668"/>
      <c r="L3870" s="1669"/>
    </row>
    <row r="3871" spans="1:12" s="692" customFormat="1" ht="16.5" hidden="1">
      <c r="A3871" s="1665"/>
      <c r="B3871" s="1666"/>
      <c r="C3871" s="688"/>
      <c r="D3871" s="1667"/>
      <c r="E3871" s="1671">
        <v>3.5</v>
      </c>
      <c r="F3871" s="1672"/>
      <c r="G3871" s="1671">
        <v>4</v>
      </c>
      <c r="H3871" s="1671">
        <f t="shared" si="609"/>
        <v>0</v>
      </c>
      <c r="I3871" s="1671" t="s">
        <v>92</v>
      </c>
      <c r="J3871" s="1668"/>
      <c r="K3871" s="1668"/>
      <c r="L3871" s="1669"/>
    </row>
    <row r="3872" spans="1:12" s="692" customFormat="1" ht="16.5" hidden="1">
      <c r="A3872" s="1665"/>
      <c r="B3872" s="1666"/>
      <c r="C3872" s="688"/>
      <c r="D3872" s="1667"/>
      <c r="E3872" s="1671">
        <v>3.5</v>
      </c>
      <c r="F3872" s="1672"/>
      <c r="G3872" s="1671">
        <v>4</v>
      </c>
      <c r="H3872" s="1671">
        <f t="shared" si="609"/>
        <v>0</v>
      </c>
      <c r="I3872" s="1671" t="s">
        <v>92</v>
      </c>
      <c r="J3872" s="1668"/>
      <c r="K3872" s="1668"/>
      <c r="L3872" s="1669"/>
    </row>
    <row r="3873" spans="1:12" s="692" customFormat="1" ht="16.5" hidden="1">
      <c r="A3873" s="1665"/>
      <c r="B3873" s="1666"/>
      <c r="C3873" s="688"/>
      <c r="D3873" s="1667"/>
      <c r="E3873" s="1671">
        <v>3.5</v>
      </c>
      <c r="F3873" s="1672"/>
      <c r="G3873" s="1671">
        <v>4</v>
      </c>
      <c r="H3873" s="1671">
        <f t="shared" si="609"/>
        <v>0</v>
      </c>
      <c r="I3873" s="1671" t="s">
        <v>92</v>
      </c>
      <c r="J3873" s="1668"/>
      <c r="K3873" s="1668"/>
      <c r="L3873" s="1669"/>
    </row>
    <row r="3874" spans="1:12" s="692" customFormat="1" ht="16.5" hidden="1">
      <c r="A3874" s="1665"/>
      <c r="B3874" s="1666"/>
      <c r="C3874" s="688"/>
      <c r="D3874" s="1667"/>
      <c r="E3874" s="688"/>
      <c r="F3874" s="688"/>
      <c r="G3874" s="1665" t="s">
        <v>928</v>
      </c>
      <c r="H3874" s="1673">
        <f>SUM(H3868:H3873)</f>
        <v>0</v>
      </c>
      <c r="I3874" s="1668" t="s">
        <v>92</v>
      </c>
      <c r="J3874" s="1669">
        <f>'Lead &amp; ANALYSIS'!L771</f>
        <v>665.5</v>
      </c>
      <c r="K3874" s="1668" t="s">
        <v>1514</v>
      </c>
      <c r="L3874" s="1669">
        <f t="shared" ref="L3874" si="610">ROUND(H3874*J3874,0)</f>
        <v>0</v>
      </c>
    </row>
    <row r="3875" spans="1:12" s="692" customFormat="1" ht="16.5">
      <c r="A3875" s="1665" t="s">
        <v>476</v>
      </c>
      <c r="B3875" s="1666" t="s">
        <v>228</v>
      </c>
      <c r="C3875" s="688"/>
      <c r="D3875" s="1667"/>
      <c r="E3875" s="688"/>
      <c r="F3875" s="688"/>
      <c r="G3875" s="1674"/>
      <c r="H3875" s="688"/>
      <c r="I3875" s="1668"/>
      <c r="J3875" s="1668"/>
      <c r="K3875" s="1668"/>
      <c r="L3875" s="1669"/>
    </row>
    <row r="3876" spans="1:12" s="692" customFormat="1" ht="16.5" hidden="1">
      <c r="A3876" s="1665" t="s">
        <v>383</v>
      </c>
      <c r="B3876" s="1666" t="s">
        <v>384</v>
      </c>
      <c r="C3876" s="688"/>
      <c r="D3876" s="1667"/>
      <c r="E3876" s="688"/>
      <c r="F3876" s="688"/>
      <c r="G3876" s="1674"/>
      <c r="H3876" s="688"/>
      <c r="I3876" s="1668"/>
      <c r="J3876" s="1668"/>
      <c r="K3876" s="1668"/>
      <c r="L3876" s="1669"/>
    </row>
    <row r="3877" spans="1:12" s="692" customFormat="1" ht="16.5">
      <c r="A3877" s="1665"/>
      <c r="B3877" s="1666" t="s">
        <v>3760</v>
      </c>
      <c r="C3877" s="688"/>
      <c r="D3877" s="1667">
        <v>3</v>
      </c>
      <c r="E3877" s="1671">
        <v>17.25</v>
      </c>
      <c r="F3877" s="1671">
        <v>0.375</v>
      </c>
      <c r="G3877" s="1674"/>
      <c r="H3877" s="1671">
        <f t="shared" ref="H3877:H3882" si="611">ROUND(D3877*E3877*F3877,2)</f>
        <v>19.41</v>
      </c>
      <c r="I3877" s="688" t="s">
        <v>92</v>
      </c>
      <c r="J3877" s="1668"/>
      <c r="K3877" s="1668"/>
      <c r="L3877" s="1669"/>
    </row>
    <row r="3878" spans="1:12" s="692" customFormat="1" ht="16.5">
      <c r="A3878" s="1665"/>
      <c r="B3878" s="1666" t="s">
        <v>3761</v>
      </c>
      <c r="C3878" s="688"/>
      <c r="D3878" s="1667">
        <v>3</v>
      </c>
      <c r="E3878" s="1671">
        <f>E3877</f>
        <v>17.25</v>
      </c>
      <c r="F3878" s="1671">
        <v>0.15</v>
      </c>
      <c r="G3878" s="1674"/>
      <c r="H3878" s="1671">
        <f t="shared" si="611"/>
        <v>7.76</v>
      </c>
      <c r="I3878" s="688" t="s">
        <v>92</v>
      </c>
      <c r="J3878" s="1668"/>
      <c r="K3878" s="1668"/>
      <c r="L3878" s="1669"/>
    </row>
    <row r="3879" spans="1:12" s="692" customFormat="1" ht="16.5" hidden="1">
      <c r="A3879" s="1665"/>
      <c r="B3879" s="1666"/>
      <c r="C3879" s="688"/>
      <c r="D3879" s="1667"/>
      <c r="E3879" s="1671">
        <v>3.5</v>
      </c>
      <c r="F3879" s="1671">
        <v>4</v>
      </c>
      <c r="G3879" s="1674"/>
      <c r="H3879" s="1671">
        <f t="shared" si="611"/>
        <v>0</v>
      </c>
      <c r="I3879" s="688" t="s">
        <v>92</v>
      </c>
      <c r="J3879" s="1668"/>
      <c r="K3879" s="1668"/>
      <c r="L3879" s="1669"/>
    </row>
    <row r="3880" spans="1:12" s="692" customFormat="1" ht="16.5" hidden="1">
      <c r="A3880" s="1665"/>
      <c r="B3880" s="1666"/>
      <c r="C3880" s="688"/>
      <c r="D3880" s="1667"/>
      <c r="E3880" s="1671">
        <v>3.5</v>
      </c>
      <c r="F3880" s="1671">
        <v>4</v>
      </c>
      <c r="G3880" s="1674"/>
      <c r="H3880" s="1671">
        <f t="shared" si="611"/>
        <v>0</v>
      </c>
      <c r="I3880" s="688" t="s">
        <v>92</v>
      </c>
      <c r="J3880" s="1668"/>
      <c r="K3880" s="1668"/>
      <c r="L3880" s="1669"/>
    </row>
    <row r="3881" spans="1:12" s="692" customFormat="1" ht="16.5" hidden="1">
      <c r="A3881" s="1665"/>
      <c r="B3881" s="1666"/>
      <c r="C3881" s="688"/>
      <c r="D3881" s="1667"/>
      <c r="E3881" s="1671">
        <v>3.5</v>
      </c>
      <c r="F3881" s="1671">
        <v>4</v>
      </c>
      <c r="G3881" s="1674"/>
      <c r="H3881" s="1671">
        <f t="shared" si="611"/>
        <v>0</v>
      </c>
      <c r="I3881" s="688" t="s">
        <v>92</v>
      </c>
      <c r="J3881" s="1668"/>
      <c r="K3881" s="1668"/>
      <c r="L3881" s="1669"/>
    </row>
    <row r="3882" spans="1:12" s="692" customFormat="1" ht="16.5" hidden="1">
      <c r="A3882" s="1665"/>
      <c r="B3882" s="1666"/>
      <c r="C3882" s="688"/>
      <c r="D3882" s="1667"/>
      <c r="E3882" s="1671">
        <v>3.5</v>
      </c>
      <c r="F3882" s="1671">
        <v>4</v>
      </c>
      <c r="G3882" s="1674"/>
      <c r="H3882" s="1671">
        <f t="shared" si="611"/>
        <v>0</v>
      </c>
      <c r="I3882" s="688" t="s">
        <v>92</v>
      </c>
      <c r="J3882" s="1668"/>
      <c r="K3882" s="1668"/>
      <c r="L3882" s="1669"/>
    </row>
    <row r="3883" spans="1:12" s="692" customFormat="1" ht="16.5">
      <c r="A3883" s="1665"/>
      <c r="B3883" s="1666"/>
      <c r="C3883" s="688"/>
      <c r="D3883" s="1667"/>
      <c r="E3883" s="688"/>
      <c r="F3883" s="688"/>
      <c r="G3883" s="1674" t="s">
        <v>928</v>
      </c>
      <c r="H3883" s="1671">
        <f>SUM(H3877:H3882)</f>
        <v>27.17</v>
      </c>
      <c r="I3883" s="1668" t="s">
        <v>92</v>
      </c>
      <c r="J3883" s="1669">
        <f>'Lead &amp; ANALYSIS'!L773</f>
        <v>847.4</v>
      </c>
      <c r="K3883" s="1668" t="s">
        <v>1514</v>
      </c>
      <c r="L3883" s="1669">
        <f t="shared" ref="L3883" si="612">ROUND(H3883*J3883,0)</f>
        <v>23024</v>
      </c>
    </row>
    <row r="3884" spans="1:12" s="692" customFormat="1" ht="16.5" hidden="1">
      <c r="A3884" s="1665" t="s">
        <v>386</v>
      </c>
      <c r="B3884" s="1666" t="s">
        <v>387</v>
      </c>
      <c r="C3884" s="688"/>
      <c r="D3884" s="1667"/>
      <c r="E3884" s="688"/>
      <c r="F3884" s="688"/>
      <c r="G3884" s="1674"/>
      <c r="H3884" s="688"/>
      <c r="I3884" s="1668"/>
      <c r="J3884" s="1668"/>
      <c r="K3884" s="1668"/>
      <c r="L3884" s="1669"/>
    </row>
    <row r="3885" spans="1:12" s="692" customFormat="1" ht="16.5" hidden="1">
      <c r="A3885" s="1665"/>
      <c r="B3885" s="1666"/>
      <c r="C3885" s="688"/>
      <c r="D3885" s="1667"/>
      <c r="E3885" s="1671">
        <v>3.5</v>
      </c>
      <c r="F3885" s="1671">
        <v>4</v>
      </c>
      <c r="G3885" s="1674"/>
      <c r="H3885" s="1671">
        <f t="shared" ref="H3885:H3890" si="613">ROUND(D3885*E3885*F3885,2)</f>
        <v>0</v>
      </c>
      <c r="I3885" s="688" t="s">
        <v>92</v>
      </c>
      <c r="J3885" s="1668"/>
      <c r="K3885" s="1668"/>
      <c r="L3885" s="1669"/>
    </row>
    <row r="3886" spans="1:12" s="692" customFormat="1" ht="16.5" hidden="1">
      <c r="A3886" s="1665"/>
      <c r="B3886" s="1666"/>
      <c r="C3886" s="688"/>
      <c r="D3886" s="1667"/>
      <c r="E3886" s="1671">
        <v>3.5</v>
      </c>
      <c r="F3886" s="1671">
        <v>4</v>
      </c>
      <c r="G3886" s="1674"/>
      <c r="H3886" s="1671">
        <f t="shared" si="613"/>
        <v>0</v>
      </c>
      <c r="I3886" s="688" t="s">
        <v>92</v>
      </c>
      <c r="J3886" s="1668"/>
      <c r="K3886" s="1668"/>
      <c r="L3886" s="1669"/>
    </row>
    <row r="3887" spans="1:12" s="692" customFormat="1" ht="16.5" hidden="1">
      <c r="A3887" s="1665"/>
      <c r="B3887" s="1666"/>
      <c r="C3887" s="688"/>
      <c r="D3887" s="1667"/>
      <c r="E3887" s="1671">
        <v>3.5</v>
      </c>
      <c r="F3887" s="1671">
        <v>4</v>
      </c>
      <c r="G3887" s="1674"/>
      <c r="H3887" s="1671">
        <f t="shared" si="613"/>
        <v>0</v>
      </c>
      <c r="I3887" s="688" t="s">
        <v>92</v>
      </c>
      <c r="J3887" s="1668"/>
      <c r="K3887" s="1668"/>
      <c r="L3887" s="1669"/>
    </row>
    <row r="3888" spans="1:12" s="692" customFormat="1" ht="16.5" hidden="1">
      <c r="A3888" s="1665"/>
      <c r="B3888" s="1666"/>
      <c r="C3888" s="688"/>
      <c r="D3888" s="1667"/>
      <c r="E3888" s="1671">
        <v>3.5</v>
      </c>
      <c r="F3888" s="1671">
        <v>4</v>
      </c>
      <c r="G3888" s="1674"/>
      <c r="H3888" s="1671">
        <f t="shared" si="613"/>
        <v>0</v>
      </c>
      <c r="I3888" s="688" t="s">
        <v>92</v>
      </c>
      <c r="J3888" s="1668"/>
      <c r="K3888" s="1668"/>
      <c r="L3888" s="1669"/>
    </row>
    <row r="3889" spans="1:12" s="692" customFormat="1" ht="16.5" hidden="1">
      <c r="A3889" s="1665"/>
      <c r="B3889" s="1666"/>
      <c r="C3889" s="688"/>
      <c r="D3889" s="1667"/>
      <c r="E3889" s="1671">
        <v>3.5</v>
      </c>
      <c r="F3889" s="1671">
        <v>4</v>
      </c>
      <c r="G3889" s="1674"/>
      <c r="H3889" s="1671">
        <f t="shared" si="613"/>
        <v>0</v>
      </c>
      <c r="I3889" s="688" t="s">
        <v>92</v>
      </c>
      <c r="J3889" s="1668"/>
      <c r="K3889" s="1668"/>
      <c r="L3889" s="1669"/>
    </row>
    <row r="3890" spans="1:12" s="692" customFormat="1" ht="16.5" hidden="1">
      <c r="A3890" s="1665"/>
      <c r="B3890" s="1666"/>
      <c r="C3890" s="688"/>
      <c r="D3890" s="1667"/>
      <c r="E3890" s="1671">
        <v>3.5</v>
      </c>
      <c r="F3890" s="1671">
        <v>4</v>
      </c>
      <c r="G3890" s="1674"/>
      <c r="H3890" s="1671">
        <f t="shared" si="613"/>
        <v>0</v>
      </c>
      <c r="I3890" s="688" t="s">
        <v>92</v>
      </c>
      <c r="J3890" s="1668"/>
      <c r="K3890" s="1668"/>
      <c r="L3890" s="1669"/>
    </row>
    <row r="3891" spans="1:12" s="692" customFormat="1" ht="16.5" hidden="1">
      <c r="A3891" s="1665"/>
      <c r="B3891" s="1666"/>
      <c r="C3891" s="688"/>
      <c r="D3891" s="1667"/>
      <c r="E3891" s="688"/>
      <c r="F3891" s="688"/>
      <c r="G3891" s="1674" t="s">
        <v>928</v>
      </c>
      <c r="H3891" s="1671">
        <f>SUM(H3885:H3890)</f>
        <v>0</v>
      </c>
      <c r="I3891" s="1668" t="s">
        <v>92</v>
      </c>
      <c r="J3891" s="1669">
        <f>'Lead &amp; ANALYSIS'!L774</f>
        <v>858</v>
      </c>
      <c r="K3891" s="1668" t="s">
        <v>1514</v>
      </c>
      <c r="L3891" s="1669">
        <f t="shared" ref="L3891" si="614">ROUND(H3891*J3891,0)</f>
        <v>0</v>
      </c>
    </row>
    <row r="3892" spans="1:12" s="692" customFormat="1" ht="16.5" hidden="1">
      <c r="A3892" s="1665" t="s">
        <v>432</v>
      </c>
      <c r="B3892" s="1666" t="s">
        <v>3622</v>
      </c>
      <c r="C3892" s="688"/>
      <c r="D3892" s="1667"/>
      <c r="E3892" s="688"/>
      <c r="F3892" s="688"/>
      <c r="G3892" s="1674"/>
      <c r="H3892" s="688"/>
      <c r="I3892" s="1668"/>
      <c r="J3892" s="1668"/>
      <c r="K3892" s="1668"/>
      <c r="L3892" s="1669"/>
    </row>
    <row r="3893" spans="1:12" s="692" customFormat="1" ht="16.5" hidden="1">
      <c r="A3893" s="1665"/>
      <c r="B3893" s="1666"/>
      <c r="C3893" s="688"/>
      <c r="D3893" s="1667"/>
      <c r="E3893" s="1671">
        <v>3.5</v>
      </c>
      <c r="F3893" s="1672"/>
      <c r="G3893" s="1671">
        <v>4</v>
      </c>
      <c r="H3893" s="1671">
        <f t="shared" ref="H3893:H3898" si="615">ROUND(D3893*E3893*G3893,2)</f>
        <v>0</v>
      </c>
      <c r="I3893" s="1671" t="s">
        <v>92</v>
      </c>
      <c r="J3893" s="1668"/>
      <c r="K3893" s="1668"/>
      <c r="L3893" s="1669"/>
    </row>
    <row r="3894" spans="1:12" s="692" customFormat="1" ht="16.5" hidden="1">
      <c r="A3894" s="1665"/>
      <c r="B3894" s="1666"/>
      <c r="C3894" s="688"/>
      <c r="D3894" s="1667"/>
      <c r="E3894" s="1671">
        <v>3.5</v>
      </c>
      <c r="F3894" s="1672"/>
      <c r="G3894" s="1671">
        <v>4</v>
      </c>
      <c r="H3894" s="1671">
        <f t="shared" si="615"/>
        <v>0</v>
      </c>
      <c r="I3894" s="1671" t="s">
        <v>92</v>
      </c>
      <c r="J3894" s="1668"/>
      <c r="K3894" s="1668"/>
      <c r="L3894" s="1669"/>
    </row>
    <row r="3895" spans="1:12" s="692" customFormat="1" ht="16.5" hidden="1">
      <c r="A3895" s="1665"/>
      <c r="B3895" s="1666"/>
      <c r="C3895" s="688"/>
      <c r="D3895" s="1667"/>
      <c r="E3895" s="1671">
        <v>3.5</v>
      </c>
      <c r="F3895" s="1672"/>
      <c r="G3895" s="1671">
        <v>4</v>
      </c>
      <c r="H3895" s="1671">
        <f t="shared" si="615"/>
        <v>0</v>
      </c>
      <c r="I3895" s="1671" t="s">
        <v>92</v>
      </c>
      <c r="J3895" s="1668"/>
      <c r="K3895" s="1668"/>
      <c r="L3895" s="1669"/>
    </row>
    <row r="3896" spans="1:12" s="692" customFormat="1" ht="16.5" hidden="1">
      <c r="A3896" s="1665"/>
      <c r="B3896" s="1666"/>
      <c r="C3896" s="688"/>
      <c r="D3896" s="1667"/>
      <c r="E3896" s="1671">
        <v>3.5</v>
      </c>
      <c r="F3896" s="1672"/>
      <c r="G3896" s="1671">
        <v>4</v>
      </c>
      <c r="H3896" s="1671">
        <f t="shared" si="615"/>
        <v>0</v>
      </c>
      <c r="I3896" s="1671" t="s">
        <v>92</v>
      </c>
      <c r="J3896" s="1668"/>
      <c r="K3896" s="1668"/>
      <c r="L3896" s="1669"/>
    </row>
    <row r="3897" spans="1:12" s="692" customFormat="1" ht="16.5" hidden="1">
      <c r="A3897" s="1665"/>
      <c r="B3897" s="1666"/>
      <c r="C3897" s="688"/>
      <c r="D3897" s="1667"/>
      <c r="E3897" s="1671">
        <v>3.5</v>
      </c>
      <c r="F3897" s="1672"/>
      <c r="G3897" s="1671">
        <v>4</v>
      </c>
      <c r="H3897" s="1671">
        <f t="shared" si="615"/>
        <v>0</v>
      </c>
      <c r="I3897" s="1671" t="s">
        <v>92</v>
      </c>
      <c r="J3897" s="1668"/>
      <c r="K3897" s="1668"/>
      <c r="L3897" s="1669"/>
    </row>
    <row r="3898" spans="1:12" s="692" customFormat="1" ht="16.5" hidden="1">
      <c r="A3898" s="1665"/>
      <c r="B3898" s="1666"/>
      <c r="C3898" s="688"/>
      <c r="D3898" s="1667"/>
      <c r="E3898" s="1671">
        <v>3.5</v>
      </c>
      <c r="F3898" s="1672"/>
      <c r="G3898" s="1671">
        <v>4</v>
      </c>
      <c r="H3898" s="1671">
        <f t="shared" si="615"/>
        <v>0</v>
      </c>
      <c r="I3898" s="1671" t="s">
        <v>92</v>
      </c>
      <c r="J3898" s="1668"/>
      <c r="K3898" s="1668"/>
      <c r="L3898" s="1669"/>
    </row>
    <row r="3899" spans="1:12" s="692" customFormat="1" ht="16.5" hidden="1">
      <c r="A3899" s="1665"/>
      <c r="B3899" s="1666"/>
      <c r="C3899" s="688"/>
      <c r="D3899" s="1667"/>
      <c r="E3899" s="688"/>
      <c r="F3899" s="688"/>
      <c r="G3899" s="1665" t="s">
        <v>928</v>
      </c>
      <c r="H3899" s="1673">
        <f>SUM(H3893:H3898)</f>
        <v>0</v>
      </c>
      <c r="I3899" s="1668" t="s">
        <v>92</v>
      </c>
      <c r="J3899" s="1669">
        <f>'Lead &amp; ANALYSIS'!L775</f>
        <v>869</v>
      </c>
      <c r="K3899" s="1668" t="s">
        <v>1514</v>
      </c>
      <c r="L3899" s="1669">
        <f t="shared" ref="L3899" si="616">ROUND(H3899*J3899,0)</f>
        <v>0</v>
      </c>
    </row>
    <row r="3900" spans="1:12" s="692" customFormat="1" ht="16.5" hidden="1">
      <c r="A3900" s="1665" t="s">
        <v>443</v>
      </c>
      <c r="B3900" s="1666" t="s">
        <v>3636</v>
      </c>
      <c r="C3900" s="688"/>
      <c r="D3900" s="1667"/>
      <c r="E3900" s="688"/>
      <c r="F3900" s="688"/>
      <c r="G3900" s="1674"/>
      <c r="H3900" s="688"/>
      <c r="I3900" s="1668"/>
      <c r="J3900" s="1668"/>
      <c r="K3900" s="1668"/>
      <c r="L3900" s="1669"/>
    </row>
    <row r="3901" spans="1:12" s="692" customFormat="1" ht="16.5" hidden="1">
      <c r="A3901" s="1665"/>
      <c r="B3901" s="1666"/>
      <c r="C3901" s="688"/>
      <c r="D3901" s="1667"/>
      <c r="E3901" s="1671">
        <v>3.5</v>
      </c>
      <c r="F3901" s="1672"/>
      <c r="G3901" s="1671">
        <v>4</v>
      </c>
      <c r="H3901" s="1671">
        <f t="shared" ref="H3901:H3906" si="617">ROUND(D3901*E3901*G3901,2)</f>
        <v>0</v>
      </c>
      <c r="I3901" s="1671" t="s">
        <v>92</v>
      </c>
      <c r="J3901" s="1668"/>
      <c r="K3901" s="1668"/>
      <c r="L3901" s="1669"/>
    </row>
    <row r="3902" spans="1:12" s="692" customFormat="1" ht="16.5" hidden="1">
      <c r="A3902" s="1665"/>
      <c r="B3902" s="1666"/>
      <c r="C3902" s="688"/>
      <c r="D3902" s="1667"/>
      <c r="E3902" s="1671">
        <v>3.5</v>
      </c>
      <c r="F3902" s="1672"/>
      <c r="G3902" s="1671">
        <v>4</v>
      </c>
      <c r="H3902" s="1671">
        <f t="shared" si="617"/>
        <v>0</v>
      </c>
      <c r="I3902" s="1671" t="s">
        <v>92</v>
      </c>
      <c r="J3902" s="1668"/>
      <c r="K3902" s="1668"/>
      <c r="L3902" s="1669"/>
    </row>
    <row r="3903" spans="1:12" s="692" customFormat="1" ht="16.5" hidden="1">
      <c r="A3903" s="1665"/>
      <c r="B3903" s="1666"/>
      <c r="C3903" s="688"/>
      <c r="D3903" s="1667"/>
      <c r="E3903" s="1671">
        <v>3.5</v>
      </c>
      <c r="F3903" s="1672"/>
      <c r="G3903" s="1671">
        <v>4</v>
      </c>
      <c r="H3903" s="1671">
        <f t="shared" si="617"/>
        <v>0</v>
      </c>
      <c r="I3903" s="1671" t="s">
        <v>92</v>
      </c>
      <c r="J3903" s="1668"/>
      <c r="K3903" s="1668"/>
      <c r="L3903" s="1669"/>
    </row>
    <row r="3904" spans="1:12" s="692" customFormat="1" ht="16.5" hidden="1">
      <c r="A3904" s="1665"/>
      <c r="B3904" s="1666"/>
      <c r="C3904" s="688"/>
      <c r="D3904" s="1667"/>
      <c r="E3904" s="1671">
        <v>3.5</v>
      </c>
      <c r="F3904" s="1672"/>
      <c r="G3904" s="1671">
        <v>4</v>
      </c>
      <c r="H3904" s="1671">
        <f t="shared" si="617"/>
        <v>0</v>
      </c>
      <c r="I3904" s="1671" t="s">
        <v>92</v>
      </c>
      <c r="J3904" s="1668"/>
      <c r="K3904" s="1668"/>
      <c r="L3904" s="1669"/>
    </row>
    <row r="3905" spans="1:12" s="692" customFormat="1" ht="16.5" hidden="1">
      <c r="A3905" s="1665"/>
      <c r="B3905" s="1666"/>
      <c r="C3905" s="688"/>
      <c r="D3905" s="1667"/>
      <c r="E3905" s="1671">
        <v>3.5</v>
      </c>
      <c r="F3905" s="1672"/>
      <c r="G3905" s="1671">
        <v>4</v>
      </c>
      <c r="H3905" s="1671">
        <f t="shared" si="617"/>
        <v>0</v>
      </c>
      <c r="I3905" s="1671" t="s">
        <v>92</v>
      </c>
      <c r="J3905" s="1668"/>
      <c r="K3905" s="1668"/>
      <c r="L3905" s="1669"/>
    </row>
    <row r="3906" spans="1:12" s="692" customFormat="1" ht="16.5" hidden="1">
      <c r="A3906" s="1665"/>
      <c r="B3906" s="1666"/>
      <c r="C3906" s="688"/>
      <c r="D3906" s="1667"/>
      <c r="E3906" s="1671">
        <v>3.5</v>
      </c>
      <c r="F3906" s="1672"/>
      <c r="G3906" s="1671">
        <v>4</v>
      </c>
      <c r="H3906" s="1671">
        <f t="shared" si="617"/>
        <v>0</v>
      </c>
      <c r="I3906" s="1671" t="s">
        <v>92</v>
      </c>
      <c r="J3906" s="1668"/>
      <c r="K3906" s="1668"/>
      <c r="L3906" s="1669"/>
    </row>
    <row r="3907" spans="1:12" s="692" customFormat="1" ht="16.5" hidden="1">
      <c r="A3907" s="1665"/>
      <c r="B3907" s="1666"/>
      <c r="C3907" s="688"/>
      <c r="D3907" s="1667"/>
      <c r="E3907" s="688"/>
      <c r="F3907" s="688"/>
      <c r="G3907" s="1665" t="s">
        <v>928</v>
      </c>
      <c r="H3907" s="1673">
        <f>SUM(H3901:H3906)</f>
        <v>0</v>
      </c>
      <c r="I3907" s="1668" t="s">
        <v>92</v>
      </c>
      <c r="J3907" s="1669">
        <f>'Lead &amp; ANALYSIS'!L776</f>
        <v>880.7</v>
      </c>
      <c r="K3907" s="1668" t="s">
        <v>1514</v>
      </c>
      <c r="L3907" s="1669">
        <f t="shared" ref="L3907" si="618">ROUND(H3907*J3907,0)</f>
        <v>0</v>
      </c>
    </row>
    <row r="3908" spans="1:12" s="692" customFormat="1" ht="16.5" hidden="1">
      <c r="A3908" s="1665" t="s">
        <v>478</v>
      </c>
      <c r="B3908" s="1666" t="s">
        <v>225</v>
      </c>
      <c r="C3908" s="688"/>
      <c r="D3908" s="1667"/>
      <c r="E3908" s="688"/>
      <c r="F3908" s="688"/>
      <c r="G3908" s="1674"/>
      <c r="H3908" s="688"/>
      <c r="I3908" s="1668"/>
      <c r="J3908" s="1668"/>
      <c r="K3908" s="1668"/>
      <c r="L3908" s="1669"/>
    </row>
    <row r="3909" spans="1:12" s="692" customFormat="1" ht="16.5" hidden="1">
      <c r="A3909" s="1665" t="s">
        <v>383</v>
      </c>
      <c r="B3909" s="1666" t="s">
        <v>384</v>
      </c>
      <c r="C3909" s="688"/>
      <c r="D3909" s="1667"/>
      <c r="E3909" s="688"/>
      <c r="F3909" s="688"/>
      <c r="G3909" s="1674"/>
      <c r="H3909" s="688"/>
      <c r="I3909" s="1668"/>
      <c r="J3909" s="1668"/>
      <c r="K3909" s="1668"/>
      <c r="L3909" s="1669"/>
    </row>
    <row r="3910" spans="1:12" s="692" customFormat="1" ht="16.5" hidden="1">
      <c r="A3910" s="1665"/>
      <c r="B3910" s="1666"/>
      <c r="C3910" s="688"/>
      <c r="D3910" s="1667"/>
      <c r="E3910" s="1671">
        <v>3.5</v>
      </c>
      <c r="F3910" s="1671">
        <v>4</v>
      </c>
      <c r="G3910" s="1674"/>
      <c r="H3910" s="1671">
        <f t="shared" ref="H3910:H3915" si="619">ROUND(D3910*E3910*F3910,2)</f>
        <v>0</v>
      </c>
      <c r="I3910" s="688" t="s">
        <v>92</v>
      </c>
      <c r="J3910" s="1668"/>
      <c r="K3910" s="1668"/>
      <c r="L3910" s="1669"/>
    </row>
    <row r="3911" spans="1:12" s="692" customFormat="1" ht="16.5" hidden="1">
      <c r="A3911" s="1665"/>
      <c r="B3911" s="1666"/>
      <c r="C3911" s="688"/>
      <c r="D3911" s="1667"/>
      <c r="E3911" s="1671">
        <v>3.5</v>
      </c>
      <c r="F3911" s="1671">
        <v>4</v>
      </c>
      <c r="G3911" s="1674"/>
      <c r="H3911" s="1671">
        <f t="shared" si="619"/>
        <v>0</v>
      </c>
      <c r="I3911" s="688" t="s">
        <v>92</v>
      </c>
      <c r="J3911" s="1668"/>
      <c r="K3911" s="1668"/>
      <c r="L3911" s="1669"/>
    </row>
    <row r="3912" spans="1:12" s="692" customFormat="1" ht="16.5" hidden="1">
      <c r="A3912" s="1665"/>
      <c r="B3912" s="1666"/>
      <c r="C3912" s="688"/>
      <c r="D3912" s="1667"/>
      <c r="E3912" s="1671">
        <v>3.5</v>
      </c>
      <c r="F3912" s="1671">
        <v>4</v>
      </c>
      <c r="G3912" s="1674"/>
      <c r="H3912" s="1671">
        <f t="shared" si="619"/>
        <v>0</v>
      </c>
      <c r="I3912" s="688" t="s">
        <v>92</v>
      </c>
      <c r="J3912" s="1668"/>
      <c r="K3912" s="1668"/>
      <c r="L3912" s="1669"/>
    </row>
    <row r="3913" spans="1:12" s="692" customFormat="1" ht="16.5" hidden="1">
      <c r="A3913" s="1665"/>
      <c r="B3913" s="1666"/>
      <c r="C3913" s="688"/>
      <c r="D3913" s="1667"/>
      <c r="E3913" s="1671">
        <v>3.5</v>
      </c>
      <c r="F3913" s="1671">
        <v>4</v>
      </c>
      <c r="G3913" s="1674"/>
      <c r="H3913" s="1671">
        <f t="shared" si="619"/>
        <v>0</v>
      </c>
      <c r="I3913" s="688" t="s">
        <v>92</v>
      </c>
      <c r="J3913" s="1668"/>
      <c r="K3913" s="1668"/>
      <c r="L3913" s="1669"/>
    </row>
    <row r="3914" spans="1:12" s="692" customFormat="1" ht="16.5" hidden="1">
      <c r="A3914" s="1665"/>
      <c r="B3914" s="1666"/>
      <c r="C3914" s="688"/>
      <c r="D3914" s="1667"/>
      <c r="E3914" s="1671">
        <v>3.5</v>
      </c>
      <c r="F3914" s="1671">
        <v>4</v>
      </c>
      <c r="G3914" s="1674"/>
      <c r="H3914" s="1671">
        <f t="shared" si="619"/>
        <v>0</v>
      </c>
      <c r="I3914" s="688" t="s">
        <v>92</v>
      </c>
      <c r="J3914" s="1668"/>
      <c r="K3914" s="1668"/>
      <c r="L3914" s="1669"/>
    </row>
    <row r="3915" spans="1:12" s="692" customFormat="1" ht="16.5" hidden="1">
      <c r="A3915" s="1665"/>
      <c r="B3915" s="1666"/>
      <c r="C3915" s="688"/>
      <c r="D3915" s="1667"/>
      <c r="E3915" s="1671">
        <v>3.5</v>
      </c>
      <c r="F3915" s="1671">
        <v>4</v>
      </c>
      <c r="G3915" s="1674"/>
      <c r="H3915" s="1671">
        <f t="shared" si="619"/>
        <v>0</v>
      </c>
      <c r="I3915" s="688" t="s">
        <v>92</v>
      </c>
      <c r="J3915" s="1668"/>
      <c r="K3915" s="1668"/>
      <c r="L3915" s="1669"/>
    </row>
    <row r="3916" spans="1:12" s="692" customFormat="1" ht="16.5" hidden="1">
      <c r="A3916" s="1665"/>
      <c r="B3916" s="1666"/>
      <c r="C3916" s="688"/>
      <c r="D3916" s="1667"/>
      <c r="E3916" s="688"/>
      <c r="F3916" s="688"/>
      <c r="G3916" s="1674" t="s">
        <v>928</v>
      </c>
      <c r="H3916" s="1671">
        <f>SUM(H3910:H3915)</f>
        <v>0</v>
      </c>
      <c r="I3916" s="1668" t="s">
        <v>92</v>
      </c>
      <c r="J3916" s="1669">
        <f>'Lead &amp; ANALYSIS'!L778</f>
        <v>841.8</v>
      </c>
      <c r="K3916" s="1668" t="s">
        <v>1514</v>
      </c>
      <c r="L3916" s="1669">
        <f t="shared" ref="L3916" si="620">ROUND(H3916*J3916,0)</f>
        <v>0</v>
      </c>
    </row>
    <row r="3917" spans="1:12" s="692" customFormat="1" ht="16.5" hidden="1">
      <c r="A3917" s="1665" t="s">
        <v>386</v>
      </c>
      <c r="B3917" s="1666" t="s">
        <v>387</v>
      </c>
      <c r="C3917" s="688"/>
      <c r="D3917" s="1667"/>
      <c r="E3917" s="688"/>
      <c r="F3917" s="688"/>
      <c r="G3917" s="1674"/>
      <c r="H3917" s="688"/>
      <c r="I3917" s="1668"/>
      <c r="J3917" s="1668"/>
      <c r="K3917" s="1668"/>
      <c r="L3917" s="1669"/>
    </row>
    <row r="3918" spans="1:12" s="692" customFormat="1" ht="16.5" hidden="1">
      <c r="A3918" s="1665"/>
      <c r="B3918" s="1666"/>
      <c r="C3918" s="688"/>
      <c r="D3918" s="1667"/>
      <c r="E3918" s="1671">
        <v>3.5</v>
      </c>
      <c r="F3918" s="1671">
        <v>4</v>
      </c>
      <c r="G3918" s="1674"/>
      <c r="H3918" s="1671">
        <f t="shared" ref="H3918:H3923" si="621">ROUND(D3918*E3918*F3918,2)</f>
        <v>0</v>
      </c>
      <c r="I3918" s="688" t="s">
        <v>92</v>
      </c>
      <c r="J3918" s="1668"/>
      <c r="K3918" s="1668"/>
      <c r="L3918" s="1669"/>
    </row>
    <row r="3919" spans="1:12" s="692" customFormat="1" ht="16.5" hidden="1">
      <c r="A3919" s="1665"/>
      <c r="B3919" s="1666"/>
      <c r="C3919" s="688"/>
      <c r="D3919" s="1667"/>
      <c r="E3919" s="1671">
        <v>3.5</v>
      </c>
      <c r="F3919" s="1671">
        <v>4</v>
      </c>
      <c r="G3919" s="1674"/>
      <c r="H3919" s="1671">
        <f t="shared" si="621"/>
        <v>0</v>
      </c>
      <c r="I3919" s="688" t="s">
        <v>92</v>
      </c>
      <c r="J3919" s="1668"/>
      <c r="K3919" s="1668"/>
      <c r="L3919" s="1669"/>
    </row>
    <row r="3920" spans="1:12" s="692" customFormat="1" ht="16.5" hidden="1">
      <c r="A3920" s="1665"/>
      <c r="B3920" s="1666"/>
      <c r="C3920" s="688"/>
      <c r="D3920" s="1667"/>
      <c r="E3920" s="1671">
        <v>3.5</v>
      </c>
      <c r="F3920" s="1671">
        <v>4</v>
      </c>
      <c r="G3920" s="1674"/>
      <c r="H3920" s="1671">
        <f t="shared" si="621"/>
        <v>0</v>
      </c>
      <c r="I3920" s="688" t="s">
        <v>92</v>
      </c>
      <c r="J3920" s="1668"/>
      <c r="K3920" s="1668"/>
      <c r="L3920" s="1669"/>
    </row>
    <row r="3921" spans="1:12" s="692" customFormat="1" ht="16.5" hidden="1">
      <c r="A3921" s="1665"/>
      <c r="B3921" s="1666"/>
      <c r="C3921" s="688"/>
      <c r="D3921" s="1667"/>
      <c r="E3921" s="1671">
        <v>3.5</v>
      </c>
      <c r="F3921" s="1671">
        <v>4</v>
      </c>
      <c r="G3921" s="1674"/>
      <c r="H3921" s="1671">
        <f t="shared" si="621"/>
        <v>0</v>
      </c>
      <c r="I3921" s="688" t="s">
        <v>92</v>
      </c>
      <c r="J3921" s="1668"/>
      <c r="K3921" s="1668"/>
      <c r="L3921" s="1669"/>
    </row>
    <row r="3922" spans="1:12" s="692" customFormat="1" ht="16.5" hidden="1">
      <c r="A3922" s="1665"/>
      <c r="B3922" s="1666"/>
      <c r="C3922" s="688"/>
      <c r="D3922" s="1667"/>
      <c r="E3922" s="1671">
        <v>3.5</v>
      </c>
      <c r="F3922" s="1671">
        <v>4</v>
      </c>
      <c r="G3922" s="1674"/>
      <c r="H3922" s="1671">
        <f t="shared" si="621"/>
        <v>0</v>
      </c>
      <c r="I3922" s="688" t="s">
        <v>92</v>
      </c>
      <c r="J3922" s="1668"/>
      <c r="K3922" s="1668"/>
      <c r="L3922" s="1669"/>
    </row>
    <row r="3923" spans="1:12" s="692" customFormat="1" ht="16.5" hidden="1">
      <c r="A3923" s="1665"/>
      <c r="B3923" s="1666"/>
      <c r="C3923" s="688"/>
      <c r="D3923" s="1667"/>
      <c r="E3923" s="1671">
        <v>3.5</v>
      </c>
      <c r="F3923" s="1671">
        <v>4</v>
      </c>
      <c r="G3923" s="1674"/>
      <c r="H3923" s="1671">
        <f t="shared" si="621"/>
        <v>0</v>
      </c>
      <c r="I3923" s="688" t="s">
        <v>92</v>
      </c>
      <c r="J3923" s="1668"/>
      <c r="K3923" s="1668"/>
      <c r="L3923" s="1669"/>
    </row>
    <row r="3924" spans="1:12" s="692" customFormat="1" ht="16.5" hidden="1">
      <c r="A3924" s="1665"/>
      <c r="B3924" s="1666"/>
      <c r="C3924" s="688"/>
      <c r="D3924" s="1667"/>
      <c r="E3924" s="688"/>
      <c r="F3924" s="688"/>
      <c r="G3924" s="1674" t="s">
        <v>928</v>
      </c>
      <c r="H3924" s="1671">
        <f>SUM(H3918:H3923)</f>
        <v>0</v>
      </c>
      <c r="I3924" s="1668" t="s">
        <v>92</v>
      </c>
      <c r="J3924" s="1669">
        <f>'Lead &amp; ANALYSIS'!L779</f>
        <v>850.8</v>
      </c>
      <c r="K3924" s="1668" t="s">
        <v>1514</v>
      </c>
      <c r="L3924" s="1669">
        <f t="shared" ref="L3924" si="622">ROUND(H3924*J3924,0)</f>
        <v>0</v>
      </c>
    </row>
    <row r="3925" spans="1:12" s="692" customFormat="1" ht="16.5" hidden="1">
      <c r="A3925" s="1665" t="s">
        <v>432</v>
      </c>
      <c r="B3925" s="1666" t="s">
        <v>3622</v>
      </c>
      <c r="C3925" s="688"/>
      <c r="D3925" s="1667"/>
      <c r="E3925" s="688"/>
      <c r="F3925" s="688"/>
      <c r="G3925" s="1674"/>
      <c r="H3925" s="688"/>
      <c r="I3925" s="1668"/>
      <c r="J3925" s="1668"/>
      <c r="K3925" s="1668"/>
      <c r="L3925" s="1669"/>
    </row>
    <row r="3926" spans="1:12" s="692" customFormat="1" ht="16.5" hidden="1">
      <c r="A3926" s="1665"/>
      <c r="B3926" s="1666"/>
      <c r="C3926" s="688"/>
      <c r="D3926" s="1667"/>
      <c r="E3926" s="1671">
        <v>3.5</v>
      </c>
      <c r="F3926" s="1672"/>
      <c r="G3926" s="1671">
        <v>4</v>
      </c>
      <c r="H3926" s="1671">
        <f t="shared" ref="H3926:H3931" si="623">ROUND(D3926*E3926*G3926,2)</f>
        <v>0</v>
      </c>
      <c r="I3926" s="1671" t="s">
        <v>92</v>
      </c>
      <c r="J3926" s="1668"/>
      <c r="K3926" s="1668"/>
      <c r="L3926" s="1669"/>
    </row>
    <row r="3927" spans="1:12" s="692" customFormat="1" ht="16.5" hidden="1">
      <c r="A3927" s="1665"/>
      <c r="B3927" s="1666"/>
      <c r="C3927" s="688"/>
      <c r="D3927" s="1667"/>
      <c r="E3927" s="1671">
        <v>3.5</v>
      </c>
      <c r="F3927" s="1672"/>
      <c r="G3927" s="1671">
        <v>4</v>
      </c>
      <c r="H3927" s="1671">
        <f t="shared" si="623"/>
        <v>0</v>
      </c>
      <c r="I3927" s="1671" t="s">
        <v>92</v>
      </c>
      <c r="J3927" s="1668"/>
      <c r="K3927" s="1668"/>
      <c r="L3927" s="1669"/>
    </row>
    <row r="3928" spans="1:12" s="692" customFormat="1" ht="16.5" hidden="1">
      <c r="A3928" s="1665"/>
      <c r="B3928" s="1666"/>
      <c r="C3928" s="688"/>
      <c r="D3928" s="1667"/>
      <c r="E3928" s="1671">
        <v>3.5</v>
      </c>
      <c r="F3928" s="1672"/>
      <c r="G3928" s="1671">
        <v>4</v>
      </c>
      <c r="H3928" s="1671">
        <f t="shared" si="623"/>
        <v>0</v>
      </c>
      <c r="I3928" s="1671" t="s">
        <v>92</v>
      </c>
      <c r="J3928" s="1668"/>
      <c r="K3928" s="1668"/>
      <c r="L3928" s="1669"/>
    </row>
    <row r="3929" spans="1:12" s="692" customFormat="1" ht="16.5" hidden="1">
      <c r="A3929" s="1665"/>
      <c r="B3929" s="1666"/>
      <c r="C3929" s="688"/>
      <c r="D3929" s="1667"/>
      <c r="E3929" s="1671">
        <v>3.5</v>
      </c>
      <c r="F3929" s="1672"/>
      <c r="G3929" s="1671">
        <v>4</v>
      </c>
      <c r="H3929" s="1671">
        <f t="shared" si="623"/>
        <v>0</v>
      </c>
      <c r="I3929" s="1671" t="s">
        <v>92</v>
      </c>
      <c r="J3929" s="1668"/>
      <c r="K3929" s="1668"/>
      <c r="L3929" s="1669"/>
    </row>
    <row r="3930" spans="1:12" s="692" customFormat="1" ht="16.5" hidden="1">
      <c r="A3930" s="1665"/>
      <c r="B3930" s="1666"/>
      <c r="C3930" s="688"/>
      <c r="D3930" s="1667"/>
      <c r="E3930" s="1671">
        <v>3.5</v>
      </c>
      <c r="F3930" s="1672"/>
      <c r="G3930" s="1671">
        <v>4</v>
      </c>
      <c r="H3930" s="1671">
        <f t="shared" si="623"/>
        <v>0</v>
      </c>
      <c r="I3930" s="1671" t="s">
        <v>92</v>
      </c>
      <c r="J3930" s="1668"/>
      <c r="K3930" s="1668"/>
      <c r="L3930" s="1669"/>
    </row>
    <row r="3931" spans="1:12" s="692" customFormat="1" ht="16.5" hidden="1">
      <c r="A3931" s="1665"/>
      <c r="B3931" s="1666"/>
      <c r="C3931" s="688"/>
      <c r="D3931" s="1667"/>
      <c r="E3931" s="1671">
        <v>3.5</v>
      </c>
      <c r="F3931" s="1672"/>
      <c r="G3931" s="1671">
        <v>4</v>
      </c>
      <c r="H3931" s="1671">
        <f t="shared" si="623"/>
        <v>0</v>
      </c>
      <c r="I3931" s="1671" t="s">
        <v>92</v>
      </c>
      <c r="J3931" s="1668"/>
      <c r="K3931" s="1668"/>
      <c r="L3931" s="1669"/>
    </row>
    <row r="3932" spans="1:12" s="692" customFormat="1" ht="16.5" hidden="1">
      <c r="A3932" s="1665"/>
      <c r="B3932" s="1666"/>
      <c r="C3932" s="688"/>
      <c r="D3932" s="1667"/>
      <c r="E3932" s="688"/>
      <c r="F3932" s="688"/>
      <c r="G3932" s="1665" t="s">
        <v>928</v>
      </c>
      <c r="H3932" s="1673">
        <f>SUM(H3926:H3931)</f>
        <v>0</v>
      </c>
      <c r="I3932" s="1668" t="s">
        <v>92</v>
      </c>
      <c r="J3932" s="1669">
        <f>'Lead &amp; ANALYSIS'!L780</f>
        <v>893.1</v>
      </c>
      <c r="K3932" s="1668" t="s">
        <v>1514</v>
      </c>
      <c r="L3932" s="1669">
        <f t="shared" ref="L3932" si="624">ROUND(H3932*J3932,0)</f>
        <v>0</v>
      </c>
    </row>
    <row r="3933" spans="1:12" s="692" customFormat="1" ht="16.5" hidden="1">
      <c r="A3933" s="1665" t="s">
        <v>443</v>
      </c>
      <c r="B3933" s="1666" t="s">
        <v>3636</v>
      </c>
      <c r="C3933" s="688"/>
      <c r="D3933" s="1667"/>
      <c r="E3933" s="688"/>
      <c r="F3933" s="688"/>
      <c r="G3933" s="1674"/>
      <c r="H3933" s="688"/>
      <c r="I3933" s="1668"/>
      <c r="J3933" s="1668"/>
      <c r="K3933" s="1668"/>
      <c r="L3933" s="1669"/>
    </row>
    <row r="3934" spans="1:12" s="692" customFormat="1" ht="16.5" hidden="1">
      <c r="A3934" s="1665"/>
      <c r="B3934" s="1666"/>
      <c r="C3934" s="688"/>
      <c r="D3934" s="1667"/>
      <c r="E3934" s="1671">
        <v>3.5</v>
      </c>
      <c r="F3934" s="1672"/>
      <c r="G3934" s="1671">
        <v>4</v>
      </c>
      <c r="H3934" s="1671">
        <f t="shared" ref="H3934:H3939" si="625">ROUND(D3934*E3934*G3934,2)</f>
        <v>0</v>
      </c>
      <c r="I3934" s="1671" t="s">
        <v>92</v>
      </c>
      <c r="J3934" s="1668"/>
      <c r="K3934" s="1668"/>
      <c r="L3934" s="1669"/>
    </row>
    <row r="3935" spans="1:12" s="692" customFormat="1" ht="16.5" hidden="1">
      <c r="A3935" s="1665"/>
      <c r="B3935" s="1666"/>
      <c r="C3935" s="688"/>
      <c r="D3935" s="1667"/>
      <c r="E3935" s="1671">
        <v>3.5</v>
      </c>
      <c r="F3935" s="1672"/>
      <c r="G3935" s="1671">
        <v>4</v>
      </c>
      <c r="H3935" s="1671">
        <f t="shared" si="625"/>
        <v>0</v>
      </c>
      <c r="I3935" s="1671" t="s">
        <v>92</v>
      </c>
      <c r="J3935" s="1668"/>
      <c r="K3935" s="1668"/>
      <c r="L3935" s="1669"/>
    </row>
    <row r="3936" spans="1:12" s="692" customFormat="1" ht="16.5" hidden="1">
      <c r="A3936" s="1665"/>
      <c r="B3936" s="1666"/>
      <c r="C3936" s="688"/>
      <c r="D3936" s="1667"/>
      <c r="E3936" s="1671">
        <v>3.5</v>
      </c>
      <c r="F3936" s="1672"/>
      <c r="G3936" s="1671">
        <v>4</v>
      </c>
      <c r="H3936" s="1671">
        <f t="shared" si="625"/>
        <v>0</v>
      </c>
      <c r="I3936" s="1671" t="s">
        <v>92</v>
      </c>
      <c r="J3936" s="1668"/>
      <c r="K3936" s="1668"/>
      <c r="L3936" s="1669"/>
    </row>
    <row r="3937" spans="1:12" s="692" customFormat="1" ht="16.5" hidden="1">
      <c r="A3937" s="1665"/>
      <c r="B3937" s="1666"/>
      <c r="C3937" s="688"/>
      <c r="D3937" s="1667"/>
      <c r="E3937" s="1671">
        <v>3.5</v>
      </c>
      <c r="F3937" s="1672"/>
      <c r="G3937" s="1671">
        <v>4</v>
      </c>
      <c r="H3937" s="1671">
        <f t="shared" si="625"/>
        <v>0</v>
      </c>
      <c r="I3937" s="1671" t="s">
        <v>92</v>
      </c>
      <c r="J3937" s="1668"/>
      <c r="K3937" s="1668"/>
      <c r="L3937" s="1669"/>
    </row>
    <row r="3938" spans="1:12" s="692" customFormat="1" ht="16.5" hidden="1">
      <c r="A3938" s="1665"/>
      <c r="B3938" s="1666"/>
      <c r="C3938" s="688"/>
      <c r="D3938" s="1667"/>
      <c r="E3938" s="1671">
        <v>3.5</v>
      </c>
      <c r="F3938" s="1672"/>
      <c r="G3938" s="1671">
        <v>4</v>
      </c>
      <c r="H3938" s="1671">
        <f t="shared" si="625"/>
        <v>0</v>
      </c>
      <c r="I3938" s="1671" t="s">
        <v>92</v>
      </c>
      <c r="J3938" s="1668"/>
      <c r="K3938" s="1668"/>
      <c r="L3938" s="1669"/>
    </row>
    <row r="3939" spans="1:12" s="692" customFormat="1" ht="16.5" hidden="1">
      <c r="A3939" s="1665"/>
      <c r="B3939" s="1666"/>
      <c r="C3939" s="688"/>
      <c r="D3939" s="1667"/>
      <c r="E3939" s="1671">
        <v>3.5</v>
      </c>
      <c r="F3939" s="1672"/>
      <c r="G3939" s="1671">
        <v>4</v>
      </c>
      <c r="H3939" s="1671">
        <f t="shared" si="625"/>
        <v>0</v>
      </c>
      <c r="I3939" s="1671" t="s">
        <v>92</v>
      </c>
      <c r="J3939" s="1668"/>
      <c r="K3939" s="1668"/>
      <c r="L3939" s="1669"/>
    </row>
    <row r="3940" spans="1:12" s="692" customFormat="1" ht="16.5" hidden="1">
      <c r="A3940" s="1665"/>
      <c r="B3940" s="1666"/>
      <c r="C3940" s="688"/>
      <c r="D3940" s="1667"/>
      <c r="E3940" s="688"/>
      <c r="F3940" s="688"/>
      <c r="G3940" s="1665" t="s">
        <v>928</v>
      </c>
      <c r="H3940" s="1673">
        <f>SUM(H3934:H3939)</f>
        <v>0</v>
      </c>
      <c r="I3940" s="1668" t="s">
        <v>92</v>
      </c>
      <c r="J3940" s="1669">
        <f>'Lead &amp; ANALYSIS'!L781</f>
        <v>952.3</v>
      </c>
      <c r="K3940" s="1668" t="s">
        <v>1514</v>
      </c>
      <c r="L3940" s="1669">
        <f t="shared" ref="L3940" si="626">ROUND(H3940*J3940,0)</f>
        <v>0</v>
      </c>
    </row>
    <row r="3941" spans="1:12" s="692" customFormat="1" ht="16.5" hidden="1">
      <c r="A3941" s="1665" t="s">
        <v>480</v>
      </c>
      <c r="B3941" s="1666" t="str">
        <f>'Lead &amp; ANALYSIS'!B782</f>
        <v>Marble tile (size0.10-0.40sqm)</v>
      </c>
      <c r="C3941" s="688"/>
      <c r="D3941" s="1667"/>
      <c r="E3941" s="688"/>
      <c r="F3941" s="688"/>
      <c r="G3941" s="1674"/>
      <c r="H3941" s="688"/>
      <c r="I3941" s="1668"/>
      <c r="J3941" s="1668"/>
      <c r="K3941" s="1668"/>
      <c r="L3941" s="1669"/>
    </row>
    <row r="3942" spans="1:12" s="692" customFormat="1" ht="16.5" hidden="1">
      <c r="A3942" s="1665" t="s">
        <v>383</v>
      </c>
      <c r="B3942" s="1666" t="s">
        <v>384</v>
      </c>
      <c r="C3942" s="688"/>
      <c r="D3942" s="1667"/>
      <c r="E3942" s="688"/>
      <c r="F3942" s="688"/>
      <c r="G3942" s="1674"/>
      <c r="H3942" s="688"/>
      <c r="I3942" s="1668"/>
      <c r="J3942" s="1668"/>
      <c r="K3942" s="1668"/>
      <c r="L3942" s="1669"/>
    </row>
    <row r="3943" spans="1:12" s="692" customFormat="1" ht="16.5" hidden="1">
      <c r="A3943" s="1665"/>
      <c r="B3943" s="1666"/>
      <c r="C3943" s="688"/>
      <c r="D3943" s="1667"/>
      <c r="E3943" s="1671">
        <v>3.5</v>
      </c>
      <c r="F3943" s="1671">
        <v>4</v>
      </c>
      <c r="G3943" s="1674"/>
      <c r="H3943" s="1671">
        <f t="shared" ref="H3943:H3948" si="627">ROUND(D3943*E3943*F3943,2)</f>
        <v>0</v>
      </c>
      <c r="I3943" s="688" t="s">
        <v>92</v>
      </c>
      <c r="J3943" s="1668"/>
      <c r="K3943" s="1668"/>
      <c r="L3943" s="1669"/>
    </row>
    <row r="3944" spans="1:12" s="692" customFormat="1" ht="16.5" hidden="1">
      <c r="A3944" s="1665"/>
      <c r="B3944" s="1666"/>
      <c r="C3944" s="688"/>
      <c r="D3944" s="1667"/>
      <c r="E3944" s="1671">
        <v>3.5</v>
      </c>
      <c r="F3944" s="1671">
        <v>4</v>
      </c>
      <c r="G3944" s="1674"/>
      <c r="H3944" s="1671">
        <f t="shared" si="627"/>
        <v>0</v>
      </c>
      <c r="I3944" s="688" t="s">
        <v>92</v>
      </c>
      <c r="J3944" s="1668"/>
      <c r="K3944" s="1668"/>
      <c r="L3944" s="1669"/>
    </row>
    <row r="3945" spans="1:12" s="692" customFormat="1" ht="16.5" hidden="1">
      <c r="A3945" s="1665"/>
      <c r="B3945" s="1666"/>
      <c r="C3945" s="688"/>
      <c r="D3945" s="1667"/>
      <c r="E3945" s="1671">
        <v>3.5</v>
      </c>
      <c r="F3945" s="1671">
        <v>4</v>
      </c>
      <c r="G3945" s="1674"/>
      <c r="H3945" s="1671">
        <f t="shared" si="627"/>
        <v>0</v>
      </c>
      <c r="I3945" s="688" t="s">
        <v>92</v>
      </c>
      <c r="J3945" s="1668"/>
      <c r="K3945" s="1668"/>
      <c r="L3945" s="1669"/>
    </row>
    <row r="3946" spans="1:12" s="692" customFormat="1" ht="16.5" hidden="1">
      <c r="A3946" s="1665"/>
      <c r="B3946" s="1666"/>
      <c r="C3946" s="688"/>
      <c r="D3946" s="1667"/>
      <c r="E3946" s="1671">
        <v>3.5</v>
      </c>
      <c r="F3946" s="1671">
        <v>4</v>
      </c>
      <c r="G3946" s="1674"/>
      <c r="H3946" s="1671">
        <f t="shared" si="627"/>
        <v>0</v>
      </c>
      <c r="I3946" s="688" t="s">
        <v>92</v>
      </c>
      <c r="J3946" s="1668"/>
      <c r="K3946" s="1668"/>
      <c r="L3946" s="1669"/>
    </row>
    <row r="3947" spans="1:12" s="692" customFormat="1" ht="16.5" hidden="1">
      <c r="A3947" s="1665"/>
      <c r="B3947" s="1666"/>
      <c r="C3947" s="688"/>
      <c r="D3947" s="1667"/>
      <c r="E3947" s="1671">
        <v>3.5</v>
      </c>
      <c r="F3947" s="1671">
        <v>4</v>
      </c>
      <c r="G3947" s="1674"/>
      <c r="H3947" s="1671">
        <f t="shared" si="627"/>
        <v>0</v>
      </c>
      <c r="I3947" s="688" t="s">
        <v>92</v>
      </c>
      <c r="J3947" s="1668"/>
      <c r="K3947" s="1668"/>
      <c r="L3947" s="1669"/>
    </row>
    <row r="3948" spans="1:12" s="692" customFormat="1" ht="16.5" hidden="1">
      <c r="A3948" s="1665"/>
      <c r="B3948" s="1666"/>
      <c r="C3948" s="688"/>
      <c r="D3948" s="1667"/>
      <c r="E3948" s="1671">
        <v>3.5</v>
      </c>
      <c r="F3948" s="1671">
        <v>4</v>
      </c>
      <c r="G3948" s="1674"/>
      <c r="H3948" s="1671">
        <f t="shared" si="627"/>
        <v>0</v>
      </c>
      <c r="I3948" s="688" t="s">
        <v>92</v>
      </c>
      <c r="J3948" s="1668"/>
      <c r="K3948" s="1668"/>
      <c r="L3948" s="1669"/>
    </row>
    <row r="3949" spans="1:12" s="692" customFormat="1" ht="16.5" hidden="1">
      <c r="A3949" s="1665"/>
      <c r="B3949" s="1666"/>
      <c r="C3949" s="688"/>
      <c r="D3949" s="1667"/>
      <c r="E3949" s="688"/>
      <c r="F3949" s="688"/>
      <c r="G3949" s="1674" t="s">
        <v>928</v>
      </c>
      <c r="H3949" s="1671">
        <f>SUM(H3943:H3948)</f>
        <v>0</v>
      </c>
      <c r="I3949" s="1668" t="s">
        <v>92</v>
      </c>
      <c r="J3949" s="1669">
        <f>'Lead &amp; ANALYSIS'!L783</f>
        <v>1019.5</v>
      </c>
      <c r="K3949" s="1668" t="s">
        <v>1514</v>
      </c>
      <c r="L3949" s="1669">
        <f t="shared" ref="L3949" si="628">ROUND(H3949*J3949,0)</f>
        <v>0</v>
      </c>
    </row>
    <row r="3950" spans="1:12" s="692" customFormat="1" ht="16.5" hidden="1">
      <c r="A3950" s="1665" t="s">
        <v>386</v>
      </c>
      <c r="B3950" s="1666" t="s">
        <v>387</v>
      </c>
      <c r="C3950" s="688"/>
      <c r="D3950" s="1667"/>
      <c r="E3950" s="688"/>
      <c r="F3950" s="688"/>
      <c r="G3950" s="1674"/>
      <c r="H3950" s="688"/>
      <c r="I3950" s="1668"/>
      <c r="J3950" s="1668"/>
      <c r="K3950" s="1668"/>
      <c r="L3950" s="1669"/>
    </row>
    <row r="3951" spans="1:12" s="692" customFormat="1" ht="16.5" hidden="1">
      <c r="A3951" s="1665"/>
      <c r="B3951" s="1666"/>
      <c r="C3951" s="688"/>
      <c r="D3951" s="1667"/>
      <c r="E3951" s="1671">
        <v>3.5</v>
      </c>
      <c r="F3951" s="1671">
        <v>4</v>
      </c>
      <c r="G3951" s="1674"/>
      <c r="H3951" s="1671">
        <f t="shared" ref="H3951:H3956" si="629">ROUND(D3951*E3951*F3951,2)</f>
        <v>0</v>
      </c>
      <c r="I3951" s="688" t="s">
        <v>92</v>
      </c>
      <c r="J3951" s="1668"/>
      <c r="K3951" s="1668"/>
      <c r="L3951" s="1669"/>
    </row>
    <row r="3952" spans="1:12" s="692" customFormat="1" ht="16.5" hidden="1">
      <c r="A3952" s="1665"/>
      <c r="B3952" s="1666"/>
      <c r="C3952" s="688"/>
      <c r="D3952" s="1667"/>
      <c r="E3952" s="1671">
        <v>3.5</v>
      </c>
      <c r="F3952" s="1671">
        <v>4</v>
      </c>
      <c r="G3952" s="1674"/>
      <c r="H3952" s="1671">
        <f t="shared" si="629"/>
        <v>0</v>
      </c>
      <c r="I3952" s="688" t="s">
        <v>92</v>
      </c>
      <c r="J3952" s="1668"/>
      <c r="K3952" s="1668"/>
      <c r="L3952" s="1669"/>
    </row>
    <row r="3953" spans="1:12" s="692" customFormat="1" ht="16.5" hidden="1">
      <c r="A3953" s="1665"/>
      <c r="B3953" s="1666"/>
      <c r="C3953" s="688"/>
      <c r="D3953" s="1667"/>
      <c r="E3953" s="1671">
        <v>3.5</v>
      </c>
      <c r="F3953" s="1671">
        <v>4</v>
      </c>
      <c r="G3953" s="1674"/>
      <c r="H3953" s="1671">
        <f t="shared" si="629"/>
        <v>0</v>
      </c>
      <c r="I3953" s="688" t="s">
        <v>92</v>
      </c>
      <c r="J3953" s="1668"/>
      <c r="K3953" s="1668"/>
      <c r="L3953" s="1669"/>
    </row>
    <row r="3954" spans="1:12" s="692" customFormat="1" ht="16.5" hidden="1">
      <c r="A3954" s="1665"/>
      <c r="B3954" s="1666"/>
      <c r="C3954" s="688"/>
      <c r="D3954" s="1667"/>
      <c r="E3954" s="1671">
        <v>3.5</v>
      </c>
      <c r="F3954" s="1671">
        <v>4</v>
      </c>
      <c r="G3954" s="1674"/>
      <c r="H3954" s="1671">
        <f t="shared" si="629"/>
        <v>0</v>
      </c>
      <c r="I3954" s="688" t="s">
        <v>92</v>
      </c>
      <c r="J3954" s="1668"/>
      <c r="K3954" s="1668"/>
      <c r="L3954" s="1669"/>
    </row>
    <row r="3955" spans="1:12" s="692" customFormat="1" ht="16.5" hidden="1">
      <c r="A3955" s="1665"/>
      <c r="B3955" s="1666"/>
      <c r="C3955" s="688"/>
      <c r="D3955" s="1667"/>
      <c r="E3955" s="1671">
        <v>3.5</v>
      </c>
      <c r="F3955" s="1671">
        <v>4</v>
      </c>
      <c r="G3955" s="1674"/>
      <c r="H3955" s="1671">
        <f t="shared" si="629"/>
        <v>0</v>
      </c>
      <c r="I3955" s="688" t="s">
        <v>92</v>
      </c>
      <c r="J3955" s="1668"/>
      <c r="K3955" s="1668"/>
      <c r="L3955" s="1669"/>
    </row>
    <row r="3956" spans="1:12" s="692" customFormat="1" ht="16.5" hidden="1">
      <c r="A3956" s="1665"/>
      <c r="B3956" s="1666"/>
      <c r="C3956" s="688"/>
      <c r="D3956" s="1667"/>
      <c r="E3956" s="1671">
        <v>3.5</v>
      </c>
      <c r="F3956" s="1671">
        <v>4</v>
      </c>
      <c r="G3956" s="1674"/>
      <c r="H3956" s="1671">
        <f t="shared" si="629"/>
        <v>0</v>
      </c>
      <c r="I3956" s="688" t="s">
        <v>92</v>
      </c>
      <c r="J3956" s="1668"/>
      <c r="K3956" s="1668"/>
      <c r="L3956" s="1669"/>
    </row>
    <row r="3957" spans="1:12" s="692" customFormat="1" ht="16.5" hidden="1">
      <c r="A3957" s="1665"/>
      <c r="B3957" s="1666"/>
      <c r="C3957" s="688"/>
      <c r="D3957" s="1667"/>
      <c r="E3957" s="688"/>
      <c r="F3957" s="688"/>
      <c r="G3957" s="1674" t="s">
        <v>928</v>
      </c>
      <c r="H3957" s="1671">
        <f>SUM(H3951:H3956)</f>
        <v>0</v>
      </c>
      <c r="I3957" s="1668" t="s">
        <v>92</v>
      </c>
      <c r="J3957" s="1669">
        <f>'Lead &amp; ANALYSIS'!L784</f>
        <v>1028.5999999999999</v>
      </c>
      <c r="K3957" s="1668" t="s">
        <v>1514</v>
      </c>
      <c r="L3957" s="1669">
        <f t="shared" ref="L3957" si="630">ROUND(H3957*J3957,0)</f>
        <v>0</v>
      </c>
    </row>
    <row r="3958" spans="1:12" s="692" customFormat="1" ht="16.5" hidden="1">
      <c r="A3958" s="1665" t="s">
        <v>432</v>
      </c>
      <c r="B3958" s="1666" t="s">
        <v>3622</v>
      </c>
      <c r="C3958" s="688"/>
      <c r="D3958" s="1667"/>
      <c r="E3958" s="688"/>
      <c r="F3958" s="688"/>
      <c r="G3958" s="1674"/>
      <c r="H3958" s="688"/>
      <c r="I3958" s="1668"/>
      <c r="J3958" s="1668"/>
      <c r="K3958" s="1668"/>
      <c r="L3958" s="1669"/>
    </row>
    <row r="3959" spans="1:12" s="692" customFormat="1" ht="16.5" hidden="1">
      <c r="A3959" s="1665"/>
      <c r="B3959" s="1666"/>
      <c r="C3959" s="688"/>
      <c r="D3959" s="1667"/>
      <c r="E3959" s="1671">
        <v>3.5</v>
      </c>
      <c r="F3959" s="1672"/>
      <c r="G3959" s="1671">
        <v>4</v>
      </c>
      <c r="H3959" s="1671">
        <f t="shared" ref="H3959:H3964" si="631">ROUND(D3959*E3959*G3959,2)</f>
        <v>0</v>
      </c>
      <c r="I3959" s="1671" t="s">
        <v>92</v>
      </c>
      <c r="J3959" s="1668"/>
      <c r="K3959" s="1668"/>
      <c r="L3959" s="1669"/>
    </row>
    <row r="3960" spans="1:12" s="692" customFormat="1" ht="16.5" hidden="1">
      <c r="A3960" s="1665"/>
      <c r="B3960" s="1666"/>
      <c r="C3960" s="688"/>
      <c r="D3960" s="1667"/>
      <c r="E3960" s="1671">
        <v>3.5</v>
      </c>
      <c r="F3960" s="1672"/>
      <c r="G3960" s="1671">
        <v>4</v>
      </c>
      <c r="H3960" s="1671">
        <f t="shared" si="631"/>
        <v>0</v>
      </c>
      <c r="I3960" s="1671" t="s">
        <v>92</v>
      </c>
      <c r="J3960" s="1668"/>
      <c r="K3960" s="1668"/>
      <c r="L3960" s="1669"/>
    </row>
    <row r="3961" spans="1:12" s="692" customFormat="1" ht="16.5" hidden="1">
      <c r="A3961" s="1665"/>
      <c r="B3961" s="1666"/>
      <c r="C3961" s="688"/>
      <c r="D3961" s="1667"/>
      <c r="E3961" s="1671">
        <v>3.5</v>
      </c>
      <c r="F3961" s="1672"/>
      <c r="G3961" s="1671">
        <v>4</v>
      </c>
      <c r="H3961" s="1671">
        <f t="shared" si="631"/>
        <v>0</v>
      </c>
      <c r="I3961" s="1671" t="s">
        <v>92</v>
      </c>
      <c r="J3961" s="1668"/>
      <c r="K3961" s="1668"/>
      <c r="L3961" s="1669"/>
    </row>
    <row r="3962" spans="1:12" s="692" customFormat="1" ht="16.5" hidden="1">
      <c r="A3962" s="1665"/>
      <c r="B3962" s="1666"/>
      <c r="C3962" s="688"/>
      <c r="D3962" s="1667"/>
      <c r="E3962" s="1671">
        <v>3.5</v>
      </c>
      <c r="F3962" s="1672"/>
      <c r="G3962" s="1671">
        <v>4</v>
      </c>
      <c r="H3962" s="1671">
        <f t="shared" si="631"/>
        <v>0</v>
      </c>
      <c r="I3962" s="1671" t="s">
        <v>92</v>
      </c>
      <c r="J3962" s="1668"/>
      <c r="K3962" s="1668"/>
      <c r="L3962" s="1669"/>
    </row>
    <row r="3963" spans="1:12" s="692" customFormat="1" ht="16.5" hidden="1">
      <c r="A3963" s="1665"/>
      <c r="B3963" s="1666"/>
      <c r="C3963" s="688"/>
      <c r="D3963" s="1667"/>
      <c r="E3963" s="1671">
        <v>3.5</v>
      </c>
      <c r="F3963" s="1672"/>
      <c r="G3963" s="1671">
        <v>4</v>
      </c>
      <c r="H3963" s="1671">
        <f t="shared" si="631"/>
        <v>0</v>
      </c>
      <c r="I3963" s="1671" t="s">
        <v>92</v>
      </c>
      <c r="J3963" s="1668"/>
      <c r="K3963" s="1668"/>
      <c r="L3963" s="1669"/>
    </row>
    <row r="3964" spans="1:12" s="692" customFormat="1" ht="16.5" hidden="1">
      <c r="A3964" s="1665"/>
      <c r="B3964" s="1666"/>
      <c r="C3964" s="688"/>
      <c r="D3964" s="1667"/>
      <c r="E3964" s="1671">
        <v>3.5</v>
      </c>
      <c r="F3964" s="1672"/>
      <c r="G3964" s="1671">
        <v>4</v>
      </c>
      <c r="H3964" s="1671">
        <f t="shared" si="631"/>
        <v>0</v>
      </c>
      <c r="I3964" s="1671" t="s">
        <v>92</v>
      </c>
      <c r="J3964" s="1668"/>
      <c r="K3964" s="1668"/>
      <c r="L3964" s="1669"/>
    </row>
    <row r="3965" spans="1:12" s="692" customFormat="1" ht="16.5" hidden="1">
      <c r="A3965" s="1665"/>
      <c r="B3965" s="1666"/>
      <c r="C3965" s="688"/>
      <c r="D3965" s="1667"/>
      <c r="E3965" s="688"/>
      <c r="F3965" s="688"/>
      <c r="G3965" s="1665" t="s">
        <v>928</v>
      </c>
      <c r="H3965" s="1673">
        <f>SUM(H3959:H3964)</f>
        <v>0</v>
      </c>
      <c r="I3965" s="1668" t="s">
        <v>92</v>
      </c>
      <c r="J3965" s="1669">
        <f>'Lead &amp; ANALYSIS'!L785</f>
        <v>1079.8</v>
      </c>
      <c r="K3965" s="1668" t="s">
        <v>1514</v>
      </c>
      <c r="L3965" s="1669">
        <f t="shared" ref="L3965" si="632">ROUND(H3965*J3965,0)</f>
        <v>0</v>
      </c>
    </row>
    <row r="3966" spans="1:12" s="692" customFormat="1" ht="16.5" hidden="1">
      <c r="A3966" s="1665" t="s">
        <v>443</v>
      </c>
      <c r="B3966" s="1666" t="s">
        <v>3636</v>
      </c>
      <c r="C3966" s="688"/>
      <c r="D3966" s="1667"/>
      <c r="E3966" s="688"/>
      <c r="F3966" s="688"/>
      <c r="G3966" s="1674"/>
      <c r="H3966" s="688"/>
      <c r="I3966" s="1668"/>
      <c r="J3966" s="1668"/>
      <c r="K3966" s="1668"/>
      <c r="L3966" s="1669"/>
    </row>
    <row r="3967" spans="1:12" s="692" customFormat="1" ht="16.5" hidden="1">
      <c r="A3967" s="1665"/>
      <c r="B3967" s="1666"/>
      <c r="C3967" s="688"/>
      <c r="D3967" s="1667"/>
      <c r="E3967" s="1671">
        <v>3.5</v>
      </c>
      <c r="F3967" s="1672"/>
      <c r="G3967" s="1671">
        <v>4</v>
      </c>
      <c r="H3967" s="1671">
        <f t="shared" ref="H3967:H3972" si="633">ROUND(D3967*E3967*G3967,2)</f>
        <v>0</v>
      </c>
      <c r="I3967" s="1671" t="s">
        <v>92</v>
      </c>
      <c r="J3967" s="1668"/>
      <c r="K3967" s="1668"/>
      <c r="L3967" s="1669"/>
    </row>
    <row r="3968" spans="1:12" s="692" customFormat="1" ht="16.5" hidden="1">
      <c r="A3968" s="1665"/>
      <c r="B3968" s="1666"/>
      <c r="C3968" s="688"/>
      <c r="D3968" s="1667"/>
      <c r="E3968" s="1671">
        <v>3.5</v>
      </c>
      <c r="F3968" s="1672"/>
      <c r="G3968" s="1671">
        <v>4</v>
      </c>
      <c r="H3968" s="1671">
        <f t="shared" si="633"/>
        <v>0</v>
      </c>
      <c r="I3968" s="1671" t="s">
        <v>92</v>
      </c>
      <c r="J3968" s="1668"/>
      <c r="K3968" s="1668"/>
      <c r="L3968" s="1669"/>
    </row>
    <row r="3969" spans="1:12" s="692" customFormat="1" ht="16.5" hidden="1">
      <c r="A3969" s="1665"/>
      <c r="B3969" s="1666"/>
      <c r="C3969" s="688"/>
      <c r="D3969" s="1667"/>
      <c r="E3969" s="1671">
        <v>3.5</v>
      </c>
      <c r="F3969" s="1672"/>
      <c r="G3969" s="1671">
        <v>4</v>
      </c>
      <c r="H3969" s="1671">
        <f t="shared" si="633"/>
        <v>0</v>
      </c>
      <c r="I3969" s="1671" t="s">
        <v>92</v>
      </c>
      <c r="J3969" s="1668"/>
      <c r="K3969" s="1668"/>
      <c r="L3969" s="1669"/>
    </row>
    <row r="3970" spans="1:12" s="692" customFormat="1" ht="16.5" hidden="1">
      <c r="A3970" s="1665"/>
      <c r="B3970" s="1666"/>
      <c r="C3970" s="688"/>
      <c r="D3970" s="1667"/>
      <c r="E3970" s="1671">
        <v>3.5</v>
      </c>
      <c r="F3970" s="1672"/>
      <c r="G3970" s="1671">
        <v>4</v>
      </c>
      <c r="H3970" s="1671">
        <f t="shared" si="633"/>
        <v>0</v>
      </c>
      <c r="I3970" s="1671" t="s">
        <v>92</v>
      </c>
      <c r="J3970" s="1668"/>
      <c r="K3970" s="1668"/>
      <c r="L3970" s="1669"/>
    </row>
    <row r="3971" spans="1:12" s="692" customFormat="1" ht="16.5" hidden="1">
      <c r="A3971" s="1665"/>
      <c r="B3971" s="1666"/>
      <c r="C3971" s="688"/>
      <c r="D3971" s="1667"/>
      <c r="E3971" s="1671">
        <v>3.5</v>
      </c>
      <c r="F3971" s="1672"/>
      <c r="G3971" s="1671">
        <v>4</v>
      </c>
      <c r="H3971" s="1671">
        <f t="shared" si="633"/>
        <v>0</v>
      </c>
      <c r="I3971" s="1671" t="s">
        <v>92</v>
      </c>
      <c r="J3971" s="1668"/>
      <c r="K3971" s="1668"/>
      <c r="L3971" s="1669"/>
    </row>
    <row r="3972" spans="1:12" s="692" customFormat="1" ht="16.5" hidden="1">
      <c r="A3972" s="1665"/>
      <c r="B3972" s="1666"/>
      <c r="C3972" s="688"/>
      <c r="D3972" s="1667"/>
      <c r="E3972" s="1671">
        <v>3.5</v>
      </c>
      <c r="F3972" s="1672"/>
      <c r="G3972" s="1671">
        <v>4</v>
      </c>
      <c r="H3972" s="1671">
        <f t="shared" si="633"/>
        <v>0</v>
      </c>
      <c r="I3972" s="1671" t="s">
        <v>92</v>
      </c>
      <c r="J3972" s="1668"/>
      <c r="K3972" s="1668"/>
      <c r="L3972" s="1669"/>
    </row>
    <row r="3973" spans="1:12" s="692" customFormat="1" ht="16.5" hidden="1">
      <c r="A3973" s="1665"/>
      <c r="B3973" s="1666"/>
      <c r="C3973" s="688"/>
      <c r="D3973" s="1667"/>
      <c r="E3973" s="688"/>
      <c r="F3973" s="688"/>
      <c r="G3973" s="1665" t="s">
        <v>928</v>
      </c>
      <c r="H3973" s="1673">
        <f>SUM(H3967:H3972)</f>
        <v>0</v>
      </c>
      <c r="I3973" s="1668" t="s">
        <v>92</v>
      </c>
      <c r="J3973" s="1669">
        <f>'Lead &amp; ANALYSIS'!L786</f>
        <v>1147.9000000000001</v>
      </c>
      <c r="K3973" s="1668" t="s">
        <v>1514</v>
      </c>
      <c r="L3973" s="1669">
        <f t="shared" ref="L3973" si="634">ROUND(H3973*J3973,0)</f>
        <v>0</v>
      </c>
    </row>
    <row r="3974" spans="1:12" s="692" customFormat="1" ht="99">
      <c r="A3974" s="1665">
        <v>13</v>
      </c>
      <c r="B3974" s="1666" t="str">
        <f>'Lead &amp; ANALYSIS'!B787</f>
        <v xml:space="preserve">Supplying, fitting, fixing of tile in dadoo marbonite or equivalent make in all floors over 12mm thick cement plaster (1:3) jointed with neat cement slurry mixed with pigment to match the shades of the tiles  etc. complete as per the direction of the Engineer-in-charge. </v>
      </c>
      <c r="C3974" s="688"/>
      <c r="D3974" s="1667"/>
      <c r="E3974" s="688"/>
      <c r="F3974" s="688"/>
      <c r="G3974" s="1674"/>
      <c r="H3974" s="688"/>
      <c r="I3974" s="1668"/>
      <c r="J3974" s="1668"/>
      <c r="K3974" s="1668"/>
      <c r="L3974" s="1669"/>
    </row>
    <row r="3975" spans="1:12" s="692" customFormat="1" ht="16.5" hidden="1">
      <c r="A3975" s="1665" t="s">
        <v>468</v>
      </c>
      <c r="B3975" s="1666" t="s">
        <v>230</v>
      </c>
      <c r="C3975" s="688"/>
      <c r="D3975" s="1667"/>
      <c r="E3975" s="688"/>
      <c r="F3975" s="688"/>
      <c r="G3975" s="1674"/>
      <c r="H3975" s="688"/>
      <c r="I3975" s="1668"/>
      <c r="J3975" s="1668"/>
      <c r="K3975" s="1668"/>
      <c r="L3975" s="1669"/>
    </row>
    <row r="3976" spans="1:12" s="692" customFormat="1" ht="16.5" hidden="1">
      <c r="A3976" s="1665" t="s">
        <v>383</v>
      </c>
      <c r="B3976" s="1666" t="s">
        <v>384</v>
      </c>
      <c r="C3976" s="688"/>
      <c r="D3976" s="1667"/>
      <c r="E3976" s="688"/>
      <c r="F3976" s="688"/>
      <c r="G3976" s="1674"/>
      <c r="H3976" s="688"/>
      <c r="I3976" s="1668"/>
      <c r="J3976" s="1668"/>
      <c r="K3976" s="1668"/>
      <c r="L3976" s="1669"/>
    </row>
    <row r="3977" spans="1:12" s="692" customFormat="1" ht="16.5" hidden="1">
      <c r="A3977" s="1665"/>
      <c r="B3977" s="1666"/>
      <c r="C3977" s="688"/>
      <c r="D3977" s="1667"/>
      <c r="E3977" s="1671">
        <v>3.5</v>
      </c>
      <c r="F3977" s="1671">
        <v>4</v>
      </c>
      <c r="G3977" s="1674"/>
      <c r="H3977" s="1671">
        <f t="shared" ref="H3977:H3982" si="635">ROUND(D3977*E3977*F3977,2)</f>
        <v>0</v>
      </c>
      <c r="I3977" s="688" t="s">
        <v>92</v>
      </c>
      <c r="J3977" s="1668"/>
      <c r="K3977" s="1668"/>
      <c r="L3977" s="1669"/>
    </row>
    <row r="3978" spans="1:12" s="692" customFormat="1" ht="16.5" hidden="1">
      <c r="A3978" s="1665"/>
      <c r="B3978" s="1666"/>
      <c r="C3978" s="688"/>
      <c r="D3978" s="1667"/>
      <c r="E3978" s="1671">
        <v>3.5</v>
      </c>
      <c r="F3978" s="1671">
        <v>4</v>
      </c>
      <c r="G3978" s="1674"/>
      <c r="H3978" s="1671">
        <f t="shared" si="635"/>
        <v>0</v>
      </c>
      <c r="I3978" s="688" t="s">
        <v>92</v>
      </c>
      <c r="J3978" s="1668"/>
      <c r="K3978" s="1668"/>
      <c r="L3978" s="1669"/>
    </row>
    <row r="3979" spans="1:12" s="692" customFormat="1" ht="16.5" hidden="1">
      <c r="A3979" s="1665"/>
      <c r="B3979" s="1666"/>
      <c r="C3979" s="688"/>
      <c r="D3979" s="1667"/>
      <c r="E3979" s="1671">
        <v>3.5</v>
      </c>
      <c r="F3979" s="1671">
        <v>4</v>
      </c>
      <c r="G3979" s="1674"/>
      <c r="H3979" s="1671">
        <f t="shared" si="635"/>
        <v>0</v>
      </c>
      <c r="I3979" s="688" t="s">
        <v>92</v>
      </c>
      <c r="J3979" s="1668"/>
      <c r="K3979" s="1668"/>
      <c r="L3979" s="1669"/>
    </row>
    <row r="3980" spans="1:12" s="692" customFormat="1" ht="16.5" hidden="1">
      <c r="A3980" s="1665"/>
      <c r="B3980" s="1666"/>
      <c r="C3980" s="688"/>
      <c r="D3980" s="1667"/>
      <c r="E3980" s="1671">
        <v>3.5</v>
      </c>
      <c r="F3980" s="1671">
        <v>4</v>
      </c>
      <c r="G3980" s="1674"/>
      <c r="H3980" s="1671">
        <f t="shared" si="635"/>
        <v>0</v>
      </c>
      <c r="I3980" s="688" t="s">
        <v>92</v>
      </c>
      <c r="J3980" s="1668"/>
      <c r="K3980" s="1668"/>
      <c r="L3980" s="1669"/>
    </row>
    <row r="3981" spans="1:12" s="692" customFormat="1" ht="16.5" hidden="1">
      <c r="A3981" s="1665"/>
      <c r="B3981" s="1666"/>
      <c r="C3981" s="688"/>
      <c r="D3981" s="1667"/>
      <c r="E3981" s="1671">
        <v>3.5</v>
      </c>
      <c r="F3981" s="1671">
        <v>4</v>
      </c>
      <c r="G3981" s="1674"/>
      <c r="H3981" s="1671">
        <f t="shared" si="635"/>
        <v>0</v>
      </c>
      <c r="I3981" s="688" t="s">
        <v>92</v>
      </c>
      <c r="J3981" s="1668"/>
      <c r="K3981" s="1668"/>
      <c r="L3981" s="1669"/>
    </row>
    <row r="3982" spans="1:12" s="692" customFormat="1" ht="16.5" hidden="1">
      <c r="A3982" s="1665"/>
      <c r="B3982" s="1666"/>
      <c r="C3982" s="688"/>
      <c r="D3982" s="1667"/>
      <c r="E3982" s="1671">
        <v>3.5</v>
      </c>
      <c r="F3982" s="1671">
        <v>4</v>
      </c>
      <c r="G3982" s="1674"/>
      <c r="H3982" s="1671">
        <f t="shared" si="635"/>
        <v>0</v>
      </c>
      <c r="I3982" s="688" t="s">
        <v>92</v>
      </c>
      <c r="J3982" s="1668"/>
      <c r="K3982" s="1668"/>
      <c r="L3982" s="1669"/>
    </row>
    <row r="3983" spans="1:12" s="692" customFormat="1" ht="16.5" hidden="1">
      <c r="A3983" s="1665"/>
      <c r="B3983" s="1666"/>
      <c r="C3983" s="688"/>
      <c r="D3983" s="1667"/>
      <c r="E3983" s="688"/>
      <c r="F3983" s="688"/>
      <c r="G3983" s="1674" t="s">
        <v>928</v>
      </c>
      <c r="H3983" s="1671">
        <f>SUM(H3977:H3982)</f>
        <v>0</v>
      </c>
      <c r="I3983" s="1668" t="s">
        <v>92</v>
      </c>
      <c r="J3983" s="1669">
        <f>'Lead &amp; ANALYSIS'!L789</f>
        <v>780.8</v>
      </c>
      <c r="K3983" s="1668" t="s">
        <v>1514</v>
      </c>
      <c r="L3983" s="1669">
        <f t="shared" ref="L3983" si="636">ROUND(H3983*J3983,0)</f>
        <v>0</v>
      </c>
    </row>
    <row r="3984" spans="1:12" s="692" customFormat="1" ht="16.5" hidden="1">
      <c r="A3984" s="1665" t="s">
        <v>386</v>
      </c>
      <c r="B3984" s="1666" t="s">
        <v>387</v>
      </c>
      <c r="C3984" s="688"/>
      <c r="D3984" s="1667"/>
      <c r="E3984" s="688"/>
      <c r="F3984" s="688"/>
      <c r="G3984" s="1674"/>
      <c r="H3984" s="688"/>
      <c r="I3984" s="1668"/>
      <c r="J3984" s="1668"/>
      <c r="K3984" s="1668"/>
      <c r="L3984" s="1669"/>
    </row>
    <row r="3985" spans="1:12" s="692" customFormat="1" ht="16.5" hidden="1">
      <c r="A3985" s="1665"/>
      <c r="B3985" s="1666"/>
      <c r="C3985" s="688"/>
      <c r="D3985" s="1667"/>
      <c r="E3985" s="1671">
        <v>3.5</v>
      </c>
      <c r="F3985" s="1671">
        <v>4</v>
      </c>
      <c r="G3985" s="1674"/>
      <c r="H3985" s="1671">
        <f t="shared" ref="H3985:H3990" si="637">ROUND(D3985*E3985*F3985,2)</f>
        <v>0</v>
      </c>
      <c r="I3985" s="688" t="s">
        <v>92</v>
      </c>
      <c r="J3985" s="1668"/>
      <c r="K3985" s="1668"/>
      <c r="L3985" s="1669"/>
    </row>
    <row r="3986" spans="1:12" s="692" customFormat="1" ht="16.5" hidden="1">
      <c r="A3986" s="1665"/>
      <c r="B3986" s="1666"/>
      <c r="C3986" s="688"/>
      <c r="D3986" s="1667"/>
      <c r="E3986" s="1671">
        <v>3.5</v>
      </c>
      <c r="F3986" s="1671">
        <v>4</v>
      </c>
      <c r="G3986" s="1674"/>
      <c r="H3986" s="1671">
        <f t="shared" si="637"/>
        <v>0</v>
      </c>
      <c r="I3986" s="688" t="s">
        <v>92</v>
      </c>
      <c r="J3986" s="1668"/>
      <c r="K3986" s="1668"/>
      <c r="L3986" s="1669"/>
    </row>
    <row r="3987" spans="1:12" s="692" customFormat="1" ht="16.5" hidden="1">
      <c r="A3987" s="1665"/>
      <c r="B3987" s="1666"/>
      <c r="C3987" s="688"/>
      <c r="D3987" s="1667"/>
      <c r="E3987" s="1671">
        <v>3.5</v>
      </c>
      <c r="F3987" s="1671">
        <v>4</v>
      </c>
      <c r="G3987" s="1674"/>
      <c r="H3987" s="1671">
        <f t="shared" si="637"/>
        <v>0</v>
      </c>
      <c r="I3987" s="688" t="s">
        <v>92</v>
      </c>
      <c r="J3987" s="1668"/>
      <c r="K3987" s="1668"/>
      <c r="L3987" s="1669"/>
    </row>
    <row r="3988" spans="1:12" s="692" customFormat="1" ht="16.5" hidden="1">
      <c r="A3988" s="1665"/>
      <c r="B3988" s="1666"/>
      <c r="C3988" s="688"/>
      <c r="D3988" s="1667"/>
      <c r="E3988" s="1671">
        <v>3.5</v>
      </c>
      <c r="F3988" s="1671">
        <v>4</v>
      </c>
      <c r="G3988" s="1674"/>
      <c r="H3988" s="1671">
        <f t="shared" si="637"/>
        <v>0</v>
      </c>
      <c r="I3988" s="688" t="s">
        <v>92</v>
      </c>
      <c r="J3988" s="1668"/>
      <c r="K3988" s="1668"/>
      <c r="L3988" s="1669"/>
    </row>
    <row r="3989" spans="1:12" s="692" customFormat="1" ht="16.5" hidden="1">
      <c r="A3989" s="1665"/>
      <c r="B3989" s="1666"/>
      <c r="C3989" s="688"/>
      <c r="D3989" s="1667"/>
      <c r="E3989" s="1671">
        <v>3.5</v>
      </c>
      <c r="F3989" s="1671">
        <v>4</v>
      </c>
      <c r="G3989" s="1674"/>
      <c r="H3989" s="1671">
        <f t="shared" si="637"/>
        <v>0</v>
      </c>
      <c r="I3989" s="688" t="s">
        <v>92</v>
      </c>
      <c r="J3989" s="1668"/>
      <c r="K3989" s="1668"/>
      <c r="L3989" s="1669"/>
    </row>
    <row r="3990" spans="1:12" s="692" customFormat="1" ht="16.5" hidden="1">
      <c r="A3990" s="1665"/>
      <c r="B3990" s="1666"/>
      <c r="C3990" s="688"/>
      <c r="D3990" s="1667"/>
      <c r="E3990" s="1671">
        <v>3.5</v>
      </c>
      <c r="F3990" s="1671">
        <v>4</v>
      </c>
      <c r="G3990" s="1674"/>
      <c r="H3990" s="1671">
        <f t="shared" si="637"/>
        <v>0</v>
      </c>
      <c r="I3990" s="688" t="s">
        <v>92</v>
      </c>
      <c r="J3990" s="1668"/>
      <c r="K3990" s="1668"/>
      <c r="L3990" s="1669"/>
    </row>
    <row r="3991" spans="1:12" s="692" customFormat="1" ht="16.5" hidden="1">
      <c r="A3991" s="1665"/>
      <c r="B3991" s="1666"/>
      <c r="C3991" s="688"/>
      <c r="D3991" s="1667"/>
      <c r="E3991" s="688"/>
      <c r="F3991" s="688"/>
      <c r="G3991" s="1674" t="s">
        <v>928</v>
      </c>
      <c r="H3991" s="1671">
        <f>SUM(H3985:H3990)</f>
        <v>0</v>
      </c>
      <c r="I3991" s="1668" t="s">
        <v>92</v>
      </c>
      <c r="J3991" s="1669">
        <f>'Lead &amp; ANALYSIS'!L790</f>
        <v>1621.8</v>
      </c>
      <c r="K3991" s="1668" t="s">
        <v>1514</v>
      </c>
      <c r="L3991" s="1669">
        <f t="shared" ref="L3991" si="638">ROUND(H3991*J3991,0)</f>
        <v>0</v>
      </c>
    </row>
    <row r="3992" spans="1:12" s="692" customFormat="1" ht="16.5" hidden="1">
      <c r="A3992" s="1665" t="s">
        <v>432</v>
      </c>
      <c r="B3992" s="1666" t="s">
        <v>3622</v>
      </c>
      <c r="C3992" s="688"/>
      <c r="D3992" s="1667"/>
      <c r="E3992" s="688"/>
      <c r="F3992" s="688"/>
      <c r="G3992" s="1674"/>
      <c r="H3992" s="688"/>
      <c r="I3992" s="1668"/>
      <c r="J3992" s="1668"/>
      <c r="K3992" s="1668"/>
      <c r="L3992" s="1669"/>
    </row>
    <row r="3993" spans="1:12" s="692" customFormat="1" ht="16.5" hidden="1">
      <c r="A3993" s="1665"/>
      <c r="B3993" s="1666"/>
      <c r="C3993" s="688"/>
      <c r="D3993" s="1667"/>
      <c r="E3993" s="1671">
        <v>3.5</v>
      </c>
      <c r="F3993" s="1672"/>
      <c r="G3993" s="1671">
        <v>4</v>
      </c>
      <c r="H3993" s="1671">
        <f t="shared" ref="H3993:H3998" si="639">ROUND(D3993*E3993*G3993,2)</f>
        <v>0</v>
      </c>
      <c r="I3993" s="1671" t="s">
        <v>92</v>
      </c>
      <c r="J3993" s="1668"/>
      <c r="K3993" s="1668"/>
      <c r="L3993" s="1669"/>
    </row>
    <row r="3994" spans="1:12" s="692" customFormat="1" ht="16.5" hidden="1">
      <c r="A3994" s="1665"/>
      <c r="B3994" s="1666"/>
      <c r="C3994" s="688"/>
      <c r="D3994" s="1667"/>
      <c r="E3994" s="1671">
        <v>3.5</v>
      </c>
      <c r="F3994" s="1672"/>
      <c r="G3994" s="1671">
        <v>4</v>
      </c>
      <c r="H3994" s="1671">
        <f t="shared" si="639"/>
        <v>0</v>
      </c>
      <c r="I3994" s="1671" t="s">
        <v>92</v>
      </c>
      <c r="J3994" s="1668"/>
      <c r="K3994" s="1668"/>
      <c r="L3994" s="1669"/>
    </row>
    <row r="3995" spans="1:12" s="692" customFormat="1" ht="16.5" hidden="1">
      <c r="A3995" s="1665"/>
      <c r="B3995" s="1666"/>
      <c r="C3995" s="688"/>
      <c r="D3995" s="1667"/>
      <c r="E3995" s="1671">
        <v>3.5</v>
      </c>
      <c r="F3995" s="1672"/>
      <c r="G3995" s="1671">
        <v>4</v>
      </c>
      <c r="H3995" s="1671">
        <f t="shared" si="639"/>
        <v>0</v>
      </c>
      <c r="I3995" s="1671" t="s">
        <v>92</v>
      </c>
      <c r="J3995" s="1668"/>
      <c r="K3995" s="1668"/>
      <c r="L3995" s="1669"/>
    </row>
    <row r="3996" spans="1:12" s="692" customFormat="1" ht="16.5" hidden="1">
      <c r="A3996" s="1665"/>
      <c r="B3996" s="1666"/>
      <c r="C3996" s="688"/>
      <c r="D3996" s="1667"/>
      <c r="E3996" s="1671">
        <v>3.5</v>
      </c>
      <c r="F3996" s="1672"/>
      <c r="G3996" s="1671">
        <v>4</v>
      </c>
      <c r="H3996" s="1671">
        <f t="shared" si="639"/>
        <v>0</v>
      </c>
      <c r="I3996" s="1671" t="s">
        <v>92</v>
      </c>
      <c r="J3996" s="1668"/>
      <c r="K3996" s="1668"/>
      <c r="L3996" s="1669"/>
    </row>
    <row r="3997" spans="1:12" s="692" customFormat="1" ht="16.5" hidden="1">
      <c r="A3997" s="1665"/>
      <c r="B3997" s="1666"/>
      <c r="C3997" s="688"/>
      <c r="D3997" s="1667"/>
      <c r="E3997" s="1671">
        <v>3.5</v>
      </c>
      <c r="F3997" s="1672"/>
      <c r="G3997" s="1671">
        <v>4</v>
      </c>
      <c r="H3997" s="1671">
        <f t="shared" si="639"/>
        <v>0</v>
      </c>
      <c r="I3997" s="1671" t="s">
        <v>92</v>
      </c>
      <c r="J3997" s="1668"/>
      <c r="K3997" s="1668"/>
      <c r="L3997" s="1669"/>
    </row>
    <row r="3998" spans="1:12" s="692" customFormat="1" ht="16.5" hidden="1">
      <c r="A3998" s="1665"/>
      <c r="B3998" s="1666"/>
      <c r="C3998" s="688"/>
      <c r="D3998" s="1667"/>
      <c r="E3998" s="1671">
        <v>3.5</v>
      </c>
      <c r="F3998" s="1672"/>
      <c r="G3998" s="1671">
        <v>4</v>
      </c>
      <c r="H3998" s="1671">
        <f t="shared" si="639"/>
        <v>0</v>
      </c>
      <c r="I3998" s="1671" t="s">
        <v>92</v>
      </c>
      <c r="J3998" s="1668"/>
      <c r="K3998" s="1668"/>
      <c r="L3998" s="1669"/>
    </row>
    <row r="3999" spans="1:12" s="692" customFormat="1" ht="16.5" hidden="1">
      <c r="A3999" s="1665"/>
      <c r="B3999" s="1666"/>
      <c r="C3999" s="688"/>
      <c r="D3999" s="1667"/>
      <c r="E3999" s="688"/>
      <c r="F3999" s="688"/>
      <c r="G3999" s="1665" t="s">
        <v>928</v>
      </c>
      <c r="H3999" s="1673">
        <f>SUM(H3993:H3998)</f>
        <v>0</v>
      </c>
      <c r="I3999" s="1668" t="s">
        <v>92</v>
      </c>
      <c r="J3999" s="1669">
        <f>'Lead &amp; ANALYSIS'!L791</f>
        <v>1656.3</v>
      </c>
      <c r="K3999" s="1668" t="s">
        <v>1514</v>
      </c>
      <c r="L3999" s="1669">
        <f t="shared" ref="L3999" si="640">ROUND(H3999*J3999,0)</f>
        <v>0</v>
      </c>
    </row>
    <row r="4000" spans="1:12" s="692" customFormat="1" ht="16.5" hidden="1">
      <c r="A4000" s="1665" t="s">
        <v>443</v>
      </c>
      <c r="B4000" s="1666" t="s">
        <v>3636</v>
      </c>
      <c r="C4000" s="688"/>
      <c r="D4000" s="1667"/>
      <c r="E4000" s="688"/>
      <c r="F4000" s="688"/>
      <c r="G4000" s="1674"/>
      <c r="H4000" s="688"/>
      <c r="I4000" s="1668"/>
      <c r="J4000" s="1668"/>
      <c r="K4000" s="1668"/>
      <c r="L4000" s="1669"/>
    </row>
    <row r="4001" spans="1:12" s="692" customFormat="1" ht="16.5" hidden="1">
      <c r="A4001" s="1665"/>
      <c r="B4001" s="1666"/>
      <c r="C4001" s="688"/>
      <c r="D4001" s="1667"/>
      <c r="E4001" s="1671">
        <v>3.5</v>
      </c>
      <c r="F4001" s="1672"/>
      <c r="G4001" s="1671">
        <v>4</v>
      </c>
      <c r="H4001" s="1671">
        <f t="shared" ref="H4001:H4006" si="641">ROUND(D4001*E4001*G4001,2)</f>
        <v>0</v>
      </c>
      <c r="I4001" s="1671" t="s">
        <v>92</v>
      </c>
      <c r="J4001" s="1668"/>
      <c r="K4001" s="1668"/>
      <c r="L4001" s="1669"/>
    </row>
    <row r="4002" spans="1:12" s="692" customFormat="1" ht="16.5" hidden="1">
      <c r="A4002" s="1665"/>
      <c r="B4002" s="1666"/>
      <c r="C4002" s="688"/>
      <c r="D4002" s="1667"/>
      <c r="E4002" s="1671">
        <v>3.5</v>
      </c>
      <c r="F4002" s="1672"/>
      <c r="G4002" s="1671">
        <v>4</v>
      </c>
      <c r="H4002" s="1671">
        <f t="shared" si="641"/>
        <v>0</v>
      </c>
      <c r="I4002" s="1671" t="s">
        <v>92</v>
      </c>
      <c r="J4002" s="1668"/>
      <c r="K4002" s="1668"/>
      <c r="L4002" s="1669"/>
    </row>
    <row r="4003" spans="1:12" s="692" customFormat="1" ht="16.5" hidden="1">
      <c r="A4003" s="1665"/>
      <c r="B4003" s="1666"/>
      <c r="C4003" s="688"/>
      <c r="D4003" s="1667"/>
      <c r="E4003" s="1671">
        <v>3.5</v>
      </c>
      <c r="F4003" s="1672"/>
      <c r="G4003" s="1671">
        <v>4</v>
      </c>
      <c r="H4003" s="1671">
        <f t="shared" si="641"/>
        <v>0</v>
      </c>
      <c r="I4003" s="1671" t="s">
        <v>92</v>
      </c>
      <c r="J4003" s="1668"/>
      <c r="K4003" s="1668"/>
      <c r="L4003" s="1669"/>
    </row>
    <row r="4004" spans="1:12" s="692" customFormat="1" ht="16.5" hidden="1">
      <c r="A4004" s="1665"/>
      <c r="B4004" s="1666"/>
      <c r="C4004" s="688"/>
      <c r="D4004" s="1667"/>
      <c r="E4004" s="1671">
        <v>3.5</v>
      </c>
      <c r="F4004" s="1672"/>
      <c r="G4004" s="1671">
        <v>4</v>
      </c>
      <c r="H4004" s="1671">
        <f t="shared" si="641"/>
        <v>0</v>
      </c>
      <c r="I4004" s="1671" t="s">
        <v>92</v>
      </c>
      <c r="J4004" s="1668"/>
      <c r="K4004" s="1668"/>
      <c r="L4004" s="1669"/>
    </row>
    <row r="4005" spans="1:12" s="692" customFormat="1" ht="16.5" hidden="1">
      <c r="A4005" s="1665"/>
      <c r="B4005" s="1666"/>
      <c r="C4005" s="688"/>
      <c r="D4005" s="1667"/>
      <c r="E4005" s="1671">
        <v>3.5</v>
      </c>
      <c r="F4005" s="1672"/>
      <c r="G4005" s="1671">
        <v>4</v>
      </c>
      <c r="H4005" s="1671">
        <f t="shared" si="641"/>
        <v>0</v>
      </c>
      <c r="I4005" s="1671" t="s">
        <v>92</v>
      </c>
      <c r="J4005" s="1668"/>
      <c r="K4005" s="1668"/>
      <c r="L4005" s="1669"/>
    </row>
    <row r="4006" spans="1:12" s="692" customFormat="1" ht="16.5" hidden="1">
      <c r="A4006" s="1665"/>
      <c r="B4006" s="1666"/>
      <c r="C4006" s="688"/>
      <c r="D4006" s="1667"/>
      <c r="E4006" s="1671">
        <v>3.5</v>
      </c>
      <c r="F4006" s="1672"/>
      <c r="G4006" s="1671">
        <v>4</v>
      </c>
      <c r="H4006" s="1671">
        <f t="shared" si="641"/>
        <v>0</v>
      </c>
      <c r="I4006" s="1671" t="s">
        <v>92</v>
      </c>
      <c r="J4006" s="1668"/>
      <c r="K4006" s="1668"/>
      <c r="L4006" s="1669"/>
    </row>
    <row r="4007" spans="1:12" s="692" customFormat="1" ht="16.5" hidden="1">
      <c r="A4007" s="1665"/>
      <c r="B4007" s="1666"/>
      <c r="C4007" s="688"/>
      <c r="D4007" s="1667"/>
      <c r="E4007" s="688"/>
      <c r="F4007" s="688"/>
      <c r="G4007" s="1665" t="s">
        <v>928</v>
      </c>
      <c r="H4007" s="1673">
        <f>SUM(H4001:H4006)</f>
        <v>0</v>
      </c>
      <c r="I4007" s="1668" t="s">
        <v>92</v>
      </c>
      <c r="J4007" s="1669">
        <f>'Lead &amp; ANALYSIS'!L792</f>
        <v>1692.5</v>
      </c>
      <c r="K4007" s="1668" t="s">
        <v>1514</v>
      </c>
      <c r="L4007" s="1669">
        <f t="shared" ref="L4007" si="642">ROUND(H4007*J4007,0)</f>
        <v>0</v>
      </c>
    </row>
    <row r="4008" spans="1:12" s="692" customFormat="1" ht="16.5">
      <c r="A4008" s="1665" t="s">
        <v>470</v>
      </c>
      <c r="B4008" s="1666" t="s">
        <v>236</v>
      </c>
      <c r="C4008" s="688"/>
      <c r="D4008" s="1667"/>
      <c r="E4008" s="688"/>
      <c r="F4008" s="688"/>
      <c r="G4008" s="1674"/>
      <c r="H4008" s="688"/>
      <c r="I4008" s="1668"/>
      <c r="J4008" s="1668"/>
      <c r="K4008" s="1668"/>
      <c r="L4008" s="1669"/>
    </row>
    <row r="4009" spans="1:12" s="692" customFormat="1" ht="16.5" hidden="1">
      <c r="A4009" s="1665" t="s">
        <v>383</v>
      </c>
      <c r="B4009" s="1666" t="s">
        <v>384</v>
      </c>
      <c r="C4009" s="688"/>
      <c r="D4009" s="1667"/>
      <c r="E4009" s="688"/>
      <c r="F4009" s="688"/>
      <c r="G4009" s="1674"/>
      <c r="H4009" s="688"/>
      <c r="I4009" s="1668"/>
      <c r="J4009" s="1668"/>
      <c r="K4009" s="1668"/>
      <c r="L4009" s="1669"/>
    </row>
    <row r="4010" spans="1:12" s="692" customFormat="1" ht="16.5">
      <c r="A4010" s="1665"/>
      <c r="B4010" s="1666"/>
      <c r="C4010" s="688"/>
      <c r="D4010" s="1667">
        <v>4</v>
      </c>
      <c r="E4010" s="1671">
        <v>8.25</v>
      </c>
      <c r="F4010" s="1671">
        <v>0.15</v>
      </c>
      <c r="G4010" s="1674"/>
      <c r="H4010" s="1671">
        <f t="shared" ref="H4010:H4015" si="643">ROUND(D4010*E4010*F4010,2)</f>
        <v>4.95</v>
      </c>
      <c r="I4010" s="688" t="s">
        <v>92</v>
      </c>
      <c r="J4010" s="1668"/>
      <c r="K4010" s="1668"/>
      <c r="L4010" s="1669"/>
    </row>
    <row r="4011" spans="1:12" s="692" customFormat="1" ht="16.5">
      <c r="A4011" s="1665"/>
      <c r="B4011" s="1666"/>
      <c r="C4011" s="688"/>
      <c r="D4011" s="1667">
        <v>4</v>
      </c>
      <c r="E4011" s="1671">
        <v>6.1</v>
      </c>
      <c r="F4011" s="1671">
        <v>0.15</v>
      </c>
      <c r="G4011" s="1674"/>
      <c r="H4011" s="1671">
        <f t="shared" si="643"/>
        <v>3.66</v>
      </c>
      <c r="I4011" s="688" t="s">
        <v>92</v>
      </c>
      <c r="J4011" s="1668"/>
      <c r="K4011" s="1668"/>
      <c r="L4011" s="1669"/>
    </row>
    <row r="4012" spans="1:12" s="692" customFormat="1" ht="16.5">
      <c r="A4012" s="1665"/>
      <c r="B4012" s="1666"/>
      <c r="C4012" s="688"/>
      <c r="D4012" s="1667">
        <v>1</v>
      </c>
      <c r="E4012" s="1671">
        <v>16.75</v>
      </c>
      <c r="F4012" s="1671">
        <v>0.15</v>
      </c>
      <c r="G4012" s="1674"/>
      <c r="H4012" s="1671">
        <f t="shared" si="643"/>
        <v>2.5099999999999998</v>
      </c>
      <c r="I4012" s="688" t="s">
        <v>92</v>
      </c>
      <c r="J4012" s="1668"/>
      <c r="K4012" s="1668"/>
      <c r="L4012" s="1669"/>
    </row>
    <row r="4013" spans="1:12" s="692" customFormat="1" ht="16.5">
      <c r="A4013" s="1665"/>
      <c r="B4013" s="1666" t="s">
        <v>1773</v>
      </c>
      <c r="C4013" s="688"/>
      <c r="D4013" s="1667">
        <v>5</v>
      </c>
      <c r="E4013" s="1671">
        <v>1</v>
      </c>
      <c r="F4013" s="1671">
        <v>0.15</v>
      </c>
      <c r="G4013" s="1674"/>
      <c r="H4013" s="1671">
        <f t="shared" si="643"/>
        <v>0.75</v>
      </c>
      <c r="I4013" s="688" t="s">
        <v>92</v>
      </c>
      <c r="J4013" s="1668"/>
      <c r="K4013" s="1668"/>
      <c r="L4013" s="1669"/>
    </row>
    <row r="4014" spans="1:12" s="692" customFormat="1" ht="16.5">
      <c r="A4014" s="1665"/>
      <c r="B4014" s="1666" t="s">
        <v>3762</v>
      </c>
      <c r="C4014" s="688"/>
      <c r="D4014" s="1667">
        <v>4</v>
      </c>
      <c r="E4014" s="1671">
        <v>1.2</v>
      </c>
      <c r="F4014" s="1671">
        <v>0.15</v>
      </c>
      <c r="G4014" s="1674"/>
      <c r="H4014" s="1671">
        <f>-ROUND(D4014*E4014*F4014,2)</f>
        <v>-0.72</v>
      </c>
      <c r="I4014" s="688" t="s">
        <v>92</v>
      </c>
      <c r="J4014" s="1668"/>
      <c r="K4014" s="1668"/>
      <c r="L4014" s="1669"/>
    </row>
    <row r="4015" spans="1:12" s="692" customFormat="1" ht="16.5" hidden="1">
      <c r="A4015" s="1665"/>
      <c r="B4015" s="1666"/>
      <c r="C4015" s="688"/>
      <c r="D4015" s="1667"/>
      <c r="E4015" s="1671">
        <v>3.5</v>
      </c>
      <c r="F4015" s="1671">
        <v>4</v>
      </c>
      <c r="G4015" s="1674"/>
      <c r="H4015" s="1671">
        <f t="shared" si="643"/>
        <v>0</v>
      </c>
      <c r="I4015" s="688" t="s">
        <v>92</v>
      </c>
      <c r="J4015" s="1668"/>
      <c r="K4015" s="1668"/>
      <c r="L4015" s="1669"/>
    </row>
    <row r="4016" spans="1:12" s="692" customFormat="1" ht="16.5">
      <c r="A4016" s="1665"/>
      <c r="B4016" s="1666"/>
      <c r="C4016" s="688"/>
      <c r="D4016" s="1667"/>
      <c r="E4016" s="688"/>
      <c r="F4016" s="688"/>
      <c r="G4016" s="1674" t="s">
        <v>928</v>
      </c>
      <c r="H4016" s="1671">
        <f>SUM(H4010:H4015)</f>
        <v>11.149999999999999</v>
      </c>
      <c r="I4016" s="1668" t="s">
        <v>92</v>
      </c>
      <c r="J4016" s="1669">
        <f>'Lead &amp; ANALYSIS'!L794</f>
        <v>1537</v>
      </c>
      <c r="K4016" s="1668" t="s">
        <v>1514</v>
      </c>
      <c r="L4016" s="1669">
        <f t="shared" ref="L4016" si="644">ROUND(H4016*J4016,0)</f>
        <v>17138</v>
      </c>
    </row>
    <row r="4017" spans="1:12" s="692" customFormat="1" ht="16.5" hidden="1">
      <c r="A4017" s="1665" t="s">
        <v>386</v>
      </c>
      <c r="B4017" s="1666" t="s">
        <v>387</v>
      </c>
      <c r="C4017" s="688"/>
      <c r="D4017" s="1667"/>
      <c r="E4017" s="688"/>
      <c r="F4017" s="688"/>
      <c r="G4017" s="1674"/>
      <c r="H4017" s="688"/>
      <c r="I4017" s="1668"/>
      <c r="J4017" s="1668"/>
      <c r="K4017" s="1668"/>
      <c r="L4017" s="1669"/>
    </row>
    <row r="4018" spans="1:12" s="692" customFormat="1" ht="16.5" hidden="1">
      <c r="A4018" s="1665"/>
      <c r="B4018" s="1666"/>
      <c r="C4018" s="688"/>
      <c r="D4018" s="1667"/>
      <c r="E4018" s="1671">
        <v>3.5</v>
      </c>
      <c r="F4018" s="1671">
        <v>4</v>
      </c>
      <c r="G4018" s="1674"/>
      <c r="H4018" s="1671">
        <f t="shared" ref="H4018:H4023" si="645">ROUND(D4018*E4018*F4018,2)</f>
        <v>0</v>
      </c>
      <c r="I4018" s="688" t="s">
        <v>92</v>
      </c>
      <c r="J4018" s="1668"/>
      <c r="K4018" s="1668"/>
      <c r="L4018" s="1669"/>
    </row>
    <row r="4019" spans="1:12" s="692" customFormat="1" ht="16.5" hidden="1">
      <c r="A4019" s="1665"/>
      <c r="B4019" s="1666"/>
      <c r="C4019" s="688"/>
      <c r="D4019" s="1667"/>
      <c r="E4019" s="1671">
        <v>3.5</v>
      </c>
      <c r="F4019" s="1671">
        <v>4</v>
      </c>
      <c r="G4019" s="1674"/>
      <c r="H4019" s="1671">
        <f t="shared" si="645"/>
        <v>0</v>
      </c>
      <c r="I4019" s="688" t="s">
        <v>92</v>
      </c>
      <c r="J4019" s="1668"/>
      <c r="K4019" s="1668"/>
      <c r="L4019" s="1669"/>
    </row>
    <row r="4020" spans="1:12" s="692" customFormat="1" ht="16.5" hidden="1">
      <c r="A4020" s="1665"/>
      <c r="B4020" s="1666"/>
      <c r="C4020" s="688"/>
      <c r="D4020" s="1667"/>
      <c r="E4020" s="1671">
        <v>3.5</v>
      </c>
      <c r="F4020" s="1671">
        <v>4</v>
      </c>
      <c r="G4020" s="1674"/>
      <c r="H4020" s="1671">
        <f t="shared" si="645"/>
        <v>0</v>
      </c>
      <c r="I4020" s="688" t="s">
        <v>92</v>
      </c>
      <c r="J4020" s="1668"/>
      <c r="K4020" s="1668"/>
      <c r="L4020" s="1669"/>
    </row>
    <row r="4021" spans="1:12" s="692" customFormat="1" ht="16.5" hidden="1">
      <c r="A4021" s="1665"/>
      <c r="B4021" s="1666"/>
      <c r="C4021" s="688"/>
      <c r="D4021" s="1667"/>
      <c r="E4021" s="1671">
        <v>3.5</v>
      </c>
      <c r="F4021" s="1671">
        <v>4</v>
      </c>
      <c r="G4021" s="1674"/>
      <c r="H4021" s="1671">
        <f t="shared" si="645"/>
        <v>0</v>
      </c>
      <c r="I4021" s="688" t="s">
        <v>92</v>
      </c>
      <c r="J4021" s="1668"/>
      <c r="K4021" s="1668"/>
      <c r="L4021" s="1669"/>
    </row>
    <row r="4022" spans="1:12" s="692" customFormat="1" ht="16.5" hidden="1">
      <c r="A4022" s="1665"/>
      <c r="B4022" s="1666"/>
      <c r="C4022" s="688"/>
      <c r="D4022" s="1667"/>
      <c r="E4022" s="1671">
        <v>3.5</v>
      </c>
      <c r="F4022" s="1671">
        <v>4</v>
      </c>
      <c r="G4022" s="1674"/>
      <c r="H4022" s="1671">
        <f t="shared" si="645"/>
        <v>0</v>
      </c>
      <c r="I4022" s="688" t="s">
        <v>92</v>
      </c>
      <c r="J4022" s="1668"/>
      <c r="K4022" s="1668"/>
      <c r="L4022" s="1669"/>
    </row>
    <row r="4023" spans="1:12" s="692" customFormat="1" ht="16.5" hidden="1">
      <c r="A4023" s="1665"/>
      <c r="B4023" s="1666"/>
      <c r="C4023" s="688"/>
      <c r="D4023" s="1667"/>
      <c r="E4023" s="1671">
        <v>3.5</v>
      </c>
      <c r="F4023" s="1671">
        <v>4</v>
      </c>
      <c r="G4023" s="1674"/>
      <c r="H4023" s="1671">
        <f t="shared" si="645"/>
        <v>0</v>
      </c>
      <c r="I4023" s="688" t="s">
        <v>92</v>
      </c>
      <c r="J4023" s="1668"/>
      <c r="K4023" s="1668"/>
      <c r="L4023" s="1669"/>
    </row>
    <row r="4024" spans="1:12" s="692" customFormat="1" ht="16.5" hidden="1">
      <c r="A4024" s="1665"/>
      <c r="B4024" s="1666"/>
      <c r="C4024" s="688"/>
      <c r="D4024" s="1667"/>
      <c r="E4024" s="688"/>
      <c r="F4024" s="688"/>
      <c r="G4024" s="1674" t="s">
        <v>928</v>
      </c>
      <c r="H4024" s="1671">
        <f>SUM(H4018:H4023)</f>
        <v>0</v>
      </c>
      <c r="I4024" s="1668" t="s">
        <v>92</v>
      </c>
      <c r="J4024" s="1669">
        <f>'Lead &amp; ANALYSIS'!L795</f>
        <v>1569.9</v>
      </c>
      <c r="K4024" s="1668" t="s">
        <v>1514</v>
      </c>
      <c r="L4024" s="1669">
        <f t="shared" ref="L4024" si="646">ROUND(H4024*J4024,0)</f>
        <v>0</v>
      </c>
    </row>
    <row r="4025" spans="1:12" s="692" customFormat="1" ht="16.5" hidden="1">
      <c r="A4025" s="1665" t="s">
        <v>432</v>
      </c>
      <c r="B4025" s="1666" t="s">
        <v>3622</v>
      </c>
      <c r="C4025" s="688"/>
      <c r="D4025" s="1667"/>
      <c r="E4025" s="688"/>
      <c r="F4025" s="688"/>
      <c r="G4025" s="1674"/>
      <c r="H4025" s="688"/>
      <c r="I4025" s="1668"/>
      <c r="J4025" s="1668"/>
      <c r="K4025" s="1668"/>
      <c r="L4025" s="1669"/>
    </row>
    <row r="4026" spans="1:12" s="692" customFormat="1" ht="16.5" hidden="1">
      <c r="A4026" s="1665"/>
      <c r="B4026" s="1666"/>
      <c r="C4026" s="688"/>
      <c r="D4026" s="1667"/>
      <c r="E4026" s="1671">
        <v>3.5</v>
      </c>
      <c r="F4026" s="1672"/>
      <c r="G4026" s="1671">
        <v>4</v>
      </c>
      <c r="H4026" s="1671">
        <f t="shared" ref="H4026:H4031" si="647">ROUND(D4026*E4026*G4026,2)</f>
        <v>0</v>
      </c>
      <c r="I4026" s="1671" t="s">
        <v>92</v>
      </c>
      <c r="J4026" s="1668"/>
      <c r="K4026" s="1668"/>
      <c r="L4026" s="1669"/>
    </row>
    <row r="4027" spans="1:12" s="692" customFormat="1" ht="16.5" hidden="1">
      <c r="A4027" s="1665"/>
      <c r="B4027" s="1666"/>
      <c r="C4027" s="688"/>
      <c r="D4027" s="1667"/>
      <c r="E4027" s="1671">
        <v>3.5</v>
      </c>
      <c r="F4027" s="1672"/>
      <c r="G4027" s="1671">
        <v>4</v>
      </c>
      <c r="H4027" s="1671">
        <f t="shared" si="647"/>
        <v>0</v>
      </c>
      <c r="I4027" s="1671" t="s">
        <v>92</v>
      </c>
      <c r="J4027" s="1668"/>
      <c r="K4027" s="1668"/>
      <c r="L4027" s="1669"/>
    </row>
    <row r="4028" spans="1:12" s="692" customFormat="1" ht="16.5" hidden="1">
      <c r="A4028" s="1665"/>
      <c r="B4028" s="1666"/>
      <c r="C4028" s="688"/>
      <c r="D4028" s="1667"/>
      <c r="E4028" s="1671">
        <v>3.5</v>
      </c>
      <c r="F4028" s="1672"/>
      <c r="G4028" s="1671">
        <v>4</v>
      </c>
      <c r="H4028" s="1671">
        <f t="shared" si="647"/>
        <v>0</v>
      </c>
      <c r="I4028" s="1671" t="s">
        <v>92</v>
      </c>
      <c r="J4028" s="1668"/>
      <c r="K4028" s="1668"/>
      <c r="L4028" s="1669"/>
    </row>
    <row r="4029" spans="1:12" s="692" customFormat="1" ht="16.5" hidden="1">
      <c r="A4029" s="1665"/>
      <c r="B4029" s="1666"/>
      <c r="C4029" s="688"/>
      <c r="D4029" s="1667"/>
      <c r="E4029" s="1671">
        <v>3.5</v>
      </c>
      <c r="F4029" s="1672"/>
      <c r="G4029" s="1671">
        <v>4</v>
      </c>
      <c r="H4029" s="1671">
        <f t="shared" si="647"/>
        <v>0</v>
      </c>
      <c r="I4029" s="1671" t="s">
        <v>92</v>
      </c>
      <c r="J4029" s="1668"/>
      <c r="K4029" s="1668"/>
      <c r="L4029" s="1669"/>
    </row>
    <row r="4030" spans="1:12" s="692" customFormat="1" ht="16.5" hidden="1">
      <c r="A4030" s="1665"/>
      <c r="B4030" s="1666"/>
      <c r="C4030" s="688"/>
      <c r="D4030" s="1667"/>
      <c r="E4030" s="1671">
        <v>3.5</v>
      </c>
      <c r="F4030" s="1672"/>
      <c r="G4030" s="1671">
        <v>4</v>
      </c>
      <c r="H4030" s="1671">
        <f t="shared" si="647"/>
        <v>0</v>
      </c>
      <c r="I4030" s="1671" t="s">
        <v>92</v>
      </c>
      <c r="J4030" s="1668"/>
      <c r="K4030" s="1668"/>
      <c r="L4030" s="1669"/>
    </row>
    <row r="4031" spans="1:12" s="692" customFormat="1" ht="16.5" hidden="1">
      <c r="A4031" s="1665"/>
      <c r="B4031" s="1666"/>
      <c r="C4031" s="688"/>
      <c r="D4031" s="1667"/>
      <c r="E4031" s="1671">
        <v>3.5</v>
      </c>
      <c r="F4031" s="1672"/>
      <c r="G4031" s="1671">
        <v>4</v>
      </c>
      <c r="H4031" s="1671">
        <f t="shared" si="647"/>
        <v>0</v>
      </c>
      <c r="I4031" s="1671" t="s">
        <v>92</v>
      </c>
      <c r="J4031" s="1668"/>
      <c r="K4031" s="1668"/>
      <c r="L4031" s="1669"/>
    </row>
    <row r="4032" spans="1:12" s="692" customFormat="1" ht="16.5" hidden="1">
      <c r="A4032" s="1665"/>
      <c r="B4032" s="1666"/>
      <c r="C4032" s="688"/>
      <c r="D4032" s="1667"/>
      <c r="E4032" s="688"/>
      <c r="F4032" s="688"/>
      <c r="G4032" s="1665" t="s">
        <v>928</v>
      </c>
      <c r="H4032" s="1673">
        <f>SUM(H4026:H4031)</f>
        <v>0</v>
      </c>
      <c r="I4032" s="1668" t="s">
        <v>92</v>
      </c>
      <c r="J4032" s="1669">
        <f>'Lead &amp; ANALYSIS'!L796</f>
        <v>1604.4</v>
      </c>
      <c r="K4032" s="1668" t="s">
        <v>1514</v>
      </c>
      <c r="L4032" s="1669">
        <f t="shared" ref="L4032" si="648">ROUND(H4032*J4032,0)</f>
        <v>0</v>
      </c>
    </row>
    <row r="4033" spans="1:12" s="692" customFormat="1" ht="16.5" hidden="1">
      <c r="A4033" s="1665" t="s">
        <v>443</v>
      </c>
      <c r="B4033" s="1666" t="s">
        <v>3636</v>
      </c>
      <c r="C4033" s="688"/>
      <c r="D4033" s="1667"/>
      <c r="E4033" s="688"/>
      <c r="F4033" s="688"/>
      <c r="G4033" s="1674"/>
      <c r="H4033" s="688"/>
      <c r="I4033" s="1668"/>
      <c r="J4033" s="1668"/>
      <c r="K4033" s="1668"/>
      <c r="L4033" s="1669"/>
    </row>
    <row r="4034" spans="1:12" s="692" customFormat="1" ht="16.5" hidden="1">
      <c r="A4034" s="1665"/>
      <c r="B4034" s="1666"/>
      <c r="C4034" s="688"/>
      <c r="D4034" s="1667"/>
      <c r="E4034" s="1671">
        <v>3.5</v>
      </c>
      <c r="F4034" s="1672"/>
      <c r="G4034" s="1671">
        <v>4</v>
      </c>
      <c r="H4034" s="1671">
        <f t="shared" ref="H4034:H4039" si="649">ROUND(D4034*E4034*G4034,2)</f>
        <v>0</v>
      </c>
      <c r="I4034" s="1671" t="s">
        <v>92</v>
      </c>
      <c r="J4034" s="1668"/>
      <c r="K4034" s="1668"/>
      <c r="L4034" s="1669"/>
    </row>
    <row r="4035" spans="1:12" s="692" customFormat="1" ht="16.5" hidden="1">
      <c r="A4035" s="1665"/>
      <c r="B4035" s="1666"/>
      <c r="C4035" s="688"/>
      <c r="D4035" s="1667"/>
      <c r="E4035" s="1671">
        <v>3.5</v>
      </c>
      <c r="F4035" s="1672"/>
      <c r="G4035" s="1671">
        <v>4</v>
      </c>
      <c r="H4035" s="1671">
        <f t="shared" si="649"/>
        <v>0</v>
      </c>
      <c r="I4035" s="1671" t="s">
        <v>92</v>
      </c>
      <c r="J4035" s="1668"/>
      <c r="K4035" s="1668"/>
      <c r="L4035" s="1669"/>
    </row>
    <row r="4036" spans="1:12" s="692" customFormat="1" ht="16.5" hidden="1">
      <c r="A4036" s="1665"/>
      <c r="B4036" s="1666"/>
      <c r="C4036" s="688"/>
      <c r="D4036" s="1667"/>
      <c r="E4036" s="1671">
        <v>3.5</v>
      </c>
      <c r="F4036" s="1672"/>
      <c r="G4036" s="1671">
        <v>4</v>
      </c>
      <c r="H4036" s="1671">
        <f t="shared" si="649"/>
        <v>0</v>
      </c>
      <c r="I4036" s="1671" t="s">
        <v>92</v>
      </c>
      <c r="J4036" s="1668"/>
      <c r="K4036" s="1668"/>
      <c r="L4036" s="1669"/>
    </row>
    <row r="4037" spans="1:12" s="692" customFormat="1" ht="16.5" hidden="1">
      <c r="A4037" s="1665"/>
      <c r="B4037" s="1666"/>
      <c r="C4037" s="688"/>
      <c r="D4037" s="1667"/>
      <c r="E4037" s="1671">
        <v>3.5</v>
      </c>
      <c r="F4037" s="1672"/>
      <c r="G4037" s="1671">
        <v>4</v>
      </c>
      <c r="H4037" s="1671">
        <f t="shared" si="649"/>
        <v>0</v>
      </c>
      <c r="I4037" s="1671" t="s">
        <v>92</v>
      </c>
      <c r="J4037" s="1668"/>
      <c r="K4037" s="1668"/>
      <c r="L4037" s="1669"/>
    </row>
    <row r="4038" spans="1:12" s="692" customFormat="1" ht="16.5" hidden="1">
      <c r="A4038" s="1665"/>
      <c r="B4038" s="1666"/>
      <c r="C4038" s="688"/>
      <c r="D4038" s="1667"/>
      <c r="E4038" s="1671">
        <v>3.5</v>
      </c>
      <c r="F4038" s="1672"/>
      <c r="G4038" s="1671">
        <v>4</v>
      </c>
      <c r="H4038" s="1671">
        <f t="shared" si="649"/>
        <v>0</v>
      </c>
      <c r="I4038" s="1671" t="s">
        <v>92</v>
      </c>
      <c r="J4038" s="1668"/>
      <c r="K4038" s="1668"/>
      <c r="L4038" s="1669"/>
    </row>
    <row r="4039" spans="1:12" s="692" customFormat="1" ht="16.5" hidden="1">
      <c r="A4039" s="1665"/>
      <c r="B4039" s="1666"/>
      <c r="C4039" s="688"/>
      <c r="D4039" s="1667"/>
      <c r="E4039" s="1671">
        <v>3.5</v>
      </c>
      <c r="F4039" s="1672"/>
      <c r="G4039" s="1671">
        <v>4</v>
      </c>
      <c r="H4039" s="1671">
        <f t="shared" si="649"/>
        <v>0</v>
      </c>
      <c r="I4039" s="1671" t="s">
        <v>92</v>
      </c>
      <c r="J4039" s="1668"/>
      <c r="K4039" s="1668"/>
      <c r="L4039" s="1669"/>
    </row>
    <row r="4040" spans="1:12" s="692" customFormat="1" ht="16.5" hidden="1">
      <c r="A4040" s="1665"/>
      <c r="B4040" s="1666"/>
      <c r="C4040" s="688"/>
      <c r="D4040" s="1667"/>
      <c r="E4040" s="688"/>
      <c r="F4040" s="688"/>
      <c r="G4040" s="1665" t="s">
        <v>928</v>
      </c>
      <c r="H4040" s="1673">
        <f>SUM(H4034:H4039)</f>
        <v>0</v>
      </c>
      <c r="I4040" s="1668" t="s">
        <v>92</v>
      </c>
      <c r="J4040" s="1669">
        <f>'Lead &amp; ANALYSIS'!L797</f>
        <v>1640.6</v>
      </c>
      <c r="K4040" s="1668" t="s">
        <v>1514</v>
      </c>
      <c r="L4040" s="1669">
        <f t="shared" ref="L4040" si="650">ROUND(H4040*J4040,0)</f>
        <v>0</v>
      </c>
    </row>
    <row r="4041" spans="1:12" s="692" customFormat="1" ht="16.5" hidden="1">
      <c r="A4041" s="1665" t="s">
        <v>470</v>
      </c>
      <c r="B4041" s="1666" t="s">
        <v>231</v>
      </c>
      <c r="C4041" s="688"/>
      <c r="D4041" s="1667"/>
      <c r="E4041" s="688"/>
      <c r="F4041" s="688"/>
      <c r="G4041" s="1674"/>
      <c r="H4041" s="688"/>
      <c r="I4041" s="1668"/>
      <c r="J4041" s="1668"/>
      <c r="K4041" s="1668"/>
      <c r="L4041" s="1669"/>
    </row>
    <row r="4042" spans="1:12" s="692" customFormat="1" ht="16.5" hidden="1">
      <c r="A4042" s="1665" t="s">
        <v>383</v>
      </c>
      <c r="B4042" s="1666" t="s">
        <v>384</v>
      </c>
      <c r="C4042" s="688"/>
      <c r="D4042" s="1667"/>
      <c r="E4042" s="688"/>
      <c r="F4042" s="688"/>
      <c r="G4042" s="1674"/>
      <c r="H4042" s="688"/>
      <c r="I4042" s="1668"/>
      <c r="J4042" s="1668"/>
      <c r="K4042" s="1668"/>
      <c r="L4042" s="1669"/>
    </row>
    <row r="4043" spans="1:12" s="692" customFormat="1" ht="16.5" hidden="1">
      <c r="A4043" s="1665"/>
      <c r="B4043" s="1666"/>
      <c r="C4043" s="688"/>
      <c r="D4043" s="1667"/>
      <c r="E4043" s="1671">
        <v>3.5</v>
      </c>
      <c r="F4043" s="1671">
        <v>4</v>
      </c>
      <c r="G4043" s="1674"/>
      <c r="H4043" s="1671">
        <f t="shared" ref="H4043:H4048" si="651">ROUND(D4043*E4043*F4043,2)</f>
        <v>0</v>
      </c>
      <c r="I4043" s="688" t="s">
        <v>92</v>
      </c>
      <c r="J4043" s="1668"/>
      <c r="K4043" s="1668"/>
      <c r="L4043" s="1669"/>
    </row>
    <row r="4044" spans="1:12" s="692" customFormat="1" ht="16.5" hidden="1">
      <c r="A4044" s="1665"/>
      <c r="B4044" s="1666"/>
      <c r="C4044" s="688"/>
      <c r="D4044" s="1667"/>
      <c r="E4044" s="1671">
        <v>3.5</v>
      </c>
      <c r="F4044" s="1671">
        <v>4</v>
      </c>
      <c r="G4044" s="1674"/>
      <c r="H4044" s="1671">
        <f t="shared" si="651"/>
        <v>0</v>
      </c>
      <c r="I4044" s="688" t="s">
        <v>92</v>
      </c>
      <c r="J4044" s="1668"/>
      <c r="K4044" s="1668"/>
      <c r="L4044" s="1669"/>
    </row>
    <row r="4045" spans="1:12" s="692" customFormat="1" ht="16.5" hidden="1">
      <c r="A4045" s="1665"/>
      <c r="B4045" s="1666"/>
      <c r="C4045" s="688"/>
      <c r="D4045" s="1667"/>
      <c r="E4045" s="1671">
        <v>3.5</v>
      </c>
      <c r="F4045" s="1671">
        <v>4</v>
      </c>
      <c r="G4045" s="1674"/>
      <c r="H4045" s="1671">
        <f t="shared" si="651"/>
        <v>0</v>
      </c>
      <c r="I4045" s="688" t="s">
        <v>92</v>
      </c>
      <c r="J4045" s="1668"/>
      <c r="K4045" s="1668"/>
      <c r="L4045" s="1669"/>
    </row>
    <row r="4046" spans="1:12" s="692" customFormat="1" ht="16.5" hidden="1">
      <c r="A4046" s="1665"/>
      <c r="B4046" s="1666"/>
      <c r="C4046" s="688"/>
      <c r="D4046" s="1667"/>
      <c r="E4046" s="1671">
        <v>3.5</v>
      </c>
      <c r="F4046" s="1671">
        <v>4</v>
      </c>
      <c r="G4046" s="1674"/>
      <c r="H4046" s="1671">
        <f t="shared" si="651"/>
        <v>0</v>
      </c>
      <c r="I4046" s="688" t="s">
        <v>92</v>
      </c>
      <c r="J4046" s="1668"/>
      <c r="K4046" s="1668"/>
      <c r="L4046" s="1669"/>
    </row>
    <row r="4047" spans="1:12" s="692" customFormat="1" ht="16.5" hidden="1">
      <c r="A4047" s="1665"/>
      <c r="B4047" s="1666"/>
      <c r="C4047" s="688"/>
      <c r="D4047" s="1667"/>
      <c r="E4047" s="1671">
        <v>3.5</v>
      </c>
      <c r="F4047" s="1671">
        <v>4</v>
      </c>
      <c r="G4047" s="1674"/>
      <c r="H4047" s="1671">
        <f t="shared" si="651"/>
        <v>0</v>
      </c>
      <c r="I4047" s="688" t="s">
        <v>92</v>
      </c>
      <c r="J4047" s="1668"/>
      <c r="K4047" s="1668"/>
      <c r="L4047" s="1669"/>
    </row>
    <row r="4048" spans="1:12" s="692" customFormat="1" ht="16.5" hidden="1">
      <c r="A4048" s="1665"/>
      <c r="B4048" s="1666"/>
      <c r="C4048" s="688"/>
      <c r="D4048" s="1667"/>
      <c r="E4048" s="1671">
        <v>3.5</v>
      </c>
      <c r="F4048" s="1671">
        <v>4</v>
      </c>
      <c r="G4048" s="1674"/>
      <c r="H4048" s="1671">
        <f t="shared" si="651"/>
        <v>0</v>
      </c>
      <c r="I4048" s="688" t="s">
        <v>92</v>
      </c>
      <c r="J4048" s="1668"/>
      <c r="K4048" s="1668"/>
      <c r="L4048" s="1669"/>
    </row>
    <row r="4049" spans="1:12" s="692" customFormat="1" ht="16.5" hidden="1">
      <c r="A4049" s="1665"/>
      <c r="B4049" s="1666"/>
      <c r="C4049" s="688"/>
      <c r="D4049" s="1667"/>
      <c r="E4049" s="688"/>
      <c r="F4049" s="688"/>
      <c r="G4049" s="1674" t="s">
        <v>928</v>
      </c>
      <c r="H4049" s="1671">
        <f>SUM(H4043:H4048)</f>
        <v>0</v>
      </c>
      <c r="I4049" s="1668" t="s">
        <v>92</v>
      </c>
      <c r="J4049" s="1669">
        <f>'Lead &amp; ANALYSIS'!L799</f>
        <v>1452.6</v>
      </c>
      <c r="K4049" s="1668" t="s">
        <v>1514</v>
      </c>
      <c r="L4049" s="1669">
        <f t="shared" ref="L4049" si="652">ROUND(H4049*J4049,0)</f>
        <v>0</v>
      </c>
    </row>
    <row r="4050" spans="1:12" s="692" customFormat="1" ht="16.5" hidden="1">
      <c r="A4050" s="1665" t="s">
        <v>386</v>
      </c>
      <c r="B4050" s="1666" t="s">
        <v>387</v>
      </c>
      <c r="C4050" s="688"/>
      <c r="D4050" s="1667"/>
      <c r="E4050" s="688"/>
      <c r="F4050" s="688"/>
      <c r="G4050" s="1674"/>
      <c r="H4050" s="688"/>
      <c r="I4050" s="1668"/>
      <c r="J4050" s="1668"/>
      <c r="K4050" s="1668"/>
      <c r="L4050" s="1669"/>
    </row>
    <row r="4051" spans="1:12" s="692" customFormat="1" ht="16.5" hidden="1">
      <c r="A4051" s="1665"/>
      <c r="B4051" s="1666"/>
      <c r="C4051" s="688"/>
      <c r="D4051" s="1667"/>
      <c r="E4051" s="1671">
        <v>3.5</v>
      </c>
      <c r="F4051" s="1671">
        <v>4</v>
      </c>
      <c r="G4051" s="1674"/>
      <c r="H4051" s="1671">
        <f t="shared" ref="H4051:H4056" si="653">ROUND(D4051*E4051*F4051,2)</f>
        <v>0</v>
      </c>
      <c r="I4051" s="688" t="s">
        <v>92</v>
      </c>
      <c r="J4051" s="1668"/>
      <c r="K4051" s="1668"/>
      <c r="L4051" s="1669"/>
    </row>
    <row r="4052" spans="1:12" s="692" customFormat="1" ht="16.5" hidden="1">
      <c r="A4052" s="1665"/>
      <c r="B4052" s="1666"/>
      <c r="C4052" s="688"/>
      <c r="D4052" s="1667"/>
      <c r="E4052" s="1671">
        <v>3.5</v>
      </c>
      <c r="F4052" s="1671">
        <v>4</v>
      </c>
      <c r="G4052" s="1674"/>
      <c r="H4052" s="1671">
        <f t="shared" si="653"/>
        <v>0</v>
      </c>
      <c r="I4052" s="688" t="s">
        <v>92</v>
      </c>
      <c r="J4052" s="1668"/>
      <c r="K4052" s="1668"/>
      <c r="L4052" s="1669"/>
    </row>
    <row r="4053" spans="1:12" s="692" customFormat="1" ht="16.5" hidden="1">
      <c r="A4053" s="1665"/>
      <c r="B4053" s="1666"/>
      <c r="C4053" s="688"/>
      <c r="D4053" s="1667"/>
      <c r="E4053" s="1671">
        <v>3.5</v>
      </c>
      <c r="F4053" s="1671">
        <v>4</v>
      </c>
      <c r="G4053" s="1674"/>
      <c r="H4053" s="1671">
        <f t="shared" si="653"/>
        <v>0</v>
      </c>
      <c r="I4053" s="688" t="s">
        <v>92</v>
      </c>
      <c r="J4053" s="1668"/>
      <c r="K4053" s="1668"/>
      <c r="L4053" s="1669"/>
    </row>
    <row r="4054" spans="1:12" s="692" customFormat="1" ht="16.5" hidden="1">
      <c r="A4054" s="1665"/>
      <c r="B4054" s="1666"/>
      <c r="C4054" s="688"/>
      <c r="D4054" s="1667"/>
      <c r="E4054" s="1671">
        <v>3.5</v>
      </c>
      <c r="F4054" s="1671">
        <v>4</v>
      </c>
      <c r="G4054" s="1674"/>
      <c r="H4054" s="1671">
        <f t="shared" si="653"/>
        <v>0</v>
      </c>
      <c r="I4054" s="688" t="s">
        <v>92</v>
      </c>
      <c r="J4054" s="1668"/>
      <c r="K4054" s="1668"/>
      <c r="L4054" s="1669"/>
    </row>
    <row r="4055" spans="1:12" s="692" customFormat="1" ht="16.5" hidden="1">
      <c r="A4055" s="1665"/>
      <c r="B4055" s="1666"/>
      <c r="C4055" s="688"/>
      <c r="D4055" s="1667"/>
      <c r="E4055" s="1671">
        <v>3.5</v>
      </c>
      <c r="F4055" s="1671">
        <v>4</v>
      </c>
      <c r="G4055" s="1674"/>
      <c r="H4055" s="1671">
        <f t="shared" si="653"/>
        <v>0</v>
      </c>
      <c r="I4055" s="688" t="s">
        <v>92</v>
      </c>
      <c r="J4055" s="1668"/>
      <c r="K4055" s="1668"/>
      <c r="L4055" s="1669"/>
    </row>
    <row r="4056" spans="1:12" s="692" customFormat="1" ht="16.5" hidden="1">
      <c r="A4056" s="1665"/>
      <c r="B4056" s="1666"/>
      <c r="C4056" s="688"/>
      <c r="D4056" s="1667"/>
      <c r="E4056" s="1671">
        <v>3.5</v>
      </c>
      <c r="F4056" s="1671">
        <v>4</v>
      </c>
      <c r="G4056" s="1674"/>
      <c r="H4056" s="1671">
        <f t="shared" si="653"/>
        <v>0</v>
      </c>
      <c r="I4056" s="688" t="s">
        <v>92</v>
      </c>
      <c r="J4056" s="1668"/>
      <c r="K4056" s="1668"/>
      <c r="L4056" s="1669"/>
    </row>
    <row r="4057" spans="1:12" s="692" customFormat="1" ht="16.5" hidden="1">
      <c r="A4057" s="1665"/>
      <c r="B4057" s="1666"/>
      <c r="C4057" s="688"/>
      <c r="D4057" s="1667"/>
      <c r="E4057" s="688"/>
      <c r="F4057" s="688"/>
      <c r="G4057" s="1674" t="s">
        <v>928</v>
      </c>
      <c r="H4057" s="1671">
        <f>SUM(H4051:H4056)</f>
        <v>0</v>
      </c>
      <c r="I4057" s="1668" t="s">
        <v>92</v>
      </c>
      <c r="J4057" s="1669">
        <f>'Lead &amp; ANALYSIS'!L800</f>
        <v>1485.4</v>
      </c>
      <c r="K4057" s="1668" t="s">
        <v>1514</v>
      </c>
      <c r="L4057" s="1669">
        <f t="shared" ref="L4057" si="654">ROUND(H4057*J4057,0)</f>
        <v>0</v>
      </c>
    </row>
    <row r="4058" spans="1:12" s="692" customFormat="1" ht="16.5" hidden="1">
      <c r="A4058" s="1665" t="s">
        <v>432</v>
      </c>
      <c r="B4058" s="1666" t="s">
        <v>3622</v>
      </c>
      <c r="C4058" s="688"/>
      <c r="D4058" s="1667"/>
      <c r="E4058" s="688"/>
      <c r="F4058" s="688"/>
      <c r="G4058" s="1674"/>
      <c r="H4058" s="688"/>
      <c r="I4058" s="1668"/>
      <c r="J4058" s="1668"/>
      <c r="K4058" s="1668"/>
      <c r="L4058" s="1669"/>
    </row>
    <row r="4059" spans="1:12" s="692" customFormat="1" ht="16.5" hidden="1">
      <c r="A4059" s="1665"/>
      <c r="B4059" s="1666"/>
      <c r="C4059" s="688"/>
      <c r="D4059" s="1667"/>
      <c r="E4059" s="1671">
        <v>3.5</v>
      </c>
      <c r="F4059" s="1672"/>
      <c r="G4059" s="1671">
        <v>4</v>
      </c>
      <c r="H4059" s="1671">
        <f t="shared" ref="H4059:H4064" si="655">ROUND(D4059*E4059*G4059,2)</f>
        <v>0</v>
      </c>
      <c r="I4059" s="1671" t="s">
        <v>92</v>
      </c>
      <c r="J4059" s="1668"/>
      <c r="K4059" s="1668"/>
      <c r="L4059" s="1669"/>
    </row>
    <row r="4060" spans="1:12" s="692" customFormat="1" ht="16.5" hidden="1">
      <c r="A4060" s="1665"/>
      <c r="B4060" s="1666"/>
      <c r="C4060" s="688"/>
      <c r="D4060" s="1667"/>
      <c r="E4060" s="1671">
        <v>3.5</v>
      </c>
      <c r="F4060" s="1672"/>
      <c r="G4060" s="1671">
        <v>4</v>
      </c>
      <c r="H4060" s="1671">
        <f t="shared" si="655"/>
        <v>0</v>
      </c>
      <c r="I4060" s="1671" t="s">
        <v>92</v>
      </c>
      <c r="J4060" s="1668"/>
      <c r="K4060" s="1668"/>
      <c r="L4060" s="1669"/>
    </row>
    <row r="4061" spans="1:12" s="692" customFormat="1" ht="16.5" hidden="1">
      <c r="A4061" s="1665"/>
      <c r="B4061" s="1666"/>
      <c r="C4061" s="688"/>
      <c r="D4061" s="1667"/>
      <c r="E4061" s="1671">
        <v>3.5</v>
      </c>
      <c r="F4061" s="1672"/>
      <c r="G4061" s="1671">
        <v>4</v>
      </c>
      <c r="H4061" s="1671">
        <f t="shared" si="655"/>
        <v>0</v>
      </c>
      <c r="I4061" s="1671" t="s">
        <v>92</v>
      </c>
      <c r="J4061" s="1668"/>
      <c r="K4061" s="1668"/>
      <c r="L4061" s="1669"/>
    </row>
    <row r="4062" spans="1:12" s="692" customFormat="1" ht="16.5" hidden="1">
      <c r="A4062" s="1665"/>
      <c r="B4062" s="1666"/>
      <c r="C4062" s="688"/>
      <c r="D4062" s="1667"/>
      <c r="E4062" s="1671">
        <v>3.5</v>
      </c>
      <c r="F4062" s="1672"/>
      <c r="G4062" s="1671">
        <v>4</v>
      </c>
      <c r="H4062" s="1671">
        <f t="shared" si="655"/>
        <v>0</v>
      </c>
      <c r="I4062" s="1671" t="s">
        <v>92</v>
      </c>
      <c r="J4062" s="1668"/>
      <c r="K4062" s="1668"/>
      <c r="L4062" s="1669"/>
    </row>
    <row r="4063" spans="1:12" s="692" customFormat="1" ht="16.5" hidden="1">
      <c r="A4063" s="1665"/>
      <c r="B4063" s="1666"/>
      <c r="C4063" s="688"/>
      <c r="D4063" s="1667"/>
      <c r="E4063" s="1671">
        <v>3.5</v>
      </c>
      <c r="F4063" s="1672"/>
      <c r="G4063" s="1671">
        <v>4</v>
      </c>
      <c r="H4063" s="1671">
        <f t="shared" si="655"/>
        <v>0</v>
      </c>
      <c r="I4063" s="1671" t="s">
        <v>92</v>
      </c>
      <c r="J4063" s="1668"/>
      <c r="K4063" s="1668"/>
      <c r="L4063" s="1669"/>
    </row>
    <row r="4064" spans="1:12" s="692" customFormat="1" ht="16.5" hidden="1">
      <c r="A4064" s="1665"/>
      <c r="B4064" s="1666"/>
      <c r="C4064" s="688"/>
      <c r="D4064" s="1667"/>
      <c r="E4064" s="1671">
        <v>3.5</v>
      </c>
      <c r="F4064" s="1672"/>
      <c r="G4064" s="1671">
        <v>4</v>
      </c>
      <c r="H4064" s="1671">
        <f t="shared" si="655"/>
        <v>0</v>
      </c>
      <c r="I4064" s="1671" t="s">
        <v>92</v>
      </c>
      <c r="J4064" s="1668"/>
      <c r="K4064" s="1668"/>
      <c r="L4064" s="1669"/>
    </row>
    <row r="4065" spans="1:12" s="692" customFormat="1" ht="16.5" hidden="1">
      <c r="A4065" s="1665"/>
      <c r="B4065" s="1666"/>
      <c r="C4065" s="688"/>
      <c r="D4065" s="1667"/>
      <c r="E4065" s="688"/>
      <c r="F4065" s="688"/>
      <c r="G4065" s="1665" t="s">
        <v>928</v>
      </c>
      <c r="H4065" s="1673">
        <f>SUM(H4059:H4064)</f>
        <v>0</v>
      </c>
      <c r="I4065" s="1668" t="s">
        <v>92</v>
      </c>
      <c r="J4065" s="1669">
        <f>'Lead &amp; ANALYSIS'!L801</f>
        <v>1395.4</v>
      </c>
      <c r="K4065" s="1668" t="s">
        <v>1514</v>
      </c>
      <c r="L4065" s="1669">
        <f t="shared" ref="L4065" si="656">ROUND(H4065*J4065,0)</f>
        <v>0</v>
      </c>
    </row>
    <row r="4066" spans="1:12" s="692" customFormat="1" ht="16.5" hidden="1">
      <c r="A4066" s="1665" t="s">
        <v>443</v>
      </c>
      <c r="B4066" s="1666" t="s">
        <v>3636</v>
      </c>
      <c r="C4066" s="688"/>
      <c r="D4066" s="1667"/>
      <c r="E4066" s="688"/>
      <c r="F4066" s="688"/>
      <c r="G4066" s="1674"/>
      <c r="H4066" s="688"/>
      <c r="I4066" s="1668"/>
      <c r="J4066" s="1668"/>
      <c r="K4066" s="1668"/>
      <c r="L4066" s="1669"/>
    </row>
    <row r="4067" spans="1:12" s="692" customFormat="1" ht="16.5" hidden="1">
      <c r="A4067" s="1665"/>
      <c r="B4067" s="1666"/>
      <c r="C4067" s="688"/>
      <c r="D4067" s="1667"/>
      <c r="E4067" s="1671">
        <v>3.5</v>
      </c>
      <c r="F4067" s="1672"/>
      <c r="G4067" s="1671">
        <v>4</v>
      </c>
      <c r="H4067" s="1671">
        <f t="shared" ref="H4067:H4072" si="657">ROUND(D4067*E4067*G4067,2)</f>
        <v>0</v>
      </c>
      <c r="I4067" s="1671" t="s">
        <v>92</v>
      </c>
      <c r="J4067" s="1668"/>
      <c r="K4067" s="1668"/>
      <c r="L4067" s="1669"/>
    </row>
    <row r="4068" spans="1:12" s="692" customFormat="1" ht="16.5" hidden="1">
      <c r="A4068" s="1665"/>
      <c r="B4068" s="1666"/>
      <c r="C4068" s="688"/>
      <c r="D4068" s="1667"/>
      <c r="E4068" s="1671">
        <v>3.5</v>
      </c>
      <c r="F4068" s="1672"/>
      <c r="G4068" s="1671">
        <v>4</v>
      </c>
      <c r="H4068" s="1671">
        <f t="shared" si="657"/>
        <v>0</v>
      </c>
      <c r="I4068" s="1671" t="s">
        <v>92</v>
      </c>
      <c r="J4068" s="1668"/>
      <c r="K4068" s="1668"/>
      <c r="L4068" s="1669"/>
    </row>
    <row r="4069" spans="1:12" s="692" customFormat="1" ht="16.5" hidden="1">
      <c r="A4069" s="1665"/>
      <c r="B4069" s="1666"/>
      <c r="C4069" s="688"/>
      <c r="D4069" s="1667"/>
      <c r="E4069" s="1671">
        <v>3.5</v>
      </c>
      <c r="F4069" s="1672"/>
      <c r="G4069" s="1671">
        <v>4</v>
      </c>
      <c r="H4069" s="1671">
        <f t="shared" si="657"/>
        <v>0</v>
      </c>
      <c r="I4069" s="1671" t="s">
        <v>92</v>
      </c>
      <c r="J4069" s="1668"/>
      <c r="K4069" s="1668"/>
      <c r="L4069" s="1669"/>
    </row>
    <row r="4070" spans="1:12" s="692" customFormat="1" ht="16.5" hidden="1">
      <c r="A4070" s="1665"/>
      <c r="B4070" s="1666"/>
      <c r="C4070" s="688"/>
      <c r="D4070" s="1667"/>
      <c r="E4070" s="1671">
        <v>3.5</v>
      </c>
      <c r="F4070" s="1672"/>
      <c r="G4070" s="1671">
        <v>4</v>
      </c>
      <c r="H4070" s="1671">
        <f t="shared" si="657"/>
        <v>0</v>
      </c>
      <c r="I4070" s="1671" t="s">
        <v>92</v>
      </c>
      <c r="J4070" s="1668"/>
      <c r="K4070" s="1668"/>
      <c r="L4070" s="1669"/>
    </row>
    <row r="4071" spans="1:12" s="692" customFormat="1" ht="16.5" hidden="1">
      <c r="A4071" s="1665"/>
      <c r="B4071" s="1666"/>
      <c r="C4071" s="688"/>
      <c r="D4071" s="1667"/>
      <c r="E4071" s="1671">
        <v>3.5</v>
      </c>
      <c r="F4071" s="1672"/>
      <c r="G4071" s="1671">
        <v>4</v>
      </c>
      <c r="H4071" s="1671">
        <f t="shared" si="657"/>
        <v>0</v>
      </c>
      <c r="I4071" s="1671" t="s">
        <v>92</v>
      </c>
      <c r="J4071" s="1668"/>
      <c r="K4071" s="1668"/>
      <c r="L4071" s="1669"/>
    </row>
    <row r="4072" spans="1:12" s="692" customFormat="1" ht="16.5" hidden="1">
      <c r="A4072" s="1665"/>
      <c r="B4072" s="1666"/>
      <c r="C4072" s="688"/>
      <c r="D4072" s="1667"/>
      <c r="E4072" s="1671">
        <v>3.5</v>
      </c>
      <c r="F4072" s="1672"/>
      <c r="G4072" s="1671">
        <v>4</v>
      </c>
      <c r="H4072" s="1671">
        <f t="shared" si="657"/>
        <v>0</v>
      </c>
      <c r="I4072" s="1671" t="s">
        <v>92</v>
      </c>
      <c r="J4072" s="1668"/>
      <c r="K4072" s="1668"/>
      <c r="L4072" s="1669"/>
    </row>
    <row r="4073" spans="1:12" s="692" customFormat="1" ht="16.5" hidden="1">
      <c r="A4073" s="1665"/>
      <c r="B4073" s="1666"/>
      <c r="C4073" s="688"/>
      <c r="D4073" s="1667"/>
      <c r="E4073" s="688"/>
      <c r="F4073" s="688"/>
      <c r="G4073" s="1665" t="s">
        <v>928</v>
      </c>
      <c r="H4073" s="1673">
        <f>SUM(H4067:H4072)</f>
        <v>0</v>
      </c>
      <c r="I4073" s="1668" t="s">
        <v>92</v>
      </c>
      <c r="J4073" s="1669">
        <f>'Lead &amp; ANALYSIS'!L802</f>
        <v>1556.1</v>
      </c>
      <c r="K4073" s="1668" t="s">
        <v>1514</v>
      </c>
      <c r="L4073" s="1669">
        <f t="shared" ref="L4073" si="658">ROUND(H4073*J4073,0)</f>
        <v>0</v>
      </c>
    </row>
    <row r="4074" spans="1:12" s="692" customFormat="1" ht="16.5" hidden="1">
      <c r="A4074" s="1665" t="s">
        <v>472</v>
      </c>
      <c r="B4074" s="1666" t="s">
        <v>225</v>
      </c>
      <c r="C4074" s="688"/>
      <c r="D4074" s="1667"/>
      <c r="E4074" s="688"/>
      <c r="F4074" s="688"/>
      <c r="G4074" s="1674"/>
      <c r="H4074" s="688"/>
      <c r="I4074" s="1668"/>
      <c r="J4074" s="1668"/>
      <c r="K4074" s="1668"/>
      <c r="L4074" s="1669"/>
    </row>
    <row r="4075" spans="1:12" s="692" customFormat="1" ht="16.5" hidden="1">
      <c r="A4075" s="1665" t="s">
        <v>383</v>
      </c>
      <c r="B4075" s="1666" t="s">
        <v>384</v>
      </c>
      <c r="C4075" s="688"/>
      <c r="D4075" s="1667"/>
      <c r="E4075" s="688"/>
      <c r="F4075" s="688"/>
      <c r="G4075" s="1674"/>
      <c r="H4075" s="688"/>
      <c r="I4075" s="1668"/>
      <c r="J4075" s="1668"/>
      <c r="K4075" s="1668"/>
      <c r="L4075" s="1669"/>
    </row>
    <row r="4076" spans="1:12" s="692" customFormat="1" ht="16.5" hidden="1">
      <c r="A4076" s="1665"/>
      <c r="B4076" s="1666"/>
      <c r="C4076" s="688"/>
      <c r="D4076" s="1667"/>
      <c r="E4076" s="1671">
        <v>3.5</v>
      </c>
      <c r="F4076" s="1671">
        <v>4</v>
      </c>
      <c r="G4076" s="1674"/>
      <c r="H4076" s="1671">
        <f t="shared" ref="H4076:H4081" si="659">ROUND(D4076*E4076*F4076,2)</f>
        <v>0</v>
      </c>
      <c r="I4076" s="688" t="s">
        <v>92</v>
      </c>
      <c r="J4076" s="1668"/>
      <c r="K4076" s="1668"/>
      <c r="L4076" s="1669"/>
    </row>
    <row r="4077" spans="1:12" s="692" customFormat="1" ht="16.5" hidden="1">
      <c r="A4077" s="1665"/>
      <c r="B4077" s="1666"/>
      <c r="C4077" s="688"/>
      <c r="D4077" s="1667"/>
      <c r="E4077" s="1671">
        <v>3.5</v>
      </c>
      <c r="F4077" s="1671">
        <v>4</v>
      </c>
      <c r="G4077" s="1674"/>
      <c r="H4077" s="1671">
        <f t="shared" si="659"/>
        <v>0</v>
      </c>
      <c r="I4077" s="688" t="s">
        <v>92</v>
      </c>
      <c r="J4077" s="1668"/>
      <c r="K4077" s="1668"/>
      <c r="L4077" s="1669"/>
    </row>
    <row r="4078" spans="1:12" s="692" customFormat="1" ht="16.5" hidden="1">
      <c r="A4078" s="1665"/>
      <c r="B4078" s="1666"/>
      <c r="C4078" s="688"/>
      <c r="D4078" s="1667"/>
      <c r="E4078" s="1671">
        <v>3.5</v>
      </c>
      <c r="F4078" s="1671">
        <v>4</v>
      </c>
      <c r="G4078" s="1674"/>
      <c r="H4078" s="1671">
        <f t="shared" si="659"/>
        <v>0</v>
      </c>
      <c r="I4078" s="688" t="s">
        <v>92</v>
      </c>
      <c r="J4078" s="1668"/>
      <c r="K4078" s="1668"/>
      <c r="L4078" s="1669"/>
    </row>
    <row r="4079" spans="1:12" s="692" customFormat="1" ht="16.5" hidden="1">
      <c r="A4079" s="1665"/>
      <c r="B4079" s="1666"/>
      <c r="C4079" s="688"/>
      <c r="D4079" s="1667"/>
      <c r="E4079" s="1671">
        <v>3.5</v>
      </c>
      <c r="F4079" s="1671">
        <v>4</v>
      </c>
      <c r="G4079" s="1674"/>
      <c r="H4079" s="1671">
        <f t="shared" si="659"/>
        <v>0</v>
      </c>
      <c r="I4079" s="688" t="s">
        <v>92</v>
      </c>
      <c r="J4079" s="1668"/>
      <c r="K4079" s="1668"/>
      <c r="L4079" s="1669"/>
    </row>
    <row r="4080" spans="1:12" s="692" customFormat="1" ht="16.5" hidden="1">
      <c r="A4080" s="1665"/>
      <c r="B4080" s="1666"/>
      <c r="C4080" s="688"/>
      <c r="D4080" s="1667"/>
      <c r="E4080" s="1671">
        <v>3.5</v>
      </c>
      <c r="F4080" s="1671">
        <v>4</v>
      </c>
      <c r="G4080" s="1674"/>
      <c r="H4080" s="1671">
        <f t="shared" si="659"/>
        <v>0</v>
      </c>
      <c r="I4080" s="688" t="s">
        <v>92</v>
      </c>
      <c r="J4080" s="1668"/>
      <c r="K4080" s="1668"/>
      <c r="L4080" s="1669"/>
    </row>
    <row r="4081" spans="1:12" s="692" customFormat="1" ht="16.5" hidden="1">
      <c r="A4081" s="1665"/>
      <c r="B4081" s="1666"/>
      <c r="C4081" s="688"/>
      <c r="D4081" s="1667"/>
      <c r="E4081" s="1671">
        <v>3.5</v>
      </c>
      <c r="F4081" s="1671">
        <v>4</v>
      </c>
      <c r="G4081" s="1674"/>
      <c r="H4081" s="1671">
        <f t="shared" si="659"/>
        <v>0</v>
      </c>
      <c r="I4081" s="688" t="s">
        <v>92</v>
      </c>
      <c r="J4081" s="1668"/>
      <c r="K4081" s="1668"/>
      <c r="L4081" s="1669"/>
    </row>
    <row r="4082" spans="1:12" s="692" customFormat="1" ht="16.5" hidden="1">
      <c r="A4082" s="1665"/>
      <c r="B4082" s="1666"/>
      <c r="C4082" s="688"/>
      <c r="D4082" s="1667"/>
      <c r="E4082" s="688"/>
      <c r="F4082" s="688"/>
      <c r="G4082" s="1674" t="s">
        <v>928</v>
      </c>
      <c r="H4082" s="1671">
        <f>SUM(H4076:H4081)</f>
        <v>0</v>
      </c>
      <c r="I4082" s="1668" t="s">
        <v>92</v>
      </c>
      <c r="J4082" s="1669">
        <f>'Lead &amp; ANALYSIS'!L804</f>
        <v>1281.8</v>
      </c>
      <c r="K4082" s="1668" t="s">
        <v>1514</v>
      </c>
      <c r="L4082" s="1669">
        <f t="shared" ref="L4082" si="660">ROUND(H4082*J4082,0)</f>
        <v>0</v>
      </c>
    </row>
    <row r="4083" spans="1:12" s="692" customFormat="1" ht="16.5" hidden="1">
      <c r="A4083" s="1665" t="s">
        <v>386</v>
      </c>
      <c r="B4083" s="1666" t="s">
        <v>387</v>
      </c>
      <c r="C4083" s="688"/>
      <c r="D4083" s="1667"/>
      <c r="E4083" s="688"/>
      <c r="F4083" s="688"/>
      <c r="G4083" s="1674"/>
      <c r="H4083" s="688"/>
      <c r="I4083" s="1668"/>
      <c r="J4083" s="1668"/>
      <c r="K4083" s="1668"/>
      <c r="L4083" s="1669"/>
    </row>
    <row r="4084" spans="1:12" s="692" customFormat="1" ht="16.5" hidden="1">
      <c r="A4084" s="1665"/>
      <c r="B4084" s="1666"/>
      <c r="C4084" s="688"/>
      <c r="D4084" s="1667"/>
      <c r="E4084" s="1671">
        <v>3.5</v>
      </c>
      <c r="F4084" s="1671">
        <v>4</v>
      </c>
      <c r="G4084" s="1674"/>
      <c r="H4084" s="1671">
        <f t="shared" ref="H4084:H4089" si="661">ROUND(D4084*E4084*F4084,2)</f>
        <v>0</v>
      </c>
      <c r="I4084" s="688" t="s">
        <v>92</v>
      </c>
      <c r="J4084" s="1668"/>
      <c r="K4084" s="1668"/>
      <c r="L4084" s="1669"/>
    </row>
    <row r="4085" spans="1:12" s="692" customFormat="1" ht="16.5" hidden="1">
      <c r="A4085" s="1665"/>
      <c r="B4085" s="1666"/>
      <c r="C4085" s="688"/>
      <c r="D4085" s="1667"/>
      <c r="E4085" s="1671">
        <v>3.5</v>
      </c>
      <c r="F4085" s="1671">
        <v>4</v>
      </c>
      <c r="G4085" s="1674"/>
      <c r="H4085" s="1671">
        <f t="shared" si="661"/>
        <v>0</v>
      </c>
      <c r="I4085" s="688" t="s">
        <v>92</v>
      </c>
      <c r="J4085" s="1668"/>
      <c r="K4085" s="1668"/>
      <c r="L4085" s="1669"/>
    </row>
    <row r="4086" spans="1:12" s="692" customFormat="1" ht="16.5" hidden="1">
      <c r="A4086" s="1665"/>
      <c r="B4086" s="1666"/>
      <c r="C4086" s="688"/>
      <c r="D4086" s="1667"/>
      <c r="E4086" s="1671">
        <v>3.5</v>
      </c>
      <c r="F4086" s="1671">
        <v>4</v>
      </c>
      <c r="G4086" s="1674"/>
      <c r="H4086" s="1671">
        <f t="shared" si="661"/>
        <v>0</v>
      </c>
      <c r="I4086" s="688" t="s">
        <v>92</v>
      </c>
      <c r="J4086" s="1668"/>
      <c r="K4086" s="1668"/>
      <c r="L4086" s="1669"/>
    </row>
    <row r="4087" spans="1:12" s="692" customFormat="1" ht="16.5" hidden="1">
      <c r="A4087" s="1665"/>
      <c r="B4087" s="1666"/>
      <c r="C4087" s="688"/>
      <c r="D4087" s="1667"/>
      <c r="E4087" s="1671">
        <v>3.5</v>
      </c>
      <c r="F4087" s="1671">
        <v>4</v>
      </c>
      <c r="G4087" s="1674"/>
      <c r="H4087" s="1671">
        <f t="shared" si="661"/>
        <v>0</v>
      </c>
      <c r="I4087" s="688" t="s">
        <v>92</v>
      </c>
      <c r="J4087" s="1668"/>
      <c r="K4087" s="1668"/>
      <c r="L4087" s="1669"/>
    </row>
    <row r="4088" spans="1:12" s="692" customFormat="1" ht="16.5" hidden="1">
      <c r="A4088" s="1665"/>
      <c r="B4088" s="1666"/>
      <c r="C4088" s="688"/>
      <c r="D4088" s="1667"/>
      <c r="E4088" s="1671">
        <v>3.5</v>
      </c>
      <c r="F4088" s="1671">
        <v>4</v>
      </c>
      <c r="G4088" s="1674"/>
      <c r="H4088" s="1671">
        <f t="shared" si="661"/>
        <v>0</v>
      </c>
      <c r="I4088" s="688" t="s">
        <v>92</v>
      </c>
      <c r="J4088" s="1668"/>
      <c r="K4088" s="1668"/>
      <c r="L4088" s="1669"/>
    </row>
    <row r="4089" spans="1:12" s="692" customFormat="1" ht="16.5" hidden="1">
      <c r="A4089" s="1665"/>
      <c r="B4089" s="1666"/>
      <c r="C4089" s="688"/>
      <c r="D4089" s="1667"/>
      <c r="E4089" s="1671">
        <v>3.5</v>
      </c>
      <c r="F4089" s="1671">
        <v>4</v>
      </c>
      <c r="G4089" s="1674"/>
      <c r="H4089" s="1671">
        <f t="shared" si="661"/>
        <v>0</v>
      </c>
      <c r="I4089" s="688" t="s">
        <v>92</v>
      </c>
      <c r="J4089" s="1668"/>
      <c r="K4089" s="1668"/>
      <c r="L4089" s="1669"/>
    </row>
    <row r="4090" spans="1:12" s="692" customFormat="1" ht="16.5" hidden="1">
      <c r="A4090" s="1665"/>
      <c r="B4090" s="1666"/>
      <c r="C4090" s="688"/>
      <c r="D4090" s="1667"/>
      <c r="E4090" s="688"/>
      <c r="F4090" s="688"/>
      <c r="G4090" s="1674" t="s">
        <v>928</v>
      </c>
      <c r="H4090" s="1671">
        <f>SUM(H4084:H4089)</f>
        <v>0</v>
      </c>
      <c r="I4090" s="1668" t="s">
        <v>92</v>
      </c>
      <c r="J4090" s="1669">
        <f>'Lead &amp; ANALYSIS'!L805</f>
        <v>1310.0999999999999</v>
      </c>
      <c r="K4090" s="1668" t="s">
        <v>1514</v>
      </c>
      <c r="L4090" s="1669">
        <f t="shared" ref="L4090" si="662">ROUND(H4090*J4090,0)</f>
        <v>0</v>
      </c>
    </row>
    <row r="4091" spans="1:12" s="692" customFormat="1" ht="16.5" hidden="1">
      <c r="A4091" s="1665" t="s">
        <v>432</v>
      </c>
      <c r="B4091" s="1666" t="s">
        <v>3622</v>
      </c>
      <c r="C4091" s="688"/>
      <c r="D4091" s="1667"/>
      <c r="E4091" s="688"/>
      <c r="F4091" s="688"/>
      <c r="G4091" s="1674"/>
      <c r="H4091" s="688"/>
      <c r="I4091" s="1668"/>
      <c r="J4091" s="1668"/>
      <c r="K4091" s="1668"/>
      <c r="L4091" s="1669"/>
    </row>
    <row r="4092" spans="1:12" s="692" customFormat="1" ht="16.5" hidden="1">
      <c r="A4092" s="1665"/>
      <c r="B4092" s="1666"/>
      <c r="C4092" s="688"/>
      <c r="D4092" s="1667"/>
      <c r="E4092" s="1671">
        <v>3.5</v>
      </c>
      <c r="F4092" s="1672"/>
      <c r="G4092" s="1671">
        <v>4</v>
      </c>
      <c r="H4092" s="1671">
        <f t="shared" ref="H4092:H4097" si="663">ROUND(D4092*E4092*G4092,2)</f>
        <v>0</v>
      </c>
      <c r="I4092" s="1671" t="s">
        <v>92</v>
      </c>
      <c r="J4092" s="1668"/>
      <c r="K4092" s="1668"/>
      <c r="L4092" s="1669"/>
    </row>
    <row r="4093" spans="1:12" s="692" customFormat="1" ht="16.5" hidden="1">
      <c r="A4093" s="1665"/>
      <c r="B4093" s="1666"/>
      <c r="C4093" s="688"/>
      <c r="D4093" s="1667"/>
      <c r="E4093" s="1671">
        <v>3.5</v>
      </c>
      <c r="F4093" s="1672"/>
      <c r="G4093" s="1671">
        <v>4</v>
      </c>
      <c r="H4093" s="1671">
        <f t="shared" si="663"/>
        <v>0</v>
      </c>
      <c r="I4093" s="1671" t="s">
        <v>92</v>
      </c>
      <c r="J4093" s="1668"/>
      <c r="K4093" s="1668"/>
      <c r="L4093" s="1669"/>
    </row>
    <row r="4094" spans="1:12" s="692" customFormat="1" ht="16.5" hidden="1">
      <c r="A4094" s="1665"/>
      <c r="B4094" s="1666"/>
      <c r="C4094" s="688"/>
      <c r="D4094" s="1667"/>
      <c r="E4094" s="1671">
        <v>3.5</v>
      </c>
      <c r="F4094" s="1672"/>
      <c r="G4094" s="1671">
        <v>4</v>
      </c>
      <c r="H4094" s="1671">
        <f t="shared" si="663"/>
        <v>0</v>
      </c>
      <c r="I4094" s="1671" t="s">
        <v>92</v>
      </c>
      <c r="J4094" s="1668"/>
      <c r="K4094" s="1668"/>
      <c r="L4094" s="1669"/>
    </row>
    <row r="4095" spans="1:12" s="692" customFormat="1" ht="16.5" hidden="1">
      <c r="A4095" s="1665"/>
      <c r="B4095" s="1666"/>
      <c r="C4095" s="688"/>
      <c r="D4095" s="1667"/>
      <c r="E4095" s="1671">
        <v>3.5</v>
      </c>
      <c r="F4095" s="1672"/>
      <c r="G4095" s="1671">
        <v>4</v>
      </c>
      <c r="H4095" s="1671">
        <f t="shared" si="663"/>
        <v>0</v>
      </c>
      <c r="I4095" s="1671" t="s">
        <v>92</v>
      </c>
      <c r="J4095" s="1668"/>
      <c r="K4095" s="1668"/>
      <c r="L4095" s="1669"/>
    </row>
    <row r="4096" spans="1:12" s="692" customFormat="1" ht="16.5" hidden="1">
      <c r="A4096" s="1665"/>
      <c r="B4096" s="1666"/>
      <c r="C4096" s="688"/>
      <c r="D4096" s="1667"/>
      <c r="E4096" s="1671">
        <v>3.5</v>
      </c>
      <c r="F4096" s="1672"/>
      <c r="G4096" s="1671">
        <v>4</v>
      </c>
      <c r="H4096" s="1671">
        <f t="shared" si="663"/>
        <v>0</v>
      </c>
      <c r="I4096" s="1671" t="s">
        <v>92</v>
      </c>
      <c r="J4096" s="1668"/>
      <c r="K4096" s="1668"/>
      <c r="L4096" s="1669"/>
    </row>
    <row r="4097" spans="1:12" s="692" customFormat="1" ht="16.5" hidden="1">
      <c r="A4097" s="1665"/>
      <c r="B4097" s="1666"/>
      <c r="C4097" s="688"/>
      <c r="D4097" s="1667"/>
      <c r="E4097" s="1671">
        <v>3.5</v>
      </c>
      <c r="F4097" s="1672"/>
      <c r="G4097" s="1671">
        <v>4</v>
      </c>
      <c r="H4097" s="1671">
        <f t="shared" si="663"/>
        <v>0</v>
      </c>
      <c r="I4097" s="1671" t="s">
        <v>92</v>
      </c>
      <c r="J4097" s="1668"/>
      <c r="K4097" s="1668"/>
      <c r="L4097" s="1669"/>
    </row>
    <row r="4098" spans="1:12" s="692" customFormat="1" ht="16.5" hidden="1">
      <c r="A4098" s="1665"/>
      <c r="B4098" s="1666"/>
      <c r="C4098" s="688"/>
      <c r="D4098" s="1667"/>
      <c r="E4098" s="688"/>
      <c r="F4098" s="688"/>
      <c r="G4098" s="1665" t="s">
        <v>928</v>
      </c>
      <c r="H4098" s="1673">
        <f>SUM(H4092:H4097)</f>
        <v>0</v>
      </c>
      <c r="I4098" s="1668" t="s">
        <v>92</v>
      </c>
      <c r="J4098" s="1669">
        <f>'Lead &amp; ANALYSIS'!L806</f>
        <v>1374.4</v>
      </c>
      <c r="K4098" s="1668" t="s">
        <v>1514</v>
      </c>
      <c r="L4098" s="1669">
        <f t="shared" ref="L4098" si="664">ROUND(H4098*J4098,0)</f>
        <v>0</v>
      </c>
    </row>
    <row r="4099" spans="1:12" s="692" customFormat="1" ht="16.5" hidden="1">
      <c r="A4099" s="1665" t="s">
        <v>443</v>
      </c>
      <c r="B4099" s="1666" t="s">
        <v>3636</v>
      </c>
      <c r="C4099" s="688"/>
      <c r="D4099" s="1667"/>
      <c r="E4099" s="688"/>
      <c r="F4099" s="688"/>
      <c r="G4099" s="1674"/>
      <c r="H4099" s="688"/>
      <c r="I4099" s="1668"/>
      <c r="J4099" s="1668"/>
      <c r="K4099" s="1668"/>
      <c r="L4099" s="1669"/>
    </row>
    <row r="4100" spans="1:12" s="692" customFormat="1" ht="16.5" hidden="1">
      <c r="A4100" s="1665"/>
      <c r="B4100" s="1666"/>
      <c r="C4100" s="688"/>
      <c r="D4100" s="1667"/>
      <c r="E4100" s="1671">
        <v>3.5</v>
      </c>
      <c r="F4100" s="1672"/>
      <c r="G4100" s="1671">
        <v>4</v>
      </c>
      <c r="H4100" s="1671">
        <f t="shared" ref="H4100:H4105" si="665">ROUND(D4100*E4100*G4100,2)</f>
        <v>0</v>
      </c>
      <c r="I4100" s="1671" t="s">
        <v>92</v>
      </c>
      <c r="J4100" s="1668"/>
      <c r="K4100" s="1668"/>
      <c r="L4100" s="1669"/>
    </row>
    <row r="4101" spans="1:12" s="692" customFormat="1" ht="16.5" hidden="1">
      <c r="A4101" s="1665"/>
      <c r="B4101" s="1666"/>
      <c r="C4101" s="688"/>
      <c r="D4101" s="1667"/>
      <c r="E4101" s="1671">
        <v>3.5</v>
      </c>
      <c r="F4101" s="1672"/>
      <c r="G4101" s="1671">
        <v>4</v>
      </c>
      <c r="H4101" s="1671">
        <f t="shared" si="665"/>
        <v>0</v>
      </c>
      <c r="I4101" s="1671" t="s">
        <v>92</v>
      </c>
      <c r="J4101" s="1668"/>
      <c r="K4101" s="1668"/>
      <c r="L4101" s="1669"/>
    </row>
    <row r="4102" spans="1:12" s="692" customFormat="1" ht="16.5" hidden="1">
      <c r="A4102" s="1665"/>
      <c r="B4102" s="1666"/>
      <c r="C4102" s="688"/>
      <c r="D4102" s="1667"/>
      <c r="E4102" s="1671">
        <v>3.5</v>
      </c>
      <c r="F4102" s="1672"/>
      <c r="G4102" s="1671">
        <v>4</v>
      </c>
      <c r="H4102" s="1671">
        <f t="shared" si="665"/>
        <v>0</v>
      </c>
      <c r="I4102" s="1671" t="s">
        <v>92</v>
      </c>
      <c r="J4102" s="1668"/>
      <c r="K4102" s="1668"/>
      <c r="L4102" s="1669"/>
    </row>
    <row r="4103" spans="1:12" s="692" customFormat="1" ht="16.5" hidden="1">
      <c r="A4103" s="1665"/>
      <c r="B4103" s="1666"/>
      <c r="C4103" s="688"/>
      <c r="D4103" s="1667"/>
      <c r="E4103" s="1671">
        <v>3.5</v>
      </c>
      <c r="F4103" s="1672"/>
      <c r="G4103" s="1671">
        <v>4</v>
      </c>
      <c r="H4103" s="1671">
        <f t="shared" si="665"/>
        <v>0</v>
      </c>
      <c r="I4103" s="1671" t="s">
        <v>92</v>
      </c>
      <c r="J4103" s="1668"/>
      <c r="K4103" s="1668"/>
      <c r="L4103" s="1669"/>
    </row>
    <row r="4104" spans="1:12" s="692" customFormat="1" ht="16.5" hidden="1">
      <c r="A4104" s="1665"/>
      <c r="B4104" s="1666"/>
      <c r="C4104" s="688"/>
      <c r="D4104" s="1667"/>
      <c r="E4104" s="1671">
        <v>3.5</v>
      </c>
      <c r="F4104" s="1672"/>
      <c r="G4104" s="1671">
        <v>4</v>
      </c>
      <c r="H4104" s="1671">
        <f t="shared" si="665"/>
        <v>0</v>
      </c>
      <c r="I4104" s="1671" t="s">
        <v>92</v>
      </c>
      <c r="J4104" s="1668"/>
      <c r="K4104" s="1668"/>
      <c r="L4104" s="1669"/>
    </row>
    <row r="4105" spans="1:12" s="692" customFormat="1" ht="16.5" hidden="1">
      <c r="A4105" s="1665"/>
      <c r="B4105" s="1666"/>
      <c r="C4105" s="688"/>
      <c r="D4105" s="1667"/>
      <c r="E4105" s="1671">
        <v>3.5</v>
      </c>
      <c r="F4105" s="1672"/>
      <c r="G4105" s="1671">
        <v>4</v>
      </c>
      <c r="H4105" s="1671">
        <f t="shared" si="665"/>
        <v>0</v>
      </c>
      <c r="I4105" s="1671" t="s">
        <v>92</v>
      </c>
      <c r="J4105" s="1668"/>
      <c r="K4105" s="1668"/>
      <c r="L4105" s="1669"/>
    </row>
    <row r="4106" spans="1:12" s="692" customFormat="1" ht="16.5" hidden="1">
      <c r="A4106" s="1665"/>
      <c r="B4106" s="1666"/>
      <c r="C4106" s="688"/>
      <c r="D4106" s="1667"/>
      <c r="E4106" s="688"/>
      <c r="F4106" s="688"/>
      <c r="G4106" s="1665" t="s">
        <v>928</v>
      </c>
      <c r="H4106" s="1673">
        <f>SUM(H4100:H4105)</f>
        <v>0</v>
      </c>
      <c r="I4106" s="1668" t="s">
        <v>92</v>
      </c>
      <c r="J4106" s="1669">
        <f>'Lead &amp; ANALYSIS'!L807</f>
        <v>1395.4</v>
      </c>
      <c r="K4106" s="1668" t="s">
        <v>1514</v>
      </c>
      <c r="L4106" s="1669">
        <f t="shared" ref="L4106" si="666">ROUND(H4106*J4106,0)</f>
        <v>0</v>
      </c>
    </row>
    <row r="4107" spans="1:12" s="692" customFormat="1" ht="16.5" hidden="1">
      <c r="A4107" s="1665" t="s">
        <v>474</v>
      </c>
      <c r="B4107" s="1666" t="s">
        <v>527</v>
      </c>
      <c r="C4107" s="688"/>
      <c r="D4107" s="1667"/>
      <c r="E4107" s="688"/>
      <c r="F4107" s="688"/>
      <c r="G4107" s="1674"/>
      <c r="H4107" s="688"/>
      <c r="I4107" s="1668"/>
      <c r="J4107" s="1668"/>
      <c r="K4107" s="1668"/>
      <c r="L4107" s="1669"/>
    </row>
    <row r="4108" spans="1:12" s="692" customFormat="1" ht="16.5" hidden="1">
      <c r="A4108" s="1665" t="s">
        <v>383</v>
      </c>
      <c r="B4108" s="1666" t="s">
        <v>384</v>
      </c>
      <c r="C4108" s="688"/>
      <c r="D4108" s="1667"/>
      <c r="E4108" s="688"/>
      <c r="F4108" s="688"/>
      <c r="G4108" s="1674"/>
      <c r="H4108" s="688"/>
      <c r="I4108" s="1668"/>
      <c r="J4108" s="1668"/>
      <c r="K4108" s="1668"/>
      <c r="L4108" s="1669"/>
    </row>
    <row r="4109" spans="1:12" s="692" customFormat="1" ht="16.5" hidden="1">
      <c r="A4109" s="1665"/>
      <c r="B4109" s="1666"/>
      <c r="C4109" s="688"/>
      <c r="D4109" s="1667"/>
      <c r="E4109" s="1671">
        <v>3.5</v>
      </c>
      <c r="F4109" s="1671">
        <v>4</v>
      </c>
      <c r="G4109" s="1674"/>
      <c r="H4109" s="1671">
        <f t="shared" ref="H4109:H4114" si="667">ROUND(D4109*E4109*F4109,2)</f>
        <v>0</v>
      </c>
      <c r="I4109" s="688" t="s">
        <v>92</v>
      </c>
      <c r="J4109" s="1668"/>
      <c r="K4109" s="1668"/>
      <c r="L4109" s="1669"/>
    </row>
    <row r="4110" spans="1:12" s="692" customFormat="1" ht="16.5" hidden="1">
      <c r="A4110" s="1665"/>
      <c r="B4110" s="1666"/>
      <c r="C4110" s="688"/>
      <c r="D4110" s="1667"/>
      <c r="E4110" s="1671">
        <v>3.5</v>
      </c>
      <c r="F4110" s="1671">
        <v>4</v>
      </c>
      <c r="G4110" s="1674"/>
      <c r="H4110" s="1671">
        <f t="shared" si="667"/>
        <v>0</v>
      </c>
      <c r="I4110" s="688" t="s">
        <v>92</v>
      </c>
      <c r="J4110" s="1668"/>
      <c r="K4110" s="1668"/>
      <c r="L4110" s="1669"/>
    </row>
    <row r="4111" spans="1:12" s="692" customFormat="1" ht="16.5" hidden="1">
      <c r="A4111" s="1665"/>
      <c r="B4111" s="1666"/>
      <c r="C4111" s="688"/>
      <c r="D4111" s="1667"/>
      <c r="E4111" s="1671">
        <v>3.5</v>
      </c>
      <c r="F4111" s="1671">
        <v>4</v>
      </c>
      <c r="G4111" s="1674"/>
      <c r="H4111" s="1671">
        <f t="shared" si="667"/>
        <v>0</v>
      </c>
      <c r="I4111" s="688" t="s">
        <v>92</v>
      </c>
      <c r="J4111" s="1668"/>
      <c r="K4111" s="1668"/>
      <c r="L4111" s="1669"/>
    </row>
    <row r="4112" spans="1:12" s="692" customFormat="1" ht="16.5" hidden="1">
      <c r="A4112" s="1665"/>
      <c r="B4112" s="1666"/>
      <c r="C4112" s="688"/>
      <c r="D4112" s="1667"/>
      <c r="E4112" s="1671">
        <v>3.5</v>
      </c>
      <c r="F4112" s="1671">
        <v>4</v>
      </c>
      <c r="G4112" s="1674"/>
      <c r="H4112" s="1671">
        <f t="shared" si="667"/>
        <v>0</v>
      </c>
      <c r="I4112" s="688" t="s">
        <v>92</v>
      </c>
      <c r="J4112" s="1668"/>
      <c r="K4112" s="1668"/>
      <c r="L4112" s="1669"/>
    </row>
    <row r="4113" spans="1:12" s="692" customFormat="1" ht="16.5" hidden="1">
      <c r="A4113" s="1665"/>
      <c r="B4113" s="1666"/>
      <c r="C4113" s="688"/>
      <c r="D4113" s="1667"/>
      <c r="E4113" s="1671">
        <v>3.5</v>
      </c>
      <c r="F4113" s="1671">
        <v>4</v>
      </c>
      <c r="G4113" s="1674"/>
      <c r="H4113" s="1671">
        <f t="shared" si="667"/>
        <v>0</v>
      </c>
      <c r="I4113" s="688" t="s">
        <v>92</v>
      </c>
      <c r="J4113" s="1668"/>
      <c r="K4113" s="1668"/>
      <c r="L4113" s="1669"/>
    </row>
    <row r="4114" spans="1:12" s="692" customFormat="1" ht="16.5" hidden="1">
      <c r="A4114" s="1665"/>
      <c r="B4114" s="1666"/>
      <c r="C4114" s="688"/>
      <c r="D4114" s="1667"/>
      <c r="E4114" s="1671">
        <v>3.5</v>
      </c>
      <c r="F4114" s="1671">
        <v>4</v>
      </c>
      <c r="G4114" s="1674"/>
      <c r="H4114" s="1671">
        <f t="shared" si="667"/>
        <v>0</v>
      </c>
      <c r="I4114" s="688" t="s">
        <v>92</v>
      </c>
      <c r="J4114" s="1668"/>
      <c r="K4114" s="1668"/>
      <c r="L4114" s="1669"/>
    </row>
    <row r="4115" spans="1:12" s="692" customFormat="1" ht="16.5" hidden="1">
      <c r="A4115" s="1665"/>
      <c r="B4115" s="1666"/>
      <c r="C4115" s="688"/>
      <c r="D4115" s="1667"/>
      <c r="E4115" s="688"/>
      <c r="F4115" s="688"/>
      <c r="G4115" s="1674" t="s">
        <v>928</v>
      </c>
      <c r="H4115" s="1671">
        <f>SUM(H4109:H4114)</f>
        <v>0</v>
      </c>
      <c r="I4115" s="1668" t="s">
        <v>92</v>
      </c>
      <c r="J4115" s="1669">
        <f>'Lead &amp; ANALYSIS'!L809</f>
        <v>1291.9000000000001</v>
      </c>
      <c r="K4115" s="1668" t="s">
        <v>1514</v>
      </c>
      <c r="L4115" s="1669">
        <f t="shared" ref="L4115" si="668">ROUND(H4115*J4115,0)</f>
        <v>0</v>
      </c>
    </row>
    <row r="4116" spans="1:12" s="692" customFormat="1" ht="16.5" hidden="1">
      <c r="A4116" s="1665" t="s">
        <v>386</v>
      </c>
      <c r="B4116" s="1666" t="s">
        <v>387</v>
      </c>
      <c r="C4116" s="688"/>
      <c r="D4116" s="1667"/>
      <c r="E4116" s="688"/>
      <c r="F4116" s="688"/>
      <c r="G4116" s="1674"/>
      <c r="H4116" s="688"/>
      <c r="I4116" s="1668"/>
      <c r="J4116" s="1668"/>
      <c r="K4116" s="1668"/>
      <c r="L4116" s="1669"/>
    </row>
    <row r="4117" spans="1:12" s="692" customFormat="1" ht="16.5" hidden="1">
      <c r="A4117" s="1665"/>
      <c r="B4117" s="1666"/>
      <c r="C4117" s="688"/>
      <c r="D4117" s="1667"/>
      <c r="E4117" s="1671">
        <v>3.5</v>
      </c>
      <c r="F4117" s="1671">
        <v>4</v>
      </c>
      <c r="G4117" s="1674"/>
      <c r="H4117" s="1671">
        <f t="shared" ref="H4117:H4122" si="669">ROUND(D4117*E4117*F4117,2)</f>
        <v>0</v>
      </c>
      <c r="I4117" s="688" t="s">
        <v>92</v>
      </c>
      <c r="J4117" s="1668"/>
      <c r="K4117" s="1668"/>
      <c r="L4117" s="1669"/>
    </row>
    <row r="4118" spans="1:12" s="692" customFormat="1" ht="16.5" hidden="1">
      <c r="A4118" s="1665"/>
      <c r="B4118" s="1666"/>
      <c r="C4118" s="688"/>
      <c r="D4118" s="1667"/>
      <c r="E4118" s="1671">
        <v>3.5</v>
      </c>
      <c r="F4118" s="1671">
        <v>4</v>
      </c>
      <c r="G4118" s="1674"/>
      <c r="H4118" s="1671">
        <f t="shared" si="669"/>
        <v>0</v>
      </c>
      <c r="I4118" s="688" t="s">
        <v>92</v>
      </c>
      <c r="J4118" s="1668"/>
      <c r="K4118" s="1668"/>
      <c r="L4118" s="1669"/>
    </row>
    <row r="4119" spans="1:12" s="692" customFormat="1" ht="16.5" hidden="1">
      <c r="A4119" s="1665"/>
      <c r="B4119" s="1666"/>
      <c r="C4119" s="688"/>
      <c r="D4119" s="1667"/>
      <c r="E4119" s="1671">
        <v>3.5</v>
      </c>
      <c r="F4119" s="1671">
        <v>4</v>
      </c>
      <c r="G4119" s="1674"/>
      <c r="H4119" s="1671">
        <f t="shared" si="669"/>
        <v>0</v>
      </c>
      <c r="I4119" s="688" t="s">
        <v>92</v>
      </c>
      <c r="J4119" s="1668"/>
      <c r="K4119" s="1668"/>
      <c r="L4119" s="1669"/>
    </row>
    <row r="4120" spans="1:12" s="692" customFormat="1" ht="16.5" hidden="1">
      <c r="A4120" s="1665"/>
      <c r="B4120" s="1666"/>
      <c r="C4120" s="688"/>
      <c r="D4120" s="1667"/>
      <c r="E4120" s="1671">
        <v>3.5</v>
      </c>
      <c r="F4120" s="1671">
        <v>4</v>
      </c>
      <c r="G4120" s="1674"/>
      <c r="H4120" s="1671">
        <f t="shared" si="669"/>
        <v>0</v>
      </c>
      <c r="I4120" s="688" t="s">
        <v>92</v>
      </c>
      <c r="J4120" s="1668"/>
      <c r="K4120" s="1668"/>
      <c r="L4120" s="1669"/>
    </row>
    <row r="4121" spans="1:12" s="692" customFormat="1" ht="16.5" hidden="1">
      <c r="A4121" s="1665"/>
      <c r="B4121" s="1666"/>
      <c r="C4121" s="688"/>
      <c r="D4121" s="1667"/>
      <c r="E4121" s="1671">
        <v>3.5</v>
      </c>
      <c r="F4121" s="1671">
        <v>4</v>
      </c>
      <c r="G4121" s="1674"/>
      <c r="H4121" s="1671">
        <f t="shared" si="669"/>
        <v>0</v>
      </c>
      <c r="I4121" s="688" t="s">
        <v>92</v>
      </c>
      <c r="J4121" s="1668"/>
      <c r="K4121" s="1668"/>
      <c r="L4121" s="1669"/>
    </row>
    <row r="4122" spans="1:12" s="692" customFormat="1" ht="16.5" hidden="1">
      <c r="A4122" s="1665"/>
      <c r="B4122" s="1666"/>
      <c r="C4122" s="688"/>
      <c r="D4122" s="1667"/>
      <c r="E4122" s="1671">
        <v>3.5</v>
      </c>
      <c r="F4122" s="1671">
        <v>4</v>
      </c>
      <c r="G4122" s="1674"/>
      <c r="H4122" s="1671">
        <f t="shared" si="669"/>
        <v>0</v>
      </c>
      <c r="I4122" s="688" t="s">
        <v>92</v>
      </c>
      <c r="J4122" s="1668"/>
      <c r="K4122" s="1668"/>
      <c r="L4122" s="1669"/>
    </row>
    <row r="4123" spans="1:12" s="692" customFormat="1" ht="16.5" hidden="1">
      <c r="A4123" s="1665"/>
      <c r="B4123" s="1666"/>
      <c r="C4123" s="688"/>
      <c r="D4123" s="1667"/>
      <c r="E4123" s="688"/>
      <c r="F4123" s="688"/>
      <c r="G4123" s="1674" t="s">
        <v>928</v>
      </c>
      <c r="H4123" s="1671">
        <f>SUM(H4117:H4122)</f>
        <v>0</v>
      </c>
      <c r="I4123" s="1668" t="s">
        <v>92</v>
      </c>
      <c r="J4123" s="1669">
        <f>'Lead &amp; ANALYSIS'!L810</f>
        <v>1324.7</v>
      </c>
      <c r="K4123" s="1668" t="s">
        <v>1514</v>
      </c>
      <c r="L4123" s="1669">
        <f t="shared" ref="L4123" si="670">ROUND(H4123*J4123,0)</f>
        <v>0</v>
      </c>
    </row>
    <row r="4124" spans="1:12" s="692" customFormat="1" ht="16.5" hidden="1">
      <c r="A4124" s="1665" t="s">
        <v>432</v>
      </c>
      <c r="B4124" s="1666" t="s">
        <v>3622</v>
      </c>
      <c r="C4124" s="688"/>
      <c r="D4124" s="1667"/>
      <c r="E4124" s="688"/>
      <c r="F4124" s="688"/>
      <c r="G4124" s="1674"/>
      <c r="H4124" s="688"/>
      <c r="I4124" s="1668"/>
      <c r="J4124" s="1668"/>
      <c r="K4124" s="1668"/>
      <c r="L4124" s="1669"/>
    </row>
    <row r="4125" spans="1:12" s="692" customFormat="1" ht="16.5" hidden="1">
      <c r="A4125" s="1665"/>
      <c r="B4125" s="1666"/>
      <c r="C4125" s="688"/>
      <c r="D4125" s="1667"/>
      <c r="E4125" s="1671">
        <v>3.5</v>
      </c>
      <c r="F4125" s="1672"/>
      <c r="G4125" s="1671">
        <v>4</v>
      </c>
      <c r="H4125" s="1671">
        <f t="shared" ref="H4125:H4130" si="671">ROUND(D4125*E4125*G4125,2)</f>
        <v>0</v>
      </c>
      <c r="I4125" s="1671" t="s">
        <v>92</v>
      </c>
      <c r="J4125" s="1668"/>
      <c r="K4125" s="1668"/>
      <c r="L4125" s="1669"/>
    </row>
    <row r="4126" spans="1:12" s="692" customFormat="1" ht="16.5" hidden="1">
      <c r="A4126" s="1665"/>
      <c r="B4126" s="1666"/>
      <c r="C4126" s="688"/>
      <c r="D4126" s="1667"/>
      <c r="E4126" s="1671">
        <v>3.5</v>
      </c>
      <c r="F4126" s="1672"/>
      <c r="G4126" s="1671">
        <v>4</v>
      </c>
      <c r="H4126" s="1671">
        <f t="shared" si="671"/>
        <v>0</v>
      </c>
      <c r="I4126" s="1671" t="s">
        <v>92</v>
      </c>
      <c r="J4126" s="1668"/>
      <c r="K4126" s="1668"/>
      <c r="L4126" s="1669"/>
    </row>
    <row r="4127" spans="1:12" s="692" customFormat="1" ht="16.5" hidden="1">
      <c r="A4127" s="1665"/>
      <c r="B4127" s="1666"/>
      <c r="C4127" s="688"/>
      <c r="D4127" s="1667"/>
      <c r="E4127" s="1671">
        <v>3.5</v>
      </c>
      <c r="F4127" s="1672"/>
      <c r="G4127" s="1671">
        <v>4</v>
      </c>
      <c r="H4127" s="1671">
        <f t="shared" si="671"/>
        <v>0</v>
      </c>
      <c r="I4127" s="1671" t="s">
        <v>92</v>
      </c>
      <c r="J4127" s="1668"/>
      <c r="K4127" s="1668"/>
      <c r="L4127" s="1669"/>
    </row>
    <row r="4128" spans="1:12" s="692" customFormat="1" ht="16.5" hidden="1">
      <c r="A4128" s="1665"/>
      <c r="B4128" s="1666"/>
      <c r="C4128" s="688"/>
      <c r="D4128" s="1667"/>
      <c r="E4128" s="1671">
        <v>3.5</v>
      </c>
      <c r="F4128" s="1672"/>
      <c r="G4128" s="1671">
        <v>4</v>
      </c>
      <c r="H4128" s="1671">
        <f t="shared" si="671"/>
        <v>0</v>
      </c>
      <c r="I4128" s="1671" t="s">
        <v>92</v>
      </c>
      <c r="J4128" s="1668"/>
      <c r="K4128" s="1668"/>
      <c r="L4128" s="1669"/>
    </row>
    <row r="4129" spans="1:12" s="692" customFormat="1" ht="16.5" hidden="1">
      <c r="A4129" s="1665"/>
      <c r="B4129" s="1666"/>
      <c r="C4129" s="688"/>
      <c r="D4129" s="1667"/>
      <c r="E4129" s="1671">
        <v>3.5</v>
      </c>
      <c r="F4129" s="1672"/>
      <c r="G4129" s="1671">
        <v>4</v>
      </c>
      <c r="H4129" s="1671">
        <f t="shared" si="671"/>
        <v>0</v>
      </c>
      <c r="I4129" s="1671" t="s">
        <v>92</v>
      </c>
      <c r="J4129" s="1668"/>
      <c r="K4129" s="1668"/>
      <c r="L4129" s="1669"/>
    </row>
    <row r="4130" spans="1:12" s="692" customFormat="1" ht="16.5" hidden="1">
      <c r="A4130" s="1665"/>
      <c r="B4130" s="1666"/>
      <c r="C4130" s="688"/>
      <c r="D4130" s="1667"/>
      <c r="E4130" s="1671">
        <v>3.5</v>
      </c>
      <c r="F4130" s="1672"/>
      <c r="G4130" s="1671">
        <v>4</v>
      </c>
      <c r="H4130" s="1671">
        <f t="shared" si="671"/>
        <v>0</v>
      </c>
      <c r="I4130" s="1671" t="s">
        <v>92</v>
      </c>
      <c r="J4130" s="1668"/>
      <c r="K4130" s="1668"/>
      <c r="L4130" s="1669"/>
    </row>
    <row r="4131" spans="1:12" s="692" customFormat="1" ht="16.5" hidden="1">
      <c r="A4131" s="1665"/>
      <c r="B4131" s="1666"/>
      <c r="C4131" s="688"/>
      <c r="D4131" s="1667"/>
      <c r="E4131" s="688"/>
      <c r="F4131" s="688"/>
      <c r="G4131" s="1665" t="s">
        <v>928</v>
      </c>
      <c r="H4131" s="1673">
        <f>SUM(H4125:H4130)</f>
        <v>0</v>
      </c>
      <c r="I4131" s="1668" t="s">
        <v>92</v>
      </c>
      <c r="J4131" s="1669">
        <f>'Lead &amp; ANALYSIS'!L811</f>
        <v>1395.4</v>
      </c>
      <c r="K4131" s="1668" t="s">
        <v>1514</v>
      </c>
      <c r="L4131" s="1669">
        <f t="shared" ref="L4131" si="672">ROUND(H4131*J4131,0)</f>
        <v>0</v>
      </c>
    </row>
    <row r="4132" spans="1:12" s="692" customFormat="1" ht="16.5" hidden="1">
      <c r="A4132" s="1665" t="s">
        <v>443</v>
      </c>
      <c r="B4132" s="1666" t="s">
        <v>3636</v>
      </c>
      <c r="C4132" s="688"/>
      <c r="D4132" s="1667"/>
      <c r="E4132" s="688"/>
      <c r="F4132" s="688"/>
      <c r="G4132" s="1674"/>
      <c r="H4132" s="688"/>
      <c r="I4132" s="1668"/>
      <c r="J4132" s="1668"/>
      <c r="K4132" s="1668"/>
      <c r="L4132" s="1669"/>
    </row>
    <row r="4133" spans="1:12" s="692" customFormat="1" ht="16.5" hidden="1">
      <c r="A4133" s="1665"/>
      <c r="B4133" s="1666"/>
      <c r="C4133" s="688"/>
      <c r="D4133" s="1667"/>
      <c r="E4133" s="1671">
        <v>3.5</v>
      </c>
      <c r="F4133" s="1672"/>
      <c r="G4133" s="1671">
        <v>4</v>
      </c>
      <c r="H4133" s="1671">
        <f t="shared" ref="H4133:H4138" si="673">ROUND(D4133*E4133*G4133,2)</f>
        <v>0</v>
      </c>
      <c r="I4133" s="1671" t="s">
        <v>92</v>
      </c>
      <c r="J4133" s="1668"/>
      <c r="K4133" s="1668"/>
      <c r="L4133" s="1669"/>
    </row>
    <row r="4134" spans="1:12" s="692" customFormat="1" ht="16.5" hidden="1">
      <c r="A4134" s="1665"/>
      <c r="B4134" s="1666"/>
      <c r="C4134" s="688"/>
      <c r="D4134" s="1667"/>
      <c r="E4134" s="1671">
        <v>3.5</v>
      </c>
      <c r="F4134" s="1672"/>
      <c r="G4134" s="1671">
        <v>4</v>
      </c>
      <c r="H4134" s="1671">
        <f t="shared" si="673"/>
        <v>0</v>
      </c>
      <c r="I4134" s="1671" t="s">
        <v>92</v>
      </c>
      <c r="J4134" s="1668"/>
      <c r="K4134" s="1668"/>
      <c r="L4134" s="1669"/>
    </row>
    <row r="4135" spans="1:12" s="692" customFormat="1" ht="16.5" hidden="1">
      <c r="A4135" s="1665"/>
      <c r="B4135" s="1666"/>
      <c r="C4135" s="688"/>
      <c r="D4135" s="1667"/>
      <c r="E4135" s="1671">
        <v>3.5</v>
      </c>
      <c r="F4135" s="1672"/>
      <c r="G4135" s="1671">
        <v>4</v>
      </c>
      <c r="H4135" s="1671">
        <f t="shared" si="673"/>
        <v>0</v>
      </c>
      <c r="I4135" s="1671" t="s">
        <v>92</v>
      </c>
      <c r="J4135" s="1668"/>
      <c r="K4135" s="1668"/>
      <c r="L4135" s="1669"/>
    </row>
    <row r="4136" spans="1:12" s="692" customFormat="1" ht="16.5" hidden="1">
      <c r="A4136" s="1665"/>
      <c r="B4136" s="1666"/>
      <c r="C4136" s="688"/>
      <c r="D4136" s="1667"/>
      <c r="E4136" s="1671">
        <v>3.5</v>
      </c>
      <c r="F4136" s="1672"/>
      <c r="G4136" s="1671">
        <v>4</v>
      </c>
      <c r="H4136" s="1671">
        <f t="shared" si="673"/>
        <v>0</v>
      </c>
      <c r="I4136" s="1671" t="s">
        <v>92</v>
      </c>
      <c r="J4136" s="1668"/>
      <c r="K4136" s="1668"/>
      <c r="L4136" s="1669"/>
    </row>
    <row r="4137" spans="1:12" s="692" customFormat="1" ht="16.5" hidden="1">
      <c r="A4137" s="1665"/>
      <c r="B4137" s="1666"/>
      <c r="C4137" s="688"/>
      <c r="D4137" s="1667"/>
      <c r="E4137" s="1671">
        <v>3.5</v>
      </c>
      <c r="F4137" s="1672"/>
      <c r="G4137" s="1671">
        <v>4</v>
      </c>
      <c r="H4137" s="1671">
        <f t="shared" si="673"/>
        <v>0</v>
      </c>
      <c r="I4137" s="1671" t="s">
        <v>92</v>
      </c>
      <c r="J4137" s="1668"/>
      <c r="K4137" s="1668"/>
      <c r="L4137" s="1669"/>
    </row>
    <row r="4138" spans="1:12" s="692" customFormat="1" ht="16.5" hidden="1">
      <c r="A4138" s="1665"/>
      <c r="B4138" s="1666"/>
      <c r="C4138" s="688"/>
      <c r="D4138" s="1667"/>
      <c r="E4138" s="1671">
        <v>3.5</v>
      </c>
      <c r="F4138" s="1672"/>
      <c r="G4138" s="1671">
        <v>4</v>
      </c>
      <c r="H4138" s="1671">
        <f t="shared" si="673"/>
        <v>0</v>
      </c>
      <c r="I4138" s="1671" t="s">
        <v>92</v>
      </c>
      <c r="J4138" s="1668"/>
      <c r="K4138" s="1668"/>
      <c r="L4138" s="1669"/>
    </row>
    <row r="4139" spans="1:12" s="692" customFormat="1" ht="16.5" hidden="1">
      <c r="A4139" s="1665"/>
      <c r="B4139" s="1666"/>
      <c r="C4139" s="688"/>
      <c r="D4139" s="1667"/>
      <c r="E4139" s="688"/>
      <c r="F4139" s="688"/>
      <c r="G4139" s="1665" t="s">
        <v>928</v>
      </c>
      <c r="H4139" s="1673">
        <f>SUM(H4133:H4138)</f>
        <v>0</v>
      </c>
      <c r="I4139" s="1668" t="s">
        <v>92</v>
      </c>
      <c r="J4139" s="1669">
        <f>'Lead &amp; ANALYSIS'!L812</f>
        <v>1355</v>
      </c>
      <c r="K4139" s="1668" t="s">
        <v>1514</v>
      </c>
      <c r="L4139" s="1669">
        <f t="shared" ref="L4139" si="674">ROUND(H4139*J4139,0)</f>
        <v>0</v>
      </c>
    </row>
    <row r="4140" spans="1:12" s="692" customFormat="1" ht="16.5" hidden="1">
      <c r="A4140" s="1665" t="s">
        <v>476</v>
      </c>
      <c r="B4140" s="1666" t="s">
        <v>528</v>
      </c>
      <c r="C4140" s="688"/>
      <c r="D4140" s="1667"/>
      <c r="E4140" s="688"/>
      <c r="F4140" s="688"/>
      <c r="G4140" s="1674"/>
      <c r="H4140" s="688"/>
      <c r="I4140" s="1668"/>
      <c r="J4140" s="1668"/>
      <c r="K4140" s="1668"/>
      <c r="L4140" s="1669"/>
    </row>
    <row r="4141" spans="1:12" s="692" customFormat="1" ht="16.5" hidden="1">
      <c r="A4141" s="1665" t="s">
        <v>383</v>
      </c>
      <c r="B4141" s="1666" t="s">
        <v>384</v>
      </c>
      <c r="C4141" s="688"/>
      <c r="D4141" s="1667"/>
      <c r="E4141" s="688"/>
      <c r="F4141" s="688"/>
      <c r="G4141" s="1674"/>
      <c r="H4141" s="688"/>
      <c r="I4141" s="1668"/>
      <c r="J4141" s="1668"/>
      <c r="K4141" s="1668"/>
      <c r="L4141" s="1669"/>
    </row>
    <row r="4142" spans="1:12" s="692" customFormat="1" ht="16.5" hidden="1">
      <c r="A4142" s="1665"/>
      <c r="B4142" s="1666"/>
      <c r="C4142" s="688"/>
      <c r="D4142" s="1667"/>
      <c r="E4142" s="1671">
        <v>3.5</v>
      </c>
      <c r="F4142" s="1671">
        <v>4</v>
      </c>
      <c r="G4142" s="1674"/>
      <c r="H4142" s="1671">
        <f t="shared" ref="H4142:H4147" si="675">ROUND(D4142*E4142*F4142,2)</f>
        <v>0</v>
      </c>
      <c r="I4142" s="688" t="s">
        <v>92</v>
      </c>
      <c r="J4142" s="1668"/>
      <c r="K4142" s="1668"/>
      <c r="L4142" s="1669"/>
    </row>
    <row r="4143" spans="1:12" s="692" customFormat="1" ht="16.5" hidden="1">
      <c r="A4143" s="1665"/>
      <c r="B4143" s="1666"/>
      <c r="C4143" s="688"/>
      <c r="D4143" s="1667"/>
      <c r="E4143" s="1671">
        <v>3.5</v>
      </c>
      <c r="F4143" s="1671">
        <v>4</v>
      </c>
      <c r="G4143" s="1674"/>
      <c r="H4143" s="1671">
        <f t="shared" si="675"/>
        <v>0</v>
      </c>
      <c r="I4143" s="688" t="s">
        <v>92</v>
      </c>
      <c r="J4143" s="1668"/>
      <c r="K4143" s="1668"/>
      <c r="L4143" s="1669"/>
    </row>
    <row r="4144" spans="1:12" s="692" customFormat="1" ht="16.5" hidden="1">
      <c r="A4144" s="1665"/>
      <c r="B4144" s="1666"/>
      <c r="C4144" s="688"/>
      <c r="D4144" s="1667"/>
      <c r="E4144" s="1671">
        <v>3.5</v>
      </c>
      <c r="F4144" s="1671">
        <v>4</v>
      </c>
      <c r="G4144" s="1674"/>
      <c r="H4144" s="1671">
        <f t="shared" si="675"/>
        <v>0</v>
      </c>
      <c r="I4144" s="688" t="s">
        <v>92</v>
      </c>
      <c r="J4144" s="1668"/>
      <c r="K4144" s="1668"/>
      <c r="L4144" s="1669"/>
    </row>
    <row r="4145" spans="1:12" s="692" customFormat="1" ht="16.5" hidden="1">
      <c r="A4145" s="1665"/>
      <c r="B4145" s="1666"/>
      <c r="C4145" s="688"/>
      <c r="D4145" s="1667"/>
      <c r="E4145" s="1671">
        <v>3.5</v>
      </c>
      <c r="F4145" s="1671">
        <v>4</v>
      </c>
      <c r="G4145" s="1674"/>
      <c r="H4145" s="1671">
        <f t="shared" si="675"/>
        <v>0</v>
      </c>
      <c r="I4145" s="688" t="s">
        <v>92</v>
      </c>
      <c r="J4145" s="1668"/>
      <c r="K4145" s="1668"/>
      <c r="L4145" s="1669"/>
    </row>
    <row r="4146" spans="1:12" s="692" customFormat="1" ht="16.5" hidden="1">
      <c r="A4146" s="1665"/>
      <c r="B4146" s="1666"/>
      <c r="C4146" s="688"/>
      <c r="D4146" s="1667"/>
      <c r="E4146" s="1671">
        <v>3.5</v>
      </c>
      <c r="F4146" s="1671">
        <v>4</v>
      </c>
      <c r="G4146" s="1674"/>
      <c r="H4146" s="1671">
        <f t="shared" si="675"/>
        <v>0</v>
      </c>
      <c r="I4146" s="688" t="s">
        <v>92</v>
      </c>
      <c r="J4146" s="1668"/>
      <c r="K4146" s="1668"/>
      <c r="L4146" s="1669"/>
    </row>
    <row r="4147" spans="1:12" s="692" customFormat="1" ht="16.5" hidden="1">
      <c r="A4147" s="1665"/>
      <c r="B4147" s="1666"/>
      <c r="C4147" s="688"/>
      <c r="D4147" s="1667"/>
      <c r="E4147" s="1671">
        <v>3.5</v>
      </c>
      <c r="F4147" s="1671">
        <v>4</v>
      </c>
      <c r="G4147" s="1674"/>
      <c r="H4147" s="1671">
        <f t="shared" si="675"/>
        <v>0</v>
      </c>
      <c r="I4147" s="688" t="s">
        <v>92</v>
      </c>
      <c r="J4147" s="1668"/>
      <c r="K4147" s="1668"/>
      <c r="L4147" s="1669"/>
    </row>
    <row r="4148" spans="1:12" s="692" customFormat="1" ht="16.5" hidden="1">
      <c r="A4148" s="1665"/>
      <c r="B4148" s="1666"/>
      <c r="C4148" s="688"/>
      <c r="D4148" s="1667"/>
      <c r="E4148" s="688"/>
      <c r="F4148" s="688"/>
      <c r="G4148" s="1674" t="s">
        <v>928</v>
      </c>
      <c r="H4148" s="1671">
        <f>SUM(H4142:H4147)</f>
        <v>0</v>
      </c>
      <c r="I4148" s="1668" t="s">
        <v>92</v>
      </c>
      <c r="J4148" s="1669">
        <f>'Lead &amp; ANALYSIS'!L814</f>
        <v>1251.4000000000001</v>
      </c>
      <c r="K4148" s="1668" t="s">
        <v>1514</v>
      </c>
      <c r="L4148" s="1669">
        <f t="shared" ref="L4148" si="676">ROUND(H4148*J4148,0)</f>
        <v>0</v>
      </c>
    </row>
    <row r="4149" spans="1:12" s="692" customFormat="1" ht="16.5" hidden="1">
      <c r="A4149" s="1665" t="s">
        <v>386</v>
      </c>
      <c r="B4149" s="1666" t="s">
        <v>387</v>
      </c>
      <c r="C4149" s="688"/>
      <c r="D4149" s="1667"/>
      <c r="E4149" s="688"/>
      <c r="F4149" s="688"/>
      <c r="G4149" s="1674"/>
      <c r="H4149" s="688"/>
      <c r="I4149" s="1668"/>
      <c r="J4149" s="1668"/>
      <c r="K4149" s="1668"/>
      <c r="L4149" s="1669"/>
    </row>
    <row r="4150" spans="1:12" s="692" customFormat="1" ht="16.5" hidden="1">
      <c r="A4150" s="1665"/>
      <c r="B4150" s="1666"/>
      <c r="C4150" s="688"/>
      <c r="D4150" s="1667"/>
      <c r="E4150" s="1671">
        <v>3.5</v>
      </c>
      <c r="F4150" s="1671">
        <v>4</v>
      </c>
      <c r="G4150" s="1674"/>
      <c r="H4150" s="1671">
        <f t="shared" ref="H4150:H4155" si="677">ROUND(D4150*E4150*F4150,2)</f>
        <v>0</v>
      </c>
      <c r="I4150" s="688" t="s">
        <v>92</v>
      </c>
      <c r="J4150" s="1668"/>
      <c r="K4150" s="1668"/>
      <c r="L4150" s="1669"/>
    </row>
    <row r="4151" spans="1:12" s="692" customFormat="1" ht="16.5" hidden="1">
      <c r="A4151" s="1665"/>
      <c r="B4151" s="1666"/>
      <c r="C4151" s="688"/>
      <c r="D4151" s="1667"/>
      <c r="E4151" s="1671">
        <v>3.5</v>
      </c>
      <c r="F4151" s="1671">
        <v>4</v>
      </c>
      <c r="G4151" s="1674"/>
      <c r="H4151" s="1671">
        <f t="shared" si="677"/>
        <v>0</v>
      </c>
      <c r="I4151" s="688" t="s">
        <v>92</v>
      </c>
      <c r="J4151" s="1668"/>
      <c r="K4151" s="1668"/>
      <c r="L4151" s="1669"/>
    </row>
    <row r="4152" spans="1:12" s="692" customFormat="1" ht="16.5" hidden="1">
      <c r="A4152" s="1665"/>
      <c r="B4152" s="1666"/>
      <c r="C4152" s="688"/>
      <c r="D4152" s="1667"/>
      <c r="E4152" s="1671">
        <v>3.5</v>
      </c>
      <c r="F4152" s="1671">
        <v>4</v>
      </c>
      <c r="G4152" s="1674"/>
      <c r="H4152" s="1671">
        <f t="shared" si="677"/>
        <v>0</v>
      </c>
      <c r="I4152" s="688" t="s">
        <v>92</v>
      </c>
      <c r="J4152" s="1668"/>
      <c r="K4152" s="1668"/>
      <c r="L4152" s="1669"/>
    </row>
    <row r="4153" spans="1:12" s="692" customFormat="1" ht="16.5" hidden="1">
      <c r="A4153" s="1665"/>
      <c r="B4153" s="1666"/>
      <c r="C4153" s="688"/>
      <c r="D4153" s="1667"/>
      <c r="E4153" s="1671">
        <v>3.5</v>
      </c>
      <c r="F4153" s="1671">
        <v>4</v>
      </c>
      <c r="G4153" s="1674"/>
      <c r="H4153" s="1671">
        <f t="shared" si="677"/>
        <v>0</v>
      </c>
      <c r="I4153" s="688" t="s">
        <v>92</v>
      </c>
      <c r="J4153" s="1668"/>
      <c r="K4153" s="1668"/>
      <c r="L4153" s="1669"/>
    </row>
    <row r="4154" spans="1:12" s="692" customFormat="1" ht="16.5" hidden="1">
      <c r="A4154" s="1665"/>
      <c r="B4154" s="1666"/>
      <c r="C4154" s="688"/>
      <c r="D4154" s="1667"/>
      <c r="E4154" s="1671">
        <v>3.5</v>
      </c>
      <c r="F4154" s="1671">
        <v>4</v>
      </c>
      <c r="G4154" s="1674"/>
      <c r="H4154" s="1671">
        <f t="shared" si="677"/>
        <v>0</v>
      </c>
      <c r="I4154" s="688" t="s">
        <v>92</v>
      </c>
      <c r="J4154" s="1668"/>
      <c r="K4154" s="1668"/>
      <c r="L4154" s="1669"/>
    </row>
    <row r="4155" spans="1:12" s="692" customFormat="1" ht="16.5" hidden="1">
      <c r="A4155" s="1665"/>
      <c r="B4155" s="1666"/>
      <c r="C4155" s="688"/>
      <c r="D4155" s="1667"/>
      <c r="E4155" s="1671">
        <v>3.5</v>
      </c>
      <c r="F4155" s="1671">
        <v>4</v>
      </c>
      <c r="G4155" s="1674"/>
      <c r="H4155" s="1671">
        <f t="shared" si="677"/>
        <v>0</v>
      </c>
      <c r="I4155" s="688" t="s">
        <v>92</v>
      </c>
      <c r="J4155" s="1668"/>
      <c r="K4155" s="1668"/>
      <c r="L4155" s="1669"/>
    </row>
    <row r="4156" spans="1:12" s="692" customFormat="1" ht="16.5" hidden="1">
      <c r="A4156" s="1665"/>
      <c r="B4156" s="1666"/>
      <c r="C4156" s="688"/>
      <c r="D4156" s="1667"/>
      <c r="E4156" s="688"/>
      <c r="F4156" s="688"/>
      <c r="G4156" s="1674" t="s">
        <v>928</v>
      </c>
      <c r="H4156" s="1671">
        <f>SUM(H4150:H4155)</f>
        <v>0</v>
      </c>
      <c r="I4156" s="1668" t="s">
        <v>92</v>
      </c>
      <c r="J4156" s="1669">
        <f>'Lead &amp; ANALYSIS'!L815</f>
        <v>1284.3</v>
      </c>
      <c r="K4156" s="1668" t="s">
        <v>1514</v>
      </c>
      <c r="L4156" s="1669">
        <f t="shared" ref="L4156" si="678">ROUND(H4156*J4156,0)</f>
        <v>0</v>
      </c>
    </row>
    <row r="4157" spans="1:12" s="692" customFormat="1" ht="16.5" hidden="1">
      <c r="A4157" s="1665" t="s">
        <v>432</v>
      </c>
      <c r="B4157" s="1666" t="s">
        <v>3622</v>
      </c>
      <c r="C4157" s="688"/>
      <c r="D4157" s="1667"/>
      <c r="E4157" s="688"/>
      <c r="F4157" s="688"/>
      <c r="G4157" s="1674"/>
      <c r="H4157" s="688"/>
      <c r="I4157" s="1668"/>
      <c r="J4157" s="1668"/>
      <c r="K4157" s="1668"/>
      <c r="L4157" s="1669"/>
    </row>
    <row r="4158" spans="1:12" s="692" customFormat="1" ht="16.5" hidden="1">
      <c r="A4158" s="1665"/>
      <c r="B4158" s="1666"/>
      <c r="C4158" s="688"/>
      <c r="D4158" s="1667"/>
      <c r="E4158" s="1671">
        <v>3.5</v>
      </c>
      <c r="F4158" s="1672"/>
      <c r="G4158" s="1671">
        <v>4</v>
      </c>
      <c r="H4158" s="1671">
        <f t="shared" ref="H4158:H4163" si="679">ROUND(D4158*E4158*G4158,2)</f>
        <v>0</v>
      </c>
      <c r="I4158" s="1671" t="s">
        <v>92</v>
      </c>
      <c r="J4158" s="1668"/>
      <c r="K4158" s="1668"/>
      <c r="L4158" s="1669"/>
    </row>
    <row r="4159" spans="1:12" s="692" customFormat="1" ht="16.5" hidden="1">
      <c r="A4159" s="1665"/>
      <c r="B4159" s="1666"/>
      <c r="C4159" s="688"/>
      <c r="D4159" s="1667"/>
      <c r="E4159" s="1671">
        <v>3.5</v>
      </c>
      <c r="F4159" s="1672"/>
      <c r="G4159" s="1671">
        <v>4</v>
      </c>
      <c r="H4159" s="1671">
        <f t="shared" si="679"/>
        <v>0</v>
      </c>
      <c r="I4159" s="1671" t="s">
        <v>92</v>
      </c>
      <c r="J4159" s="1668"/>
      <c r="K4159" s="1668"/>
      <c r="L4159" s="1669"/>
    </row>
    <row r="4160" spans="1:12" s="692" customFormat="1" ht="16.5" hidden="1">
      <c r="A4160" s="1665"/>
      <c r="B4160" s="1666"/>
      <c r="C4160" s="688"/>
      <c r="D4160" s="1667"/>
      <c r="E4160" s="1671">
        <v>3.5</v>
      </c>
      <c r="F4160" s="1672"/>
      <c r="G4160" s="1671">
        <v>4</v>
      </c>
      <c r="H4160" s="1671">
        <f t="shared" si="679"/>
        <v>0</v>
      </c>
      <c r="I4160" s="1671" t="s">
        <v>92</v>
      </c>
      <c r="J4160" s="1668"/>
      <c r="K4160" s="1668"/>
      <c r="L4160" s="1669"/>
    </row>
    <row r="4161" spans="1:12" s="692" customFormat="1" ht="16.5" hidden="1">
      <c r="A4161" s="1665"/>
      <c r="B4161" s="1666"/>
      <c r="C4161" s="688"/>
      <c r="D4161" s="1667"/>
      <c r="E4161" s="1671">
        <v>3.5</v>
      </c>
      <c r="F4161" s="1672"/>
      <c r="G4161" s="1671">
        <v>4</v>
      </c>
      <c r="H4161" s="1671">
        <f t="shared" si="679"/>
        <v>0</v>
      </c>
      <c r="I4161" s="1671" t="s">
        <v>92</v>
      </c>
      <c r="J4161" s="1668"/>
      <c r="K4161" s="1668"/>
      <c r="L4161" s="1669"/>
    </row>
    <row r="4162" spans="1:12" s="692" customFormat="1" ht="16.5" hidden="1">
      <c r="A4162" s="1665"/>
      <c r="B4162" s="1666"/>
      <c r="C4162" s="688"/>
      <c r="D4162" s="1667"/>
      <c r="E4162" s="1671">
        <v>3.5</v>
      </c>
      <c r="F4162" s="1672"/>
      <c r="G4162" s="1671">
        <v>4</v>
      </c>
      <c r="H4162" s="1671">
        <f t="shared" si="679"/>
        <v>0</v>
      </c>
      <c r="I4162" s="1671" t="s">
        <v>92</v>
      </c>
      <c r="J4162" s="1668"/>
      <c r="K4162" s="1668"/>
      <c r="L4162" s="1669"/>
    </row>
    <row r="4163" spans="1:12" s="692" customFormat="1" ht="16.5" hidden="1">
      <c r="A4163" s="1665"/>
      <c r="B4163" s="1666"/>
      <c r="C4163" s="688"/>
      <c r="D4163" s="1667"/>
      <c r="E4163" s="1671">
        <v>3.5</v>
      </c>
      <c r="F4163" s="1672"/>
      <c r="G4163" s="1671">
        <v>4</v>
      </c>
      <c r="H4163" s="1671">
        <f t="shared" si="679"/>
        <v>0</v>
      </c>
      <c r="I4163" s="1671" t="s">
        <v>92</v>
      </c>
      <c r="J4163" s="1668"/>
      <c r="K4163" s="1668"/>
      <c r="L4163" s="1669"/>
    </row>
    <row r="4164" spans="1:12" s="692" customFormat="1" ht="16.5" hidden="1">
      <c r="A4164" s="1665"/>
      <c r="B4164" s="1666"/>
      <c r="C4164" s="688"/>
      <c r="D4164" s="1667"/>
      <c r="E4164" s="688"/>
      <c r="F4164" s="688"/>
      <c r="G4164" s="1665" t="s">
        <v>928</v>
      </c>
      <c r="H4164" s="1673">
        <f>SUM(H4158:H4163)</f>
        <v>0</v>
      </c>
      <c r="I4164" s="1668" t="s">
        <v>92</v>
      </c>
      <c r="J4164" s="1669">
        <f>'Lead &amp; ANALYSIS'!L816</f>
        <v>1318.8</v>
      </c>
      <c r="K4164" s="1668" t="s">
        <v>1514</v>
      </c>
      <c r="L4164" s="1669">
        <f t="shared" ref="L4164" si="680">ROUND(H4164*J4164,0)</f>
        <v>0</v>
      </c>
    </row>
    <row r="4165" spans="1:12" s="692" customFormat="1" ht="16.5" hidden="1">
      <c r="A4165" s="1665" t="s">
        <v>443</v>
      </c>
      <c r="B4165" s="1666" t="s">
        <v>3636</v>
      </c>
      <c r="C4165" s="688"/>
      <c r="D4165" s="1667"/>
      <c r="E4165" s="688"/>
      <c r="F4165" s="688"/>
      <c r="G4165" s="1674"/>
      <c r="H4165" s="688"/>
      <c r="I4165" s="1668"/>
      <c r="J4165" s="1668"/>
      <c r="K4165" s="1668"/>
      <c r="L4165" s="1669"/>
    </row>
    <row r="4166" spans="1:12" s="692" customFormat="1" ht="16.5" hidden="1">
      <c r="A4166" s="1665"/>
      <c r="B4166" s="1666"/>
      <c r="C4166" s="688"/>
      <c r="D4166" s="1667"/>
      <c r="E4166" s="1671">
        <v>3.5</v>
      </c>
      <c r="F4166" s="1672"/>
      <c r="G4166" s="1671">
        <v>4</v>
      </c>
      <c r="H4166" s="1671">
        <f t="shared" ref="H4166:H4171" si="681">ROUND(D4166*E4166*G4166,2)</f>
        <v>0</v>
      </c>
      <c r="I4166" s="1671" t="s">
        <v>92</v>
      </c>
      <c r="J4166" s="1668"/>
      <c r="K4166" s="1668"/>
      <c r="L4166" s="1669"/>
    </row>
    <row r="4167" spans="1:12" s="692" customFormat="1" ht="16.5" hidden="1">
      <c r="A4167" s="1665"/>
      <c r="B4167" s="1666"/>
      <c r="C4167" s="688"/>
      <c r="D4167" s="1667"/>
      <c r="E4167" s="1671">
        <v>3.5</v>
      </c>
      <c r="F4167" s="1672"/>
      <c r="G4167" s="1671">
        <v>4</v>
      </c>
      <c r="H4167" s="1671">
        <f t="shared" si="681"/>
        <v>0</v>
      </c>
      <c r="I4167" s="1671" t="s">
        <v>92</v>
      </c>
      <c r="J4167" s="1668"/>
      <c r="K4167" s="1668"/>
      <c r="L4167" s="1669"/>
    </row>
    <row r="4168" spans="1:12" s="692" customFormat="1" ht="16.5" hidden="1">
      <c r="A4168" s="1665"/>
      <c r="B4168" s="1666"/>
      <c r="C4168" s="688"/>
      <c r="D4168" s="1667"/>
      <c r="E4168" s="1671">
        <v>3.5</v>
      </c>
      <c r="F4168" s="1672"/>
      <c r="G4168" s="1671">
        <v>4</v>
      </c>
      <c r="H4168" s="1671">
        <f t="shared" si="681"/>
        <v>0</v>
      </c>
      <c r="I4168" s="1671" t="s">
        <v>92</v>
      </c>
      <c r="J4168" s="1668"/>
      <c r="K4168" s="1668"/>
      <c r="L4168" s="1669"/>
    </row>
    <row r="4169" spans="1:12" s="692" customFormat="1" ht="16.5" hidden="1">
      <c r="A4169" s="1665"/>
      <c r="B4169" s="1666"/>
      <c r="C4169" s="688"/>
      <c r="D4169" s="1667"/>
      <c r="E4169" s="1671">
        <v>3.5</v>
      </c>
      <c r="F4169" s="1672"/>
      <c r="G4169" s="1671">
        <v>4</v>
      </c>
      <c r="H4169" s="1671">
        <f t="shared" si="681"/>
        <v>0</v>
      </c>
      <c r="I4169" s="1671" t="s">
        <v>92</v>
      </c>
      <c r="J4169" s="1668"/>
      <c r="K4169" s="1668"/>
      <c r="L4169" s="1669"/>
    </row>
    <row r="4170" spans="1:12" s="692" customFormat="1" ht="16.5" hidden="1">
      <c r="A4170" s="1665"/>
      <c r="B4170" s="1666"/>
      <c r="C4170" s="688"/>
      <c r="D4170" s="1667"/>
      <c r="E4170" s="1671">
        <v>3.5</v>
      </c>
      <c r="F4170" s="1672"/>
      <c r="G4170" s="1671">
        <v>4</v>
      </c>
      <c r="H4170" s="1671">
        <f t="shared" si="681"/>
        <v>0</v>
      </c>
      <c r="I4170" s="1671" t="s">
        <v>92</v>
      </c>
      <c r="J4170" s="1668"/>
      <c r="K4170" s="1668"/>
      <c r="L4170" s="1669"/>
    </row>
    <row r="4171" spans="1:12" s="692" customFormat="1" ht="16.5" hidden="1">
      <c r="A4171" s="1665"/>
      <c r="B4171" s="1666"/>
      <c r="C4171" s="688"/>
      <c r="D4171" s="1667"/>
      <c r="E4171" s="1671">
        <v>3.5</v>
      </c>
      <c r="F4171" s="1672"/>
      <c r="G4171" s="1671">
        <v>4</v>
      </c>
      <c r="H4171" s="1671">
        <f t="shared" si="681"/>
        <v>0</v>
      </c>
      <c r="I4171" s="1671" t="s">
        <v>92</v>
      </c>
      <c r="J4171" s="1668"/>
      <c r="K4171" s="1668"/>
      <c r="L4171" s="1669"/>
    </row>
    <row r="4172" spans="1:12" s="692" customFormat="1" ht="16.5" hidden="1">
      <c r="A4172" s="1665"/>
      <c r="B4172" s="1666"/>
      <c r="C4172" s="688"/>
      <c r="D4172" s="1667"/>
      <c r="E4172" s="688"/>
      <c r="F4172" s="688"/>
      <c r="G4172" s="1665" t="s">
        <v>928</v>
      </c>
      <c r="H4172" s="1673">
        <f>SUM(H4166:H4171)</f>
        <v>0</v>
      </c>
      <c r="I4172" s="1668" t="s">
        <v>92</v>
      </c>
      <c r="J4172" s="1669">
        <f>'Lead &amp; ANALYSIS'!L817</f>
        <v>1443.8</v>
      </c>
      <c r="K4172" s="1668" t="s">
        <v>1514</v>
      </c>
      <c r="L4172" s="1669">
        <f t="shared" ref="L4172" si="682">ROUND(H4172*J4172,0)</f>
        <v>0</v>
      </c>
    </row>
    <row r="4173" spans="1:12" s="692" customFormat="1" ht="148.5" hidden="1">
      <c r="A4173" s="1665">
        <f>'Lead &amp; ANALYSIS'!A818</f>
        <v>76</v>
      </c>
      <c r="B4173" s="1666" t="str">
        <f>'Lead &amp; ANALYSIS'!B818</f>
        <v xml:space="preserve">Supplying, fitting, fixing of vertified tile in floors of size 600mm x 600mm of approved make Confirming to IS-13755 with application of polymer modified cement based water resistant adhesive bed of required thickness of 3mm and filling joints with epoxy grout of approved quality including cost, conveyance and taxes of all materials, cost of all labour, T&amp;P etc. complete as per the direction of the Engineer-in-charge. </v>
      </c>
      <c r="C4173" s="688"/>
      <c r="D4173" s="1667"/>
      <c r="E4173" s="688"/>
      <c r="F4173" s="688"/>
      <c r="G4173" s="1674"/>
      <c r="H4173" s="688"/>
      <c r="I4173" s="1668"/>
      <c r="J4173" s="1668"/>
      <c r="K4173" s="1668"/>
      <c r="L4173" s="1669"/>
    </row>
    <row r="4174" spans="1:12" s="692" customFormat="1" ht="16.5" hidden="1">
      <c r="A4174" s="1665" t="s">
        <v>383</v>
      </c>
      <c r="B4174" s="1666" t="s">
        <v>384</v>
      </c>
      <c r="C4174" s="688"/>
      <c r="D4174" s="1667"/>
      <c r="E4174" s="688"/>
      <c r="F4174" s="688"/>
      <c r="G4174" s="1674"/>
      <c r="H4174" s="688"/>
      <c r="I4174" s="1668"/>
      <c r="J4174" s="1668"/>
      <c r="K4174" s="1668"/>
      <c r="L4174" s="1669"/>
    </row>
    <row r="4175" spans="1:12" s="692" customFormat="1" ht="16.5" hidden="1">
      <c r="A4175" s="1665"/>
      <c r="B4175" s="1666" t="str">
        <f>'Lead &amp; ANALYSIS'!C819</f>
        <v>Printed</v>
      </c>
      <c r="C4175" s="688"/>
      <c r="D4175" s="1667"/>
      <c r="E4175" s="1671">
        <v>3.5</v>
      </c>
      <c r="F4175" s="1671">
        <v>4</v>
      </c>
      <c r="G4175" s="1674"/>
      <c r="H4175" s="1671">
        <f t="shared" ref="H4175:H4180" si="683">ROUND(D4175*E4175*F4175,2)</f>
        <v>0</v>
      </c>
      <c r="I4175" s="688" t="s">
        <v>92</v>
      </c>
      <c r="J4175" s="1668"/>
      <c r="K4175" s="1668"/>
      <c r="L4175" s="1669"/>
    </row>
    <row r="4176" spans="1:12" s="692" customFormat="1" ht="16.5" hidden="1">
      <c r="A4176" s="1665"/>
      <c r="B4176" s="1666"/>
      <c r="C4176" s="688"/>
      <c r="D4176" s="1667"/>
      <c r="E4176" s="1671">
        <v>3.5</v>
      </c>
      <c r="F4176" s="1671">
        <v>4</v>
      </c>
      <c r="G4176" s="1674"/>
      <c r="H4176" s="1671">
        <f t="shared" si="683"/>
        <v>0</v>
      </c>
      <c r="I4176" s="688" t="s">
        <v>92</v>
      </c>
      <c r="J4176" s="1668"/>
      <c r="K4176" s="1668"/>
      <c r="L4176" s="1669"/>
    </row>
    <row r="4177" spans="1:12" s="692" customFormat="1" ht="16.5" hidden="1">
      <c r="A4177" s="1665"/>
      <c r="B4177" s="1666"/>
      <c r="C4177" s="688"/>
      <c r="D4177" s="1667"/>
      <c r="E4177" s="1671">
        <v>3.5</v>
      </c>
      <c r="F4177" s="1671">
        <v>4</v>
      </c>
      <c r="G4177" s="1674"/>
      <c r="H4177" s="1671">
        <f t="shared" si="683"/>
        <v>0</v>
      </c>
      <c r="I4177" s="688" t="s">
        <v>92</v>
      </c>
      <c r="J4177" s="1668"/>
      <c r="K4177" s="1668"/>
      <c r="L4177" s="1669"/>
    </row>
    <row r="4178" spans="1:12" s="692" customFormat="1" ht="16.5" hidden="1">
      <c r="A4178" s="1665"/>
      <c r="B4178" s="1666"/>
      <c r="C4178" s="688"/>
      <c r="D4178" s="1667"/>
      <c r="E4178" s="1671">
        <v>3.5</v>
      </c>
      <c r="F4178" s="1671">
        <v>4</v>
      </c>
      <c r="G4178" s="1674"/>
      <c r="H4178" s="1671">
        <f t="shared" si="683"/>
        <v>0</v>
      </c>
      <c r="I4178" s="688" t="s">
        <v>92</v>
      </c>
      <c r="J4178" s="1668"/>
      <c r="K4178" s="1668"/>
      <c r="L4178" s="1669"/>
    </row>
    <row r="4179" spans="1:12" s="692" customFormat="1" ht="16.5" hidden="1">
      <c r="A4179" s="1665"/>
      <c r="B4179" s="1666"/>
      <c r="C4179" s="688"/>
      <c r="D4179" s="1667"/>
      <c r="E4179" s="1671">
        <v>3.5</v>
      </c>
      <c r="F4179" s="1671">
        <v>4</v>
      </c>
      <c r="G4179" s="1674"/>
      <c r="H4179" s="1671">
        <f t="shared" si="683"/>
        <v>0</v>
      </c>
      <c r="I4179" s="688" t="s">
        <v>92</v>
      </c>
      <c r="J4179" s="1668"/>
      <c r="K4179" s="1668"/>
      <c r="L4179" s="1669"/>
    </row>
    <row r="4180" spans="1:12" s="692" customFormat="1" ht="16.5" hidden="1">
      <c r="A4180" s="1665"/>
      <c r="B4180" s="1666"/>
      <c r="C4180" s="688"/>
      <c r="D4180" s="1667"/>
      <c r="E4180" s="1671">
        <v>3.5</v>
      </c>
      <c r="F4180" s="1671">
        <v>4</v>
      </c>
      <c r="G4180" s="1674"/>
      <c r="H4180" s="1671">
        <f t="shared" si="683"/>
        <v>0</v>
      </c>
      <c r="I4180" s="688" t="s">
        <v>92</v>
      </c>
      <c r="J4180" s="1668"/>
      <c r="K4180" s="1668"/>
      <c r="L4180" s="1669"/>
    </row>
    <row r="4181" spans="1:12" s="692" customFormat="1" ht="16.5" hidden="1">
      <c r="A4181" s="1665"/>
      <c r="B4181" s="1666"/>
      <c r="C4181" s="688"/>
      <c r="D4181" s="1667"/>
      <c r="E4181" s="688"/>
      <c r="F4181" s="688"/>
      <c r="G4181" s="1674" t="s">
        <v>928</v>
      </c>
      <c r="H4181" s="1671">
        <f>SUM(H4175:H4180)</f>
        <v>0</v>
      </c>
      <c r="I4181" s="1668" t="s">
        <v>92</v>
      </c>
      <c r="J4181" s="1669">
        <f>'Lead &amp; ANALYSIS'!L819</f>
        <v>1024.8</v>
      </c>
      <c r="K4181" s="1668" t="s">
        <v>1514</v>
      </c>
      <c r="L4181" s="1669">
        <f t="shared" ref="L4181" si="684">ROUND(H4181*J4181,0)</f>
        <v>0</v>
      </c>
    </row>
    <row r="4182" spans="1:12" s="692" customFormat="1" ht="16.5" hidden="1">
      <c r="A4182" s="1665"/>
      <c r="B4182" s="1666" t="str">
        <f>'Lead &amp; ANALYSIS'!C820</f>
        <v>Plain</v>
      </c>
      <c r="C4182" s="688"/>
      <c r="D4182" s="1667"/>
      <c r="E4182" s="688"/>
      <c r="F4182" s="688"/>
      <c r="G4182" s="1674"/>
      <c r="H4182" s="688"/>
      <c r="I4182" s="1668"/>
      <c r="J4182" s="1668"/>
      <c r="K4182" s="1668"/>
      <c r="L4182" s="1669"/>
    </row>
    <row r="4183" spans="1:12" s="692" customFormat="1" ht="16.5" hidden="1">
      <c r="A4183" s="1665"/>
      <c r="B4183" s="1666"/>
      <c r="C4183" s="688"/>
      <c r="D4183" s="1667"/>
      <c r="E4183" s="1671">
        <v>3.5</v>
      </c>
      <c r="F4183" s="1671">
        <v>4</v>
      </c>
      <c r="G4183" s="1674"/>
      <c r="H4183" s="1671">
        <f t="shared" ref="H4183:H4188" si="685">ROUND(D4183*E4183*F4183,2)</f>
        <v>0</v>
      </c>
      <c r="I4183" s="688" t="s">
        <v>92</v>
      </c>
      <c r="J4183" s="1668"/>
      <c r="K4183" s="1668"/>
      <c r="L4183" s="1669"/>
    </row>
    <row r="4184" spans="1:12" s="692" customFormat="1" ht="16.5" hidden="1">
      <c r="A4184" s="1665"/>
      <c r="B4184" s="1666"/>
      <c r="C4184" s="688"/>
      <c r="D4184" s="1667"/>
      <c r="E4184" s="1671">
        <v>3.5</v>
      </c>
      <c r="F4184" s="1671">
        <v>4</v>
      </c>
      <c r="G4184" s="1674"/>
      <c r="H4184" s="1671">
        <f t="shared" si="685"/>
        <v>0</v>
      </c>
      <c r="I4184" s="688" t="s">
        <v>92</v>
      </c>
      <c r="J4184" s="1668"/>
      <c r="K4184" s="1668"/>
      <c r="L4184" s="1669"/>
    </row>
    <row r="4185" spans="1:12" s="692" customFormat="1" ht="16.5" hidden="1">
      <c r="A4185" s="1665"/>
      <c r="B4185" s="1666"/>
      <c r="C4185" s="688"/>
      <c r="D4185" s="1667"/>
      <c r="E4185" s="1671">
        <v>3.5</v>
      </c>
      <c r="F4185" s="1671">
        <v>4</v>
      </c>
      <c r="G4185" s="1674"/>
      <c r="H4185" s="1671">
        <f t="shared" si="685"/>
        <v>0</v>
      </c>
      <c r="I4185" s="688" t="s">
        <v>92</v>
      </c>
      <c r="J4185" s="1668"/>
      <c r="K4185" s="1668"/>
      <c r="L4185" s="1669"/>
    </row>
    <row r="4186" spans="1:12" s="692" customFormat="1" ht="16.5" hidden="1">
      <c r="A4186" s="1665"/>
      <c r="B4186" s="1666"/>
      <c r="C4186" s="688"/>
      <c r="D4186" s="1667"/>
      <c r="E4186" s="1671">
        <v>3.5</v>
      </c>
      <c r="F4186" s="1671">
        <v>4</v>
      </c>
      <c r="G4186" s="1674"/>
      <c r="H4186" s="1671">
        <f t="shared" si="685"/>
        <v>0</v>
      </c>
      <c r="I4186" s="688" t="s">
        <v>92</v>
      </c>
      <c r="J4186" s="1668"/>
      <c r="K4186" s="1668"/>
      <c r="L4186" s="1669"/>
    </row>
    <row r="4187" spans="1:12" s="692" customFormat="1" ht="16.5" hidden="1">
      <c r="A4187" s="1665"/>
      <c r="B4187" s="1666"/>
      <c r="C4187" s="688"/>
      <c r="D4187" s="1667"/>
      <c r="E4187" s="1671">
        <v>3.5</v>
      </c>
      <c r="F4187" s="1671">
        <v>4</v>
      </c>
      <c r="G4187" s="1674"/>
      <c r="H4187" s="1671">
        <f t="shared" si="685"/>
        <v>0</v>
      </c>
      <c r="I4187" s="688" t="s">
        <v>92</v>
      </c>
      <c r="J4187" s="1668"/>
      <c r="K4187" s="1668"/>
      <c r="L4187" s="1669"/>
    </row>
    <row r="4188" spans="1:12" s="692" customFormat="1" ht="16.5" hidden="1">
      <c r="A4188" s="1665"/>
      <c r="B4188" s="1666"/>
      <c r="C4188" s="688"/>
      <c r="D4188" s="1667"/>
      <c r="E4188" s="1671">
        <v>3.5</v>
      </c>
      <c r="F4188" s="1671">
        <v>4</v>
      </c>
      <c r="G4188" s="1674"/>
      <c r="H4188" s="1671">
        <f t="shared" si="685"/>
        <v>0</v>
      </c>
      <c r="I4188" s="688" t="s">
        <v>92</v>
      </c>
      <c r="J4188" s="1668"/>
      <c r="K4188" s="1668"/>
      <c r="L4188" s="1669"/>
    </row>
    <row r="4189" spans="1:12" s="692" customFormat="1" ht="16.5" hidden="1">
      <c r="A4189" s="1665"/>
      <c r="B4189" s="1666"/>
      <c r="C4189" s="688"/>
      <c r="D4189" s="1667"/>
      <c r="E4189" s="688"/>
      <c r="F4189" s="688"/>
      <c r="G4189" s="1674" t="s">
        <v>928</v>
      </c>
      <c r="H4189" s="1671">
        <f>SUM(H4183:H4188)</f>
        <v>0</v>
      </c>
      <c r="I4189" s="1668" t="s">
        <v>92</v>
      </c>
      <c r="J4189" s="1669">
        <f>'Lead &amp; ANALYSIS'!L820</f>
        <v>980.1</v>
      </c>
      <c r="K4189" s="1668" t="s">
        <v>1514</v>
      </c>
      <c r="L4189" s="1669">
        <f t="shared" ref="L4189" si="686">ROUND(H4189*J4189,0)</f>
        <v>0</v>
      </c>
    </row>
    <row r="4190" spans="1:12" s="692" customFormat="1" ht="16.5" hidden="1">
      <c r="A4190" s="1665" t="s">
        <v>386</v>
      </c>
      <c r="B4190" s="1666" t="s">
        <v>387</v>
      </c>
      <c r="C4190" s="688"/>
      <c r="D4190" s="1667"/>
      <c r="E4190" s="688"/>
      <c r="F4190" s="688"/>
      <c r="G4190" s="1674"/>
      <c r="H4190" s="688"/>
      <c r="I4190" s="1668"/>
      <c r="J4190" s="1668"/>
      <c r="K4190" s="1668"/>
      <c r="L4190" s="1669"/>
    </row>
    <row r="4191" spans="1:12" s="692" customFormat="1" ht="16.5" hidden="1">
      <c r="A4191" s="1665"/>
      <c r="B4191" s="1666" t="str">
        <f>'Lead &amp; ANALYSIS'!C821</f>
        <v>Printed</v>
      </c>
      <c r="C4191" s="688"/>
      <c r="D4191" s="1667"/>
      <c r="E4191" s="1671">
        <v>3.5</v>
      </c>
      <c r="F4191" s="1671">
        <v>4</v>
      </c>
      <c r="G4191" s="1674"/>
      <c r="H4191" s="1671">
        <f t="shared" ref="H4191:H4196" si="687">ROUND(D4191*E4191*F4191,2)</f>
        <v>0</v>
      </c>
      <c r="I4191" s="688" t="s">
        <v>92</v>
      </c>
      <c r="J4191" s="1668"/>
      <c r="K4191" s="1668"/>
      <c r="L4191" s="1669"/>
    </row>
    <row r="4192" spans="1:12" s="692" customFormat="1" ht="16.5" hidden="1">
      <c r="A4192" s="1665"/>
      <c r="B4192" s="1666"/>
      <c r="C4192" s="688"/>
      <c r="D4192" s="1667"/>
      <c r="E4192" s="1671">
        <v>3.5</v>
      </c>
      <c r="F4192" s="1671">
        <v>4</v>
      </c>
      <c r="G4192" s="1674"/>
      <c r="H4192" s="1671">
        <f t="shared" si="687"/>
        <v>0</v>
      </c>
      <c r="I4192" s="688" t="s">
        <v>92</v>
      </c>
      <c r="J4192" s="1668"/>
      <c r="K4192" s="1668"/>
      <c r="L4192" s="1669"/>
    </row>
    <row r="4193" spans="1:12" s="692" customFormat="1" ht="16.5" hidden="1">
      <c r="A4193" s="1665"/>
      <c r="B4193" s="1666"/>
      <c r="C4193" s="688"/>
      <c r="D4193" s="1667"/>
      <c r="E4193" s="1671">
        <v>3.5</v>
      </c>
      <c r="F4193" s="1671">
        <v>4</v>
      </c>
      <c r="G4193" s="1674"/>
      <c r="H4193" s="1671">
        <f t="shared" si="687"/>
        <v>0</v>
      </c>
      <c r="I4193" s="688" t="s">
        <v>92</v>
      </c>
      <c r="J4193" s="1668"/>
      <c r="K4193" s="1668"/>
      <c r="L4193" s="1669"/>
    </row>
    <row r="4194" spans="1:12" s="692" customFormat="1" ht="16.5" hidden="1">
      <c r="A4194" s="1665"/>
      <c r="B4194" s="1666"/>
      <c r="C4194" s="688"/>
      <c r="D4194" s="1667"/>
      <c r="E4194" s="1671">
        <v>3.5</v>
      </c>
      <c r="F4194" s="1671">
        <v>4</v>
      </c>
      <c r="G4194" s="1674"/>
      <c r="H4194" s="1671">
        <f t="shared" si="687"/>
        <v>0</v>
      </c>
      <c r="I4194" s="688" t="s">
        <v>92</v>
      </c>
      <c r="J4194" s="1668"/>
      <c r="K4194" s="1668"/>
      <c r="L4194" s="1669"/>
    </row>
    <row r="4195" spans="1:12" s="692" customFormat="1" ht="16.5" hidden="1">
      <c r="A4195" s="1665"/>
      <c r="B4195" s="1666"/>
      <c r="C4195" s="688"/>
      <c r="D4195" s="1667"/>
      <c r="E4195" s="1671">
        <v>3.5</v>
      </c>
      <c r="F4195" s="1671">
        <v>4</v>
      </c>
      <c r="G4195" s="1674"/>
      <c r="H4195" s="1671">
        <f t="shared" si="687"/>
        <v>0</v>
      </c>
      <c r="I4195" s="688" t="s">
        <v>92</v>
      </c>
      <c r="J4195" s="1668"/>
      <c r="K4195" s="1668"/>
      <c r="L4195" s="1669"/>
    </row>
    <row r="4196" spans="1:12" s="692" customFormat="1" ht="16.5" hidden="1">
      <c r="A4196" s="1665"/>
      <c r="B4196" s="1666"/>
      <c r="C4196" s="688"/>
      <c r="D4196" s="1667"/>
      <c r="E4196" s="1671">
        <v>3.5</v>
      </c>
      <c r="F4196" s="1671">
        <v>4</v>
      </c>
      <c r="G4196" s="1674"/>
      <c r="H4196" s="1671">
        <f t="shared" si="687"/>
        <v>0</v>
      </c>
      <c r="I4196" s="688" t="s">
        <v>92</v>
      </c>
      <c r="J4196" s="1668"/>
      <c r="K4196" s="1668"/>
      <c r="L4196" s="1669"/>
    </row>
    <row r="4197" spans="1:12" s="692" customFormat="1" ht="16.5" hidden="1">
      <c r="A4197" s="1665"/>
      <c r="B4197" s="1666"/>
      <c r="C4197" s="688"/>
      <c r="D4197" s="1667"/>
      <c r="E4197" s="688"/>
      <c r="F4197" s="688"/>
      <c r="G4197" s="1674" t="s">
        <v>928</v>
      </c>
      <c r="H4197" s="1671">
        <f>SUM(H4191:H4196)</f>
        <v>0</v>
      </c>
      <c r="I4197" s="1668" t="s">
        <v>92</v>
      </c>
      <c r="J4197" s="1669">
        <f>'Lead &amp; ANALYSIS'!L821</f>
        <v>1033.8</v>
      </c>
      <c r="K4197" s="1668" t="s">
        <v>1514</v>
      </c>
      <c r="L4197" s="1669">
        <f t="shared" ref="L4197" si="688">ROUND(H4197*J4197,0)</f>
        <v>0</v>
      </c>
    </row>
    <row r="4198" spans="1:12" s="692" customFormat="1" ht="16.5" hidden="1">
      <c r="A4198" s="1665"/>
      <c r="B4198" s="1666" t="str">
        <f>'Lead &amp; ANALYSIS'!C822</f>
        <v>Plain</v>
      </c>
      <c r="C4198" s="688"/>
      <c r="D4198" s="1667"/>
      <c r="E4198" s="688"/>
      <c r="F4198" s="688"/>
      <c r="G4198" s="1674"/>
      <c r="H4198" s="688"/>
      <c r="I4198" s="1668"/>
      <c r="J4198" s="1668"/>
      <c r="K4198" s="1668"/>
      <c r="L4198" s="1669"/>
    </row>
    <row r="4199" spans="1:12" s="692" customFormat="1" ht="16.5" hidden="1">
      <c r="A4199" s="1665"/>
      <c r="B4199" s="1666"/>
      <c r="C4199" s="688"/>
      <c r="D4199" s="1667"/>
      <c r="E4199" s="1671">
        <v>3.5</v>
      </c>
      <c r="F4199" s="1671">
        <v>4</v>
      </c>
      <c r="G4199" s="1674"/>
      <c r="H4199" s="1671">
        <f t="shared" ref="H4199:H4204" si="689">ROUND(D4199*E4199*F4199,2)</f>
        <v>0</v>
      </c>
      <c r="I4199" s="688" t="s">
        <v>92</v>
      </c>
      <c r="J4199" s="1668"/>
      <c r="K4199" s="1668"/>
      <c r="L4199" s="1669"/>
    </row>
    <row r="4200" spans="1:12" s="692" customFormat="1" ht="16.5" hidden="1">
      <c r="A4200" s="1665"/>
      <c r="B4200" s="1666"/>
      <c r="C4200" s="688"/>
      <c r="D4200" s="1667"/>
      <c r="E4200" s="1671">
        <v>3.5</v>
      </c>
      <c r="F4200" s="1671">
        <v>4</v>
      </c>
      <c r="G4200" s="1674"/>
      <c r="H4200" s="1671">
        <f t="shared" si="689"/>
        <v>0</v>
      </c>
      <c r="I4200" s="688" t="s">
        <v>92</v>
      </c>
      <c r="J4200" s="1668"/>
      <c r="K4200" s="1668"/>
      <c r="L4200" s="1669"/>
    </row>
    <row r="4201" spans="1:12" s="692" customFormat="1" ht="16.5" hidden="1">
      <c r="A4201" s="1665"/>
      <c r="B4201" s="1666"/>
      <c r="C4201" s="688"/>
      <c r="D4201" s="1667"/>
      <c r="E4201" s="1671">
        <v>3.5</v>
      </c>
      <c r="F4201" s="1671">
        <v>4</v>
      </c>
      <c r="G4201" s="1674"/>
      <c r="H4201" s="1671">
        <f t="shared" si="689"/>
        <v>0</v>
      </c>
      <c r="I4201" s="688" t="s">
        <v>92</v>
      </c>
      <c r="J4201" s="1668"/>
      <c r="K4201" s="1668"/>
      <c r="L4201" s="1669"/>
    </row>
    <row r="4202" spans="1:12" s="692" customFormat="1" ht="16.5" hidden="1">
      <c r="A4202" s="1665"/>
      <c r="B4202" s="1666"/>
      <c r="C4202" s="688"/>
      <c r="D4202" s="1667"/>
      <c r="E4202" s="1671">
        <v>3.5</v>
      </c>
      <c r="F4202" s="1671">
        <v>4</v>
      </c>
      <c r="G4202" s="1674"/>
      <c r="H4202" s="1671">
        <f t="shared" si="689"/>
        <v>0</v>
      </c>
      <c r="I4202" s="688" t="s">
        <v>92</v>
      </c>
      <c r="J4202" s="1668"/>
      <c r="K4202" s="1668"/>
      <c r="L4202" s="1669"/>
    </row>
    <row r="4203" spans="1:12" s="692" customFormat="1" ht="16.5" hidden="1">
      <c r="A4203" s="1665"/>
      <c r="B4203" s="1666"/>
      <c r="C4203" s="688"/>
      <c r="D4203" s="1667"/>
      <c r="E4203" s="1671">
        <v>3.5</v>
      </c>
      <c r="F4203" s="1671">
        <v>4</v>
      </c>
      <c r="G4203" s="1674"/>
      <c r="H4203" s="1671">
        <f t="shared" si="689"/>
        <v>0</v>
      </c>
      <c r="I4203" s="688" t="s">
        <v>92</v>
      </c>
      <c r="J4203" s="1668"/>
      <c r="K4203" s="1668"/>
      <c r="L4203" s="1669"/>
    </row>
    <row r="4204" spans="1:12" s="692" customFormat="1" ht="16.5" hidden="1">
      <c r="A4204" s="1665"/>
      <c r="B4204" s="1666"/>
      <c r="C4204" s="688"/>
      <c r="D4204" s="1667"/>
      <c r="E4204" s="1671">
        <v>3.5</v>
      </c>
      <c r="F4204" s="1671">
        <v>4</v>
      </c>
      <c r="G4204" s="1674"/>
      <c r="H4204" s="1671">
        <f t="shared" si="689"/>
        <v>0</v>
      </c>
      <c r="I4204" s="688" t="s">
        <v>92</v>
      </c>
      <c r="J4204" s="1668"/>
      <c r="K4204" s="1668"/>
      <c r="L4204" s="1669"/>
    </row>
    <row r="4205" spans="1:12" s="692" customFormat="1" ht="16.5" hidden="1">
      <c r="A4205" s="1665"/>
      <c r="B4205" s="1666"/>
      <c r="C4205" s="688"/>
      <c r="D4205" s="1667"/>
      <c r="E4205" s="688"/>
      <c r="F4205" s="688"/>
      <c r="G4205" s="1674" t="s">
        <v>928</v>
      </c>
      <c r="H4205" s="1671">
        <f>SUM(H4199:H4204)</f>
        <v>0</v>
      </c>
      <c r="I4205" s="1668" t="s">
        <v>92</v>
      </c>
      <c r="J4205" s="1669">
        <f>'Lead &amp; ANALYSIS'!L822</f>
        <v>989.2</v>
      </c>
      <c r="K4205" s="1668" t="s">
        <v>1514</v>
      </c>
      <c r="L4205" s="1669">
        <f t="shared" ref="L4205" si="690">ROUND(H4205*J4205,0)</f>
        <v>0</v>
      </c>
    </row>
    <row r="4206" spans="1:12" s="692" customFormat="1" ht="16.5" hidden="1">
      <c r="A4206" s="1665" t="s">
        <v>432</v>
      </c>
      <c r="B4206" s="1666" t="s">
        <v>3622</v>
      </c>
      <c r="C4206" s="688"/>
      <c r="D4206" s="1667"/>
      <c r="E4206" s="688"/>
      <c r="F4206" s="688"/>
      <c r="G4206" s="1674"/>
      <c r="H4206" s="688"/>
      <c r="I4206" s="1668"/>
      <c r="J4206" s="1668"/>
      <c r="K4206" s="1668"/>
      <c r="L4206" s="1669"/>
    </row>
    <row r="4207" spans="1:12" s="692" customFormat="1" ht="16.5" hidden="1">
      <c r="A4207" s="1665"/>
      <c r="B4207" s="1666" t="str">
        <f>B4191</f>
        <v>Printed</v>
      </c>
      <c r="C4207" s="688"/>
      <c r="D4207" s="1667"/>
      <c r="E4207" s="1671">
        <v>3.5</v>
      </c>
      <c r="F4207" s="1671">
        <v>4</v>
      </c>
      <c r="G4207" s="1674"/>
      <c r="H4207" s="1671">
        <f t="shared" ref="H4207:H4212" si="691">ROUND(D4207*E4207*F4207,2)</f>
        <v>0</v>
      </c>
      <c r="I4207" s="688" t="s">
        <v>92</v>
      </c>
      <c r="J4207" s="1668"/>
      <c r="K4207" s="1668"/>
      <c r="L4207" s="1669"/>
    </row>
    <row r="4208" spans="1:12" s="692" customFormat="1" ht="16.5" hidden="1">
      <c r="A4208" s="1665"/>
      <c r="B4208" s="1666"/>
      <c r="C4208" s="688"/>
      <c r="D4208" s="1667"/>
      <c r="E4208" s="1671">
        <v>3.5</v>
      </c>
      <c r="F4208" s="1671">
        <v>4</v>
      </c>
      <c r="G4208" s="1674"/>
      <c r="H4208" s="1671">
        <f t="shared" si="691"/>
        <v>0</v>
      </c>
      <c r="I4208" s="688" t="s">
        <v>92</v>
      </c>
      <c r="J4208" s="1668"/>
      <c r="K4208" s="1668"/>
      <c r="L4208" s="1669"/>
    </row>
    <row r="4209" spans="1:12" s="692" customFormat="1" ht="16.5" hidden="1">
      <c r="A4209" s="1665"/>
      <c r="B4209" s="1666"/>
      <c r="C4209" s="688"/>
      <c r="D4209" s="1667"/>
      <c r="E4209" s="1671">
        <v>3.5</v>
      </c>
      <c r="F4209" s="1671">
        <v>4</v>
      </c>
      <c r="G4209" s="1674"/>
      <c r="H4209" s="1671">
        <f t="shared" si="691"/>
        <v>0</v>
      </c>
      <c r="I4209" s="688" t="s">
        <v>92</v>
      </c>
      <c r="J4209" s="1668"/>
      <c r="K4209" s="1668"/>
      <c r="L4209" s="1669"/>
    </row>
    <row r="4210" spans="1:12" s="692" customFormat="1" ht="16.5" hidden="1">
      <c r="A4210" s="1665"/>
      <c r="B4210" s="1666"/>
      <c r="C4210" s="688"/>
      <c r="D4210" s="1667"/>
      <c r="E4210" s="1671">
        <v>3.5</v>
      </c>
      <c r="F4210" s="1671">
        <v>4</v>
      </c>
      <c r="G4210" s="1674"/>
      <c r="H4210" s="1671">
        <f t="shared" si="691"/>
        <v>0</v>
      </c>
      <c r="I4210" s="688" t="s">
        <v>92</v>
      </c>
      <c r="J4210" s="1668"/>
      <c r="K4210" s="1668"/>
      <c r="L4210" s="1669"/>
    </row>
    <row r="4211" spans="1:12" s="692" customFormat="1" ht="16.5" hidden="1">
      <c r="A4211" s="1665"/>
      <c r="B4211" s="1666"/>
      <c r="C4211" s="688"/>
      <c r="D4211" s="1667"/>
      <c r="E4211" s="1671">
        <v>3.5</v>
      </c>
      <c r="F4211" s="1671">
        <v>4</v>
      </c>
      <c r="G4211" s="1674"/>
      <c r="H4211" s="1671">
        <f t="shared" si="691"/>
        <v>0</v>
      </c>
      <c r="I4211" s="688" t="s">
        <v>92</v>
      </c>
      <c r="J4211" s="1668"/>
      <c r="K4211" s="1668"/>
      <c r="L4211" s="1669"/>
    </row>
    <row r="4212" spans="1:12" s="692" customFormat="1" ht="16.5" hidden="1">
      <c r="A4212" s="1665"/>
      <c r="B4212" s="1666"/>
      <c r="C4212" s="688"/>
      <c r="D4212" s="1667"/>
      <c r="E4212" s="1671">
        <v>3.5</v>
      </c>
      <c r="F4212" s="1671">
        <v>4</v>
      </c>
      <c r="G4212" s="1674"/>
      <c r="H4212" s="1671">
        <f t="shared" si="691"/>
        <v>0</v>
      </c>
      <c r="I4212" s="688" t="s">
        <v>92</v>
      </c>
      <c r="J4212" s="1668"/>
      <c r="K4212" s="1668"/>
      <c r="L4212" s="1669"/>
    </row>
    <row r="4213" spans="1:12" s="692" customFormat="1" ht="16.5" hidden="1">
      <c r="A4213" s="1665"/>
      <c r="B4213" s="1666"/>
      <c r="C4213" s="688"/>
      <c r="D4213" s="1667"/>
      <c r="E4213" s="688"/>
      <c r="F4213" s="688"/>
      <c r="G4213" s="1674" t="s">
        <v>928</v>
      </c>
      <c r="H4213" s="1671">
        <f>SUM(H4207:H4212)</f>
        <v>0</v>
      </c>
      <c r="I4213" s="1668" t="s">
        <v>92</v>
      </c>
      <c r="J4213" s="1669">
        <f>'Lead &amp; ANALYSIS'!L823</f>
        <v>1043.4000000000001</v>
      </c>
      <c r="K4213" s="1668" t="s">
        <v>1514</v>
      </c>
      <c r="L4213" s="1669">
        <f t="shared" ref="L4213" si="692">ROUND(H4213*J4213,0)</f>
        <v>0</v>
      </c>
    </row>
    <row r="4214" spans="1:12" s="692" customFormat="1" ht="16.5" hidden="1">
      <c r="A4214" s="1665"/>
      <c r="B4214" s="1666" t="str">
        <f>B4198</f>
        <v>Plain</v>
      </c>
      <c r="C4214" s="688"/>
      <c r="D4214" s="1667"/>
      <c r="E4214" s="688"/>
      <c r="F4214" s="688"/>
      <c r="G4214" s="1674"/>
      <c r="H4214" s="688"/>
      <c r="I4214" s="1668"/>
      <c r="J4214" s="1668"/>
      <c r="K4214" s="1668"/>
      <c r="L4214" s="1669"/>
    </row>
    <row r="4215" spans="1:12" s="692" customFormat="1" ht="16.5" hidden="1">
      <c r="A4215" s="1665"/>
      <c r="B4215" s="1666"/>
      <c r="C4215" s="688"/>
      <c r="D4215" s="1667"/>
      <c r="E4215" s="1671">
        <v>3.5</v>
      </c>
      <c r="F4215" s="1671">
        <v>4</v>
      </c>
      <c r="G4215" s="1674"/>
      <c r="H4215" s="1671">
        <f t="shared" ref="H4215:H4220" si="693">ROUND(D4215*E4215*F4215,2)</f>
        <v>0</v>
      </c>
      <c r="I4215" s="688" t="s">
        <v>92</v>
      </c>
      <c r="J4215" s="1668"/>
      <c r="K4215" s="1668"/>
      <c r="L4215" s="1669"/>
    </row>
    <row r="4216" spans="1:12" s="692" customFormat="1" ht="16.5" hidden="1">
      <c r="A4216" s="1665"/>
      <c r="B4216" s="1666"/>
      <c r="C4216" s="688"/>
      <c r="D4216" s="1667"/>
      <c r="E4216" s="1671">
        <v>3.5</v>
      </c>
      <c r="F4216" s="1671">
        <v>4</v>
      </c>
      <c r="G4216" s="1674"/>
      <c r="H4216" s="1671">
        <f t="shared" si="693"/>
        <v>0</v>
      </c>
      <c r="I4216" s="688" t="s">
        <v>92</v>
      </c>
      <c r="J4216" s="1668"/>
      <c r="K4216" s="1668"/>
      <c r="L4216" s="1669"/>
    </row>
    <row r="4217" spans="1:12" s="692" customFormat="1" ht="16.5" hidden="1">
      <c r="A4217" s="1665"/>
      <c r="B4217" s="1666"/>
      <c r="C4217" s="688"/>
      <c r="D4217" s="1667"/>
      <c r="E4217" s="1671">
        <v>3.5</v>
      </c>
      <c r="F4217" s="1671">
        <v>4</v>
      </c>
      <c r="G4217" s="1674"/>
      <c r="H4217" s="1671">
        <f t="shared" si="693"/>
        <v>0</v>
      </c>
      <c r="I4217" s="688" t="s">
        <v>92</v>
      </c>
      <c r="J4217" s="1668"/>
      <c r="K4217" s="1668"/>
      <c r="L4217" s="1669"/>
    </row>
    <row r="4218" spans="1:12" s="692" customFormat="1" ht="16.5" hidden="1">
      <c r="A4218" s="1665"/>
      <c r="B4218" s="1666"/>
      <c r="C4218" s="688"/>
      <c r="D4218" s="1667"/>
      <c r="E4218" s="1671">
        <v>3.5</v>
      </c>
      <c r="F4218" s="1671">
        <v>4</v>
      </c>
      <c r="G4218" s="1674"/>
      <c r="H4218" s="1671">
        <f t="shared" si="693"/>
        <v>0</v>
      </c>
      <c r="I4218" s="688" t="s">
        <v>92</v>
      </c>
      <c r="J4218" s="1668"/>
      <c r="K4218" s="1668"/>
      <c r="L4218" s="1669"/>
    </row>
    <row r="4219" spans="1:12" s="692" customFormat="1" ht="16.5" hidden="1">
      <c r="A4219" s="1665"/>
      <c r="B4219" s="1666"/>
      <c r="C4219" s="688"/>
      <c r="D4219" s="1667"/>
      <c r="E4219" s="1671">
        <v>3.5</v>
      </c>
      <c r="F4219" s="1671">
        <v>4</v>
      </c>
      <c r="G4219" s="1674"/>
      <c r="H4219" s="1671">
        <f t="shared" si="693"/>
        <v>0</v>
      </c>
      <c r="I4219" s="688" t="s">
        <v>92</v>
      </c>
      <c r="J4219" s="1668"/>
      <c r="K4219" s="1668"/>
      <c r="L4219" s="1669"/>
    </row>
    <row r="4220" spans="1:12" s="692" customFormat="1" ht="16.5" hidden="1">
      <c r="A4220" s="1665"/>
      <c r="B4220" s="1666"/>
      <c r="C4220" s="688"/>
      <c r="D4220" s="1667"/>
      <c r="E4220" s="1671">
        <v>3.5</v>
      </c>
      <c r="F4220" s="1671">
        <v>4</v>
      </c>
      <c r="G4220" s="1674"/>
      <c r="H4220" s="1671">
        <f t="shared" si="693"/>
        <v>0</v>
      </c>
      <c r="I4220" s="688" t="s">
        <v>92</v>
      </c>
      <c r="J4220" s="1668"/>
      <c r="K4220" s="1668"/>
      <c r="L4220" s="1669"/>
    </row>
    <row r="4221" spans="1:12" s="692" customFormat="1" ht="16.5" hidden="1">
      <c r="A4221" s="1665"/>
      <c r="B4221" s="1666"/>
      <c r="C4221" s="688"/>
      <c r="D4221" s="1667"/>
      <c r="E4221" s="688"/>
      <c r="F4221" s="688"/>
      <c r="G4221" s="1674" t="s">
        <v>928</v>
      </c>
      <c r="H4221" s="1671">
        <f>SUM(H4215:H4220)</f>
        <v>0</v>
      </c>
      <c r="I4221" s="1668" t="s">
        <v>92</v>
      </c>
      <c r="J4221" s="1669">
        <f>'Lead &amp; ANALYSIS'!L824</f>
        <v>998.7</v>
      </c>
      <c r="K4221" s="1668" t="s">
        <v>1514</v>
      </c>
      <c r="L4221" s="1669">
        <f t="shared" ref="L4221" si="694">ROUND(H4221*J4221,0)</f>
        <v>0</v>
      </c>
    </row>
    <row r="4222" spans="1:12" s="692" customFormat="1" ht="16.5" hidden="1">
      <c r="A4222" s="1665" t="s">
        <v>443</v>
      </c>
      <c r="B4222" s="1666" t="s">
        <v>3636</v>
      </c>
      <c r="C4222" s="688"/>
      <c r="D4222" s="1667"/>
      <c r="E4222" s="688"/>
      <c r="F4222" s="688"/>
      <c r="G4222" s="1674"/>
      <c r="H4222" s="688"/>
      <c r="I4222" s="1668"/>
      <c r="J4222" s="1668"/>
      <c r="K4222" s="1668"/>
      <c r="L4222" s="1669"/>
    </row>
    <row r="4223" spans="1:12" s="692" customFormat="1" ht="16.5" hidden="1">
      <c r="A4223" s="1665"/>
      <c r="B4223" s="1666" t="str">
        <f>B4207</f>
        <v>Printed</v>
      </c>
      <c r="C4223" s="688"/>
      <c r="D4223" s="1667"/>
      <c r="E4223" s="1671">
        <v>3.5</v>
      </c>
      <c r="F4223" s="1671">
        <v>4</v>
      </c>
      <c r="G4223" s="1674"/>
      <c r="H4223" s="1671">
        <f t="shared" ref="H4223:H4228" si="695">ROUND(D4223*E4223*F4223,2)</f>
        <v>0</v>
      </c>
      <c r="I4223" s="688" t="s">
        <v>92</v>
      </c>
      <c r="J4223" s="1668"/>
      <c r="K4223" s="1668"/>
      <c r="L4223" s="1669"/>
    </row>
    <row r="4224" spans="1:12" s="692" customFormat="1" ht="16.5" hidden="1">
      <c r="A4224" s="1665"/>
      <c r="B4224" s="1666"/>
      <c r="C4224" s="688"/>
      <c r="D4224" s="1667"/>
      <c r="E4224" s="1671">
        <v>3.5</v>
      </c>
      <c r="F4224" s="1671">
        <v>4</v>
      </c>
      <c r="G4224" s="1674"/>
      <c r="H4224" s="1671">
        <f t="shared" si="695"/>
        <v>0</v>
      </c>
      <c r="I4224" s="688" t="s">
        <v>92</v>
      </c>
      <c r="J4224" s="1668"/>
      <c r="K4224" s="1668"/>
      <c r="L4224" s="1669"/>
    </row>
    <row r="4225" spans="1:12" s="692" customFormat="1" ht="16.5" hidden="1">
      <c r="A4225" s="1665"/>
      <c r="B4225" s="1666"/>
      <c r="C4225" s="688"/>
      <c r="D4225" s="1667"/>
      <c r="E4225" s="1671">
        <v>3.5</v>
      </c>
      <c r="F4225" s="1671">
        <v>4</v>
      </c>
      <c r="G4225" s="1674"/>
      <c r="H4225" s="1671">
        <f t="shared" si="695"/>
        <v>0</v>
      </c>
      <c r="I4225" s="688" t="s">
        <v>92</v>
      </c>
      <c r="J4225" s="1668"/>
      <c r="K4225" s="1668"/>
      <c r="L4225" s="1669"/>
    </row>
    <row r="4226" spans="1:12" s="692" customFormat="1" ht="16.5" hidden="1">
      <c r="A4226" s="1665"/>
      <c r="B4226" s="1666"/>
      <c r="C4226" s="688"/>
      <c r="D4226" s="1667"/>
      <c r="E4226" s="1671">
        <v>3.5</v>
      </c>
      <c r="F4226" s="1671">
        <v>4</v>
      </c>
      <c r="G4226" s="1674"/>
      <c r="H4226" s="1671">
        <f t="shared" si="695"/>
        <v>0</v>
      </c>
      <c r="I4226" s="688" t="s">
        <v>92</v>
      </c>
      <c r="J4226" s="1668"/>
      <c r="K4226" s="1668"/>
      <c r="L4226" s="1669"/>
    </row>
    <row r="4227" spans="1:12" s="692" customFormat="1" ht="16.5" hidden="1">
      <c r="A4227" s="1665"/>
      <c r="B4227" s="1666"/>
      <c r="C4227" s="688"/>
      <c r="D4227" s="1667"/>
      <c r="E4227" s="1671">
        <v>3.5</v>
      </c>
      <c r="F4227" s="1671">
        <v>4</v>
      </c>
      <c r="G4227" s="1674"/>
      <c r="H4227" s="1671">
        <f t="shared" si="695"/>
        <v>0</v>
      </c>
      <c r="I4227" s="688" t="s">
        <v>92</v>
      </c>
      <c r="J4227" s="1668"/>
      <c r="K4227" s="1668"/>
      <c r="L4227" s="1669"/>
    </row>
    <row r="4228" spans="1:12" s="692" customFormat="1" ht="16.5" hidden="1">
      <c r="A4228" s="1665"/>
      <c r="B4228" s="1666"/>
      <c r="C4228" s="688"/>
      <c r="D4228" s="1667"/>
      <c r="E4228" s="1671">
        <v>3.5</v>
      </c>
      <c r="F4228" s="1671">
        <v>4</v>
      </c>
      <c r="G4228" s="1674"/>
      <c r="H4228" s="1671">
        <f t="shared" si="695"/>
        <v>0</v>
      </c>
      <c r="I4228" s="688" t="s">
        <v>92</v>
      </c>
      <c r="J4228" s="1668"/>
      <c r="K4228" s="1668"/>
      <c r="L4228" s="1669"/>
    </row>
    <row r="4229" spans="1:12" s="692" customFormat="1" ht="16.5" hidden="1">
      <c r="A4229" s="1665"/>
      <c r="B4229" s="1666"/>
      <c r="C4229" s="688"/>
      <c r="D4229" s="1667"/>
      <c r="E4229" s="688"/>
      <c r="F4229" s="688"/>
      <c r="G4229" s="1674" t="s">
        <v>928</v>
      </c>
      <c r="H4229" s="1671">
        <f>SUM(H4223:H4228)</f>
        <v>0</v>
      </c>
      <c r="I4229" s="1668" t="s">
        <v>92</v>
      </c>
      <c r="J4229" s="1669">
        <f>'Lead &amp; ANALYSIS'!L825</f>
        <v>1053.4000000000001</v>
      </c>
      <c r="K4229" s="1668" t="s">
        <v>1514</v>
      </c>
      <c r="L4229" s="1669">
        <f t="shared" ref="L4229" si="696">ROUND(H4229*J4229,0)</f>
        <v>0</v>
      </c>
    </row>
    <row r="4230" spans="1:12" s="692" customFormat="1" ht="16.5" hidden="1">
      <c r="A4230" s="1665"/>
      <c r="B4230" s="1666" t="str">
        <f>B4214</f>
        <v>Plain</v>
      </c>
      <c r="C4230" s="688"/>
      <c r="D4230" s="1667"/>
      <c r="E4230" s="688"/>
      <c r="F4230" s="688"/>
      <c r="G4230" s="1674"/>
      <c r="H4230" s="688"/>
      <c r="I4230" s="1668"/>
      <c r="J4230" s="1668"/>
      <c r="K4230" s="1668"/>
      <c r="L4230" s="1669"/>
    </row>
    <row r="4231" spans="1:12" s="692" customFormat="1" ht="16.5" hidden="1">
      <c r="A4231" s="1665"/>
      <c r="B4231" s="1666"/>
      <c r="C4231" s="688"/>
      <c r="D4231" s="1667"/>
      <c r="E4231" s="1671">
        <v>3.5</v>
      </c>
      <c r="F4231" s="1671">
        <v>4</v>
      </c>
      <c r="G4231" s="1674"/>
      <c r="H4231" s="1671">
        <f t="shared" ref="H4231:H4236" si="697">ROUND(D4231*E4231*F4231,2)</f>
        <v>0</v>
      </c>
      <c r="I4231" s="688" t="s">
        <v>92</v>
      </c>
      <c r="J4231" s="1668"/>
      <c r="K4231" s="1668"/>
      <c r="L4231" s="1669"/>
    </row>
    <row r="4232" spans="1:12" s="692" customFormat="1" ht="16.5" hidden="1">
      <c r="A4232" s="1665"/>
      <c r="B4232" s="1666"/>
      <c r="C4232" s="688"/>
      <c r="D4232" s="1667"/>
      <c r="E4232" s="1671">
        <v>3.5</v>
      </c>
      <c r="F4232" s="1671">
        <v>4</v>
      </c>
      <c r="G4232" s="1674"/>
      <c r="H4232" s="1671">
        <f t="shared" si="697"/>
        <v>0</v>
      </c>
      <c r="I4232" s="688" t="s">
        <v>92</v>
      </c>
      <c r="J4232" s="1668"/>
      <c r="K4232" s="1668"/>
      <c r="L4232" s="1669"/>
    </row>
    <row r="4233" spans="1:12" s="692" customFormat="1" ht="16.5" hidden="1">
      <c r="A4233" s="1665"/>
      <c r="B4233" s="1666"/>
      <c r="C4233" s="688"/>
      <c r="D4233" s="1667"/>
      <c r="E4233" s="1671">
        <v>3.5</v>
      </c>
      <c r="F4233" s="1671">
        <v>4</v>
      </c>
      <c r="G4233" s="1674"/>
      <c r="H4233" s="1671">
        <f t="shared" si="697"/>
        <v>0</v>
      </c>
      <c r="I4233" s="688" t="s">
        <v>92</v>
      </c>
      <c r="J4233" s="1668"/>
      <c r="K4233" s="1668"/>
      <c r="L4233" s="1669"/>
    </row>
    <row r="4234" spans="1:12" s="692" customFormat="1" ht="16.5" hidden="1">
      <c r="A4234" s="1665"/>
      <c r="B4234" s="1666"/>
      <c r="C4234" s="688"/>
      <c r="D4234" s="1667"/>
      <c r="E4234" s="1671">
        <v>3.5</v>
      </c>
      <c r="F4234" s="1671">
        <v>4</v>
      </c>
      <c r="G4234" s="1674"/>
      <c r="H4234" s="1671">
        <f t="shared" si="697"/>
        <v>0</v>
      </c>
      <c r="I4234" s="688" t="s">
        <v>92</v>
      </c>
      <c r="J4234" s="1668"/>
      <c r="K4234" s="1668"/>
      <c r="L4234" s="1669"/>
    </row>
    <row r="4235" spans="1:12" s="692" customFormat="1" ht="16.5" hidden="1">
      <c r="A4235" s="1665"/>
      <c r="B4235" s="1666"/>
      <c r="C4235" s="688"/>
      <c r="D4235" s="1667"/>
      <c r="E4235" s="1671">
        <v>3.5</v>
      </c>
      <c r="F4235" s="1671">
        <v>4</v>
      </c>
      <c r="G4235" s="1674"/>
      <c r="H4235" s="1671">
        <f t="shared" si="697"/>
        <v>0</v>
      </c>
      <c r="I4235" s="688" t="s">
        <v>92</v>
      </c>
      <c r="J4235" s="1668"/>
      <c r="K4235" s="1668"/>
      <c r="L4235" s="1669"/>
    </row>
    <row r="4236" spans="1:12" s="692" customFormat="1" ht="16.5" hidden="1">
      <c r="A4236" s="1665"/>
      <c r="B4236" s="1666"/>
      <c r="C4236" s="688"/>
      <c r="D4236" s="1667"/>
      <c r="E4236" s="1671">
        <v>3.5</v>
      </c>
      <c r="F4236" s="1671">
        <v>4</v>
      </c>
      <c r="G4236" s="1674"/>
      <c r="H4236" s="1671">
        <f t="shared" si="697"/>
        <v>0</v>
      </c>
      <c r="I4236" s="688" t="s">
        <v>92</v>
      </c>
      <c r="J4236" s="1668"/>
      <c r="K4236" s="1668"/>
      <c r="L4236" s="1669"/>
    </row>
    <row r="4237" spans="1:12" s="692" customFormat="1" ht="16.5" hidden="1">
      <c r="A4237" s="1665"/>
      <c r="B4237" s="1666"/>
      <c r="C4237" s="688"/>
      <c r="D4237" s="1667"/>
      <c r="E4237" s="688"/>
      <c r="F4237" s="688"/>
      <c r="G4237" s="1674" t="s">
        <v>928</v>
      </c>
      <c r="H4237" s="1671">
        <f>SUM(H4231:H4236)</f>
        <v>0</v>
      </c>
      <c r="I4237" s="1668" t="s">
        <v>92</v>
      </c>
      <c r="J4237" s="1669">
        <f>'Lead &amp; ANALYSIS'!L826</f>
        <v>1008.7</v>
      </c>
      <c r="K4237" s="1668" t="s">
        <v>1514</v>
      </c>
      <c r="L4237" s="1669">
        <f t="shared" ref="L4237" si="698">ROUND(H4237*J4237,0)</f>
        <v>0</v>
      </c>
    </row>
    <row r="4238" spans="1:12" s="692" customFormat="1" ht="115.5" hidden="1">
      <c r="A4238" s="1665">
        <f>'Lead &amp; ANALYSIS'!A827</f>
        <v>77</v>
      </c>
      <c r="B4238" s="1666" t="str">
        <f>'Lead &amp; ANALYSIS'!B827</f>
        <v xml:space="preserve">Supplying, fitting, fixing of vertified tile in floors of size 600mm x 600mm of approved make conforming to IS-13755 laid on 20mm thick  bed of cement mortar (1:4) and filling joints with white cementt of approved quality including cost, conveyance and taxes of all materials, cost of all labour, T&amp;P etc. complete as per the direction of the Engineer-in-charge. </v>
      </c>
      <c r="C4238" s="688"/>
      <c r="D4238" s="1667"/>
      <c r="E4238" s="688"/>
      <c r="F4238" s="688"/>
      <c r="G4238" s="1674"/>
      <c r="H4238" s="688"/>
      <c r="I4238" s="1668"/>
      <c r="J4238" s="1668"/>
      <c r="K4238" s="1668"/>
      <c r="L4238" s="1669"/>
    </row>
    <row r="4239" spans="1:12" s="692" customFormat="1" ht="16.5" hidden="1">
      <c r="A4239" s="1665" t="s">
        <v>383</v>
      </c>
      <c r="B4239" s="1666" t="s">
        <v>384</v>
      </c>
      <c r="C4239" s="688"/>
      <c r="D4239" s="1667"/>
      <c r="E4239" s="688"/>
      <c r="F4239" s="688"/>
      <c r="G4239" s="1674"/>
      <c r="H4239" s="688"/>
      <c r="I4239" s="1668"/>
      <c r="J4239" s="1668"/>
      <c r="K4239" s="1668"/>
      <c r="L4239" s="1669"/>
    </row>
    <row r="4240" spans="1:12" s="692" customFormat="1" ht="16.5" hidden="1">
      <c r="A4240" s="1665"/>
      <c r="B4240" s="1666" t="str">
        <f>'Lead &amp; ANALYSIS'!C819</f>
        <v>Printed</v>
      </c>
      <c r="C4240" s="688"/>
      <c r="D4240" s="1667"/>
      <c r="E4240" s="1671">
        <v>3.5</v>
      </c>
      <c r="F4240" s="1671">
        <v>4</v>
      </c>
      <c r="G4240" s="1674"/>
      <c r="H4240" s="1671">
        <f t="shared" ref="H4240:H4245" si="699">ROUND(D4240*E4240*F4240,2)</f>
        <v>0</v>
      </c>
      <c r="I4240" s="688" t="s">
        <v>92</v>
      </c>
      <c r="J4240" s="1668"/>
      <c r="K4240" s="1668"/>
      <c r="L4240" s="1669"/>
    </row>
    <row r="4241" spans="1:12" s="692" customFormat="1" ht="16.5" hidden="1">
      <c r="A4241" s="1665"/>
      <c r="B4241" s="1666"/>
      <c r="C4241" s="688"/>
      <c r="D4241" s="1667"/>
      <c r="E4241" s="1671">
        <v>3.5</v>
      </c>
      <c r="F4241" s="1671">
        <v>4</v>
      </c>
      <c r="G4241" s="1674"/>
      <c r="H4241" s="1671">
        <f t="shared" si="699"/>
        <v>0</v>
      </c>
      <c r="I4241" s="688" t="s">
        <v>92</v>
      </c>
      <c r="J4241" s="1668"/>
      <c r="K4241" s="1668"/>
      <c r="L4241" s="1669"/>
    </row>
    <row r="4242" spans="1:12" s="692" customFormat="1" ht="16.5" hidden="1">
      <c r="A4242" s="1665"/>
      <c r="B4242" s="1666"/>
      <c r="C4242" s="688"/>
      <c r="D4242" s="1667"/>
      <c r="E4242" s="1671">
        <v>3.5</v>
      </c>
      <c r="F4242" s="1671">
        <v>4</v>
      </c>
      <c r="G4242" s="1674"/>
      <c r="H4242" s="1671">
        <f t="shared" si="699"/>
        <v>0</v>
      </c>
      <c r="I4242" s="688" t="s">
        <v>92</v>
      </c>
      <c r="J4242" s="1668"/>
      <c r="K4242" s="1668"/>
      <c r="L4242" s="1669"/>
    </row>
    <row r="4243" spans="1:12" s="692" customFormat="1" ht="16.5" hidden="1">
      <c r="A4243" s="1665"/>
      <c r="B4243" s="1666"/>
      <c r="C4243" s="688"/>
      <c r="D4243" s="1667"/>
      <c r="E4243" s="1671">
        <v>3.5</v>
      </c>
      <c r="F4243" s="1671">
        <v>4</v>
      </c>
      <c r="G4243" s="1674"/>
      <c r="H4243" s="1671">
        <f t="shared" si="699"/>
        <v>0</v>
      </c>
      <c r="I4243" s="688" t="s">
        <v>92</v>
      </c>
      <c r="J4243" s="1668"/>
      <c r="K4243" s="1668"/>
      <c r="L4243" s="1669"/>
    </row>
    <row r="4244" spans="1:12" s="692" customFormat="1" ht="16.5" hidden="1">
      <c r="A4244" s="1665"/>
      <c r="B4244" s="1666"/>
      <c r="C4244" s="688"/>
      <c r="D4244" s="1667"/>
      <c r="E4244" s="1671">
        <v>3.5</v>
      </c>
      <c r="F4244" s="1671">
        <v>4</v>
      </c>
      <c r="G4244" s="1674"/>
      <c r="H4244" s="1671">
        <f t="shared" si="699"/>
        <v>0</v>
      </c>
      <c r="I4244" s="688" t="s">
        <v>92</v>
      </c>
      <c r="J4244" s="1668"/>
      <c r="K4244" s="1668"/>
      <c r="L4244" s="1669"/>
    </row>
    <row r="4245" spans="1:12" s="692" customFormat="1" ht="16.5" hidden="1">
      <c r="A4245" s="1665"/>
      <c r="B4245" s="1666"/>
      <c r="C4245" s="688"/>
      <c r="D4245" s="1667"/>
      <c r="E4245" s="1671">
        <v>3.5</v>
      </c>
      <c r="F4245" s="1671">
        <v>4</v>
      </c>
      <c r="G4245" s="1674"/>
      <c r="H4245" s="1671">
        <f t="shared" si="699"/>
        <v>0</v>
      </c>
      <c r="I4245" s="688" t="s">
        <v>92</v>
      </c>
      <c r="J4245" s="1668"/>
      <c r="K4245" s="1668"/>
      <c r="L4245" s="1669"/>
    </row>
    <row r="4246" spans="1:12" s="692" customFormat="1" ht="16.5" hidden="1">
      <c r="A4246" s="1665"/>
      <c r="B4246" s="1666"/>
      <c r="C4246" s="688"/>
      <c r="D4246" s="1667"/>
      <c r="E4246" s="688"/>
      <c r="F4246" s="688"/>
      <c r="G4246" s="1674" t="s">
        <v>928</v>
      </c>
      <c r="H4246" s="1671">
        <f>SUM(H4240:H4245)</f>
        <v>0</v>
      </c>
      <c r="I4246" s="1668" t="s">
        <v>92</v>
      </c>
      <c r="J4246" s="1669">
        <f>'Lead &amp; ANALYSIS'!L828</f>
        <v>989.9</v>
      </c>
      <c r="K4246" s="1668" t="s">
        <v>1514</v>
      </c>
      <c r="L4246" s="1669">
        <f t="shared" ref="L4246" si="700">ROUND(H4246*J4246,0)</f>
        <v>0</v>
      </c>
    </row>
    <row r="4247" spans="1:12" s="692" customFormat="1" ht="16.5" hidden="1">
      <c r="A4247" s="1665"/>
      <c r="B4247" s="1666" t="str">
        <f>'Lead &amp; ANALYSIS'!C829</f>
        <v>Plain</v>
      </c>
      <c r="C4247" s="688"/>
      <c r="D4247" s="1667"/>
      <c r="E4247" s="688"/>
      <c r="F4247" s="688"/>
      <c r="G4247" s="1674"/>
      <c r="H4247" s="688"/>
      <c r="I4247" s="1668"/>
      <c r="J4247" s="1668"/>
      <c r="K4247" s="1668"/>
      <c r="L4247" s="1669"/>
    </row>
    <row r="4248" spans="1:12" s="692" customFormat="1" ht="16.5" hidden="1">
      <c r="A4248" s="1665"/>
      <c r="B4248" s="1666"/>
      <c r="C4248" s="688"/>
      <c r="D4248" s="1667"/>
      <c r="E4248" s="1671">
        <v>3.5</v>
      </c>
      <c r="F4248" s="1671">
        <v>4</v>
      </c>
      <c r="G4248" s="1674"/>
      <c r="H4248" s="1671">
        <f t="shared" ref="H4248:H4253" si="701">ROUND(D4248*E4248*F4248,2)</f>
        <v>0</v>
      </c>
      <c r="I4248" s="688" t="s">
        <v>92</v>
      </c>
      <c r="J4248" s="1668"/>
      <c r="K4248" s="1668"/>
      <c r="L4248" s="1669"/>
    </row>
    <row r="4249" spans="1:12" s="692" customFormat="1" ht="16.5" hidden="1">
      <c r="A4249" s="1665"/>
      <c r="B4249" s="1666"/>
      <c r="C4249" s="688"/>
      <c r="D4249" s="1667"/>
      <c r="E4249" s="1671">
        <v>3.5</v>
      </c>
      <c r="F4249" s="1671">
        <v>4</v>
      </c>
      <c r="G4249" s="1674"/>
      <c r="H4249" s="1671">
        <f t="shared" si="701"/>
        <v>0</v>
      </c>
      <c r="I4249" s="688" t="s">
        <v>92</v>
      </c>
      <c r="J4249" s="1668"/>
      <c r="K4249" s="1668"/>
      <c r="L4249" s="1669"/>
    </row>
    <row r="4250" spans="1:12" s="692" customFormat="1" ht="16.5" hidden="1">
      <c r="A4250" s="1665"/>
      <c r="B4250" s="1666"/>
      <c r="C4250" s="688"/>
      <c r="D4250" s="1667"/>
      <c r="E4250" s="1671">
        <v>3.5</v>
      </c>
      <c r="F4250" s="1671">
        <v>4</v>
      </c>
      <c r="G4250" s="1674"/>
      <c r="H4250" s="1671">
        <f t="shared" si="701"/>
        <v>0</v>
      </c>
      <c r="I4250" s="688" t="s">
        <v>92</v>
      </c>
      <c r="J4250" s="1668"/>
      <c r="K4250" s="1668"/>
      <c r="L4250" s="1669"/>
    </row>
    <row r="4251" spans="1:12" s="692" customFormat="1" ht="16.5" hidden="1">
      <c r="A4251" s="1665"/>
      <c r="B4251" s="1666"/>
      <c r="C4251" s="688"/>
      <c r="D4251" s="1667"/>
      <c r="E4251" s="1671">
        <v>3.5</v>
      </c>
      <c r="F4251" s="1671">
        <v>4</v>
      </c>
      <c r="G4251" s="1674"/>
      <c r="H4251" s="1671">
        <f t="shared" si="701"/>
        <v>0</v>
      </c>
      <c r="I4251" s="688" t="s">
        <v>92</v>
      </c>
      <c r="J4251" s="1668"/>
      <c r="K4251" s="1668"/>
      <c r="L4251" s="1669"/>
    </row>
    <row r="4252" spans="1:12" s="692" customFormat="1" ht="16.5" hidden="1">
      <c r="A4252" s="1665"/>
      <c r="B4252" s="1666"/>
      <c r="C4252" s="688"/>
      <c r="D4252" s="1667"/>
      <c r="E4252" s="1671">
        <v>3.5</v>
      </c>
      <c r="F4252" s="1671">
        <v>4</v>
      </c>
      <c r="G4252" s="1674"/>
      <c r="H4252" s="1671">
        <f t="shared" si="701"/>
        <v>0</v>
      </c>
      <c r="I4252" s="688" t="s">
        <v>92</v>
      </c>
      <c r="J4252" s="1668"/>
      <c r="K4252" s="1668"/>
      <c r="L4252" s="1669"/>
    </row>
    <row r="4253" spans="1:12" s="692" customFormat="1" ht="16.5" hidden="1">
      <c r="A4253" s="1665"/>
      <c r="B4253" s="1666"/>
      <c r="C4253" s="688"/>
      <c r="D4253" s="1667"/>
      <c r="E4253" s="1671">
        <v>3.5</v>
      </c>
      <c r="F4253" s="1671">
        <v>4</v>
      </c>
      <c r="G4253" s="1674"/>
      <c r="H4253" s="1671">
        <f t="shared" si="701"/>
        <v>0</v>
      </c>
      <c r="I4253" s="688" t="s">
        <v>92</v>
      </c>
      <c r="J4253" s="1668"/>
      <c r="K4253" s="1668"/>
      <c r="L4253" s="1669"/>
    </row>
    <row r="4254" spans="1:12" s="692" customFormat="1" ht="16.5" hidden="1">
      <c r="A4254" s="1665"/>
      <c r="B4254" s="1666"/>
      <c r="C4254" s="688"/>
      <c r="D4254" s="1667"/>
      <c r="E4254" s="688"/>
      <c r="F4254" s="688"/>
      <c r="G4254" s="1674" t="s">
        <v>928</v>
      </c>
      <c r="H4254" s="1671">
        <f>SUM(H4248:H4253)</f>
        <v>0</v>
      </c>
      <c r="I4254" s="1668" t="s">
        <v>92</v>
      </c>
      <c r="J4254" s="1669">
        <f>'Lead &amp; ANALYSIS'!L829</f>
        <v>945.2</v>
      </c>
      <c r="K4254" s="1668" t="s">
        <v>1514</v>
      </c>
      <c r="L4254" s="1669">
        <f t="shared" ref="L4254" si="702">ROUND(H4254*J4254,0)</f>
        <v>0</v>
      </c>
    </row>
    <row r="4255" spans="1:12" s="692" customFormat="1" ht="16.5" hidden="1">
      <c r="A4255" s="1665" t="s">
        <v>386</v>
      </c>
      <c r="B4255" s="1666" t="s">
        <v>387</v>
      </c>
      <c r="C4255" s="688"/>
      <c r="D4255" s="1667"/>
      <c r="E4255" s="688"/>
      <c r="F4255" s="688"/>
      <c r="G4255" s="1674"/>
      <c r="H4255" s="688"/>
      <c r="I4255" s="1668"/>
      <c r="J4255" s="1668"/>
      <c r="K4255" s="1668"/>
      <c r="L4255" s="1669"/>
    </row>
    <row r="4256" spans="1:12" s="692" customFormat="1" ht="16.5" hidden="1">
      <c r="A4256" s="1665"/>
      <c r="B4256" s="1666" t="str">
        <f>'Lead &amp; ANALYSIS'!C830</f>
        <v>Printed</v>
      </c>
      <c r="C4256" s="688"/>
      <c r="D4256" s="1667"/>
      <c r="E4256" s="688"/>
      <c r="F4256" s="688"/>
      <c r="G4256" s="1674"/>
      <c r="H4256" s="688"/>
      <c r="I4256" s="1668"/>
      <c r="J4256" s="1668"/>
      <c r="K4256" s="1668"/>
      <c r="L4256" s="1669"/>
    </row>
    <row r="4257" spans="1:12" s="692" customFormat="1" ht="16.5" hidden="1">
      <c r="A4257" s="1665"/>
      <c r="B4257" s="1666"/>
      <c r="C4257" s="688"/>
      <c r="D4257" s="1667"/>
      <c r="E4257" s="1671">
        <v>3.5</v>
      </c>
      <c r="F4257" s="1671">
        <v>4</v>
      </c>
      <c r="G4257" s="1674"/>
      <c r="H4257" s="1671">
        <f t="shared" ref="H4257:H4262" si="703">ROUND(D4257*E4257*F4257,2)</f>
        <v>0</v>
      </c>
      <c r="I4257" s="688" t="s">
        <v>92</v>
      </c>
      <c r="J4257" s="1668"/>
      <c r="K4257" s="1668"/>
      <c r="L4257" s="1669"/>
    </row>
    <row r="4258" spans="1:12" s="692" customFormat="1" ht="16.5" hidden="1">
      <c r="A4258" s="1665"/>
      <c r="B4258" s="1666"/>
      <c r="C4258" s="688"/>
      <c r="D4258" s="1667"/>
      <c r="E4258" s="1671">
        <v>3.5</v>
      </c>
      <c r="F4258" s="1671">
        <v>4</v>
      </c>
      <c r="G4258" s="1674"/>
      <c r="H4258" s="1671">
        <f t="shared" si="703"/>
        <v>0</v>
      </c>
      <c r="I4258" s="688" t="s">
        <v>92</v>
      </c>
      <c r="J4258" s="1668"/>
      <c r="K4258" s="1668"/>
      <c r="L4258" s="1669"/>
    </row>
    <row r="4259" spans="1:12" s="692" customFormat="1" ht="16.5" hidden="1">
      <c r="A4259" s="1665"/>
      <c r="B4259" s="1666"/>
      <c r="C4259" s="688"/>
      <c r="D4259" s="1667"/>
      <c r="E4259" s="1671">
        <v>3.5</v>
      </c>
      <c r="F4259" s="1671">
        <v>4</v>
      </c>
      <c r="G4259" s="1674"/>
      <c r="H4259" s="1671">
        <f t="shared" si="703"/>
        <v>0</v>
      </c>
      <c r="I4259" s="688" t="s">
        <v>92</v>
      </c>
      <c r="J4259" s="1668"/>
      <c r="K4259" s="1668"/>
      <c r="L4259" s="1669"/>
    </row>
    <row r="4260" spans="1:12" s="692" customFormat="1" ht="16.5" hidden="1">
      <c r="A4260" s="1665"/>
      <c r="B4260" s="1666"/>
      <c r="C4260" s="688"/>
      <c r="D4260" s="1667"/>
      <c r="E4260" s="1671">
        <v>3.5</v>
      </c>
      <c r="F4260" s="1671">
        <v>4</v>
      </c>
      <c r="G4260" s="1674"/>
      <c r="H4260" s="1671">
        <f t="shared" si="703"/>
        <v>0</v>
      </c>
      <c r="I4260" s="688" t="s">
        <v>92</v>
      </c>
      <c r="J4260" s="1668"/>
      <c r="K4260" s="1668"/>
      <c r="L4260" s="1669"/>
    </row>
    <row r="4261" spans="1:12" s="692" customFormat="1" ht="16.5" hidden="1">
      <c r="A4261" s="1665"/>
      <c r="B4261" s="1666"/>
      <c r="C4261" s="688"/>
      <c r="D4261" s="1667"/>
      <c r="E4261" s="1671">
        <v>3.5</v>
      </c>
      <c r="F4261" s="1671">
        <v>4</v>
      </c>
      <c r="G4261" s="1674"/>
      <c r="H4261" s="1671">
        <f t="shared" si="703"/>
        <v>0</v>
      </c>
      <c r="I4261" s="688" t="s">
        <v>92</v>
      </c>
      <c r="J4261" s="1668"/>
      <c r="K4261" s="1668"/>
      <c r="L4261" s="1669"/>
    </row>
    <row r="4262" spans="1:12" s="692" customFormat="1" ht="16.5" hidden="1">
      <c r="A4262" s="1665"/>
      <c r="B4262" s="1666"/>
      <c r="C4262" s="688"/>
      <c r="D4262" s="1667"/>
      <c r="E4262" s="1671">
        <v>3.5</v>
      </c>
      <c r="F4262" s="1671">
        <v>4</v>
      </c>
      <c r="G4262" s="1674"/>
      <c r="H4262" s="1671">
        <f t="shared" si="703"/>
        <v>0</v>
      </c>
      <c r="I4262" s="688" t="s">
        <v>92</v>
      </c>
      <c r="J4262" s="1668"/>
      <c r="K4262" s="1668"/>
      <c r="L4262" s="1669"/>
    </row>
    <row r="4263" spans="1:12" s="692" customFormat="1" ht="16.5" hidden="1">
      <c r="A4263" s="1665"/>
      <c r="B4263" s="1666"/>
      <c r="C4263" s="688"/>
      <c r="D4263" s="1667"/>
      <c r="E4263" s="688"/>
      <c r="F4263" s="688"/>
      <c r="G4263" s="1674" t="s">
        <v>928</v>
      </c>
      <c r="H4263" s="1671">
        <f>SUM(H4257:H4262)</f>
        <v>0</v>
      </c>
      <c r="I4263" s="1668" t="s">
        <v>92</v>
      </c>
      <c r="J4263" s="1669">
        <f>'Lead &amp; ANALYSIS'!L830</f>
        <v>998.9</v>
      </c>
      <c r="K4263" s="1668" t="s">
        <v>1514</v>
      </c>
      <c r="L4263" s="1669">
        <f t="shared" ref="L4263" si="704">ROUND(H4263*J4263,0)</f>
        <v>0</v>
      </c>
    </row>
    <row r="4264" spans="1:12" s="692" customFormat="1" ht="16.5" hidden="1">
      <c r="A4264" s="1665"/>
      <c r="B4264" s="1666" t="str">
        <f>'Lead &amp; ANALYSIS'!C831</f>
        <v>Plain</v>
      </c>
      <c r="C4264" s="688"/>
      <c r="D4264" s="1667"/>
      <c r="E4264" s="688"/>
      <c r="F4264" s="688"/>
      <c r="G4264" s="1674"/>
      <c r="H4264" s="688"/>
      <c r="I4264" s="1668"/>
      <c r="J4264" s="1668"/>
      <c r="K4264" s="1668"/>
      <c r="L4264" s="1669"/>
    </row>
    <row r="4265" spans="1:12" s="692" customFormat="1" ht="16.5" hidden="1">
      <c r="A4265" s="1665"/>
      <c r="B4265" s="1666"/>
      <c r="C4265" s="688"/>
      <c r="D4265" s="1667"/>
      <c r="E4265" s="1671">
        <v>3.5</v>
      </c>
      <c r="F4265" s="1671">
        <v>4</v>
      </c>
      <c r="G4265" s="1674"/>
      <c r="H4265" s="1671">
        <f t="shared" ref="H4265:H4270" si="705">ROUND(D4265*E4265*F4265,2)</f>
        <v>0</v>
      </c>
      <c r="I4265" s="688" t="s">
        <v>92</v>
      </c>
      <c r="J4265" s="1668"/>
      <c r="K4265" s="1668"/>
      <c r="L4265" s="1669"/>
    </row>
    <row r="4266" spans="1:12" s="692" customFormat="1" ht="16.5" hidden="1">
      <c r="A4266" s="1665"/>
      <c r="B4266" s="1666"/>
      <c r="C4266" s="688"/>
      <c r="D4266" s="1667"/>
      <c r="E4266" s="1671">
        <v>3.5</v>
      </c>
      <c r="F4266" s="1671">
        <v>4</v>
      </c>
      <c r="G4266" s="1674"/>
      <c r="H4266" s="1671">
        <f t="shared" si="705"/>
        <v>0</v>
      </c>
      <c r="I4266" s="688" t="s">
        <v>92</v>
      </c>
      <c r="J4266" s="1668"/>
      <c r="K4266" s="1668"/>
      <c r="L4266" s="1669"/>
    </row>
    <row r="4267" spans="1:12" s="692" customFormat="1" ht="16.5" hidden="1">
      <c r="A4267" s="1665"/>
      <c r="B4267" s="1666"/>
      <c r="C4267" s="688"/>
      <c r="D4267" s="1667"/>
      <c r="E4267" s="1671">
        <v>3.5</v>
      </c>
      <c r="F4267" s="1671">
        <v>4</v>
      </c>
      <c r="G4267" s="1674"/>
      <c r="H4267" s="1671">
        <f t="shared" si="705"/>
        <v>0</v>
      </c>
      <c r="I4267" s="688" t="s">
        <v>92</v>
      </c>
      <c r="J4267" s="1668"/>
      <c r="K4267" s="1668"/>
      <c r="L4267" s="1669"/>
    </row>
    <row r="4268" spans="1:12" s="692" customFormat="1" ht="16.5" hidden="1">
      <c r="A4268" s="1665"/>
      <c r="B4268" s="1666"/>
      <c r="C4268" s="688"/>
      <c r="D4268" s="1667"/>
      <c r="E4268" s="1671">
        <v>3.5</v>
      </c>
      <c r="F4268" s="1671">
        <v>4</v>
      </c>
      <c r="G4268" s="1674"/>
      <c r="H4268" s="1671">
        <f t="shared" si="705"/>
        <v>0</v>
      </c>
      <c r="I4268" s="688" t="s">
        <v>92</v>
      </c>
      <c r="J4268" s="1668"/>
      <c r="K4268" s="1668"/>
      <c r="L4268" s="1669"/>
    </row>
    <row r="4269" spans="1:12" s="692" customFormat="1" ht="16.5" hidden="1">
      <c r="A4269" s="1665"/>
      <c r="B4269" s="1666"/>
      <c r="C4269" s="688"/>
      <c r="D4269" s="1667"/>
      <c r="E4269" s="1671">
        <v>3.5</v>
      </c>
      <c r="F4269" s="1671">
        <v>4</v>
      </c>
      <c r="G4269" s="1674"/>
      <c r="H4269" s="1671">
        <f t="shared" si="705"/>
        <v>0</v>
      </c>
      <c r="I4269" s="688" t="s">
        <v>92</v>
      </c>
      <c r="J4269" s="1668"/>
      <c r="K4269" s="1668"/>
      <c r="L4269" s="1669"/>
    </row>
    <row r="4270" spans="1:12" s="692" customFormat="1" ht="16.5" hidden="1">
      <c r="A4270" s="1665"/>
      <c r="B4270" s="1666"/>
      <c r="C4270" s="688"/>
      <c r="D4270" s="1667"/>
      <c r="E4270" s="1671">
        <v>3.5</v>
      </c>
      <c r="F4270" s="1671">
        <v>4</v>
      </c>
      <c r="G4270" s="1674"/>
      <c r="H4270" s="1671">
        <f t="shared" si="705"/>
        <v>0</v>
      </c>
      <c r="I4270" s="688" t="s">
        <v>92</v>
      </c>
      <c r="J4270" s="1668"/>
      <c r="K4270" s="1668"/>
      <c r="L4270" s="1669"/>
    </row>
    <row r="4271" spans="1:12" s="692" customFormat="1" ht="16.5" hidden="1">
      <c r="A4271" s="1665"/>
      <c r="B4271" s="1666"/>
      <c r="C4271" s="688"/>
      <c r="D4271" s="1667"/>
      <c r="E4271" s="688"/>
      <c r="F4271" s="688"/>
      <c r="G4271" s="1674" t="s">
        <v>928</v>
      </c>
      <c r="H4271" s="1671">
        <f>SUM(H4265:H4270)</f>
        <v>0</v>
      </c>
      <c r="I4271" s="1668" t="s">
        <v>92</v>
      </c>
      <c r="J4271" s="1669">
        <f>'Lead &amp; ANALYSIS'!L831</f>
        <v>954.3</v>
      </c>
      <c r="K4271" s="1668" t="s">
        <v>1514</v>
      </c>
      <c r="L4271" s="1669">
        <f t="shared" ref="L4271" si="706">ROUND(H4271*J4271,0)</f>
        <v>0</v>
      </c>
    </row>
    <row r="4272" spans="1:12" s="692" customFormat="1" ht="16.5" hidden="1">
      <c r="A4272" s="1665" t="s">
        <v>432</v>
      </c>
      <c r="B4272" s="1666" t="s">
        <v>3622</v>
      </c>
      <c r="C4272" s="688"/>
      <c r="D4272" s="1667"/>
      <c r="E4272" s="688"/>
      <c r="F4272" s="688"/>
      <c r="G4272" s="1674"/>
      <c r="H4272" s="688"/>
      <c r="I4272" s="1668"/>
      <c r="J4272" s="1668"/>
      <c r="K4272" s="1668"/>
      <c r="L4272" s="1669"/>
    </row>
    <row r="4273" spans="1:12" s="692" customFormat="1" ht="16.5" hidden="1">
      <c r="A4273" s="1665"/>
      <c r="B4273" s="1666" t="str">
        <f>B4256</f>
        <v>Printed</v>
      </c>
      <c r="C4273" s="688"/>
      <c r="D4273" s="1667"/>
      <c r="E4273" s="1671">
        <v>3.5</v>
      </c>
      <c r="F4273" s="1671">
        <v>4</v>
      </c>
      <c r="G4273" s="1674"/>
      <c r="H4273" s="1671">
        <f t="shared" ref="H4273:H4278" si="707">ROUND(D4273*E4273*F4273,2)</f>
        <v>0</v>
      </c>
      <c r="I4273" s="688" t="s">
        <v>92</v>
      </c>
      <c r="J4273" s="1668"/>
      <c r="K4273" s="1668"/>
      <c r="L4273" s="1669"/>
    </row>
    <row r="4274" spans="1:12" s="692" customFormat="1" ht="16.5" hidden="1">
      <c r="A4274" s="1665"/>
      <c r="B4274" s="1666"/>
      <c r="C4274" s="688"/>
      <c r="D4274" s="1667"/>
      <c r="E4274" s="1671">
        <v>3.5</v>
      </c>
      <c r="F4274" s="1671">
        <v>4</v>
      </c>
      <c r="G4274" s="1674"/>
      <c r="H4274" s="1671">
        <f t="shared" si="707"/>
        <v>0</v>
      </c>
      <c r="I4274" s="688" t="s">
        <v>92</v>
      </c>
      <c r="J4274" s="1668"/>
      <c r="K4274" s="1668"/>
      <c r="L4274" s="1669"/>
    </row>
    <row r="4275" spans="1:12" s="692" customFormat="1" ht="16.5" hidden="1">
      <c r="A4275" s="1665"/>
      <c r="B4275" s="1666"/>
      <c r="C4275" s="688"/>
      <c r="D4275" s="1667"/>
      <c r="E4275" s="1671">
        <v>3.5</v>
      </c>
      <c r="F4275" s="1671">
        <v>4</v>
      </c>
      <c r="G4275" s="1674"/>
      <c r="H4275" s="1671">
        <f t="shared" si="707"/>
        <v>0</v>
      </c>
      <c r="I4275" s="688" t="s">
        <v>92</v>
      </c>
      <c r="J4275" s="1668"/>
      <c r="K4275" s="1668"/>
      <c r="L4275" s="1669"/>
    </row>
    <row r="4276" spans="1:12" s="692" customFormat="1" ht="16.5" hidden="1">
      <c r="A4276" s="1665"/>
      <c r="B4276" s="1666"/>
      <c r="C4276" s="688"/>
      <c r="D4276" s="1667"/>
      <c r="E4276" s="1671">
        <v>3.5</v>
      </c>
      <c r="F4276" s="1671">
        <v>4</v>
      </c>
      <c r="G4276" s="1674"/>
      <c r="H4276" s="1671">
        <f t="shared" si="707"/>
        <v>0</v>
      </c>
      <c r="I4276" s="688" t="s">
        <v>92</v>
      </c>
      <c r="J4276" s="1668"/>
      <c r="K4276" s="1668"/>
      <c r="L4276" s="1669"/>
    </row>
    <row r="4277" spans="1:12" s="692" customFormat="1" ht="16.5" hidden="1">
      <c r="A4277" s="1665"/>
      <c r="B4277" s="1666"/>
      <c r="C4277" s="688"/>
      <c r="D4277" s="1667"/>
      <c r="E4277" s="1671">
        <v>3.5</v>
      </c>
      <c r="F4277" s="1671">
        <v>4</v>
      </c>
      <c r="G4277" s="1674"/>
      <c r="H4277" s="1671">
        <f t="shared" si="707"/>
        <v>0</v>
      </c>
      <c r="I4277" s="688" t="s">
        <v>92</v>
      </c>
      <c r="J4277" s="1668"/>
      <c r="K4277" s="1668"/>
      <c r="L4277" s="1669"/>
    </row>
    <row r="4278" spans="1:12" s="692" customFormat="1" ht="16.5" hidden="1">
      <c r="A4278" s="1665"/>
      <c r="B4278" s="1666"/>
      <c r="C4278" s="688"/>
      <c r="D4278" s="1667"/>
      <c r="E4278" s="1671">
        <v>3.5</v>
      </c>
      <c r="F4278" s="1671">
        <v>4</v>
      </c>
      <c r="G4278" s="1674"/>
      <c r="H4278" s="1671">
        <f t="shared" si="707"/>
        <v>0</v>
      </c>
      <c r="I4278" s="688" t="s">
        <v>92</v>
      </c>
      <c r="J4278" s="1668"/>
      <c r="K4278" s="1668"/>
      <c r="L4278" s="1669"/>
    </row>
    <row r="4279" spans="1:12" s="692" customFormat="1" ht="16.5" hidden="1">
      <c r="A4279" s="1665"/>
      <c r="B4279" s="1666"/>
      <c r="C4279" s="688"/>
      <c r="D4279" s="1667"/>
      <c r="E4279" s="688"/>
      <c r="F4279" s="688"/>
      <c r="G4279" s="1674" t="s">
        <v>928</v>
      </c>
      <c r="H4279" s="1671">
        <f>SUM(H4273:H4278)</f>
        <v>0</v>
      </c>
      <c r="I4279" s="1668" t="s">
        <v>92</v>
      </c>
      <c r="J4279" s="1669">
        <f>'Lead &amp; ANALYSIS'!L832</f>
        <v>1008.5</v>
      </c>
      <c r="K4279" s="1668" t="s">
        <v>1514</v>
      </c>
      <c r="L4279" s="1669">
        <f t="shared" ref="L4279" si="708">ROUND(H4279*J4279,0)</f>
        <v>0</v>
      </c>
    </row>
    <row r="4280" spans="1:12" s="692" customFormat="1" ht="16.5" hidden="1">
      <c r="A4280" s="1665"/>
      <c r="B4280" s="1666" t="str">
        <f>B4264</f>
        <v>Plain</v>
      </c>
      <c r="C4280" s="688"/>
      <c r="D4280" s="1667"/>
      <c r="E4280" s="688"/>
      <c r="F4280" s="688"/>
      <c r="G4280" s="1674"/>
      <c r="H4280" s="688"/>
      <c r="I4280" s="1668"/>
      <c r="J4280" s="1668"/>
      <c r="K4280" s="1668"/>
      <c r="L4280" s="1669"/>
    </row>
    <row r="4281" spans="1:12" s="692" customFormat="1" ht="16.5" hidden="1">
      <c r="A4281" s="1665"/>
      <c r="B4281" s="1666"/>
      <c r="C4281" s="688"/>
      <c r="D4281" s="1667"/>
      <c r="E4281" s="1671">
        <v>3.5</v>
      </c>
      <c r="F4281" s="1671">
        <v>4</v>
      </c>
      <c r="G4281" s="1674"/>
      <c r="H4281" s="1671">
        <f t="shared" ref="H4281:H4286" si="709">ROUND(D4281*E4281*F4281,2)</f>
        <v>0</v>
      </c>
      <c r="I4281" s="688" t="s">
        <v>92</v>
      </c>
      <c r="J4281" s="1668"/>
      <c r="K4281" s="1668"/>
      <c r="L4281" s="1669"/>
    </row>
    <row r="4282" spans="1:12" s="692" customFormat="1" ht="16.5" hidden="1">
      <c r="A4282" s="1665"/>
      <c r="B4282" s="1666"/>
      <c r="C4282" s="688"/>
      <c r="D4282" s="1667"/>
      <c r="E4282" s="1671">
        <v>3.5</v>
      </c>
      <c r="F4282" s="1671">
        <v>4</v>
      </c>
      <c r="G4282" s="1674"/>
      <c r="H4282" s="1671">
        <f t="shared" si="709"/>
        <v>0</v>
      </c>
      <c r="I4282" s="688" t="s">
        <v>92</v>
      </c>
      <c r="J4282" s="1668"/>
      <c r="K4282" s="1668"/>
      <c r="L4282" s="1669"/>
    </row>
    <row r="4283" spans="1:12" s="692" customFormat="1" ht="16.5" hidden="1">
      <c r="A4283" s="1665"/>
      <c r="B4283" s="1666"/>
      <c r="C4283" s="688"/>
      <c r="D4283" s="1667"/>
      <c r="E4283" s="1671">
        <v>3.5</v>
      </c>
      <c r="F4283" s="1671">
        <v>4</v>
      </c>
      <c r="G4283" s="1674"/>
      <c r="H4283" s="1671">
        <f t="shared" si="709"/>
        <v>0</v>
      </c>
      <c r="I4283" s="688" t="s">
        <v>92</v>
      </c>
      <c r="J4283" s="1668"/>
      <c r="K4283" s="1668"/>
      <c r="L4283" s="1669"/>
    </row>
    <row r="4284" spans="1:12" s="692" customFormat="1" ht="16.5" hidden="1">
      <c r="A4284" s="1665"/>
      <c r="B4284" s="1666"/>
      <c r="C4284" s="688"/>
      <c r="D4284" s="1667"/>
      <c r="E4284" s="1671">
        <v>3.5</v>
      </c>
      <c r="F4284" s="1671">
        <v>4</v>
      </c>
      <c r="G4284" s="1674"/>
      <c r="H4284" s="1671">
        <f t="shared" si="709"/>
        <v>0</v>
      </c>
      <c r="I4284" s="688" t="s">
        <v>92</v>
      </c>
      <c r="J4284" s="1668"/>
      <c r="K4284" s="1668"/>
      <c r="L4284" s="1669"/>
    </row>
    <row r="4285" spans="1:12" s="692" customFormat="1" ht="16.5" hidden="1">
      <c r="A4285" s="1665"/>
      <c r="B4285" s="1666"/>
      <c r="C4285" s="688"/>
      <c r="D4285" s="1667"/>
      <c r="E4285" s="1671">
        <v>3.5</v>
      </c>
      <c r="F4285" s="1671">
        <v>4</v>
      </c>
      <c r="G4285" s="1674"/>
      <c r="H4285" s="1671">
        <f t="shared" si="709"/>
        <v>0</v>
      </c>
      <c r="I4285" s="688" t="s">
        <v>92</v>
      </c>
      <c r="J4285" s="1668"/>
      <c r="K4285" s="1668"/>
      <c r="L4285" s="1669"/>
    </row>
    <row r="4286" spans="1:12" s="692" customFormat="1" ht="16.5" hidden="1">
      <c r="A4286" s="1665"/>
      <c r="B4286" s="1666"/>
      <c r="C4286" s="688"/>
      <c r="D4286" s="1667"/>
      <c r="E4286" s="1671">
        <v>3.5</v>
      </c>
      <c r="F4286" s="1671">
        <v>4</v>
      </c>
      <c r="G4286" s="1674"/>
      <c r="H4286" s="1671">
        <f t="shared" si="709"/>
        <v>0</v>
      </c>
      <c r="I4286" s="688" t="s">
        <v>92</v>
      </c>
      <c r="J4286" s="1668"/>
      <c r="K4286" s="1668"/>
      <c r="L4286" s="1669"/>
    </row>
    <row r="4287" spans="1:12" s="692" customFormat="1" ht="16.5" hidden="1">
      <c r="A4287" s="1665"/>
      <c r="B4287" s="1666"/>
      <c r="C4287" s="688"/>
      <c r="D4287" s="1667"/>
      <c r="E4287" s="688"/>
      <c r="F4287" s="688"/>
      <c r="G4287" s="1674" t="s">
        <v>928</v>
      </c>
      <c r="H4287" s="1671">
        <f>SUM(H4281:H4286)</f>
        <v>0</v>
      </c>
      <c r="I4287" s="1668" t="s">
        <v>92</v>
      </c>
      <c r="J4287" s="1669">
        <f>'Lead &amp; ANALYSIS'!L833</f>
        <v>963.8</v>
      </c>
      <c r="K4287" s="1668" t="s">
        <v>1514</v>
      </c>
      <c r="L4287" s="1669">
        <f t="shared" ref="L4287" si="710">ROUND(H4287*J4287,0)</f>
        <v>0</v>
      </c>
    </row>
    <row r="4288" spans="1:12" s="692" customFormat="1" ht="16.5" hidden="1">
      <c r="A4288" s="1665" t="s">
        <v>443</v>
      </c>
      <c r="B4288" s="1666" t="s">
        <v>3636</v>
      </c>
      <c r="C4288" s="688"/>
      <c r="D4288" s="1667"/>
      <c r="E4288" s="688"/>
      <c r="F4288" s="688"/>
      <c r="G4288" s="1674"/>
      <c r="H4288" s="688"/>
      <c r="I4288" s="1668"/>
      <c r="J4288" s="1668"/>
      <c r="K4288" s="1668"/>
      <c r="L4288" s="1669"/>
    </row>
    <row r="4289" spans="1:12" s="692" customFormat="1" ht="16.5" hidden="1">
      <c r="A4289" s="1665"/>
      <c r="B4289" s="1666" t="str">
        <f>B4273</f>
        <v>Printed</v>
      </c>
      <c r="C4289" s="688"/>
      <c r="D4289" s="1667"/>
      <c r="E4289" s="1671">
        <v>3.5</v>
      </c>
      <c r="F4289" s="1671">
        <v>4</v>
      </c>
      <c r="G4289" s="1674"/>
      <c r="H4289" s="1671">
        <f t="shared" ref="H4289:H4294" si="711">ROUND(D4289*E4289*F4289,2)</f>
        <v>0</v>
      </c>
      <c r="I4289" s="688" t="s">
        <v>92</v>
      </c>
      <c r="J4289" s="1668"/>
      <c r="K4289" s="1668"/>
      <c r="L4289" s="1669"/>
    </row>
    <row r="4290" spans="1:12" s="692" customFormat="1" ht="16.5" hidden="1">
      <c r="A4290" s="1665"/>
      <c r="B4290" s="1666"/>
      <c r="C4290" s="688"/>
      <c r="D4290" s="1667"/>
      <c r="E4290" s="1671">
        <v>3.5</v>
      </c>
      <c r="F4290" s="1671">
        <v>4</v>
      </c>
      <c r="G4290" s="1674"/>
      <c r="H4290" s="1671">
        <f t="shared" si="711"/>
        <v>0</v>
      </c>
      <c r="I4290" s="688" t="s">
        <v>92</v>
      </c>
      <c r="J4290" s="1668"/>
      <c r="K4290" s="1668"/>
      <c r="L4290" s="1669"/>
    </row>
    <row r="4291" spans="1:12" s="692" customFormat="1" ht="16.5" hidden="1">
      <c r="A4291" s="1665"/>
      <c r="B4291" s="1666"/>
      <c r="C4291" s="688"/>
      <c r="D4291" s="1667"/>
      <c r="E4291" s="1671">
        <v>3.5</v>
      </c>
      <c r="F4291" s="1671">
        <v>4</v>
      </c>
      <c r="G4291" s="1674"/>
      <c r="H4291" s="1671">
        <f t="shared" si="711"/>
        <v>0</v>
      </c>
      <c r="I4291" s="688" t="s">
        <v>92</v>
      </c>
      <c r="J4291" s="1668"/>
      <c r="K4291" s="1668"/>
      <c r="L4291" s="1669"/>
    </row>
    <row r="4292" spans="1:12" s="692" customFormat="1" ht="16.5" hidden="1">
      <c r="A4292" s="1665"/>
      <c r="B4292" s="1666"/>
      <c r="C4292" s="688"/>
      <c r="D4292" s="1667"/>
      <c r="E4292" s="1671">
        <v>3.5</v>
      </c>
      <c r="F4292" s="1671">
        <v>4</v>
      </c>
      <c r="G4292" s="1674"/>
      <c r="H4292" s="1671">
        <f t="shared" si="711"/>
        <v>0</v>
      </c>
      <c r="I4292" s="688" t="s">
        <v>92</v>
      </c>
      <c r="J4292" s="1668"/>
      <c r="K4292" s="1668"/>
      <c r="L4292" s="1669"/>
    </row>
    <row r="4293" spans="1:12" s="692" customFormat="1" ht="16.5" hidden="1">
      <c r="A4293" s="1665"/>
      <c r="B4293" s="1666"/>
      <c r="C4293" s="688"/>
      <c r="D4293" s="1667"/>
      <c r="E4293" s="1671">
        <v>3.5</v>
      </c>
      <c r="F4293" s="1671">
        <v>4</v>
      </c>
      <c r="G4293" s="1674"/>
      <c r="H4293" s="1671">
        <f t="shared" si="711"/>
        <v>0</v>
      </c>
      <c r="I4293" s="688" t="s">
        <v>92</v>
      </c>
      <c r="J4293" s="1668"/>
      <c r="K4293" s="1668"/>
      <c r="L4293" s="1669"/>
    </row>
    <row r="4294" spans="1:12" s="692" customFormat="1" ht="16.5" hidden="1">
      <c r="A4294" s="1665"/>
      <c r="B4294" s="1666"/>
      <c r="C4294" s="688"/>
      <c r="D4294" s="1667"/>
      <c r="E4294" s="1671">
        <v>3.5</v>
      </c>
      <c r="F4294" s="1671">
        <v>4</v>
      </c>
      <c r="G4294" s="1674"/>
      <c r="H4294" s="1671">
        <f t="shared" si="711"/>
        <v>0</v>
      </c>
      <c r="I4294" s="688" t="s">
        <v>92</v>
      </c>
      <c r="J4294" s="1668"/>
      <c r="K4294" s="1668"/>
      <c r="L4294" s="1669"/>
    </row>
    <row r="4295" spans="1:12" s="692" customFormat="1" ht="16.5" hidden="1">
      <c r="A4295" s="1665"/>
      <c r="B4295" s="1666"/>
      <c r="C4295" s="688"/>
      <c r="D4295" s="1667"/>
      <c r="E4295" s="688"/>
      <c r="F4295" s="688"/>
      <c r="G4295" s="1674" t="s">
        <v>928</v>
      </c>
      <c r="H4295" s="1671">
        <f>SUM(H4289:H4294)</f>
        <v>0</v>
      </c>
      <c r="I4295" s="1668" t="s">
        <v>92</v>
      </c>
      <c r="J4295" s="1669">
        <f>'Lead &amp; ANALYSIS'!L834</f>
        <v>1018.5</v>
      </c>
      <c r="K4295" s="1668" t="s">
        <v>1514</v>
      </c>
      <c r="L4295" s="1669">
        <f t="shared" ref="L4295" si="712">ROUND(H4295*J4295,0)</f>
        <v>0</v>
      </c>
    </row>
    <row r="4296" spans="1:12" s="692" customFormat="1" ht="16.5" hidden="1">
      <c r="A4296" s="1665"/>
      <c r="B4296" s="1666" t="str">
        <f>B4280</f>
        <v>Plain</v>
      </c>
      <c r="C4296" s="688"/>
      <c r="D4296" s="1667"/>
      <c r="E4296" s="688"/>
      <c r="F4296" s="688"/>
      <c r="G4296" s="1674"/>
      <c r="H4296" s="688"/>
      <c r="I4296" s="1668"/>
      <c r="J4296" s="1668"/>
      <c r="K4296" s="1668"/>
      <c r="L4296" s="1669"/>
    </row>
    <row r="4297" spans="1:12" s="692" customFormat="1" ht="16.5" hidden="1">
      <c r="A4297" s="1665"/>
      <c r="B4297" s="1666"/>
      <c r="C4297" s="688"/>
      <c r="D4297" s="1667"/>
      <c r="E4297" s="1671">
        <v>3.5</v>
      </c>
      <c r="F4297" s="1671">
        <v>4</v>
      </c>
      <c r="G4297" s="1674"/>
      <c r="H4297" s="1671">
        <f t="shared" ref="H4297:H4302" si="713">ROUND(D4297*E4297*F4297,2)</f>
        <v>0</v>
      </c>
      <c r="I4297" s="688" t="s">
        <v>92</v>
      </c>
      <c r="J4297" s="1668"/>
      <c r="K4297" s="1668"/>
      <c r="L4297" s="1669"/>
    </row>
    <row r="4298" spans="1:12" s="692" customFormat="1" ht="16.5" hidden="1">
      <c r="A4298" s="1665"/>
      <c r="B4298" s="1666"/>
      <c r="C4298" s="688"/>
      <c r="D4298" s="1667"/>
      <c r="E4298" s="1671">
        <v>3.5</v>
      </c>
      <c r="F4298" s="1671">
        <v>4</v>
      </c>
      <c r="G4298" s="1674"/>
      <c r="H4298" s="1671">
        <f t="shared" si="713"/>
        <v>0</v>
      </c>
      <c r="I4298" s="688" t="s">
        <v>92</v>
      </c>
      <c r="J4298" s="1668"/>
      <c r="K4298" s="1668"/>
      <c r="L4298" s="1669"/>
    </row>
    <row r="4299" spans="1:12" s="692" customFormat="1" ht="16.5" hidden="1">
      <c r="A4299" s="1665"/>
      <c r="B4299" s="1666"/>
      <c r="C4299" s="688"/>
      <c r="D4299" s="1667"/>
      <c r="E4299" s="1671">
        <v>3.5</v>
      </c>
      <c r="F4299" s="1671">
        <v>4</v>
      </c>
      <c r="G4299" s="1674"/>
      <c r="H4299" s="1671">
        <f t="shared" si="713"/>
        <v>0</v>
      </c>
      <c r="I4299" s="688" t="s">
        <v>92</v>
      </c>
      <c r="J4299" s="1668"/>
      <c r="K4299" s="1668"/>
      <c r="L4299" s="1669"/>
    </row>
    <row r="4300" spans="1:12" s="692" customFormat="1" ht="16.5" hidden="1">
      <c r="A4300" s="1665"/>
      <c r="B4300" s="1666"/>
      <c r="C4300" s="688"/>
      <c r="D4300" s="1667"/>
      <c r="E4300" s="1671">
        <v>3.5</v>
      </c>
      <c r="F4300" s="1671">
        <v>4</v>
      </c>
      <c r="G4300" s="1674"/>
      <c r="H4300" s="1671">
        <f t="shared" si="713"/>
        <v>0</v>
      </c>
      <c r="I4300" s="688" t="s">
        <v>92</v>
      </c>
      <c r="J4300" s="1668"/>
      <c r="K4300" s="1668"/>
      <c r="L4300" s="1669"/>
    </row>
    <row r="4301" spans="1:12" s="692" customFormat="1" ht="16.5" hidden="1">
      <c r="A4301" s="1665"/>
      <c r="B4301" s="1666"/>
      <c r="C4301" s="688"/>
      <c r="D4301" s="1667"/>
      <c r="E4301" s="1671">
        <v>3.5</v>
      </c>
      <c r="F4301" s="1671">
        <v>4</v>
      </c>
      <c r="G4301" s="1674"/>
      <c r="H4301" s="1671">
        <f t="shared" si="713"/>
        <v>0</v>
      </c>
      <c r="I4301" s="688" t="s">
        <v>92</v>
      </c>
      <c r="J4301" s="1668"/>
      <c r="K4301" s="1668"/>
      <c r="L4301" s="1669"/>
    </row>
    <row r="4302" spans="1:12" s="692" customFormat="1" ht="16.5" hidden="1">
      <c r="A4302" s="1665"/>
      <c r="B4302" s="1666"/>
      <c r="C4302" s="688"/>
      <c r="D4302" s="1667"/>
      <c r="E4302" s="1671">
        <v>3.5</v>
      </c>
      <c r="F4302" s="1671">
        <v>4</v>
      </c>
      <c r="G4302" s="1674"/>
      <c r="H4302" s="1671">
        <f t="shared" si="713"/>
        <v>0</v>
      </c>
      <c r="I4302" s="688" t="s">
        <v>92</v>
      </c>
      <c r="J4302" s="1668"/>
      <c r="K4302" s="1668"/>
      <c r="L4302" s="1669"/>
    </row>
    <row r="4303" spans="1:12" s="692" customFormat="1" ht="16.5" hidden="1">
      <c r="A4303" s="1665"/>
      <c r="B4303" s="1666"/>
      <c r="C4303" s="688"/>
      <c r="D4303" s="1667"/>
      <c r="E4303" s="688"/>
      <c r="F4303" s="688"/>
      <c r="G4303" s="1674" t="s">
        <v>928</v>
      </c>
      <c r="H4303" s="1671">
        <f>SUM(H4297:H4302)</f>
        <v>0</v>
      </c>
      <c r="I4303" s="1668" t="s">
        <v>92</v>
      </c>
      <c r="J4303" s="1669">
        <f>'Lead &amp; ANALYSIS'!L835</f>
        <v>973.8</v>
      </c>
      <c r="K4303" s="1668" t="s">
        <v>1514</v>
      </c>
      <c r="L4303" s="1669">
        <f t="shared" ref="L4303" si="714">ROUND(H4303*J4303,0)</f>
        <v>0</v>
      </c>
    </row>
    <row r="4304" spans="1:12" s="692" customFormat="1" ht="82.5" hidden="1">
      <c r="A4304" s="1665">
        <f>'Lead &amp; ANALYSIS'!A837</f>
        <v>78</v>
      </c>
      <c r="B4304" s="1666" t="str">
        <f>'Lead &amp; ANALYSIS'!B837</f>
        <v>Dressed seasoned sal wood work framed &amp; fixed in frames of doors &amp; windows including cost,conveyance of all materials and cost of labour for fitting, fixing etc.complete as per the instruction of Engineer-in-Charge .</v>
      </c>
      <c r="C4304" s="688"/>
      <c r="D4304" s="1667"/>
      <c r="E4304" s="688"/>
      <c r="F4304" s="688"/>
      <c r="G4304" s="1674"/>
      <c r="H4304" s="688"/>
      <c r="I4304" s="1668"/>
      <c r="J4304" s="1668"/>
      <c r="K4304" s="1668"/>
      <c r="L4304" s="1669"/>
    </row>
    <row r="4305" spans="1:12" s="692" customFormat="1" ht="16.5" hidden="1">
      <c r="A4305" s="1665"/>
      <c r="B4305" s="1666"/>
      <c r="C4305" s="688"/>
      <c r="D4305" s="1667"/>
      <c r="E4305" s="1671">
        <v>3.5</v>
      </c>
      <c r="F4305" s="1671">
        <v>4</v>
      </c>
      <c r="G4305" s="1674"/>
      <c r="H4305" s="1671">
        <f t="shared" ref="H4305:H4310" si="715">ROUND(D4305*E4305*F4305,2)</f>
        <v>0</v>
      </c>
      <c r="I4305" s="688" t="s">
        <v>92</v>
      </c>
      <c r="J4305" s="1668"/>
      <c r="K4305" s="1668"/>
      <c r="L4305" s="1669"/>
    </row>
    <row r="4306" spans="1:12" s="692" customFormat="1" ht="16.5" hidden="1">
      <c r="A4306" s="1665"/>
      <c r="B4306" s="1666"/>
      <c r="C4306" s="688"/>
      <c r="D4306" s="1667"/>
      <c r="E4306" s="1671">
        <v>3.5</v>
      </c>
      <c r="F4306" s="1671">
        <v>4</v>
      </c>
      <c r="G4306" s="1674"/>
      <c r="H4306" s="1671">
        <f t="shared" si="715"/>
        <v>0</v>
      </c>
      <c r="I4306" s="688" t="s">
        <v>92</v>
      </c>
      <c r="J4306" s="1668"/>
      <c r="K4306" s="1668"/>
      <c r="L4306" s="1669"/>
    </row>
    <row r="4307" spans="1:12" s="692" customFormat="1" ht="16.5" hidden="1">
      <c r="A4307" s="1665"/>
      <c r="B4307" s="1666"/>
      <c r="C4307" s="688"/>
      <c r="D4307" s="1667"/>
      <c r="E4307" s="1671">
        <v>3.5</v>
      </c>
      <c r="F4307" s="1671">
        <v>4</v>
      </c>
      <c r="G4307" s="1674"/>
      <c r="H4307" s="1671">
        <f t="shared" si="715"/>
        <v>0</v>
      </c>
      <c r="I4307" s="688" t="s">
        <v>92</v>
      </c>
      <c r="J4307" s="1668"/>
      <c r="K4307" s="1668"/>
      <c r="L4307" s="1669"/>
    </row>
    <row r="4308" spans="1:12" s="692" customFormat="1" ht="16.5" hidden="1">
      <c r="A4308" s="1665"/>
      <c r="B4308" s="1666"/>
      <c r="C4308" s="688"/>
      <c r="D4308" s="1667"/>
      <c r="E4308" s="1671">
        <v>3.5</v>
      </c>
      <c r="F4308" s="1671">
        <v>4</v>
      </c>
      <c r="G4308" s="1674"/>
      <c r="H4308" s="1671">
        <f t="shared" si="715"/>
        <v>0</v>
      </c>
      <c r="I4308" s="688" t="s">
        <v>92</v>
      </c>
      <c r="J4308" s="1668"/>
      <c r="K4308" s="1668"/>
      <c r="L4308" s="1669"/>
    </row>
    <row r="4309" spans="1:12" s="692" customFormat="1" ht="16.5" hidden="1">
      <c r="A4309" s="1665"/>
      <c r="B4309" s="1666"/>
      <c r="C4309" s="688"/>
      <c r="D4309" s="1667"/>
      <c r="E4309" s="1671">
        <v>3.5</v>
      </c>
      <c r="F4309" s="1671">
        <v>4</v>
      </c>
      <c r="G4309" s="1674"/>
      <c r="H4309" s="1671">
        <f t="shared" si="715"/>
        <v>0</v>
      </c>
      <c r="I4309" s="688" t="s">
        <v>92</v>
      </c>
      <c r="J4309" s="1668"/>
      <c r="K4309" s="1668"/>
      <c r="L4309" s="1669"/>
    </row>
    <row r="4310" spans="1:12" s="692" customFormat="1" ht="16.5" hidden="1">
      <c r="A4310" s="1665"/>
      <c r="B4310" s="1666"/>
      <c r="C4310" s="688"/>
      <c r="D4310" s="1667"/>
      <c r="E4310" s="1671">
        <v>3.5</v>
      </c>
      <c r="F4310" s="1671">
        <v>4</v>
      </c>
      <c r="G4310" s="1674"/>
      <c r="H4310" s="1671">
        <f t="shared" si="715"/>
        <v>0</v>
      </c>
      <c r="I4310" s="688" t="s">
        <v>92</v>
      </c>
      <c r="J4310" s="1668"/>
      <c r="K4310" s="1668"/>
      <c r="L4310" s="1669"/>
    </row>
    <row r="4311" spans="1:12" s="692" customFormat="1" ht="16.5" hidden="1">
      <c r="A4311" s="1665"/>
      <c r="B4311" s="1666"/>
      <c r="C4311" s="688"/>
      <c r="D4311" s="1667"/>
      <c r="E4311" s="688"/>
      <c r="F4311" s="688"/>
      <c r="G4311" s="1670" t="s">
        <v>928</v>
      </c>
      <c r="H4311" s="1691">
        <f>SUM(H4305:H4310)</f>
        <v>0</v>
      </c>
      <c r="I4311" s="1668" t="s">
        <v>92</v>
      </c>
      <c r="J4311" s="1669">
        <f>'Lead &amp; ANALYSIS'!L837</f>
        <v>86150.399999999994</v>
      </c>
      <c r="K4311" s="1668" t="s">
        <v>1516</v>
      </c>
      <c r="L4311" s="1669">
        <f t="shared" ref="L4311" si="716">ROUND(H4311*J4311,0)</f>
        <v>0</v>
      </c>
    </row>
    <row r="4312" spans="1:12" s="692" customFormat="1" ht="82.5" hidden="1">
      <c r="A4312" s="1665">
        <f>'Lead &amp; ANALYSIS'!A838</f>
        <v>79</v>
      </c>
      <c r="B4312" s="1666" t="str">
        <f>'Lead &amp; ANALYSIS'!B838</f>
        <v>32mm piasal wood panelled shutters (of 32mm style  with  18mm panel) including cost conveyance of all materials and labour for fitting, fixing excluding  cost  of  iron fittings  etc.complete as per the instruction of Engineer-in-Charge .</v>
      </c>
      <c r="C4312" s="688"/>
      <c r="D4312" s="1667"/>
      <c r="E4312" s="688"/>
      <c r="F4312" s="688"/>
      <c r="G4312" s="1674"/>
      <c r="H4312" s="688"/>
      <c r="I4312" s="1668"/>
      <c r="J4312" s="1668"/>
      <c r="K4312" s="1668"/>
      <c r="L4312" s="1669"/>
    </row>
    <row r="4313" spans="1:12" s="692" customFormat="1" ht="16.5" hidden="1">
      <c r="A4313" s="1665"/>
      <c r="B4313" s="1666"/>
      <c r="C4313" s="688"/>
      <c r="D4313" s="1667"/>
      <c r="E4313" s="1671">
        <v>3.5</v>
      </c>
      <c r="F4313" s="1671">
        <v>4</v>
      </c>
      <c r="G4313" s="1674"/>
      <c r="H4313" s="1671">
        <f t="shared" ref="H4313:H4318" si="717">ROUND(D4313*E4313*F4313,2)</f>
        <v>0</v>
      </c>
      <c r="I4313" s="688" t="s">
        <v>92</v>
      </c>
      <c r="J4313" s="1668"/>
      <c r="K4313" s="1668"/>
      <c r="L4313" s="1669"/>
    </row>
    <row r="4314" spans="1:12" s="692" customFormat="1" ht="16.5" hidden="1">
      <c r="A4314" s="1665"/>
      <c r="B4314" s="1666"/>
      <c r="C4314" s="688"/>
      <c r="D4314" s="1667"/>
      <c r="E4314" s="1671">
        <v>3.5</v>
      </c>
      <c r="F4314" s="1671">
        <v>4</v>
      </c>
      <c r="G4314" s="1674"/>
      <c r="H4314" s="1671">
        <f t="shared" si="717"/>
        <v>0</v>
      </c>
      <c r="I4314" s="688" t="s">
        <v>92</v>
      </c>
      <c r="J4314" s="1668"/>
      <c r="K4314" s="1668"/>
      <c r="L4314" s="1669"/>
    </row>
    <row r="4315" spans="1:12" s="692" customFormat="1" ht="16.5" hidden="1">
      <c r="A4315" s="1665"/>
      <c r="B4315" s="1666"/>
      <c r="C4315" s="688"/>
      <c r="D4315" s="1667"/>
      <c r="E4315" s="1671">
        <v>3.5</v>
      </c>
      <c r="F4315" s="1671">
        <v>4</v>
      </c>
      <c r="G4315" s="1674"/>
      <c r="H4315" s="1671">
        <f t="shared" si="717"/>
        <v>0</v>
      </c>
      <c r="I4315" s="688" t="s">
        <v>92</v>
      </c>
      <c r="J4315" s="1668"/>
      <c r="K4315" s="1668"/>
      <c r="L4315" s="1669"/>
    </row>
    <row r="4316" spans="1:12" s="692" customFormat="1" ht="16.5" hidden="1">
      <c r="A4316" s="1665"/>
      <c r="B4316" s="1666"/>
      <c r="C4316" s="688"/>
      <c r="D4316" s="1667"/>
      <c r="E4316" s="1671">
        <v>3.5</v>
      </c>
      <c r="F4316" s="1671">
        <v>4</v>
      </c>
      <c r="G4316" s="1674"/>
      <c r="H4316" s="1671">
        <f t="shared" si="717"/>
        <v>0</v>
      </c>
      <c r="I4316" s="688" t="s">
        <v>92</v>
      </c>
      <c r="J4316" s="1668"/>
      <c r="K4316" s="1668"/>
      <c r="L4316" s="1669"/>
    </row>
    <row r="4317" spans="1:12" s="692" customFormat="1" ht="16.5" hidden="1">
      <c r="A4317" s="1665"/>
      <c r="B4317" s="1666"/>
      <c r="C4317" s="688"/>
      <c r="D4317" s="1667"/>
      <c r="E4317" s="1671">
        <v>3.5</v>
      </c>
      <c r="F4317" s="1671">
        <v>4</v>
      </c>
      <c r="G4317" s="1674"/>
      <c r="H4317" s="1671">
        <f t="shared" si="717"/>
        <v>0</v>
      </c>
      <c r="I4317" s="688" t="s">
        <v>92</v>
      </c>
      <c r="J4317" s="1668"/>
      <c r="K4317" s="1668"/>
      <c r="L4317" s="1669"/>
    </row>
    <row r="4318" spans="1:12" s="692" customFormat="1" ht="16.5" hidden="1">
      <c r="A4318" s="1665"/>
      <c r="B4318" s="1666"/>
      <c r="C4318" s="688"/>
      <c r="D4318" s="1667"/>
      <c r="E4318" s="1671">
        <v>3.5</v>
      </c>
      <c r="F4318" s="1671">
        <v>4</v>
      </c>
      <c r="G4318" s="1674"/>
      <c r="H4318" s="1671">
        <f t="shared" si="717"/>
        <v>0</v>
      </c>
      <c r="I4318" s="688" t="s">
        <v>92</v>
      </c>
      <c r="J4318" s="1668"/>
      <c r="K4318" s="1668"/>
      <c r="L4318" s="1669"/>
    </row>
    <row r="4319" spans="1:12" s="692" customFormat="1" ht="16.5" hidden="1">
      <c r="A4319" s="1665"/>
      <c r="B4319" s="1666"/>
      <c r="C4319" s="688"/>
      <c r="D4319" s="1667"/>
      <c r="E4319" s="688"/>
      <c r="F4319" s="688"/>
      <c r="G4319" s="1674" t="s">
        <v>928</v>
      </c>
      <c r="H4319" s="1671">
        <f>SUM(H4313:H4318)</f>
        <v>0</v>
      </c>
      <c r="I4319" s="1668" t="s">
        <v>92</v>
      </c>
      <c r="J4319" s="1669">
        <f>'Lead &amp; ANALYSIS'!L838</f>
        <v>4821.2</v>
      </c>
      <c r="K4319" s="1668" t="s">
        <v>1516</v>
      </c>
      <c r="L4319" s="1669">
        <f t="shared" ref="L4319" si="718">ROUND(H4319*J4319,0)</f>
        <v>0</v>
      </c>
    </row>
    <row r="4320" spans="1:12" s="692" customFormat="1" ht="82.5" hidden="1">
      <c r="A4320" s="1665">
        <f>'Lead &amp; ANALYSIS'!A839</f>
        <v>80</v>
      </c>
      <c r="B4320" s="1666" t="str">
        <f>'Lead &amp; ANALYSIS'!B839</f>
        <v>Dressed seasoned sal wood work framed &amp; fixed in frames of doors &amp; windows including cost,conveyance of all materials and cost of labour for fitting, fixing etc.complete as per the instruction of Engineer-in-Charge .</v>
      </c>
      <c r="C4320" s="688"/>
      <c r="D4320" s="1667"/>
      <c r="E4320" s="688"/>
      <c r="F4320" s="688"/>
      <c r="G4320" s="1674"/>
      <c r="H4320" s="688"/>
      <c r="I4320" s="1668"/>
      <c r="J4320" s="1668"/>
      <c r="K4320" s="1668"/>
      <c r="L4320" s="1669"/>
    </row>
    <row r="4321" spans="1:12" s="692" customFormat="1" ht="16.5" hidden="1">
      <c r="A4321" s="1665"/>
      <c r="B4321" s="1666"/>
      <c r="C4321" s="688"/>
      <c r="D4321" s="1667"/>
      <c r="E4321" s="1671">
        <v>3.5</v>
      </c>
      <c r="F4321" s="1671">
        <v>4</v>
      </c>
      <c r="G4321" s="1674"/>
      <c r="H4321" s="1671">
        <f t="shared" ref="H4321:H4326" si="719">ROUND(D4321*E4321*F4321,2)</f>
        <v>0</v>
      </c>
      <c r="I4321" s="688" t="s">
        <v>92</v>
      </c>
      <c r="J4321" s="1668"/>
      <c r="K4321" s="1668"/>
      <c r="L4321" s="1669"/>
    </row>
    <row r="4322" spans="1:12" s="692" customFormat="1" ht="16.5" hidden="1">
      <c r="A4322" s="1665"/>
      <c r="B4322" s="1666"/>
      <c r="C4322" s="688"/>
      <c r="D4322" s="1667"/>
      <c r="E4322" s="1671">
        <v>3.5</v>
      </c>
      <c r="F4322" s="1671">
        <v>4</v>
      </c>
      <c r="G4322" s="1674"/>
      <c r="H4322" s="1671">
        <f t="shared" si="719"/>
        <v>0</v>
      </c>
      <c r="I4322" s="688" t="s">
        <v>92</v>
      </c>
      <c r="J4322" s="1668"/>
      <c r="K4322" s="1668"/>
      <c r="L4322" s="1669"/>
    </row>
    <row r="4323" spans="1:12" s="692" customFormat="1" ht="16.5" hidden="1">
      <c r="A4323" s="1665"/>
      <c r="B4323" s="1666"/>
      <c r="C4323" s="688"/>
      <c r="D4323" s="1667"/>
      <c r="E4323" s="1671">
        <v>3.5</v>
      </c>
      <c r="F4323" s="1671">
        <v>4</v>
      </c>
      <c r="G4323" s="1674"/>
      <c r="H4323" s="1671">
        <f t="shared" si="719"/>
        <v>0</v>
      </c>
      <c r="I4323" s="688" t="s">
        <v>92</v>
      </c>
      <c r="J4323" s="1668"/>
      <c r="K4323" s="1668"/>
      <c r="L4323" s="1669"/>
    </row>
    <row r="4324" spans="1:12" s="692" customFormat="1" ht="16.5" hidden="1">
      <c r="A4324" s="1665"/>
      <c r="B4324" s="1666"/>
      <c r="C4324" s="688"/>
      <c r="D4324" s="1667"/>
      <c r="E4324" s="1671">
        <v>3.5</v>
      </c>
      <c r="F4324" s="1671">
        <v>4</v>
      </c>
      <c r="G4324" s="1674"/>
      <c r="H4324" s="1671">
        <f t="shared" si="719"/>
        <v>0</v>
      </c>
      <c r="I4324" s="688" t="s">
        <v>92</v>
      </c>
      <c r="J4324" s="1668"/>
      <c r="K4324" s="1668"/>
      <c r="L4324" s="1669"/>
    </row>
    <row r="4325" spans="1:12" s="692" customFormat="1" ht="16.5" hidden="1">
      <c r="A4325" s="1665"/>
      <c r="B4325" s="1666"/>
      <c r="C4325" s="688"/>
      <c r="D4325" s="1667"/>
      <c r="E4325" s="1671">
        <v>3.5</v>
      </c>
      <c r="F4325" s="1671">
        <v>4</v>
      </c>
      <c r="G4325" s="1674"/>
      <c r="H4325" s="1671">
        <f t="shared" si="719"/>
        <v>0</v>
      </c>
      <c r="I4325" s="688" t="s">
        <v>92</v>
      </c>
      <c r="J4325" s="1668"/>
      <c r="K4325" s="1668"/>
      <c r="L4325" s="1669"/>
    </row>
    <row r="4326" spans="1:12" s="692" customFormat="1" ht="16.5" hidden="1">
      <c r="A4326" s="1665"/>
      <c r="B4326" s="1666"/>
      <c r="C4326" s="688"/>
      <c r="D4326" s="1667"/>
      <c r="E4326" s="1671">
        <v>3.5</v>
      </c>
      <c r="F4326" s="1671">
        <v>4</v>
      </c>
      <c r="G4326" s="1674"/>
      <c r="H4326" s="1671">
        <f t="shared" si="719"/>
        <v>0</v>
      </c>
      <c r="I4326" s="688" t="s">
        <v>92</v>
      </c>
      <c r="J4326" s="1668"/>
      <c r="K4326" s="1668"/>
      <c r="L4326" s="1669"/>
    </row>
    <row r="4327" spans="1:12" s="692" customFormat="1" ht="16.5" hidden="1">
      <c r="A4327" s="1665"/>
      <c r="B4327" s="1666"/>
      <c r="C4327" s="688"/>
      <c r="D4327" s="1667"/>
      <c r="E4327" s="688"/>
      <c r="F4327" s="688"/>
      <c r="G4327" s="1674" t="s">
        <v>928</v>
      </c>
      <c r="H4327" s="1671">
        <f>SUM(H4321:H4326)</f>
        <v>0</v>
      </c>
      <c r="I4327" s="1668" t="s">
        <v>92</v>
      </c>
      <c r="J4327" s="1669">
        <f>'Lead &amp; ANALYSIS'!L839</f>
        <v>48691.199999999997</v>
      </c>
      <c r="K4327" s="1668" t="s">
        <v>1516</v>
      </c>
      <c r="L4327" s="1669">
        <f t="shared" ref="L4327" si="720">ROUND(H4327*J4327,0)</f>
        <v>0</v>
      </c>
    </row>
    <row r="4328" spans="1:12" s="692" customFormat="1" ht="82.5" hidden="1">
      <c r="A4328" s="1665">
        <f>'Lead &amp; ANALYSIS'!A840</f>
        <v>81</v>
      </c>
      <c r="B4328" s="1666" t="str">
        <f>'Lead &amp; ANALYSIS'!B840</f>
        <v>32mm piasal wood panelled shutters (of 32mm style  with  18mm panel) including cost conveyance of all materials and labour for fitting, fixing excluding  cost  of  iron fittings  etc.complete as per the instruction of Engineer-in-Charge .</v>
      </c>
      <c r="C4328" s="688"/>
      <c r="D4328" s="1667"/>
      <c r="E4328" s="688"/>
      <c r="F4328" s="688"/>
      <c r="G4328" s="1674"/>
      <c r="H4328" s="688"/>
      <c r="I4328" s="1668"/>
      <c r="J4328" s="1668"/>
      <c r="K4328" s="1668"/>
      <c r="L4328" s="1669"/>
    </row>
    <row r="4329" spans="1:12" s="692" customFormat="1" ht="16.5" hidden="1">
      <c r="A4329" s="1665"/>
      <c r="B4329" s="1666"/>
      <c r="C4329" s="688"/>
      <c r="D4329" s="1667"/>
      <c r="E4329" s="1671">
        <v>3.5</v>
      </c>
      <c r="F4329" s="1671">
        <v>4</v>
      </c>
      <c r="G4329" s="1674"/>
      <c r="H4329" s="1671">
        <f t="shared" ref="H4329:H4334" si="721">ROUND(D4329*E4329*F4329,2)</f>
        <v>0</v>
      </c>
      <c r="I4329" s="688" t="s">
        <v>92</v>
      </c>
      <c r="J4329" s="1668"/>
      <c r="K4329" s="1668"/>
      <c r="L4329" s="1669"/>
    </row>
    <row r="4330" spans="1:12" s="692" customFormat="1" ht="16.5" hidden="1">
      <c r="A4330" s="1665"/>
      <c r="B4330" s="1666"/>
      <c r="C4330" s="688"/>
      <c r="D4330" s="1667"/>
      <c r="E4330" s="1671">
        <v>3.5</v>
      </c>
      <c r="F4330" s="1671">
        <v>4</v>
      </c>
      <c r="G4330" s="1674"/>
      <c r="H4330" s="1671">
        <f t="shared" si="721"/>
        <v>0</v>
      </c>
      <c r="I4330" s="688" t="s">
        <v>92</v>
      </c>
      <c r="J4330" s="1668"/>
      <c r="K4330" s="1668"/>
      <c r="L4330" s="1669"/>
    </row>
    <row r="4331" spans="1:12" s="692" customFormat="1" ht="16.5" hidden="1">
      <c r="A4331" s="1665"/>
      <c r="B4331" s="1666"/>
      <c r="C4331" s="688"/>
      <c r="D4331" s="1667"/>
      <c r="E4331" s="1671">
        <v>3.5</v>
      </c>
      <c r="F4331" s="1671">
        <v>4</v>
      </c>
      <c r="G4331" s="1674"/>
      <c r="H4331" s="1671">
        <f t="shared" si="721"/>
        <v>0</v>
      </c>
      <c r="I4331" s="688" t="s">
        <v>92</v>
      </c>
      <c r="J4331" s="1668"/>
      <c r="K4331" s="1668"/>
      <c r="L4331" s="1669"/>
    </row>
    <row r="4332" spans="1:12" s="692" customFormat="1" ht="16.5" hidden="1">
      <c r="A4332" s="1665"/>
      <c r="B4332" s="1666"/>
      <c r="C4332" s="688"/>
      <c r="D4332" s="1667"/>
      <c r="E4332" s="1671">
        <v>3.5</v>
      </c>
      <c r="F4332" s="1671">
        <v>4</v>
      </c>
      <c r="G4332" s="1674"/>
      <c r="H4332" s="1671">
        <f t="shared" si="721"/>
        <v>0</v>
      </c>
      <c r="I4332" s="688" t="s">
        <v>92</v>
      </c>
      <c r="J4332" s="1668"/>
      <c r="K4332" s="1668"/>
      <c r="L4332" s="1669"/>
    </row>
    <row r="4333" spans="1:12" s="692" customFormat="1" ht="16.5" hidden="1">
      <c r="A4333" s="1665"/>
      <c r="B4333" s="1666"/>
      <c r="C4333" s="688"/>
      <c r="D4333" s="1667"/>
      <c r="E4333" s="1671">
        <v>3.5</v>
      </c>
      <c r="F4333" s="1671">
        <v>4</v>
      </c>
      <c r="G4333" s="1674"/>
      <c r="H4333" s="1671">
        <f t="shared" si="721"/>
        <v>0</v>
      </c>
      <c r="I4333" s="688" t="s">
        <v>92</v>
      </c>
      <c r="J4333" s="1668"/>
      <c r="K4333" s="1668"/>
      <c r="L4333" s="1669"/>
    </row>
    <row r="4334" spans="1:12" s="692" customFormat="1" ht="16.5" hidden="1">
      <c r="A4334" s="1665"/>
      <c r="B4334" s="1666"/>
      <c r="C4334" s="688"/>
      <c r="D4334" s="1667"/>
      <c r="E4334" s="1671">
        <v>3.5</v>
      </c>
      <c r="F4334" s="1671">
        <v>4</v>
      </c>
      <c r="G4334" s="1674"/>
      <c r="H4334" s="1671">
        <f t="shared" si="721"/>
        <v>0</v>
      </c>
      <c r="I4334" s="688" t="s">
        <v>92</v>
      </c>
      <c r="J4334" s="1668"/>
      <c r="K4334" s="1668"/>
      <c r="L4334" s="1669"/>
    </row>
    <row r="4335" spans="1:12" s="692" customFormat="1" ht="16.5" hidden="1">
      <c r="A4335" s="1665"/>
      <c r="B4335" s="1666"/>
      <c r="C4335" s="688"/>
      <c r="D4335" s="1667"/>
      <c r="E4335" s="688"/>
      <c r="F4335" s="688"/>
      <c r="G4335" s="1674" t="s">
        <v>928</v>
      </c>
      <c r="H4335" s="1671">
        <f>SUM(H4329:H4334)</f>
        <v>0</v>
      </c>
      <c r="I4335" s="1668" t="s">
        <v>92</v>
      </c>
      <c r="J4335" s="1669">
        <f>'Lead &amp; ANALYSIS'!L840</f>
        <v>55338</v>
      </c>
      <c r="K4335" s="1668" t="s">
        <v>1514</v>
      </c>
      <c r="L4335" s="1669">
        <f t="shared" ref="L4335" si="722">ROUND(H4335*J4335,0)</f>
        <v>0</v>
      </c>
    </row>
    <row r="4336" spans="1:12" s="692" customFormat="1" ht="49.5" hidden="1">
      <c r="A4336" s="1665">
        <f>'Lead &amp; ANALYSIS'!A841</f>
        <v>82</v>
      </c>
      <c r="B4336" s="1666" t="str">
        <f>'Lead &amp; ANALYSIS'!B841</f>
        <v>Supplying of M.S. Grills etc including cost,conveyance of all materials etc.complete as per the instruction of Engineer-in-Charge .</v>
      </c>
      <c r="C4336" s="688"/>
      <c r="D4336" s="1667"/>
      <c r="E4336" s="688"/>
      <c r="F4336" s="688"/>
      <c r="G4336" s="1674"/>
      <c r="H4336" s="688"/>
      <c r="I4336" s="1668"/>
      <c r="J4336" s="1668"/>
      <c r="K4336" s="1668"/>
      <c r="L4336" s="1669"/>
    </row>
    <row r="4337" spans="1:12" s="692" customFormat="1" ht="16.5" hidden="1">
      <c r="A4337" s="1665"/>
      <c r="B4337" s="1666"/>
      <c r="C4337" s="688"/>
      <c r="D4337" s="1667"/>
      <c r="E4337" s="1671">
        <v>3.5</v>
      </c>
      <c r="F4337" s="1671">
        <v>4</v>
      </c>
      <c r="G4337" s="1674"/>
      <c r="H4337" s="1671">
        <f t="shared" ref="H4337:H4342" si="723">ROUND(D4337*E4337*F4337,2)</f>
        <v>0</v>
      </c>
      <c r="I4337" s="688" t="s">
        <v>92</v>
      </c>
      <c r="J4337" s="1668"/>
      <c r="K4337" s="1668"/>
      <c r="L4337" s="1669"/>
    </row>
    <row r="4338" spans="1:12" s="692" customFormat="1" ht="16.5" hidden="1">
      <c r="A4338" s="1665"/>
      <c r="B4338" s="1666"/>
      <c r="C4338" s="688"/>
      <c r="D4338" s="1667"/>
      <c r="E4338" s="1671">
        <v>3.5</v>
      </c>
      <c r="F4338" s="1671">
        <v>4</v>
      </c>
      <c r="G4338" s="1674"/>
      <c r="H4338" s="1671">
        <f t="shared" si="723"/>
        <v>0</v>
      </c>
      <c r="I4338" s="688" t="s">
        <v>92</v>
      </c>
      <c r="J4338" s="1668"/>
      <c r="K4338" s="1668"/>
      <c r="L4338" s="1669"/>
    </row>
    <row r="4339" spans="1:12" s="692" customFormat="1" ht="16.5" hidden="1">
      <c r="A4339" s="1665"/>
      <c r="B4339" s="1666"/>
      <c r="C4339" s="688"/>
      <c r="D4339" s="1667"/>
      <c r="E4339" s="1671">
        <v>3.5</v>
      </c>
      <c r="F4339" s="1671">
        <v>4</v>
      </c>
      <c r="G4339" s="1674"/>
      <c r="H4339" s="1671">
        <f t="shared" si="723"/>
        <v>0</v>
      </c>
      <c r="I4339" s="688" t="s">
        <v>92</v>
      </c>
      <c r="J4339" s="1668"/>
      <c r="K4339" s="1668"/>
      <c r="L4339" s="1669"/>
    </row>
    <row r="4340" spans="1:12" s="692" customFormat="1" ht="16.5" hidden="1">
      <c r="A4340" s="1665"/>
      <c r="B4340" s="1666"/>
      <c r="C4340" s="688"/>
      <c r="D4340" s="1667"/>
      <c r="E4340" s="1671">
        <v>3.5</v>
      </c>
      <c r="F4340" s="1671">
        <v>4</v>
      </c>
      <c r="G4340" s="1674"/>
      <c r="H4340" s="1671">
        <f t="shared" si="723"/>
        <v>0</v>
      </c>
      <c r="I4340" s="688" t="s">
        <v>92</v>
      </c>
      <c r="J4340" s="1668"/>
      <c r="K4340" s="1668"/>
      <c r="L4340" s="1669"/>
    </row>
    <row r="4341" spans="1:12" s="692" customFormat="1" ht="16.5" hidden="1">
      <c r="A4341" s="1665"/>
      <c r="B4341" s="1666"/>
      <c r="C4341" s="688"/>
      <c r="D4341" s="1667"/>
      <c r="E4341" s="1671">
        <v>3.5</v>
      </c>
      <c r="F4341" s="1671">
        <v>4</v>
      </c>
      <c r="G4341" s="1674"/>
      <c r="H4341" s="1671">
        <f t="shared" si="723"/>
        <v>0</v>
      </c>
      <c r="I4341" s="688" t="s">
        <v>92</v>
      </c>
      <c r="J4341" s="1668"/>
      <c r="K4341" s="1668"/>
      <c r="L4341" s="1669"/>
    </row>
    <row r="4342" spans="1:12" s="692" customFormat="1" ht="16.5" hidden="1">
      <c r="A4342" s="1665"/>
      <c r="B4342" s="1666"/>
      <c r="C4342" s="688"/>
      <c r="D4342" s="1667"/>
      <c r="E4342" s="1671">
        <v>3.5</v>
      </c>
      <c r="F4342" s="1671">
        <v>4</v>
      </c>
      <c r="G4342" s="1674"/>
      <c r="H4342" s="1671">
        <f t="shared" si="723"/>
        <v>0</v>
      </c>
      <c r="I4342" s="688" t="s">
        <v>92</v>
      </c>
      <c r="J4342" s="1668"/>
      <c r="K4342" s="1668"/>
      <c r="L4342" s="1669"/>
    </row>
    <row r="4343" spans="1:12" s="692" customFormat="1" ht="16.5" hidden="1">
      <c r="A4343" s="1665"/>
      <c r="B4343" s="1666"/>
      <c r="C4343" s="688"/>
      <c r="D4343" s="1667"/>
      <c r="E4343" s="688"/>
      <c r="F4343" s="688"/>
      <c r="G4343" s="1668" t="s">
        <v>928</v>
      </c>
      <c r="H4343" s="1673">
        <f>SUM(H4337:H4342)</f>
        <v>0</v>
      </c>
      <c r="I4343" s="1668" t="s">
        <v>92</v>
      </c>
      <c r="J4343" s="1669">
        <f>'Lead &amp; ANALYSIS'!L841</f>
        <v>8778.2000000000007</v>
      </c>
      <c r="K4343" s="1668" t="s">
        <v>1514</v>
      </c>
      <c r="L4343" s="1669">
        <f t="shared" ref="L4343" si="724">ROUND(H4343*J4343,0)</f>
        <v>0</v>
      </c>
    </row>
    <row r="4344" spans="1:12" s="692" customFormat="1" ht="30" hidden="1" customHeight="1">
      <c r="A4344" s="1665">
        <f>'Lead &amp; ANALYSIS'!A842</f>
        <v>83</v>
      </c>
      <c r="B4344" s="1666" t="str">
        <f>'Lead &amp; ANALYSIS'!B842</f>
        <v>Supplying of M.S.Doors, M.S. Gate etc including cost, conveyance of all materials etc.complete as per the instruction of Engineer-in-Charge .</v>
      </c>
      <c r="C4344" s="688"/>
      <c r="D4344" s="1667"/>
      <c r="E4344" s="688"/>
      <c r="F4344" s="688"/>
      <c r="G4344" s="1674"/>
      <c r="H4344" s="688"/>
      <c r="I4344" s="1668"/>
      <c r="J4344" s="1668"/>
      <c r="K4344" s="1668"/>
      <c r="L4344" s="1669"/>
    </row>
    <row r="4345" spans="1:12" s="692" customFormat="1" ht="16.5" hidden="1">
      <c r="A4345" s="1665"/>
      <c r="B4345" s="1666" t="s">
        <v>1890</v>
      </c>
      <c r="C4345" s="688"/>
      <c r="D4345" s="1690"/>
      <c r="E4345" s="1671">
        <f>'DRAWING CC'!IL102</f>
        <v>1.05</v>
      </c>
      <c r="F4345" s="1668"/>
      <c r="G4345" s="1671">
        <f>'DRAWING CC'!JA102</f>
        <v>2.1</v>
      </c>
      <c r="H4345" s="1671">
        <f>ROUND(D4345*E4345*G4345,2)</f>
        <v>0</v>
      </c>
      <c r="I4345" s="688" t="s">
        <v>92</v>
      </c>
      <c r="J4345" s="1668"/>
      <c r="K4345" s="1668"/>
      <c r="L4345" s="1669"/>
    </row>
    <row r="4346" spans="1:12" s="692" customFormat="1" ht="16.5" hidden="1">
      <c r="A4346" s="1665"/>
      <c r="B4346" s="1666" t="s">
        <v>1948</v>
      </c>
      <c r="C4346" s="688"/>
      <c r="D4346" s="1690"/>
      <c r="E4346" s="1671">
        <f>'DRAWING CC'!IL105</f>
        <v>0.9</v>
      </c>
      <c r="F4346" s="1668"/>
      <c r="G4346" s="1671">
        <f>'DRAWING CC'!JA105</f>
        <v>1.2</v>
      </c>
      <c r="H4346" s="1671">
        <f>ROUND(D4346*E4346*G4346,2)</f>
        <v>0</v>
      </c>
      <c r="I4346" s="688" t="s">
        <v>92</v>
      </c>
      <c r="J4346" s="1668"/>
      <c r="K4346" s="1668"/>
      <c r="L4346" s="1669"/>
    </row>
    <row r="4347" spans="1:12" s="692" customFormat="1" ht="16.5" hidden="1">
      <c r="A4347" s="1665"/>
      <c r="B4347" s="1666"/>
      <c r="C4347" s="688"/>
      <c r="D4347" s="1667"/>
      <c r="E4347" s="1671">
        <v>3.5</v>
      </c>
      <c r="F4347" s="1671">
        <v>4</v>
      </c>
      <c r="G4347" s="1674"/>
      <c r="H4347" s="1671">
        <f t="shared" ref="H4347:H4350" si="725">ROUND(D4347*E4347*F4347,2)</f>
        <v>0</v>
      </c>
      <c r="I4347" s="688" t="s">
        <v>92</v>
      </c>
      <c r="J4347" s="1668"/>
      <c r="K4347" s="1668"/>
      <c r="L4347" s="1669"/>
    </row>
    <row r="4348" spans="1:12" s="692" customFormat="1" ht="16.5" hidden="1">
      <c r="A4348" s="1665"/>
      <c r="B4348" s="1666"/>
      <c r="C4348" s="688"/>
      <c r="D4348" s="1667"/>
      <c r="E4348" s="1671">
        <v>3.5</v>
      </c>
      <c r="F4348" s="1671">
        <v>4</v>
      </c>
      <c r="G4348" s="1674"/>
      <c r="H4348" s="1671">
        <f t="shared" si="725"/>
        <v>0</v>
      </c>
      <c r="I4348" s="688" t="s">
        <v>92</v>
      </c>
      <c r="J4348" s="1668"/>
      <c r="K4348" s="1668"/>
      <c r="L4348" s="1669"/>
    </row>
    <row r="4349" spans="1:12" s="692" customFormat="1" ht="16.5" hidden="1">
      <c r="A4349" s="1665"/>
      <c r="B4349" s="1666"/>
      <c r="C4349" s="688"/>
      <c r="D4349" s="1667"/>
      <c r="E4349" s="1671">
        <v>3.5</v>
      </c>
      <c r="F4349" s="1671">
        <v>4</v>
      </c>
      <c r="G4349" s="1674"/>
      <c r="H4349" s="1671">
        <f t="shared" si="725"/>
        <v>0</v>
      </c>
      <c r="I4349" s="688" t="s">
        <v>92</v>
      </c>
      <c r="J4349" s="1668"/>
      <c r="K4349" s="1668"/>
      <c r="L4349" s="1669"/>
    </row>
    <row r="4350" spans="1:12" s="692" customFormat="1" ht="16.5" hidden="1">
      <c r="A4350" s="1665"/>
      <c r="B4350" s="1666"/>
      <c r="C4350" s="688"/>
      <c r="D4350" s="1667"/>
      <c r="E4350" s="1671">
        <v>3.5</v>
      </c>
      <c r="F4350" s="1671">
        <v>4</v>
      </c>
      <c r="G4350" s="1674"/>
      <c r="H4350" s="1671">
        <f t="shared" si="725"/>
        <v>0</v>
      </c>
      <c r="I4350" s="688" t="s">
        <v>92</v>
      </c>
      <c r="J4350" s="1668"/>
      <c r="K4350" s="1668"/>
      <c r="L4350" s="1669"/>
    </row>
    <row r="4351" spans="1:12" s="692" customFormat="1" ht="16.5" hidden="1">
      <c r="A4351" s="1665"/>
      <c r="B4351" s="1666"/>
      <c r="C4351" s="688"/>
      <c r="D4351" s="1667"/>
      <c r="E4351" s="688"/>
      <c r="F4351" s="688"/>
      <c r="G4351" s="1668" t="s">
        <v>928</v>
      </c>
      <c r="H4351" s="1673">
        <f>SUM(H4345:H4350)</f>
        <v>0</v>
      </c>
      <c r="I4351" s="1668" t="s">
        <v>92</v>
      </c>
      <c r="J4351" s="1668"/>
      <c r="K4351" s="1668"/>
      <c r="L4351" s="1669"/>
    </row>
    <row r="4352" spans="1:12" s="692" customFormat="1" ht="16.5" hidden="1">
      <c r="A4352" s="1665"/>
      <c r="B4352" s="1666"/>
      <c r="C4352" s="1668"/>
      <c r="D4352" s="1667"/>
      <c r="E4352" s="1668"/>
      <c r="F4352" s="688" t="s">
        <v>2999</v>
      </c>
      <c r="G4352" s="1668"/>
      <c r="H4352" s="1673">
        <f>ROUND(H4351*E4352,2)</f>
        <v>0</v>
      </c>
      <c r="I4352" s="1668" t="s">
        <v>95</v>
      </c>
      <c r="J4352" s="1669">
        <f>'Lead &amp; ANALYSIS'!L842</f>
        <v>8735.9</v>
      </c>
      <c r="K4352" s="1668" t="s">
        <v>1515</v>
      </c>
      <c r="L4352" s="1669">
        <f t="shared" ref="L4352" si="726">ROUND(H4352*J4352,0)</f>
        <v>0</v>
      </c>
    </row>
    <row r="4353" spans="1:12" s="692" customFormat="1" ht="82.5" hidden="1">
      <c r="A4353" s="1665">
        <f>'Lead &amp; ANALYSIS'!A843</f>
        <v>84</v>
      </c>
      <c r="B4353" s="1666" t="str">
        <f>'Lead &amp; ANALYSIS'!B843</f>
        <v>Supplying of M.S.Windows/ Ventilator of fully glazed etc including cost, conveyance of all materials etc.complete as per the instruction of Engineer-in-Charge (Weight taken for measurement without glass)</v>
      </c>
      <c r="C4353" s="688"/>
      <c r="D4353" s="1667"/>
      <c r="E4353" s="688"/>
      <c r="F4353" s="688"/>
      <c r="G4353" s="1674"/>
      <c r="H4353" s="688"/>
      <c r="I4353" s="1668"/>
      <c r="J4353" s="1668"/>
      <c r="K4353" s="1668"/>
      <c r="L4353" s="1669"/>
    </row>
    <row r="4354" spans="1:12" s="692" customFormat="1" ht="16.5" hidden="1">
      <c r="A4354" s="1665"/>
      <c r="B4354" s="1666"/>
      <c r="C4354" s="688"/>
      <c r="D4354" s="1667"/>
      <c r="E4354" s="1671">
        <v>3.5</v>
      </c>
      <c r="F4354" s="1671">
        <v>4</v>
      </c>
      <c r="G4354" s="1674"/>
      <c r="H4354" s="1671">
        <f t="shared" ref="H4354:H4359" si="727">ROUND(D4354*E4354*F4354,2)</f>
        <v>0</v>
      </c>
      <c r="I4354" s="688" t="s">
        <v>92</v>
      </c>
      <c r="J4354" s="1668"/>
      <c r="K4354" s="1668"/>
      <c r="L4354" s="1669"/>
    </row>
    <row r="4355" spans="1:12" s="692" customFormat="1" ht="16.5" hidden="1">
      <c r="A4355" s="1665"/>
      <c r="B4355" s="1666"/>
      <c r="C4355" s="688"/>
      <c r="D4355" s="1667"/>
      <c r="E4355" s="1671">
        <v>3.5</v>
      </c>
      <c r="F4355" s="1671">
        <v>4</v>
      </c>
      <c r="G4355" s="1674"/>
      <c r="H4355" s="1671">
        <f t="shared" si="727"/>
        <v>0</v>
      </c>
      <c r="I4355" s="688" t="s">
        <v>92</v>
      </c>
      <c r="J4355" s="1668"/>
      <c r="K4355" s="1668"/>
      <c r="L4355" s="1669"/>
    </row>
    <row r="4356" spans="1:12" s="692" customFormat="1" ht="16.5" hidden="1">
      <c r="A4356" s="1665"/>
      <c r="B4356" s="1666"/>
      <c r="C4356" s="688"/>
      <c r="D4356" s="1667"/>
      <c r="E4356" s="1671">
        <v>3.5</v>
      </c>
      <c r="F4356" s="1671">
        <v>4</v>
      </c>
      <c r="G4356" s="1674"/>
      <c r="H4356" s="1671">
        <f t="shared" si="727"/>
        <v>0</v>
      </c>
      <c r="I4356" s="688" t="s">
        <v>92</v>
      </c>
      <c r="J4356" s="1668"/>
      <c r="K4356" s="1668"/>
      <c r="L4356" s="1669"/>
    </row>
    <row r="4357" spans="1:12" s="692" customFormat="1" ht="16.5" hidden="1">
      <c r="A4357" s="1665"/>
      <c r="B4357" s="1666"/>
      <c r="C4357" s="688"/>
      <c r="D4357" s="1667"/>
      <c r="E4357" s="1671">
        <v>3.5</v>
      </c>
      <c r="F4357" s="1671">
        <v>4</v>
      </c>
      <c r="G4357" s="1674"/>
      <c r="H4357" s="1671">
        <f t="shared" si="727"/>
        <v>0</v>
      </c>
      <c r="I4357" s="688" t="s">
        <v>92</v>
      </c>
      <c r="J4357" s="1668"/>
      <c r="K4357" s="1668"/>
      <c r="L4357" s="1669"/>
    </row>
    <row r="4358" spans="1:12" s="692" customFormat="1" ht="16.5" hidden="1">
      <c r="A4358" s="1665"/>
      <c r="B4358" s="1666"/>
      <c r="C4358" s="688"/>
      <c r="D4358" s="1667"/>
      <c r="E4358" s="1671">
        <v>3.5</v>
      </c>
      <c r="F4358" s="1671">
        <v>4</v>
      </c>
      <c r="G4358" s="1674"/>
      <c r="H4358" s="1671">
        <f t="shared" si="727"/>
        <v>0</v>
      </c>
      <c r="I4358" s="688" t="s">
        <v>92</v>
      </c>
      <c r="J4358" s="1668"/>
      <c r="K4358" s="1668"/>
      <c r="L4358" s="1669"/>
    </row>
    <row r="4359" spans="1:12" s="692" customFormat="1" ht="16.5" hidden="1">
      <c r="A4359" s="1665"/>
      <c r="B4359" s="1666"/>
      <c r="C4359" s="688"/>
      <c r="D4359" s="1667"/>
      <c r="E4359" s="1671">
        <v>3.5</v>
      </c>
      <c r="F4359" s="1671">
        <v>4</v>
      </c>
      <c r="G4359" s="1674"/>
      <c r="H4359" s="1671">
        <f t="shared" si="727"/>
        <v>0</v>
      </c>
      <c r="I4359" s="688" t="s">
        <v>92</v>
      </c>
      <c r="J4359" s="1668"/>
      <c r="K4359" s="1668"/>
      <c r="L4359" s="1669"/>
    </row>
    <row r="4360" spans="1:12" s="692" customFormat="1" ht="16.5" hidden="1">
      <c r="A4360" s="1665"/>
      <c r="B4360" s="1666"/>
      <c r="C4360" s="688"/>
      <c r="D4360" s="1667"/>
      <c r="E4360" s="688"/>
      <c r="F4360" s="688"/>
      <c r="G4360" s="1674" t="s">
        <v>928</v>
      </c>
      <c r="H4360" s="1671">
        <f>SUM(H4354:H4359)</f>
        <v>0</v>
      </c>
      <c r="I4360" s="1668" t="s">
        <v>92</v>
      </c>
      <c r="J4360" s="1669">
        <f>'Lead &amp; ANALYSIS'!L843</f>
        <v>10384.700000000001</v>
      </c>
      <c r="K4360" s="1668" t="s">
        <v>1515</v>
      </c>
      <c r="L4360" s="1669">
        <f t="shared" ref="L4360" si="728">ROUND(H4360*J4360,0)</f>
        <v>0</v>
      </c>
    </row>
    <row r="4361" spans="1:12" s="692" customFormat="1" ht="148.5" hidden="1">
      <c r="A4361" s="1665">
        <f>'Lead &amp; ANALYSIS'!A844</f>
        <v>85</v>
      </c>
      <c r="B4361" s="1666" t="str">
        <f>'Lead &amp; ANALYSIS'!B844</f>
        <v>Providing fitting, fixing of partition walling OEL anodized Al. section of 9210 and 9207 as single groove and double groove respectively as horizontal and vertical member and OEL section 4660 as tapered clip for fixing of 12mm thick pre-laminated board and jointing angle no 1855 etc. including all cost of labour, T&amp;P, hire charges of drilling machine, labour charges etc. complete as per direction of Engineer-in-charge.</v>
      </c>
      <c r="C4361" s="688"/>
      <c r="D4361" s="1667"/>
      <c r="E4361" s="688"/>
      <c r="F4361" s="688"/>
      <c r="G4361" s="1674"/>
      <c r="H4361" s="688"/>
      <c r="I4361" s="1668"/>
      <c r="J4361" s="1668"/>
      <c r="K4361" s="1668"/>
      <c r="L4361" s="1669"/>
    </row>
    <row r="4362" spans="1:12" s="692" customFormat="1" ht="16.5" hidden="1">
      <c r="A4362" s="1665"/>
      <c r="B4362" s="1666"/>
      <c r="C4362" s="688"/>
      <c r="D4362" s="1667"/>
      <c r="E4362" s="1671">
        <v>3.5</v>
      </c>
      <c r="F4362" s="1671">
        <v>4</v>
      </c>
      <c r="G4362" s="1674"/>
      <c r="H4362" s="1671">
        <f t="shared" ref="H4362:H4367" si="729">ROUND(D4362*E4362*F4362,2)</f>
        <v>0</v>
      </c>
      <c r="I4362" s="688" t="s">
        <v>92</v>
      </c>
      <c r="J4362" s="1668"/>
      <c r="K4362" s="1668"/>
      <c r="L4362" s="1669"/>
    </row>
    <row r="4363" spans="1:12" s="692" customFormat="1" ht="16.5" hidden="1">
      <c r="A4363" s="1665"/>
      <c r="B4363" s="1666"/>
      <c r="C4363" s="688"/>
      <c r="D4363" s="1667"/>
      <c r="E4363" s="1671">
        <v>3.5</v>
      </c>
      <c r="F4363" s="1671">
        <v>4</v>
      </c>
      <c r="G4363" s="1674"/>
      <c r="H4363" s="1671">
        <f t="shared" si="729"/>
        <v>0</v>
      </c>
      <c r="I4363" s="688" t="s">
        <v>92</v>
      </c>
      <c r="J4363" s="1668"/>
      <c r="K4363" s="1668"/>
      <c r="L4363" s="1669"/>
    </row>
    <row r="4364" spans="1:12" s="692" customFormat="1" ht="16.5" hidden="1">
      <c r="A4364" s="1665"/>
      <c r="B4364" s="1666"/>
      <c r="C4364" s="688"/>
      <c r="D4364" s="1667"/>
      <c r="E4364" s="1671">
        <v>3.5</v>
      </c>
      <c r="F4364" s="1671">
        <v>4</v>
      </c>
      <c r="G4364" s="1674"/>
      <c r="H4364" s="1671">
        <f t="shared" si="729"/>
        <v>0</v>
      </c>
      <c r="I4364" s="688" t="s">
        <v>92</v>
      </c>
      <c r="J4364" s="1668"/>
      <c r="K4364" s="1668"/>
      <c r="L4364" s="1669"/>
    </row>
    <row r="4365" spans="1:12" s="692" customFormat="1" ht="16.5" hidden="1">
      <c r="A4365" s="1665"/>
      <c r="B4365" s="1666"/>
      <c r="C4365" s="688"/>
      <c r="D4365" s="1667"/>
      <c r="E4365" s="1671">
        <v>3.5</v>
      </c>
      <c r="F4365" s="1671">
        <v>4</v>
      </c>
      <c r="G4365" s="1674"/>
      <c r="H4365" s="1671">
        <f t="shared" si="729"/>
        <v>0</v>
      </c>
      <c r="I4365" s="688" t="s">
        <v>92</v>
      </c>
      <c r="J4365" s="1668"/>
      <c r="K4365" s="1668"/>
      <c r="L4365" s="1669"/>
    </row>
    <row r="4366" spans="1:12" s="692" customFormat="1" ht="16.5" hidden="1">
      <c r="A4366" s="1665"/>
      <c r="B4366" s="1666"/>
      <c r="C4366" s="688"/>
      <c r="D4366" s="1667"/>
      <c r="E4366" s="1671">
        <v>3.5</v>
      </c>
      <c r="F4366" s="1671">
        <v>4</v>
      </c>
      <c r="G4366" s="1674"/>
      <c r="H4366" s="1671">
        <f t="shared" si="729"/>
        <v>0</v>
      </c>
      <c r="I4366" s="688" t="s">
        <v>92</v>
      </c>
      <c r="J4366" s="1668"/>
      <c r="K4366" s="1668"/>
      <c r="L4366" s="1669"/>
    </row>
    <row r="4367" spans="1:12" s="692" customFormat="1" ht="16.5" hidden="1">
      <c r="A4367" s="1665"/>
      <c r="B4367" s="1666"/>
      <c r="C4367" s="688"/>
      <c r="D4367" s="1667"/>
      <c r="E4367" s="1671">
        <v>3.5</v>
      </c>
      <c r="F4367" s="1671">
        <v>4</v>
      </c>
      <c r="G4367" s="1674"/>
      <c r="H4367" s="1671">
        <f t="shared" si="729"/>
        <v>0</v>
      </c>
      <c r="I4367" s="688" t="s">
        <v>92</v>
      </c>
      <c r="J4367" s="1668"/>
      <c r="K4367" s="1668"/>
      <c r="L4367" s="1669"/>
    </row>
    <row r="4368" spans="1:12" s="692" customFormat="1" ht="16.5" hidden="1">
      <c r="A4368" s="1665"/>
      <c r="B4368" s="1666"/>
      <c r="C4368" s="688"/>
      <c r="D4368" s="1667"/>
      <c r="E4368" s="688"/>
      <c r="F4368" s="688"/>
      <c r="G4368" s="1670" t="s">
        <v>928</v>
      </c>
      <c r="H4368" s="1671">
        <f>SUM(H4362:H4367)</f>
        <v>0</v>
      </c>
      <c r="I4368" s="1668" t="s">
        <v>92</v>
      </c>
      <c r="J4368" s="1669">
        <f>'Lead &amp; ANALYSIS'!L844</f>
        <v>3368.8</v>
      </c>
      <c r="K4368" s="1668" t="s">
        <v>1514</v>
      </c>
      <c r="L4368" s="1669">
        <f t="shared" ref="L4368:L4369" si="730">ROUND(H4368*J4368,0)</f>
        <v>0</v>
      </c>
    </row>
    <row r="4369" spans="1:12" s="692" customFormat="1" ht="16.5" hidden="1">
      <c r="A4369" s="1665"/>
      <c r="B4369" s="1666"/>
      <c r="C4369" s="688"/>
      <c r="D4369" s="1667"/>
      <c r="E4369" s="688"/>
      <c r="F4369" s="688"/>
      <c r="G4369" s="1674"/>
      <c r="H4369" s="1671">
        <f>H4368</f>
        <v>0</v>
      </c>
      <c r="I4369" s="1668" t="s">
        <v>95</v>
      </c>
      <c r="J4369" s="1669">
        <f>'Lead &amp; ANALYSIS'!L845</f>
        <v>657.5</v>
      </c>
      <c r="K4369" s="1668" t="s">
        <v>1515</v>
      </c>
      <c r="L4369" s="1669">
        <f t="shared" si="730"/>
        <v>0</v>
      </c>
    </row>
    <row r="4370" spans="1:12" s="692" customFormat="1" ht="148.5" hidden="1">
      <c r="A4370" s="1665">
        <f>'Lead &amp; ANALYSIS'!A846</f>
        <v>86</v>
      </c>
      <c r="B4370" s="1666" t="str">
        <f>'Lead &amp; ANALYSIS'!B846</f>
        <v>Providing fitting, fixing of partition walling OEL anodized Al. section of 9210 and 9207 as single groove and double groove respectively as horizontal and vertical member and OEL section 4660 as tapered clip for fixing of 12mm thick pre-laminated board and jointing angle no 1855 etc. including all cost of labour, T&amp;P, hire charges of drilling machine, labour charges etc. complete as per direction of Engineer-in-charge.</v>
      </c>
      <c r="C4370" s="688"/>
      <c r="D4370" s="1667"/>
      <c r="E4370" s="688"/>
      <c r="F4370" s="688"/>
      <c r="G4370" s="1674"/>
      <c r="H4370" s="688"/>
      <c r="I4370" s="1668"/>
      <c r="J4370" s="1668"/>
      <c r="K4370" s="1668"/>
      <c r="L4370" s="1669"/>
    </row>
    <row r="4371" spans="1:12" s="692" customFormat="1" ht="16.5" hidden="1">
      <c r="A4371" s="1665"/>
      <c r="B4371" s="1666"/>
      <c r="C4371" s="688"/>
      <c r="D4371" s="1667"/>
      <c r="E4371" s="1671">
        <v>3.5</v>
      </c>
      <c r="F4371" s="1671">
        <v>4</v>
      </c>
      <c r="G4371" s="1674"/>
      <c r="H4371" s="1671">
        <f t="shared" ref="H4371:H4376" si="731">ROUND(D4371*E4371*F4371,2)</f>
        <v>0</v>
      </c>
      <c r="I4371" s="688" t="s">
        <v>92</v>
      </c>
      <c r="J4371" s="1668"/>
      <c r="K4371" s="1668"/>
      <c r="L4371" s="1669"/>
    </row>
    <row r="4372" spans="1:12" s="692" customFormat="1" ht="16.5" hidden="1">
      <c r="A4372" s="1665"/>
      <c r="B4372" s="1666"/>
      <c r="C4372" s="688"/>
      <c r="D4372" s="1667"/>
      <c r="E4372" s="1671">
        <v>3.5</v>
      </c>
      <c r="F4372" s="1671">
        <v>4</v>
      </c>
      <c r="G4372" s="1674"/>
      <c r="H4372" s="1671">
        <f t="shared" si="731"/>
        <v>0</v>
      </c>
      <c r="I4372" s="688" t="s">
        <v>92</v>
      </c>
      <c r="J4372" s="1668"/>
      <c r="K4372" s="1668"/>
      <c r="L4372" s="1669"/>
    </row>
    <row r="4373" spans="1:12" s="692" customFormat="1" ht="16.5" hidden="1">
      <c r="A4373" s="1665"/>
      <c r="B4373" s="1666"/>
      <c r="C4373" s="688"/>
      <c r="D4373" s="1667"/>
      <c r="E4373" s="1671">
        <v>3.5</v>
      </c>
      <c r="F4373" s="1671">
        <v>4</v>
      </c>
      <c r="G4373" s="1674"/>
      <c r="H4373" s="1671">
        <f t="shared" si="731"/>
        <v>0</v>
      </c>
      <c r="I4373" s="688" t="s">
        <v>92</v>
      </c>
      <c r="J4373" s="1668"/>
      <c r="K4373" s="1668"/>
      <c r="L4373" s="1669"/>
    </row>
    <row r="4374" spans="1:12" s="692" customFormat="1" ht="16.5" hidden="1">
      <c r="A4374" s="1665"/>
      <c r="B4374" s="1666"/>
      <c r="C4374" s="688"/>
      <c r="D4374" s="1667"/>
      <c r="E4374" s="1671">
        <v>3.5</v>
      </c>
      <c r="F4374" s="1671">
        <v>4</v>
      </c>
      <c r="G4374" s="1674"/>
      <c r="H4374" s="1671">
        <f t="shared" si="731"/>
        <v>0</v>
      </c>
      <c r="I4374" s="688" t="s">
        <v>92</v>
      </c>
      <c r="J4374" s="1668"/>
      <c r="K4374" s="1668"/>
      <c r="L4374" s="1669"/>
    </row>
    <row r="4375" spans="1:12" s="692" customFormat="1" ht="16.5" hidden="1">
      <c r="A4375" s="1665"/>
      <c r="B4375" s="1666"/>
      <c r="C4375" s="688"/>
      <c r="D4375" s="1667"/>
      <c r="E4375" s="1671">
        <v>3.5</v>
      </c>
      <c r="F4375" s="1671">
        <v>4</v>
      </c>
      <c r="G4375" s="1674"/>
      <c r="H4375" s="1671">
        <f t="shared" si="731"/>
        <v>0</v>
      </c>
      <c r="I4375" s="688" t="s">
        <v>92</v>
      </c>
      <c r="J4375" s="1668"/>
      <c r="K4375" s="1668"/>
      <c r="L4375" s="1669"/>
    </row>
    <row r="4376" spans="1:12" s="692" customFormat="1" ht="16.5" hidden="1">
      <c r="A4376" s="1665"/>
      <c r="B4376" s="1666"/>
      <c r="C4376" s="688"/>
      <c r="D4376" s="1667"/>
      <c r="E4376" s="1671">
        <v>3.5</v>
      </c>
      <c r="F4376" s="1671">
        <v>4</v>
      </c>
      <c r="G4376" s="1674"/>
      <c r="H4376" s="1671">
        <f t="shared" si="731"/>
        <v>0</v>
      </c>
      <c r="I4376" s="688" t="s">
        <v>92</v>
      </c>
      <c r="J4376" s="1668"/>
      <c r="K4376" s="1668"/>
      <c r="L4376" s="1669"/>
    </row>
    <row r="4377" spans="1:12" s="692" customFormat="1" ht="16.5" hidden="1">
      <c r="A4377" s="1665"/>
      <c r="B4377" s="1666"/>
      <c r="C4377" s="688"/>
      <c r="D4377" s="1667"/>
      <c r="E4377" s="688"/>
      <c r="F4377" s="688"/>
      <c r="G4377" s="1674" t="s">
        <v>928</v>
      </c>
      <c r="H4377" s="1671">
        <f>SUM(H4371:H4376)</f>
        <v>0</v>
      </c>
      <c r="I4377" s="1668" t="s">
        <v>92</v>
      </c>
      <c r="J4377" s="1669">
        <f>'Lead &amp; ANALYSIS'!L846</f>
        <v>5589.7</v>
      </c>
      <c r="K4377" s="1668" t="s">
        <v>1514</v>
      </c>
      <c r="L4377" s="1669">
        <f t="shared" ref="L4377" si="732">ROUND(H4377*J4377,0)</f>
        <v>0</v>
      </c>
    </row>
    <row r="4378" spans="1:12" s="692" customFormat="1" ht="181.5" hidden="1">
      <c r="A4378" s="1665">
        <f>'Lead &amp; ANALYSIS'!A847</f>
        <v>87</v>
      </c>
      <c r="B4378" s="1666" t="str">
        <f>'Lead &amp; ANALYSIS'!B847</f>
        <v>Providing fitting, fixing of Aluminium Door with OEL anodized Al. door section of 9202 as vertical member, 9200 as top  and   bottom  member.  9232 as middle member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4378" s="688"/>
      <c r="D4378" s="1667"/>
      <c r="E4378" s="688"/>
      <c r="F4378" s="688"/>
      <c r="G4378" s="1674"/>
      <c r="H4378" s="688"/>
      <c r="I4378" s="1668"/>
      <c r="J4378" s="1668"/>
      <c r="K4378" s="1668"/>
      <c r="L4378" s="1669"/>
    </row>
    <row r="4379" spans="1:12" s="692" customFormat="1" ht="16.5" hidden="1">
      <c r="A4379" s="1665"/>
      <c r="B4379" s="1666"/>
      <c r="C4379" s="688"/>
      <c r="D4379" s="1667"/>
      <c r="E4379" s="1671">
        <v>3.5</v>
      </c>
      <c r="F4379" s="1671">
        <v>4</v>
      </c>
      <c r="G4379" s="1674"/>
      <c r="H4379" s="1671">
        <f t="shared" ref="H4379:H4384" si="733">ROUND(D4379*E4379*F4379,2)</f>
        <v>0</v>
      </c>
      <c r="I4379" s="688" t="s">
        <v>92</v>
      </c>
      <c r="J4379" s="1668"/>
      <c r="K4379" s="1668"/>
      <c r="L4379" s="1669"/>
    </row>
    <row r="4380" spans="1:12" s="692" customFormat="1" ht="16.5" hidden="1">
      <c r="A4380" s="1665"/>
      <c r="B4380" s="1666"/>
      <c r="C4380" s="688"/>
      <c r="D4380" s="1667"/>
      <c r="E4380" s="1671">
        <v>3.5</v>
      </c>
      <c r="F4380" s="1671">
        <v>4</v>
      </c>
      <c r="G4380" s="1674"/>
      <c r="H4380" s="1671">
        <f t="shared" si="733"/>
        <v>0</v>
      </c>
      <c r="I4380" s="688" t="s">
        <v>92</v>
      </c>
      <c r="J4380" s="1668"/>
      <c r="K4380" s="1668"/>
      <c r="L4380" s="1669"/>
    </row>
    <row r="4381" spans="1:12" s="692" customFormat="1" ht="16.5" hidden="1">
      <c r="A4381" s="1665"/>
      <c r="B4381" s="1666"/>
      <c r="C4381" s="688"/>
      <c r="D4381" s="1667"/>
      <c r="E4381" s="1671">
        <v>3.5</v>
      </c>
      <c r="F4381" s="1671">
        <v>4</v>
      </c>
      <c r="G4381" s="1674"/>
      <c r="H4381" s="1671">
        <f t="shared" si="733"/>
        <v>0</v>
      </c>
      <c r="I4381" s="688" t="s">
        <v>92</v>
      </c>
      <c r="J4381" s="1668"/>
      <c r="K4381" s="1668"/>
      <c r="L4381" s="1669"/>
    </row>
    <row r="4382" spans="1:12" s="692" customFormat="1" ht="16.5" hidden="1">
      <c r="A4382" s="1665"/>
      <c r="B4382" s="1666"/>
      <c r="C4382" s="688"/>
      <c r="D4382" s="1667"/>
      <c r="E4382" s="1671">
        <v>3.5</v>
      </c>
      <c r="F4382" s="1671">
        <v>4</v>
      </c>
      <c r="G4382" s="1674"/>
      <c r="H4382" s="1671">
        <f t="shared" si="733"/>
        <v>0</v>
      </c>
      <c r="I4382" s="688" t="s">
        <v>92</v>
      </c>
      <c r="J4382" s="1668"/>
      <c r="K4382" s="1668"/>
      <c r="L4382" s="1669"/>
    </row>
    <row r="4383" spans="1:12" s="692" customFormat="1" ht="16.5" hidden="1">
      <c r="A4383" s="1665"/>
      <c r="B4383" s="1666"/>
      <c r="C4383" s="688"/>
      <c r="D4383" s="1667"/>
      <c r="E4383" s="1671">
        <v>3.5</v>
      </c>
      <c r="F4383" s="1671">
        <v>4</v>
      </c>
      <c r="G4383" s="1674"/>
      <c r="H4383" s="1671">
        <f t="shared" si="733"/>
        <v>0</v>
      </c>
      <c r="I4383" s="688" t="s">
        <v>92</v>
      </c>
      <c r="J4383" s="1668"/>
      <c r="K4383" s="1668"/>
      <c r="L4383" s="1669"/>
    </row>
    <row r="4384" spans="1:12" s="692" customFormat="1" ht="16.5" hidden="1">
      <c r="A4384" s="1665"/>
      <c r="B4384" s="1666"/>
      <c r="C4384" s="688"/>
      <c r="D4384" s="1667"/>
      <c r="E4384" s="1671">
        <v>3.5</v>
      </c>
      <c r="F4384" s="1671">
        <v>4</v>
      </c>
      <c r="G4384" s="1674"/>
      <c r="H4384" s="1671">
        <f t="shared" si="733"/>
        <v>0</v>
      </c>
      <c r="I4384" s="688" t="s">
        <v>92</v>
      </c>
      <c r="J4384" s="1668"/>
      <c r="K4384" s="1668"/>
      <c r="L4384" s="1669"/>
    </row>
    <row r="4385" spans="1:12" s="692" customFormat="1" ht="16.5" hidden="1">
      <c r="A4385" s="1665"/>
      <c r="B4385" s="1666"/>
      <c r="C4385" s="688"/>
      <c r="D4385" s="1667"/>
      <c r="E4385" s="688"/>
      <c r="F4385" s="688"/>
      <c r="G4385" s="1674" t="s">
        <v>928</v>
      </c>
      <c r="H4385" s="1671">
        <f>SUM(H4379:H4384)</f>
        <v>0</v>
      </c>
      <c r="I4385" s="1668" t="s">
        <v>92</v>
      </c>
      <c r="J4385" s="1669">
        <f>'Lead &amp; ANALYSIS'!L847</f>
        <v>6861.3</v>
      </c>
      <c r="K4385" s="1668" t="s">
        <v>1514</v>
      </c>
      <c r="L4385" s="1669">
        <f t="shared" ref="L4385:L4386" si="734">ROUND(H4385*J4385,0)</f>
        <v>0</v>
      </c>
    </row>
    <row r="4386" spans="1:12" s="692" customFormat="1" ht="16.5" hidden="1">
      <c r="A4386" s="1665"/>
      <c r="B4386" s="1666"/>
      <c r="C4386" s="688"/>
      <c r="D4386" s="1667"/>
      <c r="E4386" s="688"/>
      <c r="F4386" s="688"/>
      <c r="G4386" s="1674"/>
      <c r="H4386" s="1671">
        <f>H4385</f>
        <v>0</v>
      </c>
      <c r="I4386" s="1668" t="s">
        <v>95</v>
      </c>
      <c r="J4386" s="1669">
        <f>'Lead &amp; ANALYSIS'!L848</f>
        <v>546.29999999999995</v>
      </c>
      <c r="K4386" s="1668" t="s">
        <v>1515</v>
      </c>
      <c r="L4386" s="1669">
        <f t="shared" si="734"/>
        <v>0</v>
      </c>
    </row>
    <row r="4387" spans="1:12" s="692" customFormat="1" ht="198" hidden="1">
      <c r="A4387" s="1665">
        <f>'Lead &amp; ANALYSIS'!A849</f>
        <v>88</v>
      </c>
      <c r="B4387" s="1666" t="str">
        <f>'Lead &amp; ANALYSIS'!B849</f>
        <v>Providing fitting, fixing of Aluminium Door with OEL anodized Al. door section of 9202 as vertical member, 9201 as top  and 9200 as bottom  and middle member and 6mm black glass in top portion with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4387" s="688"/>
      <c r="D4387" s="1667"/>
      <c r="E4387" s="688"/>
      <c r="F4387" s="688"/>
      <c r="G4387" s="1674"/>
      <c r="H4387" s="688"/>
      <c r="I4387" s="1668"/>
      <c r="J4387" s="1668"/>
      <c r="K4387" s="1668"/>
      <c r="L4387" s="1669"/>
    </row>
    <row r="4388" spans="1:12" s="692" customFormat="1" ht="16.5" hidden="1">
      <c r="A4388" s="1665"/>
      <c r="B4388" s="1666"/>
      <c r="C4388" s="688"/>
      <c r="D4388" s="1667"/>
      <c r="E4388" s="1671">
        <v>3.5</v>
      </c>
      <c r="F4388" s="1671">
        <v>4</v>
      </c>
      <c r="G4388" s="1674"/>
      <c r="H4388" s="1671">
        <f t="shared" ref="H4388:H4393" si="735">ROUND(D4388*E4388*F4388,2)</f>
        <v>0</v>
      </c>
      <c r="I4388" s="688" t="s">
        <v>92</v>
      </c>
      <c r="J4388" s="1668"/>
      <c r="K4388" s="1668"/>
      <c r="L4388" s="1669"/>
    </row>
    <row r="4389" spans="1:12" s="692" customFormat="1" ht="16.5" hidden="1">
      <c r="A4389" s="1665"/>
      <c r="B4389" s="1666"/>
      <c r="C4389" s="688"/>
      <c r="D4389" s="1667"/>
      <c r="E4389" s="1671">
        <v>3.5</v>
      </c>
      <c r="F4389" s="1671">
        <v>4</v>
      </c>
      <c r="G4389" s="1674"/>
      <c r="H4389" s="1671">
        <f t="shared" si="735"/>
        <v>0</v>
      </c>
      <c r="I4389" s="688" t="s">
        <v>92</v>
      </c>
      <c r="J4389" s="1668"/>
      <c r="K4389" s="1668"/>
      <c r="L4389" s="1669"/>
    </row>
    <row r="4390" spans="1:12" s="692" customFormat="1" ht="16.5" hidden="1">
      <c r="A4390" s="1665"/>
      <c r="B4390" s="1666"/>
      <c r="C4390" s="688"/>
      <c r="D4390" s="1667"/>
      <c r="E4390" s="1671">
        <v>3.5</v>
      </c>
      <c r="F4390" s="1671">
        <v>4</v>
      </c>
      <c r="G4390" s="1674"/>
      <c r="H4390" s="1671">
        <f t="shared" si="735"/>
        <v>0</v>
      </c>
      <c r="I4390" s="688" t="s">
        <v>92</v>
      </c>
      <c r="J4390" s="1668"/>
      <c r="K4390" s="1668"/>
      <c r="L4390" s="1669"/>
    </row>
    <row r="4391" spans="1:12" s="692" customFormat="1" ht="16.5" hidden="1">
      <c r="A4391" s="1665"/>
      <c r="B4391" s="1666"/>
      <c r="C4391" s="688"/>
      <c r="D4391" s="1667"/>
      <c r="E4391" s="1671">
        <v>3.5</v>
      </c>
      <c r="F4391" s="1671">
        <v>4</v>
      </c>
      <c r="G4391" s="1674"/>
      <c r="H4391" s="1671">
        <f t="shared" si="735"/>
        <v>0</v>
      </c>
      <c r="I4391" s="688" t="s">
        <v>92</v>
      </c>
      <c r="J4391" s="1668"/>
      <c r="K4391" s="1668"/>
      <c r="L4391" s="1669"/>
    </row>
    <row r="4392" spans="1:12" s="692" customFormat="1" ht="16.5" hidden="1">
      <c r="A4392" s="1665"/>
      <c r="B4392" s="1666"/>
      <c r="C4392" s="688"/>
      <c r="D4392" s="1667"/>
      <c r="E4392" s="1671">
        <v>3.5</v>
      </c>
      <c r="F4392" s="1671">
        <v>4</v>
      </c>
      <c r="G4392" s="1674"/>
      <c r="H4392" s="1671">
        <f t="shared" si="735"/>
        <v>0</v>
      </c>
      <c r="I4392" s="688" t="s">
        <v>92</v>
      </c>
      <c r="J4392" s="1668"/>
      <c r="K4392" s="1668"/>
      <c r="L4392" s="1669"/>
    </row>
    <row r="4393" spans="1:12" s="692" customFormat="1" ht="16.5" hidden="1">
      <c r="A4393" s="1665"/>
      <c r="B4393" s="1666"/>
      <c r="C4393" s="688"/>
      <c r="D4393" s="1667"/>
      <c r="E4393" s="1671">
        <v>3.5</v>
      </c>
      <c r="F4393" s="1671">
        <v>4</v>
      </c>
      <c r="G4393" s="1674"/>
      <c r="H4393" s="1671">
        <f t="shared" si="735"/>
        <v>0</v>
      </c>
      <c r="I4393" s="688" t="s">
        <v>92</v>
      </c>
      <c r="J4393" s="1668"/>
      <c r="K4393" s="1668"/>
      <c r="L4393" s="1669"/>
    </row>
    <row r="4394" spans="1:12" s="692" customFormat="1" ht="16.5" hidden="1">
      <c r="A4394" s="1665"/>
      <c r="B4394" s="1666"/>
      <c r="C4394" s="688"/>
      <c r="D4394" s="1667"/>
      <c r="E4394" s="688"/>
      <c r="F4394" s="688"/>
      <c r="G4394" s="1674" t="s">
        <v>928</v>
      </c>
      <c r="H4394" s="1671">
        <f>SUM(H4388:H4393)</f>
        <v>0</v>
      </c>
      <c r="I4394" s="1668" t="s">
        <v>92</v>
      </c>
      <c r="J4394" s="1669">
        <f>'Lead &amp; ANALYSIS'!L849</f>
        <v>6956.5</v>
      </c>
      <c r="K4394" s="1668" t="s">
        <v>1514</v>
      </c>
      <c r="L4394" s="1669">
        <f t="shared" ref="L4394:L4395" si="736">ROUND(H4394*J4394,0)</f>
        <v>0</v>
      </c>
    </row>
    <row r="4395" spans="1:12" s="692" customFormat="1" ht="16.5" hidden="1">
      <c r="A4395" s="1665"/>
      <c r="B4395" s="1666"/>
      <c r="C4395" s="688"/>
      <c r="D4395" s="1667"/>
      <c r="E4395" s="688"/>
      <c r="F4395" s="688"/>
      <c r="G4395" s="1674"/>
      <c r="H4395" s="1671">
        <f>H4394</f>
        <v>0</v>
      </c>
      <c r="I4395" s="1668" t="s">
        <v>95</v>
      </c>
      <c r="J4395" s="1669">
        <f>'Lead &amp; ANALYSIS'!L850</f>
        <v>529.9</v>
      </c>
      <c r="K4395" s="1668" t="s">
        <v>1515</v>
      </c>
      <c r="L4395" s="1669">
        <f t="shared" si="736"/>
        <v>0</v>
      </c>
    </row>
    <row r="4396" spans="1:12" s="692" customFormat="1" ht="181.5" hidden="1">
      <c r="A4396" s="1665">
        <f>'Lead &amp; ANALYSIS'!A851</f>
        <v>89</v>
      </c>
      <c r="B4396" s="1666" t="str">
        <f>'Lead &amp; ANALYSIS'!B851</f>
        <v>Providing fitting, fixing of Aluminium Door with OEL anodized Al. door section of 9202 as vertical member, 9200 as top  and   bottom  member.  9232 as middle member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4396" s="688"/>
      <c r="D4396" s="1667"/>
      <c r="E4396" s="688"/>
      <c r="F4396" s="688"/>
      <c r="G4396" s="1674"/>
      <c r="H4396" s="688"/>
      <c r="I4396" s="1668"/>
      <c r="J4396" s="1668"/>
      <c r="K4396" s="1668"/>
      <c r="L4396" s="1669"/>
    </row>
    <row r="4397" spans="1:12" s="692" customFormat="1" ht="16.5" hidden="1">
      <c r="A4397" s="1665"/>
      <c r="B4397" s="1666"/>
      <c r="C4397" s="688"/>
      <c r="D4397" s="1667"/>
      <c r="E4397" s="1671">
        <v>3.5</v>
      </c>
      <c r="F4397" s="1671">
        <v>4</v>
      </c>
      <c r="G4397" s="1674"/>
      <c r="H4397" s="1671">
        <f t="shared" ref="H4397:H4402" si="737">ROUND(D4397*E4397*F4397,2)</f>
        <v>0</v>
      </c>
      <c r="I4397" s="688" t="s">
        <v>92</v>
      </c>
      <c r="J4397" s="1668"/>
      <c r="K4397" s="1668"/>
      <c r="L4397" s="1669"/>
    </row>
    <row r="4398" spans="1:12" s="692" customFormat="1" ht="16.5" hidden="1">
      <c r="A4398" s="1665"/>
      <c r="B4398" s="1666"/>
      <c r="C4398" s="688"/>
      <c r="D4398" s="1667"/>
      <c r="E4398" s="1671">
        <v>3.5</v>
      </c>
      <c r="F4398" s="1671">
        <v>4</v>
      </c>
      <c r="G4398" s="1674"/>
      <c r="H4398" s="1671">
        <f t="shared" si="737"/>
        <v>0</v>
      </c>
      <c r="I4398" s="688" t="s">
        <v>92</v>
      </c>
      <c r="J4398" s="1668"/>
      <c r="K4398" s="1668"/>
      <c r="L4398" s="1669"/>
    </row>
    <row r="4399" spans="1:12" s="692" customFormat="1" ht="16.5" hidden="1">
      <c r="A4399" s="1665"/>
      <c r="B4399" s="1666"/>
      <c r="C4399" s="688"/>
      <c r="D4399" s="1667"/>
      <c r="E4399" s="1671">
        <v>3.5</v>
      </c>
      <c r="F4399" s="1671">
        <v>4</v>
      </c>
      <c r="G4399" s="1674"/>
      <c r="H4399" s="1671">
        <f t="shared" si="737"/>
        <v>0</v>
      </c>
      <c r="I4399" s="688" t="s">
        <v>92</v>
      </c>
      <c r="J4399" s="1668"/>
      <c r="K4399" s="1668"/>
      <c r="L4399" s="1669"/>
    </row>
    <row r="4400" spans="1:12" s="692" customFormat="1" ht="16.5" hidden="1">
      <c r="A4400" s="1665"/>
      <c r="B4400" s="1666"/>
      <c r="C4400" s="688"/>
      <c r="D4400" s="1667"/>
      <c r="E4400" s="1671">
        <v>3.5</v>
      </c>
      <c r="F4400" s="1671">
        <v>4</v>
      </c>
      <c r="G4400" s="1674"/>
      <c r="H4400" s="1671">
        <f t="shared" si="737"/>
        <v>0</v>
      </c>
      <c r="I4400" s="688" t="s">
        <v>92</v>
      </c>
      <c r="J4400" s="1668"/>
      <c r="K4400" s="1668"/>
      <c r="L4400" s="1669"/>
    </row>
    <row r="4401" spans="1:12" s="692" customFormat="1" ht="16.5" hidden="1">
      <c r="A4401" s="1665"/>
      <c r="B4401" s="1666"/>
      <c r="C4401" s="688"/>
      <c r="D4401" s="1667"/>
      <c r="E4401" s="1671">
        <v>3.5</v>
      </c>
      <c r="F4401" s="1671">
        <v>4</v>
      </c>
      <c r="G4401" s="1674"/>
      <c r="H4401" s="1671">
        <f t="shared" si="737"/>
        <v>0</v>
      </c>
      <c r="I4401" s="688" t="s">
        <v>92</v>
      </c>
      <c r="J4401" s="1668"/>
      <c r="K4401" s="1668"/>
      <c r="L4401" s="1669"/>
    </row>
    <row r="4402" spans="1:12" s="692" customFormat="1" ht="16.5" hidden="1">
      <c r="A4402" s="1665"/>
      <c r="B4402" s="1666"/>
      <c r="C4402" s="688"/>
      <c r="D4402" s="1667"/>
      <c r="E4402" s="1671">
        <v>3.5</v>
      </c>
      <c r="F4402" s="1671">
        <v>4</v>
      </c>
      <c r="G4402" s="1674"/>
      <c r="H4402" s="1671">
        <f t="shared" si="737"/>
        <v>0</v>
      </c>
      <c r="I4402" s="688" t="s">
        <v>92</v>
      </c>
      <c r="J4402" s="1668"/>
      <c r="K4402" s="1668"/>
      <c r="L4402" s="1669"/>
    </row>
    <row r="4403" spans="1:12" s="692" customFormat="1" ht="16.5" hidden="1">
      <c r="A4403" s="1665"/>
      <c r="B4403" s="1666"/>
      <c r="C4403" s="688"/>
      <c r="D4403" s="1667"/>
      <c r="E4403" s="688"/>
      <c r="F4403" s="688"/>
      <c r="G4403" s="1674" t="s">
        <v>928</v>
      </c>
      <c r="H4403" s="1671">
        <f>SUM(H4397:H4402)</f>
        <v>0</v>
      </c>
      <c r="I4403" s="1668" t="s">
        <v>92</v>
      </c>
      <c r="J4403" s="1669">
        <f>'Lead &amp; ANALYSIS'!L851</f>
        <v>7837.2</v>
      </c>
      <c r="K4403" s="1668" t="s">
        <v>1514</v>
      </c>
      <c r="L4403" s="1669">
        <f t="shared" ref="L4403:L4404" si="738">ROUND(H4403*J4403,0)</f>
        <v>0</v>
      </c>
    </row>
    <row r="4404" spans="1:12" s="692" customFormat="1" ht="16.5" hidden="1">
      <c r="A4404" s="1665"/>
      <c r="B4404" s="1666"/>
      <c r="C4404" s="688"/>
      <c r="D4404" s="1667"/>
      <c r="E4404" s="688"/>
      <c r="F4404" s="688"/>
      <c r="G4404" s="1674"/>
      <c r="H4404" s="1671">
        <f>H4403</f>
        <v>0</v>
      </c>
      <c r="I4404" s="1668" t="s">
        <v>95</v>
      </c>
      <c r="J4404" s="1669">
        <f>'Lead &amp; ANALYSIS'!L852</f>
        <v>1164.3</v>
      </c>
      <c r="K4404" s="1668" t="s">
        <v>1515</v>
      </c>
      <c r="L4404" s="1669">
        <f t="shared" si="738"/>
        <v>0</v>
      </c>
    </row>
    <row r="4405" spans="1:12" s="692" customFormat="1" ht="198" hidden="1">
      <c r="A4405" s="1665">
        <f>'Lead &amp; ANALYSIS'!A853</f>
        <v>90</v>
      </c>
      <c r="B4405" s="1666" t="str">
        <f>'Lead &amp; ANALYSIS'!B853</f>
        <v>Providing fitting, fixing of Aluminium Door with OEL anodized Al. door section of 9202 as vertical member, 9201 as top  and 9200 as bottom  and middle member and 6mm black glass in top portion with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4405" s="688"/>
      <c r="D4405" s="1667"/>
      <c r="E4405" s="688"/>
      <c r="F4405" s="688"/>
      <c r="G4405" s="1674"/>
      <c r="H4405" s="688"/>
      <c r="I4405" s="1668"/>
      <c r="J4405" s="1668"/>
      <c r="K4405" s="1668"/>
      <c r="L4405" s="1669"/>
    </row>
    <row r="4406" spans="1:12" s="692" customFormat="1" ht="16.5" hidden="1">
      <c r="A4406" s="1665"/>
      <c r="B4406" s="1666"/>
      <c r="C4406" s="688"/>
      <c r="D4406" s="1667"/>
      <c r="E4406" s="1671">
        <v>3.5</v>
      </c>
      <c r="F4406" s="1671">
        <v>4</v>
      </c>
      <c r="G4406" s="1674"/>
      <c r="H4406" s="1671">
        <f t="shared" ref="H4406:H4411" si="739">ROUND(D4406*E4406*F4406,2)</f>
        <v>0</v>
      </c>
      <c r="I4406" s="688" t="s">
        <v>92</v>
      </c>
      <c r="J4406" s="1668"/>
      <c r="K4406" s="1668"/>
      <c r="L4406" s="1669"/>
    </row>
    <row r="4407" spans="1:12" s="692" customFormat="1" ht="16.5" hidden="1">
      <c r="A4407" s="1665"/>
      <c r="B4407" s="1666"/>
      <c r="C4407" s="688"/>
      <c r="D4407" s="1667"/>
      <c r="E4407" s="1671">
        <v>3.5</v>
      </c>
      <c r="F4407" s="1671">
        <v>4</v>
      </c>
      <c r="G4407" s="1674"/>
      <c r="H4407" s="1671">
        <f t="shared" si="739"/>
        <v>0</v>
      </c>
      <c r="I4407" s="688" t="s">
        <v>92</v>
      </c>
      <c r="J4407" s="1668"/>
      <c r="K4407" s="1668"/>
      <c r="L4407" s="1669"/>
    </row>
    <row r="4408" spans="1:12" s="692" customFormat="1" ht="16.5" hidden="1">
      <c r="A4408" s="1665"/>
      <c r="B4408" s="1666"/>
      <c r="C4408" s="688"/>
      <c r="D4408" s="1667"/>
      <c r="E4408" s="1671">
        <v>3.5</v>
      </c>
      <c r="F4408" s="1671">
        <v>4</v>
      </c>
      <c r="G4408" s="1674"/>
      <c r="H4408" s="1671">
        <f t="shared" si="739"/>
        <v>0</v>
      </c>
      <c r="I4408" s="688" t="s">
        <v>92</v>
      </c>
      <c r="J4408" s="1668"/>
      <c r="K4408" s="1668"/>
      <c r="L4408" s="1669"/>
    </row>
    <row r="4409" spans="1:12" s="692" customFormat="1" ht="16.5" hidden="1">
      <c r="A4409" s="1665"/>
      <c r="B4409" s="1666"/>
      <c r="C4409" s="688"/>
      <c r="D4409" s="1667"/>
      <c r="E4409" s="1671">
        <v>3.5</v>
      </c>
      <c r="F4409" s="1671">
        <v>4</v>
      </c>
      <c r="G4409" s="1674"/>
      <c r="H4409" s="1671">
        <f t="shared" si="739"/>
        <v>0</v>
      </c>
      <c r="I4409" s="688" t="s">
        <v>92</v>
      </c>
      <c r="J4409" s="1668"/>
      <c r="K4409" s="1668"/>
      <c r="L4409" s="1669"/>
    </row>
    <row r="4410" spans="1:12" s="692" customFormat="1" ht="16.5" hidden="1">
      <c r="A4410" s="1665"/>
      <c r="B4410" s="1666"/>
      <c r="C4410" s="688"/>
      <c r="D4410" s="1667"/>
      <c r="E4410" s="1671">
        <v>3.5</v>
      </c>
      <c r="F4410" s="1671">
        <v>4</v>
      </c>
      <c r="G4410" s="1674"/>
      <c r="H4410" s="1671">
        <f t="shared" si="739"/>
        <v>0</v>
      </c>
      <c r="I4410" s="688" t="s">
        <v>92</v>
      </c>
      <c r="J4410" s="1668"/>
      <c r="K4410" s="1668"/>
      <c r="L4410" s="1669"/>
    </row>
    <row r="4411" spans="1:12" s="692" customFormat="1" ht="16.5" hidden="1">
      <c r="A4411" s="1665"/>
      <c r="B4411" s="1666"/>
      <c r="C4411" s="688"/>
      <c r="D4411" s="1667"/>
      <c r="E4411" s="1671">
        <v>3.5</v>
      </c>
      <c r="F4411" s="1671">
        <v>4</v>
      </c>
      <c r="G4411" s="1674"/>
      <c r="H4411" s="1671">
        <f t="shared" si="739"/>
        <v>0</v>
      </c>
      <c r="I4411" s="688" t="s">
        <v>92</v>
      </c>
      <c r="J4411" s="1668"/>
      <c r="K4411" s="1668"/>
      <c r="L4411" s="1669"/>
    </row>
    <row r="4412" spans="1:12" s="692" customFormat="1" ht="16.5" hidden="1">
      <c r="A4412" s="1665"/>
      <c r="B4412" s="1666"/>
      <c r="C4412" s="688"/>
      <c r="D4412" s="1667"/>
      <c r="E4412" s="688"/>
      <c r="F4412" s="688"/>
      <c r="G4412" s="1674" t="s">
        <v>928</v>
      </c>
      <c r="H4412" s="1671">
        <f>SUM(H4406:H4411)</f>
        <v>0</v>
      </c>
      <c r="I4412" s="1668" t="s">
        <v>92</v>
      </c>
      <c r="J4412" s="1669">
        <f>'Lead &amp; ANALYSIS'!L853</f>
        <v>7281.6</v>
      </c>
      <c r="K4412" s="1668" t="s">
        <v>1514</v>
      </c>
      <c r="L4412" s="1669">
        <f t="shared" ref="L4412:L4413" si="740">ROUND(H4412*J4412,0)</f>
        <v>0</v>
      </c>
    </row>
    <row r="4413" spans="1:12" s="692" customFormat="1" ht="16.5" hidden="1">
      <c r="A4413" s="1665"/>
      <c r="B4413" s="1666"/>
      <c r="C4413" s="688"/>
      <c r="D4413" s="1667"/>
      <c r="E4413" s="688"/>
      <c r="F4413" s="688"/>
      <c r="G4413" s="1674"/>
      <c r="H4413" s="1671">
        <f>H4412</f>
        <v>0</v>
      </c>
      <c r="I4413" s="1668" t="s">
        <v>95</v>
      </c>
      <c r="J4413" s="1669">
        <f>'Lead &amp; ANALYSIS'!L854</f>
        <v>984.3</v>
      </c>
      <c r="K4413" s="1668" t="s">
        <v>1515</v>
      </c>
      <c r="L4413" s="1669">
        <f t="shared" si="740"/>
        <v>0</v>
      </c>
    </row>
    <row r="4414" spans="1:12" s="692" customFormat="1" ht="132" hidden="1">
      <c r="A4414" s="1665">
        <f>'Lead &amp; ANALYSIS'!A855</f>
        <v>91</v>
      </c>
      <c r="B4414" s="1666" t="str">
        <f>'Lead &amp; ANALYSIS'!B855</f>
        <v>Supplying, fitting, fixing of Window (Sliding type) made of aluminium section 151-154, 151-155, as window frame section No-151-155, 151-153 and 151-167 as shutter frame with 5mm thick black glass as panel fitted with rubber beading including locking arrangement including cost of materials all taxes labour, T&amp;P etc.complete as per direction of Engineer-in-charge.</v>
      </c>
      <c r="C4414" s="688"/>
      <c r="D4414" s="1667"/>
      <c r="E4414" s="688"/>
      <c r="F4414" s="688"/>
      <c r="G4414" s="1674"/>
      <c r="H4414" s="688"/>
      <c r="I4414" s="1668"/>
      <c r="J4414" s="1668"/>
      <c r="K4414" s="1668"/>
      <c r="L4414" s="1669"/>
    </row>
    <row r="4415" spans="1:12" s="692" customFormat="1" ht="16.5" hidden="1">
      <c r="A4415" s="1665"/>
      <c r="B4415" s="1666"/>
      <c r="C4415" s="688"/>
      <c r="D4415" s="1667"/>
      <c r="E4415" s="1671">
        <v>3.5</v>
      </c>
      <c r="F4415" s="1671">
        <v>4</v>
      </c>
      <c r="G4415" s="1674"/>
      <c r="H4415" s="1671">
        <f t="shared" ref="H4415:H4420" si="741">ROUND(D4415*E4415*F4415,2)</f>
        <v>0</v>
      </c>
      <c r="I4415" s="688" t="s">
        <v>92</v>
      </c>
      <c r="J4415" s="1668"/>
      <c r="K4415" s="1668"/>
      <c r="L4415" s="1669"/>
    </row>
    <row r="4416" spans="1:12" s="692" customFormat="1" ht="16.5" hidden="1">
      <c r="A4416" s="1665"/>
      <c r="B4416" s="1666"/>
      <c r="C4416" s="688"/>
      <c r="D4416" s="1667"/>
      <c r="E4416" s="1671">
        <v>3.5</v>
      </c>
      <c r="F4416" s="1671">
        <v>4</v>
      </c>
      <c r="G4416" s="1674"/>
      <c r="H4416" s="1671">
        <f t="shared" si="741"/>
        <v>0</v>
      </c>
      <c r="I4416" s="688" t="s">
        <v>92</v>
      </c>
      <c r="J4416" s="1668"/>
      <c r="K4416" s="1668"/>
      <c r="L4416" s="1669"/>
    </row>
    <row r="4417" spans="1:12" s="692" customFormat="1" ht="16.5" hidden="1">
      <c r="A4417" s="1665"/>
      <c r="B4417" s="1666"/>
      <c r="C4417" s="688"/>
      <c r="D4417" s="1667"/>
      <c r="E4417" s="1671">
        <v>3.5</v>
      </c>
      <c r="F4417" s="1671">
        <v>4</v>
      </c>
      <c r="G4417" s="1674"/>
      <c r="H4417" s="1671">
        <f t="shared" si="741"/>
        <v>0</v>
      </c>
      <c r="I4417" s="688" t="s">
        <v>92</v>
      </c>
      <c r="J4417" s="1668"/>
      <c r="K4417" s="1668"/>
      <c r="L4417" s="1669"/>
    </row>
    <row r="4418" spans="1:12" s="692" customFormat="1" ht="16.5" hidden="1">
      <c r="A4418" s="1665"/>
      <c r="B4418" s="1666"/>
      <c r="C4418" s="688"/>
      <c r="D4418" s="1667"/>
      <c r="E4418" s="1671">
        <v>3.5</v>
      </c>
      <c r="F4418" s="1671">
        <v>4</v>
      </c>
      <c r="G4418" s="1674"/>
      <c r="H4418" s="1671">
        <f t="shared" si="741"/>
        <v>0</v>
      </c>
      <c r="I4418" s="688" t="s">
        <v>92</v>
      </c>
      <c r="J4418" s="1668"/>
      <c r="K4418" s="1668"/>
      <c r="L4418" s="1669"/>
    </row>
    <row r="4419" spans="1:12" s="692" customFormat="1" ht="16.5" hidden="1">
      <c r="A4419" s="1665"/>
      <c r="B4419" s="1666"/>
      <c r="C4419" s="688"/>
      <c r="D4419" s="1667"/>
      <c r="E4419" s="1671">
        <v>3.5</v>
      </c>
      <c r="F4419" s="1671">
        <v>4</v>
      </c>
      <c r="G4419" s="1674"/>
      <c r="H4419" s="1671">
        <f t="shared" si="741"/>
        <v>0</v>
      </c>
      <c r="I4419" s="688" t="s">
        <v>92</v>
      </c>
      <c r="J4419" s="1668"/>
      <c r="K4419" s="1668"/>
      <c r="L4419" s="1669"/>
    </row>
    <row r="4420" spans="1:12" s="692" customFormat="1" ht="16.5" hidden="1">
      <c r="A4420" s="1665"/>
      <c r="B4420" s="1666"/>
      <c r="C4420" s="688"/>
      <c r="D4420" s="1667"/>
      <c r="E4420" s="1671">
        <v>3.5</v>
      </c>
      <c r="F4420" s="1671">
        <v>4</v>
      </c>
      <c r="G4420" s="1674"/>
      <c r="H4420" s="1671">
        <f t="shared" si="741"/>
        <v>0</v>
      </c>
      <c r="I4420" s="688" t="s">
        <v>92</v>
      </c>
      <c r="J4420" s="1668"/>
      <c r="K4420" s="1668"/>
      <c r="L4420" s="1669"/>
    </row>
    <row r="4421" spans="1:12" s="692" customFormat="1" ht="16.5" hidden="1">
      <c r="A4421" s="1665"/>
      <c r="B4421" s="1666"/>
      <c r="C4421" s="688"/>
      <c r="D4421" s="1667"/>
      <c r="E4421" s="688"/>
      <c r="F4421" s="688"/>
      <c r="G4421" s="1674" t="s">
        <v>928</v>
      </c>
      <c r="H4421" s="1671">
        <f>SUM(H4415:H4420)</f>
        <v>0</v>
      </c>
      <c r="I4421" s="1668" t="s">
        <v>92</v>
      </c>
      <c r="J4421" s="1669">
        <f>'Lead &amp; ANALYSIS'!L855</f>
        <v>5405.5</v>
      </c>
      <c r="K4421" s="1668" t="s">
        <v>1514</v>
      </c>
      <c r="L4421" s="1669">
        <f t="shared" ref="L4421" si="742">ROUND(H4421*J4421,0)</f>
        <v>0</v>
      </c>
    </row>
    <row r="4422" spans="1:12" s="692" customFormat="1" ht="115.5" hidden="1">
      <c r="A4422" s="1665">
        <f>'Lead &amp; ANALYSIS'!A856</f>
        <v>92</v>
      </c>
      <c r="B4422" s="1666" t="str">
        <f>'Lead &amp; ANALYSIS'!B856</f>
        <v>Supplying, fitting, fixing of Window (Sliding type) made of aluminium section 9778 as window frame section No-4095,4096 and 9777,3994 as shutter frame with 5mm thick black glass as panel fitted with rubber beading including locking arrangement including cost of materials all taxes labour, T&amp;P etc.complete as per direction of Engineer-in-charge.</v>
      </c>
      <c r="C4422" s="688"/>
      <c r="D4422" s="1667"/>
      <c r="E4422" s="688"/>
      <c r="F4422" s="688"/>
      <c r="G4422" s="1674"/>
      <c r="H4422" s="688"/>
      <c r="I4422" s="1668"/>
      <c r="J4422" s="1668"/>
      <c r="K4422" s="1668"/>
      <c r="L4422" s="1669"/>
    </row>
    <row r="4423" spans="1:12" s="692" customFormat="1" ht="16.5" hidden="1">
      <c r="A4423" s="1665"/>
      <c r="B4423" s="1666"/>
      <c r="C4423" s="688"/>
      <c r="D4423" s="1667"/>
      <c r="E4423" s="1671">
        <v>3.5</v>
      </c>
      <c r="F4423" s="1671">
        <v>4</v>
      </c>
      <c r="G4423" s="1674"/>
      <c r="H4423" s="1671">
        <f t="shared" ref="H4423:H4428" si="743">ROUND(D4423*E4423*F4423,2)</f>
        <v>0</v>
      </c>
      <c r="I4423" s="688" t="s">
        <v>92</v>
      </c>
      <c r="J4423" s="1668"/>
      <c r="K4423" s="1668"/>
      <c r="L4423" s="1669"/>
    </row>
    <row r="4424" spans="1:12" s="692" customFormat="1" ht="16.5" hidden="1">
      <c r="A4424" s="1665"/>
      <c r="B4424" s="1666"/>
      <c r="C4424" s="688"/>
      <c r="D4424" s="1667"/>
      <c r="E4424" s="1671">
        <v>3.5</v>
      </c>
      <c r="F4424" s="1671">
        <v>4</v>
      </c>
      <c r="G4424" s="1674"/>
      <c r="H4424" s="1671">
        <f t="shared" si="743"/>
        <v>0</v>
      </c>
      <c r="I4424" s="688" t="s">
        <v>92</v>
      </c>
      <c r="J4424" s="1668"/>
      <c r="K4424" s="1668"/>
      <c r="L4424" s="1669"/>
    </row>
    <row r="4425" spans="1:12" s="692" customFormat="1" ht="16.5" hidden="1">
      <c r="A4425" s="1665"/>
      <c r="B4425" s="1666"/>
      <c r="C4425" s="688"/>
      <c r="D4425" s="1667"/>
      <c r="E4425" s="1671">
        <v>3.5</v>
      </c>
      <c r="F4425" s="1671">
        <v>4</v>
      </c>
      <c r="G4425" s="1674"/>
      <c r="H4425" s="1671">
        <f t="shared" si="743"/>
        <v>0</v>
      </c>
      <c r="I4425" s="688" t="s">
        <v>92</v>
      </c>
      <c r="J4425" s="1668"/>
      <c r="K4425" s="1668"/>
      <c r="L4425" s="1669"/>
    </row>
    <row r="4426" spans="1:12" s="692" customFormat="1" ht="16.5" hidden="1">
      <c r="A4426" s="1665"/>
      <c r="B4426" s="1666"/>
      <c r="C4426" s="688"/>
      <c r="D4426" s="1667"/>
      <c r="E4426" s="1671">
        <v>3.5</v>
      </c>
      <c r="F4426" s="1671">
        <v>4</v>
      </c>
      <c r="G4426" s="1674"/>
      <c r="H4426" s="1671">
        <f t="shared" si="743"/>
        <v>0</v>
      </c>
      <c r="I4426" s="688" t="s">
        <v>92</v>
      </c>
      <c r="J4426" s="1668"/>
      <c r="K4426" s="1668"/>
      <c r="L4426" s="1669"/>
    </row>
    <row r="4427" spans="1:12" s="692" customFormat="1" ht="16.5" hidden="1">
      <c r="A4427" s="1665"/>
      <c r="B4427" s="1666"/>
      <c r="C4427" s="688"/>
      <c r="D4427" s="1667"/>
      <c r="E4427" s="1671">
        <v>3.5</v>
      </c>
      <c r="F4427" s="1671">
        <v>4</v>
      </c>
      <c r="G4427" s="1674"/>
      <c r="H4427" s="1671">
        <f t="shared" si="743"/>
        <v>0</v>
      </c>
      <c r="I4427" s="688" t="s">
        <v>92</v>
      </c>
      <c r="J4427" s="1668"/>
      <c r="K4427" s="1668"/>
      <c r="L4427" s="1669"/>
    </row>
    <row r="4428" spans="1:12" s="692" customFormat="1" ht="16.5" hidden="1">
      <c r="A4428" s="1665"/>
      <c r="B4428" s="1666"/>
      <c r="C4428" s="688"/>
      <c r="D4428" s="1667"/>
      <c r="E4428" s="1671">
        <v>3.5</v>
      </c>
      <c r="F4428" s="1671">
        <v>4</v>
      </c>
      <c r="G4428" s="1674"/>
      <c r="H4428" s="1671">
        <f t="shared" si="743"/>
        <v>0</v>
      </c>
      <c r="I4428" s="688" t="s">
        <v>92</v>
      </c>
      <c r="J4428" s="1668"/>
      <c r="K4428" s="1668"/>
      <c r="L4428" s="1669"/>
    </row>
    <row r="4429" spans="1:12" s="692" customFormat="1" ht="16.5" hidden="1">
      <c r="A4429" s="1665"/>
      <c r="B4429" s="1666"/>
      <c r="C4429" s="688"/>
      <c r="D4429" s="1667"/>
      <c r="E4429" s="688"/>
      <c r="F4429" s="688"/>
      <c r="G4429" s="1674" t="s">
        <v>928</v>
      </c>
      <c r="H4429" s="1671">
        <f>SUM(H4423:H4428)</f>
        <v>0</v>
      </c>
      <c r="I4429" s="1668" t="s">
        <v>92</v>
      </c>
      <c r="J4429" s="1669">
        <f>'Lead &amp; ANALYSIS'!L856</f>
        <v>3627.9</v>
      </c>
      <c r="K4429" s="1668" t="s">
        <v>1514</v>
      </c>
      <c r="L4429" s="1669">
        <f t="shared" ref="L4429:L4430" si="744">ROUND(H4429*J4429,0)</f>
        <v>0</v>
      </c>
    </row>
    <row r="4430" spans="1:12" s="692" customFormat="1" ht="16.5" hidden="1">
      <c r="A4430" s="1665"/>
      <c r="B4430" s="1666"/>
      <c r="C4430" s="688"/>
      <c r="D4430" s="1667"/>
      <c r="E4430" s="688"/>
      <c r="F4430" s="688"/>
      <c r="G4430" s="1674"/>
      <c r="H4430" s="1671">
        <f>H4429</f>
        <v>0</v>
      </c>
      <c r="I4430" s="1668" t="s">
        <v>95</v>
      </c>
      <c r="J4430" s="1669">
        <f>'Lead &amp; ANALYSIS'!L857</f>
        <v>742.5</v>
      </c>
      <c r="K4430" s="1668" t="s">
        <v>1515</v>
      </c>
      <c r="L4430" s="1669">
        <f t="shared" si="744"/>
        <v>0</v>
      </c>
    </row>
    <row r="4431" spans="1:12" s="692" customFormat="1" ht="132" hidden="1">
      <c r="A4431" s="1665">
        <f>'Lead &amp; ANALYSIS'!A858</f>
        <v>93</v>
      </c>
      <c r="B4431" s="1666" t="str">
        <f>'Lead &amp; ANALYSIS'!B858</f>
        <v>Supplying, fitting, fixing of  fully glazed openable window using 15 micron anidized OEL aluminum section 2062 as out section, 9139 as mullion section, 4124 as a shutter section framed with tapered clip of section 4125, aluminum angle, rubber beading, friction stay and handle etc with 5mm black glass including cost of materials all taxes labour, T&amp;P etc.complete as per direction of Engineer-in-charge.</v>
      </c>
      <c r="C4431" s="688"/>
      <c r="D4431" s="1667"/>
      <c r="E4431" s="688"/>
      <c r="F4431" s="688"/>
      <c r="G4431" s="1674"/>
      <c r="H4431" s="688"/>
      <c r="I4431" s="1668"/>
      <c r="J4431" s="1668"/>
      <c r="K4431" s="1668"/>
      <c r="L4431" s="1669"/>
    </row>
    <row r="4432" spans="1:12" s="692" customFormat="1" ht="16.5" hidden="1">
      <c r="A4432" s="1665"/>
      <c r="B4432" s="1666"/>
      <c r="C4432" s="688"/>
      <c r="D4432" s="1667"/>
      <c r="E4432" s="1671">
        <v>3.5</v>
      </c>
      <c r="F4432" s="1671">
        <v>4</v>
      </c>
      <c r="G4432" s="1674"/>
      <c r="H4432" s="1671">
        <f t="shared" ref="H4432:H4437" si="745">ROUND(D4432*E4432*F4432,2)</f>
        <v>0</v>
      </c>
      <c r="I4432" s="688" t="s">
        <v>92</v>
      </c>
      <c r="J4432" s="1668"/>
      <c r="K4432" s="1668"/>
      <c r="L4432" s="1669"/>
    </row>
    <row r="4433" spans="1:12" s="692" customFormat="1" ht="16.5" hidden="1">
      <c r="A4433" s="1665"/>
      <c r="B4433" s="1666"/>
      <c r="C4433" s="688"/>
      <c r="D4433" s="1667"/>
      <c r="E4433" s="1671">
        <v>3.5</v>
      </c>
      <c r="F4433" s="1671">
        <v>4</v>
      </c>
      <c r="G4433" s="1674"/>
      <c r="H4433" s="1671">
        <f t="shared" si="745"/>
        <v>0</v>
      </c>
      <c r="I4433" s="688" t="s">
        <v>92</v>
      </c>
      <c r="J4433" s="1668"/>
      <c r="K4433" s="1668"/>
      <c r="L4433" s="1669"/>
    </row>
    <row r="4434" spans="1:12" s="692" customFormat="1" ht="16.5" hidden="1">
      <c r="A4434" s="1665"/>
      <c r="B4434" s="1666"/>
      <c r="C4434" s="688"/>
      <c r="D4434" s="1667"/>
      <c r="E4434" s="1671">
        <v>3.5</v>
      </c>
      <c r="F4434" s="1671">
        <v>4</v>
      </c>
      <c r="G4434" s="1674"/>
      <c r="H4434" s="1671">
        <f t="shared" si="745"/>
        <v>0</v>
      </c>
      <c r="I4434" s="688" t="s">
        <v>92</v>
      </c>
      <c r="J4434" s="1668"/>
      <c r="K4434" s="1668"/>
      <c r="L4434" s="1669"/>
    </row>
    <row r="4435" spans="1:12" s="692" customFormat="1" ht="16.5" hidden="1">
      <c r="A4435" s="1665"/>
      <c r="B4435" s="1666"/>
      <c r="C4435" s="688"/>
      <c r="D4435" s="1667"/>
      <c r="E4435" s="1671">
        <v>3.5</v>
      </c>
      <c r="F4435" s="1671">
        <v>4</v>
      </c>
      <c r="G4435" s="1674"/>
      <c r="H4435" s="1671">
        <f t="shared" si="745"/>
        <v>0</v>
      </c>
      <c r="I4435" s="688" t="s">
        <v>92</v>
      </c>
      <c r="J4435" s="1668"/>
      <c r="K4435" s="1668"/>
      <c r="L4435" s="1669"/>
    </row>
    <row r="4436" spans="1:12" s="692" customFormat="1" ht="16.5" hidden="1">
      <c r="A4436" s="1665"/>
      <c r="B4436" s="1666"/>
      <c r="C4436" s="688"/>
      <c r="D4436" s="1667"/>
      <c r="E4436" s="1671">
        <v>3.5</v>
      </c>
      <c r="F4436" s="1671">
        <v>4</v>
      </c>
      <c r="G4436" s="1674"/>
      <c r="H4436" s="1671">
        <f t="shared" si="745"/>
        <v>0</v>
      </c>
      <c r="I4436" s="688" t="s">
        <v>92</v>
      </c>
      <c r="J4436" s="1668"/>
      <c r="K4436" s="1668"/>
      <c r="L4436" s="1669"/>
    </row>
    <row r="4437" spans="1:12" s="692" customFormat="1" ht="16.5" hidden="1">
      <c r="A4437" s="1665"/>
      <c r="B4437" s="1666"/>
      <c r="C4437" s="688"/>
      <c r="D4437" s="1667"/>
      <c r="E4437" s="1671">
        <v>3.5</v>
      </c>
      <c r="F4437" s="1671">
        <v>4</v>
      </c>
      <c r="G4437" s="1674"/>
      <c r="H4437" s="1671">
        <f t="shared" si="745"/>
        <v>0</v>
      </c>
      <c r="I4437" s="688" t="s">
        <v>92</v>
      </c>
      <c r="J4437" s="1668"/>
      <c r="K4437" s="1668"/>
      <c r="L4437" s="1669"/>
    </row>
    <row r="4438" spans="1:12" s="692" customFormat="1" ht="16.5" hidden="1">
      <c r="A4438" s="1665"/>
      <c r="B4438" s="1666"/>
      <c r="C4438" s="688"/>
      <c r="D4438" s="1667"/>
      <c r="E4438" s="688"/>
      <c r="F4438" s="688"/>
      <c r="G4438" s="1674" t="s">
        <v>928</v>
      </c>
      <c r="H4438" s="1671">
        <f>SUM(H4432:H4437)</f>
        <v>0</v>
      </c>
      <c r="I4438" s="1668" t="s">
        <v>92</v>
      </c>
      <c r="J4438" s="1669">
        <f>'Lead &amp; ANALYSIS'!L858</f>
        <v>3918.1</v>
      </c>
      <c r="K4438" s="1668" t="s">
        <v>1514</v>
      </c>
      <c r="L4438" s="1669">
        <f t="shared" ref="L4438:L4439" si="746">ROUND(H4438*J4438,0)</f>
        <v>0</v>
      </c>
    </row>
    <row r="4439" spans="1:12" s="692" customFormat="1" ht="16.5" hidden="1">
      <c r="A4439" s="1665"/>
      <c r="B4439" s="1666"/>
      <c r="C4439" s="688"/>
      <c r="D4439" s="1667"/>
      <c r="E4439" s="688"/>
      <c r="F4439" s="688"/>
      <c r="G4439" s="1674"/>
      <c r="H4439" s="1671">
        <f>H4438</f>
        <v>0</v>
      </c>
      <c r="I4439" s="1668" t="s">
        <v>95</v>
      </c>
      <c r="J4439" s="1669">
        <f>'Lead &amp; ANALYSIS'!L859</f>
        <v>829</v>
      </c>
      <c r="K4439" s="1668" t="s">
        <v>1515</v>
      </c>
      <c r="L4439" s="1669">
        <f t="shared" si="746"/>
        <v>0</v>
      </c>
    </row>
    <row r="4440" spans="1:12" s="692" customFormat="1" ht="363" hidden="1">
      <c r="A4440" s="1665">
        <f>'Lead &amp; ANALYSIS'!A860</f>
        <v>94</v>
      </c>
      <c r="B4440" s="1666" t="str">
        <f>'Lead &amp; ANALYSIS'!B860</f>
        <v xml:space="preserve">Providing and fixing of Sliding windows of approved make to be fabricated from roll formed sections made of pre-painted steel (base steel as per IS-513 of 0.6 mm thick “D” quality, galvanized as per IS-277with zinc of 120 Gm/Sq.mtr) with total coated thickness of 0.55 mm.  Sections for external frame bottom and top should be of 79 x 45 mm. external frame sides should be of 69 x 24 mm, guide for top and bottom should be of 69 x 26mm (Stainless Steel).Section for shutter should be of 26 x 30 mm, Sash bar should be of 23 x 57mm.Accessories / gaskets are to be used as per the manufacturer’s supply and specification like gasket will be made of EPDM. All corner brackets for internal and external are to be made of glass filled nylon. The sections are to be cut to length jointed  and assembled by means of corner bracket and frames are fixed to the concrete/masonry walls by means of self expanding screws and glass to be used of 5 mm reflective with cost, conveyance and taxes of all materials, cost of all labour, T&amp;P etc. complete as per the direction of the Engineer-in-charge. </v>
      </c>
      <c r="C4440" s="688"/>
      <c r="D4440" s="1667"/>
      <c r="E4440" s="688"/>
      <c r="F4440" s="688"/>
      <c r="G4440" s="1674"/>
      <c r="H4440" s="688"/>
      <c r="I4440" s="1668"/>
      <c r="J4440" s="1668"/>
      <c r="K4440" s="1668"/>
      <c r="L4440" s="1669"/>
    </row>
    <row r="4441" spans="1:12" s="692" customFormat="1" ht="16.5" hidden="1">
      <c r="A4441" s="1665"/>
      <c r="B4441" s="1666"/>
      <c r="C4441" s="688"/>
      <c r="D4441" s="1667"/>
      <c r="E4441" s="1671">
        <v>3.5</v>
      </c>
      <c r="F4441" s="1671">
        <v>4</v>
      </c>
      <c r="G4441" s="1674"/>
      <c r="H4441" s="1671">
        <f t="shared" ref="H4441:H4446" si="747">ROUND(D4441*E4441*F4441,2)</f>
        <v>0</v>
      </c>
      <c r="I4441" s="688" t="s">
        <v>92</v>
      </c>
      <c r="J4441" s="1668"/>
      <c r="K4441" s="1668"/>
      <c r="L4441" s="1669"/>
    </row>
    <row r="4442" spans="1:12" s="692" customFormat="1" ht="16.5" hidden="1">
      <c r="A4442" s="1665"/>
      <c r="B4442" s="1666"/>
      <c r="C4442" s="688"/>
      <c r="D4442" s="1667"/>
      <c r="E4442" s="1671">
        <v>3.5</v>
      </c>
      <c r="F4442" s="1671">
        <v>4</v>
      </c>
      <c r="G4442" s="1674"/>
      <c r="H4442" s="1671">
        <f t="shared" si="747"/>
        <v>0</v>
      </c>
      <c r="I4442" s="688" t="s">
        <v>92</v>
      </c>
      <c r="J4442" s="1668"/>
      <c r="K4442" s="1668"/>
      <c r="L4442" s="1669"/>
    </row>
    <row r="4443" spans="1:12" s="692" customFormat="1" ht="16.5" hidden="1">
      <c r="A4443" s="1665"/>
      <c r="B4443" s="1666"/>
      <c r="C4443" s="688"/>
      <c r="D4443" s="1667"/>
      <c r="E4443" s="1671">
        <v>3.5</v>
      </c>
      <c r="F4443" s="1671">
        <v>4</v>
      </c>
      <c r="G4443" s="1674"/>
      <c r="H4443" s="1671">
        <f t="shared" si="747"/>
        <v>0</v>
      </c>
      <c r="I4443" s="688" t="s">
        <v>92</v>
      </c>
      <c r="J4443" s="1668"/>
      <c r="K4443" s="1668"/>
      <c r="L4443" s="1669"/>
    </row>
    <row r="4444" spans="1:12" s="692" customFormat="1" ht="16.5" hidden="1">
      <c r="A4444" s="1665"/>
      <c r="B4444" s="1666"/>
      <c r="C4444" s="688"/>
      <c r="D4444" s="1667"/>
      <c r="E4444" s="1671">
        <v>3.5</v>
      </c>
      <c r="F4444" s="1671">
        <v>4</v>
      </c>
      <c r="G4444" s="1674"/>
      <c r="H4444" s="1671">
        <f t="shared" si="747"/>
        <v>0</v>
      </c>
      <c r="I4444" s="688" t="s">
        <v>92</v>
      </c>
      <c r="J4444" s="1668"/>
      <c r="K4444" s="1668"/>
      <c r="L4444" s="1669"/>
    </row>
    <row r="4445" spans="1:12" s="692" customFormat="1" ht="16.5" hidden="1">
      <c r="A4445" s="1665"/>
      <c r="B4445" s="1666"/>
      <c r="C4445" s="688"/>
      <c r="D4445" s="1667"/>
      <c r="E4445" s="1671">
        <v>3.5</v>
      </c>
      <c r="F4445" s="1671">
        <v>4</v>
      </c>
      <c r="G4445" s="1674"/>
      <c r="H4445" s="1671">
        <f t="shared" si="747"/>
        <v>0</v>
      </c>
      <c r="I4445" s="688" t="s">
        <v>92</v>
      </c>
      <c r="J4445" s="1668"/>
      <c r="K4445" s="1668"/>
      <c r="L4445" s="1669"/>
    </row>
    <row r="4446" spans="1:12" s="692" customFormat="1" ht="16.5" hidden="1">
      <c r="A4446" s="1665"/>
      <c r="B4446" s="1666"/>
      <c r="C4446" s="688"/>
      <c r="D4446" s="1667"/>
      <c r="E4446" s="1671">
        <v>3.5</v>
      </c>
      <c r="F4446" s="1671">
        <v>4</v>
      </c>
      <c r="G4446" s="1674"/>
      <c r="H4446" s="1671">
        <f t="shared" si="747"/>
        <v>0</v>
      </c>
      <c r="I4446" s="688" t="s">
        <v>92</v>
      </c>
      <c r="J4446" s="1668"/>
      <c r="K4446" s="1668"/>
      <c r="L4446" s="1669"/>
    </row>
    <row r="4447" spans="1:12" s="692" customFormat="1" ht="16.5" hidden="1">
      <c r="A4447" s="1665"/>
      <c r="B4447" s="1666"/>
      <c r="C4447" s="688"/>
      <c r="D4447" s="1667"/>
      <c r="E4447" s="688"/>
      <c r="F4447" s="688"/>
      <c r="G4447" s="1674" t="s">
        <v>928</v>
      </c>
      <c r="H4447" s="1671">
        <f>SUM(H4441:H4446)</f>
        <v>0</v>
      </c>
      <c r="I4447" s="1668" t="s">
        <v>92</v>
      </c>
      <c r="J4447" s="1669">
        <f>'Lead &amp; ANALYSIS'!L860</f>
        <v>4308.2</v>
      </c>
      <c r="K4447" s="1668" t="s">
        <v>1514</v>
      </c>
      <c r="L4447" s="1669">
        <f t="shared" ref="L4447" si="748">ROUND(H4447*J4447,0)</f>
        <v>0</v>
      </c>
    </row>
    <row r="4448" spans="1:12" s="692" customFormat="1" ht="363" hidden="1">
      <c r="A4448" s="1665">
        <f>'Lead &amp; ANALYSIS'!A861</f>
        <v>95</v>
      </c>
      <c r="B4448" s="1666" t="str">
        <f>'Lead &amp; ANALYSIS'!B861</f>
        <v xml:space="preserve">Providing and fixing of Fixed Ventilators of approved make to be fabricated from roll formed sections made of pre-painted steel (base steel as per IS-513 of 0.6 mm thick “D” quality, galvanized as per IS-277 with zinc of 120 Gm/Sq.mtr) with paint specification being with primer of 5-7 microns and finished paint with polyster paint of 12-16 microns along with the alkyd backer at the back of 5-7 microns and the sizes of outer frame being of 46x52 mm and with all vertical and horizontal mullions are of 46x70 mm and fixed beadings are of 18x25 mm.Accessories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 mm reflective with cost, conveyance and taxes of all materials, cost of all labour, T&amp;P etc. complete as per the direction of the Engineer-in-charge. </v>
      </c>
      <c r="C4448" s="688"/>
      <c r="D4448" s="1667"/>
      <c r="E4448" s="688"/>
      <c r="F4448" s="688"/>
      <c r="G4448" s="1674"/>
      <c r="H4448" s="688"/>
      <c r="I4448" s="1668"/>
      <c r="J4448" s="1668"/>
      <c r="K4448" s="1668"/>
      <c r="L4448" s="1669"/>
    </row>
    <row r="4449" spans="1:12" s="692" customFormat="1" ht="16.5" hidden="1">
      <c r="A4449" s="1665"/>
      <c r="B4449" s="1666"/>
      <c r="C4449" s="688"/>
      <c r="D4449" s="1667"/>
      <c r="E4449" s="1671">
        <v>3.5</v>
      </c>
      <c r="F4449" s="1671">
        <v>4</v>
      </c>
      <c r="G4449" s="1674"/>
      <c r="H4449" s="1671">
        <f t="shared" ref="H4449:H4454" si="749">ROUND(D4449*E4449*F4449,2)</f>
        <v>0</v>
      </c>
      <c r="I4449" s="688" t="s">
        <v>92</v>
      </c>
      <c r="J4449" s="1668"/>
      <c r="K4449" s="1668"/>
      <c r="L4449" s="1669"/>
    </row>
    <row r="4450" spans="1:12" s="692" customFormat="1" ht="16.5" hidden="1">
      <c r="A4450" s="1665"/>
      <c r="B4450" s="1666"/>
      <c r="C4450" s="688"/>
      <c r="D4450" s="1667"/>
      <c r="E4450" s="1671">
        <v>3.5</v>
      </c>
      <c r="F4450" s="1671">
        <v>4</v>
      </c>
      <c r="G4450" s="1674"/>
      <c r="H4450" s="1671">
        <f t="shared" si="749"/>
        <v>0</v>
      </c>
      <c r="I4450" s="688" t="s">
        <v>92</v>
      </c>
      <c r="J4450" s="1668"/>
      <c r="K4450" s="1668"/>
      <c r="L4450" s="1669"/>
    </row>
    <row r="4451" spans="1:12" s="692" customFormat="1" ht="16.5" hidden="1">
      <c r="A4451" s="1665"/>
      <c r="B4451" s="1666"/>
      <c r="C4451" s="688"/>
      <c r="D4451" s="1667"/>
      <c r="E4451" s="1671">
        <v>3.5</v>
      </c>
      <c r="F4451" s="1671">
        <v>4</v>
      </c>
      <c r="G4451" s="1674"/>
      <c r="H4451" s="1671">
        <f t="shared" si="749"/>
        <v>0</v>
      </c>
      <c r="I4451" s="688" t="s">
        <v>92</v>
      </c>
      <c r="J4451" s="1668"/>
      <c r="K4451" s="1668"/>
      <c r="L4451" s="1669"/>
    </row>
    <row r="4452" spans="1:12" s="692" customFormat="1" ht="16.5" hidden="1">
      <c r="A4452" s="1665"/>
      <c r="B4452" s="1666"/>
      <c r="C4452" s="688"/>
      <c r="D4452" s="1667"/>
      <c r="E4452" s="1671">
        <v>3.5</v>
      </c>
      <c r="F4452" s="1671">
        <v>4</v>
      </c>
      <c r="G4452" s="1674"/>
      <c r="H4452" s="1671">
        <f t="shared" si="749"/>
        <v>0</v>
      </c>
      <c r="I4452" s="688" t="s">
        <v>92</v>
      </c>
      <c r="J4452" s="1668"/>
      <c r="K4452" s="1668"/>
      <c r="L4452" s="1669"/>
    </row>
    <row r="4453" spans="1:12" s="692" customFormat="1" ht="16.5" hidden="1">
      <c r="A4453" s="1665"/>
      <c r="B4453" s="1666"/>
      <c r="C4453" s="688"/>
      <c r="D4453" s="1667"/>
      <c r="E4453" s="1671">
        <v>3.5</v>
      </c>
      <c r="F4453" s="1671">
        <v>4</v>
      </c>
      <c r="G4453" s="1674"/>
      <c r="H4453" s="1671">
        <f t="shared" si="749"/>
        <v>0</v>
      </c>
      <c r="I4453" s="688" t="s">
        <v>92</v>
      </c>
      <c r="J4453" s="1668"/>
      <c r="K4453" s="1668"/>
      <c r="L4453" s="1669"/>
    </row>
    <row r="4454" spans="1:12" s="692" customFormat="1" ht="16.5" hidden="1">
      <c r="A4454" s="1665"/>
      <c r="B4454" s="1666"/>
      <c r="C4454" s="688"/>
      <c r="D4454" s="1667"/>
      <c r="E4454" s="1671">
        <v>3.5</v>
      </c>
      <c r="F4454" s="1671">
        <v>4</v>
      </c>
      <c r="G4454" s="1674"/>
      <c r="H4454" s="1671">
        <f t="shared" si="749"/>
        <v>0</v>
      </c>
      <c r="I4454" s="688" t="s">
        <v>92</v>
      </c>
      <c r="J4454" s="1668"/>
      <c r="K4454" s="1668"/>
      <c r="L4454" s="1669"/>
    </row>
    <row r="4455" spans="1:12" s="692" customFormat="1" ht="16.5" hidden="1">
      <c r="A4455" s="1665"/>
      <c r="B4455" s="1666"/>
      <c r="C4455" s="688"/>
      <c r="D4455" s="1667"/>
      <c r="E4455" s="688"/>
      <c r="F4455" s="688"/>
      <c r="G4455" s="1674" t="s">
        <v>928</v>
      </c>
      <c r="H4455" s="1671">
        <f>SUM(H4449:H4454)</f>
        <v>0</v>
      </c>
      <c r="I4455" s="1668" t="s">
        <v>92</v>
      </c>
      <c r="J4455" s="1669">
        <f>'Lead &amp; ANALYSIS'!L861</f>
        <v>4530.3</v>
      </c>
      <c r="K4455" s="1668" t="s">
        <v>1514</v>
      </c>
      <c r="L4455" s="1669">
        <f t="shared" ref="L4455" si="750">ROUND(H4455*J4455,0)</f>
        <v>0</v>
      </c>
    </row>
    <row r="4456" spans="1:12" s="692" customFormat="1" ht="363" hidden="1">
      <c r="A4456" s="1665">
        <f>'Lead &amp; ANALYSIS'!A862</f>
        <v>96</v>
      </c>
      <c r="B4456" s="1666" t="str">
        <f>'Lead &amp; ANALYSIS'!B862</f>
        <v xml:space="preserve">Providing and fixing of Partly fixed, partly top hung and partly louvered windows of approved make to be fabricated from roll formed sections made of pre-painted steel (base steel as per IS- 513 of 0.6 mm thick “D” quality, galvanized as per IS-277 with zinc of 120 Gm/Sq.mtr) with paint pecification being with primer of 5-7 microns and finished paint with polyster paint of 12-16 microns alongwith the alkyd backer at the back of 5-7 microns and the sizes of outer frame being of 46x52 mm and with all vertical and horizontal mullions are of 46x70 mm and fixed beadings are of 18x25 mm. Section for internal top and bottom frames in the louvered areas should be 18 x 40 mm.Top hung shutter should be of 46 x 46 mm. 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5mm reflective with cost, conveyance and taxes of all materials, cost of all labour, T&amp;P etc. complete as per the direction of the Engineer-in-charge. </v>
      </c>
      <c r="C4456" s="688"/>
      <c r="D4456" s="1667"/>
      <c r="E4456" s="688"/>
      <c r="F4456" s="688"/>
      <c r="G4456" s="1674"/>
      <c r="H4456" s="688"/>
      <c r="I4456" s="1668"/>
      <c r="J4456" s="1668"/>
      <c r="K4456" s="1668"/>
      <c r="L4456" s="1669"/>
    </row>
    <row r="4457" spans="1:12" s="692" customFormat="1" ht="16.5" hidden="1">
      <c r="A4457" s="1665"/>
      <c r="B4457" s="1666"/>
      <c r="C4457" s="688"/>
      <c r="D4457" s="1667"/>
      <c r="E4457" s="1671">
        <v>3.5</v>
      </c>
      <c r="F4457" s="1671">
        <v>4</v>
      </c>
      <c r="G4457" s="1674"/>
      <c r="H4457" s="1671">
        <f t="shared" ref="H4457:H4462" si="751">ROUND(D4457*E4457*F4457,2)</f>
        <v>0</v>
      </c>
      <c r="I4457" s="688" t="s">
        <v>92</v>
      </c>
      <c r="J4457" s="1668"/>
      <c r="K4457" s="1668"/>
      <c r="L4457" s="1669"/>
    </row>
    <row r="4458" spans="1:12" s="692" customFormat="1" ht="16.5" hidden="1">
      <c r="A4458" s="1665"/>
      <c r="B4458" s="1666"/>
      <c r="C4458" s="688"/>
      <c r="D4458" s="1667"/>
      <c r="E4458" s="1671">
        <v>3.5</v>
      </c>
      <c r="F4458" s="1671">
        <v>4</v>
      </c>
      <c r="G4458" s="1674"/>
      <c r="H4458" s="1671">
        <f t="shared" si="751"/>
        <v>0</v>
      </c>
      <c r="I4458" s="688" t="s">
        <v>92</v>
      </c>
      <c r="J4458" s="1668"/>
      <c r="K4458" s="1668"/>
      <c r="L4458" s="1669"/>
    </row>
    <row r="4459" spans="1:12" s="692" customFormat="1" ht="16.5" hidden="1">
      <c r="A4459" s="1665"/>
      <c r="B4459" s="1666"/>
      <c r="C4459" s="688"/>
      <c r="D4459" s="1667"/>
      <c r="E4459" s="1671">
        <v>3.5</v>
      </c>
      <c r="F4459" s="1671">
        <v>4</v>
      </c>
      <c r="G4459" s="1674"/>
      <c r="H4459" s="1671">
        <f t="shared" si="751"/>
        <v>0</v>
      </c>
      <c r="I4459" s="688" t="s">
        <v>92</v>
      </c>
      <c r="J4459" s="1668"/>
      <c r="K4459" s="1668"/>
      <c r="L4459" s="1669"/>
    </row>
    <row r="4460" spans="1:12" s="692" customFormat="1" ht="16.5" hidden="1">
      <c r="A4460" s="1665"/>
      <c r="B4460" s="1666"/>
      <c r="C4460" s="688"/>
      <c r="D4460" s="1667"/>
      <c r="E4460" s="1671">
        <v>3.5</v>
      </c>
      <c r="F4460" s="1671">
        <v>4</v>
      </c>
      <c r="G4460" s="1674"/>
      <c r="H4460" s="1671">
        <f t="shared" si="751"/>
        <v>0</v>
      </c>
      <c r="I4460" s="688" t="s">
        <v>92</v>
      </c>
      <c r="J4460" s="1668"/>
      <c r="K4460" s="1668"/>
      <c r="L4460" s="1669"/>
    </row>
    <row r="4461" spans="1:12" s="692" customFormat="1" ht="16.5" hidden="1">
      <c r="A4461" s="1665"/>
      <c r="B4461" s="1666"/>
      <c r="C4461" s="688"/>
      <c r="D4461" s="1667"/>
      <c r="E4461" s="1671">
        <v>3.5</v>
      </c>
      <c r="F4461" s="1671">
        <v>4</v>
      </c>
      <c r="G4461" s="1674"/>
      <c r="H4461" s="1671">
        <f t="shared" si="751"/>
        <v>0</v>
      </c>
      <c r="I4461" s="688" t="s">
        <v>92</v>
      </c>
      <c r="J4461" s="1668"/>
      <c r="K4461" s="1668"/>
      <c r="L4461" s="1669"/>
    </row>
    <row r="4462" spans="1:12" s="692" customFormat="1" ht="16.5" hidden="1">
      <c r="A4462" s="1665"/>
      <c r="B4462" s="1666"/>
      <c r="C4462" s="688"/>
      <c r="D4462" s="1667"/>
      <c r="E4462" s="1671">
        <v>3.5</v>
      </c>
      <c r="F4462" s="1671">
        <v>4</v>
      </c>
      <c r="G4462" s="1674"/>
      <c r="H4462" s="1671">
        <f t="shared" si="751"/>
        <v>0</v>
      </c>
      <c r="I4462" s="688" t="s">
        <v>92</v>
      </c>
      <c r="J4462" s="1668"/>
      <c r="K4462" s="1668"/>
      <c r="L4462" s="1669"/>
    </row>
    <row r="4463" spans="1:12" s="692" customFormat="1" ht="16.5" hidden="1">
      <c r="A4463" s="1665"/>
      <c r="B4463" s="1666"/>
      <c r="C4463" s="688"/>
      <c r="D4463" s="1667"/>
      <c r="E4463" s="688"/>
      <c r="F4463" s="688"/>
      <c r="G4463" s="1674" t="s">
        <v>928</v>
      </c>
      <c r="H4463" s="1671">
        <f>SUM(H4457:H4462)</f>
        <v>0</v>
      </c>
      <c r="I4463" s="1668" t="s">
        <v>92</v>
      </c>
      <c r="J4463" s="1669">
        <f>'Lead &amp; ANALYSIS'!L862</f>
        <v>4309.3</v>
      </c>
      <c r="K4463" s="1668" t="s">
        <v>1514</v>
      </c>
      <c r="L4463" s="1669">
        <f t="shared" ref="L4463" si="752">ROUND(H4463*J4463,0)</f>
        <v>0</v>
      </c>
    </row>
    <row r="4464" spans="1:12" s="692" customFormat="1" ht="16.5" hidden="1">
      <c r="A4464" s="1665"/>
      <c r="B4464" s="1666"/>
      <c r="C4464" s="688"/>
      <c r="D4464" s="1667"/>
      <c r="E4464" s="688"/>
      <c r="F4464" s="688"/>
      <c r="G4464" s="1674"/>
      <c r="H4464" s="688"/>
      <c r="I4464" s="1668"/>
      <c r="J4464" s="1668"/>
      <c r="K4464" s="1668"/>
      <c r="L4464" s="1669"/>
    </row>
    <row r="4465" spans="1:12" s="692" customFormat="1" ht="346.5" hidden="1">
      <c r="A4465" s="1665">
        <f>'Lead &amp; ANALYSIS'!A863</f>
        <v>97</v>
      </c>
      <c r="B4465" s="1666" t="str">
        <f>'Lead &amp; ANALYSIS'!B863</f>
        <v>Providing and fixing of Swing Door of approved make  to be fabricated from roll formed sections made of pre-painted steel (base steel as per IS-513 of 0.6 mm thick “D” quality, galvanized as per IS-277with zinc of 120 Gm/Sq.mtr) with paint specification being with primer of 5-7 microns and finished paint with polyster paint (Black /Pearl white/ Chocolate Brown) of 12-16 microns along with the alkyd backer at the back of 5-7 microns and sizes of outer frame being of 33 x 57 mm and shutter being of 46x52mm and 46x46mm and lock rail should be of 23x130mm Accessories / gaskets are to be used as per the manufacturer’s supply and specification like handle, lock and floor spring of approved quality. Gasket will be made of EPDM. All corner brackets are to be made of CRCA wth zinc phosphating.The sectio are to be  cut to length, mitre jointed with corner bracket and frames are fixed to the concrete/masonry walls by means of self expanding screws and glass to be used of 6 mm clear taxes etc. complete as per the direction of the Engineer-in-charge.</v>
      </c>
      <c r="C4465" s="688"/>
      <c r="D4465" s="1667"/>
      <c r="E4465" s="688"/>
      <c r="F4465" s="688"/>
      <c r="G4465" s="1674"/>
      <c r="H4465" s="688"/>
      <c r="I4465" s="1668"/>
      <c r="J4465" s="1668"/>
      <c r="K4465" s="1668"/>
      <c r="L4465" s="1669"/>
    </row>
    <row r="4466" spans="1:12" s="692" customFormat="1" ht="16.5" hidden="1">
      <c r="A4466" s="1665"/>
      <c r="B4466" s="1666"/>
      <c r="C4466" s="688"/>
      <c r="D4466" s="1667"/>
      <c r="E4466" s="688">
        <v>3.5</v>
      </c>
      <c r="F4466" s="688">
        <v>4</v>
      </c>
      <c r="G4466" s="1674"/>
      <c r="H4466" s="688">
        <f t="shared" ref="H4466:H4471" si="753">ROUND(D4466*E4466*F4466,2)</f>
        <v>0</v>
      </c>
      <c r="I4466" s="688" t="s">
        <v>92</v>
      </c>
      <c r="J4466" s="1668"/>
      <c r="K4466" s="1668"/>
      <c r="L4466" s="1669"/>
    </row>
    <row r="4467" spans="1:12" s="692" customFormat="1" ht="16.5" hidden="1">
      <c r="A4467" s="1665"/>
      <c r="B4467" s="1666"/>
      <c r="C4467" s="688"/>
      <c r="D4467" s="1667"/>
      <c r="E4467" s="688">
        <v>3.5</v>
      </c>
      <c r="F4467" s="688">
        <v>4</v>
      </c>
      <c r="G4467" s="1674"/>
      <c r="H4467" s="688">
        <f t="shared" si="753"/>
        <v>0</v>
      </c>
      <c r="I4467" s="688" t="s">
        <v>92</v>
      </c>
      <c r="J4467" s="1668"/>
      <c r="K4467" s="1668"/>
      <c r="L4467" s="1669"/>
    </row>
    <row r="4468" spans="1:12" s="692" customFormat="1" ht="16.5" hidden="1">
      <c r="A4468" s="1665"/>
      <c r="B4468" s="1666"/>
      <c r="C4468" s="688"/>
      <c r="D4468" s="1667"/>
      <c r="E4468" s="688">
        <v>3.5</v>
      </c>
      <c r="F4468" s="688">
        <v>4</v>
      </c>
      <c r="G4468" s="1674"/>
      <c r="H4468" s="688">
        <f t="shared" si="753"/>
        <v>0</v>
      </c>
      <c r="I4468" s="688" t="s">
        <v>92</v>
      </c>
      <c r="J4468" s="1668"/>
      <c r="K4468" s="1668"/>
      <c r="L4468" s="1669"/>
    </row>
    <row r="4469" spans="1:12" s="692" customFormat="1" ht="16.5" hidden="1">
      <c r="A4469" s="1665"/>
      <c r="B4469" s="1666"/>
      <c r="C4469" s="688"/>
      <c r="D4469" s="1667"/>
      <c r="E4469" s="688">
        <v>3.5</v>
      </c>
      <c r="F4469" s="688">
        <v>4</v>
      </c>
      <c r="G4469" s="1674"/>
      <c r="H4469" s="688">
        <f t="shared" si="753"/>
        <v>0</v>
      </c>
      <c r="I4469" s="688" t="s">
        <v>92</v>
      </c>
      <c r="J4469" s="1668"/>
      <c r="K4469" s="1668"/>
      <c r="L4469" s="1669"/>
    </row>
    <row r="4470" spans="1:12" s="692" customFormat="1" ht="16.5" hidden="1">
      <c r="A4470" s="1665"/>
      <c r="B4470" s="1666"/>
      <c r="C4470" s="688"/>
      <c r="D4470" s="1667"/>
      <c r="E4470" s="688">
        <v>3.5</v>
      </c>
      <c r="F4470" s="688">
        <v>4</v>
      </c>
      <c r="G4470" s="1674"/>
      <c r="H4470" s="688">
        <f t="shared" si="753"/>
        <v>0</v>
      </c>
      <c r="I4470" s="688" t="s">
        <v>92</v>
      </c>
      <c r="J4470" s="1668"/>
      <c r="K4470" s="1668"/>
      <c r="L4470" s="1669"/>
    </row>
    <row r="4471" spans="1:12" s="692" customFormat="1" ht="16.5" hidden="1">
      <c r="A4471" s="1665"/>
      <c r="B4471" s="1666"/>
      <c r="C4471" s="688"/>
      <c r="D4471" s="1667"/>
      <c r="E4471" s="688">
        <v>3.5</v>
      </c>
      <c r="F4471" s="688">
        <v>4</v>
      </c>
      <c r="G4471" s="1674"/>
      <c r="H4471" s="688">
        <f t="shared" si="753"/>
        <v>0</v>
      </c>
      <c r="I4471" s="688" t="s">
        <v>92</v>
      </c>
      <c r="J4471" s="1668"/>
      <c r="K4471" s="1668"/>
      <c r="L4471" s="1669"/>
    </row>
    <row r="4472" spans="1:12" s="692" customFormat="1" ht="16.5" hidden="1">
      <c r="A4472" s="1665"/>
      <c r="B4472" s="1666"/>
      <c r="C4472" s="688"/>
      <c r="D4472" s="1667"/>
      <c r="E4472" s="688"/>
      <c r="F4472" s="688"/>
      <c r="G4472" s="1674" t="s">
        <v>928</v>
      </c>
      <c r="H4472" s="688">
        <f>SUM(H4466:H4471)</f>
        <v>0</v>
      </c>
      <c r="I4472" s="1668" t="s">
        <v>92</v>
      </c>
      <c r="J4472" s="1669">
        <f>'Lead &amp; ANALYSIS'!L863</f>
        <v>6304.1</v>
      </c>
      <c r="K4472" s="1668" t="s">
        <v>1514</v>
      </c>
      <c r="L4472" s="1669">
        <f t="shared" ref="L4472" si="754">ROUND(H4472*J4472,0)</f>
        <v>0</v>
      </c>
    </row>
    <row r="4473" spans="1:12" s="692" customFormat="1" ht="346.5" hidden="1">
      <c r="A4473" s="1665">
        <f>'Lead &amp; ANALYSIS'!A864</f>
        <v>98</v>
      </c>
      <c r="B4473" s="1666" t="str">
        <f>'Lead &amp; ANALYSIS'!B864</f>
        <v xml:space="preserve">Factory made FRP Door / Window frame (alternately called GRP) of size 75mmx100mm fabricated using E-glass Chopped Strand Mat (CSM) U.V stabilised Inopthalic Gel coat and impregnated with Inopthalic resin. The thickness of the GRP skins shall not be less than 2.00mm. The doorframe consists of four segments, which are provided with plug-in-socket arrangement in-situ in the mould. The segments are plugged in and are joined together by means of screw. The GRP frame shall be provided with wooden reinforcement on six locations for high screw holding capacity for for fixing metallic hold fast and shall be consolidated by filling with medium density foam/plaster of paris with fibre reinforcement. The material and process for manufacturing the door frames shall conform to RV-TIFAC composites Design Centre's standards and specifications. The finish of door frame will be plain and different colour using high quality pigments complete in all respect as per specification and direction of the Engineer in charge. </v>
      </c>
      <c r="C4473" s="688"/>
      <c r="D4473" s="1667"/>
      <c r="E4473" s="688"/>
      <c r="F4473" s="688"/>
      <c r="G4473" s="1674"/>
      <c r="H4473" s="688"/>
      <c r="I4473" s="1668"/>
      <c r="J4473" s="1668"/>
      <c r="K4473" s="1668"/>
      <c r="L4473" s="1669"/>
    </row>
    <row r="4474" spans="1:12" s="692" customFormat="1" ht="16.5" hidden="1">
      <c r="A4474" s="1665"/>
      <c r="B4474" s="1666"/>
      <c r="C4474" s="688"/>
      <c r="D4474" s="1667"/>
      <c r="E4474" s="1671">
        <v>3.5</v>
      </c>
      <c r="F4474" s="1671">
        <v>4</v>
      </c>
      <c r="G4474" s="1674"/>
      <c r="H4474" s="1671">
        <f t="shared" ref="H4474:H4479" si="755">ROUND(D4474*E4474*F4474,2)</f>
        <v>0</v>
      </c>
      <c r="I4474" s="688" t="s">
        <v>92</v>
      </c>
      <c r="J4474" s="1668"/>
      <c r="K4474" s="1668"/>
      <c r="L4474" s="1669"/>
    </row>
    <row r="4475" spans="1:12" s="692" customFormat="1" ht="16.5" hidden="1">
      <c r="A4475" s="1665"/>
      <c r="B4475" s="1666"/>
      <c r="C4475" s="688"/>
      <c r="D4475" s="1667"/>
      <c r="E4475" s="1671">
        <v>3.5</v>
      </c>
      <c r="F4475" s="1671">
        <v>4</v>
      </c>
      <c r="G4475" s="1674"/>
      <c r="H4475" s="1671">
        <f t="shared" si="755"/>
        <v>0</v>
      </c>
      <c r="I4475" s="688" t="s">
        <v>92</v>
      </c>
      <c r="J4475" s="1668"/>
      <c r="K4475" s="1668"/>
      <c r="L4475" s="1669"/>
    </row>
    <row r="4476" spans="1:12" s="692" customFormat="1" ht="16.5" hidden="1">
      <c r="A4476" s="1665"/>
      <c r="B4476" s="1666"/>
      <c r="C4476" s="688"/>
      <c r="D4476" s="1667"/>
      <c r="E4476" s="1671">
        <v>3.5</v>
      </c>
      <c r="F4476" s="1671">
        <v>4</v>
      </c>
      <c r="G4476" s="1674"/>
      <c r="H4476" s="1671">
        <f t="shared" si="755"/>
        <v>0</v>
      </c>
      <c r="I4476" s="688" t="s">
        <v>92</v>
      </c>
      <c r="J4476" s="1668"/>
      <c r="K4476" s="1668"/>
      <c r="L4476" s="1669"/>
    </row>
    <row r="4477" spans="1:12" s="692" customFormat="1" ht="16.5" hidden="1">
      <c r="A4477" s="1665"/>
      <c r="B4477" s="1666"/>
      <c r="C4477" s="688"/>
      <c r="D4477" s="1667"/>
      <c r="E4477" s="1671">
        <v>3.5</v>
      </c>
      <c r="F4477" s="1671">
        <v>4</v>
      </c>
      <c r="G4477" s="1674"/>
      <c r="H4477" s="1671">
        <f t="shared" si="755"/>
        <v>0</v>
      </c>
      <c r="I4477" s="688" t="s">
        <v>92</v>
      </c>
      <c r="J4477" s="1668"/>
      <c r="K4477" s="1668"/>
      <c r="L4477" s="1669"/>
    </row>
    <row r="4478" spans="1:12" s="692" customFormat="1" ht="16.5" hidden="1">
      <c r="A4478" s="1665"/>
      <c r="B4478" s="1666"/>
      <c r="C4478" s="688"/>
      <c r="D4478" s="1667"/>
      <c r="E4478" s="1671">
        <v>3.5</v>
      </c>
      <c r="F4478" s="1671">
        <v>4</v>
      </c>
      <c r="G4478" s="1674"/>
      <c r="H4478" s="1671">
        <f t="shared" si="755"/>
        <v>0</v>
      </c>
      <c r="I4478" s="688" t="s">
        <v>92</v>
      </c>
      <c r="J4478" s="1668"/>
      <c r="K4478" s="1668"/>
      <c r="L4478" s="1669"/>
    </row>
    <row r="4479" spans="1:12" s="692" customFormat="1" ht="16.5" hidden="1">
      <c r="A4479" s="1665"/>
      <c r="B4479" s="1666"/>
      <c r="C4479" s="688"/>
      <c r="D4479" s="1667"/>
      <c r="E4479" s="1671">
        <v>3.5</v>
      </c>
      <c r="F4479" s="1671">
        <v>4</v>
      </c>
      <c r="G4479" s="1674"/>
      <c r="H4479" s="1671">
        <f t="shared" si="755"/>
        <v>0</v>
      </c>
      <c r="I4479" s="688" t="s">
        <v>92</v>
      </c>
      <c r="J4479" s="1668"/>
      <c r="K4479" s="1668"/>
      <c r="L4479" s="1669"/>
    </row>
    <row r="4480" spans="1:12" s="692" customFormat="1" ht="16.5" hidden="1">
      <c r="A4480" s="1665"/>
      <c r="B4480" s="1666"/>
      <c r="C4480" s="688"/>
      <c r="D4480" s="1667"/>
      <c r="E4480" s="688"/>
      <c r="F4480" s="688"/>
      <c r="G4480" s="1674" t="s">
        <v>928</v>
      </c>
      <c r="H4480" s="1671">
        <f>SUM(H4474:H4479)</f>
        <v>0</v>
      </c>
      <c r="I4480" s="1668" t="s">
        <v>92</v>
      </c>
      <c r="J4480" s="1669">
        <f>'Lead &amp; ANALYSIS'!L864</f>
        <v>372.3</v>
      </c>
      <c r="K4480" s="1668" t="s">
        <v>1514</v>
      </c>
      <c r="L4480" s="1669">
        <f t="shared" ref="L4480" si="756">ROUND(H4480*J4480,0)</f>
        <v>0</v>
      </c>
    </row>
    <row r="4481" spans="1:12" s="692" customFormat="1" ht="363" hidden="1">
      <c r="A4481" s="1665">
        <f>'Lead &amp; ANALYSIS'!A865</f>
        <v>99</v>
      </c>
      <c r="B4481" s="1666" t="str">
        <f>'Lead &amp; ANALYSIS'!B865</f>
        <v xml:space="preserve">Factory made single leaf rigid FRP sandwich composite door / window shutter (alternately called GRP) of 32mm thick laminated with two GRP skins with wood grain finish fabricated using UV-stabilised Isopthalic Gelcoat and one layer of 450 gsm E-glass Chopped Strand Mat (CSM) mpregnated with orthopthalic polyester resin. The thickness of the skins shall not be less than 1.50mm Expanded Polystyrone (EPS) structural foam panel of 29mm thickness and a density of 20kg/cu.mtr shall be used as core material. Wooden reinforcements made of seasoned sal wood block of cross section not less than 28mm x 32mm and also necessary sal wood reinforcements for fitting the metal fittings such as tower bolts, aldrops, handles etc shall be provided. A structural adhesive compatible with (EPS) foam shall be used for bending the core material. The material and process for manufacturing the door shutters shall conform to RV-TIFAC composites Design Centre's standards and specifications and the door shutters tested in conformation to IS: 4020-1998. The finish of door shutter will be plain colour as per specification and direction of the Engineer in charge. </v>
      </c>
      <c r="C4481" s="688"/>
      <c r="D4481" s="1667"/>
      <c r="E4481" s="688"/>
      <c r="F4481" s="688"/>
      <c r="G4481" s="1674"/>
      <c r="H4481" s="688"/>
      <c r="I4481" s="1668"/>
      <c r="J4481" s="1668"/>
      <c r="K4481" s="1668"/>
      <c r="L4481" s="1669"/>
    </row>
    <row r="4482" spans="1:12" s="692" customFormat="1" ht="16.5" hidden="1">
      <c r="A4482" s="1665"/>
      <c r="B4482" s="1666"/>
      <c r="C4482" s="688"/>
      <c r="D4482" s="1667"/>
      <c r="E4482" s="1671">
        <v>3.5</v>
      </c>
      <c r="F4482" s="1671">
        <v>4</v>
      </c>
      <c r="G4482" s="1674"/>
      <c r="H4482" s="1671">
        <f t="shared" ref="H4482:H4487" si="757">ROUND(D4482*E4482*F4482,2)</f>
        <v>0</v>
      </c>
      <c r="I4482" s="688" t="s">
        <v>92</v>
      </c>
      <c r="J4482" s="1668"/>
      <c r="K4482" s="1668"/>
      <c r="L4482" s="1669"/>
    </row>
    <row r="4483" spans="1:12" s="692" customFormat="1" ht="16.5" hidden="1">
      <c r="A4483" s="1665"/>
      <c r="B4483" s="1666"/>
      <c r="C4483" s="688"/>
      <c r="D4483" s="1667"/>
      <c r="E4483" s="1671">
        <v>3.5</v>
      </c>
      <c r="F4483" s="1671">
        <v>4</v>
      </c>
      <c r="G4483" s="1674"/>
      <c r="H4483" s="1671">
        <f t="shared" si="757"/>
        <v>0</v>
      </c>
      <c r="I4483" s="688" t="s">
        <v>92</v>
      </c>
      <c r="J4483" s="1668"/>
      <c r="K4483" s="1668"/>
      <c r="L4483" s="1669"/>
    </row>
    <row r="4484" spans="1:12" s="692" customFormat="1" ht="16.5" hidden="1">
      <c r="A4484" s="1665"/>
      <c r="B4484" s="1666"/>
      <c r="C4484" s="688"/>
      <c r="D4484" s="1667"/>
      <c r="E4484" s="1671">
        <v>3.5</v>
      </c>
      <c r="F4484" s="1671">
        <v>4</v>
      </c>
      <c r="G4484" s="1674"/>
      <c r="H4484" s="1671">
        <f t="shared" si="757"/>
        <v>0</v>
      </c>
      <c r="I4484" s="688" t="s">
        <v>92</v>
      </c>
      <c r="J4484" s="1668"/>
      <c r="K4484" s="1668"/>
      <c r="L4484" s="1669"/>
    </row>
    <row r="4485" spans="1:12" s="692" customFormat="1" ht="16.5" hidden="1">
      <c r="A4485" s="1665"/>
      <c r="B4485" s="1666"/>
      <c r="C4485" s="688"/>
      <c r="D4485" s="1667"/>
      <c r="E4485" s="1671">
        <v>3.5</v>
      </c>
      <c r="F4485" s="1671">
        <v>4</v>
      </c>
      <c r="G4485" s="1674"/>
      <c r="H4485" s="1671">
        <f t="shared" si="757"/>
        <v>0</v>
      </c>
      <c r="I4485" s="688" t="s">
        <v>92</v>
      </c>
      <c r="J4485" s="1668"/>
      <c r="K4485" s="1668"/>
      <c r="L4485" s="1669"/>
    </row>
    <row r="4486" spans="1:12" s="692" customFormat="1" ht="16.5" hidden="1">
      <c r="A4486" s="1665"/>
      <c r="B4486" s="1666"/>
      <c r="C4486" s="688"/>
      <c r="D4486" s="1667"/>
      <c r="E4486" s="1671">
        <v>3.5</v>
      </c>
      <c r="F4486" s="1671">
        <v>4</v>
      </c>
      <c r="G4486" s="1674"/>
      <c r="H4486" s="1671">
        <f t="shared" si="757"/>
        <v>0</v>
      </c>
      <c r="I4486" s="688" t="s">
        <v>92</v>
      </c>
      <c r="J4486" s="1668"/>
      <c r="K4486" s="1668"/>
      <c r="L4486" s="1669"/>
    </row>
    <row r="4487" spans="1:12" s="692" customFormat="1" ht="16.5" hidden="1">
      <c r="A4487" s="1665"/>
      <c r="B4487" s="1666"/>
      <c r="C4487" s="688"/>
      <c r="D4487" s="1667"/>
      <c r="E4487" s="1671">
        <v>3.5</v>
      </c>
      <c r="F4487" s="1671">
        <v>4</v>
      </c>
      <c r="G4487" s="1674"/>
      <c r="H4487" s="1671">
        <f t="shared" si="757"/>
        <v>0</v>
      </c>
      <c r="I4487" s="688" t="s">
        <v>92</v>
      </c>
      <c r="J4487" s="1668"/>
      <c r="K4487" s="1668"/>
      <c r="L4487" s="1669"/>
    </row>
    <row r="4488" spans="1:12" s="692" customFormat="1" ht="16.5" hidden="1">
      <c r="A4488" s="1665"/>
      <c r="B4488" s="1666"/>
      <c r="C4488" s="688"/>
      <c r="D4488" s="1667"/>
      <c r="E4488" s="688"/>
      <c r="F4488" s="688"/>
      <c r="G4488" s="1674" t="s">
        <v>928</v>
      </c>
      <c r="H4488" s="1671">
        <f>SUM(H4482:H4487)</f>
        <v>0</v>
      </c>
      <c r="I4488" s="1668" t="s">
        <v>92</v>
      </c>
      <c r="J4488" s="1669">
        <f>'Lead &amp; ANALYSIS'!L865</f>
        <v>2963.2</v>
      </c>
      <c r="K4488" s="1668" t="s">
        <v>1514</v>
      </c>
      <c r="L4488" s="1669">
        <f t="shared" ref="L4488" si="758">ROUND(H4488*J4488,0)</f>
        <v>0</v>
      </c>
    </row>
    <row r="4489" spans="1:12" s="692" customFormat="1" ht="165" hidden="1">
      <c r="A4489" s="1665">
        <f>'Lead &amp; ANALYSIS'!A866</f>
        <v>100</v>
      </c>
      <c r="B4489" s="1666" t="str">
        <f>'Lead &amp; ANALYSIS'!B866</f>
        <v xml:space="preserve">Supplying, fitting and fixing hand railing of Stainless steel of 304 grade using 50mm dia of 2mm thick circular pipe with Balustrade of size 32mm x 32mm x 2mm @ 0.90mtr. C/C and stainless square pipe bracing of size 32mm x 32mm x 2mm in 3 rows in stair case as per approved design and specification, buffing, polishing etc with cost, conveyance, taxes of all materials, cost of all labour, T&amp;P etc. required for the complete in all respect as per direction of the Engineer-in-charge. </v>
      </c>
      <c r="C4489" s="688"/>
      <c r="D4489" s="1667"/>
      <c r="E4489" s="688"/>
      <c r="F4489" s="688"/>
      <c r="G4489" s="1674"/>
      <c r="H4489" s="688"/>
      <c r="I4489" s="1668"/>
      <c r="J4489" s="1668"/>
      <c r="K4489" s="1668"/>
      <c r="L4489" s="1669"/>
    </row>
    <row r="4490" spans="1:12" s="692" customFormat="1" ht="16.5" hidden="1">
      <c r="A4490" s="1665"/>
      <c r="B4490" s="1666"/>
      <c r="C4490" s="688"/>
      <c r="D4490" s="1667"/>
      <c r="E4490" s="1671">
        <v>3.5</v>
      </c>
      <c r="F4490" s="1671">
        <v>4</v>
      </c>
      <c r="G4490" s="1674"/>
      <c r="H4490" s="1671">
        <f t="shared" ref="H4490:H4495" si="759">ROUND(D4490*E4490*F4490,2)</f>
        <v>0</v>
      </c>
      <c r="I4490" s="688" t="s">
        <v>92</v>
      </c>
      <c r="J4490" s="1668"/>
      <c r="K4490" s="1668"/>
      <c r="L4490" s="1669"/>
    </row>
    <row r="4491" spans="1:12" s="692" customFormat="1" ht="16.5" hidden="1">
      <c r="A4491" s="1665"/>
      <c r="B4491" s="1666"/>
      <c r="C4491" s="688"/>
      <c r="D4491" s="1667"/>
      <c r="E4491" s="1671">
        <v>3.5</v>
      </c>
      <c r="F4491" s="1671">
        <v>4</v>
      </c>
      <c r="G4491" s="1674"/>
      <c r="H4491" s="1671">
        <f t="shared" si="759"/>
        <v>0</v>
      </c>
      <c r="I4491" s="688" t="s">
        <v>92</v>
      </c>
      <c r="J4491" s="1668"/>
      <c r="K4491" s="1668"/>
      <c r="L4491" s="1669"/>
    </row>
    <row r="4492" spans="1:12" s="692" customFormat="1" ht="16.5" hidden="1">
      <c r="A4492" s="1665"/>
      <c r="B4492" s="1666"/>
      <c r="C4492" s="688"/>
      <c r="D4492" s="1667"/>
      <c r="E4492" s="1671">
        <v>3.5</v>
      </c>
      <c r="F4492" s="1671">
        <v>4</v>
      </c>
      <c r="G4492" s="1674"/>
      <c r="H4492" s="1671">
        <f t="shared" si="759"/>
        <v>0</v>
      </c>
      <c r="I4492" s="688" t="s">
        <v>92</v>
      </c>
      <c r="J4492" s="1668"/>
      <c r="K4492" s="1668"/>
      <c r="L4492" s="1669"/>
    </row>
    <row r="4493" spans="1:12" s="692" customFormat="1" ht="16.5" hidden="1">
      <c r="A4493" s="1665"/>
      <c r="B4493" s="1666"/>
      <c r="C4493" s="688"/>
      <c r="D4493" s="1667"/>
      <c r="E4493" s="1671">
        <v>3.5</v>
      </c>
      <c r="F4493" s="1671">
        <v>4</v>
      </c>
      <c r="G4493" s="1674"/>
      <c r="H4493" s="1671">
        <f t="shared" si="759"/>
        <v>0</v>
      </c>
      <c r="I4493" s="688" t="s">
        <v>92</v>
      </c>
      <c r="J4493" s="1668"/>
      <c r="K4493" s="1668"/>
      <c r="L4493" s="1669"/>
    </row>
    <row r="4494" spans="1:12" s="692" customFormat="1" ht="16.5" hidden="1">
      <c r="A4494" s="1665"/>
      <c r="B4494" s="1666"/>
      <c r="C4494" s="688"/>
      <c r="D4494" s="1667"/>
      <c r="E4494" s="1671">
        <v>3.5</v>
      </c>
      <c r="F4494" s="1671">
        <v>4</v>
      </c>
      <c r="G4494" s="1674"/>
      <c r="H4494" s="1671">
        <f t="shared" si="759"/>
        <v>0</v>
      </c>
      <c r="I4494" s="688" t="s">
        <v>92</v>
      </c>
      <c r="J4494" s="1668"/>
      <c r="K4494" s="1668"/>
      <c r="L4494" s="1669"/>
    </row>
    <row r="4495" spans="1:12" s="692" customFormat="1" ht="16.5" hidden="1">
      <c r="A4495" s="1665"/>
      <c r="B4495" s="1666"/>
      <c r="C4495" s="688"/>
      <c r="D4495" s="1667"/>
      <c r="E4495" s="1671">
        <v>3.5</v>
      </c>
      <c r="F4495" s="1671">
        <v>4</v>
      </c>
      <c r="G4495" s="1674"/>
      <c r="H4495" s="1671">
        <f t="shared" si="759"/>
        <v>0</v>
      </c>
      <c r="I4495" s="688" t="s">
        <v>92</v>
      </c>
      <c r="J4495" s="1668"/>
      <c r="K4495" s="1668"/>
      <c r="L4495" s="1669"/>
    </row>
    <row r="4496" spans="1:12" s="692" customFormat="1" ht="16.5" hidden="1">
      <c r="A4496" s="1665"/>
      <c r="B4496" s="1666"/>
      <c r="C4496" s="688"/>
      <c r="D4496" s="1667"/>
      <c r="E4496" s="688"/>
      <c r="F4496" s="688"/>
      <c r="G4496" s="1674" t="s">
        <v>928</v>
      </c>
      <c r="H4496" s="1671">
        <f>SUM(H4490:H4495)</f>
        <v>0</v>
      </c>
      <c r="I4496" s="1668" t="s">
        <v>92</v>
      </c>
      <c r="J4496" s="1669">
        <f>'Lead &amp; ANALYSIS'!L866</f>
        <v>3029.3</v>
      </c>
      <c r="K4496" s="1668" t="s">
        <v>1514</v>
      </c>
      <c r="L4496" s="1669">
        <f t="shared" ref="L4496" si="760">ROUND(H4496*J4496,0)</f>
        <v>0</v>
      </c>
    </row>
    <row r="4497" spans="1:12" s="692" customFormat="1" ht="66" hidden="1">
      <c r="A4497" s="1665">
        <f>'Lead &amp; ANALYSIS'!A867</f>
        <v>101</v>
      </c>
      <c r="B4497" s="1666" t="str">
        <f>'Lead &amp; ANALYSIS'!B867</f>
        <v>Supplying, Fitting &amp; Fixing  GCI Sheet of 0.4mm thick in Roofing including cost, conveyance of all materials  and labour for fitting fixing etc.complete as per the instruction of Engineer-in-Charge .</v>
      </c>
      <c r="C4497" s="688"/>
      <c r="D4497" s="1667"/>
      <c r="E4497" s="688"/>
      <c r="F4497" s="688"/>
      <c r="G4497" s="1674"/>
      <c r="H4497" s="688"/>
      <c r="I4497" s="1668"/>
      <c r="J4497" s="1668"/>
      <c r="K4497" s="1668"/>
      <c r="L4497" s="1669"/>
    </row>
    <row r="4498" spans="1:12" s="692" customFormat="1" ht="16.5" hidden="1">
      <c r="A4498" s="1665"/>
      <c r="B4498" s="1666"/>
      <c r="C4498" s="688"/>
      <c r="D4498" s="1667"/>
      <c r="E4498" s="1671">
        <v>3.5</v>
      </c>
      <c r="F4498" s="1671">
        <v>4</v>
      </c>
      <c r="G4498" s="1674"/>
      <c r="H4498" s="1671">
        <f t="shared" ref="H4498:H4503" si="761">ROUND(D4498*E4498*F4498,2)</f>
        <v>0</v>
      </c>
      <c r="I4498" s="688" t="s">
        <v>92</v>
      </c>
      <c r="J4498" s="1668"/>
      <c r="K4498" s="1668"/>
      <c r="L4498" s="1669"/>
    </row>
    <row r="4499" spans="1:12" s="692" customFormat="1" ht="16.5" hidden="1">
      <c r="A4499" s="1665"/>
      <c r="B4499" s="1666"/>
      <c r="C4499" s="688"/>
      <c r="D4499" s="1667"/>
      <c r="E4499" s="1671">
        <v>3.5</v>
      </c>
      <c r="F4499" s="1671">
        <v>4</v>
      </c>
      <c r="G4499" s="1674"/>
      <c r="H4499" s="1671">
        <f t="shared" si="761"/>
        <v>0</v>
      </c>
      <c r="I4499" s="688" t="s">
        <v>92</v>
      </c>
      <c r="J4499" s="1668"/>
      <c r="K4499" s="1668"/>
      <c r="L4499" s="1669"/>
    </row>
    <row r="4500" spans="1:12" s="692" customFormat="1" ht="16.5" hidden="1">
      <c r="A4500" s="1665"/>
      <c r="B4500" s="1666"/>
      <c r="C4500" s="688"/>
      <c r="D4500" s="1667"/>
      <c r="E4500" s="1671">
        <v>3.5</v>
      </c>
      <c r="F4500" s="1671">
        <v>4</v>
      </c>
      <c r="G4500" s="1674"/>
      <c r="H4500" s="1671">
        <f t="shared" si="761"/>
        <v>0</v>
      </c>
      <c r="I4500" s="688" t="s">
        <v>92</v>
      </c>
      <c r="J4500" s="1668"/>
      <c r="K4500" s="1668"/>
      <c r="L4500" s="1669"/>
    </row>
    <row r="4501" spans="1:12" s="692" customFormat="1" ht="16.5" hidden="1">
      <c r="A4501" s="1665"/>
      <c r="B4501" s="1666"/>
      <c r="C4501" s="688"/>
      <c r="D4501" s="1667"/>
      <c r="E4501" s="1671">
        <v>3.5</v>
      </c>
      <c r="F4501" s="1671">
        <v>4</v>
      </c>
      <c r="G4501" s="1674"/>
      <c r="H4501" s="1671">
        <f t="shared" si="761"/>
        <v>0</v>
      </c>
      <c r="I4501" s="688" t="s">
        <v>92</v>
      </c>
      <c r="J4501" s="1668"/>
      <c r="K4501" s="1668"/>
      <c r="L4501" s="1669"/>
    </row>
    <row r="4502" spans="1:12" s="692" customFormat="1" ht="16.5" hidden="1">
      <c r="A4502" s="1665"/>
      <c r="B4502" s="1666"/>
      <c r="C4502" s="688"/>
      <c r="D4502" s="1667"/>
      <c r="E4502" s="1671">
        <v>3.5</v>
      </c>
      <c r="F4502" s="1671">
        <v>4</v>
      </c>
      <c r="G4502" s="1674"/>
      <c r="H4502" s="1671">
        <f t="shared" si="761"/>
        <v>0</v>
      </c>
      <c r="I4502" s="688" t="s">
        <v>92</v>
      </c>
      <c r="J4502" s="1668"/>
      <c r="K4502" s="1668"/>
      <c r="L4502" s="1669"/>
    </row>
    <row r="4503" spans="1:12" s="692" customFormat="1" ht="16.5" hidden="1">
      <c r="A4503" s="1665"/>
      <c r="B4503" s="1666"/>
      <c r="C4503" s="688"/>
      <c r="D4503" s="1667"/>
      <c r="E4503" s="1671">
        <v>3.5</v>
      </c>
      <c r="F4503" s="1671">
        <v>4</v>
      </c>
      <c r="G4503" s="1674"/>
      <c r="H4503" s="1671">
        <f t="shared" si="761"/>
        <v>0</v>
      </c>
      <c r="I4503" s="688" t="s">
        <v>92</v>
      </c>
      <c r="J4503" s="1668"/>
      <c r="K4503" s="1668"/>
      <c r="L4503" s="1669"/>
    </row>
    <row r="4504" spans="1:12" s="692" customFormat="1" ht="16.5" hidden="1">
      <c r="A4504" s="1665"/>
      <c r="B4504" s="1666"/>
      <c r="C4504" s="688"/>
      <c r="D4504" s="1667"/>
      <c r="E4504" s="688"/>
      <c r="F4504" s="688"/>
      <c r="G4504" s="1674" t="s">
        <v>928</v>
      </c>
      <c r="H4504" s="1671">
        <f>SUM(H4498:H4503)</f>
        <v>0</v>
      </c>
      <c r="I4504" s="1668" t="s">
        <v>92</v>
      </c>
      <c r="J4504" s="1669">
        <f>'Lead &amp; ANALYSIS'!L867</f>
        <v>510.4</v>
      </c>
      <c r="K4504" s="1668" t="s">
        <v>1514</v>
      </c>
      <c r="L4504" s="1669">
        <f t="shared" ref="L4504" si="762">ROUND(H4504*J4504,0)</f>
        <v>0</v>
      </c>
    </row>
    <row r="4505" spans="1:12" s="692" customFormat="1" ht="66" hidden="1">
      <c r="A4505" s="1665">
        <f>'Lead &amp; ANALYSIS'!A868</f>
        <v>102</v>
      </c>
      <c r="B4505" s="1666" t="str">
        <f>'Lead &amp; ANALYSIS'!B868</f>
        <v>Supplying, Fitting &amp; Fixing  AC Sheet in Roofing including cost, conveyance of all materials  and labour for fitting fixing etc.complete as per the instruction of Engineer-in-Charge .</v>
      </c>
      <c r="C4505" s="688"/>
      <c r="D4505" s="1667"/>
      <c r="E4505" s="688"/>
      <c r="F4505" s="688"/>
      <c r="G4505" s="1674"/>
      <c r="H4505" s="688"/>
      <c r="I4505" s="1668"/>
      <c r="J4505" s="1668"/>
      <c r="K4505" s="1668"/>
      <c r="L4505" s="1669"/>
    </row>
    <row r="4506" spans="1:12" s="692" customFormat="1" ht="16.5" hidden="1">
      <c r="A4506" s="1665"/>
      <c r="B4506" s="1666"/>
      <c r="C4506" s="688"/>
      <c r="D4506" s="1667"/>
      <c r="E4506" s="1671">
        <v>3.5</v>
      </c>
      <c r="F4506" s="1671">
        <v>4</v>
      </c>
      <c r="G4506" s="1674"/>
      <c r="H4506" s="1671">
        <f t="shared" ref="H4506:H4511" si="763">ROUND(D4506*E4506*F4506,2)</f>
        <v>0</v>
      </c>
      <c r="I4506" s="688" t="s">
        <v>92</v>
      </c>
      <c r="J4506" s="1668"/>
      <c r="K4506" s="1668"/>
      <c r="L4506" s="1669"/>
    </row>
    <row r="4507" spans="1:12" s="692" customFormat="1" ht="16.5" hidden="1">
      <c r="A4507" s="1665"/>
      <c r="B4507" s="1666"/>
      <c r="C4507" s="688"/>
      <c r="D4507" s="1667"/>
      <c r="E4507" s="1671">
        <v>3.5</v>
      </c>
      <c r="F4507" s="1671">
        <v>4</v>
      </c>
      <c r="G4507" s="1674"/>
      <c r="H4507" s="1671">
        <f t="shared" si="763"/>
        <v>0</v>
      </c>
      <c r="I4507" s="688" t="s">
        <v>92</v>
      </c>
      <c r="J4507" s="1668"/>
      <c r="K4507" s="1668"/>
      <c r="L4507" s="1669"/>
    </row>
    <row r="4508" spans="1:12" s="692" customFormat="1" ht="16.5" hidden="1">
      <c r="A4508" s="1665"/>
      <c r="B4508" s="1666"/>
      <c r="C4508" s="688"/>
      <c r="D4508" s="1667"/>
      <c r="E4508" s="1671">
        <v>3.5</v>
      </c>
      <c r="F4508" s="1671">
        <v>4</v>
      </c>
      <c r="G4508" s="1674"/>
      <c r="H4508" s="1671">
        <f t="shared" si="763"/>
        <v>0</v>
      </c>
      <c r="I4508" s="688" t="s">
        <v>92</v>
      </c>
      <c r="J4508" s="1668"/>
      <c r="K4508" s="1668"/>
      <c r="L4508" s="1669"/>
    </row>
    <row r="4509" spans="1:12" s="692" customFormat="1" ht="16.5" hidden="1">
      <c r="A4509" s="1665"/>
      <c r="B4509" s="1666"/>
      <c r="C4509" s="688"/>
      <c r="D4509" s="1667"/>
      <c r="E4509" s="1671">
        <v>3.5</v>
      </c>
      <c r="F4509" s="1671">
        <v>4</v>
      </c>
      <c r="G4509" s="1674"/>
      <c r="H4509" s="1671">
        <f t="shared" si="763"/>
        <v>0</v>
      </c>
      <c r="I4509" s="688" t="s">
        <v>92</v>
      </c>
      <c r="J4509" s="1668"/>
      <c r="K4509" s="1668"/>
      <c r="L4509" s="1669"/>
    </row>
    <row r="4510" spans="1:12" s="692" customFormat="1" ht="16.5" hidden="1">
      <c r="A4510" s="1665"/>
      <c r="B4510" s="1666"/>
      <c r="C4510" s="688"/>
      <c r="D4510" s="1667"/>
      <c r="E4510" s="1671">
        <v>3.5</v>
      </c>
      <c r="F4510" s="1671">
        <v>4</v>
      </c>
      <c r="G4510" s="1674"/>
      <c r="H4510" s="1671">
        <f t="shared" si="763"/>
        <v>0</v>
      </c>
      <c r="I4510" s="688" t="s">
        <v>92</v>
      </c>
      <c r="J4510" s="1668"/>
      <c r="K4510" s="1668"/>
      <c r="L4510" s="1669"/>
    </row>
    <row r="4511" spans="1:12" s="692" customFormat="1" ht="16.5" hidden="1">
      <c r="A4511" s="1665"/>
      <c r="B4511" s="1666"/>
      <c r="C4511" s="688"/>
      <c r="D4511" s="1667"/>
      <c r="E4511" s="1671">
        <v>3.5</v>
      </c>
      <c r="F4511" s="1671">
        <v>4</v>
      </c>
      <c r="G4511" s="1674"/>
      <c r="H4511" s="1671">
        <f t="shared" si="763"/>
        <v>0</v>
      </c>
      <c r="I4511" s="688" t="s">
        <v>92</v>
      </c>
      <c r="J4511" s="1668"/>
      <c r="K4511" s="1668"/>
      <c r="L4511" s="1669"/>
    </row>
    <row r="4512" spans="1:12" s="692" customFormat="1" ht="16.5" hidden="1">
      <c r="A4512" s="1665"/>
      <c r="B4512" s="1666"/>
      <c r="C4512" s="688"/>
      <c r="D4512" s="1667"/>
      <c r="E4512" s="688"/>
      <c r="F4512" s="688"/>
      <c r="G4512" s="1674" t="s">
        <v>928</v>
      </c>
      <c r="H4512" s="1671">
        <f>SUM(H4506:H4511)</f>
        <v>0</v>
      </c>
      <c r="I4512" s="1668" t="s">
        <v>92</v>
      </c>
      <c r="J4512" s="1669">
        <f>'Lead &amp; ANALYSIS'!L868</f>
        <v>405.5</v>
      </c>
      <c r="K4512" s="1668" t="s">
        <v>1514</v>
      </c>
      <c r="L4512" s="1669">
        <f t="shared" ref="L4512" si="764">ROUND(H4512*J4512,0)</f>
        <v>0</v>
      </c>
    </row>
    <row r="4513" spans="1:12" s="692" customFormat="1" ht="66" hidden="1">
      <c r="A4513" s="1665">
        <f>'Lead &amp; ANALYSIS'!A869</f>
        <v>103</v>
      </c>
      <c r="B4513" s="1666" t="str">
        <f>'Lead &amp; ANALYSIS'!B869</f>
        <v>Supplying, Fitting &amp; Fixing  Asbestos sheet ridges or valleys (double) per RM  and labour for fitting fixing etc.complete as per the instruction of Engineer-in-Charge .</v>
      </c>
      <c r="C4513" s="688"/>
      <c r="D4513" s="1667"/>
      <c r="E4513" s="688"/>
      <c r="F4513" s="688"/>
      <c r="G4513" s="1674"/>
      <c r="H4513" s="688"/>
      <c r="I4513" s="1668"/>
      <c r="J4513" s="1668"/>
      <c r="K4513" s="1668"/>
      <c r="L4513" s="1669"/>
    </row>
    <row r="4514" spans="1:12" s="692" customFormat="1" ht="16.5" hidden="1">
      <c r="A4514" s="1665"/>
      <c r="B4514" s="1666"/>
      <c r="C4514" s="688"/>
      <c r="D4514" s="1667"/>
      <c r="E4514" s="1671">
        <v>3.5</v>
      </c>
      <c r="F4514" s="1671">
        <v>4</v>
      </c>
      <c r="G4514" s="1674"/>
      <c r="H4514" s="1671">
        <f t="shared" ref="H4514:H4519" si="765">ROUND(D4514*E4514*F4514,2)</f>
        <v>0</v>
      </c>
      <c r="I4514" s="688" t="s">
        <v>92</v>
      </c>
      <c r="J4514" s="1668"/>
      <c r="K4514" s="1668"/>
      <c r="L4514" s="1669"/>
    </row>
    <row r="4515" spans="1:12" s="692" customFormat="1" ht="16.5" hidden="1">
      <c r="A4515" s="1665"/>
      <c r="B4515" s="1666"/>
      <c r="C4515" s="688"/>
      <c r="D4515" s="1667"/>
      <c r="E4515" s="1671">
        <v>3.5</v>
      </c>
      <c r="F4515" s="1671">
        <v>4</v>
      </c>
      <c r="G4515" s="1674"/>
      <c r="H4515" s="1671">
        <f t="shared" si="765"/>
        <v>0</v>
      </c>
      <c r="I4515" s="688" t="s">
        <v>92</v>
      </c>
      <c r="J4515" s="1668"/>
      <c r="K4515" s="1668"/>
      <c r="L4515" s="1669"/>
    </row>
    <row r="4516" spans="1:12" s="692" customFormat="1" ht="16.5" hidden="1">
      <c r="A4516" s="1665"/>
      <c r="B4516" s="1666"/>
      <c r="C4516" s="688"/>
      <c r="D4516" s="1667"/>
      <c r="E4516" s="1671">
        <v>3.5</v>
      </c>
      <c r="F4516" s="1671">
        <v>4</v>
      </c>
      <c r="G4516" s="1674"/>
      <c r="H4516" s="1671">
        <f t="shared" si="765"/>
        <v>0</v>
      </c>
      <c r="I4516" s="688" t="s">
        <v>92</v>
      </c>
      <c r="J4516" s="1668"/>
      <c r="K4516" s="1668"/>
      <c r="L4516" s="1669"/>
    </row>
    <row r="4517" spans="1:12" s="692" customFormat="1" ht="16.5" hidden="1">
      <c r="A4517" s="1665"/>
      <c r="B4517" s="1666"/>
      <c r="C4517" s="688"/>
      <c r="D4517" s="1667"/>
      <c r="E4517" s="1671">
        <v>3.5</v>
      </c>
      <c r="F4517" s="1671">
        <v>4</v>
      </c>
      <c r="G4517" s="1674"/>
      <c r="H4517" s="1671">
        <f t="shared" si="765"/>
        <v>0</v>
      </c>
      <c r="I4517" s="688" t="s">
        <v>92</v>
      </c>
      <c r="J4517" s="1668"/>
      <c r="K4517" s="1668"/>
      <c r="L4517" s="1669"/>
    </row>
    <row r="4518" spans="1:12" s="692" customFormat="1" ht="16.5" hidden="1">
      <c r="A4518" s="1665"/>
      <c r="B4518" s="1666"/>
      <c r="C4518" s="688"/>
      <c r="D4518" s="1667"/>
      <c r="E4518" s="1671">
        <v>3.5</v>
      </c>
      <c r="F4518" s="1671">
        <v>4</v>
      </c>
      <c r="G4518" s="1674"/>
      <c r="H4518" s="1671">
        <f t="shared" si="765"/>
        <v>0</v>
      </c>
      <c r="I4518" s="688" t="s">
        <v>92</v>
      </c>
      <c r="J4518" s="1668"/>
      <c r="K4518" s="1668"/>
      <c r="L4518" s="1669"/>
    </row>
    <row r="4519" spans="1:12" s="692" customFormat="1" ht="16.5" hidden="1">
      <c r="A4519" s="1665"/>
      <c r="B4519" s="1666"/>
      <c r="C4519" s="688"/>
      <c r="D4519" s="1667"/>
      <c r="E4519" s="1671">
        <v>3.5</v>
      </c>
      <c r="F4519" s="1671">
        <v>4</v>
      </c>
      <c r="G4519" s="1674"/>
      <c r="H4519" s="1671">
        <f t="shared" si="765"/>
        <v>0</v>
      </c>
      <c r="I4519" s="688" t="s">
        <v>92</v>
      </c>
      <c r="J4519" s="1668"/>
      <c r="K4519" s="1668"/>
      <c r="L4519" s="1669"/>
    </row>
    <row r="4520" spans="1:12" s="692" customFormat="1" ht="16.5" hidden="1">
      <c r="A4520" s="1665"/>
      <c r="B4520" s="1666"/>
      <c r="C4520" s="688"/>
      <c r="D4520" s="1667"/>
      <c r="E4520" s="688"/>
      <c r="F4520" s="688"/>
      <c r="G4520" s="1674" t="s">
        <v>928</v>
      </c>
      <c r="H4520" s="1671">
        <f>SUM(H4514:H4519)</f>
        <v>0</v>
      </c>
      <c r="I4520" s="1668" t="s">
        <v>92</v>
      </c>
      <c r="J4520" s="1669">
        <f>'Lead &amp; ANALYSIS'!L869</f>
        <v>468.7</v>
      </c>
      <c r="K4520" s="1668" t="s">
        <v>1514</v>
      </c>
      <c r="L4520" s="1669">
        <f t="shared" ref="L4520" si="766">ROUND(H4520*J4520,0)</f>
        <v>0</v>
      </c>
    </row>
    <row r="4521" spans="1:12" s="692" customFormat="1" ht="165" hidden="1">
      <c r="A4521" s="1665">
        <f>'Lead &amp; ANALYSIS'!A870</f>
        <v>104</v>
      </c>
      <c r="B4521" s="1666" t="str">
        <f>'Lead &amp; ANALYSIS'!B870</f>
        <v>Providing, Fitting &amp; Fixing of False Ceiling  with 12 mm thick pre-laminated Novapan board,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4521" s="688"/>
      <c r="D4521" s="1667"/>
      <c r="E4521" s="688"/>
      <c r="F4521" s="688"/>
      <c r="G4521" s="1674"/>
      <c r="H4521" s="688"/>
      <c r="I4521" s="1668"/>
      <c r="J4521" s="1668"/>
      <c r="K4521" s="1668"/>
      <c r="L4521" s="1669"/>
    </row>
    <row r="4522" spans="1:12" s="692" customFormat="1" ht="16.5" hidden="1">
      <c r="A4522" s="1665"/>
      <c r="B4522" s="1666"/>
      <c r="C4522" s="688"/>
      <c r="D4522" s="1667"/>
      <c r="E4522" s="1671">
        <v>3.5</v>
      </c>
      <c r="F4522" s="1671">
        <v>4</v>
      </c>
      <c r="G4522" s="1674"/>
      <c r="H4522" s="1671">
        <f t="shared" ref="H4522:H4527" si="767">ROUND(D4522*E4522*F4522,2)</f>
        <v>0</v>
      </c>
      <c r="I4522" s="688" t="s">
        <v>92</v>
      </c>
      <c r="J4522" s="1668"/>
      <c r="K4522" s="1668"/>
      <c r="L4522" s="1669"/>
    </row>
    <row r="4523" spans="1:12" s="692" customFormat="1" ht="16.5" hidden="1">
      <c r="A4523" s="1665"/>
      <c r="B4523" s="1666"/>
      <c r="C4523" s="688"/>
      <c r="D4523" s="1667"/>
      <c r="E4523" s="1671">
        <v>3.5</v>
      </c>
      <c r="F4523" s="1671">
        <v>4</v>
      </c>
      <c r="G4523" s="1674"/>
      <c r="H4523" s="1671">
        <f t="shared" si="767"/>
        <v>0</v>
      </c>
      <c r="I4523" s="688" t="s">
        <v>92</v>
      </c>
      <c r="J4523" s="1668"/>
      <c r="K4523" s="1668"/>
      <c r="L4523" s="1669"/>
    </row>
    <row r="4524" spans="1:12" s="692" customFormat="1" ht="16.5" hidden="1">
      <c r="A4524" s="1665"/>
      <c r="B4524" s="1666"/>
      <c r="C4524" s="688"/>
      <c r="D4524" s="1667"/>
      <c r="E4524" s="1671">
        <v>3.5</v>
      </c>
      <c r="F4524" s="1671">
        <v>4</v>
      </c>
      <c r="G4524" s="1674"/>
      <c r="H4524" s="1671">
        <f t="shared" si="767"/>
        <v>0</v>
      </c>
      <c r="I4524" s="688" t="s">
        <v>92</v>
      </c>
      <c r="J4524" s="1668"/>
      <c r="K4524" s="1668"/>
      <c r="L4524" s="1669"/>
    </row>
    <row r="4525" spans="1:12" s="692" customFormat="1" ht="16.5" hidden="1">
      <c r="A4525" s="1665"/>
      <c r="B4525" s="1666"/>
      <c r="C4525" s="688"/>
      <c r="D4525" s="1667"/>
      <c r="E4525" s="1671">
        <v>3.5</v>
      </c>
      <c r="F4525" s="1671">
        <v>4</v>
      </c>
      <c r="G4525" s="1674"/>
      <c r="H4525" s="1671">
        <f t="shared" si="767"/>
        <v>0</v>
      </c>
      <c r="I4525" s="688" t="s">
        <v>92</v>
      </c>
      <c r="J4525" s="1668"/>
      <c r="K4525" s="1668"/>
      <c r="L4525" s="1669"/>
    </row>
    <row r="4526" spans="1:12" s="692" customFormat="1" ht="16.5" hidden="1">
      <c r="A4526" s="1665"/>
      <c r="B4526" s="1666"/>
      <c r="C4526" s="688"/>
      <c r="D4526" s="1667"/>
      <c r="E4526" s="1671">
        <v>3.5</v>
      </c>
      <c r="F4526" s="1671">
        <v>4</v>
      </c>
      <c r="G4526" s="1674"/>
      <c r="H4526" s="1671">
        <f t="shared" si="767"/>
        <v>0</v>
      </c>
      <c r="I4526" s="688" t="s">
        <v>92</v>
      </c>
      <c r="J4526" s="1668"/>
      <c r="K4526" s="1668"/>
      <c r="L4526" s="1669"/>
    </row>
    <row r="4527" spans="1:12" s="692" customFormat="1" ht="16.5" hidden="1">
      <c r="A4527" s="1665"/>
      <c r="B4527" s="1666"/>
      <c r="C4527" s="688"/>
      <c r="D4527" s="1667"/>
      <c r="E4527" s="1671">
        <v>3.5</v>
      </c>
      <c r="F4527" s="1671">
        <v>4</v>
      </c>
      <c r="G4527" s="1674"/>
      <c r="H4527" s="1671">
        <f t="shared" si="767"/>
        <v>0</v>
      </c>
      <c r="I4527" s="688" t="s">
        <v>92</v>
      </c>
      <c r="J4527" s="1668"/>
      <c r="K4527" s="1668"/>
      <c r="L4527" s="1669"/>
    </row>
    <row r="4528" spans="1:12" s="692" customFormat="1" ht="16.5" hidden="1">
      <c r="A4528" s="1665"/>
      <c r="B4528" s="1666"/>
      <c r="C4528" s="688"/>
      <c r="D4528" s="1667"/>
      <c r="E4528" s="688"/>
      <c r="F4528" s="688"/>
      <c r="G4528" s="1674" t="s">
        <v>928</v>
      </c>
      <c r="H4528" s="1671">
        <f>SUM(H4522:H4527)</f>
        <v>0</v>
      </c>
      <c r="I4528" s="1668" t="s">
        <v>92</v>
      </c>
      <c r="J4528" s="1669">
        <f>'Lead &amp; ANALYSIS'!L870</f>
        <v>1322</v>
      </c>
      <c r="K4528" s="1668" t="s">
        <v>1514</v>
      </c>
      <c r="L4528" s="1669">
        <f t="shared" ref="L4528" si="768">ROUND(H4528*J4528,0)</f>
        <v>0</v>
      </c>
    </row>
    <row r="4529" spans="1:12" s="692" customFormat="1" ht="165" hidden="1">
      <c r="A4529" s="1665">
        <f>'Lead &amp; ANALYSIS'!A871</f>
        <v>105</v>
      </c>
      <c r="B4529" s="1666" t="str">
        <f>'Lead &amp; ANALYSIS'!B871</f>
        <v>Providing, Fitting &amp; Fixing of False Ceiling  with 12.5 mm thick Gypsum board,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4529" s="688"/>
      <c r="D4529" s="1667"/>
      <c r="E4529" s="688"/>
      <c r="F4529" s="688"/>
      <c r="G4529" s="1674"/>
      <c r="H4529" s="688"/>
      <c r="I4529" s="1668"/>
      <c r="J4529" s="1668"/>
      <c r="K4529" s="1668"/>
      <c r="L4529" s="1669"/>
    </row>
    <row r="4530" spans="1:12" s="692" customFormat="1" ht="16.5" hidden="1">
      <c r="A4530" s="1665"/>
      <c r="B4530" s="1666"/>
      <c r="C4530" s="688"/>
      <c r="D4530" s="1667"/>
      <c r="E4530" s="1671">
        <v>3.5</v>
      </c>
      <c r="F4530" s="1671">
        <v>4</v>
      </c>
      <c r="G4530" s="1674"/>
      <c r="H4530" s="1671">
        <f t="shared" ref="H4530:H4535" si="769">ROUND(D4530*E4530*F4530,2)</f>
        <v>0</v>
      </c>
      <c r="I4530" s="688" t="s">
        <v>92</v>
      </c>
      <c r="J4530" s="1668"/>
      <c r="K4530" s="1668"/>
      <c r="L4530" s="1669"/>
    </row>
    <row r="4531" spans="1:12" s="692" customFormat="1" ht="16.5" hidden="1">
      <c r="A4531" s="1665"/>
      <c r="B4531" s="1666"/>
      <c r="C4531" s="688"/>
      <c r="D4531" s="1667"/>
      <c r="E4531" s="1671">
        <v>3.5</v>
      </c>
      <c r="F4531" s="1671">
        <v>4</v>
      </c>
      <c r="G4531" s="1674"/>
      <c r="H4531" s="1671">
        <f t="shared" si="769"/>
        <v>0</v>
      </c>
      <c r="I4531" s="688" t="s">
        <v>92</v>
      </c>
      <c r="J4531" s="1668"/>
      <c r="K4531" s="1668"/>
      <c r="L4531" s="1669"/>
    </row>
    <row r="4532" spans="1:12" s="692" customFormat="1" ht="16.5" hidden="1">
      <c r="A4532" s="1665"/>
      <c r="B4532" s="1666"/>
      <c r="C4532" s="688"/>
      <c r="D4532" s="1667"/>
      <c r="E4532" s="1671">
        <v>3.5</v>
      </c>
      <c r="F4532" s="1671">
        <v>4</v>
      </c>
      <c r="G4532" s="1674"/>
      <c r="H4532" s="1671">
        <f t="shared" si="769"/>
        <v>0</v>
      </c>
      <c r="I4532" s="688" t="s">
        <v>92</v>
      </c>
      <c r="J4532" s="1668"/>
      <c r="K4532" s="1668"/>
      <c r="L4532" s="1669"/>
    </row>
    <row r="4533" spans="1:12" s="692" customFormat="1" ht="16.5" hidden="1">
      <c r="A4533" s="1665"/>
      <c r="B4533" s="1666"/>
      <c r="C4533" s="688"/>
      <c r="D4533" s="1667"/>
      <c r="E4533" s="1671">
        <v>3.5</v>
      </c>
      <c r="F4533" s="1671">
        <v>4</v>
      </c>
      <c r="G4533" s="1674"/>
      <c r="H4533" s="1671">
        <f t="shared" si="769"/>
        <v>0</v>
      </c>
      <c r="I4533" s="688" t="s">
        <v>92</v>
      </c>
      <c r="J4533" s="1668"/>
      <c r="K4533" s="1668"/>
      <c r="L4533" s="1669"/>
    </row>
    <row r="4534" spans="1:12" s="692" customFormat="1" ht="16.5" hidden="1">
      <c r="A4534" s="1665"/>
      <c r="B4534" s="1666"/>
      <c r="C4534" s="688"/>
      <c r="D4534" s="1667"/>
      <c r="E4534" s="1671">
        <v>3.5</v>
      </c>
      <c r="F4534" s="1671">
        <v>4</v>
      </c>
      <c r="G4534" s="1674"/>
      <c r="H4534" s="1671">
        <f t="shared" si="769"/>
        <v>0</v>
      </c>
      <c r="I4534" s="688" t="s">
        <v>92</v>
      </c>
      <c r="J4534" s="1668"/>
      <c r="K4534" s="1668"/>
      <c r="L4534" s="1669"/>
    </row>
    <row r="4535" spans="1:12" s="692" customFormat="1" ht="16.5" hidden="1">
      <c r="A4535" s="1665"/>
      <c r="B4535" s="1666"/>
      <c r="C4535" s="688"/>
      <c r="D4535" s="1667"/>
      <c r="E4535" s="1671">
        <v>3.5</v>
      </c>
      <c r="F4535" s="1671">
        <v>4</v>
      </c>
      <c r="G4535" s="1674"/>
      <c r="H4535" s="1671">
        <f t="shared" si="769"/>
        <v>0</v>
      </c>
      <c r="I4535" s="688" t="s">
        <v>92</v>
      </c>
      <c r="J4535" s="1668"/>
      <c r="K4535" s="1668"/>
      <c r="L4535" s="1669"/>
    </row>
    <row r="4536" spans="1:12" s="692" customFormat="1" ht="16.5" hidden="1">
      <c r="A4536" s="1665"/>
      <c r="B4536" s="1666"/>
      <c r="C4536" s="688"/>
      <c r="D4536" s="1667"/>
      <c r="E4536" s="688"/>
      <c r="F4536" s="688"/>
      <c r="G4536" s="1674" t="s">
        <v>928</v>
      </c>
      <c r="H4536" s="1671">
        <f>SUM(H4530:H4535)</f>
        <v>0</v>
      </c>
      <c r="I4536" s="1668" t="s">
        <v>92</v>
      </c>
      <c r="J4536" s="1669">
        <f>'Lead &amp; ANALYSIS'!L871</f>
        <v>766.8</v>
      </c>
      <c r="K4536" s="1668" t="s">
        <v>1514</v>
      </c>
      <c r="L4536" s="1669">
        <f t="shared" ref="L4536" si="770">ROUND(H4536*J4536,0)</f>
        <v>0</v>
      </c>
    </row>
    <row r="4537" spans="1:12" s="692" customFormat="1" ht="165" hidden="1">
      <c r="A4537" s="1665">
        <f>'Lead &amp; ANALYSIS'!A872</f>
        <v>106</v>
      </c>
      <c r="B4537" s="1666" t="str">
        <f>'Lead &amp; ANALYSIS'!B872</f>
        <v>Providing, Fitting &amp; Fixing of False Ceiling  with 12 mm thick pre-laminated Novapan board,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4537" s="688"/>
      <c r="D4537" s="1667"/>
      <c r="E4537" s="688"/>
      <c r="F4537" s="688"/>
      <c r="G4537" s="1674"/>
      <c r="H4537" s="688"/>
      <c r="I4537" s="1668"/>
      <c r="J4537" s="1668"/>
      <c r="K4537" s="1668"/>
      <c r="L4537" s="1669"/>
    </row>
    <row r="4538" spans="1:12" s="692" customFormat="1" ht="16.5" hidden="1">
      <c r="A4538" s="1665"/>
      <c r="B4538" s="1666"/>
      <c r="C4538" s="688"/>
      <c r="D4538" s="1667"/>
      <c r="E4538" s="1671">
        <v>3.5</v>
      </c>
      <c r="F4538" s="1671">
        <v>4</v>
      </c>
      <c r="G4538" s="1674"/>
      <c r="H4538" s="1671">
        <f t="shared" ref="H4538:H4543" si="771">ROUND(D4538*E4538*F4538,2)</f>
        <v>0</v>
      </c>
      <c r="I4538" s="688" t="s">
        <v>92</v>
      </c>
      <c r="J4538" s="1668"/>
      <c r="K4538" s="1668"/>
      <c r="L4538" s="1669"/>
    </row>
    <row r="4539" spans="1:12" s="692" customFormat="1" ht="16.5" hidden="1">
      <c r="A4539" s="1665"/>
      <c r="B4539" s="1666"/>
      <c r="C4539" s="688"/>
      <c r="D4539" s="1667"/>
      <c r="E4539" s="1671">
        <v>3.5</v>
      </c>
      <c r="F4539" s="1671">
        <v>4</v>
      </c>
      <c r="G4539" s="1674"/>
      <c r="H4539" s="1671">
        <f t="shared" si="771"/>
        <v>0</v>
      </c>
      <c r="I4539" s="688" t="s">
        <v>92</v>
      </c>
      <c r="J4539" s="1668"/>
      <c r="K4539" s="1668"/>
      <c r="L4539" s="1669"/>
    </row>
    <row r="4540" spans="1:12" s="692" customFormat="1" ht="16.5" hidden="1">
      <c r="A4540" s="1665"/>
      <c r="B4540" s="1666"/>
      <c r="C4540" s="688"/>
      <c r="D4540" s="1667"/>
      <c r="E4540" s="1671">
        <v>3.5</v>
      </c>
      <c r="F4540" s="1671">
        <v>4</v>
      </c>
      <c r="G4540" s="1674"/>
      <c r="H4540" s="1671">
        <f t="shared" si="771"/>
        <v>0</v>
      </c>
      <c r="I4540" s="688" t="s">
        <v>92</v>
      </c>
      <c r="J4540" s="1668"/>
      <c r="K4540" s="1668"/>
      <c r="L4540" s="1669"/>
    </row>
    <row r="4541" spans="1:12" s="692" customFormat="1" ht="16.5" hidden="1">
      <c r="A4541" s="1665"/>
      <c r="B4541" s="1666"/>
      <c r="C4541" s="688"/>
      <c r="D4541" s="1667"/>
      <c r="E4541" s="1671">
        <v>3.5</v>
      </c>
      <c r="F4541" s="1671">
        <v>4</v>
      </c>
      <c r="G4541" s="1674"/>
      <c r="H4541" s="1671">
        <f t="shared" si="771"/>
        <v>0</v>
      </c>
      <c r="I4541" s="688" t="s">
        <v>92</v>
      </c>
      <c r="J4541" s="1668"/>
      <c r="K4541" s="1668"/>
      <c r="L4541" s="1669"/>
    </row>
    <row r="4542" spans="1:12" s="692" customFormat="1" ht="16.5" hidden="1">
      <c r="A4542" s="1665"/>
      <c r="B4542" s="1666"/>
      <c r="C4542" s="688"/>
      <c r="D4542" s="1667"/>
      <c r="E4542" s="1671">
        <v>3.5</v>
      </c>
      <c r="F4542" s="1671">
        <v>4</v>
      </c>
      <c r="G4542" s="1674"/>
      <c r="H4542" s="1671">
        <f t="shared" si="771"/>
        <v>0</v>
      </c>
      <c r="I4542" s="688" t="s">
        <v>92</v>
      </c>
      <c r="J4542" s="1668"/>
      <c r="K4542" s="1668"/>
      <c r="L4542" s="1669"/>
    </row>
    <row r="4543" spans="1:12" s="692" customFormat="1" ht="16.5" hidden="1">
      <c r="A4543" s="1665"/>
      <c r="B4543" s="1666"/>
      <c r="C4543" s="688"/>
      <c r="D4543" s="1667"/>
      <c r="E4543" s="1671">
        <v>3.5</v>
      </c>
      <c r="F4543" s="1671">
        <v>4</v>
      </c>
      <c r="G4543" s="1674"/>
      <c r="H4543" s="1671">
        <f t="shared" si="771"/>
        <v>0</v>
      </c>
      <c r="I4543" s="688" t="s">
        <v>92</v>
      </c>
      <c r="J4543" s="1668"/>
      <c r="K4543" s="1668"/>
      <c r="L4543" s="1669"/>
    </row>
    <row r="4544" spans="1:12" s="692" customFormat="1" ht="16.5" hidden="1">
      <c r="A4544" s="1665"/>
      <c r="B4544" s="1666"/>
      <c r="C4544" s="688"/>
      <c r="D4544" s="1667"/>
      <c r="E4544" s="688"/>
      <c r="F4544" s="688"/>
      <c r="G4544" s="1674" t="s">
        <v>928</v>
      </c>
      <c r="H4544" s="1671">
        <f>SUM(H4538:H4543)</f>
        <v>0</v>
      </c>
      <c r="I4544" s="1668" t="s">
        <v>92</v>
      </c>
      <c r="J4544" s="1669">
        <f>'Lead &amp; ANALYSIS'!L872</f>
        <v>1280.0999999999999</v>
      </c>
      <c r="K4544" s="1668" t="s">
        <v>1514</v>
      </c>
      <c r="L4544" s="1669">
        <f t="shared" ref="L4544" si="772">ROUND(H4544*J4544,0)</f>
        <v>0</v>
      </c>
    </row>
    <row r="4545" spans="1:12" s="692" customFormat="1" ht="165" hidden="1">
      <c r="A4545" s="1665">
        <f>'Lead &amp; ANALYSIS'!A873</f>
        <v>107</v>
      </c>
      <c r="B4545" s="1666" t="str">
        <f>'Lead &amp; ANALYSIS'!B873</f>
        <v>Providing, Fitting &amp; Fixing of False Ceiling  with 12.5 mm thick Gypsum board,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4545" s="688"/>
      <c r="D4545" s="1667"/>
      <c r="E4545" s="688"/>
      <c r="F4545" s="688"/>
      <c r="G4545" s="1674"/>
      <c r="H4545" s="688"/>
      <c r="I4545" s="1668"/>
      <c r="J4545" s="1668"/>
      <c r="K4545" s="1668"/>
      <c r="L4545" s="1669"/>
    </row>
    <row r="4546" spans="1:12" s="692" customFormat="1" ht="16.5" hidden="1">
      <c r="A4546" s="1665"/>
      <c r="B4546" s="1666"/>
      <c r="C4546" s="688"/>
      <c r="D4546" s="1667"/>
      <c r="E4546" s="1671">
        <v>3.5</v>
      </c>
      <c r="F4546" s="1671">
        <v>4</v>
      </c>
      <c r="G4546" s="1674"/>
      <c r="H4546" s="1671">
        <f t="shared" ref="H4546:H4551" si="773">ROUND(D4546*E4546*F4546,2)</f>
        <v>0</v>
      </c>
      <c r="I4546" s="688" t="s">
        <v>92</v>
      </c>
      <c r="J4546" s="1668"/>
      <c r="K4546" s="1668"/>
      <c r="L4546" s="1669"/>
    </row>
    <row r="4547" spans="1:12" s="692" customFormat="1" ht="16.5" hidden="1">
      <c r="A4547" s="1665"/>
      <c r="B4547" s="1666"/>
      <c r="C4547" s="688"/>
      <c r="D4547" s="1667"/>
      <c r="E4547" s="1671">
        <v>3.5</v>
      </c>
      <c r="F4547" s="1671">
        <v>4</v>
      </c>
      <c r="G4547" s="1674"/>
      <c r="H4547" s="1671">
        <f t="shared" si="773"/>
        <v>0</v>
      </c>
      <c r="I4547" s="688" t="s">
        <v>92</v>
      </c>
      <c r="J4547" s="1668"/>
      <c r="K4547" s="1668"/>
      <c r="L4547" s="1669"/>
    </row>
    <row r="4548" spans="1:12" s="692" customFormat="1" ht="16.5" hidden="1">
      <c r="A4548" s="1665"/>
      <c r="B4548" s="1666"/>
      <c r="C4548" s="688"/>
      <c r="D4548" s="1667"/>
      <c r="E4548" s="1671">
        <v>3.5</v>
      </c>
      <c r="F4548" s="1671">
        <v>4</v>
      </c>
      <c r="G4548" s="1674"/>
      <c r="H4548" s="1671">
        <f t="shared" si="773"/>
        <v>0</v>
      </c>
      <c r="I4548" s="688" t="s">
        <v>92</v>
      </c>
      <c r="J4548" s="1668"/>
      <c r="K4548" s="1668"/>
      <c r="L4548" s="1669"/>
    </row>
    <row r="4549" spans="1:12" s="692" customFormat="1" ht="16.5" hidden="1">
      <c r="A4549" s="1665"/>
      <c r="B4549" s="1666"/>
      <c r="C4549" s="688"/>
      <c r="D4549" s="1667"/>
      <c r="E4549" s="1671">
        <v>3.5</v>
      </c>
      <c r="F4549" s="1671">
        <v>4</v>
      </c>
      <c r="G4549" s="1674"/>
      <c r="H4549" s="1671">
        <f t="shared" si="773"/>
        <v>0</v>
      </c>
      <c r="I4549" s="688" t="s">
        <v>92</v>
      </c>
      <c r="J4549" s="1668"/>
      <c r="K4549" s="1668"/>
      <c r="L4549" s="1669"/>
    </row>
    <row r="4550" spans="1:12" s="692" customFormat="1" ht="16.5" hidden="1">
      <c r="A4550" s="1665"/>
      <c r="B4550" s="1666"/>
      <c r="C4550" s="688"/>
      <c r="D4550" s="1667"/>
      <c r="E4550" s="1671">
        <v>3.5</v>
      </c>
      <c r="F4550" s="1671">
        <v>4</v>
      </c>
      <c r="G4550" s="1674"/>
      <c r="H4550" s="1671">
        <f t="shared" si="773"/>
        <v>0</v>
      </c>
      <c r="I4550" s="688" t="s">
        <v>92</v>
      </c>
      <c r="J4550" s="1668"/>
      <c r="K4550" s="1668"/>
      <c r="L4550" s="1669"/>
    </row>
    <row r="4551" spans="1:12" s="692" customFormat="1" ht="16.5" hidden="1">
      <c r="A4551" s="1665"/>
      <c r="B4551" s="1666"/>
      <c r="C4551" s="688"/>
      <c r="D4551" s="1667"/>
      <c r="E4551" s="1671">
        <v>3.5</v>
      </c>
      <c r="F4551" s="1671">
        <v>4</v>
      </c>
      <c r="G4551" s="1674"/>
      <c r="H4551" s="1671">
        <f t="shared" si="773"/>
        <v>0</v>
      </c>
      <c r="I4551" s="688" t="s">
        <v>92</v>
      </c>
      <c r="J4551" s="1668"/>
      <c r="K4551" s="1668"/>
      <c r="L4551" s="1669"/>
    </row>
    <row r="4552" spans="1:12" s="692" customFormat="1" ht="16.5" hidden="1">
      <c r="A4552" s="1665"/>
      <c r="B4552" s="1666"/>
      <c r="C4552" s="688"/>
      <c r="D4552" s="1667"/>
      <c r="E4552" s="688"/>
      <c r="F4552" s="688"/>
      <c r="G4552" s="1674" t="s">
        <v>928</v>
      </c>
      <c r="H4552" s="1671">
        <f>SUM(H4546:H4551)</f>
        <v>0</v>
      </c>
      <c r="I4552" s="1668" t="s">
        <v>92</v>
      </c>
      <c r="J4552" s="1669">
        <f>'Lead &amp; ANALYSIS'!L873</f>
        <v>768.1</v>
      </c>
      <c r="K4552" s="1668" t="s">
        <v>1514</v>
      </c>
      <c r="L4552" s="1669">
        <f t="shared" ref="L4552" si="774">ROUND(H4552*J4552,0)</f>
        <v>0</v>
      </c>
    </row>
    <row r="4553" spans="1:12" s="692" customFormat="1" ht="16.5" hidden="1">
      <c r="A4553" s="1665">
        <f>'Lead &amp; ANALYSIS'!A879</f>
        <v>113</v>
      </c>
      <c r="B4553" s="1675" t="str">
        <f>'Lead &amp; ANALYSIS'!B879</f>
        <v>Cost of Fittings</v>
      </c>
      <c r="C4553" s="688"/>
      <c r="D4553" s="1667"/>
      <c r="E4553" s="688"/>
      <c r="F4553" s="688"/>
      <c r="G4553" s="1674"/>
      <c r="H4553" s="688"/>
      <c r="I4553" s="1668"/>
      <c r="J4553" s="1668"/>
      <c r="K4553" s="1668"/>
      <c r="L4553" s="1669"/>
    </row>
    <row r="4554" spans="1:12" s="692" customFormat="1" ht="16.5" hidden="1">
      <c r="A4554" s="1665" t="str">
        <f>'Lead &amp; ANALYSIS'!A880</f>
        <v>a)</v>
      </c>
      <c r="B4554" s="1666" t="str">
        <f>'Lead &amp; ANALYSIS'!B880</f>
        <v>W.I Clamps</v>
      </c>
      <c r="C4554" s="688"/>
      <c r="D4554" s="1667"/>
      <c r="E4554" s="688"/>
      <c r="F4554" s="688"/>
      <c r="G4554" s="1674"/>
      <c r="H4554" s="688"/>
      <c r="I4554" s="1668"/>
      <c r="J4554" s="1669">
        <f>'Lead &amp; ANALYSIS'!L880</f>
        <v>59.1</v>
      </c>
      <c r="K4554" s="1668"/>
      <c r="L4554" s="1669">
        <f t="shared" ref="L4554:L4562" si="775">ROUND(H4554*J4554,0)</f>
        <v>0</v>
      </c>
    </row>
    <row r="4555" spans="1:12" s="692" customFormat="1" ht="16.5" hidden="1">
      <c r="A4555" s="1665" t="str">
        <f>'Lead &amp; ANALYSIS'!A881</f>
        <v>b)</v>
      </c>
      <c r="B4555" s="1666" t="str">
        <f>'Lead &amp; ANALYSIS'!B881</f>
        <v>G.I. "L" &amp; "J" hooks</v>
      </c>
      <c r="C4555" s="688"/>
      <c r="D4555" s="1667"/>
      <c r="E4555" s="688"/>
      <c r="F4555" s="688"/>
      <c r="G4555" s="1674"/>
      <c r="H4555" s="688"/>
      <c r="I4555" s="1668"/>
      <c r="J4555" s="1669">
        <f>'Lead &amp; ANALYSIS'!L881</f>
        <v>56.2</v>
      </c>
      <c r="K4555" s="1668"/>
      <c r="L4555" s="1669">
        <f t="shared" si="775"/>
        <v>0</v>
      </c>
    </row>
    <row r="4556" spans="1:12" s="692" customFormat="1" ht="16.5" hidden="1">
      <c r="A4556" s="1665" t="str">
        <f>'Lead &amp; ANALYSIS'!A882</f>
        <v>c)</v>
      </c>
      <c r="B4556" s="1666" t="str">
        <f>'Lead &amp; ANALYSIS'!B882</f>
        <v>Steel Butt hinges (I.S.I.)&gt; 125x65x2.12mm</v>
      </c>
      <c r="C4556" s="688"/>
      <c r="D4556" s="1667"/>
      <c r="E4556" s="688"/>
      <c r="F4556" s="688"/>
      <c r="G4556" s="1674"/>
      <c r="H4556" s="688"/>
      <c r="I4556" s="1668"/>
      <c r="J4556" s="1669">
        <f>'Lead &amp; ANALYSIS'!L882</f>
        <v>17.3</v>
      </c>
      <c r="K4556" s="1668"/>
      <c r="L4556" s="1669">
        <f t="shared" si="775"/>
        <v>0</v>
      </c>
    </row>
    <row r="4557" spans="1:12" s="692" customFormat="1" ht="16.5" hidden="1">
      <c r="A4557" s="1665" t="str">
        <f>'Lead &amp; ANALYSIS'!A883</f>
        <v>d)</v>
      </c>
      <c r="B4557" s="1666" t="str">
        <f>'Lead &amp; ANALYSIS'!B883</f>
        <v>Steel Butt hinges (I.S.I.)&gt; 100x58x1.9mm</v>
      </c>
      <c r="C4557" s="688"/>
      <c r="D4557" s="1667"/>
      <c r="E4557" s="688"/>
      <c r="F4557" s="688"/>
      <c r="G4557" s="1674"/>
      <c r="H4557" s="688"/>
      <c r="I4557" s="1668"/>
      <c r="J4557" s="1669">
        <f>'Lead &amp; ANALYSIS'!L883</f>
        <v>11</v>
      </c>
      <c r="K4557" s="1668"/>
      <c r="L4557" s="1669">
        <f t="shared" si="775"/>
        <v>0</v>
      </c>
    </row>
    <row r="4558" spans="1:12" s="692" customFormat="1" ht="16.5" hidden="1">
      <c r="A4558" s="1665" t="str">
        <f>'Lead &amp; ANALYSIS'!A884</f>
        <v>e)</v>
      </c>
      <c r="B4558" s="1666" t="str">
        <f>'Lead &amp; ANALYSIS'!B884</f>
        <v>M.S. Aldrop (I.S.I.)&gt; 300x16mm</v>
      </c>
      <c r="C4558" s="688"/>
      <c r="D4558" s="1667"/>
      <c r="E4558" s="688"/>
      <c r="F4558" s="688"/>
      <c r="G4558" s="1674"/>
      <c r="H4558" s="688"/>
      <c r="I4558" s="1668"/>
      <c r="J4558" s="1669">
        <f>'Lead &amp; ANALYSIS'!L884</f>
        <v>78</v>
      </c>
      <c r="K4558" s="1668"/>
      <c r="L4558" s="1669">
        <f t="shared" si="775"/>
        <v>0</v>
      </c>
    </row>
    <row r="4559" spans="1:12" s="692" customFormat="1" ht="16.5" hidden="1">
      <c r="A4559" s="1665" t="str">
        <f>'Lead &amp; ANALYSIS'!A885</f>
        <v>f)</v>
      </c>
      <c r="B4559" s="1666" t="str">
        <f>'Lead &amp; ANALYSIS'!B885</f>
        <v>M.S. Handel (I.S.I.)&gt; 150mm</v>
      </c>
      <c r="C4559" s="688"/>
      <c r="D4559" s="1667"/>
      <c r="E4559" s="688"/>
      <c r="F4559" s="688"/>
      <c r="G4559" s="1674"/>
      <c r="H4559" s="688"/>
      <c r="I4559" s="1668"/>
      <c r="J4559" s="1669">
        <f>'Lead &amp; ANALYSIS'!L885</f>
        <v>15.8</v>
      </c>
      <c r="K4559" s="1668"/>
      <c r="L4559" s="1669">
        <f t="shared" si="775"/>
        <v>0</v>
      </c>
    </row>
    <row r="4560" spans="1:12" s="692" customFormat="1" ht="16.5" hidden="1">
      <c r="A4560" s="1665" t="str">
        <f>'Lead &amp; ANALYSIS'!A886</f>
        <v>g)</v>
      </c>
      <c r="B4560" s="1666" t="str">
        <f>'Lead &amp; ANALYSIS'!B886</f>
        <v>M.S. Handel (I.S.I.)&gt; 100mm</v>
      </c>
      <c r="C4560" s="688"/>
      <c r="D4560" s="1667"/>
      <c r="E4560" s="688"/>
      <c r="F4560" s="688"/>
      <c r="G4560" s="1674"/>
      <c r="H4560" s="688"/>
      <c r="I4560" s="1668"/>
      <c r="J4560" s="1669">
        <f>'Lead &amp; ANALYSIS'!L886</f>
        <v>11</v>
      </c>
      <c r="K4560" s="1668"/>
      <c r="L4560" s="1669">
        <f t="shared" si="775"/>
        <v>0</v>
      </c>
    </row>
    <row r="4561" spans="1:12" s="692" customFormat="1" ht="16.5" hidden="1">
      <c r="A4561" s="1665" t="str">
        <f>'Lead &amp; ANALYSIS'!A887</f>
        <v>h)</v>
      </c>
      <c r="B4561" s="1666" t="str">
        <f>'Lead &amp; ANALYSIS'!B887</f>
        <v>M.S. tower bolt (I.S.I.)&gt; 150x10mm</v>
      </c>
      <c r="C4561" s="688"/>
      <c r="D4561" s="1667"/>
      <c r="E4561" s="688"/>
      <c r="F4561" s="688"/>
      <c r="G4561" s="1674"/>
      <c r="H4561" s="688"/>
      <c r="I4561" s="1668"/>
      <c r="J4561" s="1669">
        <f>'Lead &amp; ANALYSIS'!L887</f>
        <v>20.5</v>
      </c>
      <c r="K4561" s="1668"/>
      <c r="L4561" s="1669">
        <f t="shared" si="775"/>
        <v>0</v>
      </c>
    </row>
    <row r="4562" spans="1:12" s="692" customFormat="1" ht="16.5" hidden="1">
      <c r="A4562" s="1665" t="str">
        <f>'Lead &amp; ANALYSIS'!A888</f>
        <v>i)</v>
      </c>
      <c r="B4562" s="1666" t="str">
        <f>'Lead &amp; ANALYSIS'!B888</f>
        <v>M.S. tower bolt (I.S.I.)&gt; 100x10mm</v>
      </c>
      <c r="C4562" s="688"/>
      <c r="D4562" s="1667"/>
      <c r="E4562" s="688"/>
      <c r="F4562" s="688"/>
      <c r="G4562" s="1674"/>
      <c r="H4562" s="688"/>
      <c r="I4562" s="1668"/>
      <c r="J4562" s="1669">
        <f>'Lead &amp; ANALYSIS'!L888</f>
        <v>13.4</v>
      </c>
      <c r="K4562" s="1668"/>
      <c r="L4562" s="1669">
        <f t="shared" si="775"/>
        <v>0</v>
      </c>
    </row>
    <row r="4563" spans="1:12" s="692" customFormat="1" ht="16.5" hidden="1">
      <c r="A4563" s="1692" t="str">
        <f>'Lead &amp; ANALYSIS'!A889</f>
        <v>E) Painting</v>
      </c>
      <c r="B4563" s="1666"/>
      <c r="C4563" s="688"/>
      <c r="D4563" s="1667"/>
      <c r="E4563" s="688"/>
      <c r="F4563" s="688"/>
      <c r="G4563" s="1674"/>
      <c r="H4563" s="688"/>
      <c r="I4563" s="1668"/>
      <c r="J4563" s="1668"/>
      <c r="K4563" s="1668"/>
      <c r="L4563" s="1669"/>
    </row>
    <row r="4564" spans="1:12" s="692" customFormat="1" ht="66">
      <c r="A4564" s="1665">
        <v>14</v>
      </c>
      <c r="B4564" s="1666" t="str">
        <f>'Lead &amp; ANALYSIS'!B890</f>
        <v xml:space="preserve">Finishing plastered surfaces with cement washing one coat using cement  etc. required for the work complete in all respect as per the direction of the Engineer-in-charge. </v>
      </c>
      <c r="C4564" s="688"/>
      <c r="D4564" s="1667"/>
      <c r="E4564" s="688"/>
      <c r="F4564" s="688"/>
      <c r="G4564" s="1674"/>
      <c r="H4564" s="688"/>
      <c r="I4564" s="1668"/>
      <c r="J4564" s="1668"/>
      <c r="K4564" s="1668"/>
      <c r="L4564" s="1669"/>
    </row>
    <row r="4565" spans="1:12" s="692" customFormat="1" ht="16.5">
      <c r="A4565" s="1665" t="str">
        <f>'Lead &amp; ANALYSIS'!A891</f>
        <v>A)</v>
      </c>
      <c r="B4565" s="1666" t="str">
        <f>'Lead &amp; ANALYSIS'!B891</f>
        <v>Inside Surface</v>
      </c>
      <c r="C4565" s="688"/>
      <c r="D4565" s="1667"/>
      <c r="E4565" s="688"/>
      <c r="F4565" s="688"/>
      <c r="G4565" s="1674"/>
      <c r="H4565" s="1668"/>
      <c r="I4565" s="1668"/>
      <c r="J4565" s="1668"/>
      <c r="K4565" s="1668"/>
      <c r="L4565" s="1669"/>
    </row>
    <row r="4566" spans="1:12" s="692" customFormat="1" ht="16.5">
      <c r="A4566" s="1665"/>
      <c r="B4566" s="1666" t="s">
        <v>2995</v>
      </c>
      <c r="C4566" s="688"/>
      <c r="D4566" s="1667"/>
      <c r="E4566" s="688"/>
      <c r="F4566" s="688"/>
      <c r="G4566" s="1674"/>
      <c r="H4566" s="1673">
        <f>H3034+H3176+H3244</f>
        <v>612.16999999999996</v>
      </c>
      <c r="I4566" s="1668" t="s">
        <v>92</v>
      </c>
      <c r="J4566" s="1668"/>
      <c r="K4566" s="1668"/>
      <c r="L4566" s="1669"/>
    </row>
    <row r="4567" spans="1:12" s="692" customFormat="1" ht="16.5" hidden="1">
      <c r="A4567" s="1665" t="str">
        <f>'Lead &amp; ANALYSIS'!A892</f>
        <v>(i)</v>
      </c>
      <c r="B4567" s="1666" t="str">
        <f>'Lead &amp; ANALYSIS'!B892</f>
        <v>Ground Floor</v>
      </c>
      <c r="C4567" s="688"/>
      <c r="D4567" s="1667"/>
      <c r="E4567" s="688"/>
      <c r="F4567" s="688"/>
      <c r="G4567" s="1674"/>
      <c r="H4567" s="688"/>
      <c r="I4567" s="1668"/>
      <c r="J4567" s="1668"/>
      <c r="K4567" s="1668"/>
      <c r="L4567" s="1669"/>
    </row>
    <row r="4568" spans="1:12" s="692" customFormat="1" ht="16.5" hidden="1">
      <c r="A4568" s="1665"/>
      <c r="B4568" s="1666"/>
      <c r="C4568" s="688"/>
      <c r="D4568" s="1667"/>
      <c r="E4568" s="1671">
        <v>3.5</v>
      </c>
      <c r="F4568" s="1668"/>
      <c r="G4568" s="1671">
        <v>4</v>
      </c>
      <c r="H4568" s="1671">
        <f t="shared" ref="H4568:H4573" si="776">ROUND(D4568*E4568*G4568,2)</f>
        <v>0</v>
      </c>
      <c r="I4568" s="688" t="s">
        <v>92</v>
      </c>
      <c r="J4568" s="1668"/>
      <c r="K4568" s="1668"/>
      <c r="L4568" s="1669"/>
    </row>
    <row r="4569" spans="1:12" s="692" customFormat="1" ht="16.5" hidden="1">
      <c r="A4569" s="1665"/>
      <c r="B4569" s="1666"/>
      <c r="C4569" s="688"/>
      <c r="D4569" s="1667"/>
      <c r="E4569" s="1671">
        <v>3.5</v>
      </c>
      <c r="F4569" s="1668"/>
      <c r="G4569" s="1671">
        <v>4</v>
      </c>
      <c r="H4569" s="1671">
        <f t="shared" si="776"/>
        <v>0</v>
      </c>
      <c r="I4569" s="688" t="s">
        <v>92</v>
      </c>
      <c r="J4569" s="1668"/>
      <c r="K4569" s="1668"/>
      <c r="L4569" s="1669"/>
    </row>
    <row r="4570" spans="1:12" s="692" customFormat="1" ht="16.5" hidden="1">
      <c r="A4570" s="1665"/>
      <c r="B4570" s="1666"/>
      <c r="C4570" s="688"/>
      <c r="D4570" s="1667"/>
      <c r="E4570" s="1671">
        <v>3.5</v>
      </c>
      <c r="F4570" s="1668"/>
      <c r="G4570" s="1671">
        <v>4</v>
      </c>
      <c r="H4570" s="1671">
        <f t="shared" si="776"/>
        <v>0</v>
      </c>
      <c r="I4570" s="688" t="s">
        <v>92</v>
      </c>
      <c r="J4570" s="1668"/>
      <c r="K4570" s="1668"/>
      <c r="L4570" s="1669"/>
    </row>
    <row r="4571" spans="1:12" s="692" customFormat="1" ht="16.5" hidden="1">
      <c r="A4571" s="1665"/>
      <c r="B4571" s="1666"/>
      <c r="C4571" s="688"/>
      <c r="D4571" s="1667"/>
      <c r="E4571" s="1671">
        <v>3.5</v>
      </c>
      <c r="F4571" s="1668"/>
      <c r="G4571" s="1671">
        <v>4</v>
      </c>
      <c r="H4571" s="1671">
        <f t="shared" si="776"/>
        <v>0</v>
      </c>
      <c r="I4571" s="688" t="s">
        <v>92</v>
      </c>
      <c r="J4571" s="1668"/>
      <c r="K4571" s="1668"/>
      <c r="L4571" s="1669"/>
    </row>
    <row r="4572" spans="1:12" s="692" customFormat="1" ht="16.5" hidden="1">
      <c r="A4572" s="1665"/>
      <c r="B4572" s="1666"/>
      <c r="C4572" s="688"/>
      <c r="D4572" s="1667"/>
      <c r="E4572" s="1671">
        <v>3.5</v>
      </c>
      <c r="F4572" s="1668"/>
      <c r="G4572" s="1671">
        <v>4</v>
      </c>
      <c r="H4572" s="1671">
        <f t="shared" si="776"/>
        <v>0</v>
      </c>
      <c r="I4572" s="688" t="s">
        <v>92</v>
      </c>
      <c r="J4572" s="1668"/>
      <c r="K4572" s="1668"/>
      <c r="L4572" s="1669"/>
    </row>
    <row r="4573" spans="1:12" s="692" customFormat="1" ht="16.5" hidden="1">
      <c r="A4573" s="1665"/>
      <c r="B4573" s="1666"/>
      <c r="C4573" s="688"/>
      <c r="D4573" s="1667"/>
      <c r="E4573" s="1671">
        <v>3.5</v>
      </c>
      <c r="F4573" s="1668"/>
      <c r="G4573" s="1671">
        <v>4</v>
      </c>
      <c r="H4573" s="1671">
        <f t="shared" si="776"/>
        <v>0</v>
      </c>
      <c r="I4573" s="688" t="s">
        <v>92</v>
      </c>
      <c r="J4573" s="1668"/>
      <c r="K4573" s="1668"/>
      <c r="L4573" s="1669"/>
    </row>
    <row r="4574" spans="1:12" s="692" customFormat="1" ht="16.5">
      <c r="A4574" s="1665"/>
      <c r="B4574" s="1666"/>
      <c r="C4574" s="688"/>
      <c r="D4574" s="1667"/>
      <c r="E4574" s="688"/>
      <c r="F4574" s="688"/>
      <c r="G4574" s="1674" t="s">
        <v>928</v>
      </c>
      <c r="H4574" s="1671">
        <f>SUM(H4566:H4573)</f>
        <v>612.16999999999996</v>
      </c>
      <c r="I4574" s="1668" t="s">
        <v>92</v>
      </c>
      <c r="J4574" s="1669">
        <f>'Lead &amp; ANALYSIS'!L892</f>
        <v>16</v>
      </c>
      <c r="K4574" s="1668" t="s">
        <v>1514</v>
      </c>
      <c r="L4574" s="1669">
        <f t="shared" ref="L4574" si="777">ROUND(H4574*J4574,0)</f>
        <v>9795</v>
      </c>
    </row>
    <row r="4575" spans="1:12" s="692" customFormat="1" ht="16.5" hidden="1">
      <c r="A4575" s="1665" t="str">
        <f>'Lead &amp; ANALYSIS'!A893</f>
        <v>(ii)</v>
      </c>
      <c r="B4575" s="1666" t="str">
        <f>'Lead &amp; ANALYSIS'!B893</f>
        <v>First Floor</v>
      </c>
      <c r="C4575" s="688"/>
      <c r="D4575" s="1667"/>
      <c r="E4575" s="688"/>
      <c r="F4575" s="688"/>
      <c r="G4575" s="1674"/>
      <c r="H4575" s="688"/>
      <c r="I4575" s="1668"/>
      <c r="J4575" s="1668"/>
      <c r="K4575" s="1668"/>
      <c r="L4575" s="1669"/>
    </row>
    <row r="4576" spans="1:12" s="692" customFormat="1" ht="16.5" hidden="1">
      <c r="A4576" s="1665"/>
      <c r="B4576" s="1666"/>
      <c r="C4576" s="688"/>
      <c r="D4576" s="1667"/>
      <c r="E4576" s="1671">
        <v>3.5</v>
      </c>
      <c r="F4576" s="1668"/>
      <c r="G4576" s="1671">
        <v>4</v>
      </c>
      <c r="H4576" s="1671">
        <f t="shared" ref="H4576:H4581" si="778">ROUND(D4576*E4576*G4576,2)</f>
        <v>0</v>
      </c>
      <c r="I4576" s="688" t="s">
        <v>92</v>
      </c>
      <c r="J4576" s="1668"/>
      <c r="K4576" s="1668"/>
      <c r="L4576" s="1669"/>
    </row>
    <row r="4577" spans="1:12" s="692" customFormat="1" ht="16.5" hidden="1">
      <c r="A4577" s="1665"/>
      <c r="B4577" s="1666"/>
      <c r="C4577" s="688"/>
      <c r="D4577" s="1667"/>
      <c r="E4577" s="1671">
        <v>3.5</v>
      </c>
      <c r="F4577" s="1668"/>
      <c r="G4577" s="1671">
        <v>4</v>
      </c>
      <c r="H4577" s="1671">
        <f t="shared" si="778"/>
        <v>0</v>
      </c>
      <c r="I4577" s="688" t="s">
        <v>92</v>
      </c>
      <c r="J4577" s="1668"/>
      <c r="K4577" s="1668"/>
      <c r="L4577" s="1669"/>
    </row>
    <row r="4578" spans="1:12" s="692" customFormat="1" ht="16.5" hidden="1">
      <c r="A4578" s="1665"/>
      <c r="B4578" s="1666"/>
      <c r="C4578" s="688"/>
      <c r="D4578" s="1667"/>
      <c r="E4578" s="1671">
        <v>3.5</v>
      </c>
      <c r="F4578" s="1668"/>
      <c r="G4578" s="1671">
        <v>4</v>
      </c>
      <c r="H4578" s="1671">
        <f t="shared" si="778"/>
        <v>0</v>
      </c>
      <c r="I4578" s="688" t="s">
        <v>92</v>
      </c>
      <c r="J4578" s="1668"/>
      <c r="K4578" s="1668"/>
      <c r="L4578" s="1669"/>
    </row>
    <row r="4579" spans="1:12" s="692" customFormat="1" ht="16.5" hidden="1">
      <c r="A4579" s="1665"/>
      <c r="B4579" s="1666"/>
      <c r="C4579" s="688"/>
      <c r="D4579" s="1667"/>
      <c r="E4579" s="1671">
        <v>3.5</v>
      </c>
      <c r="F4579" s="1668"/>
      <c r="G4579" s="1671">
        <v>4</v>
      </c>
      <c r="H4579" s="1671">
        <f t="shared" si="778"/>
        <v>0</v>
      </c>
      <c r="I4579" s="688" t="s">
        <v>92</v>
      </c>
      <c r="J4579" s="1668"/>
      <c r="K4579" s="1668"/>
      <c r="L4579" s="1669"/>
    </row>
    <row r="4580" spans="1:12" s="692" customFormat="1" ht="16.5" hidden="1">
      <c r="A4580" s="1665"/>
      <c r="B4580" s="1666"/>
      <c r="C4580" s="688"/>
      <c r="D4580" s="1667"/>
      <c r="E4580" s="1671">
        <v>3.5</v>
      </c>
      <c r="F4580" s="1668"/>
      <c r="G4580" s="1671">
        <v>4</v>
      </c>
      <c r="H4580" s="1671">
        <f t="shared" si="778"/>
        <v>0</v>
      </c>
      <c r="I4580" s="688" t="s">
        <v>92</v>
      </c>
      <c r="J4580" s="1668"/>
      <c r="K4580" s="1668"/>
      <c r="L4580" s="1669"/>
    </row>
    <row r="4581" spans="1:12" s="692" customFormat="1" ht="16.5" hidden="1">
      <c r="A4581" s="1665"/>
      <c r="B4581" s="1666"/>
      <c r="C4581" s="688"/>
      <c r="D4581" s="1667"/>
      <c r="E4581" s="1671">
        <v>3.5</v>
      </c>
      <c r="F4581" s="1668"/>
      <c r="G4581" s="1671">
        <v>4</v>
      </c>
      <c r="H4581" s="1671">
        <f t="shared" si="778"/>
        <v>0</v>
      </c>
      <c r="I4581" s="688" t="s">
        <v>92</v>
      </c>
      <c r="J4581" s="1668"/>
      <c r="K4581" s="1668"/>
      <c r="L4581" s="1669"/>
    </row>
    <row r="4582" spans="1:12" s="692" customFormat="1" ht="16.5" hidden="1">
      <c r="A4582" s="1665"/>
      <c r="B4582" s="1666"/>
      <c r="C4582" s="688"/>
      <c r="D4582" s="1667"/>
      <c r="E4582" s="688"/>
      <c r="F4582" s="688"/>
      <c r="G4582" s="1674" t="s">
        <v>928</v>
      </c>
      <c r="H4582" s="1671">
        <f>SUM(H4576:H4581)</f>
        <v>0</v>
      </c>
      <c r="I4582" s="1668" t="s">
        <v>92</v>
      </c>
      <c r="J4582" s="1669">
        <f>'Lead &amp; ANALYSIS'!L893</f>
        <v>16.2</v>
      </c>
      <c r="K4582" s="1668" t="s">
        <v>1514</v>
      </c>
      <c r="L4582" s="1669">
        <f t="shared" ref="L4582" si="779">ROUND(H4582*J4582,0)</f>
        <v>0</v>
      </c>
    </row>
    <row r="4583" spans="1:12" s="692" customFormat="1" ht="16.5" hidden="1">
      <c r="A4583" s="1665" t="str">
        <f>'Lead &amp; ANALYSIS'!A894</f>
        <v>(iii)</v>
      </c>
      <c r="B4583" s="1666" t="str">
        <f>'Lead &amp; ANALYSIS'!B894</f>
        <v>2nd Floor</v>
      </c>
      <c r="C4583" s="688"/>
      <c r="D4583" s="1667"/>
      <c r="E4583" s="688"/>
      <c r="F4583" s="688"/>
      <c r="G4583" s="1674"/>
      <c r="H4583" s="688"/>
      <c r="I4583" s="1668"/>
      <c r="J4583" s="1668"/>
      <c r="K4583" s="1668"/>
      <c r="L4583" s="1669"/>
    </row>
    <row r="4584" spans="1:12" s="692" customFormat="1" ht="16.5" hidden="1">
      <c r="A4584" s="1665"/>
      <c r="B4584" s="1666"/>
      <c r="C4584" s="688"/>
      <c r="D4584" s="1667"/>
      <c r="E4584" s="1671">
        <v>3.5</v>
      </c>
      <c r="F4584" s="1668"/>
      <c r="G4584" s="1671">
        <v>4</v>
      </c>
      <c r="H4584" s="1671">
        <f t="shared" ref="H4584:H4589" si="780">ROUND(D4584*E4584*G4584,2)</f>
        <v>0</v>
      </c>
      <c r="I4584" s="688" t="s">
        <v>92</v>
      </c>
      <c r="J4584" s="1668"/>
      <c r="K4584" s="1668"/>
      <c r="L4584" s="1669"/>
    </row>
    <row r="4585" spans="1:12" s="692" customFormat="1" ht="16.5" hidden="1">
      <c r="A4585" s="1665"/>
      <c r="B4585" s="1666"/>
      <c r="C4585" s="688"/>
      <c r="D4585" s="1667"/>
      <c r="E4585" s="1671">
        <v>3.5</v>
      </c>
      <c r="F4585" s="1668"/>
      <c r="G4585" s="1671">
        <v>4</v>
      </c>
      <c r="H4585" s="1671">
        <f t="shared" si="780"/>
        <v>0</v>
      </c>
      <c r="I4585" s="688" t="s">
        <v>92</v>
      </c>
      <c r="J4585" s="1668"/>
      <c r="K4585" s="1668"/>
      <c r="L4585" s="1669"/>
    </row>
    <row r="4586" spans="1:12" s="692" customFormat="1" ht="16.5" hidden="1">
      <c r="A4586" s="1665"/>
      <c r="B4586" s="1666"/>
      <c r="C4586" s="688"/>
      <c r="D4586" s="1667"/>
      <c r="E4586" s="1671">
        <v>3.5</v>
      </c>
      <c r="F4586" s="1668"/>
      <c r="G4586" s="1671">
        <v>4</v>
      </c>
      <c r="H4586" s="1671">
        <f t="shared" si="780"/>
        <v>0</v>
      </c>
      <c r="I4586" s="688" t="s">
        <v>92</v>
      </c>
      <c r="J4586" s="1668"/>
      <c r="K4586" s="1668"/>
      <c r="L4586" s="1669"/>
    </row>
    <row r="4587" spans="1:12" s="692" customFormat="1" ht="16.5" hidden="1">
      <c r="A4587" s="1665"/>
      <c r="B4587" s="1666"/>
      <c r="C4587" s="688"/>
      <c r="D4587" s="1667"/>
      <c r="E4587" s="1671">
        <v>3.5</v>
      </c>
      <c r="F4587" s="1668"/>
      <c r="G4587" s="1671">
        <v>4</v>
      </c>
      <c r="H4587" s="1671">
        <f t="shared" si="780"/>
        <v>0</v>
      </c>
      <c r="I4587" s="688" t="s">
        <v>92</v>
      </c>
      <c r="J4587" s="1668"/>
      <c r="K4587" s="1668"/>
      <c r="L4587" s="1669"/>
    </row>
    <row r="4588" spans="1:12" s="692" customFormat="1" ht="16.5" hidden="1">
      <c r="A4588" s="1665"/>
      <c r="B4588" s="1666"/>
      <c r="C4588" s="688"/>
      <c r="D4588" s="1667"/>
      <c r="E4588" s="1671">
        <v>3.5</v>
      </c>
      <c r="F4588" s="1668"/>
      <c r="G4588" s="1671">
        <v>4</v>
      </c>
      <c r="H4588" s="1671">
        <f t="shared" si="780"/>
        <v>0</v>
      </c>
      <c r="I4588" s="688" t="s">
        <v>92</v>
      </c>
      <c r="J4588" s="1668"/>
      <c r="K4588" s="1668"/>
      <c r="L4588" s="1669"/>
    </row>
    <row r="4589" spans="1:12" s="692" customFormat="1" ht="16.5" hidden="1">
      <c r="A4589" s="1665"/>
      <c r="B4589" s="1666"/>
      <c r="C4589" s="688"/>
      <c r="D4589" s="1667"/>
      <c r="E4589" s="1671">
        <v>3.5</v>
      </c>
      <c r="F4589" s="1668"/>
      <c r="G4589" s="1671">
        <v>4</v>
      </c>
      <c r="H4589" s="1671">
        <f t="shared" si="780"/>
        <v>0</v>
      </c>
      <c r="I4589" s="688" t="s">
        <v>92</v>
      </c>
      <c r="J4589" s="1668"/>
      <c r="K4589" s="1668"/>
      <c r="L4589" s="1669"/>
    </row>
    <row r="4590" spans="1:12" s="692" customFormat="1" ht="16.5" hidden="1">
      <c r="A4590" s="1665"/>
      <c r="B4590" s="1666"/>
      <c r="C4590" s="688"/>
      <c r="D4590" s="1667"/>
      <c r="E4590" s="688"/>
      <c r="F4590" s="688"/>
      <c r="G4590" s="1674" t="s">
        <v>928</v>
      </c>
      <c r="H4590" s="1671">
        <f>SUM(H4584:H4589)</f>
        <v>0</v>
      </c>
      <c r="I4590" s="1668" t="s">
        <v>92</v>
      </c>
      <c r="J4590" s="1669">
        <f>'Lead &amp; ANALYSIS'!L894</f>
        <v>16.5</v>
      </c>
      <c r="K4590" s="1668" t="s">
        <v>1514</v>
      </c>
      <c r="L4590" s="1669">
        <f t="shared" ref="L4590" si="781">ROUND(H4590*J4590,0)</f>
        <v>0</v>
      </c>
    </row>
    <row r="4591" spans="1:12" s="692" customFormat="1" ht="16.5" hidden="1">
      <c r="A4591" s="1665" t="str">
        <f>'Lead &amp; ANALYSIS'!A895</f>
        <v>(iv)</v>
      </c>
      <c r="B4591" s="1666" t="str">
        <f>'Lead &amp; ANALYSIS'!B895</f>
        <v>3rd Floor</v>
      </c>
      <c r="C4591" s="688"/>
      <c r="D4591" s="1667"/>
      <c r="E4591" s="688"/>
      <c r="F4591" s="688"/>
      <c r="G4591" s="1674"/>
      <c r="H4591" s="688"/>
      <c r="I4591" s="1668"/>
      <c r="J4591" s="1668"/>
      <c r="K4591" s="1668"/>
      <c r="L4591" s="1669"/>
    </row>
    <row r="4592" spans="1:12" s="692" customFormat="1" ht="16.5" hidden="1">
      <c r="A4592" s="1665"/>
      <c r="B4592" s="1666"/>
      <c r="C4592" s="688"/>
      <c r="D4592" s="1667"/>
      <c r="E4592" s="1671">
        <v>3.5</v>
      </c>
      <c r="F4592" s="1668"/>
      <c r="G4592" s="1671">
        <v>4</v>
      </c>
      <c r="H4592" s="1671">
        <f t="shared" ref="H4592:H4597" si="782">ROUND(D4592*E4592*G4592,2)</f>
        <v>0</v>
      </c>
      <c r="I4592" s="688" t="s">
        <v>92</v>
      </c>
      <c r="J4592" s="1668"/>
      <c r="K4592" s="1668"/>
      <c r="L4592" s="1669"/>
    </row>
    <row r="4593" spans="1:12" s="692" customFormat="1" ht="16.5" hidden="1">
      <c r="A4593" s="1665"/>
      <c r="B4593" s="1666"/>
      <c r="C4593" s="688"/>
      <c r="D4593" s="1667"/>
      <c r="E4593" s="1671">
        <v>3.5</v>
      </c>
      <c r="F4593" s="1668"/>
      <c r="G4593" s="1671">
        <v>4</v>
      </c>
      <c r="H4593" s="1671">
        <f t="shared" si="782"/>
        <v>0</v>
      </c>
      <c r="I4593" s="688" t="s">
        <v>92</v>
      </c>
      <c r="J4593" s="1668"/>
      <c r="K4593" s="1668"/>
      <c r="L4593" s="1669"/>
    </row>
    <row r="4594" spans="1:12" s="692" customFormat="1" ht="16.5" hidden="1">
      <c r="A4594" s="1665"/>
      <c r="B4594" s="1666"/>
      <c r="C4594" s="688"/>
      <c r="D4594" s="1667"/>
      <c r="E4594" s="1671">
        <v>3.5</v>
      </c>
      <c r="F4594" s="1668"/>
      <c r="G4594" s="1671">
        <v>4</v>
      </c>
      <c r="H4594" s="1671">
        <f t="shared" si="782"/>
        <v>0</v>
      </c>
      <c r="I4594" s="688" t="s">
        <v>92</v>
      </c>
      <c r="J4594" s="1668"/>
      <c r="K4594" s="1668"/>
      <c r="L4594" s="1669"/>
    </row>
    <row r="4595" spans="1:12" s="692" customFormat="1" ht="16.5" hidden="1">
      <c r="A4595" s="1665"/>
      <c r="B4595" s="1666"/>
      <c r="C4595" s="688"/>
      <c r="D4595" s="1667"/>
      <c r="E4595" s="1671">
        <v>3.5</v>
      </c>
      <c r="F4595" s="1668"/>
      <c r="G4595" s="1671">
        <v>4</v>
      </c>
      <c r="H4595" s="1671">
        <f t="shared" si="782"/>
        <v>0</v>
      </c>
      <c r="I4595" s="688" t="s">
        <v>92</v>
      </c>
      <c r="J4595" s="1668"/>
      <c r="K4595" s="1668"/>
      <c r="L4595" s="1669"/>
    </row>
    <row r="4596" spans="1:12" s="692" customFormat="1" ht="16.5" hidden="1">
      <c r="A4596" s="1665"/>
      <c r="B4596" s="1666"/>
      <c r="C4596" s="688"/>
      <c r="D4596" s="1667"/>
      <c r="E4596" s="1671">
        <v>3.5</v>
      </c>
      <c r="F4596" s="1668"/>
      <c r="G4596" s="1671">
        <v>4</v>
      </c>
      <c r="H4596" s="1671">
        <f t="shared" si="782"/>
        <v>0</v>
      </c>
      <c r="I4596" s="688" t="s">
        <v>92</v>
      </c>
      <c r="J4596" s="1668"/>
      <c r="K4596" s="1668"/>
      <c r="L4596" s="1669"/>
    </row>
    <row r="4597" spans="1:12" s="692" customFormat="1" ht="16.5" hidden="1">
      <c r="A4597" s="1665"/>
      <c r="B4597" s="1666"/>
      <c r="C4597" s="688"/>
      <c r="D4597" s="1667"/>
      <c r="E4597" s="1671">
        <v>3.5</v>
      </c>
      <c r="F4597" s="1668"/>
      <c r="G4597" s="1671">
        <v>4</v>
      </c>
      <c r="H4597" s="1671">
        <f t="shared" si="782"/>
        <v>0</v>
      </c>
      <c r="I4597" s="688" t="s">
        <v>92</v>
      </c>
      <c r="J4597" s="1668"/>
      <c r="K4597" s="1668"/>
      <c r="L4597" s="1669"/>
    </row>
    <row r="4598" spans="1:12" s="692" customFormat="1" ht="16.5" hidden="1">
      <c r="A4598" s="1665"/>
      <c r="B4598" s="1666"/>
      <c r="C4598" s="688"/>
      <c r="D4598" s="1667"/>
      <c r="E4598" s="688"/>
      <c r="F4598" s="688"/>
      <c r="G4598" s="1674" t="s">
        <v>928</v>
      </c>
      <c r="H4598" s="1671">
        <f>SUM(H4592:H4597)</f>
        <v>0</v>
      </c>
      <c r="I4598" s="1668" t="s">
        <v>92</v>
      </c>
      <c r="J4598" s="1669">
        <f>'Lead &amp; ANALYSIS'!L895</f>
        <v>16.8</v>
      </c>
      <c r="K4598" s="1668" t="s">
        <v>1514</v>
      </c>
      <c r="L4598" s="1669">
        <f t="shared" ref="L4598" si="783">ROUND(H4598*J4598,0)</f>
        <v>0</v>
      </c>
    </row>
    <row r="4599" spans="1:12" s="692" customFormat="1" ht="16.5" hidden="1">
      <c r="A4599" s="1665" t="str">
        <f>'Lead &amp; ANALYSIS'!A896</f>
        <v>B)</v>
      </c>
      <c r="B4599" s="1666" t="str">
        <f>'Lead &amp; ANALYSIS'!B896</f>
        <v>Outside Surface</v>
      </c>
      <c r="C4599" s="688"/>
      <c r="D4599" s="1667"/>
      <c r="E4599" s="688"/>
      <c r="F4599" s="688"/>
      <c r="G4599" s="1674"/>
      <c r="H4599" s="688"/>
      <c r="I4599" s="1668"/>
      <c r="J4599" s="1668"/>
      <c r="K4599" s="1668"/>
      <c r="L4599" s="1669"/>
    </row>
    <row r="4600" spans="1:12" s="692" customFormat="1" ht="16.5" hidden="1">
      <c r="A4600" s="1665" t="str">
        <f>'Lead &amp; ANALYSIS'!A897</f>
        <v>(i)</v>
      </c>
      <c r="B4600" s="1666" t="str">
        <f>'Lead &amp; ANALYSIS'!B897</f>
        <v>Ground Floor</v>
      </c>
      <c r="C4600" s="688"/>
      <c r="D4600" s="1667"/>
      <c r="E4600" s="688"/>
      <c r="F4600" s="688"/>
      <c r="G4600" s="1674"/>
      <c r="H4600" s="688"/>
      <c r="I4600" s="1668"/>
      <c r="J4600" s="1668"/>
      <c r="K4600" s="1668"/>
      <c r="L4600" s="1669"/>
    </row>
    <row r="4601" spans="1:12" s="692" customFormat="1" ht="16.5" hidden="1">
      <c r="A4601" s="1665"/>
      <c r="B4601" s="1666"/>
      <c r="C4601" s="688"/>
      <c r="D4601" s="1667"/>
      <c r="E4601" s="1671">
        <v>3.5</v>
      </c>
      <c r="F4601" s="1668"/>
      <c r="G4601" s="1671">
        <v>4</v>
      </c>
      <c r="H4601" s="1671">
        <f t="shared" ref="H4601:H4606" si="784">ROUND(D4601*E4601*G4601,2)</f>
        <v>0</v>
      </c>
      <c r="I4601" s="688" t="s">
        <v>92</v>
      </c>
      <c r="J4601" s="1668"/>
      <c r="K4601" s="1668"/>
      <c r="L4601" s="1669"/>
    </row>
    <row r="4602" spans="1:12" s="692" customFormat="1" ht="16.5" hidden="1">
      <c r="A4602" s="1665"/>
      <c r="B4602" s="1666"/>
      <c r="C4602" s="688"/>
      <c r="D4602" s="1667"/>
      <c r="E4602" s="1671">
        <v>3.5</v>
      </c>
      <c r="F4602" s="1668"/>
      <c r="G4602" s="1671">
        <v>4</v>
      </c>
      <c r="H4602" s="1671">
        <f t="shared" si="784"/>
        <v>0</v>
      </c>
      <c r="I4602" s="688" t="s">
        <v>92</v>
      </c>
      <c r="J4602" s="1668"/>
      <c r="K4602" s="1668"/>
      <c r="L4602" s="1669"/>
    </row>
    <row r="4603" spans="1:12" s="692" customFormat="1" ht="16.5" hidden="1">
      <c r="A4603" s="1665"/>
      <c r="B4603" s="1666"/>
      <c r="C4603" s="688"/>
      <c r="D4603" s="1667"/>
      <c r="E4603" s="1671">
        <v>3.5</v>
      </c>
      <c r="F4603" s="1668"/>
      <c r="G4603" s="1671">
        <v>4</v>
      </c>
      <c r="H4603" s="1671">
        <f t="shared" si="784"/>
        <v>0</v>
      </c>
      <c r="I4603" s="688" t="s">
        <v>92</v>
      </c>
      <c r="J4603" s="1668"/>
      <c r="K4603" s="1668"/>
      <c r="L4603" s="1669"/>
    </row>
    <row r="4604" spans="1:12" s="692" customFormat="1" ht="16.5" hidden="1">
      <c r="A4604" s="1665"/>
      <c r="B4604" s="1666"/>
      <c r="C4604" s="688"/>
      <c r="D4604" s="1667"/>
      <c r="E4604" s="1671">
        <v>3.5</v>
      </c>
      <c r="F4604" s="1668"/>
      <c r="G4604" s="1671">
        <v>4</v>
      </c>
      <c r="H4604" s="1671">
        <f t="shared" si="784"/>
        <v>0</v>
      </c>
      <c r="I4604" s="688" t="s">
        <v>92</v>
      </c>
      <c r="J4604" s="1668"/>
      <c r="K4604" s="1668"/>
      <c r="L4604" s="1669"/>
    </row>
    <row r="4605" spans="1:12" s="692" customFormat="1" ht="16.5" hidden="1">
      <c r="A4605" s="1665"/>
      <c r="B4605" s="1666"/>
      <c r="C4605" s="688"/>
      <c r="D4605" s="1667"/>
      <c r="E4605" s="1671">
        <v>3.5</v>
      </c>
      <c r="F4605" s="1668"/>
      <c r="G4605" s="1671">
        <v>4</v>
      </c>
      <c r="H4605" s="1671">
        <f t="shared" si="784"/>
        <v>0</v>
      </c>
      <c r="I4605" s="688" t="s">
        <v>92</v>
      </c>
      <c r="J4605" s="1668"/>
      <c r="K4605" s="1668"/>
      <c r="L4605" s="1669"/>
    </row>
    <row r="4606" spans="1:12" s="692" customFormat="1" ht="16.5" hidden="1">
      <c r="A4606" s="1665"/>
      <c r="B4606" s="1666"/>
      <c r="C4606" s="688"/>
      <c r="D4606" s="1667"/>
      <c r="E4606" s="1671">
        <v>3.5</v>
      </c>
      <c r="F4606" s="1668"/>
      <c r="G4606" s="1671">
        <v>4</v>
      </c>
      <c r="H4606" s="1671">
        <f t="shared" si="784"/>
        <v>0</v>
      </c>
      <c r="I4606" s="688" t="s">
        <v>92</v>
      </c>
      <c r="J4606" s="1668"/>
      <c r="K4606" s="1668"/>
      <c r="L4606" s="1669"/>
    </row>
    <row r="4607" spans="1:12" s="692" customFormat="1" ht="16.5" hidden="1">
      <c r="A4607" s="1665"/>
      <c r="B4607" s="1666"/>
      <c r="C4607" s="688"/>
      <c r="D4607" s="1667"/>
      <c r="E4607" s="688"/>
      <c r="F4607" s="688"/>
      <c r="G4607" s="1674" t="s">
        <v>928</v>
      </c>
      <c r="H4607" s="1671">
        <f>SUM(H4601:H4606)</f>
        <v>0</v>
      </c>
      <c r="I4607" s="1668" t="s">
        <v>92</v>
      </c>
      <c r="J4607" s="1669">
        <f>'Lead &amp; ANALYSIS'!L897</f>
        <v>15.8</v>
      </c>
      <c r="K4607" s="1668" t="s">
        <v>1514</v>
      </c>
      <c r="L4607" s="1669">
        <f t="shared" ref="L4607" si="785">ROUND(H4607*J4607,0)</f>
        <v>0</v>
      </c>
    </row>
    <row r="4608" spans="1:12" s="692" customFormat="1" ht="16.5" hidden="1">
      <c r="A4608" s="1665" t="str">
        <f>'Lead &amp; ANALYSIS'!A898</f>
        <v>(ii)</v>
      </c>
      <c r="B4608" s="1666" t="str">
        <f>'Lead &amp; ANALYSIS'!B898</f>
        <v>First Floor</v>
      </c>
      <c r="C4608" s="688"/>
      <c r="D4608" s="1667"/>
      <c r="E4608" s="688"/>
      <c r="F4608" s="688"/>
      <c r="G4608" s="1674"/>
      <c r="H4608" s="688"/>
      <c r="I4608" s="1668"/>
      <c r="J4608" s="1668"/>
      <c r="K4608" s="1668"/>
      <c r="L4608" s="1669"/>
    </row>
    <row r="4609" spans="1:12" s="692" customFormat="1" ht="16.5" hidden="1">
      <c r="A4609" s="1665"/>
      <c r="B4609" s="1666"/>
      <c r="C4609" s="688"/>
      <c r="D4609" s="1667"/>
      <c r="E4609" s="1671">
        <v>3.5</v>
      </c>
      <c r="F4609" s="1668"/>
      <c r="G4609" s="1671">
        <v>4</v>
      </c>
      <c r="H4609" s="1671">
        <f t="shared" ref="H4609:H4614" si="786">ROUND(D4609*E4609*G4609,2)</f>
        <v>0</v>
      </c>
      <c r="I4609" s="688" t="s">
        <v>92</v>
      </c>
      <c r="J4609" s="1668"/>
      <c r="K4609" s="1668"/>
      <c r="L4609" s="1669"/>
    </row>
    <row r="4610" spans="1:12" s="692" customFormat="1" ht="16.5" hidden="1">
      <c r="A4610" s="1665"/>
      <c r="B4610" s="1666"/>
      <c r="C4610" s="688"/>
      <c r="D4610" s="1667"/>
      <c r="E4610" s="1671">
        <v>3.5</v>
      </c>
      <c r="F4610" s="1668"/>
      <c r="G4610" s="1671">
        <v>4</v>
      </c>
      <c r="H4610" s="1671">
        <f t="shared" si="786"/>
        <v>0</v>
      </c>
      <c r="I4610" s="688" t="s">
        <v>92</v>
      </c>
      <c r="J4610" s="1668"/>
      <c r="K4610" s="1668"/>
      <c r="L4610" s="1669"/>
    </row>
    <row r="4611" spans="1:12" s="692" customFormat="1" ht="16.5" hidden="1">
      <c r="A4611" s="1665"/>
      <c r="B4611" s="1666"/>
      <c r="C4611" s="688"/>
      <c r="D4611" s="1667"/>
      <c r="E4611" s="1671">
        <v>3.5</v>
      </c>
      <c r="F4611" s="1668"/>
      <c r="G4611" s="1671">
        <v>4</v>
      </c>
      <c r="H4611" s="1671">
        <f t="shared" si="786"/>
        <v>0</v>
      </c>
      <c r="I4611" s="688" t="s">
        <v>92</v>
      </c>
      <c r="J4611" s="1668"/>
      <c r="K4611" s="1668"/>
      <c r="L4611" s="1669"/>
    </row>
    <row r="4612" spans="1:12" s="692" customFormat="1" ht="16.5" hidden="1">
      <c r="A4612" s="1665"/>
      <c r="B4612" s="1666"/>
      <c r="C4612" s="688"/>
      <c r="D4612" s="1667"/>
      <c r="E4612" s="1671">
        <v>3.5</v>
      </c>
      <c r="F4612" s="1668"/>
      <c r="G4612" s="1671">
        <v>4</v>
      </c>
      <c r="H4612" s="1671">
        <f t="shared" si="786"/>
        <v>0</v>
      </c>
      <c r="I4612" s="688" t="s">
        <v>92</v>
      </c>
      <c r="J4612" s="1668"/>
      <c r="K4612" s="1668"/>
      <c r="L4612" s="1669"/>
    </row>
    <row r="4613" spans="1:12" s="692" customFormat="1" ht="16.5" hidden="1">
      <c r="A4613" s="1665"/>
      <c r="B4613" s="1666"/>
      <c r="C4613" s="688"/>
      <c r="D4613" s="1667"/>
      <c r="E4613" s="1671">
        <v>3.5</v>
      </c>
      <c r="F4613" s="1668"/>
      <c r="G4613" s="1671">
        <v>4</v>
      </c>
      <c r="H4613" s="1671">
        <f t="shared" si="786"/>
        <v>0</v>
      </c>
      <c r="I4613" s="688" t="s">
        <v>92</v>
      </c>
      <c r="J4613" s="1668"/>
      <c r="K4613" s="1668"/>
      <c r="L4613" s="1669"/>
    </row>
    <row r="4614" spans="1:12" s="692" customFormat="1" ht="16.5" hidden="1">
      <c r="A4614" s="1665"/>
      <c r="B4614" s="1666"/>
      <c r="C4614" s="688"/>
      <c r="D4614" s="1667"/>
      <c r="E4614" s="1671">
        <v>3.5</v>
      </c>
      <c r="F4614" s="1668"/>
      <c r="G4614" s="1671">
        <v>4</v>
      </c>
      <c r="H4614" s="1671">
        <f t="shared" si="786"/>
        <v>0</v>
      </c>
      <c r="I4614" s="688" t="s">
        <v>92</v>
      </c>
      <c r="J4614" s="1668"/>
      <c r="K4614" s="1668"/>
      <c r="L4614" s="1669"/>
    </row>
    <row r="4615" spans="1:12" s="692" customFormat="1" ht="16.5" hidden="1">
      <c r="A4615" s="1665"/>
      <c r="B4615" s="1666"/>
      <c r="C4615" s="688"/>
      <c r="D4615" s="1667"/>
      <c r="E4615" s="688"/>
      <c r="F4615" s="688"/>
      <c r="G4615" s="1674" t="s">
        <v>928</v>
      </c>
      <c r="H4615" s="1671">
        <f>SUM(H4609:H4614)</f>
        <v>0</v>
      </c>
      <c r="I4615" s="1668" t="s">
        <v>92</v>
      </c>
      <c r="J4615" s="1669">
        <f>'Lead &amp; ANALYSIS'!L898</f>
        <v>16.399999999999999</v>
      </c>
      <c r="K4615" s="1668" t="s">
        <v>1514</v>
      </c>
      <c r="L4615" s="1669">
        <f t="shared" ref="L4615" si="787">ROUND(H4615*J4615,0)</f>
        <v>0</v>
      </c>
    </row>
    <row r="4616" spans="1:12" s="692" customFormat="1" ht="16.5" hidden="1">
      <c r="A4616" s="1665" t="str">
        <f>'Lead &amp; ANALYSIS'!A927</f>
        <v>(iii)</v>
      </c>
      <c r="B4616" s="1666" t="str">
        <f>'Lead &amp; ANALYSIS'!B927</f>
        <v>2nd Floor</v>
      </c>
      <c r="C4616" s="688"/>
      <c r="D4616" s="1667"/>
      <c r="E4616" s="688"/>
      <c r="F4616" s="688"/>
      <c r="G4616" s="1674"/>
      <c r="H4616" s="688"/>
      <c r="I4616" s="1668"/>
      <c r="J4616" s="1668"/>
      <c r="K4616" s="1668"/>
      <c r="L4616" s="1669"/>
    </row>
    <row r="4617" spans="1:12" s="692" customFormat="1" ht="16.5" hidden="1">
      <c r="A4617" s="1665"/>
      <c r="B4617" s="1666"/>
      <c r="C4617" s="688"/>
      <c r="D4617" s="1667"/>
      <c r="E4617" s="1671">
        <v>3.5</v>
      </c>
      <c r="F4617" s="1668"/>
      <c r="G4617" s="1671">
        <v>4</v>
      </c>
      <c r="H4617" s="1671">
        <f t="shared" ref="H4617:H4622" si="788">ROUND(D4617*E4617*G4617,2)</f>
        <v>0</v>
      </c>
      <c r="I4617" s="688" t="s">
        <v>92</v>
      </c>
      <c r="J4617" s="1668"/>
      <c r="K4617" s="1668"/>
      <c r="L4617" s="1669"/>
    </row>
    <row r="4618" spans="1:12" s="692" customFormat="1" ht="16.5" hidden="1">
      <c r="A4618" s="1665"/>
      <c r="B4618" s="1666"/>
      <c r="C4618" s="688"/>
      <c r="D4618" s="1667"/>
      <c r="E4618" s="1671">
        <v>3.5</v>
      </c>
      <c r="F4618" s="1668"/>
      <c r="G4618" s="1671">
        <v>4</v>
      </c>
      <c r="H4618" s="1671">
        <f t="shared" si="788"/>
        <v>0</v>
      </c>
      <c r="I4618" s="688" t="s">
        <v>92</v>
      </c>
      <c r="J4618" s="1668"/>
      <c r="K4618" s="1668"/>
      <c r="L4618" s="1669"/>
    </row>
    <row r="4619" spans="1:12" s="692" customFormat="1" ht="16.5" hidden="1">
      <c r="A4619" s="1665"/>
      <c r="B4619" s="1666"/>
      <c r="C4619" s="688"/>
      <c r="D4619" s="1667"/>
      <c r="E4619" s="1671">
        <v>3.5</v>
      </c>
      <c r="F4619" s="1668"/>
      <c r="G4619" s="1671">
        <v>4</v>
      </c>
      <c r="H4619" s="1671">
        <f t="shared" si="788"/>
        <v>0</v>
      </c>
      <c r="I4619" s="688" t="s">
        <v>92</v>
      </c>
      <c r="J4619" s="1668"/>
      <c r="K4619" s="1668"/>
      <c r="L4619" s="1669"/>
    </row>
    <row r="4620" spans="1:12" s="692" customFormat="1" ht="16.5" hidden="1">
      <c r="A4620" s="1665"/>
      <c r="B4620" s="1666"/>
      <c r="C4620" s="688"/>
      <c r="D4620" s="1667"/>
      <c r="E4620" s="1671">
        <v>3.5</v>
      </c>
      <c r="F4620" s="1668"/>
      <c r="G4620" s="1671">
        <v>4</v>
      </c>
      <c r="H4620" s="1671">
        <f t="shared" si="788"/>
        <v>0</v>
      </c>
      <c r="I4620" s="688" t="s">
        <v>92</v>
      </c>
      <c r="J4620" s="1668"/>
      <c r="K4620" s="1668"/>
      <c r="L4620" s="1669"/>
    </row>
    <row r="4621" spans="1:12" s="692" customFormat="1" ht="16.5" hidden="1">
      <c r="A4621" s="1665"/>
      <c r="B4621" s="1666"/>
      <c r="C4621" s="688"/>
      <c r="D4621" s="1667"/>
      <c r="E4621" s="1671">
        <v>3.5</v>
      </c>
      <c r="F4621" s="1668"/>
      <c r="G4621" s="1671">
        <v>4</v>
      </c>
      <c r="H4621" s="1671">
        <f t="shared" si="788"/>
        <v>0</v>
      </c>
      <c r="I4621" s="688" t="s">
        <v>92</v>
      </c>
      <c r="J4621" s="1668"/>
      <c r="K4621" s="1668"/>
      <c r="L4621" s="1669"/>
    </row>
    <row r="4622" spans="1:12" s="692" customFormat="1" ht="16.5" hidden="1">
      <c r="A4622" s="1665"/>
      <c r="B4622" s="1666"/>
      <c r="C4622" s="688"/>
      <c r="D4622" s="1667"/>
      <c r="E4622" s="1671">
        <v>3.5</v>
      </c>
      <c r="F4622" s="1668"/>
      <c r="G4622" s="1671">
        <v>4</v>
      </c>
      <c r="H4622" s="1671">
        <f t="shared" si="788"/>
        <v>0</v>
      </c>
      <c r="I4622" s="688" t="s">
        <v>92</v>
      </c>
      <c r="J4622" s="1668"/>
      <c r="K4622" s="1668"/>
      <c r="L4622" s="1669"/>
    </row>
    <row r="4623" spans="1:12" s="692" customFormat="1" ht="16.5" hidden="1">
      <c r="A4623" s="1665"/>
      <c r="B4623" s="1666"/>
      <c r="C4623" s="688"/>
      <c r="D4623" s="1667"/>
      <c r="E4623" s="688"/>
      <c r="F4623" s="688"/>
      <c r="G4623" s="1674" t="s">
        <v>928</v>
      </c>
      <c r="H4623" s="1671">
        <f>SUM(H4617:H4622)</f>
        <v>0</v>
      </c>
      <c r="I4623" s="1668" t="s">
        <v>92</v>
      </c>
      <c r="J4623" s="1669">
        <f>'Lead &amp; ANALYSIS'!L899</f>
        <v>16.899999999999999</v>
      </c>
      <c r="K4623" s="1668" t="s">
        <v>1514</v>
      </c>
      <c r="L4623" s="1669">
        <f t="shared" ref="L4623" si="789">ROUND(H4623*J4623,0)</f>
        <v>0</v>
      </c>
    </row>
    <row r="4624" spans="1:12" s="692" customFormat="1" ht="16.5" hidden="1">
      <c r="A4624" s="1665" t="str">
        <f>'Lead &amp; ANALYSIS'!A928</f>
        <v>(iv)</v>
      </c>
      <c r="B4624" s="1666" t="str">
        <f>'Lead &amp; ANALYSIS'!B928</f>
        <v>3rd Floor</v>
      </c>
      <c r="C4624" s="688"/>
      <c r="D4624" s="1667"/>
      <c r="E4624" s="688"/>
      <c r="F4624" s="688"/>
      <c r="G4624" s="1674"/>
      <c r="H4624" s="688"/>
      <c r="I4624" s="1668"/>
      <c r="J4624" s="1668"/>
      <c r="K4624" s="1668"/>
      <c r="L4624" s="1669"/>
    </row>
    <row r="4625" spans="1:12" s="692" customFormat="1" ht="16.5" hidden="1">
      <c r="A4625" s="1665"/>
      <c r="B4625" s="1666"/>
      <c r="C4625" s="688"/>
      <c r="D4625" s="1667"/>
      <c r="E4625" s="1671">
        <v>3.5</v>
      </c>
      <c r="F4625" s="1668"/>
      <c r="G4625" s="1671">
        <v>4</v>
      </c>
      <c r="H4625" s="1671">
        <f t="shared" ref="H4625:H4630" si="790">ROUND(D4625*E4625*G4625,2)</f>
        <v>0</v>
      </c>
      <c r="I4625" s="688" t="s">
        <v>92</v>
      </c>
      <c r="J4625" s="1668"/>
      <c r="K4625" s="1668"/>
      <c r="L4625" s="1669"/>
    </row>
    <row r="4626" spans="1:12" s="692" customFormat="1" ht="16.5" hidden="1">
      <c r="A4626" s="1665"/>
      <c r="B4626" s="1666"/>
      <c r="C4626" s="688"/>
      <c r="D4626" s="1667"/>
      <c r="E4626" s="1671">
        <v>3.5</v>
      </c>
      <c r="F4626" s="1668"/>
      <c r="G4626" s="1671">
        <v>4</v>
      </c>
      <c r="H4626" s="1671">
        <f t="shared" si="790"/>
        <v>0</v>
      </c>
      <c r="I4626" s="688" t="s">
        <v>92</v>
      </c>
      <c r="J4626" s="1668"/>
      <c r="K4626" s="1668"/>
      <c r="L4626" s="1669"/>
    </row>
    <row r="4627" spans="1:12" s="692" customFormat="1" ht="16.5" hidden="1">
      <c r="A4627" s="1665"/>
      <c r="B4627" s="1666"/>
      <c r="C4627" s="688"/>
      <c r="D4627" s="1667"/>
      <c r="E4627" s="1671">
        <v>3.5</v>
      </c>
      <c r="F4627" s="1668"/>
      <c r="G4627" s="1671">
        <v>4</v>
      </c>
      <c r="H4627" s="1671">
        <f t="shared" si="790"/>
        <v>0</v>
      </c>
      <c r="I4627" s="688" t="s">
        <v>92</v>
      </c>
      <c r="J4627" s="1668"/>
      <c r="K4627" s="1668"/>
      <c r="L4627" s="1669"/>
    </row>
    <row r="4628" spans="1:12" s="692" customFormat="1" ht="16.5" hidden="1">
      <c r="A4628" s="1665"/>
      <c r="B4628" s="1666"/>
      <c r="C4628" s="688"/>
      <c r="D4628" s="1667"/>
      <c r="E4628" s="1671">
        <v>3.5</v>
      </c>
      <c r="F4628" s="1668"/>
      <c r="G4628" s="1671">
        <v>4</v>
      </c>
      <c r="H4628" s="1671">
        <f t="shared" si="790"/>
        <v>0</v>
      </c>
      <c r="I4628" s="688" t="s">
        <v>92</v>
      </c>
      <c r="J4628" s="1668"/>
      <c r="K4628" s="1668"/>
      <c r="L4628" s="1669"/>
    </row>
    <row r="4629" spans="1:12" s="692" customFormat="1" ht="16.5" hidden="1">
      <c r="A4629" s="1665"/>
      <c r="B4629" s="1666"/>
      <c r="C4629" s="688"/>
      <c r="D4629" s="1667"/>
      <c r="E4629" s="1671">
        <v>3.5</v>
      </c>
      <c r="F4629" s="1668"/>
      <c r="G4629" s="1671">
        <v>4</v>
      </c>
      <c r="H4629" s="1671">
        <f t="shared" si="790"/>
        <v>0</v>
      </c>
      <c r="I4629" s="688" t="s">
        <v>92</v>
      </c>
      <c r="J4629" s="1668"/>
      <c r="K4629" s="1668"/>
      <c r="L4629" s="1669"/>
    </row>
    <row r="4630" spans="1:12" s="692" customFormat="1" ht="16.5" hidden="1">
      <c r="A4630" s="1665"/>
      <c r="B4630" s="1666"/>
      <c r="C4630" s="688"/>
      <c r="D4630" s="1667"/>
      <c r="E4630" s="1671">
        <v>3.5</v>
      </c>
      <c r="F4630" s="1668"/>
      <c r="G4630" s="1671">
        <v>4</v>
      </c>
      <c r="H4630" s="1671">
        <f t="shared" si="790"/>
        <v>0</v>
      </c>
      <c r="I4630" s="688" t="s">
        <v>92</v>
      </c>
      <c r="J4630" s="1668"/>
      <c r="K4630" s="1668"/>
      <c r="L4630" s="1669"/>
    </row>
    <row r="4631" spans="1:12" s="692" customFormat="1" ht="16.5" hidden="1">
      <c r="A4631" s="1665"/>
      <c r="B4631" s="1666"/>
      <c r="C4631" s="688"/>
      <c r="D4631" s="1667"/>
      <c r="E4631" s="688"/>
      <c r="F4631" s="688"/>
      <c r="G4631" s="1674" t="s">
        <v>928</v>
      </c>
      <c r="H4631" s="1671">
        <f>SUM(H4625:H4630)</f>
        <v>0</v>
      </c>
      <c r="I4631" s="1668" t="s">
        <v>92</v>
      </c>
      <c r="J4631" s="1669">
        <f>'Lead &amp; ANALYSIS'!L900</f>
        <v>17.3</v>
      </c>
      <c r="K4631" s="1668" t="s">
        <v>1514</v>
      </c>
      <c r="L4631" s="1669">
        <f t="shared" ref="L4631" si="791">ROUND(H4631*J4631,0)</f>
        <v>0</v>
      </c>
    </row>
    <row r="4632" spans="1:12" s="692" customFormat="1" ht="66" hidden="1">
      <c r="A4632" s="1665">
        <f>'Lead &amp; ANALYSIS'!A901</f>
        <v>115</v>
      </c>
      <c r="B4632" s="1666" t="str">
        <f>'Lead &amp; ANALYSIS'!B901</f>
        <v xml:space="preserve">Finishing plastered surfaces with wall primer one coat using cement including  etc. required for the work complete in all respect as per the direction of the Engineer-in-charge. </v>
      </c>
      <c r="C4632" s="688"/>
      <c r="D4632" s="1667"/>
      <c r="E4632" s="688"/>
      <c r="F4632" s="688"/>
      <c r="G4632" s="1674"/>
      <c r="H4632" s="688"/>
      <c r="I4632" s="1668"/>
      <c r="J4632" s="1668"/>
      <c r="K4632" s="1668"/>
      <c r="L4632" s="1669"/>
    </row>
    <row r="4633" spans="1:12" s="692" customFormat="1" ht="16.5" hidden="1">
      <c r="A4633" s="1665" t="str">
        <f>'Lead &amp; ANALYSIS'!A902</f>
        <v>A)</v>
      </c>
      <c r="B4633" s="1666" t="str">
        <f>'Lead &amp; ANALYSIS'!B902</f>
        <v>Inside Surface</v>
      </c>
      <c r="C4633" s="688"/>
      <c r="D4633" s="1667"/>
      <c r="E4633" s="688"/>
      <c r="F4633" s="688"/>
      <c r="G4633" s="1674"/>
      <c r="H4633" s="688"/>
      <c r="I4633" s="1668"/>
      <c r="J4633" s="1668"/>
      <c r="K4633" s="1668"/>
      <c r="L4633" s="1669"/>
    </row>
    <row r="4634" spans="1:12" s="692" customFormat="1" ht="16.5" hidden="1">
      <c r="A4634" s="1665" t="str">
        <f>'Lead &amp; ANALYSIS'!A903</f>
        <v>(i)</v>
      </c>
      <c r="B4634" s="1666" t="str">
        <f>'Lead &amp; ANALYSIS'!B903</f>
        <v>Ground Floor</v>
      </c>
      <c r="C4634" s="688"/>
      <c r="D4634" s="1667"/>
      <c r="E4634" s="688"/>
      <c r="F4634" s="688"/>
      <c r="G4634" s="1674"/>
      <c r="H4634" s="688"/>
      <c r="I4634" s="1668"/>
      <c r="J4634" s="1668"/>
      <c r="K4634" s="1668"/>
      <c r="L4634" s="1669"/>
    </row>
    <row r="4635" spans="1:12" s="692" customFormat="1" ht="16.5" hidden="1">
      <c r="A4635" s="1665"/>
      <c r="B4635" s="1666"/>
      <c r="C4635" s="688"/>
      <c r="D4635" s="1667"/>
      <c r="E4635" s="1671">
        <v>3.5</v>
      </c>
      <c r="F4635" s="1668"/>
      <c r="G4635" s="1671">
        <v>4</v>
      </c>
      <c r="H4635" s="1671">
        <f t="shared" ref="H4635:H4640" si="792">ROUND(D4635*E4635*G4635,2)</f>
        <v>0</v>
      </c>
      <c r="I4635" s="688" t="s">
        <v>92</v>
      </c>
      <c r="J4635" s="1668"/>
      <c r="K4635" s="1668"/>
      <c r="L4635" s="1669"/>
    </row>
    <row r="4636" spans="1:12" s="692" customFormat="1" ht="16.5" hidden="1">
      <c r="A4636" s="1665"/>
      <c r="B4636" s="1666"/>
      <c r="C4636" s="688"/>
      <c r="D4636" s="1667"/>
      <c r="E4636" s="1671">
        <v>3.5</v>
      </c>
      <c r="F4636" s="1668"/>
      <c r="G4636" s="1671">
        <v>4</v>
      </c>
      <c r="H4636" s="1671">
        <f t="shared" si="792"/>
        <v>0</v>
      </c>
      <c r="I4636" s="688" t="s">
        <v>92</v>
      </c>
      <c r="J4636" s="1668"/>
      <c r="K4636" s="1668"/>
      <c r="L4636" s="1669"/>
    </row>
    <row r="4637" spans="1:12" s="692" customFormat="1" ht="16.5" hidden="1">
      <c r="A4637" s="1665"/>
      <c r="B4637" s="1666"/>
      <c r="C4637" s="688"/>
      <c r="D4637" s="1667"/>
      <c r="E4637" s="1671">
        <v>3.5</v>
      </c>
      <c r="F4637" s="1668"/>
      <c r="G4637" s="1671">
        <v>4</v>
      </c>
      <c r="H4637" s="1671">
        <f t="shared" si="792"/>
        <v>0</v>
      </c>
      <c r="I4637" s="688" t="s">
        <v>92</v>
      </c>
      <c r="J4637" s="1668"/>
      <c r="K4637" s="1668"/>
      <c r="L4637" s="1669"/>
    </row>
    <row r="4638" spans="1:12" s="692" customFormat="1" ht="16.5" hidden="1">
      <c r="A4638" s="1665"/>
      <c r="B4638" s="1666"/>
      <c r="C4638" s="688"/>
      <c r="D4638" s="1667"/>
      <c r="E4638" s="1671">
        <v>3.5</v>
      </c>
      <c r="F4638" s="1668"/>
      <c r="G4638" s="1671">
        <v>4</v>
      </c>
      <c r="H4638" s="1671">
        <f t="shared" si="792"/>
        <v>0</v>
      </c>
      <c r="I4638" s="688" t="s">
        <v>92</v>
      </c>
      <c r="J4638" s="1668"/>
      <c r="K4638" s="1668"/>
      <c r="L4638" s="1669"/>
    </row>
    <row r="4639" spans="1:12" s="692" customFormat="1" ht="16.5" hidden="1">
      <c r="A4639" s="1665"/>
      <c r="B4639" s="1666"/>
      <c r="C4639" s="688"/>
      <c r="D4639" s="1667"/>
      <c r="E4639" s="1671">
        <v>3.5</v>
      </c>
      <c r="F4639" s="1668"/>
      <c r="G4639" s="1671">
        <v>4</v>
      </c>
      <c r="H4639" s="1671">
        <f t="shared" si="792"/>
        <v>0</v>
      </c>
      <c r="I4639" s="688" t="s">
        <v>92</v>
      </c>
      <c r="J4639" s="1668"/>
      <c r="K4639" s="1668"/>
      <c r="L4639" s="1669"/>
    </row>
    <row r="4640" spans="1:12" s="692" customFormat="1" ht="16.5" hidden="1">
      <c r="A4640" s="1665"/>
      <c r="B4640" s="1666"/>
      <c r="C4640" s="688"/>
      <c r="D4640" s="1667"/>
      <c r="E4640" s="1671">
        <v>3.5</v>
      </c>
      <c r="F4640" s="1668"/>
      <c r="G4640" s="1671">
        <v>4</v>
      </c>
      <c r="H4640" s="1671">
        <f t="shared" si="792"/>
        <v>0</v>
      </c>
      <c r="I4640" s="688" t="s">
        <v>92</v>
      </c>
      <c r="J4640" s="1668"/>
      <c r="K4640" s="1668"/>
      <c r="L4640" s="1669"/>
    </row>
    <row r="4641" spans="1:12" s="692" customFormat="1" ht="16.5" hidden="1">
      <c r="A4641" s="1665"/>
      <c r="B4641" s="1666"/>
      <c r="C4641" s="688"/>
      <c r="D4641" s="1667"/>
      <c r="E4641" s="688"/>
      <c r="F4641" s="688"/>
      <c r="G4641" s="1674" t="s">
        <v>928</v>
      </c>
      <c r="H4641" s="1671">
        <f>SUM(H4635:H4640)</f>
        <v>0</v>
      </c>
      <c r="I4641" s="1668" t="s">
        <v>92</v>
      </c>
      <c r="J4641" s="1669">
        <f>'Lead &amp; ANALYSIS'!L903</f>
        <v>64.3</v>
      </c>
      <c r="K4641" s="1668" t="s">
        <v>1514</v>
      </c>
      <c r="L4641" s="1669">
        <f t="shared" ref="L4641" si="793">ROUND(H4641*J4641,0)</f>
        <v>0</v>
      </c>
    </row>
    <row r="4642" spans="1:12" s="692" customFormat="1" ht="16.5" hidden="1">
      <c r="A4642" s="1665" t="str">
        <f>'Lead &amp; ANALYSIS'!A904</f>
        <v>(ii)</v>
      </c>
      <c r="B4642" s="1666" t="str">
        <f>'Lead &amp; ANALYSIS'!B904</f>
        <v>First Floor</v>
      </c>
      <c r="C4642" s="688"/>
      <c r="D4642" s="1667"/>
      <c r="E4642" s="688"/>
      <c r="F4642" s="688"/>
      <c r="G4642" s="1674"/>
      <c r="H4642" s="688"/>
      <c r="I4642" s="1668"/>
      <c r="J4642" s="1668"/>
      <c r="K4642" s="1668"/>
      <c r="L4642" s="1669"/>
    </row>
    <row r="4643" spans="1:12" s="692" customFormat="1" ht="16.5" hidden="1">
      <c r="A4643" s="1665"/>
      <c r="B4643" s="1666"/>
      <c r="C4643" s="688"/>
      <c r="D4643" s="1667"/>
      <c r="E4643" s="1671">
        <v>3.5</v>
      </c>
      <c r="F4643" s="1668"/>
      <c r="G4643" s="1671">
        <v>4</v>
      </c>
      <c r="H4643" s="1671">
        <f t="shared" ref="H4643:H4648" si="794">ROUND(D4643*E4643*G4643,2)</f>
        <v>0</v>
      </c>
      <c r="I4643" s="688" t="s">
        <v>92</v>
      </c>
      <c r="J4643" s="1668"/>
      <c r="K4643" s="1668"/>
      <c r="L4643" s="1669"/>
    </row>
    <row r="4644" spans="1:12" s="692" customFormat="1" ht="16.5" hidden="1">
      <c r="A4644" s="1665"/>
      <c r="B4644" s="1666"/>
      <c r="C4644" s="688"/>
      <c r="D4644" s="1667"/>
      <c r="E4644" s="1671">
        <v>3.5</v>
      </c>
      <c r="F4644" s="1668"/>
      <c r="G4644" s="1671">
        <v>4</v>
      </c>
      <c r="H4644" s="1671">
        <f t="shared" si="794"/>
        <v>0</v>
      </c>
      <c r="I4644" s="688" t="s">
        <v>92</v>
      </c>
      <c r="J4644" s="1668"/>
      <c r="K4644" s="1668"/>
      <c r="L4644" s="1669"/>
    </row>
    <row r="4645" spans="1:12" s="692" customFormat="1" ht="16.5" hidden="1">
      <c r="A4645" s="1665"/>
      <c r="B4645" s="1666"/>
      <c r="C4645" s="688"/>
      <c r="D4645" s="1667"/>
      <c r="E4645" s="1671">
        <v>3.5</v>
      </c>
      <c r="F4645" s="1668"/>
      <c r="G4645" s="1671">
        <v>4</v>
      </c>
      <c r="H4645" s="1671">
        <f t="shared" si="794"/>
        <v>0</v>
      </c>
      <c r="I4645" s="688" t="s">
        <v>92</v>
      </c>
      <c r="J4645" s="1668"/>
      <c r="K4645" s="1668"/>
      <c r="L4645" s="1669"/>
    </row>
    <row r="4646" spans="1:12" s="692" customFormat="1" ht="16.5" hidden="1">
      <c r="A4646" s="1665"/>
      <c r="B4646" s="1666"/>
      <c r="C4646" s="688"/>
      <c r="D4646" s="1667"/>
      <c r="E4646" s="1671">
        <v>3.5</v>
      </c>
      <c r="F4646" s="1668"/>
      <c r="G4646" s="1671">
        <v>4</v>
      </c>
      <c r="H4646" s="1671">
        <f t="shared" si="794"/>
        <v>0</v>
      </c>
      <c r="I4646" s="688" t="s">
        <v>92</v>
      </c>
      <c r="J4646" s="1668"/>
      <c r="K4646" s="1668"/>
      <c r="L4646" s="1669"/>
    </row>
    <row r="4647" spans="1:12" s="692" customFormat="1" ht="16.5" hidden="1">
      <c r="A4647" s="1665"/>
      <c r="B4647" s="1666"/>
      <c r="C4647" s="688"/>
      <c r="D4647" s="1667"/>
      <c r="E4647" s="1671">
        <v>3.5</v>
      </c>
      <c r="F4647" s="1668"/>
      <c r="G4647" s="1671">
        <v>4</v>
      </c>
      <c r="H4647" s="1671">
        <f t="shared" si="794"/>
        <v>0</v>
      </c>
      <c r="I4647" s="688" t="s">
        <v>92</v>
      </c>
      <c r="J4647" s="1668"/>
      <c r="K4647" s="1668"/>
      <c r="L4647" s="1669"/>
    </row>
    <row r="4648" spans="1:12" s="692" customFormat="1" ht="16.5" hidden="1">
      <c r="A4648" s="1665"/>
      <c r="B4648" s="1666"/>
      <c r="C4648" s="688"/>
      <c r="D4648" s="1667"/>
      <c r="E4648" s="1671">
        <v>3.5</v>
      </c>
      <c r="F4648" s="1668"/>
      <c r="G4648" s="1671">
        <v>4</v>
      </c>
      <c r="H4648" s="1671">
        <f t="shared" si="794"/>
        <v>0</v>
      </c>
      <c r="I4648" s="688" t="s">
        <v>92</v>
      </c>
      <c r="J4648" s="1668"/>
      <c r="K4648" s="1668"/>
      <c r="L4648" s="1669"/>
    </row>
    <row r="4649" spans="1:12" s="692" customFormat="1" ht="16.5" hidden="1">
      <c r="A4649" s="1665"/>
      <c r="B4649" s="1666"/>
      <c r="C4649" s="688"/>
      <c r="D4649" s="1667"/>
      <c r="E4649" s="688"/>
      <c r="F4649" s="688"/>
      <c r="G4649" s="1674" t="s">
        <v>928</v>
      </c>
      <c r="H4649" s="1671">
        <f>SUM(H4643:H4648)</f>
        <v>0</v>
      </c>
      <c r="I4649" s="1668" t="s">
        <v>92</v>
      </c>
      <c r="J4649" s="1669">
        <f>'Lead &amp; ANALYSIS'!L904</f>
        <v>65.900000000000006</v>
      </c>
      <c r="K4649" s="1668" t="s">
        <v>1514</v>
      </c>
      <c r="L4649" s="1669">
        <f t="shared" ref="L4649" si="795">ROUND(H4649*J4649,0)</f>
        <v>0</v>
      </c>
    </row>
    <row r="4650" spans="1:12" s="692" customFormat="1" ht="16.5" hidden="1">
      <c r="A4650" s="1665" t="str">
        <f>'Lead &amp; ANALYSIS'!A961</f>
        <v>(ii)</v>
      </c>
      <c r="B4650" s="1666" t="str">
        <f>'Lead &amp; ANALYSIS'!B905</f>
        <v>2nd Floor</v>
      </c>
      <c r="C4650" s="688"/>
      <c r="D4650" s="1667"/>
      <c r="E4650" s="688"/>
      <c r="F4650" s="688"/>
      <c r="G4650" s="1674"/>
      <c r="H4650" s="688"/>
      <c r="I4650" s="1668"/>
      <c r="J4650" s="1668"/>
      <c r="K4650" s="1668"/>
      <c r="L4650" s="1669"/>
    </row>
    <row r="4651" spans="1:12" s="692" customFormat="1" ht="16.5" hidden="1">
      <c r="A4651" s="1665"/>
      <c r="B4651" s="1666"/>
      <c r="C4651" s="688"/>
      <c r="D4651" s="1667"/>
      <c r="E4651" s="1671">
        <v>3.5</v>
      </c>
      <c r="F4651" s="1668"/>
      <c r="G4651" s="1671">
        <v>4</v>
      </c>
      <c r="H4651" s="1671">
        <f t="shared" ref="H4651:H4656" si="796">ROUND(D4651*E4651*G4651,2)</f>
        <v>0</v>
      </c>
      <c r="I4651" s="688" t="s">
        <v>92</v>
      </c>
      <c r="J4651" s="1668"/>
      <c r="K4651" s="1668"/>
      <c r="L4651" s="1669"/>
    </row>
    <row r="4652" spans="1:12" s="692" customFormat="1" ht="16.5" hidden="1">
      <c r="A4652" s="1665"/>
      <c r="B4652" s="1666"/>
      <c r="C4652" s="688"/>
      <c r="D4652" s="1667"/>
      <c r="E4652" s="1671">
        <v>3.5</v>
      </c>
      <c r="F4652" s="1668"/>
      <c r="G4652" s="1671">
        <v>4</v>
      </c>
      <c r="H4652" s="1671">
        <f t="shared" si="796"/>
        <v>0</v>
      </c>
      <c r="I4652" s="688" t="s">
        <v>92</v>
      </c>
      <c r="J4652" s="1668"/>
      <c r="K4652" s="1668"/>
      <c r="L4652" s="1669"/>
    </row>
    <row r="4653" spans="1:12" s="692" customFormat="1" ht="16.5" hidden="1">
      <c r="A4653" s="1665"/>
      <c r="B4653" s="1666"/>
      <c r="C4653" s="688"/>
      <c r="D4653" s="1667"/>
      <c r="E4653" s="1671">
        <v>3.5</v>
      </c>
      <c r="F4653" s="1668"/>
      <c r="G4653" s="1671">
        <v>4</v>
      </c>
      <c r="H4653" s="1671">
        <f t="shared" si="796"/>
        <v>0</v>
      </c>
      <c r="I4653" s="688" t="s">
        <v>92</v>
      </c>
      <c r="J4653" s="1668"/>
      <c r="K4653" s="1668"/>
      <c r="L4653" s="1669"/>
    </row>
    <row r="4654" spans="1:12" s="692" customFormat="1" ht="16.5" hidden="1">
      <c r="A4654" s="1665"/>
      <c r="B4654" s="1666"/>
      <c r="C4654" s="688"/>
      <c r="D4654" s="1667"/>
      <c r="E4654" s="1671">
        <v>3.5</v>
      </c>
      <c r="F4654" s="1668"/>
      <c r="G4654" s="1671">
        <v>4</v>
      </c>
      <c r="H4654" s="1671">
        <f t="shared" si="796"/>
        <v>0</v>
      </c>
      <c r="I4654" s="688" t="s">
        <v>92</v>
      </c>
      <c r="J4654" s="1668"/>
      <c r="K4654" s="1668"/>
      <c r="L4654" s="1669"/>
    </row>
    <row r="4655" spans="1:12" s="692" customFormat="1" ht="16.5" hidden="1">
      <c r="A4655" s="1665"/>
      <c r="B4655" s="1666"/>
      <c r="C4655" s="688"/>
      <c r="D4655" s="1667"/>
      <c r="E4655" s="1671">
        <v>3.5</v>
      </c>
      <c r="F4655" s="1668"/>
      <c r="G4655" s="1671">
        <v>4</v>
      </c>
      <c r="H4655" s="1671">
        <f t="shared" si="796"/>
        <v>0</v>
      </c>
      <c r="I4655" s="688" t="s">
        <v>92</v>
      </c>
      <c r="J4655" s="1668"/>
      <c r="K4655" s="1668"/>
      <c r="L4655" s="1669"/>
    </row>
    <row r="4656" spans="1:12" s="692" customFormat="1" ht="16.5" hidden="1">
      <c r="A4656" s="1665"/>
      <c r="B4656" s="1666"/>
      <c r="C4656" s="688"/>
      <c r="D4656" s="1667"/>
      <c r="E4656" s="1671">
        <v>3.5</v>
      </c>
      <c r="F4656" s="1668"/>
      <c r="G4656" s="1671">
        <v>4</v>
      </c>
      <c r="H4656" s="1671">
        <f t="shared" si="796"/>
        <v>0</v>
      </c>
      <c r="I4656" s="688" t="s">
        <v>92</v>
      </c>
      <c r="J4656" s="1668"/>
      <c r="K4656" s="1668"/>
      <c r="L4656" s="1669"/>
    </row>
    <row r="4657" spans="1:12" s="692" customFormat="1" ht="16.5" hidden="1">
      <c r="A4657" s="1665"/>
      <c r="B4657" s="1666"/>
      <c r="C4657" s="688"/>
      <c r="D4657" s="1667"/>
      <c r="E4657" s="688"/>
      <c r="F4657" s="688"/>
      <c r="G4657" s="1674" t="s">
        <v>928</v>
      </c>
      <c r="H4657" s="1671">
        <f>SUM(H4651:H4656)</f>
        <v>0</v>
      </c>
      <c r="I4657" s="1668" t="s">
        <v>92</v>
      </c>
      <c r="J4657" s="1669">
        <f>'Lead &amp; ANALYSIS'!L905</f>
        <v>67.5</v>
      </c>
      <c r="K4657" s="1668" t="s">
        <v>1514</v>
      </c>
      <c r="L4657" s="1669">
        <f t="shared" ref="L4657" si="797">ROUND(H4657*J4657,0)</f>
        <v>0</v>
      </c>
    </row>
    <row r="4658" spans="1:12" s="692" customFormat="1" ht="16.5" hidden="1">
      <c r="A4658" s="1665" t="str">
        <f>'Lead &amp; ANALYSIS'!A962</f>
        <v>(iii)</v>
      </c>
      <c r="B4658" s="1666" t="str">
        <f>'Lead &amp; ANALYSIS'!B906</f>
        <v>3rd Floor</v>
      </c>
      <c r="C4658" s="688"/>
      <c r="D4658" s="1667"/>
      <c r="E4658" s="688"/>
      <c r="F4658" s="688"/>
      <c r="G4658" s="1674"/>
      <c r="H4658" s="688"/>
      <c r="I4658" s="1668"/>
      <c r="J4658" s="1668"/>
      <c r="K4658" s="1668"/>
      <c r="L4658" s="1669"/>
    </row>
    <row r="4659" spans="1:12" s="692" customFormat="1" ht="16.5" hidden="1">
      <c r="A4659" s="1665"/>
      <c r="B4659" s="1666"/>
      <c r="C4659" s="688"/>
      <c r="D4659" s="1667"/>
      <c r="E4659" s="1671">
        <v>3.5</v>
      </c>
      <c r="F4659" s="1668"/>
      <c r="G4659" s="1671">
        <v>4</v>
      </c>
      <c r="H4659" s="1671">
        <f t="shared" ref="H4659:H4664" si="798">ROUND(D4659*E4659*G4659,2)</f>
        <v>0</v>
      </c>
      <c r="I4659" s="688" t="s">
        <v>92</v>
      </c>
      <c r="J4659" s="1668"/>
      <c r="K4659" s="1668"/>
      <c r="L4659" s="1669"/>
    </row>
    <row r="4660" spans="1:12" s="692" customFormat="1" ht="16.5" hidden="1">
      <c r="A4660" s="1665"/>
      <c r="B4660" s="1666"/>
      <c r="C4660" s="688"/>
      <c r="D4660" s="1667"/>
      <c r="E4660" s="1671">
        <v>3.5</v>
      </c>
      <c r="F4660" s="1668"/>
      <c r="G4660" s="1671">
        <v>4</v>
      </c>
      <c r="H4660" s="1671">
        <f t="shared" si="798"/>
        <v>0</v>
      </c>
      <c r="I4660" s="688" t="s">
        <v>92</v>
      </c>
      <c r="J4660" s="1668"/>
      <c r="K4660" s="1668"/>
      <c r="L4660" s="1669"/>
    </row>
    <row r="4661" spans="1:12" s="692" customFormat="1" ht="16.5" hidden="1">
      <c r="A4661" s="1665"/>
      <c r="B4661" s="1666"/>
      <c r="C4661" s="688"/>
      <c r="D4661" s="1667"/>
      <c r="E4661" s="1671">
        <v>3.5</v>
      </c>
      <c r="F4661" s="1668"/>
      <c r="G4661" s="1671">
        <v>4</v>
      </c>
      <c r="H4661" s="1671">
        <f t="shared" si="798"/>
        <v>0</v>
      </c>
      <c r="I4661" s="688" t="s">
        <v>92</v>
      </c>
      <c r="J4661" s="1668"/>
      <c r="K4661" s="1668"/>
      <c r="L4661" s="1669"/>
    </row>
    <row r="4662" spans="1:12" s="692" customFormat="1" ht="16.5" hidden="1">
      <c r="A4662" s="1665"/>
      <c r="B4662" s="1666"/>
      <c r="C4662" s="688"/>
      <c r="D4662" s="1667"/>
      <c r="E4662" s="1671">
        <v>3.5</v>
      </c>
      <c r="F4662" s="1668"/>
      <c r="G4662" s="1671">
        <v>4</v>
      </c>
      <c r="H4662" s="1671">
        <f t="shared" si="798"/>
        <v>0</v>
      </c>
      <c r="I4662" s="688" t="s">
        <v>92</v>
      </c>
      <c r="J4662" s="1668"/>
      <c r="K4662" s="1668"/>
      <c r="L4662" s="1669"/>
    </row>
    <row r="4663" spans="1:12" s="692" customFormat="1" ht="16.5" hidden="1">
      <c r="A4663" s="1665"/>
      <c r="B4663" s="1666"/>
      <c r="C4663" s="688"/>
      <c r="D4663" s="1667"/>
      <c r="E4663" s="1671">
        <v>3.5</v>
      </c>
      <c r="F4663" s="1668"/>
      <c r="G4663" s="1671">
        <v>4</v>
      </c>
      <c r="H4663" s="1671">
        <f t="shared" si="798"/>
        <v>0</v>
      </c>
      <c r="I4663" s="688" t="s">
        <v>92</v>
      </c>
      <c r="J4663" s="1668"/>
      <c r="K4663" s="1668"/>
      <c r="L4663" s="1669"/>
    </row>
    <row r="4664" spans="1:12" s="692" customFormat="1" ht="16.5" hidden="1">
      <c r="A4664" s="1665"/>
      <c r="B4664" s="1666"/>
      <c r="C4664" s="688"/>
      <c r="D4664" s="1667"/>
      <c r="E4664" s="1671">
        <v>3.5</v>
      </c>
      <c r="F4664" s="1668"/>
      <c r="G4664" s="1671">
        <v>4</v>
      </c>
      <c r="H4664" s="1671">
        <f t="shared" si="798"/>
        <v>0</v>
      </c>
      <c r="I4664" s="688" t="s">
        <v>92</v>
      </c>
      <c r="J4664" s="1668"/>
      <c r="K4664" s="1668"/>
      <c r="L4664" s="1669"/>
    </row>
    <row r="4665" spans="1:12" s="692" customFormat="1" ht="16.5" hidden="1">
      <c r="A4665" s="1665"/>
      <c r="B4665" s="1666"/>
      <c r="C4665" s="688"/>
      <c r="D4665" s="1667"/>
      <c r="E4665" s="688"/>
      <c r="F4665" s="688"/>
      <c r="G4665" s="1674" t="s">
        <v>928</v>
      </c>
      <c r="H4665" s="1671">
        <f>SUM(H4659:H4664)</f>
        <v>0</v>
      </c>
      <c r="I4665" s="1668" t="s">
        <v>92</v>
      </c>
      <c r="J4665" s="1669">
        <f>'Lead &amp; ANALYSIS'!L906</f>
        <v>69.2</v>
      </c>
      <c r="K4665" s="1668" t="s">
        <v>1514</v>
      </c>
      <c r="L4665" s="1669">
        <f t="shared" ref="L4665" si="799">ROUND(H4665*J4665,0)</f>
        <v>0</v>
      </c>
    </row>
    <row r="4666" spans="1:12" s="692" customFormat="1" ht="16.5" hidden="1">
      <c r="A4666" s="1665" t="str">
        <f>'Lead &amp; ANALYSIS'!A907</f>
        <v>B)</v>
      </c>
      <c r="B4666" s="1666" t="str">
        <f>'Lead &amp; ANALYSIS'!B907</f>
        <v>Outside Surface</v>
      </c>
      <c r="C4666" s="688"/>
      <c r="D4666" s="1667"/>
      <c r="E4666" s="688"/>
      <c r="F4666" s="688"/>
      <c r="G4666" s="1674"/>
      <c r="H4666" s="688"/>
      <c r="I4666" s="1668"/>
      <c r="J4666" s="1668"/>
      <c r="K4666" s="1668"/>
      <c r="L4666" s="1669"/>
    </row>
    <row r="4667" spans="1:12" s="692" customFormat="1" ht="16.5" hidden="1">
      <c r="A4667" s="1665" t="str">
        <f>'Lead &amp; ANALYSIS'!A908</f>
        <v>(i)</v>
      </c>
      <c r="B4667" s="1666" t="str">
        <f>'Lead &amp; ANALYSIS'!B908</f>
        <v>Ground Floor</v>
      </c>
      <c r="C4667" s="688"/>
      <c r="D4667" s="1667"/>
      <c r="E4667" s="688"/>
      <c r="F4667" s="688"/>
      <c r="G4667" s="1674"/>
      <c r="H4667" s="688"/>
      <c r="I4667" s="1668"/>
      <c r="J4667" s="1668"/>
      <c r="K4667" s="1668"/>
      <c r="L4667" s="1669"/>
    </row>
    <row r="4668" spans="1:12" s="692" customFormat="1" ht="16.5" hidden="1">
      <c r="A4668" s="1665"/>
      <c r="B4668" s="1666"/>
      <c r="C4668" s="688"/>
      <c r="D4668" s="1667"/>
      <c r="E4668" s="1671">
        <v>3.5</v>
      </c>
      <c r="F4668" s="1668"/>
      <c r="G4668" s="1671">
        <v>4</v>
      </c>
      <c r="H4668" s="1671">
        <f t="shared" ref="H4668:H4673" si="800">ROUND(D4668*E4668*G4668,2)</f>
        <v>0</v>
      </c>
      <c r="I4668" s="688" t="s">
        <v>92</v>
      </c>
      <c r="J4668" s="1668"/>
      <c r="K4668" s="1668"/>
      <c r="L4668" s="1669"/>
    </row>
    <row r="4669" spans="1:12" s="692" customFormat="1" ht="16.5" hidden="1">
      <c r="A4669" s="1665"/>
      <c r="B4669" s="1666"/>
      <c r="C4669" s="688"/>
      <c r="D4669" s="1667"/>
      <c r="E4669" s="1671">
        <v>3.5</v>
      </c>
      <c r="F4669" s="1668"/>
      <c r="G4669" s="1671">
        <v>4</v>
      </c>
      <c r="H4669" s="1671">
        <f t="shared" si="800"/>
        <v>0</v>
      </c>
      <c r="I4669" s="688" t="s">
        <v>92</v>
      </c>
      <c r="J4669" s="1668"/>
      <c r="K4669" s="1668"/>
      <c r="L4669" s="1669"/>
    </row>
    <row r="4670" spans="1:12" s="692" customFormat="1" ht="16.5" hidden="1">
      <c r="A4670" s="1665"/>
      <c r="B4670" s="1666"/>
      <c r="C4670" s="688"/>
      <c r="D4670" s="1667"/>
      <c r="E4670" s="1671">
        <v>3.5</v>
      </c>
      <c r="F4670" s="1668"/>
      <c r="G4670" s="1671">
        <v>4</v>
      </c>
      <c r="H4670" s="1671">
        <f t="shared" si="800"/>
        <v>0</v>
      </c>
      <c r="I4670" s="688" t="s">
        <v>92</v>
      </c>
      <c r="J4670" s="1668"/>
      <c r="K4670" s="1668"/>
      <c r="L4670" s="1669"/>
    </row>
    <row r="4671" spans="1:12" s="692" customFormat="1" ht="16.5" hidden="1">
      <c r="A4671" s="1665"/>
      <c r="B4671" s="1666"/>
      <c r="C4671" s="688"/>
      <c r="D4671" s="1667"/>
      <c r="E4671" s="1671">
        <v>3.5</v>
      </c>
      <c r="F4671" s="1668"/>
      <c r="G4671" s="1671">
        <v>4</v>
      </c>
      <c r="H4671" s="1671">
        <f t="shared" si="800"/>
        <v>0</v>
      </c>
      <c r="I4671" s="688" t="s">
        <v>92</v>
      </c>
      <c r="J4671" s="1668"/>
      <c r="K4671" s="1668"/>
      <c r="L4671" s="1669"/>
    </row>
    <row r="4672" spans="1:12" s="692" customFormat="1" ht="16.5" hidden="1">
      <c r="A4672" s="1665"/>
      <c r="B4672" s="1666"/>
      <c r="C4672" s="688"/>
      <c r="D4672" s="1667"/>
      <c r="E4672" s="1671">
        <v>3.5</v>
      </c>
      <c r="F4672" s="1668"/>
      <c r="G4672" s="1671">
        <v>4</v>
      </c>
      <c r="H4672" s="1671">
        <f t="shared" si="800"/>
        <v>0</v>
      </c>
      <c r="I4672" s="688" t="s">
        <v>92</v>
      </c>
      <c r="J4672" s="1668"/>
      <c r="K4672" s="1668"/>
      <c r="L4672" s="1669"/>
    </row>
    <row r="4673" spans="1:12" s="692" customFormat="1" ht="16.5" hidden="1">
      <c r="A4673" s="1665"/>
      <c r="B4673" s="1666"/>
      <c r="C4673" s="688"/>
      <c r="D4673" s="1667"/>
      <c r="E4673" s="1671">
        <v>3.5</v>
      </c>
      <c r="F4673" s="1668"/>
      <c r="G4673" s="1671">
        <v>4</v>
      </c>
      <c r="H4673" s="1671">
        <f t="shared" si="800"/>
        <v>0</v>
      </c>
      <c r="I4673" s="688" t="s">
        <v>92</v>
      </c>
      <c r="J4673" s="1668"/>
      <c r="K4673" s="1668"/>
      <c r="L4673" s="1669"/>
    </row>
    <row r="4674" spans="1:12" s="692" customFormat="1" ht="16.5" hidden="1">
      <c r="A4674" s="1665"/>
      <c r="B4674" s="1666"/>
      <c r="C4674" s="688"/>
      <c r="D4674" s="1667"/>
      <c r="E4674" s="688"/>
      <c r="F4674" s="688"/>
      <c r="G4674" s="1674" t="s">
        <v>928</v>
      </c>
      <c r="H4674" s="1671">
        <f>SUM(H4668:H4673)</f>
        <v>0</v>
      </c>
      <c r="I4674" s="1668" t="s">
        <v>92</v>
      </c>
      <c r="J4674" s="1669">
        <f>'Lead &amp; ANALYSIS'!L908</f>
        <v>63.7</v>
      </c>
      <c r="K4674" s="1668" t="s">
        <v>1514</v>
      </c>
      <c r="L4674" s="1669">
        <f t="shared" ref="L4674" si="801">ROUND(H4674*J4674,0)</f>
        <v>0</v>
      </c>
    </row>
    <row r="4675" spans="1:12" s="692" customFormat="1" ht="16.5" hidden="1">
      <c r="A4675" s="1665" t="str">
        <f>'Lead &amp; ANALYSIS'!A909</f>
        <v>(ii)</v>
      </c>
      <c r="B4675" s="1666" t="str">
        <f>'Lead &amp; ANALYSIS'!B909</f>
        <v>First Floor</v>
      </c>
      <c r="C4675" s="688"/>
      <c r="D4675" s="1667"/>
      <c r="E4675" s="688"/>
      <c r="F4675" s="688"/>
      <c r="G4675" s="1674"/>
      <c r="H4675" s="688"/>
      <c r="I4675" s="1668"/>
      <c r="J4675" s="1668"/>
      <c r="K4675" s="1668"/>
      <c r="L4675" s="1669"/>
    </row>
    <row r="4676" spans="1:12" s="692" customFormat="1" ht="16.5" hidden="1">
      <c r="A4676" s="1665"/>
      <c r="B4676" s="1666"/>
      <c r="C4676" s="688"/>
      <c r="D4676" s="1667"/>
      <c r="E4676" s="1671">
        <v>3.5</v>
      </c>
      <c r="F4676" s="1668"/>
      <c r="G4676" s="1671">
        <v>4</v>
      </c>
      <c r="H4676" s="1671">
        <f t="shared" ref="H4676:H4681" si="802">ROUND(D4676*E4676*G4676,2)</f>
        <v>0</v>
      </c>
      <c r="I4676" s="688" t="s">
        <v>92</v>
      </c>
      <c r="J4676" s="1668"/>
      <c r="K4676" s="1668"/>
      <c r="L4676" s="1669"/>
    </row>
    <row r="4677" spans="1:12" s="692" customFormat="1" ht="16.5" hidden="1">
      <c r="A4677" s="1665"/>
      <c r="B4677" s="1666"/>
      <c r="C4677" s="688"/>
      <c r="D4677" s="1667"/>
      <c r="E4677" s="1671">
        <v>3.5</v>
      </c>
      <c r="F4677" s="1668"/>
      <c r="G4677" s="1671">
        <v>4</v>
      </c>
      <c r="H4677" s="1671">
        <f t="shared" si="802"/>
        <v>0</v>
      </c>
      <c r="I4677" s="688" t="s">
        <v>92</v>
      </c>
      <c r="J4677" s="1668"/>
      <c r="K4677" s="1668"/>
      <c r="L4677" s="1669"/>
    </row>
    <row r="4678" spans="1:12" s="692" customFormat="1" ht="16.5" hidden="1">
      <c r="A4678" s="1665"/>
      <c r="B4678" s="1666"/>
      <c r="C4678" s="688"/>
      <c r="D4678" s="1667"/>
      <c r="E4678" s="1671">
        <v>3.5</v>
      </c>
      <c r="F4678" s="1668"/>
      <c r="G4678" s="1671">
        <v>4</v>
      </c>
      <c r="H4678" s="1671">
        <f t="shared" si="802"/>
        <v>0</v>
      </c>
      <c r="I4678" s="688" t="s">
        <v>92</v>
      </c>
      <c r="J4678" s="1668"/>
      <c r="K4678" s="1668"/>
      <c r="L4678" s="1669"/>
    </row>
    <row r="4679" spans="1:12" s="692" customFormat="1" ht="16.5" hidden="1">
      <c r="A4679" s="1665"/>
      <c r="B4679" s="1666"/>
      <c r="C4679" s="688"/>
      <c r="D4679" s="1667"/>
      <c r="E4679" s="1671">
        <v>3.5</v>
      </c>
      <c r="F4679" s="1668"/>
      <c r="G4679" s="1671">
        <v>4</v>
      </c>
      <c r="H4679" s="1671">
        <f t="shared" si="802"/>
        <v>0</v>
      </c>
      <c r="I4679" s="688" t="s">
        <v>92</v>
      </c>
      <c r="J4679" s="1668"/>
      <c r="K4679" s="1668"/>
      <c r="L4679" s="1669"/>
    </row>
    <row r="4680" spans="1:12" s="692" customFormat="1" ht="16.5" hidden="1">
      <c r="A4680" s="1665"/>
      <c r="B4680" s="1666"/>
      <c r="C4680" s="688"/>
      <c r="D4680" s="1667"/>
      <c r="E4680" s="1671">
        <v>3.5</v>
      </c>
      <c r="F4680" s="1668"/>
      <c r="G4680" s="1671">
        <v>4</v>
      </c>
      <c r="H4680" s="1671">
        <f t="shared" si="802"/>
        <v>0</v>
      </c>
      <c r="I4680" s="688" t="s">
        <v>92</v>
      </c>
      <c r="J4680" s="1668"/>
      <c r="K4680" s="1668"/>
      <c r="L4680" s="1669"/>
    </row>
    <row r="4681" spans="1:12" s="692" customFormat="1" ht="16.5" hidden="1">
      <c r="A4681" s="1665"/>
      <c r="B4681" s="1666"/>
      <c r="C4681" s="688"/>
      <c r="D4681" s="1667"/>
      <c r="E4681" s="1671">
        <v>3.5</v>
      </c>
      <c r="F4681" s="1668"/>
      <c r="G4681" s="1671">
        <v>4</v>
      </c>
      <c r="H4681" s="1671">
        <f t="shared" si="802"/>
        <v>0</v>
      </c>
      <c r="I4681" s="688" t="s">
        <v>92</v>
      </c>
      <c r="J4681" s="1668"/>
      <c r="K4681" s="1668"/>
      <c r="L4681" s="1669"/>
    </row>
    <row r="4682" spans="1:12" s="692" customFormat="1" ht="16.5" hidden="1">
      <c r="A4682" s="1665"/>
      <c r="B4682" s="1666"/>
      <c r="C4682" s="688"/>
      <c r="D4682" s="1667"/>
      <c r="E4682" s="688"/>
      <c r="F4682" s="688"/>
      <c r="G4682" s="1674" t="s">
        <v>928</v>
      </c>
      <c r="H4682" s="1671">
        <f>SUM(H4676:H4681)</f>
        <v>0</v>
      </c>
      <c r="I4682" s="1668" t="s">
        <v>92</v>
      </c>
      <c r="J4682" s="1669">
        <f>'Lead &amp; ANALYSIS'!L909</f>
        <v>67</v>
      </c>
      <c r="K4682" s="1668" t="s">
        <v>1514</v>
      </c>
      <c r="L4682" s="1669">
        <f t="shared" ref="L4682" si="803">ROUND(H4682*J4682,0)</f>
        <v>0</v>
      </c>
    </row>
    <row r="4683" spans="1:12" s="692" customFormat="1" ht="16.5" hidden="1">
      <c r="A4683" s="1665" t="str">
        <f>'Lead &amp; ANALYSIS'!A910</f>
        <v>(iii)</v>
      </c>
      <c r="B4683" s="1666" t="str">
        <f>'Lead &amp; ANALYSIS'!B910</f>
        <v>2nd Floor</v>
      </c>
      <c r="C4683" s="688"/>
      <c r="D4683" s="1667"/>
      <c r="E4683" s="688"/>
      <c r="F4683" s="688"/>
      <c r="G4683" s="1674"/>
      <c r="H4683" s="688"/>
      <c r="I4683" s="1668"/>
      <c r="J4683" s="1668"/>
      <c r="K4683" s="1668"/>
      <c r="L4683" s="1669"/>
    </row>
    <row r="4684" spans="1:12" s="692" customFormat="1" ht="16.5" hidden="1">
      <c r="A4684" s="1665"/>
      <c r="B4684" s="1666"/>
      <c r="C4684" s="688"/>
      <c r="D4684" s="1667"/>
      <c r="E4684" s="1671">
        <v>3.5</v>
      </c>
      <c r="F4684" s="1668"/>
      <c r="G4684" s="1671">
        <v>4</v>
      </c>
      <c r="H4684" s="1671">
        <f t="shared" ref="H4684:H4689" si="804">ROUND(D4684*E4684*G4684,2)</f>
        <v>0</v>
      </c>
      <c r="I4684" s="688" t="s">
        <v>92</v>
      </c>
      <c r="J4684" s="1668"/>
      <c r="K4684" s="1668"/>
      <c r="L4684" s="1669"/>
    </row>
    <row r="4685" spans="1:12" s="692" customFormat="1" ht="16.5" hidden="1">
      <c r="A4685" s="1665"/>
      <c r="B4685" s="1666"/>
      <c r="C4685" s="688"/>
      <c r="D4685" s="1667"/>
      <c r="E4685" s="1671">
        <v>3.5</v>
      </c>
      <c r="F4685" s="1668"/>
      <c r="G4685" s="1671">
        <v>4</v>
      </c>
      <c r="H4685" s="1671">
        <f t="shared" si="804"/>
        <v>0</v>
      </c>
      <c r="I4685" s="688" t="s">
        <v>92</v>
      </c>
      <c r="J4685" s="1668"/>
      <c r="K4685" s="1668"/>
      <c r="L4685" s="1669"/>
    </row>
    <row r="4686" spans="1:12" s="692" customFormat="1" ht="16.5" hidden="1">
      <c r="A4686" s="1665"/>
      <c r="B4686" s="1666"/>
      <c r="C4686" s="688"/>
      <c r="D4686" s="1667"/>
      <c r="E4686" s="1671">
        <v>3.5</v>
      </c>
      <c r="F4686" s="1668"/>
      <c r="G4686" s="1671">
        <v>4</v>
      </c>
      <c r="H4686" s="1671">
        <f t="shared" si="804"/>
        <v>0</v>
      </c>
      <c r="I4686" s="688" t="s">
        <v>92</v>
      </c>
      <c r="J4686" s="1668"/>
      <c r="K4686" s="1668"/>
      <c r="L4686" s="1669"/>
    </row>
    <row r="4687" spans="1:12" s="692" customFormat="1" ht="16.5" hidden="1">
      <c r="A4687" s="1665"/>
      <c r="B4687" s="1666"/>
      <c r="C4687" s="688"/>
      <c r="D4687" s="1667"/>
      <c r="E4687" s="1671">
        <v>3.5</v>
      </c>
      <c r="F4687" s="1668"/>
      <c r="G4687" s="1671">
        <v>4</v>
      </c>
      <c r="H4687" s="1671">
        <f t="shared" si="804"/>
        <v>0</v>
      </c>
      <c r="I4687" s="688" t="s">
        <v>92</v>
      </c>
      <c r="J4687" s="1668"/>
      <c r="K4687" s="1668"/>
      <c r="L4687" s="1669"/>
    </row>
    <row r="4688" spans="1:12" s="692" customFormat="1" ht="16.5" hidden="1">
      <c r="A4688" s="1665"/>
      <c r="B4688" s="1666"/>
      <c r="C4688" s="688"/>
      <c r="D4688" s="1667"/>
      <c r="E4688" s="1671">
        <v>3.5</v>
      </c>
      <c r="F4688" s="1668"/>
      <c r="G4688" s="1671">
        <v>4</v>
      </c>
      <c r="H4688" s="1671">
        <f t="shared" si="804"/>
        <v>0</v>
      </c>
      <c r="I4688" s="688" t="s">
        <v>92</v>
      </c>
      <c r="J4688" s="1668"/>
      <c r="K4688" s="1668"/>
      <c r="L4688" s="1669"/>
    </row>
    <row r="4689" spans="1:12" s="692" customFormat="1" ht="16.5" hidden="1">
      <c r="A4689" s="1665"/>
      <c r="B4689" s="1666"/>
      <c r="C4689" s="688"/>
      <c r="D4689" s="1667"/>
      <c r="E4689" s="1671">
        <v>3.5</v>
      </c>
      <c r="F4689" s="1668"/>
      <c r="G4689" s="1671">
        <v>4</v>
      </c>
      <c r="H4689" s="1671">
        <f t="shared" si="804"/>
        <v>0</v>
      </c>
      <c r="I4689" s="688" t="s">
        <v>92</v>
      </c>
      <c r="J4689" s="1668"/>
      <c r="K4689" s="1668"/>
      <c r="L4689" s="1669"/>
    </row>
    <row r="4690" spans="1:12" s="692" customFormat="1" ht="16.5" hidden="1">
      <c r="A4690" s="1665"/>
      <c r="B4690" s="1666"/>
      <c r="C4690" s="688"/>
      <c r="D4690" s="1667"/>
      <c r="E4690" s="688"/>
      <c r="F4690" s="688"/>
      <c r="G4690" s="1674" t="s">
        <v>928</v>
      </c>
      <c r="H4690" s="1671">
        <f>SUM(H4684:H4689)</f>
        <v>0</v>
      </c>
      <c r="I4690" s="1668" t="s">
        <v>92</v>
      </c>
      <c r="J4690" s="1669">
        <f>'Lead &amp; ANALYSIS'!L910</f>
        <v>69.7</v>
      </c>
      <c r="K4690" s="1668" t="s">
        <v>1514</v>
      </c>
      <c r="L4690" s="1669">
        <f t="shared" ref="L4690" si="805">ROUND(H4690*J4690,0)</f>
        <v>0</v>
      </c>
    </row>
    <row r="4691" spans="1:12" s="692" customFormat="1" ht="16.5" hidden="1">
      <c r="A4691" s="1665" t="str">
        <f>'Lead &amp; ANALYSIS'!A911</f>
        <v>(iv)</v>
      </c>
      <c r="B4691" s="1666" t="str">
        <f>'Lead &amp; ANALYSIS'!B911</f>
        <v>3rd Floor</v>
      </c>
      <c r="C4691" s="688"/>
      <c r="D4691" s="1667"/>
      <c r="E4691" s="688"/>
      <c r="F4691" s="688"/>
      <c r="G4691" s="1674"/>
      <c r="H4691" s="688"/>
      <c r="I4691" s="1668"/>
      <c r="J4691" s="1668"/>
      <c r="K4691" s="1668"/>
      <c r="L4691" s="1669"/>
    </row>
    <row r="4692" spans="1:12" s="692" customFormat="1" ht="16.5" hidden="1">
      <c r="A4692" s="1665"/>
      <c r="B4692" s="1666"/>
      <c r="C4692" s="688"/>
      <c r="D4692" s="1667"/>
      <c r="E4692" s="1671">
        <v>3.5</v>
      </c>
      <c r="F4692" s="1668"/>
      <c r="G4692" s="1671">
        <v>4</v>
      </c>
      <c r="H4692" s="1671">
        <f t="shared" ref="H4692:H4697" si="806">ROUND(D4692*E4692*G4692,2)</f>
        <v>0</v>
      </c>
      <c r="I4692" s="688" t="s">
        <v>92</v>
      </c>
      <c r="J4692" s="1668"/>
      <c r="K4692" s="1668"/>
      <c r="L4692" s="1669"/>
    </row>
    <row r="4693" spans="1:12" s="692" customFormat="1" ht="16.5" hidden="1">
      <c r="A4693" s="1665"/>
      <c r="B4693" s="1666"/>
      <c r="C4693" s="688"/>
      <c r="D4693" s="1667"/>
      <c r="E4693" s="1671">
        <v>3.5</v>
      </c>
      <c r="F4693" s="1668"/>
      <c r="G4693" s="1671">
        <v>4</v>
      </c>
      <c r="H4693" s="1671">
        <f t="shared" si="806"/>
        <v>0</v>
      </c>
      <c r="I4693" s="688" t="s">
        <v>92</v>
      </c>
      <c r="J4693" s="1668"/>
      <c r="K4693" s="1668"/>
      <c r="L4693" s="1669"/>
    </row>
    <row r="4694" spans="1:12" s="692" customFormat="1" ht="16.5" hidden="1">
      <c r="A4694" s="1665"/>
      <c r="B4694" s="1666"/>
      <c r="C4694" s="688"/>
      <c r="D4694" s="1667"/>
      <c r="E4694" s="1671">
        <v>3.5</v>
      </c>
      <c r="F4694" s="1668"/>
      <c r="G4694" s="1671">
        <v>4</v>
      </c>
      <c r="H4694" s="1671">
        <f t="shared" si="806"/>
        <v>0</v>
      </c>
      <c r="I4694" s="688" t="s">
        <v>92</v>
      </c>
      <c r="J4694" s="1668"/>
      <c r="K4694" s="1668"/>
      <c r="L4694" s="1669"/>
    </row>
    <row r="4695" spans="1:12" s="692" customFormat="1" ht="16.5" hidden="1">
      <c r="A4695" s="1665"/>
      <c r="B4695" s="1666"/>
      <c r="C4695" s="688"/>
      <c r="D4695" s="1667"/>
      <c r="E4695" s="1671">
        <v>3.5</v>
      </c>
      <c r="F4695" s="1668"/>
      <c r="G4695" s="1671">
        <v>4</v>
      </c>
      <c r="H4695" s="1671">
        <f t="shared" si="806"/>
        <v>0</v>
      </c>
      <c r="I4695" s="688" t="s">
        <v>92</v>
      </c>
      <c r="J4695" s="1668"/>
      <c r="K4695" s="1668"/>
      <c r="L4695" s="1669"/>
    </row>
    <row r="4696" spans="1:12" s="692" customFormat="1" ht="16.5" hidden="1">
      <c r="A4696" s="1665"/>
      <c r="B4696" s="1666"/>
      <c r="C4696" s="688"/>
      <c r="D4696" s="1667"/>
      <c r="E4696" s="1671">
        <v>3.5</v>
      </c>
      <c r="F4696" s="1668"/>
      <c r="G4696" s="1671">
        <v>4</v>
      </c>
      <c r="H4696" s="1671">
        <f t="shared" si="806"/>
        <v>0</v>
      </c>
      <c r="I4696" s="688" t="s">
        <v>92</v>
      </c>
      <c r="J4696" s="1668"/>
      <c r="K4696" s="1668"/>
      <c r="L4696" s="1669"/>
    </row>
    <row r="4697" spans="1:12" s="692" customFormat="1" ht="16.5" hidden="1">
      <c r="A4697" s="1665"/>
      <c r="B4697" s="1666"/>
      <c r="C4697" s="688"/>
      <c r="D4697" s="1667"/>
      <c r="E4697" s="1671">
        <v>3.5</v>
      </c>
      <c r="F4697" s="1668"/>
      <c r="G4697" s="1671">
        <v>4</v>
      </c>
      <c r="H4697" s="1671">
        <f t="shared" si="806"/>
        <v>0</v>
      </c>
      <c r="I4697" s="688" t="s">
        <v>92</v>
      </c>
      <c r="J4697" s="1668"/>
      <c r="K4697" s="1668"/>
      <c r="L4697" s="1669"/>
    </row>
    <row r="4698" spans="1:12" s="692" customFormat="1" ht="16.5" hidden="1">
      <c r="A4698" s="1665"/>
      <c r="B4698" s="1666"/>
      <c r="C4698" s="688"/>
      <c r="D4698" s="1667"/>
      <c r="E4698" s="688"/>
      <c r="F4698" s="688"/>
      <c r="G4698" s="1674" t="s">
        <v>928</v>
      </c>
      <c r="H4698" s="1671">
        <f>SUM(H4692:H4697)</f>
        <v>0</v>
      </c>
      <c r="I4698" s="1668" t="s">
        <v>92</v>
      </c>
      <c r="J4698" s="1669">
        <f>'Lead &amp; ANALYSIS'!L911</f>
        <v>72.599999999999994</v>
      </c>
      <c r="K4698" s="1668" t="s">
        <v>1514</v>
      </c>
      <c r="L4698" s="1669">
        <f t="shared" ref="L4698" si="807">ROUND(H4698*J4698,0)</f>
        <v>0</v>
      </c>
    </row>
    <row r="4699" spans="1:12" s="692" customFormat="1" ht="99" hidden="1">
      <c r="A4699" s="1665">
        <f>'Lead &amp; ANALYSIS'!A912</f>
        <v>116</v>
      </c>
      <c r="B4699" s="1666" t="str">
        <f>'Lead &amp; ANALYSIS'!B912</f>
        <v xml:space="preserve">Finishing plastered surfaces one coat with water proofing cement paint  of approved shade on old work in all floors, all heights with staging wherever necessary  etc. required for the work complete in all respect as per the direction of the Engineer-in-charge. </v>
      </c>
      <c r="C4699" s="688"/>
      <c r="D4699" s="1667"/>
      <c r="E4699" s="688"/>
      <c r="F4699" s="688"/>
      <c r="G4699" s="1674"/>
      <c r="H4699" s="688"/>
      <c r="I4699" s="1668"/>
      <c r="J4699" s="1668"/>
      <c r="K4699" s="1668"/>
      <c r="L4699" s="1669"/>
    </row>
    <row r="4700" spans="1:12" s="692" customFormat="1" ht="16.5" hidden="1">
      <c r="A4700" s="1665" t="str">
        <f>'Lead &amp; ANALYSIS'!A913</f>
        <v>A)</v>
      </c>
      <c r="B4700" s="1666" t="str">
        <f>'Lead &amp; ANALYSIS'!B913</f>
        <v>Inside Surface</v>
      </c>
      <c r="C4700" s="688"/>
      <c r="D4700" s="1667"/>
      <c r="E4700" s="688"/>
      <c r="F4700" s="688"/>
      <c r="G4700" s="1674"/>
      <c r="H4700" s="688"/>
      <c r="I4700" s="1668"/>
      <c r="J4700" s="1668"/>
      <c r="K4700" s="1668"/>
      <c r="L4700" s="1669"/>
    </row>
    <row r="4701" spans="1:12" s="692" customFormat="1" ht="16.5" hidden="1">
      <c r="A4701" s="1665" t="str">
        <f>'Lead &amp; ANALYSIS'!A914</f>
        <v>(i)</v>
      </c>
      <c r="B4701" s="1666" t="str">
        <f>'Lead &amp; ANALYSIS'!B914</f>
        <v>Ground Floor</v>
      </c>
      <c r="C4701" s="688"/>
      <c r="D4701" s="1667"/>
      <c r="E4701" s="688"/>
      <c r="F4701" s="688"/>
      <c r="G4701" s="1674"/>
      <c r="H4701" s="688"/>
      <c r="I4701" s="1668"/>
      <c r="J4701" s="1668"/>
      <c r="K4701" s="1668"/>
      <c r="L4701" s="1669"/>
    </row>
    <row r="4702" spans="1:12" s="692" customFormat="1" ht="16.5" hidden="1">
      <c r="A4702" s="1665"/>
      <c r="B4702" s="1666"/>
      <c r="C4702" s="688"/>
      <c r="D4702" s="1667"/>
      <c r="E4702" s="1671">
        <v>3.5</v>
      </c>
      <c r="F4702" s="1668"/>
      <c r="G4702" s="1671">
        <v>4</v>
      </c>
      <c r="H4702" s="1671">
        <f t="shared" ref="H4702:H4707" si="808">ROUND(D4702*E4702*G4702,2)</f>
        <v>0</v>
      </c>
      <c r="I4702" s="688" t="s">
        <v>92</v>
      </c>
      <c r="J4702" s="1668"/>
      <c r="K4702" s="1668"/>
      <c r="L4702" s="1669"/>
    </row>
    <row r="4703" spans="1:12" s="692" customFormat="1" ht="16.5" hidden="1">
      <c r="A4703" s="1665"/>
      <c r="B4703" s="1666"/>
      <c r="C4703" s="688"/>
      <c r="D4703" s="1667"/>
      <c r="E4703" s="1671">
        <v>3.5</v>
      </c>
      <c r="F4703" s="1668"/>
      <c r="G4703" s="1671">
        <v>4</v>
      </c>
      <c r="H4703" s="1671">
        <f t="shared" si="808"/>
        <v>0</v>
      </c>
      <c r="I4703" s="688" t="s">
        <v>92</v>
      </c>
      <c r="J4703" s="1668"/>
      <c r="K4703" s="1668"/>
      <c r="L4703" s="1669"/>
    </row>
    <row r="4704" spans="1:12" s="692" customFormat="1" ht="16.5" hidden="1">
      <c r="A4704" s="1665"/>
      <c r="B4704" s="1666"/>
      <c r="C4704" s="688"/>
      <c r="D4704" s="1667"/>
      <c r="E4704" s="1671">
        <v>3.5</v>
      </c>
      <c r="F4704" s="1668"/>
      <c r="G4704" s="1671">
        <v>4</v>
      </c>
      <c r="H4704" s="1671">
        <f t="shared" si="808"/>
        <v>0</v>
      </c>
      <c r="I4704" s="688" t="s">
        <v>92</v>
      </c>
      <c r="J4704" s="1668"/>
      <c r="K4704" s="1668"/>
      <c r="L4704" s="1669"/>
    </row>
    <row r="4705" spans="1:12" s="692" customFormat="1" ht="16.5" hidden="1">
      <c r="A4705" s="1665"/>
      <c r="B4705" s="1666"/>
      <c r="C4705" s="688"/>
      <c r="D4705" s="1667"/>
      <c r="E4705" s="1671">
        <v>3.5</v>
      </c>
      <c r="F4705" s="1668"/>
      <c r="G4705" s="1671">
        <v>4</v>
      </c>
      <c r="H4705" s="1671">
        <f t="shared" si="808"/>
        <v>0</v>
      </c>
      <c r="I4705" s="688" t="s">
        <v>92</v>
      </c>
      <c r="J4705" s="1668"/>
      <c r="K4705" s="1668"/>
      <c r="L4705" s="1669"/>
    </row>
    <row r="4706" spans="1:12" s="692" customFormat="1" ht="16.5" hidden="1">
      <c r="A4706" s="1665"/>
      <c r="B4706" s="1666"/>
      <c r="C4706" s="688"/>
      <c r="D4706" s="1667"/>
      <c r="E4706" s="1671">
        <v>3.5</v>
      </c>
      <c r="F4706" s="1668"/>
      <c r="G4706" s="1671">
        <v>4</v>
      </c>
      <c r="H4706" s="1671">
        <f t="shared" si="808"/>
        <v>0</v>
      </c>
      <c r="I4706" s="688" t="s">
        <v>92</v>
      </c>
      <c r="J4706" s="1668"/>
      <c r="K4706" s="1668"/>
      <c r="L4706" s="1669"/>
    </row>
    <row r="4707" spans="1:12" s="692" customFormat="1" ht="16.5" hidden="1">
      <c r="A4707" s="1665"/>
      <c r="B4707" s="1666"/>
      <c r="C4707" s="688"/>
      <c r="D4707" s="1667"/>
      <c r="E4707" s="1671">
        <v>3.5</v>
      </c>
      <c r="F4707" s="1668"/>
      <c r="G4707" s="1671">
        <v>4</v>
      </c>
      <c r="H4707" s="1671">
        <f t="shared" si="808"/>
        <v>0</v>
      </c>
      <c r="I4707" s="688" t="s">
        <v>92</v>
      </c>
      <c r="J4707" s="1668"/>
      <c r="K4707" s="1668"/>
      <c r="L4707" s="1669"/>
    </row>
    <row r="4708" spans="1:12" s="692" customFormat="1" ht="16.5" hidden="1">
      <c r="A4708" s="1665"/>
      <c r="B4708" s="1666"/>
      <c r="C4708" s="688"/>
      <c r="D4708" s="1667"/>
      <c r="E4708" s="688"/>
      <c r="F4708" s="688"/>
      <c r="G4708" s="1674" t="s">
        <v>928</v>
      </c>
      <c r="H4708" s="1671">
        <f>SUM(H4702:H4707)</f>
        <v>0</v>
      </c>
      <c r="I4708" s="1668" t="s">
        <v>92</v>
      </c>
      <c r="J4708" s="1669">
        <f>'Lead &amp; ANALYSIS'!L914</f>
        <v>26.8</v>
      </c>
      <c r="K4708" s="1668" t="s">
        <v>1514</v>
      </c>
      <c r="L4708" s="1669">
        <f t="shared" ref="L4708" si="809">ROUND(H4708*J4708,0)</f>
        <v>0</v>
      </c>
    </row>
    <row r="4709" spans="1:12" s="692" customFormat="1" ht="16.5" hidden="1">
      <c r="A4709" s="1665" t="str">
        <f>'Lead &amp; ANALYSIS'!A915</f>
        <v>(ii)</v>
      </c>
      <c r="B4709" s="1666" t="str">
        <f>'Lead &amp; ANALYSIS'!B915</f>
        <v>First Floor</v>
      </c>
      <c r="C4709" s="688"/>
      <c r="D4709" s="1667"/>
      <c r="E4709" s="688"/>
      <c r="F4709" s="688"/>
      <c r="G4709" s="1674"/>
      <c r="H4709" s="688"/>
      <c r="I4709" s="1668"/>
      <c r="J4709" s="1668"/>
      <c r="K4709" s="1668"/>
      <c r="L4709" s="1669"/>
    </row>
    <row r="4710" spans="1:12" s="692" customFormat="1" ht="16.5" hidden="1">
      <c r="A4710" s="1665"/>
      <c r="B4710" s="1666"/>
      <c r="C4710" s="688"/>
      <c r="D4710" s="1667"/>
      <c r="E4710" s="1671">
        <v>3.5</v>
      </c>
      <c r="F4710" s="1668"/>
      <c r="G4710" s="1671">
        <v>4</v>
      </c>
      <c r="H4710" s="1671">
        <f t="shared" ref="H4710:H4715" si="810">ROUND(D4710*E4710*G4710,2)</f>
        <v>0</v>
      </c>
      <c r="I4710" s="688" t="s">
        <v>92</v>
      </c>
      <c r="J4710" s="1668"/>
      <c r="K4710" s="1668"/>
      <c r="L4710" s="1669"/>
    </row>
    <row r="4711" spans="1:12" s="692" customFormat="1" ht="16.5" hidden="1">
      <c r="A4711" s="1665"/>
      <c r="B4711" s="1666"/>
      <c r="C4711" s="688"/>
      <c r="D4711" s="1667"/>
      <c r="E4711" s="1671">
        <v>3.5</v>
      </c>
      <c r="F4711" s="1668"/>
      <c r="G4711" s="1671">
        <v>4</v>
      </c>
      <c r="H4711" s="1671">
        <f t="shared" si="810"/>
        <v>0</v>
      </c>
      <c r="I4711" s="688" t="s">
        <v>92</v>
      </c>
      <c r="J4711" s="1668"/>
      <c r="K4711" s="1668"/>
      <c r="L4711" s="1669"/>
    </row>
    <row r="4712" spans="1:12" s="692" customFormat="1" ht="16.5" hidden="1">
      <c r="A4712" s="1665"/>
      <c r="B4712" s="1666"/>
      <c r="C4712" s="688"/>
      <c r="D4712" s="1667"/>
      <c r="E4712" s="1671">
        <v>3.5</v>
      </c>
      <c r="F4712" s="1668"/>
      <c r="G4712" s="1671">
        <v>4</v>
      </c>
      <c r="H4712" s="1671">
        <f t="shared" si="810"/>
        <v>0</v>
      </c>
      <c r="I4712" s="688" t="s">
        <v>92</v>
      </c>
      <c r="J4712" s="1668"/>
      <c r="K4712" s="1668"/>
      <c r="L4712" s="1669"/>
    </row>
    <row r="4713" spans="1:12" s="692" customFormat="1" ht="16.5" hidden="1">
      <c r="A4713" s="1665"/>
      <c r="B4713" s="1666"/>
      <c r="C4713" s="688"/>
      <c r="D4713" s="1667"/>
      <c r="E4713" s="1671">
        <v>3.5</v>
      </c>
      <c r="F4713" s="1668"/>
      <c r="G4713" s="1671">
        <v>4</v>
      </c>
      <c r="H4713" s="1671">
        <f t="shared" si="810"/>
        <v>0</v>
      </c>
      <c r="I4713" s="688" t="s">
        <v>92</v>
      </c>
      <c r="J4713" s="1668"/>
      <c r="K4713" s="1668"/>
      <c r="L4713" s="1669"/>
    </row>
    <row r="4714" spans="1:12" s="692" customFormat="1" ht="16.5" hidden="1">
      <c r="A4714" s="1665"/>
      <c r="B4714" s="1666"/>
      <c r="C4714" s="688"/>
      <c r="D4714" s="1667"/>
      <c r="E4714" s="1671">
        <v>3.5</v>
      </c>
      <c r="F4714" s="1668"/>
      <c r="G4714" s="1671">
        <v>4</v>
      </c>
      <c r="H4714" s="1671">
        <f t="shared" si="810"/>
        <v>0</v>
      </c>
      <c r="I4714" s="688" t="s">
        <v>92</v>
      </c>
      <c r="J4714" s="1668"/>
      <c r="K4714" s="1668"/>
      <c r="L4714" s="1669"/>
    </row>
    <row r="4715" spans="1:12" s="692" customFormat="1" ht="16.5" hidden="1">
      <c r="A4715" s="1665"/>
      <c r="B4715" s="1666"/>
      <c r="C4715" s="688"/>
      <c r="D4715" s="1667"/>
      <c r="E4715" s="1671">
        <v>3.5</v>
      </c>
      <c r="F4715" s="1668"/>
      <c r="G4715" s="1671">
        <v>4</v>
      </c>
      <c r="H4715" s="1671">
        <f t="shared" si="810"/>
        <v>0</v>
      </c>
      <c r="I4715" s="688" t="s">
        <v>92</v>
      </c>
      <c r="J4715" s="1668"/>
      <c r="K4715" s="1668"/>
      <c r="L4715" s="1669"/>
    </row>
    <row r="4716" spans="1:12" s="692" customFormat="1" ht="16.5" hidden="1">
      <c r="A4716" s="1665"/>
      <c r="B4716" s="1666"/>
      <c r="C4716" s="688"/>
      <c r="D4716" s="1667"/>
      <c r="E4716" s="688"/>
      <c r="F4716" s="688"/>
      <c r="G4716" s="1674" t="s">
        <v>928</v>
      </c>
      <c r="H4716" s="1671">
        <f>SUM(H4710:H4715)</f>
        <v>0</v>
      </c>
      <c r="I4716" s="1668" t="s">
        <v>92</v>
      </c>
      <c r="J4716" s="1669">
        <f>'Lead &amp; ANALYSIS'!L915</f>
        <v>27.3</v>
      </c>
      <c r="K4716" s="1668" t="s">
        <v>1514</v>
      </c>
      <c r="L4716" s="1669">
        <f t="shared" ref="L4716" si="811">ROUND(H4716*J4716,0)</f>
        <v>0</v>
      </c>
    </row>
    <row r="4717" spans="1:12" s="692" customFormat="1" ht="16.5" hidden="1">
      <c r="A4717" s="1665" t="str">
        <f>'Lead &amp; ANALYSIS'!A916</f>
        <v>(iii)</v>
      </c>
      <c r="B4717" s="1666" t="str">
        <f>'Lead &amp; ANALYSIS'!B916</f>
        <v>2nd Floor</v>
      </c>
      <c r="C4717" s="688"/>
      <c r="D4717" s="1667"/>
      <c r="E4717" s="688"/>
      <c r="F4717" s="688"/>
      <c r="G4717" s="1674"/>
      <c r="H4717" s="688"/>
      <c r="I4717" s="1668"/>
      <c r="J4717" s="1668"/>
      <c r="K4717" s="1668"/>
      <c r="L4717" s="1669"/>
    </row>
    <row r="4718" spans="1:12" s="692" customFormat="1" ht="16.5" hidden="1">
      <c r="A4718" s="1665"/>
      <c r="B4718" s="1666"/>
      <c r="C4718" s="688"/>
      <c r="D4718" s="1667"/>
      <c r="E4718" s="1671">
        <v>3.5</v>
      </c>
      <c r="F4718" s="1668"/>
      <c r="G4718" s="1671">
        <v>4</v>
      </c>
      <c r="H4718" s="1671">
        <f t="shared" ref="H4718:H4723" si="812">ROUND(D4718*E4718*G4718,2)</f>
        <v>0</v>
      </c>
      <c r="I4718" s="688" t="s">
        <v>92</v>
      </c>
      <c r="J4718" s="1668"/>
      <c r="K4718" s="1668"/>
      <c r="L4718" s="1669"/>
    </row>
    <row r="4719" spans="1:12" s="692" customFormat="1" ht="16.5" hidden="1">
      <c r="A4719" s="1665"/>
      <c r="B4719" s="1666"/>
      <c r="C4719" s="688"/>
      <c r="D4719" s="1667"/>
      <c r="E4719" s="1671">
        <v>3.5</v>
      </c>
      <c r="F4719" s="1668"/>
      <c r="G4719" s="1671">
        <v>4</v>
      </c>
      <c r="H4719" s="1671">
        <f t="shared" si="812"/>
        <v>0</v>
      </c>
      <c r="I4719" s="688" t="s">
        <v>92</v>
      </c>
      <c r="J4719" s="1668"/>
      <c r="K4719" s="1668"/>
      <c r="L4719" s="1669"/>
    </row>
    <row r="4720" spans="1:12" s="692" customFormat="1" ht="16.5" hidden="1">
      <c r="A4720" s="1665"/>
      <c r="B4720" s="1666"/>
      <c r="C4720" s="688"/>
      <c r="D4720" s="1667"/>
      <c r="E4720" s="1671">
        <v>3.5</v>
      </c>
      <c r="F4720" s="1668"/>
      <c r="G4720" s="1671">
        <v>4</v>
      </c>
      <c r="H4720" s="1671">
        <f t="shared" si="812"/>
        <v>0</v>
      </c>
      <c r="I4720" s="688" t="s">
        <v>92</v>
      </c>
      <c r="J4720" s="1668"/>
      <c r="K4720" s="1668"/>
      <c r="L4720" s="1669"/>
    </row>
    <row r="4721" spans="1:12" s="692" customFormat="1" ht="16.5" hidden="1">
      <c r="A4721" s="1665"/>
      <c r="B4721" s="1666"/>
      <c r="C4721" s="688"/>
      <c r="D4721" s="1667"/>
      <c r="E4721" s="1671">
        <v>3.5</v>
      </c>
      <c r="F4721" s="1668"/>
      <c r="G4721" s="1671">
        <v>4</v>
      </c>
      <c r="H4721" s="1671">
        <f t="shared" si="812"/>
        <v>0</v>
      </c>
      <c r="I4721" s="688" t="s">
        <v>92</v>
      </c>
      <c r="J4721" s="1668"/>
      <c r="K4721" s="1668"/>
      <c r="L4721" s="1669"/>
    </row>
    <row r="4722" spans="1:12" s="692" customFormat="1" ht="16.5" hidden="1">
      <c r="A4722" s="1665"/>
      <c r="B4722" s="1666"/>
      <c r="C4722" s="688"/>
      <c r="D4722" s="1667"/>
      <c r="E4722" s="1671">
        <v>3.5</v>
      </c>
      <c r="F4722" s="1668"/>
      <c r="G4722" s="1671">
        <v>4</v>
      </c>
      <c r="H4722" s="1671">
        <f t="shared" si="812"/>
        <v>0</v>
      </c>
      <c r="I4722" s="688" t="s">
        <v>92</v>
      </c>
      <c r="J4722" s="1668"/>
      <c r="K4722" s="1668"/>
      <c r="L4722" s="1669"/>
    </row>
    <row r="4723" spans="1:12" s="692" customFormat="1" ht="16.5" hidden="1">
      <c r="A4723" s="1665"/>
      <c r="B4723" s="1666"/>
      <c r="C4723" s="688"/>
      <c r="D4723" s="1667"/>
      <c r="E4723" s="1671">
        <v>3.5</v>
      </c>
      <c r="F4723" s="1668"/>
      <c r="G4723" s="1671">
        <v>4</v>
      </c>
      <c r="H4723" s="1671">
        <f t="shared" si="812"/>
        <v>0</v>
      </c>
      <c r="I4723" s="688" t="s">
        <v>92</v>
      </c>
      <c r="J4723" s="1668"/>
      <c r="K4723" s="1668"/>
      <c r="L4723" s="1669"/>
    </row>
    <row r="4724" spans="1:12" s="692" customFormat="1" ht="16.5" hidden="1">
      <c r="A4724" s="1665"/>
      <c r="B4724" s="1666"/>
      <c r="C4724" s="688"/>
      <c r="D4724" s="1667"/>
      <c r="E4724" s="688"/>
      <c r="F4724" s="688"/>
      <c r="G4724" s="1674" t="s">
        <v>928</v>
      </c>
      <c r="H4724" s="1671">
        <f>SUM(H4718:H4723)</f>
        <v>0</v>
      </c>
      <c r="I4724" s="1668" t="s">
        <v>92</v>
      </c>
      <c r="J4724" s="1669">
        <f>'Lead &amp; ANALYSIS'!L916</f>
        <v>27.8</v>
      </c>
      <c r="K4724" s="1668" t="s">
        <v>1514</v>
      </c>
      <c r="L4724" s="1669">
        <f t="shared" ref="L4724" si="813">ROUND(H4724*J4724,0)</f>
        <v>0</v>
      </c>
    </row>
    <row r="4725" spans="1:12" s="692" customFormat="1" ht="16.5" hidden="1">
      <c r="A4725" s="1665" t="str">
        <f>'Lead &amp; ANALYSIS'!A917</f>
        <v>(iv)</v>
      </c>
      <c r="B4725" s="1666" t="str">
        <f>'Lead &amp; ANALYSIS'!B917</f>
        <v>3rd Floor</v>
      </c>
      <c r="C4725" s="688"/>
      <c r="D4725" s="1667"/>
      <c r="E4725" s="688"/>
      <c r="F4725" s="688"/>
      <c r="G4725" s="1674"/>
      <c r="H4725" s="688"/>
      <c r="I4725" s="1668"/>
      <c r="J4725" s="1668"/>
      <c r="K4725" s="1668"/>
      <c r="L4725" s="1669"/>
    </row>
    <row r="4726" spans="1:12" s="692" customFormat="1" ht="16.5" hidden="1">
      <c r="A4726" s="1665"/>
      <c r="B4726" s="1666"/>
      <c r="C4726" s="688"/>
      <c r="D4726" s="1667"/>
      <c r="E4726" s="1671">
        <v>3.5</v>
      </c>
      <c r="F4726" s="1668"/>
      <c r="G4726" s="1671">
        <v>4</v>
      </c>
      <c r="H4726" s="1671">
        <f t="shared" ref="H4726:H4731" si="814">ROUND(D4726*E4726*G4726,2)</f>
        <v>0</v>
      </c>
      <c r="I4726" s="688" t="s">
        <v>92</v>
      </c>
      <c r="J4726" s="1668"/>
      <c r="K4726" s="1668"/>
      <c r="L4726" s="1669"/>
    </row>
    <row r="4727" spans="1:12" s="692" customFormat="1" ht="16.5" hidden="1">
      <c r="A4727" s="1665"/>
      <c r="B4727" s="1666"/>
      <c r="C4727" s="688"/>
      <c r="D4727" s="1667"/>
      <c r="E4727" s="1671">
        <v>3.5</v>
      </c>
      <c r="F4727" s="1668"/>
      <c r="G4727" s="1671">
        <v>4</v>
      </c>
      <c r="H4727" s="1671">
        <f t="shared" si="814"/>
        <v>0</v>
      </c>
      <c r="I4727" s="688" t="s">
        <v>92</v>
      </c>
      <c r="J4727" s="1668"/>
      <c r="K4727" s="1668"/>
      <c r="L4727" s="1669"/>
    </row>
    <row r="4728" spans="1:12" s="692" customFormat="1" ht="16.5" hidden="1">
      <c r="A4728" s="1665"/>
      <c r="B4728" s="1666"/>
      <c r="C4728" s="688"/>
      <c r="D4728" s="1667"/>
      <c r="E4728" s="1671">
        <v>3.5</v>
      </c>
      <c r="F4728" s="1668"/>
      <c r="G4728" s="1671">
        <v>4</v>
      </c>
      <c r="H4728" s="1671">
        <f t="shared" si="814"/>
        <v>0</v>
      </c>
      <c r="I4728" s="688" t="s">
        <v>92</v>
      </c>
      <c r="J4728" s="1668"/>
      <c r="K4728" s="1668"/>
      <c r="L4728" s="1669"/>
    </row>
    <row r="4729" spans="1:12" s="692" customFormat="1" ht="16.5" hidden="1">
      <c r="A4729" s="1665"/>
      <c r="B4729" s="1666"/>
      <c r="C4729" s="688"/>
      <c r="D4729" s="1667"/>
      <c r="E4729" s="1671">
        <v>3.5</v>
      </c>
      <c r="F4729" s="1668"/>
      <c r="G4729" s="1671">
        <v>4</v>
      </c>
      <c r="H4729" s="1671">
        <f t="shared" si="814"/>
        <v>0</v>
      </c>
      <c r="I4729" s="688" t="s">
        <v>92</v>
      </c>
      <c r="J4729" s="1668"/>
      <c r="K4729" s="1668"/>
      <c r="L4729" s="1669"/>
    </row>
    <row r="4730" spans="1:12" s="692" customFormat="1" ht="16.5" hidden="1">
      <c r="A4730" s="1665"/>
      <c r="B4730" s="1666"/>
      <c r="C4730" s="688"/>
      <c r="D4730" s="1667"/>
      <c r="E4730" s="1671">
        <v>3.5</v>
      </c>
      <c r="F4730" s="1668"/>
      <c r="G4730" s="1671">
        <v>4</v>
      </c>
      <c r="H4730" s="1671">
        <f t="shared" si="814"/>
        <v>0</v>
      </c>
      <c r="I4730" s="688" t="s">
        <v>92</v>
      </c>
      <c r="J4730" s="1668"/>
      <c r="K4730" s="1668"/>
      <c r="L4730" s="1669"/>
    </row>
    <row r="4731" spans="1:12" s="692" customFormat="1" ht="16.5" hidden="1">
      <c r="A4731" s="1665"/>
      <c r="B4731" s="1666"/>
      <c r="C4731" s="688"/>
      <c r="D4731" s="1667"/>
      <c r="E4731" s="1671">
        <v>3.5</v>
      </c>
      <c r="F4731" s="1668"/>
      <c r="G4731" s="1671">
        <v>4</v>
      </c>
      <c r="H4731" s="1671">
        <f t="shared" si="814"/>
        <v>0</v>
      </c>
      <c r="I4731" s="688" t="s">
        <v>92</v>
      </c>
      <c r="J4731" s="1668"/>
      <c r="K4731" s="1668"/>
      <c r="L4731" s="1669"/>
    </row>
    <row r="4732" spans="1:12" s="692" customFormat="1" ht="16.5" hidden="1">
      <c r="A4732" s="1665"/>
      <c r="B4732" s="1666"/>
      <c r="C4732" s="688"/>
      <c r="D4732" s="1667"/>
      <c r="E4732" s="688"/>
      <c r="F4732" s="688"/>
      <c r="G4732" s="1674" t="s">
        <v>928</v>
      </c>
      <c r="H4732" s="1671">
        <f>SUM(H4726:H4731)</f>
        <v>0</v>
      </c>
      <c r="I4732" s="1668" t="s">
        <v>92</v>
      </c>
      <c r="J4732" s="1669">
        <f>'Lead &amp; ANALYSIS'!L917</f>
        <v>28.4</v>
      </c>
      <c r="K4732" s="1668" t="s">
        <v>1514</v>
      </c>
      <c r="L4732" s="1669">
        <f t="shared" ref="L4732" si="815">ROUND(H4732*J4732,0)</f>
        <v>0</v>
      </c>
    </row>
    <row r="4733" spans="1:12" s="692" customFormat="1" ht="16.5" hidden="1">
      <c r="A4733" s="1665" t="str">
        <f>'Lead &amp; ANALYSIS'!A918</f>
        <v>B)</v>
      </c>
      <c r="B4733" s="1666" t="str">
        <f>'Lead &amp; ANALYSIS'!B918</f>
        <v>Outside Surface</v>
      </c>
      <c r="C4733" s="688"/>
      <c r="D4733" s="1667"/>
      <c r="E4733" s="688"/>
      <c r="F4733" s="688"/>
      <c r="G4733" s="1674"/>
      <c r="H4733" s="688"/>
      <c r="I4733" s="1668"/>
      <c r="J4733" s="1668"/>
      <c r="K4733" s="1668"/>
      <c r="L4733" s="1669"/>
    </row>
    <row r="4734" spans="1:12" s="692" customFormat="1" ht="16.5" hidden="1">
      <c r="A4734" s="1665" t="str">
        <f>'Lead &amp; ANALYSIS'!A919</f>
        <v>(i)</v>
      </c>
      <c r="B4734" s="1666" t="str">
        <f>'Lead &amp; ANALYSIS'!B919</f>
        <v>Ground Floor</v>
      </c>
      <c r="C4734" s="688"/>
      <c r="D4734" s="1667"/>
      <c r="E4734" s="688"/>
      <c r="F4734" s="688"/>
      <c r="G4734" s="1674"/>
      <c r="H4734" s="688"/>
      <c r="I4734" s="1668"/>
      <c r="J4734" s="1668"/>
      <c r="K4734" s="1668"/>
      <c r="L4734" s="1669"/>
    </row>
    <row r="4735" spans="1:12" s="692" customFormat="1" ht="16.5" hidden="1">
      <c r="A4735" s="1665"/>
      <c r="B4735" s="1666"/>
      <c r="C4735" s="688"/>
      <c r="D4735" s="1667"/>
      <c r="E4735" s="1671">
        <v>3.5</v>
      </c>
      <c r="F4735" s="1668"/>
      <c r="G4735" s="1671">
        <v>4</v>
      </c>
      <c r="H4735" s="1671">
        <f t="shared" ref="H4735:H4740" si="816">ROUND(D4735*E4735*G4735,2)</f>
        <v>0</v>
      </c>
      <c r="I4735" s="688" t="s">
        <v>92</v>
      </c>
      <c r="J4735" s="1668"/>
      <c r="K4735" s="1668"/>
      <c r="L4735" s="1669"/>
    </row>
    <row r="4736" spans="1:12" s="692" customFormat="1" ht="16.5" hidden="1">
      <c r="A4736" s="1665"/>
      <c r="B4736" s="1666"/>
      <c r="C4736" s="688"/>
      <c r="D4736" s="1667"/>
      <c r="E4736" s="1671">
        <v>3.5</v>
      </c>
      <c r="F4736" s="1668"/>
      <c r="G4736" s="1671">
        <v>4</v>
      </c>
      <c r="H4736" s="1671">
        <f t="shared" si="816"/>
        <v>0</v>
      </c>
      <c r="I4736" s="688" t="s">
        <v>92</v>
      </c>
      <c r="J4736" s="1668"/>
      <c r="K4736" s="1668"/>
      <c r="L4736" s="1669"/>
    </row>
    <row r="4737" spans="1:12" s="692" customFormat="1" ht="16.5" hidden="1">
      <c r="A4737" s="1665"/>
      <c r="B4737" s="1666"/>
      <c r="C4737" s="688"/>
      <c r="D4737" s="1667"/>
      <c r="E4737" s="1671">
        <v>3.5</v>
      </c>
      <c r="F4737" s="1668"/>
      <c r="G4737" s="1671">
        <v>4</v>
      </c>
      <c r="H4737" s="1671">
        <f t="shared" si="816"/>
        <v>0</v>
      </c>
      <c r="I4737" s="688" t="s">
        <v>92</v>
      </c>
      <c r="J4737" s="1668"/>
      <c r="K4737" s="1668"/>
      <c r="L4737" s="1669"/>
    </row>
    <row r="4738" spans="1:12" s="692" customFormat="1" ht="16.5" hidden="1">
      <c r="A4738" s="1665"/>
      <c r="B4738" s="1666"/>
      <c r="C4738" s="688"/>
      <c r="D4738" s="1667"/>
      <c r="E4738" s="1671">
        <v>3.5</v>
      </c>
      <c r="F4738" s="1668"/>
      <c r="G4738" s="1671">
        <v>4</v>
      </c>
      <c r="H4738" s="1671">
        <f t="shared" si="816"/>
        <v>0</v>
      </c>
      <c r="I4738" s="688" t="s">
        <v>92</v>
      </c>
      <c r="J4738" s="1668"/>
      <c r="K4738" s="1668"/>
      <c r="L4738" s="1669"/>
    </row>
    <row r="4739" spans="1:12" s="692" customFormat="1" ht="16.5" hidden="1">
      <c r="A4739" s="1665"/>
      <c r="B4739" s="1666"/>
      <c r="C4739" s="688"/>
      <c r="D4739" s="1667"/>
      <c r="E4739" s="1671">
        <v>3.5</v>
      </c>
      <c r="F4739" s="1668"/>
      <c r="G4739" s="1671">
        <v>4</v>
      </c>
      <c r="H4739" s="1671">
        <f t="shared" si="816"/>
        <v>0</v>
      </c>
      <c r="I4739" s="688" t="s">
        <v>92</v>
      </c>
      <c r="J4739" s="1668"/>
      <c r="K4739" s="1668"/>
      <c r="L4739" s="1669"/>
    </row>
    <row r="4740" spans="1:12" s="692" customFormat="1" ht="16.5" hidden="1">
      <c r="A4740" s="1665"/>
      <c r="B4740" s="1666"/>
      <c r="C4740" s="688"/>
      <c r="D4740" s="1667"/>
      <c r="E4740" s="1671">
        <v>3.5</v>
      </c>
      <c r="F4740" s="1668"/>
      <c r="G4740" s="1671">
        <v>4</v>
      </c>
      <c r="H4740" s="1671">
        <f t="shared" si="816"/>
        <v>0</v>
      </c>
      <c r="I4740" s="688" t="s">
        <v>92</v>
      </c>
      <c r="J4740" s="1668"/>
      <c r="K4740" s="1668"/>
      <c r="L4740" s="1669"/>
    </row>
    <row r="4741" spans="1:12" s="692" customFormat="1" ht="16.5" hidden="1">
      <c r="A4741" s="1665"/>
      <c r="B4741" s="1666"/>
      <c r="C4741" s="688"/>
      <c r="D4741" s="1667"/>
      <c r="E4741" s="688"/>
      <c r="F4741" s="688"/>
      <c r="G4741" s="1674" t="s">
        <v>928</v>
      </c>
      <c r="H4741" s="1671">
        <f>SUM(H4735:H4740)</f>
        <v>0</v>
      </c>
      <c r="I4741" s="1668" t="s">
        <v>92</v>
      </c>
      <c r="J4741" s="1669">
        <f>'Lead &amp; ANALYSIS'!L919</f>
        <v>26.5</v>
      </c>
      <c r="K4741" s="1668" t="s">
        <v>1514</v>
      </c>
      <c r="L4741" s="1669">
        <f t="shared" ref="L4741" si="817">ROUND(H4741*J4741,0)</f>
        <v>0</v>
      </c>
    </row>
    <row r="4742" spans="1:12" s="692" customFormat="1" ht="16.5" hidden="1">
      <c r="A4742" s="1665" t="str">
        <f>'Lead &amp; ANALYSIS'!A920</f>
        <v>(ii)</v>
      </c>
      <c r="B4742" s="1666" t="str">
        <f>'Lead &amp; ANALYSIS'!B920</f>
        <v>First Floor</v>
      </c>
      <c r="C4742" s="688"/>
      <c r="D4742" s="1667"/>
      <c r="E4742" s="688"/>
      <c r="F4742" s="688"/>
      <c r="G4742" s="1674"/>
      <c r="H4742" s="688"/>
      <c r="I4742" s="1668"/>
      <c r="J4742" s="1668"/>
      <c r="K4742" s="1668"/>
      <c r="L4742" s="1669"/>
    </row>
    <row r="4743" spans="1:12" s="692" customFormat="1" ht="16.5" hidden="1">
      <c r="A4743" s="1665"/>
      <c r="B4743" s="1666"/>
      <c r="C4743" s="688"/>
      <c r="D4743" s="1667"/>
      <c r="E4743" s="1671">
        <v>3.5</v>
      </c>
      <c r="F4743" s="1668"/>
      <c r="G4743" s="1671">
        <v>4</v>
      </c>
      <c r="H4743" s="1671">
        <f t="shared" ref="H4743:H4748" si="818">ROUND(D4743*E4743*G4743,2)</f>
        <v>0</v>
      </c>
      <c r="I4743" s="688" t="s">
        <v>92</v>
      </c>
      <c r="J4743" s="1668"/>
      <c r="K4743" s="1668"/>
      <c r="L4743" s="1669"/>
    </row>
    <row r="4744" spans="1:12" s="692" customFormat="1" ht="16.5" hidden="1">
      <c r="A4744" s="1665"/>
      <c r="B4744" s="1666"/>
      <c r="C4744" s="688"/>
      <c r="D4744" s="1667"/>
      <c r="E4744" s="1671">
        <v>3.5</v>
      </c>
      <c r="F4744" s="1668"/>
      <c r="G4744" s="1671">
        <v>4</v>
      </c>
      <c r="H4744" s="1671">
        <f t="shared" si="818"/>
        <v>0</v>
      </c>
      <c r="I4744" s="688" t="s">
        <v>92</v>
      </c>
      <c r="J4744" s="1668"/>
      <c r="K4744" s="1668"/>
      <c r="L4744" s="1669"/>
    </row>
    <row r="4745" spans="1:12" s="692" customFormat="1" ht="16.5" hidden="1">
      <c r="A4745" s="1665"/>
      <c r="B4745" s="1666"/>
      <c r="C4745" s="688"/>
      <c r="D4745" s="1667"/>
      <c r="E4745" s="1671">
        <v>3.5</v>
      </c>
      <c r="F4745" s="1668"/>
      <c r="G4745" s="1671">
        <v>4</v>
      </c>
      <c r="H4745" s="1671">
        <f t="shared" si="818"/>
        <v>0</v>
      </c>
      <c r="I4745" s="688" t="s">
        <v>92</v>
      </c>
      <c r="J4745" s="1668"/>
      <c r="K4745" s="1668"/>
      <c r="L4745" s="1669"/>
    </row>
    <row r="4746" spans="1:12" s="692" customFormat="1" ht="16.5" hidden="1">
      <c r="A4746" s="1665"/>
      <c r="B4746" s="1666"/>
      <c r="C4746" s="688"/>
      <c r="D4746" s="1667"/>
      <c r="E4746" s="1671">
        <v>3.5</v>
      </c>
      <c r="F4746" s="1668"/>
      <c r="G4746" s="1671">
        <v>4</v>
      </c>
      <c r="H4746" s="1671">
        <f t="shared" si="818"/>
        <v>0</v>
      </c>
      <c r="I4746" s="688" t="s">
        <v>92</v>
      </c>
      <c r="J4746" s="1668"/>
      <c r="K4746" s="1668"/>
      <c r="L4746" s="1669"/>
    </row>
    <row r="4747" spans="1:12" s="692" customFormat="1" ht="16.5" hidden="1">
      <c r="A4747" s="1665"/>
      <c r="B4747" s="1666"/>
      <c r="C4747" s="688"/>
      <c r="D4747" s="1667"/>
      <c r="E4747" s="1671">
        <v>3.5</v>
      </c>
      <c r="F4747" s="1668"/>
      <c r="G4747" s="1671">
        <v>4</v>
      </c>
      <c r="H4747" s="1671">
        <f t="shared" si="818"/>
        <v>0</v>
      </c>
      <c r="I4747" s="688" t="s">
        <v>92</v>
      </c>
      <c r="J4747" s="1668"/>
      <c r="K4747" s="1668"/>
      <c r="L4747" s="1669"/>
    </row>
    <row r="4748" spans="1:12" s="692" customFormat="1" ht="16.5" hidden="1">
      <c r="A4748" s="1665"/>
      <c r="B4748" s="1666"/>
      <c r="C4748" s="688"/>
      <c r="D4748" s="1667"/>
      <c r="E4748" s="1671">
        <v>3.5</v>
      </c>
      <c r="F4748" s="1668"/>
      <c r="G4748" s="1671">
        <v>4</v>
      </c>
      <c r="H4748" s="1671">
        <f t="shared" si="818"/>
        <v>0</v>
      </c>
      <c r="I4748" s="688" t="s">
        <v>92</v>
      </c>
      <c r="J4748" s="1668"/>
      <c r="K4748" s="1668"/>
      <c r="L4748" s="1669"/>
    </row>
    <row r="4749" spans="1:12" s="692" customFormat="1" ht="16.5" hidden="1">
      <c r="A4749" s="1665"/>
      <c r="B4749" s="1666"/>
      <c r="C4749" s="688"/>
      <c r="D4749" s="1667"/>
      <c r="E4749" s="688"/>
      <c r="F4749" s="688"/>
      <c r="G4749" s="1674" t="s">
        <v>928</v>
      </c>
      <c r="H4749" s="1671">
        <f>SUM(H4743:H4748)</f>
        <v>0</v>
      </c>
      <c r="I4749" s="1668" t="s">
        <v>92</v>
      </c>
      <c r="J4749" s="1669">
        <f>'Lead &amp; ANALYSIS'!L920</f>
        <v>35.700000000000003</v>
      </c>
      <c r="K4749" s="1668" t="s">
        <v>1514</v>
      </c>
      <c r="L4749" s="1669">
        <f t="shared" ref="L4749" si="819">ROUND(H4749*J4749,0)</f>
        <v>0</v>
      </c>
    </row>
    <row r="4750" spans="1:12" s="692" customFormat="1" ht="16.5" hidden="1">
      <c r="A4750" s="1693" t="str">
        <f>'Lead &amp; ANALYSIS'!A921</f>
        <v>(iii)</v>
      </c>
      <c r="B4750" s="1666" t="str">
        <f>'Lead &amp; ANALYSIS'!B921</f>
        <v>2nd Floor</v>
      </c>
      <c r="C4750" s="688"/>
      <c r="D4750" s="1667"/>
      <c r="E4750" s="688"/>
      <c r="F4750" s="688"/>
      <c r="G4750" s="1674"/>
      <c r="H4750" s="688"/>
      <c r="I4750" s="1668"/>
      <c r="J4750" s="1668"/>
      <c r="K4750" s="1668"/>
      <c r="L4750" s="1669"/>
    </row>
    <row r="4751" spans="1:12" s="692" customFormat="1" ht="16.5" hidden="1">
      <c r="A4751" s="1665"/>
      <c r="B4751" s="1666"/>
      <c r="C4751" s="688"/>
      <c r="D4751" s="1667"/>
      <c r="E4751" s="1671">
        <v>3.5</v>
      </c>
      <c r="F4751" s="1668"/>
      <c r="G4751" s="1671">
        <v>4</v>
      </c>
      <c r="H4751" s="1671">
        <f t="shared" ref="H4751:H4756" si="820">ROUND(D4751*E4751*G4751,2)</f>
        <v>0</v>
      </c>
      <c r="I4751" s="688" t="s">
        <v>92</v>
      </c>
      <c r="J4751" s="1668"/>
      <c r="K4751" s="1668"/>
      <c r="L4751" s="1669"/>
    </row>
    <row r="4752" spans="1:12" s="692" customFormat="1" ht="16.5" hidden="1">
      <c r="A4752" s="1665"/>
      <c r="B4752" s="1666"/>
      <c r="C4752" s="688"/>
      <c r="D4752" s="1667"/>
      <c r="E4752" s="1671">
        <v>3.5</v>
      </c>
      <c r="F4752" s="1668"/>
      <c r="G4752" s="1671">
        <v>4</v>
      </c>
      <c r="H4752" s="1671">
        <f t="shared" si="820"/>
        <v>0</v>
      </c>
      <c r="I4752" s="688" t="s">
        <v>92</v>
      </c>
      <c r="J4752" s="1668"/>
      <c r="K4752" s="1668"/>
      <c r="L4752" s="1669"/>
    </row>
    <row r="4753" spans="1:12" s="692" customFormat="1" ht="16.5" hidden="1">
      <c r="A4753" s="1665"/>
      <c r="B4753" s="1666"/>
      <c r="C4753" s="688"/>
      <c r="D4753" s="1667"/>
      <c r="E4753" s="1671">
        <v>3.5</v>
      </c>
      <c r="F4753" s="1668"/>
      <c r="G4753" s="1671">
        <v>4</v>
      </c>
      <c r="H4753" s="1671">
        <f t="shared" si="820"/>
        <v>0</v>
      </c>
      <c r="I4753" s="688" t="s">
        <v>92</v>
      </c>
      <c r="J4753" s="1668"/>
      <c r="K4753" s="1668"/>
      <c r="L4753" s="1669"/>
    </row>
    <row r="4754" spans="1:12" s="692" customFormat="1" ht="16.5" hidden="1">
      <c r="A4754" s="1665"/>
      <c r="B4754" s="1666"/>
      <c r="C4754" s="688"/>
      <c r="D4754" s="1667"/>
      <c r="E4754" s="1671">
        <v>3.5</v>
      </c>
      <c r="F4754" s="1668"/>
      <c r="G4754" s="1671">
        <v>4</v>
      </c>
      <c r="H4754" s="1671">
        <f t="shared" si="820"/>
        <v>0</v>
      </c>
      <c r="I4754" s="688" t="s">
        <v>92</v>
      </c>
      <c r="J4754" s="1668"/>
      <c r="K4754" s="1668"/>
      <c r="L4754" s="1669"/>
    </row>
    <row r="4755" spans="1:12" s="692" customFormat="1" ht="16.5" hidden="1">
      <c r="A4755" s="1665"/>
      <c r="B4755" s="1666"/>
      <c r="C4755" s="688"/>
      <c r="D4755" s="1667"/>
      <c r="E4755" s="1671">
        <v>3.5</v>
      </c>
      <c r="F4755" s="1668"/>
      <c r="G4755" s="1671">
        <v>4</v>
      </c>
      <c r="H4755" s="1671">
        <f t="shared" si="820"/>
        <v>0</v>
      </c>
      <c r="I4755" s="688" t="s">
        <v>92</v>
      </c>
      <c r="J4755" s="1668"/>
      <c r="K4755" s="1668"/>
      <c r="L4755" s="1669"/>
    </row>
    <row r="4756" spans="1:12" s="692" customFormat="1" ht="16.5" hidden="1">
      <c r="A4756" s="1665"/>
      <c r="B4756" s="1666"/>
      <c r="C4756" s="688"/>
      <c r="D4756" s="1667"/>
      <c r="E4756" s="1671">
        <v>3.5</v>
      </c>
      <c r="F4756" s="1668"/>
      <c r="G4756" s="1671">
        <v>4</v>
      </c>
      <c r="H4756" s="1671">
        <f t="shared" si="820"/>
        <v>0</v>
      </c>
      <c r="I4756" s="688" t="s">
        <v>92</v>
      </c>
      <c r="J4756" s="1668"/>
      <c r="K4756" s="1668"/>
      <c r="L4756" s="1669"/>
    </row>
    <row r="4757" spans="1:12" s="692" customFormat="1" ht="16.5" hidden="1">
      <c r="A4757" s="1665"/>
      <c r="B4757" s="1666"/>
      <c r="C4757" s="688"/>
      <c r="D4757" s="1667"/>
      <c r="E4757" s="688"/>
      <c r="F4757" s="688"/>
      <c r="G4757" s="1674" t="s">
        <v>928</v>
      </c>
      <c r="H4757" s="1671">
        <f>SUM(H4751:H4756)</f>
        <v>0</v>
      </c>
      <c r="I4757" s="1668" t="s">
        <v>92</v>
      </c>
      <c r="J4757" s="1669">
        <f>'Lead &amp; ANALYSIS'!L921</f>
        <v>36.700000000000003</v>
      </c>
      <c r="K4757" s="1668" t="s">
        <v>1514</v>
      </c>
      <c r="L4757" s="1669">
        <f t="shared" ref="L4757" si="821">ROUND(H4757*J4757,0)</f>
        <v>0</v>
      </c>
    </row>
    <row r="4758" spans="1:12" s="692" customFormat="1" ht="16.5" hidden="1">
      <c r="A4758" s="1693" t="str">
        <f>'Lead &amp; ANALYSIS'!A922</f>
        <v>(iv)</v>
      </c>
      <c r="B4758" s="1666" t="str">
        <f>'Lead &amp; ANALYSIS'!B922</f>
        <v>3rd Floor</v>
      </c>
      <c r="C4758" s="688"/>
      <c r="D4758" s="1667"/>
      <c r="E4758" s="688"/>
      <c r="F4758" s="688"/>
      <c r="G4758" s="1674"/>
      <c r="H4758" s="688"/>
      <c r="I4758" s="1668"/>
      <c r="J4758" s="1668"/>
      <c r="K4758" s="1668"/>
      <c r="L4758" s="1669"/>
    </row>
    <row r="4759" spans="1:12" s="692" customFormat="1" ht="16.5" hidden="1">
      <c r="A4759" s="1665"/>
      <c r="B4759" s="1666"/>
      <c r="C4759" s="688"/>
      <c r="D4759" s="1667"/>
      <c r="E4759" s="1671">
        <v>3.5</v>
      </c>
      <c r="F4759" s="1668"/>
      <c r="G4759" s="1671">
        <v>4</v>
      </c>
      <c r="H4759" s="1671">
        <f t="shared" ref="H4759:H4764" si="822">ROUND(D4759*E4759*G4759,2)</f>
        <v>0</v>
      </c>
      <c r="I4759" s="688" t="s">
        <v>92</v>
      </c>
      <c r="J4759" s="1668"/>
      <c r="K4759" s="1668"/>
      <c r="L4759" s="1669"/>
    </row>
    <row r="4760" spans="1:12" s="692" customFormat="1" ht="16.5" hidden="1">
      <c r="A4760" s="1665"/>
      <c r="B4760" s="1666"/>
      <c r="C4760" s="688"/>
      <c r="D4760" s="1667"/>
      <c r="E4760" s="1671">
        <v>3.5</v>
      </c>
      <c r="F4760" s="1668"/>
      <c r="G4760" s="1671">
        <v>4</v>
      </c>
      <c r="H4760" s="1671">
        <f t="shared" si="822"/>
        <v>0</v>
      </c>
      <c r="I4760" s="688" t="s">
        <v>92</v>
      </c>
      <c r="J4760" s="1668"/>
      <c r="K4760" s="1668"/>
      <c r="L4760" s="1669"/>
    </row>
    <row r="4761" spans="1:12" s="692" customFormat="1" ht="16.5" hidden="1">
      <c r="A4761" s="1665"/>
      <c r="B4761" s="1666"/>
      <c r="C4761" s="688"/>
      <c r="D4761" s="1667"/>
      <c r="E4761" s="1671">
        <v>3.5</v>
      </c>
      <c r="F4761" s="1668"/>
      <c r="G4761" s="1671">
        <v>4</v>
      </c>
      <c r="H4761" s="1671">
        <f t="shared" si="822"/>
        <v>0</v>
      </c>
      <c r="I4761" s="688" t="s">
        <v>92</v>
      </c>
      <c r="J4761" s="1668"/>
      <c r="K4761" s="1668"/>
      <c r="L4761" s="1669"/>
    </row>
    <row r="4762" spans="1:12" s="692" customFormat="1" ht="16.5" hidden="1">
      <c r="A4762" s="1665"/>
      <c r="B4762" s="1666"/>
      <c r="C4762" s="688"/>
      <c r="D4762" s="1667"/>
      <c r="E4762" s="1671">
        <v>3.5</v>
      </c>
      <c r="F4762" s="1668"/>
      <c r="G4762" s="1671">
        <v>4</v>
      </c>
      <c r="H4762" s="1671">
        <f t="shared" si="822"/>
        <v>0</v>
      </c>
      <c r="I4762" s="688" t="s">
        <v>92</v>
      </c>
      <c r="J4762" s="1668"/>
      <c r="K4762" s="1668"/>
      <c r="L4762" s="1669"/>
    </row>
    <row r="4763" spans="1:12" s="692" customFormat="1" ht="16.5" hidden="1">
      <c r="A4763" s="1665"/>
      <c r="B4763" s="1666"/>
      <c r="C4763" s="688"/>
      <c r="D4763" s="1667"/>
      <c r="E4763" s="1671">
        <v>3.5</v>
      </c>
      <c r="F4763" s="1668"/>
      <c r="G4763" s="1671">
        <v>4</v>
      </c>
      <c r="H4763" s="1671">
        <f t="shared" si="822"/>
        <v>0</v>
      </c>
      <c r="I4763" s="688" t="s">
        <v>92</v>
      </c>
      <c r="J4763" s="1668"/>
      <c r="K4763" s="1668"/>
      <c r="L4763" s="1669"/>
    </row>
    <row r="4764" spans="1:12" s="692" customFormat="1" ht="16.5" hidden="1">
      <c r="A4764" s="1665"/>
      <c r="B4764" s="1666"/>
      <c r="C4764" s="688"/>
      <c r="D4764" s="1667"/>
      <c r="E4764" s="1671">
        <v>3.5</v>
      </c>
      <c r="F4764" s="1668"/>
      <c r="G4764" s="1671">
        <v>4</v>
      </c>
      <c r="H4764" s="1671">
        <f t="shared" si="822"/>
        <v>0</v>
      </c>
      <c r="I4764" s="688" t="s">
        <v>92</v>
      </c>
      <c r="J4764" s="1668"/>
      <c r="K4764" s="1668"/>
      <c r="L4764" s="1669"/>
    </row>
    <row r="4765" spans="1:12" s="692" customFormat="1" ht="16.5" hidden="1">
      <c r="A4765" s="1665"/>
      <c r="B4765" s="1666"/>
      <c r="C4765" s="688"/>
      <c r="D4765" s="1667"/>
      <c r="E4765" s="688"/>
      <c r="F4765" s="688"/>
      <c r="G4765" s="1674" t="s">
        <v>928</v>
      </c>
      <c r="H4765" s="1671">
        <f>SUM(H4759:H4764)</f>
        <v>0</v>
      </c>
      <c r="I4765" s="1668" t="s">
        <v>92</v>
      </c>
      <c r="J4765" s="1669">
        <f>'Lead &amp; ANALYSIS'!L922</f>
        <v>37.700000000000003</v>
      </c>
      <c r="K4765" s="1668" t="s">
        <v>1514</v>
      </c>
      <c r="L4765" s="1669">
        <f t="shared" ref="L4765" si="823">ROUND(H4765*J4765,0)</f>
        <v>0</v>
      </c>
    </row>
    <row r="4766" spans="1:12" s="692" customFormat="1" ht="99" hidden="1">
      <c r="A4766" s="1665">
        <f>'Lead &amp; ANALYSIS'!A923</f>
        <v>117</v>
      </c>
      <c r="B4766" s="1666" t="str">
        <f>'Lead &amp; ANALYSIS'!B923</f>
        <v xml:space="preserve">Finishing plastered surfaces two coats with water proofing cement paint of approved shade on new work  in all floors, all heights with staging wherever necessary  etc. required for the work complete in all respect as per the direction of the Engineer-in-charge. </v>
      </c>
      <c r="C4766" s="688"/>
      <c r="D4766" s="1667"/>
      <c r="E4766" s="688"/>
      <c r="F4766" s="688"/>
      <c r="G4766" s="1674"/>
      <c r="H4766" s="688"/>
      <c r="I4766" s="1668"/>
      <c r="J4766" s="1668"/>
      <c r="K4766" s="1668"/>
      <c r="L4766" s="1669"/>
    </row>
    <row r="4767" spans="1:12" s="692" customFormat="1" ht="16.5" hidden="1">
      <c r="A4767" s="1665" t="str">
        <f>'Lead &amp; ANALYSIS'!A924</f>
        <v>A)</v>
      </c>
      <c r="B4767" s="1666" t="str">
        <f>'Lead &amp; ANALYSIS'!B924</f>
        <v>Inside Surface</v>
      </c>
      <c r="C4767" s="688"/>
      <c r="D4767" s="1667"/>
      <c r="E4767" s="688"/>
      <c r="F4767" s="688"/>
      <c r="G4767" s="1674"/>
      <c r="H4767" s="688"/>
      <c r="I4767" s="1668"/>
      <c r="J4767" s="1668"/>
      <c r="K4767" s="1668"/>
      <c r="L4767" s="1669"/>
    </row>
    <row r="4768" spans="1:12" s="692" customFormat="1" ht="16.5" hidden="1">
      <c r="A4768" s="1665" t="str">
        <f>'Lead &amp; ANALYSIS'!A925</f>
        <v>(i)</v>
      </c>
      <c r="B4768" s="1666" t="str">
        <f>'Lead &amp; ANALYSIS'!B925</f>
        <v>Ground Floor</v>
      </c>
      <c r="C4768" s="688"/>
      <c r="D4768" s="1667"/>
      <c r="E4768" s="688"/>
      <c r="F4768" s="688"/>
      <c r="G4768" s="1674"/>
      <c r="H4768" s="688"/>
      <c r="I4768" s="1668"/>
      <c r="J4768" s="1668"/>
      <c r="K4768" s="1668"/>
      <c r="L4768" s="1669"/>
    </row>
    <row r="4769" spans="1:12" s="692" customFormat="1" ht="16.5" hidden="1">
      <c r="A4769" s="1665"/>
      <c r="B4769" s="1666"/>
      <c r="C4769" s="688"/>
      <c r="D4769" s="1667"/>
      <c r="E4769" s="1671">
        <v>3.5</v>
      </c>
      <c r="F4769" s="1668"/>
      <c r="G4769" s="1671">
        <v>4</v>
      </c>
      <c r="H4769" s="1671">
        <f t="shared" ref="H4769:H4774" si="824">ROUND(D4769*E4769*G4769,2)</f>
        <v>0</v>
      </c>
      <c r="I4769" s="688" t="s">
        <v>92</v>
      </c>
      <c r="J4769" s="1668"/>
      <c r="K4769" s="1668"/>
      <c r="L4769" s="1669"/>
    </row>
    <row r="4770" spans="1:12" s="692" customFormat="1" ht="16.5" hidden="1">
      <c r="A4770" s="1665"/>
      <c r="B4770" s="1666"/>
      <c r="C4770" s="688"/>
      <c r="D4770" s="1667"/>
      <c r="E4770" s="1671">
        <v>3.5</v>
      </c>
      <c r="F4770" s="1668"/>
      <c r="G4770" s="1671">
        <v>4</v>
      </c>
      <c r="H4770" s="1671">
        <f t="shared" si="824"/>
        <v>0</v>
      </c>
      <c r="I4770" s="688" t="s">
        <v>92</v>
      </c>
      <c r="J4770" s="1668"/>
      <c r="K4770" s="1668"/>
      <c r="L4770" s="1669"/>
    </row>
    <row r="4771" spans="1:12" s="692" customFormat="1" ht="16.5" hidden="1">
      <c r="A4771" s="1665"/>
      <c r="B4771" s="1666"/>
      <c r="C4771" s="688"/>
      <c r="D4771" s="1667"/>
      <c r="E4771" s="1671">
        <v>3.5</v>
      </c>
      <c r="F4771" s="1668"/>
      <c r="G4771" s="1671">
        <v>4</v>
      </c>
      <c r="H4771" s="1671">
        <f t="shared" si="824"/>
        <v>0</v>
      </c>
      <c r="I4771" s="688" t="s">
        <v>92</v>
      </c>
      <c r="J4771" s="1668"/>
      <c r="K4771" s="1668"/>
      <c r="L4771" s="1669"/>
    </row>
    <row r="4772" spans="1:12" s="692" customFormat="1" ht="16.5" hidden="1">
      <c r="A4772" s="1665"/>
      <c r="B4772" s="1666"/>
      <c r="C4772" s="688"/>
      <c r="D4772" s="1667"/>
      <c r="E4772" s="1671">
        <v>3.5</v>
      </c>
      <c r="F4772" s="1668"/>
      <c r="G4772" s="1671">
        <v>4</v>
      </c>
      <c r="H4772" s="1671">
        <f t="shared" si="824"/>
        <v>0</v>
      </c>
      <c r="I4772" s="688" t="s">
        <v>92</v>
      </c>
      <c r="J4772" s="1668"/>
      <c r="K4772" s="1668"/>
      <c r="L4772" s="1669"/>
    </row>
    <row r="4773" spans="1:12" s="692" customFormat="1" ht="16.5" hidden="1">
      <c r="A4773" s="1665"/>
      <c r="B4773" s="1666"/>
      <c r="C4773" s="688"/>
      <c r="D4773" s="1667"/>
      <c r="E4773" s="1671">
        <v>3.5</v>
      </c>
      <c r="F4773" s="1668"/>
      <c r="G4773" s="1671">
        <v>4</v>
      </c>
      <c r="H4773" s="1671">
        <f t="shared" si="824"/>
        <v>0</v>
      </c>
      <c r="I4773" s="688" t="s">
        <v>92</v>
      </c>
      <c r="J4773" s="1668"/>
      <c r="K4773" s="1668"/>
      <c r="L4773" s="1669"/>
    </row>
    <row r="4774" spans="1:12" s="692" customFormat="1" ht="16.5" hidden="1">
      <c r="A4774" s="1665"/>
      <c r="B4774" s="1666"/>
      <c r="C4774" s="688"/>
      <c r="D4774" s="1667"/>
      <c r="E4774" s="1671">
        <v>3.5</v>
      </c>
      <c r="F4774" s="1668"/>
      <c r="G4774" s="1671">
        <v>4</v>
      </c>
      <c r="H4774" s="1671">
        <f t="shared" si="824"/>
        <v>0</v>
      </c>
      <c r="I4774" s="688" t="s">
        <v>92</v>
      </c>
      <c r="J4774" s="1668"/>
      <c r="K4774" s="1668"/>
      <c r="L4774" s="1669"/>
    </row>
    <row r="4775" spans="1:12" s="692" customFormat="1" ht="16.5" hidden="1">
      <c r="A4775" s="1665"/>
      <c r="B4775" s="1666"/>
      <c r="C4775" s="688"/>
      <c r="D4775" s="1667"/>
      <c r="E4775" s="688"/>
      <c r="F4775" s="688"/>
      <c r="G4775" s="1674" t="s">
        <v>928</v>
      </c>
      <c r="H4775" s="1671">
        <f>SUM(H4769:H4774)</f>
        <v>0</v>
      </c>
      <c r="I4775" s="1668" t="s">
        <v>92</v>
      </c>
      <c r="J4775" s="1669">
        <f>'Lead &amp; ANALYSIS'!L925</f>
        <v>39.5</v>
      </c>
      <c r="K4775" s="1668" t="s">
        <v>1514</v>
      </c>
      <c r="L4775" s="1669">
        <f t="shared" ref="L4775" si="825">ROUND(H4775*J4775,0)</f>
        <v>0</v>
      </c>
    </row>
    <row r="4776" spans="1:12" s="692" customFormat="1" ht="16.5" hidden="1">
      <c r="A4776" s="1665" t="str">
        <f>'Lead &amp; ANALYSIS'!A926</f>
        <v>(ii)</v>
      </c>
      <c r="B4776" s="1666" t="str">
        <f>'Lead &amp; ANALYSIS'!B926</f>
        <v>First Floor</v>
      </c>
      <c r="C4776" s="688"/>
      <c r="D4776" s="1667"/>
      <c r="E4776" s="688"/>
      <c r="F4776" s="688"/>
      <c r="G4776" s="1674"/>
      <c r="H4776" s="688"/>
      <c r="I4776" s="1668"/>
      <c r="J4776" s="1668"/>
      <c r="K4776" s="1668"/>
      <c r="L4776" s="1669"/>
    </row>
    <row r="4777" spans="1:12" s="692" customFormat="1" ht="16.5" hidden="1">
      <c r="A4777" s="1665"/>
      <c r="B4777" s="1666"/>
      <c r="C4777" s="688"/>
      <c r="D4777" s="1667"/>
      <c r="E4777" s="1671">
        <v>3.5</v>
      </c>
      <c r="F4777" s="1668"/>
      <c r="G4777" s="1671">
        <v>4</v>
      </c>
      <c r="H4777" s="1671">
        <f t="shared" ref="H4777:H4782" si="826">ROUND(D4777*E4777*G4777,2)</f>
        <v>0</v>
      </c>
      <c r="I4777" s="688" t="s">
        <v>92</v>
      </c>
      <c r="J4777" s="1668"/>
      <c r="K4777" s="1668"/>
      <c r="L4777" s="1669"/>
    </row>
    <row r="4778" spans="1:12" s="692" customFormat="1" ht="16.5" hidden="1">
      <c r="A4778" s="1665"/>
      <c r="B4778" s="1666"/>
      <c r="C4778" s="688"/>
      <c r="D4778" s="1667"/>
      <c r="E4778" s="1671">
        <v>3.5</v>
      </c>
      <c r="F4778" s="1668"/>
      <c r="G4778" s="1671">
        <v>4</v>
      </c>
      <c r="H4778" s="1671">
        <f t="shared" si="826"/>
        <v>0</v>
      </c>
      <c r="I4778" s="688" t="s">
        <v>92</v>
      </c>
      <c r="J4778" s="1668"/>
      <c r="K4778" s="1668"/>
      <c r="L4778" s="1669"/>
    </row>
    <row r="4779" spans="1:12" s="692" customFormat="1" ht="16.5" hidden="1">
      <c r="A4779" s="1665"/>
      <c r="B4779" s="1666"/>
      <c r="C4779" s="688"/>
      <c r="D4779" s="1667"/>
      <c r="E4779" s="1671">
        <v>3.5</v>
      </c>
      <c r="F4779" s="1668"/>
      <c r="G4779" s="1671">
        <v>4</v>
      </c>
      <c r="H4779" s="1671">
        <f t="shared" si="826"/>
        <v>0</v>
      </c>
      <c r="I4779" s="688" t="s">
        <v>92</v>
      </c>
      <c r="J4779" s="1668"/>
      <c r="K4779" s="1668"/>
      <c r="L4779" s="1669"/>
    </row>
    <row r="4780" spans="1:12" s="692" customFormat="1" ht="16.5" hidden="1">
      <c r="A4780" s="1665"/>
      <c r="B4780" s="1666"/>
      <c r="C4780" s="688"/>
      <c r="D4780" s="1667"/>
      <c r="E4780" s="1671">
        <v>3.5</v>
      </c>
      <c r="F4780" s="1668"/>
      <c r="G4780" s="1671">
        <v>4</v>
      </c>
      <c r="H4780" s="1671">
        <f t="shared" si="826"/>
        <v>0</v>
      </c>
      <c r="I4780" s="688" t="s">
        <v>92</v>
      </c>
      <c r="J4780" s="1668"/>
      <c r="K4780" s="1668"/>
      <c r="L4780" s="1669"/>
    </row>
    <row r="4781" spans="1:12" s="692" customFormat="1" ht="16.5" hidden="1">
      <c r="A4781" s="1665"/>
      <c r="B4781" s="1666"/>
      <c r="C4781" s="688"/>
      <c r="D4781" s="1667"/>
      <c r="E4781" s="1671">
        <v>3.5</v>
      </c>
      <c r="F4781" s="1668"/>
      <c r="G4781" s="1671">
        <v>4</v>
      </c>
      <c r="H4781" s="1671">
        <f t="shared" si="826"/>
        <v>0</v>
      </c>
      <c r="I4781" s="688" t="s">
        <v>92</v>
      </c>
      <c r="J4781" s="1668"/>
      <c r="K4781" s="1668"/>
      <c r="L4781" s="1669"/>
    </row>
    <row r="4782" spans="1:12" s="692" customFormat="1" ht="16.5" hidden="1">
      <c r="A4782" s="1665"/>
      <c r="B4782" s="1666"/>
      <c r="C4782" s="688"/>
      <c r="D4782" s="1667"/>
      <c r="E4782" s="1671">
        <v>3.5</v>
      </c>
      <c r="F4782" s="1668"/>
      <c r="G4782" s="1671">
        <v>4</v>
      </c>
      <c r="H4782" s="1671">
        <f t="shared" si="826"/>
        <v>0</v>
      </c>
      <c r="I4782" s="688" t="s">
        <v>92</v>
      </c>
      <c r="J4782" s="1668"/>
      <c r="K4782" s="1668"/>
      <c r="L4782" s="1669"/>
    </row>
    <row r="4783" spans="1:12" s="692" customFormat="1" ht="16.5" hidden="1">
      <c r="A4783" s="1665"/>
      <c r="B4783" s="1666"/>
      <c r="C4783" s="688"/>
      <c r="D4783" s="1667"/>
      <c r="E4783" s="688"/>
      <c r="F4783" s="688"/>
      <c r="G4783" s="1674" t="s">
        <v>928</v>
      </c>
      <c r="H4783" s="1671">
        <f>SUM(H4777:H4782)</f>
        <v>0</v>
      </c>
      <c r="I4783" s="1668" t="s">
        <v>92</v>
      </c>
      <c r="J4783" s="1669">
        <f>'Lead &amp; ANALYSIS'!L926</f>
        <v>40.299999999999997</v>
      </c>
      <c r="K4783" s="1668" t="s">
        <v>1514</v>
      </c>
      <c r="L4783" s="1669">
        <f t="shared" ref="L4783" si="827">ROUND(H4783*J4783,0)</f>
        <v>0</v>
      </c>
    </row>
    <row r="4784" spans="1:12" s="692" customFormat="1" ht="16.5" hidden="1">
      <c r="A4784" s="1693" t="str">
        <f>'Lead &amp; ANALYSIS'!A927</f>
        <v>(iii)</v>
      </c>
      <c r="B4784" s="1666" t="str">
        <f>'Lead &amp; ANALYSIS'!B927</f>
        <v>2nd Floor</v>
      </c>
      <c r="C4784" s="688"/>
      <c r="D4784" s="1667"/>
      <c r="E4784" s="688"/>
      <c r="F4784" s="688"/>
      <c r="G4784" s="1674"/>
      <c r="H4784" s="688"/>
      <c r="I4784" s="1668"/>
      <c r="J4784" s="1668"/>
      <c r="K4784" s="1668"/>
      <c r="L4784" s="1669"/>
    </row>
    <row r="4785" spans="1:12" s="692" customFormat="1" ht="16.5" hidden="1">
      <c r="A4785" s="1665"/>
      <c r="B4785" s="1666"/>
      <c r="C4785" s="688"/>
      <c r="D4785" s="1667"/>
      <c r="E4785" s="1671">
        <v>3.5</v>
      </c>
      <c r="F4785" s="1668"/>
      <c r="G4785" s="1671">
        <v>4</v>
      </c>
      <c r="H4785" s="1671">
        <f t="shared" ref="H4785:H4790" si="828">ROUND(D4785*E4785*G4785,2)</f>
        <v>0</v>
      </c>
      <c r="I4785" s="688" t="s">
        <v>92</v>
      </c>
      <c r="J4785" s="1668"/>
      <c r="K4785" s="1668"/>
      <c r="L4785" s="1669"/>
    </row>
    <row r="4786" spans="1:12" s="692" customFormat="1" ht="16.5" hidden="1">
      <c r="A4786" s="1665"/>
      <c r="B4786" s="1666"/>
      <c r="C4786" s="688"/>
      <c r="D4786" s="1667"/>
      <c r="E4786" s="1671">
        <v>3.5</v>
      </c>
      <c r="F4786" s="1668"/>
      <c r="G4786" s="1671">
        <v>4</v>
      </c>
      <c r="H4786" s="1671">
        <f t="shared" si="828"/>
        <v>0</v>
      </c>
      <c r="I4786" s="688" t="s">
        <v>92</v>
      </c>
      <c r="J4786" s="1668"/>
      <c r="K4786" s="1668"/>
      <c r="L4786" s="1669"/>
    </row>
    <row r="4787" spans="1:12" s="692" customFormat="1" ht="16.5" hidden="1">
      <c r="A4787" s="1665"/>
      <c r="B4787" s="1666"/>
      <c r="C4787" s="688"/>
      <c r="D4787" s="1667"/>
      <c r="E4787" s="1671">
        <v>3.5</v>
      </c>
      <c r="F4787" s="1668"/>
      <c r="G4787" s="1671">
        <v>4</v>
      </c>
      <c r="H4787" s="1671">
        <f t="shared" si="828"/>
        <v>0</v>
      </c>
      <c r="I4787" s="688" t="s">
        <v>92</v>
      </c>
      <c r="J4787" s="1668"/>
      <c r="K4787" s="1668"/>
      <c r="L4787" s="1669"/>
    </row>
    <row r="4788" spans="1:12" s="692" customFormat="1" ht="16.5" hidden="1">
      <c r="A4788" s="1665"/>
      <c r="B4788" s="1666"/>
      <c r="C4788" s="688"/>
      <c r="D4788" s="1667"/>
      <c r="E4788" s="1671">
        <v>3.5</v>
      </c>
      <c r="F4788" s="1668"/>
      <c r="G4788" s="1671">
        <v>4</v>
      </c>
      <c r="H4788" s="1671">
        <f t="shared" si="828"/>
        <v>0</v>
      </c>
      <c r="I4788" s="688" t="s">
        <v>92</v>
      </c>
      <c r="J4788" s="1668"/>
      <c r="K4788" s="1668"/>
      <c r="L4788" s="1669"/>
    </row>
    <row r="4789" spans="1:12" s="692" customFormat="1" ht="16.5" hidden="1">
      <c r="A4789" s="1665"/>
      <c r="B4789" s="1666"/>
      <c r="C4789" s="688"/>
      <c r="D4789" s="1667"/>
      <c r="E4789" s="1671">
        <v>3.5</v>
      </c>
      <c r="F4789" s="1668"/>
      <c r="G4789" s="1671">
        <v>4</v>
      </c>
      <c r="H4789" s="1671">
        <f t="shared" si="828"/>
        <v>0</v>
      </c>
      <c r="I4789" s="688" t="s">
        <v>92</v>
      </c>
      <c r="J4789" s="1668"/>
      <c r="K4789" s="1668"/>
      <c r="L4789" s="1669"/>
    </row>
    <row r="4790" spans="1:12" s="692" customFormat="1" ht="16.5" hidden="1">
      <c r="A4790" s="1665"/>
      <c r="B4790" s="1666"/>
      <c r="C4790" s="688"/>
      <c r="D4790" s="1667"/>
      <c r="E4790" s="1671">
        <v>3.5</v>
      </c>
      <c r="F4790" s="1668"/>
      <c r="G4790" s="1671">
        <v>4</v>
      </c>
      <c r="H4790" s="1671">
        <f t="shared" si="828"/>
        <v>0</v>
      </c>
      <c r="I4790" s="688" t="s">
        <v>92</v>
      </c>
      <c r="J4790" s="1668"/>
      <c r="K4790" s="1668"/>
      <c r="L4790" s="1669"/>
    </row>
    <row r="4791" spans="1:12" s="692" customFormat="1" ht="16.5" hidden="1">
      <c r="A4791" s="1665"/>
      <c r="B4791" s="1666"/>
      <c r="C4791" s="688"/>
      <c r="D4791" s="1667"/>
      <c r="E4791" s="688"/>
      <c r="F4791" s="688"/>
      <c r="G4791" s="1674" t="s">
        <v>928</v>
      </c>
      <c r="H4791" s="1671">
        <f>SUM(H4785:H4790)</f>
        <v>0</v>
      </c>
      <c r="I4791" s="1668" t="s">
        <v>92</v>
      </c>
      <c r="J4791" s="1669">
        <f>'Lead &amp; ANALYSIS'!L927</f>
        <v>41</v>
      </c>
      <c r="K4791" s="1668" t="s">
        <v>1514</v>
      </c>
      <c r="L4791" s="1669">
        <f t="shared" ref="L4791" si="829">ROUND(H4791*J4791,0)</f>
        <v>0</v>
      </c>
    </row>
    <row r="4792" spans="1:12" s="692" customFormat="1" ht="16.5" hidden="1">
      <c r="A4792" s="1693" t="str">
        <f>'Lead &amp; ANALYSIS'!A928</f>
        <v>(iv)</v>
      </c>
      <c r="B4792" s="1666" t="str">
        <f>'Lead &amp; ANALYSIS'!B928</f>
        <v>3rd Floor</v>
      </c>
      <c r="C4792" s="688"/>
      <c r="D4792" s="1667"/>
      <c r="E4792" s="688"/>
      <c r="F4792" s="688"/>
      <c r="G4792" s="1674"/>
      <c r="H4792" s="688"/>
      <c r="I4792" s="1668"/>
      <c r="J4792" s="1668"/>
      <c r="K4792" s="1668"/>
      <c r="L4792" s="1669"/>
    </row>
    <row r="4793" spans="1:12" s="692" customFormat="1" ht="16.5" hidden="1">
      <c r="A4793" s="1665"/>
      <c r="B4793" s="1666"/>
      <c r="C4793" s="688"/>
      <c r="D4793" s="1667"/>
      <c r="E4793" s="1671">
        <v>3.5</v>
      </c>
      <c r="F4793" s="1668"/>
      <c r="G4793" s="1671">
        <v>4</v>
      </c>
      <c r="H4793" s="1671">
        <f t="shared" ref="H4793:H4798" si="830">ROUND(D4793*E4793*G4793,2)</f>
        <v>0</v>
      </c>
      <c r="I4793" s="688" t="s">
        <v>92</v>
      </c>
      <c r="J4793" s="1668"/>
      <c r="K4793" s="1668"/>
      <c r="L4793" s="1669"/>
    </row>
    <row r="4794" spans="1:12" s="692" customFormat="1" ht="16.5" hidden="1">
      <c r="A4794" s="1665"/>
      <c r="B4794" s="1666"/>
      <c r="C4794" s="688"/>
      <c r="D4794" s="1667"/>
      <c r="E4794" s="1671">
        <v>3.5</v>
      </c>
      <c r="F4794" s="1668"/>
      <c r="G4794" s="1671">
        <v>4</v>
      </c>
      <c r="H4794" s="1671">
        <f t="shared" si="830"/>
        <v>0</v>
      </c>
      <c r="I4794" s="688" t="s">
        <v>92</v>
      </c>
      <c r="J4794" s="1668"/>
      <c r="K4794" s="1668"/>
      <c r="L4794" s="1669"/>
    </row>
    <row r="4795" spans="1:12" s="692" customFormat="1" ht="16.5" hidden="1">
      <c r="A4795" s="1665"/>
      <c r="B4795" s="1666"/>
      <c r="C4795" s="688"/>
      <c r="D4795" s="1667"/>
      <c r="E4795" s="1671">
        <v>3.5</v>
      </c>
      <c r="F4795" s="1668"/>
      <c r="G4795" s="1671">
        <v>4</v>
      </c>
      <c r="H4795" s="1671">
        <f t="shared" si="830"/>
        <v>0</v>
      </c>
      <c r="I4795" s="688" t="s">
        <v>92</v>
      </c>
      <c r="J4795" s="1668"/>
      <c r="K4795" s="1668"/>
      <c r="L4795" s="1669"/>
    </row>
    <row r="4796" spans="1:12" s="692" customFormat="1" ht="16.5" hidden="1">
      <c r="A4796" s="1665"/>
      <c r="B4796" s="1666"/>
      <c r="C4796" s="688"/>
      <c r="D4796" s="1667"/>
      <c r="E4796" s="1671">
        <v>3.5</v>
      </c>
      <c r="F4796" s="1668"/>
      <c r="G4796" s="1671">
        <v>4</v>
      </c>
      <c r="H4796" s="1671">
        <f t="shared" si="830"/>
        <v>0</v>
      </c>
      <c r="I4796" s="688" t="s">
        <v>92</v>
      </c>
      <c r="J4796" s="1668"/>
      <c r="K4796" s="1668"/>
      <c r="L4796" s="1669"/>
    </row>
    <row r="4797" spans="1:12" s="692" customFormat="1" ht="16.5" hidden="1">
      <c r="A4797" s="1665"/>
      <c r="B4797" s="1666"/>
      <c r="C4797" s="688"/>
      <c r="D4797" s="1667"/>
      <c r="E4797" s="1671">
        <v>3.5</v>
      </c>
      <c r="F4797" s="1668"/>
      <c r="G4797" s="1671">
        <v>4</v>
      </c>
      <c r="H4797" s="1671">
        <f t="shared" si="830"/>
        <v>0</v>
      </c>
      <c r="I4797" s="688" t="s">
        <v>92</v>
      </c>
      <c r="J4797" s="1668"/>
      <c r="K4797" s="1668"/>
      <c r="L4797" s="1669"/>
    </row>
    <row r="4798" spans="1:12" s="692" customFormat="1" ht="16.5" hidden="1">
      <c r="A4798" s="1665"/>
      <c r="B4798" s="1666"/>
      <c r="C4798" s="688"/>
      <c r="D4798" s="1667"/>
      <c r="E4798" s="1671">
        <v>3.5</v>
      </c>
      <c r="F4798" s="1668"/>
      <c r="G4798" s="1671">
        <v>4</v>
      </c>
      <c r="H4798" s="1671">
        <f t="shared" si="830"/>
        <v>0</v>
      </c>
      <c r="I4798" s="688" t="s">
        <v>92</v>
      </c>
      <c r="J4798" s="1668"/>
      <c r="K4798" s="1668"/>
      <c r="L4798" s="1669"/>
    </row>
    <row r="4799" spans="1:12" s="692" customFormat="1" ht="16.5" hidden="1">
      <c r="A4799" s="1665"/>
      <c r="B4799" s="1666"/>
      <c r="C4799" s="688"/>
      <c r="D4799" s="1667"/>
      <c r="E4799" s="688"/>
      <c r="F4799" s="688"/>
      <c r="G4799" s="1674" t="s">
        <v>928</v>
      </c>
      <c r="H4799" s="1671">
        <f>SUM(H4793:H4798)</f>
        <v>0</v>
      </c>
      <c r="I4799" s="1668" t="s">
        <v>92</v>
      </c>
      <c r="J4799" s="1669">
        <f>'Lead &amp; ANALYSIS'!L928</f>
        <v>41.8</v>
      </c>
      <c r="K4799" s="1668" t="s">
        <v>1514</v>
      </c>
      <c r="L4799" s="1669">
        <f t="shared" ref="L4799" si="831">ROUND(H4799*J4799,0)</f>
        <v>0</v>
      </c>
    </row>
    <row r="4800" spans="1:12" s="692" customFormat="1" ht="16.5" hidden="1">
      <c r="A4800" s="1665" t="str">
        <f>'Lead &amp; ANALYSIS'!A929</f>
        <v>B)</v>
      </c>
      <c r="B4800" s="1666" t="str">
        <f>'Lead &amp; ANALYSIS'!B929</f>
        <v>Outside Surface</v>
      </c>
      <c r="C4800" s="688"/>
      <c r="D4800" s="1667"/>
      <c r="E4800" s="688"/>
      <c r="F4800" s="688"/>
      <c r="G4800" s="1674"/>
      <c r="H4800" s="688"/>
      <c r="I4800" s="1668"/>
      <c r="J4800" s="1668"/>
      <c r="K4800" s="1668"/>
      <c r="L4800" s="1669"/>
    </row>
    <row r="4801" spans="1:12" s="692" customFormat="1" ht="16.5" hidden="1">
      <c r="A4801" s="1665" t="str">
        <f>'Lead &amp; ANALYSIS'!A930</f>
        <v>(i)</v>
      </c>
      <c r="B4801" s="1666" t="str">
        <f>'Lead &amp; ANALYSIS'!B930</f>
        <v>Ground Floor</v>
      </c>
      <c r="C4801" s="688"/>
      <c r="D4801" s="1667"/>
      <c r="E4801" s="688"/>
      <c r="F4801" s="688"/>
      <c r="G4801" s="1674"/>
      <c r="H4801" s="688"/>
      <c r="I4801" s="1668"/>
      <c r="J4801" s="1668"/>
      <c r="K4801" s="1668"/>
      <c r="L4801" s="1669"/>
    </row>
    <row r="4802" spans="1:12" s="692" customFormat="1" ht="16.5" hidden="1">
      <c r="A4802" s="1665"/>
      <c r="B4802" s="1666"/>
      <c r="C4802" s="688"/>
      <c r="D4802" s="1667"/>
      <c r="E4802" s="1671">
        <v>3.5</v>
      </c>
      <c r="F4802" s="1668"/>
      <c r="G4802" s="1671">
        <v>4</v>
      </c>
      <c r="H4802" s="1671">
        <f t="shared" ref="H4802:H4807" si="832">ROUND(D4802*E4802*G4802,2)</f>
        <v>0</v>
      </c>
      <c r="I4802" s="688" t="s">
        <v>92</v>
      </c>
      <c r="J4802" s="1668"/>
      <c r="K4802" s="1668"/>
      <c r="L4802" s="1669"/>
    </row>
    <row r="4803" spans="1:12" s="692" customFormat="1" ht="16.5" hidden="1">
      <c r="A4803" s="1665"/>
      <c r="B4803" s="1666"/>
      <c r="C4803" s="688"/>
      <c r="D4803" s="1667"/>
      <c r="E4803" s="1671">
        <v>3.5</v>
      </c>
      <c r="F4803" s="1668"/>
      <c r="G4803" s="1671">
        <v>4</v>
      </c>
      <c r="H4803" s="1671">
        <f t="shared" si="832"/>
        <v>0</v>
      </c>
      <c r="I4803" s="688" t="s">
        <v>92</v>
      </c>
      <c r="J4803" s="1668"/>
      <c r="K4803" s="1668"/>
      <c r="L4803" s="1669"/>
    </row>
    <row r="4804" spans="1:12" s="692" customFormat="1" ht="16.5" hidden="1">
      <c r="A4804" s="1665"/>
      <c r="B4804" s="1666"/>
      <c r="C4804" s="688"/>
      <c r="D4804" s="1667"/>
      <c r="E4804" s="1671">
        <v>3.5</v>
      </c>
      <c r="F4804" s="1668"/>
      <c r="G4804" s="1671">
        <v>4</v>
      </c>
      <c r="H4804" s="1671">
        <f t="shared" si="832"/>
        <v>0</v>
      </c>
      <c r="I4804" s="688" t="s">
        <v>92</v>
      </c>
      <c r="J4804" s="1668"/>
      <c r="K4804" s="1668"/>
      <c r="L4804" s="1669"/>
    </row>
    <row r="4805" spans="1:12" s="692" customFormat="1" ht="16.5" hidden="1">
      <c r="A4805" s="1665"/>
      <c r="B4805" s="1666"/>
      <c r="C4805" s="688"/>
      <c r="D4805" s="1667"/>
      <c r="E4805" s="1671">
        <v>3.5</v>
      </c>
      <c r="F4805" s="1668"/>
      <c r="G4805" s="1671">
        <v>4</v>
      </c>
      <c r="H4805" s="1671">
        <f t="shared" si="832"/>
        <v>0</v>
      </c>
      <c r="I4805" s="688" t="s">
        <v>92</v>
      </c>
      <c r="J4805" s="1668"/>
      <c r="K4805" s="1668"/>
      <c r="L4805" s="1669"/>
    </row>
    <row r="4806" spans="1:12" s="692" customFormat="1" ht="16.5" hidden="1">
      <c r="A4806" s="1665"/>
      <c r="B4806" s="1666"/>
      <c r="C4806" s="688"/>
      <c r="D4806" s="1667"/>
      <c r="E4806" s="1671">
        <v>3.5</v>
      </c>
      <c r="F4806" s="1668"/>
      <c r="G4806" s="1671">
        <v>4</v>
      </c>
      <c r="H4806" s="1671">
        <f t="shared" si="832"/>
        <v>0</v>
      </c>
      <c r="I4806" s="688" t="s">
        <v>92</v>
      </c>
      <c r="J4806" s="1668"/>
      <c r="K4806" s="1668"/>
      <c r="L4806" s="1669"/>
    </row>
    <row r="4807" spans="1:12" s="692" customFormat="1" ht="16.5" hidden="1">
      <c r="A4807" s="1665"/>
      <c r="B4807" s="1666"/>
      <c r="C4807" s="688"/>
      <c r="D4807" s="1667"/>
      <c r="E4807" s="1671">
        <v>3.5</v>
      </c>
      <c r="F4807" s="1668"/>
      <c r="G4807" s="1671">
        <v>4</v>
      </c>
      <c r="H4807" s="1671">
        <f t="shared" si="832"/>
        <v>0</v>
      </c>
      <c r="I4807" s="688" t="s">
        <v>92</v>
      </c>
      <c r="J4807" s="1668"/>
      <c r="K4807" s="1668"/>
      <c r="L4807" s="1669"/>
    </row>
    <row r="4808" spans="1:12" s="692" customFormat="1" ht="16.5" hidden="1">
      <c r="A4808" s="1665"/>
      <c r="B4808" s="1666"/>
      <c r="C4808" s="688"/>
      <c r="D4808" s="1667"/>
      <c r="E4808" s="688"/>
      <c r="F4808" s="688"/>
      <c r="G4808" s="1674" t="s">
        <v>928</v>
      </c>
      <c r="H4808" s="1671">
        <f>SUM(H4802:H4807)</f>
        <v>0</v>
      </c>
      <c r="I4808" s="1668" t="s">
        <v>92</v>
      </c>
      <c r="J4808" s="1669">
        <f>'Lead &amp; ANALYSIS'!L930</f>
        <v>39.1</v>
      </c>
      <c r="K4808" s="1668" t="s">
        <v>1514</v>
      </c>
      <c r="L4808" s="1669">
        <f t="shared" ref="L4808" si="833">ROUND(H4808*J4808,0)</f>
        <v>0</v>
      </c>
    </row>
    <row r="4809" spans="1:12" s="692" customFormat="1" ht="16.5" hidden="1">
      <c r="A4809" s="1665" t="str">
        <f>'Lead &amp; ANALYSIS'!A931</f>
        <v>(ii)</v>
      </c>
      <c r="B4809" s="1666" t="str">
        <f>'Lead &amp; ANALYSIS'!B931</f>
        <v>First Floor</v>
      </c>
      <c r="C4809" s="688"/>
      <c r="D4809" s="1667"/>
      <c r="E4809" s="688"/>
      <c r="F4809" s="688"/>
      <c r="G4809" s="1674"/>
      <c r="H4809" s="688"/>
      <c r="I4809" s="1668"/>
      <c r="J4809" s="1668"/>
      <c r="K4809" s="1668"/>
      <c r="L4809" s="1669"/>
    </row>
    <row r="4810" spans="1:12" s="692" customFormat="1" ht="16.5" hidden="1">
      <c r="A4810" s="1665"/>
      <c r="B4810" s="1666"/>
      <c r="C4810" s="688"/>
      <c r="D4810" s="1667"/>
      <c r="E4810" s="1671">
        <v>3.5</v>
      </c>
      <c r="F4810" s="1668"/>
      <c r="G4810" s="1671">
        <v>4</v>
      </c>
      <c r="H4810" s="1671">
        <f t="shared" ref="H4810:H4815" si="834">ROUND(D4810*E4810*G4810,2)</f>
        <v>0</v>
      </c>
      <c r="I4810" s="688" t="s">
        <v>92</v>
      </c>
      <c r="J4810" s="1668"/>
      <c r="K4810" s="1668"/>
      <c r="L4810" s="1669"/>
    </row>
    <row r="4811" spans="1:12" s="692" customFormat="1" ht="16.5" hidden="1">
      <c r="A4811" s="1665"/>
      <c r="B4811" s="1666"/>
      <c r="C4811" s="688"/>
      <c r="D4811" s="1667"/>
      <c r="E4811" s="1671">
        <v>3.5</v>
      </c>
      <c r="F4811" s="1668"/>
      <c r="G4811" s="1671">
        <v>4</v>
      </c>
      <c r="H4811" s="1671">
        <f t="shared" si="834"/>
        <v>0</v>
      </c>
      <c r="I4811" s="688" t="s">
        <v>92</v>
      </c>
      <c r="J4811" s="1668"/>
      <c r="K4811" s="1668"/>
      <c r="L4811" s="1669"/>
    </row>
    <row r="4812" spans="1:12" s="692" customFormat="1" ht="16.5" hidden="1">
      <c r="A4812" s="1665"/>
      <c r="B4812" s="1666"/>
      <c r="C4812" s="688"/>
      <c r="D4812" s="1667"/>
      <c r="E4812" s="1671">
        <v>3.5</v>
      </c>
      <c r="F4812" s="1668"/>
      <c r="G4812" s="1671">
        <v>4</v>
      </c>
      <c r="H4812" s="1671">
        <f t="shared" si="834"/>
        <v>0</v>
      </c>
      <c r="I4812" s="688" t="s">
        <v>92</v>
      </c>
      <c r="J4812" s="1668"/>
      <c r="K4812" s="1668"/>
      <c r="L4812" s="1669"/>
    </row>
    <row r="4813" spans="1:12" s="692" customFormat="1" ht="16.5" hidden="1">
      <c r="A4813" s="1665"/>
      <c r="B4813" s="1666"/>
      <c r="C4813" s="688"/>
      <c r="D4813" s="1667"/>
      <c r="E4813" s="1671">
        <v>3.5</v>
      </c>
      <c r="F4813" s="1668"/>
      <c r="G4813" s="1671">
        <v>4</v>
      </c>
      <c r="H4813" s="1671">
        <f t="shared" si="834"/>
        <v>0</v>
      </c>
      <c r="I4813" s="688" t="s">
        <v>92</v>
      </c>
      <c r="J4813" s="1668"/>
      <c r="K4813" s="1668"/>
      <c r="L4813" s="1669"/>
    </row>
    <row r="4814" spans="1:12" s="692" customFormat="1" ht="16.5" hidden="1">
      <c r="A4814" s="1665"/>
      <c r="B4814" s="1666"/>
      <c r="C4814" s="688"/>
      <c r="D4814" s="1667"/>
      <c r="E4814" s="1671">
        <v>3.5</v>
      </c>
      <c r="F4814" s="1668"/>
      <c r="G4814" s="1671">
        <v>4</v>
      </c>
      <c r="H4814" s="1671">
        <f t="shared" si="834"/>
        <v>0</v>
      </c>
      <c r="I4814" s="688" t="s">
        <v>92</v>
      </c>
      <c r="J4814" s="1668"/>
      <c r="K4814" s="1668"/>
      <c r="L4814" s="1669"/>
    </row>
    <row r="4815" spans="1:12" s="692" customFormat="1" ht="16.5" hidden="1">
      <c r="A4815" s="1665"/>
      <c r="B4815" s="1666"/>
      <c r="C4815" s="688"/>
      <c r="D4815" s="1667"/>
      <c r="E4815" s="1671">
        <v>3.5</v>
      </c>
      <c r="F4815" s="1668"/>
      <c r="G4815" s="1671">
        <v>4</v>
      </c>
      <c r="H4815" s="1671">
        <f t="shared" si="834"/>
        <v>0</v>
      </c>
      <c r="I4815" s="688" t="s">
        <v>92</v>
      </c>
      <c r="J4815" s="1668"/>
      <c r="K4815" s="1668"/>
      <c r="L4815" s="1669"/>
    </row>
    <row r="4816" spans="1:12" s="692" customFormat="1" ht="16.5" hidden="1">
      <c r="A4816" s="1665"/>
      <c r="B4816" s="1666"/>
      <c r="C4816" s="688"/>
      <c r="D4816" s="1667"/>
      <c r="E4816" s="688"/>
      <c r="F4816" s="688"/>
      <c r="G4816" s="1674" t="s">
        <v>928</v>
      </c>
      <c r="H4816" s="1671">
        <f>SUM(H4810:H4815)</f>
        <v>0</v>
      </c>
      <c r="I4816" s="1668" t="s">
        <v>92</v>
      </c>
      <c r="J4816" s="1669">
        <f>'Lead &amp; ANALYSIS'!L931</f>
        <v>40.799999999999997</v>
      </c>
      <c r="K4816" s="1668" t="s">
        <v>1514</v>
      </c>
      <c r="L4816" s="1669">
        <f t="shared" ref="L4816" si="835">ROUND(H4816*J4816,0)</f>
        <v>0</v>
      </c>
    </row>
    <row r="4817" spans="1:12" s="692" customFormat="1" ht="16.5" hidden="1">
      <c r="A4817" s="1693" t="str">
        <f>'Lead &amp; ANALYSIS'!A932</f>
        <v>(iii)</v>
      </c>
      <c r="B4817" s="1666" t="str">
        <f>'Lead &amp; ANALYSIS'!B932</f>
        <v>2nd Floor</v>
      </c>
      <c r="C4817" s="688"/>
      <c r="D4817" s="1667"/>
      <c r="E4817" s="688"/>
      <c r="F4817" s="688"/>
      <c r="G4817" s="1674"/>
      <c r="H4817" s="688"/>
      <c r="I4817" s="1668"/>
      <c r="J4817" s="1668"/>
      <c r="K4817" s="1668"/>
      <c r="L4817" s="1669"/>
    </row>
    <row r="4818" spans="1:12" s="692" customFormat="1" ht="16.5" hidden="1">
      <c r="A4818" s="1665"/>
      <c r="B4818" s="1666"/>
      <c r="C4818" s="688"/>
      <c r="D4818" s="1667"/>
      <c r="E4818" s="1671">
        <v>3.5</v>
      </c>
      <c r="F4818" s="1668"/>
      <c r="G4818" s="1671">
        <v>4</v>
      </c>
      <c r="H4818" s="1671">
        <f t="shared" ref="H4818:H4823" si="836">ROUND(D4818*E4818*G4818,2)</f>
        <v>0</v>
      </c>
      <c r="I4818" s="688" t="s">
        <v>92</v>
      </c>
      <c r="J4818" s="1668"/>
      <c r="K4818" s="1668"/>
      <c r="L4818" s="1669"/>
    </row>
    <row r="4819" spans="1:12" s="692" customFormat="1" ht="16.5" hidden="1">
      <c r="A4819" s="1665"/>
      <c r="B4819" s="1666"/>
      <c r="C4819" s="688"/>
      <c r="D4819" s="1667"/>
      <c r="E4819" s="1671">
        <v>3.5</v>
      </c>
      <c r="F4819" s="1668"/>
      <c r="G4819" s="1671">
        <v>4</v>
      </c>
      <c r="H4819" s="1671">
        <f t="shared" si="836"/>
        <v>0</v>
      </c>
      <c r="I4819" s="688" t="s">
        <v>92</v>
      </c>
      <c r="J4819" s="1668"/>
      <c r="K4819" s="1668"/>
      <c r="L4819" s="1669"/>
    </row>
    <row r="4820" spans="1:12" s="692" customFormat="1" ht="16.5" hidden="1">
      <c r="A4820" s="1665"/>
      <c r="B4820" s="1666"/>
      <c r="C4820" s="688"/>
      <c r="D4820" s="1667"/>
      <c r="E4820" s="1671">
        <v>3.5</v>
      </c>
      <c r="F4820" s="1668"/>
      <c r="G4820" s="1671">
        <v>4</v>
      </c>
      <c r="H4820" s="1671">
        <f t="shared" si="836"/>
        <v>0</v>
      </c>
      <c r="I4820" s="688" t="s">
        <v>92</v>
      </c>
      <c r="J4820" s="1668"/>
      <c r="K4820" s="1668"/>
      <c r="L4820" s="1669"/>
    </row>
    <row r="4821" spans="1:12" s="692" customFormat="1" ht="16.5" hidden="1">
      <c r="A4821" s="1665"/>
      <c r="B4821" s="1666"/>
      <c r="C4821" s="688"/>
      <c r="D4821" s="1667"/>
      <c r="E4821" s="1671">
        <v>3.5</v>
      </c>
      <c r="F4821" s="1668"/>
      <c r="G4821" s="1671">
        <v>4</v>
      </c>
      <c r="H4821" s="1671">
        <f t="shared" si="836"/>
        <v>0</v>
      </c>
      <c r="I4821" s="688" t="s">
        <v>92</v>
      </c>
      <c r="J4821" s="1668"/>
      <c r="K4821" s="1668"/>
      <c r="L4821" s="1669"/>
    </row>
    <row r="4822" spans="1:12" s="692" customFormat="1" ht="16.5" hidden="1">
      <c r="A4822" s="1665"/>
      <c r="B4822" s="1666"/>
      <c r="C4822" s="688"/>
      <c r="D4822" s="1667"/>
      <c r="E4822" s="1671">
        <v>3.5</v>
      </c>
      <c r="F4822" s="1668"/>
      <c r="G4822" s="1671">
        <v>4</v>
      </c>
      <c r="H4822" s="1671">
        <f t="shared" si="836"/>
        <v>0</v>
      </c>
      <c r="I4822" s="688" t="s">
        <v>92</v>
      </c>
      <c r="J4822" s="1668"/>
      <c r="K4822" s="1668"/>
      <c r="L4822" s="1669"/>
    </row>
    <row r="4823" spans="1:12" s="692" customFormat="1" ht="16.5" hidden="1">
      <c r="A4823" s="1665"/>
      <c r="B4823" s="1666"/>
      <c r="C4823" s="688"/>
      <c r="D4823" s="1667"/>
      <c r="E4823" s="1671">
        <v>3.5</v>
      </c>
      <c r="F4823" s="1668"/>
      <c r="G4823" s="1671">
        <v>4</v>
      </c>
      <c r="H4823" s="1671">
        <f t="shared" si="836"/>
        <v>0</v>
      </c>
      <c r="I4823" s="688" t="s">
        <v>92</v>
      </c>
      <c r="J4823" s="1668"/>
      <c r="K4823" s="1668"/>
      <c r="L4823" s="1669"/>
    </row>
    <row r="4824" spans="1:12" s="692" customFormat="1" ht="16.5" hidden="1">
      <c r="A4824" s="1665"/>
      <c r="B4824" s="1666"/>
      <c r="C4824" s="688"/>
      <c r="D4824" s="1667"/>
      <c r="E4824" s="688"/>
      <c r="F4824" s="688"/>
      <c r="G4824" s="1674" t="s">
        <v>928</v>
      </c>
      <c r="H4824" s="1671">
        <f>SUM(H4818:H4823)</f>
        <v>0</v>
      </c>
      <c r="I4824" s="1668" t="s">
        <v>92</v>
      </c>
      <c r="J4824" s="1669">
        <f>'Lead &amp; ANALYSIS'!L932</f>
        <v>42</v>
      </c>
      <c r="K4824" s="1668" t="s">
        <v>1514</v>
      </c>
      <c r="L4824" s="1669">
        <f t="shared" ref="L4824" si="837">ROUND(H4824*J4824,0)</f>
        <v>0</v>
      </c>
    </row>
    <row r="4825" spans="1:12" s="692" customFormat="1" ht="16.5" hidden="1">
      <c r="A4825" s="1693" t="str">
        <f>'Lead &amp; ANALYSIS'!A933</f>
        <v>(iv)</v>
      </c>
      <c r="B4825" s="1666" t="str">
        <f>'Lead &amp; ANALYSIS'!B933</f>
        <v>3rd Floor</v>
      </c>
      <c r="C4825" s="688"/>
      <c r="D4825" s="1667"/>
      <c r="E4825" s="688"/>
      <c r="F4825" s="688"/>
      <c r="G4825" s="1674"/>
      <c r="H4825" s="688"/>
      <c r="I4825" s="1668"/>
      <c r="J4825" s="1668"/>
      <c r="K4825" s="1668"/>
      <c r="L4825" s="1669"/>
    </row>
    <row r="4826" spans="1:12" s="692" customFormat="1" ht="16.5" hidden="1">
      <c r="A4826" s="1665"/>
      <c r="B4826" s="1666"/>
      <c r="C4826" s="688"/>
      <c r="D4826" s="1667"/>
      <c r="E4826" s="1671">
        <v>3.5</v>
      </c>
      <c r="F4826" s="1668"/>
      <c r="G4826" s="1671">
        <v>4</v>
      </c>
      <c r="H4826" s="1671">
        <f t="shared" ref="H4826:H4831" si="838">ROUND(D4826*E4826*G4826,2)</f>
        <v>0</v>
      </c>
      <c r="I4826" s="688" t="s">
        <v>92</v>
      </c>
      <c r="J4826" s="1668"/>
      <c r="K4826" s="1668"/>
      <c r="L4826" s="1669"/>
    </row>
    <row r="4827" spans="1:12" s="692" customFormat="1" ht="16.5" hidden="1">
      <c r="A4827" s="1665"/>
      <c r="B4827" s="1666"/>
      <c r="C4827" s="688"/>
      <c r="D4827" s="1667"/>
      <c r="E4827" s="1671">
        <v>3.5</v>
      </c>
      <c r="F4827" s="1668"/>
      <c r="G4827" s="1671">
        <v>4</v>
      </c>
      <c r="H4827" s="1671">
        <f t="shared" si="838"/>
        <v>0</v>
      </c>
      <c r="I4827" s="688" t="s">
        <v>92</v>
      </c>
      <c r="J4827" s="1668"/>
      <c r="K4827" s="1668"/>
      <c r="L4827" s="1669"/>
    </row>
    <row r="4828" spans="1:12" s="692" customFormat="1" ht="16.5" hidden="1">
      <c r="A4828" s="1665"/>
      <c r="B4828" s="1666"/>
      <c r="C4828" s="688"/>
      <c r="D4828" s="1667"/>
      <c r="E4828" s="1671">
        <v>3.5</v>
      </c>
      <c r="F4828" s="1668"/>
      <c r="G4828" s="1671">
        <v>4</v>
      </c>
      <c r="H4828" s="1671">
        <f t="shared" si="838"/>
        <v>0</v>
      </c>
      <c r="I4828" s="688" t="s">
        <v>92</v>
      </c>
      <c r="J4828" s="1668"/>
      <c r="K4828" s="1668"/>
      <c r="L4828" s="1669"/>
    </row>
    <row r="4829" spans="1:12" s="692" customFormat="1" ht="16.5" hidden="1">
      <c r="A4829" s="1665"/>
      <c r="B4829" s="1666"/>
      <c r="C4829" s="688"/>
      <c r="D4829" s="1667"/>
      <c r="E4829" s="1671">
        <v>3.5</v>
      </c>
      <c r="F4829" s="1668"/>
      <c r="G4829" s="1671">
        <v>4</v>
      </c>
      <c r="H4829" s="1671">
        <f t="shared" si="838"/>
        <v>0</v>
      </c>
      <c r="I4829" s="688" t="s">
        <v>92</v>
      </c>
      <c r="J4829" s="1668"/>
      <c r="K4829" s="1668"/>
      <c r="L4829" s="1669"/>
    </row>
    <row r="4830" spans="1:12" s="692" customFormat="1" ht="16.5" hidden="1">
      <c r="A4830" s="1665"/>
      <c r="B4830" s="1666"/>
      <c r="C4830" s="688"/>
      <c r="D4830" s="1667"/>
      <c r="E4830" s="1671">
        <v>3.5</v>
      </c>
      <c r="F4830" s="1668"/>
      <c r="G4830" s="1671">
        <v>4</v>
      </c>
      <c r="H4830" s="1671">
        <f t="shared" si="838"/>
        <v>0</v>
      </c>
      <c r="I4830" s="688" t="s">
        <v>92</v>
      </c>
      <c r="J4830" s="1668"/>
      <c r="K4830" s="1668"/>
      <c r="L4830" s="1669"/>
    </row>
    <row r="4831" spans="1:12" s="692" customFormat="1" ht="16.5" hidden="1">
      <c r="A4831" s="1665"/>
      <c r="B4831" s="1666"/>
      <c r="C4831" s="688"/>
      <c r="D4831" s="1667"/>
      <c r="E4831" s="1671">
        <v>3.5</v>
      </c>
      <c r="F4831" s="1668"/>
      <c r="G4831" s="1671">
        <v>4</v>
      </c>
      <c r="H4831" s="1671">
        <f t="shared" si="838"/>
        <v>0</v>
      </c>
      <c r="I4831" s="688" t="s">
        <v>92</v>
      </c>
      <c r="J4831" s="1668"/>
      <c r="K4831" s="1668"/>
      <c r="L4831" s="1669"/>
    </row>
    <row r="4832" spans="1:12" s="692" customFormat="1" ht="16.5" hidden="1">
      <c r="A4832" s="1665"/>
      <c r="B4832" s="1666"/>
      <c r="C4832" s="688"/>
      <c r="D4832" s="1667"/>
      <c r="E4832" s="688"/>
      <c r="F4832" s="688"/>
      <c r="G4832" s="1674" t="s">
        <v>928</v>
      </c>
      <c r="H4832" s="1671">
        <f>SUM(H4826:H4831)</f>
        <v>0</v>
      </c>
      <c r="I4832" s="1668" t="s">
        <v>92</v>
      </c>
      <c r="J4832" s="1669">
        <f>'Lead &amp; ANALYSIS'!L933</f>
        <v>42.9</v>
      </c>
      <c r="K4832" s="1668" t="s">
        <v>1514</v>
      </c>
      <c r="L4832" s="1669">
        <f t="shared" ref="L4832" si="839">ROUND(H4832*J4832,0)</f>
        <v>0</v>
      </c>
    </row>
    <row r="4833" spans="1:12" s="692" customFormat="1" ht="82.5" hidden="1">
      <c r="A4833" s="1665">
        <f>'Lead &amp; ANALYSIS'!A934</f>
        <v>118</v>
      </c>
      <c r="B4833" s="1666" t="str">
        <f>'Lead &amp; ANALYSIS'!B934</f>
        <v>Painting two coats with approved weather seal paints of approved colour, shade on wall surface  including sand papering, polishing the surface,  etc, complete as per specification &amp; direction of Engineer-in-charge.</v>
      </c>
      <c r="C4833" s="688"/>
      <c r="D4833" s="1667"/>
      <c r="E4833" s="688"/>
      <c r="F4833" s="688"/>
      <c r="G4833" s="1674"/>
      <c r="H4833" s="688"/>
      <c r="I4833" s="1668"/>
      <c r="J4833" s="1668"/>
      <c r="K4833" s="1668"/>
      <c r="L4833" s="1669"/>
    </row>
    <row r="4834" spans="1:12" s="692" customFormat="1" ht="16.5" hidden="1">
      <c r="A4834" s="1665" t="str">
        <f>'Lead &amp; ANALYSIS'!A935</f>
        <v>(i)</v>
      </c>
      <c r="B4834" s="1666" t="str">
        <f>'Lead &amp; ANALYSIS'!B935</f>
        <v>Ground Floor</v>
      </c>
      <c r="C4834" s="688"/>
      <c r="D4834" s="1667"/>
      <c r="E4834" s="688"/>
      <c r="F4834" s="688"/>
      <c r="G4834" s="1674"/>
      <c r="H4834" s="688"/>
      <c r="I4834" s="1668"/>
      <c r="J4834" s="1668"/>
      <c r="K4834" s="1668"/>
      <c r="L4834" s="1669"/>
    </row>
    <row r="4835" spans="1:12" s="692" customFormat="1" ht="16.5" hidden="1">
      <c r="A4835" s="1665"/>
      <c r="B4835" s="1666"/>
      <c r="C4835" s="688"/>
      <c r="D4835" s="1667"/>
      <c r="E4835" s="1671">
        <v>3.5</v>
      </c>
      <c r="F4835" s="1668"/>
      <c r="G4835" s="1671">
        <v>4</v>
      </c>
      <c r="H4835" s="1671">
        <f t="shared" ref="H4835:H4840" si="840">ROUND(D4835*E4835*G4835,2)</f>
        <v>0</v>
      </c>
      <c r="I4835" s="688" t="s">
        <v>92</v>
      </c>
      <c r="J4835" s="1668"/>
      <c r="K4835" s="1668"/>
      <c r="L4835" s="1669"/>
    </row>
    <row r="4836" spans="1:12" s="692" customFormat="1" ht="16.5" hidden="1">
      <c r="A4836" s="1665"/>
      <c r="B4836" s="1666"/>
      <c r="C4836" s="688"/>
      <c r="D4836" s="1667"/>
      <c r="E4836" s="1671">
        <v>3.5</v>
      </c>
      <c r="F4836" s="1668"/>
      <c r="G4836" s="1671">
        <v>4</v>
      </c>
      <c r="H4836" s="1671">
        <f t="shared" si="840"/>
        <v>0</v>
      </c>
      <c r="I4836" s="688" t="s">
        <v>92</v>
      </c>
      <c r="J4836" s="1668"/>
      <c r="K4836" s="1668"/>
      <c r="L4836" s="1669"/>
    </row>
    <row r="4837" spans="1:12" s="692" customFormat="1" ht="16.5" hidden="1">
      <c r="A4837" s="1665"/>
      <c r="B4837" s="1666"/>
      <c r="C4837" s="688"/>
      <c r="D4837" s="1667"/>
      <c r="E4837" s="1671">
        <v>3.5</v>
      </c>
      <c r="F4837" s="1668"/>
      <c r="G4837" s="1671">
        <v>4</v>
      </c>
      <c r="H4837" s="1671">
        <f t="shared" si="840"/>
        <v>0</v>
      </c>
      <c r="I4837" s="688" t="s">
        <v>92</v>
      </c>
      <c r="J4837" s="1668"/>
      <c r="K4837" s="1668"/>
      <c r="L4837" s="1669"/>
    </row>
    <row r="4838" spans="1:12" s="692" customFormat="1" ht="16.5" hidden="1">
      <c r="A4838" s="1665"/>
      <c r="B4838" s="1666"/>
      <c r="C4838" s="688"/>
      <c r="D4838" s="1667"/>
      <c r="E4838" s="1671">
        <v>3.5</v>
      </c>
      <c r="F4838" s="1668"/>
      <c r="G4838" s="1671">
        <v>4</v>
      </c>
      <c r="H4838" s="1671">
        <f t="shared" si="840"/>
        <v>0</v>
      </c>
      <c r="I4838" s="688" t="s">
        <v>92</v>
      </c>
      <c r="J4838" s="1668"/>
      <c r="K4838" s="1668"/>
      <c r="L4838" s="1669"/>
    </row>
    <row r="4839" spans="1:12" s="692" customFormat="1" ht="16.5" hidden="1">
      <c r="A4839" s="1665"/>
      <c r="B4839" s="1666"/>
      <c r="C4839" s="688"/>
      <c r="D4839" s="1667"/>
      <c r="E4839" s="1671">
        <v>3.5</v>
      </c>
      <c r="F4839" s="1668"/>
      <c r="G4839" s="1671">
        <v>4</v>
      </c>
      <c r="H4839" s="1671">
        <f t="shared" si="840"/>
        <v>0</v>
      </c>
      <c r="I4839" s="688" t="s">
        <v>92</v>
      </c>
      <c r="J4839" s="1668"/>
      <c r="K4839" s="1668"/>
      <c r="L4839" s="1669"/>
    </row>
    <row r="4840" spans="1:12" s="692" customFormat="1" ht="16.5" hidden="1">
      <c r="A4840" s="1665"/>
      <c r="B4840" s="1666"/>
      <c r="C4840" s="688"/>
      <c r="D4840" s="1667"/>
      <c r="E4840" s="1671">
        <v>3.5</v>
      </c>
      <c r="F4840" s="1668"/>
      <c r="G4840" s="1671">
        <v>4</v>
      </c>
      <c r="H4840" s="1671">
        <f t="shared" si="840"/>
        <v>0</v>
      </c>
      <c r="I4840" s="688" t="s">
        <v>92</v>
      </c>
      <c r="J4840" s="1668"/>
      <c r="K4840" s="1668"/>
      <c r="L4840" s="1669"/>
    </row>
    <row r="4841" spans="1:12" s="692" customFormat="1" ht="16.5" hidden="1">
      <c r="A4841" s="1665"/>
      <c r="B4841" s="1666"/>
      <c r="C4841" s="688"/>
      <c r="D4841" s="1667"/>
      <c r="E4841" s="688"/>
      <c r="F4841" s="688"/>
      <c r="G4841" s="1674" t="s">
        <v>928</v>
      </c>
      <c r="H4841" s="1671">
        <f>SUM(H4835:H4840)</f>
        <v>0</v>
      </c>
      <c r="I4841" s="1668" t="s">
        <v>92</v>
      </c>
      <c r="J4841" s="1669">
        <f>'Lead &amp; ANALYSIS'!L935</f>
        <v>85</v>
      </c>
      <c r="K4841" s="1668" t="s">
        <v>1514</v>
      </c>
      <c r="L4841" s="1669">
        <f t="shared" ref="L4841" si="841">ROUND(H4841*J4841,0)</f>
        <v>0</v>
      </c>
    </row>
    <row r="4842" spans="1:12" s="692" customFormat="1" ht="16.5" hidden="1">
      <c r="A4842" s="1665" t="str">
        <f>'Lead &amp; ANALYSIS'!A936</f>
        <v>(ii)</v>
      </c>
      <c r="B4842" s="1666" t="str">
        <f>'Lead &amp; ANALYSIS'!B936</f>
        <v>First Floor</v>
      </c>
      <c r="C4842" s="688"/>
      <c r="D4842" s="1667"/>
      <c r="E4842" s="688"/>
      <c r="F4842" s="688"/>
      <c r="G4842" s="1674"/>
      <c r="H4842" s="688"/>
      <c r="I4842" s="1668"/>
      <c r="J4842" s="1668"/>
      <c r="K4842" s="1668"/>
      <c r="L4842" s="1669"/>
    </row>
    <row r="4843" spans="1:12" s="692" customFormat="1" ht="16.5" hidden="1">
      <c r="A4843" s="1665"/>
      <c r="B4843" s="1666"/>
      <c r="C4843" s="688"/>
      <c r="D4843" s="1667"/>
      <c r="E4843" s="1671">
        <v>3.5</v>
      </c>
      <c r="F4843" s="1668"/>
      <c r="G4843" s="1671">
        <v>4</v>
      </c>
      <c r="H4843" s="1671">
        <f t="shared" ref="H4843:H4848" si="842">ROUND(D4843*E4843*G4843,2)</f>
        <v>0</v>
      </c>
      <c r="I4843" s="688" t="s">
        <v>92</v>
      </c>
      <c r="J4843" s="1668"/>
      <c r="K4843" s="1668"/>
      <c r="L4843" s="1669"/>
    </row>
    <row r="4844" spans="1:12" s="692" customFormat="1" ht="16.5" hidden="1">
      <c r="A4844" s="1665"/>
      <c r="B4844" s="1666"/>
      <c r="C4844" s="688"/>
      <c r="D4844" s="1667"/>
      <c r="E4844" s="1671">
        <v>3.5</v>
      </c>
      <c r="F4844" s="1668"/>
      <c r="G4844" s="1671">
        <v>4</v>
      </c>
      <c r="H4844" s="1671">
        <f t="shared" si="842"/>
        <v>0</v>
      </c>
      <c r="I4844" s="688" t="s">
        <v>92</v>
      </c>
      <c r="J4844" s="1668"/>
      <c r="K4844" s="1668"/>
      <c r="L4844" s="1669"/>
    </row>
    <row r="4845" spans="1:12" s="692" customFormat="1" ht="16.5" hidden="1">
      <c r="A4845" s="1665"/>
      <c r="B4845" s="1666"/>
      <c r="C4845" s="688"/>
      <c r="D4845" s="1667"/>
      <c r="E4845" s="1671">
        <v>3.5</v>
      </c>
      <c r="F4845" s="1668"/>
      <c r="G4845" s="1671">
        <v>4</v>
      </c>
      <c r="H4845" s="1671">
        <f t="shared" si="842"/>
        <v>0</v>
      </c>
      <c r="I4845" s="688" t="s">
        <v>92</v>
      </c>
      <c r="J4845" s="1668"/>
      <c r="K4845" s="1668"/>
      <c r="L4845" s="1669"/>
    </row>
    <row r="4846" spans="1:12" s="692" customFormat="1" ht="16.5" hidden="1">
      <c r="A4846" s="1665"/>
      <c r="B4846" s="1666"/>
      <c r="C4846" s="688"/>
      <c r="D4846" s="1667"/>
      <c r="E4846" s="1671">
        <v>3.5</v>
      </c>
      <c r="F4846" s="1668"/>
      <c r="G4846" s="1671">
        <v>4</v>
      </c>
      <c r="H4846" s="1671">
        <f t="shared" si="842"/>
        <v>0</v>
      </c>
      <c r="I4846" s="688" t="s">
        <v>92</v>
      </c>
      <c r="J4846" s="1668"/>
      <c r="K4846" s="1668"/>
      <c r="L4846" s="1669"/>
    </row>
    <row r="4847" spans="1:12" s="692" customFormat="1" ht="16.5" hidden="1">
      <c r="A4847" s="1665"/>
      <c r="B4847" s="1666"/>
      <c r="C4847" s="688"/>
      <c r="D4847" s="1667"/>
      <c r="E4847" s="1671">
        <v>3.5</v>
      </c>
      <c r="F4847" s="1668"/>
      <c r="G4847" s="1671">
        <v>4</v>
      </c>
      <c r="H4847" s="1671">
        <f t="shared" si="842"/>
        <v>0</v>
      </c>
      <c r="I4847" s="688" t="s">
        <v>92</v>
      </c>
      <c r="J4847" s="1668"/>
      <c r="K4847" s="1668"/>
      <c r="L4847" s="1669"/>
    </row>
    <row r="4848" spans="1:12" s="692" customFormat="1" ht="16.5" hidden="1">
      <c r="A4848" s="1665"/>
      <c r="B4848" s="1666"/>
      <c r="C4848" s="688"/>
      <c r="D4848" s="1667"/>
      <c r="E4848" s="1671">
        <v>3.5</v>
      </c>
      <c r="F4848" s="1668"/>
      <c r="G4848" s="1671">
        <v>4</v>
      </c>
      <c r="H4848" s="1671">
        <f t="shared" si="842"/>
        <v>0</v>
      </c>
      <c r="I4848" s="688" t="s">
        <v>92</v>
      </c>
      <c r="J4848" s="1668"/>
      <c r="K4848" s="1668"/>
      <c r="L4848" s="1669"/>
    </row>
    <row r="4849" spans="1:12" s="692" customFormat="1" ht="16.5" hidden="1">
      <c r="A4849" s="1665"/>
      <c r="B4849" s="1666"/>
      <c r="C4849" s="688"/>
      <c r="D4849" s="1667"/>
      <c r="E4849" s="688"/>
      <c r="F4849" s="688"/>
      <c r="G4849" s="1674" t="s">
        <v>928</v>
      </c>
      <c r="H4849" s="1671">
        <f>SUM(H4843:H4848)</f>
        <v>0</v>
      </c>
      <c r="I4849" s="1668" t="s">
        <v>92</v>
      </c>
      <c r="J4849" s="1669">
        <f>'Lead &amp; ANALYSIS'!L936</f>
        <v>87.9</v>
      </c>
      <c r="K4849" s="1668" t="s">
        <v>1514</v>
      </c>
      <c r="L4849" s="1669">
        <f t="shared" ref="L4849" si="843">ROUND(H4849*J4849,0)</f>
        <v>0</v>
      </c>
    </row>
    <row r="4850" spans="1:12" s="692" customFormat="1" ht="16.5" hidden="1">
      <c r="A4850" s="1693" t="str">
        <f>'Lead &amp; ANALYSIS'!A937</f>
        <v>(iii)</v>
      </c>
      <c r="B4850" s="1666" t="str">
        <f>'Lead &amp; ANALYSIS'!B937</f>
        <v>2nd Floor</v>
      </c>
      <c r="C4850" s="688"/>
      <c r="D4850" s="1667"/>
      <c r="E4850" s="688"/>
      <c r="F4850" s="688"/>
      <c r="G4850" s="1674"/>
      <c r="H4850" s="688"/>
      <c r="I4850" s="1668"/>
      <c r="J4850" s="1668"/>
      <c r="K4850" s="1668"/>
      <c r="L4850" s="1669"/>
    </row>
    <row r="4851" spans="1:12" s="692" customFormat="1" ht="16.5" hidden="1">
      <c r="A4851" s="1693"/>
      <c r="B4851" s="1666"/>
      <c r="C4851" s="688"/>
      <c r="D4851" s="1667"/>
      <c r="E4851" s="1671">
        <v>3.5</v>
      </c>
      <c r="F4851" s="1668"/>
      <c r="G4851" s="1671">
        <v>4</v>
      </c>
      <c r="H4851" s="1671">
        <f t="shared" ref="H4851:H4856" si="844">ROUND(D4851*E4851*G4851,2)</f>
        <v>0</v>
      </c>
      <c r="I4851" s="688" t="s">
        <v>92</v>
      </c>
      <c r="J4851" s="1668"/>
      <c r="K4851" s="1668"/>
      <c r="L4851" s="1669"/>
    </row>
    <row r="4852" spans="1:12" s="692" customFormat="1" ht="16.5" hidden="1">
      <c r="A4852" s="1693"/>
      <c r="B4852" s="1666"/>
      <c r="C4852" s="688"/>
      <c r="D4852" s="1667"/>
      <c r="E4852" s="1671">
        <v>3.5</v>
      </c>
      <c r="F4852" s="1668"/>
      <c r="G4852" s="1671">
        <v>4</v>
      </c>
      <c r="H4852" s="1671">
        <f t="shared" si="844"/>
        <v>0</v>
      </c>
      <c r="I4852" s="688" t="s">
        <v>92</v>
      </c>
      <c r="J4852" s="1668"/>
      <c r="K4852" s="1668"/>
      <c r="L4852" s="1669"/>
    </row>
    <row r="4853" spans="1:12" s="692" customFormat="1" ht="16.5" hidden="1">
      <c r="A4853" s="1693"/>
      <c r="B4853" s="1666"/>
      <c r="C4853" s="688"/>
      <c r="D4853" s="1667"/>
      <c r="E4853" s="1671">
        <v>3.5</v>
      </c>
      <c r="F4853" s="1668"/>
      <c r="G4853" s="1671">
        <v>4</v>
      </c>
      <c r="H4853" s="1671">
        <f t="shared" si="844"/>
        <v>0</v>
      </c>
      <c r="I4853" s="688" t="s">
        <v>92</v>
      </c>
      <c r="J4853" s="1668"/>
      <c r="K4853" s="1668"/>
      <c r="L4853" s="1669"/>
    </row>
    <row r="4854" spans="1:12" s="692" customFormat="1" ht="16.5" hidden="1">
      <c r="A4854" s="1693"/>
      <c r="B4854" s="1666"/>
      <c r="C4854" s="688"/>
      <c r="D4854" s="1667"/>
      <c r="E4854" s="1671">
        <v>3.5</v>
      </c>
      <c r="F4854" s="1668"/>
      <c r="G4854" s="1671">
        <v>4</v>
      </c>
      <c r="H4854" s="1671">
        <f t="shared" si="844"/>
        <v>0</v>
      </c>
      <c r="I4854" s="688" t="s">
        <v>92</v>
      </c>
      <c r="J4854" s="1668"/>
      <c r="K4854" s="1668"/>
      <c r="L4854" s="1669"/>
    </row>
    <row r="4855" spans="1:12" s="692" customFormat="1" ht="16.5" hidden="1">
      <c r="A4855" s="1693"/>
      <c r="B4855" s="1666"/>
      <c r="C4855" s="688"/>
      <c r="D4855" s="1667"/>
      <c r="E4855" s="1671">
        <v>3.5</v>
      </c>
      <c r="F4855" s="1668"/>
      <c r="G4855" s="1671">
        <v>4</v>
      </c>
      <c r="H4855" s="1671">
        <f t="shared" si="844"/>
        <v>0</v>
      </c>
      <c r="I4855" s="688" t="s">
        <v>92</v>
      </c>
      <c r="J4855" s="1668"/>
      <c r="K4855" s="1668"/>
      <c r="L4855" s="1669"/>
    </row>
    <row r="4856" spans="1:12" s="692" customFormat="1" ht="16.5" hidden="1">
      <c r="A4856" s="1693"/>
      <c r="B4856" s="1666"/>
      <c r="C4856" s="688"/>
      <c r="D4856" s="1667"/>
      <c r="E4856" s="1671">
        <v>3.5</v>
      </c>
      <c r="F4856" s="1668"/>
      <c r="G4856" s="1671">
        <v>4</v>
      </c>
      <c r="H4856" s="1671">
        <f t="shared" si="844"/>
        <v>0</v>
      </c>
      <c r="I4856" s="688" t="s">
        <v>92</v>
      </c>
      <c r="J4856" s="1668"/>
      <c r="K4856" s="1668"/>
      <c r="L4856" s="1669"/>
    </row>
    <row r="4857" spans="1:12" s="692" customFormat="1" ht="16.5" hidden="1">
      <c r="A4857" s="1693"/>
      <c r="B4857" s="1666"/>
      <c r="C4857" s="688"/>
      <c r="D4857" s="1667"/>
      <c r="E4857" s="688"/>
      <c r="F4857" s="688"/>
      <c r="G4857" s="1674" t="s">
        <v>928</v>
      </c>
      <c r="H4857" s="1671">
        <f>SUM(H4851:H4856)</f>
        <v>0</v>
      </c>
      <c r="I4857" s="1668" t="s">
        <v>92</v>
      </c>
      <c r="J4857" s="1669">
        <f>'Lead &amp; ANALYSIS'!L937</f>
        <v>90.8</v>
      </c>
      <c r="K4857" s="1668" t="s">
        <v>1514</v>
      </c>
      <c r="L4857" s="1669">
        <f t="shared" ref="L4857" si="845">ROUND(H4857*J4857,0)</f>
        <v>0</v>
      </c>
    </row>
    <row r="4858" spans="1:12" s="692" customFormat="1" ht="16.5" hidden="1">
      <c r="A4858" s="1693" t="str">
        <f>'Lead &amp; ANALYSIS'!A938</f>
        <v>(iv)</v>
      </c>
      <c r="B4858" s="1666" t="str">
        <f>'Lead &amp; ANALYSIS'!B938</f>
        <v>3rd Floor</v>
      </c>
      <c r="C4858" s="688"/>
      <c r="D4858" s="1667"/>
      <c r="E4858" s="688"/>
      <c r="F4858" s="688"/>
      <c r="G4858" s="1674"/>
      <c r="H4858" s="688"/>
      <c r="I4858" s="1668"/>
      <c r="J4858" s="1668"/>
      <c r="K4858" s="1668"/>
      <c r="L4858" s="1669"/>
    </row>
    <row r="4859" spans="1:12" s="692" customFormat="1" ht="16.5" hidden="1">
      <c r="A4859" s="1665"/>
      <c r="B4859" s="1666"/>
      <c r="C4859" s="688"/>
      <c r="D4859" s="1667"/>
      <c r="E4859" s="1671">
        <v>3.5</v>
      </c>
      <c r="F4859" s="1668"/>
      <c r="G4859" s="1671">
        <v>4</v>
      </c>
      <c r="H4859" s="1671">
        <f t="shared" ref="H4859:H4864" si="846">ROUND(D4859*E4859*G4859,2)</f>
        <v>0</v>
      </c>
      <c r="I4859" s="688" t="s">
        <v>92</v>
      </c>
      <c r="J4859" s="1668"/>
      <c r="K4859" s="1668"/>
      <c r="L4859" s="1669"/>
    </row>
    <row r="4860" spans="1:12" s="692" customFormat="1" ht="16.5" hidden="1">
      <c r="A4860" s="1665"/>
      <c r="B4860" s="1666"/>
      <c r="C4860" s="688"/>
      <c r="D4860" s="1667"/>
      <c r="E4860" s="1671">
        <v>3.5</v>
      </c>
      <c r="F4860" s="1668"/>
      <c r="G4860" s="1671">
        <v>4</v>
      </c>
      <c r="H4860" s="1671">
        <f t="shared" si="846"/>
        <v>0</v>
      </c>
      <c r="I4860" s="688" t="s">
        <v>92</v>
      </c>
      <c r="J4860" s="1668"/>
      <c r="K4860" s="1668"/>
      <c r="L4860" s="1669"/>
    </row>
    <row r="4861" spans="1:12" s="692" customFormat="1" ht="16.5" hidden="1">
      <c r="A4861" s="1665"/>
      <c r="B4861" s="1666"/>
      <c r="C4861" s="688"/>
      <c r="D4861" s="1667"/>
      <c r="E4861" s="1671">
        <v>3.5</v>
      </c>
      <c r="F4861" s="1668"/>
      <c r="G4861" s="1671">
        <v>4</v>
      </c>
      <c r="H4861" s="1671">
        <f t="shared" si="846"/>
        <v>0</v>
      </c>
      <c r="I4861" s="688" t="s">
        <v>92</v>
      </c>
      <c r="J4861" s="1668"/>
      <c r="K4861" s="1668"/>
      <c r="L4861" s="1669"/>
    </row>
    <row r="4862" spans="1:12" s="692" customFormat="1" ht="16.5" hidden="1">
      <c r="A4862" s="1665"/>
      <c r="B4862" s="1666"/>
      <c r="C4862" s="688"/>
      <c r="D4862" s="1667"/>
      <c r="E4862" s="1671">
        <v>3.5</v>
      </c>
      <c r="F4862" s="1668"/>
      <c r="G4862" s="1671">
        <v>4</v>
      </c>
      <c r="H4862" s="1671">
        <f t="shared" si="846"/>
        <v>0</v>
      </c>
      <c r="I4862" s="688" t="s">
        <v>92</v>
      </c>
      <c r="J4862" s="1668"/>
      <c r="K4862" s="1668"/>
      <c r="L4862" s="1669"/>
    </row>
    <row r="4863" spans="1:12" s="692" customFormat="1" ht="16.5" hidden="1">
      <c r="A4863" s="1665"/>
      <c r="B4863" s="1666"/>
      <c r="C4863" s="688"/>
      <c r="D4863" s="1667"/>
      <c r="E4863" s="1671">
        <v>3.5</v>
      </c>
      <c r="F4863" s="1668"/>
      <c r="G4863" s="1671">
        <v>4</v>
      </c>
      <c r="H4863" s="1671">
        <f t="shared" si="846"/>
        <v>0</v>
      </c>
      <c r="I4863" s="688" t="s">
        <v>92</v>
      </c>
      <c r="J4863" s="1668"/>
      <c r="K4863" s="1668"/>
      <c r="L4863" s="1669"/>
    </row>
    <row r="4864" spans="1:12" s="692" customFormat="1" ht="16.5" hidden="1">
      <c r="A4864" s="1665"/>
      <c r="B4864" s="1666"/>
      <c r="C4864" s="688"/>
      <c r="D4864" s="1667"/>
      <c r="E4864" s="1671">
        <v>3.5</v>
      </c>
      <c r="F4864" s="1668"/>
      <c r="G4864" s="1671">
        <v>4</v>
      </c>
      <c r="H4864" s="1671">
        <f t="shared" si="846"/>
        <v>0</v>
      </c>
      <c r="I4864" s="688" t="s">
        <v>92</v>
      </c>
      <c r="J4864" s="1668"/>
      <c r="K4864" s="1668"/>
      <c r="L4864" s="1669"/>
    </row>
    <row r="4865" spans="1:12" s="692" customFormat="1" ht="16.5" hidden="1">
      <c r="A4865" s="1665"/>
      <c r="B4865" s="1666"/>
      <c r="C4865" s="688"/>
      <c r="D4865" s="1667"/>
      <c r="E4865" s="688"/>
      <c r="F4865" s="688"/>
      <c r="G4865" s="1674" t="s">
        <v>928</v>
      </c>
      <c r="H4865" s="1671">
        <f>SUM(H4859:H4864)</f>
        <v>0</v>
      </c>
      <c r="I4865" s="1668" t="s">
        <v>92</v>
      </c>
      <c r="J4865" s="1669">
        <f>'Lead &amp; ANALYSIS'!L938</f>
        <v>94</v>
      </c>
      <c r="K4865" s="1668" t="s">
        <v>1514</v>
      </c>
      <c r="L4865" s="1669">
        <f t="shared" ref="L4865" si="847">ROUND(H4865*J4865,0)</f>
        <v>0</v>
      </c>
    </row>
    <row r="4866" spans="1:12" s="692" customFormat="1" ht="82.5">
      <c r="A4866" s="1665">
        <v>15</v>
      </c>
      <c r="B4866" s="1666" t="str">
        <f>'Lead &amp; ANALYSIS'!B939</f>
        <v>Painting two coats with approved weather seal paints of approved colour, shade on wall surface over a coat of wall primer including sand papering, polishing the surface,  etc, complete as per specification &amp; direction of Engineer-in-charge.</v>
      </c>
      <c r="C4866" s="688"/>
      <c r="D4866" s="1667"/>
      <c r="E4866" s="688"/>
      <c r="F4866" s="688"/>
      <c r="G4866" s="1674"/>
      <c r="H4866" s="688"/>
      <c r="I4866" s="1668"/>
      <c r="J4866" s="1668"/>
      <c r="K4866" s="1668"/>
      <c r="L4866" s="1669"/>
    </row>
    <row r="4867" spans="1:12" s="692" customFormat="1" ht="16.5" hidden="1">
      <c r="A4867" s="1665" t="str">
        <f>'Lead &amp; ANALYSIS'!A940</f>
        <v>(i)</v>
      </c>
      <c r="B4867" s="1666" t="str">
        <f>'Lead &amp; ANALYSIS'!B940</f>
        <v>Ground Floor</v>
      </c>
      <c r="C4867" s="688"/>
      <c r="D4867" s="1667"/>
      <c r="E4867" s="688"/>
      <c r="F4867" s="688"/>
      <c r="G4867" s="1674"/>
      <c r="H4867" s="688"/>
      <c r="I4867" s="1668"/>
      <c r="J4867" s="1668"/>
      <c r="K4867" s="1668"/>
      <c r="L4867" s="1669"/>
    </row>
    <row r="4868" spans="1:12" s="692" customFormat="1" ht="16.5">
      <c r="A4868" s="1665"/>
      <c r="B4868" s="1666" t="s">
        <v>2998</v>
      </c>
      <c r="C4868" s="688"/>
      <c r="D4868" s="1667"/>
      <c r="E4868" s="688"/>
      <c r="F4868" s="688"/>
      <c r="G4868" s="1674"/>
      <c r="H4868" s="1671">
        <f>H3034</f>
        <v>168.20000000000002</v>
      </c>
      <c r="I4868" s="1668" t="s">
        <v>92</v>
      </c>
      <c r="J4868" s="1668"/>
      <c r="K4868" s="1668"/>
      <c r="L4868" s="1669"/>
    </row>
    <row r="4869" spans="1:12" s="692" customFormat="1" ht="16.5">
      <c r="A4869" s="1665"/>
      <c r="B4869" s="1666" t="s">
        <v>1872</v>
      </c>
      <c r="C4869" s="688"/>
      <c r="D4869" s="1667">
        <v>1</v>
      </c>
      <c r="E4869" s="1671">
        <v>52.4</v>
      </c>
      <c r="F4869" s="1668"/>
      <c r="G4869" s="1671">
        <v>0.25</v>
      </c>
      <c r="H4869" s="1671">
        <f t="shared" ref="H4869:H4874" si="848">ROUND(D4869*E4869*G4869,2)</f>
        <v>13.1</v>
      </c>
      <c r="I4869" s="688" t="s">
        <v>92</v>
      </c>
      <c r="J4869" s="1668"/>
      <c r="K4869" s="1668"/>
      <c r="L4869" s="1669"/>
    </row>
    <row r="4870" spans="1:12" s="692" customFormat="1" ht="16.5" hidden="1">
      <c r="A4870" s="1665"/>
      <c r="B4870" s="1666"/>
      <c r="C4870" s="688"/>
      <c r="D4870" s="1667"/>
      <c r="E4870" s="1671">
        <f>E3023</f>
        <v>5.25</v>
      </c>
      <c r="F4870" s="1668"/>
      <c r="G4870" s="1671">
        <f>G4869</f>
        <v>0.25</v>
      </c>
      <c r="H4870" s="1671">
        <f t="shared" si="848"/>
        <v>0</v>
      </c>
      <c r="I4870" s="688" t="s">
        <v>92</v>
      </c>
      <c r="J4870" s="1668"/>
      <c r="K4870" s="1668"/>
      <c r="L4870" s="1669"/>
    </row>
    <row r="4871" spans="1:12" s="692" customFormat="1" ht="16.5">
      <c r="A4871" s="1665"/>
      <c r="B4871" s="1666" t="s">
        <v>481</v>
      </c>
      <c r="C4871" s="688"/>
      <c r="D4871" s="1667">
        <v>4</v>
      </c>
      <c r="E4871" s="1671">
        <v>1.5</v>
      </c>
      <c r="F4871" s="1668"/>
      <c r="G4871" s="1671">
        <v>1.25</v>
      </c>
      <c r="H4871" s="1671">
        <f t="shared" si="848"/>
        <v>7.5</v>
      </c>
      <c r="I4871" s="688" t="s">
        <v>92</v>
      </c>
      <c r="J4871" s="1668"/>
      <c r="K4871" s="1668"/>
      <c r="L4871" s="1669"/>
    </row>
    <row r="4872" spans="1:12" s="692" customFormat="1" ht="16.5">
      <c r="A4872" s="1665"/>
      <c r="B4872" s="1666"/>
      <c r="C4872" s="688"/>
      <c r="D4872" s="1667">
        <v>1</v>
      </c>
      <c r="E4872" s="1671">
        <v>23.05</v>
      </c>
      <c r="F4872" s="1668"/>
      <c r="G4872" s="1671">
        <f>G4871</f>
        <v>1.25</v>
      </c>
      <c r="H4872" s="1671">
        <f t="shared" si="848"/>
        <v>28.81</v>
      </c>
      <c r="I4872" s="688" t="s">
        <v>92</v>
      </c>
      <c r="J4872" s="1668"/>
      <c r="K4872" s="1668"/>
      <c r="L4872" s="1669"/>
    </row>
    <row r="4873" spans="1:12" s="692" customFormat="1" ht="16.5" hidden="1">
      <c r="A4873" s="1665"/>
      <c r="B4873" s="1666"/>
      <c r="C4873" s="688"/>
      <c r="D4873" s="1667"/>
      <c r="E4873" s="1671">
        <v>3.5</v>
      </c>
      <c r="F4873" s="1668"/>
      <c r="G4873" s="1671">
        <v>4</v>
      </c>
      <c r="H4873" s="1671">
        <f t="shared" si="848"/>
        <v>0</v>
      </c>
      <c r="I4873" s="688" t="s">
        <v>92</v>
      </c>
      <c r="J4873" s="1668"/>
      <c r="K4873" s="1668"/>
      <c r="L4873" s="1669"/>
    </row>
    <row r="4874" spans="1:12" s="692" customFormat="1" ht="16.5" hidden="1">
      <c r="A4874" s="1665"/>
      <c r="B4874" s="1666"/>
      <c r="C4874" s="688"/>
      <c r="D4874" s="1667"/>
      <c r="E4874" s="1671">
        <v>3.5</v>
      </c>
      <c r="F4874" s="1668"/>
      <c r="G4874" s="1671">
        <v>4</v>
      </c>
      <c r="H4874" s="1671">
        <f t="shared" si="848"/>
        <v>0</v>
      </c>
      <c r="I4874" s="688" t="s">
        <v>92</v>
      </c>
      <c r="J4874" s="1668"/>
      <c r="K4874" s="1668"/>
      <c r="L4874" s="1669"/>
    </row>
    <row r="4875" spans="1:12" s="692" customFormat="1" ht="16.5">
      <c r="A4875" s="1665"/>
      <c r="B4875" s="1666"/>
      <c r="C4875" s="688"/>
      <c r="D4875" s="1667"/>
      <c r="E4875" s="688"/>
      <c r="F4875" s="688"/>
      <c r="G4875" s="1668" t="s">
        <v>928</v>
      </c>
      <c r="H4875" s="1673">
        <f>SUM(H4868:H4874)</f>
        <v>217.61</v>
      </c>
      <c r="I4875" s="1668" t="s">
        <v>92</v>
      </c>
      <c r="J4875" s="1669">
        <f>'Lead &amp; ANALYSIS'!L940</f>
        <v>153</v>
      </c>
      <c r="K4875" s="1668" t="s">
        <v>1514</v>
      </c>
      <c r="L4875" s="1669">
        <f t="shared" ref="L4875" si="849">ROUND(H4875*J4875,0)</f>
        <v>33294</v>
      </c>
    </row>
    <row r="4876" spans="1:12" s="692" customFormat="1" ht="16.5" hidden="1">
      <c r="A4876" s="1665" t="str">
        <f>'Lead &amp; ANALYSIS'!A941</f>
        <v>(ii)</v>
      </c>
      <c r="B4876" s="1666" t="str">
        <f>'Lead &amp; ANALYSIS'!B941</f>
        <v>First Floor</v>
      </c>
      <c r="C4876" s="688"/>
      <c r="D4876" s="1667"/>
      <c r="E4876" s="688"/>
      <c r="F4876" s="688"/>
      <c r="G4876" s="1674"/>
      <c r="H4876" s="688"/>
      <c r="I4876" s="1668"/>
      <c r="J4876" s="1668"/>
      <c r="K4876" s="1668"/>
      <c r="L4876" s="1669"/>
    </row>
    <row r="4877" spans="1:12" s="692" customFormat="1" ht="16.5" hidden="1">
      <c r="A4877" s="1665"/>
      <c r="B4877" s="1666"/>
      <c r="C4877" s="688"/>
      <c r="D4877" s="1667"/>
      <c r="E4877" s="1671">
        <v>3.5</v>
      </c>
      <c r="F4877" s="1668"/>
      <c r="G4877" s="1671">
        <v>4</v>
      </c>
      <c r="H4877" s="1671">
        <f t="shared" ref="H4877:H4882" si="850">ROUND(D4877*E4877*G4877,2)</f>
        <v>0</v>
      </c>
      <c r="I4877" s="688" t="s">
        <v>92</v>
      </c>
      <c r="J4877" s="1668"/>
      <c r="K4877" s="1668"/>
      <c r="L4877" s="1669"/>
    </row>
    <row r="4878" spans="1:12" s="692" customFormat="1" ht="16.5" hidden="1">
      <c r="A4878" s="1665"/>
      <c r="B4878" s="1666"/>
      <c r="C4878" s="688"/>
      <c r="D4878" s="1667"/>
      <c r="E4878" s="1671">
        <v>3.5</v>
      </c>
      <c r="F4878" s="1668"/>
      <c r="G4878" s="1671">
        <v>4</v>
      </c>
      <c r="H4878" s="1671">
        <f t="shared" si="850"/>
        <v>0</v>
      </c>
      <c r="I4878" s="688" t="s">
        <v>92</v>
      </c>
      <c r="J4878" s="1668"/>
      <c r="K4878" s="1668"/>
      <c r="L4878" s="1669"/>
    </row>
    <row r="4879" spans="1:12" s="692" customFormat="1" ht="16.5" hidden="1">
      <c r="A4879" s="1665"/>
      <c r="B4879" s="1666"/>
      <c r="C4879" s="688"/>
      <c r="D4879" s="1667"/>
      <c r="E4879" s="1671">
        <v>3.5</v>
      </c>
      <c r="F4879" s="1668"/>
      <c r="G4879" s="1671">
        <v>4</v>
      </c>
      <c r="H4879" s="1671">
        <f t="shared" si="850"/>
        <v>0</v>
      </c>
      <c r="I4879" s="688" t="s">
        <v>92</v>
      </c>
      <c r="J4879" s="1668"/>
      <c r="K4879" s="1668"/>
      <c r="L4879" s="1669"/>
    </row>
    <row r="4880" spans="1:12" s="692" customFormat="1" ht="16.5" hidden="1">
      <c r="A4880" s="1665"/>
      <c r="B4880" s="1666"/>
      <c r="C4880" s="688"/>
      <c r="D4880" s="1667"/>
      <c r="E4880" s="1671">
        <v>3.5</v>
      </c>
      <c r="F4880" s="1668"/>
      <c r="G4880" s="1671">
        <v>4</v>
      </c>
      <c r="H4880" s="1671">
        <f t="shared" si="850"/>
        <v>0</v>
      </c>
      <c r="I4880" s="688" t="s">
        <v>92</v>
      </c>
      <c r="J4880" s="1668"/>
      <c r="K4880" s="1668"/>
      <c r="L4880" s="1669"/>
    </row>
    <row r="4881" spans="1:12" s="692" customFormat="1" ht="16.5" hidden="1">
      <c r="A4881" s="1665"/>
      <c r="B4881" s="1666"/>
      <c r="C4881" s="688"/>
      <c r="D4881" s="1667"/>
      <c r="E4881" s="1671">
        <v>3.5</v>
      </c>
      <c r="F4881" s="1668"/>
      <c r="G4881" s="1671">
        <v>4</v>
      </c>
      <c r="H4881" s="1671">
        <f t="shared" si="850"/>
        <v>0</v>
      </c>
      <c r="I4881" s="688" t="s">
        <v>92</v>
      </c>
      <c r="J4881" s="1668"/>
      <c r="K4881" s="1668"/>
      <c r="L4881" s="1669"/>
    </row>
    <row r="4882" spans="1:12" s="692" customFormat="1" ht="16.5" hidden="1">
      <c r="A4882" s="1665"/>
      <c r="B4882" s="1666"/>
      <c r="C4882" s="688"/>
      <c r="D4882" s="1667"/>
      <c r="E4882" s="1671">
        <v>3.5</v>
      </c>
      <c r="F4882" s="1668"/>
      <c r="G4882" s="1671">
        <v>4</v>
      </c>
      <c r="H4882" s="1671">
        <f t="shared" si="850"/>
        <v>0</v>
      </c>
      <c r="I4882" s="688" t="s">
        <v>92</v>
      </c>
      <c r="J4882" s="1668"/>
      <c r="K4882" s="1668"/>
      <c r="L4882" s="1669"/>
    </row>
    <row r="4883" spans="1:12" s="692" customFormat="1" ht="16.5" hidden="1">
      <c r="A4883" s="1665"/>
      <c r="B4883" s="1666"/>
      <c r="C4883" s="688"/>
      <c r="D4883" s="1667"/>
      <c r="E4883" s="688"/>
      <c r="F4883" s="688"/>
      <c r="G4883" s="1674" t="s">
        <v>928</v>
      </c>
      <c r="H4883" s="1671">
        <f>SUM(H4877:H4882)</f>
        <v>0</v>
      </c>
      <c r="I4883" s="1668" t="s">
        <v>92</v>
      </c>
      <c r="J4883" s="1669">
        <f>'Lead &amp; ANALYSIS'!L941</f>
        <v>158.4</v>
      </c>
      <c r="K4883" s="1668" t="s">
        <v>1514</v>
      </c>
      <c r="L4883" s="1669">
        <f t="shared" ref="L4883" si="851">ROUND(H4883*J4883,0)</f>
        <v>0</v>
      </c>
    </row>
    <row r="4884" spans="1:12" s="692" customFormat="1" ht="16.5" hidden="1">
      <c r="A4884" s="1693" t="str">
        <f>'Lead &amp; ANALYSIS'!A942</f>
        <v>(iii)</v>
      </c>
      <c r="B4884" s="1666" t="str">
        <f>'Lead &amp; ANALYSIS'!B942</f>
        <v>2nd Floor</v>
      </c>
      <c r="C4884" s="688"/>
      <c r="D4884" s="1667"/>
      <c r="E4884" s="688"/>
      <c r="F4884" s="688"/>
      <c r="G4884" s="1674"/>
      <c r="H4884" s="688"/>
      <c r="I4884" s="1668"/>
      <c r="J4884" s="1668"/>
      <c r="K4884" s="1668"/>
      <c r="L4884" s="1669"/>
    </row>
    <row r="4885" spans="1:12" s="692" customFormat="1" ht="16.5" hidden="1">
      <c r="A4885" s="1693"/>
      <c r="B4885" s="1666"/>
      <c r="C4885" s="688"/>
      <c r="D4885" s="1667"/>
      <c r="E4885" s="1671">
        <v>3.5</v>
      </c>
      <c r="F4885" s="1668"/>
      <c r="G4885" s="1671">
        <v>4</v>
      </c>
      <c r="H4885" s="1671">
        <f t="shared" ref="H4885:H4890" si="852">ROUND(D4885*E4885*G4885,2)</f>
        <v>0</v>
      </c>
      <c r="I4885" s="688" t="s">
        <v>92</v>
      </c>
      <c r="J4885" s="1668"/>
      <c r="K4885" s="1668"/>
      <c r="L4885" s="1669"/>
    </row>
    <row r="4886" spans="1:12" s="692" customFormat="1" ht="16.5" hidden="1">
      <c r="A4886" s="1693"/>
      <c r="B4886" s="1666"/>
      <c r="C4886" s="688"/>
      <c r="D4886" s="1667"/>
      <c r="E4886" s="1671">
        <v>3.5</v>
      </c>
      <c r="F4886" s="1668"/>
      <c r="G4886" s="1671">
        <v>4</v>
      </c>
      <c r="H4886" s="1671">
        <f t="shared" si="852"/>
        <v>0</v>
      </c>
      <c r="I4886" s="688" t="s">
        <v>92</v>
      </c>
      <c r="J4886" s="1668"/>
      <c r="K4886" s="1668"/>
      <c r="L4886" s="1669"/>
    </row>
    <row r="4887" spans="1:12" s="692" customFormat="1" ht="16.5" hidden="1">
      <c r="A4887" s="1693"/>
      <c r="B4887" s="1666"/>
      <c r="C4887" s="688"/>
      <c r="D4887" s="1667"/>
      <c r="E4887" s="1671">
        <v>3.5</v>
      </c>
      <c r="F4887" s="1668"/>
      <c r="G4887" s="1671">
        <v>4</v>
      </c>
      <c r="H4887" s="1671">
        <f t="shared" si="852"/>
        <v>0</v>
      </c>
      <c r="I4887" s="688" t="s">
        <v>92</v>
      </c>
      <c r="J4887" s="1668"/>
      <c r="K4887" s="1668"/>
      <c r="L4887" s="1669"/>
    </row>
    <row r="4888" spans="1:12" s="692" customFormat="1" ht="16.5" hidden="1">
      <c r="A4888" s="1693"/>
      <c r="B4888" s="1666"/>
      <c r="C4888" s="688"/>
      <c r="D4888" s="1667"/>
      <c r="E4888" s="1671">
        <v>3.5</v>
      </c>
      <c r="F4888" s="1668"/>
      <c r="G4888" s="1671">
        <v>4</v>
      </c>
      <c r="H4888" s="1671">
        <f t="shared" si="852"/>
        <v>0</v>
      </c>
      <c r="I4888" s="688" t="s">
        <v>92</v>
      </c>
      <c r="J4888" s="1668"/>
      <c r="K4888" s="1668"/>
      <c r="L4888" s="1669"/>
    </row>
    <row r="4889" spans="1:12" s="692" customFormat="1" ht="16.5" hidden="1">
      <c r="A4889" s="1693"/>
      <c r="B4889" s="1666"/>
      <c r="C4889" s="688"/>
      <c r="D4889" s="1667"/>
      <c r="E4889" s="1671">
        <v>3.5</v>
      </c>
      <c r="F4889" s="1668"/>
      <c r="G4889" s="1671">
        <v>4</v>
      </c>
      <c r="H4889" s="1671">
        <f t="shared" si="852"/>
        <v>0</v>
      </c>
      <c r="I4889" s="688" t="s">
        <v>92</v>
      </c>
      <c r="J4889" s="1668"/>
      <c r="K4889" s="1668"/>
      <c r="L4889" s="1669"/>
    </row>
    <row r="4890" spans="1:12" s="692" customFormat="1" ht="16.5" hidden="1">
      <c r="A4890" s="1693"/>
      <c r="B4890" s="1666"/>
      <c r="C4890" s="688"/>
      <c r="D4890" s="1667"/>
      <c r="E4890" s="1671">
        <v>3.5</v>
      </c>
      <c r="F4890" s="1668"/>
      <c r="G4890" s="1671">
        <v>4</v>
      </c>
      <c r="H4890" s="1671">
        <f t="shared" si="852"/>
        <v>0</v>
      </c>
      <c r="I4890" s="688" t="s">
        <v>92</v>
      </c>
      <c r="J4890" s="1668"/>
      <c r="K4890" s="1668"/>
      <c r="L4890" s="1669"/>
    </row>
    <row r="4891" spans="1:12" s="692" customFormat="1" ht="16.5" hidden="1">
      <c r="A4891" s="1693"/>
      <c r="B4891" s="1666"/>
      <c r="C4891" s="688"/>
      <c r="D4891" s="1667"/>
      <c r="E4891" s="688"/>
      <c r="F4891" s="688"/>
      <c r="G4891" s="1674" t="s">
        <v>928</v>
      </c>
      <c r="H4891" s="1671">
        <f>SUM(H4885:H4890)</f>
        <v>0</v>
      </c>
      <c r="I4891" s="1668" t="s">
        <v>92</v>
      </c>
      <c r="J4891" s="1669">
        <f>'Lead &amp; ANALYSIS'!L942</f>
        <v>164.2</v>
      </c>
      <c r="K4891" s="1668" t="s">
        <v>1514</v>
      </c>
      <c r="L4891" s="1669">
        <f t="shared" ref="L4891" si="853">ROUND(H4891*J4891,0)</f>
        <v>0</v>
      </c>
    </row>
    <row r="4892" spans="1:12" s="692" customFormat="1" ht="16.5" hidden="1">
      <c r="A4892" s="1693" t="str">
        <f>'Lead &amp; ANALYSIS'!A943</f>
        <v>(iv)</v>
      </c>
      <c r="B4892" s="1666" t="str">
        <f>'Lead &amp; ANALYSIS'!B943</f>
        <v>3rd Floor</v>
      </c>
      <c r="C4892" s="688"/>
      <c r="D4892" s="1667"/>
      <c r="E4892" s="688"/>
      <c r="F4892" s="688"/>
      <c r="G4892" s="1674"/>
      <c r="H4892" s="688"/>
      <c r="I4892" s="1668"/>
      <c r="J4892" s="1668"/>
      <c r="K4892" s="1668"/>
      <c r="L4892" s="1669"/>
    </row>
    <row r="4893" spans="1:12" s="692" customFormat="1" ht="16.5" hidden="1">
      <c r="A4893" s="1665"/>
      <c r="B4893" s="1666"/>
      <c r="C4893" s="688"/>
      <c r="D4893" s="1667"/>
      <c r="E4893" s="1671">
        <v>3.5</v>
      </c>
      <c r="F4893" s="1668"/>
      <c r="G4893" s="1671">
        <v>4</v>
      </c>
      <c r="H4893" s="1671">
        <f t="shared" ref="H4893:H4898" si="854">ROUND(D4893*E4893*G4893,2)</f>
        <v>0</v>
      </c>
      <c r="I4893" s="688" t="s">
        <v>92</v>
      </c>
      <c r="J4893" s="1668"/>
      <c r="K4893" s="1668"/>
      <c r="L4893" s="1669"/>
    </row>
    <row r="4894" spans="1:12" s="692" customFormat="1" ht="16.5" hidden="1">
      <c r="A4894" s="1665"/>
      <c r="B4894" s="1666"/>
      <c r="C4894" s="688"/>
      <c r="D4894" s="1667"/>
      <c r="E4894" s="1671">
        <v>3.5</v>
      </c>
      <c r="F4894" s="1668"/>
      <c r="G4894" s="1671">
        <v>4</v>
      </c>
      <c r="H4894" s="1671">
        <f t="shared" si="854"/>
        <v>0</v>
      </c>
      <c r="I4894" s="688" t="s">
        <v>92</v>
      </c>
      <c r="J4894" s="1668"/>
      <c r="K4894" s="1668"/>
      <c r="L4894" s="1669"/>
    </row>
    <row r="4895" spans="1:12" s="692" customFormat="1" ht="16.5" hidden="1">
      <c r="A4895" s="1665"/>
      <c r="B4895" s="1666"/>
      <c r="C4895" s="688"/>
      <c r="D4895" s="1667"/>
      <c r="E4895" s="1671">
        <v>3.5</v>
      </c>
      <c r="F4895" s="1668"/>
      <c r="G4895" s="1671">
        <v>4</v>
      </c>
      <c r="H4895" s="1671">
        <f t="shared" si="854"/>
        <v>0</v>
      </c>
      <c r="I4895" s="688" t="s">
        <v>92</v>
      </c>
      <c r="J4895" s="1668"/>
      <c r="K4895" s="1668"/>
      <c r="L4895" s="1669"/>
    </row>
    <row r="4896" spans="1:12" s="692" customFormat="1" ht="16.5" hidden="1">
      <c r="A4896" s="1665"/>
      <c r="B4896" s="1666"/>
      <c r="C4896" s="688"/>
      <c r="D4896" s="1667"/>
      <c r="E4896" s="1671">
        <v>3.5</v>
      </c>
      <c r="F4896" s="1668"/>
      <c r="G4896" s="1671">
        <v>4</v>
      </c>
      <c r="H4896" s="1671">
        <f t="shared" si="854"/>
        <v>0</v>
      </c>
      <c r="I4896" s="688" t="s">
        <v>92</v>
      </c>
      <c r="J4896" s="1668"/>
      <c r="K4896" s="1668"/>
      <c r="L4896" s="1669"/>
    </row>
    <row r="4897" spans="1:12" s="692" customFormat="1" ht="16.5" hidden="1">
      <c r="A4897" s="1665"/>
      <c r="B4897" s="1666"/>
      <c r="C4897" s="688"/>
      <c r="D4897" s="1667"/>
      <c r="E4897" s="1671">
        <v>3.5</v>
      </c>
      <c r="F4897" s="1668"/>
      <c r="G4897" s="1671">
        <v>4</v>
      </c>
      <c r="H4897" s="1671">
        <f t="shared" si="854"/>
        <v>0</v>
      </c>
      <c r="I4897" s="688" t="s">
        <v>92</v>
      </c>
      <c r="J4897" s="1668"/>
      <c r="K4897" s="1668"/>
      <c r="L4897" s="1669"/>
    </row>
    <row r="4898" spans="1:12" s="692" customFormat="1" ht="16.5" hidden="1">
      <c r="A4898" s="1665"/>
      <c r="B4898" s="1666"/>
      <c r="C4898" s="688"/>
      <c r="D4898" s="1667"/>
      <c r="E4898" s="1671">
        <v>3.5</v>
      </c>
      <c r="F4898" s="1668"/>
      <c r="G4898" s="1671">
        <v>4</v>
      </c>
      <c r="H4898" s="1671">
        <f t="shared" si="854"/>
        <v>0</v>
      </c>
      <c r="I4898" s="688" t="s">
        <v>92</v>
      </c>
      <c r="J4898" s="1668"/>
      <c r="K4898" s="1668"/>
      <c r="L4898" s="1669"/>
    </row>
    <row r="4899" spans="1:12" s="692" customFormat="1" ht="16.5" hidden="1">
      <c r="A4899" s="1665"/>
      <c r="B4899" s="1666"/>
      <c r="C4899" s="688"/>
      <c r="D4899" s="1667"/>
      <c r="E4899" s="688"/>
      <c r="F4899" s="688"/>
      <c r="G4899" s="1674" t="s">
        <v>928</v>
      </c>
      <c r="H4899" s="1671">
        <f>SUM(H4893:H4898)</f>
        <v>0</v>
      </c>
      <c r="I4899" s="1668" t="s">
        <v>92</v>
      </c>
      <c r="J4899" s="1669">
        <f>'Lead &amp; ANALYSIS'!L943</f>
        <v>170.2</v>
      </c>
      <c r="K4899" s="1668" t="s">
        <v>1514</v>
      </c>
      <c r="L4899" s="1669">
        <f t="shared" ref="L4899" si="855">ROUND(H4899*J4899,0)</f>
        <v>0</v>
      </c>
    </row>
    <row r="4900" spans="1:12" s="692" customFormat="1" ht="132" hidden="1">
      <c r="A4900" s="1665">
        <f>'Lead &amp; ANALYSIS'!A944</f>
        <v>120</v>
      </c>
      <c r="B4900" s="1666" t="str">
        <f>'Lead &amp; ANALYSIS'!B944</f>
        <v xml:space="preserve">Finishing plastered surfaces with Plaster of Paris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v>
      </c>
      <c r="C4900" s="688"/>
      <c r="D4900" s="1667"/>
      <c r="E4900" s="688"/>
      <c r="F4900" s="688"/>
      <c r="G4900" s="1674"/>
      <c r="H4900" s="688"/>
      <c r="I4900" s="1668"/>
      <c r="J4900" s="1668"/>
      <c r="K4900" s="1668"/>
      <c r="L4900" s="1669"/>
    </row>
    <row r="4901" spans="1:12" s="692" customFormat="1" ht="16.5" hidden="1">
      <c r="A4901" s="1665" t="str">
        <f>'Lead &amp; ANALYSIS'!A945</f>
        <v>(i)</v>
      </c>
      <c r="B4901" s="1666" t="str">
        <f>'Lead &amp; ANALYSIS'!B945</f>
        <v>Ground Floor</v>
      </c>
      <c r="C4901" s="688"/>
      <c r="D4901" s="1667"/>
      <c r="E4901" s="688"/>
      <c r="F4901" s="688"/>
      <c r="G4901" s="1674"/>
      <c r="H4901" s="688"/>
      <c r="I4901" s="1668"/>
      <c r="J4901" s="1668"/>
      <c r="K4901" s="1668"/>
      <c r="L4901" s="1669"/>
    </row>
    <row r="4902" spans="1:12" s="692" customFormat="1" ht="16.5" hidden="1">
      <c r="A4902" s="1665"/>
      <c r="B4902" s="1666"/>
      <c r="C4902" s="688"/>
      <c r="D4902" s="1667"/>
      <c r="E4902" s="1671">
        <v>3.5</v>
      </c>
      <c r="F4902" s="1668"/>
      <c r="G4902" s="1671">
        <v>4</v>
      </c>
      <c r="H4902" s="1671">
        <f t="shared" ref="H4902:H4907" si="856">ROUND(D4902*E4902*G4902,2)</f>
        <v>0</v>
      </c>
      <c r="I4902" s="688" t="s">
        <v>92</v>
      </c>
      <c r="J4902" s="1668"/>
      <c r="K4902" s="1668"/>
      <c r="L4902" s="1669"/>
    </row>
    <row r="4903" spans="1:12" s="692" customFormat="1" ht="16.5" hidden="1">
      <c r="A4903" s="1665"/>
      <c r="B4903" s="1666"/>
      <c r="C4903" s="688"/>
      <c r="D4903" s="1667"/>
      <c r="E4903" s="1671">
        <v>3.5</v>
      </c>
      <c r="F4903" s="1668"/>
      <c r="G4903" s="1671">
        <v>4</v>
      </c>
      <c r="H4903" s="1671">
        <f t="shared" si="856"/>
        <v>0</v>
      </c>
      <c r="I4903" s="688" t="s">
        <v>92</v>
      </c>
      <c r="J4903" s="1668"/>
      <c r="K4903" s="1668"/>
      <c r="L4903" s="1669"/>
    </row>
    <row r="4904" spans="1:12" s="692" customFormat="1" ht="16.5" hidden="1">
      <c r="A4904" s="1665"/>
      <c r="B4904" s="1666"/>
      <c r="C4904" s="688"/>
      <c r="D4904" s="1667"/>
      <c r="E4904" s="1671">
        <v>3.5</v>
      </c>
      <c r="F4904" s="1668"/>
      <c r="G4904" s="1671">
        <v>4</v>
      </c>
      <c r="H4904" s="1671">
        <f t="shared" si="856"/>
        <v>0</v>
      </c>
      <c r="I4904" s="688" t="s">
        <v>92</v>
      </c>
      <c r="J4904" s="1668"/>
      <c r="K4904" s="1668"/>
      <c r="L4904" s="1669"/>
    </row>
    <row r="4905" spans="1:12" s="692" customFormat="1" ht="16.5" hidden="1">
      <c r="A4905" s="1665"/>
      <c r="B4905" s="1666"/>
      <c r="C4905" s="688"/>
      <c r="D4905" s="1667"/>
      <c r="E4905" s="1671">
        <v>3.5</v>
      </c>
      <c r="F4905" s="1668"/>
      <c r="G4905" s="1671">
        <v>4</v>
      </c>
      <c r="H4905" s="1671">
        <f t="shared" si="856"/>
        <v>0</v>
      </c>
      <c r="I4905" s="688" t="s">
        <v>92</v>
      </c>
      <c r="J4905" s="1668"/>
      <c r="K4905" s="1668"/>
      <c r="L4905" s="1669"/>
    </row>
    <row r="4906" spans="1:12" s="692" customFormat="1" ht="16.5" hidden="1">
      <c r="A4906" s="1665"/>
      <c r="B4906" s="1666"/>
      <c r="C4906" s="688"/>
      <c r="D4906" s="1667"/>
      <c r="E4906" s="1671">
        <v>3.5</v>
      </c>
      <c r="F4906" s="1668"/>
      <c r="G4906" s="1671">
        <v>4</v>
      </c>
      <c r="H4906" s="1671">
        <f t="shared" si="856"/>
        <v>0</v>
      </c>
      <c r="I4906" s="688" t="s">
        <v>92</v>
      </c>
      <c r="J4906" s="1668"/>
      <c r="K4906" s="1668"/>
      <c r="L4906" s="1669"/>
    </row>
    <row r="4907" spans="1:12" s="692" customFormat="1" ht="16.5" hidden="1">
      <c r="A4907" s="1665"/>
      <c r="B4907" s="1666"/>
      <c r="C4907" s="688"/>
      <c r="D4907" s="1667"/>
      <c r="E4907" s="1671">
        <v>3.5</v>
      </c>
      <c r="F4907" s="1668"/>
      <c r="G4907" s="1671">
        <v>4</v>
      </c>
      <c r="H4907" s="1671">
        <f t="shared" si="856"/>
        <v>0</v>
      </c>
      <c r="I4907" s="688" t="s">
        <v>92</v>
      </c>
      <c r="J4907" s="1668"/>
      <c r="K4907" s="1668"/>
      <c r="L4907" s="1669"/>
    </row>
    <row r="4908" spans="1:12" s="692" customFormat="1" ht="16.5" hidden="1">
      <c r="A4908" s="1665"/>
      <c r="B4908" s="1666"/>
      <c r="C4908" s="688"/>
      <c r="D4908" s="1667"/>
      <c r="E4908" s="688"/>
      <c r="F4908" s="688"/>
      <c r="G4908" s="1674" t="s">
        <v>928</v>
      </c>
      <c r="H4908" s="1671">
        <f>SUM(H4902:H4907)</f>
        <v>0</v>
      </c>
      <c r="I4908" s="1668" t="s">
        <v>92</v>
      </c>
      <c r="J4908" s="1669">
        <f>'Lead &amp; ANALYSIS'!L945</f>
        <v>55.5</v>
      </c>
      <c r="K4908" s="1668" t="s">
        <v>1514</v>
      </c>
      <c r="L4908" s="1669">
        <f t="shared" ref="L4908" si="857">ROUND(H4908*J4908,0)</f>
        <v>0</v>
      </c>
    </row>
    <row r="4909" spans="1:12" s="692" customFormat="1" ht="16.5" hidden="1">
      <c r="A4909" s="1665" t="str">
        <f>'Lead &amp; ANALYSIS'!A946</f>
        <v>(ii)</v>
      </c>
      <c r="B4909" s="1666" t="str">
        <f>'Lead &amp; ANALYSIS'!B946</f>
        <v>First Floor</v>
      </c>
      <c r="C4909" s="688"/>
      <c r="D4909" s="1667"/>
      <c r="E4909" s="688"/>
      <c r="F4909" s="688"/>
      <c r="G4909" s="1674"/>
      <c r="H4909" s="688"/>
      <c r="I4909" s="1668"/>
      <c r="J4909" s="1668"/>
      <c r="K4909" s="1668"/>
      <c r="L4909" s="1669"/>
    </row>
    <row r="4910" spans="1:12" s="692" customFormat="1" ht="16.5" hidden="1">
      <c r="A4910" s="1665"/>
      <c r="B4910" s="1666"/>
      <c r="C4910" s="688"/>
      <c r="D4910" s="1667"/>
      <c r="E4910" s="1671">
        <v>3.5</v>
      </c>
      <c r="F4910" s="1668"/>
      <c r="G4910" s="1671">
        <v>4</v>
      </c>
      <c r="H4910" s="1671">
        <f t="shared" ref="H4910:H4915" si="858">ROUND(D4910*E4910*G4910,2)</f>
        <v>0</v>
      </c>
      <c r="I4910" s="688" t="s">
        <v>92</v>
      </c>
      <c r="J4910" s="1668"/>
      <c r="K4910" s="1668"/>
      <c r="L4910" s="1669"/>
    </row>
    <row r="4911" spans="1:12" s="692" customFormat="1" ht="16.5" hidden="1">
      <c r="A4911" s="1665"/>
      <c r="B4911" s="1666"/>
      <c r="C4911" s="688"/>
      <c r="D4911" s="1667"/>
      <c r="E4911" s="1671">
        <v>3.5</v>
      </c>
      <c r="F4911" s="1668"/>
      <c r="G4911" s="1671">
        <v>4</v>
      </c>
      <c r="H4911" s="1671">
        <f t="shared" si="858"/>
        <v>0</v>
      </c>
      <c r="I4911" s="688" t="s">
        <v>92</v>
      </c>
      <c r="J4911" s="1668"/>
      <c r="K4911" s="1668"/>
      <c r="L4911" s="1669"/>
    </row>
    <row r="4912" spans="1:12" s="692" customFormat="1" ht="16.5" hidden="1">
      <c r="A4912" s="1665"/>
      <c r="B4912" s="1666"/>
      <c r="C4912" s="688"/>
      <c r="D4912" s="1667"/>
      <c r="E4912" s="1671">
        <v>3.5</v>
      </c>
      <c r="F4912" s="1668"/>
      <c r="G4912" s="1671">
        <v>4</v>
      </c>
      <c r="H4912" s="1671">
        <f t="shared" si="858"/>
        <v>0</v>
      </c>
      <c r="I4912" s="688" t="s">
        <v>92</v>
      </c>
      <c r="J4912" s="1668"/>
      <c r="K4912" s="1668"/>
      <c r="L4912" s="1669"/>
    </row>
    <row r="4913" spans="1:12" s="692" customFormat="1" ht="16.5" hidden="1">
      <c r="A4913" s="1665"/>
      <c r="B4913" s="1666"/>
      <c r="C4913" s="688"/>
      <c r="D4913" s="1667"/>
      <c r="E4913" s="1671">
        <v>3.5</v>
      </c>
      <c r="F4913" s="1668"/>
      <c r="G4913" s="1671">
        <v>4</v>
      </c>
      <c r="H4913" s="1671">
        <f t="shared" si="858"/>
        <v>0</v>
      </c>
      <c r="I4913" s="688" t="s">
        <v>92</v>
      </c>
      <c r="J4913" s="1668"/>
      <c r="K4913" s="1668"/>
      <c r="L4913" s="1669"/>
    </row>
    <row r="4914" spans="1:12" s="692" customFormat="1" ht="16.5" hidden="1">
      <c r="A4914" s="1665"/>
      <c r="B4914" s="1666"/>
      <c r="C4914" s="688"/>
      <c r="D4914" s="1667"/>
      <c r="E4914" s="1671">
        <v>3.5</v>
      </c>
      <c r="F4914" s="1668"/>
      <c r="G4914" s="1671">
        <v>4</v>
      </c>
      <c r="H4914" s="1671">
        <f t="shared" si="858"/>
        <v>0</v>
      </c>
      <c r="I4914" s="688" t="s">
        <v>92</v>
      </c>
      <c r="J4914" s="1668"/>
      <c r="K4914" s="1668"/>
      <c r="L4914" s="1669"/>
    </row>
    <row r="4915" spans="1:12" s="692" customFormat="1" ht="16.5" hidden="1">
      <c r="A4915" s="1665"/>
      <c r="B4915" s="1666"/>
      <c r="C4915" s="688"/>
      <c r="D4915" s="1667"/>
      <c r="E4915" s="1671">
        <v>3.5</v>
      </c>
      <c r="F4915" s="1668"/>
      <c r="G4915" s="1671">
        <v>4</v>
      </c>
      <c r="H4915" s="1671">
        <f t="shared" si="858"/>
        <v>0</v>
      </c>
      <c r="I4915" s="688" t="s">
        <v>92</v>
      </c>
      <c r="J4915" s="1668"/>
      <c r="K4915" s="1668"/>
      <c r="L4915" s="1669"/>
    </row>
    <row r="4916" spans="1:12" s="692" customFormat="1" ht="16.5" hidden="1">
      <c r="A4916" s="1665"/>
      <c r="B4916" s="1666"/>
      <c r="C4916" s="688"/>
      <c r="D4916" s="1667"/>
      <c r="E4916" s="688"/>
      <c r="F4916" s="688"/>
      <c r="G4916" s="1674" t="s">
        <v>928</v>
      </c>
      <c r="H4916" s="1671">
        <f>SUM(H4910:H4915)</f>
        <v>0</v>
      </c>
      <c r="I4916" s="1668" t="s">
        <v>92</v>
      </c>
      <c r="J4916" s="1669">
        <f>'Lead &amp; ANALYSIS'!L946</f>
        <v>56.8</v>
      </c>
      <c r="K4916" s="1668" t="s">
        <v>1514</v>
      </c>
      <c r="L4916" s="1669">
        <f t="shared" ref="L4916" si="859">ROUND(H4916*J4916,0)</f>
        <v>0</v>
      </c>
    </row>
    <row r="4917" spans="1:12" s="692" customFormat="1" ht="16.5" hidden="1">
      <c r="A4917" s="1693" t="str">
        <f>'Lead &amp; ANALYSIS'!A947</f>
        <v>(iii)</v>
      </c>
      <c r="B4917" s="1666" t="str">
        <f>'Lead &amp; ANALYSIS'!B947</f>
        <v>2nd Floor</v>
      </c>
      <c r="C4917" s="688"/>
      <c r="D4917" s="1667"/>
      <c r="E4917" s="688"/>
      <c r="F4917" s="688"/>
      <c r="G4917" s="1674"/>
      <c r="H4917" s="688"/>
      <c r="I4917" s="1668"/>
      <c r="J4917" s="1668"/>
      <c r="K4917" s="1668"/>
      <c r="L4917" s="1669"/>
    </row>
    <row r="4918" spans="1:12" s="692" customFormat="1" ht="16.5" hidden="1">
      <c r="A4918" s="1693"/>
      <c r="B4918" s="1666"/>
      <c r="C4918" s="688"/>
      <c r="D4918" s="1667"/>
      <c r="E4918" s="1671">
        <v>3.5</v>
      </c>
      <c r="F4918" s="1668"/>
      <c r="G4918" s="1671">
        <v>4</v>
      </c>
      <c r="H4918" s="1671">
        <f t="shared" ref="H4918:H4923" si="860">ROUND(D4918*E4918*G4918,2)</f>
        <v>0</v>
      </c>
      <c r="I4918" s="688" t="s">
        <v>92</v>
      </c>
      <c r="J4918" s="1668"/>
      <c r="K4918" s="1668"/>
      <c r="L4918" s="1669"/>
    </row>
    <row r="4919" spans="1:12" s="692" customFormat="1" ht="16.5" hidden="1">
      <c r="A4919" s="1693"/>
      <c r="B4919" s="1666"/>
      <c r="C4919" s="688"/>
      <c r="D4919" s="1667"/>
      <c r="E4919" s="1671">
        <v>3.5</v>
      </c>
      <c r="F4919" s="1668"/>
      <c r="G4919" s="1671">
        <v>4</v>
      </c>
      <c r="H4919" s="1671">
        <f t="shared" si="860"/>
        <v>0</v>
      </c>
      <c r="I4919" s="688" t="s">
        <v>92</v>
      </c>
      <c r="J4919" s="1668"/>
      <c r="K4919" s="1668"/>
      <c r="L4919" s="1669"/>
    </row>
    <row r="4920" spans="1:12" s="692" customFormat="1" ht="16.5" hidden="1">
      <c r="A4920" s="1693"/>
      <c r="B4920" s="1666"/>
      <c r="C4920" s="688"/>
      <c r="D4920" s="1667"/>
      <c r="E4920" s="1671">
        <v>3.5</v>
      </c>
      <c r="F4920" s="1668"/>
      <c r="G4920" s="1671">
        <v>4</v>
      </c>
      <c r="H4920" s="1671">
        <f t="shared" si="860"/>
        <v>0</v>
      </c>
      <c r="I4920" s="688" t="s">
        <v>92</v>
      </c>
      <c r="J4920" s="1668"/>
      <c r="K4920" s="1668"/>
      <c r="L4920" s="1669"/>
    </row>
    <row r="4921" spans="1:12" s="692" customFormat="1" ht="16.5" hidden="1">
      <c r="A4921" s="1693"/>
      <c r="B4921" s="1666"/>
      <c r="C4921" s="688"/>
      <c r="D4921" s="1667"/>
      <c r="E4921" s="1671">
        <v>3.5</v>
      </c>
      <c r="F4921" s="1668"/>
      <c r="G4921" s="1671">
        <v>4</v>
      </c>
      <c r="H4921" s="1671">
        <f t="shared" si="860"/>
        <v>0</v>
      </c>
      <c r="I4921" s="688" t="s">
        <v>92</v>
      </c>
      <c r="J4921" s="1668"/>
      <c r="K4921" s="1668"/>
      <c r="L4921" s="1669"/>
    </row>
    <row r="4922" spans="1:12" s="692" customFormat="1" ht="16.5" hidden="1">
      <c r="A4922" s="1693"/>
      <c r="B4922" s="1666"/>
      <c r="C4922" s="688"/>
      <c r="D4922" s="1667"/>
      <c r="E4922" s="1671">
        <v>3.5</v>
      </c>
      <c r="F4922" s="1668"/>
      <c r="G4922" s="1671">
        <v>4</v>
      </c>
      <c r="H4922" s="1671">
        <f t="shared" si="860"/>
        <v>0</v>
      </c>
      <c r="I4922" s="688" t="s">
        <v>92</v>
      </c>
      <c r="J4922" s="1668"/>
      <c r="K4922" s="1668"/>
      <c r="L4922" s="1669"/>
    </row>
    <row r="4923" spans="1:12" s="692" customFormat="1" ht="16.5" hidden="1">
      <c r="A4923" s="1693"/>
      <c r="B4923" s="1666"/>
      <c r="C4923" s="688"/>
      <c r="D4923" s="1667"/>
      <c r="E4923" s="1671">
        <v>3.5</v>
      </c>
      <c r="F4923" s="1668"/>
      <c r="G4923" s="1671">
        <v>4</v>
      </c>
      <c r="H4923" s="1671">
        <f t="shared" si="860"/>
        <v>0</v>
      </c>
      <c r="I4923" s="688" t="s">
        <v>92</v>
      </c>
      <c r="J4923" s="1668"/>
      <c r="K4923" s="1668"/>
      <c r="L4923" s="1669"/>
    </row>
    <row r="4924" spans="1:12" s="692" customFormat="1" ht="16.5" hidden="1">
      <c r="A4924" s="1693"/>
      <c r="B4924" s="1666"/>
      <c r="C4924" s="688"/>
      <c r="D4924" s="1667"/>
      <c r="E4924" s="688"/>
      <c r="F4924" s="688"/>
      <c r="G4924" s="1674" t="s">
        <v>928</v>
      </c>
      <c r="H4924" s="1671">
        <f>SUM(H4918:H4923)</f>
        <v>0</v>
      </c>
      <c r="I4924" s="1668" t="s">
        <v>92</v>
      </c>
      <c r="J4924" s="1669">
        <f>'Lead &amp; ANALYSIS'!L947</f>
        <v>59.7</v>
      </c>
      <c r="K4924" s="1668" t="s">
        <v>1514</v>
      </c>
      <c r="L4924" s="1669">
        <f t="shared" ref="L4924" si="861">ROUND(H4924*J4924,0)</f>
        <v>0</v>
      </c>
    </row>
    <row r="4925" spans="1:12" s="692" customFormat="1" ht="16.5" hidden="1">
      <c r="A4925" s="1693" t="str">
        <f>'Lead &amp; ANALYSIS'!A948</f>
        <v>(iv)</v>
      </c>
      <c r="B4925" s="1666" t="str">
        <f>'Lead &amp; ANALYSIS'!B948</f>
        <v>3rd Floor</v>
      </c>
      <c r="C4925" s="688"/>
      <c r="D4925" s="1667"/>
      <c r="E4925" s="688"/>
      <c r="F4925" s="688"/>
      <c r="G4925" s="1674"/>
      <c r="H4925" s="688"/>
      <c r="I4925" s="1668"/>
      <c r="J4925" s="1668"/>
      <c r="K4925" s="1668"/>
      <c r="L4925" s="1669"/>
    </row>
    <row r="4926" spans="1:12" s="692" customFormat="1" ht="16.5" hidden="1">
      <c r="A4926" s="1665"/>
      <c r="B4926" s="1666"/>
      <c r="C4926" s="688"/>
      <c r="D4926" s="1667"/>
      <c r="E4926" s="1671">
        <v>3.5</v>
      </c>
      <c r="F4926" s="1668"/>
      <c r="G4926" s="1671">
        <v>4</v>
      </c>
      <c r="H4926" s="1671">
        <f t="shared" ref="H4926:H4931" si="862">ROUND(D4926*E4926*G4926,2)</f>
        <v>0</v>
      </c>
      <c r="I4926" s="688" t="s">
        <v>92</v>
      </c>
      <c r="J4926" s="1668"/>
      <c r="K4926" s="1668"/>
      <c r="L4926" s="1669"/>
    </row>
    <row r="4927" spans="1:12" s="692" customFormat="1" ht="16.5" hidden="1">
      <c r="A4927" s="1665"/>
      <c r="B4927" s="1666"/>
      <c r="C4927" s="688"/>
      <c r="D4927" s="1667"/>
      <c r="E4927" s="1671">
        <v>3.5</v>
      </c>
      <c r="F4927" s="1668"/>
      <c r="G4927" s="1671">
        <v>4</v>
      </c>
      <c r="H4927" s="1671">
        <f t="shared" si="862"/>
        <v>0</v>
      </c>
      <c r="I4927" s="688" t="s">
        <v>92</v>
      </c>
      <c r="J4927" s="1668"/>
      <c r="K4927" s="1668"/>
      <c r="L4927" s="1669"/>
    </row>
    <row r="4928" spans="1:12" s="692" customFormat="1" ht="16.5" hidden="1">
      <c r="A4928" s="1665"/>
      <c r="B4928" s="1666"/>
      <c r="C4928" s="688"/>
      <c r="D4928" s="1667"/>
      <c r="E4928" s="1671">
        <v>3.5</v>
      </c>
      <c r="F4928" s="1668"/>
      <c r="G4928" s="1671">
        <v>4</v>
      </c>
      <c r="H4928" s="1671">
        <f t="shared" si="862"/>
        <v>0</v>
      </c>
      <c r="I4928" s="688" t="s">
        <v>92</v>
      </c>
      <c r="J4928" s="1668"/>
      <c r="K4928" s="1668"/>
      <c r="L4928" s="1669"/>
    </row>
    <row r="4929" spans="1:12" s="692" customFormat="1" ht="16.5" hidden="1">
      <c r="A4929" s="1665"/>
      <c r="B4929" s="1666"/>
      <c r="C4929" s="688"/>
      <c r="D4929" s="1667"/>
      <c r="E4929" s="1671">
        <v>3.5</v>
      </c>
      <c r="F4929" s="1668"/>
      <c r="G4929" s="1671">
        <v>4</v>
      </c>
      <c r="H4929" s="1671">
        <f t="shared" si="862"/>
        <v>0</v>
      </c>
      <c r="I4929" s="688" t="s">
        <v>92</v>
      </c>
      <c r="J4929" s="1668"/>
      <c r="K4929" s="1668"/>
      <c r="L4929" s="1669"/>
    </row>
    <row r="4930" spans="1:12" s="692" customFormat="1" ht="16.5" hidden="1">
      <c r="A4930" s="1665"/>
      <c r="B4930" s="1666"/>
      <c r="C4930" s="688"/>
      <c r="D4930" s="1667"/>
      <c r="E4930" s="1671">
        <v>3.5</v>
      </c>
      <c r="F4930" s="1668"/>
      <c r="G4930" s="1671">
        <v>4</v>
      </c>
      <c r="H4930" s="1671">
        <f t="shared" si="862"/>
        <v>0</v>
      </c>
      <c r="I4930" s="688" t="s">
        <v>92</v>
      </c>
      <c r="J4930" s="1668"/>
      <c r="K4930" s="1668"/>
      <c r="L4930" s="1669"/>
    </row>
    <row r="4931" spans="1:12" s="692" customFormat="1" ht="16.5" hidden="1">
      <c r="A4931" s="1665"/>
      <c r="B4931" s="1666"/>
      <c r="C4931" s="688"/>
      <c r="D4931" s="1667"/>
      <c r="E4931" s="1671">
        <v>3.5</v>
      </c>
      <c r="F4931" s="1668"/>
      <c r="G4931" s="1671">
        <v>4</v>
      </c>
      <c r="H4931" s="1671">
        <f t="shared" si="862"/>
        <v>0</v>
      </c>
      <c r="I4931" s="688" t="s">
        <v>92</v>
      </c>
      <c r="J4931" s="1668"/>
      <c r="K4931" s="1668"/>
      <c r="L4931" s="1669"/>
    </row>
    <row r="4932" spans="1:12" s="692" customFormat="1" ht="16.5" hidden="1">
      <c r="A4932" s="1665"/>
      <c r="B4932" s="1666"/>
      <c r="C4932" s="688"/>
      <c r="D4932" s="1667"/>
      <c r="E4932" s="688"/>
      <c r="F4932" s="688"/>
      <c r="G4932" s="1674" t="s">
        <v>928</v>
      </c>
      <c r="H4932" s="1671">
        <f>SUM(H4926:H4931)</f>
        <v>0</v>
      </c>
      <c r="I4932" s="1668" t="s">
        <v>92</v>
      </c>
      <c r="J4932" s="1669">
        <f>'Lead &amp; ANALYSIS'!L948</f>
        <v>62.7</v>
      </c>
      <c r="K4932" s="1668" t="s">
        <v>1514</v>
      </c>
      <c r="L4932" s="1669">
        <f t="shared" ref="L4932" si="863">ROUND(H4932*J4932,0)</f>
        <v>0</v>
      </c>
    </row>
    <row r="4933" spans="1:12" s="692" customFormat="1" ht="132">
      <c r="A4933" s="1665">
        <v>16</v>
      </c>
      <c r="B4933" s="1666" t="str">
        <f>'Lead &amp; ANALYSIS'!B949</f>
        <v xml:space="preserve">Finishing plastered surfaces with cement putty (water based)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v>
      </c>
      <c r="C4933" s="688"/>
      <c r="D4933" s="1667"/>
      <c r="E4933" s="688"/>
      <c r="F4933" s="688"/>
      <c r="G4933" s="1674"/>
      <c r="H4933" s="688"/>
      <c r="I4933" s="1668"/>
      <c r="J4933" s="1668"/>
      <c r="K4933" s="1668"/>
      <c r="L4933" s="1669"/>
    </row>
    <row r="4934" spans="1:12" s="692" customFormat="1" ht="16.5">
      <c r="A4934" s="1665" t="str">
        <f>'Lead &amp; ANALYSIS'!A950</f>
        <v>(i)</v>
      </c>
      <c r="B4934" s="1666" t="str">
        <f>'Lead &amp; ANALYSIS'!B950</f>
        <v>Ground Floor</v>
      </c>
      <c r="C4934" s="688"/>
      <c r="D4934" s="1667"/>
      <c r="E4934" s="688"/>
      <c r="F4934" s="688"/>
      <c r="G4934" s="1674"/>
      <c r="H4934" s="1671">
        <f>H3176</f>
        <v>261.57</v>
      </c>
      <c r="I4934" s="688" t="s">
        <v>92</v>
      </c>
      <c r="J4934" s="1668"/>
      <c r="K4934" s="1668"/>
      <c r="L4934" s="1669"/>
    </row>
    <row r="4935" spans="1:12" s="692" customFormat="1" ht="16.5">
      <c r="A4935" s="1665"/>
      <c r="B4935" s="1666" t="s">
        <v>3763</v>
      </c>
      <c r="C4935" s="688"/>
      <c r="D4935" s="1667"/>
      <c r="E4935" s="1671"/>
      <c r="F4935" s="1668"/>
      <c r="G4935" s="1671"/>
      <c r="H4935" s="1671">
        <f>SUM(H3238:H3241)</f>
        <v>147.59</v>
      </c>
      <c r="I4935" s="688" t="s">
        <v>92</v>
      </c>
      <c r="J4935" s="1668"/>
      <c r="K4935" s="1668"/>
      <c r="L4935" s="1669"/>
    </row>
    <row r="4936" spans="1:12" s="692" customFormat="1" ht="16.5">
      <c r="A4936" s="1665"/>
      <c r="B4936" s="1666" t="s">
        <v>481</v>
      </c>
      <c r="C4936" s="688"/>
      <c r="D4936" s="1667"/>
      <c r="E4936" s="1671"/>
      <c r="F4936" s="1668"/>
      <c r="G4936" s="1671"/>
      <c r="H4936" s="1671">
        <f>SUM(H3242:H3243)</f>
        <v>34.81</v>
      </c>
      <c r="I4936" s="688" t="s">
        <v>92</v>
      </c>
      <c r="J4936" s="1668"/>
      <c r="K4936" s="1668"/>
      <c r="L4936" s="1669"/>
    </row>
    <row r="4937" spans="1:12" s="692" customFormat="1" ht="16.5" hidden="1">
      <c r="A4937" s="1665"/>
      <c r="B4937" s="1666"/>
      <c r="C4937" s="688"/>
      <c r="D4937" s="1667"/>
      <c r="E4937" s="1671">
        <v>3.5</v>
      </c>
      <c r="F4937" s="1668"/>
      <c r="G4937" s="1671">
        <v>4</v>
      </c>
      <c r="H4937" s="1671">
        <f t="shared" ref="H4937:H4940" si="864">ROUND(D4937*E4937*G4937,2)</f>
        <v>0</v>
      </c>
      <c r="I4937" s="688" t="s">
        <v>92</v>
      </c>
      <c r="J4937" s="1668"/>
      <c r="K4937" s="1668"/>
      <c r="L4937" s="1669"/>
    </row>
    <row r="4938" spans="1:12" s="692" customFormat="1" ht="16.5" hidden="1">
      <c r="A4938" s="1665"/>
      <c r="B4938" s="1666"/>
      <c r="C4938" s="688"/>
      <c r="D4938" s="1667"/>
      <c r="E4938" s="1671">
        <v>3.5</v>
      </c>
      <c r="F4938" s="1668"/>
      <c r="G4938" s="1671">
        <v>4</v>
      </c>
      <c r="H4938" s="1671">
        <f t="shared" si="864"/>
        <v>0</v>
      </c>
      <c r="I4938" s="688" t="s">
        <v>92</v>
      </c>
      <c r="J4938" s="1668"/>
      <c r="K4938" s="1668"/>
      <c r="L4938" s="1669"/>
    </row>
    <row r="4939" spans="1:12" s="692" customFormat="1" ht="16.5" hidden="1">
      <c r="A4939" s="1665"/>
      <c r="B4939" s="1666"/>
      <c r="C4939" s="688"/>
      <c r="D4939" s="1667"/>
      <c r="E4939" s="1671">
        <v>3.5</v>
      </c>
      <c r="F4939" s="1668"/>
      <c r="G4939" s="1671">
        <v>4</v>
      </c>
      <c r="H4939" s="1671">
        <f t="shared" si="864"/>
        <v>0</v>
      </c>
      <c r="I4939" s="688" t="s">
        <v>92</v>
      </c>
      <c r="J4939" s="1668"/>
      <c r="K4939" s="1668"/>
      <c r="L4939" s="1669"/>
    </row>
    <row r="4940" spans="1:12" s="692" customFormat="1" ht="16.5" hidden="1">
      <c r="A4940" s="1665"/>
      <c r="B4940" s="1666"/>
      <c r="C4940" s="688"/>
      <c r="D4940" s="1667"/>
      <c r="E4940" s="1671">
        <v>3.5</v>
      </c>
      <c r="F4940" s="1668"/>
      <c r="G4940" s="1671">
        <v>4</v>
      </c>
      <c r="H4940" s="1671">
        <f t="shared" si="864"/>
        <v>0</v>
      </c>
      <c r="I4940" s="688" t="s">
        <v>92</v>
      </c>
      <c r="J4940" s="1668"/>
      <c r="K4940" s="1668"/>
      <c r="L4940" s="1669"/>
    </row>
    <row r="4941" spans="1:12" s="692" customFormat="1" ht="16.5">
      <c r="A4941" s="1665"/>
      <c r="B4941" s="1666"/>
      <c r="C4941" s="688"/>
      <c r="D4941" s="1667"/>
      <c r="E4941" s="688"/>
      <c r="F4941" s="688"/>
      <c r="G4941" s="1670" t="s">
        <v>928</v>
      </c>
      <c r="H4941" s="1671">
        <f>SUM(H4934:H4940)</f>
        <v>443.96999999999997</v>
      </c>
      <c r="I4941" s="1668" t="s">
        <v>92</v>
      </c>
      <c r="J4941" s="1669">
        <f>'Lead &amp; ANALYSIS'!L950</f>
        <v>85.3</v>
      </c>
      <c r="K4941" s="1668" t="s">
        <v>1514</v>
      </c>
      <c r="L4941" s="1669">
        <f t="shared" ref="L4941" si="865">ROUND(H4941*J4941,0)</f>
        <v>37871</v>
      </c>
    </row>
    <row r="4942" spans="1:12" s="692" customFormat="1" ht="15" hidden="1" customHeight="1">
      <c r="A4942" s="1665" t="str">
        <f>'Lead &amp; ANALYSIS'!A951</f>
        <v>(ii)</v>
      </c>
      <c r="B4942" s="1666" t="str">
        <f>'Lead &amp; ANALYSIS'!B951</f>
        <v>First Floor</v>
      </c>
      <c r="C4942" s="688"/>
      <c r="D4942" s="1667"/>
      <c r="E4942" s="688"/>
      <c r="F4942" s="688"/>
      <c r="G4942" s="1674"/>
      <c r="H4942" s="688"/>
      <c r="I4942" s="1668"/>
      <c r="J4942" s="1668"/>
      <c r="K4942" s="1668"/>
      <c r="L4942" s="1669"/>
    </row>
    <row r="4943" spans="1:12" s="692" customFormat="1" ht="16.5" hidden="1">
      <c r="A4943" s="1665"/>
      <c r="B4943" s="1666"/>
      <c r="C4943" s="688"/>
      <c r="D4943" s="1667"/>
      <c r="E4943" s="1671">
        <v>3.5</v>
      </c>
      <c r="F4943" s="1668"/>
      <c r="G4943" s="1671">
        <v>4</v>
      </c>
      <c r="H4943" s="1671">
        <f t="shared" ref="H4943:H4946" si="866">ROUND(D4943*E4943*G4943,2)</f>
        <v>0</v>
      </c>
      <c r="I4943" s="688" t="s">
        <v>92</v>
      </c>
      <c r="J4943" s="1668"/>
      <c r="K4943" s="1668"/>
      <c r="L4943" s="1669"/>
    </row>
    <row r="4944" spans="1:12" s="692" customFormat="1" ht="16.5" hidden="1">
      <c r="A4944" s="1665"/>
      <c r="B4944" s="1666"/>
      <c r="C4944" s="688"/>
      <c r="D4944" s="1667"/>
      <c r="E4944" s="1671">
        <v>3.5</v>
      </c>
      <c r="F4944" s="1668"/>
      <c r="G4944" s="1671">
        <v>4</v>
      </c>
      <c r="H4944" s="1671">
        <f t="shared" si="866"/>
        <v>0</v>
      </c>
      <c r="I4944" s="688" t="s">
        <v>92</v>
      </c>
      <c r="J4944" s="1668"/>
      <c r="K4944" s="1668"/>
      <c r="L4944" s="1669"/>
    </row>
    <row r="4945" spans="1:12" s="692" customFormat="1" ht="16.5" hidden="1">
      <c r="A4945" s="1665"/>
      <c r="B4945" s="1666"/>
      <c r="C4945" s="688"/>
      <c r="D4945" s="1667"/>
      <c r="E4945" s="1671">
        <v>3.5</v>
      </c>
      <c r="F4945" s="1668"/>
      <c r="G4945" s="1671">
        <v>4</v>
      </c>
      <c r="H4945" s="1671">
        <f t="shared" si="866"/>
        <v>0</v>
      </c>
      <c r="I4945" s="688" t="s">
        <v>92</v>
      </c>
      <c r="J4945" s="1668"/>
      <c r="K4945" s="1668"/>
      <c r="L4945" s="1669"/>
    </row>
    <row r="4946" spans="1:12" s="692" customFormat="1" ht="16.5" hidden="1">
      <c r="A4946" s="1665"/>
      <c r="B4946" s="1666"/>
      <c r="C4946" s="688"/>
      <c r="D4946" s="1667"/>
      <c r="E4946" s="1671">
        <v>3.5</v>
      </c>
      <c r="F4946" s="1668"/>
      <c r="G4946" s="1671">
        <v>4</v>
      </c>
      <c r="H4946" s="1671">
        <f t="shared" si="866"/>
        <v>0</v>
      </c>
      <c r="I4946" s="688" t="s">
        <v>92</v>
      </c>
      <c r="J4946" s="1668"/>
      <c r="K4946" s="1668"/>
      <c r="L4946" s="1669"/>
    </row>
    <row r="4947" spans="1:12" s="692" customFormat="1" ht="16.5" hidden="1">
      <c r="A4947" s="1665"/>
      <c r="B4947" s="1666"/>
      <c r="C4947" s="688"/>
      <c r="D4947" s="1667"/>
      <c r="E4947" s="1671">
        <v>3.5</v>
      </c>
      <c r="F4947" s="1668"/>
      <c r="G4947" s="1671">
        <v>4</v>
      </c>
      <c r="H4947" s="1671">
        <f>ROUND(D4947*E4947*G4947,2)</f>
        <v>0</v>
      </c>
      <c r="I4947" s="688" t="s">
        <v>92</v>
      </c>
      <c r="J4947" s="1668"/>
      <c r="K4947" s="1668"/>
      <c r="L4947" s="1669"/>
    </row>
    <row r="4948" spans="1:12" s="692" customFormat="1" ht="16.5" hidden="1">
      <c r="A4948" s="1665"/>
      <c r="B4948" s="1666"/>
      <c r="C4948" s="688"/>
      <c r="D4948" s="1667"/>
      <c r="E4948" s="1671">
        <v>3.5</v>
      </c>
      <c r="F4948" s="1668"/>
      <c r="G4948" s="1671">
        <v>4</v>
      </c>
      <c r="H4948" s="1671">
        <f>ROUND(D4948*E4948*G4948,2)</f>
        <v>0</v>
      </c>
      <c r="I4948" s="688" t="s">
        <v>92</v>
      </c>
      <c r="J4948" s="1668"/>
      <c r="K4948" s="1668"/>
      <c r="L4948" s="1669"/>
    </row>
    <row r="4949" spans="1:12" s="692" customFormat="1" ht="16.5" hidden="1">
      <c r="A4949" s="1665"/>
      <c r="B4949" s="1666"/>
      <c r="C4949" s="688"/>
      <c r="D4949" s="1667"/>
      <c r="E4949" s="688"/>
      <c r="F4949" s="688"/>
      <c r="G4949" s="1674" t="s">
        <v>928</v>
      </c>
      <c r="H4949" s="1671">
        <f>SUM(H4943:H4948)</f>
        <v>0</v>
      </c>
      <c r="I4949" s="1668" t="s">
        <v>92</v>
      </c>
      <c r="J4949" s="1669">
        <f>'Lead &amp; ANALYSIS'!L951</f>
        <v>86.7</v>
      </c>
      <c r="K4949" s="1668" t="s">
        <v>1514</v>
      </c>
      <c r="L4949" s="1669">
        <f t="shared" ref="L4949" si="867">ROUND(H4949*J4949,0)</f>
        <v>0</v>
      </c>
    </row>
    <row r="4950" spans="1:12" s="692" customFormat="1" ht="16.5" hidden="1">
      <c r="A4950" s="1693" t="str">
        <f>'Lead &amp; ANALYSIS'!A952</f>
        <v>(iii)</v>
      </c>
      <c r="B4950" s="1666" t="str">
        <f>'Lead &amp; ANALYSIS'!B952</f>
        <v>2nd Floor</v>
      </c>
      <c r="C4950" s="688"/>
      <c r="D4950" s="1667"/>
      <c r="E4950" s="688"/>
      <c r="F4950" s="688"/>
      <c r="G4950" s="1674"/>
      <c r="H4950" s="688"/>
      <c r="I4950" s="1668"/>
      <c r="J4950" s="1668"/>
      <c r="K4950" s="1668"/>
      <c r="L4950" s="1669"/>
    </row>
    <row r="4951" spans="1:12" s="692" customFormat="1" ht="16.5" hidden="1">
      <c r="A4951" s="1693"/>
      <c r="B4951" s="1666"/>
      <c r="C4951" s="688"/>
      <c r="D4951" s="1667"/>
      <c r="E4951" s="1671">
        <v>3.5</v>
      </c>
      <c r="F4951" s="1668"/>
      <c r="G4951" s="1671">
        <v>4</v>
      </c>
      <c r="H4951" s="1671">
        <f t="shared" ref="H4951:H4956" si="868">ROUND(D4951*E4951*G4951,2)</f>
        <v>0</v>
      </c>
      <c r="I4951" s="688" t="s">
        <v>92</v>
      </c>
      <c r="J4951" s="1668"/>
      <c r="K4951" s="1668"/>
      <c r="L4951" s="1669"/>
    </row>
    <row r="4952" spans="1:12" s="692" customFormat="1" ht="16.5" hidden="1">
      <c r="A4952" s="1693"/>
      <c r="B4952" s="1666"/>
      <c r="C4952" s="688"/>
      <c r="D4952" s="1667"/>
      <c r="E4952" s="1671">
        <v>3.5</v>
      </c>
      <c r="F4952" s="1668"/>
      <c r="G4952" s="1671">
        <v>4</v>
      </c>
      <c r="H4952" s="1671">
        <f t="shared" si="868"/>
        <v>0</v>
      </c>
      <c r="I4952" s="688" t="s">
        <v>92</v>
      </c>
      <c r="J4952" s="1668"/>
      <c r="K4952" s="1668"/>
      <c r="L4952" s="1669"/>
    </row>
    <row r="4953" spans="1:12" s="692" customFormat="1" ht="16.5" hidden="1">
      <c r="A4953" s="1693"/>
      <c r="B4953" s="1666"/>
      <c r="C4953" s="688"/>
      <c r="D4953" s="1667"/>
      <c r="E4953" s="1671">
        <v>3.5</v>
      </c>
      <c r="F4953" s="1668"/>
      <c r="G4953" s="1671">
        <v>4</v>
      </c>
      <c r="H4953" s="1671">
        <f t="shared" si="868"/>
        <v>0</v>
      </c>
      <c r="I4953" s="688" t="s">
        <v>92</v>
      </c>
      <c r="J4953" s="1668"/>
      <c r="K4953" s="1668"/>
      <c r="L4953" s="1669"/>
    </row>
    <row r="4954" spans="1:12" s="692" customFormat="1" ht="16.5" hidden="1">
      <c r="A4954" s="1693"/>
      <c r="B4954" s="1666"/>
      <c r="C4954" s="688"/>
      <c r="D4954" s="1667"/>
      <c r="E4954" s="1671">
        <v>3.5</v>
      </c>
      <c r="F4954" s="1668"/>
      <c r="G4954" s="1671">
        <v>4</v>
      </c>
      <c r="H4954" s="1671">
        <f t="shared" si="868"/>
        <v>0</v>
      </c>
      <c r="I4954" s="688" t="s">
        <v>92</v>
      </c>
      <c r="J4954" s="1668"/>
      <c r="K4954" s="1668"/>
      <c r="L4954" s="1669"/>
    </row>
    <row r="4955" spans="1:12" s="692" customFormat="1" ht="16.5" hidden="1">
      <c r="A4955" s="1693"/>
      <c r="B4955" s="1666"/>
      <c r="C4955" s="688"/>
      <c r="D4955" s="1667"/>
      <c r="E4955" s="1671">
        <v>3.5</v>
      </c>
      <c r="F4955" s="1668"/>
      <c r="G4955" s="1671">
        <v>4</v>
      </c>
      <c r="H4955" s="1671">
        <f t="shared" si="868"/>
        <v>0</v>
      </c>
      <c r="I4955" s="688" t="s">
        <v>92</v>
      </c>
      <c r="J4955" s="1668"/>
      <c r="K4955" s="1668"/>
      <c r="L4955" s="1669"/>
    </row>
    <row r="4956" spans="1:12" s="692" customFormat="1" ht="16.5" hidden="1">
      <c r="A4956" s="1693"/>
      <c r="B4956" s="1666"/>
      <c r="C4956" s="688"/>
      <c r="D4956" s="1667"/>
      <c r="E4956" s="1671">
        <v>3.5</v>
      </c>
      <c r="F4956" s="1668"/>
      <c r="G4956" s="1671">
        <v>4</v>
      </c>
      <c r="H4956" s="1671">
        <f t="shared" si="868"/>
        <v>0</v>
      </c>
      <c r="I4956" s="688" t="s">
        <v>92</v>
      </c>
      <c r="J4956" s="1668"/>
      <c r="K4956" s="1668"/>
      <c r="L4956" s="1669"/>
    </row>
    <row r="4957" spans="1:12" s="692" customFormat="1" ht="16.5" hidden="1">
      <c r="A4957" s="1693"/>
      <c r="B4957" s="1666"/>
      <c r="C4957" s="688"/>
      <c r="D4957" s="1667"/>
      <c r="E4957" s="688"/>
      <c r="F4957" s="688"/>
      <c r="G4957" s="1674" t="s">
        <v>928</v>
      </c>
      <c r="H4957" s="1671">
        <f>SUM(H4951:H4956)</f>
        <v>0</v>
      </c>
      <c r="I4957" s="1668" t="s">
        <v>92</v>
      </c>
      <c r="J4957" s="1669">
        <f>'Lead &amp; ANALYSIS'!L952</f>
        <v>89.1</v>
      </c>
      <c r="K4957" s="1668" t="s">
        <v>1514</v>
      </c>
      <c r="L4957" s="1669">
        <f t="shared" ref="L4957" si="869">ROUND(H4957*J4957,0)</f>
        <v>0</v>
      </c>
    </row>
    <row r="4958" spans="1:12" s="692" customFormat="1" ht="16.5" hidden="1">
      <c r="A4958" s="1693" t="str">
        <f>'Lead &amp; ANALYSIS'!A953</f>
        <v>(iv)</v>
      </c>
      <c r="B4958" s="1666" t="str">
        <f>'Lead &amp; ANALYSIS'!B953</f>
        <v>3rd Floor</v>
      </c>
      <c r="C4958" s="688"/>
      <c r="D4958" s="1667"/>
      <c r="E4958" s="688"/>
      <c r="F4958" s="688"/>
      <c r="G4958" s="1674"/>
      <c r="H4958" s="688"/>
      <c r="I4958" s="1668"/>
      <c r="J4958" s="1668"/>
      <c r="K4958" s="1668"/>
      <c r="L4958" s="1669"/>
    </row>
    <row r="4959" spans="1:12" s="692" customFormat="1" ht="16.5" hidden="1">
      <c r="A4959" s="1665"/>
      <c r="B4959" s="1666"/>
      <c r="C4959" s="688"/>
      <c r="D4959" s="1667"/>
      <c r="E4959" s="1671">
        <v>3.5</v>
      </c>
      <c r="F4959" s="1668"/>
      <c r="G4959" s="1671">
        <v>4</v>
      </c>
      <c r="H4959" s="1671">
        <f t="shared" ref="H4959:H4964" si="870">ROUND(D4959*E4959*G4959,2)</f>
        <v>0</v>
      </c>
      <c r="I4959" s="688" t="s">
        <v>92</v>
      </c>
      <c r="J4959" s="1668"/>
      <c r="K4959" s="1668"/>
      <c r="L4959" s="1669"/>
    </row>
    <row r="4960" spans="1:12" s="692" customFormat="1" ht="16.5" hidden="1">
      <c r="A4960" s="1665"/>
      <c r="B4960" s="1666"/>
      <c r="C4960" s="688"/>
      <c r="D4960" s="1667"/>
      <c r="E4960" s="1671">
        <v>3.5</v>
      </c>
      <c r="F4960" s="1668"/>
      <c r="G4960" s="1671">
        <v>4</v>
      </c>
      <c r="H4960" s="1671">
        <f t="shared" si="870"/>
        <v>0</v>
      </c>
      <c r="I4960" s="688" t="s">
        <v>92</v>
      </c>
      <c r="J4960" s="1668"/>
      <c r="K4960" s="1668"/>
      <c r="L4960" s="1669"/>
    </row>
    <row r="4961" spans="1:12" s="692" customFormat="1" ht="16.5" hidden="1">
      <c r="A4961" s="1665"/>
      <c r="B4961" s="1666"/>
      <c r="C4961" s="688"/>
      <c r="D4961" s="1667"/>
      <c r="E4961" s="1671">
        <v>3.5</v>
      </c>
      <c r="F4961" s="1668"/>
      <c r="G4961" s="1671">
        <v>4</v>
      </c>
      <c r="H4961" s="1671">
        <f t="shared" si="870"/>
        <v>0</v>
      </c>
      <c r="I4961" s="688" t="s">
        <v>92</v>
      </c>
      <c r="J4961" s="1668"/>
      <c r="K4961" s="1668"/>
      <c r="L4961" s="1669"/>
    </row>
    <row r="4962" spans="1:12" s="692" customFormat="1" ht="16.5" hidden="1">
      <c r="A4962" s="1665"/>
      <c r="B4962" s="1666"/>
      <c r="C4962" s="688"/>
      <c r="D4962" s="1667"/>
      <c r="E4962" s="1671">
        <v>3.5</v>
      </c>
      <c r="F4962" s="1668"/>
      <c r="G4962" s="1671">
        <v>4</v>
      </c>
      <c r="H4962" s="1671">
        <f t="shared" si="870"/>
        <v>0</v>
      </c>
      <c r="I4962" s="688" t="s">
        <v>92</v>
      </c>
      <c r="J4962" s="1668"/>
      <c r="K4962" s="1668"/>
      <c r="L4962" s="1669"/>
    </row>
    <row r="4963" spans="1:12" s="692" customFormat="1" ht="16.5" hidden="1">
      <c r="A4963" s="1665"/>
      <c r="B4963" s="1666"/>
      <c r="C4963" s="688"/>
      <c r="D4963" s="1667"/>
      <c r="E4963" s="1671">
        <v>3.5</v>
      </c>
      <c r="F4963" s="1668"/>
      <c r="G4963" s="1671">
        <v>4</v>
      </c>
      <c r="H4963" s="1671">
        <f t="shared" si="870"/>
        <v>0</v>
      </c>
      <c r="I4963" s="688" t="s">
        <v>92</v>
      </c>
      <c r="J4963" s="1668"/>
      <c r="K4963" s="1668"/>
      <c r="L4963" s="1669"/>
    </row>
    <row r="4964" spans="1:12" s="692" customFormat="1" ht="16.5" hidden="1">
      <c r="A4964" s="1665"/>
      <c r="B4964" s="1666"/>
      <c r="C4964" s="688"/>
      <c r="D4964" s="1667"/>
      <c r="E4964" s="1671">
        <v>3.5</v>
      </c>
      <c r="F4964" s="1668"/>
      <c r="G4964" s="1671">
        <v>4</v>
      </c>
      <c r="H4964" s="1671">
        <f t="shared" si="870"/>
        <v>0</v>
      </c>
      <c r="I4964" s="688" t="s">
        <v>92</v>
      </c>
      <c r="J4964" s="1668"/>
      <c r="K4964" s="1668"/>
      <c r="L4964" s="1669"/>
    </row>
    <row r="4965" spans="1:12" s="692" customFormat="1" ht="16.5" hidden="1">
      <c r="A4965" s="1665"/>
      <c r="B4965" s="1666"/>
      <c r="C4965" s="688"/>
      <c r="D4965" s="1667"/>
      <c r="E4965" s="688"/>
      <c r="F4965" s="688"/>
      <c r="G4965" s="1674" t="s">
        <v>928</v>
      </c>
      <c r="H4965" s="1671">
        <f>SUM(H4959:H4964)</f>
        <v>0</v>
      </c>
      <c r="I4965" s="1668" t="s">
        <v>92</v>
      </c>
      <c r="J4965" s="1669">
        <f>'Lead &amp; ANALYSIS'!L953</f>
        <v>91.5</v>
      </c>
      <c r="K4965" s="1668" t="s">
        <v>1514</v>
      </c>
      <c r="L4965" s="1669">
        <f t="shared" ref="L4965" si="871">ROUND(H4965*J4965,0)</f>
        <v>0</v>
      </c>
    </row>
    <row r="4966" spans="1:12" s="692" customFormat="1" ht="132" hidden="1">
      <c r="A4966" s="1665">
        <f>'Lead &amp; ANALYSIS'!A954</f>
        <v>122</v>
      </c>
      <c r="B4966" s="1666" t="str">
        <f>'Lead &amp; ANALYSIS'!B954</f>
        <v xml:space="preserve">Painting two coats with plastic emulsion paint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v>
      </c>
      <c r="C4966" s="688"/>
      <c r="D4966" s="1667"/>
      <c r="E4966" s="688"/>
      <c r="F4966" s="688"/>
      <c r="G4966" s="1674"/>
      <c r="H4966" s="688"/>
      <c r="I4966" s="1668"/>
      <c r="J4966" s="1668"/>
      <c r="K4966" s="1668"/>
      <c r="L4966" s="1669"/>
    </row>
    <row r="4967" spans="1:12" s="692" customFormat="1" ht="16.5" hidden="1">
      <c r="A4967" s="1665" t="str">
        <f>'Lead &amp; ANALYSIS'!A955</f>
        <v>(i)</v>
      </c>
      <c r="B4967" s="1666" t="str">
        <f>'Lead &amp; ANALYSIS'!B955</f>
        <v>Ground Floor</v>
      </c>
      <c r="C4967" s="688"/>
      <c r="D4967" s="1667"/>
      <c r="E4967" s="688"/>
      <c r="F4967" s="688"/>
      <c r="G4967" s="1674"/>
      <c r="H4967" s="688"/>
      <c r="I4967" s="1668"/>
      <c r="J4967" s="1668"/>
      <c r="K4967" s="1668"/>
      <c r="L4967" s="1669"/>
    </row>
    <row r="4968" spans="1:12" s="692" customFormat="1" ht="16.5" hidden="1">
      <c r="A4968" s="1665"/>
      <c r="B4968" s="1666"/>
      <c r="C4968" s="688"/>
      <c r="D4968" s="1667"/>
      <c r="E4968" s="1671">
        <v>3.5</v>
      </c>
      <c r="F4968" s="1668"/>
      <c r="G4968" s="1671">
        <v>4</v>
      </c>
      <c r="H4968" s="1671">
        <f t="shared" ref="H4968:H4973" si="872">ROUND(D4968*E4968*G4968,2)</f>
        <v>0</v>
      </c>
      <c r="I4968" s="688" t="s">
        <v>92</v>
      </c>
      <c r="J4968" s="1668"/>
      <c r="K4968" s="1668"/>
      <c r="L4968" s="1669"/>
    </row>
    <row r="4969" spans="1:12" s="692" customFormat="1" ht="16.5" hidden="1">
      <c r="A4969" s="1665"/>
      <c r="B4969" s="1666"/>
      <c r="C4969" s="688"/>
      <c r="D4969" s="1667"/>
      <c r="E4969" s="1671">
        <v>3.5</v>
      </c>
      <c r="F4969" s="1668"/>
      <c r="G4969" s="1671">
        <v>4</v>
      </c>
      <c r="H4969" s="1671">
        <f t="shared" si="872"/>
        <v>0</v>
      </c>
      <c r="I4969" s="688" t="s">
        <v>92</v>
      </c>
      <c r="J4969" s="1668"/>
      <c r="K4969" s="1668"/>
      <c r="L4969" s="1669"/>
    </row>
    <row r="4970" spans="1:12" s="692" customFormat="1" ht="16.5" hidden="1">
      <c r="A4970" s="1665"/>
      <c r="B4970" s="1666"/>
      <c r="C4970" s="688"/>
      <c r="D4970" s="1667"/>
      <c r="E4970" s="1671">
        <v>3.5</v>
      </c>
      <c r="F4970" s="1668"/>
      <c r="G4970" s="1671">
        <v>4</v>
      </c>
      <c r="H4970" s="1671">
        <f t="shared" si="872"/>
        <v>0</v>
      </c>
      <c r="I4970" s="688" t="s">
        <v>92</v>
      </c>
      <c r="J4970" s="1668"/>
      <c r="K4970" s="1668"/>
      <c r="L4970" s="1669"/>
    </row>
    <row r="4971" spans="1:12" s="692" customFormat="1" ht="16.5" hidden="1">
      <c r="A4971" s="1665"/>
      <c r="B4971" s="1666"/>
      <c r="C4971" s="688"/>
      <c r="D4971" s="1667"/>
      <c r="E4971" s="1671">
        <v>3.5</v>
      </c>
      <c r="F4971" s="1668"/>
      <c r="G4971" s="1671">
        <v>4</v>
      </c>
      <c r="H4971" s="1671">
        <f t="shared" si="872"/>
        <v>0</v>
      </c>
      <c r="I4971" s="688" t="s">
        <v>92</v>
      </c>
      <c r="J4971" s="1668"/>
      <c r="K4971" s="1668"/>
      <c r="L4971" s="1669"/>
    </row>
    <row r="4972" spans="1:12" s="692" customFormat="1" ht="16.5" hidden="1">
      <c r="A4972" s="1665"/>
      <c r="B4972" s="1666"/>
      <c r="C4972" s="688"/>
      <c r="D4972" s="1667"/>
      <c r="E4972" s="1671">
        <v>3.5</v>
      </c>
      <c r="F4972" s="1668"/>
      <c r="G4972" s="1671">
        <v>4</v>
      </c>
      <c r="H4972" s="1671">
        <f t="shared" si="872"/>
        <v>0</v>
      </c>
      <c r="I4972" s="688" t="s">
        <v>92</v>
      </c>
      <c r="J4972" s="1668"/>
      <c r="K4972" s="1668"/>
      <c r="L4972" s="1669"/>
    </row>
    <row r="4973" spans="1:12" s="692" customFormat="1" ht="16.5" hidden="1">
      <c r="A4973" s="1665"/>
      <c r="B4973" s="1666"/>
      <c r="C4973" s="688"/>
      <c r="D4973" s="1667"/>
      <c r="E4973" s="1671">
        <v>3.5</v>
      </c>
      <c r="F4973" s="1668"/>
      <c r="G4973" s="1671">
        <v>4</v>
      </c>
      <c r="H4973" s="1671">
        <f t="shared" si="872"/>
        <v>0</v>
      </c>
      <c r="I4973" s="688" t="s">
        <v>92</v>
      </c>
      <c r="J4973" s="1668"/>
      <c r="K4973" s="1668"/>
      <c r="L4973" s="1669"/>
    </row>
    <row r="4974" spans="1:12" s="692" customFormat="1" ht="16.5" hidden="1">
      <c r="A4974" s="1665"/>
      <c r="B4974" s="1666"/>
      <c r="C4974" s="688"/>
      <c r="D4974" s="1667"/>
      <c r="E4974" s="688"/>
      <c r="F4974" s="688"/>
      <c r="G4974" s="1674" t="s">
        <v>928</v>
      </c>
      <c r="H4974" s="1671">
        <f>SUM(H4968:H4973)</f>
        <v>0</v>
      </c>
      <c r="I4974" s="1668" t="s">
        <v>92</v>
      </c>
      <c r="J4974" s="1669">
        <f>'Lead &amp; ANALYSIS'!L955</f>
        <v>93</v>
      </c>
      <c r="K4974" s="1668" t="s">
        <v>1514</v>
      </c>
      <c r="L4974" s="1669">
        <f t="shared" ref="L4974" si="873">ROUND(H4974*J4974,0)</f>
        <v>0</v>
      </c>
    </row>
    <row r="4975" spans="1:12" s="692" customFormat="1" ht="16.5" hidden="1">
      <c r="A4975" s="1665" t="str">
        <f>'Lead &amp; ANALYSIS'!A956</f>
        <v>(ii)</v>
      </c>
      <c r="B4975" s="1666" t="str">
        <f>'Lead &amp; ANALYSIS'!B956</f>
        <v>First Floor</v>
      </c>
      <c r="C4975" s="688"/>
      <c r="D4975" s="1667"/>
      <c r="E4975" s="688"/>
      <c r="F4975" s="688"/>
      <c r="G4975" s="1674"/>
      <c r="H4975" s="688"/>
      <c r="I4975" s="1668"/>
      <c r="J4975" s="1668"/>
      <c r="K4975" s="1668"/>
      <c r="L4975" s="1669"/>
    </row>
    <row r="4976" spans="1:12" s="692" customFormat="1" ht="16.5" hidden="1">
      <c r="A4976" s="1665"/>
      <c r="B4976" s="1666"/>
      <c r="C4976" s="688"/>
      <c r="D4976" s="1667"/>
      <c r="E4976" s="1671">
        <v>3.5</v>
      </c>
      <c r="F4976" s="1668"/>
      <c r="G4976" s="1671">
        <v>4</v>
      </c>
      <c r="H4976" s="1671">
        <f t="shared" ref="H4976:H4981" si="874">ROUND(D4976*E4976*G4976,2)</f>
        <v>0</v>
      </c>
      <c r="I4976" s="688" t="s">
        <v>92</v>
      </c>
      <c r="J4976" s="1668"/>
      <c r="K4976" s="1668"/>
      <c r="L4976" s="1669"/>
    </row>
    <row r="4977" spans="1:12" s="692" customFormat="1" ht="16.5" hidden="1">
      <c r="A4977" s="1665"/>
      <c r="B4977" s="1666"/>
      <c r="C4977" s="688"/>
      <c r="D4977" s="1667"/>
      <c r="E4977" s="1671">
        <v>3.5</v>
      </c>
      <c r="F4977" s="1668"/>
      <c r="G4977" s="1671">
        <v>4</v>
      </c>
      <c r="H4977" s="1671">
        <f t="shared" si="874"/>
        <v>0</v>
      </c>
      <c r="I4977" s="688" t="s">
        <v>92</v>
      </c>
      <c r="J4977" s="1668"/>
      <c r="K4977" s="1668"/>
      <c r="L4977" s="1669"/>
    </row>
    <row r="4978" spans="1:12" s="692" customFormat="1" ht="16.5" hidden="1">
      <c r="A4978" s="1665"/>
      <c r="B4978" s="1666"/>
      <c r="C4978" s="688"/>
      <c r="D4978" s="1667"/>
      <c r="E4978" s="1671">
        <v>3.5</v>
      </c>
      <c r="F4978" s="1668"/>
      <c r="G4978" s="1671">
        <v>4</v>
      </c>
      <c r="H4978" s="1671">
        <f t="shared" si="874"/>
        <v>0</v>
      </c>
      <c r="I4978" s="688" t="s">
        <v>92</v>
      </c>
      <c r="J4978" s="1668"/>
      <c r="K4978" s="1668"/>
      <c r="L4978" s="1669"/>
    </row>
    <row r="4979" spans="1:12" s="692" customFormat="1" ht="16.5" hidden="1">
      <c r="A4979" s="1665"/>
      <c r="B4979" s="1666"/>
      <c r="C4979" s="688"/>
      <c r="D4979" s="1667"/>
      <c r="E4979" s="1671">
        <v>3.5</v>
      </c>
      <c r="F4979" s="1668"/>
      <c r="G4979" s="1671">
        <v>4</v>
      </c>
      <c r="H4979" s="1671">
        <f t="shared" si="874"/>
        <v>0</v>
      </c>
      <c r="I4979" s="688" t="s">
        <v>92</v>
      </c>
      <c r="J4979" s="1668"/>
      <c r="K4979" s="1668"/>
      <c r="L4979" s="1669"/>
    </row>
    <row r="4980" spans="1:12" s="692" customFormat="1" ht="16.5" hidden="1">
      <c r="A4980" s="1665"/>
      <c r="B4980" s="1666"/>
      <c r="C4980" s="688"/>
      <c r="D4980" s="1667"/>
      <c r="E4980" s="1671">
        <v>3.5</v>
      </c>
      <c r="F4980" s="1668"/>
      <c r="G4980" s="1671">
        <v>4</v>
      </c>
      <c r="H4980" s="1671">
        <f t="shared" si="874"/>
        <v>0</v>
      </c>
      <c r="I4980" s="688" t="s">
        <v>92</v>
      </c>
      <c r="J4980" s="1668"/>
      <c r="K4980" s="1668"/>
      <c r="L4980" s="1669"/>
    </row>
    <row r="4981" spans="1:12" s="692" customFormat="1" ht="16.5" hidden="1">
      <c r="A4981" s="1665"/>
      <c r="B4981" s="1666"/>
      <c r="C4981" s="688"/>
      <c r="D4981" s="1667"/>
      <c r="E4981" s="1671">
        <v>3.5</v>
      </c>
      <c r="F4981" s="1668"/>
      <c r="G4981" s="1671">
        <v>4</v>
      </c>
      <c r="H4981" s="1671">
        <f t="shared" si="874"/>
        <v>0</v>
      </c>
      <c r="I4981" s="688" t="s">
        <v>92</v>
      </c>
      <c r="J4981" s="1668"/>
      <c r="K4981" s="1668"/>
      <c r="L4981" s="1669"/>
    </row>
    <row r="4982" spans="1:12" s="692" customFormat="1" ht="16.5" hidden="1">
      <c r="A4982" s="1665"/>
      <c r="B4982" s="1666"/>
      <c r="C4982" s="688"/>
      <c r="D4982" s="1667"/>
      <c r="E4982" s="688"/>
      <c r="F4982" s="688"/>
      <c r="G4982" s="1674" t="s">
        <v>928</v>
      </c>
      <c r="H4982" s="1671">
        <f>SUM(H4976:H4981)</f>
        <v>0</v>
      </c>
      <c r="I4982" s="1668" t="s">
        <v>92</v>
      </c>
      <c r="J4982" s="1669">
        <f>'Lead &amp; ANALYSIS'!L956</f>
        <v>94.7</v>
      </c>
      <c r="K4982" s="1668" t="s">
        <v>1514</v>
      </c>
      <c r="L4982" s="1669">
        <f t="shared" ref="L4982" si="875">ROUND(H4982*J4982,0)</f>
        <v>0</v>
      </c>
    </row>
    <row r="4983" spans="1:12" s="692" customFormat="1" ht="16.5" hidden="1">
      <c r="A4983" s="1693" t="str">
        <f>'Lead &amp; ANALYSIS'!A957</f>
        <v>(iii)</v>
      </c>
      <c r="B4983" s="1666" t="str">
        <f>'Lead &amp; ANALYSIS'!B957</f>
        <v>2nd Floor</v>
      </c>
      <c r="C4983" s="688"/>
      <c r="D4983" s="1667"/>
      <c r="E4983" s="688"/>
      <c r="F4983" s="688"/>
      <c r="G4983" s="1674"/>
      <c r="H4983" s="688"/>
      <c r="I4983" s="1668"/>
      <c r="J4983" s="1668"/>
      <c r="K4983" s="1668"/>
      <c r="L4983" s="1669"/>
    </row>
    <row r="4984" spans="1:12" s="692" customFormat="1" ht="16.5" hidden="1">
      <c r="A4984" s="1693"/>
      <c r="B4984" s="1666"/>
      <c r="C4984" s="688"/>
      <c r="D4984" s="1667"/>
      <c r="E4984" s="1671">
        <v>3.5</v>
      </c>
      <c r="F4984" s="1668"/>
      <c r="G4984" s="1671">
        <v>4</v>
      </c>
      <c r="H4984" s="1671">
        <f t="shared" ref="H4984:H4989" si="876">ROUND(D4984*E4984*G4984,2)</f>
        <v>0</v>
      </c>
      <c r="I4984" s="688" t="s">
        <v>92</v>
      </c>
      <c r="J4984" s="1668"/>
      <c r="K4984" s="1668"/>
      <c r="L4984" s="1669"/>
    </row>
    <row r="4985" spans="1:12" s="692" customFormat="1" ht="16.5" hidden="1">
      <c r="A4985" s="1693"/>
      <c r="B4985" s="1666"/>
      <c r="C4985" s="688"/>
      <c r="D4985" s="1667"/>
      <c r="E4985" s="1671">
        <v>3.5</v>
      </c>
      <c r="F4985" s="1668"/>
      <c r="G4985" s="1671">
        <v>4</v>
      </c>
      <c r="H4985" s="1671">
        <f t="shared" si="876"/>
        <v>0</v>
      </c>
      <c r="I4985" s="688" t="s">
        <v>92</v>
      </c>
      <c r="J4985" s="1668"/>
      <c r="K4985" s="1668"/>
      <c r="L4985" s="1669"/>
    </row>
    <row r="4986" spans="1:12" s="692" customFormat="1" ht="16.5" hidden="1">
      <c r="A4986" s="1693"/>
      <c r="B4986" s="1666"/>
      <c r="C4986" s="688"/>
      <c r="D4986" s="1667"/>
      <c r="E4986" s="1671">
        <v>3.5</v>
      </c>
      <c r="F4986" s="1668"/>
      <c r="G4986" s="1671">
        <v>4</v>
      </c>
      <c r="H4986" s="1671">
        <f t="shared" si="876"/>
        <v>0</v>
      </c>
      <c r="I4986" s="688" t="s">
        <v>92</v>
      </c>
      <c r="J4986" s="1668"/>
      <c r="K4986" s="1668"/>
      <c r="L4986" s="1669"/>
    </row>
    <row r="4987" spans="1:12" s="692" customFormat="1" ht="16.5" hidden="1">
      <c r="A4987" s="1693"/>
      <c r="B4987" s="1666"/>
      <c r="C4987" s="688"/>
      <c r="D4987" s="1667"/>
      <c r="E4987" s="1671">
        <v>3.5</v>
      </c>
      <c r="F4987" s="1668"/>
      <c r="G4987" s="1671">
        <v>4</v>
      </c>
      <c r="H4987" s="1671">
        <f t="shared" si="876"/>
        <v>0</v>
      </c>
      <c r="I4987" s="688" t="s">
        <v>92</v>
      </c>
      <c r="J4987" s="1668"/>
      <c r="K4987" s="1668"/>
      <c r="L4987" s="1669"/>
    </row>
    <row r="4988" spans="1:12" s="692" customFormat="1" ht="16.5" hidden="1">
      <c r="A4988" s="1693"/>
      <c r="B4988" s="1666"/>
      <c r="C4988" s="688"/>
      <c r="D4988" s="1667"/>
      <c r="E4988" s="1671">
        <v>3.5</v>
      </c>
      <c r="F4988" s="1668"/>
      <c r="G4988" s="1671">
        <v>4</v>
      </c>
      <c r="H4988" s="1671">
        <f t="shared" si="876"/>
        <v>0</v>
      </c>
      <c r="I4988" s="688" t="s">
        <v>92</v>
      </c>
      <c r="J4988" s="1668"/>
      <c r="K4988" s="1668"/>
      <c r="L4988" s="1669"/>
    </row>
    <row r="4989" spans="1:12" s="692" customFormat="1" ht="16.5" hidden="1">
      <c r="A4989" s="1693"/>
      <c r="B4989" s="1666"/>
      <c r="C4989" s="688"/>
      <c r="D4989" s="1667"/>
      <c r="E4989" s="1671">
        <v>3.5</v>
      </c>
      <c r="F4989" s="1668"/>
      <c r="G4989" s="1671">
        <v>4</v>
      </c>
      <c r="H4989" s="1671">
        <f t="shared" si="876"/>
        <v>0</v>
      </c>
      <c r="I4989" s="688" t="s">
        <v>92</v>
      </c>
      <c r="J4989" s="1668"/>
      <c r="K4989" s="1668"/>
      <c r="L4989" s="1669"/>
    </row>
    <row r="4990" spans="1:12" s="692" customFormat="1" ht="16.5" hidden="1">
      <c r="A4990" s="1693"/>
      <c r="B4990" s="1666"/>
      <c r="C4990" s="688"/>
      <c r="D4990" s="1667"/>
      <c r="E4990" s="688"/>
      <c r="F4990" s="688"/>
      <c r="G4990" s="1674" t="s">
        <v>928</v>
      </c>
      <c r="H4990" s="1671">
        <f>SUM(H4984:H4989)</f>
        <v>0</v>
      </c>
      <c r="I4990" s="1668" t="s">
        <v>92</v>
      </c>
      <c r="J4990" s="1669">
        <f>'Lead &amp; ANALYSIS'!L957</f>
        <v>96.4</v>
      </c>
      <c r="K4990" s="1668" t="s">
        <v>1514</v>
      </c>
      <c r="L4990" s="1669">
        <f t="shared" ref="L4990" si="877">ROUND(H4990*J4990,0)</f>
        <v>0</v>
      </c>
    </row>
    <row r="4991" spans="1:12" s="692" customFormat="1" ht="16.5" hidden="1">
      <c r="A4991" s="1693" t="str">
        <f>'Lead &amp; ANALYSIS'!A958</f>
        <v>(iv)</v>
      </c>
      <c r="B4991" s="1666" t="str">
        <f>'Lead &amp; ANALYSIS'!B958</f>
        <v>3rd Floor</v>
      </c>
      <c r="C4991" s="688"/>
      <c r="D4991" s="1667"/>
      <c r="E4991" s="688"/>
      <c r="F4991" s="688"/>
      <c r="G4991" s="1674"/>
      <c r="H4991" s="688"/>
      <c r="I4991" s="1668"/>
      <c r="J4991" s="1668"/>
      <c r="K4991" s="1668"/>
      <c r="L4991" s="1669"/>
    </row>
    <row r="4992" spans="1:12" s="692" customFormat="1" ht="16.5" hidden="1">
      <c r="A4992" s="1665"/>
      <c r="B4992" s="1666"/>
      <c r="C4992" s="688"/>
      <c r="D4992" s="1667"/>
      <c r="E4992" s="1671">
        <v>3.5</v>
      </c>
      <c r="F4992" s="1668"/>
      <c r="G4992" s="1671">
        <v>4</v>
      </c>
      <c r="H4992" s="1671">
        <f t="shared" ref="H4992:H4997" si="878">ROUND(D4992*E4992*G4992,2)</f>
        <v>0</v>
      </c>
      <c r="I4992" s="688" t="s">
        <v>92</v>
      </c>
      <c r="J4992" s="1668"/>
      <c r="K4992" s="1668"/>
      <c r="L4992" s="1669"/>
    </row>
    <row r="4993" spans="1:12" s="692" customFormat="1" ht="16.5" hidden="1">
      <c r="A4993" s="1665"/>
      <c r="B4993" s="1666"/>
      <c r="C4993" s="688"/>
      <c r="D4993" s="1667"/>
      <c r="E4993" s="1671">
        <v>3.5</v>
      </c>
      <c r="F4993" s="1668"/>
      <c r="G4993" s="1671">
        <v>4</v>
      </c>
      <c r="H4993" s="1671">
        <f t="shared" si="878"/>
        <v>0</v>
      </c>
      <c r="I4993" s="688" t="s">
        <v>92</v>
      </c>
      <c r="J4993" s="1668"/>
      <c r="K4993" s="1668"/>
      <c r="L4993" s="1669"/>
    </row>
    <row r="4994" spans="1:12" s="692" customFormat="1" ht="16.5" hidden="1">
      <c r="A4994" s="1665"/>
      <c r="B4994" s="1666"/>
      <c r="C4994" s="688"/>
      <c r="D4994" s="1667"/>
      <c r="E4994" s="1671">
        <v>3.5</v>
      </c>
      <c r="F4994" s="1668"/>
      <c r="G4994" s="1671">
        <v>4</v>
      </c>
      <c r="H4994" s="1671">
        <f t="shared" si="878"/>
        <v>0</v>
      </c>
      <c r="I4994" s="688" t="s">
        <v>92</v>
      </c>
      <c r="J4994" s="1668"/>
      <c r="K4994" s="1668"/>
      <c r="L4994" s="1669"/>
    </row>
    <row r="4995" spans="1:12" s="692" customFormat="1" ht="16.5" hidden="1">
      <c r="A4995" s="1665"/>
      <c r="B4995" s="1666"/>
      <c r="C4995" s="688"/>
      <c r="D4995" s="1667"/>
      <c r="E4995" s="1671">
        <v>3.5</v>
      </c>
      <c r="F4995" s="1668"/>
      <c r="G4995" s="1671">
        <v>4</v>
      </c>
      <c r="H4995" s="1671">
        <f t="shared" si="878"/>
        <v>0</v>
      </c>
      <c r="I4995" s="688" t="s">
        <v>92</v>
      </c>
      <c r="J4995" s="1668"/>
      <c r="K4995" s="1668"/>
      <c r="L4995" s="1669"/>
    </row>
    <row r="4996" spans="1:12" s="692" customFormat="1" ht="16.5" hidden="1">
      <c r="A4996" s="1665"/>
      <c r="B4996" s="1666"/>
      <c r="C4996" s="688"/>
      <c r="D4996" s="1667"/>
      <c r="E4996" s="1671">
        <v>3.5</v>
      </c>
      <c r="F4996" s="1668"/>
      <c r="G4996" s="1671">
        <v>4</v>
      </c>
      <c r="H4996" s="1671">
        <f t="shared" si="878"/>
        <v>0</v>
      </c>
      <c r="I4996" s="688" t="s">
        <v>92</v>
      </c>
      <c r="J4996" s="1668"/>
      <c r="K4996" s="1668"/>
      <c r="L4996" s="1669"/>
    </row>
    <row r="4997" spans="1:12" s="692" customFormat="1" ht="16.5" hidden="1">
      <c r="A4997" s="1665"/>
      <c r="B4997" s="1666"/>
      <c r="C4997" s="688"/>
      <c r="D4997" s="1667"/>
      <c r="E4997" s="1671">
        <v>3.5</v>
      </c>
      <c r="F4997" s="1668"/>
      <c r="G4997" s="1671">
        <v>4</v>
      </c>
      <c r="H4997" s="1671">
        <f t="shared" si="878"/>
        <v>0</v>
      </c>
      <c r="I4997" s="688" t="s">
        <v>92</v>
      </c>
      <c r="J4997" s="1668"/>
      <c r="K4997" s="1668"/>
      <c r="L4997" s="1669"/>
    </row>
    <row r="4998" spans="1:12" s="692" customFormat="1" ht="16.5" hidden="1">
      <c r="A4998" s="1665"/>
      <c r="B4998" s="1666"/>
      <c r="C4998" s="688"/>
      <c r="D4998" s="1667"/>
      <c r="E4998" s="688"/>
      <c r="F4998" s="688"/>
      <c r="G4998" s="1674" t="s">
        <v>928</v>
      </c>
      <c r="H4998" s="1671">
        <f>SUM(H4992:H4997)</f>
        <v>0</v>
      </c>
      <c r="I4998" s="1668" t="s">
        <v>92</v>
      </c>
      <c r="J4998" s="1669">
        <f>'Lead &amp; ANALYSIS'!L958</f>
        <v>98.2</v>
      </c>
      <c r="K4998" s="1668" t="s">
        <v>1514</v>
      </c>
      <c r="L4998" s="1669">
        <f t="shared" ref="L4998" si="879">ROUND(H4998*J4998,0)</f>
        <v>0</v>
      </c>
    </row>
    <row r="4999" spans="1:12" s="692" customFormat="1" ht="100.9" customHeight="1">
      <c r="A4999" s="1665">
        <v>17</v>
      </c>
      <c r="B4999" s="1666" t="str">
        <f>'Lead &amp; ANALYSIS'!B959</f>
        <v xml:space="preserve">Painting two coats with plastic emulsion paint over a coat of water bond cement primer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v>
      </c>
      <c r="C4999" s="688"/>
      <c r="D4999" s="1667"/>
      <c r="E4999" s="688"/>
      <c r="F4999" s="688"/>
      <c r="G4999" s="1674"/>
      <c r="H4999" s="688"/>
      <c r="I4999" s="1668"/>
      <c r="J4999" s="1668"/>
      <c r="K4999" s="1668"/>
      <c r="L4999" s="1669"/>
    </row>
    <row r="5000" spans="1:12" s="692" customFormat="1" ht="16.5">
      <c r="A5000" s="1665" t="str">
        <f>'Lead &amp; ANALYSIS'!A960</f>
        <v>(i)</v>
      </c>
      <c r="B5000" s="1666" t="str">
        <f>'Lead &amp; ANALYSIS'!B960</f>
        <v>Ground Floor</v>
      </c>
      <c r="C5000" s="688"/>
      <c r="D5000" s="1667"/>
      <c r="E5000" s="688"/>
      <c r="F5000" s="688"/>
      <c r="G5000" s="1674"/>
      <c r="H5000" s="1671">
        <f>H4941</f>
        <v>443.96999999999997</v>
      </c>
      <c r="I5000" s="688" t="s">
        <v>92</v>
      </c>
      <c r="J5000" s="1668"/>
      <c r="K5000" s="1668"/>
      <c r="L5000" s="1669"/>
    </row>
    <row r="5001" spans="1:12" s="692" customFormat="1" ht="16.5" hidden="1">
      <c r="A5001" s="1665"/>
      <c r="B5001" s="1666"/>
      <c r="C5001" s="688"/>
      <c r="D5001" s="1667"/>
      <c r="E5001" s="1671">
        <v>3.5</v>
      </c>
      <c r="F5001" s="1668"/>
      <c r="G5001" s="1671">
        <v>4</v>
      </c>
      <c r="H5001" s="1671">
        <f t="shared" ref="H5001:H5006" si="880">ROUND(D5001*E5001*G5001,2)</f>
        <v>0</v>
      </c>
      <c r="I5001" s="688" t="s">
        <v>92</v>
      </c>
      <c r="J5001" s="1668"/>
      <c r="K5001" s="1668"/>
      <c r="L5001" s="1669"/>
    </row>
    <row r="5002" spans="1:12" s="692" customFormat="1" ht="16.5" hidden="1">
      <c r="A5002" s="1665"/>
      <c r="B5002" s="1666"/>
      <c r="C5002" s="688"/>
      <c r="D5002" s="1667"/>
      <c r="E5002" s="1671">
        <v>3.5</v>
      </c>
      <c r="F5002" s="1668"/>
      <c r="G5002" s="1671">
        <v>4</v>
      </c>
      <c r="H5002" s="1671">
        <f t="shared" si="880"/>
        <v>0</v>
      </c>
      <c r="I5002" s="688" t="s">
        <v>92</v>
      </c>
      <c r="J5002" s="1668"/>
      <c r="K5002" s="1668"/>
      <c r="L5002" s="1669"/>
    </row>
    <row r="5003" spans="1:12" s="692" customFormat="1" ht="16.5" hidden="1">
      <c r="A5003" s="1665"/>
      <c r="B5003" s="1666"/>
      <c r="C5003" s="688"/>
      <c r="D5003" s="1667"/>
      <c r="E5003" s="1671">
        <v>3.5</v>
      </c>
      <c r="F5003" s="1668"/>
      <c r="G5003" s="1671">
        <v>4</v>
      </c>
      <c r="H5003" s="1671">
        <f t="shared" si="880"/>
        <v>0</v>
      </c>
      <c r="I5003" s="688" t="s">
        <v>92</v>
      </c>
      <c r="J5003" s="1668"/>
      <c r="K5003" s="1668"/>
      <c r="L5003" s="1669"/>
    </row>
    <row r="5004" spans="1:12" s="692" customFormat="1" ht="16.5" hidden="1">
      <c r="A5004" s="1665"/>
      <c r="B5004" s="1666"/>
      <c r="C5004" s="688"/>
      <c r="D5004" s="1667"/>
      <c r="E5004" s="1671">
        <v>3.5</v>
      </c>
      <c r="F5004" s="1668"/>
      <c r="G5004" s="1671">
        <v>4</v>
      </c>
      <c r="H5004" s="1671">
        <f t="shared" si="880"/>
        <v>0</v>
      </c>
      <c r="I5004" s="688" t="s">
        <v>92</v>
      </c>
      <c r="J5004" s="1668"/>
      <c r="K5004" s="1668"/>
      <c r="L5004" s="1669"/>
    </row>
    <row r="5005" spans="1:12" s="692" customFormat="1" ht="16.5" hidden="1">
      <c r="A5005" s="1665"/>
      <c r="B5005" s="1666"/>
      <c r="C5005" s="688"/>
      <c r="D5005" s="1667"/>
      <c r="E5005" s="1671">
        <v>3.5</v>
      </c>
      <c r="F5005" s="1668"/>
      <c r="G5005" s="1671">
        <v>4</v>
      </c>
      <c r="H5005" s="1671">
        <f t="shared" si="880"/>
        <v>0</v>
      </c>
      <c r="I5005" s="688" t="s">
        <v>92</v>
      </c>
      <c r="J5005" s="1668"/>
      <c r="K5005" s="1668"/>
      <c r="L5005" s="1669"/>
    </row>
    <row r="5006" spans="1:12" s="692" customFormat="1" ht="16.5" hidden="1">
      <c r="A5006" s="1665"/>
      <c r="B5006" s="1666"/>
      <c r="C5006" s="688"/>
      <c r="D5006" s="1667"/>
      <c r="E5006" s="1671">
        <v>3.5</v>
      </c>
      <c r="F5006" s="1668"/>
      <c r="G5006" s="1671">
        <v>4</v>
      </c>
      <c r="H5006" s="1671">
        <f t="shared" si="880"/>
        <v>0</v>
      </c>
      <c r="I5006" s="688" t="s">
        <v>92</v>
      </c>
      <c r="J5006" s="1668"/>
      <c r="K5006" s="1668"/>
      <c r="L5006" s="1669"/>
    </row>
    <row r="5007" spans="1:12" s="692" customFormat="1" ht="16.5">
      <c r="A5007" s="1665"/>
      <c r="B5007" s="1666"/>
      <c r="C5007" s="688"/>
      <c r="D5007" s="1667"/>
      <c r="E5007" s="688"/>
      <c r="F5007" s="688"/>
      <c r="G5007" s="1674" t="s">
        <v>928</v>
      </c>
      <c r="H5007" s="1671">
        <f>SUM(H5000:H5006)</f>
        <v>443.96999999999997</v>
      </c>
      <c r="I5007" s="1668" t="s">
        <v>92</v>
      </c>
      <c r="J5007" s="1669">
        <f>'Lead &amp; ANALYSIS'!L960</f>
        <v>160.9</v>
      </c>
      <c r="K5007" s="1668" t="s">
        <v>1514</v>
      </c>
      <c r="L5007" s="1669">
        <f t="shared" ref="L5007" si="881">ROUND(H5007*J5007,0)</f>
        <v>71435</v>
      </c>
    </row>
    <row r="5008" spans="1:12" s="692" customFormat="1" ht="16.5" hidden="1">
      <c r="A5008" s="1665" t="str">
        <f>'Lead &amp; ANALYSIS'!A961</f>
        <v>(ii)</v>
      </c>
      <c r="B5008" s="1666" t="str">
        <f>'Lead &amp; ANALYSIS'!B961</f>
        <v>First Floor</v>
      </c>
      <c r="C5008" s="688"/>
      <c r="D5008" s="1667"/>
      <c r="E5008" s="688"/>
      <c r="F5008" s="688"/>
      <c r="G5008" s="1674"/>
      <c r="H5008" s="688"/>
      <c r="I5008" s="1668"/>
      <c r="J5008" s="1668"/>
      <c r="K5008" s="1668"/>
      <c r="L5008" s="1669"/>
    </row>
    <row r="5009" spans="1:12" s="692" customFormat="1" ht="16.5" hidden="1">
      <c r="A5009" s="1665"/>
      <c r="B5009" s="1666"/>
      <c r="C5009" s="688"/>
      <c r="D5009" s="1667"/>
      <c r="E5009" s="1671">
        <v>3.5</v>
      </c>
      <c r="F5009" s="1668"/>
      <c r="G5009" s="1671">
        <v>4</v>
      </c>
      <c r="H5009" s="1671">
        <f t="shared" ref="H5009:H5014" si="882">ROUND(D5009*E5009*G5009,2)</f>
        <v>0</v>
      </c>
      <c r="I5009" s="688" t="s">
        <v>92</v>
      </c>
      <c r="J5009" s="1668"/>
      <c r="K5009" s="1668"/>
      <c r="L5009" s="1669"/>
    </row>
    <row r="5010" spans="1:12" s="692" customFormat="1" ht="16.5" hidden="1">
      <c r="A5010" s="1665"/>
      <c r="B5010" s="1666"/>
      <c r="C5010" s="688"/>
      <c r="D5010" s="1667"/>
      <c r="E5010" s="1671">
        <v>3.5</v>
      </c>
      <c r="F5010" s="1668"/>
      <c r="G5010" s="1671">
        <v>4</v>
      </c>
      <c r="H5010" s="1671">
        <f t="shared" si="882"/>
        <v>0</v>
      </c>
      <c r="I5010" s="688" t="s">
        <v>92</v>
      </c>
      <c r="J5010" s="1668"/>
      <c r="K5010" s="1668"/>
      <c r="L5010" s="1669"/>
    </row>
    <row r="5011" spans="1:12" s="692" customFormat="1" ht="16.5" hidden="1">
      <c r="A5011" s="1665"/>
      <c r="B5011" s="1666"/>
      <c r="C5011" s="688"/>
      <c r="D5011" s="1667"/>
      <c r="E5011" s="1671">
        <v>3.5</v>
      </c>
      <c r="F5011" s="1668"/>
      <c r="G5011" s="1671">
        <v>4</v>
      </c>
      <c r="H5011" s="1671">
        <f t="shared" si="882"/>
        <v>0</v>
      </c>
      <c r="I5011" s="688" t="s">
        <v>92</v>
      </c>
      <c r="J5011" s="1668"/>
      <c r="K5011" s="1668"/>
      <c r="L5011" s="1669"/>
    </row>
    <row r="5012" spans="1:12" s="692" customFormat="1" ht="16.5" hidden="1">
      <c r="A5012" s="1665"/>
      <c r="B5012" s="1666"/>
      <c r="C5012" s="688"/>
      <c r="D5012" s="1667"/>
      <c r="E5012" s="1671">
        <v>3.5</v>
      </c>
      <c r="F5012" s="1668"/>
      <c r="G5012" s="1671">
        <v>4</v>
      </c>
      <c r="H5012" s="1671">
        <f t="shared" si="882"/>
        <v>0</v>
      </c>
      <c r="I5012" s="688" t="s">
        <v>92</v>
      </c>
      <c r="J5012" s="1668"/>
      <c r="K5012" s="1668"/>
      <c r="L5012" s="1669"/>
    </row>
    <row r="5013" spans="1:12" s="692" customFormat="1" ht="16.5" hidden="1">
      <c r="A5013" s="1665"/>
      <c r="B5013" s="1666"/>
      <c r="C5013" s="688"/>
      <c r="D5013" s="1667"/>
      <c r="E5013" s="1671">
        <v>3.5</v>
      </c>
      <c r="F5013" s="1668"/>
      <c r="G5013" s="1671">
        <v>4</v>
      </c>
      <c r="H5013" s="1671">
        <f t="shared" si="882"/>
        <v>0</v>
      </c>
      <c r="I5013" s="688" t="s">
        <v>92</v>
      </c>
      <c r="J5013" s="1668"/>
      <c r="K5013" s="1668"/>
      <c r="L5013" s="1669"/>
    </row>
    <row r="5014" spans="1:12" s="692" customFormat="1" ht="16.5" hidden="1">
      <c r="A5014" s="1665"/>
      <c r="B5014" s="1666"/>
      <c r="C5014" s="688"/>
      <c r="D5014" s="1667"/>
      <c r="E5014" s="1671">
        <v>3.5</v>
      </c>
      <c r="F5014" s="1668"/>
      <c r="G5014" s="1671">
        <v>4</v>
      </c>
      <c r="H5014" s="1671">
        <f t="shared" si="882"/>
        <v>0</v>
      </c>
      <c r="I5014" s="688" t="s">
        <v>92</v>
      </c>
      <c r="J5014" s="1668"/>
      <c r="K5014" s="1668"/>
      <c r="L5014" s="1669"/>
    </row>
    <row r="5015" spans="1:12" s="692" customFormat="1" ht="16.5" hidden="1">
      <c r="A5015" s="1665"/>
      <c r="B5015" s="1666"/>
      <c r="C5015" s="688"/>
      <c r="D5015" s="1667"/>
      <c r="E5015" s="688"/>
      <c r="F5015" s="688"/>
      <c r="G5015" s="1674" t="s">
        <v>928</v>
      </c>
      <c r="H5015" s="1671">
        <f>SUM(H5009:H5014)</f>
        <v>0</v>
      </c>
      <c r="I5015" s="1668" t="s">
        <v>92</v>
      </c>
      <c r="J5015" s="1669">
        <f>'Lead &amp; ANALYSIS'!L961</f>
        <v>164.2</v>
      </c>
      <c r="K5015" s="1668" t="s">
        <v>1514</v>
      </c>
      <c r="L5015" s="1669">
        <f t="shared" ref="L5015" si="883">ROUND(H5015*J5015,0)</f>
        <v>0</v>
      </c>
    </row>
    <row r="5016" spans="1:12" s="692" customFormat="1" ht="16.5" hidden="1">
      <c r="A5016" s="1693" t="str">
        <f>'Lead &amp; ANALYSIS'!A962</f>
        <v>(iii)</v>
      </c>
      <c r="B5016" s="1666" t="str">
        <f>'Lead &amp; ANALYSIS'!B962</f>
        <v>2nd Floor</v>
      </c>
      <c r="C5016" s="688"/>
      <c r="D5016" s="1667"/>
      <c r="E5016" s="688"/>
      <c r="F5016" s="688"/>
      <c r="G5016" s="1674"/>
      <c r="H5016" s="688"/>
      <c r="I5016" s="1668"/>
      <c r="J5016" s="1668"/>
      <c r="K5016" s="1668"/>
      <c r="L5016" s="1669"/>
    </row>
    <row r="5017" spans="1:12" s="692" customFormat="1" ht="16.5" hidden="1">
      <c r="A5017" s="1693"/>
      <c r="B5017" s="1666"/>
      <c r="C5017" s="688"/>
      <c r="D5017" s="1667"/>
      <c r="E5017" s="1671">
        <v>3.5</v>
      </c>
      <c r="F5017" s="1668"/>
      <c r="G5017" s="1671">
        <v>4</v>
      </c>
      <c r="H5017" s="1671">
        <f t="shared" ref="H5017:H5022" si="884">ROUND(D5017*E5017*G5017,2)</f>
        <v>0</v>
      </c>
      <c r="I5017" s="688" t="s">
        <v>92</v>
      </c>
      <c r="J5017" s="1668"/>
      <c r="K5017" s="1668"/>
      <c r="L5017" s="1669"/>
    </row>
    <row r="5018" spans="1:12" s="692" customFormat="1" ht="16.5" hidden="1">
      <c r="A5018" s="1693"/>
      <c r="B5018" s="1666"/>
      <c r="C5018" s="688"/>
      <c r="D5018" s="1667"/>
      <c r="E5018" s="1671">
        <v>3.5</v>
      </c>
      <c r="F5018" s="1668"/>
      <c r="G5018" s="1671">
        <v>4</v>
      </c>
      <c r="H5018" s="1671">
        <f t="shared" si="884"/>
        <v>0</v>
      </c>
      <c r="I5018" s="688" t="s">
        <v>92</v>
      </c>
      <c r="J5018" s="1668"/>
      <c r="K5018" s="1668"/>
      <c r="L5018" s="1669"/>
    </row>
    <row r="5019" spans="1:12" s="692" customFormat="1" ht="16.5" hidden="1">
      <c r="A5019" s="1693"/>
      <c r="B5019" s="1666"/>
      <c r="C5019" s="688"/>
      <c r="D5019" s="1667"/>
      <c r="E5019" s="1671">
        <v>3.5</v>
      </c>
      <c r="F5019" s="1668"/>
      <c r="G5019" s="1671">
        <v>4</v>
      </c>
      <c r="H5019" s="1671">
        <f t="shared" si="884"/>
        <v>0</v>
      </c>
      <c r="I5019" s="688" t="s">
        <v>92</v>
      </c>
      <c r="J5019" s="1668"/>
      <c r="K5019" s="1668"/>
      <c r="L5019" s="1669"/>
    </row>
    <row r="5020" spans="1:12" s="692" customFormat="1" ht="16.5" hidden="1">
      <c r="A5020" s="1693"/>
      <c r="B5020" s="1666"/>
      <c r="C5020" s="688"/>
      <c r="D5020" s="1667"/>
      <c r="E5020" s="1671">
        <v>3.5</v>
      </c>
      <c r="F5020" s="1668"/>
      <c r="G5020" s="1671">
        <v>4</v>
      </c>
      <c r="H5020" s="1671">
        <f t="shared" si="884"/>
        <v>0</v>
      </c>
      <c r="I5020" s="688" t="s">
        <v>92</v>
      </c>
      <c r="J5020" s="1668"/>
      <c r="K5020" s="1668"/>
      <c r="L5020" s="1669"/>
    </row>
    <row r="5021" spans="1:12" s="692" customFormat="1" ht="16.5" hidden="1">
      <c r="A5021" s="1693"/>
      <c r="B5021" s="1666"/>
      <c r="C5021" s="688"/>
      <c r="D5021" s="1667"/>
      <c r="E5021" s="1671">
        <v>3.5</v>
      </c>
      <c r="F5021" s="1668"/>
      <c r="G5021" s="1671">
        <v>4</v>
      </c>
      <c r="H5021" s="1671">
        <f t="shared" si="884"/>
        <v>0</v>
      </c>
      <c r="I5021" s="688" t="s">
        <v>92</v>
      </c>
      <c r="J5021" s="1668"/>
      <c r="K5021" s="1668"/>
      <c r="L5021" s="1669"/>
    </row>
    <row r="5022" spans="1:12" s="692" customFormat="1" ht="16.5" hidden="1">
      <c r="A5022" s="1693"/>
      <c r="B5022" s="1666"/>
      <c r="C5022" s="688"/>
      <c r="D5022" s="1667"/>
      <c r="E5022" s="1671">
        <v>3.5</v>
      </c>
      <c r="F5022" s="1668"/>
      <c r="G5022" s="1671">
        <v>4</v>
      </c>
      <c r="H5022" s="1671">
        <f t="shared" si="884"/>
        <v>0</v>
      </c>
      <c r="I5022" s="688" t="s">
        <v>92</v>
      </c>
      <c r="J5022" s="1668"/>
      <c r="K5022" s="1668"/>
      <c r="L5022" s="1669"/>
    </row>
    <row r="5023" spans="1:12" s="692" customFormat="1" ht="16.5" hidden="1">
      <c r="A5023" s="1693"/>
      <c r="B5023" s="1666"/>
      <c r="C5023" s="688"/>
      <c r="D5023" s="1667"/>
      <c r="E5023" s="688"/>
      <c r="F5023" s="688"/>
      <c r="G5023" s="1674" t="s">
        <v>928</v>
      </c>
      <c r="H5023" s="1671">
        <f>SUM(H5017:H5022)</f>
        <v>0</v>
      </c>
      <c r="I5023" s="1668" t="s">
        <v>92</v>
      </c>
      <c r="J5023" s="1669">
        <f>'Lead &amp; ANALYSIS'!L962</f>
        <v>167.6</v>
      </c>
      <c r="K5023" s="1668" t="s">
        <v>1514</v>
      </c>
      <c r="L5023" s="1669">
        <f t="shared" ref="L5023" si="885">ROUND(H5023*J5023,0)</f>
        <v>0</v>
      </c>
    </row>
    <row r="5024" spans="1:12" s="692" customFormat="1" ht="16.5" hidden="1">
      <c r="A5024" s="1693" t="str">
        <f>'Lead &amp; ANALYSIS'!A963</f>
        <v>(iv)</v>
      </c>
      <c r="B5024" s="1666" t="str">
        <f>'Lead &amp; ANALYSIS'!B963</f>
        <v>3rd Floor</v>
      </c>
      <c r="C5024" s="688"/>
      <c r="D5024" s="1667"/>
      <c r="E5024" s="688"/>
      <c r="F5024" s="688"/>
      <c r="G5024" s="1674"/>
      <c r="H5024" s="688"/>
      <c r="I5024" s="1668"/>
      <c r="J5024" s="1668"/>
      <c r="K5024" s="1668"/>
      <c r="L5024" s="1669"/>
    </row>
    <row r="5025" spans="1:12" s="692" customFormat="1" ht="16.5" hidden="1">
      <c r="A5025" s="1693"/>
      <c r="B5025" s="1666"/>
      <c r="C5025" s="688"/>
      <c r="D5025" s="1667"/>
      <c r="E5025" s="1671">
        <v>3.5</v>
      </c>
      <c r="F5025" s="1668"/>
      <c r="G5025" s="1671">
        <v>4</v>
      </c>
      <c r="H5025" s="1671">
        <f t="shared" ref="H5025:H5030" si="886">ROUND(D5025*E5025*G5025,2)</f>
        <v>0</v>
      </c>
      <c r="I5025" s="688" t="s">
        <v>92</v>
      </c>
      <c r="J5025" s="1668"/>
      <c r="K5025" s="1668"/>
      <c r="L5025" s="1669"/>
    </row>
    <row r="5026" spans="1:12" s="692" customFormat="1" ht="16.5" hidden="1">
      <c r="A5026" s="1665"/>
      <c r="B5026" s="1666"/>
      <c r="C5026" s="688"/>
      <c r="D5026" s="1667"/>
      <c r="E5026" s="1671">
        <v>3.5</v>
      </c>
      <c r="F5026" s="1668"/>
      <c r="G5026" s="1671">
        <v>4</v>
      </c>
      <c r="H5026" s="1671">
        <f t="shared" si="886"/>
        <v>0</v>
      </c>
      <c r="I5026" s="688" t="s">
        <v>92</v>
      </c>
      <c r="J5026" s="1668"/>
      <c r="K5026" s="1668"/>
      <c r="L5026" s="1669"/>
    </row>
    <row r="5027" spans="1:12" s="692" customFormat="1" ht="16.5" hidden="1">
      <c r="A5027" s="1665"/>
      <c r="B5027" s="1666"/>
      <c r="C5027" s="688"/>
      <c r="D5027" s="1667"/>
      <c r="E5027" s="1671">
        <v>3.5</v>
      </c>
      <c r="F5027" s="1668"/>
      <c r="G5027" s="1671">
        <v>4</v>
      </c>
      <c r="H5027" s="1671">
        <f t="shared" si="886"/>
        <v>0</v>
      </c>
      <c r="I5027" s="688" t="s">
        <v>92</v>
      </c>
      <c r="J5027" s="1668"/>
      <c r="K5027" s="1668"/>
      <c r="L5027" s="1669"/>
    </row>
    <row r="5028" spans="1:12" s="692" customFormat="1" ht="16.5" hidden="1">
      <c r="A5028" s="1665"/>
      <c r="B5028" s="1666"/>
      <c r="C5028" s="688"/>
      <c r="D5028" s="1667"/>
      <c r="E5028" s="1671">
        <v>3.5</v>
      </c>
      <c r="F5028" s="1668"/>
      <c r="G5028" s="1671">
        <v>4</v>
      </c>
      <c r="H5028" s="1671">
        <f t="shared" si="886"/>
        <v>0</v>
      </c>
      <c r="I5028" s="688" t="s">
        <v>92</v>
      </c>
      <c r="J5028" s="1668"/>
      <c r="K5028" s="1668"/>
      <c r="L5028" s="1669"/>
    </row>
    <row r="5029" spans="1:12" s="692" customFormat="1" ht="16.5" hidden="1">
      <c r="A5029" s="1665"/>
      <c r="B5029" s="1666"/>
      <c r="C5029" s="688"/>
      <c r="D5029" s="1667"/>
      <c r="E5029" s="1671">
        <v>3.5</v>
      </c>
      <c r="F5029" s="1668"/>
      <c r="G5029" s="1671">
        <v>4</v>
      </c>
      <c r="H5029" s="1671">
        <f t="shared" si="886"/>
        <v>0</v>
      </c>
      <c r="I5029" s="688" t="s">
        <v>92</v>
      </c>
      <c r="J5029" s="1668"/>
      <c r="K5029" s="1668"/>
      <c r="L5029" s="1669"/>
    </row>
    <row r="5030" spans="1:12" s="692" customFormat="1" ht="16.5" hidden="1">
      <c r="A5030" s="1665"/>
      <c r="B5030" s="1666"/>
      <c r="C5030" s="688"/>
      <c r="D5030" s="1667"/>
      <c r="E5030" s="1671">
        <v>3.5</v>
      </c>
      <c r="F5030" s="1668"/>
      <c r="G5030" s="1671">
        <v>4</v>
      </c>
      <c r="H5030" s="1671">
        <f t="shared" si="886"/>
        <v>0</v>
      </c>
      <c r="I5030" s="688" t="s">
        <v>92</v>
      </c>
      <c r="J5030" s="1668"/>
      <c r="K5030" s="1668"/>
      <c r="L5030" s="1669"/>
    </row>
    <row r="5031" spans="1:12" s="692" customFormat="1" ht="16.5" hidden="1">
      <c r="A5031" s="1665"/>
      <c r="B5031" s="1666"/>
      <c r="C5031" s="688"/>
      <c r="D5031" s="1667"/>
      <c r="E5031" s="688"/>
      <c r="F5031" s="688"/>
      <c r="G5031" s="1674" t="s">
        <v>928</v>
      </c>
      <c r="H5031" s="1671">
        <f>SUM(H5025:H5030)</f>
        <v>0</v>
      </c>
      <c r="I5031" s="1668" t="s">
        <v>92</v>
      </c>
      <c r="J5031" s="1669">
        <f>'Lead &amp; ANALYSIS'!L963</f>
        <v>171</v>
      </c>
      <c r="K5031" s="1668" t="s">
        <v>1514</v>
      </c>
      <c r="L5031" s="1669">
        <f t="shared" ref="L5031" si="887">ROUND(H5031*J5031,0)</f>
        <v>0</v>
      </c>
    </row>
    <row r="5032" spans="1:12" s="692" customFormat="1" ht="115.5" hidden="1">
      <c r="A5032" s="1665">
        <f>'Lead &amp; ANALYSIS'!A964</f>
        <v>124</v>
      </c>
      <c r="B5032" s="1666" t="str">
        <f>'Lead &amp; ANALYSIS'!B964</f>
        <v xml:space="preserve">Painting one coats with distemper  on old work to make an even finished surface in all floors and heights to wall surface of approved make and shade including sand papering, applying putty wherever necessary &amp; cost of scaffolding, staging charges  etc. complete as per the direction of the Engineer-in-charge. </v>
      </c>
      <c r="C5032" s="688"/>
      <c r="D5032" s="1667"/>
      <c r="E5032" s="688"/>
      <c r="F5032" s="688"/>
      <c r="G5032" s="1674"/>
      <c r="H5032" s="688"/>
      <c r="I5032" s="1668"/>
      <c r="J5032" s="1668"/>
      <c r="K5032" s="1668"/>
      <c r="L5032" s="1669"/>
    </row>
    <row r="5033" spans="1:12" s="692" customFormat="1" ht="16.5" hidden="1">
      <c r="A5033" s="1665" t="str">
        <f>'Lead &amp; ANALYSIS'!A965</f>
        <v>(i)</v>
      </c>
      <c r="B5033" s="1666" t="str">
        <f>'Lead &amp; ANALYSIS'!B965</f>
        <v>Ground Floor</v>
      </c>
      <c r="C5033" s="688"/>
      <c r="D5033" s="1667"/>
      <c r="E5033" s="688"/>
      <c r="F5033" s="688"/>
      <c r="G5033" s="1674"/>
      <c r="H5033" s="688"/>
      <c r="I5033" s="1668"/>
      <c r="J5033" s="1668"/>
      <c r="K5033" s="1668"/>
      <c r="L5033" s="1669"/>
    </row>
    <row r="5034" spans="1:12" s="692" customFormat="1" ht="16.5" hidden="1">
      <c r="A5034" s="1665"/>
      <c r="B5034" s="1666" t="s">
        <v>2997</v>
      </c>
      <c r="C5034" s="688"/>
      <c r="D5034" s="1667"/>
      <c r="E5034" s="1671">
        <f>'DRAWING CC'!AT85</f>
        <v>0</v>
      </c>
      <c r="F5034" s="1671">
        <f>'DRAWING CC'!BE85</f>
        <v>0</v>
      </c>
      <c r="G5034" s="1668"/>
      <c r="H5034" s="1671">
        <f>ROUND(D5034*E5034*F5034,2)</f>
        <v>0</v>
      </c>
      <c r="I5034" s="1671" t="s">
        <v>92</v>
      </c>
      <c r="J5034" s="1668"/>
      <c r="K5034" s="1668"/>
      <c r="L5034" s="1669"/>
    </row>
    <row r="5035" spans="1:12" s="692" customFormat="1" ht="16.5" hidden="1">
      <c r="A5035" s="1665"/>
      <c r="B5035" s="1666"/>
      <c r="C5035" s="688"/>
      <c r="D5035" s="1667"/>
      <c r="E5035" s="1671">
        <f>'DRAWING CC'!AT119</f>
        <v>0</v>
      </c>
      <c r="F5035" s="1671">
        <f>'DRAWING CC'!BE119</f>
        <v>0</v>
      </c>
      <c r="G5035" s="1668"/>
      <c r="H5035" s="1671">
        <f>ROUND(D5035*E5035*F5035,2)</f>
        <v>0</v>
      </c>
      <c r="I5035" s="1671" t="s">
        <v>92</v>
      </c>
      <c r="J5035" s="1668"/>
      <c r="K5035" s="1668"/>
      <c r="L5035" s="1669"/>
    </row>
    <row r="5036" spans="1:12" s="692" customFormat="1" ht="16.5" hidden="1">
      <c r="A5036" s="1665"/>
      <c r="B5036" s="1666"/>
      <c r="C5036" s="688"/>
      <c r="D5036" s="1667"/>
      <c r="E5036" s="1671">
        <f>'DRAWING CC'!AT1196</f>
        <v>0</v>
      </c>
      <c r="F5036" s="1672"/>
      <c r="G5036" s="1671">
        <f>F5035</f>
        <v>0</v>
      </c>
      <c r="H5036" s="1671">
        <f t="shared" ref="H5036:H5039" si="888">ROUND(D5036*E5036*G5036,2)</f>
        <v>0</v>
      </c>
      <c r="I5036" s="1671" t="s">
        <v>92</v>
      </c>
      <c r="J5036" s="1668"/>
      <c r="K5036" s="1668"/>
      <c r="L5036" s="1669"/>
    </row>
    <row r="5037" spans="1:12" s="692" customFormat="1" ht="16.5" hidden="1">
      <c r="A5037" s="1665"/>
      <c r="B5037" s="1666"/>
      <c r="C5037" s="688"/>
      <c r="D5037" s="1667"/>
      <c r="E5037" s="1671">
        <f>'DRAWING CC'!BE1196</f>
        <v>0</v>
      </c>
      <c r="F5037" s="1672"/>
      <c r="G5037" s="1671">
        <f>G5036</f>
        <v>0</v>
      </c>
      <c r="H5037" s="1671">
        <f t="shared" si="888"/>
        <v>0</v>
      </c>
      <c r="I5037" s="1671" t="s">
        <v>92</v>
      </c>
      <c r="J5037" s="1668"/>
      <c r="K5037" s="1668"/>
      <c r="L5037" s="1669"/>
    </row>
    <row r="5038" spans="1:12" s="692" customFormat="1" ht="16.5" hidden="1">
      <c r="A5038" s="1665"/>
      <c r="B5038" s="1666"/>
      <c r="C5038" s="688"/>
      <c r="D5038" s="1667"/>
      <c r="E5038" s="1671">
        <f>'DRAWING CC'!AW1129</f>
        <v>0</v>
      </c>
      <c r="F5038" s="1672"/>
      <c r="G5038" s="1671">
        <f>'DRAWING CC'!GM1099</f>
        <v>0</v>
      </c>
      <c r="H5038" s="1671">
        <f t="shared" si="888"/>
        <v>0</v>
      </c>
      <c r="I5038" s="1671" t="s">
        <v>92</v>
      </c>
      <c r="J5038" s="1668"/>
      <c r="K5038" s="1668"/>
      <c r="L5038" s="1669"/>
    </row>
    <row r="5039" spans="1:12" s="692" customFormat="1" ht="16.5" hidden="1">
      <c r="A5039" s="1665"/>
      <c r="B5039" s="1666"/>
      <c r="C5039" s="688"/>
      <c r="D5039" s="1667"/>
      <c r="E5039" s="1671">
        <f>'DRAWING CC'!O1173</f>
        <v>0</v>
      </c>
      <c r="F5039" s="1672"/>
      <c r="G5039" s="1671">
        <f>G5038</f>
        <v>0</v>
      </c>
      <c r="H5039" s="1671">
        <f t="shared" si="888"/>
        <v>0</v>
      </c>
      <c r="I5039" s="1671" t="s">
        <v>92</v>
      </c>
      <c r="J5039" s="1668"/>
      <c r="K5039" s="1668"/>
      <c r="L5039" s="1669"/>
    </row>
    <row r="5040" spans="1:12" s="692" customFormat="1" ht="16.5" hidden="1">
      <c r="A5040" s="1665"/>
      <c r="B5040" s="1666"/>
      <c r="C5040" s="688"/>
      <c r="D5040" s="1667"/>
      <c r="E5040" s="688"/>
      <c r="F5040" s="688"/>
      <c r="G5040" s="1665" t="s">
        <v>928</v>
      </c>
      <c r="H5040" s="1673">
        <f>SUM(H5033:H5039)</f>
        <v>0</v>
      </c>
      <c r="I5040" s="1668" t="s">
        <v>92</v>
      </c>
      <c r="J5040" s="1669">
        <f>'Lead &amp; ANALYSIS'!L965</f>
        <v>48.6</v>
      </c>
      <c r="K5040" s="1668" t="s">
        <v>1514</v>
      </c>
      <c r="L5040" s="1669">
        <f t="shared" ref="L5040" si="889">ROUND(H5040*J5040,0)</f>
        <v>0</v>
      </c>
    </row>
    <row r="5041" spans="1:12" s="692" customFormat="1" ht="16.5" hidden="1">
      <c r="A5041" s="1665" t="str">
        <f>'Lead &amp; ANALYSIS'!A966</f>
        <v>(ii)</v>
      </c>
      <c r="B5041" s="1666" t="str">
        <f>'Lead &amp; ANALYSIS'!B966</f>
        <v>First Floor</v>
      </c>
      <c r="C5041" s="688"/>
      <c r="D5041" s="1667"/>
      <c r="E5041" s="688"/>
      <c r="F5041" s="688"/>
      <c r="G5041" s="1674"/>
      <c r="H5041" s="688"/>
      <c r="I5041" s="1668"/>
      <c r="J5041" s="1668"/>
      <c r="K5041" s="1668"/>
      <c r="L5041" s="1669"/>
    </row>
    <row r="5042" spans="1:12" s="692" customFormat="1" ht="16.5" hidden="1">
      <c r="A5042" s="1665"/>
      <c r="B5042" s="1666" t="s">
        <v>2997</v>
      </c>
      <c r="C5042" s="688"/>
      <c r="D5042" s="1667"/>
      <c r="E5042" s="1671">
        <f>'DRAWING CC'!AT93</f>
        <v>0</v>
      </c>
      <c r="F5042" s="1671">
        <f>'DRAWING CC'!BE93</f>
        <v>0</v>
      </c>
      <c r="G5042" s="1668"/>
      <c r="H5042" s="1671">
        <f>ROUND(D5042*E5042*F5042,2)</f>
        <v>0</v>
      </c>
      <c r="I5042" s="1671" t="s">
        <v>92</v>
      </c>
      <c r="J5042" s="1668"/>
      <c r="K5042" s="1668"/>
      <c r="L5042" s="1669"/>
    </row>
    <row r="5043" spans="1:12" s="692" customFormat="1" ht="16.5" hidden="1">
      <c r="A5043" s="1665"/>
      <c r="B5043" s="1666"/>
      <c r="C5043" s="688"/>
      <c r="D5043" s="1667"/>
      <c r="E5043" s="1671">
        <f>'DRAWING CC'!AT127</f>
        <v>0</v>
      </c>
      <c r="F5043" s="1671">
        <f>'DRAWING CC'!BE127</f>
        <v>0</v>
      </c>
      <c r="G5043" s="1668"/>
      <c r="H5043" s="1671">
        <f>ROUND(D5043*E5043*F5043,2)</f>
        <v>0</v>
      </c>
      <c r="I5043" s="1671" t="s">
        <v>92</v>
      </c>
      <c r="J5043" s="1668"/>
      <c r="K5043" s="1668"/>
      <c r="L5043" s="1669"/>
    </row>
    <row r="5044" spans="1:12" s="692" customFormat="1" ht="16.5" hidden="1">
      <c r="A5044" s="1665"/>
      <c r="B5044" s="1666"/>
      <c r="C5044" s="688"/>
      <c r="D5044" s="1667"/>
      <c r="E5044" s="1671">
        <f>'DRAWING CC'!AT1204</f>
        <v>0</v>
      </c>
      <c r="F5044" s="1672"/>
      <c r="G5044" s="1671">
        <f>F5043</f>
        <v>0</v>
      </c>
      <c r="H5044" s="1671">
        <f t="shared" ref="H5044:H5047" si="890">ROUND(D5044*E5044*G5044,2)</f>
        <v>0</v>
      </c>
      <c r="I5044" s="1671" t="s">
        <v>92</v>
      </c>
      <c r="J5044" s="1668"/>
      <c r="K5044" s="1668"/>
      <c r="L5044" s="1669"/>
    </row>
    <row r="5045" spans="1:12" s="692" customFormat="1" ht="16.5" hidden="1">
      <c r="A5045" s="1665"/>
      <c r="B5045" s="1666"/>
      <c r="C5045" s="688"/>
      <c r="D5045" s="1667"/>
      <c r="E5045" s="1671">
        <f>'DRAWING CC'!BE1204</f>
        <v>0</v>
      </c>
      <c r="F5045" s="1672"/>
      <c r="G5045" s="1671">
        <f>G5044</f>
        <v>0</v>
      </c>
      <c r="H5045" s="1671">
        <f t="shared" si="890"/>
        <v>0</v>
      </c>
      <c r="I5045" s="1671" t="s">
        <v>92</v>
      </c>
      <c r="J5045" s="1668"/>
      <c r="K5045" s="1668"/>
      <c r="L5045" s="1669"/>
    </row>
    <row r="5046" spans="1:12" s="692" customFormat="1" ht="16.5" hidden="1">
      <c r="A5046" s="1665"/>
      <c r="B5046" s="1666"/>
      <c r="C5046" s="688"/>
      <c r="D5046" s="1667"/>
      <c r="E5046" s="1671">
        <f>'DRAWING CC'!AW1137</f>
        <v>0</v>
      </c>
      <c r="F5046" s="1672"/>
      <c r="G5046" s="1671">
        <f>'DRAWING CC'!GM1107</f>
        <v>0</v>
      </c>
      <c r="H5046" s="1671">
        <f t="shared" si="890"/>
        <v>0</v>
      </c>
      <c r="I5046" s="1671" t="s">
        <v>92</v>
      </c>
      <c r="J5046" s="1668"/>
      <c r="K5046" s="1668"/>
      <c r="L5046" s="1669"/>
    </row>
    <row r="5047" spans="1:12" s="692" customFormat="1" ht="16.5" hidden="1">
      <c r="A5047" s="1665"/>
      <c r="B5047" s="1666"/>
      <c r="C5047" s="688"/>
      <c r="D5047" s="1667"/>
      <c r="E5047" s="1671">
        <f>'DRAWING CC'!O1181</f>
        <v>0</v>
      </c>
      <c r="F5047" s="1672"/>
      <c r="G5047" s="1671">
        <f>G5046</f>
        <v>0</v>
      </c>
      <c r="H5047" s="1671">
        <f t="shared" si="890"/>
        <v>0</v>
      </c>
      <c r="I5047" s="1671" t="s">
        <v>92</v>
      </c>
      <c r="J5047" s="1668"/>
      <c r="K5047" s="1668"/>
      <c r="L5047" s="1669"/>
    </row>
    <row r="5048" spans="1:12" s="692" customFormat="1" ht="16.5" hidden="1">
      <c r="A5048" s="1665"/>
      <c r="B5048" s="1666"/>
      <c r="C5048" s="688"/>
      <c r="D5048" s="1667"/>
      <c r="E5048" s="688"/>
      <c r="F5048" s="688"/>
      <c r="G5048" s="1665" t="s">
        <v>928</v>
      </c>
      <c r="H5048" s="1673">
        <f>SUM(H5041:H5047)</f>
        <v>0</v>
      </c>
      <c r="I5048" s="1668" t="s">
        <v>92</v>
      </c>
      <c r="J5048" s="1669">
        <f>'Lead &amp; ANALYSIS'!L966</f>
        <v>49.7</v>
      </c>
      <c r="K5048" s="1668" t="s">
        <v>1514</v>
      </c>
      <c r="L5048" s="1669">
        <f t="shared" ref="L5048" si="891">ROUND(H5048*J5048,0)</f>
        <v>0</v>
      </c>
    </row>
    <row r="5049" spans="1:12" s="692" customFormat="1" ht="16.5" hidden="1">
      <c r="A5049" s="1693" t="str">
        <f>'Lead &amp; ANALYSIS'!A967</f>
        <v>(iii)</v>
      </c>
      <c r="B5049" s="1666" t="str">
        <f>'Lead &amp; ANALYSIS'!B967</f>
        <v>2nd Floor</v>
      </c>
      <c r="C5049" s="688"/>
      <c r="D5049" s="1667"/>
      <c r="E5049" s="688"/>
      <c r="F5049" s="688"/>
      <c r="G5049" s="1674"/>
      <c r="H5049" s="688"/>
      <c r="I5049" s="1668"/>
      <c r="J5049" s="1668"/>
      <c r="K5049" s="1668"/>
      <c r="L5049" s="1669"/>
    </row>
    <row r="5050" spans="1:12" s="692" customFormat="1" ht="16.5" hidden="1">
      <c r="A5050" s="1693"/>
      <c r="B5050" s="1666"/>
      <c r="C5050" s="688"/>
      <c r="D5050" s="1667"/>
      <c r="E5050" s="1671">
        <v>3.5</v>
      </c>
      <c r="F5050" s="1668"/>
      <c r="G5050" s="1671">
        <v>4</v>
      </c>
      <c r="H5050" s="1671">
        <f t="shared" ref="H5050:H5055" si="892">ROUND(D5050*E5050*G5050,2)</f>
        <v>0</v>
      </c>
      <c r="I5050" s="688" t="s">
        <v>92</v>
      </c>
      <c r="J5050" s="1668"/>
      <c r="K5050" s="1668"/>
      <c r="L5050" s="1669"/>
    </row>
    <row r="5051" spans="1:12" s="692" customFormat="1" ht="16.5" hidden="1">
      <c r="A5051" s="1693"/>
      <c r="B5051" s="1666"/>
      <c r="C5051" s="688"/>
      <c r="D5051" s="1667"/>
      <c r="E5051" s="1671">
        <v>3.5</v>
      </c>
      <c r="F5051" s="1668"/>
      <c r="G5051" s="1671">
        <v>4</v>
      </c>
      <c r="H5051" s="1671">
        <f t="shared" si="892"/>
        <v>0</v>
      </c>
      <c r="I5051" s="688" t="s">
        <v>92</v>
      </c>
      <c r="J5051" s="1668"/>
      <c r="K5051" s="1668"/>
      <c r="L5051" s="1669"/>
    </row>
    <row r="5052" spans="1:12" s="692" customFormat="1" ht="16.5" hidden="1">
      <c r="A5052" s="1693"/>
      <c r="B5052" s="1666"/>
      <c r="C5052" s="688"/>
      <c r="D5052" s="1667"/>
      <c r="E5052" s="1671">
        <v>3.5</v>
      </c>
      <c r="F5052" s="1668"/>
      <c r="G5052" s="1671">
        <v>4</v>
      </c>
      <c r="H5052" s="1671">
        <f t="shared" si="892"/>
        <v>0</v>
      </c>
      <c r="I5052" s="688" t="s">
        <v>92</v>
      </c>
      <c r="J5052" s="1668"/>
      <c r="K5052" s="1668"/>
      <c r="L5052" s="1669"/>
    </row>
    <row r="5053" spans="1:12" s="692" customFormat="1" ht="16.5" hidden="1">
      <c r="A5053" s="1693"/>
      <c r="B5053" s="1666"/>
      <c r="C5053" s="688"/>
      <c r="D5053" s="1667"/>
      <c r="E5053" s="1671">
        <v>3.5</v>
      </c>
      <c r="F5053" s="1668"/>
      <c r="G5053" s="1671">
        <v>4</v>
      </c>
      <c r="H5053" s="1671">
        <f t="shared" si="892"/>
        <v>0</v>
      </c>
      <c r="I5053" s="688" t="s">
        <v>92</v>
      </c>
      <c r="J5053" s="1668"/>
      <c r="K5053" s="1668"/>
      <c r="L5053" s="1669"/>
    </row>
    <row r="5054" spans="1:12" s="692" customFormat="1" ht="16.5" hidden="1">
      <c r="A5054" s="1693"/>
      <c r="B5054" s="1666"/>
      <c r="C5054" s="688"/>
      <c r="D5054" s="1667"/>
      <c r="E5054" s="1671">
        <v>3.5</v>
      </c>
      <c r="F5054" s="1668"/>
      <c r="G5054" s="1671">
        <v>4</v>
      </c>
      <c r="H5054" s="1671">
        <f t="shared" si="892"/>
        <v>0</v>
      </c>
      <c r="I5054" s="688" t="s">
        <v>92</v>
      </c>
      <c r="J5054" s="1668"/>
      <c r="K5054" s="1668"/>
      <c r="L5054" s="1669"/>
    </row>
    <row r="5055" spans="1:12" s="692" customFormat="1" ht="16.5" hidden="1">
      <c r="A5055" s="1693"/>
      <c r="B5055" s="1666"/>
      <c r="C5055" s="688"/>
      <c r="D5055" s="1667"/>
      <c r="E5055" s="1671">
        <v>3.5</v>
      </c>
      <c r="F5055" s="1668"/>
      <c r="G5055" s="1671">
        <v>4</v>
      </c>
      <c r="H5055" s="1671">
        <f t="shared" si="892"/>
        <v>0</v>
      </c>
      <c r="I5055" s="688" t="s">
        <v>92</v>
      </c>
      <c r="J5055" s="1668"/>
      <c r="K5055" s="1668"/>
      <c r="L5055" s="1669"/>
    </row>
    <row r="5056" spans="1:12" s="692" customFormat="1" ht="16.5" hidden="1">
      <c r="A5056" s="1693"/>
      <c r="B5056" s="1666"/>
      <c r="C5056" s="688"/>
      <c r="D5056" s="1667"/>
      <c r="E5056" s="688"/>
      <c r="F5056" s="688"/>
      <c r="G5056" s="1674" t="s">
        <v>928</v>
      </c>
      <c r="H5056" s="1671">
        <f>SUM(H5050:H5055)</f>
        <v>0</v>
      </c>
      <c r="I5056" s="1668" t="s">
        <v>92</v>
      </c>
      <c r="J5056" s="1669">
        <f>'Lead &amp; ANALYSIS'!L967</f>
        <v>50.7</v>
      </c>
      <c r="K5056" s="1668" t="s">
        <v>1514</v>
      </c>
      <c r="L5056" s="1669">
        <f t="shared" ref="L5056" si="893">ROUND(H5056*J5056,0)</f>
        <v>0</v>
      </c>
    </row>
    <row r="5057" spans="1:12" s="692" customFormat="1" ht="16.5" hidden="1">
      <c r="A5057" s="1693" t="str">
        <f>'Lead &amp; ANALYSIS'!A968</f>
        <v>(iv)</v>
      </c>
      <c r="B5057" s="1666" t="str">
        <f>'Lead &amp; ANALYSIS'!B968</f>
        <v>3rd Floor</v>
      </c>
      <c r="C5057" s="688"/>
      <c r="D5057" s="1667"/>
      <c r="E5057" s="688"/>
      <c r="F5057" s="688"/>
      <c r="G5057" s="1674"/>
      <c r="H5057" s="688"/>
      <c r="I5057" s="1668"/>
      <c r="J5057" s="1668"/>
      <c r="K5057" s="1668"/>
      <c r="L5057" s="1669"/>
    </row>
    <row r="5058" spans="1:12" s="692" customFormat="1" ht="16.5" hidden="1">
      <c r="A5058" s="1693"/>
      <c r="B5058" s="1666"/>
      <c r="C5058" s="688"/>
      <c r="D5058" s="1667"/>
      <c r="E5058" s="1671">
        <v>3.5</v>
      </c>
      <c r="F5058" s="1668"/>
      <c r="G5058" s="1671">
        <v>4</v>
      </c>
      <c r="H5058" s="1671">
        <f t="shared" ref="H5058:H5063" si="894">ROUND(D5058*E5058*G5058,2)</f>
        <v>0</v>
      </c>
      <c r="I5058" s="688" t="s">
        <v>92</v>
      </c>
      <c r="J5058" s="1668"/>
      <c r="K5058" s="1668"/>
      <c r="L5058" s="1669"/>
    </row>
    <row r="5059" spans="1:12" s="692" customFormat="1" ht="16.5" hidden="1">
      <c r="A5059" s="1665"/>
      <c r="B5059" s="1666"/>
      <c r="C5059" s="688"/>
      <c r="D5059" s="1667"/>
      <c r="E5059" s="1671">
        <v>3.5</v>
      </c>
      <c r="F5059" s="1668"/>
      <c r="G5059" s="1671">
        <v>4</v>
      </c>
      <c r="H5059" s="1671">
        <f t="shared" si="894"/>
        <v>0</v>
      </c>
      <c r="I5059" s="688" t="s">
        <v>92</v>
      </c>
      <c r="J5059" s="1668"/>
      <c r="K5059" s="1668"/>
      <c r="L5059" s="1669"/>
    </row>
    <row r="5060" spans="1:12" s="692" customFormat="1" ht="16.5" hidden="1">
      <c r="A5060" s="1665"/>
      <c r="B5060" s="1666"/>
      <c r="C5060" s="688"/>
      <c r="D5060" s="1667"/>
      <c r="E5060" s="1671">
        <v>3.5</v>
      </c>
      <c r="F5060" s="1668"/>
      <c r="G5060" s="1671">
        <v>4</v>
      </c>
      <c r="H5060" s="1671">
        <f t="shared" si="894"/>
        <v>0</v>
      </c>
      <c r="I5060" s="688" t="s">
        <v>92</v>
      </c>
      <c r="J5060" s="1668"/>
      <c r="K5060" s="1668"/>
      <c r="L5060" s="1669"/>
    </row>
    <row r="5061" spans="1:12" s="692" customFormat="1" ht="16.5" hidden="1">
      <c r="A5061" s="1665"/>
      <c r="B5061" s="1666"/>
      <c r="C5061" s="688"/>
      <c r="D5061" s="1667"/>
      <c r="E5061" s="1671">
        <v>3.5</v>
      </c>
      <c r="F5061" s="1668"/>
      <c r="G5061" s="1671">
        <v>4</v>
      </c>
      <c r="H5061" s="1671">
        <f t="shared" si="894"/>
        <v>0</v>
      </c>
      <c r="I5061" s="688" t="s">
        <v>92</v>
      </c>
      <c r="J5061" s="1668"/>
      <c r="K5061" s="1668"/>
      <c r="L5061" s="1669"/>
    </row>
    <row r="5062" spans="1:12" s="692" customFormat="1" ht="16.5" hidden="1">
      <c r="A5062" s="1665"/>
      <c r="B5062" s="1666"/>
      <c r="C5062" s="688"/>
      <c r="D5062" s="1667"/>
      <c r="E5062" s="1671">
        <v>3.5</v>
      </c>
      <c r="F5062" s="1668"/>
      <c r="G5062" s="1671">
        <v>4</v>
      </c>
      <c r="H5062" s="1671">
        <f t="shared" si="894"/>
        <v>0</v>
      </c>
      <c r="I5062" s="688" t="s">
        <v>92</v>
      </c>
      <c r="J5062" s="1668"/>
      <c r="K5062" s="1668"/>
      <c r="L5062" s="1669"/>
    </row>
    <row r="5063" spans="1:12" s="692" customFormat="1" ht="16.5" hidden="1">
      <c r="A5063" s="1665"/>
      <c r="B5063" s="1666"/>
      <c r="C5063" s="688"/>
      <c r="D5063" s="1667"/>
      <c r="E5063" s="1671">
        <v>3.5</v>
      </c>
      <c r="F5063" s="1668"/>
      <c r="G5063" s="1671">
        <v>4</v>
      </c>
      <c r="H5063" s="1671">
        <f t="shared" si="894"/>
        <v>0</v>
      </c>
      <c r="I5063" s="688" t="s">
        <v>92</v>
      </c>
      <c r="J5063" s="1668"/>
      <c r="K5063" s="1668"/>
      <c r="L5063" s="1669"/>
    </row>
    <row r="5064" spans="1:12" s="692" customFormat="1" ht="16.5" hidden="1">
      <c r="A5064" s="1665"/>
      <c r="B5064" s="1666"/>
      <c r="C5064" s="688"/>
      <c r="D5064" s="1667"/>
      <c r="E5064" s="688"/>
      <c r="F5064" s="688"/>
      <c r="G5064" s="1674" t="s">
        <v>928</v>
      </c>
      <c r="H5064" s="1671">
        <f>SUM(H5058:H5063)</f>
        <v>0</v>
      </c>
      <c r="I5064" s="1668" t="s">
        <v>92</v>
      </c>
      <c r="J5064" s="1669">
        <f>'Lead &amp; ANALYSIS'!L968</f>
        <v>51.9</v>
      </c>
      <c r="K5064" s="1668" t="s">
        <v>1514</v>
      </c>
      <c r="L5064" s="1669">
        <f t="shared" ref="L5064" si="895">ROUND(H5064*J5064,0)</f>
        <v>0</v>
      </c>
    </row>
    <row r="5065" spans="1:12" s="692" customFormat="1" ht="115.5" hidden="1">
      <c r="A5065" s="1665">
        <f>'Lead &amp; ANALYSIS'!A969</f>
        <v>125</v>
      </c>
      <c r="B5065" s="1666" t="str">
        <f>'Lead &amp; ANALYSIS'!B969</f>
        <v xml:space="preserve">Painting two coats with distemper  on new work to make an even finished surface in all floors and heights to wall surface of approved make and shade including sand papering, applying putty wherever necessary &amp; cost of scaffolding, staging charges  etc. complete as per the direction of the Engineer-in-charge. </v>
      </c>
      <c r="C5065" s="688"/>
      <c r="D5065" s="1667"/>
      <c r="E5065" s="688"/>
      <c r="F5065" s="688"/>
      <c r="G5065" s="1674"/>
      <c r="H5065" s="688"/>
      <c r="I5065" s="1668"/>
      <c r="J5065" s="1668"/>
      <c r="K5065" s="1668"/>
      <c r="L5065" s="1669"/>
    </row>
    <row r="5066" spans="1:12" s="692" customFormat="1" ht="16.5" hidden="1">
      <c r="A5066" s="1665" t="str">
        <f>'Lead &amp; ANALYSIS'!A970</f>
        <v>(i)</v>
      </c>
      <c r="B5066" s="1666" t="str">
        <f>'Lead &amp; ANALYSIS'!B970</f>
        <v>Ground Floor</v>
      </c>
      <c r="C5066" s="688"/>
      <c r="D5066" s="1667"/>
      <c r="E5066" s="688"/>
      <c r="F5066" s="688"/>
      <c r="G5066" s="1674"/>
      <c r="H5066" s="1671"/>
      <c r="I5066" s="1668" t="s">
        <v>92</v>
      </c>
      <c r="J5066" s="1668"/>
      <c r="K5066" s="1668"/>
      <c r="L5066" s="1669"/>
    </row>
    <row r="5067" spans="1:12" s="692" customFormat="1" ht="16.5" hidden="1">
      <c r="A5067" s="1665"/>
      <c r="B5067" s="1666" t="s">
        <v>2997</v>
      </c>
      <c r="C5067" s="688"/>
      <c r="D5067" s="1667"/>
      <c r="E5067" s="1671">
        <f>'DRAWING CC'!AT95</f>
        <v>3.65</v>
      </c>
      <c r="F5067" s="1671">
        <f>'DRAWING CC'!BE95</f>
        <v>3</v>
      </c>
      <c r="G5067" s="1668"/>
      <c r="H5067" s="1671">
        <f>ROUND(D5067*E5067*F5067,2)</f>
        <v>0</v>
      </c>
      <c r="I5067" s="1671" t="s">
        <v>92</v>
      </c>
      <c r="J5067" s="1668"/>
      <c r="K5067" s="1668"/>
      <c r="L5067" s="1669"/>
    </row>
    <row r="5068" spans="1:12" s="692" customFormat="1" ht="16.5" hidden="1">
      <c r="A5068" s="1665"/>
      <c r="B5068" s="1666"/>
      <c r="C5068" s="688"/>
      <c r="D5068" s="1667"/>
      <c r="E5068" s="1671">
        <f>'DRAWING CC'!AT129</f>
        <v>3.65</v>
      </c>
      <c r="F5068" s="1671">
        <f>'DRAWING CC'!BE129</f>
        <v>1.5</v>
      </c>
      <c r="G5068" s="1668"/>
      <c r="H5068" s="1671">
        <f>ROUND(D5068*E5068*F5068,2)</f>
        <v>0</v>
      </c>
      <c r="I5068" s="1671" t="s">
        <v>92</v>
      </c>
      <c r="J5068" s="1668"/>
      <c r="K5068" s="1668"/>
      <c r="L5068" s="1669"/>
    </row>
    <row r="5069" spans="1:12" s="692" customFormat="1" ht="16.5" hidden="1">
      <c r="A5069" s="1665"/>
      <c r="B5069" s="1666"/>
      <c r="C5069" s="688"/>
      <c r="D5069" s="1667"/>
      <c r="E5069" s="1671">
        <f>'DRAWING CC'!AT1206</f>
        <v>0</v>
      </c>
      <c r="F5069" s="1672"/>
      <c r="G5069" s="1671">
        <f>F5068</f>
        <v>1.5</v>
      </c>
      <c r="H5069" s="1671">
        <f t="shared" ref="H5069:H5072" si="896">ROUND(D5069*E5069*G5069,2)</f>
        <v>0</v>
      </c>
      <c r="I5069" s="1671" t="s">
        <v>92</v>
      </c>
      <c r="J5069" s="1668"/>
      <c r="K5069" s="1668"/>
      <c r="L5069" s="1669"/>
    </row>
    <row r="5070" spans="1:12" s="692" customFormat="1" ht="16.5" hidden="1">
      <c r="A5070" s="1665"/>
      <c r="B5070" s="1666"/>
      <c r="C5070" s="688"/>
      <c r="D5070" s="1667"/>
      <c r="E5070" s="1671">
        <f>'DRAWING CC'!BE1206</f>
        <v>0</v>
      </c>
      <c r="F5070" s="1672"/>
      <c r="G5070" s="1671">
        <f>G5069</f>
        <v>1.5</v>
      </c>
      <c r="H5070" s="1671">
        <f t="shared" si="896"/>
        <v>0</v>
      </c>
      <c r="I5070" s="1671" t="s">
        <v>92</v>
      </c>
      <c r="J5070" s="1668"/>
      <c r="K5070" s="1668"/>
      <c r="L5070" s="1669"/>
    </row>
    <row r="5071" spans="1:12" s="692" customFormat="1" ht="16.5" hidden="1">
      <c r="A5071" s="1665"/>
      <c r="B5071" s="1666"/>
      <c r="C5071" s="688"/>
      <c r="D5071" s="1667"/>
      <c r="E5071" s="1671">
        <f>'DRAWING CC'!AW1139</f>
        <v>0</v>
      </c>
      <c r="F5071" s="1672"/>
      <c r="G5071" s="1671">
        <f>'DRAWING CC'!GM1109</f>
        <v>0</v>
      </c>
      <c r="H5071" s="1671">
        <f t="shared" si="896"/>
        <v>0</v>
      </c>
      <c r="I5071" s="1671" t="s">
        <v>92</v>
      </c>
      <c r="J5071" s="1668"/>
      <c r="K5071" s="1668"/>
      <c r="L5071" s="1669"/>
    </row>
    <row r="5072" spans="1:12" s="692" customFormat="1" ht="16.5" hidden="1">
      <c r="A5072" s="1665"/>
      <c r="B5072" s="1666"/>
      <c r="C5072" s="688"/>
      <c r="D5072" s="1667"/>
      <c r="E5072" s="1671">
        <f>'DRAWING CC'!O1183</f>
        <v>0</v>
      </c>
      <c r="F5072" s="1672"/>
      <c r="G5072" s="1671">
        <f>G5071</f>
        <v>0</v>
      </c>
      <c r="H5072" s="1671">
        <f t="shared" si="896"/>
        <v>0</v>
      </c>
      <c r="I5072" s="1671" t="s">
        <v>92</v>
      </c>
      <c r="J5072" s="1668"/>
      <c r="K5072" s="1668"/>
      <c r="L5072" s="1669"/>
    </row>
    <row r="5073" spans="1:12" s="692" customFormat="1" ht="16.5" hidden="1">
      <c r="A5073" s="1665"/>
      <c r="B5073" s="1666"/>
      <c r="C5073" s="688"/>
      <c r="D5073" s="1667"/>
      <c r="E5073" s="688"/>
      <c r="F5073" s="688"/>
      <c r="G5073" s="1665" t="s">
        <v>928</v>
      </c>
      <c r="H5073" s="1673">
        <f>SUM(H5066:H5072)</f>
        <v>0</v>
      </c>
      <c r="I5073" s="1668" t="s">
        <v>92</v>
      </c>
      <c r="J5073" s="1669">
        <f>'Lead &amp; ANALYSIS'!L970</f>
        <v>75.2</v>
      </c>
      <c r="K5073" s="1668" t="s">
        <v>1514</v>
      </c>
      <c r="L5073" s="1669">
        <f t="shared" ref="L5073" si="897">ROUND(H5073*J5073,0)</f>
        <v>0</v>
      </c>
    </row>
    <row r="5074" spans="1:12" s="692" customFormat="1" ht="16.5" hidden="1">
      <c r="A5074" s="1665" t="str">
        <f>'Lead &amp; ANALYSIS'!A971</f>
        <v>(ii)</v>
      </c>
      <c r="B5074" s="1666" t="str">
        <f>'Lead &amp; ANALYSIS'!B971</f>
        <v>First Floor</v>
      </c>
      <c r="C5074" s="688"/>
      <c r="D5074" s="1667"/>
      <c r="E5074" s="688"/>
      <c r="F5074" s="688"/>
      <c r="G5074" s="1674"/>
      <c r="H5074" s="688"/>
      <c r="I5074" s="1668"/>
      <c r="J5074" s="1668"/>
      <c r="K5074" s="1668"/>
      <c r="L5074" s="1669"/>
    </row>
    <row r="5075" spans="1:12" s="692" customFormat="1" ht="16.5" hidden="1">
      <c r="A5075" s="1665"/>
      <c r="B5075" s="1666" t="s">
        <v>2997</v>
      </c>
      <c r="C5075" s="688"/>
      <c r="D5075" s="1667"/>
      <c r="E5075" s="1671">
        <f>'DRAWING CC'!AT103</f>
        <v>0</v>
      </c>
      <c r="F5075" s="1671">
        <f>'DRAWING CC'!BE103</f>
        <v>0</v>
      </c>
      <c r="G5075" s="1668"/>
      <c r="H5075" s="1671">
        <f>ROUND(D5075*E5075*F5075,2)</f>
        <v>0</v>
      </c>
      <c r="I5075" s="1671" t="s">
        <v>92</v>
      </c>
      <c r="J5075" s="1668"/>
      <c r="K5075" s="1668"/>
      <c r="L5075" s="1669"/>
    </row>
    <row r="5076" spans="1:12" s="692" customFormat="1" ht="16.5" hidden="1">
      <c r="A5076" s="1665"/>
      <c r="B5076" s="1666"/>
      <c r="C5076" s="688"/>
      <c r="D5076" s="1667"/>
      <c r="E5076" s="1671">
        <f>'DRAWING CC'!AT137</f>
        <v>0</v>
      </c>
      <c r="F5076" s="1671">
        <f>'DRAWING CC'!BE137</f>
        <v>0</v>
      </c>
      <c r="G5076" s="1668"/>
      <c r="H5076" s="1671">
        <f>ROUND(D5076*E5076*F5076,2)</f>
        <v>0</v>
      </c>
      <c r="I5076" s="1671" t="s">
        <v>92</v>
      </c>
      <c r="J5076" s="1668"/>
      <c r="K5076" s="1668"/>
      <c r="L5076" s="1669"/>
    </row>
    <row r="5077" spans="1:12" s="692" customFormat="1" ht="16.5" hidden="1">
      <c r="A5077" s="1665"/>
      <c r="B5077" s="1666"/>
      <c r="C5077" s="688"/>
      <c r="D5077" s="1667"/>
      <c r="E5077" s="1671">
        <f>'DRAWING CC'!AT1214</f>
        <v>0</v>
      </c>
      <c r="F5077" s="1672"/>
      <c r="G5077" s="1671">
        <f>F5076</f>
        <v>0</v>
      </c>
      <c r="H5077" s="1671">
        <f t="shared" ref="H5077:H5080" si="898">ROUND(D5077*E5077*G5077,2)</f>
        <v>0</v>
      </c>
      <c r="I5077" s="1671" t="s">
        <v>92</v>
      </c>
      <c r="J5077" s="1668"/>
      <c r="K5077" s="1668"/>
      <c r="L5077" s="1669"/>
    </row>
    <row r="5078" spans="1:12" s="692" customFormat="1" ht="16.5" hidden="1">
      <c r="A5078" s="1665"/>
      <c r="B5078" s="1666"/>
      <c r="C5078" s="688"/>
      <c r="D5078" s="1667"/>
      <c r="E5078" s="1671">
        <f>'DRAWING CC'!BE1214</f>
        <v>0</v>
      </c>
      <c r="F5078" s="1672"/>
      <c r="G5078" s="1671">
        <f>G5077</f>
        <v>0</v>
      </c>
      <c r="H5078" s="1671">
        <f t="shared" si="898"/>
        <v>0</v>
      </c>
      <c r="I5078" s="1671" t="s">
        <v>92</v>
      </c>
      <c r="J5078" s="1668"/>
      <c r="K5078" s="1668"/>
      <c r="L5078" s="1669"/>
    </row>
    <row r="5079" spans="1:12" s="692" customFormat="1" ht="16.5" hidden="1">
      <c r="A5079" s="1665"/>
      <c r="B5079" s="1666"/>
      <c r="C5079" s="688"/>
      <c r="D5079" s="1667"/>
      <c r="E5079" s="1671">
        <f>'DRAWING CC'!AW1147</f>
        <v>0</v>
      </c>
      <c r="F5079" s="1672"/>
      <c r="G5079" s="1671">
        <f>'DRAWING CC'!GM1117</f>
        <v>0</v>
      </c>
      <c r="H5079" s="1671">
        <f t="shared" si="898"/>
        <v>0</v>
      </c>
      <c r="I5079" s="1671" t="s">
        <v>92</v>
      </c>
      <c r="J5079" s="1668"/>
      <c r="K5079" s="1668"/>
      <c r="L5079" s="1669"/>
    </row>
    <row r="5080" spans="1:12" s="692" customFormat="1" ht="16.5" hidden="1">
      <c r="A5080" s="1665"/>
      <c r="B5080" s="1666"/>
      <c r="C5080" s="688"/>
      <c r="D5080" s="1667"/>
      <c r="E5080" s="1671">
        <f>'DRAWING CC'!O1191</f>
        <v>0</v>
      </c>
      <c r="F5080" s="1672"/>
      <c r="G5080" s="1671">
        <f>G5079</f>
        <v>0</v>
      </c>
      <c r="H5080" s="1671">
        <f t="shared" si="898"/>
        <v>0</v>
      </c>
      <c r="I5080" s="1671" t="s">
        <v>92</v>
      </c>
      <c r="J5080" s="1668"/>
      <c r="K5080" s="1668"/>
      <c r="L5080" s="1669"/>
    </row>
    <row r="5081" spans="1:12" s="692" customFormat="1" ht="16.5" hidden="1">
      <c r="A5081" s="1665"/>
      <c r="B5081" s="1666"/>
      <c r="C5081" s="688"/>
      <c r="D5081" s="1667"/>
      <c r="E5081" s="688"/>
      <c r="F5081" s="688"/>
      <c r="G5081" s="1665" t="s">
        <v>928</v>
      </c>
      <c r="H5081" s="1673">
        <f>SUM(H5074:H5080)</f>
        <v>0</v>
      </c>
      <c r="I5081" s="1668" t="s">
        <v>92</v>
      </c>
      <c r="J5081" s="1669">
        <f>'Lead &amp; ANALYSIS'!L971</f>
        <v>77.599999999999994</v>
      </c>
      <c r="K5081" s="1668" t="s">
        <v>1514</v>
      </c>
      <c r="L5081" s="1669">
        <f t="shared" ref="L5081" si="899">ROUND(H5081*J5081,0)</f>
        <v>0</v>
      </c>
    </row>
    <row r="5082" spans="1:12" s="692" customFormat="1" ht="16.5" hidden="1">
      <c r="A5082" s="1693" t="str">
        <f>'Lead &amp; ANALYSIS'!A972</f>
        <v>(iii)</v>
      </c>
      <c r="B5082" s="1666" t="str">
        <f>'Lead &amp; ANALYSIS'!B972</f>
        <v>2nd Floor</v>
      </c>
      <c r="C5082" s="688"/>
      <c r="D5082" s="1667"/>
      <c r="E5082" s="688"/>
      <c r="F5082" s="688"/>
      <c r="G5082" s="1674"/>
      <c r="H5082" s="688"/>
      <c r="I5082" s="1668"/>
      <c r="J5082" s="1668"/>
      <c r="K5082" s="1668"/>
      <c r="L5082" s="1669"/>
    </row>
    <row r="5083" spans="1:12" s="692" customFormat="1" ht="16.5" hidden="1">
      <c r="A5083" s="1693"/>
      <c r="B5083" s="1666"/>
      <c r="C5083" s="688"/>
      <c r="D5083" s="1667"/>
      <c r="E5083" s="1671">
        <v>3.5</v>
      </c>
      <c r="F5083" s="1668"/>
      <c r="G5083" s="1671">
        <v>4</v>
      </c>
      <c r="H5083" s="1671">
        <f t="shared" ref="H5083:H5088" si="900">ROUND(D5083*E5083*G5083,2)</f>
        <v>0</v>
      </c>
      <c r="I5083" s="688" t="s">
        <v>92</v>
      </c>
      <c r="J5083" s="1668"/>
      <c r="K5083" s="1668"/>
      <c r="L5083" s="1669"/>
    </row>
    <row r="5084" spans="1:12" s="692" customFormat="1" ht="16.5" hidden="1">
      <c r="A5084" s="1693"/>
      <c r="B5084" s="1666"/>
      <c r="C5084" s="688"/>
      <c r="D5084" s="1667"/>
      <c r="E5084" s="1671">
        <v>3.5</v>
      </c>
      <c r="F5084" s="1668"/>
      <c r="G5084" s="1671">
        <v>4</v>
      </c>
      <c r="H5084" s="1671">
        <f t="shared" si="900"/>
        <v>0</v>
      </c>
      <c r="I5084" s="688" t="s">
        <v>92</v>
      </c>
      <c r="J5084" s="1668"/>
      <c r="K5084" s="1668"/>
      <c r="L5084" s="1669"/>
    </row>
    <row r="5085" spans="1:12" s="692" customFormat="1" ht="16.5" hidden="1">
      <c r="A5085" s="1693"/>
      <c r="B5085" s="1666"/>
      <c r="C5085" s="688"/>
      <c r="D5085" s="1667"/>
      <c r="E5085" s="1671">
        <v>3.5</v>
      </c>
      <c r="F5085" s="1668"/>
      <c r="G5085" s="1671">
        <v>4</v>
      </c>
      <c r="H5085" s="1671">
        <f t="shared" si="900"/>
        <v>0</v>
      </c>
      <c r="I5085" s="688" t="s">
        <v>92</v>
      </c>
      <c r="J5085" s="1668"/>
      <c r="K5085" s="1668"/>
      <c r="L5085" s="1669"/>
    </row>
    <row r="5086" spans="1:12" s="692" customFormat="1" ht="16.5" hidden="1">
      <c r="A5086" s="1693"/>
      <c r="B5086" s="1666"/>
      <c r="C5086" s="688"/>
      <c r="D5086" s="1667"/>
      <c r="E5086" s="1671">
        <v>3.5</v>
      </c>
      <c r="F5086" s="1668"/>
      <c r="G5086" s="1671">
        <v>4</v>
      </c>
      <c r="H5086" s="1671">
        <f t="shared" si="900"/>
        <v>0</v>
      </c>
      <c r="I5086" s="688" t="s">
        <v>92</v>
      </c>
      <c r="J5086" s="1668"/>
      <c r="K5086" s="1668"/>
      <c r="L5086" s="1669"/>
    </row>
    <row r="5087" spans="1:12" s="692" customFormat="1" ht="16.5" hidden="1">
      <c r="A5087" s="1693"/>
      <c r="B5087" s="1666"/>
      <c r="C5087" s="688"/>
      <c r="D5087" s="1667"/>
      <c r="E5087" s="1671">
        <v>3.5</v>
      </c>
      <c r="F5087" s="1668"/>
      <c r="G5087" s="1671">
        <v>4</v>
      </c>
      <c r="H5087" s="1671">
        <f t="shared" si="900"/>
        <v>0</v>
      </c>
      <c r="I5087" s="688" t="s">
        <v>92</v>
      </c>
      <c r="J5087" s="1668"/>
      <c r="K5087" s="1668"/>
      <c r="L5087" s="1669"/>
    </row>
    <row r="5088" spans="1:12" s="692" customFormat="1" ht="16.5" hidden="1">
      <c r="A5088" s="1693"/>
      <c r="B5088" s="1666"/>
      <c r="C5088" s="688"/>
      <c r="D5088" s="1667"/>
      <c r="E5088" s="1671">
        <v>3.5</v>
      </c>
      <c r="F5088" s="1668"/>
      <c r="G5088" s="1671">
        <v>4</v>
      </c>
      <c r="H5088" s="1671">
        <f t="shared" si="900"/>
        <v>0</v>
      </c>
      <c r="I5088" s="688" t="s">
        <v>92</v>
      </c>
      <c r="J5088" s="1668"/>
      <c r="K5088" s="1668"/>
      <c r="L5088" s="1669"/>
    </row>
    <row r="5089" spans="1:12" s="692" customFormat="1" ht="16.5" hidden="1">
      <c r="A5089" s="1693"/>
      <c r="B5089" s="1666"/>
      <c r="C5089" s="688"/>
      <c r="D5089" s="1667"/>
      <c r="E5089" s="688"/>
      <c r="F5089" s="688"/>
      <c r="G5089" s="1674" t="s">
        <v>928</v>
      </c>
      <c r="H5089" s="1671">
        <f>SUM(H5083:H5088)</f>
        <v>0</v>
      </c>
      <c r="I5089" s="1668" t="s">
        <v>92</v>
      </c>
      <c r="J5089" s="1669">
        <f>'Lead &amp; ANALYSIS'!L972</f>
        <v>80.099999999999994</v>
      </c>
      <c r="K5089" s="1668" t="s">
        <v>1514</v>
      </c>
      <c r="L5089" s="1669">
        <f t="shared" ref="L5089" si="901">ROUND(H5089*J5089,0)</f>
        <v>0</v>
      </c>
    </row>
    <row r="5090" spans="1:12" s="692" customFormat="1" ht="16.5" hidden="1">
      <c r="A5090" s="1693" t="str">
        <f>'Lead &amp; ANALYSIS'!A973</f>
        <v>(iv)</v>
      </c>
      <c r="B5090" s="1666" t="str">
        <f>'Lead &amp; ANALYSIS'!B973</f>
        <v>3rd Floor</v>
      </c>
      <c r="C5090" s="688"/>
      <c r="D5090" s="1667"/>
      <c r="E5090" s="688"/>
      <c r="F5090" s="688"/>
      <c r="G5090" s="1674"/>
      <c r="H5090" s="688"/>
      <c r="I5090" s="1668"/>
      <c r="J5090" s="1668"/>
      <c r="K5090" s="1668"/>
      <c r="L5090" s="1669"/>
    </row>
    <row r="5091" spans="1:12" s="692" customFormat="1" ht="16.5" hidden="1">
      <c r="A5091" s="1693"/>
      <c r="B5091" s="1666"/>
      <c r="C5091" s="688"/>
      <c r="D5091" s="1667"/>
      <c r="E5091" s="1671">
        <v>3.5</v>
      </c>
      <c r="F5091" s="1668"/>
      <c r="G5091" s="1671">
        <v>4</v>
      </c>
      <c r="H5091" s="1671">
        <f t="shared" ref="H5091:H5096" si="902">ROUND(D5091*E5091*G5091,2)</f>
        <v>0</v>
      </c>
      <c r="I5091" s="688" t="s">
        <v>92</v>
      </c>
      <c r="J5091" s="1668"/>
      <c r="K5091" s="1668"/>
      <c r="L5091" s="1669"/>
    </row>
    <row r="5092" spans="1:12" s="692" customFormat="1" ht="16.5" hidden="1">
      <c r="A5092" s="1665"/>
      <c r="B5092" s="1666"/>
      <c r="C5092" s="688"/>
      <c r="D5092" s="1667"/>
      <c r="E5092" s="1671">
        <v>3.5</v>
      </c>
      <c r="F5092" s="1668"/>
      <c r="G5092" s="1671">
        <v>4</v>
      </c>
      <c r="H5092" s="1671">
        <f t="shared" si="902"/>
        <v>0</v>
      </c>
      <c r="I5092" s="688" t="s">
        <v>92</v>
      </c>
      <c r="J5092" s="1668"/>
      <c r="K5092" s="1668"/>
      <c r="L5092" s="1669"/>
    </row>
    <row r="5093" spans="1:12" s="692" customFormat="1" ht="16.5" hidden="1">
      <c r="A5093" s="1665"/>
      <c r="B5093" s="1666"/>
      <c r="C5093" s="688"/>
      <c r="D5093" s="1667"/>
      <c r="E5093" s="1671">
        <v>3.5</v>
      </c>
      <c r="F5093" s="1668"/>
      <c r="G5093" s="1671">
        <v>4</v>
      </c>
      <c r="H5093" s="1671">
        <f t="shared" si="902"/>
        <v>0</v>
      </c>
      <c r="I5093" s="688" t="s">
        <v>92</v>
      </c>
      <c r="J5093" s="1668"/>
      <c r="K5093" s="1668"/>
      <c r="L5093" s="1669"/>
    </row>
    <row r="5094" spans="1:12" s="692" customFormat="1" ht="16.5" hidden="1">
      <c r="A5094" s="1665"/>
      <c r="B5094" s="1666"/>
      <c r="C5094" s="688"/>
      <c r="D5094" s="1667"/>
      <c r="E5094" s="1671">
        <v>3.5</v>
      </c>
      <c r="F5094" s="1668"/>
      <c r="G5094" s="1671">
        <v>4</v>
      </c>
      <c r="H5094" s="1671">
        <f t="shared" si="902"/>
        <v>0</v>
      </c>
      <c r="I5094" s="688" t="s">
        <v>92</v>
      </c>
      <c r="J5094" s="1668"/>
      <c r="K5094" s="1668"/>
      <c r="L5094" s="1669"/>
    </row>
    <row r="5095" spans="1:12" s="692" customFormat="1" ht="16.5" hidden="1">
      <c r="A5095" s="1665"/>
      <c r="B5095" s="1666"/>
      <c r="C5095" s="688"/>
      <c r="D5095" s="1667"/>
      <c r="E5095" s="1671">
        <v>3.5</v>
      </c>
      <c r="F5095" s="1668"/>
      <c r="G5095" s="1671">
        <v>4</v>
      </c>
      <c r="H5095" s="1671">
        <f t="shared" si="902"/>
        <v>0</v>
      </c>
      <c r="I5095" s="688" t="s">
        <v>92</v>
      </c>
      <c r="J5095" s="1668"/>
      <c r="K5095" s="1668"/>
      <c r="L5095" s="1669"/>
    </row>
    <row r="5096" spans="1:12" s="692" customFormat="1" ht="16.5" hidden="1">
      <c r="A5096" s="1665"/>
      <c r="B5096" s="1666"/>
      <c r="C5096" s="688"/>
      <c r="D5096" s="1667"/>
      <c r="E5096" s="1671">
        <v>3.5</v>
      </c>
      <c r="F5096" s="1668"/>
      <c r="G5096" s="1671">
        <v>4</v>
      </c>
      <c r="H5096" s="1671">
        <f t="shared" si="902"/>
        <v>0</v>
      </c>
      <c r="I5096" s="688" t="s">
        <v>92</v>
      </c>
      <c r="J5096" s="1668"/>
      <c r="K5096" s="1668"/>
      <c r="L5096" s="1669"/>
    </row>
    <row r="5097" spans="1:12" s="692" customFormat="1" ht="16.5" hidden="1">
      <c r="A5097" s="1665"/>
      <c r="B5097" s="1666"/>
      <c r="C5097" s="688"/>
      <c r="D5097" s="1667"/>
      <c r="E5097" s="688"/>
      <c r="F5097" s="688"/>
      <c r="G5097" s="1674" t="s">
        <v>928</v>
      </c>
      <c r="H5097" s="1671">
        <f>SUM(H5091:H5096)</f>
        <v>0</v>
      </c>
      <c r="I5097" s="1668" t="s">
        <v>92</v>
      </c>
      <c r="J5097" s="1669">
        <f>'Lead &amp; ANALYSIS'!L973</f>
        <v>82.6</v>
      </c>
      <c r="K5097" s="1668" t="s">
        <v>1514</v>
      </c>
      <c r="L5097" s="1669">
        <f t="shared" ref="L5097" si="903">ROUND(H5097*J5097,0)</f>
        <v>0</v>
      </c>
    </row>
    <row r="5098" spans="1:12" s="692" customFormat="1" ht="55.9" hidden="1" customHeight="1">
      <c r="A5098" s="1665">
        <f>'Lead &amp; ANALYSIS'!A974</f>
        <v>126</v>
      </c>
      <c r="B5098" s="1666" t="str">
        <f>'Lead &amp; ANALYSIS'!B974</f>
        <v xml:space="preserve">Painting two coats with distemper over one coat of primer to make an even finished surface in all floors and heights to wall surface of approved make and shade including sand papering, applying putty wherever necessary  etc. complete as per the direction of the Engineer-in-charge. </v>
      </c>
      <c r="C5098" s="688"/>
      <c r="D5098" s="1667"/>
      <c r="E5098" s="688"/>
      <c r="F5098" s="688"/>
      <c r="G5098" s="1674"/>
      <c r="H5098" s="688"/>
      <c r="I5098" s="1668"/>
      <c r="J5098" s="1668"/>
      <c r="K5098" s="1668"/>
      <c r="L5098" s="1669"/>
    </row>
    <row r="5099" spans="1:12" s="692" customFormat="1" ht="16.5" hidden="1">
      <c r="A5099" s="1665" t="str">
        <f>'Lead &amp; ANALYSIS'!A975</f>
        <v>(i)</v>
      </c>
      <c r="B5099" s="1666" t="str">
        <f>'Lead &amp; ANALYSIS'!B975</f>
        <v>Ground Floor</v>
      </c>
      <c r="C5099" s="688"/>
      <c r="D5099" s="1667"/>
      <c r="E5099" s="688"/>
      <c r="F5099" s="688"/>
      <c r="G5099" s="1674"/>
      <c r="H5099" s="1671"/>
      <c r="I5099" s="1671" t="s">
        <v>92</v>
      </c>
      <c r="J5099" s="1668"/>
      <c r="K5099" s="1668"/>
      <c r="L5099" s="1669"/>
    </row>
    <row r="5100" spans="1:12" s="692" customFormat="1" ht="16.5" hidden="1">
      <c r="A5100" s="1665"/>
      <c r="B5100" s="1666" t="s">
        <v>2997</v>
      </c>
      <c r="C5100" s="688"/>
      <c r="D5100" s="1667"/>
      <c r="E5100" s="1671">
        <f>E5067</f>
        <v>3.65</v>
      </c>
      <c r="F5100" s="1671">
        <f>F5067</f>
        <v>3</v>
      </c>
      <c r="G5100" s="1668"/>
      <c r="H5100" s="1671">
        <f>ROUND(D5100*E5100*F5100,2)</f>
        <v>0</v>
      </c>
      <c r="I5100" s="1671" t="s">
        <v>92</v>
      </c>
      <c r="J5100" s="1668"/>
      <c r="K5100" s="1668"/>
      <c r="L5100" s="1669"/>
    </row>
    <row r="5101" spans="1:12" s="692" customFormat="1" ht="16.5" hidden="1">
      <c r="A5101" s="1665"/>
      <c r="B5101" s="1666"/>
      <c r="C5101" s="688"/>
      <c r="D5101" s="1667"/>
      <c r="E5101" s="1671">
        <f>E5068</f>
        <v>3.65</v>
      </c>
      <c r="F5101" s="1671">
        <f>F5068</f>
        <v>1.5</v>
      </c>
      <c r="G5101" s="1668"/>
      <c r="H5101" s="1671">
        <f>ROUND(D5101*E5101*F5101,2)</f>
        <v>0</v>
      </c>
      <c r="I5101" s="1671" t="s">
        <v>92</v>
      </c>
      <c r="J5101" s="1668"/>
      <c r="K5101" s="1668"/>
      <c r="L5101" s="1669"/>
    </row>
    <row r="5102" spans="1:12" s="692" customFormat="1" ht="16.5" hidden="1">
      <c r="A5102" s="1665"/>
      <c r="B5102" s="1666"/>
      <c r="C5102" s="688"/>
      <c r="D5102" s="1667"/>
      <c r="E5102" s="1671">
        <f>'DRAWING CC'!AT1216</f>
        <v>0</v>
      </c>
      <c r="F5102" s="1672"/>
      <c r="G5102" s="1671">
        <f>F5101</f>
        <v>1.5</v>
      </c>
      <c r="H5102" s="1671">
        <f t="shared" ref="H5102:H5105" si="904">ROUND(D5102*E5102*G5102,2)</f>
        <v>0</v>
      </c>
      <c r="I5102" s="1671" t="s">
        <v>92</v>
      </c>
      <c r="J5102" s="1668"/>
      <c r="K5102" s="1668"/>
      <c r="L5102" s="1669"/>
    </row>
    <row r="5103" spans="1:12" s="692" customFormat="1" ht="16.5" hidden="1">
      <c r="A5103" s="1665"/>
      <c r="B5103" s="1666"/>
      <c r="C5103" s="688"/>
      <c r="D5103" s="1667"/>
      <c r="E5103" s="1671">
        <f>'DRAWING CC'!BE1216</f>
        <v>0</v>
      </c>
      <c r="F5103" s="1672"/>
      <c r="G5103" s="1671">
        <f>G5102</f>
        <v>1.5</v>
      </c>
      <c r="H5103" s="1671">
        <f t="shared" si="904"/>
        <v>0</v>
      </c>
      <c r="I5103" s="1671" t="s">
        <v>92</v>
      </c>
      <c r="J5103" s="1668"/>
      <c r="K5103" s="1668"/>
      <c r="L5103" s="1669"/>
    </row>
    <row r="5104" spans="1:12" s="692" customFormat="1" ht="16.5" hidden="1">
      <c r="A5104" s="1665"/>
      <c r="B5104" s="1666"/>
      <c r="C5104" s="688"/>
      <c r="D5104" s="1667"/>
      <c r="E5104" s="1671">
        <f>'DRAWING CC'!AW1149</f>
        <v>0</v>
      </c>
      <c r="F5104" s="1672"/>
      <c r="G5104" s="1671">
        <f>'DRAWING CC'!GM1119</f>
        <v>0</v>
      </c>
      <c r="H5104" s="1671">
        <f t="shared" si="904"/>
        <v>0</v>
      </c>
      <c r="I5104" s="1671" t="s">
        <v>92</v>
      </c>
      <c r="J5104" s="1668"/>
      <c r="K5104" s="1668"/>
      <c r="L5104" s="1669"/>
    </row>
    <row r="5105" spans="1:12" s="692" customFormat="1" ht="16.5" hidden="1">
      <c r="A5105" s="1665"/>
      <c r="B5105" s="1666"/>
      <c r="C5105" s="688"/>
      <c r="D5105" s="1667"/>
      <c r="E5105" s="1671">
        <f>'DRAWING CC'!O1193</f>
        <v>0</v>
      </c>
      <c r="F5105" s="1672"/>
      <c r="G5105" s="1671">
        <f>G5104</f>
        <v>0</v>
      </c>
      <c r="H5105" s="1671">
        <f t="shared" si="904"/>
        <v>0</v>
      </c>
      <c r="I5105" s="1671" t="s">
        <v>92</v>
      </c>
      <c r="J5105" s="1668"/>
      <c r="K5105" s="1668"/>
      <c r="L5105" s="1669"/>
    </row>
    <row r="5106" spans="1:12" s="692" customFormat="1" ht="16.5" hidden="1">
      <c r="A5106" s="1665"/>
      <c r="B5106" s="1666"/>
      <c r="C5106" s="688"/>
      <c r="D5106" s="1667"/>
      <c r="E5106" s="688"/>
      <c r="F5106" s="688"/>
      <c r="G5106" s="1665" t="s">
        <v>928</v>
      </c>
      <c r="H5106" s="1673">
        <f>SUM(H5099:H5105)</f>
        <v>0</v>
      </c>
      <c r="I5106" s="1668" t="s">
        <v>92</v>
      </c>
      <c r="J5106" s="1669">
        <f>'Lead &amp; ANALYSIS'!L975</f>
        <v>143.19999999999999</v>
      </c>
      <c r="K5106" s="1668" t="s">
        <v>1514</v>
      </c>
      <c r="L5106" s="1669">
        <f t="shared" ref="L5106" si="905">ROUND(H5106*J5106,0)</f>
        <v>0</v>
      </c>
    </row>
    <row r="5107" spans="1:12" s="692" customFormat="1" ht="16.5" hidden="1">
      <c r="A5107" s="1665" t="str">
        <f>'Lead &amp; ANALYSIS'!A976</f>
        <v>(ii)</v>
      </c>
      <c r="B5107" s="1666" t="str">
        <f>'Lead &amp; ANALYSIS'!B976</f>
        <v>First Floor</v>
      </c>
      <c r="C5107" s="688"/>
      <c r="D5107" s="1667"/>
      <c r="E5107" s="688"/>
      <c r="F5107" s="688"/>
      <c r="G5107" s="1674"/>
      <c r="H5107" s="688"/>
      <c r="I5107" s="1668"/>
      <c r="J5107" s="1668"/>
      <c r="K5107" s="1668"/>
      <c r="L5107" s="1669"/>
    </row>
    <row r="5108" spans="1:12" s="692" customFormat="1" ht="16.5" hidden="1">
      <c r="A5108" s="1665"/>
      <c r="B5108" s="1666"/>
      <c r="C5108" s="688"/>
      <c r="D5108" s="1667"/>
      <c r="E5108" s="1671">
        <v>3.5</v>
      </c>
      <c r="F5108" s="1671">
        <v>4</v>
      </c>
      <c r="G5108" s="1674"/>
      <c r="H5108" s="1671">
        <f t="shared" ref="H5108:H5113" si="906">ROUND(D5108*E5108*F5108,2)</f>
        <v>0</v>
      </c>
      <c r="I5108" s="688" t="s">
        <v>92</v>
      </c>
      <c r="J5108" s="1668"/>
      <c r="K5108" s="1668"/>
      <c r="L5108" s="1669"/>
    </row>
    <row r="5109" spans="1:12" s="692" customFormat="1" ht="16.5" hidden="1">
      <c r="A5109" s="1665"/>
      <c r="B5109" s="1666"/>
      <c r="C5109" s="688"/>
      <c r="D5109" s="1667"/>
      <c r="E5109" s="1671">
        <v>3.5</v>
      </c>
      <c r="F5109" s="1671">
        <v>4</v>
      </c>
      <c r="G5109" s="1674"/>
      <c r="H5109" s="1671">
        <f t="shared" si="906"/>
        <v>0</v>
      </c>
      <c r="I5109" s="688" t="s">
        <v>92</v>
      </c>
      <c r="J5109" s="1668"/>
      <c r="K5109" s="1668"/>
      <c r="L5109" s="1669"/>
    </row>
    <row r="5110" spans="1:12" s="692" customFormat="1" ht="16.5" hidden="1">
      <c r="A5110" s="1665"/>
      <c r="B5110" s="1666"/>
      <c r="C5110" s="688"/>
      <c r="D5110" s="1667"/>
      <c r="E5110" s="1671">
        <v>3.5</v>
      </c>
      <c r="F5110" s="1671">
        <v>4</v>
      </c>
      <c r="G5110" s="1674"/>
      <c r="H5110" s="1671">
        <f t="shared" si="906"/>
        <v>0</v>
      </c>
      <c r="I5110" s="688" t="s">
        <v>92</v>
      </c>
      <c r="J5110" s="1668"/>
      <c r="K5110" s="1668"/>
      <c r="L5110" s="1669"/>
    </row>
    <row r="5111" spans="1:12" s="692" customFormat="1" ht="16.5" hidden="1">
      <c r="A5111" s="1665"/>
      <c r="B5111" s="1666"/>
      <c r="C5111" s="688"/>
      <c r="D5111" s="1667"/>
      <c r="E5111" s="1671">
        <v>3.5</v>
      </c>
      <c r="F5111" s="1671">
        <v>4</v>
      </c>
      <c r="G5111" s="1674"/>
      <c r="H5111" s="1671">
        <f t="shared" si="906"/>
        <v>0</v>
      </c>
      <c r="I5111" s="688" t="s">
        <v>92</v>
      </c>
      <c r="J5111" s="1668"/>
      <c r="K5111" s="1668"/>
      <c r="L5111" s="1669"/>
    </row>
    <row r="5112" spans="1:12" s="692" customFormat="1" ht="16.5" hidden="1">
      <c r="A5112" s="1665"/>
      <c r="B5112" s="1666"/>
      <c r="C5112" s="688"/>
      <c r="D5112" s="1667"/>
      <c r="E5112" s="1671">
        <v>3.5</v>
      </c>
      <c r="F5112" s="1671">
        <v>4</v>
      </c>
      <c r="G5112" s="1674"/>
      <c r="H5112" s="1671">
        <f t="shared" si="906"/>
        <v>0</v>
      </c>
      <c r="I5112" s="688" t="s">
        <v>92</v>
      </c>
      <c r="J5112" s="1668"/>
      <c r="K5112" s="1668"/>
      <c r="L5112" s="1669"/>
    </row>
    <row r="5113" spans="1:12" s="692" customFormat="1" ht="16.5" hidden="1">
      <c r="A5113" s="1665"/>
      <c r="B5113" s="1666"/>
      <c r="C5113" s="688"/>
      <c r="D5113" s="1667"/>
      <c r="E5113" s="1671">
        <v>3.5</v>
      </c>
      <c r="F5113" s="1671">
        <v>4</v>
      </c>
      <c r="G5113" s="1674"/>
      <c r="H5113" s="1671">
        <f t="shared" si="906"/>
        <v>0</v>
      </c>
      <c r="I5113" s="688" t="s">
        <v>92</v>
      </c>
      <c r="J5113" s="1668"/>
      <c r="K5113" s="1668"/>
      <c r="L5113" s="1669"/>
    </row>
    <row r="5114" spans="1:12" s="692" customFormat="1" ht="16.5" hidden="1">
      <c r="A5114" s="1665"/>
      <c r="B5114" s="1666"/>
      <c r="C5114" s="688"/>
      <c r="D5114" s="1667"/>
      <c r="E5114" s="688"/>
      <c r="F5114" s="688"/>
      <c r="G5114" s="1674" t="s">
        <v>928</v>
      </c>
      <c r="H5114" s="1671">
        <f>SUM(H5108:H5113)</f>
        <v>0</v>
      </c>
      <c r="I5114" s="1668" t="s">
        <v>92</v>
      </c>
      <c r="J5114" s="1669">
        <f>'Lead &amp; ANALYSIS'!L976</f>
        <v>146.4</v>
      </c>
      <c r="K5114" s="1668" t="s">
        <v>1514</v>
      </c>
      <c r="L5114" s="1669">
        <f t="shared" ref="L5114" si="907">ROUND(H5114*J5114,0)</f>
        <v>0</v>
      </c>
    </row>
    <row r="5115" spans="1:12" s="692" customFormat="1" ht="16.5" hidden="1">
      <c r="A5115" s="1665"/>
      <c r="B5115" s="1666"/>
      <c r="C5115" s="688"/>
      <c r="D5115" s="1667"/>
      <c r="E5115" s="688"/>
      <c r="F5115" s="688"/>
      <c r="G5115" s="1674"/>
      <c r="H5115" s="688"/>
      <c r="I5115" s="1668"/>
      <c r="J5115" s="1668"/>
      <c r="K5115" s="1668"/>
      <c r="L5115" s="1669"/>
    </row>
    <row r="5116" spans="1:12" s="692" customFormat="1" ht="16.5" hidden="1">
      <c r="A5116" s="1665"/>
      <c r="B5116" s="1666"/>
      <c r="C5116" s="688"/>
      <c r="D5116" s="1667"/>
      <c r="E5116" s="688"/>
      <c r="F5116" s="688"/>
      <c r="G5116" s="1674"/>
      <c r="H5116" s="688"/>
      <c r="I5116" s="1668"/>
      <c r="J5116" s="1668"/>
      <c r="K5116" s="1668"/>
      <c r="L5116" s="1669"/>
    </row>
    <row r="5117" spans="1:12" s="692" customFormat="1" ht="16.5" hidden="1">
      <c r="A5117" s="1693" t="str">
        <f>'Lead &amp; ANALYSIS'!A977</f>
        <v>(iii)</v>
      </c>
      <c r="B5117" s="1666" t="str">
        <f>'Lead &amp; ANALYSIS'!B977</f>
        <v>2nd Floor</v>
      </c>
      <c r="C5117" s="688"/>
      <c r="D5117" s="1667"/>
      <c r="E5117" s="688"/>
      <c r="F5117" s="688"/>
      <c r="G5117" s="1674"/>
      <c r="H5117" s="688"/>
      <c r="I5117" s="1668"/>
      <c r="J5117" s="1668"/>
      <c r="K5117" s="1668"/>
      <c r="L5117" s="1669"/>
    </row>
    <row r="5118" spans="1:12" s="692" customFormat="1" ht="16.5" hidden="1">
      <c r="A5118" s="1693"/>
      <c r="B5118" s="1666"/>
      <c r="C5118" s="688"/>
      <c r="D5118" s="1667"/>
      <c r="E5118" s="1671">
        <v>3.5</v>
      </c>
      <c r="F5118" s="1668"/>
      <c r="G5118" s="1671">
        <v>4</v>
      </c>
      <c r="H5118" s="1671">
        <f t="shared" ref="H5118:H5123" si="908">ROUND(D5118*E5118*G5118,2)</f>
        <v>0</v>
      </c>
      <c r="I5118" s="688" t="s">
        <v>92</v>
      </c>
      <c r="J5118" s="1668"/>
      <c r="K5118" s="1668"/>
      <c r="L5118" s="1669"/>
    </row>
    <row r="5119" spans="1:12" s="692" customFormat="1" ht="16.5" hidden="1">
      <c r="A5119" s="1693"/>
      <c r="B5119" s="1666"/>
      <c r="C5119" s="688"/>
      <c r="D5119" s="1667"/>
      <c r="E5119" s="1671">
        <v>3.5</v>
      </c>
      <c r="F5119" s="1668"/>
      <c r="G5119" s="1671">
        <v>4</v>
      </c>
      <c r="H5119" s="1671">
        <f t="shared" si="908"/>
        <v>0</v>
      </c>
      <c r="I5119" s="688" t="s">
        <v>92</v>
      </c>
      <c r="J5119" s="1668"/>
      <c r="K5119" s="1668"/>
      <c r="L5119" s="1669"/>
    </row>
    <row r="5120" spans="1:12" s="692" customFormat="1" ht="16.5" hidden="1">
      <c r="A5120" s="1693"/>
      <c r="B5120" s="1666"/>
      <c r="C5120" s="688"/>
      <c r="D5120" s="1667"/>
      <c r="E5120" s="1671">
        <v>3.5</v>
      </c>
      <c r="F5120" s="1668"/>
      <c r="G5120" s="1671">
        <v>4</v>
      </c>
      <c r="H5120" s="1671">
        <f t="shared" si="908"/>
        <v>0</v>
      </c>
      <c r="I5120" s="688" t="s">
        <v>92</v>
      </c>
      <c r="J5120" s="1668"/>
      <c r="K5120" s="1668"/>
      <c r="L5120" s="1669"/>
    </row>
    <row r="5121" spans="1:12" s="692" customFormat="1" ht="16.5" hidden="1">
      <c r="A5121" s="1693"/>
      <c r="B5121" s="1666"/>
      <c r="C5121" s="688"/>
      <c r="D5121" s="1667"/>
      <c r="E5121" s="1671">
        <v>3.5</v>
      </c>
      <c r="F5121" s="1668"/>
      <c r="G5121" s="1671">
        <v>4</v>
      </c>
      <c r="H5121" s="1671">
        <f t="shared" si="908"/>
        <v>0</v>
      </c>
      <c r="I5121" s="688" t="s">
        <v>92</v>
      </c>
      <c r="J5121" s="1668"/>
      <c r="K5121" s="1668"/>
      <c r="L5121" s="1669"/>
    </row>
    <row r="5122" spans="1:12" s="692" customFormat="1" ht="16.5" hidden="1">
      <c r="A5122" s="1693"/>
      <c r="B5122" s="1666"/>
      <c r="C5122" s="688"/>
      <c r="D5122" s="1667"/>
      <c r="E5122" s="1671">
        <v>3.5</v>
      </c>
      <c r="F5122" s="1668"/>
      <c r="G5122" s="1671">
        <v>4</v>
      </c>
      <c r="H5122" s="1671">
        <f t="shared" si="908"/>
        <v>0</v>
      </c>
      <c r="I5122" s="688" t="s">
        <v>92</v>
      </c>
      <c r="J5122" s="1668"/>
      <c r="K5122" s="1668"/>
      <c r="L5122" s="1669"/>
    </row>
    <row r="5123" spans="1:12" s="692" customFormat="1" ht="16.5" hidden="1">
      <c r="A5123" s="1693"/>
      <c r="B5123" s="1666"/>
      <c r="C5123" s="688"/>
      <c r="D5123" s="1667"/>
      <c r="E5123" s="1671">
        <v>3.5</v>
      </c>
      <c r="F5123" s="1668"/>
      <c r="G5123" s="1671">
        <v>4</v>
      </c>
      <c r="H5123" s="1671">
        <f t="shared" si="908"/>
        <v>0</v>
      </c>
      <c r="I5123" s="688" t="s">
        <v>92</v>
      </c>
      <c r="J5123" s="1668"/>
      <c r="K5123" s="1668"/>
      <c r="L5123" s="1669"/>
    </row>
    <row r="5124" spans="1:12" s="692" customFormat="1" ht="16.5" hidden="1">
      <c r="A5124" s="1693"/>
      <c r="B5124" s="1666"/>
      <c r="C5124" s="688"/>
      <c r="D5124" s="1667"/>
      <c r="E5124" s="688"/>
      <c r="F5124" s="688"/>
      <c r="G5124" s="1674" t="s">
        <v>928</v>
      </c>
      <c r="H5124" s="1671">
        <f>SUM(H5118:H5123)</f>
        <v>0</v>
      </c>
      <c r="I5124" s="1668" t="s">
        <v>92</v>
      </c>
      <c r="J5124" s="1669">
        <f>'Lead &amp; ANALYSIS'!L977</f>
        <v>151.19999999999999</v>
      </c>
      <c r="K5124" s="1668" t="s">
        <v>1514</v>
      </c>
      <c r="L5124" s="1669">
        <f t="shared" ref="L5124" si="909">ROUND(H5124*J5124,0)</f>
        <v>0</v>
      </c>
    </row>
    <row r="5125" spans="1:12" s="692" customFormat="1" ht="16.5" hidden="1">
      <c r="A5125" s="1693" t="str">
        <f>'Lead &amp; ANALYSIS'!A978</f>
        <v>(iv)</v>
      </c>
      <c r="B5125" s="1666" t="str">
        <f>'Lead &amp; ANALYSIS'!B978</f>
        <v>3rd Floor</v>
      </c>
      <c r="C5125" s="688"/>
      <c r="D5125" s="1667"/>
      <c r="E5125" s="688"/>
      <c r="F5125" s="688"/>
      <c r="G5125" s="1674"/>
      <c r="H5125" s="688"/>
      <c r="I5125" s="1668"/>
      <c r="J5125" s="1668"/>
      <c r="K5125" s="1668"/>
      <c r="L5125" s="1669"/>
    </row>
    <row r="5126" spans="1:12" s="692" customFormat="1" ht="16.5" hidden="1">
      <c r="A5126" s="1693"/>
      <c r="B5126" s="1666"/>
      <c r="C5126" s="688"/>
      <c r="D5126" s="1667"/>
      <c r="E5126" s="1671">
        <v>3.5</v>
      </c>
      <c r="F5126" s="1668"/>
      <c r="G5126" s="1671">
        <v>4</v>
      </c>
      <c r="H5126" s="1671">
        <f t="shared" ref="H5126:H5131" si="910">ROUND(D5126*E5126*G5126,2)</f>
        <v>0</v>
      </c>
      <c r="I5126" s="688" t="s">
        <v>92</v>
      </c>
      <c r="J5126" s="1668"/>
      <c r="K5126" s="1668"/>
      <c r="L5126" s="1669"/>
    </row>
    <row r="5127" spans="1:12" s="692" customFormat="1" ht="16.5" hidden="1">
      <c r="A5127" s="1665"/>
      <c r="B5127" s="1666"/>
      <c r="C5127" s="688"/>
      <c r="D5127" s="1667"/>
      <c r="E5127" s="1671">
        <v>3.5</v>
      </c>
      <c r="F5127" s="1668"/>
      <c r="G5127" s="1671">
        <v>4</v>
      </c>
      <c r="H5127" s="1671">
        <f t="shared" si="910"/>
        <v>0</v>
      </c>
      <c r="I5127" s="688" t="s">
        <v>92</v>
      </c>
      <c r="J5127" s="1668"/>
      <c r="K5127" s="1668"/>
      <c r="L5127" s="1669"/>
    </row>
    <row r="5128" spans="1:12" s="692" customFormat="1" ht="16.5" hidden="1">
      <c r="A5128" s="1665"/>
      <c r="B5128" s="1666"/>
      <c r="C5128" s="688"/>
      <c r="D5128" s="1667"/>
      <c r="E5128" s="1671">
        <v>3.5</v>
      </c>
      <c r="F5128" s="1668"/>
      <c r="G5128" s="1671">
        <v>4</v>
      </c>
      <c r="H5128" s="1671">
        <f t="shared" si="910"/>
        <v>0</v>
      </c>
      <c r="I5128" s="688" t="s">
        <v>92</v>
      </c>
      <c r="J5128" s="1668"/>
      <c r="K5128" s="1668"/>
      <c r="L5128" s="1669"/>
    </row>
    <row r="5129" spans="1:12" s="692" customFormat="1" ht="16.5" hidden="1">
      <c r="A5129" s="1665"/>
      <c r="B5129" s="1666"/>
      <c r="C5129" s="688"/>
      <c r="D5129" s="1667"/>
      <c r="E5129" s="1671">
        <v>3.5</v>
      </c>
      <c r="F5129" s="1668"/>
      <c r="G5129" s="1671">
        <v>4</v>
      </c>
      <c r="H5129" s="1671">
        <f t="shared" si="910"/>
        <v>0</v>
      </c>
      <c r="I5129" s="688" t="s">
        <v>92</v>
      </c>
      <c r="J5129" s="1668"/>
      <c r="K5129" s="1668"/>
      <c r="L5129" s="1669"/>
    </row>
    <row r="5130" spans="1:12" s="692" customFormat="1" ht="16.5" hidden="1">
      <c r="A5130" s="1665"/>
      <c r="B5130" s="1666"/>
      <c r="C5130" s="688"/>
      <c r="D5130" s="1667"/>
      <c r="E5130" s="1671">
        <v>3.5</v>
      </c>
      <c r="F5130" s="1668"/>
      <c r="G5130" s="1671">
        <v>4</v>
      </c>
      <c r="H5130" s="1671">
        <f t="shared" si="910"/>
        <v>0</v>
      </c>
      <c r="I5130" s="688" t="s">
        <v>92</v>
      </c>
      <c r="J5130" s="1668"/>
      <c r="K5130" s="1668"/>
      <c r="L5130" s="1669"/>
    </row>
    <row r="5131" spans="1:12" s="692" customFormat="1" ht="16.5" hidden="1">
      <c r="A5131" s="1665"/>
      <c r="B5131" s="1666"/>
      <c r="C5131" s="688"/>
      <c r="D5131" s="1667"/>
      <c r="E5131" s="1671">
        <v>3.5</v>
      </c>
      <c r="F5131" s="1668"/>
      <c r="G5131" s="1671">
        <v>4</v>
      </c>
      <c r="H5131" s="1671">
        <f t="shared" si="910"/>
        <v>0</v>
      </c>
      <c r="I5131" s="688" t="s">
        <v>92</v>
      </c>
      <c r="J5131" s="1668"/>
      <c r="K5131" s="1668"/>
      <c r="L5131" s="1669"/>
    </row>
    <row r="5132" spans="1:12" s="692" customFormat="1" ht="16.5" hidden="1">
      <c r="A5132" s="1665"/>
      <c r="B5132" s="1666"/>
      <c r="C5132" s="688"/>
      <c r="D5132" s="1667"/>
      <c r="E5132" s="688"/>
      <c r="F5132" s="688"/>
      <c r="G5132" s="1674" t="s">
        <v>928</v>
      </c>
      <c r="H5132" s="1671">
        <f>SUM(H5126:H5131)</f>
        <v>0</v>
      </c>
      <c r="I5132" s="1668" t="s">
        <v>92</v>
      </c>
      <c r="J5132" s="1669">
        <f>'Lead &amp; ANALYSIS'!L978</f>
        <v>156.1</v>
      </c>
      <c r="K5132" s="1668" t="s">
        <v>1514</v>
      </c>
      <c r="L5132" s="1669">
        <f t="shared" ref="L5132" si="911">ROUND(H5132*J5132,0)</f>
        <v>0</v>
      </c>
    </row>
    <row r="5133" spans="1:12" s="692" customFormat="1" ht="66" hidden="1">
      <c r="A5133" s="1665">
        <f>'Lead &amp; ANALYSIS'!A979</f>
        <v>127</v>
      </c>
      <c r="B5133" s="1666" t="str">
        <f>'Lead &amp; ANALYSIS'!B979</f>
        <v xml:space="preserve">White washing two coat using shell lime with cost,conveyance of shell lime and cost of  all  labour etc. complete in all respect as per direction of the Engineer-in-charge. </v>
      </c>
      <c r="C5133" s="688"/>
      <c r="D5133" s="1667"/>
      <c r="E5133" s="688"/>
      <c r="F5133" s="688"/>
      <c r="G5133" s="1674"/>
      <c r="H5133" s="688"/>
      <c r="I5133" s="1668"/>
      <c r="J5133" s="1668"/>
      <c r="K5133" s="1668"/>
      <c r="L5133" s="1669"/>
    </row>
    <row r="5134" spans="1:12" s="692" customFormat="1" ht="16.5" hidden="1">
      <c r="A5134" s="1665" t="str">
        <f>'Lead &amp; ANALYSIS'!A980</f>
        <v>(i)</v>
      </c>
      <c r="B5134" s="1666" t="str">
        <f>'Lead &amp; ANALYSIS'!B980</f>
        <v>Ground Floor</v>
      </c>
      <c r="C5134" s="688"/>
      <c r="D5134" s="1667"/>
      <c r="E5134" s="688"/>
      <c r="F5134" s="688"/>
      <c r="G5134" s="1674"/>
      <c r="H5134" s="688"/>
      <c r="I5134" s="1668"/>
      <c r="J5134" s="1668"/>
      <c r="K5134" s="1668"/>
      <c r="L5134" s="1669"/>
    </row>
    <row r="5135" spans="1:12" s="692" customFormat="1" ht="16.5" hidden="1">
      <c r="A5135" s="1665"/>
      <c r="B5135" s="1666"/>
      <c r="C5135" s="688"/>
      <c r="D5135" s="1667"/>
      <c r="E5135" s="1671">
        <v>3.5</v>
      </c>
      <c r="F5135" s="1671">
        <v>4</v>
      </c>
      <c r="G5135" s="1674"/>
      <c r="H5135" s="1671">
        <f t="shared" ref="H5135:H5140" si="912">ROUND(D5135*E5135*F5135,2)</f>
        <v>0</v>
      </c>
      <c r="I5135" s="688" t="s">
        <v>92</v>
      </c>
      <c r="J5135" s="1668"/>
      <c r="K5135" s="1668"/>
      <c r="L5135" s="1669"/>
    </row>
    <row r="5136" spans="1:12" s="692" customFormat="1" ht="16.5" hidden="1">
      <c r="A5136" s="1665"/>
      <c r="B5136" s="1666"/>
      <c r="C5136" s="688"/>
      <c r="D5136" s="1667"/>
      <c r="E5136" s="1671">
        <v>3.5</v>
      </c>
      <c r="F5136" s="1671">
        <v>4</v>
      </c>
      <c r="G5136" s="1674"/>
      <c r="H5136" s="1671">
        <f t="shared" si="912"/>
        <v>0</v>
      </c>
      <c r="I5136" s="688" t="s">
        <v>92</v>
      </c>
      <c r="J5136" s="1668"/>
      <c r="K5136" s="1668"/>
      <c r="L5136" s="1669"/>
    </row>
    <row r="5137" spans="1:12" s="692" customFormat="1" ht="16.5" hidden="1">
      <c r="A5137" s="1665"/>
      <c r="B5137" s="1666"/>
      <c r="C5137" s="688"/>
      <c r="D5137" s="1667"/>
      <c r="E5137" s="1671">
        <v>3.5</v>
      </c>
      <c r="F5137" s="1671">
        <v>4</v>
      </c>
      <c r="G5137" s="1674"/>
      <c r="H5137" s="1671">
        <f t="shared" si="912"/>
        <v>0</v>
      </c>
      <c r="I5137" s="688" t="s">
        <v>92</v>
      </c>
      <c r="J5137" s="1668"/>
      <c r="K5137" s="1668"/>
      <c r="L5137" s="1669"/>
    </row>
    <row r="5138" spans="1:12" s="692" customFormat="1" ht="16.5" hidden="1">
      <c r="A5138" s="1665"/>
      <c r="B5138" s="1666"/>
      <c r="C5138" s="688"/>
      <c r="D5138" s="1667"/>
      <c r="E5138" s="1671">
        <v>3.5</v>
      </c>
      <c r="F5138" s="1671">
        <v>4</v>
      </c>
      <c r="G5138" s="1674"/>
      <c r="H5138" s="1671">
        <f t="shared" si="912"/>
        <v>0</v>
      </c>
      <c r="I5138" s="688" t="s">
        <v>92</v>
      </c>
      <c r="J5138" s="1668"/>
      <c r="K5138" s="1668"/>
      <c r="L5138" s="1669"/>
    </row>
    <row r="5139" spans="1:12" s="692" customFormat="1" ht="16.5" hidden="1">
      <c r="A5139" s="1665"/>
      <c r="B5139" s="1666"/>
      <c r="C5139" s="688"/>
      <c r="D5139" s="1667"/>
      <c r="E5139" s="1671">
        <v>3.5</v>
      </c>
      <c r="F5139" s="1671">
        <v>4</v>
      </c>
      <c r="G5139" s="1674"/>
      <c r="H5139" s="1671">
        <f t="shared" si="912"/>
        <v>0</v>
      </c>
      <c r="I5139" s="688" t="s">
        <v>92</v>
      </c>
      <c r="J5139" s="1668"/>
      <c r="K5139" s="1668"/>
      <c r="L5139" s="1669"/>
    </row>
    <row r="5140" spans="1:12" s="692" customFormat="1" ht="16.5" hidden="1">
      <c r="A5140" s="1665"/>
      <c r="B5140" s="1666"/>
      <c r="C5140" s="688"/>
      <c r="D5140" s="1667"/>
      <c r="E5140" s="1671">
        <v>3.5</v>
      </c>
      <c r="F5140" s="1671">
        <v>4</v>
      </c>
      <c r="G5140" s="1674"/>
      <c r="H5140" s="1671">
        <f t="shared" si="912"/>
        <v>0</v>
      </c>
      <c r="I5140" s="688" t="s">
        <v>92</v>
      </c>
      <c r="J5140" s="1668"/>
      <c r="K5140" s="1668"/>
      <c r="L5140" s="1669"/>
    </row>
    <row r="5141" spans="1:12" s="692" customFormat="1" ht="16.5" hidden="1">
      <c r="A5141" s="1665"/>
      <c r="B5141" s="1666"/>
      <c r="C5141" s="688"/>
      <c r="D5141" s="1667"/>
      <c r="E5141" s="688"/>
      <c r="F5141" s="688"/>
      <c r="G5141" s="1674" t="s">
        <v>928</v>
      </c>
      <c r="H5141" s="1671">
        <f>SUM(H5135:H5140)</f>
        <v>0</v>
      </c>
      <c r="I5141" s="1668" t="s">
        <v>92</v>
      </c>
      <c r="J5141" s="1669">
        <f>'Lead &amp; ANALYSIS'!L980</f>
        <v>12.4</v>
      </c>
      <c r="K5141" s="1668" t="s">
        <v>1514</v>
      </c>
      <c r="L5141" s="1669">
        <f t="shared" ref="L5141" si="913">ROUND(H5141*J5141,0)</f>
        <v>0</v>
      </c>
    </row>
    <row r="5142" spans="1:12" s="692" customFormat="1" ht="16.5" hidden="1">
      <c r="A5142" s="1665" t="str">
        <f>'Lead &amp; ANALYSIS'!A981</f>
        <v>(ii)</v>
      </c>
      <c r="B5142" s="1666" t="str">
        <f>'Lead &amp; ANALYSIS'!B981</f>
        <v>First Floor</v>
      </c>
      <c r="C5142" s="688"/>
      <c r="D5142" s="1667"/>
      <c r="E5142" s="688"/>
      <c r="F5142" s="688"/>
      <c r="G5142" s="1674"/>
      <c r="H5142" s="688"/>
      <c r="I5142" s="1668"/>
      <c r="J5142" s="1668"/>
      <c r="K5142" s="1668"/>
      <c r="L5142" s="1669"/>
    </row>
    <row r="5143" spans="1:12" s="692" customFormat="1" ht="16.5" hidden="1">
      <c r="A5143" s="1665"/>
      <c r="B5143" s="1666"/>
      <c r="C5143" s="688"/>
      <c r="D5143" s="1667"/>
      <c r="E5143" s="1671">
        <v>3.5</v>
      </c>
      <c r="F5143" s="1671">
        <v>4</v>
      </c>
      <c r="G5143" s="1674"/>
      <c r="H5143" s="1671">
        <f t="shared" ref="H5143:H5148" si="914">ROUND(D5143*E5143*F5143,2)</f>
        <v>0</v>
      </c>
      <c r="I5143" s="688" t="s">
        <v>92</v>
      </c>
      <c r="J5143" s="1668"/>
      <c r="K5143" s="1668"/>
      <c r="L5143" s="1669"/>
    </row>
    <row r="5144" spans="1:12" s="692" customFormat="1" ht="16.5" hidden="1">
      <c r="A5144" s="1665"/>
      <c r="B5144" s="1666"/>
      <c r="C5144" s="688"/>
      <c r="D5144" s="1667"/>
      <c r="E5144" s="1671">
        <v>3.5</v>
      </c>
      <c r="F5144" s="1671">
        <v>4</v>
      </c>
      <c r="G5144" s="1674"/>
      <c r="H5144" s="1671">
        <f t="shared" si="914"/>
        <v>0</v>
      </c>
      <c r="I5144" s="688" t="s">
        <v>92</v>
      </c>
      <c r="J5144" s="1668"/>
      <c r="K5144" s="1668"/>
      <c r="L5144" s="1669"/>
    </row>
    <row r="5145" spans="1:12" s="692" customFormat="1" ht="16.5" hidden="1">
      <c r="A5145" s="1665"/>
      <c r="B5145" s="1666"/>
      <c r="C5145" s="688"/>
      <c r="D5145" s="1667"/>
      <c r="E5145" s="1671">
        <v>3.5</v>
      </c>
      <c r="F5145" s="1671">
        <v>4</v>
      </c>
      <c r="G5145" s="1674"/>
      <c r="H5145" s="1671">
        <f t="shared" si="914"/>
        <v>0</v>
      </c>
      <c r="I5145" s="688" t="s">
        <v>92</v>
      </c>
      <c r="J5145" s="1668"/>
      <c r="K5145" s="1668"/>
      <c r="L5145" s="1669"/>
    </row>
    <row r="5146" spans="1:12" s="692" customFormat="1" ht="16.5" hidden="1">
      <c r="A5146" s="1665"/>
      <c r="B5146" s="1666"/>
      <c r="C5146" s="688"/>
      <c r="D5146" s="1667"/>
      <c r="E5146" s="1671">
        <v>3.5</v>
      </c>
      <c r="F5146" s="1671">
        <v>4</v>
      </c>
      <c r="G5146" s="1674"/>
      <c r="H5146" s="1671">
        <f t="shared" si="914"/>
        <v>0</v>
      </c>
      <c r="I5146" s="688" t="s">
        <v>92</v>
      </c>
      <c r="J5146" s="1668"/>
      <c r="K5146" s="1668"/>
      <c r="L5146" s="1669"/>
    </row>
    <row r="5147" spans="1:12" s="692" customFormat="1" ht="16.5" hidden="1">
      <c r="A5147" s="1665"/>
      <c r="B5147" s="1666"/>
      <c r="C5147" s="688"/>
      <c r="D5147" s="1667"/>
      <c r="E5147" s="1671">
        <v>3.5</v>
      </c>
      <c r="F5147" s="1671">
        <v>4</v>
      </c>
      <c r="G5147" s="1674"/>
      <c r="H5147" s="1671">
        <f t="shared" si="914"/>
        <v>0</v>
      </c>
      <c r="I5147" s="688" t="s">
        <v>92</v>
      </c>
      <c r="J5147" s="1668"/>
      <c r="K5147" s="1668"/>
      <c r="L5147" s="1669"/>
    </row>
    <row r="5148" spans="1:12" s="692" customFormat="1" ht="16.5" hidden="1">
      <c r="A5148" s="1665"/>
      <c r="B5148" s="1666"/>
      <c r="C5148" s="688"/>
      <c r="D5148" s="1667"/>
      <c r="E5148" s="1671">
        <v>3.5</v>
      </c>
      <c r="F5148" s="1671">
        <v>4</v>
      </c>
      <c r="G5148" s="1674"/>
      <c r="H5148" s="1671">
        <f t="shared" si="914"/>
        <v>0</v>
      </c>
      <c r="I5148" s="688" t="s">
        <v>92</v>
      </c>
      <c r="J5148" s="1668"/>
      <c r="K5148" s="1668"/>
      <c r="L5148" s="1669"/>
    </row>
    <row r="5149" spans="1:12" s="692" customFormat="1" ht="16.5" hidden="1">
      <c r="A5149" s="1665"/>
      <c r="B5149" s="1666"/>
      <c r="C5149" s="688"/>
      <c r="D5149" s="1667"/>
      <c r="E5149" s="688"/>
      <c r="F5149" s="688"/>
      <c r="G5149" s="1674" t="s">
        <v>928</v>
      </c>
      <c r="H5149" s="1671">
        <f>SUM(H5143:H5148)</f>
        <v>0</v>
      </c>
      <c r="I5149" s="1668" t="s">
        <v>92</v>
      </c>
      <c r="J5149" s="1669">
        <f>'Lead &amp; ANALYSIS'!L981</f>
        <v>12.6</v>
      </c>
      <c r="K5149" s="1668" t="s">
        <v>1514</v>
      </c>
      <c r="L5149" s="1669">
        <f t="shared" ref="L5149" si="915">ROUND(H5149*J5149,0)</f>
        <v>0</v>
      </c>
    </row>
    <row r="5150" spans="1:12" s="692" customFormat="1" ht="16.5" hidden="1">
      <c r="A5150" s="1693" t="str">
        <f>'Lead &amp; ANALYSIS'!A982</f>
        <v>(iii)</v>
      </c>
      <c r="B5150" s="1666" t="str">
        <f>'Lead &amp; ANALYSIS'!B982</f>
        <v>2nd Floor</v>
      </c>
      <c r="C5150" s="688"/>
      <c r="D5150" s="1667"/>
      <c r="E5150" s="688"/>
      <c r="F5150" s="688"/>
      <c r="G5150" s="1674"/>
      <c r="H5150" s="688"/>
      <c r="I5150" s="1668"/>
      <c r="J5150" s="1668"/>
      <c r="K5150" s="1668"/>
      <c r="L5150" s="1669"/>
    </row>
    <row r="5151" spans="1:12" s="692" customFormat="1" ht="16.5" hidden="1">
      <c r="A5151" s="1693"/>
      <c r="B5151" s="1666"/>
      <c r="C5151" s="688"/>
      <c r="D5151" s="1667"/>
      <c r="E5151" s="1671">
        <v>3.5</v>
      </c>
      <c r="F5151" s="1668"/>
      <c r="G5151" s="1671">
        <v>4</v>
      </c>
      <c r="H5151" s="1671">
        <f t="shared" ref="H5151:H5156" si="916">ROUND(D5151*E5151*G5151,2)</f>
        <v>0</v>
      </c>
      <c r="I5151" s="688" t="s">
        <v>92</v>
      </c>
      <c r="J5151" s="1668"/>
      <c r="K5151" s="1668"/>
      <c r="L5151" s="1669"/>
    </row>
    <row r="5152" spans="1:12" s="692" customFormat="1" ht="16.5" hidden="1">
      <c r="A5152" s="1693"/>
      <c r="B5152" s="1666"/>
      <c r="C5152" s="688"/>
      <c r="D5152" s="1667"/>
      <c r="E5152" s="1671">
        <v>3.5</v>
      </c>
      <c r="F5152" s="1668"/>
      <c r="G5152" s="1671">
        <v>4</v>
      </c>
      <c r="H5152" s="1671">
        <f t="shared" si="916"/>
        <v>0</v>
      </c>
      <c r="I5152" s="688" t="s">
        <v>92</v>
      </c>
      <c r="J5152" s="1668"/>
      <c r="K5152" s="1668"/>
      <c r="L5152" s="1669"/>
    </row>
    <row r="5153" spans="1:12" s="692" customFormat="1" ht="16.5" hidden="1">
      <c r="A5153" s="1693"/>
      <c r="B5153" s="1666"/>
      <c r="C5153" s="688"/>
      <c r="D5153" s="1667"/>
      <c r="E5153" s="1671">
        <v>3.5</v>
      </c>
      <c r="F5153" s="1668"/>
      <c r="G5153" s="1671">
        <v>4</v>
      </c>
      <c r="H5153" s="1671">
        <f t="shared" si="916"/>
        <v>0</v>
      </c>
      <c r="I5153" s="688" t="s">
        <v>92</v>
      </c>
      <c r="J5153" s="1668"/>
      <c r="K5153" s="1668"/>
      <c r="L5153" s="1669"/>
    </row>
    <row r="5154" spans="1:12" s="692" customFormat="1" ht="16.5" hidden="1">
      <c r="A5154" s="1693"/>
      <c r="B5154" s="1666"/>
      <c r="C5154" s="688"/>
      <c r="D5154" s="1667"/>
      <c r="E5154" s="1671">
        <v>3.5</v>
      </c>
      <c r="F5154" s="1668"/>
      <c r="G5154" s="1671">
        <v>4</v>
      </c>
      <c r="H5154" s="1671">
        <f t="shared" si="916"/>
        <v>0</v>
      </c>
      <c r="I5154" s="688" t="s">
        <v>92</v>
      </c>
      <c r="J5154" s="1668"/>
      <c r="K5154" s="1668"/>
      <c r="L5154" s="1669"/>
    </row>
    <row r="5155" spans="1:12" s="692" customFormat="1" ht="16.5" hidden="1">
      <c r="A5155" s="1693"/>
      <c r="B5155" s="1666"/>
      <c r="C5155" s="688"/>
      <c r="D5155" s="1667"/>
      <c r="E5155" s="1671">
        <v>3.5</v>
      </c>
      <c r="F5155" s="1668"/>
      <c r="G5155" s="1671">
        <v>4</v>
      </c>
      <c r="H5155" s="1671">
        <f t="shared" si="916"/>
        <v>0</v>
      </c>
      <c r="I5155" s="688" t="s">
        <v>92</v>
      </c>
      <c r="J5155" s="1668"/>
      <c r="K5155" s="1668"/>
      <c r="L5155" s="1669"/>
    </row>
    <row r="5156" spans="1:12" s="692" customFormat="1" ht="16.5" hidden="1">
      <c r="A5156" s="1693"/>
      <c r="B5156" s="1666"/>
      <c r="C5156" s="688"/>
      <c r="D5156" s="1667"/>
      <c r="E5156" s="1671">
        <v>3.5</v>
      </c>
      <c r="F5156" s="1668"/>
      <c r="G5156" s="1671">
        <v>4</v>
      </c>
      <c r="H5156" s="1671">
        <f t="shared" si="916"/>
        <v>0</v>
      </c>
      <c r="I5156" s="688" t="s">
        <v>92</v>
      </c>
      <c r="J5156" s="1668"/>
      <c r="K5156" s="1668"/>
      <c r="L5156" s="1669"/>
    </row>
    <row r="5157" spans="1:12" s="692" customFormat="1" ht="16.5" hidden="1">
      <c r="A5157" s="1693"/>
      <c r="B5157" s="1666"/>
      <c r="C5157" s="688"/>
      <c r="D5157" s="1667"/>
      <c r="E5157" s="688"/>
      <c r="F5157" s="688"/>
      <c r="G5157" s="1674" t="s">
        <v>928</v>
      </c>
      <c r="H5157" s="1671">
        <f>SUM(H5151:H5156)</f>
        <v>0</v>
      </c>
      <c r="I5157" s="1668" t="s">
        <v>92</v>
      </c>
      <c r="J5157" s="1669">
        <f>'Lead &amp; ANALYSIS'!L982</f>
        <v>12.9</v>
      </c>
      <c r="K5157" s="1668" t="s">
        <v>1514</v>
      </c>
      <c r="L5157" s="1669">
        <f t="shared" ref="L5157" si="917">ROUND(H5157*J5157,0)</f>
        <v>0</v>
      </c>
    </row>
    <row r="5158" spans="1:12" s="692" customFormat="1" ht="16.5" hidden="1">
      <c r="A5158" s="1693" t="str">
        <f>'Lead &amp; ANALYSIS'!A983</f>
        <v>(iv)</v>
      </c>
      <c r="B5158" s="1666" t="str">
        <f>'Lead &amp; ANALYSIS'!B983</f>
        <v>3rd Floor</v>
      </c>
      <c r="C5158" s="688"/>
      <c r="D5158" s="1667"/>
      <c r="E5158" s="688"/>
      <c r="F5158" s="688"/>
      <c r="G5158" s="1674"/>
      <c r="H5158" s="688"/>
      <c r="I5158" s="1668"/>
      <c r="J5158" s="1668"/>
      <c r="K5158" s="1668"/>
      <c r="L5158" s="1669"/>
    </row>
    <row r="5159" spans="1:12" s="692" customFormat="1" ht="16.5" hidden="1">
      <c r="A5159" s="1693"/>
      <c r="B5159" s="1666"/>
      <c r="C5159" s="688"/>
      <c r="D5159" s="1667"/>
      <c r="E5159" s="1671">
        <v>3.5</v>
      </c>
      <c r="F5159" s="1668"/>
      <c r="G5159" s="1671">
        <v>4</v>
      </c>
      <c r="H5159" s="1671">
        <f t="shared" ref="H5159:H5164" si="918">ROUND(D5159*E5159*G5159,2)</f>
        <v>0</v>
      </c>
      <c r="I5159" s="688" t="s">
        <v>92</v>
      </c>
      <c r="J5159" s="1668"/>
      <c r="K5159" s="1668"/>
      <c r="L5159" s="1669"/>
    </row>
    <row r="5160" spans="1:12" s="692" customFormat="1" ht="16.5" hidden="1">
      <c r="A5160" s="1665"/>
      <c r="B5160" s="1666"/>
      <c r="C5160" s="688"/>
      <c r="D5160" s="1667"/>
      <c r="E5160" s="1671">
        <v>3.5</v>
      </c>
      <c r="F5160" s="1668"/>
      <c r="G5160" s="1671">
        <v>4</v>
      </c>
      <c r="H5160" s="1671">
        <f t="shared" si="918"/>
        <v>0</v>
      </c>
      <c r="I5160" s="688" t="s">
        <v>92</v>
      </c>
      <c r="J5160" s="1668"/>
      <c r="K5160" s="1668"/>
      <c r="L5160" s="1669"/>
    </row>
    <row r="5161" spans="1:12" s="692" customFormat="1" ht="16.5" hidden="1">
      <c r="A5161" s="1665"/>
      <c r="B5161" s="1666"/>
      <c r="C5161" s="688"/>
      <c r="D5161" s="1667"/>
      <c r="E5161" s="1671">
        <v>3.5</v>
      </c>
      <c r="F5161" s="1668"/>
      <c r="G5161" s="1671">
        <v>4</v>
      </c>
      <c r="H5161" s="1671">
        <f t="shared" si="918"/>
        <v>0</v>
      </c>
      <c r="I5161" s="688" t="s">
        <v>92</v>
      </c>
      <c r="J5161" s="1668"/>
      <c r="K5161" s="1668"/>
      <c r="L5161" s="1669"/>
    </row>
    <row r="5162" spans="1:12" s="692" customFormat="1" ht="16.5" hidden="1">
      <c r="A5162" s="1665"/>
      <c r="B5162" s="1666"/>
      <c r="C5162" s="688"/>
      <c r="D5162" s="1667"/>
      <c r="E5162" s="1671">
        <v>3.5</v>
      </c>
      <c r="F5162" s="1668"/>
      <c r="G5162" s="1671">
        <v>4</v>
      </c>
      <c r="H5162" s="1671">
        <f t="shared" si="918"/>
        <v>0</v>
      </c>
      <c r="I5162" s="688" t="s">
        <v>92</v>
      </c>
      <c r="J5162" s="1668"/>
      <c r="K5162" s="1668"/>
      <c r="L5162" s="1669"/>
    </row>
    <row r="5163" spans="1:12" s="692" customFormat="1" ht="16.5" hidden="1">
      <c r="A5163" s="1665"/>
      <c r="B5163" s="1666"/>
      <c r="C5163" s="688"/>
      <c r="D5163" s="1667"/>
      <c r="E5163" s="1671">
        <v>3.5</v>
      </c>
      <c r="F5163" s="1668"/>
      <c r="G5163" s="1671">
        <v>4</v>
      </c>
      <c r="H5163" s="1671">
        <f t="shared" si="918"/>
        <v>0</v>
      </c>
      <c r="I5163" s="688" t="s">
        <v>92</v>
      </c>
      <c r="J5163" s="1668"/>
      <c r="K5163" s="1668"/>
      <c r="L5163" s="1669"/>
    </row>
    <row r="5164" spans="1:12" s="692" customFormat="1" ht="16.5" hidden="1">
      <c r="A5164" s="1665"/>
      <c r="B5164" s="1666"/>
      <c r="C5164" s="688"/>
      <c r="D5164" s="1667"/>
      <c r="E5164" s="1671">
        <v>3.5</v>
      </c>
      <c r="F5164" s="1668"/>
      <c r="G5164" s="1671">
        <v>4</v>
      </c>
      <c r="H5164" s="1671">
        <f t="shared" si="918"/>
        <v>0</v>
      </c>
      <c r="I5164" s="688" t="s">
        <v>92</v>
      </c>
      <c r="J5164" s="1668"/>
      <c r="K5164" s="1668"/>
      <c r="L5164" s="1669"/>
    </row>
    <row r="5165" spans="1:12" s="692" customFormat="1" ht="16.5" hidden="1">
      <c r="A5165" s="1665"/>
      <c r="B5165" s="1666"/>
      <c r="C5165" s="688"/>
      <c r="D5165" s="1667"/>
      <c r="E5165" s="688"/>
      <c r="F5165" s="688"/>
      <c r="G5165" s="1674" t="s">
        <v>928</v>
      </c>
      <c r="H5165" s="1671">
        <f>SUM(H5159:H5164)</f>
        <v>0</v>
      </c>
      <c r="I5165" s="1668" t="s">
        <v>92</v>
      </c>
      <c r="J5165" s="1669">
        <f>'Lead &amp; ANALYSIS'!L983</f>
        <v>13.1</v>
      </c>
      <c r="K5165" s="1668" t="s">
        <v>1514</v>
      </c>
      <c r="L5165" s="1669">
        <f t="shared" ref="L5165" si="919">ROUND(H5165*J5165,0)</f>
        <v>0</v>
      </c>
    </row>
    <row r="5166" spans="1:12" s="692" customFormat="1" ht="66" hidden="1">
      <c r="A5166" s="1665">
        <f>'Lead &amp; ANALYSIS'!A984</f>
        <v>128</v>
      </c>
      <c r="B5166" s="1666" t="str">
        <f>'Lead &amp; ANALYSIS'!B984</f>
        <v xml:space="preserve">White washing three coat using shell lime with cost,conveyance of shell lime and cost of  all  labour etc. complete in all respect as per direction of the Engineer-in-charge. </v>
      </c>
      <c r="C5166" s="688"/>
      <c r="D5166" s="1667"/>
      <c r="E5166" s="688"/>
      <c r="F5166" s="688"/>
      <c r="G5166" s="1674"/>
      <c r="H5166" s="688"/>
      <c r="I5166" s="1668"/>
      <c r="J5166" s="1668"/>
      <c r="K5166" s="1668"/>
      <c r="L5166" s="1669"/>
    </row>
    <row r="5167" spans="1:12" s="692" customFormat="1" ht="16.5" hidden="1">
      <c r="A5167" s="1665" t="str">
        <f>'Lead &amp; ANALYSIS'!A985</f>
        <v>(i)</v>
      </c>
      <c r="B5167" s="1666" t="str">
        <f>'Lead &amp; ANALYSIS'!B985</f>
        <v>Ground Floor</v>
      </c>
      <c r="C5167" s="688"/>
      <c r="D5167" s="1667"/>
      <c r="E5167" s="688"/>
      <c r="F5167" s="688"/>
      <c r="G5167" s="1674"/>
      <c r="H5167" s="688"/>
      <c r="I5167" s="1668"/>
      <c r="J5167" s="1668"/>
      <c r="K5167" s="1668"/>
      <c r="L5167" s="1669"/>
    </row>
    <row r="5168" spans="1:12" s="692" customFormat="1" ht="16.5" hidden="1">
      <c r="A5168" s="1665"/>
      <c r="B5168" s="1666"/>
      <c r="C5168" s="688"/>
      <c r="D5168" s="1667"/>
      <c r="E5168" s="1671">
        <v>3.5</v>
      </c>
      <c r="F5168" s="1671">
        <v>4</v>
      </c>
      <c r="G5168" s="1674"/>
      <c r="H5168" s="1671">
        <f t="shared" ref="H5168:H5173" si="920">ROUND(D5168*E5168*F5168,2)</f>
        <v>0</v>
      </c>
      <c r="I5168" s="688" t="s">
        <v>92</v>
      </c>
      <c r="J5168" s="1668"/>
      <c r="K5168" s="1668"/>
      <c r="L5168" s="1669"/>
    </row>
    <row r="5169" spans="1:12" s="692" customFormat="1" ht="16.5" hidden="1">
      <c r="A5169" s="1665"/>
      <c r="B5169" s="1666"/>
      <c r="C5169" s="688"/>
      <c r="D5169" s="1667"/>
      <c r="E5169" s="1671">
        <v>3.5</v>
      </c>
      <c r="F5169" s="1671">
        <v>4</v>
      </c>
      <c r="G5169" s="1674"/>
      <c r="H5169" s="1671">
        <f t="shared" si="920"/>
        <v>0</v>
      </c>
      <c r="I5169" s="688" t="s">
        <v>92</v>
      </c>
      <c r="J5169" s="1668"/>
      <c r="K5169" s="1668"/>
      <c r="L5169" s="1669"/>
    </row>
    <row r="5170" spans="1:12" s="692" customFormat="1" ht="16.5" hidden="1">
      <c r="A5170" s="1665"/>
      <c r="B5170" s="1666"/>
      <c r="C5170" s="688"/>
      <c r="D5170" s="1667"/>
      <c r="E5170" s="1671">
        <v>3.5</v>
      </c>
      <c r="F5170" s="1671">
        <v>4</v>
      </c>
      <c r="G5170" s="1674"/>
      <c r="H5170" s="1671">
        <f t="shared" si="920"/>
        <v>0</v>
      </c>
      <c r="I5170" s="688" t="s">
        <v>92</v>
      </c>
      <c r="J5170" s="1668"/>
      <c r="K5170" s="1668"/>
      <c r="L5170" s="1669"/>
    </row>
    <row r="5171" spans="1:12" s="692" customFormat="1" ht="16.5" hidden="1">
      <c r="A5171" s="1665"/>
      <c r="B5171" s="1666"/>
      <c r="C5171" s="688"/>
      <c r="D5171" s="1667"/>
      <c r="E5171" s="1671">
        <v>3.5</v>
      </c>
      <c r="F5171" s="1671">
        <v>4</v>
      </c>
      <c r="G5171" s="1674"/>
      <c r="H5171" s="1671">
        <f t="shared" si="920"/>
        <v>0</v>
      </c>
      <c r="I5171" s="688" t="s">
        <v>92</v>
      </c>
      <c r="J5171" s="1668"/>
      <c r="K5171" s="1668"/>
      <c r="L5171" s="1669"/>
    </row>
    <row r="5172" spans="1:12" s="692" customFormat="1" ht="16.5" hidden="1">
      <c r="A5172" s="1665"/>
      <c r="B5172" s="1666"/>
      <c r="C5172" s="688"/>
      <c r="D5172" s="1667"/>
      <c r="E5172" s="1671">
        <v>3.5</v>
      </c>
      <c r="F5172" s="1671">
        <v>4</v>
      </c>
      <c r="G5172" s="1674"/>
      <c r="H5172" s="1671">
        <f t="shared" si="920"/>
        <v>0</v>
      </c>
      <c r="I5172" s="688" t="s">
        <v>92</v>
      </c>
      <c r="J5172" s="1668"/>
      <c r="K5172" s="1668"/>
      <c r="L5172" s="1669"/>
    </row>
    <row r="5173" spans="1:12" s="692" customFormat="1" ht="16.5" hidden="1">
      <c r="A5173" s="1665"/>
      <c r="B5173" s="1666"/>
      <c r="C5173" s="688"/>
      <c r="D5173" s="1667"/>
      <c r="E5173" s="1671">
        <v>3.5</v>
      </c>
      <c r="F5173" s="1671">
        <v>4</v>
      </c>
      <c r="G5173" s="1674"/>
      <c r="H5173" s="1671">
        <f t="shared" si="920"/>
        <v>0</v>
      </c>
      <c r="I5173" s="688" t="s">
        <v>92</v>
      </c>
      <c r="J5173" s="1668"/>
      <c r="K5173" s="1668"/>
      <c r="L5173" s="1669"/>
    </row>
    <row r="5174" spans="1:12" s="692" customFormat="1" ht="16.5" hidden="1">
      <c r="A5174" s="1665"/>
      <c r="B5174" s="1666"/>
      <c r="C5174" s="688"/>
      <c r="D5174" s="1667"/>
      <c r="E5174" s="688"/>
      <c r="F5174" s="688"/>
      <c r="G5174" s="1674" t="s">
        <v>928</v>
      </c>
      <c r="H5174" s="1671">
        <f>SUM(H5168:H5173)</f>
        <v>0</v>
      </c>
      <c r="I5174" s="1668" t="s">
        <v>92</v>
      </c>
      <c r="J5174" s="1669">
        <f>'Lead &amp; ANALYSIS'!L985</f>
        <v>16.899999999999999</v>
      </c>
      <c r="K5174" s="1668" t="s">
        <v>1514</v>
      </c>
      <c r="L5174" s="1669">
        <f t="shared" ref="L5174" si="921">ROUND(H5174*J5174,0)</f>
        <v>0</v>
      </c>
    </row>
    <row r="5175" spans="1:12" s="692" customFormat="1" ht="16.5" hidden="1">
      <c r="A5175" s="1665" t="str">
        <f>'Lead &amp; ANALYSIS'!A986</f>
        <v>(ii)</v>
      </c>
      <c r="B5175" s="1666" t="str">
        <f>'Lead &amp; ANALYSIS'!B986</f>
        <v>First Floor</v>
      </c>
      <c r="C5175" s="688"/>
      <c r="D5175" s="1667"/>
      <c r="E5175" s="688"/>
      <c r="F5175" s="688"/>
      <c r="G5175" s="1674"/>
      <c r="H5175" s="688"/>
      <c r="I5175" s="1668"/>
      <c r="J5175" s="1668"/>
      <c r="K5175" s="1668"/>
      <c r="L5175" s="1669"/>
    </row>
    <row r="5176" spans="1:12" s="692" customFormat="1" ht="16.5" hidden="1">
      <c r="A5176" s="1665"/>
      <c r="B5176" s="1666"/>
      <c r="C5176" s="688"/>
      <c r="D5176" s="1667"/>
      <c r="E5176" s="1671">
        <v>3.5</v>
      </c>
      <c r="F5176" s="1671">
        <v>4</v>
      </c>
      <c r="G5176" s="1674"/>
      <c r="H5176" s="1671">
        <f t="shared" ref="H5176:H5181" si="922">ROUND(D5176*E5176*F5176,2)</f>
        <v>0</v>
      </c>
      <c r="I5176" s="688" t="s">
        <v>92</v>
      </c>
      <c r="J5176" s="1668"/>
      <c r="K5176" s="1668"/>
      <c r="L5176" s="1669"/>
    </row>
    <row r="5177" spans="1:12" s="692" customFormat="1" ht="16.5" hidden="1">
      <c r="A5177" s="1665"/>
      <c r="B5177" s="1666"/>
      <c r="C5177" s="688"/>
      <c r="D5177" s="1667"/>
      <c r="E5177" s="1671">
        <v>3.5</v>
      </c>
      <c r="F5177" s="1671">
        <v>4</v>
      </c>
      <c r="G5177" s="1674"/>
      <c r="H5177" s="1671">
        <f t="shared" si="922"/>
        <v>0</v>
      </c>
      <c r="I5177" s="688" t="s">
        <v>92</v>
      </c>
      <c r="J5177" s="1668"/>
      <c r="K5177" s="1668"/>
      <c r="L5177" s="1669"/>
    </row>
    <row r="5178" spans="1:12" s="692" customFormat="1" ht="16.5" hidden="1">
      <c r="A5178" s="1665"/>
      <c r="B5178" s="1666"/>
      <c r="C5178" s="688"/>
      <c r="D5178" s="1667"/>
      <c r="E5178" s="1671">
        <v>3.5</v>
      </c>
      <c r="F5178" s="1671">
        <v>4</v>
      </c>
      <c r="G5178" s="1674"/>
      <c r="H5178" s="1671">
        <f t="shared" si="922"/>
        <v>0</v>
      </c>
      <c r="I5178" s="688" t="s">
        <v>92</v>
      </c>
      <c r="J5178" s="1668"/>
      <c r="K5178" s="1668"/>
      <c r="L5178" s="1669"/>
    </row>
    <row r="5179" spans="1:12" s="692" customFormat="1" ht="16.5" hidden="1">
      <c r="A5179" s="1665"/>
      <c r="B5179" s="1666"/>
      <c r="C5179" s="688"/>
      <c r="D5179" s="1667"/>
      <c r="E5179" s="1671">
        <v>3.5</v>
      </c>
      <c r="F5179" s="1671">
        <v>4</v>
      </c>
      <c r="G5179" s="1674"/>
      <c r="H5179" s="1671">
        <f t="shared" si="922"/>
        <v>0</v>
      </c>
      <c r="I5179" s="688" t="s">
        <v>92</v>
      </c>
      <c r="J5179" s="1668"/>
      <c r="K5179" s="1668"/>
      <c r="L5179" s="1669"/>
    </row>
    <row r="5180" spans="1:12" s="692" customFormat="1" ht="16.5" hidden="1">
      <c r="A5180" s="1665"/>
      <c r="B5180" s="1666"/>
      <c r="C5180" s="688"/>
      <c r="D5180" s="1667"/>
      <c r="E5180" s="1671">
        <v>3.5</v>
      </c>
      <c r="F5180" s="1671">
        <v>4</v>
      </c>
      <c r="G5180" s="1674"/>
      <c r="H5180" s="1671">
        <f t="shared" si="922"/>
        <v>0</v>
      </c>
      <c r="I5180" s="688" t="s">
        <v>92</v>
      </c>
      <c r="J5180" s="1668"/>
      <c r="K5180" s="1668"/>
      <c r="L5180" s="1669"/>
    </row>
    <row r="5181" spans="1:12" s="692" customFormat="1" ht="16.5" hidden="1">
      <c r="A5181" s="1665"/>
      <c r="B5181" s="1666"/>
      <c r="C5181" s="688"/>
      <c r="D5181" s="1667"/>
      <c r="E5181" s="1671">
        <v>3.5</v>
      </c>
      <c r="F5181" s="1671">
        <v>4</v>
      </c>
      <c r="G5181" s="1674"/>
      <c r="H5181" s="1671">
        <f t="shared" si="922"/>
        <v>0</v>
      </c>
      <c r="I5181" s="688" t="s">
        <v>92</v>
      </c>
      <c r="J5181" s="1668"/>
      <c r="K5181" s="1668"/>
      <c r="L5181" s="1669"/>
    </row>
    <row r="5182" spans="1:12" s="692" customFormat="1" ht="16.5" hidden="1">
      <c r="A5182" s="1665"/>
      <c r="B5182" s="1666"/>
      <c r="C5182" s="688"/>
      <c r="D5182" s="1667"/>
      <c r="E5182" s="688"/>
      <c r="F5182" s="688"/>
      <c r="G5182" s="1674" t="s">
        <v>928</v>
      </c>
      <c r="H5182" s="1671">
        <f>SUM(H5176:H5181)</f>
        <v>0</v>
      </c>
      <c r="I5182" s="1668" t="s">
        <v>92</v>
      </c>
      <c r="J5182" s="1669">
        <f>'Lead &amp; ANALYSIS'!L986</f>
        <v>17.2</v>
      </c>
      <c r="K5182" s="1668" t="s">
        <v>1514</v>
      </c>
      <c r="L5182" s="1669">
        <f t="shared" ref="L5182" si="923">ROUND(H5182*J5182,0)</f>
        <v>0</v>
      </c>
    </row>
    <row r="5183" spans="1:12" s="692" customFormat="1" ht="16.5" hidden="1">
      <c r="A5183" s="1693" t="str">
        <f>'Lead &amp; ANALYSIS'!A987</f>
        <v>(iii)</v>
      </c>
      <c r="B5183" s="1666" t="str">
        <f>'Lead &amp; ANALYSIS'!B987</f>
        <v>2nd Floor</v>
      </c>
      <c r="C5183" s="688"/>
      <c r="D5183" s="1667"/>
      <c r="E5183" s="688"/>
      <c r="F5183" s="688"/>
      <c r="G5183" s="1674"/>
      <c r="H5183" s="688"/>
      <c r="I5183" s="1668"/>
      <c r="J5183" s="1668"/>
      <c r="K5183" s="1668"/>
      <c r="L5183" s="1669"/>
    </row>
    <row r="5184" spans="1:12" s="692" customFormat="1" ht="16.5" hidden="1">
      <c r="A5184" s="1693"/>
      <c r="B5184" s="1666"/>
      <c r="C5184" s="688"/>
      <c r="D5184" s="1667"/>
      <c r="E5184" s="1671">
        <v>3.5</v>
      </c>
      <c r="F5184" s="1668"/>
      <c r="G5184" s="1671">
        <v>4</v>
      </c>
      <c r="H5184" s="1671">
        <f t="shared" ref="H5184:H5189" si="924">ROUND(D5184*E5184*G5184,2)</f>
        <v>0</v>
      </c>
      <c r="I5184" s="688" t="s">
        <v>92</v>
      </c>
      <c r="J5184" s="1668"/>
      <c r="K5184" s="1668"/>
      <c r="L5184" s="1669"/>
    </row>
    <row r="5185" spans="1:12" s="692" customFormat="1" ht="16.5" hidden="1">
      <c r="A5185" s="1693"/>
      <c r="B5185" s="1666"/>
      <c r="C5185" s="688"/>
      <c r="D5185" s="1667"/>
      <c r="E5185" s="1671">
        <v>3.5</v>
      </c>
      <c r="F5185" s="1668"/>
      <c r="G5185" s="1671">
        <v>4</v>
      </c>
      <c r="H5185" s="1671">
        <f t="shared" si="924"/>
        <v>0</v>
      </c>
      <c r="I5185" s="688" t="s">
        <v>92</v>
      </c>
      <c r="J5185" s="1668"/>
      <c r="K5185" s="1668"/>
      <c r="L5185" s="1669"/>
    </row>
    <row r="5186" spans="1:12" s="692" customFormat="1" ht="16.5" hidden="1">
      <c r="A5186" s="1693"/>
      <c r="B5186" s="1666"/>
      <c r="C5186" s="688"/>
      <c r="D5186" s="1667"/>
      <c r="E5186" s="1671">
        <v>3.5</v>
      </c>
      <c r="F5186" s="1668"/>
      <c r="G5186" s="1671">
        <v>4</v>
      </c>
      <c r="H5186" s="1671">
        <f t="shared" si="924"/>
        <v>0</v>
      </c>
      <c r="I5186" s="688" t="s">
        <v>92</v>
      </c>
      <c r="J5186" s="1668"/>
      <c r="K5186" s="1668"/>
      <c r="L5186" s="1669"/>
    </row>
    <row r="5187" spans="1:12" s="692" customFormat="1" ht="16.5" hidden="1">
      <c r="A5187" s="1693"/>
      <c r="B5187" s="1666"/>
      <c r="C5187" s="688"/>
      <c r="D5187" s="1667"/>
      <c r="E5187" s="1671">
        <v>3.5</v>
      </c>
      <c r="F5187" s="1668"/>
      <c r="G5187" s="1671">
        <v>4</v>
      </c>
      <c r="H5187" s="1671">
        <f t="shared" si="924"/>
        <v>0</v>
      </c>
      <c r="I5187" s="688" t="s">
        <v>92</v>
      </c>
      <c r="J5187" s="1668"/>
      <c r="K5187" s="1668"/>
      <c r="L5187" s="1669"/>
    </row>
    <row r="5188" spans="1:12" s="692" customFormat="1" ht="16.5" hidden="1">
      <c r="A5188" s="1693"/>
      <c r="B5188" s="1666"/>
      <c r="C5188" s="688"/>
      <c r="D5188" s="1667"/>
      <c r="E5188" s="1671">
        <v>3.5</v>
      </c>
      <c r="F5188" s="1668"/>
      <c r="G5188" s="1671">
        <v>4</v>
      </c>
      <c r="H5188" s="1671">
        <f t="shared" si="924"/>
        <v>0</v>
      </c>
      <c r="I5188" s="688" t="s">
        <v>92</v>
      </c>
      <c r="J5188" s="1668"/>
      <c r="K5188" s="1668"/>
      <c r="L5188" s="1669"/>
    </row>
    <row r="5189" spans="1:12" s="692" customFormat="1" ht="16.5" hidden="1">
      <c r="A5189" s="1693"/>
      <c r="B5189" s="1666"/>
      <c r="C5189" s="688"/>
      <c r="D5189" s="1667"/>
      <c r="E5189" s="1671">
        <v>3.5</v>
      </c>
      <c r="F5189" s="1668"/>
      <c r="G5189" s="1671">
        <v>4</v>
      </c>
      <c r="H5189" s="1671">
        <f t="shared" si="924"/>
        <v>0</v>
      </c>
      <c r="I5189" s="688" t="s">
        <v>92</v>
      </c>
      <c r="J5189" s="1668"/>
      <c r="K5189" s="1668"/>
      <c r="L5189" s="1669"/>
    </row>
    <row r="5190" spans="1:12" s="692" customFormat="1" ht="16.5" hidden="1">
      <c r="A5190" s="1693"/>
      <c r="B5190" s="1666"/>
      <c r="C5190" s="688"/>
      <c r="D5190" s="1667"/>
      <c r="E5190" s="688"/>
      <c r="F5190" s="688"/>
      <c r="G5190" s="1674" t="s">
        <v>928</v>
      </c>
      <c r="H5190" s="1671">
        <f>SUM(H5184:H5189)</f>
        <v>0</v>
      </c>
      <c r="I5190" s="1668" t="s">
        <v>92</v>
      </c>
      <c r="J5190" s="1669">
        <f>'Lead &amp; ANALYSIS'!L987</f>
        <v>17.600000000000001</v>
      </c>
      <c r="K5190" s="1668" t="s">
        <v>1514</v>
      </c>
      <c r="L5190" s="1669">
        <f t="shared" ref="L5190" si="925">ROUND(H5190*J5190,0)</f>
        <v>0</v>
      </c>
    </row>
    <row r="5191" spans="1:12" s="692" customFormat="1" ht="16.5" hidden="1">
      <c r="A5191" s="1693" t="str">
        <f>'Lead &amp; ANALYSIS'!A988</f>
        <v>(iv)</v>
      </c>
      <c r="B5191" s="1666" t="str">
        <f>'Lead &amp; ANALYSIS'!B988</f>
        <v>3rd Floor</v>
      </c>
      <c r="C5191" s="688"/>
      <c r="D5191" s="1667"/>
      <c r="E5191" s="688"/>
      <c r="F5191" s="688"/>
      <c r="G5191" s="1674"/>
      <c r="H5191" s="688"/>
      <c r="I5191" s="1668"/>
      <c r="J5191" s="1668"/>
      <c r="K5191" s="1668"/>
      <c r="L5191" s="1669"/>
    </row>
    <row r="5192" spans="1:12" s="692" customFormat="1" ht="16.5" hidden="1">
      <c r="A5192" s="1693"/>
      <c r="B5192" s="1666"/>
      <c r="C5192" s="688"/>
      <c r="D5192" s="1667"/>
      <c r="E5192" s="1671">
        <v>3.5</v>
      </c>
      <c r="F5192" s="1668"/>
      <c r="G5192" s="1671">
        <v>4</v>
      </c>
      <c r="H5192" s="1671">
        <f t="shared" ref="H5192:H5197" si="926">ROUND(D5192*E5192*G5192,2)</f>
        <v>0</v>
      </c>
      <c r="I5192" s="688" t="s">
        <v>92</v>
      </c>
      <c r="J5192" s="1668"/>
      <c r="K5192" s="1668"/>
      <c r="L5192" s="1669"/>
    </row>
    <row r="5193" spans="1:12" s="692" customFormat="1" ht="16.5" hidden="1">
      <c r="A5193" s="1665"/>
      <c r="B5193" s="1666"/>
      <c r="C5193" s="688"/>
      <c r="D5193" s="1667"/>
      <c r="E5193" s="1671">
        <v>3.5</v>
      </c>
      <c r="F5193" s="1668"/>
      <c r="G5193" s="1671">
        <v>4</v>
      </c>
      <c r="H5193" s="1671">
        <f t="shared" si="926"/>
        <v>0</v>
      </c>
      <c r="I5193" s="688" t="s">
        <v>92</v>
      </c>
      <c r="J5193" s="1668"/>
      <c r="K5193" s="1668"/>
      <c r="L5193" s="1669"/>
    </row>
    <row r="5194" spans="1:12" s="692" customFormat="1" ht="16.5" hidden="1">
      <c r="A5194" s="1665"/>
      <c r="B5194" s="1666"/>
      <c r="C5194" s="688"/>
      <c r="D5194" s="1667"/>
      <c r="E5194" s="1671">
        <v>3.5</v>
      </c>
      <c r="F5194" s="1668"/>
      <c r="G5194" s="1671">
        <v>4</v>
      </c>
      <c r="H5194" s="1671">
        <f t="shared" si="926"/>
        <v>0</v>
      </c>
      <c r="I5194" s="688" t="s">
        <v>92</v>
      </c>
      <c r="J5194" s="1668"/>
      <c r="K5194" s="1668"/>
      <c r="L5194" s="1669"/>
    </row>
    <row r="5195" spans="1:12" s="692" customFormat="1" ht="16.5" hidden="1">
      <c r="A5195" s="1665"/>
      <c r="B5195" s="1666"/>
      <c r="C5195" s="688"/>
      <c r="D5195" s="1667"/>
      <c r="E5195" s="1671">
        <v>3.5</v>
      </c>
      <c r="F5195" s="1668"/>
      <c r="G5195" s="1671">
        <v>4</v>
      </c>
      <c r="H5195" s="1671">
        <f t="shared" si="926"/>
        <v>0</v>
      </c>
      <c r="I5195" s="688" t="s">
        <v>92</v>
      </c>
      <c r="J5195" s="1668"/>
      <c r="K5195" s="1668"/>
      <c r="L5195" s="1669"/>
    </row>
    <row r="5196" spans="1:12" s="692" customFormat="1" ht="16.5" hidden="1">
      <c r="A5196" s="1665"/>
      <c r="B5196" s="1666"/>
      <c r="C5196" s="688"/>
      <c r="D5196" s="1667"/>
      <c r="E5196" s="1671">
        <v>3.5</v>
      </c>
      <c r="F5196" s="1668"/>
      <c r="G5196" s="1671">
        <v>4</v>
      </c>
      <c r="H5196" s="1671">
        <f t="shared" si="926"/>
        <v>0</v>
      </c>
      <c r="I5196" s="688" t="s">
        <v>92</v>
      </c>
      <c r="J5196" s="1668"/>
      <c r="K5196" s="1668"/>
      <c r="L5196" s="1669"/>
    </row>
    <row r="5197" spans="1:12" s="692" customFormat="1" ht="16.5" hidden="1">
      <c r="A5197" s="1665"/>
      <c r="B5197" s="1666"/>
      <c r="C5197" s="688"/>
      <c r="D5197" s="1667"/>
      <c r="E5197" s="1671">
        <v>3.5</v>
      </c>
      <c r="F5197" s="1668"/>
      <c r="G5197" s="1671">
        <v>4</v>
      </c>
      <c r="H5197" s="1671">
        <f t="shared" si="926"/>
        <v>0</v>
      </c>
      <c r="I5197" s="688" t="s">
        <v>92</v>
      </c>
      <c r="J5197" s="1668"/>
      <c r="K5197" s="1668"/>
      <c r="L5197" s="1669"/>
    </row>
    <row r="5198" spans="1:12" s="692" customFormat="1" ht="16.5" hidden="1">
      <c r="A5198" s="1665"/>
      <c r="B5198" s="1666"/>
      <c r="C5198" s="688"/>
      <c r="D5198" s="1667"/>
      <c r="E5198" s="688"/>
      <c r="F5198" s="688"/>
      <c r="G5198" s="1674" t="s">
        <v>928</v>
      </c>
      <c r="H5198" s="1671">
        <f>SUM(H5192:H5197)</f>
        <v>0</v>
      </c>
      <c r="I5198" s="1668" t="s">
        <v>92</v>
      </c>
      <c r="J5198" s="1669">
        <f>'Lead &amp; ANALYSIS'!L988</f>
        <v>17.899999999999999</v>
      </c>
      <c r="K5198" s="1668" t="s">
        <v>1514</v>
      </c>
      <c r="L5198" s="1669">
        <f t="shared" ref="L5198" si="927">ROUND(H5198*J5198,0)</f>
        <v>0</v>
      </c>
    </row>
    <row r="5199" spans="1:12" s="692" customFormat="1" ht="66" hidden="1">
      <c r="A5199" s="1665">
        <f>'Lead &amp; ANALYSIS'!A989</f>
        <v>129</v>
      </c>
      <c r="B5199" s="1666" t="str">
        <f>'Lead &amp; ANALYSIS'!B989</f>
        <v>Colour washing three coat using shell lime with cost, conveyance of shell lime,colouring materials and cost of labour etc complete in all respect as per direction of the Engineer-in-charge.</v>
      </c>
      <c r="C5199" s="688"/>
      <c r="D5199" s="1667"/>
      <c r="E5199" s="688"/>
      <c r="F5199" s="688"/>
      <c r="G5199" s="1674"/>
      <c r="H5199" s="688"/>
      <c r="I5199" s="1668"/>
      <c r="J5199" s="1668"/>
      <c r="K5199" s="1668"/>
      <c r="L5199" s="1669"/>
    </row>
    <row r="5200" spans="1:12" s="692" customFormat="1" ht="16.5" hidden="1">
      <c r="A5200" s="1665" t="str">
        <f>'Lead &amp; ANALYSIS'!A990</f>
        <v>(i)</v>
      </c>
      <c r="B5200" s="1666" t="str">
        <f>'Lead &amp; ANALYSIS'!B990</f>
        <v>Ground Floor</v>
      </c>
      <c r="C5200" s="688"/>
      <c r="D5200" s="1667"/>
      <c r="E5200" s="688"/>
      <c r="F5200" s="688"/>
      <c r="G5200" s="1674"/>
      <c r="H5200" s="688"/>
      <c r="I5200" s="1668"/>
      <c r="J5200" s="1668"/>
      <c r="K5200" s="1668"/>
      <c r="L5200" s="1669"/>
    </row>
    <row r="5201" spans="1:12" s="692" customFormat="1" ht="16.5" hidden="1">
      <c r="A5201" s="1665"/>
      <c r="B5201" s="1666"/>
      <c r="C5201" s="688"/>
      <c r="D5201" s="1667"/>
      <c r="E5201" s="1671">
        <v>3.5</v>
      </c>
      <c r="F5201" s="1671">
        <v>4</v>
      </c>
      <c r="G5201" s="1674"/>
      <c r="H5201" s="1671">
        <f t="shared" ref="H5201:H5206" si="928">ROUND(D5201*E5201*F5201,2)</f>
        <v>0</v>
      </c>
      <c r="I5201" s="688" t="s">
        <v>92</v>
      </c>
      <c r="J5201" s="1668"/>
      <c r="K5201" s="1668"/>
      <c r="L5201" s="1669"/>
    </row>
    <row r="5202" spans="1:12" s="692" customFormat="1" ht="16.5" hidden="1">
      <c r="A5202" s="1665"/>
      <c r="B5202" s="1666"/>
      <c r="C5202" s="688"/>
      <c r="D5202" s="1667"/>
      <c r="E5202" s="1671">
        <v>3.5</v>
      </c>
      <c r="F5202" s="1671">
        <v>4</v>
      </c>
      <c r="G5202" s="1674"/>
      <c r="H5202" s="1671">
        <f t="shared" si="928"/>
        <v>0</v>
      </c>
      <c r="I5202" s="688" t="s">
        <v>92</v>
      </c>
      <c r="J5202" s="1668"/>
      <c r="K5202" s="1668"/>
      <c r="L5202" s="1669"/>
    </row>
    <row r="5203" spans="1:12" s="692" customFormat="1" ht="16.5" hidden="1">
      <c r="A5203" s="1665"/>
      <c r="B5203" s="1666"/>
      <c r="C5203" s="688"/>
      <c r="D5203" s="1667"/>
      <c r="E5203" s="1671">
        <v>3.5</v>
      </c>
      <c r="F5203" s="1671">
        <v>4</v>
      </c>
      <c r="G5203" s="1674"/>
      <c r="H5203" s="1671">
        <f t="shared" si="928"/>
        <v>0</v>
      </c>
      <c r="I5203" s="688" t="s">
        <v>92</v>
      </c>
      <c r="J5203" s="1668"/>
      <c r="K5203" s="1668"/>
      <c r="L5203" s="1669"/>
    </row>
    <row r="5204" spans="1:12" s="692" customFormat="1" ht="16.5" hidden="1">
      <c r="A5204" s="1665"/>
      <c r="B5204" s="1666"/>
      <c r="C5204" s="688"/>
      <c r="D5204" s="1667"/>
      <c r="E5204" s="1671">
        <v>3.5</v>
      </c>
      <c r="F5204" s="1671">
        <v>4</v>
      </c>
      <c r="G5204" s="1674"/>
      <c r="H5204" s="1671">
        <f t="shared" si="928"/>
        <v>0</v>
      </c>
      <c r="I5204" s="688" t="s">
        <v>92</v>
      </c>
      <c r="J5204" s="1668"/>
      <c r="K5204" s="1668"/>
      <c r="L5204" s="1669"/>
    </row>
    <row r="5205" spans="1:12" s="692" customFormat="1" ht="16.5" hidden="1">
      <c r="A5205" s="1665"/>
      <c r="B5205" s="1666"/>
      <c r="C5205" s="688"/>
      <c r="D5205" s="1667"/>
      <c r="E5205" s="1671">
        <v>3.5</v>
      </c>
      <c r="F5205" s="1671">
        <v>4</v>
      </c>
      <c r="G5205" s="1674"/>
      <c r="H5205" s="1671">
        <f t="shared" si="928"/>
        <v>0</v>
      </c>
      <c r="I5205" s="688" t="s">
        <v>92</v>
      </c>
      <c r="J5205" s="1668"/>
      <c r="K5205" s="1668"/>
      <c r="L5205" s="1669"/>
    </row>
    <row r="5206" spans="1:12" s="692" customFormat="1" ht="16.5" hidden="1">
      <c r="A5206" s="1665"/>
      <c r="B5206" s="1666"/>
      <c r="C5206" s="688"/>
      <c r="D5206" s="1667"/>
      <c r="E5206" s="1671">
        <v>3.5</v>
      </c>
      <c r="F5206" s="1671">
        <v>4</v>
      </c>
      <c r="G5206" s="1674"/>
      <c r="H5206" s="1671">
        <f t="shared" si="928"/>
        <v>0</v>
      </c>
      <c r="I5206" s="688" t="s">
        <v>92</v>
      </c>
      <c r="J5206" s="1668"/>
      <c r="K5206" s="1668"/>
      <c r="L5206" s="1669"/>
    </row>
    <row r="5207" spans="1:12" s="692" customFormat="1" ht="16.5" hidden="1">
      <c r="A5207" s="1665"/>
      <c r="B5207" s="1666"/>
      <c r="C5207" s="688"/>
      <c r="D5207" s="1667"/>
      <c r="E5207" s="688"/>
      <c r="F5207" s="688"/>
      <c r="G5207" s="1674" t="s">
        <v>928</v>
      </c>
      <c r="H5207" s="1671">
        <f>SUM(H5201:H5206)</f>
        <v>0</v>
      </c>
      <c r="I5207" s="1668" t="s">
        <v>92</v>
      </c>
      <c r="J5207" s="1669">
        <f>'Lead &amp; ANALYSIS'!L990</f>
        <v>17.2</v>
      </c>
      <c r="K5207" s="1668" t="s">
        <v>1514</v>
      </c>
      <c r="L5207" s="1669">
        <f t="shared" ref="L5207" si="929">ROUND(H5207*J5207,0)</f>
        <v>0</v>
      </c>
    </row>
    <row r="5208" spans="1:12" s="692" customFormat="1" ht="16.5" hidden="1">
      <c r="A5208" s="1665" t="str">
        <f>'Lead &amp; ANALYSIS'!A991</f>
        <v>(ii)</v>
      </c>
      <c r="B5208" s="1666" t="str">
        <f>'Lead &amp; ANALYSIS'!B991</f>
        <v>First Floor</v>
      </c>
      <c r="C5208" s="688"/>
      <c r="D5208" s="1667"/>
      <c r="E5208" s="688"/>
      <c r="F5208" s="688"/>
      <c r="G5208" s="1674"/>
      <c r="H5208" s="688"/>
      <c r="I5208" s="1668"/>
      <c r="J5208" s="1668"/>
      <c r="K5208" s="1668"/>
      <c r="L5208" s="1669"/>
    </row>
    <row r="5209" spans="1:12" s="692" customFormat="1" ht="16.5" hidden="1">
      <c r="A5209" s="1665"/>
      <c r="B5209" s="1666"/>
      <c r="C5209" s="688"/>
      <c r="D5209" s="1667"/>
      <c r="E5209" s="1671">
        <v>3.5</v>
      </c>
      <c r="F5209" s="1671">
        <v>4</v>
      </c>
      <c r="G5209" s="1674"/>
      <c r="H5209" s="1671">
        <f t="shared" ref="H5209:H5214" si="930">ROUND(D5209*E5209*F5209,2)</f>
        <v>0</v>
      </c>
      <c r="I5209" s="688" t="s">
        <v>92</v>
      </c>
      <c r="J5209" s="1668"/>
      <c r="K5209" s="1668"/>
      <c r="L5209" s="1669"/>
    </row>
    <row r="5210" spans="1:12" s="692" customFormat="1" ht="16.5" hidden="1">
      <c r="A5210" s="1665"/>
      <c r="B5210" s="1666"/>
      <c r="C5210" s="688"/>
      <c r="D5210" s="1667"/>
      <c r="E5210" s="1671">
        <v>3.5</v>
      </c>
      <c r="F5210" s="1671">
        <v>4</v>
      </c>
      <c r="G5210" s="1674"/>
      <c r="H5210" s="1671">
        <f t="shared" si="930"/>
        <v>0</v>
      </c>
      <c r="I5210" s="688" t="s">
        <v>92</v>
      </c>
      <c r="J5210" s="1668"/>
      <c r="K5210" s="1668"/>
      <c r="L5210" s="1669"/>
    </row>
    <row r="5211" spans="1:12" s="692" customFormat="1" ht="16.5" hidden="1">
      <c r="A5211" s="1665"/>
      <c r="B5211" s="1666"/>
      <c r="C5211" s="688"/>
      <c r="D5211" s="1667"/>
      <c r="E5211" s="1671">
        <v>3.5</v>
      </c>
      <c r="F5211" s="1671">
        <v>4</v>
      </c>
      <c r="G5211" s="1674"/>
      <c r="H5211" s="1671">
        <f t="shared" si="930"/>
        <v>0</v>
      </c>
      <c r="I5211" s="688" t="s">
        <v>92</v>
      </c>
      <c r="J5211" s="1668"/>
      <c r="K5211" s="1668"/>
      <c r="L5211" s="1669"/>
    </row>
    <row r="5212" spans="1:12" s="692" customFormat="1" ht="16.5" hidden="1">
      <c r="A5212" s="1665"/>
      <c r="B5212" s="1666"/>
      <c r="C5212" s="688"/>
      <c r="D5212" s="1667"/>
      <c r="E5212" s="1671">
        <v>3.5</v>
      </c>
      <c r="F5212" s="1671">
        <v>4</v>
      </c>
      <c r="G5212" s="1674"/>
      <c r="H5212" s="1671">
        <f t="shared" si="930"/>
        <v>0</v>
      </c>
      <c r="I5212" s="688" t="s">
        <v>92</v>
      </c>
      <c r="J5212" s="1668"/>
      <c r="K5212" s="1668"/>
      <c r="L5212" s="1669"/>
    </row>
    <row r="5213" spans="1:12" s="692" customFormat="1" ht="16.5" hidden="1">
      <c r="A5213" s="1665"/>
      <c r="B5213" s="1666"/>
      <c r="C5213" s="688"/>
      <c r="D5213" s="1667"/>
      <c r="E5213" s="1671">
        <v>3.5</v>
      </c>
      <c r="F5213" s="1671">
        <v>4</v>
      </c>
      <c r="G5213" s="1674"/>
      <c r="H5213" s="1671">
        <f t="shared" si="930"/>
        <v>0</v>
      </c>
      <c r="I5213" s="688" t="s">
        <v>92</v>
      </c>
      <c r="J5213" s="1668"/>
      <c r="K5213" s="1668"/>
      <c r="L5213" s="1669"/>
    </row>
    <row r="5214" spans="1:12" s="692" customFormat="1" ht="16.5" hidden="1">
      <c r="A5214" s="1665"/>
      <c r="B5214" s="1666"/>
      <c r="C5214" s="688"/>
      <c r="D5214" s="1667"/>
      <c r="E5214" s="1671">
        <v>3.5</v>
      </c>
      <c r="F5214" s="1671">
        <v>4</v>
      </c>
      <c r="G5214" s="1674"/>
      <c r="H5214" s="1671">
        <f t="shared" si="930"/>
        <v>0</v>
      </c>
      <c r="I5214" s="688" t="s">
        <v>92</v>
      </c>
      <c r="J5214" s="1668"/>
      <c r="K5214" s="1668"/>
      <c r="L5214" s="1669"/>
    </row>
    <row r="5215" spans="1:12" s="692" customFormat="1" ht="16.5" hidden="1">
      <c r="A5215" s="1665"/>
      <c r="B5215" s="1666"/>
      <c r="C5215" s="688"/>
      <c r="D5215" s="1667"/>
      <c r="E5215" s="688"/>
      <c r="F5215" s="688"/>
      <c r="G5215" s="1674" t="s">
        <v>928</v>
      </c>
      <c r="H5215" s="1671">
        <f>SUM(H5209:H5214)</f>
        <v>0</v>
      </c>
      <c r="I5215" s="1668" t="s">
        <v>92</v>
      </c>
      <c r="J5215" s="1669">
        <f>'Lead &amp; ANALYSIS'!L991</f>
        <v>17.8</v>
      </c>
      <c r="K5215" s="1668" t="s">
        <v>1514</v>
      </c>
      <c r="L5215" s="1669">
        <f t="shared" ref="L5215" si="931">ROUND(H5215*J5215,0)</f>
        <v>0</v>
      </c>
    </row>
    <row r="5216" spans="1:12" s="692" customFormat="1" ht="16.5" hidden="1">
      <c r="A5216" s="1693" t="str">
        <f>'Lead &amp; ANALYSIS'!A992</f>
        <v>(iii)</v>
      </c>
      <c r="B5216" s="1666" t="str">
        <f>'Lead &amp; ANALYSIS'!B992</f>
        <v>2nd Floor</v>
      </c>
      <c r="C5216" s="688"/>
      <c r="D5216" s="1667"/>
      <c r="E5216" s="688"/>
      <c r="F5216" s="688"/>
      <c r="G5216" s="1674"/>
      <c r="H5216" s="688"/>
      <c r="I5216" s="1668"/>
      <c r="J5216" s="1668"/>
      <c r="K5216" s="1668"/>
      <c r="L5216" s="1669"/>
    </row>
    <row r="5217" spans="1:12" s="692" customFormat="1" ht="16.5" hidden="1">
      <c r="A5217" s="1693"/>
      <c r="B5217" s="1666"/>
      <c r="C5217" s="688"/>
      <c r="D5217" s="1667"/>
      <c r="E5217" s="1671">
        <v>3.5</v>
      </c>
      <c r="F5217" s="1668"/>
      <c r="G5217" s="1671">
        <v>4</v>
      </c>
      <c r="H5217" s="1671">
        <f t="shared" ref="H5217:H5222" si="932">ROUND(D5217*E5217*G5217,2)</f>
        <v>0</v>
      </c>
      <c r="I5217" s="688" t="s">
        <v>92</v>
      </c>
      <c r="J5217" s="1668"/>
      <c r="K5217" s="1668"/>
      <c r="L5217" s="1669"/>
    </row>
    <row r="5218" spans="1:12" s="692" customFormat="1" ht="16.5" hidden="1">
      <c r="A5218" s="1693"/>
      <c r="B5218" s="1666"/>
      <c r="C5218" s="688"/>
      <c r="D5218" s="1667"/>
      <c r="E5218" s="1671">
        <v>3.5</v>
      </c>
      <c r="F5218" s="1668"/>
      <c r="G5218" s="1671">
        <v>4</v>
      </c>
      <c r="H5218" s="1671">
        <f t="shared" si="932"/>
        <v>0</v>
      </c>
      <c r="I5218" s="688" t="s">
        <v>92</v>
      </c>
      <c r="J5218" s="1668"/>
      <c r="K5218" s="1668"/>
      <c r="L5218" s="1669"/>
    </row>
    <row r="5219" spans="1:12" s="692" customFormat="1" ht="16.5" hidden="1">
      <c r="A5219" s="1693"/>
      <c r="B5219" s="1666"/>
      <c r="C5219" s="688"/>
      <c r="D5219" s="1667"/>
      <c r="E5219" s="1671">
        <v>3.5</v>
      </c>
      <c r="F5219" s="1668"/>
      <c r="G5219" s="1671">
        <v>4</v>
      </c>
      <c r="H5219" s="1671">
        <f t="shared" si="932"/>
        <v>0</v>
      </c>
      <c r="I5219" s="688" t="s">
        <v>92</v>
      </c>
      <c r="J5219" s="1668"/>
      <c r="K5219" s="1668"/>
      <c r="L5219" s="1669"/>
    </row>
    <row r="5220" spans="1:12" s="692" customFormat="1" ht="16.5" hidden="1">
      <c r="A5220" s="1693"/>
      <c r="B5220" s="1666"/>
      <c r="C5220" s="688"/>
      <c r="D5220" s="1667"/>
      <c r="E5220" s="1671">
        <v>3.5</v>
      </c>
      <c r="F5220" s="1668"/>
      <c r="G5220" s="1671">
        <v>4</v>
      </c>
      <c r="H5220" s="1671">
        <f t="shared" si="932"/>
        <v>0</v>
      </c>
      <c r="I5220" s="688" t="s">
        <v>92</v>
      </c>
      <c r="J5220" s="1668"/>
      <c r="K5220" s="1668"/>
      <c r="L5220" s="1669"/>
    </row>
    <row r="5221" spans="1:12" s="692" customFormat="1" ht="16.5" hidden="1">
      <c r="A5221" s="1693"/>
      <c r="B5221" s="1666"/>
      <c r="C5221" s="688"/>
      <c r="D5221" s="1667"/>
      <c r="E5221" s="1671">
        <v>3.5</v>
      </c>
      <c r="F5221" s="1668"/>
      <c r="G5221" s="1671">
        <v>4</v>
      </c>
      <c r="H5221" s="1671">
        <f t="shared" si="932"/>
        <v>0</v>
      </c>
      <c r="I5221" s="688" t="s">
        <v>92</v>
      </c>
      <c r="J5221" s="1668"/>
      <c r="K5221" s="1668"/>
      <c r="L5221" s="1669"/>
    </row>
    <row r="5222" spans="1:12" s="692" customFormat="1" ht="16.5" hidden="1">
      <c r="A5222" s="1693"/>
      <c r="B5222" s="1666"/>
      <c r="C5222" s="688"/>
      <c r="D5222" s="1667"/>
      <c r="E5222" s="1671">
        <v>3.5</v>
      </c>
      <c r="F5222" s="1668"/>
      <c r="G5222" s="1671">
        <v>4</v>
      </c>
      <c r="H5222" s="1671">
        <f t="shared" si="932"/>
        <v>0</v>
      </c>
      <c r="I5222" s="688" t="s">
        <v>92</v>
      </c>
      <c r="J5222" s="1668"/>
      <c r="K5222" s="1668"/>
      <c r="L5222" s="1669"/>
    </row>
    <row r="5223" spans="1:12" s="692" customFormat="1" ht="16.5" hidden="1">
      <c r="A5223" s="1693"/>
      <c r="B5223" s="1666"/>
      <c r="C5223" s="688"/>
      <c r="D5223" s="1667"/>
      <c r="E5223" s="688"/>
      <c r="F5223" s="688"/>
      <c r="G5223" s="1674" t="s">
        <v>928</v>
      </c>
      <c r="H5223" s="1671">
        <f>SUM(H5217:H5222)</f>
        <v>0</v>
      </c>
      <c r="I5223" s="1668" t="s">
        <v>92</v>
      </c>
      <c r="J5223" s="1669">
        <f>'Lead &amp; ANALYSIS'!L992</f>
        <v>19.2</v>
      </c>
      <c r="K5223" s="1668" t="s">
        <v>1514</v>
      </c>
      <c r="L5223" s="1669">
        <f t="shared" ref="L5223" si="933">ROUND(H5223*J5223,0)</f>
        <v>0</v>
      </c>
    </row>
    <row r="5224" spans="1:12" s="692" customFormat="1" ht="16.5" hidden="1">
      <c r="A5224" s="1693" t="str">
        <f>'Lead &amp; ANALYSIS'!A993</f>
        <v>(iv)</v>
      </c>
      <c r="B5224" s="1666" t="str">
        <f>'Lead &amp; ANALYSIS'!B993</f>
        <v>3rd Floor</v>
      </c>
      <c r="C5224" s="688"/>
      <c r="D5224" s="1667"/>
      <c r="E5224" s="688"/>
      <c r="F5224" s="688"/>
      <c r="G5224" s="1674"/>
      <c r="H5224" s="688"/>
      <c r="I5224" s="1668"/>
      <c r="J5224" s="1668"/>
      <c r="K5224" s="1668"/>
      <c r="L5224" s="1669"/>
    </row>
    <row r="5225" spans="1:12" s="692" customFormat="1" ht="16.5" hidden="1">
      <c r="A5225" s="1693"/>
      <c r="B5225" s="1666"/>
      <c r="C5225" s="688"/>
      <c r="D5225" s="1667"/>
      <c r="E5225" s="1671">
        <v>3.5</v>
      </c>
      <c r="F5225" s="1668"/>
      <c r="G5225" s="1671">
        <v>4</v>
      </c>
      <c r="H5225" s="1671">
        <f t="shared" ref="H5225:H5230" si="934">ROUND(D5225*E5225*G5225,2)</f>
        <v>0</v>
      </c>
      <c r="I5225" s="688" t="s">
        <v>92</v>
      </c>
      <c r="J5225" s="1668"/>
      <c r="K5225" s="1668"/>
      <c r="L5225" s="1669"/>
    </row>
    <row r="5226" spans="1:12" s="692" customFormat="1" ht="16.5" hidden="1">
      <c r="A5226" s="1665"/>
      <c r="B5226" s="1666"/>
      <c r="C5226" s="688"/>
      <c r="D5226" s="1667"/>
      <c r="E5226" s="1671">
        <v>3.5</v>
      </c>
      <c r="F5226" s="1668"/>
      <c r="G5226" s="1671">
        <v>4</v>
      </c>
      <c r="H5226" s="1671">
        <f t="shared" si="934"/>
        <v>0</v>
      </c>
      <c r="I5226" s="688" t="s">
        <v>92</v>
      </c>
      <c r="J5226" s="1668"/>
      <c r="K5226" s="1668"/>
      <c r="L5226" s="1669"/>
    </row>
    <row r="5227" spans="1:12" s="692" customFormat="1" ht="16.5" hidden="1">
      <c r="A5227" s="1665"/>
      <c r="B5227" s="1666"/>
      <c r="C5227" s="688"/>
      <c r="D5227" s="1667"/>
      <c r="E5227" s="1671">
        <v>3.5</v>
      </c>
      <c r="F5227" s="1668"/>
      <c r="G5227" s="1671">
        <v>4</v>
      </c>
      <c r="H5227" s="1671">
        <f t="shared" si="934"/>
        <v>0</v>
      </c>
      <c r="I5227" s="688" t="s">
        <v>92</v>
      </c>
      <c r="J5227" s="1668"/>
      <c r="K5227" s="1668"/>
      <c r="L5227" s="1669"/>
    </row>
    <row r="5228" spans="1:12" s="692" customFormat="1" ht="16.5" hidden="1">
      <c r="A5228" s="1665"/>
      <c r="B5228" s="1666"/>
      <c r="C5228" s="688"/>
      <c r="D5228" s="1667"/>
      <c r="E5228" s="1671">
        <v>3.5</v>
      </c>
      <c r="F5228" s="1668"/>
      <c r="G5228" s="1671">
        <v>4</v>
      </c>
      <c r="H5228" s="1671">
        <f t="shared" si="934"/>
        <v>0</v>
      </c>
      <c r="I5228" s="688" t="s">
        <v>92</v>
      </c>
      <c r="J5228" s="1668"/>
      <c r="K5228" s="1668"/>
      <c r="L5228" s="1669"/>
    </row>
    <row r="5229" spans="1:12" s="692" customFormat="1" ht="16.5" hidden="1">
      <c r="A5229" s="1665"/>
      <c r="B5229" s="1666"/>
      <c r="C5229" s="688"/>
      <c r="D5229" s="1667"/>
      <c r="E5229" s="1671">
        <v>3.5</v>
      </c>
      <c r="F5229" s="1668"/>
      <c r="G5229" s="1671">
        <v>4</v>
      </c>
      <c r="H5229" s="1671">
        <f t="shared" si="934"/>
        <v>0</v>
      </c>
      <c r="I5229" s="688" t="s">
        <v>92</v>
      </c>
      <c r="J5229" s="1668"/>
      <c r="K5229" s="1668"/>
      <c r="L5229" s="1669"/>
    </row>
    <row r="5230" spans="1:12" s="692" customFormat="1" ht="16.5" hidden="1">
      <c r="A5230" s="1665"/>
      <c r="B5230" s="1666"/>
      <c r="C5230" s="688"/>
      <c r="D5230" s="1667"/>
      <c r="E5230" s="1671">
        <v>3.5</v>
      </c>
      <c r="F5230" s="1668"/>
      <c r="G5230" s="1671">
        <v>4</v>
      </c>
      <c r="H5230" s="1671">
        <f t="shared" si="934"/>
        <v>0</v>
      </c>
      <c r="I5230" s="688" t="s">
        <v>92</v>
      </c>
      <c r="J5230" s="1668"/>
      <c r="K5230" s="1668"/>
      <c r="L5230" s="1669"/>
    </row>
    <row r="5231" spans="1:12" s="692" customFormat="1" ht="16.5" hidden="1">
      <c r="A5231" s="1665"/>
      <c r="B5231" s="1666"/>
      <c r="C5231" s="688"/>
      <c r="D5231" s="1667"/>
      <c r="E5231" s="688"/>
      <c r="F5231" s="688"/>
      <c r="G5231" s="1674" t="s">
        <v>928</v>
      </c>
      <c r="H5231" s="1671">
        <f>SUM(H5225:H5230)</f>
        <v>0</v>
      </c>
      <c r="I5231" s="1668" t="s">
        <v>92</v>
      </c>
      <c r="J5231" s="1669">
        <f>'Lead &amp; ANALYSIS'!L993</f>
        <v>20.6</v>
      </c>
      <c r="K5231" s="1668" t="s">
        <v>1514</v>
      </c>
      <c r="L5231" s="1669">
        <f t="shared" ref="L5231" si="935">ROUND(H5231*J5231,0)</f>
        <v>0</v>
      </c>
    </row>
    <row r="5232" spans="1:12" s="692" customFormat="1" ht="82.5" hidden="1">
      <c r="A5232" s="1665">
        <f>'Lead &amp; ANALYSIS'!A994</f>
        <v>130</v>
      </c>
      <c r="B5232" s="1666" t="str">
        <f>'Lead &amp; ANALYSIS'!B994</f>
        <v>Painting two coats with approved enamel paints of approved colour, shade  over old Iron work including sand papering, polishing the surface, etc, complete as per specification &amp; direction of Engineer-in-charge.</v>
      </c>
      <c r="C5232" s="688"/>
      <c r="D5232" s="1667"/>
      <c r="E5232" s="688"/>
      <c r="F5232" s="688"/>
      <c r="G5232" s="1674"/>
      <c r="H5232" s="688"/>
      <c r="I5232" s="1668"/>
      <c r="J5232" s="1668"/>
      <c r="K5232" s="1668"/>
      <c r="L5232" s="1669"/>
    </row>
    <row r="5233" spans="1:12" s="692" customFormat="1" ht="16.5" hidden="1">
      <c r="A5233" s="1665" t="str">
        <f>'Lead &amp; ANALYSIS'!A995</f>
        <v>(i)</v>
      </c>
      <c r="B5233" s="1666" t="str">
        <f>'Lead &amp; ANALYSIS'!B995</f>
        <v>Ground Floor</v>
      </c>
      <c r="C5233" s="688"/>
      <c r="D5233" s="1667"/>
      <c r="E5233" s="688"/>
      <c r="F5233" s="688"/>
      <c r="G5233" s="1674"/>
      <c r="H5233" s="688"/>
      <c r="I5233" s="1668"/>
      <c r="J5233" s="1668"/>
      <c r="K5233" s="1668"/>
      <c r="L5233" s="1669"/>
    </row>
    <row r="5234" spans="1:12" s="692" customFormat="1" ht="16.5" hidden="1">
      <c r="A5234" s="1665"/>
      <c r="B5234" s="1666"/>
      <c r="C5234" s="688"/>
      <c r="D5234" s="1667"/>
      <c r="E5234" s="1671">
        <v>3.5</v>
      </c>
      <c r="F5234" s="1671">
        <v>4</v>
      </c>
      <c r="G5234" s="1674"/>
      <c r="H5234" s="1671">
        <f t="shared" ref="H5234:H5239" si="936">ROUND(D5234*E5234*F5234,2)</f>
        <v>0</v>
      </c>
      <c r="I5234" s="688" t="s">
        <v>92</v>
      </c>
      <c r="J5234" s="1668"/>
      <c r="K5234" s="1668"/>
      <c r="L5234" s="1669"/>
    </row>
    <row r="5235" spans="1:12" s="692" customFormat="1" ht="16.5" hidden="1">
      <c r="A5235" s="1665"/>
      <c r="B5235" s="1666"/>
      <c r="C5235" s="688"/>
      <c r="D5235" s="1667"/>
      <c r="E5235" s="1671">
        <v>3.5</v>
      </c>
      <c r="F5235" s="1671">
        <v>4</v>
      </c>
      <c r="G5235" s="1674"/>
      <c r="H5235" s="1671">
        <f t="shared" si="936"/>
        <v>0</v>
      </c>
      <c r="I5235" s="688" t="s">
        <v>92</v>
      </c>
      <c r="J5235" s="1668"/>
      <c r="K5235" s="1668"/>
      <c r="L5235" s="1669"/>
    </row>
    <row r="5236" spans="1:12" s="692" customFormat="1" ht="16.5" hidden="1">
      <c r="A5236" s="1665"/>
      <c r="B5236" s="1666"/>
      <c r="C5236" s="688"/>
      <c r="D5236" s="1667"/>
      <c r="E5236" s="1671">
        <v>3.5</v>
      </c>
      <c r="F5236" s="1671">
        <v>4</v>
      </c>
      <c r="G5236" s="1674"/>
      <c r="H5236" s="1671">
        <f t="shared" si="936"/>
        <v>0</v>
      </c>
      <c r="I5236" s="688" t="s">
        <v>92</v>
      </c>
      <c r="J5236" s="1668"/>
      <c r="K5236" s="1668"/>
      <c r="L5236" s="1669"/>
    </row>
    <row r="5237" spans="1:12" s="692" customFormat="1" ht="16.5" hidden="1">
      <c r="A5237" s="1665"/>
      <c r="B5237" s="1666"/>
      <c r="C5237" s="688"/>
      <c r="D5237" s="1667"/>
      <c r="E5237" s="1671">
        <v>3.5</v>
      </c>
      <c r="F5237" s="1671">
        <v>4</v>
      </c>
      <c r="G5237" s="1674"/>
      <c r="H5237" s="1671">
        <f t="shared" si="936"/>
        <v>0</v>
      </c>
      <c r="I5237" s="688" t="s">
        <v>92</v>
      </c>
      <c r="J5237" s="1668"/>
      <c r="K5237" s="1668"/>
      <c r="L5237" s="1669"/>
    </row>
    <row r="5238" spans="1:12" s="692" customFormat="1" ht="16.5" hidden="1">
      <c r="A5238" s="1665"/>
      <c r="B5238" s="1666"/>
      <c r="C5238" s="688"/>
      <c r="D5238" s="1667"/>
      <c r="E5238" s="1671">
        <v>3.5</v>
      </c>
      <c r="F5238" s="1671">
        <v>4</v>
      </c>
      <c r="G5238" s="1674"/>
      <c r="H5238" s="1671">
        <f t="shared" si="936"/>
        <v>0</v>
      </c>
      <c r="I5238" s="688" t="s">
        <v>92</v>
      </c>
      <c r="J5238" s="1668"/>
      <c r="K5238" s="1668"/>
      <c r="L5238" s="1669"/>
    </row>
    <row r="5239" spans="1:12" s="692" customFormat="1" ht="16.5" hidden="1">
      <c r="A5239" s="1665"/>
      <c r="B5239" s="1666"/>
      <c r="C5239" s="688"/>
      <c r="D5239" s="1667"/>
      <c r="E5239" s="1671">
        <v>3.5</v>
      </c>
      <c r="F5239" s="1671">
        <v>4</v>
      </c>
      <c r="G5239" s="1674"/>
      <c r="H5239" s="1671">
        <f t="shared" si="936"/>
        <v>0</v>
      </c>
      <c r="I5239" s="688" t="s">
        <v>92</v>
      </c>
      <c r="J5239" s="1668"/>
      <c r="K5239" s="1668"/>
      <c r="L5239" s="1669"/>
    </row>
    <row r="5240" spans="1:12" s="692" customFormat="1" ht="16.5" hidden="1">
      <c r="A5240" s="1665"/>
      <c r="B5240" s="1666"/>
      <c r="C5240" s="688"/>
      <c r="D5240" s="1667"/>
      <c r="E5240" s="688"/>
      <c r="F5240" s="688"/>
      <c r="G5240" s="1674" t="s">
        <v>928</v>
      </c>
      <c r="H5240" s="1671">
        <f>SUM(H5234:H5239)</f>
        <v>0</v>
      </c>
      <c r="I5240" s="1668" t="s">
        <v>92</v>
      </c>
      <c r="J5240" s="1669">
        <f>'Lead &amp; ANALYSIS'!L995</f>
        <v>140.80000000000001</v>
      </c>
      <c r="K5240" s="1668" t="s">
        <v>1514</v>
      </c>
      <c r="L5240" s="1669">
        <f t="shared" ref="L5240" si="937">ROUND(H5240*J5240,0)</f>
        <v>0</v>
      </c>
    </row>
    <row r="5241" spans="1:12" s="692" customFormat="1" ht="16.5" hidden="1">
      <c r="A5241" s="1665" t="str">
        <f>'Lead &amp; ANALYSIS'!A996</f>
        <v>(ii)</v>
      </c>
      <c r="B5241" s="1666" t="str">
        <f>'Lead &amp; ANALYSIS'!B996</f>
        <v>First Floor</v>
      </c>
      <c r="C5241" s="688"/>
      <c r="D5241" s="1667"/>
      <c r="E5241" s="688"/>
      <c r="F5241" s="688"/>
      <c r="G5241" s="1674"/>
      <c r="H5241" s="688"/>
      <c r="I5241" s="1668"/>
      <c r="J5241" s="1668"/>
      <c r="K5241" s="1668"/>
      <c r="L5241" s="1669"/>
    </row>
    <row r="5242" spans="1:12" s="692" customFormat="1" ht="16.5" hidden="1">
      <c r="A5242" s="1665"/>
      <c r="B5242" s="1666"/>
      <c r="C5242" s="688"/>
      <c r="D5242" s="1667"/>
      <c r="E5242" s="1671">
        <v>3.5</v>
      </c>
      <c r="F5242" s="1671">
        <v>4</v>
      </c>
      <c r="G5242" s="1674"/>
      <c r="H5242" s="1671">
        <f t="shared" ref="H5242:H5247" si="938">ROUND(D5242*E5242*F5242,2)</f>
        <v>0</v>
      </c>
      <c r="I5242" s="688" t="s">
        <v>92</v>
      </c>
      <c r="J5242" s="1668"/>
      <c r="K5242" s="1668"/>
      <c r="L5242" s="1669"/>
    </row>
    <row r="5243" spans="1:12" s="692" customFormat="1" ht="16.5" hidden="1">
      <c r="A5243" s="1665"/>
      <c r="B5243" s="1666"/>
      <c r="C5243" s="688"/>
      <c r="D5243" s="1667"/>
      <c r="E5243" s="1671">
        <v>3.5</v>
      </c>
      <c r="F5243" s="1671">
        <v>4</v>
      </c>
      <c r="G5243" s="1674"/>
      <c r="H5243" s="1671">
        <f t="shared" si="938"/>
        <v>0</v>
      </c>
      <c r="I5243" s="688" t="s">
        <v>92</v>
      </c>
      <c r="J5243" s="1668"/>
      <c r="K5243" s="1668"/>
      <c r="L5243" s="1669"/>
    </row>
    <row r="5244" spans="1:12" s="692" customFormat="1" ht="16.5" hidden="1">
      <c r="A5244" s="1665"/>
      <c r="B5244" s="1666"/>
      <c r="C5244" s="688"/>
      <c r="D5244" s="1667"/>
      <c r="E5244" s="1671">
        <v>3.5</v>
      </c>
      <c r="F5244" s="1671">
        <v>4</v>
      </c>
      <c r="G5244" s="1674"/>
      <c r="H5244" s="1671">
        <f t="shared" si="938"/>
        <v>0</v>
      </c>
      <c r="I5244" s="688" t="s">
        <v>92</v>
      </c>
      <c r="J5244" s="1668"/>
      <c r="K5244" s="1668"/>
      <c r="L5244" s="1669"/>
    </row>
    <row r="5245" spans="1:12" s="692" customFormat="1" ht="16.5" hidden="1">
      <c r="A5245" s="1665"/>
      <c r="B5245" s="1666"/>
      <c r="C5245" s="688"/>
      <c r="D5245" s="1667"/>
      <c r="E5245" s="1671">
        <v>3.5</v>
      </c>
      <c r="F5245" s="1671">
        <v>4</v>
      </c>
      <c r="G5245" s="1674"/>
      <c r="H5245" s="1671">
        <f t="shared" si="938"/>
        <v>0</v>
      </c>
      <c r="I5245" s="688" t="s">
        <v>92</v>
      </c>
      <c r="J5245" s="1668"/>
      <c r="K5245" s="1668"/>
      <c r="L5245" s="1669"/>
    </row>
    <row r="5246" spans="1:12" s="692" customFormat="1" ht="16.5" hidden="1">
      <c r="A5246" s="1665"/>
      <c r="B5246" s="1666"/>
      <c r="C5246" s="688"/>
      <c r="D5246" s="1667"/>
      <c r="E5246" s="1671">
        <v>3.5</v>
      </c>
      <c r="F5246" s="1671">
        <v>4</v>
      </c>
      <c r="G5246" s="1674"/>
      <c r="H5246" s="1671">
        <f t="shared" si="938"/>
        <v>0</v>
      </c>
      <c r="I5246" s="688" t="s">
        <v>92</v>
      </c>
      <c r="J5246" s="1668"/>
      <c r="K5246" s="1668"/>
      <c r="L5246" s="1669"/>
    </row>
    <row r="5247" spans="1:12" s="692" customFormat="1" ht="16.5" hidden="1">
      <c r="A5247" s="1665"/>
      <c r="B5247" s="1666"/>
      <c r="C5247" s="688"/>
      <c r="D5247" s="1667"/>
      <c r="E5247" s="1671">
        <v>3.5</v>
      </c>
      <c r="F5247" s="1671">
        <v>4</v>
      </c>
      <c r="G5247" s="1674"/>
      <c r="H5247" s="1671">
        <f t="shared" si="938"/>
        <v>0</v>
      </c>
      <c r="I5247" s="688" t="s">
        <v>92</v>
      </c>
      <c r="J5247" s="1668"/>
      <c r="K5247" s="1668"/>
      <c r="L5247" s="1669"/>
    </row>
    <row r="5248" spans="1:12" s="692" customFormat="1" ht="16.5" hidden="1">
      <c r="A5248" s="1665"/>
      <c r="B5248" s="1666"/>
      <c r="C5248" s="688"/>
      <c r="D5248" s="1667"/>
      <c r="E5248" s="688"/>
      <c r="F5248" s="688"/>
      <c r="G5248" s="1674" t="s">
        <v>928</v>
      </c>
      <c r="H5248" s="1671">
        <f>SUM(H5242:H5247)</f>
        <v>0</v>
      </c>
      <c r="I5248" s="1668" t="s">
        <v>92</v>
      </c>
      <c r="J5248" s="1669">
        <f>'Lead &amp; ANALYSIS'!L996</f>
        <v>144.1</v>
      </c>
      <c r="K5248" s="1668" t="s">
        <v>1514</v>
      </c>
      <c r="L5248" s="1669">
        <f t="shared" ref="L5248" si="939">ROUND(H5248*J5248,0)</f>
        <v>0</v>
      </c>
    </row>
    <row r="5249" spans="1:12" s="692" customFormat="1" ht="16.5" hidden="1">
      <c r="A5249" s="1693" t="str">
        <f>'Lead &amp; ANALYSIS'!A997</f>
        <v>(iii)</v>
      </c>
      <c r="B5249" s="1666" t="str">
        <f>'Lead &amp; ANALYSIS'!B997</f>
        <v>2nd Floor</v>
      </c>
      <c r="C5249" s="688"/>
      <c r="D5249" s="1667"/>
      <c r="E5249" s="688"/>
      <c r="F5249" s="688"/>
      <c r="G5249" s="1674"/>
      <c r="H5249" s="688"/>
      <c r="I5249" s="1668"/>
      <c r="J5249" s="1668"/>
      <c r="K5249" s="1668"/>
      <c r="L5249" s="1669"/>
    </row>
    <row r="5250" spans="1:12" s="692" customFormat="1" ht="16.5" hidden="1">
      <c r="A5250" s="1693"/>
      <c r="B5250" s="1666"/>
      <c r="C5250" s="688"/>
      <c r="D5250" s="1667"/>
      <c r="E5250" s="1671">
        <v>3.5</v>
      </c>
      <c r="F5250" s="1668"/>
      <c r="G5250" s="1671">
        <v>4</v>
      </c>
      <c r="H5250" s="1671">
        <f t="shared" ref="H5250:H5255" si="940">ROUND(D5250*E5250*G5250,2)</f>
        <v>0</v>
      </c>
      <c r="I5250" s="688" t="s">
        <v>92</v>
      </c>
      <c r="J5250" s="1668"/>
      <c r="K5250" s="1668"/>
      <c r="L5250" s="1669"/>
    </row>
    <row r="5251" spans="1:12" s="692" customFormat="1" ht="16.5" hidden="1">
      <c r="A5251" s="1693"/>
      <c r="B5251" s="1666"/>
      <c r="C5251" s="688"/>
      <c r="D5251" s="1667"/>
      <c r="E5251" s="1671">
        <v>3.5</v>
      </c>
      <c r="F5251" s="1668"/>
      <c r="G5251" s="1671">
        <v>4</v>
      </c>
      <c r="H5251" s="1671">
        <f t="shared" si="940"/>
        <v>0</v>
      </c>
      <c r="I5251" s="688" t="s">
        <v>92</v>
      </c>
      <c r="J5251" s="1668"/>
      <c r="K5251" s="1668"/>
      <c r="L5251" s="1669"/>
    </row>
    <row r="5252" spans="1:12" s="692" customFormat="1" ht="16.5" hidden="1">
      <c r="A5252" s="1693"/>
      <c r="B5252" s="1666"/>
      <c r="C5252" s="688"/>
      <c r="D5252" s="1667"/>
      <c r="E5252" s="1671">
        <v>3.5</v>
      </c>
      <c r="F5252" s="1668"/>
      <c r="G5252" s="1671">
        <v>4</v>
      </c>
      <c r="H5252" s="1671">
        <f t="shared" si="940"/>
        <v>0</v>
      </c>
      <c r="I5252" s="688" t="s">
        <v>92</v>
      </c>
      <c r="J5252" s="1668"/>
      <c r="K5252" s="1668"/>
      <c r="L5252" s="1669"/>
    </row>
    <row r="5253" spans="1:12" s="692" customFormat="1" ht="16.5" hidden="1">
      <c r="A5253" s="1693"/>
      <c r="B5253" s="1666"/>
      <c r="C5253" s="688"/>
      <c r="D5253" s="1667"/>
      <c r="E5253" s="1671">
        <v>3.5</v>
      </c>
      <c r="F5253" s="1668"/>
      <c r="G5253" s="1671">
        <v>4</v>
      </c>
      <c r="H5253" s="1671">
        <f t="shared" si="940"/>
        <v>0</v>
      </c>
      <c r="I5253" s="688" t="s">
        <v>92</v>
      </c>
      <c r="J5253" s="1668"/>
      <c r="K5253" s="1668"/>
      <c r="L5253" s="1669"/>
    </row>
    <row r="5254" spans="1:12" s="692" customFormat="1" ht="16.5" hidden="1">
      <c r="A5254" s="1693"/>
      <c r="B5254" s="1666"/>
      <c r="C5254" s="688"/>
      <c r="D5254" s="1667"/>
      <c r="E5254" s="1671">
        <v>3.5</v>
      </c>
      <c r="F5254" s="1668"/>
      <c r="G5254" s="1671">
        <v>4</v>
      </c>
      <c r="H5254" s="1671">
        <f t="shared" si="940"/>
        <v>0</v>
      </c>
      <c r="I5254" s="688" t="s">
        <v>92</v>
      </c>
      <c r="J5254" s="1668"/>
      <c r="K5254" s="1668"/>
      <c r="L5254" s="1669"/>
    </row>
    <row r="5255" spans="1:12" s="692" customFormat="1" ht="16.5" hidden="1">
      <c r="A5255" s="1693"/>
      <c r="B5255" s="1666"/>
      <c r="C5255" s="688"/>
      <c r="D5255" s="1667"/>
      <c r="E5255" s="1671">
        <v>3.5</v>
      </c>
      <c r="F5255" s="1668"/>
      <c r="G5255" s="1671">
        <v>4</v>
      </c>
      <c r="H5255" s="1671">
        <f t="shared" si="940"/>
        <v>0</v>
      </c>
      <c r="I5255" s="688" t="s">
        <v>92</v>
      </c>
      <c r="J5255" s="1668"/>
      <c r="K5255" s="1668"/>
      <c r="L5255" s="1669"/>
    </row>
    <row r="5256" spans="1:12" s="692" customFormat="1" ht="16.5" hidden="1">
      <c r="A5256" s="1693"/>
      <c r="B5256" s="1666"/>
      <c r="C5256" s="688"/>
      <c r="D5256" s="1667"/>
      <c r="E5256" s="688"/>
      <c r="F5256" s="688"/>
      <c r="G5256" s="1674" t="s">
        <v>928</v>
      </c>
      <c r="H5256" s="1671">
        <f>SUM(H5250:H5255)</f>
        <v>0</v>
      </c>
      <c r="I5256" s="1668" t="s">
        <v>92</v>
      </c>
      <c r="J5256" s="1669">
        <f>'Lead &amp; ANALYSIS'!L997</f>
        <v>147.4</v>
      </c>
      <c r="K5256" s="1668" t="s">
        <v>1514</v>
      </c>
      <c r="L5256" s="1669">
        <f t="shared" ref="L5256" si="941">ROUND(H5256*J5256,0)</f>
        <v>0</v>
      </c>
    </row>
    <row r="5257" spans="1:12" s="692" customFormat="1" ht="16.5" hidden="1">
      <c r="A5257" s="1693" t="str">
        <f>'Lead &amp; ANALYSIS'!A998</f>
        <v>(iv)</v>
      </c>
      <c r="B5257" s="1666" t="str">
        <f>'Lead &amp; ANALYSIS'!B998</f>
        <v>3rd Floor</v>
      </c>
      <c r="C5257" s="688"/>
      <c r="D5257" s="1667"/>
      <c r="E5257" s="688"/>
      <c r="F5257" s="688"/>
      <c r="G5257" s="1674"/>
      <c r="H5257" s="688"/>
      <c r="I5257" s="1668"/>
      <c r="J5257" s="1668"/>
      <c r="K5257" s="1668"/>
      <c r="L5257" s="1669"/>
    </row>
    <row r="5258" spans="1:12" s="692" customFormat="1" ht="16.5" hidden="1">
      <c r="A5258" s="1693"/>
      <c r="B5258" s="1666"/>
      <c r="C5258" s="688"/>
      <c r="D5258" s="1667"/>
      <c r="E5258" s="1671">
        <v>3.5</v>
      </c>
      <c r="F5258" s="1668"/>
      <c r="G5258" s="1671">
        <v>4</v>
      </c>
      <c r="H5258" s="1671">
        <f t="shared" ref="H5258:H5263" si="942">ROUND(D5258*E5258*G5258,2)</f>
        <v>0</v>
      </c>
      <c r="I5258" s="688" t="s">
        <v>92</v>
      </c>
      <c r="J5258" s="1668"/>
      <c r="K5258" s="1668"/>
      <c r="L5258" s="1669"/>
    </row>
    <row r="5259" spans="1:12" s="692" customFormat="1" ht="16.5" hidden="1">
      <c r="A5259" s="1665"/>
      <c r="B5259" s="1666"/>
      <c r="C5259" s="688"/>
      <c r="D5259" s="1667"/>
      <c r="E5259" s="1671">
        <v>3.5</v>
      </c>
      <c r="F5259" s="1668"/>
      <c r="G5259" s="1671">
        <v>4</v>
      </c>
      <c r="H5259" s="1671">
        <f t="shared" si="942"/>
        <v>0</v>
      </c>
      <c r="I5259" s="688" t="s">
        <v>92</v>
      </c>
      <c r="J5259" s="1668"/>
      <c r="K5259" s="1668"/>
      <c r="L5259" s="1669"/>
    </row>
    <row r="5260" spans="1:12" s="692" customFormat="1" ht="16.5" hidden="1">
      <c r="A5260" s="1665"/>
      <c r="B5260" s="1666"/>
      <c r="C5260" s="688"/>
      <c r="D5260" s="1667"/>
      <c r="E5260" s="1671">
        <v>3.5</v>
      </c>
      <c r="F5260" s="1668"/>
      <c r="G5260" s="1671">
        <v>4</v>
      </c>
      <c r="H5260" s="1671">
        <f t="shared" si="942"/>
        <v>0</v>
      </c>
      <c r="I5260" s="688" t="s">
        <v>92</v>
      </c>
      <c r="J5260" s="1668"/>
      <c r="K5260" s="1668"/>
      <c r="L5260" s="1669"/>
    </row>
    <row r="5261" spans="1:12" s="692" customFormat="1" ht="16.5" hidden="1">
      <c r="A5261" s="1665"/>
      <c r="B5261" s="1666"/>
      <c r="C5261" s="688"/>
      <c r="D5261" s="1667"/>
      <c r="E5261" s="1671">
        <v>3.5</v>
      </c>
      <c r="F5261" s="1668"/>
      <c r="G5261" s="1671">
        <v>4</v>
      </c>
      <c r="H5261" s="1671">
        <f t="shared" si="942"/>
        <v>0</v>
      </c>
      <c r="I5261" s="688" t="s">
        <v>92</v>
      </c>
      <c r="J5261" s="1668"/>
      <c r="K5261" s="1668"/>
      <c r="L5261" s="1669"/>
    </row>
    <row r="5262" spans="1:12" s="692" customFormat="1" ht="16.5" hidden="1">
      <c r="A5262" s="1665"/>
      <c r="B5262" s="1666"/>
      <c r="C5262" s="688"/>
      <c r="D5262" s="1667"/>
      <c r="E5262" s="1671">
        <v>3.5</v>
      </c>
      <c r="F5262" s="1668"/>
      <c r="G5262" s="1671">
        <v>4</v>
      </c>
      <c r="H5262" s="1671">
        <f t="shared" si="942"/>
        <v>0</v>
      </c>
      <c r="I5262" s="688" t="s">
        <v>92</v>
      </c>
      <c r="J5262" s="1668"/>
      <c r="K5262" s="1668"/>
      <c r="L5262" s="1669"/>
    </row>
    <row r="5263" spans="1:12" s="692" customFormat="1" ht="16.5" hidden="1">
      <c r="A5263" s="1665"/>
      <c r="B5263" s="1666"/>
      <c r="C5263" s="688"/>
      <c r="D5263" s="1667"/>
      <c r="E5263" s="1671">
        <v>3.5</v>
      </c>
      <c r="F5263" s="1668"/>
      <c r="G5263" s="1671">
        <v>4</v>
      </c>
      <c r="H5263" s="1671">
        <f t="shared" si="942"/>
        <v>0</v>
      </c>
      <c r="I5263" s="688" t="s">
        <v>92</v>
      </c>
      <c r="J5263" s="1668"/>
      <c r="K5263" s="1668"/>
      <c r="L5263" s="1669"/>
    </row>
    <row r="5264" spans="1:12" s="692" customFormat="1" ht="16.5" hidden="1">
      <c r="A5264" s="1665"/>
      <c r="B5264" s="1666"/>
      <c r="C5264" s="688"/>
      <c r="D5264" s="1667"/>
      <c r="E5264" s="688"/>
      <c r="F5264" s="688"/>
      <c r="G5264" s="1674" t="s">
        <v>928</v>
      </c>
      <c r="H5264" s="1671">
        <f>SUM(H5258:H5263)</f>
        <v>0</v>
      </c>
      <c r="I5264" s="1668" t="s">
        <v>92</v>
      </c>
      <c r="J5264" s="1669">
        <f>'Lead &amp; ANALYSIS'!L998</f>
        <v>150.80000000000001</v>
      </c>
      <c r="K5264" s="1668" t="s">
        <v>1514</v>
      </c>
      <c r="L5264" s="1669">
        <f t="shared" ref="L5264" si="943">ROUND(H5264*J5264,0)</f>
        <v>0</v>
      </c>
    </row>
    <row r="5265" spans="1:12" s="692" customFormat="1" ht="57" customHeight="1">
      <c r="A5265" s="1665">
        <v>18</v>
      </c>
      <c r="B5265" s="1666" t="str">
        <f>'Lead &amp; ANALYSIS'!B999</f>
        <v>Painting two coats with approved enamel paints of approved colour, shade over a coat of  primer over new Iron work including sand papering, polishing the surface, etc, complete as per specification &amp; direction of Engineer-in-charge.</v>
      </c>
      <c r="C5265" s="688"/>
      <c r="D5265" s="1667"/>
      <c r="E5265" s="688"/>
      <c r="F5265" s="688"/>
      <c r="G5265" s="1674"/>
      <c r="H5265" s="688"/>
      <c r="I5265" s="1668"/>
      <c r="J5265" s="1668"/>
      <c r="K5265" s="1668"/>
      <c r="L5265" s="1669"/>
    </row>
    <row r="5266" spans="1:12" s="692" customFormat="1" ht="16.5">
      <c r="A5266" s="1665" t="str">
        <f>'Lead &amp; ANALYSIS'!A1000</f>
        <v>(i)</v>
      </c>
      <c r="B5266" s="1666" t="str">
        <f>'Lead &amp; ANALYSIS'!B1000</f>
        <v>Ground Floor</v>
      </c>
      <c r="C5266" s="688"/>
      <c r="D5266" s="1667"/>
      <c r="E5266" s="688"/>
      <c r="F5266" s="688"/>
      <c r="G5266" s="1674"/>
      <c r="H5266" s="688"/>
      <c r="I5266" s="1668"/>
      <c r="J5266" s="1668"/>
      <c r="K5266" s="1668"/>
      <c r="L5266" s="1669"/>
    </row>
    <row r="5267" spans="1:12" s="692" customFormat="1" ht="16.5">
      <c r="A5267" s="1665"/>
      <c r="B5267" s="1666" t="str">
        <f>B3026</f>
        <v>Window</v>
      </c>
      <c r="C5267" s="1671">
        <v>2.75</v>
      </c>
      <c r="D5267" s="1667">
        <v>6</v>
      </c>
      <c r="E5267" s="1671">
        <f>E3026</f>
        <v>1.2</v>
      </c>
      <c r="F5267" s="1668"/>
      <c r="G5267" s="1671">
        <f>G3026</f>
        <v>1.2</v>
      </c>
      <c r="H5267" s="1671">
        <f>ROUND(C5267*D5267*E5267*G5267,2)</f>
        <v>23.76</v>
      </c>
      <c r="I5267" s="1671" t="s">
        <v>92</v>
      </c>
      <c r="J5267" s="1668"/>
      <c r="K5267" s="1668"/>
      <c r="L5267" s="1669"/>
    </row>
    <row r="5268" spans="1:12" s="692" customFormat="1" ht="16.5">
      <c r="A5268" s="1665"/>
      <c r="B5268" s="1666" t="str">
        <f>B3027</f>
        <v>Door</v>
      </c>
      <c r="C5268" s="1671">
        <v>2.25</v>
      </c>
      <c r="D5268" s="1667">
        <v>4</v>
      </c>
      <c r="E5268" s="1671">
        <f>E3027</f>
        <v>1.2</v>
      </c>
      <c r="F5268" s="1668"/>
      <c r="G5268" s="1671">
        <f>G3027</f>
        <v>2.1</v>
      </c>
      <c r="H5268" s="1671">
        <f>ROUND(C5268*D5268*E5268*G5268,2)</f>
        <v>22.68</v>
      </c>
      <c r="I5268" s="1671" t="s">
        <v>92</v>
      </c>
      <c r="J5268" s="1668"/>
      <c r="K5268" s="1668"/>
      <c r="L5268" s="1669"/>
    </row>
    <row r="5269" spans="1:12" s="692" customFormat="1" ht="16.5" hidden="1">
      <c r="A5269" s="1665"/>
      <c r="B5269" s="1666"/>
      <c r="C5269" s="688"/>
      <c r="D5269" s="1667"/>
      <c r="E5269" s="1671">
        <f>'DRAWING CC'!AT1238</f>
        <v>0</v>
      </c>
      <c r="F5269" s="1672"/>
      <c r="G5269" s="1671">
        <f>G5268</f>
        <v>2.1</v>
      </c>
      <c r="H5269" s="1671">
        <f t="shared" ref="H5269:H5272" si="944">ROUND(D5269*E5269*G5269,2)</f>
        <v>0</v>
      </c>
      <c r="I5269" s="1671" t="s">
        <v>92</v>
      </c>
      <c r="J5269" s="1668"/>
      <c r="K5269" s="1668"/>
      <c r="L5269" s="1669"/>
    </row>
    <row r="5270" spans="1:12" s="692" customFormat="1" ht="16.5" hidden="1">
      <c r="A5270" s="1665"/>
      <c r="B5270" s="1666"/>
      <c r="C5270" s="688"/>
      <c r="D5270" s="1667"/>
      <c r="E5270" s="1671">
        <f>'DRAWING CC'!BE1238</f>
        <v>0</v>
      </c>
      <c r="F5270" s="1672"/>
      <c r="G5270" s="1671">
        <f>G5269</f>
        <v>2.1</v>
      </c>
      <c r="H5270" s="1671">
        <f t="shared" si="944"/>
        <v>0</v>
      </c>
      <c r="I5270" s="1671" t="s">
        <v>92</v>
      </c>
      <c r="J5270" s="1668"/>
      <c r="K5270" s="1668"/>
      <c r="L5270" s="1669"/>
    </row>
    <row r="5271" spans="1:12" s="692" customFormat="1" ht="16.5" hidden="1">
      <c r="A5271" s="1665"/>
      <c r="B5271" s="1666"/>
      <c r="C5271" s="688"/>
      <c r="D5271" s="1667"/>
      <c r="E5271" s="1671">
        <f>'DRAWING CC'!AW1171</f>
        <v>0</v>
      </c>
      <c r="F5271" s="1672"/>
      <c r="G5271" s="1671">
        <f>'DRAWING CC'!GM1141</f>
        <v>0</v>
      </c>
      <c r="H5271" s="1671">
        <f t="shared" si="944"/>
        <v>0</v>
      </c>
      <c r="I5271" s="1671" t="s">
        <v>92</v>
      </c>
      <c r="J5271" s="1668"/>
      <c r="K5271" s="1668"/>
      <c r="L5271" s="1669"/>
    </row>
    <row r="5272" spans="1:12" s="692" customFormat="1" ht="16.5" hidden="1">
      <c r="A5272" s="1665"/>
      <c r="B5272" s="1666"/>
      <c r="C5272" s="688"/>
      <c r="D5272" s="1667"/>
      <c r="E5272" s="1671">
        <f>'DRAWING CC'!O1215</f>
        <v>0</v>
      </c>
      <c r="F5272" s="1672"/>
      <c r="G5272" s="1671">
        <f>G5271</f>
        <v>0</v>
      </c>
      <c r="H5272" s="1671">
        <f t="shared" si="944"/>
        <v>0</v>
      </c>
      <c r="I5272" s="1671" t="s">
        <v>92</v>
      </c>
      <c r="J5272" s="1668"/>
      <c r="K5272" s="1668"/>
      <c r="L5272" s="1669"/>
    </row>
    <row r="5273" spans="1:12" s="692" customFormat="1" ht="16.5">
      <c r="A5273" s="1665"/>
      <c r="B5273" s="1666"/>
      <c r="C5273" s="688"/>
      <c r="D5273" s="1667"/>
      <c r="E5273" s="688"/>
      <c r="F5273" s="688"/>
      <c r="G5273" s="1665" t="s">
        <v>928</v>
      </c>
      <c r="H5273" s="1673">
        <f>SUM(H5267:H5272)</f>
        <v>46.44</v>
      </c>
      <c r="I5273" s="1668" t="s">
        <v>92</v>
      </c>
      <c r="J5273" s="1669">
        <f>'Lead &amp; ANALYSIS'!L1000</f>
        <v>222.5</v>
      </c>
      <c r="K5273" s="1668" t="s">
        <v>1514</v>
      </c>
      <c r="L5273" s="1669">
        <f t="shared" ref="L5273" si="945">ROUND(H5273*J5273,0)</f>
        <v>10333</v>
      </c>
    </row>
    <row r="5274" spans="1:12" s="692" customFormat="1" ht="16.5" hidden="1">
      <c r="A5274" s="1665" t="str">
        <f>'Lead &amp; ANALYSIS'!A1001</f>
        <v>(ii)</v>
      </c>
      <c r="B5274" s="1666" t="str">
        <f>'Lead &amp; ANALYSIS'!B1001</f>
        <v>First Floor</v>
      </c>
      <c r="C5274" s="688"/>
      <c r="D5274" s="1667"/>
      <c r="E5274" s="688"/>
      <c r="F5274" s="688"/>
      <c r="G5274" s="1674"/>
      <c r="H5274" s="688"/>
      <c r="I5274" s="1668"/>
      <c r="J5274" s="1668"/>
      <c r="K5274" s="1668"/>
      <c r="L5274" s="1669"/>
    </row>
    <row r="5275" spans="1:12" s="692" customFormat="1" ht="16.5" hidden="1">
      <c r="A5275" s="1665"/>
      <c r="B5275" s="1666"/>
      <c r="C5275" s="688"/>
      <c r="D5275" s="1667"/>
      <c r="E5275" s="1671">
        <v>3.5</v>
      </c>
      <c r="F5275" s="1671">
        <v>4</v>
      </c>
      <c r="G5275" s="1674"/>
      <c r="H5275" s="1671">
        <f t="shared" ref="H5275:H5280" si="946">ROUND(D5275*E5275*F5275,2)</f>
        <v>0</v>
      </c>
      <c r="I5275" s="688" t="s">
        <v>92</v>
      </c>
      <c r="J5275" s="1668"/>
      <c r="K5275" s="1668"/>
      <c r="L5275" s="1669"/>
    </row>
    <row r="5276" spans="1:12" s="692" customFormat="1" ht="16.5" hidden="1">
      <c r="A5276" s="1665"/>
      <c r="B5276" s="1666"/>
      <c r="C5276" s="688"/>
      <c r="D5276" s="1667"/>
      <c r="E5276" s="1671">
        <v>3.5</v>
      </c>
      <c r="F5276" s="1671">
        <v>4</v>
      </c>
      <c r="G5276" s="1674"/>
      <c r="H5276" s="1671">
        <f t="shared" si="946"/>
        <v>0</v>
      </c>
      <c r="I5276" s="688" t="s">
        <v>92</v>
      </c>
      <c r="J5276" s="1668"/>
      <c r="K5276" s="1668"/>
      <c r="L5276" s="1669"/>
    </row>
    <row r="5277" spans="1:12" s="692" customFormat="1" ht="16.5" hidden="1">
      <c r="A5277" s="1665"/>
      <c r="B5277" s="1666"/>
      <c r="C5277" s="688"/>
      <c r="D5277" s="1667"/>
      <c r="E5277" s="1671">
        <v>3.5</v>
      </c>
      <c r="F5277" s="1671">
        <v>4</v>
      </c>
      <c r="G5277" s="1674"/>
      <c r="H5277" s="1671">
        <f t="shared" si="946"/>
        <v>0</v>
      </c>
      <c r="I5277" s="688" t="s">
        <v>92</v>
      </c>
      <c r="J5277" s="1668"/>
      <c r="K5277" s="1668"/>
      <c r="L5277" s="1669"/>
    </row>
    <row r="5278" spans="1:12" s="692" customFormat="1" ht="16.5" hidden="1">
      <c r="A5278" s="1665"/>
      <c r="B5278" s="1666"/>
      <c r="C5278" s="688"/>
      <c r="D5278" s="1667"/>
      <c r="E5278" s="1671">
        <v>3.5</v>
      </c>
      <c r="F5278" s="1671">
        <v>4</v>
      </c>
      <c r="G5278" s="1674"/>
      <c r="H5278" s="1671">
        <f t="shared" si="946"/>
        <v>0</v>
      </c>
      <c r="I5278" s="688" t="s">
        <v>92</v>
      </c>
      <c r="J5278" s="1668"/>
      <c r="K5278" s="1668"/>
      <c r="L5278" s="1669"/>
    </row>
    <row r="5279" spans="1:12" s="692" customFormat="1" ht="16.5" hidden="1">
      <c r="A5279" s="1665"/>
      <c r="B5279" s="1666"/>
      <c r="C5279" s="688"/>
      <c r="D5279" s="1667"/>
      <c r="E5279" s="1671">
        <v>3.5</v>
      </c>
      <c r="F5279" s="1671">
        <v>4</v>
      </c>
      <c r="G5279" s="1674"/>
      <c r="H5279" s="1671">
        <f t="shared" si="946"/>
        <v>0</v>
      </c>
      <c r="I5279" s="688" t="s">
        <v>92</v>
      </c>
      <c r="J5279" s="1668"/>
      <c r="K5279" s="1668"/>
      <c r="L5279" s="1669"/>
    </row>
    <row r="5280" spans="1:12" s="692" customFormat="1" ht="16.5" hidden="1">
      <c r="A5280" s="1665"/>
      <c r="B5280" s="1666"/>
      <c r="C5280" s="688"/>
      <c r="D5280" s="1667"/>
      <c r="E5280" s="1671">
        <v>3.5</v>
      </c>
      <c r="F5280" s="1671">
        <v>4</v>
      </c>
      <c r="G5280" s="1674"/>
      <c r="H5280" s="1671">
        <f t="shared" si="946"/>
        <v>0</v>
      </c>
      <c r="I5280" s="688" t="s">
        <v>92</v>
      </c>
      <c r="J5280" s="1668"/>
      <c r="K5280" s="1668"/>
      <c r="L5280" s="1669"/>
    </row>
    <row r="5281" spans="1:12" s="692" customFormat="1" ht="16.5" hidden="1">
      <c r="A5281" s="1665"/>
      <c r="B5281" s="1666"/>
      <c r="C5281" s="688"/>
      <c r="D5281" s="1667"/>
      <c r="E5281" s="688"/>
      <c r="F5281" s="688"/>
      <c r="G5281" s="1674" t="s">
        <v>928</v>
      </c>
      <c r="H5281" s="1671">
        <f>SUM(H5275:H5280)</f>
        <v>0</v>
      </c>
      <c r="I5281" s="1668" t="s">
        <v>92</v>
      </c>
      <c r="J5281" s="1669">
        <f>'Lead &amp; ANALYSIS'!L1001</f>
        <v>230.1</v>
      </c>
      <c r="K5281" s="1668" t="s">
        <v>1514</v>
      </c>
      <c r="L5281" s="1669">
        <f t="shared" ref="L5281" si="947">ROUND(H5281*J5281,0)</f>
        <v>0</v>
      </c>
    </row>
    <row r="5282" spans="1:12" s="692" customFormat="1" ht="16.5" hidden="1">
      <c r="A5282" s="1693" t="str">
        <f>'Lead &amp; ANALYSIS'!A1002</f>
        <v>(iii)</v>
      </c>
      <c r="B5282" s="1666" t="str">
        <f>'Lead &amp; ANALYSIS'!B1002</f>
        <v>2nd Floor</v>
      </c>
      <c r="C5282" s="688"/>
      <c r="D5282" s="1667"/>
      <c r="E5282" s="688"/>
      <c r="F5282" s="688"/>
      <c r="G5282" s="1674"/>
      <c r="H5282" s="688"/>
      <c r="I5282" s="1668"/>
      <c r="J5282" s="1668"/>
      <c r="K5282" s="1668"/>
      <c r="L5282" s="1669"/>
    </row>
    <row r="5283" spans="1:12" s="692" customFormat="1" ht="16.5" hidden="1">
      <c r="A5283" s="1693"/>
      <c r="B5283" s="1666"/>
      <c r="C5283" s="688"/>
      <c r="D5283" s="1667"/>
      <c r="E5283" s="1671">
        <v>3.5</v>
      </c>
      <c r="F5283" s="1668"/>
      <c r="G5283" s="1671">
        <v>4</v>
      </c>
      <c r="H5283" s="1671">
        <f t="shared" ref="H5283:H5288" si="948">ROUND(D5283*E5283*G5283,2)</f>
        <v>0</v>
      </c>
      <c r="I5283" s="688" t="s">
        <v>92</v>
      </c>
      <c r="J5283" s="1668"/>
      <c r="K5283" s="1668"/>
      <c r="L5283" s="1669"/>
    </row>
    <row r="5284" spans="1:12" s="692" customFormat="1" ht="16.5" hidden="1">
      <c r="A5284" s="1693"/>
      <c r="B5284" s="1666"/>
      <c r="C5284" s="688"/>
      <c r="D5284" s="1667"/>
      <c r="E5284" s="1671">
        <v>3.5</v>
      </c>
      <c r="F5284" s="1668"/>
      <c r="G5284" s="1671">
        <v>4</v>
      </c>
      <c r="H5284" s="1671">
        <f t="shared" si="948"/>
        <v>0</v>
      </c>
      <c r="I5284" s="688" t="s">
        <v>92</v>
      </c>
      <c r="J5284" s="1668"/>
      <c r="K5284" s="1668"/>
      <c r="L5284" s="1669"/>
    </row>
    <row r="5285" spans="1:12" s="692" customFormat="1" ht="16.5" hidden="1">
      <c r="A5285" s="1693"/>
      <c r="B5285" s="1666"/>
      <c r="C5285" s="688"/>
      <c r="D5285" s="1667"/>
      <c r="E5285" s="1671">
        <v>3.5</v>
      </c>
      <c r="F5285" s="1668"/>
      <c r="G5285" s="1671">
        <v>4</v>
      </c>
      <c r="H5285" s="1671">
        <f t="shared" si="948"/>
        <v>0</v>
      </c>
      <c r="I5285" s="688" t="s">
        <v>92</v>
      </c>
      <c r="J5285" s="1668"/>
      <c r="K5285" s="1668"/>
      <c r="L5285" s="1669"/>
    </row>
    <row r="5286" spans="1:12" s="692" customFormat="1" ht="16.5" hidden="1">
      <c r="A5286" s="1693"/>
      <c r="B5286" s="1666"/>
      <c r="C5286" s="688"/>
      <c r="D5286" s="1667"/>
      <c r="E5286" s="1671">
        <v>3.5</v>
      </c>
      <c r="F5286" s="1668"/>
      <c r="G5286" s="1671">
        <v>4</v>
      </c>
      <c r="H5286" s="1671">
        <f t="shared" si="948"/>
        <v>0</v>
      </c>
      <c r="I5286" s="688" t="s">
        <v>92</v>
      </c>
      <c r="J5286" s="1668"/>
      <c r="K5286" s="1668"/>
      <c r="L5286" s="1669"/>
    </row>
    <row r="5287" spans="1:12" s="692" customFormat="1" ht="16.5" hidden="1">
      <c r="A5287" s="1693"/>
      <c r="B5287" s="1666"/>
      <c r="C5287" s="688"/>
      <c r="D5287" s="1667"/>
      <c r="E5287" s="1671">
        <v>3.5</v>
      </c>
      <c r="F5287" s="1668"/>
      <c r="G5287" s="1671">
        <v>4</v>
      </c>
      <c r="H5287" s="1671">
        <f t="shared" si="948"/>
        <v>0</v>
      </c>
      <c r="I5287" s="688" t="s">
        <v>92</v>
      </c>
      <c r="J5287" s="1668"/>
      <c r="K5287" s="1668"/>
      <c r="L5287" s="1669"/>
    </row>
    <row r="5288" spans="1:12" s="692" customFormat="1" ht="16.5" hidden="1">
      <c r="A5288" s="1693"/>
      <c r="B5288" s="1666"/>
      <c r="C5288" s="688"/>
      <c r="D5288" s="1667"/>
      <c r="E5288" s="1671">
        <v>3.5</v>
      </c>
      <c r="F5288" s="1668"/>
      <c r="G5288" s="1671">
        <v>4</v>
      </c>
      <c r="H5288" s="1671">
        <f t="shared" si="948"/>
        <v>0</v>
      </c>
      <c r="I5288" s="688" t="s">
        <v>92</v>
      </c>
      <c r="J5288" s="1668"/>
      <c r="K5288" s="1668"/>
      <c r="L5288" s="1669"/>
    </row>
    <row r="5289" spans="1:12" s="692" customFormat="1" ht="16.5" hidden="1">
      <c r="A5289" s="1693"/>
      <c r="B5289" s="1666"/>
      <c r="C5289" s="688"/>
      <c r="D5289" s="1667"/>
      <c r="E5289" s="688"/>
      <c r="F5289" s="688"/>
      <c r="G5289" s="1674" t="s">
        <v>928</v>
      </c>
      <c r="H5289" s="1671">
        <f>SUM(H5283:H5288)</f>
        <v>0</v>
      </c>
      <c r="I5289" s="1668" t="s">
        <v>92</v>
      </c>
      <c r="J5289" s="1669">
        <f>'Lead &amp; ANALYSIS'!L1002</f>
        <v>237.8</v>
      </c>
      <c r="K5289" s="1668" t="s">
        <v>1514</v>
      </c>
      <c r="L5289" s="1669">
        <f t="shared" ref="L5289" si="949">ROUND(H5289*J5289,0)</f>
        <v>0</v>
      </c>
    </row>
    <row r="5290" spans="1:12" s="692" customFormat="1" ht="16.5" hidden="1">
      <c r="A5290" s="1693" t="str">
        <f>'Lead &amp; ANALYSIS'!A1003</f>
        <v>(iv)</v>
      </c>
      <c r="B5290" s="1666" t="str">
        <f>'Lead &amp; ANALYSIS'!B1003</f>
        <v>3rd Floor</v>
      </c>
      <c r="C5290" s="688"/>
      <c r="D5290" s="1667"/>
      <c r="E5290" s="688"/>
      <c r="F5290" s="688"/>
      <c r="G5290" s="1674"/>
      <c r="H5290" s="688"/>
      <c r="I5290" s="1668"/>
      <c r="J5290" s="1668"/>
      <c r="K5290" s="1668"/>
      <c r="L5290" s="1669"/>
    </row>
    <row r="5291" spans="1:12" s="692" customFormat="1" ht="16.5" hidden="1">
      <c r="A5291" s="1693"/>
      <c r="B5291" s="1666"/>
      <c r="C5291" s="688"/>
      <c r="D5291" s="1667"/>
      <c r="E5291" s="1671">
        <v>3.5</v>
      </c>
      <c r="F5291" s="1668"/>
      <c r="G5291" s="1671">
        <v>4</v>
      </c>
      <c r="H5291" s="1671">
        <f t="shared" ref="H5291:H5296" si="950">ROUND(D5291*E5291*G5291,2)</f>
        <v>0</v>
      </c>
      <c r="I5291" s="688" t="s">
        <v>92</v>
      </c>
      <c r="J5291" s="1668"/>
      <c r="K5291" s="1668"/>
      <c r="L5291" s="1669"/>
    </row>
    <row r="5292" spans="1:12" s="692" customFormat="1" ht="16.5" hidden="1">
      <c r="A5292" s="1665"/>
      <c r="B5292" s="1666"/>
      <c r="C5292" s="688"/>
      <c r="D5292" s="1667"/>
      <c r="E5292" s="1671">
        <v>3.5</v>
      </c>
      <c r="F5292" s="1668"/>
      <c r="G5292" s="1671">
        <v>4</v>
      </c>
      <c r="H5292" s="1671">
        <f t="shared" si="950"/>
        <v>0</v>
      </c>
      <c r="I5292" s="688" t="s">
        <v>92</v>
      </c>
      <c r="J5292" s="1668"/>
      <c r="K5292" s="1668"/>
      <c r="L5292" s="1669"/>
    </row>
    <row r="5293" spans="1:12" s="692" customFormat="1" ht="16.5" hidden="1">
      <c r="A5293" s="1665"/>
      <c r="B5293" s="1666"/>
      <c r="C5293" s="688"/>
      <c r="D5293" s="1667"/>
      <c r="E5293" s="1671">
        <v>3.5</v>
      </c>
      <c r="F5293" s="1668"/>
      <c r="G5293" s="1671">
        <v>4</v>
      </c>
      <c r="H5293" s="1671">
        <f t="shared" si="950"/>
        <v>0</v>
      </c>
      <c r="I5293" s="688" t="s">
        <v>92</v>
      </c>
      <c r="J5293" s="1668"/>
      <c r="K5293" s="1668"/>
      <c r="L5293" s="1669"/>
    </row>
    <row r="5294" spans="1:12" s="692" customFormat="1" ht="16.5" hidden="1">
      <c r="A5294" s="1665"/>
      <c r="B5294" s="1666"/>
      <c r="C5294" s="688"/>
      <c r="D5294" s="1667"/>
      <c r="E5294" s="1671">
        <v>3.5</v>
      </c>
      <c r="F5294" s="1668"/>
      <c r="G5294" s="1671">
        <v>4</v>
      </c>
      <c r="H5294" s="1671">
        <f t="shared" si="950"/>
        <v>0</v>
      </c>
      <c r="I5294" s="688" t="s">
        <v>92</v>
      </c>
      <c r="J5294" s="1668"/>
      <c r="K5294" s="1668"/>
      <c r="L5294" s="1669"/>
    </row>
    <row r="5295" spans="1:12" s="692" customFormat="1" ht="16.5" hidden="1">
      <c r="A5295" s="1665"/>
      <c r="B5295" s="1666"/>
      <c r="C5295" s="688"/>
      <c r="D5295" s="1667"/>
      <c r="E5295" s="1671">
        <v>3.5</v>
      </c>
      <c r="F5295" s="1668"/>
      <c r="G5295" s="1671">
        <v>4</v>
      </c>
      <c r="H5295" s="1671">
        <f t="shared" si="950"/>
        <v>0</v>
      </c>
      <c r="I5295" s="688" t="s">
        <v>92</v>
      </c>
      <c r="J5295" s="1668"/>
      <c r="K5295" s="1668"/>
      <c r="L5295" s="1669"/>
    </row>
    <row r="5296" spans="1:12" s="692" customFormat="1" ht="16.5" hidden="1">
      <c r="A5296" s="1665"/>
      <c r="B5296" s="1666"/>
      <c r="C5296" s="688"/>
      <c r="D5296" s="1667"/>
      <c r="E5296" s="1671">
        <v>3.5</v>
      </c>
      <c r="F5296" s="1668"/>
      <c r="G5296" s="1671">
        <v>4</v>
      </c>
      <c r="H5296" s="1671">
        <f t="shared" si="950"/>
        <v>0</v>
      </c>
      <c r="I5296" s="688" t="s">
        <v>92</v>
      </c>
      <c r="J5296" s="1668"/>
      <c r="K5296" s="1668"/>
      <c r="L5296" s="1669"/>
    </row>
    <row r="5297" spans="1:12" s="692" customFormat="1" ht="16.5" hidden="1">
      <c r="A5297" s="1665"/>
      <c r="B5297" s="1666"/>
      <c r="C5297" s="688"/>
      <c r="D5297" s="1667"/>
      <c r="E5297" s="688"/>
      <c r="F5297" s="688"/>
      <c r="G5297" s="1674" t="s">
        <v>928</v>
      </c>
      <c r="H5297" s="1671">
        <f>SUM(H5291:H5296)</f>
        <v>0</v>
      </c>
      <c r="I5297" s="1668" t="s">
        <v>92</v>
      </c>
      <c r="J5297" s="1669">
        <f>'Lead &amp; ANALYSIS'!L1003</f>
        <v>245.8</v>
      </c>
      <c r="K5297" s="1668" t="s">
        <v>1514</v>
      </c>
      <c r="L5297" s="1669">
        <f t="shared" ref="L5297" si="951">ROUND(H5297*J5297,0)</f>
        <v>0</v>
      </c>
    </row>
    <row r="5298" spans="1:12" s="692" customFormat="1" ht="33" hidden="1">
      <c r="A5298" s="1665">
        <f>'Lead &amp; ANALYSIS'!A1004</f>
        <v>132</v>
      </c>
      <c r="B5298" s="1666" t="str">
        <f>'Lead &amp; ANALYSIS'!B1004</f>
        <v>Coaltaring two coat on wood surface used in purlin and rafter for AC sheet roofing etc complete.</v>
      </c>
      <c r="C5298" s="688"/>
      <c r="D5298" s="1667"/>
      <c r="E5298" s="688"/>
      <c r="F5298" s="688"/>
      <c r="G5298" s="1674"/>
      <c r="H5298" s="688"/>
      <c r="I5298" s="1668"/>
      <c r="J5298" s="1668"/>
      <c r="K5298" s="1668"/>
      <c r="L5298" s="1669"/>
    </row>
    <row r="5299" spans="1:12" s="692" customFormat="1" ht="16.5" hidden="1">
      <c r="A5299" s="1665" t="str">
        <f>'Lead &amp; ANALYSIS'!A1005</f>
        <v>(i)</v>
      </c>
      <c r="B5299" s="1666" t="str">
        <f>'Lead &amp; ANALYSIS'!B1005</f>
        <v>Ground Floor</v>
      </c>
      <c r="C5299" s="688"/>
      <c r="D5299" s="1667"/>
      <c r="E5299" s="688"/>
      <c r="F5299" s="688"/>
      <c r="G5299" s="1674"/>
      <c r="H5299" s="688"/>
      <c r="I5299" s="1668"/>
      <c r="J5299" s="1668"/>
      <c r="K5299" s="1668"/>
      <c r="L5299" s="1669"/>
    </row>
    <row r="5300" spans="1:12" s="692" customFormat="1" ht="16.5" hidden="1">
      <c r="A5300" s="1665"/>
      <c r="B5300" s="1666"/>
      <c r="C5300" s="688"/>
      <c r="D5300" s="1667"/>
      <c r="E5300" s="1671">
        <v>3.5</v>
      </c>
      <c r="F5300" s="1671">
        <v>4</v>
      </c>
      <c r="G5300" s="1674"/>
      <c r="H5300" s="1671">
        <f t="shared" ref="H5300:H5305" si="952">ROUND(D5300*E5300*F5300,2)</f>
        <v>0</v>
      </c>
      <c r="I5300" s="688" t="s">
        <v>92</v>
      </c>
      <c r="J5300" s="1668"/>
      <c r="K5300" s="1668"/>
      <c r="L5300" s="1669"/>
    </row>
    <row r="5301" spans="1:12" s="692" customFormat="1" ht="16.5" hidden="1">
      <c r="A5301" s="1665"/>
      <c r="B5301" s="1666"/>
      <c r="C5301" s="688"/>
      <c r="D5301" s="1667"/>
      <c r="E5301" s="1671">
        <v>3.5</v>
      </c>
      <c r="F5301" s="1671">
        <v>4</v>
      </c>
      <c r="G5301" s="1674"/>
      <c r="H5301" s="1671">
        <f t="shared" si="952"/>
        <v>0</v>
      </c>
      <c r="I5301" s="688" t="s">
        <v>92</v>
      </c>
      <c r="J5301" s="1668"/>
      <c r="K5301" s="1668"/>
      <c r="L5301" s="1669"/>
    </row>
    <row r="5302" spans="1:12" s="692" customFormat="1" ht="16.5" hidden="1">
      <c r="A5302" s="1665"/>
      <c r="B5302" s="1666"/>
      <c r="C5302" s="688"/>
      <c r="D5302" s="1667"/>
      <c r="E5302" s="1671">
        <v>3.5</v>
      </c>
      <c r="F5302" s="1671">
        <v>4</v>
      </c>
      <c r="G5302" s="1674"/>
      <c r="H5302" s="1671">
        <f t="shared" si="952"/>
        <v>0</v>
      </c>
      <c r="I5302" s="688" t="s">
        <v>92</v>
      </c>
      <c r="J5302" s="1668"/>
      <c r="K5302" s="1668"/>
      <c r="L5302" s="1669"/>
    </row>
    <row r="5303" spans="1:12" s="692" customFormat="1" ht="16.5" hidden="1">
      <c r="A5303" s="1665"/>
      <c r="B5303" s="1666"/>
      <c r="C5303" s="688"/>
      <c r="D5303" s="1667"/>
      <c r="E5303" s="1671">
        <v>3.5</v>
      </c>
      <c r="F5303" s="1671">
        <v>4</v>
      </c>
      <c r="G5303" s="1674"/>
      <c r="H5303" s="1671">
        <f t="shared" si="952"/>
        <v>0</v>
      </c>
      <c r="I5303" s="688" t="s">
        <v>92</v>
      </c>
      <c r="J5303" s="1668"/>
      <c r="K5303" s="1668"/>
      <c r="L5303" s="1669"/>
    </row>
    <row r="5304" spans="1:12" s="692" customFormat="1" ht="16.5" hidden="1">
      <c r="A5304" s="1665"/>
      <c r="B5304" s="1666"/>
      <c r="C5304" s="688"/>
      <c r="D5304" s="1667"/>
      <c r="E5304" s="1671">
        <v>3.5</v>
      </c>
      <c r="F5304" s="1671">
        <v>4</v>
      </c>
      <c r="G5304" s="1674"/>
      <c r="H5304" s="1671">
        <f t="shared" si="952"/>
        <v>0</v>
      </c>
      <c r="I5304" s="688" t="s">
        <v>92</v>
      </c>
      <c r="J5304" s="1668"/>
      <c r="K5304" s="1668"/>
      <c r="L5304" s="1669"/>
    </row>
    <row r="5305" spans="1:12" s="692" customFormat="1" ht="16.5" hidden="1">
      <c r="A5305" s="1665"/>
      <c r="B5305" s="1666"/>
      <c r="C5305" s="688"/>
      <c r="D5305" s="1667"/>
      <c r="E5305" s="1671">
        <v>3.5</v>
      </c>
      <c r="F5305" s="1671">
        <v>4</v>
      </c>
      <c r="G5305" s="1674"/>
      <c r="H5305" s="1671">
        <f t="shared" si="952"/>
        <v>0</v>
      </c>
      <c r="I5305" s="688" t="s">
        <v>92</v>
      </c>
      <c r="J5305" s="1668"/>
      <c r="K5305" s="1668"/>
      <c r="L5305" s="1669"/>
    </row>
    <row r="5306" spans="1:12" s="692" customFormat="1" ht="16.5" hidden="1">
      <c r="A5306" s="1665"/>
      <c r="B5306" s="1666"/>
      <c r="C5306" s="688"/>
      <c r="D5306" s="1667"/>
      <c r="E5306" s="688"/>
      <c r="F5306" s="688"/>
      <c r="G5306" s="1674" t="s">
        <v>928</v>
      </c>
      <c r="H5306" s="1671">
        <f>SUM(H5300:H5305)</f>
        <v>0</v>
      </c>
      <c r="I5306" s="1668" t="s">
        <v>92</v>
      </c>
      <c r="J5306" s="1669">
        <f>'Lead &amp; ANALYSIS'!L1005</f>
        <v>37.700000000000003</v>
      </c>
      <c r="K5306" s="1668" t="s">
        <v>1514</v>
      </c>
      <c r="L5306" s="1669">
        <f t="shared" ref="L5306" si="953">ROUND(H5306*J5306,0)</f>
        <v>0</v>
      </c>
    </row>
    <row r="5307" spans="1:12" s="692" customFormat="1" ht="16.5" hidden="1">
      <c r="A5307" s="1665" t="str">
        <f>'Lead &amp; ANALYSIS'!A1006</f>
        <v>(ii)</v>
      </c>
      <c r="B5307" s="1666" t="str">
        <f>'Lead &amp; ANALYSIS'!B1006</f>
        <v>First Floor</v>
      </c>
      <c r="C5307" s="688"/>
      <c r="D5307" s="1667"/>
      <c r="E5307" s="688"/>
      <c r="F5307" s="688"/>
      <c r="G5307" s="1674"/>
      <c r="H5307" s="688"/>
      <c r="I5307" s="1668"/>
      <c r="J5307" s="1668"/>
      <c r="K5307" s="1668"/>
      <c r="L5307" s="1669"/>
    </row>
    <row r="5308" spans="1:12" s="692" customFormat="1" ht="16.5" hidden="1">
      <c r="A5308" s="1665"/>
      <c r="B5308" s="1666"/>
      <c r="C5308" s="688"/>
      <c r="D5308" s="1667"/>
      <c r="E5308" s="1671">
        <v>3.5</v>
      </c>
      <c r="F5308" s="1671">
        <v>4</v>
      </c>
      <c r="G5308" s="1674"/>
      <c r="H5308" s="1671">
        <f t="shared" ref="H5308:H5313" si="954">ROUND(D5308*E5308*F5308,2)</f>
        <v>0</v>
      </c>
      <c r="I5308" s="688" t="s">
        <v>92</v>
      </c>
      <c r="J5308" s="1668"/>
      <c r="K5308" s="1668"/>
      <c r="L5308" s="1669"/>
    </row>
    <row r="5309" spans="1:12" s="692" customFormat="1" ht="16.5" hidden="1">
      <c r="A5309" s="1665"/>
      <c r="B5309" s="1666"/>
      <c r="C5309" s="688"/>
      <c r="D5309" s="1667"/>
      <c r="E5309" s="1671">
        <v>3.5</v>
      </c>
      <c r="F5309" s="1671">
        <v>4</v>
      </c>
      <c r="G5309" s="1674"/>
      <c r="H5309" s="1671">
        <f t="shared" si="954"/>
        <v>0</v>
      </c>
      <c r="I5309" s="688" t="s">
        <v>92</v>
      </c>
      <c r="J5309" s="1668"/>
      <c r="K5309" s="1668"/>
      <c r="L5309" s="1669"/>
    </row>
    <row r="5310" spans="1:12" s="692" customFormat="1" ht="16.5" hidden="1">
      <c r="A5310" s="1665"/>
      <c r="B5310" s="1666"/>
      <c r="C5310" s="688"/>
      <c r="D5310" s="1667"/>
      <c r="E5310" s="1671">
        <v>3.5</v>
      </c>
      <c r="F5310" s="1671">
        <v>4</v>
      </c>
      <c r="G5310" s="1674"/>
      <c r="H5310" s="1671">
        <f t="shared" si="954"/>
        <v>0</v>
      </c>
      <c r="I5310" s="688" t="s">
        <v>92</v>
      </c>
      <c r="J5310" s="1668"/>
      <c r="K5310" s="1668"/>
      <c r="L5310" s="1669"/>
    </row>
    <row r="5311" spans="1:12" s="692" customFormat="1" ht="16.5" hidden="1">
      <c r="A5311" s="1665"/>
      <c r="B5311" s="1666"/>
      <c r="C5311" s="688"/>
      <c r="D5311" s="1667"/>
      <c r="E5311" s="1671">
        <v>3.5</v>
      </c>
      <c r="F5311" s="1671">
        <v>4</v>
      </c>
      <c r="G5311" s="1674"/>
      <c r="H5311" s="1671">
        <f t="shared" si="954"/>
        <v>0</v>
      </c>
      <c r="I5311" s="688" t="s">
        <v>92</v>
      </c>
      <c r="J5311" s="1668"/>
      <c r="K5311" s="1668"/>
      <c r="L5311" s="1669"/>
    </row>
    <row r="5312" spans="1:12" s="692" customFormat="1" ht="16.5" hidden="1">
      <c r="A5312" s="1665"/>
      <c r="B5312" s="1666"/>
      <c r="C5312" s="688"/>
      <c r="D5312" s="1667"/>
      <c r="E5312" s="1671">
        <v>3.5</v>
      </c>
      <c r="F5312" s="1671">
        <v>4</v>
      </c>
      <c r="G5312" s="1674"/>
      <c r="H5312" s="1671">
        <f t="shared" si="954"/>
        <v>0</v>
      </c>
      <c r="I5312" s="688" t="s">
        <v>92</v>
      </c>
      <c r="J5312" s="1668"/>
      <c r="K5312" s="1668"/>
      <c r="L5312" s="1669"/>
    </row>
    <row r="5313" spans="1:12" s="692" customFormat="1" ht="16.5" hidden="1">
      <c r="A5313" s="1665"/>
      <c r="B5313" s="1666"/>
      <c r="C5313" s="688"/>
      <c r="D5313" s="1667"/>
      <c r="E5313" s="1671">
        <v>3.5</v>
      </c>
      <c r="F5313" s="1671">
        <v>4</v>
      </c>
      <c r="G5313" s="1674"/>
      <c r="H5313" s="1671">
        <f t="shared" si="954"/>
        <v>0</v>
      </c>
      <c r="I5313" s="688" t="s">
        <v>92</v>
      </c>
      <c r="J5313" s="1668"/>
      <c r="K5313" s="1668"/>
      <c r="L5313" s="1669"/>
    </row>
    <row r="5314" spans="1:12" s="692" customFormat="1" ht="16.5" hidden="1">
      <c r="A5314" s="1665"/>
      <c r="B5314" s="1666"/>
      <c r="C5314" s="688"/>
      <c r="D5314" s="1667"/>
      <c r="E5314" s="688"/>
      <c r="F5314" s="688"/>
      <c r="G5314" s="1674" t="s">
        <v>928</v>
      </c>
      <c r="H5314" s="1671">
        <f>SUM(H5308:H5313)</f>
        <v>0</v>
      </c>
      <c r="I5314" s="1668" t="s">
        <v>92</v>
      </c>
      <c r="J5314" s="1669">
        <f>'Lead &amp; ANALYSIS'!L1006</f>
        <v>33.4</v>
      </c>
      <c r="K5314" s="1668" t="s">
        <v>1514</v>
      </c>
      <c r="L5314" s="1669">
        <f t="shared" ref="L5314" si="955">ROUND(H5314*J5314,0)</f>
        <v>0</v>
      </c>
    </row>
    <row r="5315" spans="1:12" s="692" customFormat="1" ht="16.5" hidden="1">
      <c r="A5315" s="1693" t="str">
        <f>'Lead &amp; ANALYSIS'!A1007</f>
        <v>(iii)</v>
      </c>
      <c r="B5315" s="1666" t="str">
        <f>'Lead &amp; ANALYSIS'!B1007</f>
        <v>2nd Floor</v>
      </c>
      <c r="C5315" s="688"/>
      <c r="D5315" s="1667"/>
      <c r="E5315" s="688"/>
      <c r="F5315" s="688"/>
      <c r="G5315" s="1674"/>
      <c r="H5315" s="688"/>
      <c r="I5315" s="1668"/>
      <c r="J5315" s="1668"/>
      <c r="K5315" s="1668"/>
      <c r="L5315" s="1669"/>
    </row>
    <row r="5316" spans="1:12" s="692" customFormat="1" ht="16.5" hidden="1">
      <c r="A5316" s="1693"/>
      <c r="B5316" s="1666"/>
      <c r="C5316" s="688"/>
      <c r="D5316" s="1667"/>
      <c r="E5316" s="1671">
        <v>3.5</v>
      </c>
      <c r="F5316" s="1668"/>
      <c r="G5316" s="1671">
        <v>4</v>
      </c>
      <c r="H5316" s="1671">
        <f t="shared" ref="H5316:H5321" si="956">ROUND(D5316*E5316*G5316,2)</f>
        <v>0</v>
      </c>
      <c r="I5316" s="688" t="s">
        <v>92</v>
      </c>
      <c r="J5316" s="1668"/>
      <c r="K5316" s="1668"/>
      <c r="L5316" s="1669"/>
    </row>
    <row r="5317" spans="1:12" s="692" customFormat="1" ht="16.5" hidden="1">
      <c r="A5317" s="1693"/>
      <c r="B5317" s="1666"/>
      <c r="C5317" s="688"/>
      <c r="D5317" s="1667"/>
      <c r="E5317" s="1671">
        <v>3.5</v>
      </c>
      <c r="F5317" s="1668"/>
      <c r="G5317" s="1671">
        <v>4</v>
      </c>
      <c r="H5317" s="1671">
        <f t="shared" si="956"/>
        <v>0</v>
      </c>
      <c r="I5317" s="688" t="s">
        <v>92</v>
      </c>
      <c r="J5317" s="1668"/>
      <c r="K5317" s="1668"/>
      <c r="L5317" s="1669"/>
    </row>
    <row r="5318" spans="1:12" s="692" customFormat="1" ht="16.5" hidden="1">
      <c r="A5318" s="1693"/>
      <c r="B5318" s="1666"/>
      <c r="C5318" s="688"/>
      <c r="D5318" s="1667"/>
      <c r="E5318" s="1671">
        <v>3.5</v>
      </c>
      <c r="F5318" s="1668"/>
      <c r="G5318" s="1671">
        <v>4</v>
      </c>
      <c r="H5318" s="1671">
        <f t="shared" si="956"/>
        <v>0</v>
      </c>
      <c r="I5318" s="688" t="s">
        <v>92</v>
      </c>
      <c r="J5318" s="1668"/>
      <c r="K5318" s="1668"/>
      <c r="L5318" s="1669"/>
    </row>
    <row r="5319" spans="1:12" s="692" customFormat="1" ht="16.5" hidden="1">
      <c r="A5319" s="1693"/>
      <c r="B5319" s="1666"/>
      <c r="C5319" s="688"/>
      <c r="D5319" s="1667"/>
      <c r="E5319" s="1671">
        <v>3.5</v>
      </c>
      <c r="F5319" s="1668"/>
      <c r="G5319" s="1671">
        <v>4</v>
      </c>
      <c r="H5319" s="1671">
        <f t="shared" si="956"/>
        <v>0</v>
      </c>
      <c r="I5319" s="688" t="s">
        <v>92</v>
      </c>
      <c r="J5319" s="1668"/>
      <c r="K5319" s="1668"/>
      <c r="L5319" s="1669"/>
    </row>
    <row r="5320" spans="1:12" s="692" customFormat="1" ht="16.5" hidden="1">
      <c r="A5320" s="1693"/>
      <c r="B5320" s="1666"/>
      <c r="C5320" s="688"/>
      <c r="D5320" s="1667"/>
      <c r="E5320" s="1671">
        <v>3.5</v>
      </c>
      <c r="F5320" s="1668"/>
      <c r="G5320" s="1671">
        <v>4</v>
      </c>
      <c r="H5320" s="1671">
        <f t="shared" si="956"/>
        <v>0</v>
      </c>
      <c r="I5320" s="688" t="s">
        <v>92</v>
      </c>
      <c r="J5320" s="1668"/>
      <c r="K5320" s="1668"/>
      <c r="L5320" s="1669"/>
    </row>
    <row r="5321" spans="1:12" s="692" customFormat="1" ht="16.5" hidden="1">
      <c r="A5321" s="1693"/>
      <c r="B5321" s="1666"/>
      <c r="C5321" s="688"/>
      <c r="D5321" s="1667"/>
      <c r="E5321" s="1671">
        <v>3.5</v>
      </c>
      <c r="F5321" s="1668"/>
      <c r="G5321" s="1671">
        <v>4</v>
      </c>
      <c r="H5321" s="1671">
        <f t="shared" si="956"/>
        <v>0</v>
      </c>
      <c r="I5321" s="688" t="s">
        <v>92</v>
      </c>
      <c r="J5321" s="1668"/>
      <c r="K5321" s="1668"/>
      <c r="L5321" s="1669"/>
    </row>
    <row r="5322" spans="1:12" s="692" customFormat="1" ht="16.5" hidden="1">
      <c r="A5322" s="1693"/>
      <c r="B5322" s="1666"/>
      <c r="C5322" s="688"/>
      <c r="D5322" s="1667"/>
      <c r="E5322" s="688"/>
      <c r="F5322" s="688"/>
      <c r="G5322" s="1674" t="s">
        <v>928</v>
      </c>
      <c r="H5322" s="1671">
        <f>SUM(H5316:H5321)</f>
        <v>0</v>
      </c>
      <c r="I5322" s="1668" t="s">
        <v>92</v>
      </c>
      <c r="J5322" s="1669">
        <f>'Lead &amp; ANALYSIS'!L1007</f>
        <v>34.1</v>
      </c>
      <c r="K5322" s="1668" t="s">
        <v>1514</v>
      </c>
      <c r="L5322" s="1669">
        <f t="shared" ref="L5322" si="957">ROUND(H5322*J5322,0)</f>
        <v>0</v>
      </c>
    </row>
    <row r="5323" spans="1:12" s="692" customFormat="1" ht="16.5" hidden="1">
      <c r="A5323" s="1693" t="str">
        <f>'Lead &amp; ANALYSIS'!A1008</f>
        <v>(iv)</v>
      </c>
      <c r="B5323" s="1666" t="str">
        <f>'Lead &amp; ANALYSIS'!B1008</f>
        <v>3rd Floor</v>
      </c>
      <c r="C5323" s="688"/>
      <c r="D5323" s="1667"/>
      <c r="E5323" s="688"/>
      <c r="F5323" s="688"/>
      <c r="G5323" s="1674"/>
      <c r="H5323" s="688"/>
      <c r="I5323" s="1668"/>
      <c r="J5323" s="1668"/>
      <c r="K5323" s="1668"/>
      <c r="L5323" s="1669"/>
    </row>
    <row r="5324" spans="1:12" s="692" customFormat="1" ht="16.5" hidden="1">
      <c r="A5324" s="1693"/>
      <c r="B5324" s="1666"/>
      <c r="C5324" s="688"/>
      <c r="D5324" s="1667"/>
      <c r="E5324" s="1671">
        <v>3.5</v>
      </c>
      <c r="F5324" s="1668"/>
      <c r="G5324" s="1671">
        <v>4</v>
      </c>
      <c r="H5324" s="1671">
        <f t="shared" ref="H5324:H5329" si="958">ROUND(D5324*E5324*G5324,2)</f>
        <v>0</v>
      </c>
      <c r="I5324" s="688" t="s">
        <v>92</v>
      </c>
      <c r="J5324" s="1668"/>
      <c r="K5324" s="1668"/>
      <c r="L5324" s="1669"/>
    </row>
    <row r="5325" spans="1:12" s="692" customFormat="1" ht="16.5" hidden="1">
      <c r="A5325" s="1665"/>
      <c r="B5325" s="1666"/>
      <c r="C5325" s="688"/>
      <c r="D5325" s="1667"/>
      <c r="E5325" s="1671">
        <v>3.5</v>
      </c>
      <c r="F5325" s="1668"/>
      <c r="G5325" s="1671">
        <v>4</v>
      </c>
      <c r="H5325" s="1671">
        <f t="shared" si="958"/>
        <v>0</v>
      </c>
      <c r="I5325" s="688" t="s">
        <v>92</v>
      </c>
      <c r="J5325" s="1668"/>
      <c r="K5325" s="1668"/>
      <c r="L5325" s="1669"/>
    </row>
    <row r="5326" spans="1:12" s="692" customFormat="1" ht="16.5" hidden="1">
      <c r="A5326" s="1665"/>
      <c r="B5326" s="1666"/>
      <c r="C5326" s="688"/>
      <c r="D5326" s="1667"/>
      <c r="E5326" s="1671">
        <v>3.5</v>
      </c>
      <c r="F5326" s="1668"/>
      <c r="G5326" s="1671">
        <v>4</v>
      </c>
      <c r="H5326" s="1671">
        <f t="shared" si="958"/>
        <v>0</v>
      </c>
      <c r="I5326" s="688" t="s">
        <v>92</v>
      </c>
      <c r="J5326" s="1668"/>
      <c r="K5326" s="1668"/>
      <c r="L5326" s="1669"/>
    </row>
    <row r="5327" spans="1:12" s="692" customFormat="1" ht="16.5" hidden="1">
      <c r="A5327" s="1665"/>
      <c r="B5327" s="1666"/>
      <c r="C5327" s="688"/>
      <c r="D5327" s="1667"/>
      <c r="E5327" s="1671">
        <v>3.5</v>
      </c>
      <c r="F5327" s="1668"/>
      <c r="G5327" s="1671">
        <v>4</v>
      </c>
      <c r="H5327" s="1671">
        <f t="shared" si="958"/>
        <v>0</v>
      </c>
      <c r="I5327" s="688" t="s">
        <v>92</v>
      </c>
      <c r="J5327" s="1668"/>
      <c r="K5327" s="1668"/>
      <c r="L5327" s="1669"/>
    </row>
    <row r="5328" spans="1:12" s="692" customFormat="1" ht="16.5" hidden="1">
      <c r="A5328" s="1665"/>
      <c r="B5328" s="1666"/>
      <c r="C5328" s="688"/>
      <c r="D5328" s="1667"/>
      <c r="E5328" s="1671">
        <v>3.5</v>
      </c>
      <c r="F5328" s="1668"/>
      <c r="G5328" s="1671">
        <v>4</v>
      </c>
      <c r="H5328" s="1671">
        <f t="shared" si="958"/>
        <v>0</v>
      </c>
      <c r="I5328" s="688" t="s">
        <v>92</v>
      </c>
      <c r="J5328" s="1668"/>
      <c r="K5328" s="1668"/>
      <c r="L5328" s="1669"/>
    </row>
    <row r="5329" spans="1:12" s="692" customFormat="1" ht="16.5" hidden="1">
      <c r="A5329" s="1665"/>
      <c r="B5329" s="1666"/>
      <c r="C5329" s="688"/>
      <c r="D5329" s="1667"/>
      <c r="E5329" s="1671">
        <v>3.5</v>
      </c>
      <c r="F5329" s="1668"/>
      <c r="G5329" s="1671">
        <v>4</v>
      </c>
      <c r="H5329" s="1671">
        <f t="shared" si="958"/>
        <v>0</v>
      </c>
      <c r="I5329" s="688" t="s">
        <v>92</v>
      </c>
      <c r="J5329" s="1668"/>
      <c r="K5329" s="1668"/>
      <c r="L5329" s="1669"/>
    </row>
    <row r="5330" spans="1:12" s="692" customFormat="1" ht="16.5" hidden="1">
      <c r="A5330" s="1665"/>
      <c r="B5330" s="1666"/>
      <c r="C5330" s="688"/>
      <c r="D5330" s="1667"/>
      <c r="E5330" s="688"/>
      <c r="F5330" s="688"/>
      <c r="G5330" s="1674" t="s">
        <v>928</v>
      </c>
      <c r="H5330" s="1671">
        <f>SUM(H5324:H5329)</f>
        <v>0</v>
      </c>
      <c r="I5330" s="1668" t="s">
        <v>92</v>
      </c>
      <c r="J5330" s="1669">
        <f>'Lead &amp; ANALYSIS'!L1008</f>
        <v>35.1</v>
      </c>
      <c r="K5330" s="1668" t="s">
        <v>1514</v>
      </c>
      <c r="L5330" s="1669">
        <f t="shared" ref="L5330" si="959">ROUND(H5330*J5330,0)</f>
        <v>0</v>
      </c>
    </row>
    <row r="5331" spans="1:12" s="692" customFormat="1" ht="33" hidden="1">
      <c r="A5331" s="1665">
        <f>'Lead &amp; ANALYSIS'!A1009</f>
        <v>133</v>
      </c>
      <c r="B5331" s="1666" t="str">
        <f>'Lead &amp; ANALYSIS'!B1009</f>
        <v>Priming One coat on iron work with red oxide primer etc complete.</v>
      </c>
      <c r="C5331" s="688"/>
      <c r="D5331" s="1667"/>
      <c r="E5331" s="688"/>
      <c r="F5331" s="688"/>
      <c r="G5331" s="1674"/>
      <c r="H5331" s="688"/>
      <c r="I5331" s="1668"/>
      <c r="J5331" s="1668"/>
      <c r="K5331" s="1668"/>
      <c r="L5331" s="1669"/>
    </row>
    <row r="5332" spans="1:12" s="692" customFormat="1" ht="16.5" hidden="1">
      <c r="A5332" s="1665" t="str">
        <f>'Lead &amp; ANALYSIS'!A1010</f>
        <v>(i)</v>
      </c>
      <c r="B5332" s="1666" t="str">
        <f>'Lead &amp; ANALYSIS'!B1010</f>
        <v>Ground Floor</v>
      </c>
      <c r="C5332" s="688"/>
      <c r="D5332" s="1667"/>
      <c r="E5332" s="688"/>
      <c r="F5332" s="688"/>
      <c r="G5332" s="1674"/>
      <c r="H5332" s="688"/>
      <c r="I5332" s="1668"/>
      <c r="J5332" s="1668"/>
      <c r="K5332" s="1668"/>
      <c r="L5332" s="1669"/>
    </row>
    <row r="5333" spans="1:12" s="692" customFormat="1" ht="16.5" hidden="1">
      <c r="A5333" s="1665"/>
      <c r="B5333" s="1666"/>
      <c r="C5333" s="688"/>
      <c r="D5333" s="1667"/>
      <c r="E5333" s="1671">
        <v>3.5</v>
      </c>
      <c r="F5333" s="1671">
        <v>4</v>
      </c>
      <c r="G5333" s="1674"/>
      <c r="H5333" s="1671">
        <f t="shared" ref="H5333:H5338" si="960">ROUND(D5333*E5333*F5333,2)</f>
        <v>0</v>
      </c>
      <c r="I5333" s="688" t="s">
        <v>92</v>
      </c>
      <c r="J5333" s="1668"/>
      <c r="K5333" s="1668"/>
      <c r="L5333" s="1669"/>
    </row>
    <row r="5334" spans="1:12" s="692" customFormat="1" ht="16.5" hidden="1">
      <c r="A5334" s="1665"/>
      <c r="B5334" s="1666"/>
      <c r="C5334" s="688"/>
      <c r="D5334" s="1667"/>
      <c r="E5334" s="1671">
        <v>3.5</v>
      </c>
      <c r="F5334" s="1671">
        <v>4</v>
      </c>
      <c r="G5334" s="1674"/>
      <c r="H5334" s="1671">
        <f t="shared" si="960"/>
        <v>0</v>
      </c>
      <c r="I5334" s="688" t="s">
        <v>92</v>
      </c>
      <c r="J5334" s="1668"/>
      <c r="K5334" s="1668"/>
      <c r="L5334" s="1669"/>
    </row>
    <row r="5335" spans="1:12" s="692" customFormat="1" ht="16.5" hidden="1">
      <c r="A5335" s="1665"/>
      <c r="B5335" s="1666"/>
      <c r="C5335" s="688"/>
      <c r="D5335" s="1667"/>
      <c r="E5335" s="1671">
        <v>3.5</v>
      </c>
      <c r="F5335" s="1671">
        <v>4</v>
      </c>
      <c r="G5335" s="1674"/>
      <c r="H5335" s="1671">
        <f t="shared" si="960"/>
        <v>0</v>
      </c>
      <c r="I5335" s="688" t="s">
        <v>92</v>
      </c>
      <c r="J5335" s="1668"/>
      <c r="K5335" s="1668"/>
      <c r="L5335" s="1669"/>
    </row>
    <row r="5336" spans="1:12" s="692" customFormat="1" ht="16.5" hidden="1">
      <c r="A5336" s="1665"/>
      <c r="B5336" s="1666"/>
      <c r="C5336" s="688"/>
      <c r="D5336" s="1667"/>
      <c r="E5336" s="1671">
        <v>3.5</v>
      </c>
      <c r="F5336" s="1671">
        <v>4</v>
      </c>
      <c r="G5336" s="1674"/>
      <c r="H5336" s="1671">
        <f t="shared" si="960"/>
        <v>0</v>
      </c>
      <c r="I5336" s="688" t="s">
        <v>92</v>
      </c>
      <c r="J5336" s="1668"/>
      <c r="K5336" s="1668"/>
      <c r="L5336" s="1669"/>
    </row>
    <row r="5337" spans="1:12" s="692" customFormat="1" ht="16.5" hidden="1">
      <c r="A5337" s="1665"/>
      <c r="B5337" s="1666"/>
      <c r="C5337" s="688"/>
      <c r="D5337" s="1667"/>
      <c r="E5337" s="1671">
        <v>3.5</v>
      </c>
      <c r="F5337" s="1671">
        <v>4</v>
      </c>
      <c r="G5337" s="1674"/>
      <c r="H5337" s="1671">
        <f t="shared" si="960"/>
        <v>0</v>
      </c>
      <c r="I5337" s="688" t="s">
        <v>92</v>
      </c>
      <c r="J5337" s="1668"/>
      <c r="K5337" s="1668"/>
      <c r="L5337" s="1669"/>
    </row>
    <row r="5338" spans="1:12" s="692" customFormat="1" ht="16.5" hidden="1">
      <c r="A5338" s="1665"/>
      <c r="B5338" s="1666"/>
      <c r="C5338" s="688"/>
      <c r="D5338" s="1667"/>
      <c r="E5338" s="1671">
        <v>3.5</v>
      </c>
      <c r="F5338" s="1671">
        <v>4</v>
      </c>
      <c r="G5338" s="1674"/>
      <c r="H5338" s="1671">
        <f t="shared" si="960"/>
        <v>0</v>
      </c>
      <c r="I5338" s="688" t="s">
        <v>92</v>
      </c>
      <c r="J5338" s="1668"/>
      <c r="K5338" s="1668"/>
      <c r="L5338" s="1669"/>
    </row>
    <row r="5339" spans="1:12" s="692" customFormat="1" ht="16.5" hidden="1">
      <c r="A5339" s="1665"/>
      <c r="B5339" s="1666"/>
      <c r="C5339" s="688"/>
      <c r="D5339" s="1667"/>
      <c r="E5339" s="688"/>
      <c r="F5339" s="688"/>
      <c r="G5339" s="1674" t="s">
        <v>928</v>
      </c>
      <c r="H5339" s="1671">
        <f>SUM(H5333:H5338)</f>
        <v>0</v>
      </c>
      <c r="I5339" s="1668" t="s">
        <v>92</v>
      </c>
      <c r="J5339" s="1669">
        <f>'Lead &amp; ANALYSIS'!L1010</f>
        <v>66</v>
      </c>
      <c r="K5339" s="1668" t="s">
        <v>1514</v>
      </c>
      <c r="L5339" s="1669">
        <f t="shared" ref="L5339" si="961">ROUND(H5339*J5339,0)</f>
        <v>0</v>
      </c>
    </row>
    <row r="5340" spans="1:12" s="692" customFormat="1" ht="16.5" hidden="1">
      <c r="A5340" s="1665" t="str">
        <f>'Lead &amp; ANALYSIS'!A1011</f>
        <v>(ii)</v>
      </c>
      <c r="B5340" s="1666" t="str">
        <f>'Lead &amp; ANALYSIS'!B1011</f>
        <v>First Floor</v>
      </c>
      <c r="C5340" s="688"/>
      <c r="D5340" s="1667"/>
      <c r="E5340" s="688"/>
      <c r="F5340" s="688"/>
      <c r="G5340" s="1674"/>
      <c r="H5340" s="688"/>
      <c r="I5340" s="1668"/>
      <c r="J5340" s="1668"/>
      <c r="K5340" s="1668"/>
      <c r="L5340" s="1669"/>
    </row>
    <row r="5341" spans="1:12" s="692" customFormat="1" ht="16.5" hidden="1">
      <c r="A5341" s="1665"/>
      <c r="B5341" s="1666"/>
      <c r="C5341" s="688"/>
      <c r="D5341" s="1667"/>
      <c r="E5341" s="1671">
        <v>3.5</v>
      </c>
      <c r="F5341" s="1671">
        <v>4</v>
      </c>
      <c r="G5341" s="1674"/>
      <c r="H5341" s="1671">
        <f t="shared" ref="H5341:H5346" si="962">ROUND(D5341*E5341*F5341,2)</f>
        <v>0</v>
      </c>
      <c r="I5341" s="688" t="s">
        <v>92</v>
      </c>
      <c r="J5341" s="1668"/>
      <c r="K5341" s="1668"/>
      <c r="L5341" s="1669"/>
    </row>
    <row r="5342" spans="1:12" s="692" customFormat="1" ht="16.5" hidden="1">
      <c r="A5342" s="1665"/>
      <c r="B5342" s="1666"/>
      <c r="C5342" s="688"/>
      <c r="D5342" s="1667"/>
      <c r="E5342" s="1671">
        <v>3.5</v>
      </c>
      <c r="F5342" s="1671">
        <v>4</v>
      </c>
      <c r="G5342" s="1674"/>
      <c r="H5342" s="1671">
        <f t="shared" si="962"/>
        <v>0</v>
      </c>
      <c r="I5342" s="688" t="s">
        <v>92</v>
      </c>
      <c r="J5342" s="1668"/>
      <c r="K5342" s="1668"/>
      <c r="L5342" s="1669"/>
    </row>
    <row r="5343" spans="1:12" s="692" customFormat="1" ht="16.5" hidden="1">
      <c r="A5343" s="1665"/>
      <c r="B5343" s="1666"/>
      <c r="C5343" s="688"/>
      <c r="D5343" s="1667"/>
      <c r="E5343" s="1671">
        <v>3.5</v>
      </c>
      <c r="F5343" s="1671">
        <v>4</v>
      </c>
      <c r="G5343" s="1674"/>
      <c r="H5343" s="1671">
        <f t="shared" si="962"/>
        <v>0</v>
      </c>
      <c r="I5343" s="688" t="s">
        <v>92</v>
      </c>
      <c r="J5343" s="1668"/>
      <c r="K5343" s="1668"/>
      <c r="L5343" s="1669"/>
    </row>
    <row r="5344" spans="1:12" s="692" customFormat="1" ht="16.5" hidden="1">
      <c r="A5344" s="1665"/>
      <c r="B5344" s="1666"/>
      <c r="C5344" s="688"/>
      <c r="D5344" s="1667"/>
      <c r="E5344" s="1671">
        <v>3.5</v>
      </c>
      <c r="F5344" s="1671">
        <v>4</v>
      </c>
      <c r="G5344" s="1674"/>
      <c r="H5344" s="1671">
        <f t="shared" si="962"/>
        <v>0</v>
      </c>
      <c r="I5344" s="688" t="s">
        <v>92</v>
      </c>
      <c r="J5344" s="1668"/>
      <c r="K5344" s="1668"/>
      <c r="L5344" s="1669"/>
    </row>
    <row r="5345" spans="1:12" s="692" customFormat="1" ht="16.5" hidden="1">
      <c r="A5345" s="1665"/>
      <c r="B5345" s="1666"/>
      <c r="C5345" s="688"/>
      <c r="D5345" s="1667"/>
      <c r="E5345" s="1671">
        <v>3.5</v>
      </c>
      <c r="F5345" s="1671">
        <v>4</v>
      </c>
      <c r="G5345" s="1674"/>
      <c r="H5345" s="1671">
        <f t="shared" si="962"/>
        <v>0</v>
      </c>
      <c r="I5345" s="688" t="s">
        <v>92</v>
      </c>
      <c r="J5345" s="1668"/>
      <c r="K5345" s="1668"/>
      <c r="L5345" s="1669"/>
    </row>
    <row r="5346" spans="1:12" s="692" customFormat="1" ht="16.5" hidden="1">
      <c r="A5346" s="1665"/>
      <c r="B5346" s="1666"/>
      <c r="C5346" s="688"/>
      <c r="D5346" s="1667"/>
      <c r="E5346" s="1671">
        <v>3.5</v>
      </c>
      <c r="F5346" s="1671">
        <v>4</v>
      </c>
      <c r="G5346" s="1674"/>
      <c r="H5346" s="1671">
        <f t="shared" si="962"/>
        <v>0</v>
      </c>
      <c r="I5346" s="688" t="s">
        <v>92</v>
      </c>
      <c r="J5346" s="1668"/>
      <c r="K5346" s="1668"/>
      <c r="L5346" s="1669"/>
    </row>
    <row r="5347" spans="1:12" s="692" customFormat="1" ht="16.5" hidden="1">
      <c r="A5347" s="1665"/>
      <c r="B5347" s="1666"/>
      <c r="C5347" s="688"/>
      <c r="D5347" s="1667"/>
      <c r="E5347" s="688"/>
      <c r="F5347" s="688"/>
      <c r="G5347" s="1674" t="s">
        <v>928</v>
      </c>
      <c r="H5347" s="1671">
        <f>SUM(H5341:H5346)</f>
        <v>0</v>
      </c>
      <c r="I5347" s="1668" t="s">
        <v>92</v>
      </c>
      <c r="J5347" s="1669">
        <f>'Lead &amp; ANALYSIS'!L1011</f>
        <v>58.9</v>
      </c>
      <c r="K5347" s="1668" t="s">
        <v>1514</v>
      </c>
      <c r="L5347" s="1669">
        <f t="shared" ref="L5347" si="963">ROUND(H5347*J5347,0)</f>
        <v>0</v>
      </c>
    </row>
    <row r="5348" spans="1:12" s="692" customFormat="1" ht="16.5" hidden="1">
      <c r="A5348" s="1693" t="str">
        <f>'Lead &amp; ANALYSIS'!A1012</f>
        <v>(iii)</v>
      </c>
      <c r="B5348" s="1666" t="str">
        <f>'Lead &amp; ANALYSIS'!B1012</f>
        <v>2nd Floor</v>
      </c>
      <c r="C5348" s="688"/>
      <c r="D5348" s="1667"/>
      <c r="E5348" s="688"/>
      <c r="F5348" s="688"/>
      <c r="G5348" s="1674"/>
      <c r="H5348" s="688"/>
      <c r="I5348" s="1668"/>
      <c r="J5348" s="1668"/>
      <c r="K5348" s="1668"/>
      <c r="L5348" s="1669"/>
    </row>
    <row r="5349" spans="1:12" s="692" customFormat="1" ht="16.5" hidden="1">
      <c r="A5349" s="1693"/>
      <c r="B5349" s="1666"/>
      <c r="C5349" s="688"/>
      <c r="D5349" s="1667"/>
      <c r="E5349" s="1671">
        <v>3.5</v>
      </c>
      <c r="F5349" s="1668"/>
      <c r="G5349" s="1671">
        <v>4</v>
      </c>
      <c r="H5349" s="1671">
        <f t="shared" ref="H5349:H5354" si="964">ROUND(D5349*E5349*G5349,2)</f>
        <v>0</v>
      </c>
      <c r="I5349" s="688" t="s">
        <v>92</v>
      </c>
      <c r="J5349" s="1668"/>
      <c r="K5349" s="1668"/>
      <c r="L5349" s="1669"/>
    </row>
    <row r="5350" spans="1:12" s="692" customFormat="1" ht="16.5" hidden="1">
      <c r="A5350" s="1693"/>
      <c r="B5350" s="1666"/>
      <c r="C5350" s="688"/>
      <c r="D5350" s="1667"/>
      <c r="E5350" s="1671">
        <v>3.5</v>
      </c>
      <c r="F5350" s="1668"/>
      <c r="G5350" s="1671">
        <v>4</v>
      </c>
      <c r="H5350" s="1671">
        <f t="shared" si="964"/>
        <v>0</v>
      </c>
      <c r="I5350" s="688" t="s">
        <v>92</v>
      </c>
      <c r="J5350" s="1668"/>
      <c r="K5350" s="1668"/>
      <c r="L5350" s="1669"/>
    </row>
    <row r="5351" spans="1:12" s="692" customFormat="1" ht="16.5" hidden="1">
      <c r="A5351" s="1693"/>
      <c r="B5351" s="1666"/>
      <c r="C5351" s="688"/>
      <c r="D5351" s="1667"/>
      <c r="E5351" s="1671">
        <v>3.5</v>
      </c>
      <c r="F5351" s="1668"/>
      <c r="G5351" s="1671">
        <v>4</v>
      </c>
      <c r="H5351" s="1671">
        <f t="shared" si="964"/>
        <v>0</v>
      </c>
      <c r="I5351" s="688" t="s">
        <v>92</v>
      </c>
      <c r="J5351" s="1668"/>
      <c r="K5351" s="1668"/>
      <c r="L5351" s="1669"/>
    </row>
    <row r="5352" spans="1:12" s="692" customFormat="1" ht="16.5" hidden="1">
      <c r="A5352" s="1693"/>
      <c r="B5352" s="1666"/>
      <c r="C5352" s="688"/>
      <c r="D5352" s="1667"/>
      <c r="E5352" s="1671">
        <v>3.5</v>
      </c>
      <c r="F5352" s="1668"/>
      <c r="G5352" s="1671">
        <v>4</v>
      </c>
      <c r="H5352" s="1671">
        <f t="shared" si="964"/>
        <v>0</v>
      </c>
      <c r="I5352" s="688" t="s">
        <v>92</v>
      </c>
      <c r="J5352" s="1668"/>
      <c r="K5352" s="1668"/>
      <c r="L5352" s="1669"/>
    </row>
    <row r="5353" spans="1:12" s="692" customFormat="1" ht="16.5" hidden="1">
      <c r="A5353" s="1693"/>
      <c r="B5353" s="1666"/>
      <c r="C5353" s="688"/>
      <c r="D5353" s="1667"/>
      <c r="E5353" s="1671">
        <v>3.5</v>
      </c>
      <c r="F5353" s="1668"/>
      <c r="G5353" s="1671">
        <v>4</v>
      </c>
      <c r="H5353" s="1671">
        <f t="shared" si="964"/>
        <v>0</v>
      </c>
      <c r="I5353" s="688" t="s">
        <v>92</v>
      </c>
      <c r="J5353" s="1668"/>
      <c r="K5353" s="1668"/>
      <c r="L5353" s="1669"/>
    </row>
    <row r="5354" spans="1:12" s="692" customFormat="1" ht="16.5" hidden="1">
      <c r="A5354" s="1693"/>
      <c r="B5354" s="1666"/>
      <c r="C5354" s="688"/>
      <c r="D5354" s="1667"/>
      <c r="E5354" s="1671">
        <v>3.5</v>
      </c>
      <c r="F5354" s="1668"/>
      <c r="G5354" s="1671">
        <v>4</v>
      </c>
      <c r="H5354" s="1671">
        <f t="shared" si="964"/>
        <v>0</v>
      </c>
      <c r="I5354" s="688" t="s">
        <v>92</v>
      </c>
      <c r="J5354" s="1668"/>
      <c r="K5354" s="1668"/>
      <c r="L5354" s="1669"/>
    </row>
    <row r="5355" spans="1:12" s="692" customFormat="1" ht="16.5" hidden="1">
      <c r="A5355" s="1693"/>
      <c r="B5355" s="1666"/>
      <c r="C5355" s="688"/>
      <c r="D5355" s="1667"/>
      <c r="E5355" s="688"/>
      <c r="F5355" s="688"/>
      <c r="G5355" s="1674" t="s">
        <v>928</v>
      </c>
      <c r="H5355" s="1671">
        <f>SUM(H5349:H5354)</f>
        <v>0</v>
      </c>
      <c r="I5355" s="1668" t="s">
        <v>92</v>
      </c>
      <c r="J5355" s="1669">
        <f>'Lead &amp; ANALYSIS'!L1012</f>
        <v>61.2</v>
      </c>
      <c r="K5355" s="1668" t="s">
        <v>1514</v>
      </c>
      <c r="L5355" s="1669">
        <f t="shared" ref="L5355" si="965">ROUND(H5355*J5355,0)</f>
        <v>0</v>
      </c>
    </row>
    <row r="5356" spans="1:12" s="692" customFormat="1" ht="16.5" hidden="1">
      <c r="A5356" s="1693" t="str">
        <f>'Lead &amp; ANALYSIS'!A1013</f>
        <v>(iv)</v>
      </c>
      <c r="B5356" s="1666" t="str">
        <f>'Lead &amp; ANALYSIS'!B1013</f>
        <v>3rd Floor</v>
      </c>
      <c r="C5356" s="688"/>
      <c r="D5356" s="1667"/>
      <c r="E5356" s="688"/>
      <c r="F5356" s="688"/>
      <c r="G5356" s="1674"/>
      <c r="H5356" s="688"/>
      <c r="I5356" s="1668"/>
      <c r="J5356" s="1668"/>
      <c r="K5356" s="1668"/>
      <c r="L5356" s="1669"/>
    </row>
    <row r="5357" spans="1:12" s="692" customFormat="1" ht="16.5" hidden="1">
      <c r="A5357" s="1693"/>
      <c r="B5357" s="1666"/>
      <c r="C5357" s="688"/>
      <c r="D5357" s="1667"/>
      <c r="E5357" s="1671">
        <v>3.5</v>
      </c>
      <c r="F5357" s="1668"/>
      <c r="G5357" s="1671">
        <v>4</v>
      </c>
      <c r="H5357" s="1671">
        <f t="shared" ref="H5357:H5362" si="966">ROUND(D5357*E5357*G5357,2)</f>
        <v>0</v>
      </c>
      <c r="I5357" s="688" t="s">
        <v>92</v>
      </c>
      <c r="J5357" s="1668"/>
      <c r="K5357" s="1668"/>
      <c r="L5357" s="1669"/>
    </row>
    <row r="5358" spans="1:12" s="692" customFormat="1" ht="16.5" hidden="1">
      <c r="A5358" s="1665"/>
      <c r="B5358" s="1666"/>
      <c r="C5358" s="688"/>
      <c r="D5358" s="1667"/>
      <c r="E5358" s="1671">
        <v>3.5</v>
      </c>
      <c r="F5358" s="1668"/>
      <c r="G5358" s="1671">
        <v>4</v>
      </c>
      <c r="H5358" s="1671">
        <f t="shared" si="966"/>
        <v>0</v>
      </c>
      <c r="I5358" s="688" t="s">
        <v>92</v>
      </c>
      <c r="J5358" s="1668"/>
      <c r="K5358" s="1668"/>
      <c r="L5358" s="1669"/>
    </row>
    <row r="5359" spans="1:12" s="692" customFormat="1" ht="16.5" hidden="1">
      <c r="A5359" s="1665"/>
      <c r="B5359" s="1666"/>
      <c r="C5359" s="688"/>
      <c r="D5359" s="1667"/>
      <c r="E5359" s="1671">
        <v>3.5</v>
      </c>
      <c r="F5359" s="1668"/>
      <c r="G5359" s="1671">
        <v>4</v>
      </c>
      <c r="H5359" s="1671">
        <f t="shared" si="966"/>
        <v>0</v>
      </c>
      <c r="I5359" s="688" t="s">
        <v>92</v>
      </c>
      <c r="J5359" s="1668"/>
      <c r="K5359" s="1668"/>
      <c r="L5359" s="1669"/>
    </row>
    <row r="5360" spans="1:12" s="692" customFormat="1" ht="16.5" hidden="1">
      <c r="A5360" s="1665"/>
      <c r="B5360" s="1666"/>
      <c r="C5360" s="688"/>
      <c r="D5360" s="1667"/>
      <c r="E5360" s="1671">
        <v>3.5</v>
      </c>
      <c r="F5360" s="1668"/>
      <c r="G5360" s="1671">
        <v>4</v>
      </c>
      <c r="H5360" s="1671">
        <f t="shared" si="966"/>
        <v>0</v>
      </c>
      <c r="I5360" s="688" t="s">
        <v>92</v>
      </c>
      <c r="J5360" s="1668"/>
      <c r="K5360" s="1668"/>
      <c r="L5360" s="1669"/>
    </row>
    <row r="5361" spans="1:12" s="692" customFormat="1" ht="16.5" hidden="1">
      <c r="A5361" s="1665"/>
      <c r="B5361" s="1666"/>
      <c r="C5361" s="688"/>
      <c r="D5361" s="1667"/>
      <c r="E5361" s="1671">
        <v>3.5</v>
      </c>
      <c r="F5361" s="1668"/>
      <c r="G5361" s="1671">
        <v>4</v>
      </c>
      <c r="H5361" s="1671">
        <f t="shared" si="966"/>
        <v>0</v>
      </c>
      <c r="I5361" s="688" t="s">
        <v>92</v>
      </c>
      <c r="J5361" s="1668"/>
      <c r="K5361" s="1668"/>
      <c r="L5361" s="1669"/>
    </row>
    <row r="5362" spans="1:12" s="692" customFormat="1" ht="16.5" hidden="1">
      <c r="A5362" s="1665"/>
      <c r="B5362" s="1666"/>
      <c r="C5362" s="688"/>
      <c r="D5362" s="1667"/>
      <c r="E5362" s="1671">
        <v>3.5</v>
      </c>
      <c r="F5362" s="1668"/>
      <c r="G5362" s="1671">
        <v>4</v>
      </c>
      <c r="H5362" s="1671">
        <f t="shared" si="966"/>
        <v>0</v>
      </c>
      <c r="I5362" s="688" t="s">
        <v>92</v>
      </c>
      <c r="J5362" s="1668"/>
      <c r="K5362" s="1668"/>
      <c r="L5362" s="1669"/>
    </row>
    <row r="5363" spans="1:12" s="692" customFormat="1" ht="16.5" hidden="1">
      <c r="A5363" s="1665"/>
      <c r="B5363" s="1666"/>
      <c r="C5363" s="688"/>
      <c r="D5363" s="1667"/>
      <c r="E5363" s="688"/>
      <c r="F5363" s="688"/>
      <c r="G5363" s="1674" t="s">
        <v>928</v>
      </c>
      <c r="H5363" s="1671">
        <f>SUM(H5357:H5362)</f>
        <v>0</v>
      </c>
      <c r="I5363" s="1668" t="s">
        <v>92</v>
      </c>
      <c r="J5363" s="1669">
        <f>'Lead &amp; ANALYSIS'!L1013</f>
        <v>63.4</v>
      </c>
      <c r="K5363" s="1668" t="s">
        <v>1514</v>
      </c>
      <c r="L5363" s="1669">
        <f t="shared" ref="L5363" si="967">ROUND(H5363*J5363,0)</f>
        <v>0</v>
      </c>
    </row>
    <row r="5364" spans="1:12" s="692" customFormat="1" ht="82.5" hidden="1">
      <c r="A5364" s="1665">
        <f>'Lead &amp; ANALYSIS'!A1014</f>
        <v>134</v>
      </c>
      <c r="B5364" s="1666" t="str">
        <f>'Lead &amp; ANALYSIS'!B1014</f>
        <v>Painting two coats with approved enamel paints of approved colour, shade  over old Wood work including sand papering, polishing the surface,  etc, complete as per specification &amp; direction of Engineer-in-charge.</v>
      </c>
      <c r="C5364" s="688"/>
      <c r="D5364" s="1667"/>
      <c r="E5364" s="688"/>
      <c r="F5364" s="688"/>
      <c r="G5364" s="1674"/>
      <c r="H5364" s="688"/>
      <c r="I5364" s="1668"/>
      <c r="J5364" s="1668"/>
      <c r="K5364" s="1668"/>
      <c r="L5364" s="1669"/>
    </row>
    <row r="5365" spans="1:12" s="692" customFormat="1" ht="16.5" hidden="1">
      <c r="A5365" s="1665" t="str">
        <f>'Lead &amp; ANALYSIS'!A1015</f>
        <v>(i)</v>
      </c>
      <c r="B5365" s="1666" t="str">
        <f>'Lead &amp; ANALYSIS'!B1015</f>
        <v>Ground Floor</v>
      </c>
      <c r="C5365" s="688"/>
      <c r="D5365" s="1667"/>
      <c r="E5365" s="688"/>
      <c r="F5365" s="688"/>
      <c r="G5365" s="1674"/>
      <c r="H5365" s="688"/>
      <c r="I5365" s="1668"/>
      <c r="J5365" s="1668"/>
      <c r="K5365" s="1668"/>
      <c r="L5365" s="1669"/>
    </row>
    <row r="5366" spans="1:12" s="692" customFormat="1" ht="16.5" hidden="1">
      <c r="A5366" s="1665"/>
      <c r="B5366" s="1666"/>
      <c r="C5366" s="688"/>
      <c r="D5366" s="1667"/>
      <c r="E5366" s="1671">
        <v>3.5</v>
      </c>
      <c r="F5366" s="1671">
        <v>4</v>
      </c>
      <c r="G5366" s="1674"/>
      <c r="H5366" s="1671">
        <f t="shared" ref="H5366:H5371" si="968">ROUND(D5366*E5366*F5366,2)</f>
        <v>0</v>
      </c>
      <c r="I5366" s="688" t="s">
        <v>92</v>
      </c>
      <c r="J5366" s="1668"/>
      <c r="K5366" s="1668"/>
      <c r="L5366" s="1669"/>
    </row>
    <row r="5367" spans="1:12" s="692" customFormat="1" ht="16.5" hidden="1">
      <c r="A5367" s="1665"/>
      <c r="B5367" s="1666"/>
      <c r="C5367" s="688"/>
      <c r="D5367" s="1667"/>
      <c r="E5367" s="1671">
        <v>3.5</v>
      </c>
      <c r="F5367" s="1671">
        <v>4</v>
      </c>
      <c r="G5367" s="1674"/>
      <c r="H5367" s="1671">
        <f t="shared" si="968"/>
        <v>0</v>
      </c>
      <c r="I5367" s="688" t="s">
        <v>92</v>
      </c>
      <c r="J5367" s="1668"/>
      <c r="K5367" s="1668"/>
      <c r="L5367" s="1669"/>
    </row>
    <row r="5368" spans="1:12" s="692" customFormat="1" ht="16.5" hidden="1">
      <c r="A5368" s="1665"/>
      <c r="B5368" s="1666"/>
      <c r="C5368" s="688"/>
      <c r="D5368" s="1667"/>
      <c r="E5368" s="1671">
        <v>3.5</v>
      </c>
      <c r="F5368" s="1671">
        <v>4</v>
      </c>
      <c r="G5368" s="1674"/>
      <c r="H5368" s="1671">
        <f t="shared" si="968"/>
        <v>0</v>
      </c>
      <c r="I5368" s="688" t="s">
        <v>92</v>
      </c>
      <c r="J5368" s="1668"/>
      <c r="K5368" s="1668"/>
      <c r="L5368" s="1669"/>
    </row>
    <row r="5369" spans="1:12" s="692" customFormat="1" ht="16.5" hidden="1">
      <c r="A5369" s="1665"/>
      <c r="B5369" s="1666"/>
      <c r="C5369" s="688"/>
      <c r="D5369" s="1667"/>
      <c r="E5369" s="1671">
        <v>3.5</v>
      </c>
      <c r="F5369" s="1671">
        <v>4</v>
      </c>
      <c r="G5369" s="1674"/>
      <c r="H5369" s="1671">
        <f t="shared" si="968"/>
        <v>0</v>
      </c>
      <c r="I5369" s="688" t="s">
        <v>92</v>
      </c>
      <c r="J5369" s="1668"/>
      <c r="K5369" s="1668"/>
      <c r="L5369" s="1669"/>
    </row>
    <row r="5370" spans="1:12" s="692" customFormat="1" ht="16.5" hidden="1">
      <c r="A5370" s="1665"/>
      <c r="B5370" s="1666"/>
      <c r="C5370" s="688"/>
      <c r="D5370" s="1667"/>
      <c r="E5370" s="1671">
        <v>3.5</v>
      </c>
      <c r="F5370" s="1671">
        <v>4</v>
      </c>
      <c r="G5370" s="1674"/>
      <c r="H5370" s="1671">
        <f t="shared" si="968"/>
        <v>0</v>
      </c>
      <c r="I5370" s="688" t="s">
        <v>92</v>
      </c>
      <c r="J5370" s="1668"/>
      <c r="K5370" s="1668"/>
      <c r="L5370" s="1669"/>
    </row>
    <row r="5371" spans="1:12" s="692" customFormat="1" ht="16.5" hidden="1">
      <c r="A5371" s="1665"/>
      <c r="B5371" s="1666"/>
      <c r="C5371" s="688"/>
      <c r="D5371" s="1667"/>
      <c r="E5371" s="1671">
        <v>3.5</v>
      </c>
      <c r="F5371" s="1671">
        <v>4</v>
      </c>
      <c r="G5371" s="1674"/>
      <c r="H5371" s="1671">
        <f t="shared" si="968"/>
        <v>0</v>
      </c>
      <c r="I5371" s="688" t="s">
        <v>92</v>
      </c>
      <c r="J5371" s="1668"/>
      <c r="K5371" s="1668"/>
      <c r="L5371" s="1669"/>
    </row>
    <row r="5372" spans="1:12" s="692" customFormat="1" ht="16.5" hidden="1">
      <c r="A5372" s="1665"/>
      <c r="B5372" s="1666"/>
      <c r="C5372" s="688"/>
      <c r="D5372" s="1667"/>
      <c r="E5372" s="688"/>
      <c r="F5372" s="688"/>
      <c r="G5372" s="1674" t="s">
        <v>928</v>
      </c>
      <c r="H5372" s="1671">
        <f>SUM(H5366:H5371)</f>
        <v>0</v>
      </c>
      <c r="I5372" s="1668" t="s">
        <v>92</v>
      </c>
      <c r="J5372" s="1669">
        <f>'Lead &amp; ANALYSIS'!L1015</f>
        <v>140.80000000000001</v>
      </c>
      <c r="K5372" s="1668" t="s">
        <v>1514</v>
      </c>
      <c r="L5372" s="1669">
        <f t="shared" ref="L5372" si="969">ROUND(H5372*J5372,0)</f>
        <v>0</v>
      </c>
    </row>
    <row r="5373" spans="1:12" s="692" customFormat="1" ht="16.5" hidden="1">
      <c r="A5373" s="1665" t="str">
        <f>'Lead &amp; ANALYSIS'!A1016</f>
        <v>(ii)</v>
      </c>
      <c r="B5373" s="1666" t="str">
        <f>'Lead &amp; ANALYSIS'!B1016</f>
        <v>First Floor</v>
      </c>
      <c r="C5373" s="688"/>
      <c r="D5373" s="1667"/>
      <c r="E5373" s="688"/>
      <c r="F5373" s="688"/>
      <c r="G5373" s="1674"/>
      <c r="H5373" s="688"/>
      <c r="I5373" s="1668"/>
      <c r="J5373" s="1668"/>
      <c r="K5373" s="1668"/>
      <c r="L5373" s="1669"/>
    </row>
    <row r="5374" spans="1:12" s="692" customFormat="1" ht="16.5" hidden="1">
      <c r="A5374" s="1665"/>
      <c r="B5374" s="1666"/>
      <c r="C5374" s="688"/>
      <c r="D5374" s="1667"/>
      <c r="E5374" s="1671">
        <v>3.5</v>
      </c>
      <c r="F5374" s="1671">
        <v>4</v>
      </c>
      <c r="G5374" s="1674"/>
      <c r="H5374" s="1671">
        <f t="shared" ref="H5374:H5379" si="970">ROUND(D5374*E5374*F5374,2)</f>
        <v>0</v>
      </c>
      <c r="I5374" s="688" t="s">
        <v>92</v>
      </c>
      <c r="J5374" s="1668"/>
      <c r="K5374" s="1668"/>
      <c r="L5374" s="1669"/>
    </row>
    <row r="5375" spans="1:12" s="692" customFormat="1" ht="16.5" hidden="1">
      <c r="A5375" s="1665"/>
      <c r="B5375" s="1666"/>
      <c r="C5375" s="688"/>
      <c r="D5375" s="1667"/>
      <c r="E5375" s="1671">
        <v>3.5</v>
      </c>
      <c r="F5375" s="1671">
        <v>4</v>
      </c>
      <c r="G5375" s="1674"/>
      <c r="H5375" s="1671">
        <f t="shared" si="970"/>
        <v>0</v>
      </c>
      <c r="I5375" s="688" t="s">
        <v>92</v>
      </c>
      <c r="J5375" s="1668"/>
      <c r="K5375" s="1668"/>
      <c r="L5375" s="1669"/>
    </row>
    <row r="5376" spans="1:12" s="692" customFormat="1" ht="16.5" hidden="1">
      <c r="A5376" s="1665"/>
      <c r="B5376" s="1666"/>
      <c r="C5376" s="688"/>
      <c r="D5376" s="1667"/>
      <c r="E5376" s="1671">
        <v>3.5</v>
      </c>
      <c r="F5376" s="1671">
        <v>4</v>
      </c>
      <c r="G5376" s="1674"/>
      <c r="H5376" s="1671">
        <f t="shared" si="970"/>
        <v>0</v>
      </c>
      <c r="I5376" s="688" t="s">
        <v>92</v>
      </c>
      <c r="J5376" s="1668"/>
      <c r="K5376" s="1668"/>
      <c r="L5376" s="1669"/>
    </row>
    <row r="5377" spans="1:12" s="692" customFormat="1" ht="16.5" hidden="1">
      <c r="A5377" s="1665"/>
      <c r="B5377" s="1666"/>
      <c r="C5377" s="688"/>
      <c r="D5377" s="1667"/>
      <c r="E5377" s="1671">
        <v>3.5</v>
      </c>
      <c r="F5377" s="1671">
        <v>4</v>
      </c>
      <c r="G5377" s="1674"/>
      <c r="H5377" s="1671">
        <f t="shared" si="970"/>
        <v>0</v>
      </c>
      <c r="I5377" s="688" t="s">
        <v>92</v>
      </c>
      <c r="J5377" s="1668"/>
      <c r="K5377" s="1668"/>
      <c r="L5377" s="1669"/>
    </row>
    <row r="5378" spans="1:12" s="692" customFormat="1" ht="16.5" hidden="1">
      <c r="A5378" s="1665"/>
      <c r="B5378" s="1666"/>
      <c r="C5378" s="688"/>
      <c r="D5378" s="1667"/>
      <c r="E5378" s="1671">
        <v>3.5</v>
      </c>
      <c r="F5378" s="1671">
        <v>4</v>
      </c>
      <c r="G5378" s="1674"/>
      <c r="H5378" s="1671">
        <f t="shared" si="970"/>
        <v>0</v>
      </c>
      <c r="I5378" s="688" t="s">
        <v>92</v>
      </c>
      <c r="J5378" s="1668"/>
      <c r="K5378" s="1668"/>
      <c r="L5378" s="1669"/>
    </row>
    <row r="5379" spans="1:12" s="692" customFormat="1" ht="16.5" hidden="1">
      <c r="A5379" s="1665"/>
      <c r="B5379" s="1666"/>
      <c r="C5379" s="688"/>
      <c r="D5379" s="1667"/>
      <c r="E5379" s="1671">
        <v>3.5</v>
      </c>
      <c r="F5379" s="1671">
        <v>4</v>
      </c>
      <c r="G5379" s="1674"/>
      <c r="H5379" s="1671">
        <f t="shared" si="970"/>
        <v>0</v>
      </c>
      <c r="I5379" s="688" t="s">
        <v>92</v>
      </c>
      <c r="J5379" s="1668"/>
      <c r="K5379" s="1668"/>
      <c r="L5379" s="1669"/>
    </row>
    <row r="5380" spans="1:12" s="692" customFormat="1" ht="16.5" hidden="1">
      <c r="A5380" s="1665"/>
      <c r="B5380" s="1666"/>
      <c r="C5380" s="688"/>
      <c r="D5380" s="1667"/>
      <c r="E5380" s="688"/>
      <c r="F5380" s="688"/>
      <c r="G5380" s="1674" t="s">
        <v>928</v>
      </c>
      <c r="H5380" s="1671">
        <f>SUM(H5374:H5379)</f>
        <v>0</v>
      </c>
      <c r="I5380" s="1668" t="s">
        <v>92</v>
      </c>
      <c r="J5380" s="1669">
        <f>'Lead &amp; ANALYSIS'!L1016</f>
        <v>144.1</v>
      </c>
      <c r="K5380" s="1668" t="s">
        <v>1514</v>
      </c>
      <c r="L5380" s="1669">
        <f t="shared" ref="L5380" si="971">ROUND(H5380*J5380,0)</f>
        <v>0</v>
      </c>
    </row>
    <row r="5381" spans="1:12" s="692" customFormat="1" ht="16.5" hidden="1">
      <c r="A5381" s="1693" t="str">
        <f>'Lead &amp; ANALYSIS'!A1017</f>
        <v>(iii)</v>
      </c>
      <c r="B5381" s="1666" t="str">
        <f>'Lead &amp; ANALYSIS'!B1017</f>
        <v>2nd Floor</v>
      </c>
      <c r="C5381" s="688"/>
      <c r="D5381" s="1667"/>
      <c r="E5381" s="688"/>
      <c r="F5381" s="688"/>
      <c r="G5381" s="1674"/>
      <c r="H5381" s="688"/>
      <c r="I5381" s="1668"/>
      <c r="J5381" s="1668"/>
      <c r="K5381" s="1668"/>
      <c r="L5381" s="1669"/>
    </row>
    <row r="5382" spans="1:12" s="692" customFormat="1" ht="16.5" hidden="1">
      <c r="A5382" s="1693"/>
      <c r="B5382" s="1666"/>
      <c r="C5382" s="688"/>
      <c r="D5382" s="1667"/>
      <c r="E5382" s="1671">
        <v>3.5</v>
      </c>
      <c r="F5382" s="1668"/>
      <c r="G5382" s="1671">
        <v>4</v>
      </c>
      <c r="H5382" s="1671">
        <f t="shared" ref="H5382:H5387" si="972">ROUND(D5382*E5382*G5382,2)</f>
        <v>0</v>
      </c>
      <c r="I5382" s="688" t="s">
        <v>92</v>
      </c>
      <c r="J5382" s="1668"/>
      <c r="K5382" s="1668"/>
      <c r="L5382" s="1669"/>
    </row>
    <row r="5383" spans="1:12" s="692" customFormat="1" ht="16.5" hidden="1">
      <c r="A5383" s="1693"/>
      <c r="B5383" s="1666"/>
      <c r="C5383" s="688"/>
      <c r="D5383" s="1667"/>
      <c r="E5383" s="1671">
        <v>3.5</v>
      </c>
      <c r="F5383" s="1668"/>
      <c r="G5383" s="1671">
        <v>4</v>
      </c>
      <c r="H5383" s="1671">
        <f t="shared" si="972"/>
        <v>0</v>
      </c>
      <c r="I5383" s="688" t="s">
        <v>92</v>
      </c>
      <c r="J5383" s="1668"/>
      <c r="K5383" s="1668"/>
      <c r="L5383" s="1669"/>
    </row>
    <row r="5384" spans="1:12" s="692" customFormat="1" ht="16.5" hidden="1">
      <c r="A5384" s="1693"/>
      <c r="B5384" s="1666"/>
      <c r="C5384" s="688"/>
      <c r="D5384" s="1667"/>
      <c r="E5384" s="1671">
        <v>3.5</v>
      </c>
      <c r="F5384" s="1668"/>
      <c r="G5384" s="1671">
        <v>4</v>
      </c>
      <c r="H5384" s="1671">
        <f t="shared" si="972"/>
        <v>0</v>
      </c>
      <c r="I5384" s="688" t="s">
        <v>92</v>
      </c>
      <c r="J5384" s="1668"/>
      <c r="K5384" s="1668"/>
      <c r="L5384" s="1669"/>
    </row>
    <row r="5385" spans="1:12" s="692" customFormat="1" ht="16.5" hidden="1">
      <c r="A5385" s="1693"/>
      <c r="B5385" s="1666"/>
      <c r="C5385" s="688"/>
      <c r="D5385" s="1667"/>
      <c r="E5385" s="1671">
        <v>3.5</v>
      </c>
      <c r="F5385" s="1668"/>
      <c r="G5385" s="1671">
        <v>4</v>
      </c>
      <c r="H5385" s="1671">
        <f t="shared" si="972"/>
        <v>0</v>
      </c>
      <c r="I5385" s="688" t="s">
        <v>92</v>
      </c>
      <c r="J5385" s="1668"/>
      <c r="K5385" s="1668"/>
      <c r="L5385" s="1669"/>
    </row>
    <row r="5386" spans="1:12" s="692" customFormat="1" ht="16.5" hidden="1">
      <c r="A5386" s="1693"/>
      <c r="B5386" s="1666"/>
      <c r="C5386" s="688"/>
      <c r="D5386" s="1667"/>
      <c r="E5386" s="1671">
        <v>3.5</v>
      </c>
      <c r="F5386" s="1668"/>
      <c r="G5386" s="1671">
        <v>4</v>
      </c>
      <c r="H5386" s="1671">
        <f t="shared" si="972"/>
        <v>0</v>
      </c>
      <c r="I5386" s="688" t="s">
        <v>92</v>
      </c>
      <c r="J5386" s="1668"/>
      <c r="K5386" s="1668"/>
      <c r="L5386" s="1669"/>
    </row>
    <row r="5387" spans="1:12" s="692" customFormat="1" ht="16.5" hidden="1">
      <c r="A5387" s="1693"/>
      <c r="B5387" s="1666"/>
      <c r="C5387" s="688"/>
      <c r="D5387" s="1667"/>
      <c r="E5387" s="1671">
        <v>3.5</v>
      </c>
      <c r="F5387" s="1668"/>
      <c r="G5387" s="1671">
        <v>4</v>
      </c>
      <c r="H5387" s="1671">
        <f t="shared" si="972"/>
        <v>0</v>
      </c>
      <c r="I5387" s="688" t="s">
        <v>92</v>
      </c>
      <c r="J5387" s="1668"/>
      <c r="K5387" s="1668"/>
      <c r="L5387" s="1669"/>
    </row>
    <row r="5388" spans="1:12" s="692" customFormat="1" ht="16.5" hidden="1">
      <c r="A5388" s="1693"/>
      <c r="B5388" s="1666"/>
      <c r="C5388" s="688"/>
      <c r="D5388" s="1667"/>
      <c r="E5388" s="688"/>
      <c r="F5388" s="688"/>
      <c r="G5388" s="1674" t="s">
        <v>928</v>
      </c>
      <c r="H5388" s="1671">
        <f>SUM(H5382:H5387)</f>
        <v>0</v>
      </c>
      <c r="I5388" s="1668" t="s">
        <v>92</v>
      </c>
      <c r="J5388" s="1669">
        <f>'Lead &amp; ANALYSIS'!L1017</f>
        <v>147.4</v>
      </c>
      <c r="K5388" s="1668" t="s">
        <v>1514</v>
      </c>
      <c r="L5388" s="1669">
        <f t="shared" ref="L5388" si="973">ROUND(H5388*J5388,0)</f>
        <v>0</v>
      </c>
    </row>
    <row r="5389" spans="1:12" s="692" customFormat="1" ht="16.5" hidden="1">
      <c r="A5389" s="1693" t="str">
        <f>'Lead &amp; ANALYSIS'!A1018</f>
        <v>(iv)</v>
      </c>
      <c r="B5389" s="1666" t="str">
        <f>'Lead &amp; ANALYSIS'!B1018</f>
        <v>3rd Floor</v>
      </c>
      <c r="C5389" s="688"/>
      <c r="D5389" s="1667"/>
      <c r="E5389" s="688"/>
      <c r="F5389" s="688"/>
      <c r="G5389" s="1674"/>
      <c r="H5389" s="688"/>
      <c r="I5389" s="1668"/>
      <c r="J5389" s="1668"/>
      <c r="K5389" s="1668"/>
      <c r="L5389" s="1669"/>
    </row>
    <row r="5390" spans="1:12" s="692" customFormat="1" ht="16.5" hidden="1">
      <c r="A5390" s="1693"/>
      <c r="B5390" s="1666"/>
      <c r="C5390" s="688"/>
      <c r="D5390" s="1667"/>
      <c r="E5390" s="1671">
        <v>3.5</v>
      </c>
      <c r="F5390" s="1668"/>
      <c r="G5390" s="1671">
        <v>4</v>
      </c>
      <c r="H5390" s="1671">
        <f t="shared" ref="H5390:H5395" si="974">ROUND(D5390*E5390*G5390,2)</f>
        <v>0</v>
      </c>
      <c r="I5390" s="688" t="s">
        <v>92</v>
      </c>
      <c r="J5390" s="1668"/>
      <c r="K5390" s="1668"/>
      <c r="L5390" s="1669"/>
    </row>
    <row r="5391" spans="1:12" s="692" customFormat="1" ht="16.5" hidden="1">
      <c r="A5391" s="1665"/>
      <c r="B5391" s="1666"/>
      <c r="C5391" s="688"/>
      <c r="D5391" s="1667"/>
      <c r="E5391" s="1671">
        <v>3.5</v>
      </c>
      <c r="F5391" s="1668"/>
      <c r="G5391" s="1671">
        <v>4</v>
      </c>
      <c r="H5391" s="1671">
        <f t="shared" si="974"/>
        <v>0</v>
      </c>
      <c r="I5391" s="688" t="s">
        <v>92</v>
      </c>
      <c r="J5391" s="1668"/>
      <c r="K5391" s="1668"/>
      <c r="L5391" s="1669"/>
    </row>
    <row r="5392" spans="1:12" s="692" customFormat="1" ht="16.5" hidden="1">
      <c r="A5392" s="1665"/>
      <c r="B5392" s="1666"/>
      <c r="C5392" s="688"/>
      <c r="D5392" s="1667"/>
      <c r="E5392" s="1671">
        <v>3.5</v>
      </c>
      <c r="F5392" s="1668"/>
      <c r="G5392" s="1671">
        <v>4</v>
      </c>
      <c r="H5392" s="1671">
        <f t="shared" si="974"/>
        <v>0</v>
      </c>
      <c r="I5392" s="688" t="s">
        <v>92</v>
      </c>
      <c r="J5392" s="1668"/>
      <c r="K5392" s="1668"/>
      <c r="L5392" s="1669"/>
    </row>
    <row r="5393" spans="1:12" s="692" customFormat="1" ht="16.5" hidden="1">
      <c r="A5393" s="1665"/>
      <c r="B5393" s="1666"/>
      <c r="C5393" s="688"/>
      <c r="D5393" s="1667"/>
      <c r="E5393" s="1671">
        <v>3.5</v>
      </c>
      <c r="F5393" s="1668"/>
      <c r="G5393" s="1671">
        <v>4</v>
      </c>
      <c r="H5393" s="1671">
        <f t="shared" si="974"/>
        <v>0</v>
      </c>
      <c r="I5393" s="688" t="s">
        <v>92</v>
      </c>
      <c r="J5393" s="1668"/>
      <c r="K5393" s="1668"/>
      <c r="L5393" s="1669"/>
    </row>
    <row r="5394" spans="1:12" s="692" customFormat="1" ht="16.5" hidden="1">
      <c r="A5394" s="1665"/>
      <c r="B5394" s="1666"/>
      <c r="C5394" s="688"/>
      <c r="D5394" s="1667"/>
      <c r="E5394" s="1671">
        <v>3.5</v>
      </c>
      <c r="F5394" s="1668"/>
      <c r="G5394" s="1671">
        <v>4</v>
      </c>
      <c r="H5394" s="1671">
        <f t="shared" si="974"/>
        <v>0</v>
      </c>
      <c r="I5394" s="688" t="s">
        <v>92</v>
      </c>
      <c r="J5394" s="1668"/>
      <c r="K5394" s="1668"/>
      <c r="L5394" s="1669"/>
    </row>
    <row r="5395" spans="1:12" s="692" customFormat="1" ht="16.5" hidden="1">
      <c r="A5395" s="1665"/>
      <c r="B5395" s="1666"/>
      <c r="C5395" s="688"/>
      <c r="D5395" s="1667"/>
      <c r="E5395" s="1671">
        <v>3.5</v>
      </c>
      <c r="F5395" s="1668"/>
      <c r="G5395" s="1671">
        <v>4</v>
      </c>
      <c r="H5395" s="1671">
        <f t="shared" si="974"/>
        <v>0</v>
      </c>
      <c r="I5395" s="688" t="s">
        <v>92</v>
      </c>
      <c r="J5395" s="1668"/>
      <c r="K5395" s="1668"/>
      <c r="L5395" s="1669"/>
    </row>
    <row r="5396" spans="1:12" s="692" customFormat="1" ht="16.5" hidden="1">
      <c r="A5396" s="1665"/>
      <c r="B5396" s="1666"/>
      <c r="C5396" s="688"/>
      <c r="D5396" s="1667"/>
      <c r="E5396" s="688"/>
      <c r="F5396" s="688"/>
      <c r="G5396" s="1674" t="s">
        <v>928</v>
      </c>
      <c r="H5396" s="1671">
        <f>SUM(H5390:H5395)</f>
        <v>0</v>
      </c>
      <c r="I5396" s="1668" t="s">
        <v>92</v>
      </c>
      <c r="J5396" s="1669">
        <f>'Lead &amp; ANALYSIS'!L1018</f>
        <v>150.80000000000001</v>
      </c>
      <c r="K5396" s="1668" t="s">
        <v>1514</v>
      </c>
      <c r="L5396" s="1669">
        <f t="shared" ref="L5396" si="975">ROUND(H5396*J5396,0)</f>
        <v>0</v>
      </c>
    </row>
    <row r="5397" spans="1:12" s="692" customFormat="1" ht="58.15" hidden="1" customHeight="1">
      <c r="A5397" s="1665">
        <f>'Lead &amp; ANALYSIS'!A1019</f>
        <v>135</v>
      </c>
      <c r="B5397" s="1666" t="str">
        <f>'Lead &amp; ANALYSIS'!B1019</f>
        <v>Painting two coats with approved enamel paints of approved colour, shade over a coat of  primer over new Wood work including sand papering, polishing the surface,  etc, complete as per specification &amp; direction of Engineer-in-charge.</v>
      </c>
      <c r="C5397" s="688"/>
      <c r="D5397" s="1667"/>
      <c r="E5397" s="688"/>
      <c r="F5397" s="688"/>
      <c r="G5397" s="1674"/>
      <c r="H5397" s="688"/>
      <c r="I5397" s="1668"/>
      <c r="J5397" s="1668"/>
      <c r="K5397" s="1668"/>
      <c r="L5397" s="1669"/>
    </row>
    <row r="5398" spans="1:12" s="692" customFormat="1" ht="16.5" hidden="1">
      <c r="A5398" s="1665" t="str">
        <f>'Lead &amp; ANALYSIS'!A1020</f>
        <v>(i)</v>
      </c>
      <c r="B5398" s="1666" t="str">
        <f>'Lead &amp; ANALYSIS'!B1020</f>
        <v>Ground Floor</v>
      </c>
      <c r="C5398" s="688"/>
      <c r="D5398" s="1667"/>
      <c r="E5398" s="688"/>
      <c r="F5398" s="688"/>
      <c r="G5398" s="1674"/>
      <c r="H5398" s="688"/>
      <c r="I5398" s="1668"/>
      <c r="J5398" s="1668"/>
      <c r="K5398" s="1668"/>
      <c r="L5398" s="1669"/>
    </row>
    <row r="5399" spans="1:12" s="692" customFormat="1" ht="16.5" hidden="1">
      <c r="A5399" s="1665"/>
      <c r="B5399" s="1666"/>
      <c r="C5399" s="688"/>
      <c r="D5399" s="1667"/>
      <c r="E5399" s="1671">
        <v>3.5</v>
      </c>
      <c r="F5399" s="1671">
        <v>4</v>
      </c>
      <c r="G5399" s="1674"/>
      <c r="H5399" s="1671">
        <f t="shared" ref="H5399:H5404" si="976">ROUND(D5399*E5399*F5399,2)</f>
        <v>0</v>
      </c>
      <c r="I5399" s="688" t="s">
        <v>92</v>
      </c>
      <c r="J5399" s="1668"/>
      <c r="K5399" s="1668"/>
      <c r="L5399" s="1669"/>
    </row>
    <row r="5400" spans="1:12" s="692" customFormat="1" ht="16.5" hidden="1">
      <c r="A5400" s="1665"/>
      <c r="B5400" s="1666"/>
      <c r="C5400" s="688"/>
      <c r="D5400" s="1667"/>
      <c r="E5400" s="1671">
        <v>3.5</v>
      </c>
      <c r="F5400" s="1671">
        <v>4</v>
      </c>
      <c r="G5400" s="1674"/>
      <c r="H5400" s="1671">
        <f t="shared" si="976"/>
        <v>0</v>
      </c>
      <c r="I5400" s="688" t="s">
        <v>92</v>
      </c>
      <c r="J5400" s="1668"/>
      <c r="K5400" s="1668"/>
      <c r="L5400" s="1669"/>
    </row>
    <row r="5401" spans="1:12" s="692" customFormat="1" ht="16.5" hidden="1">
      <c r="A5401" s="1665"/>
      <c r="B5401" s="1666"/>
      <c r="C5401" s="688"/>
      <c r="D5401" s="1667"/>
      <c r="E5401" s="1671">
        <v>3.5</v>
      </c>
      <c r="F5401" s="1671">
        <v>4</v>
      </c>
      <c r="G5401" s="1674"/>
      <c r="H5401" s="1671">
        <f t="shared" si="976"/>
        <v>0</v>
      </c>
      <c r="I5401" s="688" t="s">
        <v>92</v>
      </c>
      <c r="J5401" s="1668"/>
      <c r="K5401" s="1668"/>
      <c r="L5401" s="1669"/>
    </row>
    <row r="5402" spans="1:12" s="692" customFormat="1" ht="16.5" hidden="1">
      <c r="A5402" s="1665"/>
      <c r="B5402" s="1666"/>
      <c r="C5402" s="688"/>
      <c r="D5402" s="1667"/>
      <c r="E5402" s="1671">
        <v>3.5</v>
      </c>
      <c r="F5402" s="1671">
        <v>4</v>
      </c>
      <c r="G5402" s="1674"/>
      <c r="H5402" s="1671">
        <f t="shared" si="976"/>
        <v>0</v>
      </c>
      <c r="I5402" s="688" t="s">
        <v>92</v>
      </c>
      <c r="J5402" s="1668"/>
      <c r="K5402" s="1668"/>
      <c r="L5402" s="1669"/>
    </row>
    <row r="5403" spans="1:12" s="692" customFormat="1" ht="16.5" hidden="1">
      <c r="A5403" s="1665"/>
      <c r="B5403" s="1666"/>
      <c r="C5403" s="688"/>
      <c r="D5403" s="1667"/>
      <c r="E5403" s="1671">
        <v>3.5</v>
      </c>
      <c r="F5403" s="1671">
        <v>4</v>
      </c>
      <c r="G5403" s="1674"/>
      <c r="H5403" s="1671">
        <f t="shared" si="976"/>
        <v>0</v>
      </c>
      <c r="I5403" s="688" t="s">
        <v>92</v>
      </c>
      <c r="J5403" s="1668"/>
      <c r="K5403" s="1668"/>
      <c r="L5403" s="1669"/>
    </row>
    <row r="5404" spans="1:12" s="692" customFormat="1" ht="16.5" hidden="1">
      <c r="A5404" s="1665"/>
      <c r="B5404" s="1666"/>
      <c r="C5404" s="688"/>
      <c r="D5404" s="1667"/>
      <c r="E5404" s="1671">
        <v>3.5</v>
      </c>
      <c r="F5404" s="1671">
        <v>4</v>
      </c>
      <c r="G5404" s="1674"/>
      <c r="H5404" s="1671">
        <f t="shared" si="976"/>
        <v>0</v>
      </c>
      <c r="I5404" s="688" t="s">
        <v>92</v>
      </c>
      <c r="J5404" s="1668"/>
      <c r="K5404" s="1668"/>
      <c r="L5404" s="1669"/>
    </row>
    <row r="5405" spans="1:12" s="692" customFormat="1" ht="16.5" hidden="1">
      <c r="A5405" s="1665"/>
      <c r="B5405" s="1666"/>
      <c r="C5405" s="688"/>
      <c r="D5405" s="1667"/>
      <c r="E5405" s="688"/>
      <c r="F5405" s="688"/>
      <c r="G5405" s="1674" t="s">
        <v>928</v>
      </c>
      <c r="H5405" s="1671">
        <f>SUM(H5399:H5404)</f>
        <v>0</v>
      </c>
      <c r="I5405" s="1668" t="s">
        <v>92</v>
      </c>
      <c r="J5405" s="1669">
        <f>'Lead &amp; ANALYSIS'!L1020</f>
        <v>198.6</v>
      </c>
      <c r="K5405" s="1668" t="s">
        <v>1514</v>
      </c>
      <c r="L5405" s="1669">
        <f t="shared" ref="L5405" si="977">ROUND(H5405*J5405,0)</f>
        <v>0</v>
      </c>
    </row>
    <row r="5406" spans="1:12" s="692" customFormat="1" ht="16.5" hidden="1">
      <c r="A5406" s="1665" t="str">
        <f>'Lead &amp; ANALYSIS'!A1021</f>
        <v>(ii)</v>
      </c>
      <c r="B5406" s="1666" t="str">
        <f>'Lead &amp; ANALYSIS'!B1021</f>
        <v>First Floor</v>
      </c>
      <c r="C5406" s="688"/>
      <c r="D5406" s="1667"/>
      <c r="E5406" s="688"/>
      <c r="F5406" s="688"/>
      <c r="G5406" s="1674"/>
      <c r="H5406" s="688"/>
      <c r="I5406" s="1668"/>
      <c r="J5406" s="1668"/>
      <c r="K5406" s="1668"/>
      <c r="L5406" s="1669"/>
    </row>
    <row r="5407" spans="1:12" s="692" customFormat="1" ht="16.5" hidden="1">
      <c r="A5407" s="1665"/>
      <c r="B5407" s="1666"/>
      <c r="C5407" s="688"/>
      <c r="D5407" s="1667"/>
      <c r="E5407" s="1671">
        <v>3.5</v>
      </c>
      <c r="F5407" s="1671">
        <v>4</v>
      </c>
      <c r="G5407" s="1674"/>
      <c r="H5407" s="1671">
        <f t="shared" ref="H5407:H5412" si="978">ROUND(D5407*E5407*F5407,2)</f>
        <v>0</v>
      </c>
      <c r="I5407" s="688" t="s">
        <v>92</v>
      </c>
      <c r="J5407" s="1668"/>
      <c r="K5407" s="1668"/>
      <c r="L5407" s="1669"/>
    </row>
    <row r="5408" spans="1:12" s="692" customFormat="1" ht="16.5" hidden="1">
      <c r="A5408" s="1665"/>
      <c r="B5408" s="1666"/>
      <c r="C5408" s="688"/>
      <c r="D5408" s="1667"/>
      <c r="E5408" s="1671">
        <v>3.5</v>
      </c>
      <c r="F5408" s="1671">
        <v>4</v>
      </c>
      <c r="G5408" s="1674"/>
      <c r="H5408" s="1671">
        <f t="shared" si="978"/>
        <v>0</v>
      </c>
      <c r="I5408" s="688" t="s">
        <v>92</v>
      </c>
      <c r="J5408" s="1668"/>
      <c r="K5408" s="1668"/>
      <c r="L5408" s="1669"/>
    </row>
    <row r="5409" spans="1:12" s="692" customFormat="1" ht="16.5" hidden="1">
      <c r="A5409" s="1665"/>
      <c r="B5409" s="1666"/>
      <c r="C5409" s="688"/>
      <c r="D5409" s="1667"/>
      <c r="E5409" s="1671">
        <v>3.5</v>
      </c>
      <c r="F5409" s="1671">
        <v>4</v>
      </c>
      <c r="G5409" s="1674"/>
      <c r="H5409" s="1671">
        <f t="shared" si="978"/>
        <v>0</v>
      </c>
      <c r="I5409" s="688" t="s">
        <v>92</v>
      </c>
      <c r="J5409" s="1668"/>
      <c r="K5409" s="1668"/>
      <c r="L5409" s="1669"/>
    </row>
    <row r="5410" spans="1:12" s="692" customFormat="1" ht="16.5" hidden="1">
      <c r="A5410" s="1665"/>
      <c r="B5410" s="1666"/>
      <c r="C5410" s="688"/>
      <c r="D5410" s="1667"/>
      <c r="E5410" s="1671">
        <v>3.5</v>
      </c>
      <c r="F5410" s="1671">
        <v>4</v>
      </c>
      <c r="G5410" s="1674"/>
      <c r="H5410" s="1671">
        <f t="shared" si="978"/>
        <v>0</v>
      </c>
      <c r="I5410" s="688" t="s">
        <v>92</v>
      </c>
      <c r="J5410" s="1668"/>
      <c r="K5410" s="1668"/>
      <c r="L5410" s="1669"/>
    </row>
    <row r="5411" spans="1:12" s="692" customFormat="1" ht="16.5" hidden="1">
      <c r="A5411" s="1665"/>
      <c r="B5411" s="1666"/>
      <c r="C5411" s="688"/>
      <c r="D5411" s="1667"/>
      <c r="E5411" s="1671">
        <v>3.5</v>
      </c>
      <c r="F5411" s="1671">
        <v>4</v>
      </c>
      <c r="G5411" s="1674"/>
      <c r="H5411" s="1671">
        <f t="shared" si="978"/>
        <v>0</v>
      </c>
      <c r="I5411" s="688" t="s">
        <v>92</v>
      </c>
      <c r="J5411" s="1668"/>
      <c r="K5411" s="1668"/>
      <c r="L5411" s="1669"/>
    </row>
    <row r="5412" spans="1:12" s="692" customFormat="1" ht="16.5" hidden="1">
      <c r="A5412" s="1665"/>
      <c r="B5412" s="1666"/>
      <c r="C5412" s="688"/>
      <c r="D5412" s="1667"/>
      <c r="E5412" s="1671">
        <v>3.5</v>
      </c>
      <c r="F5412" s="1671">
        <v>4</v>
      </c>
      <c r="G5412" s="1674"/>
      <c r="H5412" s="1671">
        <f t="shared" si="978"/>
        <v>0</v>
      </c>
      <c r="I5412" s="688" t="s">
        <v>92</v>
      </c>
      <c r="J5412" s="1668"/>
      <c r="K5412" s="1668"/>
      <c r="L5412" s="1669"/>
    </row>
    <row r="5413" spans="1:12" s="692" customFormat="1" ht="16.5" hidden="1">
      <c r="A5413" s="1665"/>
      <c r="B5413" s="1666"/>
      <c r="C5413" s="688"/>
      <c r="D5413" s="1667"/>
      <c r="E5413" s="688"/>
      <c r="F5413" s="688"/>
      <c r="G5413" s="1674" t="s">
        <v>928</v>
      </c>
      <c r="H5413" s="1671">
        <f>SUM(H5407:H5412)</f>
        <v>0</v>
      </c>
      <c r="I5413" s="1668" t="s">
        <v>92</v>
      </c>
      <c r="J5413" s="1669">
        <f>'Lead &amp; ANALYSIS'!L1021</f>
        <v>203.1</v>
      </c>
      <c r="K5413" s="1668" t="s">
        <v>1514</v>
      </c>
      <c r="L5413" s="1669">
        <f t="shared" ref="L5413" si="979">ROUND(H5413*J5413,0)</f>
        <v>0</v>
      </c>
    </row>
    <row r="5414" spans="1:12" s="692" customFormat="1" ht="16.5" hidden="1">
      <c r="A5414" s="1693" t="str">
        <f>'Lead &amp; ANALYSIS'!A1022</f>
        <v>(iii)</v>
      </c>
      <c r="B5414" s="1666" t="str">
        <f>'Lead &amp; ANALYSIS'!B1022</f>
        <v>2nd Floor</v>
      </c>
      <c r="C5414" s="688"/>
      <c r="D5414" s="1667"/>
      <c r="E5414" s="688"/>
      <c r="F5414" s="688"/>
      <c r="G5414" s="1674"/>
      <c r="H5414" s="688"/>
      <c r="I5414" s="1668"/>
      <c r="J5414" s="1668"/>
      <c r="K5414" s="1668"/>
      <c r="L5414" s="1669"/>
    </row>
    <row r="5415" spans="1:12" s="692" customFormat="1" ht="16.5" hidden="1">
      <c r="A5415" s="1693"/>
      <c r="B5415" s="1666"/>
      <c r="C5415" s="688"/>
      <c r="D5415" s="1667"/>
      <c r="E5415" s="1671">
        <v>3.5</v>
      </c>
      <c r="F5415" s="1668"/>
      <c r="G5415" s="1671">
        <v>4</v>
      </c>
      <c r="H5415" s="1671">
        <f t="shared" ref="H5415:H5420" si="980">ROUND(D5415*E5415*G5415,2)</f>
        <v>0</v>
      </c>
      <c r="I5415" s="688" t="s">
        <v>92</v>
      </c>
      <c r="J5415" s="1668"/>
      <c r="K5415" s="1668"/>
      <c r="L5415" s="1669"/>
    </row>
    <row r="5416" spans="1:12" s="692" customFormat="1" ht="16.5" hidden="1">
      <c r="A5416" s="1693"/>
      <c r="B5416" s="1666"/>
      <c r="C5416" s="688"/>
      <c r="D5416" s="1667"/>
      <c r="E5416" s="1671">
        <v>3.5</v>
      </c>
      <c r="F5416" s="1668"/>
      <c r="G5416" s="1671">
        <v>4</v>
      </c>
      <c r="H5416" s="1671">
        <f t="shared" si="980"/>
        <v>0</v>
      </c>
      <c r="I5416" s="688" t="s">
        <v>92</v>
      </c>
      <c r="J5416" s="1668"/>
      <c r="K5416" s="1668"/>
      <c r="L5416" s="1669"/>
    </row>
    <row r="5417" spans="1:12" s="692" customFormat="1" ht="16.5" hidden="1">
      <c r="A5417" s="1693"/>
      <c r="B5417" s="1666"/>
      <c r="C5417" s="688"/>
      <c r="D5417" s="1667"/>
      <c r="E5417" s="1671">
        <v>3.5</v>
      </c>
      <c r="F5417" s="1668"/>
      <c r="G5417" s="1671">
        <v>4</v>
      </c>
      <c r="H5417" s="1671">
        <f t="shared" si="980"/>
        <v>0</v>
      </c>
      <c r="I5417" s="688" t="s">
        <v>92</v>
      </c>
      <c r="J5417" s="1668"/>
      <c r="K5417" s="1668"/>
      <c r="L5417" s="1669"/>
    </row>
    <row r="5418" spans="1:12" s="692" customFormat="1" ht="16.5" hidden="1">
      <c r="A5418" s="1693"/>
      <c r="B5418" s="1666"/>
      <c r="C5418" s="688"/>
      <c r="D5418" s="1667"/>
      <c r="E5418" s="1671">
        <v>3.5</v>
      </c>
      <c r="F5418" s="1668"/>
      <c r="G5418" s="1671">
        <v>4</v>
      </c>
      <c r="H5418" s="1671">
        <f t="shared" si="980"/>
        <v>0</v>
      </c>
      <c r="I5418" s="688" t="s">
        <v>92</v>
      </c>
      <c r="J5418" s="1668"/>
      <c r="K5418" s="1668"/>
      <c r="L5418" s="1669"/>
    </row>
    <row r="5419" spans="1:12" s="692" customFormat="1" ht="16.5" hidden="1">
      <c r="A5419" s="1693"/>
      <c r="B5419" s="1666"/>
      <c r="C5419" s="688"/>
      <c r="D5419" s="1667"/>
      <c r="E5419" s="1671">
        <v>3.5</v>
      </c>
      <c r="F5419" s="1668"/>
      <c r="G5419" s="1671">
        <v>4</v>
      </c>
      <c r="H5419" s="1671">
        <f t="shared" si="980"/>
        <v>0</v>
      </c>
      <c r="I5419" s="688" t="s">
        <v>92</v>
      </c>
      <c r="J5419" s="1668"/>
      <c r="K5419" s="1668"/>
      <c r="L5419" s="1669"/>
    </row>
    <row r="5420" spans="1:12" s="692" customFormat="1" ht="16.5" hidden="1">
      <c r="A5420" s="1693"/>
      <c r="B5420" s="1666"/>
      <c r="C5420" s="688"/>
      <c r="D5420" s="1667"/>
      <c r="E5420" s="1671">
        <v>3.5</v>
      </c>
      <c r="F5420" s="1668"/>
      <c r="G5420" s="1671">
        <v>4</v>
      </c>
      <c r="H5420" s="1671">
        <f t="shared" si="980"/>
        <v>0</v>
      </c>
      <c r="I5420" s="688" t="s">
        <v>92</v>
      </c>
      <c r="J5420" s="1668"/>
      <c r="K5420" s="1668"/>
      <c r="L5420" s="1669"/>
    </row>
    <row r="5421" spans="1:12" s="692" customFormat="1" ht="16.5" hidden="1">
      <c r="A5421" s="1693"/>
      <c r="B5421" s="1666"/>
      <c r="C5421" s="688"/>
      <c r="D5421" s="1667"/>
      <c r="E5421" s="688"/>
      <c r="F5421" s="688"/>
      <c r="G5421" s="1674" t="s">
        <v>928</v>
      </c>
      <c r="H5421" s="1671">
        <f>SUM(H5415:H5420)</f>
        <v>0</v>
      </c>
      <c r="I5421" s="1668" t="s">
        <v>92</v>
      </c>
      <c r="J5421" s="1669">
        <f>'Lead &amp; ANALYSIS'!L1022</f>
        <v>207.9</v>
      </c>
      <c r="K5421" s="1668" t="s">
        <v>1514</v>
      </c>
      <c r="L5421" s="1669">
        <f t="shared" ref="L5421" si="981">ROUND(H5421*J5421,0)</f>
        <v>0</v>
      </c>
    </row>
    <row r="5422" spans="1:12" s="692" customFormat="1" ht="16.5" hidden="1">
      <c r="A5422" s="1693" t="str">
        <f>'Lead &amp; ANALYSIS'!A1023</f>
        <v>(iv)</v>
      </c>
      <c r="B5422" s="1666" t="str">
        <f>'Lead &amp; ANALYSIS'!B1023</f>
        <v>3rd Floor</v>
      </c>
      <c r="C5422" s="688"/>
      <c r="D5422" s="1667"/>
      <c r="E5422" s="688"/>
      <c r="F5422" s="688"/>
      <c r="G5422" s="1674"/>
      <c r="H5422" s="688"/>
      <c r="I5422" s="1668"/>
      <c r="J5422" s="1668"/>
      <c r="K5422" s="1668"/>
      <c r="L5422" s="1669"/>
    </row>
    <row r="5423" spans="1:12" s="692" customFormat="1" ht="16.5" hidden="1">
      <c r="A5423" s="1693"/>
      <c r="B5423" s="1666"/>
      <c r="C5423" s="688"/>
      <c r="D5423" s="1667"/>
      <c r="E5423" s="1671">
        <v>3.5</v>
      </c>
      <c r="F5423" s="1668"/>
      <c r="G5423" s="1671">
        <v>4</v>
      </c>
      <c r="H5423" s="1671">
        <f t="shared" ref="H5423:H5428" si="982">ROUND(D5423*E5423*G5423,2)</f>
        <v>0</v>
      </c>
      <c r="I5423" s="688" t="s">
        <v>92</v>
      </c>
      <c r="J5423" s="1668"/>
      <c r="K5423" s="1668"/>
      <c r="L5423" s="1669"/>
    </row>
    <row r="5424" spans="1:12" s="692" customFormat="1" ht="16.5" hidden="1">
      <c r="A5424" s="1665"/>
      <c r="B5424" s="1666"/>
      <c r="C5424" s="688"/>
      <c r="D5424" s="1667"/>
      <c r="E5424" s="1671">
        <v>3.5</v>
      </c>
      <c r="F5424" s="1668"/>
      <c r="G5424" s="1671">
        <v>4</v>
      </c>
      <c r="H5424" s="1671">
        <f t="shared" si="982"/>
        <v>0</v>
      </c>
      <c r="I5424" s="688" t="s">
        <v>92</v>
      </c>
      <c r="J5424" s="1668"/>
      <c r="K5424" s="1668"/>
      <c r="L5424" s="1669"/>
    </row>
    <row r="5425" spans="1:12" s="692" customFormat="1" ht="16.5" hidden="1">
      <c r="A5425" s="1665"/>
      <c r="B5425" s="1666"/>
      <c r="C5425" s="688"/>
      <c r="D5425" s="1667"/>
      <c r="E5425" s="1671">
        <v>3.5</v>
      </c>
      <c r="F5425" s="1668"/>
      <c r="G5425" s="1671">
        <v>4</v>
      </c>
      <c r="H5425" s="1671">
        <f t="shared" si="982"/>
        <v>0</v>
      </c>
      <c r="I5425" s="688" t="s">
        <v>92</v>
      </c>
      <c r="J5425" s="1668"/>
      <c r="K5425" s="1668"/>
      <c r="L5425" s="1669"/>
    </row>
    <row r="5426" spans="1:12" s="692" customFormat="1" ht="16.5" hidden="1">
      <c r="A5426" s="1665"/>
      <c r="B5426" s="1666"/>
      <c r="C5426" s="688"/>
      <c r="D5426" s="1667"/>
      <c r="E5426" s="1671">
        <v>3.5</v>
      </c>
      <c r="F5426" s="1668"/>
      <c r="G5426" s="1671">
        <v>4</v>
      </c>
      <c r="H5426" s="1671">
        <f t="shared" si="982"/>
        <v>0</v>
      </c>
      <c r="I5426" s="688" t="s">
        <v>92</v>
      </c>
      <c r="J5426" s="1668"/>
      <c r="K5426" s="1668"/>
      <c r="L5426" s="1669"/>
    </row>
    <row r="5427" spans="1:12" s="692" customFormat="1" ht="16.5" hidden="1">
      <c r="A5427" s="1665"/>
      <c r="B5427" s="1666"/>
      <c r="C5427" s="688"/>
      <c r="D5427" s="1667"/>
      <c r="E5427" s="1671">
        <v>3.5</v>
      </c>
      <c r="F5427" s="1668"/>
      <c r="G5427" s="1671">
        <v>4</v>
      </c>
      <c r="H5427" s="1671">
        <f t="shared" si="982"/>
        <v>0</v>
      </c>
      <c r="I5427" s="688" t="s">
        <v>92</v>
      </c>
      <c r="J5427" s="1668"/>
      <c r="K5427" s="1668"/>
      <c r="L5427" s="1669"/>
    </row>
    <row r="5428" spans="1:12" s="692" customFormat="1" ht="16.5" hidden="1">
      <c r="A5428" s="1665"/>
      <c r="B5428" s="1666"/>
      <c r="C5428" s="688"/>
      <c r="D5428" s="1667"/>
      <c r="E5428" s="1671">
        <v>3.5</v>
      </c>
      <c r="F5428" s="1668"/>
      <c r="G5428" s="1671">
        <v>4</v>
      </c>
      <c r="H5428" s="1671">
        <f t="shared" si="982"/>
        <v>0</v>
      </c>
      <c r="I5428" s="688" t="s">
        <v>92</v>
      </c>
      <c r="J5428" s="1668"/>
      <c r="K5428" s="1668"/>
      <c r="L5428" s="1669"/>
    </row>
    <row r="5429" spans="1:12" s="692" customFormat="1" ht="16.5" hidden="1">
      <c r="A5429" s="1665"/>
      <c r="B5429" s="1666"/>
      <c r="C5429" s="688"/>
      <c r="D5429" s="1667"/>
      <c r="E5429" s="688"/>
      <c r="F5429" s="688"/>
      <c r="G5429" s="1674" t="s">
        <v>928</v>
      </c>
      <c r="H5429" s="1671">
        <f>SUM(H5423:H5428)</f>
        <v>0</v>
      </c>
      <c r="I5429" s="1668" t="s">
        <v>92</v>
      </c>
      <c r="J5429" s="1669">
        <f>'Lead &amp; ANALYSIS'!L1023</f>
        <v>212.7</v>
      </c>
      <c r="K5429" s="1668" t="s">
        <v>1514</v>
      </c>
      <c r="L5429" s="1669">
        <f t="shared" ref="L5429" si="983">ROUND(H5429*J5429,0)</f>
        <v>0</v>
      </c>
    </row>
    <row r="5430" spans="1:12" s="692" customFormat="1" ht="66" hidden="1">
      <c r="A5430" s="1665">
        <f>'Lead &amp; ANALYSIS'!A1024</f>
        <v>136</v>
      </c>
      <c r="B5430" s="1666" t="str">
        <f>'Lead &amp; ANALYSIS'!B1024</f>
        <v>Fine dressing of earth work in Ordinary or Hard Soil in road formation according to the direction of the department including cutting or filling earth upto 0.15m depth of surface.</v>
      </c>
      <c r="C5430" s="688"/>
      <c r="D5430" s="1667"/>
      <c r="E5430" s="688"/>
      <c r="F5430" s="688"/>
      <c r="G5430" s="1674"/>
      <c r="H5430" s="688"/>
      <c r="I5430" s="1668"/>
      <c r="J5430" s="1668"/>
      <c r="K5430" s="1668"/>
      <c r="L5430" s="1669"/>
    </row>
    <row r="5431" spans="1:12" s="692" customFormat="1" ht="16.5" hidden="1">
      <c r="A5431" s="1665"/>
      <c r="B5431" s="1666"/>
      <c r="C5431" s="688"/>
      <c r="D5431" s="1667"/>
      <c r="E5431" s="1671">
        <v>3.5</v>
      </c>
      <c r="F5431" s="1671">
        <v>4</v>
      </c>
      <c r="G5431" s="1674"/>
      <c r="H5431" s="1671">
        <f t="shared" ref="H5431:H5436" si="984">ROUND(D5431*E5431*F5431,2)</f>
        <v>0</v>
      </c>
      <c r="I5431" s="688" t="s">
        <v>92</v>
      </c>
      <c r="J5431" s="1668"/>
      <c r="K5431" s="1668"/>
      <c r="L5431" s="1669"/>
    </row>
    <row r="5432" spans="1:12" s="692" customFormat="1" ht="16.5" hidden="1">
      <c r="A5432" s="1665"/>
      <c r="B5432" s="1666"/>
      <c r="C5432" s="688"/>
      <c r="D5432" s="1667"/>
      <c r="E5432" s="1671">
        <v>3.5</v>
      </c>
      <c r="F5432" s="1671">
        <v>4</v>
      </c>
      <c r="G5432" s="1674"/>
      <c r="H5432" s="1671">
        <f t="shared" si="984"/>
        <v>0</v>
      </c>
      <c r="I5432" s="688" t="s">
        <v>92</v>
      </c>
      <c r="J5432" s="1668"/>
      <c r="K5432" s="1668"/>
      <c r="L5432" s="1669"/>
    </row>
    <row r="5433" spans="1:12" s="692" customFormat="1" ht="16.5" hidden="1">
      <c r="A5433" s="1665"/>
      <c r="B5433" s="1666"/>
      <c r="C5433" s="688"/>
      <c r="D5433" s="1667"/>
      <c r="E5433" s="1671">
        <v>3.5</v>
      </c>
      <c r="F5433" s="1671">
        <v>4</v>
      </c>
      <c r="G5433" s="1674"/>
      <c r="H5433" s="1671">
        <f t="shared" si="984"/>
        <v>0</v>
      </c>
      <c r="I5433" s="688" t="s">
        <v>92</v>
      </c>
      <c r="J5433" s="1668"/>
      <c r="K5433" s="1668"/>
      <c r="L5433" s="1669"/>
    </row>
    <row r="5434" spans="1:12" s="692" customFormat="1" ht="16.5" hidden="1">
      <c r="A5434" s="1665"/>
      <c r="B5434" s="1666"/>
      <c r="C5434" s="688"/>
      <c r="D5434" s="1667"/>
      <c r="E5434" s="1671">
        <v>3.5</v>
      </c>
      <c r="F5434" s="1671">
        <v>4</v>
      </c>
      <c r="G5434" s="1674"/>
      <c r="H5434" s="1671">
        <f t="shared" si="984"/>
        <v>0</v>
      </c>
      <c r="I5434" s="688" t="s">
        <v>92</v>
      </c>
      <c r="J5434" s="1668"/>
      <c r="K5434" s="1668"/>
      <c r="L5434" s="1669"/>
    </row>
    <row r="5435" spans="1:12" s="692" customFormat="1" ht="16.5" hidden="1">
      <c r="A5435" s="1665"/>
      <c r="B5435" s="1666"/>
      <c r="C5435" s="688"/>
      <c r="D5435" s="1667"/>
      <c r="E5435" s="1671">
        <v>3.5</v>
      </c>
      <c r="F5435" s="1671">
        <v>4</v>
      </c>
      <c r="G5435" s="1674"/>
      <c r="H5435" s="1671">
        <f t="shared" si="984"/>
        <v>0</v>
      </c>
      <c r="I5435" s="688" t="s">
        <v>92</v>
      </c>
      <c r="J5435" s="1668"/>
      <c r="K5435" s="1668"/>
      <c r="L5435" s="1669"/>
    </row>
    <row r="5436" spans="1:12" s="692" customFormat="1" ht="16.5" hidden="1">
      <c r="A5436" s="1665"/>
      <c r="B5436" s="1666"/>
      <c r="C5436" s="688"/>
      <c r="D5436" s="1667"/>
      <c r="E5436" s="1671">
        <v>3.5</v>
      </c>
      <c r="F5436" s="1671">
        <v>4</v>
      </c>
      <c r="G5436" s="1674"/>
      <c r="H5436" s="1671">
        <f t="shared" si="984"/>
        <v>0</v>
      </c>
      <c r="I5436" s="688" t="s">
        <v>92</v>
      </c>
      <c r="J5436" s="1668"/>
      <c r="K5436" s="1668"/>
      <c r="L5436" s="1669"/>
    </row>
    <row r="5437" spans="1:12" s="692" customFormat="1" ht="16.5" hidden="1">
      <c r="A5437" s="1665"/>
      <c r="B5437" s="1666"/>
      <c r="C5437" s="688"/>
      <c r="D5437" s="1667"/>
      <c r="E5437" s="688"/>
      <c r="F5437" s="688"/>
      <c r="G5437" s="1674" t="s">
        <v>928</v>
      </c>
      <c r="H5437" s="1671">
        <f>SUM(H5431:H5436)</f>
        <v>0</v>
      </c>
      <c r="I5437" s="1668" t="s">
        <v>92</v>
      </c>
      <c r="J5437" s="1669">
        <f>'Lead &amp; ANALYSIS'!L1024</f>
        <v>3.5</v>
      </c>
      <c r="K5437" s="1668" t="s">
        <v>1514</v>
      </c>
      <c r="L5437" s="1669">
        <f t="shared" ref="L5437" si="985">ROUND(H5437*J5437,0)</f>
        <v>0</v>
      </c>
    </row>
    <row r="5438" spans="1:12" s="692" customFormat="1" ht="49.5" hidden="1">
      <c r="A5438" s="1665">
        <f>'Lead &amp; ANALYSIS'!A1025</f>
        <v>137</v>
      </c>
      <c r="B5438" s="1666" t="str">
        <f>'Lead &amp; ANALYSIS'!B1025</f>
        <v>Cleaning grass and removal of rubbish upto a distance of 50metres outside the peryphery of the area etc complete as per specification.</v>
      </c>
      <c r="C5438" s="688"/>
      <c r="D5438" s="1667"/>
      <c r="E5438" s="688"/>
      <c r="F5438" s="688"/>
      <c r="G5438" s="1674"/>
      <c r="H5438" s="688"/>
      <c r="I5438" s="1668"/>
      <c r="J5438" s="1668"/>
      <c r="K5438" s="1668"/>
      <c r="L5438" s="1669"/>
    </row>
    <row r="5439" spans="1:12" s="692" customFormat="1" ht="16.5" hidden="1">
      <c r="A5439" s="1665"/>
      <c r="B5439" s="1666"/>
      <c r="C5439" s="688"/>
      <c r="D5439" s="1667"/>
      <c r="E5439" s="1671">
        <v>3.5</v>
      </c>
      <c r="F5439" s="1671">
        <v>4</v>
      </c>
      <c r="G5439" s="1674"/>
      <c r="H5439" s="1671">
        <f t="shared" ref="H5439:H5444" si="986">ROUND(D5439*E5439*F5439,2)</f>
        <v>0</v>
      </c>
      <c r="I5439" s="688" t="s">
        <v>92</v>
      </c>
      <c r="J5439" s="1668"/>
      <c r="K5439" s="1668"/>
      <c r="L5439" s="1669"/>
    </row>
    <row r="5440" spans="1:12" s="692" customFormat="1" ht="16.5" hidden="1">
      <c r="A5440" s="1665"/>
      <c r="B5440" s="1666"/>
      <c r="C5440" s="688"/>
      <c r="D5440" s="1667"/>
      <c r="E5440" s="1671">
        <v>3.5</v>
      </c>
      <c r="F5440" s="1671">
        <v>4</v>
      </c>
      <c r="G5440" s="1674"/>
      <c r="H5440" s="1671">
        <f t="shared" si="986"/>
        <v>0</v>
      </c>
      <c r="I5440" s="688" t="s">
        <v>92</v>
      </c>
      <c r="J5440" s="1668"/>
      <c r="K5440" s="1668"/>
      <c r="L5440" s="1669"/>
    </row>
    <row r="5441" spans="1:12" s="692" customFormat="1" ht="16.5" hidden="1">
      <c r="A5441" s="1665"/>
      <c r="B5441" s="1666"/>
      <c r="C5441" s="688"/>
      <c r="D5441" s="1667"/>
      <c r="E5441" s="1671">
        <v>3.5</v>
      </c>
      <c r="F5441" s="1671">
        <v>4</v>
      </c>
      <c r="G5441" s="1674"/>
      <c r="H5441" s="1671">
        <f t="shared" si="986"/>
        <v>0</v>
      </c>
      <c r="I5441" s="688" t="s">
        <v>92</v>
      </c>
      <c r="J5441" s="1668"/>
      <c r="K5441" s="1668"/>
      <c r="L5441" s="1669"/>
    </row>
    <row r="5442" spans="1:12" s="692" customFormat="1" ht="16.5" hidden="1">
      <c r="A5442" s="1665"/>
      <c r="B5442" s="1666"/>
      <c r="C5442" s="688"/>
      <c r="D5442" s="1667"/>
      <c r="E5442" s="1671">
        <v>3.5</v>
      </c>
      <c r="F5442" s="1671">
        <v>4</v>
      </c>
      <c r="G5442" s="1674"/>
      <c r="H5442" s="1671">
        <f t="shared" si="986"/>
        <v>0</v>
      </c>
      <c r="I5442" s="688" t="s">
        <v>92</v>
      </c>
      <c r="J5442" s="1668"/>
      <c r="K5442" s="1668"/>
      <c r="L5442" s="1669"/>
    </row>
    <row r="5443" spans="1:12" s="692" customFormat="1" ht="16.5" hidden="1">
      <c r="A5443" s="1665"/>
      <c r="B5443" s="1666"/>
      <c r="C5443" s="688"/>
      <c r="D5443" s="1667"/>
      <c r="E5443" s="1671">
        <v>3.5</v>
      </c>
      <c r="F5443" s="1671">
        <v>4</v>
      </c>
      <c r="G5443" s="1674"/>
      <c r="H5443" s="1671">
        <f t="shared" si="986"/>
        <v>0</v>
      </c>
      <c r="I5443" s="688" t="s">
        <v>92</v>
      </c>
      <c r="J5443" s="1668"/>
      <c r="K5443" s="1668"/>
      <c r="L5443" s="1669"/>
    </row>
    <row r="5444" spans="1:12" s="692" customFormat="1" ht="16.5" hidden="1">
      <c r="A5444" s="1665"/>
      <c r="B5444" s="1666"/>
      <c r="C5444" s="688"/>
      <c r="D5444" s="1667"/>
      <c r="E5444" s="1671">
        <v>3.5</v>
      </c>
      <c r="F5444" s="1671">
        <v>4</v>
      </c>
      <c r="G5444" s="1674"/>
      <c r="H5444" s="1671">
        <f t="shared" si="986"/>
        <v>0</v>
      </c>
      <c r="I5444" s="688" t="s">
        <v>92</v>
      </c>
      <c r="J5444" s="1668"/>
      <c r="K5444" s="1668"/>
      <c r="L5444" s="1669"/>
    </row>
    <row r="5445" spans="1:12" s="692" customFormat="1" ht="16.5" hidden="1">
      <c r="A5445" s="1665"/>
      <c r="B5445" s="1666"/>
      <c r="C5445" s="688"/>
      <c r="D5445" s="1667"/>
      <c r="E5445" s="688"/>
      <c r="F5445" s="688"/>
      <c r="G5445" s="1674" t="s">
        <v>928</v>
      </c>
      <c r="H5445" s="1671">
        <f>SUM(H5439:H5444)</f>
        <v>0</v>
      </c>
      <c r="I5445" s="1668" t="s">
        <v>92</v>
      </c>
      <c r="J5445" s="1669">
        <f>'Lead &amp; ANALYSIS'!L1025</f>
        <v>1.8</v>
      </c>
      <c r="K5445" s="1668" t="s">
        <v>1514</v>
      </c>
      <c r="L5445" s="1669">
        <f t="shared" ref="L5445" si="987">ROUND(H5445*J5445,0)</f>
        <v>0</v>
      </c>
    </row>
    <row r="5446" spans="1:12" s="692" customFormat="1" ht="108" hidden="1" customHeight="1">
      <c r="A5446" s="1665">
        <f>'Lead &amp; ANALYSIS'!A1026</f>
        <v>138</v>
      </c>
      <c r="B5446" s="1666" t="str">
        <f>'Lead &amp; ANALYSIS'!B1026</f>
        <v>Cleaning and grubbing road land including uprooting rank vegetation, grass, bushes, shrubs, sapling and trees girth up to 300mm, removal of stumps of trees cut earlier and disposal of unserviceable materials and stacking of serviceable materials to be used or auctioned, up to lead of 1000m including removal and disposal of top organic soil not exceeding 150mm in thickness. (in area of light jungle)</v>
      </c>
      <c r="C5446" s="688"/>
      <c r="D5446" s="1667"/>
      <c r="E5446" s="688"/>
      <c r="F5446" s="688"/>
      <c r="G5446" s="1674"/>
      <c r="H5446" s="688"/>
      <c r="I5446" s="1668"/>
      <c r="J5446" s="1668"/>
      <c r="K5446" s="1668"/>
      <c r="L5446" s="1669"/>
    </row>
    <row r="5447" spans="1:12" s="692" customFormat="1" ht="16.5" hidden="1">
      <c r="A5447" s="1665" t="str">
        <f>'Lead &amp; ANALYSIS'!A1027</f>
        <v>i</v>
      </c>
      <c r="B5447" s="1666" t="str">
        <f>'Lead &amp; ANALYSIS'!B1027</f>
        <v>Light Jungle</v>
      </c>
      <c r="C5447" s="688"/>
      <c r="D5447" s="1667"/>
      <c r="E5447" s="688"/>
      <c r="F5447" s="688"/>
      <c r="G5447" s="1674"/>
      <c r="H5447" s="688"/>
      <c r="I5447" s="1668"/>
      <c r="J5447" s="1668"/>
      <c r="K5447" s="1668"/>
      <c r="L5447" s="1669"/>
    </row>
    <row r="5448" spans="1:12" s="692" customFormat="1" ht="16.5" hidden="1">
      <c r="A5448" s="1665"/>
      <c r="B5448" s="1666"/>
      <c r="C5448" s="688"/>
      <c r="D5448" s="1667"/>
      <c r="E5448" s="1671">
        <v>3.5</v>
      </c>
      <c r="F5448" s="1671">
        <v>4</v>
      </c>
      <c r="G5448" s="1674"/>
      <c r="H5448" s="1671">
        <f t="shared" ref="H5448:H5453" si="988">ROUND(D5448*E5448*F5448,2)</f>
        <v>0</v>
      </c>
      <c r="I5448" s="688" t="s">
        <v>92</v>
      </c>
      <c r="J5448" s="1668"/>
      <c r="K5448" s="1668"/>
      <c r="L5448" s="1669"/>
    </row>
    <row r="5449" spans="1:12" s="692" customFormat="1" ht="16.5" hidden="1">
      <c r="A5449" s="1665"/>
      <c r="B5449" s="1666"/>
      <c r="C5449" s="688"/>
      <c r="D5449" s="1667"/>
      <c r="E5449" s="1671">
        <v>3.5</v>
      </c>
      <c r="F5449" s="1671">
        <v>4</v>
      </c>
      <c r="G5449" s="1674"/>
      <c r="H5449" s="1671">
        <f t="shared" si="988"/>
        <v>0</v>
      </c>
      <c r="I5449" s="688" t="s">
        <v>92</v>
      </c>
      <c r="J5449" s="1668"/>
      <c r="K5449" s="1668"/>
      <c r="L5449" s="1669"/>
    </row>
    <row r="5450" spans="1:12" s="692" customFormat="1" ht="16.5" hidden="1">
      <c r="A5450" s="1665"/>
      <c r="B5450" s="1666"/>
      <c r="C5450" s="688"/>
      <c r="D5450" s="1667"/>
      <c r="E5450" s="1671">
        <v>3.5</v>
      </c>
      <c r="F5450" s="1671">
        <v>4</v>
      </c>
      <c r="G5450" s="1674"/>
      <c r="H5450" s="1671">
        <f t="shared" si="988"/>
        <v>0</v>
      </c>
      <c r="I5450" s="688" t="s">
        <v>92</v>
      </c>
      <c r="J5450" s="1668"/>
      <c r="K5450" s="1668"/>
      <c r="L5450" s="1669"/>
    </row>
    <row r="5451" spans="1:12" s="692" customFormat="1" ht="16.5" hidden="1">
      <c r="A5451" s="1665"/>
      <c r="B5451" s="1666"/>
      <c r="C5451" s="688"/>
      <c r="D5451" s="1667"/>
      <c r="E5451" s="1671">
        <v>3.5</v>
      </c>
      <c r="F5451" s="1671">
        <v>4</v>
      </c>
      <c r="G5451" s="1674"/>
      <c r="H5451" s="1671">
        <f t="shared" si="988"/>
        <v>0</v>
      </c>
      <c r="I5451" s="688" t="s">
        <v>92</v>
      </c>
      <c r="J5451" s="1668"/>
      <c r="K5451" s="1668"/>
      <c r="L5451" s="1669"/>
    </row>
    <row r="5452" spans="1:12" s="692" customFormat="1" ht="16.5" hidden="1">
      <c r="A5452" s="1665"/>
      <c r="B5452" s="1666"/>
      <c r="C5452" s="688"/>
      <c r="D5452" s="1667"/>
      <c r="E5452" s="1671">
        <v>3.5</v>
      </c>
      <c r="F5452" s="1671">
        <v>4</v>
      </c>
      <c r="G5452" s="1674"/>
      <c r="H5452" s="1671">
        <f t="shared" si="988"/>
        <v>0</v>
      </c>
      <c r="I5452" s="688" t="s">
        <v>92</v>
      </c>
      <c r="J5452" s="1668"/>
      <c r="K5452" s="1668"/>
      <c r="L5452" s="1669"/>
    </row>
    <row r="5453" spans="1:12" s="692" customFormat="1" ht="16.5" hidden="1">
      <c r="A5453" s="1665"/>
      <c r="B5453" s="1666"/>
      <c r="C5453" s="688"/>
      <c r="D5453" s="1667"/>
      <c r="E5453" s="1671">
        <v>3.5</v>
      </c>
      <c r="F5453" s="1671">
        <v>4</v>
      </c>
      <c r="G5453" s="1674"/>
      <c r="H5453" s="1671">
        <f t="shared" si="988"/>
        <v>0</v>
      </c>
      <c r="I5453" s="688" t="s">
        <v>92</v>
      </c>
      <c r="J5453" s="1668"/>
      <c r="K5453" s="1668"/>
      <c r="L5453" s="1669"/>
    </row>
    <row r="5454" spans="1:12" s="692" customFormat="1" ht="16.5" hidden="1">
      <c r="A5454" s="1665"/>
      <c r="B5454" s="1666"/>
      <c r="C5454" s="688"/>
      <c r="D5454" s="1667"/>
      <c r="E5454" s="688"/>
      <c r="F5454" s="688"/>
      <c r="G5454" s="1674" t="s">
        <v>928</v>
      </c>
      <c r="H5454" s="1671">
        <f>SUM(H5448:H5453)</f>
        <v>0</v>
      </c>
      <c r="I5454" s="1668" t="s">
        <v>92</v>
      </c>
      <c r="J5454" s="1669">
        <f>'Lead &amp; ANALYSIS'!L1027</f>
        <v>5.4</v>
      </c>
      <c r="K5454" s="1668" t="s">
        <v>1514</v>
      </c>
      <c r="L5454" s="1669">
        <f t="shared" ref="L5454" si="989">ROUND(H5454*J5454,0)</f>
        <v>0</v>
      </c>
    </row>
    <row r="5455" spans="1:12" s="692" customFormat="1" ht="16.5" hidden="1">
      <c r="A5455" s="1665" t="str">
        <f>'Lead &amp; ANALYSIS'!A1028</f>
        <v>ii</v>
      </c>
      <c r="B5455" s="1666" t="str">
        <f>'Lead &amp; ANALYSIS'!B1028</f>
        <v>Thorney Jungle</v>
      </c>
      <c r="C5455" s="688"/>
      <c r="D5455" s="1667"/>
      <c r="E5455" s="688"/>
      <c r="F5455" s="688"/>
      <c r="G5455" s="1674"/>
      <c r="H5455" s="688"/>
      <c r="I5455" s="1668"/>
      <c r="J5455" s="1668"/>
      <c r="K5455" s="1668"/>
      <c r="L5455" s="1669"/>
    </row>
    <row r="5456" spans="1:12" s="692" customFormat="1" ht="16.5" hidden="1">
      <c r="A5456" s="1665"/>
      <c r="B5456" s="1666"/>
      <c r="C5456" s="688"/>
      <c r="D5456" s="1667"/>
      <c r="E5456" s="1671">
        <v>3.5</v>
      </c>
      <c r="F5456" s="1671">
        <v>4</v>
      </c>
      <c r="G5456" s="1674"/>
      <c r="H5456" s="1671">
        <f t="shared" ref="H5456:H5461" si="990">ROUND(D5456*E5456*F5456,2)</f>
        <v>0</v>
      </c>
      <c r="I5456" s="688" t="s">
        <v>92</v>
      </c>
      <c r="J5456" s="1668"/>
      <c r="K5456" s="1668"/>
      <c r="L5456" s="1669"/>
    </row>
    <row r="5457" spans="1:12" s="692" customFormat="1" ht="16.5" hidden="1">
      <c r="A5457" s="1665"/>
      <c r="B5457" s="1666"/>
      <c r="C5457" s="688"/>
      <c r="D5457" s="1667"/>
      <c r="E5457" s="1671">
        <v>3.5</v>
      </c>
      <c r="F5457" s="1671">
        <v>4</v>
      </c>
      <c r="G5457" s="1674"/>
      <c r="H5457" s="1671">
        <f t="shared" si="990"/>
        <v>0</v>
      </c>
      <c r="I5457" s="688" t="s">
        <v>92</v>
      </c>
      <c r="J5457" s="1668"/>
      <c r="K5457" s="1668"/>
      <c r="L5457" s="1669"/>
    </row>
    <row r="5458" spans="1:12" s="692" customFormat="1" ht="16.5" hidden="1">
      <c r="A5458" s="1665"/>
      <c r="B5458" s="1666"/>
      <c r="C5458" s="688"/>
      <c r="D5458" s="1667"/>
      <c r="E5458" s="1671">
        <v>3.5</v>
      </c>
      <c r="F5458" s="1671">
        <v>4</v>
      </c>
      <c r="G5458" s="1674"/>
      <c r="H5458" s="1671">
        <f t="shared" si="990"/>
        <v>0</v>
      </c>
      <c r="I5458" s="688" t="s">
        <v>92</v>
      </c>
      <c r="J5458" s="1668"/>
      <c r="K5458" s="1668"/>
      <c r="L5458" s="1669"/>
    </row>
    <row r="5459" spans="1:12" s="692" customFormat="1" ht="16.5" hidden="1">
      <c r="A5459" s="1665"/>
      <c r="B5459" s="1666"/>
      <c r="C5459" s="688"/>
      <c r="D5459" s="1667"/>
      <c r="E5459" s="1671">
        <v>3.5</v>
      </c>
      <c r="F5459" s="1671">
        <v>4</v>
      </c>
      <c r="G5459" s="1674"/>
      <c r="H5459" s="1671">
        <f t="shared" si="990"/>
        <v>0</v>
      </c>
      <c r="I5459" s="688" t="s">
        <v>92</v>
      </c>
      <c r="J5459" s="1668"/>
      <c r="K5459" s="1668"/>
      <c r="L5459" s="1669"/>
    </row>
    <row r="5460" spans="1:12" s="692" customFormat="1" ht="16.5" hidden="1">
      <c r="A5460" s="1665"/>
      <c r="B5460" s="1666"/>
      <c r="C5460" s="688"/>
      <c r="D5460" s="1667"/>
      <c r="E5460" s="1671">
        <v>3.5</v>
      </c>
      <c r="F5460" s="1671">
        <v>4</v>
      </c>
      <c r="G5460" s="1674"/>
      <c r="H5460" s="1671">
        <f t="shared" si="990"/>
        <v>0</v>
      </c>
      <c r="I5460" s="688" t="s">
        <v>92</v>
      </c>
      <c r="J5460" s="1668"/>
      <c r="K5460" s="1668"/>
      <c r="L5460" s="1669"/>
    </row>
    <row r="5461" spans="1:12" s="692" customFormat="1" ht="16.5" hidden="1">
      <c r="A5461" s="1665"/>
      <c r="B5461" s="1666"/>
      <c r="C5461" s="688"/>
      <c r="D5461" s="1667"/>
      <c r="E5461" s="1671">
        <v>3.5</v>
      </c>
      <c r="F5461" s="1671">
        <v>4</v>
      </c>
      <c r="G5461" s="1674"/>
      <c r="H5461" s="1671">
        <f t="shared" si="990"/>
        <v>0</v>
      </c>
      <c r="I5461" s="688" t="s">
        <v>92</v>
      </c>
      <c r="J5461" s="1668"/>
      <c r="K5461" s="1668"/>
      <c r="L5461" s="1669"/>
    </row>
    <row r="5462" spans="1:12" s="692" customFormat="1" ht="16.5" hidden="1">
      <c r="A5462" s="1665"/>
      <c r="B5462" s="1666"/>
      <c r="C5462" s="688"/>
      <c r="D5462" s="1667"/>
      <c r="E5462" s="688"/>
      <c r="F5462" s="688"/>
      <c r="G5462" s="1674" t="s">
        <v>928</v>
      </c>
      <c r="H5462" s="1671">
        <f>SUM(H5456:H5461)</f>
        <v>0</v>
      </c>
      <c r="I5462" s="1668" t="s">
        <v>92</v>
      </c>
      <c r="J5462" s="1669">
        <f>'Lead &amp; ANALYSIS'!L1028</f>
        <v>7.3</v>
      </c>
      <c r="K5462" s="1668" t="s">
        <v>1514</v>
      </c>
      <c r="L5462" s="1669">
        <f t="shared" ref="L5462" si="991">ROUND(H5462*J5462,0)</f>
        <v>0</v>
      </c>
    </row>
    <row r="5463" spans="1:12" s="692" customFormat="1" ht="82.5" hidden="1">
      <c r="A5463" s="1665">
        <f>'Lead &amp; ANALYSIS'!A1029</f>
        <v>139</v>
      </c>
      <c r="B5463" s="1666" t="str">
        <f>'Lead &amp; ANALYSIS'!B1029</f>
        <v>Dismantling dry brick pitching or brick soling including T&amp;P, sorting the dismantled material , disposal of unseviceable material and stacking the serviciable material with all lifts and lead of 1000 mtres.</v>
      </c>
      <c r="C5463" s="688"/>
      <c r="D5463" s="1667"/>
      <c r="E5463" s="688"/>
      <c r="F5463" s="688"/>
      <c r="G5463" s="1674"/>
      <c r="H5463" s="688"/>
      <c r="I5463" s="1668"/>
      <c r="J5463" s="1668"/>
      <c r="K5463" s="1668"/>
      <c r="L5463" s="1669"/>
    </row>
    <row r="5464" spans="1:12" s="692" customFormat="1" ht="16.5" hidden="1">
      <c r="A5464" s="1665"/>
      <c r="B5464" s="1666"/>
      <c r="C5464" s="688"/>
      <c r="D5464" s="1667"/>
      <c r="E5464" s="1671">
        <v>3.5</v>
      </c>
      <c r="F5464" s="1671">
        <v>4</v>
      </c>
      <c r="G5464" s="1674"/>
      <c r="H5464" s="1671">
        <f t="shared" ref="H5464:H5469" si="992">ROUND(D5464*E5464*F5464,2)</f>
        <v>0</v>
      </c>
      <c r="I5464" s="688" t="s">
        <v>92</v>
      </c>
      <c r="J5464" s="1668"/>
      <c r="K5464" s="1668"/>
      <c r="L5464" s="1669"/>
    </row>
    <row r="5465" spans="1:12" s="692" customFormat="1" ht="16.5" hidden="1">
      <c r="A5465" s="1665"/>
      <c r="B5465" s="1666"/>
      <c r="C5465" s="688"/>
      <c r="D5465" s="1667"/>
      <c r="E5465" s="1671">
        <v>3.5</v>
      </c>
      <c r="F5465" s="1671">
        <v>4</v>
      </c>
      <c r="G5465" s="1674"/>
      <c r="H5465" s="1671">
        <f t="shared" si="992"/>
        <v>0</v>
      </c>
      <c r="I5465" s="688" t="s">
        <v>92</v>
      </c>
      <c r="J5465" s="1668"/>
      <c r="K5465" s="1668"/>
      <c r="L5465" s="1669"/>
    </row>
    <row r="5466" spans="1:12" s="692" customFormat="1" ht="16.5" hidden="1">
      <c r="A5466" s="1665"/>
      <c r="B5466" s="1666"/>
      <c r="C5466" s="1667"/>
      <c r="D5466" s="1667"/>
      <c r="E5466" s="1671">
        <v>3.5</v>
      </c>
      <c r="F5466" s="1671">
        <v>4</v>
      </c>
      <c r="G5466" s="1674"/>
      <c r="H5466" s="1671">
        <f t="shared" si="992"/>
        <v>0</v>
      </c>
      <c r="I5466" s="688" t="s">
        <v>92</v>
      </c>
      <c r="J5466" s="1668"/>
      <c r="K5466" s="1668"/>
      <c r="L5466" s="1669"/>
    </row>
    <row r="5467" spans="1:12" s="692" customFormat="1" ht="16.5" hidden="1">
      <c r="A5467" s="1665"/>
      <c r="B5467" s="1666"/>
      <c r="C5467" s="688"/>
      <c r="D5467" s="1667"/>
      <c r="E5467" s="1671">
        <v>3.5</v>
      </c>
      <c r="F5467" s="1671">
        <v>4</v>
      </c>
      <c r="G5467" s="1674"/>
      <c r="H5467" s="1671">
        <f t="shared" si="992"/>
        <v>0</v>
      </c>
      <c r="I5467" s="688" t="s">
        <v>92</v>
      </c>
      <c r="J5467" s="1668"/>
      <c r="K5467" s="1668"/>
      <c r="L5467" s="1669"/>
    </row>
    <row r="5468" spans="1:12" s="692" customFormat="1" ht="16.5" hidden="1">
      <c r="A5468" s="1665"/>
      <c r="B5468" s="1666"/>
      <c r="C5468" s="688"/>
      <c r="D5468" s="1667"/>
      <c r="E5468" s="1671">
        <v>3.5</v>
      </c>
      <c r="F5468" s="1671">
        <v>4</v>
      </c>
      <c r="G5468" s="1674"/>
      <c r="H5468" s="1671">
        <f t="shared" si="992"/>
        <v>0</v>
      </c>
      <c r="I5468" s="688" t="s">
        <v>92</v>
      </c>
      <c r="J5468" s="1668"/>
      <c r="K5468" s="1668"/>
      <c r="L5468" s="1669"/>
    </row>
    <row r="5469" spans="1:12" s="692" customFormat="1" ht="16.5" hidden="1">
      <c r="A5469" s="1665"/>
      <c r="B5469" s="1666"/>
      <c r="C5469" s="688"/>
      <c r="D5469" s="1667"/>
      <c r="E5469" s="1671">
        <v>3.5</v>
      </c>
      <c r="F5469" s="1671">
        <v>4</v>
      </c>
      <c r="G5469" s="1674"/>
      <c r="H5469" s="1671">
        <f t="shared" si="992"/>
        <v>0</v>
      </c>
      <c r="I5469" s="688" t="s">
        <v>92</v>
      </c>
      <c r="J5469" s="1668"/>
      <c r="K5469" s="1668"/>
      <c r="L5469" s="1669"/>
    </row>
    <row r="5470" spans="1:12" s="692" customFormat="1" ht="16.5" hidden="1">
      <c r="A5470" s="1665"/>
      <c r="B5470" s="1666"/>
      <c r="C5470" s="688"/>
      <c r="D5470" s="1667"/>
      <c r="E5470" s="688"/>
      <c r="F5470" s="688"/>
      <c r="G5470" s="1674" t="s">
        <v>928</v>
      </c>
      <c r="H5470" s="1671">
        <f>SUM(H5464:H5469)</f>
        <v>0</v>
      </c>
      <c r="I5470" s="1668" t="s">
        <v>92</v>
      </c>
      <c r="J5470" s="1669" t="e">
        <f>'Lead &amp; ANALYSIS'!L1029</f>
        <v>#REF!</v>
      </c>
      <c r="K5470" s="1668" t="s">
        <v>1514</v>
      </c>
      <c r="L5470" s="1669" t="e">
        <f t="shared" ref="L5470" si="993">ROUND(H5470*J5470,0)</f>
        <v>#REF!</v>
      </c>
    </row>
    <row r="5471" spans="1:12" s="692" customFormat="1" ht="82.5" hidden="1">
      <c r="A5471" s="1665">
        <f>'Lead &amp; ANALYSIS'!A1030</f>
        <v>140</v>
      </c>
      <c r="B5471" s="1666" t="str">
        <f>'Lead &amp; ANALYSIS'!B1030</f>
        <v>Dismantling Stone pitching /dry stone spalls including T&amp;P, sorting the dismantled material disposal of unservicible material and stacking the serviciable material with all lifts and lead of 1000 mtres.</v>
      </c>
      <c r="C5471" s="688"/>
      <c r="D5471" s="1667"/>
      <c r="E5471" s="688"/>
      <c r="F5471" s="688"/>
      <c r="G5471" s="1674"/>
      <c r="H5471" s="688"/>
      <c r="I5471" s="1668"/>
      <c r="J5471" s="1668"/>
      <c r="K5471" s="1668"/>
      <c r="L5471" s="1669"/>
    </row>
    <row r="5472" spans="1:12" s="692" customFormat="1" ht="16.5" hidden="1">
      <c r="A5472" s="1665"/>
      <c r="B5472" s="1666"/>
      <c r="C5472" s="688"/>
      <c r="D5472" s="1667"/>
      <c r="E5472" s="1671">
        <v>3.5</v>
      </c>
      <c r="F5472" s="1671">
        <v>4</v>
      </c>
      <c r="G5472" s="1674"/>
      <c r="H5472" s="1671">
        <f t="shared" ref="H5472:H5477" si="994">ROUND(D5472*E5472*F5472,2)</f>
        <v>0</v>
      </c>
      <c r="I5472" s="688" t="s">
        <v>92</v>
      </c>
      <c r="J5472" s="1668"/>
      <c r="K5472" s="1668"/>
      <c r="L5472" s="1669"/>
    </row>
    <row r="5473" spans="1:12" s="692" customFormat="1" ht="16.5" hidden="1">
      <c r="A5473" s="1665"/>
      <c r="B5473" s="1666"/>
      <c r="C5473" s="688"/>
      <c r="D5473" s="1667"/>
      <c r="E5473" s="1671">
        <v>3.5</v>
      </c>
      <c r="F5473" s="1671">
        <v>4</v>
      </c>
      <c r="G5473" s="1674"/>
      <c r="H5473" s="1671">
        <f t="shared" si="994"/>
        <v>0</v>
      </c>
      <c r="I5473" s="688" t="s">
        <v>92</v>
      </c>
      <c r="J5473" s="1668"/>
      <c r="K5473" s="1668"/>
      <c r="L5473" s="1669"/>
    </row>
    <row r="5474" spans="1:12" s="692" customFormat="1" ht="16.5" hidden="1">
      <c r="A5474" s="1665"/>
      <c r="B5474" s="1666"/>
      <c r="C5474" s="688"/>
      <c r="D5474" s="1667"/>
      <c r="E5474" s="1671">
        <v>3.5</v>
      </c>
      <c r="F5474" s="1671">
        <v>4</v>
      </c>
      <c r="G5474" s="1674"/>
      <c r="H5474" s="1671">
        <f t="shared" si="994"/>
        <v>0</v>
      </c>
      <c r="I5474" s="688" t="s">
        <v>92</v>
      </c>
      <c r="J5474" s="1668"/>
      <c r="K5474" s="1668"/>
      <c r="L5474" s="1669"/>
    </row>
    <row r="5475" spans="1:12" s="692" customFormat="1" ht="16.5" hidden="1">
      <c r="A5475" s="1665"/>
      <c r="B5475" s="1666"/>
      <c r="C5475" s="688"/>
      <c r="D5475" s="1667"/>
      <c r="E5475" s="1671">
        <v>3.5</v>
      </c>
      <c r="F5475" s="1671">
        <v>4</v>
      </c>
      <c r="G5475" s="1674"/>
      <c r="H5475" s="1671">
        <f t="shared" si="994"/>
        <v>0</v>
      </c>
      <c r="I5475" s="688" t="s">
        <v>92</v>
      </c>
      <c r="J5475" s="1668"/>
      <c r="K5475" s="1668"/>
      <c r="L5475" s="1669"/>
    </row>
    <row r="5476" spans="1:12" s="692" customFormat="1" ht="16.5" hidden="1">
      <c r="A5476" s="1665"/>
      <c r="B5476" s="1666"/>
      <c r="C5476" s="688"/>
      <c r="D5476" s="1667"/>
      <c r="E5476" s="1671">
        <v>3.5</v>
      </c>
      <c r="F5476" s="1671">
        <v>4</v>
      </c>
      <c r="G5476" s="1674"/>
      <c r="H5476" s="1671">
        <f t="shared" si="994"/>
        <v>0</v>
      </c>
      <c r="I5476" s="688" t="s">
        <v>92</v>
      </c>
      <c r="J5476" s="1668"/>
      <c r="K5476" s="1668"/>
      <c r="L5476" s="1669"/>
    </row>
    <row r="5477" spans="1:12" s="692" customFormat="1" ht="16.5" hidden="1">
      <c r="A5477" s="1665"/>
      <c r="B5477" s="1666"/>
      <c r="C5477" s="688"/>
      <c r="D5477" s="1667"/>
      <c r="E5477" s="1671">
        <v>3.5</v>
      </c>
      <c r="F5477" s="1671">
        <v>4</v>
      </c>
      <c r="G5477" s="1674"/>
      <c r="H5477" s="1671">
        <f t="shared" si="994"/>
        <v>0</v>
      </c>
      <c r="I5477" s="688" t="s">
        <v>92</v>
      </c>
      <c r="J5477" s="1668"/>
      <c r="K5477" s="1668"/>
      <c r="L5477" s="1669"/>
    </row>
    <row r="5478" spans="1:12" s="692" customFormat="1" ht="16.5" hidden="1">
      <c r="A5478" s="1665"/>
      <c r="B5478" s="1666"/>
      <c r="C5478" s="688"/>
      <c r="D5478" s="1667"/>
      <c r="E5478" s="688"/>
      <c r="F5478" s="688"/>
      <c r="G5478" s="1674" t="s">
        <v>928</v>
      </c>
      <c r="H5478" s="1671">
        <f>SUM(H5472:H5477)</f>
        <v>0</v>
      </c>
      <c r="I5478" s="1668" t="s">
        <v>92</v>
      </c>
      <c r="J5478" s="1669" t="e">
        <f>'Lead &amp; ANALYSIS'!L1030</f>
        <v>#REF!</v>
      </c>
      <c r="K5478" s="1668" t="s">
        <v>1514</v>
      </c>
      <c r="L5478" s="1669" t="e">
        <f t="shared" ref="L5478" si="995">ROUND(H5478*J5478,0)</f>
        <v>#REF!</v>
      </c>
    </row>
    <row r="5479" spans="1:12" s="692" customFormat="1" ht="82.5" hidden="1">
      <c r="A5479" s="1665">
        <f>'Lead &amp; ANALYSIS'!A1031</f>
        <v>141</v>
      </c>
      <c r="B5479" s="1666" t="str">
        <f>'Lead &amp; ANALYSIS'!B1031</f>
        <v>Scraping of bricks dismantled from brick workin cement mortar including T&amp;P sorting the material disposal of unserviciable material and stacking the serviciable material with all lifts and lead of 1000mtres</v>
      </c>
      <c r="C5479" s="688"/>
      <c r="D5479" s="1667"/>
      <c r="E5479" s="688"/>
      <c r="F5479" s="688"/>
      <c r="G5479" s="1674"/>
      <c r="H5479" s="688"/>
      <c r="I5479" s="1668"/>
      <c r="J5479" s="1668"/>
      <c r="K5479" s="1668"/>
      <c r="L5479" s="1669"/>
    </row>
    <row r="5480" spans="1:12" s="692" customFormat="1" ht="16.5" hidden="1">
      <c r="A5480" s="1665"/>
      <c r="B5480" s="1666"/>
      <c r="C5480" s="688"/>
      <c r="D5480" s="1667"/>
      <c r="E5480" s="1671">
        <v>3.5</v>
      </c>
      <c r="F5480" s="1671">
        <v>4</v>
      </c>
      <c r="G5480" s="1674"/>
      <c r="H5480" s="1671">
        <f t="shared" ref="H5480:H5485" si="996">ROUND(D5480*E5480*F5480,2)</f>
        <v>0</v>
      </c>
      <c r="I5480" s="688" t="s">
        <v>92</v>
      </c>
      <c r="J5480" s="1668"/>
      <c r="K5480" s="1668"/>
      <c r="L5480" s="1669"/>
    </row>
    <row r="5481" spans="1:12" s="692" customFormat="1" ht="16.5" hidden="1">
      <c r="A5481" s="1665"/>
      <c r="B5481" s="1666"/>
      <c r="C5481" s="688"/>
      <c r="D5481" s="1667"/>
      <c r="E5481" s="1671">
        <v>3.5</v>
      </c>
      <c r="F5481" s="1671">
        <v>4</v>
      </c>
      <c r="G5481" s="1674"/>
      <c r="H5481" s="1671">
        <f t="shared" si="996"/>
        <v>0</v>
      </c>
      <c r="I5481" s="688" t="s">
        <v>92</v>
      </c>
      <c r="J5481" s="1668"/>
      <c r="K5481" s="1668"/>
      <c r="L5481" s="1669"/>
    </row>
    <row r="5482" spans="1:12" s="692" customFormat="1" ht="16.5" hidden="1">
      <c r="A5482" s="1665"/>
      <c r="B5482" s="1666"/>
      <c r="C5482" s="688"/>
      <c r="D5482" s="1667"/>
      <c r="E5482" s="1671">
        <v>3.5</v>
      </c>
      <c r="F5482" s="1671">
        <v>4</v>
      </c>
      <c r="G5482" s="1674"/>
      <c r="H5482" s="1671">
        <f t="shared" si="996"/>
        <v>0</v>
      </c>
      <c r="I5482" s="688" t="s">
        <v>92</v>
      </c>
      <c r="J5482" s="1668"/>
      <c r="K5482" s="1668"/>
      <c r="L5482" s="1669"/>
    </row>
    <row r="5483" spans="1:12" s="692" customFormat="1" ht="16.5" hidden="1">
      <c r="A5483" s="1665"/>
      <c r="B5483" s="1666"/>
      <c r="C5483" s="688"/>
      <c r="D5483" s="1667"/>
      <c r="E5483" s="1671">
        <v>3.5</v>
      </c>
      <c r="F5483" s="1671">
        <v>4</v>
      </c>
      <c r="G5483" s="1674"/>
      <c r="H5483" s="1671">
        <f t="shared" si="996"/>
        <v>0</v>
      </c>
      <c r="I5483" s="688" t="s">
        <v>92</v>
      </c>
      <c r="J5483" s="1668"/>
      <c r="K5483" s="1668"/>
      <c r="L5483" s="1669"/>
    </row>
    <row r="5484" spans="1:12" s="692" customFormat="1" ht="16.5" hidden="1">
      <c r="A5484" s="1665"/>
      <c r="B5484" s="1666"/>
      <c r="C5484" s="688"/>
      <c r="D5484" s="1667"/>
      <c r="E5484" s="1671">
        <v>3.5</v>
      </c>
      <c r="F5484" s="1671">
        <v>4</v>
      </c>
      <c r="G5484" s="1674"/>
      <c r="H5484" s="1671">
        <f t="shared" si="996"/>
        <v>0</v>
      </c>
      <c r="I5484" s="688" t="s">
        <v>92</v>
      </c>
      <c r="J5484" s="1668"/>
      <c r="K5484" s="1668"/>
      <c r="L5484" s="1669"/>
    </row>
    <row r="5485" spans="1:12" s="692" customFormat="1" ht="16.5" hidden="1">
      <c r="A5485" s="1665"/>
      <c r="B5485" s="1666"/>
      <c r="C5485" s="688"/>
      <c r="D5485" s="1667"/>
      <c r="E5485" s="1671">
        <v>3.5</v>
      </c>
      <c r="F5485" s="1671">
        <v>4</v>
      </c>
      <c r="G5485" s="1674"/>
      <c r="H5485" s="1671">
        <f t="shared" si="996"/>
        <v>0</v>
      </c>
      <c r="I5485" s="688" t="s">
        <v>92</v>
      </c>
      <c r="J5485" s="1668"/>
      <c r="K5485" s="1668"/>
      <c r="L5485" s="1669"/>
    </row>
    <row r="5486" spans="1:12" s="692" customFormat="1" ht="16.5" hidden="1">
      <c r="A5486" s="1665"/>
      <c r="B5486" s="1666"/>
      <c r="C5486" s="688"/>
      <c r="D5486" s="1667"/>
      <c r="E5486" s="688"/>
      <c r="F5486" s="688"/>
      <c r="G5486" s="1674" t="s">
        <v>928</v>
      </c>
      <c r="H5486" s="1671">
        <f>SUM(H5480:H5485)</f>
        <v>0</v>
      </c>
      <c r="I5486" s="1668" t="s">
        <v>92</v>
      </c>
      <c r="J5486" s="1669" t="e">
        <f>'Lead &amp; ANALYSIS'!L1031</f>
        <v>#REF!</v>
      </c>
      <c r="K5486" s="1668" t="s">
        <v>1514</v>
      </c>
      <c r="L5486" s="1669" t="e">
        <f t="shared" ref="L5486" si="997">ROUND(H5486*J5486,0)</f>
        <v>#REF!</v>
      </c>
    </row>
    <row r="5487" spans="1:12" s="692" customFormat="1" ht="66" hidden="1">
      <c r="A5487" s="1665">
        <f>'Lead &amp; ANALYSIS'!A1032</f>
        <v>142</v>
      </c>
      <c r="B5487" s="1666" t="str">
        <f>'Lead &amp; ANALYSIS'!B1032</f>
        <v>Scraping of bricks dismantled from brick workin mud mortar including T&amp;P sorting the material disposal of unserviciable material and stacking the serviciable material with all lifts and lead of 1000mtres</v>
      </c>
      <c r="C5487" s="688"/>
      <c r="D5487" s="1667"/>
      <c r="E5487" s="688"/>
      <c r="F5487" s="688"/>
      <c r="G5487" s="1674"/>
      <c r="H5487" s="688"/>
      <c r="I5487" s="1668"/>
      <c r="J5487" s="1668"/>
      <c r="K5487" s="1668"/>
      <c r="L5487" s="1669"/>
    </row>
    <row r="5488" spans="1:12" s="692" customFormat="1" ht="16.5" hidden="1">
      <c r="A5488" s="1665"/>
      <c r="B5488" s="1666"/>
      <c r="C5488" s="688"/>
      <c r="D5488" s="1667"/>
      <c r="E5488" s="1671">
        <v>3.5</v>
      </c>
      <c r="F5488" s="1671">
        <v>4</v>
      </c>
      <c r="G5488" s="1674"/>
      <c r="H5488" s="1671">
        <f t="shared" ref="H5488:H5493" si="998">ROUND(D5488*E5488*F5488,2)</f>
        <v>0</v>
      </c>
      <c r="I5488" s="688" t="s">
        <v>92</v>
      </c>
      <c r="J5488" s="1668"/>
      <c r="K5488" s="1668"/>
      <c r="L5488" s="1669"/>
    </row>
    <row r="5489" spans="1:12" s="692" customFormat="1" ht="16.5" hidden="1">
      <c r="A5489" s="1665"/>
      <c r="B5489" s="1666"/>
      <c r="C5489" s="688"/>
      <c r="D5489" s="1667"/>
      <c r="E5489" s="1671">
        <v>3.5</v>
      </c>
      <c r="F5489" s="1671">
        <v>4</v>
      </c>
      <c r="G5489" s="1674"/>
      <c r="H5489" s="1671">
        <f t="shared" si="998"/>
        <v>0</v>
      </c>
      <c r="I5489" s="688" t="s">
        <v>92</v>
      </c>
      <c r="J5489" s="1668"/>
      <c r="K5489" s="1668"/>
      <c r="L5489" s="1669"/>
    </row>
    <row r="5490" spans="1:12" s="692" customFormat="1" ht="16.5" hidden="1">
      <c r="A5490" s="1665"/>
      <c r="B5490" s="1666"/>
      <c r="C5490" s="688"/>
      <c r="D5490" s="1667"/>
      <c r="E5490" s="1671">
        <v>3.5</v>
      </c>
      <c r="F5490" s="1671">
        <v>4</v>
      </c>
      <c r="G5490" s="1674"/>
      <c r="H5490" s="1671">
        <f t="shared" si="998"/>
        <v>0</v>
      </c>
      <c r="I5490" s="688" t="s">
        <v>92</v>
      </c>
      <c r="J5490" s="1668"/>
      <c r="K5490" s="1668"/>
      <c r="L5490" s="1669"/>
    </row>
    <row r="5491" spans="1:12" s="692" customFormat="1" ht="16.5" hidden="1">
      <c r="A5491" s="1665"/>
      <c r="B5491" s="1666"/>
      <c r="C5491" s="688"/>
      <c r="D5491" s="1667"/>
      <c r="E5491" s="1671">
        <v>3.5</v>
      </c>
      <c r="F5491" s="1671">
        <v>4</v>
      </c>
      <c r="G5491" s="1674"/>
      <c r="H5491" s="1671">
        <f t="shared" si="998"/>
        <v>0</v>
      </c>
      <c r="I5491" s="688" t="s">
        <v>92</v>
      </c>
      <c r="J5491" s="1668"/>
      <c r="K5491" s="1668"/>
      <c r="L5491" s="1669"/>
    </row>
    <row r="5492" spans="1:12" s="692" customFormat="1" ht="16.5" hidden="1">
      <c r="A5492" s="1665"/>
      <c r="B5492" s="1666"/>
      <c r="C5492" s="688"/>
      <c r="D5492" s="1667"/>
      <c r="E5492" s="1671">
        <v>3.5</v>
      </c>
      <c r="F5492" s="1671">
        <v>4</v>
      </c>
      <c r="G5492" s="1674"/>
      <c r="H5492" s="1671">
        <f t="shared" si="998"/>
        <v>0</v>
      </c>
      <c r="I5492" s="688" t="s">
        <v>92</v>
      </c>
      <c r="J5492" s="1668"/>
      <c r="K5492" s="1668"/>
      <c r="L5492" s="1669"/>
    </row>
    <row r="5493" spans="1:12" s="692" customFormat="1" ht="16.5" hidden="1">
      <c r="A5493" s="1665"/>
      <c r="B5493" s="1666"/>
      <c r="C5493" s="688"/>
      <c r="D5493" s="1667"/>
      <c r="E5493" s="1671">
        <v>3.5</v>
      </c>
      <c r="F5493" s="1671">
        <v>4</v>
      </c>
      <c r="G5493" s="1674"/>
      <c r="H5493" s="1671">
        <f t="shared" si="998"/>
        <v>0</v>
      </c>
      <c r="I5493" s="688" t="s">
        <v>92</v>
      </c>
      <c r="J5493" s="1668"/>
      <c r="K5493" s="1668"/>
      <c r="L5493" s="1669"/>
    </row>
    <row r="5494" spans="1:12" s="692" customFormat="1" ht="16.5" hidden="1">
      <c r="A5494" s="1665"/>
      <c r="B5494" s="1666"/>
      <c r="C5494" s="688"/>
      <c r="D5494" s="1667"/>
      <c r="E5494" s="688"/>
      <c r="F5494" s="688"/>
      <c r="G5494" s="1674" t="s">
        <v>928</v>
      </c>
      <c r="H5494" s="1671">
        <f>SUM(H5488:H5493)</f>
        <v>0</v>
      </c>
      <c r="I5494" s="1668" t="s">
        <v>92</v>
      </c>
      <c r="J5494" s="1669" t="e">
        <f>'Lead &amp; ANALYSIS'!L1032</f>
        <v>#REF!</v>
      </c>
      <c r="K5494" s="1668" t="s">
        <v>1514</v>
      </c>
      <c r="L5494" s="1669" t="e">
        <f t="shared" ref="L5494" si="999">ROUND(H5494*J5494,0)</f>
        <v>#REF!</v>
      </c>
    </row>
    <row r="5495" spans="1:12" s="692" customFormat="1" ht="66" hidden="1">
      <c r="A5495" s="1665">
        <f>'Lead &amp; ANALYSIS'!A1033</f>
        <v>143</v>
      </c>
      <c r="B5495" s="1666" t="str">
        <f>'Lead &amp; ANALYSIS'!B1033</f>
        <v>Rolling and compacting to sub grade or formation loosening by cutting hard soil for 0.15m depth including watering and rolling by PRR as per specifications and direction of Engineer-in-Charge.</v>
      </c>
      <c r="C5495" s="688"/>
      <c r="D5495" s="1667"/>
      <c r="E5495" s="688"/>
      <c r="F5495" s="688"/>
      <c r="G5495" s="1674"/>
      <c r="H5495" s="688"/>
      <c r="I5495" s="1668"/>
      <c r="J5495" s="1668"/>
      <c r="K5495" s="1668"/>
      <c r="L5495" s="1669"/>
    </row>
    <row r="5496" spans="1:12" s="692" customFormat="1" ht="16.5" hidden="1">
      <c r="A5496" s="1665"/>
      <c r="B5496" s="1666"/>
      <c r="C5496" s="688"/>
      <c r="D5496" s="1667"/>
      <c r="E5496" s="1671">
        <v>3.5</v>
      </c>
      <c r="F5496" s="1671">
        <v>4</v>
      </c>
      <c r="G5496" s="1674"/>
      <c r="H5496" s="1671">
        <f t="shared" ref="H5496:H5501" si="1000">ROUND(D5496*E5496*F5496,2)</f>
        <v>0</v>
      </c>
      <c r="I5496" s="688" t="s">
        <v>92</v>
      </c>
      <c r="J5496" s="1668"/>
      <c r="K5496" s="1668"/>
      <c r="L5496" s="1669"/>
    </row>
    <row r="5497" spans="1:12" s="692" customFormat="1" ht="16.5" hidden="1">
      <c r="A5497" s="1665"/>
      <c r="B5497" s="1666"/>
      <c r="C5497" s="688"/>
      <c r="D5497" s="1667"/>
      <c r="E5497" s="1671">
        <v>3.5</v>
      </c>
      <c r="F5497" s="1671">
        <v>4</v>
      </c>
      <c r="G5497" s="1674"/>
      <c r="H5497" s="1671">
        <f t="shared" si="1000"/>
        <v>0</v>
      </c>
      <c r="I5497" s="688" t="s">
        <v>92</v>
      </c>
      <c r="J5497" s="1668"/>
      <c r="K5497" s="1668"/>
      <c r="L5497" s="1669"/>
    </row>
    <row r="5498" spans="1:12" s="692" customFormat="1" ht="16.5" hidden="1">
      <c r="A5498" s="1665"/>
      <c r="B5498" s="1666"/>
      <c r="C5498" s="688"/>
      <c r="D5498" s="1667"/>
      <c r="E5498" s="1671">
        <v>3.5</v>
      </c>
      <c r="F5498" s="1671">
        <v>4</v>
      </c>
      <c r="G5498" s="1674"/>
      <c r="H5498" s="1671">
        <f t="shared" si="1000"/>
        <v>0</v>
      </c>
      <c r="I5498" s="688" t="s">
        <v>92</v>
      </c>
      <c r="J5498" s="1668"/>
      <c r="K5498" s="1668"/>
      <c r="L5498" s="1669"/>
    </row>
    <row r="5499" spans="1:12" s="692" customFormat="1" ht="16.5" hidden="1">
      <c r="A5499" s="1665"/>
      <c r="B5499" s="1666"/>
      <c r="C5499" s="688"/>
      <c r="D5499" s="1667"/>
      <c r="E5499" s="1671">
        <v>3.5</v>
      </c>
      <c r="F5499" s="1671">
        <v>4</v>
      </c>
      <c r="G5499" s="1674"/>
      <c r="H5499" s="1671">
        <f t="shared" si="1000"/>
        <v>0</v>
      </c>
      <c r="I5499" s="688" t="s">
        <v>92</v>
      </c>
      <c r="J5499" s="1668"/>
      <c r="K5499" s="1668"/>
      <c r="L5499" s="1669"/>
    </row>
    <row r="5500" spans="1:12" s="692" customFormat="1" ht="16.5" hidden="1">
      <c r="A5500" s="1665"/>
      <c r="B5500" s="1666"/>
      <c r="C5500" s="688"/>
      <c r="D5500" s="1667"/>
      <c r="E5500" s="1671">
        <v>3.5</v>
      </c>
      <c r="F5500" s="1671">
        <v>4</v>
      </c>
      <c r="G5500" s="1674"/>
      <c r="H5500" s="1671">
        <f t="shared" si="1000"/>
        <v>0</v>
      </c>
      <c r="I5500" s="688" t="s">
        <v>92</v>
      </c>
      <c r="J5500" s="1668"/>
      <c r="K5500" s="1668"/>
      <c r="L5500" s="1669"/>
    </row>
    <row r="5501" spans="1:12" s="692" customFormat="1" ht="16.5" hidden="1">
      <c r="A5501" s="1665"/>
      <c r="B5501" s="1666"/>
      <c r="C5501" s="688"/>
      <c r="D5501" s="1667"/>
      <c r="E5501" s="1671">
        <v>3.5</v>
      </c>
      <c r="F5501" s="1671">
        <v>4</v>
      </c>
      <c r="G5501" s="1674"/>
      <c r="H5501" s="1671">
        <f t="shared" si="1000"/>
        <v>0</v>
      </c>
      <c r="I5501" s="688" t="s">
        <v>92</v>
      </c>
      <c r="J5501" s="1668"/>
      <c r="K5501" s="1668"/>
      <c r="L5501" s="1669"/>
    </row>
    <row r="5502" spans="1:12" s="692" customFormat="1" ht="16.5" hidden="1">
      <c r="A5502" s="1665"/>
      <c r="B5502" s="1666"/>
      <c r="C5502" s="688"/>
      <c r="D5502" s="1667"/>
      <c r="E5502" s="688"/>
      <c r="F5502" s="688"/>
      <c r="G5502" s="1674" t="s">
        <v>928</v>
      </c>
      <c r="H5502" s="1671">
        <f>SUM(H5496:H5501)</f>
        <v>0</v>
      </c>
      <c r="I5502" s="1668" t="s">
        <v>92</v>
      </c>
      <c r="J5502" s="1669" t="e">
        <f>'Lead &amp; ANALYSIS'!L1033</f>
        <v>#REF!</v>
      </c>
      <c r="K5502" s="1668" t="s">
        <v>1514</v>
      </c>
      <c r="L5502" s="1669" t="e">
        <f t="shared" ref="L5502" si="1001">ROUND(H5502*J5502,0)</f>
        <v>#REF!</v>
      </c>
    </row>
    <row r="5503" spans="1:12" s="692" customFormat="1" ht="82.5" hidden="1">
      <c r="A5503" s="1665">
        <f>'Lead &amp; ANALYSIS'!A1034</f>
        <v>144</v>
      </c>
      <c r="B5503" s="1666" t="str">
        <f>'Lead &amp; ANALYSIS'!B1034</f>
        <v>Providing, Fitting &amp; Fixing of 100mm dia PVC Rain water pipe  with cost, conveyance, royalties and taxes of all materials with cost of all labour, and T&amp;P required for the work etc. complete in all respect as directed by the Engineer in charge.</v>
      </c>
      <c r="C5503" s="688"/>
      <c r="D5503" s="1667"/>
      <c r="E5503" s="688"/>
      <c r="F5503" s="688"/>
      <c r="G5503" s="1674"/>
      <c r="H5503" s="688"/>
      <c r="I5503" s="1668"/>
      <c r="J5503" s="1668"/>
      <c r="K5503" s="1668"/>
      <c r="L5503" s="1669"/>
    </row>
    <row r="5504" spans="1:12" s="692" customFormat="1" ht="16.5" hidden="1">
      <c r="A5504" s="1665"/>
      <c r="B5504" s="1666"/>
      <c r="C5504" s="688"/>
      <c r="D5504" s="1667"/>
      <c r="E5504" s="1671">
        <v>3.5</v>
      </c>
      <c r="F5504" s="1671">
        <v>4</v>
      </c>
      <c r="G5504" s="1674"/>
      <c r="H5504" s="1671">
        <f t="shared" ref="H5504:H5509" si="1002">ROUND(D5504*E5504*F5504,2)</f>
        <v>0</v>
      </c>
      <c r="I5504" s="688" t="s">
        <v>92</v>
      </c>
      <c r="J5504" s="1668"/>
      <c r="K5504" s="1668"/>
      <c r="L5504" s="1669"/>
    </row>
    <row r="5505" spans="1:12" s="692" customFormat="1" ht="16.5" hidden="1">
      <c r="A5505" s="1665"/>
      <c r="B5505" s="1666"/>
      <c r="C5505" s="688"/>
      <c r="D5505" s="1667"/>
      <c r="E5505" s="1671">
        <v>3.5</v>
      </c>
      <c r="F5505" s="1671">
        <v>4</v>
      </c>
      <c r="G5505" s="1674"/>
      <c r="H5505" s="1671">
        <f t="shared" si="1002"/>
        <v>0</v>
      </c>
      <c r="I5505" s="688" t="s">
        <v>92</v>
      </c>
      <c r="J5505" s="1668"/>
      <c r="K5505" s="1668"/>
      <c r="L5505" s="1669"/>
    </row>
    <row r="5506" spans="1:12" s="692" customFormat="1" ht="16.5" hidden="1">
      <c r="A5506" s="1665"/>
      <c r="B5506" s="1666"/>
      <c r="C5506" s="688"/>
      <c r="D5506" s="1667"/>
      <c r="E5506" s="1671">
        <v>3.5</v>
      </c>
      <c r="F5506" s="1671">
        <v>4</v>
      </c>
      <c r="G5506" s="1674"/>
      <c r="H5506" s="1671">
        <f t="shared" si="1002"/>
        <v>0</v>
      </c>
      <c r="I5506" s="688" t="s">
        <v>92</v>
      </c>
      <c r="J5506" s="1668"/>
      <c r="K5506" s="1668"/>
      <c r="L5506" s="1669"/>
    </row>
    <row r="5507" spans="1:12" s="692" customFormat="1" ht="16.5" hidden="1">
      <c r="A5507" s="1665"/>
      <c r="B5507" s="1666"/>
      <c r="C5507" s="688"/>
      <c r="D5507" s="1667"/>
      <c r="E5507" s="1671">
        <v>3.5</v>
      </c>
      <c r="F5507" s="1671">
        <v>4</v>
      </c>
      <c r="G5507" s="1674"/>
      <c r="H5507" s="1671">
        <f t="shared" si="1002"/>
        <v>0</v>
      </c>
      <c r="I5507" s="688" t="s">
        <v>92</v>
      </c>
      <c r="J5507" s="1668"/>
      <c r="K5507" s="1668"/>
      <c r="L5507" s="1669"/>
    </row>
    <row r="5508" spans="1:12" s="692" customFormat="1" ht="16.5" hidden="1">
      <c r="A5508" s="1665"/>
      <c r="B5508" s="1666"/>
      <c r="C5508" s="688"/>
      <c r="D5508" s="1667"/>
      <c r="E5508" s="1671">
        <v>3.5</v>
      </c>
      <c r="F5508" s="1671">
        <v>4</v>
      </c>
      <c r="G5508" s="1674"/>
      <c r="H5508" s="1671">
        <f t="shared" si="1002"/>
        <v>0</v>
      </c>
      <c r="I5508" s="688" t="s">
        <v>92</v>
      </c>
      <c r="J5508" s="1668"/>
      <c r="K5508" s="1668"/>
      <c r="L5508" s="1669"/>
    </row>
    <row r="5509" spans="1:12" s="692" customFormat="1" ht="16.5" hidden="1">
      <c r="A5509" s="1665"/>
      <c r="B5509" s="1666"/>
      <c r="C5509" s="688"/>
      <c r="D5509" s="1667"/>
      <c r="E5509" s="1671">
        <v>3.5</v>
      </c>
      <c r="F5509" s="1671">
        <v>4</v>
      </c>
      <c r="G5509" s="1674"/>
      <c r="H5509" s="1671">
        <f t="shared" si="1002"/>
        <v>0</v>
      </c>
      <c r="I5509" s="688" t="s">
        <v>92</v>
      </c>
      <c r="J5509" s="1668"/>
      <c r="K5509" s="1668"/>
      <c r="L5509" s="1669"/>
    </row>
    <row r="5510" spans="1:12" s="692" customFormat="1" ht="16.5" hidden="1">
      <c r="A5510" s="1665"/>
      <c r="B5510" s="1666"/>
      <c r="C5510" s="688"/>
      <c r="D5510" s="1667"/>
      <c r="E5510" s="688"/>
      <c r="F5510" s="688"/>
      <c r="G5510" s="1674" t="s">
        <v>928</v>
      </c>
      <c r="H5510" s="1671">
        <f>SUM(H5504:H5509)</f>
        <v>0</v>
      </c>
      <c r="I5510" s="1668" t="s">
        <v>92</v>
      </c>
      <c r="J5510" s="1669">
        <f>'Lead &amp; ANALYSIS'!L1034</f>
        <v>139.5</v>
      </c>
      <c r="K5510" s="1668" t="s">
        <v>1514</v>
      </c>
      <c r="L5510" s="1669">
        <f t="shared" ref="L5510" si="1003">ROUND(H5510*J5510,0)</f>
        <v>0</v>
      </c>
    </row>
    <row r="5511" spans="1:12" s="692" customFormat="1" ht="66" hidden="1">
      <c r="A5511" s="1665">
        <f>'Lead &amp; ANALYSIS'!A1035</f>
        <v>145</v>
      </c>
      <c r="B5511" s="1666" t="str">
        <f>'Lead &amp; ANALYSIS'!B1035</f>
        <v>Random Ruble hard granite stone masonry in cement mortar(1:4) as per approved drawing &amp; technical specifications including cost, conveyance and royalty of all materials etc complete.</v>
      </c>
      <c r="C5511" s="688"/>
      <c r="D5511" s="1667"/>
      <c r="E5511" s="688"/>
      <c r="F5511" s="688"/>
      <c r="G5511" s="1674"/>
      <c r="H5511" s="688"/>
      <c r="I5511" s="1668"/>
      <c r="J5511" s="1668"/>
      <c r="K5511" s="1668"/>
      <c r="L5511" s="1669"/>
    </row>
    <row r="5512" spans="1:12" s="692" customFormat="1" ht="16.5" hidden="1">
      <c r="A5512" s="1665"/>
      <c r="B5512" s="1666"/>
      <c r="C5512" s="688"/>
      <c r="D5512" s="1667"/>
      <c r="E5512" s="1671">
        <v>3.5</v>
      </c>
      <c r="F5512" s="1671">
        <v>4</v>
      </c>
      <c r="G5512" s="1674"/>
      <c r="H5512" s="1671">
        <f t="shared" ref="H5512:H5517" si="1004">ROUND(D5512*E5512*F5512,2)</f>
        <v>0</v>
      </c>
      <c r="I5512" s="688" t="s">
        <v>92</v>
      </c>
      <c r="J5512" s="1668"/>
      <c r="K5512" s="1668"/>
      <c r="L5512" s="1669"/>
    </row>
    <row r="5513" spans="1:12" s="692" customFormat="1" ht="16.5" hidden="1">
      <c r="A5513" s="1665"/>
      <c r="B5513" s="1666"/>
      <c r="C5513" s="688"/>
      <c r="D5513" s="1667"/>
      <c r="E5513" s="1671">
        <v>3.5</v>
      </c>
      <c r="F5513" s="1671">
        <v>4</v>
      </c>
      <c r="G5513" s="1674"/>
      <c r="H5513" s="1671">
        <f t="shared" si="1004"/>
        <v>0</v>
      </c>
      <c r="I5513" s="688" t="s">
        <v>92</v>
      </c>
      <c r="J5513" s="1668"/>
      <c r="K5513" s="1668"/>
      <c r="L5513" s="1669"/>
    </row>
    <row r="5514" spans="1:12" s="692" customFormat="1" ht="16.5" hidden="1">
      <c r="A5514" s="1665"/>
      <c r="B5514" s="1666"/>
      <c r="C5514" s="688"/>
      <c r="D5514" s="1667"/>
      <c r="E5514" s="1671">
        <v>3.5</v>
      </c>
      <c r="F5514" s="1671">
        <v>4</v>
      </c>
      <c r="G5514" s="1674"/>
      <c r="H5514" s="1671">
        <f t="shared" si="1004"/>
        <v>0</v>
      </c>
      <c r="I5514" s="688" t="s">
        <v>92</v>
      </c>
      <c r="J5514" s="1668"/>
      <c r="K5514" s="1668"/>
      <c r="L5514" s="1669"/>
    </row>
    <row r="5515" spans="1:12" s="692" customFormat="1" ht="16.5" hidden="1">
      <c r="A5515" s="1665"/>
      <c r="B5515" s="1666"/>
      <c r="C5515" s="688"/>
      <c r="D5515" s="1667"/>
      <c r="E5515" s="1671">
        <v>3.5</v>
      </c>
      <c r="F5515" s="1671">
        <v>4</v>
      </c>
      <c r="G5515" s="1674"/>
      <c r="H5515" s="1671">
        <f t="shared" si="1004"/>
        <v>0</v>
      </c>
      <c r="I5515" s="688" t="s">
        <v>92</v>
      </c>
      <c r="J5515" s="1668"/>
      <c r="K5515" s="1668"/>
      <c r="L5515" s="1669"/>
    </row>
    <row r="5516" spans="1:12" s="692" customFormat="1" ht="16.5" hidden="1">
      <c r="A5516" s="1665"/>
      <c r="B5516" s="1666"/>
      <c r="C5516" s="688"/>
      <c r="D5516" s="1667"/>
      <c r="E5516" s="1671">
        <v>3.5</v>
      </c>
      <c r="F5516" s="1671">
        <v>4</v>
      </c>
      <c r="G5516" s="1674"/>
      <c r="H5516" s="1671">
        <f t="shared" si="1004"/>
        <v>0</v>
      </c>
      <c r="I5516" s="688" t="s">
        <v>92</v>
      </c>
      <c r="J5516" s="1668"/>
      <c r="K5516" s="1668"/>
      <c r="L5516" s="1669"/>
    </row>
    <row r="5517" spans="1:12" s="692" customFormat="1" ht="16.5" hidden="1">
      <c r="A5517" s="1665"/>
      <c r="B5517" s="1666"/>
      <c r="C5517" s="688"/>
      <c r="D5517" s="1667"/>
      <c r="E5517" s="1671">
        <v>3.5</v>
      </c>
      <c r="F5517" s="1671">
        <v>4</v>
      </c>
      <c r="G5517" s="1674"/>
      <c r="H5517" s="1671">
        <f t="shared" si="1004"/>
        <v>0</v>
      </c>
      <c r="I5517" s="688" t="s">
        <v>92</v>
      </c>
      <c r="J5517" s="1668"/>
      <c r="K5517" s="1668"/>
      <c r="L5517" s="1669"/>
    </row>
    <row r="5518" spans="1:12" s="692" customFormat="1" ht="16.5" hidden="1">
      <c r="A5518" s="1665"/>
      <c r="B5518" s="1666"/>
      <c r="C5518" s="688"/>
      <c r="D5518" s="1667"/>
      <c r="E5518" s="688"/>
      <c r="F5518" s="688"/>
      <c r="G5518" s="1674" t="s">
        <v>928</v>
      </c>
      <c r="H5518" s="1671">
        <f>SUM(H5512:H5517)</f>
        <v>0</v>
      </c>
      <c r="I5518" s="1668" t="s">
        <v>92</v>
      </c>
      <c r="J5518" s="1669" t="e">
        <f>'Lead &amp; ANALYSIS'!L1035</f>
        <v>#REF!</v>
      </c>
      <c r="K5518" s="1668" t="s">
        <v>1514</v>
      </c>
      <c r="L5518" s="1669" t="e">
        <f t="shared" ref="L5518" si="1005">ROUND(H5518*J5518,0)</f>
        <v>#REF!</v>
      </c>
    </row>
    <row r="5519" spans="1:12" s="692" customFormat="1" ht="66" hidden="1">
      <c r="A5519" s="1665">
        <f>'Lead &amp; ANALYSIS'!A1036</f>
        <v>146</v>
      </c>
      <c r="B5519" s="1666" t="str">
        <f>'Lead &amp; ANALYSIS'!B1036</f>
        <v>Rough stone dry masonry with sand grouted for the walls with hard granite stones as per approved drawing &amp; technical specifications including all cost of labour and material etc complete.</v>
      </c>
      <c r="C5519" s="688"/>
      <c r="D5519" s="1667"/>
      <c r="E5519" s="688"/>
      <c r="F5519" s="688"/>
      <c r="G5519" s="1674"/>
      <c r="H5519" s="688"/>
      <c r="I5519" s="1668"/>
      <c r="J5519" s="1668"/>
      <c r="K5519" s="1668"/>
      <c r="L5519" s="1669"/>
    </row>
    <row r="5520" spans="1:12" s="692" customFormat="1" ht="16.5" hidden="1">
      <c r="A5520" s="1665"/>
      <c r="B5520" s="1666"/>
      <c r="C5520" s="688"/>
      <c r="D5520" s="1667"/>
      <c r="E5520" s="1671">
        <v>3.5</v>
      </c>
      <c r="F5520" s="1671">
        <v>4</v>
      </c>
      <c r="G5520" s="1674"/>
      <c r="H5520" s="1671">
        <f t="shared" ref="H5520:H5525" si="1006">ROUND(D5520*E5520*F5520,2)</f>
        <v>0</v>
      </c>
      <c r="I5520" s="688" t="s">
        <v>92</v>
      </c>
      <c r="J5520" s="1668"/>
      <c r="K5520" s="1668"/>
      <c r="L5520" s="1669"/>
    </row>
    <row r="5521" spans="1:12" s="692" customFormat="1" ht="16.5" hidden="1">
      <c r="A5521" s="1665"/>
      <c r="B5521" s="1666"/>
      <c r="C5521" s="688"/>
      <c r="D5521" s="1667"/>
      <c r="E5521" s="1671">
        <v>3.5</v>
      </c>
      <c r="F5521" s="1671">
        <v>4</v>
      </c>
      <c r="G5521" s="1674"/>
      <c r="H5521" s="1671">
        <f t="shared" si="1006"/>
        <v>0</v>
      </c>
      <c r="I5521" s="688" t="s">
        <v>92</v>
      </c>
      <c r="J5521" s="1668"/>
      <c r="K5521" s="1668"/>
      <c r="L5521" s="1669"/>
    </row>
    <row r="5522" spans="1:12" s="692" customFormat="1" ht="16.5" hidden="1">
      <c r="A5522" s="1665"/>
      <c r="B5522" s="1666"/>
      <c r="C5522" s="688"/>
      <c r="D5522" s="1667"/>
      <c r="E5522" s="1671">
        <v>3.5</v>
      </c>
      <c r="F5522" s="1671">
        <v>4</v>
      </c>
      <c r="G5522" s="1674"/>
      <c r="H5522" s="1671">
        <f t="shared" si="1006"/>
        <v>0</v>
      </c>
      <c r="I5522" s="688" t="s">
        <v>92</v>
      </c>
      <c r="J5522" s="1668"/>
      <c r="K5522" s="1668"/>
      <c r="L5522" s="1669"/>
    </row>
    <row r="5523" spans="1:12" s="692" customFormat="1" ht="16.5" hidden="1">
      <c r="A5523" s="1665"/>
      <c r="B5523" s="1666"/>
      <c r="C5523" s="688"/>
      <c r="D5523" s="1667"/>
      <c r="E5523" s="1671">
        <v>3.5</v>
      </c>
      <c r="F5523" s="1671">
        <v>4</v>
      </c>
      <c r="G5523" s="1674"/>
      <c r="H5523" s="1671">
        <f t="shared" si="1006"/>
        <v>0</v>
      </c>
      <c r="I5523" s="688" t="s">
        <v>92</v>
      </c>
      <c r="J5523" s="1668"/>
      <c r="K5523" s="1668"/>
      <c r="L5523" s="1669"/>
    </row>
    <row r="5524" spans="1:12" s="692" customFormat="1" ht="16.5" hidden="1">
      <c r="A5524" s="1665"/>
      <c r="B5524" s="1666"/>
      <c r="C5524" s="688"/>
      <c r="D5524" s="1667"/>
      <c r="E5524" s="1671">
        <v>3.5</v>
      </c>
      <c r="F5524" s="1671">
        <v>4</v>
      </c>
      <c r="G5524" s="1674"/>
      <c r="H5524" s="1671">
        <f t="shared" si="1006"/>
        <v>0</v>
      </c>
      <c r="I5524" s="688" t="s">
        <v>92</v>
      </c>
      <c r="J5524" s="1668"/>
      <c r="K5524" s="1668"/>
      <c r="L5524" s="1669"/>
    </row>
    <row r="5525" spans="1:12" s="692" customFormat="1" ht="16.5" hidden="1">
      <c r="A5525" s="1665"/>
      <c r="B5525" s="1666"/>
      <c r="C5525" s="688"/>
      <c r="D5525" s="1667"/>
      <c r="E5525" s="1671">
        <v>3.5</v>
      </c>
      <c r="F5525" s="1671">
        <v>4</v>
      </c>
      <c r="G5525" s="1674"/>
      <c r="H5525" s="1671">
        <f t="shared" si="1006"/>
        <v>0</v>
      </c>
      <c r="I5525" s="688" t="s">
        <v>92</v>
      </c>
      <c r="J5525" s="1668"/>
      <c r="K5525" s="1668"/>
      <c r="L5525" s="1669"/>
    </row>
    <row r="5526" spans="1:12" s="692" customFormat="1" ht="16.5" hidden="1">
      <c r="A5526" s="1665"/>
      <c r="B5526" s="1666"/>
      <c r="C5526" s="688"/>
      <c r="D5526" s="1667"/>
      <c r="E5526" s="688"/>
      <c r="F5526" s="688"/>
      <c r="G5526" s="1674" t="s">
        <v>928</v>
      </c>
      <c r="H5526" s="1671">
        <f>SUM(H5520:H5525)</f>
        <v>0</v>
      </c>
      <c r="I5526" s="1668" t="s">
        <v>92</v>
      </c>
      <c r="J5526" s="1669" t="e">
        <f>'Lead &amp; ANALYSIS'!L1036</f>
        <v>#REF!</v>
      </c>
      <c r="K5526" s="1668" t="s">
        <v>1514</v>
      </c>
      <c r="L5526" s="1669" t="e">
        <f t="shared" ref="L5526" si="1007">ROUND(H5526*J5526,0)</f>
        <v>#REF!</v>
      </c>
    </row>
    <row r="5527" spans="1:12" s="692" customFormat="1" ht="99" hidden="1">
      <c r="A5527" s="1665">
        <f>'Lead &amp; ANALYSIS'!A1037</f>
        <v>147</v>
      </c>
      <c r="B5527" s="1666" t="str">
        <f>'Lead &amp; ANALYSIS'!B1037</f>
        <v>Providing Weep Holes in Brick Masonry / Plain / Reinforced cement concrete abutment, wing wall, return wall with 100mm dia A.C. Pipe, extending through the full width of the structure with slope1:20 etc complete as per drawing and Technical specifications</v>
      </c>
      <c r="C5527" s="688"/>
      <c r="D5527" s="1667"/>
      <c r="E5527" s="688"/>
      <c r="F5527" s="688"/>
      <c r="G5527" s="1674"/>
      <c r="H5527" s="688"/>
      <c r="I5527" s="1668"/>
      <c r="J5527" s="1668"/>
      <c r="K5527" s="1668"/>
      <c r="L5527" s="1669"/>
    </row>
    <row r="5528" spans="1:12" s="692" customFormat="1" ht="16.5" hidden="1">
      <c r="A5528" s="1665"/>
      <c r="B5528" s="1666"/>
      <c r="C5528" s="688"/>
      <c r="D5528" s="1667"/>
      <c r="E5528" s="1671">
        <v>3.5</v>
      </c>
      <c r="F5528" s="1671">
        <v>4</v>
      </c>
      <c r="G5528" s="1674"/>
      <c r="H5528" s="1671">
        <f t="shared" ref="H5528:H5533" si="1008">ROUND(D5528*E5528*F5528,2)</f>
        <v>0</v>
      </c>
      <c r="I5528" s="688" t="s">
        <v>92</v>
      </c>
      <c r="J5528" s="1668"/>
      <c r="K5528" s="1668"/>
      <c r="L5528" s="1669"/>
    </row>
    <row r="5529" spans="1:12" s="692" customFormat="1" ht="16.5" hidden="1">
      <c r="A5529" s="1665"/>
      <c r="B5529" s="1666"/>
      <c r="C5529" s="688"/>
      <c r="D5529" s="1667"/>
      <c r="E5529" s="1671">
        <v>3.5</v>
      </c>
      <c r="F5529" s="1671">
        <v>4</v>
      </c>
      <c r="G5529" s="1674"/>
      <c r="H5529" s="1671">
        <f t="shared" si="1008"/>
        <v>0</v>
      </c>
      <c r="I5529" s="688" t="s">
        <v>92</v>
      </c>
      <c r="J5529" s="1668"/>
      <c r="K5529" s="1668"/>
      <c r="L5529" s="1669"/>
    </row>
    <row r="5530" spans="1:12" s="692" customFormat="1" ht="16.5" hidden="1">
      <c r="A5530" s="1665"/>
      <c r="B5530" s="1666"/>
      <c r="C5530" s="688"/>
      <c r="D5530" s="1667"/>
      <c r="E5530" s="1671">
        <v>3.5</v>
      </c>
      <c r="F5530" s="1671">
        <v>4</v>
      </c>
      <c r="G5530" s="1674"/>
      <c r="H5530" s="1671">
        <f t="shared" si="1008"/>
        <v>0</v>
      </c>
      <c r="I5530" s="688" t="s">
        <v>92</v>
      </c>
      <c r="J5530" s="1668"/>
      <c r="K5530" s="1668"/>
      <c r="L5530" s="1669"/>
    </row>
    <row r="5531" spans="1:12" s="692" customFormat="1" ht="16.5" hidden="1">
      <c r="A5531" s="1665"/>
      <c r="B5531" s="1666"/>
      <c r="C5531" s="688"/>
      <c r="D5531" s="1667"/>
      <c r="E5531" s="1671">
        <v>3.5</v>
      </c>
      <c r="F5531" s="1671">
        <v>4</v>
      </c>
      <c r="G5531" s="1674"/>
      <c r="H5531" s="1671">
        <f t="shared" si="1008"/>
        <v>0</v>
      </c>
      <c r="I5531" s="688" t="s">
        <v>92</v>
      </c>
      <c r="J5531" s="1668"/>
      <c r="K5531" s="1668"/>
      <c r="L5531" s="1669"/>
    </row>
    <row r="5532" spans="1:12" s="692" customFormat="1" ht="16.5" hidden="1">
      <c r="A5532" s="1665"/>
      <c r="B5532" s="1666"/>
      <c r="C5532" s="688"/>
      <c r="D5532" s="1667"/>
      <c r="E5532" s="1671">
        <v>3.5</v>
      </c>
      <c r="F5532" s="1671">
        <v>4</v>
      </c>
      <c r="G5532" s="1674"/>
      <c r="H5532" s="1671">
        <f t="shared" si="1008"/>
        <v>0</v>
      </c>
      <c r="I5532" s="688" t="s">
        <v>92</v>
      </c>
      <c r="J5532" s="1668"/>
      <c r="K5532" s="1668"/>
      <c r="L5532" s="1669"/>
    </row>
    <row r="5533" spans="1:12" s="692" customFormat="1" ht="16.5" hidden="1">
      <c r="A5533" s="1665"/>
      <c r="B5533" s="1666"/>
      <c r="C5533" s="688"/>
      <c r="D5533" s="1667"/>
      <c r="E5533" s="1671">
        <v>3.5</v>
      </c>
      <c r="F5533" s="1671">
        <v>4</v>
      </c>
      <c r="G5533" s="1674"/>
      <c r="H5533" s="1671">
        <f t="shared" si="1008"/>
        <v>0</v>
      </c>
      <c r="I5533" s="688" t="s">
        <v>92</v>
      </c>
      <c r="J5533" s="1668"/>
      <c r="K5533" s="1668"/>
      <c r="L5533" s="1669"/>
    </row>
    <row r="5534" spans="1:12" s="692" customFormat="1" ht="16.5" hidden="1">
      <c r="A5534" s="1665"/>
      <c r="B5534" s="1666"/>
      <c r="C5534" s="688"/>
      <c r="D5534" s="1667"/>
      <c r="E5534" s="688"/>
      <c r="F5534" s="688"/>
      <c r="G5534" s="1674" t="s">
        <v>928</v>
      </c>
      <c r="H5534" s="1671">
        <f>SUM(H5528:H5533)</f>
        <v>0</v>
      </c>
      <c r="I5534" s="1668" t="s">
        <v>92</v>
      </c>
      <c r="J5534" s="1669" t="e">
        <f>'Lead &amp; ANALYSIS'!L1037</f>
        <v>#REF!</v>
      </c>
      <c r="K5534" s="1668" t="s">
        <v>1514</v>
      </c>
      <c r="L5534" s="1669" t="e">
        <f t="shared" ref="L5534" si="1009">ROUND(H5534*J5534,0)</f>
        <v>#REF!</v>
      </c>
    </row>
    <row r="5535" spans="1:12" s="692" customFormat="1" ht="49.5" hidden="1">
      <c r="A5535" s="1665">
        <f>'Lead &amp; ANALYSIS'!A1038</f>
        <v>148</v>
      </c>
      <c r="B5535" s="1666" t="str">
        <f>'Lead &amp; ANALYSIS'!B1038</f>
        <v>20mm thick cement plaster (1:4) with punning over stone masonry including all cost of labour and material etc complete as per specification.</v>
      </c>
      <c r="C5535" s="688"/>
      <c r="D5535" s="1667"/>
      <c r="E5535" s="688"/>
      <c r="F5535" s="688"/>
      <c r="G5535" s="1674"/>
      <c r="H5535" s="688"/>
      <c r="I5535" s="1668"/>
      <c r="J5535" s="1668"/>
      <c r="K5535" s="1668"/>
      <c r="L5535" s="1669"/>
    </row>
    <row r="5536" spans="1:12" s="692" customFormat="1" ht="16.5" hidden="1">
      <c r="A5536" s="1665"/>
      <c r="B5536" s="1666"/>
      <c r="C5536" s="688"/>
      <c r="D5536" s="1667"/>
      <c r="E5536" s="1671">
        <v>3.5</v>
      </c>
      <c r="F5536" s="1671">
        <v>4</v>
      </c>
      <c r="G5536" s="1674"/>
      <c r="H5536" s="1671">
        <f t="shared" ref="H5536:H5541" si="1010">ROUND(D5536*E5536*F5536,2)</f>
        <v>0</v>
      </c>
      <c r="I5536" s="688" t="s">
        <v>92</v>
      </c>
      <c r="J5536" s="1668"/>
      <c r="K5536" s="1668"/>
      <c r="L5536" s="1669"/>
    </row>
    <row r="5537" spans="1:12" s="692" customFormat="1" ht="16.5" hidden="1">
      <c r="A5537" s="1665"/>
      <c r="B5537" s="1666"/>
      <c r="C5537" s="688"/>
      <c r="D5537" s="1667"/>
      <c r="E5537" s="1671">
        <v>3.5</v>
      </c>
      <c r="F5537" s="1671">
        <v>4</v>
      </c>
      <c r="G5537" s="1674"/>
      <c r="H5537" s="1671">
        <f t="shared" si="1010"/>
        <v>0</v>
      </c>
      <c r="I5537" s="688" t="s">
        <v>92</v>
      </c>
      <c r="J5537" s="1668"/>
      <c r="K5537" s="1668"/>
      <c r="L5537" s="1669"/>
    </row>
    <row r="5538" spans="1:12" s="692" customFormat="1" ht="16.5" hidden="1">
      <c r="A5538" s="1665"/>
      <c r="B5538" s="1666"/>
      <c r="C5538" s="688"/>
      <c r="D5538" s="1667"/>
      <c r="E5538" s="1671">
        <v>3.5</v>
      </c>
      <c r="F5538" s="1671">
        <v>4</v>
      </c>
      <c r="G5538" s="1674"/>
      <c r="H5538" s="1671">
        <f t="shared" si="1010"/>
        <v>0</v>
      </c>
      <c r="I5538" s="688" t="s">
        <v>92</v>
      </c>
      <c r="J5538" s="1668"/>
      <c r="K5538" s="1668"/>
      <c r="L5538" s="1669"/>
    </row>
    <row r="5539" spans="1:12" s="692" customFormat="1" ht="16.5" hidden="1">
      <c r="A5539" s="1665"/>
      <c r="B5539" s="1666"/>
      <c r="C5539" s="688"/>
      <c r="D5539" s="1667"/>
      <c r="E5539" s="1671">
        <v>3.5</v>
      </c>
      <c r="F5539" s="1671">
        <v>4</v>
      </c>
      <c r="G5539" s="1674"/>
      <c r="H5539" s="1671">
        <f t="shared" si="1010"/>
        <v>0</v>
      </c>
      <c r="I5539" s="688" t="s">
        <v>92</v>
      </c>
      <c r="J5539" s="1668"/>
      <c r="K5539" s="1668"/>
      <c r="L5539" s="1669"/>
    </row>
    <row r="5540" spans="1:12" s="692" customFormat="1" ht="16.5" hidden="1">
      <c r="A5540" s="1665"/>
      <c r="B5540" s="1666"/>
      <c r="C5540" s="688"/>
      <c r="D5540" s="1667"/>
      <c r="E5540" s="1671">
        <v>3.5</v>
      </c>
      <c r="F5540" s="1671">
        <v>4</v>
      </c>
      <c r="G5540" s="1674"/>
      <c r="H5540" s="1671">
        <f t="shared" si="1010"/>
        <v>0</v>
      </c>
      <c r="I5540" s="688" t="s">
        <v>92</v>
      </c>
      <c r="J5540" s="1668"/>
      <c r="K5540" s="1668"/>
      <c r="L5540" s="1669"/>
    </row>
    <row r="5541" spans="1:12" s="692" customFormat="1" ht="16.5" hidden="1">
      <c r="A5541" s="1665"/>
      <c r="B5541" s="1666"/>
      <c r="C5541" s="688"/>
      <c r="D5541" s="1667"/>
      <c r="E5541" s="1671">
        <v>3.5</v>
      </c>
      <c r="F5541" s="1671">
        <v>4</v>
      </c>
      <c r="G5541" s="1674"/>
      <c r="H5541" s="1671">
        <f t="shared" si="1010"/>
        <v>0</v>
      </c>
      <c r="I5541" s="688" t="s">
        <v>92</v>
      </c>
      <c r="J5541" s="1668"/>
      <c r="K5541" s="1668"/>
      <c r="L5541" s="1669"/>
    </row>
    <row r="5542" spans="1:12" s="692" customFormat="1" ht="16.5" hidden="1">
      <c r="A5542" s="1665"/>
      <c r="B5542" s="1666"/>
      <c r="C5542" s="688"/>
      <c r="D5542" s="1667"/>
      <c r="E5542" s="688"/>
      <c r="F5542" s="688"/>
      <c r="G5542" s="1674" t="s">
        <v>928</v>
      </c>
      <c r="H5542" s="1671">
        <f>SUM(H5536:H5541)</f>
        <v>0</v>
      </c>
      <c r="I5542" s="1668" t="s">
        <v>92</v>
      </c>
      <c r="J5542" s="1669" t="e">
        <f>'Lead &amp; ANALYSIS'!L1038</f>
        <v>#REF!</v>
      </c>
      <c r="K5542" s="1668" t="s">
        <v>1514</v>
      </c>
      <c r="L5542" s="1669" t="e">
        <f t="shared" ref="L5542" si="1011">ROUND(H5542*J5542,0)</f>
        <v>#REF!</v>
      </c>
    </row>
    <row r="5543" spans="1:12" s="692" customFormat="1" ht="49.5" hidden="1">
      <c r="A5543" s="1665">
        <f>'Lead &amp; ANALYSIS'!A1039</f>
        <v>149</v>
      </c>
      <c r="B5543" s="1666" t="str">
        <f>'Lead &amp; ANALYSIS'!B1039</f>
        <v>Gravel backing to revetments as per approved drawing &amp; technical specifications Including all cost of labour and material etc complete.</v>
      </c>
      <c r="C5543" s="688"/>
      <c r="D5543" s="1667"/>
      <c r="E5543" s="688"/>
      <c r="F5543" s="688"/>
      <c r="G5543" s="1674"/>
      <c r="H5543" s="688"/>
      <c r="I5543" s="1668"/>
      <c r="J5543" s="1668"/>
      <c r="K5543" s="1668"/>
      <c r="L5543" s="1669"/>
    </row>
    <row r="5544" spans="1:12" s="692" customFormat="1" ht="16.5" hidden="1">
      <c r="A5544" s="1665"/>
      <c r="B5544" s="1666"/>
      <c r="C5544" s="688"/>
      <c r="D5544" s="1667"/>
      <c r="E5544" s="1671">
        <v>3.5</v>
      </c>
      <c r="F5544" s="1671">
        <v>4</v>
      </c>
      <c r="G5544" s="1674"/>
      <c r="H5544" s="1671">
        <f t="shared" ref="H5544:H5549" si="1012">ROUND(D5544*E5544*F5544,2)</f>
        <v>0</v>
      </c>
      <c r="I5544" s="688" t="s">
        <v>92</v>
      </c>
      <c r="J5544" s="1668"/>
      <c r="K5544" s="1668"/>
      <c r="L5544" s="1669"/>
    </row>
    <row r="5545" spans="1:12" s="692" customFormat="1" ht="16.5" hidden="1">
      <c r="A5545" s="1665"/>
      <c r="B5545" s="1666"/>
      <c r="C5545" s="688"/>
      <c r="D5545" s="1667"/>
      <c r="E5545" s="1671">
        <v>3.5</v>
      </c>
      <c r="F5545" s="1671">
        <v>4</v>
      </c>
      <c r="G5545" s="1674"/>
      <c r="H5545" s="1671">
        <f t="shared" si="1012"/>
        <v>0</v>
      </c>
      <c r="I5545" s="688" t="s">
        <v>92</v>
      </c>
      <c r="J5545" s="1668"/>
      <c r="K5545" s="1668"/>
      <c r="L5545" s="1669"/>
    </row>
    <row r="5546" spans="1:12" s="692" customFormat="1" ht="16.5" hidden="1">
      <c r="A5546" s="1665"/>
      <c r="B5546" s="1666"/>
      <c r="C5546" s="688"/>
      <c r="D5546" s="1667"/>
      <c r="E5546" s="1671">
        <v>3.5</v>
      </c>
      <c r="F5546" s="1671">
        <v>4</v>
      </c>
      <c r="G5546" s="1674"/>
      <c r="H5546" s="1671">
        <f t="shared" si="1012"/>
        <v>0</v>
      </c>
      <c r="I5546" s="688" t="s">
        <v>92</v>
      </c>
      <c r="J5546" s="1668"/>
      <c r="K5546" s="1668"/>
      <c r="L5546" s="1669"/>
    </row>
    <row r="5547" spans="1:12" s="692" customFormat="1" ht="16.5" hidden="1">
      <c r="A5547" s="1665"/>
      <c r="B5547" s="1666"/>
      <c r="C5547" s="688"/>
      <c r="D5547" s="1667"/>
      <c r="E5547" s="1671">
        <v>3.5</v>
      </c>
      <c r="F5547" s="1671">
        <v>4</v>
      </c>
      <c r="G5547" s="1674"/>
      <c r="H5547" s="1671">
        <f t="shared" si="1012"/>
        <v>0</v>
      </c>
      <c r="I5547" s="688" t="s">
        <v>92</v>
      </c>
      <c r="J5547" s="1668"/>
      <c r="K5547" s="1668"/>
      <c r="L5547" s="1669"/>
    </row>
    <row r="5548" spans="1:12" s="692" customFormat="1" ht="16.5" hidden="1">
      <c r="A5548" s="1665"/>
      <c r="B5548" s="1666"/>
      <c r="C5548" s="688"/>
      <c r="D5548" s="1667"/>
      <c r="E5548" s="1671">
        <v>3.5</v>
      </c>
      <c r="F5548" s="1671">
        <v>4</v>
      </c>
      <c r="G5548" s="1674"/>
      <c r="H5548" s="1671">
        <f t="shared" si="1012"/>
        <v>0</v>
      </c>
      <c r="I5548" s="688" t="s">
        <v>92</v>
      </c>
      <c r="J5548" s="1668"/>
      <c r="K5548" s="1668"/>
      <c r="L5548" s="1669"/>
    </row>
    <row r="5549" spans="1:12" s="692" customFormat="1" ht="16.5" hidden="1">
      <c r="A5549" s="1665"/>
      <c r="B5549" s="1666"/>
      <c r="C5549" s="688"/>
      <c r="D5549" s="1667"/>
      <c r="E5549" s="1671">
        <v>3.5</v>
      </c>
      <c r="F5549" s="1671">
        <v>4</v>
      </c>
      <c r="G5549" s="1674"/>
      <c r="H5549" s="1671">
        <f t="shared" si="1012"/>
        <v>0</v>
      </c>
      <c r="I5549" s="688" t="s">
        <v>92</v>
      </c>
      <c r="J5549" s="1668"/>
      <c r="K5549" s="1668"/>
      <c r="L5549" s="1669"/>
    </row>
    <row r="5550" spans="1:12" s="692" customFormat="1" ht="16.5" hidden="1">
      <c r="A5550" s="1665"/>
      <c r="B5550" s="1666"/>
      <c r="C5550" s="688"/>
      <c r="D5550" s="1667"/>
      <c r="E5550" s="688"/>
      <c r="F5550" s="688"/>
      <c r="G5550" s="1674" t="s">
        <v>928</v>
      </c>
      <c r="H5550" s="1671">
        <f>SUM(H5544:H5549)</f>
        <v>0</v>
      </c>
      <c r="I5550" s="1668" t="s">
        <v>92</v>
      </c>
      <c r="J5550" s="1669" t="e">
        <f>'Lead &amp; ANALYSIS'!L1039</f>
        <v>#REF!</v>
      </c>
      <c r="K5550" s="1668" t="s">
        <v>1514</v>
      </c>
      <c r="L5550" s="1669" t="e">
        <f t="shared" ref="L5550" si="1013">ROUND(H5550*J5550,0)</f>
        <v>#REF!</v>
      </c>
    </row>
    <row r="5551" spans="1:12" s="692" customFormat="1" ht="33" hidden="1">
      <c r="A5551" s="1665">
        <f>'Lead &amp; ANALYSIS'!A1040</f>
        <v>150</v>
      </c>
      <c r="B5551" s="1666" t="str">
        <f>'Lead &amp; ANALYSIS'!B1040</f>
        <v>Metal spall backing in the rear of wall steining or weep holes of abutments and for deep drains.</v>
      </c>
      <c r="C5551" s="688"/>
      <c r="D5551" s="1667"/>
      <c r="E5551" s="688"/>
      <c r="F5551" s="688"/>
      <c r="G5551" s="1674"/>
      <c r="H5551" s="688"/>
      <c r="I5551" s="1668"/>
      <c r="J5551" s="1668"/>
      <c r="K5551" s="1668"/>
      <c r="L5551" s="1669"/>
    </row>
    <row r="5552" spans="1:12" s="692" customFormat="1" ht="16.5" hidden="1">
      <c r="A5552" s="1665"/>
      <c r="B5552" s="1666"/>
      <c r="C5552" s="688"/>
      <c r="D5552" s="1667"/>
      <c r="E5552" s="1671">
        <v>3.5</v>
      </c>
      <c r="F5552" s="1671">
        <v>4</v>
      </c>
      <c r="G5552" s="1674"/>
      <c r="H5552" s="1671">
        <f t="shared" ref="H5552:H5557" si="1014">ROUND(D5552*E5552*F5552,2)</f>
        <v>0</v>
      </c>
      <c r="I5552" s="688" t="s">
        <v>92</v>
      </c>
      <c r="J5552" s="1668"/>
      <c r="K5552" s="1668"/>
      <c r="L5552" s="1669"/>
    </row>
    <row r="5553" spans="1:12" s="692" customFormat="1" ht="16.5" hidden="1">
      <c r="A5553" s="1665"/>
      <c r="B5553" s="1666"/>
      <c r="C5553" s="688"/>
      <c r="D5553" s="1667"/>
      <c r="E5553" s="1671">
        <v>3.5</v>
      </c>
      <c r="F5553" s="1671">
        <v>4</v>
      </c>
      <c r="G5553" s="1674"/>
      <c r="H5553" s="1671">
        <f t="shared" si="1014"/>
        <v>0</v>
      </c>
      <c r="I5553" s="688" t="s">
        <v>92</v>
      </c>
      <c r="J5553" s="1668"/>
      <c r="K5553" s="1668"/>
      <c r="L5553" s="1669"/>
    </row>
    <row r="5554" spans="1:12" s="692" customFormat="1" ht="16.5" hidden="1">
      <c r="A5554" s="1665"/>
      <c r="B5554" s="1666"/>
      <c r="C5554" s="688"/>
      <c r="D5554" s="1671"/>
      <c r="E5554" s="1671">
        <v>3.5</v>
      </c>
      <c r="F5554" s="1671">
        <v>4</v>
      </c>
      <c r="G5554" s="1674"/>
      <c r="H5554" s="1671">
        <f t="shared" si="1014"/>
        <v>0</v>
      </c>
      <c r="I5554" s="688" t="s">
        <v>92</v>
      </c>
      <c r="J5554" s="1668"/>
      <c r="K5554" s="1668"/>
      <c r="L5554" s="1669"/>
    </row>
    <row r="5555" spans="1:12" s="692" customFormat="1" ht="16.5" hidden="1">
      <c r="A5555" s="1665"/>
      <c r="B5555" s="1666"/>
      <c r="C5555" s="688"/>
      <c r="D5555" s="1667"/>
      <c r="E5555" s="1671">
        <v>3.5</v>
      </c>
      <c r="F5555" s="1671">
        <v>4</v>
      </c>
      <c r="G5555" s="1674"/>
      <c r="H5555" s="1671">
        <f t="shared" si="1014"/>
        <v>0</v>
      </c>
      <c r="I5555" s="688" t="s">
        <v>92</v>
      </c>
      <c r="J5555" s="1668"/>
      <c r="K5555" s="1668"/>
      <c r="L5555" s="1669"/>
    </row>
    <row r="5556" spans="1:12" s="692" customFormat="1" ht="16.5" hidden="1">
      <c r="A5556" s="1665"/>
      <c r="B5556" s="1666"/>
      <c r="C5556" s="688"/>
      <c r="D5556" s="1667"/>
      <c r="E5556" s="1671">
        <v>3.5</v>
      </c>
      <c r="F5556" s="1671">
        <v>4</v>
      </c>
      <c r="G5556" s="1674"/>
      <c r="H5556" s="1671">
        <f t="shared" si="1014"/>
        <v>0</v>
      </c>
      <c r="I5556" s="688" t="s">
        <v>92</v>
      </c>
      <c r="J5556" s="1668"/>
      <c r="K5556" s="1668"/>
      <c r="L5556" s="1669"/>
    </row>
    <row r="5557" spans="1:12" s="692" customFormat="1" ht="16.5" hidden="1">
      <c r="A5557" s="1665"/>
      <c r="B5557" s="1666"/>
      <c r="C5557" s="688"/>
      <c r="D5557" s="1667"/>
      <c r="E5557" s="1671">
        <v>3.5</v>
      </c>
      <c r="F5557" s="1671">
        <v>4</v>
      </c>
      <c r="G5557" s="1674"/>
      <c r="H5557" s="1671">
        <f t="shared" si="1014"/>
        <v>0</v>
      </c>
      <c r="I5557" s="688" t="s">
        <v>92</v>
      </c>
      <c r="J5557" s="1668"/>
      <c r="K5557" s="1668"/>
      <c r="L5557" s="1669"/>
    </row>
    <row r="5558" spans="1:12" s="692" customFormat="1" ht="16.5" hidden="1">
      <c r="A5558" s="1665"/>
      <c r="B5558" s="1666"/>
      <c r="C5558" s="688"/>
      <c r="D5558" s="1667"/>
      <c r="E5558" s="688"/>
      <c r="F5558" s="688"/>
      <c r="G5558" s="1674" t="s">
        <v>928</v>
      </c>
      <c r="H5558" s="1671">
        <f>SUM(H5552:H5557)</f>
        <v>0</v>
      </c>
      <c r="I5558" s="1668" t="s">
        <v>92</v>
      </c>
      <c r="J5558" s="1669" t="e">
        <f>'Lead &amp; ANALYSIS'!L1040</f>
        <v>#REF!</v>
      </c>
      <c r="K5558" s="1668" t="s">
        <v>1514</v>
      </c>
      <c r="L5558" s="1669" t="e">
        <f t="shared" ref="L5558" si="1015">ROUND(H5558*J5558,0)</f>
        <v>#REF!</v>
      </c>
    </row>
    <row r="5559" spans="1:12" s="692" customFormat="1" ht="66" hidden="1">
      <c r="A5559" s="1665">
        <f>'Lead &amp; ANALYSIS'!A1041</f>
        <v>151</v>
      </c>
      <c r="B5559" s="1666" t="str">
        <f>'Lead &amp; ANALYSIS'!B1041</f>
        <v>Rough stone dry packing in aprons and revetments as per approved drawing &amp; technical specifications including all cost of labour and material etc complete.</v>
      </c>
      <c r="C5559" s="688"/>
      <c r="D5559" s="1667"/>
      <c r="E5559" s="688"/>
      <c r="F5559" s="688"/>
      <c r="G5559" s="1674"/>
      <c r="H5559" s="688"/>
      <c r="I5559" s="1668"/>
      <c r="J5559" s="1668"/>
      <c r="K5559" s="1668"/>
      <c r="L5559" s="1669"/>
    </row>
    <row r="5560" spans="1:12" s="692" customFormat="1" ht="16.5" hidden="1">
      <c r="A5560" s="1665"/>
      <c r="B5560" s="1666"/>
      <c r="C5560" s="688"/>
      <c r="D5560" s="1667"/>
      <c r="E5560" s="1671">
        <v>3.5</v>
      </c>
      <c r="F5560" s="1671">
        <v>4</v>
      </c>
      <c r="G5560" s="1674"/>
      <c r="H5560" s="1671">
        <f t="shared" ref="H5560:H5565" si="1016">ROUND(D5560*E5560*F5560,2)</f>
        <v>0</v>
      </c>
      <c r="I5560" s="688" t="s">
        <v>92</v>
      </c>
      <c r="J5560" s="1668"/>
      <c r="K5560" s="1668"/>
      <c r="L5560" s="1669"/>
    </row>
    <row r="5561" spans="1:12" s="692" customFormat="1" ht="16.5" hidden="1">
      <c r="A5561" s="1665"/>
      <c r="B5561" s="1666"/>
      <c r="C5561" s="688"/>
      <c r="D5561" s="1667"/>
      <c r="E5561" s="1671">
        <v>3.5</v>
      </c>
      <c r="F5561" s="1671">
        <v>4</v>
      </c>
      <c r="G5561" s="1674"/>
      <c r="H5561" s="1671">
        <f t="shared" si="1016"/>
        <v>0</v>
      </c>
      <c r="I5561" s="688" t="s">
        <v>92</v>
      </c>
      <c r="J5561" s="1668"/>
      <c r="K5561" s="1668"/>
      <c r="L5561" s="1669"/>
    </row>
    <row r="5562" spans="1:12" s="692" customFormat="1" ht="16.5" hidden="1">
      <c r="A5562" s="1665"/>
      <c r="B5562" s="1666"/>
      <c r="C5562" s="688"/>
      <c r="D5562" s="1667"/>
      <c r="E5562" s="1671">
        <v>3.5</v>
      </c>
      <c r="F5562" s="1671">
        <v>4</v>
      </c>
      <c r="G5562" s="1674"/>
      <c r="H5562" s="1671">
        <f t="shared" si="1016"/>
        <v>0</v>
      </c>
      <c r="I5562" s="688" t="s">
        <v>92</v>
      </c>
      <c r="J5562" s="1668"/>
      <c r="K5562" s="1668"/>
      <c r="L5562" s="1669"/>
    </row>
    <row r="5563" spans="1:12" s="692" customFormat="1" ht="16.5" hidden="1">
      <c r="A5563" s="1665"/>
      <c r="B5563" s="1666"/>
      <c r="C5563" s="688"/>
      <c r="D5563" s="1667"/>
      <c r="E5563" s="1671">
        <v>3.5</v>
      </c>
      <c r="F5563" s="1671">
        <v>4</v>
      </c>
      <c r="G5563" s="1674"/>
      <c r="H5563" s="1671">
        <f t="shared" si="1016"/>
        <v>0</v>
      </c>
      <c r="I5563" s="688" t="s">
        <v>92</v>
      </c>
      <c r="J5563" s="1668"/>
      <c r="K5563" s="1668"/>
      <c r="L5563" s="1669"/>
    </row>
    <row r="5564" spans="1:12" s="692" customFormat="1" ht="16.5" hidden="1">
      <c r="A5564" s="1665"/>
      <c r="B5564" s="1666"/>
      <c r="C5564" s="688"/>
      <c r="D5564" s="1667"/>
      <c r="E5564" s="1671">
        <v>3.5</v>
      </c>
      <c r="F5564" s="1671">
        <v>4</v>
      </c>
      <c r="G5564" s="1674"/>
      <c r="H5564" s="1671">
        <f t="shared" si="1016"/>
        <v>0</v>
      </c>
      <c r="I5564" s="688" t="s">
        <v>92</v>
      </c>
      <c r="J5564" s="1668"/>
      <c r="K5564" s="1668"/>
      <c r="L5564" s="1669"/>
    </row>
    <row r="5565" spans="1:12" s="692" customFormat="1" ht="16.5" hidden="1">
      <c r="A5565" s="1665"/>
      <c r="B5565" s="1666"/>
      <c r="C5565" s="688"/>
      <c r="D5565" s="1667"/>
      <c r="E5565" s="1671">
        <v>3.5</v>
      </c>
      <c r="F5565" s="1671">
        <v>4</v>
      </c>
      <c r="G5565" s="1674"/>
      <c r="H5565" s="1671">
        <f t="shared" si="1016"/>
        <v>0</v>
      </c>
      <c r="I5565" s="688" t="s">
        <v>92</v>
      </c>
      <c r="J5565" s="1668"/>
      <c r="K5565" s="1668"/>
      <c r="L5565" s="1669"/>
    </row>
    <row r="5566" spans="1:12" s="692" customFormat="1" ht="16.5" hidden="1">
      <c r="A5566" s="1665"/>
      <c r="B5566" s="1666"/>
      <c r="C5566" s="688"/>
      <c r="D5566" s="1667"/>
      <c r="E5566" s="688"/>
      <c r="F5566" s="688"/>
      <c r="G5566" s="1674" t="s">
        <v>928</v>
      </c>
      <c r="H5566" s="1671">
        <f>SUM(H5560:H5565)</f>
        <v>0</v>
      </c>
      <c r="I5566" s="1668" t="s">
        <v>92</v>
      </c>
      <c r="J5566" s="1668" t="e">
        <f>'Lead &amp; ANALYSIS'!L1041</f>
        <v>#REF!</v>
      </c>
      <c r="K5566" s="1668" t="s">
        <v>1514</v>
      </c>
      <c r="L5566" s="1669" t="e">
        <f t="shared" ref="L5566" si="1017">ROUND(H5566*J5566,0)</f>
        <v>#REF!</v>
      </c>
    </row>
    <row r="5567" spans="1:12" s="692" customFormat="1" ht="115.5" hidden="1">
      <c r="A5567" s="1665">
        <f>'Lead &amp; ANALYSIS'!A1042</f>
        <v>152</v>
      </c>
      <c r="B5567" s="1666" t="str">
        <f>'Lead &amp; ANALYSIS'!B1042</f>
        <v>Grouting to Aprons and revetments with cement concrete (1:4:8)  using 2.5cm size h.g.c.b.metal of 23cm deep including curing and cost, conveyance &amp; royalities of materials and labour charges etc.complete as per approved drawing &amp; technical specifications and as per direction of Engineer In Charge.</v>
      </c>
      <c r="C5567" s="688"/>
      <c r="D5567" s="1667"/>
      <c r="E5567" s="688"/>
      <c r="F5567" s="688"/>
      <c r="G5567" s="1674"/>
      <c r="H5567" s="688"/>
      <c r="I5567" s="1668"/>
      <c r="J5567" s="1668"/>
      <c r="K5567" s="1668"/>
      <c r="L5567" s="1669"/>
    </row>
    <row r="5568" spans="1:12" s="692" customFormat="1" ht="16.5" hidden="1">
      <c r="A5568" s="1665"/>
      <c r="B5568" s="1666"/>
      <c r="C5568" s="688"/>
      <c r="D5568" s="1667"/>
      <c r="E5568" s="1671">
        <v>3.5</v>
      </c>
      <c r="F5568" s="1671">
        <v>4</v>
      </c>
      <c r="G5568" s="1674"/>
      <c r="H5568" s="1671">
        <f t="shared" ref="H5568:H5573" si="1018">ROUND(D5568*E5568*F5568,2)</f>
        <v>0</v>
      </c>
      <c r="I5568" s="688" t="s">
        <v>92</v>
      </c>
      <c r="J5568" s="1668"/>
      <c r="K5568" s="1668"/>
      <c r="L5568" s="1669"/>
    </row>
    <row r="5569" spans="1:12" s="692" customFormat="1" ht="16.5" hidden="1">
      <c r="A5569" s="1665"/>
      <c r="B5569" s="1666"/>
      <c r="C5569" s="688"/>
      <c r="D5569" s="1667"/>
      <c r="E5569" s="1671">
        <v>3.5</v>
      </c>
      <c r="F5569" s="1671">
        <v>4</v>
      </c>
      <c r="G5569" s="1674"/>
      <c r="H5569" s="1671">
        <f t="shared" si="1018"/>
        <v>0</v>
      </c>
      <c r="I5569" s="688" t="s">
        <v>92</v>
      </c>
      <c r="J5569" s="1668"/>
      <c r="K5569" s="1668"/>
      <c r="L5569" s="1669"/>
    </row>
    <row r="5570" spans="1:12" s="692" customFormat="1" ht="16.5" hidden="1">
      <c r="A5570" s="1665"/>
      <c r="B5570" s="1666"/>
      <c r="C5570" s="688"/>
      <c r="D5570" s="1667"/>
      <c r="E5570" s="1671">
        <v>3.5</v>
      </c>
      <c r="F5570" s="1671">
        <v>4</v>
      </c>
      <c r="G5570" s="1674"/>
      <c r="H5570" s="1671">
        <f t="shared" si="1018"/>
        <v>0</v>
      </c>
      <c r="I5570" s="688" t="s">
        <v>92</v>
      </c>
      <c r="J5570" s="1668"/>
      <c r="K5570" s="1668"/>
      <c r="L5570" s="1669"/>
    </row>
    <row r="5571" spans="1:12" s="692" customFormat="1" ht="16.5" hidden="1">
      <c r="A5571" s="1665"/>
      <c r="B5571" s="1666"/>
      <c r="C5571" s="688"/>
      <c r="D5571" s="1667"/>
      <c r="E5571" s="1671">
        <v>3.5</v>
      </c>
      <c r="F5571" s="1671">
        <v>4</v>
      </c>
      <c r="G5571" s="1674"/>
      <c r="H5571" s="1671">
        <f t="shared" si="1018"/>
        <v>0</v>
      </c>
      <c r="I5571" s="688" t="s">
        <v>92</v>
      </c>
      <c r="J5571" s="1668"/>
      <c r="K5571" s="1668"/>
      <c r="L5571" s="1669"/>
    </row>
    <row r="5572" spans="1:12" s="692" customFormat="1" ht="16.5" hidden="1">
      <c r="A5572" s="1665"/>
      <c r="B5572" s="1666"/>
      <c r="C5572" s="688"/>
      <c r="D5572" s="1667"/>
      <c r="E5572" s="1671">
        <v>3.5</v>
      </c>
      <c r="F5572" s="1671">
        <v>4</v>
      </c>
      <c r="G5572" s="1674"/>
      <c r="H5572" s="1671">
        <f t="shared" si="1018"/>
        <v>0</v>
      </c>
      <c r="I5572" s="688" t="s">
        <v>92</v>
      </c>
      <c r="J5572" s="1668"/>
      <c r="K5572" s="1668"/>
      <c r="L5572" s="1669"/>
    </row>
    <row r="5573" spans="1:12" s="692" customFormat="1" ht="16.5" hidden="1">
      <c r="A5573" s="1665"/>
      <c r="B5573" s="1666"/>
      <c r="C5573" s="688"/>
      <c r="D5573" s="1667"/>
      <c r="E5573" s="1671">
        <v>3.5</v>
      </c>
      <c r="F5573" s="1671">
        <v>4</v>
      </c>
      <c r="G5573" s="1674"/>
      <c r="H5573" s="1671">
        <f t="shared" si="1018"/>
        <v>0</v>
      </c>
      <c r="I5573" s="688" t="s">
        <v>92</v>
      </c>
      <c r="J5573" s="1668"/>
      <c r="K5573" s="1668"/>
      <c r="L5573" s="1669"/>
    </row>
    <row r="5574" spans="1:12" s="692" customFormat="1" ht="16.5" hidden="1">
      <c r="A5574" s="1665"/>
      <c r="B5574" s="1666"/>
      <c r="C5574" s="688"/>
      <c r="D5574" s="1667"/>
      <c r="E5574" s="688"/>
      <c r="F5574" s="688"/>
      <c r="G5574" s="1674" t="s">
        <v>928</v>
      </c>
      <c r="H5574" s="1671">
        <f>SUM(H5568:H5573)</f>
        <v>0</v>
      </c>
      <c r="I5574" s="1668" t="s">
        <v>92</v>
      </c>
      <c r="J5574" s="1669" t="e">
        <f>'Lead &amp; ANALYSIS'!L1042</f>
        <v>#REF!</v>
      </c>
      <c r="K5574" s="1668" t="s">
        <v>1514</v>
      </c>
      <c r="L5574" s="1669" t="e">
        <f t="shared" ref="L5574" si="1019">ROUND(H5574*J5574,0)</f>
        <v>#REF!</v>
      </c>
    </row>
    <row r="5575" spans="1:12" s="692" customFormat="1" ht="99" hidden="1">
      <c r="A5575" s="1665">
        <f>'Lead &amp; ANALYSIS'!A1043</f>
        <v>153</v>
      </c>
      <c r="B5575" s="1666" t="str">
        <f>'Lead &amp; ANALYSIS'!B1043</f>
        <v>Providing 40mm to 90mm, size hard stone metal other than granite in filter media including spreading in uniform  thickness, hand packing, rolling with HRR or ramming with rammer to proper level, grade &amp; camber with sand to fill up the interstices for finished item of works as per direction of Engineer In Charge.</v>
      </c>
      <c r="C5575" s="688"/>
      <c r="D5575" s="1667"/>
      <c r="E5575" s="688"/>
      <c r="F5575" s="688"/>
      <c r="G5575" s="1674"/>
      <c r="H5575" s="688"/>
      <c r="I5575" s="1668"/>
      <c r="J5575" s="1668"/>
      <c r="K5575" s="1668"/>
      <c r="L5575" s="1669"/>
    </row>
    <row r="5576" spans="1:12" s="692" customFormat="1" ht="16.5" hidden="1">
      <c r="A5576" s="1665"/>
      <c r="B5576" s="1666"/>
      <c r="C5576" s="688"/>
      <c r="D5576" s="1667"/>
      <c r="E5576" s="1671">
        <v>3.5</v>
      </c>
      <c r="F5576" s="1671">
        <v>4</v>
      </c>
      <c r="G5576" s="1674"/>
      <c r="H5576" s="1671">
        <f t="shared" ref="H5576:H5581" si="1020">ROUND(D5576*E5576*F5576,2)</f>
        <v>0</v>
      </c>
      <c r="I5576" s="688" t="s">
        <v>92</v>
      </c>
      <c r="J5576" s="1668"/>
      <c r="K5576" s="1668"/>
      <c r="L5576" s="1669"/>
    </row>
    <row r="5577" spans="1:12" s="692" customFormat="1" ht="16.5" hidden="1">
      <c r="A5577" s="1665"/>
      <c r="B5577" s="1666"/>
      <c r="C5577" s="688"/>
      <c r="D5577" s="1667"/>
      <c r="E5577" s="1671">
        <v>3.5</v>
      </c>
      <c r="F5577" s="1671">
        <v>4</v>
      </c>
      <c r="G5577" s="1674"/>
      <c r="H5577" s="1671">
        <f t="shared" si="1020"/>
        <v>0</v>
      </c>
      <c r="I5577" s="688" t="s">
        <v>92</v>
      </c>
      <c r="J5577" s="1668"/>
      <c r="K5577" s="1668"/>
      <c r="L5577" s="1669"/>
    </row>
    <row r="5578" spans="1:12" s="692" customFormat="1" ht="16.5" hidden="1">
      <c r="A5578" s="1665"/>
      <c r="B5578" s="1666"/>
      <c r="C5578" s="688"/>
      <c r="D5578" s="1667"/>
      <c r="E5578" s="1671">
        <v>3.5</v>
      </c>
      <c r="F5578" s="1671">
        <v>4</v>
      </c>
      <c r="G5578" s="1674"/>
      <c r="H5578" s="1671">
        <f t="shared" si="1020"/>
        <v>0</v>
      </c>
      <c r="I5578" s="688" t="s">
        <v>92</v>
      </c>
      <c r="J5578" s="1668"/>
      <c r="K5578" s="1668"/>
      <c r="L5578" s="1669"/>
    </row>
    <row r="5579" spans="1:12" s="692" customFormat="1" ht="16.5" hidden="1">
      <c r="A5579" s="1665"/>
      <c r="B5579" s="1666"/>
      <c r="C5579" s="688"/>
      <c r="D5579" s="1667"/>
      <c r="E5579" s="1671">
        <v>3.5</v>
      </c>
      <c r="F5579" s="1671">
        <v>4</v>
      </c>
      <c r="G5579" s="1674"/>
      <c r="H5579" s="1671">
        <f t="shared" si="1020"/>
        <v>0</v>
      </c>
      <c r="I5579" s="688" t="s">
        <v>92</v>
      </c>
      <c r="J5579" s="1668"/>
      <c r="K5579" s="1668"/>
      <c r="L5579" s="1669"/>
    </row>
    <row r="5580" spans="1:12" s="692" customFormat="1" ht="16.5" hidden="1">
      <c r="A5580" s="1665"/>
      <c r="B5580" s="1666"/>
      <c r="C5580" s="688"/>
      <c r="D5580" s="1667"/>
      <c r="E5580" s="1671">
        <v>3.5</v>
      </c>
      <c r="F5580" s="1671">
        <v>4</v>
      </c>
      <c r="G5580" s="1674"/>
      <c r="H5580" s="1671">
        <f t="shared" si="1020"/>
        <v>0</v>
      </c>
      <c r="I5580" s="688" t="s">
        <v>92</v>
      </c>
      <c r="J5580" s="1668"/>
      <c r="K5580" s="1668"/>
      <c r="L5580" s="1669"/>
    </row>
    <row r="5581" spans="1:12" s="692" customFormat="1" ht="16.5" hidden="1">
      <c r="A5581" s="1665"/>
      <c r="B5581" s="1666"/>
      <c r="C5581" s="688"/>
      <c r="D5581" s="1667"/>
      <c r="E5581" s="1671">
        <v>3.5</v>
      </c>
      <c r="F5581" s="1671">
        <v>4</v>
      </c>
      <c r="G5581" s="1674"/>
      <c r="H5581" s="1671">
        <f t="shared" si="1020"/>
        <v>0</v>
      </c>
      <c r="I5581" s="688" t="s">
        <v>92</v>
      </c>
      <c r="J5581" s="1668"/>
      <c r="K5581" s="1668"/>
      <c r="L5581" s="1669"/>
    </row>
    <row r="5582" spans="1:12" s="692" customFormat="1" ht="16.5" hidden="1">
      <c r="A5582" s="1665"/>
      <c r="B5582" s="1666"/>
      <c r="C5582" s="688"/>
      <c r="D5582" s="1667"/>
      <c r="E5582" s="688"/>
      <c r="F5582" s="688"/>
      <c r="G5582" s="1674" t="s">
        <v>928</v>
      </c>
      <c r="H5582" s="1671">
        <f>SUM(H5576:H5581)</f>
        <v>0</v>
      </c>
      <c r="I5582" s="1668" t="s">
        <v>92</v>
      </c>
      <c r="J5582" s="1668" t="e">
        <f>'Lead &amp; ANALYSIS'!L1043</f>
        <v>#REF!</v>
      </c>
      <c r="K5582" s="1668" t="s">
        <v>1514</v>
      </c>
      <c r="L5582" s="1669" t="e">
        <f t="shared" ref="L5582" si="1021">ROUND(H5582*J5582,0)</f>
        <v>#REF!</v>
      </c>
    </row>
    <row r="5583" spans="1:12" s="692" customFormat="1" ht="115.5" hidden="1">
      <c r="A5583" s="1665">
        <f>'Lead &amp; ANALYSIS'!A1044</f>
        <v>154</v>
      </c>
      <c r="B5583" s="1666" t="str">
        <f>'Lead &amp; ANALYSIS'!B1044</f>
        <v>Providing spreading metal and packing the voids with small stones and hand packing the same to proper camber including conveying spreding of filler materials and filling the interstices by spreading the same over the surface watering and consolidation with PRR including Hire and running Charges of PRR complete</v>
      </c>
      <c r="C5583" s="688"/>
      <c r="D5583" s="1667"/>
      <c r="E5583" s="688"/>
      <c r="F5583" s="688"/>
      <c r="G5583" s="1674"/>
      <c r="H5583" s="688"/>
      <c r="I5583" s="1668"/>
      <c r="J5583" s="1668"/>
      <c r="K5583" s="1668"/>
      <c r="L5583" s="1669"/>
    </row>
    <row r="5584" spans="1:12" s="692" customFormat="1" ht="16.5" hidden="1">
      <c r="A5584" s="1665" t="str">
        <f>'Lead &amp; ANALYSIS'!A1045</f>
        <v>A</v>
      </c>
      <c r="B5584" s="1666" t="str">
        <f>'Lead &amp; ANALYSIS'!B1045</f>
        <v>IRC Gr-I</v>
      </c>
      <c r="C5584" s="688"/>
      <c r="D5584" s="1667"/>
      <c r="E5584" s="688"/>
      <c r="F5584" s="688"/>
      <c r="G5584" s="1674"/>
      <c r="H5584" s="688"/>
      <c r="I5584" s="1668"/>
      <c r="J5584" s="1668"/>
      <c r="K5584" s="1668"/>
      <c r="L5584" s="1669"/>
    </row>
    <row r="5585" spans="1:12" s="692" customFormat="1" ht="16.5" hidden="1">
      <c r="A5585" s="1665"/>
      <c r="B5585" s="1666"/>
      <c r="C5585" s="688"/>
      <c r="D5585" s="1667"/>
      <c r="E5585" s="1671">
        <v>3.5</v>
      </c>
      <c r="F5585" s="1671">
        <v>4</v>
      </c>
      <c r="G5585" s="1672">
        <v>2</v>
      </c>
      <c r="H5585" s="1671">
        <f>ROUND(D5585*E5585*F5585*G5585,2)</f>
        <v>0</v>
      </c>
      <c r="I5585" s="688" t="s">
        <v>49</v>
      </c>
      <c r="J5585" s="1668"/>
      <c r="K5585" s="1668"/>
      <c r="L5585" s="1669"/>
    </row>
    <row r="5586" spans="1:12" s="692" customFormat="1" ht="16.5" hidden="1">
      <c r="A5586" s="1665"/>
      <c r="B5586" s="1666"/>
      <c r="C5586" s="688"/>
      <c r="D5586" s="1667"/>
      <c r="E5586" s="1671">
        <v>3.5</v>
      </c>
      <c r="F5586" s="1671">
        <v>4</v>
      </c>
      <c r="G5586" s="1672">
        <v>2</v>
      </c>
      <c r="H5586" s="1671">
        <f t="shared" ref="H5586:H5590" si="1022">ROUND(D5586*E5586*F5586*G5586,2)</f>
        <v>0</v>
      </c>
      <c r="I5586" s="688" t="s">
        <v>49</v>
      </c>
      <c r="J5586" s="1668"/>
      <c r="K5586" s="1668"/>
      <c r="L5586" s="1669"/>
    </row>
    <row r="5587" spans="1:12" s="692" customFormat="1" ht="16.5" hidden="1">
      <c r="A5587" s="1665"/>
      <c r="B5587" s="1666"/>
      <c r="C5587" s="688"/>
      <c r="D5587" s="1667"/>
      <c r="E5587" s="1671">
        <v>3.5</v>
      </c>
      <c r="F5587" s="1671">
        <v>4</v>
      </c>
      <c r="G5587" s="1672">
        <v>2</v>
      </c>
      <c r="H5587" s="1671">
        <f t="shared" si="1022"/>
        <v>0</v>
      </c>
      <c r="I5587" s="688" t="s">
        <v>49</v>
      </c>
      <c r="J5587" s="1668"/>
      <c r="K5587" s="1668"/>
      <c r="L5587" s="1669"/>
    </row>
    <row r="5588" spans="1:12" s="692" customFormat="1" ht="16.5" hidden="1">
      <c r="A5588" s="1665"/>
      <c r="B5588" s="1666"/>
      <c r="C5588" s="688"/>
      <c r="D5588" s="1667"/>
      <c r="E5588" s="1671">
        <v>3.5</v>
      </c>
      <c r="F5588" s="1671">
        <v>4</v>
      </c>
      <c r="G5588" s="1672">
        <v>2</v>
      </c>
      <c r="H5588" s="1671">
        <f t="shared" si="1022"/>
        <v>0</v>
      </c>
      <c r="I5588" s="688" t="s">
        <v>49</v>
      </c>
      <c r="J5588" s="1668"/>
      <c r="K5588" s="1668"/>
      <c r="L5588" s="1669"/>
    </row>
    <row r="5589" spans="1:12" s="692" customFormat="1" ht="16.5" hidden="1">
      <c r="A5589" s="1665"/>
      <c r="B5589" s="1666"/>
      <c r="C5589" s="688"/>
      <c r="D5589" s="1667"/>
      <c r="E5589" s="1671">
        <v>3.5</v>
      </c>
      <c r="F5589" s="1671">
        <v>4</v>
      </c>
      <c r="G5589" s="1672">
        <v>2</v>
      </c>
      <c r="H5589" s="1671">
        <f t="shared" si="1022"/>
        <v>0</v>
      </c>
      <c r="I5589" s="688" t="s">
        <v>49</v>
      </c>
      <c r="J5589" s="1668"/>
      <c r="K5589" s="1668"/>
      <c r="L5589" s="1669"/>
    </row>
    <row r="5590" spans="1:12" s="692" customFormat="1" ht="16.5" hidden="1">
      <c r="A5590" s="1665"/>
      <c r="B5590" s="1666"/>
      <c r="C5590" s="688"/>
      <c r="D5590" s="1667"/>
      <c r="E5590" s="1671">
        <v>3.5</v>
      </c>
      <c r="F5590" s="1671">
        <v>4</v>
      </c>
      <c r="G5590" s="1672">
        <v>2</v>
      </c>
      <c r="H5590" s="1671">
        <f t="shared" si="1022"/>
        <v>0</v>
      </c>
      <c r="I5590" s="688" t="s">
        <v>49</v>
      </c>
      <c r="J5590" s="1668"/>
      <c r="K5590" s="1668"/>
      <c r="L5590" s="1669"/>
    </row>
    <row r="5591" spans="1:12" s="692" customFormat="1" ht="16.5" hidden="1">
      <c r="A5591" s="1665"/>
      <c r="B5591" s="1666"/>
      <c r="C5591" s="688"/>
      <c r="D5591" s="1667"/>
      <c r="E5591" s="688"/>
      <c r="F5591" s="688"/>
      <c r="G5591" s="1668" t="s">
        <v>928</v>
      </c>
      <c r="H5591" s="1673">
        <f>SUM(H5585:H5590)</f>
        <v>0</v>
      </c>
      <c r="I5591" s="677" t="s">
        <v>49</v>
      </c>
      <c r="J5591" s="1668" t="e">
        <f>'Lead &amp; ANALYSIS'!L1045</f>
        <v>#REF!</v>
      </c>
      <c r="K5591" s="1668" t="s">
        <v>1514</v>
      </c>
      <c r="L5591" s="1669" t="e">
        <f t="shared" ref="L5591" si="1023">ROUND(H5591*J5591,0)</f>
        <v>#REF!</v>
      </c>
    </row>
    <row r="5592" spans="1:12" s="692" customFormat="1" ht="16.5" hidden="1">
      <c r="A5592" s="1665" t="str">
        <f>'Lead &amp; ANALYSIS'!A1046</f>
        <v>B</v>
      </c>
      <c r="B5592" s="1666" t="str">
        <f>'Lead &amp; ANALYSIS'!B1046</f>
        <v>IRC Gr-II</v>
      </c>
      <c r="C5592" s="688"/>
      <c r="D5592" s="1667"/>
      <c r="E5592" s="688"/>
      <c r="F5592" s="688"/>
      <c r="G5592" s="1674"/>
      <c r="H5592" s="688"/>
      <c r="I5592" s="1668"/>
      <c r="J5592" s="1668"/>
      <c r="K5592" s="1668"/>
      <c r="L5592" s="1669"/>
    </row>
    <row r="5593" spans="1:12" s="692" customFormat="1" ht="16.5" hidden="1">
      <c r="A5593" s="1665"/>
      <c r="B5593" s="1666"/>
      <c r="C5593" s="688"/>
      <c r="D5593" s="1667"/>
      <c r="E5593" s="1671">
        <v>3.5</v>
      </c>
      <c r="F5593" s="1671">
        <v>4</v>
      </c>
      <c r="G5593" s="1672">
        <v>2</v>
      </c>
      <c r="H5593" s="1671">
        <f>ROUND(D5593*E5593*F5593*G5593,2)</f>
        <v>0</v>
      </c>
      <c r="I5593" s="688" t="s">
        <v>49</v>
      </c>
      <c r="J5593" s="1668"/>
      <c r="K5593" s="1668"/>
      <c r="L5593" s="1669"/>
    </row>
    <row r="5594" spans="1:12" s="692" customFormat="1" ht="16.5" hidden="1">
      <c r="A5594" s="1665"/>
      <c r="B5594" s="1666"/>
      <c r="C5594" s="688"/>
      <c r="D5594" s="1667"/>
      <c r="E5594" s="1671">
        <v>3.5</v>
      </c>
      <c r="F5594" s="1671">
        <v>4</v>
      </c>
      <c r="G5594" s="1672">
        <v>2</v>
      </c>
      <c r="H5594" s="1671">
        <f t="shared" ref="H5594:H5598" si="1024">ROUND(D5594*E5594*F5594*G5594,2)</f>
        <v>0</v>
      </c>
      <c r="I5594" s="688" t="s">
        <v>49</v>
      </c>
      <c r="J5594" s="1668"/>
      <c r="K5594" s="1668"/>
      <c r="L5594" s="1669"/>
    </row>
    <row r="5595" spans="1:12" s="692" customFormat="1" ht="16.5" hidden="1">
      <c r="A5595" s="1665"/>
      <c r="B5595" s="1666"/>
      <c r="C5595" s="688"/>
      <c r="D5595" s="1667"/>
      <c r="E5595" s="1671">
        <v>3.5</v>
      </c>
      <c r="F5595" s="1671">
        <v>4</v>
      </c>
      <c r="G5595" s="1672">
        <v>2</v>
      </c>
      <c r="H5595" s="1671">
        <f t="shared" si="1024"/>
        <v>0</v>
      </c>
      <c r="I5595" s="688" t="s">
        <v>49</v>
      </c>
      <c r="J5595" s="1668"/>
      <c r="K5595" s="1668"/>
      <c r="L5595" s="1669"/>
    </row>
    <row r="5596" spans="1:12" s="692" customFormat="1" ht="16.5" hidden="1">
      <c r="A5596" s="1665"/>
      <c r="B5596" s="1666"/>
      <c r="C5596" s="688"/>
      <c r="D5596" s="1667"/>
      <c r="E5596" s="1671">
        <v>3.5</v>
      </c>
      <c r="F5596" s="1671">
        <v>4</v>
      </c>
      <c r="G5596" s="1672">
        <v>2</v>
      </c>
      <c r="H5596" s="1671">
        <f t="shared" si="1024"/>
        <v>0</v>
      </c>
      <c r="I5596" s="688" t="s">
        <v>49</v>
      </c>
      <c r="J5596" s="1668"/>
      <c r="K5596" s="1668"/>
      <c r="L5596" s="1669"/>
    </row>
    <row r="5597" spans="1:12" s="692" customFormat="1" ht="16.5" hidden="1">
      <c r="A5597" s="1665"/>
      <c r="B5597" s="1666"/>
      <c r="C5597" s="688"/>
      <c r="D5597" s="1667"/>
      <c r="E5597" s="1671">
        <v>3.5</v>
      </c>
      <c r="F5597" s="1671">
        <v>4</v>
      </c>
      <c r="G5597" s="1672">
        <v>2</v>
      </c>
      <c r="H5597" s="1671">
        <f t="shared" si="1024"/>
        <v>0</v>
      </c>
      <c r="I5597" s="688" t="s">
        <v>49</v>
      </c>
      <c r="J5597" s="1668"/>
      <c r="K5597" s="1668"/>
      <c r="L5597" s="1669"/>
    </row>
    <row r="5598" spans="1:12" s="692" customFormat="1" ht="16.5" hidden="1">
      <c r="A5598" s="1665"/>
      <c r="B5598" s="1666"/>
      <c r="C5598" s="688"/>
      <c r="D5598" s="1667"/>
      <c r="E5598" s="1671">
        <v>3.5</v>
      </c>
      <c r="F5598" s="1671">
        <v>4</v>
      </c>
      <c r="G5598" s="1672">
        <v>2</v>
      </c>
      <c r="H5598" s="1671">
        <f t="shared" si="1024"/>
        <v>0</v>
      </c>
      <c r="I5598" s="688" t="s">
        <v>49</v>
      </c>
      <c r="J5598" s="1668"/>
      <c r="K5598" s="1668"/>
      <c r="L5598" s="1669"/>
    </row>
    <row r="5599" spans="1:12" s="692" customFormat="1" ht="16.5" hidden="1">
      <c r="A5599" s="1665"/>
      <c r="B5599" s="1666"/>
      <c r="C5599" s="688"/>
      <c r="D5599" s="1667"/>
      <c r="E5599" s="688"/>
      <c r="F5599" s="688"/>
      <c r="G5599" s="1668" t="s">
        <v>928</v>
      </c>
      <c r="H5599" s="1673">
        <f>SUM(H5593:H5598)</f>
        <v>0</v>
      </c>
      <c r="I5599" s="677" t="s">
        <v>49</v>
      </c>
      <c r="J5599" s="1668" t="e">
        <f>'Lead &amp; ANALYSIS'!L1046</f>
        <v>#REF!</v>
      </c>
      <c r="K5599" s="1668" t="s">
        <v>1514</v>
      </c>
      <c r="L5599" s="1669" t="e">
        <f t="shared" ref="L5599" si="1025">ROUND(H5599*J5599,0)</f>
        <v>#REF!</v>
      </c>
    </row>
    <row r="5600" spans="1:12" s="692" customFormat="1" ht="16.5" hidden="1">
      <c r="A5600" s="1665" t="str">
        <f>'Lead &amp; ANALYSIS'!A1047</f>
        <v>C</v>
      </c>
      <c r="B5600" s="1666" t="str">
        <f>'Lead &amp; ANALYSIS'!B1047</f>
        <v>IRC Gr-III</v>
      </c>
      <c r="C5600" s="688"/>
      <c r="D5600" s="1667"/>
      <c r="E5600" s="688"/>
      <c r="F5600" s="688"/>
      <c r="G5600" s="1674"/>
      <c r="H5600" s="688"/>
      <c r="I5600" s="1668"/>
      <c r="J5600" s="1668"/>
      <c r="K5600" s="1668"/>
      <c r="L5600" s="1669"/>
    </row>
    <row r="5601" spans="1:12" s="692" customFormat="1" ht="16.5" hidden="1">
      <c r="A5601" s="1665"/>
      <c r="B5601" s="1666"/>
      <c r="C5601" s="688"/>
      <c r="D5601" s="1667"/>
      <c r="E5601" s="1671">
        <v>3.5</v>
      </c>
      <c r="F5601" s="1671">
        <v>4</v>
      </c>
      <c r="G5601" s="1672">
        <v>2</v>
      </c>
      <c r="H5601" s="1671">
        <f>ROUND(D5601*E5601*F5601*G5601,2)</f>
        <v>0</v>
      </c>
      <c r="I5601" s="688" t="s">
        <v>49</v>
      </c>
      <c r="J5601" s="1668"/>
      <c r="K5601" s="1668"/>
      <c r="L5601" s="1669"/>
    </row>
    <row r="5602" spans="1:12" s="692" customFormat="1" ht="16.5" hidden="1">
      <c r="A5602" s="1665"/>
      <c r="B5602" s="1666"/>
      <c r="C5602" s="688"/>
      <c r="D5602" s="1667"/>
      <c r="E5602" s="1671">
        <v>3.5</v>
      </c>
      <c r="F5602" s="1671">
        <v>4</v>
      </c>
      <c r="G5602" s="1672">
        <v>2</v>
      </c>
      <c r="H5602" s="1671">
        <f t="shared" ref="H5602:H5606" si="1026">ROUND(D5602*E5602*F5602*G5602,2)</f>
        <v>0</v>
      </c>
      <c r="I5602" s="688" t="s">
        <v>49</v>
      </c>
      <c r="J5602" s="1668"/>
      <c r="K5602" s="1668"/>
      <c r="L5602" s="1669"/>
    </row>
    <row r="5603" spans="1:12" s="692" customFormat="1" ht="16.5" hidden="1">
      <c r="A5603" s="1665"/>
      <c r="B5603" s="1666"/>
      <c r="C5603" s="688"/>
      <c r="D5603" s="1667"/>
      <c r="E5603" s="1671">
        <v>3.5</v>
      </c>
      <c r="F5603" s="1671">
        <v>4</v>
      </c>
      <c r="G5603" s="1672">
        <v>2</v>
      </c>
      <c r="H5603" s="1671">
        <f t="shared" si="1026"/>
        <v>0</v>
      </c>
      <c r="I5603" s="688" t="s">
        <v>49</v>
      </c>
      <c r="J5603" s="1668"/>
      <c r="K5603" s="1668"/>
      <c r="L5603" s="1669"/>
    </row>
    <row r="5604" spans="1:12" s="692" customFormat="1" ht="16.5" hidden="1">
      <c r="A5604" s="1665"/>
      <c r="B5604" s="1666"/>
      <c r="C5604" s="688"/>
      <c r="D5604" s="1667"/>
      <c r="E5604" s="1671">
        <v>3.5</v>
      </c>
      <c r="F5604" s="1671">
        <v>4</v>
      </c>
      <c r="G5604" s="1672">
        <v>2</v>
      </c>
      <c r="H5604" s="1671">
        <f t="shared" si="1026"/>
        <v>0</v>
      </c>
      <c r="I5604" s="688" t="s">
        <v>49</v>
      </c>
      <c r="J5604" s="1668"/>
      <c r="K5604" s="1668"/>
      <c r="L5604" s="1669"/>
    </row>
    <row r="5605" spans="1:12" s="692" customFormat="1" ht="16.5" hidden="1">
      <c r="A5605" s="1665"/>
      <c r="B5605" s="1666"/>
      <c r="C5605" s="688"/>
      <c r="D5605" s="1667"/>
      <c r="E5605" s="1671">
        <v>3.5</v>
      </c>
      <c r="F5605" s="1671">
        <v>4</v>
      </c>
      <c r="G5605" s="1672">
        <v>2</v>
      </c>
      <c r="H5605" s="1671">
        <f t="shared" si="1026"/>
        <v>0</v>
      </c>
      <c r="I5605" s="688" t="s">
        <v>49</v>
      </c>
      <c r="J5605" s="1668"/>
      <c r="K5605" s="1668"/>
      <c r="L5605" s="1669"/>
    </row>
    <row r="5606" spans="1:12" s="692" customFormat="1" ht="16.5" hidden="1">
      <c r="A5606" s="1665"/>
      <c r="B5606" s="1666"/>
      <c r="C5606" s="688"/>
      <c r="D5606" s="1667"/>
      <c r="E5606" s="1671">
        <v>3.5</v>
      </c>
      <c r="F5606" s="1671">
        <v>4</v>
      </c>
      <c r="G5606" s="1672">
        <v>2</v>
      </c>
      <c r="H5606" s="1671">
        <f t="shared" si="1026"/>
        <v>0</v>
      </c>
      <c r="I5606" s="688" t="s">
        <v>49</v>
      </c>
      <c r="J5606" s="1668"/>
      <c r="K5606" s="1668"/>
      <c r="L5606" s="1669"/>
    </row>
    <row r="5607" spans="1:12" s="692" customFormat="1" ht="16.5" hidden="1">
      <c r="A5607" s="1665"/>
      <c r="B5607" s="1666"/>
      <c r="C5607" s="688"/>
      <c r="D5607" s="1667"/>
      <c r="E5607" s="688"/>
      <c r="F5607" s="688"/>
      <c r="G5607" s="1668" t="s">
        <v>928</v>
      </c>
      <c r="H5607" s="1673">
        <f>SUM(H5601:H5606)</f>
        <v>0</v>
      </c>
      <c r="I5607" s="677" t="s">
        <v>49</v>
      </c>
      <c r="J5607" s="1668" t="e">
        <f>'Lead &amp; ANALYSIS'!L1047</f>
        <v>#REF!</v>
      </c>
      <c r="K5607" s="1668" t="s">
        <v>1514</v>
      </c>
      <c r="L5607" s="1669" t="e">
        <f t="shared" ref="L5607" si="1027">ROUND(H5607*J5607,0)</f>
        <v>#REF!</v>
      </c>
    </row>
    <row r="5608" spans="1:12" s="692" customFormat="1" ht="99" hidden="1">
      <c r="A5608" s="1665">
        <f>'Lead &amp; ANALYSIS'!A1048</f>
        <v>155</v>
      </c>
      <c r="B5608" s="1666" t="str">
        <f>'Lead &amp; ANALYSIS'!B1048</f>
        <v>Earth Work in embankment in hard soil obtained from borrow pits carried to site by transporting including rough dressing and rolling with PRR, watering upto OMC laying in layers not exceeding 0.23m with hire &amp; running charges of PRR and labour charges etc complete.</v>
      </c>
      <c r="C5608" s="688"/>
      <c r="D5608" s="1667"/>
      <c r="E5608" s="688"/>
      <c r="F5608" s="688"/>
      <c r="G5608" s="1674"/>
      <c r="H5608" s="688"/>
      <c r="I5608" s="1668"/>
      <c r="J5608" s="1668"/>
      <c r="K5608" s="1668"/>
      <c r="L5608" s="1669"/>
    </row>
    <row r="5609" spans="1:12" s="692" customFormat="1" ht="16.5" hidden="1">
      <c r="A5609" s="1665" t="s">
        <v>201</v>
      </c>
      <c r="B5609" s="1666" t="str">
        <f>'Lead &amp; ANALYSIS'!B1049</f>
        <v>Without Compaction.</v>
      </c>
      <c r="C5609" s="688"/>
      <c r="D5609" s="1667"/>
      <c r="E5609" s="688"/>
      <c r="F5609" s="688"/>
      <c r="G5609" s="1674"/>
      <c r="H5609" s="688"/>
      <c r="I5609" s="1668"/>
      <c r="J5609" s="1668"/>
      <c r="K5609" s="1668"/>
      <c r="L5609" s="1669"/>
    </row>
    <row r="5610" spans="1:12" s="692" customFormat="1" ht="16.5" hidden="1">
      <c r="A5610" s="1665"/>
      <c r="B5610" s="1666"/>
      <c r="C5610" s="688"/>
      <c r="D5610" s="1667"/>
      <c r="E5610" s="1671">
        <v>3.5</v>
      </c>
      <c r="F5610" s="1671">
        <v>4</v>
      </c>
      <c r="G5610" s="1672">
        <v>2</v>
      </c>
      <c r="H5610" s="1671">
        <f>ROUND(D5610*E5610*F5610*G5610,2)</f>
        <v>0</v>
      </c>
      <c r="I5610" s="688" t="s">
        <v>49</v>
      </c>
      <c r="J5610" s="1668"/>
      <c r="K5610" s="1668"/>
      <c r="L5610" s="1669"/>
    </row>
    <row r="5611" spans="1:12" s="692" customFormat="1" ht="16.5" hidden="1">
      <c r="A5611" s="1665"/>
      <c r="B5611" s="1666"/>
      <c r="C5611" s="688"/>
      <c r="D5611" s="1667"/>
      <c r="E5611" s="1671">
        <v>3.5</v>
      </c>
      <c r="F5611" s="1671">
        <v>4</v>
      </c>
      <c r="G5611" s="1672">
        <v>2</v>
      </c>
      <c r="H5611" s="1671">
        <f t="shared" ref="H5611:H5615" si="1028">ROUND(D5611*E5611*F5611*G5611,2)</f>
        <v>0</v>
      </c>
      <c r="I5611" s="688" t="s">
        <v>49</v>
      </c>
      <c r="J5611" s="1668"/>
      <c r="K5611" s="1668"/>
      <c r="L5611" s="1669"/>
    </row>
    <row r="5612" spans="1:12" s="692" customFormat="1" ht="16.5" hidden="1">
      <c r="A5612" s="1665"/>
      <c r="B5612" s="1666"/>
      <c r="C5612" s="688"/>
      <c r="D5612" s="1667"/>
      <c r="E5612" s="1671">
        <v>3.5</v>
      </c>
      <c r="F5612" s="1671">
        <v>4</v>
      </c>
      <c r="G5612" s="1672">
        <v>2</v>
      </c>
      <c r="H5612" s="1671">
        <f t="shared" si="1028"/>
        <v>0</v>
      </c>
      <c r="I5612" s="688" t="s">
        <v>49</v>
      </c>
      <c r="J5612" s="1668"/>
      <c r="K5612" s="1668"/>
      <c r="L5612" s="1669"/>
    </row>
    <row r="5613" spans="1:12" s="692" customFormat="1" ht="16.5" hidden="1">
      <c r="A5613" s="1665"/>
      <c r="B5613" s="1666"/>
      <c r="C5613" s="688"/>
      <c r="D5613" s="1667"/>
      <c r="E5613" s="1671">
        <v>3.5</v>
      </c>
      <c r="F5613" s="1671">
        <v>4</v>
      </c>
      <c r="G5613" s="1672">
        <v>2</v>
      </c>
      <c r="H5613" s="1671">
        <f t="shared" si="1028"/>
        <v>0</v>
      </c>
      <c r="I5613" s="688" t="s">
        <v>49</v>
      </c>
      <c r="J5613" s="1668"/>
      <c r="K5613" s="1668"/>
      <c r="L5613" s="1669"/>
    </row>
    <row r="5614" spans="1:12" s="692" customFormat="1" ht="16.5" hidden="1">
      <c r="A5614" s="1665"/>
      <c r="B5614" s="1666"/>
      <c r="C5614" s="688"/>
      <c r="D5614" s="1667"/>
      <c r="E5614" s="1671">
        <v>3.5</v>
      </c>
      <c r="F5614" s="1671">
        <v>4</v>
      </c>
      <c r="G5614" s="1672">
        <v>2</v>
      </c>
      <c r="H5614" s="1671">
        <f t="shared" si="1028"/>
        <v>0</v>
      </c>
      <c r="I5614" s="688" t="s">
        <v>49</v>
      </c>
      <c r="J5614" s="1668"/>
      <c r="K5614" s="1668"/>
      <c r="L5614" s="1669"/>
    </row>
    <row r="5615" spans="1:12" s="692" customFormat="1" ht="16.5" hidden="1">
      <c r="A5615" s="1665"/>
      <c r="B5615" s="1666"/>
      <c r="C5615" s="688"/>
      <c r="D5615" s="1667"/>
      <c r="E5615" s="1671">
        <v>3.5</v>
      </c>
      <c r="F5615" s="1671">
        <v>4</v>
      </c>
      <c r="G5615" s="1672">
        <v>2</v>
      </c>
      <c r="H5615" s="1671">
        <f t="shared" si="1028"/>
        <v>0</v>
      </c>
      <c r="I5615" s="688" t="s">
        <v>49</v>
      </c>
      <c r="J5615" s="1668"/>
      <c r="K5615" s="1668"/>
      <c r="L5615" s="1669"/>
    </row>
    <row r="5616" spans="1:12" s="692" customFormat="1" ht="16.5" hidden="1">
      <c r="A5616" s="1665"/>
      <c r="B5616" s="1666"/>
      <c r="C5616" s="688"/>
      <c r="D5616" s="1667"/>
      <c r="E5616" s="688"/>
      <c r="F5616" s="688"/>
      <c r="G5616" s="1668" t="s">
        <v>928</v>
      </c>
      <c r="H5616" s="1673">
        <f>SUM(H5610:H5615)</f>
        <v>0</v>
      </c>
      <c r="I5616" s="677" t="s">
        <v>49</v>
      </c>
      <c r="J5616" s="1669" t="e">
        <f>'Lead &amp; ANALYSIS'!L1049</f>
        <v>#REF!</v>
      </c>
      <c r="K5616" s="1668" t="s">
        <v>1514</v>
      </c>
      <c r="L5616" s="1669" t="e">
        <f t="shared" ref="L5616" si="1029">ROUND(H5616*J5616,0)</f>
        <v>#REF!</v>
      </c>
    </row>
    <row r="5617" spans="1:12" s="692" customFormat="1" ht="16.5" hidden="1">
      <c r="A5617" s="1665" t="s">
        <v>220</v>
      </c>
      <c r="B5617" s="1666" t="str">
        <f>'Lead &amp; ANALYSIS'!B1050</f>
        <v>Compaction with PRR</v>
      </c>
      <c r="C5617" s="688"/>
      <c r="D5617" s="1667"/>
      <c r="E5617" s="688"/>
      <c r="F5617" s="688"/>
      <c r="G5617" s="1674"/>
      <c r="H5617" s="688"/>
      <c r="I5617" s="1668"/>
      <c r="J5617" s="1668"/>
      <c r="K5617" s="1668"/>
      <c r="L5617" s="1669"/>
    </row>
    <row r="5618" spans="1:12" s="692" customFormat="1" ht="16.5" hidden="1">
      <c r="A5618" s="1665"/>
      <c r="B5618" s="1666"/>
      <c r="C5618" s="688"/>
      <c r="D5618" s="1667"/>
      <c r="E5618" s="1671">
        <v>3.5</v>
      </c>
      <c r="F5618" s="1671">
        <v>4</v>
      </c>
      <c r="G5618" s="1672">
        <v>2</v>
      </c>
      <c r="H5618" s="1671">
        <f>ROUND(D5618*E5618*F5618*G5618,2)</f>
        <v>0</v>
      </c>
      <c r="I5618" s="688" t="s">
        <v>49</v>
      </c>
      <c r="J5618" s="1668"/>
      <c r="K5618" s="1668"/>
      <c r="L5618" s="1669"/>
    </row>
    <row r="5619" spans="1:12" s="692" customFormat="1" ht="16.5" hidden="1">
      <c r="A5619" s="1665"/>
      <c r="B5619" s="1666"/>
      <c r="C5619" s="688"/>
      <c r="D5619" s="1667"/>
      <c r="E5619" s="1671">
        <v>3.5</v>
      </c>
      <c r="F5619" s="1671">
        <v>4</v>
      </c>
      <c r="G5619" s="1672">
        <v>2</v>
      </c>
      <c r="H5619" s="1671">
        <f t="shared" ref="H5619:H5623" si="1030">ROUND(D5619*E5619*F5619*G5619,2)</f>
        <v>0</v>
      </c>
      <c r="I5619" s="688" t="s">
        <v>49</v>
      </c>
      <c r="J5619" s="1668"/>
      <c r="K5619" s="1668"/>
      <c r="L5619" s="1669"/>
    </row>
    <row r="5620" spans="1:12" s="692" customFormat="1" ht="16.5" hidden="1">
      <c r="A5620" s="1665"/>
      <c r="B5620" s="1666"/>
      <c r="C5620" s="688"/>
      <c r="D5620" s="1667"/>
      <c r="E5620" s="1671">
        <v>3.5</v>
      </c>
      <c r="F5620" s="1671">
        <v>4</v>
      </c>
      <c r="G5620" s="1672">
        <v>2</v>
      </c>
      <c r="H5620" s="1671">
        <f t="shared" si="1030"/>
        <v>0</v>
      </c>
      <c r="I5620" s="688" t="s">
        <v>49</v>
      </c>
      <c r="J5620" s="1668"/>
      <c r="K5620" s="1668"/>
      <c r="L5620" s="1669"/>
    </row>
    <row r="5621" spans="1:12" s="692" customFormat="1" ht="16.5" hidden="1">
      <c r="A5621" s="1665"/>
      <c r="B5621" s="1666"/>
      <c r="C5621" s="688"/>
      <c r="D5621" s="1667"/>
      <c r="E5621" s="1671">
        <v>3.5</v>
      </c>
      <c r="F5621" s="1671">
        <v>4</v>
      </c>
      <c r="G5621" s="1672">
        <v>2</v>
      </c>
      <c r="H5621" s="1671">
        <f t="shared" si="1030"/>
        <v>0</v>
      </c>
      <c r="I5621" s="688" t="s">
        <v>49</v>
      </c>
      <c r="J5621" s="1668"/>
      <c r="K5621" s="1668"/>
      <c r="L5621" s="1669"/>
    </row>
    <row r="5622" spans="1:12" s="692" customFormat="1" ht="16.5" hidden="1">
      <c r="A5622" s="1665"/>
      <c r="B5622" s="1666"/>
      <c r="C5622" s="688"/>
      <c r="D5622" s="1667"/>
      <c r="E5622" s="1671">
        <v>3.5</v>
      </c>
      <c r="F5622" s="1671">
        <v>4</v>
      </c>
      <c r="G5622" s="1672">
        <v>2</v>
      </c>
      <c r="H5622" s="1671">
        <f t="shared" si="1030"/>
        <v>0</v>
      </c>
      <c r="I5622" s="688" t="s">
        <v>49</v>
      </c>
      <c r="J5622" s="1668"/>
      <c r="K5622" s="1668"/>
      <c r="L5622" s="1669"/>
    </row>
    <row r="5623" spans="1:12" s="692" customFormat="1" ht="16.5" hidden="1">
      <c r="A5623" s="1665"/>
      <c r="B5623" s="1666"/>
      <c r="C5623" s="688"/>
      <c r="D5623" s="1667"/>
      <c r="E5623" s="1671">
        <v>3.5</v>
      </c>
      <c r="F5623" s="1671">
        <v>4</v>
      </c>
      <c r="G5623" s="1672">
        <v>2</v>
      </c>
      <c r="H5623" s="1671">
        <f t="shared" si="1030"/>
        <v>0</v>
      </c>
      <c r="I5623" s="688" t="s">
        <v>49</v>
      </c>
      <c r="J5623" s="1668"/>
      <c r="K5623" s="1668"/>
      <c r="L5623" s="1669"/>
    </row>
    <row r="5624" spans="1:12" s="692" customFormat="1" ht="16.5" hidden="1">
      <c r="A5624" s="1665"/>
      <c r="B5624" s="1666"/>
      <c r="C5624" s="688"/>
      <c r="D5624" s="1667"/>
      <c r="E5624" s="688"/>
      <c r="F5624" s="688"/>
      <c r="G5624" s="1668" t="s">
        <v>928</v>
      </c>
      <c r="H5624" s="1673">
        <f>SUM(H5618:H5623)</f>
        <v>0</v>
      </c>
      <c r="I5624" s="677" t="s">
        <v>49</v>
      </c>
      <c r="J5624" s="1669" t="e">
        <f>'Lead &amp; ANALYSIS'!L1050</f>
        <v>#REF!</v>
      </c>
      <c r="K5624" s="1668" t="s">
        <v>1514</v>
      </c>
      <c r="L5624" s="1669" t="e">
        <f t="shared" ref="L5624" si="1031">ROUND(H5624*J5624,0)</f>
        <v>#REF!</v>
      </c>
    </row>
    <row r="5625" spans="1:12" s="692" customFormat="1" ht="16.5" hidden="1">
      <c r="A5625" s="1665" t="s">
        <v>244</v>
      </c>
      <c r="B5625" s="1666" t="str">
        <f>'Lead &amp; ANALYSIS'!B1051</f>
        <v>Compaction with HRR</v>
      </c>
      <c r="C5625" s="688"/>
      <c r="D5625" s="1667"/>
      <c r="E5625" s="688"/>
      <c r="F5625" s="688"/>
      <c r="G5625" s="1674"/>
      <c r="H5625" s="688"/>
      <c r="I5625" s="1668"/>
      <c r="J5625" s="1668"/>
      <c r="K5625" s="1668"/>
      <c r="L5625" s="1669"/>
    </row>
    <row r="5626" spans="1:12" s="692" customFormat="1" ht="16.5" hidden="1">
      <c r="A5626" s="1665"/>
      <c r="B5626" s="1666"/>
      <c r="C5626" s="688"/>
      <c r="D5626" s="1667"/>
      <c r="E5626" s="1671">
        <v>3.5</v>
      </c>
      <c r="F5626" s="1671">
        <v>4</v>
      </c>
      <c r="G5626" s="1672">
        <v>2</v>
      </c>
      <c r="H5626" s="1671">
        <f>ROUND(D5626*E5626*F5626*G5626,2)</f>
        <v>0</v>
      </c>
      <c r="I5626" s="688" t="s">
        <v>49</v>
      </c>
      <c r="J5626" s="1668"/>
      <c r="K5626" s="1668"/>
      <c r="L5626" s="1669"/>
    </row>
    <row r="5627" spans="1:12" s="692" customFormat="1" ht="16.5" hidden="1">
      <c r="A5627" s="1665"/>
      <c r="B5627" s="1666"/>
      <c r="C5627" s="688"/>
      <c r="D5627" s="1667"/>
      <c r="E5627" s="1671">
        <v>3.5</v>
      </c>
      <c r="F5627" s="1671">
        <v>4</v>
      </c>
      <c r="G5627" s="1672">
        <v>2</v>
      </c>
      <c r="H5627" s="1671">
        <f t="shared" ref="H5627:H5631" si="1032">ROUND(D5627*E5627*F5627*G5627,2)</f>
        <v>0</v>
      </c>
      <c r="I5627" s="688" t="s">
        <v>49</v>
      </c>
      <c r="J5627" s="1668"/>
      <c r="K5627" s="1668"/>
      <c r="L5627" s="1669"/>
    </row>
    <row r="5628" spans="1:12" s="692" customFormat="1" ht="16.5" hidden="1">
      <c r="A5628" s="1665"/>
      <c r="B5628" s="1666"/>
      <c r="C5628" s="688"/>
      <c r="D5628" s="1667"/>
      <c r="E5628" s="1671">
        <v>3.5</v>
      </c>
      <c r="F5628" s="1671">
        <v>4</v>
      </c>
      <c r="G5628" s="1672">
        <v>2</v>
      </c>
      <c r="H5628" s="1671">
        <f t="shared" si="1032"/>
        <v>0</v>
      </c>
      <c r="I5628" s="688" t="s">
        <v>49</v>
      </c>
      <c r="J5628" s="1668"/>
      <c r="K5628" s="1668"/>
      <c r="L5628" s="1669"/>
    </row>
    <row r="5629" spans="1:12" s="692" customFormat="1" ht="16.5" hidden="1">
      <c r="A5629" s="1665"/>
      <c r="B5629" s="1666"/>
      <c r="C5629" s="688"/>
      <c r="D5629" s="1667"/>
      <c r="E5629" s="1671">
        <v>3.5</v>
      </c>
      <c r="F5629" s="1671">
        <v>4</v>
      </c>
      <c r="G5629" s="1672">
        <v>2</v>
      </c>
      <c r="H5629" s="1671">
        <f t="shared" si="1032"/>
        <v>0</v>
      </c>
      <c r="I5629" s="688" t="s">
        <v>49</v>
      </c>
      <c r="J5629" s="1668"/>
      <c r="K5629" s="1668"/>
      <c r="L5629" s="1669"/>
    </row>
    <row r="5630" spans="1:12" s="692" customFormat="1" ht="16.5" hidden="1">
      <c r="A5630" s="1665"/>
      <c r="B5630" s="1666"/>
      <c r="C5630" s="688"/>
      <c r="D5630" s="1667"/>
      <c r="E5630" s="1671">
        <v>3.5</v>
      </c>
      <c r="F5630" s="1671">
        <v>4</v>
      </c>
      <c r="G5630" s="1672">
        <v>2</v>
      </c>
      <c r="H5630" s="1671">
        <f t="shared" si="1032"/>
        <v>0</v>
      </c>
      <c r="I5630" s="688" t="s">
        <v>49</v>
      </c>
      <c r="J5630" s="1668"/>
      <c r="K5630" s="1668"/>
      <c r="L5630" s="1669"/>
    </row>
    <row r="5631" spans="1:12" s="692" customFormat="1" ht="16.5" hidden="1">
      <c r="A5631" s="1665"/>
      <c r="B5631" s="1666"/>
      <c r="C5631" s="688"/>
      <c r="D5631" s="1667"/>
      <c r="E5631" s="1671">
        <v>3.5</v>
      </c>
      <c r="F5631" s="1671">
        <v>4</v>
      </c>
      <c r="G5631" s="1672">
        <v>2</v>
      </c>
      <c r="H5631" s="1671">
        <f t="shared" si="1032"/>
        <v>0</v>
      </c>
      <c r="I5631" s="688" t="s">
        <v>49</v>
      </c>
      <c r="J5631" s="1668"/>
      <c r="K5631" s="1668"/>
      <c r="L5631" s="1669"/>
    </row>
    <row r="5632" spans="1:12" s="692" customFormat="1" ht="16.5" hidden="1">
      <c r="A5632" s="1665"/>
      <c r="B5632" s="1666"/>
      <c r="C5632" s="688"/>
      <c r="D5632" s="1667"/>
      <c r="E5632" s="688"/>
      <c r="F5632" s="688"/>
      <c r="G5632" s="1668" t="s">
        <v>928</v>
      </c>
      <c r="H5632" s="1673">
        <f>SUM(H5626:H5631)</f>
        <v>0</v>
      </c>
      <c r="I5632" s="677" t="s">
        <v>49</v>
      </c>
      <c r="J5632" s="1669" t="e">
        <f>'Lead &amp; ANALYSIS'!L1051</f>
        <v>#REF!</v>
      </c>
      <c r="K5632" s="1668" t="s">
        <v>1514</v>
      </c>
      <c r="L5632" s="1669" t="e">
        <f t="shared" ref="L5632" si="1033">ROUND(H5632*J5632,0)</f>
        <v>#REF!</v>
      </c>
    </row>
    <row r="5633" spans="1:12" s="692" customFormat="1" ht="16.5" hidden="1">
      <c r="A5633" s="1665" t="s">
        <v>291</v>
      </c>
      <c r="B5633" s="1666" t="str">
        <f>'Lead &amp; ANALYSIS'!B1052</f>
        <v>Compaction with PRR at OMC</v>
      </c>
      <c r="C5633" s="688"/>
      <c r="D5633" s="1667"/>
      <c r="E5633" s="688"/>
      <c r="F5633" s="688"/>
      <c r="G5633" s="1674"/>
      <c r="H5633" s="688"/>
      <c r="I5633" s="1668"/>
      <c r="J5633" s="1668"/>
      <c r="K5633" s="1668"/>
      <c r="L5633" s="1669"/>
    </row>
    <row r="5634" spans="1:12" s="692" customFormat="1" ht="16.5" hidden="1">
      <c r="A5634" s="1665"/>
      <c r="B5634" s="1666"/>
      <c r="C5634" s="688"/>
      <c r="D5634" s="1667"/>
      <c r="E5634" s="1671">
        <v>3.5</v>
      </c>
      <c r="F5634" s="1671">
        <v>4</v>
      </c>
      <c r="G5634" s="1672">
        <v>2</v>
      </c>
      <c r="H5634" s="1671">
        <f>ROUND(D5634*E5634*F5634*G5634,2)</f>
        <v>0</v>
      </c>
      <c r="I5634" s="688" t="s">
        <v>49</v>
      </c>
      <c r="J5634" s="1668"/>
      <c r="K5634" s="1668"/>
      <c r="L5634" s="1669"/>
    </row>
    <row r="5635" spans="1:12" s="692" customFormat="1" ht="16.5" hidden="1">
      <c r="A5635" s="1665"/>
      <c r="B5635" s="1666"/>
      <c r="C5635" s="688"/>
      <c r="D5635" s="1667"/>
      <c r="E5635" s="1671">
        <v>3.5</v>
      </c>
      <c r="F5635" s="1671">
        <v>4</v>
      </c>
      <c r="G5635" s="1672">
        <v>2</v>
      </c>
      <c r="H5635" s="1671">
        <f t="shared" ref="H5635:H5639" si="1034">ROUND(D5635*E5635*F5635*G5635,2)</f>
        <v>0</v>
      </c>
      <c r="I5635" s="688" t="s">
        <v>49</v>
      </c>
      <c r="J5635" s="1668"/>
      <c r="K5635" s="1668"/>
      <c r="L5635" s="1669"/>
    </row>
    <row r="5636" spans="1:12" s="692" customFormat="1" ht="16.5" hidden="1">
      <c r="A5636" s="1665"/>
      <c r="B5636" s="1666"/>
      <c r="C5636" s="688"/>
      <c r="D5636" s="1667"/>
      <c r="E5636" s="1671">
        <v>3.5</v>
      </c>
      <c r="F5636" s="1671">
        <v>4</v>
      </c>
      <c r="G5636" s="1672">
        <v>2</v>
      </c>
      <c r="H5636" s="1671">
        <f t="shared" si="1034"/>
        <v>0</v>
      </c>
      <c r="I5636" s="688" t="s">
        <v>49</v>
      </c>
      <c r="J5636" s="1668"/>
      <c r="K5636" s="1668"/>
      <c r="L5636" s="1669"/>
    </row>
    <row r="5637" spans="1:12" s="692" customFormat="1" ht="16.5" hidden="1">
      <c r="A5637" s="1665"/>
      <c r="B5637" s="1666"/>
      <c r="C5637" s="688"/>
      <c r="D5637" s="1667"/>
      <c r="E5637" s="1671">
        <v>3.5</v>
      </c>
      <c r="F5637" s="1671">
        <v>4</v>
      </c>
      <c r="G5637" s="1672">
        <v>2</v>
      </c>
      <c r="H5637" s="1671">
        <f t="shared" si="1034"/>
        <v>0</v>
      </c>
      <c r="I5637" s="688" t="s">
        <v>49</v>
      </c>
      <c r="J5637" s="1668"/>
      <c r="K5637" s="1668"/>
      <c r="L5637" s="1669"/>
    </row>
    <row r="5638" spans="1:12" s="692" customFormat="1" ht="16.5" hidden="1">
      <c r="A5638" s="1665"/>
      <c r="B5638" s="1666"/>
      <c r="C5638" s="688"/>
      <c r="D5638" s="1667"/>
      <c r="E5638" s="1671">
        <v>3.5</v>
      </c>
      <c r="F5638" s="1671">
        <v>4</v>
      </c>
      <c r="G5638" s="1672">
        <v>2</v>
      </c>
      <c r="H5638" s="1671">
        <f t="shared" si="1034"/>
        <v>0</v>
      </c>
      <c r="I5638" s="688" t="s">
        <v>49</v>
      </c>
      <c r="J5638" s="1668"/>
      <c r="K5638" s="1668"/>
      <c r="L5638" s="1669"/>
    </row>
    <row r="5639" spans="1:12" s="692" customFormat="1" ht="16.5" hidden="1">
      <c r="A5639" s="1665"/>
      <c r="B5639" s="1666"/>
      <c r="C5639" s="688"/>
      <c r="D5639" s="1667"/>
      <c r="E5639" s="1671">
        <v>3.5</v>
      </c>
      <c r="F5639" s="1671">
        <v>4</v>
      </c>
      <c r="G5639" s="1672">
        <v>2</v>
      </c>
      <c r="H5639" s="1671">
        <f t="shared" si="1034"/>
        <v>0</v>
      </c>
      <c r="I5639" s="688" t="s">
        <v>49</v>
      </c>
      <c r="J5639" s="1668"/>
      <c r="K5639" s="1668"/>
      <c r="L5639" s="1669"/>
    </row>
    <row r="5640" spans="1:12" s="692" customFormat="1" ht="16.5" hidden="1">
      <c r="A5640" s="1665"/>
      <c r="B5640" s="1666"/>
      <c r="C5640" s="688"/>
      <c r="D5640" s="1667"/>
      <c r="E5640" s="688"/>
      <c r="F5640" s="688"/>
      <c r="G5640" s="1668" t="s">
        <v>928</v>
      </c>
      <c r="H5640" s="1673">
        <f>SUM(H5634:H5639)</f>
        <v>0</v>
      </c>
      <c r="I5640" s="677" t="s">
        <v>49</v>
      </c>
      <c r="J5640" s="1669" t="e">
        <f>'Lead &amp; ANALYSIS'!L1052</f>
        <v>#REF!</v>
      </c>
      <c r="K5640" s="1668" t="s">
        <v>1514</v>
      </c>
      <c r="L5640" s="1669" t="e">
        <f t="shared" ref="L5640" si="1035">ROUND(H5640*J5640,0)</f>
        <v>#REF!</v>
      </c>
    </row>
    <row r="5641" spans="1:12" s="692" customFormat="1" ht="66" hidden="1">
      <c r="A5641" s="1665">
        <f>'Lead &amp; ANALYSIS'!A1053</f>
        <v>156</v>
      </c>
      <c r="B5641" s="1666" t="str">
        <f>'Lead &amp; ANALYSIS'!B1053</f>
        <v>Earth work in embankment obtained from borrow pits with excavation  carriage loading by mechanical means within 5km initial lead etc  complete as per specification.</v>
      </c>
      <c r="C5641" s="688"/>
      <c r="D5641" s="1667"/>
      <c r="E5641" s="688"/>
      <c r="F5641" s="688"/>
      <c r="G5641" s="1674"/>
      <c r="H5641" s="688"/>
      <c r="I5641" s="1668"/>
      <c r="J5641" s="1668"/>
      <c r="K5641" s="1668"/>
      <c r="L5641" s="1669"/>
    </row>
    <row r="5642" spans="1:12" s="692" customFormat="1" ht="16.5" hidden="1">
      <c r="A5642" s="1665" t="str">
        <f>'Lead &amp; ANALYSIS'!A1054</f>
        <v>A</v>
      </c>
      <c r="B5642" s="1666" t="str">
        <f>'Lead &amp; ANALYSIS'!B1054</f>
        <v>Compaction with PRR</v>
      </c>
      <c r="C5642" s="688"/>
      <c r="D5642" s="1667"/>
      <c r="E5642" s="688"/>
      <c r="F5642" s="688"/>
      <c r="G5642" s="1674"/>
      <c r="H5642" s="688"/>
      <c r="I5642" s="1668"/>
      <c r="J5642" s="1668"/>
      <c r="K5642" s="1668"/>
      <c r="L5642" s="1669"/>
    </row>
    <row r="5643" spans="1:12" s="692" customFormat="1" ht="16.5" hidden="1">
      <c r="A5643" s="1665"/>
      <c r="B5643" s="1666"/>
      <c r="C5643" s="688"/>
      <c r="D5643" s="1667"/>
      <c r="E5643" s="1671">
        <v>3.5</v>
      </c>
      <c r="F5643" s="1671">
        <v>4</v>
      </c>
      <c r="G5643" s="1672">
        <v>2</v>
      </c>
      <c r="H5643" s="1671">
        <f>ROUND(D5643*E5643*F5643*G5643,2)</f>
        <v>0</v>
      </c>
      <c r="I5643" s="688" t="s">
        <v>49</v>
      </c>
      <c r="J5643" s="1668"/>
      <c r="K5643" s="1668"/>
      <c r="L5643" s="1669"/>
    </row>
    <row r="5644" spans="1:12" s="692" customFormat="1" ht="16.5" hidden="1">
      <c r="A5644" s="1665"/>
      <c r="B5644" s="1666"/>
      <c r="C5644" s="688"/>
      <c r="D5644" s="1667"/>
      <c r="E5644" s="1671">
        <v>3.5</v>
      </c>
      <c r="F5644" s="1671">
        <v>4</v>
      </c>
      <c r="G5644" s="1672">
        <v>2</v>
      </c>
      <c r="H5644" s="1671">
        <f t="shared" ref="H5644:H5648" si="1036">ROUND(D5644*E5644*F5644*G5644,2)</f>
        <v>0</v>
      </c>
      <c r="I5644" s="688" t="s">
        <v>49</v>
      </c>
      <c r="J5644" s="1668"/>
      <c r="K5644" s="1668"/>
      <c r="L5644" s="1669"/>
    </row>
    <row r="5645" spans="1:12" s="692" customFormat="1" ht="16.5" hidden="1">
      <c r="A5645" s="1665"/>
      <c r="B5645" s="1666"/>
      <c r="C5645" s="688"/>
      <c r="D5645" s="1667"/>
      <c r="E5645" s="1671">
        <v>3.5</v>
      </c>
      <c r="F5645" s="1671">
        <v>4</v>
      </c>
      <c r="G5645" s="1672">
        <v>2</v>
      </c>
      <c r="H5645" s="1671">
        <f t="shared" si="1036"/>
        <v>0</v>
      </c>
      <c r="I5645" s="688" t="s">
        <v>49</v>
      </c>
      <c r="J5645" s="1668"/>
      <c r="K5645" s="1668"/>
      <c r="L5645" s="1669"/>
    </row>
    <row r="5646" spans="1:12" s="692" customFormat="1" ht="16.5" hidden="1">
      <c r="A5646" s="1665"/>
      <c r="B5646" s="1666"/>
      <c r="C5646" s="688"/>
      <c r="D5646" s="1667"/>
      <c r="E5646" s="1671">
        <v>3.5</v>
      </c>
      <c r="F5646" s="1671">
        <v>4</v>
      </c>
      <c r="G5646" s="1672">
        <v>2</v>
      </c>
      <c r="H5646" s="1671">
        <f t="shared" si="1036"/>
        <v>0</v>
      </c>
      <c r="I5646" s="688" t="s">
        <v>49</v>
      </c>
      <c r="J5646" s="1668"/>
      <c r="K5646" s="1668"/>
      <c r="L5646" s="1669"/>
    </row>
    <row r="5647" spans="1:12" s="692" customFormat="1" ht="16.5" hidden="1">
      <c r="A5647" s="1665"/>
      <c r="B5647" s="1666"/>
      <c r="C5647" s="688"/>
      <c r="D5647" s="1667"/>
      <c r="E5647" s="1671">
        <v>3.5</v>
      </c>
      <c r="F5647" s="1671">
        <v>4</v>
      </c>
      <c r="G5647" s="1672">
        <v>2</v>
      </c>
      <c r="H5647" s="1671">
        <f t="shared" si="1036"/>
        <v>0</v>
      </c>
      <c r="I5647" s="688" t="s">
        <v>49</v>
      </c>
      <c r="J5647" s="1668"/>
      <c r="K5647" s="1668"/>
      <c r="L5647" s="1669"/>
    </row>
    <row r="5648" spans="1:12" s="692" customFormat="1" ht="16.5" hidden="1">
      <c r="A5648" s="1665"/>
      <c r="B5648" s="1666"/>
      <c r="C5648" s="688"/>
      <c r="D5648" s="1667"/>
      <c r="E5648" s="1671">
        <v>3.5</v>
      </c>
      <c r="F5648" s="1671">
        <v>4</v>
      </c>
      <c r="G5648" s="1672">
        <v>2</v>
      </c>
      <c r="H5648" s="1671">
        <f t="shared" si="1036"/>
        <v>0</v>
      </c>
      <c r="I5648" s="688" t="s">
        <v>49</v>
      </c>
      <c r="J5648" s="1668"/>
      <c r="K5648" s="1668"/>
      <c r="L5648" s="1669"/>
    </row>
    <row r="5649" spans="1:12" s="692" customFormat="1" ht="16.5" hidden="1">
      <c r="A5649" s="1665"/>
      <c r="B5649" s="1666"/>
      <c r="C5649" s="688"/>
      <c r="D5649" s="1667"/>
      <c r="E5649" s="688"/>
      <c r="F5649" s="688"/>
      <c r="G5649" s="1668" t="s">
        <v>928</v>
      </c>
      <c r="H5649" s="1673">
        <f>SUM(H5643:H5648)</f>
        <v>0</v>
      </c>
      <c r="I5649" s="677" t="s">
        <v>49</v>
      </c>
      <c r="J5649" s="1669" t="e">
        <f>'Lead &amp; ANALYSIS'!L1054</f>
        <v>#REF!</v>
      </c>
      <c r="K5649" s="1668" t="s">
        <v>1514</v>
      </c>
      <c r="L5649" s="1669" t="e">
        <f t="shared" ref="L5649" si="1037">ROUND(H5649*J5649,0)</f>
        <v>#REF!</v>
      </c>
    </row>
    <row r="5650" spans="1:12" s="692" customFormat="1" ht="16.5" hidden="1">
      <c r="A5650" s="1665" t="str">
        <f>'Lead &amp; ANALYSIS'!A1055</f>
        <v>B</v>
      </c>
      <c r="B5650" s="1666" t="str">
        <f>'Lead &amp; ANALYSIS'!B1055</f>
        <v>Compaction with HRR</v>
      </c>
      <c r="C5650" s="688"/>
      <c r="D5650" s="1667"/>
      <c r="E5650" s="688"/>
      <c r="F5650" s="688"/>
      <c r="G5650" s="1674"/>
      <c r="H5650" s="688"/>
      <c r="I5650" s="1668"/>
      <c r="J5650" s="1668"/>
      <c r="K5650" s="1668"/>
      <c r="L5650" s="1669"/>
    </row>
    <row r="5651" spans="1:12" s="692" customFormat="1" ht="16.5" hidden="1">
      <c r="A5651" s="1665"/>
      <c r="B5651" s="1666"/>
      <c r="C5651" s="688"/>
      <c r="D5651" s="1667"/>
      <c r="E5651" s="1671">
        <v>3.5</v>
      </c>
      <c r="F5651" s="1671">
        <v>4</v>
      </c>
      <c r="G5651" s="1672">
        <v>2</v>
      </c>
      <c r="H5651" s="1671">
        <f>ROUND(D5651*E5651*F5651*G5651,2)</f>
        <v>0</v>
      </c>
      <c r="I5651" s="688" t="s">
        <v>49</v>
      </c>
      <c r="J5651" s="1668"/>
      <c r="K5651" s="1668"/>
      <c r="L5651" s="1669"/>
    </row>
    <row r="5652" spans="1:12" s="692" customFormat="1" ht="16.5" hidden="1">
      <c r="A5652" s="1665"/>
      <c r="B5652" s="1666"/>
      <c r="C5652" s="688"/>
      <c r="D5652" s="1667"/>
      <c r="E5652" s="1671">
        <v>3.5</v>
      </c>
      <c r="F5652" s="1671">
        <v>4</v>
      </c>
      <c r="G5652" s="1672">
        <v>2</v>
      </c>
      <c r="H5652" s="1671">
        <f t="shared" ref="H5652:H5656" si="1038">ROUND(D5652*E5652*F5652*G5652,2)</f>
        <v>0</v>
      </c>
      <c r="I5652" s="688" t="s">
        <v>49</v>
      </c>
      <c r="J5652" s="1668"/>
      <c r="K5652" s="1668"/>
      <c r="L5652" s="1669"/>
    </row>
    <row r="5653" spans="1:12" s="692" customFormat="1" ht="16.5" hidden="1">
      <c r="A5653" s="1665"/>
      <c r="B5653" s="1666"/>
      <c r="C5653" s="688"/>
      <c r="D5653" s="1667"/>
      <c r="E5653" s="1671">
        <v>3.5</v>
      </c>
      <c r="F5653" s="1671">
        <v>4</v>
      </c>
      <c r="G5653" s="1672">
        <v>2</v>
      </c>
      <c r="H5653" s="1671">
        <f t="shared" si="1038"/>
        <v>0</v>
      </c>
      <c r="I5653" s="688" t="s">
        <v>49</v>
      </c>
      <c r="J5653" s="1668"/>
      <c r="K5653" s="1668"/>
      <c r="L5653" s="1669"/>
    </row>
    <row r="5654" spans="1:12" s="692" customFormat="1" ht="16.5" hidden="1">
      <c r="A5654" s="1665"/>
      <c r="B5654" s="1666"/>
      <c r="C5654" s="688"/>
      <c r="D5654" s="1667"/>
      <c r="E5654" s="1671">
        <v>3.5</v>
      </c>
      <c r="F5654" s="1671">
        <v>4</v>
      </c>
      <c r="G5654" s="1672">
        <v>2</v>
      </c>
      <c r="H5654" s="1671">
        <f t="shared" si="1038"/>
        <v>0</v>
      </c>
      <c r="I5654" s="688" t="s">
        <v>49</v>
      </c>
      <c r="J5654" s="1668"/>
      <c r="K5654" s="1668"/>
      <c r="L5654" s="1669"/>
    </row>
    <row r="5655" spans="1:12" s="692" customFormat="1" ht="16.5" hidden="1">
      <c r="A5655" s="1665"/>
      <c r="B5655" s="1666"/>
      <c r="C5655" s="688"/>
      <c r="D5655" s="1667"/>
      <c r="E5655" s="1671">
        <v>3.5</v>
      </c>
      <c r="F5655" s="1671">
        <v>4</v>
      </c>
      <c r="G5655" s="1672">
        <v>2</v>
      </c>
      <c r="H5655" s="1671">
        <f t="shared" si="1038"/>
        <v>0</v>
      </c>
      <c r="I5655" s="688" t="s">
        <v>49</v>
      </c>
      <c r="J5655" s="1668"/>
      <c r="K5655" s="1668"/>
      <c r="L5655" s="1669"/>
    </row>
    <row r="5656" spans="1:12" s="692" customFormat="1" ht="16.5" hidden="1">
      <c r="A5656" s="1665"/>
      <c r="B5656" s="1666"/>
      <c r="C5656" s="688"/>
      <c r="D5656" s="1667"/>
      <c r="E5656" s="1671">
        <v>3.5</v>
      </c>
      <c r="F5656" s="1671">
        <v>4</v>
      </c>
      <c r="G5656" s="1672">
        <v>2</v>
      </c>
      <c r="H5656" s="1671">
        <f t="shared" si="1038"/>
        <v>0</v>
      </c>
      <c r="I5656" s="688" t="s">
        <v>49</v>
      </c>
      <c r="J5656" s="1668"/>
      <c r="K5656" s="1668"/>
      <c r="L5656" s="1669"/>
    </row>
    <row r="5657" spans="1:12" s="692" customFormat="1" ht="16.5" hidden="1">
      <c r="A5657" s="1665"/>
      <c r="B5657" s="1666"/>
      <c r="C5657" s="688"/>
      <c r="D5657" s="1667"/>
      <c r="E5657" s="688"/>
      <c r="F5657" s="688"/>
      <c r="G5657" s="1668" t="s">
        <v>928</v>
      </c>
      <c r="H5657" s="1673">
        <f>SUM(H5651:H5656)</f>
        <v>0</v>
      </c>
      <c r="I5657" s="677" t="s">
        <v>49</v>
      </c>
      <c r="J5657" s="1669" t="e">
        <f>'Lead &amp; ANALYSIS'!L1055</f>
        <v>#REF!</v>
      </c>
      <c r="K5657" s="1668" t="s">
        <v>1514</v>
      </c>
      <c r="L5657" s="1669" t="e">
        <f t="shared" ref="L5657" si="1039">ROUND(H5657*J5657,0)</f>
        <v>#REF!</v>
      </c>
    </row>
    <row r="5658" spans="1:12" s="692" customFormat="1" ht="16.5" hidden="1">
      <c r="A5658" s="1665" t="str">
        <f>'Lead &amp; ANALYSIS'!A1056</f>
        <v>C</v>
      </c>
      <c r="B5658" s="1666" t="str">
        <f>'Lead &amp; ANALYSIS'!B1056</f>
        <v>Compaction with PRR at OMC</v>
      </c>
      <c r="C5658" s="688"/>
      <c r="D5658" s="1667"/>
      <c r="E5658" s="688"/>
      <c r="F5658" s="688"/>
      <c r="G5658" s="1674"/>
      <c r="H5658" s="688"/>
      <c r="I5658" s="1668"/>
      <c r="J5658" s="1668"/>
      <c r="K5658" s="1668"/>
      <c r="L5658" s="1669"/>
    </row>
    <row r="5659" spans="1:12" s="692" customFormat="1" ht="16.5" hidden="1">
      <c r="A5659" s="1665"/>
      <c r="B5659" s="1666"/>
      <c r="C5659" s="688"/>
      <c r="D5659" s="1667"/>
      <c r="E5659" s="1671">
        <v>3.5</v>
      </c>
      <c r="F5659" s="1671">
        <v>4</v>
      </c>
      <c r="G5659" s="1672">
        <v>2</v>
      </c>
      <c r="H5659" s="1671">
        <f>ROUND(D5659*E5659*F5659*G5659,2)</f>
        <v>0</v>
      </c>
      <c r="I5659" s="688" t="s">
        <v>49</v>
      </c>
      <c r="J5659" s="1668"/>
      <c r="K5659" s="1668"/>
      <c r="L5659" s="1669"/>
    </row>
    <row r="5660" spans="1:12" s="692" customFormat="1" ht="16.5" hidden="1">
      <c r="A5660" s="1665"/>
      <c r="B5660" s="1666"/>
      <c r="C5660" s="688"/>
      <c r="D5660" s="1667"/>
      <c r="E5660" s="1671">
        <v>3.5</v>
      </c>
      <c r="F5660" s="1671">
        <v>4</v>
      </c>
      <c r="G5660" s="1672">
        <v>2</v>
      </c>
      <c r="H5660" s="1671">
        <f t="shared" ref="H5660:H5664" si="1040">ROUND(D5660*E5660*F5660*G5660,2)</f>
        <v>0</v>
      </c>
      <c r="I5660" s="688" t="s">
        <v>49</v>
      </c>
      <c r="J5660" s="1668"/>
      <c r="K5660" s="1668"/>
      <c r="L5660" s="1669"/>
    </row>
    <row r="5661" spans="1:12" s="692" customFormat="1" ht="16.5" hidden="1">
      <c r="A5661" s="1665"/>
      <c r="B5661" s="1666"/>
      <c r="C5661" s="688"/>
      <c r="D5661" s="1667"/>
      <c r="E5661" s="1671">
        <v>3.5</v>
      </c>
      <c r="F5661" s="1671">
        <v>4</v>
      </c>
      <c r="G5661" s="1672">
        <v>2</v>
      </c>
      <c r="H5661" s="1671">
        <f t="shared" si="1040"/>
        <v>0</v>
      </c>
      <c r="I5661" s="688" t="s">
        <v>49</v>
      </c>
      <c r="J5661" s="1668"/>
      <c r="K5661" s="1668"/>
      <c r="L5661" s="1669"/>
    </row>
    <row r="5662" spans="1:12" s="692" customFormat="1" ht="16.5" hidden="1">
      <c r="A5662" s="1665"/>
      <c r="B5662" s="1666"/>
      <c r="C5662" s="688"/>
      <c r="D5662" s="1667"/>
      <c r="E5662" s="1671">
        <v>3.5</v>
      </c>
      <c r="F5662" s="1671">
        <v>4</v>
      </c>
      <c r="G5662" s="1672">
        <v>2</v>
      </c>
      <c r="H5662" s="1671">
        <f t="shared" si="1040"/>
        <v>0</v>
      </c>
      <c r="I5662" s="688" t="s">
        <v>49</v>
      </c>
      <c r="J5662" s="1668"/>
      <c r="K5662" s="1668"/>
      <c r="L5662" s="1669"/>
    </row>
    <row r="5663" spans="1:12" s="692" customFormat="1" ht="16.5" hidden="1">
      <c r="A5663" s="1665"/>
      <c r="B5663" s="1666"/>
      <c r="C5663" s="688"/>
      <c r="D5663" s="1667"/>
      <c r="E5663" s="1671">
        <v>3.5</v>
      </c>
      <c r="F5663" s="1671">
        <v>4</v>
      </c>
      <c r="G5663" s="1672">
        <v>2</v>
      </c>
      <c r="H5663" s="1671">
        <f t="shared" si="1040"/>
        <v>0</v>
      </c>
      <c r="I5663" s="688" t="s">
        <v>49</v>
      </c>
      <c r="J5663" s="1668"/>
      <c r="K5663" s="1668"/>
      <c r="L5663" s="1669"/>
    </row>
    <row r="5664" spans="1:12" s="692" customFormat="1" ht="16.5" hidden="1">
      <c r="A5664" s="1665"/>
      <c r="B5664" s="1666"/>
      <c r="C5664" s="688"/>
      <c r="D5664" s="1667"/>
      <c r="E5664" s="1671">
        <v>3.5</v>
      </c>
      <c r="F5664" s="1671">
        <v>4</v>
      </c>
      <c r="G5664" s="1672">
        <v>2</v>
      </c>
      <c r="H5664" s="1671">
        <f t="shared" si="1040"/>
        <v>0</v>
      </c>
      <c r="I5664" s="688" t="s">
        <v>49</v>
      </c>
      <c r="J5664" s="1668"/>
      <c r="K5664" s="1668"/>
      <c r="L5664" s="1669"/>
    </row>
    <row r="5665" spans="1:12" s="692" customFormat="1" ht="16.5" hidden="1">
      <c r="A5665" s="1665"/>
      <c r="B5665" s="1666"/>
      <c r="C5665" s="688"/>
      <c r="D5665" s="1667"/>
      <c r="E5665" s="688"/>
      <c r="F5665" s="688"/>
      <c r="G5665" s="1668" t="s">
        <v>928</v>
      </c>
      <c r="H5665" s="1673">
        <f>SUM(H5659:H5664)</f>
        <v>0</v>
      </c>
      <c r="I5665" s="677" t="s">
        <v>49</v>
      </c>
      <c r="J5665" s="1669" t="e">
        <f>'Lead &amp; ANALYSIS'!L1056</f>
        <v>#REF!</v>
      </c>
      <c r="K5665" s="1668" t="s">
        <v>1514</v>
      </c>
      <c r="L5665" s="1669" t="e">
        <f t="shared" ref="L5665" si="1041">ROUND(H5665*J5665,0)</f>
        <v>#REF!</v>
      </c>
    </row>
    <row r="5666" spans="1:12" s="692" customFormat="1" ht="82.5" hidden="1">
      <c r="A5666" s="1665">
        <f>'Lead &amp; ANALYSIS'!A1057</f>
        <v>157</v>
      </c>
      <c r="B5666" s="1666" t="str">
        <f>'Lead &amp; ANALYSIS'!B1057</f>
        <v>Earth work in embankment obtained from borrow pits with carriage by mechanical means as per approved drawing &amp; technical specifications and as per Clause -305 of  MoRT&amp;H specifications for Road &amp; Bridge works (Latest Revision ).</v>
      </c>
      <c r="C5666" s="688"/>
      <c r="D5666" s="1667"/>
      <c r="E5666" s="688"/>
      <c r="F5666" s="688"/>
      <c r="G5666" s="1674"/>
      <c r="H5666" s="688"/>
      <c r="I5666" s="1668"/>
      <c r="J5666" s="1668"/>
      <c r="K5666" s="1668"/>
      <c r="L5666" s="1669"/>
    </row>
    <row r="5667" spans="1:12" s="692" customFormat="1" ht="16.5" hidden="1">
      <c r="A5667" s="1665"/>
      <c r="B5667" s="1666"/>
      <c r="C5667" s="688"/>
      <c r="D5667" s="1667"/>
      <c r="E5667" s="1671">
        <v>3.5</v>
      </c>
      <c r="F5667" s="1671">
        <v>4</v>
      </c>
      <c r="G5667" s="1672">
        <v>2</v>
      </c>
      <c r="H5667" s="1671">
        <f>ROUND(D5667*E5667*F5667*G5667,2)</f>
        <v>0</v>
      </c>
      <c r="I5667" s="688" t="s">
        <v>49</v>
      </c>
      <c r="J5667" s="1668"/>
      <c r="K5667" s="1668"/>
      <c r="L5667" s="1669"/>
    </row>
    <row r="5668" spans="1:12" s="692" customFormat="1" ht="16.5" hidden="1">
      <c r="A5668" s="1665"/>
      <c r="B5668" s="1666"/>
      <c r="C5668" s="688"/>
      <c r="D5668" s="1667"/>
      <c r="E5668" s="1671">
        <v>3.5</v>
      </c>
      <c r="F5668" s="1671">
        <v>4</v>
      </c>
      <c r="G5668" s="1672">
        <v>2</v>
      </c>
      <c r="H5668" s="1671">
        <f t="shared" ref="H5668:H5672" si="1042">ROUND(D5668*E5668*F5668*G5668,2)</f>
        <v>0</v>
      </c>
      <c r="I5668" s="688" t="s">
        <v>49</v>
      </c>
      <c r="J5668" s="1668"/>
      <c r="K5668" s="1668"/>
      <c r="L5668" s="1669"/>
    </row>
    <row r="5669" spans="1:12" s="692" customFormat="1" ht="16.5" hidden="1">
      <c r="A5669" s="1665"/>
      <c r="B5669" s="1666"/>
      <c r="C5669" s="688"/>
      <c r="D5669" s="1667"/>
      <c r="E5669" s="1671">
        <v>3.5</v>
      </c>
      <c r="F5669" s="1671">
        <v>4</v>
      </c>
      <c r="G5669" s="1672">
        <v>2</v>
      </c>
      <c r="H5669" s="1671">
        <f t="shared" si="1042"/>
        <v>0</v>
      </c>
      <c r="I5669" s="688" t="s">
        <v>49</v>
      </c>
      <c r="J5669" s="1668"/>
      <c r="K5669" s="1668"/>
      <c r="L5669" s="1669"/>
    </row>
    <row r="5670" spans="1:12" s="692" customFormat="1" ht="16.5" hidden="1">
      <c r="A5670" s="1665"/>
      <c r="B5670" s="1666"/>
      <c r="C5670" s="688"/>
      <c r="D5670" s="1667"/>
      <c r="E5670" s="1671">
        <v>3.5</v>
      </c>
      <c r="F5670" s="1671">
        <v>4</v>
      </c>
      <c r="G5670" s="1672">
        <v>2</v>
      </c>
      <c r="H5670" s="1671">
        <f t="shared" si="1042"/>
        <v>0</v>
      </c>
      <c r="I5670" s="688" t="s">
        <v>49</v>
      </c>
      <c r="J5670" s="1668"/>
      <c r="K5670" s="1668"/>
      <c r="L5670" s="1669"/>
    </row>
    <row r="5671" spans="1:12" s="692" customFormat="1" ht="16.5" hidden="1">
      <c r="A5671" s="1665"/>
      <c r="B5671" s="1666"/>
      <c r="C5671" s="688"/>
      <c r="D5671" s="1667"/>
      <c r="E5671" s="1671">
        <v>3.5</v>
      </c>
      <c r="F5671" s="1671">
        <v>4</v>
      </c>
      <c r="G5671" s="1672">
        <v>2</v>
      </c>
      <c r="H5671" s="1671">
        <f t="shared" si="1042"/>
        <v>0</v>
      </c>
      <c r="I5671" s="688" t="s">
        <v>49</v>
      </c>
      <c r="J5671" s="1668"/>
      <c r="K5671" s="1668"/>
      <c r="L5671" s="1669"/>
    </row>
    <row r="5672" spans="1:12" s="692" customFormat="1" ht="16.5" hidden="1">
      <c r="A5672" s="1665"/>
      <c r="B5672" s="1666"/>
      <c r="C5672" s="688"/>
      <c r="D5672" s="1667"/>
      <c r="E5672" s="1671">
        <v>3.5</v>
      </c>
      <c r="F5672" s="1671">
        <v>4</v>
      </c>
      <c r="G5672" s="1672">
        <v>2</v>
      </c>
      <c r="H5672" s="1671">
        <f t="shared" si="1042"/>
        <v>0</v>
      </c>
      <c r="I5672" s="688" t="s">
        <v>49</v>
      </c>
      <c r="J5672" s="1668"/>
      <c r="K5672" s="1668"/>
      <c r="L5672" s="1669"/>
    </row>
    <row r="5673" spans="1:12" s="692" customFormat="1" ht="16.5" hidden="1">
      <c r="A5673" s="1665"/>
      <c r="B5673" s="1666"/>
      <c r="C5673" s="688"/>
      <c r="D5673" s="1667"/>
      <c r="E5673" s="688"/>
      <c r="F5673" s="688"/>
      <c r="G5673" s="1668" t="s">
        <v>928</v>
      </c>
      <c r="H5673" s="1673">
        <f>SUM(H5667:H5672)</f>
        <v>0</v>
      </c>
      <c r="I5673" s="677" t="s">
        <v>49</v>
      </c>
      <c r="J5673" s="1669" t="e">
        <f>'Lead &amp; ANALYSIS'!L1057</f>
        <v>#REF!</v>
      </c>
      <c r="K5673" s="1668" t="s">
        <v>1514</v>
      </c>
      <c r="L5673" s="1669" t="e">
        <f t="shared" ref="L5673" si="1043">ROUND(H5673*J5673,0)</f>
        <v>#REF!</v>
      </c>
    </row>
    <row r="5674" spans="1:12" s="692" customFormat="1" ht="66" hidden="1">
      <c r="A5674" s="1665">
        <f>'Lead &amp; ANALYSIS'!A1058</f>
        <v>158</v>
      </c>
      <c r="B5674" s="1666" t="str">
        <f>'Lead &amp; ANALYSIS'!B1058</f>
        <v>Earth work in embankment with excavated earth as per approved drawing &amp; technical specifications and as per Clause -305 of  MoRT&amp;H specifications for Road &amp; Bridge works (Latest Revision ).</v>
      </c>
      <c r="C5674" s="688"/>
      <c r="D5674" s="1667"/>
      <c r="E5674" s="688"/>
      <c r="F5674" s="688"/>
      <c r="G5674" s="1674"/>
      <c r="H5674" s="688"/>
      <c r="I5674" s="1668"/>
      <c r="J5674" s="1668"/>
      <c r="K5674" s="1668"/>
      <c r="L5674" s="1669"/>
    </row>
    <row r="5675" spans="1:12" s="692" customFormat="1" ht="16.5" hidden="1">
      <c r="A5675" s="1665"/>
      <c r="B5675" s="1666"/>
      <c r="C5675" s="688"/>
      <c r="D5675" s="1667"/>
      <c r="E5675" s="1671">
        <v>3.5</v>
      </c>
      <c r="F5675" s="1671">
        <v>4</v>
      </c>
      <c r="G5675" s="1672">
        <v>2</v>
      </c>
      <c r="H5675" s="1671">
        <f>ROUND(D5675*E5675*F5675*G5675,2)</f>
        <v>0</v>
      </c>
      <c r="I5675" s="688" t="s">
        <v>49</v>
      </c>
      <c r="J5675" s="1668"/>
      <c r="K5675" s="1668"/>
      <c r="L5675" s="1669"/>
    </row>
    <row r="5676" spans="1:12" s="692" customFormat="1" ht="16.5" hidden="1">
      <c r="A5676" s="1665"/>
      <c r="B5676" s="1666"/>
      <c r="C5676" s="688"/>
      <c r="D5676" s="1667"/>
      <c r="E5676" s="1671">
        <v>3.5</v>
      </c>
      <c r="F5676" s="1671">
        <v>4</v>
      </c>
      <c r="G5676" s="1672">
        <v>2</v>
      </c>
      <c r="H5676" s="1671">
        <f t="shared" ref="H5676:H5680" si="1044">ROUND(D5676*E5676*F5676*G5676,2)</f>
        <v>0</v>
      </c>
      <c r="I5676" s="688" t="s">
        <v>49</v>
      </c>
      <c r="J5676" s="1668"/>
      <c r="K5676" s="1668"/>
      <c r="L5676" s="1669"/>
    </row>
    <row r="5677" spans="1:12" s="692" customFormat="1" ht="16.5" hidden="1">
      <c r="A5677" s="1665"/>
      <c r="B5677" s="1666"/>
      <c r="C5677" s="688"/>
      <c r="D5677" s="1667"/>
      <c r="E5677" s="1671">
        <v>3.5</v>
      </c>
      <c r="F5677" s="1671">
        <v>4</v>
      </c>
      <c r="G5677" s="1672">
        <v>2</v>
      </c>
      <c r="H5677" s="1671">
        <f t="shared" si="1044"/>
        <v>0</v>
      </c>
      <c r="I5677" s="688" t="s">
        <v>49</v>
      </c>
      <c r="J5677" s="1668"/>
      <c r="K5677" s="1668"/>
      <c r="L5677" s="1669"/>
    </row>
    <row r="5678" spans="1:12" s="692" customFormat="1" ht="16.5" hidden="1">
      <c r="A5678" s="1665"/>
      <c r="B5678" s="1666"/>
      <c r="C5678" s="688"/>
      <c r="D5678" s="1667"/>
      <c r="E5678" s="1671">
        <v>3.5</v>
      </c>
      <c r="F5678" s="1671">
        <v>4</v>
      </c>
      <c r="G5678" s="1672">
        <v>2</v>
      </c>
      <c r="H5678" s="1671">
        <f t="shared" si="1044"/>
        <v>0</v>
      </c>
      <c r="I5678" s="688" t="s">
        <v>49</v>
      </c>
      <c r="J5678" s="1668"/>
      <c r="K5678" s="1668"/>
      <c r="L5678" s="1669"/>
    </row>
    <row r="5679" spans="1:12" s="692" customFormat="1" ht="16.5" hidden="1">
      <c r="A5679" s="1665"/>
      <c r="B5679" s="1666"/>
      <c r="C5679" s="688"/>
      <c r="D5679" s="1667"/>
      <c r="E5679" s="1671">
        <v>3.5</v>
      </c>
      <c r="F5679" s="1671">
        <v>4</v>
      </c>
      <c r="G5679" s="1672">
        <v>2</v>
      </c>
      <c r="H5679" s="1671">
        <f t="shared" si="1044"/>
        <v>0</v>
      </c>
      <c r="I5679" s="688" t="s">
        <v>49</v>
      </c>
      <c r="J5679" s="1668"/>
      <c r="K5679" s="1668"/>
      <c r="L5679" s="1669"/>
    </row>
    <row r="5680" spans="1:12" s="692" customFormat="1" ht="16.5" hidden="1">
      <c r="A5680" s="1665"/>
      <c r="B5680" s="1666"/>
      <c r="C5680" s="688"/>
      <c r="D5680" s="1667"/>
      <c r="E5680" s="1671">
        <v>3.5</v>
      </c>
      <c r="F5680" s="1671">
        <v>4</v>
      </c>
      <c r="G5680" s="1672">
        <v>2</v>
      </c>
      <c r="H5680" s="1671">
        <f t="shared" si="1044"/>
        <v>0</v>
      </c>
      <c r="I5680" s="688" t="s">
        <v>49</v>
      </c>
      <c r="J5680" s="1668"/>
      <c r="K5680" s="1668"/>
      <c r="L5680" s="1669"/>
    </row>
    <row r="5681" spans="1:12" s="692" customFormat="1" ht="16.5" hidden="1">
      <c r="A5681" s="1665"/>
      <c r="B5681" s="1666"/>
      <c r="C5681" s="688"/>
      <c r="D5681" s="1667"/>
      <c r="E5681" s="688"/>
      <c r="F5681" s="688"/>
      <c r="G5681" s="1668" t="s">
        <v>928</v>
      </c>
      <c r="H5681" s="1673">
        <f>SUM(H5675:H5680)</f>
        <v>0</v>
      </c>
      <c r="I5681" s="677" t="s">
        <v>49</v>
      </c>
      <c r="J5681" s="1669" t="e">
        <f>'Lead &amp; ANALYSIS'!L1058</f>
        <v>#REF!</v>
      </c>
      <c r="K5681" s="1668" t="s">
        <v>1514</v>
      </c>
      <c r="L5681" s="1669" t="e">
        <f t="shared" ref="L5681" si="1045">ROUND(H5681*J5681,0)</f>
        <v>#REF!</v>
      </c>
    </row>
    <row r="5682" spans="1:12" s="692" customFormat="1" ht="168" hidden="1" customHeight="1">
      <c r="A5682" s="1665">
        <f>'Lead &amp; ANALYSIS'!A1059</f>
        <v>159</v>
      </c>
      <c r="B5682" s="1666" t="str">
        <f>'Lead &amp; ANALYSIS'!B1059</f>
        <v>Excavation of any approved type of soil in approved borrow area by mechanical means loading into and transportation by mechanical means and unloading the soil within initial lead of 1km on properly prepared and scientifically approved surface including spreading and levelling the earth in 22.5 cm layers to make ready for watering and compaction with sheep foot rollers and dozers but excluding watering and compaction in dams and dykes for all heights including construction, maintenance, watering and lighting of haul road and borrow area etc. complete as per the direction of Engineer-incharge.(measurement of the fill to be taken on the finished compacted section under OMC condition.)</v>
      </c>
      <c r="C5682" s="688"/>
      <c r="D5682" s="1667"/>
      <c r="E5682" s="688"/>
      <c r="F5682" s="688"/>
      <c r="G5682" s="1674"/>
      <c r="H5682" s="688"/>
      <c r="I5682" s="1668"/>
      <c r="J5682" s="1668"/>
      <c r="K5682" s="1668"/>
      <c r="L5682" s="1669"/>
    </row>
    <row r="5683" spans="1:12" s="692" customFormat="1" ht="16.5" hidden="1">
      <c r="A5683" s="1665"/>
      <c r="B5683" s="1666"/>
      <c r="C5683" s="688"/>
      <c r="D5683" s="1667"/>
      <c r="E5683" s="1671">
        <v>3.5</v>
      </c>
      <c r="F5683" s="1671">
        <v>4</v>
      </c>
      <c r="G5683" s="1672">
        <v>2</v>
      </c>
      <c r="H5683" s="1671">
        <f>ROUND(D5683*E5683*F5683*G5683,2)</f>
        <v>0</v>
      </c>
      <c r="I5683" s="688" t="s">
        <v>49</v>
      </c>
      <c r="J5683" s="1668"/>
      <c r="K5683" s="1668"/>
      <c r="L5683" s="1669"/>
    </row>
    <row r="5684" spans="1:12" s="692" customFormat="1" ht="16.5" hidden="1">
      <c r="A5684" s="1665"/>
      <c r="B5684" s="1666"/>
      <c r="C5684" s="688"/>
      <c r="D5684" s="1667"/>
      <c r="E5684" s="1671">
        <v>3.5</v>
      </c>
      <c r="F5684" s="1671">
        <v>4</v>
      </c>
      <c r="G5684" s="1672">
        <v>2</v>
      </c>
      <c r="H5684" s="1671">
        <f t="shared" ref="H5684:H5688" si="1046">ROUND(D5684*E5684*F5684*G5684,2)</f>
        <v>0</v>
      </c>
      <c r="I5684" s="688" t="s">
        <v>49</v>
      </c>
      <c r="J5684" s="1668"/>
      <c r="K5684" s="1668"/>
      <c r="L5684" s="1669"/>
    </row>
    <row r="5685" spans="1:12" s="692" customFormat="1" ht="16.5" hidden="1">
      <c r="A5685" s="1665"/>
      <c r="B5685" s="1666"/>
      <c r="C5685" s="688"/>
      <c r="D5685" s="1667"/>
      <c r="E5685" s="1671">
        <v>3.5</v>
      </c>
      <c r="F5685" s="1671">
        <v>4</v>
      </c>
      <c r="G5685" s="1672">
        <v>2</v>
      </c>
      <c r="H5685" s="1671">
        <f t="shared" si="1046"/>
        <v>0</v>
      </c>
      <c r="I5685" s="688" t="s">
        <v>49</v>
      </c>
      <c r="J5685" s="1668"/>
      <c r="K5685" s="1668"/>
      <c r="L5685" s="1669"/>
    </row>
    <row r="5686" spans="1:12" s="692" customFormat="1" ht="16.5" hidden="1">
      <c r="A5686" s="1665"/>
      <c r="B5686" s="1666"/>
      <c r="C5686" s="688"/>
      <c r="D5686" s="1667"/>
      <c r="E5686" s="1671">
        <v>3.5</v>
      </c>
      <c r="F5686" s="1671">
        <v>4</v>
      </c>
      <c r="G5686" s="1672">
        <v>2</v>
      </c>
      <c r="H5686" s="1671">
        <f t="shared" si="1046"/>
        <v>0</v>
      </c>
      <c r="I5686" s="688" t="s">
        <v>49</v>
      </c>
      <c r="J5686" s="1668"/>
      <c r="K5686" s="1668"/>
      <c r="L5686" s="1669"/>
    </row>
    <row r="5687" spans="1:12" s="692" customFormat="1" ht="16.5" hidden="1">
      <c r="A5687" s="1665"/>
      <c r="B5687" s="1666"/>
      <c r="C5687" s="688"/>
      <c r="D5687" s="1667"/>
      <c r="E5687" s="1671">
        <v>3.5</v>
      </c>
      <c r="F5687" s="1671">
        <v>4</v>
      </c>
      <c r="G5687" s="1672">
        <v>2</v>
      </c>
      <c r="H5687" s="1671">
        <f t="shared" si="1046"/>
        <v>0</v>
      </c>
      <c r="I5687" s="688" t="s">
        <v>49</v>
      </c>
      <c r="J5687" s="1668"/>
      <c r="K5687" s="1668"/>
      <c r="L5687" s="1669"/>
    </row>
    <row r="5688" spans="1:12" s="692" customFormat="1" ht="16.5" hidden="1">
      <c r="A5688" s="1665"/>
      <c r="B5688" s="1666"/>
      <c r="C5688" s="688"/>
      <c r="D5688" s="1667"/>
      <c r="E5688" s="1671">
        <v>3.5</v>
      </c>
      <c r="F5688" s="1671">
        <v>4</v>
      </c>
      <c r="G5688" s="1672">
        <v>2</v>
      </c>
      <c r="H5688" s="1671">
        <f t="shared" si="1046"/>
        <v>0</v>
      </c>
      <c r="I5688" s="688" t="s">
        <v>49</v>
      </c>
      <c r="J5688" s="1668"/>
      <c r="K5688" s="1668"/>
      <c r="L5688" s="1669"/>
    </row>
    <row r="5689" spans="1:12" s="692" customFormat="1" ht="16.5" hidden="1">
      <c r="A5689" s="1665"/>
      <c r="B5689" s="1666"/>
      <c r="C5689" s="688"/>
      <c r="D5689" s="1667"/>
      <c r="E5689" s="688"/>
      <c r="F5689" s="688"/>
      <c r="G5689" s="1668" t="s">
        <v>928</v>
      </c>
      <c r="H5689" s="1673">
        <f>SUM(H5683:H5688)</f>
        <v>0</v>
      </c>
      <c r="I5689" s="677" t="s">
        <v>49</v>
      </c>
      <c r="J5689" s="1669" t="e">
        <f>'Lead &amp; ANALYSIS'!L1059</f>
        <v>#REF!</v>
      </c>
      <c r="K5689" s="1668" t="s">
        <v>1514</v>
      </c>
      <c r="L5689" s="1669" t="e">
        <f t="shared" ref="L5689" si="1047">ROUND(H5689*J5689,0)</f>
        <v>#REF!</v>
      </c>
    </row>
    <row r="5690" spans="1:12" s="692" customFormat="1" ht="116.45" hidden="1" customHeight="1">
      <c r="A5690" s="1665">
        <f>'Lead &amp; ANALYSIS'!A1060</f>
        <v>160</v>
      </c>
      <c r="B5690" s="1666" t="str">
        <f>'Lead &amp; ANALYSIS'!B1060</f>
        <v>Excavation loading unloading and carriage by mechanical means of all kinds of soil including stoney earth gravel &amp; moorum etc interspread with boulders upto 1/2cum size with all lifts and delifts including trimming of slopes and bed to design section and depositing the excavated materials away from work site as per the specification and as directed by the Engineer-in-Charge within an initial lead of 1Km from the place of Excavation Complete</v>
      </c>
      <c r="C5690" s="688"/>
      <c r="D5690" s="1667"/>
      <c r="E5690" s="688"/>
      <c r="F5690" s="688"/>
      <c r="G5690" s="1674"/>
      <c r="H5690" s="688"/>
      <c r="I5690" s="1668"/>
      <c r="J5690" s="1668"/>
      <c r="K5690" s="1668"/>
      <c r="L5690" s="1669"/>
    </row>
    <row r="5691" spans="1:12" s="692" customFormat="1" ht="16.5" hidden="1">
      <c r="A5691" s="1665"/>
      <c r="B5691" s="1666"/>
      <c r="C5691" s="688"/>
      <c r="D5691" s="1667"/>
      <c r="E5691" s="1671">
        <v>3.5</v>
      </c>
      <c r="F5691" s="1671">
        <v>4</v>
      </c>
      <c r="G5691" s="1672">
        <v>2</v>
      </c>
      <c r="H5691" s="1671">
        <f>ROUND(D5691*E5691*F5691*G5691,2)</f>
        <v>0</v>
      </c>
      <c r="I5691" s="688" t="s">
        <v>49</v>
      </c>
      <c r="J5691" s="1668"/>
      <c r="K5691" s="1668"/>
      <c r="L5691" s="1669"/>
    </row>
    <row r="5692" spans="1:12" s="692" customFormat="1" ht="16.5" hidden="1">
      <c r="A5692" s="1665"/>
      <c r="B5692" s="1666"/>
      <c r="C5692" s="688"/>
      <c r="D5692" s="1667"/>
      <c r="E5692" s="1671">
        <v>3.5</v>
      </c>
      <c r="F5692" s="1671">
        <v>4</v>
      </c>
      <c r="G5692" s="1672">
        <v>2</v>
      </c>
      <c r="H5692" s="1671">
        <f t="shared" ref="H5692:H5696" si="1048">ROUND(D5692*E5692*F5692*G5692,2)</f>
        <v>0</v>
      </c>
      <c r="I5692" s="688" t="s">
        <v>49</v>
      </c>
      <c r="J5692" s="1668"/>
      <c r="K5692" s="1668"/>
      <c r="L5692" s="1669"/>
    </row>
    <row r="5693" spans="1:12" s="692" customFormat="1" ht="16.5" hidden="1">
      <c r="A5693" s="1665"/>
      <c r="B5693" s="1666"/>
      <c r="C5693" s="688"/>
      <c r="D5693" s="1667"/>
      <c r="E5693" s="1671">
        <v>3.5</v>
      </c>
      <c r="F5693" s="1671">
        <v>4</v>
      </c>
      <c r="G5693" s="1672">
        <v>2</v>
      </c>
      <c r="H5693" s="1671">
        <f t="shared" si="1048"/>
        <v>0</v>
      </c>
      <c r="I5693" s="688" t="s">
        <v>49</v>
      </c>
      <c r="J5693" s="1668"/>
      <c r="K5693" s="1668"/>
      <c r="L5693" s="1669"/>
    </row>
    <row r="5694" spans="1:12" s="692" customFormat="1" ht="16.5" hidden="1">
      <c r="A5694" s="1665"/>
      <c r="B5694" s="1666"/>
      <c r="C5694" s="688"/>
      <c r="D5694" s="1667"/>
      <c r="E5694" s="1671">
        <v>3.5</v>
      </c>
      <c r="F5694" s="1671">
        <v>4</v>
      </c>
      <c r="G5694" s="1672">
        <v>2</v>
      </c>
      <c r="H5694" s="1671">
        <f t="shared" si="1048"/>
        <v>0</v>
      </c>
      <c r="I5694" s="688" t="s">
        <v>49</v>
      </c>
      <c r="J5694" s="1668"/>
      <c r="K5694" s="1668"/>
      <c r="L5694" s="1669"/>
    </row>
    <row r="5695" spans="1:12" s="692" customFormat="1" ht="16.5" hidden="1">
      <c r="A5695" s="1665"/>
      <c r="B5695" s="1666"/>
      <c r="C5695" s="688"/>
      <c r="D5695" s="1667"/>
      <c r="E5695" s="1671">
        <v>3.5</v>
      </c>
      <c r="F5695" s="1671">
        <v>4</v>
      </c>
      <c r="G5695" s="1672">
        <v>2</v>
      </c>
      <c r="H5695" s="1671">
        <f t="shared" si="1048"/>
        <v>0</v>
      </c>
      <c r="I5695" s="688" t="s">
        <v>49</v>
      </c>
      <c r="J5695" s="1668"/>
      <c r="K5695" s="1668"/>
      <c r="L5695" s="1669"/>
    </row>
    <row r="5696" spans="1:12" s="692" customFormat="1" ht="16.5" hidden="1">
      <c r="A5696" s="1665"/>
      <c r="B5696" s="1666"/>
      <c r="C5696" s="688"/>
      <c r="D5696" s="1667"/>
      <c r="E5696" s="1671">
        <v>3.5</v>
      </c>
      <c r="F5696" s="1671">
        <v>4</v>
      </c>
      <c r="G5696" s="1672">
        <v>2</v>
      </c>
      <c r="H5696" s="1671">
        <f t="shared" si="1048"/>
        <v>0</v>
      </c>
      <c r="I5696" s="688" t="s">
        <v>49</v>
      </c>
      <c r="J5696" s="1668"/>
      <c r="K5696" s="1668"/>
      <c r="L5696" s="1669"/>
    </row>
    <row r="5697" spans="1:12" s="692" customFormat="1" ht="16.5" hidden="1">
      <c r="A5697" s="1665"/>
      <c r="B5697" s="1666"/>
      <c r="C5697" s="688"/>
      <c r="D5697" s="1667"/>
      <c r="E5697" s="688"/>
      <c r="F5697" s="688"/>
      <c r="G5697" s="1668" t="s">
        <v>928</v>
      </c>
      <c r="H5697" s="1673">
        <f>SUM(H5691:H5696)</f>
        <v>0</v>
      </c>
      <c r="I5697" s="677" t="s">
        <v>49</v>
      </c>
      <c r="J5697" s="1669" t="e">
        <f>'Lead &amp; ANALYSIS'!L1060</f>
        <v>#REF!</v>
      </c>
      <c r="K5697" s="1668" t="s">
        <v>1514</v>
      </c>
      <c r="L5697" s="1669" t="e">
        <f t="shared" ref="L5697" si="1049">ROUND(H5697*J5697,0)</f>
        <v>#REF!</v>
      </c>
    </row>
    <row r="5698" spans="1:12" s="692" customFormat="1" ht="45" hidden="1" customHeight="1">
      <c r="A5698" s="1665">
        <f>'Lead &amp; ANALYSIS'!A1061</f>
        <v>161</v>
      </c>
      <c r="B5698" s="1666" t="str">
        <f>'Lead &amp; ANALYSIS'!B1061</f>
        <v xml:space="preserve">Collecting supplying and stacking good laterite moorum from approved quarry of approved quality on road side in box heaps of size 1.50 x1.50x0.44  measured as 1cum </v>
      </c>
      <c r="C5698" s="688"/>
      <c r="D5698" s="1667"/>
      <c r="E5698" s="688"/>
      <c r="F5698" s="688"/>
      <c r="G5698" s="1674"/>
      <c r="H5698" s="688"/>
      <c r="I5698" s="1668"/>
      <c r="J5698" s="1668"/>
      <c r="K5698" s="1668"/>
      <c r="L5698" s="1669"/>
    </row>
    <row r="5699" spans="1:12" s="692" customFormat="1" ht="16.5" hidden="1">
      <c r="A5699" s="1665"/>
      <c r="B5699" s="1666"/>
      <c r="C5699" s="688"/>
      <c r="D5699" s="1667"/>
      <c r="E5699" s="1671">
        <v>3.5</v>
      </c>
      <c r="F5699" s="1671">
        <v>4</v>
      </c>
      <c r="G5699" s="1672">
        <v>2</v>
      </c>
      <c r="H5699" s="1671">
        <f>ROUND(D5699*E5699*F5699*G5699,2)</f>
        <v>0</v>
      </c>
      <c r="I5699" s="688" t="s">
        <v>49</v>
      </c>
      <c r="J5699" s="1668"/>
      <c r="K5699" s="1668"/>
      <c r="L5699" s="1669"/>
    </row>
    <row r="5700" spans="1:12" s="692" customFormat="1" ht="16.5" hidden="1">
      <c r="A5700" s="1665"/>
      <c r="B5700" s="1666"/>
      <c r="C5700" s="688"/>
      <c r="D5700" s="1667"/>
      <c r="E5700" s="1671">
        <v>3.5</v>
      </c>
      <c r="F5700" s="1671">
        <v>4</v>
      </c>
      <c r="G5700" s="1672">
        <v>2</v>
      </c>
      <c r="H5700" s="1671">
        <f t="shared" ref="H5700:H5704" si="1050">ROUND(D5700*E5700*F5700*G5700,2)</f>
        <v>0</v>
      </c>
      <c r="I5700" s="688" t="s">
        <v>49</v>
      </c>
      <c r="J5700" s="1668"/>
      <c r="K5700" s="1668"/>
      <c r="L5700" s="1669"/>
    </row>
    <row r="5701" spans="1:12" s="692" customFormat="1" ht="16.5" hidden="1">
      <c r="A5701" s="1665"/>
      <c r="B5701" s="1666"/>
      <c r="C5701" s="688"/>
      <c r="D5701" s="1667"/>
      <c r="E5701" s="1671">
        <v>3.5</v>
      </c>
      <c r="F5701" s="1671">
        <v>4</v>
      </c>
      <c r="G5701" s="1672">
        <v>2</v>
      </c>
      <c r="H5701" s="1671">
        <f t="shared" si="1050"/>
        <v>0</v>
      </c>
      <c r="I5701" s="688" t="s">
        <v>49</v>
      </c>
      <c r="J5701" s="1668"/>
      <c r="K5701" s="1668"/>
      <c r="L5701" s="1669"/>
    </row>
    <row r="5702" spans="1:12" s="692" customFormat="1" ht="16.5" hidden="1">
      <c r="A5702" s="1665"/>
      <c r="B5702" s="1666"/>
      <c r="C5702" s="688"/>
      <c r="D5702" s="1667"/>
      <c r="E5702" s="1671">
        <v>3.5</v>
      </c>
      <c r="F5702" s="1671">
        <v>4</v>
      </c>
      <c r="G5702" s="1672">
        <v>2</v>
      </c>
      <c r="H5702" s="1671">
        <f t="shared" si="1050"/>
        <v>0</v>
      </c>
      <c r="I5702" s="688" t="s">
        <v>49</v>
      </c>
      <c r="J5702" s="1668"/>
      <c r="K5702" s="1668"/>
      <c r="L5702" s="1669"/>
    </row>
    <row r="5703" spans="1:12" s="692" customFormat="1" ht="16.5" hidden="1">
      <c r="A5703" s="1665"/>
      <c r="B5703" s="1666"/>
      <c r="C5703" s="688"/>
      <c r="D5703" s="1667"/>
      <c r="E5703" s="1671">
        <v>3.5</v>
      </c>
      <c r="F5703" s="1671">
        <v>4</v>
      </c>
      <c r="G5703" s="1672">
        <v>2</v>
      </c>
      <c r="H5703" s="1671">
        <f t="shared" si="1050"/>
        <v>0</v>
      </c>
      <c r="I5703" s="688" t="s">
        <v>49</v>
      </c>
      <c r="J5703" s="1668"/>
      <c r="K5703" s="1668"/>
      <c r="L5703" s="1669"/>
    </row>
    <row r="5704" spans="1:12" s="692" customFormat="1" ht="16.5" hidden="1">
      <c r="A5704" s="1665"/>
      <c r="B5704" s="1666"/>
      <c r="C5704" s="688"/>
      <c r="D5704" s="1667"/>
      <c r="E5704" s="1671">
        <v>3.5</v>
      </c>
      <c r="F5704" s="1671">
        <v>4</v>
      </c>
      <c r="G5704" s="1672">
        <v>2</v>
      </c>
      <c r="H5704" s="1671">
        <f t="shared" si="1050"/>
        <v>0</v>
      </c>
      <c r="I5704" s="688" t="s">
        <v>49</v>
      </c>
      <c r="J5704" s="1668"/>
      <c r="K5704" s="1668"/>
      <c r="L5704" s="1669"/>
    </row>
    <row r="5705" spans="1:12" s="692" customFormat="1" ht="16.5" hidden="1">
      <c r="A5705" s="1665"/>
      <c r="B5705" s="1666"/>
      <c r="C5705" s="688"/>
      <c r="D5705" s="1667"/>
      <c r="E5705" s="688"/>
      <c r="F5705" s="688"/>
      <c r="G5705" s="1668" t="s">
        <v>928</v>
      </c>
      <c r="H5705" s="1673">
        <f>SUM(H5699:H5704)</f>
        <v>0</v>
      </c>
      <c r="I5705" s="677" t="s">
        <v>49</v>
      </c>
      <c r="J5705" s="1669" t="e">
        <f>'Lead &amp; ANALYSIS'!L1061</f>
        <v>#REF!</v>
      </c>
      <c r="K5705" s="1668" t="s">
        <v>1514</v>
      </c>
      <c r="L5705" s="1669" t="e">
        <f t="shared" ref="L5705" si="1051">ROUND(H5705*J5705,0)</f>
        <v>#REF!</v>
      </c>
    </row>
    <row r="5706" spans="1:12" s="692" customFormat="1" ht="49.5" hidden="1">
      <c r="A5706" s="1665">
        <f>'Lead &amp; ANALYSIS'!A1062</f>
        <v>162</v>
      </c>
      <c r="B5706" s="1666" t="str">
        <f>'Lead &amp; ANALYSIS'!B1062</f>
        <v>Conveying from stack spreading moorum to proper camber on road surface including dressing  etc complete as per specification.</v>
      </c>
      <c r="C5706" s="688"/>
      <c r="D5706" s="1667"/>
      <c r="E5706" s="688"/>
      <c r="F5706" s="688"/>
      <c r="G5706" s="1674"/>
      <c r="H5706" s="688"/>
      <c r="I5706" s="1668"/>
      <c r="J5706" s="1668"/>
      <c r="K5706" s="1668"/>
      <c r="L5706" s="1669"/>
    </row>
    <row r="5707" spans="1:12" s="692" customFormat="1" ht="16.5" hidden="1">
      <c r="A5707" s="1665"/>
      <c r="B5707" s="1666"/>
      <c r="C5707" s="688"/>
      <c r="D5707" s="1667"/>
      <c r="E5707" s="1671">
        <v>3.5</v>
      </c>
      <c r="F5707" s="1671">
        <v>4</v>
      </c>
      <c r="G5707" s="1672">
        <v>2</v>
      </c>
      <c r="H5707" s="1671">
        <f>ROUND(D5707*E5707*F5707*G5707,2)</f>
        <v>0</v>
      </c>
      <c r="I5707" s="688" t="s">
        <v>49</v>
      </c>
      <c r="J5707" s="1668"/>
      <c r="K5707" s="1668"/>
      <c r="L5707" s="1669"/>
    </row>
    <row r="5708" spans="1:12" s="692" customFormat="1" ht="16.5" hidden="1">
      <c r="A5708" s="1665"/>
      <c r="B5708" s="1666"/>
      <c r="C5708" s="688"/>
      <c r="D5708" s="1667"/>
      <c r="E5708" s="1671">
        <v>3.5</v>
      </c>
      <c r="F5708" s="1671">
        <v>4</v>
      </c>
      <c r="G5708" s="1672">
        <v>2</v>
      </c>
      <c r="H5708" s="1671">
        <f t="shared" ref="H5708:H5712" si="1052">ROUND(D5708*E5708*F5708*G5708,2)</f>
        <v>0</v>
      </c>
      <c r="I5708" s="688" t="s">
        <v>49</v>
      </c>
      <c r="J5708" s="1668"/>
      <c r="K5708" s="1668"/>
      <c r="L5708" s="1669"/>
    </row>
    <row r="5709" spans="1:12" s="692" customFormat="1" ht="16.5" hidden="1">
      <c r="A5709" s="1665"/>
      <c r="B5709" s="1666"/>
      <c r="C5709" s="688"/>
      <c r="D5709" s="1667"/>
      <c r="E5709" s="1671">
        <v>3.5</v>
      </c>
      <c r="F5709" s="1671">
        <v>4</v>
      </c>
      <c r="G5709" s="1672">
        <v>2</v>
      </c>
      <c r="H5709" s="1671">
        <f t="shared" si="1052"/>
        <v>0</v>
      </c>
      <c r="I5709" s="688" t="s">
        <v>49</v>
      </c>
      <c r="J5709" s="1668"/>
      <c r="K5709" s="1668"/>
      <c r="L5709" s="1669"/>
    </row>
    <row r="5710" spans="1:12" s="692" customFormat="1" ht="16.5" hidden="1">
      <c r="A5710" s="1665"/>
      <c r="B5710" s="1666"/>
      <c r="C5710" s="688"/>
      <c r="D5710" s="1667"/>
      <c r="E5710" s="1671">
        <v>3.5</v>
      </c>
      <c r="F5710" s="1671">
        <v>4</v>
      </c>
      <c r="G5710" s="1672">
        <v>2</v>
      </c>
      <c r="H5710" s="1671">
        <f t="shared" si="1052"/>
        <v>0</v>
      </c>
      <c r="I5710" s="688" t="s">
        <v>49</v>
      </c>
      <c r="J5710" s="1668"/>
      <c r="K5710" s="1668"/>
      <c r="L5710" s="1669"/>
    </row>
    <row r="5711" spans="1:12" s="692" customFormat="1" ht="16.5" hidden="1">
      <c r="A5711" s="1665"/>
      <c r="B5711" s="1666"/>
      <c r="C5711" s="688"/>
      <c r="D5711" s="1667"/>
      <c r="E5711" s="1671">
        <v>3.5</v>
      </c>
      <c r="F5711" s="1671">
        <v>4</v>
      </c>
      <c r="G5711" s="1672">
        <v>2</v>
      </c>
      <c r="H5711" s="1671">
        <f t="shared" si="1052"/>
        <v>0</v>
      </c>
      <c r="I5711" s="688" t="s">
        <v>49</v>
      </c>
      <c r="J5711" s="1668"/>
      <c r="K5711" s="1668"/>
      <c r="L5711" s="1669"/>
    </row>
    <row r="5712" spans="1:12" s="692" customFormat="1" ht="16.5" hidden="1">
      <c r="A5712" s="1665"/>
      <c r="B5712" s="1666"/>
      <c r="C5712" s="688"/>
      <c r="D5712" s="1667"/>
      <c r="E5712" s="1671">
        <v>3.5</v>
      </c>
      <c r="F5712" s="1671">
        <v>4</v>
      </c>
      <c r="G5712" s="1672">
        <v>2</v>
      </c>
      <c r="H5712" s="1671">
        <f t="shared" si="1052"/>
        <v>0</v>
      </c>
      <c r="I5712" s="688" t="s">
        <v>49</v>
      </c>
      <c r="J5712" s="1668"/>
      <c r="K5712" s="1668"/>
      <c r="L5712" s="1669"/>
    </row>
    <row r="5713" spans="1:12" s="692" customFormat="1" ht="16.5" hidden="1">
      <c r="A5713" s="1665"/>
      <c r="B5713" s="1666"/>
      <c r="C5713" s="688"/>
      <c r="D5713" s="1667"/>
      <c r="E5713" s="688"/>
      <c r="F5713" s="688"/>
      <c r="G5713" s="1668" t="s">
        <v>928</v>
      </c>
      <c r="H5713" s="1673">
        <f>SUM(H5707:H5712)</f>
        <v>0</v>
      </c>
      <c r="I5713" s="677" t="s">
        <v>49</v>
      </c>
      <c r="J5713" s="1669" t="e">
        <f>'Lead &amp; ANALYSIS'!L1062</f>
        <v>#REF!</v>
      </c>
      <c r="K5713" s="1668" t="s">
        <v>1514</v>
      </c>
      <c r="L5713" s="1669" t="e">
        <f t="shared" ref="L5713" si="1053">ROUND(H5713*J5713,0)</f>
        <v>#REF!</v>
      </c>
    </row>
    <row r="5714" spans="1:12" s="692" customFormat="1" ht="33" hidden="1">
      <c r="A5714" s="1665">
        <f>'Lead &amp; ANALYSIS'!A1063</f>
        <v>163</v>
      </c>
      <c r="B5714" s="1666" t="str">
        <f>'Lead &amp; ANALYSIS'!B1063</f>
        <v>Labour for sppreading moorum and consolidation with HRR including watering etc complete.</v>
      </c>
      <c r="C5714" s="688"/>
      <c r="D5714" s="1667"/>
      <c r="E5714" s="688"/>
      <c r="F5714" s="688"/>
      <c r="G5714" s="1674"/>
      <c r="H5714" s="688"/>
      <c r="I5714" s="1668"/>
      <c r="J5714" s="1668"/>
      <c r="K5714" s="1668"/>
      <c r="L5714" s="1669"/>
    </row>
    <row r="5715" spans="1:12" s="692" customFormat="1" ht="16.5" hidden="1">
      <c r="A5715" s="1665"/>
      <c r="B5715" s="1666"/>
      <c r="C5715" s="688"/>
      <c r="D5715" s="1667"/>
      <c r="E5715" s="1671">
        <v>3.5</v>
      </c>
      <c r="F5715" s="1671">
        <v>4</v>
      </c>
      <c r="G5715" s="1672">
        <v>2</v>
      </c>
      <c r="H5715" s="1671">
        <f>ROUND(D5715*E5715*F5715*G5715,2)</f>
        <v>0</v>
      </c>
      <c r="I5715" s="688" t="s">
        <v>49</v>
      </c>
      <c r="J5715" s="1668"/>
      <c r="K5715" s="1668"/>
      <c r="L5715" s="1669"/>
    </row>
    <row r="5716" spans="1:12" s="692" customFormat="1" ht="16.5" hidden="1">
      <c r="A5716" s="1665"/>
      <c r="B5716" s="1666"/>
      <c r="C5716" s="688"/>
      <c r="D5716" s="1667"/>
      <c r="E5716" s="1671">
        <v>3.5</v>
      </c>
      <c r="F5716" s="1671">
        <v>4</v>
      </c>
      <c r="G5716" s="1672">
        <v>2</v>
      </c>
      <c r="H5716" s="1671">
        <f t="shared" ref="H5716:H5720" si="1054">ROUND(D5716*E5716*F5716*G5716,2)</f>
        <v>0</v>
      </c>
      <c r="I5716" s="688" t="s">
        <v>49</v>
      </c>
      <c r="J5716" s="1668"/>
      <c r="K5716" s="1668"/>
      <c r="L5716" s="1669"/>
    </row>
    <row r="5717" spans="1:12" s="692" customFormat="1" ht="16.5" hidden="1">
      <c r="A5717" s="1665"/>
      <c r="B5717" s="1666"/>
      <c r="C5717" s="688"/>
      <c r="D5717" s="1667"/>
      <c r="E5717" s="1671">
        <v>3.5</v>
      </c>
      <c r="F5717" s="1671">
        <v>4</v>
      </c>
      <c r="G5717" s="1672">
        <v>2</v>
      </c>
      <c r="H5717" s="1671">
        <f t="shared" si="1054"/>
        <v>0</v>
      </c>
      <c r="I5717" s="688" t="s">
        <v>49</v>
      </c>
      <c r="J5717" s="1668"/>
      <c r="K5717" s="1668"/>
      <c r="L5717" s="1669"/>
    </row>
    <row r="5718" spans="1:12" s="692" customFormat="1" ht="16.5" hidden="1">
      <c r="A5718" s="1665"/>
      <c r="B5718" s="1666"/>
      <c r="C5718" s="688"/>
      <c r="D5718" s="1667"/>
      <c r="E5718" s="1671">
        <v>3.5</v>
      </c>
      <c r="F5718" s="1671">
        <v>4</v>
      </c>
      <c r="G5718" s="1672">
        <v>2</v>
      </c>
      <c r="H5718" s="1671">
        <f t="shared" si="1054"/>
        <v>0</v>
      </c>
      <c r="I5718" s="688" t="s">
        <v>49</v>
      </c>
      <c r="J5718" s="1668"/>
      <c r="K5718" s="1668"/>
      <c r="L5718" s="1669"/>
    </row>
    <row r="5719" spans="1:12" s="692" customFormat="1" ht="16.5" hidden="1">
      <c r="A5719" s="1665"/>
      <c r="B5719" s="1666"/>
      <c r="C5719" s="688"/>
      <c r="D5719" s="1667"/>
      <c r="E5719" s="1671">
        <v>3.5</v>
      </c>
      <c r="F5719" s="1671">
        <v>4</v>
      </c>
      <c r="G5719" s="1672">
        <v>2</v>
      </c>
      <c r="H5719" s="1671">
        <f t="shared" si="1054"/>
        <v>0</v>
      </c>
      <c r="I5719" s="688" t="s">
        <v>49</v>
      </c>
      <c r="J5719" s="1668"/>
      <c r="K5719" s="1668"/>
      <c r="L5719" s="1669"/>
    </row>
    <row r="5720" spans="1:12" s="692" customFormat="1" ht="16.5" hidden="1">
      <c r="A5720" s="1665"/>
      <c r="B5720" s="1666"/>
      <c r="C5720" s="688"/>
      <c r="D5720" s="1667"/>
      <c r="E5720" s="1671">
        <v>3.5</v>
      </c>
      <c r="F5720" s="1671">
        <v>4</v>
      </c>
      <c r="G5720" s="1672">
        <v>2</v>
      </c>
      <c r="H5720" s="1671">
        <f t="shared" si="1054"/>
        <v>0</v>
      </c>
      <c r="I5720" s="688" t="s">
        <v>49</v>
      </c>
      <c r="J5720" s="1668"/>
      <c r="K5720" s="1668"/>
      <c r="L5720" s="1669"/>
    </row>
    <row r="5721" spans="1:12" s="692" customFormat="1" ht="16.5" hidden="1">
      <c r="A5721" s="1665"/>
      <c r="B5721" s="1666"/>
      <c r="C5721" s="688"/>
      <c r="D5721" s="1667"/>
      <c r="E5721" s="688"/>
      <c r="F5721" s="688"/>
      <c r="G5721" s="1668" t="s">
        <v>928</v>
      </c>
      <c r="H5721" s="1673">
        <f>SUM(H5715:H5720)</f>
        <v>0</v>
      </c>
      <c r="I5721" s="677" t="s">
        <v>49</v>
      </c>
      <c r="J5721" s="1669" t="e">
        <f>'Lead &amp; ANALYSIS'!L1063</f>
        <v>#REF!</v>
      </c>
      <c r="K5721" s="1668" t="s">
        <v>1514</v>
      </c>
      <c r="L5721" s="1669" t="e">
        <f t="shared" ref="L5721" si="1055">ROUND(H5721*J5721,0)</f>
        <v>#REF!</v>
      </c>
    </row>
    <row r="5722" spans="1:12" s="692" customFormat="1" ht="33" hidden="1">
      <c r="A5722" s="1665">
        <f>'Lead &amp; ANALYSIS'!A1064</f>
        <v>164</v>
      </c>
      <c r="B5722" s="1666" t="str">
        <f>'Lead &amp; ANALYSIS'!B1064</f>
        <v>Flank dressing to proper camber etc complete. As per specificcation.</v>
      </c>
      <c r="C5722" s="688"/>
      <c r="D5722" s="1667"/>
      <c r="E5722" s="688"/>
      <c r="F5722" s="688"/>
      <c r="G5722" s="1674"/>
      <c r="H5722" s="688"/>
      <c r="I5722" s="1668"/>
      <c r="J5722" s="1668"/>
      <c r="K5722" s="1668"/>
      <c r="L5722" s="1669"/>
    </row>
    <row r="5723" spans="1:12" s="692" customFormat="1" ht="16.5" hidden="1">
      <c r="A5723" s="1665"/>
      <c r="B5723" s="1666"/>
      <c r="C5723" s="688"/>
      <c r="D5723" s="1667"/>
      <c r="E5723" s="1671">
        <v>3.5</v>
      </c>
      <c r="F5723" s="1671">
        <v>4</v>
      </c>
      <c r="G5723" s="1674"/>
      <c r="H5723" s="1671">
        <f t="shared" ref="H5723:H5728" si="1056">ROUND(D5723*E5723*F5723,2)</f>
        <v>0</v>
      </c>
      <c r="I5723" s="688" t="s">
        <v>92</v>
      </c>
      <c r="J5723" s="1668"/>
      <c r="K5723" s="1668"/>
      <c r="L5723" s="1669"/>
    </row>
    <row r="5724" spans="1:12" s="692" customFormat="1" ht="16.5" hidden="1">
      <c r="A5724" s="1665"/>
      <c r="B5724" s="1666"/>
      <c r="C5724" s="688"/>
      <c r="D5724" s="1667"/>
      <c r="E5724" s="1671">
        <v>3.5</v>
      </c>
      <c r="F5724" s="1671">
        <v>4</v>
      </c>
      <c r="G5724" s="1674"/>
      <c r="H5724" s="1671">
        <f t="shared" si="1056"/>
        <v>0</v>
      </c>
      <c r="I5724" s="688" t="s">
        <v>92</v>
      </c>
      <c r="J5724" s="1668"/>
      <c r="K5724" s="1668"/>
      <c r="L5724" s="1669"/>
    </row>
    <row r="5725" spans="1:12" s="692" customFormat="1" ht="16.5" hidden="1">
      <c r="A5725" s="1665"/>
      <c r="B5725" s="1666"/>
      <c r="C5725" s="688"/>
      <c r="D5725" s="1667"/>
      <c r="E5725" s="1671">
        <v>3.5</v>
      </c>
      <c r="F5725" s="1671">
        <v>4</v>
      </c>
      <c r="G5725" s="1674"/>
      <c r="H5725" s="1671">
        <f t="shared" si="1056"/>
        <v>0</v>
      </c>
      <c r="I5725" s="688" t="s">
        <v>92</v>
      </c>
      <c r="J5725" s="1668"/>
      <c r="K5725" s="1668"/>
      <c r="L5725" s="1669"/>
    </row>
    <row r="5726" spans="1:12" s="692" customFormat="1" ht="16.5" hidden="1">
      <c r="A5726" s="1665"/>
      <c r="B5726" s="1666"/>
      <c r="C5726" s="688"/>
      <c r="D5726" s="1667"/>
      <c r="E5726" s="1671">
        <v>3.5</v>
      </c>
      <c r="F5726" s="1671">
        <v>4</v>
      </c>
      <c r="G5726" s="1674"/>
      <c r="H5726" s="1671">
        <f t="shared" si="1056"/>
        <v>0</v>
      </c>
      <c r="I5726" s="688" t="s">
        <v>92</v>
      </c>
      <c r="J5726" s="1668"/>
      <c r="K5726" s="1668"/>
      <c r="L5726" s="1669"/>
    </row>
    <row r="5727" spans="1:12" s="692" customFormat="1" ht="16.5" hidden="1">
      <c r="A5727" s="1665"/>
      <c r="B5727" s="1666"/>
      <c r="C5727" s="688"/>
      <c r="D5727" s="1667"/>
      <c r="E5727" s="1671">
        <v>3.5</v>
      </c>
      <c r="F5727" s="1671">
        <v>4</v>
      </c>
      <c r="G5727" s="1674"/>
      <c r="H5727" s="1671">
        <f t="shared" si="1056"/>
        <v>0</v>
      </c>
      <c r="I5727" s="688" t="s">
        <v>92</v>
      </c>
      <c r="J5727" s="1668"/>
      <c r="K5727" s="1668"/>
      <c r="L5727" s="1669"/>
    </row>
    <row r="5728" spans="1:12" s="692" customFormat="1" ht="16.5" hidden="1">
      <c r="A5728" s="1665"/>
      <c r="B5728" s="1666"/>
      <c r="C5728" s="688"/>
      <c r="D5728" s="1667"/>
      <c r="E5728" s="1671">
        <v>3.5</v>
      </c>
      <c r="F5728" s="1671">
        <v>4</v>
      </c>
      <c r="G5728" s="1674"/>
      <c r="H5728" s="1671">
        <f t="shared" si="1056"/>
        <v>0</v>
      </c>
      <c r="I5728" s="688" t="s">
        <v>92</v>
      </c>
      <c r="J5728" s="1668"/>
      <c r="K5728" s="1668"/>
      <c r="L5728" s="1669"/>
    </row>
    <row r="5729" spans="1:12" s="692" customFormat="1" ht="16.5" hidden="1">
      <c r="A5729" s="1665"/>
      <c r="B5729" s="1666"/>
      <c r="C5729" s="688"/>
      <c r="D5729" s="1667"/>
      <c r="E5729" s="688"/>
      <c r="F5729" s="688"/>
      <c r="G5729" s="1674" t="s">
        <v>928</v>
      </c>
      <c r="H5729" s="1671">
        <f>SUM(H5723:H5728)</f>
        <v>0</v>
      </c>
      <c r="I5729" s="1668" t="s">
        <v>92</v>
      </c>
      <c r="J5729" s="1669" t="e">
        <f>'Lead &amp; ANALYSIS'!L1064</f>
        <v>#REF!</v>
      </c>
      <c r="K5729" s="1668" t="s">
        <v>1514</v>
      </c>
      <c r="L5729" s="1669" t="e">
        <f t="shared" ref="L5729" si="1057">ROUND(H5729*J5729,0)</f>
        <v>#REF!</v>
      </c>
    </row>
    <row r="5730" spans="1:12" s="692" customFormat="1" ht="33" hidden="1">
      <c r="A5730" s="1665">
        <f>'Lead &amp; ANALYSIS'!A1065</f>
        <v>165</v>
      </c>
      <c r="B5730" s="1666" t="str">
        <f>'Lead &amp; ANALYSIS'!B1065</f>
        <v>Sectioning old gravelled surface to proper Camber etc complete.</v>
      </c>
      <c r="C5730" s="688"/>
      <c r="D5730" s="1667"/>
      <c r="E5730" s="688"/>
      <c r="F5730" s="688"/>
      <c r="G5730" s="1674"/>
      <c r="H5730" s="688"/>
      <c r="I5730" s="1668"/>
      <c r="J5730" s="1668"/>
      <c r="K5730" s="1668"/>
      <c r="L5730" s="1669"/>
    </row>
    <row r="5731" spans="1:12" s="692" customFormat="1" ht="16.5" hidden="1">
      <c r="A5731" s="1665"/>
      <c r="B5731" s="1666"/>
      <c r="C5731" s="688"/>
      <c r="D5731" s="1667"/>
      <c r="E5731" s="1671">
        <v>3.5</v>
      </c>
      <c r="F5731" s="1671">
        <v>4</v>
      </c>
      <c r="G5731" s="1674"/>
      <c r="H5731" s="1671">
        <f t="shared" ref="H5731:H5736" si="1058">ROUND(D5731*E5731*F5731,2)</f>
        <v>0</v>
      </c>
      <c r="I5731" s="688" t="s">
        <v>92</v>
      </c>
      <c r="J5731" s="1668"/>
      <c r="K5731" s="1668"/>
      <c r="L5731" s="1669"/>
    </row>
    <row r="5732" spans="1:12" s="692" customFormat="1" ht="16.5" hidden="1">
      <c r="A5732" s="1665"/>
      <c r="B5732" s="1666"/>
      <c r="C5732" s="688"/>
      <c r="D5732" s="1667"/>
      <c r="E5732" s="1671">
        <v>3.5</v>
      </c>
      <c r="F5732" s="1671">
        <v>4</v>
      </c>
      <c r="G5732" s="1674"/>
      <c r="H5732" s="1671">
        <f t="shared" si="1058"/>
        <v>0</v>
      </c>
      <c r="I5732" s="688" t="s">
        <v>92</v>
      </c>
      <c r="J5732" s="1668"/>
      <c r="K5732" s="1668"/>
      <c r="L5732" s="1669"/>
    </row>
    <row r="5733" spans="1:12" s="692" customFormat="1" ht="16.5" hidden="1">
      <c r="A5733" s="1665"/>
      <c r="B5733" s="1666"/>
      <c r="C5733" s="688"/>
      <c r="D5733" s="1667"/>
      <c r="E5733" s="1671">
        <v>3.5</v>
      </c>
      <c r="F5733" s="1671">
        <v>4</v>
      </c>
      <c r="G5733" s="1674"/>
      <c r="H5733" s="1671">
        <f t="shared" si="1058"/>
        <v>0</v>
      </c>
      <c r="I5733" s="688" t="s">
        <v>92</v>
      </c>
      <c r="J5733" s="1668"/>
      <c r="K5733" s="1668"/>
      <c r="L5733" s="1669"/>
    </row>
    <row r="5734" spans="1:12" s="692" customFormat="1" ht="16.5" hidden="1">
      <c r="A5734" s="1665"/>
      <c r="B5734" s="1666"/>
      <c r="C5734" s="688"/>
      <c r="D5734" s="1667"/>
      <c r="E5734" s="1671">
        <v>3.5</v>
      </c>
      <c r="F5734" s="1671">
        <v>4</v>
      </c>
      <c r="G5734" s="1674"/>
      <c r="H5734" s="1671">
        <f t="shared" si="1058"/>
        <v>0</v>
      </c>
      <c r="I5734" s="688" t="s">
        <v>92</v>
      </c>
      <c r="J5734" s="1668"/>
      <c r="K5734" s="1668"/>
      <c r="L5734" s="1669"/>
    </row>
    <row r="5735" spans="1:12" s="692" customFormat="1" ht="16.5" hidden="1">
      <c r="A5735" s="1665"/>
      <c r="B5735" s="1666"/>
      <c r="C5735" s="688"/>
      <c r="D5735" s="1667"/>
      <c r="E5735" s="1671">
        <v>3.5</v>
      </c>
      <c r="F5735" s="1671">
        <v>4</v>
      </c>
      <c r="G5735" s="1674"/>
      <c r="H5735" s="1671">
        <f t="shared" si="1058"/>
        <v>0</v>
      </c>
      <c r="I5735" s="688" t="s">
        <v>92</v>
      </c>
      <c r="J5735" s="1668"/>
      <c r="K5735" s="1668"/>
      <c r="L5735" s="1669"/>
    </row>
    <row r="5736" spans="1:12" s="692" customFormat="1" ht="16.5" hidden="1">
      <c r="A5736" s="1665"/>
      <c r="B5736" s="1666"/>
      <c r="C5736" s="688"/>
      <c r="D5736" s="1667"/>
      <c r="E5736" s="1671">
        <v>3.5</v>
      </c>
      <c r="F5736" s="1671">
        <v>4</v>
      </c>
      <c r="G5736" s="1674"/>
      <c r="H5736" s="1671">
        <f t="shared" si="1058"/>
        <v>0</v>
      </c>
      <c r="I5736" s="688" t="s">
        <v>92</v>
      </c>
      <c r="J5736" s="1668"/>
      <c r="K5736" s="1668"/>
      <c r="L5736" s="1669"/>
    </row>
    <row r="5737" spans="1:12" s="692" customFormat="1" ht="16.5" hidden="1">
      <c r="A5737" s="1665"/>
      <c r="B5737" s="1666"/>
      <c r="C5737" s="688"/>
      <c r="D5737" s="1667"/>
      <c r="E5737" s="688"/>
      <c r="F5737" s="688"/>
      <c r="G5737" s="1674" t="s">
        <v>928</v>
      </c>
      <c r="H5737" s="1671">
        <f>SUM(H5731:H5736)</f>
        <v>0</v>
      </c>
      <c r="I5737" s="1668" t="s">
        <v>92</v>
      </c>
      <c r="J5737" s="1669" t="e">
        <f>'Lead &amp; ANALYSIS'!L1065</f>
        <v>#REF!</v>
      </c>
      <c r="K5737" s="1668" t="s">
        <v>1514</v>
      </c>
      <c r="L5737" s="1669" t="e">
        <f t="shared" ref="L5737" si="1059">ROUND(H5737*J5737,0)</f>
        <v>#REF!</v>
      </c>
    </row>
    <row r="5738" spans="1:12" s="692" customFormat="1" ht="49.5" hidden="1">
      <c r="A5738" s="1665">
        <f>'Lead &amp; ANALYSIS'!A1066</f>
        <v>166</v>
      </c>
      <c r="B5738" s="1666" t="str">
        <f>'Lead &amp; ANALYSIS'!B1066</f>
        <v>Collecting supplying stacking  good laterite moorum from approved quarry and spreading in proper section etc complete as per specification.</v>
      </c>
      <c r="C5738" s="688"/>
      <c r="D5738" s="1667"/>
      <c r="E5738" s="688"/>
      <c r="F5738" s="688"/>
      <c r="G5738" s="1674"/>
      <c r="H5738" s="688"/>
      <c r="I5738" s="1668"/>
      <c r="J5738" s="1668"/>
      <c r="K5738" s="1668"/>
      <c r="L5738" s="1669"/>
    </row>
    <row r="5739" spans="1:12" s="692" customFormat="1" ht="16.5" hidden="1">
      <c r="A5739" s="1665"/>
      <c r="B5739" s="1666"/>
      <c r="C5739" s="688"/>
      <c r="D5739" s="1667"/>
      <c r="E5739" s="1671">
        <v>3.5</v>
      </c>
      <c r="F5739" s="1671">
        <v>4</v>
      </c>
      <c r="G5739" s="1672">
        <v>2</v>
      </c>
      <c r="H5739" s="1671">
        <f>ROUND(D5739*E5739*F5739*G5739,2)</f>
        <v>0</v>
      </c>
      <c r="I5739" s="688" t="s">
        <v>49</v>
      </c>
      <c r="J5739" s="1668"/>
      <c r="K5739" s="1668"/>
      <c r="L5739" s="1669"/>
    </row>
    <row r="5740" spans="1:12" s="692" customFormat="1" ht="16.5" hidden="1">
      <c r="A5740" s="1665"/>
      <c r="B5740" s="1666"/>
      <c r="C5740" s="688"/>
      <c r="D5740" s="1667"/>
      <c r="E5740" s="1671">
        <v>3.5</v>
      </c>
      <c r="F5740" s="1671">
        <v>4</v>
      </c>
      <c r="G5740" s="1672">
        <v>2</v>
      </c>
      <c r="H5740" s="1671">
        <f t="shared" ref="H5740:H5744" si="1060">ROUND(D5740*E5740*F5740*G5740,2)</f>
        <v>0</v>
      </c>
      <c r="I5740" s="688" t="s">
        <v>49</v>
      </c>
      <c r="J5740" s="1668"/>
      <c r="K5740" s="1668"/>
      <c r="L5740" s="1669"/>
    </row>
    <row r="5741" spans="1:12" s="692" customFormat="1" ht="16.5" hidden="1">
      <c r="A5741" s="1665"/>
      <c r="B5741" s="1666"/>
      <c r="C5741" s="688"/>
      <c r="D5741" s="1667"/>
      <c r="E5741" s="1671">
        <v>3.5</v>
      </c>
      <c r="F5741" s="1671">
        <v>4</v>
      </c>
      <c r="G5741" s="1672">
        <v>2</v>
      </c>
      <c r="H5741" s="1671">
        <f t="shared" si="1060"/>
        <v>0</v>
      </c>
      <c r="I5741" s="688" t="s">
        <v>49</v>
      </c>
      <c r="J5741" s="1668"/>
      <c r="K5741" s="1668"/>
      <c r="L5741" s="1669"/>
    </row>
    <row r="5742" spans="1:12" s="692" customFormat="1" ht="16.5" hidden="1">
      <c r="A5742" s="1665"/>
      <c r="B5742" s="1666"/>
      <c r="C5742" s="688"/>
      <c r="D5742" s="1667"/>
      <c r="E5742" s="1671">
        <v>3.5</v>
      </c>
      <c r="F5742" s="1671">
        <v>4</v>
      </c>
      <c r="G5742" s="1672">
        <v>2</v>
      </c>
      <c r="H5742" s="1671">
        <f t="shared" si="1060"/>
        <v>0</v>
      </c>
      <c r="I5742" s="688" t="s">
        <v>49</v>
      </c>
      <c r="J5742" s="1668"/>
      <c r="K5742" s="1668"/>
      <c r="L5742" s="1669"/>
    </row>
    <row r="5743" spans="1:12" s="692" customFormat="1" ht="16.5" hidden="1">
      <c r="A5743" s="1665"/>
      <c r="B5743" s="1666"/>
      <c r="C5743" s="688"/>
      <c r="D5743" s="1667"/>
      <c r="E5743" s="1671">
        <v>3.5</v>
      </c>
      <c r="F5743" s="1671">
        <v>4</v>
      </c>
      <c r="G5743" s="1672">
        <v>2</v>
      </c>
      <c r="H5743" s="1671">
        <f t="shared" si="1060"/>
        <v>0</v>
      </c>
      <c r="I5743" s="688" t="s">
        <v>49</v>
      </c>
      <c r="J5743" s="1668"/>
      <c r="K5743" s="1668"/>
      <c r="L5743" s="1669"/>
    </row>
    <row r="5744" spans="1:12" s="692" customFormat="1" ht="16.5" hidden="1">
      <c r="A5744" s="1665"/>
      <c r="B5744" s="1666"/>
      <c r="C5744" s="688"/>
      <c r="D5744" s="1667"/>
      <c r="E5744" s="1671">
        <v>3.5</v>
      </c>
      <c r="F5744" s="1671">
        <v>4</v>
      </c>
      <c r="G5744" s="1672">
        <v>2</v>
      </c>
      <c r="H5744" s="1671">
        <f t="shared" si="1060"/>
        <v>0</v>
      </c>
      <c r="I5744" s="688" t="s">
        <v>49</v>
      </c>
      <c r="J5744" s="1668"/>
      <c r="K5744" s="1668"/>
      <c r="L5744" s="1669"/>
    </row>
    <row r="5745" spans="1:12" s="692" customFormat="1" ht="16.5" hidden="1">
      <c r="A5745" s="1665"/>
      <c r="B5745" s="1666"/>
      <c r="C5745" s="688"/>
      <c r="D5745" s="1667"/>
      <c r="E5745" s="688"/>
      <c r="F5745" s="688"/>
      <c r="G5745" s="1668" t="s">
        <v>928</v>
      </c>
      <c r="H5745" s="1673">
        <f>SUM(H5739:H5744)</f>
        <v>0</v>
      </c>
      <c r="I5745" s="677" t="s">
        <v>49</v>
      </c>
      <c r="J5745" s="1669" t="e">
        <f>'Lead &amp; ANALYSIS'!L1066</f>
        <v>#REF!</v>
      </c>
      <c r="K5745" s="1668" t="s">
        <v>1514</v>
      </c>
      <c r="L5745" s="1669" t="e">
        <f t="shared" ref="L5745" si="1061">ROUND(H5745*J5745,0)</f>
        <v>#REF!</v>
      </c>
    </row>
    <row r="5746" spans="1:12" s="692" customFormat="1" ht="66" hidden="1">
      <c r="A5746" s="1665">
        <f>'Lead &amp; ANALYSIS'!A1067</f>
        <v>167</v>
      </c>
      <c r="B5746" s="1666" t="str">
        <f>'Lead &amp; ANALYSIS'!B1067</f>
        <v>Collecting supplying stacking  good laterite moorum from approved quarry and spreading in proper section  and rolling with PRR etc complete as per specification.</v>
      </c>
      <c r="C5746" s="688"/>
      <c r="D5746" s="1667"/>
      <c r="E5746" s="688"/>
      <c r="F5746" s="688"/>
      <c r="G5746" s="1674"/>
      <c r="H5746" s="688"/>
      <c r="I5746" s="1668"/>
      <c r="J5746" s="1668"/>
      <c r="K5746" s="1668"/>
      <c r="L5746" s="1669"/>
    </row>
    <row r="5747" spans="1:12" s="692" customFormat="1" ht="16.5" hidden="1">
      <c r="A5747" s="1665"/>
      <c r="B5747" s="1666"/>
      <c r="C5747" s="688"/>
      <c r="D5747" s="1667"/>
      <c r="E5747" s="1671">
        <v>3.5</v>
      </c>
      <c r="F5747" s="1671">
        <v>4</v>
      </c>
      <c r="G5747" s="1672">
        <v>2</v>
      </c>
      <c r="H5747" s="1671">
        <f>ROUND(D5747*E5747*F5747*G5747,2)</f>
        <v>0</v>
      </c>
      <c r="I5747" s="688" t="s">
        <v>49</v>
      </c>
      <c r="J5747" s="1668"/>
      <c r="K5747" s="1668"/>
      <c r="L5747" s="1669"/>
    </row>
    <row r="5748" spans="1:12" s="692" customFormat="1" ht="16.5" hidden="1">
      <c r="A5748" s="1665"/>
      <c r="B5748" s="1666"/>
      <c r="C5748" s="688"/>
      <c r="D5748" s="1667"/>
      <c r="E5748" s="1671">
        <v>3.5</v>
      </c>
      <c r="F5748" s="1671">
        <v>4</v>
      </c>
      <c r="G5748" s="1672">
        <v>2</v>
      </c>
      <c r="H5748" s="1671">
        <f t="shared" ref="H5748:H5752" si="1062">ROUND(D5748*E5748*F5748*G5748,2)</f>
        <v>0</v>
      </c>
      <c r="I5748" s="688" t="s">
        <v>49</v>
      </c>
      <c r="J5748" s="1668"/>
      <c r="K5748" s="1668"/>
      <c r="L5748" s="1669"/>
    </row>
    <row r="5749" spans="1:12" s="692" customFormat="1" ht="16.5" hidden="1">
      <c r="A5749" s="1665"/>
      <c r="B5749" s="1666"/>
      <c r="C5749" s="688"/>
      <c r="D5749" s="1667"/>
      <c r="E5749" s="1671">
        <v>3.5</v>
      </c>
      <c r="F5749" s="1671">
        <v>4</v>
      </c>
      <c r="G5749" s="1672">
        <v>2</v>
      </c>
      <c r="H5749" s="1671">
        <f t="shared" si="1062"/>
        <v>0</v>
      </c>
      <c r="I5749" s="688" t="s">
        <v>49</v>
      </c>
      <c r="J5749" s="1668"/>
      <c r="K5749" s="1668"/>
      <c r="L5749" s="1669"/>
    </row>
    <row r="5750" spans="1:12" s="692" customFormat="1" ht="16.5" hidden="1">
      <c r="A5750" s="1665"/>
      <c r="B5750" s="1666"/>
      <c r="C5750" s="688"/>
      <c r="D5750" s="1667"/>
      <c r="E5750" s="1671">
        <v>3.5</v>
      </c>
      <c r="F5750" s="1671">
        <v>4</v>
      </c>
      <c r="G5750" s="1672">
        <v>2</v>
      </c>
      <c r="H5750" s="1671">
        <f t="shared" si="1062"/>
        <v>0</v>
      </c>
      <c r="I5750" s="688" t="s">
        <v>49</v>
      </c>
      <c r="J5750" s="1668"/>
      <c r="K5750" s="1668"/>
      <c r="L5750" s="1669"/>
    </row>
    <row r="5751" spans="1:12" s="692" customFormat="1" ht="16.5" hidden="1">
      <c r="A5751" s="1665"/>
      <c r="B5751" s="1666"/>
      <c r="C5751" s="688"/>
      <c r="D5751" s="1667"/>
      <c r="E5751" s="1671">
        <v>3.5</v>
      </c>
      <c r="F5751" s="1671">
        <v>4</v>
      </c>
      <c r="G5751" s="1672">
        <v>2</v>
      </c>
      <c r="H5751" s="1671">
        <f t="shared" si="1062"/>
        <v>0</v>
      </c>
      <c r="I5751" s="688" t="s">
        <v>49</v>
      </c>
      <c r="J5751" s="1668"/>
      <c r="K5751" s="1668"/>
      <c r="L5751" s="1669"/>
    </row>
    <row r="5752" spans="1:12" s="692" customFormat="1" ht="16.5" hidden="1">
      <c r="A5752" s="1665"/>
      <c r="B5752" s="1666"/>
      <c r="C5752" s="688"/>
      <c r="D5752" s="1667"/>
      <c r="E5752" s="1671">
        <v>3.5</v>
      </c>
      <c r="F5752" s="1671">
        <v>4</v>
      </c>
      <c r="G5752" s="1672">
        <v>2</v>
      </c>
      <c r="H5752" s="1671">
        <f t="shared" si="1062"/>
        <v>0</v>
      </c>
      <c r="I5752" s="688" t="s">
        <v>49</v>
      </c>
      <c r="J5752" s="1668"/>
      <c r="K5752" s="1668"/>
      <c r="L5752" s="1669"/>
    </row>
    <row r="5753" spans="1:12" s="692" customFormat="1" ht="16.5" hidden="1">
      <c r="A5753" s="1665"/>
      <c r="B5753" s="1666"/>
      <c r="C5753" s="688"/>
      <c r="D5753" s="1667"/>
      <c r="E5753" s="688"/>
      <c r="F5753" s="688"/>
      <c r="G5753" s="1668" t="s">
        <v>928</v>
      </c>
      <c r="H5753" s="1673">
        <f>SUM(H5747:H5752)</f>
        <v>0</v>
      </c>
      <c r="I5753" s="677" t="s">
        <v>49</v>
      </c>
      <c r="J5753" s="1669" t="e">
        <f>'Lead &amp; ANALYSIS'!L1067</f>
        <v>#REF!</v>
      </c>
      <c r="K5753" s="1668" t="s">
        <v>1514</v>
      </c>
      <c r="L5753" s="1669" t="e">
        <f t="shared" ref="L5753" si="1063">ROUND(H5753*J5753,0)</f>
        <v>#REF!</v>
      </c>
    </row>
    <row r="5754" spans="1:12" s="692" customFormat="1" ht="82.5" hidden="1">
      <c r="A5754" s="1665">
        <f>'Lead &amp; ANALYSIS'!A1068</f>
        <v>168</v>
      </c>
      <c r="B5754" s="1666" t="str">
        <f>'Lead &amp; ANALYSIS'!B1068</f>
        <v>Providing compacted granular materials in road sub-base/shoulder by using moorum in layers not exceeding 100mm watering and compacting to the required density in OMC with PRR including cost of all labour and maaterial etc complete.</v>
      </c>
      <c r="C5754" s="688"/>
      <c r="D5754" s="1667"/>
      <c r="E5754" s="688"/>
      <c r="F5754" s="688"/>
      <c r="G5754" s="1674"/>
      <c r="H5754" s="688"/>
      <c r="I5754" s="1668"/>
      <c r="J5754" s="1668"/>
      <c r="K5754" s="1668"/>
      <c r="L5754" s="1669"/>
    </row>
    <row r="5755" spans="1:12" s="692" customFormat="1" ht="16.5" hidden="1">
      <c r="A5755" s="1665"/>
      <c r="B5755" s="1666"/>
      <c r="C5755" s="688"/>
      <c r="D5755" s="1667"/>
      <c r="E5755" s="1671">
        <v>3.5</v>
      </c>
      <c r="F5755" s="1671">
        <v>4</v>
      </c>
      <c r="G5755" s="1672">
        <v>2</v>
      </c>
      <c r="H5755" s="1671">
        <f>ROUND(D5755*E5755*F5755*G5755,2)</f>
        <v>0</v>
      </c>
      <c r="I5755" s="688" t="s">
        <v>49</v>
      </c>
      <c r="J5755" s="1668"/>
      <c r="K5755" s="1668"/>
      <c r="L5755" s="1669"/>
    </row>
    <row r="5756" spans="1:12" s="692" customFormat="1" ht="16.5" hidden="1">
      <c r="A5756" s="1665"/>
      <c r="B5756" s="1666"/>
      <c r="C5756" s="688"/>
      <c r="D5756" s="1667"/>
      <c r="E5756" s="1671">
        <v>3.5</v>
      </c>
      <c r="F5756" s="1671">
        <v>4</v>
      </c>
      <c r="G5756" s="1672">
        <v>2</v>
      </c>
      <c r="H5756" s="1671">
        <f t="shared" ref="H5756:H5760" si="1064">ROUND(D5756*E5756*F5756*G5756,2)</f>
        <v>0</v>
      </c>
      <c r="I5756" s="688" t="s">
        <v>49</v>
      </c>
      <c r="J5756" s="1668"/>
      <c r="K5756" s="1668"/>
      <c r="L5756" s="1669"/>
    </row>
    <row r="5757" spans="1:12" s="692" customFormat="1" ht="16.5" hidden="1">
      <c r="A5757" s="1665"/>
      <c r="B5757" s="1666"/>
      <c r="C5757" s="688"/>
      <c r="D5757" s="1667"/>
      <c r="E5757" s="1671">
        <v>3.5</v>
      </c>
      <c r="F5757" s="1671">
        <v>4</v>
      </c>
      <c r="G5757" s="1672">
        <v>2</v>
      </c>
      <c r="H5757" s="1671">
        <f t="shared" si="1064"/>
        <v>0</v>
      </c>
      <c r="I5757" s="688" t="s">
        <v>49</v>
      </c>
      <c r="J5757" s="1668"/>
      <c r="K5757" s="1668"/>
      <c r="L5757" s="1669"/>
    </row>
    <row r="5758" spans="1:12" s="692" customFormat="1" ht="16.5" hidden="1">
      <c r="A5758" s="1665"/>
      <c r="B5758" s="1666"/>
      <c r="C5758" s="688"/>
      <c r="D5758" s="1667"/>
      <c r="E5758" s="1671">
        <v>3.5</v>
      </c>
      <c r="F5758" s="1671">
        <v>4</v>
      </c>
      <c r="G5758" s="1672">
        <v>2</v>
      </c>
      <c r="H5758" s="1671">
        <f t="shared" si="1064"/>
        <v>0</v>
      </c>
      <c r="I5758" s="688" t="s">
        <v>49</v>
      </c>
      <c r="J5758" s="1668"/>
      <c r="K5758" s="1668"/>
      <c r="L5758" s="1669"/>
    </row>
    <row r="5759" spans="1:12" s="692" customFormat="1" ht="16.5" hidden="1">
      <c r="A5759" s="1665"/>
      <c r="B5759" s="1666"/>
      <c r="C5759" s="688"/>
      <c r="D5759" s="1667"/>
      <c r="E5759" s="1671">
        <v>3.5</v>
      </c>
      <c r="F5759" s="1671">
        <v>4</v>
      </c>
      <c r="G5759" s="1672">
        <v>2</v>
      </c>
      <c r="H5759" s="1671">
        <f t="shared" si="1064"/>
        <v>0</v>
      </c>
      <c r="I5759" s="688" t="s">
        <v>49</v>
      </c>
      <c r="J5759" s="1668"/>
      <c r="K5759" s="1668"/>
      <c r="L5759" s="1669"/>
    </row>
    <row r="5760" spans="1:12" s="692" customFormat="1" ht="16.5" hidden="1">
      <c r="A5760" s="1665"/>
      <c r="B5760" s="1666"/>
      <c r="C5760" s="688"/>
      <c r="D5760" s="1667"/>
      <c r="E5760" s="1671">
        <v>3.5</v>
      </c>
      <c r="F5760" s="1671">
        <v>4</v>
      </c>
      <c r="G5760" s="1672">
        <v>2</v>
      </c>
      <c r="H5760" s="1671">
        <f t="shared" si="1064"/>
        <v>0</v>
      </c>
      <c r="I5760" s="688" t="s">
        <v>49</v>
      </c>
      <c r="J5760" s="1668"/>
      <c r="K5760" s="1668"/>
      <c r="L5760" s="1669"/>
    </row>
    <row r="5761" spans="1:12" s="692" customFormat="1" ht="16.5" hidden="1">
      <c r="A5761" s="1665"/>
      <c r="B5761" s="1666"/>
      <c r="C5761" s="688"/>
      <c r="D5761" s="1667"/>
      <c r="E5761" s="688"/>
      <c r="F5761" s="688"/>
      <c r="G5761" s="1668" t="s">
        <v>928</v>
      </c>
      <c r="H5761" s="1673">
        <f>SUM(H5755:H5760)</f>
        <v>0</v>
      </c>
      <c r="I5761" s="677" t="s">
        <v>49</v>
      </c>
      <c r="J5761" s="1669" t="e">
        <f>'Lead &amp; ANALYSIS'!L1068</f>
        <v>#REF!</v>
      </c>
      <c r="K5761" s="1668" t="s">
        <v>1514</v>
      </c>
      <c r="L5761" s="1669" t="e">
        <f t="shared" ref="L5761" si="1065">ROUND(H5761*J5761,0)</f>
        <v>#REF!</v>
      </c>
    </row>
    <row r="5762" spans="1:12" s="692" customFormat="1" ht="49.5" hidden="1">
      <c r="A5762" s="1665">
        <f>'Lead &amp; ANALYSIS'!A1069</f>
        <v>169</v>
      </c>
      <c r="B5762" s="1666" t="str">
        <f>'Lead &amp; ANALYSIS'!B1069</f>
        <v>Turfing the slopes of embankment with compact turf grass as per approved drawing &amp; technical specifications etc complete.</v>
      </c>
      <c r="C5762" s="688"/>
      <c r="D5762" s="1667"/>
      <c r="E5762" s="688"/>
      <c r="F5762" s="688"/>
      <c r="G5762" s="1674"/>
      <c r="H5762" s="688"/>
      <c r="I5762" s="1668"/>
      <c r="J5762" s="1668"/>
      <c r="K5762" s="1668"/>
      <c r="L5762" s="1669"/>
    </row>
    <row r="5763" spans="1:12" s="692" customFormat="1" ht="16.5" hidden="1">
      <c r="A5763" s="1665"/>
      <c r="B5763" s="1666"/>
      <c r="C5763" s="688"/>
      <c r="D5763" s="1667"/>
      <c r="E5763" s="1671">
        <v>3.5</v>
      </c>
      <c r="F5763" s="1671">
        <v>4</v>
      </c>
      <c r="G5763" s="1674"/>
      <c r="H5763" s="1671">
        <f t="shared" ref="H5763:H5768" si="1066">ROUND(D5763*E5763*F5763,2)</f>
        <v>0</v>
      </c>
      <c r="I5763" s="688" t="s">
        <v>92</v>
      </c>
      <c r="J5763" s="1668"/>
      <c r="K5763" s="1668"/>
      <c r="L5763" s="1669"/>
    </row>
    <row r="5764" spans="1:12" s="692" customFormat="1" ht="16.5" hidden="1">
      <c r="A5764" s="1665"/>
      <c r="B5764" s="1666"/>
      <c r="C5764" s="688"/>
      <c r="D5764" s="1667"/>
      <c r="E5764" s="1671">
        <v>3.5</v>
      </c>
      <c r="F5764" s="1671">
        <v>4</v>
      </c>
      <c r="G5764" s="1674"/>
      <c r="H5764" s="1671">
        <f t="shared" si="1066"/>
        <v>0</v>
      </c>
      <c r="I5764" s="688" t="s">
        <v>92</v>
      </c>
      <c r="J5764" s="1668"/>
      <c r="K5764" s="1668"/>
      <c r="L5764" s="1669"/>
    </row>
    <row r="5765" spans="1:12" s="692" customFormat="1" ht="16.5" hidden="1">
      <c r="A5765" s="1665"/>
      <c r="B5765" s="1666"/>
      <c r="C5765" s="688"/>
      <c r="D5765" s="1667"/>
      <c r="E5765" s="1671">
        <v>3.5</v>
      </c>
      <c r="F5765" s="1671">
        <v>4</v>
      </c>
      <c r="G5765" s="1674"/>
      <c r="H5765" s="1671">
        <f t="shared" si="1066"/>
        <v>0</v>
      </c>
      <c r="I5765" s="688" t="s">
        <v>92</v>
      </c>
      <c r="J5765" s="1668"/>
      <c r="K5765" s="1668"/>
      <c r="L5765" s="1669"/>
    </row>
    <row r="5766" spans="1:12" s="692" customFormat="1" ht="16.5" hidden="1">
      <c r="A5766" s="1665"/>
      <c r="B5766" s="1666"/>
      <c r="C5766" s="688"/>
      <c r="D5766" s="1667"/>
      <c r="E5766" s="1671">
        <v>3.5</v>
      </c>
      <c r="F5766" s="1671">
        <v>4</v>
      </c>
      <c r="G5766" s="1674"/>
      <c r="H5766" s="1671">
        <f t="shared" si="1066"/>
        <v>0</v>
      </c>
      <c r="I5766" s="688" t="s">
        <v>92</v>
      </c>
      <c r="J5766" s="1668"/>
      <c r="K5766" s="1668"/>
      <c r="L5766" s="1669"/>
    </row>
    <row r="5767" spans="1:12" s="692" customFormat="1" ht="16.5" hidden="1">
      <c r="A5767" s="1665"/>
      <c r="B5767" s="1666"/>
      <c r="C5767" s="688"/>
      <c r="D5767" s="1667"/>
      <c r="E5767" s="1671">
        <v>3.5</v>
      </c>
      <c r="F5767" s="1671">
        <v>4</v>
      </c>
      <c r="G5767" s="1674"/>
      <c r="H5767" s="1671">
        <f t="shared" si="1066"/>
        <v>0</v>
      </c>
      <c r="I5767" s="688" t="s">
        <v>92</v>
      </c>
      <c r="J5767" s="1668"/>
      <c r="K5767" s="1668"/>
      <c r="L5767" s="1669"/>
    </row>
    <row r="5768" spans="1:12" s="692" customFormat="1" ht="16.5" hidden="1">
      <c r="A5768" s="1665"/>
      <c r="B5768" s="1666"/>
      <c r="C5768" s="688"/>
      <c r="D5768" s="1667"/>
      <c r="E5768" s="1671">
        <v>3.5</v>
      </c>
      <c r="F5768" s="1671">
        <v>4</v>
      </c>
      <c r="G5768" s="1674"/>
      <c r="H5768" s="1671">
        <f t="shared" si="1066"/>
        <v>0</v>
      </c>
      <c r="I5768" s="688" t="s">
        <v>92</v>
      </c>
      <c r="J5768" s="1668"/>
      <c r="K5768" s="1668"/>
      <c r="L5768" s="1669"/>
    </row>
    <row r="5769" spans="1:12" s="692" customFormat="1" ht="16.5" hidden="1">
      <c r="A5769" s="1665"/>
      <c r="B5769" s="1666"/>
      <c r="C5769" s="688"/>
      <c r="D5769" s="1667"/>
      <c r="E5769" s="688"/>
      <c r="F5769" s="688"/>
      <c r="G5769" s="1674" t="s">
        <v>928</v>
      </c>
      <c r="H5769" s="1671">
        <f>SUM(H5763:H5768)</f>
        <v>0</v>
      </c>
      <c r="I5769" s="1668" t="s">
        <v>92</v>
      </c>
      <c r="J5769" s="1669" t="e">
        <f>'Lead &amp; ANALYSIS'!L1069</f>
        <v>#REF!</v>
      </c>
      <c r="K5769" s="1668" t="s">
        <v>1514</v>
      </c>
      <c r="L5769" s="1669" t="e">
        <f t="shared" ref="L5769" si="1067">ROUND(H5769*J5769,0)</f>
        <v>#REF!</v>
      </c>
    </row>
    <row r="5770" spans="1:12" s="692" customFormat="1" ht="16.5" hidden="1">
      <c r="A5770" s="1665">
        <f>'Lead &amp; ANALYSIS'!A1070</f>
        <v>170</v>
      </c>
      <c r="B5770" s="1666" t="str">
        <f>'Lead &amp; ANALYSIS'!B1070</f>
        <v>Ordinary compaction by PRR per day 708 cum.</v>
      </c>
      <c r="C5770" s="688"/>
      <c r="D5770" s="1667"/>
      <c r="E5770" s="688"/>
      <c r="F5770" s="688"/>
      <c r="G5770" s="1674"/>
      <c r="H5770" s="688"/>
      <c r="I5770" s="1668"/>
      <c r="J5770" s="1668"/>
      <c r="K5770" s="1668"/>
      <c r="L5770" s="1669"/>
    </row>
    <row r="5771" spans="1:12" s="692" customFormat="1" ht="16.5" hidden="1">
      <c r="A5771" s="1665"/>
      <c r="B5771" s="1666"/>
      <c r="C5771" s="688"/>
      <c r="D5771" s="1667"/>
      <c r="E5771" s="1671">
        <v>3.5</v>
      </c>
      <c r="F5771" s="1671">
        <v>4</v>
      </c>
      <c r="G5771" s="1672">
        <v>2</v>
      </c>
      <c r="H5771" s="1671">
        <f>ROUND(D5771*E5771*F5771*G5771,2)</f>
        <v>0</v>
      </c>
      <c r="I5771" s="688" t="s">
        <v>49</v>
      </c>
      <c r="J5771" s="1668"/>
      <c r="K5771" s="1668"/>
      <c r="L5771" s="1669"/>
    </row>
    <row r="5772" spans="1:12" s="692" customFormat="1" ht="16.5" hidden="1">
      <c r="A5772" s="1665"/>
      <c r="B5772" s="1666"/>
      <c r="C5772" s="688"/>
      <c r="D5772" s="1667"/>
      <c r="E5772" s="1671">
        <v>3.5</v>
      </c>
      <c r="F5772" s="1671">
        <v>4</v>
      </c>
      <c r="G5772" s="1672">
        <v>2</v>
      </c>
      <c r="H5772" s="1671">
        <f t="shared" ref="H5772:H5776" si="1068">ROUND(D5772*E5772*F5772*G5772,2)</f>
        <v>0</v>
      </c>
      <c r="I5772" s="688" t="s">
        <v>49</v>
      </c>
      <c r="J5772" s="1668"/>
      <c r="K5772" s="1668"/>
      <c r="L5772" s="1669"/>
    </row>
    <row r="5773" spans="1:12" s="692" customFormat="1" ht="16.5" hidden="1">
      <c r="A5773" s="1665"/>
      <c r="B5773" s="1666"/>
      <c r="C5773" s="688"/>
      <c r="D5773" s="1667"/>
      <c r="E5773" s="1671">
        <v>3.5</v>
      </c>
      <c r="F5773" s="1671">
        <v>4</v>
      </c>
      <c r="G5773" s="1672">
        <v>2</v>
      </c>
      <c r="H5773" s="1671">
        <f t="shared" si="1068"/>
        <v>0</v>
      </c>
      <c r="I5773" s="688" t="s">
        <v>49</v>
      </c>
      <c r="J5773" s="1668"/>
      <c r="K5773" s="1668"/>
      <c r="L5773" s="1669"/>
    </row>
    <row r="5774" spans="1:12" s="692" customFormat="1" ht="16.5" hidden="1">
      <c r="A5774" s="1665"/>
      <c r="B5774" s="1666"/>
      <c r="C5774" s="688"/>
      <c r="D5774" s="1667"/>
      <c r="E5774" s="1671">
        <v>3.5</v>
      </c>
      <c r="F5774" s="1671">
        <v>4</v>
      </c>
      <c r="G5774" s="1672">
        <v>2</v>
      </c>
      <c r="H5774" s="1671">
        <f t="shared" si="1068"/>
        <v>0</v>
      </c>
      <c r="I5774" s="688" t="s">
        <v>49</v>
      </c>
      <c r="J5774" s="1668"/>
      <c r="K5774" s="1668"/>
      <c r="L5774" s="1669"/>
    </row>
    <row r="5775" spans="1:12" s="692" customFormat="1" ht="16.5" hidden="1">
      <c r="A5775" s="1665"/>
      <c r="B5775" s="1666"/>
      <c r="C5775" s="688"/>
      <c r="D5775" s="1667"/>
      <c r="E5775" s="1671">
        <v>3.5</v>
      </c>
      <c r="F5775" s="1671">
        <v>4</v>
      </c>
      <c r="G5775" s="1672">
        <v>2</v>
      </c>
      <c r="H5775" s="1671">
        <f t="shared" si="1068"/>
        <v>0</v>
      </c>
      <c r="I5775" s="688" t="s">
        <v>49</v>
      </c>
      <c r="J5775" s="1668"/>
      <c r="K5775" s="1668"/>
      <c r="L5775" s="1669"/>
    </row>
    <row r="5776" spans="1:12" s="692" customFormat="1" ht="16.5" hidden="1">
      <c r="A5776" s="1665"/>
      <c r="B5776" s="1666"/>
      <c r="C5776" s="688"/>
      <c r="D5776" s="1667"/>
      <c r="E5776" s="1671">
        <v>3.5</v>
      </c>
      <c r="F5776" s="1671">
        <v>4</v>
      </c>
      <c r="G5776" s="1672">
        <v>2</v>
      </c>
      <c r="H5776" s="1671">
        <f t="shared" si="1068"/>
        <v>0</v>
      </c>
      <c r="I5776" s="688" t="s">
        <v>49</v>
      </c>
      <c r="J5776" s="1668"/>
      <c r="K5776" s="1668"/>
      <c r="L5776" s="1669"/>
    </row>
    <row r="5777" spans="1:12" s="692" customFormat="1" ht="16.5" hidden="1">
      <c r="A5777" s="1665"/>
      <c r="B5777" s="1666"/>
      <c r="C5777" s="688"/>
      <c r="D5777" s="1667"/>
      <c r="E5777" s="688"/>
      <c r="F5777" s="688"/>
      <c r="G5777" s="1668" t="s">
        <v>928</v>
      </c>
      <c r="H5777" s="1673">
        <f>SUM(H5771:H5776)</f>
        <v>0</v>
      </c>
      <c r="I5777" s="677" t="s">
        <v>49</v>
      </c>
      <c r="J5777" s="1669" t="e">
        <f>'Lead &amp; ANALYSIS'!L1070</f>
        <v>#REF!</v>
      </c>
      <c r="K5777" s="1668" t="s">
        <v>1514</v>
      </c>
      <c r="L5777" s="1669" t="e">
        <f t="shared" ref="L5777" si="1069">ROUND(H5777*J5777,0)</f>
        <v>#REF!</v>
      </c>
    </row>
    <row r="5778" spans="1:12" s="692" customFormat="1" ht="66" hidden="1">
      <c r="A5778" s="1665">
        <f>'Lead &amp; ANALYSIS'!A1071</f>
        <v>171</v>
      </c>
      <c r="B5778" s="1666" t="str">
        <f>'Lead &amp; ANALYSIS'!B1071</f>
        <v>Compacting and watering upto OMC rolling earth work with PRR in embankment in layers not exceeding 0.23m by PRR including hire and running charges of the roller.</v>
      </c>
      <c r="C5778" s="688"/>
      <c r="D5778" s="1667"/>
      <c r="E5778" s="688"/>
      <c r="F5778" s="688"/>
      <c r="G5778" s="1674"/>
      <c r="H5778" s="688"/>
      <c r="I5778" s="1668"/>
      <c r="J5778" s="1668"/>
      <c r="K5778" s="1668"/>
      <c r="L5778" s="1669"/>
    </row>
    <row r="5779" spans="1:12" s="692" customFormat="1" ht="16.5" hidden="1">
      <c r="A5779" s="1665" t="str">
        <f>'Lead &amp; ANALYSIS'!A1072</f>
        <v>a.</v>
      </c>
      <c r="B5779" s="1666" t="e">
        <f>'Lead &amp; ANALYSIS'!B1072</f>
        <v>#REF!</v>
      </c>
      <c r="C5779" s="688"/>
      <c r="D5779" s="1667"/>
      <c r="E5779" s="688"/>
      <c r="F5779" s="688"/>
      <c r="G5779" s="1674"/>
      <c r="H5779" s="688"/>
      <c r="I5779" s="1668"/>
      <c r="J5779" s="1668"/>
      <c r="K5779" s="1668"/>
      <c r="L5779" s="1669"/>
    </row>
    <row r="5780" spans="1:12" s="692" customFormat="1" ht="16.5" hidden="1">
      <c r="A5780" s="1665"/>
      <c r="B5780" s="1666"/>
      <c r="C5780" s="688"/>
      <c r="D5780" s="1667"/>
      <c r="E5780" s="1671">
        <v>3.5</v>
      </c>
      <c r="F5780" s="1671">
        <v>4</v>
      </c>
      <c r="G5780" s="1672">
        <v>2</v>
      </c>
      <c r="H5780" s="1671">
        <f>ROUND(D5780*E5780*F5780*G5780,2)</f>
        <v>0</v>
      </c>
      <c r="I5780" s="688" t="s">
        <v>49</v>
      </c>
      <c r="J5780" s="1668"/>
      <c r="K5780" s="1668"/>
      <c r="L5780" s="1669"/>
    </row>
    <row r="5781" spans="1:12" s="692" customFormat="1" ht="16.5" hidden="1">
      <c r="A5781" s="1665"/>
      <c r="B5781" s="1666"/>
      <c r="C5781" s="688"/>
      <c r="D5781" s="1667"/>
      <c r="E5781" s="1671">
        <v>3.5</v>
      </c>
      <c r="F5781" s="1671">
        <v>4</v>
      </c>
      <c r="G5781" s="1672">
        <v>2</v>
      </c>
      <c r="H5781" s="1671">
        <f t="shared" ref="H5781:H5785" si="1070">ROUND(D5781*E5781*F5781*G5781,2)</f>
        <v>0</v>
      </c>
      <c r="I5781" s="688" t="s">
        <v>49</v>
      </c>
      <c r="J5781" s="1668"/>
      <c r="K5781" s="1668"/>
      <c r="L5781" s="1669"/>
    </row>
    <row r="5782" spans="1:12" s="692" customFormat="1" ht="16.5" hidden="1">
      <c r="A5782" s="1665"/>
      <c r="B5782" s="1666"/>
      <c r="C5782" s="688"/>
      <c r="D5782" s="1667"/>
      <c r="E5782" s="1671">
        <v>3.5</v>
      </c>
      <c r="F5782" s="1671">
        <v>4</v>
      </c>
      <c r="G5782" s="1672">
        <v>2</v>
      </c>
      <c r="H5782" s="1671">
        <f t="shared" si="1070"/>
        <v>0</v>
      </c>
      <c r="I5782" s="688" t="s">
        <v>49</v>
      </c>
      <c r="J5782" s="1668"/>
      <c r="K5782" s="1668"/>
      <c r="L5782" s="1669"/>
    </row>
    <row r="5783" spans="1:12" s="692" customFormat="1" ht="16.5" hidden="1">
      <c r="A5783" s="1665"/>
      <c r="B5783" s="1666"/>
      <c r="C5783" s="688"/>
      <c r="D5783" s="1667"/>
      <c r="E5783" s="1671">
        <v>3.5</v>
      </c>
      <c r="F5783" s="1671">
        <v>4</v>
      </c>
      <c r="G5783" s="1672">
        <v>2</v>
      </c>
      <c r="H5783" s="1671">
        <f t="shared" si="1070"/>
        <v>0</v>
      </c>
      <c r="I5783" s="688" t="s">
        <v>49</v>
      </c>
      <c r="J5783" s="1668"/>
      <c r="K5783" s="1668"/>
      <c r="L5783" s="1669"/>
    </row>
    <row r="5784" spans="1:12" s="692" customFormat="1" ht="16.5" hidden="1">
      <c r="A5784" s="1665"/>
      <c r="B5784" s="1666"/>
      <c r="C5784" s="688"/>
      <c r="D5784" s="1667"/>
      <c r="E5784" s="1671">
        <v>3.5</v>
      </c>
      <c r="F5784" s="1671">
        <v>4</v>
      </c>
      <c r="G5784" s="1672">
        <v>2</v>
      </c>
      <c r="H5784" s="1671">
        <f t="shared" si="1070"/>
        <v>0</v>
      </c>
      <c r="I5784" s="688" t="s">
        <v>49</v>
      </c>
      <c r="J5784" s="1668"/>
      <c r="K5784" s="1668"/>
      <c r="L5784" s="1669"/>
    </row>
    <row r="5785" spans="1:12" s="692" customFormat="1" ht="16.5" hidden="1">
      <c r="A5785" s="1665"/>
      <c r="B5785" s="1666"/>
      <c r="C5785" s="688"/>
      <c r="D5785" s="1667"/>
      <c r="E5785" s="1671">
        <v>3.5</v>
      </c>
      <c r="F5785" s="1671">
        <v>4</v>
      </c>
      <c r="G5785" s="1672">
        <v>2</v>
      </c>
      <c r="H5785" s="1671">
        <f t="shared" si="1070"/>
        <v>0</v>
      </c>
      <c r="I5785" s="688" t="s">
        <v>49</v>
      </c>
      <c r="J5785" s="1668"/>
      <c r="K5785" s="1668"/>
      <c r="L5785" s="1669"/>
    </row>
    <row r="5786" spans="1:12" s="692" customFormat="1" ht="16.5" hidden="1">
      <c r="A5786" s="1665"/>
      <c r="B5786" s="1666"/>
      <c r="C5786" s="688"/>
      <c r="D5786" s="1667"/>
      <c r="E5786" s="688"/>
      <c r="F5786" s="688"/>
      <c r="G5786" s="1668" t="s">
        <v>928</v>
      </c>
      <c r="H5786" s="1673">
        <f>SUM(H5780:H5785)</f>
        <v>0</v>
      </c>
      <c r="I5786" s="677" t="s">
        <v>49</v>
      </c>
      <c r="J5786" s="1669" t="e">
        <f>'Lead &amp; ANALYSIS'!L1072</f>
        <v>#REF!</v>
      </c>
      <c r="K5786" s="1668" t="s">
        <v>1514</v>
      </c>
      <c r="L5786" s="1669" t="e">
        <f t="shared" ref="L5786" si="1071">ROUND(H5786*J5786,0)</f>
        <v>#REF!</v>
      </c>
    </row>
    <row r="5787" spans="1:12" s="692" customFormat="1" ht="16.5" hidden="1">
      <c r="A5787" s="1665" t="str">
        <f>'Lead &amp; ANALYSIS'!A1073</f>
        <v>b.</v>
      </c>
      <c r="B5787" s="1666" t="e">
        <f>'Lead &amp; ANALYSIS'!B1073</f>
        <v>#REF!</v>
      </c>
      <c r="C5787" s="688"/>
      <c r="D5787" s="1667"/>
      <c r="E5787" s="688"/>
      <c r="F5787" s="688"/>
      <c r="G5787" s="1674"/>
      <c r="H5787" s="688"/>
      <c r="I5787" s="1668"/>
      <c r="J5787" s="1668"/>
      <c r="K5787" s="1668"/>
      <c r="L5787" s="1669"/>
    </row>
    <row r="5788" spans="1:12" s="692" customFormat="1" ht="16.5" hidden="1">
      <c r="A5788" s="1665"/>
      <c r="B5788" s="1666"/>
      <c r="C5788" s="688"/>
      <c r="D5788" s="1667"/>
      <c r="E5788" s="1671">
        <v>3.5</v>
      </c>
      <c r="F5788" s="1671">
        <v>4</v>
      </c>
      <c r="G5788" s="1674"/>
      <c r="H5788" s="1671">
        <f t="shared" ref="H5788:H5793" si="1072">ROUND(D5788*E5788*F5788,2)</f>
        <v>0</v>
      </c>
      <c r="I5788" s="688" t="s">
        <v>92</v>
      </c>
      <c r="J5788" s="1668"/>
      <c r="K5788" s="1668"/>
      <c r="L5788" s="1669"/>
    </row>
    <row r="5789" spans="1:12" s="692" customFormat="1" ht="16.5" hidden="1">
      <c r="A5789" s="1665"/>
      <c r="B5789" s="1666"/>
      <c r="C5789" s="688"/>
      <c r="D5789" s="1667"/>
      <c r="E5789" s="1671">
        <v>3.5</v>
      </c>
      <c r="F5789" s="1671">
        <v>4</v>
      </c>
      <c r="G5789" s="1674"/>
      <c r="H5789" s="1671">
        <f t="shared" si="1072"/>
        <v>0</v>
      </c>
      <c r="I5789" s="688" t="s">
        <v>92</v>
      </c>
      <c r="J5789" s="1668"/>
      <c r="K5789" s="1668"/>
      <c r="L5789" s="1669"/>
    </row>
    <row r="5790" spans="1:12" s="692" customFormat="1" ht="16.5" hidden="1">
      <c r="A5790" s="1665"/>
      <c r="B5790" s="1666"/>
      <c r="C5790" s="688"/>
      <c r="D5790" s="1667"/>
      <c r="E5790" s="1671">
        <v>3.5</v>
      </c>
      <c r="F5790" s="1671">
        <v>4</v>
      </c>
      <c r="G5790" s="1674"/>
      <c r="H5790" s="1671">
        <f t="shared" si="1072"/>
        <v>0</v>
      </c>
      <c r="I5790" s="688" t="s">
        <v>92</v>
      </c>
      <c r="J5790" s="1668"/>
      <c r="K5790" s="1668"/>
      <c r="L5790" s="1669"/>
    </row>
    <row r="5791" spans="1:12" s="692" customFormat="1" ht="16.5" hidden="1">
      <c r="A5791" s="1665"/>
      <c r="B5791" s="1666"/>
      <c r="C5791" s="688"/>
      <c r="D5791" s="1667"/>
      <c r="E5791" s="1671">
        <v>3.5</v>
      </c>
      <c r="F5791" s="1671">
        <v>4</v>
      </c>
      <c r="G5791" s="1674"/>
      <c r="H5791" s="1671">
        <f t="shared" si="1072"/>
        <v>0</v>
      </c>
      <c r="I5791" s="688" t="s">
        <v>92</v>
      </c>
      <c r="J5791" s="1668"/>
      <c r="K5791" s="1668"/>
      <c r="L5791" s="1669"/>
    </row>
    <row r="5792" spans="1:12" s="692" customFormat="1" ht="16.5" hidden="1">
      <c r="A5792" s="1665"/>
      <c r="B5792" s="1666"/>
      <c r="C5792" s="688"/>
      <c r="D5792" s="1667"/>
      <c r="E5792" s="1671">
        <v>3.5</v>
      </c>
      <c r="F5792" s="1671">
        <v>4</v>
      </c>
      <c r="G5792" s="1674"/>
      <c r="H5792" s="1671">
        <f t="shared" si="1072"/>
        <v>0</v>
      </c>
      <c r="I5792" s="688" t="s">
        <v>92</v>
      </c>
      <c r="J5792" s="1668"/>
      <c r="K5792" s="1668"/>
      <c r="L5792" s="1669"/>
    </row>
    <row r="5793" spans="1:12" s="692" customFormat="1" ht="16.5" hidden="1">
      <c r="A5793" s="1665"/>
      <c r="B5793" s="1666"/>
      <c r="C5793" s="688"/>
      <c r="D5793" s="1667"/>
      <c r="E5793" s="1671">
        <v>3.5</v>
      </c>
      <c r="F5793" s="1671">
        <v>4</v>
      </c>
      <c r="G5793" s="1674"/>
      <c r="H5793" s="1671">
        <f t="shared" si="1072"/>
        <v>0</v>
      </c>
      <c r="I5793" s="688" t="s">
        <v>92</v>
      </c>
      <c r="J5793" s="1668"/>
      <c r="K5793" s="1668"/>
      <c r="L5793" s="1669"/>
    </row>
    <row r="5794" spans="1:12" s="692" customFormat="1" ht="16.5" hidden="1">
      <c r="A5794" s="1665"/>
      <c r="B5794" s="1666"/>
      <c r="C5794" s="688"/>
      <c r="D5794" s="1667"/>
      <c r="E5794" s="688"/>
      <c r="F5794" s="688"/>
      <c r="G5794" s="1674" t="s">
        <v>928</v>
      </c>
      <c r="H5794" s="1671">
        <f>SUM(H5788:H5793)</f>
        <v>0</v>
      </c>
      <c r="I5794" s="1668" t="s">
        <v>92</v>
      </c>
      <c r="J5794" s="1669" t="e">
        <f>'Lead &amp; ANALYSIS'!L1073</f>
        <v>#REF!</v>
      </c>
      <c r="K5794" s="1668" t="s">
        <v>1514</v>
      </c>
      <c r="L5794" s="1669" t="e">
        <f t="shared" ref="L5794" si="1073">ROUND(H5794*J5794,0)</f>
        <v>#REF!</v>
      </c>
    </row>
    <row r="5795" spans="1:12" s="692" customFormat="1" ht="16.5" hidden="1">
      <c r="A5795" s="1665" t="str">
        <f>'Lead &amp; ANALYSIS'!A1074</f>
        <v>c.</v>
      </c>
      <c r="B5795" s="1666" t="e">
        <f>'Lead &amp; ANALYSIS'!B1074</f>
        <v>#REF!</v>
      </c>
      <c r="C5795" s="688"/>
      <c r="D5795" s="1667"/>
      <c r="E5795" s="688"/>
      <c r="F5795" s="688"/>
      <c r="G5795" s="1674"/>
      <c r="H5795" s="688"/>
      <c r="I5795" s="1668"/>
      <c r="J5795" s="1668"/>
      <c r="K5795" s="1668"/>
      <c r="L5795" s="1669"/>
    </row>
    <row r="5796" spans="1:12" s="692" customFormat="1" ht="16.5" hidden="1">
      <c r="A5796" s="1665"/>
      <c r="B5796" s="1666"/>
      <c r="C5796" s="688"/>
      <c r="D5796" s="1667"/>
      <c r="E5796" s="1671">
        <v>3.5</v>
      </c>
      <c r="F5796" s="1671">
        <v>4</v>
      </c>
      <c r="G5796" s="1674"/>
      <c r="H5796" s="1671">
        <f t="shared" ref="H5796:H5801" si="1074">ROUND(D5796*E5796*F5796,2)</f>
        <v>0</v>
      </c>
      <c r="I5796" s="688" t="s">
        <v>92</v>
      </c>
      <c r="J5796" s="1668"/>
      <c r="K5796" s="1668"/>
      <c r="L5796" s="1669"/>
    </row>
    <row r="5797" spans="1:12" s="692" customFormat="1" ht="16.5" hidden="1">
      <c r="A5797" s="1665"/>
      <c r="B5797" s="1666"/>
      <c r="C5797" s="688"/>
      <c r="D5797" s="1667"/>
      <c r="E5797" s="1671">
        <v>3.5</v>
      </c>
      <c r="F5797" s="1671">
        <v>4</v>
      </c>
      <c r="G5797" s="1674"/>
      <c r="H5797" s="1671">
        <f t="shared" si="1074"/>
        <v>0</v>
      </c>
      <c r="I5797" s="688" t="s">
        <v>92</v>
      </c>
      <c r="J5797" s="1668"/>
      <c r="K5797" s="1668"/>
      <c r="L5797" s="1669"/>
    </row>
    <row r="5798" spans="1:12" s="692" customFormat="1" ht="16.5" hidden="1">
      <c r="A5798" s="1665"/>
      <c r="B5798" s="1666"/>
      <c r="C5798" s="688"/>
      <c r="D5798" s="1667"/>
      <c r="E5798" s="1671">
        <v>3.5</v>
      </c>
      <c r="F5798" s="1671">
        <v>4</v>
      </c>
      <c r="G5798" s="1674"/>
      <c r="H5798" s="1671">
        <f t="shared" si="1074"/>
        <v>0</v>
      </c>
      <c r="I5798" s="688" t="s">
        <v>92</v>
      </c>
      <c r="J5798" s="1668"/>
      <c r="K5798" s="1668"/>
      <c r="L5798" s="1669"/>
    </row>
    <row r="5799" spans="1:12" s="692" customFormat="1" ht="16.5" hidden="1">
      <c r="A5799" s="1665"/>
      <c r="B5799" s="1666"/>
      <c r="C5799" s="688"/>
      <c r="D5799" s="1667"/>
      <c r="E5799" s="1671">
        <v>3.5</v>
      </c>
      <c r="F5799" s="1671">
        <v>4</v>
      </c>
      <c r="G5799" s="1674"/>
      <c r="H5799" s="1671">
        <f t="shared" si="1074"/>
        <v>0</v>
      </c>
      <c r="I5799" s="688" t="s">
        <v>92</v>
      </c>
      <c r="J5799" s="1668"/>
      <c r="K5799" s="1668"/>
      <c r="L5799" s="1669"/>
    </row>
    <row r="5800" spans="1:12" s="692" customFormat="1" ht="16.5" hidden="1">
      <c r="A5800" s="1665"/>
      <c r="B5800" s="1666"/>
      <c r="C5800" s="688"/>
      <c r="D5800" s="1667"/>
      <c r="E5800" s="1671">
        <v>3.5</v>
      </c>
      <c r="F5800" s="1671">
        <v>4</v>
      </c>
      <c r="G5800" s="1674"/>
      <c r="H5800" s="1671">
        <f t="shared" si="1074"/>
        <v>0</v>
      </c>
      <c r="I5800" s="688" t="s">
        <v>92</v>
      </c>
      <c r="J5800" s="1668"/>
      <c r="K5800" s="1668"/>
      <c r="L5800" s="1669"/>
    </row>
    <row r="5801" spans="1:12" s="692" customFormat="1" ht="16.5" hidden="1">
      <c r="A5801" s="1665"/>
      <c r="B5801" s="1666"/>
      <c r="C5801" s="688"/>
      <c r="D5801" s="1667"/>
      <c r="E5801" s="1671">
        <v>3.5</v>
      </c>
      <c r="F5801" s="1671">
        <v>4</v>
      </c>
      <c r="G5801" s="1674"/>
      <c r="H5801" s="1671">
        <f t="shared" si="1074"/>
        <v>0</v>
      </c>
      <c r="I5801" s="688" t="s">
        <v>92</v>
      </c>
      <c r="J5801" s="1668"/>
      <c r="K5801" s="1668"/>
      <c r="L5801" s="1669"/>
    </row>
    <row r="5802" spans="1:12" s="692" customFormat="1" ht="16.5" hidden="1">
      <c r="A5802" s="1665"/>
      <c r="B5802" s="1666"/>
      <c r="C5802" s="688"/>
      <c r="D5802" s="1667"/>
      <c r="E5802" s="688"/>
      <c r="F5802" s="688"/>
      <c r="G5802" s="1674" t="s">
        <v>928</v>
      </c>
      <c r="H5802" s="1671">
        <f>SUM(H5796:H5801)</f>
        <v>0</v>
      </c>
      <c r="I5802" s="1668" t="s">
        <v>92</v>
      </c>
      <c r="J5802" s="1669" t="e">
        <f>'Lead &amp; ANALYSIS'!L1074</f>
        <v>#REF!</v>
      </c>
      <c r="K5802" s="1668" t="s">
        <v>1514</v>
      </c>
      <c r="L5802" s="1669" t="e">
        <f t="shared" ref="L5802" si="1075">ROUND(H5802*J5802,0)</f>
        <v>#REF!</v>
      </c>
    </row>
    <row r="5803" spans="1:12" s="692" customFormat="1" ht="49.5" hidden="1">
      <c r="A5803" s="1665">
        <f>'Lead &amp; ANALYSIS'!A1075</f>
        <v>172</v>
      </c>
      <c r="B5803" s="1666" t="str">
        <f>'Lead &amp; ANALYSIS'!B1075</f>
        <v>Sectioning and cambering earth work in road formation to proper specification approved by the department.</v>
      </c>
      <c r="C5803" s="688"/>
      <c r="D5803" s="1667"/>
      <c r="E5803" s="688"/>
      <c r="F5803" s="688"/>
      <c r="G5803" s="1674"/>
      <c r="H5803" s="688"/>
      <c r="I5803" s="1668"/>
      <c r="J5803" s="1668"/>
      <c r="K5803" s="1668"/>
      <c r="L5803" s="1669"/>
    </row>
    <row r="5804" spans="1:12" s="692" customFormat="1" ht="16.5" hidden="1">
      <c r="A5804" s="1665"/>
      <c r="B5804" s="1666"/>
      <c r="C5804" s="688"/>
      <c r="D5804" s="1667"/>
      <c r="E5804" s="1671">
        <v>3.5</v>
      </c>
      <c r="F5804" s="1671">
        <v>4</v>
      </c>
      <c r="G5804" s="1674"/>
      <c r="H5804" s="1671">
        <f t="shared" ref="H5804:H5809" si="1076">ROUND(D5804*E5804*F5804,2)</f>
        <v>0</v>
      </c>
      <c r="I5804" s="688" t="s">
        <v>92</v>
      </c>
      <c r="J5804" s="1668"/>
      <c r="K5804" s="1668"/>
      <c r="L5804" s="1669"/>
    </row>
    <row r="5805" spans="1:12" s="692" customFormat="1" ht="16.5" hidden="1">
      <c r="A5805" s="1665"/>
      <c r="B5805" s="1666"/>
      <c r="C5805" s="688"/>
      <c r="D5805" s="1667"/>
      <c r="E5805" s="1671">
        <v>3.5</v>
      </c>
      <c r="F5805" s="1671">
        <v>4</v>
      </c>
      <c r="G5805" s="1674"/>
      <c r="H5805" s="1671">
        <f t="shared" si="1076"/>
        <v>0</v>
      </c>
      <c r="I5805" s="688" t="s">
        <v>92</v>
      </c>
      <c r="J5805" s="1668"/>
      <c r="K5805" s="1668"/>
      <c r="L5805" s="1669"/>
    </row>
    <row r="5806" spans="1:12" s="692" customFormat="1" ht="16.5" hidden="1">
      <c r="A5806" s="1665"/>
      <c r="B5806" s="1666"/>
      <c r="C5806" s="688"/>
      <c r="D5806" s="1667"/>
      <c r="E5806" s="1671">
        <v>3.5</v>
      </c>
      <c r="F5806" s="1671">
        <v>4</v>
      </c>
      <c r="G5806" s="1674"/>
      <c r="H5806" s="1671">
        <f t="shared" si="1076"/>
        <v>0</v>
      </c>
      <c r="I5806" s="688" t="s">
        <v>92</v>
      </c>
      <c r="J5806" s="1668"/>
      <c r="K5806" s="1668"/>
      <c r="L5806" s="1669"/>
    </row>
    <row r="5807" spans="1:12" s="692" customFormat="1" ht="16.5" hidden="1">
      <c r="A5807" s="1665"/>
      <c r="B5807" s="1666"/>
      <c r="C5807" s="688"/>
      <c r="D5807" s="1667"/>
      <c r="E5807" s="1671">
        <v>3.5</v>
      </c>
      <c r="F5807" s="1671">
        <v>4</v>
      </c>
      <c r="G5807" s="1674"/>
      <c r="H5807" s="1671">
        <f t="shared" si="1076"/>
        <v>0</v>
      </c>
      <c r="I5807" s="688" t="s">
        <v>92</v>
      </c>
      <c r="J5807" s="1668"/>
      <c r="K5807" s="1668"/>
      <c r="L5807" s="1669"/>
    </row>
    <row r="5808" spans="1:12" s="692" customFormat="1" ht="16.5" hidden="1">
      <c r="A5808" s="1665"/>
      <c r="B5808" s="1666"/>
      <c r="C5808" s="688"/>
      <c r="D5808" s="1667"/>
      <c r="E5808" s="1671">
        <v>3.5</v>
      </c>
      <c r="F5808" s="1671">
        <v>4</v>
      </c>
      <c r="G5808" s="1674"/>
      <c r="H5808" s="1671">
        <f t="shared" si="1076"/>
        <v>0</v>
      </c>
      <c r="I5808" s="688" t="s">
        <v>92</v>
      </c>
      <c r="J5808" s="1668"/>
      <c r="K5808" s="1668"/>
      <c r="L5808" s="1669"/>
    </row>
    <row r="5809" spans="1:12" s="692" customFormat="1" ht="16.5" hidden="1">
      <c r="A5809" s="1665"/>
      <c r="B5809" s="1666"/>
      <c r="C5809" s="688"/>
      <c r="D5809" s="1667"/>
      <c r="E5809" s="1671">
        <v>3.5</v>
      </c>
      <c r="F5809" s="1671">
        <v>4</v>
      </c>
      <c r="G5809" s="1674"/>
      <c r="H5809" s="1671">
        <f t="shared" si="1076"/>
        <v>0</v>
      </c>
      <c r="I5809" s="688" t="s">
        <v>92</v>
      </c>
      <c r="J5809" s="1668"/>
      <c r="K5809" s="1668"/>
      <c r="L5809" s="1669"/>
    </row>
    <row r="5810" spans="1:12" s="692" customFormat="1" ht="16.5" hidden="1">
      <c r="A5810" s="1665"/>
      <c r="B5810" s="1666"/>
      <c r="C5810" s="688"/>
      <c r="D5810" s="1667"/>
      <c r="E5810" s="688"/>
      <c r="F5810" s="688"/>
      <c r="G5810" s="1674" t="s">
        <v>928</v>
      </c>
      <c r="H5810" s="1671">
        <f>SUM(H5804:H5809)</f>
        <v>0</v>
      </c>
      <c r="I5810" s="1668" t="s">
        <v>92</v>
      </c>
      <c r="J5810" s="1669" t="e">
        <f>'Lead &amp; ANALYSIS'!L1075</f>
        <v>#REF!</v>
      </c>
      <c r="K5810" s="1668" t="s">
        <v>1514</v>
      </c>
      <c r="L5810" s="1669" t="e">
        <f t="shared" ref="L5810" si="1077">ROUND(H5810*J5810,0)</f>
        <v>#REF!</v>
      </c>
    </row>
    <row r="5811" spans="1:12" s="692" customFormat="1" ht="33" hidden="1">
      <c r="A5811" s="1665">
        <f>'Lead &amp; ANALYSIS'!A1076</f>
        <v>173</v>
      </c>
      <c r="B5811" s="1666" t="str">
        <f>'Lead &amp; ANALYSIS'!B1076</f>
        <v>Ramming or rolling earth work with light HRR in embankment in layers not exceeding 0.30m</v>
      </c>
      <c r="C5811" s="688"/>
      <c r="D5811" s="1667"/>
      <c r="E5811" s="688"/>
      <c r="F5811" s="688"/>
      <c r="G5811" s="1674"/>
      <c r="H5811" s="688"/>
      <c r="I5811" s="1668"/>
      <c r="J5811" s="1668"/>
      <c r="K5811" s="1668"/>
      <c r="L5811" s="1669"/>
    </row>
    <row r="5812" spans="1:12" s="692" customFormat="1" ht="16.5" hidden="1">
      <c r="A5812" s="1665"/>
      <c r="B5812" s="1666"/>
      <c r="C5812" s="688"/>
      <c r="D5812" s="1667"/>
      <c r="E5812" s="1671">
        <v>3.5</v>
      </c>
      <c r="F5812" s="1671">
        <v>4</v>
      </c>
      <c r="G5812" s="1674"/>
      <c r="H5812" s="1671">
        <f t="shared" ref="H5812:H5817" si="1078">ROUND(D5812*E5812*F5812,2)</f>
        <v>0</v>
      </c>
      <c r="I5812" s="688" t="s">
        <v>92</v>
      </c>
      <c r="J5812" s="1668"/>
      <c r="K5812" s="1668"/>
      <c r="L5812" s="1669"/>
    </row>
    <row r="5813" spans="1:12" s="692" customFormat="1" ht="16.5" hidden="1">
      <c r="A5813" s="1665"/>
      <c r="B5813" s="1666"/>
      <c r="C5813" s="688"/>
      <c r="D5813" s="1667"/>
      <c r="E5813" s="1671">
        <v>3.5</v>
      </c>
      <c r="F5813" s="1671">
        <v>4</v>
      </c>
      <c r="G5813" s="1674"/>
      <c r="H5813" s="1671">
        <f t="shared" si="1078"/>
        <v>0</v>
      </c>
      <c r="I5813" s="688" t="s">
        <v>92</v>
      </c>
      <c r="J5813" s="1668"/>
      <c r="K5813" s="1668"/>
      <c r="L5813" s="1669"/>
    </row>
    <row r="5814" spans="1:12" s="692" customFormat="1" ht="16.5" hidden="1">
      <c r="A5814" s="1665"/>
      <c r="B5814" s="1666"/>
      <c r="C5814" s="688"/>
      <c r="D5814" s="1667"/>
      <c r="E5814" s="1671">
        <v>3.5</v>
      </c>
      <c r="F5814" s="1671">
        <v>4</v>
      </c>
      <c r="G5814" s="1674"/>
      <c r="H5814" s="1671">
        <f t="shared" si="1078"/>
        <v>0</v>
      </c>
      <c r="I5814" s="688" t="s">
        <v>92</v>
      </c>
      <c r="J5814" s="1668"/>
      <c r="K5814" s="1668"/>
      <c r="L5814" s="1669"/>
    </row>
    <row r="5815" spans="1:12" s="692" customFormat="1" ht="16.5" hidden="1">
      <c r="A5815" s="1665"/>
      <c r="B5815" s="1666"/>
      <c r="C5815" s="688"/>
      <c r="D5815" s="1667"/>
      <c r="E5815" s="1671">
        <v>3.5</v>
      </c>
      <c r="F5815" s="1671">
        <v>4</v>
      </c>
      <c r="G5815" s="1674"/>
      <c r="H5815" s="1671">
        <f t="shared" si="1078"/>
        <v>0</v>
      </c>
      <c r="I5815" s="688" t="s">
        <v>92</v>
      </c>
      <c r="J5815" s="1668"/>
      <c r="K5815" s="1668"/>
      <c r="L5815" s="1669"/>
    </row>
    <row r="5816" spans="1:12" s="692" customFormat="1" ht="16.5" hidden="1">
      <c r="A5816" s="1665"/>
      <c r="B5816" s="1666"/>
      <c r="C5816" s="688"/>
      <c r="D5816" s="1667"/>
      <c r="E5816" s="1671">
        <v>3.5</v>
      </c>
      <c r="F5816" s="1671">
        <v>4</v>
      </c>
      <c r="G5816" s="1674"/>
      <c r="H5816" s="1671">
        <f t="shared" si="1078"/>
        <v>0</v>
      </c>
      <c r="I5816" s="688" t="s">
        <v>92</v>
      </c>
      <c r="J5816" s="1668"/>
      <c r="K5816" s="1668"/>
      <c r="L5816" s="1669"/>
    </row>
    <row r="5817" spans="1:12" s="692" customFormat="1" ht="16.5" hidden="1">
      <c r="A5817" s="1665"/>
      <c r="B5817" s="1666"/>
      <c r="C5817" s="688"/>
      <c r="D5817" s="1667"/>
      <c r="E5817" s="1671">
        <v>3.5</v>
      </c>
      <c r="F5817" s="1671">
        <v>4</v>
      </c>
      <c r="G5817" s="1674"/>
      <c r="H5817" s="1671">
        <f t="shared" si="1078"/>
        <v>0</v>
      </c>
      <c r="I5817" s="688" t="s">
        <v>92</v>
      </c>
      <c r="J5817" s="1668"/>
      <c r="K5817" s="1668"/>
      <c r="L5817" s="1669"/>
    </row>
    <row r="5818" spans="1:12" s="692" customFormat="1" ht="16.5" hidden="1">
      <c r="A5818" s="1665"/>
      <c r="B5818" s="1666"/>
      <c r="C5818" s="688"/>
      <c r="D5818" s="1667"/>
      <c r="E5818" s="688"/>
      <c r="F5818" s="688"/>
      <c r="G5818" s="1674" t="s">
        <v>928</v>
      </c>
      <c r="H5818" s="1671">
        <f>SUM(H5812:H5817)</f>
        <v>0</v>
      </c>
      <c r="I5818" s="1668" t="s">
        <v>92</v>
      </c>
      <c r="J5818" s="1669" t="e">
        <f>'Lead &amp; ANALYSIS'!L1076</f>
        <v>#REF!</v>
      </c>
      <c r="K5818" s="1668" t="s">
        <v>1514</v>
      </c>
      <c r="L5818" s="1669" t="e">
        <f t="shared" ref="L5818" si="1079">ROUND(H5818*J5818,0)</f>
        <v>#REF!</v>
      </c>
    </row>
    <row r="5819" spans="1:12" s="692" customFormat="1" ht="49.5" hidden="1">
      <c r="A5819" s="1665">
        <f>'Lead &amp; ANALYSIS'!A1077</f>
        <v>174</v>
      </c>
      <c r="B5819" s="1666" t="str">
        <f>'Lead &amp; ANALYSIS'!B1077</f>
        <v>Extra lead of 25mtr or part there of over the initial lead of 50m for earth work in all kinds of embankment and road works and ordinary earth work in general.</v>
      </c>
      <c r="C5819" s="688"/>
      <c r="D5819" s="1667"/>
      <c r="E5819" s="688"/>
      <c r="F5819" s="688"/>
      <c r="G5819" s="1674"/>
      <c r="H5819" s="688"/>
      <c r="I5819" s="1668"/>
      <c r="J5819" s="1668"/>
      <c r="K5819" s="1668"/>
      <c r="L5819" s="1669"/>
    </row>
    <row r="5820" spans="1:12" s="692" customFormat="1" ht="16.5" hidden="1">
      <c r="A5820" s="1665" t="str">
        <f>'Lead &amp; ANALYSIS'!A1078</f>
        <v>a)</v>
      </c>
      <c r="B5820" s="1675" t="e">
        <f>'Lead &amp; ANALYSIS'!B1078</f>
        <v>#REF!</v>
      </c>
      <c r="C5820" s="688"/>
      <c r="D5820" s="1667"/>
      <c r="E5820" s="688"/>
      <c r="F5820" s="688"/>
      <c r="G5820" s="1674"/>
      <c r="H5820" s="688"/>
      <c r="I5820" s="1668"/>
      <c r="J5820" s="1668"/>
      <c r="K5820" s="1668"/>
      <c r="L5820" s="1669"/>
    </row>
    <row r="5821" spans="1:12" s="692" customFormat="1" ht="16.5" hidden="1">
      <c r="A5821" s="1665"/>
      <c r="B5821" s="1666"/>
      <c r="C5821" s="688"/>
      <c r="D5821" s="1667"/>
      <c r="E5821" s="1671">
        <v>3.5</v>
      </c>
      <c r="F5821" s="1671">
        <v>4</v>
      </c>
      <c r="G5821" s="1674"/>
      <c r="H5821" s="1671">
        <f t="shared" ref="H5821:H5826" si="1080">ROUND(D5821*E5821*F5821,2)</f>
        <v>0</v>
      </c>
      <c r="I5821" s="688" t="s">
        <v>92</v>
      </c>
      <c r="J5821" s="1668"/>
      <c r="K5821" s="1668"/>
      <c r="L5821" s="1669"/>
    </row>
    <row r="5822" spans="1:12" s="692" customFormat="1" ht="16.5" hidden="1">
      <c r="A5822" s="1665"/>
      <c r="B5822" s="1666"/>
      <c r="C5822" s="688"/>
      <c r="D5822" s="1667"/>
      <c r="E5822" s="1671">
        <v>3.5</v>
      </c>
      <c r="F5822" s="1671">
        <v>4</v>
      </c>
      <c r="G5822" s="1674"/>
      <c r="H5822" s="1671">
        <f t="shared" si="1080"/>
        <v>0</v>
      </c>
      <c r="I5822" s="688" t="s">
        <v>92</v>
      </c>
      <c r="J5822" s="1668"/>
      <c r="K5822" s="1668"/>
      <c r="L5822" s="1669"/>
    </row>
    <row r="5823" spans="1:12" s="692" customFormat="1" ht="16.5" hidden="1">
      <c r="A5823" s="1665"/>
      <c r="B5823" s="1666"/>
      <c r="C5823" s="688"/>
      <c r="D5823" s="1667"/>
      <c r="E5823" s="1671">
        <v>3.5</v>
      </c>
      <c r="F5823" s="1671">
        <v>4</v>
      </c>
      <c r="G5823" s="1674"/>
      <c r="H5823" s="1671">
        <f t="shared" si="1080"/>
        <v>0</v>
      </c>
      <c r="I5823" s="688" t="s">
        <v>92</v>
      </c>
      <c r="J5823" s="1668"/>
      <c r="K5823" s="1668"/>
      <c r="L5823" s="1669"/>
    </row>
    <row r="5824" spans="1:12" s="692" customFormat="1" ht="16.5" hidden="1">
      <c r="A5824" s="1665"/>
      <c r="B5824" s="1666"/>
      <c r="C5824" s="688"/>
      <c r="D5824" s="1667"/>
      <c r="E5824" s="1671">
        <v>3.5</v>
      </c>
      <c r="F5824" s="1671">
        <v>4</v>
      </c>
      <c r="G5824" s="1674"/>
      <c r="H5824" s="1671">
        <f t="shared" si="1080"/>
        <v>0</v>
      </c>
      <c r="I5824" s="688" t="s">
        <v>92</v>
      </c>
      <c r="J5824" s="1668"/>
      <c r="K5824" s="1668"/>
      <c r="L5824" s="1669"/>
    </row>
    <row r="5825" spans="1:12" s="692" customFormat="1" ht="16.5" hidden="1">
      <c r="A5825" s="1665"/>
      <c r="B5825" s="1666"/>
      <c r="C5825" s="688"/>
      <c r="D5825" s="1667"/>
      <c r="E5825" s="1671">
        <v>3.5</v>
      </c>
      <c r="F5825" s="1671">
        <v>4</v>
      </c>
      <c r="G5825" s="1674"/>
      <c r="H5825" s="1671">
        <f t="shared" si="1080"/>
        <v>0</v>
      </c>
      <c r="I5825" s="688" t="s">
        <v>92</v>
      </c>
      <c r="J5825" s="1668"/>
      <c r="K5825" s="1668"/>
      <c r="L5825" s="1669"/>
    </row>
    <row r="5826" spans="1:12" s="692" customFormat="1" ht="16.5" hidden="1">
      <c r="A5826" s="1665"/>
      <c r="B5826" s="1666"/>
      <c r="C5826" s="688"/>
      <c r="D5826" s="1667"/>
      <c r="E5826" s="1671">
        <v>3.5</v>
      </c>
      <c r="F5826" s="1671">
        <v>4</v>
      </c>
      <c r="G5826" s="1674"/>
      <c r="H5826" s="1671">
        <f t="shared" si="1080"/>
        <v>0</v>
      </c>
      <c r="I5826" s="688" t="s">
        <v>92</v>
      </c>
      <c r="J5826" s="1668"/>
      <c r="K5826" s="1668"/>
      <c r="L5826" s="1669"/>
    </row>
    <row r="5827" spans="1:12" s="692" customFormat="1" ht="16.5" hidden="1">
      <c r="A5827" s="1665"/>
      <c r="B5827" s="1666"/>
      <c r="C5827" s="688"/>
      <c r="D5827" s="1667"/>
      <c r="E5827" s="688"/>
      <c r="F5827" s="688"/>
      <c r="G5827" s="1674" t="s">
        <v>928</v>
      </c>
      <c r="H5827" s="1671">
        <f>SUM(H5821:H5826)</f>
        <v>0</v>
      </c>
      <c r="I5827" s="1668" t="s">
        <v>92</v>
      </c>
      <c r="J5827" s="1669" t="e">
        <f>'Lead &amp; ANALYSIS'!L1078</f>
        <v>#REF!</v>
      </c>
      <c r="K5827" s="1668" t="s">
        <v>1514</v>
      </c>
      <c r="L5827" s="1669" t="e">
        <f t="shared" ref="L5827" si="1081">ROUND(H5827*J5827,0)</f>
        <v>#REF!</v>
      </c>
    </row>
    <row r="5828" spans="1:12" s="692" customFormat="1" ht="16.5" hidden="1">
      <c r="A5828" s="1665" t="str">
        <f>'Lead &amp; ANALYSIS'!A1079</f>
        <v>b)</v>
      </c>
      <c r="B5828" s="1675" t="e">
        <f>'Lead &amp; ANALYSIS'!B1079</f>
        <v>#REF!</v>
      </c>
      <c r="C5828" s="688"/>
      <c r="D5828" s="1667"/>
      <c r="E5828" s="688"/>
      <c r="F5828" s="688"/>
      <c r="G5828" s="1674"/>
      <c r="H5828" s="688"/>
      <c r="I5828" s="1668"/>
      <c r="J5828" s="1668"/>
      <c r="K5828" s="1668"/>
      <c r="L5828" s="1669"/>
    </row>
    <row r="5829" spans="1:12" s="692" customFormat="1" ht="16.5" hidden="1">
      <c r="A5829" s="1665"/>
      <c r="B5829" s="1666"/>
      <c r="C5829" s="688"/>
      <c r="D5829" s="1667"/>
      <c r="E5829" s="1671">
        <v>3.5</v>
      </c>
      <c r="F5829" s="1671">
        <v>4</v>
      </c>
      <c r="G5829" s="1674"/>
      <c r="H5829" s="1671">
        <f t="shared" ref="H5829:H5834" si="1082">ROUND(D5829*E5829*F5829,2)</f>
        <v>0</v>
      </c>
      <c r="I5829" s="688" t="s">
        <v>92</v>
      </c>
      <c r="J5829" s="1668"/>
      <c r="K5829" s="1668"/>
      <c r="L5829" s="1669"/>
    </row>
    <row r="5830" spans="1:12" s="692" customFormat="1" ht="16.5" hidden="1">
      <c r="A5830" s="1665"/>
      <c r="B5830" s="1666"/>
      <c r="C5830" s="688"/>
      <c r="D5830" s="1667"/>
      <c r="E5830" s="1671">
        <v>3.5</v>
      </c>
      <c r="F5830" s="1671">
        <v>4</v>
      </c>
      <c r="G5830" s="1674"/>
      <c r="H5830" s="1671">
        <f t="shared" si="1082"/>
        <v>0</v>
      </c>
      <c r="I5830" s="688" t="s">
        <v>92</v>
      </c>
      <c r="J5830" s="1668"/>
      <c r="K5830" s="1668"/>
      <c r="L5830" s="1669"/>
    </row>
    <row r="5831" spans="1:12" s="692" customFormat="1" ht="16.5" hidden="1">
      <c r="A5831" s="1665"/>
      <c r="B5831" s="1666"/>
      <c r="C5831" s="688"/>
      <c r="D5831" s="1667"/>
      <c r="E5831" s="1671">
        <v>3.5</v>
      </c>
      <c r="F5831" s="1671">
        <v>4</v>
      </c>
      <c r="G5831" s="1674"/>
      <c r="H5831" s="1671">
        <f t="shared" si="1082"/>
        <v>0</v>
      </c>
      <c r="I5831" s="688" t="s">
        <v>92</v>
      </c>
      <c r="J5831" s="1668"/>
      <c r="K5831" s="1668"/>
      <c r="L5831" s="1669"/>
    </row>
    <row r="5832" spans="1:12" s="692" customFormat="1" ht="16.5" hidden="1">
      <c r="A5832" s="1665"/>
      <c r="B5832" s="1666"/>
      <c r="C5832" s="688"/>
      <c r="D5832" s="1667"/>
      <c r="E5832" s="1671">
        <v>3.5</v>
      </c>
      <c r="F5832" s="1671">
        <v>4</v>
      </c>
      <c r="G5832" s="1674"/>
      <c r="H5832" s="1671">
        <f t="shared" si="1082"/>
        <v>0</v>
      </c>
      <c r="I5832" s="688" t="s">
        <v>92</v>
      </c>
      <c r="J5832" s="1668"/>
      <c r="K5832" s="1668"/>
      <c r="L5832" s="1669"/>
    </row>
    <row r="5833" spans="1:12" s="692" customFormat="1" ht="16.5" hidden="1">
      <c r="A5833" s="1665"/>
      <c r="B5833" s="1666"/>
      <c r="C5833" s="688"/>
      <c r="D5833" s="1667"/>
      <c r="E5833" s="1671">
        <v>3.5</v>
      </c>
      <c r="F5833" s="1671">
        <v>4</v>
      </c>
      <c r="G5833" s="1674"/>
      <c r="H5833" s="1671">
        <f t="shared" si="1082"/>
        <v>0</v>
      </c>
      <c r="I5833" s="688" t="s">
        <v>92</v>
      </c>
      <c r="J5833" s="1668"/>
      <c r="K5833" s="1668"/>
      <c r="L5833" s="1669"/>
    </row>
    <row r="5834" spans="1:12" s="692" customFormat="1" ht="16.5" hidden="1">
      <c r="A5834" s="1665"/>
      <c r="B5834" s="1666"/>
      <c r="C5834" s="688"/>
      <c r="D5834" s="1667"/>
      <c r="E5834" s="1671">
        <v>3.5</v>
      </c>
      <c r="F5834" s="1671">
        <v>4</v>
      </c>
      <c r="G5834" s="1674"/>
      <c r="H5834" s="1671">
        <f t="shared" si="1082"/>
        <v>0</v>
      </c>
      <c r="I5834" s="688" t="s">
        <v>92</v>
      </c>
      <c r="J5834" s="1668"/>
      <c r="K5834" s="1668"/>
      <c r="L5834" s="1669"/>
    </row>
    <row r="5835" spans="1:12" s="692" customFormat="1" ht="16.5" hidden="1">
      <c r="A5835" s="1665"/>
      <c r="B5835" s="1666"/>
      <c r="C5835" s="688"/>
      <c r="D5835" s="1667"/>
      <c r="E5835" s="688"/>
      <c r="F5835" s="688"/>
      <c r="G5835" s="1674" t="s">
        <v>928</v>
      </c>
      <c r="H5835" s="1671">
        <f>SUM(H5829:H5834)</f>
        <v>0</v>
      </c>
      <c r="I5835" s="1668" t="s">
        <v>92</v>
      </c>
      <c r="J5835" s="1669" t="e">
        <f>'Lead &amp; ANALYSIS'!L1079</f>
        <v>#REF!</v>
      </c>
      <c r="K5835" s="1668" t="s">
        <v>1514</v>
      </c>
      <c r="L5835" s="1669" t="e">
        <f t="shared" ref="L5835" si="1083">ROUND(H5835*J5835,0)</f>
        <v>#REF!</v>
      </c>
    </row>
    <row r="5836" spans="1:12" s="692" customFormat="1" ht="16.5" hidden="1">
      <c r="A5836" s="1665" t="str">
        <f>'Lead &amp; ANALYSIS'!A1080</f>
        <v>c)</v>
      </c>
      <c r="B5836" s="1675" t="e">
        <f>'Lead &amp; ANALYSIS'!B1080</f>
        <v>#REF!</v>
      </c>
      <c r="C5836" s="688"/>
      <c r="D5836" s="1667"/>
      <c r="E5836" s="688"/>
      <c r="F5836" s="688"/>
      <c r="G5836" s="1674"/>
      <c r="H5836" s="688"/>
      <c r="I5836" s="1668"/>
      <c r="J5836" s="1668"/>
      <c r="K5836" s="1668"/>
      <c r="L5836" s="1669"/>
    </row>
    <row r="5837" spans="1:12" s="692" customFormat="1" ht="16.5" hidden="1">
      <c r="A5837" s="1665"/>
      <c r="B5837" s="1666"/>
      <c r="C5837" s="688"/>
      <c r="D5837" s="1667"/>
      <c r="E5837" s="1671">
        <v>3.5</v>
      </c>
      <c r="F5837" s="1671">
        <v>4</v>
      </c>
      <c r="G5837" s="1674"/>
      <c r="H5837" s="1671">
        <f t="shared" ref="H5837:H5842" si="1084">ROUND(D5837*E5837*F5837,2)</f>
        <v>0</v>
      </c>
      <c r="I5837" s="688" t="s">
        <v>92</v>
      </c>
      <c r="J5837" s="1668"/>
      <c r="K5837" s="1668"/>
      <c r="L5837" s="1669"/>
    </row>
    <row r="5838" spans="1:12" s="692" customFormat="1" ht="16.5" hidden="1">
      <c r="A5838" s="1665"/>
      <c r="B5838" s="1666"/>
      <c r="C5838" s="688"/>
      <c r="D5838" s="1667"/>
      <c r="E5838" s="1671">
        <v>3.5</v>
      </c>
      <c r="F5838" s="1671">
        <v>4</v>
      </c>
      <c r="G5838" s="1674"/>
      <c r="H5838" s="1671">
        <f t="shared" si="1084"/>
        <v>0</v>
      </c>
      <c r="I5838" s="688" t="s">
        <v>92</v>
      </c>
      <c r="J5838" s="1668"/>
      <c r="K5838" s="1668"/>
      <c r="L5838" s="1669"/>
    </row>
    <row r="5839" spans="1:12" s="692" customFormat="1" ht="16.5" hidden="1">
      <c r="A5839" s="1665"/>
      <c r="B5839" s="1666"/>
      <c r="C5839" s="688"/>
      <c r="D5839" s="1667"/>
      <c r="E5839" s="1671">
        <v>3.5</v>
      </c>
      <c r="F5839" s="1671">
        <v>4</v>
      </c>
      <c r="G5839" s="1674"/>
      <c r="H5839" s="1671">
        <f t="shared" si="1084"/>
        <v>0</v>
      </c>
      <c r="I5839" s="688" t="s">
        <v>92</v>
      </c>
      <c r="J5839" s="1668"/>
      <c r="K5839" s="1668"/>
      <c r="L5839" s="1669"/>
    </row>
    <row r="5840" spans="1:12" s="692" customFormat="1" ht="16.5" hidden="1">
      <c r="A5840" s="1665"/>
      <c r="B5840" s="1666"/>
      <c r="C5840" s="688"/>
      <c r="D5840" s="1667"/>
      <c r="E5840" s="1671">
        <v>3.5</v>
      </c>
      <c r="F5840" s="1671">
        <v>4</v>
      </c>
      <c r="G5840" s="1674"/>
      <c r="H5840" s="1671">
        <f t="shared" si="1084"/>
        <v>0</v>
      </c>
      <c r="I5840" s="688" t="s">
        <v>92</v>
      </c>
      <c r="J5840" s="1668"/>
      <c r="K5840" s="1668"/>
      <c r="L5840" s="1669"/>
    </row>
    <row r="5841" spans="1:12" s="692" customFormat="1" ht="16.5" hidden="1">
      <c r="A5841" s="1665"/>
      <c r="B5841" s="1666"/>
      <c r="C5841" s="688"/>
      <c r="D5841" s="1667"/>
      <c r="E5841" s="1671">
        <v>3.5</v>
      </c>
      <c r="F5841" s="1671">
        <v>4</v>
      </c>
      <c r="G5841" s="1674"/>
      <c r="H5841" s="1671">
        <f t="shared" si="1084"/>
        <v>0</v>
      </c>
      <c r="I5841" s="688" t="s">
        <v>92</v>
      </c>
      <c r="J5841" s="1668"/>
      <c r="K5841" s="1668"/>
      <c r="L5841" s="1669"/>
    </row>
    <row r="5842" spans="1:12" s="692" customFormat="1" ht="16.5" hidden="1">
      <c r="A5842" s="1665"/>
      <c r="B5842" s="1666"/>
      <c r="C5842" s="688"/>
      <c r="D5842" s="1667"/>
      <c r="E5842" s="1671">
        <v>3.5</v>
      </c>
      <c r="F5842" s="1671">
        <v>4</v>
      </c>
      <c r="G5842" s="1674"/>
      <c r="H5842" s="1671">
        <f t="shared" si="1084"/>
        <v>0</v>
      </c>
      <c r="I5842" s="688" t="s">
        <v>92</v>
      </c>
      <c r="J5842" s="1668"/>
      <c r="K5842" s="1668"/>
      <c r="L5842" s="1669"/>
    </row>
    <row r="5843" spans="1:12" s="692" customFormat="1" ht="16.5" hidden="1">
      <c r="A5843" s="1665"/>
      <c r="B5843" s="1666"/>
      <c r="C5843" s="688"/>
      <c r="D5843" s="1667"/>
      <c r="E5843" s="688"/>
      <c r="F5843" s="688"/>
      <c r="G5843" s="1674" t="s">
        <v>928</v>
      </c>
      <c r="H5843" s="1671">
        <f>SUM(H5837:H5842)</f>
        <v>0</v>
      </c>
      <c r="I5843" s="1668" t="s">
        <v>92</v>
      </c>
      <c r="J5843" s="1669" t="e">
        <f>'Lead &amp; ANALYSIS'!L1080</f>
        <v>#REF!</v>
      </c>
      <c r="K5843" s="1668" t="s">
        <v>1514</v>
      </c>
      <c r="L5843" s="1669" t="e">
        <f t="shared" ref="L5843" si="1085">ROUND(H5843*J5843,0)</f>
        <v>#REF!</v>
      </c>
    </row>
    <row r="5844" spans="1:12" s="692" customFormat="1" ht="16.5" hidden="1">
      <c r="A5844" s="1665" t="str">
        <f>'Lead &amp; ANALYSIS'!A1081</f>
        <v>d)</v>
      </c>
      <c r="B5844" s="1675" t="e">
        <f>'Lead &amp; ANALYSIS'!B1081</f>
        <v>#REF!</v>
      </c>
      <c r="C5844" s="688"/>
      <c r="D5844" s="1667"/>
      <c r="E5844" s="688"/>
      <c r="F5844" s="688"/>
      <c r="G5844" s="1674"/>
      <c r="H5844" s="688"/>
      <c r="I5844" s="1668"/>
      <c r="J5844" s="1668"/>
      <c r="K5844" s="1668"/>
      <c r="L5844" s="1669"/>
    </row>
    <row r="5845" spans="1:12" s="692" customFormat="1" ht="16.5" hidden="1">
      <c r="A5845" s="1665"/>
      <c r="B5845" s="1666"/>
      <c r="C5845" s="688"/>
      <c r="D5845" s="1667"/>
      <c r="E5845" s="1671">
        <v>3.5</v>
      </c>
      <c r="F5845" s="1671">
        <v>4</v>
      </c>
      <c r="G5845" s="1674"/>
      <c r="H5845" s="1671">
        <f t="shared" ref="H5845:H5850" si="1086">ROUND(D5845*E5845*F5845,2)</f>
        <v>0</v>
      </c>
      <c r="I5845" s="688" t="s">
        <v>92</v>
      </c>
      <c r="J5845" s="1668"/>
      <c r="K5845" s="1668"/>
      <c r="L5845" s="1669"/>
    </row>
    <row r="5846" spans="1:12" s="692" customFormat="1" ht="16.5" hidden="1">
      <c r="A5846" s="1665"/>
      <c r="B5846" s="1666"/>
      <c r="C5846" s="688"/>
      <c r="D5846" s="1667"/>
      <c r="E5846" s="1671">
        <v>3.5</v>
      </c>
      <c r="F5846" s="1671">
        <v>4</v>
      </c>
      <c r="G5846" s="1674"/>
      <c r="H5846" s="1671">
        <f t="shared" si="1086"/>
        <v>0</v>
      </c>
      <c r="I5846" s="688" t="s">
        <v>92</v>
      </c>
      <c r="J5846" s="1668"/>
      <c r="K5846" s="1668"/>
      <c r="L5846" s="1669"/>
    </row>
    <row r="5847" spans="1:12" s="692" customFormat="1" ht="16.5" hidden="1">
      <c r="A5847" s="1665"/>
      <c r="B5847" s="1666"/>
      <c r="C5847" s="688"/>
      <c r="D5847" s="1667"/>
      <c r="E5847" s="1671">
        <v>3.5</v>
      </c>
      <c r="F5847" s="1671">
        <v>4</v>
      </c>
      <c r="G5847" s="1674"/>
      <c r="H5847" s="1671">
        <f t="shared" si="1086"/>
        <v>0</v>
      </c>
      <c r="I5847" s="688" t="s">
        <v>92</v>
      </c>
      <c r="J5847" s="1668"/>
      <c r="K5847" s="1668"/>
      <c r="L5847" s="1669"/>
    </row>
    <row r="5848" spans="1:12" s="692" customFormat="1" ht="16.5" hidden="1">
      <c r="A5848" s="1665"/>
      <c r="B5848" s="1666"/>
      <c r="C5848" s="688"/>
      <c r="D5848" s="1667"/>
      <c r="E5848" s="1671">
        <v>3.5</v>
      </c>
      <c r="F5848" s="1671">
        <v>4</v>
      </c>
      <c r="G5848" s="1674"/>
      <c r="H5848" s="1671">
        <f t="shared" si="1086"/>
        <v>0</v>
      </c>
      <c r="I5848" s="688" t="s">
        <v>92</v>
      </c>
      <c r="J5848" s="1668"/>
      <c r="K5848" s="1668"/>
      <c r="L5848" s="1669"/>
    </row>
    <row r="5849" spans="1:12" s="692" customFormat="1" ht="16.5" hidden="1">
      <c r="A5849" s="1665"/>
      <c r="B5849" s="1666"/>
      <c r="C5849" s="688"/>
      <c r="D5849" s="1667"/>
      <c r="E5849" s="1671">
        <v>3.5</v>
      </c>
      <c r="F5849" s="1671">
        <v>4</v>
      </c>
      <c r="G5849" s="1674"/>
      <c r="H5849" s="1671">
        <f t="shared" si="1086"/>
        <v>0</v>
      </c>
      <c r="I5849" s="688" t="s">
        <v>92</v>
      </c>
      <c r="J5849" s="1668"/>
      <c r="K5849" s="1668"/>
      <c r="L5849" s="1669"/>
    </row>
    <row r="5850" spans="1:12" s="692" customFormat="1" ht="16.5" hidden="1">
      <c r="A5850" s="1665"/>
      <c r="B5850" s="1666"/>
      <c r="C5850" s="688"/>
      <c r="D5850" s="1667"/>
      <c r="E5850" s="1671">
        <v>3.5</v>
      </c>
      <c r="F5850" s="1671">
        <v>4</v>
      </c>
      <c r="G5850" s="1674"/>
      <c r="H5850" s="1671">
        <f t="shared" si="1086"/>
        <v>0</v>
      </c>
      <c r="I5850" s="688" t="s">
        <v>92</v>
      </c>
      <c r="J5850" s="1668"/>
      <c r="K5850" s="1668"/>
      <c r="L5850" s="1669"/>
    </row>
    <row r="5851" spans="1:12" s="692" customFormat="1" ht="16.5" hidden="1">
      <c r="A5851" s="1665"/>
      <c r="B5851" s="1666"/>
      <c r="C5851" s="688"/>
      <c r="D5851" s="1667"/>
      <c r="E5851" s="688"/>
      <c r="F5851" s="688"/>
      <c r="G5851" s="1674" t="s">
        <v>928</v>
      </c>
      <c r="H5851" s="1671">
        <f>SUM(H5845:H5850)</f>
        <v>0</v>
      </c>
      <c r="I5851" s="1668" t="s">
        <v>92</v>
      </c>
      <c r="J5851" s="1669" t="e">
        <f>'Lead &amp; ANALYSIS'!L1081</f>
        <v>#REF!</v>
      </c>
      <c r="K5851" s="1668" t="s">
        <v>1514</v>
      </c>
      <c r="L5851" s="1669" t="e">
        <f t="shared" ref="L5851" si="1087">ROUND(H5851*J5851,0)</f>
        <v>#REF!</v>
      </c>
    </row>
    <row r="5852" spans="1:12" s="692" customFormat="1" ht="16.5" hidden="1">
      <c r="A5852" s="1665" t="str">
        <f>'Lead &amp; ANALYSIS'!A1082</f>
        <v>e)</v>
      </c>
      <c r="B5852" s="1675" t="e">
        <f>'Lead &amp; ANALYSIS'!B1082</f>
        <v>#REF!</v>
      </c>
      <c r="C5852" s="688"/>
      <c r="D5852" s="1667"/>
      <c r="E5852" s="688"/>
      <c r="F5852" s="688"/>
      <c r="G5852" s="1674"/>
      <c r="H5852" s="688"/>
      <c r="I5852" s="1668"/>
      <c r="J5852" s="1668"/>
      <c r="K5852" s="1668"/>
      <c r="L5852" s="1669"/>
    </row>
    <row r="5853" spans="1:12" s="692" customFormat="1" ht="16.5" hidden="1">
      <c r="A5853" s="1665"/>
      <c r="B5853" s="1666"/>
      <c r="C5853" s="688"/>
      <c r="D5853" s="1667"/>
      <c r="E5853" s="1671">
        <v>3.5</v>
      </c>
      <c r="F5853" s="1671">
        <v>4</v>
      </c>
      <c r="G5853" s="1674"/>
      <c r="H5853" s="1671">
        <f t="shared" ref="H5853:H5858" si="1088">ROUND(D5853*E5853*F5853,2)</f>
        <v>0</v>
      </c>
      <c r="I5853" s="688" t="s">
        <v>92</v>
      </c>
      <c r="J5853" s="1668"/>
      <c r="K5853" s="1668"/>
      <c r="L5853" s="1669"/>
    </row>
    <row r="5854" spans="1:12" s="692" customFormat="1" ht="16.5" hidden="1">
      <c r="A5854" s="1665"/>
      <c r="B5854" s="1666"/>
      <c r="C5854" s="688"/>
      <c r="D5854" s="1667"/>
      <c r="E5854" s="1671">
        <v>3.5</v>
      </c>
      <c r="F5854" s="1671">
        <v>4</v>
      </c>
      <c r="G5854" s="1674"/>
      <c r="H5854" s="1671">
        <f t="shared" si="1088"/>
        <v>0</v>
      </c>
      <c r="I5854" s="688" t="s">
        <v>92</v>
      </c>
      <c r="J5854" s="1668"/>
      <c r="K5854" s="1668"/>
      <c r="L5854" s="1669"/>
    </row>
    <row r="5855" spans="1:12" s="692" customFormat="1" ht="16.5" hidden="1">
      <c r="A5855" s="1665"/>
      <c r="B5855" s="1666"/>
      <c r="C5855" s="688"/>
      <c r="D5855" s="1667"/>
      <c r="E5855" s="1671">
        <v>3.5</v>
      </c>
      <c r="F5855" s="1671">
        <v>4</v>
      </c>
      <c r="G5855" s="1674"/>
      <c r="H5855" s="1671">
        <f t="shared" si="1088"/>
        <v>0</v>
      </c>
      <c r="I5855" s="688" t="s">
        <v>92</v>
      </c>
      <c r="J5855" s="1668"/>
      <c r="K5855" s="1668"/>
      <c r="L5855" s="1669"/>
    </row>
    <row r="5856" spans="1:12" s="692" customFormat="1" ht="16.5" hidden="1">
      <c r="A5856" s="1665"/>
      <c r="B5856" s="1666"/>
      <c r="C5856" s="688"/>
      <c r="D5856" s="1667"/>
      <c r="E5856" s="1671">
        <v>3.5</v>
      </c>
      <c r="F5856" s="1671">
        <v>4</v>
      </c>
      <c r="G5856" s="1674"/>
      <c r="H5856" s="1671">
        <f t="shared" si="1088"/>
        <v>0</v>
      </c>
      <c r="I5856" s="688" t="s">
        <v>92</v>
      </c>
      <c r="J5856" s="1668"/>
      <c r="K5856" s="1668"/>
      <c r="L5856" s="1669"/>
    </row>
    <row r="5857" spans="1:12" s="692" customFormat="1" ht="16.5" hidden="1">
      <c r="A5857" s="1665"/>
      <c r="B5857" s="1666"/>
      <c r="C5857" s="688"/>
      <c r="D5857" s="1667"/>
      <c r="E5857" s="1671">
        <v>3.5</v>
      </c>
      <c r="F5857" s="1671">
        <v>4</v>
      </c>
      <c r="G5857" s="1674"/>
      <c r="H5857" s="1671">
        <f t="shared" si="1088"/>
        <v>0</v>
      </c>
      <c r="I5857" s="688" t="s">
        <v>92</v>
      </c>
      <c r="J5857" s="1668"/>
      <c r="K5857" s="1668"/>
      <c r="L5857" s="1669"/>
    </row>
    <row r="5858" spans="1:12" s="692" customFormat="1" ht="16.5" hidden="1">
      <c r="A5858" s="1665"/>
      <c r="B5858" s="1666"/>
      <c r="C5858" s="688"/>
      <c r="D5858" s="1667"/>
      <c r="E5858" s="1671">
        <v>3.5</v>
      </c>
      <c r="F5858" s="1671">
        <v>4</v>
      </c>
      <c r="G5858" s="1674"/>
      <c r="H5858" s="1671">
        <f t="shared" si="1088"/>
        <v>0</v>
      </c>
      <c r="I5858" s="688" t="s">
        <v>92</v>
      </c>
      <c r="J5858" s="1668"/>
      <c r="K5858" s="1668"/>
      <c r="L5858" s="1669"/>
    </row>
    <row r="5859" spans="1:12" s="692" customFormat="1" ht="16.5" hidden="1">
      <c r="A5859" s="1665"/>
      <c r="B5859" s="1666"/>
      <c r="C5859" s="688"/>
      <c r="D5859" s="1667"/>
      <c r="E5859" s="688"/>
      <c r="F5859" s="688"/>
      <c r="G5859" s="1674" t="s">
        <v>928</v>
      </c>
      <c r="H5859" s="1671">
        <f>SUM(H5853:H5858)</f>
        <v>0</v>
      </c>
      <c r="I5859" s="1668" t="s">
        <v>92</v>
      </c>
      <c r="J5859" s="1669" t="e">
        <f>'Lead &amp; ANALYSIS'!L1082</f>
        <v>#REF!</v>
      </c>
      <c r="K5859" s="1668" t="s">
        <v>1514</v>
      </c>
      <c r="L5859" s="1669" t="e">
        <f t="shared" ref="L5859" si="1089">ROUND(H5859*J5859,0)</f>
        <v>#REF!</v>
      </c>
    </row>
    <row r="5860" spans="1:12" s="692" customFormat="1" ht="49.5" hidden="1">
      <c r="A5860" s="1665">
        <f>'Lead &amp; ANALYSIS'!A1083</f>
        <v>175</v>
      </c>
      <c r="B5860" s="1666" t="str">
        <f>'Lead &amp; ANALYSIS'!B1083</f>
        <v>Extra lift of 1.5mtr or part there of over the initial lift of 1.5m in all kinds of embankment and road works and ordinary earth work in general.</v>
      </c>
      <c r="C5860" s="688"/>
      <c r="D5860" s="1667"/>
      <c r="E5860" s="688"/>
      <c r="F5860" s="688"/>
      <c r="G5860" s="1674"/>
      <c r="H5860" s="688"/>
      <c r="I5860" s="1668"/>
      <c r="J5860" s="1669"/>
      <c r="K5860" s="1668"/>
      <c r="L5860" s="1669"/>
    </row>
    <row r="5861" spans="1:12" s="692" customFormat="1" ht="16.5" hidden="1">
      <c r="A5861" s="1665"/>
      <c r="B5861" s="1666"/>
      <c r="C5861" s="688"/>
      <c r="D5861" s="1667"/>
      <c r="E5861" s="1671">
        <v>3.5</v>
      </c>
      <c r="F5861" s="1671">
        <v>4</v>
      </c>
      <c r="G5861" s="1674"/>
      <c r="H5861" s="1671">
        <f t="shared" ref="H5861:H5866" si="1090">ROUND(D5861*E5861*F5861,2)</f>
        <v>0</v>
      </c>
      <c r="I5861" s="688" t="s">
        <v>92</v>
      </c>
      <c r="J5861" s="1668"/>
      <c r="K5861" s="1668"/>
      <c r="L5861" s="1669"/>
    </row>
    <row r="5862" spans="1:12" s="692" customFormat="1" ht="16.5" hidden="1">
      <c r="A5862" s="1665"/>
      <c r="B5862" s="1666"/>
      <c r="C5862" s="688"/>
      <c r="D5862" s="1667"/>
      <c r="E5862" s="1671">
        <v>3.5</v>
      </c>
      <c r="F5862" s="1671">
        <v>4</v>
      </c>
      <c r="G5862" s="1674"/>
      <c r="H5862" s="1671">
        <f t="shared" si="1090"/>
        <v>0</v>
      </c>
      <c r="I5862" s="688" t="s">
        <v>92</v>
      </c>
      <c r="J5862" s="1668"/>
      <c r="K5862" s="1668"/>
      <c r="L5862" s="1669"/>
    </row>
    <row r="5863" spans="1:12" s="692" customFormat="1" ht="16.5" hidden="1">
      <c r="A5863" s="1665"/>
      <c r="B5863" s="1666"/>
      <c r="C5863" s="688"/>
      <c r="D5863" s="1667"/>
      <c r="E5863" s="1671">
        <v>3.5</v>
      </c>
      <c r="F5863" s="1671">
        <v>4</v>
      </c>
      <c r="G5863" s="1674"/>
      <c r="H5863" s="1671">
        <f t="shared" si="1090"/>
        <v>0</v>
      </c>
      <c r="I5863" s="688" t="s">
        <v>92</v>
      </c>
      <c r="J5863" s="1668"/>
      <c r="K5863" s="1668"/>
      <c r="L5863" s="1669"/>
    </row>
    <row r="5864" spans="1:12" s="692" customFormat="1" ht="16.5" hidden="1">
      <c r="A5864" s="1665"/>
      <c r="B5864" s="1666"/>
      <c r="C5864" s="688"/>
      <c r="D5864" s="1667"/>
      <c r="E5864" s="1671">
        <v>3.5</v>
      </c>
      <c r="F5864" s="1671">
        <v>4</v>
      </c>
      <c r="G5864" s="1674"/>
      <c r="H5864" s="1671">
        <f t="shared" si="1090"/>
        <v>0</v>
      </c>
      <c r="I5864" s="688" t="s">
        <v>92</v>
      </c>
      <c r="J5864" s="1668"/>
      <c r="K5864" s="1668"/>
      <c r="L5864" s="1669"/>
    </row>
    <row r="5865" spans="1:12" s="692" customFormat="1" ht="16.5" hidden="1">
      <c r="A5865" s="1665"/>
      <c r="B5865" s="1666"/>
      <c r="C5865" s="688"/>
      <c r="D5865" s="1667"/>
      <c r="E5865" s="1671">
        <v>3.5</v>
      </c>
      <c r="F5865" s="1671">
        <v>4</v>
      </c>
      <c r="G5865" s="1674"/>
      <c r="H5865" s="1671">
        <f t="shared" si="1090"/>
        <v>0</v>
      </c>
      <c r="I5865" s="688" t="s">
        <v>92</v>
      </c>
      <c r="J5865" s="1668"/>
      <c r="K5865" s="1668"/>
      <c r="L5865" s="1669"/>
    </row>
    <row r="5866" spans="1:12" s="692" customFormat="1" ht="16.5" hidden="1">
      <c r="A5866" s="1665"/>
      <c r="B5866" s="1666"/>
      <c r="C5866" s="688"/>
      <c r="D5866" s="1667"/>
      <c r="E5866" s="1671">
        <v>3.5</v>
      </c>
      <c r="F5866" s="1671">
        <v>4</v>
      </c>
      <c r="G5866" s="1674"/>
      <c r="H5866" s="1671">
        <f t="shared" si="1090"/>
        <v>0</v>
      </c>
      <c r="I5866" s="688" t="s">
        <v>92</v>
      </c>
      <c r="J5866" s="1668"/>
      <c r="K5866" s="1668"/>
      <c r="L5866" s="1669"/>
    </row>
    <row r="5867" spans="1:12" s="692" customFormat="1" ht="16.5" hidden="1">
      <c r="A5867" s="1665"/>
      <c r="B5867" s="1666"/>
      <c r="C5867" s="688"/>
      <c r="D5867" s="1667"/>
      <c r="E5867" s="688"/>
      <c r="F5867" s="688"/>
      <c r="G5867" s="1674" t="s">
        <v>928</v>
      </c>
      <c r="H5867" s="1671">
        <f>SUM(H5861:H5866)</f>
        <v>0</v>
      </c>
      <c r="I5867" s="1668" t="s">
        <v>92</v>
      </c>
      <c r="J5867" s="1669" t="e">
        <f>'Lead &amp; ANALYSIS'!L1083</f>
        <v>#REF!</v>
      </c>
      <c r="K5867" s="1668" t="s">
        <v>1516</v>
      </c>
      <c r="L5867" s="1669" t="e">
        <f t="shared" ref="L5867" si="1091">ROUND(H5867*J5867,0)</f>
        <v>#REF!</v>
      </c>
    </row>
    <row r="5868" spans="1:12" s="692" customFormat="1" ht="33" hidden="1">
      <c r="A5868" s="1665">
        <f>'Lead &amp; ANALYSIS'!A1084</f>
        <v>176</v>
      </c>
      <c r="B5868" s="1666" t="str">
        <f>'Lead &amp; ANALYSIS'!B1084</f>
        <v>Sinking masonry well 1.50 M dia in ordinary soil upto 4.55M deep (Labour only)</v>
      </c>
      <c r="C5868" s="688"/>
      <c r="D5868" s="1667"/>
      <c r="E5868" s="688"/>
      <c r="F5868" s="688"/>
      <c r="G5868" s="1674"/>
      <c r="H5868" s="688"/>
      <c r="I5868" s="1668"/>
      <c r="J5868" s="1669"/>
      <c r="K5868" s="1668"/>
      <c r="L5868" s="1669"/>
    </row>
    <row r="5869" spans="1:12" s="692" customFormat="1" ht="16.5" hidden="1">
      <c r="A5869" s="1665"/>
      <c r="B5869" s="1666"/>
      <c r="C5869" s="688"/>
      <c r="D5869" s="1667"/>
      <c r="E5869" s="1671">
        <v>3.5</v>
      </c>
      <c r="F5869" s="1671">
        <v>4</v>
      </c>
      <c r="G5869" s="1674"/>
      <c r="H5869" s="1671">
        <f t="shared" ref="H5869:H5874" si="1092">ROUND(D5869*E5869*F5869,2)</f>
        <v>0</v>
      </c>
      <c r="I5869" s="688" t="s">
        <v>92</v>
      </c>
      <c r="J5869" s="1668"/>
      <c r="K5869" s="1668"/>
      <c r="L5869" s="1669"/>
    </row>
    <row r="5870" spans="1:12" s="692" customFormat="1" ht="16.5" hidden="1">
      <c r="A5870" s="1665"/>
      <c r="B5870" s="1666"/>
      <c r="C5870" s="688"/>
      <c r="D5870" s="1667"/>
      <c r="E5870" s="1671">
        <v>3.5</v>
      </c>
      <c r="F5870" s="1671">
        <v>4</v>
      </c>
      <c r="G5870" s="1674"/>
      <c r="H5870" s="1671">
        <f t="shared" si="1092"/>
        <v>0</v>
      </c>
      <c r="I5870" s="688" t="s">
        <v>92</v>
      </c>
      <c r="J5870" s="1668"/>
      <c r="K5870" s="1668"/>
      <c r="L5870" s="1669"/>
    </row>
    <row r="5871" spans="1:12" s="692" customFormat="1" ht="16.5" hidden="1">
      <c r="A5871" s="1665"/>
      <c r="B5871" s="1666"/>
      <c r="C5871" s="688"/>
      <c r="D5871" s="1667"/>
      <c r="E5871" s="1671">
        <v>3.5</v>
      </c>
      <c r="F5871" s="1671">
        <v>4</v>
      </c>
      <c r="G5871" s="1674"/>
      <c r="H5871" s="1671">
        <f t="shared" si="1092"/>
        <v>0</v>
      </c>
      <c r="I5871" s="688" t="s">
        <v>92</v>
      </c>
      <c r="J5871" s="1668"/>
      <c r="K5871" s="1668"/>
      <c r="L5871" s="1669"/>
    </row>
    <row r="5872" spans="1:12" s="692" customFormat="1" ht="16.5" hidden="1">
      <c r="A5872" s="1665"/>
      <c r="B5872" s="1666"/>
      <c r="C5872" s="688"/>
      <c r="D5872" s="1667"/>
      <c r="E5872" s="1671">
        <v>3.5</v>
      </c>
      <c r="F5872" s="1671">
        <v>4</v>
      </c>
      <c r="G5872" s="1674"/>
      <c r="H5872" s="1671">
        <f t="shared" si="1092"/>
        <v>0</v>
      </c>
      <c r="I5872" s="688" t="s">
        <v>92</v>
      </c>
      <c r="J5872" s="1668"/>
      <c r="K5872" s="1668"/>
      <c r="L5872" s="1669"/>
    </row>
    <row r="5873" spans="1:12" s="692" customFormat="1" ht="16.5" hidden="1">
      <c r="A5873" s="1665"/>
      <c r="B5873" s="1666"/>
      <c r="C5873" s="688"/>
      <c r="D5873" s="1667"/>
      <c r="E5873" s="1671">
        <v>3.5</v>
      </c>
      <c r="F5873" s="1671">
        <v>4</v>
      </c>
      <c r="G5873" s="1674"/>
      <c r="H5873" s="1671">
        <f t="shared" si="1092"/>
        <v>0</v>
      </c>
      <c r="I5873" s="688" t="s">
        <v>92</v>
      </c>
      <c r="J5873" s="1668"/>
      <c r="K5873" s="1668"/>
      <c r="L5873" s="1669"/>
    </row>
    <row r="5874" spans="1:12" s="692" customFormat="1" ht="16.5" hidden="1">
      <c r="A5874" s="1665"/>
      <c r="B5874" s="1666"/>
      <c r="C5874" s="688"/>
      <c r="D5874" s="1667"/>
      <c r="E5874" s="1671">
        <v>3.5</v>
      </c>
      <c r="F5874" s="1671">
        <v>4</v>
      </c>
      <c r="G5874" s="1674"/>
      <c r="H5874" s="1671">
        <f t="shared" si="1092"/>
        <v>0</v>
      </c>
      <c r="I5874" s="688" t="s">
        <v>92</v>
      </c>
      <c r="J5874" s="1668"/>
      <c r="K5874" s="1668"/>
      <c r="L5874" s="1669"/>
    </row>
    <row r="5875" spans="1:12" s="692" customFormat="1" ht="16.5" hidden="1">
      <c r="A5875" s="1665"/>
      <c r="B5875" s="1666"/>
      <c r="C5875" s="688"/>
      <c r="D5875" s="1667"/>
      <c r="E5875" s="688"/>
      <c r="F5875" s="688"/>
      <c r="G5875" s="1674" t="s">
        <v>928</v>
      </c>
      <c r="H5875" s="1671">
        <f>SUM(H5869:H5874)</f>
        <v>0</v>
      </c>
      <c r="I5875" s="1668" t="s">
        <v>92</v>
      </c>
      <c r="J5875" s="1669" t="e">
        <f>'Lead &amp; ANALYSIS'!L1084</f>
        <v>#REF!</v>
      </c>
      <c r="K5875" s="1668" t="s">
        <v>1516</v>
      </c>
      <c r="L5875" s="1669" t="e">
        <f t="shared" ref="L5875" si="1093">ROUND(H5875*J5875,0)</f>
        <v>#REF!</v>
      </c>
    </row>
    <row r="5876" spans="1:12" s="692" customFormat="1" ht="33" hidden="1">
      <c r="A5876" s="1665">
        <f>'Lead &amp; ANALYSIS'!A1085</f>
        <v>177</v>
      </c>
      <c r="B5876" s="1666" t="str">
        <f>'Lead &amp; ANALYSIS'!B1085</f>
        <v>Sinking masonry well 1.50 M dia in Hard soil upto 4.55M deep (Labour only)</v>
      </c>
      <c r="C5876" s="688"/>
      <c r="D5876" s="1667"/>
      <c r="E5876" s="688"/>
      <c r="F5876" s="688"/>
      <c r="G5876" s="1674"/>
      <c r="H5876" s="688"/>
      <c r="I5876" s="1668"/>
      <c r="J5876" s="1669"/>
      <c r="K5876" s="1668"/>
      <c r="L5876" s="1669"/>
    </row>
    <row r="5877" spans="1:12" s="692" customFormat="1" ht="16.5" hidden="1">
      <c r="A5877" s="1665"/>
      <c r="B5877" s="1666"/>
      <c r="C5877" s="688"/>
      <c r="D5877" s="1667"/>
      <c r="E5877" s="1671">
        <v>3.5</v>
      </c>
      <c r="F5877" s="1671">
        <v>4</v>
      </c>
      <c r="G5877" s="1674"/>
      <c r="H5877" s="1671">
        <f t="shared" ref="H5877:H5882" si="1094">ROUND(D5877*E5877*F5877,2)</f>
        <v>0</v>
      </c>
      <c r="I5877" s="688" t="s">
        <v>92</v>
      </c>
      <c r="J5877" s="1668"/>
      <c r="K5877" s="1668"/>
      <c r="L5877" s="1669"/>
    </row>
    <row r="5878" spans="1:12" s="692" customFormat="1" ht="16.5" hidden="1">
      <c r="A5878" s="1665"/>
      <c r="B5878" s="1666"/>
      <c r="C5878" s="688"/>
      <c r="D5878" s="1667"/>
      <c r="E5878" s="1671">
        <v>3.5</v>
      </c>
      <c r="F5878" s="1671">
        <v>4</v>
      </c>
      <c r="G5878" s="1674"/>
      <c r="H5878" s="1671">
        <f t="shared" si="1094"/>
        <v>0</v>
      </c>
      <c r="I5878" s="688" t="s">
        <v>92</v>
      </c>
      <c r="J5878" s="1668"/>
      <c r="K5878" s="1668"/>
      <c r="L5878" s="1669"/>
    </row>
    <row r="5879" spans="1:12" s="692" customFormat="1" ht="16.5" hidden="1">
      <c r="A5879" s="1665"/>
      <c r="B5879" s="1666"/>
      <c r="C5879" s="688"/>
      <c r="D5879" s="1667"/>
      <c r="E5879" s="1671">
        <v>3.5</v>
      </c>
      <c r="F5879" s="1671">
        <v>4</v>
      </c>
      <c r="G5879" s="1674"/>
      <c r="H5879" s="1671">
        <f t="shared" si="1094"/>
        <v>0</v>
      </c>
      <c r="I5879" s="688" t="s">
        <v>92</v>
      </c>
      <c r="J5879" s="1668"/>
      <c r="K5879" s="1668"/>
      <c r="L5879" s="1669"/>
    </row>
    <row r="5880" spans="1:12" s="692" customFormat="1" ht="16.5" hidden="1">
      <c r="A5880" s="1665"/>
      <c r="B5880" s="1666"/>
      <c r="C5880" s="688"/>
      <c r="D5880" s="1667"/>
      <c r="E5880" s="1671">
        <v>3.5</v>
      </c>
      <c r="F5880" s="1671">
        <v>4</v>
      </c>
      <c r="G5880" s="1674"/>
      <c r="H5880" s="1671">
        <f t="shared" si="1094"/>
        <v>0</v>
      </c>
      <c r="I5880" s="688" t="s">
        <v>92</v>
      </c>
      <c r="J5880" s="1668"/>
      <c r="K5880" s="1668"/>
      <c r="L5880" s="1669"/>
    </row>
    <row r="5881" spans="1:12" s="692" customFormat="1" ht="16.5" hidden="1">
      <c r="A5881" s="1665"/>
      <c r="B5881" s="1666"/>
      <c r="C5881" s="688"/>
      <c r="D5881" s="1667"/>
      <c r="E5881" s="1671">
        <v>3.5</v>
      </c>
      <c r="F5881" s="1671">
        <v>4</v>
      </c>
      <c r="G5881" s="1674"/>
      <c r="H5881" s="1671">
        <f t="shared" si="1094"/>
        <v>0</v>
      </c>
      <c r="I5881" s="688" t="s">
        <v>92</v>
      </c>
      <c r="J5881" s="1668"/>
      <c r="K5881" s="1668"/>
      <c r="L5881" s="1669"/>
    </row>
    <row r="5882" spans="1:12" s="692" customFormat="1" ht="16.5" hidden="1">
      <c r="A5882" s="1665"/>
      <c r="B5882" s="1666"/>
      <c r="C5882" s="688"/>
      <c r="D5882" s="1667"/>
      <c r="E5882" s="1671">
        <v>3.5</v>
      </c>
      <c r="F5882" s="1671">
        <v>4</v>
      </c>
      <c r="G5882" s="1674"/>
      <c r="H5882" s="1671">
        <f t="shared" si="1094"/>
        <v>0</v>
      </c>
      <c r="I5882" s="688" t="s">
        <v>92</v>
      </c>
      <c r="J5882" s="1668"/>
      <c r="K5882" s="1668"/>
      <c r="L5882" s="1669"/>
    </row>
    <row r="5883" spans="1:12" s="692" customFormat="1" ht="16.5" hidden="1">
      <c r="A5883" s="1665"/>
      <c r="B5883" s="1666"/>
      <c r="C5883" s="688"/>
      <c r="D5883" s="1667"/>
      <c r="E5883" s="688"/>
      <c r="F5883" s="688"/>
      <c r="G5883" s="1674" t="s">
        <v>928</v>
      </c>
      <c r="H5883" s="1671">
        <f>SUM(H5877:H5882)</f>
        <v>0</v>
      </c>
      <c r="I5883" s="1668" t="s">
        <v>92</v>
      </c>
      <c r="J5883" s="1669" t="e">
        <f>'Lead &amp; ANALYSIS'!L1085</f>
        <v>#REF!</v>
      </c>
      <c r="K5883" s="1668" t="s">
        <v>1516</v>
      </c>
      <c r="L5883" s="1669" t="e">
        <f t="shared" ref="L5883" si="1095">ROUND(H5883*J5883,0)</f>
        <v>#REF!</v>
      </c>
    </row>
    <row r="5884" spans="1:12" s="692" customFormat="1" ht="33" hidden="1">
      <c r="A5884" s="1665">
        <f>'Lead &amp; ANALYSIS'!A1086</f>
        <v>178</v>
      </c>
      <c r="B5884" s="1666" t="str">
        <f>'Lead &amp; ANALYSIS'!B1086</f>
        <v>Sinking masonry well 1.50 M dia in ordinary soil upto 4.55M deep (Labour only)</v>
      </c>
      <c r="C5884" s="688"/>
      <c r="D5884" s="1667"/>
      <c r="E5884" s="688"/>
      <c r="F5884" s="688"/>
      <c r="G5884" s="1674"/>
      <c r="H5884" s="688"/>
      <c r="I5884" s="1668"/>
      <c r="J5884" s="1669"/>
      <c r="K5884" s="1668"/>
      <c r="L5884" s="1669"/>
    </row>
    <row r="5885" spans="1:12" s="692" customFormat="1" ht="16.5" hidden="1">
      <c r="A5885" s="1665"/>
      <c r="B5885" s="1666"/>
      <c r="C5885" s="688"/>
      <c r="D5885" s="1667"/>
      <c r="E5885" s="1671">
        <v>3.5</v>
      </c>
      <c r="F5885" s="1671">
        <v>4</v>
      </c>
      <c r="G5885" s="1674"/>
      <c r="H5885" s="1671">
        <f t="shared" ref="H5885:H5890" si="1096">ROUND(D5885*E5885*F5885,2)</f>
        <v>0</v>
      </c>
      <c r="I5885" s="688" t="s">
        <v>92</v>
      </c>
      <c r="J5885" s="1668"/>
      <c r="K5885" s="1668"/>
      <c r="L5885" s="1669"/>
    </row>
    <row r="5886" spans="1:12" s="692" customFormat="1" ht="16.5" hidden="1">
      <c r="A5886" s="1665"/>
      <c r="B5886" s="1666"/>
      <c r="C5886" s="688"/>
      <c r="D5886" s="1667"/>
      <c r="E5886" s="1671">
        <v>3.5</v>
      </c>
      <c r="F5886" s="1671">
        <v>4</v>
      </c>
      <c r="G5886" s="1674"/>
      <c r="H5886" s="1671">
        <f t="shared" si="1096"/>
        <v>0</v>
      </c>
      <c r="I5886" s="688" t="s">
        <v>92</v>
      </c>
      <c r="J5886" s="1668"/>
      <c r="K5886" s="1668"/>
      <c r="L5886" s="1669"/>
    </row>
    <row r="5887" spans="1:12" s="692" customFormat="1" ht="16.5" hidden="1">
      <c r="A5887" s="1665"/>
      <c r="B5887" s="1666"/>
      <c r="C5887" s="688"/>
      <c r="D5887" s="1667"/>
      <c r="E5887" s="1671">
        <v>3.5</v>
      </c>
      <c r="F5887" s="1671">
        <v>4</v>
      </c>
      <c r="G5887" s="1674"/>
      <c r="H5887" s="1671">
        <f t="shared" si="1096"/>
        <v>0</v>
      </c>
      <c r="I5887" s="688" t="s">
        <v>92</v>
      </c>
      <c r="J5887" s="1668"/>
      <c r="K5887" s="1668"/>
      <c r="L5887" s="1669"/>
    </row>
    <row r="5888" spans="1:12" s="692" customFormat="1" ht="16.5" hidden="1">
      <c r="A5888" s="1665"/>
      <c r="B5888" s="1666"/>
      <c r="C5888" s="688"/>
      <c r="D5888" s="1667"/>
      <c r="E5888" s="1671">
        <v>3.5</v>
      </c>
      <c r="F5888" s="1671">
        <v>4</v>
      </c>
      <c r="G5888" s="1674"/>
      <c r="H5888" s="1671">
        <f t="shared" si="1096"/>
        <v>0</v>
      </c>
      <c r="I5888" s="688" t="s">
        <v>92</v>
      </c>
      <c r="J5888" s="1668"/>
      <c r="K5888" s="1668"/>
      <c r="L5888" s="1669"/>
    </row>
    <row r="5889" spans="1:12" s="692" customFormat="1" ht="16.5" hidden="1">
      <c r="A5889" s="1665"/>
      <c r="B5889" s="1666"/>
      <c r="C5889" s="688"/>
      <c r="D5889" s="1667"/>
      <c r="E5889" s="1671">
        <v>3.5</v>
      </c>
      <c r="F5889" s="1671">
        <v>4</v>
      </c>
      <c r="G5889" s="1674"/>
      <c r="H5889" s="1671">
        <f t="shared" si="1096"/>
        <v>0</v>
      </c>
      <c r="I5889" s="688" t="s">
        <v>92</v>
      </c>
      <c r="J5889" s="1668"/>
      <c r="K5889" s="1668"/>
      <c r="L5889" s="1669"/>
    </row>
    <row r="5890" spans="1:12" s="692" customFormat="1" ht="16.5" hidden="1">
      <c r="A5890" s="1665"/>
      <c r="B5890" s="1666"/>
      <c r="C5890" s="688"/>
      <c r="D5890" s="1667"/>
      <c r="E5890" s="1671">
        <v>3.5</v>
      </c>
      <c r="F5890" s="1671">
        <v>4</v>
      </c>
      <c r="G5890" s="1674"/>
      <c r="H5890" s="1671">
        <f t="shared" si="1096"/>
        <v>0</v>
      </c>
      <c r="I5890" s="688" t="s">
        <v>92</v>
      </c>
      <c r="J5890" s="1668"/>
      <c r="K5890" s="1668"/>
      <c r="L5890" s="1669"/>
    </row>
    <row r="5891" spans="1:12" s="692" customFormat="1" ht="16.5" hidden="1">
      <c r="A5891" s="1665"/>
      <c r="B5891" s="1666"/>
      <c r="C5891" s="688"/>
      <c r="D5891" s="1667"/>
      <c r="E5891" s="688"/>
      <c r="F5891" s="688"/>
      <c r="G5891" s="1674" t="s">
        <v>928</v>
      </c>
      <c r="H5891" s="1671">
        <f>SUM(H5885:H5890)</f>
        <v>0</v>
      </c>
      <c r="I5891" s="1668" t="s">
        <v>92</v>
      </c>
      <c r="J5891" s="1669" t="e">
        <f>'Lead &amp; ANALYSIS'!L1086</f>
        <v>#REF!</v>
      </c>
      <c r="K5891" s="1668" t="s">
        <v>1516</v>
      </c>
      <c r="L5891" s="1669" t="e">
        <f t="shared" ref="L5891" si="1097">ROUND(H5891*J5891,0)</f>
        <v>#REF!</v>
      </c>
    </row>
    <row r="5892" spans="1:12" s="692" customFormat="1" ht="33" hidden="1">
      <c r="A5892" s="1665">
        <f>'Lead &amp; ANALYSIS'!A1087</f>
        <v>179</v>
      </c>
      <c r="B5892" s="1666" t="str">
        <f>'Lead &amp; ANALYSIS'!B1087</f>
        <v>Sinking masonry well 1.50 M dia in Hard soil upto 4.55M deep (Labour only)</v>
      </c>
      <c r="C5892" s="688"/>
      <c r="D5892" s="1667"/>
      <c r="E5892" s="688"/>
      <c r="F5892" s="688"/>
      <c r="G5892" s="1674"/>
      <c r="H5892" s="688"/>
      <c r="I5892" s="1668"/>
      <c r="J5892" s="1669"/>
      <c r="K5892" s="1668"/>
      <c r="L5892" s="1669"/>
    </row>
    <row r="5893" spans="1:12" s="692" customFormat="1" ht="16.5" hidden="1">
      <c r="A5893" s="1665"/>
      <c r="B5893" s="1666"/>
      <c r="C5893" s="688"/>
      <c r="D5893" s="1667"/>
      <c r="E5893" s="1671">
        <v>3.5</v>
      </c>
      <c r="F5893" s="1671">
        <v>4</v>
      </c>
      <c r="G5893" s="1674"/>
      <c r="H5893" s="1671">
        <f t="shared" ref="H5893:H5898" si="1098">ROUND(D5893*E5893*F5893,2)</f>
        <v>0</v>
      </c>
      <c r="I5893" s="688" t="s">
        <v>92</v>
      </c>
      <c r="J5893" s="1668"/>
      <c r="K5893" s="1668"/>
      <c r="L5893" s="1669"/>
    </row>
    <row r="5894" spans="1:12" s="692" customFormat="1" ht="16.5" hidden="1">
      <c r="A5894" s="1665"/>
      <c r="B5894" s="1666"/>
      <c r="C5894" s="688"/>
      <c r="D5894" s="1667"/>
      <c r="E5894" s="1671">
        <v>3.5</v>
      </c>
      <c r="F5894" s="1671">
        <v>4</v>
      </c>
      <c r="G5894" s="1674"/>
      <c r="H5894" s="1671">
        <f t="shared" si="1098"/>
        <v>0</v>
      </c>
      <c r="I5894" s="688" t="s">
        <v>92</v>
      </c>
      <c r="J5894" s="1668"/>
      <c r="K5894" s="1668"/>
      <c r="L5894" s="1669"/>
    </row>
    <row r="5895" spans="1:12" s="692" customFormat="1" ht="16.5" hidden="1">
      <c r="A5895" s="1665"/>
      <c r="B5895" s="1666"/>
      <c r="C5895" s="688"/>
      <c r="D5895" s="1667"/>
      <c r="E5895" s="1671">
        <v>3.5</v>
      </c>
      <c r="F5895" s="1671">
        <v>4</v>
      </c>
      <c r="G5895" s="1674"/>
      <c r="H5895" s="1671">
        <f t="shared" si="1098"/>
        <v>0</v>
      </c>
      <c r="I5895" s="688" t="s">
        <v>92</v>
      </c>
      <c r="J5895" s="1668"/>
      <c r="K5895" s="1668"/>
      <c r="L5895" s="1669"/>
    </row>
    <row r="5896" spans="1:12" s="692" customFormat="1" ht="16.5" hidden="1">
      <c r="A5896" s="1665"/>
      <c r="B5896" s="1666"/>
      <c r="C5896" s="688"/>
      <c r="D5896" s="1667"/>
      <c r="E5896" s="1671">
        <v>3.5</v>
      </c>
      <c r="F5896" s="1671">
        <v>4</v>
      </c>
      <c r="G5896" s="1674"/>
      <c r="H5896" s="1671">
        <f t="shared" si="1098"/>
        <v>0</v>
      </c>
      <c r="I5896" s="688" t="s">
        <v>92</v>
      </c>
      <c r="J5896" s="1668"/>
      <c r="K5896" s="1668"/>
      <c r="L5896" s="1669"/>
    </row>
    <row r="5897" spans="1:12" s="692" customFormat="1" ht="16.5" hidden="1">
      <c r="A5897" s="1665"/>
      <c r="B5897" s="1666"/>
      <c r="C5897" s="688"/>
      <c r="D5897" s="1667"/>
      <c r="E5897" s="1671">
        <v>3.5</v>
      </c>
      <c r="F5897" s="1671">
        <v>4</v>
      </c>
      <c r="G5897" s="1674"/>
      <c r="H5897" s="1671">
        <f t="shared" si="1098"/>
        <v>0</v>
      </c>
      <c r="I5897" s="688" t="s">
        <v>92</v>
      </c>
      <c r="J5897" s="1668"/>
      <c r="K5897" s="1668"/>
      <c r="L5897" s="1669"/>
    </row>
    <row r="5898" spans="1:12" s="692" customFormat="1" ht="16.5" hidden="1">
      <c r="A5898" s="1665"/>
      <c r="B5898" s="1666"/>
      <c r="C5898" s="688"/>
      <c r="D5898" s="1667"/>
      <c r="E5898" s="1671">
        <v>3.5</v>
      </c>
      <c r="F5898" s="1671">
        <v>4</v>
      </c>
      <c r="G5898" s="1674"/>
      <c r="H5898" s="1671">
        <f t="shared" si="1098"/>
        <v>0</v>
      </c>
      <c r="I5898" s="688" t="s">
        <v>92</v>
      </c>
      <c r="J5898" s="1668"/>
      <c r="K5898" s="1668"/>
      <c r="L5898" s="1669"/>
    </row>
    <row r="5899" spans="1:12" s="692" customFormat="1" ht="16.5" hidden="1">
      <c r="A5899" s="1665"/>
      <c r="B5899" s="1666"/>
      <c r="C5899" s="688"/>
      <c r="D5899" s="1667"/>
      <c r="E5899" s="688"/>
      <c r="F5899" s="688"/>
      <c r="G5899" s="1674" t="s">
        <v>928</v>
      </c>
      <c r="H5899" s="1671">
        <f>SUM(H5893:H5898)</f>
        <v>0</v>
      </c>
      <c r="I5899" s="1668" t="s">
        <v>92</v>
      </c>
      <c r="J5899" s="1669" t="e">
        <f>'Lead &amp; ANALYSIS'!L1087</f>
        <v>#REF!</v>
      </c>
      <c r="K5899" s="1668" t="s">
        <v>1516</v>
      </c>
      <c r="L5899" s="1669" t="e">
        <f t="shared" ref="L5899" si="1099">ROUND(H5899*J5899,0)</f>
        <v>#REF!</v>
      </c>
    </row>
    <row r="5900" spans="1:12" s="692" customFormat="1" ht="33" hidden="1">
      <c r="A5900" s="1665">
        <f>'Lead &amp; ANALYSIS'!A1088</f>
        <v>180</v>
      </c>
      <c r="B5900" s="1666" t="str">
        <f>'Lead &amp; ANALYSIS'!B1088</f>
        <v>Earrth work Excavation for Open well within Initial lead etc complete as per Specification.</v>
      </c>
      <c r="C5900" s="688"/>
      <c r="D5900" s="1667"/>
      <c r="E5900" s="688"/>
      <c r="F5900" s="688"/>
      <c r="G5900" s="1674"/>
      <c r="H5900" s="688"/>
      <c r="I5900" s="1668"/>
      <c r="J5900" s="1668"/>
      <c r="K5900" s="1668"/>
      <c r="L5900" s="1669"/>
    </row>
    <row r="5901" spans="1:12" s="692" customFormat="1" ht="16.5" hidden="1">
      <c r="A5901" s="1665" t="str">
        <f>'Lead &amp; ANALYSIS'!A1089</f>
        <v>A.</v>
      </c>
      <c r="B5901" s="1666" t="str">
        <f>'Lead &amp; ANALYSIS'!B1089</f>
        <v>1ST DEPTH OF 1.5MTR.</v>
      </c>
      <c r="C5901" s="688"/>
      <c r="D5901" s="1667"/>
      <c r="E5901" s="688"/>
      <c r="F5901" s="688"/>
      <c r="G5901" s="1674"/>
      <c r="H5901" s="688"/>
      <c r="I5901" s="1668"/>
      <c r="J5901" s="1668"/>
      <c r="K5901" s="1668"/>
      <c r="L5901" s="1669"/>
    </row>
    <row r="5902" spans="1:12" s="692" customFormat="1" ht="16.5" hidden="1">
      <c r="A5902" s="1665" t="str">
        <f>'Lead &amp; ANALYSIS'!A1090</f>
        <v>i</v>
      </c>
      <c r="B5902" s="1666" t="str">
        <f>'Lead &amp; ANALYSIS'!B1090</f>
        <v>i.Ordinary Soil.</v>
      </c>
      <c r="C5902" s="688"/>
      <c r="D5902" s="1667"/>
      <c r="E5902" s="688"/>
      <c r="F5902" s="688"/>
      <c r="G5902" s="1674"/>
      <c r="H5902" s="688"/>
      <c r="I5902" s="1668"/>
      <c r="J5902" s="1669"/>
      <c r="K5902" s="1668"/>
      <c r="L5902" s="1669"/>
    </row>
    <row r="5903" spans="1:12" s="692" customFormat="1" ht="16.5" hidden="1">
      <c r="A5903" s="1665"/>
      <c r="B5903" s="1666"/>
      <c r="C5903" s="688"/>
      <c r="D5903" s="1667"/>
      <c r="E5903" s="1671">
        <v>3.5</v>
      </c>
      <c r="F5903" s="1671">
        <v>4</v>
      </c>
      <c r="G5903" s="1674"/>
      <c r="H5903" s="1671">
        <f t="shared" ref="H5903:H5908" si="1100">ROUND(D5903*E5903*F5903,2)</f>
        <v>0</v>
      </c>
      <c r="I5903" s="688" t="s">
        <v>92</v>
      </c>
      <c r="J5903" s="1668"/>
      <c r="K5903" s="1668"/>
      <c r="L5903" s="1669"/>
    </row>
    <row r="5904" spans="1:12" s="692" customFormat="1" ht="16.5" hidden="1">
      <c r="A5904" s="1665"/>
      <c r="B5904" s="1666"/>
      <c r="C5904" s="688"/>
      <c r="D5904" s="1667"/>
      <c r="E5904" s="1671">
        <v>3.5</v>
      </c>
      <c r="F5904" s="1671">
        <v>4</v>
      </c>
      <c r="G5904" s="1674"/>
      <c r="H5904" s="1671">
        <f t="shared" si="1100"/>
        <v>0</v>
      </c>
      <c r="I5904" s="688" t="s">
        <v>92</v>
      </c>
      <c r="J5904" s="1668"/>
      <c r="K5904" s="1668"/>
      <c r="L5904" s="1669"/>
    </row>
    <row r="5905" spans="1:12" s="692" customFormat="1" ht="16.5" hidden="1">
      <c r="A5905" s="1665"/>
      <c r="B5905" s="1666"/>
      <c r="C5905" s="688"/>
      <c r="D5905" s="1667"/>
      <c r="E5905" s="1671">
        <v>3.5</v>
      </c>
      <c r="F5905" s="1671">
        <v>4</v>
      </c>
      <c r="G5905" s="1674"/>
      <c r="H5905" s="1671">
        <f t="shared" si="1100"/>
        <v>0</v>
      </c>
      <c r="I5905" s="688" t="s">
        <v>92</v>
      </c>
      <c r="J5905" s="1668"/>
      <c r="K5905" s="1668"/>
      <c r="L5905" s="1669"/>
    </row>
    <row r="5906" spans="1:12" s="692" customFormat="1" ht="16.5" hidden="1">
      <c r="A5906" s="1665"/>
      <c r="B5906" s="1666"/>
      <c r="C5906" s="688"/>
      <c r="D5906" s="1667"/>
      <c r="E5906" s="1671">
        <v>3.5</v>
      </c>
      <c r="F5906" s="1671">
        <v>4</v>
      </c>
      <c r="G5906" s="1674"/>
      <c r="H5906" s="1671">
        <f t="shared" si="1100"/>
        <v>0</v>
      </c>
      <c r="I5906" s="688" t="s">
        <v>92</v>
      </c>
      <c r="J5906" s="1668"/>
      <c r="K5906" s="1668"/>
      <c r="L5906" s="1669"/>
    </row>
    <row r="5907" spans="1:12" s="692" customFormat="1" ht="16.5" hidden="1">
      <c r="A5907" s="1665"/>
      <c r="B5907" s="1666"/>
      <c r="C5907" s="688"/>
      <c r="D5907" s="1667"/>
      <c r="E5907" s="1671">
        <v>3.5</v>
      </c>
      <c r="F5907" s="1671">
        <v>4</v>
      </c>
      <c r="G5907" s="1674"/>
      <c r="H5907" s="1671">
        <f t="shared" si="1100"/>
        <v>0</v>
      </c>
      <c r="I5907" s="688" t="s">
        <v>92</v>
      </c>
      <c r="J5907" s="1668"/>
      <c r="K5907" s="1668"/>
      <c r="L5907" s="1669"/>
    </row>
    <row r="5908" spans="1:12" s="692" customFormat="1" ht="16.5" hidden="1">
      <c r="A5908" s="1665"/>
      <c r="B5908" s="1666"/>
      <c r="C5908" s="688"/>
      <c r="D5908" s="1667"/>
      <c r="E5908" s="1671">
        <v>3.5</v>
      </c>
      <c r="F5908" s="1671">
        <v>4</v>
      </c>
      <c r="G5908" s="1674"/>
      <c r="H5908" s="1671">
        <f t="shared" si="1100"/>
        <v>0</v>
      </c>
      <c r="I5908" s="688" t="s">
        <v>92</v>
      </c>
      <c r="J5908" s="1668"/>
      <c r="K5908" s="1668"/>
      <c r="L5908" s="1669"/>
    </row>
    <row r="5909" spans="1:12" s="692" customFormat="1" ht="16.5" hidden="1">
      <c r="A5909" s="1665"/>
      <c r="B5909" s="1666"/>
      <c r="C5909" s="688"/>
      <c r="D5909" s="1667"/>
      <c r="E5909" s="688"/>
      <c r="F5909" s="688"/>
      <c r="G5909" s="1674" t="s">
        <v>928</v>
      </c>
      <c r="H5909" s="1671">
        <f>SUM(H5903:H5908)</f>
        <v>0</v>
      </c>
      <c r="I5909" s="1668" t="s">
        <v>92</v>
      </c>
      <c r="J5909" s="1669" t="e">
        <f>'Lead &amp; ANALYSIS'!L1090</f>
        <v>#REF!</v>
      </c>
      <c r="K5909" s="1668" t="s">
        <v>1516</v>
      </c>
      <c r="L5909" s="1669" t="e">
        <f t="shared" ref="L5909" si="1101">ROUND(H5909*J5909,0)</f>
        <v>#REF!</v>
      </c>
    </row>
    <row r="5910" spans="1:12" s="692" customFormat="1" ht="16.5" hidden="1">
      <c r="A5910" s="1665" t="str">
        <f>'Lead &amp; ANALYSIS'!A1091</f>
        <v>ii</v>
      </c>
      <c r="B5910" s="1666" t="str">
        <f>'Lead &amp; ANALYSIS'!B1091</f>
        <v>ii.Slushy Soil</v>
      </c>
      <c r="C5910" s="688"/>
      <c r="D5910" s="1667"/>
      <c r="E5910" s="688"/>
      <c r="F5910" s="688"/>
      <c r="G5910" s="1674"/>
      <c r="H5910" s="688"/>
      <c r="I5910" s="1668"/>
      <c r="J5910" s="1669"/>
      <c r="K5910" s="1668"/>
      <c r="L5910" s="1669"/>
    </row>
    <row r="5911" spans="1:12" s="692" customFormat="1" ht="16.5" hidden="1">
      <c r="A5911" s="1665"/>
      <c r="B5911" s="1666"/>
      <c r="C5911" s="688"/>
      <c r="D5911" s="1667"/>
      <c r="E5911" s="1671">
        <v>3.5</v>
      </c>
      <c r="F5911" s="1671">
        <v>4</v>
      </c>
      <c r="G5911" s="1674"/>
      <c r="H5911" s="1671">
        <f t="shared" ref="H5911:H5916" si="1102">ROUND(D5911*E5911*F5911,2)</f>
        <v>0</v>
      </c>
      <c r="I5911" s="688" t="s">
        <v>92</v>
      </c>
      <c r="J5911" s="1668"/>
      <c r="K5911" s="1668"/>
      <c r="L5911" s="1669"/>
    </row>
    <row r="5912" spans="1:12" s="692" customFormat="1" ht="16.5" hidden="1">
      <c r="A5912" s="1665"/>
      <c r="B5912" s="1666"/>
      <c r="C5912" s="688"/>
      <c r="D5912" s="1667"/>
      <c r="E5912" s="1671">
        <v>3.5</v>
      </c>
      <c r="F5912" s="1671">
        <v>4</v>
      </c>
      <c r="G5912" s="1674"/>
      <c r="H5912" s="1671">
        <f t="shared" si="1102"/>
        <v>0</v>
      </c>
      <c r="I5912" s="688" t="s">
        <v>92</v>
      </c>
      <c r="J5912" s="1668"/>
      <c r="K5912" s="1668"/>
      <c r="L5912" s="1669"/>
    </row>
    <row r="5913" spans="1:12" s="692" customFormat="1" ht="16.5" hidden="1">
      <c r="A5913" s="1665"/>
      <c r="B5913" s="1666"/>
      <c r="C5913" s="688"/>
      <c r="D5913" s="1667"/>
      <c r="E5913" s="1671">
        <v>3.5</v>
      </c>
      <c r="F5913" s="1671">
        <v>4</v>
      </c>
      <c r="G5913" s="1674"/>
      <c r="H5913" s="1671">
        <f t="shared" si="1102"/>
        <v>0</v>
      </c>
      <c r="I5913" s="688" t="s">
        <v>92</v>
      </c>
      <c r="J5913" s="1668"/>
      <c r="K5913" s="1668"/>
      <c r="L5913" s="1669"/>
    </row>
    <row r="5914" spans="1:12" s="692" customFormat="1" ht="16.5" hidden="1">
      <c r="A5914" s="1665"/>
      <c r="B5914" s="1666"/>
      <c r="C5914" s="688"/>
      <c r="D5914" s="1667"/>
      <c r="E5914" s="1671">
        <v>3.5</v>
      </c>
      <c r="F5914" s="1671">
        <v>4</v>
      </c>
      <c r="G5914" s="1674"/>
      <c r="H5914" s="1671">
        <f t="shared" si="1102"/>
        <v>0</v>
      </c>
      <c r="I5914" s="688" t="s">
        <v>92</v>
      </c>
      <c r="J5914" s="1668"/>
      <c r="K5914" s="1668"/>
      <c r="L5914" s="1669"/>
    </row>
    <row r="5915" spans="1:12" s="692" customFormat="1" ht="16.5" hidden="1">
      <c r="A5915" s="1665"/>
      <c r="B5915" s="1666"/>
      <c r="C5915" s="688"/>
      <c r="D5915" s="1667"/>
      <c r="E5915" s="1671">
        <v>3.5</v>
      </c>
      <c r="F5915" s="1671">
        <v>4</v>
      </c>
      <c r="G5915" s="1674"/>
      <c r="H5915" s="1671">
        <f t="shared" si="1102"/>
        <v>0</v>
      </c>
      <c r="I5915" s="688" t="s">
        <v>92</v>
      </c>
      <c r="J5915" s="1668"/>
      <c r="K5915" s="1668"/>
      <c r="L5915" s="1669"/>
    </row>
    <row r="5916" spans="1:12" s="692" customFormat="1" ht="16.5" hidden="1">
      <c r="A5916" s="1665"/>
      <c r="B5916" s="1666"/>
      <c r="C5916" s="688"/>
      <c r="D5916" s="1667"/>
      <c r="E5916" s="1671">
        <v>3.5</v>
      </c>
      <c r="F5916" s="1671">
        <v>4</v>
      </c>
      <c r="G5916" s="1674"/>
      <c r="H5916" s="1671">
        <f t="shared" si="1102"/>
        <v>0</v>
      </c>
      <c r="I5916" s="688" t="s">
        <v>92</v>
      </c>
      <c r="J5916" s="1668"/>
      <c r="K5916" s="1668"/>
      <c r="L5916" s="1669"/>
    </row>
    <row r="5917" spans="1:12" s="692" customFormat="1" ht="16.5" hidden="1">
      <c r="A5917" s="1665"/>
      <c r="B5917" s="1666"/>
      <c r="C5917" s="688"/>
      <c r="D5917" s="1667"/>
      <c r="E5917" s="688"/>
      <c r="F5917" s="688"/>
      <c r="G5917" s="1674" t="s">
        <v>928</v>
      </c>
      <c r="H5917" s="1671">
        <f>SUM(H5911:H5916)</f>
        <v>0</v>
      </c>
      <c r="I5917" s="1668" t="s">
        <v>92</v>
      </c>
      <c r="J5917" s="1669" t="e">
        <f>'Lead &amp; ANALYSIS'!L1091</f>
        <v>#REF!</v>
      </c>
      <c r="K5917" s="1668" t="s">
        <v>1516</v>
      </c>
      <c r="L5917" s="1669" t="e">
        <f t="shared" ref="L5917" si="1103">ROUND(H5917*J5917,0)</f>
        <v>#REF!</v>
      </c>
    </row>
    <row r="5918" spans="1:12" s="692" customFormat="1" ht="16.5" hidden="1">
      <c r="A5918" s="1665" t="str">
        <f>'Lead &amp; ANALYSIS'!A1092</f>
        <v>iii</v>
      </c>
      <c r="B5918" s="1666" t="str">
        <f>'Lead &amp; ANALYSIS'!B1092</f>
        <v>iii.Hard Sooil</v>
      </c>
      <c r="C5918" s="688"/>
      <c r="D5918" s="1667"/>
      <c r="E5918" s="688"/>
      <c r="F5918" s="688"/>
      <c r="G5918" s="1674"/>
      <c r="H5918" s="688"/>
      <c r="I5918" s="1668"/>
      <c r="J5918" s="1669"/>
      <c r="K5918" s="1668"/>
      <c r="L5918" s="1669"/>
    </row>
    <row r="5919" spans="1:12" s="692" customFormat="1" ht="16.5" hidden="1">
      <c r="A5919" s="1665"/>
      <c r="B5919" s="1666"/>
      <c r="C5919" s="688"/>
      <c r="D5919" s="1667"/>
      <c r="E5919" s="1671">
        <v>3.5</v>
      </c>
      <c r="F5919" s="1671">
        <v>4</v>
      </c>
      <c r="G5919" s="1674"/>
      <c r="H5919" s="1671">
        <f t="shared" ref="H5919:H5924" si="1104">ROUND(D5919*E5919*F5919,2)</f>
        <v>0</v>
      </c>
      <c r="I5919" s="688" t="s">
        <v>92</v>
      </c>
      <c r="J5919" s="1668"/>
      <c r="K5919" s="1668"/>
      <c r="L5919" s="1669"/>
    </row>
    <row r="5920" spans="1:12" s="692" customFormat="1" ht="16.5" hidden="1">
      <c r="A5920" s="1665"/>
      <c r="B5920" s="1666"/>
      <c r="C5920" s="688"/>
      <c r="D5920" s="1667"/>
      <c r="E5920" s="1671">
        <v>3.5</v>
      </c>
      <c r="F5920" s="1671">
        <v>4</v>
      </c>
      <c r="G5920" s="1674"/>
      <c r="H5920" s="1671">
        <f t="shared" si="1104"/>
        <v>0</v>
      </c>
      <c r="I5920" s="688" t="s">
        <v>92</v>
      </c>
      <c r="J5920" s="1668"/>
      <c r="K5920" s="1668"/>
      <c r="L5920" s="1669"/>
    </row>
    <row r="5921" spans="1:12" s="692" customFormat="1" ht="16.5" hidden="1">
      <c r="A5921" s="1665"/>
      <c r="B5921" s="1666"/>
      <c r="C5921" s="688"/>
      <c r="D5921" s="1667"/>
      <c r="E5921" s="1671">
        <v>3.5</v>
      </c>
      <c r="F5921" s="1671">
        <v>4</v>
      </c>
      <c r="G5921" s="1674"/>
      <c r="H5921" s="1671">
        <f t="shared" si="1104"/>
        <v>0</v>
      </c>
      <c r="I5921" s="688" t="s">
        <v>92</v>
      </c>
      <c r="J5921" s="1668"/>
      <c r="K5921" s="1668"/>
      <c r="L5921" s="1669"/>
    </row>
    <row r="5922" spans="1:12" s="692" customFormat="1" ht="16.5" hidden="1">
      <c r="A5922" s="1665"/>
      <c r="B5922" s="1666"/>
      <c r="C5922" s="688"/>
      <c r="D5922" s="1667"/>
      <c r="E5922" s="1671">
        <v>3.5</v>
      </c>
      <c r="F5922" s="1671">
        <v>4</v>
      </c>
      <c r="G5922" s="1674"/>
      <c r="H5922" s="1671">
        <f t="shared" si="1104"/>
        <v>0</v>
      </c>
      <c r="I5922" s="688" t="s">
        <v>92</v>
      </c>
      <c r="J5922" s="1668"/>
      <c r="K5922" s="1668"/>
      <c r="L5922" s="1669"/>
    </row>
    <row r="5923" spans="1:12" s="692" customFormat="1" ht="16.5" hidden="1">
      <c r="A5923" s="1665"/>
      <c r="B5923" s="1666"/>
      <c r="C5923" s="688"/>
      <c r="D5923" s="1667"/>
      <c r="E5923" s="1671">
        <v>3.5</v>
      </c>
      <c r="F5923" s="1671">
        <v>4</v>
      </c>
      <c r="G5923" s="1674"/>
      <c r="H5923" s="1671">
        <f t="shared" si="1104"/>
        <v>0</v>
      </c>
      <c r="I5923" s="688" t="s">
        <v>92</v>
      </c>
      <c r="J5923" s="1668"/>
      <c r="K5923" s="1668"/>
      <c r="L5923" s="1669"/>
    </row>
    <row r="5924" spans="1:12" s="692" customFormat="1" ht="16.5" hidden="1">
      <c r="A5924" s="1665"/>
      <c r="B5924" s="1666"/>
      <c r="C5924" s="688"/>
      <c r="D5924" s="1667"/>
      <c r="E5924" s="1671">
        <v>3.5</v>
      </c>
      <c r="F5924" s="1671">
        <v>4</v>
      </c>
      <c r="G5924" s="1674"/>
      <c r="H5924" s="1671">
        <f t="shared" si="1104"/>
        <v>0</v>
      </c>
      <c r="I5924" s="688" t="s">
        <v>92</v>
      </c>
      <c r="J5924" s="1668"/>
      <c r="K5924" s="1668"/>
      <c r="L5924" s="1669"/>
    </row>
    <row r="5925" spans="1:12" s="692" customFormat="1" ht="16.5" hidden="1">
      <c r="A5925" s="1665"/>
      <c r="B5925" s="1666"/>
      <c r="C5925" s="688"/>
      <c r="D5925" s="1667"/>
      <c r="E5925" s="688"/>
      <c r="F5925" s="688"/>
      <c r="G5925" s="1674" t="s">
        <v>928</v>
      </c>
      <c r="H5925" s="1671">
        <f>SUM(H5919:H5924)</f>
        <v>0</v>
      </c>
      <c r="I5925" s="1668" t="s">
        <v>92</v>
      </c>
      <c r="J5925" s="1669" t="e">
        <f>'Lead &amp; ANALYSIS'!L1092</f>
        <v>#REF!</v>
      </c>
      <c r="K5925" s="1668" t="s">
        <v>1516</v>
      </c>
      <c r="L5925" s="1669" t="e">
        <f t="shared" ref="L5925" si="1105">ROUND(H5925*J5925,0)</f>
        <v>#REF!</v>
      </c>
    </row>
    <row r="5926" spans="1:12" s="692" customFormat="1" ht="16.5" hidden="1">
      <c r="A5926" s="1665" t="str">
        <f>'Lead &amp; ANALYSIS'!A1093</f>
        <v>iv</v>
      </c>
      <c r="B5926" s="1666" t="str">
        <f>'Lead &amp; ANALYSIS'!B1093</f>
        <v>IV.Stony Earth</v>
      </c>
      <c r="C5926" s="688"/>
      <c r="D5926" s="1667"/>
      <c r="E5926" s="688"/>
      <c r="F5926" s="688"/>
      <c r="G5926" s="1674"/>
      <c r="H5926" s="688"/>
      <c r="I5926" s="1668"/>
      <c r="J5926" s="1669"/>
      <c r="K5926" s="1668"/>
      <c r="L5926" s="1669"/>
    </row>
    <row r="5927" spans="1:12" s="692" customFormat="1" ht="16.5" hidden="1">
      <c r="A5927" s="1665"/>
      <c r="B5927" s="1666"/>
      <c r="C5927" s="688"/>
      <c r="D5927" s="1667"/>
      <c r="E5927" s="1671">
        <v>3.5</v>
      </c>
      <c r="F5927" s="1671">
        <v>4</v>
      </c>
      <c r="G5927" s="1674"/>
      <c r="H5927" s="1671">
        <f t="shared" ref="H5927:H5932" si="1106">ROUND(D5927*E5927*F5927,2)</f>
        <v>0</v>
      </c>
      <c r="I5927" s="688" t="s">
        <v>92</v>
      </c>
      <c r="J5927" s="1668"/>
      <c r="K5927" s="1668"/>
      <c r="L5927" s="1669"/>
    </row>
    <row r="5928" spans="1:12" s="692" customFormat="1" ht="16.5" hidden="1">
      <c r="A5928" s="1665"/>
      <c r="B5928" s="1666"/>
      <c r="C5928" s="688"/>
      <c r="D5928" s="1667"/>
      <c r="E5928" s="1671">
        <v>3.5</v>
      </c>
      <c r="F5928" s="1671">
        <v>4</v>
      </c>
      <c r="G5928" s="1674"/>
      <c r="H5928" s="1671">
        <f t="shared" si="1106"/>
        <v>0</v>
      </c>
      <c r="I5928" s="688" t="s">
        <v>92</v>
      </c>
      <c r="J5928" s="1668"/>
      <c r="K5928" s="1668"/>
      <c r="L5928" s="1669"/>
    </row>
    <row r="5929" spans="1:12" s="692" customFormat="1" ht="16.5" hidden="1">
      <c r="A5929" s="1665"/>
      <c r="B5929" s="1666"/>
      <c r="C5929" s="688"/>
      <c r="D5929" s="1667"/>
      <c r="E5929" s="1671">
        <v>3.5</v>
      </c>
      <c r="F5929" s="1671">
        <v>4</v>
      </c>
      <c r="G5929" s="1674"/>
      <c r="H5929" s="1671">
        <f t="shared" si="1106"/>
        <v>0</v>
      </c>
      <c r="I5929" s="688" t="s">
        <v>92</v>
      </c>
      <c r="J5929" s="1668"/>
      <c r="K5929" s="1668"/>
      <c r="L5929" s="1669"/>
    </row>
    <row r="5930" spans="1:12" s="692" customFormat="1" ht="16.5" hidden="1">
      <c r="A5930" s="1665"/>
      <c r="B5930" s="1666"/>
      <c r="C5930" s="688"/>
      <c r="D5930" s="1667"/>
      <c r="E5930" s="1671">
        <v>3.5</v>
      </c>
      <c r="F5930" s="1671">
        <v>4</v>
      </c>
      <c r="G5930" s="1674"/>
      <c r="H5930" s="1671">
        <f t="shared" si="1106"/>
        <v>0</v>
      </c>
      <c r="I5930" s="688" t="s">
        <v>92</v>
      </c>
      <c r="J5930" s="1668"/>
      <c r="K5930" s="1668"/>
      <c r="L5930" s="1669"/>
    </row>
    <row r="5931" spans="1:12" s="692" customFormat="1" ht="16.5" hidden="1">
      <c r="A5931" s="1665"/>
      <c r="B5931" s="1666"/>
      <c r="C5931" s="688"/>
      <c r="D5931" s="1667"/>
      <c r="E5931" s="1671">
        <v>3.5</v>
      </c>
      <c r="F5931" s="1671">
        <v>4</v>
      </c>
      <c r="G5931" s="1674"/>
      <c r="H5931" s="1671">
        <f t="shared" si="1106"/>
        <v>0</v>
      </c>
      <c r="I5931" s="688" t="s">
        <v>92</v>
      </c>
      <c r="J5931" s="1668"/>
      <c r="K5931" s="1668"/>
      <c r="L5931" s="1669"/>
    </row>
    <row r="5932" spans="1:12" s="692" customFormat="1" ht="16.5" hidden="1">
      <c r="A5932" s="1665"/>
      <c r="B5932" s="1666"/>
      <c r="C5932" s="688"/>
      <c r="D5932" s="1667"/>
      <c r="E5932" s="1671">
        <v>3.5</v>
      </c>
      <c r="F5932" s="1671">
        <v>4</v>
      </c>
      <c r="G5932" s="1674"/>
      <c r="H5932" s="1671">
        <f t="shared" si="1106"/>
        <v>0</v>
      </c>
      <c r="I5932" s="688" t="s">
        <v>92</v>
      </c>
      <c r="J5932" s="1668"/>
      <c r="K5932" s="1668"/>
      <c r="L5932" s="1669"/>
    </row>
    <row r="5933" spans="1:12" s="692" customFormat="1" ht="16.5" hidden="1">
      <c r="A5933" s="1665"/>
      <c r="B5933" s="1666"/>
      <c r="C5933" s="688"/>
      <c r="D5933" s="1667"/>
      <c r="E5933" s="688"/>
      <c r="F5933" s="688"/>
      <c r="G5933" s="1674" t="s">
        <v>928</v>
      </c>
      <c r="H5933" s="1671">
        <f>SUM(H5927:H5932)</f>
        <v>0</v>
      </c>
      <c r="I5933" s="1668" t="s">
        <v>92</v>
      </c>
      <c r="J5933" s="1669" t="e">
        <f>'Lead &amp; ANALYSIS'!L1093</f>
        <v>#REF!</v>
      </c>
      <c r="K5933" s="1668" t="s">
        <v>1516</v>
      </c>
      <c r="L5933" s="1669" t="e">
        <f t="shared" ref="L5933" si="1107">ROUND(H5933*J5933,0)</f>
        <v>#REF!</v>
      </c>
    </row>
    <row r="5934" spans="1:12" s="692" customFormat="1" ht="16.5" hidden="1">
      <c r="A5934" s="1665" t="str">
        <f>'Lead &amp; ANALYSIS'!A1094</f>
        <v>v</v>
      </c>
      <c r="B5934" s="1666" t="str">
        <f>'Lead &amp; ANALYSIS'!B1094</f>
        <v>V.All Kinds of Soil</v>
      </c>
      <c r="C5934" s="688"/>
      <c r="D5934" s="1667"/>
      <c r="E5934" s="688"/>
      <c r="F5934" s="688"/>
      <c r="G5934" s="1674"/>
      <c r="H5934" s="688"/>
      <c r="I5934" s="1668"/>
      <c r="J5934" s="1669"/>
      <c r="K5934" s="1668"/>
      <c r="L5934" s="1669"/>
    </row>
    <row r="5935" spans="1:12" s="692" customFormat="1" ht="16.5" hidden="1">
      <c r="A5935" s="1665"/>
      <c r="B5935" s="1666"/>
      <c r="C5935" s="688"/>
      <c r="D5935" s="1667"/>
      <c r="E5935" s="1671">
        <v>3.5</v>
      </c>
      <c r="F5935" s="1671">
        <v>4</v>
      </c>
      <c r="G5935" s="1674"/>
      <c r="H5935" s="1671">
        <f t="shared" ref="H5935:H5940" si="1108">ROUND(D5935*E5935*F5935,2)</f>
        <v>0</v>
      </c>
      <c r="I5935" s="688" t="s">
        <v>92</v>
      </c>
      <c r="J5935" s="1668"/>
      <c r="K5935" s="1668"/>
      <c r="L5935" s="1669"/>
    </row>
    <row r="5936" spans="1:12" s="692" customFormat="1" ht="16.5" hidden="1">
      <c r="A5936" s="1665"/>
      <c r="B5936" s="1666"/>
      <c r="C5936" s="688"/>
      <c r="D5936" s="1667"/>
      <c r="E5936" s="1671">
        <v>3.5</v>
      </c>
      <c r="F5936" s="1671">
        <v>4</v>
      </c>
      <c r="G5936" s="1674"/>
      <c r="H5936" s="1671">
        <f t="shared" si="1108"/>
        <v>0</v>
      </c>
      <c r="I5936" s="688" t="s">
        <v>92</v>
      </c>
      <c r="J5936" s="1668"/>
      <c r="K5936" s="1668"/>
      <c r="L5936" s="1669"/>
    </row>
    <row r="5937" spans="1:12" s="692" customFormat="1" ht="16.5" hidden="1">
      <c r="A5937" s="1665"/>
      <c r="B5937" s="1666"/>
      <c r="C5937" s="688"/>
      <c r="D5937" s="1667"/>
      <c r="E5937" s="1671">
        <v>3.5</v>
      </c>
      <c r="F5937" s="1671">
        <v>4</v>
      </c>
      <c r="G5937" s="1674"/>
      <c r="H5937" s="1671">
        <f t="shared" si="1108"/>
        <v>0</v>
      </c>
      <c r="I5937" s="688" t="s">
        <v>92</v>
      </c>
      <c r="J5937" s="1668"/>
      <c r="K5937" s="1668"/>
      <c r="L5937" s="1669"/>
    </row>
    <row r="5938" spans="1:12" s="692" customFormat="1" ht="16.5" hidden="1">
      <c r="A5938" s="1665"/>
      <c r="B5938" s="1666"/>
      <c r="C5938" s="688"/>
      <c r="D5938" s="1667"/>
      <c r="E5938" s="1671">
        <v>3.5</v>
      </c>
      <c r="F5938" s="1671">
        <v>4</v>
      </c>
      <c r="G5938" s="1674"/>
      <c r="H5938" s="1671">
        <f t="shared" si="1108"/>
        <v>0</v>
      </c>
      <c r="I5938" s="688" t="s">
        <v>92</v>
      </c>
      <c r="J5938" s="1668"/>
      <c r="K5938" s="1668"/>
      <c r="L5938" s="1669"/>
    </row>
    <row r="5939" spans="1:12" s="692" customFormat="1" ht="16.5" hidden="1">
      <c r="A5939" s="1665"/>
      <c r="B5939" s="1666"/>
      <c r="C5939" s="688"/>
      <c r="D5939" s="1667"/>
      <c r="E5939" s="1671">
        <v>3.5</v>
      </c>
      <c r="F5939" s="1671">
        <v>4</v>
      </c>
      <c r="G5939" s="1674"/>
      <c r="H5939" s="1671">
        <f t="shared" si="1108"/>
        <v>0</v>
      </c>
      <c r="I5939" s="688" t="s">
        <v>92</v>
      </c>
      <c r="J5939" s="1668"/>
      <c r="K5939" s="1668"/>
      <c r="L5939" s="1669"/>
    </row>
    <row r="5940" spans="1:12" s="692" customFormat="1" ht="16.5" hidden="1">
      <c r="A5940" s="1665"/>
      <c r="B5940" s="1666"/>
      <c r="C5940" s="688"/>
      <c r="D5940" s="1667"/>
      <c r="E5940" s="1671">
        <v>3.5</v>
      </c>
      <c r="F5940" s="1671">
        <v>4</v>
      </c>
      <c r="G5940" s="1674"/>
      <c r="H5940" s="1671">
        <f t="shared" si="1108"/>
        <v>0</v>
      </c>
      <c r="I5940" s="688" t="s">
        <v>92</v>
      </c>
      <c r="J5940" s="1668"/>
      <c r="K5940" s="1668"/>
      <c r="L5940" s="1669"/>
    </row>
    <row r="5941" spans="1:12" s="692" customFormat="1" ht="16.5" hidden="1">
      <c r="A5941" s="1665"/>
      <c r="B5941" s="1666"/>
      <c r="C5941" s="688"/>
      <c r="D5941" s="1667"/>
      <c r="E5941" s="688"/>
      <c r="F5941" s="688"/>
      <c r="G5941" s="1674" t="s">
        <v>928</v>
      </c>
      <c r="H5941" s="1671">
        <f>SUM(H5935:H5940)</f>
        <v>0</v>
      </c>
      <c r="I5941" s="1668" t="s">
        <v>92</v>
      </c>
      <c r="J5941" s="1669" t="e">
        <f>'Lead &amp; ANALYSIS'!L1094</f>
        <v>#REF!</v>
      </c>
      <c r="K5941" s="1668" t="s">
        <v>1516</v>
      </c>
      <c r="L5941" s="1669" t="e">
        <f t="shared" ref="L5941" si="1109">ROUND(H5941*J5941,0)</f>
        <v>#REF!</v>
      </c>
    </row>
    <row r="5942" spans="1:12" s="692" customFormat="1" ht="16.5" hidden="1">
      <c r="A5942" s="1665" t="str">
        <f>'Lead &amp; ANALYSIS'!A1095</f>
        <v xml:space="preserve">B. </v>
      </c>
      <c r="B5942" s="1666" t="str">
        <f>'Lead &amp; ANALYSIS'!B1095</f>
        <v>2ND DEPTH OF 1.5MTR.</v>
      </c>
      <c r="C5942" s="688"/>
      <c r="D5942" s="1667"/>
      <c r="E5942" s="688"/>
      <c r="F5942" s="688"/>
      <c r="G5942" s="1674"/>
      <c r="H5942" s="688"/>
      <c r="I5942" s="1668"/>
      <c r="J5942" s="1668"/>
      <c r="K5942" s="1668"/>
      <c r="L5942" s="1669"/>
    </row>
    <row r="5943" spans="1:12" s="692" customFormat="1" ht="16.5" hidden="1">
      <c r="A5943" s="1665" t="str">
        <f>'Lead &amp; ANALYSIS'!A1096</f>
        <v>i</v>
      </c>
      <c r="B5943" s="1666" t="str">
        <f>'Lead &amp; ANALYSIS'!B1096</f>
        <v>i.Ordinary Soil.</v>
      </c>
      <c r="C5943" s="688"/>
      <c r="D5943" s="1667"/>
      <c r="E5943" s="688"/>
      <c r="F5943" s="688"/>
      <c r="G5943" s="1674"/>
      <c r="H5943" s="688"/>
      <c r="I5943" s="1668"/>
      <c r="J5943" s="1668"/>
      <c r="K5943" s="1668"/>
      <c r="L5943" s="1668"/>
    </row>
    <row r="5944" spans="1:12" s="692" customFormat="1" ht="16.5" hidden="1">
      <c r="A5944" s="1665"/>
      <c r="B5944" s="1666"/>
      <c r="C5944" s="688"/>
      <c r="D5944" s="1667"/>
      <c r="E5944" s="1671">
        <v>3.5</v>
      </c>
      <c r="F5944" s="1671">
        <v>4</v>
      </c>
      <c r="G5944" s="1674"/>
      <c r="H5944" s="1671">
        <f t="shared" ref="H5944:H5949" si="1110">ROUND(D5944*E5944*F5944,2)</f>
        <v>0</v>
      </c>
      <c r="I5944" s="688" t="s">
        <v>92</v>
      </c>
      <c r="J5944" s="1668"/>
      <c r="K5944" s="1668"/>
      <c r="L5944" s="1668"/>
    </row>
    <row r="5945" spans="1:12" s="692" customFormat="1" ht="16.5" hidden="1">
      <c r="A5945" s="1665"/>
      <c r="B5945" s="1666"/>
      <c r="C5945" s="688"/>
      <c r="D5945" s="1667"/>
      <c r="E5945" s="1671">
        <v>3.5</v>
      </c>
      <c r="F5945" s="1671">
        <v>4</v>
      </c>
      <c r="G5945" s="1674"/>
      <c r="H5945" s="1671">
        <f t="shared" si="1110"/>
        <v>0</v>
      </c>
      <c r="I5945" s="688" t="s">
        <v>92</v>
      </c>
      <c r="J5945" s="1668"/>
      <c r="K5945" s="1668"/>
      <c r="L5945" s="1668"/>
    </row>
    <row r="5946" spans="1:12" s="692" customFormat="1" ht="16.5" hidden="1">
      <c r="A5946" s="1665"/>
      <c r="B5946" s="1666"/>
      <c r="C5946" s="688"/>
      <c r="D5946" s="1667"/>
      <c r="E5946" s="1671">
        <v>3.5</v>
      </c>
      <c r="F5946" s="1671">
        <v>4</v>
      </c>
      <c r="G5946" s="1674"/>
      <c r="H5946" s="1671">
        <f t="shared" si="1110"/>
        <v>0</v>
      </c>
      <c r="I5946" s="688" t="s">
        <v>92</v>
      </c>
      <c r="J5946" s="1668"/>
      <c r="K5946" s="1668"/>
      <c r="L5946" s="1668"/>
    </row>
    <row r="5947" spans="1:12" s="692" customFormat="1" ht="16.5" hidden="1">
      <c r="A5947" s="1665"/>
      <c r="B5947" s="1666"/>
      <c r="C5947" s="688"/>
      <c r="D5947" s="1667"/>
      <c r="E5947" s="1671">
        <v>3.5</v>
      </c>
      <c r="F5947" s="1671">
        <v>4</v>
      </c>
      <c r="G5947" s="1674"/>
      <c r="H5947" s="1671">
        <f t="shared" si="1110"/>
        <v>0</v>
      </c>
      <c r="I5947" s="688" t="s">
        <v>92</v>
      </c>
      <c r="J5947" s="1668"/>
      <c r="K5947" s="1668"/>
      <c r="L5947" s="1668"/>
    </row>
    <row r="5948" spans="1:12" s="692" customFormat="1" ht="16.5" hidden="1">
      <c r="A5948" s="1665"/>
      <c r="B5948" s="1666"/>
      <c r="C5948" s="688"/>
      <c r="D5948" s="1667"/>
      <c r="E5948" s="1671">
        <v>3.5</v>
      </c>
      <c r="F5948" s="1671">
        <v>4</v>
      </c>
      <c r="G5948" s="1674"/>
      <c r="H5948" s="1671">
        <f t="shared" si="1110"/>
        <v>0</v>
      </c>
      <c r="I5948" s="688" t="s">
        <v>92</v>
      </c>
      <c r="J5948" s="1668"/>
      <c r="K5948" s="1668"/>
      <c r="L5948" s="1668"/>
    </row>
    <row r="5949" spans="1:12" s="692" customFormat="1" ht="16.5" hidden="1">
      <c r="A5949" s="1665"/>
      <c r="B5949" s="1666"/>
      <c r="C5949" s="688"/>
      <c r="D5949" s="1667"/>
      <c r="E5949" s="1671">
        <v>3.5</v>
      </c>
      <c r="F5949" s="1671">
        <v>4</v>
      </c>
      <c r="G5949" s="1674"/>
      <c r="H5949" s="1671">
        <f t="shared" si="1110"/>
        <v>0</v>
      </c>
      <c r="I5949" s="688" t="s">
        <v>92</v>
      </c>
      <c r="J5949" s="1668"/>
      <c r="K5949" s="1668"/>
      <c r="L5949" s="1668"/>
    </row>
    <row r="5950" spans="1:12" s="692" customFormat="1" ht="16.5" hidden="1">
      <c r="A5950" s="1665"/>
      <c r="B5950" s="1666"/>
      <c r="C5950" s="688"/>
      <c r="D5950" s="1667"/>
      <c r="E5950" s="1671"/>
      <c r="F5950" s="1671"/>
      <c r="G5950" s="1674" t="s">
        <v>928</v>
      </c>
      <c r="H5950" s="1671">
        <f>SUM(H5944:H5949)</f>
        <v>0</v>
      </c>
      <c r="I5950" s="1668" t="s">
        <v>92</v>
      </c>
      <c r="J5950" s="1669" t="e">
        <f>'Lead &amp; ANALYSIS'!L1096</f>
        <v>#REF!</v>
      </c>
      <c r="K5950" s="1668" t="s">
        <v>1516</v>
      </c>
      <c r="L5950" s="1669" t="e">
        <f>ROUND(H5950*J5950,0)</f>
        <v>#REF!</v>
      </c>
    </row>
    <row r="5951" spans="1:12" s="692" customFormat="1" ht="16.5" hidden="1">
      <c r="A5951" s="1665" t="str">
        <f>'Lead &amp; ANALYSIS'!A1097</f>
        <v>ii</v>
      </c>
      <c r="B5951" s="1666" t="str">
        <f>'Lead &amp; ANALYSIS'!B1097</f>
        <v>ii.Slushy Soil</v>
      </c>
      <c r="C5951" s="688"/>
      <c r="D5951" s="1667"/>
      <c r="E5951" s="688"/>
      <c r="F5951" s="688"/>
      <c r="G5951" s="1674"/>
      <c r="H5951" s="688"/>
      <c r="I5951" s="1668"/>
      <c r="J5951" s="1668"/>
      <c r="K5951" s="1668"/>
      <c r="L5951" s="1669"/>
    </row>
    <row r="5952" spans="1:12" s="692" customFormat="1" ht="16.5" hidden="1">
      <c r="A5952" s="1665"/>
      <c r="B5952" s="1666"/>
      <c r="C5952" s="688"/>
      <c r="D5952" s="1667"/>
      <c r="E5952" s="1671">
        <v>3.5</v>
      </c>
      <c r="F5952" s="1671">
        <v>4</v>
      </c>
      <c r="G5952" s="1674"/>
      <c r="H5952" s="1671">
        <f t="shared" ref="H5952:H5957" si="1111">ROUND(D5952*E5952*F5952,2)</f>
        <v>0</v>
      </c>
      <c r="I5952" s="688" t="s">
        <v>92</v>
      </c>
      <c r="J5952" s="1668"/>
      <c r="K5952" s="1668"/>
      <c r="L5952" s="1669"/>
    </row>
    <row r="5953" spans="1:12" s="692" customFormat="1" ht="16.5" hidden="1">
      <c r="A5953" s="1665"/>
      <c r="B5953" s="1666"/>
      <c r="C5953" s="688"/>
      <c r="D5953" s="1667"/>
      <c r="E5953" s="1671">
        <v>3.5</v>
      </c>
      <c r="F5953" s="1671">
        <v>4</v>
      </c>
      <c r="G5953" s="1674"/>
      <c r="H5953" s="1671">
        <f t="shared" si="1111"/>
        <v>0</v>
      </c>
      <c r="I5953" s="688" t="s">
        <v>92</v>
      </c>
      <c r="J5953" s="1668"/>
      <c r="K5953" s="1668"/>
      <c r="L5953" s="1669"/>
    </row>
    <row r="5954" spans="1:12" s="692" customFormat="1" ht="16.5" hidden="1">
      <c r="A5954" s="1665"/>
      <c r="B5954" s="1666"/>
      <c r="C5954" s="688"/>
      <c r="D5954" s="1667"/>
      <c r="E5954" s="1671">
        <v>3.5</v>
      </c>
      <c r="F5954" s="1671">
        <v>4</v>
      </c>
      <c r="G5954" s="1674"/>
      <c r="H5954" s="1671">
        <f t="shared" si="1111"/>
        <v>0</v>
      </c>
      <c r="I5954" s="688" t="s">
        <v>92</v>
      </c>
      <c r="J5954" s="1668"/>
      <c r="K5954" s="1668"/>
      <c r="L5954" s="1669"/>
    </row>
    <row r="5955" spans="1:12" s="692" customFormat="1" ht="16.5" hidden="1">
      <c r="A5955" s="1665"/>
      <c r="B5955" s="1666"/>
      <c r="C5955" s="688"/>
      <c r="D5955" s="1667"/>
      <c r="E5955" s="1671">
        <v>3.5</v>
      </c>
      <c r="F5955" s="1671">
        <v>4</v>
      </c>
      <c r="G5955" s="1674"/>
      <c r="H5955" s="1671">
        <f t="shared" si="1111"/>
        <v>0</v>
      </c>
      <c r="I5955" s="688" t="s">
        <v>92</v>
      </c>
      <c r="J5955" s="1668"/>
      <c r="K5955" s="1668"/>
      <c r="L5955" s="1669"/>
    </row>
    <row r="5956" spans="1:12" s="692" customFormat="1" ht="16.5" hidden="1">
      <c r="A5956" s="1665"/>
      <c r="B5956" s="1666"/>
      <c r="C5956" s="688"/>
      <c r="D5956" s="1667"/>
      <c r="E5956" s="1671">
        <v>3.5</v>
      </c>
      <c r="F5956" s="1671">
        <v>4</v>
      </c>
      <c r="G5956" s="1674"/>
      <c r="H5956" s="1671">
        <f t="shared" si="1111"/>
        <v>0</v>
      </c>
      <c r="I5956" s="688" t="s">
        <v>92</v>
      </c>
      <c r="J5956" s="1668"/>
      <c r="K5956" s="1668"/>
      <c r="L5956" s="1669"/>
    </row>
    <row r="5957" spans="1:12" s="692" customFormat="1" ht="16.5" hidden="1">
      <c r="A5957" s="1665"/>
      <c r="B5957" s="1666"/>
      <c r="C5957" s="688"/>
      <c r="D5957" s="1667"/>
      <c r="E5957" s="1671">
        <v>3.5</v>
      </c>
      <c r="F5957" s="1671">
        <v>4</v>
      </c>
      <c r="G5957" s="1674"/>
      <c r="H5957" s="1671">
        <f t="shared" si="1111"/>
        <v>0</v>
      </c>
      <c r="I5957" s="688" t="s">
        <v>92</v>
      </c>
      <c r="J5957" s="1668"/>
      <c r="K5957" s="1668"/>
      <c r="L5957" s="1669"/>
    </row>
    <row r="5958" spans="1:12" s="692" customFormat="1" ht="16.5" hidden="1">
      <c r="A5958" s="1665"/>
      <c r="B5958" s="1666"/>
      <c r="C5958" s="688"/>
      <c r="D5958" s="1667"/>
      <c r="E5958" s="1671"/>
      <c r="F5958" s="1671"/>
      <c r="G5958" s="1674" t="s">
        <v>928</v>
      </c>
      <c r="H5958" s="1671">
        <f>SUM(H5952:H5957)</f>
        <v>0</v>
      </c>
      <c r="I5958" s="1668" t="s">
        <v>92</v>
      </c>
      <c r="J5958" s="1669" t="e">
        <f>'Lead &amp; ANALYSIS'!L1097</f>
        <v>#REF!</v>
      </c>
      <c r="K5958" s="1668" t="s">
        <v>1516</v>
      </c>
      <c r="L5958" s="1669" t="e">
        <f>ROUND(H5958*J5958,0)</f>
        <v>#REF!</v>
      </c>
    </row>
    <row r="5959" spans="1:12" s="692" customFormat="1" ht="16.5" hidden="1">
      <c r="A5959" s="1665" t="str">
        <f>'Lead &amp; ANALYSIS'!A1098</f>
        <v>iii</v>
      </c>
      <c r="B5959" s="1666" t="str">
        <f>'Lead &amp; ANALYSIS'!B1098</f>
        <v>iii.Hard Sooil</v>
      </c>
      <c r="C5959" s="688"/>
      <c r="D5959" s="1667"/>
      <c r="E5959" s="688"/>
      <c r="F5959" s="688"/>
      <c r="G5959" s="1674"/>
      <c r="H5959" s="688"/>
      <c r="I5959" s="1668"/>
      <c r="J5959" s="1668"/>
      <c r="K5959" s="1668"/>
      <c r="L5959" s="1669"/>
    </row>
    <row r="5960" spans="1:12" s="692" customFormat="1" ht="16.5" hidden="1">
      <c r="A5960" s="1665"/>
      <c r="B5960" s="1666"/>
      <c r="C5960" s="688"/>
      <c r="D5960" s="1667"/>
      <c r="E5960" s="1671">
        <v>3.5</v>
      </c>
      <c r="F5960" s="1671">
        <v>4</v>
      </c>
      <c r="G5960" s="1674"/>
      <c r="H5960" s="1671">
        <f t="shared" ref="H5960:H5965" si="1112">ROUND(D5960*E5960*F5960,2)</f>
        <v>0</v>
      </c>
      <c r="I5960" s="688" t="s">
        <v>92</v>
      </c>
      <c r="J5960" s="1668"/>
      <c r="K5960" s="1668"/>
      <c r="L5960" s="1669"/>
    </row>
    <row r="5961" spans="1:12" s="692" customFormat="1" ht="16.5" hidden="1">
      <c r="A5961" s="1665"/>
      <c r="B5961" s="1666"/>
      <c r="C5961" s="688"/>
      <c r="D5961" s="1667"/>
      <c r="E5961" s="1671">
        <v>3.5</v>
      </c>
      <c r="F5961" s="1671">
        <v>4</v>
      </c>
      <c r="G5961" s="1674"/>
      <c r="H5961" s="1671">
        <f t="shared" si="1112"/>
        <v>0</v>
      </c>
      <c r="I5961" s="688" t="s">
        <v>92</v>
      </c>
      <c r="J5961" s="1668"/>
      <c r="K5961" s="1668"/>
      <c r="L5961" s="1669"/>
    </row>
    <row r="5962" spans="1:12" s="692" customFormat="1" ht="16.5" hidden="1">
      <c r="A5962" s="1665"/>
      <c r="B5962" s="1666"/>
      <c r="C5962" s="688"/>
      <c r="D5962" s="1667"/>
      <c r="E5962" s="1671">
        <v>3.5</v>
      </c>
      <c r="F5962" s="1671">
        <v>4</v>
      </c>
      <c r="G5962" s="1674"/>
      <c r="H5962" s="1671">
        <f t="shared" si="1112"/>
        <v>0</v>
      </c>
      <c r="I5962" s="688" t="s">
        <v>92</v>
      </c>
      <c r="J5962" s="1668"/>
      <c r="K5962" s="1668"/>
      <c r="L5962" s="1669"/>
    </row>
    <row r="5963" spans="1:12" s="692" customFormat="1" ht="16.5" hidden="1">
      <c r="A5963" s="1665"/>
      <c r="B5963" s="1666"/>
      <c r="C5963" s="688"/>
      <c r="D5963" s="1667"/>
      <c r="E5963" s="1671">
        <v>3.5</v>
      </c>
      <c r="F5963" s="1671">
        <v>4</v>
      </c>
      <c r="G5963" s="1674"/>
      <c r="H5963" s="1671">
        <f t="shared" si="1112"/>
        <v>0</v>
      </c>
      <c r="I5963" s="688" t="s">
        <v>92</v>
      </c>
      <c r="J5963" s="1668"/>
      <c r="K5963" s="1668"/>
      <c r="L5963" s="1669"/>
    </row>
    <row r="5964" spans="1:12" s="692" customFormat="1" ht="16.5" hidden="1">
      <c r="A5964" s="1665"/>
      <c r="B5964" s="1666"/>
      <c r="C5964" s="688"/>
      <c r="D5964" s="1667"/>
      <c r="E5964" s="1671">
        <v>3.5</v>
      </c>
      <c r="F5964" s="1671">
        <v>4</v>
      </c>
      <c r="G5964" s="1674"/>
      <c r="H5964" s="1671">
        <f t="shared" si="1112"/>
        <v>0</v>
      </c>
      <c r="I5964" s="688" t="s">
        <v>92</v>
      </c>
      <c r="J5964" s="1668"/>
      <c r="K5964" s="1668"/>
      <c r="L5964" s="1669"/>
    </row>
    <row r="5965" spans="1:12" s="692" customFormat="1" ht="16.5" hidden="1">
      <c r="A5965" s="1665"/>
      <c r="B5965" s="1666"/>
      <c r="C5965" s="688"/>
      <c r="D5965" s="1667"/>
      <c r="E5965" s="1671">
        <v>3.5</v>
      </c>
      <c r="F5965" s="1671">
        <v>4</v>
      </c>
      <c r="G5965" s="1674"/>
      <c r="H5965" s="1671">
        <f t="shared" si="1112"/>
        <v>0</v>
      </c>
      <c r="I5965" s="688" t="s">
        <v>92</v>
      </c>
      <c r="J5965" s="1668"/>
      <c r="K5965" s="1668"/>
      <c r="L5965" s="1669"/>
    </row>
    <row r="5966" spans="1:12" s="692" customFormat="1" ht="16.5" hidden="1">
      <c r="A5966" s="1665"/>
      <c r="B5966" s="1666"/>
      <c r="C5966" s="688"/>
      <c r="D5966" s="1667"/>
      <c r="E5966" s="1671"/>
      <c r="F5966" s="1671"/>
      <c r="G5966" s="1674" t="s">
        <v>928</v>
      </c>
      <c r="H5966" s="1671">
        <f>SUM(H5960:H5965)</f>
        <v>0</v>
      </c>
      <c r="I5966" s="1668" t="s">
        <v>92</v>
      </c>
      <c r="J5966" s="1669" t="e">
        <f>'Lead &amp; ANALYSIS'!L1098</f>
        <v>#REF!</v>
      </c>
      <c r="K5966" s="1668" t="s">
        <v>1516</v>
      </c>
      <c r="L5966" s="1669" t="e">
        <f>ROUND(H5966*J5966,0)</f>
        <v>#REF!</v>
      </c>
    </row>
    <row r="5967" spans="1:12" s="692" customFormat="1" ht="16.5" hidden="1">
      <c r="A5967" s="1665" t="str">
        <f>'Lead &amp; ANALYSIS'!A1099</f>
        <v>iv</v>
      </c>
      <c r="B5967" s="1666" t="str">
        <f>'Lead &amp; ANALYSIS'!B1099</f>
        <v>IV.Stony Earth</v>
      </c>
      <c r="C5967" s="688"/>
      <c r="D5967" s="1667"/>
      <c r="E5967" s="688"/>
      <c r="F5967" s="688"/>
      <c r="G5967" s="1674"/>
      <c r="H5967" s="688"/>
      <c r="I5967" s="1668"/>
      <c r="J5967" s="1668"/>
      <c r="K5967" s="1668"/>
      <c r="L5967" s="1669"/>
    </row>
    <row r="5968" spans="1:12" s="692" customFormat="1" ht="16.5" hidden="1">
      <c r="A5968" s="1665"/>
      <c r="B5968" s="1666"/>
      <c r="C5968" s="688"/>
      <c r="D5968" s="1667"/>
      <c r="E5968" s="1671">
        <v>3.5</v>
      </c>
      <c r="F5968" s="1671">
        <v>4</v>
      </c>
      <c r="G5968" s="1674"/>
      <c r="H5968" s="1671">
        <f t="shared" ref="H5968:H5973" si="1113">ROUND(D5968*E5968*F5968,2)</f>
        <v>0</v>
      </c>
      <c r="I5968" s="688" t="s">
        <v>92</v>
      </c>
      <c r="J5968" s="1668"/>
      <c r="K5968" s="1668"/>
      <c r="L5968" s="1669"/>
    </row>
    <row r="5969" spans="1:12" s="692" customFormat="1" ht="16.5" hidden="1">
      <c r="A5969" s="1665"/>
      <c r="B5969" s="1666"/>
      <c r="C5969" s="688"/>
      <c r="D5969" s="1667"/>
      <c r="E5969" s="1671">
        <v>3.5</v>
      </c>
      <c r="F5969" s="1671">
        <v>4</v>
      </c>
      <c r="G5969" s="1674"/>
      <c r="H5969" s="1671">
        <f t="shared" si="1113"/>
        <v>0</v>
      </c>
      <c r="I5969" s="688" t="s">
        <v>92</v>
      </c>
      <c r="J5969" s="1668"/>
      <c r="K5969" s="1668"/>
      <c r="L5969" s="1669"/>
    </row>
    <row r="5970" spans="1:12" s="692" customFormat="1" ht="16.5" hidden="1">
      <c r="A5970" s="1665"/>
      <c r="B5970" s="1666"/>
      <c r="C5970" s="688"/>
      <c r="D5970" s="1667"/>
      <c r="E5970" s="1671">
        <v>3.5</v>
      </c>
      <c r="F5970" s="1671">
        <v>4</v>
      </c>
      <c r="G5970" s="1674"/>
      <c r="H5970" s="1671">
        <f t="shared" si="1113"/>
        <v>0</v>
      </c>
      <c r="I5970" s="688" t="s">
        <v>92</v>
      </c>
      <c r="J5970" s="1668"/>
      <c r="K5970" s="1668"/>
      <c r="L5970" s="1669"/>
    </row>
    <row r="5971" spans="1:12" s="692" customFormat="1" ht="16.5" hidden="1">
      <c r="A5971" s="1665"/>
      <c r="B5971" s="1666"/>
      <c r="C5971" s="688"/>
      <c r="D5971" s="1667"/>
      <c r="E5971" s="1671">
        <v>3.5</v>
      </c>
      <c r="F5971" s="1671">
        <v>4</v>
      </c>
      <c r="G5971" s="1674"/>
      <c r="H5971" s="1671">
        <f t="shared" si="1113"/>
        <v>0</v>
      </c>
      <c r="I5971" s="688" t="s">
        <v>92</v>
      </c>
      <c r="J5971" s="1668"/>
      <c r="K5971" s="1668"/>
      <c r="L5971" s="1669"/>
    </row>
    <row r="5972" spans="1:12" s="692" customFormat="1" ht="16.5" hidden="1">
      <c r="A5972" s="1665"/>
      <c r="B5972" s="1666"/>
      <c r="C5972" s="688"/>
      <c r="D5972" s="1667"/>
      <c r="E5972" s="1671">
        <v>3.5</v>
      </c>
      <c r="F5972" s="1671">
        <v>4</v>
      </c>
      <c r="G5972" s="1674"/>
      <c r="H5972" s="1671">
        <f t="shared" si="1113"/>
        <v>0</v>
      </c>
      <c r="I5972" s="688" t="s">
        <v>92</v>
      </c>
      <c r="J5972" s="1668"/>
      <c r="K5972" s="1668"/>
      <c r="L5972" s="1669"/>
    </row>
    <row r="5973" spans="1:12" s="692" customFormat="1" ht="16.5" hidden="1">
      <c r="A5973" s="1665"/>
      <c r="B5973" s="1666"/>
      <c r="C5973" s="688"/>
      <c r="D5973" s="1667"/>
      <c r="E5973" s="1671">
        <v>3.5</v>
      </c>
      <c r="F5973" s="1671">
        <v>4</v>
      </c>
      <c r="G5973" s="1674"/>
      <c r="H5973" s="1671">
        <f t="shared" si="1113"/>
        <v>0</v>
      </c>
      <c r="I5973" s="688" t="s">
        <v>92</v>
      </c>
      <c r="J5973" s="1668"/>
      <c r="K5973" s="1668"/>
      <c r="L5973" s="1669"/>
    </row>
    <row r="5974" spans="1:12" s="692" customFormat="1" ht="16.5" hidden="1">
      <c r="A5974" s="1665"/>
      <c r="B5974" s="1666"/>
      <c r="C5974" s="688"/>
      <c r="D5974" s="1667"/>
      <c r="E5974" s="1671"/>
      <c r="F5974" s="1671"/>
      <c r="G5974" s="1674" t="s">
        <v>928</v>
      </c>
      <c r="H5974" s="1671">
        <f>SUM(H5968:H5973)</f>
        <v>0</v>
      </c>
      <c r="I5974" s="1668" t="s">
        <v>92</v>
      </c>
      <c r="J5974" s="1669" t="e">
        <f>'Lead &amp; ANALYSIS'!L1099</f>
        <v>#REF!</v>
      </c>
      <c r="K5974" s="1668" t="s">
        <v>1516</v>
      </c>
      <c r="L5974" s="1669" t="e">
        <f>ROUND(H5974*J5974,0)</f>
        <v>#REF!</v>
      </c>
    </row>
    <row r="5975" spans="1:12" s="692" customFormat="1" ht="16.5" hidden="1">
      <c r="A5975" s="1665" t="str">
        <f>'Lead &amp; ANALYSIS'!A1100</f>
        <v>v</v>
      </c>
      <c r="B5975" s="1666" t="str">
        <f>'Lead &amp; ANALYSIS'!B1100</f>
        <v>V.All Kinds of Soil</v>
      </c>
      <c r="C5975" s="688"/>
      <c r="D5975" s="1667"/>
      <c r="E5975" s="688"/>
      <c r="F5975" s="688"/>
      <c r="G5975" s="1674"/>
      <c r="H5975" s="688"/>
      <c r="I5975" s="1668"/>
      <c r="J5975" s="1668"/>
      <c r="K5975" s="1668"/>
      <c r="L5975" s="1669"/>
    </row>
    <row r="5976" spans="1:12" s="692" customFormat="1" ht="16.5" hidden="1">
      <c r="A5976" s="1665"/>
      <c r="B5976" s="1666"/>
      <c r="C5976" s="688"/>
      <c r="D5976" s="1667"/>
      <c r="E5976" s="1671">
        <v>3.5</v>
      </c>
      <c r="F5976" s="1671">
        <v>4</v>
      </c>
      <c r="G5976" s="1674"/>
      <c r="H5976" s="1671">
        <f t="shared" ref="H5976:H5981" si="1114">ROUND(D5976*E5976*F5976,2)</f>
        <v>0</v>
      </c>
      <c r="I5976" s="688" t="s">
        <v>92</v>
      </c>
      <c r="J5976" s="1668"/>
      <c r="K5976" s="1668"/>
      <c r="L5976" s="1669"/>
    </row>
    <row r="5977" spans="1:12" s="692" customFormat="1" ht="16.5" hidden="1">
      <c r="A5977" s="1665"/>
      <c r="B5977" s="1666"/>
      <c r="C5977" s="688"/>
      <c r="D5977" s="1667"/>
      <c r="E5977" s="1671">
        <v>3.5</v>
      </c>
      <c r="F5977" s="1671">
        <v>4</v>
      </c>
      <c r="G5977" s="1674"/>
      <c r="H5977" s="1671">
        <f t="shared" si="1114"/>
        <v>0</v>
      </c>
      <c r="I5977" s="688" t="s">
        <v>92</v>
      </c>
      <c r="J5977" s="1668"/>
      <c r="K5977" s="1668"/>
      <c r="L5977" s="1669"/>
    </row>
    <row r="5978" spans="1:12" s="692" customFormat="1" ht="16.5" hidden="1">
      <c r="A5978" s="1665"/>
      <c r="B5978" s="1666"/>
      <c r="C5978" s="688"/>
      <c r="D5978" s="1667"/>
      <c r="E5978" s="1671">
        <v>3.5</v>
      </c>
      <c r="F5978" s="1671">
        <v>4</v>
      </c>
      <c r="G5978" s="1674"/>
      <c r="H5978" s="1671">
        <f t="shared" si="1114"/>
        <v>0</v>
      </c>
      <c r="I5978" s="688" t="s">
        <v>92</v>
      </c>
      <c r="J5978" s="1668"/>
      <c r="K5978" s="1668"/>
      <c r="L5978" s="1669"/>
    </row>
    <row r="5979" spans="1:12" s="692" customFormat="1" ht="16.5" hidden="1">
      <c r="A5979" s="1665"/>
      <c r="B5979" s="1666"/>
      <c r="C5979" s="688"/>
      <c r="D5979" s="1667"/>
      <c r="E5979" s="1671">
        <v>3.5</v>
      </c>
      <c r="F5979" s="1671">
        <v>4</v>
      </c>
      <c r="G5979" s="1674"/>
      <c r="H5979" s="1671">
        <f t="shared" si="1114"/>
        <v>0</v>
      </c>
      <c r="I5979" s="688" t="s">
        <v>92</v>
      </c>
      <c r="J5979" s="1668"/>
      <c r="K5979" s="1668"/>
      <c r="L5979" s="1669"/>
    </row>
    <row r="5980" spans="1:12" s="692" customFormat="1" ht="16.5" hidden="1">
      <c r="A5980" s="1665"/>
      <c r="B5980" s="1666"/>
      <c r="C5980" s="688"/>
      <c r="D5980" s="1667"/>
      <c r="E5980" s="1671">
        <v>3.5</v>
      </c>
      <c r="F5980" s="1671">
        <v>4</v>
      </c>
      <c r="G5980" s="1674"/>
      <c r="H5980" s="1671">
        <f t="shared" si="1114"/>
        <v>0</v>
      </c>
      <c r="I5980" s="688" t="s">
        <v>92</v>
      </c>
      <c r="J5980" s="1668"/>
      <c r="K5980" s="1668"/>
      <c r="L5980" s="1669"/>
    </row>
    <row r="5981" spans="1:12" s="692" customFormat="1" ht="16.5" hidden="1">
      <c r="A5981" s="1665"/>
      <c r="B5981" s="1666"/>
      <c r="C5981" s="688"/>
      <c r="D5981" s="1667"/>
      <c r="E5981" s="1671">
        <v>3.5</v>
      </c>
      <c r="F5981" s="1671">
        <v>4</v>
      </c>
      <c r="G5981" s="1674"/>
      <c r="H5981" s="1671">
        <f t="shared" si="1114"/>
        <v>0</v>
      </c>
      <c r="I5981" s="688" t="s">
        <v>92</v>
      </c>
      <c r="J5981" s="1668"/>
      <c r="K5981" s="1668"/>
      <c r="L5981" s="1669"/>
    </row>
    <row r="5982" spans="1:12" s="692" customFormat="1" ht="16.5" hidden="1">
      <c r="A5982" s="1665"/>
      <c r="B5982" s="1666"/>
      <c r="C5982" s="688"/>
      <c r="D5982" s="1667"/>
      <c r="E5982" s="1671"/>
      <c r="F5982" s="1671"/>
      <c r="G5982" s="1674" t="s">
        <v>928</v>
      </c>
      <c r="H5982" s="1671">
        <f>SUM(H5976:H5981)</f>
        <v>0</v>
      </c>
      <c r="I5982" s="1668" t="s">
        <v>92</v>
      </c>
      <c r="J5982" s="1669" t="e">
        <f>'Lead &amp; ANALYSIS'!L1100</f>
        <v>#REF!</v>
      </c>
      <c r="K5982" s="1668" t="s">
        <v>1516</v>
      </c>
      <c r="L5982" s="1669" t="e">
        <f>ROUND(H5982*J5982,0)</f>
        <v>#REF!</v>
      </c>
    </row>
    <row r="5983" spans="1:12" s="692" customFormat="1" ht="16.5" hidden="1">
      <c r="A5983" s="1665" t="str">
        <f>'Lead &amp; ANALYSIS'!A1101</f>
        <v>C.</v>
      </c>
      <c r="B5983" s="1666" t="str">
        <f>'Lead &amp; ANALYSIS'!B1101</f>
        <v xml:space="preserve"> 3RD DEPTH OF 1.5MTR.</v>
      </c>
      <c r="C5983" s="688"/>
      <c r="D5983" s="1667"/>
      <c r="E5983" s="688"/>
      <c r="F5983" s="688"/>
      <c r="G5983" s="1674"/>
      <c r="H5983" s="688"/>
      <c r="I5983" s="1668"/>
      <c r="J5983" s="1668"/>
      <c r="K5983" s="1668"/>
      <c r="L5983" s="1669"/>
    </row>
    <row r="5984" spans="1:12" s="692" customFormat="1" ht="16.5" hidden="1">
      <c r="A5984" s="1665" t="str">
        <f>'Lead &amp; ANALYSIS'!A1102</f>
        <v>i</v>
      </c>
      <c r="B5984" s="1666" t="str">
        <f>'Lead &amp; ANALYSIS'!B1102</f>
        <v>i.Ordinary Soil.</v>
      </c>
      <c r="C5984" s="688"/>
      <c r="D5984" s="1667"/>
      <c r="E5984" s="688"/>
      <c r="F5984" s="688"/>
      <c r="G5984" s="1674"/>
      <c r="H5984" s="688"/>
      <c r="I5984" s="1668"/>
      <c r="J5984" s="1668"/>
      <c r="K5984" s="1668"/>
      <c r="L5984" s="1669"/>
    </row>
    <row r="5985" spans="1:12" s="692" customFormat="1" ht="16.5" hidden="1">
      <c r="A5985" s="1665"/>
      <c r="B5985" s="1666"/>
      <c r="C5985" s="688"/>
      <c r="D5985" s="1667"/>
      <c r="E5985" s="1671">
        <v>3.5</v>
      </c>
      <c r="F5985" s="1671">
        <v>4</v>
      </c>
      <c r="G5985" s="1674"/>
      <c r="H5985" s="1671">
        <f t="shared" ref="H5985:H5990" si="1115">ROUND(D5985*E5985*F5985,2)</f>
        <v>0</v>
      </c>
      <c r="I5985" s="688" t="s">
        <v>92</v>
      </c>
      <c r="J5985" s="1668"/>
      <c r="K5985" s="1668"/>
      <c r="L5985" s="1669"/>
    </row>
    <row r="5986" spans="1:12" s="692" customFormat="1" ht="16.5" hidden="1">
      <c r="A5986" s="1665"/>
      <c r="B5986" s="1666"/>
      <c r="C5986" s="688"/>
      <c r="D5986" s="1667"/>
      <c r="E5986" s="1671">
        <v>3.5</v>
      </c>
      <c r="F5986" s="1671">
        <v>4</v>
      </c>
      <c r="G5986" s="1674"/>
      <c r="H5986" s="1671">
        <f t="shared" si="1115"/>
        <v>0</v>
      </c>
      <c r="I5986" s="688" t="s">
        <v>92</v>
      </c>
      <c r="J5986" s="1668"/>
      <c r="K5986" s="1668"/>
      <c r="L5986" s="1669"/>
    </row>
    <row r="5987" spans="1:12" s="692" customFormat="1" ht="16.5" hidden="1">
      <c r="A5987" s="1665"/>
      <c r="B5987" s="1666"/>
      <c r="C5987" s="688"/>
      <c r="D5987" s="1667"/>
      <c r="E5987" s="1671">
        <v>3.5</v>
      </c>
      <c r="F5987" s="1671">
        <v>4</v>
      </c>
      <c r="G5987" s="1674"/>
      <c r="H5987" s="1671">
        <f t="shared" si="1115"/>
        <v>0</v>
      </c>
      <c r="I5987" s="688" t="s">
        <v>92</v>
      </c>
      <c r="J5987" s="1668"/>
      <c r="K5987" s="1668"/>
      <c r="L5987" s="1669"/>
    </row>
    <row r="5988" spans="1:12" s="692" customFormat="1" ht="16.5" hidden="1">
      <c r="A5988" s="1665"/>
      <c r="B5988" s="1666"/>
      <c r="C5988" s="688"/>
      <c r="D5988" s="1667"/>
      <c r="E5988" s="1671">
        <v>3.5</v>
      </c>
      <c r="F5988" s="1671">
        <v>4</v>
      </c>
      <c r="G5988" s="1674"/>
      <c r="H5988" s="1671">
        <f t="shared" si="1115"/>
        <v>0</v>
      </c>
      <c r="I5988" s="688" t="s">
        <v>92</v>
      </c>
      <c r="J5988" s="1668"/>
      <c r="K5988" s="1668"/>
      <c r="L5988" s="1669"/>
    </row>
    <row r="5989" spans="1:12" s="692" customFormat="1" ht="16.5" hidden="1">
      <c r="A5989" s="1665"/>
      <c r="B5989" s="1666"/>
      <c r="C5989" s="688"/>
      <c r="D5989" s="1667"/>
      <c r="E5989" s="1671">
        <v>3.5</v>
      </c>
      <c r="F5989" s="1671">
        <v>4</v>
      </c>
      <c r="G5989" s="1674"/>
      <c r="H5989" s="1671">
        <f t="shared" si="1115"/>
        <v>0</v>
      </c>
      <c r="I5989" s="688" t="s">
        <v>92</v>
      </c>
      <c r="J5989" s="1668"/>
      <c r="K5989" s="1668"/>
      <c r="L5989" s="1669"/>
    </row>
    <row r="5990" spans="1:12" s="692" customFormat="1" ht="16.5" hidden="1">
      <c r="A5990" s="1665"/>
      <c r="B5990" s="1666"/>
      <c r="C5990" s="688"/>
      <c r="D5990" s="1667"/>
      <c r="E5990" s="1671">
        <v>3.5</v>
      </c>
      <c r="F5990" s="1671">
        <v>4</v>
      </c>
      <c r="G5990" s="1674"/>
      <c r="H5990" s="1671">
        <f t="shared" si="1115"/>
        <v>0</v>
      </c>
      <c r="I5990" s="688" t="s">
        <v>92</v>
      </c>
      <c r="J5990" s="1668"/>
      <c r="K5990" s="1668"/>
      <c r="L5990" s="1669"/>
    </row>
    <row r="5991" spans="1:12" s="692" customFormat="1" ht="16.5" hidden="1">
      <c r="A5991" s="1665"/>
      <c r="B5991" s="1666"/>
      <c r="C5991" s="688"/>
      <c r="D5991" s="1667"/>
      <c r="E5991" s="1671"/>
      <c r="F5991" s="1671"/>
      <c r="G5991" s="1674" t="s">
        <v>928</v>
      </c>
      <c r="H5991" s="1671">
        <f>SUM(H5985:H5990)</f>
        <v>0</v>
      </c>
      <c r="I5991" s="1668" t="s">
        <v>92</v>
      </c>
      <c r="J5991" s="1669" t="e">
        <f>'Lead &amp; ANALYSIS'!L1102</f>
        <v>#REF!</v>
      </c>
      <c r="K5991" s="1668" t="s">
        <v>1516</v>
      </c>
      <c r="L5991" s="1669" t="e">
        <f>ROUND(H5991*J5991,0)</f>
        <v>#REF!</v>
      </c>
    </row>
    <row r="5992" spans="1:12" s="692" customFormat="1" ht="16.5" hidden="1">
      <c r="A5992" s="1665" t="str">
        <f>'Lead &amp; ANALYSIS'!A1103</f>
        <v>ii</v>
      </c>
      <c r="B5992" s="1666" t="str">
        <f>'Lead &amp; ANALYSIS'!B1103</f>
        <v>ii.Slushy Soil</v>
      </c>
      <c r="C5992" s="688"/>
      <c r="D5992" s="1667"/>
      <c r="E5992" s="688"/>
      <c r="F5992" s="688"/>
      <c r="G5992" s="1674"/>
      <c r="H5992" s="688"/>
      <c r="I5992" s="1668"/>
      <c r="J5992" s="1668"/>
      <c r="K5992" s="1668"/>
      <c r="L5992" s="1669"/>
    </row>
    <row r="5993" spans="1:12" s="692" customFormat="1" ht="16.5" hidden="1">
      <c r="A5993" s="1665"/>
      <c r="B5993" s="1666"/>
      <c r="C5993" s="688"/>
      <c r="D5993" s="1667"/>
      <c r="E5993" s="1671">
        <v>3.5</v>
      </c>
      <c r="F5993" s="1671">
        <v>4</v>
      </c>
      <c r="G5993" s="1674"/>
      <c r="H5993" s="1671">
        <f t="shared" ref="H5993:H5998" si="1116">ROUND(D5993*E5993*F5993,2)</f>
        <v>0</v>
      </c>
      <c r="I5993" s="688" t="s">
        <v>92</v>
      </c>
      <c r="J5993" s="1668"/>
      <c r="K5993" s="1668"/>
      <c r="L5993" s="1669"/>
    </row>
    <row r="5994" spans="1:12" s="692" customFormat="1" ht="16.5" hidden="1">
      <c r="A5994" s="1665"/>
      <c r="B5994" s="1666"/>
      <c r="C5994" s="688"/>
      <c r="D5994" s="1667"/>
      <c r="E5994" s="1671">
        <v>3.5</v>
      </c>
      <c r="F5994" s="1671">
        <v>4</v>
      </c>
      <c r="G5994" s="1674"/>
      <c r="H5994" s="1671">
        <f t="shared" si="1116"/>
        <v>0</v>
      </c>
      <c r="I5994" s="688" t="s">
        <v>92</v>
      </c>
      <c r="J5994" s="1668"/>
      <c r="K5994" s="1668"/>
      <c r="L5994" s="1669"/>
    </row>
    <row r="5995" spans="1:12" s="692" customFormat="1" ht="16.5" hidden="1">
      <c r="A5995" s="1665"/>
      <c r="B5995" s="1666"/>
      <c r="C5995" s="688"/>
      <c r="D5995" s="1667"/>
      <c r="E5995" s="1671">
        <v>3.5</v>
      </c>
      <c r="F5995" s="1671">
        <v>4</v>
      </c>
      <c r="G5995" s="1674"/>
      <c r="H5995" s="1671">
        <f t="shared" si="1116"/>
        <v>0</v>
      </c>
      <c r="I5995" s="688" t="s">
        <v>92</v>
      </c>
      <c r="J5995" s="1668"/>
      <c r="K5995" s="1668"/>
      <c r="L5995" s="1669"/>
    </row>
    <row r="5996" spans="1:12" s="692" customFormat="1" ht="16.5" hidden="1">
      <c r="A5996" s="1665"/>
      <c r="B5996" s="1666"/>
      <c r="C5996" s="688"/>
      <c r="D5996" s="1667"/>
      <c r="E5996" s="1671">
        <v>3.5</v>
      </c>
      <c r="F5996" s="1671">
        <v>4</v>
      </c>
      <c r="G5996" s="1674"/>
      <c r="H5996" s="1671">
        <f t="shared" si="1116"/>
        <v>0</v>
      </c>
      <c r="I5996" s="688" t="s">
        <v>92</v>
      </c>
      <c r="J5996" s="1668"/>
      <c r="K5996" s="1668"/>
      <c r="L5996" s="1669"/>
    </row>
    <row r="5997" spans="1:12" s="692" customFormat="1" ht="16.5" hidden="1">
      <c r="A5997" s="1665"/>
      <c r="B5997" s="1666"/>
      <c r="C5997" s="688"/>
      <c r="D5997" s="1667"/>
      <c r="E5997" s="1671">
        <v>3.5</v>
      </c>
      <c r="F5997" s="1671">
        <v>4</v>
      </c>
      <c r="G5997" s="1674"/>
      <c r="H5997" s="1671">
        <f t="shared" si="1116"/>
        <v>0</v>
      </c>
      <c r="I5997" s="688" t="s">
        <v>92</v>
      </c>
      <c r="J5997" s="1668"/>
      <c r="K5997" s="1668"/>
      <c r="L5997" s="1669"/>
    </row>
    <row r="5998" spans="1:12" s="692" customFormat="1" ht="16.5" hidden="1">
      <c r="A5998" s="1665"/>
      <c r="B5998" s="1666"/>
      <c r="C5998" s="688"/>
      <c r="D5998" s="1667"/>
      <c r="E5998" s="1671">
        <v>3.5</v>
      </c>
      <c r="F5998" s="1671">
        <v>4</v>
      </c>
      <c r="G5998" s="1674"/>
      <c r="H5998" s="1671">
        <f t="shared" si="1116"/>
        <v>0</v>
      </c>
      <c r="I5998" s="688" t="s">
        <v>92</v>
      </c>
      <c r="J5998" s="1668"/>
      <c r="K5998" s="1668"/>
      <c r="L5998" s="1669"/>
    </row>
    <row r="5999" spans="1:12" s="692" customFormat="1" ht="16.5" hidden="1">
      <c r="A5999" s="1665"/>
      <c r="B5999" s="1666"/>
      <c r="C5999" s="688"/>
      <c r="D5999" s="1667"/>
      <c r="E5999" s="1671"/>
      <c r="F5999" s="1671"/>
      <c r="G5999" s="1674" t="s">
        <v>928</v>
      </c>
      <c r="H5999" s="1671">
        <f>SUM(H5993:H5998)</f>
        <v>0</v>
      </c>
      <c r="I5999" s="1668" t="s">
        <v>92</v>
      </c>
      <c r="J5999" s="1669" t="e">
        <f>'Lead &amp; ANALYSIS'!L1103</f>
        <v>#REF!</v>
      </c>
      <c r="K5999" s="1668" t="s">
        <v>1516</v>
      </c>
      <c r="L5999" s="1669" t="e">
        <f>ROUND(H5999*J5999,0)</f>
        <v>#REF!</v>
      </c>
    </row>
    <row r="6000" spans="1:12" s="692" customFormat="1" ht="16.5" hidden="1">
      <c r="A6000" s="1665" t="str">
        <f>'Lead &amp; ANALYSIS'!A1104</f>
        <v>iii</v>
      </c>
      <c r="B6000" s="1666" t="str">
        <f>'Lead &amp; ANALYSIS'!B1104</f>
        <v>iii.Hard Sooil</v>
      </c>
      <c r="C6000" s="688"/>
      <c r="D6000" s="1667"/>
      <c r="E6000" s="688"/>
      <c r="F6000" s="688"/>
      <c r="G6000" s="1674"/>
      <c r="H6000" s="688"/>
      <c r="I6000" s="1668"/>
      <c r="J6000" s="1668"/>
      <c r="K6000" s="1668"/>
      <c r="L6000" s="1669"/>
    </row>
    <row r="6001" spans="1:12" s="692" customFormat="1" ht="16.5" hidden="1">
      <c r="A6001" s="1665"/>
      <c r="B6001" s="1666"/>
      <c r="C6001" s="688"/>
      <c r="D6001" s="1667"/>
      <c r="E6001" s="1671">
        <v>3.5</v>
      </c>
      <c r="F6001" s="1671">
        <v>4</v>
      </c>
      <c r="G6001" s="1674"/>
      <c r="H6001" s="1671">
        <f t="shared" ref="H6001:H6006" si="1117">ROUND(D6001*E6001*F6001,2)</f>
        <v>0</v>
      </c>
      <c r="I6001" s="688" t="s">
        <v>92</v>
      </c>
      <c r="J6001" s="1668"/>
      <c r="K6001" s="1668"/>
      <c r="L6001" s="1669"/>
    </row>
    <row r="6002" spans="1:12" s="692" customFormat="1" ht="16.5" hidden="1">
      <c r="A6002" s="1665"/>
      <c r="B6002" s="1666"/>
      <c r="C6002" s="688"/>
      <c r="D6002" s="1667"/>
      <c r="E6002" s="1671">
        <v>3.5</v>
      </c>
      <c r="F6002" s="1671">
        <v>4</v>
      </c>
      <c r="G6002" s="1674"/>
      <c r="H6002" s="1671">
        <f t="shared" si="1117"/>
        <v>0</v>
      </c>
      <c r="I6002" s="688" t="s">
        <v>92</v>
      </c>
      <c r="J6002" s="1668"/>
      <c r="K6002" s="1668"/>
      <c r="L6002" s="1669"/>
    </row>
    <row r="6003" spans="1:12" s="692" customFormat="1" ht="16.5" hidden="1">
      <c r="A6003" s="1665"/>
      <c r="B6003" s="1666"/>
      <c r="C6003" s="688"/>
      <c r="D6003" s="1667"/>
      <c r="E6003" s="1671">
        <v>3.5</v>
      </c>
      <c r="F6003" s="1671">
        <v>4</v>
      </c>
      <c r="G6003" s="1674"/>
      <c r="H6003" s="1671">
        <f t="shared" si="1117"/>
        <v>0</v>
      </c>
      <c r="I6003" s="688" t="s">
        <v>92</v>
      </c>
      <c r="J6003" s="1668"/>
      <c r="K6003" s="1668"/>
      <c r="L6003" s="1669"/>
    </row>
    <row r="6004" spans="1:12" s="692" customFormat="1" ht="16.5" hidden="1">
      <c r="A6004" s="1665"/>
      <c r="B6004" s="1666"/>
      <c r="C6004" s="688"/>
      <c r="D6004" s="1667"/>
      <c r="E6004" s="1671">
        <v>3.5</v>
      </c>
      <c r="F6004" s="1671">
        <v>4</v>
      </c>
      <c r="G6004" s="1674"/>
      <c r="H6004" s="1671">
        <f t="shared" si="1117"/>
        <v>0</v>
      </c>
      <c r="I6004" s="688" t="s">
        <v>92</v>
      </c>
      <c r="J6004" s="1668"/>
      <c r="K6004" s="1668"/>
      <c r="L6004" s="1669"/>
    </row>
    <row r="6005" spans="1:12" s="692" customFormat="1" ht="16.5" hidden="1">
      <c r="A6005" s="1665"/>
      <c r="B6005" s="1666"/>
      <c r="C6005" s="688"/>
      <c r="D6005" s="1667"/>
      <c r="E6005" s="1671">
        <v>3.5</v>
      </c>
      <c r="F6005" s="1671">
        <v>4</v>
      </c>
      <c r="G6005" s="1674"/>
      <c r="H6005" s="1671">
        <f t="shared" si="1117"/>
        <v>0</v>
      </c>
      <c r="I6005" s="688" t="s">
        <v>92</v>
      </c>
      <c r="J6005" s="1668"/>
      <c r="K6005" s="1668"/>
      <c r="L6005" s="1669"/>
    </row>
    <row r="6006" spans="1:12" s="692" customFormat="1" ht="16.5" hidden="1">
      <c r="A6006" s="1665"/>
      <c r="B6006" s="1666"/>
      <c r="C6006" s="688"/>
      <c r="D6006" s="1667"/>
      <c r="E6006" s="1671">
        <v>3.5</v>
      </c>
      <c r="F6006" s="1671">
        <v>4</v>
      </c>
      <c r="G6006" s="1674"/>
      <c r="H6006" s="1671">
        <f t="shared" si="1117"/>
        <v>0</v>
      </c>
      <c r="I6006" s="688" t="s">
        <v>92</v>
      </c>
      <c r="J6006" s="1668"/>
      <c r="K6006" s="1668"/>
      <c r="L6006" s="1669"/>
    </row>
    <row r="6007" spans="1:12" s="692" customFormat="1" ht="16.5" hidden="1">
      <c r="A6007" s="1665"/>
      <c r="B6007" s="1666"/>
      <c r="C6007" s="688"/>
      <c r="D6007" s="1667"/>
      <c r="E6007" s="1671"/>
      <c r="F6007" s="1671"/>
      <c r="G6007" s="1674" t="s">
        <v>928</v>
      </c>
      <c r="H6007" s="1671">
        <f>SUM(H6001:H6006)</f>
        <v>0</v>
      </c>
      <c r="I6007" s="1668" t="s">
        <v>92</v>
      </c>
      <c r="J6007" s="1669" t="e">
        <f>'Lead &amp; ANALYSIS'!L1104</f>
        <v>#REF!</v>
      </c>
      <c r="K6007" s="1668" t="s">
        <v>1516</v>
      </c>
      <c r="L6007" s="1669" t="e">
        <f>ROUND(H6007*J6007,0)</f>
        <v>#REF!</v>
      </c>
    </row>
    <row r="6008" spans="1:12" s="692" customFormat="1" ht="16.5" hidden="1">
      <c r="A6008" s="1665" t="str">
        <f>'Lead &amp; ANALYSIS'!A1105</f>
        <v>iv</v>
      </c>
      <c r="B6008" s="1666" t="str">
        <f>'Lead &amp; ANALYSIS'!B1105</f>
        <v>IV.Stony Earth</v>
      </c>
      <c r="C6008" s="688"/>
      <c r="D6008" s="1667"/>
      <c r="E6008" s="688"/>
      <c r="F6008" s="688"/>
      <c r="G6008" s="1674"/>
      <c r="H6008" s="688"/>
      <c r="I6008" s="1668"/>
      <c r="J6008" s="1668"/>
      <c r="K6008" s="1668"/>
      <c r="L6008" s="1669"/>
    </row>
    <row r="6009" spans="1:12" s="692" customFormat="1" ht="16.5" hidden="1">
      <c r="A6009" s="1665"/>
      <c r="B6009" s="1666"/>
      <c r="C6009" s="688"/>
      <c r="D6009" s="1667"/>
      <c r="E6009" s="1671">
        <v>3.5</v>
      </c>
      <c r="F6009" s="1671">
        <v>4</v>
      </c>
      <c r="G6009" s="1674"/>
      <c r="H6009" s="1671">
        <f t="shared" ref="H6009:H6014" si="1118">ROUND(D6009*E6009*F6009,2)</f>
        <v>0</v>
      </c>
      <c r="I6009" s="688" t="s">
        <v>92</v>
      </c>
      <c r="J6009" s="1668"/>
      <c r="K6009" s="1668"/>
      <c r="L6009" s="1669"/>
    </row>
    <row r="6010" spans="1:12" s="692" customFormat="1" ht="16.5" hidden="1">
      <c r="A6010" s="1665"/>
      <c r="B6010" s="1666"/>
      <c r="C6010" s="688"/>
      <c r="D6010" s="1667"/>
      <c r="E6010" s="1671">
        <v>3.5</v>
      </c>
      <c r="F6010" s="1671">
        <v>4</v>
      </c>
      <c r="G6010" s="1674"/>
      <c r="H6010" s="1671">
        <f t="shared" si="1118"/>
        <v>0</v>
      </c>
      <c r="I6010" s="688" t="s">
        <v>92</v>
      </c>
      <c r="J6010" s="1668"/>
      <c r="K6010" s="1668"/>
      <c r="L6010" s="1669"/>
    </row>
    <row r="6011" spans="1:12" s="692" customFormat="1" ht="16.5" hidden="1">
      <c r="A6011" s="1665"/>
      <c r="B6011" s="1666"/>
      <c r="C6011" s="688"/>
      <c r="D6011" s="1667"/>
      <c r="E6011" s="1671">
        <v>3.5</v>
      </c>
      <c r="F6011" s="1671">
        <v>4</v>
      </c>
      <c r="G6011" s="1674"/>
      <c r="H6011" s="1671">
        <f t="shared" si="1118"/>
        <v>0</v>
      </c>
      <c r="I6011" s="688" t="s">
        <v>92</v>
      </c>
      <c r="J6011" s="1668"/>
      <c r="K6011" s="1668"/>
      <c r="L6011" s="1669"/>
    </row>
    <row r="6012" spans="1:12" s="692" customFormat="1" ht="16.5" hidden="1">
      <c r="A6012" s="1665"/>
      <c r="B6012" s="1666"/>
      <c r="C6012" s="688"/>
      <c r="D6012" s="1667"/>
      <c r="E6012" s="1671">
        <v>3.5</v>
      </c>
      <c r="F6012" s="1671">
        <v>4</v>
      </c>
      <c r="G6012" s="1674"/>
      <c r="H6012" s="1671">
        <f t="shared" si="1118"/>
        <v>0</v>
      </c>
      <c r="I6012" s="688" t="s">
        <v>92</v>
      </c>
      <c r="J6012" s="1668"/>
      <c r="K6012" s="1668"/>
      <c r="L6012" s="1669"/>
    </row>
    <row r="6013" spans="1:12" s="692" customFormat="1" ht="16.5" hidden="1">
      <c r="A6013" s="1665"/>
      <c r="B6013" s="1666"/>
      <c r="C6013" s="688"/>
      <c r="D6013" s="1667"/>
      <c r="E6013" s="1671">
        <v>3.5</v>
      </c>
      <c r="F6013" s="1671">
        <v>4</v>
      </c>
      <c r="G6013" s="1674"/>
      <c r="H6013" s="1671">
        <f t="shared" si="1118"/>
        <v>0</v>
      </c>
      <c r="I6013" s="688" t="s">
        <v>92</v>
      </c>
      <c r="J6013" s="1668"/>
      <c r="K6013" s="1668"/>
      <c r="L6013" s="1669"/>
    </row>
    <row r="6014" spans="1:12" s="692" customFormat="1" ht="16.5" hidden="1">
      <c r="A6014" s="1665"/>
      <c r="B6014" s="1666"/>
      <c r="C6014" s="688"/>
      <c r="D6014" s="1667"/>
      <c r="E6014" s="1671">
        <v>3.5</v>
      </c>
      <c r="F6014" s="1671">
        <v>4</v>
      </c>
      <c r="G6014" s="1674"/>
      <c r="H6014" s="1671">
        <f t="shared" si="1118"/>
        <v>0</v>
      </c>
      <c r="I6014" s="688" t="s">
        <v>92</v>
      </c>
      <c r="J6014" s="1668"/>
      <c r="K6014" s="1668"/>
      <c r="L6014" s="1669"/>
    </row>
    <row r="6015" spans="1:12" s="692" customFormat="1" ht="16.5" hidden="1">
      <c r="A6015" s="1665"/>
      <c r="B6015" s="1666"/>
      <c r="C6015" s="688"/>
      <c r="D6015" s="1667"/>
      <c r="E6015" s="1671"/>
      <c r="F6015" s="1671"/>
      <c r="G6015" s="1674" t="s">
        <v>928</v>
      </c>
      <c r="H6015" s="1671">
        <f>SUM(H6009:H6014)</f>
        <v>0</v>
      </c>
      <c r="I6015" s="1668" t="s">
        <v>92</v>
      </c>
      <c r="J6015" s="1669" t="e">
        <f>'Lead &amp; ANALYSIS'!L1105</f>
        <v>#REF!</v>
      </c>
      <c r="K6015" s="1668" t="s">
        <v>1516</v>
      </c>
      <c r="L6015" s="1669" t="e">
        <f>ROUND(H6015*J6015,0)</f>
        <v>#REF!</v>
      </c>
    </row>
    <row r="6016" spans="1:12" s="692" customFormat="1" ht="16.5" hidden="1">
      <c r="A6016" s="1665" t="str">
        <f>'Lead &amp; ANALYSIS'!A1106</f>
        <v>v</v>
      </c>
      <c r="B6016" s="1666" t="str">
        <f>'Lead &amp; ANALYSIS'!B1106</f>
        <v>V.All Kinds of Soil</v>
      </c>
      <c r="C6016" s="688"/>
      <c r="D6016" s="1667"/>
      <c r="E6016" s="688"/>
      <c r="F6016" s="688"/>
      <c r="G6016" s="1674"/>
      <c r="H6016" s="688"/>
      <c r="I6016" s="1668"/>
      <c r="J6016" s="1668"/>
      <c r="K6016" s="1668"/>
      <c r="L6016" s="1669"/>
    </row>
    <row r="6017" spans="1:12" s="692" customFormat="1" ht="16.5" hidden="1">
      <c r="A6017" s="1665"/>
      <c r="B6017" s="1666"/>
      <c r="C6017" s="688"/>
      <c r="D6017" s="1667"/>
      <c r="E6017" s="1671">
        <v>3.5</v>
      </c>
      <c r="F6017" s="1671">
        <v>4</v>
      </c>
      <c r="G6017" s="1674"/>
      <c r="H6017" s="1671">
        <f t="shared" ref="H6017:H6022" si="1119">ROUND(D6017*E6017*F6017,2)</f>
        <v>0</v>
      </c>
      <c r="I6017" s="688" t="s">
        <v>92</v>
      </c>
      <c r="J6017" s="1668"/>
      <c r="K6017" s="1668"/>
      <c r="L6017" s="1669"/>
    </row>
    <row r="6018" spans="1:12" s="692" customFormat="1" ht="16.5" hidden="1">
      <c r="A6018" s="1665"/>
      <c r="B6018" s="1666"/>
      <c r="C6018" s="688"/>
      <c r="D6018" s="1667"/>
      <c r="E6018" s="1671">
        <v>3.5</v>
      </c>
      <c r="F6018" s="1671">
        <v>4</v>
      </c>
      <c r="G6018" s="1674"/>
      <c r="H6018" s="1671">
        <f t="shared" si="1119"/>
        <v>0</v>
      </c>
      <c r="I6018" s="688" t="s">
        <v>92</v>
      </c>
      <c r="J6018" s="1668"/>
      <c r="K6018" s="1668"/>
      <c r="L6018" s="1669"/>
    </row>
    <row r="6019" spans="1:12" s="692" customFormat="1" ht="16.5" hidden="1">
      <c r="A6019" s="1665"/>
      <c r="B6019" s="1666"/>
      <c r="C6019" s="688"/>
      <c r="D6019" s="1667"/>
      <c r="E6019" s="1671">
        <v>3.5</v>
      </c>
      <c r="F6019" s="1671">
        <v>4</v>
      </c>
      <c r="G6019" s="1674"/>
      <c r="H6019" s="1671">
        <f t="shared" si="1119"/>
        <v>0</v>
      </c>
      <c r="I6019" s="688" t="s">
        <v>92</v>
      </c>
      <c r="J6019" s="1668"/>
      <c r="K6019" s="1668"/>
      <c r="L6019" s="1669"/>
    </row>
    <row r="6020" spans="1:12" s="692" customFormat="1" ht="16.5" hidden="1">
      <c r="A6020" s="1665"/>
      <c r="B6020" s="1666"/>
      <c r="C6020" s="688"/>
      <c r="D6020" s="1667"/>
      <c r="E6020" s="1671">
        <v>3.5</v>
      </c>
      <c r="F6020" s="1671">
        <v>4</v>
      </c>
      <c r="G6020" s="1674"/>
      <c r="H6020" s="1671">
        <f t="shared" si="1119"/>
        <v>0</v>
      </c>
      <c r="I6020" s="688" t="s">
        <v>92</v>
      </c>
      <c r="J6020" s="1668"/>
      <c r="K6020" s="1668"/>
      <c r="L6020" s="1669"/>
    </row>
    <row r="6021" spans="1:12" s="692" customFormat="1" ht="16.5" hidden="1">
      <c r="A6021" s="1665"/>
      <c r="B6021" s="1666"/>
      <c r="C6021" s="688"/>
      <c r="D6021" s="1667"/>
      <c r="E6021" s="1671">
        <v>3.5</v>
      </c>
      <c r="F6021" s="1671">
        <v>4</v>
      </c>
      <c r="G6021" s="1674"/>
      <c r="H6021" s="1671">
        <f t="shared" si="1119"/>
        <v>0</v>
      </c>
      <c r="I6021" s="688" t="s">
        <v>92</v>
      </c>
      <c r="J6021" s="1668"/>
      <c r="K6021" s="1668"/>
      <c r="L6021" s="1669"/>
    </row>
    <row r="6022" spans="1:12" s="692" customFormat="1" ht="16.5" hidden="1">
      <c r="A6022" s="1665"/>
      <c r="B6022" s="1666"/>
      <c r="C6022" s="688"/>
      <c r="D6022" s="1667"/>
      <c r="E6022" s="1671">
        <v>3.5</v>
      </c>
      <c r="F6022" s="1671">
        <v>4</v>
      </c>
      <c r="G6022" s="1674"/>
      <c r="H6022" s="1671">
        <f t="shared" si="1119"/>
        <v>0</v>
      </c>
      <c r="I6022" s="688" t="s">
        <v>92</v>
      </c>
      <c r="J6022" s="1668"/>
      <c r="K6022" s="1668"/>
      <c r="L6022" s="1669"/>
    </row>
    <row r="6023" spans="1:12" s="692" customFormat="1" ht="16.5" hidden="1">
      <c r="A6023" s="1665"/>
      <c r="B6023" s="1666"/>
      <c r="C6023" s="688"/>
      <c r="D6023" s="1667"/>
      <c r="E6023" s="1671"/>
      <c r="F6023" s="1671"/>
      <c r="G6023" s="1674" t="s">
        <v>928</v>
      </c>
      <c r="H6023" s="1671">
        <f>SUM(H6017:H6022)</f>
        <v>0</v>
      </c>
      <c r="I6023" s="1668" t="s">
        <v>92</v>
      </c>
      <c r="J6023" s="1669" t="e">
        <f>'Lead &amp; ANALYSIS'!L1106</f>
        <v>#REF!</v>
      </c>
      <c r="K6023" s="1668" t="s">
        <v>1516</v>
      </c>
      <c r="L6023" s="1669" t="e">
        <f>ROUND(H6023*J6023,0)</f>
        <v>#REF!</v>
      </c>
    </row>
    <row r="6024" spans="1:12" s="692" customFormat="1" ht="16.5" hidden="1">
      <c r="A6024" s="1665" t="str">
        <f>'Lead &amp; ANALYSIS'!A1107</f>
        <v>D.</v>
      </c>
      <c r="B6024" s="1666" t="str">
        <f>'Lead &amp; ANALYSIS'!B1107</f>
        <v>4TH DEPTH OF 1.5MTR.</v>
      </c>
      <c r="C6024" s="688"/>
      <c r="D6024" s="1667"/>
      <c r="E6024" s="688"/>
      <c r="F6024" s="688"/>
      <c r="G6024" s="1674"/>
      <c r="H6024" s="688"/>
      <c r="I6024" s="1668"/>
      <c r="J6024" s="1668"/>
      <c r="K6024" s="1668"/>
      <c r="L6024" s="1669"/>
    </row>
    <row r="6025" spans="1:12" s="692" customFormat="1" ht="16.5" hidden="1">
      <c r="A6025" s="1665" t="str">
        <f>'Lead &amp; ANALYSIS'!A1108</f>
        <v>i</v>
      </c>
      <c r="B6025" s="1666" t="str">
        <f>'Lead &amp; ANALYSIS'!B1108</f>
        <v>i.Ordinary Soil.</v>
      </c>
      <c r="C6025" s="688"/>
      <c r="D6025" s="1667"/>
      <c r="E6025" s="688"/>
      <c r="F6025" s="688"/>
      <c r="G6025" s="1674"/>
      <c r="H6025" s="688"/>
      <c r="I6025" s="1668"/>
      <c r="J6025" s="1668"/>
      <c r="K6025" s="1668"/>
      <c r="L6025" s="1668"/>
    </row>
    <row r="6026" spans="1:12" s="692" customFormat="1" ht="16.5" hidden="1">
      <c r="A6026" s="1665"/>
      <c r="B6026" s="1666"/>
      <c r="C6026" s="688"/>
      <c r="D6026" s="1667"/>
      <c r="E6026" s="1671">
        <v>3.5</v>
      </c>
      <c r="F6026" s="1671">
        <v>4</v>
      </c>
      <c r="G6026" s="1674"/>
      <c r="H6026" s="1671">
        <f t="shared" ref="H6026:H6031" si="1120">ROUND(D6026*E6026*F6026,2)</f>
        <v>0</v>
      </c>
      <c r="I6026" s="688" t="s">
        <v>92</v>
      </c>
      <c r="J6026" s="1668"/>
      <c r="K6026" s="1668"/>
      <c r="L6026" s="1668"/>
    </row>
    <row r="6027" spans="1:12" s="692" customFormat="1" ht="16.5" hidden="1">
      <c r="A6027" s="1665"/>
      <c r="B6027" s="1666"/>
      <c r="C6027" s="688"/>
      <c r="D6027" s="1667"/>
      <c r="E6027" s="1671">
        <v>3.5</v>
      </c>
      <c r="F6027" s="1671">
        <v>4</v>
      </c>
      <c r="G6027" s="1674"/>
      <c r="H6027" s="1671">
        <f t="shared" si="1120"/>
        <v>0</v>
      </c>
      <c r="I6027" s="688" t="s">
        <v>92</v>
      </c>
      <c r="J6027" s="1668"/>
      <c r="K6027" s="1668"/>
      <c r="L6027" s="1668"/>
    </row>
    <row r="6028" spans="1:12" s="692" customFormat="1" ht="16.5" hidden="1">
      <c r="A6028" s="1665"/>
      <c r="B6028" s="1666"/>
      <c r="C6028" s="688"/>
      <c r="D6028" s="1667"/>
      <c r="E6028" s="1671">
        <v>3.5</v>
      </c>
      <c r="F6028" s="1671">
        <v>4</v>
      </c>
      <c r="G6028" s="1674"/>
      <c r="H6028" s="1671">
        <f t="shared" si="1120"/>
        <v>0</v>
      </c>
      <c r="I6028" s="688" t="s">
        <v>92</v>
      </c>
      <c r="J6028" s="1668"/>
      <c r="K6028" s="1668"/>
      <c r="L6028" s="1668"/>
    </row>
    <row r="6029" spans="1:12" s="692" customFormat="1" ht="16.5" hidden="1">
      <c r="A6029" s="1665"/>
      <c r="B6029" s="1666"/>
      <c r="C6029" s="688"/>
      <c r="D6029" s="1667"/>
      <c r="E6029" s="1671">
        <v>3.5</v>
      </c>
      <c r="F6029" s="1671">
        <v>4</v>
      </c>
      <c r="G6029" s="1674"/>
      <c r="H6029" s="1671">
        <f t="shared" si="1120"/>
        <v>0</v>
      </c>
      <c r="I6029" s="688" t="s">
        <v>92</v>
      </c>
      <c r="J6029" s="1668"/>
      <c r="K6029" s="1668"/>
      <c r="L6029" s="1668"/>
    </row>
    <row r="6030" spans="1:12" s="692" customFormat="1" ht="16.5" hidden="1">
      <c r="A6030" s="1665"/>
      <c r="B6030" s="1666"/>
      <c r="C6030" s="688"/>
      <c r="D6030" s="1667"/>
      <c r="E6030" s="1671">
        <v>3.5</v>
      </c>
      <c r="F6030" s="1671">
        <v>4</v>
      </c>
      <c r="G6030" s="1674"/>
      <c r="H6030" s="1671">
        <f t="shared" si="1120"/>
        <v>0</v>
      </c>
      <c r="I6030" s="688" t="s">
        <v>92</v>
      </c>
      <c r="J6030" s="1668"/>
      <c r="K6030" s="1668"/>
      <c r="L6030" s="1668"/>
    </row>
    <row r="6031" spans="1:12" s="692" customFormat="1" ht="16.5" hidden="1">
      <c r="A6031" s="1665"/>
      <c r="B6031" s="1666"/>
      <c r="C6031" s="688"/>
      <c r="D6031" s="1667"/>
      <c r="E6031" s="1671">
        <v>3.5</v>
      </c>
      <c r="F6031" s="1671">
        <v>4</v>
      </c>
      <c r="G6031" s="1674"/>
      <c r="H6031" s="1671">
        <f t="shared" si="1120"/>
        <v>0</v>
      </c>
      <c r="I6031" s="688" t="s">
        <v>92</v>
      </c>
      <c r="J6031" s="1668"/>
      <c r="K6031" s="1668"/>
      <c r="L6031" s="1668"/>
    </row>
    <row r="6032" spans="1:12" s="692" customFormat="1" ht="16.5" hidden="1">
      <c r="A6032" s="1665"/>
      <c r="B6032" s="1666"/>
      <c r="C6032" s="688"/>
      <c r="D6032" s="1667"/>
      <c r="E6032" s="1671"/>
      <c r="F6032" s="1671"/>
      <c r="G6032" s="1674" t="s">
        <v>928</v>
      </c>
      <c r="H6032" s="1671">
        <f>SUM(H6026:H6031)</f>
        <v>0</v>
      </c>
      <c r="I6032" s="688" t="s">
        <v>92</v>
      </c>
      <c r="J6032" s="1669" t="e">
        <f>'Lead &amp; ANALYSIS'!L1108</f>
        <v>#REF!</v>
      </c>
      <c r="K6032" s="1668" t="s">
        <v>1516</v>
      </c>
      <c r="L6032" s="1669" t="e">
        <f>ROUND(H6032*J6032,0)</f>
        <v>#REF!</v>
      </c>
    </row>
    <row r="6033" spans="1:12" s="692" customFormat="1" ht="16.5" hidden="1">
      <c r="A6033" s="1665" t="str">
        <f>'Lead &amp; ANALYSIS'!A1109</f>
        <v>ii</v>
      </c>
      <c r="B6033" s="1666" t="str">
        <f>'Lead &amp; ANALYSIS'!B1109</f>
        <v>ii.Slushy Soil</v>
      </c>
      <c r="C6033" s="688"/>
      <c r="D6033" s="1667"/>
      <c r="E6033" s="688"/>
      <c r="F6033" s="688"/>
      <c r="G6033" s="1674"/>
      <c r="H6033" s="688"/>
      <c r="I6033" s="1668"/>
      <c r="J6033" s="1668"/>
      <c r="K6033" s="1668"/>
      <c r="L6033" s="1669"/>
    </row>
    <row r="6034" spans="1:12" s="692" customFormat="1" ht="16.5" hidden="1">
      <c r="A6034" s="1665"/>
      <c r="B6034" s="1666"/>
      <c r="C6034" s="688"/>
      <c r="D6034" s="1667"/>
      <c r="E6034" s="1671">
        <v>3.5</v>
      </c>
      <c r="F6034" s="1671">
        <v>4</v>
      </c>
      <c r="G6034" s="1674"/>
      <c r="H6034" s="1671">
        <f t="shared" ref="H6034:H6039" si="1121">ROUND(D6034*E6034*F6034,2)</f>
        <v>0</v>
      </c>
      <c r="I6034" s="688" t="s">
        <v>92</v>
      </c>
      <c r="J6034" s="1668"/>
      <c r="K6034" s="1668"/>
      <c r="L6034" s="1669"/>
    </row>
    <row r="6035" spans="1:12" s="692" customFormat="1" ht="16.5" hidden="1">
      <c r="A6035" s="1665"/>
      <c r="B6035" s="1666"/>
      <c r="C6035" s="688"/>
      <c r="D6035" s="1667"/>
      <c r="E6035" s="1671">
        <v>3.5</v>
      </c>
      <c r="F6035" s="1671">
        <v>4</v>
      </c>
      <c r="G6035" s="1674"/>
      <c r="H6035" s="1671">
        <f t="shared" si="1121"/>
        <v>0</v>
      </c>
      <c r="I6035" s="688" t="s">
        <v>92</v>
      </c>
      <c r="J6035" s="1668"/>
      <c r="K6035" s="1668"/>
      <c r="L6035" s="1669"/>
    </row>
    <row r="6036" spans="1:12" s="692" customFormat="1" ht="16.5" hidden="1">
      <c r="A6036" s="1665"/>
      <c r="B6036" s="1666"/>
      <c r="C6036" s="688"/>
      <c r="D6036" s="1667"/>
      <c r="E6036" s="1671">
        <v>3.5</v>
      </c>
      <c r="F6036" s="1671">
        <v>4</v>
      </c>
      <c r="G6036" s="1674"/>
      <c r="H6036" s="1671">
        <f t="shared" si="1121"/>
        <v>0</v>
      </c>
      <c r="I6036" s="688" t="s">
        <v>92</v>
      </c>
      <c r="J6036" s="1668"/>
      <c r="K6036" s="1668"/>
      <c r="L6036" s="1669"/>
    </row>
    <row r="6037" spans="1:12" s="692" customFormat="1" ht="16.5" hidden="1">
      <c r="A6037" s="1665"/>
      <c r="B6037" s="1666"/>
      <c r="C6037" s="688"/>
      <c r="D6037" s="1667"/>
      <c r="E6037" s="1671">
        <v>3.5</v>
      </c>
      <c r="F6037" s="1671">
        <v>4</v>
      </c>
      <c r="G6037" s="1674"/>
      <c r="H6037" s="1671">
        <f t="shared" si="1121"/>
        <v>0</v>
      </c>
      <c r="I6037" s="688" t="s">
        <v>92</v>
      </c>
      <c r="J6037" s="1668"/>
      <c r="K6037" s="1668"/>
      <c r="L6037" s="1669"/>
    </row>
    <row r="6038" spans="1:12" s="692" customFormat="1" ht="16.5" hidden="1">
      <c r="A6038" s="1665"/>
      <c r="B6038" s="1666"/>
      <c r="C6038" s="688"/>
      <c r="D6038" s="1667"/>
      <c r="E6038" s="1671">
        <v>3.5</v>
      </c>
      <c r="F6038" s="1671">
        <v>4</v>
      </c>
      <c r="G6038" s="1674"/>
      <c r="H6038" s="1671">
        <f t="shared" si="1121"/>
        <v>0</v>
      </c>
      <c r="I6038" s="688" t="s">
        <v>92</v>
      </c>
      <c r="J6038" s="1668"/>
      <c r="K6038" s="1668"/>
      <c r="L6038" s="1669"/>
    </row>
    <row r="6039" spans="1:12" s="692" customFormat="1" ht="16.5" hidden="1">
      <c r="A6039" s="1665"/>
      <c r="B6039" s="1666"/>
      <c r="C6039" s="688"/>
      <c r="D6039" s="1667"/>
      <c r="E6039" s="1671">
        <v>3.5</v>
      </c>
      <c r="F6039" s="1671">
        <v>4</v>
      </c>
      <c r="G6039" s="1674"/>
      <c r="H6039" s="1671">
        <f t="shared" si="1121"/>
        <v>0</v>
      </c>
      <c r="I6039" s="688" t="s">
        <v>92</v>
      </c>
      <c r="J6039" s="1668"/>
      <c r="K6039" s="1668"/>
      <c r="L6039" s="1669"/>
    </row>
    <row r="6040" spans="1:12" s="692" customFormat="1" ht="16.5" hidden="1">
      <c r="A6040" s="1665"/>
      <c r="B6040" s="1666"/>
      <c r="C6040" s="688"/>
      <c r="D6040" s="1667"/>
      <c r="E6040" s="1671"/>
      <c r="F6040" s="1671"/>
      <c r="G6040" s="1674" t="s">
        <v>928</v>
      </c>
      <c r="H6040" s="1671">
        <f>SUM(H6034:H6039)</f>
        <v>0</v>
      </c>
      <c r="I6040" s="688" t="s">
        <v>92</v>
      </c>
      <c r="J6040" s="1669" t="e">
        <f>'Lead &amp; ANALYSIS'!L1109</f>
        <v>#REF!</v>
      </c>
      <c r="K6040" s="1668" t="s">
        <v>1516</v>
      </c>
      <c r="L6040" s="1669" t="e">
        <f>ROUND(H6040*J6040,0)</f>
        <v>#REF!</v>
      </c>
    </row>
    <row r="6041" spans="1:12" s="692" customFormat="1" ht="16.5" hidden="1">
      <c r="A6041" s="1665" t="str">
        <f>'Lead &amp; ANALYSIS'!A1110</f>
        <v>iii</v>
      </c>
      <c r="B6041" s="1666" t="str">
        <f>'Lead &amp; ANALYSIS'!B1110</f>
        <v>iii.Hard Sooil</v>
      </c>
      <c r="C6041" s="688"/>
      <c r="D6041" s="1667"/>
      <c r="E6041" s="688"/>
      <c r="F6041" s="688"/>
      <c r="G6041" s="1674"/>
      <c r="H6041" s="688"/>
      <c r="I6041" s="1668"/>
      <c r="J6041" s="1668"/>
      <c r="K6041" s="1668"/>
      <c r="L6041" s="1669"/>
    </row>
    <row r="6042" spans="1:12" s="692" customFormat="1" ht="16.5" hidden="1">
      <c r="A6042" s="1665"/>
      <c r="B6042" s="1666"/>
      <c r="C6042" s="688"/>
      <c r="D6042" s="1667"/>
      <c r="E6042" s="1671">
        <v>3.5</v>
      </c>
      <c r="F6042" s="1671">
        <v>4</v>
      </c>
      <c r="G6042" s="1674"/>
      <c r="H6042" s="1671">
        <f t="shared" ref="H6042:H6047" si="1122">ROUND(D6042*E6042*F6042,2)</f>
        <v>0</v>
      </c>
      <c r="I6042" s="688" t="s">
        <v>92</v>
      </c>
      <c r="J6042" s="1668"/>
      <c r="K6042" s="1668"/>
      <c r="L6042" s="1669"/>
    </row>
    <row r="6043" spans="1:12" s="692" customFormat="1" ht="16.5" hidden="1">
      <c r="A6043" s="1665"/>
      <c r="B6043" s="1666"/>
      <c r="C6043" s="688"/>
      <c r="D6043" s="1667"/>
      <c r="E6043" s="1671">
        <v>3.5</v>
      </c>
      <c r="F6043" s="1671">
        <v>4</v>
      </c>
      <c r="G6043" s="1674"/>
      <c r="H6043" s="1671">
        <f t="shared" si="1122"/>
        <v>0</v>
      </c>
      <c r="I6043" s="688" t="s">
        <v>92</v>
      </c>
      <c r="J6043" s="1668"/>
      <c r="K6043" s="1668"/>
      <c r="L6043" s="1669"/>
    </row>
    <row r="6044" spans="1:12" s="692" customFormat="1" ht="16.5" hidden="1">
      <c r="A6044" s="1665"/>
      <c r="B6044" s="1666"/>
      <c r="C6044" s="688"/>
      <c r="D6044" s="1667"/>
      <c r="E6044" s="1671">
        <v>3.5</v>
      </c>
      <c r="F6044" s="1671">
        <v>4</v>
      </c>
      <c r="G6044" s="1674"/>
      <c r="H6044" s="1671">
        <f t="shared" si="1122"/>
        <v>0</v>
      </c>
      <c r="I6044" s="688" t="s">
        <v>92</v>
      </c>
      <c r="J6044" s="1668"/>
      <c r="K6044" s="1668"/>
      <c r="L6044" s="1669"/>
    </row>
    <row r="6045" spans="1:12" s="692" customFormat="1" ht="16.5" hidden="1">
      <c r="A6045" s="1665"/>
      <c r="B6045" s="1666"/>
      <c r="C6045" s="688"/>
      <c r="D6045" s="1667"/>
      <c r="E6045" s="1671">
        <v>3.5</v>
      </c>
      <c r="F6045" s="1671">
        <v>4</v>
      </c>
      <c r="G6045" s="1674"/>
      <c r="H6045" s="1671">
        <f t="shared" si="1122"/>
        <v>0</v>
      </c>
      <c r="I6045" s="688" t="s">
        <v>92</v>
      </c>
      <c r="J6045" s="1668"/>
      <c r="K6045" s="1668"/>
      <c r="L6045" s="1669"/>
    </row>
    <row r="6046" spans="1:12" s="692" customFormat="1" ht="16.5" hidden="1">
      <c r="A6046" s="1665"/>
      <c r="B6046" s="1666"/>
      <c r="C6046" s="688"/>
      <c r="D6046" s="1667"/>
      <c r="E6046" s="1671">
        <v>3.5</v>
      </c>
      <c r="F6046" s="1671">
        <v>4</v>
      </c>
      <c r="G6046" s="1674"/>
      <c r="H6046" s="1671">
        <f t="shared" si="1122"/>
        <v>0</v>
      </c>
      <c r="I6046" s="688" t="s">
        <v>92</v>
      </c>
      <c r="J6046" s="1668"/>
      <c r="K6046" s="1668"/>
      <c r="L6046" s="1669"/>
    </row>
    <row r="6047" spans="1:12" s="692" customFormat="1" ht="16.5" hidden="1">
      <c r="A6047" s="1665"/>
      <c r="B6047" s="1666"/>
      <c r="C6047" s="688"/>
      <c r="D6047" s="1667"/>
      <c r="E6047" s="1671">
        <v>3.5</v>
      </c>
      <c r="F6047" s="1671">
        <v>4</v>
      </c>
      <c r="G6047" s="1674"/>
      <c r="H6047" s="1671">
        <f t="shared" si="1122"/>
        <v>0</v>
      </c>
      <c r="I6047" s="688" t="s">
        <v>92</v>
      </c>
      <c r="J6047" s="1668"/>
      <c r="K6047" s="1668"/>
      <c r="L6047" s="1669"/>
    </row>
    <row r="6048" spans="1:12" s="692" customFormat="1" ht="16.5" hidden="1">
      <c r="A6048" s="1665"/>
      <c r="B6048" s="1666"/>
      <c r="C6048" s="688"/>
      <c r="D6048" s="1667"/>
      <c r="E6048" s="1671"/>
      <c r="F6048" s="1671"/>
      <c r="G6048" s="1674" t="s">
        <v>928</v>
      </c>
      <c r="H6048" s="1671">
        <f>SUM(H6042:H6047)</f>
        <v>0</v>
      </c>
      <c r="I6048" s="688" t="s">
        <v>92</v>
      </c>
      <c r="J6048" s="1669" t="e">
        <f>'Lead &amp; ANALYSIS'!L1110</f>
        <v>#REF!</v>
      </c>
      <c r="K6048" s="1668" t="s">
        <v>1516</v>
      </c>
      <c r="L6048" s="1669" t="e">
        <f>ROUND(H6048*J6048,0)</f>
        <v>#REF!</v>
      </c>
    </row>
    <row r="6049" spans="1:12" s="692" customFormat="1" ht="16.5" hidden="1">
      <c r="A6049" s="1665" t="str">
        <f>'Lead &amp; ANALYSIS'!A1111</f>
        <v>iv</v>
      </c>
      <c r="B6049" s="1666" t="str">
        <f>'Lead &amp; ANALYSIS'!B1111</f>
        <v>IV.Stony Earth</v>
      </c>
      <c r="C6049" s="688"/>
      <c r="D6049" s="1667"/>
      <c r="E6049" s="688"/>
      <c r="F6049" s="688"/>
      <c r="G6049" s="1674"/>
      <c r="H6049" s="688"/>
      <c r="I6049" s="1668"/>
      <c r="J6049" s="1668"/>
      <c r="K6049" s="1668"/>
      <c r="L6049" s="1669"/>
    </row>
    <row r="6050" spans="1:12" s="692" customFormat="1" ht="16.5" hidden="1">
      <c r="A6050" s="1665"/>
      <c r="B6050" s="1666"/>
      <c r="C6050" s="688"/>
      <c r="D6050" s="1667"/>
      <c r="E6050" s="1671">
        <v>3.5</v>
      </c>
      <c r="F6050" s="1671">
        <v>4</v>
      </c>
      <c r="G6050" s="1674"/>
      <c r="H6050" s="1671">
        <f t="shared" ref="H6050:H6055" si="1123">ROUND(D6050*E6050*F6050,2)</f>
        <v>0</v>
      </c>
      <c r="I6050" s="688" t="s">
        <v>92</v>
      </c>
      <c r="J6050" s="1668"/>
      <c r="K6050" s="1668"/>
      <c r="L6050" s="1669"/>
    </row>
    <row r="6051" spans="1:12" s="692" customFormat="1" ht="16.5" hidden="1">
      <c r="A6051" s="1665"/>
      <c r="B6051" s="1666"/>
      <c r="C6051" s="688"/>
      <c r="D6051" s="1667"/>
      <c r="E6051" s="1671">
        <v>3.5</v>
      </c>
      <c r="F6051" s="1671">
        <v>4</v>
      </c>
      <c r="G6051" s="1674"/>
      <c r="H6051" s="1671">
        <f t="shared" si="1123"/>
        <v>0</v>
      </c>
      <c r="I6051" s="688" t="s">
        <v>92</v>
      </c>
      <c r="J6051" s="1668"/>
      <c r="K6051" s="1668"/>
      <c r="L6051" s="1669"/>
    </row>
    <row r="6052" spans="1:12" s="692" customFormat="1" ht="16.5" hidden="1">
      <c r="A6052" s="1665"/>
      <c r="B6052" s="1666"/>
      <c r="C6052" s="688"/>
      <c r="D6052" s="1667"/>
      <c r="E6052" s="1671">
        <v>3.5</v>
      </c>
      <c r="F6052" s="1671">
        <v>4</v>
      </c>
      <c r="G6052" s="1674"/>
      <c r="H6052" s="1671">
        <f t="shared" si="1123"/>
        <v>0</v>
      </c>
      <c r="I6052" s="688" t="s">
        <v>92</v>
      </c>
      <c r="J6052" s="1668"/>
      <c r="K6052" s="1668"/>
      <c r="L6052" s="1669"/>
    </row>
    <row r="6053" spans="1:12" s="692" customFormat="1" ht="16.5" hidden="1">
      <c r="A6053" s="1665"/>
      <c r="B6053" s="1666"/>
      <c r="C6053" s="688"/>
      <c r="D6053" s="1667"/>
      <c r="E6053" s="1671">
        <v>3.5</v>
      </c>
      <c r="F6053" s="1671">
        <v>4</v>
      </c>
      <c r="G6053" s="1674"/>
      <c r="H6053" s="1671">
        <f t="shared" si="1123"/>
        <v>0</v>
      </c>
      <c r="I6053" s="688" t="s">
        <v>92</v>
      </c>
      <c r="J6053" s="1668"/>
      <c r="K6053" s="1668"/>
      <c r="L6053" s="1669"/>
    </row>
    <row r="6054" spans="1:12" s="692" customFormat="1" ht="16.5" hidden="1">
      <c r="A6054" s="1665"/>
      <c r="B6054" s="1666"/>
      <c r="C6054" s="688"/>
      <c r="D6054" s="1667"/>
      <c r="E6054" s="1671">
        <v>3.5</v>
      </c>
      <c r="F6054" s="1671">
        <v>4</v>
      </c>
      <c r="G6054" s="1674"/>
      <c r="H6054" s="1671">
        <f t="shared" si="1123"/>
        <v>0</v>
      </c>
      <c r="I6054" s="688" t="s">
        <v>92</v>
      </c>
      <c r="J6054" s="1668"/>
      <c r="K6054" s="1668"/>
      <c r="L6054" s="1669"/>
    </row>
    <row r="6055" spans="1:12" s="692" customFormat="1" ht="16.5" hidden="1">
      <c r="A6055" s="1665"/>
      <c r="B6055" s="1666"/>
      <c r="C6055" s="688"/>
      <c r="D6055" s="1667"/>
      <c r="E6055" s="1671">
        <v>3.5</v>
      </c>
      <c r="F6055" s="1671">
        <v>4</v>
      </c>
      <c r="G6055" s="1674"/>
      <c r="H6055" s="1671">
        <f t="shared" si="1123"/>
        <v>0</v>
      </c>
      <c r="I6055" s="688" t="s">
        <v>92</v>
      </c>
      <c r="J6055" s="1668"/>
      <c r="K6055" s="1668"/>
      <c r="L6055" s="1669"/>
    </row>
    <row r="6056" spans="1:12" s="692" customFormat="1" ht="16.5" hidden="1">
      <c r="A6056" s="1665"/>
      <c r="B6056" s="1666"/>
      <c r="C6056" s="688"/>
      <c r="D6056" s="1667"/>
      <c r="E6056" s="1671"/>
      <c r="F6056" s="1671"/>
      <c r="G6056" s="1674" t="s">
        <v>928</v>
      </c>
      <c r="H6056" s="1671">
        <f>SUM(H6050:H6055)</f>
        <v>0</v>
      </c>
      <c r="I6056" s="688" t="s">
        <v>92</v>
      </c>
      <c r="J6056" s="1669" t="e">
        <f>'Lead &amp; ANALYSIS'!L1111</f>
        <v>#REF!</v>
      </c>
      <c r="K6056" s="1668" t="s">
        <v>1516</v>
      </c>
      <c r="L6056" s="1669" t="e">
        <f>ROUND(H6056*J6056,0)</f>
        <v>#REF!</v>
      </c>
    </row>
    <row r="6057" spans="1:12" s="692" customFormat="1" ht="16.5" hidden="1">
      <c r="A6057" s="1665" t="str">
        <f>'Lead &amp; ANALYSIS'!A1112</f>
        <v>v</v>
      </c>
      <c r="B6057" s="1666" t="str">
        <f>'Lead &amp; ANALYSIS'!B1112</f>
        <v>V.All Kinds of Soil</v>
      </c>
      <c r="C6057" s="688"/>
      <c r="D6057" s="1667"/>
      <c r="E6057" s="688"/>
      <c r="F6057" s="688"/>
      <c r="G6057" s="1674"/>
      <c r="H6057" s="688"/>
      <c r="I6057" s="1668"/>
      <c r="J6057" s="1668"/>
      <c r="K6057" s="1668"/>
      <c r="L6057" s="1669"/>
    </row>
    <row r="6058" spans="1:12" s="692" customFormat="1" ht="16.5" hidden="1">
      <c r="A6058" s="1665"/>
      <c r="B6058" s="1666"/>
      <c r="C6058" s="688"/>
      <c r="D6058" s="1667"/>
      <c r="E6058" s="1671">
        <v>3.5</v>
      </c>
      <c r="F6058" s="1671">
        <v>4</v>
      </c>
      <c r="G6058" s="1674"/>
      <c r="H6058" s="1671">
        <f t="shared" ref="H6058:H6063" si="1124">ROUND(D6058*E6058*F6058,2)</f>
        <v>0</v>
      </c>
      <c r="I6058" s="688" t="s">
        <v>92</v>
      </c>
      <c r="J6058" s="1668"/>
      <c r="K6058" s="1668"/>
      <c r="L6058" s="1669"/>
    </row>
    <row r="6059" spans="1:12" s="692" customFormat="1" ht="16.5" hidden="1">
      <c r="A6059" s="1665"/>
      <c r="B6059" s="1666"/>
      <c r="C6059" s="688"/>
      <c r="D6059" s="1667"/>
      <c r="E6059" s="1671">
        <v>3.5</v>
      </c>
      <c r="F6059" s="1671">
        <v>4</v>
      </c>
      <c r="G6059" s="1674"/>
      <c r="H6059" s="1671">
        <f t="shared" si="1124"/>
        <v>0</v>
      </c>
      <c r="I6059" s="688" t="s">
        <v>92</v>
      </c>
      <c r="J6059" s="1668"/>
      <c r="K6059" s="1668"/>
      <c r="L6059" s="1669"/>
    </row>
    <row r="6060" spans="1:12" s="692" customFormat="1" ht="16.5" hidden="1">
      <c r="A6060" s="1665"/>
      <c r="B6060" s="1666"/>
      <c r="C6060" s="688"/>
      <c r="D6060" s="1667"/>
      <c r="E6060" s="1671">
        <v>3.5</v>
      </c>
      <c r="F6060" s="1671">
        <v>4</v>
      </c>
      <c r="G6060" s="1674"/>
      <c r="H6060" s="1671">
        <f t="shared" si="1124"/>
        <v>0</v>
      </c>
      <c r="I6060" s="688" t="s">
        <v>92</v>
      </c>
      <c r="J6060" s="1668"/>
      <c r="K6060" s="1668"/>
      <c r="L6060" s="1669"/>
    </row>
    <row r="6061" spans="1:12" s="692" customFormat="1" ht="16.5" hidden="1">
      <c r="A6061" s="1665"/>
      <c r="B6061" s="1666"/>
      <c r="C6061" s="688"/>
      <c r="D6061" s="1667"/>
      <c r="E6061" s="1671">
        <v>3.5</v>
      </c>
      <c r="F6061" s="1671">
        <v>4</v>
      </c>
      <c r="G6061" s="1674"/>
      <c r="H6061" s="1671">
        <f t="shared" si="1124"/>
        <v>0</v>
      </c>
      <c r="I6061" s="688" t="s">
        <v>92</v>
      </c>
      <c r="J6061" s="1668"/>
      <c r="K6061" s="1668"/>
      <c r="L6061" s="1669"/>
    </row>
    <row r="6062" spans="1:12" s="692" customFormat="1" ht="16.5" hidden="1">
      <c r="A6062" s="1665"/>
      <c r="B6062" s="1666"/>
      <c r="C6062" s="688"/>
      <c r="D6062" s="1667"/>
      <c r="E6062" s="1671">
        <v>3.5</v>
      </c>
      <c r="F6062" s="1671">
        <v>4</v>
      </c>
      <c r="G6062" s="1674"/>
      <c r="H6062" s="1671">
        <f t="shared" si="1124"/>
        <v>0</v>
      </c>
      <c r="I6062" s="688" t="s">
        <v>92</v>
      </c>
      <c r="J6062" s="1668"/>
      <c r="K6062" s="1668"/>
      <c r="L6062" s="1669"/>
    </row>
    <row r="6063" spans="1:12" s="692" customFormat="1" ht="16.5" hidden="1">
      <c r="A6063" s="1665"/>
      <c r="B6063" s="1666"/>
      <c r="C6063" s="688"/>
      <c r="D6063" s="1667"/>
      <c r="E6063" s="1671">
        <v>3.5</v>
      </c>
      <c r="F6063" s="1671">
        <v>4</v>
      </c>
      <c r="G6063" s="1674"/>
      <c r="H6063" s="1671">
        <f t="shared" si="1124"/>
        <v>0</v>
      </c>
      <c r="I6063" s="688" t="s">
        <v>92</v>
      </c>
      <c r="J6063" s="1668"/>
      <c r="K6063" s="1668"/>
      <c r="L6063" s="1669"/>
    </row>
    <row r="6064" spans="1:12" s="692" customFormat="1" ht="16.5" hidden="1">
      <c r="A6064" s="1665"/>
      <c r="B6064" s="1666"/>
      <c r="C6064" s="688"/>
      <c r="D6064" s="1667"/>
      <c r="E6064" s="1671"/>
      <c r="F6064" s="1671"/>
      <c r="G6064" s="1674" t="s">
        <v>928</v>
      </c>
      <c r="H6064" s="1671">
        <f>SUM(H6058:H6063)</f>
        <v>0</v>
      </c>
      <c r="I6064" s="688" t="s">
        <v>92</v>
      </c>
      <c r="J6064" s="1669" t="e">
        <f>'Lead &amp; ANALYSIS'!L1112</f>
        <v>#REF!</v>
      </c>
      <c r="K6064" s="1668" t="s">
        <v>1516</v>
      </c>
      <c r="L6064" s="1669" t="e">
        <f>ROUND(H6064*J6064,0)</f>
        <v>#REF!</v>
      </c>
    </row>
    <row r="6065" spans="1:12" s="692" customFormat="1" ht="16.5" hidden="1">
      <c r="A6065" s="1665" t="str">
        <f>'Lead &amp; ANALYSIS'!A1113</f>
        <v>E.</v>
      </c>
      <c r="B6065" s="1666" t="str">
        <f>'Lead &amp; ANALYSIS'!B1113</f>
        <v>5TH DEPTH OF 1.5MTR.</v>
      </c>
      <c r="C6065" s="688"/>
      <c r="D6065" s="1667"/>
      <c r="E6065" s="688"/>
      <c r="F6065" s="688"/>
      <c r="G6065" s="1674"/>
      <c r="H6065" s="688"/>
      <c r="I6065" s="1668"/>
      <c r="J6065" s="1668"/>
      <c r="K6065" s="1668"/>
      <c r="L6065" s="1669"/>
    </row>
    <row r="6066" spans="1:12" s="692" customFormat="1" ht="16.5" hidden="1">
      <c r="A6066" s="1665" t="str">
        <f>'Lead &amp; ANALYSIS'!A1114</f>
        <v>i</v>
      </c>
      <c r="B6066" s="1666" t="str">
        <f>'Lead &amp; ANALYSIS'!B1114</f>
        <v>i.Ordinary Soil.</v>
      </c>
      <c r="C6066" s="688"/>
      <c r="D6066" s="1667"/>
      <c r="E6066" s="688"/>
      <c r="F6066" s="688"/>
      <c r="G6066" s="1674"/>
      <c r="H6066" s="688"/>
      <c r="I6066" s="1668"/>
      <c r="J6066" s="1668"/>
      <c r="K6066" s="1668"/>
      <c r="L6066" s="1668"/>
    </row>
    <row r="6067" spans="1:12" s="692" customFormat="1" ht="16.5" hidden="1">
      <c r="A6067" s="1665"/>
      <c r="B6067" s="1666"/>
      <c r="C6067" s="688"/>
      <c r="D6067" s="1667"/>
      <c r="E6067" s="1671">
        <v>3.5</v>
      </c>
      <c r="F6067" s="1671">
        <v>4</v>
      </c>
      <c r="G6067" s="1674"/>
      <c r="H6067" s="1671">
        <f t="shared" ref="H6067:H6072" si="1125">ROUND(D6067*E6067*F6067,2)</f>
        <v>0</v>
      </c>
      <c r="I6067" s="688" t="s">
        <v>92</v>
      </c>
      <c r="J6067" s="1668"/>
      <c r="K6067" s="1668"/>
      <c r="L6067" s="1668"/>
    </row>
    <row r="6068" spans="1:12" s="692" customFormat="1" ht="16.5" hidden="1">
      <c r="A6068" s="1665"/>
      <c r="B6068" s="1666"/>
      <c r="C6068" s="688"/>
      <c r="D6068" s="1667"/>
      <c r="E6068" s="1671">
        <v>3.5</v>
      </c>
      <c r="F6068" s="1671">
        <v>4</v>
      </c>
      <c r="G6068" s="1674"/>
      <c r="H6068" s="1671">
        <f t="shared" si="1125"/>
        <v>0</v>
      </c>
      <c r="I6068" s="688" t="s">
        <v>92</v>
      </c>
      <c r="J6068" s="1668"/>
      <c r="K6068" s="1668"/>
      <c r="L6068" s="1668"/>
    </row>
    <row r="6069" spans="1:12" s="692" customFormat="1" ht="16.5" hidden="1">
      <c r="A6069" s="1665"/>
      <c r="B6069" s="1666"/>
      <c r="C6069" s="688"/>
      <c r="D6069" s="1667"/>
      <c r="E6069" s="1671">
        <v>3.5</v>
      </c>
      <c r="F6069" s="1671">
        <v>4</v>
      </c>
      <c r="G6069" s="1674"/>
      <c r="H6069" s="1671">
        <f t="shared" si="1125"/>
        <v>0</v>
      </c>
      <c r="I6069" s="688" t="s">
        <v>92</v>
      </c>
      <c r="J6069" s="1668"/>
      <c r="K6069" s="1668"/>
      <c r="L6069" s="1668"/>
    </row>
    <row r="6070" spans="1:12" s="692" customFormat="1" ht="16.5" hidden="1">
      <c r="A6070" s="1665"/>
      <c r="B6070" s="1666"/>
      <c r="C6070" s="688"/>
      <c r="D6070" s="1667"/>
      <c r="E6070" s="1671">
        <v>3.5</v>
      </c>
      <c r="F6070" s="1671">
        <v>4</v>
      </c>
      <c r="G6070" s="1674"/>
      <c r="H6070" s="1671">
        <f t="shared" si="1125"/>
        <v>0</v>
      </c>
      <c r="I6070" s="688" t="s">
        <v>92</v>
      </c>
      <c r="J6070" s="1668"/>
      <c r="K6070" s="1668"/>
      <c r="L6070" s="1668"/>
    </row>
    <row r="6071" spans="1:12" s="692" customFormat="1" ht="16.5" hidden="1">
      <c r="A6071" s="1665"/>
      <c r="B6071" s="1666"/>
      <c r="C6071" s="688"/>
      <c r="D6071" s="1667"/>
      <c r="E6071" s="1671">
        <v>3.5</v>
      </c>
      <c r="F6071" s="1671">
        <v>4</v>
      </c>
      <c r="G6071" s="1674"/>
      <c r="H6071" s="1671">
        <f t="shared" si="1125"/>
        <v>0</v>
      </c>
      <c r="I6071" s="688" t="s">
        <v>92</v>
      </c>
      <c r="J6071" s="1668"/>
      <c r="K6071" s="1668"/>
      <c r="L6071" s="1668"/>
    </row>
    <row r="6072" spans="1:12" s="692" customFormat="1" ht="16.5" hidden="1">
      <c r="A6072" s="1665"/>
      <c r="B6072" s="1666"/>
      <c r="C6072" s="688"/>
      <c r="D6072" s="1667"/>
      <c r="E6072" s="1671">
        <v>3.5</v>
      </c>
      <c r="F6072" s="1671">
        <v>4</v>
      </c>
      <c r="G6072" s="1674"/>
      <c r="H6072" s="1671">
        <f t="shared" si="1125"/>
        <v>0</v>
      </c>
      <c r="I6072" s="688" t="s">
        <v>92</v>
      </c>
      <c r="J6072" s="1668"/>
      <c r="K6072" s="1668"/>
      <c r="L6072" s="1668"/>
    </row>
    <row r="6073" spans="1:12" s="692" customFormat="1" ht="16.5" hidden="1">
      <c r="A6073" s="1665"/>
      <c r="B6073" s="1666"/>
      <c r="C6073" s="688"/>
      <c r="D6073" s="1667"/>
      <c r="E6073" s="1671"/>
      <c r="F6073" s="1671"/>
      <c r="G6073" s="1674" t="s">
        <v>928</v>
      </c>
      <c r="H6073" s="1671">
        <f>SUM(H6067:H6072)</f>
        <v>0</v>
      </c>
      <c r="I6073" s="688" t="s">
        <v>92</v>
      </c>
      <c r="J6073" s="1669" t="e">
        <f>'Lead &amp; ANALYSIS'!L1114</f>
        <v>#REF!</v>
      </c>
      <c r="K6073" s="1668" t="s">
        <v>1516</v>
      </c>
      <c r="L6073" s="1669" t="e">
        <f>ROUND(H6073*J6073,0)</f>
        <v>#REF!</v>
      </c>
    </row>
    <row r="6074" spans="1:12" s="692" customFormat="1" ht="16.5" hidden="1">
      <c r="A6074" s="1665" t="str">
        <f>'Lead &amp; ANALYSIS'!A1115</f>
        <v>ii</v>
      </c>
      <c r="B6074" s="1666" t="str">
        <f>'Lead &amp; ANALYSIS'!B1115</f>
        <v>ii.Slushy Soil</v>
      </c>
      <c r="C6074" s="688"/>
      <c r="D6074" s="1667"/>
      <c r="E6074" s="688"/>
      <c r="F6074" s="688"/>
      <c r="G6074" s="1674"/>
      <c r="H6074" s="688"/>
      <c r="I6074" s="1668"/>
      <c r="J6074" s="1668"/>
      <c r="K6074" s="1668"/>
      <c r="L6074" s="1669"/>
    </row>
    <row r="6075" spans="1:12" s="692" customFormat="1" ht="16.5" hidden="1">
      <c r="A6075" s="1665"/>
      <c r="B6075" s="1666"/>
      <c r="C6075" s="688"/>
      <c r="D6075" s="1667"/>
      <c r="E6075" s="1671">
        <v>3.5</v>
      </c>
      <c r="F6075" s="1671">
        <v>4</v>
      </c>
      <c r="G6075" s="1674"/>
      <c r="H6075" s="1671">
        <f t="shared" ref="H6075:H6080" si="1126">ROUND(D6075*E6075*F6075,2)</f>
        <v>0</v>
      </c>
      <c r="I6075" s="688" t="s">
        <v>92</v>
      </c>
      <c r="J6075" s="1668"/>
      <c r="K6075" s="1668"/>
      <c r="L6075" s="1669"/>
    </row>
    <row r="6076" spans="1:12" s="692" customFormat="1" ht="16.5" hidden="1">
      <c r="A6076" s="1665"/>
      <c r="B6076" s="1666"/>
      <c r="C6076" s="688"/>
      <c r="D6076" s="1667"/>
      <c r="E6076" s="1671">
        <v>3.5</v>
      </c>
      <c r="F6076" s="1671">
        <v>4</v>
      </c>
      <c r="G6076" s="1674"/>
      <c r="H6076" s="1671">
        <f t="shared" si="1126"/>
        <v>0</v>
      </c>
      <c r="I6076" s="688" t="s">
        <v>92</v>
      </c>
      <c r="J6076" s="1668"/>
      <c r="K6076" s="1668"/>
      <c r="L6076" s="1669"/>
    </row>
    <row r="6077" spans="1:12" s="692" customFormat="1" ht="16.5" hidden="1">
      <c r="A6077" s="1665"/>
      <c r="B6077" s="1666"/>
      <c r="C6077" s="688"/>
      <c r="D6077" s="1667"/>
      <c r="E6077" s="1671">
        <v>3.5</v>
      </c>
      <c r="F6077" s="1671">
        <v>4</v>
      </c>
      <c r="G6077" s="1674"/>
      <c r="H6077" s="1671">
        <f t="shared" si="1126"/>
        <v>0</v>
      </c>
      <c r="I6077" s="688" t="s">
        <v>92</v>
      </c>
      <c r="J6077" s="1668"/>
      <c r="K6077" s="1668"/>
      <c r="L6077" s="1669"/>
    </row>
    <row r="6078" spans="1:12" s="692" customFormat="1" ht="16.5" hidden="1">
      <c r="A6078" s="1665"/>
      <c r="B6078" s="1666"/>
      <c r="C6078" s="688"/>
      <c r="D6078" s="1667"/>
      <c r="E6078" s="1671">
        <v>3.5</v>
      </c>
      <c r="F6078" s="1671">
        <v>4</v>
      </c>
      <c r="G6078" s="1674"/>
      <c r="H6078" s="1671">
        <f t="shared" si="1126"/>
        <v>0</v>
      </c>
      <c r="I6078" s="688" t="s">
        <v>92</v>
      </c>
      <c r="J6078" s="1668"/>
      <c r="K6078" s="1668"/>
      <c r="L6078" s="1669"/>
    </row>
    <row r="6079" spans="1:12" s="692" customFormat="1" ht="16.5" hidden="1">
      <c r="A6079" s="1665"/>
      <c r="B6079" s="1666"/>
      <c r="C6079" s="688"/>
      <c r="D6079" s="1667"/>
      <c r="E6079" s="1671">
        <v>3.5</v>
      </c>
      <c r="F6079" s="1671">
        <v>4</v>
      </c>
      <c r="G6079" s="1674"/>
      <c r="H6079" s="1671">
        <f t="shared" si="1126"/>
        <v>0</v>
      </c>
      <c r="I6079" s="688" t="s">
        <v>92</v>
      </c>
      <c r="J6079" s="1668"/>
      <c r="K6079" s="1668"/>
      <c r="L6079" s="1669"/>
    </row>
    <row r="6080" spans="1:12" s="692" customFormat="1" ht="16.5" hidden="1">
      <c r="A6080" s="1665"/>
      <c r="B6080" s="1666"/>
      <c r="C6080" s="688"/>
      <c r="D6080" s="1667"/>
      <c r="E6080" s="1671">
        <v>3.5</v>
      </c>
      <c r="F6080" s="1671">
        <v>4</v>
      </c>
      <c r="G6080" s="1674"/>
      <c r="H6080" s="1671">
        <f t="shared" si="1126"/>
        <v>0</v>
      </c>
      <c r="I6080" s="688" t="s">
        <v>92</v>
      </c>
      <c r="J6080" s="1668"/>
      <c r="K6080" s="1668"/>
      <c r="L6080" s="1669"/>
    </row>
    <row r="6081" spans="1:12" s="692" customFormat="1" ht="16.5" hidden="1">
      <c r="A6081" s="1665"/>
      <c r="B6081" s="1666"/>
      <c r="C6081" s="688"/>
      <c r="D6081" s="1667"/>
      <c r="E6081" s="1671"/>
      <c r="F6081" s="1671"/>
      <c r="G6081" s="1674" t="s">
        <v>928</v>
      </c>
      <c r="H6081" s="1671">
        <f>SUM(H6075:H6080)</f>
        <v>0</v>
      </c>
      <c r="I6081" s="688" t="s">
        <v>92</v>
      </c>
      <c r="J6081" s="1669" t="e">
        <f>'Lead &amp; ANALYSIS'!L1115</f>
        <v>#REF!</v>
      </c>
      <c r="K6081" s="1668" t="s">
        <v>1516</v>
      </c>
      <c r="L6081" s="1669" t="e">
        <f>ROUND(H6081*J6081,0)</f>
        <v>#REF!</v>
      </c>
    </row>
    <row r="6082" spans="1:12" s="692" customFormat="1" ht="16.5" hidden="1">
      <c r="A6082" s="1665" t="str">
        <f>'Lead &amp; ANALYSIS'!A1116</f>
        <v>iii</v>
      </c>
      <c r="B6082" s="1666" t="str">
        <f>'Lead &amp; ANALYSIS'!B1116</f>
        <v>iii.Hard Sooil</v>
      </c>
      <c r="C6082" s="688"/>
      <c r="D6082" s="1667"/>
      <c r="E6082" s="688"/>
      <c r="F6082" s="688"/>
      <c r="G6082" s="1674"/>
      <c r="H6082" s="688"/>
      <c r="I6082" s="1668"/>
      <c r="J6082" s="1668"/>
      <c r="K6082" s="1668"/>
      <c r="L6082" s="1669"/>
    </row>
    <row r="6083" spans="1:12" s="692" customFormat="1" ht="16.5" hidden="1">
      <c r="A6083" s="1665"/>
      <c r="B6083" s="1666"/>
      <c r="C6083" s="688"/>
      <c r="D6083" s="1667"/>
      <c r="E6083" s="1671">
        <v>3.5</v>
      </c>
      <c r="F6083" s="1671">
        <v>4</v>
      </c>
      <c r="G6083" s="1674"/>
      <c r="H6083" s="1671">
        <f t="shared" ref="H6083:H6088" si="1127">ROUND(D6083*E6083*F6083,2)</f>
        <v>0</v>
      </c>
      <c r="I6083" s="688" t="s">
        <v>92</v>
      </c>
      <c r="J6083" s="1668"/>
      <c r="K6083" s="1668"/>
      <c r="L6083" s="1669"/>
    </row>
    <row r="6084" spans="1:12" s="692" customFormat="1" ht="16.5" hidden="1">
      <c r="A6084" s="1665"/>
      <c r="B6084" s="1666"/>
      <c r="C6084" s="688"/>
      <c r="D6084" s="1667"/>
      <c r="E6084" s="1671">
        <v>3.5</v>
      </c>
      <c r="F6084" s="1671">
        <v>4</v>
      </c>
      <c r="G6084" s="1674"/>
      <c r="H6084" s="1671">
        <f t="shared" si="1127"/>
        <v>0</v>
      </c>
      <c r="I6084" s="688" t="s">
        <v>92</v>
      </c>
      <c r="J6084" s="1668"/>
      <c r="K6084" s="1668"/>
      <c r="L6084" s="1669"/>
    </row>
    <row r="6085" spans="1:12" s="692" customFormat="1" ht="16.5" hidden="1">
      <c r="A6085" s="1665"/>
      <c r="B6085" s="1666"/>
      <c r="C6085" s="688"/>
      <c r="D6085" s="1667"/>
      <c r="E6085" s="1671">
        <v>3.5</v>
      </c>
      <c r="F6085" s="1671">
        <v>4</v>
      </c>
      <c r="G6085" s="1674"/>
      <c r="H6085" s="1671">
        <f t="shared" si="1127"/>
        <v>0</v>
      </c>
      <c r="I6085" s="688" t="s">
        <v>92</v>
      </c>
      <c r="J6085" s="1668"/>
      <c r="K6085" s="1668"/>
      <c r="L6085" s="1669"/>
    </row>
    <row r="6086" spans="1:12" s="692" customFormat="1" ht="16.5" hidden="1">
      <c r="A6086" s="1665"/>
      <c r="B6086" s="1666"/>
      <c r="C6086" s="688"/>
      <c r="D6086" s="1667"/>
      <c r="E6086" s="1671">
        <v>3.5</v>
      </c>
      <c r="F6086" s="1671">
        <v>4</v>
      </c>
      <c r="G6086" s="1674"/>
      <c r="H6086" s="1671">
        <f t="shared" si="1127"/>
        <v>0</v>
      </c>
      <c r="I6086" s="688" t="s">
        <v>92</v>
      </c>
      <c r="J6086" s="1668"/>
      <c r="K6086" s="1668"/>
      <c r="L6086" s="1669"/>
    </row>
    <row r="6087" spans="1:12" s="692" customFormat="1" ht="16.5" hidden="1">
      <c r="A6087" s="1665"/>
      <c r="B6087" s="1666"/>
      <c r="C6087" s="688"/>
      <c r="D6087" s="1667"/>
      <c r="E6087" s="1671">
        <v>3.5</v>
      </c>
      <c r="F6087" s="1671">
        <v>4</v>
      </c>
      <c r="G6087" s="1674"/>
      <c r="H6087" s="1671">
        <f t="shared" si="1127"/>
        <v>0</v>
      </c>
      <c r="I6087" s="688" t="s">
        <v>92</v>
      </c>
      <c r="J6087" s="1668"/>
      <c r="K6087" s="1668"/>
      <c r="L6087" s="1669"/>
    </row>
    <row r="6088" spans="1:12" s="692" customFormat="1" ht="16.5" hidden="1">
      <c r="A6088" s="1665"/>
      <c r="B6088" s="1666"/>
      <c r="C6088" s="688"/>
      <c r="D6088" s="1667"/>
      <c r="E6088" s="1671">
        <v>3.5</v>
      </c>
      <c r="F6088" s="1671">
        <v>4</v>
      </c>
      <c r="G6088" s="1674"/>
      <c r="H6088" s="1671">
        <f t="shared" si="1127"/>
        <v>0</v>
      </c>
      <c r="I6088" s="688" t="s">
        <v>92</v>
      </c>
      <c r="J6088" s="1668"/>
      <c r="K6088" s="1668"/>
      <c r="L6088" s="1669"/>
    </row>
    <row r="6089" spans="1:12" s="692" customFormat="1" ht="16.5" hidden="1">
      <c r="A6089" s="1665"/>
      <c r="B6089" s="1666"/>
      <c r="C6089" s="688"/>
      <c r="D6089" s="1667"/>
      <c r="E6089" s="1671"/>
      <c r="F6089" s="1671"/>
      <c r="G6089" s="1674" t="s">
        <v>928</v>
      </c>
      <c r="H6089" s="1671">
        <f>SUM(H6083:H6088)</f>
        <v>0</v>
      </c>
      <c r="I6089" s="688" t="s">
        <v>92</v>
      </c>
      <c r="J6089" s="1669" t="e">
        <f>'Lead &amp; ANALYSIS'!L1116</f>
        <v>#REF!</v>
      </c>
      <c r="K6089" s="1668" t="s">
        <v>1516</v>
      </c>
      <c r="L6089" s="1669" t="e">
        <f>ROUND(H6089*J6089,0)</f>
        <v>#REF!</v>
      </c>
    </row>
    <row r="6090" spans="1:12" s="692" customFormat="1" ht="16.5" hidden="1">
      <c r="A6090" s="1665" t="str">
        <f>'Lead &amp; ANALYSIS'!A1117</f>
        <v>iv</v>
      </c>
      <c r="B6090" s="1666" t="str">
        <f>'Lead &amp; ANALYSIS'!B1117</f>
        <v>IV.Stony Earth</v>
      </c>
      <c r="C6090" s="688"/>
      <c r="D6090" s="1667"/>
      <c r="E6090" s="688"/>
      <c r="F6090" s="688"/>
      <c r="G6090" s="1674"/>
      <c r="H6090" s="688"/>
      <c r="I6090" s="1668"/>
      <c r="J6090" s="1668"/>
      <c r="K6090" s="1668"/>
      <c r="L6090" s="1669"/>
    </row>
    <row r="6091" spans="1:12" s="692" customFormat="1" ht="16.5" hidden="1">
      <c r="A6091" s="1665"/>
      <c r="B6091" s="1666"/>
      <c r="C6091" s="688"/>
      <c r="D6091" s="1667"/>
      <c r="E6091" s="1671">
        <v>3.5</v>
      </c>
      <c r="F6091" s="1671">
        <v>4</v>
      </c>
      <c r="G6091" s="1674"/>
      <c r="H6091" s="1671">
        <f t="shared" ref="H6091:H6096" si="1128">ROUND(D6091*E6091*F6091,2)</f>
        <v>0</v>
      </c>
      <c r="I6091" s="688" t="s">
        <v>92</v>
      </c>
      <c r="J6091" s="1668"/>
      <c r="K6091" s="1668"/>
      <c r="L6091" s="1669"/>
    </row>
    <row r="6092" spans="1:12" s="692" customFormat="1" ht="16.5" hidden="1">
      <c r="A6092" s="1665"/>
      <c r="B6092" s="1666"/>
      <c r="C6092" s="688"/>
      <c r="D6092" s="1667"/>
      <c r="E6092" s="1671">
        <v>3.5</v>
      </c>
      <c r="F6092" s="1671">
        <v>4</v>
      </c>
      <c r="G6092" s="1674"/>
      <c r="H6092" s="1671">
        <f t="shared" si="1128"/>
        <v>0</v>
      </c>
      <c r="I6092" s="688" t="s">
        <v>92</v>
      </c>
      <c r="J6092" s="1668"/>
      <c r="K6092" s="1668"/>
      <c r="L6092" s="1669"/>
    </row>
    <row r="6093" spans="1:12" s="692" customFormat="1" ht="16.5" hidden="1">
      <c r="A6093" s="1665"/>
      <c r="B6093" s="1666"/>
      <c r="C6093" s="688"/>
      <c r="D6093" s="1667"/>
      <c r="E6093" s="1671">
        <v>3.5</v>
      </c>
      <c r="F6093" s="1671">
        <v>4</v>
      </c>
      <c r="G6093" s="1674"/>
      <c r="H6093" s="1671">
        <f t="shared" si="1128"/>
        <v>0</v>
      </c>
      <c r="I6093" s="688" t="s">
        <v>92</v>
      </c>
      <c r="J6093" s="1668"/>
      <c r="K6093" s="1668"/>
      <c r="L6093" s="1669"/>
    </row>
    <row r="6094" spans="1:12" s="692" customFormat="1" ht="16.5" hidden="1">
      <c r="A6094" s="1665"/>
      <c r="B6094" s="1666"/>
      <c r="C6094" s="688"/>
      <c r="D6094" s="1667"/>
      <c r="E6094" s="1671">
        <v>3.5</v>
      </c>
      <c r="F6094" s="1671">
        <v>4</v>
      </c>
      <c r="G6094" s="1674"/>
      <c r="H6094" s="1671">
        <f t="shared" si="1128"/>
        <v>0</v>
      </c>
      <c r="I6094" s="688" t="s">
        <v>92</v>
      </c>
      <c r="J6094" s="1668"/>
      <c r="K6094" s="1668"/>
      <c r="L6094" s="1669"/>
    </row>
    <row r="6095" spans="1:12" s="692" customFormat="1" ht="16.5" hidden="1">
      <c r="A6095" s="1665"/>
      <c r="B6095" s="1666"/>
      <c r="C6095" s="688"/>
      <c r="D6095" s="1667"/>
      <c r="E6095" s="1671">
        <v>3.5</v>
      </c>
      <c r="F6095" s="1671">
        <v>4</v>
      </c>
      <c r="G6095" s="1674"/>
      <c r="H6095" s="1671">
        <f t="shared" si="1128"/>
        <v>0</v>
      </c>
      <c r="I6095" s="688" t="s">
        <v>92</v>
      </c>
      <c r="J6095" s="1668"/>
      <c r="K6095" s="1668"/>
      <c r="L6095" s="1669"/>
    </row>
    <row r="6096" spans="1:12" s="692" customFormat="1" ht="16.5" hidden="1">
      <c r="A6096" s="1665"/>
      <c r="B6096" s="1666"/>
      <c r="C6096" s="688"/>
      <c r="D6096" s="1667"/>
      <c r="E6096" s="1671">
        <v>3.5</v>
      </c>
      <c r="F6096" s="1671">
        <v>4</v>
      </c>
      <c r="G6096" s="1674"/>
      <c r="H6096" s="1671">
        <f t="shared" si="1128"/>
        <v>0</v>
      </c>
      <c r="I6096" s="688" t="s">
        <v>92</v>
      </c>
      <c r="J6096" s="1668"/>
      <c r="K6096" s="1668"/>
      <c r="L6096" s="1669"/>
    </row>
    <row r="6097" spans="1:12" s="692" customFormat="1" ht="16.5" hidden="1">
      <c r="A6097" s="1665"/>
      <c r="B6097" s="1666"/>
      <c r="C6097" s="688"/>
      <c r="D6097" s="1667"/>
      <c r="E6097" s="1671"/>
      <c r="F6097" s="1671"/>
      <c r="G6097" s="1674" t="s">
        <v>928</v>
      </c>
      <c r="H6097" s="1671">
        <f>SUM(H6091:H6096)</f>
        <v>0</v>
      </c>
      <c r="I6097" s="688" t="s">
        <v>92</v>
      </c>
      <c r="J6097" s="1669" t="e">
        <f>'Lead &amp; ANALYSIS'!L1117</f>
        <v>#REF!</v>
      </c>
      <c r="K6097" s="1668" t="s">
        <v>1516</v>
      </c>
      <c r="L6097" s="1669" t="e">
        <f>ROUND(H6097*J6097,0)</f>
        <v>#REF!</v>
      </c>
    </row>
    <row r="6098" spans="1:12" s="692" customFormat="1" ht="16.5" hidden="1">
      <c r="A6098" s="1665" t="str">
        <f>'Lead &amp; ANALYSIS'!A1118</f>
        <v>v</v>
      </c>
      <c r="B6098" s="1666" t="str">
        <f>'Lead &amp; ANALYSIS'!B1118</f>
        <v>V.All Kinds of Soil</v>
      </c>
      <c r="C6098" s="688"/>
      <c r="D6098" s="1667"/>
      <c r="E6098" s="688"/>
      <c r="F6098" s="688"/>
      <c r="G6098" s="1674"/>
      <c r="H6098" s="688"/>
      <c r="I6098" s="1668"/>
      <c r="J6098" s="1668"/>
      <c r="K6098" s="1668"/>
      <c r="L6098" s="1669"/>
    </row>
    <row r="6099" spans="1:12" s="692" customFormat="1" ht="16.5" hidden="1">
      <c r="A6099" s="1665"/>
      <c r="B6099" s="1666"/>
      <c r="C6099" s="688"/>
      <c r="D6099" s="1667"/>
      <c r="E6099" s="1671">
        <v>3.5</v>
      </c>
      <c r="F6099" s="1671">
        <v>4</v>
      </c>
      <c r="G6099" s="1674"/>
      <c r="H6099" s="1671">
        <f t="shared" ref="H6099:H6104" si="1129">ROUND(D6099*E6099*F6099,2)</f>
        <v>0</v>
      </c>
      <c r="I6099" s="688" t="s">
        <v>92</v>
      </c>
      <c r="J6099" s="1668"/>
      <c r="K6099" s="1668"/>
      <c r="L6099" s="1669"/>
    </row>
    <row r="6100" spans="1:12" s="692" customFormat="1" ht="16.5" hidden="1">
      <c r="A6100" s="1665"/>
      <c r="B6100" s="1666"/>
      <c r="C6100" s="688"/>
      <c r="D6100" s="1667"/>
      <c r="E6100" s="1671">
        <v>3.5</v>
      </c>
      <c r="F6100" s="1671">
        <v>4</v>
      </c>
      <c r="G6100" s="1674"/>
      <c r="H6100" s="1671">
        <f t="shared" si="1129"/>
        <v>0</v>
      </c>
      <c r="I6100" s="688" t="s">
        <v>92</v>
      </c>
      <c r="J6100" s="1668"/>
      <c r="K6100" s="1668"/>
      <c r="L6100" s="1669"/>
    </row>
    <row r="6101" spans="1:12" s="692" customFormat="1" ht="16.5" hidden="1">
      <c r="A6101" s="1665"/>
      <c r="B6101" s="1666"/>
      <c r="C6101" s="688"/>
      <c r="D6101" s="1667"/>
      <c r="E6101" s="1671">
        <v>3.5</v>
      </c>
      <c r="F6101" s="1671">
        <v>4</v>
      </c>
      <c r="G6101" s="1674"/>
      <c r="H6101" s="1671">
        <f t="shared" si="1129"/>
        <v>0</v>
      </c>
      <c r="I6101" s="688" t="s">
        <v>92</v>
      </c>
      <c r="J6101" s="1668"/>
      <c r="K6101" s="1668"/>
      <c r="L6101" s="1669"/>
    </row>
    <row r="6102" spans="1:12" s="692" customFormat="1" ht="16.5" hidden="1">
      <c r="A6102" s="1665"/>
      <c r="B6102" s="1666"/>
      <c r="C6102" s="688"/>
      <c r="D6102" s="1667"/>
      <c r="E6102" s="1671">
        <v>3.5</v>
      </c>
      <c r="F6102" s="1671">
        <v>4</v>
      </c>
      <c r="G6102" s="1674"/>
      <c r="H6102" s="1671">
        <f t="shared" si="1129"/>
        <v>0</v>
      </c>
      <c r="I6102" s="688" t="s">
        <v>92</v>
      </c>
      <c r="J6102" s="1668"/>
      <c r="K6102" s="1668"/>
      <c r="L6102" s="1669"/>
    </row>
    <row r="6103" spans="1:12" s="692" customFormat="1" ht="16.5" hidden="1">
      <c r="A6103" s="1665"/>
      <c r="B6103" s="1666"/>
      <c r="C6103" s="688"/>
      <c r="D6103" s="1667"/>
      <c r="E6103" s="1671">
        <v>3.5</v>
      </c>
      <c r="F6103" s="1671">
        <v>4</v>
      </c>
      <c r="G6103" s="1674"/>
      <c r="H6103" s="1671">
        <f t="shared" si="1129"/>
        <v>0</v>
      </c>
      <c r="I6103" s="688" t="s">
        <v>92</v>
      </c>
      <c r="J6103" s="1668"/>
      <c r="K6103" s="1668"/>
      <c r="L6103" s="1669"/>
    </row>
    <row r="6104" spans="1:12" s="692" customFormat="1" ht="16.5" hidden="1">
      <c r="A6104" s="1665"/>
      <c r="B6104" s="1666"/>
      <c r="C6104" s="688"/>
      <c r="D6104" s="1667"/>
      <c r="E6104" s="1671">
        <v>3.5</v>
      </c>
      <c r="F6104" s="1671">
        <v>4</v>
      </c>
      <c r="G6104" s="1674"/>
      <c r="H6104" s="1671">
        <f t="shared" si="1129"/>
        <v>0</v>
      </c>
      <c r="I6104" s="688" t="s">
        <v>92</v>
      </c>
      <c r="J6104" s="1668"/>
      <c r="K6104" s="1668"/>
      <c r="L6104" s="1669"/>
    </row>
    <row r="6105" spans="1:12" s="692" customFormat="1" ht="16.5" hidden="1">
      <c r="A6105" s="1665"/>
      <c r="B6105" s="1666"/>
      <c r="C6105" s="688"/>
      <c r="D6105" s="1667"/>
      <c r="E6105" s="1671"/>
      <c r="F6105" s="1671"/>
      <c r="G6105" s="1674" t="s">
        <v>928</v>
      </c>
      <c r="H6105" s="1671">
        <f>SUM(H6099:H6104)</f>
        <v>0</v>
      </c>
      <c r="I6105" s="688" t="s">
        <v>92</v>
      </c>
      <c r="J6105" s="1669" t="e">
        <f>'Lead &amp; ANALYSIS'!L1118</f>
        <v>#REF!</v>
      </c>
      <c r="K6105" s="1668" t="s">
        <v>1516</v>
      </c>
      <c r="L6105" s="1669" t="e">
        <f>ROUND(H6105*J6105,0)</f>
        <v>#REF!</v>
      </c>
    </row>
    <row r="6106" spans="1:12" s="692" customFormat="1" ht="16.5" hidden="1">
      <c r="A6106" s="1665" t="str">
        <f>'Lead &amp; ANALYSIS'!A1119</f>
        <v>F.</v>
      </c>
      <c r="B6106" s="1666" t="str">
        <f>'Lead &amp; ANALYSIS'!B1119</f>
        <v>6TH DEPTH OF 1.5MTR.</v>
      </c>
      <c r="C6106" s="688"/>
      <c r="D6106" s="1667"/>
      <c r="E6106" s="688"/>
      <c r="F6106" s="688"/>
      <c r="G6106" s="1674"/>
      <c r="H6106" s="688"/>
      <c r="I6106" s="1668"/>
      <c r="J6106" s="1668"/>
      <c r="K6106" s="1668"/>
      <c r="L6106" s="1669"/>
    </row>
    <row r="6107" spans="1:12" s="692" customFormat="1" ht="16.5" hidden="1">
      <c r="A6107" s="1665" t="str">
        <f>'Lead &amp; ANALYSIS'!A1120</f>
        <v>i</v>
      </c>
      <c r="B6107" s="1666" t="str">
        <f>'Lead &amp; ANALYSIS'!B1120</f>
        <v>i.Ordinary Soil.</v>
      </c>
      <c r="C6107" s="688"/>
      <c r="D6107" s="1667"/>
      <c r="E6107" s="688"/>
      <c r="F6107" s="688"/>
      <c r="G6107" s="1674"/>
      <c r="H6107" s="688"/>
      <c r="I6107" s="1668"/>
      <c r="J6107" s="1668"/>
      <c r="K6107" s="1668"/>
      <c r="L6107" s="1668"/>
    </row>
    <row r="6108" spans="1:12" s="692" customFormat="1" ht="16.5" hidden="1">
      <c r="A6108" s="1665"/>
      <c r="B6108" s="1666"/>
      <c r="C6108" s="688"/>
      <c r="D6108" s="1667"/>
      <c r="E6108" s="1671">
        <v>3.5</v>
      </c>
      <c r="F6108" s="1671">
        <v>4</v>
      </c>
      <c r="G6108" s="1674"/>
      <c r="H6108" s="1671">
        <f t="shared" ref="H6108:H6113" si="1130">ROUND(D6108*E6108*F6108,2)</f>
        <v>0</v>
      </c>
      <c r="I6108" s="688" t="s">
        <v>92</v>
      </c>
      <c r="J6108" s="1668"/>
      <c r="K6108" s="1668"/>
      <c r="L6108" s="1668"/>
    </row>
    <row r="6109" spans="1:12" s="692" customFormat="1" ht="16.5" hidden="1">
      <c r="A6109" s="1665"/>
      <c r="B6109" s="1666"/>
      <c r="C6109" s="688"/>
      <c r="D6109" s="1667"/>
      <c r="E6109" s="1671">
        <v>3.5</v>
      </c>
      <c r="F6109" s="1671">
        <v>4</v>
      </c>
      <c r="G6109" s="1674"/>
      <c r="H6109" s="1671">
        <f t="shared" si="1130"/>
        <v>0</v>
      </c>
      <c r="I6109" s="688" t="s">
        <v>92</v>
      </c>
      <c r="J6109" s="1668"/>
      <c r="K6109" s="1668"/>
      <c r="L6109" s="1668"/>
    </row>
    <row r="6110" spans="1:12" s="692" customFormat="1" ht="16.5" hidden="1">
      <c r="A6110" s="1665"/>
      <c r="B6110" s="1666"/>
      <c r="C6110" s="688"/>
      <c r="D6110" s="1667"/>
      <c r="E6110" s="1671">
        <v>3.5</v>
      </c>
      <c r="F6110" s="1671">
        <v>4</v>
      </c>
      <c r="G6110" s="1674"/>
      <c r="H6110" s="1671">
        <f t="shared" si="1130"/>
        <v>0</v>
      </c>
      <c r="I6110" s="688" t="s">
        <v>92</v>
      </c>
      <c r="J6110" s="1668"/>
      <c r="K6110" s="1668"/>
      <c r="L6110" s="1668"/>
    </row>
    <row r="6111" spans="1:12" s="692" customFormat="1" ht="16.5" hidden="1">
      <c r="A6111" s="1665"/>
      <c r="B6111" s="1666"/>
      <c r="C6111" s="688"/>
      <c r="D6111" s="1667"/>
      <c r="E6111" s="1671">
        <v>3.5</v>
      </c>
      <c r="F6111" s="1671">
        <v>4</v>
      </c>
      <c r="G6111" s="1674"/>
      <c r="H6111" s="1671">
        <f t="shared" si="1130"/>
        <v>0</v>
      </c>
      <c r="I6111" s="688" t="s">
        <v>92</v>
      </c>
      <c r="J6111" s="1668"/>
      <c r="K6111" s="1668"/>
      <c r="L6111" s="1668"/>
    </row>
    <row r="6112" spans="1:12" s="692" customFormat="1" ht="16.5" hidden="1">
      <c r="A6112" s="1665"/>
      <c r="B6112" s="1666"/>
      <c r="C6112" s="688"/>
      <c r="D6112" s="1667"/>
      <c r="E6112" s="1671">
        <v>3.5</v>
      </c>
      <c r="F6112" s="1671">
        <v>4</v>
      </c>
      <c r="G6112" s="1674"/>
      <c r="H6112" s="1671">
        <f t="shared" si="1130"/>
        <v>0</v>
      </c>
      <c r="I6112" s="688" t="s">
        <v>92</v>
      </c>
      <c r="J6112" s="1668"/>
      <c r="K6112" s="1668"/>
      <c r="L6112" s="1668"/>
    </row>
    <row r="6113" spans="1:12" s="692" customFormat="1" ht="16.5" hidden="1">
      <c r="A6113" s="1665"/>
      <c r="B6113" s="1666"/>
      <c r="C6113" s="688"/>
      <c r="D6113" s="1667"/>
      <c r="E6113" s="1671">
        <v>3.5</v>
      </c>
      <c r="F6113" s="1671">
        <v>4</v>
      </c>
      <c r="G6113" s="1674"/>
      <c r="H6113" s="1671">
        <f t="shared" si="1130"/>
        <v>0</v>
      </c>
      <c r="I6113" s="688" t="s">
        <v>92</v>
      </c>
      <c r="J6113" s="1668"/>
      <c r="K6113" s="1668"/>
      <c r="L6113" s="1668"/>
    </row>
    <row r="6114" spans="1:12" s="692" customFormat="1" ht="16.5" hidden="1">
      <c r="A6114" s="1665"/>
      <c r="B6114" s="1666"/>
      <c r="C6114" s="688"/>
      <c r="D6114" s="1667"/>
      <c r="E6114" s="1671"/>
      <c r="F6114" s="1671"/>
      <c r="G6114" s="1674" t="s">
        <v>928</v>
      </c>
      <c r="H6114" s="1671">
        <f>SUM(H6108:H6113)</f>
        <v>0</v>
      </c>
      <c r="I6114" s="688" t="s">
        <v>92</v>
      </c>
      <c r="J6114" s="1669" t="e">
        <f>'Lead &amp; ANALYSIS'!L1120</f>
        <v>#REF!</v>
      </c>
      <c r="K6114" s="1668" t="s">
        <v>1516</v>
      </c>
      <c r="L6114" s="1669" t="e">
        <f>ROUND(H6114*J6114,0)</f>
        <v>#REF!</v>
      </c>
    </row>
    <row r="6115" spans="1:12" s="692" customFormat="1" ht="16.5" hidden="1">
      <c r="A6115" s="1665" t="str">
        <f>'Lead &amp; ANALYSIS'!A1121</f>
        <v>ii</v>
      </c>
      <c r="B6115" s="1666" t="str">
        <f>'Lead &amp; ANALYSIS'!B1121</f>
        <v>ii.Slushy Soil</v>
      </c>
      <c r="C6115" s="688"/>
      <c r="D6115" s="1667"/>
      <c r="E6115" s="688"/>
      <c r="F6115" s="688"/>
      <c r="G6115" s="1674"/>
      <c r="H6115" s="688"/>
      <c r="I6115" s="1668"/>
      <c r="J6115" s="1668"/>
      <c r="K6115" s="1668"/>
      <c r="L6115" s="1669"/>
    </row>
    <row r="6116" spans="1:12" s="692" customFormat="1" ht="16.5" hidden="1">
      <c r="A6116" s="1665"/>
      <c r="B6116" s="1666"/>
      <c r="C6116" s="688"/>
      <c r="D6116" s="1667"/>
      <c r="E6116" s="1671">
        <v>3.5</v>
      </c>
      <c r="F6116" s="1671">
        <v>4</v>
      </c>
      <c r="G6116" s="1674"/>
      <c r="H6116" s="1671">
        <f t="shared" ref="H6116:H6121" si="1131">ROUND(D6116*E6116*F6116,2)</f>
        <v>0</v>
      </c>
      <c r="I6116" s="688" t="s">
        <v>92</v>
      </c>
      <c r="J6116" s="1668"/>
      <c r="K6116" s="1668"/>
      <c r="L6116" s="1669"/>
    </row>
    <row r="6117" spans="1:12" s="692" customFormat="1" ht="16.5" hidden="1">
      <c r="A6117" s="1665"/>
      <c r="B6117" s="1666"/>
      <c r="C6117" s="688"/>
      <c r="D6117" s="1667"/>
      <c r="E6117" s="1671">
        <v>3.5</v>
      </c>
      <c r="F6117" s="1671">
        <v>4</v>
      </c>
      <c r="G6117" s="1674"/>
      <c r="H6117" s="1671">
        <f t="shared" si="1131"/>
        <v>0</v>
      </c>
      <c r="I6117" s="688" t="s">
        <v>92</v>
      </c>
      <c r="J6117" s="1668"/>
      <c r="K6117" s="1668"/>
      <c r="L6117" s="1669"/>
    </row>
    <row r="6118" spans="1:12" s="692" customFormat="1" ht="16.5" hidden="1">
      <c r="A6118" s="1665"/>
      <c r="B6118" s="1666"/>
      <c r="C6118" s="688"/>
      <c r="D6118" s="1667"/>
      <c r="E6118" s="1671">
        <v>3.5</v>
      </c>
      <c r="F6118" s="1671">
        <v>4</v>
      </c>
      <c r="G6118" s="1674"/>
      <c r="H6118" s="1671">
        <f t="shared" si="1131"/>
        <v>0</v>
      </c>
      <c r="I6118" s="688" t="s">
        <v>92</v>
      </c>
      <c r="J6118" s="1668"/>
      <c r="K6118" s="1668"/>
      <c r="L6118" s="1669"/>
    </row>
    <row r="6119" spans="1:12" s="692" customFormat="1" ht="16.5" hidden="1">
      <c r="A6119" s="1665"/>
      <c r="B6119" s="1666"/>
      <c r="C6119" s="688"/>
      <c r="D6119" s="1667"/>
      <c r="E6119" s="1671">
        <v>3.5</v>
      </c>
      <c r="F6119" s="1671">
        <v>4</v>
      </c>
      <c r="G6119" s="1674"/>
      <c r="H6119" s="1671">
        <f t="shared" si="1131"/>
        <v>0</v>
      </c>
      <c r="I6119" s="688" t="s">
        <v>92</v>
      </c>
      <c r="J6119" s="1668"/>
      <c r="K6119" s="1668"/>
      <c r="L6119" s="1669"/>
    </row>
    <row r="6120" spans="1:12" s="692" customFormat="1" ht="16.5" hidden="1">
      <c r="A6120" s="1665"/>
      <c r="B6120" s="1666"/>
      <c r="C6120" s="688"/>
      <c r="D6120" s="1667"/>
      <c r="E6120" s="1671">
        <v>3.5</v>
      </c>
      <c r="F6120" s="1671">
        <v>4</v>
      </c>
      <c r="G6120" s="1674"/>
      <c r="H6120" s="1671">
        <f t="shared" si="1131"/>
        <v>0</v>
      </c>
      <c r="I6120" s="688" t="s">
        <v>92</v>
      </c>
      <c r="J6120" s="1668"/>
      <c r="K6120" s="1668"/>
      <c r="L6120" s="1669"/>
    </row>
    <row r="6121" spans="1:12" s="692" customFormat="1" ht="16.5" hidden="1">
      <c r="A6121" s="1665"/>
      <c r="B6121" s="1666"/>
      <c r="C6121" s="688"/>
      <c r="D6121" s="1667"/>
      <c r="E6121" s="1671">
        <v>3.5</v>
      </c>
      <c r="F6121" s="1671">
        <v>4</v>
      </c>
      <c r="G6121" s="1674"/>
      <c r="H6121" s="1671">
        <f t="shared" si="1131"/>
        <v>0</v>
      </c>
      <c r="I6121" s="688" t="s">
        <v>92</v>
      </c>
      <c r="J6121" s="1668"/>
      <c r="K6121" s="1668"/>
      <c r="L6121" s="1669"/>
    </row>
    <row r="6122" spans="1:12" s="692" customFormat="1" ht="16.5" hidden="1">
      <c r="A6122" s="1665"/>
      <c r="B6122" s="1666"/>
      <c r="C6122" s="688"/>
      <c r="D6122" s="1667"/>
      <c r="E6122" s="1671"/>
      <c r="F6122" s="1671"/>
      <c r="G6122" s="1674" t="s">
        <v>928</v>
      </c>
      <c r="H6122" s="1671">
        <f>SUM(H6116:H6121)</f>
        <v>0</v>
      </c>
      <c r="I6122" s="688" t="s">
        <v>92</v>
      </c>
      <c r="J6122" s="1669" t="e">
        <f>'Lead &amp; ANALYSIS'!L1121</f>
        <v>#REF!</v>
      </c>
      <c r="K6122" s="1668" t="s">
        <v>1516</v>
      </c>
      <c r="L6122" s="1669" t="e">
        <f>ROUND(H6122*J6122,0)</f>
        <v>#REF!</v>
      </c>
    </row>
    <row r="6123" spans="1:12" s="692" customFormat="1" ht="16.5" hidden="1">
      <c r="A6123" s="1665" t="str">
        <f>'Lead &amp; ANALYSIS'!A1122</f>
        <v>iii</v>
      </c>
      <c r="B6123" s="1666" t="str">
        <f>'Lead &amp; ANALYSIS'!B1122</f>
        <v>iii.Hard Sooil</v>
      </c>
      <c r="C6123" s="688"/>
      <c r="D6123" s="1667"/>
      <c r="E6123" s="688"/>
      <c r="F6123" s="688"/>
      <c r="G6123" s="1674"/>
      <c r="H6123" s="688"/>
      <c r="I6123" s="1668"/>
      <c r="J6123" s="1668"/>
      <c r="K6123" s="1668"/>
      <c r="L6123" s="1669"/>
    </row>
    <row r="6124" spans="1:12" s="692" customFormat="1" ht="16.5" hidden="1">
      <c r="A6124" s="1665"/>
      <c r="B6124" s="1666"/>
      <c r="C6124" s="688"/>
      <c r="D6124" s="1667"/>
      <c r="E6124" s="1671">
        <v>3.5</v>
      </c>
      <c r="F6124" s="1671">
        <v>4</v>
      </c>
      <c r="G6124" s="1674"/>
      <c r="H6124" s="1671">
        <f t="shared" ref="H6124:H6129" si="1132">ROUND(D6124*E6124*F6124,2)</f>
        <v>0</v>
      </c>
      <c r="I6124" s="688" t="s">
        <v>92</v>
      </c>
      <c r="J6124" s="1668"/>
      <c r="K6124" s="1668"/>
      <c r="L6124" s="1669"/>
    </row>
    <row r="6125" spans="1:12" s="692" customFormat="1" ht="16.5" hidden="1">
      <c r="A6125" s="1665"/>
      <c r="B6125" s="1666"/>
      <c r="C6125" s="688"/>
      <c r="D6125" s="1667"/>
      <c r="E6125" s="1671">
        <v>3.5</v>
      </c>
      <c r="F6125" s="1671">
        <v>4</v>
      </c>
      <c r="G6125" s="1674"/>
      <c r="H6125" s="1671">
        <f t="shared" si="1132"/>
        <v>0</v>
      </c>
      <c r="I6125" s="688" t="s">
        <v>92</v>
      </c>
      <c r="J6125" s="1668"/>
      <c r="K6125" s="1668"/>
      <c r="L6125" s="1669"/>
    </row>
    <row r="6126" spans="1:12" s="692" customFormat="1" ht="16.5" hidden="1">
      <c r="A6126" s="1665"/>
      <c r="B6126" s="1666"/>
      <c r="C6126" s="688"/>
      <c r="D6126" s="1667"/>
      <c r="E6126" s="1671">
        <v>3.5</v>
      </c>
      <c r="F6126" s="1671">
        <v>4</v>
      </c>
      <c r="G6126" s="1674"/>
      <c r="H6126" s="1671">
        <f t="shared" si="1132"/>
        <v>0</v>
      </c>
      <c r="I6126" s="688" t="s">
        <v>92</v>
      </c>
      <c r="J6126" s="1668"/>
      <c r="K6126" s="1668"/>
      <c r="L6126" s="1669"/>
    </row>
    <row r="6127" spans="1:12" s="692" customFormat="1" ht="16.5" hidden="1">
      <c r="A6127" s="1665"/>
      <c r="B6127" s="1666"/>
      <c r="C6127" s="688"/>
      <c r="D6127" s="1667"/>
      <c r="E6127" s="1671">
        <v>3.5</v>
      </c>
      <c r="F6127" s="1671">
        <v>4</v>
      </c>
      <c r="G6127" s="1674"/>
      <c r="H6127" s="1671">
        <f t="shared" si="1132"/>
        <v>0</v>
      </c>
      <c r="I6127" s="688" t="s">
        <v>92</v>
      </c>
      <c r="J6127" s="1668"/>
      <c r="K6127" s="1668"/>
      <c r="L6127" s="1669"/>
    </row>
    <row r="6128" spans="1:12" s="692" customFormat="1" ht="16.5" hidden="1">
      <c r="A6128" s="1665"/>
      <c r="B6128" s="1666"/>
      <c r="C6128" s="688"/>
      <c r="D6128" s="1667"/>
      <c r="E6128" s="1671">
        <v>3.5</v>
      </c>
      <c r="F6128" s="1671">
        <v>4</v>
      </c>
      <c r="G6128" s="1674"/>
      <c r="H6128" s="1671">
        <f t="shared" si="1132"/>
        <v>0</v>
      </c>
      <c r="I6128" s="688" t="s">
        <v>92</v>
      </c>
      <c r="J6128" s="1668"/>
      <c r="K6128" s="1668"/>
      <c r="L6128" s="1669"/>
    </row>
    <row r="6129" spans="1:12" s="692" customFormat="1" ht="16.5" hidden="1">
      <c r="A6129" s="1665"/>
      <c r="B6129" s="1666"/>
      <c r="C6129" s="688"/>
      <c r="D6129" s="1667"/>
      <c r="E6129" s="1671">
        <v>3.5</v>
      </c>
      <c r="F6129" s="1671">
        <v>4</v>
      </c>
      <c r="G6129" s="1674"/>
      <c r="H6129" s="1671">
        <f t="shared" si="1132"/>
        <v>0</v>
      </c>
      <c r="I6129" s="688" t="s">
        <v>92</v>
      </c>
      <c r="J6129" s="1668"/>
      <c r="K6129" s="1668"/>
      <c r="L6129" s="1669"/>
    </row>
    <row r="6130" spans="1:12" s="692" customFormat="1" ht="16.5" hidden="1">
      <c r="A6130" s="1665"/>
      <c r="B6130" s="1666"/>
      <c r="C6130" s="688"/>
      <c r="D6130" s="1667"/>
      <c r="E6130" s="1671"/>
      <c r="F6130" s="1671"/>
      <c r="G6130" s="1674" t="s">
        <v>928</v>
      </c>
      <c r="H6130" s="1671">
        <f>SUM(H6124:H6129)</f>
        <v>0</v>
      </c>
      <c r="I6130" s="688" t="s">
        <v>92</v>
      </c>
      <c r="J6130" s="1669" t="e">
        <f>'Lead &amp; ANALYSIS'!L1122</f>
        <v>#REF!</v>
      </c>
      <c r="K6130" s="1668" t="s">
        <v>1516</v>
      </c>
      <c r="L6130" s="1669" t="e">
        <f>ROUND(H6130*J6130,0)</f>
        <v>#REF!</v>
      </c>
    </row>
    <row r="6131" spans="1:12" s="692" customFormat="1" ht="16.5" hidden="1">
      <c r="A6131" s="1665" t="str">
        <f>'Lead &amp; ANALYSIS'!A1123</f>
        <v>iv</v>
      </c>
      <c r="B6131" s="1666" t="str">
        <f>'Lead &amp; ANALYSIS'!B1123</f>
        <v>IV.Stony Earth</v>
      </c>
      <c r="C6131" s="688"/>
      <c r="D6131" s="1667"/>
      <c r="E6131" s="688"/>
      <c r="F6131" s="688"/>
      <c r="G6131" s="1674"/>
      <c r="H6131" s="688"/>
      <c r="I6131" s="1668"/>
      <c r="J6131" s="1668"/>
      <c r="K6131" s="1668"/>
      <c r="L6131" s="1669"/>
    </row>
    <row r="6132" spans="1:12" s="692" customFormat="1" ht="16.5" hidden="1">
      <c r="A6132" s="1665"/>
      <c r="B6132" s="1666"/>
      <c r="C6132" s="688"/>
      <c r="D6132" s="1667"/>
      <c r="E6132" s="1671">
        <v>3.5</v>
      </c>
      <c r="F6132" s="1671">
        <v>4</v>
      </c>
      <c r="G6132" s="1674"/>
      <c r="H6132" s="1671">
        <f t="shared" ref="H6132:H6137" si="1133">ROUND(D6132*E6132*F6132,2)</f>
        <v>0</v>
      </c>
      <c r="I6132" s="688" t="s">
        <v>92</v>
      </c>
      <c r="J6132" s="1668"/>
      <c r="K6132" s="1668"/>
      <c r="L6132" s="1669"/>
    </row>
    <row r="6133" spans="1:12" s="692" customFormat="1" ht="16.5" hidden="1">
      <c r="A6133" s="1665"/>
      <c r="B6133" s="1666"/>
      <c r="C6133" s="688"/>
      <c r="D6133" s="1667"/>
      <c r="E6133" s="1671">
        <v>3.5</v>
      </c>
      <c r="F6133" s="1671">
        <v>4</v>
      </c>
      <c r="G6133" s="1674"/>
      <c r="H6133" s="1671">
        <f t="shared" si="1133"/>
        <v>0</v>
      </c>
      <c r="I6133" s="688" t="s">
        <v>92</v>
      </c>
      <c r="J6133" s="1668"/>
      <c r="K6133" s="1668"/>
      <c r="L6133" s="1669"/>
    </row>
    <row r="6134" spans="1:12" s="692" customFormat="1" ht="16.5" hidden="1">
      <c r="A6134" s="1665"/>
      <c r="B6134" s="1666"/>
      <c r="C6134" s="688"/>
      <c r="D6134" s="1667"/>
      <c r="E6134" s="1671">
        <v>3.5</v>
      </c>
      <c r="F6134" s="1671">
        <v>4</v>
      </c>
      <c r="G6134" s="1674"/>
      <c r="H6134" s="1671">
        <f t="shared" si="1133"/>
        <v>0</v>
      </c>
      <c r="I6134" s="688" t="s">
        <v>92</v>
      </c>
      <c r="J6134" s="1668"/>
      <c r="K6134" s="1668"/>
      <c r="L6134" s="1669"/>
    </row>
    <row r="6135" spans="1:12" s="692" customFormat="1" ht="16.5" hidden="1">
      <c r="A6135" s="1665"/>
      <c r="B6135" s="1666"/>
      <c r="C6135" s="688"/>
      <c r="D6135" s="1667"/>
      <c r="E6135" s="1671">
        <v>3.5</v>
      </c>
      <c r="F6135" s="1671">
        <v>4</v>
      </c>
      <c r="G6135" s="1674"/>
      <c r="H6135" s="1671">
        <f t="shared" si="1133"/>
        <v>0</v>
      </c>
      <c r="I6135" s="688" t="s">
        <v>92</v>
      </c>
      <c r="J6135" s="1668"/>
      <c r="K6135" s="1668"/>
      <c r="L6135" s="1669"/>
    </row>
    <row r="6136" spans="1:12" s="692" customFormat="1" ht="16.5" hidden="1">
      <c r="A6136" s="1665"/>
      <c r="B6136" s="1666"/>
      <c r="C6136" s="688"/>
      <c r="D6136" s="1667"/>
      <c r="E6136" s="1671">
        <v>3.5</v>
      </c>
      <c r="F6136" s="1671">
        <v>4</v>
      </c>
      <c r="G6136" s="1674"/>
      <c r="H6136" s="1671">
        <f t="shared" si="1133"/>
        <v>0</v>
      </c>
      <c r="I6136" s="688" t="s">
        <v>92</v>
      </c>
      <c r="J6136" s="1668"/>
      <c r="K6136" s="1668"/>
      <c r="L6136" s="1669"/>
    </row>
    <row r="6137" spans="1:12" s="692" customFormat="1" ht="16.5" hidden="1">
      <c r="A6137" s="1665"/>
      <c r="B6137" s="1666"/>
      <c r="C6137" s="688"/>
      <c r="D6137" s="1667"/>
      <c r="E6137" s="1671">
        <v>3.5</v>
      </c>
      <c r="F6137" s="1671">
        <v>4</v>
      </c>
      <c r="G6137" s="1674"/>
      <c r="H6137" s="1671">
        <f t="shared" si="1133"/>
        <v>0</v>
      </c>
      <c r="I6137" s="688" t="s">
        <v>92</v>
      </c>
      <c r="J6137" s="1668"/>
      <c r="K6137" s="1668"/>
      <c r="L6137" s="1669"/>
    </row>
    <row r="6138" spans="1:12" s="692" customFormat="1" ht="16.5" hidden="1">
      <c r="A6138" s="1665"/>
      <c r="B6138" s="1666"/>
      <c r="C6138" s="688"/>
      <c r="D6138" s="1667"/>
      <c r="E6138" s="1671"/>
      <c r="F6138" s="1671"/>
      <c r="G6138" s="1674" t="s">
        <v>928</v>
      </c>
      <c r="H6138" s="1671">
        <f>SUM(H6132:H6137)</f>
        <v>0</v>
      </c>
      <c r="I6138" s="688" t="s">
        <v>92</v>
      </c>
      <c r="J6138" s="1669" t="e">
        <f>'Lead &amp; ANALYSIS'!L1123</f>
        <v>#REF!</v>
      </c>
      <c r="K6138" s="1668" t="s">
        <v>1516</v>
      </c>
      <c r="L6138" s="1669" t="e">
        <f>ROUND(H6138*J6138,0)</f>
        <v>#REF!</v>
      </c>
    </row>
    <row r="6139" spans="1:12" s="692" customFormat="1" ht="16.5" hidden="1">
      <c r="A6139" s="1665" t="str">
        <f>'Lead &amp; ANALYSIS'!A1124</f>
        <v>v</v>
      </c>
      <c r="B6139" s="1666" t="str">
        <f>'Lead &amp; ANALYSIS'!B1124</f>
        <v>V.All Kinds of Soil</v>
      </c>
      <c r="C6139" s="688"/>
      <c r="D6139" s="1667"/>
      <c r="E6139" s="688"/>
      <c r="F6139" s="688"/>
      <c r="G6139" s="1674"/>
      <c r="H6139" s="688"/>
      <c r="I6139" s="1668"/>
      <c r="J6139" s="1668"/>
      <c r="K6139" s="1668"/>
      <c r="L6139" s="1669"/>
    </row>
    <row r="6140" spans="1:12" s="692" customFormat="1" ht="16.5" hidden="1">
      <c r="A6140" s="1665"/>
      <c r="B6140" s="1666"/>
      <c r="C6140" s="688"/>
      <c r="D6140" s="1667"/>
      <c r="E6140" s="1671">
        <v>3.5</v>
      </c>
      <c r="F6140" s="1671">
        <v>4</v>
      </c>
      <c r="G6140" s="1674"/>
      <c r="H6140" s="1671">
        <f t="shared" ref="H6140:H6145" si="1134">ROUND(D6140*E6140*F6140,2)</f>
        <v>0</v>
      </c>
      <c r="I6140" s="688" t="s">
        <v>92</v>
      </c>
      <c r="J6140" s="1668"/>
      <c r="K6140" s="1668"/>
      <c r="L6140" s="1669"/>
    </row>
    <row r="6141" spans="1:12" s="692" customFormat="1" ht="16.5" hidden="1">
      <c r="A6141" s="1665"/>
      <c r="B6141" s="1666"/>
      <c r="C6141" s="688"/>
      <c r="D6141" s="1667"/>
      <c r="E6141" s="1671">
        <v>3.5</v>
      </c>
      <c r="F6141" s="1671">
        <v>4</v>
      </c>
      <c r="G6141" s="1674"/>
      <c r="H6141" s="1671">
        <f t="shared" si="1134"/>
        <v>0</v>
      </c>
      <c r="I6141" s="688" t="s">
        <v>92</v>
      </c>
      <c r="J6141" s="1668"/>
      <c r="K6141" s="1668"/>
      <c r="L6141" s="1669"/>
    </row>
    <row r="6142" spans="1:12" s="692" customFormat="1" ht="16.5" hidden="1">
      <c r="A6142" s="1665"/>
      <c r="B6142" s="1666"/>
      <c r="C6142" s="688"/>
      <c r="D6142" s="1667"/>
      <c r="E6142" s="1671">
        <v>3.5</v>
      </c>
      <c r="F6142" s="1671">
        <v>4</v>
      </c>
      <c r="G6142" s="1674"/>
      <c r="H6142" s="1671">
        <f t="shared" si="1134"/>
        <v>0</v>
      </c>
      <c r="I6142" s="688" t="s">
        <v>92</v>
      </c>
      <c r="J6142" s="1668"/>
      <c r="K6142" s="1668"/>
      <c r="L6142" s="1669"/>
    </row>
    <row r="6143" spans="1:12" s="692" customFormat="1" ht="16.5" hidden="1">
      <c r="A6143" s="1665"/>
      <c r="B6143" s="1666"/>
      <c r="C6143" s="688"/>
      <c r="D6143" s="1667"/>
      <c r="E6143" s="1671">
        <v>3.5</v>
      </c>
      <c r="F6143" s="1671">
        <v>4</v>
      </c>
      <c r="G6143" s="1674"/>
      <c r="H6143" s="1671">
        <f t="shared" si="1134"/>
        <v>0</v>
      </c>
      <c r="I6143" s="688" t="s">
        <v>92</v>
      </c>
      <c r="J6143" s="1668"/>
      <c r="K6143" s="1668"/>
      <c r="L6143" s="1669"/>
    </row>
    <row r="6144" spans="1:12" s="692" customFormat="1" ht="16.5" hidden="1">
      <c r="A6144" s="1665"/>
      <c r="B6144" s="1666"/>
      <c r="C6144" s="688"/>
      <c r="D6144" s="1667"/>
      <c r="E6144" s="1671">
        <v>3.5</v>
      </c>
      <c r="F6144" s="1671">
        <v>4</v>
      </c>
      <c r="G6144" s="1674"/>
      <c r="H6144" s="1671">
        <f t="shared" si="1134"/>
        <v>0</v>
      </c>
      <c r="I6144" s="688" t="s">
        <v>92</v>
      </c>
      <c r="J6144" s="1668"/>
      <c r="K6144" s="1668"/>
      <c r="L6144" s="1669"/>
    </row>
    <row r="6145" spans="1:12" s="692" customFormat="1" ht="16.5" hidden="1">
      <c r="A6145" s="1665"/>
      <c r="B6145" s="1666"/>
      <c r="C6145" s="688"/>
      <c r="D6145" s="1667"/>
      <c r="E6145" s="1671">
        <v>3.5</v>
      </c>
      <c r="F6145" s="1671">
        <v>4</v>
      </c>
      <c r="G6145" s="1674"/>
      <c r="H6145" s="1671">
        <f t="shared" si="1134"/>
        <v>0</v>
      </c>
      <c r="I6145" s="688" t="s">
        <v>92</v>
      </c>
      <c r="J6145" s="1668"/>
      <c r="K6145" s="1668"/>
      <c r="L6145" s="1669"/>
    </row>
    <row r="6146" spans="1:12" s="692" customFormat="1" ht="16.5" hidden="1">
      <c r="A6146" s="1665"/>
      <c r="B6146" s="1666"/>
      <c r="C6146" s="688"/>
      <c r="D6146" s="1667"/>
      <c r="E6146" s="1671"/>
      <c r="F6146" s="1671"/>
      <c r="G6146" s="1674" t="s">
        <v>928</v>
      </c>
      <c r="H6146" s="1671">
        <f>SUM(H6140:H6145)</f>
        <v>0</v>
      </c>
      <c r="I6146" s="688" t="s">
        <v>92</v>
      </c>
      <c r="J6146" s="1669" t="e">
        <f>'Lead &amp; ANALYSIS'!L1124</f>
        <v>#REF!</v>
      </c>
      <c r="K6146" s="1668" t="s">
        <v>1516</v>
      </c>
      <c r="L6146" s="1669" t="e">
        <f>ROUND(H6146*J6146,0)</f>
        <v>#REF!</v>
      </c>
    </row>
    <row r="6147" spans="1:12" s="692" customFormat="1" ht="16.5" hidden="1">
      <c r="A6147" s="1665" t="str">
        <f>'Lead &amp; ANALYSIS'!A1125</f>
        <v>G.</v>
      </c>
      <c r="B6147" s="1666" t="str">
        <f>'Lead &amp; ANALYSIS'!B1125</f>
        <v>7TH DEPTH OF 1.5MTR.</v>
      </c>
      <c r="C6147" s="688"/>
      <c r="D6147" s="1667"/>
      <c r="E6147" s="688"/>
      <c r="F6147" s="688"/>
      <c r="G6147" s="1674"/>
      <c r="H6147" s="688"/>
      <c r="I6147" s="1668"/>
      <c r="J6147" s="1668"/>
      <c r="K6147" s="1668"/>
      <c r="L6147" s="1669"/>
    </row>
    <row r="6148" spans="1:12" s="692" customFormat="1" ht="16.5" hidden="1">
      <c r="A6148" s="1665" t="str">
        <f>'Lead &amp; ANALYSIS'!A1126</f>
        <v>i</v>
      </c>
      <c r="B6148" s="1666" t="str">
        <f>'Lead &amp; ANALYSIS'!B1126</f>
        <v>i.Ordinary Soil.</v>
      </c>
      <c r="C6148" s="688"/>
      <c r="D6148" s="1667"/>
      <c r="E6148" s="688"/>
      <c r="F6148" s="688"/>
      <c r="G6148" s="1674"/>
      <c r="H6148" s="688"/>
      <c r="I6148" s="1668"/>
      <c r="J6148" s="1668"/>
      <c r="K6148" s="1668"/>
      <c r="L6148" s="1668"/>
    </row>
    <row r="6149" spans="1:12" s="692" customFormat="1" ht="16.5" hidden="1">
      <c r="A6149" s="1665"/>
      <c r="B6149" s="1666"/>
      <c r="C6149" s="688"/>
      <c r="D6149" s="1667"/>
      <c r="E6149" s="1671">
        <v>3.5</v>
      </c>
      <c r="F6149" s="1671">
        <v>4</v>
      </c>
      <c r="G6149" s="1674"/>
      <c r="H6149" s="1671">
        <f t="shared" ref="H6149:H6154" si="1135">ROUND(D6149*E6149*F6149,2)</f>
        <v>0</v>
      </c>
      <c r="I6149" s="688" t="s">
        <v>92</v>
      </c>
      <c r="J6149" s="1668"/>
      <c r="K6149" s="1668"/>
      <c r="L6149" s="1668"/>
    </row>
    <row r="6150" spans="1:12" s="692" customFormat="1" ht="16.5" hidden="1">
      <c r="A6150" s="1665"/>
      <c r="B6150" s="1666"/>
      <c r="C6150" s="688"/>
      <c r="D6150" s="1667"/>
      <c r="E6150" s="1671">
        <v>3.5</v>
      </c>
      <c r="F6150" s="1671">
        <v>4</v>
      </c>
      <c r="G6150" s="1674"/>
      <c r="H6150" s="1671">
        <f t="shared" si="1135"/>
        <v>0</v>
      </c>
      <c r="I6150" s="688" t="s">
        <v>92</v>
      </c>
      <c r="J6150" s="1668"/>
      <c r="K6150" s="1668"/>
      <c r="L6150" s="1668"/>
    </row>
    <row r="6151" spans="1:12" s="692" customFormat="1" ht="16.5" hidden="1">
      <c r="A6151" s="1665"/>
      <c r="B6151" s="1666"/>
      <c r="C6151" s="688"/>
      <c r="D6151" s="1667"/>
      <c r="E6151" s="1671">
        <v>3.5</v>
      </c>
      <c r="F6151" s="1671">
        <v>4</v>
      </c>
      <c r="G6151" s="1674"/>
      <c r="H6151" s="1671">
        <f t="shared" si="1135"/>
        <v>0</v>
      </c>
      <c r="I6151" s="688" t="s">
        <v>92</v>
      </c>
      <c r="J6151" s="1668"/>
      <c r="K6151" s="1668"/>
      <c r="L6151" s="1668"/>
    </row>
    <row r="6152" spans="1:12" s="692" customFormat="1" ht="16.5" hidden="1">
      <c r="A6152" s="1665"/>
      <c r="B6152" s="1666"/>
      <c r="C6152" s="688"/>
      <c r="D6152" s="1667"/>
      <c r="E6152" s="1671">
        <v>3.5</v>
      </c>
      <c r="F6152" s="1671">
        <v>4</v>
      </c>
      <c r="G6152" s="1674"/>
      <c r="H6152" s="1671">
        <f t="shared" si="1135"/>
        <v>0</v>
      </c>
      <c r="I6152" s="688" t="s">
        <v>92</v>
      </c>
      <c r="J6152" s="1668"/>
      <c r="K6152" s="1668"/>
      <c r="L6152" s="1668"/>
    </row>
    <row r="6153" spans="1:12" s="692" customFormat="1" ht="16.5" hidden="1">
      <c r="A6153" s="1665"/>
      <c r="B6153" s="1666"/>
      <c r="C6153" s="688"/>
      <c r="D6153" s="1667"/>
      <c r="E6153" s="1671">
        <v>3.5</v>
      </c>
      <c r="F6153" s="1671">
        <v>4</v>
      </c>
      <c r="G6153" s="1674"/>
      <c r="H6153" s="1671">
        <f t="shared" si="1135"/>
        <v>0</v>
      </c>
      <c r="I6153" s="688" t="s">
        <v>92</v>
      </c>
      <c r="J6153" s="1668"/>
      <c r="K6153" s="1668"/>
      <c r="L6153" s="1668"/>
    </row>
    <row r="6154" spans="1:12" s="692" customFormat="1" ht="16.5" hidden="1">
      <c r="A6154" s="1665"/>
      <c r="B6154" s="1666"/>
      <c r="C6154" s="688"/>
      <c r="D6154" s="1667"/>
      <c r="E6154" s="1671">
        <v>3.5</v>
      </c>
      <c r="F6154" s="1671">
        <v>4</v>
      </c>
      <c r="G6154" s="1674"/>
      <c r="H6154" s="1671">
        <f t="shared" si="1135"/>
        <v>0</v>
      </c>
      <c r="I6154" s="688" t="s">
        <v>92</v>
      </c>
      <c r="J6154" s="1668"/>
      <c r="K6154" s="1668"/>
      <c r="L6154" s="1668"/>
    </row>
    <row r="6155" spans="1:12" s="692" customFormat="1" ht="16.5" hidden="1">
      <c r="A6155" s="1665"/>
      <c r="B6155" s="1666"/>
      <c r="C6155" s="688"/>
      <c r="D6155" s="1667"/>
      <c r="E6155" s="1671"/>
      <c r="F6155" s="1671"/>
      <c r="G6155" s="1674" t="s">
        <v>928</v>
      </c>
      <c r="H6155" s="1671">
        <f>SUM(H6149:H6154)</f>
        <v>0</v>
      </c>
      <c r="I6155" s="688" t="s">
        <v>92</v>
      </c>
      <c r="J6155" s="1669" t="e">
        <f>'Lead &amp; ANALYSIS'!L1126</f>
        <v>#REF!</v>
      </c>
      <c r="K6155" s="1668" t="s">
        <v>1516</v>
      </c>
      <c r="L6155" s="1669" t="e">
        <f>ROUND(H6155*J6155,0)</f>
        <v>#REF!</v>
      </c>
    </row>
    <row r="6156" spans="1:12" s="692" customFormat="1" ht="16.5" hidden="1">
      <c r="A6156" s="1665" t="str">
        <f>'Lead &amp; ANALYSIS'!A1127</f>
        <v>ii</v>
      </c>
      <c r="B6156" s="1666" t="str">
        <f>'Lead &amp; ANALYSIS'!B1127</f>
        <v>ii.Slushy Soil</v>
      </c>
      <c r="C6156" s="688"/>
      <c r="D6156" s="1667"/>
      <c r="E6156" s="688"/>
      <c r="F6156" s="688"/>
      <c r="G6156" s="1674"/>
      <c r="H6156" s="688"/>
      <c r="I6156" s="1668"/>
      <c r="J6156" s="1668"/>
      <c r="K6156" s="1668"/>
      <c r="L6156" s="1669"/>
    </row>
    <row r="6157" spans="1:12" s="692" customFormat="1" ht="16.5" hidden="1">
      <c r="A6157" s="1665"/>
      <c r="B6157" s="1666"/>
      <c r="C6157" s="688"/>
      <c r="D6157" s="1667"/>
      <c r="E6157" s="1671">
        <v>3.5</v>
      </c>
      <c r="F6157" s="1671">
        <v>4</v>
      </c>
      <c r="G6157" s="1674"/>
      <c r="H6157" s="1671">
        <f t="shared" ref="H6157:H6162" si="1136">ROUND(D6157*E6157*F6157,2)</f>
        <v>0</v>
      </c>
      <c r="I6157" s="688" t="s">
        <v>92</v>
      </c>
      <c r="J6157" s="1668"/>
      <c r="K6157" s="1668"/>
      <c r="L6157" s="1669"/>
    </row>
    <row r="6158" spans="1:12" s="692" customFormat="1" ht="16.5" hidden="1">
      <c r="A6158" s="1665"/>
      <c r="B6158" s="1666"/>
      <c r="C6158" s="688"/>
      <c r="D6158" s="1667"/>
      <c r="E6158" s="1671">
        <v>3.5</v>
      </c>
      <c r="F6158" s="1671">
        <v>4</v>
      </c>
      <c r="G6158" s="1674"/>
      <c r="H6158" s="1671">
        <f t="shared" si="1136"/>
        <v>0</v>
      </c>
      <c r="I6158" s="688" t="s">
        <v>92</v>
      </c>
      <c r="J6158" s="1668"/>
      <c r="K6158" s="1668"/>
      <c r="L6158" s="1669"/>
    </row>
    <row r="6159" spans="1:12" s="692" customFormat="1" ht="16.5" hidden="1">
      <c r="A6159" s="1665"/>
      <c r="B6159" s="1666"/>
      <c r="C6159" s="688"/>
      <c r="D6159" s="1667"/>
      <c r="E6159" s="1671">
        <v>3.5</v>
      </c>
      <c r="F6159" s="1671">
        <v>4</v>
      </c>
      <c r="G6159" s="1674"/>
      <c r="H6159" s="1671">
        <f t="shared" si="1136"/>
        <v>0</v>
      </c>
      <c r="I6159" s="688" t="s">
        <v>92</v>
      </c>
      <c r="J6159" s="1668"/>
      <c r="K6159" s="1668"/>
      <c r="L6159" s="1669"/>
    </row>
    <row r="6160" spans="1:12" s="692" customFormat="1" ht="16.5" hidden="1">
      <c r="A6160" s="1665"/>
      <c r="B6160" s="1666"/>
      <c r="C6160" s="688"/>
      <c r="D6160" s="1667"/>
      <c r="E6160" s="1671">
        <v>3.5</v>
      </c>
      <c r="F6160" s="1671">
        <v>4</v>
      </c>
      <c r="G6160" s="1674"/>
      <c r="H6160" s="1671">
        <f t="shared" si="1136"/>
        <v>0</v>
      </c>
      <c r="I6160" s="688" t="s">
        <v>92</v>
      </c>
      <c r="J6160" s="1668"/>
      <c r="K6160" s="1668"/>
      <c r="L6160" s="1669"/>
    </row>
    <row r="6161" spans="1:12" s="692" customFormat="1" ht="16.5" hidden="1">
      <c r="A6161" s="1665"/>
      <c r="B6161" s="1666"/>
      <c r="C6161" s="688"/>
      <c r="D6161" s="1667"/>
      <c r="E6161" s="1671">
        <v>3.5</v>
      </c>
      <c r="F6161" s="1671">
        <v>4</v>
      </c>
      <c r="G6161" s="1674"/>
      <c r="H6161" s="1671">
        <f t="shared" si="1136"/>
        <v>0</v>
      </c>
      <c r="I6161" s="688" t="s">
        <v>92</v>
      </c>
      <c r="J6161" s="1668"/>
      <c r="K6161" s="1668"/>
      <c r="L6161" s="1669"/>
    </row>
    <row r="6162" spans="1:12" s="692" customFormat="1" ht="16.5" hidden="1">
      <c r="A6162" s="1665"/>
      <c r="B6162" s="1666"/>
      <c r="C6162" s="688"/>
      <c r="D6162" s="1667"/>
      <c r="E6162" s="1671">
        <v>3.5</v>
      </c>
      <c r="F6162" s="1671">
        <v>4</v>
      </c>
      <c r="G6162" s="1674"/>
      <c r="H6162" s="1671">
        <f t="shared" si="1136"/>
        <v>0</v>
      </c>
      <c r="I6162" s="688" t="s">
        <v>92</v>
      </c>
      <c r="J6162" s="1668"/>
      <c r="K6162" s="1668"/>
      <c r="L6162" s="1669"/>
    </row>
    <row r="6163" spans="1:12" s="692" customFormat="1" ht="16.5" hidden="1">
      <c r="A6163" s="1665"/>
      <c r="B6163" s="1666"/>
      <c r="C6163" s="688"/>
      <c r="D6163" s="1667"/>
      <c r="E6163" s="1671"/>
      <c r="F6163" s="1671"/>
      <c r="G6163" s="1674" t="s">
        <v>928</v>
      </c>
      <c r="H6163" s="1671">
        <f>SUM(H6157:H6162)</f>
        <v>0</v>
      </c>
      <c r="I6163" s="688" t="s">
        <v>92</v>
      </c>
      <c r="J6163" s="1669" t="e">
        <f>'Lead &amp; ANALYSIS'!L1127</f>
        <v>#REF!</v>
      </c>
      <c r="K6163" s="1668" t="s">
        <v>1516</v>
      </c>
      <c r="L6163" s="1669" t="e">
        <f>ROUND(H6163*J6163,0)</f>
        <v>#REF!</v>
      </c>
    </row>
    <row r="6164" spans="1:12" s="692" customFormat="1" ht="16.5" hidden="1">
      <c r="A6164" s="1665" t="str">
        <f>'Lead &amp; ANALYSIS'!A1128</f>
        <v>iii</v>
      </c>
      <c r="B6164" s="1666" t="str">
        <f>'Lead &amp; ANALYSIS'!B1128</f>
        <v>iii.Hard Sooil</v>
      </c>
      <c r="C6164" s="688"/>
      <c r="D6164" s="1667"/>
      <c r="E6164" s="688"/>
      <c r="F6164" s="688"/>
      <c r="G6164" s="1674"/>
      <c r="H6164" s="688"/>
      <c r="I6164" s="1668"/>
      <c r="J6164" s="1668"/>
      <c r="K6164" s="1668"/>
      <c r="L6164" s="1669"/>
    </row>
    <row r="6165" spans="1:12" s="692" customFormat="1" ht="16.5" hidden="1">
      <c r="A6165" s="1665"/>
      <c r="B6165" s="1666"/>
      <c r="C6165" s="688"/>
      <c r="D6165" s="1667"/>
      <c r="E6165" s="1671">
        <v>3.5</v>
      </c>
      <c r="F6165" s="1671">
        <v>4</v>
      </c>
      <c r="G6165" s="1674"/>
      <c r="H6165" s="1671">
        <f t="shared" ref="H6165:H6170" si="1137">ROUND(D6165*E6165*F6165,2)</f>
        <v>0</v>
      </c>
      <c r="I6165" s="688" t="s">
        <v>92</v>
      </c>
      <c r="J6165" s="1668"/>
      <c r="K6165" s="1668"/>
      <c r="L6165" s="1669"/>
    </row>
    <row r="6166" spans="1:12" s="692" customFormat="1" ht="16.5" hidden="1">
      <c r="A6166" s="1665"/>
      <c r="B6166" s="1666"/>
      <c r="C6166" s="688"/>
      <c r="D6166" s="1667"/>
      <c r="E6166" s="1671">
        <v>3.5</v>
      </c>
      <c r="F6166" s="1671">
        <v>4</v>
      </c>
      <c r="G6166" s="1674"/>
      <c r="H6166" s="1671">
        <f t="shared" si="1137"/>
        <v>0</v>
      </c>
      <c r="I6166" s="688" t="s">
        <v>92</v>
      </c>
      <c r="J6166" s="1668"/>
      <c r="K6166" s="1668"/>
      <c r="L6166" s="1669"/>
    </row>
    <row r="6167" spans="1:12" s="692" customFormat="1" ht="16.5" hidden="1">
      <c r="A6167" s="1665"/>
      <c r="B6167" s="1666"/>
      <c r="C6167" s="688"/>
      <c r="D6167" s="1667"/>
      <c r="E6167" s="1671">
        <v>3.5</v>
      </c>
      <c r="F6167" s="1671">
        <v>4</v>
      </c>
      <c r="G6167" s="1674"/>
      <c r="H6167" s="1671">
        <f t="shared" si="1137"/>
        <v>0</v>
      </c>
      <c r="I6167" s="688" t="s">
        <v>92</v>
      </c>
      <c r="J6167" s="1668"/>
      <c r="K6167" s="1668"/>
      <c r="L6167" s="1669"/>
    </row>
    <row r="6168" spans="1:12" s="692" customFormat="1" ht="16.5" hidden="1">
      <c r="A6168" s="1665"/>
      <c r="B6168" s="1666"/>
      <c r="C6168" s="688"/>
      <c r="D6168" s="1667"/>
      <c r="E6168" s="1671">
        <v>3.5</v>
      </c>
      <c r="F6168" s="1671">
        <v>4</v>
      </c>
      <c r="G6168" s="1674"/>
      <c r="H6168" s="1671">
        <f t="shared" si="1137"/>
        <v>0</v>
      </c>
      <c r="I6168" s="688" t="s">
        <v>92</v>
      </c>
      <c r="J6168" s="1668"/>
      <c r="K6168" s="1668"/>
      <c r="L6168" s="1669"/>
    </row>
    <row r="6169" spans="1:12" s="692" customFormat="1" ht="16.5" hidden="1">
      <c r="A6169" s="1665"/>
      <c r="B6169" s="1666"/>
      <c r="C6169" s="688"/>
      <c r="D6169" s="1667"/>
      <c r="E6169" s="1671">
        <v>3.5</v>
      </c>
      <c r="F6169" s="1671">
        <v>4</v>
      </c>
      <c r="G6169" s="1674"/>
      <c r="H6169" s="1671">
        <f t="shared" si="1137"/>
        <v>0</v>
      </c>
      <c r="I6169" s="688" t="s">
        <v>92</v>
      </c>
      <c r="J6169" s="1668"/>
      <c r="K6169" s="1668"/>
      <c r="L6169" s="1669"/>
    </row>
    <row r="6170" spans="1:12" s="692" customFormat="1" ht="16.5" hidden="1">
      <c r="A6170" s="1665"/>
      <c r="B6170" s="1666"/>
      <c r="C6170" s="688"/>
      <c r="D6170" s="1667"/>
      <c r="E6170" s="1671">
        <v>3.5</v>
      </c>
      <c r="F6170" s="1671">
        <v>4</v>
      </c>
      <c r="G6170" s="1674"/>
      <c r="H6170" s="1671">
        <f t="shared" si="1137"/>
        <v>0</v>
      </c>
      <c r="I6170" s="688" t="s">
        <v>92</v>
      </c>
      <c r="J6170" s="1668"/>
      <c r="K6170" s="1668"/>
      <c r="L6170" s="1669"/>
    </row>
    <row r="6171" spans="1:12" s="692" customFormat="1" ht="16.5" hidden="1">
      <c r="A6171" s="1665"/>
      <c r="B6171" s="1666"/>
      <c r="C6171" s="688"/>
      <c r="D6171" s="1667"/>
      <c r="E6171" s="1671"/>
      <c r="F6171" s="1671"/>
      <c r="G6171" s="1674" t="s">
        <v>928</v>
      </c>
      <c r="H6171" s="1671">
        <f>SUM(H6165:H6170)</f>
        <v>0</v>
      </c>
      <c r="I6171" s="688" t="s">
        <v>92</v>
      </c>
      <c r="J6171" s="1669" t="e">
        <f>'Lead &amp; ANALYSIS'!L1128</f>
        <v>#REF!</v>
      </c>
      <c r="K6171" s="1668" t="s">
        <v>1516</v>
      </c>
      <c r="L6171" s="1669" t="e">
        <f>ROUND(H6171*J6171,0)</f>
        <v>#REF!</v>
      </c>
    </row>
    <row r="6172" spans="1:12" s="692" customFormat="1" ht="16.5" hidden="1">
      <c r="A6172" s="1665" t="str">
        <f>'Lead &amp; ANALYSIS'!A1129</f>
        <v>iv</v>
      </c>
      <c r="B6172" s="1666" t="str">
        <f>'Lead &amp; ANALYSIS'!B1129</f>
        <v>IV.Stony Earth</v>
      </c>
      <c r="C6172" s="688"/>
      <c r="D6172" s="1667"/>
      <c r="E6172" s="688"/>
      <c r="F6172" s="688"/>
      <c r="G6172" s="1674"/>
      <c r="H6172" s="688"/>
      <c r="I6172" s="1668"/>
      <c r="J6172" s="1668"/>
      <c r="K6172" s="1668"/>
      <c r="L6172" s="1669"/>
    </row>
    <row r="6173" spans="1:12" s="692" customFormat="1" ht="16.5" hidden="1">
      <c r="A6173" s="1665"/>
      <c r="B6173" s="1666"/>
      <c r="C6173" s="688"/>
      <c r="D6173" s="1667"/>
      <c r="E6173" s="1671">
        <v>3.5</v>
      </c>
      <c r="F6173" s="1671">
        <v>4</v>
      </c>
      <c r="G6173" s="1674"/>
      <c r="H6173" s="1671">
        <f t="shared" ref="H6173:H6178" si="1138">ROUND(D6173*E6173*F6173,2)</f>
        <v>0</v>
      </c>
      <c r="I6173" s="688" t="s">
        <v>92</v>
      </c>
      <c r="J6173" s="1668"/>
      <c r="K6173" s="1668"/>
      <c r="L6173" s="1669"/>
    </row>
    <row r="6174" spans="1:12" s="692" customFormat="1" ht="16.5" hidden="1">
      <c r="A6174" s="1665"/>
      <c r="B6174" s="1666"/>
      <c r="C6174" s="688"/>
      <c r="D6174" s="1667"/>
      <c r="E6174" s="1671">
        <v>3.5</v>
      </c>
      <c r="F6174" s="1671">
        <v>4</v>
      </c>
      <c r="G6174" s="1674"/>
      <c r="H6174" s="1671">
        <f t="shared" si="1138"/>
        <v>0</v>
      </c>
      <c r="I6174" s="688" t="s">
        <v>92</v>
      </c>
      <c r="J6174" s="1668"/>
      <c r="K6174" s="1668"/>
      <c r="L6174" s="1669"/>
    </row>
    <row r="6175" spans="1:12" s="692" customFormat="1" ht="16.5" hidden="1">
      <c r="A6175" s="1665"/>
      <c r="B6175" s="1666"/>
      <c r="C6175" s="688"/>
      <c r="D6175" s="1667"/>
      <c r="E6175" s="1671">
        <v>3.5</v>
      </c>
      <c r="F6175" s="1671">
        <v>4</v>
      </c>
      <c r="G6175" s="1674"/>
      <c r="H6175" s="1671">
        <f t="shared" si="1138"/>
        <v>0</v>
      </c>
      <c r="I6175" s="688" t="s">
        <v>92</v>
      </c>
      <c r="J6175" s="1668"/>
      <c r="K6175" s="1668"/>
      <c r="L6175" s="1669"/>
    </row>
    <row r="6176" spans="1:12" s="692" customFormat="1" ht="16.5" hidden="1">
      <c r="A6176" s="1665"/>
      <c r="B6176" s="1666"/>
      <c r="C6176" s="688"/>
      <c r="D6176" s="1667"/>
      <c r="E6176" s="1671">
        <v>3.5</v>
      </c>
      <c r="F6176" s="1671">
        <v>4</v>
      </c>
      <c r="G6176" s="1674"/>
      <c r="H6176" s="1671">
        <f t="shared" si="1138"/>
        <v>0</v>
      </c>
      <c r="I6176" s="688" t="s">
        <v>92</v>
      </c>
      <c r="J6176" s="1668"/>
      <c r="K6176" s="1668"/>
      <c r="L6176" s="1669"/>
    </row>
    <row r="6177" spans="1:12" s="692" customFormat="1" ht="16.5" hidden="1">
      <c r="A6177" s="1665"/>
      <c r="B6177" s="1666"/>
      <c r="C6177" s="688"/>
      <c r="D6177" s="1667"/>
      <c r="E6177" s="1671">
        <v>3.5</v>
      </c>
      <c r="F6177" s="1671">
        <v>4</v>
      </c>
      <c r="G6177" s="1674"/>
      <c r="H6177" s="1671">
        <f t="shared" si="1138"/>
        <v>0</v>
      </c>
      <c r="I6177" s="688" t="s">
        <v>92</v>
      </c>
      <c r="J6177" s="1668"/>
      <c r="K6177" s="1668"/>
      <c r="L6177" s="1669"/>
    </row>
    <row r="6178" spans="1:12" s="692" customFormat="1" ht="16.5" hidden="1">
      <c r="A6178" s="1665"/>
      <c r="B6178" s="1666"/>
      <c r="C6178" s="688"/>
      <c r="D6178" s="1667"/>
      <c r="E6178" s="1671">
        <v>3.5</v>
      </c>
      <c r="F6178" s="1671">
        <v>4</v>
      </c>
      <c r="G6178" s="1674"/>
      <c r="H6178" s="1671">
        <f t="shared" si="1138"/>
        <v>0</v>
      </c>
      <c r="I6178" s="688" t="s">
        <v>92</v>
      </c>
      <c r="J6178" s="1668"/>
      <c r="K6178" s="1668"/>
      <c r="L6178" s="1669"/>
    </row>
    <row r="6179" spans="1:12" s="692" customFormat="1" ht="16.5" hidden="1">
      <c r="A6179" s="1665"/>
      <c r="B6179" s="1666"/>
      <c r="C6179" s="688"/>
      <c r="D6179" s="1667"/>
      <c r="E6179" s="1671"/>
      <c r="F6179" s="1671"/>
      <c r="G6179" s="1674" t="s">
        <v>928</v>
      </c>
      <c r="H6179" s="1671">
        <f>SUM(H6173:H6178)</f>
        <v>0</v>
      </c>
      <c r="I6179" s="688" t="s">
        <v>92</v>
      </c>
      <c r="J6179" s="1669" t="e">
        <f>'Lead &amp; ANALYSIS'!L1129</f>
        <v>#REF!</v>
      </c>
      <c r="K6179" s="1668" t="s">
        <v>1516</v>
      </c>
      <c r="L6179" s="1669" t="e">
        <f>ROUND(H6179*J6179,0)</f>
        <v>#REF!</v>
      </c>
    </row>
    <row r="6180" spans="1:12" s="692" customFormat="1" ht="16.5" hidden="1">
      <c r="A6180" s="1665" t="str">
        <f>'Lead &amp; ANALYSIS'!A1130</f>
        <v>v</v>
      </c>
      <c r="B6180" s="1666" t="str">
        <f>'Lead &amp; ANALYSIS'!B1130</f>
        <v>V.All Kinds of Soil</v>
      </c>
      <c r="C6180" s="688"/>
      <c r="D6180" s="1667"/>
      <c r="E6180" s="688"/>
      <c r="F6180" s="688"/>
      <c r="G6180" s="1674"/>
      <c r="H6180" s="688"/>
      <c r="I6180" s="1668"/>
      <c r="J6180" s="1668"/>
      <c r="K6180" s="1668"/>
      <c r="L6180" s="1669"/>
    </row>
    <row r="6181" spans="1:12" s="692" customFormat="1" ht="16.5" hidden="1">
      <c r="A6181" s="1665"/>
      <c r="B6181" s="1666"/>
      <c r="C6181" s="688"/>
      <c r="D6181" s="1667"/>
      <c r="E6181" s="1671">
        <v>3.5</v>
      </c>
      <c r="F6181" s="1671">
        <v>4</v>
      </c>
      <c r="G6181" s="1674"/>
      <c r="H6181" s="1671">
        <f t="shared" ref="H6181:H6186" si="1139">ROUND(D6181*E6181*F6181,2)</f>
        <v>0</v>
      </c>
      <c r="I6181" s="688" t="s">
        <v>92</v>
      </c>
      <c r="J6181" s="1668"/>
      <c r="K6181" s="1668"/>
      <c r="L6181" s="1669"/>
    </row>
    <row r="6182" spans="1:12" s="692" customFormat="1" ht="16.5" hidden="1">
      <c r="A6182" s="1665"/>
      <c r="B6182" s="1666"/>
      <c r="C6182" s="688"/>
      <c r="D6182" s="1667"/>
      <c r="E6182" s="1671">
        <v>3.5</v>
      </c>
      <c r="F6182" s="1671">
        <v>4</v>
      </c>
      <c r="G6182" s="1674"/>
      <c r="H6182" s="1671">
        <f t="shared" si="1139"/>
        <v>0</v>
      </c>
      <c r="I6182" s="688" t="s">
        <v>92</v>
      </c>
      <c r="J6182" s="1668"/>
      <c r="K6182" s="1668"/>
      <c r="L6182" s="1669"/>
    </row>
    <row r="6183" spans="1:12" s="692" customFormat="1" ht="16.5" hidden="1">
      <c r="A6183" s="1665"/>
      <c r="B6183" s="1666"/>
      <c r="C6183" s="688"/>
      <c r="D6183" s="1667"/>
      <c r="E6183" s="1671">
        <v>3.5</v>
      </c>
      <c r="F6183" s="1671">
        <v>4</v>
      </c>
      <c r="G6183" s="1674"/>
      <c r="H6183" s="1671">
        <f t="shared" si="1139"/>
        <v>0</v>
      </c>
      <c r="I6183" s="688" t="s">
        <v>92</v>
      </c>
      <c r="J6183" s="1668"/>
      <c r="K6183" s="1668"/>
      <c r="L6183" s="1669"/>
    </row>
    <row r="6184" spans="1:12" s="692" customFormat="1" ht="16.5" hidden="1">
      <c r="A6184" s="1665"/>
      <c r="B6184" s="1666"/>
      <c r="C6184" s="688"/>
      <c r="D6184" s="1667"/>
      <c r="E6184" s="1671">
        <v>3.5</v>
      </c>
      <c r="F6184" s="1671">
        <v>4</v>
      </c>
      <c r="G6184" s="1674"/>
      <c r="H6184" s="1671">
        <f t="shared" si="1139"/>
        <v>0</v>
      </c>
      <c r="I6184" s="688" t="s">
        <v>92</v>
      </c>
      <c r="J6184" s="1668"/>
      <c r="K6184" s="1668"/>
      <c r="L6184" s="1669"/>
    </row>
    <row r="6185" spans="1:12" s="692" customFormat="1" ht="16.5" hidden="1">
      <c r="A6185" s="1665"/>
      <c r="B6185" s="1666"/>
      <c r="C6185" s="688"/>
      <c r="D6185" s="1667"/>
      <c r="E6185" s="1671">
        <v>3.5</v>
      </c>
      <c r="F6185" s="1671">
        <v>4</v>
      </c>
      <c r="G6185" s="1674"/>
      <c r="H6185" s="1671">
        <f t="shared" si="1139"/>
        <v>0</v>
      </c>
      <c r="I6185" s="688" t="s">
        <v>92</v>
      </c>
      <c r="J6185" s="1668"/>
      <c r="K6185" s="1668"/>
      <c r="L6185" s="1669"/>
    </row>
    <row r="6186" spans="1:12" s="692" customFormat="1" ht="16.5" hidden="1">
      <c r="A6186" s="1665"/>
      <c r="B6186" s="1666"/>
      <c r="C6186" s="688"/>
      <c r="D6186" s="1667"/>
      <c r="E6186" s="1671">
        <v>3.5</v>
      </c>
      <c r="F6186" s="1671">
        <v>4</v>
      </c>
      <c r="G6186" s="1674"/>
      <c r="H6186" s="1671">
        <f t="shared" si="1139"/>
        <v>0</v>
      </c>
      <c r="I6186" s="688" t="s">
        <v>92</v>
      </c>
      <c r="J6186" s="1668"/>
      <c r="K6186" s="1668"/>
      <c r="L6186" s="1669"/>
    </row>
    <row r="6187" spans="1:12" s="692" customFormat="1" ht="16.5" hidden="1">
      <c r="A6187" s="1665"/>
      <c r="B6187" s="1666"/>
      <c r="C6187" s="688"/>
      <c r="D6187" s="1667"/>
      <c r="E6187" s="1671"/>
      <c r="F6187" s="1671"/>
      <c r="G6187" s="1674" t="s">
        <v>928</v>
      </c>
      <c r="H6187" s="1671">
        <f>SUM(H6181:H6186)</f>
        <v>0</v>
      </c>
      <c r="I6187" s="688" t="s">
        <v>92</v>
      </c>
      <c r="J6187" s="1669" t="e">
        <f>'Lead &amp; ANALYSIS'!L1130</f>
        <v>#REF!</v>
      </c>
      <c r="K6187" s="1668" t="s">
        <v>1516</v>
      </c>
      <c r="L6187" s="1669" t="e">
        <f>ROUND(H6187*J6187,0)</f>
        <v>#REF!</v>
      </c>
    </row>
    <row r="6188" spans="1:12" s="692" customFormat="1" ht="16.5" hidden="1">
      <c r="A6188" s="1665" t="str">
        <f>'Lead &amp; ANALYSIS'!A1131</f>
        <v>H.</v>
      </c>
      <c r="B6188" s="1666" t="str">
        <f>'Lead &amp; ANALYSIS'!B1131</f>
        <v>8TH DEPTH OF 1.5MTR.</v>
      </c>
      <c r="C6188" s="688"/>
      <c r="D6188" s="1667"/>
      <c r="E6188" s="688"/>
      <c r="F6188" s="688"/>
      <c r="G6188" s="1674"/>
      <c r="H6188" s="688"/>
      <c r="I6188" s="1668"/>
      <c r="J6188" s="1668"/>
      <c r="K6188" s="1668"/>
      <c r="L6188" s="1669"/>
    </row>
    <row r="6189" spans="1:12" s="692" customFormat="1" ht="16.5" hidden="1">
      <c r="A6189" s="1665" t="str">
        <f>'Lead &amp; ANALYSIS'!A1132</f>
        <v>i</v>
      </c>
      <c r="B6189" s="1666" t="str">
        <f>'Lead &amp; ANALYSIS'!B1132</f>
        <v>i.Ordinary Soil.</v>
      </c>
      <c r="C6189" s="688"/>
      <c r="D6189" s="1667"/>
      <c r="E6189" s="688"/>
      <c r="F6189" s="688"/>
      <c r="G6189" s="1674"/>
      <c r="H6189" s="688"/>
      <c r="I6189" s="1668"/>
      <c r="J6189" s="1668"/>
      <c r="K6189" s="1668"/>
      <c r="L6189" s="1668"/>
    </row>
    <row r="6190" spans="1:12" s="692" customFormat="1" ht="16.5" hidden="1">
      <c r="A6190" s="1665"/>
      <c r="B6190" s="1666"/>
      <c r="C6190" s="688"/>
      <c r="D6190" s="1667"/>
      <c r="E6190" s="1671">
        <v>3.5</v>
      </c>
      <c r="F6190" s="1671">
        <v>4</v>
      </c>
      <c r="G6190" s="1674"/>
      <c r="H6190" s="1671">
        <f t="shared" ref="H6190:H6195" si="1140">ROUND(D6190*E6190*F6190,2)</f>
        <v>0</v>
      </c>
      <c r="I6190" s="688" t="s">
        <v>92</v>
      </c>
      <c r="J6190" s="1668"/>
      <c r="K6190" s="1668"/>
      <c r="L6190" s="1668"/>
    </row>
    <row r="6191" spans="1:12" s="692" customFormat="1" ht="16.5" hidden="1">
      <c r="A6191" s="1665"/>
      <c r="B6191" s="1666"/>
      <c r="C6191" s="688"/>
      <c r="D6191" s="1667"/>
      <c r="E6191" s="1671">
        <v>3.5</v>
      </c>
      <c r="F6191" s="1671">
        <v>4</v>
      </c>
      <c r="G6191" s="1674"/>
      <c r="H6191" s="1671">
        <f t="shared" si="1140"/>
        <v>0</v>
      </c>
      <c r="I6191" s="688" t="s">
        <v>92</v>
      </c>
      <c r="J6191" s="1668"/>
      <c r="K6191" s="1668"/>
      <c r="L6191" s="1668"/>
    </row>
    <row r="6192" spans="1:12" s="692" customFormat="1" ht="16.5" hidden="1">
      <c r="A6192" s="1665"/>
      <c r="B6192" s="1666"/>
      <c r="C6192" s="688"/>
      <c r="D6192" s="1667"/>
      <c r="E6192" s="1671">
        <v>3.5</v>
      </c>
      <c r="F6192" s="1671">
        <v>4</v>
      </c>
      <c r="G6192" s="1674"/>
      <c r="H6192" s="1671">
        <f t="shared" si="1140"/>
        <v>0</v>
      </c>
      <c r="I6192" s="688" t="s">
        <v>92</v>
      </c>
      <c r="J6192" s="1668"/>
      <c r="K6192" s="1668"/>
      <c r="L6192" s="1668"/>
    </row>
    <row r="6193" spans="1:12" s="692" customFormat="1" ht="16.5" hidden="1">
      <c r="A6193" s="1665"/>
      <c r="B6193" s="1666"/>
      <c r="C6193" s="688"/>
      <c r="D6193" s="1667"/>
      <c r="E6193" s="1671">
        <v>3.5</v>
      </c>
      <c r="F6193" s="1671">
        <v>4</v>
      </c>
      <c r="G6193" s="1674"/>
      <c r="H6193" s="1671">
        <f t="shared" si="1140"/>
        <v>0</v>
      </c>
      <c r="I6193" s="688" t="s">
        <v>92</v>
      </c>
      <c r="J6193" s="1668"/>
      <c r="K6193" s="1668"/>
      <c r="L6193" s="1668"/>
    </row>
    <row r="6194" spans="1:12" s="692" customFormat="1" ht="16.5" hidden="1">
      <c r="A6194" s="1665"/>
      <c r="B6194" s="1666"/>
      <c r="C6194" s="688"/>
      <c r="D6194" s="1667"/>
      <c r="E6194" s="1671">
        <v>3.5</v>
      </c>
      <c r="F6194" s="1671">
        <v>4</v>
      </c>
      <c r="G6194" s="1674"/>
      <c r="H6194" s="1671">
        <f t="shared" si="1140"/>
        <v>0</v>
      </c>
      <c r="I6194" s="688" t="s">
        <v>92</v>
      </c>
      <c r="J6194" s="1668"/>
      <c r="K6194" s="1668"/>
      <c r="L6194" s="1668"/>
    </row>
    <row r="6195" spans="1:12" s="692" customFormat="1" ht="16.5" hidden="1">
      <c r="A6195" s="1665"/>
      <c r="B6195" s="1666"/>
      <c r="C6195" s="688"/>
      <c r="D6195" s="1667"/>
      <c r="E6195" s="1671">
        <v>3.5</v>
      </c>
      <c r="F6195" s="1671">
        <v>4</v>
      </c>
      <c r="G6195" s="1674"/>
      <c r="H6195" s="1671">
        <f t="shared" si="1140"/>
        <v>0</v>
      </c>
      <c r="I6195" s="688" t="s">
        <v>92</v>
      </c>
      <c r="J6195" s="1668"/>
      <c r="K6195" s="1668"/>
      <c r="L6195" s="1668"/>
    </row>
    <row r="6196" spans="1:12" s="692" customFormat="1" ht="16.5" hidden="1">
      <c r="A6196" s="1665"/>
      <c r="B6196" s="1666"/>
      <c r="C6196" s="688"/>
      <c r="D6196" s="1667"/>
      <c r="E6196" s="1671"/>
      <c r="F6196" s="1671"/>
      <c r="G6196" s="1674" t="s">
        <v>928</v>
      </c>
      <c r="H6196" s="1671">
        <f>SUM(H6190:H6195)</f>
        <v>0</v>
      </c>
      <c r="I6196" s="688" t="s">
        <v>92</v>
      </c>
      <c r="J6196" s="1669" t="e">
        <f>'Lead &amp; ANALYSIS'!L1132</f>
        <v>#REF!</v>
      </c>
      <c r="K6196" s="1668" t="s">
        <v>1516</v>
      </c>
      <c r="L6196" s="1669" t="e">
        <f>ROUND(H6196*J6196,0)</f>
        <v>#REF!</v>
      </c>
    </row>
    <row r="6197" spans="1:12" s="692" customFormat="1" ht="16.5" hidden="1">
      <c r="A6197" s="1665" t="str">
        <f>'Lead &amp; ANALYSIS'!A1133</f>
        <v>ii</v>
      </c>
      <c r="B6197" s="1666" t="str">
        <f>'Lead &amp; ANALYSIS'!B1133</f>
        <v>ii.Slushy Soil</v>
      </c>
      <c r="C6197" s="688"/>
      <c r="D6197" s="1667"/>
      <c r="E6197" s="688"/>
      <c r="F6197" s="688"/>
      <c r="G6197" s="1674"/>
      <c r="H6197" s="688"/>
      <c r="I6197" s="1668"/>
      <c r="J6197" s="1668"/>
      <c r="K6197" s="1668"/>
      <c r="L6197" s="1669"/>
    </row>
    <row r="6198" spans="1:12" s="692" customFormat="1" ht="16.5" hidden="1">
      <c r="A6198" s="1665"/>
      <c r="B6198" s="1666"/>
      <c r="C6198" s="688"/>
      <c r="D6198" s="1667"/>
      <c r="E6198" s="1671">
        <v>3.5</v>
      </c>
      <c r="F6198" s="1671">
        <v>4</v>
      </c>
      <c r="G6198" s="1674"/>
      <c r="H6198" s="1671">
        <f t="shared" ref="H6198:H6203" si="1141">ROUND(D6198*E6198*F6198,2)</f>
        <v>0</v>
      </c>
      <c r="I6198" s="688" t="s">
        <v>92</v>
      </c>
      <c r="J6198" s="1668"/>
      <c r="K6198" s="1668"/>
      <c r="L6198" s="1669"/>
    </row>
    <row r="6199" spans="1:12" s="692" customFormat="1" ht="16.5" hidden="1">
      <c r="A6199" s="1665"/>
      <c r="B6199" s="1666"/>
      <c r="C6199" s="688"/>
      <c r="D6199" s="1667"/>
      <c r="E6199" s="1671">
        <v>3.5</v>
      </c>
      <c r="F6199" s="1671">
        <v>4</v>
      </c>
      <c r="G6199" s="1674"/>
      <c r="H6199" s="1671">
        <f t="shared" si="1141"/>
        <v>0</v>
      </c>
      <c r="I6199" s="688" t="s">
        <v>92</v>
      </c>
      <c r="J6199" s="1668"/>
      <c r="K6199" s="1668"/>
      <c r="L6199" s="1669"/>
    </row>
    <row r="6200" spans="1:12" s="692" customFormat="1" ht="16.5" hidden="1">
      <c r="A6200" s="1665"/>
      <c r="B6200" s="1666"/>
      <c r="C6200" s="688"/>
      <c r="D6200" s="1667"/>
      <c r="E6200" s="1671">
        <v>3.5</v>
      </c>
      <c r="F6200" s="1671">
        <v>4</v>
      </c>
      <c r="G6200" s="1674"/>
      <c r="H6200" s="1671">
        <f t="shared" si="1141"/>
        <v>0</v>
      </c>
      <c r="I6200" s="688" t="s">
        <v>92</v>
      </c>
      <c r="J6200" s="1668"/>
      <c r="K6200" s="1668"/>
      <c r="L6200" s="1669"/>
    </row>
    <row r="6201" spans="1:12" s="692" customFormat="1" ht="16.5" hidden="1">
      <c r="A6201" s="1665"/>
      <c r="B6201" s="1666"/>
      <c r="C6201" s="688"/>
      <c r="D6201" s="1667"/>
      <c r="E6201" s="1671">
        <v>3.5</v>
      </c>
      <c r="F6201" s="1671">
        <v>4</v>
      </c>
      <c r="G6201" s="1674"/>
      <c r="H6201" s="1671">
        <f t="shared" si="1141"/>
        <v>0</v>
      </c>
      <c r="I6201" s="688" t="s">
        <v>92</v>
      </c>
      <c r="J6201" s="1668"/>
      <c r="K6201" s="1668"/>
      <c r="L6201" s="1669"/>
    </row>
    <row r="6202" spans="1:12" s="692" customFormat="1" ht="16.5" hidden="1">
      <c r="A6202" s="1665"/>
      <c r="B6202" s="1666"/>
      <c r="C6202" s="688"/>
      <c r="D6202" s="1667"/>
      <c r="E6202" s="1671">
        <v>3.5</v>
      </c>
      <c r="F6202" s="1671">
        <v>4</v>
      </c>
      <c r="G6202" s="1674"/>
      <c r="H6202" s="1671">
        <f t="shared" si="1141"/>
        <v>0</v>
      </c>
      <c r="I6202" s="688" t="s">
        <v>92</v>
      </c>
      <c r="J6202" s="1668"/>
      <c r="K6202" s="1668"/>
      <c r="L6202" s="1669"/>
    </row>
    <row r="6203" spans="1:12" s="692" customFormat="1" ht="16.5" hidden="1">
      <c r="A6203" s="1665"/>
      <c r="B6203" s="1666"/>
      <c r="C6203" s="688"/>
      <c r="D6203" s="1667"/>
      <c r="E6203" s="1671">
        <v>3.5</v>
      </c>
      <c r="F6203" s="1671">
        <v>4</v>
      </c>
      <c r="G6203" s="1674"/>
      <c r="H6203" s="1671">
        <f t="shared" si="1141"/>
        <v>0</v>
      </c>
      <c r="I6203" s="688" t="s">
        <v>92</v>
      </c>
      <c r="J6203" s="1668"/>
      <c r="K6203" s="1668"/>
      <c r="L6203" s="1669"/>
    </row>
    <row r="6204" spans="1:12" s="692" customFormat="1" ht="16.5" hidden="1">
      <c r="A6204" s="1665"/>
      <c r="B6204" s="1666"/>
      <c r="C6204" s="688"/>
      <c r="D6204" s="1667"/>
      <c r="E6204" s="1671"/>
      <c r="F6204" s="1671"/>
      <c r="G6204" s="1674" t="s">
        <v>928</v>
      </c>
      <c r="H6204" s="1671">
        <f>SUM(H6198:H6203)</f>
        <v>0</v>
      </c>
      <c r="I6204" s="688" t="s">
        <v>92</v>
      </c>
      <c r="J6204" s="1669" t="e">
        <f>'Lead &amp; ANALYSIS'!L1133</f>
        <v>#REF!</v>
      </c>
      <c r="K6204" s="1668" t="s">
        <v>1516</v>
      </c>
      <c r="L6204" s="1669" t="e">
        <f>ROUND(H6204*J6204,0)</f>
        <v>#REF!</v>
      </c>
    </row>
    <row r="6205" spans="1:12" s="692" customFormat="1" ht="16.5" hidden="1">
      <c r="A6205" s="1665" t="str">
        <f>'Lead &amp; ANALYSIS'!A1134</f>
        <v>iii</v>
      </c>
      <c r="B6205" s="1666" t="str">
        <f>'Lead &amp; ANALYSIS'!B1134</f>
        <v>iii.Hard Sooil</v>
      </c>
      <c r="C6205" s="688"/>
      <c r="D6205" s="1667"/>
      <c r="E6205" s="688"/>
      <c r="F6205" s="688"/>
      <c r="G6205" s="1674"/>
      <c r="H6205" s="688"/>
      <c r="I6205" s="1668"/>
      <c r="J6205" s="1668"/>
      <c r="K6205" s="1668"/>
      <c r="L6205" s="1669"/>
    </row>
    <row r="6206" spans="1:12" s="692" customFormat="1" ht="16.5" hidden="1">
      <c r="A6206" s="1665"/>
      <c r="B6206" s="1666"/>
      <c r="C6206" s="688"/>
      <c r="D6206" s="1667"/>
      <c r="E6206" s="1671">
        <v>3.5</v>
      </c>
      <c r="F6206" s="1671">
        <v>4</v>
      </c>
      <c r="G6206" s="1674"/>
      <c r="H6206" s="1671">
        <f t="shared" ref="H6206:H6211" si="1142">ROUND(D6206*E6206*F6206,2)</f>
        <v>0</v>
      </c>
      <c r="I6206" s="688" t="s">
        <v>92</v>
      </c>
      <c r="J6206" s="1668"/>
      <c r="K6206" s="1668"/>
      <c r="L6206" s="1669"/>
    </row>
    <row r="6207" spans="1:12" s="692" customFormat="1" ht="16.5" hidden="1">
      <c r="A6207" s="1665"/>
      <c r="B6207" s="1666"/>
      <c r="C6207" s="688"/>
      <c r="D6207" s="1667"/>
      <c r="E6207" s="1671">
        <v>3.5</v>
      </c>
      <c r="F6207" s="1671">
        <v>4</v>
      </c>
      <c r="G6207" s="1674"/>
      <c r="H6207" s="1671">
        <f t="shared" si="1142"/>
        <v>0</v>
      </c>
      <c r="I6207" s="688" t="s">
        <v>92</v>
      </c>
      <c r="J6207" s="1668"/>
      <c r="K6207" s="1668"/>
      <c r="L6207" s="1669"/>
    </row>
    <row r="6208" spans="1:12" s="692" customFormat="1" ht="16.5" hidden="1">
      <c r="A6208" s="1665"/>
      <c r="B6208" s="1666"/>
      <c r="C6208" s="688"/>
      <c r="D6208" s="1667"/>
      <c r="E6208" s="1671">
        <v>3.5</v>
      </c>
      <c r="F6208" s="1671">
        <v>4</v>
      </c>
      <c r="G6208" s="1674"/>
      <c r="H6208" s="1671">
        <f t="shared" si="1142"/>
        <v>0</v>
      </c>
      <c r="I6208" s="688" t="s">
        <v>92</v>
      </c>
      <c r="J6208" s="1668"/>
      <c r="K6208" s="1668"/>
      <c r="L6208" s="1669"/>
    </row>
    <row r="6209" spans="1:12" s="692" customFormat="1" ht="16.5" hidden="1">
      <c r="A6209" s="1665"/>
      <c r="B6209" s="1666"/>
      <c r="C6209" s="688"/>
      <c r="D6209" s="1667"/>
      <c r="E6209" s="1671">
        <v>3.5</v>
      </c>
      <c r="F6209" s="1671">
        <v>4</v>
      </c>
      <c r="G6209" s="1674"/>
      <c r="H6209" s="1671">
        <f t="shared" si="1142"/>
        <v>0</v>
      </c>
      <c r="I6209" s="688" t="s">
        <v>92</v>
      </c>
      <c r="J6209" s="1668"/>
      <c r="K6209" s="1668"/>
      <c r="L6209" s="1669"/>
    </row>
    <row r="6210" spans="1:12" s="692" customFormat="1" ht="16.5" hidden="1">
      <c r="A6210" s="1665"/>
      <c r="B6210" s="1666"/>
      <c r="C6210" s="688"/>
      <c r="D6210" s="1667"/>
      <c r="E6210" s="1671">
        <v>3.5</v>
      </c>
      <c r="F6210" s="1671">
        <v>4</v>
      </c>
      <c r="G6210" s="1674"/>
      <c r="H6210" s="1671">
        <f t="shared" si="1142"/>
        <v>0</v>
      </c>
      <c r="I6210" s="688" t="s">
        <v>92</v>
      </c>
      <c r="J6210" s="1668"/>
      <c r="K6210" s="1668"/>
      <c r="L6210" s="1669"/>
    </row>
    <row r="6211" spans="1:12" s="692" customFormat="1" ht="16.5" hidden="1">
      <c r="A6211" s="1665"/>
      <c r="B6211" s="1666"/>
      <c r="C6211" s="688"/>
      <c r="D6211" s="1667"/>
      <c r="E6211" s="1671">
        <v>3.5</v>
      </c>
      <c r="F6211" s="1671">
        <v>4</v>
      </c>
      <c r="G6211" s="1674"/>
      <c r="H6211" s="1671">
        <f t="shared" si="1142"/>
        <v>0</v>
      </c>
      <c r="I6211" s="688" t="s">
        <v>92</v>
      </c>
      <c r="J6211" s="1668"/>
      <c r="K6211" s="1668"/>
      <c r="L6211" s="1669"/>
    </row>
    <row r="6212" spans="1:12" s="692" customFormat="1" ht="16.5" hidden="1">
      <c r="A6212" s="1665"/>
      <c r="B6212" s="1666"/>
      <c r="C6212" s="688"/>
      <c r="D6212" s="1667"/>
      <c r="E6212" s="1671"/>
      <c r="F6212" s="1671"/>
      <c r="G6212" s="1674" t="s">
        <v>928</v>
      </c>
      <c r="H6212" s="1671">
        <f>SUM(H6206:H6211)</f>
        <v>0</v>
      </c>
      <c r="I6212" s="688" t="s">
        <v>92</v>
      </c>
      <c r="J6212" s="1669" t="e">
        <f>'Lead &amp; ANALYSIS'!L1134</f>
        <v>#REF!</v>
      </c>
      <c r="K6212" s="1668" t="s">
        <v>1516</v>
      </c>
      <c r="L6212" s="1669" t="e">
        <f>ROUND(H6212*J6212,0)</f>
        <v>#REF!</v>
      </c>
    </row>
    <row r="6213" spans="1:12" s="692" customFormat="1" ht="16.5" hidden="1">
      <c r="A6213" s="1665" t="str">
        <f>'Lead &amp; ANALYSIS'!A1135</f>
        <v>iv</v>
      </c>
      <c r="B6213" s="1666" t="str">
        <f>'Lead &amp; ANALYSIS'!B1135</f>
        <v>IV.Stony Earth</v>
      </c>
      <c r="C6213" s="688"/>
      <c r="D6213" s="1667"/>
      <c r="E6213" s="688"/>
      <c r="F6213" s="688"/>
      <c r="G6213" s="1674"/>
      <c r="H6213" s="688"/>
      <c r="I6213" s="1668"/>
      <c r="J6213" s="1668"/>
      <c r="K6213" s="1668"/>
      <c r="L6213" s="1669"/>
    </row>
    <row r="6214" spans="1:12" s="692" customFormat="1" ht="16.5" hidden="1">
      <c r="A6214" s="1665"/>
      <c r="B6214" s="1666"/>
      <c r="C6214" s="688"/>
      <c r="D6214" s="1667"/>
      <c r="E6214" s="1671">
        <v>3.5</v>
      </c>
      <c r="F6214" s="1671">
        <v>4</v>
      </c>
      <c r="G6214" s="1674"/>
      <c r="H6214" s="1671">
        <f t="shared" ref="H6214:H6219" si="1143">ROUND(D6214*E6214*F6214,2)</f>
        <v>0</v>
      </c>
      <c r="I6214" s="688" t="s">
        <v>92</v>
      </c>
      <c r="J6214" s="1668"/>
      <c r="K6214" s="1668"/>
      <c r="L6214" s="1669"/>
    </row>
    <row r="6215" spans="1:12" s="692" customFormat="1" ht="16.5" hidden="1">
      <c r="A6215" s="1665"/>
      <c r="B6215" s="1666"/>
      <c r="C6215" s="688"/>
      <c r="D6215" s="1667"/>
      <c r="E6215" s="1671">
        <v>3.5</v>
      </c>
      <c r="F6215" s="1671">
        <v>4</v>
      </c>
      <c r="G6215" s="1674"/>
      <c r="H6215" s="1671">
        <f t="shared" si="1143"/>
        <v>0</v>
      </c>
      <c r="I6215" s="688" t="s">
        <v>92</v>
      </c>
      <c r="J6215" s="1668"/>
      <c r="K6215" s="1668"/>
      <c r="L6215" s="1669"/>
    </row>
    <row r="6216" spans="1:12" s="692" customFormat="1" ht="16.5" hidden="1">
      <c r="A6216" s="1665"/>
      <c r="B6216" s="1666"/>
      <c r="C6216" s="688"/>
      <c r="D6216" s="1667"/>
      <c r="E6216" s="1671">
        <v>3.5</v>
      </c>
      <c r="F6216" s="1671">
        <v>4</v>
      </c>
      <c r="G6216" s="1674"/>
      <c r="H6216" s="1671">
        <f t="shared" si="1143"/>
        <v>0</v>
      </c>
      <c r="I6216" s="688" t="s">
        <v>92</v>
      </c>
      <c r="J6216" s="1668"/>
      <c r="K6216" s="1668"/>
      <c r="L6216" s="1669"/>
    </row>
    <row r="6217" spans="1:12" s="692" customFormat="1" ht="16.5" hidden="1">
      <c r="A6217" s="1665"/>
      <c r="B6217" s="1666"/>
      <c r="C6217" s="688"/>
      <c r="D6217" s="1667"/>
      <c r="E6217" s="1671">
        <v>3.5</v>
      </c>
      <c r="F6217" s="1671">
        <v>4</v>
      </c>
      <c r="G6217" s="1674"/>
      <c r="H6217" s="1671">
        <f t="shared" si="1143"/>
        <v>0</v>
      </c>
      <c r="I6217" s="688" t="s">
        <v>92</v>
      </c>
      <c r="J6217" s="1668"/>
      <c r="K6217" s="1668"/>
      <c r="L6217" s="1669"/>
    </row>
    <row r="6218" spans="1:12" s="692" customFormat="1" ht="16.5" hidden="1">
      <c r="A6218" s="1665"/>
      <c r="B6218" s="1666"/>
      <c r="C6218" s="688"/>
      <c r="D6218" s="1667"/>
      <c r="E6218" s="1671">
        <v>3.5</v>
      </c>
      <c r="F6218" s="1671">
        <v>4</v>
      </c>
      <c r="G6218" s="1674"/>
      <c r="H6218" s="1671">
        <f t="shared" si="1143"/>
        <v>0</v>
      </c>
      <c r="I6218" s="688" t="s">
        <v>92</v>
      </c>
      <c r="J6218" s="1668"/>
      <c r="K6218" s="1668"/>
      <c r="L6218" s="1669"/>
    </row>
    <row r="6219" spans="1:12" s="692" customFormat="1" ht="16.5" hidden="1">
      <c r="A6219" s="1665"/>
      <c r="B6219" s="1666"/>
      <c r="C6219" s="688"/>
      <c r="D6219" s="1667"/>
      <c r="E6219" s="1671">
        <v>3.5</v>
      </c>
      <c r="F6219" s="1671">
        <v>4</v>
      </c>
      <c r="G6219" s="1674"/>
      <c r="H6219" s="1671">
        <f t="shared" si="1143"/>
        <v>0</v>
      </c>
      <c r="I6219" s="688" t="s">
        <v>92</v>
      </c>
      <c r="J6219" s="1668"/>
      <c r="K6219" s="1668"/>
      <c r="L6219" s="1669"/>
    </row>
    <row r="6220" spans="1:12" s="692" customFormat="1" ht="16.5" hidden="1">
      <c r="A6220" s="1665"/>
      <c r="B6220" s="1666"/>
      <c r="C6220" s="688"/>
      <c r="D6220" s="1667"/>
      <c r="E6220" s="1671"/>
      <c r="F6220" s="1671"/>
      <c r="G6220" s="1674" t="s">
        <v>928</v>
      </c>
      <c r="H6220" s="1671">
        <f>SUM(H6214:H6219)</f>
        <v>0</v>
      </c>
      <c r="I6220" s="688" t="s">
        <v>92</v>
      </c>
      <c r="J6220" s="1669" t="e">
        <f>'Lead &amp; ANALYSIS'!L1135</f>
        <v>#REF!</v>
      </c>
      <c r="K6220" s="1668" t="s">
        <v>1516</v>
      </c>
      <c r="L6220" s="1669" t="e">
        <f>ROUND(H6220*J6220,0)</f>
        <v>#REF!</v>
      </c>
    </row>
    <row r="6221" spans="1:12" s="692" customFormat="1" ht="16.5" hidden="1">
      <c r="A6221" s="1665" t="str">
        <f>'Lead &amp; ANALYSIS'!A1136</f>
        <v>v</v>
      </c>
      <c r="B6221" s="1666" t="str">
        <f>'Lead &amp; ANALYSIS'!B1136</f>
        <v>V.All Kinds of Soil</v>
      </c>
      <c r="C6221" s="688"/>
      <c r="D6221" s="1667"/>
      <c r="E6221" s="688"/>
      <c r="F6221" s="688"/>
      <c r="G6221" s="1674"/>
      <c r="H6221" s="688"/>
      <c r="I6221" s="1668"/>
      <c r="J6221" s="1668"/>
      <c r="K6221" s="1668"/>
      <c r="L6221" s="1669"/>
    </row>
    <row r="6222" spans="1:12" s="692" customFormat="1" ht="16.5" hidden="1">
      <c r="A6222" s="1665"/>
      <c r="B6222" s="1666"/>
      <c r="C6222" s="688"/>
      <c r="D6222" s="1667"/>
      <c r="E6222" s="1671">
        <v>3.5</v>
      </c>
      <c r="F6222" s="1671">
        <v>4</v>
      </c>
      <c r="G6222" s="1674"/>
      <c r="H6222" s="1671">
        <f t="shared" ref="H6222:H6227" si="1144">ROUND(D6222*E6222*F6222,2)</f>
        <v>0</v>
      </c>
      <c r="I6222" s="688" t="s">
        <v>92</v>
      </c>
      <c r="J6222" s="1668"/>
      <c r="K6222" s="1668"/>
      <c r="L6222" s="1669"/>
    </row>
    <row r="6223" spans="1:12" s="692" customFormat="1" ht="16.5" hidden="1">
      <c r="A6223" s="1665"/>
      <c r="B6223" s="1666"/>
      <c r="C6223" s="688"/>
      <c r="D6223" s="1667"/>
      <c r="E6223" s="1671">
        <v>3.5</v>
      </c>
      <c r="F6223" s="1671">
        <v>4</v>
      </c>
      <c r="G6223" s="1674"/>
      <c r="H6223" s="1671">
        <f t="shared" si="1144"/>
        <v>0</v>
      </c>
      <c r="I6223" s="688" t="s">
        <v>92</v>
      </c>
      <c r="J6223" s="1668"/>
      <c r="K6223" s="1668"/>
      <c r="L6223" s="1669"/>
    </row>
    <row r="6224" spans="1:12" s="692" customFormat="1" ht="16.5" hidden="1">
      <c r="A6224" s="1665"/>
      <c r="B6224" s="1666"/>
      <c r="C6224" s="688"/>
      <c r="D6224" s="1667"/>
      <c r="E6224" s="1671">
        <v>3.5</v>
      </c>
      <c r="F6224" s="1671">
        <v>4</v>
      </c>
      <c r="G6224" s="1674"/>
      <c r="H6224" s="1671">
        <f t="shared" si="1144"/>
        <v>0</v>
      </c>
      <c r="I6224" s="688" t="s">
        <v>92</v>
      </c>
      <c r="J6224" s="1668"/>
      <c r="K6224" s="1668"/>
      <c r="L6224" s="1669"/>
    </row>
    <row r="6225" spans="1:12" s="692" customFormat="1" ht="16.5" hidden="1">
      <c r="A6225" s="1665"/>
      <c r="B6225" s="1666"/>
      <c r="C6225" s="688"/>
      <c r="D6225" s="1667"/>
      <c r="E6225" s="1671">
        <v>3.5</v>
      </c>
      <c r="F6225" s="1671">
        <v>4</v>
      </c>
      <c r="G6225" s="1674"/>
      <c r="H6225" s="1671">
        <f t="shared" si="1144"/>
        <v>0</v>
      </c>
      <c r="I6225" s="688" t="s">
        <v>92</v>
      </c>
      <c r="J6225" s="1668"/>
      <c r="K6225" s="1668"/>
      <c r="L6225" s="1669"/>
    </row>
    <row r="6226" spans="1:12" s="692" customFormat="1" ht="16.5" hidden="1">
      <c r="A6226" s="1665"/>
      <c r="B6226" s="1666"/>
      <c r="C6226" s="688"/>
      <c r="D6226" s="1667"/>
      <c r="E6226" s="1671">
        <v>3.5</v>
      </c>
      <c r="F6226" s="1671">
        <v>4</v>
      </c>
      <c r="G6226" s="1674"/>
      <c r="H6226" s="1671">
        <f t="shared" si="1144"/>
        <v>0</v>
      </c>
      <c r="I6226" s="688" t="s">
        <v>92</v>
      </c>
      <c r="J6226" s="1668"/>
      <c r="K6226" s="1668"/>
      <c r="L6226" s="1669"/>
    </row>
    <row r="6227" spans="1:12" s="692" customFormat="1" ht="16.5" hidden="1">
      <c r="A6227" s="1665"/>
      <c r="B6227" s="1666"/>
      <c r="C6227" s="688"/>
      <c r="D6227" s="1667"/>
      <c r="E6227" s="1671">
        <v>3.5</v>
      </c>
      <c r="F6227" s="1671">
        <v>4</v>
      </c>
      <c r="G6227" s="1674"/>
      <c r="H6227" s="1671">
        <f t="shared" si="1144"/>
        <v>0</v>
      </c>
      <c r="I6227" s="688" t="s">
        <v>92</v>
      </c>
      <c r="J6227" s="1668"/>
      <c r="K6227" s="1668"/>
      <c r="L6227" s="1669"/>
    </row>
    <row r="6228" spans="1:12" s="692" customFormat="1" ht="16.5" hidden="1">
      <c r="A6228" s="1665"/>
      <c r="B6228" s="1666"/>
      <c r="C6228" s="688"/>
      <c r="D6228" s="1667"/>
      <c r="E6228" s="1671"/>
      <c r="F6228" s="1671"/>
      <c r="G6228" s="1674" t="s">
        <v>928</v>
      </c>
      <c r="H6228" s="1671">
        <f>SUM(H6222:H6227)</f>
        <v>0</v>
      </c>
      <c r="I6228" s="688" t="s">
        <v>92</v>
      </c>
      <c r="J6228" s="1669" t="e">
        <f>'Lead &amp; ANALYSIS'!L1136</f>
        <v>#REF!</v>
      </c>
      <c r="K6228" s="1668" t="s">
        <v>1516</v>
      </c>
      <c r="L6228" s="1669" t="e">
        <f>ROUND(H6228*J6228,0)</f>
        <v>#REF!</v>
      </c>
    </row>
    <row r="6229" spans="1:12" s="692" customFormat="1" ht="33" hidden="1">
      <c r="A6229" s="1665">
        <f>'Lead &amp; ANALYSIS'!A1137</f>
        <v>181</v>
      </c>
      <c r="B6229" s="1666" t="str">
        <f>'Lead &amp; ANALYSIS'!B1137</f>
        <v>Earrth work Excavation for Open well within Initial lead etc complete as per Specification.</v>
      </c>
      <c r="C6229" s="688"/>
      <c r="D6229" s="1667"/>
      <c r="E6229" s="688"/>
      <c r="F6229" s="688"/>
      <c r="G6229" s="1674"/>
      <c r="H6229" s="688"/>
      <c r="I6229" s="1668"/>
      <c r="J6229" s="1668"/>
      <c r="K6229" s="1668"/>
      <c r="L6229" s="1669"/>
    </row>
    <row r="6230" spans="1:12" s="692" customFormat="1" ht="16.5" hidden="1">
      <c r="A6230" s="1665" t="str">
        <f>'Lead &amp; ANALYSIS'!A1138</f>
        <v>A.</v>
      </c>
      <c r="B6230" s="1675" t="str">
        <f>'Lead &amp; ANALYSIS'!B1138</f>
        <v>1ST DEPTH OF 1.5MTR.</v>
      </c>
      <c r="C6230" s="688"/>
      <c r="D6230" s="1667"/>
      <c r="E6230" s="688"/>
      <c r="F6230" s="688"/>
      <c r="G6230" s="1674"/>
      <c r="H6230" s="688"/>
      <c r="I6230" s="1668"/>
      <c r="J6230" s="1668"/>
      <c r="K6230" s="1668"/>
      <c r="L6230" s="1669"/>
    </row>
    <row r="6231" spans="1:12" s="692" customFormat="1" ht="16.5" hidden="1">
      <c r="A6231" s="1665" t="str">
        <f>'Lead &amp; ANALYSIS'!A1139</f>
        <v>i</v>
      </c>
      <c r="B6231" s="1666" t="str">
        <f>'Lead &amp; ANALYSIS'!B1139</f>
        <v>i.Ordinary Soil.</v>
      </c>
      <c r="C6231" s="688"/>
      <c r="D6231" s="1667"/>
      <c r="E6231" s="688"/>
      <c r="F6231" s="688"/>
      <c r="G6231" s="1674"/>
      <c r="H6231" s="688"/>
      <c r="I6231" s="1668"/>
      <c r="J6231" s="1668"/>
      <c r="K6231" s="1668"/>
      <c r="L6231" s="1668"/>
    </row>
    <row r="6232" spans="1:12" s="692" customFormat="1" ht="16.5" hidden="1">
      <c r="A6232" s="1665"/>
      <c r="B6232" s="1666"/>
      <c r="C6232" s="688"/>
      <c r="D6232" s="1667"/>
      <c r="E6232" s="1671">
        <v>3.5</v>
      </c>
      <c r="F6232" s="1671">
        <v>4</v>
      </c>
      <c r="G6232" s="1674"/>
      <c r="H6232" s="1671">
        <f t="shared" ref="H6232:H6237" si="1145">ROUND(D6232*E6232*F6232,2)</f>
        <v>0</v>
      </c>
      <c r="I6232" s="688" t="s">
        <v>92</v>
      </c>
      <c r="J6232" s="1668"/>
      <c r="K6232" s="1668"/>
      <c r="L6232" s="1668"/>
    </row>
    <row r="6233" spans="1:12" s="692" customFormat="1" ht="16.5" hidden="1">
      <c r="A6233" s="1665"/>
      <c r="B6233" s="1666"/>
      <c r="C6233" s="688"/>
      <c r="D6233" s="1667"/>
      <c r="E6233" s="1671">
        <v>3.5</v>
      </c>
      <c r="F6233" s="1671">
        <v>4</v>
      </c>
      <c r="G6233" s="1674"/>
      <c r="H6233" s="1671">
        <f t="shared" si="1145"/>
        <v>0</v>
      </c>
      <c r="I6233" s="688" t="s">
        <v>92</v>
      </c>
      <c r="J6233" s="1668"/>
      <c r="K6233" s="1668"/>
      <c r="L6233" s="1668"/>
    </row>
    <row r="6234" spans="1:12" s="692" customFormat="1" ht="16.5" hidden="1">
      <c r="A6234" s="1665"/>
      <c r="B6234" s="1666"/>
      <c r="C6234" s="688"/>
      <c r="D6234" s="1667"/>
      <c r="E6234" s="1671">
        <v>3.5</v>
      </c>
      <c r="F6234" s="1671">
        <v>4</v>
      </c>
      <c r="G6234" s="1674"/>
      <c r="H6234" s="1671">
        <f t="shared" si="1145"/>
        <v>0</v>
      </c>
      <c r="I6234" s="688" t="s">
        <v>92</v>
      </c>
      <c r="J6234" s="1668"/>
      <c r="K6234" s="1668"/>
      <c r="L6234" s="1668"/>
    </row>
    <row r="6235" spans="1:12" s="692" customFormat="1" ht="16.5" hidden="1">
      <c r="A6235" s="1665"/>
      <c r="B6235" s="1666"/>
      <c r="C6235" s="688"/>
      <c r="D6235" s="1667"/>
      <c r="E6235" s="1671">
        <v>3.5</v>
      </c>
      <c r="F6235" s="1671">
        <v>4</v>
      </c>
      <c r="G6235" s="1674"/>
      <c r="H6235" s="1671">
        <f t="shared" si="1145"/>
        <v>0</v>
      </c>
      <c r="I6235" s="688" t="s">
        <v>92</v>
      </c>
      <c r="J6235" s="1668"/>
      <c r="K6235" s="1668"/>
      <c r="L6235" s="1668"/>
    </row>
    <row r="6236" spans="1:12" s="692" customFormat="1" ht="16.5" hidden="1">
      <c r="A6236" s="1665"/>
      <c r="B6236" s="1666"/>
      <c r="C6236" s="688"/>
      <c r="D6236" s="1667"/>
      <c r="E6236" s="1671">
        <v>3.5</v>
      </c>
      <c r="F6236" s="1671">
        <v>4</v>
      </c>
      <c r="G6236" s="1674"/>
      <c r="H6236" s="1671">
        <f t="shared" si="1145"/>
        <v>0</v>
      </c>
      <c r="I6236" s="688" t="s">
        <v>92</v>
      </c>
      <c r="J6236" s="1668"/>
      <c r="K6236" s="1668"/>
      <c r="L6236" s="1668"/>
    </row>
    <row r="6237" spans="1:12" s="692" customFormat="1" ht="16.5" hidden="1">
      <c r="A6237" s="1665"/>
      <c r="B6237" s="1666"/>
      <c r="C6237" s="688"/>
      <c r="D6237" s="1667"/>
      <c r="E6237" s="1671">
        <v>3.5</v>
      </c>
      <c r="F6237" s="1671">
        <v>4</v>
      </c>
      <c r="G6237" s="1674"/>
      <c r="H6237" s="1671">
        <f t="shared" si="1145"/>
        <v>0</v>
      </c>
      <c r="I6237" s="688" t="s">
        <v>92</v>
      </c>
      <c r="J6237" s="1668"/>
      <c r="K6237" s="1668"/>
      <c r="L6237" s="1668"/>
    </row>
    <row r="6238" spans="1:12" s="692" customFormat="1" ht="16.5" hidden="1">
      <c r="A6238" s="1665"/>
      <c r="B6238" s="1666"/>
      <c r="C6238" s="688"/>
      <c r="D6238" s="1667"/>
      <c r="E6238" s="1671"/>
      <c r="F6238" s="1671"/>
      <c r="G6238" s="1674" t="s">
        <v>928</v>
      </c>
      <c r="H6238" s="1671">
        <f>SUM(H6232:H6237)</f>
        <v>0</v>
      </c>
      <c r="I6238" s="688" t="s">
        <v>92</v>
      </c>
      <c r="J6238" s="1669" t="e">
        <f>'Lead &amp; ANALYSIS'!L1139</f>
        <v>#REF!</v>
      </c>
      <c r="K6238" s="1668" t="s">
        <v>1516</v>
      </c>
      <c r="L6238" s="1669" t="e">
        <f>ROUND(H6238*J6238,0)</f>
        <v>#REF!</v>
      </c>
    </row>
    <row r="6239" spans="1:12" s="692" customFormat="1" ht="16.5" hidden="1">
      <c r="A6239" s="1665" t="str">
        <f>'Lead &amp; ANALYSIS'!A1140</f>
        <v>ii</v>
      </c>
      <c r="B6239" s="1666" t="str">
        <f>'Lead &amp; ANALYSIS'!B1140</f>
        <v>ii.Slushy Soil</v>
      </c>
      <c r="C6239" s="688"/>
      <c r="D6239" s="1667"/>
      <c r="E6239" s="688"/>
      <c r="F6239" s="688"/>
      <c r="G6239" s="1674"/>
      <c r="H6239" s="688"/>
      <c r="I6239" s="1668"/>
      <c r="J6239" s="1669"/>
      <c r="K6239" s="1668"/>
      <c r="L6239" s="1669"/>
    </row>
    <row r="6240" spans="1:12" s="692" customFormat="1" ht="16.5" hidden="1">
      <c r="A6240" s="1665"/>
      <c r="B6240" s="1666"/>
      <c r="C6240" s="688"/>
      <c r="D6240" s="1667"/>
      <c r="E6240" s="1671">
        <v>3.5</v>
      </c>
      <c r="F6240" s="1671">
        <v>4</v>
      </c>
      <c r="G6240" s="1674"/>
      <c r="H6240" s="1671">
        <f t="shared" ref="H6240:H6245" si="1146">ROUND(D6240*E6240*F6240,2)</f>
        <v>0</v>
      </c>
      <c r="I6240" s="688" t="s">
        <v>92</v>
      </c>
      <c r="J6240" s="1669"/>
      <c r="K6240" s="1668"/>
      <c r="L6240" s="1669"/>
    </row>
    <row r="6241" spans="1:12" s="692" customFormat="1" ht="16.5" hidden="1">
      <c r="A6241" s="1665"/>
      <c r="B6241" s="1666"/>
      <c r="C6241" s="688"/>
      <c r="D6241" s="1667"/>
      <c r="E6241" s="1671">
        <v>3.5</v>
      </c>
      <c r="F6241" s="1671">
        <v>4</v>
      </c>
      <c r="G6241" s="1674"/>
      <c r="H6241" s="1671">
        <f t="shared" si="1146"/>
        <v>0</v>
      </c>
      <c r="I6241" s="688" t="s">
        <v>92</v>
      </c>
      <c r="J6241" s="1669"/>
      <c r="K6241" s="1668"/>
      <c r="L6241" s="1669"/>
    </row>
    <row r="6242" spans="1:12" s="692" customFormat="1" ht="16.5" hidden="1">
      <c r="A6242" s="1665"/>
      <c r="B6242" s="1666"/>
      <c r="C6242" s="688"/>
      <c r="D6242" s="1667"/>
      <c r="E6242" s="1671">
        <v>3.5</v>
      </c>
      <c r="F6242" s="1671">
        <v>4</v>
      </c>
      <c r="G6242" s="1674"/>
      <c r="H6242" s="1671">
        <f t="shared" si="1146"/>
        <v>0</v>
      </c>
      <c r="I6242" s="688" t="s">
        <v>92</v>
      </c>
      <c r="J6242" s="1669"/>
      <c r="K6242" s="1668"/>
      <c r="L6242" s="1669"/>
    </row>
    <row r="6243" spans="1:12" s="692" customFormat="1" ht="16.5" hidden="1">
      <c r="A6243" s="1665"/>
      <c r="B6243" s="1666"/>
      <c r="C6243" s="688"/>
      <c r="D6243" s="1667"/>
      <c r="E6243" s="1671">
        <v>3.5</v>
      </c>
      <c r="F6243" s="1671">
        <v>4</v>
      </c>
      <c r="G6243" s="1674"/>
      <c r="H6243" s="1671">
        <f t="shared" si="1146"/>
        <v>0</v>
      </c>
      <c r="I6243" s="688" t="s">
        <v>92</v>
      </c>
      <c r="J6243" s="1669"/>
      <c r="K6243" s="1668"/>
      <c r="L6243" s="1669"/>
    </row>
    <row r="6244" spans="1:12" s="692" customFormat="1" ht="16.5" hidden="1">
      <c r="A6244" s="1665"/>
      <c r="B6244" s="1666"/>
      <c r="C6244" s="688"/>
      <c r="D6244" s="1667"/>
      <c r="E6244" s="1671">
        <v>3.5</v>
      </c>
      <c r="F6244" s="1671">
        <v>4</v>
      </c>
      <c r="G6244" s="1674"/>
      <c r="H6244" s="1671">
        <f t="shared" si="1146"/>
        <v>0</v>
      </c>
      <c r="I6244" s="688" t="s">
        <v>92</v>
      </c>
      <c r="J6244" s="1669"/>
      <c r="K6244" s="1668"/>
      <c r="L6244" s="1669"/>
    </row>
    <row r="6245" spans="1:12" s="692" customFormat="1" ht="16.5" hidden="1">
      <c r="A6245" s="1665"/>
      <c r="B6245" s="1666"/>
      <c r="C6245" s="688"/>
      <c r="D6245" s="1667"/>
      <c r="E6245" s="1671">
        <v>3.5</v>
      </c>
      <c r="F6245" s="1671">
        <v>4</v>
      </c>
      <c r="G6245" s="1674"/>
      <c r="H6245" s="1671">
        <f t="shared" si="1146"/>
        <v>0</v>
      </c>
      <c r="I6245" s="688" t="s">
        <v>92</v>
      </c>
      <c r="J6245" s="1669"/>
      <c r="K6245" s="1668"/>
      <c r="L6245" s="1669"/>
    </row>
    <row r="6246" spans="1:12" s="692" customFormat="1" ht="16.5" hidden="1">
      <c r="A6246" s="1665"/>
      <c r="B6246" s="1666"/>
      <c r="C6246" s="688"/>
      <c r="D6246" s="1667"/>
      <c r="E6246" s="1671"/>
      <c r="F6246" s="1671"/>
      <c r="G6246" s="1674" t="s">
        <v>928</v>
      </c>
      <c r="H6246" s="1671">
        <f>SUM(H6240:H6245)</f>
        <v>0</v>
      </c>
      <c r="I6246" s="688" t="s">
        <v>92</v>
      </c>
      <c r="J6246" s="1669" t="e">
        <f>'Lead &amp; ANALYSIS'!L1140</f>
        <v>#REF!</v>
      </c>
      <c r="K6246" s="1668" t="s">
        <v>1516</v>
      </c>
      <c r="L6246" s="1669" t="e">
        <f>ROUND(H6246*J6246,0)</f>
        <v>#REF!</v>
      </c>
    </row>
    <row r="6247" spans="1:12" s="692" customFormat="1" ht="16.5" hidden="1">
      <c r="A6247" s="1665" t="str">
        <f>'Lead &amp; ANALYSIS'!A1141</f>
        <v>iii</v>
      </c>
      <c r="B6247" s="1666" t="str">
        <f>'Lead &amp; ANALYSIS'!B1141</f>
        <v>iii.Hard Sooil</v>
      </c>
      <c r="C6247" s="688"/>
      <c r="D6247" s="1667"/>
      <c r="E6247" s="688"/>
      <c r="F6247" s="688"/>
      <c r="G6247" s="1674"/>
      <c r="H6247" s="688"/>
      <c r="I6247" s="1668"/>
      <c r="J6247" s="1669"/>
      <c r="K6247" s="1668"/>
      <c r="L6247" s="1669"/>
    </row>
    <row r="6248" spans="1:12" s="692" customFormat="1" ht="16.5" hidden="1">
      <c r="A6248" s="1665"/>
      <c r="B6248" s="1666"/>
      <c r="C6248" s="688"/>
      <c r="D6248" s="1667"/>
      <c r="E6248" s="1671">
        <v>3.5</v>
      </c>
      <c r="F6248" s="1671">
        <v>4</v>
      </c>
      <c r="G6248" s="1674"/>
      <c r="H6248" s="1671">
        <f t="shared" ref="H6248:H6253" si="1147">ROUND(D6248*E6248*F6248,2)</f>
        <v>0</v>
      </c>
      <c r="I6248" s="688" t="s">
        <v>92</v>
      </c>
      <c r="J6248" s="1669"/>
      <c r="K6248" s="1668"/>
      <c r="L6248" s="1669"/>
    </row>
    <row r="6249" spans="1:12" s="692" customFormat="1" ht="16.5" hidden="1">
      <c r="A6249" s="1665"/>
      <c r="B6249" s="1666"/>
      <c r="C6249" s="688"/>
      <c r="D6249" s="1667"/>
      <c r="E6249" s="1671">
        <v>3.5</v>
      </c>
      <c r="F6249" s="1671">
        <v>4</v>
      </c>
      <c r="G6249" s="1674"/>
      <c r="H6249" s="1671">
        <f t="shared" si="1147"/>
        <v>0</v>
      </c>
      <c r="I6249" s="688" t="s">
        <v>92</v>
      </c>
      <c r="J6249" s="1669"/>
      <c r="K6249" s="1668"/>
      <c r="L6249" s="1669"/>
    </row>
    <row r="6250" spans="1:12" s="692" customFormat="1" ht="16.5" hidden="1">
      <c r="A6250" s="1665"/>
      <c r="B6250" s="1666"/>
      <c r="C6250" s="688"/>
      <c r="D6250" s="1667"/>
      <c r="E6250" s="1671">
        <v>3.5</v>
      </c>
      <c r="F6250" s="1671">
        <v>4</v>
      </c>
      <c r="G6250" s="1674"/>
      <c r="H6250" s="1671">
        <f t="shared" si="1147"/>
        <v>0</v>
      </c>
      <c r="I6250" s="688" t="s">
        <v>92</v>
      </c>
      <c r="J6250" s="1669"/>
      <c r="K6250" s="1668"/>
      <c r="L6250" s="1669"/>
    </row>
    <row r="6251" spans="1:12" s="692" customFormat="1" ht="16.5" hidden="1">
      <c r="A6251" s="1665"/>
      <c r="B6251" s="1666"/>
      <c r="C6251" s="688"/>
      <c r="D6251" s="1667"/>
      <c r="E6251" s="1671">
        <v>3.5</v>
      </c>
      <c r="F6251" s="1671">
        <v>4</v>
      </c>
      <c r="G6251" s="1674"/>
      <c r="H6251" s="1671">
        <f t="shared" si="1147"/>
        <v>0</v>
      </c>
      <c r="I6251" s="688" t="s">
        <v>92</v>
      </c>
      <c r="J6251" s="1669"/>
      <c r="K6251" s="1668"/>
      <c r="L6251" s="1669"/>
    </row>
    <row r="6252" spans="1:12" s="692" customFormat="1" ht="16.5" hidden="1">
      <c r="A6252" s="1665"/>
      <c r="B6252" s="1666"/>
      <c r="C6252" s="688"/>
      <c r="D6252" s="1667"/>
      <c r="E6252" s="1671">
        <v>3.5</v>
      </c>
      <c r="F6252" s="1671">
        <v>4</v>
      </c>
      <c r="G6252" s="1674"/>
      <c r="H6252" s="1671">
        <f t="shared" si="1147"/>
        <v>0</v>
      </c>
      <c r="I6252" s="688" t="s">
        <v>92</v>
      </c>
      <c r="J6252" s="1669"/>
      <c r="K6252" s="1668"/>
      <c r="L6252" s="1669"/>
    </row>
    <row r="6253" spans="1:12" s="692" customFormat="1" ht="16.5" hidden="1">
      <c r="A6253" s="1665"/>
      <c r="B6253" s="1666"/>
      <c r="C6253" s="688"/>
      <c r="D6253" s="1667"/>
      <c r="E6253" s="1671">
        <v>3.5</v>
      </c>
      <c r="F6253" s="1671">
        <v>4</v>
      </c>
      <c r="G6253" s="1674"/>
      <c r="H6253" s="1671">
        <f t="shared" si="1147"/>
        <v>0</v>
      </c>
      <c r="I6253" s="688" t="s">
        <v>92</v>
      </c>
      <c r="J6253" s="1669"/>
      <c r="K6253" s="1668"/>
      <c r="L6253" s="1669"/>
    </row>
    <row r="6254" spans="1:12" s="692" customFormat="1" ht="16.5" hidden="1">
      <c r="A6254" s="1665"/>
      <c r="B6254" s="1666"/>
      <c r="C6254" s="688"/>
      <c r="D6254" s="1667"/>
      <c r="E6254" s="1671"/>
      <c r="F6254" s="1671"/>
      <c r="G6254" s="1674" t="s">
        <v>928</v>
      </c>
      <c r="H6254" s="1671">
        <f>SUM(H6248:H6253)</f>
        <v>0</v>
      </c>
      <c r="I6254" s="688" t="s">
        <v>92</v>
      </c>
      <c r="J6254" s="1669" t="e">
        <f>'Lead &amp; ANALYSIS'!L1141</f>
        <v>#REF!</v>
      </c>
      <c r="K6254" s="1668" t="s">
        <v>1516</v>
      </c>
      <c r="L6254" s="1669" t="e">
        <f>ROUND(H6254*J6254,0)</f>
        <v>#REF!</v>
      </c>
    </row>
    <row r="6255" spans="1:12" s="692" customFormat="1" ht="16.5" hidden="1">
      <c r="A6255" s="1665" t="str">
        <f>'Lead &amp; ANALYSIS'!A1142</f>
        <v>iv</v>
      </c>
      <c r="B6255" s="1666" t="str">
        <f>'Lead &amp; ANALYSIS'!B1142</f>
        <v>IV.Stony Earth</v>
      </c>
      <c r="C6255" s="688"/>
      <c r="D6255" s="1667"/>
      <c r="E6255" s="688"/>
      <c r="F6255" s="688"/>
      <c r="G6255" s="1674"/>
      <c r="H6255" s="688"/>
      <c r="I6255" s="1668"/>
      <c r="J6255" s="1669"/>
      <c r="K6255" s="1668"/>
      <c r="L6255" s="1669"/>
    </row>
    <row r="6256" spans="1:12" s="692" customFormat="1" ht="16.5" hidden="1">
      <c r="A6256" s="1665"/>
      <c r="B6256" s="1666"/>
      <c r="C6256" s="688"/>
      <c r="D6256" s="1667"/>
      <c r="E6256" s="1671">
        <v>3.5</v>
      </c>
      <c r="F6256" s="1671">
        <v>4</v>
      </c>
      <c r="G6256" s="1674"/>
      <c r="H6256" s="1671">
        <f t="shared" ref="H6256:H6261" si="1148">ROUND(D6256*E6256*F6256,2)</f>
        <v>0</v>
      </c>
      <c r="I6256" s="688" t="s">
        <v>92</v>
      </c>
      <c r="J6256" s="1669"/>
      <c r="K6256" s="1668"/>
      <c r="L6256" s="1669"/>
    </row>
    <row r="6257" spans="1:12" s="692" customFormat="1" ht="16.5" hidden="1">
      <c r="A6257" s="1665"/>
      <c r="B6257" s="1666"/>
      <c r="C6257" s="688"/>
      <c r="D6257" s="1667"/>
      <c r="E6257" s="1671">
        <v>3.5</v>
      </c>
      <c r="F6257" s="1671">
        <v>4</v>
      </c>
      <c r="G6257" s="1674"/>
      <c r="H6257" s="1671">
        <f t="shared" si="1148"/>
        <v>0</v>
      </c>
      <c r="I6257" s="688" t="s">
        <v>92</v>
      </c>
      <c r="J6257" s="1669"/>
      <c r="K6257" s="1668"/>
      <c r="L6257" s="1669"/>
    </row>
    <row r="6258" spans="1:12" s="692" customFormat="1" ht="16.5" hidden="1">
      <c r="A6258" s="1665"/>
      <c r="B6258" s="1666"/>
      <c r="C6258" s="688"/>
      <c r="D6258" s="1667"/>
      <c r="E6258" s="1671">
        <v>3.5</v>
      </c>
      <c r="F6258" s="1671">
        <v>4</v>
      </c>
      <c r="G6258" s="1674"/>
      <c r="H6258" s="1671">
        <f t="shared" si="1148"/>
        <v>0</v>
      </c>
      <c r="I6258" s="688" t="s">
        <v>92</v>
      </c>
      <c r="J6258" s="1669"/>
      <c r="K6258" s="1668"/>
      <c r="L6258" s="1669"/>
    </row>
    <row r="6259" spans="1:12" s="692" customFormat="1" ht="16.5" hidden="1">
      <c r="A6259" s="1665"/>
      <c r="B6259" s="1666"/>
      <c r="C6259" s="688"/>
      <c r="D6259" s="1667"/>
      <c r="E6259" s="1671">
        <v>3.5</v>
      </c>
      <c r="F6259" s="1671">
        <v>4</v>
      </c>
      <c r="G6259" s="1674"/>
      <c r="H6259" s="1671">
        <f t="shared" si="1148"/>
        <v>0</v>
      </c>
      <c r="I6259" s="688" t="s">
        <v>92</v>
      </c>
      <c r="J6259" s="1669"/>
      <c r="K6259" s="1668"/>
      <c r="L6259" s="1669"/>
    </row>
    <row r="6260" spans="1:12" s="692" customFormat="1" ht="16.5" hidden="1">
      <c r="A6260" s="1665"/>
      <c r="B6260" s="1666"/>
      <c r="C6260" s="688"/>
      <c r="D6260" s="1667"/>
      <c r="E6260" s="1671">
        <v>3.5</v>
      </c>
      <c r="F6260" s="1671">
        <v>4</v>
      </c>
      <c r="G6260" s="1674"/>
      <c r="H6260" s="1671">
        <f t="shared" si="1148"/>
        <v>0</v>
      </c>
      <c r="I6260" s="688" t="s">
        <v>92</v>
      </c>
      <c r="J6260" s="1669"/>
      <c r="K6260" s="1668"/>
      <c r="L6260" s="1669"/>
    </row>
    <row r="6261" spans="1:12" s="692" customFormat="1" ht="16.5" hidden="1">
      <c r="A6261" s="1665"/>
      <c r="B6261" s="1666"/>
      <c r="C6261" s="688"/>
      <c r="D6261" s="1667"/>
      <c r="E6261" s="1671">
        <v>3.5</v>
      </c>
      <c r="F6261" s="1671">
        <v>4</v>
      </c>
      <c r="G6261" s="1674"/>
      <c r="H6261" s="1671">
        <f t="shared" si="1148"/>
        <v>0</v>
      </c>
      <c r="I6261" s="688" t="s">
        <v>92</v>
      </c>
      <c r="J6261" s="1669"/>
      <c r="K6261" s="1668"/>
      <c r="L6261" s="1669"/>
    </row>
    <row r="6262" spans="1:12" s="692" customFormat="1" ht="16.5" hidden="1">
      <c r="A6262" s="1665"/>
      <c r="B6262" s="1666"/>
      <c r="C6262" s="688"/>
      <c r="D6262" s="1667"/>
      <c r="E6262" s="1671"/>
      <c r="F6262" s="1671"/>
      <c r="G6262" s="1674" t="s">
        <v>928</v>
      </c>
      <c r="H6262" s="1671">
        <f>SUM(H6256:H6261)</f>
        <v>0</v>
      </c>
      <c r="I6262" s="688" t="s">
        <v>92</v>
      </c>
      <c r="J6262" s="1669" t="e">
        <f>'Lead &amp; ANALYSIS'!L1142</f>
        <v>#REF!</v>
      </c>
      <c r="K6262" s="1668" t="s">
        <v>1516</v>
      </c>
      <c r="L6262" s="1669" t="e">
        <f>ROUND(H6262*J6262,0)</f>
        <v>#REF!</v>
      </c>
    </row>
    <row r="6263" spans="1:12" s="692" customFormat="1" ht="16.5" hidden="1">
      <c r="A6263" s="1665" t="str">
        <f>'Lead &amp; ANALYSIS'!A1143</f>
        <v>v</v>
      </c>
      <c r="B6263" s="1666" t="str">
        <f>'Lead &amp; ANALYSIS'!B1143</f>
        <v>V.All Kinds of Soil</v>
      </c>
      <c r="C6263" s="688"/>
      <c r="D6263" s="1667"/>
      <c r="E6263" s="688"/>
      <c r="F6263" s="688"/>
      <c r="G6263" s="1674"/>
      <c r="H6263" s="688"/>
      <c r="I6263" s="1668"/>
      <c r="J6263" s="1669"/>
      <c r="K6263" s="1668"/>
      <c r="L6263" s="1669"/>
    </row>
    <row r="6264" spans="1:12" s="692" customFormat="1" ht="16.5" hidden="1">
      <c r="A6264" s="1665"/>
      <c r="B6264" s="1666"/>
      <c r="C6264" s="688"/>
      <c r="D6264" s="1667"/>
      <c r="E6264" s="1671">
        <v>3.5</v>
      </c>
      <c r="F6264" s="1671">
        <v>4</v>
      </c>
      <c r="G6264" s="1674"/>
      <c r="H6264" s="1671">
        <f t="shared" ref="H6264:H6269" si="1149">ROUND(D6264*E6264*F6264,2)</f>
        <v>0</v>
      </c>
      <c r="I6264" s="688" t="s">
        <v>92</v>
      </c>
      <c r="J6264" s="1669"/>
      <c r="K6264" s="1668"/>
      <c r="L6264" s="1669"/>
    </row>
    <row r="6265" spans="1:12" s="692" customFormat="1" ht="16.5" hidden="1">
      <c r="A6265" s="1665"/>
      <c r="B6265" s="1666"/>
      <c r="C6265" s="688"/>
      <c r="D6265" s="1667"/>
      <c r="E6265" s="1671">
        <v>3.5</v>
      </c>
      <c r="F6265" s="1671">
        <v>4</v>
      </c>
      <c r="G6265" s="1674"/>
      <c r="H6265" s="1671">
        <f t="shared" si="1149"/>
        <v>0</v>
      </c>
      <c r="I6265" s="688" t="s">
        <v>92</v>
      </c>
      <c r="J6265" s="1669"/>
      <c r="K6265" s="1668"/>
      <c r="L6265" s="1669"/>
    </row>
    <row r="6266" spans="1:12" s="692" customFormat="1" ht="16.5" hidden="1">
      <c r="A6266" s="1665"/>
      <c r="B6266" s="1666"/>
      <c r="C6266" s="688"/>
      <c r="D6266" s="1667"/>
      <c r="E6266" s="1671">
        <v>3.5</v>
      </c>
      <c r="F6266" s="1671">
        <v>4</v>
      </c>
      <c r="G6266" s="1674"/>
      <c r="H6266" s="1671">
        <f t="shared" si="1149"/>
        <v>0</v>
      </c>
      <c r="I6266" s="688" t="s">
        <v>92</v>
      </c>
      <c r="J6266" s="1669"/>
      <c r="K6266" s="1668"/>
      <c r="L6266" s="1669"/>
    </row>
    <row r="6267" spans="1:12" s="692" customFormat="1" ht="16.5" hidden="1">
      <c r="A6267" s="1665"/>
      <c r="B6267" s="1666"/>
      <c r="C6267" s="688"/>
      <c r="D6267" s="1667"/>
      <c r="E6267" s="1671">
        <v>3.5</v>
      </c>
      <c r="F6267" s="1671">
        <v>4</v>
      </c>
      <c r="G6267" s="1674"/>
      <c r="H6267" s="1671">
        <f t="shared" si="1149"/>
        <v>0</v>
      </c>
      <c r="I6267" s="688" t="s">
        <v>92</v>
      </c>
      <c r="J6267" s="1669"/>
      <c r="K6267" s="1668"/>
      <c r="L6267" s="1669"/>
    </row>
    <row r="6268" spans="1:12" s="692" customFormat="1" ht="16.5" hidden="1">
      <c r="A6268" s="1665"/>
      <c r="B6268" s="1666"/>
      <c r="C6268" s="688"/>
      <c r="D6268" s="1667"/>
      <c r="E6268" s="1671">
        <v>3.5</v>
      </c>
      <c r="F6268" s="1671">
        <v>4</v>
      </c>
      <c r="G6268" s="1674"/>
      <c r="H6268" s="1671">
        <f t="shared" si="1149"/>
        <v>0</v>
      </c>
      <c r="I6268" s="688" t="s">
        <v>92</v>
      </c>
      <c r="J6268" s="1669"/>
      <c r="K6268" s="1668"/>
      <c r="L6268" s="1669"/>
    </row>
    <row r="6269" spans="1:12" s="692" customFormat="1" ht="16.5" hidden="1">
      <c r="A6269" s="1665"/>
      <c r="B6269" s="1666"/>
      <c r="C6269" s="688"/>
      <c r="D6269" s="1667"/>
      <c r="E6269" s="1671">
        <v>3.5</v>
      </c>
      <c r="F6269" s="1671">
        <v>4</v>
      </c>
      <c r="G6269" s="1674"/>
      <c r="H6269" s="1671">
        <f t="shared" si="1149"/>
        <v>0</v>
      </c>
      <c r="I6269" s="688" t="s">
        <v>92</v>
      </c>
      <c r="J6269" s="1669"/>
      <c r="K6269" s="1668"/>
      <c r="L6269" s="1669"/>
    </row>
    <row r="6270" spans="1:12" s="692" customFormat="1" ht="16.5" hidden="1">
      <c r="A6270" s="1665"/>
      <c r="B6270" s="1666"/>
      <c r="C6270" s="688"/>
      <c r="D6270" s="1667"/>
      <c r="E6270" s="1671"/>
      <c r="F6270" s="1671"/>
      <c r="G6270" s="1674" t="s">
        <v>928</v>
      </c>
      <c r="H6270" s="1671">
        <f>SUM(H6264:H6269)</f>
        <v>0</v>
      </c>
      <c r="I6270" s="688" t="s">
        <v>92</v>
      </c>
      <c r="J6270" s="1669" t="e">
        <f>'Lead &amp; ANALYSIS'!L1143</f>
        <v>#REF!</v>
      </c>
      <c r="K6270" s="1668" t="s">
        <v>1516</v>
      </c>
      <c r="L6270" s="1669" t="e">
        <f>ROUND(H6270*J6270,0)</f>
        <v>#REF!</v>
      </c>
    </row>
    <row r="6271" spans="1:12" s="692" customFormat="1" ht="16.5" hidden="1">
      <c r="A6271" s="1665" t="str">
        <f>'Lead &amp; ANALYSIS'!A1144</f>
        <v xml:space="preserve">B. </v>
      </c>
      <c r="B6271" s="1675" t="str">
        <f>'Lead &amp; ANALYSIS'!B1144</f>
        <v>2ND DEPTH OF 1.5MTR.</v>
      </c>
      <c r="C6271" s="688"/>
      <c r="D6271" s="1667"/>
      <c r="E6271" s="688"/>
      <c r="F6271" s="688"/>
      <c r="G6271" s="1674"/>
      <c r="H6271" s="688"/>
      <c r="I6271" s="1668"/>
      <c r="J6271" s="1668"/>
      <c r="K6271" s="1668"/>
      <c r="L6271" s="1669"/>
    </row>
    <row r="6272" spans="1:12" s="692" customFormat="1" ht="16.5" hidden="1">
      <c r="A6272" s="1665" t="str">
        <f>'Lead &amp; ANALYSIS'!A1145</f>
        <v>i</v>
      </c>
      <c r="B6272" s="1666" t="str">
        <f>'Lead &amp; ANALYSIS'!B1145</f>
        <v>i.Ordinary Soil.</v>
      </c>
      <c r="C6272" s="688"/>
      <c r="D6272" s="1667"/>
      <c r="E6272" s="688"/>
      <c r="F6272" s="688"/>
      <c r="G6272" s="1674"/>
      <c r="H6272" s="688"/>
      <c r="I6272" s="1668"/>
      <c r="J6272" s="1668"/>
      <c r="K6272" s="1668"/>
      <c r="L6272" s="1669"/>
    </row>
    <row r="6273" spans="1:12" s="692" customFormat="1" ht="16.5" hidden="1">
      <c r="A6273" s="1665"/>
      <c r="B6273" s="1666"/>
      <c r="C6273" s="688"/>
      <c r="D6273" s="1667"/>
      <c r="E6273" s="1671">
        <v>3.5</v>
      </c>
      <c r="F6273" s="1671">
        <v>4</v>
      </c>
      <c r="G6273" s="1674"/>
      <c r="H6273" s="1671">
        <f t="shared" ref="H6273:H6278" si="1150">ROUND(D6273*E6273*F6273,2)</f>
        <v>0</v>
      </c>
      <c r="I6273" s="688" t="s">
        <v>92</v>
      </c>
      <c r="J6273" s="1668"/>
      <c r="K6273" s="1668"/>
      <c r="L6273" s="1669"/>
    </row>
    <row r="6274" spans="1:12" s="692" customFormat="1" ht="16.5" hidden="1">
      <c r="A6274" s="1665"/>
      <c r="B6274" s="1666"/>
      <c r="C6274" s="688"/>
      <c r="D6274" s="1667"/>
      <c r="E6274" s="1671">
        <v>3.5</v>
      </c>
      <c r="F6274" s="1671">
        <v>4</v>
      </c>
      <c r="G6274" s="1674"/>
      <c r="H6274" s="1671">
        <f t="shared" si="1150"/>
        <v>0</v>
      </c>
      <c r="I6274" s="688" t="s">
        <v>92</v>
      </c>
      <c r="J6274" s="1668"/>
      <c r="K6274" s="1668"/>
      <c r="L6274" s="1669"/>
    </row>
    <row r="6275" spans="1:12" s="692" customFormat="1" ht="16.5" hidden="1">
      <c r="A6275" s="1665"/>
      <c r="B6275" s="1666"/>
      <c r="C6275" s="688"/>
      <c r="D6275" s="1667"/>
      <c r="E6275" s="1671">
        <v>3.5</v>
      </c>
      <c r="F6275" s="1671">
        <v>4</v>
      </c>
      <c r="G6275" s="1674"/>
      <c r="H6275" s="1671">
        <f t="shared" si="1150"/>
        <v>0</v>
      </c>
      <c r="I6275" s="688" t="s">
        <v>92</v>
      </c>
      <c r="J6275" s="1668"/>
      <c r="K6275" s="1668"/>
      <c r="L6275" s="1669"/>
    </row>
    <row r="6276" spans="1:12" s="692" customFormat="1" ht="16.5" hidden="1">
      <c r="A6276" s="1665"/>
      <c r="B6276" s="1666"/>
      <c r="C6276" s="688"/>
      <c r="D6276" s="1667"/>
      <c r="E6276" s="1671">
        <v>3.5</v>
      </c>
      <c r="F6276" s="1671">
        <v>4</v>
      </c>
      <c r="G6276" s="1674"/>
      <c r="H6276" s="1671">
        <f t="shared" si="1150"/>
        <v>0</v>
      </c>
      <c r="I6276" s="688" t="s">
        <v>92</v>
      </c>
      <c r="J6276" s="1668"/>
      <c r="K6276" s="1668"/>
      <c r="L6276" s="1669"/>
    </row>
    <row r="6277" spans="1:12" s="692" customFormat="1" ht="16.5" hidden="1">
      <c r="A6277" s="1665"/>
      <c r="B6277" s="1666"/>
      <c r="C6277" s="688"/>
      <c r="D6277" s="1667"/>
      <c r="E6277" s="1671">
        <v>3.5</v>
      </c>
      <c r="F6277" s="1671">
        <v>4</v>
      </c>
      <c r="G6277" s="1674"/>
      <c r="H6277" s="1671">
        <f t="shared" si="1150"/>
        <v>0</v>
      </c>
      <c r="I6277" s="688" t="s">
        <v>92</v>
      </c>
      <c r="J6277" s="1668"/>
      <c r="K6277" s="1668"/>
      <c r="L6277" s="1669"/>
    </row>
    <row r="6278" spans="1:12" s="692" customFormat="1" ht="16.5" hidden="1">
      <c r="A6278" s="1665"/>
      <c r="B6278" s="1666"/>
      <c r="C6278" s="688"/>
      <c r="D6278" s="1667"/>
      <c r="E6278" s="1671">
        <v>3.5</v>
      </c>
      <c r="F6278" s="1671">
        <v>4</v>
      </c>
      <c r="G6278" s="1674"/>
      <c r="H6278" s="1671">
        <f t="shared" si="1150"/>
        <v>0</v>
      </c>
      <c r="I6278" s="688" t="s">
        <v>92</v>
      </c>
      <c r="J6278" s="1668"/>
      <c r="K6278" s="1668"/>
      <c r="L6278" s="1669"/>
    </row>
    <row r="6279" spans="1:12" s="692" customFormat="1" ht="16.5" hidden="1">
      <c r="A6279" s="1665"/>
      <c r="B6279" s="1666"/>
      <c r="C6279" s="688"/>
      <c r="D6279" s="1667"/>
      <c r="E6279" s="1671"/>
      <c r="F6279" s="1671"/>
      <c r="G6279" s="1674" t="s">
        <v>928</v>
      </c>
      <c r="H6279" s="1671">
        <f>SUM(H6273:H6278)</f>
        <v>0</v>
      </c>
      <c r="I6279" s="688" t="s">
        <v>92</v>
      </c>
      <c r="J6279" s="1669" t="e">
        <f>'Lead &amp; ANALYSIS'!L1145</f>
        <v>#REF!</v>
      </c>
      <c r="K6279" s="1668" t="s">
        <v>1516</v>
      </c>
      <c r="L6279" s="1669" t="e">
        <f>ROUND(H6279*J6279,0)</f>
        <v>#REF!</v>
      </c>
    </row>
    <row r="6280" spans="1:12" s="692" customFormat="1" ht="16.5" hidden="1">
      <c r="A6280" s="1665" t="str">
        <f>'Lead &amp; ANALYSIS'!A1146</f>
        <v>ii</v>
      </c>
      <c r="B6280" s="1666" t="str">
        <f>'Lead &amp; ANALYSIS'!B1146</f>
        <v>ii.Slushy Soil</v>
      </c>
      <c r="C6280" s="688"/>
      <c r="D6280" s="1667"/>
      <c r="E6280" s="688"/>
      <c r="F6280" s="688"/>
      <c r="G6280" s="1674"/>
      <c r="H6280" s="688"/>
      <c r="I6280" s="1668"/>
      <c r="J6280" s="1669"/>
      <c r="K6280" s="1668"/>
      <c r="L6280" s="1669"/>
    </row>
    <row r="6281" spans="1:12" s="692" customFormat="1" ht="16.5" hidden="1">
      <c r="A6281" s="1665"/>
      <c r="B6281" s="1666"/>
      <c r="C6281" s="688"/>
      <c r="D6281" s="1667"/>
      <c r="E6281" s="1671">
        <v>3.5</v>
      </c>
      <c r="F6281" s="1671">
        <v>4</v>
      </c>
      <c r="G6281" s="1674"/>
      <c r="H6281" s="1671">
        <f t="shared" ref="H6281:H6286" si="1151">ROUND(D6281*E6281*F6281,2)</f>
        <v>0</v>
      </c>
      <c r="I6281" s="688" t="s">
        <v>92</v>
      </c>
      <c r="J6281" s="1669"/>
      <c r="K6281" s="1668"/>
      <c r="L6281" s="1669"/>
    </row>
    <row r="6282" spans="1:12" s="692" customFormat="1" ht="16.5" hidden="1">
      <c r="A6282" s="1665"/>
      <c r="B6282" s="1666"/>
      <c r="C6282" s="688"/>
      <c r="D6282" s="1667"/>
      <c r="E6282" s="1671">
        <v>3.5</v>
      </c>
      <c r="F6282" s="1671">
        <v>4</v>
      </c>
      <c r="G6282" s="1674"/>
      <c r="H6282" s="1671">
        <f t="shared" si="1151"/>
        <v>0</v>
      </c>
      <c r="I6282" s="688" t="s">
        <v>92</v>
      </c>
      <c r="J6282" s="1669"/>
      <c r="K6282" s="1668"/>
      <c r="L6282" s="1669"/>
    </row>
    <row r="6283" spans="1:12" s="692" customFormat="1" ht="16.5" hidden="1">
      <c r="A6283" s="1665"/>
      <c r="B6283" s="1666"/>
      <c r="C6283" s="688"/>
      <c r="D6283" s="1667"/>
      <c r="E6283" s="1671">
        <v>3.5</v>
      </c>
      <c r="F6283" s="1671">
        <v>4</v>
      </c>
      <c r="G6283" s="1674"/>
      <c r="H6283" s="1671">
        <f t="shared" si="1151"/>
        <v>0</v>
      </c>
      <c r="I6283" s="688" t="s">
        <v>92</v>
      </c>
      <c r="J6283" s="1669"/>
      <c r="K6283" s="1668"/>
      <c r="L6283" s="1669"/>
    </row>
    <row r="6284" spans="1:12" s="692" customFormat="1" ht="16.5" hidden="1">
      <c r="A6284" s="1665"/>
      <c r="B6284" s="1666"/>
      <c r="C6284" s="688"/>
      <c r="D6284" s="1667"/>
      <c r="E6284" s="1671">
        <v>3.5</v>
      </c>
      <c r="F6284" s="1671">
        <v>4</v>
      </c>
      <c r="G6284" s="1674"/>
      <c r="H6284" s="1671">
        <f t="shared" si="1151"/>
        <v>0</v>
      </c>
      <c r="I6284" s="688" t="s">
        <v>92</v>
      </c>
      <c r="J6284" s="1669"/>
      <c r="K6284" s="1668"/>
      <c r="L6284" s="1669"/>
    </row>
    <row r="6285" spans="1:12" s="692" customFormat="1" ht="16.5" hidden="1">
      <c r="A6285" s="1665"/>
      <c r="B6285" s="1666"/>
      <c r="C6285" s="688"/>
      <c r="D6285" s="1667"/>
      <c r="E6285" s="1671">
        <v>3.5</v>
      </c>
      <c r="F6285" s="1671">
        <v>4</v>
      </c>
      <c r="G6285" s="1674"/>
      <c r="H6285" s="1671">
        <f t="shared" si="1151"/>
        <v>0</v>
      </c>
      <c r="I6285" s="688" t="s">
        <v>92</v>
      </c>
      <c r="J6285" s="1669"/>
      <c r="K6285" s="1668"/>
      <c r="L6285" s="1669"/>
    </row>
    <row r="6286" spans="1:12" s="692" customFormat="1" ht="16.5" hidden="1">
      <c r="A6286" s="1665"/>
      <c r="B6286" s="1666"/>
      <c r="C6286" s="688"/>
      <c r="D6286" s="1667"/>
      <c r="E6286" s="1671">
        <v>3.5</v>
      </c>
      <c r="F6286" s="1671">
        <v>4</v>
      </c>
      <c r="G6286" s="1674"/>
      <c r="H6286" s="1671">
        <f t="shared" si="1151"/>
        <v>0</v>
      </c>
      <c r="I6286" s="688" t="s">
        <v>92</v>
      </c>
      <c r="J6286" s="1669"/>
      <c r="K6286" s="1668"/>
      <c r="L6286" s="1669"/>
    </row>
    <row r="6287" spans="1:12" s="692" customFormat="1" ht="16.5" hidden="1">
      <c r="A6287" s="1665"/>
      <c r="B6287" s="1666"/>
      <c r="C6287" s="688"/>
      <c r="D6287" s="1667"/>
      <c r="E6287" s="1671"/>
      <c r="F6287" s="1671"/>
      <c r="G6287" s="1674" t="s">
        <v>928</v>
      </c>
      <c r="H6287" s="1671">
        <f>SUM(H6281:H6286)</f>
        <v>0</v>
      </c>
      <c r="I6287" s="688" t="s">
        <v>92</v>
      </c>
      <c r="J6287" s="1669" t="e">
        <f>'Lead &amp; ANALYSIS'!L1146</f>
        <v>#REF!</v>
      </c>
      <c r="K6287" s="1668" t="s">
        <v>1516</v>
      </c>
      <c r="L6287" s="1669" t="e">
        <f>ROUND(H6287*J6287,0)</f>
        <v>#REF!</v>
      </c>
    </row>
    <row r="6288" spans="1:12" s="692" customFormat="1" ht="16.5" hidden="1">
      <c r="A6288" s="1665" t="str">
        <f>'Lead &amp; ANALYSIS'!A1147</f>
        <v>iii</v>
      </c>
      <c r="B6288" s="1666" t="str">
        <f>'Lead &amp; ANALYSIS'!B1147</f>
        <v>iii.Hard Sooil</v>
      </c>
      <c r="C6288" s="688"/>
      <c r="D6288" s="1667"/>
      <c r="E6288" s="688"/>
      <c r="F6288" s="688"/>
      <c r="G6288" s="1674"/>
      <c r="H6288" s="688"/>
      <c r="I6288" s="1668"/>
      <c r="J6288" s="1669"/>
      <c r="K6288" s="1668"/>
      <c r="L6288" s="1669"/>
    </row>
    <row r="6289" spans="1:12" s="692" customFormat="1" ht="16.5" hidden="1">
      <c r="A6289" s="1665"/>
      <c r="B6289" s="1666"/>
      <c r="C6289" s="688"/>
      <c r="D6289" s="1667"/>
      <c r="E6289" s="1671">
        <v>3.5</v>
      </c>
      <c r="F6289" s="1671">
        <v>4</v>
      </c>
      <c r="G6289" s="1674"/>
      <c r="H6289" s="1671">
        <f t="shared" ref="H6289:H6294" si="1152">ROUND(D6289*E6289*F6289,2)</f>
        <v>0</v>
      </c>
      <c r="I6289" s="688" t="s">
        <v>92</v>
      </c>
      <c r="J6289" s="1669"/>
      <c r="K6289" s="1668"/>
      <c r="L6289" s="1669"/>
    </row>
    <row r="6290" spans="1:12" s="692" customFormat="1" ht="16.5" hidden="1">
      <c r="A6290" s="1665"/>
      <c r="B6290" s="1666"/>
      <c r="C6290" s="688"/>
      <c r="D6290" s="1667"/>
      <c r="E6290" s="1671">
        <v>3.5</v>
      </c>
      <c r="F6290" s="1671">
        <v>4</v>
      </c>
      <c r="G6290" s="1674"/>
      <c r="H6290" s="1671">
        <f t="shared" si="1152"/>
        <v>0</v>
      </c>
      <c r="I6290" s="688" t="s">
        <v>92</v>
      </c>
      <c r="J6290" s="1669"/>
      <c r="K6290" s="1668"/>
      <c r="L6290" s="1669"/>
    </row>
    <row r="6291" spans="1:12" s="692" customFormat="1" ht="16.5" hidden="1">
      <c r="A6291" s="1665"/>
      <c r="B6291" s="1666"/>
      <c r="C6291" s="688"/>
      <c r="D6291" s="1667"/>
      <c r="E6291" s="1671">
        <v>3.5</v>
      </c>
      <c r="F6291" s="1671">
        <v>4</v>
      </c>
      <c r="G6291" s="1674"/>
      <c r="H6291" s="1671">
        <f t="shared" si="1152"/>
        <v>0</v>
      </c>
      <c r="I6291" s="688" t="s">
        <v>92</v>
      </c>
      <c r="J6291" s="1669"/>
      <c r="K6291" s="1668"/>
      <c r="L6291" s="1669"/>
    </row>
    <row r="6292" spans="1:12" s="692" customFormat="1" ht="16.5" hidden="1">
      <c r="A6292" s="1665"/>
      <c r="B6292" s="1666"/>
      <c r="C6292" s="688"/>
      <c r="D6292" s="1667"/>
      <c r="E6292" s="1671">
        <v>3.5</v>
      </c>
      <c r="F6292" s="1671">
        <v>4</v>
      </c>
      <c r="G6292" s="1674"/>
      <c r="H6292" s="1671">
        <f t="shared" si="1152"/>
        <v>0</v>
      </c>
      <c r="I6292" s="688" t="s">
        <v>92</v>
      </c>
      <c r="J6292" s="1669"/>
      <c r="K6292" s="1668"/>
      <c r="L6292" s="1669"/>
    </row>
    <row r="6293" spans="1:12" s="692" customFormat="1" ht="16.5" hidden="1">
      <c r="A6293" s="1665"/>
      <c r="B6293" s="1666"/>
      <c r="C6293" s="688"/>
      <c r="D6293" s="1667"/>
      <c r="E6293" s="1671">
        <v>3.5</v>
      </c>
      <c r="F6293" s="1671">
        <v>4</v>
      </c>
      <c r="G6293" s="1674"/>
      <c r="H6293" s="1671">
        <f t="shared" si="1152"/>
        <v>0</v>
      </c>
      <c r="I6293" s="688" t="s">
        <v>92</v>
      </c>
      <c r="J6293" s="1669"/>
      <c r="K6293" s="1668"/>
      <c r="L6293" s="1669"/>
    </row>
    <row r="6294" spans="1:12" s="692" customFormat="1" ht="16.5" hidden="1">
      <c r="A6294" s="1665"/>
      <c r="B6294" s="1666"/>
      <c r="C6294" s="688"/>
      <c r="D6294" s="1667"/>
      <c r="E6294" s="1671">
        <v>3.5</v>
      </c>
      <c r="F6294" s="1671">
        <v>4</v>
      </c>
      <c r="G6294" s="1674"/>
      <c r="H6294" s="1671">
        <f t="shared" si="1152"/>
        <v>0</v>
      </c>
      <c r="I6294" s="688" t="s">
        <v>92</v>
      </c>
      <c r="J6294" s="1669"/>
      <c r="K6294" s="1668"/>
      <c r="L6294" s="1669"/>
    </row>
    <row r="6295" spans="1:12" s="692" customFormat="1" ht="16.5" hidden="1">
      <c r="A6295" s="1665"/>
      <c r="B6295" s="1666"/>
      <c r="C6295" s="688"/>
      <c r="D6295" s="1667"/>
      <c r="E6295" s="1671"/>
      <c r="F6295" s="1671"/>
      <c r="G6295" s="1674" t="s">
        <v>928</v>
      </c>
      <c r="H6295" s="1671">
        <f>SUM(H6289:H6294)</f>
        <v>0</v>
      </c>
      <c r="I6295" s="688" t="s">
        <v>92</v>
      </c>
      <c r="J6295" s="1669" t="e">
        <f>'Lead &amp; ANALYSIS'!L1147</f>
        <v>#REF!</v>
      </c>
      <c r="K6295" s="1668" t="s">
        <v>1516</v>
      </c>
      <c r="L6295" s="1669" t="e">
        <f>ROUND(H6295*J6295,0)</f>
        <v>#REF!</v>
      </c>
    </row>
    <row r="6296" spans="1:12" s="692" customFormat="1" ht="16.5" hidden="1">
      <c r="A6296" s="1665" t="str">
        <f>'Lead &amp; ANALYSIS'!A1148</f>
        <v>iv</v>
      </c>
      <c r="B6296" s="1666" t="str">
        <f>'Lead &amp; ANALYSIS'!B1148</f>
        <v>IV.Stony Earth</v>
      </c>
      <c r="C6296" s="688"/>
      <c r="D6296" s="1667"/>
      <c r="E6296" s="688"/>
      <c r="F6296" s="688"/>
      <c r="G6296" s="1674"/>
      <c r="H6296" s="688"/>
      <c r="I6296" s="1668"/>
      <c r="J6296" s="1669"/>
      <c r="K6296" s="1668"/>
      <c r="L6296" s="1669"/>
    </row>
    <row r="6297" spans="1:12" s="692" customFormat="1" ht="16.5" hidden="1">
      <c r="A6297" s="1665"/>
      <c r="B6297" s="1666"/>
      <c r="C6297" s="688"/>
      <c r="D6297" s="1667"/>
      <c r="E6297" s="1671">
        <v>3.5</v>
      </c>
      <c r="F6297" s="1671">
        <v>4</v>
      </c>
      <c r="G6297" s="1674"/>
      <c r="H6297" s="1671">
        <f t="shared" ref="H6297:H6302" si="1153">ROUND(D6297*E6297*F6297,2)</f>
        <v>0</v>
      </c>
      <c r="I6297" s="688" t="s">
        <v>92</v>
      </c>
      <c r="J6297" s="1669"/>
      <c r="K6297" s="1668"/>
      <c r="L6297" s="1669"/>
    </row>
    <row r="6298" spans="1:12" s="692" customFormat="1" ht="16.5" hidden="1">
      <c r="A6298" s="1665"/>
      <c r="B6298" s="1666"/>
      <c r="C6298" s="688"/>
      <c r="D6298" s="1667"/>
      <c r="E6298" s="1671">
        <v>3.5</v>
      </c>
      <c r="F6298" s="1671">
        <v>4</v>
      </c>
      <c r="G6298" s="1674"/>
      <c r="H6298" s="1671">
        <f t="shared" si="1153"/>
        <v>0</v>
      </c>
      <c r="I6298" s="688" t="s">
        <v>92</v>
      </c>
      <c r="J6298" s="1669"/>
      <c r="K6298" s="1668"/>
      <c r="L6298" s="1669"/>
    </row>
    <row r="6299" spans="1:12" s="692" customFormat="1" ht="16.5" hidden="1">
      <c r="A6299" s="1665"/>
      <c r="B6299" s="1666"/>
      <c r="C6299" s="688"/>
      <c r="D6299" s="1667"/>
      <c r="E6299" s="1671">
        <v>3.5</v>
      </c>
      <c r="F6299" s="1671">
        <v>4</v>
      </c>
      <c r="G6299" s="1674"/>
      <c r="H6299" s="1671">
        <f t="shared" si="1153"/>
        <v>0</v>
      </c>
      <c r="I6299" s="688" t="s">
        <v>92</v>
      </c>
      <c r="J6299" s="1669"/>
      <c r="K6299" s="1668"/>
      <c r="L6299" s="1669"/>
    </row>
    <row r="6300" spans="1:12" s="692" customFormat="1" ht="16.5" hidden="1">
      <c r="A6300" s="1665"/>
      <c r="B6300" s="1666"/>
      <c r="C6300" s="688"/>
      <c r="D6300" s="1667"/>
      <c r="E6300" s="1671">
        <v>3.5</v>
      </c>
      <c r="F6300" s="1671">
        <v>4</v>
      </c>
      <c r="G6300" s="1674"/>
      <c r="H6300" s="1671">
        <f t="shared" si="1153"/>
        <v>0</v>
      </c>
      <c r="I6300" s="688" t="s">
        <v>92</v>
      </c>
      <c r="J6300" s="1669"/>
      <c r="K6300" s="1668"/>
      <c r="L6300" s="1669"/>
    </row>
    <row r="6301" spans="1:12" s="692" customFormat="1" ht="16.5" hidden="1">
      <c r="A6301" s="1665"/>
      <c r="B6301" s="1666"/>
      <c r="C6301" s="688"/>
      <c r="D6301" s="1667"/>
      <c r="E6301" s="1671">
        <v>3.5</v>
      </c>
      <c r="F6301" s="1671">
        <v>4</v>
      </c>
      <c r="G6301" s="1674"/>
      <c r="H6301" s="1671">
        <f t="shared" si="1153"/>
        <v>0</v>
      </c>
      <c r="I6301" s="688" t="s">
        <v>92</v>
      </c>
      <c r="J6301" s="1669"/>
      <c r="K6301" s="1668"/>
      <c r="L6301" s="1669"/>
    </row>
    <row r="6302" spans="1:12" s="692" customFormat="1" ht="16.5" hidden="1">
      <c r="A6302" s="1665"/>
      <c r="B6302" s="1666"/>
      <c r="C6302" s="688"/>
      <c r="D6302" s="1667"/>
      <c r="E6302" s="1671">
        <v>3.5</v>
      </c>
      <c r="F6302" s="1671">
        <v>4</v>
      </c>
      <c r="G6302" s="1674"/>
      <c r="H6302" s="1671">
        <f t="shared" si="1153"/>
        <v>0</v>
      </c>
      <c r="I6302" s="688" t="s">
        <v>92</v>
      </c>
      <c r="J6302" s="1669"/>
      <c r="K6302" s="1668"/>
      <c r="L6302" s="1669"/>
    </row>
    <row r="6303" spans="1:12" s="692" customFormat="1" ht="16.5" hidden="1">
      <c r="A6303" s="1665"/>
      <c r="B6303" s="1666"/>
      <c r="C6303" s="688"/>
      <c r="D6303" s="1667"/>
      <c r="E6303" s="1671"/>
      <c r="F6303" s="1671"/>
      <c r="G6303" s="1674" t="s">
        <v>928</v>
      </c>
      <c r="H6303" s="1671">
        <f>SUM(H6297:H6302)</f>
        <v>0</v>
      </c>
      <c r="I6303" s="688" t="s">
        <v>92</v>
      </c>
      <c r="J6303" s="1669" t="e">
        <f>'Lead &amp; ANALYSIS'!L1148</f>
        <v>#REF!</v>
      </c>
      <c r="K6303" s="1668" t="s">
        <v>1516</v>
      </c>
      <c r="L6303" s="1669" t="e">
        <f>ROUND(H6303*J6303,0)</f>
        <v>#REF!</v>
      </c>
    </row>
    <row r="6304" spans="1:12" s="692" customFormat="1" ht="16.5" hidden="1">
      <c r="A6304" s="1665" t="str">
        <f>'Lead &amp; ANALYSIS'!A1149</f>
        <v>v</v>
      </c>
      <c r="B6304" s="1666" t="str">
        <f>'Lead &amp; ANALYSIS'!B1149</f>
        <v>V.All Kinds of Soil</v>
      </c>
      <c r="C6304" s="688"/>
      <c r="D6304" s="1667"/>
      <c r="E6304" s="688"/>
      <c r="F6304" s="688"/>
      <c r="G6304" s="1674"/>
      <c r="H6304" s="688"/>
      <c r="I6304" s="1668"/>
      <c r="J6304" s="1669"/>
      <c r="K6304" s="1668"/>
      <c r="L6304" s="1669"/>
    </row>
    <row r="6305" spans="1:12" s="692" customFormat="1" ht="16.5" hidden="1">
      <c r="A6305" s="1665"/>
      <c r="B6305" s="1666"/>
      <c r="C6305" s="688"/>
      <c r="D6305" s="1667"/>
      <c r="E6305" s="1671">
        <v>3.5</v>
      </c>
      <c r="F6305" s="1671">
        <v>4</v>
      </c>
      <c r="G6305" s="1674"/>
      <c r="H6305" s="1671">
        <f t="shared" ref="H6305:H6310" si="1154">ROUND(D6305*E6305*F6305,2)</f>
        <v>0</v>
      </c>
      <c r="I6305" s="688" t="s">
        <v>92</v>
      </c>
      <c r="J6305" s="1669"/>
      <c r="K6305" s="1668"/>
      <c r="L6305" s="1669"/>
    </row>
    <row r="6306" spans="1:12" s="692" customFormat="1" ht="16.5" hidden="1">
      <c r="A6306" s="1665"/>
      <c r="B6306" s="1666"/>
      <c r="C6306" s="688"/>
      <c r="D6306" s="1667"/>
      <c r="E6306" s="1671">
        <v>3.5</v>
      </c>
      <c r="F6306" s="1671">
        <v>4</v>
      </c>
      <c r="G6306" s="1674"/>
      <c r="H6306" s="1671">
        <f t="shared" si="1154"/>
        <v>0</v>
      </c>
      <c r="I6306" s="688" t="s">
        <v>92</v>
      </c>
      <c r="J6306" s="1669"/>
      <c r="K6306" s="1668"/>
      <c r="L6306" s="1669"/>
    </row>
    <row r="6307" spans="1:12" s="692" customFormat="1" ht="16.5" hidden="1">
      <c r="A6307" s="1665"/>
      <c r="B6307" s="1666"/>
      <c r="C6307" s="688"/>
      <c r="D6307" s="1667"/>
      <c r="E6307" s="1671">
        <v>3.5</v>
      </c>
      <c r="F6307" s="1671">
        <v>4</v>
      </c>
      <c r="G6307" s="1674"/>
      <c r="H6307" s="1671">
        <f t="shared" si="1154"/>
        <v>0</v>
      </c>
      <c r="I6307" s="688" t="s">
        <v>92</v>
      </c>
      <c r="J6307" s="1669"/>
      <c r="K6307" s="1668"/>
      <c r="L6307" s="1669"/>
    </row>
    <row r="6308" spans="1:12" s="692" customFormat="1" ht="16.5" hidden="1">
      <c r="A6308" s="1665"/>
      <c r="B6308" s="1666"/>
      <c r="C6308" s="688"/>
      <c r="D6308" s="1667"/>
      <c r="E6308" s="1671">
        <v>3.5</v>
      </c>
      <c r="F6308" s="1671">
        <v>4</v>
      </c>
      <c r="G6308" s="1674"/>
      <c r="H6308" s="1671">
        <f t="shared" si="1154"/>
        <v>0</v>
      </c>
      <c r="I6308" s="688" t="s">
        <v>92</v>
      </c>
      <c r="J6308" s="1669"/>
      <c r="K6308" s="1668"/>
      <c r="L6308" s="1669"/>
    </row>
    <row r="6309" spans="1:12" s="692" customFormat="1" ht="16.5" hidden="1">
      <c r="A6309" s="1665"/>
      <c r="B6309" s="1666"/>
      <c r="C6309" s="688"/>
      <c r="D6309" s="1667"/>
      <c r="E6309" s="1671">
        <v>3.5</v>
      </c>
      <c r="F6309" s="1671">
        <v>4</v>
      </c>
      <c r="G6309" s="1674"/>
      <c r="H6309" s="1671">
        <f t="shared" si="1154"/>
        <v>0</v>
      </c>
      <c r="I6309" s="688" t="s">
        <v>92</v>
      </c>
      <c r="J6309" s="1669"/>
      <c r="K6309" s="1668"/>
      <c r="L6309" s="1669"/>
    </row>
    <row r="6310" spans="1:12" s="692" customFormat="1" ht="16.5" hidden="1">
      <c r="A6310" s="1665"/>
      <c r="B6310" s="1666"/>
      <c r="C6310" s="688"/>
      <c r="D6310" s="1667"/>
      <c r="E6310" s="1671">
        <v>3.5</v>
      </c>
      <c r="F6310" s="1671">
        <v>4</v>
      </c>
      <c r="G6310" s="1674"/>
      <c r="H6310" s="1671">
        <f t="shared" si="1154"/>
        <v>0</v>
      </c>
      <c r="I6310" s="688" t="s">
        <v>92</v>
      </c>
      <c r="J6310" s="1669"/>
      <c r="K6310" s="1668"/>
      <c r="L6310" s="1669"/>
    </row>
    <row r="6311" spans="1:12" s="692" customFormat="1" ht="16.5" hidden="1">
      <c r="A6311" s="1665"/>
      <c r="B6311" s="1666"/>
      <c r="C6311" s="688"/>
      <c r="D6311" s="1667"/>
      <c r="E6311" s="1671"/>
      <c r="F6311" s="1671"/>
      <c r="G6311" s="1674" t="s">
        <v>928</v>
      </c>
      <c r="H6311" s="1671">
        <f>SUM(H6305:H6310)</f>
        <v>0</v>
      </c>
      <c r="I6311" s="688" t="s">
        <v>92</v>
      </c>
      <c r="J6311" s="1669" t="e">
        <f>'Lead &amp; ANALYSIS'!L1149</f>
        <v>#REF!</v>
      </c>
      <c r="K6311" s="1668" t="s">
        <v>1516</v>
      </c>
      <c r="L6311" s="1669" t="e">
        <f>ROUND(H6311*J6311,0)</f>
        <v>#REF!</v>
      </c>
    </row>
    <row r="6312" spans="1:12" s="692" customFormat="1" ht="16.5" hidden="1">
      <c r="A6312" s="1665" t="str">
        <f>'Lead &amp; ANALYSIS'!A1150</f>
        <v>C.</v>
      </c>
      <c r="B6312" s="1675" t="str">
        <f>'Lead &amp; ANALYSIS'!B1150</f>
        <v xml:space="preserve"> 3RD DEPTH OF 1.5MTR.</v>
      </c>
      <c r="C6312" s="688"/>
      <c r="D6312" s="1667"/>
      <c r="E6312" s="688"/>
      <c r="F6312" s="688"/>
      <c r="G6312" s="1674"/>
      <c r="H6312" s="688"/>
      <c r="I6312" s="1668"/>
      <c r="J6312" s="1669"/>
      <c r="K6312" s="1668"/>
      <c r="L6312" s="1669"/>
    </row>
    <row r="6313" spans="1:12" s="692" customFormat="1" ht="16.5" hidden="1">
      <c r="A6313" s="1665" t="str">
        <f>'Lead &amp; ANALYSIS'!A1151</f>
        <v>i</v>
      </c>
      <c r="B6313" s="1666" t="str">
        <f>'Lead &amp; ANALYSIS'!B1151</f>
        <v>i.Ordinary Soil.</v>
      </c>
      <c r="C6313" s="688"/>
      <c r="D6313" s="1667"/>
      <c r="E6313" s="688"/>
      <c r="F6313" s="688"/>
      <c r="G6313" s="1674"/>
      <c r="H6313" s="688"/>
      <c r="I6313" s="1668"/>
      <c r="J6313" s="1668"/>
      <c r="K6313" s="1668"/>
      <c r="L6313" s="1669"/>
    </row>
    <row r="6314" spans="1:12" s="692" customFormat="1" ht="16.5" hidden="1">
      <c r="A6314" s="1665"/>
      <c r="B6314" s="1666"/>
      <c r="C6314" s="688"/>
      <c r="D6314" s="1667"/>
      <c r="E6314" s="1671">
        <v>3.5</v>
      </c>
      <c r="F6314" s="1671">
        <v>4</v>
      </c>
      <c r="G6314" s="1674"/>
      <c r="H6314" s="1671">
        <f t="shared" ref="H6314:H6319" si="1155">ROUND(D6314*E6314*F6314,2)</f>
        <v>0</v>
      </c>
      <c r="I6314" s="688" t="s">
        <v>92</v>
      </c>
      <c r="J6314" s="1668"/>
      <c r="K6314" s="1668"/>
      <c r="L6314" s="1669"/>
    </row>
    <row r="6315" spans="1:12" s="692" customFormat="1" ht="16.5" hidden="1">
      <c r="A6315" s="1665"/>
      <c r="B6315" s="1666"/>
      <c r="C6315" s="688"/>
      <c r="D6315" s="1667"/>
      <c r="E6315" s="1671">
        <v>3.5</v>
      </c>
      <c r="F6315" s="1671">
        <v>4</v>
      </c>
      <c r="G6315" s="1674"/>
      <c r="H6315" s="1671">
        <f t="shared" si="1155"/>
        <v>0</v>
      </c>
      <c r="I6315" s="688" t="s">
        <v>92</v>
      </c>
      <c r="J6315" s="1668"/>
      <c r="K6315" s="1668"/>
      <c r="L6315" s="1669"/>
    </row>
    <row r="6316" spans="1:12" s="692" customFormat="1" ht="16.5" hidden="1">
      <c r="A6316" s="1665"/>
      <c r="B6316" s="1666"/>
      <c r="C6316" s="688"/>
      <c r="D6316" s="1667"/>
      <c r="E6316" s="1671">
        <v>3.5</v>
      </c>
      <c r="F6316" s="1671">
        <v>4</v>
      </c>
      <c r="G6316" s="1674"/>
      <c r="H6316" s="1671">
        <f t="shared" si="1155"/>
        <v>0</v>
      </c>
      <c r="I6316" s="688" t="s">
        <v>92</v>
      </c>
      <c r="J6316" s="1668"/>
      <c r="K6316" s="1668"/>
      <c r="L6316" s="1669"/>
    </row>
    <row r="6317" spans="1:12" s="692" customFormat="1" ht="16.5" hidden="1">
      <c r="A6317" s="1665"/>
      <c r="B6317" s="1666"/>
      <c r="C6317" s="688"/>
      <c r="D6317" s="1667"/>
      <c r="E6317" s="1671">
        <v>3.5</v>
      </c>
      <c r="F6317" s="1671">
        <v>4</v>
      </c>
      <c r="G6317" s="1674"/>
      <c r="H6317" s="1671">
        <f t="shared" si="1155"/>
        <v>0</v>
      </c>
      <c r="I6317" s="688" t="s">
        <v>92</v>
      </c>
      <c r="J6317" s="1668"/>
      <c r="K6317" s="1668"/>
      <c r="L6317" s="1669"/>
    </row>
    <row r="6318" spans="1:12" s="692" customFormat="1" ht="16.5" hidden="1">
      <c r="A6318" s="1665"/>
      <c r="B6318" s="1666"/>
      <c r="C6318" s="688"/>
      <c r="D6318" s="1667"/>
      <c r="E6318" s="1671">
        <v>3.5</v>
      </c>
      <c r="F6318" s="1671">
        <v>4</v>
      </c>
      <c r="G6318" s="1674"/>
      <c r="H6318" s="1671">
        <f t="shared" si="1155"/>
        <v>0</v>
      </c>
      <c r="I6318" s="688" t="s">
        <v>92</v>
      </c>
      <c r="J6318" s="1668"/>
      <c r="K6318" s="1668"/>
      <c r="L6318" s="1669"/>
    </row>
    <row r="6319" spans="1:12" s="692" customFormat="1" ht="16.5" hidden="1">
      <c r="A6319" s="1665"/>
      <c r="B6319" s="1666"/>
      <c r="C6319" s="688"/>
      <c r="D6319" s="1667"/>
      <c r="E6319" s="1671">
        <v>3.5</v>
      </c>
      <c r="F6319" s="1671">
        <v>4</v>
      </c>
      <c r="G6319" s="1674"/>
      <c r="H6319" s="1671">
        <f t="shared" si="1155"/>
        <v>0</v>
      </c>
      <c r="I6319" s="688" t="s">
        <v>92</v>
      </c>
      <c r="J6319" s="1668"/>
      <c r="K6319" s="1668"/>
      <c r="L6319" s="1669"/>
    </row>
    <row r="6320" spans="1:12" s="692" customFormat="1" ht="16.5" hidden="1">
      <c r="A6320" s="1665"/>
      <c r="B6320" s="1666"/>
      <c r="C6320" s="688"/>
      <c r="D6320" s="1667"/>
      <c r="E6320" s="1671"/>
      <c r="F6320" s="1671"/>
      <c r="G6320" s="1674" t="s">
        <v>928</v>
      </c>
      <c r="H6320" s="1671">
        <f>SUM(H6314:H6319)</f>
        <v>0</v>
      </c>
      <c r="I6320" s="688" t="s">
        <v>92</v>
      </c>
      <c r="J6320" s="1669" t="e">
        <f>'Lead &amp; ANALYSIS'!L1151</f>
        <v>#REF!</v>
      </c>
      <c r="K6320" s="1668" t="s">
        <v>1516</v>
      </c>
      <c r="L6320" s="1669" t="e">
        <f>ROUND(H6320*J6320,0)</f>
        <v>#REF!</v>
      </c>
    </row>
    <row r="6321" spans="1:12" s="692" customFormat="1" ht="16.5" hidden="1">
      <c r="A6321" s="1665" t="str">
        <f>'Lead &amp; ANALYSIS'!A1152</f>
        <v>ii</v>
      </c>
      <c r="B6321" s="1666" t="str">
        <f>'Lead &amp; ANALYSIS'!B1152</f>
        <v>ii.Slushy Soil</v>
      </c>
      <c r="C6321" s="688"/>
      <c r="D6321" s="1667"/>
      <c r="E6321" s="688"/>
      <c r="F6321" s="688"/>
      <c r="G6321" s="1674"/>
      <c r="H6321" s="688"/>
      <c r="I6321" s="1668"/>
      <c r="J6321" s="1669"/>
      <c r="K6321" s="1668"/>
      <c r="L6321" s="1669"/>
    </row>
    <row r="6322" spans="1:12" s="692" customFormat="1" ht="16.5" hidden="1">
      <c r="A6322" s="1665"/>
      <c r="B6322" s="1666"/>
      <c r="C6322" s="688"/>
      <c r="D6322" s="1667"/>
      <c r="E6322" s="1671">
        <v>3.5</v>
      </c>
      <c r="F6322" s="1671">
        <v>4</v>
      </c>
      <c r="G6322" s="1674"/>
      <c r="H6322" s="1671">
        <f t="shared" ref="H6322:H6327" si="1156">ROUND(D6322*E6322*F6322,2)</f>
        <v>0</v>
      </c>
      <c r="I6322" s="688" t="s">
        <v>92</v>
      </c>
      <c r="J6322" s="1669"/>
      <c r="K6322" s="1668"/>
      <c r="L6322" s="1669"/>
    </row>
    <row r="6323" spans="1:12" s="692" customFormat="1" ht="16.5" hidden="1">
      <c r="A6323" s="1665"/>
      <c r="B6323" s="1666"/>
      <c r="C6323" s="688"/>
      <c r="D6323" s="1667"/>
      <c r="E6323" s="1671">
        <v>3.5</v>
      </c>
      <c r="F6323" s="1671">
        <v>4</v>
      </c>
      <c r="G6323" s="1674"/>
      <c r="H6323" s="1671">
        <f t="shared" si="1156"/>
        <v>0</v>
      </c>
      <c r="I6323" s="688" t="s">
        <v>92</v>
      </c>
      <c r="J6323" s="1669"/>
      <c r="K6323" s="1668"/>
      <c r="L6323" s="1669"/>
    </row>
    <row r="6324" spans="1:12" s="692" customFormat="1" ht="16.5" hidden="1">
      <c r="A6324" s="1665"/>
      <c r="B6324" s="1666"/>
      <c r="C6324" s="688"/>
      <c r="D6324" s="1667"/>
      <c r="E6324" s="1671">
        <v>3.5</v>
      </c>
      <c r="F6324" s="1671">
        <v>4</v>
      </c>
      <c r="G6324" s="1674"/>
      <c r="H6324" s="1671">
        <f t="shared" si="1156"/>
        <v>0</v>
      </c>
      <c r="I6324" s="688" t="s">
        <v>92</v>
      </c>
      <c r="J6324" s="1669"/>
      <c r="K6324" s="1668"/>
      <c r="L6324" s="1669"/>
    </row>
    <row r="6325" spans="1:12" s="692" customFormat="1" ht="16.5" hidden="1">
      <c r="A6325" s="1665"/>
      <c r="B6325" s="1666"/>
      <c r="C6325" s="688"/>
      <c r="D6325" s="1667"/>
      <c r="E6325" s="1671">
        <v>3.5</v>
      </c>
      <c r="F6325" s="1671">
        <v>4</v>
      </c>
      <c r="G6325" s="1674"/>
      <c r="H6325" s="1671">
        <f t="shared" si="1156"/>
        <v>0</v>
      </c>
      <c r="I6325" s="688" t="s">
        <v>92</v>
      </c>
      <c r="J6325" s="1669"/>
      <c r="K6325" s="1668"/>
      <c r="L6325" s="1669"/>
    </row>
    <row r="6326" spans="1:12" s="692" customFormat="1" ht="16.5" hidden="1">
      <c r="A6326" s="1665"/>
      <c r="B6326" s="1666"/>
      <c r="C6326" s="688"/>
      <c r="D6326" s="1667"/>
      <c r="E6326" s="1671">
        <v>3.5</v>
      </c>
      <c r="F6326" s="1671">
        <v>4</v>
      </c>
      <c r="G6326" s="1674"/>
      <c r="H6326" s="1671">
        <f t="shared" si="1156"/>
        <v>0</v>
      </c>
      <c r="I6326" s="688" t="s">
        <v>92</v>
      </c>
      <c r="J6326" s="1669"/>
      <c r="K6326" s="1668"/>
      <c r="L6326" s="1669"/>
    </row>
    <row r="6327" spans="1:12" s="692" customFormat="1" ht="16.5" hidden="1">
      <c r="A6327" s="1665"/>
      <c r="B6327" s="1666"/>
      <c r="C6327" s="688"/>
      <c r="D6327" s="1667"/>
      <c r="E6327" s="1671">
        <v>3.5</v>
      </c>
      <c r="F6327" s="1671">
        <v>4</v>
      </c>
      <c r="G6327" s="1674"/>
      <c r="H6327" s="1671">
        <f t="shared" si="1156"/>
        <v>0</v>
      </c>
      <c r="I6327" s="688" t="s">
        <v>92</v>
      </c>
      <c r="J6327" s="1669"/>
      <c r="K6327" s="1668"/>
      <c r="L6327" s="1669"/>
    </row>
    <row r="6328" spans="1:12" s="692" customFormat="1" ht="16.5" hidden="1">
      <c r="A6328" s="1665"/>
      <c r="B6328" s="1666"/>
      <c r="C6328" s="688"/>
      <c r="D6328" s="1667"/>
      <c r="E6328" s="1671"/>
      <c r="F6328" s="1671"/>
      <c r="G6328" s="1674" t="s">
        <v>928</v>
      </c>
      <c r="H6328" s="1671">
        <f>SUM(H6322:H6327)</f>
        <v>0</v>
      </c>
      <c r="I6328" s="688" t="s">
        <v>92</v>
      </c>
      <c r="J6328" s="1669" t="e">
        <f>'Lead &amp; ANALYSIS'!L1152</f>
        <v>#REF!</v>
      </c>
      <c r="K6328" s="1668" t="s">
        <v>1516</v>
      </c>
      <c r="L6328" s="1669" t="e">
        <f>ROUND(H6328*J6328,0)</f>
        <v>#REF!</v>
      </c>
    </row>
    <row r="6329" spans="1:12" s="692" customFormat="1" ht="16.5" hidden="1">
      <c r="A6329" s="1665" t="str">
        <f>'Lead &amp; ANALYSIS'!A1153</f>
        <v>iii</v>
      </c>
      <c r="B6329" s="1666" t="str">
        <f>'Lead &amp; ANALYSIS'!B1153</f>
        <v>iii.Hard Sooil</v>
      </c>
      <c r="C6329" s="688"/>
      <c r="D6329" s="1667"/>
      <c r="E6329" s="688"/>
      <c r="F6329" s="688"/>
      <c r="G6329" s="1674"/>
      <c r="H6329" s="688"/>
      <c r="I6329" s="1668"/>
      <c r="J6329" s="1669"/>
      <c r="K6329" s="1668"/>
      <c r="L6329" s="1669"/>
    </row>
    <row r="6330" spans="1:12" s="692" customFormat="1" ht="16.5" hidden="1">
      <c r="A6330" s="1665"/>
      <c r="B6330" s="1666"/>
      <c r="C6330" s="688"/>
      <c r="D6330" s="1667"/>
      <c r="E6330" s="1671">
        <v>3.5</v>
      </c>
      <c r="F6330" s="1671">
        <v>4</v>
      </c>
      <c r="G6330" s="1674"/>
      <c r="H6330" s="1671">
        <f t="shared" ref="H6330:H6335" si="1157">ROUND(D6330*E6330*F6330,2)</f>
        <v>0</v>
      </c>
      <c r="I6330" s="688" t="s">
        <v>92</v>
      </c>
      <c r="J6330" s="1669"/>
      <c r="K6330" s="1668"/>
      <c r="L6330" s="1669"/>
    </row>
    <row r="6331" spans="1:12" s="692" customFormat="1" ht="16.5" hidden="1">
      <c r="A6331" s="1665"/>
      <c r="B6331" s="1666"/>
      <c r="C6331" s="688"/>
      <c r="D6331" s="1667"/>
      <c r="E6331" s="1671">
        <v>3.5</v>
      </c>
      <c r="F6331" s="1671">
        <v>4</v>
      </c>
      <c r="G6331" s="1674"/>
      <c r="H6331" s="1671">
        <f t="shared" si="1157"/>
        <v>0</v>
      </c>
      <c r="I6331" s="688" t="s">
        <v>92</v>
      </c>
      <c r="J6331" s="1669"/>
      <c r="K6331" s="1668"/>
      <c r="L6331" s="1669"/>
    </row>
    <row r="6332" spans="1:12" s="692" customFormat="1" ht="16.5" hidden="1">
      <c r="A6332" s="1665"/>
      <c r="B6332" s="1666"/>
      <c r="C6332" s="688"/>
      <c r="D6332" s="1667"/>
      <c r="E6332" s="1671">
        <v>3.5</v>
      </c>
      <c r="F6332" s="1671">
        <v>4</v>
      </c>
      <c r="G6332" s="1674"/>
      <c r="H6332" s="1671">
        <f t="shared" si="1157"/>
        <v>0</v>
      </c>
      <c r="I6332" s="688" t="s">
        <v>92</v>
      </c>
      <c r="J6332" s="1669"/>
      <c r="K6332" s="1668"/>
      <c r="L6332" s="1669"/>
    </row>
    <row r="6333" spans="1:12" s="692" customFormat="1" ht="16.5" hidden="1">
      <c r="A6333" s="1665"/>
      <c r="B6333" s="1666"/>
      <c r="C6333" s="688"/>
      <c r="D6333" s="1667"/>
      <c r="E6333" s="1671">
        <v>3.5</v>
      </c>
      <c r="F6333" s="1671">
        <v>4</v>
      </c>
      <c r="G6333" s="1674"/>
      <c r="H6333" s="1671">
        <f t="shared" si="1157"/>
        <v>0</v>
      </c>
      <c r="I6333" s="688" t="s">
        <v>92</v>
      </c>
      <c r="J6333" s="1669"/>
      <c r="K6333" s="1668"/>
      <c r="L6333" s="1669"/>
    </row>
    <row r="6334" spans="1:12" s="692" customFormat="1" ht="16.5" hidden="1">
      <c r="A6334" s="1665"/>
      <c r="B6334" s="1666"/>
      <c r="C6334" s="688"/>
      <c r="D6334" s="1667"/>
      <c r="E6334" s="1671">
        <v>3.5</v>
      </c>
      <c r="F6334" s="1671">
        <v>4</v>
      </c>
      <c r="G6334" s="1674"/>
      <c r="H6334" s="1671">
        <f t="shared" si="1157"/>
        <v>0</v>
      </c>
      <c r="I6334" s="688" t="s">
        <v>92</v>
      </c>
      <c r="J6334" s="1669"/>
      <c r="K6334" s="1668"/>
      <c r="L6334" s="1669"/>
    </row>
    <row r="6335" spans="1:12" s="692" customFormat="1" ht="16.5" hidden="1">
      <c r="A6335" s="1665"/>
      <c r="B6335" s="1666"/>
      <c r="C6335" s="688"/>
      <c r="D6335" s="1667"/>
      <c r="E6335" s="1671">
        <v>3.5</v>
      </c>
      <c r="F6335" s="1671">
        <v>4</v>
      </c>
      <c r="G6335" s="1674"/>
      <c r="H6335" s="1671">
        <f t="shared" si="1157"/>
        <v>0</v>
      </c>
      <c r="I6335" s="688" t="s">
        <v>92</v>
      </c>
      <c r="J6335" s="1669"/>
      <c r="K6335" s="1668"/>
      <c r="L6335" s="1669"/>
    </row>
    <row r="6336" spans="1:12" s="692" customFormat="1" ht="16.5" hidden="1">
      <c r="A6336" s="1665"/>
      <c r="B6336" s="1666"/>
      <c r="C6336" s="688"/>
      <c r="D6336" s="1667"/>
      <c r="E6336" s="1671"/>
      <c r="F6336" s="1671"/>
      <c r="G6336" s="1674" t="s">
        <v>928</v>
      </c>
      <c r="H6336" s="1671">
        <f>SUM(H6330:H6335)</f>
        <v>0</v>
      </c>
      <c r="I6336" s="688" t="s">
        <v>92</v>
      </c>
      <c r="J6336" s="1669" t="e">
        <f>'Lead &amp; ANALYSIS'!L1153</f>
        <v>#REF!</v>
      </c>
      <c r="K6336" s="1668" t="s">
        <v>1516</v>
      </c>
      <c r="L6336" s="1669" t="e">
        <f>ROUND(H6336*J6336,0)</f>
        <v>#REF!</v>
      </c>
    </row>
    <row r="6337" spans="1:12" s="692" customFormat="1" ht="16.5" hidden="1">
      <c r="A6337" s="1665" t="str">
        <f>'Lead &amp; ANALYSIS'!A1154</f>
        <v>iv</v>
      </c>
      <c r="B6337" s="1666" t="str">
        <f>'Lead &amp; ANALYSIS'!B1154</f>
        <v>IV.Stony Earth</v>
      </c>
      <c r="C6337" s="688"/>
      <c r="D6337" s="1667"/>
      <c r="E6337" s="688"/>
      <c r="F6337" s="688"/>
      <c r="G6337" s="1674"/>
      <c r="H6337" s="688"/>
      <c r="I6337" s="1668"/>
      <c r="J6337" s="1669"/>
      <c r="K6337" s="1668"/>
      <c r="L6337" s="1669"/>
    </row>
    <row r="6338" spans="1:12" s="692" customFormat="1" ht="16.5" hidden="1">
      <c r="A6338" s="1665"/>
      <c r="B6338" s="1666"/>
      <c r="C6338" s="688"/>
      <c r="D6338" s="1667"/>
      <c r="E6338" s="1671">
        <v>3.5</v>
      </c>
      <c r="F6338" s="1671">
        <v>4</v>
      </c>
      <c r="G6338" s="1674"/>
      <c r="H6338" s="1671">
        <f t="shared" ref="H6338:H6343" si="1158">ROUND(D6338*E6338*F6338,2)</f>
        <v>0</v>
      </c>
      <c r="I6338" s="688" t="s">
        <v>92</v>
      </c>
      <c r="J6338" s="1669"/>
      <c r="K6338" s="1668"/>
      <c r="L6338" s="1669"/>
    </row>
    <row r="6339" spans="1:12" s="692" customFormat="1" ht="16.5" hidden="1">
      <c r="A6339" s="1665"/>
      <c r="B6339" s="1666"/>
      <c r="C6339" s="688"/>
      <c r="D6339" s="1667"/>
      <c r="E6339" s="1671">
        <v>3.5</v>
      </c>
      <c r="F6339" s="1671">
        <v>4</v>
      </c>
      <c r="G6339" s="1674"/>
      <c r="H6339" s="1671">
        <f t="shared" si="1158"/>
        <v>0</v>
      </c>
      <c r="I6339" s="688" t="s">
        <v>92</v>
      </c>
      <c r="J6339" s="1669"/>
      <c r="K6339" s="1668"/>
      <c r="L6339" s="1669"/>
    </row>
    <row r="6340" spans="1:12" s="692" customFormat="1" ht="16.5" hidden="1">
      <c r="A6340" s="1665"/>
      <c r="B6340" s="1666"/>
      <c r="C6340" s="688"/>
      <c r="D6340" s="1667"/>
      <c r="E6340" s="1671">
        <v>3.5</v>
      </c>
      <c r="F6340" s="1671">
        <v>4</v>
      </c>
      <c r="G6340" s="1674"/>
      <c r="H6340" s="1671">
        <f t="shared" si="1158"/>
        <v>0</v>
      </c>
      <c r="I6340" s="688" t="s">
        <v>92</v>
      </c>
      <c r="J6340" s="1669"/>
      <c r="K6340" s="1668"/>
      <c r="L6340" s="1669"/>
    </row>
    <row r="6341" spans="1:12" s="692" customFormat="1" ht="16.5" hidden="1">
      <c r="A6341" s="1665"/>
      <c r="B6341" s="1666"/>
      <c r="C6341" s="688"/>
      <c r="D6341" s="1667"/>
      <c r="E6341" s="1671">
        <v>3.5</v>
      </c>
      <c r="F6341" s="1671">
        <v>4</v>
      </c>
      <c r="G6341" s="1674"/>
      <c r="H6341" s="1671">
        <f t="shared" si="1158"/>
        <v>0</v>
      </c>
      <c r="I6341" s="688" t="s">
        <v>92</v>
      </c>
      <c r="J6341" s="1669"/>
      <c r="K6341" s="1668"/>
      <c r="L6341" s="1669"/>
    </row>
    <row r="6342" spans="1:12" s="692" customFormat="1" ht="16.5" hidden="1">
      <c r="A6342" s="1665"/>
      <c r="B6342" s="1666"/>
      <c r="C6342" s="688"/>
      <c r="D6342" s="1667"/>
      <c r="E6342" s="1671">
        <v>3.5</v>
      </c>
      <c r="F6342" s="1671">
        <v>4</v>
      </c>
      <c r="G6342" s="1674"/>
      <c r="H6342" s="1671">
        <f t="shared" si="1158"/>
        <v>0</v>
      </c>
      <c r="I6342" s="688" t="s">
        <v>92</v>
      </c>
      <c r="J6342" s="1669"/>
      <c r="K6342" s="1668"/>
      <c r="L6342" s="1669"/>
    </row>
    <row r="6343" spans="1:12" s="692" customFormat="1" ht="16.5" hidden="1">
      <c r="A6343" s="1665"/>
      <c r="B6343" s="1666"/>
      <c r="C6343" s="688"/>
      <c r="D6343" s="1667"/>
      <c r="E6343" s="1671">
        <v>3.5</v>
      </c>
      <c r="F6343" s="1671">
        <v>4</v>
      </c>
      <c r="G6343" s="1674"/>
      <c r="H6343" s="1671">
        <f t="shared" si="1158"/>
        <v>0</v>
      </c>
      <c r="I6343" s="688" t="s">
        <v>92</v>
      </c>
      <c r="J6343" s="1669"/>
      <c r="K6343" s="1668"/>
      <c r="L6343" s="1669"/>
    </row>
    <row r="6344" spans="1:12" s="692" customFormat="1" ht="16.5" hidden="1">
      <c r="A6344" s="1665"/>
      <c r="B6344" s="1666"/>
      <c r="C6344" s="688"/>
      <c r="D6344" s="1667"/>
      <c r="E6344" s="1671"/>
      <c r="F6344" s="1671"/>
      <c r="G6344" s="1674" t="s">
        <v>928</v>
      </c>
      <c r="H6344" s="1671">
        <f>SUM(H6338:H6343)</f>
        <v>0</v>
      </c>
      <c r="I6344" s="688" t="s">
        <v>92</v>
      </c>
      <c r="J6344" s="1669" t="e">
        <f>'Lead &amp; ANALYSIS'!L1154</f>
        <v>#REF!</v>
      </c>
      <c r="K6344" s="1668" t="s">
        <v>1516</v>
      </c>
      <c r="L6344" s="1669" t="e">
        <f>ROUND(H6344*J6344,0)</f>
        <v>#REF!</v>
      </c>
    </row>
    <row r="6345" spans="1:12" s="692" customFormat="1" ht="16.5" hidden="1">
      <c r="A6345" s="1665" t="str">
        <f>'Lead &amp; ANALYSIS'!A1155</f>
        <v>v</v>
      </c>
      <c r="B6345" s="1666" t="str">
        <f>'Lead &amp; ANALYSIS'!B1155</f>
        <v>V.All Kinds of Soil</v>
      </c>
      <c r="C6345" s="688"/>
      <c r="D6345" s="1667"/>
      <c r="E6345" s="688"/>
      <c r="F6345" s="688"/>
      <c r="G6345" s="1674"/>
      <c r="H6345" s="688"/>
      <c r="I6345" s="1668"/>
      <c r="J6345" s="1669"/>
      <c r="K6345" s="1668"/>
      <c r="L6345" s="1669"/>
    </row>
    <row r="6346" spans="1:12" s="692" customFormat="1" ht="16.5" hidden="1">
      <c r="A6346" s="1665"/>
      <c r="B6346" s="1666"/>
      <c r="C6346" s="688"/>
      <c r="D6346" s="1667"/>
      <c r="E6346" s="1671">
        <v>3.5</v>
      </c>
      <c r="F6346" s="1671">
        <v>4</v>
      </c>
      <c r="G6346" s="1674"/>
      <c r="H6346" s="1671">
        <f t="shared" ref="H6346:H6351" si="1159">ROUND(D6346*E6346*F6346,2)</f>
        <v>0</v>
      </c>
      <c r="I6346" s="688" t="s">
        <v>92</v>
      </c>
      <c r="J6346" s="1669"/>
      <c r="K6346" s="1668"/>
      <c r="L6346" s="1669"/>
    </row>
    <row r="6347" spans="1:12" s="692" customFormat="1" ht="16.5" hidden="1">
      <c r="A6347" s="1665"/>
      <c r="B6347" s="1666"/>
      <c r="C6347" s="688"/>
      <c r="D6347" s="1667"/>
      <c r="E6347" s="1671">
        <v>3.5</v>
      </c>
      <c r="F6347" s="1671">
        <v>4</v>
      </c>
      <c r="G6347" s="1674"/>
      <c r="H6347" s="1671">
        <f t="shared" si="1159"/>
        <v>0</v>
      </c>
      <c r="I6347" s="688" t="s">
        <v>92</v>
      </c>
      <c r="J6347" s="1669"/>
      <c r="K6347" s="1668"/>
      <c r="L6347" s="1669"/>
    </row>
    <row r="6348" spans="1:12" s="692" customFormat="1" ht="16.5" hidden="1">
      <c r="A6348" s="1665"/>
      <c r="B6348" s="1666"/>
      <c r="C6348" s="688"/>
      <c r="D6348" s="1667"/>
      <c r="E6348" s="1671">
        <v>3.5</v>
      </c>
      <c r="F6348" s="1671">
        <v>4</v>
      </c>
      <c r="G6348" s="1674"/>
      <c r="H6348" s="1671">
        <f t="shared" si="1159"/>
        <v>0</v>
      </c>
      <c r="I6348" s="688" t="s">
        <v>92</v>
      </c>
      <c r="J6348" s="1669"/>
      <c r="K6348" s="1668"/>
      <c r="L6348" s="1669"/>
    </row>
    <row r="6349" spans="1:12" s="692" customFormat="1" ht="16.5" hidden="1">
      <c r="A6349" s="1665"/>
      <c r="B6349" s="1666"/>
      <c r="C6349" s="688"/>
      <c r="D6349" s="1667"/>
      <c r="E6349" s="1671">
        <v>3.5</v>
      </c>
      <c r="F6349" s="1671">
        <v>4</v>
      </c>
      <c r="G6349" s="1674"/>
      <c r="H6349" s="1671">
        <f t="shared" si="1159"/>
        <v>0</v>
      </c>
      <c r="I6349" s="688" t="s">
        <v>92</v>
      </c>
      <c r="J6349" s="1669"/>
      <c r="K6349" s="1668"/>
      <c r="L6349" s="1669"/>
    </row>
    <row r="6350" spans="1:12" s="692" customFormat="1" ht="16.5" hidden="1">
      <c r="A6350" s="1665"/>
      <c r="B6350" s="1666"/>
      <c r="C6350" s="688"/>
      <c r="D6350" s="1667"/>
      <c r="E6350" s="1671">
        <v>3.5</v>
      </c>
      <c r="F6350" s="1671">
        <v>4</v>
      </c>
      <c r="G6350" s="1674"/>
      <c r="H6350" s="1671">
        <f t="shared" si="1159"/>
        <v>0</v>
      </c>
      <c r="I6350" s="688" t="s">
        <v>92</v>
      </c>
      <c r="J6350" s="1669"/>
      <c r="K6350" s="1668"/>
      <c r="L6350" s="1669"/>
    </row>
    <row r="6351" spans="1:12" s="692" customFormat="1" ht="16.5" hidden="1">
      <c r="A6351" s="1665"/>
      <c r="B6351" s="1666"/>
      <c r="C6351" s="688"/>
      <c r="D6351" s="1667"/>
      <c r="E6351" s="1671">
        <v>3.5</v>
      </c>
      <c r="F6351" s="1671">
        <v>4</v>
      </c>
      <c r="G6351" s="1674"/>
      <c r="H6351" s="1671">
        <f t="shared" si="1159"/>
        <v>0</v>
      </c>
      <c r="I6351" s="688" t="s">
        <v>92</v>
      </c>
      <c r="J6351" s="1669"/>
      <c r="K6351" s="1668"/>
      <c r="L6351" s="1669"/>
    </row>
    <row r="6352" spans="1:12" s="692" customFormat="1" ht="16.5" hidden="1">
      <c r="A6352" s="1665"/>
      <c r="B6352" s="1666"/>
      <c r="C6352" s="688"/>
      <c r="D6352" s="1667"/>
      <c r="E6352" s="1671"/>
      <c r="F6352" s="1671"/>
      <c r="G6352" s="1674" t="s">
        <v>928</v>
      </c>
      <c r="H6352" s="1671">
        <f>SUM(H6346:H6351)</f>
        <v>0</v>
      </c>
      <c r="I6352" s="688" t="s">
        <v>92</v>
      </c>
      <c r="J6352" s="1669" t="e">
        <f>'Lead &amp; ANALYSIS'!L1155</f>
        <v>#REF!</v>
      </c>
      <c r="K6352" s="1668" t="s">
        <v>1516</v>
      </c>
      <c r="L6352" s="1669" t="e">
        <f>ROUND(H6352*J6352,0)</f>
        <v>#REF!</v>
      </c>
    </row>
    <row r="6353" spans="1:12" s="692" customFormat="1" ht="16.5" hidden="1">
      <c r="A6353" s="1665" t="str">
        <f>'Lead &amp; ANALYSIS'!A1156</f>
        <v>D.</v>
      </c>
      <c r="B6353" s="1675" t="str">
        <f>'Lead &amp; ANALYSIS'!B1156</f>
        <v>4TH DEPTH OF 1.5MTR.</v>
      </c>
      <c r="C6353" s="688"/>
      <c r="D6353" s="1667"/>
      <c r="E6353" s="688"/>
      <c r="F6353" s="688"/>
      <c r="G6353" s="1674"/>
      <c r="H6353" s="688"/>
      <c r="I6353" s="1668"/>
      <c r="J6353" s="1669"/>
      <c r="K6353" s="1668"/>
      <c r="L6353" s="1669"/>
    </row>
    <row r="6354" spans="1:12" s="692" customFormat="1" ht="16.5" hidden="1">
      <c r="A6354" s="1665" t="str">
        <f>'Lead &amp; ANALYSIS'!A1157</f>
        <v>i</v>
      </c>
      <c r="B6354" s="1666" t="str">
        <f>'Lead &amp; ANALYSIS'!B1157</f>
        <v>i.Ordinary Soil.</v>
      </c>
      <c r="C6354" s="688"/>
      <c r="D6354" s="1667"/>
      <c r="E6354" s="688"/>
      <c r="F6354" s="688"/>
      <c r="G6354" s="1674"/>
      <c r="H6354" s="688"/>
      <c r="I6354" s="1668"/>
      <c r="J6354" s="1668"/>
      <c r="K6354" s="1668"/>
      <c r="L6354" s="1669"/>
    </row>
    <row r="6355" spans="1:12" s="692" customFormat="1" ht="16.5" hidden="1">
      <c r="A6355" s="1665"/>
      <c r="B6355" s="1666"/>
      <c r="C6355" s="688"/>
      <c r="D6355" s="1667"/>
      <c r="E6355" s="1671">
        <v>3.5</v>
      </c>
      <c r="F6355" s="1671">
        <v>4</v>
      </c>
      <c r="G6355" s="1674"/>
      <c r="H6355" s="1671">
        <f t="shared" ref="H6355:H6360" si="1160">ROUND(D6355*E6355*F6355,2)</f>
        <v>0</v>
      </c>
      <c r="I6355" s="688" t="s">
        <v>92</v>
      </c>
      <c r="J6355" s="1668"/>
      <c r="K6355" s="1668"/>
      <c r="L6355" s="1669"/>
    </row>
    <row r="6356" spans="1:12" s="692" customFormat="1" ht="16.5" hidden="1">
      <c r="A6356" s="1665"/>
      <c r="B6356" s="1666"/>
      <c r="C6356" s="688"/>
      <c r="D6356" s="1667"/>
      <c r="E6356" s="1671">
        <v>3.5</v>
      </c>
      <c r="F6356" s="1671">
        <v>4</v>
      </c>
      <c r="G6356" s="1674"/>
      <c r="H6356" s="1671">
        <f t="shared" si="1160"/>
        <v>0</v>
      </c>
      <c r="I6356" s="688" t="s">
        <v>92</v>
      </c>
      <c r="J6356" s="1668"/>
      <c r="K6356" s="1668"/>
      <c r="L6356" s="1669"/>
    </row>
    <row r="6357" spans="1:12" s="692" customFormat="1" ht="16.5" hidden="1">
      <c r="A6357" s="1665"/>
      <c r="B6357" s="1666"/>
      <c r="C6357" s="688"/>
      <c r="D6357" s="1667"/>
      <c r="E6357" s="1671">
        <v>3.5</v>
      </c>
      <c r="F6357" s="1671">
        <v>4</v>
      </c>
      <c r="G6357" s="1674"/>
      <c r="H6357" s="1671">
        <f t="shared" si="1160"/>
        <v>0</v>
      </c>
      <c r="I6357" s="688" t="s">
        <v>92</v>
      </c>
      <c r="J6357" s="1668"/>
      <c r="K6357" s="1668"/>
      <c r="L6357" s="1669"/>
    </row>
    <row r="6358" spans="1:12" s="692" customFormat="1" ht="16.5" hidden="1">
      <c r="A6358" s="1665"/>
      <c r="B6358" s="1666"/>
      <c r="C6358" s="688"/>
      <c r="D6358" s="1667"/>
      <c r="E6358" s="1671">
        <v>3.5</v>
      </c>
      <c r="F6358" s="1671">
        <v>4</v>
      </c>
      <c r="G6358" s="1674"/>
      <c r="H6358" s="1671">
        <f t="shared" si="1160"/>
        <v>0</v>
      </c>
      <c r="I6358" s="688" t="s">
        <v>92</v>
      </c>
      <c r="J6358" s="1668"/>
      <c r="K6358" s="1668"/>
      <c r="L6358" s="1669"/>
    </row>
    <row r="6359" spans="1:12" s="692" customFormat="1" ht="16.5" hidden="1">
      <c r="A6359" s="1665"/>
      <c r="B6359" s="1666"/>
      <c r="C6359" s="688"/>
      <c r="D6359" s="1667"/>
      <c r="E6359" s="1671">
        <v>3.5</v>
      </c>
      <c r="F6359" s="1671">
        <v>4</v>
      </c>
      <c r="G6359" s="1674"/>
      <c r="H6359" s="1671">
        <f t="shared" si="1160"/>
        <v>0</v>
      </c>
      <c r="I6359" s="688" t="s">
        <v>92</v>
      </c>
      <c r="J6359" s="1668"/>
      <c r="K6359" s="1668"/>
      <c r="L6359" s="1669"/>
    </row>
    <row r="6360" spans="1:12" s="692" customFormat="1" ht="16.5" hidden="1">
      <c r="A6360" s="1665"/>
      <c r="B6360" s="1666"/>
      <c r="C6360" s="688"/>
      <c r="D6360" s="1667"/>
      <c r="E6360" s="1671">
        <v>3.5</v>
      </c>
      <c r="F6360" s="1671">
        <v>4</v>
      </c>
      <c r="G6360" s="1674"/>
      <c r="H6360" s="1671">
        <f t="shared" si="1160"/>
        <v>0</v>
      </c>
      <c r="I6360" s="688" t="s">
        <v>92</v>
      </c>
      <c r="J6360" s="1668"/>
      <c r="K6360" s="1668"/>
      <c r="L6360" s="1669"/>
    </row>
    <row r="6361" spans="1:12" s="692" customFormat="1" ht="16.5" hidden="1">
      <c r="A6361" s="1665"/>
      <c r="B6361" s="1666"/>
      <c r="C6361" s="688"/>
      <c r="D6361" s="1667"/>
      <c r="E6361" s="1671"/>
      <c r="F6361" s="1671"/>
      <c r="G6361" s="1674" t="s">
        <v>928</v>
      </c>
      <c r="H6361" s="1671">
        <f>SUM(H6355:H6360)</f>
        <v>0</v>
      </c>
      <c r="I6361" s="688" t="s">
        <v>92</v>
      </c>
      <c r="J6361" s="1669" t="e">
        <f>'Lead &amp; ANALYSIS'!L1157</f>
        <v>#REF!</v>
      </c>
      <c r="K6361" s="1668" t="s">
        <v>1516</v>
      </c>
      <c r="L6361" s="1669" t="e">
        <f>ROUND(H6361*J6361,0)</f>
        <v>#REF!</v>
      </c>
    </row>
    <row r="6362" spans="1:12" s="692" customFormat="1" ht="16.5" hidden="1">
      <c r="A6362" s="1665" t="str">
        <f>'Lead &amp; ANALYSIS'!A1158</f>
        <v>ii</v>
      </c>
      <c r="B6362" s="1666" t="str">
        <f>'Lead &amp; ANALYSIS'!B1158</f>
        <v>ii.Slushy Soil</v>
      </c>
      <c r="C6362" s="688"/>
      <c r="D6362" s="1667"/>
      <c r="E6362" s="688"/>
      <c r="F6362" s="688"/>
      <c r="G6362" s="1674"/>
      <c r="H6362" s="688"/>
      <c r="I6362" s="1668"/>
      <c r="J6362" s="1669"/>
      <c r="K6362" s="1668"/>
      <c r="L6362" s="1669"/>
    </row>
    <row r="6363" spans="1:12" s="692" customFormat="1" ht="16.5" hidden="1">
      <c r="A6363" s="1665"/>
      <c r="B6363" s="1666"/>
      <c r="C6363" s="688"/>
      <c r="D6363" s="1667"/>
      <c r="E6363" s="1671">
        <v>3.5</v>
      </c>
      <c r="F6363" s="1671">
        <v>4</v>
      </c>
      <c r="G6363" s="1674"/>
      <c r="H6363" s="1671">
        <f t="shared" ref="H6363:H6368" si="1161">ROUND(D6363*E6363*F6363,2)</f>
        <v>0</v>
      </c>
      <c r="I6363" s="688" t="s">
        <v>92</v>
      </c>
      <c r="J6363" s="1669"/>
      <c r="K6363" s="1668"/>
      <c r="L6363" s="1669"/>
    </row>
    <row r="6364" spans="1:12" s="692" customFormat="1" ht="16.5" hidden="1">
      <c r="A6364" s="1665"/>
      <c r="B6364" s="1666"/>
      <c r="C6364" s="688"/>
      <c r="D6364" s="1667"/>
      <c r="E6364" s="1671">
        <v>3.5</v>
      </c>
      <c r="F6364" s="1671">
        <v>4</v>
      </c>
      <c r="G6364" s="1674"/>
      <c r="H6364" s="1671">
        <f t="shared" si="1161"/>
        <v>0</v>
      </c>
      <c r="I6364" s="688" t="s">
        <v>92</v>
      </c>
      <c r="J6364" s="1669"/>
      <c r="K6364" s="1668"/>
      <c r="L6364" s="1669"/>
    </row>
    <row r="6365" spans="1:12" s="692" customFormat="1" ht="16.5" hidden="1">
      <c r="A6365" s="1665"/>
      <c r="B6365" s="1666"/>
      <c r="C6365" s="688"/>
      <c r="D6365" s="1667"/>
      <c r="E6365" s="1671">
        <v>3.5</v>
      </c>
      <c r="F6365" s="1671">
        <v>4</v>
      </c>
      <c r="G6365" s="1674"/>
      <c r="H6365" s="1671">
        <f t="shared" si="1161"/>
        <v>0</v>
      </c>
      <c r="I6365" s="688" t="s">
        <v>92</v>
      </c>
      <c r="J6365" s="1669"/>
      <c r="K6365" s="1668"/>
      <c r="L6365" s="1669"/>
    </row>
    <row r="6366" spans="1:12" s="692" customFormat="1" ht="16.5" hidden="1">
      <c r="A6366" s="1665"/>
      <c r="B6366" s="1666"/>
      <c r="C6366" s="688"/>
      <c r="D6366" s="1667"/>
      <c r="E6366" s="1671">
        <v>3.5</v>
      </c>
      <c r="F6366" s="1671">
        <v>4</v>
      </c>
      <c r="G6366" s="1674"/>
      <c r="H6366" s="1671">
        <f t="shared" si="1161"/>
        <v>0</v>
      </c>
      <c r="I6366" s="688" t="s">
        <v>92</v>
      </c>
      <c r="J6366" s="1669"/>
      <c r="K6366" s="1668"/>
      <c r="L6366" s="1669"/>
    </row>
    <row r="6367" spans="1:12" s="692" customFormat="1" ht="16.5" hidden="1">
      <c r="A6367" s="1665"/>
      <c r="B6367" s="1666"/>
      <c r="C6367" s="688"/>
      <c r="D6367" s="1667"/>
      <c r="E6367" s="1671">
        <v>3.5</v>
      </c>
      <c r="F6367" s="1671">
        <v>4</v>
      </c>
      <c r="G6367" s="1674"/>
      <c r="H6367" s="1671">
        <f t="shared" si="1161"/>
        <v>0</v>
      </c>
      <c r="I6367" s="688" t="s">
        <v>92</v>
      </c>
      <c r="J6367" s="1669"/>
      <c r="K6367" s="1668"/>
      <c r="L6367" s="1669"/>
    </row>
    <row r="6368" spans="1:12" s="692" customFormat="1" ht="16.5" hidden="1">
      <c r="A6368" s="1665"/>
      <c r="B6368" s="1666"/>
      <c r="C6368" s="688"/>
      <c r="D6368" s="1667"/>
      <c r="E6368" s="1671">
        <v>3.5</v>
      </c>
      <c r="F6368" s="1671">
        <v>4</v>
      </c>
      <c r="G6368" s="1674"/>
      <c r="H6368" s="1671">
        <f t="shared" si="1161"/>
        <v>0</v>
      </c>
      <c r="I6368" s="688" t="s">
        <v>92</v>
      </c>
      <c r="J6368" s="1669"/>
      <c r="K6368" s="1668"/>
      <c r="L6368" s="1669"/>
    </row>
    <row r="6369" spans="1:12" s="692" customFormat="1" ht="16.5" hidden="1">
      <c r="A6369" s="1665"/>
      <c r="B6369" s="1666"/>
      <c r="C6369" s="688"/>
      <c r="D6369" s="1667"/>
      <c r="E6369" s="1671"/>
      <c r="F6369" s="1671"/>
      <c r="G6369" s="1674" t="s">
        <v>928</v>
      </c>
      <c r="H6369" s="1671">
        <f>SUM(H6363:H6368)</f>
        <v>0</v>
      </c>
      <c r="I6369" s="688" t="s">
        <v>92</v>
      </c>
      <c r="J6369" s="1669" t="e">
        <f>'Lead &amp; ANALYSIS'!L1158</f>
        <v>#REF!</v>
      </c>
      <c r="K6369" s="1668" t="s">
        <v>1516</v>
      </c>
      <c r="L6369" s="1669" t="e">
        <f>ROUND(H6369*J6369,0)</f>
        <v>#REF!</v>
      </c>
    </row>
    <row r="6370" spans="1:12" s="692" customFormat="1" ht="16.5" hidden="1">
      <c r="A6370" s="1665" t="str">
        <f>'Lead &amp; ANALYSIS'!A1159</f>
        <v>iii</v>
      </c>
      <c r="B6370" s="1666" t="str">
        <f>'Lead &amp; ANALYSIS'!B1159</f>
        <v>iii.Hard Sooil</v>
      </c>
      <c r="C6370" s="688"/>
      <c r="D6370" s="1667"/>
      <c r="E6370" s="688"/>
      <c r="F6370" s="688"/>
      <c r="G6370" s="1674"/>
      <c r="H6370" s="688"/>
      <c r="I6370" s="1668"/>
      <c r="J6370" s="1669"/>
      <c r="K6370" s="1668"/>
      <c r="L6370" s="1669"/>
    </row>
    <row r="6371" spans="1:12" s="692" customFormat="1" ht="16.5" hidden="1">
      <c r="A6371" s="1665"/>
      <c r="B6371" s="1666"/>
      <c r="C6371" s="688"/>
      <c r="D6371" s="1667"/>
      <c r="E6371" s="1671">
        <v>3.5</v>
      </c>
      <c r="F6371" s="1671">
        <v>4</v>
      </c>
      <c r="G6371" s="1674"/>
      <c r="H6371" s="1671">
        <f t="shared" ref="H6371:H6376" si="1162">ROUND(D6371*E6371*F6371,2)</f>
        <v>0</v>
      </c>
      <c r="I6371" s="688" t="s">
        <v>92</v>
      </c>
      <c r="J6371" s="1669"/>
      <c r="K6371" s="1668"/>
      <c r="L6371" s="1669"/>
    </row>
    <row r="6372" spans="1:12" s="692" customFormat="1" ht="16.5" hidden="1">
      <c r="A6372" s="1665"/>
      <c r="B6372" s="1666"/>
      <c r="C6372" s="688"/>
      <c r="D6372" s="1667"/>
      <c r="E6372" s="1671">
        <v>3.5</v>
      </c>
      <c r="F6372" s="1671">
        <v>4</v>
      </c>
      <c r="G6372" s="1674"/>
      <c r="H6372" s="1671">
        <f t="shared" si="1162"/>
        <v>0</v>
      </c>
      <c r="I6372" s="688" t="s">
        <v>92</v>
      </c>
      <c r="J6372" s="1669"/>
      <c r="K6372" s="1668"/>
      <c r="L6372" s="1669"/>
    </row>
    <row r="6373" spans="1:12" s="692" customFormat="1" ht="16.5" hidden="1">
      <c r="A6373" s="1665"/>
      <c r="B6373" s="1666"/>
      <c r="C6373" s="688"/>
      <c r="D6373" s="1667"/>
      <c r="E6373" s="1671">
        <v>3.5</v>
      </c>
      <c r="F6373" s="1671">
        <v>4</v>
      </c>
      <c r="G6373" s="1674"/>
      <c r="H6373" s="1671">
        <f t="shared" si="1162"/>
        <v>0</v>
      </c>
      <c r="I6373" s="688" t="s">
        <v>92</v>
      </c>
      <c r="J6373" s="1669"/>
      <c r="K6373" s="1668"/>
      <c r="L6373" s="1669"/>
    </row>
    <row r="6374" spans="1:12" s="692" customFormat="1" ht="16.5" hidden="1">
      <c r="A6374" s="1665"/>
      <c r="B6374" s="1666"/>
      <c r="C6374" s="688"/>
      <c r="D6374" s="1667"/>
      <c r="E6374" s="1671">
        <v>3.5</v>
      </c>
      <c r="F6374" s="1671">
        <v>4</v>
      </c>
      <c r="G6374" s="1674"/>
      <c r="H6374" s="1671">
        <f t="shared" si="1162"/>
        <v>0</v>
      </c>
      <c r="I6374" s="688" t="s">
        <v>92</v>
      </c>
      <c r="J6374" s="1669"/>
      <c r="K6374" s="1668"/>
      <c r="L6374" s="1669"/>
    </row>
    <row r="6375" spans="1:12" s="692" customFormat="1" ht="16.5" hidden="1">
      <c r="A6375" s="1665"/>
      <c r="B6375" s="1666"/>
      <c r="C6375" s="688"/>
      <c r="D6375" s="1667"/>
      <c r="E6375" s="1671">
        <v>3.5</v>
      </c>
      <c r="F6375" s="1671">
        <v>4</v>
      </c>
      <c r="G6375" s="1674"/>
      <c r="H6375" s="1671">
        <f t="shared" si="1162"/>
        <v>0</v>
      </c>
      <c r="I6375" s="688" t="s">
        <v>92</v>
      </c>
      <c r="J6375" s="1669"/>
      <c r="K6375" s="1668"/>
      <c r="L6375" s="1669"/>
    </row>
    <row r="6376" spans="1:12" s="692" customFormat="1" ht="16.5" hidden="1">
      <c r="A6376" s="1665"/>
      <c r="B6376" s="1666"/>
      <c r="C6376" s="688"/>
      <c r="D6376" s="1667"/>
      <c r="E6376" s="1671">
        <v>3.5</v>
      </c>
      <c r="F6376" s="1671">
        <v>4</v>
      </c>
      <c r="G6376" s="1674"/>
      <c r="H6376" s="1671">
        <f t="shared" si="1162"/>
        <v>0</v>
      </c>
      <c r="I6376" s="688" t="s">
        <v>92</v>
      </c>
      <c r="J6376" s="1669"/>
      <c r="K6376" s="1668"/>
      <c r="L6376" s="1669"/>
    </row>
    <row r="6377" spans="1:12" s="692" customFormat="1" ht="16.5" hidden="1">
      <c r="A6377" s="1665"/>
      <c r="B6377" s="1666"/>
      <c r="C6377" s="688"/>
      <c r="D6377" s="1667"/>
      <c r="E6377" s="1671"/>
      <c r="F6377" s="1671"/>
      <c r="G6377" s="1674" t="s">
        <v>928</v>
      </c>
      <c r="H6377" s="1671">
        <f>SUM(H6371:H6376)</f>
        <v>0</v>
      </c>
      <c r="I6377" s="688" t="s">
        <v>92</v>
      </c>
      <c r="J6377" s="1669" t="e">
        <f>'Lead &amp; ANALYSIS'!L1159</f>
        <v>#REF!</v>
      </c>
      <c r="K6377" s="1668" t="s">
        <v>1516</v>
      </c>
      <c r="L6377" s="1669" t="e">
        <f>ROUND(H6377*J6377,0)</f>
        <v>#REF!</v>
      </c>
    </row>
    <row r="6378" spans="1:12" s="692" customFormat="1" ht="16.5" hidden="1">
      <c r="A6378" s="1665" t="str">
        <f>'Lead &amp; ANALYSIS'!A1160</f>
        <v>iv</v>
      </c>
      <c r="B6378" s="1666" t="str">
        <f>'Lead &amp; ANALYSIS'!B1160</f>
        <v>IV.Stony Earth</v>
      </c>
      <c r="C6378" s="688"/>
      <c r="D6378" s="1667"/>
      <c r="E6378" s="688"/>
      <c r="F6378" s="688"/>
      <c r="G6378" s="1674"/>
      <c r="H6378" s="688"/>
      <c r="I6378" s="1668"/>
      <c r="J6378" s="1669"/>
      <c r="K6378" s="1668"/>
      <c r="L6378" s="1669"/>
    </row>
    <row r="6379" spans="1:12" s="692" customFormat="1" ht="16.5" hidden="1">
      <c r="A6379" s="1665"/>
      <c r="B6379" s="1666"/>
      <c r="C6379" s="688"/>
      <c r="D6379" s="1667"/>
      <c r="E6379" s="1671">
        <v>3.5</v>
      </c>
      <c r="F6379" s="1671">
        <v>4</v>
      </c>
      <c r="G6379" s="1674"/>
      <c r="H6379" s="1671">
        <f t="shared" ref="H6379:H6384" si="1163">ROUND(D6379*E6379*F6379,2)</f>
        <v>0</v>
      </c>
      <c r="I6379" s="688" t="s">
        <v>92</v>
      </c>
      <c r="J6379" s="1669"/>
      <c r="K6379" s="1668"/>
      <c r="L6379" s="1669"/>
    </row>
    <row r="6380" spans="1:12" s="692" customFormat="1" ht="16.5" hidden="1">
      <c r="A6380" s="1665"/>
      <c r="B6380" s="1666"/>
      <c r="C6380" s="688"/>
      <c r="D6380" s="1667"/>
      <c r="E6380" s="1671">
        <v>3.5</v>
      </c>
      <c r="F6380" s="1671">
        <v>4</v>
      </c>
      <c r="G6380" s="1674"/>
      <c r="H6380" s="1671">
        <f t="shared" si="1163"/>
        <v>0</v>
      </c>
      <c r="I6380" s="688" t="s">
        <v>92</v>
      </c>
      <c r="J6380" s="1669"/>
      <c r="K6380" s="1668"/>
      <c r="L6380" s="1669"/>
    </row>
    <row r="6381" spans="1:12" s="692" customFormat="1" ht="16.5" hidden="1">
      <c r="A6381" s="1665"/>
      <c r="B6381" s="1666"/>
      <c r="C6381" s="688"/>
      <c r="D6381" s="1667"/>
      <c r="E6381" s="1671">
        <v>3.5</v>
      </c>
      <c r="F6381" s="1671">
        <v>4</v>
      </c>
      <c r="G6381" s="1674"/>
      <c r="H6381" s="1671">
        <f t="shared" si="1163"/>
        <v>0</v>
      </c>
      <c r="I6381" s="688" t="s">
        <v>92</v>
      </c>
      <c r="J6381" s="1669"/>
      <c r="K6381" s="1668"/>
      <c r="L6381" s="1669"/>
    </row>
    <row r="6382" spans="1:12" s="692" customFormat="1" ht="16.5" hidden="1">
      <c r="A6382" s="1665"/>
      <c r="B6382" s="1666"/>
      <c r="C6382" s="688"/>
      <c r="D6382" s="1667"/>
      <c r="E6382" s="1671">
        <v>3.5</v>
      </c>
      <c r="F6382" s="1671">
        <v>4</v>
      </c>
      <c r="G6382" s="1674"/>
      <c r="H6382" s="1671">
        <f t="shared" si="1163"/>
        <v>0</v>
      </c>
      <c r="I6382" s="688" t="s">
        <v>92</v>
      </c>
      <c r="J6382" s="1669"/>
      <c r="K6382" s="1668"/>
      <c r="L6382" s="1669"/>
    </row>
    <row r="6383" spans="1:12" s="692" customFormat="1" ht="16.5" hidden="1">
      <c r="A6383" s="1665"/>
      <c r="B6383" s="1666"/>
      <c r="C6383" s="688"/>
      <c r="D6383" s="1667"/>
      <c r="E6383" s="1671">
        <v>3.5</v>
      </c>
      <c r="F6383" s="1671">
        <v>4</v>
      </c>
      <c r="G6383" s="1674"/>
      <c r="H6383" s="1671">
        <f t="shared" si="1163"/>
        <v>0</v>
      </c>
      <c r="I6383" s="688" t="s">
        <v>92</v>
      </c>
      <c r="J6383" s="1669"/>
      <c r="K6383" s="1668"/>
      <c r="L6383" s="1669"/>
    </row>
    <row r="6384" spans="1:12" s="692" customFormat="1" ht="16.5" hidden="1">
      <c r="A6384" s="1665"/>
      <c r="B6384" s="1666"/>
      <c r="C6384" s="688"/>
      <c r="D6384" s="1667"/>
      <c r="E6384" s="1671">
        <v>3.5</v>
      </c>
      <c r="F6384" s="1671">
        <v>4</v>
      </c>
      <c r="G6384" s="1674"/>
      <c r="H6384" s="1671">
        <f t="shared" si="1163"/>
        <v>0</v>
      </c>
      <c r="I6384" s="688" t="s">
        <v>92</v>
      </c>
      <c r="J6384" s="1669"/>
      <c r="K6384" s="1668"/>
      <c r="L6384" s="1669"/>
    </row>
    <row r="6385" spans="1:12" s="692" customFormat="1" ht="16.5" hidden="1">
      <c r="A6385" s="1665"/>
      <c r="B6385" s="1666"/>
      <c r="C6385" s="688"/>
      <c r="D6385" s="1667"/>
      <c r="E6385" s="1671"/>
      <c r="F6385" s="1671"/>
      <c r="G6385" s="1674" t="s">
        <v>928</v>
      </c>
      <c r="H6385" s="1671">
        <f>SUM(H6379:H6384)</f>
        <v>0</v>
      </c>
      <c r="I6385" s="688" t="s">
        <v>92</v>
      </c>
      <c r="J6385" s="1669" t="e">
        <f>'Lead &amp; ANALYSIS'!L1160</f>
        <v>#REF!</v>
      </c>
      <c r="K6385" s="1668" t="s">
        <v>1516</v>
      </c>
      <c r="L6385" s="1669" t="e">
        <f>ROUND(H6385*J6385,0)</f>
        <v>#REF!</v>
      </c>
    </row>
    <row r="6386" spans="1:12" s="692" customFormat="1" ht="16.5" hidden="1">
      <c r="A6386" s="1665" t="str">
        <f>'Lead &amp; ANALYSIS'!A1161</f>
        <v>v</v>
      </c>
      <c r="B6386" s="1666" t="str">
        <f>'Lead &amp; ANALYSIS'!B1161</f>
        <v>V.All Kinds of Soil</v>
      </c>
      <c r="C6386" s="688"/>
      <c r="D6386" s="1667"/>
      <c r="E6386" s="688"/>
      <c r="F6386" s="688"/>
      <c r="G6386" s="1674"/>
      <c r="H6386" s="688"/>
      <c r="I6386" s="1668"/>
      <c r="J6386" s="1669"/>
      <c r="K6386" s="1668"/>
      <c r="L6386" s="1669"/>
    </row>
    <row r="6387" spans="1:12" s="692" customFormat="1" ht="16.5" hidden="1">
      <c r="A6387" s="1665"/>
      <c r="B6387" s="1666"/>
      <c r="C6387" s="688"/>
      <c r="D6387" s="1667"/>
      <c r="E6387" s="1671">
        <v>3.5</v>
      </c>
      <c r="F6387" s="1671">
        <v>4</v>
      </c>
      <c r="G6387" s="1674"/>
      <c r="H6387" s="1671">
        <f t="shared" ref="H6387:H6392" si="1164">ROUND(D6387*E6387*F6387,2)</f>
        <v>0</v>
      </c>
      <c r="I6387" s="688" t="s">
        <v>92</v>
      </c>
      <c r="J6387" s="1669"/>
      <c r="K6387" s="1668"/>
      <c r="L6387" s="1669"/>
    </row>
    <row r="6388" spans="1:12" s="692" customFormat="1" ht="16.5" hidden="1">
      <c r="A6388" s="1665"/>
      <c r="B6388" s="1666"/>
      <c r="C6388" s="688"/>
      <c r="D6388" s="1667"/>
      <c r="E6388" s="1671">
        <v>3.5</v>
      </c>
      <c r="F6388" s="1671">
        <v>4</v>
      </c>
      <c r="G6388" s="1674"/>
      <c r="H6388" s="1671">
        <f t="shared" si="1164"/>
        <v>0</v>
      </c>
      <c r="I6388" s="688" t="s">
        <v>92</v>
      </c>
      <c r="J6388" s="1669"/>
      <c r="K6388" s="1668"/>
      <c r="L6388" s="1669"/>
    </row>
    <row r="6389" spans="1:12" s="692" customFormat="1" ht="16.5" hidden="1">
      <c r="A6389" s="1665"/>
      <c r="B6389" s="1666"/>
      <c r="C6389" s="688"/>
      <c r="D6389" s="1667"/>
      <c r="E6389" s="1671">
        <v>3.5</v>
      </c>
      <c r="F6389" s="1671">
        <v>4</v>
      </c>
      <c r="G6389" s="1674"/>
      <c r="H6389" s="1671">
        <f t="shared" si="1164"/>
        <v>0</v>
      </c>
      <c r="I6389" s="688" t="s">
        <v>92</v>
      </c>
      <c r="J6389" s="1669"/>
      <c r="K6389" s="1668"/>
      <c r="L6389" s="1669"/>
    </row>
    <row r="6390" spans="1:12" s="692" customFormat="1" ht="16.5" hidden="1">
      <c r="A6390" s="1665"/>
      <c r="B6390" s="1666"/>
      <c r="C6390" s="688"/>
      <c r="D6390" s="1667"/>
      <c r="E6390" s="1671">
        <v>3.5</v>
      </c>
      <c r="F6390" s="1671">
        <v>4</v>
      </c>
      <c r="G6390" s="1674"/>
      <c r="H6390" s="1671">
        <f t="shared" si="1164"/>
        <v>0</v>
      </c>
      <c r="I6390" s="688" t="s">
        <v>92</v>
      </c>
      <c r="J6390" s="1669"/>
      <c r="K6390" s="1668"/>
      <c r="L6390" s="1669"/>
    </row>
    <row r="6391" spans="1:12" s="692" customFormat="1" ht="16.5" hidden="1">
      <c r="A6391" s="1665"/>
      <c r="B6391" s="1666"/>
      <c r="C6391" s="688"/>
      <c r="D6391" s="1667"/>
      <c r="E6391" s="1671">
        <v>3.5</v>
      </c>
      <c r="F6391" s="1671">
        <v>4</v>
      </c>
      <c r="G6391" s="1674"/>
      <c r="H6391" s="1671">
        <f t="shared" si="1164"/>
        <v>0</v>
      </c>
      <c r="I6391" s="688" t="s">
        <v>92</v>
      </c>
      <c r="J6391" s="1669"/>
      <c r="K6391" s="1668"/>
      <c r="L6391" s="1669"/>
    </row>
    <row r="6392" spans="1:12" s="692" customFormat="1" ht="16.5" hidden="1">
      <c r="A6392" s="1665"/>
      <c r="B6392" s="1666"/>
      <c r="C6392" s="688"/>
      <c r="D6392" s="1667"/>
      <c r="E6392" s="1671">
        <v>3.5</v>
      </c>
      <c r="F6392" s="1671">
        <v>4</v>
      </c>
      <c r="G6392" s="1674"/>
      <c r="H6392" s="1671">
        <f t="shared" si="1164"/>
        <v>0</v>
      </c>
      <c r="I6392" s="688" t="s">
        <v>92</v>
      </c>
      <c r="J6392" s="1669"/>
      <c r="K6392" s="1668"/>
      <c r="L6392" s="1669"/>
    </row>
    <row r="6393" spans="1:12" s="692" customFormat="1" ht="16.5" hidden="1">
      <c r="A6393" s="1665"/>
      <c r="B6393" s="1666"/>
      <c r="C6393" s="688"/>
      <c r="D6393" s="1667"/>
      <c r="E6393" s="1671"/>
      <c r="F6393" s="1671"/>
      <c r="G6393" s="1674" t="s">
        <v>928</v>
      </c>
      <c r="H6393" s="1671">
        <f>SUM(H6387:H6392)</f>
        <v>0</v>
      </c>
      <c r="I6393" s="688" t="s">
        <v>92</v>
      </c>
      <c r="J6393" s="1669" t="e">
        <f>'Lead &amp; ANALYSIS'!L1161</f>
        <v>#REF!</v>
      </c>
      <c r="K6393" s="1668" t="s">
        <v>1516</v>
      </c>
      <c r="L6393" s="1669" t="e">
        <f>ROUND(H6393*J6393,0)</f>
        <v>#REF!</v>
      </c>
    </row>
    <row r="6394" spans="1:12" s="692" customFormat="1" ht="16.5" hidden="1">
      <c r="A6394" s="1665" t="str">
        <f>'Lead &amp; ANALYSIS'!A1162</f>
        <v>E.</v>
      </c>
      <c r="B6394" s="1675" t="str">
        <f>'Lead &amp; ANALYSIS'!B1162</f>
        <v>5TH DEPTH OF 1.5MTR.</v>
      </c>
      <c r="C6394" s="688"/>
      <c r="D6394" s="1667"/>
      <c r="E6394" s="688"/>
      <c r="F6394" s="688"/>
      <c r="G6394" s="1674"/>
      <c r="H6394" s="688"/>
      <c r="I6394" s="1668"/>
      <c r="J6394" s="1669"/>
      <c r="K6394" s="1668"/>
      <c r="L6394" s="1669"/>
    </row>
    <row r="6395" spans="1:12" s="692" customFormat="1" ht="16.5" hidden="1">
      <c r="A6395" s="1665" t="str">
        <f>'Lead &amp; ANALYSIS'!A1163</f>
        <v>i</v>
      </c>
      <c r="B6395" s="1666" t="str">
        <f>'Lead &amp; ANALYSIS'!B1163</f>
        <v>i.Ordinary Soil.</v>
      </c>
      <c r="C6395" s="688"/>
      <c r="D6395" s="1667"/>
      <c r="E6395" s="688"/>
      <c r="F6395" s="688"/>
      <c r="G6395" s="1674"/>
      <c r="H6395" s="688"/>
      <c r="I6395" s="1668"/>
      <c r="J6395" s="1668"/>
      <c r="K6395" s="1668"/>
      <c r="L6395" s="1669"/>
    </row>
    <row r="6396" spans="1:12" s="692" customFormat="1" ht="16.5" hidden="1">
      <c r="A6396" s="1665"/>
      <c r="B6396" s="1666"/>
      <c r="C6396" s="688"/>
      <c r="D6396" s="1667"/>
      <c r="E6396" s="1671">
        <v>3.5</v>
      </c>
      <c r="F6396" s="1671">
        <v>4</v>
      </c>
      <c r="G6396" s="1674"/>
      <c r="H6396" s="1671">
        <f t="shared" ref="H6396:H6401" si="1165">ROUND(D6396*E6396*F6396,2)</f>
        <v>0</v>
      </c>
      <c r="I6396" s="688" t="s">
        <v>92</v>
      </c>
      <c r="J6396" s="1668"/>
      <c r="K6396" s="1668"/>
      <c r="L6396" s="1669"/>
    </row>
    <row r="6397" spans="1:12" s="692" customFormat="1" ht="16.5" hidden="1">
      <c r="A6397" s="1665"/>
      <c r="B6397" s="1666"/>
      <c r="C6397" s="688"/>
      <c r="D6397" s="1667"/>
      <c r="E6397" s="1671">
        <v>3.5</v>
      </c>
      <c r="F6397" s="1671">
        <v>4</v>
      </c>
      <c r="G6397" s="1674"/>
      <c r="H6397" s="1671">
        <f t="shared" si="1165"/>
        <v>0</v>
      </c>
      <c r="I6397" s="688" t="s">
        <v>92</v>
      </c>
      <c r="J6397" s="1668"/>
      <c r="K6397" s="1668"/>
      <c r="L6397" s="1669"/>
    </row>
    <row r="6398" spans="1:12" s="692" customFormat="1" ht="16.5" hidden="1">
      <c r="A6398" s="1665"/>
      <c r="B6398" s="1666"/>
      <c r="C6398" s="688"/>
      <c r="D6398" s="1667"/>
      <c r="E6398" s="1671">
        <v>3.5</v>
      </c>
      <c r="F6398" s="1671">
        <v>4</v>
      </c>
      <c r="G6398" s="1674"/>
      <c r="H6398" s="1671">
        <f t="shared" si="1165"/>
        <v>0</v>
      </c>
      <c r="I6398" s="688" t="s">
        <v>92</v>
      </c>
      <c r="J6398" s="1668"/>
      <c r="K6398" s="1668"/>
      <c r="L6398" s="1669"/>
    </row>
    <row r="6399" spans="1:12" s="692" customFormat="1" ht="16.5" hidden="1">
      <c r="A6399" s="1665"/>
      <c r="B6399" s="1666"/>
      <c r="C6399" s="688"/>
      <c r="D6399" s="1667"/>
      <c r="E6399" s="1671">
        <v>3.5</v>
      </c>
      <c r="F6399" s="1671">
        <v>4</v>
      </c>
      <c r="G6399" s="1674"/>
      <c r="H6399" s="1671">
        <f t="shared" si="1165"/>
        <v>0</v>
      </c>
      <c r="I6399" s="688" t="s">
        <v>92</v>
      </c>
      <c r="J6399" s="1668"/>
      <c r="K6399" s="1668"/>
      <c r="L6399" s="1669"/>
    </row>
    <row r="6400" spans="1:12" s="692" customFormat="1" ht="16.5" hidden="1">
      <c r="A6400" s="1665"/>
      <c r="B6400" s="1666"/>
      <c r="C6400" s="688"/>
      <c r="D6400" s="1667"/>
      <c r="E6400" s="1671">
        <v>3.5</v>
      </c>
      <c r="F6400" s="1671">
        <v>4</v>
      </c>
      <c r="G6400" s="1674"/>
      <c r="H6400" s="1671">
        <f t="shared" si="1165"/>
        <v>0</v>
      </c>
      <c r="I6400" s="688" t="s">
        <v>92</v>
      </c>
      <c r="J6400" s="1668"/>
      <c r="K6400" s="1668"/>
      <c r="L6400" s="1669"/>
    </row>
    <row r="6401" spans="1:12" s="692" customFormat="1" ht="16.5" hidden="1">
      <c r="A6401" s="1665"/>
      <c r="B6401" s="1666"/>
      <c r="C6401" s="688"/>
      <c r="D6401" s="1667"/>
      <c r="E6401" s="1671">
        <v>3.5</v>
      </c>
      <c r="F6401" s="1671">
        <v>4</v>
      </c>
      <c r="G6401" s="1674"/>
      <c r="H6401" s="1671">
        <f t="shared" si="1165"/>
        <v>0</v>
      </c>
      <c r="I6401" s="688" t="s">
        <v>92</v>
      </c>
      <c r="J6401" s="1668"/>
      <c r="K6401" s="1668"/>
      <c r="L6401" s="1669"/>
    </row>
    <row r="6402" spans="1:12" s="692" customFormat="1" ht="16.5" hidden="1">
      <c r="A6402" s="1665"/>
      <c r="B6402" s="1666"/>
      <c r="C6402" s="688"/>
      <c r="D6402" s="1667"/>
      <c r="E6402" s="1671"/>
      <c r="F6402" s="1671"/>
      <c r="G6402" s="1674" t="s">
        <v>928</v>
      </c>
      <c r="H6402" s="1671">
        <f>SUM(H6396:H6401)</f>
        <v>0</v>
      </c>
      <c r="I6402" s="688" t="s">
        <v>92</v>
      </c>
      <c r="J6402" s="1669" t="e">
        <f>'Lead &amp; ANALYSIS'!L1163</f>
        <v>#REF!</v>
      </c>
      <c r="K6402" s="1668" t="s">
        <v>1516</v>
      </c>
      <c r="L6402" s="1669" t="e">
        <f>ROUND(H6402*J6402,0)</f>
        <v>#REF!</v>
      </c>
    </row>
    <row r="6403" spans="1:12" s="692" customFormat="1" ht="16.5" hidden="1">
      <c r="A6403" s="1665" t="str">
        <f>'Lead &amp; ANALYSIS'!A1164</f>
        <v>ii</v>
      </c>
      <c r="B6403" s="1666" t="str">
        <f>'Lead &amp; ANALYSIS'!B1164</f>
        <v>ii.Slushy Soil</v>
      </c>
      <c r="C6403" s="688"/>
      <c r="D6403" s="1667"/>
      <c r="E6403" s="688"/>
      <c r="F6403" s="688"/>
      <c r="G6403" s="1674"/>
      <c r="H6403" s="688"/>
      <c r="I6403" s="1668"/>
      <c r="J6403" s="1669"/>
      <c r="K6403" s="1668"/>
      <c r="L6403" s="1669"/>
    </row>
    <row r="6404" spans="1:12" s="692" customFormat="1" ht="16.5" hidden="1">
      <c r="A6404" s="1665"/>
      <c r="B6404" s="1666"/>
      <c r="C6404" s="688"/>
      <c r="D6404" s="1667"/>
      <c r="E6404" s="1671">
        <v>3.5</v>
      </c>
      <c r="F6404" s="1671">
        <v>4</v>
      </c>
      <c r="G6404" s="1674"/>
      <c r="H6404" s="1671">
        <f t="shared" ref="H6404:H6409" si="1166">ROUND(D6404*E6404*F6404,2)</f>
        <v>0</v>
      </c>
      <c r="I6404" s="688" t="s">
        <v>92</v>
      </c>
      <c r="J6404" s="1669"/>
      <c r="K6404" s="1668"/>
      <c r="L6404" s="1669"/>
    </row>
    <row r="6405" spans="1:12" s="692" customFormat="1" ht="16.5" hidden="1">
      <c r="A6405" s="1665"/>
      <c r="B6405" s="1666"/>
      <c r="C6405" s="688"/>
      <c r="D6405" s="1667"/>
      <c r="E6405" s="1671">
        <v>3.5</v>
      </c>
      <c r="F6405" s="1671">
        <v>4</v>
      </c>
      <c r="G6405" s="1674"/>
      <c r="H6405" s="1671">
        <f t="shared" si="1166"/>
        <v>0</v>
      </c>
      <c r="I6405" s="688" t="s">
        <v>92</v>
      </c>
      <c r="J6405" s="1669"/>
      <c r="K6405" s="1668"/>
      <c r="L6405" s="1669"/>
    </row>
    <row r="6406" spans="1:12" s="692" customFormat="1" ht="16.5" hidden="1">
      <c r="A6406" s="1665"/>
      <c r="B6406" s="1666"/>
      <c r="C6406" s="688"/>
      <c r="D6406" s="1667"/>
      <c r="E6406" s="1671">
        <v>3.5</v>
      </c>
      <c r="F6406" s="1671">
        <v>4</v>
      </c>
      <c r="G6406" s="1674"/>
      <c r="H6406" s="1671">
        <f t="shared" si="1166"/>
        <v>0</v>
      </c>
      <c r="I6406" s="688" t="s">
        <v>92</v>
      </c>
      <c r="J6406" s="1669"/>
      <c r="K6406" s="1668"/>
      <c r="L6406" s="1669"/>
    </row>
    <row r="6407" spans="1:12" s="692" customFormat="1" ht="16.5" hidden="1">
      <c r="A6407" s="1665"/>
      <c r="B6407" s="1666"/>
      <c r="C6407" s="688"/>
      <c r="D6407" s="1667"/>
      <c r="E6407" s="1671">
        <v>3.5</v>
      </c>
      <c r="F6407" s="1671">
        <v>4</v>
      </c>
      <c r="G6407" s="1674"/>
      <c r="H6407" s="1671">
        <f t="shared" si="1166"/>
        <v>0</v>
      </c>
      <c r="I6407" s="688" t="s">
        <v>92</v>
      </c>
      <c r="J6407" s="1669"/>
      <c r="K6407" s="1668"/>
      <c r="L6407" s="1669"/>
    </row>
    <row r="6408" spans="1:12" s="692" customFormat="1" ht="16.5" hidden="1">
      <c r="A6408" s="1665"/>
      <c r="B6408" s="1666"/>
      <c r="C6408" s="688"/>
      <c r="D6408" s="1667"/>
      <c r="E6408" s="1671">
        <v>3.5</v>
      </c>
      <c r="F6408" s="1671">
        <v>4</v>
      </c>
      <c r="G6408" s="1674"/>
      <c r="H6408" s="1671">
        <f t="shared" si="1166"/>
        <v>0</v>
      </c>
      <c r="I6408" s="688" t="s">
        <v>92</v>
      </c>
      <c r="J6408" s="1669"/>
      <c r="K6408" s="1668"/>
      <c r="L6408" s="1669"/>
    </row>
    <row r="6409" spans="1:12" s="692" customFormat="1" ht="16.5" hidden="1">
      <c r="A6409" s="1665"/>
      <c r="B6409" s="1666"/>
      <c r="C6409" s="688"/>
      <c r="D6409" s="1667"/>
      <c r="E6409" s="1671">
        <v>3.5</v>
      </c>
      <c r="F6409" s="1671">
        <v>4</v>
      </c>
      <c r="G6409" s="1674"/>
      <c r="H6409" s="1671">
        <f t="shared" si="1166"/>
        <v>0</v>
      </c>
      <c r="I6409" s="688" t="s">
        <v>92</v>
      </c>
      <c r="J6409" s="1669"/>
      <c r="K6409" s="1668"/>
      <c r="L6409" s="1669"/>
    </row>
    <row r="6410" spans="1:12" s="692" customFormat="1" ht="16.5" hidden="1">
      <c r="A6410" s="1665"/>
      <c r="B6410" s="1666"/>
      <c r="C6410" s="688"/>
      <c r="D6410" s="1667"/>
      <c r="E6410" s="1671"/>
      <c r="F6410" s="1671"/>
      <c r="G6410" s="1674" t="s">
        <v>928</v>
      </c>
      <c r="H6410" s="1671">
        <f>SUM(H6404:H6409)</f>
        <v>0</v>
      </c>
      <c r="I6410" s="688" t="s">
        <v>92</v>
      </c>
      <c r="J6410" s="1669" t="e">
        <f>'Lead &amp; ANALYSIS'!L1164</f>
        <v>#REF!</v>
      </c>
      <c r="K6410" s="1668" t="s">
        <v>1516</v>
      </c>
      <c r="L6410" s="1669" t="e">
        <f>ROUND(H6410*J6410,0)</f>
        <v>#REF!</v>
      </c>
    </row>
    <row r="6411" spans="1:12" s="692" customFormat="1" ht="16.5" hidden="1">
      <c r="A6411" s="1665" t="str">
        <f>'Lead &amp; ANALYSIS'!A1165</f>
        <v>iii</v>
      </c>
      <c r="B6411" s="1666" t="str">
        <f>'Lead &amp; ANALYSIS'!B1165</f>
        <v>iii.Hard Sooil</v>
      </c>
      <c r="C6411" s="688"/>
      <c r="D6411" s="1667"/>
      <c r="E6411" s="688"/>
      <c r="F6411" s="688"/>
      <c r="G6411" s="1674"/>
      <c r="H6411" s="688"/>
      <c r="I6411" s="1668"/>
      <c r="J6411" s="1669"/>
      <c r="K6411" s="1668"/>
      <c r="L6411" s="1669"/>
    </row>
    <row r="6412" spans="1:12" s="692" customFormat="1" ht="16.5" hidden="1">
      <c r="A6412" s="1665"/>
      <c r="B6412" s="1666"/>
      <c r="C6412" s="688"/>
      <c r="D6412" s="1667"/>
      <c r="E6412" s="1671">
        <v>3.5</v>
      </c>
      <c r="F6412" s="1671">
        <v>4</v>
      </c>
      <c r="G6412" s="1674"/>
      <c r="H6412" s="1671">
        <f t="shared" ref="H6412:H6417" si="1167">ROUND(D6412*E6412*F6412,2)</f>
        <v>0</v>
      </c>
      <c r="I6412" s="688" t="s">
        <v>92</v>
      </c>
      <c r="J6412" s="1669"/>
      <c r="K6412" s="1668"/>
      <c r="L6412" s="1669"/>
    </row>
    <row r="6413" spans="1:12" s="692" customFormat="1" ht="16.5" hidden="1">
      <c r="A6413" s="1665"/>
      <c r="B6413" s="1666"/>
      <c r="C6413" s="688"/>
      <c r="D6413" s="1667"/>
      <c r="E6413" s="1671">
        <v>3.5</v>
      </c>
      <c r="F6413" s="1671">
        <v>4</v>
      </c>
      <c r="G6413" s="1674"/>
      <c r="H6413" s="1671">
        <f t="shared" si="1167"/>
        <v>0</v>
      </c>
      <c r="I6413" s="688" t="s">
        <v>92</v>
      </c>
      <c r="J6413" s="1669"/>
      <c r="K6413" s="1668"/>
      <c r="L6413" s="1669"/>
    </row>
    <row r="6414" spans="1:12" s="692" customFormat="1" ht="16.5" hidden="1">
      <c r="A6414" s="1665"/>
      <c r="B6414" s="1666"/>
      <c r="C6414" s="688"/>
      <c r="D6414" s="1667"/>
      <c r="E6414" s="1671">
        <v>3.5</v>
      </c>
      <c r="F6414" s="1671">
        <v>4</v>
      </c>
      <c r="G6414" s="1674"/>
      <c r="H6414" s="1671">
        <f t="shared" si="1167"/>
        <v>0</v>
      </c>
      <c r="I6414" s="688" t="s">
        <v>92</v>
      </c>
      <c r="J6414" s="1669"/>
      <c r="K6414" s="1668"/>
      <c r="L6414" s="1669"/>
    </row>
    <row r="6415" spans="1:12" s="692" customFormat="1" ht="16.5" hidden="1">
      <c r="A6415" s="1665"/>
      <c r="B6415" s="1666"/>
      <c r="C6415" s="688"/>
      <c r="D6415" s="1667"/>
      <c r="E6415" s="1671">
        <v>3.5</v>
      </c>
      <c r="F6415" s="1671">
        <v>4</v>
      </c>
      <c r="G6415" s="1674"/>
      <c r="H6415" s="1671">
        <f t="shared" si="1167"/>
        <v>0</v>
      </c>
      <c r="I6415" s="688" t="s">
        <v>92</v>
      </c>
      <c r="J6415" s="1669"/>
      <c r="K6415" s="1668"/>
      <c r="L6415" s="1669"/>
    </row>
    <row r="6416" spans="1:12" s="692" customFormat="1" ht="16.5" hidden="1">
      <c r="A6416" s="1665"/>
      <c r="B6416" s="1666"/>
      <c r="C6416" s="688"/>
      <c r="D6416" s="1667"/>
      <c r="E6416" s="1671">
        <v>3.5</v>
      </c>
      <c r="F6416" s="1671">
        <v>4</v>
      </c>
      <c r="G6416" s="1674"/>
      <c r="H6416" s="1671">
        <f t="shared" si="1167"/>
        <v>0</v>
      </c>
      <c r="I6416" s="688" t="s">
        <v>92</v>
      </c>
      <c r="J6416" s="1669"/>
      <c r="K6416" s="1668"/>
      <c r="L6416" s="1669"/>
    </row>
    <row r="6417" spans="1:12" s="692" customFormat="1" ht="16.5" hidden="1">
      <c r="A6417" s="1665"/>
      <c r="B6417" s="1666"/>
      <c r="C6417" s="688"/>
      <c r="D6417" s="1667"/>
      <c r="E6417" s="1671">
        <v>3.5</v>
      </c>
      <c r="F6417" s="1671">
        <v>4</v>
      </c>
      <c r="G6417" s="1674"/>
      <c r="H6417" s="1671">
        <f t="shared" si="1167"/>
        <v>0</v>
      </c>
      <c r="I6417" s="688" t="s">
        <v>92</v>
      </c>
      <c r="J6417" s="1669"/>
      <c r="K6417" s="1668"/>
      <c r="L6417" s="1669"/>
    </row>
    <row r="6418" spans="1:12" s="692" customFormat="1" ht="16.5" hidden="1">
      <c r="A6418" s="1665"/>
      <c r="B6418" s="1666"/>
      <c r="C6418" s="688"/>
      <c r="D6418" s="1667"/>
      <c r="E6418" s="1671"/>
      <c r="F6418" s="1671"/>
      <c r="G6418" s="1674" t="s">
        <v>928</v>
      </c>
      <c r="H6418" s="1671">
        <f>SUM(H6412:H6417)</f>
        <v>0</v>
      </c>
      <c r="I6418" s="688" t="s">
        <v>92</v>
      </c>
      <c r="J6418" s="1669" t="e">
        <f>'Lead &amp; ANALYSIS'!L1165</f>
        <v>#REF!</v>
      </c>
      <c r="K6418" s="1668" t="s">
        <v>1516</v>
      </c>
      <c r="L6418" s="1669" t="e">
        <f>ROUND(H6418*J6418,0)</f>
        <v>#REF!</v>
      </c>
    </row>
    <row r="6419" spans="1:12" s="692" customFormat="1" ht="16.5" hidden="1">
      <c r="A6419" s="1665" t="str">
        <f>'Lead &amp; ANALYSIS'!A1166</f>
        <v>iv</v>
      </c>
      <c r="B6419" s="1666" t="str">
        <f>'Lead &amp; ANALYSIS'!B1166</f>
        <v>IV.Stony Earth</v>
      </c>
      <c r="C6419" s="688"/>
      <c r="D6419" s="1667"/>
      <c r="E6419" s="688"/>
      <c r="F6419" s="688"/>
      <c r="G6419" s="1674"/>
      <c r="H6419" s="688"/>
      <c r="I6419" s="1668"/>
      <c r="J6419" s="1669"/>
      <c r="K6419" s="1668"/>
      <c r="L6419" s="1669"/>
    </row>
    <row r="6420" spans="1:12" s="692" customFormat="1" ht="16.5" hidden="1">
      <c r="A6420" s="1665"/>
      <c r="B6420" s="1666"/>
      <c r="C6420" s="688"/>
      <c r="D6420" s="1667"/>
      <c r="E6420" s="1671">
        <v>3.5</v>
      </c>
      <c r="F6420" s="1671">
        <v>4</v>
      </c>
      <c r="G6420" s="1674"/>
      <c r="H6420" s="1671">
        <f t="shared" ref="H6420:H6425" si="1168">ROUND(D6420*E6420*F6420,2)</f>
        <v>0</v>
      </c>
      <c r="I6420" s="688" t="s">
        <v>92</v>
      </c>
      <c r="J6420" s="1669"/>
      <c r="K6420" s="1668"/>
      <c r="L6420" s="1669"/>
    </row>
    <row r="6421" spans="1:12" s="692" customFormat="1" ht="16.5" hidden="1">
      <c r="A6421" s="1665"/>
      <c r="B6421" s="1666"/>
      <c r="C6421" s="688"/>
      <c r="D6421" s="1667"/>
      <c r="E6421" s="1671">
        <v>3.5</v>
      </c>
      <c r="F6421" s="1671">
        <v>4</v>
      </c>
      <c r="G6421" s="1674"/>
      <c r="H6421" s="1671">
        <f t="shared" si="1168"/>
        <v>0</v>
      </c>
      <c r="I6421" s="688" t="s">
        <v>92</v>
      </c>
      <c r="J6421" s="1669"/>
      <c r="K6421" s="1668"/>
      <c r="L6421" s="1669"/>
    </row>
    <row r="6422" spans="1:12" s="692" customFormat="1" ht="16.5" hidden="1">
      <c r="A6422" s="1665"/>
      <c r="B6422" s="1666"/>
      <c r="C6422" s="688"/>
      <c r="D6422" s="1667"/>
      <c r="E6422" s="1671">
        <v>3.5</v>
      </c>
      <c r="F6422" s="1671">
        <v>4</v>
      </c>
      <c r="G6422" s="1674"/>
      <c r="H6422" s="1671">
        <f t="shared" si="1168"/>
        <v>0</v>
      </c>
      <c r="I6422" s="688" t="s">
        <v>92</v>
      </c>
      <c r="J6422" s="1669"/>
      <c r="K6422" s="1668"/>
      <c r="L6422" s="1669"/>
    </row>
    <row r="6423" spans="1:12" s="692" customFormat="1" ht="16.5" hidden="1">
      <c r="A6423" s="1665"/>
      <c r="B6423" s="1666"/>
      <c r="C6423" s="688"/>
      <c r="D6423" s="1667"/>
      <c r="E6423" s="1671">
        <v>3.5</v>
      </c>
      <c r="F6423" s="1671">
        <v>4</v>
      </c>
      <c r="G6423" s="1674"/>
      <c r="H6423" s="1671">
        <f t="shared" si="1168"/>
        <v>0</v>
      </c>
      <c r="I6423" s="688" t="s">
        <v>92</v>
      </c>
      <c r="J6423" s="1669"/>
      <c r="K6423" s="1668"/>
      <c r="L6423" s="1669"/>
    </row>
    <row r="6424" spans="1:12" s="692" customFormat="1" ht="16.5" hidden="1">
      <c r="A6424" s="1665"/>
      <c r="B6424" s="1666"/>
      <c r="C6424" s="688"/>
      <c r="D6424" s="1667"/>
      <c r="E6424" s="1671">
        <v>3.5</v>
      </c>
      <c r="F6424" s="1671">
        <v>4</v>
      </c>
      <c r="G6424" s="1674"/>
      <c r="H6424" s="1671">
        <f t="shared" si="1168"/>
        <v>0</v>
      </c>
      <c r="I6424" s="688" t="s">
        <v>92</v>
      </c>
      <c r="J6424" s="1669"/>
      <c r="K6424" s="1668"/>
      <c r="L6424" s="1669"/>
    </row>
    <row r="6425" spans="1:12" s="692" customFormat="1" ht="16.5" hidden="1">
      <c r="A6425" s="1665"/>
      <c r="B6425" s="1666"/>
      <c r="C6425" s="688"/>
      <c r="D6425" s="1667"/>
      <c r="E6425" s="1671">
        <v>3.5</v>
      </c>
      <c r="F6425" s="1671">
        <v>4</v>
      </c>
      <c r="G6425" s="1674"/>
      <c r="H6425" s="1671">
        <f t="shared" si="1168"/>
        <v>0</v>
      </c>
      <c r="I6425" s="688" t="s">
        <v>92</v>
      </c>
      <c r="J6425" s="1669"/>
      <c r="K6425" s="1668"/>
      <c r="L6425" s="1669"/>
    </row>
    <row r="6426" spans="1:12" s="692" customFormat="1" ht="16.5" hidden="1">
      <c r="A6426" s="1665"/>
      <c r="B6426" s="1666"/>
      <c r="C6426" s="688"/>
      <c r="D6426" s="1667"/>
      <c r="E6426" s="1671"/>
      <c r="F6426" s="1671"/>
      <c r="G6426" s="1674" t="s">
        <v>928</v>
      </c>
      <c r="H6426" s="1671">
        <f>SUM(H6420:H6425)</f>
        <v>0</v>
      </c>
      <c r="I6426" s="688" t="s">
        <v>92</v>
      </c>
      <c r="J6426" s="1669" t="e">
        <f>'Lead &amp; ANALYSIS'!L1166</f>
        <v>#REF!</v>
      </c>
      <c r="K6426" s="1668" t="s">
        <v>1516</v>
      </c>
      <c r="L6426" s="1669" t="e">
        <f>ROUND(H6426*J6426,0)</f>
        <v>#REF!</v>
      </c>
    </row>
    <row r="6427" spans="1:12" s="692" customFormat="1" ht="16.5" hidden="1">
      <c r="A6427" s="1665" t="str">
        <f>'Lead &amp; ANALYSIS'!A1167</f>
        <v>v</v>
      </c>
      <c r="B6427" s="1666" t="str">
        <f>'Lead &amp; ANALYSIS'!B1167</f>
        <v>V.All Kinds of Soil</v>
      </c>
      <c r="C6427" s="688"/>
      <c r="D6427" s="1667"/>
      <c r="E6427" s="688"/>
      <c r="F6427" s="688"/>
      <c r="G6427" s="1674"/>
      <c r="H6427" s="688"/>
      <c r="I6427" s="1668"/>
      <c r="J6427" s="1669"/>
      <c r="K6427" s="1668"/>
      <c r="L6427" s="1669"/>
    </row>
    <row r="6428" spans="1:12" s="692" customFormat="1" ht="16.5" hidden="1">
      <c r="A6428" s="1665"/>
      <c r="B6428" s="1666"/>
      <c r="C6428" s="688"/>
      <c r="D6428" s="1667"/>
      <c r="E6428" s="1671">
        <v>3.5</v>
      </c>
      <c r="F6428" s="1671">
        <v>4</v>
      </c>
      <c r="G6428" s="1674"/>
      <c r="H6428" s="1671">
        <f t="shared" ref="H6428:H6433" si="1169">ROUND(D6428*E6428*F6428,2)</f>
        <v>0</v>
      </c>
      <c r="I6428" s="688" t="s">
        <v>92</v>
      </c>
      <c r="J6428" s="1669"/>
      <c r="K6428" s="1668"/>
      <c r="L6428" s="1669"/>
    </row>
    <row r="6429" spans="1:12" s="692" customFormat="1" ht="16.5" hidden="1">
      <c r="A6429" s="1665"/>
      <c r="B6429" s="1666"/>
      <c r="C6429" s="688"/>
      <c r="D6429" s="1667"/>
      <c r="E6429" s="1671">
        <v>3.5</v>
      </c>
      <c r="F6429" s="1671">
        <v>4</v>
      </c>
      <c r="G6429" s="1674"/>
      <c r="H6429" s="1671">
        <f t="shared" si="1169"/>
        <v>0</v>
      </c>
      <c r="I6429" s="688" t="s">
        <v>92</v>
      </c>
      <c r="J6429" s="1669"/>
      <c r="K6429" s="1668"/>
      <c r="L6429" s="1669"/>
    </row>
    <row r="6430" spans="1:12" s="692" customFormat="1" ht="16.5" hidden="1">
      <c r="A6430" s="1665"/>
      <c r="B6430" s="1666"/>
      <c r="C6430" s="688"/>
      <c r="D6430" s="1667"/>
      <c r="E6430" s="1671">
        <v>3.5</v>
      </c>
      <c r="F6430" s="1671">
        <v>4</v>
      </c>
      <c r="G6430" s="1674"/>
      <c r="H6430" s="1671">
        <f t="shared" si="1169"/>
        <v>0</v>
      </c>
      <c r="I6430" s="688" t="s">
        <v>92</v>
      </c>
      <c r="J6430" s="1669"/>
      <c r="K6430" s="1668"/>
      <c r="L6430" s="1669"/>
    </row>
    <row r="6431" spans="1:12" s="692" customFormat="1" ht="16.5" hidden="1">
      <c r="A6431" s="1665"/>
      <c r="B6431" s="1666"/>
      <c r="C6431" s="688"/>
      <c r="D6431" s="1667"/>
      <c r="E6431" s="1671">
        <v>3.5</v>
      </c>
      <c r="F6431" s="1671">
        <v>4</v>
      </c>
      <c r="G6431" s="1674"/>
      <c r="H6431" s="1671">
        <f t="shared" si="1169"/>
        <v>0</v>
      </c>
      <c r="I6431" s="688" t="s">
        <v>92</v>
      </c>
      <c r="J6431" s="1669"/>
      <c r="K6431" s="1668"/>
      <c r="L6431" s="1669"/>
    </row>
    <row r="6432" spans="1:12" s="692" customFormat="1" ht="16.5" hidden="1">
      <c r="A6432" s="1665"/>
      <c r="B6432" s="1666"/>
      <c r="C6432" s="688"/>
      <c r="D6432" s="1667"/>
      <c r="E6432" s="1671">
        <v>3.5</v>
      </c>
      <c r="F6432" s="1671">
        <v>4</v>
      </c>
      <c r="G6432" s="1674"/>
      <c r="H6432" s="1671">
        <f t="shared" si="1169"/>
        <v>0</v>
      </c>
      <c r="I6432" s="688" t="s">
        <v>92</v>
      </c>
      <c r="J6432" s="1669"/>
      <c r="K6432" s="1668"/>
      <c r="L6432" s="1669"/>
    </row>
    <row r="6433" spans="1:12" s="692" customFormat="1" ht="16.5" hidden="1">
      <c r="A6433" s="1665"/>
      <c r="B6433" s="1666"/>
      <c r="C6433" s="688"/>
      <c r="D6433" s="1667"/>
      <c r="E6433" s="1671">
        <v>3.5</v>
      </c>
      <c r="F6433" s="1671">
        <v>4</v>
      </c>
      <c r="G6433" s="1674"/>
      <c r="H6433" s="1671">
        <f t="shared" si="1169"/>
        <v>0</v>
      </c>
      <c r="I6433" s="688" t="s">
        <v>92</v>
      </c>
      <c r="J6433" s="1669"/>
      <c r="K6433" s="1668"/>
      <c r="L6433" s="1669"/>
    </row>
    <row r="6434" spans="1:12" s="692" customFormat="1" ht="16.5" hidden="1">
      <c r="A6434" s="1665"/>
      <c r="B6434" s="1666"/>
      <c r="C6434" s="688"/>
      <c r="D6434" s="1667"/>
      <c r="E6434" s="1671"/>
      <c r="F6434" s="1671"/>
      <c r="G6434" s="1674" t="s">
        <v>928</v>
      </c>
      <c r="H6434" s="1671">
        <f>SUM(H6428:H6433)</f>
        <v>0</v>
      </c>
      <c r="I6434" s="688" t="s">
        <v>92</v>
      </c>
      <c r="J6434" s="1669" t="e">
        <f>'Lead &amp; ANALYSIS'!L1167</f>
        <v>#REF!</v>
      </c>
      <c r="K6434" s="1668" t="s">
        <v>1516</v>
      </c>
      <c r="L6434" s="1669" t="e">
        <f>ROUND(H6434*J6434,0)</f>
        <v>#REF!</v>
      </c>
    </row>
    <row r="6435" spans="1:12" s="692" customFormat="1" ht="16.5" hidden="1">
      <c r="A6435" s="1665" t="str">
        <f>'Lead &amp; ANALYSIS'!A1168</f>
        <v>F.</v>
      </c>
      <c r="B6435" s="1675" t="str">
        <f>'Lead &amp; ANALYSIS'!B1168</f>
        <v>6TH DEPTH OF 1.5MTR.</v>
      </c>
      <c r="C6435" s="688"/>
      <c r="D6435" s="1667"/>
      <c r="E6435" s="688"/>
      <c r="F6435" s="688"/>
      <c r="G6435" s="1674"/>
      <c r="H6435" s="688"/>
      <c r="I6435" s="1668"/>
      <c r="J6435" s="1669"/>
      <c r="K6435" s="1668"/>
      <c r="L6435" s="1669"/>
    </row>
    <row r="6436" spans="1:12" s="692" customFormat="1" ht="16.5" hidden="1">
      <c r="A6436" s="1665" t="str">
        <f>'Lead &amp; ANALYSIS'!A1169</f>
        <v>i</v>
      </c>
      <c r="B6436" s="1666" t="str">
        <f>'Lead &amp; ANALYSIS'!B1169</f>
        <v>i.Ordinary Soil.</v>
      </c>
      <c r="C6436" s="688"/>
      <c r="D6436" s="1667"/>
      <c r="E6436" s="688"/>
      <c r="F6436" s="688"/>
      <c r="G6436" s="1674"/>
      <c r="H6436" s="688"/>
      <c r="I6436" s="1668"/>
      <c r="J6436" s="1668"/>
      <c r="K6436" s="1668"/>
      <c r="L6436" s="1669"/>
    </row>
    <row r="6437" spans="1:12" s="692" customFormat="1" ht="16.5" hidden="1">
      <c r="A6437" s="1665"/>
      <c r="B6437" s="1666"/>
      <c r="C6437" s="688"/>
      <c r="D6437" s="1667"/>
      <c r="E6437" s="1671">
        <v>3.5</v>
      </c>
      <c r="F6437" s="1671">
        <v>4</v>
      </c>
      <c r="G6437" s="1674"/>
      <c r="H6437" s="1671">
        <f t="shared" ref="H6437:H6442" si="1170">ROUND(D6437*E6437*F6437,2)</f>
        <v>0</v>
      </c>
      <c r="I6437" s="688" t="s">
        <v>92</v>
      </c>
      <c r="J6437" s="1668"/>
      <c r="K6437" s="1668"/>
      <c r="L6437" s="1669"/>
    </row>
    <row r="6438" spans="1:12" s="692" customFormat="1" ht="16.5" hidden="1">
      <c r="A6438" s="1665"/>
      <c r="B6438" s="1666"/>
      <c r="C6438" s="688"/>
      <c r="D6438" s="1667"/>
      <c r="E6438" s="1671">
        <v>3.5</v>
      </c>
      <c r="F6438" s="1671">
        <v>4</v>
      </c>
      <c r="G6438" s="1674"/>
      <c r="H6438" s="1671">
        <f t="shared" si="1170"/>
        <v>0</v>
      </c>
      <c r="I6438" s="688" t="s">
        <v>92</v>
      </c>
      <c r="J6438" s="1668"/>
      <c r="K6438" s="1668"/>
      <c r="L6438" s="1669"/>
    </row>
    <row r="6439" spans="1:12" s="692" customFormat="1" ht="16.5" hidden="1">
      <c r="A6439" s="1665"/>
      <c r="B6439" s="1666"/>
      <c r="C6439" s="688"/>
      <c r="D6439" s="1667"/>
      <c r="E6439" s="1671">
        <v>3.5</v>
      </c>
      <c r="F6439" s="1671">
        <v>4</v>
      </c>
      <c r="G6439" s="1674"/>
      <c r="H6439" s="1671">
        <f t="shared" si="1170"/>
        <v>0</v>
      </c>
      <c r="I6439" s="688" t="s">
        <v>92</v>
      </c>
      <c r="J6439" s="1668"/>
      <c r="K6439" s="1668"/>
      <c r="L6439" s="1669"/>
    </row>
    <row r="6440" spans="1:12" s="692" customFormat="1" ht="16.5" hidden="1">
      <c r="A6440" s="1665"/>
      <c r="B6440" s="1666"/>
      <c r="C6440" s="688"/>
      <c r="D6440" s="1667"/>
      <c r="E6440" s="1671">
        <v>3.5</v>
      </c>
      <c r="F6440" s="1671">
        <v>4</v>
      </c>
      <c r="G6440" s="1674"/>
      <c r="H6440" s="1671">
        <f t="shared" si="1170"/>
        <v>0</v>
      </c>
      <c r="I6440" s="688" t="s">
        <v>92</v>
      </c>
      <c r="J6440" s="1668"/>
      <c r="K6440" s="1668"/>
      <c r="L6440" s="1669"/>
    </row>
    <row r="6441" spans="1:12" s="692" customFormat="1" ht="16.5" hidden="1">
      <c r="A6441" s="1665"/>
      <c r="B6441" s="1666"/>
      <c r="C6441" s="688"/>
      <c r="D6441" s="1667"/>
      <c r="E6441" s="1671">
        <v>3.5</v>
      </c>
      <c r="F6441" s="1671">
        <v>4</v>
      </c>
      <c r="G6441" s="1674"/>
      <c r="H6441" s="1671">
        <f t="shared" si="1170"/>
        <v>0</v>
      </c>
      <c r="I6441" s="688" t="s">
        <v>92</v>
      </c>
      <c r="J6441" s="1668"/>
      <c r="K6441" s="1668"/>
      <c r="L6441" s="1669"/>
    </row>
    <row r="6442" spans="1:12" s="692" customFormat="1" ht="16.5" hidden="1">
      <c r="A6442" s="1665"/>
      <c r="B6442" s="1666"/>
      <c r="C6442" s="688"/>
      <c r="D6442" s="1667"/>
      <c r="E6442" s="1671">
        <v>3.5</v>
      </c>
      <c r="F6442" s="1671">
        <v>4</v>
      </c>
      <c r="G6442" s="1674"/>
      <c r="H6442" s="1671">
        <f t="shared" si="1170"/>
        <v>0</v>
      </c>
      <c r="I6442" s="688" t="s">
        <v>92</v>
      </c>
      <c r="J6442" s="1668"/>
      <c r="K6442" s="1668"/>
      <c r="L6442" s="1669"/>
    </row>
    <row r="6443" spans="1:12" s="692" customFormat="1" ht="16.5" hidden="1">
      <c r="A6443" s="1665"/>
      <c r="B6443" s="1666"/>
      <c r="C6443" s="688"/>
      <c r="D6443" s="1667"/>
      <c r="E6443" s="1671"/>
      <c r="F6443" s="1671"/>
      <c r="G6443" s="1674" t="s">
        <v>928</v>
      </c>
      <c r="H6443" s="1671">
        <f>SUM(H6437:H6442)</f>
        <v>0</v>
      </c>
      <c r="I6443" s="688" t="s">
        <v>92</v>
      </c>
      <c r="J6443" s="1669" t="e">
        <f>'Lead &amp; ANALYSIS'!L1169</f>
        <v>#REF!</v>
      </c>
      <c r="K6443" s="1668" t="s">
        <v>1516</v>
      </c>
      <c r="L6443" s="1669" t="e">
        <f>ROUND(H6443*J6443,0)</f>
        <v>#REF!</v>
      </c>
    </row>
    <row r="6444" spans="1:12" s="692" customFormat="1" ht="16.5" hidden="1">
      <c r="A6444" s="1665" t="str">
        <f>'Lead &amp; ANALYSIS'!A1170</f>
        <v>ii</v>
      </c>
      <c r="B6444" s="1666" t="str">
        <f>'Lead &amp; ANALYSIS'!B1170</f>
        <v>ii.Slushy Soil</v>
      </c>
      <c r="C6444" s="688"/>
      <c r="D6444" s="1667"/>
      <c r="E6444" s="688"/>
      <c r="F6444" s="688"/>
      <c r="G6444" s="1674"/>
      <c r="H6444" s="688"/>
      <c r="I6444" s="1668"/>
      <c r="J6444" s="1669"/>
      <c r="K6444" s="1668"/>
      <c r="L6444" s="1669"/>
    </row>
    <row r="6445" spans="1:12" s="692" customFormat="1" ht="16.5" hidden="1">
      <c r="A6445" s="1665"/>
      <c r="B6445" s="1666"/>
      <c r="C6445" s="688"/>
      <c r="D6445" s="1667"/>
      <c r="E6445" s="1671">
        <v>3.5</v>
      </c>
      <c r="F6445" s="1671">
        <v>4</v>
      </c>
      <c r="G6445" s="1674"/>
      <c r="H6445" s="1671">
        <f t="shared" ref="H6445:H6450" si="1171">ROUND(D6445*E6445*F6445,2)</f>
        <v>0</v>
      </c>
      <c r="I6445" s="688" t="s">
        <v>92</v>
      </c>
      <c r="J6445" s="1669"/>
      <c r="K6445" s="1668"/>
      <c r="L6445" s="1669"/>
    </row>
    <row r="6446" spans="1:12" s="692" customFormat="1" ht="16.5" hidden="1">
      <c r="A6446" s="1665"/>
      <c r="B6446" s="1666"/>
      <c r="C6446" s="688"/>
      <c r="D6446" s="1667"/>
      <c r="E6446" s="1671">
        <v>3.5</v>
      </c>
      <c r="F6446" s="1671">
        <v>4</v>
      </c>
      <c r="G6446" s="1674"/>
      <c r="H6446" s="1671">
        <f t="shared" si="1171"/>
        <v>0</v>
      </c>
      <c r="I6446" s="688" t="s">
        <v>92</v>
      </c>
      <c r="J6446" s="1669"/>
      <c r="K6446" s="1668"/>
      <c r="L6446" s="1669"/>
    </row>
    <row r="6447" spans="1:12" s="692" customFormat="1" ht="16.5" hidden="1">
      <c r="A6447" s="1665"/>
      <c r="B6447" s="1666"/>
      <c r="C6447" s="688"/>
      <c r="D6447" s="1667"/>
      <c r="E6447" s="1671">
        <v>3.5</v>
      </c>
      <c r="F6447" s="1671">
        <v>4</v>
      </c>
      <c r="G6447" s="1674"/>
      <c r="H6447" s="1671">
        <f t="shared" si="1171"/>
        <v>0</v>
      </c>
      <c r="I6447" s="688" t="s">
        <v>92</v>
      </c>
      <c r="J6447" s="1669"/>
      <c r="K6447" s="1668"/>
      <c r="L6447" s="1669"/>
    </row>
    <row r="6448" spans="1:12" s="692" customFormat="1" ht="16.5" hidden="1">
      <c r="A6448" s="1665"/>
      <c r="B6448" s="1666"/>
      <c r="C6448" s="688"/>
      <c r="D6448" s="1667"/>
      <c r="E6448" s="1671">
        <v>3.5</v>
      </c>
      <c r="F6448" s="1671">
        <v>4</v>
      </c>
      <c r="G6448" s="1674"/>
      <c r="H6448" s="1671">
        <f t="shared" si="1171"/>
        <v>0</v>
      </c>
      <c r="I6448" s="688" t="s">
        <v>92</v>
      </c>
      <c r="J6448" s="1669"/>
      <c r="K6448" s="1668"/>
      <c r="L6448" s="1669"/>
    </row>
    <row r="6449" spans="1:12" s="692" customFormat="1" ht="16.5" hidden="1">
      <c r="A6449" s="1665"/>
      <c r="B6449" s="1666"/>
      <c r="C6449" s="688"/>
      <c r="D6449" s="1667"/>
      <c r="E6449" s="1671">
        <v>3.5</v>
      </c>
      <c r="F6449" s="1671">
        <v>4</v>
      </c>
      <c r="G6449" s="1674"/>
      <c r="H6449" s="1671">
        <f t="shared" si="1171"/>
        <v>0</v>
      </c>
      <c r="I6449" s="688" t="s">
        <v>92</v>
      </c>
      <c r="J6449" s="1669"/>
      <c r="K6449" s="1668"/>
      <c r="L6449" s="1669"/>
    </row>
    <row r="6450" spans="1:12" s="692" customFormat="1" ht="16.5" hidden="1">
      <c r="A6450" s="1665"/>
      <c r="B6450" s="1666"/>
      <c r="C6450" s="688"/>
      <c r="D6450" s="1667"/>
      <c r="E6450" s="1671">
        <v>3.5</v>
      </c>
      <c r="F6450" s="1671">
        <v>4</v>
      </c>
      <c r="G6450" s="1674"/>
      <c r="H6450" s="1671">
        <f t="shared" si="1171"/>
        <v>0</v>
      </c>
      <c r="I6450" s="688" t="s">
        <v>92</v>
      </c>
      <c r="J6450" s="1669"/>
      <c r="K6450" s="1668"/>
      <c r="L6450" s="1669"/>
    </row>
    <row r="6451" spans="1:12" s="692" customFormat="1" ht="16.5" hidden="1">
      <c r="A6451" s="1665"/>
      <c r="B6451" s="1666"/>
      <c r="C6451" s="688"/>
      <c r="D6451" s="1667"/>
      <c r="E6451" s="1671"/>
      <c r="F6451" s="1671"/>
      <c r="G6451" s="1674" t="s">
        <v>928</v>
      </c>
      <c r="H6451" s="1671">
        <f>SUM(H6445:H6450)</f>
        <v>0</v>
      </c>
      <c r="I6451" s="688" t="s">
        <v>92</v>
      </c>
      <c r="J6451" s="1669" t="e">
        <f>'Lead &amp; ANALYSIS'!L1170</f>
        <v>#REF!</v>
      </c>
      <c r="K6451" s="1668" t="s">
        <v>1516</v>
      </c>
      <c r="L6451" s="1669" t="e">
        <f>ROUND(H6451*J6451,0)</f>
        <v>#REF!</v>
      </c>
    </row>
    <row r="6452" spans="1:12" s="692" customFormat="1" ht="16.5" hidden="1">
      <c r="A6452" s="1665" t="str">
        <f>'Lead &amp; ANALYSIS'!A1171</f>
        <v>iii</v>
      </c>
      <c r="B6452" s="1666" t="str">
        <f>'Lead &amp; ANALYSIS'!B1171</f>
        <v>iii.Hard Sooil</v>
      </c>
      <c r="C6452" s="688"/>
      <c r="D6452" s="1667"/>
      <c r="E6452" s="688"/>
      <c r="F6452" s="688"/>
      <c r="G6452" s="1674"/>
      <c r="H6452" s="688"/>
      <c r="I6452" s="1668"/>
      <c r="J6452" s="1669"/>
      <c r="K6452" s="1668"/>
      <c r="L6452" s="1669"/>
    </row>
    <row r="6453" spans="1:12" s="692" customFormat="1" ht="16.5" hidden="1">
      <c r="A6453" s="1665"/>
      <c r="B6453" s="1666"/>
      <c r="C6453" s="688"/>
      <c r="D6453" s="1667"/>
      <c r="E6453" s="1671">
        <v>3.5</v>
      </c>
      <c r="F6453" s="1671">
        <v>4</v>
      </c>
      <c r="G6453" s="1674"/>
      <c r="H6453" s="1671">
        <f t="shared" ref="H6453:H6458" si="1172">ROUND(D6453*E6453*F6453,2)</f>
        <v>0</v>
      </c>
      <c r="I6453" s="688" t="s">
        <v>92</v>
      </c>
      <c r="J6453" s="1669"/>
      <c r="K6453" s="1668"/>
      <c r="L6453" s="1669"/>
    </row>
    <row r="6454" spans="1:12" s="692" customFormat="1" ht="16.5" hidden="1">
      <c r="A6454" s="1665"/>
      <c r="B6454" s="1666"/>
      <c r="C6454" s="688"/>
      <c r="D6454" s="1667"/>
      <c r="E6454" s="1671">
        <v>3.5</v>
      </c>
      <c r="F6454" s="1671">
        <v>4</v>
      </c>
      <c r="G6454" s="1674"/>
      <c r="H6454" s="1671">
        <f t="shared" si="1172"/>
        <v>0</v>
      </c>
      <c r="I6454" s="688" t="s">
        <v>92</v>
      </c>
      <c r="J6454" s="1669"/>
      <c r="K6454" s="1668"/>
      <c r="L6454" s="1669"/>
    </row>
    <row r="6455" spans="1:12" s="692" customFormat="1" ht="16.5" hidden="1">
      <c r="A6455" s="1665"/>
      <c r="B6455" s="1666"/>
      <c r="C6455" s="688"/>
      <c r="D6455" s="1667"/>
      <c r="E6455" s="1671">
        <v>3.5</v>
      </c>
      <c r="F6455" s="1671">
        <v>4</v>
      </c>
      <c r="G6455" s="1674"/>
      <c r="H6455" s="1671">
        <f t="shared" si="1172"/>
        <v>0</v>
      </c>
      <c r="I6455" s="688" t="s">
        <v>92</v>
      </c>
      <c r="J6455" s="1669"/>
      <c r="K6455" s="1668"/>
      <c r="L6455" s="1669"/>
    </row>
    <row r="6456" spans="1:12" s="692" customFormat="1" ht="16.5" hidden="1">
      <c r="A6456" s="1665"/>
      <c r="B6456" s="1666"/>
      <c r="C6456" s="688"/>
      <c r="D6456" s="1667"/>
      <c r="E6456" s="1671">
        <v>3.5</v>
      </c>
      <c r="F6456" s="1671">
        <v>4</v>
      </c>
      <c r="G6456" s="1674"/>
      <c r="H6456" s="1671">
        <f t="shared" si="1172"/>
        <v>0</v>
      </c>
      <c r="I6456" s="688" t="s">
        <v>92</v>
      </c>
      <c r="J6456" s="1669"/>
      <c r="K6456" s="1668"/>
      <c r="L6456" s="1669"/>
    </row>
    <row r="6457" spans="1:12" s="692" customFormat="1" ht="16.5" hidden="1">
      <c r="A6457" s="1665"/>
      <c r="B6457" s="1666"/>
      <c r="C6457" s="688"/>
      <c r="D6457" s="1667"/>
      <c r="E6457" s="1671">
        <v>3.5</v>
      </c>
      <c r="F6457" s="1671">
        <v>4</v>
      </c>
      <c r="G6457" s="1674"/>
      <c r="H6457" s="1671">
        <f t="shared" si="1172"/>
        <v>0</v>
      </c>
      <c r="I6457" s="688" t="s">
        <v>92</v>
      </c>
      <c r="J6457" s="1669"/>
      <c r="K6457" s="1668"/>
      <c r="L6457" s="1669"/>
    </row>
    <row r="6458" spans="1:12" s="692" customFormat="1" ht="16.5" hidden="1">
      <c r="A6458" s="1665"/>
      <c r="B6458" s="1666"/>
      <c r="C6458" s="688"/>
      <c r="D6458" s="1667"/>
      <c r="E6458" s="1671">
        <v>3.5</v>
      </c>
      <c r="F6458" s="1671">
        <v>4</v>
      </c>
      <c r="G6458" s="1674"/>
      <c r="H6458" s="1671">
        <f t="shared" si="1172"/>
        <v>0</v>
      </c>
      <c r="I6458" s="688" t="s">
        <v>92</v>
      </c>
      <c r="J6458" s="1669"/>
      <c r="K6458" s="1668"/>
      <c r="L6458" s="1669"/>
    </row>
    <row r="6459" spans="1:12" s="692" customFormat="1" ht="16.5" hidden="1">
      <c r="A6459" s="1665"/>
      <c r="B6459" s="1666"/>
      <c r="C6459" s="688"/>
      <c r="D6459" s="1667"/>
      <c r="E6459" s="1671"/>
      <c r="F6459" s="1671"/>
      <c r="G6459" s="1674" t="s">
        <v>928</v>
      </c>
      <c r="H6459" s="1671">
        <f>SUM(H6453:H6458)</f>
        <v>0</v>
      </c>
      <c r="I6459" s="688" t="s">
        <v>92</v>
      </c>
      <c r="J6459" s="1669" t="e">
        <f>'Lead &amp; ANALYSIS'!L1171</f>
        <v>#REF!</v>
      </c>
      <c r="K6459" s="1668" t="s">
        <v>1516</v>
      </c>
      <c r="L6459" s="1669" t="e">
        <f>ROUND(H6459*J6459,0)</f>
        <v>#REF!</v>
      </c>
    </row>
    <row r="6460" spans="1:12" s="692" customFormat="1" ht="16.5" hidden="1">
      <c r="A6460" s="1665" t="str">
        <f>'Lead &amp; ANALYSIS'!A1172</f>
        <v>iv</v>
      </c>
      <c r="B6460" s="1666" t="str">
        <f>'Lead &amp; ANALYSIS'!B1172</f>
        <v>IV.Stony Earth</v>
      </c>
      <c r="C6460" s="688"/>
      <c r="D6460" s="1667"/>
      <c r="E6460" s="688"/>
      <c r="F6460" s="688"/>
      <c r="G6460" s="1674"/>
      <c r="H6460" s="688"/>
      <c r="I6460" s="1668"/>
      <c r="J6460" s="1669"/>
      <c r="K6460" s="1668"/>
      <c r="L6460" s="1669"/>
    </row>
    <row r="6461" spans="1:12" s="692" customFormat="1" ht="16.5" hidden="1">
      <c r="A6461" s="1665"/>
      <c r="B6461" s="1666"/>
      <c r="C6461" s="688"/>
      <c r="D6461" s="1667"/>
      <c r="E6461" s="1671">
        <v>3.5</v>
      </c>
      <c r="F6461" s="1671">
        <v>4</v>
      </c>
      <c r="G6461" s="1674"/>
      <c r="H6461" s="1671">
        <f t="shared" ref="H6461:H6466" si="1173">ROUND(D6461*E6461*F6461,2)</f>
        <v>0</v>
      </c>
      <c r="I6461" s="688" t="s">
        <v>92</v>
      </c>
      <c r="J6461" s="1669"/>
      <c r="K6461" s="1668"/>
      <c r="L6461" s="1669"/>
    </row>
    <row r="6462" spans="1:12" s="692" customFormat="1" ht="16.5" hidden="1">
      <c r="A6462" s="1665"/>
      <c r="B6462" s="1666"/>
      <c r="C6462" s="688"/>
      <c r="D6462" s="1667"/>
      <c r="E6462" s="1671">
        <v>3.5</v>
      </c>
      <c r="F6462" s="1671">
        <v>4</v>
      </c>
      <c r="G6462" s="1674"/>
      <c r="H6462" s="1671">
        <f t="shared" si="1173"/>
        <v>0</v>
      </c>
      <c r="I6462" s="688" t="s">
        <v>92</v>
      </c>
      <c r="J6462" s="1669"/>
      <c r="K6462" s="1668"/>
      <c r="L6462" s="1669"/>
    </row>
    <row r="6463" spans="1:12" s="692" customFormat="1" ht="16.5" hidden="1">
      <c r="A6463" s="1665"/>
      <c r="B6463" s="1666"/>
      <c r="C6463" s="688"/>
      <c r="D6463" s="1667"/>
      <c r="E6463" s="1671">
        <v>3.5</v>
      </c>
      <c r="F6463" s="1671">
        <v>4</v>
      </c>
      <c r="G6463" s="1674"/>
      <c r="H6463" s="1671">
        <f t="shared" si="1173"/>
        <v>0</v>
      </c>
      <c r="I6463" s="688" t="s">
        <v>92</v>
      </c>
      <c r="J6463" s="1669"/>
      <c r="K6463" s="1668"/>
      <c r="L6463" s="1669"/>
    </row>
    <row r="6464" spans="1:12" s="692" customFormat="1" ht="16.5" hidden="1">
      <c r="A6464" s="1665"/>
      <c r="B6464" s="1666"/>
      <c r="C6464" s="688"/>
      <c r="D6464" s="1667"/>
      <c r="E6464" s="1671">
        <v>3.5</v>
      </c>
      <c r="F6464" s="1671">
        <v>4</v>
      </c>
      <c r="G6464" s="1674"/>
      <c r="H6464" s="1671">
        <f t="shared" si="1173"/>
        <v>0</v>
      </c>
      <c r="I6464" s="688" t="s">
        <v>92</v>
      </c>
      <c r="J6464" s="1669"/>
      <c r="K6464" s="1668"/>
      <c r="L6464" s="1669"/>
    </row>
    <row r="6465" spans="1:12" s="692" customFormat="1" ht="16.5" hidden="1">
      <c r="A6465" s="1665"/>
      <c r="B6465" s="1666"/>
      <c r="C6465" s="688"/>
      <c r="D6465" s="1667"/>
      <c r="E6465" s="1671">
        <v>3.5</v>
      </c>
      <c r="F6465" s="1671">
        <v>4</v>
      </c>
      <c r="G6465" s="1674"/>
      <c r="H6465" s="1671">
        <f t="shared" si="1173"/>
        <v>0</v>
      </c>
      <c r="I6465" s="688" t="s">
        <v>92</v>
      </c>
      <c r="J6465" s="1669"/>
      <c r="K6465" s="1668"/>
      <c r="L6465" s="1669"/>
    </row>
    <row r="6466" spans="1:12" s="692" customFormat="1" ht="16.5" hidden="1">
      <c r="A6466" s="1665"/>
      <c r="B6466" s="1666"/>
      <c r="C6466" s="688"/>
      <c r="D6466" s="1667"/>
      <c r="E6466" s="1671">
        <v>3.5</v>
      </c>
      <c r="F6466" s="1671">
        <v>4</v>
      </c>
      <c r="G6466" s="1674"/>
      <c r="H6466" s="1671">
        <f t="shared" si="1173"/>
        <v>0</v>
      </c>
      <c r="I6466" s="688" t="s">
        <v>92</v>
      </c>
      <c r="J6466" s="1669"/>
      <c r="K6466" s="1668"/>
      <c r="L6466" s="1669"/>
    </row>
    <row r="6467" spans="1:12" s="692" customFormat="1" ht="16.5" hidden="1">
      <c r="A6467" s="1665"/>
      <c r="B6467" s="1666"/>
      <c r="C6467" s="688"/>
      <c r="D6467" s="1667"/>
      <c r="E6467" s="1671"/>
      <c r="F6467" s="1671"/>
      <c r="G6467" s="1674" t="s">
        <v>928</v>
      </c>
      <c r="H6467" s="1671">
        <f>SUM(H6461:H6466)</f>
        <v>0</v>
      </c>
      <c r="I6467" s="688" t="s">
        <v>92</v>
      </c>
      <c r="J6467" s="1669" t="e">
        <f>'Lead &amp; ANALYSIS'!L1172</f>
        <v>#REF!</v>
      </c>
      <c r="K6467" s="1668" t="s">
        <v>1516</v>
      </c>
      <c r="L6467" s="1669" t="e">
        <f>ROUND(H6467*J6467,0)</f>
        <v>#REF!</v>
      </c>
    </row>
    <row r="6468" spans="1:12" s="692" customFormat="1" ht="16.5" hidden="1">
      <c r="A6468" s="1665" t="str">
        <f>'Lead &amp; ANALYSIS'!A1173</f>
        <v>v</v>
      </c>
      <c r="B6468" s="1666" t="str">
        <f>'Lead &amp; ANALYSIS'!B1173</f>
        <v>V.All Kinds of Soil</v>
      </c>
      <c r="C6468" s="688"/>
      <c r="D6468" s="1667"/>
      <c r="E6468" s="688"/>
      <c r="F6468" s="688"/>
      <c r="G6468" s="1674"/>
      <c r="H6468" s="688"/>
      <c r="I6468" s="1668"/>
      <c r="J6468" s="1669"/>
      <c r="K6468" s="1668"/>
      <c r="L6468" s="1669"/>
    </row>
    <row r="6469" spans="1:12" s="692" customFormat="1" ht="16.5" hidden="1">
      <c r="A6469" s="1665"/>
      <c r="B6469" s="1666"/>
      <c r="C6469" s="688"/>
      <c r="D6469" s="1667"/>
      <c r="E6469" s="1671">
        <v>3.5</v>
      </c>
      <c r="F6469" s="1671">
        <v>4</v>
      </c>
      <c r="G6469" s="1674"/>
      <c r="H6469" s="1671">
        <f t="shared" ref="H6469:H6474" si="1174">ROUND(D6469*E6469*F6469,2)</f>
        <v>0</v>
      </c>
      <c r="I6469" s="688" t="s">
        <v>92</v>
      </c>
      <c r="J6469" s="1669"/>
      <c r="K6469" s="1668"/>
      <c r="L6469" s="1669"/>
    </row>
    <row r="6470" spans="1:12" s="692" customFormat="1" ht="16.5" hidden="1">
      <c r="A6470" s="1665"/>
      <c r="B6470" s="1666"/>
      <c r="C6470" s="688"/>
      <c r="D6470" s="1667"/>
      <c r="E6470" s="1671">
        <v>3.5</v>
      </c>
      <c r="F6470" s="1671">
        <v>4</v>
      </c>
      <c r="G6470" s="1674"/>
      <c r="H6470" s="1671">
        <f t="shared" si="1174"/>
        <v>0</v>
      </c>
      <c r="I6470" s="688" t="s">
        <v>92</v>
      </c>
      <c r="J6470" s="1669"/>
      <c r="K6470" s="1668"/>
      <c r="L6470" s="1669"/>
    </row>
    <row r="6471" spans="1:12" s="692" customFormat="1" ht="16.5" hidden="1">
      <c r="A6471" s="1665"/>
      <c r="B6471" s="1666"/>
      <c r="C6471" s="688"/>
      <c r="D6471" s="1667"/>
      <c r="E6471" s="1671">
        <v>3.5</v>
      </c>
      <c r="F6471" s="1671">
        <v>4</v>
      </c>
      <c r="G6471" s="1674"/>
      <c r="H6471" s="1671">
        <f t="shared" si="1174"/>
        <v>0</v>
      </c>
      <c r="I6471" s="688" t="s">
        <v>92</v>
      </c>
      <c r="J6471" s="1669"/>
      <c r="K6471" s="1668"/>
      <c r="L6471" s="1669"/>
    </row>
    <row r="6472" spans="1:12" s="692" customFormat="1" ht="16.5" hidden="1">
      <c r="A6472" s="1665"/>
      <c r="B6472" s="1666"/>
      <c r="C6472" s="688"/>
      <c r="D6472" s="1667"/>
      <c r="E6472" s="1671">
        <v>3.5</v>
      </c>
      <c r="F6472" s="1671">
        <v>4</v>
      </c>
      <c r="G6472" s="1674"/>
      <c r="H6472" s="1671">
        <f t="shared" si="1174"/>
        <v>0</v>
      </c>
      <c r="I6472" s="688" t="s">
        <v>92</v>
      </c>
      <c r="J6472" s="1669"/>
      <c r="K6472" s="1668"/>
      <c r="L6472" s="1669"/>
    </row>
    <row r="6473" spans="1:12" s="692" customFormat="1" ht="16.5" hidden="1">
      <c r="A6473" s="1665"/>
      <c r="B6473" s="1666"/>
      <c r="C6473" s="688"/>
      <c r="D6473" s="1667"/>
      <c r="E6473" s="1671">
        <v>3.5</v>
      </c>
      <c r="F6473" s="1671">
        <v>4</v>
      </c>
      <c r="G6473" s="1674"/>
      <c r="H6473" s="1671">
        <f t="shared" si="1174"/>
        <v>0</v>
      </c>
      <c r="I6473" s="688" t="s">
        <v>92</v>
      </c>
      <c r="J6473" s="1669"/>
      <c r="K6473" s="1668"/>
      <c r="L6473" s="1669"/>
    </row>
    <row r="6474" spans="1:12" s="692" customFormat="1" ht="16.5" hidden="1">
      <c r="A6474" s="1665"/>
      <c r="B6474" s="1666"/>
      <c r="C6474" s="688"/>
      <c r="D6474" s="1667"/>
      <c r="E6474" s="1671">
        <v>3.5</v>
      </c>
      <c r="F6474" s="1671">
        <v>4</v>
      </c>
      <c r="G6474" s="1674"/>
      <c r="H6474" s="1671">
        <f t="shared" si="1174"/>
        <v>0</v>
      </c>
      <c r="I6474" s="688" t="s">
        <v>92</v>
      </c>
      <c r="J6474" s="1669"/>
      <c r="K6474" s="1668"/>
      <c r="L6474" s="1669"/>
    </row>
    <row r="6475" spans="1:12" s="692" customFormat="1" ht="16.5" hidden="1">
      <c r="A6475" s="1665"/>
      <c r="B6475" s="1666"/>
      <c r="C6475" s="688"/>
      <c r="D6475" s="1667"/>
      <c r="E6475" s="1671"/>
      <c r="F6475" s="1671"/>
      <c r="G6475" s="1674" t="s">
        <v>928</v>
      </c>
      <c r="H6475" s="1671">
        <f>SUM(H6469:H6474)</f>
        <v>0</v>
      </c>
      <c r="I6475" s="688" t="s">
        <v>92</v>
      </c>
      <c r="J6475" s="1669" t="e">
        <f>'Lead &amp; ANALYSIS'!L1173</f>
        <v>#REF!</v>
      </c>
      <c r="K6475" s="1668" t="s">
        <v>1516</v>
      </c>
      <c r="L6475" s="1669" t="e">
        <f>ROUND(H6475*J6475,0)</f>
        <v>#REF!</v>
      </c>
    </row>
    <row r="6476" spans="1:12" s="692" customFormat="1" ht="16.5" hidden="1">
      <c r="A6476" s="1665" t="str">
        <f>'Lead &amp; ANALYSIS'!A1174</f>
        <v>G.</v>
      </c>
      <c r="B6476" s="1675" t="str">
        <f>'Lead &amp; ANALYSIS'!B1174</f>
        <v>7TH DEPTH OF 1.5MTR.</v>
      </c>
      <c r="C6476" s="688"/>
      <c r="D6476" s="1667"/>
      <c r="E6476" s="688"/>
      <c r="F6476" s="688"/>
      <c r="G6476" s="1674"/>
      <c r="H6476" s="688"/>
      <c r="I6476" s="1668"/>
      <c r="J6476" s="1669"/>
      <c r="K6476" s="1668"/>
      <c r="L6476" s="1669"/>
    </row>
    <row r="6477" spans="1:12" s="692" customFormat="1" ht="16.5" hidden="1">
      <c r="A6477" s="1665" t="str">
        <f>'Lead &amp; ANALYSIS'!A1175</f>
        <v>i</v>
      </c>
      <c r="B6477" s="1666" t="str">
        <f>'Lead &amp; ANALYSIS'!B1175</f>
        <v>i.Ordinary Soil.</v>
      </c>
      <c r="C6477" s="688"/>
      <c r="D6477" s="1667"/>
      <c r="E6477" s="688"/>
      <c r="F6477" s="688"/>
      <c r="G6477" s="1674"/>
      <c r="H6477" s="688"/>
      <c r="I6477" s="1668"/>
      <c r="J6477" s="1668"/>
      <c r="K6477" s="1668"/>
      <c r="L6477" s="1669"/>
    </row>
    <row r="6478" spans="1:12" s="692" customFormat="1" ht="16.5" hidden="1">
      <c r="A6478" s="1665"/>
      <c r="B6478" s="1666"/>
      <c r="C6478" s="688"/>
      <c r="D6478" s="1667"/>
      <c r="E6478" s="1671">
        <v>3.5</v>
      </c>
      <c r="F6478" s="1671">
        <v>4</v>
      </c>
      <c r="G6478" s="1674"/>
      <c r="H6478" s="1671">
        <f t="shared" ref="H6478:H6483" si="1175">ROUND(D6478*E6478*F6478,2)</f>
        <v>0</v>
      </c>
      <c r="I6478" s="688" t="s">
        <v>92</v>
      </c>
      <c r="J6478" s="1668"/>
      <c r="K6478" s="1668"/>
      <c r="L6478" s="1669"/>
    </row>
    <row r="6479" spans="1:12" s="692" customFormat="1" ht="16.5" hidden="1">
      <c r="A6479" s="1665"/>
      <c r="B6479" s="1666"/>
      <c r="C6479" s="688"/>
      <c r="D6479" s="1667"/>
      <c r="E6479" s="1671">
        <v>3.5</v>
      </c>
      <c r="F6479" s="1671">
        <v>4</v>
      </c>
      <c r="G6479" s="1674"/>
      <c r="H6479" s="1671">
        <f t="shared" si="1175"/>
        <v>0</v>
      </c>
      <c r="I6479" s="688" t="s">
        <v>92</v>
      </c>
      <c r="J6479" s="1668"/>
      <c r="K6479" s="1668"/>
      <c r="L6479" s="1669"/>
    </row>
    <row r="6480" spans="1:12" s="692" customFormat="1" ht="16.5" hidden="1">
      <c r="A6480" s="1665"/>
      <c r="B6480" s="1666"/>
      <c r="C6480" s="688"/>
      <c r="D6480" s="1667"/>
      <c r="E6480" s="1671">
        <v>3.5</v>
      </c>
      <c r="F6480" s="1671">
        <v>4</v>
      </c>
      <c r="G6480" s="1674"/>
      <c r="H6480" s="1671">
        <f t="shared" si="1175"/>
        <v>0</v>
      </c>
      <c r="I6480" s="688" t="s">
        <v>92</v>
      </c>
      <c r="J6480" s="1668"/>
      <c r="K6480" s="1668"/>
      <c r="L6480" s="1669"/>
    </row>
    <row r="6481" spans="1:12" s="692" customFormat="1" ht="16.5" hidden="1">
      <c r="A6481" s="1665"/>
      <c r="B6481" s="1666"/>
      <c r="C6481" s="688"/>
      <c r="D6481" s="1667"/>
      <c r="E6481" s="1671">
        <v>3.5</v>
      </c>
      <c r="F6481" s="1671">
        <v>4</v>
      </c>
      <c r="G6481" s="1674"/>
      <c r="H6481" s="1671">
        <f t="shared" si="1175"/>
        <v>0</v>
      </c>
      <c r="I6481" s="688" t="s">
        <v>92</v>
      </c>
      <c r="J6481" s="1668"/>
      <c r="K6481" s="1668"/>
      <c r="L6481" s="1669"/>
    </row>
    <row r="6482" spans="1:12" s="692" customFormat="1" ht="16.5" hidden="1">
      <c r="A6482" s="1665"/>
      <c r="B6482" s="1666"/>
      <c r="C6482" s="688"/>
      <c r="D6482" s="1667"/>
      <c r="E6482" s="1671">
        <v>3.5</v>
      </c>
      <c r="F6482" s="1671">
        <v>4</v>
      </c>
      <c r="G6482" s="1674"/>
      <c r="H6482" s="1671">
        <f t="shared" si="1175"/>
        <v>0</v>
      </c>
      <c r="I6482" s="688" t="s">
        <v>92</v>
      </c>
      <c r="J6482" s="1668"/>
      <c r="K6482" s="1668"/>
      <c r="L6482" s="1669"/>
    </row>
    <row r="6483" spans="1:12" s="692" customFormat="1" ht="16.5" hidden="1">
      <c r="A6483" s="1665"/>
      <c r="B6483" s="1666"/>
      <c r="C6483" s="688"/>
      <c r="D6483" s="1667"/>
      <c r="E6483" s="1671">
        <v>3.5</v>
      </c>
      <c r="F6483" s="1671">
        <v>4</v>
      </c>
      <c r="G6483" s="1674"/>
      <c r="H6483" s="1671">
        <f t="shared" si="1175"/>
        <v>0</v>
      </c>
      <c r="I6483" s="688" t="s">
        <v>92</v>
      </c>
      <c r="J6483" s="1668"/>
      <c r="K6483" s="1668"/>
      <c r="L6483" s="1669"/>
    </row>
    <row r="6484" spans="1:12" s="692" customFormat="1" ht="16.5" hidden="1">
      <c r="A6484" s="1665"/>
      <c r="B6484" s="1666"/>
      <c r="C6484" s="688"/>
      <c r="D6484" s="1667"/>
      <c r="E6484" s="1671"/>
      <c r="F6484" s="1671"/>
      <c r="G6484" s="1674" t="s">
        <v>928</v>
      </c>
      <c r="H6484" s="1671">
        <f>SUM(H6478:H6483)</f>
        <v>0</v>
      </c>
      <c r="I6484" s="688" t="s">
        <v>92</v>
      </c>
      <c r="J6484" s="1669" t="e">
        <f>'Lead &amp; ANALYSIS'!L1175</f>
        <v>#REF!</v>
      </c>
      <c r="K6484" s="1668" t="s">
        <v>1516</v>
      </c>
      <c r="L6484" s="1669" t="e">
        <f>ROUND(H6484*J6484,0)</f>
        <v>#REF!</v>
      </c>
    </row>
    <row r="6485" spans="1:12" s="692" customFormat="1" ht="16.5" hidden="1">
      <c r="A6485" s="1665" t="str">
        <f>'Lead &amp; ANALYSIS'!A1176</f>
        <v>ii</v>
      </c>
      <c r="B6485" s="1666" t="str">
        <f>'Lead &amp; ANALYSIS'!B1176</f>
        <v>ii.Slushy Soil</v>
      </c>
      <c r="C6485" s="688"/>
      <c r="D6485" s="1667"/>
      <c r="E6485" s="688"/>
      <c r="F6485" s="688"/>
      <c r="G6485" s="1674"/>
      <c r="H6485" s="688"/>
      <c r="I6485" s="1668"/>
      <c r="J6485" s="1669"/>
      <c r="K6485" s="1668"/>
      <c r="L6485" s="1669"/>
    </row>
    <row r="6486" spans="1:12" s="692" customFormat="1" ht="16.5" hidden="1">
      <c r="A6486" s="1665"/>
      <c r="B6486" s="1666"/>
      <c r="C6486" s="688"/>
      <c r="D6486" s="1667"/>
      <c r="E6486" s="1671">
        <v>3.5</v>
      </c>
      <c r="F6486" s="1671">
        <v>4</v>
      </c>
      <c r="G6486" s="1674"/>
      <c r="H6486" s="1671">
        <f t="shared" ref="H6486:H6491" si="1176">ROUND(D6486*E6486*F6486,2)</f>
        <v>0</v>
      </c>
      <c r="I6486" s="688" t="s">
        <v>92</v>
      </c>
      <c r="J6486" s="1669"/>
      <c r="K6486" s="1668"/>
      <c r="L6486" s="1669"/>
    </row>
    <row r="6487" spans="1:12" s="692" customFormat="1" ht="16.5" hidden="1">
      <c r="A6487" s="1665"/>
      <c r="B6487" s="1666"/>
      <c r="C6487" s="688"/>
      <c r="D6487" s="1667"/>
      <c r="E6487" s="1671">
        <v>3.5</v>
      </c>
      <c r="F6487" s="1671">
        <v>4</v>
      </c>
      <c r="G6487" s="1674"/>
      <c r="H6487" s="1671">
        <f t="shared" si="1176"/>
        <v>0</v>
      </c>
      <c r="I6487" s="688" t="s">
        <v>92</v>
      </c>
      <c r="J6487" s="1669"/>
      <c r="K6487" s="1668"/>
      <c r="L6487" s="1669"/>
    </row>
    <row r="6488" spans="1:12" s="692" customFormat="1" ht="16.5" hidden="1">
      <c r="A6488" s="1665"/>
      <c r="B6488" s="1666"/>
      <c r="C6488" s="688"/>
      <c r="D6488" s="1667"/>
      <c r="E6488" s="1671">
        <v>3.5</v>
      </c>
      <c r="F6488" s="1671">
        <v>4</v>
      </c>
      <c r="G6488" s="1674"/>
      <c r="H6488" s="1671">
        <f t="shared" si="1176"/>
        <v>0</v>
      </c>
      <c r="I6488" s="688" t="s">
        <v>92</v>
      </c>
      <c r="J6488" s="1669"/>
      <c r="K6488" s="1668"/>
      <c r="L6488" s="1669"/>
    </row>
    <row r="6489" spans="1:12" s="692" customFormat="1" ht="16.5" hidden="1">
      <c r="A6489" s="1665"/>
      <c r="B6489" s="1666"/>
      <c r="C6489" s="688"/>
      <c r="D6489" s="1667"/>
      <c r="E6489" s="1671">
        <v>3.5</v>
      </c>
      <c r="F6489" s="1671">
        <v>4</v>
      </c>
      <c r="G6489" s="1674"/>
      <c r="H6489" s="1671">
        <f t="shared" si="1176"/>
        <v>0</v>
      </c>
      <c r="I6489" s="688" t="s">
        <v>92</v>
      </c>
      <c r="J6489" s="1669"/>
      <c r="K6489" s="1668"/>
      <c r="L6489" s="1669"/>
    </row>
    <row r="6490" spans="1:12" s="692" customFormat="1" ht="16.5" hidden="1">
      <c r="A6490" s="1665"/>
      <c r="B6490" s="1666"/>
      <c r="C6490" s="688"/>
      <c r="D6490" s="1667"/>
      <c r="E6490" s="1671">
        <v>3.5</v>
      </c>
      <c r="F6490" s="1671">
        <v>4</v>
      </c>
      <c r="G6490" s="1674"/>
      <c r="H6490" s="1671">
        <f t="shared" si="1176"/>
        <v>0</v>
      </c>
      <c r="I6490" s="688" t="s">
        <v>92</v>
      </c>
      <c r="J6490" s="1669"/>
      <c r="K6490" s="1668"/>
      <c r="L6490" s="1669"/>
    </row>
    <row r="6491" spans="1:12" s="692" customFormat="1" ht="16.5" hidden="1">
      <c r="A6491" s="1665"/>
      <c r="B6491" s="1666"/>
      <c r="C6491" s="688"/>
      <c r="D6491" s="1667"/>
      <c r="E6491" s="1671">
        <v>3.5</v>
      </c>
      <c r="F6491" s="1671">
        <v>4</v>
      </c>
      <c r="G6491" s="1674"/>
      <c r="H6491" s="1671">
        <f t="shared" si="1176"/>
        <v>0</v>
      </c>
      <c r="I6491" s="688" t="s">
        <v>92</v>
      </c>
      <c r="J6491" s="1669"/>
      <c r="K6491" s="1668"/>
      <c r="L6491" s="1669"/>
    </row>
    <row r="6492" spans="1:12" s="692" customFormat="1" ht="16.5" hidden="1">
      <c r="A6492" s="1665"/>
      <c r="B6492" s="1666"/>
      <c r="C6492" s="688"/>
      <c r="D6492" s="1667"/>
      <c r="E6492" s="1671"/>
      <c r="F6492" s="1671"/>
      <c r="G6492" s="1674" t="s">
        <v>928</v>
      </c>
      <c r="H6492" s="1671">
        <f>SUM(H6486:H6491)</f>
        <v>0</v>
      </c>
      <c r="I6492" s="688" t="s">
        <v>92</v>
      </c>
      <c r="J6492" s="1669" t="e">
        <f>'Lead &amp; ANALYSIS'!L1176</f>
        <v>#REF!</v>
      </c>
      <c r="K6492" s="1668" t="s">
        <v>1516</v>
      </c>
      <c r="L6492" s="1669" t="e">
        <f>ROUND(H6492*J6492,0)</f>
        <v>#REF!</v>
      </c>
    </row>
    <row r="6493" spans="1:12" s="692" customFormat="1" ht="16.5" hidden="1">
      <c r="A6493" s="1665" t="str">
        <f>'Lead &amp; ANALYSIS'!A1177</f>
        <v>iii</v>
      </c>
      <c r="B6493" s="1666" t="str">
        <f>'Lead &amp; ANALYSIS'!B1177</f>
        <v>iii.Hard Sooil</v>
      </c>
      <c r="C6493" s="688"/>
      <c r="D6493" s="1667"/>
      <c r="E6493" s="688"/>
      <c r="F6493" s="688"/>
      <c r="G6493" s="1674"/>
      <c r="H6493" s="688"/>
      <c r="I6493" s="1668"/>
      <c r="J6493" s="1669"/>
      <c r="K6493" s="1668"/>
      <c r="L6493" s="1669"/>
    </row>
    <row r="6494" spans="1:12" s="692" customFormat="1" ht="16.5" hidden="1">
      <c r="A6494" s="1665"/>
      <c r="B6494" s="1666"/>
      <c r="C6494" s="688"/>
      <c r="D6494" s="1667"/>
      <c r="E6494" s="1671">
        <v>3.5</v>
      </c>
      <c r="F6494" s="1671">
        <v>4</v>
      </c>
      <c r="G6494" s="1674"/>
      <c r="H6494" s="1671">
        <f t="shared" ref="H6494:H6499" si="1177">ROUND(D6494*E6494*F6494,2)</f>
        <v>0</v>
      </c>
      <c r="I6494" s="688" t="s">
        <v>92</v>
      </c>
      <c r="J6494" s="1669"/>
      <c r="K6494" s="1668"/>
      <c r="L6494" s="1669"/>
    </row>
    <row r="6495" spans="1:12" s="692" customFormat="1" ht="16.5" hidden="1">
      <c r="A6495" s="1665"/>
      <c r="B6495" s="1666"/>
      <c r="C6495" s="688"/>
      <c r="D6495" s="1667"/>
      <c r="E6495" s="1671">
        <v>3.5</v>
      </c>
      <c r="F6495" s="1671">
        <v>4</v>
      </c>
      <c r="G6495" s="1674"/>
      <c r="H6495" s="1671">
        <f t="shared" si="1177"/>
        <v>0</v>
      </c>
      <c r="I6495" s="688" t="s">
        <v>92</v>
      </c>
      <c r="J6495" s="1669"/>
      <c r="K6495" s="1668"/>
      <c r="L6495" s="1669"/>
    </row>
    <row r="6496" spans="1:12" s="692" customFormat="1" ht="16.5" hidden="1">
      <c r="A6496" s="1665"/>
      <c r="B6496" s="1666"/>
      <c r="C6496" s="688"/>
      <c r="D6496" s="1667"/>
      <c r="E6496" s="1671">
        <v>3.5</v>
      </c>
      <c r="F6496" s="1671">
        <v>4</v>
      </c>
      <c r="G6496" s="1674"/>
      <c r="H6496" s="1671">
        <f t="shared" si="1177"/>
        <v>0</v>
      </c>
      <c r="I6496" s="688" t="s">
        <v>92</v>
      </c>
      <c r="J6496" s="1669"/>
      <c r="K6496" s="1668"/>
      <c r="L6496" s="1669"/>
    </row>
    <row r="6497" spans="1:12" s="692" customFormat="1" ht="16.5" hidden="1">
      <c r="A6497" s="1665"/>
      <c r="B6497" s="1666"/>
      <c r="C6497" s="688"/>
      <c r="D6497" s="1667"/>
      <c r="E6497" s="1671">
        <v>3.5</v>
      </c>
      <c r="F6497" s="1671">
        <v>4</v>
      </c>
      <c r="G6497" s="1674"/>
      <c r="H6497" s="1671">
        <f t="shared" si="1177"/>
        <v>0</v>
      </c>
      <c r="I6497" s="688" t="s">
        <v>92</v>
      </c>
      <c r="J6497" s="1669"/>
      <c r="K6497" s="1668"/>
      <c r="L6497" s="1669"/>
    </row>
    <row r="6498" spans="1:12" s="692" customFormat="1" ht="16.5" hidden="1">
      <c r="A6498" s="1665"/>
      <c r="B6498" s="1666"/>
      <c r="C6498" s="688"/>
      <c r="D6498" s="1667"/>
      <c r="E6498" s="1671">
        <v>3.5</v>
      </c>
      <c r="F6498" s="1671">
        <v>4</v>
      </c>
      <c r="G6498" s="1674"/>
      <c r="H6498" s="1671">
        <f t="shared" si="1177"/>
        <v>0</v>
      </c>
      <c r="I6498" s="688" t="s">
        <v>92</v>
      </c>
      <c r="J6498" s="1669"/>
      <c r="K6498" s="1668"/>
      <c r="L6498" s="1669"/>
    </row>
    <row r="6499" spans="1:12" s="692" customFormat="1" ht="16.5" hidden="1">
      <c r="A6499" s="1665"/>
      <c r="B6499" s="1666"/>
      <c r="C6499" s="688"/>
      <c r="D6499" s="1667"/>
      <c r="E6499" s="1671">
        <v>3.5</v>
      </c>
      <c r="F6499" s="1671">
        <v>4</v>
      </c>
      <c r="G6499" s="1674"/>
      <c r="H6499" s="1671">
        <f t="shared" si="1177"/>
        <v>0</v>
      </c>
      <c r="I6499" s="688" t="s">
        <v>92</v>
      </c>
      <c r="J6499" s="1669"/>
      <c r="K6499" s="1668"/>
      <c r="L6499" s="1669"/>
    </row>
    <row r="6500" spans="1:12" s="692" customFormat="1" ht="16.5" hidden="1">
      <c r="A6500" s="1665"/>
      <c r="B6500" s="1666"/>
      <c r="C6500" s="688"/>
      <c r="D6500" s="1667"/>
      <c r="E6500" s="1671"/>
      <c r="F6500" s="1671"/>
      <c r="G6500" s="1674" t="s">
        <v>928</v>
      </c>
      <c r="H6500" s="1671">
        <f>SUM(H6494:H6499)</f>
        <v>0</v>
      </c>
      <c r="I6500" s="688" t="s">
        <v>92</v>
      </c>
      <c r="J6500" s="1669" t="e">
        <f>'Lead &amp; ANALYSIS'!L1177</f>
        <v>#REF!</v>
      </c>
      <c r="K6500" s="1668" t="s">
        <v>1516</v>
      </c>
      <c r="L6500" s="1669" t="e">
        <f>ROUND(H6500*J6500,0)</f>
        <v>#REF!</v>
      </c>
    </row>
    <row r="6501" spans="1:12" s="692" customFormat="1" ht="16.5" hidden="1">
      <c r="A6501" s="1665" t="str">
        <f>'Lead &amp; ANALYSIS'!A1178</f>
        <v>iv</v>
      </c>
      <c r="B6501" s="1666" t="str">
        <f>'Lead &amp; ANALYSIS'!B1178</f>
        <v>IV.Stony Earth</v>
      </c>
      <c r="C6501" s="688"/>
      <c r="D6501" s="1667"/>
      <c r="E6501" s="688"/>
      <c r="F6501" s="688"/>
      <c r="G6501" s="1674"/>
      <c r="H6501" s="688"/>
      <c r="I6501" s="1668"/>
      <c r="J6501" s="1669"/>
      <c r="K6501" s="1668"/>
      <c r="L6501" s="1669"/>
    </row>
    <row r="6502" spans="1:12" s="692" customFormat="1" ht="16.5" hidden="1">
      <c r="A6502" s="1665"/>
      <c r="B6502" s="1666"/>
      <c r="C6502" s="688"/>
      <c r="D6502" s="1667"/>
      <c r="E6502" s="1671">
        <v>3.5</v>
      </c>
      <c r="F6502" s="1671">
        <v>4</v>
      </c>
      <c r="G6502" s="1674"/>
      <c r="H6502" s="1671">
        <f t="shared" ref="H6502:H6507" si="1178">ROUND(D6502*E6502*F6502,2)</f>
        <v>0</v>
      </c>
      <c r="I6502" s="688" t="s">
        <v>92</v>
      </c>
      <c r="J6502" s="1669"/>
      <c r="K6502" s="1668"/>
      <c r="L6502" s="1669"/>
    </row>
    <row r="6503" spans="1:12" s="692" customFormat="1" ht="16.5" hidden="1">
      <c r="A6503" s="1665"/>
      <c r="B6503" s="1666"/>
      <c r="C6503" s="688"/>
      <c r="D6503" s="1667"/>
      <c r="E6503" s="1671">
        <v>3.5</v>
      </c>
      <c r="F6503" s="1671">
        <v>4</v>
      </c>
      <c r="G6503" s="1674"/>
      <c r="H6503" s="1671">
        <f t="shared" si="1178"/>
        <v>0</v>
      </c>
      <c r="I6503" s="688" t="s">
        <v>92</v>
      </c>
      <c r="J6503" s="1669"/>
      <c r="K6503" s="1668"/>
      <c r="L6503" s="1669"/>
    </row>
    <row r="6504" spans="1:12" s="692" customFormat="1" ht="16.5" hidden="1">
      <c r="A6504" s="1665"/>
      <c r="B6504" s="1666"/>
      <c r="C6504" s="688"/>
      <c r="D6504" s="1667"/>
      <c r="E6504" s="1671">
        <v>3.5</v>
      </c>
      <c r="F6504" s="1671">
        <v>4</v>
      </c>
      <c r="G6504" s="1674"/>
      <c r="H6504" s="1671">
        <f t="shared" si="1178"/>
        <v>0</v>
      </c>
      <c r="I6504" s="688" t="s">
        <v>92</v>
      </c>
      <c r="J6504" s="1669"/>
      <c r="K6504" s="1668"/>
      <c r="L6504" s="1669"/>
    </row>
    <row r="6505" spans="1:12" s="692" customFormat="1" ht="16.5" hidden="1">
      <c r="A6505" s="1665"/>
      <c r="B6505" s="1666"/>
      <c r="C6505" s="688"/>
      <c r="D6505" s="1667"/>
      <c r="E6505" s="1671">
        <v>3.5</v>
      </c>
      <c r="F6505" s="1671">
        <v>4</v>
      </c>
      <c r="G6505" s="1674"/>
      <c r="H6505" s="1671">
        <f t="shared" si="1178"/>
        <v>0</v>
      </c>
      <c r="I6505" s="688" t="s">
        <v>92</v>
      </c>
      <c r="J6505" s="1669"/>
      <c r="K6505" s="1668"/>
      <c r="L6505" s="1669"/>
    </row>
    <row r="6506" spans="1:12" s="692" customFormat="1" ht="16.5" hidden="1">
      <c r="A6506" s="1665"/>
      <c r="B6506" s="1666"/>
      <c r="C6506" s="688"/>
      <c r="D6506" s="1667"/>
      <c r="E6506" s="1671">
        <v>3.5</v>
      </c>
      <c r="F6506" s="1671">
        <v>4</v>
      </c>
      <c r="G6506" s="1674"/>
      <c r="H6506" s="1671">
        <f t="shared" si="1178"/>
        <v>0</v>
      </c>
      <c r="I6506" s="688" t="s">
        <v>92</v>
      </c>
      <c r="J6506" s="1669"/>
      <c r="K6506" s="1668"/>
      <c r="L6506" s="1669"/>
    </row>
    <row r="6507" spans="1:12" s="692" customFormat="1" ht="16.5" hidden="1">
      <c r="A6507" s="1665"/>
      <c r="B6507" s="1666"/>
      <c r="C6507" s="688"/>
      <c r="D6507" s="1667"/>
      <c r="E6507" s="1671">
        <v>3.5</v>
      </c>
      <c r="F6507" s="1671">
        <v>4</v>
      </c>
      <c r="G6507" s="1674"/>
      <c r="H6507" s="1671">
        <f t="shared" si="1178"/>
        <v>0</v>
      </c>
      <c r="I6507" s="688" t="s">
        <v>92</v>
      </c>
      <c r="J6507" s="1669"/>
      <c r="K6507" s="1668"/>
      <c r="L6507" s="1669"/>
    </row>
    <row r="6508" spans="1:12" s="692" customFormat="1" ht="16.5" hidden="1">
      <c r="A6508" s="1665"/>
      <c r="B6508" s="1666"/>
      <c r="C6508" s="688"/>
      <c r="D6508" s="1667"/>
      <c r="E6508" s="1671"/>
      <c r="F6508" s="1671"/>
      <c r="G6508" s="1674" t="s">
        <v>928</v>
      </c>
      <c r="H6508" s="1671">
        <f>SUM(H6502:H6507)</f>
        <v>0</v>
      </c>
      <c r="I6508" s="688" t="s">
        <v>92</v>
      </c>
      <c r="J6508" s="1669" t="e">
        <f>'Lead &amp; ANALYSIS'!L1178</f>
        <v>#REF!</v>
      </c>
      <c r="K6508" s="1668" t="s">
        <v>1516</v>
      </c>
      <c r="L6508" s="1669" t="e">
        <f>ROUND(H6508*J6508,0)</f>
        <v>#REF!</v>
      </c>
    </row>
    <row r="6509" spans="1:12" s="692" customFormat="1" ht="16.5" hidden="1">
      <c r="A6509" s="1665" t="str">
        <f>'Lead &amp; ANALYSIS'!A1179</f>
        <v>v</v>
      </c>
      <c r="B6509" s="1666" t="str">
        <f>'Lead &amp; ANALYSIS'!B1179</f>
        <v>V.All Kinds of Soil</v>
      </c>
      <c r="C6509" s="688"/>
      <c r="D6509" s="1667"/>
      <c r="E6509" s="688"/>
      <c r="F6509" s="688"/>
      <c r="G6509" s="1674"/>
      <c r="H6509" s="688"/>
      <c r="I6509" s="1668"/>
      <c r="J6509" s="1669"/>
      <c r="K6509" s="1668"/>
      <c r="L6509" s="1669"/>
    </row>
    <row r="6510" spans="1:12" s="692" customFormat="1" ht="16.5" hidden="1">
      <c r="A6510" s="1665"/>
      <c r="B6510" s="1666"/>
      <c r="C6510" s="688"/>
      <c r="D6510" s="1667"/>
      <c r="E6510" s="1671">
        <v>3.5</v>
      </c>
      <c r="F6510" s="1671">
        <v>4</v>
      </c>
      <c r="G6510" s="1674"/>
      <c r="H6510" s="1671">
        <f t="shared" ref="H6510:H6515" si="1179">ROUND(D6510*E6510*F6510,2)</f>
        <v>0</v>
      </c>
      <c r="I6510" s="688" t="s">
        <v>92</v>
      </c>
      <c r="J6510" s="1669"/>
      <c r="K6510" s="1668"/>
      <c r="L6510" s="1669"/>
    </row>
    <row r="6511" spans="1:12" s="692" customFormat="1" ht="16.5" hidden="1">
      <c r="A6511" s="1665"/>
      <c r="B6511" s="1666"/>
      <c r="C6511" s="688"/>
      <c r="D6511" s="1667"/>
      <c r="E6511" s="1671">
        <v>3.5</v>
      </c>
      <c r="F6511" s="1671">
        <v>4</v>
      </c>
      <c r="G6511" s="1674"/>
      <c r="H6511" s="1671">
        <f t="shared" si="1179"/>
        <v>0</v>
      </c>
      <c r="I6511" s="688" t="s">
        <v>92</v>
      </c>
      <c r="J6511" s="1669"/>
      <c r="K6511" s="1668"/>
      <c r="L6511" s="1669"/>
    </row>
    <row r="6512" spans="1:12" s="692" customFormat="1" ht="16.5" hidden="1">
      <c r="A6512" s="1665"/>
      <c r="B6512" s="1666"/>
      <c r="C6512" s="688"/>
      <c r="D6512" s="1667"/>
      <c r="E6512" s="1671">
        <v>3.5</v>
      </c>
      <c r="F6512" s="1671">
        <v>4</v>
      </c>
      <c r="G6512" s="1674"/>
      <c r="H6512" s="1671">
        <f t="shared" si="1179"/>
        <v>0</v>
      </c>
      <c r="I6512" s="688" t="s">
        <v>92</v>
      </c>
      <c r="J6512" s="1669"/>
      <c r="K6512" s="1668"/>
      <c r="L6512" s="1669"/>
    </row>
    <row r="6513" spans="1:12" s="692" customFormat="1" ht="16.5" hidden="1">
      <c r="A6513" s="1665"/>
      <c r="B6513" s="1666"/>
      <c r="C6513" s="688"/>
      <c r="D6513" s="1667"/>
      <c r="E6513" s="1671">
        <v>3.5</v>
      </c>
      <c r="F6513" s="1671">
        <v>4</v>
      </c>
      <c r="G6513" s="1674"/>
      <c r="H6513" s="1671">
        <f t="shared" si="1179"/>
        <v>0</v>
      </c>
      <c r="I6513" s="688" t="s">
        <v>92</v>
      </c>
      <c r="J6513" s="1669"/>
      <c r="K6513" s="1668"/>
      <c r="L6513" s="1669"/>
    </row>
    <row r="6514" spans="1:12" s="692" customFormat="1" ht="16.5" hidden="1">
      <c r="A6514" s="1665"/>
      <c r="B6514" s="1666"/>
      <c r="C6514" s="688"/>
      <c r="D6514" s="1667"/>
      <c r="E6514" s="1671">
        <v>3.5</v>
      </c>
      <c r="F6514" s="1671">
        <v>4</v>
      </c>
      <c r="G6514" s="1674"/>
      <c r="H6514" s="1671">
        <f t="shared" si="1179"/>
        <v>0</v>
      </c>
      <c r="I6514" s="688" t="s">
        <v>92</v>
      </c>
      <c r="J6514" s="1669"/>
      <c r="K6514" s="1668"/>
      <c r="L6514" s="1669"/>
    </row>
    <row r="6515" spans="1:12" s="692" customFormat="1" ht="16.5" hidden="1">
      <c r="A6515" s="1665"/>
      <c r="B6515" s="1666"/>
      <c r="C6515" s="688"/>
      <c r="D6515" s="1667"/>
      <c r="E6515" s="1671">
        <v>3.5</v>
      </c>
      <c r="F6515" s="1671">
        <v>4</v>
      </c>
      <c r="G6515" s="1674"/>
      <c r="H6515" s="1671">
        <f t="shared" si="1179"/>
        <v>0</v>
      </c>
      <c r="I6515" s="688" t="s">
        <v>92</v>
      </c>
      <c r="J6515" s="1669"/>
      <c r="K6515" s="1668"/>
      <c r="L6515" s="1669"/>
    </row>
    <row r="6516" spans="1:12" s="692" customFormat="1" ht="16.5" hidden="1">
      <c r="A6516" s="1665"/>
      <c r="B6516" s="1666"/>
      <c r="C6516" s="688"/>
      <c r="D6516" s="1667"/>
      <c r="E6516" s="1671"/>
      <c r="F6516" s="1671"/>
      <c r="G6516" s="1674" t="s">
        <v>928</v>
      </c>
      <c r="H6516" s="1671">
        <f>SUM(H6510:H6515)</f>
        <v>0</v>
      </c>
      <c r="I6516" s="688" t="s">
        <v>92</v>
      </c>
      <c r="J6516" s="1669" t="e">
        <f>'Lead &amp; ANALYSIS'!L1179</f>
        <v>#REF!</v>
      </c>
      <c r="K6516" s="1668" t="s">
        <v>1516</v>
      </c>
      <c r="L6516" s="1669" t="e">
        <f>ROUND(H6516*J6516,0)</f>
        <v>#REF!</v>
      </c>
    </row>
    <row r="6517" spans="1:12" s="692" customFormat="1" ht="16.5" hidden="1">
      <c r="A6517" s="1665" t="str">
        <f>'Lead &amp; ANALYSIS'!A1180</f>
        <v>H.</v>
      </c>
      <c r="B6517" s="1675" t="str">
        <f>'Lead &amp; ANALYSIS'!B1180</f>
        <v>8TH DEPTH OF 1.5MTR.</v>
      </c>
      <c r="C6517" s="688"/>
      <c r="D6517" s="1667"/>
      <c r="E6517" s="688"/>
      <c r="F6517" s="688"/>
      <c r="G6517" s="1674"/>
      <c r="H6517" s="688"/>
      <c r="I6517" s="1668"/>
      <c r="J6517" s="1669"/>
      <c r="K6517" s="1668"/>
      <c r="L6517" s="1669"/>
    </row>
    <row r="6518" spans="1:12" s="692" customFormat="1" ht="16.5" hidden="1">
      <c r="A6518" s="1665" t="str">
        <f>'Lead &amp; ANALYSIS'!A1181</f>
        <v>i</v>
      </c>
      <c r="B6518" s="1666" t="str">
        <f>'Lead &amp; ANALYSIS'!B1181</f>
        <v>i.Ordinary Soil.</v>
      </c>
      <c r="C6518" s="688"/>
      <c r="D6518" s="1667"/>
      <c r="E6518" s="688"/>
      <c r="F6518" s="688"/>
      <c r="G6518" s="1674"/>
      <c r="H6518" s="688"/>
      <c r="I6518" s="1668"/>
      <c r="J6518" s="1668"/>
      <c r="K6518" s="1668"/>
      <c r="L6518" s="1669"/>
    </row>
    <row r="6519" spans="1:12" s="692" customFormat="1" ht="16.5" hidden="1">
      <c r="A6519" s="1665"/>
      <c r="B6519" s="1666"/>
      <c r="C6519" s="688"/>
      <c r="D6519" s="1667"/>
      <c r="E6519" s="1671">
        <v>3.5</v>
      </c>
      <c r="F6519" s="1671">
        <v>4</v>
      </c>
      <c r="G6519" s="1674"/>
      <c r="H6519" s="1671">
        <f t="shared" ref="H6519:H6524" si="1180">ROUND(D6519*E6519*F6519,2)</f>
        <v>0</v>
      </c>
      <c r="I6519" s="688" t="s">
        <v>92</v>
      </c>
      <c r="J6519" s="1668"/>
      <c r="K6519" s="1668"/>
      <c r="L6519" s="1669"/>
    </row>
    <row r="6520" spans="1:12" s="692" customFormat="1" ht="16.5" hidden="1">
      <c r="A6520" s="1665"/>
      <c r="B6520" s="1666"/>
      <c r="C6520" s="688"/>
      <c r="D6520" s="1667"/>
      <c r="E6520" s="1671">
        <v>3.5</v>
      </c>
      <c r="F6520" s="1671">
        <v>4</v>
      </c>
      <c r="G6520" s="1674"/>
      <c r="H6520" s="1671">
        <f t="shared" si="1180"/>
        <v>0</v>
      </c>
      <c r="I6520" s="688" t="s">
        <v>92</v>
      </c>
      <c r="J6520" s="1668"/>
      <c r="K6520" s="1668"/>
      <c r="L6520" s="1669"/>
    </row>
    <row r="6521" spans="1:12" s="692" customFormat="1" ht="16.5" hidden="1">
      <c r="A6521" s="1665"/>
      <c r="B6521" s="1666"/>
      <c r="C6521" s="688"/>
      <c r="D6521" s="1667"/>
      <c r="E6521" s="1671">
        <v>3.5</v>
      </c>
      <c r="F6521" s="1671">
        <v>4</v>
      </c>
      <c r="G6521" s="1674"/>
      <c r="H6521" s="1671">
        <f t="shared" si="1180"/>
        <v>0</v>
      </c>
      <c r="I6521" s="688" t="s">
        <v>92</v>
      </c>
      <c r="J6521" s="1668"/>
      <c r="K6521" s="1668"/>
      <c r="L6521" s="1669"/>
    </row>
    <row r="6522" spans="1:12" s="692" customFormat="1" ht="16.5" hidden="1">
      <c r="A6522" s="1665"/>
      <c r="B6522" s="1666"/>
      <c r="C6522" s="688"/>
      <c r="D6522" s="1667"/>
      <c r="E6522" s="1671">
        <v>3.5</v>
      </c>
      <c r="F6522" s="1671">
        <v>4</v>
      </c>
      <c r="G6522" s="1674"/>
      <c r="H6522" s="1671">
        <f t="shared" si="1180"/>
        <v>0</v>
      </c>
      <c r="I6522" s="688" t="s">
        <v>92</v>
      </c>
      <c r="J6522" s="1668"/>
      <c r="K6522" s="1668"/>
      <c r="L6522" s="1669"/>
    </row>
    <row r="6523" spans="1:12" s="692" customFormat="1" ht="16.5" hidden="1">
      <c r="A6523" s="1665"/>
      <c r="B6523" s="1666"/>
      <c r="C6523" s="688"/>
      <c r="D6523" s="1667"/>
      <c r="E6523" s="1671">
        <v>3.5</v>
      </c>
      <c r="F6523" s="1671">
        <v>4</v>
      </c>
      <c r="G6523" s="1674"/>
      <c r="H6523" s="1671">
        <f t="shared" si="1180"/>
        <v>0</v>
      </c>
      <c r="I6523" s="688" t="s">
        <v>92</v>
      </c>
      <c r="J6523" s="1668"/>
      <c r="K6523" s="1668"/>
      <c r="L6523" s="1669"/>
    </row>
    <row r="6524" spans="1:12" s="692" customFormat="1" ht="16.5" hidden="1">
      <c r="A6524" s="1665"/>
      <c r="B6524" s="1666"/>
      <c r="C6524" s="688"/>
      <c r="D6524" s="1667"/>
      <c r="E6524" s="1671">
        <v>3.5</v>
      </c>
      <c r="F6524" s="1671">
        <v>4</v>
      </c>
      <c r="G6524" s="1674"/>
      <c r="H6524" s="1671">
        <f t="shared" si="1180"/>
        <v>0</v>
      </c>
      <c r="I6524" s="688" t="s">
        <v>92</v>
      </c>
      <c r="J6524" s="1668"/>
      <c r="K6524" s="1668"/>
      <c r="L6524" s="1669"/>
    </row>
    <row r="6525" spans="1:12" s="692" customFormat="1" ht="16.5" hidden="1">
      <c r="A6525" s="1665"/>
      <c r="B6525" s="1666"/>
      <c r="C6525" s="688"/>
      <c r="D6525" s="1667"/>
      <c r="E6525" s="1671"/>
      <c r="F6525" s="1671"/>
      <c r="G6525" s="1674" t="s">
        <v>928</v>
      </c>
      <c r="H6525" s="1671">
        <f>SUM(H6519:H6524)</f>
        <v>0</v>
      </c>
      <c r="I6525" s="688" t="s">
        <v>92</v>
      </c>
      <c r="J6525" s="1669" t="e">
        <f>'Lead &amp; ANALYSIS'!L1181</f>
        <v>#REF!</v>
      </c>
      <c r="K6525" s="1668" t="s">
        <v>1516</v>
      </c>
      <c r="L6525" s="1669" t="e">
        <f>ROUND(H6525*J6525,0)</f>
        <v>#REF!</v>
      </c>
    </row>
    <row r="6526" spans="1:12" s="692" customFormat="1" ht="16.5" hidden="1">
      <c r="A6526" s="1665" t="str">
        <f>'Lead &amp; ANALYSIS'!A1182</f>
        <v>ii</v>
      </c>
      <c r="B6526" s="1666" t="str">
        <f>'Lead &amp; ANALYSIS'!B1182</f>
        <v>ii.Slushy Soil</v>
      </c>
      <c r="C6526" s="688"/>
      <c r="D6526" s="1667"/>
      <c r="E6526" s="688"/>
      <c r="F6526" s="688"/>
      <c r="G6526" s="1674"/>
      <c r="H6526" s="688"/>
      <c r="I6526" s="1668"/>
      <c r="J6526" s="1669"/>
      <c r="K6526" s="1668"/>
      <c r="L6526" s="1669"/>
    </row>
    <row r="6527" spans="1:12" s="692" customFormat="1" ht="16.5" hidden="1">
      <c r="A6527" s="1665"/>
      <c r="B6527" s="1666"/>
      <c r="C6527" s="688"/>
      <c r="D6527" s="1667"/>
      <c r="E6527" s="1671">
        <v>3.5</v>
      </c>
      <c r="F6527" s="1671">
        <v>4</v>
      </c>
      <c r="G6527" s="1674"/>
      <c r="H6527" s="1671">
        <f t="shared" ref="H6527:H6532" si="1181">ROUND(D6527*E6527*F6527,2)</f>
        <v>0</v>
      </c>
      <c r="I6527" s="688" t="s">
        <v>92</v>
      </c>
      <c r="J6527" s="1669"/>
      <c r="K6527" s="1668"/>
      <c r="L6527" s="1669"/>
    </row>
    <row r="6528" spans="1:12" s="692" customFormat="1" ht="16.5" hidden="1">
      <c r="A6528" s="1665"/>
      <c r="B6528" s="1666"/>
      <c r="C6528" s="688"/>
      <c r="D6528" s="1667"/>
      <c r="E6528" s="1671">
        <v>3.5</v>
      </c>
      <c r="F6528" s="1671">
        <v>4</v>
      </c>
      <c r="G6528" s="1674"/>
      <c r="H6528" s="1671">
        <f t="shared" si="1181"/>
        <v>0</v>
      </c>
      <c r="I6528" s="688" t="s">
        <v>92</v>
      </c>
      <c r="J6528" s="1669"/>
      <c r="K6528" s="1668"/>
      <c r="L6528" s="1669"/>
    </row>
    <row r="6529" spans="1:12" s="692" customFormat="1" ht="16.5" hidden="1">
      <c r="A6529" s="1665"/>
      <c r="B6529" s="1666"/>
      <c r="C6529" s="688"/>
      <c r="D6529" s="1667"/>
      <c r="E6529" s="1671">
        <v>3.5</v>
      </c>
      <c r="F6529" s="1671">
        <v>4</v>
      </c>
      <c r="G6529" s="1674"/>
      <c r="H6529" s="1671">
        <f t="shared" si="1181"/>
        <v>0</v>
      </c>
      <c r="I6529" s="688" t="s">
        <v>92</v>
      </c>
      <c r="J6529" s="1669"/>
      <c r="K6529" s="1668"/>
      <c r="L6529" s="1669"/>
    </row>
    <row r="6530" spans="1:12" s="692" customFormat="1" ht="16.5" hidden="1">
      <c r="A6530" s="1665"/>
      <c r="B6530" s="1666"/>
      <c r="C6530" s="688"/>
      <c r="D6530" s="1667"/>
      <c r="E6530" s="1671">
        <v>3.5</v>
      </c>
      <c r="F6530" s="1671">
        <v>4</v>
      </c>
      <c r="G6530" s="1674"/>
      <c r="H6530" s="1671">
        <f t="shared" si="1181"/>
        <v>0</v>
      </c>
      <c r="I6530" s="688" t="s">
        <v>92</v>
      </c>
      <c r="J6530" s="1669"/>
      <c r="K6530" s="1668"/>
      <c r="L6530" s="1669"/>
    </row>
    <row r="6531" spans="1:12" s="692" customFormat="1" ht="16.5" hidden="1">
      <c r="A6531" s="1665"/>
      <c r="B6531" s="1666"/>
      <c r="C6531" s="688"/>
      <c r="D6531" s="1667"/>
      <c r="E6531" s="1671">
        <v>3.5</v>
      </c>
      <c r="F6531" s="1671">
        <v>4</v>
      </c>
      <c r="G6531" s="1674"/>
      <c r="H6531" s="1671">
        <f t="shared" si="1181"/>
        <v>0</v>
      </c>
      <c r="I6531" s="688" t="s">
        <v>92</v>
      </c>
      <c r="J6531" s="1669"/>
      <c r="K6531" s="1668"/>
      <c r="L6531" s="1669"/>
    </row>
    <row r="6532" spans="1:12" s="692" customFormat="1" ht="16.5" hidden="1">
      <c r="A6532" s="1665"/>
      <c r="B6532" s="1666"/>
      <c r="C6532" s="688"/>
      <c r="D6532" s="1667"/>
      <c r="E6532" s="1671">
        <v>3.5</v>
      </c>
      <c r="F6532" s="1671">
        <v>4</v>
      </c>
      <c r="G6532" s="1674"/>
      <c r="H6532" s="1671">
        <f t="shared" si="1181"/>
        <v>0</v>
      </c>
      <c r="I6532" s="688" t="s">
        <v>92</v>
      </c>
      <c r="J6532" s="1669"/>
      <c r="K6532" s="1668"/>
      <c r="L6532" s="1669"/>
    </row>
    <row r="6533" spans="1:12" s="692" customFormat="1" ht="16.5" hidden="1">
      <c r="A6533" s="1665"/>
      <c r="B6533" s="1666"/>
      <c r="C6533" s="688"/>
      <c r="D6533" s="1667"/>
      <c r="E6533" s="1671"/>
      <c r="F6533" s="1671"/>
      <c r="G6533" s="1674" t="s">
        <v>928</v>
      </c>
      <c r="H6533" s="1671">
        <f>SUM(H6527:H6532)</f>
        <v>0</v>
      </c>
      <c r="I6533" s="688" t="s">
        <v>92</v>
      </c>
      <c r="J6533" s="1669" t="e">
        <f>'Lead &amp; ANALYSIS'!L1182</f>
        <v>#REF!</v>
      </c>
      <c r="K6533" s="1668" t="s">
        <v>1516</v>
      </c>
      <c r="L6533" s="1669" t="e">
        <f>ROUND(H6533*J6533,0)</f>
        <v>#REF!</v>
      </c>
    </row>
    <row r="6534" spans="1:12" s="692" customFormat="1" ht="16.5" hidden="1">
      <c r="A6534" s="1665" t="str">
        <f>'Lead &amp; ANALYSIS'!A1183</f>
        <v>iii</v>
      </c>
      <c r="B6534" s="1666" t="str">
        <f>'Lead &amp; ANALYSIS'!B1183</f>
        <v>iii.Hard Sooil</v>
      </c>
      <c r="C6534" s="688"/>
      <c r="D6534" s="1667"/>
      <c r="E6534" s="688"/>
      <c r="F6534" s="688"/>
      <c r="G6534" s="1674"/>
      <c r="H6534" s="688"/>
      <c r="I6534" s="1668"/>
      <c r="J6534" s="1669"/>
      <c r="K6534" s="1668"/>
      <c r="L6534" s="1669"/>
    </row>
    <row r="6535" spans="1:12" s="692" customFormat="1" ht="16.5" hidden="1">
      <c r="A6535" s="1665"/>
      <c r="B6535" s="1666"/>
      <c r="C6535" s="688"/>
      <c r="D6535" s="1667"/>
      <c r="E6535" s="1671">
        <v>3.5</v>
      </c>
      <c r="F6535" s="1671">
        <v>4</v>
      </c>
      <c r="G6535" s="1674"/>
      <c r="H6535" s="1671">
        <f t="shared" ref="H6535:H6540" si="1182">ROUND(D6535*E6535*F6535,2)</f>
        <v>0</v>
      </c>
      <c r="I6535" s="688" t="s">
        <v>92</v>
      </c>
      <c r="J6535" s="1669"/>
      <c r="K6535" s="1668"/>
      <c r="L6535" s="1669"/>
    </row>
    <row r="6536" spans="1:12" s="692" customFormat="1" ht="16.5" hidden="1">
      <c r="A6536" s="1665"/>
      <c r="B6536" s="1666"/>
      <c r="C6536" s="688"/>
      <c r="D6536" s="1667"/>
      <c r="E6536" s="1671">
        <v>3.5</v>
      </c>
      <c r="F6536" s="1671">
        <v>4</v>
      </c>
      <c r="G6536" s="1674"/>
      <c r="H6536" s="1671">
        <f t="shared" si="1182"/>
        <v>0</v>
      </c>
      <c r="I6536" s="688" t="s">
        <v>92</v>
      </c>
      <c r="J6536" s="1669"/>
      <c r="K6536" s="1668"/>
      <c r="L6536" s="1669"/>
    </row>
    <row r="6537" spans="1:12" s="692" customFormat="1" ht="16.5" hidden="1">
      <c r="A6537" s="1665"/>
      <c r="B6537" s="1666"/>
      <c r="C6537" s="688"/>
      <c r="D6537" s="1667"/>
      <c r="E6537" s="1671">
        <v>3.5</v>
      </c>
      <c r="F6537" s="1671">
        <v>4</v>
      </c>
      <c r="G6537" s="1674"/>
      <c r="H6537" s="1671">
        <f t="shared" si="1182"/>
        <v>0</v>
      </c>
      <c r="I6537" s="688" t="s">
        <v>92</v>
      </c>
      <c r="J6537" s="1669"/>
      <c r="K6537" s="1668"/>
      <c r="L6537" s="1669"/>
    </row>
    <row r="6538" spans="1:12" s="692" customFormat="1" ht="16.5" hidden="1">
      <c r="A6538" s="1665"/>
      <c r="B6538" s="1666"/>
      <c r="C6538" s="688"/>
      <c r="D6538" s="1667"/>
      <c r="E6538" s="1671">
        <v>3.5</v>
      </c>
      <c r="F6538" s="1671">
        <v>4</v>
      </c>
      <c r="G6538" s="1674"/>
      <c r="H6538" s="1671">
        <f t="shared" si="1182"/>
        <v>0</v>
      </c>
      <c r="I6538" s="688" t="s">
        <v>92</v>
      </c>
      <c r="J6538" s="1669"/>
      <c r="K6538" s="1668"/>
      <c r="L6538" s="1669"/>
    </row>
    <row r="6539" spans="1:12" s="692" customFormat="1" ht="16.5" hidden="1">
      <c r="A6539" s="1665"/>
      <c r="B6539" s="1666"/>
      <c r="C6539" s="688"/>
      <c r="D6539" s="1667"/>
      <c r="E6539" s="1671">
        <v>3.5</v>
      </c>
      <c r="F6539" s="1671">
        <v>4</v>
      </c>
      <c r="G6539" s="1674"/>
      <c r="H6539" s="1671">
        <f t="shared" si="1182"/>
        <v>0</v>
      </c>
      <c r="I6539" s="688" t="s">
        <v>92</v>
      </c>
      <c r="J6539" s="1669"/>
      <c r="K6539" s="1668"/>
      <c r="L6539" s="1669"/>
    </row>
    <row r="6540" spans="1:12" s="692" customFormat="1" ht="16.5" hidden="1">
      <c r="A6540" s="1665"/>
      <c r="B6540" s="1666"/>
      <c r="C6540" s="688"/>
      <c r="D6540" s="1667"/>
      <c r="E6540" s="1671">
        <v>3.5</v>
      </c>
      <c r="F6540" s="1671">
        <v>4</v>
      </c>
      <c r="G6540" s="1674"/>
      <c r="H6540" s="1671">
        <f t="shared" si="1182"/>
        <v>0</v>
      </c>
      <c r="I6540" s="688" t="s">
        <v>92</v>
      </c>
      <c r="J6540" s="1669"/>
      <c r="K6540" s="1668"/>
      <c r="L6540" s="1669"/>
    </row>
    <row r="6541" spans="1:12" s="692" customFormat="1" ht="16.5" hidden="1">
      <c r="A6541" s="1665"/>
      <c r="B6541" s="1666"/>
      <c r="C6541" s="688"/>
      <c r="D6541" s="1667"/>
      <c r="E6541" s="1671"/>
      <c r="F6541" s="1671"/>
      <c r="G6541" s="1674" t="s">
        <v>928</v>
      </c>
      <c r="H6541" s="1671">
        <f>SUM(H6535:H6540)</f>
        <v>0</v>
      </c>
      <c r="I6541" s="688" t="s">
        <v>92</v>
      </c>
      <c r="J6541" s="1669" t="e">
        <f>'Lead &amp; ANALYSIS'!L1183</f>
        <v>#REF!</v>
      </c>
      <c r="K6541" s="1668" t="s">
        <v>1516</v>
      </c>
      <c r="L6541" s="1669" t="e">
        <f>ROUND(H6541*J6541,0)</f>
        <v>#REF!</v>
      </c>
    </row>
    <row r="6542" spans="1:12" s="692" customFormat="1" ht="16.5" hidden="1">
      <c r="A6542" s="1665" t="str">
        <f>'Lead &amp; ANALYSIS'!A1184</f>
        <v>iv</v>
      </c>
      <c r="B6542" s="1666" t="str">
        <f>'Lead &amp; ANALYSIS'!B1184</f>
        <v>IV.Stony Earth</v>
      </c>
      <c r="C6542" s="688"/>
      <c r="D6542" s="1667"/>
      <c r="E6542" s="688"/>
      <c r="F6542" s="688"/>
      <c r="G6542" s="1674"/>
      <c r="H6542" s="688"/>
      <c r="I6542" s="1668"/>
      <c r="J6542" s="1669"/>
      <c r="K6542" s="1668"/>
      <c r="L6542" s="1669"/>
    </row>
    <row r="6543" spans="1:12" s="692" customFormat="1" ht="16.5" hidden="1">
      <c r="A6543" s="1665"/>
      <c r="B6543" s="1666"/>
      <c r="C6543" s="688"/>
      <c r="D6543" s="1667"/>
      <c r="E6543" s="1671">
        <v>3.5</v>
      </c>
      <c r="F6543" s="1671">
        <v>4</v>
      </c>
      <c r="G6543" s="1674"/>
      <c r="H6543" s="1671">
        <f t="shared" ref="H6543:H6548" si="1183">ROUND(D6543*E6543*F6543,2)</f>
        <v>0</v>
      </c>
      <c r="I6543" s="688" t="s">
        <v>92</v>
      </c>
      <c r="J6543" s="1669"/>
      <c r="K6543" s="1668"/>
      <c r="L6543" s="1669"/>
    </row>
    <row r="6544" spans="1:12" s="692" customFormat="1" ht="16.5" hidden="1">
      <c r="A6544" s="1665"/>
      <c r="B6544" s="1666"/>
      <c r="C6544" s="688"/>
      <c r="D6544" s="1667"/>
      <c r="E6544" s="1671">
        <v>3.5</v>
      </c>
      <c r="F6544" s="1671">
        <v>4</v>
      </c>
      <c r="G6544" s="1674"/>
      <c r="H6544" s="1671">
        <f t="shared" si="1183"/>
        <v>0</v>
      </c>
      <c r="I6544" s="688" t="s">
        <v>92</v>
      </c>
      <c r="J6544" s="1669"/>
      <c r="K6544" s="1668"/>
      <c r="L6544" s="1669"/>
    </row>
    <row r="6545" spans="1:12" s="692" customFormat="1" ht="16.5" hidden="1">
      <c r="A6545" s="1665"/>
      <c r="B6545" s="1666"/>
      <c r="C6545" s="688"/>
      <c r="D6545" s="1667"/>
      <c r="E6545" s="1671">
        <v>3.5</v>
      </c>
      <c r="F6545" s="1671">
        <v>4</v>
      </c>
      <c r="G6545" s="1674"/>
      <c r="H6545" s="1671">
        <f t="shared" si="1183"/>
        <v>0</v>
      </c>
      <c r="I6545" s="688" t="s">
        <v>92</v>
      </c>
      <c r="J6545" s="1669"/>
      <c r="K6545" s="1668"/>
      <c r="L6545" s="1669"/>
    </row>
    <row r="6546" spans="1:12" s="692" customFormat="1" ht="16.5" hidden="1">
      <c r="A6546" s="1665"/>
      <c r="B6546" s="1666"/>
      <c r="C6546" s="688"/>
      <c r="D6546" s="1667"/>
      <c r="E6546" s="1671">
        <v>3.5</v>
      </c>
      <c r="F6546" s="1671">
        <v>4</v>
      </c>
      <c r="G6546" s="1674"/>
      <c r="H6546" s="1671">
        <f t="shared" si="1183"/>
        <v>0</v>
      </c>
      <c r="I6546" s="688" t="s">
        <v>92</v>
      </c>
      <c r="J6546" s="1669"/>
      <c r="K6546" s="1668"/>
      <c r="L6546" s="1669"/>
    </row>
    <row r="6547" spans="1:12" s="692" customFormat="1" ht="16.5" hidden="1">
      <c r="A6547" s="1665"/>
      <c r="B6547" s="1666"/>
      <c r="C6547" s="688"/>
      <c r="D6547" s="1667"/>
      <c r="E6547" s="1671">
        <v>3.5</v>
      </c>
      <c r="F6547" s="1671">
        <v>4</v>
      </c>
      <c r="G6547" s="1674"/>
      <c r="H6547" s="1671">
        <f t="shared" si="1183"/>
        <v>0</v>
      </c>
      <c r="I6547" s="688" t="s">
        <v>92</v>
      </c>
      <c r="J6547" s="1669"/>
      <c r="K6547" s="1668"/>
      <c r="L6547" s="1669"/>
    </row>
    <row r="6548" spans="1:12" s="692" customFormat="1" ht="16.5" hidden="1">
      <c r="A6548" s="1665"/>
      <c r="B6548" s="1666"/>
      <c r="C6548" s="688"/>
      <c r="D6548" s="1667"/>
      <c r="E6548" s="1671">
        <v>3.5</v>
      </c>
      <c r="F6548" s="1671">
        <v>4</v>
      </c>
      <c r="G6548" s="1674"/>
      <c r="H6548" s="1671">
        <f t="shared" si="1183"/>
        <v>0</v>
      </c>
      <c r="I6548" s="688" t="s">
        <v>92</v>
      </c>
      <c r="J6548" s="1669"/>
      <c r="K6548" s="1668"/>
      <c r="L6548" s="1669"/>
    </row>
    <row r="6549" spans="1:12" s="692" customFormat="1" ht="16.5" hidden="1">
      <c r="A6549" s="1665"/>
      <c r="B6549" s="1666"/>
      <c r="C6549" s="688"/>
      <c r="D6549" s="1667"/>
      <c r="E6549" s="1671"/>
      <c r="F6549" s="1671"/>
      <c r="G6549" s="1674" t="s">
        <v>928</v>
      </c>
      <c r="H6549" s="1671">
        <f>SUM(H6543:H6548)</f>
        <v>0</v>
      </c>
      <c r="I6549" s="688" t="s">
        <v>92</v>
      </c>
      <c r="J6549" s="1669" t="e">
        <f>'Lead &amp; ANALYSIS'!L1184</f>
        <v>#REF!</v>
      </c>
      <c r="K6549" s="1668" t="s">
        <v>1516</v>
      </c>
      <c r="L6549" s="1669" t="e">
        <f>ROUND(H6549*J6549,0)</f>
        <v>#REF!</v>
      </c>
    </row>
    <row r="6550" spans="1:12" s="692" customFormat="1" ht="16.5" hidden="1">
      <c r="A6550" s="1665" t="str">
        <f>'Lead &amp; ANALYSIS'!A1185</f>
        <v>v</v>
      </c>
      <c r="B6550" s="1666" t="str">
        <f>'Lead &amp; ANALYSIS'!B1185</f>
        <v>V.All Kinds of Soil</v>
      </c>
      <c r="C6550" s="688"/>
      <c r="D6550" s="1667"/>
      <c r="E6550" s="688"/>
      <c r="F6550" s="688"/>
      <c r="G6550" s="1674"/>
      <c r="H6550" s="688"/>
      <c r="I6550" s="1668"/>
      <c r="J6550" s="1669"/>
      <c r="K6550" s="1668"/>
      <c r="L6550" s="1669"/>
    </row>
    <row r="6551" spans="1:12" s="692" customFormat="1" ht="16.5" hidden="1">
      <c r="A6551" s="1665"/>
      <c r="B6551" s="1666"/>
      <c r="C6551" s="688"/>
      <c r="D6551" s="1667"/>
      <c r="E6551" s="1671">
        <v>3.5</v>
      </c>
      <c r="F6551" s="1671">
        <v>4</v>
      </c>
      <c r="G6551" s="1674"/>
      <c r="H6551" s="1671">
        <f t="shared" ref="H6551:H6556" si="1184">ROUND(D6551*E6551*F6551,2)</f>
        <v>0</v>
      </c>
      <c r="I6551" s="688" t="s">
        <v>92</v>
      </c>
      <c r="J6551" s="1669"/>
      <c r="K6551" s="1668"/>
      <c r="L6551" s="1669"/>
    </row>
    <row r="6552" spans="1:12" s="692" customFormat="1" ht="16.5" hidden="1">
      <c r="A6552" s="1665"/>
      <c r="B6552" s="1666"/>
      <c r="C6552" s="688"/>
      <c r="D6552" s="1667"/>
      <c r="E6552" s="1671">
        <v>3.5</v>
      </c>
      <c r="F6552" s="1671">
        <v>4</v>
      </c>
      <c r="G6552" s="1674"/>
      <c r="H6552" s="1671">
        <f t="shared" si="1184"/>
        <v>0</v>
      </c>
      <c r="I6552" s="688" t="s">
        <v>92</v>
      </c>
      <c r="J6552" s="1669"/>
      <c r="K6552" s="1668"/>
      <c r="L6552" s="1669"/>
    </row>
    <row r="6553" spans="1:12" s="692" customFormat="1" ht="16.5" hidden="1">
      <c r="A6553" s="1665"/>
      <c r="B6553" s="1666"/>
      <c r="C6553" s="688"/>
      <c r="D6553" s="1667"/>
      <c r="E6553" s="1671">
        <v>3.5</v>
      </c>
      <c r="F6553" s="1671">
        <v>4</v>
      </c>
      <c r="G6553" s="1674"/>
      <c r="H6553" s="1671">
        <f t="shared" si="1184"/>
        <v>0</v>
      </c>
      <c r="I6553" s="688" t="s">
        <v>92</v>
      </c>
      <c r="J6553" s="1669"/>
      <c r="K6553" s="1668"/>
      <c r="L6553" s="1669"/>
    </row>
    <row r="6554" spans="1:12" s="692" customFormat="1" ht="16.5" hidden="1">
      <c r="A6554" s="1665"/>
      <c r="B6554" s="1666"/>
      <c r="C6554" s="688"/>
      <c r="D6554" s="1667"/>
      <c r="E6554" s="1671">
        <v>3.5</v>
      </c>
      <c r="F6554" s="1671">
        <v>4</v>
      </c>
      <c r="G6554" s="1674"/>
      <c r="H6554" s="1671">
        <f t="shared" si="1184"/>
        <v>0</v>
      </c>
      <c r="I6554" s="688" t="s">
        <v>92</v>
      </c>
      <c r="J6554" s="1669"/>
      <c r="K6554" s="1668"/>
      <c r="L6554" s="1669"/>
    </row>
    <row r="6555" spans="1:12" s="692" customFormat="1" ht="16.5" hidden="1">
      <c r="A6555" s="1665"/>
      <c r="B6555" s="1666"/>
      <c r="C6555" s="688"/>
      <c r="D6555" s="1667"/>
      <c r="E6555" s="1671">
        <v>3.5</v>
      </c>
      <c r="F6555" s="1671">
        <v>4</v>
      </c>
      <c r="G6555" s="1674"/>
      <c r="H6555" s="1671">
        <f t="shared" si="1184"/>
        <v>0</v>
      </c>
      <c r="I6555" s="688" t="s">
        <v>92</v>
      </c>
      <c r="J6555" s="1669"/>
      <c r="K6555" s="1668"/>
      <c r="L6555" s="1669"/>
    </row>
    <row r="6556" spans="1:12" s="692" customFormat="1" ht="16.5" hidden="1">
      <c r="A6556" s="1665"/>
      <c r="B6556" s="1666"/>
      <c r="C6556" s="688"/>
      <c r="D6556" s="1667"/>
      <c r="E6556" s="1671">
        <v>3.5</v>
      </c>
      <c r="F6556" s="1671">
        <v>4</v>
      </c>
      <c r="G6556" s="1674"/>
      <c r="H6556" s="1671">
        <f t="shared" si="1184"/>
        <v>0</v>
      </c>
      <c r="I6556" s="688" t="s">
        <v>92</v>
      </c>
      <c r="J6556" s="1669"/>
      <c r="K6556" s="1668"/>
      <c r="L6556" s="1669"/>
    </row>
    <row r="6557" spans="1:12" s="692" customFormat="1" ht="16.5" hidden="1">
      <c r="A6557" s="1665"/>
      <c r="B6557" s="1666"/>
      <c r="C6557" s="688"/>
      <c r="D6557" s="1667"/>
      <c r="E6557" s="1671"/>
      <c r="F6557" s="1671"/>
      <c r="G6557" s="1674" t="s">
        <v>928</v>
      </c>
      <c r="H6557" s="1671">
        <f>SUM(H6551:H6556)</f>
        <v>0</v>
      </c>
      <c r="I6557" s="688" t="s">
        <v>92</v>
      </c>
      <c r="J6557" s="1669" t="e">
        <f>'Lead &amp; ANALYSIS'!L1185</f>
        <v>#REF!</v>
      </c>
      <c r="K6557" s="1668" t="s">
        <v>1516</v>
      </c>
      <c r="L6557" s="1669" t="e">
        <f>ROUND(H6557*J6557,0)</f>
        <v>#REF!</v>
      </c>
    </row>
    <row r="6558" spans="1:12" s="692" customFormat="1" ht="16.5" hidden="1">
      <c r="A6558" s="1665">
        <f>'Lead &amp; ANALYSIS'!A1186</f>
        <v>0</v>
      </c>
      <c r="B6558" s="1666">
        <f>'Lead &amp; ANALYSIS'!B1186</f>
        <v>0</v>
      </c>
      <c r="C6558" s="688"/>
      <c r="D6558" s="1667"/>
      <c r="E6558" s="688"/>
      <c r="F6558" s="688"/>
      <c r="G6558" s="1674"/>
      <c r="H6558" s="688"/>
      <c r="I6558" s="1668"/>
      <c r="J6558" s="1668"/>
      <c r="K6558" s="1668"/>
      <c r="L6558" s="1669"/>
    </row>
    <row r="6559" spans="1:12" s="692" customFormat="1" ht="49.5" hidden="1">
      <c r="A6559" s="1665">
        <f>'Lead &amp; ANALYSIS'!A1187</f>
        <v>182</v>
      </c>
      <c r="B6559" s="1666" t="str">
        <f>'Lead &amp; ANALYSIS'!B1187</f>
        <v>Earrth work Excavation for Open well in disintigrated rock within Initial lead etc complete as per Specification.</v>
      </c>
      <c r="C6559" s="688"/>
      <c r="D6559" s="1667"/>
      <c r="E6559" s="688"/>
      <c r="F6559" s="688"/>
      <c r="G6559" s="1674"/>
      <c r="H6559" s="688"/>
      <c r="I6559" s="1668"/>
      <c r="J6559" s="1668"/>
      <c r="K6559" s="1668"/>
      <c r="L6559" s="1669"/>
    </row>
    <row r="6560" spans="1:12" s="692" customFormat="1" ht="16.5" hidden="1">
      <c r="A6560" s="1665" t="str">
        <f>'Lead &amp; ANALYSIS'!A1188</f>
        <v>A.</v>
      </c>
      <c r="B6560" s="1675" t="str">
        <f>'Lead &amp; ANALYSIS'!B1188</f>
        <v>1ST DEPTH OF 1.5MTR.</v>
      </c>
      <c r="C6560" s="688"/>
      <c r="D6560" s="1667"/>
      <c r="E6560" s="688"/>
      <c r="F6560" s="688"/>
      <c r="G6560" s="1674"/>
      <c r="H6560" s="688"/>
      <c r="I6560" s="1668"/>
      <c r="J6560" s="1668"/>
      <c r="K6560" s="1668"/>
      <c r="L6560" s="1669"/>
    </row>
    <row r="6561" spans="1:12" s="692" customFormat="1" ht="16.5" hidden="1">
      <c r="A6561" s="1665" t="str">
        <f>'Lead &amp; ANALYSIS'!A1189</f>
        <v>i</v>
      </c>
      <c r="B6561" s="1666" t="str">
        <f>'Lead &amp; ANALYSIS'!B1189</f>
        <v>i.Disintegrated Rock</v>
      </c>
      <c r="C6561" s="688"/>
      <c r="D6561" s="1667"/>
      <c r="E6561" s="688"/>
      <c r="F6561" s="688"/>
      <c r="G6561" s="1674"/>
      <c r="H6561" s="688"/>
      <c r="I6561" s="1668"/>
      <c r="J6561" s="1668"/>
      <c r="K6561" s="1668"/>
      <c r="L6561" s="1669"/>
    </row>
    <row r="6562" spans="1:12" s="692" customFormat="1" ht="16.5" hidden="1">
      <c r="A6562" s="1665"/>
      <c r="B6562" s="1666"/>
      <c r="C6562" s="688"/>
      <c r="D6562" s="1667"/>
      <c r="E6562" s="1671">
        <v>3.5</v>
      </c>
      <c r="F6562" s="1671">
        <v>4</v>
      </c>
      <c r="G6562" s="1674"/>
      <c r="H6562" s="1671">
        <f t="shared" ref="H6562:H6567" si="1185">ROUND(D6562*E6562*F6562,2)</f>
        <v>0</v>
      </c>
      <c r="I6562" s="688" t="s">
        <v>92</v>
      </c>
      <c r="J6562" s="1668"/>
      <c r="K6562" s="1668"/>
      <c r="L6562" s="1669"/>
    </row>
    <row r="6563" spans="1:12" s="692" customFormat="1" ht="16.5" hidden="1">
      <c r="A6563" s="1665"/>
      <c r="B6563" s="1666"/>
      <c r="C6563" s="688"/>
      <c r="D6563" s="1667"/>
      <c r="E6563" s="1671">
        <v>3.5</v>
      </c>
      <c r="F6563" s="1671">
        <v>4</v>
      </c>
      <c r="G6563" s="1674"/>
      <c r="H6563" s="1671">
        <f t="shared" si="1185"/>
        <v>0</v>
      </c>
      <c r="I6563" s="688" t="s">
        <v>92</v>
      </c>
      <c r="J6563" s="1668"/>
      <c r="K6563" s="1668"/>
      <c r="L6563" s="1669"/>
    </row>
    <row r="6564" spans="1:12" s="692" customFormat="1" ht="16.5" hidden="1">
      <c r="A6564" s="1665"/>
      <c r="B6564" s="1666"/>
      <c r="C6564" s="688"/>
      <c r="D6564" s="1667"/>
      <c r="E6564" s="1671">
        <v>3.5</v>
      </c>
      <c r="F6564" s="1671">
        <v>4</v>
      </c>
      <c r="G6564" s="1674"/>
      <c r="H6564" s="1671">
        <f t="shared" si="1185"/>
        <v>0</v>
      </c>
      <c r="I6564" s="688" t="s">
        <v>92</v>
      </c>
      <c r="J6564" s="1668"/>
      <c r="K6564" s="1668"/>
      <c r="L6564" s="1669"/>
    </row>
    <row r="6565" spans="1:12" s="692" customFormat="1" ht="16.5" hidden="1">
      <c r="A6565" s="1665"/>
      <c r="B6565" s="1666"/>
      <c r="C6565" s="688"/>
      <c r="D6565" s="1667"/>
      <c r="E6565" s="1671">
        <v>3.5</v>
      </c>
      <c r="F6565" s="1671">
        <v>4</v>
      </c>
      <c r="G6565" s="1674"/>
      <c r="H6565" s="1671">
        <f t="shared" si="1185"/>
        <v>0</v>
      </c>
      <c r="I6565" s="688" t="s">
        <v>92</v>
      </c>
      <c r="J6565" s="1668"/>
      <c r="K6565" s="1668"/>
      <c r="L6565" s="1669"/>
    </row>
    <row r="6566" spans="1:12" s="692" customFormat="1" ht="16.5" hidden="1">
      <c r="A6566" s="1665"/>
      <c r="B6566" s="1666"/>
      <c r="C6566" s="688"/>
      <c r="D6566" s="1667"/>
      <c r="E6566" s="1671">
        <v>3.5</v>
      </c>
      <c r="F6566" s="1671">
        <v>4</v>
      </c>
      <c r="G6566" s="1674"/>
      <c r="H6566" s="1671">
        <f t="shared" si="1185"/>
        <v>0</v>
      </c>
      <c r="I6566" s="688" t="s">
        <v>92</v>
      </c>
      <c r="J6566" s="1668"/>
      <c r="K6566" s="1668"/>
      <c r="L6566" s="1669"/>
    </row>
    <row r="6567" spans="1:12" s="692" customFormat="1" ht="16.5" hidden="1">
      <c r="A6567" s="1665"/>
      <c r="B6567" s="1666"/>
      <c r="C6567" s="688"/>
      <c r="D6567" s="1667"/>
      <c r="E6567" s="1671">
        <v>3.5</v>
      </c>
      <c r="F6567" s="1671">
        <v>4</v>
      </c>
      <c r="G6567" s="1674"/>
      <c r="H6567" s="1671">
        <f t="shared" si="1185"/>
        <v>0</v>
      </c>
      <c r="I6567" s="688" t="s">
        <v>92</v>
      </c>
      <c r="J6567" s="1668"/>
      <c r="K6567" s="1668"/>
      <c r="L6567" s="1669"/>
    </row>
    <row r="6568" spans="1:12" s="692" customFormat="1" ht="16.5" hidden="1">
      <c r="A6568" s="1665"/>
      <c r="B6568" s="1666"/>
      <c r="C6568" s="688"/>
      <c r="D6568" s="1667"/>
      <c r="E6568" s="1671"/>
      <c r="F6568" s="1671"/>
      <c r="G6568" s="1674" t="s">
        <v>928</v>
      </c>
      <c r="H6568" s="1671">
        <f>SUM(H6562:H6567)</f>
        <v>0</v>
      </c>
      <c r="I6568" s="688" t="s">
        <v>92</v>
      </c>
      <c r="J6568" s="1669" t="e">
        <f>'Lead &amp; ANALYSIS'!L1189</f>
        <v>#REF!</v>
      </c>
      <c r="K6568" s="1668" t="s">
        <v>1516</v>
      </c>
      <c r="L6568" s="1669" t="e">
        <f>ROUND(H6568*J6568,0)</f>
        <v>#REF!</v>
      </c>
    </row>
    <row r="6569" spans="1:12" s="692" customFormat="1" ht="16.5" hidden="1">
      <c r="A6569" s="1665" t="str">
        <f>'Lead &amp; ANALYSIS'!A1190</f>
        <v xml:space="preserve">B. </v>
      </c>
      <c r="B6569" s="1675" t="str">
        <f>'Lead &amp; ANALYSIS'!B1190</f>
        <v>2ND DEPTH OF 1.5MTR.</v>
      </c>
      <c r="C6569" s="688"/>
      <c r="D6569" s="1667"/>
      <c r="E6569" s="688"/>
      <c r="F6569" s="688"/>
      <c r="G6569" s="1674"/>
      <c r="H6569" s="688"/>
      <c r="I6569" s="1668"/>
      <c r="J6569" s="1669"/>
      <c r="K6569" s="1668"/>
      <c r="L6569" s="1669"/>
    </row>
    <row r="6570" spans="1:12" s="692" customFormat="1" ht="16.5" hidden="1">
      <c r="A6570" s="1665" t="str">
        <f>'Lead &amp; ANALYSIS'!A1191</f>
        <v>i</v>
      </c>
      <c r="B6570" s="1666" t="str">
        <f>'Lead &amp; ANALYSIS'!B1191</f>
        <v>i.Disintegrated Rock</v>
      </c>
      <c r="C6570" s="688"/>
      <c r="D6570" s="1667"/>
      <c r="E6570" s="688"/>
      <c r="F6570" s="688"/>
      <c r="G6570" s="1674"/>
      <c r="H6570" s="688"/>
      <c r="I6570" s="1668"/>
      <c r="J6570" s="1669"/>
      <c r="K6570" s="1668"/>
      <c r="L6570" s="1669"/>
    </row>
    <row r="6571" spans="1:12" s="692" customFormat="1" ht="16.5" hidden="1">
      <c r="A6571" s="1665"/>
      <c r="B6571" s="1666"/>
      <c r="C6571" s="688"/>
      <c r="D6571" s="1667"/>
      <c r="E6571" s="1671">
        <v>3.5</v>
      </c>
      <c r="F6571" s="1671">
        <v>4</v>
      </c>
      <c r="G6571" s="1674"/>
      <c r="H6571" s="1671">
        <f t="shared" ref="H6571:H6576" si="1186">ROUND(D6571*E6571*F6571,2)</f>
        <v>0</v>
      </c>
      <c r="I6571" s="688" t="s">
        <v>92</v>
      </c>
      <c r="J6571" s="1669"/>
      <c r="K6571" s="1668"/>
      <c r="L6571" s="1669"/>
    </row>
    <row r="6572" spans="1:12" s="692" customFormat="1" ht="16.5" hidden="1">
      <c r="A6572" s="1665"/>
      <c r="B6572" s="1666"/>
      <c r="C6572" s="688"/>
      <c r="D6572" s="1667"/>
      <c r="E6572" s="1671">
        <v>3.5</v>
      </c>
      <c r="F6572" s="1671">
        <v>4</v>
      </c>
      <c r="G6572" s="1674"/>
      <c r="H6572" s="1671">
        <f t="shared" si="1186"/>
        <v>0</v>
      </c>
      <c r="I6572" s="688" t="s">
        <v>92</v>
      </c>
      <c r="J6572" s="1669"/>
      <c r="K6572" s="1668"/>
      <c r="L6572" s="1669"/>
    </row>
    <row r="6573" spans="1:12" s="692" customFormat="1" ht="16.5" hidden="1">
      <c r="A6573" s="1665"/>
      <c r="B6573" s="1666"/>
      <c r="C6573" s="688"/>
      <c r="D6573" s="1667"/>
      <c r="E6573" s="1671">
        <v>3.5</v>
      </c>
      <c r="F6573" s="1671">
        <v>4</v>
      </c>
      <c r="G6573" s="1674"/>
      <c r="H6573" s="1671">
        <f t="shared" si="1186"/>
        <v>0</v>
      </c>
      <c r="I6573" s="688" t="s">
        <v>92</v>
      </c>
      <c r="J6573" s="1669"/>
      <c r="K6573" s="1668"/>
      <c r="L6573" s="1669"/>
    </row>
    <row r="6574" spans="1:12" s="692" customFormat="1" ht="16.5" hidden="1">
      <c r="A6574" s="1665"/>
      <c r="B6574" s="1666"/>
      <c r="C6574" s="688"/>
      <c r="D6574" s="1667"/>
      <c r="E6574" s="1671">
        <v>3.5</v>
      </c>
      <c r="F6574" s="1671">
        <v>4</v>
      </c>
      <c r="G6574" s="1674"/>
      <c r="H6574" s="1671">
        <f t="shared" si="1186"/>
        <v>0</v>
      </c>
      <c r="I6574" s="688" t="s">
        <v>92</v>
      </c>
      <c r="J6574" s="1669"/>
      <c r="K6574" s="1668"/>
      <c r="L6574" s="1669"/>
    </row>
    <row r="6575" spans="1:12" s="692" customFormat="1" ht="16.5" hidden="1">
      <c r="A6575" s="1665"/>
      <c r="B6575" s="1666"/>
      <c r="C6575" s="688"/>
      <c r="D6575" s="1667"/>
      <c r="E6575" s="1671">
        <v>3.5</v>
      </c>
      <c r="F6575" s="1671">
        <v>4</v>
      </c>
      <c r="G6575" s="1674"/>
      <c r="H6575" s="1671">
        <f t="shared" si="1186"/>
        <v>0</v>
      </c>
      <c r="I6575" s="688" t="s">
        <v>92</v>
      </c>
      <c r="J6575" s="1669"/>
      <c r="K6575" s="1668"/>
      <c r="L6575" s="1669"/>
    </row>
    <row r="6576" spans="1:12" s="692" customFormat="1" ht="16.5" hidden="1">
      <c r="A6576" s="1665"/>
      <c r="B6576" s="1666"/>
      <c r="C6576" s="688"/>
      <c r="D6576" s="1667"/>
      <c r="E6576" s="1671">
        <v>3.5</v>
      </c>
      <c r="F6576" s="1671">
        <v>4</v>
      </c>
      <c r="G6576" s="1674"/>
      <c r="H6576" s="1671">
        <f t="shared" si="1186"/>
        <v>0</v>
      </c>
      <c r="I6576" s="688" t="s">
        <v>92</v>
      </c>
      <c r="J6576" s="1669"/>
      <c r="K6576" s="1668"/>
      <c r="L6576" s="1669"/>
    </row>
    <row r="6577" spans="1:12" s="692" customFormat="1" ht="16.5" hidden="1">
      <c r="A6577" s="1665"/>
      <c r="B6577" s="1666"/>
      <c r="C6577" s="688"/>
      <c r="D6577" s="1667"/>
      <c r="E6577" s="1671"/>
      <c r="F6577" s="1671"/>
      <c r="G6577" s="1674" t="s">
        <v>928</v>
      </c>
      <c r="H6577" s="1671">
        <f>SUM(H6571:H6576)</f>
        <v>0</v>
      </c>
      <c r="I6577" s="688" t="s">
        <v>92</v>
      </c>
      <c r="J6577" s="1669" t="e">
        <f>'Lead &amp; ANALYSIS'!L1191</f>
        <v>#REF!</v>
      </c>
      <c r="K6577" s="1668" t="s">
        <v>1516</v>
      </c>
      <c r="L6577" s="1669" t="e">
        <f>ROUND(H6577*J6577,0)</f>
        <v>#REF!</v>
      </c>
    </row>
    <row r="6578" spans="1:12" s="692" customFormat="1" ht="16.5" hidden="1">
      <c r="A6578" s="1665" t="str">
        <f>'Lead &amp; ANALYSIS'!A1192</f>
        <v>C.</v>
      </c>
      <c r="B6578" s="1675" t="str">
        <f>'Lead &amp; ANALYSIS'!B1192</f>
        <v>3RD DEPTH OF 1.5MTR.</v>
      </c>
      <c r="C6578" s="688"/>
      <c r="D6578" s="1667"/>
      <c r="E6578" s="688"/>
      <c r="F6578" s="688"/>
      <c r="G6578" s="1674"/>
      <c r="H6578" s="688"/>
      <c r="I6578" s="1668"/>
      <c r="J6578" s="1669"/>
      <c r="K6578" s="1668"/>
      <c r="L6578" s="1669"/>
    </row>
    <row r="6579" spans="1:12" s="692" customFormat="1" ht="16.5" hidden="1">
      <c r="A6579" s="1665" t="str">
        <f>'Lead &amp; ANALYSIS'!A1193</f>
        <v>i</v>
      </c>
      <c r="B6579" s="1666" t="str">
        <f>'Lead &amp; ANALYSIS'!B1193</f>
        <v>i.Disintegrated Rock</v>
      </c>
      <c r="C6579" s="688"/>
      <c r="D6579" s="1667"/>
      <c r="E6579" s="688"/>
      <c r="F6579" s="688"/>
      <c r="G6579" s="1674"/>
      <c r="H6579" s="688"/>
      <c r="I6579" s="1668"/>
      <c r="J6579" s="1669"/>
      <c r="K6579" s="1668"/>
      <c r="L6579" s="1669"/>
    </row>
    <row r="6580" spans="1:12" s="692" customFormat="1" ht="16.5" hidden="1">
      <c r="A6580" s="1665"/>
      <c r="B6580" s="1666"/>
      <c r="C6580" s="688"/>
      <c r="D6580" s="1667"/>
      <c r="E6580" s="1671">
        <v>3.5</v>
      </c>
      <c r="F6580" s="1671">
        <v>4</v>
      </c>
      <c r="G6580" s="1674"/>
      <c r="H6580" s="1671">
        <f t="shared" ref="H6580:H6585" si="1187">ROUND(D6580*E6580*F6580,2)</f>
        <v>0</v>
      </c>
      <c r="I6580" s="688" t="s">
        <v>92</v>
      </c>
      <c r="J6580" s="1669"/>
      <c r="K6580" s="1668"/>
      <c r="L6580" s="1669"/>
    </row>
    <row r="6581" spans="1:12" s="692" customFormat="1" ht="16.5" hidden="1">
      <c r="A6581" s="1665"/>
      <c r="B6581" s="1666"/>
      <c r="C6581" s="688"/>
      <c r="D6581" s="1667"/>
      <c r="E6581" s="1671">
        <v>3.5</v>
      </c>
      <c r="F6581" s="1671">
        <v>4</v>
      </c>
      <c r="G6581" s="1674"/>
      <c r="H6581" s="1671">
        <f t="shared" si="1187"/>
        <v>0</v>
      </c>
      <c r="I6581" s="688" t="s">
        <v>92</v>
      </c>
      <c r="J6581" s="1669"/>
      <c r="K6581" s="1668"/>
      <c r="L6581" s="1669"/>
    </row>
    <row r="6582" spans="1:12" s="692" customFormat="1" ht="16.5" hidden="1">
      <c r="A6582" s="1665"/>
      <c r="B6582" s="1666"/>
      <c r="C6582" s="688"/>
      <c r="D6582" s="1667"/>
      <c r="E6582" s="1671">
        <v>3.5</v>
      </c>
      <c r="F6582" s="1671">
        <v>4</v>
      </c>
      <c r="G6582" s="1674"/>
      <c r="H6582" s="1671">
        <f t="shared" si="1187"/>
        <v>0</v>
      </c>
      <c r="I6582" s="688" t="s">
        <v>92</v>
      </c>
      <c r="J6582" s="1669"/>
      <c r="K6582" s="1668"/>
      <c r="L6582" s="1669"/>
    </row>
    <row r="6583" spans="1:12" s="692" customFormat="1" ht="16.5" hidden="1">
      <c r="A6583" s="1665"/>
      <c r="B6583" s="1666"/>
      <c r="C6583" s="688"/>
      <c r="D6583" s="1667"/>
      <c r="E6583" s="1671">
        <v>3.5</v>
      </c>
      <c r="F6583" s="1671">
        <v>4</v>
      </c>
      <c r="G6583" s="1674"/>
      <c r="H6583" s="1671">
        <f t="shared" si="1187"/>
        <v>0</v>
      </c>
      <c r="I6583" s="688" t="s">
        <v>92</v>
      </c>
      <c r="J6583" s="1669"/>
      <c r="K6583" s="1668"/>
      <c r="L6583" s="1669"/>
    </row>
    <row r="6584" spans="1:12" s="692" customFormat="1" ht="16.5" hidden="1">
      <c r="A6584" s="1665"/>
      <c r="B6584" s="1666"/>
      <c r="C6584" s="688"/>
      <c r="D6584" s="1667"/>
      <c r="E6584" s="1671">
        <v>3.5</v>
      </c>
      <c r="F6584" s="1671">
        <v>4</v>
      </c>
      <c r="G6584" s="1674"/>
      <c r="H6584" s="1671">
        <f t="shared" si="1187"/>
        <v>0</v>
      </c>
      <c r="I6584" s="688" t="s">
        <v>92</v>
      </c>
      <c r="J6584" s="1669"/>
      <c r="K6584" s="1668"/>
      <c r="L6584" s="1669"/>
    </row>
    <row r="6585" spans="1:12" s="692" customFormat="1" ht="16.5" hidden="1">
      <c r="A6585" s="1665"/>
      <c r="B6585" s="1666"/>
      <c r="C6585" s="688"/>
      <c r="D6585" s="1667"/>
      <c r="E6585" s="1671">
        <v>3.5</v>
      </c>
      <c r="F6585" s="1671">
        <v>4</v>
      </c>
      <c r="G6585" s="1674"/>
      <c r="H6585" s="1671">
        <f t="shared" si="1187"/>
        <v>0</v>
      </c>
      <c r="I6585" s="688" t="s">
        <v>92</v>
      </c>
      <c r="J6585" s="1669"/>
      <c r="K6585" s="1668"/>
      <c r="L6585" s="1669"/>
    </row>
    <row r="6586" spans="1:12" s="692" customFormat="1" ht="16.5" hidden="1">
      <c r="A6586" s="1665"/>
      <c r="B6586" s="1666"/>
      <c r="C6586" s="688"/>
      <c r="D6586" s="1667"/>
      <c r="E6586" s="1671"/>
      <c r="F6586" s="1671"/>
      <c r="G6586" s="1674" t="s">
        <v>928</v>
      </c>
      <c r="H6586" s="1671">
        <f>SUM(H6580:H6585)</f>
        <v>0</v>
      </c>
      <c r="I6586" s="688" t="s">
        <v>92</v>
      </c>
      <c r="J6586" s="1669" t="e">
        <f>'Lead &amp; ANALYSIS'!L1193</f>
        <v>#REF!</v>
      </c>
      <c r="K6586" s="1668" t="s">
        <v>1516</v>
      </c>
      <c r="L6586" s="1669" t="e">
        <f>ROUND(H6586*J6586,0)</f>
        <v>#REF!</v>
      </c>
    </row>
    <row r="6587" spans="1:12" s="692" customFormat="1" ht="16.5" hidden="1">
      <c r="A6587" s="1665" t="str">
        <f>'Lead &amp; ANALYSIS'!A1194</f>
        <v>D.</v>
      </c>
      <c r="B6587" s="1675" t="str">
        <f>'Lead &amp; ANALYSIS'!B1194</f>
        <v>4TH DEPTH OF 1.5MTR.</v>
      </c>
      <c r="C6587" s="688"/>
      <c r="D6587" s="1667"/>
      <c r="E6587" s="688"/>
      <c r="F6587" s="688"/>
      <c r="G6587" s="1674"/>
      <c r="H6587" s="688"/>
      <c r="I6587" s="1668"/>
      <c r="J6587" s="1669"/>
      <c r="K6587" s="1668"/>
      <c r="L6587" s="1669"/>
    </row>
    <row r="6588" spans="1:12" s="692" customFormat="1" ht="16.5" hidden="1">
      <c r="A6588" s="1665" t="str">
        <f>'Lead &amp; ANALYSIS'!A1195</f>
        <v>i</v>
      </c>
      <c r="B6588" s="1666" t="str">
        <f>'Lead &amp; ANALYSIS'!B1195</f>
        <v>i.Disintegrated Rock</v>
      </c>
      <c r="C6588" s="688"/>
      <c r="D6588" s="1667"/>
      <c r="E6588" s="688"/>
      <c r="F6588" s="688"/>
      <c r="G6588" s="1674"/>
      <c r="H6588" s="688"/>
      <c r="I6588" s="1668"/>
      <c r="J6588" s="1669"/>
      <c r="K6588" s="1668"/>
      <c r="L6588" s="1669"/>
    </row>
    <row r="6589" spans="1:12" s="692" customFormat="1" ht="16.5" hidden="1">
      <c r="A6589" s="1665"/>
      <c r="B6589" s="1666"/>
      <c r="C6589" s="688"/>
      <c r="D6589" s="1667"/>
      <c r="E6589" s="1671">
        <v>3.5</v>
      </c>
      <c r="F6589" s="1671">
        <v>4</v>
      </c>
      <c r="G6589" s="1674"/>
      <c r="H6589" s="1671">
        <f t="shared" ref="H6589:H6594" si="1188">ROUND(D6589*E6589*F6589,2)</f>
        <v>0</v>
      </c>
      <c r="I6589" s="688" t="s">
        <v>92</v>
      </c>
      <c r="J6589" s="1669"/>
      <c r="K6589" s="1668"/>
      <c r="L6589" s="1669"/>
    </row>
    <row r="6590" spans="1:12" s="692" customFormat="1" ht="16.5" hidden="1">
      <c r="A6590" s="1665"/>
      <c r="B6590" s="1666"/>
      <c r="C6590" s="688"/>
      <c r="D6590" s="1667"/>
      <c r="E6590" s="1671">
        <v>3.5</v>
      </c>
      <c r="F6590" s="1671">
        <v>4</v>
      </c>
      <c r="G6590" s="1674"/>
      <c r="H6590" s="1671">
        <f t="shared" si="1188"/>
        <v>0</v>
      </c>
      <c r="I6590" s="688" t="s">
        <v>92</v>
      </c>
      <c r="J6590" s="1669"/>
      <c r="K6590" s="1668"/>
      <c r="L6590" s="1669"/>
    </row>
    <row r="6591" spans="1:12" s="692" customFormat="1" ht="16.5" hidden="1">
      <c r="A6591" s="1665"/>
      <c r="B6591" s="1666"/>
      <c r="C6591" s="688"/>
      <c r="D6591" s="1667"/>
      <c r="E6591" s="1671">
        <v>3.5</v>
      </c>
      <c r="F6591" s="1671">
        <v>4</v>
      </c>
      <c r="G6591" s="1674"/>
      <c r="H6591" s="1671">
        <f t="shared" si="1188"/>
        <v>0</v>
      </c>
      <c r="I6591" s="688" t="s">
        <v>92</v>
      </c>
      <c r="J6591" s="1669"/>
      <c r="K6591" s="1668"/>
      <c r="L6591" s="1669"/>
    </row>
    <row r="6592" spans="1:12" s="692" customFormat="1" ht="16.5" hidden="1">
      <c r="A6592" s="1665"/>
      <c r="B6592" s="1666"/>
      <c r="C6592" s="688"/>
      <c r="D6592" s="1667"/>
      <c r="E6592" s="1671">
        <v>3.5</v>
      </c>
      <c r="F6592" s="1671">
        <v>4</v>
      </c>
      <c r="G6592" s="1674"/>
      <c r="H6592" s="1671">
        <f t="shared" si="1188"/>
        <v>0</v>
      </c>
      <c r="I6592" s="688" t="s">
        <v>92</v>
      </c>
      <c r="J6592" s="1669"/>
      <c r="K6592" s="1668"/>
      <c r="L6592" s="1669"/>
    </row>
    <row r="6593" spans="1:12" s="692" customFormat="1" ht="16.5" hidden="1">
      <c r="A6593" s="1665"/>
      <c r="B6593" s="1666"/>
      <c r="C6593" s="688"/>
      <c r="D6593" s="1667"/>
      <c r="E6593" s="1671">
        <v>3.5</v>
      </c>
      <c r="F6593" s="1671">
        <v>4</v>
      </c>
      <c r="G6593" s="1674"/>
      <c r="H6593" s="1671">
        <f t="shared" si="1188"/>
        <v>0</v>
      </c>
      <c r="I6593" s="688" t="s">
        <v>92</v>
      </c>
      <c r="J6593" s="1669"/>
      <c r="K6593" s="1668"/>
      <c r="L6593" s="1669"/>
    </row>
    <row r="6594" spans="1:12" s="692" customFormat="1" ht="16.5" hidden="1">
      <c r="A6594" s="1665"/>
      <c r="B6594" s="1666"/>
      <c r="C6594" s="688"/>
      <c r="D6594" s="1667"/>
      <c r="E6594" s="1671">
        <v>3.5</v>
      </c>
      <c r="F6594" s="1671">
        <v>4</v>
      </c>
      <c r="G6594" s="1674"/>
      <c r="H6594" s="1671">
        <f t="shared" si="1188"/>
        <v>0</v>
      </c>
      <c r="I6594" s="688" t="s">
        <v>92</v>
      </c>
      <c r="J6594" s="1669"/>
      <c r="K6594" s="1668"/>
      <c r="L6594" s="1669"/>
    </row>
    <row r="6595" spans="1:12" s="692" customFormat="1" ht="16.5" hidden="1">
      <c r="A6595" s="1665"/>
      <c r="B6595" s="1666"/>
      <c r="C6595" s="688"/>
      <c r="D6595" s="1667"/>
      <c r="E6595" s="1671"/>
      <c r="F6595" s="1671"/>
      <c r="G6595" s="1674" t="s">
        <v>928</v>
      </c>
      <c r="H6595" s="1671">
        <f>SUM(H6589:H6594)</f>
        <v>0</v>
      </c>
      <c r="I6595" s="688" t="s">
        <v>92</v>
      </c>
      <c r="J6595" s="1669" t="e">
        <f>'Lead &amp; ANALYSIS'!L1195</f>
        <v>#REF!</v>
      </c>
      <c r="K6595" s="1668" t="s">
        <v>1516</v>
      </c>
      <c r="L6595" s="1669" t="e">
        <f>ROUND(H6595*J6595,0)</f>
        <v>#REF!</v>
      </c>
    </row>
    <row r="6596" spans="1:12" s="692" customFormat="1" ht="16.5" hidden="1">
      <c r="A6596" s="1665" t="str">
        <f>'Lead &amp; ANALYSIS'!A1196</f>
        <v>E.</v>
      </c>
      <c r="B6596" s="1675" t="str">
        <f>'Lead &amp; ANALYSIS'!B1196</f>
        <v>5TH DEPTH OF 1.5MTR.</v>
      </c>
      <c r="C6596" s="688"/>
      <c r="D6596" s="1667"/>
      <c r="E6596" s="688"/>
      <c r="F6596" s="688"/>
      <c r="G6596" s="1674"/>
      <c r="H6596" s="688"/>
      <c r="I6596" s="1668"/>
      <c r="J6596" s="1669"/>
      <c r="K6596" s="1668"/>
      <c r="L6596" s="1669"/>
    </row>
    <row r="6597" spans="1:12" s="692" customFormat="1" ht="16.5" hidden="1">
      <c r="A6597" s="1665" t="str">
        <f>'Lead &amp; ANALYSIS'!A1197</f>
        <v>i</v>
      </c>
      <c r="B6597" s="1666" t="str">
        <f>'Lead &amp; ANALYSIS'!B1197</f>
        <v>i.Disintegrated Rock</v>
      </c>
      <c r="C6597" s="688"/>
      <c r="D6597" s="1667"/>
      <c r="E6597" s="688"/>
      <c r="F6597" s="688"/>
      <c r="G6597" s="1674"/>
      <c r="H6597" s="688"/>
      <c r="I6597" s="1668"/>
      <c r="J6597" s="1669"/>
      <c r="K6597" s="1668"/>
      <c r="L6597" s="1669"/>
    </row>
    <row r="6598" spans="1:12" s="692" customFormat="1" ht="16.5" hidden="1">
      <c r="A6598" s="1665"/>
      <c r="B6598" s="1666"/>
      <c r="C6598" s="688"/>
      <c r="D6598" s="1667"/>
      <c r="E6598" s="1671">
        <v>3.5</v>
      </c>
      <c r="F6598" s="1671">
        <v>4</v>
      </c>
      <c r="G6598" s="1674"/>
      <c r="H6598" s="1671">
        <f t="shared" ref="H6598:H6603" si="1189">ROUND(D6598*E6598*F6598,2)</f>
        <v>0</v>
      </c>
      <c r="I6598" s="688" t="s">
        <v>92</v>
      </c>
      <c r="J6598" s="1669"/>
      <c r="K6598" s="1668"/>
      <c r="L6598" s="1669"/>
    </row>
    <row r="6599" spans="1:12" s="692" customFormat="1" ht="16.5" hidden="1">
      <c r="A6599" s="1665"/>
      <c r="B6599" s="1666"/>
      <c r="C6599" s="688"/>
      <c r="D6599" s="1667"/>
      <c r="E6599" s="1671">
        <v>3.5</v>
      </c>
      <c r="F6599" s="1671">
        <v>4</v>
      </c>
      <c r="G6599" s="1674"/>
      <c r="H6599" s="1671">
        <f t="shared" si="1189"/>
        <v>0</v>
      </c>
      <c r="I6599" s="688" t="s">
        <v>92</v>
      </c>
      <c r="J6599" s="1669"/>
      <c r="K6599" s="1668"/>
      <c r="L6599" s="1669"/>
    </row>
    <row r="6600" spans="1:12" s="692" customFormat="1" ht="16.5" hidden="1">
      <c r="A6600" s="1665"/>
      <c r="B6600" s="1666"/>
      <c r="C6600" s="688"/>
      <c r="D6600" s="1667"/>
      <c r="E6600" s="1671">
        <v>3.5</v>
      </c>
      <c r="F6600" s="1671">
        <v>4</v>
      </c>
      <c r="G6600" s="1674"/>
      <c r="H6600" s="1671">
        <f t="shared" si="1189"/>
        <v>0</v>
      </c>
      <c r="I6600" s="688" t="s">
        <v>92</v>
      </c>
      <c r="J6600" s="1669"/>
      <c r="K6600" s="1668"/>
      <c r="L6600" s="1669"/>
    </row>
    <row r="6601" spans="1:12" s="692" customFormat="1" ht="16.5" hidden="1">
      <c r="A6601" s="1665"/>
      <c r="B6601" s="1666"/>
      <c r="C6601" s="688"/>
      <c r="D6601" s="1667"/>
      <c r="E6601" s="1671">
        <v>3.5</v>
      </c>
      <c r="F6601" s="1671">
        <v>4</v>
      </c>
      <c r="G6601" s="1674"/>
      <c r="H6601" s="1671">
        <f t="shared" si="1189"/>
        <v>0</v>
      </c>
      <c r="I6601" s="688" t="s">
        <v>92</v>
      </c>
      <c r="J6601" s="1669"/>
      <c r="K6601" s="1668"/>
      <c r="L6601" s="1669"/>
    </row>
    <row r="6602" spans="1:12" s="692" customFormat="1" ht="16.5" hidden="1">
      <c r="A6602" s="1665"/>
      <c r="B6602" s="1666"/>
      <c r="C6602" s="688"/>
      <c r="D6602" s="1667"/>
      <c r="E6602" s="1671">
        <v>3.5</v>
      </c>
      <c r="F6602" s="1671">
        <v>4</v>
      </c>
      <c r="G6602" s="1674"/>
      <c r="H6602" s="1671">
        <f t="shared" si="1189"/>
        <v>0</v>
      </c>
      <c r="I6602" s="688" t="s">
        <v>92</v>
      </c>
      <c r="J6602" s="1669"/>
      <c r="K6602" s="1668"/>
      <c r="L6602" s="1669"/>
    </row>
    <row r="6603" spans="1:12" s="692" customFormat="1" ht="16.5" hidden="1">
      <c r="A6603" s="1665"/>
      <c r="B6603" s="1666"/>
      <c r="C6603" s="688"/>
      <c r="D6603" s="1667"/>
      <c r="E6603" s="1671">
        <v>3.5</v>
      </c>
      <c r="F6603" s="1671">
        <v>4</v>
      </c>
      <c r="G6603" s="1674"/>
      <c r="H6603" s="1671">
        <f t="shared" si="1189"/>
        <v>0</v>
      </c>
      <c r="I6603" s="688" t="s">
        <v>92</v>
      </c>
      <c r="J6603" s="1669"/>
      <c r="K6603" s="1668"/>
      <c r="L6603" s="1669"/>
    </row>
    <row r="6604" spans="1:12" s="692" customFormat="1" ht="16.5" hidden="1">
      <c r="A6604" s="1665"/>
      <c r="B6604" s="1666"/>
      <c r="C6604" s="688"/>
      <c r="D6604" s="1667"/>
      <c r="E6604" s="1671"/>
      <c r="F6604" s="1671"/>
      <c r="G6604" s="1674" t="s">
        <v>928</v>
      </c>
      <c r="H6604" s="1671">
        <f>SUM(H6598:H6603)</f>
        <v>0</v>
      </c>
      <c r="I6604" s="688" t="s">
        <v>92</v>
      </c>
      <c r="J6604" s="1669" t="e">
        <f>'Lead &amp; ANALYSIS'!L1197</f>
        <v>#REF!</v>
      </c>
      <c r="K6604" s="1668" t="s">
        <v>1516</v>
      </c>
      <c r="L6604" s="1669" t="e">
        <f>ROUND(H6604*J6604,0)</f>
        <v>#REF!</v>
      </c>
    </row>
    <row r="6605" spans="1:12" s="692" customFormat="1" ht="16.5" hidden="1">
      <c r="A6605" s="1665" t="str">
        <f>'Lead &amp; ANALYSIS'!A1198</f>
        <v>F.</v>
      </c>
      <c r="B6605" s="1675" t="str">
        <f>'Lead &amp; ANALYSIS'!B1198</f>
        <v>6TH DEPTH OF 1.5MTR.</v>
      </c>
      <c r="C6605" s="688"/>
      <c r="D6605" s="1667"/>
      <c r="E6605" s="688"/>
      <c r="F6605" s="688"/>
      <c r="G6605" s="1674"/>
      <c r="H6605" s="688"/>
      <c r="I6605" s="1668"/>
      <c r="J6605" s="1669"/>
      <c r="K6605" s="1668"/>
      <c r="L6605" s="1669"/>
    </row>
    <row r="6606" spans="1:12" s="692" customFormat="1" ht="16.5" hidden="1">
      <c r="A6606" s="1665" t="str">
        <f>'Lead &amp; ANALYSIS'!A1199</f>
        <v>i</v>
      </c>
      <c r="B6606" s="1666" t="str">
        <f>'Lead &amp; ANALYSIS'!B1199</f>
        <v>i.Disintegrated Rock</v>
      </c>
      <c r="C6606" s="688"/>
      <c r="D6606" s="1667"/>
      <c r="E6606" s="688"/>
      <c r="F6606" s="688"/>
      <c r="G6606" s="1674"/>
      <c r="H6606" s="688"/>
      <c r="I6606" s="1668"/>
      <c r="J6606" s="1669"/>
      <c r="K6606" s="1668"/>
      <c r="L6606" s="1669"/>
    </row>
    <row r="6607" spans="1:12" s="692" customFormat="1" ht="16.5" hidden="1">
      <c r="A6607" s="1665"/>
      <c r="B6607" s="1666"/>
      <c r="C6607" s="688"/>
      <c r="D6607" s="1667"/>
      <c r="E6607" s="1671">
        <v>3.5</v>
      </c>
      <c r="F6607" s="1671">
        <v>4</v>
      </c>
      <c r="G6607" s="1674"/>
      <c r="H6607" s="1671">
        <f t="shared" ref="H6607:H6612" si="1190">ROUND(D6607*E6607*F6607,2)</f>
        <v>0</v>
      </c>
      <c r="I6607" s="688" t="s">
        <v>92</v>
      </c>
      <c r="J6607" s="1669"/>
      <c r="K6607" s="1668"/>
      <c r="L6607" s="1669"/>
    </row>
    <row r="6608" spans="1:12" s="692" customFormat="1" ht="16.5" hidden="1">
      <c r="A6608" s="1665"/>
      <c r="B6608" s="1666"/>
      <c r="C6608" s="688"/>
      <c r="D6608" s="1667"/>
      <c r="E6608" s="1671">
        <v>3.5</v>
      </c>
      <c r="F6608" s="1671">
        <v>4</v>
      </c>
      <c r="G6608" s="1674"/>
      <c r="H6608" s="1671">
        <f t="shared" si="1190"/>
        <v>0</v>
      </c>
      <c r="I6608" s="688" t="s">
        <v>92</v>
      </c>
      <c r="J6608" s="1669"/>
      <c r="K6608" s="1668"/>
      <c r="L6608" s="1669"/>
    </row>
    <row r="6609" spans="1:12" s="692" customFormat="1" ht="16.5" hidden="1">
      <c r="A6609" s="1665"/>
      <c r="B6609" s="1666"/>
      <c r="C6609" s="688"/>
      <c r="D6609" s="1667"/>
      <c r="E6609" s="1671">
        <v>3.5</v>
      </c>
      <c r="F6609" s="1671">
        <v>4</v>
      </c>
      <c r="G6609" s="1674"/>
      <c r="H6609" s="1671">
        <f t="shared" si="1190"/>
        <v>0</v>
      </c>
      <c r="I6609" s="688" t="s">
        <v>92</v>
      </c>
      <c r="J6609" s="1669"/>
      <c r="K6609" s="1668"/>
      <c r="L6609" s="1669"/>
    </row>
    <row r="6610" spans="1:12" s="692" customFormat="1" ht="16.5" hidden="1">
      <c r="A6610" s="1665"/>
      <c r="B6610" s="1666"/>
      <c r="C6610" s="688"/>
      <c r="D6610" s="1667"/>
      <c r="E6610" s="1671">
        <v>3.5</v>
      </c>
      <c r="F6610" s="1671">
        <v>4</v>
      </c>
      <c r="G6610" s="1674"/>
      <c r="H6610" s="1671">
        <f t="shared" si="1190"/>
        <v>0</v>
      </c>
      <c r="I6610" s="688" t="s">
        <v>92</v>
      </c>
      <c r="J6610" s="1669"/>
      <c r="K6610" s="1668"/>
      <c r="L6610" s="1669"/>
    </row>
    <row r="6611" spans="1:12" s="692" customFormat="1" ht="16.5" hidden="1">
      <c r="A6611" s="1665"/>
      <c r="B6611" s="1666"/>
      <c r="C6611" s="688"/>
      <c r="D6611" s="1667"/>
      <c r="E6611" s="1671">
        <v>3.5</v>
      </c>
      <c r="F6611" s="1671">
        <v>4</v>
      </c>
      <c r="G6611" s="1674"/>
      <c r="H6611" s="1671">
        <f t="shared" si="1190"/>
        <v>0</v>
      </c>
      <c r="I6611" s="688" t="s">
        <v>92</v>
      </c>
      <c r="J6611" s="1669"/>
      <c r="K6611" s="1668"/>
      <c r="L6611" s="1669"/>
    </row>
    <row r="6612" spans="1:12" s="692" customFormat="1" ht="16.5" hidden="1">
      <c r="A6612" s="1665"/>
      <c r="B6612" s="1666"/>
      <c r="C6612" s="688"/>
      <c r="D6612" s="1667"/>
      <c r="E6612" s="1671">
        <v>3.5</v>
      </c>
      <c r="F6612" s="1671">
        <v>4</v>
      </c>
      <c r="G6612" s="1674"/>
      <c r="H6612" s="1671">
        <f t="shared" si="1190"/>
        <v>0</v>
      </c>
      <c r="I6612" s="688" t="s">
        <v>92</v>
      </c>
      <c r="J6612" s="1669"/>
      <c r="K6612" s="1668"/>
      <c r="L6612" s="1669"/>
    </row>
    <row r="6613" spans="1:12" s="692" customFormat="1" ht="16.5" hidden="1">
      <c r="A6613" s="1665"/>
      <c r="B6613" s="1666"/>
      <c r="C6613" s="688"/>
      <c r="D6613" s="1667"/>
      <c r="E6613" s="1671"/>
      <c r="F6613" s="1671"/>
      <c r="G6613" s="1674" t="s">
        <v>928</v>
      </c>
      <c r="H6613" s="1671">
        <f>SUM(H6607:H6612)</f>
        <v>0</v>
      </c>
      <c r="I6613" s="688" t="s">
        <v>92</v>
      </c>
      <c r="J6613" s="1669" t="e">
        <f>'Lead &amp; ANALYSIS'!L1199</f>
        <v>#REF!</v>
      </c>
      <c r="K6613" s="1668" t="s">
        <v>1516</v>
      </c>
      <c r="L6613" s="1669" t="e">
        <f>ROUND(H6613*J6613,0)</f>
        <v>#REF!</v>
      </c>
    </row>
    <row r="6614" spans="1:12" s="692" customFormat="1" ht="16.5" hidden="1">
      <c r="A6614" s="1665" t="str">
        <f>'Lead &amp; ANALYSIS'!A1200</f>
        <v>G.</v>
      </c>
      <c r="B6614" s="1675" t="str">
        <f>'Lead &amp; ANALYSIS'!B1200</f>
        <v>7TH DEPTH OF 1.5MTR.</v>
      </c>
      <c r="C6614" s="688"/>
      <c r="D6614" s="1667"/>
      <c r="E6614" s="688"/>
      <c r="F6614" s="688"/>
      <c r="G6614" s="1674"/>
      <c r="H6614" s="688"/>
      <c r="I6614" s="1668"/>
      <c r="J6614" s="1669"/>
      <c r="K6614" s="1668"/>
      <c r="L6614" s="1669"/>
    </row>
    <row r="6615" spans="1:12" s="692" customFormat="1" ht="16.5" hidden="1">
      <c r="A6615" s="1665" t="str">
        <f>'Lead &amp; ANALYSIS'!A1201</f>
        <v>i</v>
      </c>
      <c r="B6615" s="1666" t="str">
        <f>'Lead &amp; ANALYSIS'!B1201</f>
        <v>i.Disintegrated Rock</v>
      </c>
      <c r="C6615" s="688"/>
      <c r="D6615" s="1667"/>
      <c r="E6615" s="688"/>
      <c r="F6615" s="688"/>
      <c r="G6615" s="1674"/>
      <c r="H6615" s="688"/>
      <c r="I6615" s="1668"/>
      <c r="J6615" s="1669"/>
      <c r="K6615" s="1668"/>
      <c r="L6615" s="1669"/>
    </row>
    <row r="6616" spans="1:12" s="692" customFormat="1" ht="16.5" hidden="1">
      <c r="A6616" s="1665"/>
      <c r="B6616" s="1666"/>
      <c r="C6616" s="688"/>
      <c r="D6616" s="1667"/>
      <c r="E6616" s="1671">
        <v>3.5</v>
      </c>
      <c r="F6616" s="1671">
        <v>4</v>
      </c>
      <c r="G6616" s="1674"/>
      <c r="H6616" s="1671">
        <f t="shared" ref="H6616:H6621" si="1191">ROUND(D6616*E6616*F6616,2)</f>
        <v>0</v>
      </c>
      <c r="I6616" s="688" t="s">
        <v>92</v>
      </c>
      <c r="J6616" s="1669"/>
      <c r="K6616" s="1668"/>
      <c r="L6616" s="1669"/>
    </row>
    <row r="6617" spans="1:12" s="692" customFormat="1" ht="16.5" hidden="1">
      <c r="A6617" s="1665"/>
      <c r="B6617" s="1666"/>
      <c r="C6617" s="688"/>
      <c r="D6617" s="1667"/>
      <c r="E6617" s="1671">
        <v>3.5</v>
      </c>
      <c r="F6617" s="1671">
        <v>4</v>
      </c>
      <c r="G6617" s="1674"/>
      <c r="H6617" s="1671">
        <f t="shared" si="1191"/>
        <v>0</v>
      </c>
      <c r="I6617" s="688" t="s">
        <v>92</v>
      </c>
      <c r="J6617" s="1669"/>
      <c r="K6617" s="1668"/>
      <c r="L6617" s="1669"/>
    </row>
    <row r="6618" spans="1:12" s="692" customFormat="1" ht="16.5" hidden="1">
      <c r="A6618" s="1665"/>
      <c r="B6618" s="1666"/>
      <c r="C6618" s="688"/>
      <c r="D6618" s="1667"/>
      <c r="E6618" s="1671">
        <v>3.5</v>
      </c>
      <c r="F6618" s="1671">
        <v>4</v>
      </c>
      <c r="G6618" s="1674"/>
      <c r="H6618" s="1671">
        <f t="shared" si="1191"/>
        <v>0</v>
      </c>
      <c r="I6618" s="688" t="s">
        <v>92</v>
      </c>
      <c r="J6618" s="1669"/>
      <c r="K6618" s="1668"/>
      <c r="L6618" s="1669"/>
    </row>
    <row r="6619" spans="1:12" s="692" customFormat="1" ht="16.5" hidden="1">
      <c r="A6619" s="1665"/>
      <c r="B6619" s="1666"/>
      <c r="C6619" s="688"/>
      <c r="D6619" s="1667"/>
      <c r="E6619" s="1671">
        <v>3.5</v>
      </c>
      <c r="F6619" s="1671">
        <v>4</v>
      </c>
      <c r="G6619" s="1674"/>
      <c r="H6619" s="1671">
        <f t="shared" si="1191"/>
        <v>0</v>
      </c>
      <c r="I6619" s="688" t="s">
        <v>92</v>
      </c>
      <c r="J6619" s="1669"/>
      <c r="K6619" s="1668"/>
      <c r="L6619" s="1669"/>
    </row>
    <row r="6620" spans="1:12" s="692" customFormat="1" ht="16.5" hidden="1">
      <c r="A6620" s="1665"/>
      <c r="B6620" s="1666"/>
      <c r="C6620" s="688"/>
      <c r="D6620" s="1667"/>
      <c r="E6620" s="1671">
        <v>3.5</v>
      </c>
      <c r="F6620" s="1671">
        <v>4</v>
      </c>
      <c r="G6620" s="1674"/>
      <c r="H6620" s="1671">
        <f t="shared" si="1191"/>
        <v>0</v>
      </c>
      <c r="I6620" s="688" t="s">
        <v>92</v>
      </c>
      <c r="J6620" s="1669"/>
      <c r="K6620" s="1668"/>
      <c r="L6620" s="1669"/>
    </row>
    <row r="6621" spans="1:12" s="692" customFormat="1" ht="16.5" hidden="1">
      <c r="A6621" s="1665"/>
      <c r="B6621" s="1666"/>
      <c r="C6621" s="688"/>
      <c r="D6621" s="1667"/>
      <c r="E6621" s="1671">
        <v>3.5</v>
      </c>
      <c r="F6621" s="1671">
        <v>4</v>
      </c>
      <c r="G6621" s="1674"/>
      <c r="H6621" s="1671">
        <f t="shared" si="1191"/>
        <v>0</v>
      </c>
      <c r="I6621" s="688" t="s">
        <v>92</v>
      </c>
      <c r="J6621" s="1669"/>
      <c r="K6621" s="1668"/>
      <c r="L6621" s="1669"/>
    </row>
    <row r="6622" spans="1:12" s="692" customFormat="1" ht="16.5" hidden="1">
      <c r="A6622" s="1665"/>
      <c r="B6622" s="1666"/>
      <c r="C6622" s="688"/>
      <c r="D6622" s="1667"/>
      <c r="E6622" s="1671"/>
      <c r="F6622" s="1671"/>
      <c r="G6622" s="1674" t="s">
        <v>928</v>
      </c>
      <c r="H6622" s="1671">
        <f>SUM(H6616:H6621)</f>
        <v>0</v>
      </c>
      <c r="I6622" s="688" t="s">
        <v>92</v>
      </c>
      <c r="J6622" s="1669" t="e">
        <f>'Lead &amp; ANALYSIS'!L1201</f>
        <v>#REF!</v>
      </c>
      <c r="K6622" s="1668" t="s">
        <v>1516</v>
      </c>
      <c r="L6622" s="1669" t="e">
        <f>ROUND(H6622*J6622,0)</f>
        <v>#REF!</v>
      </c>
    </row>
    <row r="6623" spans="1:12" s="692" customFormat="1" ht="16.5" hidden="1">
      <c r="A6623" s="1665" t="str">
        <f>'Lead &amp; ANALYSIS'!A1202</f>
        <v>H.</v>
      </c>
      <c r="B6623" s="1675" t="str">
        <f>'Lead &amp; ANALYSIS'!B1202</f>
        <v>8TH DEPTH OF 1.5MTR.</v>
      </c>
      <c r="C6623" s="688"/>
      <c r="D6623" s="1667"/>
      <c r="E6623" s="688"/>
      <c r="F6623" s="688"/>
      <c r="G6623" s="1674"/>
      <c r="H6623" s="688"/>
      <c r="I6623" s="1668"/>
      <c r="J6623" s="1669"/>
      <c r="K6623" s="1668"/>
      <c r="L6623" s="1669"/>
    </row>
    <row r="6624" spans="1:12" s="692" customFormat="1" ht="16.5" hidden="1">
      <c r="A6624" s="1665" t="str">
        <f>'Lead &amp; ANALYSIS'!A1203</f>
        <v>i</v>
      </c>
      <c r="B6624" s="1666" t="str">
        <f>'Lead &amp; ANALYSIS'!B1203</f>
        <v>i.Disintegrated Rock</v>
      </c>
      <c r="C6624" s="688"/>
      <c r="D6624" s="1667"/>
      <c r="E6624" s="688"/>
      <c r="F6624" s="688"/>
      <c r="G6624" s="1674"/>
      <c r="H6624" s="688"/>
      <c r="I6624" s="1668"/>
      <c r="J6624" s="1669"/>
      <c r="K6624" s="1668"/>
      <c r="L6624" s="1669"/>
    </row>
    <row r="6625" spans="1:12" s="692" customFormat="1" ht="16.5" hidden="1">
      <c r="A6625" s="1665"/>
      <c r="B6625" s="1666"/>
      <c r="C6625" s="688"/>
      <c r="D6625" s="1667"/>
      <c r="E6625" s="1671">
        <v>3.5</v>
      </c>
      <c r="F6625" s="1671">
        <v>4</v>
      </c>
      <c r="G6625" s="1674"/>
      <c r="H6625" s="1671">
        <f t="shared" ref="H6625:H6630" si="1192">ROUND(D6625*E6625*F6625,2)</f>
        <v>0</v>
      </c>
      <c r="I6625" s="688" t="s">
        <v>92</v>
      </c>
      <c r="J6625" s="1669"/>
      <c r="K6625" s="1668"/>
      <c r="L6625" s="1669"/>
    </row>
    <row r="6626" spans="1:12" s="692" customFormat="1" ht="16.5" hidden="1">
      <c r="A6626" s="1665"/>
      <c r="B6626" s="1666"/>
      <c r="C6626" s="688"/>
      <c r="D6626" s="1667"/>
      <c r="E6626" s="1671">
        <v>3.5</v>
      </c>
      <c r="F6626" s="1671">
        <v>4</v>
      </c>
      <c r="G6626" s="1674"/>
      <c r="H6626" s="1671">
        <f t="shared" si="1192"/>
        <v>0</v>
      </c>
      <c r="I6626" s="688" t="s">
        <v>92</v>
      </c>
      <c r="J6626" s="1669"/>
      <c r="K6626" s="1668"/>
      <c r="L6626" s="1669"/>
    </row>
    <row r="6627" spans="1:12" s="692" customFormat="1" ht="16.5" hidden="1">
      <c r="A6627" s="1665"/>
      <c r="B6627" s="1666"/>
      <c r="C6627" s="688"/>
      <c r="D6627" s="1667"/>
      <c r="E6627" s="1671">
        <v>3.5</v>
      </c>
      <c r="F6627" s="1671">
        <v>4</v>
      </c>
      <c r="G6627" s="1674"/>
      <c r="H6627" s="1671">
        <f t="shared" si="1192"/>
        <v>0</v>
      </c>
      <c r="I6627" s="688" t="s">
        <v>92</v>
      </c>
      <c r="J6627" s="1669"/>
      <c r="K6627" s="1668"/>
      <c r="L6627" s="1669"/>
    </row>
    <row r="6628" spans="1:12" s="692" customFormat="1" ht="16.5" hidden="1">
      <c r="A6628" s="1665"/>
      <c r="B6628" s="1666"/>
      <c r="C6628" s="688"/>
      <c r="D6628" s="1667"/>
      <c r="E6628" s="1671">
        <v>3.5</v>
      </c>
      <c r="F6628" s="1671">
        <v>4</v>
      </c>
      <c r="G6628" s="1674"/>
      <c r="H6628" s="1671">
        <f t="shared" si="1192"/>
        <v>0</v>
      </c>
      <c r="I6628" s="688" t="s">
        <v>92</v>
      </c>
      <c r="J6628" s="1669"/>
      <c r="K6628" s="1668"/>
      <c r="L6628" s="1669"/>
    </row>
    <row r="6629" spans="1:12" s="692" customFormat="1" ht="16.5" hidden="1">
      <c r="A6629" s="1665"/>
      <c r="B6629" s="1666"/>
      <c r="C6629" s="688"/>
      <c r="D6629" s="1667"/>
      <c r="E6629" s="1671">
        <v>3.5</v>
      </c>
      <c r="F6629" s="1671">
        <v>4</v>
      </c>
      <c r="G6629" s="1674"/>
      <c r="H6629" s="1671">
        <f t="shared" si="1192"/>
        <v>0</v>
      </c>
      <c r="I6629" s="688" t="s">
        <v>92</v>
      </c>
      <c r="J6629" s="1669"/>
      <c r="K6629" s="1668"/>
      <c r="L6629" s="1669"/>
    </row>
    <row r="6630" spans="1:12" s="692" customFormat="1" ht="16.5" hidden="1">
      <c r="A6630" s="1665"/>
      <c r="B6630" s="1666"/>
      <c r="C6630" s="688"/>
      <c r="D6630" s="1667"/>
      <c r="E6630" s="1671">
        <v>3.5</v>
      </c>
      <c r="F6630" s="1671">
        <v>4</v>
      </c>
      <c r="G6630" s="1674"/>
      <c r="H6630" s="1671">
        <f t="shared" si="1192"/>
        <v>0</v>
      </c>
      <c r="I6630" s="688" t="s">
        <v>92</v>
      </c>
      <c r="J6630" s="1669"/>
      <c r="K6630" s="1668"/>
      <c r="L6630" s="1669"/>
    </row>
    <row r="6631" spans="1:12" s="692" customFormat="1" ht="16.5" hidden="1">
      <c r="A6631" s="1665"/>
      <c r="B6631" s="1666"/>
      <c r="C6631" s="688"/>
      <c r="D6631" s="1667"/>
      <c r="E6631" s="1671"/>
      <c r="F6631" s="1671"/>
      <c r="G6631" s="1674" t="s">
        <v>928</v>
      </c>
      <c r="H6631" s="1671">
        <f>SUM(H6625:H6630)</f>
        <v>0</v>
      </c>
      <c r="I6631" s="688" t="s">
        <v>92</v>
      </c>
      <c r="J6631" s="1669" t="e">
        <f>'Lead &amp; ANALYSIS'!L1203</f>
        <v>#REF!</v>
      </c>
      <c r="K6631" s="1668" t="s">
        <v>1516</v>
      </c>
      <c r="L6631" s="1669" t="e">
        <f>ROUND(H6631*J6631,0)</f>
        <v>#REF!</v>
      </c>
    </row>
    <row r="6632" spans="1:12" s="692" customFormat="1" ht="16.5" hidden="1">
      <c r="A6632" s="1665">
        <f>'Lead &amp; ANALYSIS'!A1204</f>
        <v>0</v>
      </c>
      <c r="B6632" s="1666">
        <f>'Lead &amp; ANALYSIS'!B1204</f>
        <v>0</v>
      </c>
      <c r="C6632" s="688"/>
      <c r="D6632" s="1667"/>
      <c r="E6632" s="688"/>
      <c r="F6632" s="688"/>
      <c r="G6632" s="1674"/>
      <c r="H6632" s="688"/>
      <c r="I6632" s="1668"/>
      <c r="J6632" s="1668"/>
      <c r="K6632" s="1668"/>
      <c r="L6632" s="1669"/>
    </row>
    <row r="6633" spans="1:12" s="692" customFormat="1" ht="54" hidden="1" customHeight="1">
      <c r="A6633" s="1665">
        <f>'Lead &amp; ANALYSIS'!A1205</f>
        <v>183</v>
      </c>
      <c r="B6633" s="1666" t="str">
        <f>'Lead &amp; ANALYSIS'!B1205</f>
        <v>P.C.C.M-15 Grade using 40mm to 10mm size crushed stone aggregates mixed by concrete mixer, laying in layers and compacting by vibrator &amp; all leads and lifts including frame works etc complete.</v>
      </c>
      <c r="C6633" s="688"/>
      <c r="D6633" s="1667"/>
      <c r="E6633" s="688"/>
      <c r="F6633" s="688"/>
      <c r="G6633" s="1674"/>
      <c r="H6633" s="688"/>
      <c r="I6633" s="1668"/>
      <c r="J6633" s="1668"/>
      <c r="K6633" s="1668"/>
      <c r="L6633" s="1669"/>
    </row>
    <row r="6634" spans="1:12" s="692" customFormat="1" ht="16.5" hidden="1">
      <c r="A6634" s="1665"/>
      <c r="B6634" s="1666"/>
      <c r="C6634" s="688"/>
      <c r="D6634" s="1667"/>
      <c r="E6634" s="1671">
        <v>3.5</v>
      </c>
      <c r="F6634" s="1671">
        <v>4</v>
      </c>
      <c r="G6634" s="1674"/>
      <c r="H6634" s="1671">
        <f t="shared" ref="H6634:H6639" si="1193">ROUND(D6634*E6634*F6634,2)</f>
        <v>0</v>
      </c>
      <c r="I6634" s="688" t="s">
        <v>92</v>
      </c>
      <c r="J6634" s="1668"/>
      <c r="K6634" s="1668"/>
      <c r="L6634" s="1669"/>
    </row>
    <row r="6635" spans="1:12" s="692" customFormat="1" ht="16.5" hidden="1">
      <c r="A6635" s="1665"/>
      <c r="B6635" s="1666"/>
      <c r="C6635" s="688"/>
      <c r="D6635" s="1667"/>
      <c r="E6635" s="1671">
        <v>3.5</v>
      </c>
      <c r="F6635" s="1671">
        <v>4</v>
      </c>
      <c r="G6635" s="1674"/>
      <c r="H6635" s="1671">
        <f t="shared" si="1193"/>
        <v>0</v>
      </c>
      <c r="I6635" s="688" t="s">
        <v>92</v>
      </c>
      <c r="J6635" s="1668"/>
      <c r="K6635" s="1668"/>
      <c r="L6635" s="1669"/>
    </row>
    <row r="6636" spans="1:12" s="692" customFormat="1" ht="16.5" hidden="1">
      <c r="A6636" s="1665"/>
      <c r="B6636" s="1666"/>
      <c r="C6636" s="688"/>
      <c r="D6636" s="1667"/>
      <c r="E6636" s="1671">
        <v>3.5</v>
      </c>
      <c r="F6636" s="1671">
        <v>4</v>
      </c>
      <c r="G6636" s="1674"/>
      <c r="H6636" s="1671">
        <f t="shared" si="1193"/>
        <v>0</v>
      </c>
      <c r="I6636" s="688" t="s">
        <v>92</v>
      </c>
      <c r="J6636" s="1668"/>
      <c r="K6636" s="1668"/>
      <c r="L6636" s="1669"/>
    </row>
    <row r="6637" spans="1:12" s="692" customFormat="1" ht="16.5" hidden="1">
      <c r="A6637" s="1665"/>
      <c r="B6637" s="1666"/>
      <c r="C6637" s="688"/>
      <c r="D6637" s="1667"/>
      <c r="E6637" s="1671">
        <v>3.5</v>
      </c>
      <c r="F6637" s="1671">
        <v>4</v>
      </c>
      <c r="G6637" s="1674"/>
      <c r="H6637" s="1671">
        <f t="shared" si="1193"/>
        <v>0</v>
      </c>
      <c r="I6637" s="688" t="s">
        <v>92</v>
      </c>
      <c r="J6637" s="1668"/>
      <c r="K6637" s="1668"/>
      <c r="L6637" s="1669"/>
    </row>
    <row r="6638" spans="1:12" s="692" customFormat="1" ht="16.5" hidden="1">
      <c r="A6638" s="1665"/>
      <c r="B6638" s="1666"/>
      <c r="C6638" s="688"/>
      <c r="D6638" s="1667"/>
      <c r="E6638" s="1671">
        <v>3.5</v>
      </c>
      <c r="F6638" s="1671">
        <v>4</v>
      </c>
      <c r="G6638" s="1674"/>
      <c r="H6638" s="1671">
        <f t="shared" si="1193"/>
        <v>0</v>
      </c>
      <c r="I6638" s="688" t="s">
        <v>92</v>
      </c>
      <c r="J6638" s="1668"/>
      <c r="K6638" s="1668"/>
      <c r="L6638" s="1669"/>
    </row>
    <row r="6639" spans="1:12" s="692" customFormat="1" ht="16.5" hidden="1">
      <c r="A6639" s="1665"/>
      <c r="B6639" s="1666"/>
      <c r="C6639" s="688"/>
      <c r="D6639" s="1667"/>
      <c r="E6639" s="1671">
        <v>3.5</v>
      </c>
      <c r="F6639" s="1671">
        <v>4</v>
      </c>
      <c r="G6639" s="1674"/>
      <c r="H6639" s="1671">
        <f t="shared" si="1193"/>
        <v>0</v>
      </c>
      <c r="I6639" s="688" t="s">
        <v>92</v>
      </c>
      <c r="J6639" s="1668"/>
      <c r="K6639" s="1668"/>
      <c r="L6639" s="1669"/>
    </row>
    <row r="6640" spans="1:12" s="692" customFormat="1" ht="16.5" hidden="1">
      <c r="A6640" s="1665"/>
      <c r="B6640" s="1666"/>
      <c r="C6640" s="688"/>
      <c r="D6640" s="1667"/>
      <c r="E6640" s="1671"/>
      <c r="F6640" s="1671"/>
      <c r="G6640" s="1674" t="s">
        <v>928</v>
      </c>
      <c r="H6640" s="1671">
        <f>SUM(H6634:H6639)</f>
        <v>0</v>
      </c>
      <c r="I6640" s="688" t="s">
        <v>92</v>
      </c>
      <c r="J6640" s="1669" t="e">
        <f>'Lead &amp; ANALYSIS'!L1205</f>
        <v>#REF!</v>
      </c>
      <c r="K6640" s="1668" t="s">
        <v>1516</v>
      </c>
      <c r="L6640" s="1669" t="e">
        <f>ROUND(H6640*J6640,0)</f>
        <v>#REF!</v>
      </c>
    </row>
    <row r="6641" spans="1:12" s="692" customFormat="1" ht="54" hidden="1" customHeight="1">
      <c r="A6641" s="1665">
        <f>'Lead &amp; ANALYSIS'!A1206</f>
        <v>184</v>
      </c>
      <c r="B6641" s="1666" t="str">
        <f>'Lead &amp; ANALYSIS'!B1206</f>
        <v>P.C.C.M-20 Grade using 40mm to 10mm size crushed stone aggregates mixed by concrete mixer, laying in layers and compacting by vibrator &amp; all leads and lifts including frame works etc complete.</v>
      </c>
      <c r="C6641" s="688"/>
      <c r="D6641" s="1667"/>
      <c r="E6641" s="688"/>
      <c r="F6641" s="688"/>
      <c r="G6641" s="1674"/>
      <c r="H6641" s="688"/>
      <c r="I6641" s="1668"/>
      <c r="J6641" s="1669"/>
      <c r="K6641" s="1668"/>
      <c r="L6641" s="1669"/>
    </row>
    <row r="6642" spans="1:12" s="692" customFormat="1" ht="16.5" hidden="1">
      <c r="A6642" s="1665"/>
      <c r="B6642" s="1666"/>
      <c r="C6642" s="688"/>
      <c r="D6642" s="1667"/>
      <c r="E6642" s="1671">
        <v>3.5</v>
      </c>
      <c r="F6642" s="1671">
        <v>4</v>
      </c>
      <c r="G6642" s="1674"/>
      <c r="H6642" s="1671">
        <f t="shared" ref="H6642:H6647" si="1194">ROUND(D6642*E6642*F6642,2)</f>
        <v>0</v>
      </c>
      <c r="I6642" s="688" t="s">
        <v>92</v>
      </c>
      <c r="J6642" s="1669"/>
      <c r="K6642" s="1668"/>
      <c r="L6642" s="1669"/>
    </row>
    <row r="6643" spans="1:12" s="692" customFormat="1" ht="16.5" hidden="1">
      <c r="A6643" s="1665"/>
      <c r="B6643" s="1666"/>
      <c r="C6643" s="688"/>
      <c r="D6643" s="1667"/>
      <c r="E6643" s="1671">
        <v>3.5</v>
      </c>
      <c r="F6643" s="1671">
        <v>4</v>
      </c>
      <c r="G6643" s="1674"/>
      <c r="H6643" s="1671">
        <f t="shared" si="1194"/>
        <v>0</v>
      </c>
      <c r="I6643" s="688" t="s">
        <v>92</v>
      </c>
      <c r="J6643" s="1669"/>
      <c r="K6643" s="1668"/>
      <c r="L6643" s="1669"/>
    </row>
    <row r="6644" spans="1:12" s="692" customFormat="1" ht="16.5" hidden="1">
      <c r="A6644" s="1665"/>
      <c r="B6644" s="1666"/>
      <c r="C6644" s="688"/>
      <c r="D6644" s="1667"/>
      <c r="E6644" s="1671">
        <v>3.5</v>
      </c>
      <c r="F6644" s="1671">
        <v>4</v>
      </c>
      <c r="G6644" s="1674"/>
      <c r="H6644" s="1671">
        <f t="shared" si="1194"/>
        <v>0</v>
      </c>
      <c r="I6644" s="688" t="s">
        <v>92</v>
      </c>
      <c r="J6644" s="1669"/>
      <c r="K6644" s="1668"/>
      <c r="L6644" s="1669"/>
    </row>
    <row r="6645" spans="1:12" s="692" customFormat="1" ht="16.5" hidden="1">
      <c r="A6645" s="1665"/>
      <c r="B6645" s="1666"/>
      <c r="C6645" s="688"/>
      <c r="D6645" s="1667"/>
      <c r="E6645" s="1671">
        <v>3.5</v>
      </c>
      <c r="F6645" s="1671">
        <v>4</v>
      </c>
      <c r="G6645" s="1674"/>
      <c r="H6645" s="1671">
        <f t="shared" si="1194"/>
        <v>0</v>
      </c>
      <c r="I6645" s="688" t="s">
        <v>92</v>
      </c>
      <c r="J6645" s="1669"/>
      <c r="K6645" s="1668"/>
      <c r="L6645" s="1669"/>
    </row>
    <row r="6646" spans="1:12" s="692" customFormat="1" ht="16.5" hidden="1">
      <c r="A6646" s="1665"/>
      <c r="B6646" s="1666"/>
      <c r="C6646" s="688"/>
      <c r="D6646" s="1667"/>
      <c r="E6646" s="1671">
        <v>3.5</v>
      </c>
      <c r="F6646" s="1671">
        <v>4</v>
      </c>
      <c r="G6646" s="1674"/>
      <c r="H6646" s="1671">
        <f t="shared" si="1194"/>
        <v>0</v>
      </c>
      <c r="I6646" s="688" t="s">
        <v>92</v>
      </c>
      <c r="J6646" s="1669"/>
      <c r="K6646" s="1668"/>
      <c r="L6646" s="1669"/>
    </row>
    <row r="6647" spans="1:12" s="692" customFormat="1" ht="16.5" hidden="1">
      <c r="A6647" s="1665"/>
      <c r="B6647" s="1666"/>
      <c r="C6647" s="688"/>
      <c r="D6647" s="1667"/>
      <c r="E6647" s="1671">
        <v>3.5</v>
      </c>
      <c r="F6647" s="1671">
        <v>4</v>
      </c>
      <c r="G6647" s="1674"/>
      <c r="H6647" s="1671">
        <f t="shared" si="1194"/>
        <v>0</v>
      </c>
      <c r="I6647" s="688" t="s">
        <v>92</v>
      </c>
      <c r="J6647" s="1669"/>
      <c r="K6647" s="1668"/>
      <c r="L6647" s="1669"/>
    </row>
    <row r="6648" spans="1:12" s="692" customFormat="1" ht="16.5" hidden="1">
      <c r="A6648" s="1665"/>
      <c r="B6648" s="1666"/>
      <c r="C6648" s="688"/>
      <c r="D6648" s="1667"/>
      <c r="E6648" s="1671"/>
      <c r="F6648" s="1671"/>
      <c r="G6648" s="1674" t="s">
        <v>928</v>
      </c>
      <c r="H6648" s="1671">
        <f>SUM(H6642:H6647)</f>
        <v>0</v>
      </c>
      <c r="I6648" s="688" t="s">
        <v>92</v>
      </c>
      <c r="J6648" s="1669" t="e">
        <f>'Lead &amp; ANALYSIS'!L1206</f>
        <v>#REF!</v>
      </c>
      <c r="K6648" s="1668" t="s">
        <v>1516</v>
      </c>
      <c r="L6648" s="1669" t="e">
        <f>ROUND(H6648*J6648,0)</f>
        <v>#REF!</v>
      </c>
    </row>
    <row r="6649" spans="1:12" s="692" customFormat="1" ht="54" hidden="1" customHeight="1">
      <c r="A6649" s="1665">
        <f>'Lead &amp; ANALYSIS'!A1207</f>
        <v>185</v>
      </c>
      <c r="B6649" s="1666" t="str">
        <f>'Lead &amp; ANALYSIS'!B1207</f>
        <v>P.C.C.M-25 Grade using 40mm to 10mm size crushed stone aggregates mixed by concrete mixer, laying in layers and compacting by vibrator &amp; all leads and lifts including frame works etc complete.</v>
      </c>
      <c r="C6649" s="688"/>
      <c r="D6649" s="1667"/>
      <c r="E6649" s="688"/>
      <c r="F6649" s="688"/>
      <c r="G6649" s="1674"/>
      <c r="H6649" s="688"/>
      <c r="I6649" s="1668"/>
      <c r="J6649" s="1669"/>
      <c r="K6649" s="1668"/>
      <c r="L6649" s="1669"/>
    </row>
    <row r="6650" spans="1:12" s="692" customFormat="1" ht="16.5" hidden="1">
      <c r="A6650" s="1665"/>
      <c r="B6650" s="1666"/>
      <c r="C6650" s="688"/>
      <c r="D6650" s="1667"/>
      <c r="E6650" s="1671">
        <v>3.5</v>
      </c>
      <c r="F6650" s="1671">
        <v>4</v>
      </c>
      <c r="G6650" s="1674"/>
      <c r="H6650" s="1671">
        <f t="shared" ref="H6650:H6655" si="1195">ROUND(D6650*E6650*F6650,2)</f>
        <v>0</v>
      </c>
      <c r="I6650" s="688" t="s">
        <v>92</v>
      </c>
      <c r="J6650" s="1669"/>
      <c r="K6650" s="1668"/>
      <c r="L6650" s="1669"/>
    </row>
    <row r="6651" spans="1:12" s="692" customFormat="1" ht="16.5" hidden="1">
      <c r="A6651" s="1665"/>
      <c r="B6651" s="1666"/>
      <c r="C6651" s="688"/>
      <c r="D6651" s="1667"/>
      <c r="E6651" s="1671">
        <v>3.5</v>
      </c>
      <c r="F6651" s="1671">
        <v>4</v>
      </c>
      <c r="G6651" s="1674"/>
      <c r="H6651" s="1671">
        <f t="shared" si="1195"/>
        <v>0</v>
      </c>
      <c r="I6651" s="688" t="s">
        <v>92</v>
      </c>
      <c r="J6651" s="1669"/>
      <c r="K6651" s="1668"/>
      <c r="L6651" s="1669"/>
    </row>
    <row r="6652" spans="1:12" s="692" customFormat="1" ht="16.5" hidden="1">
      <c r="A6652" s="1665"/>
      <c r="B6652" s="1666"/>
      <c r="C6652" s="688"/>
      <c r="D6652" s="1667"/>
      <c r="E6652" s="1671">
        <v>3.5</v>
      </c>
      <c r="F6652" s="1671">
        <v>4</v>
      </c>
      <c r="G6652" s="1674"/>
      <c r="H6652" s="1671">
        <f t="shared" si="1195"/>
        <v>0</v>
      </c>
      <c r="I6652" s="688" t="s">
        <v>92</v>
      </c>
      <c r="J6652" s="1669"/>
      <c r="K6652" s="1668"/>
      <c r="L6652" s="1669"/>
    </row>
    <row r="6653" spans="1:12" s="692" customFormat="1" ht="16.5" hidden="1">
      <c r="A6653" s="1665"/>
      <c r="B6653" s="1666"/>
      <c r="C6653" s="688"/>
      <c r="D6653" s="1667"/>
      <c r="E6653" s="1671">
        <v>3.5</v>
      </c>
      <c r="F6653" s="1671">
        <v>4</v>
      </c>
      <c r="G6653" s="1674"/>
      <c r="H6653" s="1671">
        <f t="shared" si="1195"/>
        <v>0</v>
      </c>
      <c r="I6653" s="688" t="s">
        <v>92</v>
      </c>
      <c r="J6653" s="1669"/>
      <c r="K6653" s="1668"/>
      <c r="L6653" s="1669"/>
    </row>
    <row r="6654" spans="1:12" s="692" customFormat="1" ht="16.5" hidden="1">
      <c r="A6654" s="1665"/>
      <c r="B6654" s="1666"/>
      <c r="C6654" s="688"/>
      <c r="D6654" s="1667"/>
      <c r="E6654" s="1671">
        <v>3.5</v>
      </c>
      <c r="F6654" s="1671">
        <v>4</v>
      </c>
      <c r="G6654" s="1674"/>
      <c r="H6654" s="1671">
        <f t="shared" si="1195"/>
        <v>0</v>
      </c>
      <c r="I6654" s="688" t="s">
        <v>92</v>
      </c>
      <c r="J6654" s="1669"/>
      <c r="K6654" s="1668"/>
      <c r="L6654" s="1669"/>
    </row>
    <row r="6655" spans="1:12" s="692" customFormat="1" ht="16.5" hidden="1">
      <c r="A6655" s="1665"/>
      <c r="B6655" s="1666"/>
      <c r="C6655" s="688"/>
      <c r="D6655" s="1667"/>
      <c r="E6655" s="1671">
        <v>3.5</v>
      </c>
      <c r="F6655" s="1671">
        <v>4</v>
      </c>
      <c r="G6655" s="1674"/>
      <c r="H6655" s="1671">
        <f t="shared" si="1195"/>
        <v>0</v>
      </c>
      <c r="I6655" s="688" t="s">
        <v>92</v>
      </c>
      <c r="J6655" s="1669"/>
      <c r="K6655" s="1668"/>
      <c r="L6655" s="1669"/>
    </row>
    <row r="6656" spans="1:12" s="692" customFormat="1" ht="16.5" hidden="1">
      <c r="A6656" s="1665"/>
      <c r="B6656" s="1666"/>
      <c r="C6656" s="688"/>
      <c r="D6656" s="1667"/>
      <c r="E6656" s="1671"/>
      <c r="F6656" s="1671"/>
      <c r="G6656" s="1674" t="s">
        <v>928</v>
      </c>
      <c r="H6656" s="1671">
        <f>SUM(H6650:H6655)</f>
        <v>0</v>
      </c>
      <c r="I6656" s="688" t="s">
        <v>92</v>
      </c>
      <c r="J6656" s="1669" t="e">
        <f>'Lead &amp; ANALYSIS'!L1207</f>
        <v>#REF!</v>
      </c>
      <c r="K6656" s="1668" t="s">
        <v>1516</v>
      </c>
      <c r="L6656" s="1669" t="e">
        <f>ROUND(H6656*J6656,0)</f>
        <v>#REF!</v>
      </c>
    </row>
    <row r="6657" spans="1:12" s="692" customFormat="1" ht="66" hidden="1">
      <c r="A6657" s="1665">
        <f>'Lead &amp; ANALYSIS'!A1208</f>
        <v>186</v>
      </c>
      <c r="B6657" s="1666" t="str">
        <f>'Lead &amp; ANALYSIS'!B1208</f>
        <v>R.C.C. M-20 grade in structure of C.D. work as per approved drawing &amp; technical specifications including all cost of labour and material etc complete as per direction of EIC</v>
      </c>
      <c r="C6657" s="688"/>
      <c r="D6657" s="1667"/>
      <c r="E6657" s="688"/>
      <c r="F6657" s="688"/>
      <c r="G6657" s="1674"/>
      <c r="H6657" s="688"/>
      <c r="I6657" s="1668"/>
      <c r="J6657" s="1669"/>
      <c r="K6657" s="1668"/>
      <c r="L6657" s="1669"/>
    </row>
    <row r="6658" spans="1:12" s="692" customFormat="1" ht="16.5" hidden="1">
      <c r="A6658" s="1665"/>
      <c r="B6658" s="1666"/>
      <c r="C6658" s="688"/>
      <c r="D6658" s="1667"/>
      <c r="E6658" s="1671">
        <v>3.5</v>
      </c>
      <c r="F6658" s="1671">
        <v>4</v>
      </c>
      <c r="G6658" s="1674"/>
      <c r="H6658" s="1671">
        <f t="shared" ref="H6658:H6663" si="1196">ROUND(D6658*E6658*F6658,2)</f>
        <v>0</v>
      </c>
      <c r="I6658" s="688" t="s">
        <v>92</v>
      </c>
      <c r="J6658" s="1669"/>
      <c r="K6658" s="1668"/>
      <c r="L6658" s="1669"/>
    </row>
    <row r="6659" spans="1:12" s="692" customFormat="1" ht="16.5" hidden="1">
      <c r="A6659" s="1665"/>
      <c r="B6659" s="1666"/>
      <c r="C6659" s="688"/>
      <c r="D6659" s="1667"/>
      <c r="E6659" s="1671">
        <v>3.5</v>
      </c>
      <c r="F6659" s="1671">
        <v>4</v>
      </c>
      <c r="G6659" s="1674"/>
      <c r="H6659" s="1671">
        <f t="shared" si="1196"/>
        <v>0</v>
      </c>
      <c r="I6659" s="688" t="s">
        <v>92</v>
      </c>
      <c r="J6659" s="1669"/>
      <c r="K6659" s="1668"/>
      <c r="L6659" s="1669"/>
    </row>
    <row r="6660" spans="1:12" s="692" customFormat="1" ht="16.5" hidden="1">
      <c r="A6660" s="1665"/>
      <c r="B6660" s="1666"/>
      <c r="C6660" s="688"/>
      <c r="D6660" s="1667"/>
      <c r="E6660" s="1671">
        <v>3.5</v>
      </c>
      <c r="F6660" s="1671">
        <v>4</v>
      </c>
      <c r="G6660" s="1674"/>
      <c r="H6660" s="1671">
        <f t="shared" si="1196"/>
        <v>0</v>
      </c>
      <c r="I6660" s="688" t="s">
        <v>92</v>
      </c>
      <c r="J6660" s="1669"/>
      <c r="K6660" s="1668"/>
      <c r="L6660" s="1669"/>
    </row>
    <row r="6661" spans="1:12" s="692" customFormat="1" ht="16.5" hidden="1">
      <c r="A6661" s="1665"/>
      <c r="B6661" s="1666"/>
      <c r="C6661" s="688"/>
      <c r="D6661" s="1667"/>
      <c r="E6661" s="1671">
        <v>3.5</v>
      </c>
      <c r="F6661" s="1671">
        <v>4</v>
      </c>
      <c r="G6661" s="1674"/>
      <c r="H6661" s="1671">
        <f t="shared" si="1196"/>
        <v>0</v>
      </c>
      <c r="I6661" s="688" t="s">
        <v>92</v>
      </c>
      <c r="J6661" s="1669"/>
      <c r="K6661" s="1668"/>
      <c r="L6661" s="1669"/>
    </row>
    <row r="6662" spans="1:12" s="692" customFormat="1" ht="16.5" hidden="1">
      <c r="A6662" s="1665"/>
      <c r="B6662" s="1666"/>
      <c r="C6662" s="688"/>
      <c r="D6662" s="1667"/>
      <c r="E6662" s="1671">
        <v>3.5</v>
      </c>
      <c r="F6662" s="1671">
        <v>4</v>
      </c>
      <c r="G6662" s="1674"/>
      <c r="H6662" s="1671">
        <f t="shared" si="1196"/>
        <v>0</v>
      </c>
      <c r="I6662" s="688" t="s">
        <v>92</v>
      </c>
      <c r="J6662" s="1669"/>
      <c r="K6662" s="1668"/>
      <c r="L6662" s="1669"/>
    </row>
    <row r="6663" spans="1:12" s="692" customFormat="1" ht="16.5" hidden="1">
      <c r="A6663" s="1665"/>
      <c r="B6663" s="1666"/>
      <c r="C6663" s="688"/>
      <c r="D6663" s="1667"/>
      <c r="E6663" s="1671">
        <v>3.5</v>
      </c>
      <c r="F6663" s="1671">
        <v>4</v>
      </c>
      <c r="G6663" s="1674"/>
      <c r="H6663" s="1671">
        <f t="shared" si="1196"/>
        <v>0</v>
      </c>
      <c r="I6663" s="688" t="s">
        <v>92</v>
      </c>
      <c r="J6663" s="1669"/>
      <c r="K6663" s="1668"/>
      <c r="L6663" s="1669"/>
    </row>
    <row r="6664" spans="1:12" s="692" customFormat="1" ht="16.5" hidden="1">
      <c r="A6664" s="1665"/>
      <c r="B6664" s="1666"/>
      <c r="C6664" s="688"/>
      <c r="D6664" s="1667"/>
      <c r="E6664" s="1671"/>
      <c r="F6664" s="1671"/>
      <c r="G6664" s="1674" t="s">
        <v>928</v>
      </c>
      <c r="H6664" s="1671">
        <f>SUM(H6658:H6663)</f>
        <v>0</v>
      </c>
      <c r="I6664" s="688" t="s">
        <v>92</v>
      </c>
      <c r="J6664" s="1669" t="e">
        <f>'Lead &amp; ANALYSIS'!L1208</f>
        <v>#REF!</v>
      </c>
      <c r="K6664" s="1668" t="s">
        <v>1516</v>
      </c>
      <c r="L6664" s="1669" t="e">
        <f>ROUND(H6664*J6664,0)</f>
        <v>#REF!</v>
      </c>
    </row>
    <row r="6665" spans="1:12" s="692" customFormat="1" ht="41.45" hidden="1" customHeight="1">
      <c r="A6665" s="1665">
        <f>'Lead &amp; ANALYSIS'!A1209</f>
        <v>187</v>
      </c>
      <c r="B6665" s="1666" t="str">
        <f>'Lead &amp; ANALYSIS'!B1209</f>
        <v>R.C.C. M-30 grade in wearing coat of C.D. work as per approved drawing &amp; technical specifications including all cost of labour and material etc complete.</v>
      </c>
      <c r="C6665" s="688"/>
      <c r="D6665" s="1667"/>
      <c r="E6665" s="688"/>
      <c r="F6665" s="688"/>
      <c r="G6665" s="1674"/>
      <c r="H6665" s="688"/>
      <c r="I6665" s="1668"/>
      <c r="J6665" s="1669"/>
      <c r="K6665" s="1668"/>
      <c r="L6665" s="1669"/>
    </row>
    <row r="6666" spans="1:12" s="692" customFormat="1" ht="16.5" hidden="1">
      <c r="A6666" s="1665"/>
      <c r="B6666" s="1666"/>
      <c r="C6666" s="688"/>
      <c r="D6666" s="1667"/>
      <c r="E6666" s="1671">
        <v>3.5</v>
      </c>
      <c r="F6666" s="1671">
        <v>4</v>
      </c>
      <c r="G6666" s="1674"/>
      <c r="H6666" s="1671">
        <f t="shared" ref="H6666:H6671" si="1197">ROUND(D6666*E6666*F6666,2)</f>
        <v>0</v>
      </c>
      <c r="I6666" s="688" t="s">
        <v>92</v>
      </c>
      <c r="J6666" s="1669"/>
      <c r="K6666" s="1668"/>
      <c r="L6666" s="1669"/>
    </row>
    <row r="6667" spans="1:12" s="692" customFormat="1" ht="16.5" hidden="1">
      <c r="A6667" s="1665"/>
      <c r="B6667" s="1666"/>
      <c r="C6667" s="688"/>
      <c r="D6667" s="1667"/>
      <c r="E6667" s="1671">
        <v>3.5</v>
      </c>
      <c r="F6667" s="1671">
        <v>4</v>
      </c>
      <c r="G6667" s="1674"/>
      <c r="H6667" s="1671">
        <f t="shared" si="1197"/>
        <v>0</v>
      </c>
      <c r="I6667" s="688" t="s">
        <v>92</v>
      </c>
      <c r="J6667" s="1669"/>
      <c r="K6667" s="1668"/>
      <c r="L6667" s="1669"/>
    </row>
    <row r="6668" spans="1:12" s="692" customFormat="1" ht="16.5" hidden="1">
      <c r="A6668" s="1665"/>
      <c r="B6668" s="1666"/>
      <c r="C6668" s="688"/>
      <c r="D6668" s="1667"/>
      <c r="E6668" s="1671">
        <v>3.5</v>
      </c>
      <c r="F6668" s="1671">
        <v>4</v>
      </c>
      <c r="G6668" s="1674"/>
      <c r="H6668" s="1671">
        <f t="shared" si="1197"/>
        <v>0</v>
      </c>
      <c r="I6668" s="688" t="s">
        <v>92</v>
      </c>
      <c r="J6668" s="1669"/>
      <c r="K6668" s="1668"/>
      <c r="L6668" s="1669"/>
    </row>
    <row r="6669" spans="1:12" s="692" customFormat="1" ht="16.5" hidden="1">
      <c r="A6669" s="1665"/>
      <c r="B6669" s="1666"/>
      <c r="C6669" s="688"/>
      <c r="D6669" s="1667"/>
      <c r="E6669" s="1671">
        <v>3.5</v>
      </c>
      <c r="F6669" s="1671">
        <v>4</v>
      </c>
      <c r="G6669" s="1674"/>
      <c r="H6669" s="1671">
        <f t="shared" si="1197"/>
        <v>0</v>
      </c>
      <c r="I6669" s="688" t="s">
        <v>92</v>
      </c>
      <c r="J6669" s="1669"/>
      <c r="K6669" s="1668"/>
      <c r="L6669" s="1669"/>
    </row>
    <row r="6670" spans="1:12" s="692" customFormat="1" ht="16.5" hidden="1">
      <c r="A6670" s="1665"/>
      <c r="B6670" s="1666"/>
      <c r="C6670" s="688"/>
      <c r="D6670" s="1667"/>
      <c r="E6670" s="1671">
        <v>3.5</v>
      </c>
      <c r="F6670" s="1671">
        <v>4</v>
      </c>
      <c r="G6670" s="1674"/>
      <c r="H6670" s="1671">
        <f t="shared" si="1197"/>
        <v>0</v>
      </c>
      <c r="I6670" s="688" t="s">
        <v>92</v>
      </c>
      <c r="J6670" s="1669"/>
      <c r="K6670" s="1668"/>
      <c r="L6670" s="1669"/>
    </row>
    <row r="6671" spans="1:12" s="692" customFormat="1" ht="16.5" hidden="1">
      <c r="A6671" s="1665"/>
      <c r="B6671" s="1666"/>
      <c r="C6671" s="688"/>
      <c r="D6671" s="1667"/>
      <c r="E6671" s="1671">
        <v>3.5</v>
      </c>
      <c r="F6671" s="1671">
        <v>4</v>
      </c>
      <c r="G6671" s="1674"/>
      <c r="H6671" s="1671">
        <f t="shared" si="1197"/>
        <v>0</v>
      </c>
      <c r="I6671" s="688" t="s">
        <v>92</v>
      </c>
      <c r="J6671" s="1669"/>
      <c r="K6671" s="1668"/>
      <c r="L6671" s="1669"/>
    </row>
    <row r="6672" spans="1:12" s="692" customFormat="1" ht="16.5" hidden="1">
      <c r="A6672" s="1665"/>
      <c r="B6672" s="1666"/>
      <c r="C6672" s="688"/>
      <c r="D6672" s="1667"/>
      <c r="E6672" s="1671"/>
      <c r="F6672" s="1671"/>
      <c r="G6672" s="1674" t="s">
        <v>928</v>
      </c>
      <c r="H6672" s="1671">
        <f>SUM(H6666:H6671)</f>
        <v>0</v>
      </c>
      <c r="I6672" s="688" t="s">
        <v>92</v>
      </c>
      <c r="J6672" s="1669" t="e">
        <f>'Lead &amp; ANALYSIS'!L1209</f>
        <v>#REF!</v>
      </c>
      <c r="K6672" s="1668" t="s">
        <v>1516</v>
      </c>
      <c r="L6672" s="1669" t="e">
        <f>ROUND(H6672*J6672,0)</f>
        <v>#REF!</v>
      </c>
    </row>
    <row r="6673" spans="1:12" s="692" customFormat="1" ht="49.5" hidden="1">
      <c r="A6673" s="1665">
        <f>'Lead &amp; ANALYSIS'!A1210</f>
        <v>188</v>
      </c>
      <c r="B6673" s="1666" t="str">
        <f>'Lead &amp; ANALYSIS'!B1210</f>
        <v>Laying of NP3 Hume Pipe of 300mm dia. for pipe culverts as per approved drawing &amp; technical specifications including cost of pipe etc complete</v>
      </c>
      <c r="C6673" s="688"/>
      <c r="D6673" s="1667"/>
      <c r="E6673" s="688"/>
      <c r="F6673" s="688"/>
      <c r="G6673" s="1674"/>
      <c r="H6673" s="688"/>
      <c r="I6673" s="1668"/>
      <c r="J6673" s="1669"/>
      <c r="K6673" s="1668"/>
      <c r="L6673" s="1669"/>
    </row>
    <row r="6674" spans="1:12" s="692" customFormat="1" ht="16.5" hidden="1">
      <c r="A6674" s="1665"/>
      <c r="B6674" s="1666"/>
      <c r="C6674" s="688"/>
      <c r="D6674" s="1667"/>
      <c r="E6674" s="1671">
        <v>3.5</v>
      </c>
      <c r="F6674" s="1671">
        <v>4</v>
      </c>
      <c r="G6674" s="1674"/>
      <c r="H6674" s="1671">
        <f t="shared" ref="H6674:H6679" si="1198">ROUND(D6674*E6674*F6674,2)</f>
        <v>0</v>
      </c>
      <c r="I6674" s="688" t="s">
        <v>92</v>
      </c>
      <c r="J6674" s="1669"/>
      <c r="K6674" s="1668"/>
      <c r="L6674" s="1669"/>
    </row>
    <row r="6675" spans="1:12" s="692" customFormat="1" ht="16.5" hidden="1">
      <c r="A6675" s="1665"/>
      <c r="B6675" s="1666"/>
      <c r="C6675" s="688"/>
      <c r="D6675" s="1667"/>
      <c r="E6675" s="1671">
        <v>3.5</v>
      </c>
      <c r="F6675" s="1671">
        <v>4</v>
      </c>
      <c r="G6675" s="1674"/>
      <c r="H6675" s="1671">
        <f t="shared" si="1198"/>
        <v>0</v>
      </c>
      <c r="I6675" s="688" t="s">
        <v>92</v>
      </c>
      <c r="J6675" s="1669"/>
      <c r="K6675" s="1668"/>
      <c r="L6675" s="1669"/>
    </row>
    <row r="6676" spans="1:12" s="692" customFormat="1" ht="16.5" hidden="1">
      <c r="A6676" s="1665"/>
      <c r="B6676" s="1666"/>
      <c r="C6676" s="688"/>
      <c r="D6676" s="1667"/>
      <c r="E6676" s="1671">
        <v>3.5</v>
      </c>
      <c r="F6676" s="1671">
        <v>4</v>
      </c>
      <c r="G6676" s="1674"/>
      <c r="H6676" s="1671">
        <f t="shared" si="1198"/>
        <v>0</v>
      </c>
      <c r="I6676" s="688" t="s">
        <v>92</v>
      </c>
      <c r="J6676" s="1669"/>
      <c r="K6676" s="1668"/>
      <c r="L6676" s="1669"/>
    </row>
    <row r="6677" spans="1:12" s="692" customFormat="1" ht="16.5" hidden="1">
      <c r="A6677" s="1665"/>
      <c r="B6677" s="1666"/>
      <c r="C6677" s="688"/>
      <c r="D6677" s="1667"/>
      <c r="E6677" s="1671">
        <v>3.5</v>
      </c>
      <c r="F6677" s="1671">
        <v>4</v>
      </c>
      <c r="G6677" s="1674"/>
      <c r="H6677" s="1671">
        <f t="shared" si="1198"/>
        <v>0</v>
      </c>
      <c r="I6677" s="688" t="s">
        <v>92</v>
      </c>
      <c r="J6677" s="1669"/>
      <c r="K6677" s="1668"/>
      <c r="L6677" s="1669"/>
    </row>
    <row r="6678" spans="1:12" s="692" customFormat="1" ht="16.5" hidden="1">
      <c r="A6678" s="1665"/>
      <c r="B6678" s="1666"/>
      <c r="C6678" s="688"/>
      <c r="D6678" s="1667"/>
      <c r="E6678" s="1671">
        <v>3.5</v>
      </c>
      <c r="F6678" s="1671">
        <v>4</v>
      </c>
      <c r="G6678" s="1674"/>
      <c r="H6678" s="1671">
        <f t="shared" si="1198"/>
        <v>0</v>
      </c>
      <c r="I6678" s="688" t="s">
        <v>92</v>
      </c>
      <c r="J6678" s="1669"/>
      <c r="K6678" s="1668"/>
      <c r="L6678" s="1669"/>
    </row>
    <row r="6679" spans="1:12" s="692" customFormat="1" ht="16.5" hidden="1">
      <c r="A6679" s="1665"/>
      <c r="B6679" s="1666"/>
      <c r="C6679" s="688"/>
      <c r="D6679" s="1667"/>
      <c r="E6679" s="1671">
        <v>3.5</v>
      </c>
      <c r="F6679" s="1671">
        <v>4</v>
      </c>
      <c r="G6679" s="1674"/>
      <c r="H6679" s="1671">
        <f t="shared" si="1198"/>
        <v>0</v>
      </c>
      <c r="I6679" s="688" t="s">
        <v>92</v>
      </c>
      <c r="J6679" s="1669"/>
      <c r="K6679" s="1668"/>
      <c r="L6679" s="1669"/>
    </row>
    <row r="6680" spans="1:12" s="692" customFormat="1" ht="16.5" hidden="1">
      <c r="A6680" s="1665"/>
      <c r="B6680" s="1666"/>
      <c r="C6680" s="688"/>
      <c r="D6680" s="1667"/>
      <c r="E6680" s="1671"/>
      <c r="F6680" s="1671"/>
      <c r="G6680" s="1674" t="s">
        <v>928</v>
      </c>
      <c r="H6680" s="1671">
        <f>SUM(H6674:H6679)</f>
        <v>0</v>
      </c>
      <c r="I6680" s="688" t="s">
        <v>92</v>
      </c>
      <c r="J6680" s="1669" t="e">
        <f>'Lead &amp; ANALYSIS'!L1210</f>
        <v>#REF!</v>
      </c>
      <c r="K6680" s="1668" t="s">
        <v>1517</v>
      </c>
      <c r="L6680" s="1669" t="e">
        <f>ROUND(H6680*J6680,0)</f>
        <v>#REF!</v>
      </c>
    </row>
    <row r="6681" spans="1:12" s="692" customFormat="1" ht="49.5" hidden="1">
      <c r="A6681" s="1665">
        <f>'Lead &amp; ANALYSIS'!A1211</f>
        <v>189</v>
      </c>
      <c r="B6681" s="1666" t="str">
        <f>'Lead &amp; ANALYSIS'!B1211</f>
        <v>Laying of NP3 Hume Pipe of 450mm dia. for pipe culverts as per approved drawing &amp; technical specifications including cost of pipe etc complete</v>
      </c>
      <c r="C6681" s="688"/>
      <c r="D6681" s="1667"/>
      <c r="E6681" s="688"/>
      <c r="F6681" s="688"/>
      <c r="G6681" s="1674"/>
      <c r="H6681" s="688"/>
      <c r="I6681" s="1668"/>
      <c r="J6681" s="1669"/>
      <c r="K6681" s="1668"/>
      <c r="L6681" s="1669"/>
    </row>
    <row r="6682" spans="1:12" s="692" customFormat="1" ht="16.5" hidden="1">
      <c r="A6682" s="1665"/>
      <c r="B6682" s="1666"/>
      <c r="C6682" s="688"/>
      <c r="D6682" s="1667"/>
      <c r="E6682" s="1671">
        <v>3.5</v>
      </c>
      <c r="F6682" s="1671">
        <v>4</v>
      </c>
      <c r="G6682" s="1674"/>
      <c r="H6682" s="1671">
        <f t="shared" ref="H6682:H6687" si="1199">ROUND(D6682*E6682*F6682,2)</f>
        <v>0</v>
      </c>
      <c r="I6682" s="688" t="s">
        <v>92</v>
      </c>
      <c r="J6682" s="1669"/>
      <c r="K6682" s="1668"/>
      <c r="L6682" s="1669"/>
    </row>
    <row r="6683" spans="1:12" s="692" customFormat="1" ht="16.5" hidden="1">
      <c r="A6683" s="1665"/>
      <c r="B6683" s="1666"/>
      <c r="C6683" s="688"/>
      <c r="D6683" s="1667"/>
      <c r="E6683" s="1671">
        <v>3.5</v>
      </c>
      <c r="F6683" s="1671">
        <v>4</v>
      </c>
      <c r="G6683" s="1674"/>
      <c r="H6683" s="1671">
        <f t="shared" si="1199"/>
        <v>0</v>
      </c>
      <c r="I6683" s="688" t="s">
        <v>92</v>
      </c>
      <c r="J6683" s="1669"/>
      <c r="K6683" s="1668"/>
      <c r="L6683" s="1669"/>
    </row>
    <row r="6684" spans="1:12" s="692" customFormat="1" ht="16.5" hidden="1">
      <c r="A6684" s="1665"/>
      <c r="B6684" s="1666"/>
      <c r="C6684" s="688"/>
      <c r="D6684" s="1667"/>
      <c r="E6684" s="1671">
        <v>3.5</v>
      </c>
      <c r="F6684" s="1671">
        <v>4</v>
      </c>
      <c r="G6684" s="1674"/>
      <c r="H6684" s="1671">
        <f t="shared" si="1199"/>
        <v>0</v>
      </c>
      <c r="I6684" s="688" t="s">
        <v>92</v>
      </c>
      <c r="J6684" s="1669"/>
      <c r="K6684" s="1668"/>
      <c r="L6684" s="1669"/>
    </row>
    <row r="6685" spans="1:12" s="692" customFormat="1" ht="16.5" hidden="1">
      <c r="A6685" s="1665"/>
      <c r="B6685" s="1666"/>
      <c r="C6685" s="688"/>
      <c r="D6685" s="1667"/>
      <c r="E6685" s="1671">
        <v>3.5</v>
      </c>
      <c r="F6685" s="1671">
        <v>4</v>
      </c>
      <c r="G6685" s="1674"/>
      <c r="H6685" s="1671">
        <f t="shared" si="1199"/>
        <v>0</v>
      </c>
      <c r="I6685" s="688" t="s">
        <v>92</v>
      </c>
      <c r="J6685" s="1669"/>
      <c r="K6685" s="1668"/>
      <c r="L6685" s="1669"/>
    </row>
    <row r="6686" spans="1:12" s="692" customFormat="1" ht="16.5" hidden="1">
      <c r="A6686" s="1665"/>
      <c r="B6686" s="1666"/>
      <c r="C6686" s="688"/>
      <c r="D6686" s="1667"/>
      <c r="E6686" s="1671">
        <v>3.5</v>
      </c>
      <c r="F6686" s="1671">
        <v>4</v>
      </c>
      <c r="G6686" s="1674"/>
      <c r="H6686" s="1671">
        <f t="shared" si="1199"/>
        <v>0</v>
      </c>
      <c r="I6686" s="688" t="s">
        <v>92</v>
      </c>
      <c r="J6686" s="1669"/>
      <c r="K6686" s="1668"/>
      <c r="L6686" s="1669"/>
    </row>
    <row r="6687" spans="1:12" s="692" customFormat="1" ht="16.5" hidden="1">
      <c r="A6687" s="1665"/>
      <c r="B6687" s="1666"/>
      <c r="C6687" s="688"/>
      <c r="D6687" s="1667"/>
      <c r="E6687" s="1671">
        <v>3.5</v>
      </c>
      <c r="F6687" s="1671">
        <v>4</v>
      </c>
      <c r="G6687" s="1674"/>
      <c r="H6687" s="1671">
        <f t="shared" si="1199"/>
        <v>0</v>
      </c>
      <c r="I6687" s="688" t="s">
        <v>92</v>
      </c>
      <c r="J6687" s="1669"/>
      <c r="K6687" s="1668"/>
      <c r="L6687" s="1669"/>
    </row>
    <row r="6688" spans="1:12" s="692" customFormat="1" ht="16.5" hidden="1">
      <c r="A6688" s="1665"/>
      <c r="B6688" s="1666"/>
      <c r="C6688" s="688"/>
      <c r="D6688" s="1667"/>
      <c r="E6688" s="1671"/>
      <c r="F6688" s="1671"/>
      <c r="G6688" s="1674" t="s">
        <v>928</v>
      </c>
      <c r="H6688" s="1671">
        <f>SUM(H6682:H6687)</f>
        <v>0</v>
      </c>
      <c r="I6688" s="688" t="s">
        <v>92</v>
      </c>
      <c r="J6688" s="1669" t="e">
        <f>'Lead &amp; ANALYSIS'!L1211</f>
        <v>#REF!</v>
      </c>
      <c r="K6688" s="1668" t="s">
        <v>1517</v>
      </c>
      <c r="L6688" s="1669" t="e">
        <f>ROUND(H6688*J6688,0)</f>
        <v>#REF!</v>
      </c>
    </row>
    <row r="6689" spans="1:12" s="692" customFormat="1" ht="49.5" hidden="1">
      <c r="A6689" s="1665">
        <f>'Lead &amp; ANALYSIS'!A1212</f>
        <v>190</v>
      </c>
      <c r="B6689" s="1666" t="str">
        <f>'Lead &amp; ANALYSIS'!B1212</f>
        <v>Laying of NP3 Hume Pipe of 600mm dia. for pipe culverts as per approved drawing &amp; technical specifications including cost of pipe etc complete.</v>
      </c>
      <c r="C6689" s="688"/>
      <c r="D6689" s="1667"/>
      <c r="E6689" s="688"/>
      <c r="F6689" s="688"/>
      <c r="G6689" s="1674"/>
      <c r="H6689" s="688"/>
      <c r="I6689" s="1668"/>
      <c r="J6689" s="1669"/>
      <c r="K6689" s="1668"/>
      <c r="L6689" s="1669"/>
    </row>
    <row r="6690" spans="1:12" s="692" customFormat="1" ht="16.5" hidden="1">
      <c r="A6690" s="1665"/>
      <c r="B6690" s="1666"/>
      <c r="C6690" s="688"/>
      <c r="D6690" s="1667"/>
      <c r="E6690" s="1671">
        <v>3.5</v>
      </c>
      <c r="F6690" s="1671">
        <v>4</v>
      </c>
      <c r="G6690" s="1674"/>
      <c r="H6690" s="1671">
        <f t="shared" ref="H6690:H6695" si="1200">ROUND(D6690*E6690*F6690,2)</f>
        <v>0</v>
      </c>
      <c r="I6690" s="688" t="s">
        <v>92</v>
      </c>
      <c r="J6690" s="1669"/>
      <c r="K6690" s="1668"/>
      <c r="L6690" s="1669"/>
    </row>
    <row r="6691" spans="1:12" s="692" customFormat="1" ht="16.5" hidden="1">
      <c r="A6691" s="1665"/>
      <c r="B6691" s="1666"/>
      <c r="C6691" s="688"/>
      <c r="D6691" s="1667"/>
      <c r="E6691" s="1671">
        <v>3.5</v>
      </c>
      <c r="F6691" s="1671">
        <v>4</v>
      </c>
      <c r="G6691" s="1674"/>
      <c r="H6691" s="1671">
        <f t="shared" si="1200"/>
        <v>0</v>
      </c>
      <c r="I6691" s="688" t="s">
        <v>92</v>
      </c>
      <c r="J6691" s="1669"/>
      <c r="K6691" s="1668"/>
      <c r="L6691" s="1669"/>
    </row>
    <row r="6692" spans="1:12" s="692" customFormat="1" ht="16.5" hidden="1">
      <c r="A6692" s="1665"/>
      <c r="B6692" s="1666"/>
      <c r="C6692" s="688"/>
      <c r="D6692" s="1667"/>
      <c r="E6692" s="1671">
        <v>3.5</v>
      </c>
      <c r="F6692" s="1671">
        <v>4</v>
      </c>
      <c r="G6692" s="1674"/>
      <c r="H6692" s="1671">
        <f t="shared" si="1200"/>
        <v>0</v>
      </c>
      <c r="I6692" s="688" t="s">
        <v>92</v>
      </c>
      <c r="J6692" s="1669"/>
      <c r="K6692" s="1668"/>
      <c r="L6692" s="1669"/>
    </row>
    <row r="6693" spans="1:12" s="692" customFormat="1" ht="16.5" hidden="1">
      <c r="A6693" s="1665"/>
      <c r="B6693" s="1666"/>
      <c r="C6693" s="688"/>
      <c r="D6693" s="1667"/>
      <c r="E6693" s="1671">
        <v>3.5</v>
      </c>
      <c r="F6693" s="1671">
        <v>4</v>
      </c>
      <c r="G6693" s="1674"/>
      <c r="H6693" s="1671">
        <f t="shared" si="1200"/>
        <v>0</v>
      </c>
      <c r="I6693" s="688" t="s">
        <v>92</v>
      </c>
      <c r="J6693" s="1669"/>
      <c r="K6693" s="1668"/>
      <c r="L6693" s="1669"/>
    </row>
    <row r="6694" spans="1:12" s="692" customFormat="1" ht="16.5" hidden="1">
      <c r="A6694" s="1665"/>
      <c r="B6694" s="1666"/>
      <c r="C6694" s="688"/>
      <c r="D6694" s="1667"/>
      <c r="E6694" s="1671">
        <v>3.5</v>
      </c>
      <c r="F6694" s="1671">
        <v>4</v>
      </c>
      <c r="G6694" s="1674"/>
      <c r="H6694" s="1671">
        <f t="shared" si="1200"/>
        <v>0</v>
      </c>
      <c r="I6694" s="688" t="s">
        <v>92</v>
      </c>
      <c r="J6694" s="1669"/>
      <c r="K6694" s="1668"/>
      <c r="L6694" s="1669"/>
    </row>
    <row r="6695" spans="1:12" s="692" customFormat="1" ht="16.5" hidden="1">
      <c r="A6695" s="1665"/>
      <c r="B6695" s="1666"/>
      <c r="C6695" s="688"/>
      <c r="D6695" s="1667"/>
      <c r="E6695" s="1671">
        <v>3.5</v>
      </c>
      <c r="F6695" s="1671">
        <v>4</v>
      </c>
      <c r="G6695" s="1674"/>
      <c r="H6695" s="1671">
        <f t="shared" si="1200"/>
        <v>0</v>
      </c>
      <c r="I6695" s="688" t="s">
        <v>92</v>
      </c>
      <c r="J6695" s="1669"/>
      <c r="K6695" s="1668"/>
      <c r="L6695" s="1669"/>
    </row>
    <row r="6696" spans="1:12" s="692" customFormat="1" ht="16.5" hidden="1">
      <c r="A6696" s="1665"/>
      <c r="B6696" s="1666"/>
      <c r="C6696" s="688"/>
      <c r="D6696" s="1667"/>
      <c r="E6696" s="1671"/>
      <c r="F6696" s="1671"/>
      <c r="G6696" s="1674" t="s">
        <v>928</v>
      </c>
      <c r="H6696" s="1671">
        <f>SUM(H6690:H6695)</f>
        <v>0</v>
      </c>
      <c r="I6696" s="688" t="s">
        <v>92</v>
      </c>
      <c r="J6696" s="1669" t="e">
        <f>'Lead &amp; ANALYSIS'!L1212</f>
        <v>#REF!</v>
      </c>
      <c r="K6696" s="1668" t="s">
        <v>1517</v>
      </c>
      <c r="L6696" s="1669" t="e">
        <f>ROUND(H6696*J6696,0)</f>
        <v>#REF!</v>
      </c>
    </row>
    <row r="6697" spans="1:12" s="692" customFormat="1" ht="49.5" hidden="1">
      <c r="A6697" s="1665">
        <f>'Lead &amp; ANALYSIS'!A1213</f>
        <v>191</v>
      </c>
      <c r="B6697" s="1666" t="str">
        <f>'Lead &amp; ANALYSIS'!B1213</f>
        <v>Laying of NP3 Hume Pipe of 900mm dia. for pipe culverts as per approved drawing &amp; technical specifications including cost of pipe etc complete</v>
      </c>
      <c r="C6697" s="688"/>
      <c r="D6697" s="1667"/>
      <c r="E6697" s="688"/>
      <c r="F6697" s="688"/>
      <c r="G6697" s="1674"/>
      <c r="H6697" s="688"/>
      <c r="I6697" s="1668"/>
      <c r="J6697" s="1669"/>
      <c r="K6697" s="1668"/>
      <c r="L6697" s="1669"/>
    </row>
    <row r="6698" spans="1:12" s="692" customFormat="1" ht="16.5" hidden="1">
      <c r="A6698" s="1665"/>
      <c r="B6698" s="1666"/>
      <c r="C6698" s="688"/>
      <c r="D6698" s="1667"/>
      <c r="E6698" s="1671">
        <v>3.5</v>
      </c>
      <c r="F6698" s="1671">
        <v>4</v>
      </c>
      <c r="G6698" s="1674"/>
      <c r="H6698" s="1671">
        <f t="shared" ref="H6698:H6703" si="1201">ROUND(D6698*E6698*F6698,2)</f>
        <v>0</v>
      </c>
      <c r="I6698" s="688" t="s">
        <v>92</v>
      </c>
      <c r="J6698" s="1669"/>
      <c r="K6698" s="1668"/>
      <c r="L6698" s="1669"/>
    </row>
    <row r="6699" spans="1:12" s="692" customFormat="1" ht="16.5" hidden="1">
      <c r="A6699" s="1665"/>
      <c r="B6699" s="1666"/>
      <c r="C6699" s="688"/>
      <c r="D6699" s="1667"/>
      <c r="E6699" s="1671">
        <v>3.5</v>
      </c>
      <c r="F6699" s="1671">
        <v>4</v>
      </c>
      <c r="G6699" s="1674"/>
      <c r="H6699" s="1671">
        <f t="shared" si="1201"/>
        <v>0</v>
      </c>
      <c r="I6699" s="688" t="s">
        <v>92</v>
      </c>
      <c r="J6699" s="1669"/>
      <c r="K6699" s="1668"/>
      <c r="L6699" s="1669"/>
    </row>
    <row r="6700" spans="1:12" s="692" customFormat="1" ht="16.5" hidden="1">
      <c r="A6700" s="1665"/>
      <c r="B6700" s="1666"/>
      <c r="C6700" s="688"/>
      <c r="D6700" s="1667"/>
      <c r="E6700" s="1671">
        <v>3.5</v>
      </c>
      <c r="F6700" s="1671">
        <v>4</v>
      </c>
      <c r="G6700" s="1674"/>
      <c r="H6700" s="1671">
        <f t="shared" si="1201"/>
        <v>0</v>
      </c>
      <c r="I6700" s="688" t="s">
        <v>92</v>
      </c>
      <c r="J6700" s="1669"/>
      <c r="K6700" s="1668"/>
      <c r="L6700" s="1669"/>
    </row>
    <row r="6701" spans="1:12" s="692" customFormat="1" ht="16.5" hidden="1">
      <c r="A6701" s="1665"/>
      <c r="B6701" s="1666"/>
      <c r="C6701" s="688"/>
      <c r="D6701" s="1667"/>
      <c r="E6701" s="1671">
        <v>3.5</v>
      </c>
      <c r="F6701" s="1671">
        <v>4</v>
      </c>
      <c r="G6701" s="1674"/>
      <c r="H6701" s="1671">
        <f t="shared" si="1201"/>
        <v>0</v>
      </c>
      <c r="I6701" s="688" t="s">
        <v>92</v>
      </c>
      <c r="J6701" s="1669"/>
      <c r="K6701" s="1668"/>
      <c r="L6701" s="1669"/>
    </row>
    <row r="6702" spans="1:12" s="692" customFormat="1" ht="16.5" hidden="1">
      <c r="A6702" s="1665"/>
      <c r="B6702" s="1666"/>
      <c r="C6702" s="688"/>
      <c r="D6702" s="1667"/>
      <c r="E6702" s="1671">
        <v>3.5</v>
      </c>
      <c r="F6702" s="1671">
        <v>4</v>
      </c>
      <c r="G6702" s="1674"/>
      <c r="H6702" s="1671">
        <f t="shared" si="1201"/>
        <v>0</v>
      </c>
      <c r="I6702" s="688" t="s">
        <v>92</v>
      </c>
      <c r="J6702" s="1669"/>
      <c r="K6702" s="1668"/>
      <c r="L6702" s="1669"/>
    </row>
    <row r="6703" spans="1:12" s="692" customFormat="1" ht="16.5" hidden="1">
      <c r="A6703" s="1665"/>
      <c r="B6703" s="1666"/>
      <c r="C6703" s="688"/>
      <c r="D6703" s="1667"/>
      <c r="E6703" s="1671">
        <v>3.5</v>
      </c>
      <c r="F6703" s="1671">
        <v>4</v>
      </c>
      <c r="G6703" s="1674"/>
      <c r="H6703" s="1671">
        <f t="shared" si="1201"/>
        <v>0</v>
      </c>
      <c r="I6703" s="688" t="s">
        <v>92</v>
      </c>
      <c r="J6703" s="1669"/>
      <c r="K6703" s="1668"/>
      <c r="L6703" s="1669"/>
    </row>
    <row r="6704" spans="1:12" s="692" customFormat="1" ht="16.5" hidden="1">
      <c r="A6704" s="1665"/>
      <c r="B6704" s="1666"/>
      <c r="C6704" s="688"/>
      <c r="D6704" s="1667"/>
      <c r="E6704" s="1671"/>
      <c r="F6704" s="1671"/>
      <c r="G6704" s="1674" t="s">
        <v>928</v>
      </c>
      <c r="H6704" s="1671">
        <f>SUM(H6698:H6703)</f>
        <v>0</v>
      </c>
      <c r="I6704" s="688" t="s">
        <v>92</v>
      </c>
      <c r="J6704" s="1669" t="e">
        <f>'Lead &amp; ANALYSIS'!L1213</f>
        <v>#REF!</v>
      </c>
      <c r="K6704" s="1668" t="s">
        <v>1517</v>
      </c>
      <c r="L6704" s="1669" t="e">
        <f>ROUND(H6704*J6704,0)</f>
        <v>#REF!</v>
      </c>
    </row>
    <row r="6705" spans="1:12" s="692" customFormat="1" ht="49.5" hidden="1">
      <c r="A6705" s="1665">
        <f>'Lead &amp; ANALYSIS'!A1214</f>
        <v>192</v>
      </c>
      <c r="B6705" s="1666" t="str">
        <f>'Lead &amp; ANALYSIS'!B1214</f>
        <v>Laying of NP3 Hume Pipe of 1000mm dia. for pipe culverts as per approved drawing &amp; technical specifications including cost of pipe etc complete.</v>
      </c>
      <c r="C6705" s="688"/>
      <c r="D6705" s="1667"/>
      <c r="E6705" s="688"/>
      <c r="F6705" s="688"/>
      <c r="G6705" s="1674"/>
      <c r="H6705" s="688"/>
      <c r="I6705" s="1668"/>
      <c r="J6705" s="1669"/>
      <c r="K6705" s="1668"/>
      <c r="L6705" s="1669"/>
    </row>
    <row r="6706" spans="1:12" s="692" customFormat="1" ht="16.5" hidden="1">
      <c r="A6706" s="1665"/>
      <c r="B6706" s="1666"/>
      <c r="C6706" s="688"/>
      <c r="D6706" s="1667"/>
      <c r="E6706" s="1671">
        <v>3.5</v>
      </c>
      <c r="F6706" s="1671">
        <v>4</v>
      </c>
      <c r="G6706" s="1674"/>
      <c r="H6706" s="1671">
        <f t="shared" ref="H6706:H6711" si="1202">ROUND(D6706*E6706*F6706,2)</f>
        <v>0</v>
      </c>
      <c r="I6706" s="688" t="s">
        <v>92</v>
      </c>
      <c r="J6706" s="1669"/>
      <c r="K6706" s="1668"/>
      <c r="L6706" s="1669"/>
    </row>
    <row r="6707" spans="1:12" s="692" customFormat="1" ht="16.5" hidden="1">
      <c r="A6707" s="1665"/>
      <c r="B6707" s="1666"/>
      <c r="C6707" s="688"/>
      <c r="D6707" s="1667"/>
      <c r="E6707" s="1671">
        <v>3.5</v>
      </c>
      <c r="F6707" s="1671">
        <v>4</v>
      </c>
      <c r="G6707" s="1674"/>
      <c r="H6707" s="1671">
        <f t="shared" si="1202"/>
        <v>0</v>
      </c>
      <c r="I6707" s="688" t="s">
        <v>92</v>
      </c>
      <c r="J6707" s="1669"/>
      <c r="K6707" s="1668"/>
      <c r="L6707" s="1669"/>
    </row>
    <row r="6708" spans="1:12" s="692" customFormat="1" ht="16.5" hidden="1">
      <c r="A6708" s="1665"/>
      <c r="B6708" s="1666"/>
      <c r="C6708" s="688"/>
      <c r="D6708" s="1667"/>
      <c r="E6708" s="1671">
        <v>3.5</v>
      </c>
      <c r="F6708" s="1671">
        <v>4</v>
      </c>
      <c r="G6708" s="1674"/>
      <c r="H6708" s="1671">
        <f t="shared" si="1202"/>
        <v>0</v>
      </c>
      <c r="I6708" s="688" t="s">
        <v>92</v>
      </c>
      <c r="J6708" s="1669"/>
      <c r="K6708" s="1668"/>
      <c r="L6708" s="1669"/>
    </row>
    <row r="6709" spans="1:12" s="692" customFormat="1" ht="16.5" hidden="1">
      <c r="A6709" s="1665"/>
      <c r="B6709" s="1666"/>
      <c r="C6709" s="688"/>
      <c r="D6709" s="1667"/>
      <c r="E6709" s="1671">
        <v>3.5</v>
      </c>
      <c r="F6709" s="1671">
        <v>4</v>
      </c>
      <c r="G6709" s="1674"/>
      <c r="H6709" s="1671">
        <f t="shared" si="1202"/>
        <v>0</v>
      </c>
      <c r="I6709" s="688" t="s">
        <v>92</v>
      </c>
      <c r="J6709" s="1669"/>
      <c r="K6709" s="1668"/>
      <c r="L6709" s="1669"/>
    </row>
    <row r="6710" spans="1:12" s="692" customFormat="1" ht="16.5" hidden="1">
      <c r="A6710" s="1665"/>
      <c r="B6710" s="1666"/>
      <c r="C6710" s="688"/>
      <c r="D6710" s="1667"/>
      <c r="E6710" s="1671">
        <v>3.5</v>
      </c>
      <c r="F6710" s="1671">
        <v>4</v>
      </c>
      <c r="G6710" s="1674"/>
      <c r="H6710" s="1671">
        <f t="shared" si="1202"/>
        <v>0</v>
      </c>
      <c r="I6710" s="688" t="s">
        <v>92</v>
      </c>
      <c r="J6710" s="1669"/>
      <c r="K6710" s="1668"/>
      <c r="L6710" s="1669"/>
    </row>
    <row r="6711" spans="1:12" s="692" customFormat="1" ht="16.5" hidden="1">
      <c r="A6711" s="1665"/>
      <c r="B6711" s="1666"/>
      <c r="C6711" s="688"/>
      <c r="D6711" s="1667"/>
      <c r="E6711" s="1671">
        <v>3.5</v>
      </c>
      <c r="F6711" s="1671">
        <v>4</v>
      </c>
      <c r="G6711" s="1674"/>
      <c r="H6711" s="1671">
        <f t="shared" si="1202"/>
        <v>0</v>
      </c>
      <c r="I6711" s="688" t="s">
        <v>92</v>
      </c>
      <c r="J6711" s="1669"/>
      <c r="K6711" s="1668"/>
      <c r="L6711" s="1669"/>
    </row>
    <row r="6712" spans="1:12" s="692" customFormat="1" ht="16.5" hidden="1">
      <c r="A6712" s="1665"/>
      <c r="B6712" s="1666"/>
      <c r="C6712" s="688"/>
      <c r="D6712" s="1667"/>
      <c r="E6712" s="1671"/>
      <c r="F6712" s="1671"/>
      <c r="G6712" s="1674" t="s">
        <v>928</v>
      </c>
      <c r="H6712" s="1671">
        <f>SUM(H6706:H6711)</f>
        <v>0</v>
      </c>
      <c r="I6712" s="688" t="s">
        <v>92</v>
      </c>
      <c r="J6712" s="1669" t="e">
        <f>'Lead &amp; ANALYSIS'!L1214</f>
        <v>#REF!</v>
      </c>
      <c r="K6712" s="1668" t="s">
        <v>1517</v>
      </c>
      <c r="L6712" s="1669" t="e">
        <f>ROUND(H6712*J6712,0)</f>
        <v>#REF!</v>
      </c>
    </row>
    <row r="6713" spans="1:12" s="692" customFormat="1" ht="49.5" hidden="1">
      <c r="A6713" s="1665">
        <f>'Lead &amp; ANALYSIS'!A1215</f>
        <v>193</v>
      </c>
      <c r="B6713" s="1666" t="str">
        <f>'Lead &amp; ANALYSIS'!B1215</f>
        <v>Laying of NP3 Hume Pipe of 1200mm dia. for pipe culverts as per approved drawing &amp; technical specifications including cost of pipe etc complete</v>
      </c>
      <c r="C6713" s="688"/>
      <c r="D6713" s="1667"/>
      <c r="E6713" s="688"/>
      <c r="F6713" s="688"/>
      <c r="G6713" s="1674"/>
      <c r="H6713" s="688"/>
      <c r="I6713" s="1668"/>
      <c r="J6713" s="1669"/>
      <c r="K6713" s="1668"/>
      <c r="L6713" s="1669"/>
    </row>
    <row r="6714" spans="1:12" s="692" customFormat="1" ht="16.5" hidden="1">
      <c r="A6714" s="1665"/>
      <c r="B6714" s="1666"/>
      <c r="C6714" s="688"/>
      <c r="D6714" s="1667"/>
      <c r="E6714" s="1671">
        <v>3.5</v>
      </c>
      <c r="F6714" s="1671">
        <v>4</v>
      </c>
      <c r="G6714" s="1674"/>
      <c r="H6714" s="1671">
        <f t="shared" ref="H6714:H6719" si="1203">ROUND(D6714*E6714*F6714,2)</f>
        <v>0</v>
      </c>
      <c r="I6714" s="688" t="s">
        <v>136</v>
      </c>
      <c r="J6714" s="1669"/>
      <c r="K6714" s="1668"/>
      <c r="L6714" s="1669"/>
    </row>
    <row r="6715" spans="1:12" s="692" customFormat="1" ht="16.5" hidden="1">
      <c r="A6715" s="1665"/>
      <c r="B6715" s="1666"/>
      <c r="C6715" s="688"/>
      <c r="D6715" s="1667"/>
      <c r="E6715" s="1671">
        <v>3.5</v>
      </c>
      <c r="F6715" s="1671">
        <v>4</v>
      </c>
      <c r="G6715" s="1674"/>
      <c r="H6715" s="1671">
        <f t="shared" si="1203"/>
        <v>0</v>
      </c>
      <c r="I6715" s="688" t="s">
        <v>136</v>
      </c>
      <c r="J6715" s="1669"/>
      <c r="K6715" s="1668"/>
      <c r="L6715" s="1669"/>
    </row>
    <row r="6716" spans="1:12" s="692" customFormat="1" ht="16.5" hidden="1">
      <c r="A6716" s="1665"/>
      <c r="B6716" s="1666"/>
      <c r="C6716" s="688"/>
      <c r="D6716" s="1667"/>
      <c r="E6716" s="1671">
        <v>3.5</v>
      </c>
      <c r="F6716" s="1671">
        <v>4</v>
      </c>
      <c r="G6716" s="1674"/>
      <c r="H6716" s="1671">
        <f t="shared" si="1203"/>
        <v>0</v>
      </c>
      <c r="I6716" s="688" t="s">
        <v>136</v>
      </c>
      <c r="J6716" s="1669"/>
      <c r="K6716" s="1668"/>
      <c r="L6716" s="1669"/>
    </row>
    <row r="6717" spans="1:12" s="692" customFormat="1" ht="16.5" hidden="1">
      <c r="A6717" s="1665"/>
      <c r="B6717" s="1666"/>
      <c r="C6717" s="688"/>
      <c r="D6717" s="1667"/>
      <c r="E6717" s="1671">
        <v>3.5</v>
      </c>
      <c r="F6717" s="1671">
        <v>4</v>
      </c>
      <c r="G6717" s="1674"/>
      <c r="H6717" s="1671">
        <f t="shared" si="1203"/>
        <v>0</v>
      </c>
      <c r="I6717" s="688" t="s">
        <v>136</v>
      </c>
      <c r="J6717" s="1669"/>
      <c r="K6717" s="1668"/>
      <c r="L6717" s="1669"/>
    </row>
    <row r="6718" spans="1:12" s="692" customFormat="1" ht="16.5" hidden="1">
      <c r="A6718" s="1665"/>
      <c r="B6718" s="1666"/>
      <c r="C6718" s="688"/>
      <c r="D6718" s="1667"/>
      <c r="E6718" s="1671">
        <v>3.5</v>
      </c>
      <c r="F6718" s="1671">
        <v>4</v>
      </c>
      <c r="G6718" s="1674"/>
      <c r="H6718" s="1671">
        <f t="shared" si="1203"/>
        <v>0</v>
      </c>
      <c r="I6718" s="688" t="s">
        <v>136</v>
      </c>
      <c r="J6718" s="1669"/>
      <c r="K6718" s="1668"/>
      <c r="L6718" s="1669"/>
    </row>
    <row r="6719" spans="1:12" s="692" customFormat="1" ht="16.5" hidden="1">
      <c r="A6719" s="1665"/>
      <c r="B6719" s="1666"/>
      <c r="C6719" s="688"/>
      <c r="D6719" s="1667"/>
      <c r="E6719" s="1671">
        <v>3.5</v>
      </c>
      <c r="F6719" s="1671">
        <v>4</v>
      </c>
      <c r="G6719" s="1674"/>
      <c r="H6719" s="1671">
        <f t="shared" si="1203"/>
        <v>0</v>
      </c>
      <c r="I6719" s="688" t="s">
        <v>136</v>
      </c>
      <c r="J6719" s="1669"/>
      <c r="K6719" s="1668"/>
      <c r="L6719" s="1669"/>
    </row>
    <row r="6720" spans="1:12" s="692" customFormat="1" ht="16.5" hidden="1">
      <c r="A6720" s="1665"/>
      <c r="B6720" s="1666"/>
      <c r="C6720" s="688"/>
      <c r="D6720" s="1667"/>
      <c r="E6720" s="1671"/>
      <c r="F6720" s="1671"/>
      <c r="G6720" s="1674" t="s">
        <v>928</v>
      </c>
      <c r="H6720" s="1671">
        <f>SUM(H6714:H6719)</f>
        <v>0</v>
      </c>
      <c r="I6720" s="688" t="s">
        <v>136</v>
      </c>
      <c r="J6720" s="1669" t="e">
        <f>'Lead &amp; ANALYSIS'!L1215</f>
        <v>#REF!</v>
      </c>
      <c r="K6720" s="1668" t="s">
        <v>1517</v>
      </c>
      <c r="L6720" s="1669" t="e">
        <f>ROUND(H6720*J6720,0)</f>
        <v>#REF!</v>
      </c>
    </row>
    <row r="6721" spans="1:12" s="692" customFormat="1" ht="85.9" hidden="1" customHeight="1">
      <c r="A6721" s="1665">
        <f>'Lead &amp; ANALYSIS'!A1217</f>
        <v>194</v>
      </c>
      <c r="B6721" s="1666" t="str">
        <f>'Lead &amp; ANALYSIS'!B1217</f>
        <v>Providing fitting fixing wall papers/ wall coverings (paper backed vinyl) to the interior walls with application of extra strong all purpose wall paper adhesive with recommended approved design and shade texture including cost of all materials all labour all T&amp;P etc complete required for the work in all respect as per direction of the Engineer in Charge.</v>
      </c>
      <c r="C6721" s="688"/>
      <c r="D6721" s="1667"/>
      <c r="E6721" s="1671"/>
      <c r="F6721" s="1671"/>
      <c r="G6721" s="1674"/>
      <c r="H6721" s="1671"/>
      <c r="I6721" s="688"/>
      <c r="J6721" s="1669"/>
      <c r="K6721" s="1668"/>
      <c r="L6721" s="1669"/>
    </row>
    <row r="6722" spans="1:12" s="692" customFormat="1" ht="16.5" hidden="1">
      <c r="A6722" s="1665"/>
      <c r="B6722" s="1666"/>
      <c r="C6722" s="688"/>
      <c r="D6722" s="1667"/>
      <c r="E6722" s="1671">
        <v>3.5</v>
      </c>
      <c r="F6722" s="1671">
        <v>4</v>
      </c>
      <c r="G6722" s="1674"/>
      <c r="H6722" s="1671">
        <f t="shared" ref="H6722:H6727" si="1204">ROUND(D6722*E6722*F6722,2)</f>
        <v>0</v>
      </c>
      <c r="I6722" s="688" t="s">
        <v>3675</v>
      </c>
      <c r="J6722" s="1669"/>
      <c r="K6722" s="1668"/>
      <c r="L6722" s="1669"/>
    </row>
    <row r="6723" spans="1:12" s="692" customFormat="1" ht="16.5" hidden="1">
      <c r="A6723" s="1665"/>
      <c r="B6723" s="1666"/>
      <c r="C6723" s="688"/>
      <c r="D6723" s="1667"/>
      <c r="E6723" s="1671">
        <v>3.5</v>
      </c>
      <c r="F6723" s="1671">
        <v>4</v>
      </c>
      <c r="G6723" s="1674"/>
      <c r="H6723" s="1671">
        <f t="shared" si="1204"/>
        <v>0</v>
      </c>
      <c r="I6723" s="688" t="s">
        <v>3675</v>
      </c>
      <c r="J6723" s="1669"/>
      <c r="K6723" s="1668"/>
      <c r="L6723" s="1669"/>
    </row>
    <row r="6724" spans="1:12" s="692" customFormat="1" ht="16.5" hidden="1">
      <c r="A6724" s="1665"/>
      <c r="B6724" s="1666"/>
      <c r="C6724" s="688"/>
      <c r="D6724" s="1667"/>
      <c r="E6724" s="1671">
        <v>3.5</v>
      </c>
      <c r="F6724" s="1671">
        <v>4</v>
      </c>
      <c r="G6724" s="1674"/>
      <c r="H6724" s="1671">
        <f t="shared" si="1204"/>
        <v>0</v>
      </c>
      <c r="I6724" s="688" t="s">
        <v>3675</v>
      </c>
      <c r="J6724" s="1669"/>
      <c r="K6724" s="1668"/>
      <c r="L6724" s="1669"/>
    </row>
    <row r="6725" spans="1:12" s="692" customFormat="1" ht="16.5" hidden="1">
      <c r="A6725" s="1665"/>
      <c r="B6725" s="1666"/>
      <c r="C6725" s="688"/>
      <c r="D6725" s="1667"/>
      <c r="E6725" s="1671">
        <v>3.5</v>
      </c>
      <c r="F6725" s="1671">
        <v>4</v>
      </c>
      <c r="G6725" s="1674"/>
      <c r="H6725" s="1671">
        <f t="shared" si="1204"/>
        <v>0</v>
      </c>
      <c r="I6725" s="688" t="s">
        <v>3675</v>
      </c>
      <c r="J6725" s="1669"/>
      <c r="K6725" s="1668"/>
      <c r="L6725" s="1669"/>
    </row>
    <row r="6726" spans="1:12" s="692" customFormat="1" ht="16.5" hidden="1">
      <c r="A6726" s="1665"/>
      <c r="B6726" s="1666"/>
      <c r="C6726" s="688"/>
      <c r="D6726" s="1667"/>
      <c r="E6726" s="1671">
        <v>3.5</v>
      </c>
      <c r="F6726" s="1671">
        <v>4</v>
      </c>
      <c r="G6726" s="1674"/>
      <c r="H6726" s="1671">
        <f t="shared" si="1204"/>
        <v>0</v>
      </c>
      <c r="I6726" s="688" t="s">
        <v>3675</v>
      </c>
      <c r="J6726" s="1669"/>
      <c r="K6726" s="1668"/>
      <c r="L6726" s="1669"/>
    </row>
    <row r="6727" spans="1:12" s="692" customFormat="1" ht="16.5" hidden="1">
      <c r="A6727" s="1665"/>
      <c r="B6727" s="1666"/>
      <c r="C6727" s="688"/>
      <c r="D6727" s="1667"/>
      <c r="E6727" s="1671">
        <v>3.5</v>
      </c>
      <c r="F6727" s="1671">
        <v>4</v>
      </c>
      <c r="G6727" s="1674"/>
      <c r="H6727" s="1671">
        <f t="shared" si="1204"/>
        <v>0</v>
      </c>
      <c r="I6727" s="688" t="s">
        <v>3675</v>
      </c>
      <c r="J6727" s="1669"/>
      <c r="K6727" s="1668"/>
      <c r="L6727" s="1669"/>
    </row>
    <row r="6728" spans="1:12" s="692" customFormat="1" ht="16.5" hidden="1">
      <c r="A6728" s="1665"/>
      <c r="B6728" s="1666"/>
      <c r="C6728" s="688"/>
      <c r="D6728" s="1667"/>
      <c r="E6728" s="1671"/>
      <c r="F6728" s="1671"/>
      <c r="G6728" s="1674" t="s">
        <v>928</v>
      </c>
      <c r="H6728" s="1671">
        <f>SUM(H6722:H6727)</f>
        <v>0</v>
      </c>
      <c r="I6728" s="688" t="s">
        <v>3675</v>
      </c>
      <c r="J6728" s="1669" t="e">
        <f>'Lead &amp; ANALYSIS'!L1217</f>
        <v>#REF!</v>
      </c>
      <c r="K6728" s="1668" t="s">
        <v>3706</v>
      </c>
      <c r="L6728" s="1669" t="e">
        <f>ROUND(H6728*J6728,0)</f>
        <v>#REF!</v>
      </c>
    </row>
    <row r="6729" spans="1:12" s="692" customFormat="1" ht="148.5" hidden="1">
      <c r="A6729" s="1665">
        <f>'Lead &amp; ANALYSIS'!A1218</f>
        <v>195</v>
      </c>
      <c r="B6729" s="1666" t="str">
        <f>'Lead &amp; ANALYSIS'!B1218</f>
        <v>Supplying fitting and fixing of Computer table with 19mm BWR Block Board and pested with 1mm thick sanmaica of approved shade to all exposed sides  back with 19mm BWR ply with sanmaica one side with side drawer and cupboard with all fitting and fixtures of godrej make including tralee channel including cost of all material and labour and all inside pested with 1mm sanmaica etc and installed at site etc, complete excuding GST on materials.</v>
      </c>
      <c r="C6729" s="688"/>
      <c r="D6729" s="1667"/>
      <c r="E6729" s="1671"/>
      <c r="F6729" s="1671"/>
      <c r="G6729" s="1674"/>
      <c r="H6729" s="1671"/>
      <c r="I6729" s="688"/>
      <c r="J6729" s="1669"/>
      <c r="K6729" s="1668"/>
      <c r="L6729" s="1669"/>
    </row>
    <row r="6730" spans="1:12" s="692" customFormat="1" ht="16.5" hidden="1">
      <c r="A6730" s="1665"/>
      <c r="B6730" s="1666"/>
      <c r="C6730" s="688"/>
      <c r="D6730" s="1667"/>
      <c r="E6730" s="1671">
        <v>3.5</v>
      </c>
      <c r="F6730" s="1671">
        <v>4</v>
      </c>
      <c r="G6730" s="1674"/>
      <c r="H6730" s="1671">
        <f t="shared" ref="H6730:H6735" si="1205">ROUND(D6730*E6730*F6730,2)</f>
        <v>0</v>
      </c>
      <c r="I6730" s="688" t="s">
        <v>3675</v>
      </c>
      <c r="J6730" s="1669"/>
      <c r="K6730" s="1668"/>
      <c r="L6730" s="1669"/>
    </row>
    <row r="6731" spans="1:12" s="692" customFormat="1" ht="16.5" hidden="1">
      <c r="A6731" s="1665"/>
      <c r="B6731" s="1666"/>
      <c r="C6731" s="688"/>
      <c r="D6731" s="1667"/>
      <c r="E6731" s="1671">
        <v>3.5</v>
      </c>
      <c r="F6731" s="1671">
        <v>4</v>
      </c>
      <c r="G6731" s="1674"/>
      <c r="H6731" s="1671">
        <f t="shared" si="1205"/>
        <v>0</v>
      </c>
      <c r="I6731" s="688" t="s">
        <v>3675</v>
      </c>
      <c r="J6731" s="1669"/>
      <c r="K6731" s="1668"/>
      <c r="L6731" s="1669"/>
    </row>
    <row r="6732" spans="1:12" s="692" customFormat="1" ht="16.5" hidden="1">
      <c r="A6732" s="1665"/>
      <c r="B6732" s="1666"/>
      <c r="C6732" s="688"/>
      <c r="D6732" s="1667"/>
      <c r="E6732" s="1671">
        <v>3.5</v>
      </c>
      <c r="F6732" s="1671">
        <v>4</v>
      </c>
      <c r="G6732" s="1674"/>
      <c r="H6732" s="1671">
        <f t="shared" si="1205"/>
        <v>0</v>
      </c>
      <c r="I6732" s="688" t="s">
        <v>3675</v>
      </c>
      <c r="J6732" s="1669"/>
      <c r="K6732" s="1668"/>
      <c r="L6732" s="1669"/>
    </row>
    <row r="6733" spans="1:12" s="692" customFormat="1" ht="16.5" hidden="1">
      <c r="A6733" s="1665"/>
      <c r="B6733" s="1666"/>
      <c r="C6733" s="688"/>
      <c r="D6733" s="1667"/>
      <c r="E6733" s="1671">
        <v>3.5</v>
      </c>
      <c r="F6733" s="1671">
        <v>4</v>
      </c>
      <c r="G6733" s="1674"/>
      <c r="H6733" s="1671">
        <f t="shared" si="1205"/>
        <v>0</v>
      </c>
      <c r="I6733" s="688" t="s">
        <v>3675</v>
      </c>
      <c r="J6733" s="1669"/>
      <c r="K6733" s="1668"/>
      <c r="L6733" s="1669"/>
    </row>
    <row r="6734" spans="1:12" s="692" customFormat="1" ht="16.5" hidden="1">
      <c r="A6734" s="1665"/>
      <c r="B6734" s="1666"/>
      <c r="C6734" s="688"/>
      <c r="D6734" s="1667"/>
      <c r="E6734" s="1671">
        <v>3.5</v>
      </c>
      <c r="F6734" s="1671">
        <v>4</v>
      </c>
      <c r="G6734" s="1674"/>
      <c r="H6734" s="1671">
        <f t="shared" si="1205"/>
        <v>0</v>
      </c>
      <c r="I6734" s="688" t="s">
        <v>3675</v>
      </c>
      <c r="J6734" s="1669"/>
      <c r="K6734" s="1668"/>
      <c r="L6734" s="1669"/>
    </row>
    <row r="6735" spans="1:12" s="692" customFormat="1" ht="16.5" hidden="1">
      <c r="A6735" s="1665"/>
      <c r="B6735" s="1666"/>
      <c r="C6735" s="688"/>
      <c r="D6735" s="1667"/>
      <c r="E6735" s="1671">
        <v>3.5</v>
      </c>
      <c r="F6735" s="1671">
        <v>4</v>
      </c>
      <c r="G6735" s="1674"/>
      <c r="H6735" s="1671">
        <f t="shared" si="1205"/>
        <v>0</v>
      </c>
      <c r="I6735" s="688" t="s">
        <v>3675</v>
      </c>
      <c r="J6735" s="1669"/>
      <c r="K6735" s="1668"/>
      <c r="L6735" s="1669"/>
    </row>
    <row r="6736" spans="1:12" s="692" customFormat="1" ht="16.5" hidden="1">
      <c r="A6736" s="1665"/>
      <c r="B6736" s="1666"/>
      <c r="C6736" s="688"/>
      <c r="D6736" s="1667"/>
      <c r="E6736" s="1671"/>
      <c r="F6736" s="1671"/>
      <c r="G6736" s="1674" t="s">
        <v>928</v>
      </c>
      <c r="H6736" s="1671">
        <f>SUM(H6730:H6735)</f>
        <v>0</v>
      </c>
      <c r="I6736" s="688" t="s">
        <v>3675</v>
      </c>
      <c r="J6736" s="1669" t="e">
        <f>'Lead &amp; ANALYSIS'!L1218</f>
        <v>#REF!</v>
      </c>
      <c r="K6736" s="1668" t="s">
        <v>3706</v>
      </c>
      <c r="L6736" s="1669" t="e">
        <f>ROUND(H6736*J6736,0)</f>
        <v>#REF!</v>
      </c>
    </row>
    <row r="6737" spans="1:12" s="692" customFormat="1" ht="115.5" hidden="1">
      <c r="A6737" s="1665">
        <f>'Lead &amp; ANALYSIS'!A1219</f>
        <v>196</v>
      </c>
      <c r="B6737" s="1666" t="str">
        <f>'Lead &amp; ANALYSIS'!B1219</f>
        <v>Supplying fitting wall panneling made out of alluminium secion B 9835 as horizental and vertical member placed @ 600mm c/c covered with 9mm thick BWR Ply  and 3mm thick ACP (wooden Finish of Timex Bond) &amp; applied with approved jointing materials (Silicon) with cost of all materials labours &amp;T&amp;P etc complete excluding GST</v>
      </c>
      <c r="C6737" s="688"/>
      <c r="D6737" s="1667"/>
      <c r="E6737" s="1671"/>
      <c r="F6737" s="1671"/>
      <c r="G6737" s="1674"/>
      <c r="H6737" s="1671"/>
      <c r="I6737" s="688"/>
      <c r="J6737" s="1669"/>
      <c r="K6737" s="1668"/>
      <c r="L6737" s="1669"/>
    </row>
    <row r="6738" spans="1:12" s="692" customFormat="1" ht="16.5" hidden="1">
      <c r="A6738" s="1665"/>
      <c r="B6738" s="1666"/>
      <c r="C6738" s="688"/>
      <c r="D6738" s="1667"/>
      <c r="E6738" s="1671">
        <v>3.5</v>
      </c>
      <c r="F6738" s="1671">
        <v>4</v>
      </c>
      <c r="G6738" s="1674"/>
      <c r="H6738" s="1671">
        <f t="shared" ref="H6738:H6743" si="1206">ROUND(D6738*E6738*F6738,2)</f>
        <v>0</v>
      </c>
      <c r="I6738" s="688" t="s">
        <v>3675</v>
      </c>
      <c r="J6738" s="1669"/>
      <c r="K6738" s="1668"/>
      <c r="L6738" s="1669"/>
    </row>
    <row r="6739" spans="1:12" s="692" customFormat="1" ht="16.5" hidden="1">
      <c r="A6739" s="1665"/>
      <c r="B6739" s="1666"/>
      <c r="C6739" s="688"/>
      <c r="D6739" s="1667"/>
      <c r="E6739" s="1671">
        <v>3.5</v>
      </c>
      <c r="F6739" s="1671">
        <v>4</v>
      </c>
      <c r="G6739" s="1674"/>
      <c r="H6739" s="1671">
        <f t="shared" si="1206"/>
        <v>0</v>
      </c>
      <c r="I6739" s="688" t="s">
        <v>3675</v>
      </c>
      <c r="J6739" s="1669"/>
      <c r="K6739" s="1668"/>
      <c r="L6739" s="1669"/>
    </row>
    <row r="6740" spans="1:12" s="692" customFormat="1" ht="16.5" hidden="1">
      <c r="A6740" s="1665"/>
      <c r="B6740" s="1666"/>
      <c r="C6740" s="688"/>
      <c r="D6740" s="1667"/>
      <c r="E6740" s="1671">
        <v>3.5</v>
      </c>
      <c r="F6740" s="1671">
        <v>4</v>
      </c>
      <c r="G6740" s="1674"/>
      <c r="H6740" s="1671">
        <f t="shared" si="1206"/>
        <v>0</v>
      </c>
      <c r="I6740" s="688" t="s">
        <v>3675</v>
      </c>
      <c r="J6740" s="1669"/>
      <c r="K6740" s="1668"/>
      <c r="L6740" s="1669"/>
    </row>
    <row r="6741" spans="1:12" s="692" customFormat="1" ht="16.5" hidden="1">
      <c r="A6741" s="1665"/>
      <c r="B6741" s="1666"/>
      <c r="C6741" s="688"/>
      <c r="D6741" s="1667"/>
      <c r="E6741" s="1671">
        <v>3.5</v>
      </c>
      <c r="F6741" s="1671">
        <v>4</v>
      </c>
      <c r="G6741" s="1674"/>
      <c r="H6741" s="1671">
        <f t="shared" si="1206"/>
        <v>0</v>
      </c>
      <c r="I6741" s="688" t="s">
        <v>3675</v>
      </c>
      <c r="J6741" s="1669"/>
      <c r="K6741" s="1668"/>
      <c r="L6741" s="1669"/>
    </row>
    <row r="6742" spans="1:12" s="692" customFormat="1" ht="16.5" hidden="1">
      <c r="A6742" s="1665"/>
      <c r="B6742" s="1666"/>
      <c r="C6742" s="688"/>
      <c r="D6742" s="1667"/>
      <c r="E6742" s="1671">
        <v>3.5</v>
      </c>
      <c r="F6742" s="1671">
        <v>4</v>
      </c>
      <c r="G6742" s="1674"/>
      <c r="H6742" s="1671">
        <f t="shared" si="1206"/>
        <v>0</v>
      </c>
      <c r="I6742" s="688" t="s">
        <v>3675</v>
      </c>
      <c r="J6742" s="1669"/>
      <c r="K6742" s="1668"/>
      <c r="L6742" s="1669"/>
    </row>
    <row r="6743" spans="1:12" s="692" customFormat="1" ht="16.5" hidden="1">
      <c r="A6743" s="1665"/>
      <c r="B6743" s="1666"/>
      <c r="C6743" s="688"/>
      <c r="D6743" s="1667"/>
      <c r="E6743" s="1671">
        <v>3.5</v>
      </c>
      <c r="F6743" s="1671">
        <v>4</v>
      </c>
      <c r="G6743" s="1674"/>
      <c r="H6743" s="1671">
        <f t="shared" si="1206"/>
        <v>0</v>
      </c>
      <c r="I6743" s="688" t="s">
        <v>3675</v>
      </c>
      <c r="J6743" s="1669"/>
      <c r="K6743" s="1668"/>
      <c r="L6743" s="1669"/>
    </row>
    <row r="6744" spans="1:12" s="692" customFormat="1" ht="16.5" hidden="1">
      <c r="A6744" s="1665"/>
      <c r="B6744" s="1666"/>
      <c r="C6744" s="688"/>
      <c r="D6744" s="1667"/>
      <c r="E6744" s="1671"/>
      <c r="F6744" s="1671"/>
      <c r="G6744" s="1674" t="s">
        <v>928</v>
      </c>
      <c r="H6744" s="1671">
        <f>SUM(H6738:H6743)</f>
        <v>0</v>
      </c>
      <c r="I6744" s="688" t="s">
        <v>3675</v>
      </c>
      <c r="J6744" s="1669" t="e">
        <f>'Lead &amp; ANALYSIS'!L1219</f>
        <v>#REF!</v>
      </c>
      <c r="K6744" s="1668" t="s">
        <v>3706</v>
      </c>
      <c r="L6744" s="1669" t="e">
        <f>ROUND(H6744*J6744,0)</f>
        <v>#REF!</v>
      </c>
    </row>
    <row r="6745" spans="1:12" s="692" customFormat="1" ht="57.6" hidden="1" customHeight="1">
      <c r="A6745" s="1665">
        <f>'Lead &amp; ANALYSIS'!A1220</f>
        <v>197</v>
      </c>
      <c r="B6745" s="1666" t="str">
        <f>'Lead &amp; ANALYSIS'!B1220</f>
        <v>Providing and fixing of wall panneling made out of with 9mm thick BWR Ply and pested with 3mm wooden stone &amp; Marble timex brand with cost of all materials labours &amp; T&amp;P etc complete Excluding GST</v>
      </c>
      <c r="C6745" s="688"/>
      <c r="D6745" s="1667"/>
      <c r="E6745" s="1671"/>
      <c r="F6745" s="1671"/>
      <c r="G6745" s="1674"/>
      <c r="H6745" s="1671"/>
      <c r="I6745" s="688"/>
      <c r="J6745" s="1669"/>
      <c r="K6745" s="1668"/>
      <c r="L6745" s="1669"/>
    </row>
    <row r="6746" spans="1:12" s="692" customFormat="1" ht="16.5" hidden="1">
      <c r="A6746" s="1665"/>
      <c r="B6746" s="1666"/>
      <c r="C6746" s="688"/>
      <c r="D6746" s="1667"/>
      <c r="E6746" s="1671">
        <v>3.5</v>
      </c>
      <c r="F6746" s="1671">
        <v>4</v>
      </c>
      <c r="G6746" s="1674"/>
      <c r="H6746" s="1671">
        <f t="shared" ref="H6746:H6751" si="1207">ROUND(D6746*E6746*F6746,2)</f>
        <v>0</v>
      </c>
      <c r="I6746" s="1671" t="s">
        <v>92</v>
      </c>
      <c r="J6746" s="1669"/>
      <c r="K6746" s="1668"/>
      <c r="L6746" s="1669"/>
    </row>
    <row r="6747" spans="1:12" s="692" customFormat="1" ht="16.5" hidden="1">
      <c r="A6747" s="1665"/>
      <c r="B6747" s="1666"/>
      <c r="C6747" s="688"/>
      <c r="D6747" s="1667"/>
      <c r="E6747" s="1671">
        <v>3.5</v>
      </c>
      <c r="F6747" s="1671">
        <v>4</v>
      </c>
      <c r="G6747" s="1674"/>
      <c r="H6747" s="1671">
        <f t="shared" si="1207"/>
        <v>0</v>
      </c>
      <c r="I6747" s="1671" t="s">
        <v>92</v>
      </c>
      <c r="J6747" s="1669"/>
      <c r="K6747" s="1668"/>
      <c r="L6747" s="1669"/>
    </row>
    <row r="6748" spans="1:12" s="692" customFormat="1" ht="16.5" hidden="1">
      <c r="A6748" s="1665"/>
      <c r="B6748" s="1666"/>
      <c r="C6748" s="688"/>
      <c r="D6748" s="1667"/>
      <c r="E6748" s="1671">
        <v>3.5</v>
      </c>
      <c r="F6748" s="1671">
        <v>4</v>
      </c>
      <c r="G6748" s="1674"/>
      <c r="H6748" s="1671">
        <f t="shared" si="1207"/>
        <v>0</v>
      </c>
      <c r="I6748" s="1671" t="s">
        <v>92</v>
      </c>
      <c r="J6748" s="1669"/>
      <c r="K6748" s="1668"/>
      <c r="L6748" s="1669"/>
    </row>
    <row r="6749" spans="1:12" s="692" customFormat="1" ht="16.5" hidden="1">
      <c r="A6749" s="1665"/>
      <c r="B6749" s="1666"/>
      <c r="C6749" s="688"/>
      <c r="D6749" s="1667"/>
      <c r="E6749" s="1671">
        <v>3.5</v>
      </c>
      <c r="F6749" s="1671">
        <v>4</v>
      </c>
      <c r="G6749" s="1674"/>
      <c r="H6749" s="1671">
        <f t="shared" si="1207"/>
        <v>0</v>
      </c>
      <c r="I6749" s="1671" t="s">
        <v>92</v>
      </c>
      <c r="J6749" s="1669"/>
      <c r="K6749" s="1668"/>
      <c r="L6749" s="1669"/>
    </row>
    <row r="6750" spans="1:12" s="692" customFormat="1" ht="16.5" hidden="1">
      <c r="A6750" s="1665"/>
      <c r="B6750" s="1666"/>
      <c r="C6750" s="688"/>
      <c r="D6750" s="1667"/>
      <c r="E6750" s="1671">
        <v>3.5</v>
      </c>
      <c r="F6750" s="1671">
        <v>4</v>
      </c>
      <c r="G6750" s="1674"/>
      <c r="H6750" s="1671">
        <f t="shared" si="1207"/>
        <v>0</v>
      </c>
      <c r="I6750" s="1671" t="s">
        <v>92</v>
      </c>
      <c r="J6750" s="1669"/>
      <c r="K6750" s="1668"/>
      <c r="L6750" s="1669"/>
    </row>
    <row r="6751" spans="1:12" s="692" customFormat="1" ht="16.5" hidden="1">
      <c r="A6751" s="1665"/>
      <c r="B6751" s="1666"/>
      <c r="C6751" s="688"/>
      <c r="D6751" s="1667"/>
      <c r="E6751" s="1671">
        <v>3.5</v>
      </c>
      <c r="F6751" s="1671">
        <v>4</v>
      </c>
      <c r="G6751" s="1674"/>
      <c r="H6751" s="1671">
        <f t="shared" si="1207"/>
        <v>0</v>
      </c>
      <c r="I6751" s="1671" t="s">
        <v>92</v>
      </c>
      <c r="J6751" s="1669"/>
      <c r="K6751" s="1668"/>
      <c r="L6751" s="1669"/>
    </row>
    <row r="6752" spans="1:12" s="692" customFormat="1" ht="16.5" hidden="1">
      <c r="A6752" s="1665"/>
      <c r="B6752" s="1666"/>
      <c r="C6752" s="688"/>
      <c r="D6752" s="1667"/>
      <c r="E6752" s="1671"/>
      <c r="F6752" s="1671"/>
      <c r="G6752" s="1674" t="s">
        <v>928</v>
      </c>
      <c r="H6752" s="1671">
        <f>SUM(H6746:H6751)</f>
        <v>0</v>
      </c>
      <c r="I6752" s="1671" t="s">
        <v>92</v>
      </c>
      <c r="J6752" s="1669" t="e">
        <f>'Lead &amp; ANALYSIS'!L1220</f>
        <v>#REF!</v>
      </c>
      <c r="K6752" s="1668" t="s">
        <v>1514</v>
      </c>
      <c r="L6752" s="1669" t="e">
        <f>ROUND(H6752*J6752,0)</f>
        <v>#REF!</v>
      </c>
    </row>
    <row r="6753" spans="1:12" s="692" customFormat="1" ht="84.6" hidden="1" customHeight="1">
      <c r="A6753" s="1665">
        <f>'Lead &amp; ANALYSIS'!A1221</f>
        <v>198</v>
      </c>
      <c r="B6753" s="1666" t="str">
        <f>'Lead &amp; ANALYSIS'!B1221</f>
        <v>Providing fitting and fixing of 3mm alluminium composite Panneling (ACP) over 9mm thick BWR Ply fixed on alluminium section no 9835 as horizental and vertical members spaced at 2'-0" C to C including materials all labour  T&amp;P etc approved for the work complete in all respect as per direction of Engineer in Charge.</v>
      </c>
      <c r="C6753" s="688"/>
      <c r="D6753" s="1667"/>
      <c r="E6753" s="1671"/>
      <c r="F6753" s="1671"/>
      <c r="G6753" s="1674"/>
      <c r="H6753" s="1671"/>
      <c r="I6753" s="688"/>
      <c r="J6753" s="1669"/>
      <c r="K6753" s="1668"/>
      <c r="L6753" s="1669"/>
    </row>
    <row r="6754" spans="1:12" s="692" customFormat="1" ht="16.5" hidden="1">
      <c r="A6754" s="1665"/>
      <c r="B6754" s="1666"/>
      <c r="C6754" s="688"/>
      <c r="D6754" s="1667"/>
      <c r="E6754" s="1671">
        <v>3.5</v>
      </c>
      <c r="F6754" s="1671">
        <v>4</v>
      </c>
      <c r="G6754" s="1674"/>
      <c r="H6754" s="1671">
        <f t="shared" ref="H6754:H6759" si="1208">ROUND(D6754*E6754*F6754,2)</f>
        <v>0</v>
      </c>
      <c r="I6754" s="688" t="s">
        <v>3675</v>
      </c>
      <c r="J6754" s="1669"/>
      <c r="K6754" s="1668"/>
      <c r="L6754" s="1669"/>
    </row>
    <row r="6755" spans="1:12" s="692" customFormat="1" ht="16.5" hidden="1">
      <c r="A6755" s="1665"/>
      <c r="B6755" s="1666"/>
      <c r="C6755" s="688"/>
      <c r="D6755" s="1667"/>
      <c r="E6755" s="1671">
        <v>3.5</v>
      </c>
      <c r="F6755" s="1671">
        <v>4</v>
      </c>
      <c r="G6755" s="1674"/>
      <c r="H6755" s="1671">
        <f t="shared" si="1208"/>
        <v>0</v>
      </c>
      <c r="I6755" s="688" t="s">
        <v>3675</v>
      </c>
      <c r="J6755" s="1669"/>
      <c r="K6755" s="1668"/>
      <c r="L6755" s="1669"/>
    </row>
    <row r="6756" spans="1:12" s="692" customFormat="1" ht="16.5" hidden="1">
      <c r="A6756" s="1665"/>
      <c r="B6756" s="1666"/>
      <c r="C6756" s="688"/>
      <c r="D6756" s="1667"/>
      <c r="E6756" s="1671">
        <v>3.5</v>
      </c>
      <c r="F6756" s="1671">
        <v>4</v>
      </c>
      <c r="G6756" s="1674"/>
      <c r="H6756" s="1671">
        <f t="shared" si="1208"/>
        <v>0</v>
      </c>
      <c r="I6756" s="688" t="s">
        <v>3675</v>
      </c>
      <c r="J6756" s="1669"/>
      <c r="K6756" s="1668"/>
      <c r="L6756" s="1669"/>
    </row>
    <row r="6757" spans="1:12" s="692" customFormat="1" ht="16.5" hidden="1">
      <c r="A6757" s="1665"/>
      <c r="B6757" s="1666"/>
      <c r="C6757" s="688"/>
      <c r="D6757" s="1667"/>
      <c r="E6757" s="1671">
        <v>3.5</v>
      </c>
      <c r="F6757" s="1671">
        <v>4</v>
      </c>
      <c r="G6757" s="1674"/>
      <c r="H6757" s="1671">
        <f t="shared" si="1208"/>
        <v>0</v>
      </c>
      <c r="I6757" s="688" t="s">
        <v>3675</v>
      </c>
      <c r="J6757" s="1669"/>
      <c r="K6757" s="1668"/>
      <c r="L6757" s="1669"/>
    </row>
    <row r="6758" spans="1:12" s="692" customFormat="1" ht="16.5" hidden="1">
      <c r="A6758" s="1665"/>
      <c r="B6758" s="1666"/>
      <c r="C6758" s="688"/>
      <c r="D6758" s="1667"/>
      <c r="E6758" s="1671">
        <v>3.5</v>
      </c>
      <c r="F6758" s="1671">
        <v>4</v>
      </c>
      <c r="G6758" s="1674"/>
      <c r="H6758" s="1671">
        <f t="shared" si="1208"/>
        <v>0</v>
      </c>
      <c r="I6758" s="688" t="s">
        <v>3675</v>
      </c>
      <c r="J6758" s="1669"/>
      <c r="K6758" s="1668"/>
      <c r="L6758" s="1669"/>
    </row>
    <row r="6759" spans="1:12" s="692" customFormat="1" ht="16.5" hidden="1">
      <c r="A6759" s="1665"/>
      <c r="B6759" s="1666"/>
      <c r="C6759" s="688"/>
      <c r="D6759" s="1667"/>
      <c r="E6759" s="1671">
        <v>3.5</v>
      </c>
      <c r="F6759" s="1671">
        <v>4</v>
      </c>
      <c r="G6759" s="1674"/>
      <c r="H6759" s="1671">
        <f t="shared" si="1208"/>
        <v>0</v>
      </c>
      <c r="I6759" s="688" t="s">
        <v>3675</v>
      </c>
      <c r="J6759" s="1669"/>
      <c r="K6759" s="1668"/>
      <c r="L6759" s="1669"/>
    </row>
    <row r="6760" spans="1:12" s="692" customFormat="1" ht="16.5" hidden="1">
      <c r="A6760" s="1665"/>
      <c r="B6760" s="1666"/>
      <c r="C6760" s="688"/>
      <c r="D6760" s="1667"/>
      <c r="E6760" s="1671"/>
      <c r="F6760" s="1671"/>
      <c r="G6760" s="1674" t="s">
        <v>928</v>
      </c>
      <c r="H6760" s="1671">
        <f>SUM(H6754:H6759)</f>
        <v>0</v>
      </c>
      <c r="I6760" s="688" t="s">
        <v>3675</v>
      </c>
      <c r="J6760" s="1669" t="e">
        <f>'Lead &amp; ANALYSIS'!L1221</f>
        <v>#REF!</v>
      </c>
      <c r="K6760" s="1668" t="s">
        <v>3706</v>
      </c>
      <c r="L6760" s="1669" t="e">
        <f>ROUND(H6760*J6760,0)</f>
        <v>#REF!</v>
      </c>
    </row>
    <row r="6761" spans="1:12" s="692" customFormat="1" ht="58.9" hidden="1" customHeight="1">
      <c r="A6761" s="1665">
        <f>'Lead &amp; ANALYSIS'!A1222</f>
        <v>199</v>
      </c>
      <c r="B6761" s="1666" t="str">
        <f>'Lead &amp; ANALYSIS'!B1222</f>
        <v>Providing fitting and fixing of 3mm ACP on existing Ply board   including all cost of materials all labour  T&amp;P etc approved for the work complete in all respect as per direction of Engineer in Charge.</v>
      </c>
      <c r="C6761" s="688"/>
      <c r="D6761" s="1667"/>
      <c r="E6761" s="1671"/>
      <c r="F6761" s="1671"/>
      <c r="G6761" s="1674"/>
      <c r="H6761" s="1671"/>
      <c r="I6761" s="688"/>
      <c r="J6761" s="1669"/>
      <c r="K6761" s="1668"/>
      <c r="L6761" s="1669"/>
    </row>
    <row r="6762" spans="1:12" s="692" customFormat="1" ht="16.5" hidden="1">
      <c r="A6762" s="1665"/>
      <c r="B6762" s="1666"/>
      <c r="C6762" s="688"/>
      <c r="D6762" s="1667"/>
      <c r="E6762" s="1671">
        <v>3.5</v>
      </c>
      <c r="F6762" s="1671">
        <v>4</v>
      </c>
      <c r="G6762" s="1674"/>
      <c r="H6762" s="1671">
        <f t="shared" ref="H6762:H6767" si="1209">ROUND(D6762*E6762*F6762,2)</f>
        <v>0</v>
      </c>
      <c r="I6762" s="1671" t="s">
        <v>92</v>
      </c>
      <c r="J6762" s="1669"/>
      <c r="K6762" s="1668"/>
      <c r="L6762" s="1669"/>
    </row>
    <row r="6763" spans="1:12" s="692" customFormat="1" ht="16.5" hidden="1">
      <c r="A6763" s="1665"/>
      <c r="B6763" s="1666"/>
      <c r="C6763" s="688"/>
      <c r="D6763" s="1667"/>
      <c r="E6763" s="1671">
        <v>3.5</v>
      </c>
      <c r="F6763" s="1671">
        <v>4</v>
      </c>
      <c r="G6763" s="1674"/>
      <c r="H6763" s="1671">
        <f t="shared" si="1209"/>
        <v>0</v>
      </c>
      <c r="I6763" s="1671" t="s">
        <v>92</v>
      </c>
      <c r="J6763" s="1669"/>
      <c r="K6763" s="1668"/>
      <c r="L6763" s="1669"/>
    </row>
    <row r="6764" spans="1:12" s="692" customFormat="1" ht="16.5" hidden="1">
      <c r="A6764" s="1665"/>
      <c r="B6764" s="1666"/>
      <c r="C6764" s="688"/>
      <c r="D6764" s="1667"/>
      <c r="E6764" s="1671">
        <v>3.5</v>
      </c>
      <c r="F6764" s="1671">
        <v>4</v>
      </c>
      <c r="G6764" s="1674"/>
      <c r="H6764" s="1671">
        <f t="shared" si="1209"/>
        <v>0</v>
      </c>
      <c r="I6764" s="1671" t="s">
        <v>92</v>
      </c>
      <c r="J6764" s="1669"/>
      <c r="K6764" s="1668"/>
      <c r="L6764" s="1669"/>
    </row>
    <row r="6765" spans="1:12" s="692" customFormat="1" ht="16.5" hidden="1">
      <c r="A6765" s="1665"/>
      <c r="B6765" s="1666"/>
      <c r="C6765" s="688"/>
      <c r="D6765" s="1667"/>
      <c r="E6765" s="1671">
        <v>3.5</v>
      </c>
      <c r="F6765" s="1671">
        <v>4</v>
      </c>
      <c r="G6765" s="1674"/>
      <c r="H6765" s="1671">
        <f t="shared" si="1209"/>
        <v>0</v>
      </c>
      <c r="I6765" s="1671" t="s">
        <v>92</v>
      </c>
      <c r="J6765" s="1669"/>
      <c r="K6765" s="1668"/>
      <c r="L6765" s="1669"/>
    </row>
    <row r="6766" spans="1:12" s="692" customFormat="1" ht="16.5" hidden="1">
      <c r="A6766" s="1665"/>
      <c r="B6766" s="1666"/>
      <c r="C6766" s="688"/>
      <c r="D6766" s="1667"/>
      <c r="E6766" s="1671">
        <v>3.5</v>
      </c>
      <c r="F6766" s="1671">
        <v>4</v>
      </c>
      <c r="G6766" s="1674"/>
      <c r="H6766" s="1671">
        <f t="shared" si="1209"/>
        <v>0</v>
      </c>
      <c r="I6766" s="1671" t="s">
        <v>92</v>
      </c>
      <c r="J6766" s="1669"/>
      <c r="K6766" s="1668"/>
      <c r="L6766" s="1669"/>
    </row>
    <row r="6767" spans="1:12" s="692" customFormat="1" ht="16.5" hidden="1">
      <c r="A6767" s="1665"/>
      <c r="B6767" s="1666"/>
      <c r="C6767" s="688"/>
      <c r="D6767" s="1667"/>
      <c r="E6767" s="1671">
        <v>3.5</v>
      </c>
      <c r="F6767" s="1671">
        <v>4</v>
      </c>
      <c r="G6767" s="1674"/>
      <c r="H6767" s="1671">
        <f t="shared" si="1209"/>
        <v>0</v>
      </c>
      <c r="I6767" s="1671" t="s">
        <v>92</v>
      </c>
      <c r="J6767" s="1669"/>
      <c r="K6767" s="1668"/>
      <c r="L6767" s="1669"/>
    </row>
    <row r="6768" spans="1:12" s="692" customFormat="1" ht="16.5" hidden="1">
      <c r="A6768" s="1665"/>
      <c r="B6768" s="1666"/>
      <c r="C6768" s="688"/>
      <c r="D6768" s="1667"/>
      <c r="E6768" s="1671"/>
      <c r="F6768" s="1671"/>
      <c r="G6768" s="1674" t="s">
        <v>928</v>
      </c>
      <c r="H6768" s="1671">
        <f>SUM(H6762:H6767)</f>
        <v>0</v>
      </c>
      <c r="I6768" s="1671" t="s">
        <v>92</v>
      </c>
      <c r="J6768" s="1669" t="e">
        <f>'Lead &amp; ANALYSIS'!L1222</f>
        <v>#REF!</v>
      </c>
      <c r="K6768" s="1668" t="s">
        <v>1514</v>
      </c>
      <c r="L6768" s="1669" t="e">
        <f>ROUND(H6768*J6768,0)</f>
        <v>#REF!</v>
      </c>
    </row>
    <row r="6769" spans="1:12" s="692" customFormat="1" ht="88.15" hidden="1" customHeight="1">
      <c r="A6769" s="1665">
        <f>'Lead &amp; ANALYSIS'!A1223</f>
        <v>200</v>
      </c>
      <c r="B6769" s="1666" t="str">
        <f>'Lead &amp; ANALYSIS'!B1223</f>
        <v>Providing fitting and fixing of 32mm flush door shutter made out of 32mm BWR block board and pested with both side 3mm thick ACP timex bond silver brushed   including all cost of materials all labour  T&amp;P etc approved for the work complete in all respect as per direction of Engineer in Charge.</v>
      </c>
      <c r="C6769" s="688"/>
      <c r="D6769" s="1667"/>
      <c r="E6769" s="1671"/>
      <c r="F6769" s="1671"/>
      <c r="G6769" s="1674"/>
      <c r="H6769" s="1671"/>
      <c r="I6769" s="688"/>
      <c r="J6769" s="1669"/>
      <c r="K6769" s="1668"/>
      <c r="L6769" s="1669"/>
    </row>
    <row r="6770" spans="1:12" s="692" customFormat="1" ht="16.5" hidden="1">
      <c r="A6770" s="1665"/>
      <c r="B6770" s="1666"/>
      <c r="C6770" s="688"/>
      <c r="D6770" s="1667"/>
      <c r="E6770" s="1671">
        <v>3.5</v>
      </c>
      <c r="F6770" s="1671">
        <v>4</v>
      </c>
      <c r="G6770" s="1674"/>
      <c r="H6770" s="1671">
        <f t="shared" ref="H6770:H6775" si="1210">ROUND(D6770*E6770*F6770,2)</f>
        <v>0</v>
      </c>
      <c r="I6770" s="1671" t="s">
        <v>92</v>
      </c>
      <c r="J6770" s="1669"/>
      <c r="K6770" s="1668"/>
      <c r="L6770" s="1669"/>
    </row>
    <row r="6771" spans="1:12" s="692" customFormat="1" ht="16.5" hidden="1">
      <c r="A6771" s="1665"/>
      <c r="B6771" s="1666"/>
      <c r="C6771" s="688"/>
      <c r="D6771" s="1667"/>
      <c r="E6771" s="1671">
        <v>3.5</v>
      </c>
      <c r="F6771" s="1671">
        <v>4</v>
      </c>
      <c r="G6771" s="1674"/>
      <c r="H6771" s="1671">
        <f t="shared" si="1210"/>
        <v>0</v>
      </c>
      <c r="I6771" s="1671" t="s">
        <v>92</v>
      </c>
      <c r="J6771" s="1669"/>
      <c r="K6771" s="1668"/>
      <c r="L6771" s="1669"/>
    </row>
    <row r="6772" spans="1:12" s="692" customFormat="1" ht="16.5" hidden="1">
      <c r="A6772" s="1665"/>
      <c r="B6772" s="1666"/>
      <c r="C6772" s="688"/>
      <c r="D6772" s="1667"/>
      <c r="E6772" s="1671">
        <v>3.5</v>
      </c>
      <c r="F6772" s="1671">
        <v>4</v>
      </c>
      <c r="G6772" s="1674"/>
      <c r="H6772" s="1671">
        <f t="shared" si="1210"/>
        <v>0</v>
      </c>
      <c r="I6772" s="1671" t="s">
        <v>92</v>
      </c>
      <c r="J6772" s="1669"/>
      <c r="K6772" s="1668"/>
      <c r="L6772" s="1669"/>
    </row>
    <row r="6773" spans="1:12" s="692" customFormat="1" ht="16.5" hidden="1">
      <c r="A6773" s="1665"/>
      <c r="B6773" s="1666"/>
      <c r="C6773" s="688"/>
      <c r="D6773" s="1667"/>
      <c r="E6773" s="1671">
        <v>3.5</v>
      </c>
      <c r="F6773" s="1671">
        <v>4</v>
      </c>
      <c r="G6773" s="1674"/>
      <c r="H6773" s="1671">
        <f t="shared" si="1210"/>
        <v>0</v>
      </c>
      <c r="I6773" s="1671" t="s">
        <v>92</v>
      </c>
      <c r="J6773" s="1669"/>
      <c r="K6773" s="1668"/>
      <c r="L6773" s="1669"/>
    </row>
    <row r="6774" spans="1:12" s="692" customFormat="1" ht="16.5" hidden="1">
      <c r="A6774" s="1665"/>
      <c r="B6774" s="1666"/>
      <c r="C6774" s="688"/>
      <c r="D6774" s="1667"/>
      <c r="E6774" s="1671">
        <v>3.5</v>
      </c>
      <c r="F6774" s="1671">
        <v>4</v>
      </c>
      <c r="G6774" s="1674"/>
      <c r="H6774" s="1671">
        <f t="shared" si="1210"/>
        <v>0</v>
      </c>
      <c r="I6774" s="1671" t="s">
        <v>92</v>
      </c>
      <c r="J6774" s="1669"/>
      <c r="K6774" s="1668"/>
      <c r="L6774" s="1669"/>
    </row>
    <row r="6775" spans="1:12" s="692" customFormat="1" ht="16.5" hidden="1">
      <c r="A6775" s="1665"/>
      <c r="B6775" s="1666"/>
      <c r="C6775" s="688"/>
      <c r="D6775" s="1667"/>
      <c r="E6775" s="1671">
        <v>3.5</v>
      </c>
      <c r="F6775" s="1671">
        <v>4</v>
      </c>
      <c r="G6775" s="1674"/>
      <c r="H6775" s="1671">
        <f t="shared" si="1210"/>
        <v>0</v>
      </c>
      <c r="I6775" s="1671" t="s">
        <v>92</v>
      </c>
      <c r="J6775" s="1669"/>
      <c r="K6775" s="1668"/>
      <c r="L6775" s="1669"/>
    </row>
    <row r="6776" spans="1:12" s="692" customFormat="1" ht="16.5" hidden="1">
      <c r="A6776" s="1665"/>
      <c r="B6776" s="1666"/>
      <c r="C6776" s="688"/>
      <c r="D6776" s="1667"/>
      <c r="E6776" s="1671"/>
      <c r="F6776" s="1671"/>
      <c r="G6776" s="1674" t="s">
        <v>928</v>
      </c>
      <c r="H6776" s="1671">
        <f>SUM(H6770:H6775)</f>
        <v>0</v>
      </c>
      <c r="I6776" s="1671" t="s">
        <v>92</v>
      </c>
      <c r="J6776" s="1669" t="e">
        <f>'Lead &amp; ANALYSIS'!L1223</f>
        <v>#REF!</v>
      </c>
      <c r="K6776" s="1668" t="s">
        <v>1514</v>
      </c>
      <c r="L6776" s="1669" t="e">
        <f>ROUND(H6776*J6776,0)</f>
        <v>#REF!</v>
      </c>
    </row>
    <row r="6777" spans="1:12" s="692" customFormat="1" ht="70.150000000000006" hidden="1" customHeight="1">
      <c r="A6777" s="1665">
        <f>'Lead &amp; ANALYSIS'!A1224</f>
        <v>201</v>
      </c>
      <c r="B6777" s="1666" t="str">
        <f>'Lead &amp; ANALYSIS'!B1224</f>
        <v>Providing fitting and fixing of  Polycarbonate multiwall sheet (Clear) with 25mm MS square pipe frame   including all cost of materials all labour  T&amp;P etc approved for the work complete in all respect as per direction of Engineer in Charge.</v>
      </c>
      <c r="C6777" s="688"/>
      <c r="D6777" s="1667"/>
      <c r="E6777" s="1671"/>
      <c r="F6777" s="1671"/>
      <c r="G6777" s="1674"/>
      <c r="H6777" s="1671"/>
      <c r="I6777" s="688"/>
      <c r="J6777" s="1669"/>
      <c r="K6777" s="1668"/>
      <c r="L6777" s="1669"/>
    </row>
    <row r="6778" spans="1:12" s="692" customFormat="1" ht="16.5" hidden="1">
      <c r="A6778" s="1665"/>
      <c r="B6778" s="1666"/>
      <c r="C6778" s="688"/>
      <c r="D6778" s="1667"/>
      <c r="E6778" s="1671">
        <v>3.5</v>
      </c>
      <c r="F6778" s="1671">
        <v>4</v>
      </c>
      <c r="G6778" s="1674"/>
      <c r="H6778" s="1671">
        <f t="shared" ref="H6778:H6783" si="1211">ROUND(D6778*E6778*F6778,2)</f>
        <v>0</v>
      </c>
      <c r="I6778" s="1671" t="s">
        <v>92</v>
      </c>
      <c r="J6778" s="1669"/>
      <c r="K6778" s="1668"/>
      <c r="L6778" s="1669"/>
    </row>
    <row r="6779" spans="1:12" s="692" customFormat="1" ht="16.5" hidden="1">
      <c r="A6779" s="1665"/>
      <c r="B6779" s="1666"/>
      <c r="C6779" s="688"/>
      <c r="D6779" s="1667"/>
      <c r="E6779" s="1671">
        <v>3.5</v>
      </c>
      <c r="F6779" s="1671">
        <v>4</v>
      </c>
      <c r="G6779" s="1674"/>
      <c r="H6779" s="1671">
        <f t="shared" si="1211"/>
        <v>0</v>
      </c>
      <c r="I6779" s="1671" t="s">
        <v>92</v>
      </c>
      <c r="J6779" s="1669"/>
      <c r="K6779" s="1668"/>
      <c r="L6779" s="1669"/>
    </row>
    <row r="6780" spans="1:12" s="692" customFormat="1" ht="16.5" hidden="1">
      <c r="A6780" s="1665"/>
      <c r="B6780" s="1666"/>
      <c r="C6780" s="688"/>
      <c r="D6780" s="1667"/>
      <c r="E6780" s="1671">
        <v>3.5</v>
      </c>
      <c r="F6780" s="1671">
        <v>4</v>
      </c>
      <c r="G6780" s="1674"/>
      <c r="H6780" s="1671">
        <f t="shared" si="1211"/>
        <v>0</v>
      </c>
      <c r="I6780" s="1671" t="s">
        <v>92</v>
      </c>
      <c r="J6780" s="1669"/>
      <c r="K6780" s="1668"/>
      <c r="L6780" s="1669"/>
    </row>
    <row r="6781" spans="1:12" s="692" customFormat="1" ht="16.5" hidden="1">
      <c r="A6781" s="1665"/>
      <c r="B6781" s="1666"/>
      <c r="C6781" s="688"/>
      <c r="D6781" s="1667"/>
      <c r="E6781" s="1671">
        <v>3.5</v>
      </c>
      <c r="F6781" s="1671">
        <v>4</v>
      </c>
      <c r="G6781" s="1674"/>
      <c r="H6781" s="1671">
        <f t="shared" si="1211"/>
        <v>0</v>
      </c>
      <c r="I6781" s="1671" t="s">
        <v>92</v>
      </c>
      <c r="J6781" s="1669"/>
      <c r="K6781" s="1668"/>
      <c r="L6781" s="1669"/>
    </row>
    <row r="6782" spans="1:12" s="692" customFormat="1" ht="16.5" hidden="1">
      <c r="A6782" s="1665"/>
      <c r="B6782" s="1666"/>
      <c r="C6782" s="688"/>
      <c r="D6782" s="1667"/>
      <c r="E6782" s="1671">
        <v>3.5</v>
      </c>
      <c r="F6782" s="1671">
        <v>4</v>
      </c>
      <c r="G6782" s="1674"/>
      <c r="H6782" s="1671">
        <f t="shared" si="1211"/>
        <v>0</v>
      </c>
      <c r="I6782" s="1671" t="s">
        <v>92</v>
      </c>
      <c r="J6782" s="1669"/>
      <c r="K6782" s="1668"/>
      <c r="L6782" s="1669"/>
    </row>
    <row r="6783" spans="1:12" s="692" customFormat="1" ht="16.5" hidden="1">
      <c r="A6783" s="1665"/>
      <c r="B6783" s="1666"/>
      <c r="C6783" s="688"/>
      <c r="D6783" s="1667"/>
      <c r="E6783" s="1671">
        <v>3.5</v>
      </c>
      <c r="F6783" s="1671">
        <v>4</v>
      </c>
      <c r="G6783" s="1674"/>
      <c r="H6783" s="1671">
        <f t="shared" si="1211"/>
        <v>0</v>
      </c>
      <c r="I6783" s="1671" t="s">
        <v>92</v>
      </c>
      <c r="J6783" s="1669"/>
      <c r="K6783" s="1668"/>
      <c r="L6783" s="1669"/>
    </row>
    <row r="6784" spans="1:12" s="692" customFormat="1" ht="16.5" hidden="1">
      <c r="A6784" s="1665"/>
      <c r="B6784" s="1666"/>
      <c r="C6784" s="688"/>
      <c r="D6784" s="1667"/>
      <c r="E6784" s="1671"/>
      <c r="F6784" s="1671"/>
      <c r="G6784" s="1674" t="s">
        <v>928</v>
      </c>
      <c r="H6784" s="1671">
        <f>SUM(H6778:H6783)</f>
        <v>0</v>
      </c>
      <c r="I6784" s="1671" t="s">
        <v>92</v>
      </c>
      <c r="J6784" s="1669" t="e">
        <f>'Lead &amp; ANALYSIS'!L1224</f>
        <v>#REF!</v>
      </c>
      <c r="K6784" s="1668" t="s">
        <v>1514</v>
      </c>
      <c r="L6784" s="1669" t="e">
        <f>ROUND(H6784*J6784,0)</f>
        <v>#REF!</v>
      </c>
    </row>
    <row r="6785" spans="1:12" s="692" customFormat="1" ht="132" hidden="1">
      <c r="A6785" s="1665">
        <f>'Lead &amp; ANALYSIS'!A1225</f>
        <v>202</v>
      </c>
      <c r="B6785" s="1666" t="str">
        <f>'Lead &amp; ANALYSIS'!B1225</f>
        <v>Providing fitting and fixing of  Wall panneling made out of alluminium Section B 9835 as horizental and vertical member places  @ 600mm C/C covered with 19mm thick BWR Ply and 4mm thick Archid American white ceder veneers of white Oak and applied with approved Malamine polish with cost of all materials labour T&amp;P etc complete as per direction of Engineer in Charge.</v>
      </c>
      <c r="C6785" s="688"/>
      <c r="D6785" s="1667"/>
      <c r="E6785" s="1671"/>
      <c r="F6785" s="1671"/>
      <c r="G6785" s="1674"/>
      <c r="H6785" s="1671"/>
      <c r="I6785" s="688"/>
      <c r="J6785" s="1669"/>
      <c r="K6785" s="1668"/>
      <c r="L6785" s="1669"/>
    </row>
    <row r="6786" spans="1:12" s="692" customFormat="1" ht="16.5" hidden="1">
      <c r="A6786" s="1665"/>
      <c r="B6786" s="1666"/>
      <c r="C6786" s="688"/>
      <c r="D6786" s="1667"/>
      <c r="E6786" s="1671">
        <v>3.5</v>
      </c>
      <c r="F6786" s="1671">
        <v>4</v>
      </c>
      <c r="G6786" s="1674"/>
      <c r="H6786" s="1671">
        <f t="shared" ref="H6786:H6791" si="1212">ROUND(D6786*E6786*F6786,2)</f>
        <v>0</v>
      </c>
      <c r="I6786" s="1671" t="s">
        <v>92</v>
      </c>
      <c r="J6786" s="1669"/>
      <c r="K6786" s="1668"/>
      <c r="L6786" s="1669"/>
    </row>
    <row r="6787" spans="1:12" s="692" customFormat="1" ht="16.5" hidden="1">
      <c r="A6787" s="1665"/>
      <c r="B6787" s="1666"/>
      <c r="C6787" s="688"/>
      <c r="D6787" s="1667"/>
      <c r="E6787" s="1671">
        <v>3.5</v>
      </c>
      <c r="F6787" s="1671">
        <v>4</v>
      </c>
      <c r="G6787" s="1674"/>
      <c r="H6787" s="1671">
        <f t="shared" si="1212"/>
        <v>0</v>
      </c>
      <c r="I6787" s="1671" t="s">
        <v>92</v>
      </c>
      <c r="J6787" s="1669"/>
      <c r="K6787" s="1668"/>
      <c r="L6787" s="1669"/>
    </row>
    <row r="6788" spans="1:12" s="692" customFormat="1" ht="16.5" hidden="1">
      <c r="A6788" s="1665"/>
      <c r="B6788" s="1666"/>
      <c r="C6788" s="688"/>
      <c r="D6788" s="1667"/>
      <c r="E6788" s="1671">
        <v>3.5</v>
      </c>
      <c r="F6788" s="1671">
        <v>4</v>
      </c>
      <c r="G6788" s="1674"/>
      <c r="H6788" s="1671">
        <f t="shared" si="1212"/>
        <v>0</v>
      </c>
      <c r="I6788" s="1671" t="s">
        <v>92</v>
      </c>
      <c r="J6788" s="1669"/>
      <c r="K6788" s="1668"/>
      <c r="L6788" s="1669"/>
    </row>
    <row r="6789" spans="1:12" s="692" customFormat="1" ht="16.5" hidden="1">
      <c r="A6789" s="1665"/>
      <c r="B6789" s="1666"/>
      <c r="C6789" s="688"/>
      <c r="D6789" s="1667"/>
      <c r="E6789" s="1671">
        <v>3.5</v>
      </c>
      <c r="F6789" s="1671">
        <v>4</v>
      </c>
      <c r="G6789" s="1674"/>
      <c r="H6789" s="1671">
        <f t="shared" si="1212"/>
        <v>0</v>
      </c>
      <c r="I6789" s="1671" t="s">
        <v>92</v>
      </c>
      <c r="J6789" s="1669"/>
      <c r="K6789" s="1668"/>
      <c r="L6789" s="1669"/>
    </row>
    <row r="6790" spans="1:12" s="692" customFormat="1" ht="16.5" hidden="1">
      <c r="A6790" s="1665"/>
      <c r="B6790" s="1666"/>
      <c r="C6790" s="688"/>
      <c r="D6790" s="1667"/>
      <c r="E6790" s="1671">
        <v>3.5</v>
      </c>
      <c r="F6790" s="1671">
        <v>4</v>
      </c>
      <c r="G6790" s="1674"/>
      <c r="H6790" s="1671">
        <f t="shared" si="1212"/>
        <v>0</v>
      </c>
      <c r="I6790" s="1671" t="s">
        <v>92</v>
      </c>
      <c r="J6790" s="1669"/>
      <c r="K6790" s="1668"/>
      <c r="L6790" s="1669"/>
    </row>
    <row r="6791" spans="1:12" s="692" customFormat="1" ht="16.5" hidden="1">
      <c r="A6791" s="1665"/>
      <c r="B6791" s="1666"/>
      <c r="C6791" s="688"/>
      <c r="D6791" s="1667"/>
      <c r="E6791" s="1671">
        <v>3.5</v>
      </c>
      <c r="F6791" s="1671">
        <v>4</v>
      </c>
      <c r="G6791" s="1674"/>
      <c r="H6791" s="1671">
        <f t="shared" si="1212"/>
        <v>0</v>
      </c>
      <c r="I6791" s="1671" t="s">
        <v>92</v>
      </c>
      <c r="J6791" s="1669"/>
      <c r="K6791" s="1668"/>
      <c r="L6791" s="1669"/>
    </row>
    <row r="6792" spans="1:12" s="692" customFormat="1" ht="16.5" hidden="1">
      <c r="A6792" s="1665"/>
      <c r="B6792" s="1666"/>
      <c r="C6792" s="688"/>
      <c r="D6792" s="1667"/>
      <c r="E6792" s="1671"/>
      <c r="F6792" s="1671"/>
      <c r="G6792" s="1674" t="s">
        <v>928</v>
      </c>
      <c r="H6792" s="1671">
        <f>SUM(H6786:H6791)</f>
        <v>0</v>
      </c>
      <c r="I6792" s="1671" t="s">
        <v>92</v>
      </c>
      <c r="J6792" s="1669" t="e">
        <f>'Lead &amp; ANALYSIS'!L1225</f>
        <v>#REF!</v>
      </c>
      <c r="K6792" s="1668" t="s">
        <v>1514</v>
      </c>
      <c r="L6792" s="1669" t="e">
        <f>ROUND(H6792*J6792,0)</f>
        <v>#REF!</v>
      </c>
    </row>
    <row r="6793" spans="1:12" s="692" customFormat="1" ht="148.5" hidden="1">
      <c r="A6793" s="1665">
        <f>'Lead &amp; ANALYSIS'!A1226</f>
        <v>203</v>
      </c>
      <c r="B6793" s="1666" t="str">
        <f>'Lead &amp; ANALYSIS'!B1226</f>
        <v>Providing fitting and fixing of  Library Computer Table with 19mm BWR Ply Wood and pasted with 1mm thick Micca of approved shade to all exposed sides front with 19mm BWR Ply with Micca both side fitted with trolly for key board and top wall walling with 12mm ply and pasted with micca of approved quality and all partition wall with 12mm white plain glass with 3 side moulding etc complete including GST of all materials. as per direction of Engineer in Charge.</v>
      </c>
      <c r="C6793" s="688"/>
      <c r="D6793" s="1667"/>
      <c r="E6793" s="1671"/>
      <c r="F6793" s="1671"/>
      <c r="G6793" s="1674"/>
      <c r="H6793" s="1671"/>
      <c r="I6793" s="688"/>
      <c r="J6793" s="1669"/>
      <c r="K6793" s="1668"/>
      <c r="L6793" s="1669"/>
    </row>
    <row r="6794" spans="1:12" s="692" customFormat="1" ht="16.5" hidden="1">
      <c r="A6794" s="1665"/>
      <c r="B6794" s="1666"/>
      <c r="C6794" s="688"/>
      <c r="D6794" s="1667"/>
      <c r="E6794" s="1671">
        <v>3.5</v>
      </c>
      <c r="F6794" s="1671">
        <v>4</v>
      </c>
      <c r="G6794" s="1674"/>
      <c r="H6794" s="1671">
        <f t="shared" ref="H6794:H6799" si="1213">ROUND(D6794*E6794*F6794,2)</f>
        <v>0</v>
      </c>
      <c r="I6794" s="1671" t="s">
        <v>92</v>
      </c>
      <c r="J6794" s="1669"/>
      <c r="K6794" s="1668"/>
      <c r="L6794" s="1669"/>
    </row>
    <row r="6795" spans="1:12" s="692" customFormat="1" ht="16.5" hidden="1">
      <c r="A6795" s="1665"/>
      <c r="B6795" s="1666"/>
      <c r="C6795" s="688"/>
      <c r="D6795" s="1667"/>
      <c r="E6795" s="1671">
        <v>3.5</v>
      </c>
      <c r="F6795" s="1671">
        <v>4</v>
      </c>
      <c r="G6795" s="1674"/>
      <c r="H6795" s="1671">
        <f t="shared" si="1213"/>
        <v>0</v>
      </c>
      <c r="I6795" s="1671" t="s">
        <v>92</v>
      </c>
      <c r="J6795" s="1669"/>
      <c r="K6795" s="1668"/>
      <c r="L6795" s="1669"/>
    </row>
    <row r="6796" spans="1:12" s="692" customFormat="1" ht="16.5" hidden="1">
      <c r="A6796" s="1665"/>
      <c r="B6796" s="1666"/>
      <c r="C6796" s="688"/>
      <c r="D6796" s="1667"/>
      <c r="E6796" s="1671">
        <v>3.5</v>
      </c>
      <c r="F6796" s="1671">
        <v>4</v>
      </c>
      <c r="G6796" s="1674"/>
      <c r="H6796" s="1671">
        <f t="shared" si="1213"/>
        <v>0</v>
      </c>
      <c r="I6796" s="1671" t="s">
        <v>92</v>
      </c>
      <c r="J6796" s="1669"/>
      <c r="K6796" s="1668"/>
      <c r="L6796" s="1669"/>
    </row>
    <row r="6797" spans="1:12" s="692" customFormat="1" ht="16.5" hidden="1">
      <c r="A6797" s="1665"/>
      <c r="B6797" s="1666"/>
      <c r="C6797" s="688"/>
      <c r="D6797" s="1667"/>
      <c r="E6797" s="1671">
        <v>3.5</v>
      </c>
      <c r="F6797" s="1671">
        <v>4</v>
      </c>
      <c r="G6797" s="1674"/>
      <c r="H6797" s="1671">
        <f t="shared" si="1213"/>
        <v>0</v>
      </c>
      <c r="I6797" s="1671" t="s">
        <v>92</v>
      </c>
      <c r="J6797" s="1669"/>
      <c r="K6797" s="1668"/>
      <c r="L6797" s="1669"/>
    </row>
    <row r="6798" spans="1:12" s="692" customFormat="1" ht="16.5" hidden="1">
      <c r="A6798" s="1665"/>
      <c r="B6798" s="1666"/>
      <c r="C6798" s="688"/>
      <c r="D6798" s="1667"/>
      <c r="E6798" s="1671">
        <v>3.5</v>
      </c>
      <c r="F6798" s="1671">
        <v>4</v>
      </c>
      <c r="G6798" s="1674"/>
      <c r="H6798" s="1671">
        <f t="shared" si="1213"/>
        <v>0</v>
      </c>
      <c r="I6798" s="1671" t="s">
        <v>92</v>
      </c>
      <c r="J6798" s="1669"/>
      <c r="K6798" s="1668"/>
      <c r="L6798" s="1669"/>
    </row>
    <row r="6799" spans="1:12" s="692" customFormat="1" ht="16.5" hidden="1">
      <c r="A6799" s="1665"/>
      <c r="B6799" s="1666"/>
      <c r="C6799" s="688"/>
      <c r="D6799" s="1667"/>
      <c r="E6799" s="1671">
        <v>3.5</v>
      </c>
      <c r="F6799" s="1671">
        <v>4</v>
      </c>
      <c r="G6799" s="1674"/>
      <c r="H6799" s="1671">
        <f t="shared" si="1213"/>
        <v>0</v>
      </c>
      <c r="I6799" s="1671" t="s">
        <v>92</v>
      </c>
      <c r="J6799" s="1669"/>
      <c r="K6799" s="1668"/>
      <c r="L6799" s="1669"/>
    </row>
    <row r="6800" spans="1:12" s="692" customFormat="1" ht="16.5" hidden="1">
      <c r="A6800" s="1665"/>
      <c r="B6800" s="1666"/>
      <c r="C6800" s="688"/>
      <c r="D6800" s="1667"/>
      <c r="E6800" s="1671"/>
      <c r="F6800" s="1671"/>
      <c r="G6800" s="1674" t="s">
        <v>928</v>
      </c>
      <c r="H6800" s="1671">
        <f>SUM(H6794:H6799)</f>
        <v>0</v>
      </c>
      <c r="I6800" s="1671" t="s">
        <v>92</v>
      </c>
      <c r="J6800" s="1669" t="e">
        <f>'Lead &amp; ANALYSIS'!L1226</f>
        <v>#REF!</v>
      </c>
      <c r="K6800" s="1668" t="s">
        <v>1514</v>
      </c>
      <c r="L6800" s="1669" t="e">
        <f>ROUND(H6800*J6800,0)</f>
        <v>#REF!</v>
      </c>
    </row>
    <row r="6801" spans="1:12" s="692" customFormat="1" ht="148.5" hidden="1">
      <c r="A6801" s="1665">
        <f>'Lead &amp; ANALYSIS'!A1227</f>
        <v>204</v>
      </c>
      <c r="B6801" s="1666" t="str">
        <f>'Lead &amp; ANALYSIS'!B1227</f>
        <v>Providing fitting and fixing of  Librarian Table with 19mm BWR Ply Wood and pasted with 1mm thick Micca of approved shade to all exposed sides front with 19mm BWR Ply border with Micca both side with all fittings and fixture of Godrej make with a drawer including cost of materials and labours as approved specification and initiated at site etc completeincluding GST of all Materials. as per direction of Engineer in Charge.</v>
      </c>
      <c r="C6801" s="688"/>
      <c r="D6801" s="1667"/>
      <c r="E6801" s="1671"/>
      <c r="F6801" s="1671"/>
      <c r="G6801" s="1674"/>
      <c r="H6801" s="1671"/>
      <c r="I6801" s="688"/>
      <c r="J6801" s="1669"/>
      <c r="K6801" s="1668"/>
      <c r="L6801" s="1669"/>
    </row>
    <row r="6802" spans="1:12" s="692" customFormat="1" ht="16.5" hidden="1">
      <c r="A6802" s="1665"/>
      <c r="B6802" s="1666"/>
      <c r="C6802" s="688"/>
      <c r="D6802" s="1667"/>
      <c r="E6802" s="1671">
        <v>3.5</v>
      </c>
      <c r="F6802" s="1671">
        <v>4</v>
      </c>
      <c r="G6802" s="1674"/>
      <c r="H6802" s="1671">
        <f t="shared" ref="H6802:H6807" si="1214">ROUND(D6802*E6802*F6802,2)</f>
        <v>0</v>
      </c>
      <c r="I6802" s="1671" t="s">
        <v>92</v>
      </c>
      <c r="J6802" s="1669"/>
      <c r="K6802" s="1668"/>
      <c r="L6802" s="1669"/>
    </row>
    <row r="6803" spans="1:12" s="692" customFormat="1" ht="16.5" hidden="1">
      <c r="A6803" s="1665"/>
      <c r="B6803" s="1666"/>
      <c r="C6803" s="688"/>
      <c r="D6803" s="1667"/>
      <c r="E6803" s="1671">
        <v>3.5</v>
      </c>
      <c r="F6803" s="1671">
        <v>4</v>
      </c>
      <c r="G6803" s="1674"/>
      <c r="H6803" s="1671">
        <f t="shared" si="1214"/>
        <v>0</v>
      </c>
      <c r="I6803" s="1671" t="s">
        <v>92</v>
      </c>
      <c r="J6803" s="1669"/>
      <c r="K6803" s="1668"/>
      <c r="L6803" s="1669"/>
    </row>
    <row r="6804" spans="1:12" s="692" customFormat="1" ht="16.5" hidden="1">
      <c r="A6804" s="1665"/>
      <c r="B6804" s="1666"/>
      <c r="C6804" s="688"/>
      <c r="D6804" s="1667"/>
      <c r="E6804" s="1671">
        <v>3.5</v>
      </c>
      <c r="F6804" s="1671">
        <v>4</v>
      </c>
      <c r="G6804" s="1674"/>
      <c r="H6804" s="1671">
        <f t="shared" si="1214"/>
        <v>0</v>
      </c>
      <c r="I6804" s="1671" t="s">
        <v>92</v>
      </c>
      <c r="J6804" s="1669"/>
      <c r="K6804" s="1668"/>
      <c r="L6804" s="1669"/>
    </row>
    <row r="6805" spans="1:12" s="692" customFormat="1" ht="16.5" hidden="1">
      <c r="A6805" s="1665"/>
      <c r="B6805" s="1666"/>
      <c r="C6805" s="688"/>
      <c r="D6805" s="1667"/>
      <c r="E6805" s="1671">
        <v>3.5</v>
      </c>
      <c r="F6805" s="1671">
        <v>4</v>
      </c>
      <c r="G6805" s="1674"/>
      <c r="H6805" s="1671">
        <f t="shared" si="1214"/>
        <v>0</v>
      </c>
      <c r="I6805" s="1671" t="s">
        <v>92</v>
      </c>
      <c r="J6805" s="1669"/>
      <c r="K6805" s="1668"/>
      <c r="L6805" s="1669"/>
    </row>
    <row r="6806" spans="1:12" s="692" customFormat="1" ht="16.5" hidden="1">
      <c r="A6806" s="1665"/>
      <c r="B6806" s="1666"/>
      <c r="C6806" s="688"/>
      <c r="D6806" s="1667"/>
      <c r="E6806" s="1671">
        <v>3.5</v>
      </c>
      <c r="F6806" s="1671">
        <v>4</v>
      </c>
      <c r="G6806" s="1674"/>
      <c r="H6806" s="1671">
        <f t="shared" si="1214"/>
        <v>0</v>
      </c>
      <c r="I6806" s="1671" t="s">
        <v>92</v>
      </c>
      <c r="J6806" s="1669"/>
      <c r="K6806" s="1668"/>
      <c r="L6806" s="1669"/>
    </row>
    <row r="6807" spans="1:12" s="692" customFormat="1" ht="16.5" hidden="1">
      <c r="A6807" s="1665"/>
      <c r="B6807" s="1666"/>
      <c r="C6807" s="688"/>
      <c r="D6807" s="1667"/>
      <c r="E6807" s="1671">
        <v>3.5</v>
      </c>
      <c r="F6807" s="1671">
        <v>4</v>
      </c>
      <c r="G6807" s="1674"/>
      <c r="H6807" s="1671">
        <f t="shared" si="1214"/>
        <v>0</v>
      </c>
      <c r="I6807" s="1671" t="s">
        <v>92</v>
      </c>
      <c r="J6807" s="1669"/>
      <c r="K6807" s="1668"/>
      <c r="L6807" s="1669"/>
    </row>
    <row r="6808" spans="1:12" s="692" customFormat="1" ht="16.5" hidden="1">
      <c r="A6808" s="1665"/>
      <c r="B6808" s="1666"/>
      <c r="C6808" s="688"/>
      <c r="D6808" s="1667"/>
      <c r="E6808" s="1671"/>
      <c r="F6808" s="1671"/>
      <c r="G6808" s="1674" t="s">
        <v>928</v>
      </c>
      <c r="H6808" s="1671">
        <f>SUM(H6802:H6807)</f>
        <v>0</v>
      </c>
      <c r="I6808" s="1671" t="s">
        <v>92</v>
      </c>
      <c r="J6808" s="1669" t="e">
        <f>'Lead &amp; ANALYSIS'!L1227</f>
        <v>#REF!</v>
      </c>
      <c r="K6808" s="1668" t="s">
        <v>1514</v>
      </c>
      <c r="L6808" s="1669" t="e">
        <f>ROUND(H6808*J6808,0)</f>
        <v>#REF!</v>
      </c>
    </row>
    <row r="6809" spans="1:12" s="692" customFormat="1" ht="132" hidden="1">
      <c r="A6809" s="1665">
        <f>'Lead &amp; ANALYSIS'!A1228</f>
        <v>205</v>
      </c>
      <c r="B6809" s="1666" t="str">
        <f>'Lead &amp; ANALYSIS'!B1228</f>
        <v>Supplying fitting and fixing of  Library open Book Rack with 19mm BWR Ply Wood and pasted with 1mm thick Micca of approved shade to all exposed sides f with all fittings and fixture of Godrej make including cost of all material and labours as approved specification and initiated at site etc complete including GST of all Materials. as per direction of Engineer in Charge.</v>
      </c>
      <c r="C6809" s="688"/>
      <c r="D6809" s="1667"/>
      <c r="E6809" s="1671"/>
      <c r="F6809" s="1671"/>
      <c r="G6809" s="1674"/>
      <c r="H6809" s="1671"/>
      <c r="I6809" s="688"/>
      <c r="J6809" s="1669"/>
      <c r="K6809" s="1668"/>
      <c r="L6809" s="1669"/>
    </row>
    <row r="6810" spans="1:12" s="692" customFormat="1" ht="16.5" hidden="1">
      <c r="A6810" s="1665"/>
      <c r="B6810" s="1666"/>
      <c r="C6810" s="688"/>
      <c r="D6810" s="1667"/>
      <c r="E6810" s="1671">
        <v>3.5</v>
      </c>
      <c r="F6810" s="1671">
        <v>4</v>
      </c>
      <c r="G6810" s="1674"/>
      <c r="H6810" s="1671">
        <f t="shared" ref="H6810:H6815" si="1215">ROUND(D6810*E6810*F6810,2)</f>
        <v>0</v>
      </c>
      <c r="I6810" s="1671" t="s">
        <v>92</v>
      </c>
      <c r="J6810" s="1669"/>
      <c r="K6810" s="1668"/>
      <c r="L6810" s="1669"/>
    </row>
    <row r="6811" spans="1:12" s="692" customFormat="1" ht="16.5" hidden="1">
      <c r="A6811" s="1665"/>
      <c r="B6811" s="1666"/>
      <c r="C6811" s="688"/>
      <c r="D6811" s="1667"/>
      <c r="E6811" s="1671">
        <v>3.5</v>
      </c>
      <c r="F6811" s="1671">
        <v>4</v>
      </c>
      <c r="G6811" s="1674"/>
      <c r="H6811" s="1671">
        <f t="shared" si="1215"/>
        <v>0</v>
      </c>
      <c r="I6811" s="1671" t="s">
        <v>92</v>
      </c>
      <c r="J6811" s="1669"/>
      <c r="K6811" s="1668"/>
      <c r="L6811" s="1669"/>
    </row>
    <row r="6812" spans="1:12" s="692" customFormat="1" ht="16.5" hidden="1">
      <c r="A6812" s="1665"/>
      <c r="B6812" s="1666"/>
      <c r="C6812" s="688"/>
      <c r="D6812" s="1667"/>
      <c r="E6812" s="1671">
        <v>3.5</v>
      </c>
      <c r="F6812" s="1671">
        <v>4</v>
      </c>
      <c r="G6812" s="1674"/>
      <c r="H6812" s="1671">
        <f t="shared" si="1215"/>
        <v>0</v>
      </c>
      <c r="I6812" s="1671" t="s">
        <v>92</v>
      </c>
      <c r="J6812" s="1669"/>
      <c r="K6812" s="1668"/>
      <c r="L6812" s="1669"/>
    </row>
    <row r="6813" spans="1:12" s="692" customFormat="1" ht="16.5" hidden="1">
      <c r="A6813" s="1665"/>
      <c r="B6813" s="1666"/>
      <c r="C6813" s="688"/>
      <c r="D6813" s="1667"/>
      <c r="E6813" s="1671">
        <v>3.5</v>
      </c>
      <c r="F6813" s="1671">
        <v>4</v>
      </c>
      <c r="G6813" s="1674"/>
      <c r="H6813" s="1671">
        <f t="shared" si="1215"/>
        <v>0</v>
      </c>
      <c r="I6813" s="1671" t="s">
        <v>92</v>
      </c>
      <c r="J6813" s="1669"/>
      <c r="K6813" s="1668"/>
      <c r="L6813" s="1669"/>
    </row>
    <row r="6814" spans="1:12" s="692" customFormat="1" ht="16.5" hidden="1">
      <c r="A6814" s="1665"/>
      <c r="B6814" s="1666"/>
      <c r="C6814" s="688"/>
      <c r="D6814" s="1667"/>
      <c r="E6814" s="1671">
        <v>3.5</v>
      </c>
      <c r="F6814" s="1671">
        <v>4</v>
      </c>
      <c r="G6814" s="1674"/>
      <c r="H6814" s="1671">
        <f t="shared" si="1215"/>
        <v>0</v>
      </c>
      <c r="I6814" s="1671" t="s">
        <v>92</v>
      </c>
      <c r="J6814" s="1669"/>
      <c r="K6814" s="1668"/>
      <c r="L6814" s="1669"/>
    </row>
    <row r="6815" spans="1:12" s="692" customFormat="1" ht="16.5" hidden="1">
      <c r="A6815" s="1665"/>
      <c r="B6815" s="1666"/>
      <c r="C6815" s="688"/>
      <c r="D6815" s="1667"/>
      <c r="E6815" s="1671">
        <v>3.5</v>
      </c>
      <c r="F6815" s="1671">
        <v>4</v>
      </c>
      <c r="G6815" s="1674"/>
      <c r="H6815" s="1671">
        <f t="shared" si="1215"/>
        <v>0</v>
      </c>
      <c r="I6815" s="1671" t="s">
        <v>92</v>
      </c>
      <c r="J6815" s="1669"/>
      <c r="K6815" s="1668"/>
      <c r="L6815" s="1669"/>
    </row>
    <row r="6816" spans="1:12" s="692" customFormat="1" ht="16.5" hidden="1">
      <c r="A6816" s="1665"/>
      <c r="B6816" s="1666"/>
      <c r="C6816" s="688"/>
      <c r="D6816" s="1667"/>
      <c r="E6816" s="1671"/>
      <c r="F6816" s="1671"/>
      <c r="G6816" s="1674" t="s">
        <v>928</v>
      </c>
      <c r="H6816" s="1671">
        <f>SUM(H6810:H6815)</f>
        <v>0</v>
      </c>
      <c r="I6816" s="1671" t="s">
        <v>92</v>
      </c>
      <c r="J6816" s="1669" t="e">
        <f>'Lead &amp; ANALYSIS'!L1228</f>
        <v>#REF!</v>
      </c>
      <c r="K6816" s="1668" t="s">
        <v>1514</v>
      </c>
      <c r="L6816" s="1669" t="e">
        <f>ROUND(H6816*J6816,0)</f>
        <v>#REF!</v>
      </c>
    </row>
    <row r="6817" spans="1:12" s="692" customFormat="1" ht="132" hidden="1">
      <c r="A6817" s="1665">
        <f>'Lead &amp; ANALYSIS'!A1229</f>
        <v>206</v>
      </c>
      <c r="B6817" s="1666" t="str">
        <f>'Lead &amp; ANALYSIS'!B1229</f>
        <v>Supplying fitting and fixing of  Library open Book Rack-II with 19mm BWR Ply Wood and pasted with 1mm thick Micca of approved shade to all exposed sides f with all fittings and fixture of Godrej make including cost of all material and labours as approved specification and initiated at site etc complete including GST of all Materials. as per direction of Engineer in Charge.</v>
      </c>
      <c r="C6817" s="688"/>
      <c r="D6817" s="1667"/>
      <c r="E6817" s="1671"/>
      <c r="F6817" s="1671"/>
      <c r="G6817" s="1674"/>
      <c r="H6817" s="1671"/>
      <c r="I6817" s="688"/>
      <c r="J6817" s="1669"/>
      <c r="K6817" s="1668"/>
      <c r="L6817" s="1669"/>
    </row>
    <row r="6818" spans="1:12" s="692" customFormat="1" ht="16.5" hidden="1">
      <c r="A6818" s="1665"/>
      <c r="B6818" s="1666"/>
      <c r="C6818" s="688"/>
      <c r="D6818" s="1667"/>
      <c r="E6818" s="1671">
        <v>3.5</v>
      </c>
      <c r="F6818" s="1671">
        <v>4</v>
      </c>
      <c r="G6818" s="1674"/>
      <c r="H6818" s="1671">
        <f t="shared" ref="H6818:H6823" si="1216">ROUND(D6818*E6818*F6818,2)</f>
        <v>0</v>
      </c>
      <c r="I6818" s="1671" t="s">
        <v>92</v>
      </c>
      <c r="J6818" s="1669"/>
      <c r="K6818" s="1668"/>
      <c r="L6818" s="1669"/>
    </row>
    <row r="6819" spans="1:12" s="692" customFormat="1" ht="16.5" hidden="1">
      <c r="A6819" s="1665"/>
      <c r="B6819" s="1666"/>
      <c r="C6819" s="688"/>
      <c r="D6819" s="1667"/>
      <c r="E6819" s="1671">
        <v>3.5</v>
      </c>
      <c r="F6819" s="1671">
        <v>4</v>
      </c>
      <c r="G6819" s="1674"/>
      <c r="H6819" s="1671">
        <f t="shared" si="1216"/>
        <v>0</v>
      </c>
      <c r="I6819" s="1671" t="s">
        <v>92</v>
      </c>
      <c r="J6819" s="1669"/>
      <c r="K6819" s="1668"/>
      <c r="L6819" s="1669"/>
    </row>
    <row r="6820" spans="1:12" s="692" customFormat="1" ht="16.5" hidden="1">
      <c r="A6820" s="1665"/>
      <c r="B6820" s="1666"/>
      <c r="C6820" s="688"/>
      <c r="D6820" s="1667"/>
      <c r="E6820" s="1671">
        <v>3.5</v>
      </c>
      <c r="F6820" s="1671">
        <v>4</v>
      </c>
      <c r="G6820" s="1674"/>
      <c r="H6820" s="1671">
        <f t="shared" si="1216"/>
        <v>0</v>
      </c>
      <c r="I6820" s="1671" t="s">
        <v>92</v>
      </c>
      <c r="J6820" s="1669"/>
      <c r="K6820" s="1668"/>
      <c r="L6820" s="1669"/>
    </row>
    <row r="6821" spans="1:12" s="692" customFormat="1" ht="16.5" hidden="1">
      <c r="A6821" s="1665"/>
      <c r="B6821" s="1666"/>
      <c r="C6821" s="688"/>
      <c r="D6821" s="1667"/>
      <c r="E6821" s="1671">
        <v>3.5</v>
      </c>
      <c r="F6821" s="1671">
        <v>4</v>
      </c>
      <c r="G6821" s="1674"/>
      <c r="H6821" s="1671">
        <f t="shared" si="1216"/>
        <v>0</v>
      </c>
      <c r="I6821" s="1671" t="s">
        <v>92</v>
      </c>
      <c r="J6821" s="1669"/>
      <c r="K6821" s="1668"/>
      <c r="L6821" s="1669"/>
    </row>
    <row r="6822" spans="1:12" s="692" customFormat="1" ht="16.5" hidden="1">
      <c r="A6822" s="1665"/>
      <c r="B6822" s="1666"/>
      <c r="C6822" s="688"/>
      <c r="D6822" s="1667"/>
      <c r="E6822" s="1671">
        <v>3.5</v>
      </c>
      <c r="F6822" s="1671">
        <v>4</v>
      </c>
      <c r="G6822" s="1674"/>
      <c r="H6822" s="1671">
        <f t="shared" si="1216"/>
        <v>0</v>
      </c>
      <c r="I6822" s="1671" t="s">
        <v>92</v>
      </c>
      <c r="J6822" s="1669"/>
      <c r="K6822" s="1668"/>
      <c r="L6822" s="1669"/>
    </row>
    <row r="6823" spans="1:12" s="692" customFormat="1" ht="16.5" hidden="1">
      <c r="A6823" s="1665"/>
      <c r="B6823" s="1666"/>
      <c r="C6823" s="688"/>
      <c r="D6823" s="1667"/>
      <c r="E6823" s="1671">
        <v>3.5</v>
      </c>
      <c r="F6823" s="1671">
        <v>4</v>
      </c>
      <c r="G6823" s="1674"/>
      <c r="H6823" s="1671">
        <f t="shared" si="1216"/>
        <v>0</v>
      </c>
      <c r="I6823" s="1671" t="s">
        <v>92</v>
      </c>
      <c r="J6823" s="1669"/>
      <c r="K6823" s="1668"/>
      <c r="L6823" s="1669"/>
    </row>
    <row r="6824" spans="1:12" s="692" customFormat="1" ht="16.5" hidden="1">
      <c r="A6824" s="1665"/>
      <c r="B6824" s="1666"/>
      <c r="C6824" s="688"/>
      <c r="D6824" s="1667"/>
      <c r="E6824" s="1671"/>
      <c r="F6824" s="1671"/>
      <c r="G6824" s="1674" t="s">
        <v>928</v>
      </c>
      <c r="H6824" s="1671">
        <f>SUM(H6818:H6823)</f>
        <v>0</v>
      </c>
      <c r="I6824" s="1671" t="s">
        <v>92</v>
      </c>
      <c r="J6824" s="1669" t="e">
        <f>'Lead &amp; ANALYSIS'!L1229</f>
        <v>#REF!</v>
      </c>
      <c r="K6824" s="1668" t="s">
        <v>1514</v>
      </c>
      <c r="L6824" s="1669" t="e">
        <f>ROUND(H6824*J6824,0)</f>
        <v>#REF!</v>
      </c>
    </row>
    <row r="6825" spans="1:12" s="692" customFormat="1" ht="148.5" hidden="1">
      <c r="A6825" s="1665">
        <f>'Lead &amp; ANALYSIS'!A1230</f>
        <v>207</v>
      </c>
      <c r="B6825" s="1666" t="str">
        <f>'Lead &amp; ANALYSIS'!B1230</f>
        <v>Supplying fitting and fixing of  Center Reading Table for Student  with 19mm BWR Ply Wood and pasted with 1mm thick Micca of approved shade to all exposed sides front with 19mm BWR Ply Border with micca both sides with all fittings and fixture of Godrej make including cost of all material and labours as approved specification and initiated at site etc complete including GST of all Materials. as per direction of Engineer in Charge.</v>
      </c>
      <c r="C6825" s="688"/>
      <c r="D6825" s="1667"/>
      <c r="E6825" s="1671"/>
      <c r="F6825" s="1671"/>
      <c r="G6825" s="1674"/>
      <c r="H6825" s="1671"/>
      <c r="I6825" s="688"/>
      <c r="J6825" s="1669"/>
      <c r="K6825" s="1668"/>
      <c r="L6825" s="1669"/>
    </row>
    <row r="6826" spans="1:12" s="692" customFormat="1" ht="16.5" hidden="1">
      <c r="A6826" s="1665"/>
      <c r="B6826" s="1666"/>
      <c r="C6826" s="688"/>
      <c r="D6826" s="1667"/>
      <c r="E6826" s="1671">
        <v>3.5</v>
      </c>
      <c r="F6826" s="1671">
        <v>4</v>
      </c>
      <c r="G6826" s="1674"/>
      <c r="H6826" s="1671">
        <f t="shared" ref="H6826:H6831" si="1217">ROUND(D6826*E6826*F6826,2)</f>
        <v>0</v>
      </c>
      <c r="I6826" s="1671" t="s">
        <v>92</v>
      </c>
      <c r="J6826" s="1669"/>
      <c r="K6826" s="1668"/>
      <c r="L6826" s="1669"/>
    </row>
    <row r="6827" spans="1:12" s="692" customFormat="1" ht="16.5" hidden="1">
      <c r="A6827" s="1665"/>
      <c r="B6827" s="1666"/>
      <c r="C6827" s="688"/>
      <c r="D6827" s="1667"/>
      <c r="E6827" s="1671">
        <v>3.5</v>
      </c>
      <c r="F6827" s="1671">
        <v>4</v>
      </c>
      <c r="G6827" s="1674"/>
      <c r="H6827" s="1671">
        <f t="shared" si="1217"/>
        <v>0</v>
      </c>
      <c r="I6827" s="1671" t="s">
        <v>92</v>
      </c>
      <c r="J6827" s="1669"/>
      <c r="K6827" s="1668"/>
      <c r="L6827" s="1669"/>
    </row>
    <row r="6828" spans="1:12" s="692" customFormat="1" ht="16.5" hidden="1">
      <c r="A6828" s="1665"/>
      <c r="B6828" s="1666"/>
      <c r="C6828" s="688"/>
      <c r="D6828" s="1667"/>
      <c r="E6828" s="1671">
        <v>3.5</v>
      </c>
      <c r="F6828" s="1671">
        <v>4</v>
      </c>
      <c r="G6828" s="1674"/>
      <c r="H6828" s="1671">
        <f t="shared" si="1217"/>
        <v>0</v>
      </c>
      <c r="I6828" s="1671" t="s">
        <v>92</v>
      </c>
      <c r="J6828" s="1669"/>
      <c r="K6828" s="1668"/>
      <c r="L6828" s="1669"/>
    </row>
    <row r="6829" spans="1:12" s="692" customFormat="1" ht="16.5" hidden="1">
      <c r="A6829" s="1665"/>
      <c r="B6829" s="1666"/>
      <c r="C6829" s="688"/>
      <c r="D6829" s="1667"/>
      <c r="E6829" s="1671">
        <v>3.5</v>
      </c>
      <c r="F6829" s="1671">
        <v>4</v>
      </c>
      <c r="G6829" s="1674"/>
      <c r="H6829" s="1671">
        <f t="shared" si="1217"/>
        <v>0</v>
      </c>
      <c r="I6829" s="1671" t="s">
        <v>92</v>
      </c>
      <c r="J6829" s="1669"/>
      <c r="K6829" s="1668"/>
      <c r="L6829" s="1669"/>
    </row>
    <row r="6830" spans="1:12" s="692" customFormat="1" ht="16.5" hidden="1">
      <c r="A6830" s="1665"/>
      <c r="B6830" s="1666"/>
      <c r="C6830" s="688"/>
      <c r="D6830" s="1667"/>
      <c r="E6830" s="1671">
        <v>3.5</v>
      </c>
      <c r="F6830" s="1671">
        <v>4</v>
      </c>
      <c r="G6830" s="1674"/>
      <c r="H6830" s="1671">
        <f t="shared" si="1217"/>
        <v>0</v>
      </c>
      <c r="I6830" s="1671" t="s">
        <v>92</v>
      </c>
      <c r="J6830" s="1669"/>
      <c r="K6830" s="1668"/>
      <c r="L6830" s="1669"/>
    </row>
    <row r="6831" spans="1:12" s="692" customFormat="1" ht="16.5" hidden="1">
      <c r="A6831" s="1665"/>
      <c r="B6831" s="1666"/>
      <c r="C6831" s="688"/>
      <c r="D6831" s="1667"/>
      <c r="E6831" s="1671">
        <v>3.5</v>
      </c>
      <c r="F6831" s="1671">
        <v>4</v>
      </c>
      <c r="G6831" s="1674"/>
      <c r="H6831" s="1671">
        <f t="shared" si="1217"/>
        <v>0</v>
      </c>
      <c r="I6831" s="1671" t="s">
        <v>92</v>
      </c>
      <c r="J6831" s="1669"/>
      <c r="K6831" s="1668"/>
      <c r="L6831" s="1669"/>
    </row>
    <row r="6832" spans="1:12" s="692" customFormat="1" ht="16.5" hidden="1">
      <c r="A6832" s="1665"/>
      <c r="B6832" s="1666"/>
      <c r="C6832" s="688"/>
      <c r="D6832" s="1667"/>
      <c r="E6832" s="1671"/>
      <c r="F6832" s="1671"/>
      <c r="G6832" s="1674" t="s">
        <v>928</v>
      </c>
      <c r="H6832" s="1671">
        <f>SUM(H6826:H6831)</f>
        <v>0</v>
      </c>
      <c r="I6832" s="1671" t="s">
        <v>92</v>
      </c>
      <c r="J6832" s="1669" t="e">
        <f>'Lead &amp; ANALYSIS'!L1230</f>
        <v>#REF!</v>
      </c>
      <c r="K6832" s="1668" t="s">
        <v>1514</v>
      </c>
      <c r="L6832" s="1669" t="e">
        <f>ROUND(H6832*J6832,0)</f>
        <v>#REF!</v>
      </c>
    </row>
    <row r="6833" spans="1:12" s="692" customFormat="1" ht="148.5" hidden="1">
      <c r="A6833" s="1665">
        <f>'Lead &amp; ANALYSIS'!A1231</f>
        <v>208</v>
      </c>
      <c r="B6833" s="1666" t="str">
        <f>'Lead &amp; ANALYSIS'!B1231</f>
        <v>Supplying fitting and fixing of  Library Book Shelf with 19mm BWR Ply Wood and pasted with 1mm thick Micca of approved shade to all exposed sides front with 19mm BWR Ply Border with micca both sidesfitted with front doors with 5mm thick white Glass bottom cupboard with dual shutter fitted both side 1mm micca and all accessories of Godrej make including all cost of Material and labour charges etc comple as per specification.</v>
      </c>
      <c r="C6833" s="688"/>
      <c r="D6833" s="1667"/>
      <c r="E6833" s="1671"/>
      <c r="F6833" s="1671"/>
      <c r="G6833" s="1674"/>
      <c r="H6833" s="1671"/>
      <c r="I6833" s="688"/>
      <c r="J6833" s="1669"/>
      <c r="K6833" s="1668"/>
      <c r="L6833" s="1669"/>
    </row>
    <row r="6834" spans="1:12" s="692" customFormat="1" ht="16.5" hidden="1">
      <c r="A6834" s="1665"/>
      <c r="B6834" s="1666"/>
      <c r="C6834" s="688"/>
      <c r="D6834" s="1667"/>
      <c r="E6834" s="1671">
        <v>3.5</v>
      </c>
      <c r="F6834" s="1671">
        <v>4</v>
      </c>
      <c r="G6834" s="1674"/>
      <c r="H6834" s="1671">
        <f t="shared" ref="H6834:H6839" si="1218">ROUND(D6834*E6834*F6834,2)</f>
        <v>0</v>
      </c>
      <c r="I6834" s="1671" t="s">
        <v>92</v>
      </c>
      <c r="J6834" s="1669"/>
      <c r="K6834" s="1668"/>
      <c r="L6834" s="1669"/>
    </row>
    <row r="6835" spans="1:12" s="692" customFormat="1" ht="16.5" hidden="1">
      <c r="A6835" s="1665"/>
      <c r="B6835" s="1666"/>
      <c r="C6835" s="688"/>
      <c r="D6835" s="1667"/>
      <c r="E6835" s="1671">
        <v>3.5</v>
      </c>
      <c r="F6835" s="1671">
        <v>4</v>
      </c>
      <c r="G6835" s="1674"/>
      <c r="H6835" s="1671">
        <f t="shared" si="1218"/>
        <v>0</v>
      </c>
      <c r="I6835" s="1671" t="s">
        <v>92</v>
      </c>
      <c r="J6835" s="1669"/>
      <c r="K6835" s="1668"/>
      <c r="L6835" s="1669"/>
    </row>
    <row r="6836" spans="1:12" s="692" customFormat="1" ht="16.5" hidden="1">
      <c r="A6836" s="1665"/>
      <c r="B6836" s="1666"/>
      <c r="C6836" s="688"/>
      <c r="D6836" s="1667"/>
      <c r="E6836" s="1671">
        <v>3.5</v>
      </c>
      <c r="F6836" s="1671">
        <v>4</v>
      </c>
      <c r="G6836" s="1674"/>
      <c r="H6836" s="1671">
        <f t="shared" si="1218"/>
        <v>0</v>
      </c>
      <c r="I6836" s="1671" t="s">
        <v>92</v>
      </c>
      <c r="J6836" s="1669"/>
      <c r="K6836" s="1668"/>
      <c r="L6836" s="1669"/>
    </row>
    <row r="6837" spans="1:12" s="692" customFormat="1" ht="16.5" hidden="1">
      <c r="A6837" s="1665"/>
      <c r="B6837" s="1666"/>
      <c r="C6837" s="688"/>
      <c r="D6837" s="1667"/>
      <c r="E6837" s="1671">
        <v>3.5</v>
      </c>
      <c r="F6837" s="1671">
        <v>4</v>
      </c>
      <c r="G6837" s="1674"/>
      <c r="H6837" s="1671">
        <f t="shared" si="1218"/>
        <v>0</v>
      </c>
      <c r="I6837" s="1671" t="s">
        <v>92</v>
      </c>
      <c r="J6837" s="1669"/>
      <c r="K6837" s="1668"/>
      <c r="L6837" s="1669"/>
    </row>
    <row r="6838" spans="1:12" s="692" customFormat="1" ht="16.5" hidden="1">
      <c r="A6838" s="1665"/>
      <c r="B6838" s="1666"/>
      <c r="C6838" s="688"/>
      <c r="D6838" s="1667"/>
      <c r="E6838" s="1671">
        <v>3.5</v>
      </c>
      <c r="F6838" s="1671">
        <v>4</v>
      </c>
      <c r="G6838" s="1674"/>
      <c r="H6838" s="1671">
        <f t="shared" si="1218"/>
        <v>0</v>
      </c>
      <c r="I6838" s="1671" t="s">
        <v>92</v>
      </c>
      <c r="J6838" s="1669"/>
      <c r="K6838" s="1668"/>
      <c r="L6838" s="1669"/>
    </row>
    <row r="6839" spans="1:12" s="692" customFormat="1" ht="16.5" hidden="1">
      <c r="A6839" s="1665"/>
      <c r="B6839" s="1666"/>
      <c r="C6839" s="688"/>
      <c r="D6839" s="1667"/>
      <c r="E6839" s="1671">
        <v>3.5</v>
      </c>
      <c r="F6839" s="1671">
        <v>4</v>
      </c>
      <c r="G6839" s="1674"/>
      <c r="H6839" s="1671">
        <f t="shared" si="1218"/>
        <v>0</v>
      </c>
      <c r="I6839" s="1671" t="s">
        <v>92</v>
      </c>
      <c r="J6839" s="1669"/>
      <c r="K6839" s="1668"/>
      <c r="L6839" s="1669"/>
    </row>
    <row r="6840" spans="1:12" s="692" customFormat="1" ht="16.5" hidden="1">
      <c r="A6840" s="1665"/>
      <c r="B6840" s="1666"/>
      <c r="C6840" s="688"/>
      <c r="D6840" s="1667"/>
      <c r="E6840" s="1671"/>
      <c r="F6840" s="1671"/>
      <c r="G6840" s="1674" t="s">
        <v>928</v>
      </c>
      <c r="H6840" s="1671">
        <f>SUM(H6834:H6839)</f>
        <v>0</v>
      </c>
      <c r="I6840" s="1671" t="s">
        <v>92</v>
      </c>
      <c r="J6840" s="1669" t="e">
        <f>'Lead &amp; ANALYSIS'!L1231</f>
        <v>#REF!</v>
      </c>
      <c r="K6840" s="1668" t="s">
        <v>1514</v>
      </c>
      <c r="L6840" s="1669" t="e">
        <f>ROUND(H6840*J6840,0)</f>
        <v>#REF!</v>
      </c>
    </row>
    <row r="6841" spans="1:12" s="692" customFormat="1" ht="132" hidden="1">
      <c r="A6841" s="1665">
        <f>'Lead &amp; ANALYSIS'!A1232</f>
        <v>209</v>
      </c>
      <c r="B6841" s="1666" t="str">
        <f>'Lead &amp; ANALYSIS'!B1232</f>
        <v>Supplying fitting and fixing of  window pannel moddel 1 with 12mm BWR Ply Wood and pasted with 1mm thick Micca of approved shade to all exposed sides  with all fittings and fixture of Godrej make including cost of all material and labours as approved specification and initiated at site etc complete including GST of all Materials. as per direction of Engineer in Charge.</v>
      </c>
      <c r="C6841" s="688"/>
      <c r="D6841" s="1667"/>
      <c r="E6841" s="1671"/>
      <c r="F6841" s="1671"/>
      <c r="G6841" s="1674"/>
      <c r="H6841" s="1671"/>
      <c r="I6841" s="688"/>
      <c r="J6841" s="1669"/>
      <c r="K6841" s="1668"/>
      <c r="L6841" s="1669"/>
    </row>
    <row r="6842" spans="1:12" s="692" customFormat="1" ht="16.5" hidden="1">
      <c r="A6842" s="1665"/>
      <c r="B6842" s="1666"/>
      <c r="C6842" s="688"/>
      <c r="D6842" s="1667"/>
      <c r="E6842" s="1671">
        <v>3.5</v>
      </c>
      <c r="F6842" s="1671">
        <v>4</v>
      </c>
      <c r="G6842" s="1674"/>
      <c r="H6842" s="1671">
        <f t="shared" ref="H6842:H6847" si="1219">ROUND(D6842*E6842*F6842,2)</f>
        <v>0</v>
      </c>
      <c r="I6842" s="688" t="s">
        <v>136</v>
      </c>
      <c r="J6842" s="1669"/>
      <c r="K6842" s="1668"/>
      <c r="L6842" s="1669"/>
    </row>
    <row r="6843" spans="1:12" s="692" customFormat="1" ht="16.5" hidden="1">
      <c r="A6843" s="1665"/>
      <c r="B6843" s="1666"/>
      <c r="C6843" s="688"/>
      <c r="D6843" s="1667"/>
      <c r="E6843" s="1671">
        <v>3.5</v>
      </c>
      <c r="F6843" s="1671">
        <v>4</v>
      </c>
      <c r="G6843" s="1674"/>
      <c r="H6843" s="1671">
        <f t="shared" si="1219"/>
        <v>0</v>
      </c>
      <c r="I6843" s="688" t="s">
        <v>136</v>
      </c>
      <c r="J6843" s="1669"/>
      <c r="K6843" s="1668"/>
      <c r="L6843" s="1669"/>
    </row>
    <row r="6844" spans="1:12" s="692" customFormat="1" ht="16.5" hidden="1">
      <c r="A6844" s="1665"/>
      <c r="B6844" s="1666"/>
      <c r="C6844" s="688"/>
      <c r="D6844" s="1667"/>
      <c r="E6844" s="1671">
        <v>3.5</v>
      </c>
      <c r="F6844" s="1671">
        <v>4</v>
      </c>
      <c r="G6844" s="1674"/>
      <c r="H6844" s="1671">
        <f t="shared" si="1219"/>
        <v>0</v>
      </c>
      <c r="I6844" s="688" t="s">
        <v>136</v>
      </c>
      <c r="J6844" s="1669"/>
      <c r="K6844" s="1668"/>
      <c r="L6844" s="1669"/>
    </row>
    <row r="6845" spans="1:12" s="692" customFormat="1" ht="16.5" hidden="1">
      <c r="A6845" s="1665"/>
      <c r="B6845" s="1666"/>
      <c r="C6845" s="688"/>
      <c r="D6845" s="1667"/>
      <c r="E6845" s="1671">
        <v>3.5</v>
      </c>
      <c r="F6845" s="1671">
        <v>4</v>
      </c>
      <c r="G6845" s="1674"/>
      <c r="H6845" s="1671">
        <f t="shared" si="1219"/>
        <v>0</v>
      </c>
      <c r="I6845" s="688" t="s">
        <v>136</v>
      </c>
      <c r="J6845" s="1669"/>
      <c r="K6845" s="1668"/>
      <c r="L6845" s="1669"/>
    </row>
    <row r="6846" spans="1:12" s="692" customFormat="1" ht="16.5" hidden="1">
      <c r="A6846" s="1665"/>
      <c r="B6846" s="1666"/>
      <c r="C6846" s="688"/>
      <c r="D6846" s="1667"/>
      <c r="E6846" s="1671">
        <v>3.5</v>
      </c>
      <c r="F6846" s="1671">
        <v>4</v>
      </c>
      <c r="G6846" s="1674"/>
      <c r="H6846" s="1671">
        <f t="shared" si="1219"/>
        <v>0</v>
      </c>
      <c r="I6846" s="688" t="s">
        <v>136</v>
      </c>
      <c r="J6846" s="1669"/>
      <c r="K6846" s="1668"/>
      <c r="L6846" s="1669"/>
    </row>
    <row r="6847" spans="1:12" s="692" customFormat="1" ht="16.5" hidden="1">
      <c r="A6847" s="1665"/>
      <c r="B6847" s="1666"/>
      <c r="C6847" s="688"/>
      <c r="D6847" s="1667"/>
      <c r="E6847" s="1671">
        <v>3.5</v>
      </c>
      <c r="F6847" s="1671">
        <v>4</v>
      </c>
      <c r="G6847" s="1674"/>
      <c r="H6847" s="1671">
        <f t="shared" si="1219"/>
        <v>0</v>
      </c>
      <c r="I6847" s="688" t="s">
        <v>136</v>
      </c>
      <c r="J6847" s="1669"/>
      <c r="K6847" s="1668"/>
      <c r="L6847" s="1669"/>
    </row>
    <row r="6848" spans="1:12" s="692" customFormat="1" ht="16.5" hidden="1">
      <c r="A6848" s="1665"/>
      <c r="B6848" s="1666"/>
      <c r="C6848" s="688"/>
      <c r="D6848" s="1667"/>
      <c r="E6848" s="1671"/>
      <c r="F6848" s="1671"/>
      <c r="G6848" s="1674" t="s">
        <v>928</v>
      </c>
      <c r="H6848" s="1671">
        <f>SUM(H6842:H6847)</f>
        <v>0</v>
      </c>
      <c r="I6848" s="688" t="s">
        <v>136</v>
      </c>
      <c r="J6848" s="1669" t="e">
        <f>'Lead &amp; ANALYSIS'!L1232</f>
        <v>#REF!</v>
      </c>
      <c r="K6848" s="1668" t="s">
        <v>1517</v>
      </c>
      <c r="L6848" s="1669" t="e">
        <f>ROUND(H6848*J6848,0)</f>
        <v>#REF!</v>
      </c>
    </row>
    <row r="6849" spans="1:12" s="692" customFormat="1" ht="132" hidden="1">
      <c r="A6849" s="1665">
        <f>'Lead &amp; ANALYSIS'!A1233</f>
        <v>210</v>
      </c>
      <c r="B6849" s="1666" t="str">
        <f>'Lead &amp; ANALYSIS'!B1233</f>
        <v>Supplying fitting and fixing of  window pannel moddel 2 with 12mm BWR Ply Wood and pasted with 1mm thick Micca of approved shade to all exposed sides  with all fittings and fixture of Godrej make including cost of all material and labours as approved specification and initiated at site etc complete including GST of all Materials. as per direction of Engineer in Charge.</v>
      </c>
      <c r="C6849" s="688"/>
      <c r="D6849" s="1667"/>
      <c r="E6849" s="1671"/>
      <c r="F6849" s="1671"/>
      <c r="G6849" s="1674"/>
      <c r="H6849" s="1671"/>
      <c r="I6849" s="688"/>
      <c r="J6849" s="1669"/>
      <c r="K6849" s="1668"/>
      <c r="L6849" s="1669"/>
    </row>
    <row r="6850" spans="1:12" s="692" customFormat="1" ht="16.5" hidden="1">
      <c r="A6850" s="1665"/>
      <c r="B6850" s="1666"/>
      <c r="C6850" s="688"/>
      <c r="D6850" s="1667"/>
      <c r="E6850" s="1671">
        <v>3.5</v>
      </c>
      <c r="F6850" s="1671">
        <v>4</v>
      </c>
      <c r="G6850" s="1674"/>
      <c r="H6850" s="1671">
        <f t="shared" ref="H6850:H6855" si="1220">ROUND(D6850*E6850*F6850,2)</f>
        <v>0</v>
      </c>
      <c r="I6850" s="688" t="s">
        <v>136</v>
      </c>
      <c r="J6850" s="1669"/>
      <c r="K6850" s="1668"/>
      <c r="L6850" s="1669"/>
    </row>
    <row r="6851" spans="1:12" s="692" customFormat="1" ht="16.5" hidden="1">
      <c r="A6851" s="1665"/>
      <c r="B6851" s="1666"/>
      <c r="C6851" s="688"/>
      <c r="D6851" s="1667"/>
      <c r="E6851" s="1671">
        <v>3.5</v>
      </c>
      <c r="F6851" s="1671">
        <v>4</v>
      </c>
      <c r="G6851" s="1674"/>
      <c r="H6851" s="1671">
        <f t="shared" si="1220"/>
        <v>0</v>
      </c>
      <c r="I6851" s="688" t="s">
        <v>136</v>
      </c>
      <c r="J6851" s="1669"/>
      <c r="K6851" s="1668"/>
      <c r="L6851" s="1669"/>
    </row>
    <row r="6852" spans="1:12" s="692" customFormat="1" ht="16.5" hidden="1">
      <c r="A6852" s="1665"/>
      <c r="B6852" s="1666"/>
      <c r="C6852" s="688"/>
      <c r="D6852" s="1667"/>
      <c r="E6852" s="1671">
        <v>3.5</v>
      </c>
      <c r="F6852" s="1671">
        <v>4</v>
      </c>
      <c r="G6852" s="1674"/>
      <c r="H6852" s="1671">
        <f t="shared" si="1220"/>
        <v>0</v>
      </c>
      <c r="I6852" s="688" t="s">
        <v>136</v>
      </c>
      <c r="J6852" s="1669"/>
      <c r="K6852" s="1668"/>
      <c r="L6852" s="1669"/>
    </row>
    <row r="6853" spans="1:12" s="692" customFormat="1" ht="16.5" hidden="1">
      <c r="A6853" s="1665"/>
      <c r="B6853" s="1666"/>
      <c r="C6853" s="688"/>
      <c r="D6853" s="1667"/>
      <c r="E6853" s="1671">
        <v>3.5</v>
      </c>
      <c r="F6853" s="1671">
        <v>4</v>
      </c>
      <c r="G6853" s="1674"/>
      <c r="H6853" s="1671">
        <f t="shared" si="1220"/>
        <v>0</v>
      </c>
      <c r="I6853" s="688" t="s">
        <v>136</v>
      </c>
      <c r="J6853" s="1669"/>
      <c r="K6853" s="1668"/>
      <c r="L6853" s="1669"/>
    </row>
    <row r="6854" spans="1:12" s="692" customFormat="1" ht="16.5" hidden="1">
      <c r="A6854" s="1665"/>
      <c r="B6854" s="1666"/>
      <c r="C6854" s="688"/>
      <c r="D6854" s="1667"/>
      <c r="E6854" s="1671">
        <v>3.5</v>
      </c>
      <c r="F6854" s="1671">
        <v>4</v>
      </c>
      <c r="G6854" s="1674"/>
      <c r="H6854" s="1671">
        <f t="shared" si="1220"/>
        <v>0</v>
      </c>
      <c r="I6854" s="688" t="s">
        <v>136</v>
      </c>
      <c r="J6854" s="1669"/>
      <c r="K6854" s="1668"/>
      <c r="L6854" s="1669"/>
    </row>
    <row r="6855" spans="1:12" s="692" customFormat="1" ht="16.5" hidden="1">
      <c r="A6855" s="1665"/>
      <c r="B6855" s="1666"/>
      <c r="C6855" s="688"/>
      <c r="D6855" s="1667"/>
      <c r="E6855" s="1671">
        <v>3.5</v>
      </c>
      <c r="F6855" s="1671">
        <v>4</v>
      </c>
      <c r="G6855" s="1674"/>
      <c r="H6855" s="1671">
        <f t="shared" si="1220"/>
        <v>0</v>
      </c>
      <c r="I6855" s="688" t="s">
        <v>136</v>
      </c>
      <c r="J6855" s="1669"/>
      <c r="K6855" s="1668"/>
      <c r="L6855" s="1669"/>
    </row>
    <row r="6856" spans="1:12" s="692" customFormat="1" ht="16.5" hidden="1">
      <c r="A6856" s="1665"/>
      <c r="B6856" s="1666"/>
      <c r="C6856" s="688"/>
      <c r="D6856" s="1667"/>
      <c r="E6856" s="1671"/>
      <c r="F6856" s="1671"/>
      <c r="G6856" s="1674" t="s">
        <v>928</v>
      </c>
      <c r="H6856" s="1671">
        <f>SUM(H6850:H6855)</f>
        <v>0</v>
      </c>
      <c r="I6856" s="688" t="s">
        <v>136</v>
      </c>
      <c r="J6856" s="1669" t="e">
        <f>'Lead &amp; ANALYSIS'!L1233</f>
        <v>#REF!</v>
      </c>
      <c r="K6856" s="1668" t="s">
        <v>1517</v>
      </c>
      <c r="L6856" s="1669" t="e">
        <f>ROUND(H6856*J6856,0)</f>
        <v>#REF!</v>
      </c>
    </row>
    <row r="6857" spans="1:12" s="692" customFormat="1" ht="132" hidden="1">
      <c r="A6857" s="1665">
        <f>'Lead &amp; ANALYSIS'!A1234</f>
        <v>211</v>
      </c>
      <c r="B6857" s="1666" t="str">
        <f>'Lead &amp; ANALYSIS'!B1234</f>
        <v>Supplying fitting and fixing of  Door pannel moddel 1 with 12mm BWR Ply Wood and pasted with 1mm thick Micca of approved shade to all exposed sides  with all fittings and fixture of Godrej make including cost of all material and labours as approved specification and initiated at site etc complete including GST of all Materials. as per direction of Engineer in Charge.</v>
      </c>
      <c r="C6857" s="688"/>
      <c r="D6857" s="1667"/>
      <c r="E6857" s="1671"/>
      <c r="F6857" s="1671"/>
      <c r="G6857" s="1674"/>
      <c r="H6857" s="1671"/>
      <c r="I6857" s="688"/>
      <c r="J6857" s="1669"/>
      <c r="K6857" s="1668"/>
      <c r="L6857" s="1669"/>
    </row>
    <row r="6858" spans="1:12" s="692" customFormat="1" ht="16.5" hidden="1">
      <c r="A6858" s="1665"/>
      <c r="B6858" s="1666"/>
      <c r="C6858" s="688"/>
      <c r="D6858" s="1667"/>
      <c r="E6858" s="1671">
        <v>3.5</v>
      </c>
      <c r="F6858" s="1671">
        <v>4</v>
      </c>
      <c r="G6858" s="1674"/>
      <c r="H6858" s="1671">
        <f t="shared" ref="H6858:H6863" si="1221">ROUND(D6858*E6858*F6858,2)</f>
        <v>0</v>
      </c>
      <c r="I6858" s="1671" t="s">
        <v>136</v>
      </c>
      <c r="J6858" s="1669"/>
      <c r="K6858" s="1668"/>
      <c r="L6858" s="1669"/>
    </row>
    <row r="6859" spans="1:12" s="692" customFormat="1" ht="16.5" hidden="1">
      <c r="A6859" s="1665"/>
      <c r="B6859" s="1666"/>
      <c r="C6859" s="688"/>
      <c r="D6859" s="1667"/>
      <c r="E6859" s="1671">
        <v>3.5</v>
      </c>
      <c r="F6859" s="1671">
        <v>4</v>
      </c>
      <c r="G6859" s="1674"/>
      <c r="H6859" s="1671">
        <f t="shared" si="1221"/>
        <v>0</v>
      </c>
      <c r="I6859" s="1671" t="s">
        <v>136</v>
      </c>
      <c r="J6859" s="1669"/>
      <c r="K6859" s="1668"/>
      <c r="L6859" s="1669"/>
    </row>
    <row r="6860" spans="1:12" s="692" customFormat="1" ht="16.5" hidden="1">
      <c r="A6860" s="1665"/>
      <c r="B6860" s="1666"/>
      <c r="C6860" s="688"/>
      <c r="D6860" s="1667"/>
      <c r="E6860" s="1671">
        <v>3.5</v>
      </c>
      <c r="F6860" s="1671">
        <v>4</v>
      </c>
      <c r="G6860" s="1674"/>
      <c r="H6860" s="1671">
        <f t="shared" si="1221"/>
        <v>0</v>
      </c>
      <c r="I6860" s="1671" t="s">
        <v>136</v>
      </c>
      <c r="J6860" s="1669"/>
      <c r="K6860" s="1668"/>
      <c r="L6860" s="1669"/>
    </row>
    <row r="6861" spans="1:12" s="692" customFormat="1" ht="16.5" hidden="1">
      <c r="A6861" s="1665"/>
      <c r="B6861" s="1666"/>
      <c r="C6861" s="688"/>
      <c r="D6861" s="1667"/>
      <c r="E6861" s="1671">
        <v>3.5</v>
      </c>
      <c r="F6861" s="1671">
        <v>4</v>
      </c>
      <c r="G6861" s="1674"/>
      <c r="H6861" s="1671">
        <f t="shared" si="1221"/>
        <v>0</v>
      </c>
      <c r="I6861" s="1671" t="s">
        <v>136</v>
      </c>
      <c r="J6861" s="1669"/>
      <c r="K6861" s="1668"/>
      <c r="L6861" s="1669"/>
    </row>
    <row r="6862" spans="1:12" s="692" customFormat="1" ht="16.5" hidden="1">
      <c r="A6862" s="1665"/>
      <c r="B6862" s="1666"/>
      <c r="C6862" s="688"/>
      <c r="D6862" s="1667"/>
      <c r="E6862" s="1671">
        <v>3.5</v>
      </c>
      <c r="F6862" s="1671">
        <v>4</v>
      </c>
      <c r="G6862" s="1674"/>
      <c r="H6862" s="1671">
        <f t="shared" si="1221"/>
        <v>0</v>
      </c>
      <c r="I6862" s="1671" t="s">
        <v>136</v>
      </c>
      <c r="J6862" s="1669"/>
      <c r="K6862" s="1668"/>
      <c r="L6862" s="1669"/>
    </row>
    <row r="6863" spans="1:12" s="692" customFormat="1" ht="16.5" hidden="1">
      <c r="A6863" s="1665"/>
      <c r="B6863" s="1666"/>
      <c r="C6863" s="688"/>
      <c r="D6863" s="1667"/>
      <c r="E6863" s="1671">
        <v>3.5</v>
      </c>
      <c r="F6863" s="1671">
        <v>4</v>
      </c>
      <c r="G6863" s="1674"/>
      <c r="H6863" s="1671">
        <f t="shared" si="1221"/>
        <v>0</v>
      </c>
      <c r="I6863" s="1671" t="s">
        <v>136</v>
      </c>
      <c r="J6863" s="1669"/>
      <c r="K6863" s="1668"/>
      <c r="L6863" s="1669"/>
    </row>
    <row r="6864" spans="1:12" s="692" customFormat="1" ht="16.5" hidden="1">
      <c r="A6864" s="1665"/>
      <c r="B6864" s="1666"/>
      <c r="C6864" s="688"/>
      <c r="D6864" s="1667"/>
      <c r="E6864" s="1671"/>
      <c r="F6864" s="1671"/>
      <c r="G6864" s="1674" t="s">
        <v>928</v>
      </c>
      <c r="H6864" s="1671">
        <f>SUM(H6858:H6863)</f>
        <v>0</v>
      </c>
      <c r="I6864" s="1671" t="s">
        <v>136</v>
      </c>
      <c r="J6864" s="1669" t="e">
        <f>'Lead &amp; ANALYSIS'!L1234</f>
        <v>#REF!</v>
      </c>
      <c r="K6864" s="1668" t="s">
        <v>1517</v>
      </c>
      <c r="L6864" s="1669" t="e">
        <f>ROUND(H6864*J6864,0)</f>
        <v>#REF!</v>
      </c>
    </row>
    <row r="6865" spans="1:12" s="692" customFormat="1" ht="214.5" hidden="1">
      <c r="A6865" s="1665">
        <f>'Lead &amp; ANALYSIS'!A1235</f>
        <v>212</v>
      </c>
      <c r="B6865" s="1666" t="str">
        <f>'Lead &amp; ANALYSIS'!B1235</f>
        <v>Supplying fitting and fixing of Sc Lab Practical Table with 19mm BWR Ply Wood and pasted with 1mm thick Micca of approved shade to all exposed sides including both side cup board fitted with shorter and top platform pasted with green granite pesting with pidilite past with one side hand wash system with a sink 600mmx450mm long tap with all accessories of water supply system and fitted with a toprack of 10mm ply and 1mm thick micca pasting in all exposed side pasted with pidilight paste on granite base  including all cost of Material and labour charges but excluding cost of watersupply system. etc comple as per specification.</v>
      </c>
      <c r="C6865" s="688"/>
      <c r="D6865" s="1667"/>
      <c r="E6865" s="1671"/>
      <c r="F6865" s="1671"/>
      <c r="G6865" s="1674"/>
      <c r="H6865" s="1671"/>
      <c r="I6865" s="688"/>
      <c r="J6865" s="1669"/>
      <c r="K6865" s="1668"/>
      <c r="L6865" s="1669"/>
    </row>
    <row r="6866" spans="1:12" s="692" customFormat="1" ht="16.5" hidden="1">
      <c r="A6866" s="1665"/>
      <c r="B6866" s="1666"/>
      <c r="C6866" s="688"/>
      <c r="D6866" s="1667"/>
      <c r="E6866" s="1671">
        <v>3.5</v>
      </c>
      <c r="F6866" s="1671">
        <v>4</v>
      </c>
      <c r="G6866" s="1674"/>
      <c r="H6866" s="1671">
        <f t="shared" ref="H6866:H6871" si="1222">ROUND(D6866*E6866*F6866,2)</f>
        <v>0</v>
      </c>
      <c r="I6866" s="1671" t="s">
        <v>92</v>
      </c>
      <c r="J6866" s="1669"/>
      <c r="K6866" s="1668"/>
      <c r="L6866" s="1669"/>
    </row>
    <row r="6867" spans="1:12" s="692" customFormat="1" ht="16.5" hidden="1">
      <c r="A6867" s="1665"/>
      <c r="B6867" s="1666"/>
      <c r="C6867" s="688"/>
      <c r="D6867" s="1667"/>
      <c r="E6867" s="1671">
        <v>3.5</v>
      </c>
      <c r="F6867" s="1671">
        <v>4</v>
      </c>
      <c r="G6867" s="1674"/>
      <c r="H6867" s="1671">
        <f t="shared" si="1222"/>
        <v>0</v>
      </c>
      <c r="I6867" s="1671" t="s">
        <v>92</v>
      </c>
      <c r="J6867" s="1669"/>
      <c r="K6867" s="1668"/>
      <c r="L6867" s="1669"/>
    </row>
    <row r="6868" spans="1:12" s="692" customFormat="1" ht="16.5" hidden="1">
      <c r="A6868" s="1665"/>
      <c r="B6868" s="1666"/>
      <c r="C6868" s="688"/>
      <c r="D6868" s="1667"/>
      <c r="E6868" s="1671">
        <v>3.5</v>
      </c>
      <c r="F6868" s="1671">
        <v>4</v>
      </c>
      <c r="G6868" s="1674"/>
      <c r="H6868" s="1671">
        <f t="shared" si="1222"/>
        <v>0</v>
      </c>
      <c r="I6868" s="1671" t="s">
        <v>92</v>
      </c>
      <c r="J6868" s="1669"/>
      <c r="K6868" s="1668"/>
      <c r="L6868" s="1669"/>
    </row>
    <row r="6869" spans="1:12" s="692" customFormat="1" ht="16.5" hidden="1">
      <c r="A6869" s="1665"/>
      <c r="B6869" s="1666"/>
      <c r="C6869" s="688"/>
      <c r="D6869" s="1667"/>
      <c r="E6869" s="1671">
        <v>3.5</v>
      </c>
      <c r="F6869" s="1671">
        <v>4</v>
      </c>
      <c r="G6869" s="1674"/>
      <c r="H6869" s="1671">
        <f t="shared" si="1222"/>
        <v>0</v>
      </c>
      <c r="I6869" s="1671" t="s">
        <v>92</v>
      </c>
      <c r="J6869" s="1669"/>
      <c r="K6869" s="1668"/>
      <c r="L6869" s="1669"/>
    </row>
    <row r="6870" spans="1:12" s="692" customFormat="1" ht="16.5" hidden="1">
      <c r="A6870" s="1665"/>
      <c r="B6870" s="1666"/>
      <c r="C6870" s="688"/>
      <c r="D6870" s="1667"/>
      <c r="E6870" s="1671">
        <v>3.5</v>
      </c>
      <c r="F6870" s="1671">
        <v>4</v>
      </c>
      <c r="G6870" s="1674"/>
      <c r="H6870" s="1671">
        <f t="shared" si="1222"/>
        <v>0</v>
      </c>
      <c r="I6870" s="1671" t="s">
        <v>92</v>
      </c>
      <c r="J6870" s="1669"/>
      <c r="K6870" s="1668"/>
      <c r="L6870" s="1669"/>
    </row>
    <row r="6871" spans="1:12" s="692" customFormat="1" ht="16.5" hidden="1">
      <c r="A6871" s="1665"/>
      <c r="B6871" s="1666"/>
      <c r="C6871" s="688"/>
      <c r="D6871" s="1667"/>
      <c r="E6871" s="1671">
        <v>3.5</v>
      </c>
      <c r="F6871" s="1671">
        <v>4</v>
      </c>
      <c r="G6871" s="1674"/>
      <c r="H6871" s="1671">
        <f t="shared" si="1222"/>
        <v>0</v>
      </c>
      <c r="I6871" s="1671" t="s">
        <v>92</v>
      </c>
      <c r="J6871" s="1669"/>
      <c r="K6871" s="1668"/>
      <c r="L6871" s="1669"/>
    </row>
    <row r="6872" spans="1:12" s="692" customFormat="1" ht="16.5" hidden="1">
      <c r="A6872" s="1665"/>
      <c r="B6872" s="1666"/>
      <c r="C6872" s="688"/>
      <c r="D6872" s="1667"/>
      <c r="E6872" s="1671"/>
      <c r="F6872" s="1671"/>
      <c r="G6872" s="1674" t="s">
        <v>928</v>
      </c>
      <c r="H6872" s="1671">
        <f>SUM(H6866:H6871)</f>
        <v>0</v>
      </c>
      <c r="I6872" s="1671" t="s">
        <v>92</v>
      </c>
      <c r="J6872" s="1669" t="e">
        <f>'Lead &amp; ANALYSIS'!L1235</f>
        <v>#REF!</v>
      </c>
      <c r="K6872" s="1668" t="s">
        <v>1514</v>
      </c>
      <c r="L6872" s="1669" t="e">
        <f>ROUND(H6872*J6872,0)</f>
        <v>#REF!</v>
      </c>
    </row>
    <row r="6873" spans="1:12" s="692" customFormat="1" ht="132" hidden="1">
      <c r="A6873" s="1665">
        <f>'Lead &amp; ANALYSIS'!A1236</f>
        <v>213</v>
      </c>
      <c r="B6873" s="1666" t="str">
        <f>'Lead &amp; ANALYSIS'!B1236</f>
        <v>Supplying fitting and fixing of  Podium with 19mm BWR Ply Wood and pasted with 1mm thick Micca of approved shade to all exposed sides  front with 19mm BWR Ply Border with micca both sides with all fittings and fixture of Godrej make including cost of all material and labours as approved specification and initiated at site etc complete including GST of all Materials. as per direction of Engineer in Charge.</v>
      </c>
      <c r="C6873" s="688"/>
      <c r="D6873" s="1667"/>
      <c r="E6873" s="1671"/>
      <c r="F6873" s="1671"/>
      <c r="G6873" s="1674"/>
      <c r="H6873" s="1671"/>
      <c r="I6873" s="688"/>
      <c r="J6873" s="1669"/>
      <c r="K6873" s="1668"/>
      <c r="L6873" s="1669"/>
    </row>
    <row r="6874" spans="1:12" s="692" customFormat="1" ht="16.5" hidden="1">
      <c r="A6874" s="1665"/>
      <c r="B6874" s="1666"/>
      <c r="C6874" s="688"/>
      <c r="D6874" s="1667"/>
      <c r="E6874" s="1671">
        <v>0.45</v>
      </c>
      <c r="F6874" s="1682">
        <v>0.375</v>
      </c>
      <c r="G6874" s="1674"/>
      <c r="H6874" s="1671">
        <f t="shared" ref="H6874:H6879" si="1223">ROUND(D6874*E6874*F6874,2)</f>
        <v>0</v>
      </c>
      <c r="I6874" s="1671" t="s">
        <v>92</v>
      </c>
      <c r="J6874" s="1669"/>
      <c r="K6874" s="1668"/>
      <c r="L6874" s="1669"/>
    </row>
    <row r="6875" spans="1:12" s="692" customFormat="1" ht="16.5" hidden="1">
      <c r="A6875" s="1665"/>
      <c r="B6875" s="1666"/>
      <c r="C6875" s="688"/>
      <c r="D6875" s="1667"/>
      <c r="E6875" s="1671">
        <v>3.5</v>
      </c>
      <c r="F6875" s="1671">
        <v>4</v>
      </c>
      <c r="G6875" s="1674"/>
      <c r="H6875" s="1671">
        <f t="shared" si="1223"/>
        <v>0</v>
      </c>
      <c r="I6875" s="1671" t="s">
        <v>92</v>
      </c>
      <c r="J6875" s="1669"/>
      <c r="K6875" s="1668"/>
      <c r="L6875" s="1669"/>
    </row>
    <row r="6876" spans="1:12" s="692" customFormat="1" ht="16.5" hidden="1">
      <c r="A6876" s="1665"/>
      <c r="B6876" s="1666"/>
      <c r="C6876" s="688"/>
      <c r="D6876" s="1667"/>
      <c r="E6876" s="1671">
        <v>3.5</v>
      </c>
      <c r="F6876" s="1671">
        <v>4</v>
      </c>
      <c r="G6876" s="1674"/>
      <c r="H6876" s="1671">
        <f t="shared" si="1223"/>
        <v>0</v>
      </c>
      <c r="I6876" s="1671" t="s">
        <v>92</v>
      </c>
      <c r="J6876" s="1669"/>
      <c r="K6876" s="1668"/>
      <c r="L6876" s="1669"/>
    </row>
    <row r="6877" spans="1:12" s="692" customFormat="1" ht="16.5" hidden="1">
      <c r="A6877" s="1665"/>
      <c r="B6877" s="1666"/>
      <c r="C6877" s="688"/>
      <c r="D6877" s="1667"/>
      <c r="E6877" s="1671">
        <v>3.5</v>
      </c>
      <c r="F6877" s="1671">
        <v>4</v>
      </c>
      <c r="G6877" s="1674"/>
      <c r="H6877" s="1671">
        <f t="shared" si="1223"/>
        <v>0</v>
      </c>
      <c r="I6877" s="1671" t="s">
        <v>92</v>
      </c>
      <c r="J6877" s="1669"/>
      <c r="K6877" s="1668"/>
      <c r="L6877" s="1669"/>
    </row>
    <row r="6878" spans="1:12" s="692" customFormat="1" ht="16.5" hidden="1">
      <c r="A6878" s="1665"/>
      <c r="B6878" s="1666"/>
      <c r="C6878" s="688"/>
      <c r="D6878" s="1667"/>
      <c r="E6878" s="1671">
        <v>3.5</v>
      </c>
      <c r="F6878" s="1671">
        <v>4</v>
      </c>
      <c r="G6878" s="1674"/>
      <c r="H6878" s="1671">
        <f t="shared" si="1223"/>
        <v>0</v>
      </c>
      <c r="I6878" s="1671" t="s">
        <v>92</v>
      </c>
      <c r="J6878" s="1669"/>
      <c r="K6878" s="1668"/>
      <c r="L6878" s="1669"/>
    </row>
    <row r="6879" spans="1:12" s="692" customFormat="1" ht="16.5" hidden="1">
      <c r="A6879" s="1665"/>
      <c r="B6879" s="1666"/>
      <c r="C6879" s="688"/>
      <c r="D6879" s="1667"/>
      <c r="E6879" s="1671">
        <v>3.5</v>
      </c>
      <c r="F6879" s="1671">
        <v>4</v>
      </c>
      <c r="G6879" s="1674"/>
      <c r="H6879" s="1671">
        <f t="shared" si="1223"/>
        <v>0</v>
      </c>
      <c r="I6879" s="1671" t="s">
        <v>92</v>
      </c>
      <c r="J6879" s="1669"/>
      <c r="K6879" s="1668"/>
      <c r="L6879" s="1669"/>
    </row>
    <row r="6880" spans="1:12" s="692" customFormat="1" ht="16.5" hidden="1">
      <c r="A6880" s="1665"/>
      <c r="B6880" s="1666"/>
      <c r="C6880" s="688"/>
      <c r="D6880" s="1667"/>
      <c r="E6880" s="1671"/>
      <c r="F6880" s="1671"/>
      <c r="G6880" s="1674" t="s">
        <v>928</v>
      </c>
      <c r="H6880" s="1671">
        <f>SUM(H6874:H6879)</f>
        <v>0</v>
      </c>
      <c r="I6880" s="1671" t="s">
        <v>92</v>
      </c>
      <c r="J6880" s="1669" t="e">
        <f>'Lead &amp; ANALYSIS'!L1236</f>
        <v>#REF!</v>
      </c>
      <c r="K6880" s="1668" t="s">
        <v>1514</v>
      </c>
      <c r="L6880" s="1669" t="e">
        <f>ROUND(H6880*J6880,0)</f>
        <v>#REF!</v>
      </c>
    </row>
    <row r="6881" spans="1:19" s="692" customFormat="1" ht="198" hidden="1">
      <c r="A6881" s="1665">
        <f>'Lead &amp; ANALYSIS'!A1237</f>
        <v>214</v>
      </c>
      <c r="B6881" s="1666" t="str">
        <f>'Lead &amp; ANALYSIS'!B1237</f>
        <v>Supplying fitting and fixing of Flash Pannel Board Platform with 19mm BWR Ply Wood and pasted with 1mm thick Micca of approved shade to all exposed sides ffont with 19mm BWR Ply with micca both sides fitted with top Platform fitted with full sliding shutter including fitting fixing of two sets of alluminium sliding channel with wheels &amp; pasting the site border with pedilite pest and bottom cup board with dual shutter fitted both side with 1mm thick micca and all accessories of Gorej make including  all cost of Material and labour charges. etc comple as per specification.</v>
      </c>
      <c r="C6881" s="688"/>
      <c r="D6881" s="1667"/>
      <c r="E6881" s="1671"/>
      <c r="F6881" s="1671"/>
      <c r="G6881" s="1674"/>
      <c r="H6881" s="1671"/>
      <c r="I6881" s="688"/>
      <c r="J6881" s="1669"/>
      <c r="K6881" s="1668"/>
      <c r="L6881" s="1669"/>
    </row>
    <row r="6882" spans="1:19" s="692" customFormat="1" ht="16.5" hidden="1">
      <c r="A6882" s="1665"/>
      <c r="B6882" s="1666"/>
      <c r="C6882" s="688"/>
      <c r="D6882" s="1667"/>
      <c r="E6882" s="1671">
        <v>6.1</v>
      </c>
      <c r="F6882" s="1671">
        <v>2.1</v>
      </c>
      <c r="G6882" s="1674"/>
      <c r="H6882" s="1671">
        <f t="shared" ref="H6882:H6887" si="1224">ROUND(D6882*E6882*F6882,2)</f>
        <v>0</v>
      </c>
      <c r="I6882" s="1671" t="s">
        <v>92</v>
      </c>
      <c r="J6882" s="1669"/>
      <c r="K6882" s="1668"/>
      <c r="L6882" s="1669"/>
      <c r="N6882" s="692">
        <v>2</v>
      </c>
      <c r="O6882" s="692">
        <v>27</v>
      </c>
      <c r="P6882" s="692">
        <v>7</v>
      </c>
      <c r="Q6882" s="692">
        <f>N6882*O6882*P6882</f>
        <v>378</v>
      </c>
      <c r="R6882" s="692">
        <v>850</v>
      </c>
      <c r="S6882" s="692">
        <f>Q6882*R6882</f>
        <v>321300</v>
      </c>
    </row>
    <row r="6883" spans="1:19" s="692" customFormat="1" ht="16.5" hidden="1">
      <c r="A6883" s="1665"/>
      <c r="B6883" s="1666"/>
      <c r="C6883" s="688"/>
      <c r="D6883" s="1667"/>
      <c r="E6883" s="1671">
        <v>3.5</v>
      </c>
      <c r="F6883" s="1671">
        <v>4</v>
      </c>
      <c r="G6883" s="1674"/>
      <c r="H6883" s="1671">
        <f t="shared" si="1224"/>
        <v>0</v>
      </c>
      <c r="I6883" s="1671" t="s">
        <v>92</v>
      </c>
      <c r="J6883" s="1669"/>
      <c r="K6883" s="1668"/>
      <c r="L6883" s="1669"/>
    </row>
    <row r="6884" spans="1:19" s="692" customFormat="1" ht="16.5" hidden="1">
      <c r="A6884" s="1665"/>
      <c r="B6884" s="1666"/>
      <c r="C6884" s="688"/>
      <c r="D6884" s="1667"/>
      <c r="E6884" s="1671">
        <v>3.5</v>
      </c>
      <c r="F6884" s="1671">
        <v>4</v>
      </c>
      <c r="G6884" s="1674"/>
      <c r="H6884" s="1671">
        <f t="shared" si="1224"/>
        <v>0</v>
      </c>
      <c r="I6884" s="1671" t="s">
        <v>92</v>
      </c>
      <c r="J6884" s="1669"/>
      <c r="K6884" s="1668"/>
      <c r="L6884" s="1669"/>
    </row>
    <row r="6885" spans="1:19" s="692" customFormat="1" ht="16.5" hidden="1">
      <c r="A6885" s="1665"/>
      <c r="B6885" s="1666"/>
      <c r="C6885" s="688"/>
      <c r="D6885" s="1667"/>
      <c r="E6885" s="1671">
        <v>3.5</v>
      </c>
      <c r="F6885" s="1671">
        <v>4</v>
      </c>
      <c r="G6885" s="1674"/>
      <c r="H6885" s="1671">
        <f t="shared" si="1224"/>
        <v>0</v>
      </c>
      <c r="I6885" s="1671" t="s">
        <v>92</v>
      </c>
      <c r="J6885" s="1669"/>
      <c r="K6885" s="1668"/>
      <c r="L6885" s="1669"/>
    </row>
    <row r="6886" spans="1:19" s="692" customFormat="1" ht="16.5" hidden="1">
      <c r="A6886" s="1665"/>
      <c r="B6886" s="1666"/>
      <c r="C6886" s="688"/>
      <c r="D6886" s="1667"/>
      <c r="E6886" s="1671">
        <v>3.5</v>
      </c>
      <c r="F6886" s="1671">
        <v>4</v>
      </c>
      <c r="G6886" s="1674"/>
      <c r="H6886" s="1671">
        <f t="shared" si="1224"/>
        <v>0</v>
      </c>
      <c r="I6886" s="1671" t="s">
        <v>92</v>
      </c>
      <c r="J6886" s="1669"/>
      <c r="K6886" s="1668"/>
      <c r="L6886" s="1669"/>
    </row>
    <row r="6887" spans="1:19" s="692" customFormat="1" ht="16.5" hidden="1">
      <c r="A6887" s="1665"/>
      <c r="B6887" s="1666"/>
      <c r="C6887" s="688"/>
      <c r="D6887" s="1667"/>
      <c r="E6887" s="1671">
        <v>3.5</v>
      </c>
      <c r="F6887" s="1671">
        <v>4</v>
      </c>
      <c r="G6887" s="1674"/>
      <c r="H6887" s="1671">
        <f t="shared" si="1224"/>
        <v>0</v>
      </c>
      <c r="I6887" s="1671" t="s">
        <v>92</v>
      </c>
      <c r="J6887" s="1669"/>
      <c r="K6887" s="1668"/>
      <c r="L6887" s="1669"/>
    </row>
    <row r="6888" spans="1:19" s="692" customFormat="1" ht="16.5" hidden="1">
      <c r="A6888" s="1665"/>
      <c r="B6888" s="1666"/>
      <c r="C6888" s="688"/>
      <c r="D6888" s="1667"/>
      <c r="E6888" s="1671"/>
      <c r="F6888" s="1671"/>
      <c r="G6888" s="1674" t="s">
        <v>928</v>
      </c>
      <c r="H6888" s="1671">
        <f>SUM(H6882:H6887)</f>
        <v>0</v>
      </c>
      <c r="I6888" s="1671" t="s">
        <v>92</v>
      </c>
      <c r="J6888" s="1669" t="e">
        <f>'Lead &amp; ANALYSIS'!L1237</f>
        <v>#REF!</v>
      </c>
      <c r="K6888" s="1668" t="s">
        <v>1514</v>
      </c>
      <c r="L6888" s="1669" t="e">
        <f>ROUND(H6888*J6888,0)</f>
        <v>#REF!</v>
      </c>
    </row>
    <row r="6889" spans="1:19" s="692" customFormat="1" ht="115.5" hidden="1">
      <c r="A6889" s="1665">
        <f>'Lead &amp; ANALYSIS'!A1238</f>
        <v>215</v>
      </c>
      <c r="B6889" s="1666" t="str">
        <f>'Lead &amp; ANALYSIS'!B1238</f>
        <v>Supplying fitting and fixing of  ICT Activity Soft Board  with 9mm BWR Ply Wood Back Side and site border with 19mm BWR Ply pasted with 1mm thick Micca of approved shade to all exposed sides including fixing of soft board &amp; Valvet cloth including all cost conveyance taxesl and all  labours charges for fitting and fixing etc complete.</v>
      </c>
      <c r="C6889" s="688"/>
      <c r="D6889" s="1667"/>
      <c r="E6889" s="1671"/>
      <c r="F6889" s="1671"/>
      <c r="G6889" s="1674"/>
      <c r="H6889" s="1671"/>
      <c r="I6889" s="688"/>
      <c r="J6889" s="1669"/>
      <c r="K6889" s="1668"/>
      <c r="L6889" s="1669"/>
    </row>
    <row r="6890" spans="1:19" s="692" customFormat="1" ht="16.5" hidden="1">
      <c r="A6890" s="1665"/>
      <c r="B6890" s="1666"/>
      <c r="C6890" s="688"/>
      <c r="D6890" s="1667"/>
      <c r="E6890" s="1671">
        <v>3.5</v>
      </c>
      <c r="F6890" s="1671">
        <v>4</v>
      </c>
      <c r="G6890" s="1674"/>
      <c r="H6890" s="1671">
        <f t="shared" ref="H6890:H6895" si="1225">ROUND(D6890*E6890*F6890,2)</f>
        <v>0</v>
      </c>
      <c r="I6890" s="1671" t="s">
        <v>92</v>
      </c>
      <c r="J6890" s="1669"/>
      <c r="K6890" s="1668"/>
      <c r="L6890" s="1669"/>
    </row>
    <row r="6891" spans="1:19" s="692" customFormat="1" ht="16.5" hidden="1">
      <c r="A6891" s="1665"/>
      <c r="B6891" s="1666"/>
      <c r="C6891" s="688"/>
      <c r="D6891" s="1667"/>
      <c r="E6891" s="1671">
        <v>3.5</v>
      </c>
      <c r="F6891" s="1671">
        <v>4</v>
      </c>
      <c r="G6891" s="1674"/>
      <c r="H6891" s="1671">
        <f t="shared" si="1225"/>
        <v>0</v>
      </c>
      <c r="I6891" s="1671" t="s">
        <v>92</v>
      </c>
      <c r="J6891" s="1669"/>
      <c r="K6891" s="1668"/>
      <c r="L6891" s="1669"/>
    </row>
    <row r="6892" spans="1:19" s="692" customFormat="1" ht="16.5" hidden="1">
      <c r="A6892" s="1665"/>
      <c r="B6892" s="1666"/>
      <c r="C6892" s="688"/>
      <c r="D6892" s="1667"/>
      <c r="E6892" s="1671">
        <v>3.5</v>
      </c>
      <c r="F6892" s="1671">
        <v>4</v>
      </c>
      <c r="G6892" s="1674"/>
      <c r="H6892" s="1671">
        <f t="shared" si="1225"/>
        <v>0</v>
      </c>
      <c r="I6892" s="1671" t="s">
        <v>92</v>
      </c>
      <c r="J6892" s="1669"/>
      <c r="K6892" s="1668"/>
      <c r="L6892" s="1669"/>
    </row>
    <row r="6893" spans="1:19" s="692" customFormat="1" ht="16.5" hidden="1">
      <c r="A6893" s="1665"/>
      <c r="B6893" s="1666"/>
      <c r="C6893" s="688"/>
      <c r="D6893" s="1667"/>
      <c r="E6893" s="1671">
        <v>3.5</v>
      </c>
      <c r="F6893" s="1671">
        <v>4</v>
      </c>
      <c r="G6893" s="1674"/>
      <c r="H6893" s="1671">
        <f t="shared" si="1225"/>
        <v>0</v>
      </c>
      <c r="I6893" s="1671" t="s">
        <v>92</v>
      </c>
      <c r="J6893" s="1669"/>
      <c r="K6893" s="1668"/>
      <c r="L6893" s="1669"/>
    </row>
    <row r="6894" spans="1:19" s="692" customFormat="1" ht="16.5" hidden="1">
      <c r="A6894" s="1665"/>
      <c r="B6894" s="1666"/>
      <c r="C6894" s="688"/>
      <c r="D6894" s="1667"/>
      <c r="E6894" s="1671">
        <v>3.5</v>
      </c>
      <c r="F6894" s="1671">
        <v>4</v>
      </c>
      <c r="G6894" s="1674"/>
      <c r="H6894" s="1671">
        <f t="shared" si="1225"/>
        <v>0</v>
      </c>
      <c r="I6894" s="1671" t="s">
        <v>92</v>
      </c>
      <c r="J6894" s="1669"/>
      <c r="K6894" s="1668"/>
      <c r="L6894" s="1669"/>
    </row>
    <row r="6895" spans="1:19" s="692" customFormat="1" ht="16.5" hidden="1">
      <c r="A6895" s="1665"/>
      <c r="B6895" s="1666"/>
      <c r="C6895" s="688"/>
      <c r="D6895" s="1667"/>
      <c r="E6895" s="1671">
        <v>3.5</v>
      </c>
      <c r="F6895" s="1671">
        <v>4</v>
      </c>
      <c r="G6895" s="1674"/>
      <c r="H6895" s="1671">
        <f t="shared" si="1225"/>
        <v>0</v>
      </c>
      <c r="I6895" s="1671" t="s">
        <v>92</v>
      </c>
      <c r="J6895" s="1669"/>
      <c r="K6895" s="1668"/>
      <c r="L6895" s="1669"/>
    </row>
    <row r="6896" spans="1:19" s="692" customFormat="1" ht="16.5" hidden="1">
      <c r="A6896" s="1665"/>
      <c r="B6896" s="1666"/>
      <c r="C6896" s="688"/>
      <c r="D6896" s="1667"/>
      <c r="E6896" s="1671"/>
      <c r="F6896" s="1671"/>
      <c r="G6896" s="1674" t="s">
        <v>928</v>
      </c>
      <c r="H6896" s="1671">
        <f>SUM(H6890:H6895)</f>
        <v>0</v>
      </c>
      <c r="I6896" s="1671" t="s">
        <v>92</v>
      </c>
      <c r="J6896" s="1669" t="e">
        <f>'Lead &amp; ANALYSIS'!L1238</f>
        <v>#REF!</v>
      </c>
      <c r="K6896" s="1668" t="s">
        <v>1514</v>
      </c>
      <c r="L6896" s="1669" t="e">
        <f>ROUND(H6896*J6896,0)</f>
        <v>#REF!</v>
      </c>
    </row>
    <row r="6897" spans="1:12" s="692" customFormat="1" ht="66" hidden="1">
      <c r="A6897" s="1665">
        <f>'Lead &amp; ANALYSIS'!A1240</f>
        <v>216</v>
      </c>
      <c r="B6897" s="1666" t="str">
        <f>'Lead &amp; ANALYSIS'!B1240</f>
        <v>Making R.C.C. jally as per approved design 2.5 cm to 5.00 cm thick and fixing in cement mortar in position after cutting the grooves, etc. complete including cost of all materials.</v>
      </c>
      <c r="C6897" s="688"/>
      <c r="D6897" s="1667"/>
      <c r="E6897" s="1671">
        <v>3.5</v>
      </c>
      <c r="F6897" s="1671">
        <v>4</v>
      </c>
      <c r="G6897" s="1674"/>
      <c r="H6897" s="1671">
        <f t="shared" ref="H6897" si="1226">ROUND(D6897*E6897*F6897,2)</f>
        <v>0</v>
      </c>
      <c r="I6897" s="688" t="s">
        <v>92</v>
      </c>
      <c r="J6897" s="1673">
        <f>'Lead &amp; ANALYSIS'!L1240</f>
        <v>220</v>
      </c>
      <c r="K6897" s="677"/>
      <c r="L6897" s="1673">
        <f>ROUND(H6897*J6897,0)</f>
        <v>0</v>
      </c>
    </row>
    <row r="6898" spans="1:12" s="692" customFormat="1" ht="66" hidden="1">
      <c r="A6898" s="1665">
        <f>'Lead &amp; ANALYSIS'!A1241</f>
        <v>217</v>
      </c>
      <c r="B6898" s="1666" t="str">
        <f>'Lead &amp; ANALYSIS'!B1241</f>
        <v xml:space="preserve"> Providing and fixing in position 50mm, thick precast cement concere jally (1:2:4) hard granite chips including roughening, cleaning, fixing and finishing in cement mortar (1:3) etc., complete</v>
      </c>
      <c r="C6898" s="688"/>
      <c r="D6898" s="1667"/>
      <c r="E6898" s="1671">
        <v>3.5</v>
      </c>
      <c r="F6898" s="1671">
        <v>4</v>
      </c>
      <c r="G6898" s="1674"/>
      <c r="H6898" s="1671">
        <f t="shared" ref="H6898:H6931" si="1227">ROUND(D6898*E6898*F6898,2)</f>
        <v>0</v>
      </c>
      <c r="I6898" s="688" t="s">
        <v>92</v>
      </c>
      <c r="J6898" s="1673">
        <f>'Lead &amp; ANALYSIS'!L1241</f>
        <v>330</v>
      </c>
      <c r="K6898" s="677"/>
      <c r="L6898" s="1673">
        <f t="shared" ref="L6898:L6930" si="1228">ROUND(H6898*J6898,0)</f>
        <v>0</v>
      </c>
    </row>
    <row r="6899" spans="1:12" s="692" customFormat="1" ht="49.5" hidden="1">
      <c r="A6899" s="1665">
        <f>'Lead &amp; ANALYSIS'!A1242</f>
        <v>218</v>
      </c>
      <c r="B6899" s="1666" t="str">
        <f>'Lead &amp; ANALYSIS'!B1242</f>
        <v>5 c.m. thick R.C.C. shelves (1:2:4) with hard granite chips 12mm size fitted and fixed in position finished smooth complete with all materials.</v>
      </c>
      <c r="C6899" s="688"/>
      <c r="D6899" s="1667"/>
      <c r="E6899" s="1671">
        <v>3.5</v>
      </c>
      <c r="F6899" s="1671">
        <v>4</v>
      </c>
      <c r="G6899" s="1674"/>
      <c r="H6899" s="1671">
        <f t="shared" si="1227"/>
        <v>0</v>
      </c>
      <c r="I6899" s="688" t="s">
        <v>92</v>
      </c>
      <c r="J6899" s="1673">
        <f>'Lead &amp; ANALYSIS'!L1242</f>
        <v>210</v>
      </c>
      <c r="K6899" s="677"/>
      <c r="L6899" s="1673">
        <f t="shared" si="1228"/>
        <v>0</v>
      </c>
    </row>
    <row r="6900" spans="1:12" s="692" customFormat="1" ht="49.5" hidden="1">
      <c r="A6900" s="1665">
        <f>'Lead &amp; ANALYSIS'!A1243</f>
        <v>219</v>
      </c>
      <c r="B6900" s="1666" t="str">
        <f>'Lead &amp; ANALYSIS'!B1243</f>
        <v>R.C.C. boundary stones (1:2:4) with washed shingles or hard stone chips 10cm × 10cm and 1.2M high fitted and fixed complete</v>
      </c>
      <c r="C6900" s="688"/>
      <c r="D6900" s="1667"/>
      <c r="E6900" s="1671">
        <v>3.5</v>
      </c>
      <c r="F6900" s="1671">
        <v>4</v>
      </c>
      <c r="G6900" s="1674"/>
      <c r="H6900" s="1671">
        <f t="shared" si="1227"/>
        <v>0</v>
      </c>
      <c r="I6900" s="688" t="s">
        <v>92</v>
      </c>
      <c r="J6900" s="1673">
        <f>'Lead &amp; ANALYSIS'!L1243</f>
        <v>55</v>
      </c>
      <c r="K6900" s="677"/>
      <c r="L6900" s="1673">
        <f t="shared" si="1228"/>
        <v>0</v>
      </c>
    </row>
    <row r="6901" spans="1:12" s="692" customFormat="1" ht="66" hidden="1">
      <c r="A6901" s="1665">
        <f>'Lead &amp; ANALYSIS'!A1244</f>
        <v>220</v>
      </c>
      <c r="B6901" s="1666" t="str">
        <f>'Lead &amp; ANALYSIS'!B1244</f>
        <v>R.C.C. post (1:2:4) using 12mm size hard granite chips using 75Kgs of steel reinforcement per Cu.M. including cost of all materials and labour fitting and fixing in position etc.</v>
      </c>
      <c r="C6901" s="688"/>
      <c r="D6901" s="1667"/>
      <c r="E6901" s="1671">
        <v>3.5</v>
      </c>
      <c r="F6901" s="1671">
        <v>4</v>
      </c>
      <c r="G6901" s="1674"/>
      <c r="H6901" s="1671">
        <f t="shared" si="1227"/>
        <v>0</v>
      </c>
      <c r="I6901" s="688" t="s">
        <v>92</v>
      </c>
      <c r="J6901" s="1673">
        <f>'Lead &amp; ANALYSIS'!L1244</f>
        <v>4660</v>
      </c>
      <c r="K6901" s="677"/>
      <c r="L6901" s="1673">
        <f t="shared" si="1228"/>
        <v>0</v>
      </c>
    </row>
    <row r="6902" spans="1:12" s="692" customFormat="1" ht="49.5" hidden="1">
      <c r="A6902" s="1665">
        <f>'Lead &amp; ANALYSIS'!A1245</f>
        <v>221</v>
      </c>
      <c r="B6902" s="1666" t="str">
        <f>'Lead &amp; ANALYSIS'!B1245</f>
        <v>Supplying and fixing 15cm dia and 1.00 M. long guard posts of cement concrete (1:2:4) with hard granite chips including cost of all reinforcement.</v>
      </c>
      <c r="C6902" s="688"/>
      <c r="D6902" s="1667"/>
      <c r="E6902" s="1671">
        <v>3.5</v>
      </c>
      <c r="F6902" s="1671">
        <v>4</v>
      </c>
      <c r="G6902" s="1674"/>
      <c r="H6902" s="1671">
        <f t="shared" si="1227"/>
        <v>0</v>
      </c>
      <c r="I6902" s="688" t="s">
        <v>92</v>
      </c>
      <c r="J6902" s="1673">
        <f>'Lead &amp; ANALYSIS'!L1245</f>
        <v>70.5</v>
      </c>
      <c r="K6902" s="677"/>
      <c r="L6902" s="1673">
        <f t="shared" si="1228"/>
        <v>0</v>
      </c>
    </row>
    <row r="6903" spans="1:12" s="692" customFormat="1" ht="33" hidden="1">
      <c r="A6903" s="1665">
        <f>'Lead &amp; ANALYSIS'!A1246</f>
        <v>222</v>
      </c>
      <c r="B6903" s="1666" t="str">
        <f>'Lead &amp; ANALYSIS'!B1246</f>
        <v>Labour for fixing 15 cm dia and 1 m long R.C.C. guard posts in position 45cm below ground level.</v>
      </c>
      <c r="C6903" s="688"/>
      <c r="D6903" s="1667"/>
      <c r="E6903" s="1671">
        <v>3.5</v>
      </c>
      <c r="F6903" s="1671">
        <v>4</v>
      </c>
      <c r="G6903" s="1674"/>
      <c r="H6903" s="1671">
        <f t="shared" si="1227"/>
        <v>0</v>
      </c>
      <c r="I6903" s="688" t="s">
        <v>92</v>
      </c>
      <c r="J6903" s="1673">
        <f>'Lead &amp; ANALYSIS'!L1246</f>
        <v>5.5</v>
      </c>
      <c r="K6903" s="677"/>
      <c r="L6903" s="1673">
        <f t="shared" si="1228"/>
        <v>0</v>
      </c>
    </row>
    <row r="6904" spans="1:12" s="692" customFormat="1" ht="49.5" hidden="1">
      <c r="A6904" s="1665">
        <f>'Lead &amp; ANALYSIS'!A1247</f>
        <v>223</v>
      </c>
      <c r="B6904" s="1666" t="str">
        <f>'Lead &amp; ANALYSIS'!B1247</f>
        <v>RCC Railing (1:2:4) 8cm thick 90cm high with hard granite chips 6mm to 20mm size complete as per approved design.</v>
      </c>
      <c r="C6904" s="688"/>
      <c r="D6904" s="1667"/>
      <c r="E6904" s="1671">
        <v>3.5</v>
      </c>
      <c r="F6904" s="1671">
        <v>4</v>
      </c>
      <c r="G6904" s="1674"/>
      <c r="H6904" s="1671">
        <f t="shared" si="1227"/>
        <v>0</v>
      </c>
      <c r="I6904" s="688" t="s">
        <v>92</v>
      </c>
      <c r="J6904" s="1673">
        <f>'Lead &amp; ANALYSIS'!L1247</f>
        <v>340.2</v>
      </c>
      <c r="K6904" s="677"/>
      <c r="L6904" s="1673">
        <f t="shared" si="1228"/>
        <v>0</v>
      </c>
    </row>
    <row r="6905" spans="1:12" s="692" customFormat="1" ht="49.5" hidden="1">
      <c r="A6905" s="1665">
        <f>'Lead &amp; ANALYSIS'!A1248</f>
        <v>224</v>
      </c>
      <c r="B6905" s="1666" t="str">
        <f>'Lead &amp; ANALYSIS'!B1248</f>
        <v>Providing fitting fixing with sal wood battens 7.5cmx1.2cm with 6mm mesh wire netting or expanded metal including painting etc complete.</v>
      </c>
      <c r="C6905" s="688"/>
      <c r="D6905" s="1667"/>
      <c r="E6905" s="1671">
        <v>3.5</v>
      </c>
      <c r="F6905" s="1671">
        <v>4</v>
      </c>
      <c r="G6905" s="1674"/>
      <c r="H6905" s="1671">
        <f t="shared" si="1227"/>
        <v>0</v>
      </c>
      <c r="I6905" s="688" t="s">
        <v>92</v>
      </c>
      <c r="J6905" s="1673">
        <f>'Lead &amp; ANALYSIS'!L1248</f>
        <v>310</v>
      </c>
      <c r="K6905" s="677"/>
      <c r="L6905" s="1673">
        <f t="shared" si="1228"/>
        <v>0</v>
      </c>
    </row>
    <row r="6906" spans="1:12" s="692" customFormat="1" ht="49.5" hidden="1">
      <c r="A6906" s="1665">
        <f>'Lead &amp; ANALYSIS'!A1249</f>
        <v>225</v>
      </c>
      <c r="B6906" s="1666" t="str">
        <f>'Lead &amp; ANALYSIS'!B1249</f>
        <v>Labour for taking out wooden/steel door frame and refixing the same after necessary repair including making good damages to walls.</v>
      </c>
      <c r="C6906" s="688"/>
      <c r="D6906" s="1667"/>
      <c r="E6906" s="1671">
        <v>3.5</v>
      </c>
      <c r="F6906" s="1671">
        <v>4</v>
      </c>
      <c r="G6906" s="1674"/>
      <c r="H6906" s="1671">
        <f t="shared" si="1227"/>
        <v>0</v>
      </c>
      <c r="I6906" s="688" t="s">
        <v>92</v>
      </c>
      <c r="J6906" s="1673">
        <f>'Lead &amp; ANALYSIS'!L1249</f>
        <v>55.8</v>
      </c>
      <c r="K6906" s="677"/>
      <c r="L6906" s="1673">
        <f t="shared" si="1228"/>
        <v>0</v>
      </c>
    </row>
    <row r="6907" spans="1:12" s="692" customFormat="1" ht="49.5" hidden="1">
      <c r="A6907" s="1665">
        <f>'Lead &amp; ANALYSIS'!A1250</f>
        <v>226</v>
      </c>
      <c r="B6907" s="1666" t="str">
        <f>'Lead &amp; ANALYSIS'!B1250</f>
        <v>Labour for taking out wooden/steel window frame and refixing the same after necessary repair including making good damages to walls.</v>
      </c>
      <c r="C6907" s="688"/>
      <c r="D6907" s="1667"/>
      <c r="E6907" s="1671">
        <v>3.5</v>
      </c>
      <c r="F6907" s="1671">
        <v>4</v>
      </c>
      <c r="G6907" s="1674"/>
      <c r="H6907" s="1671">
        <f t="shared" si="1227"/>
        <v>0</v>
      </c>
      <c r="I6907" s="688" t="s">
        <v>92</v>
      </c>
      <c r="J6907" s="1673">
        <f>'Lead &amp; ANALYSIS'!L1250</f>
        <v>43.1</v>
      </c>
      <c r="K6907" s="677"/>
      <c r="L6907" s="1673">
        <f t="shared" si="1228"/>
        <v>0</v>
      </c>
    </row>
    <row r="6908" spans="1:12" s="692" customFormat="1" ht="49.5" hidden="1">
      <c r="A6908" s="1665">
        <f>'Lead &amp; ANALYSIS'!A1251</f>
        <v>227</v>
      </c>
      <c r="B6908" s="1666" t="str">
        <f>'Lead &amp; ANALYSIS'!B1251</f>
        <v>Labour for taking out door &amp; window shutters and refixing the same after necessary repair including screws as may be required.</v>
      </c>
      <c r="C6908" s="688"/>
      <c r="D6908" s="1667"/>
      <c r="E6908" s="1671">
        <v>3.5</v>
      </c>
      <c r="F6908" s="1671">
        <v>4</v>
      </c>
      <c r="G6908" s="1674"/>
      <c r="H6908" s="1671">
        <f t="shared" si="1227"/>
        <v>0</v>
      </c>
      <c r="I6908" s="688" t="s">
        <v>92</v>
      </c>
      <c r="J6908" s="1673">
        <f>'Lead &amp; ANALYSIS'!L1251</f>
        <v>53.7</v>
      </c>
      <c r="K6908" s="677"/>
      <c r="L6908" s="1673">
        <f t="shared" si="1228"/>
        <v>0</v>
      </c>
    </row>
    <row r="6909" spans="1:12" s="692" customFormat="1" ht="49.5" hidden="1">
      <c r="A6909" s="1665">
        <f>'Lead &amp; ANALYSIS'!A1252</f>
        <v>228</v>
      </c>
      <c r="B6909" s="1666" t="str">
        <f>'Lead &amp; ANALYSIS'!B1252</f>
        <v>Labour for taking out door &amp; window shutters and refixing the same after necessary repair including screws as may be required.</v>
      </c>
      <c r="C6909" s="688"/>
      <c r="D6909" s="1667"/>
      <c r="E6909" s="1671">
        <v>3.5</v>
      </c>
      <c r="F6909" s="1671">
        <v>4</v>
      </c>
      <c r="G6909" s="1674"/>
      <c r="H6909" s="1671">
        <f t="shared" si="1227"/>
        <v>0</v>
      </c>
      <c r="I6909" s="688" t="s">
        <v>92</v>
      </c>
      <c r="J6909" s="1673">
        <f>'Lead &amp; ANALYSIS'!L1252</f>
        <v>32.700000000000003</v>
      </c>
      <c r="K6909" s="677"/>
      <c r="L6909" s="1673">
        <f t="shared" si="1228"/>
        <v>0</v>
      </c>
    </row>
    <row r="6910" spans="1:12" s="692" customFormat="1" ht="33" hidden="1">
      <c r="A6910" s="1665">
        <f>'Lead &amp; ANALYSIS'!A1253</f>
        <v>229</v>
      </c>
      <c r="B6910" s="1666" t="str">
        <f>'Lead &amp; ANALYSIS'!B1253</f>
        <v>Cutting grooves in laterite stone masonry for fixing choukaths of doors aand windows.</v>
      </c>
      <c r="C6910" s="688"/>
      <c r="D6910" s="1667"/>
      <c r="E6910" s="1671">
        <v>3.5</v>
      </c>
      <c r="F6910" s="1671">
        <v>4</v>
      </c>
      <c r="G6910" s="1674"/>
      <c r="H6910" s="1671">
        <f t="shared" si="1227"/>
        <v>0</v>
      </c>
      <c r="I6910" s="688" t="s">
        <v>92</v>
      </c>
      <c r="J6910" s="1673">
        <f>'Lead &amp; ANALYSIS'!L1253</f>
        <v>3.4</v>
      </c>
      <c r="K6910" s="677"/>
      <c r="L6910" s="1673">
        <f t="shared" si="1228"/>
        <v>0</v>
      </c>
    </row>
    <row r="6911" spans="1:12" s="692" customFormat="1" ht="49.5" hidden="1">
      <c r="A6911" s="1665">
        <f>'Lead &amp; ANALYSIS'!A1254</f>
        <v>230</v>
      </c>
      <c r="B6911" s="1666" t="str">
        <f>'Lead &amp; ANALYSIS'!B1254</f>
        <v>Leak repair to corrugated asbestos or GI sheet roofing with pitch and coaltar putty and paint arround the holes.</v>
      </c>
      <c r="C6911" s="688"/>
      <c r="D6911" s="1667"/>
      <c r="E6911" s="1671">
        <v>3.5</v>
      </c>
      <c r="F6911" s="1671">
        <v>4</v>
      </c>
      <c r="G6911" s="1674"/>
      <c r="H6911" s="1671">
        <f t="shared" si="1227"/>
        <v>0</v>
      </c>
      <c r="I6911" s="688" t="s">
        <v>92</v>
      </c>
      <c r="J6911" s="1673">
        <f>'Lead &amp; ANALYSIS'!L1254</f>
        <v>90</v>
      </c>
      <c r="K6911" s="677"/>
      <c r="L6911" s="1673">
        <f t="shared" si="1228"/>
        <v>0</v>
      </c>
    </row>
    <row r="6912" spans="1:12" s="692" customFormat="1" ht="16.5" hidden="1">
      <c r="A6912" s="1665">
        <f>'Lead &amp; ANALYSIS'!A1255</f>
        <v>231</v>
      </c>
      <c r="B6912" s="1666" t="str">
        <f>'Lead &amp; ANALYSIS'!B1255</f>
        <v>labour for fixing J L or U hooks for repair works only.</v>
      </c>
      <c r="C6912" s="688"/>
      <c r="D6912" s="1667"/>
      <c r="E6912" s="1671">
        <v>3.5</v>
      </c>
      <c r="F6912" s="1671">
        <v>4</v>
      </c>
      <c r="G6912" s="1674"/>
      <c r="H6912" s="1671">
        <f t="shared" si="1227"/>
        <v>0</v>
      </c>
      <c r="I6912" s="688" t="s">
        <v>92</v>
      </c>
      <c r="J6912" s="1673">
        <f>'Lead &amp; ANALYSIS'!L1255</f>
        <v>1.5</v>
      </c>
      <c r="K6912" s="677"/>
      <c r="L6912" s="1673">
        <f t="shared" si="1228"/>
        <v>0</v>
      </c>
    </row>
    <row r="6913" spans="1:12" s="692" customFormat="1" ht="33" hidden="1">
      <c r="A6913" s="1665">
        <f>'Lead &amp; ANALYSIS'!A1256</f>
        <v>232</v>
      </c>
      <c r="B6913" s="1666" t="str">
        <f>'Lead &amp; ANALYSIS'!B1256</f>
        <v>Bambo ceiling with old sall frame including all materials etc complete.</v>
      </c>
      <c r="C6913" s="688"/>
      <c r="D6913" s="1667"/>
      <c r="E6913" s="1671">
        <v>3.5</v>
      </c>
      <c r="F6913" s="1671">
        <v>4</v>
      </c>
      <c r="G6913" s="1674"/>
      <c r="H6913" s="1671">
        <f t="shared" si="1227"/>
        <v>0</v>
      </c>
      <c r="I6913" s="688" t="s">
        <v>92</v>
      </c>
      <c r="J6913" s="1673">
        <f>'Lead &amp; ANALYSIS'!L1256</f>
        <v>15.2</v>
      </c>
      <c r="K6913" s="677"/>
      <c r="L6913" s="1673">
        <f t="shared" si="1228"/>
        <v>0</v>
      </c>
    </row>
    <row r="6914" spans="1:12" s="692" customFormat="1" ht="33" hidden="1">
      <c r="A6914" s="1665">
        <f>'Lead &amp; ANALYSIS'!A1257</f>
        <v>233</v>
      </c>
      <c r="B6914" s="1666" t="str">
        <f>'Lead &amp; ANALYSIS'!B1257</f>
        <v>Labour for fitting fixing flat iron wind ties including drilling holes and supplying holes and nuts.</v>
      </c>
      <c r="C6914" s="688"/>
      <c r="D6914" s="1667"/>
      <c r="E6914" s="1671">
        <v>3.5</v>
      </c>
      <c r="F6914" s="1671">
        <v>4</v>
      </c>
      <c r="G6914" s="1674"/>
      <c r="H6914" s="1671">
        <f t="shared" si="1227"/>
        <v>0</v>
      </c>
      <c r="I6914" s="688" t="s">
        <v>92</v>
      </c>
      <c r="J6914" s="1673">
        <f>'Lead &amp; ANALYSIS'!L1257</f>
        <v>210.5</v>
      </c>
      <c r="K6914" s="677"/>
      <c r="L6914" s="1673">
        <f t="shared" si="1228"/>
        <v>0</v>
      </c>
    </row>
    <row r="6915" spans="1:12" s="692" customFormat="1" ht="16.5" hidden="1">
      <c r="A6915" s="1665">
        <f>'Lead &amp; ANALYSIS'!A1258</f>
        <v>234</v>
      </c>
      <c r="B6915" s="1666" t="str">
        <f>'Lead &amp; ANALYSIS'!B1258</f>
        <v>Labour for fabrication</v>
      </c>
      <c r="C6915" s="688"/>
      <c r="D6915" s="1667"/>
      <c r="E6915" s="1671">
        <v>3.5</v>
      </c>
      <c r="F6915" s="1671">
        <v>4</v>
      </c>
      <c r="G6915" s="1674"/>
      <c r="H6915" s="1671">
        <f t="shared" si="1227"/>
        <v>0</v>
      </c>
      <c r="I6915" s="688" t="s">
        <v>92</v>
      </c>
      <c r="J6915" s="1673">
        <f>'Lead &amp; ANALYSIS'!L1258</f>
        <v>270.8</v>
      </c>
      <c r="K6915" s="677"/>
      <c r="L6915" s="1673">
        <f t="shared" si="1228"/>
        <v>0</v>
      </c>
    </row>
    <row r="6916" spans="1:12" s="692" customFormat="1" ht="33" hidden="1">
      <c r="A6916" s="1665">
        <f>'Lead &amp; ANALYSIS'!A1259</f>
        <v>235</v>
      </c>
      <c r="B6916" s="1666" t="str">
        <f>'Lead &amp; ANALYSIS'!B1259</f>
        <v>Labour for fitting fixing MS window grills including cost of screws etc complete.</v>
      </c>
      <c r="C6916" s="688"/>
      <c r="D6916" s="1667"/>
      <c r="E6916" s="1671">
        <v>3.5</v>
      </c>
      <c r="F6916" s="1671">
        <v>4</v>
      </c>
      <c r="G6916" s="1674"/>
      <c r="H6916" s="1671">
        <f t="shared" si="1227"/>
        <v>0</v>
      </c>
      <c r="I6916" s="688" t="s">
        <v>92</v>
      </c>
      <c r="J6916" s="1673">
        <f>'Lead &amp; ANALYSIS'!L1259</f>
        <v>12.1</v>
      </c>
      <c r="K6916" s="677"/>
      <c r="L6916" s="1673">
        <f t="shared" si="1228"/>
        <v>0</v>
      </c>
    </row>
    <row r="6917" spans="1:12" s="692" customFormat="1" ht="33" hidden="1">
      <c r="A6917" s="1665">
        <f>'Lead &amp; ANALYSIS'!A1260</f>
        <v>236</v>
      </c>
      <c r="B6917" s="1666" t="str">
        <f>'Lead &amp; ANALYSIS'!B1260</f>
        <v>Labour for fitting fixing MS gates as per approved design including cost of all materials complete.</v>
      </c>
      <c r="C6917" s="688"/>
      <c r="D6917" s="1667"/>
      <c r="E6917" s="1671">
        <v>3.5</v>
      </c>
      <c r="F6917" s="1671">
        <v>4</v>
      </c>
      <c r="G6917" s="1674"/>
      <c r="H6917" s="1671">
        <f t="shared" si="1227"/>
        <v>0</v>
      </c>
      <c r="I6917" s="688" t="s">
        <v>92</v>
      </c>
      <c r="J6917" s="1673">
        <f>'Lead &amp; ANALYSIS'!L1260</f>
        <v>70.099999999999994</v>
      </c>
      <c r="K6917" s="677"/>
      <c r="L6917" s="1673">
        <f t="shared" si="1228"/>
        <v>0</v>
      </c>
    </row>
    <row r="6918" spans="1:12" s="692" customFormat="1" ht="33" hidden="1">
      <c r="A6918" s="1665">
        <f>'Lead &amp; ANALYSIS'!A1261</f>
        <v>237</v>
      </c>
      <c r="B6918" s="1666" t="str">
        <f>'Lead &amp; ANALYSIS'!B1261</f>
        <v>Labour for rubbing out heavy moss from shift walls exposed to weather.</v>
      </c>
      <c r="C6918" s="688"/>
      <c r="D6918" s="1667"/>
      <c r="E6918" s="1671">
        <v>3.5</v>
      </c>
      <c r="F6918" s="1671">
        <v>4</v>
      </c>
      <c r="G6918" s="1674"/>
      <c r="H6918" s="1671">
        <f t="shared" si="1227"/>
        <v>0</v>
      </c>
      <c r="I6918" s="688" t="s">
        <v>92</v>
      </c>
      <c r="J6918" s="1673">
        <f>'Lead &amp; ANALYSIS'!L1261</f>
        <v>10.9</v>
      </c>
      <c r="K6918" s="677"/>
      <c r="L6918" s="1673">
        <f t="shared" si="1228"/>
        <v>0</v>
      </c>
    </row>
    <row r="6919" spans="1:12" s="692" customFormat="1" ht="33" hidden="1">
      <c r="A6919" s="1665">
        <f>'Lead &amp; ANALYSIS'!A1262</f>
        <v>238</v>
      </c>
      <c r="B6919" s="1666" t="str">
        <f>'Lead &amp; ANALYSIS'!B1262</f>
        <v>Painting figures and letters of various size upto 120mm.</v>
      </c>
      <c r="C6919" s="688"/>
      <c r="D6919" s="1667"/>
      <c r="E6919" s="1671">
        <v>3.5</v>
      </c>
      <c r="F6919" s="1671">
        <v>4</v>
      </c>
      <c r="G6919" s="1674"/>
      <c r="H6919" s="1671">
        <f t="shared" si="1227"/>
        <v>0</v>
      </c>
      <c r="I6919" s="688" t="s">
        <v>92</v>
      </c>
      <c r="J6919" s="1673">
        <f>'Lead &amp; ANALYSIS'!L1262</f>
        <v>1.2</v>
      </c>
      <c r="K6919" s="677"/>
      <c r="L6919" s="1673">
        <f t="shared" si="1228"/>
        <v>0</v>
      </c>
    </row>
    <row r="6920" spans="1:12" s="692" customFormat="1" ht="49.5" hidden="1">
      <c r="A6920" s="1665">
        <f>'Lead &amp; ANALYSIS'!A1263</f>
        <v>239</v>
      </c>
      <c r="B6920" s="1666" t="str">
        <f>'Lead &amp; ANALYSIS'!B1263</f>
        <v>Scraping old paint with scrappers sand papering and washing with soap water or soda including scaffolding charges upto 5mt height.</v>
      </c>
      <c r="C6920" s="688"/>
      <c r="D6920" s="1667"/>
      <c r="E6920" s="1671">
        <v>3.5</v>
      </c>
      <c r="F6920" s="1671">
        <v>4</v>
      </c>
      <c r="G6920" s="1674"/>
      <c r="H6920" s="1671">
        <f t="shared" si="1227"/>
        <v>0</v>
      </c>
      <c r="I6920" s="688" t="s">
        <v>92</v>
      </c>
      <c r="J6920" s="1673">
        <f>'Lead &amp; ANALYSIS'!L1263</f>
        <v>3.5</v>
      </c>
      <c r="K6920" s="677"/>
      <c r="L6920" s="1673">
        <f t="shared" si="1228"/>
        <v>0</v>
      </c>
    </row>
    <row r="6921" spans="1:12" s="692" customFormat="1" ht="49.5" hidden="1">
      <c r="A6921" s="1665">
        <f>'Lead &amp; ANALYSIS'!A1264</f>
        <v>240</v>
      </c>
      <c r="B6921" s="1666" t="str">
        <f>'Lead &amp; ANALYSIS'!B1264</f>
        <v>Labour for laying and fixing in position RCC spun pipes with collar jointed with cement mortar (1:3) complete excluding cost of spun pipes and collars.</v>
      </c>
      <c r="C6921" s="688"/>
      <c r="D6921" s="1667"/>
      <c r="E6921" s="1671">
        <v>3.5</v>
      </c>
      <c r="F6921" s="1671">
        <v>4</v>
      </c>
      <c r="G6921" s="1674"/>
      <c r="H6921" s="1671">
        <f t="shared" si="1227"/>
        <v>0</v>
      </c>
      <c r="I6921" s="688" t="s">
        <v>92</v>
      </c>
      <c r="J6921" s="1673">
        <f>'Lead &amp; ANALYSIS'!L1264</f>
        <v>325</v>
      </c>
      <c r="K6921" s="677"/>
      <c r="L6921" s="1673">
        <f t="shared" si="1228"/>
        <v>0</v>
      </c>
    </row>
    <row r="6922" spans="1:12" s="692" customFormat="1" ht="16.5" hidden="1">
      <c r="A6922" s="1665" t="str">
        <f>'Lead &amp; ANALYSIS'!A1265</f>
        <v>i</v>
      </c>
      <c r="B6922" s="1666" t="str">
        <f>'Lead &amp; ANALYSIS'!B1265</f>
        <v>100mm dia RCC Pipe</v>
      </c>
      <c r="C6922" s="688"/>
      <c r="D6922" s="1667"/>
      <c r="E6922" s="1671">
        <v>3.5</v>
      </c>
      <c r="F6922" s="1671">
        <v>4</v>
      </c>
      <c r="G6922" s="1674"/>
      <c r="H6922" s="1671">
        <f t="shared" si="1227"/>
        <v>0</v>
      </c>
      <c r="I6922" s="688" t="s">
        <v>92</v>
      </c>
      <c r="J6922" s="1669">
        <f>'Lead &amp; ANALYSIS'!L1265</f>
        <v>9.1999999999999993</v>
      </c>
      <c r="K6922" s="1668"/>
      <c r="L6922" s="1669">
        <f t="shared" si="1228"/>
        <v>0</v>
      </c>
    </row>
    <row r="6923" spans="1:12" s="692" customFormat="1" ht="16.5" hidden="1">
      <c r="A6923" s="1665" t="str">
        <f>'Lead &amp; ANALYSIS'!A1266</f>
        <v>ii</v>
      </c>
      <c r="B6923" s="1666" t="str">
        <f>'Lead &amp; ANALYSIS'!B1266</f>
        <v>150mm dia RCC Pipe</v>
      </c>
      <c r="C6923" s="688"/>
      <c r="D6923" s="1667"/>
      <c r="E6923" s="1671">
        <v>3.5</v>
      </c>
      <c r="F6923" s="1671">
        <v>4</v>
      </c>
      <c r="G6923" s="1674"/>
      <c r="H6923" s="1671">
        <f t="shared" si="1227"/>
        <v>0</v>
      </c>
      <c r="I6923" s="688" t="s">
        <v>92</v>
      </c>
      <c r="J6923" s="1669">
        <f>'Lead &amp; ANALYSIS'!L1266</f>
        <v>10.199999999999999</v>
      </c>
      <c r="K6923" s="1668"/>
      <c r="L6923" s="1669">
        <f t="shared" si="1228"/>
        <v>0</v>
      </c>
    </row>
    <row r="6924" spans="1:12" s="692" customFormat="1" ht="16.5" hidden="1">
      <c r="A6924" s="1665" t="str">
        <f>'Lead &amp; ANALYSIS'!A1267</f>
        <v>iii</v>
      </c>
      <c r="B6924" s="1666" t="str">
        <f>'Lead &amp; ANALYSIS'!B1267</f>
        <v>250mm dia RCC Pipe</v>
      </c>
      <c r="C6924" s="688"/>
      <c r="D6924" s="1667"/>
      <c r="E6924" s="1671">
        <v>3.5</v>
      </c>
      <c r="F6924" s="1671">
        <v>4</v>
      </c>
      <c r="G6924" s="1674"/>
      <c r="H6924" s="1671">
        <f t="shared" si="1227"/>
        <v>0</v>
      </c>
      <c r="I6924" s="688" t="s">
        <v>92</v>
      </c>
      <c r="J6924" s="1669">
        <f>'Lead &amp; ANALYSIS'!L1267</f>
        <v>15.2</v>
      </c>
      <c r="K6924" s="1668"/>
      <c r="L6924" s="1669">
        <f t="shared" si="1228"/>
        <v>0</v>
      </c>
    </row>
    <row r="6925" spans="1:12" s="692" customFormat="1" ht="16.5" hidden="1">
      <c r="A6925" s="1665" t="str">
        <f>'Lead &amp; ANALYSIS'!A1268</f>
        <v>iv</v>
      </c>
      <c r="B6925" s="1666" t="str">
        <f>'Lead &amp; ANALYSIS'!B1268</f>
        <v>300mm dia RCC Pipe</v>
      </c>
      <c r="C6925" s="688"/>
      <c r="D6925" s="1667"/>
      <c r="E6925" s="1671">
        <v>3.5</v>
      </c>
      <c r="F6925" s="1671">
        <v>4</v>
      </c>
      <c r="G6925" s="1674"/>
      <c r="H6925" s="1671">
        <f t="shared" si="1227"/>
        <v>0</v>
      </c>
      <c r="I6925" s="688" t="s">
        <v>92</v>
      </c>
      <c r="J6925" s="1669">
        <f>'Lead &amp; ANALYSIS'!L1268</f>
        <v>17.8</v>
      </c>
      <c r="K6925" s="1668"/>
      <c r="L6925" s="1669">
        <f t="shared" si="1228"/>
        <v>0</v>
      </c>
    </row>
    <row r="6926" spans="1:12" s="692" customFormat="1" ht="16.5" hidden="1">
      <c r="A6926" s="1665" t="str">
        <f>'Lead &amp; ANALYSIS'!A1269</f>
        <v>v</v>
      </c>
      <c r="B6926" s="1666" t="str">
        <f>'Lead &amp; ANALYSIS'!B1269</f>
        <v>450mm dia RCC Pipe</v>
      </c>
      <c r="C6926" s="688"/>
      <c r="D6926" s="1667"/>
      <c r="E6926" s="1671">
        <v>3.5</v>
      </c>
      <c r="F6926" s="1671">
        <v>4</v>
      </c>
      <c r="G6926" s="1674"/>
      <c r="H6926" s="1671">
        <f t="shared" si="1227"/>
        <v>0</v>
      </c>
      <c r="I6926" s="688" t="s">
        <v>92</v>
      </c>
      <c r="J6926" s="1669">
        <f>'Lead &amp; ANALYSIS'!L1269</f>
        <v>22.9</v>
      </c>
      <c r="K6926" s="1668"/>
      <c r="L6926" s="1669">
        <f t="shared" si="1228"/>
        <v>0</v>
      </c>
    </row>
    <row r="6927" spans="1:12" s="692" customFormat="1" ht="16.5" hidden="1">
      <c r="A6927" s="1665" t="str">
        <f>'Lead &amp; ANALYSIS'!A1270</f>
        <v>vi</v>
      </c>
      <c r="B6927" s="1666" t="str">
        <f>'Lead &amp; ANALYSIS'!B1270</f>
        <v>600mm dia RCC Pipe</v>
      </c>
      <c r="C6927" s="688"/>
      <c r="D6927" s="1667"/>
      <c r="E6927" s="1671">
        <v>3.5</v>
      </c>
      <c r="F6927" s="1671">
        <v>4</v>
      </c>
      <c r="G6927" s="1674"/>
      <c r="H6927" s="1671">
        <f t="shared" si="1227"/>
        <v>0</v>
      </c>
      <c r="I6927" s="688" t="s">
        <v>92</v>
      </c>
      <c r="J6927" s="1669">
        <f>'Lead &amp; ANALYSIS'!L1270</f>
        <v>28.1</v>
      </c>
      <c r="K6927" s="1668"/>
      <c r="L6927" s="1669">
        <f t="shared" si="1228"/>
        <v>0</v>
      </c>
    </row>
    <row r="6928" spans="1:12" s="692" customFormat="1" ht="16.5" hidden="1">
      <c r="A6928" s="1665" t="str">
        <f>'Lead &amp; ANALYSIS'!A1271</f>
        <v>vii</v>
      </c>
      <c r="B6928" s="1666" t="str">
        <f>'Lead &amp; ANALYSIS'!B1271</f>
        <v>900mm dia RCC Pipe</v>
      </c>
      <c r="C6928" s="688"/>
      <c r="D6928" s="1667"/>
      <c r="E6928" s="1671">
        <v>3.5</v>
      </c>
      <c r="F6928" s="1671">
        <v>4</v>
      </c>
      <c r="G6928" s="1674"/>
      <c r="H6928" s="1671">
        <f t="shared" si="1227"/>
        <v>0</v>
      </c>
      <c r="I6928" s="688" t="s">
        <v>92</v>
      </c>
      <c r="J6928" s="1669">
        <f>'Lead &amp; ANALYSIS'!L1271</f>
        <v>42.2</v>
      </c>
      <c r="K6928" s="1668"/>
      <c r="L6928" s="1669">
        <f t="shared" si="1228"/>
        <v>0</v>
      </c>
    </row>
    <row r="6929" spans="1:12" s="692" customFormat="1" ht="16.5" hidden="1">
      <c r="A6929" s="1665" t="str">
        <f>'Lead &amp; ANALYSIS'!A1272</f>
        <v>viii</v>
      </c>
      <c r="B6929" s="1666" t="str">
        <f>'Lead &amp; ANALYSIS'!B1272</f>
        <v>1200mm dia RCC Pipe</v>
      </c>
      <c r="C6929" s="688"/>
      <c r="D6929" s="1667"/>
      <c r="E6929" s="1671">
        <v>3.5</v>
      </c>
      <c r="F6929" s="1671">
        <v>4</v>
      </c>
      <c r="G6929" s="1674"/>
      <c r="H6929" s="1671">
        <f t="shared" si="1227"/>
        <v>0</v>
      </c>
      <c r="I6929" s="688" t="s">
        <v>92</v>
      </c>
      <c r="J6929" s="1669">
        <f>'Lead &amp; ANALYSIS'!L1272</f>
        <v>73.2</v>
      </c>
      <c r="K6929" s="1668"/>
      <c r="L6929" s="1669">
        <f t="shared" si="1228"/>
        <v>0</v>
      </c>
    </row>
    <row r="6930" spans="1:12" s="692" customFormat="1" ht="49.5" hidden="1">
      <c r="A6930" s="1665">
        <f>'Lead &amp; ANALYSIS'!A1273</f>
        <v>241</v>
      </c>
      <c r="B6930" s="1666" t="str">
        <f>'Lead &amp; ANALYSIS'!B1273</f>
        <v>Providing fitting fixing with sal wood battens 7.5cmx1.2cm with 6mm mesh wire netting or expanded metal including painting etc complete.</v>
      </c>
      <c r="C6930" s="688"/>
      <c r="D6930" s="1667"/>
      <c r="E6930" s="1671">
        <v>3.5</v>
      </c>
      <c r="F6930" s="1671">
        <v>4</v>
      </c>
      <c r="G6930" s="1674"/>
      <c r="H6930" s="1671">
        <f t="shared" si="1227"/>
        <v>0</v>
      </c>
      <c r="I6930" s="688" t="s">
        <v>92</v>
      </c>
      <c r="J6930" s="1673">
        <f>'Lead &amp; ANALYSIS'!L1273</f>
        <v>326</v>
      </c>
      <c r="K6930" s="677" t="s">
        <v>1514</v>
      </c>
      <c r="L6930" s="1673">
        <f t="shared" si="1228"/>
        <v>0</v>
      </c>
    </row>
    <row r="6931" spans="1:12" s="692" customFormat="1" ht="49.5" hidden="1">
      <c r="A6931" s="1665">
        <f>'Lead &amp; ANALYSIS'!A1274</f>
        <v>242</v>
      </c>
      <c r="B6931" s="1666" t="str">
        <f>'Lead &amp; ANALYSIS'!B1274</f>
        <v>Providing fitting fixing with sal wood battens 7.5cmx1.2cm with 6mm mesh wire netting or expanded metal including painting etc complete.</v>
      </c>
      <c r="C6931" s="688"/>
      <c r="D6931" s="1667"/>
      <c r="E6931" s="1671">
        <v>3.5</v>
      </c>
      <c r="F6931" s="1671">
        <v>4</v>
      </c>
      <c r="G6931" s="1674"/>
      <c r="H6931" s="1671">
        <f t="shared" si="1227"/>
        <v>0</v>
      </c>
      <c r="I6931" s="688" t="s">
        <v>92</v>
      </c>
      <c r="J6931" s="1673">
        <f>'Lead &amp; ANALYSIS'!L1274</f>
        <v>327</v>
      </c>
      <c r="K6931" s="677" t="s">
        <v>1514</v>
      </c>
      <c r="L6931" s="1673">
        <f>ROUND(H6931*J6931,0)</f>
        <v>0</v>
      </c>
    </row>
    <row r="6932" spans="1:12" s="692" customFormat="1" ht="16.5" hidden="1">
      <c r="A6932" s="1665">
        <v>218</v>
      </c>
      <c r="B6932" s="1694" t="s">
        <v>3439</v>
      </c>
      <c r="C6932" s="688"/>
      <c r="D6932" s="1667"/>
      <c r="E6932" s="1671"/>
      <c r="F6932" s="1671"/>
      <c r="G6932" s="1674"/>
      <c r="H6932" s="1671"/>
      <c r="I6932" s="688"/>
      <c r="J6932" s="1668"/>
      <c r="K6932" s="1668"/>
      <c r="L6932" s="1669"/>
    </row>
    <row r="6933" spans="1:12" s="692" customFormat="1" ht="16.5" hidden="1">
      <c r="A6933" s="1665"/>
      <c r="B6933" s="1666" t="s">
        <v>1942</v>
      </c>
      <c r="C6933" s="688"/>
      <c r="D6933" s="1667"/>
      <c r="E6933" s="1671"/>
      <c r="F6933" s="1668"/>
      <c r="G6933" s="1671"/>
      <c r="H6933" s="1671">
        <f t="shared" ref="H6933:H6934" si="1229">ROUND(D6933*E6933*G6933,2)</f>
        <v>0</v>
      </c>
      <c r="I6933" s="688" t="s">
        <v>49</v>
      </c>
      <c r="J6933" s="1669"/>
      <c r="K6933" s="1668"/>
      <c r="L6933" s="1669"/>
    </row>
    <row r="6934" spans="1:12" s="692" customFormat="1" ht="16.5" hidden="1">
      <c r="A6934" s="1665"/>
      <c r="B6934" s="1666" t="s">
        <v>3440</v>
      </c>
      <c r="C6934" s="688"/>
      <c r="D6934" s="1667"/>
      <c r="E6934" s="1671"/>
      <c r="F6934" s="1668"/>
      <c r="G6934" s="1671"/>
      <c r="H6934" s="1671">
        <f t="shared" si="1229"/>
        <v>0</v>
      </c>
      <c r="I6934" s="688" t="s">
        <v>49</v>
      </c>
      <c r="J6934" s="1669"/>
      <c r="K6934" s="1668"/>
      <c r="L6934" s="1669"/>
    </row>
    <row r="6935" spans="1:12" s="692" customFormat="1" ht="16.5" hidden="1">
      <c r="A6935" s="1665"/>
      <c r="B6935" s="1666"/>
      <c r="C6935" s="688"/>
      <c r="D6935" s="1667"/>
      <c r="E6935" s="1671"/>
      <c r="F6935" s="1671"/>
      <c r="G6935" s="1668" t="s">
        <v>928</v>
      </c>
      <c r="H6935" s="1673">
        <f>SUM(H6933:H6934)</f>
        <v>0</v>
      </c>
      <c r="I6935" s="677" t="s">
        <v>49</v>
      </c>
      <c r="J6935" s="1669"/>
      <c r="K6935" s="1668"/>
      <c r="L6935" s="1669"/>
    </row>
    <row r="6936" spans="1:12" s="692" customFormat="1" ht="16.5" hidden="1">
      <c r="A6936" s="1665"/>
      <c r="B6936" s="1666"/>
      <c r="C6936" s="688"/>
      <c r="D6936" s="1695" t="s">
        <v>1552</v>
      </c>
      <c r="E6936" s="1673">
        <v>0.4</v>
      </c>
      <c r="F6936" s="1673" t="s">
        <v>3433</v>
      </c>
      <c r="G6936" s="1665" t="s">
        <v>1039</v>
      </c>
      <c r="H6936" s="1673">
        <f>ROUND(H6935*E6936,2)</f>
        <v>0</v>
      </c>
      <c r="I6936" s="677" t="s">
        <v>747</v>
      </c>
      <c r="J6936" s="1669"/>
      <c r="K6936" s="1668"/>
      <c r="L6936" s="1669"/>
    </row>
    <row r="6937" spans="1:12" s="692" customFormat="1" ht="16.5" hidden="1">
      <c r="A6937" s="1665"/>
      <c r="B6937" s="1666"/>
      <c r="C6937" s="688"/>
      <c r="D6937" s="1667"/>
      <c r="E6937" s="1671"/>
      <c r="F6937" s="1671"/>
      <c r="G6937" s="1668" t="s">
        <v>928</v>
      </c>
      <c r="H6937" s="1673">
        <f>SUM(H6933:H6936)</f>
        <v>0</v>
      </c>
      <c r="I6937" s="677" t="s">
        <v>747</v>
      </c>
      <c r="J6937" s="1669">
        <v>106</v>
      </c>
      <c r="K6937" s="1668" t="s">
        <v>1522</v>
      </c>
      <c r="L6937" s="1669">
        <f>ROUND(H6937*J6937,0)</f>
        <v>0</v>
      </c>
    </row>
    <row r="6938" spans="1:12" s="692" customFormat="1" ht="33">
      <c r="A6938" s="1665">
        <v>19</v>
      </c>
      <c r="B6938" s="1694" t="s">
        <v>3422</v>
      </c>
      <c r="C6938" s="688"/>
      <c r="D6938" s="1667"/>
      <c r="E6938" s="1671"/>
      <c r="F6938" s="1671"/>
      <c r="G6938" s="1674"/>
      <c r="H6938" s="1671"/>
      <c r="I6938" s="688"/>
      <c r="J6938" s="1668"/>
      <c r="K6938" s="1668"/>
      <c r="L6938" s="1669"/>
    </row>
    <row r="6939" spans="1:12" s="692" customFormat="1" ht="16.5">
      <c r="A6939" s="1665"/>
      <c r="B6939" s="1666"/>
      <c r="C6939" s="688"/>
      <c r="D6939" s="1667">
        <v>6</v>
      </c>
      <c r="E6939" s="1671">
        <v>1.2</v>
      </c>
      <c r="F6939" s="1668"/>
      <c r="G6939" s="1671">
        <v>1.2</v>
      </c>
      <c r="H6939" s="1671">
        <f t="shared" ref="H6939:H6944" si="1230">ROUND(D6939*E6939*G6939,2)</f>
        <v>8.64</v>
      </c>
      <c r="I6939" s="688" t="s">
        <v>92</v>
      </c>
      <c r="J6939" s="1669"/>
      <c r="K6939" s="1668"/>
      <c r="L6939" s="1669"/>
    </row>
    <row r="6940" spans="1:12" s="692" customFormat="1" ht="16.5" hidden="1">
      <c r="A6940" s="1665"/>
      <c r="B6940" s="1666"/>
      <c r="C6940" s="688"/>
      <c r="D6940" s="1667"/>
      <c r="E6940" s="1671">
        <v>3.5</v>
      </c>
      <c r="F6940" s="1668"/>
      <c r="G6940" s="1671">
        <v>4</v>
      </c>
      <c r="H6940" s="1671">
        <f t="shared" si="1230"/>
        <v>0</v>
      </c>
      <c r="I6940" s="688" t="s">
        <v>92</v>
      </c>
      <c r="J6940" s="1669"/>
      <c r="K6940" s="1668"/>
      <c r="L6940" s="1669"/>
    </row>
    <row r="6941" spans="1:12" s="692" customFormat="1" ht="16.5" hidden="1">
      <c r="A6941" s="1665"/>
      <c r="B6941" s="1666"/>
      <c r="C6941" s="688"/>
      <c r="D6941" s="1667"/>
      <c r="E6941" s="1671">
        <v>3.5</v>
      </c>
      <c r="F6941" s="1668"/>
      <c r="G6941" s="1671">
        <v>4</v>
      </c>
      <c r="H6941" s="1671">
        <f t="shared" si="1230"/>
        <v>0</v>
      </c>
      <c r="I6941" s="688" t="s">
        <v>92</v>
      </c>
      <c r="J6941" s="1669"/>
      <c r="K6941" s="1668"/>
      <c r="L6941" s="1669"/>
    </row>
    <row r="6942" spans="1:12" s="692" customFormat="1" ht="16.5" hidden="1">
      <c r="A6942" s="1665"/>
      <c r="B6942" s="1666"/>
      <c r="C6942" s="688"/>
      <c r="D6942" s="1667"/>
      <c r="E6942" s="1671">
        <v>3.5</v>
      </c>
      <c r="F6942" s="1668"/>
      <c r="G6942" s="1671">
        <v>4</v>
      </c>
      <c r="H6942" s="1671">
        <f t="shared" si="1230"/>
        <v>0</v>
      </c>
      <c r="I6942" s="688" t="s">
        <v>92</v>
      </c>
      <c r="J6942" s="1669"/>
      <c r="K6942" s="1668"/>
      <c r="L6942" s="1669"/>
    </row>
    <row r="6943" spans="1:12" s="692" customFormat="1" ht="16.5" hidden="1">
      <c r="A6943" s="1665"/>
      <c r="B6943" s="1666"/>
      <c r="C6943" s="688"/>
      <c r="D6943" s="1667"/>
      <c r="E6943" s="1671">
        <v>3.5</v>
      </c>
      <c r="F6943" s="1668"/>
      <c r="G6943" s="1671">
        <v>4</v>
      </c>
      <c r="H6943" s="1671">
        <f t="shared" si="1230"/>
        <v>0</v>
      </c>
      <c r="I6943" s="688" t="s">
        <v>92</v>
      </c>
      <c r="J6943" s="1669"/>
      <c r="K6943" s="1668"/>
      <c r="L6943" s="1669"/>
    </row>
    <row r="6944" spans="1:12" s="692" customFormat="1" ht="16.5" hidden="1">
      <c r="A6944" s="1665"/>
      <c r="B6944" s="1666"/>
      <c r="C6944" s="688"/>
      <c r="D6944" s="1667"/>
      <c r="E6944" s="1671">
        <v>3.5</v>
      </c>
      <c r="F6944" s="1668"/>
      <c r="G6944" s="1671">
        <v>4</v>
      </c>
      <c r="H6944" s="1671">
        <f t="shared" si="1230"/>
        <v>0</v>
      </c>
      <c r="I6944" s="688" t="s">
        <v>92</v>
      </c>
      <c r="J6944" s="1669"/>
      <c r="K6944" s="1668"/>
      <c r="L6944" s="1669"/>
    </row>
    <row r="6945" spans="1:12" s="692" customFormat="1" ht="16.5">
      <c r="A6945" s="1665"/>
      <c r="B6945" s="1666"/>
      <c r="C6945" s="688"/>
      <c r="D6945" s="1667"/>
      <c r="E6945" s="1671"/>
      <c r="F6945" s="1671"/>
      <c r="G6945" s="1668" t="s">
        <v>928</v>
      </c>
      <c r="H6945" s="1673">
        <f>SUM(H6939:H6944)</f>
        <v>8.64</v>
      </c>
      <c r="I6945" s="677" t="s">
        <v>92</v>
      </c>
      <c r="J6945" s="1669"/>
      <c r="K6945" s="1668"/>
      <c r="L6945" s="1669"/>
    </row>
    <row r="6946" spans="1:12" s="692" customFormat="1" ht="16.5">
      <c r="A6946" s="1665"/>
      <c r="B6946" s="1666"/>
      <c r="C6946" s="688"/>
      <c r="D6946" s="1695" t="s">
        <v>1552</v>
      </c>
      <c r="E6946" s="1673">
        <v>27</v>
      </c>
      <c r="F6946" s="1673" t="s">
        <v>2999</v>
      </c>
      <c r="G6946" s="1665" t="s">
        <v>1039</v>
      </c>
      <c r="H6946" s="1673">
        <f>ROUND(H6945*E6946,2)</f>
        <v>233.28</v>
      </c>
      <c r="I6946" s="677" t="s">
        <v>95</v>
      </c>
      <c r="J6946" s="1669"/>
      <c r="K6946" s="1668"/>
      <c r="L6946" s="1669"/>
    </row>
    <row r="6947" spans="1:12" s="692" customFormat="1" ht="16.5">
      <c r="A6947" s="1665"/>
      <c r="B6947" s="1666"/>
      <c r="C6947" s="688"/>
      <c r="D6947" s="1667"/>
      <c r="E6947" s="1671"/>
      <c r="F6947" s="1671"/>
      <c r="G6947" s="1668" t="s">
        <v>928</v>
      </c>
      <c r="H6947" s="1673">
        <f>SUM(H6946)</f>
        <v>233.28</v>
      </c>
      <c r="I6947" s="677" t="s">
        <v>95</v>
      </c>
      <c r="J6947" s="1669">
        <v>110</v>
      </c>
      <c r="K6947" s="1668" t="s">
        <v>1515</v>
      </c>
      <c r="L6947" s="1669">
        <f>ROUND(H6947*J6947,0)</f>
        <v>25661</v>
      </c>
    </row>
    <row r="6948" spans="1:12" s="692" customFormat="1" ht="33">
      <c r="A6948" s="1665">
        <v>20</v>
      </c>
      <c r="B6948" s="1694" t="s">
        <v>3423</v>
      </c>
      <c r="C6948" s="688"/>
      <c r="D6948" s="1667"/>
      <c r="E6948" s="688"/>
      <c r="F6948" s="688"/>
      <c r="G6948" s="1674"/>
      <c r="H6948" s="688"/>
      <c r="I6948" s="1668"/>
      <c r="J6948" s="1668"/>
      <c r="K6948" s="1668"/>
      <c r="L6948" s="1669"/>
    </row>
    <row r="6949" spans="1:12" s="692" customFormat="1" ht="16.5">
      <c r="A6949" s="1665"/>
      <c r="B6949" s="1666"/>
      <c r="C6949" s="688"/>
      <c r="D6949" s="1667">
        <v>6</v>
      </c>
      <c r="E6949" s="1671">
        <v>1.2</v>
      </c>
      <c r="F6949" s="1668"/>
      <c r="G6949" s="1671">
        <v>1.2</v>
      </c>
      <c r="H6949" s="1671">
        <f t="shared" ref="H6949:H6954" si="1231">ROUND(D6949*E6949*G6949,2)</f>
        <v>8.64</v>
      </c>
      <c r="I6949" s="688" t="s">
        <v>92</v>
      </c>
      <c r="J6949" s="1669"/>
      <c r="K6949" s="1668"/>
      <c r="L6949" s="1669"/>
    </row>
    <row r="6950" spans="1:12" s="692" customFormat="1" ht="16.5">
      <c r="A6950" s="1665"/>
      <c r="B6950" s="1666"/>
      <c r="C6950" s="688"/>
      <c r="D6950" s="1667">
        <v>4</v>
      </c>
      <c r="E6950" s="1671">
        <v>1.2</v>
      </c>
      <c r="F6950" s="1668"/>
      <c r="G6950" s="1671">
        <v>2.1</v>
      </c>
      <c r="H6950" s="1671">
        <f t="shared" si="1231"/>
        <v>10.08</v>
      </c>
      <c r="I6950" s="688" t="s">
        <v>92</v>
      </c>
      <c r="J6950" s="1669"/>
      <c r="K6950" s="1668"/>
      <c r="L6950" s="1669"/>
    </row>
    <row r="6951" spans="1:12" s="692" customFormat="1" ht="16.5" hidden="1">
      <c r="A6951" s="1665"/>
      <c r="B6951" s="1666"/>
      <c r="C6951" s="688"/>
      <c r="D6951" s="1667"/>
      <c r="E6951" s="1671">
        <v>3.5</v>
      </c>
      <c r="F6951" s="1668"/>
      <c r="G6951" s="1671">
        <v>4</v>
      </c>
      <c r="H6951" s="1671">
        <f t="shared" si="1231"/>
        <v>0</v>
      </c>
      <c r="I6951" s="688" t="s">
        <v>92</v>
      </c>
      <c r="J6951" s="1669"/>
      <c r="K6951" s="1668"/>
      <c r="L6951" s="1669"/>
    </row>
    <row r="6952" spans="1:12" s="692" customFormat="1" ht="16.5" hidden="1">
      <c r="A6952" s="1665"/>
      <c r="B6952" s="1666"/>
      <c r="C6952" s="688"/>
      <c r="D6952" s="1667"/>
      <c r="E6952" s="1671">
        <v>3.5</v>
      </c>
      <c r="F6952" s="1668"/>
      <c r="G6952" s="1671">
        <v>4</v>
      </c>
      <c r="H6952" s="1671">
        <f t="shared" si="1231"/>
        <v>0</v>
      </c>
      <c r="I6952" s="688" t="s">
        <v>92</v>
      </c>
      <c r="J6952" s="1669"/>
      <c r="K6952" s="1668"/>
      <c r="L6952" s="1669"/>
    </row>
    <row r="6953" spans="1:12" s="692" customFormat="1" ht="16.5" hidden="1">
      <c r="A6953" s="1665"/>
      <c r="B6953" s="1666"/>
      <c r="C6953" s="688"/>
      <c r="D6953" s="1667"/>
      <c r="E6953" s="1671">
        <v>3.5</v>
      </c>
      <c r="F6953" s="1668"/>
      <c r="G6953" s="1671">
        <v>4</v>
      </c>
      <c r="H6953" s="1671">
        <f t="shared" si="1231"/>
        <v>0</v>
      </c>
      <c r="I6953" s="688" t="s">
        <v>92</v>
      </c>
      <c r="J6953" s="1669"/>
      <c r="K6953" s="1668"/>
      <c r="L6953" s="1669"/>
    </row>
    <row r="6954" spans="1:12" s="692" customFormat="1" ht="16.5" hidden="1">
      <c r="A6954" s="1665"/>
      <c r="B6954" s="1666"/>
      <c r="C6954" s="688"/>
      <c r="D6954" s="1667"/>
      <c r="E6954" s="1671">
        <v>3.5</v>
      </c>
      <c r="F6954" s="1668"/>
      <c r="G6954" s="1671">
        <v>4</v>
      </c>
      <c r="H6954" s="1671">
        <f t="shared" si="1231"/>
        <v>0</v>
      </c>
      <c r="I6954" s="688" t="s">
        <v>92</v>
      </c>
      <c r="J6954" s="1669"/>
      <c r="K6954" s="1668"/>
      <c r="L6954" s="1669"/>
    </row>
    <row r="6955" spans="1:12" s="692" customFormat="1" ht="16.5">
      <c r="A6955" s="1665"/>
      <c r="B6955" s="1666"/>
      <c r="C6955" s="688"/>
      <c r="D6955" s="1667"/>
      <c r="E6955" s="1671"/>
      <c r="F6955" s="1671"/>
      <c r="G6955" s="1668" t="s">
        <v>928</v>
      </c>
      <c r="H6955" s="1673">
        <f>SUM(H6949:H6954)</f>
        <v>18.72</v>
      </c>
      <c r="I6955" s="677" t="s">
        <v>92</v>
      </c>
      <c r="J6955" s="1669"/>
      <c r="K6955" s="1668"/>
      <c r="L6955" s="1669"/>
    </row>
    <row r="6956" spans="1:12" s="692" customFormat="1" ht="16.5">
      <c r="A6956" s="1665"/>
      <c r="B6956" s="1666"/>
      <c r="C6956" s="688"/>
      <c r="D6956" s="1695" t="s">
        <v>1552</v>
      </c>
      <c r="E6956" s="1673">
        <v>38</v>
      </c>
      <c r="F6956" s="1673" t="s">
        <v>2999</v>
      </c>
      <c r="G6956" s="1665" t="s">
        <v>1039</v>
      </c>
      <c r="H6956" s="1673">
        <f>ROUND(H6955*E6956,2)</f>
        <v>711.36</v>
      </c>
      <c r="I6956" s="677" t="s">
        <v>95</v>
      </c>
      <c r="J6956" s="1669"/>
      <c r="K6956" s="1668"/>
      <c r="L6956" s="1669"/>
    </row>
    <row r="6957" spans="1:12" s="692" customFormat="1" ht="16.5">
      <c r="A6957" s="1665"/>
      <c r="B6957" s="1666"/>
      <c r="C6957" s="688"/>
      <c r="D6957" s="1667"/>
      <c r="E6957" s="1671"/>
      <c r="F6957" s="1671"/>
      <c r="G6957" s="1668" t="s">
        <v>928</v>
      </c>
      <c r="H6957" s="1673">
        <f>SUM(H6956)</f>
        <v>711.36</v>
      </c>
      <c r="I6957" s="677" t="s">
        <v>95</v>
      </c>
      <c r="J6957" s="1669">
        <f>J6947</f>
        <v>110</v>
      </c>
      <c r="K6957" s="1668" t="s">
        <v>1515</v>
      </c>
      <c r="L6957" s="1669">
        <f>ROUND(H6957*J6957,0)</f>
        <v>78250</v>
      </c>
    </row>
    <row r="6958" spans="1:12" s="692" customFormat="1" ht="16.5">
      <c r="A6958" s="1665">
        <v>21</v>
      </c>
      <c r="B6958" s="1666" t="s">
        <v>3764</v>
      </c>
      <c r="C6958" s="688"/>
      <c r="D6958" s="1667"/>
      <c r="E6958" s="1671"/>
      <c r="F6958" s="1671"/>
      <c r="G6958" s="1668"/>
      <c r="H6958" s="1673"/>
      <c r="I6958" s="1696" t="s">
        <v>1513</v>
      </c>
      <c r="J6958" s="1669"/>
      <c r="K6958" s="1668" t="s">
        <v>932</v>
      </c>
      <c r="L6958" s="1669">
        <v>12000</v>
      </c>
    </row>
    <row r="6959" spans="1:12" s="692" customFormat="1" ht="49.5">
      <c r="A6959" s="1665">
        <f>A6958+1</f>
        <v>22</v>
      </c>
      <c r="B6959" s="1666" t="s">
        <v>3765</v>
      </c>
      <c r="C6959" s="688"/>
      <c r="D6959" s="1667"/>
      <c r="E6959" s="1671"/>
      <c r="F6959" s="1671"/>
      <c r="G6959" s="1668"/>
      <c r="H6959" s="1673"/>
      <c r="I6959" s="1696" t="s">
        <v>1513</v>
      </c>
      <c r="J6959" s="1669"/>
      <c r="K6959" s="1668" t="s">
        <v>932</v>
      </c>
      <c r="L6959" s="1669">
        <v>240000</v>
      </c>
    </row>
    <row r="6960" spans="1:12" s="692" customFormat="1" ht="16.5">
      <c r="A6960" s="1665">
        <f t="shared" ref="A6960:A6961" si="1232">A6959+1</f>
        <v>23</v>
      </c>
      <c r="B6960" s="1666" t="s">
        <v>3766</v>
      </c>
      <c r="C6960" s="688"/>
      <c r="D6960" s="1667"/>
      <c r="E6960" s="1671"/>
      <c r="F6960" s="1671"/>
      <c r="G6960" s="1668"/>
      <c r="H6960" s="1673"/>
      <c r="I6960" s="1696" t="s">
        <v>1513</v>
      </c>
      <c r="J6960" s="1669"/>
      <c r="K6960" s="1668" t="s">
        <v>932</v>
      </c>
      <c r="L6960" s="1669">
        <v>15000</v>
      </c>
    </row>
    <row r="6961" spans="1:12" s="692" customFormat="1" ht="16.5" hidden="1">
      <c r="A6961" s="1665">
        <f t="shared" si="1232"/>
        <v>24</v>
      </c>
      <c r="B6961" s="1666"/>
      <c r="C6961" s="688"/>
      <c r="D6961" s="1667"/>
      <c r="E6961" s="1671"/>
      <c r="F6961" s="1671"/>
      <c r="G6961" s="1668"/>
      <c r="H6961" s="1673"/>
      <c r="I6961" s="1696" t="s">
        <v>1513</v>
      </c>
      <c r="J6961" s="1669"/>
      <c r="K6961" s="1668"/>
      <c r="L6961" s="1669"/>
    </row>
    <row r="6962" spans="1:12" s="692" customFormat="1" ht="16.5">
      <c r="A6962" s="1665"/>
      <c r="B6962" s="1666"/>
      <c r="C6962" s="688"/>
      <c r="D6962" s="1667"/>
      <c r="E6962" s="688"/>
      <c r="F6962" s="688"/>
      <c r="G6962" s="1674"/>
      <c r="H6962" s="688"/>
      <c r="I6962" s="1668"/>
      <c r="J6962" s="2750" t="s">
        <v>1982</v>
      </c>
      <c r="K6962" s="2750"/>
      <c r="L6962" s="1669" t="e">
        <f>SUM(L15:L6961)</f>
        <v>#REF!</v>
      </c>
    </row>
    <row r="6963" spans="1:12" s="692" customFormat="1">
      <c r="A6963" s="697"/>
      <c r="B6963" s="698"/>
      <c r="C6963" s="699"/>
      <c r="D6963" s="700"/>
      <c r="E6963" s="699"/>
      <c r="F6963" s="699"/>
      <c r="G6963" s="691"/>
      <c r="H6963" s="703"/>
      <c r="L6963" s="701"/>
    </row>
    <row r="6964" spans="1:12" s="692" customFormat="1">
      <c r="A6964" s="697"/>
      <c r="B6964" s="698"/>
      <c r="C6964" s="699"/>
      <c r="D6964" s="700"/>
      <c r="E6964" s="699"/>
      <c r="F6964" s="699"/>
      <c r="G6964" s="691"/>
      <c r="H6964" s="699"/>
      <c r="L6964" s="701"/>
    </row>
    <row r="6965" spans="1:12" s="692" customFormat="1">
      <c r="A6965" s="697"/>
      <c r="B6965" s="698"/>
      <c r="C6965" s="699"/>
      <c r="D6965" s="700"/>
      <c r="E6965" s="699"/>
      <c r="F6965" s="699"/>
      <c r="G6965" s="691"/>
      <c r="H6965" s="699"/>
      <c r="L6965" s="701"/>
    </row>
    <row r="6966" spans="1:12" s="692" customFormat="1">
      <c r="A6966" s="697"/>
      <c r="B6966" s="698"/>
      <c r="C6966" s="699"/>
      <c r="D6966" s="700"/>
      <c r="E6966" s="699"/>
      <c r="F6966" s="699"/>
      <c r="G6966" s="691"/>
      <c r="H6966" s="699"/>
      <c r="L6966" s="701"/>
    </row>
    <row r="6967" spans="1:12" s="692" customFormat="1">
      <c r="A6967" s="697"/>
      <c r="B6967" s="698"/>
      <c r="C6967" s="699"/>
      <c r="D6967" s="700"/>
      <c r="E6967" s="699"/>
      <c r="F6967" s="699"/>
      <c r="G6967" s="691"/>
      <c r="H6967" s="699"/>
      <c r="L6967" s="701"/>
    </row>
    <row r="6968" spans="1:12" s="692" customFormat="1">
      <c r="A6968" s="697"/>
      <c r="B6968" s="698"/>
      <c r="C6968" s="699"/>
      <c r="D6968" s="700"/>
      <c r="E6968" s="699"/>
      <c r="F6968" s="699"/>
      <c r="G6968" s="691"/>
      <c r="H6968" s="699"/>
      <c r="L6968" s="701"/>
    </row>
    <row r="6969" spans="1:12" s="1406" customFormat="1">
      <c r="A6969" s="706"/>
      <c r="B6969" s="1697" t="str">
        <f>'Lead &amp; ANALYSIS'!B144:C144</f>
        <v>Junior Engineer</v>
      </c>
      <c r="D6969" s="706"/>
      <c r="E6969" s="706" t="str">
        <f>'Lead &amp; ANALYSIS'!G144</f>
        <v>Assistant Executive Engineer</v>
      </c>
      <c r="G6969" s="706"/>
      <c r="K6969" s="706" t="str">
        <f>'Lead &amp; ANALYSIS'!L144</f>
        <v>Block Development Officer</v>
      </c>
    </row>
    <row r="6970" spans="1:12" s="1406" customFormat="1">
      <c r="A6970" s="706"/>
      <c r="B6970" s="1697" t="str">
        <f>'Lead &amp; ANALYSIS'!B145:C145</f>
        <v>Bhuban  Block</v>
      </c>
      <c r="D6970" s="706"/>
      <c r="E6970" s="706" t="str">
        <f>'Lead &amp; ANALYSIS'!G145</f>
        <v>Bhuban  Block</v>
      </c>
      <c r="G6970" s="706"/>
      <c r="K6970" s="706" t="str">
        <f>'Lead &amp; ANALYSIS'!L145</f>
        <v>Bhuban</v>
      </c>
    </row>
    <row r="6971" spans="1:12" s="705" customFormat="1">
      <c r="A6971" s="706"/>
      <c r="B6971" s="698"/>
      <c r="C6971" s="706"/>
      <c r="D6971" s="704"/>
      <c r="E6971" s="704"/>
      <c r="F6971" s="704"/>
      <c r="G6971" s="704"/>
    </row>
    <row r="6972" spans="1:12" s="705" customFormat="1">
      <c r="A6972" s="706"/>
      <c r="B6972" s="698"/>
      <c r="C6972" s="706"/>
      <c r="D6972" s="704"/>
      <c r="E6972" s="704"/>
      <c r="F6972" s="704"/>
      <c r="G6972" s="704"/>
    </row>
    <row r="6973" spans="1:12" s="705" customFormat="1">
      <c r="A6973" s="706"/>
      <c r="B6973" s="698"/>
      <c r="C6973" s="706"/>
      <c r="D6973" s="704"/>
      <c r="E6973" s="704"/>
      <c r="F6973" s="704"/>
      <c r="G6973" s="704"/>
    </row>
    <row r="6974" spans="1:12" s="705" customFormat="1">
      <c r="A6974" s="706"/>
      <c r="B6974" s="698"/>
      <c r="C6974" s="706"/>
      <c r="D6974" s="704"/>
      <c r="E6974" s="704"/>
      <c r="F6974" s="704"/>
      <c r="G6974" s="704"/>
    </row>
    <row r="6975" spans="1:12" s="705" customFormat="1">
      <c r="A6975" s="706"/>
      <c r="B6975" s="698"/>
      <c r="C6975" s="706"/>
      <c r="D6975" s="704"/>
      <c r="E6975" s="704"/>
      <c r="F6975" s="704"/>
      <c r="G6975" s="704"/>
    </row>
    <row r="6976" spans="1:12" s="705" customFormat="1">
      <c r="A6976" s="706"/>
      <c r="B6976" s="698"/>
      <c r="C6976" s="706"/>
      <c r="D6976" s="704"/>
      <c r="E6976" s="704"/>
      <c r="F6976" s="704"/>
      <c r="G6976" s="704"/>
    </row>
  </sheetData>
  <mergeCells count="36">
    <mergeCell ref="J6962:K6962"/>
    <mergeCell ref="M1:P1"/>
    <mergeCell ref="N3:O3"/>
    <mergeCell ref="N4:O4"/>
    <mergeCell ref="J4:K4"/>
    <mergeCell ref="A1:L1"/>
    <mergeCell ref="B2:B3"/>
    <mergeCell ref="A2:A3"/>
    <mergeCell ref="E2:E3"/>
    <mergeCell ref="F2:F3"/>
    <mergeCell ref="G2:G3"/>
    <mergeCell ref="L2:L3"/>
    <mergeCell ref="J2:K3"/>
    <mergeCell ref="C2:D3"/>
    <mergeCell ref="H2:I3"/>
    <mergeCell ref="C4:D4"/>
    <mergeCell ref="N2:O2"/>
    <mergeCell ref="H4:I4"/>
    <mergeCell ref="C5:D5"/>
    <mergeCell ref="C8:D8"/>
    <mergeCell ref="H9:I9"/>
    <mergeCell ref="H6:I6"/>
    <mergeCell ref="H8:I8"/>
    <mergeCell ref="C6:D6"/>
    <mergeCell ref="H5:I5"/>
    <mergeCell ref="C7:D7"/>
    <mergeCell ref="H7:I7"/>
    <mergeCell ref="C9:D9"/>
    <mergeCell ref="H10:I10"/>
    <mergeCell ref="C11:D11"/>
    <mergeCell ref="H11:I11"/>
    <mergeCell ref="C12:D12"/>
    <mergeCell ref="C13:D13"/>
    <mergeCell ref="H12:I12"/>
    <mergeCell ref="H13:I13"/>
    <mergeCell ref="C10:D10"/>
  </mergeCells>
  <pageMargins left="0.59055118110236227" right="0.39370078740157483" top="0.59055118110236227" bottom="0.59055118110236227" header="0.51181102362204722" footer="0.51181102362204722"/>
  <pageSetup paperSize="9" scale="80" orientation="portrait" r:id="rId1"/>
  <headerFooter alignWithMargins="0"/>
</worksheet>
</file>

<file path=xl/worksheets/sheet15.xml><?xml version="1.0" encoding="utf-8"?>
<worksheet xmlns="http://schemas.openxmlformats.org/spreadsheetml/2006/main" xmlns:r="http://schemas.openxmlformats.org/officeDocument/2006/relationships">
  <sheetPr>
    <tabColor rgb="FF00B050"/>
  </sheetPr>
  <dimension ref="O14:JG173"/>
  <sheetViews>
    <sheetView view="pageBreakPreview" zoomScale="71" zoomScaleSheetLayoutView="71" workbookViewId="0">
      <selection activeCell="EB124" sqref="EB124"/>
    </sheetView>
  </sheetViews>
  <sheetFormatPr defaultColWidth="0.7109375" defaultRowHeight="4.1500000000000004" customHeight="1"/>
  <cols>
    <col min="1" max="16384" width="0.7109375" style="494"/>
  </cols>
  <sheetData>
    <row r="14" spans="21:267" ht="4.1500000000000004" customHeight="1">
      <c r="EC14" s="508"/>
      <c r="ED14" s="509"/>
      <c r="EE14" s="509"/>
      <c r="EF14" s="509"/>
      <c r="EG14" s="509"/>
      <c r="EH14" s="509"/>
      <c r="EI14" s="509"/>
      <c r="EJ14" s="509"/>
      <c r="EK14" s="509"/>
      <c r="EL14" s="509"/>
      <c r="EM14" s="509"/>
      <c r="EN14" s="509"/>
      <c r="EO14" s="509"/>
      <c r="EP14" s="509"/>
      <c r="EQ14" s="509"/>
      <c r="ER14" s="509"/>
      <c r="ES14" s="509"/>
      <c r="ET14" s="509"/>
      <c r="EU14" s="509"/>
      <c r="EV14" s="509"/>
      <c r="EW14" s="509"/>
      <c r="EX14" s="509"/>
      <c r="EY14" s="509"/>
      <c r="EZ14" s="509"/>
      <c r="FA14" s="509"/>
      <c r="FB14" s="509"/>
      <c r="FC14" s="509"/>
      <c r="FD14" s="509"/>
      <c r="FE14" s="509"/>
      <c r="FF14" s="509"/>
      <c r="FG14" s="509"/>
      <c r="FH14" s="509"/>
      <c r="FI14" s="509"/>
      <c r="FJ14" s="509"/>
      <c r="FK14" s="509"/>
      <c r="FL14" s="509"/>
      <c r="FM14" s="509"/>
      <c r="FN14" s="510"/>
      <c r="FO14" s="509"/>
      <c r="FP14" s="509"/>
      <c r="FQ14" s="509"/>
      <c r="FR14" s="509"/>
      <c r="FS14" s="509"/>
      <c r="FT14" s="509"/>
      <c r="FU14" s="509"/>
      <c r="FV14" s="509"/>
      <c r="FW14" s="509"/>
      <c r="FX14" s="509"/>
      <c r="FY14" s="509"/>
      <c r="GT14" s="508"/>
      <c r="GU14" s="509"/>
      <c r="GV14" s="509"/>
      <c r="GW14" s="509"/>
      <c r="GX14" s="509"/>
      <c r="GY14" s="509"/>
      <c r="GZ14" s="509"/>
      <c r="HA14" s="509"/>
      <c r="HB14" s="509"/>
      <c r="HC14" s="509"/>
      <c r="HD14" s="509"/>
      <c r="HE14" s="509"/>
      <c r="HF14" s="509"/>
      <c r="HG14" s="509"/>
      <c r="HH14" s="509"/>
      <c r="HI14" s="509"/>
      <c r="HJ14" s="509"/>
      <c r="HK14" s="509"/>
      <c r="HL14" s="509"/>
      <c r="HM14" s="509"/>
      <c r="HN14" s="509"/>
      <c r="HO14" s="509"/>
      <c r="HP14" s="509"/>
      <c r="HQ14" s="509"/>
      <c r="HR14" s="509"/>
      <c r="HS14" s="509"/>
      <c r="HT14" s="509"/>
      <c r="HU14" s="510"/>
      <c r="IB14" s="515"/>
      <c r="IC14" s="514"/>
      <c r="ID14" s="514"/>
      <c r="IE14" s="514"/>
      <c r="IF14" s="514"/>
      <c r="IG14" s="514"/>
      <c r="IH14" s="514"/>
      <c r="II14" s="514"/>
      <c r="IJ14" s="514"/>
      <c r="IK14" s="514"/>
      <c r="IL14" s="514"/>
      <c r="IM14" s="514"/>
      <c r="IN14" s="514"/>
      <c r="IO14" s="514"/>
      <c r="IP14" s="514"/>
      <c r="IQ14" s="514"/>
      <c r="IR14" s="514"/>
      <c r="IS14" s="514"/>
      <c r="IT14" s="514"/>
      <c r="IU14" s="514"/>
      <c r="IV14" s="514"/>
      <c r="IW14" s="518"/>
      <c r="JA14" s="2769">
        <v>0.1</v>
      </c>
      <c r="JB14" s="2769"/>
      <c r="JC14" s="2769"/>
      <c r="JD14" s="2769"/>
      <c r="JE14" s="2769"/>
      <c r="JF14" s="2769"/>
      <c r="JG14" s="2769"/>
    </row>
    <row r="15" spans="21:267" ht="4.1500000000000004" customHeight="1">
      <c r="U15" s="511"/>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3"/>
      <c r="DK15" s="514"/>
      <c r="DL15" s="514"/>
      <c r="DM15" s="514"/>
      <c r="DN15" s="515"/>
      <c r="DO15" s="514"/>
      <c r="EC15" s="2590">
        <v>0.15</v>
      </c>
      <c r="ED15" s="2591"/>
      <c r="EE15" s="516"/>
      <c r="EI15" s="517"/>
      <c r="FL15" s="516"/>
      <c r="GV15" s="522"/>
      <c r="GW15" s="523"/>
      <c r="GX15" s="523"/>
      <c r="GY15" s="524"/>
      <c r="HC15" s="2596">
        <v>0.25</v>
      </c>
      <c r="HD15" s="2597"/>
      <c r="HE15" s="2597"/>
      <c r="HF15" s="2597"/>
      <c r="HG15" s="2597"/>
      <c r="HH15" s="2597"/>
      <c r="HI15" s="2597"/>
      <c r="HJ15" s="2597"/>
      <c r="HK15" s="2597"/>
      <c r="HL15" s="2597"/>
      <c r="HM15" s="2597"/>
      <c r="HN15" s="2597"/>
      <c r="IB15" s="530"/>
      <c r="IC15" s="532"/>
      <c r="ID15" s="532"/>
      <c r="IE15" s="532"/>
      <c r="IF15" s="532"/>
      <c r="IG15" s="532"/>
      <c r="IH15" s="532"/>
      <c r="IJ15" s="515"/>
      <c r="IK15" s="514"/>
      <c r="IL15" s="514"/>
      <c r="IM15" s="514"/>
      <c r="IN15" s="514"/>
      <c r="IO15" s="518"/>
      <c r="IQ15" s="532"/>
      <c r="IR15" s="532"/>
      <c r="IS15" s="532"/>
      <c r="IT15" s="532"/>
      <c r="IU15" s="532"/>
      <c r="IV15" s="532"/>
      <c r="IW15" s="531"/>
      <c r="JA15" s="2770"/>
      <c r="JB15" s="2770"/>
      <c r="JC15" s="2770"/>
      <c r="JD15" s="2770"/>
      <c r="JE15" s="2770"/>
      <c r="JF15" s="2770"/>
      <c r="JG15" s="2770"/>
    </row>
    <row r="16" spans="21:267" ht="4.1500000000000004" customHeight="1">
      <c r="V16" s="516"/>
      <c r="CK16" s="517"/>
      <c r="DN16" s="516"/>
      <c r="EC16" s="2592"/>
      <c r="ED16" s="2593"/>
      <c r="EE16" s="516"/>
      <c r="EI16" s="517"/>
      <c r="EY16" s="2594">
        <v>0.9</v>
      </c>
      <c r="EZ16" s="2595"/>
      <c r="FA16" s="2595"/>
      <c r="FB16" s="2595"/>
      <c r="FL16" s="516"/>
      <c r="GV16" s="522"/>
      <c r="GW16" s="523"/>
      <c r="GX16" s="523"/>
      <c r="GY16" s="524"/>
      <c r="HC16" s="2596"/>
      <c r="HD16" s="2596"/>
      <c r="HE16" s="2596"/>
      <c r="HF16" s="2596"/>
      <c r="HG16" s="2596"/>
      <c r="HH16" s="2596"/>
      <c r="HI16" s="2596"/>
      <c r="HJ16" s="2596"/>
      <c r="HK16" s="2596"/>
      <c r="HL16" s="2596"/>
      <c r="HM16" s="2596"/>
      <c r="HN16" s="2596"/>
      <c r="II16" s="516"/>
      <c r="IJ16" s="516"/>
      <c r="IO16" s="517"/>
      <c r="IP16" s="517"/>
      <c r="IT16" s="2613">
        <v>0.3</v>
      </c>
      <c r="IU16" s="2613"/>
      <c r="IV16" s="2613"/>
      <c r="IW16" s="2613"/>
    </row>
    <row r="17" spans="22:257" ht="4.1500000000000004" customHeight="1">
      <c r="V17" s="516"/>
      <c r="CK17" s="517"/>
      <c r="DN17" s="516"/>
      <c r="EC17" s="2592"/>
      <c r="ED17" s="2593"/>
      <c r="EE17" s="516"/>
      <c r="EI17" s="517"/>
      <c r="EY17" s="2595"/>
      <c r="EZ17" s="2595"/>
      <c r="FA17" s="2595"/>
      <c r="FB17" s="2595"/>
      <c r="FL17" s="516"/>
      <c r="GV17" s="522"/>
      <c r="GW17" s="523"/>
      <c r="GX17" s="523"/>
      <c r="GY17" s="524"/>
      <c r="HC17" s="2598"/>
      <c r="HD17" s="2598"/>
      <c r="HE17" s="2598"/>
      <c r="HF17" s="2598"/>
      <c r="HG17" s="2598"/>
      <c r="HH17" s="2598"/>
      <c r="HI17" s="2598"/>
      <c r="HJ17" s="2598"/>
      <c r="HK17" s="2598"/>
      <c r="HL17" s="2598"/>
      <c r="HM17" s="2598"/>
      <c r="HN17" s="2598"/>
      <c r="II17" s="516"/>
      <c r="IJ17" s="516"/>
      <c r="IO17" s="517"/>
      <c r="IP17" s="517"/>
      <c r="IT17" s="2594"/>
      <c r="IU17" s="2594"/>
      <c r="IV17" s="2594"/>
      <c r="IW17" s="2594"/>
    </row>
    <row r="18" spans="22:257" ht="4.1500000000000004" customHeight="1">
      <c r="V18" s="516"/>
      <c r="CK18" s="517"/>
      <c r="DN18" s="516"/>
      <c r="EC18" s="2592"/>
      <c r="ED18" s="2593"/>
      <c r="EE18" s="516"/>
      <c r="EI18" s="517"/>
      <c r="EY18" s="2595"/>
      <c r="EZ18" s="2595"/>
      <c r="FA18" s="2595"/>
      <c r="FB18" s="2595"/>
      <c r="FL18" s="516"/>
      <c r="GV18" s="516"/>
      <c r="GY18" s="517"/>
      <c r="HI18" s="515"/>
      <c r="HJ18" s="514"/>
      <c r="II18" s="516"/>
      <c r="IJ18" s="516"/>
      <c r="IO18" s="517"/>
      <c r="IP18" s="517"/>
      <c r="IT18" s="2594"/>
      <c r="IU18" s="2594"/>
      <c r="IV18" s="2594"/>
      <c r="IW18" s="2594"/>
    </row>
    <row r="19" spans="22:257" ht="4.1500000000000004" customHeight="1">
      <c r="V19" s="516"/>
      <c r="CK19" s="517"/>
      <c r="DN19" s="516"/>
      <c r="EC19" s="2592"/>
      <c r="ED19" s="2593"/>
      <c r="EE19" s="516"/>
      <c r="EI19" s="517"/>
      <c r="EY19" s="2595"/>
      <c r="EZ19" s="2595"/>
      <c r="FA19" s="2595"/>
      <c r="FB19" s="2595"/>
      <c r="FL19" s="516"/>
      <c r="GV19" s="516"/>
      <c r="GY19" s="517"/>
      <c r="HI19" s="516"/>
      <c r="II19" s="516"/>
      <c r="IJ19" s="516"/>
      <c r="IO19" s="517"/>
      <c r="IP19" s="517"/>
      <c r="IT19" s="2594"/>
      <c r="IU19" s="2594"/>
      <c r="IV19" s="2594"/>
      <c r="IW19" s="2594"/>
    </row>
    <row r="20" spans="22:257" ht="4.1500000000000004" customHeight="1">
      <c r="V20" s="516"/>
      <c r="CK20" s="517"/>
      <c r="DN20" s="516"/>
      <c r="EC20" s="2592"/>
      <c r="ED20" s="2593"/>
      <c r="EE20" s="516"/>
      <c r="EI20" s="517"/>
      <c r="EY20" s="2595"/>
      <c r="EZ20" s="2595"/>
      <c r="FA20" s="2595"/>
      <c r="FB20" s="2595"/>
      <c r="FL20" s="516"/>
      <c r="GV20" s="516"/>
      <c r="GY20" s="517"/>
      <c r="HC20" s="2615">
        <f>EY16-HC15</f>
        <v>0.65</v>
      </c>
      <c r="HD20" s="2608"/>
      <c r="HE20" s="2608"/>
      <c r="HF20" s="2608"/>
      <c r="HG20" s="2608"/>
      <c r="HH20" s="2608"/>
      <c r="HI20" s="2608"/>
      <c r="HJ20" s="2608"/>
      <c r="HK20" s="2608"/>
      <c r="HL20" s="2608"/>
      <c r="HM20" s="2608"/>
      <c r="HN20" s="2608"/>
      <c r="II20" s="516"/>
      <c r="IJ20" s="516"/>
      <c r="IO20" s="517"/>
      <c r="IP20" s="517"/>
      <c r="IT20" s="2594"/>
      <c r="IU20" s="2594"/>
      <c r="IV20" s="2594"/>
      <c r="IW20" s="2594"/>
    </row>
    <row r="21" spans="22:257" ht="4.1500000000000004" customHeight="1">
      <c r="V21" s="516"/>
      <c r="CK21" s="517"/>
      <c r="DN21" s="516"/>
      <c r="EE21" s="516"/>
      <c r="EI21" s="517"/>
      <c r="EY21" s="2595"/>
      <c r="EZ21" s="2595"/>
      <c r="FA21" s="2595"/>
      <c r="FB21" s="2595"/>
      <c r="FL21" s="516"/>
      <c r="GV21" s="516"/>
      <c r="GY21" s="517"/>
      <c r="HC21" s="2608"/>
      <c r="HD21" s="2608"/>
      <c r="HE21" s="2608"/>
      <c r="HF21" s="2608"/>
      <c r="HG21" s="2608"/>
      <c r="HH21" s="2608"/>
      <c r="HI21" s="2608"/>
      <c r="HJ21" s="2608"/>
      <c r="HK21" s="2608"/>
      <c r="HL21" s="2608"/>
      <c r="HM21" s="2608"/>
      <c r="HN21" s="2608"/>
      <c r="II21" s="516"/>
      <c r="IJ21" s="516"/>
      <c r="IO21" s="517"/>
      <c r="IP21" s="517"/>
      <c r="IT21" s="2594"/>
      <c r="IU21" s="2594"/>
      <c r="IV21" s="2594"/>
      <c r="IW21" s="2594"/>
    </row>
    <row r="22" spans="22:257" ht="4.1500000000000004" customHeight="1">
      <c r="V22" s="516"/>
      <c r="CK22" s="517"/>
      <c r="DN22" s="516"/>
      <c r="EE22" s="516"/>
      <c r="EI22" s="517"/>
      <c r="EY22" s="2595"/>
      <c r="EZ22" s="2595"/>
      <c r="FA22" s="2595"/>
      <c r="FB22" s="2595"/>
      <c r="FL22" s="516"/>
      <c r="GV22" s="516"/>
      <c r="GY22" s="517"/>
      <c r="HC22" s="2608"/>
      <c r="HD22" s="2608"/>
      <c r="HE22" s="2608"/>
      <c r="HF22" s="2608"/>
      <c r="HG22" s="2608"/>
      <c r="HH22" s="2608"/>
      <c r="HI22" s="2608"/>
      <c r="HJ22" s="2608"/>
      <c r="HK22" s="2608"/>
      <c r="HL22" s="2608"/>
      <c r="HM22" s="2608"/>
      <c r="HN22" s="2608"/>
      <c r="II22" s="516"/>
      <c r="IJ22" s="516"/>
      <c r="IO22" s="517"/>
      <c r="IP22" s="517"/>
      <c r="IT22" s="2594"/>
      <c r="IU22" s="2594"/>
      <c r="IV22" s="2594"/>
      <c r="IW22" s="2594"/>
    </row>
    <row r="23" spans="22:257" ht="4.1500000000000004" customHeight="1">
      <c r="V23" s="516"/>
      <c r="CK23" s="517"/>
      <c r="DN23" s="516"/>
      <c r="EE23" s="516"/>
      <c r="EI23" s="517"/>
      <c r="EY23" s="2595"/>
      <c r="EZ23" s="2595"/>
      <c r="FA23" s="2595"/>
      <c r="FB23" s="2595"/>
      <c r="FL23" s="516"/>
      <c r="GV23" s="516"/>
      <c r="GY23" s="517"/>
      <c r="HI23" s="516"/>
      <c r="II23" s="516"/>
      <c r="IJ23" s="530"/>
      <c r="IK23" s="532"/>
      <c r="IL23" s="532"/>
      <c r="IM23" s="532"/>
      <c r="IN23" s="532"/>
      <c r="IO23" s="531"/>
      <c r="IP23" s="517"/>
      <c r="IT23" s="2594"/>
      <c r="IU23" s="2594"/>
      <c r="IV23" s="2594"/>
      <c r="IW23" s="2594"/>
    </row>
    <row r="24" spans="22:257" ht="4.1500000000000004" customHeight="1">
      <c r="V24" s="516"/>
      <c r="CK24" s="517"/>
      <c r="DN24" s="516"/>
      <c r="EE24" s="516"/>
      <c r="EI24" s="517"/>
      <c r="EY24" s="2595"/>
      <c r="EZ24" s="2595"/>
      <c r="FA24" s="2595"/>
      <c r="FB24" s="2595"/>
      <c r="FL24" s="516"/>
      <c r="GV24" s="516"/>
      <c r="GY24" s="517"/>
      <c r="HI24" s="516"/>
      <c r="II24" s="530"/>
      <c r="IJ24" s="532"/>
      <c r="IK24" s="532"/>
      <c r="IL24" s="532"/>
      <c r="IM24" s="532"/>
      <c r="IN24" s="532"/>
      <c r="IO24" s="532"/>
      <c r="IP24" s="531"/>
      <c r="IT24" s="2614"/>
      <c r="IU24" s="2614"/>
      <c r="IV24" s="2614"/>
      <c r="IW24" s="2614"/>
    </row>
    <row r="25" spans="22:257" ht="4.1500000000000004" customHeight="1">
      <c r="V25" s="516"/>
      <c r="CK25" s="517"/>
      <c r="DN25" s="516"/>
      <c r="EE25" s="516"/>
      <c r="EI25" s="517"/>
      <c r="EY25" s="2595"/>
      <c r="EZ25" s="2595"/>
      <c r="FA25" s="2595"/>
      <c r="FB25" s="2595"/>
      <c r="FL25" s="516"/>
      <c r="GV25" s="516"/>
      <c r="GY25" s="517"/>
      <c r="HI25" s="516"/>
    </row>
    <row r="26" spans="22:257" ht="4.1500000000000004" customHeight="1">
      <c r="V26" s="516"/>
      <c r="CK26" s="517"/>
      <c r="DN26" s="516"/>
      <c r="EE26" s="516"/>
      <c r="EI26" s="517"/>
      <c r="FL26" s="516"/>
      <c r="GV26" s="516"/>
      <c r="GY26" s="517"/>
      <c r="HI26" s="530"/>
      <c r="HJ26" s="532"/>
      <c r="HK26" s="532"/>
      <c r="HL26" s="532"/>
      <c r="HM26" s="532"/>
      <c r="II26" s="2609">
        <v>0.25</v>
      </c>
      <c r="IJ26" s="2610"/>
      <c r="IK26" s="2610"/>
      <c r="IL26" s="2610"/>
      <c r="IM26" s="2610"/>
      <c r="IN26" s="2610"/>
      <c r="IO26" s="2610"/>
      <c r="IP26" s="2611"/>
    </row>
    <row r="27" spans="22:257" ht="4.1500000000000004" customHeight="1">
      <c r="V27" s="515"/>
      <c r="W27" s="514"/>
      <c r="X27" s="514"/>
      <c r="Y27" s="514"/>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4"/>
      <c r="CI27" s="514"/>
      <c r="CJ27" s="514"/>
      <c r="CK27" s="518"/>
      <c r="DN27" s="516"/>
      <c r="EE27" s="519"/>
      <c r="EF27" s="520"/>
      <c r="EG27" s="520"/>
      <c r="EH27" s="520"/>
      <c r="EI27" s="521"/>
      <c r="EU27" s="2596">
        <v>0.15</v>
      </c>
      <c r="EV27" s="2597"/>
      <c r="EW27" s="2597"/>
      <c r="EX27" s="2597"/>
      <c r="EY27" s="2597"/>
      <c r="EZ27" s="2597"/>
      <c r="FA27" s="2597"/>
      <c r="FB27" s="2597"/>
      <c r="FC27" s="2597"/>
      <c r="FD27" s="2597"/>
      <c r="FE27" s="2597"/>
      <c r="FF27" s="2597"/>
      <c r="FL27" s="516"/>
      <c r="GV27" s="522"/>
      <c r="GW27" s="523"/>
      <c r="GX27" s="523"/>
      <c r="GY27" s="524"/>
      <c r="HC27" s="2596">
        <v>0.15</v>
      </c>
      <c r="HD27" s="2597"/>
      <c r="HE27" s="2597"/>
      <c r="HF27" s="2597"/>
      <c r="HG27" s="2597"/>
      <c r="HH27" s="2597"/>
      <c r="HI27" s="2597"/>
      <c r="HJ27" s="2597"/>
      <c r="HK27" s="2597"/>
      <c r="HL27" s="2597"/>
      <c r="HM27" s="2597"/>
      <c r="HN27" s="2597"/>
      <c r="II27" s="2609"/>
      <c r="IJ27" s="2610"/>
      <c r="IK27" s="2610"/>
      <c r="IL27" s="2610"/>
      <c r="IM27" s="2610"/>
      <c r="IN27" s="2610"/>
      <c r="IO27" s="2610"/>
      <c r="IP27" s="2611"/>
    </row>
    <row r="28" spans="22:257" ht="4.1500000000000004" customHeight="1">
      <c r="V28" s="515"/>
      <c r="W28" s="514"/>
      <c r="X28" s="514"/>
      <c r="Y28" s="518"/>
      <c r="Z28" s="514"/>
      <c r="AA28" s="514"/>
      <c r="AB28" s="514"/>
      <c r="AC28" s="515"/>
      <c r="AD28" s="525"/>
      <c r="AE28" s="514"/>
      <c r="AF28" s="514"/>
      <c r="AG28" s="514"/>
      <c r="AH28" s="518"/>
      <c r="BA28" s="517"/>
      <c r="BF28" s="516"/>
      <c r="CH28" s="515"/>
      <c r="CI28" s="514"/>
      <c r="CJ28" s="514"/>
      <c r="CK28" s="518"/>
      <c r="DN28" s="516"/>
      <c r="EE28" s="522"/>
      <c r="EF28" s="523"/>
      <c r="EG28" s="523"/>
      <c r="EH28" s="523"/>
      <c r="EI28" s="524"/>
      <c r="EU28" s="2596"/>
      <c r="EV28" s="2596"/>
      <c r="EW28" s="2596"/>
      <c r="EX28" s="2596"/>
      <c r="EY28" s="2596"/>
      <c r="EZ28" s="2596"/>
      <c r="FA28" s="2596"/>
      <c r="FB28" s="2596"/>
      <c r="FC28" s="2596"/>
      <c r="FD28" s="2596"/>
      <c r="FE28" s="2596"/>
      <c r="FF28" s="2596"/>
      <c r="FL28" s="516"/>
      <c r="GV28" s="522"/>
      <c r="GW28" s="523"/>
      <c r="GX28" s="523"/>
      <c r="GY28" s="524"/>
      <c r="HC28" s="2596"/>
      <c r="HD28" s="2596"/>
      <c r="HE28" s="2596"/>
      <c r="HF28" s="2596"/>
      <c r="HG28" s="2596"/>
      <c r="HH28" s="2596"/>
      <c r="HI28" s="2596"/>
      <c r="HJ28" s="2596"/>
      <c r="HK28" s="2596"/>
      <c r="HL28" s="2596"/>
      <c r="HM28" s="2596"/>
      <c r="HN28" s="2596"/>
      <c r="II28" s="2609"/>
      <c r="IJ28" s="2610"/>
      <c r="IK28" s="2610"/>
      <c r="IL28" s="2610"/>
      <c r="IM28" s="2610"/>
      <c r="IN28" s="2610"/>
      <c r="IO28" s="2610"/>
      <c r="IP28" s="2611"/>
    </row>
    <row r="29" spans="22:257" ht="4.1500000000000004" customHeight="1">
      <c r="V29" s="516"/>
      <c r="Y29" s="517"/>
      <c r="Z29" s="515"/>
      <c r="AA29" s="518"/>
      <c r="AC29" s="516"/>
      <c r="AD29" s="526"/>
      <c r="AF29" s="515"/>
      <c r="AG29" s="518"/>
      <c r="AH29" s="517"/>
      <c r="BA29" s="517"/>
      <c r="BF29" s="516"/>
      <c r="CH29" s="516"/>
      <c r="CK29" s="517"/>
      <c r="DN29" s="516"/>
      <c r="DX29" s="508"/>
      <c r="DY29" s="509"/>
      <c r="DZ29" s="509"/>
      <c r="EA29" s="509"/>
      <c r="EB29" s="509"/>
      <c r="EC29" s="509"/>
      <c r="ED29" s="510"/>
      <c r="EE29" s="527"/>
      <c r="EF29" s="528"/>
      <c r="EG29" s="528"/>
      <c r="EH29" s="528"/>
      <c r="EI29" s="529"/>
      <c r="EU29" s="2598"/>
      <c r="EV29" s="2598"/>
      <c r="EW29" s="2598"/>
      <c r="EX29" s="2598"/>
      <c r="EY29" s="2598"/>
      <c r="EZ29" s="2598"/>
      <c r="FA29" s="2598"/>
      <c r="FB29" s="2598"/>
      <c r="FC29" s="2598"/>
      <c r="FD29" s="2598"/>
      <c r="FE29" s="2598"/>
      <c r="FF29" s="2598"/>
      <c r="FL29" s="516"/>
      <c r="GP29" s="508"/>
      <c r="GQ29" s="509"/>
      <c r="GR29" s="509"/>
      <c r="GS29" s="509"/>
      <c r="GT29" s="509"/>
      <c r="GU29" s="510"/>
      <c r="GV29" s="522"/>
      <c r="GW29" s="523"/>
      <c r="GX29" s="523"/>
      <c r="GY29" s="524"/>
      <c r="HC29" s="2598"/>
      <c r="HD29" s="2598"/>
      <c r="HE29" s="2598"/>
      <c r="HF29" s="2598"/>
      <c r="HG29" s="2598"/>
      <c r="HH29" s="2598"/>
      <c r="HI29" s="2598"/>
      <c r="HJ29" s="2598"/>
      <c r="HK29" s="2598"/>
      <c r="HL29" s="2598"/>
      <c r="HM29" s="2598"/>
      <c r="HN29" s="2598"/>
    </row>
    <row r="30" spans="22:257" ht="4.1500000000000004" customHeight="1">
      <c r="V30" s="516"/>
      <c r="Y30" s="517"/>
      <c r="Z30" s="516"/>
      <c r="AA30" s="517"/>
      <c r="AC30" s="516"/>
      <c r="AD30" s="526"/>
      <c r="AF30" s="516"/>
      <c r="AG30" s="517"/>
      <c r="AH30" s="517"/>
      <c r="BA30" s="517"/>
      <c r="BF30" s="516"/>
      <c r="CH30" s="516"/>
      <c r="CK30" s="517"/>
      <c r="DN30" s="516"/>
      <c r="EE30" s="516"/>
      <c r="EI30" s="517"/>
      <c r="EU30" s="514"/>
      <c r="EV30" s="514"/>
      <c r="EW30" s="514"/>
      <c r="EX30" s="514"/>
      <c r="EY30" s="514"/>
      <c r="EZ30" s="514"/>
      <c r="FA30" s="515"/>
      <c r="FB30" s="514"/>
      <c r="FC30" s="514"/>
      <c r="FD30" s="514"/>
      <c r="FE30" s="514"/>
      <c r="FF30" s="514"/>
      <c r="FJ30" s="2594">
        <f>EY16+EU27+EY35</f>
        <v>3.1500000000000004</v>
      </c>
      <c r="FK30" s="2595"/>
      <c r="FL30" s="2595"/>
      <c r="FM30" s="2595"/>
      <c r="GV30" s="516"/>
      <c r="GY30" s="517"/>
      <c r="HC30" s="514"/>
      <c r="HD30" s="514"/>
      <c r="HE30" s="514"/>
      <c r="HF30" s="514"/>
      <c r="HG30" s="514"/>
      <c r="HH30" s="514"/>
      <c r="HI30" s="515"/>
      <c r="HJ30" s="514"/>
      <c r="HK30" s="514"/>
      <c r="HL30" s="514"/>
      <c r="HM30" s="514"/>
      <c r="HN30" s="514"/>
    </row>
    <row r="31" spans="22:257" ht="4.1500000000000004" customHeight="1">
      <c r="V31" s="516"/>
      <c r="Y31" s="517"/>
      <c r="Z31" s="516"/>
      <c r="AA31" s="517"/>
      <c r="AC31" s="516"/>
      <c r="AD31" s="526"/>
      <c r="AF31" s="516"/>
      <c r="AG31" s="517"/>
      <c r="AH31" s="517"/>
      <c r="BA31" s="517"/>
      <c r="BF31" s="516"/>
      <c r="CH31" s="516"/>
      <c r="CK31" s="517"/>
      <c r="DN31" s="516"/>
      <c r="DX31" s="2599">
        <v>0.6</v>
      </c>
      <c r="DY31" s="2600"/>
      <c r="DZ31" s="2600"/>
      <c r="EA31" s="2600"/>
      <c r="EB31" s="2600"/>
      <c r="EC31" s="2600"/>
      <c r="ED31" s="2601"/>
      <c r="EE31" s="516"/>
      <c r="EI31" s="517"/>
      <c r="FA31" s="516"/>
      <c r="FJ31" s="2595"/>
      <c r="FK31" s="2595"/>
      <c r="FL31" s="2595"/>
      <c r="FM31" s="2595"/>
      <c r="GV31" s="516"/>
      <c r="GY31" s="517"/>
      <c r="HI31" s="516"/>
    </row>
    <row r="32" spans="22:257" ht="4.1500000000000004" customHeight="1">
      <c r="V32" s="516"/>
      <c r="Y32" s="517"/>
      <c r="Z32" s="516"/>
      <c r="AA32" s="517"/>
      <c r="AC32" s="516"/>
      <c r="AD32" s="526"/>
      <c r="AF32" s="516"/>
      <c r="AG32" s="517"/>
      <c r="AH32" s="517"/>
      <c r="BA32" s="517"/>
      <c r="BF32" s="516"/>
      <c r="CH32" s="516"/>
      <c r="CK32" s="517"/>
      <c r="DL32" s="2594">
        <f>FJ30+FK53</f>
        <v>3.7500000000000004</v>
      </c>
      <c r="DM32" s="2595"/>
      <c r="DN32" s="2595"/>
      <c r="DO32" s="2595"/>
      <c r="DX32" s="2599"/>
      <c r="DY32" s="2600"/>
      <c r="DZ32" s="2600"/>
      <c r="EA32" s="2600"/>
      <c r="EB32" s="2600"/>
      <c r="EC32" s="2600"/>
      <c r="ED32" s="2601"/>
      <c r="EE32" s="516"/>
      <c r="EI32" s="517"/>
      <c r="FA32" s="516"/>
      <c r="FJ32" s="2595"/>
      <c r="FK32" s="2595"/>
      <c r="FL32" s="2595"/>
      <c r="FM32" s="2595"/>
      <c r="GV32" s="516"/>
      <c r="GY32" s="517"/>
      <c r="HI32" s="516"/>
    </row>
    <row r="33" spans="22:218" ht="4.1500000000000004" customHeight="1">
      <c r="V33" s="516"/>
      <c r="Y33" s="517"/>
      <c r="Z33" s="516"/>
      <c r="AA33" s="517"/>
      <c r="AC33" s="516"/>
      <c r="AD33" s="526"/>
      <c r="AF33" s="516"/>
      <c r="AG33" s="517"/>
      <c r="AH33" s="517"/>
      <c r="BA33" s="517"/>
      <c r="BF33" s="516"/>
      <c r="CH33" s="516"/>
      <c r="CK33" s="517"/>
      <c r="DL33" s="2595"/>
      <c r="DM33" s="2595"/>
      <c r="DN33" s="2595"/>
      <c r="DO33" s="2595"/>
      <c r="DX33" s="2599"/>
      <c r="DY33" s="2600"/>
      <c r="DZ33" s="2600"/>
      <c r="EA33" s="2600"/>
      <c r="EB33" s="2600"/>
      <c r="EC33" s="2600"/>
      <c r="ED33" s="2601"/>
      <c r="EE33" s="516"/>
      <c r="EI33" s="517"/>
      <c r="FA33" s="516"/>
      <c r="FJ33" s="2595"/>
      <c r="FK33" s="2595"/>
      <c r="FL33" s="2595"/>
      <c r="FM33" s="2595"/>
      <c r="GV33" s="516"/>
      <c r="GY33" s="517"/>
      <c r="HI33" s="516"/>
    </row>
    <row r="34" spans="22:218" ht="4.1500000000000004" customHeight="1">
      <c r="V34" s="516"/>
      <c r="Y34" s="517"/>
      <c r="Z34" s="516"/>
      <c r="AA34" s="517"/>
      <c r="AC34" s="516"/>
      <c r="AD34" s="526"/>
      <c r="AF34" s="516"/>
      <c r="AG34" s="517"/>
      <c r="AH34" s="517"/>
      <c r="BA34" s="517"/>
      <c r="BF34" s="516"/>
      <c r="CH34" s="516"/>
      <c r="CK34" s="517"/>
      <c r="DL34" s="2595"/>
      <c r="DM34" s="2595"/>
      <c r="DN34" s="2595"/>
      <c r="DO34" s="2595"/>
      <c r="EE34" s="516"/>
      <c r="EI34" s="517"/>
      <c r="FA34" s="516"/>
      <c r="FJ34" s="2595"/>
      <c r="FK34" s="2595"/>
      <c r="FL34" s="2595"/>
      <c r="FM34" s="2595"/>
      <c r="GV34" s="516"/>
      <c r="GY34" s="517"/>
      <c r="HI34" s="516"/>
    </row>
    <row r="35" spans="22:218" ht="4.1500000000000004" customHeight="1">
      <c r="V35" s="516"/>
      <c r="Y35" s="517"/>
      <c r="Z35" s="516"/>
      <c r="AA35" s="517"/>
      <c r="AC35" s="516"/>
      <c r="AD35" s="526"/>
      <c r="AF35" s="516"/>
      <c r="AG35" s="517"/>
      <c r="AH35" s="517"/>
      <c r="BA35" s="517"/>
      <c r="BF35" s="516"/>
      <c r="CH35" s="516"/>
      <c r="CK35" s="517"/>
      <c r="DL35" s="2595"/>
      <c r="DM35" s="2595"/>
      <c r="DN35" s="2595"/>
      <c r="DO35" s="2595"/>
      <c r="EE35" s="516"/>
      <c r="EI35" s="517"/>
      <c r="EY35" s="2594">
        <v>2.1</v>
      </c>
      <c r="EZ35" s="2595"/>
      <c r="FA35" s="2595"/>
      <c r="FB35" s="2595"/>
      <c r="FJ35" s="2595"/>
      <c r="FK35" s="2595"/>
      <c r="FL35" s="2595"/>
      <c r="FM35" s="2595"/>
      <c r="GV35" s="516"/>
      <c r="GY35" s="517"/>
      <c r="HG35" s="2594">
        <v>2.1</v>
      </c>
      <c r="HH35" s="2595"/>
      <c r="HI35" s="2595"/>
      <c r="HJ35" s="2595"/>
    </row>
    <row r="36" spans="22:218" ht="4.1500000000000004" customHeight="1">
      <c r="V36" s="516"/>
      <c r="Y36" s="517"/>
      <c r="Z36" s="530"/>
      <c r="AA36" s="531"/>
      <c r="AC36" s="516"/>
      <c r="AD36" s="526"/>
      <c r="AF36" s="530"/>
      <c r="AG36" s="531"/>
      <c r="AH36" s="517"/>
      <c r="BA36" s="517"/>
      <c r="BF36" s="516"/>
      <c r="CH36" s="516"/>
      <c r="CK36" s="517"/>
      <c r="DL36" s="2595"/>
      <c r="DM36" s="2595"/>
      <c r="DN36" s="2595"/>
      <c r="DO36" s="2595"/>
      <c r="EE36" s="516"/>
      <c r="EI36" s="517"/>
      <c r="EY36" s="2595"/>
      <c r="EZ36" s="2595"/>
      <c r="FA36" s="2595"/>
      <c r="FB36" s="2595"/>
      <c r="FJ36" s="2595"/>
      <c r="FK36" s="2595"/>
      <c r="FL36" s="2595"/>
      <c r="FM36" s="2595"/>
      <c r="GV36" s="516"/>
      <c r="GY36" s="517"/>
      <c r="HG36" s="2595"/>
      <c r="HH36" s="2595"/>
      <c r="HI36" s="2595"/>
      <c r="HJ36" s="2595"/>
    </row>
    <row r="37" spans="22:218" ht="4.1500000000000004" customHeight="1">
      <c r="V37" s="516"/>
      <c r="Y37" s="517"/>
      <c r="AC37" s="516"/>
      <c r="AD37" s="526"/>
      <c r="AH37" s="517"/>
      <c r="BA37" s="517"/>
      <c r="BF37" s="516"/>
      <c r="CH37" s="516"/>
      <c r="CK37" s="517"/>
      <c r="DL37" s="2595"/>
      <c r="DM37" s="2595"/>
      <c r="DN37" s="2595"/>
      <c r="DO37" s="2595"/>
      <c r="EE37" s="516"/>
      <c r="EI37" s="517"/>
      <c r="EY37" s="2595"/>
      <c r="EZ37" s="2595"/>
      <c r="FA37" s="2595"/>
      <c r="FB37" s="2595"/>
      <c r="FJ37" s="2595"/>
      <c r="FK37" s="2595"/>
      <c r="FL37" s="2595"/>
      <c r="FM37" s="2595"/>
      <c r="GV37" s="516"/>
      <c r="GY37" s="517"/>
      <c r="HG37" s="2595"/>
      <c r="HH37" s="2595"/>
      <c r="HI37" s="2595"/>
      <c r="HJ37" s="2595"/>
    </row>
    <row r="38" spans="22:218" ht="4.1500000000000004" customHeight="1">
      <c r="V38" s="516"/>
      <c r="Y38" s="517"/>
      <c r="AC38" s="516"/>
      <c r="AD38" s="526"/>
      <c r="AH38" s="517"/>
      <c r="BA38" s="517"/>
      <c r="BF38" s="516"/>
      <c r="CH38" s="516"/>
      <c r="CK38" s="517"/>
      <c r="DL38" s="2595"/>
      <c r="DM38" s="2595"/>
      <c r="DN38" s="2595"/>
      <c r="DO38" s="2595"/>
      <c r="EE38" s="516"/>
      <c r="EI38" s="517"/>
      <c r="EY38" s="2595"/>
      <c r="EZ38" s="2595"/>
      <c r="FA38" s="2595"/>
      <c r="FB38" s="2595"/>
      <c r="FJ38" s="2595"/>
      <c r="FK38" s="2595"/>
      <c r="FL38" s="2595"/>
      <c r="FM38" s="2595"/>
      <c r="GV38" s="516"/>
      <c r="GY38" s="517"/>
      <c r="HG38" s="2595"/>
      <c r="HH38" s="2595"/>
      <c r="HI38" s="2595"/>
      <c r="HJ38" s="2595"/>
    </row>
    <row r="39" spans="22:218" ht="4.1500000000000004" customHeight="1">
      <c r="V39" s="516"/>
      <c r="Y39" s="517"/>
      <c r="Z39" s="515"/>
      <c r="AA39" s="518"/>
      <c r="AC39" s="516"/>
      <c r="AD39" s="526"/>
      <c r="AF39" s="515"/>
      <c r="AG39" s="518"/>
      <c r="AH39" s="517"/>
      <c r="BA39" s="517"/>
      <c r="BF39" s="516"/>
      <c r="CH39" s="516"/>
      <c r="CK39" s="517"/>
      <c r="DL39" s="2595"/>
      <c r="DM39" s="2595"/>
      <c r="DN39" s="2595"/>
      <c r="DO39" s="2595"/>
      <c r="EE39" s="516"/>
      <c r="EI39" s="517"/>
      <c r="EY39" s="2595"/>
      <c r="EZ39" s="2595"/>
      <c r="FA39" s="2595"/>
      <c r="FB39" s="2595"/>
      <c r="FJ39" s="2595"/>
      <c r="FK39" s="2595"/>
      <c r="FL39" s="2595"/>
      <c r="FM39" s="2595"/>
      <c r="GV39" s="516"/>
      <c r="GY39" s="517"/>
      <c r="HG39" s="2595"/>
      <c r="HH39" s="2595"/>
      <c r="HI39" s="2595"/>
      <c r="HJ39" s="2595"/>
    </row>
    <row r="40" spans="22:218" ht="4.1500000000000004" customHeight="1">
      <c r="V40" s="516"/>
      <c r="Y40" s="517"/>
      <c r="Z40" s="516"/>
      <c r="AA40" s="517"/>
      <c r="AC40" s="516"/>
      <c r="AD40" s="526"/>
      <c r="AF40" s="516"/>
      <c r="AG40" s="517"/>
      <c r="AH40" s="517"/>
      <c r="BA40" s="517"/>
      <c r="BF40" s="516"/>
      <c r="CH40" s="516"/>
      <c r="CK40" s="517"/>
      <c r="DL40" s="2595"/>
      <c r="DM40" s="2595"/>
      <c r="DN40" s="2595"/>
      <c r="DO40" s="2595"/>
      <c r="EE40" s="516"/>
      <c r="EI40" s="517"/>
      <c r="EY40" s="2595"/>
      <c r="EZ40" s="2595"/>
      <c r="FA40" s="2595"/>
      <c r="FB40" s="2595"/>
      <c r="FL40" s="516"/>
      <c r="GV40" s="516"/>
      <c r="GY40" s="517"/>
      <c r="HG40" s="2595"/>
      <c r="HH40" s="2595"/>
      <c r="HI40" s="2595"/>
      <c r="HJ40" s="2595"/>
    </row>
    <row r="41" spans="22:218" ht="4.1500000000000004" customHeight="1">
      <c r="V41" s="516"/>
      <c r="Y41" s="517"/>
      <c r="Z41" s="516"/>
      <c r="AA41" s="517"/>
      <c r="AC41" s="516"/>
      <c r="AD41" s="526"/>
      <c r="AF41" s="516"/>
      <c r="AG41" s="517"/>
      <c r="AH41" s="517"/>
      <c r="BA41" s="517"/>
      <c r="BF41" s="516"/>
      <c r="CH41" s="516"/>
      <c r="CK41" s="517"/>
      <c r="DL41" s="2595"/>
      <c r="DM41" s="2595"/>
      <c r="DN41" s="2595"/>
      <c r="DO41" s="2595"/>
      <c r="EE41" s="516"/>
      <c r="EI41" s="517"/>
      <c r="EY41" s="2595"/>
      <c r="EZ41" s="2595"/>
      <c r="FA41" s="2595"/>
      <c r="FB41" s="2595"/>
      <c r="FL41" s="516"/>
      <c r="GV41" s="516"/>
      <c r="GY41" s="517"/>
      <c r="HG41" s="2595"/>
      <c r="HH41" s="2595"/>
      <c r="HI41" s="2595"/>
      <c r="HJ41" s="2595"/>
    </row>
    <row r="42" spans="22:218" ht="4.1500000000000004" customHeight="1">
      <c r="V42" s="516"/>
      <c r="Y42" s="517"/>
      <c r="Z42" s="516"/>
      <c r="AA42" s="517"/>
      <c r="AC42" s="516"/>
      <c r="AD42" s="526"/>
      <c r="AF42" s="516"/>
      <c r="AG42" s="517"/>
      <c r="AH42" s="517"/>
      <c r="BA42" s="517"/>
      <c r="BF42" s="516"/>
      <c r="CH42" s="516"/>
      <c r="CK42" s="517"/>
      <c r="DN42" s="516"/>
      <c r="EE42" s="516"/>
      <c r="EI42" s="517"/>
      <c r="EY42" s="2595"/>
      <c r="EZ42" s="2595"/>
      <c r="FA42" s="2595"/>
      <c r="FB42" s="2595"/>
      <c r="FL42" s="516"/>
      <c r="GV42" s="516"/>
      <c r="GY42" s="517"/>
      <c r="HG42" s="2595"/>
      <c r="HH42" s="2595"/>
      <c r="HI42" s="2595"/>
      <c r="HJ42" s="2595"/>
    </row>
    <row r="43" spans="22:218" ht="4.1500000000000004" customHeight="1">
      <c r="V43" s="516"/>
      <c r="Y43" s="517"/>
      <c r="Z43" s="516"/>
      <c r="AA43" s="517"/>
      <c r="AC43" s="516"/>
      <c r="AD43" s="526"/>
      <c r="AF43" s="516"/>
      <c r="AG43" s="517"/>
      <c r="AH43" s="517"/>
      <c r="BA43" s="517"/>
      <c r="BF43" s="516"/>
      <c r="CH43" s="516"/>
      <c r="CK43" s="517"/>
      <c r="DN43" s="516"/>
      <c r="EE43" s="516"/>
      <c r="EI43" s="517"/>
      <c r="EY43" s="2595"/>
      <c r="EZ43" s="2595"/>
      <c r="FA43" s="2595"/>
      <c r="FB43" s="2595"/>
      <c r="FL43" s="516"/>
      <c r="GV43" s="516"/>
      <c r="GY43" s="517"/>
      <c r="HG43" s="2595"/>
      <c r="HH43" s="2595"/>
      <c r="HI43" s="2595"/>
      <c r="HJ43" s="2595"/>
    </row>
    <row r="44" spans="22:218" ht="4.1500000000000004" customHeight="1">
      <c r="V44" s="516"/>
      <c r="Y44" s="517"/>
      <c r="Z44" s="516"/>
      <c r="AA44" s="517"/>
      <c r="AC44" s="516"/>
      <c r="AD44" s="526"/>
      <c r="AF44" s="516"/>
      <c r="AG44" s="517"/>
      <c r="AH44" s="517"/>
      <c r="BA44" s="517"/>
      <c r="BF44" s="516"/>
      <c r="CH44" s="516"/>
      <c r="CK44" s="517"/>
      <c r="DN44" s="516"/>
      <c r="EE44" s="516"/>
      <c r="EI44" s="517"/>
      <c r="EJ44" s="516"/>
      <c r="EY44" s="2595"/>
      <c r="EZ44" s="2595"/>
      <c r="FA44" s="2595"/>
      <c r="FB44" s="2595"/>
      <c r="FL44" s="516"/>
      <c r="GV44" s="516"/>
      <c r="GY44" s="517"/>
      <c r="HG44" s="2595"/>
      <c r="HH44" s="2595"/>
      <c r="HI44" s="2595"/>
      <c r="HJ44" s="2595"/>
    </row>
    <row r="45" spans="22:218" ht="4.1500000000000004" customHeight="1">
      <c r="V45" s="516"/>
      <c r="Y45" s="517"/>
      <c r="Z45" s="516"/>
      <c r="AA45" s="517"/>
      <c r="AC45" s="516"/>
      <c r="AD45" s="526"/>
      <c r="AF45" s="516"/>
      <c r="AG45" s="517"/>
      <c r="AH45" s="517"/>
      <c r="BA45" s="517"/>
      <c r="BF45" s="516"/>
      <c r="CH45" s="516"/>
      <c r="CK45" s="517"/>
      <c r="DN45" s="516"/>
      <c r="EE45" s="516"/>
      <c r="EI45" s="517"/>
      <c r="EJ45" s="516"/>
      <c r="FA45" s="516"/>
      <c r="FL45" s="516"/>
      <c r="GV45" s="516"/>
      <c r="GY45" s="517"/>
      <c r="HI45" s="516"/>
    </row>
    <row r="46" spans="22:218" ht="4.1500000000000004" customHeight="1">
      <c r="V46" s="516"/>
      <c r="Y46" s="517"/>
      <c r="Z46" s="516"/>
      <c r="AA46" s="517"/>
      <c r="AC46" s="516"/>
      <c r="AD46" s="526"/>
      <c r="AF46" s="516"/>
      <c r="AG46" s="517"/>
      <c r="AH46" s="517"/>
      <c r="BA46" s="517"/>
      <c r="BF46" s="516"/>
      <c r="CH46" s="516"/>
      <c r="CK46" s="517"/>
      <c r="DN46" s="516"/>
      <c r="EE46" s="516"/>
      <c r="EI46" s="517"/>
      <c r="EJ46" s="516"/>
      <c r="FA46" s="516"/>
      <c r="FL46" s="516"/>
      <c r="GV46" s="516"/>
      <c r="GY46" s="517"/>
      <c r="HI46" s="516"/>
    </row>
    <row r="47" spans="22:218" ht="4.1500000000000004" customHeight="1">
      <c r="V47" s="516"/>
      <c r="Y47" s="517"/>
      <c r="Z47" s="530"/>
      <c r="AA47" s="531"/>
      <c r="AC47" s="516"/>
      <c r="AD47" s="526"/>
      <c r="AF47" s="530"/>
      <c r="AG47" s="531"/>
      <c r="AH47" s="517"/>
      <c r="BA47" s="517"/>
      <c r="BF47" s="516"/>
      <c r="CH47" s="516"/>
      <c r="CK47" s="517"/>
      <c r="DN47" s="516"/>
      <c r="EE47" s="516"/>
      <c r="EI47" s="517"/>
      <c r="EJ47" s="516"/>
      <c r="FA47" s="516"/>
      <c r="FL47" s="516"/>
      <c r="GV47" s="516"/>
      <c r="GY47" s="517"/>
      <c r="GZ47" s="516"/>
      <c r="HI47" s="516"/>
    </row>
    <row r="48" spans="22:218" ht="4.1500000000000004" customHeight="1">
      <c r="V48" s="530"/>
      <c r="W48" s="532"/>
      <c r="X48" s="532"/>
      <c r="Y48" s="531"/>
      <c r="Z48" s="532"/>
      <c r="AA48" s="532"/>
      <c r="AB48" s="532"/>
      <c r="AC48" s="530"/>
      <c r="AD48" s="533"/>
      <c r="AE48" s="532"/>
      <c r="AF48" s="532"/>
      <c r="AG48" s="532"/>
      <c r="AH48" s="531"/>
      <c r="AI48" s="532"/>
      <c r="AJ48" s="532"/>
      <c r="AK48" s="532"/>
      <c r="AL48" s="532"/>
      <c r="AM48" s="532"/>
      <c r="AN48" s="532"/>
      <c r="AO48" s="532"/>
      <c r="AP48" s="532"/>
      <c r="AQ48" s="532"/>
      <c r="AR48" s="532"/>
      <c r="AS48" s="532"/>
      <c r="AT48" s="532"/>
      <c r="AU48" s="532"/>
      <c r="AV48" s="532"/>
      <c r="AW48" s="532"/>
      <c r="AX48" s="532"/>
      <c r="AY48" s="532"/>
      <c r="AZ48" s="532"/>
      <c r="BA48" s="531"/>
      <c r="BB48" s="532"/>
      <c r="BC48" s="532"/>
      <c r="BD48" s="532"/>
      <c r="BE48" s="532"/>
      <c r="BF48" s="530"/>
      <c r="BG48" s="532"/>
      <c r="BH48" s="532"/>
      <c r="BI48" s="532"/>
      <c r="BJ48" s="532"/>
      <c r="BK48" s="532"/>
      <c r="BL48" s="532"/>
      <c r="BM48" s="532"/>
      <c r="BN48" s="532"/>
      <c r="BO48" s="532"/>
      <c r="BP48" s="532"/>
      <c r="BQ48" s="532"/>
      <c r="BR48" s="532"/>
      <c r="BS48" s="532"/>
      <c r="BT48" s="532"/>
      <c r="BU48" s="532"/>
      <c r="BV48" s="532"/>
      <c r="BW48" s="532"/>
      <c r="BX48" s="532"/>
      <c r="BY48" s="532"/>
      <c r="BZ48" s="532"/>
      <c r="CA48" s="532"/>
      <c r="CB48" s="532"/>
      <c r="CC48" s="532"/>
      <c r="CD48" s="532"/>
      <c r="CE48" s="532"/>
      <c r="CF48" s="532"/>
      <c r="CG48" s="532"/>
      <c r="CH48" s="530"/>
      <c r="CI48" s="532"/>
      <c r="CJ48" s="532"/>
      <c r="CK48" s="531"/>
      <c r="DN48" s="516"/>
      <c r="EE48" s="516"/>
      <c r="EI48" s="517"/>
      <c r="EJ48" s="516"/>
      <c r="FA48" s="516"/>
      <c r="FL48" s="516"/>
      <c r="GV48" s="516"/>
      <c r="GY48" s="517"/>
      <c r="GZ48" s="516"/>
      <c r="HI48" s="516"/>
    </row>
    <row r="49" spans="21:232" ht="4.1500000000000004" customHeight="1">
      <c r="U49" s="515"/>
      <c r="Z49" s="515"/>
      <c r="AA49" s="514"/>
      <c r="AB49" s="514"/>
      <c r="AC49" s="514"/>
      <c r="AD49" s="514"/>
      <c r="AE49" s="514"/>
      <c r="AF49" s="514"/>
      <c r="AG49" s="514"/>
      <c r="AH49" s="514"/>
      <c r="AI49" s="514"/>
      <c r="AJ49" s="514"/>
      <c r="AK49" s="514"/>
      <c r="AL49" s="514"/>
      <c r="AM49" s="514"/>
      <c r="AN49" s="514"/>
      <c r="AO49" s="514"/>
      <c r="AP49" s="514"/>
      <c r="AQ49" s="514"/>
      <c r="AR49" s="514"/>
      <c r="AS49" s="514"/>
      <c r="AT49" s="514"/>
      <c r="AU49" s="514"/>
      <c r="AV49" s="514"/>
      <c r="AW49" s="514"/>
      <c r="AX49" s="514"/>
      <c r="AY49" s="514"/>
      <c r="AZ49" s="514"/>
      <c r="BA49" s="518"/>
      <c r="BB49" s="514"/>
      <c r="BC49" s="514"/>
      <c r="BD49" s="514"/>
      <c r="BE49" s="514"/>
      <c r="BF49" s="514"/>
      <c r="BG49" s="514"/>
      <c r="BH49" s="514"/>
      <c r="BI49" s="514"/>
      <c r="BJ49" s="514"/>
      <c r="BK49" s="514"/>
      <c r="BL49" s="514"/>
      <c r="BM49" s="514"/>
      <c r="BN49" s="514"/>
      <c r="BO49" s="514"/>
      <c r="BP49" s="514"/>
      <c r="BQ49" s="514"/>
      <c r="BR49" s="514"/>
      <c r="BS49" s="514"/>
      <c r="BT49" s="514"/>
      <c r="BU49" s="514"/>
      <c r="BV49" s="514"/>
      <c r="BW49" s="514"/>
      <c r="BX49" s="514"/>
      <c r="BY49" s="514"/>
      <c r="BZ49" s="514"/>
      <c r="CA49" s="514"/>
      <c r="CB49" s="514"/>
      <c r="CC49" s="514"/>
      <c r="CD49" s="514"/>
      <c r="CE49" s="514"/>
      <c r="CF49" s="514"/>
      <c r="CG49" s="514"/>
      <c r="CL49" s="518"/>
      <c r="DN49" s="516"/>
      <c r="EE49" s="516"/>
      <c r="EI49" s="517"/>
      <c r="EJ49" s="516"/>
      <c r="FA49" s="516"/>
      <c r="FL49" s="516"/>
      <c r="FR49" s="2608" t="s">
        <v>2981</v>
      </c>
      <c r="FS49" s="2608"/>
      <c r="FT49" s="2608"/>
      <c r="FU49" s="2608"/>
      <c r="FV49" s="2608"/>
      <c r="FW49" s="2608"/>
      <c r="FX49" s="2608"/>
      <c r="GV49" s="516"/>
      <c r="GY49" s="517"/>
      <c r="GZ49" s="516"/>
      <c r="HI49" s="516"/>
    </row>
    <row r="50" spans="21:232" ht="4.1500000000000004" customHeight="1">
      <c r="U50" s="516"/>
      <c r="Z50" s="530"/>
      <c r="AA50" s="532"/>
      <c r="AB50" s="532"/>
      <c r="AC50" s="532"/>
      <c r="AD50" s="532"/>
      <c r="AE50" s="532"/>
      <c r="AF50" s="532"/>
      <c r="AG50" s="532"/>
      <c r="AH50" s="532"/>
      <c r="AI50" s="532"/>
      <c r="AJ50" s="532"/>
      <c r="AK50" s="532"/>
      <c r="AL50" s="532"/>
      <c r="AM50" s="532"/>
      <c r="AN50" s="532"/>
      <c r="AO50" s="532"/>
      <c r="AP50" s="532"/>
      <c r="AQ50" s="532"/>
      <c r="AR50" s="532"/>
      <c r="AS50" s="532"/>
      <c r="AT50" s="532"/>
      <c r="AU50" s="532"/>
      <c r="AV50" s="532"/>
      <c r="AW50" s="532"/>
      <c r="AX50" s="532"/>
      <c r="AY50" s="532"/>
      <c r="AZ50" s="532"/>
      <c r="BA50" s="531"/>
      <c r="CL50" s="517"/>
      <c r="DN50" s="516"/>
      <c r="EE50" s="516"/>
      <c r="EI50" s="517"/>
      <c r="EJ50" s="516"/>
      <c r="FA50" s="516"/>
      <c r="FL50" s="516"/>
      <c r="FR50" s="2608"/>
      <c r="FS50" s="2608"/>
      <c r="FT50" s="2608"/>
      <c r="FU50" s="2608"/>
      <c r="FV50" s="2608"/>
      <c r="FW50" s="2608"/>
      <c r="FX50" s="2608"/>
      <c r="GV50" s="516"/>
      <c r="GY50" s="517"/>
      <c r="GZ50" s="516"/>
      <c r="HI50" s="516"/>
    </row>
    <row r="51" spans="21:232" ht="4.1500000000000004" customHeight="1">
      <c r="U51" s="516"/>
      <c r="Z51" s="515"/>
      <c r="AA51" s="514"/>
      <c r="AB51" s="514"/>
      <c r="AC51" s="514"/>
      <c r="AD51" s="514"/>
      <c r="AE51" s="514"/>
      <c r="AF51" s="514"/>
      <c r="AG51" s="514"/>
      <c r="AH51" s="514"/>
      <c r="AI51" s="514"/>
      <c r="AJ51" s="514"/>
      <c r="AK51" s="514"/>
      <c r="AL51" s="514"/>
      <c r="AM51" s="514"/>
      <c r="AN51" s="514"/>
      <c r="AO51" s="514"/>
      <c r="AP51" s="514"/>
      <c r="AQ51" s="514"/>
      <c r="AR51" s="514"/>
      <c r="AS51" s="514"/>
      <c r="AT51" s="514"/>
      <c r="AU51" s="514"/>
      <c r="AV51" s="514"/>
      <c r="AW51" s="514"/>
      <c r="AX51" s="514"/>
      <c r="AY51" s="514"/>
      <c r="AZ51" s="514"/>
      <c r="BA51" s="518"/>
      <c r="CL51" s="517"/>
      <c r="DN51" s="516"/>
      <c r="EE51" s="516"/>
      <c r="EI51" s="517"/>
      <c r="EJ51" s="516"/>
      <c r="FA51" s="516"/>
      <c r="FL51" s="516"/>
      <c r="FR51" s="2608"/>
      <c r="FS51" s="2608"/>
      <c r="FT51" s="2608"/>
      <c r="FU51" s="2608"/>
      <c r="FV51" s="2608"/>
      <c r="FW51" s="2608"/>
      <c r="FX51" s="2608"/>
      <c r="GV51" s="516"/>
      <c r="GY51" s="517"/>
      <c r="GZ51" s="516"/>
      <c r="HI51" s="516"/>
    </row>
    <row r="52" spans="21:232" ht="4.1500000000000004" customHeight="1">
      <c r="U52" s="516"/>
      <c r="Z52" s="530"/>
      <c r="AA52" s="532"/>
      <c r="AB52" s="532"/>
      <c r="AC52" s="532"/>
      <c r="AD52" s="532"/>
      <c r="AE52" s="532"/>
      <c r="AF52" s="532"/>
      <c r="AG52" s="532"/>
      <c r="AH52" s="532"/>
      <c r="AI52" s="532"/>
      <c r="AJ52" s="532"/>
      <c r="AK52" s="532"/>
      <c r="AL52" s="532"/>
      <c r="AM52" s="532"/>
      <c r="AN52" s="532"/>
      <c r="AO52" s="532"/>
      <c r="AP52" s="532"/>
      <c r="AQ52" s="532"/>
      <c r="AR52" s="532"/>
      <c r="AS52" s="532"/>
      <c r="AT52" s="532"/>
      <c r="AU52" s="532"/>
      <c r="AV52" s="532"/>
      <c r="AW52" s="532"/>
      <c r="AX52" s="532"/>
      <c r="AY52" s="532"/>
      <c r="AZ52" s="532"/>
      <c r="BA52" s="531"/>
      <c r="CL52" s="517"/>
      <c r="DN52" s="516"/>
      <c r="EE52" s="516"/>
      <c r="EI52" s="517"/>
      <c r="EJ52" s="530"/>
      <c r="EK52" s="532"/>
      <c r="EL52" s="532"/>
      <c r="EM52" s="532"/>
      <c r="EN52" s="532"/>
      <c r="EO52" s="532"/>
      <c r="EP52" s="532"/>
      <c r="EQ52" s="532"/>
      <c r="ER52" s="532"/>
      <c r="ES52" s="532"/>
      <c r="ET52" s="532"/>
      <c r="EU52" s="532"/>
      <c r="EV52" s="532"/>
      <c r="EW52" s="532"/>
      <c r="EX52" s="532"/>
      <c r="EY52" s="532"/>
      <c r="EZ52" s="532"/>
      <c r="FA52" s="530"/>
      <c r="FB52" s="532"/>
      <c r="FC52" s="532"/>
      <c r="FD52" s="532"/>
      <c r="FE52" s="532"/>
      <c r="FF52" s="532"/>
      <c r="FL52" s="516"/>
      <c r="FN52" s="532"/>
      <c r="FO52" s="532"/>
      <c r="FP52" s="532"/>
      <c r="FQ52" s="532"/>
      <c r="FR52" s="532"/>
      <c r="FS52" s="532"/>
      <c r="FT52" s="532"/>
      <c r="FU52" s="532"/>
      <c r="FV52" s="532"/>
      <c r="FW52" s="532"/>
      <c r="FX52" s="532"/>
      <c r="FZ52" s="532"/>
      <c r="GA52" s="532"/>
      <c r="GB52" s="532"/>
      <c r="GC52" s="532"/>
      <c r="GD52" s="532"/>
      <c r="GE52" s="532"/>
      <c r="GF52" s="532"/>
      <c r="GG52" s="532"/>
      <c r="GH52" s="532"/>
      <c r="GI52" s="532"/>
      <c r="GJ52" s="532"/>
      <c r="GK52" s="532"/>
      <c r="GL52" s="532"/>
      <c r="GM52" s="532"/>
      <c r="GN52" s="532"/>
      <c r="GO52" s="532"/>
      <c r="GP52" s="532"/>
      <c r="GQ52" s="532"/>
      <c r="GR52" s="532"/>
      <c r="GS52" s="532"/>
      <c r="GT52" s="532"/>
      <c r="GV52" s="516"/>
      <c r="GY52" s="517"/>
      <c r="GZ52" s="530"/>
      <c r="HA52" s="532"/>
      <c r="HB52" s="532"/>
      <c r="HC52" s="532"/>
      <c r="HD52" s="532"/>
      <c r="HE52" s="532"/>
      <c r="HF52" s="532"/>
      <c r="HG52" s="532"/>
      <c r="HH52" s="532"/>
      <c r="HI52" s="530"/>
      <c r="HJ52" s="532"/>
      <c r="HK52" s="532"/>
      <c r="HL52" s="532"/>
      <c r="HM52" s="532"/>
      <c r="HN52" s="532"/>
      <c r="HO52" s="532"/>
      <c r="HP52" s="532"/>
      <c r="HQ52" s="532"/>
      <c r="HR52" s="532"/>
      <c r="HS52" s="532"/>
      <c r="HT52" s="532"/>
      <c r="HU52" s="532"/>
      <c r="HV52" s="532"/>
      <c r="HW52" s="532"/>
      <c r="HX52" s="532"/>
    </row>
    <row r="53" spans="21:232" ht="4.1500000000000004" customHeight="1">
      <c r="U53" s="516"/>
      <c r="Z53" s="515"/>
      <c r="AA53" s="514"/>
      <c r="AB53" s="514"/>
      <c r="AC53" s="514"/>
      <c r="AD53" s="514"/>
      <c r="AE53" s="514"/>
      <c r="AF53" s="514"/>
      <c r="AG53" s="514"/>
      <c r="AH53" s="514"/>
      <c r="AI53" s="514"/>
      <c r="AJ53" s="514"/>
      <c r="AK53" s="514"/>
      <c r="AL53" s="514"/>
      <c r="AM53" s="514"/>
      <c r="AN53" s="514"/>
      <c r="AO53" s="514"/>
      <c r="AP53" s="514"/>
      <c r="AQ53" s="514"/>
      <c r="AR53" s="514"/>
      <c r="AS53" s="514"/>
      <c r="AT53" s="514"/>
      <c r="AU53" s="514"/>
      <c r="AV53" s="514"/>
      <c r="AW53" s="514"/>
      <c r="AX53" s="514"/>
      <c r="AY53" s="514"/>
      <c r="AZ53" s="514"/>
      <c r="BA53" s="518"/>
      <c r="CL53" s="517"/>
      <c r="DN53" s="516"/>
      <c r="EE53" s="519"/>
      <c r="EF53" s="520"/>
      <c r="EG53" s="520"/>
      <c r="EH53" s="520"/>
      <c r="EI53" s="521"/>
      <c r="EU53" s="2596">
        <v>0.2</v>
      </c>
      <c r="EV53" s="2597"/>
      <c r="EW53" s="2597"/>
      <c r="EX53" s="2597"/>
      <c r="EY53" s="2597"/>
      <c r="EZ53" s="2597"/>
      <c r="FA53" s="2597"/>
      <c r="FB53" s="2597"/>
      <c r="FC53" s="2597"/>
      <c r="FD53" s="2597"/>
      <c r="FE53" s="2597"/>
      <c r="FF53" s="2597"/>
      <c r="FJ53" s="514"/>
      <c r="FK53" s="2623">
        <f>EU53+EU58</f>
        <v>0.60000000000000009</v>
      </c>
      <c r="FL53" s="2624"/>
      <c r="FM53" s="2624"/>
      <c r="FN53" s="2595"/>
      <c r="GV53" s="519"/>
      <c r="GW53" s="520"/>
      <c r="GX53" s="520"/>
      <c r="GY53" s="521"/>
    </row>
    <row r="54" spans="21:232" ht="4.1500000000000004" customHeight="1">
      <c r="U54" s="530"/>
      <c r="V54" s="532"/>
      <c r="W54" s="532"/>
      <c r="X54" s="532"/>
      <c r="Y54" s="532"/>
      <c r="Z54" s="530"/>
      <c r="AA54" s="532"/>
      <c r="AB54" s="532"/>
      <c r="AC54" s="532"/>
      <c r="AD54" s="532"/>
      <c r="AE54" s="532"/>
      <c r="AF54" s="532"/>
      <c r="AG54" s="532"/>
      <c r="AH54" s="532"/>
      <c r="AI54" s="532"/>
      <c r="AJ54" s="532"/>
      <c r="AK54" s="532"/>
      <c r="AL54" s="532"/>
      <c r="AM54" s="532"/>
      <c r="AN54" s="532"/>
      <c r="AO54" s="532"/>
      <c r="AP54" s="532"/>
      <c r="AQ54" s="532"/>
      <c r="AR54" s="532"/>
      <c r="AS54" s="532"/>
      <c r="AT54" s="532"/>
      <c r="AU54" s="532"/>
      <c r="AV54" s="532"/>
      <c r="AW54" s="532"/>
      <c r="AX54" s="532"/>
      <c r="AY54" s="532"/>
      <c r="AZ54" s="532"/>
      <c r="BA54" s="531"/>
      <c r="BB54" s="532"/>
      <c r="BC54" s="532"/>
      <c r="BD54" s="532"/>
      <c r="BE54" s="532"/>
      <c r="BF54" s="532"/>
      <c r="BG54" s="532"/>
      <c r="BH54" s="532"/>
      <c r="BI54" s="532"/>
      <c r="BJ54" s="532"/>
      <c r="BK54" s="532"/>
      <c r="BL54" s="532"/>
      <c r="BM54" s="532"/>
      <c r="BN54" s="532"/>
      <c r="BO54" s="532"/>
      <c r="BP54" s="532"/>
      <c r="BQ54" s="532"/>
      <c r="BR54" s="532"/>
      <c r="BS54" s="532"/>
      <c r="BT54" s="532"/>
      <c r="BU54" s="532"/>
      <c r="BV54" s="532"/>
      <c r="BW54" s="532"/>
      <c r="BX54" s="532"/>
      <c r="BY54" s="532"/>
      <c r="BZ54" s="532"/>
      <c r="CA54" s="532"/>
      <c r="CB54" s="532"/>
      <c r="CC54" s="532"/>
      <c r="CD54" s="532"/>
      <c r="CE54" s="532"/>
      <c r="CF54" s="532"/>
      <c r="CG54" s="532"/>
      <c r="CH54" s="532"/>
      <c r="CI54" s="532"/>
      <c r="CJ54" s="532"/>
      <c r="CK54" s="532"/>
      <c r="CL54" s="531"/>
      <c r="DN54" s="516"/>
      <c r="EE54" s="522"/>
      <c r="EF54" s="523"/>
      <c r="EG54" s="523"/>
      <c r="EH54" s="523"/>
      <c r="EI54" s="524"/>
      <c r="EU54" s="2596"/>
      <c r="EV54" s="2596"/>
      <c r="EW54" s="2596"/>
      <c r="EX54" s="2596"/>
      <c r="EY54" s="2596"/>
      <c r="EZ54" s="2596"/>
      <c r="FA54" s="2596"/>
      <c r="FB54" s="2596"/>
      <c r="FC54" s="2596"/>
      <c r="FD54" s="2596"/>
      <c r="FE54" s="2596"/>
      <c r="FF54" s="2596"/>
      <c r="FK54" s="2595"/>
      <c r="FL54" s="2595"/>
      <c r="FM54" s="2595"/>
      <c r="FN54" s="2595"/>
      <c r="GV54" s="522"/>
      <c r="GW54" s="523"/>
      <c r="GX54" s="523"/>
      <c r="GY54" s="524"/>
    </row>
    <row r="55" spans="21:232" ht="4.1500000000000004" customHeight="1">
      <c r="DN55" s="516"/>
      <c r="EE55" s="522"/>
      <c r="EF55" s="523"/>
      <c r="EG55" s="523"/>
      <c r="EH55" s="523"/>
      <c r="EI55" s="524"/>
      <c r="EU55" s="2598"/>
      <c r="EV55" s="2598"/>
      <c r="EW55" s="2598"/>
      <c r="EX55" s="2598"/>
      <c r="EY55" s="2598"/>
      <c r="EZ55" s="2598"/>
      <c r="FA55" s="2598"/>
      <c r="FB55" s="2598"/>
      <c r="FC55" s="2598"/>
      <c r="FD55" s="2598"/>
      <c r="FE55" s="2598"/>
      <c r="FF55" s="2598"/>
      <c r="FK55" s="2595"/>
      <c r="FL55" s="2595"/>
      <c r="FM55" s="2595"/>
      <c r="FN55" s="2595"/>
      <c r="GV55" s="527"/>
      <c r="GW55" s="528"/>
      <c r="GX55" s="528"/>
      <c r="GY55" s="529"/>
      <c r="GZ55" s="516"/>
    </row>
    <row r="56" spans="21:232" ht="4.1500000000000004" customHeight="1">
      <c r="DN56" s="516"/>
      <c r="EE56" s="2626">
        <f>CJ84</f>
        <v>0.25</v>
      </c>
      <c r="EF56" s="2627"/>
      <c r="EG56" s="2627"/>
      <c r="EH56" s="2627"/>
      <c r="EI56" s="2628"/>
      <c r="EU56" s="514"/>
      <c r="EV56" s="514"/>
      <c r="EW56" s="514"/>
      <c r="EX56" s="514"/>
      <c r="EY56" s="514"/>
      <c r="EZ56" s="514"/>
      <c r="FA56" s="514"/>
      <c r="FB56" s="514"/>
      <c r="FC56" s="514"/>
      <c r="FD56" s="514"/>
      <c r="FE56" s="514"/>
      <c r="FF56" s="514"/>
      <c r="FK56" s="2595"/>
      <c r="FL56" s="2595"/>
      <c r="FM56" s="2595"/>
      <c r="FN56" s="2595"/>
      <c r="GV56" s="515"/>
      <c r="GW56" s="514"/>
      <c r="GX56" s="514"/>
      <c r="GY56" s="518"/>
      <c r="GZ56" s="516"/>
    </row>
    <row r="57" spans="21:232" ht="4.1500000000000004" customHeight="1">
      <c r="DN57" s="516"/>
      <c r="EE57" s="2629"/>
      <c r="EF57" s="2630"/>
      <c r="EG57" s="2630"/>
      <c r="EH57" s="2630"/>
      <c r="EI57" s="2631"/>
      <c r="EU57" s="534"/>
      <c r="EV57" s="534"/>
      <c r="EW57" s="534"/>
      <c r="EX57" s="534"/>
      <c r="EY57" s="534"/>
      <c r="EZ57" s="534"/>
      <c r="FA57" s="534"/>
      <c r="FB57" s="534"/>
      <c r="FC57" s="534"/>
      <c r="FD57" s="534"/>
      <c r="FE57" s="534"/>
      <c r="FF57" s="534"/>
      <c r="FK57" s="2595"/>
      <c r="FL57" s="2595"/>
      <c r="FM57" s="2595"/>
      <c r="FN57" s="2595"/>
      <c r="GV57" s="516"/>
      <c r="GY57" s="517"/>
      <c r="GZ57" s="516"/>
    </row>
    <row r="58" spans="21:232" ht="4.1500000000000004" customHeight="1">
      <c r="DN58" s="516"/>
      <c r="EA58" s="515"/>
      <c r="EB58" s="514"/>
      <c r="EC58" s="514"/>
      <c r="ED58" s="518"/>
      <c r="EE58" s="2629"/>
      <c r="EF58" s="2630"/>
      <c r="EG58" s="2630"/>
      <c r="EH58" s="2630"/>
      <c r="EI58" s="2631"/>
      <c r="EU58" s="2596">
        <v>0.4</v>
      </c>
      <c r="EV58" s="2596"/>
      <c r="EW58" s="2596"/>
      <c r="EX58" s="2596"/>
      <c r="EY58" s="2596"/>
      <c r="EZ58" s="2596"/>
      <c r="FA58" s="2596"/>
      <c r="FB58" s="2596"/>
      <c r="FC58" s="2596"/>
      <c r="FD58" s="2596"/>
      <c r="FE58" s="2596"/>
      <c r="FF58" s="2596"/>
      <c r="FK58" s="2595"/>
      <c r="FL58" s="2595"/>
      <c r="FM58" s="2595"/>
      <c r="FN58" s="2595"/>
      <c r="GU58" s="517"/>
      <c r="GV58" s="516"/>
      <c r="GY58" s="517"/>
      <c r="GZ58" s="516"/>
    </row>
    <row r="59" spans="21:232" ht="4.1500000000000004" customHeight="1">
      <c r="DN59" s="516"/>
      <c r="EA59" s="516"/>
      <c r="ED59" s="517"/>
      <c r="EE59" s="2629"/>
      <c r="EF59" s="2630"/>
      <c r="EG59" s="2630"/>
      <c r="EH59" s="2630"/>
      <c r="EI59" s="2631"/>
      <c r="EU59" s="2596"/>
      <c r="EV59" s="2596"/>
      <c r="EW59" s="2596"/>
      <c r="EX59" s="2596"/>
      <c r="EY59" s="2596"/>
      <c r="EZ59" s="2596"/>
      <c r="FA59" s="2596"/>
      <c r="FB59" s="2596"/>
      <c r="FC59" s="2596"/>
      <c r="FD59" s="2596"/>
      <c r="FE59" s="2596"/>
      <c r="FF59" s="2596"/>
      <c r="FK59" s="2595"/>
      <c r="FL59" s="2595"/>
      <c r="FM59" s="2595"/>
      <c r="FN59" s="2595"/>
      <c r="FR59" s="2608" t="s">
        <v>2980</v>
      </c>
      <c r="FS59" s="2608"/>
      <c r="FT59" s="2608"/>
      <c r="FU59" s="2608"/>
      <c r="FV59" s="2608"/>
      <c r="FW59" s="2608"/>
      <c r="FX59" s="2608"/>
      <c r="GU59" s="517"/>
      <c r="GV59" s="516"/>
      <c r="GY59" s="517"/>
      <c r="GZ59" s="516"/>
    </row>
    <row r="60" spans="21:232" ht="4.1500000000000004" customHeight="1">
      <c r="DN60" s="516"/>
      <c r="DW60" s="515"/>
      <c r="DX60" s="514"/>
      <c r="DY60" s="514"/>
      <c r="DZ60" s="514"/>
      <c r="EE60" s="2629"/>
      <c r="EF60" s="2630"/>
      <c r="EG60" s="2630"/>
      <c r="EH60" s="2630"/>
      <c r="EI60" s="2631"/>
      <c r="EU60" s="2596"/>
      <c r="EV60" s="2596"/>
      <c r="EW60" s="2596"/>
      <c r="EX60" s="2596"/>
      <c r="EY60" s="2596"/>
      <c r="EZ60" s="2596"/>
      <c r="FA60" s="2596"/>
      <c r="FB60" s="2596"/>
      <c r="FC60" s="2596"/>
      <c r="FD60" s="2596"/>
      <c r="FE60" s="2596"/>
      <c r="FF60" s="2596"/>
      <c r="FK60" s="2595"/>
      <c r="FL60" s="2595"/>
      <c r="FM60" s="2595"/>
      <c r="FN60" s="2595"/>
      <c r="FR60" s="2608"/>
      <c r="FS60" s="2608"/>
      <c r="FT60" s="2608"/>
      <c r="FU60" s="2608"/>
      <c r="FV60" s="2608"/>
      <c r="FW60" s="2608"/>
      <c r="FX60" s="2608"/>
      <c r="GU60" s="517"/>
      <c r="GV60" s="516"/>
      <c r="GY60" s="517"/>
      <c r="GZ60" s="516"/>
    </row>
    <row r="61" spans="21:232" ht="4.1500000000000004" customHeight="1">
      <c r="DK61" s="532"/>
      <c r="DL61" s="532"/>
      <c r="DM61" s="532"/>
      <c r="DN61" s="530"/>
      <c r="DO61" s="532"/>
      <c r="DP61" s="532"/>
      <c r="DQ61" s="532"/>
      <c r="DR61" s="532"/>
      <c r="DS61" s="532"/>
      <c r="DT61" s="532"/>
      <c r="DU61" s="532"/>
      <c r="DV61" s="532"/>
      <c r="DW61" s="530"/>
      <c r="DX61" s="532"/>
      <c r="DY61" s="532"/>
      <c r="DZ61" s="532"/>
      <c r="EE61" s="2632"/>
      <c r="EF61" s="2633"/>
      <c r="EG61" s="2633"/>
      <c r="EH61" s="2633"/>
      <c r="EI61" s="2634"/>
      <c r="EM61" s="532"/>
      <c r="EN61" s="532"/>
      <c r="EO61" s="532"/>
      <c r="EP61" s="532"/>
      <c r="EQ61" s="532"/>
      <c r="ER61" s="532"/>
      <c r="ES61" s="532"/>
      <c r="ET61" s="532"/>
      <c r="EU61" s="535"/>
      <c r="EV61" s="535"/>
      <c r="EW61" s="535"/>
      <c r="EX61" s="535"/>
      <c r="EY61" s="535"/>
      <c r="EZ61" s="535"/>
      <c r="FA61" s="535"/>
      <c r="FB61" s="535"/>
      <c r="FC61" s="535"/>
      <c r="FD61" s="535"/>
      <c r="FE61" s="535"/>
      <c r="FF61" s="535"/>
      <c r="FJ61" s="532"/>
      <c r="FK61" s="2625"/>
      <c r="FL61" s="2625"/>
      <c r="FM61" s="2625"/>
      <c r="FN61" s="2625"/>
      <c r="FO61" s="532"/>
      <c r="FP61" s="532"/>
      <c r="FQ61" s="532"/>
      <c r="FR61" s="2635"/>
      <c r="FS61" s="2635"/>
      <c r="FT61" s="2635"/>
      <c r="FU61" s="2635"/>
      <c r="FV61" s="2635"/>
      <c r="FW61" s="2635"/>
      <c r="FX61" s="2635"/>
      <c r="GG61" s="532"/>
      <c r="GH61" s="532"/>
      <c r="GI61" s="532"/>
      <c r="GJ61" s="532"/>
      <c r="GK61" s="532"/>
      <c r="GL61" s="532"/>
      <c r="GM61" s="532"/>
      <c r="GN61" s="532"/>
      <c r="GO61" s="532"/>
      <c r="GP61" s="532"/>
      <c r="GQ61" s="532"/>
      <c r="GR61" s="532"/>
      <c r="GS61" s="532"/>
      <c r="GT61" s="532"/>
      <c r="GU61" s="531"/>
      <c r="GV61" s="530"/>
      <c r="GW61" s="532"/>
      <c r="GX61" s="532"/>
      <c r="GY61" s="531"/>
      <c r="GZ61" s="530"/>
      <c r="HA61" s="532"/>
      <c r="HB61" s="532"/>
      <c r="HC61" s="532"/>
      <c r="HD61" s="532"/>
      <c r="HE61" s="532"/>
      <c r="HF61" s="532"/>
      <c r="HG61" s="532"/>
      <c r="HH61" s="532"/>
      <c r="HI61" s="532"/>
      <c r="HJ61" s="532"/>
      <c r="HK61" s="532"/>
      <c r="HL61" s="532"/>
      <c r="HM61" s="532"/>
      <c r="HN61" s="532"/>
    </row>
    <row r="62" spans="21:232" ht="4.1500000000000004" customHeight="1">
      <c r="V62" s="516"/>
      <c r="AW62" s="2600">
        <f>AW68+CJ84</f>
        <v>4.1500000000000004</v>
      </c>
      <c r="AX62" s="2610"/>
      <c r="AY62" s="2610"/>
      <c r="AZ62" s="2610"/>
      <c r="BA62" s="2610"/>
      <c r="BB62" s="2610"/>
      <c r="BC62" s="2610"/>
      <c r="BD62" s="2610"/>
      <c r="BE62" s="2610"/>
      <c r="BF62" s="2610"/>
      <c r="BG62" s="2610"/>
      <c r="BH62" s="2610"/>
      <c r="BI62" s="2610"/>
      <c r="BJ62" s="2610"/>
      <c r="CK62" s="517"/>
      <c r="DP62" s="514"/>
      <c r="DQ62" s="514"/>
      <c r="DR62" s="514"/>
      <c r="DS62" s="514"/>
      <c r="DT62" s="514"/>
      <c r="DU62" s="511"/>
      <c r="DV62" s="512"/>
      <c r="DW62" s="512"/>
      <c r="DX62" s="512"/>
      <c r="DY62" s="563"/>
      <c r="DZ62" s="563"/>
      <c r="EA62" s="563"/>
      <c r="EB62" s="564"/>
      <c r="EC62" s="2602">
        <v>0.3</v>
      </c>
      <c r="ED62" s="2597"/>
      <c r="EE62" s="2597"/>
      <c r="EF62" s="2597"/>
      <c r="EG62" s="2597"/>
      <c r="EH62" s="2597"/>
      <c r="EI62" s="2597"/>
      <c r="EJ62" s="2597"/>
      <c r="EK62" s="2603"/>
      <c r="EL62" s="565"/>
      <c r="EM62" s="565"/>
      <c r="EN62" s="565"/>
      <c r="EO62" s="565"/>
      <c r="ET62" s="514"/>
      <c r="EU62" s="514"/>
      <c r="EV62" s="514"/>
      <c r="EW62" s="514"/>
      <c r="EX62" s="514"/>
      <c r="EY62" s="514"/>
      <c r="EZ62" s="514"/>
      <c r="FA62" s="514"/>
      <c r="FB62" s="514"/>
      <c r="FC62" s="514"/>
      <c r="FD62" s="514"/>
      <c r="FE62" s="514"/>
      <c r="FF62" s="514"/>
      <c r="FJ62" s="514"/>
      <c r="FK62" s="514"/>
      <c r="FL62" s="514"/>
      <c r="FM62" s="515"/>
      <c r="FN62" s="514"/>
      <c r="FO62" s="514"/>
      <c r="FZ62" s="514"/>
      <c r="GA62" s="514"/>
      <c r="GB62" s="514"/>
      <c r="GC62" s="515"/>
      <c r="GD62" s="514"/>
      <c r="GE62" s="514"/>
      <c r="GF62" s="514"/>
      <c r="GG62" s="514"/>
      <c r="GV62" s="516"/>
      <c r="GY62" s="517"/>
      <c r="HO62" s="514"/>
      <c r="HP62" s="514"/>
      <c r="HQ62" s="514"/>
      <c r="HR62" s="514"/>
      <c r="HS62" s="515"/>
      <c r="HT62" s="514"/>
      <c r="HU62" s="514"/>
      <c r="HV62" s="514"/>
      <c r="HW62" s="514"/>
      <c r="HX62" s="514"/>
    </row>
    <row r="63" spans="21:232" ht="4.1500000000000004" customHeight="1">
      <c r="V63" s="530"/>
      <c r="W63" s="532"/>
      <c r="X63" s="532"/>
      <c r="Y63" s="532"/>
      <c r="Z63" s="532"/>
      <c r="AA63" s="532"/>
      <c r="AB63" s="532"/>
      <c r="AC63" s="532"/>
      <c r="AD63" s="532"/>
      <c r="AE63" s="532"/>
      <c r="AF63" s="532"/>
      <c r="AG63" s="532"/>
      <c r="AH63" s="532"/>
      <c r="AI63" s="532"/>
      <c r="AJ63" s="532"/>
      <c r="AK63" s="532"/>
      <c r="AL63" s="532"/>
      <c r="AM63" s="532"/>
      <c r="AN63" s="532"/>
      <c r="AO63" s="532"/>
      <c r="AP63" s="532"/>
      <c r="AQ63" s="532"/>
      <c r="AR63" s="532"/>
      <c r="AS63" s="532"/>
      <c r="AT63" s="532"/>
      <c r="AU63" s="532"/>
      <c r="AV63" s="532"/>
      <c r="AW63" s="2610"/>
      <c r="AX63" s="2610"/>
      <c r="AY63" s="2610"/>
      <c r="AZ63" s="2610"/>
      <c r="BA63" s="2610"/>
      <c r="BB63" s="2610"/>
      <c r="BC63" s="2610"/>
      <c r="BD63" s="2610"/>
      <c r="BE63" s="2610"/>
      <c r="BF63" s="2610"/>
      <c r="BG63" s="2610"/>
      <c r="BH63" s="2610"/>
      <c r="BI63" s="2610"/>
      <c r="BJ63" s="2610"/>
      <c r="BK63" s="532"/>
      <c r="BL63" s="532"/>
      <c r="BM63" s="532"/>
      <c r="BN63" s="532"/>
      <c r="BO63" s="532"/>
      <c r="BP63" s="532"/>
      <c r="BQ63" s="532"/>
      <c r="BR63" s="532"/>
      <c r="BS63" s="532"/>
      <c r="BT63" s="532"/>
      <c r="BU63" s="532"/>
      <c r="BV63" s="532"/>
      <c r="BW63" s="532"/>
      <c r="BX63" s="532"/>
      <c r="BY63" s="532"/>
      <c r="BZ63" s="532"/>
      <c r="CA63" s="532"/>
      <c r="CB63" s="532"/>
      <c r="CC63" s="532"/>
      <c r="CD63" s="532"/>
      <c r="CE63" s="532"/>
      <c r="CF63" s="532"/>
      <c r="CG63" s="532"/>
      <c r="CH63" s="532"/>
      <c r="CI63" s="532"/>
      <c r="CJ63" s="532"/>
      <c r="CK63" s="531"/>
      <c r="DU63" s="511"/>
      <c r="DV63" s="512"/>
      <c r="DW63" s="512"/>
      <c r="DX63" s="512"/>
      <c r="DY63" s="563"/>
      <c r="DZ63" s="563"/>
      <c r="EA63" s="563"/>
      <c r="EB63" s="564"/>
      <c r="EC63" s="2604"/>
      <c r="ED63" s="2596"/>
      <c r="EE63" s="2596"/>
      <c r="EF63" s="2596"/>
      <c r="EG63" s="2596"/>
      <c r="EH63" s="2596"/>
      <c r="EI63" s="2596"/>
      <c r="EJ63" s="2596"/>
      <c r="EK63" s="2605"/>
      <c r="EL63" s="565"/>
      <c r="EM63" s="565"/>
      <c r="EN63" s="565"/>
      <c r="EO63" s="565"/>
      <c r="EU63" s="2608">
        <v>0.22500000000000001</v>
      </c>
      <c r="EV63" s="2608"/>
      <c r="EW63" s="2608"/>
      <c r="EX63" s="2608"/>
      <c r="EY63" s="2608"/>
      <c r="EZ63" s="2608"/>
      <c r="FA63" s="2608"/>
      <c r="FB63" s="2608"/>
      <c r="FC63" s="2608"/>
      <c r="FD63" s="2608"/>
      <c r="FE63" s="2608"/>
      <c r="FF63" s="2608"/>
      <c r="FM63" s="516"/>
      <c r="GC63" s="516"/>
      <c r="GV63" s="2629">
        <v>0.25</v>
      </c>
      <c r="GW63" s="2630"/>
      <c r="GX63" s="2630"/>
      <c r="GY63" s="2631"/>
      <c r="HS63" s="516"/>
    </row>
    <row r="64" spans="21:232" ht="4.1500000000000004" customHeight="1">
      <c r="V64" s="516"/>
      <c r="AW64" s="2610"/>
      <c r="AX64" s="2610"/>
      <c r="AY64" s="2610"/>
      <c r="AZ64" s="2610"/>
      <c r="BA64" s="2610"/>
      <c r="BB64" s="2610"/>
      <c r="BC64" s="2610"/>
      <c r="BD64" s="2610"/>
      <c r="BE64" s="2610"/>
      <c r="BF64" s="2610"/>
      <c r="BG64" s="2610"/>
      <c r="BH64" s="2610"/>
      <c r="BI64" s="2610"/>
      <c r="BJ64" s="2610"/>
      <c r="CK64" s="517"/>
      <c r="DY64" s="565"/>
      <c r="DZ64" s="565"/>
      <c r="EA64" s="565"/>
      <c r="EB64" s="565"/>
      <c r="EC64" s="2604"/>
      <c r="ED64" s="2596"/>
      <c r="EE64" s="2596"/>
      <c r="EF64" s="2596"/>
      <c r="EG64" s="2596"/>
      <c r="EH64" s="2596"/>
      <c r="EI64" s="2596"/>
      <c r="EJ64" s="2596"/>
      <c r="EK64" s="2605"/>
      <c r="EL64" s="565"/>
      <c r="EM64" s="565"/>
      <c r="EN64" s="565"/>
      <c r="EO64" s="565"/>
      <c r="EU64" s="2608"/>
      <c r="EV64" s="2608"/>
      <c r="EW64" s="2608"/>
      <c r="EX64" s="2608"/>
      <c r="EY64" s="2608"/>
      <c r="EZ64" s="2608"/>
      <c r="FA64" s="2608"/>
      <c r="FB64" s="2608"/>
      <c r="FC64" s="2608"/>
      <c r="FD64" s="2608"/>
      <c r="FE64" s="2608"/>
      <c r="FF64" s="2608"/>
      <c r="FM64" s="516"/>
      <c r="GC64" s="516"/>
      <c r="GV64" s="2629"/>
      <c r="GW64" s="2630"/>
      <c r="GX64" s="2630"/>
      <c r="GY64" s="2631"/>
      <c r="HN64" s="2638">
        <v>0.3</v>
      </c>
      <c r="HO64" s="2638"/>
      <c r="HP64" s="2638"/>
      <c r="HQ64" s="2638"/>
      <c r="HR64" s="2638"/>
      <c r="HS64" s="2638"/>
      <c r="HT64" s="2638"/>
      <c r="HU64" s="2638"/>
      <c r="HV64" s="2638"/>
      <c r="HW64" s="2638"/>
      <c r="HX64" s="2638"/>
    </row>
    <row r="65" spans="15:232" ht="4.1500000000000004" customHeight="1">
      <c r="V65" s="516"/>
      <c r="AW65" s="2610"/>
      <c r="AX65" s="2610"/>
      <c r="AY65" s="2610"/>
      <c r="AZ65" s="2610"/>
      <c r="BA65" s="2610"/>
      <c r="BB65" s="2610"/>
      <c r="BC65" s="2610"/>
      <c r="BD65" s="2610"/>
      <c r="BE65" s="2610"/>
      <c r="BF65" s="2610"/>
      <c r="BG65" s="2610"/>
      <c r="BH65" s="2610"/>
      <c r="BI65" s="2610"/>
      <c r="BJ65" s="2610"/>
      <c r="CK65" s="517"/>
      <c r="DY65" s="565"/>
      <c r="DZ65" s="565"/>
      <c r="EA65" s="565"/>
      <c r="EB65" s="565"/>
      <c r="EC65" s="2604"/>
      <c r="ED65" s="2596"/>
      <c r="EE65" s="2596"/>
      <c r="EF65" s="2596"/>
      <c r="EG65" s="2596"/>
      <c r="EH65" s="2596"/>
      <c r="EI65" s="2596"/>
      <c r="EJ65" s="2596"/>
      <c r="EK65" s="2605"/>
      <c r="EL65" s="565"/>
      <c r="EM65" s="565"/>
      <c r="EN65" s="565"/>
      <c r="EO65" s="565"/>
      <c r="EU65" s="2608"/>
      <c r="EV65" s="2608"/>
      <c r="EW65" s="2608"/>
      <c r="EX65" s="2608"/>
      <c r="EY65" s="2608"/>
      <c r="EZ65" s="2608"/>
      <c r="FA65" s="2608"/>
      <c r="FB65" s="2608"/>
      <c r="FC65" s="2608"/>
      <c r="FD65" s="2608"/>
      <c r="FE65" s="2608"/>
      <c r="FF65" s="2608"/>
      <c r="FM65" s="516"/>
      <c r="GC65" s="516"/>
      <c r="GV65" s="2629"/>
      <c r="GW65" s="2630"/>
      <c r="GX65" s="2630"/>
      <c r="GY65" s="2631"/>
      <c r="HN65" s="2638"/>
      <c r="HO65" s="2638"/>
      <c r="HP65" s="2638"/>
      <c r="HQ65" s="2638"/>
      <c r="HR65" s="2638"/>
      <c r="HS65" s="2638"/>
      <c r="HT65" s="2638"/>
      <c r="HU65" s="2638"/>
      <c r="HV65" s="2638"/>
      <c r="HW65" s="2638"/>
      <c r="HX65" s="2638"/>
    </row>
    <row r="66" spans="15:232" ht="4.1500000000000004" customHeight="1">
      <c r="DY66" s="565"/>
      <c r="DZ66" s="565"/>
      <c r="EA66" s="565"/>
      <c r="EB66" s="565"/>
      <c r="EC66" s="2606"/>
      <c r="ED66" s="2598"/>
      <c r="EE66" s="2598"/>
      <c r="EF66" s="2598"/>
      <c r="EG66" s="2598"/>
      <c r="EH66" s="2598"/>
      <c r="EI66" s="2598"/>
      <c r="EJ66" s="2598"/>
      <c r="EK66" s="2607"/>
      <c r="EL66" s="565"/>
      <c r="EM66" s="565"/>
      <c r="EN66" s="565"/>
      <c r="EO66" s="565"/>
      <c r="EU66" s="532"/>
      <c r="EV66" s="532"/>
      <c r="EW66" s="532"/>
      <c r="EX66" s="532"/>
      <c r="EY66" s="532"/>
      <c r="EZ66" s="532"/>
      <c r="FA66" s="532"/>
      <c r="FB66" s="532"/>
      <c r="FC66" s="532"/>
      <c r="FD66" s="532"/>
      <c r="FE66" s="532"/>
      <c r="FF66" s="532"/>
      <c r="FM66" s="516"/>
      <c r="GC66" s="516"/>
      <c r="GV66" s="2629"/>
      <c r="GW66" s="2630"/>
      <c r="GX66" s="2630"/>
      <c r="GY66" s="2631"/>
      <c r="HN66" s="2638"/>
      <c r="HO66" s="2638"/>
      <c r="HP66" s="2638"/>
      <c r="HQ66" s="2638"/>
      <c r="HR66" s="2638"/>
      <c r="HS66" s="2638"/>
      <c r="HT66" s="2638"/>
      <c r="HU66" s="2638"/>
      <c r="HV66" s="2638"/>
      <c r="HW66" s="2638"/>
      <c r="HX66" s="2638"/>
    </row>
    <row r="67" spans="15:232" ht="4.1500000000000004" customHeight="1">
      <c r="DY67" s="565"/>
      <c r="DZ67" s="565"/>
      <c r="EA67" s="2602">
        <v>0.5</v>
      </c>
      <c r="EB67" s="2597"/>
      <c r="EC67" s="2597"/>
      <c r="ED67" s="2597"/>
      <c r="EE67" s="2597"/>
      <c r="EF67" s="2597"/>
      <c r="EG67" s="2597"/>
      <c r="EH67" s="2597"/>
      <c r="EI67" s="2597"/>
      <c r="EJ67" s="2597"/>
      <c r="EK67" s="2597"/>
      <c r="EL67" s="2597"/>
      <c r="EM67" s="2603"/>
      <c r="EN67" s="565"/>
      <c r="EO67" s="565"/>
      <c r="FM67" s="516"/>
      <c r="GC67" s="516"/>
      <c r="GV67" s="2629"/>
      <c r="GW67" s="2630"/>
      <c r="GX67" s="2630"/>
      <c r="GY67" s="2631"/>
      <c r="HS67" s="516"/>
    </row>
    <row r="68" spans="15:232" ht="4.1500000000000004" customHeight="1">
      <c r="W68" s="516"/>
      <c r="AW68" s="2600">
        <f>AT95+CJ84</f>
        <v>3.9</v>
      </c>
      <c r="AX68" s="2610"/>
      <c r="AY68" s="2610"/>
      <c r="AZ68" s="2610"/>
      <c r="BA68" s="2610"/>
      <c r="BB68" s="2610"/>
      <c r="BC68" s="2610"/>
      <c r="BD68" s="2610"/>
      <c r="BE68" s="2610"/>
      <c r="BF68" s="2610"/>
      <c r="BG68" s="2610"/>
      <c r="BH68" s="2610"/>
      <c r="BI68" s="2610"/>
      <c r="BJ68" s="2610"/>
      <c r="CJ68" s="517"/>
      <c r="DY68" s="565"/>
      <c r="DZ68" s="565"/>
      <c r="EA68" s="2604"/>
      <c r="EB68" s="2596"/>
      <c r="EC68" s="2596"/>
      <c r="ED68" s="2596"/>
      <c r="EE68" s="2596"/>
      <c r="EF68" s="2596"/>
      <c r="EG68" s="2596"/>
      <c r="EH68" s="2596"/>
      <c r="EI68" s="2596"/>
      <c r="EJ68" s="2596"/>
      <c r="EK68" s="2596"/>
      <c r="EL68" s="2596"/>
      <c r="EM68" s="2605"/>
      <c r="EN68" s="565"/>
      <c r="EO68" s="565"/>
      <c r="EU68" s="2608">
        <v>0.22500000000000001</v>
      </c>
      <c r="EV68" s="2608"/>
      <c r="EW68" s="2608"/>
      <c r="EX68" s="2608"/>
      <c r="EY68" s="2608"/>
      <c r="EZ68" s="2608"/>
      <c r="FA68" s="2608"/>
      <c r="FB68" s="2608"/>
      <c r="FC68" s="2608"/>
      <c r="FD68" s="2608"/>
      <c r="FE68" s="2608"/>
      <c r="FF68" s="2608"/>
      <c r="FK68" s="2616">
        <f>EU63+EU68+EU73+EU77+EU80</f>
        <v>0.97500000000000009</v>
      </c>
      <c r="FL68" s="2616"/>
      <c r="FM68" s="2616"/>
      <c r="FN68" s="2616"/>
      <c r="GC68" s="516"/>
      <c r="GV68" s="2632"/>
      <c r="GW68" s="2633"/>
      <c r="GX68" s="2633"/>
      <c r="GY68" s="2634"/>
      <c r="HS68" s="516"/>
    </row>
    <row r="69" spans="15:232" ht="4.1500000000000004" customHeight="1">
      <c r="W69" s="530"/>
      <c r="X69" s="532"/>
      <c r="Y69" s="532"/>
      <c r="Z69" s="532"/>
      <c r="AA69" s="532"/>
      <c r="AB69" s="532"/>
      <c r="AC69" s="532"/>
      <c r="AD69" s="532"/>
      <c r="AE69" s="532"/>
      <c r="AF69" s="532"/>
      <c r="AG69" s="532"/>
      <c r="AH69" s="532"/>
      <c r="AI69" s="532"/>
      <c r="AJ69" s="532"/>
      <c r="AK69" s="532"/>
      <c r="AL69" s="532"/>
      <c r="AM69" s="532"/>
      <c r="AN69" s="532"/>
      <c r="AO69" s="532"/>
      <c r="AP69" s="532"/>
      <c r="AQ69" s="532"/>
      <c r="AR69" s="532"/>
      <c r="AS69" s="532"/>
      <c r="AT69" s="532"/>
      <c r="AU69" s="532"/>
      <c r="AV69" s="532"/>
      <c r="AW69" s="2610"/>
      <c r="AX69" s="2610"/>
      <c r="AY69" s="2610"/>
      <c r="AZ69" s="2610"/>
      <c r="BA69" s="2610"/>
      <c r="BB69" s="2610"/>
      <c r="BC69" s="2610"/>
      <c r="BD69" s="2610"/>
      <c r="BE69" s="2610"/>
      <c r="BF69" s="2610"/>
      <c r="BG69" s="2610"/>
      <c r="BH69" s="2610"/>
      <c r="BI69" s="2610"/>
      <c r="BJ69" s="2610"/>
      <c r="BK69" s="532"/>
      <c r="BL69" s="532"/>
      <c r="BM69" s="532"/>
      <c r="BN69" s="532"/>
      <c r="BO69" s="532"/>
      <c r="BP69" s="532"/>
      <c r="BQ69" s="532"/>
      <c r="BR69" s="532"/>
      <c r="BS69" s="532"/>
      <c r="BT69" s="532"/>
      <c r="BU69" s="532"/>
      <c r="BV69" s="532"/>
      <c r="BW69" s="532"/>
      <c r="BX69" s="532"/>
      <c r="BY69" s="532"/>
      <c r="BZ69" s="532"/>
      <c r="CA69" s="532"/>
      <c r="CB69" s="532"/>
      <c r="CC69" s="532"/>
      <c r="CD69" s="532"/>
      <c r="CE69" s="532"/>
      <c r="CF69" s="532"/>
      <c r="CG69" s="532"/>
      <c r="CH69" s="532"/>
      <c r="CI69" s="532"/>
      <c r="CJ69" s="531"/>
      <c r="DY69" s="565"/>
      <c r="DZ69" s="565"/>
      <c r="EA69" s="2604"/>
      <c r="EB69" s="2596"/>
      <c r="EC69" s="2596"/>
      <c r="ED69" s="2596"/>
      <c r="EE69" s="2596"/>
      <c r="EF69" s="2596"/>
      <c r="EG69" s="2596"/>
      <c r="EH69" s="2596"/>
      <c r="EI69" s="2596"/>
      <c r="EJ69" s="2596"/>
      <c r="EK69" s="2596"/>
      <c r="EL69" s="2596"/>
      <c r="EM69" s="2605"/>
      <c r="EN69" s="565"/>
      <c r="EO69" s="565"/>
      <c r="EU69" s="2608"/>
      <c r="EV69" s="2608"/>
      <c r="EW69" s="2608"/>
      <c r="EX69" s="2608"/>
      <c r="EY69" s="2608"/>
      <c r="EZ69" s="2608"/>
      <c r="FA69" s="2608"/>
      <c r="FB69" s="2608"/>
      <c r="FC69" s="2608"/>
      <c r="FD69" s="2608"/>
      <c r="FE69" s="2608"/>
      <c r="FF69" s="2608"/>
      <c r="FK69" s="2616"/>
      <c r="FL69" s="2616"/>
      <c r="FM69" s="2616"/>
      <c r="FN69" s="2616"/>
      <c r="GC69" s="516"/>
      <c r="GJ69" s="2619"/>
      <c r="GK69" s="2619"/>
      <c r="GL69" s="2619"/>
      <c r="GM69" s="2619"/>
      <c r="GN69" s="2619"/>
      <c r="GO69" s="2619"/>
      <c r="GP69" s="2619"/>
      <c r="GQ69" s="2619"/>
      <c r="GR69" s="2619"/>
      <c r="GS69" s="2619"/>
      <c r="GT69" s="2619"/>
      <c r="GU69" s="2643">
        <v>0.3</v>
      </c>
      <c r="GV69" s="2643"/>
      <c r="GW69" s="2643"/>
      <c r="GX69" s="2643"/>
      <c r="GY69" s="2643"/>
      <c r="GZ69" s="2643"/>
      <c r="HA69" s="2644"/>
      <c r="HB69" s="2644"/>
      <c r="HC69" s="2644"/>
      <c r="HD69" s="2644"/>
      <c r="HE69" s="2644"/>
      <c r="HF69" s="2644"/>
      <c r="HG69" s="2644"/>
      <c r="HH69" s="2644"/>
      <c r="HI69" s="2644"/>
      <c r="HJ69" s="2644"/>
      <c r="HK69" s="2644"/>
      <c r="HN69" s="514"/>
      <c r="HO69" s="514"/>
      <c r="HP69" s="514"/>
      <c r="HQ69" s="514"/>
      <c r="HR69" s="514"/>
      <c r="HS69" s="515"/>
      <c r="HT69" s="514"/>
      <c r="HU69" s="514"/>
      <c r="HV69" s="514"/>
      <c r="HW69" s="514"/>
      <c r="HX69" s="514"/>
    </row>
    <row r="70" spans="15:232" ht="4.1500000000000004" customHeight="1">
      <c r="W70" s="516"/>
      <c r="AW70" s="2610"/>
      <c r="AX70" s="2610"/>
      <c r="AY70" s="2610"/>
      <c r="AZ70" s="2610"/>
      <c r="BA70" s="2610"/>
      <c r="BB70" s="2610"/>
      <c r="BC70" s="2610"/>
      <c r="BD70" s="2610"/>
      <c r="BE70" s="2610"/>
      <c r="BF70" s="2610"/>
      <c r="BG70" s="2610"/>
      <c r="BH70" s="2610"/>
      <c r="BI70" s="2610"/>
      <c r="BJ70" s="2610"/>
      <c r="CJ70" s="517"/>
      <c r="DY70" s="565"/>
      <c r="DZ70" s="565"/>
      <c r="EA70" s="2604"/>
      <c r="EB70" s="2596"/>
      <c r="EC70" s="2596"/>
      <c r="ED70" s="2596"/>
      <c r="EE70" s="2596"/>
      <c r="EF70" s="2596"/>
      <c r="EG70" s="2596"/>
      <c r="EH70" s="2596"/>
      <c r="EI70" s="2596"/>
      <c r="EJ70" s="2596"/>
      <c r="EK70" s="2596"/>
      <c r="EL70" s="2596"/>
      <c r="EM70" s="2605"/>
      <c r="EN70" s="565"/>
      <c r="EO70" s="565"/>
      <c r="EU70" s="2608"/>
      <c r="EV70" s="2608"/>
      <c r="EW70" s="2608"/>
      <c r="EX70" s="2608"/>
      <c r="EY70" s="2608"/>
      <c r="EZ70" s="2608"/>
      <c r="FA70" s="2608"/>
      <c r="FB70" s="2608"/>
      <c r="FC70" s="2608"/>
      <c r="FD70" s="2608"/>
      <c r="FE70" s="2608"/>
      <c r="FF70" s="2608"/>
      <c r="FK70" s="2616"/>
      <c r="FL70" s="2616"/>
      <c r="FM70" s="2616"/>
      <c r="FN70" s="2616"/>
      <c r="GC70" s="516"/>
      <c r="GJ70" s="2619"/>
      <c r="GK70" s="2619"/>
      <c r="GL70" s="2619"/>
      <c r="GM70" s="2619"/>
      <c r="GN70" s="2619"/>
      <c r="GO70" s="2619"/>
      <c r="GP70" s="2619"/>
      <c r="GQ70" s="2619"/>
      <c r="GR70" s="2619"/>
      <c r="GS70" s="2619"/>
      <c r="GT70" s="2619"/>
      <c r="GU70" s="2600"/>
      <c r="GV70" s="2600"/>
      <c r="GW70" s="2600"/>
      <c r="GX70" s="2600"/>
      <c r="GY70" s="2600"/>
      <c r="GZ70" s="2600"/>
      <c r="HA70" s="2644"/>
      <c r="HB70" s="2644"/>
      <c r="HC70" s="2644"/>
      <c r="HD70" s="2644"/>
      <c r="HE70" s="2644"/>
      <c r="HF70" s="2644"/>
      <c r="HG70" s="2644"/>
      <c r="HH70" s="2644"/>
      <c r="HI70" s="2644"/>
      <c r="HJ70" s="2644"/>
      <c r="HK70" s="2644"/>
      <c r="HS70" s="516"/>
    </row>
    <row r="71" spans="15:232" ht="4.1500000000000004" customHeight="1">
      <c r="W71" s="516"/>
      <c r="AW71" s="2610"/>
      <c r="AX71" s="2610"/>
      <c r="AY71" s="2610"/>
      <c r="AZ71" s="2610"/>
      <c r="BA71" s="2610"/>
      <c r="BB71" s="2610"/>
      <c r="BC71" s="2610"/>
      <c r="BD71" s="2610"/>
      <c r="BE71" s="2610"/>
      <c r="BF71" s="2610"/>
      <c r="BG71" s="2610"/>
      <c r="BH71" s="2610"/>
      <c r="BI71" s="2610"/>
      <c r="BJ71" s="2610"/>
      <c r="CJ71" s="517"/>
      <c r="DY71" s="565"/>
      <c r="DZ71" s="565"/>
      <c r="EA71" s="2606"/>
      <c r="EB71" s="2598"/>
      <c r="EC71" s="2598"/>
      <c r="ED71" s="2598"/>
      <c r="EE71" s="2598"/>
      <c r="EF71" s="2598"/>
      <c r="EG71" s="2598"/>
      <c r="EH71" s="2598"/>
      <c r="EI71" s="2598"/>
      <c r="EJ71" s="2598"/>
      <c r="EK71" s="2598"/>
      <c r="EL71" s="2598"/>
      <c r="EM71" s="2607"/>
      <c r="EN71" s="565"/>
      <c r="EO71" s="565"/>
      <c r="EU71" s="532"/>
      <c r="EV71" s="532"/>
      <c r="EW71" s="532"/>
      <c r="EX71" s="532"/>
      <c r="EY71" s="532"/>
      <c r="EZ71" s="532"/>
      <c r="FA71" s="532"/>
      <c r="FB71" s="532"/>
      <c r="FC71" s="532"/>
      <c r="FD71" s="532"/>
      <c r="FE71" s="532"/>
      <c r="FF71" s="532"/>
      <c r="FK71" s="2616"/>
      <c r="FL71" s="2616"/>
      <c r="FM71" s="2616"/>
      <c r="FN71" s="2616"/>
      <c r="GB71" s="2646">
        <f>HN64+HN71+HN78+HN83+HN86</f>
        <v>1.1999999999999997</v>
      </c>
      <c r="GC71" s="2646"/>
      <c r="GD71" s="2646"/>
      <c r="GE71" s="2646"/>
      <c r="GJ71" s="2619"/>
      <c r="GK71" s="2619"/>
      <c r="GL71" s="2619"/>
      <c r="GM71" s="2619"/>
      <c r="GN71" s="2619"/>
      <c r="GO71" s="2619"/>
      <c r="GP71" s="2619"/>
      <c r="GQ71" s="2619"/>
      <c r="GR71" s="2619"/>
      <c r="GS71" s="2619"/>
      <c r="GT71" s="2619"/>
      <c r="GU71" s="2600"/>
      <c r="GV71" s="2600"/>
      <c r="GW71" s="2600"/>
      <c r="GX71" s="2600"/>
      <c r="GY71" s="2600"/>
      <c r="GZ71" s="2600"/>
      <c r="HA71" s="2644"/>
      <c r="HB71" s="2644"/>
      <c r="HC71" s="2644"/>
      <c r="HD71" s="2644"/>
      <c r="HE71" s="2644"/>
      <c r="HF71" s="2644"/>
      <c r="HG71" s="2644"/>
      <c r="HH71" s="2644"/>
      <c r="HI71" s="2644"/>
      <c r="HJ71" s="2644"/>
      <c r="HK71" s="2644"/>
      <c r="HN71" s="2638">
        <v>0.3</v>
      </c>
      <c r="HO71" s="2638"/>
      <c r="HP71" s="2638"/>
      <c r="HQ71" s="2638"/>
      <c r="HR71" s="2638"/>
      <c r="HS71" s="2638"/>
      <c r="HT71" s="2638"/>
      <c r="HU71" s="2638"/>
      <c r="HV71" s="2638"/>
      <c r="HW71" s="2638"/>
      <c r="HX71" s="2638"/>
    </row>
    <row r="72" spans="15:232" ht="4.1500000000000004" customHeight="1">
      <c r="DY72" s="2602">
        <v>0.6</v>
      </c>
      <c r="DZ72" s="2597"/>
      <c r="EA72" s="2597"/>
      <c r="EB72" s="2597"/>
      <c r="EC72" s="2597"/>
      <c r="ED72" s="2597"/>
      <c r="EE72" s="2597"/>
      <c r="EF72" s="2597"/>
      <c r="EG72" s="2597"/>
      <c r="EH72" s="2597"/>
      <c r="EI72" s="2597"/>
      <c r="EJ72" s="2597"/>
      <c r="EK72" s="2597"/>
      <c r="EL72" s="2597"/>
      <c r="EM72" s="2597"/>
      <c r="EN72" s="2597"/>
      <c r="EO72" s="2603"/>
      <c r="FK72" s="2616"/>
      <c r="FL72" s="2616"/>
      <c r="FM72" s="2616"/>
      <c r="FN72" s="2616"/>
      <c r="GB72" s="2646"/>
      <c r="GC72" s="2646"/>
      <c r="GD72" s="2646"/>
      <c r="GE72" s="2646"/>
      <c r="GJ72" s="2619"/>
      <c r="GK72" s="2619"/>
      <c r="GL72" s="2619"/>
      <c r="GM72" s="2619"/>
      <c r="GN72" s="2619"/>
      <c r="GO72" s="2619"/>
      <c r="GP72" s="2619"/>
      <c r="GQ72" s="2619"/>
      <c r="GR72" s="2619"/>
      <c r="GS72" s="2619"/>
      <c r="GT72" s="2619"/>
      <c r="HA72" s="2644"/>
      <c r="HB72" s="2644"/>
      <c r="HC72" s="2644"/>
      <c r="HD72" s="2644"/>
      <c r="HE72" s="2644"/>
      <c r="HF72" s="2644"/>
      <c r="HG72" s="2644"/>
      <c r="HH72" s="2644"/>
      <c r="HI72" s="2644"/>
      <c r="HJ72" s="2644"/>
      <c r="HK72" s="2644"/>
      <c r="HN72" s="2638"/>
      <c r="HO72" s="2638"/>
      <c r="HP72" s="2638"/>
      <c r="HQ72" s="2638"/>
      <c r="HR72" s="2638"/>
      <c r="HS72" s="2638"/>
      <c r="HT72" s="2638"/>
      <c r="HU72" s="2638"/>
      <c r="HV72" s="2638"/>
      <c r="HW72" s="2638"/>
      <c r="HX72" s="2638"/>
    </row>
    <row r="73" spans="15:232" ht="4.1500000000000004" customHeight="1">
      <c r="DY73" s="2604"/>
      <c r="DZ73" s="2596"/>
      <c r="EA73" s="2596"/>
      <c r="EB73" s="2596"/>
      <c r="EC73" s="2596"/>
      <c r="ED73" s="2596"/>
      <c r="EE73" s="2596"/>
      <c r="EF73" s="2596"/>
      <c r="EG73" s="2596"/>
      <c r="EH73" s="2596"/>
      <c r="EI73" s="2596"/>
      <c r="EJ73" s="2596"/>
      <c r="EK73" s="2596"/>
      <c r="EL73" s="2596"/>
      <c r="EM73" s="2596"/>
      <c r="EN73" s="2596"/>
      <c r="EO73" s="2605"/>
      <c r="EU73" s="2608">
        <v>0.22500000000000001</v>
      </c>
      <c r="EV73" s="2608"/>
      <c r="EW73" s="2608"/>
      <c r="EX73" s="2608"/>
      <c r="EY73" s="2608"/>
      <c r="EZ73" s="2608"/>
      <c r="FA73" s="2608"/>
      <c r="FB73" s="2608"/>
      <c r="FC73" s="2608"/>
      <c r="FD73" s="2608"/>
      <c r="FE73" s="2608"/>
      <c r="FF73" s="2608"/>
      <c r="FK73" s="2616"/>
      <c r="FL73" s="2616"/>
      <c r="FM73" s="2616"/>
      <c r="FN73" s="2616"/>
      <c r="GB73" s="2646"/>
      <c r="GC73" s="2646"/>
      <c r="GD73" s="2646"/>
      <c r="GE73" s="2646"/>
      <c r="GJ73" s="2619"/>
      <c r="GK73" s="2619"/>
      <c r="GL73" s="2619"/>
      <c r="GM73" s="2619"/>
      <c r="GN73" s="2619"/>
      <c r="GO73" s="2619"/>
      <c r="GP73" s="2619"/>
      <c r="GQ73" s="2619"/>
      <c r="GR73" s="2619"/>
      <c r="GS73" s="2619"/>
      <c r="GT73" s="2619"/>
      <c r="HA73" s="2644"/>
      <c r="HB73" s="2644"/>
      <c r="HC73" s="2644"/>
      <c r="HD73" s="2644"/>
      <c r="HE73" s="2644"/>
      <c r="HF73" s="2644"/>
      <c r="HG73" s="2644"/>
      <c r="HH73" s="2644"/>
      <c r="HI73" s="2644"/>
      <c r="HJ73" s="2644"/>
      <c r="HK73" s="2644"/>
      <c r="HN73" s="2638"/>
      <c r="HO73" s="2638"/>
      <c r="HP73" s="2638"/>
      <c r="HQ73" s="2638"/>
      <c r="HR73" s="2638"/>
      <c r="HS73" s="2638"/>
      <c r="HT73" s="2638"/>
      <c r="HU73" s="2638"/>
      <c r="HV73" s="2638"/>
      <c r="HW73" s="2638"/>
      <c r="HX73" s="2638"/>
    </row>
    <row r="74" spans="15:232" ht="4.1500000000000004" customHeight="1">
      <c r="DY74" s="2604"/>
      <c r="DZ74" s="2596"/>
      <c r="EA74" s="2596"/>
      <c r="EB74" s="2596"/>
      <c r="EC74" s="2596"/>
      <c r="ED74" s="2596"/>
      <c r="EE74" s="2596"/>
      <c r="EF74" s="2596"/>
      <c r="EG74" s="2596"/>
      <c r="EH74" s="2596"/>
      <c r="EI74" s="2596"/>
      <c r="EJ74" s="2596"/>
      <c r="EK74" s="2596"/>
      <c r="EL74" s="2596"/>
      <c r="EM74" s="2596"/>
      <c r="EN74" s="2596"/>
      <c r="EO74" s="2605"/>
      <c r="EU74" s="2608"/>
      <c r="EV74" s="2608"/>
      <c r="EW74" s="2608"/>
      <c r="EX74" s="2608"/>
      <c r="EY74" s="2608"/>
      <c r="EZ74" s="2608"/>
      <c r="FA74" s="2608"/>
      <c r="FB74" s="2608"/>
      <c r="FC74" s="2608"/>
      <c r="FD74" s="2608"/>
      <c r="FE74" s="2608"/>
      <c r="FF74" s="2608"/>
      <c r="FK74" s="2616"/>
      <c r="FL74" s="2616"/>
      <c r="FM74" s="2616"/>
      <c r="FN74" s="2616"/>
      <c r="GB74" s="2646"/>
      <c r="GC74" s="2646"/>
      <c r="GD74" s="2646"/>
      <c r="GE74" s="2646"/>
      <c r="GJ74" s="2619"/>
      <c r="GK74" s="2619"/>
      <c r="GL74" s="2619"/>
      <c r="GM74" s="2619"/>
      <c r="GN74" s="2619"/>
      <c r="GO74" s="2619"/>
      <c r="GP74" s="2619"/>
      <c r="GQ74" s="2619"/>
      <c r="GR74" s="2619"/>
      <c r="GS74" s="2619"/>
      <c r="GT74" s="2619"/>
      <c r="HA74" s="2644"/>
      <c r="HB74" s="2644"/>
      <c r="HC74" s="2644"/>
      <c r="HD74" s="2644"/>
      <c r="HE74" s="2644"/>
      <c r="HF74" s="2644"/>
      <c r="HG74" s="2644"/>
      <c r="HH74" s="2644"/>
      <c r="HI74" s="2644"/>
      <c r="HJ74" s="2644"/>
      <c r="HK74" s="2644"/>
      <c r="HS74" s="516"/>
    </row>
    <row r="75" spans="15:232" ht="4.1500000000000004" customHeight="1">
      <c r="AW75" s="536"/>
      <c r="AX75" s="537"/>
      <c r="AY75" s="537"/>
      <c r="AZ75" s="537"/>
      <c r="BA75" s="537"/>
      <c r="BB75" s="537"/>
      <c r="BC75" s="537"/>
      <c r="BD75" s="537"/>
      <c r="BE75" s="537"/>
      <c r="BF75" s="537"/>
      <c r="BG75" s="537"/>
      <c r="BH75" s="537"/>
      <c r="BI75" s="537"/>
      <c r="BJ75" s="538"/>
      <c r="DY75" s="2604"/>
      <c r="DZ75" s="2596"/>
      <c r="EA75" s="2596"/>
      <c r="EB75" s="2596"/>
      <c r="EC75" s="2596"/>
      <c r="ED75" s="2596"/>
      <c r="EE75" s="2596"/>
      <c r="EF75" s="2596"/>
      <c r="EG75" s="2596"/>
      <c r="EH75" s="2596"/>
      <c r="EI75" s="2596"/>
      <c r="EJ75" s="2596"/>
      <c r="EK75" s="2596"/>
      <c r="EL75" s="2596"/>
      <c r="EM75" s="2596"/>
      <c r="EN75" s="2596"/>
      <c r="EO75" s="2605"/>
      <c r="EU75" s="2608"/>
      <c r="EV75" s="2608"/>
      <c r="EW75" s="2608"/>
      <c r="EX75" s="2608"/>
      <c r="EY75" s="2608"/>
      <c r="EZ75" s="2608"/>
      <c r="FA75" s="2608"/>
      <c r="FB75" s="2608"/>
      <c r="FC75" s="2608"/>
      <c r="FD75" s="2608"/>
      <c r="FE75" s="2608"/>
      <c r="FF75" s="2608"/>
      <c r="FK75" s="2616"/>
      <c r="FL75" s="2616"/>
      <c r="FM75" s="2616"/>
      <c r="FN75" s="2616"/>
      <c r="GB75" s="2646"/>
      <c r="GC75" s="2646"/>
      <c r="GD75" s="2646"/>
      <c r="GE75" s="2646"/>
      <c r="GJ75" s="2621"/>
      <c r="GK75" s="2621"/>
      <c r="GL75" s="2621"/>
      <c r="GM75" s="2621"/>
      <c r="GN75" s="2621"/>
      <c r="GO75" s="2621"/>
      <c r="GP75" s="2621"/>
      <c r="GQ75" s="2621"/>
      <c r="GR75" s="2621"/>
      <c r="GS75" s="2621"/>
      <c r="GT75" s="2621"/>
      <c r="GU75" s="532"/>
      <c r="GV75" s="532"/>
      <c r="GW75" s="532"/>
      <c r="GX75" s="532"/>
      <c r="GY75" s="532"/>
      <c r="GZ75" s="532"/>
      <c r="HA75" s="2645"/>
      <c r="HB75" s="2645"/>
      <c r="HC75" s="2645"/>
      <c r="HD75" s="2645"/>
      <c r="HE75" s="2645"/>
      <c r="HF75" s="2645"/>
      <c r="HG75" s="2645"/>
      <c r="HH75" s="2645"/>
      <c r="HI75" s="2645"/>
      <c r="HJ75" s="2645"/>
      <c r="HK75" s="2645"/>
      <c r="HS75" s="516"/>
    </row>
    <row r="76" spans="15:232" ht="4.1500000000000004" customHeight="1">
      <c r="AW76" s="539"/>
      <c r="BJ76" s="540"/>
      <c r="DY76" s="2606"/>
      <c r="DZ76" s="2598"/>
      <c r="EA76" s="2598"/>
      <c r="EB76" s="2598"/>
      <c r="EC76" s="2598"/>
      <c r="ED76" s="2598"/>
      <c r="EE76" s="2598"/>
      <c r="EF76" s="2598"/>
      <c r="EG76" s="2598"/>
      <c r="EH76" s="2598"/>
      <c r="EI76" s="2598"/>
      <c r="EJ76" s="2598"/>
      <c r="EK76" s="2598"/>
      <c r="EL76" s="2598"/>
      <c r="EM76" s="2598"/>
      <c r="EN76" s="2598"/>
      <c r="EO76" s="2607"/>
      <c r="EU76" s="532"/>
      <c r="EV76" s="532"/>
      <c r="EW76" s="532"/>
      <c r="EX76" s="532"/>
      <c r="EY76" s="532"/>
      <c r="EZ76" s="532"/>
      <c r="FA76" s="532"/>
      <c r="FB76" s="532"/>
      <c r="FC76" s="532"/>
      <c r="FD76" s="532"/>
      <c r="FE76" s="532"/>
      <c r="FF76" s="532"/>
      <c r="FK76" s="2616"/>
      <c r="FL76" s="2616"/>
      <c r="FM76" s="2616"/>
      <c r="FN76" s="2616"/>
      <c r="GB76" s="2646"/>
      <c r="GC76" s="2646"/>
      <c r="GD76" s="2646"/>
      <c r="GE76" s="2646"/>
      <c r="GJ76" s="516"/>
      <c r="HK76" s="517"/>
      <c r="HN76" s="514"/>
      <c r="HO76" s="514"/>
      <c r="HP76" s="514"/>
      <c r="HQ76" s="514"/>
      <c r="HR76" s="514"/>
      <c r="HS76" s="515"/>
      <c r="HT76" s="514"/>
      <c r="HU76" s="514"/>
      <c r="HV76" s="514"/>
      <c r="HW76" s="514"/>
      <c r="HX76" s="514"/>
    </row>
    <row r="77" spans="15:232" ht="4.1500000000000004" customHeight="1">
      <c r="AW77" s="539"/>
      <c r="BJ77" s="540"/>
      <c r="DW77" s="515"/>
      <c r="DX77" s="514"/>
      <c r="DY77" s="514"/>
      <c r="DZ77" s="514"/>
      <c r="EA77" s="514"/>
      <c r="EB77" s="514"/>
      <c r="EC77" s="514"/>
      <c r="ED77" s="514"/>
      <c r="EE77" s="514"/>
      <c r="EF77" s="514"/>
      <c r="EG77" s="514"/>
      <c r="EH77" s="514"/>
      <c r="EI77" s="514"/>
      <c r="EJ77" s="514"/>
      <c r="EK77" s="514"/>
      <c r="EL77" s="514"/>
      <c r="EM77" s="514"/>
      <c r="EN77" s="514"/>
      <c r="EO77" s="514"/>
      <c r="EP77" s="514"/>
      <c r="EQ77" s="518"/>
      <c r="ER77" s="516"/>
      <c r="EU77" s="2597">
        <v>0.15</v>
      </c>
      <c r="EV77" s="2597"/>
      <c r="EW77" s="2597"/>
      <c r="EX77" s="2597"/>
      <c r="EY77" s="2597"/>
      <c r="EZ77" s="2597"/>
      <c r="FA77" s="2597"/>
      <c r="FB77" s="2597"/>
      <c r="FC77" s="2597"/>
      <c r="FD77" s="2597"/>
      <c r="FE77" s="2597"/>
      <c r="FF77" s="2597"/>
      <c r="FK77" s="2616"/>
      <c r="FL77" s="2616"/>
      <c r="FM77" s="2616"/>
      <c r="FN77" s="2616"/>
      <c r="GB77" s="2646"/>
      <c r="GC77" s="2646"/>
      <c r="GD77" s="2646"/>
      <c r="GE77" s="2646"/>
      <c r="GJ77" s="516"/>
      <c r="HK77" s="517"/>
      <c r="HS77" s="516"/>
    </row>
    <row r="78" spans="15:232" ht="4.1500000000000004" customHeight="1">
      <c r="AW78" s="541"/>
      <c r="AX78" s="532"/>
      <c r="AY78" s="532"/>
      <c r="AZ78" s="532"/>
      <c r="BA78" s="532"/>
      <c r="BB78" s="532"/>
      <c r="BC78" s="532"/>
      <c r="BD78" s="532"/>
      <c r="BE78" s="532"/>
      <c r="BF78" s="532"/>
      <c r="BG78" s="532"/>
      <c r="BH78" s="532"/>
      <c r="BI78" s="532"/>
      <c r="BJ78" s="542"/>
      <c r="DW78" s="516"/>
      <c r="EQ78" s="517"/>
      <c r="ER78" s="516"/>
      <c r="EU78" s="2596"/>
      <c r="EV78" s="2596"/>
      <c r="EW78" s="2596"/>
      <c r="EX78" s="2596"/>
      <c r="EY78" s="2596"/>
      <c r="EZ78" s="2596"/>
      <c r="FA78" s="2596"/>
      <c r="FB78" s="2596"/>
      <c r="FC78" s="2596"/>
      <c r="FD78" s="2596"/>
      <c r="FE78" s="2596"/>
      <c r="FF78" s="2596"/>
      <c r="FM78" s="516"/>
      <c r="GB78" s="2646"/>
      <c r="GC78" s="2646"/>
      <c r="GD78" s="2646"/>
      <c r="GE78" s="2646"/>
      <c r="GJ78" s="516"/>
      <c r="HK78" s="517"/>
      <c r="HN78" s="2638">
        <v>0.3</v>
      </c>
      <c r="HO78" s="2638"/>
      <c r="HP78" s="2638"/>
      <c r="HQ78" s="2638"/>
      <c r="HR78" s="2638"/>
      <c r="HS78" s="2638"/>
      <c r="HT78" s="2638"/>
      <c r="HU78" s="2638"/>
      <c r="HV78" s="2638"/>
      <c r="HW78" s="2638"/>
      <c r="HX78" s="2638"/>
    </row>
    <row r="79" spans="15:232" ht="4.1500000000000004" customHeight="1" thickBot="1">
      <c r="O79" s="514"/>
      <c r="P79" s="514"/>
      <c r="Q79" s="515"/>
      <c r="R79" s="514"/>
      <c r="V79" s="515"/>
      <c r="W79" s="514"/>
      <c r="X79" s="514"/>
      <c r="Y79" s="514"/>
      <c r="Z79" s="514"/>
      <c r="AA79" s="514"/>
      <c r="AB79" s="514"/>
      <c r="AC79" s="514"/>
      <c r="AD79" s="514"/>
      <c r="AE79" s="514"/>
      <c r="AF79" s="514"/>
      <c r="AG79" s="514"/>
      <c r="AH79" s="514"/>
      <c r="AI79" s="514"/>
      <c r="AJ79" s="514"/>
      <c r="AK79" s="514"/>
      <c r="AL79" s="514"/>
      <c r="AM79" s="514"/>
      <c r="AN79" s="514"/>
      <c r="AO79" s="514"/>
      <c r="AP79" s="514"/>
      <c r="AQ79" s="514"/>
      <c r="AR79" s="514"/>
      <c r="AS79" s="514"/>
      <c r="AT79" s="514"/>
      <c r="AU79" s="514"/>
      <c r="AV79" s="514"/>
      <c r="AW79" s="514"/>
      <c r="AX79" s="514"/>
      <c r="AY79" s="543"/>
      <c r="AZ79" s="544"/>
      <c r="BA79" s="544"/>
      <c r="BB79" s="544"/>
      <c r="BC79" s="544"/>
      <c r="BD79" s="544"/>
      <c r="BE79" s="544"/>
      <c r="BF79" s="544"/>
      <c r="BG79" s="544"/>
      <c r="BH79" s="545"/>
      <c r="BI79" s="514"/>
      <c r="BJ79" s="514"/>
      <c r="BK79" s="514"/>
      <c r="BL79" s="514"/>
      <c r="BM79" s="514"/>
      <c r="BN79" s="514"/>
      <c r="BO79" s="514"/>
      <c r="BP79" s="514"/>
      <c r="BQ79" s="514"/>
      <c r="BR79" s="514"/>
      <c r="BS79" s="514"/>
      <c r="BT79" s="514"/>
      <c r="BU79" s="514"/>
      <c r="BV79" s="514"/>
      <c r="BW79" s="514"/>
      <c r="BX79" s="514"/>
      <c r="BY79" s="514"/>
      <c r="BZ79" s="514"/>
      <c r="CA79" s="514"/>
      <c r="CB79" s="514"/>
      <c r="CC79" s="514"/>
      <c r="CD79" s="514"/>
      <c r="CE79" s="514"/>
      <c r="CF79" s="514"/>
      <c r="CG79" s="514"/>
      <c r="CH79" s="514"/>
      <c r="CI79" s="514"/>
      <c r="CJ79" s="514"/>
      <c r="CK79" s="518"/>
      <c r="DW79" s="530"/>
      <c r="DX79" s="532"/>
      <c r="DY79" s="532"/>
      <c r="DZ79" s="532"/>
      <c r="EA79" s="532"/>
      <c r="EB79" s="532"/>
      <c r="EC79" s="532"/>
      <c r="ED79" s="532"/>
      <c r="EE79" s="532"/>
      <c r="EF79" s="532"/>
      <c r="EG79" s="532"/>
      <c r="EH79" s="532"/>
      <c r="EI79" s="532"/>
      <c r="EJ79" s="532"/>
      <c r="EK79" s="532"/>
      <c r="EL79" s="532"/>
      <c r="EM79" s="532"/>
      <c r="EN79" s="532"/>
      <c r="EO79" s="532"/>
      <c r="EP79" s="532"/>
      <c r="EQ79" s="531"/>
      <c r="ER79" s="516"/>
      <c r="EU79" s="2598"/>
      <c r="EV79" s="2598"/>
      <c r="EW79" s="2598"/>
      <c r="EX79" s="2598"/>
      <c r="EY79" s="2598"/>
      <c r="EZ79" s="2598"/>
      <c r="FA79" s="2598"/>
      <c r="FB79" s="2598"/>
      <c r="FC79" s="2598"/>
      <c r="FD79" s="2598"/>
      <c r="FE79" s="2598"/>
      <c r="FF79" s="2598"/>
      <c r="FM79" s="516"/>
      <c r="GB79" s="2646"/>
      <c r="GC79" s="2646"/>
      <c r="GD79" s="2646"/>
      <c r="GE79" s="2646"/>
      <c r="GJ79" s="516"/>
      <c r="HK79" s="517"/>
      <c r="HN79" s="2638"/>
      <c r="HO79" s="2638"/>
      <c r="HP79" s="2638"/>
      <c r="HQ79" s="2638"/>
      <c r="HR79" s="2638"/>
      <c r="HS79" s="2638"/>
      <c r="HT79" s="2638"/>
      <c r="HU79" s="2638"/>
      <c r="HV79" s="2638"/>
      <c r="HW79" s="2638"/>
      <c r="HX79" s="2638"/>
    </row>
    <row r="80" spans="15:232" ht="4.1500000000000004" customHeight="1" thickTop="1">
      <c r="Q80" s="516"/>
      <c r="V80" s="516"/>
      <c r="AY80" s="530"/>
      <c r="AZ80" s="532"/>
      <c r="BA80" s="532"/>
      <c r="BB80" s="532"/>
      <c r="BC80" s="532"/>
      <c r="BG80" s="532"/>
      <c r="BH80" s="531"/>
      <c r="CK80" s="517"/>
      <c r="CO80" s="514"/>
      <c r="CP80" s="514"/>
      <c r="CQ80" s="515"/>
      <c r="CR80" s="514"/>
      <c r="CV80" s="514"/>
      <c r="CW80" s="514"/>
      <c r="CX80" s="515"/>
      <c r="CY80" s="514"/>
      <c r="DW80" s="515"/>
      <c r="DX80" s="514"/>
      <c r="DY80" s="514"/>
      <c r="DZ80" s="514"/>
      <c r="EA80" s="514"/>
      <c r="EB80" s="514"/>
      <c r="EC80" s="514"/>
      <c r="ED80" s="514"/>
      <c r="EE80" s="514"/>
      <c r="EF80" s="514"/>
      <c r="EG80" s="514"/>
      <c r="EH80" s="514"/>
      <c r="EI80" s="514"/>
      <c r="EJ80" s="514"/>
      <c r="EK80" s="514"/>
      <c r="EL80" s="514"/>
      <c r="EM80" s="514"/>
      <c r="EN80" s="514"/>
      <c r="EO80" s="514"/>
      <c r="EP80" s="514"/>
      <c r="EQ80" s="518"/>
      <c r="ER80" s="516"/>
      <c r="EU80" s="2597">
        <v>0.15</v>
      </c>
      <c r="EV80" s="2597"/>
      <c r="EW80" s="2597"/>
      <c r="EX80" s="2597"/>
      <c r="EY80" s="2597"/>
      <c r="EZ80" s="2597"/>
      <c r="FA80" s="2597"/>
      <c r="FB80" s="2597"/>
      <c r="FC80" s="2597"/>
      <c r="FD80" s="2597"/>
      <c r="FE80" s="2597"/>
      <c r="FF80" s="2597"/>
      <c r="FM80" s="516"/>
      <c r="GB80" s="2646"/>
      <c r="GC80" s="2646"/>
      <c r="GD80" s="2646"/>
      <c r="GE80" s="2646"/>
      <c r="GJ80" s="516"/>
      <c r="HK80" s="517"/>
      <c r="HN80" s="2638"/>
      <c r="HO80" s="2638"/>
      <c r="HP80" s="2638"/>
      <c r="HQ80" s="2638"/>
      <c r="HR80" s="2638"/>
      <c r="HS80" s="2638"/>
      <c r="HT80" s="2638"/>
      <c r="HU80" s="2638"/>
      <c r="HV80" s="2638"/>
      <c r="HW80" s="2638"/>
      <c r="HX80" s="2638"/>
    </row>
    <row r="81" spans="17:232" ht="4.1500000000000004" customHeight="1">
      <c r="Q81" s="516"/>
      <c r="V81" s="516"/>
      <c r="X81" s="515"/>
      <c r="Y81" s="514"/>
      <c r="Z81" s="514"/>
      <c r="AA81" s="514"/>
      <c r="AB81" s="514"/>
      <c r="AC81" s="514"/>
      <c r="AD81" s="514"/>
      <c r="AE81" s="514"/>
      <c r="AF81" s="514"/>
      <c r="AG81" s="514"/>
      <c r="AH81" s="514"/>
      <c r="AI81" s="514"/>
      <c r="AJ81" s="514"/>
      <c r="AK81" s="514"/>
      <c r="AL81" s="514"/>
      <c r="AM81" s="514"/>
      <c r="AN81" s="514"/>
      <c r="AO81" s="514"/>
      <c r="AP81" s="514"/>
      <c r="AQ81" s="514"/>
      <c r="AR81" s="514"/>
      <c r="AS81" s="514"/>
      <c r="AT81" s="514"/>
      <c r="AU81" s="514"/>
      <c r="AV81" s="514"/>
      <c r="AW81" s="514"/>
      <c r="AX81" s="514"/>
      <c r="AY81" s="514"/>
      <c r="AZ81" s="514"/>
      <c r="BA81" s="514"/>
      <c r="BB81" s="514"/>
      <c r="BC81" s="514"/>
      <c r="BD81" s="514"/>
      <c r="BE81" s="514"/>
      <c r="BF81" s="514"/>
      <c r="BG81" s="514"/>
      <c r="BH81" s="514"/>
      <c r="BI81" s="514"/>
      <c r="BJ81" s="514"/>
      <c r="BK81" s="514"/>
      <c r="BL81" s="514"/>
      <c r="BM81" s="514"/>
      <c r="BN81" s="514"/>
      <c r="BO81" s="514"/>
      <c r="BP81" s="514"/>
      <c r="BQ81" s="514"/>
      <c r="BR81" s="514"/>
      <c r="BS81" s="514"/>
      <c r="BT81" s="514"/>
      <c r="BU81" s="514"/>
      <c r="BV81" s="514"/>
      <c r="BW81" s="514"/>
      <c r="BX81" s="514"/>
      <c r="BY81" s="514"/>
      <c r="BZ81" s="514"/>
      <c r="CA81" s="514"/>
      <c r="CB81" s="514"/>
      <c r="CC81" s="514"/>
      <c r="CD81" s="514"/>
      <c r="CE81" s="514"/>
      <c r="CF81" s="514"/>
      <c r="CG81" s="514"/>
      <c r="CH81" s="514"/>
      <c r="CI81" s="518"/>
      <c r="CK81" s="517"/>
      <c r="CQ81" s="516"/>
      <c r="CX81" s="516"/>
      <c r="DW81" s="516"/>
      <c r="EQ81" s="517"/>
      <c r="ER81" s="516"/>
      <c r="EU81" s="2596"/>
      <c r="EV81" s="2596"/>
      <c r="EW81" s="2596"/>
      <c r="EX81" s="2596"/>
      <c r="EY81" s="2596"/>
      <c r="EZ81" s="2596"/>
      <c r="FA81" s="2596"/>
      <c r="FB81" s="2596"/>
      <c r="FC81" s="2596"/>
      <c r="FD81" s="2596"/>
      <c r="FE81" s="2596"/>
      <c r="FF81" s="2596"/>
      <c r="FM81" s="516"/>
      <c r="GC81" s="516"/>
      <c r="GJ81" s="516"/>
      <c r="HK81" s="517"/>
      <c r="HS81" s="516"/>
    </row>
    <row r="82" spans="17:232" ht="4.1500000000000004" customHeight="1">
      <c r="Q82" s="516"/>
      <c r="V82" s="516"/>
      <c r="X82" s="516"/>
      <c r="CI82" s="517"/>
      <c r="CK82" s="517"/>
      <c r="CQ82" s="516"/>
      <c r="CX82" s="516"/>
      <c r="DW82" s="530"/>
      <c r="DX82" s="532"/>
      <c r="DY82" s="532"/>
      <c r="DZ82" s="532"/>
      <c r="EA82" s="532"/>
      <c r="EB82" s="532"/>
      <c r="EC82" s="532"/>
      <c r="ED82" s="532"/>
      <c r="EE82" s="532"/>
      <c r="EF82" s="532"/>
      <c r="EG82" s="532"/>
      <c r="EH82" s="532"/>
      <c r="EI82" s="532"/>
      <c r="EJ82" s="532"/>
      <c r="EK82" s="532"/>
      <c r="EL82" s="532"/>
      <c r="EM82" s="532"/>
      <c r="EN82" s="532"/>
      <c r="EO82" s="532"/>
      <c r="EP82" s="532"/>
      <c r="EQ82" s="531"/>
      <c r="ER82" s="530"/>
      <c r="ES82" s="532"/>
      <c r="EU82" s="2598"/>
      <c r="EV82" s="2598"/>
      <c r="EW82" s="2598"/>
      <c r="EX82" s="2598"/>
      <c r="EY82" s="2598"/>
      <c r="EZ82" s="2598"/>
      <c r="FA82" s="2598"/>
      <c r="FB82" s="2598"/>
      <c r="FC82" s="2598"/>
      <c r="FD82" s="2598"/>
      <c r="FE82" s="2598"/>
      <c r="FF82" s="2598"/>
      <c r="FJ82" s="532"/>
      <c r="FK82" s="532"/>
      <c r="FL82" s="532"/>
      <c r="FM82" s="530"/>
      <c r="FN82" s="532"/>
      <c r="FO82" s="532"/>
      <c r="GC82" s="516"/>
      <c r="GJ82" s="530"/>
      <c r="GK82" s="532"/>
      <c r="GL82" s="532"/>
      <c r="GM82" s="532"/>
      <c r="GN82" s="532"/>
      <c r="GO82" s="532"/>
      <c r="GP82" s="532"/>
      <c r="GQ82" s="532"/>
      <c r="GR82" s="532"/>
      <c r="GS82" s="532"/>
      <c r="GT82" s="532"/>
      <c r="GU82" s="532"/>
      <c r="GV82" s="532"/>
      <c r="GW82" s="532"/>
      <c r="GX82" s="532"/>
      <c r="GY82" s="532"/>
      <c r="GZ82" s="532"/>
      <c r="HA82" s="532"/>
      <c r="HB82" s="532"/>
      <c r="HC82" s="532"/>
      <c r="HD82" s="532"/>
      <c r="HE82" s="532"/>
      <c r="HF82" s="532"/>
      <c r="HG82" s="532"/>
      <c r="HH82" s="532"/>
      <c r="HI82" s="532"/>
      <c r="HJ82" s="532"/>
      <c r="HK82" s="531"/>
      <c r="HN82" s="532"/>
      <c r="HO82" s="532"/>
      <c r="HP82" s="532"/>
      <c r="HQ82" s="532"/>
      <c r="HR82" s="532"/>
      <c r="HS82" s="530"/>
      <c r="HT82" s="532"/>
      <c r="HU82" s="532"/>
      <c r="HV82" s="532"/>
      <c r="HW82" s="532"/>
      <c r="HX82" s="532"/>
    </row>
    <row r="83" spans="17:232" ht="4.1500000000000004" customHeight="1">
      <c r="Q83" s="516"/>
      <c r="V83" s="516"/>
      <c r="X83" s="516"/>
      <c r="CI83" s="517"/>
      <c r="CK83" s="517"/>
      <c r="CQ83" s="516"/>
      <c r="CX83" s="516"/>
      <c r="GC83" s="516"/>
      <c r="GI83" s="515"/>
      <c r="GJ83" s="514"/>
      <c r="GK83" s="514"/>
      <c r="GL83" s="514"/>
      <c r="GM83" s="514"/>
      <c r="GN83" s="514"/>
      <c r="GO83" s="514"/>
      <c r="GP83" s="514"/>
      <c r="GQ83" s="514"/>
      <c r="GR83" s="514"/>
      <c r="GS83" s="514"/>
      <c r="GT83" s="514"/>
      <c r="GU83" s="514"/>
      <c r="GV83" s="514"/>
      <c r="GW83" s="514"/>
      <c r="GX83" s="514"/>
      <c r="GY83" s="514"/>
      <c r="GZ83" s="514"/>
      <c r="HA83" s="514"/>
      <c r="HB83" s="514"/>
      <c r="HC83" s="514"/>
      <c r="HD83" s="514"/>
      <c r="HE83" s="514"/>
      <c r="HF83" s="514"/>
      <c r="HG83" s="514"/>
      <c r="HH83" s="514"/>
      <c r="HI83" s="514"/>
      <c r="HJ83" s="514"/>
      <c r="HK83" s="514"/>
      <c r="HL83" s="518"/>
      <c r="HN83" s="2639">
        <v>0.15</v>
      </c>
      <c r="HO83" s="2639"/>
      <c r="HP83" s="2639"/>
      <c r="HQ83" s="2639"/>
      <c r="HR83" s="2639"/>
      <c r="HS83" s="2639"/>
      <c r="HT83" s="2639"/>
      <c r="HU83" s="2639"/>
      <c r="HV83" s="2639"/>
      <c r="HW83" s="2639"/>
      <c r="HX83" s="2639"/>
    </row>
    <row r="84" spans="17:232" ht="4.1500000000000004" customHeight="1">
      <c r="Q84" s="516"/>
      <c r="V84" s="516"/>
      <c r="X84" s="516"/>
      <c r="CI84" s="517"/>
      <c r="CJ84" s="2686">
        <v>0.25</v>
      </c>
      <c r="CK84" s="2687"/>
      <c r="CL84" s="662"/>
      <c r="CM84" s="662"/>
      <c r="CN84" s="662"/>
      <c r="CO84" s="662"/>
      <c r="CP84" s="662"/>
      <c r="CQ84" s="663"/>
      <c r="CR84" s="662"/>
      <c r="CS84" s="662"/>
      <c r="CT84" s="662"/>
      <c r="CU84" s="662"/>
      <c r="CV84" s="662"/>
      <c r="CW84" s="662"/>
      <c r="CX84" s="663"/>
      <c r="CY84" s="662"/>
      <c r="GC84" s="516"/>
      <c r="GI84" s="516"/>
      <c r="HL84" s="517"/>
      <c r="HN84" s="2638"/>
      <c r="HO84" s="2638"/>
      <c r="HP84" s="2638"/>
      <c r="HQ84" s="2638"/>
      <c r="HR84" s="2638"/>
      <c r="HS84" s="2638"/>
      <c r="HT84" s="2638"/>
      <c r="HU84" s="2638"/>
      <c r="HV84" s="2638"/>
      <c r="HW84" s="2638"/>
      <c r="HX84" s="2638"/>
    </row>
    <row r="85" spans="17:232" ht="4.1500000000000004" customHeight="1">
      <c r="Q85" s="516"/>
      <c r="V85" s="516"/>
      <c r="X85" s="516"/>
      <c r="CI85" s="517"/>
      <c r="CJ85" s="2686"/>
      <c r="CK85" s="2687"/>
      <c r="CL85" s="662"/>
      <c r="CM85" s="662"/>
      <c r="CN85" s="662"/>
      <c r="CO85" s="662"/>
      <c r="CP85" s="662"/>
      <c r="CQ85" s="663"/>
      <c r="CR85" s="662"/>
      <c r="CS85" s="662"/>
      <c r="CT85" s="662"/>
      <c r="CU85" s="662"/>
      <c r="CV85" s="662"/>
      <c r="CW85" s="662"/>
      <c r="CX85" s="663"/>
      <c r="CY85" s="662"/>
      <c r="DW85" s="516"/>
      <c r="EA85" s="2600">
        <v>0.9</v>
      </c>
      <c r="EB85" s="2610"/>
      <c r="EC85" s="2610"/>
      <c r="ED85" s="2610"/>
      <c r="EE85" s="2610"/>
      <c r="EF85" s="2610"/>
      <c r="EG85" s="2610"/>
      <c r="EH85" s="2610"/>
      <c r="EI85" s="2610"/>
      <c r="EJ85" s="2610"/>
      <c r="EK85" s="2610"/>
      <c r="EL85" s="2610"/>
      <c r="EM85" s="2610"/>
      <c r="EN85" s="2610"/>
      <c r="EQ85" s="517"/>
      <c r="GC85" s="516"/>
      <c r="GI85" s="530"/>
      <c r="GJ85" s="532"/>
      <c r="GK85" s="532"/>
      <c r="GL85" s="532"/>
      <c r="GM85" s="532"/>
      <c r="GN85" s="532"/>
      <c r="GO85" s="532"/>
      <c r="GP85" s="532"/>
      <c r="GQ85" s="532"/>
      <c r="GR85" s="532"/>
      <c r="GS85" s="532"/>
      <c r="GT85" s="532"/>
      <c r="GU85" s="532"/>
      <c r="GV85" s="532"/>
      <c r="GW85" s="532"/>
      <c r="GX85" s="532"/>
      <c r="GY85" s="532"/>
      <c r="GZ85" s="532"/>
      <c r="HA85" s="532"/>
      <c r="HB85" s="532"/>
      <c r="HC85" s="532"/>
      <c r="HD85" s="532"/>
      <c r="HE85" s="532"/>
      <c r="HF85" s="532"/>
      <c r="HG85" s="532"/>
      <c r="HH85" s="532"/>
      <c r="HI85" s="532"/>
      <c r="HJ85" s="532"/>
      <c r="HK85" s="532"/>
      <c r="HL85" s="531"/>
      <c r="HN85" s="2640"/>
      <c r="HO85" s="2640"/>
      <c r="HP85" s="2640"/>
      <c r="HQ85" s="2640"/>
      <c r="HR85" s="2640"/>
      <c r="HS85" s="2640"/>
      <c r="HT85" s="2640"/>
      <c r="HU85" s="2640"/>
      <c r="HV85" s="2640"/>
      <c r="HW85" s="2640"/>
      <c r="HX85" s="2640"/>
    </row>
    <row r="86" spans="17:232" ht="4.1500000000000004" customHeight="1">
      <c r="Q86" s="516"/>
      <c r="V86" s="516"/>
      <c r="X86" s="516"/>
      <c r="CI86" s="517"/>
      <c r="CJ86" s="2686"/>
      <c r="CK86" s="2687"/>
      <c r="CL86" s="662"/>
      <c r="CM86" s="662"/>
      <c r="CN86" s="662"/>
      <c r="CO86" s="662"/>
      <c r="CP86" s="662"/>
      <c r="CQ86" s="663"/>
      <c r="CR86" s="662"/>
      <c r="CS86" s="662"/>
      <c r="CT86" s="662"/>
      <c r="CU86" s="662"/>
      <c r="CV86" s="662"/>
      <c r="CW86" s="662"/>
      <c r="CX86" s="663"/>
      <c r="CY86" s="662"/>
      <c r="DW86" s="530"/>
      <c r="DX86" s="532"/>
      <c r="DY86" s="532"/>
      <c r="DZ86" s="532"/>
      <c r="EA86" s="2610"/>
      <c r="EB86" s="2610"/>
      <c r="EC86" s="2610"/>
      <c r="ED86" s="2610"/>
      <c r="EE86" s="2610"/>
      <c r="EF86" s="2610"/>
      <c r="EG86" s="2610"/>
      <c r="EH86" s="2610"/>
      <c r="EI86" s="2610"/>
      <c r="EJ86" s="2610"/>
      <c r="EK86" s="2610"/>
      <c r="EL86" s="2610"/>
      <c r="EM86" s="2610"/>
      <c r="EN86" s="2610"/>
      <c r="EO86" s="532"/>
      <c r="EP86" s="532"/>
      <c r="EQ86" s="531"/>
      <c r="GC86" s="516"/>
      <c r="GI86" s="515"/>
      <c r="GJ86" s="514"/>
      <c r="GK86" s="514"/>
      <c r="GL86" s="514"/>
      <c r="GM86" s="514"/>
      <c r="GN86" s="514"/>
      <c r="GO86" s="514"/>
      <c r="GP86" s="514"/>
      <c r="GQ86" s="514"/>
      <c r="GR86" s="514"/>
      <c r="GS86" s="514"/>
      <c r="GT86" s="514"/>
      <c r="GU86" s="514"/>
      <c r="GV86" s="514"/>
      <c r="GW86" s="514"/>
      <c r="GX86" s="514"/>
      <c r="GY86" s="514"/>
      <c r="GZ86" s="514"/>
      <c r="HA86" s="514"/>
      <c r="HB86" s="514"/>
      <c r="HC86" s="514"/>
      <c r="HD86" s="514"/>
      <c r="HE86" s="514"/>
      <c r="HF86" s="514"/>
      <c r="HG86" s="514"/>
      <c r="HH86" s="514"/>
      <c r="HI86" s="514"/>
      <c r="HJ86" s="514"/>
      <c r="HK86" s="514"/>
      <c r="HL86" s="518"/>
      <c r="HN86" s="2639">
        <v>0.15</v>
      </c>
      <c r="HO86" s="2639"/>
      <c r="HP86" s="2639"/>
      <c r="HQ86" s="2639"/>
      <c r="HR86" s="2639"/>
      <c r="HS86" s="2639"/>
      <c r="HT86" s="2639"/>
      <c r="HU86" s="2639"/>
      <c r="HV86" s="2639"/>
      <c r="HW86" s="2639"/>
      <c r="HX86" s="2639"/>
    </row>
    <row r="87" spans="17:232" ht="4.1500000000000004" customHeight="1">
      <c r="Q87" s="516"/>
      <c r="V87" s="516"/>
      <c r="X87" s="516"/>
      <c r="CI87" s="517"/>
      <c r="CJ87" s="2686"/>
      <c r="CK87" s="2687"/>
      <c r="CL87" s="662"/>
      <c r="CM87" s="662"/>
      <c r="CN87" s="662"/>
      <c r="CO87" s="662"/>
      <c r="CP87" s="662"/>
      <c r="CQ87" s="663"/>
      <c r="CR87" s="662"/>
      <c r="CS87" s="662"/>
      <c r="CT87" s="662"/>
      <c r="CU87" s="662"/>
      <c r="CV87" s="662"/>
      <c r="CW87" s="662"/>
      <c r="CX87" s="663"/>
      <c r="CY87" s="662"/>
      <c r="DW87" s="516"/>
      <c r="EA87" s="2610"/>
      <c r="EB87" s="2610"/>
      <c r="EC87" s="2610"/>
      <c r="ED87" s="2610"/>
      <c r="EE87" s="2610"/>
      <c r="EF87" s="2610"/>
      <c r="EG87" s="2610"/>
      <c r="EH87" s="2610"/>
      <c r="EI87" s="2610"/>
      <c r="EJ87" s="2610"/>
      <c r="EK87" s="2610"/>
      <c r="EL87" s="2610"/>
      <c r="EM87" s="2610"/>
      <c r="EN87" s="2610"/>
      <c r="EQ87" s="517"/>
      <c r="GC87" s="516"/>
      <c r="GI87" s="516"/>
      <c r="HL87" s="517"/>
      <c r="HN87" s="2638"/>
      <c r="HO87" s="2638"/>
      <c r="HP87" s="2638"/>
      <c r="HQ87" s="2638"/>
      <c r="HR87" s="2638"/>
      <c r="HS87" s="2638"/>
      <c r="HT87" s="2638"/>
      <c r="HU87" s="2638"/>
      <c r="HV87" s="2638"/>
      <c r="HW87" s="2638"/>
      <c r="HX87" s="2638"/>
    </row>
    <row r="88" spans="17:232" ht="4.1500000000000004" customHeight="1">
      <c r="Q88" s="516"/>
      <c r="V88" s="516"/>
      <c r="X88" s="516"/>
      <c r="CI88" s="517"/>
      <c r="CJ88" s="2686"/>
      <c r="CK88" s="2687"/>
      <c r="CL88" s="662"/>
      <c r="CM88" s="662"/>
      <c r="CN88" s="662"/>
      <c r="CO88" s="662"/>
      <c r="CP88" s="662"/>
      <c r="CQ88" s="663"/>
      <c r="CR88" s="662"/>
      <c r="CS88" s="662"/>
      <c r="CT88" s="662"/>
      <c r="CU88" s="662"/>
      <c r="CV88" s="662"/>
      <c r="CW88" s="662"/>
      <c r="CX88" s="663"/>
      <c r="CY88" s="662"/>
      <c r="DW88" s="516"/>
      <c r="EA88" s="2610"/>
      <c r="EB88" s="2610"/>
      <c r="EC88" s="2610"/>
      <c r="ED88" s="2610"/>
      <c r="EE88" s="2610"/>
      <c r="EF88" s="2610"/>
      <c r="EG88" s="2610"/>
      <c r="EH88" s="2610"/>
      <c r="EI88" s="2610"/>
      <c r="EJ88" s="2610"/>
      <c r="EK88" s="2610"/>
      <c r="EL88" s="2610"/>
      <c r="EM88" s="2610"/>
      <c r="EN88" s="2610"/>
      <c r="EQ88" s="517"/>
      <c r="FZ88" s="532"/>
      <c r="GA88" s="532"/>
      <c r="GB88" s="532"/>
      <c r="GC88" s="530"/>
      <c r="GD88" s="532"/>
      <c r="GE88" s="532"/>
      <c r="GF88" s="532"/>
      <c r="GI88" s="530"/>
      <c r="GJ88" s="532"/>
      <c r="GK88" s="532"/>
      <c r="GL88" s="532"/>
      <c r="GM88" s="532"/>
      <c r="GN88" s="532"/>
      <c r="GO88" s="532"/>
      <c r="GP88" s="532"/>
      <c r="GQ88" s="532"/>
      <c r="GR88" s="532"/>
      <c r="GS88" s="532"/>
      <c r="GT88" s="532"/>
      <c r="GU88" s="532"/>
      <c r="GV88" s="532"/>
      <c r="GW88" s="532"/>
      <c r="GX88" s="532"/>
      <c r="GY88" s="532"/>
      <c r="GZ88" s="532"/>
      <c r="HA88" s="532"/>
      <c r="HB88" s="532"/>
      <c r="HC88" s="532"/>
      <c r="HD88" s="532"/>
      <c r="HE88" s="532"/>
      <c r="HF88" s="532"/>
      <c r="HG88" s="532"/>
      <c r="HH88" s="532"/>
      <c r="HI88" s="532"/>
      <c r="HJ88" s="532"/>
      <c r="HK88" s="532"/>
      <c r="HL88" s="531"/>
      <c r="HN88" s="2640"/>
      <c r="HO88" s="2640"/>
      <c r="HP88" s="2640"/>
      <c r="HQ88" s="2640"/>
      <c r="HR88" s="2640"/>
      <c r="HS88" s="2640"/>
      <c r="HT88" s="2640"/>
      <c r="HU88" s="2640"/>
      <c r="HV88" s="2640"/>
      <c r="HW88" s="2640"/>
      <c r="HX88" s="2640"/>
    </row>
    <row r="89" spans="17:232" ht="4.1500000000000004" customHeight="1">
      <c r="Q89" s="516"/>
      <c r="V89" s="516"/>
      <c r="X89" s="516"/>
      <c r="CI89" s="517"/>
      <c r="CJ89" s="2686"/>
      <c r="CK89" s="2687"/>
      <c r="CL89" s="662"/>
      <c r="CM89" s="662"/>
      <c r="CN89" s="662"/>
      <c r="CO89" s="662"/>
      <c r="CP89" s="662"/>
      <c r="CQ89" s="663"/>
      <c r="CR89" s="662"/>
      <c r="CS89" s="662"/>
      <c r="CT89" s="662"/>
      <c r="CU89" s="662"/>
      <c r="CV89" s="662"/>
      <c r="CW89" s="662"/>
      <c r="CX89" s="663"/>
      <c r="CY89" s="662"/>
      <c r="HC89" s="514"/>
      <c r="HD89" s="514"/>
      <c r="HE89" s="514"/>
      <c r="HF89" s="514"/>
      <c r="HG89" s="514"/>
      <c r="HH89" s="514"/>
      <c r="HI89" s="514"/>
      <c r="HJ89" s="514"/>
      <c r="HK89" s="514"/>
      <c r="HL89" s="514"/>
    </row>
    <row r="90" spans="17:232" ht="4.1500000000000004" customHeight="1">
      <c r="Q90" s="516"/>
      <c r="V90" s="516"/>
      <c r="X90" s="516"/>
      <c r="CI90" s="517"/>
      <c r="CJ90" s="2686"/>
      <c r="CK90" s="2687"/>
      <c r="CL90" s="662"/>
      <c r="CM90" s="662"/>
      <c r="CN90" s="662"/>
      <c r="CO90" s="662"/>
      <c r="CP90" s="662"/>
      <c r="CQ90" s="663"/>
      <c r="CR90" s="662"/>
      <c r="CS90" s="662"/>
      <c r="CT90" s="662"/>
      <c r="CU90" s="662"/>
      <c r="CV90" s="662"/>
      <c r="CW90" s="662"/>
      <c r="CX90" s="663"/>
      <c r="CY90" s="662"/>
      <c r="GI90" s="516"/>
      <c r="HL90" s="517"/>
    </row>
    <row r="91" spans="17:232" ht="4.1500000000000004" customHeight="1">
      <c r="Q91" s="516"/>
      <c r="V91" s="516"/>
      <c r="X91" s="516"/>
      <c r="CI91" s="517"/>
      <c r="CJ91" s="662"/>
      <c r="CK91" s="664"/>
      <c r="CL91" s="662"/>
      <c r="CM91" s="662"/>
      <c r="CN91" s="662"/>
      <c r="CO91" s="662"/>
      <c r="CP91" s="662"/>
      <c r="CQ91" s="663"/>
      <c r="CR91" s="662"/>
      <c r="CS91" s="662"/>
      <c r="CT91" s="662"/>
      <c r="CU91" s="662"/>
      <c r="CV91" s="662"/>
      <c r="CW91" s="662"/>
      <c r="CX91" s="663"/>
      <c r="CY91" s="662"/>
      <c r="GI91" s="516"/>
      <c r="GQ91" s="2596">
        <v>1.2</v>
      </c>
      <c r="GR91" s="2596"/>
      <c r="GS91" s="2596"/>
      <c r="GT91" s="2596"/>
      <c r="GU91" s="2596"/>
      <c r="GV91" s="2596"/>
      <c r="GW91" s="2596"/>
      <c r="GX91" s="2596"/>
      <c r="GY91" s="2596"/>
      <c r="GZ91" s="2596"/>
      <c r="HA91" s="2596"/>
      <c r="HB91" s="2596"/>
      <c r="HL91" s="517"/>
    </row>
    <row r="92" spans="17:232" ht="4.1500000000000004" customHeight="1">
      <c r="Q92" s="516"/>
      <c r="V92" s="516"/>
      <c r="X92" s="516"/>
      <c r="AT92" s="2642" t="s">
        <v>2979</v>
      </c>
      <c r="AU92" s="2642"/>
      <c r="AV92" s="2642"/>
      <c r="AW92" s="2642"/>
      <c r="AX92" s="2642"/>
      <c r="AY92" s="2642"/>
      <c r="AZ92" s="2642"/>
      <c r="BA92" s="2642"/>
      <c r="BB92" s="2642"/>
      <c r="BC92" s="2642"/>
      <c r="BD92" s="2642"/>
      <c r="BE92" s="2642"/>
      <c r="BF92" s="2642"/>
      <c r="BG92" s="2642"/>
      <c r="BH92" s="2642"/>
      <c r="BI92" s="2642"/>
      <c r="BJ92" s="2642"/>
      <c r="BK92" s="2642"/>
      <c r="CI92" s="517"/>
      <c r="CJ92" s="662"/>
      <c r="CK92" s="664"/>
      <c r="CL92" s="662"/>
      <c r="CM92" s="662"/>
      <c r="CN92" s="662"/>
      <c r="CO92" s="662"/>
      <c r="CP92" s="662"/>
      <c r="CQ92" s="663"/>
      <c r="CR92" s="662"/>
      <c r="CS92" s="662"/>
      <c r="CT92" s="662"/>
      <c r="CU92" s="662"/>
      <c r="CV92" s="662"/>
      <c r="CW92" s="662"/>
      <c r="CX92" s="663"/>
      <c r="CY92" s="662"/>
      <c r="GI92" s="530"/>
      <c r="GJ92" s="532"/>
      <c r="GK92" s="532"/>
      <c r="GL92" s="532"/>
      <c r="GM92" s="532"/>
      <c r="GN92" s="532"/>
      <c r="GO92" s="532"/>
      <c r="GP92" s="532"/>
      <c r="GQ92" s="2596"/>
      <c r="GR92" s="2596"/>
      <c r="GS92" s="2596"/>
      <c r="GT92" s="2596"/>
      <c r="GU92" s="2596"/>
      <c r="GV92" s="2596"/>
      <c r="GW92" s="2596"/>
      <c r="GX92" s="2596"/>
      <c r="GY92" s="2596"/>
      <c r="GZ92" s="2596"/>
      <c r="HA92" s="2596"/>
      <c r="HB92" s="2596"/>
      <c r="HC92" s="532"/>
      <c r="HD92" s="532"/>
      <c r="HE92" s="532"/>
      <c r="HF92" s="532"/>
      <c r="HG92" s="532"/>
      <c r="HH92" s="532"/>
      <c r="HI92" s="532"/>
      <c r="HJ92" s="532"/>
      <c r="HK92" s="532"/>
      <c r="HL92" s="531"/>
    </row>
    <row r="93" spans="17:232" ht="4.1500000000000004" customHeight="1">
      <c r="Q93" s="516"/>
      <c r="V93" s="516"/>
      <c r="X93" s="516"/>
      <c r="AT93" s="2642"/>
      <c r="AU93" s="2642"/>
      <c r="AV93" s="2642"/>
      <c r="AW93" s="2642"/>
      <c r="AX93" s="2642"/>
      <c r="AY93" s="2642"/>
      <c r="AZ93" s="2642"/>
      <c r="BA93" s="2642"/>
      <c r="BB93" s="2642"/>
      <c r="BC93" s="2642"/>
      <c r="BD93" s="2642"/>
      <c r="BE93" s="2642"/>
      <c r="BF93" s="2642"/>
      <c r="BG93" s="2642"/>
      <c r="BH93" s="2642"/>
      <c r="BI93" s="2642"/>
      <c r="BJ93" s="2642"/>
      <c r="BK93" s="2642"/>
      <c r="CI93" s="517"/>
      <c r="CJ93" s="662"/>
      <c r="CK93" s="664"/>
      <c r="CL93" s="662"/>
      <c r="CM93" s="662"/>
      <c r="CN93" s="662"/>
      <c r="CO93" s="662"/>
      <c r="CP93" s="662"/>
      <c r="CQ93" s="663"/>
      <c r="CR93" s="662"/>
      <c r="CS93" s="662"/>
      <c r="CT93" s="662"/>
      <c r="CU93" s="662"/>
      <c r="CV93" s="662"/>
      <c r="CW93" s="662"/>
      <c r="CX93" s="663"/>
      <c r="CY93" s="662"/>
      <c r="GI93" s="516"/>
      <c r="GQ93" s="2596"/>
      <c r="GR93" s="2596"/>
      <c r="GS93" s="2596"/>
      <c r="GT93" s="2596"/>
      <c r="GU93" s="2596"/>
      <c r="GV93" s="2596"/>
      <c r="GW93" s="2596"/>
      <c r="GX93" s="2596"/>
      <c r="GY93" s="2596"/>
      <c r="GZ93" s="2596"/>
      <c r="HA93" s="2596"/>
      <c r="HB93" s="2596"/>
      <c r="HL93" s="517"/>
    </row>
    <row r="94" spans="17:232" ht="4.1500000000000004" customHeight="1">
      <c r="Q94" s="516"/>
      <c r="V94" s="516"/>
      <c r="X94" s="516"/>
      <c r="AT94" s="2642"/>
      <c r="AU94" s="2642"/>
      <c r="AV94" s="2642"/>
      <c r="AW94" s="2642"/>
      <c r="AX94" s="2642"/>
      <c r="AY94" s="2642"/>
      <c r="AZ94" s="2642"/>
      <c r="BA94" s="2642"/>
      <c r="BB94" s="2642"/>
      <c r="BC94" s="2642"/>
      <c r="BD94" s="2642"/>
      <c r="BE94" s="2642"/>
      <c r="BF94" s="2642"/>
      <c r="BG94" s="2642"/>
      <c r="BH94" s="2642"/>
      <c r="BI94" s="2642"/>
      <c r="BJ94" s="2642"/>
      <c r="BK94" s="2642"/>
      <c r="CI94" s="517"/>
      <c r="CJ94" s="662"/>
      <c r="CK94" s="664"/>
      <c r="CL94" s="662"/>
      <c r="CM94" s="662"/>
      <c r="CN94" s="662"/>
      <c r="CO94" s="662"/>
      <c r="CP94" s="662"/>
      <c r="CQ94" s="663"/>
      <c r="CR94" s="662"/>
      <c r="CS94" s="662"/>
      <c r="CT94" s="662"/>
      <c r="CU94" s="662"/>
      <c r="CV94" s="662"/>
      <c r="CW94" s="662"/>
      <c r="CX94" s="663"/>
      <c r="CY94" s="662"/>
    </row>
    <row r="95" spans="17:232" ht="4.1500000000000004" customHeight="1">
      <c r="Q95" s="516"/>
      <c r="V95" s="516"/>
      <c r="X95" s="516"/>
      <c r="AT95" s="2762">
        <v>3.65</v>
      </c>
      <c r="AU95" s="2762"/>
      <c r="AV95" s="2762"/>
      <c r="AW95" s="2762"/>
      <c r="AX95" s="2762"/>
      <c r="AY95" s="2762"/>
      <c r="AZ95" s="2762"/>
      <c r="BA95" s="2762" t="s">
        <v>901</v>
      </c>
      <c r="BB95" s="2762"/>
      <c r="BC95" s="2762"/>
      <c r="BD95" s="2762"/>
      <c r="BE95" s="2762">
        <v>3</v>
      </c>
      <c r="BF95" s="2762"/>
      <c r="BG95" s="2762"/>
      <c r="BH95" s="2762"/>
      <c r="BI95" s="2762"/>
      <c r="BJ95" s="2762"/>
      <c r="BK95" s="2762"/>
      <c r="CI95" s="517"/>
      <c r="CJ95" s="662"/>
      <c r="CK95" s="664"/>
      <c r="CL95" s="662"/>
      <c r="CM95" s="662"/>
      <c r="CN95" s="662"/>
      <c r="CO95" s="2681">
        <f>BE95+CJ84</f>
        <v>3.25</v>
      </c>
      <c r="CP95" s="2682"/>
      <c r="CQ95" s="2682"/>
      <c r="CR95" s="2682"/>
      <c r="CS95" s="662"/>
      <c r="CT95" s="662"/>
      <c r="CU95" s="662"/>
      <c r="CV95" s="662"/>
      <c r="CW95" s="662"/>
      <c r="CX95" s="663"/>
      <c r="CY95" s="662"/>
      <c r="DP95" s="495"/>
      <c r="DQ95" s="495"/>
      <c r="DR95" s="495"/>
      <c r="DS95" s="495"/>
      <c r="DT95" s="495"/>
      <c r="DU95" s="495"/>
      <c r="DV95" s="495"/>
      <c r="DW95" s="495"/>
      <c r="DX95" s="495"/>
      <c r="DY95" s="495"/>
      <c r="DZ95" s="495"/>
      <c r="EA95" s="495"/>
      <c r="EB95" s="495"/>
      <c r="EC95" s="495"/>
      <c r="ED95" s="495"/>
      <c r="EE95" s="495"/>
      <c r="EF95" s="495"/>
      <c r="EG95" s="496"/>
      <c r="EH95" s="496"/>
      <c r="EI95" s="496"/>
      <c r="EJ95" s="496"/>
      <c r="EK95" s="496"/>
      <c r="EL95" s="496"/>
      <c r="EM95" s="496"/>
      <c r="EN95" s="496"/>
      <c r="EO95" s="2666">
        <v>0.3</v>
      </c>
      <c r="EP95" s="2657"/>
      <c r="EQ95" s="2657"/>
      <c r="ER95" s="2657"/>
      <c r="ES95" s="2657"/>
      <c r="ET95" s="2657"/>
      <c r="EU95" s="2667"/>
      <c r="EV95" s="2666">
        <f>EO95</f>
        <v>0.3</v>
      </c>
      <c r="EW95" s="2657"/>
      <c r="EX95" s="2657"/>
      <c r="EY95" s="2657"/>
      <c r="EZ95" s="2657"/>
      <c r="FA95" s="2657"/>
      <c r="FB95" s="2667"/>
      <c r="FC95" s="2666">
        <f>EV95</f>
        <v>0.3</v>
      </c>
      <c r="FD95" s="2657"/>
      <c r="FE95" s="2657"/>
      <c r="FF95" s="2657"/>
      <c r="FG95" s="2657"/>
      <c r="FH95" s="2657"/>
      <c r="FI95" s="2667"/>
      <c r="FJ95" s="496"/>
      <c r="FK95" s="496"/>
      <c r="FL95" s="496"/>
      <c r="FM95" s="496"/>
      <c r="FN95" s="496"/>
      <c r="FO95" s="496"/>
      <c r="FP95" s="496"/>
      <c r="FQ95" s="496"/>
    </row>
    <row r="96" spans="17:232" ht="4.1500000000000004" customHeight="1">
      <c r="Q96" s="516"/>
      <c r="V96" s="516"/>
      <c r="X96" s="516"/>
      <c r="AT96" s="2762"/>
      <c r="AU96" s="2762"/>
      <c r="AV96" s="2762"/>
      <c r="AW96" s="2762"/>
      <c r="AX96" s="2762"/>
      <c r="AY96" s="2762"/>
      <c r="AZ96" s="2762"/>
      <c r="BA96" s="2762"/>
      <c r="BB96" s="2762"/>
      <c r="BC96" s="2762"/>
      <c r="BD96" s="2762"/>
      <c r="BE96" s="2762"/>
      <c r="BF96" s="2762"/>
      <c r="BG96" s="2762"/>
      <c r="BH96" s="2762"/>
      <c r="BI96" s="2762"/>
      <c r="BJ96" s="2762"/>
      <c r="BK96" s="2762"/>
      <c r="CI96" s="517"/>
      <c r="CJ96" s="662"/>
      <c r="CK96" s="664"/>
      <c r="CL96" s="662"/>
      <c r="CM96" s="662"/>
      <c r="CN96" s="662"/>
      <c r="CO96" s="2682"/>
      <c r="CP96" s="2682"/>
      <c r="CQ96" s="2682"/>
      <c r="CR96" s="2682"/>
      <c r="CS96" s="662"/>
      <c r="CT96" s="662"/>
      <c r="CU96" s="662"/>
      <c r="CV96" s="662"/>
      <c r="CW96" s="662"/>
      <c r="CX96" s="663"/>
      <c r="CY96" s="662"/>
      <c r="DP96" s="2654" t="s">
        <v>2981</v>
      </c>
      <c r="DQ96" s="2654"/>
      <c r="DR96" s="2654"/>
      <c r="DS96" s="2654"/>
      <c r="DT96" s="2654"/>
      <c r="DU96" s="2654"/>
      <c r="DV96" s="495"/>
      <c r="DW96" s="495"/>
      <c r="DX96" s="495"/>
      <c r="DY96" s="495"/>
      <c r="DZ96" s="495"/>
      <c r="EA96" s="495"/>
      <c r="EB96" s="495"/>
      <c r="EC96" s="495"/>
      <c r="ED96" s="495"/>
      <c r="EE96" s="495"/>
      <c r="EF96" s="495"/>
      <c r="EG96" s="496"/>
      <c r="EH96" s="496"/>
      <c r="EI96" s="496"/>
      <c r="EJ96" s="496"/>
      <c r="EK96" s="496"/>
      <c r="EL96" s="496"/>
      <c r="EM96" s="496"/>
      <c r="EN96" s="496"/>
      <c r="EO96" s="2666"/>
      <c r="EP96" s="2657"/>
      <c r="EQ96" s="2657"/>
      <c r="ER96" s="2657"/>
      <c r="ES96" s="2657"/>
      <c r="ET96" s="2657"/>
      <c r="EU96" s="2667"/>
      <c r="EV96" s="2666"/>
      <c r="EW96" s="2657"/>
      <c r="EX96" s="2657"/>
      <c r="EY96" s="2657"/>
      <c r="EZ96" s="2657"/>
      <c r="FA96" s="2657"/>
      <c r="FB96" s="2667"/>
      <c r="FC96" s="2666"/>
      <c r="FD96" s="2657"/>
      <c r="FE96" s="2657"/>
      <c r="FF96" s="2657"/>
      <c r="FG96" s="2657"/>
      <c r="FH96" s="2657"/>
      <c r="FI96" s="2667"/>
      <c r="FJ96" s="496"/>
      <c r="FK96" s="496"/>
      <c r="FL96" s="496"/>
      <c r="FM96" s="496"/>
      <c r="FN96" s="496"/>
      <c r="FO96" s="496"/>
      <c r="FP96" s="496"/>
      <c r="FQ96" s="496"/>
    </row>
    <row r="97" spans="15:237" ht="4.1500000000000004" customHeight="1">
      <c r="Q97" s="516"/>
      <c r="V97" s="516"/>
      <c r="X97" s="516"/>
      <c r="AT97" s="2762"/>
      <c r="AU97" s="2762"/>
      <c r="AV97" s="2762"/>
      <c r="AW97" s="2762"/>
      <c r="AX97" s="2762"/>
      <c r="AY97" s="2762"/>
      <c r="AZ97" s="2762"/>
      <c r="BA97" s="2762"/>
      <c r="BB97" s="2762"/>
      <c r="BC97" s="2762"/>
      <c r="BD97" s="2762"/>
      <c r="BE97" s="2762"/>
      <c r="BF97" s="2762"/>
      <c r="BG97" s="2762"/>
      <c r="BH97" s="2762"/>
      <c r="BI97" s="2762"/>
      <c r="BJ97" s="2762"/>
      <c r="BK97" s="2762"/>
      <c r="CI97" s="517"/>
      <c r="CJ97" s="662"/>
      <c r="CK97" s="664"/>
      <c r="CL97" s="662"/>
      <c r="CM97" s="662"/>
      <c r="CN97" s="662"/>
      <c r="CO97" s="2682"/>
      <c r="CP97" s="2682"/>
      <c r="CQ97" s="2682"/>
      <c r="CR97" s="2682"/>
      <c r="CS97" s="662"/>
      <c r="CT97" s="662"/>
      <c r="CU97" s="662"/>
      <c r="CV97" s="662"/>
      <c r="CW97" s="662"/>
      <c r="CX97" s="663"/>
      <c r="CY97" s="662"/>
      <c r="DP97" s="2654"/>
      <c r="DQ97" s="2654"/>
      <c r="DR97" s="2654"/>
      <c r="DS97" s="2654"/>
      <c r="DT97" s="2654"/>
      <c r="DU97" s="2654"/>
      <c r="DV97" s="495"/>
      <c r="DW97" s="495"/>
      <c r="DX97" s="495"/>
      <c r="DY97" s="495"/>
      <c r="DZ97" s="495"/>
      <c r="EA97" s="495"/>
      <c r="EB97" s="495"/>
      <c r="EC97" s="495"/>
      <c r="ED97" s="495"/>
      <c r="EE97" s="495"/>
      <c r="EF97" s="495"/>
      <c r="EG97" s="496"/>
      <c r="EH97" s="496"/>
      <c r="EI97" s="496"/>
      <c r="EJ97" s="496"/>
      <c r="EK97" s="496"/>
      <c r="EL97" s="496"/>
      <c r="EM97" s="496"/>
      <c r="EN97" s="496"/>
      <c r="EO97" s="2666"/>
      <c r="EP97" s="2657"/>
      <c r="EQ97" s="2657"/>
      <c r="ER97" s="2657"/>
      <c r="ES97" s="2657"/>
      <c r="ET97" s="2657"/>
      <c r="EU97" s="2667"/>
      <c r="EV97" s="2666"/>
      <c r="EW97" s="2657"/>
      <c r="EX97" s="2657"/>
      <c r="EY97" s="2657"/>
      <c r="EZ97" s="2657"/>
      <c r="FA97" s="2657"/>
      <c r="FB97" s="2667"/>
      <c r="FC97" s="2666"/>
      <c r="FD97" s="2657"/>
      <c r="FE97" s="2657"/>
      <c r="FF97" s="2657"/>
      <c r="FG97" s="2657"/>
      <c r="FH97" s="2657"/>
      <c r="FI97" s="2667"/>
      <c r="FJ97" s="496"/>
      <c r="FK97" s="496"/>
      <c r="FL97" s="496"/>
      <c r="FM97" s="496"/>
      <c r="FN97" s="496"/>
      <c r="FO97" s="496"/>
      <c r="FP97" s="496"/>
      <c r="FQ97" s="496"/>
    </row>
    <row r="98" spans="15:237" ht="4.1500000000000004" customHeight="1">
      <c r="Q98" s="516"/>
      <c r="V98" s="516"/>
      <c r="X98" s="516"/>
      <c r="CI98" s="517"/>
      <c r="CJ98" s="662"/>
      <c r="CK98" s="664"/>
      <c r="CL98" s="662"/>
      <c r="CM98" s="662"/>
      <c r="CN98" s="662"/>
      <c r="CO98" s="2682"/>
      <c r="CP98" s="2682"/>
      <c r="CQ98" s="2682"/>
      <c r="CR98" s="2682"/>
      <c r="CS98" s="662"/>
      <c r="CT98" s="662"/>
      <c r="CU98" s="662"/>
      <c r="CV98" s="662"/>
      <c r="CW98" s="662"/>
      <c r="CX98" s="663"/>
      <c r="CY98" s="662"/>
      <c r="DP98" s="2655"/>
      <c r="DQ98" s="2655"/>
      <c r="DR98" s="2655"/>
      <c r="DS98" s="2655"/>
      <c r="DT98" s="2655"/>
      <c r="DU98" s="2655"/>
      <c r="DV98" s="497"/>
      <c r="DW98" s="497"/>
      <c r="DX98" s="497"/>
      <c r="DY98" s="497"/>
      <c r="DZ98" s="497"/>
      <c r="EA98" s="497"/>
      <c r="EB98" s="497"/>
      <c r="EC98" s="497"/>
      <c r="ED98" s="497"/>
      <c r="EE98" s="497"/>
      <c r="EF98" s="497"/>
      <c r="EG98" s="496"/>
      <c r="EH98" s="496"/>
      <c r="EI98" s="496"/>
      <c r="EJ98" s="496"/>
      <c r="EK98" s="496"/>
      <c r="EL98" s="496"/>
      <c r="EM98" s="496"/>
      <c r="EN98" s="496"/>
      <c r="EO98" s="496"/>
      <c r="EP98" s="496"/>
      <c r="EQ98" s="496"/>
      <c r="ER98" s="496"/>
      <c r="ES98" s="496"/>
      <c r="ET98" s="496"/>
      <c r="EU98" s="496"/>
      <c r="EV98" s="496"/>
      <c r="EW98" s="496"/>
      <c r="EX98" s="496"/>
      <c r="EY98" s="496"/>
      <c r="EZ98" s="496"/>
      <c r="FA98" s="496"/>
      <c r="FB98" s="496"/>
      <c r="FC98" s="496"/>
      <c r="FD98" s="496"/>
      <c r="FE98" s="496"/>
      <c r="FF98" s="496"/>
      <c r="FG98" s="496"/>
      <c r="FH98" s="496"/>
      <c r="FI98" s="496"/>
      <c r="FJ98" s="496"/>
      <c r="FK98" s="496"/>
      <c r="FL98" s="496"/>
      <c r="FM98" s="496"/>
      <c r="FN98" s="496"/>
      <c r="FO98" s="496"/>
      <c r="FP98" s="496"/>
      <c r="FQ98" s="496"/>
      <c r="GE98" s="2685" t="s">
        <v>1949</v>
      </c>
      <c r="GF98" s="2685"/>
      <c r="GG98" s="2685"/>
      <c r="GH98" s="2685"/>
      <c r="GI98" s="2685"/>
      <c r="GJ98" s="2685"/>
      <c r="GK98" s="2685"/>
      <c r="GL98" s="2685"/>
      <c r="GM98" s="2685"/>
      <c r="GN98" s="2685"/>
      <c r="GO98" s="2685"/>
      <c r="GP98" s="2685"/>
      <c r="GQ98" s="2685"/>
      <c r="GR98" s="2685"/>
      <c r="GS98" s="2685"/>
      <c r="GT98" s="2685"/>
      <c r="GU98" s="2685"/>
      <c r="GV98" s="2685"/>
      <c r="GW98" s="2685"/>
      <c r="GX98" s="2685"/>
      <c r="GY98" s="2685"/>
      <c r="GZ98" s="2685"/>
      <c r="HA98" s="2685"/>
      <c r="HB98" s="2685"/>
      <c r="HC98" s="2685"/>
      <c r="HD98" s="2685"/>
      <c r="HE98" s="2685"/>
      <c r="HF98" s="2685"/>
      <c r="HG98" s="2685"/>
      <c r="HH98" s="2685"/>
      <c r="HI98" s="2685"/>
      <c r="HJ98" s="2685"/>
      <c r="HK98" s="2685"/>
      <c r="HL98" s="2685"/>
      <c r="HM98" s="2685"/>
      <c r="HN98" s="2685"/>
      <c r="HO98" s="2685"/>
      <c r="HP98" s="2685"/>
      <c r="HQ98" s="2685"/>
      <c r="HR98" s="2685"/>
      <c r="HS98" s="2685"/>
      <c r="HT98" s="2685"/>
      <c r="HU98" s="2685"/>
      <c r="HV98" s="2685"/>
      <c r="HW98" s="2685"/>
      <c r="HX98" s="2685"/>
      <c r="HY98" s="2685"/>
      <c r="HZ98" s="2685"/>
      <c r="IA98" s="2685"/>
      <c r="IB98" s="2685"/>
      <c r="IC98" s="2685"/>
    </row>
    <row r="99" spans="15:237" ht="4.1500000000000004" customHeight="1">
      <c r="Q99" s="516"/>
      <c r="V99" s="516"/>
      <c r="X99" s="516"/>
      <c r="CI99" s="517"/>
      <c r="CJ99" s="662"/>
      <c r="CK99" s="664"/>
      <c r="CL99" s="662"/>
      <c r="CM99" s="662"/>
      <c r="CN99" s="662"/>
      <c r="CO99" s="2682"/>
      <c r="CP99" s="2682"/>
      <c r="CQ99" s="2682"/>
      <c r="CR99" s="2682"/>
      <c r="CS99" s="662"/>
      <c r="CT99" s="662"/>
      <c r="CU99" s="662"/>
      <c r="CV99" s="662"/>
      <c r="CW99" s="662"/>
      <c r="CX99" s="663"/>
      <c r="CY99" s="662"/>
      <c r="DP99" s="495"/>
      <c r="DQ99" s="495"/>
      <c r="DR99" s="495"/>
      <c r="DS99" s="495"/>
      <c r="DT99" s="495"/>
      <c r="DU99" s="495"/>
      <c r="DV99" s="495"/>
      <c r="DW99" s="495"/>
      <c r="DX99" s="495"/>
      <c r="DY99" s="495"/>
      <c r="DZ99" s="495"/>
      <c r="EA99" s="495"/>
      <c r="EB99" s="495"/>
      <c r="EC99" s="495"/>
      <c r="ED99" s="495"/>
      <c r="EE99" s="495"/>
      <c r="EF99" s="495"/>
      <c r="EG99" s="498"/>
      <c r="EH99" s="498"/>
      <c r="EI99" s="498"/>
      <c r="EJ99" s="498"/>
      <c r="EK99" s="498"/>
      <c r="EL99" s="498"/>
      <c r="EM99" s="498"/>
      <c r="EN99" s="499"/>
      <c r="EO99" s="496"/>
      <c r="EP99" s="496"/>
      <c r="EQ99" s="496"/>
      <c r="ER99" s="496"/>
      <c r="ES99" s="496"/>
      <c r="ET99" s="496"/>
      <c r="EU99" s="496"/>
      <c r="EV99" s="496"/>
      <c r="EW99" s="496"/>
      <c r="EX99" s="496"/>
      <c r="EY99" s="496"/>
      <c r="EZ99" s="496"/>
      <c r="FA99" s="496"/>
      <c r="FB99" s="496"/>
      <c r="FC99" s="496"/>
      <c r="FD99" s="496"/>
      <c r="FE99" s="496"/>
      <c r="FF99" s="496"/>
      <c r="FG99" s="496"/>
      <c r="FH99" s="496"/>
      <c r="FI99" s="2656">
        <v>0.2</v>
      </c>
      <c r="FJ99" s="2656"/>
      <c r="FK99" s="2656"/>
      <c r="FL99" s="2656"/>
      <c r="FM99" s="2656"/>
      <c r="FN99" s="2656"/>
      <c r="FO99" s="2656"/>
      <c r="FP99" s="2656"/>
      <c r="FQ99" s="2656"/>
      <c r="GE99" s="2685"/>
      <c r="GF99" s="2685"/>
      <c r="GG99" s="2685"/>
      <c r="GH99" s="2685"/>
      <c r="GI99" s="2685"/>
      <c r="GJ99" s="2685"/>
      <c r="GK99" s="2685"/>
      <c r="GL99" s="2685"/>
      <c r="GM99" s="2685"/>
      <c r="GN99" s="2685"/>
      <c r="GO99" s="2685"/>
      <c r="GP99" s="2685"/>
      <c r="GQ99" s="2685"/>
      <c r="GR99" s="2685"/>
      <c r="GS99" s="2685"/>
      <c r="GT99" s="2685"/>
      <c r="GU99" s="2685"/>
      <c r="GV99" s="2685"/>
      <c r="GW99" s="2685"/>
      <c r="GX99" s="2685"/>
      <c r="GY99" s="2685"/>
      <c r="GZ99" s="2685"/>
      <c r="HA99" s="2685"/>
      <c r="HB99" s="2685"/>
      <c r="HC99" s="2685"/>
      <c r="HD99" s="2685"/>
      <c r="HE99" s="2685"/>
      <c r="HF99" s="2685"/>
      <c r="HG99" s="2685"/>
      <c r="HH99" s="2685"/>
      <c r="HI99" s="2685"/>
      <c r="HJ99" s="2685"/>
      <c r="HK99" s="2685"/>
      <c r="HL99" s="2685"/>
      <c r="HM99" s="2685"/>
      <c r="HN99" s="2685"/>
      <c r="HO99" s="2685"/>
      <c r="HP99" s="2685"/>
      <c r="HQ99" s="2685"/>
      <c r="HR99" s="2685"/>
      <c r="HS99" s="2685"/>
      <c r="HT99" s="2685"/>
      <c r="HU99" s="2685"/>
      <c r="HV99" s="2685"/>
      <c r="HW99" s="2685"/>
      <c r="HX99" s="2685"/>
      <c r="HY99" s="2685"/>
      <c r="HZ99" s="2685"/>
      <c r="IA99" s="2685"/>
      <c r="IB99" s="2685"/>
      <c r="IC99" s="2685"/>
    </row>
    <row r="100" spans="15:237" ht="4.1500000000000004" customHeight="1">
      <c r="Q100" s="516"/>
      <c r="V100" s="516"/>
      <c r="X100" s="516"/>
      <c r="CI100" s="517"/>
      <c r="CJ100" s="662"/>
      <c r="CK100" s="664"/>
      <c r="CL100" s="662"/>
      <c r="CM100" s="662"/>
      <c r="CN100" s="662"/>
      <c r="CO100" s="2682"/>
      <c r="CP100" s="2682"/>
      <c r="CQ100" s="2682"/>
      <c r="CR100" s="2682"/>
      <c r="CS100" s="662"/>
      <c r="CT100" s="662"/>
      <c r="CU100" s="662"/>
      <c r="CV100" s="662"/>
      <c r="CW100" s="662"/>
      <c r="CX100" s="663"/>
      <c r="CY100" s="662"/>
      <c r="DP100" s="495"/>
      <c r="DQ100" s="495"/>
      <c r="DR100" s="495"/>
      <c r="DS100" s="495"/>
      <c r="DT100" s="495"/>
      <c r="DU100" s="495"/>
      <c r="DV100" s="495"/>
      <c r="DW100" s="495"/>
      <c r="DX100" s="495"/>
      <c r="DY100" s="495"/>
      <c r="DZ100" s="495"/>
      <c r="EA100" s="495"/>
      <c r="EB100" s="495"/>
      <c r="EC100" s="495"/>
      <c r="ED100" s="495"/>
      <c r="EE100" s="495"/>
      <c r="EF100" s="495"/>
      <c r="EG100" s="496"/>
      <c r="EH100" s="496"/>
      <c r="EI100" s="496"/>
      <c r="EJ100" s="496"/>
      <c r="EK100" s="496"/>
      <c r="EL100" s="496"/>
      <c r="EM100" s="496"/>
      <c r="EN100" s="500"/>
      <c r="EO100" s="496"/>
      <c r="EP100" s="496"/>
      <c r="EQ100" s="496"/>
      <c r="ER100" s="496"/>
      <c r="ES100" s="496"/>
      <c r="ET100" s="496"/>
      <c r="EU100" s="496"/>
      <c r="EV100" s="496"/>
      <c r="EW100" s="496"/>
      <c r="EX100" s="496"/>
      <c r="EY100" s="496"/>
      <c r="EZ100" s="496"/>
      <c r="FA100" s="496"/>
      <c r="FB100" s="496"/>
      <c r="FC100" s="496"/>
      <c r="FD100" s="496"/>
      <c r="FE100" s="496"/>
      <c r="FF100" s="496"/>
      <c r="FG100" s="496"/>
      <c r="FH100" s="496"/>
      <c r="FI100" s="2657"/>
      <c r="FJ100" s="2657"/>
      <c r="FK100" s="2657"/>
      <c r="FL100" s="2657"/>
      <c r="FM100" s="2657"/>
      <c r="FN100" s="2657"/>
      <c r="FO100" s="2657"/>
      <c r="FP100" s="2657"/>
      <c r="FQ100" s="2657"/>
      <c r="GE100" s="2685"/>
      <c r="GF100" s="2685"/>
      <c r="GG100" s="2685"/>
      <c r="GH100" s="2685"/>
      <c r="GI100" s="2685"/>
      <c r="GJ100" s="2685"/>
      <c r="GK100" s="2685"/>
      <c r="GL100" s="2685"/>
      <c r="GM100" s="2685"/>
      <c r="GN100" s="2685"/>
      <c r="GO100" s="2685"/>
      <c r="GP100" s="2685"/>
      <c r="GQ100" s="2685"/>
      <c r="GR100" s="2685"/>
      <c r="GS100" s="2685"/>
      <c r="GT100" s="2685"/>
      <c r="GU100" s="2685"/>
      <c r="GV100" s="2685"/>
      <c r="GW100" s="2685"/>
      <c r="GX100" s="2685"/>
      <c r="GY100" s="2685"/>
      <c r="GZ100" s="2685"/>
      <c r="HA100" s="2685"/>
      <c r="HB100" s="2685"/>
      <c r="HC100" s="2685"/>
      <c r="HD100" s="2685"/>
      <c r="HE100" s="2685"/>
      <c r="HF100" s="2685"/>
      <c r="HG100" s="2685"/>
      <c r="HH100" s="2685"/>
      <c r="HI100" s="2685"/>
      <c r="HJ100" s="2685"/>
      <c r="HK100" s="2685"/>
      <c r="HL100" s="2685"/>
      <c r="HM100" s="2685"/>
      <c r="HN100" s="2685"/>
      <c r="HO100" s="2685"/>
      <c r="HP100" s="2685"/>
      <c r="HQ100" s="2685"/>
      <c r="HR100" s="2685"/>
      <c r="HS100" s="2685"/>
      <c r="HT100" s="2685"/>
      <c r="HU100" s="2685"/>
      <c r="HV100" s="2685"/>
      <c r="HW100" s="2685"/>
      <c r="HX100" s="2685"/>
      <c r="HY100" s="2685"/>
      <c r="HZ100" s="2685"/>
      <c r="IA100" s="2685"/>
      <c r="IB100" s="2685"/>
      <c r="IC100" s="2685"/>
    </row>
    <row r="101" spans="15:237" ht="4.1500000000000004" customHeight="1">
      <c r="Q101" s="516"/>
      <c r="V101" s="516"/>
      <c r="X101" s="516"/>
      <c r="CI101" s="517"/>
      <c r="CJ101" s="662"/>
      <c r="CK101" s="664"/>
      <c r="CL101" s="662"/>
      <c r="CM101" s="662"/>
      <c r="CN101" s="662"/>
      <c r="CO101" s="2682"/>
      <c r="CP101" s="2682"/>
      <c r="CQ101" s="2682"/>
      <c r="CR101" s="2682"/>
      <c r="CS101" s="662"/>
      <c r="CT101" s="662"/>
      <c r="CU101" s="662"/>
      <c r="CV101" s="662"/>
      <c r="CW101" s="662"/>
      <c r="CX101" s="663"/>
      <c r="CY101" s="662"/>
      <c r="DP101" s="495"/>
      <c r="DQ101" s="495"/>
      <c r="DR101" s="495"/>
      <c r="DS101" s="495"/>
      <c r="DT101" s="495"/>
      <c r="DU101" s="495"/>
      <c r="DV101" s="495"/>
      <c r="DW101" s="495"/>
      <c r="DX101" s="495"/>
      <c r="DY101" s="495"/>
      <c r="DZ101" s="495"/>
      <c r="EA101" s="495"/>
      <c r="EB101" s="495"/>
      <c r="EC101" s="495"/>
      <c r="ED101" s="495"/>
      <c r="EE101" s="495"/>
      <c r="EF101" s="495"/>
      <c r="EG101" s="496"/>
      <c r="EH101" s="496"/>
      <c r="EI101" s="496"/>
      <c r="EJ101" s="496"/>
      <c r="EK101" s="496"/>
      <c r="EL101" s="496"/>
      <c r="EM101" s="496"/>
      <c r="EN101" s="500"/>
      <c r="EO101" s="496"/>
      <c r="EP101" s="496"/>
      <c r="EQ101" s="496"/>
      <c r="ER101" s="496"/>
      <c r="ES101" s="496"/>
      <c r="ET101" s="496"/>
      <c r="EU101" s="496"/>
      <c r="EV101" s="496"/>
      <c r="EW101" s="496"/>
      <c r="EX101" s="496"/>
      <c r="EY101" s="496"/>
      <c r="EZ101" s="496"/>
      <c r="FA101" s="496"/>
      <c r="FB101" s="496"/>
      <c r="FC101" s="496"/>
      <c r="FD101" s="496"/>
      <c r="FE101" s="496"/>
      <c r="FF101" s="496"/>
      <c r="FG101" s="496"/>
      <c r="FH101" s="496"/>
      <c r="FI101" s="2658"/>
      <c r="FJ101" s="2658"/>
      <c r="FK101" s="2658"/>
      <c r="FL101" s="2658"/>
      <c r="FM101" s="2658"/>
      <c r="FN101" s="2658"/>
      <c r="FO101" s="2658"/>
      <c r="FP101" s="2658"/>
      <c r="FQ101" s="2658"/>
      <c r="GE101" s="2685"/>
      <c r="GF101" s="2685"/>
      <c r="GG101" s="2685"/>
      <c r="GH101" s="2685"/>
      <c r="GI101" s="2685"/>
      <c r="GJ101" s="2685"/>
      <c r="GK101" s="2685"/>
      <c r="GL101" s="2685"/>
      <c r="GM101" s="2685"/>
      <c r="GN101" s="2685"/>
      <c r="GO101" s="2685"/>
      <c r="GP101" s="2685"/>
      <c r="GQ101" s="2685"/>
      <c r="GR101" s="2685"/>
      <c r="GS101" s="2685"/>
      <c r="GT101" s="2685"/>
      <c r="GU101" s="2685"/>
      <c r="GV101" s="2685"/>
      <c r="GW101" s="2685"/>
      <c r="GX101" s="2685"/>
      <c r="GY101" s="2685"/>
      <c r="GZ101" s="2685"/>
      <c r="HA101" s="2685"/>
      <c r="HB101" s="2685"/>
      <c r="HC101" s="2685"/>
      <c r="HD101" s="2685"/>
      <c r="HE101" s="2685"/>
      <c r="HF101" s="2685"/>
      <c r="HG101" s="2685"/>
      <c r="HH101" s="2685"/>
      <c r="HI101" s="2685"/>
      <c r="HJ101" s="2685"/>
      <c r="HK101" s="2685"/>
      <c r="HL101" s="2685"/>
      <c r="HM101" s="2685"/>
      <c r="HN101" s="2685"/>
      <c r="HO101" s="2685"/>
      <c r="HP101" s="2685"/>
      <c r="HQ101" s="2685"/>
      <c r="HR101" s="2685"/>
      <c r="HS101" s="2685"/>
      <c r="HT101" s="2685"/>
      <c r="HU101" s="2685"/>
      <c r="HV101" s="2685"/>
      <c r="HW101" s="2685"/>
      <c r="HX101" s="2685"/>
      <c r="HY101" s="2685"/>
      <c r="HZ101" s="2685"/>
      <c r="IA101" s="2685"/>
      <c r="IB101" s="2685"/>
      <c r="IC101" s="2685"/>
    </row>
    <row r="102" spans="15:237" ht="4.1500000000000004" customHeight="1">
      <c r="Q102" s="516"/>
      <c r="V102" s="516"/>
      <c r="X102" s="516"/>
      <c r="CI102" s="517"/>
      <c r="CJ102" s="662"/>
      <c r="CK102" s="664"/>
      <c r="CL102" s="662"/>
      <c r="CM102" s="662"/>
      <c r="CN102" s="662"/>
      <c r="CO102" s="2682"/>
      <c r="CP102" s="2682"/>
      <c r="CQ102" s="2682"/>
      <c r="CR102" s="2682"/>
      <c r="CS102" s="662"/>
      <c r="CT102" s="662"/>
      <c r="CU102" s="662"/>
      <c r="CV102" s="662"/>
      <c r="CW102" s="662"/>
      <c r="CX102" s="663"/>
      <c r="CY102" s="662"/>
      <c r="DP102" s="495"/>
      <c r="DQ102" s="495"/>
      <c r="DR102" s="495"/>
      <c r="DS102" s="495"/>
      <c r="DT102" s="495"/>
      <c r="DU102" s="495"/>
      <c r="DV102" s="495"/>
      <c r="DW102" s="495"/>
      <c r="DX102" s="495"/>
      <c r="DY102" s="495"/>
      <c r="DZ102" s="495"/>
      <c r="EA102" s="495"/>
      <c r="EB102" s="495"/>
      <c r="EC102" s="495"/>
      <c r="ED102" s="495"/>
      <c r="EE102" s="495"/>
      <c r="EF102" s="495"/>
      <c r="EG102" s="496"/>
      <c r="EH102" s="496"/>
      <c r="EI102" s="496"/>
      <c r="EJ102" s="496"/>
      <c r="EK102" s="496"/>
      <c r="EL102" s="496"/>
      <c r="EM102" s="496"/>
      <c r="EN102" s="500"/>
      <c r="EO102" s="501"/>
      <c r="EP102" s="498"/>
      <c r="EQ102" s="498"/>
      <c r="ER102" s="498"/>
      <c r="ES102" s="498"/>
      <c r="ET102" s="498"/>
      <c r="EU102" s="499"/>
      <c r="EV102" s="496"/>
      <c r="EW102" s="496"/>
      <c r="EX102" s="496"/>
      <c r="EY102" s="496"/>
      <c r="EZ102" s="496"/>
      <c r="FA102" s="496"/>
      <c r="FB102" s="496"/>
      <c r="FC102" s="496"/>
      <c r="FD102" s="496"/>
      <c r="FE102" s="496"/>
      <c r="FF102" s="496"/>
      <c r="FG102" s="496"/>
      <c r="FH102" s="496"/>
      <c r="FI102" s="2656">
        <f>FI99</f>
        <v>0.2</v>
      </c>
      <c r="FJ102" s="2656"/>
      <c r="FK102" s="2656"/>
      <c r="FL102" s="2656"/>
      <c r="FM102" s="2656"/>
      <c r="FN102" s="2656"/>
      <c r="FO102" s="2656"/>
      <c r="FP102" s="2656"/>
      <c r="FQ102" s="2656"/>
      <c r="GE102" s="2676" t="s">
        <v>291</v>
      </c>
      <c r="GF102" s="2676"/>
      <c r="GG102" s="2676"/>
      <c r="GH102" s="2676"/>
      <c r="GI102" s="2676"/>
      <c r="GJ102" s="2676"/>
      <c r="GK102" s="2676"/>
      <c r="GL102" s="2676"/>
      <c r="GM102" s="2676"/>
      <c r="GN102" s="2676"/>
      <c r="GO102" s="2676"/>
      <c r="GP102" s="2676"/>
      <c r="GQ102" s="2678">
        <v>1</v>
      </c>
      <c r="GR102" s="2678"/>
      <c r="GS102" s="2678"/>
      <c r="GT102" s="2678"/>
      <c r="GU102" s="2678"/>
      <c r="GV102" s="2678"/>
      <c r="GW102" s="2678"/>
      <c r="GX102" s="2678"/>
      <c r="GY102" s="2678"/>
      <c r="GZ102" s="2678"/>
      <c r="HA102" s="2678"/>
      <c r="HB102" s="2676" t="s">
        <v>901</v>
      </c>
      <c r="HC102" s="2676"/>
      <c r="HD102" s="2676"/>
      <c r="HE102" s="2676"/>
      <c r="HF102" s="2677">
        <v>1.05</v>
      </c>
      <c r="HG102" s="2677"/>
      <c r="HH102" s="2677"/>
      <c r="HI102" s="2677"/>
      <c r="HJ102" s="2677"/>
      <c r="HK102" s="2677"/>
      <c r="HL102" s="2677"/>
      <c r="HM102" s="2677"/>
      <c r="HN102" s="2677"/>
      <c r="HO102" s="2677"/>
      <c r="HP102" s="2677"/>
      <c r="HQ102" s="2676" t="s">
        <v>901</v>
      </c>
      <c r="HR102" s="2676"/>
      <c r="HS102" s="2676"/>
      <c r="HT102" s="2676"/>
      <c r="HU102" s="2677">
        <v>2.1</v>
      </c>
      <c r="HV102" s="2677"/>
      <c r="HW102" s="2677"/>
      <c r="HX102" s="2677"/>
      <c r="HY102" s="2677"/>
      <c r="HZ102" s="2677"/>
      <c r="IA102" s="2677"/>
      <c r="IB102" s="2677"/>
      <c r="IC102" s="2677"/>
    </row>
    <row r="103" spans="15:237" ht="4.1500000000000004" customHeight="1">
      <c r="Q103" s="516"/>
      <c r="V103" s="516"/>
      <c r="X103" s="516"/>
      <c r="CI103" s="517"/>
      <c r="CJ103" s="662"/>
      <c r="CK103" s="664"/>
      <c r="CL103" s="662"/>
      <c r="CM103" s="662"/>
      <c r="CN103" s="662"/>
      <c r="CO103" s="2682"/>
      <c r="CP103" s="2682"/>
      <c r="CQ103" s="2682"/>
      <c r="CR103" s="2682"/>
      <c r="CS103" s="662"/>
      <c r="CT103" s="662"/>
      <c r="CU103" s="662"/>
      <c r="CV103" s="662"/>
      <c r="CW103" s="662"/>
      <c r="CX103" s="663"/>
      <c r="CY103" s="662"/>
      <c r="DP103" s="495"/>
      <c r="DQ103" s="495"/>
      <c r="DR103" s="495"/>
      <c r="DS103" s="495"/>
      <c r="DT103" s="495"/>
      <c r="DU103" s="495"/>
      <c r="DV103" s="495"/>
      <c r="DW103" s="495"/>
      <c r="DX103" s="495"/>
      <c r="DY103" s="495"/>
      <c r="DZ103" s="495"/>
      <c r="EA103" s="495"/>
      <c r="EB103" s="495"/>
      <c r="EC103" s="495"/>
      <c r="ED103" s="495"/>
      <c r="EE103" s="495"/>
      <c r="EF103" s="495"/>
      <c r="EG103" s="496"/>
      <c r="EH103" s="496"/>
      <c r="EI103" s="496"/>
      <c r="EJ103" s="496"/>
      <c r="EK103" s="496"/>
      <c r="EL103" s="496"/>
      <c r="EM103" s="496"/>
      <c r="EN103" s="500"/>
      <c r="EO103" s="502"/>
      <c r="EP103" s="496"/>
      <c r="EQ103" s="496"/>
      <c r="ER103" s="496"/>
      <c r="ES103" s="496"/>
      <c r="ET103" s="496"/>
      <c r="EU103" s="500"/>
      <c r="EV103" s="496"/>
      <c r="EW103" s="496"/>
      <c r="EX103" s="496"/>
      <c r="EY103" s="496"/>
      <c r="EZ103" s="496"/>
      <c r="FA103" s="496"/>
      <c r="FB103" s="496"/>
      <c r="FC103" s="496"/>
      <c r="FD103" s="496"/>
      <c r="FE103" s="496"/>
      <c r="FF103" s="496"/>
      <c r="FG103" s="496"/>
      <c r="FH103" s="496"/>
      <c r="FI103" s="2657"/>
      <c r="FJ103" s="2657"/>
      <c r="FK103" s="2657"/>
      <c r="FL103" s="2657"/>
      <c r="FM103" s="2657"/>
      <c r="FN103" s="2657"/>
      <c r="FO103" s="2657"/>
      <c r="FP103" s="2657"/>
      <c r="FQ103" s="2657"/>
      <c r="GE103" s="2676"/>
      <c r="GF103" s="2676"/>
      <c r="GG103" s="2676"/>
      <c r="GH103" s="2676"/>
      <c r="GI103" s="2676"/>
      <c r="GJ103" s="2676"/>
      <c r="GK103" s="2676"/>
      <c r="GL103" s="2676"/>
      <c r="GM103" s="2676"/>
      <c r="GN103" s="2676"/>
      <c r="GO103" s="2676"/>
      <c r="GP103" s="2676"/>
      <c r="GQ103" s="2678"/>
      <c r="GR103" s="2678"/>
      <c r="GS103" s="2678"/>
      <c r="GT103" s="2678"/>
      <c r="GU103" s="2678"/>
      <c r="GV103" s="2678"/>
      <c r="GW103" s="2678"/>
      <c r="GX103" s="2678"/>
      <c r="GY103" s="2678"/>
      <c r="GZ103" s="2678"/>
      <c r="HA103" s="2678"/>
      <c r="HB103" s="2676"/>
      <c r="HC103" s="2676"/>
      <c r="HD103" s="2676"/>
      <c r="HE103" s="2676"/>
      <c r="HF103" s="2677"/>
      <c r="HG103" s="2677"/>
      <c r="HH103" s="2677"/>
      <c r="HI103" s="2677"/>
      <c r="HJ103" s="2677"/>
      <c r="HK103" s="2677"/>
      <c r="HL103" s="2677"/>
      <c r="HM103" s="2677"/>
      <c r="HN103" s="2677"/>
      <c r="HO103" s="2677"/>
      <c r="HP103" s="2677"/>
      <c r="HQ103" s="2676"/>
      <c r="HR103" s="2676"/>
      <c r="HS103" s="2676"/>
      <c r="HT103" s="2676"/>
      <c r="HU103" s="2677"/>
      <c r="HV103" s="2677"/>
      <c r="HW103" s="2677"/>
      <c r="HX103" s="2677"/>
      <c r="HY103" s="2677"/>
      <c r="HZ103" s="2677"/>
      <c r="IA103" s="2677"/>
      <c r="IB103" s="2677"/>
      <c r="IC103" s="2677"/>
    </row>
    <row r="104" spans="15:237" ht="4.1500000000000004" customHeight="1">
      <c r="Q104" s="516"/>
      <c r="V104" s="516"/>
      <c r="X104" s="516"/>
      <c r="CI104" s="517"/>
      <c r="CJ104" s="662"/>
      <c r="CK104" s="664"/>
      <c r="CL104" s="662"/>
      <c r="CM104" s="662"/>
      <c r="CN104" s="662"/>
      <c r="CO104" s="2682"/>
      <c r="CP104" s="2682"/>
      <c r="CQ104" s="2682"/>
      <c r="CR104" s="2682"/>
      <c r="CS104" s="662"/>
      <c r="CT104" s="662"/>
      <c r="CU104" s="662"/>
      <c r="CV104" s="662"/>
      <c r="CW104" s="662"/>
      <c r="CX104" s="663"/>
      <c r="CY104" s="662"/>
      <c r="DP104" s="495"/>
      <c r="DQ104" s="495"/>
      <c r="DR104" s="495"/>
      <c r="DS104" s="495"/>
      <c r="DT104" s="495"/>
      <c r="DU104" s="495"/>
      <c r="DV104" s="495"/>
      <c r="DW104" s="495"/>
      <c r="DX104" s="495"/>
      <c r="DY104" s="495"/>
      <c r="DZ104" s="495"/>
      <c r="EA104" s="495"/>
      <c r="EB104" s="495"/>
      <c r="EC104" s="495"/>
      <c r="ED104" s="495"/>
      <c r="EE104" s="495"/>
      <c r="EF104" s="495"/>
      <c r="EG104" s="496"/>
      <c r="EH104" s="496"/>
      <c r="EI104" s="496"/>
      <c r="EJ104" s="496"/>
      <c r="EK104" s="496"/>
      <c r="EL104" s="496"/>
      <c r="EM104" s="496"/>
      <c r="EN104" s="500"/>
      <c r="EO104" s="502"/>
      <c r="EP104" s="496"/>
      <c r="EQ104" s="496"/>
      <c r="ER104" s="496"/>
      <c r="ES104" s="496"/>
      <c r="ET104" s="496"/>
      <c r="EU104" s="500"/>
      <c r="EV104" s="496"/>
      <c r="EW104" s="496"/>
      <c r="EX104" s="496"/>
      <c r="EY104" s="496"/>
      <c r="EZ104" s="496"/>
      <c r="FA104" s="496"/>
      <c r="FB104" s="496"/>
      <c r="FC104" s="496"/>
      <c r="FD104" s="496"/>
      <c r="FE104" s="496"/>
      <c r="FF104" s="496"/>
      <c r="FG104" s="496"/>
      <c r="FH104" s="496"/>
      <c r="FI104" s="2658"/>
      <c r="FJ104" s="2658"/>
      <c r="FK104" s="2658"/>
      <c r="FL104" s="2658"/>
      <c r="FM104" s="2658"/>
      <c r="FN104" s="2658"/>
      <c r="FO104" s="2658"/>
      <c r="FP104" s="2658"/>
      <c r="FQ104" s="2658"/>
      <c r="GE104" s="2676"/>
      <c r="GF104" s="2676"/>
      <c r="GG104" s="2676"/>
      <c r="GH104" s="2676"/>
      <c r="GI104" s="2676"/>
      <c r="GJ104" s="2676"/>
      <c r="GK104" s="2676"/>
      <c r="GL104" s="2676"/>
      <c r="GM104" s="2676"/>
      <c r="GN104" s="2676"/>
      <c r="GO104" s="2676"/>
      <c r="GP104" s="2676"/>
      <c r="GQ104" s="2678"/>
      <c r="GR104" s="2678"/>
      <c r="GS104" s="2678"/>
      <c r="GT104" s="2678"/>
      <c r="GU104" s="2678"/>
      <c r="GV104" s="2678"/>
      <c r="GW104" s="2678"/>
      <c r="GX104" s="2678"/>
      <c r="GY104" s="2678"/>
      <c r="GZ104" s="2678"/>
      <c r="HA104" s="2678"/>
      <c r="HB104" s="2676"/>
      <c r="HC104" s="2676"/>
      <c r="HD104" s="2676"/>
      <c r="HE104" s="2676"/>
      <c r="HF104" s="2677"/>
      <c r="HG104" s="2677"/>
      <c r="HH104" s="2677"/>
      <c r="HI104" s="2677"/>
      <c r="HJ104" s="2677"/>
      <c r="HK104" s="2677"/>
      <c r="HL104" s="2677"/>
      <c r="HM104" s="2677"/>
      <c r="HN104" s="2677"/>
      <c r="HO104" s="2677"/>
      <c r="HP104" s="2677"/>
      <c r="HQ104" s="2676"/>
      <c r="HR104" s="2676"/>
      <c r="HS104" s="2676"/>
      <c r="HT104" s="2676"/>
      <c r="HU104" s="2677"/>
      <c r="HV104" s="2677"/>
      <c r="HW104" s="2677"/>
      <c r="HX104" s="2677"/>
      <c r="HY104" s="2677"/>
      <c r="HZ104" s="2677"/>
      <c r="IA104" s="2677"/>
      <c r="IB104" s="2677"/>
      <c r="IC104" s="2677"/>
    </row>
    <row r="105" spans="15:237" ht="4.1500000000000004" customHeight="1">
      <c r="Q105" s="516"/>
      <c r="V105" s="516"/>
      <c r="X105" s="516"/>
      <c r="CI105" s="517"/>
      <c r="CJ105" s="662"/>
      <c r="CK105" s="664"/>
      <c r="CL105" s="662"/>
      <c r="CM105" s="662"/>
      <c r="CN105" s="662"/>
      <c r="CO105" s="662"/>
      <c r="CP105" s="662"/>
      <c r="CQ105" s="663"/>
      <c r="CR105" s="662"/>
      <c r="CS105" s="662"/>
      <c r="CT105" s="662"/>
      <c r="CU105" s="662"/>
      <c r="CV105" s="2681">
        <f>CO95+CO126</f>
        <v>4.7</v>
      </c>
      <c r="CW105" s="2682"/>
      <c r="CX105" s="2682"/>
      <c r="CY105" s="2682"/>
      <c r="DP105" s="495"/>
      <c r="DQ105" s="495"/>
      <c r="DR105" s="495"/>
      <c r="DS105" s="495"/>
      <c r="DT105" s="495"/>
      <c r="DU105" s="495"/>
      <c r="DV105" s="495"/>
      <c r="DW105" s="495"/>
      <c r="DX105" s="495"/>
      <c r="DY105" s="495"/>
      <c r="DZ105" s="495"/>
      <c r="EA105" s="495"/>
      <c r="EB105" s="2654" t="s">
        <v>2980</v>
      </c>
      <c r="EC105" s="2654"/>
      <c r="ED105" s="2654"/>
      <c r="EE105" s="2654"/>
      <c r="EF105" s="2654"/>
      <c r="EG105" s="2654"/>
      <c r="EH105" s="496"/>
      <c r="EI105" s="496"/>
      <c r="EJ105" s="496"/>
      <c r="EK105" s="496"/>
      <c r="EL105" s="496"/>
      <c r="EM105" s="496"/>
      <c r="EN105" s="500"/>
      <c r="EO105" s="496"/>
      <c r="EP105" s="496"/>
      <c r="EQ105" s="496"/>
      <c r="ER105" s="496"/>
      <c r="ES105" s="496"/>
      <c r="ET105" s="496"/>
      <c r="EU105" s="496"/>
      <c r="EV105" s="498"/>
      <c r="EW105" s="498"/>
      <c r="EX105" s="498"/>
      <c r="EY105" s="498"/>
      <c r="EZ105" s="498"/>
      <c r="FA105" s="498"/>
      <c r="FB105" s="499"/>
      <c r="FC105" s="496"/>
      <c r="FD105" s="496"/>
      <c r="FE105" s="496"/>
      <c r="FF105" s="496"/>
      <c r="FG105" s="496"/>
      <c r="FH105" s="496"/>
      <c r="FI105" s="2656">
        <f>FI102</f>
        <v>0.2</v>
      </c>
      <c r="FJ105" s="2656"/>
      <c r="FK105" s="2656"/>
      <c r="FL105" s="2656"/>
      <c r="FM105" s="2656"/>
      <c r="FN105" s="2656"/>
      <c r="FO105" s="2656"/>
      <c r="FP105" s="2656"/>
      <c r="FQ105" s="2656"/>
      <c r="GE105" s="2676" t="s">
        <v>1950</v>
      </c>
      <c r="GF105" s="2676"/>
      <c r="GG105" s="2676"/>
      <c r="GH105" s="2676"/>
      <c r="GI105" s="2676"/>
      <c r="GJ105" s="2676"/>
      <c r="GK105" s="2676"/>
      <c r="GL105" s="2676"/>
      <c r="GM105" s="2676"/>
      <c r="GN105" s="2676"/>
      <c r="GO105" s="2676"/>
      <c r="GP105" s="2676"/>
      <c r="GQ105" s="2678">
        <v>1</v>
      </c>
      <c r="GR105" s="2678"/>
      <c r="GS105" s="2678"/>
      <c r="GT105" s="2678"/>
      <c r="GU105" s="2678"/>
      <c r="GV105" s="2678"/>
      <c r="GW105" s="2678"/>
      <c r="GX105" s="2678"/>
      <c r="GY105" s="2678"/>
      <c r="GZ105" s="2678"/>
      <c r="HA105" s="2678"/>
      <c r="HB105" s="2676" t="s">
        <v>901</v>
      </c>
      <c r="HC105" s="2676"/>
      <c r="HD105" s="2676"/>
      <c r="HE105" s="2676"/>
      <c r="HF105" s="2677">
        <v>0.9</v>
      </c>
      <c r="HG105" s="2677"/>
      <c r="HH105" s="2677"/>
      <c r="HI105" s="2677"/>
      <c r="HJ105" s="2677"/>
      <c r="HK105" s="2677"/>
      <c r="HL105" s="2677"/>
      <c r="HM105" s="2677"/>
      <c r="HN105" s="2677"/>
      <c r="HO105" s="2677"/>
      <c r="HP105" s="2677"/>
      <c r="HQ105" s="2676" t="s">
        <v>901</v>
      </c>
      <c r="HR105" s="2676"/>
      <c r="HS105" s="2676"/>
      <c r="HT105" s="2676"/>
      <c r="HU105" s="2677">
        <v>1.2</v>
      </c>
      <c r="HV105" s="2677"/>
      <c r="HW105" s="2677"/>
      <c r="HX105" s="2677"/>
      <c r="HY105" s="2677"/>
      <c r="HZ105" s="2677"/>
      <c r="IA105" s="2677"/>
      <c r="IB105" s="2677"/>
      <c r="IC105" s="2677"/>
    </row>
    <row r="106" spans="15:237" ht="4.1500000000000004" customHeight="1">
      <c r="O106" s="2681">
        <f>CV105+CJ84</f>
        <v>4.95</v>
      </c>
      <c r="P106" s="2682"/>
      <c r="Q106" s="2682"/>
      <c r="R106" s="2682"/>
      <c r="V106" s="516"/>
      <c r="X106" s="516"/>
      <c r="CI106" s="517"/>
      <c r="CJ106" s="662"/>
      <c r="CK106" s="664"/>
      <c r="CL106" s="662"/>
      <c r="CM106" s="662"/>
      <c r="CN106" s="662"/>
      <c r="CO106" s="662"/>
      <c r="CP106" s="662"/>
      <c r="CQ106" s="663"/>
      <c r="CR106" s="662"/>
      <c r="CS106" s="662"/>
      <c r="CT106" s="662"/>
      <c r="CU106" s="662"/>
      <c r="CV106" s="2682"/>
      <c r="CW106" s="2682"/>
      <c r="CX106" s="2682"/>
      <c r="CY106" s="2682"/>
      <c r="DP106" s="495"/>
      <c r="DQ106" s="495"/>
      <c r="DR106" s="495"/>
      <c r="DS106" s="495"/>
      <c r="DT106" s="495"/>
      <c r="DU106" s="495"/>
      <c r="DV106" s="495"/>
      <c r="DW106" s="495"/>
      <c r="DX106" s="495"/>
      <c r="DY106" s="495"/>
      <c r="DZ106" s="495"/>
      <c r="EA106" s="495"/>
      <c r="EB106" s="2654"/>
      <c r="EC106" s="2654"/>
      <c r="ED106" s="2654"/>
      <c r="EE106" s="2654"/>
      <c r="EF106" s="2654"/>
      <c r="EG106" s="2654"/>
      <c r="EH106" s="496"/>
      <c r="EI106" s="496"/>
      <c r="EJ106" s="496"/>
      <c r="EK106" s="496"/>
      <c r="EL106" s="496"/>
      <c r="EM106" s="496"/>
      <c r="EN106" s="500"/>
      <c r="EO106" s="496"/>
      <c r="EP106" s="496"/>
      <c r="EQ106" s="496"/>
      <c r="ER106" s="496"/>
      <c r="ES106" s="496"/>
      <c r="ET106" s="496"/>
      <c r="EU106" s="496"/>
      <c r="EV106" s="496"/>
      <c r="EW106" s="496"/>
      <c r="EX106" s="496"/>
      <c r="EY106" s="496"/>
      <c r="EZ106" s="496"/>
      <c r="FA106" s="496"/>
      <c r="FB106" s="500"/>
      <c r="FC106" s="496"/>
      <c r="FD106" s="496"/>
      <c r="FE106" s="496"/>
      <c r="FF106" s="496"/>
      <c r="FG106" s="496"/>
      <c r="FH106" s="496"/>
      <c r="FI106" s="2657"/>
      <c r="FJ106" s="2657"/>
      <c r="FK106" s="2657"/>
      <c r="FL106" s="2657"/>
      <c r="FM106" s="2657"/>
      <c r="FN106" s="2657"/>
      <c r="FO106" s="2657"/>
      <c r="FP106" s="2657"/>
      <c r="FQ106" s="2657"/>
      <c r="GE106" s="2676"/>
      <c r="GF106" s="2676"/>
      <c r="GG106" s="2676"/>
      <c r="GH106" s="2676"/>
      <c r="GI106" s="2676"/>
      <c r="GJ106" s="2676"/>
      <c r="GK106" s="2676"/>
      <c r="GL106" s="2676"/>
      <c r="GM106" s="2676"/>
      <c r="GN106" s="2676"/>
      <c r="GO106" s="2676"/>
      <c r="GP106" s="2676"/>
      <c r="GQ106" s="2678"/>
      <c r="GR106" s="2678"/>
      <c r="GS106" s="2678"/>
      <c r="GT106" s="2678"/>
      <c r="GU106" s="2678"/>
      <c r="GV106" s="2678"/>
      <c r="GW106" s="2678"/>
      <c r="GX106" s="2678"/>
      <c r="GY106" s="2678"/>
      <c r="GZ106" s="2678"/>
      <c r="HA106" s="2678"/>
      <c r="HB106" s="2676"/>
      <c r="HC106" s="2676"/>
      <c r="HD106" s="2676"/>
      <c r="HE106" s="2676"/>
      <c r="HF106" s="2677"/>
      <c r="HG106" s="2677"/>
      <c r="HH106" s="2677"/>
      <c r="HI106" s="2677"/>
      <c r="HJ106" s="2677"/>
      <c r="HK106" s="2677"/>
      <c r="HL106" s="2677"/>
      <c r="HM106" s="2677"/>
      <c r="HN106" s="2677"/>
      <c r="HO106" s="2677"/>
      <c r="HP106" s="2677"/>
      <c r="HQ106" s="2676"/>
      <c r="HR106" s="2676"/>
      <c r="HS106" s="2676"/>
      <c r="HT106" s="2676"/>
      <c r="HU106" s="2677"/>
      <c r="HV106" s="2677"/>
      <c r="HW106" s="2677"/>
      <c r="HX106" s="2677"/>
      <c r="HY106" s="2677"/>
      <c r="HZ106" s="2677"/>
      <c r="IA106" s="2677"/>
      <c r="IB106" s="2677"/>
      <c r="IC106" s="2677"/>
    </row>
    <row r="107" spans="15:237" ht="4.1500000000000004" customHeight="1">
      <c r="O107" s="2682"/>
      <c r="P107" s="2682"/>
      <c r="Q107" s="2682"/>
      <c r="R107" s="2682"/>
      <c r="V107" s="516"/>
      <c r="X107" s="516"/>
      <c r="CI107" s="517"/>
      <c r="CJ107" s="662"/>
      <c r="CK107" s="664"/>
      <c r="CL107" s="662"/>
      <c r="CM107" s="662"/>
      <c r="CN107" s="662"/>
      <c r="CO107" s="662"/>
      <c r="CP107" s="662"/>
      <c r="CQ107" s="663"/>
      <c r="CR107" s="662"/>
      <c r="CS107" s="662"/>
      <c r="CT107" s="662"/>
      <c r="CU107" s="662"/>
      <c r="CV107" s="2682"/>
      <c r="CW107" s="2682"/>
      <c r="CX107" s="2682"/>
      <c r="CY107" s="2682"/>
      <c r="DP107" s="495"/>
      <c r="DQ107" s="495"/>
      <c r="DR107" s="495"/>
      <c r="DS107" s="495"/>
      <c r="DT107" s="495"/>
      <c r="DU107" s="495"/>
      <c r="DV107" s="495"/>
      <c r="DW107" s="495"/>
      <c r="DX107" s="495"/>
      <c r="DY107" s="495"/>
      <c r="DZ107" s="495"/>
      <c r="EA107" s="495"/>
      <c r="EB107" s="2655"/>
      <c r="EC107" s="2655"/>
      <c r="ED107" s="2655"/>
      <c r="EE107" s="2655"/>
      <c r="EF107" s="2655"/>
      <c r="EG107" s="2655"/>
      <c r="EH107" s="503"/>
      <c r="EI107" s="503"/>
      <c r="EJ107" s="503"/>
      <c r="EK107" s="503"/>
      <c r="EL107" s="503"/>
      <c r="EM107" s="503"/>
      <c r="EN107" s="504"/>
      <c r="EO107" s="496"/>
      <c r="EP107" s="496"/>
      <c r="EQ107" s="496"/>
      <c r="ER107" s="496"/>
      <c r="ES107" s="496"/>
      <c r="ET107" s="496"/>
      <c r="EU107" s="496"/>
      <c r="EV107" s="496"/>
      <c r="EW107" s="496"/>
      <c r="EX107" s="496"/>
      <c r="EY107" s="496"/>
      <c r="EZ107" s="496"/>
      <c r="FA107" s="496"/>
      <c r="FB107" s="500"/>
      <c r="FC107" s="496"/>
      <c r="FD107" s="496"/>
      <c r="FE107" s="496"/>
      <c r="FF107" s="496"/>
      <c r="FG107" s="496"/>
      <c r="FH107" s="496"/>
      <c r="FI107" s="2657"/>
      <c r="FJ107" s="2658"/>
      <c r="FK107" s="2658"/>
      <c r="FL107" s="2658"/>
      <c r="FM107" s="2658"/>
      <c r="FN107" s="2658"/>
      <c r="FO107" s="2658"/>
      <c r="FP107" s="2658"/>
      <c r="FQ107" s="2658"/>
      <c r="GE107" s="2676"/>
      <c r="GF107" s="2676"/>
      <c r="GG107" s="2676"/>
      <c r="GH107" s="2676"/>
      <c r="GI107" s="2676"/>
      <c r="GJ107" s="2676"/>
      <c r="GK107" s="2676"/>
      <c r="GL107" s="2676"/>
      <c r="GM107" s="2676"/>
      <c r="GN107" s="2676"/>
      <c r="GO107" s="2676"/>
      <c r="GP107" s="2676"/>
      <c r="GQ107" s="2678"/>
      <c r="GR107" s="2678"/>
      <c r="GS107" s="2678"/>
      <c r="GT107" s="2678"/>
      <c r="GU107" s="2678"/>
      <c r="GV107" s="2678"/>
      <c r="GW107" s="2678"/>
      <c r="GX107" s="2678"/>
      <c r="GY107" s="2678"/>
      <c r="GZ107" s="2678"/>
      <c r="HA107" s="2678"/>
      <c r="HB107" s="2676"/>
      <c r="HC107" s="2676"/>
      <c r="HD107" s="2676"/>
      <c r="HE107" s="2676"/>
      <c r="HF107" s="2677"/>
      <c r="HG107" s="2677"/>
      <c r="HH107" s="2677"/>
      <c r="HI107" s="2677"/>
      <c r="HJ107" s="2677"/>
      <c r="HK107" s="2677"/>
      <c r="HL107" s="2677"/>
      <c r="HM107" s="2677"/>
      <c r="HN107" s="2677"/>
      <c r="HO107" s="2677"/>
      <c r="HP107" s="2677"/>
      <c r="HQ107" s="2676"/>
      <c r="HR107" s="2676"/>
      <c r="HS107" s="2676"/>
      <c r="HT107" s="2676"/>
      <c r="HU107" s="2677"/>
      <c r="HV107" s="2677"/>
      <c r="HW107" s="2677"/>
      <c r="HX107" s="2677"/>
      <c r="HY107" s="2677"/>
      <c r="HZ107" s="2677"/>
      <c r="IA107" s="2677"/>
      <c r="IB107" s="2677"/>
      <c r="IC107" s="2677"/>
    </row>
    <row r="108" spans="15:237" ht="4.1500000000000004" customHeight="1">
      <c r="O108" s="2682"/>
      <c r="P108" s="2682"/>
      <c r="Q108" s="2682"/>
      <c r="R108" s="2682"/>
      <c r="V108" s="516"/>
      <c r="X108" s="516"/>
      <c r="CI108" s="517"/>
      <c r="CJ108" s="662"/>
      <c r="CK108" s="664"/>
      <c r="CL108" s="662"/>
      <c r="CM108" s="662"/>
      <c r="CN108" s="662"/>
      <c r="CO108" s="662"/>
      <c r="CP108" s="662"/>
      <c r="CQ108" s="663"/>
      <c r="CR108" s="662"/>
      <c r="CS108" s="662"/>
      <c r="CT108" s="662"/>
      <c r="CU108" s="662"/>
      <c r="CV108" s="2682"/>
      <c r="CW108" s="2682"/>
      <c r="CX108" s="2682"/>
      <c r="CY108" s="2682"/>
      <c r="DP108" s="495"/>
      <c r="DQ108" s="495"/>
      <c r="DR108" s="495"/>
      <c r="DS108" s="495"/>
      <c r="DT108" s="495"/>
      <c r="DU108" s="495"/>
      <c r="DV108" s="495"/>
      <c r="DW108" s="495"/>
      <c r="DX108" s="495"/>
      <c r="DY108" s="495"/>
      <c r="DZ108" s="495"/>
      <c r="EA108" s="495"/>
      <c r="EB108" s="2656">
        <f>FJ108+FJ110</f>
        <v>0.3</v>
      </c>
      <c r="EC108" s="2656"/>
      <c r="ED108" s="2656"/>
      <c r="EE108" s="2656"/>
      <c r="EF108" s="2656"/>
      <c r="EG108" s="2656"/>
      <c r="EH108" s="2656"/>
      <c r="EI108" s="2656"/>
      <c r="EJ108" s="2656"/>
      <c r="EK108" s="2656"/>
      <c r="EL108" s="2656"/>
      <c r="EM108" s="496"/>
      <c r="EN108" s="500"/>
      <c r="EO108" s="501"/>
      <c r="EP108" s="498"/>
      <c r="EQ108" s="498"/>
      <c r="ER108" s="498"/>
      <c r="ES108" s="498"/>
      <c r="ET108" s="498"/>
      <c r="EU108" s="498"/>
      <c r="EV108" s="498"/>
      <c r="EW108" s="498"/>
      <c r="EX108" s="498"/>
      <c r="EY108" s="498"/>
      <c r="EZ108" s="498"/>
      <c r="FA108" s="498"/>
      <c r="FB108" s="498"/>
      <c r="FC108" s="498"/>
      <c r="FD108" s="498"/>
      <c r="FE108" s="498"/>
      <c r="FF108" s="498"/>
      <c r="FG108" s="498"/>
      <c r="FH108" s="498"/>
      <c r="FI108" s="499"/>
      <c r="FJ108" s="2659">
        <v>0.15</v>
      </c>
      <c r="FK108" s="2660"/>
      <c r="FL108" s="2660"/>
      <c r="FM108" s="2660"/>
      <c r="FN108" s="2660"/>
      <c r="FO108" s="2660"/>
      <c r="FP108" s="2660"/>
      <c r="FQ108" s="2660"/>
      <c r="GE108" s="2676" t="s">
        <v>1951</v>
      </c>
      <c r="GF108" s="2676"/>
      <c r="GG108" s="2676"/>
      <c r="GH108" s="2676"/>
      <c r="GI108" s="2676"/>
      <c r="GJ108" s="2676"/>
      <c r="GK108" s="2676"/>
      <c r="GL108" s="2676"/>
      <c r="GM108" s="2676"/>
      <c r="GN108" s="2676"/>
      <c r="GO108" s="2676"/>
      <c r="GP108" s="2676"/>
      <c r="GQ108" s="2678">
        <v>2</v>
      </c>
      <c r="GR108" s="2678"/>
      <c r="GS108" s="2678"/>
      <c r="GT108" s="2678"/>
      <c r="GU108" s="2678"/>
      <c r="GV108" s="2678"/>
      <c r="GW108" s="2678"/>
      <c r="GX108" s="2678"/>
      <c r="GY108" s="2678"/>
      <c r="GZ108" s="2678"/>
      <c r="HA108" s="2678"/>
      <c r="HB108" s="2676" t="s">
        <v>901</v>
      </c>
      <c r="HC108" s="2676"/>
      <c r="HD108" s="2676"/>
      <c r="HE108" s="2676"/>
      <c r="HF108" s="2677">
        <f>BM141</f>
        <v>1.325</v>
      </c>
      <c r="HG108" s="2677"/>
      <c r="HH108" s="2677"/>
      <c r="HI108" s="2677"/>
      <c r="HJ108" s="2677"/>
      <c r="HK108" s="2677"/>
      <c r="HL108" s="2677"/>
      <c r="HM108" s="2677"/>
      <c r="HN108" s="2677"/>
      <c r="HO108" s="2677"/>
      <c r="HP108" s="2677"/>
      <c r="HQ108" s="2676" t="s">
        <v>901</v>
      </c>
      <c r="HR108" s="2676"/>
      <c r="HS108" s="2676"/>
      <c r="HT108" s="2676"/>
      <c r="HU108" s="2677">
        <f>HU102</f>
        <v>2.1</v>
      </c>
      <c r="HV108" s="2677"/>
      <c r="HW108" s="2677"/>
      <c r="HX108" s="2677"/>
      <c r="HY108" s="2677"/>
      <c r="HZ108" s="2677"/>
      <c r="IA108" s="2677"/>
      <c r="IB108" s="2677"/>
      <c r="IC108" s="2677"/>
    </row>
    <row r="109" spans="15:237" ht="4.1500000000000004" customHeight="1">
      <c r="O109" s="2682"/>
      <c r="P109" s="2682"/>
      <c r="Q109" s="2682"/>
      <c r="R109" s="2682"/>
      <c r="V109" s="516"/>
      <c r="X109" s="516"/>
      <c r="CI109" s="517"/>
      <c r="CJ109" s="662"/>
      <c r="CK109" s="664"/>
      <c r="CL109" s="662"/>
      <c r="CM109" s="662"/>
      <c r="CN109" s="662"/>
      <c r="CO109" s="662"/>
      <c r="CP109" s="662"/>
      <c r="CQ109" s="663"/>
      <c r="CR109" s="662"/>
      <c r="CS109" s="662"/>
      <c r="CT109" s="662"/>
      <c r="CU109" s="662"/>
      <c r="CV109" s="2682"/>
      <c r="CW109" s="2682"/>
      <c r="CX109" s="2682"/>
      <c r="CY109" s="2682"/>
      <c r="DP109" s="495"/>
      <c r="DQ109" s="495"/>
      <c r="DR109" s="495"/>
      <c r="DS109" s="495"/>
      <c r="DT109" s="495"/>
      <c r="DU109" s="495"/>
      <c r="DV109" s="495"/>
      <c r="DW109" s="495"/>
      <c r="DX109" s="495"/>
      <c r="DY109" s="495"/>
      <c r="DZ109" s="495"/>
      <c r="EA109" s="495"/>
      <c r="EB109" s="2657"/>
      <c r="EC109" s="2657"/>
      <c r="ED109" s="2657"/>
      <c r="EE109" s="2657"/>
      <c r="EF109" s="2657"/>
      <c r="EG109" s="2657"/>
      <c r="EH109" s="2657"/>
      <c r="EI109" s="2657"/>
      <c r="EJ109" s="2657"/>
      <c r="EK109" s="2657"/>
      <c r="EL109" s="2657"/>
      <c r="EM109" s="496"/>
      <c r="EN109" s="500"/>
      <c r="EO109" s="505"/>
      <c r="EP109" s="503"/>
      <c r="EQ109" s="503"/>
      <c r="ER109" s="503"/>
      <c r="ES109" s="503"/>
      <c r="ET109" s="503"/>
      <c r="EU109" s="503"/>
      <c r="EV109" s="503"/>
      <c r="EW109" s="503"/>
      <c r="EX109" s="503"/>
      <c r="EY109" s="503"/>
      <c r="EZ109" s="503"/>
      <c r="FA109" s="503"/>
      <c r="FB109" s="503"/>
      <c r="FC109" s="503"/>
      <c r="FD109" s="503"/>
      <c r="FE109" s="503"/>
      <c r="FF109" s="503"/>
      <c r="FG109" s="503"/>
      <c r="FH109" s="503"/>
      <c r="FI109" s="504"/>
      <c r="FJ109" s="2661"/>
      <c r="FK109" s="2662"/>
      <c r="FL109" s="2662"/>
      <c r="FM109" s="2662"/>
      <c r="FN109" s="2662"/>
      <c r="FO109" s="2662"/>
      <c r="FP109" s="2662"/>
      <c r="FQ109" s="2662"/>
      <c r="GE109" s="2676"/>
      <c r="GF109" s="2676"/>
      <c r="GG109" s="2676"/>
      <c r="GH109" s="2676"/>
      <c r="GI109" s="2676"/>
      <c r="GJ109" s="2676"/>
      <c r="GK109" s="2676"/>
      <c r="GL109" s="2676"/>
      <c r="GM109" s="2676"/>
      <c r="GN109" s="2676"/>
      <c r="GO109" s="2676"/>
      <c r="GP109" s="2676"/>
      <c r="GQ109" s="2678"/>
      <c r="GR109" s="2678"/>
      <c r="GS109" s="2678"/>
      <c r="GT109" s="2678"/>
      <c r="GU109" s="2678"/>
      <c r="GV109" s="2678"/>
      <c r="GW109" s="2678"/>
      <c r="GX109" s="2678"/>
      <c r="GY109" s="2678"/>
      <c r="GZ109" s="2678"/>
      <c r="HA109" s="2678"/>
      <c r="HB109" s="2676"/>
      <c r="HC109" s="2676"/>
      <c r="HD109" s="2676"/>
      <c r="HE109" s="2676"/>
      <c r="HF109" s="2677"/>
      <c r="HG109" s="2677"/>
      <c r="HH109" s="2677"/>
      <c r="HI109" s="2677"/>
      <c r="HJ109" s="2677"/>
      <c r="HK109" s="2677"/>
      <c r="HL109" s="2677"/>
      <c r="HM109" s="2677"/>
      <c r="HN109" s="2677"/>
      <c r="HO109" s="2677"/>
      <c r="HP109" s="2677"/>
      <c r="HQ109" s="2676"/>
      <c r="HR109" s="2676"/>
      <c r="HS109" s="2676"/>
      <c r="HT109" s="2676"/>
      <c r="HU109" s="2677"/>
      <c r="HV109" s="2677"/>
      <c r="HW109" s="2677"/>
      <c r="HX109" s="2677"/>
      <c r="HY109" s="2677"/>
      <c r="HZ109" s="2677"/>
      <c r="IA109" s="2677"/>
      <c r="IB109" s="2677"/>
      <c r="IC109" s="2677"/>
    </row>
    <row r="110" spans="15:237" ht="4.1500000000000004" customHeight="1">
      <c r="O110" s="2682"/>
      <c r="P110" s="2682"/>
      <c r="Q110" s="2682"/>
      <c r="R110" s="2682"/>
      <c r="V110" s="516"/>
      <c r="X110" s="516"/>
      <c r="CI110" s="517"/>
      <c r="CJ110" s="662"/>
      <c r="CK110" s="664"/>
      <c r="CL110" s="662"/>
      <c r="CM110" s="662"/>
      <c r="CN110" s="662"/>
      <c r="CO110" s="662"/>
      <c r="CP110" s="662"/>
      <c r="CQ110" s="663"/>
      <c r="CR110" s="662"/>
      <c r="CS110" s="662"/>
      <c r="CT110" s="662"/>
      <c r="CU110" s="662"/>
      <c r="CV110" s="2682"/>
      <c r="CW110" s="2682"/>
      <c r="CX110" s="2682"/>
      <c r="CY110" s="2682"/>
      <c r="DP110" s="495"/>
      <c r="DQ110" s="495"/>
      <c r="DR110" s="495"/>
      <c r="DS110" s="495"/>
      <c r="DT110" s="495"/>
      <c r="DU110" s="495"/>
      <c r="DV110" s="495"/>
      <c r="DW110" s="495"/>
      <c r="DX110" s="495"/>
      <c r="DY110" s="495"/>
      <c r="DZ110" s="495"/>
      <c r="EA110" s="495"/>
      <c r="EB110" s="2657"/>
      <c r="EC110" s="2657"/>
      <c r="ED110" s="2657"/>
      <c r="EE110" s="2657"/>
      <c r="EF110" s="2657"/>
      <c r="EG110" s="2657"/>
      <c r="EH110" s="2657"/>
      <c r="EI110" s="2657"/>
      <c r="EJ110" s="2657"/>
      <c r="EK110" s="2657"/>
      <c r="EL110" s="2657"/>
      <c r="EM110" s="496"/>
      <c r="EN110" s="500"/>
      <c r="EO110" s="501"/>
      <c r="EP110" s="498"/>
      <c r="EQ110" s="498"/>
      <c r="ER110" s="498"/>
      <c r="ES110" s="498"/>
      <c r="ET110" s="498"/>
      <c r="EU110" s="498"/>
      <c r="EV110" s="498"/>
      <c r="EW110" s="498"/>
      <c r="EX110" s="498"/>
      <c r="EY110" s="498"/>
      <c r="EZ110" s="498"/>
      <c r="FA110" s="498"/>
      <c r="FB110" s="498"/>
      <c r="FC110" s="498"/>
      <c r="FD110" s="498"/>
      <c r="FE110" s="498"/>
      <c r="FF110" s="498"/>
      <c r="FG110" s="498"/>
      <c r="FH110" s="498"/>
      <c r="FI110" s="499"/>
      <c r="FJ110" s="2659">
        <f>FJ108</f>
        <v>0.15</v>
      </c>
      <c r="FK110" s="2660"/>
      <c r="FL110" s="2660"/>
      <c r="FM110" s="2660"/>
      <c r="FN110" s="2660"/>
      <c r="FO110" s="2660"/>
      <c r="FP110" s="2660"/>
      <c r="FQ110" s="2660"/>
      <c r="GE110" s="2676"/>
      <c r="GF110" s="2676"/>
      <c r="GG110" s="2676"/>
      <c r="GH110" s="2676"/>
      <c r="GI110" s="2676"/>
      <c r="GJ110" s="2676"/>
      <c r="GK110" s="2676"/>
      <c r="GL110" s="2676"/>
      <c r="GM110" s="2676"/>
      <c r="GN110" s="2676"/>
      <c r="GO110" s="2676"/>
      <c r="GP110" s="2676"/>
      <c r="GQ110" s="2678"/>
      <c r="GR110" s="2678"/>
      <c r="GS110" s="2678"/>
      <c r="GT110" s="2678"/>
      <c r="GU110" s="2678"/>
      <c r="GV110" s="2678"/>
      <c r="GW110" s="2678"/>
      <c r="GX110" s="2678"/>
      <c r="GY110" s="2678"/>
      <c r="GZ110" s="2678"/>
      <c r="HA110" s="2678"/>
      <c r="HB110" s="2676"/>
      <c r="HC110" s="2676"/>
      <c r="HD110" s="2676"/>
      <c r="HE110" s="2676"/>
      <c r="HF110" s="2677"/>
      <c r="HG110" s="2677"/>
      <c r="HH110" s="2677"/>
      <c r="HI110" s="2677"/>
      <c r="HJ110" s="2677"/>
      <c r="HK110" s="2677"/>
      <c r="HL110" s="2677"/>
      <c r="HM110" s="2677"/>
      <c r="HN110" s="2677"/>
      <c r="HO110" s="2677"/>
      <c r="HP110" s="2677"/>
      <c r="HQ110" s="2676"/>
      <c r="HR110" s="2676"/>
      <c r="HS110" s="2676"/>
      <c r="HT110" s="2676"/>
      <c r="HU110" s="2677"/>
      <c r="HV110" s="2677"/>
      <c r="HW110" s="2677"/>
      <c r="HX110" s="2677"/>
      <c r="HY110" s="2677"/>
      <c r="HZ110" s="2677"/>
      <c r="IA110" s="2677"/>
      <c r="IB110" s="2677"/>
      <c r="IC110" s="2677"/>
    </row>
    <row r="111" spans="15:237" ht="4.1500000000000004" customHeight="1">
      <c r="O111" s="2682"/>
      <c r="P111" s="2682"/>
      <c r="Q111" s="2682"/>
      <c r="R111" s="2682"/>
      <c r="V111" s="516"/>
      <c r="X111" s="516"/>
      <c r="CI111" s="517"/>
      <c r="CJ111" s="662"/>
      <c r="CK111" s="664"/>
      <c r="CL111" s="662"/>
      <c r="CM111" s="662"/>
      <c r="CN111" s="662"/>
      <c r="CO111" s="662"/>
      <c r="CP111" s="662"/>
      <c r="CQ111" s="663"/>
      <c r="CR111" s="662"/>
      <c r="CS111" s="662"/>
      <c r="CT111" s="662"/>
      <c r="CU111" s="662"/>
      <c r="CV111" s="2682"/>
      <c r="CW111" s="2682"/>
      <c r="CX111" s="2682"/>
      <c r="CY111" s="2682"/>
      <c r="DP111" s="495"/>
      <c r="DQ111" s="495"/>
      <c r="DR111" s="495"/>
      <c r="DS111" s="495"/>
      <c r="DT111" s="495"/>
      <c r="DU111" s="495"/>
      <c r="DV111" s="495"/>
      <c r="DW111" s="495"/>
      <c r="DX111" s="495"/>
      <c r="DY111" s="495"/>
      <c r="DZ111" s="495"/>
      <c r="EA111" s="495"/>
      <c r="EB111" s="2658"/>
      <c r="EC111" s="2658"/>
      <c r="ED111" s="2658"/>
      <c r="EE111" s="2658"/>
      <c r="EF111" s="2658"/>
      <c r="EG111" s="2658"/>
      <c r="EH111" s="2658"/>
      <c r="EI111" s="2658"/>
      <c r="EJ111" s="2658"/>
      <c r="EK111" s="2658"/>
      <c r="EL111" s="2658"/>
      <c r="EM111" s="496"/>
      <c r="EN111" s="500"/>
      <c r="EO111" s="505"/>
      <c r="EP111" s="503"/>
      <c r="EQ111" s="503"/>
      <c r="ER111" s="503"/>
      <c r="ES111" s="503"/>
      <c r="ET111" s="503"/>
      <c r="EU111" s="503"/>
      <c r="EV111" s="503"/>
      <c r="EW111" s="503"/>
      <c r="EX111" s="503"/>
      <c r="EY111" s="503"/>
      <c r="EZ111" s="503"/>
      <c r="FA111" s="503"/>
      <c r="FB111" s="503"/>
      <c r="FC111" s="503"/>
      <c r="FD111" s="503"/>
      <c r="FE111" s="503"/>
      <c r="FF111" s="503"/>
      <c r="FG111" s="503"/>
      <c r="FH111" s="503"/>
      <c r="FI111" s="504"/>
      <c r="FJ111" s="2661"/>
      <c r="FK111" s="2662"/>
      <c r="FL111" s="2662"/>
      <c r="FM111" s="2662"/>
      <c r="FN111" s="2662"/>
      <c r="FO111" s="2662"/>
      <c r="FP111" s="2662"/>
      <c r="FQ111" s="2662"/>
      <c r="GE111" s="2676" t="s">
        <v>1952</v>
      </c>
      <c r="GF111" s="2676"/>
      <c r="GG111" s="2676"/>
      <c r="GH111" s="2676"/>
      <c r="GI111" s="2676"/>
      <c r="GJ111" s="2676"/>
      <c r="GK111" s="2676"/>
      <c r="GL111" s="2676"/>
      <c r="GM111" s="2676"/>
      <c r="GN111" s="2676"/>
      <c r="GO111" s="2676"/>
      <c r="GP111" s="2676"/>
      <c r="GQ111" s="2678">
        <v>1</v>
      </c>
      <c r="GR111" s="2678"/>
      <c r="GS111" s="2678"/>
      <c r="GT111" s="2678"/>
      <c r="GU111" s="2678"/>
      <c r="GV111" s="2678"/>
      <c r="GW111" s="2678"/>
      <c r="GX111" s="2678"/>
      <c r="GY111" s="2678"/>
      <c r="GZ111" s="2678"/>
      <c r="HA111" s="2678"/>
      <c r="HB111" s="2676" t="s">
        <v>901</v>
      </c>
      <c r="HC111" s="2676"/>
      <c r="HD111" s="2676"/>
      <c r="HE111" s="2676"/>
      <c r="HF111" s="2677">
        <v>0.9</v>
      </c>
      <c r="HG111" s="2677"/>
      <c r="HH111" s="2677"/>
      <c r="HI111" s="2677"/>
      <c r="HJ111" s="2677"/>
      <c r="HK111" s="2677"/>
      <c r="HL111" s="2677"/>
      <c r="HM111" s="2677"/>
      <c r="HN111" s="2677"/>
      <c r="HO111" s="2677"/>
      <c r="HP111" s="2677"/>
      <c r="HQ111" s="2676" t="s">
        <v>901</v>
      </c>
      <c r="HR111" s="2676"/>
      <c r="HS111" s="2676"/>
      <c r="HT111" s="2676"/>
      <c r="HU111" s="2677">
        <f>HU105</f>
        <v>1.2</v>
      </c>
      <c r="HV111" s="2677"/>
      <c r="HW111" s="2677"/>
      <c r="HX111" s="2677"/>
      <c r="HY111" s="2677"/>
      <c r="HZ111" s="2677"/>
      <c r="IA111" s="2677"/>
      <c r="IB111" s="2677"/>
      <c r="IC111" s="2677"/>
    </row>
    <row r="112" spans="15:237" ht="4.1500000000000004" customHeight="1">
      <c r="O112" s="2682"/>
      <c r="P112" s="2682"/>
      <c r="Q112" s="2682"/>
      <c r="R112" s="2682"/>
      <c r="V112" s="516"/>
      <c r="X112" s="516"/>
      <c r="CI112" s="517"/>
      <c r="CJ112" s="662"/>
      <c r="CK112" s="664"/>
      <c r="CL112" s="662"/>
      <c r="CM112" s="662"/>
      <c r="CN112" s="662"/>
      <c r="CO112" s="662"/>
      <c r="CP112" s="662"/>
      <c r="CQ112" s="663"/>
      <c r="CR112" s="662"/>
      <c r="CS112" s="662"/>
      <c r="CT112" s="662"/>
      <c r="CU112" s="662"/>
      <c r="CV112" s="2682"/>
      <c r="CW112" s="2682"/>
      <c r="CX112" s="2682"/>
      <c r="CY112" s="2682"/>
      <c r="DP112" s="495"/>
      <c r="DQ112" s="495"/>
      <c r="DR112" s="495"/>
      <c r="DS112" s="495"/>
      <c r="DT112" s="495"/>
      <c r="DU112" s="495"/>
      <c r="DV112" s="495"/>
      <c r="DW112" s="495"/>
      <c r="DX112" s="495"/>
      <c r="DY112" s="495"/>
      <c r="DZ112" s="495"/>
      <c r="EA112" s="495"/>
      <c r="EB112" s="495"/>
      <c r="EC112" s="495"/>
      <c r="ED112" s="495"/>
      <c r="EE112" s="495"/>
      <c r="EF112" s="495"/>
      <c r="EG112" s="496"/>
      <c r="EH112" s="496"/>
      <c r="EI112" s="496"/>
      <c r="EJ112" s="496"/>
      <c r="EK112" s="496"/>
      <c r="EL112" s="496"/>
      <c r="EM112" s="496"/>
      <c r="EN112" s="496"/>
      <c r="EO112" s="496"/>
      <c r="EP112" s="496"/>
      <c r="EQ112" s="496"/>
      <c r="ER112" s="496"/>
      <c r="ES112" s="496"/>
      <c r="ET112" s="496"/>
      <c r="EU112" s="496"/>
      <c r="EV112" s="496"/>
      <c r="EW112" s="496"/>
      <c r="EX112" s="496"/>
      <c r="EY112" s="496"/>
      <c r="EZ112" s="496"/>
      <c r="FA112" s="496"/>
      <c r="FB112" s="496"/>
      <c r="FC112" s="496"/>
      <c r="FD112" s="496"/>
      <c r="FE112" s="496"/>
      <c r="FF112" s="496"/>
      <c r="FG112" s="496"/>
      <c r="FH112" s="496"/>
      <c r="FI112" s="496"/>
      <c r="FJ112" s="496"/>
      <c r="FK112" s="496"/>
      <c r="FL112" s="496"/>
      <c r="FM112" s="496"/>
      <c r="FN112" s="496"/>
      <c r="FO112" s="496"/>
      <c r="FP112" s="496"/>
      <c r="FQ112" s="496"/>
      <c r="GE112" s="2676"/>
      <c r="GF112" s="2676"/>
      <c r="GG112" s="2676"/>
      <c r="GH112" s="2676"/>
      <c r="GI112" s="2676"/>
      <c r="GJ112" s="2676"/>
      <c r="GK112" s="2676"/>
      <c r="GL112" s="2676"/>
      <c r="GM112" s="2676"/>
      <c r="GN112" s="2676"/>
      <c r="GO112" s="2676"/>
      <c r="GP112" s="2676"/>
      <c r="GQ112" s="2678"/>
      <c r="GR112" s="2678"/>
      <c r="GS112" s="2678"/>
      <c r="GT112" s="2678"/>
      <c r="GU112" s="2678"/>
      <c r="GV112" s="2678"/>
      <c r="GW112" s="2678"/>
      <c r="GX112" s="2678"/>
      <c r="GY112" s="2678"/>
      <c r="GZ112" s="2678"/>
      <c r="HA112" s="2678"/>
      <c r="HB112" s="2676"/>
      <c r="HC112" s="2676"/>
      <c r="HD112" s="2676"/>
      <c r="HE112" s="2676"/>
      <c r="HF112" s="2677"/>
      <c r="HG112" s="2677"/>
      <c r="HH112" s="2677"/>
      <c r="HI112" s="2677"/>
      <c r="HJ112" s="2677"/>
      <c r="HK112" s="2677"/>
      <c r="HL112" s="2677"/>
      <c r="HM112" s="2677"/>
      <c r="HN112" s="2677"/>
      <c r="HO112" s="2677"/>
      <c r="HP112" s="2677"/>
      <c r="HQ112" s="2676"/>
      <c r="HR112" s="2676"/>
      <c r="HS112" s="2676"/>
      <c r="HT112" s="2676"/>
      <c r="HU112" s="2677"/>
      <c r="HV112" s="2677"/>
      <c r="HW112" s="2677"/>
      <c r="HX112" s="2677"/>
      <c r="HY112" s="2677"/>
      <c r="HZ112" s="2677"/>
      <c r="IA112" s="2677"/>
      <c r="IB112" s="2677"/>
      <c r="IC112" s="2677"/>
    </row>
    <row r="113" spans="15:237" ht="4.1500000000000004" customHeight="1">
      <c r="O113" s="2682"/>
      <c r="P113" s="2682"/>
      <c r="Q113" s="2682"/>
      <c r="R113" s="2682"/>
      <c r="V113" s="516"/>
      <c r="X113" s="516"/>
      <c r="CI113" s="517"/>
      <c r="CJ113" s="662"/>
      <c r="CK113" s="664"/>
      <c r="CL113" s="662"/>
      <c r="CM113" s="662"/>
      <c r="CN113" s="662"/>
      <c r="CO113" s="662"/>
      <c r="CP113" s="662"/>
      <c r="CQ113" s="663"/>
      <c r="CR113" s="662"/>
      <c r="CS113" s="662"/>
      <c r="CT113" s="662"/>
      <c r="CU113" s="662"/>
      <c r="CV113" s="2682"/>
      <c r="CW113" s="2682"/>
      <c r="CX113" s="2682"/>
      <c r="CY113" s="2682"/>
      <c r="DP113" s="495"/>
      <c r="DQ113" s="495"/>
      <c r="DR113" s="495"/>
      <c r="DS113" s="495"/>
      <c r="DT113" s="495"/>
      <c r="DU113" s="495"/>
      <c r="DV113" s="495"/>
      <c r="DW113" s="495"/>
      <c r="DX113" s="495"/>
      <c r="DY113" s="495"/>
      <c r="DZ113" s="495"/>
      <c r="EA113" s="495"/>
      <c r="EB113" s="495"/>
      <c r="EC113" s="495"/>
      <c r="ED113" s="495"/>
      <c r="EE113" s="495"/>
      <c r="EF113" s="495"/>
      <c r="EG113" s="496"/>
      <c r="EH113" s="496"/>
      <c r="EI113" s="496"/>
      <c r="EJ113" s="496"/>
      <c r="EK113" s="496"/>
      <c r="EL113" s="496"/>
      <c r="EM113" s="496"/>
      <c r="EN113" s="496"/>
      <c r="EO113" s="496"/>
      <c r="EP113" s="496"/>
      <c r="EQ113" s="496"/>
      <c r="ER113" s="496"/>
      <c r="ES113" s="496"/>
      <c r="ET113" s="496"/>
      <c r="EU113" s="496"/>
      <c r="EV113" s="496"/>
      <c r="EW113" s="496"/>
      <c r="EX113" s="496"/>
      <c r="EY113" s="496"/>
      <c r="EZ113" s="496"/>
      <c r="FA113" s="496"/>
      <c r="FB113" s="496"/>
      <c r="FC113" s="496"/>
      <c r="FD113" s="496"/>
      <c r="FE113" s="496"/>
      <c r="FF113" s="496"/>
      <c r="FG113" s="496"/>
      <c r="FH113" s="496"/>
      <c r="FI113" s="496"/>
      <c r="FJ113" s="496"/>
      <c r="FK113" s="496"/>
      <c r="FL113" s="496"/>
      <c r="FM113" s="496"/>
      <c r="FN113" s="496"/>
      <c r="FO113" s="496"/>
      <c r="FP113" s="496"/>
      <c r="FQ113" s="496"/>
      <c r="GE113" s="2676"/>
      <c r="GF113" s="2676"/>
      <c r="GG113" s="2676"/>
      <c r="GH113" s="2676"/>
      <c r="GI113" s="2676"/>
      <c r="GJ113" s="2676"/>
      <c r="GK113" s="2676"/>
      <c r="GL113" s="2676"/>
      <c r="GM113" s="2676"/>
      <c r="GN113" s="2676"/>
      <c r="GO113" s="2676"/>
      <c r="GP113" s="2676"/>
      <c r="GQ113" s="2678"/>
      <c r="GR113" s="2678"/>
      <c r="GS113" s="2678"/>
      <c r="GT113" s="2678"/>
      <c r="GU113" s="2678"/>
      <c r="GV113" s="2678"/>
      <c r="GW113" s="2678"/>
      <c r="GX113" s="2678"/>
      <c r="GY113" s="2678"/>
      <c r="GZ113" s="2678"/>
      <c r="HA113" s="2678"/>
      <c r="HB113" s="2676"/>
      <c r="HC113" s="2676"/>
      <c r="HD113" s="2676"/>
      <c r="HE113" s="2676"/>
      <c r="HF113" s="2677"/>
      <c r="HG113" s="2677"/>
      <c r="HH113" s="2677"/>
      <c r="HI113" s="2677"/>
      <c r="HJ113" s="2677"/>
      <c r="HK113" s="2677"/>
      <c r="HL113" s="2677"/>
      <c r="HM113" s="2677"/>
      <c r="HN113" s="2677"/>
      <c r="HO113" s="2677"/>
      <c r="HP113" s="2677"/>
      <c r="HQ113" s="2676"/>
      <c r="HR113" s="2676"/>
      <c r="HS113" s="2676"/>
      <c r="HT113" s="2676"/>
      <c r="HU113" s="2677"/>
      <c r="HV113" s="2677"/>
      <c r="HW113" s="2677"/>
      <c r="HX113" s="2677"/>
      <c r="HY113" s="2677"/>
      <c r="HZ113" s="2677"/>
      <c r="IA113" s="2677"/>
      <c r="IB113" s="2677"/>
      <c r="IC113" s="2677"/>
    </row>
    <row r="114" spans="15:237" ht="4.1500000000000004" customHeight="1">
      <c r="O114" s="2682"/>
      <c r="P114" s="2682"/>
      <c r="Q114" s="2682"/>
      <c r="R114" s="2682"/>
      <c r="V114" s="516"/>
      <c r="X114" s="516"/>
      <c r="CI114" s="517"/>
      <c r="CJ114" s="662"/>
      <c r="CK114" s="664"/>
      <c r="CL114" s="662"/>
      <c r="CM114" s="662"/>
      <c r="CN114" s="662"/>
      <c r="CO114" s="662"/>
      <c r="CP114" s="662"/>
      <c r="CQ114" s="663"/>
      <c r="CR114" s="662"/>
      <c r="CS114" s="662"/>
      <c r="CT114" s="662"/>
      <c r="CU114" s="662"/>
      <c r="CV114" s="2682"/>
      <c r="CW114" s="2682"/>
      <c r="CX114" s="2682"/>
      <c r="CY114" s="2682"/>
      <c r="DP114" s="506"/>
      <c r="DQ114" s="506"/>
      <c r="DR114" s="506"/>
      <c r="DS114" s="506"/>
      <c r="DT114" s="506"/>
      <c r="DU114" s="495"/>
      <c r="DV114" s="495"/>
      <c r="DW114" s="495"/>
      <c r="DX114" s="495"/>
      <c r="DY114" s="507"/>
      <c r="DZ114" s="507"/>
      <c r="EA114" s="507"/>
      <c r="EB114" s="507"/>
      <c r="EC114" s="507"/>
      <c r="ED114" s="507"/>
      <c r="EE114" s="507"/>
      <c r="EF114" s="507"/>
      <c r="EG114" s="507"/>
      <c r="EH114" s="507"/>
      <c r="EI114" s="507"/>
      <c r="EJ114" s="495"/>
      <c r="EK114" s="495"/>
      <c r="EL114" s="495"/>
      <c r="EM114" s="495"/>
      <c r="EN114" s="507"/>
      <c r="EO114" s="2663">
        <f>SUM(EO95:FI97)</f>
        <v>0.89999999999999991</v>
      </c>
      <c r="EP114" s="2664"/>
      <c r="EQ114" s="2664"/>
      <c r="ER114" s="2664"/>
      <c r="ES114" s="2664"/>
      <c r="ET114" s="2664"/>
      <c r="EU114" s="2664"/>
      <c r="EV114" s="2664"/>
      <c r="EW114" s="2664"/>
      <c r="EX114" s="2664"/>
      <c r="EY114" s="2664"/>
      <c r="EZ114" s="2664"/>
      <c r="FA114" s="2664"/>
      <c r="FB114" s="2664"/>
      <c r="FC114" s="2664"/>
      <c r="FD114" s="2664"/>
      <c r="FE114" s="2664"/>
      <c r="FF114" s="2664"/>
      <c r="FG114" s="2664"/>
      <c r="FH114" s="2664"/>
      <c r="FI114" s="2665"/>
      <c r="FJ114" s="495"/>
      <c r="FK114" s="495"/>
      <c r="FL114" s="495"/>
      <c r="FM114" s="495"/>
      <c r="FN114" s="495"/>
      <c r="FO114" s="495"/>
      <c r="FP114" s="495"/>
      <c r="FQ114" s="495"/>
      <c r="GE114" s="2676" t="s">
        <v>1953</v>
      </c>
      <c r="GF114" s="2676"/>
      <c r="GG114" s="2676"/>
      <c r="GH114" s="2676"/>
      <c r="GI114" s="2676"/>
      <c r="GJ114" s="2676"/>
      <c r="GK114" s="2676"/>
      <c r="GL114" s="2676"/>
      <c r="GM114" s="2676"/>
      <c r="GN114" s="2676"/>
      <c r="GO114" s="2676"/>
      <c r="GP114" s="2676"/>
      <c r="GQ114" s="2678">
        <v>2</v>
      </c>
      <c r="GR114" s="2678"/>
      <c r="GS114" s="2678"/>
      <c r="GT114" s="2678"/>
      <c r="GU114" s="2678"/>
      <c r="GV114" s="2678"/>
      <c r="GW114" s="2678"/>
      <c r="GX114" s="2678"/>
      <c r="GY114" s="2678"/>
      <c r="GZ114" s="2678"/>
      <c r="HA114" s="2678"/>
      <c r="HB114" s="2676" t="s">
        <v>901</v>
      </c>
      <c r="HC114" s="2676"/>
      <c r="HD114" s="2676"/>
      <c r="HE114" s="2676"/>
      <c r="HF114" s="2677">
        <f>BM147</f>
        <v>0</v>
      </c>
      <c r="HG114" s="2677"/>
      <c r="HH114" s="2677"/>
      <c r="HI114" s="2677"/>
      <c r="HJ114" s="2677"/>
      <c r="HK114" s="2677"/>
      <c r="HL114" s="2677"/>
      <c r="HM114" s="2677"/>
      <c r="HN114" s="2677"/>
      <c r="HO114" s="2677"/>
      <c r="HP114" s="2677"/>
      <c r="HQ114" s="2676" t="s">
        <v>901</v>
      </c>
      <c r="HR114" s="2676"/>
      <c r="HS114" s="2676"/>
      <c r="HT114" s="2676"/>
      <c r="HU114" s="2677">
        <f>HU108</f>
        <v>2.1</v>
      </c>
      <c r="HV114" s="2677"/>
      <c r="HW114" s="2677"/>
      <c r="HX114" s="2677"/>
      <c r="HY114" s="2677"/>
      <c r="HZ114" s="2677"/>
      <c r="IA114" s="2677"/>
      <c r="IB114" s="2677"/>
      <c r="IC114" s="2677"/>
    </row>
    <row r="115" spans="15:237" ht="4.1500000000000004" customHeight="1">
      <c r="O115" s="2682"/>
      <c r="P115" s="2682"/>
      <c r="Q115" s="2682"/>
      <c r="R115" s="2682"/>
      <c r="V115" s="516"/>
      <c r="X115" s="516"/>
      <c r="CI115" s="517"/>
      <c r="CJ115" s="662"/>
      <c r="CK115" s="664"/>
      <c r="CL115" s="662"/>
      <c r="CM115" s="662"/>
      <c r="CN115" s="662"/>
      <c r="CO115" s="662"/>
      <c r="CP115" s="662"/>
      <c r="CQ115" s="663"/>
      <c r="CR115" s="662"/>
      <c r="CS115" s="662"/>
      <c r="CT115" s="662"/>
      <c r="CU115" s="662"/>
      <c r="CV115" s="662"/>
      <c r="CW115" s="662"/>
      <c r="CX115" s="663"/>
      <c r="CY115" s="662"/>
      <c r="DP115" s="506"/>
      <c r="DQ115" s="506"/>
      <c r="DR115" s="506"/>
      <c r="DS115" s="506"/>
      <c r="DT115" s="506"/>
      <c r="DU115" s="495"/>
      <c r="DV115" s="495"/>
      <c r="DW115" s="495"/>
      <c r="DX115" s="495"/>
      <c r="DY115" s="507"/>
      <c r="DZ115" s="507"/>
      <c r="EA115" s="507"/>
      <c r="EB115" s="507"/>
      <c r="EC115" s="507"/>
      <c r="ED115" s="507"/>
      <c r="EE115" s="507"/>
      <c r="EF115" s="507"/>
      <c r="EG115" s="507"/>
      <c r="EH115" s="507"/>
      <c r="EI115" s="507"/>
      <c r="EJ115" s="495"/>
      <c r="EK115" s="495"/>
      <c r="EL115" s="495"/>
      <c r="EM115" s="495"/>
      <c r="EN115" s="507"/>
      <c r="EO115" s="2663"/>
      <c r="EP115" s="2664"/>
      <c r="EQ115" s="2664"/>
      <c r="ER115" s="2664"/>
      <c r="ES115" s="2664"/>
      <c r="ET115" s="2664"/>
      <c r="EU115" s="2664"/>
      <c r="EV115" s="2664"/>
      <c r="EW115" s="2664"/>
      <c r="EX115" s="2664"/>
      <c r="EY115" s="2664"/>
      <c r="EZ115" s="2664"/>
      <c r="FA115" s="2664"/>
      <c r="FB115" s="2664"/>
      <c r="FC115" s="2664"/>
      <c r="FD115" s="2664"/>
      <c r="FE115" s="2664"/>
      <c r="FF115" s="2664"/>
      <c r="FG115" s="2664"/>
      <c r="FH115" s="2664"/>
      <c r="FI115" s="2665"/>
      <c r="FJ115" s="495"/>
      <c r="FK115" s="495"/>
      <c r="FL115" s="495"/>
      <c r="FM115" s="495"/>
      <c r="FN115" s="495"/>
      <c r="FO115" s="495"/>
      <c r="FP115" s="495"/>
      <c r="FQ115" s="495"/>
      <c r="GE115" s="2676"/>
      <c r="GF115" s="2676"/>
      <c r="GG115" s="2676"/>
      <c r="GH115" s="2676"/>
      <c r="GI115" s="2676"/>
      <c r="GJ115" s="2676"/>
      <c r="GK115" s="2676"/>
      <c r="GL115" s="2676"/>
      <c r="GM115" s="2676"/>
      <c r="GN115" s="2676"/>
      <c r="GO115" s="2676"/>
      <c r="GP115" s="2676"/>
      <c r="GQ115" s="2678"/>
      <c r="GR115" s="2678"/>
      <c r="GS115" s="2678"/>
      <c r="GT115" s="2678"/>
      <c r="GU115" s="2678"/>
      <c r="GV115" s="2678"/>
      <c r="GW115" s="2678"/>
      <c r="GX115" s="2678"/>
      <c r="GY115" s="2678"/>
      <c r="GZ115" s="2678"/>
      <c r="HA115" s="2678"/>
      <c r="HB115" s="2676"/>
      <c r="HC115" s="2676"/>
      <c r="HD115" s="2676"/>
      <c r="HE115" s="2676"/>
      <c r="HF115" s="2677"/>
      <c r="HG115" s="2677"/>
      <c r="HH115" s="2677"/>
      <c r="HI115" s="2677"/>
      <c r="HJ115" s="2677"/>
      <c r="HK115" s="2677"/>
      <c r="HL115" s="2677"/>
      <c r="HM115" s="2677"/>
      <c r="HN115" s="2677"/>
      <c r="HO115" s="2677"/>
      <c r="HP115" s="2677"/>
      <c r="HQ115" s="2676"/>
      <c r="HR115" s="2676"/>
      <c r="HS115" s="2676"/>
      <c r="HT115" s="2676"/>
      <c r="HU115" s="2677"/>
      <c r="HV115" s="2677"/>
      <c r="HW115" s="2677"/>
      <c r="HX115" s="2677"/>
      <c r="HY115" s="2677"/>
      <c r="HZ115" s="2677"/>
      <c r="IA115" s="2677"/>
      <c r="IB115" s="2677"/>
      <c r="IC115" s="2677"/>
    </row>
    <row r="116" spans="15:237" ht="4.1500000000000004" customHeight="1">
      <c r="Q116" s="516"/>
      <c r="V116" s="516"/>
      <c r="X116" s="516"/>
      <c r="CI116" s="517"/>
      <c r="CJ116" s="662"/>
      <c r="CK116" s="664"/>
      <c r="CL116" s="662"/>
      <c r="CM116" s="662"/>
      <c r="CN116" s="662"/>
      <c r="CO116" s="662"/>
      <c r="CP116" s="662"/>
      <c r="CQ116" s="663"/>
      <c r="CR116" s="662"/>
      <c r="CS116" s="662"/>
      <c r="CT116" s="662"/>
      <c r="CU116" s="662"/>
      <c r="CV116" s="662"/>
      <c r="CW116" s="662"/>
      <c r="CX116" s="663"/>
      <c r="CY116" s="662"/>
      <c r="DP116" s="506"/>
      <c r="DQ116" s="506"/>
      <c r="DR116" s="506"/>
      <c r="DS116" s="506"/>
      <c r="DT116" s="506"/>
      <c r="DU116" s="495"/>
      <c r="DV116" s="495"/>
      <c r="DW116" s="495"/>
      <c r="DX116" s="495"/>
      <c r="DY116" s="507"/>
      <c r="DZ116" s="507"/>
      <c r="EA116" s="507"/>
      <c r="EB116" s="507"/>
      <c r="EC116" s="507"/>
      <c r="ED116" s="507"/>
      <c r="EE116" s="507"/>
      <c r="EF116" s="507"/>
      <c r="EG116" s="507"/>
      <c r="EH116" s="507"/>
      <c r="EI116" s="507"/>
      <c r="EJ116" s="495"/>
      <c r="EK116" s="495"/>
      <c r="EL116" s="495"/>
      <c r="EM116" s="495"/>
      <c r="EN116" s="507"/>
      <c r="EO116" s="2663"/>
      <c r="EP116" s="2664"/>
      <c r="EQ116" s="2664"/>
      <c r="ER116" s="2664"/>
      <c r="ES116" s="2664"/>
      <c r="ET116" s="2664"/>
      <c r="EU116" s="2664"/>
      <c r="EV116" s="2664"/>
      <c r="EW116" s="2664"/>
      <c r="EX116" s="2664"/>
      <c r="EY116" s="2664"/>
      <c r="EZ116" s="2664"/>
      <c r="FA116" s="2664"/>
      <c r="FB116" s="2664"/>
      <c r="FC116" s="2664"/>
      <c r="FD116" s="2664"/>
      <c r="FE116" s="2664"/>
      <c r="FF116" s="2664"/>
      <c r="FG116" s="2664"/>
      <c r="FH116" s="2664"/>
      <c r="FI116" s="2665"/>
      <c r="FJ116" s="495"/>
      <c r="FK116" s="495"/>
      <c r="FL116" s="495"/>
      <c r="FM116" s="495"/>
      <c r="FN116" s="495"/>
      <c r="FO116" s="495"/>
      <c r="FP116" s="495"/>
      <c r="FQ116" s="495"/>
      <c r="GE116" s="2676"/>
      <c r="GF116" s="2676"/>
      <c r="GG116" s="2676"/>
      <c r="GH116" s="2676"/>
      <c r="GI116" s="2676"/>
      <c r="GJ116" s="2676"/>
      <c r="GK116" s="2676"/>
      <c r="GL116" s="2676"/>
      <c r="GM116" s="2676"/>
      <c r="GN116" s="2676"/>
      <c r="GO116" s="2676"/>
      <c r="GP116" s="2676"/>
      <c r="GQ116" s="2678"/>
      <c r="GR116" s="2678"/>
      <c r="GS116" s="2678"/>
      <c r="GT116" s="2678"/>
      <c r="GU116" s="2678"/>
      <c r="GV116" s="2678"/>
      <c r="GW116" s="2678"/>
      <c r="GX116" s="2678"/>
      <c r="GY116" s="2678"/>
      <c r="GZ116" s="2678"/>
      <c r="HA116" s="2678"/>
      <c r="HB116" s="2676"/>
      <c r="HC116" s="2676"/>
      <c r="HD116" s="2676"/>
      <c r="HE116" s="2676"/>
      <c r="HF116" s="2677"/>
      <c r="HG116" s="2677"/>
      <c r="HH116" s="2677"/>
      <c r="HI116" s="2677"/>
      <c r="HJ116" s="2677"/>
      <c r="HK116" s="2677"/>
      <c r="HL116" s="2677"/>
      <c r="HM116" s="2677"/>
      <c r="HN116" s="2677"/>
      <c r="HO116" s="2677"/>
      <c r="HP116" s="2677"/>
      <c r="HQ116" s="2676"/>
      <c r="HR116" s="2676"/>
      <c r="HS116" s="2676"/>
      <c r="HT116" s="2676"/>
      <c r="HU116" s="2677"/>
      <c r="HV116" s="2677"/>
      <c r="HW116" s="2677"/>
      <c r="HX116" s="2677"/>
      <c r="HY116" s="2677"/>
      <c r="HZ116" s="2677"/>
      <c r="IA116" s="2677"/>
      <c r="IB116" s="2677"/>
      <c r="IC116" s="2677"/>
    </row>
    <row r="117" spans="15:237" ht="4.1500000000000004" customHeight="1">
      <c r="Q117" s="516"/>
      <c r="V117" s="516"/>
      <c r="X117" s="516"/>
      <c r="CI117" s="517"/>
      <c r="CJ117" s="662"/>
      <c r="CK117" s="664"/>
      <c r="CL117" s="662"/>
      <c r="CM117" s="662"/>
      <c r="CN117" s="662"/>
      <c r="CO117" s="662"/>
      <c r="CP117" s="662"/>
      <c r="CQ117" s="663"/>
      <c r="CR117" s="662"/>
      <c r="CS117" s="662"/>
      <c r="CT117" s="662"/>
      <c r="CU117" s="662"/>
      <c r="CV117" s="662"/>
      <c r="CW117" s="662"/>
      <c r="CX117" s="663"/>
      <c r="CY117" s="662"/>
      <c r="GE117" s="2676" t="s">
        <v>3009</v>
      </c>
      <c r="GF117" s="2676"/>
      <c r="GG117" s="2676"/>
      <c r="GH117" s="2676"/>
      <c r="GI117" s="2676"/>
      <c r="GJ117" s="2676"/>
      <c r="GK117" s="2676"/>
      <c r="GL117" s="2676"/>
      <c r="GM117" s="2676"/>
      <c r="GN117" s="2676"/>
      <c r="GO117" s="2676"/>
      <c r="GP117" s="2676"/>
      <c r="GQ117" s="2678">
        <v>2</v>
      </c>
      <c r="GR117" s="2678"/>
      <c r="GS117" s="2678"/>
      <c r="GT117" s="2678"/>
      <c r="GU117" s="2678"/>
      <c r="GV117" s="2678"/>
      <c r="GW117" s="2678"/>
      <c r="GX117" s="2678"/>
      <c r="GY117" s="2678"/>
      <c r="GZ117" s="2678"/>
      <c r="HA117" s="2678"/>
      <c r="HB117" s="2676" t="s">
        <v>901</v>
      </c>
      <c r="HC117" s="2676"/>
      <c r="HD117" s="2676"/>
      <c r="HE117" s="2676"/>
      <c r="HF117" s="2677">
        <f>BM150</f>
        <v>0</v>
      </c>
      <c r="HG117" s="2677"/>
      <c r="HH117" s="2677"/>
      <c r="HI117" s="2677"/>
      <c r="HJ117" s="2677"/>
      <c r="HK117" s="2677"/>
      <c r="HL117" s="2677"/>
      <c r="HM117" s="2677"/>
      <c r="HN117" s="2677"/>
      <c r="HO117" s="2677"/>
      <c r="HP117" s="2677"/>
      <c r="HQ117" s="2676" t="s">
        <v>901</v>
      </c>
      <c r="HR117" s="2676"/>
      <c r="HS117" s="2676"/>
      <c r="HT117" s="2676"/>
      <c r="HU117" s="2677">
        <f>HU111</f>
        <v>1.2</v>
      </c>
      <c r="HV117" s="2677"/>
      <c r="HW117" s="2677"/>
      <c r="HX117" s="2677"/>
      <c r="HY117" s="2677"/>
      <c r="HZ117" s="2677"/>
      <c r="IA117" s="2677"/>
      <c r="IB117" s="2677"/>
      <c r="IC117" s="2677"/>
    </row>
    <row r="118" spans="15:237" ht="4.1500000000000004" customHeight="1">
      <c r="Q118" s="516"/>
      <c r="V118" s="516"/>
      <c r="X118" s="516"/>
      <c r="CI118" s="517"/>
      <c r="CJ118" s="662"/>
      <c r="CK118" s="664"/>
      <c r="CL118" s="662"/>
      <c r="CM118" s="662"/>
      <c r="CN118" s="662"/>
      <c r="CO118" s="662"/>
      <c r="CP118" s="662"/>
      <c r="CQ118" s="663"/>
      <c r="CR118" s="662"/>
      <c r="CS118" s="662"/>
      <c r="CT118" s="662"/>
      <c r="CU118" s="662"/>
      <c r="CV118" s="662"/>
      <c r="CW118" s="662"/>
      <c r="CX118" s="663"/>
      <c r="CY118" s="662"/>
      <c r="GE118" s="2676"/>
      <c r="GF118" s="2676"/>
      <c r="GG118" s="2676"/>
      <c r="GH118" s="2676"/>
      <c r="GI118" s="2676"/>
      <c r="GJ118" s="2676"/>
      <c r="GK118" s="2676"/>
      <c r="GL118" s="2676"/>
      <c r="GM118" s="2676"/>
      <c r="GN118" s="2676"/>
      <c r="GO118" s="2676"/>
      <c r="GP118" s="2676"/>
      <c r="GQ118" s="2678"/>
      <c r="GR118" s="2678"/>
      <c r="GS118" s="2678"/>
      <c r="GT118" s="2678"/>
      <c r="GU118" s="2678"/>
      <c r="GV118" s="2678"/>
      <c r="GW118" s="2678"/>
      <c r="GX118" s="2678"/>
      <c r="GY118" s="2678"/>
      <c r="GZ118" s="2678"/>
      <c r="HA118" s="2678"/>
      <c r="HB118" s="2676"/>
      <c r="HC118" s="2676"/>
      <c r="HD118" s="2676"/>
      <c r="HE118" s="2676"/>
      <c r="HF118" s="2677"/>
      <c r="HG118" s="2677"/>
      <c r="HH118" s="2677"/>
      <c r="HI118" s="2677"/>
      <c r="HJ118" s="2677"/>
      <c r="HK118" s="2677"/>
      <c r="HL118" s="2677"/>
      <c r="HM118" s="2677"/>
      <c r="HN118" s="2677"/>
      <c r="HO118" s="2677"/>
      <c r="HP118" s="2677"/>
      <c r="HQ118" s="2676"/>
      <c r="HR118" s="2676"/>
      <c r="HS118" s="2676"/>
      <c r="HT118" s="2676"/>
      <c r="HU118" s="2677"/>
      <c r="HV118" s="2677"/>
      <c r="HW118" s="2677"/>
      <c r="HX118" s="2677"/>
      <c r="HY118" s="2677"/>
      <c r="HZ118" s="2677"/>
      <c r="IA118" s="2677"/>
      <c r="IB118" s="2677"/>
      <c r="IC118" s="2677"/>
    </row>
    <row r="119" spans="15:237" ht="4.1500000000000004" customHeight="1">
      <c r="Q119" s="516"/>
      <c r="V119" s="516"/>
      <c r="X119" s="516"/>
      <c r="CI119" s="517"/>
      <c r="CJ119" s="662"/>
      <c r="CK119" s="664"/>
      <c r="CL119" s="662"/>
      <c r="CM119" s="662"/>
      <c r="CN119" s="662"/>
      <c r="CO119" s="662"/>
      <c r="CP119" s="662"/>
      <c r="CQ119" s="663"/>
      <c r="CR119" s="662"/>
      <c r="CS119" s="662"/>
      <c r="CT119" s="662"/>
      <c r="CU119" s="662"/>
      <c r="CV119" s="662"/>
      <c r="CW119" s="662"/>
      <c r="CX119" s="663"/>
      <c r="CY119" s="662"/>
      <c r="GE119" s="2676"/>
      <c r="GF119" s="2676"/>
      <c r="GG119" s="2676"/>
      <c r="GH119" s="2676"/>
      <c r="GI119" s="2676"/>
      <c r="GJ119" s="2676"/>
      <c r="GK119" s="2676"/>
      <c r="GL119" s="2676"/>
      <c r="GM119" s="2676"/>
      <c r="GN119" s="2676"/>
      <c r="GO119" s="2676"/>
      <c r="GP119" s="2676"/>
      <c r="GQ119" s="2678"/>
      <c r="GR119" s="2678"/>
      <c r="GS119" s="2678"/>
      <c r="GT119" s="2678"/>
      <c r="GU119" s="2678"/>
      <c r="GV119" s="2678"/>
      <c r="GW119" s="2678"/>
      <c r="GX119" s="2678"/>
      <c r="GY119" s="2678"/>
      <c r="GZ119" s="2678"/>
      <c r="HA119" s="2678"/>
      <c r="HB119" s="2676"/>
      <c r="HC119" s="2676"/>
      <c r="HD119" s="2676"/>
      <c r="HE119" s="2676"/>
      <c r="HF119" s="2677"/>
      <c r="HG119" s="2677"/>
      <c r="HH119" s="2677"/>
      <c r="HI119" s="2677"/>
      <c r="HJ119" s="2677"/>
      <c r="HK119" s="2677"/>
      <c r="HL119" s="2677"/>
      <c r="HM119" s="2677"/>
      <c r="HN119" s="2677"/>
      <c r="HO119" s="2677"/>
      <c r="HP119" s="2677"/>
      <c r="HQ119" s="2676"/>
      <c r="HR119" s="2676"/>
      <c r="HS119" s="2676"/>
      <c r="HT119" s="2676"/>
      <c r="HU119" s="2677"/>
      <c r="HV119" s="2677"/>
      <c r="HW119" s="2677"/>
      <c r="HX119" s="2677"/>
      <c r="HY119" s="2677"/>
      <c r="HZ119" s="2677"/>
      <c r="IA119" s="2677"/>
      <c r="IB119" s="2677"/>
      <c r="IC119" s="2677"/>
    </row>
    <row r="120" spans="15:237" ht="4.1500000000000004" customHeight="1">
      <c r="Q120" s="516"/>
      <c r="V120" s="516"/>
      <c r="X120" s="516"/>
      <c r="CI120" s="517"/>
      <c r="CJ120" s="662"/>
      <c r="CK120" s="664"/>
      <c r="CL120" s="662"/>
      <c r="CM120" s="662"/>
      <c r="CN120" s="662"/>
      <c r="CO120" s="662"/>
      <c r="CP120" s="662"/>
      <c r="CQ120" s="663"/>
      <c r="CR120" s="662"/>
      <c r="CS120" s="662"/>
      <c r="CT120" s="662"/>
      <c r="CU120" s="662"/>
      <c r="CV120" s="662"/>
      <c r="CW120" s="662"/>
      <c r="CX120" s="663"/>
      <c r="CY120" s="662"/>
      <c r="GE120" s="2676" t="s">
        <v>1954</v>
      </c>
      <c r="GF120" s="2676"/>
      <c r="GG120" s="2676"/>
      <c r="GH120" s="2676"/>
      <c r="GI120" s="2676"/>
      <c r="GJ120" s="2676"/>
      <c r="GK120" s="2676"/>
      <c r="GL120" s="2676"/>
      <c r="GM120" s="2676"/>
      <c r="GN120" s="2676"/>
      <c r="GO120" s="2676"/>
      <c r="GP120" s="2676"/>
      <c r="GQ120" s="2678">
        <v>2</v>
      </c>
      <c r="GR120" s="2678"/>
      <c r="GS120" s="2678"/>
      <c r="GT120" s="2678"/>
      <c r="GU120" s="2678"/>
      <c r="GV120" s="2678"/>
      <c r="GW120" s="2678"/>
      <c r="GX120" s="2678"/>
      <c r="GY120" s="2678"/>
      <c r="GZ120" s="2678"/>
      <c r="HA120" s="2678"/>
      <c r="HB120" s="2676" t="s">
        <v>901</v>
      </c>
      <c r="HC120" s="2676"/>
      <c r="HD120" s="2676"/>
      <c r="HE120" s="2676"/>
      <c r="HF120" s="2677">
        <f>BM153</f>
        <v>0</v>
      </c>
      <c r="HG120" s="2677"/>
      <c r="HH120" s="2677"/>
      <c r="HI120" s="2677"/>
      <c r="HJ120" s="2677"/>
      <c r="HK120" s="2677"/>
      <c r="HL120" s="2677"/>
      <c r="HM120" s="2677"/>
      <c r="HN120" s="2677"/>
      <c r="HO120" s="2677"/>
      <c r="HP120" s="2677"/>
      <c r="HQ120" s="2676" t="s">
        <v>901</v>
      </c>
      <c r="HR120" s="2676"/>
      <c r="HS120" s="2676"/>
      <c r="HT120" s="2676"/>
      <c r="HU120" s="2677">
        <f>HU114</f>
        <v>2.1</v>
      </c>
      <c r="HV120" s="2677"/>
      <c r="HW120" s="2677"/>
      <c r="HX120" s="2677"/>
      <c r="HY120" s="2677"/>
      <c r="HZ120" s="2677"/>
      <c r="IA120" s="2677"/>
      <c r="IB120" s="2677"/>
      <c r="IC120" s="2677"/>
    </row>
    <row r="121" spans="15:237" ht="4.1500000000000004" customHeight="1">
      <c r="Q121" s="516"/>
      <c r="V121" s="516"/>
      <c r="X121" s="530"/>
      <c r="AI121" s="532"/>
      <c r="AJ121" s="532"/>
      <c r="AK121" s="532"/>
      <c r="AL121" s="532"/>
      <c r="AM121" s="532"/>
      <c r="AN121" s="532"/>
      <c r="AO121" s="532"/>
      <c r="AP121" s="532"/>
      <c r="AQ121" s="532"/>
      <c r="AR121" s="532"/>
      <c r="AS121" s="532"/>
      <c r="AT121" s="532"/>
      <c r="AU121" s="532"/>
      <c r="AV121" s="532"/>
      <c r="AW121" s="532"/>
      <c r="AX121" s="532"/>
      <c r="AY121" s="532"/>
      <c r="AZ121" s="532"/>
      <c r="BA121" s="532"/>
      <c r="BB121" s="532"/>
      <c r="BC121" s="532"/>
      <c r="BD121" s="532"/>
      <c r="BE121" s="532"/>
      <c r="BF121" s="532"/>
      <c r="BG121" s="532"/>
      <c r="BH121" s="532"/>
      <c r="BI121" s="532"/>
      <c r="BJ121" s="532"/>
      <c r="BK121" s="532"/>
      <c r="BL121" s="532"/>
      <c r="BM121" s="532"/>
      <c r="BN121" s="532"/>
      <c r="BO121" s="532"/>
      <c r="BP121" s="532"/>
      <c r="BQ121" s="532"/>
      <c r="BR121" s="532"/>
      <c r="BS121" s="532"/>
      <c r="BT121" s="532"/>
      <c r="BU121" s="532"/>
      <c r="BV121" s="532"/>
      <c r="BW121" s="532"/>
      <c r="BX121" s="532"/>
      <c r="BY121" s="532"/>
      <c r="BZ121" s="532"/>
      <c r="CA121" s="532"/>
      <c r="CB121" s="532"/>
      <c r="CC121" s="532"/>
      <c r="CD121" s="532"/>
      <c r="CE121" s="532"/>
      <c r="CF121" s="532"/>
      <c r="CG121" s="532"/>
      <c r="CH121" s="532"/>
      <c r="CI121" s="531"/>
      <c r="CJ121" s="662"/>
      <c r="CK121" s="664"/>
      <c r="CL121" s="662"/>
      <c r="CM121" s="662"/>
      <c r="CN121" s="662"/>
      <c r="CO121" s="662"/>
      <c r="CP121" s="662"/>
      <c r="CQ121" s="663"/>
      <c r="CR121" s="662"/>
      <c r="CS121" s="662"/>
      <c r="CT121" s="662"/>
      <c r="CU121" s="662"/>
      <c r="CV121" s="662"/>
      <c r="CW121" s="662"/>
      <c r="CX121" s="663"/>
      <c r="CY121" s="662"/>
      <c r="GE121" s="2676"/>
      <c r="GF121" s="2676"/>
      <c r="GG121" s="2676"/>
      <c r="GH121" s="2676"/>
      <c r="GI121" s="2676"/>
      <c r="GJ121" s="2676"/>
      <c r="GK121" s="2676"/>
      <c r="GL121" s="2676"/>
      <c r="GM121" s="2676"/>
      <c r="GN121" s="2676"/>
      <c r="GO121" s="2676"/>
      <c r="GP121" s="2676"/>
      <c r="GQ121" s="2678"/>
      <c r="GR121" s="2678"/>
      <c r="GS121" s="2678"/>
      <c r="GT121" s="2678"/>
      <c r="GU121" s="2678"/>
      <c r="GV121" s="2678"/>
      <c r="GW121" s="2678"/>
      <c r="GX121" s="2678"/>
      <c r="GY121" s="2678"/>
      <c r="GZ121" s="2678"/>
      <c r="HA121" s="2678"/>
      <c r="HB121" s="2676"/>
      <c r="HC121" s="2676"/>
      <c r="HD121" s="2676"/>
      <c r="HE121" s="2676"/>
      <c r="HF121" s="2677"/>
      <c r="HG121" s="2677"/>
      <c r="HH121" s="2677"/>
      <c r="HI121" s="2677"/>
      <c r="HJ121" s="2677"/>
      <c r="HK121" s="2677"/>
      <c r="HL121" s="2677"/>
      <c r="HM121" s="2677"/>
      <c r="HN121" s="2677"/>
      <c r="HO121" s="2677"/>
      <c r="HP121" s="2677"/>
      <c r="HQ121" s="2676"/>
      <c r="HR121" s="2676"/>
      <c r="HS121" s="2676"/>
      <c r="HT121" s="2676"/>
      <c r="HU121" s="2677"/>
      <c r="HV121" s="2677"/>
      <c r="HW121" s="2677"/>
      <c r="HX121" s="2677"/>
      <c r="HY121" s="2677"/>
      <c r="HZ121" s="2677"/>
      <c r="IA121" s="2677"/>
      <c r="IB121" s="2677"/>
      <c r="IC121" s="2677"/>
    </row>
    <row r="122" spans="15:237" ht="4.1500000000000004" customHeight="1">
      <c r="Q122" s="516"/>
      <c r="V122" s="516"/>
      <c r="Y122" s="530"/>
      <c r="Z122" s="532"/>
      <c r="AA122" s="532"/>
      <c r="AB122" s="532"/>
      <c r="AC122" s="532"/>
      <c r="AD122" s="532"/>
      <c r="AE122" s="532"/>
      <c r="AF122" s="532"/>
      <c r="AG122" s="532"/>
      <c r="AH122" s="531"/>
      <c r="CJ122" s="662"/>
      <c r="CK122" s="664"/>
      <c r="CL122" s="662"/>
      <c r="CM122" s="662"/>
      <c r="CN122" s="662"/>
      <c r="CO122" s="665"/>
      <c r="CP122" s="665"/>
      <c r="CQ122" s="666"/>
      <c r="CR122" s="665"/>
      <c r="CS122" s="662"/>
      <c r="CT122" s="662"/>
      <c r="CU122" s="662"/>
      <c r="CV122" s="662"/>
      <c r="CW122" s="662"/>
      <c r="CX122" s="663"/>
      <c r="CY122" s="662"/>
      <c r="GE122" s="2676"/>
      <c r="GF122" s="2676"/>
      <c r="GG122" s="2676"/>
      <c r="GH122" s="2676"/>
      <c r="GI122" s="2676"/>
      <c r="GJ122" s="2676"/>
      <c r="GK122" s="2676"/>
      <c r="GL122" s="2676"/>
      <c r="GM122" s="2676"/>
      <c r="GN122" s="2676"/>
      <c r="GO122" s="2676"/>
      <c r="GP122" s="2676"/>
      <c r="GQ122" s="2678"/>
      <c r="GR122" s="2678"/>
      <c r="GS122" s="2678"/>
      <c r="GT122" s="2678"/>
      <c r="GU122" s="2678"/>
      <c r="GV122" s="2678"/>
      <c r="GW122" s="2678"/>
      <c r="GX122" s="2678"/>
      <c r="GY122" s="2678"/>
      <c r="GZ122" s="2678"/>
      <c r="HA122" s="2678"/>
      <c r="HB122" s="2676"/>
      <c r="HC122" s="2676"/>
      <c r="HD122" s="2676"/>
      <c r="HE122" s="2676"/>
      <c r="HF122" s="2677"/>
      <c r="HG122" s="2677"/>
      <c r="HH122" s="2677"/>
      <c r="HI122" s="2677"/>
      <c r="HJ122" s="2677"/>
      <c r="HK122" s="2677"/>
      <c r="HL122" s="2677"/>
      <c r="HM122" s="2677"/>
      <c r="HN122" s="2677"/>
      <c r="HO122" s="2677"/>
      <c r="HP122" s="2677"/>
      <c r="HQ122" s="2676"/>
      <c r="HR122" s="2676"/>
      <c r="HS122" s="2676"/>
      <c r="HT122" s="2676"/>
      <c r="HU122" s="2677"/>
      <c r="HV122" s="2677"/>
      <c r="HW122" s="2677"/>
      <c r="HX122" s="2677"/>
      <c r="HY122" s="2677"/>
      <c r="HZ122" s="2677"/>
      <c r="IA122" s="2677"/>
      <c r="IB122" s="2677"/>
      <c r="IC122" s="2677"/>
    </row>
    <row r="123" spans="15:237" ht="4.1500000000000004" customHeight="1">
      <c r="Q123" s="516"/>
      <c r="V123" s="516"/>
      <c r="X123" s="532"/>
      <c r="Y123" s="516"/>
      <c r="AH123" s="517"/>
      <c r="AI123" s="532"/>
      <c r="AJ123" s="532"/>
      <c r="AK123" s="532"/>
      <c r="AL123" s="532"/>
      <c r="AM123" s="532"/>
      <c r="AN123" s="532"/>
      <c r="AO123" s="532"/>
      <c r="AP123" s="532"/>
      <c r="AQ123" s="532"/>
      <c r="AR123" s="532"/>
      <c r="AS123" s="532"/>
      <c r="AT123" s="532"/>
      <c r="AU123" s="532"/>
      <c r="AV123" s="532"/>
      <c r="AW123" s="532"/>
      <c r="AX123" s="532"/>
      <c r="AY123" s="532"/>
      <c r="AZ123" s="532"/>
      <c r="BA123" s="532"/>
      <c r="BB123" s="532"/>
      <c r="BC123" s="532"/>
      <c r="BD123" s="532"/>
      <c r="BE123" s="532"/>
      <c r="BF123" s="532"/>
      <c r="BG123" s="532"/>
      <c r="BH123" s="532"/>
      <c r="BI123" s="532"/>
      <c r="BJ123" s="532"/>
      <c r="BK123" s="532"/>
      <c r="BL123" s="532"/>
      <c r="BM123" s="532"/>
      <c r="BN123" s="532"/>
      <c r="BO123" s="532"/>
      <c r="BP123" s="532"/>
      <c r="BQ123" s="532"/>
      <c r="BR123" s="532"/>
      <c r="BS123" s="532"/>
      <c r="BT123" s="532"/>
      <c r="BU123" s="532"/>
      <c r="BV123" s="532"/>
      <c r="BW123" s="532"/>
      <c r="BX123" s="532"/>
      <c r="BY123" s="532"/>
      <c r="BZ123" s="532"/>
      <c r="CA123" s="532"/>
      <c r="CB123" s="532"/>
      <c r="CC123" s="532"/>
      <c r="CD123" s="532"/>
      <c r="CE123" s="532"/>
      <c r="CF123" s="532"/>
      <c r="CG123" s="532"/>
      <c r="CH123" s="532"/>
      <c r="CI123" s="532"/>
      <c r="CJ123" s="662"/>
      <c r="CK123" s="664"/>
      <c r="CL123" s="662"/>
      <c r="CM123" s="662"/>
      <c r="CN123" s="662"/>
      <c r="CO123" s="667"/>
      <c r="CP123" s="667"/>
      <c r="CQ123" s="668"/>
      <c r="CR123" s="667"/>
      <c r="CS123" s="662"/>
      <c r="CT123" s="662"/>
      <c r="CU123" s="662"/>
      <c r="CV123" s="662"/>
      <c r="CW123" s="662"/>
      <c r="CX123" s="663"/>
      <c r="CY123" s="662"/>
      <c r="GE123" s="2676" t="s">
        <v>1877</v>
      </c>
      <c r="GF123" s="2676"/>
      <c r="GG123" s="2676"/>
      <c r="GH123" s="2676"/>
      <c r="GI123" s="2676"/>
      <c r="GJ123" s="2676"/>
      <c r="GK123" s="2676"/>
      <c r="GL123" s="2676"/>
      <c r="GM123" s="2676"/>
      <c r="GN123" s="2676"/>
      <c r="GO123" s="2676"/>
      <c r="GP123" s="2676"/>
      <c r="GQ123" s="2678">
        <v>2</v>
      </c>
      <c r="GR123" s="2678"/>
      <c r="GS123" s="2678"/>
      <c r="GT123" s="2678"/>
      <c r="GU123" s="2678"/>
      <c r="GV123" s="2678"/>
      <c r="GW123" s="2678"/>
      <c r="GX123" s="2678"/>
      <c r="GY123" s="2678"/>
      <c r="GZ123" s="2678"/>
      <c r="HA123" s="2678"/>
      <c r="HB123" s="2676" t="s">
        <v>901</v>
      </c>
      <c r="HC123" s="2676"/>
      <c r="HD123" s="2676"/>
      <c r="HE123" s="2676"/>
      <c r="HF123" s="2677">
        <f>BM156</f>
        <v>0</v>
      </c>
      <c r="HG123" s="2677"/>
      <c r="HH123" s="2677"/>
      <c r="HI123" s="2677"/>
      <c r="HJ123" s="2677"/>
      <c r="HK123" s="2677"/>
      <c r="HL123" s="2677"/>
      <c r="HM123" s="2677"/>
      <c r="HN123" s="2677"/>
      <c r="HO123" s="2677"/>
      <c r="HP123" s="2677"/>
      <c r="HQ123" s="2676" t="s">
        <v>901</v>
      </c>
      <c r="HR123" s="2676"/>
      <c r="HS123" s="2676"/>
      <c r="HT123" s="2676"/>
      <c r="HU123" s="2677">
        <f>HU117</f>
        <v>1.2</v>
      </c>
      <c r="HV123" s="2677"/>
      <c r="HW123" s="2677"/>
      <c r="HX123" s="2677"/>
      <c r="HY123" s="2677"/>
      <c r="HZ123" s="2677"/>
      <c r="IA123" s="2677"/>
      <c r="IB123" s="2677"/>
      <c r="IC123" s="2677"/>
    </row>
    <row r="124" spans="15:237" ht="4.1500000000000004" customHeight="1">
      <c r="Q124" s="516"/>
      <c r="V124" s="516"/>
      <c r="X124" s="515"/>
      <c r="AI124" s="514"/>
      <c r="AJ124" s="514"/>
      <c r="AK124" s="514"/>
      <c r="AL124" s="514"/>
      <c r="AM124" s="514"/>
      <c r="AN124" s="514"/>
      <c r="AO124" s="514"/>
      <c r="AP124" s="514"/>
      <c r="AQ124" s="514"/>
      <c r="AR124" s="514"/>
      <c r="AS124" s="514"/>
      <c r="AT124" s="514"/>
      <c r="AU124" s="514"/>
      <c r="AV124" s="514"/>
      <c r="AW124" s="514"/>
      <c r="AX124" s="514"/>
      <c r="AY124" s="514"/>
      <c r="AZ124" s="514"/>
      <c r="BA124" s="514"/>
      <c r="BB124" s="514"/>
      <c r="BC124" s="514"/>
      <c r="BD124" s="514"/>
      <c r="BE124" s="514"/>
      <c r="BF124" s="514"/>
      <c r="BG124" s="514"/>
      <c r="BH124" s="514"/>
      <c r="BI124" s="514"/>
      <c r="BJ124" s="514"/>
      <c r="BK124" s="514"/>
      <c r="BL124" s="514"/>
      <c r="BM124" s="514"/>
      <c r="BN124" s="514"/>
      <c r="BO124" s="514"/>
      <c r="BP124" s="514"/>
      <c r="BQ124" s="514"/>
      <c r="BR124" s="514"/>
      <c r="BS124" s="514"/>
      <c r="BT124" s="514"/>
      <c r="BU124" s="514"/>
      <c r="BV124" s="514"/>
      <c r="BW124" s="514"/>
      <c r="BX124" s="514"/>
      <c r="BY124" s="514"/>
      <c r="BZ124" s="514"/>
      <c r="CA124" s="514"/>
      <c r="CB124" s="514"/>
      <c r="CC124" s="514"/>
      <c r="CD124" s="514"/>
      <c r="CE124" s="514"/>
      <c r="CF124" s="514"/>
      <c r="CG124" s="514"/>
      <c r="CH124" s="514"/>
      <c r="CI124" s="518"/>
      <c r="CJ124" s="662"/>
      <c r="CK124" s="664"/>
      <c r="CL124" s="662"/>
      <c r="CM124" s="662"/>
      <c r="CN124" s="662"/>
      <c r="CO124" s="662"/>
      <c r="CP124" s="662"/>
      <c r="CQ124" s="663"/>
      <c r="CR124" s="662"/>
      <c r="CS124" s="662"/>
      <c r="CT124" s="662"/>
      <c r="CU124" s="662"/>
      <c r="CV124" s="662"/>
      <c r="CW124" s="662"/>
      <c r="CX124" s="663"/>
      <c r="CY124" s="662"/>
      <c r="GE124" s="2676"/>
      <c r="GF124" s="2676"/>
      <c r="GG124" s="2676"/>
      <c r="GH124" s="2676"/>
      <c r="GI124" s="2676"/>
      <c r="GJ124" s="2676"/>
      <c r="GK124" s="2676"/>
      <c r="GL124" s="2676"/>
      <c r="GM124" s="2676"/>
      <c r="GN124" s="2676"/>
      <c r="GO124" s="2676"/>
      <c r="GP124" s="2676"/>
      <c r="GQ124" s="2678"/>
      <c r="GR124" s="2678"/>
      <c r="GS124" s="2678"/>
      <c r="GT124" s="2678"/>
      <c r="GU124" s="2678"/>
      <c r="GV124" s="2678"/>
      <c r="GW124" s="2678"/>
      <c r="GX124" s="2678"/>
      <c r="GY124" s="2678"/>
      <c r="GZ124" s="2678"/>
      <c r="HA124" s="2678"/>
      <c r="HB124" s="2676"/>
      <c r="HC124" s="2676"/>
      <c r="HD124" s="2676"/>
      <c r="HE124" s="2676"/>
      <c r="HF124" s="2677"/>
      <c r="HG124" s="2677"/>
      <c r="HH124" s="2677"/>
      <c r="HI124" s="2677"/>
      <c r="HJ124" s="2677"/>
      <c r="HK124" s="2677"/>
      <c r="HL124" s="2677"/>
      <c r="HM124" s="2677"/>
      <c r="HN124" s="2677"/>
      <c r="HO124" s="2677"/>
      <c r="HP124" s="2677"/>
      <c r="HQ124" s="2676"/>
      <c r="HR124" s="2676"/>
      <c r="HS124" s="2676"/>
      <c r="HT124" s="2676"/>
      <c r="HU124" s="2677"/>
      <c r="HV124" s="2677"/>
      <c r="HW124" s="2677"/>
      <c r="HX124" s="2677"/>
      <c r="HY124" s="2677"/>
      <c r="HZ124" s="2677"/>
      <c r="IA124" s="2677"/>
      <c r="IB124" s="2677"/>
      <c r="IC124" s="2677"/>
    </row>
    <row r="125" spans="15:237" ht="4.1500000000000004" customHeight="1">
      <c r="Q125" s="516"/>
      <c r="V125" s="516"/>
      <c r="X125" s="516"/>
      <c r="CI125" s="517"/>
      <c r="CJ125" s="662"/>
      <c r="CK125" s="664"/>
      <c r="CL125" s="662"/>
      <c r="CM125" s="662"/>
      <c r="CN125" s="662"/>
      <c r="CO125" s="662"/>
      <c r="CP125" s="662"/>
      <c r="CQ125" s="663"/>
      <c r="CR125" s="662"/>
      <c r="CS125" s="662"/>
      <c r="CT125" s="662"/>
      <c r="CU125" s="662"/>
      <c r="CV125" s="662"/>
      <c r="CW125" s="662"/>
      <c r="CX125" s="663"/>
      <c r="CY125" s="662"/>
      <c r="GE125" s="2676"/>
      <c r="GF125" s="2676"/>
      <c r="GG125" s="2676"/>
      <c r="GH125" s="2676"/>
      <c r="GI125" s="2676"/>
      <c r="GJ125" s="2676"/>
      <c r="GK125" s="2676"/>
      <c r="GL125" s="2676"/>
      <c r="GM125" s="2676"/>
      <c r="GN125" s="2676"/>
      <c r="GO125" s="2676"/>
      <c r="GP125" s="2676"/>
      <c r="GQ125" s="2678"/>
      <c r="GR125" s="2678"/>
      <c r="GS125" s="2678"/>
      <c r="GT125" s="2678"/>
      <c r="GU125" s="2678"/>
      <c r="GV125" s="2678"/>
      <c r="GW125" s="2678"/>
      <c r="GX125" s="2678"/>
      <c r="GY125" s="2678"/>
      <c r="GZ125" s="2678"/>
      <c r="HA125" s="2678"/>
      <c r="HB125" s="2676"/>
      <c r="HC125" s="2676"/>
      <c r="HD125" s="2676"/>
      <c r="HE125" s="2676"/>
      <c r="HF125" s="2677"/>
      <c r="HG125" s="2677"/>
      <c r="HH125" s="2677"/>
      <c r="HI125" s="2677"/>
      <c r="HJ125" s="2677"/>
      <c r="HK125" s="2677"/>
      <c r="HL125" s="2677"/>
      <c r="HM125" s="2677"/>
      <c r="HN125" s="2677"/>
      <c r="HO125" s="2677"/>
      <c r="HP125" s="2677"/>
      <c r="HQ125" s="2676"/>
      <c r="HR125" s="2676"/>
      <c r="HS125" s="2676"/>
      <c r="HT125" s="2676"/>
      <c r="HU125" s="2677"/>
      <c r="HV125" s="2677"/>
      <c r="HW125" s="2677"/>
      <c r="HX125" s="2677"/>
      <c r="HY125" s="2677"/>
      <c r="HZ125" s="2677"/>
      <c r="IA125" s="2677"/>
      <c r="IB125" s="2677"/>
      <c r="IC125" s="2677"/>
    </row>
    <row r="126" spans="15:237" ht="4.1500000000000004" customHeight="1">
      <c r="Q126" s="516"/>
      <c r="V126" s="516"/>
      <c r="X126" s="516"/>
      <c r="AT126" s="2642" t="s">
        <v>1780</v>
      </c>
      <c r="AU126" s="2642"/>
      <c r="AV126" s="2642"/>
      <c r="AW126" s="2642"/>
      <c r="AX126" s="2642"/>
      <c r="AY126" s="2642"/>
      <c r="AZ126" s="2642"/>
      <c r="BA126" s="2642"/>
      <c r="BB126" s="2642"/>
      <c r="BC126" s="2642"/>
      <c r="BD126" s="2642"/>
      <c r="BE126" s="2642"/>
      <c r="BF126" s="2642"/>
      <c r="BG126" s="2642"/>
      <c r="BH126" s="2642"/>
      <c r="BI126" s="2642"/>
      <c r="BJ126" s="2642"/>
      <c r="BK126" s="2642"/>
      <c r="CI126" s="517"/>
      <c r="CJ126" s="662"/>
      <c r="CK126" s="664"/>
      <c r="CL126" s="662"/>
      <c r="CM126" s="662"/>
      <c r="CN126" s="662"/>
      <c r="CO126" s="2681">
        <f>BE129+CJ84</f>
        <v>1.45</v>
      </c>
      <c r="CP126" s="2682"/>
      <c r="CQ126" s="2682"/>
      <c r="CR126" s="2682"/>
      <c r="CS126" s="662"/>
      <c r="CT126" s="662"/>
      <c r="CU126" s="662"/>
      <c r="CV126" s="662"/>
      <c r="CW126" s="662"/>
      <c r="CX126" s="663"/>
      <c r="CY126" s="662"/>
    </row>
    <row r="127" spans="15:237" ht="4.1500000000000004" customHeight="1">
      <c r="Q127" s="516"/>
      <c r="V127" s="516"/>
      <c r="X127" s="516"/>
      <c r="AT127" s="2642"/>
      <c r="AU127" s="2642"/>
      <c r="AV127" s="2642"/>
      <c r="AW127" s="2642"/>
      <c r="AX127" s="2642"/>
      <c r="AY127" s="2642"/>
      <c r="AZ127" s="2642"/>
      <c r="BA127" s="2642"/>
      <c r="BB127" s="2642"/>
      <c r="BC127" s="2642"/>
      <c r="BD127" s="2642"/>
      <c r="BE127" s="2642"/>
      <c r="BF127" s="2642"/>
      <c r="BG127" s="2642"/>
      <c r="BH127" s="2642"/>
      <c r="BI127" s="2642"/>
      <c r="BJ127" s="2642"/>
      <c r="BK127" s="2642"/>
      <c r="CI127" s="517"/>
      <c r="CJ127" s="662"/>
      <c r="CK127" s="664"/>
      <c r="CL127" s="662"/>
      <c r="CM127" s="662"/>
      <c r="CN127" s="662"/>
      <c r="CO127" s="2682"/>
      <c r="CP127" s="2682"/>
      <c r="CQ127" s="2682"/>
      <c r="CR127" s="2682"/>
      <c r="CS127" s="662"/>
      <c r="CT127" s="662"/>
      <c r="CU127" s="662"/>
      <c r="CV127" s="662"/>
      <c r="CW127" s="662"/>
      <c r="CX127" s="663"/>
      <c r="CY127" s="662"/>
    </row>
    <row r="128" spans="15:237" ht="4.1500000000000004" customHeight="1">
      <c r="Q128" s="516"/>
      <c r="V128" s="516"/>
      <c r="X128" s="516"/>
      <c r="AT128" s="2642"/>
      <c r="AU128" s="2642"/>
      <c r="AV128" s="2642"/>
      <c r="AW128" s="2642"/>
      <c r="AX128" s="2642"/>
      <c r="AY128" s="2642"/>
      <c r="AZ128" s="2642"/>
      <c r="BA128" s="2642"/>
      <c r="BB128" s="2642"/>
      <c r="BC128" s="2642"/>
      <c r="BD128" s="2642"/>
      <c r="BE128" s="2642"/>
      <c r="BF128" s="2642"/>
      <c r="BG128" s="2642"/>
      <c r="BH128" s="2642"/>
      <c r="BI128" s="2642"/>
      <c r="BJ128" s="2642"/>
      <c r="BK128" s="2642"/>
      <c r="CI128" s="517"/>
      <c r="CJ128" s="662"/>
      <c r="CK128" s="664"/>
      <c r="CL128" s="662"/>
      <c r="CM128" s="662"/>
      <c r="CN128" s="662"/>
      <c r="CO128" s="2682"/>
      <c r="CP128" s="2682"/>
      <c r="CQ128" s="2682"/>
      <c r="CR128" s="2682"/>
      <c r="CS128" s="662"/>
      <c r="CT128" s="662"/>
      <c r="CU128" s="662"/>
      <c r="CV128" s="662"/>
      <c r="CW128" s="662"/>
      <c r="CX128" s="663"/>
      <c r="CY128" s="662"/>
    </row>
    <row r="129" spans="17:103" ht="4.1500000000000004" customHeight="1">
      <c r="Q129" s="516"/>
      <c r="V129" s="516"/>
      <c r="X129" s="516"/>
      <c r="AT129" s="2762">
        <v>3.65</v>
      </c>
      <c r="AU129" s="2762"/>
      <c r="AV129" s="2762"/>
      <c r="AW129" s="2762"/>
      <c r="AX129" s="2762"/>
      <c r="AY129" s="2762"/>
      <c r="AZ129" s="2762"/>
      <c r="BA129" s="2762" t="s">
        <v>901</v>
      </c>
      <c r="BB129" s="2762"/>
      <c r="BC129" s="2762"/>
      <c r="BD129" s="2762"/>
      <c r="BE129" s="2762">
        <v>1.2</v>
      </c>
      <c r="BF129" s="2762"/>
      <c r="BG129" s="2762"/>
      <c r="BH129" s="2762"/>
      <c r="BI129" s="2762"/>
      <c r="BJ129" s="2762"/>
      <c r="BK129" s="2762"/>
      <c r="CI129" s="517"/>
      <c r="CJ129" s="662"/>
      <c r="CK129" s="664"/>
      <c r="CL129" s="662"/>
      <c r="CM129" s="662"/>
      <c r="CN129" s="662"/>
      <c r="CO129" s="2682"/>
      <c r="CP129" s="2682"/>
      <c r="CQ129" s="2682"/>
      <c r="CR129" s="2682"/>
      <c r="CS129" s="662"/>
      <c r="CT129" s="662"/>
      <c r="CU129" s="662"/>
      <c r="CV129" s="662"/>
      <c r="CW129" s="662"/>
      <c r="CX129" s="663"/>
      <c r="CY129" s="662"/>
    </row>
    <row r="130" spans="17:103" ht="4.1500000000000004" customHeight="1">
      <c r="Q130" s="516"/>
      <c r="V130" s="516"/>
      <c r="X130" s="516"/>
      <c r="AT130" s="2762"/>
      <c r="AU130" s="2762"/>
      <c r="AV130" s="2762"/>
      <c r="AW130" s="2762"/>
      <c r="AX130" s="2762"/>
      <c r="AY130" s="2762"/>
      <c r="AZ130" s="2762"/>
      <c r="BA130" s="2762"/>
      <c r="BB130" s="2762"/>
      <c r="BC130" s="2762"/>
      <c r="BD130" s="2762"/>
      <c r="BE130" s="2762"/>
      <c r="BF130" s="2762"/>
      <c r="BG130" s="2762"/>
      <c r="BH130" s="2762"/>
      <c r="BI130" s="2762"/>
      <c r="BJ130" s="2762"/>
      <c r="BK130" s="2762"/>
      <c r="CI130" s="517"/>
      <c r="CJ130" s="662"/>
      <c r="CK130" s="664"/>
      <c r="CL130" s="662"/>
      <c r="CM130" s="662"/>
      <c r="CN130" s="662"/>
      <c r="CO130" s="2682"/>
      <c r="CP130" s="2682"/>
      <c r="CQ130" s="2682"/>
      <c r="CR130" s="2682"/>
      <c r="CS130" s="662"/>
      <c r="CT130" s="662"/>
      <c r="CU130" s="662"/>
      <c r="CV130" s="662"/>
      <c r="CW130" s="662"/>
      <c r="CX130" s="663"/>
      <c r="CY130" s="662"/>
    </row>
    <row r="131" spans="17:103" ht="4.1500000000000004" customHeight="1">
      <c r="Q131" s="516"/>
      <c r="V131" s="516"/>
      <c r="X131" s="516"/>
      <c r="AT131" s="2762"/>
      <c r="AU131" s="2762"/>
      <c r="AV131" s="2762"/>
      <c r="AW131" s="2762"/>
      <c r="AX131" s="2762"/>
      <c r="AY131" s="2762"/>
      <c r="AZ131" s="2762"/>
      <c r="BA131" s="2762"/>
      <c r="BB131" s="2762"/>
      <c r="BC131" s="2762"/>
      <c r="BD131" s="2762"/>
      <c r="BE131" s="2762"/>
      <c r="BF131" s="2762"/>
      <c r="BG131" s="2762"/>
      <c r="BH131" s="2762"/>
      <c r="BI131" s="2762"/>
      <c r="BJ131" s="2762"/>
      <c r="BK131" s="2762"/>
      <c r="CI131" s="517"/>
      <c r="CJ131" s="662"/>
      <c r="CK131" s="664"/>
      <c r="CL131" s="662"/>
      <c r="CM131" s="662"/>
      <c r="CN131" s="662"/>
      <c r="CO131" s="2682"/>
      <c r="CP131" s="2682"/>
      <c r="CQ131" s="2682"/>
      <c r="CR131" s="2682"/>
      <c r="CS131" s="662"/>
      <c r="CT131" s="662"/>
      <c r="CU131" s="662"/>
      <c r="CV131" s="662"/>
      <c r="CW131" s="662"/>
      <c r="CX131" s="663"/>
      <c r="CY131" s="662"/>
    </row>
    <row r="132" spans="17:103" ht="4.1500000000000004" customHeight="1">
      <c r="Q132" s="516"/>
      <c r="V132" s="516"/>
      <c r="W132" s="517"/>
      <c r="X132" s="2763">
        <f>CH132</f>
        <v>0.25</v>
      </c>
      <c r="Y132" s="2763"/>
      <c r="CH132" s="2765">
        <v>0.25</v>
      </c>
      <c r="CI132" s="2765"/>
      <c r="CJ132" s="663"/>
      <c r="CK132" s="664"/>
      <c r="CL132" s="662"/>
      <c r="CM132" s="662"/>
      <c r="CN132" s="662"/>
      <c r="CO132" s="2682"/>
      <c r="CP132" s="2682"/>
      <c r="CQ132" s="2682"/>
      <c r="CR132" s="2682"/>
      <c r="CS132" s="662"/>
      <c r="CT132" s="662"/>
      <c r="CU132" s="662"/>
      <c r="CV132" s="662"/>
      <c r="CW132" s="662"/>
      <c r="CX132" s="663"/>
      <c r="CY132" s="662"/>
    </row>
    <row r="133" spans="17:103" ht="4.1500000000000004" customHeight="1">
      <c r="Q133" s="516"/>
      <c r="V133" s="516"/>
      <c r="W133" s="517"/>
      <c r="X133" s="2763"/>
      <c r="Y133" s="2763"/>
      <c r="CH133" s="2765"/>
      <c r="CI133" s="2765"/>
      <c r="CJ133" s="663"/>
      <c r="CK133" s="664"/>
      <c r="CL133" s="662"/>
      <c r="CM133" s="662"/>
      <c r="CN133" s="662"/>
      <c r="CO133" s="2682"/>
      <c r="CP133" s="2682"/>
      <c r="CQ133" s="2682"/>
      <c r="CR133" s="2682"/>
      <c r="CS133" s="662"/>
      <c r="CT133" s="662"/>
      <c r="CU133" s="662"/>
      <c r="CV133" s="662"/>
      <c r="CW133" s="662"/>
      <c r="CX133" s="663"/>
      <c r="CY133" s="662"/>
    </row>
    <row r="134" spans="17:103" ht="4.1500000000000004" customHeight="1">
      <c r="Q134" s="516"/>
      <c r="V134" s="516"/>
      <c r="W134" s="517"/>
      <c r="X134" s="2763"/>
      <c r="Y134" s="2763"/>
      <c r="CH134" s="2765"/>
      <c r="CI134" s="2765"/>
      <c r="CJ134" s="663"/>
      <c r="CK134" s="664"/>
      <c r="CL134" s="662"/>
      <c r="CM134" s="662"/>
      <c r="CN134" s="662"/>
      <c r="CO134" s="2682"/>
      <c r="CP134" s="2682"/>
      <c r="CQ134" s="2682"/>
      <c r="CR134" s="2682"/>
      <c r="CS134" s="662"/>
      <c r="CT134" s="662"/>
      <c r="CU134" s="662"/>
      <c r="CV134" s="662"/>
      <c r="CW134" s="662"/>
      <c r="CX134" s="663"/>
      <c r="CY134" s="662"/>
    </row>
    <row r="135" spans="17:103" ht="4.1500000000000004" customHeight="1">
      <c r="Q135" s="516"/>
      <c r="V135" s="516"/>
      <c r="W135" s="517"/>
      <c r="X135" s="2763"/>
      <c r="Y135" s="2763"/>
      <c r="CH135" s="2765"/>
      <c r="CI135" s="2765"/>
      <c r="CJ135" s="663"/>
      <c r="CK135" s="664"/>
      <c r="CL135" s="662"/>
      <c r="CM135" s="662"/>
      <c r="CN135" s="662"/>
      <c r="CO135" s="2682"/>
      <c r="CP135" s="2682"/>
      <c r="CQ135" s="2682"/>
      <c r="CR135" s="2682"/>
      <c r="CS135" s="662"/>
      <c r="CT135" s="662"/>
      <c r="CU135" s="662"/>
      <c r="CV135" s="662"/>
      <c r="CW135" s="662"/>
      <c r="CX135" s="663"/>
      <c r="CY135" s="662"/>
    </row>
    <row r="136" spans="17:103" ht="4.1500000000000004" customHeight="1">
      <c r="Q136" s="516"/>
      <c r="V136" s="516"/>
      <c r="W136" s="517"/>
      <c r="X136" s="2763"/>
      <c r="Y136" s="2763"/>
      <c r="CH136" s="2765"/>
      <c r="CI136" s="2765"/>
      <c r="CJ136" s="663"/>
      <c r="CK136" s="664"/>
      <c r="CL136" s="662"/>
      <c r="CM136" s="662"/>
      <c r="CN136" s="662"/>
      <c r="CO136" s="2682"/>
      <c r="CP136" s="2682"/>
      <c r="CQ136" s="2682"/>
      <c r="CR136" s="2682"/>
      <c r="CS136" s="662"/>
      <c r="CT136" s="662"/>
      <c r="CU136" s="662"/>
      <c r="CV136" s="662"/>
      <c r="CW136" s="662"/>
      <c r="CX136" s="663"/>
      <c r="CY136" s="662"/>
    </row>
    <row r="137" spans="17:103" ht="4.1500000000000004" customHeight="1">
      <c r="Q137" s="516"/>
      <c r="V137" s="516"/>
      <c r="W137" s="517"/>
      <c r="X137" s="2763"/>
      <c r="Y137" s="2763"/>
      <c r="CH137" s="2765"/>
      <c r="CI137" s="2765"/>
      <c r="CJ137" s="663"/>
      <c r="CK137" s="664"/>
      <c r="CL137" s="662"/>
      <c r="CM137" s="662"/>
      <c r="CN137" s="662"/>
      <c r="CO137" s="2682"/>
      <c r="CP137" s="2682"/>
      <c r="CQ137" s="2682"/>
      <c r="CR137" s="2682"/>
      <c r="CS137" s="662"/>
      <c r="CT137" s="662"/>
      <c r="CU137" s="662"/>
      <c r="CV137" s="662"/>
      <c r="CW137" s="662"/>
      <c r="CX137" s="663"/>
      <c r="CY137" s="662"/>
    </row>
    <row r="138" spans="17:103" ht="4.1500000000000004" customHeight="1">
      <c r="Q138" s="516"/>
      <c r="V138" s="516"/>
      <c r="W138" s="517"/>
      <c r="X138" s="2763"/>
      <c r="Y138" s="2763"/>
      <c r="CH138" s="2765"/>
      <c r="CI138" s="2765"/>
      <c r="CJ138" s="663"/>
      <c r="CK138" s="664"/>
      <c r="CL138" s="662"/>
      <c r="CM138" s="662"/>
      <c r="CN138" s="662"/>
      <c r="CO138" s="2682"/>
      <c r="CP138" s="2682"/>
      <c r="CQ138" s="2682"/>
      <c r="CR138" s="2682"/>
      <c r="CS138" s="662"/>
      <c r="CT138" s="662"/>
      <c r="CU138" s="662"/>
      <c r="CV138" s="662"/>
      <c r="CW138" s="662"/>
      <c r="CX138" s="663"/>
      <c r="CY138" s="662"/>
    </row>
    <row r="139" spans="17:103" ht="4.1500000000000004" customHeight="1">
      <c r="Q139" s="516"/>
      <c r="V139" s="516"/>
      <c r="W139" s="517"/>
      <c r="X139" s="2763"/>
      <c r="Y139" s="2763"/>
      <c r="CH139" s="2765"/>
      <c r="CI139" s="2765"/>
      <c r="CJ139" s="663"/>
      <c r="CK139" s="664"/>
      <c r="CL139" s="662"/>
      <c r="CM139" s="662"/>
      <c r="CN139" s="662"/>
      <c r="CO139" s="2682"/>
      <c r="CP139" s="2682"/>
      <c r="CQ139" s="2682"/>
      <c r="CR139" s="2682"/>
      <c r="CS139" s="662"/>
      <c r="CT139" s="662"/>
      <c r="CU139" s="662"/>
      <c r="CV139" s="662"/>
      <c r="CW139" s="662"/>
      <c r="CX139" s="663"/>
      <c r="CY139" s="662"/>
    </row>
    <row r="140" spans="17:103" ht="4.1500000000000004" customHeight="1">
      <c r="Q140" s="516"/>
      <c r="V140" s="516"/>
      <c r="W140" s="517"/>
      <c r="X140" s="2763"/>
      <c r="Y140" s="2763"/>
      <c r="CH140" s="2765"/>
      <c r="CI140" s="2765"/>
      <c r="CJ140" s="663"/>
      <c r="CK140" s="664"/>
      <c r="CL140" s="662"/>
      <c r="CM140" s="662"/>
      <c r="CN140" s="662"/>
      <c r="CO140" s="2682"/>
      <c r="CP140" s="2682"/>
      <c r="CQ140" s="2682"/>
      <c r="CR140" s="2682"/>
      <c r="CS140" s="662"/>
      <c r="CT140" s="662"/>
      <c r="CU140" s="662"/>
      <c r="CV140" s="662"/>
      <c r="CW140" s="662"/>
      <c r="CX140" s="663"/>
      <c r="CY140" s="662"/>
    </row>
    <row r="141" spans="17:103" ht="4.1500000000000004" customHeight="1">
      <c r="Q141" s="516"/>
      <c r="V141" s="516"/>
      <c r="W141" s="517"/>
      <c r="X141" s="2763"/>
      <c r="Y141" s="2763"/>
      <c r="Z141" s="516"/>
      <c r="AG141" s="2610">
        <f>(AT129-X132-BB141-CH132)/2</f>
        <v>1.325</v>
      </c>
      <c r="AH141" s="2610"/>
      <c r="AI141" s="2610"/>
      <c r="AJ141" s="2610"/>
      <c r="AK141" s="2610"/>
      <c r="AL141" s="2610"/>
      <c r="AM141" s="2610"/>
      <c r="AN141" s="2610"/>
      <c r="AO141" s="2610"/>
      <c r="AP141" s="2610"/>
      <c r="AQ141" s="2610"/>
      <c r="AR141" s="2610"/>
      <c r="AS141" s="2610"/>
      <c r="BA141" s="517"/>
      <c r="BB141" s="2766">
        <v>0.5</v>
      </c>
      <c r="BC141" s="2767"/>
      <c r="BD141" s="2767"/>
      <c r="BE141" s="2768"/>
      <c r="BF141" s="516"/>
      <c r="BM141" s="2610">
        <f>AG141</f>
        <v>1.325</v>
      </c>
      <c r="BN141" s="2610"/>
      <c r="BO141" s="2610"/>
      <c r="BP141" s="2610"/>
      <c r="BQ141" s="2610"/>
      <c r="BR141" s="2610"/>
      <c r="BS141" s="2610"/>
      <c r="BT141" s="2610"/>
      <c r="BU141" s="2610"/>
      <c r="BV141" s="2610"/>
      <c r="BW141" s="2610"/>
      <c r="BX141" s="2610"/>
      <c r="BY141" s="2610"/>
      <c r="CG141" s="517"/>
      <c r="CH141" s="2765"/>
      <c r="CI141" s="2765"/>
      <c r="CJ141" s="663"/>
      <c r="CK141" s="664"/>
      <c r="CL141" s="662"/>
      <c r="CM141" s="662"/>
      <c r="CN141" s="662"/>
      <c r="CO141" s="2682"/>
      <c r="CP141" s="2682"/>
      <c r="CQ141" s="2682"/>
      <c r="CR141" s="2682"/>
      <c r="CS141" s="662"/>
      <c r="CT141" s="662"/>
      <c r="CU141" s="662"/>
      <c r="CV141" s="662"/>
      <c r="CW141" s="662"/>
      <c r="CX141" s="663"/>
      <c r="CY141" s="662"/>
    </row>
    <row r="142" spans="17:103" ht="4.1500000000000004" customHeight="1" thickBot="1">
      <c r="Q142" s="516"/>
      <c r="V142" s="516"/>
      <c r="W142" s="517"/>
      <c r="X142" s="2763"/>
      <c r="Y142" s="2763"/>
      <c r="Z142" s="530"/>
      <c r="AA142" s="532"/>
      <c r="AB142" s="532"/>
      <c r="AC142" s="532"/>
      <c r="AD142" s="532"/>
      <c r="AE142" s="532"/>
      <c r="AF142" s="532"/>
      <c r="AG142" s="2610"/>
      <c r="AH142" s="2610"/>
      <c r="AI142" s="2610"/>
      <c r="AJ142" s="2610"/>
      <c r="AK142" s="2610"/>
      <c r="AL142" s="2610"/>
      <c r="AM142" s="2610"/>
      <c r="AN142" s="2610"/>
      <c r="AO142" s="2610"/>
      <c r="AP142" s="2610"/>
      <c r="AQ142" s="2610"/>
      <c r="AR142" s="2610"/>
      <c r="AS142" s="2610"/>
      <c r="AU142" s="532"/>
      <c r="AV142" s="532"/>
      <c r="AW142" s="532"/>
      <c r="AX142" s="532"/>
      <c r="AY142" s="532"/>
      <c r="AZ142" s="532"/>
      <c r="BA142" s="531"/>
      <c r="BB142" s="2766"/>
      <c r="BC142" s="2767"/>
      <c r="BD142" s="2767"/>
      <c r="BE142" s="2768"/>
      <c r="BF142" s="530"/>
      <c r="BG142" s="532"/>
      <c r="BH142" s="532"/>
      <c r="BI142" s="532"/>
      <c r="BJ142" s="532"/>
      <c r="BK142" s="532"/>
      <c r="BL142" s="532"/>
      <c r="BM142" s="2610"/>
      <c r="BN142" s="2610"/>
      <c r="BO142" s="2610"/>
      <c r="BP142" s="2610"/>
      <c r="BQ142" s="2610"/>
      <c r="BR142" s="2610"/>
      <c r="BS142" s="2610"/>
      <c r="BT142" s="2610"/>
      <c r="BU142" s="2610"/>
      <c r="BV142" s="2610"/>
      <c r="BW142" s="2610"/>
      <c r="BX142" s="2610"/>
      <c r="BY142" s="2610"/>
      <c r="BZ142" s="532"/>
      <c r="CA142" s="532"/>
      <c r="CB142" s="532"/>
      <c r="CC142" s="532"/>
      <c r="CD142" s="532"/>
      <c r="CE142" s="532"/>
      <c r="CF142" s="532"/>
      <c r="CG142" s="531"/>
      <c r="CH142" s="2765"/>
      <c r="CI142" s="2765"/>
      <c r="CJ142" s="663"/>
      <c r="CK142" s="664"/>
      <c r="CL142" s="662"/>
      <c r="CM142" s="662"/>
      <c r="CN142" s="662"/>
      <c r="CO142" s="2682"/>
      <c r="CP142" s="2682"/>
      <c r="CQ142" s="2682"/>
      <c r="CR142" s="2682"/>
      <c r="CS142" s="662"/>
      <c r="CT142" s="662"/>
      <c r="CU142" s="662"/>
      <c r="CV142" s="662"/>
      <c r="CW142" s="662"/>
      <c r="CX142" s="663"/>
      <c r="CY142" s="662"/>
    </row>
    <row r="143" spans="17:103" ht="4.1500000000000004" customHeight="1">
      <c r="Q143" s="516"/>
      <c r="V143" s="546"/>
      <c r="W143" s="547"/>
      <c r="X143" s="2763"/>
      <c r="Y143" s="2763"/>
      <c r="Z143" s="516"/>
      <c r="AG143" s="2610"/>
      <c r="AH143" s="2610"/>
      <c r="AI143" s="2610"/>
      <c r="AJ143" s="2610"/>
      <c r="AK143" s="2610"/>
      <c r="AL143" s="2610"/>
      <c r="AM143" s="2610"/>
      <c r="AN143" s="2610"/>
      <c r="AO143" s="2610"/>
      <c r="AP143" s="2610"/>
      <c r="AQ143" s="2610"/>
      <c r="AR143" s="2610"/>
      <c r="AS143" s="2610"/>
      <c r="BA143" s="517"/>
      <c r="BB143" s="2766"/>
      <c r="BC143" s="2767"/>
      <c r="BD143" s="2767"/>
      <c r="BE143" s="2768"/>
      <c r="BF143" s="516"/>
      <c r="BM143" s="2610"/>
      <c r="BN143" s="2610"/>
      <c r="BO143" s="2610"/>
      <c r="BP143" s="2610"/>
      <c r="BQ143" s="2610"/>
      <c r="BR143" s="2610"/>
      <c r="BS143" s="2610"/>
      <c r="BT143" s="2610"/>
      <c r="BU143" s="2610"/>
      <c r="BV143" s="2610"/>
      <c r="BW143" s="2610"/>
      <c r="BX143" s="2610"/>
      <c r="BY143" s="2610"/>
      <c r="CG143" s="517"/>
      <c r="CH143" s="2765"/>
      <c r="CI143" s="2765"/>
      <c r="CJ143" s="669"/>
      <c r="CK143" s="670"/>
      <c r="CL143" s="662"/>
      <c r="CM143" s="662"/>
      <c r="CN143" s="662"/>
      <c r="CO143" s="662"/>
      <c r="CP143" s="662"/>
      <c r="CQ143" s="663"/>
      <c r="CR143" s="662"/>
      <c r="CS143" s="662"/>
      <c r="CT143" s="662"/>
      <c r="CU143" s="662"/>
      <c r="CV143" s="662"/>
      <c r="CW143" s="662"/>
      <c r="CX143" s="663"/>
      <c r="CY143" s="662"/>
    </row>
    <row r="144" spans="17:103" ht="4.1500000000000004" customHeight="1" thickBot="1">
      <c r="Q144" s="516"/>
      <c r="V144" s="548"/>
      <c r="W144" s="549"/>
      <c r="X144" s="2764"/>
      <c r="Y144" s="2764"/>
      <c r="BD144" s="516"/>
      <c r="CJ144" s="548"/>
      <c r="CK144" s="549"/>
      <c r="CQ144" s="516"/>
      <c r="CX144" s="516"/>
    </row>
    <row r="145" spans="15:103" ht="4.1500000000000004" customHeight="1">
      <c r="Q145" s="516"/>
      <c r="V145" s="548"/>
      <c r="X145" s="550"/>
      <c r="Y145" s="547"/>
      <c r="Z145" s="551"/>
      <c r="AA145" s="537"/>
      <c r="AB145" s="537"/>
      <c r="AC145" s="537"/>
      <c r="AD145" s="537"/>
      <c r="AE145" s="537"/>
      <c r="AF145" s="537"/>
      <c r="AG145" s="537"/>
      <c r="AH145" s="537"/>
      <c r="AI145" s="537"/>
      <c r="AJ145" s="537"/>
      <c r="AK145" s="537"/>
      <c r="AL145" s="537"/>
      <c r="AM145" s="537"/>
      <c r="AN145" s="537"/>
      <c r="AO145" s="537"/>
      <c r="AP145" s="537"/>
      <c r="AQ145" s="537"/>
      <c r="AR145" s="537"/>
      <c r="AS145" s="537"/>
      <c r="AT145" s="537"/>
      <c r="AU145" s="537"/>
      <c r="AV145" s="537"/>
      <c r="AW145" s="537"/>
      <c r="AX145" s="537"/>
      <c r="AY145" s="537"/>
      <c r="AZ145" s="537"/>
      <c r="BA145" s="552"/>
      <c r="BB145" s="546"/>
      <c r="BC145" s="550"/>
      <c r="BD145" s="550"/>
      <c r="BE145" s="547"/>
      <c r="BF145" s="551"/>
      <c r="BG145" s="537"/>
      <c r="BH145" s="537"/>
      <c r="BI145" s="537"/>
      <c r="BJ145" s="537"/>
      <c r="BK145" s="537"/>
      <c r="BL145" s="537"/>
      <c r="BM145" s="537"/>
      <c r="BN145" s="537"/>
      <c r="BO145" s="537"/>
      <c r="BP145" s="537"/>
      <c r="BQ145" s="537"/>
      <c r="BR145" s="537"/>
      <c r="BS145" s="537"/>
      <c r="BT145" s="537"/>
      <c r="BU145" s="537"/>
      <c r="BV145" s="537"/>
      <c r="BW145" s="537"/>
      <c r="BX145" s="537"/>
      <c r="BY145" s="537"/>
      <c r="BZ145" s="537"/>
      <c r="CA145" s="537"/>
      <c r="CB145" s="537"/>
      <c r="CC145" s="537"/>
      <c r="CD145" s="537"/>
      <c r="CE145" s="537"/>
      <c r="CF145" s="537"/>
      <c r="CG145" s="552"/>
      <c r="CH145" s="546"/>
      <c r="CI145" s="550"/>
      <c r="CK145" s="549"/>
      <c r="CO145" s="532"/>
      <c r="CP145" s="532"/>
      <c r="CQ145" s="530"/>
      <c r="CR145" s="532"/>
      <c r="CV145" s="532"/>
      <c r="CW145" s="532"/>
      <c r="CX145" s="530"/>
      <c r="CY145" s="532"/>
    </row>
    <row r="146" spans="15:103" ht="4.1500000000000004" customHeight="1" thickBot="1">
      <c r="O146" s="532"/>
      <c r="P146" s="532"/>
      <c r="Q146" s="530"/>
      <c r="R146" s="532"/>
      <c r="V146" s="553"/>
      <c r="W146" s="554"/>
      <c r="X146" s="554"/>
      <c r="Y146" s="555"/>
      <c r="Z146" s="556"/>
      <c r="AA146" s="557"/>
      <c r="AB146" s="557"/>
      <c r="AC146" s="557"/>
      <c r="AD146" s="557"/>
      <c r="AE146" s="557"/>
      <c r="AF146" s="557"/>
      <c r="AG146" s="557"/>
      <c r="AH146" s="557"/>
      <c r="AI146" s="557"/>
      <c r="AJ146" s="557"/>
      <c r="AK146" s="557"/>
      <c r="AL146" s="557"/>
      <c r="AM146" s="557"/>
      <c r="AN146" s="557"/>
      <c r="AO146" s="557"/>
      <c r="AP146" s="557"/>
      <c r="AQ146" s="557"/>
      <c r="AR146" s="557"/>
      <c r="AS146" s="557"/>
      <c r="AT146" s="557"/>
      <c r="AU146" s="557"/>
      <c r="AV146" s="557"/>
      <c r="AW146" s="557"/>
      <c r="AX146" s="557"/>
      <c r="AY146" s="557"/>
      <c r="AZ146" s="557"/>
      <c r="BA146" s="558"/>
      <c r="BB146" s="553"/>
      <c r="BC146" s="554"/>
      <c r="BD146" s="554"/>
      <c r="BE146" s="555"/>
      <c r="BF146" s="556"/>
      <c r="BG146" s="557"/>
      <c r="BH146" s="557"/>
      <c r="BI146" s="557"/>
      <c r="BJ146" s="557"/>
      <c r="BK146" s="557"/>
      <c r="BL146" s="557"/>
      <c r="BM146" s="557"/>
      <c r="BN146" s="557"/>
      <c r="BO146" s="557"/>
      <c r="BP146" s="557"/>
      <c r="BQ146" s="557"/>
      <c r="BR146" s="557"/>
      <c r="BS146" s="557"/>
      <c r="BT146" s="557"/>
      <c r="BU146" s="557"/>
      <c r="BV146" s="557"/>
      <c r="BW146" s="557"/>
      <c r="BX146" s="557"/>
      <c r="BY146" s="557"/>
      <c r="BZ146" s="557"/>
      <c r="CA146" s="557"/>
      <c r="CB146" s="557"/>
      <c r="CC146" s="557"/>
      <c r="CD146" s="557"/>
      <c r="CE146" s="557"/>
      <c r="CF146" s="557"/>
      <c r="CG146" s="558"/>
      <c r="CH146" s="553"/>
      <c r="CI146" s="554"/>
      <c r="CJ146" s="554"/>
      <c r="CK146" s="555"/>
    </row>
    <row r="147" spans="15:103" ht="4.1500000000000004" customHeight="1">
      <c r="V147" s="539"/>
      <c r="CK147" s="540"/>
    </row>
    <row r="148" spans="15:103" ht="4.1500000000000004" customHeight="1">
      <c r="V148" s="539"/>
      <c r="CK148" s="540"/>
    </row>
    <row r="149" spans="15:103" ht="4.1500000000000004" customHeight="1">
      <c r="V149" s="539"/>
      <c r="CK149" s="540"/>
    </row>
    <row r="150" spans="15:103" ht="4.1500000000000004" customHeight="1">
      <c r="V150" s="559"/>
      <c r="W150" s="557"/>
      <c r="X150" s="557"/>
      <c r="Y150" s="557"/>
      <c r="Z150" s="557"/>
      <c r="AA150" s="557"/>
      <c r="AB150" s="557"/>
      <c r="AC150" s="557"/>
      <c r="AD150" s="557"/>
      <c r="AE150" s="557"/>
      <c r="AF150" s="557"/>
      <c r="AG150" s="557"/>
      <c r="AH150" s="557"/>
      <c r="AI150" s="557"/>
      <c r="AJ150" s="557"/>
      <c r="AK150" s="557"/>
      <c r="AL150" s="557"/>
      <c r="AM150" s="557"/>
      <c r="AN150" s="557"/>
      <c r="AO150" s="557"/>
      <c r="AP150" s="557"/>
      <c r="AQ150" s="557"/>
      <c r="AR150" s="557"/>
      <c r="AS150" s="557"/>
      <c r="AT150" s="557"/>
      <c r="AU150" s="557"/>
      <c r="AV150" s="557"/>
      <c r="AW150" s="557"/>
      <c r="AX150" s="557"/>
      <c r="AY150" s="557"/>
      <c r="AZ150" s="557"/>
      <c r="BA150" s="557"/>
      <c r="BB150" s="557"/>
      <c r="BC150" s="557"/>
      <c r="BD150" s="557"/>
      <c r="BE150" s="557"/>
      <c r="BF150" s="557"/>
      <c r="BG150" s="557"/>
      <c r="BH150" s="557"/>
      <c r="BI150" s="557"/>
      <c r="BJ150" s="557"/>
      <c r="BK150" s="557"/>
      <c r="BL150" s="557"/>
      <c r="BM150" s="557"/>
      <c r="BN150" s="557"/>
      <c r="BO150" s="557"/>
      <c r="BP150" s="557"/>
      <c r="BQ150" s="557"/>
      <c r="BR150" s="557"/>
      <c r="BS150" s="557"/>
      <c r="BT150" s="557"/>
      <c r="BU150" s="557"/>
      <c r="BV150" s="557"/>
      <c r="BW150" s="557"/>
      <c r="BX150" s="557"/>
      <c r="BY150" s="557"/>
      <c r="BZ150" s="557"/>
      <c r="CA150" s="557"/>
      <c r="CB150" s="557"/>
      <c r="CC150" s="557"/>
      <c r="CD150" s="557"/>
      <c r="CE150" s="557"/>
      <c r="CF150" s="557"/>
      <c r="CG150" s="557"/>
      <c r="CH150" s="557"/>
      <c r="CI150" s="557"/>
      <c r="CJ150" s="557"/>
      <c r="CK150" s="560"/>
    </row>
    <row r="167" spans="65:238" ht="4.1500000000000004" customHeight="1">
      <c r="DK167" s="2668" t="s">
        <v>188</v>
      </c>
      <c r="DL167" s="2668"/>
      <c r="DM167" s="2668"/>
      <c r="DN167" s="2668"/>
      <c r="DO167" s="2668"/>
      <c r="DP167" s="2668"/>
      <c r="DQ167" s="2668"/>
      <c r="DR167" s="2668"/>
      <c r="DS167" s="2668"/>
      <c r="DT167" s="2668"/>
      <c r="DU167" s="2668"/>
      <c r="DV167" s="2668"/>
      <c r="DW167" s="2668"/>
      <c r="DX167" s="2668"/>
      <c r="DY167" s="2668"/>
      <c r="DZ167" s="2668"/>
      <c r="EA167" s="2668"/>
      <c r="EB167" s="2668"/>
      <c r="EC167" s="2668"/>
      <c r="ED167" s="2668"/>
      <c r="EE167" s="2668"/>
      <c r="EF167" s="2668"/>
      <c r="EG167" s="2668"/>
      <c r="EH167" s="2668"/>
      <c r="EI167" s="2668"/>
      <c r="EJ167" s="2668"/>
      <c r="EK167" s="2668"/>
      <c r="EL167" s="2668"/>
      <c r="EM167" s="2668"/>
      <c r="EN167" s="2668"/>
      <c r="EO167" s="2668"/>
      <c r="EP167" s="2668"/>
      <c r="EQ167" s="2668"/>
      <c r="ER167" s="561"/>
      <c r="ES167" s="561"/>
      <c r="ET167" s="561"/>
      <c r="EU167" s="561"/>
      <c r="EV167" s="561"/>
      <c r="EW167" s="561"/>
      <c r="EX167" s="561"/>
      <c r="EY167" s="561"/>
      <c r="EZ167" s="561"/>
      <c r="FA167" s="2668" t="s">
        <v>189</v>
      </c>
      <c r="FB167" s="2668"/>
      <c r="FC167" s="2668"/>
      <c r="FD167" s="2668"/>
      <c r="FE167" s="2668"/>
      <c r="FF167" s="2668"/>
      <c r="FG167" s="2668"/>
      <c r="FH167" s="2668"/>
      <c r="FI167" s="2668"/>
      <c r="FJ167" s="2668"/>
      <c r="FK167" s="2668"/>
      <c r="FL167" s="2668"/>
      <c r="FM167" s="2668"/>
      <c r="FN167" s="2668"/>
      <c r="FO167" s="2668"/>
      <c r="FP167" s="2668"/>
      <c r="FQ167" s="2668"/>
      <c r="FR167" s="2668"/>
      <c r="FS167" s="2668"/>
      <c r="FT167" s="2668"/>
      <c r="FU167" s="2668"/>
      <c r="FV167" s="2668"/>
      <c r="FW167" s="2668"/>
      <c r="FX167" s="2668"/>
      <c r="FY167" s="2668"/>
      <c r="FZ167" s="2668"/>
      <c r="GA167" s="2668"/>
      <c r="GB167" s="2668"/>
      <c r="GC167" s="2668"/>
      <c r="GD167" s="2668"/>
      <c r="GE167" s="2668"/>
      <c r="GF167" s="2668"/>
      <c r="GG167" s="2668"/>
      <c r="GH167" s="2668"/>
      <c r="GI167" s="2668"/>
      <c r="GJ167" s="2668"/>
      <c r="GK167" s="2668"/>
      <c r="GL167" s="2668"/>
      <c r="GM167" s="561"/>
      <c r="GN167" s="561"/>
      <c r="GO167" s="561"/>
      <c r="GP167" s="561"/>
      <c r="GQ167" s="561"/>
      <c r="GR167" s="561"/>
      <c r="GS167" s="561"/>
      <c r="GT167" s="561"/>
      <c r="GU167" s="2668" t="s">
        <v>190</v>
      </c>
      <c r="GV167" s="2668"/>
      <c r="GW167" s="2668"/>
      <c r="GX167" s="2668"/>
      <c r="GY167" s="2668"/>
      <c r="GZ167" s="2668"/>
      <c r="HA167" s="2668"/>
      <c r="HB167" s="2668"/>
      <c r="HC167" s="2668"/>
      <c r="HD167" s="2668"/>
      <c r="HE167" s="2668"/>
      <c r="HF167" s="2668"/>
      <c r="HG167" s="2668"/>
      <c r="HH167" s="2668"/>
      <c r="HI167" s="2668"/>
      <c r="HJ167" s="2668"/>
      <c r="HK167" s="2668"/>
      <c r="HL167" s="2668"/>
      <c r="HM167" s="2668"/>
      <c r="HN167" s="2668"/>
      <c r="HO167" s="2668"/>
      <c r="HP167" s="2668"/>
      <c r="HQ167" s="2668"/>
      <c r="HR167" s="2668"/>
      <c r="HS167" s="2668"/>
      <c r="HT167" s="2668"/>
      <c r="HU167" s="2668"/>
      <c r="HV167" s="2668"/>
      <c r="HW167" s="2668"/>
      <c r="HX167" s="2668"/>
      <c r="HY167" s="2668"/>
      <c r="HZ167" s="2668"/>
      <c r="IA167" s="2668"/>
      <c r="IB167" s="2668"/>
      <c r="IC167" s="2668"/>
      <c r="ID167" s="2668"/>
    </row>
    <row r="168" spans="65:238" ht="4.1500000000000004" customHeight="1">
      <c r="BM168" s="496"/>
      <c r="BN168" s="496"/>
      <c r="BO168" s="496"/>
      <c r="BP168" s="496"/>
      <c r="BQ168" s="496"/>
      <c r="BR168" s="496"/>
      <c r="BS168" s="496"/>
      <c r="BT168" s="496"/>
      <c r="BU168" s="496"/>
      <c r="BV168" s="496"/>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K168" s="2668"/>
      <c r="DL168" s="2668"/>
      <c r="DM168" s="2668"/>
      <c r="DN168" s="2668"/>
      <c r="DO168" s="2668"/>
      <c r="DP168" s="2668"/>
      <c r="DQ168" s="2668"/>
      <c r="DR168" s="2668"/>
      <c r="DS168" s="2668"/>
      <c r="DT168" s="2668"/>
      <c r="DU168" s="2668"/>
      <c r="DV168" s="2668"/>
      <c r="DW168" s="2668"/>
      <c r="DX168" s="2668"/>
      <c r="DY168" s="2668"/>
      <c r="DZ168" s="2668"/>
      <c r="EA168" s="2668"/>
      <c r="EB168" s="2668"/>
      <c r="EC168" s="2668"/>
      <c r="ED168" s="2668"/>
      <c r="EE168" s="2668"/>
      <c r="EF168" s="2668"/>
      <c r="EG168" s="2668"/>
      <c r="EH168" s="2668"/>
      <c r="EI168" s="2668"/>
      <c r="EJ168" s="2668"/>
      <c r="EK168" s="2668"/>
      <c r="EL168" s="2668"/>
      <c r="EM168" s="2668"/>
      <c r="EN168" s="2668"/>
      <c r="EO168" s="2668"/>
      <c r="EP168" s="2668"/>
      <c r="EQ168" s="2668"/>
      <c r="ER168" s="562"/>
      <c r="ES168" s="562"/>
      <c r="ET168" s="562"/>
      <c r="EU168" s="562"/>
      <c r="EV168" s="562"/>
      <c r="EW168" s="562"/>
      <c r="EX168" s="562"/>
      <c r="EY168" s="562"/>
      <c r="EZ168" s="562"/>
      <c r="FA168" s="2668"/>
      <c r="FB168" s="2668"/>
      <c r="FC168" s="2668"/>
      <c r="FD168" s="2668"/>
      <c r="FE168" s="2668"/>
      <c r="FF168" s="2668"/>
      <c r="FG168" s="2668"/>
      <c r="FH168" s="2668"/>
      <c r="FI168" s="2668"/>
      <c r="FJ168" s="2668"/>
      <c r="FK168" s="2668"/>
      <c r="FL168" s="2668"/>
      <c r="FM168" s="2668"/>
      <c r="FN168" s="2668"/>
      <c r="FO168" s="2668"/>
      <c r="FP168" s="2668"/>
      <c r="FQ168" s="2668"/>
      <c r="FR168" s="2668"/>
      <c r="FS168" s="2668"/>
      <c r="FT168" s="2668"/>
      <c r="FU168" s="2668"/>
      <c r="FV168" s="2668"/>
      <c r="FW168" s="2668"/>
      <c r="FX168" s="2668"/>
      <c r="FY168" s="2668"/>
      <c r="FZ168" s="2668"/>
      <c r="GA168" s="2668"/>
      <c r="GB168" s="2668"/>
      <c r="GC168" s="2668"/>
      <c r="GD168" s="2668"/>
      <c r="GE168" s="2668"/>
      <c r="GF168" s="2668"/>
      <c r="GG168" s="2668"/>
      <c r="GH168" s="2668"/>
      <c r="GI168" s="2668"/>
      <c r="GJ168" s="2668"/>
      <c r="GK168" s="2668"/>
      <c r="GL168" s="2668"/>
      <c r="GM168" s="561"/>
      <c r="GN168" s="561"/>
      <c r="GO168" s="561"/>
      <c r="GP168" s="561"/>
      <c r="GQ168" s="561"/>
      <c r="GR168" s="561"/>
      <c r="GS168" s="561"/>
      <c r="GT168" s="561"/>
      <c r="GU168" s="2668"/>
      <c r="GV168" s="2668"/>
      <c r="GW168" s="2668"/>
      <c r="GX168" s="2668"/>
      <c r="GY168" s="2668"/>
      <c r="GZ168" s="2668"/>
      <c r="HA168" s="2668"/>
      <c r="HB168" s="2668"/>
      <c r="HC168" s="2668"/>
      <c r="HD168" s="2668"/>
      <c r="HE168" s="2668"/>
      <c r="HF168" s="2668"/>
      <c r="HG168" s="2668"/>
      <c r="HH168" s="2668"/>
      <c r="HI168" s="2668"/>
      <c r="HJ168" s="2668"/>
      <c r="HK168" s="2668"/>
      <c r="HL168" s="2668"/>
      <c r="HM168" s="2668"/>
      <c r="HN168" s="2668"/>
      <c r="HO168" s="2668"/>
      <c r="HP168" s="2668"/>
      <c r="HQ168" s="2668"/>
      <c r="HR168" s="2668"/>
      <c r="HS168" s="2668"/>
      <c r="HT168" s="2668"/>
      <c r="HU168" s="2668"/>
      <c r="HV168" s="2668"/>
      <c r="HW168" s="2668"/>
      <c r="HX168" s="2668"/>
      <c r="HY168" s="2668"/>
      <c r="HZ168" s="2668"/>
      <c r="IA168" s="2668"/>
      <c r="IB168" s="2668"/>
      <c r="IC168" s="2668"/>
      <c r="ID168" s="2668"/>
    </row>
    <row r="169" spans="65:238" ht="4.1500000000000004" customHeight="1">
      <c r="BM169" s="496"/>
      <c r="BN169" s="496"/>
      <c r="BO169" s="496"/>
      <c r="BP169" s="496"/>
      <c r="BQ169" s="496"/>
      <c r="BR169" s="496"/>
      <c r="BS169" s="496"/>
      <c r="BT169" s="496"/>
      <c r="BU169" s="496"/>
      <c r="BV169" s="496"/>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K169" s="2668"/>
      <c r="DL169" s="2668"/>
      <c r="DM169" s="2668"/>
      <c r="DN169" s="2668"/>
      <c r="DO169" s="2668"/>
      <c r="DP169" s="2668"/>
      <c r="DQ169" s="2668"/>
      <c r="DR169" s="2668"/>
      <c r="DS169" s="2668"/>
      <c r="DT169" s="2668"/>
      <c r="DU169" s="2668"/>
      <c r="DV169" s="2668"/>
      <c r="DW169" s="2668"/>
      <c r="DX169" s="2668"/>
      <c r="DY169" s="2668"/>
      <c r="DZ169" s="2668"/>
      <c r="EA169" s="2668"/>
      <c r="EB169" s="2668"/>
      <c r="EC169" s="2668"/>
      <c r="ED169" s="2668"/>
      <c r="EE169" s="2668"/>
      <c r="EF169" s="2668"/>
      <c r="EG169" s="2668"/>
      <c r="EH169" s="2668"/>
      <c r="EI169" s="2668"/>
      <c r="EJ169" s="2668"/>
      <c r="EK169" s="2668"/>
      <c r="EL169" s="2668"/>
      <c r="EM169" s="2668"/>
      <c r="EN169" s="2668"/>
      <c r="EO169" s="2668"/>
      <c r="EP169" s="2668"/>
      <c r="EQ169" s="2668"/>
      <c r="ER169" s="562"/>
      <c r="ES169" s="562"/>
      <c r="ET169" s="562"/>
      <c r="EU169" s="562"/>
      <c r="EV169" s="562"/>
      <c r="EW169" s="562"/>
      <c r="EX169" s="562"/>
      <c r="EY169" s="562"/>
      <c r="EZ169" s="562"/>
      <c r="FA169" s="2668"/>
      <c r="FB169" s="2668"/>
      <c r="FC169" s="2668"/>
      <c r="FD169" s="2668"/>
      <c r="FE169" s="2668"/>
      <c r="FF169" s="2668"/>
      <c r="FG169" s="2668"/>
      <c r="FH169" s="2668"/>
      <c r="FI169" s="2668"/>
      <c r="FJ169" s="2668"/>
      <c r="FK169" s="2668"/>
      <c r="FL169" s="2668"/>
      <c r="FM169" s="2668"/>
      <c r="FN169" s="2668"/>
      <c r="FO169" s="2668"/>
      <c r="FP169" s="2668"/>
      <c r="FQ169" s="2668"/>
      <c r="FR169" s="2668"/>
      <c r="FS169" s="2668"/>
      <c r="FT169" s="2668"/>
      <c r="FU169" s="2668"/>
      <c r="FV169" s="2668"/>
      <c r="FW169" s="2668"/>
      <c r="FX169" s="2668"/>
      <c r="FY169" s="2668"/>
      <c r="FZ169" s="2668"/>
      <c r="GA169" s="2668"/>
      <c r="GB169" s="2668"/>
      <c r="GC169" s="2668"/>
      <c r="GD169" s="2668"/>
      <c r="GE169" s="2668"/>
      <c r="GF169" s="2668"/>
      <c r="GG169" s="2668"/>
      <c r="GH169" s="2668"/>
      <c r="GI169" s="2668"/>
      <c r="GJ169" s="2668"/>
      <c r="GK169" s="2668"/>
      <c r="GL169" s="2668"/>
      <c r="GM169" s="561"/>
      <c r="GN169" s="561"/>
      <c r="GO169" s="561"/>
      <c r="GP169" s="561"/>
      <c r="GQ169" s="561"/>
      <c r="GR169" s="561"/>
      <c r="GS169" s="561"/>
      <c r="GT169" s="561"/>
      <c r="GU169" s="2668"/>
      <c r="GV169" s="2668"/>
      <c r="GW169" s="2668"/>
      <c r="GX169" s="2668"/>
      <c r="GY169" s="2668"/>
      <c r="GZ169" s="2668"/>
      <c r="HA169" s="2668"/>
      <c r="HB169" s="2668"/>
      <c r="HC169" s="2668"/>
      <c r="HD169" s="2668"/>
      <c r="HE169" s="2668"/>
      <c r="HF169" s="2668"/>
      <c r="HG169" s="2668"/>
      <c r="HH169" s="2668"/>
      <c r="HI169" s="2668"/>
      <c r="HJ169" s="2668"/>
      <c r="HK169" s="2668"/>
      <c r="HL169" s="2668"/>
      <c r="HM169" s="2668"/>
      <c r="HN169" s="2668"/>
      <c r="HO169" s="2668"/>
      <c r="HP169" s="2668"/>
      <c r="HQ169" s="2668"/>
      <c r="HR169" s="2668"/>
      <c r="HS169" s="2668"/>
      <c r="HT169" s="2668"/>
      <c r="HU169" s="2668"/>
      <c r="HV169" s="2668"/>
      <c r="HW169" s="2668"/>
      <c r="HX169" s="2668"/>
      <c r="HY169" s="2668"/>
      <c r="HZ169" s="2668"/>
      <c r="IA169" s="2668"/>
      <c r="IB169" s="2668"/>
      <c r="IC169" s="2668"/>
      <c r="ID169" s="2668"/>
    </row>
    <row r="170" spans="65:238" ht="4.1500000000000004" customHeight="1">
      <c r="BM170" s="496"/>
      <c r="BN170" s="496"/>
      <c r="BO170" s="496"/>
      <c r="BP170" s="496"/>
      <c r="BQ170" s="496"/>
      <c r="BR170" s="496"/>
      <c r="BS170" s="496"/>
      <c r="BT170" s="496"/>
      <c r="BU170" s="496"/>
      <c r="BV170" s="496"/>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K170" s="2668" t="s">
        <v>191</v>
      </c>
      <c r="DL170" s="2668"/>
      <c r="DM170" s="2668"/>
      <c r="DN170" s="2668"/>
      <c r="DO170" s="2668"/>
      <c r="DP170" s="2668"/>
      <c r="DQ170" s="2668"/>
      <c r="DR170" s="2668"/>
      <c r="DS170" s="2668"/>
      <c r="DT170" s="2668"/>
      <c r="DU170" s="2668"/>
      <c r="DV170" s="2668"/>
      <c r="DW170" s="2668"/>
      <c r="DX170" s="2668"/>
      <c r="DY170" s="2668"/>
      <c r="DZ170" s="2668"/>
      <c r="EA170" s="2668"/>
      <c r="EB170" s="2668"/>
      <c r="EC170" s="2668"/>
      <c r="ED170" s="2668"/>
      <c r="EE170" s="2668"/>
      <c r="EF170" s="2668"/>
      <c r="EG170" s="2668"/>
      <c r="EH170" s="2668"/>
      <c r="EI170" s="2668"/>
      <c r="EJ170" s="2668"/>
      <c r="EK170" s="2668"/>
      <c r="EL170" s="2668"/>
      <c r="EM170" s="2668"/>
      <c r="EN170" s="2668"/>
      <c r="EO170" s="2668"/>
      <c r="EP170" s="2668"/>
      <c r="EQ170" s="2668"/>
      <c r="ER170" s="562"/>
      <c r="ES170" s="562"/>
      <c r="ET170" s="562"/>
      <c r="EU170" s="562"/>
      <c r="EV170" s="562"/>
      <c r="EW170" s="562"/>
      <c r="EX170" s="562"/>
      <c r="EY170" s="562"/>
      <c r="EZ170" s="562"/>
      <c r="FA170" s="562"/>
      <c r="FB170" s="562"/>
      <c r="FC170" s="2668" t="s">
        <v>191</v>
      </c>
      <c r="FD170" s="2668"/>
      <c r="FE170" s="2668"/>
      <c r="FF170" s="2668"/>
      <c r="FG170" s="2668"/>
      <c r="FH170" s="2668"/>
      <c r="FI170" s="2668"/>
      <c r="FJ170" s="2668"/>
      <c r="FK170" s="2668"/>
      <c r="FL170" s="2668"/>
      <c r="FM170" s="2668"/>
      <c r="FN170" s="2668"/>
      <c r="FO170" s="2668"/>
      <c r="FP170" s="2668"/>
      <c r="FQ170" s="2668"/>
      <c r="FR170" s="2668"/>
      <c r="FS170" s="2668"/>
      <c r="FT170" s="2668"/>
      <c r="FU170" s="2668"/>
      <c r="FV170" s="2668"/>
      <c r="FW170" s="2668"/>
      <c r="FX170" s="2668"/>
      <c r="FY170" s="2668"/>
      <c r="FZ170" s="2668"/>
      <c r="GA170" s="2668"/>
      <c r="GB170" s="2668"/>
      <c r="GC170" s="2668"/>
      <c r="GD170" s="2668"/>
      <c r="GE170" s="2668"/>
      <c r="GF170" s="2668"/>
      <c r="GG170" s="2668"/>
      <c r="GH170" s="2668"/>
      <c r="GI170" s="2668"/>
      <c r="GJ170" s="2668"/>
      <c r="GK170" s="562"/>
      <c r="GL170" s="562"/>
      <c r="GM170" s="561"/>
      <c r="GN170" s="561"/>
      <c r="GO170" s="561"/>
      <c r="GP170" s="561"/>
      <c r="GQ170" s="561"/>
      <c r="GR170" s="561"/>
      <c r="GS170" s="561"/>
      <c r="GT170" s="561"/>
      <c r="GU170" s="2668" t="s">
        <v>1642</v>
      </c>
      <c r="GV170" s="2668"/>
      <c r="GW170" s="2668"/>
      <c r="GX170" s="2668"/>
      <c r="GY170" s="2668"/>
      <c r="GZ170" s="2668"/>
      <c r="HA170" s="2668"/>
      <c r="HB170" s="2668"/>
      <c r="HC170" s="2668"/>
      <c r="HD170" s="2668"/>
      <c r="HE170" s="2668"/>
      <c r="HF170" s="2668"/>
      <c r="HG170" s="2668"/>
      <c r="HH170" s="2668"/>
      <c r="HI170" s="2668"/>
      <c r="HJ170" s="2668"/>
      <c r="HK170" s="2668"/>
      <c r="HL170" s="2668"/>
      <c r="HM170" s="2668"/>
      <c r="HN170" s="2668"/>
      <c r="HO170" s="2668"/>
      <c r="HP170" s="2668"/>
      <c r="HQ170" s="2668"/>
      <c r="HR170" s="2668"/>
      <c r="HS170" s="2668"/>
      <c r="HT170" s="2668"/>
      <c r="HU170" s="2668"/>
      <c r="HV170" s="2668"/>
      <c r="HW170" s="2668"/>
      <c r="HX170" s="2668"/>
      <c r="HY170" s="2668"/>
      <c r="HZ170" s="2668"/>
      <c r="IA170" s="2668"/>
      <c r="IB170" s="2668"/>
      <c r="IC170" s="2668"/>
      <c r="ID170" s="2668"/>
    </row>
    <row r="171" spans="65:238" ht="4.1500000000000004" customHeight="1">
      <c r="BM171" s="496"/>
      <c r="BN171" s="496"/>
      <c r="BO171" s="496"/>
      <c r="BP171" s="496"/>
      <c r="BQ171" s="496"/>
      <c r="BR171" s="496"/>
      <c r="BS171" s="496"/>
      <c r="BT171" s="496"/>
      <c r="BU171" s="496"/>
      <c r="BV171" s="496"/>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K171" s="2668"/>
      <c r="DL171" s="2668"/>
      <c r="DM171" s="2668"/>
      <c r="DN171" s="2668"/>
      <c r="DO171" s="2668"/>
      <c r="DP171" s="2668"/>
      <c r="DQ171" s="2668"/>
      <c r="DR171" s="2668"/>
      <c r="DS171" s="2668"/>
      <c r="DT171" s="2668"/>
      <c r="DU171" s="2668"/>
      <c r="DV171" s="2668"/>
      <c r="DW171" s="2668"/>
      <c r="DX171" s="2668"/>
      <c r="DY171" s="2668"/>
      <c r="DZ171" s="2668"/>
      <c r="EA171" s="2668"/>
      <c r="EB171" s="2668"/>
      <c r="EC171" s="2668"/>
      <c r="ED171" s="2668"/>
      <c r="EE171" s="2668"/>
      <c r="EF171" s="2668"/>
      <c r="EG171" s="2668"/>
      <c r="EH171" s="2668"/>
      <c r="EI171" s="2668"/>
      <c r="EJ171" s="2668"/>
      <c r="EK171" s="2668"/>
      <c r="EL171" s="2668"/>
      <c r="EM171" s="2668"/>
      <c r="EN171" s="2668"/>
      <c r="EO171" s="2668"/>
      <c r="EP171" s="2668"/>
      <c r="EQ171" s="2668"/>
      <c r="ER171" s="562"/>
      <c r="ES171" s="562"/>
      <c r="ET171" s="562"/>
      <c r="EU171" s="562"/>
      <c r="EV171" s="562"/>
      <c r="EW171" s="562"/>
      <c r="EX171" s="562"/>
      <c r="EY171" s="562"/>
      <c r="EZ171" s="562"/>
      <c r="FA171" s="562"/>
      <c r="FB171" s="562"/>
      <c r="FC171" s="2668"/>
      <c r="FD171" s="2668"/>
      <c r="FE171" s="2668"/>
      <c r="FF171" s="2668"/>
      <c r="FG171" s="2668"/>
      <c r="FH171" s="2668"/>
      <c r="FI171" s="2668"/>
      <c r="FJ171" s="2668"/>
      <c r="FK171" s="2668"/>
      <c r="FL171" s="2668"/>
      <c r="FM171" s="2668"/>
      <c r="FN171" s="2668"/>
      <c r="FO171" s="2668"/>
      <c r="FP171" s="2668"/>
      <c r="FQ171" s="2668"/>
      <c r="FR171" s="2668"/>
      <c r="FS171" s="2668"/>
      <c r="FT171" s="2668"/>
      <c r="FU171" s="2668"/>
      <c r="FV171" s="2668"/>
      <c r="FW171" s="2668"/>
      <c r="FX171" s="2668"/>
      <c r="FY171" s="2668"/>
      <c r="FZ171" s="2668"/>
      <c r="GA171" s="2668"/>
      <c r="GB171" s="2668"/>
      <c r="GC171" s="2668"/>
      <c r="GD171" s="2668"/>
      <c r="GE171" s="2668"/>
      <c r="GF171" s="2668"/>
      <c r="GG171" s="2668"/>
      <c r="GH171" s="2668"/>
      <c r="GI171" s="2668"/>
      <c r="GJ171" s="2668"/>
      <c r="GK171" s="562"/>
      <c r="GL171" s="562"/>
      <c r="GM171" s="561"/>
      <c r="GN171" s="561"/>
      <c r="GO171" s="561"/>
      <c r="GP171" s="561"/>
      <c r="GQ171" s="561"/>
      <c r="GR171" s="561"/>
      <c r="GS171" s="561"/>
      <c r="GT171" s="561"/>
      <c r="GU171" s="2668"/>
      <c r="GV171" s="2668"/>
      <c r="GW171" s="2668"/>
      <c r="GX171" s="2668"/>
      <c r="GY171" s="2668"/>
      <c r="GZ171" s="2668"/>
      <c r="HA171" s="2668"/>
      <c r="HB171" s="2668"/>
      <c r="HC171" s="2668"/>
      <c r="HD171" s="2668"/>
      <c r="HE171" s="2668"/>
      <c r="HF171" s="2668"/>
      <c r="HG171" s="2668"/>
      <c r="HH171" s="2668"/>
      <c r="HI171" s="2668"/>
      <c r="HJ171" s="2668"/>
      <c r="HK171" s="2668"/>
      <c r="HL171" s="2668"/>
      <c r="HM171" s="2668"/>
      <c r="HN171" s="2668"/>
      <c r="HO171" s="2668"/>
      <c r="HP171" s="2668"/>
      <c r="HQ171" s="2668"/>
      <c r="HR171" s="2668"/>
      <c r="HS171" s="2668"/>
      <c r="HT171" s="2668"/>
      <c r="HU171" s="2668"/>
      <c r="HV171" s="2668"/>
      <c r="HW171" s="2668"/>
      <c r="HX171" s="2668"/>
      <c r="HY171" s="2668"/>
      <c r="HZ171" s="2668"/>
      <c r="IA171" s="2668"/>
      <c r="IB171" s="2668"/>
      <c r="IC171" s="2668"/>
      <c r="ID171" s="2668"/>
    </row>
    <row r="172" spans="65:238" ht="4.1500000000000004" customHeight="1">
      <c r="BM172" s="496"/>
      <c r="BN172" s="496"/>
      <c r="BO172" s="496"/>
      <c r="BP172" s="496"/>
      <c r="BQ172" s="496"/>
      <c r="BR172" s="496"/>
      <c r="BS172" s="496"/>
      <c r="BT172" s="496"/>
      <c r="BU172" s="496"/>
      <c r="BV172" s="496"/>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K172" s="2668"/>
      <c r="DL172" s="2668"/>
      <c r="DM172" s="2668"/>
      <c r="DN172" s="2668"/>
      <c r="DO172" s="2668"/>
      <c r="DP172" s="2668"/>
      <c r="DQ172" s="2668"/>
      <c r="DR172" s="2668"/>
      <c r="DS172" s="2668"/>
      <c r="DT172" s="2668"/>
      <c r="DU172" s="2668"/>
      <c r="DV172" s="2668"/>
      <c r="DW172" s="2668"/>
      <c r="DX172" s="2668"/>
      <c r="DY172" s="2668"/>
      <c r="DZ172" s="2668"/>
      <c r="EA172" s="2668"/>
      <c r="EB172" s="2668"/>
      <c r="EC172" s="2668"/>
      <c r="ED172" s="2668"/>
      <c r="EE172" s="2668"/>
      <c r="EF172" s="2668"/>
      <c r="EG172" s="2668"/>
      <c r="EH172" s="2668"/>
      <c r="EI172" s="2668"/>
      <c r="EJ172" s="2668"/>
      <c r="EK172" s="2668"/>
      <c r="EL172" s="2668"/>
      <c r="EM172" s="2668"/>
      <c r="EN172" s="2668"/>
      <c r="EO172" s="2668"/>
      <c r="EP172" s="2668"/>
      <c r="EQ172" s="2668"/>
      <c r="ER172" s="562"/>
      <c r="ES172" s="562"/>
      <c r="ET172" s="562"/>
      <c r="EU172" s="562"/>
      <c r="EV172" s="562"/>
      <c r="EW172" s="562"/>
      <c r="EX172" s="562"/>
      <c r="EY172" s="562"/>
      <c r="EZ172" s="562"/>
      <c r="FA172" s="562"/>
      <c r="FB172" s="562"/>
      <c r="FC172" s="2668"/>
      <c r="FD172" s="2668"/>
      <c r="FE172" s="2668"/>
      <c r="FF172" s="2668"/>
      <c r="FG172" s="2668"/>
      <c r="FH172" s="2668"/>
      <c r="FI172" s="2668"/>
      <c r="FJ172" s="2668"/>
      <c r="FK172" s="2668"/>
      <c r="FL172" s="2668"/>
      <c r="FM172" s="2668"/>
      <c r="FN172" s="2668"/>
      <c r="FO172" s="2668"/>
      <c r="FP172" s="2668"/>
      <c r="FQ172" s="2668"/>
      <c r="FR172" s="2668"/>
      <c r="FS172" s="2668"/>
      <c r="FT172" s="2668"/>
      <c r="FU172" s="2668"/>
      <c r="FV172" s="2668"/>
      <c r="FW172" s="2668"/>
      <c r="FX172" s="2668"/>
      <c r="FY172" s="2668"/>
      <c r="FZ172" s="2668"/>
      <c r="GA172" s="2668"/>
      <c r="GB172" s="2668"/>
      <c r="GC172" s="2668"/>
      <c r="GD172" s="2668"/>
      <c r="GE172" s="2668"/>
      <c r="GF172" s="2668"/>
      <c r="GG172" s="2668"/>
      <c r="GH172" s="2668"/>
      <c r="GI172" s="2668"/>
      <c r="GJ172" s="2668"/>
      <c r="GK172" s="562"/>
      <c r="GL172" s="562"/>
      <c r="GM172" s="561"/>
      <c r="GN172" s="561"/>
      <c r="GO172" s="561"/>
      <c r="GP172" s="561"/>
      <c r="GQ172" s="561"/>
      <c r="GR172" s="561"/>
      <c r="GS172" s="561"/>
      <c r="GT172" s="561"/>
      <c r="GU172" s="2668"/>
      <c r="GV172" s="2668"/>
      <c r="GW172" s="2668"/>
      <c r="GX172" s="2668"/>
      <c r="GY172" s="2668"/>
      <c r="GZ172" s="2668"/>
      <c r="HA172" s="2668"/>
      <c r="HB172" s="2668"/>
      <c r="HC172" s="2668"/>
      <c r="HD172" s="2668"/>
      <c r="HE172" s="2668"/>
      <c r="HF172" s="2668"/>
      <c r="HG172" s="2668"/>
      <c r="HH172" s="2668"/>
      <c r="HI172" s="2668"/>
      <c r="HJ172" s="2668"/>
      <c r="HK172" s="2668"/>
      <c r="HL172" s="2668"/>
      <c r="HM172" s="2668"/>
      <c r="HN172" s="2668"/>
      <c r="HO172" s="2668"/>
      <c r="HP172" s="2668"/>
      <c r="HQ172" s="2668"/>
      <c r="HR172" s="2668"/>
      <c r="HS172" s="2668"/>
      <c r="HT172" s="2668"/>
      <c r="HU172" s="2668"/>
      <c r="HV172" s="2668"/>
      <c r="HW172" s="2668"/>
      <c r="HX172" s="2668"/>
      <c r="HY172" s="2668"/>
      <c r="HZ172" s="2668"/>
      <c r="IA172" s="2668"/>
      <c r="IB172" s="2668"/>
      <c r="IC172" s="2668"/>
      <c r="ID172" s="2668"/>
    </row>
    <row r="173" spans="65:238" ht="4.1500000000000004" customHeight="1">
      <c r="BM173" s="496"/>
      <c r="BN173" s="496"/>
      <c r="BO173" s="496"/>
      <c r="BP173" s="496"/>
      <c r="BQ173" s="496"/>
      <c r="BR173" s="496"/>
      <c r="BS173" s="496"/>
      <c r="BT173" s="496"/>
      <c r="BU173" s="496"/>
      <c r="BV173" s="496"/>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row>
  </sheetData>
  <mergeCells count="128">
    <mergeCell ref="DX31:ED33"/>
    <mergeCell ref="DL32:DO41"/>
    <mergeCell ref="EY35:FB44"/>
    <mergeCell ref="HG35:HJ44"/>
    <mergeCell ref="JA14:JG15"/>
    <mergeCell ref="EC15:ED20"/>
    <mergeCell ref="HC15:HN17"/>
    <mergeCell ref="EY16:FB25"/>
    <mergeCell ref="IT16:IW24"/>
    <mergeCell ref="HC20:HN22"/>
    <mergeCell ref="FR49:FX51"/>
    <mergeCell ref="EU53:FF55"/>
    <mergeCell ref="FK53:FN61"/>
    <mergeCell ref="EE56:EI61"/>
    <mergeCell ref="EU58:FF60"/>
    <mergeCell ref="FR59:FX61"/>
    <mergeCell ref="II26:IP28"/>
    <mergeCell ref="EU27:FF29"/>
    <mergeCell ref="HC27:HN29"/>
    <mergeCell ref="FJ30:FM39"/>
    <mergeCell ref="AW62:BJ65"/>
    <mergeCell ref="EC62:EK66"/>
    <mergeCell ref="EU63:FF65"/>
    <mergeCell ref="GV63:GY68"/>
    <mergeCell ref="HN64:HX66"/>
    <mergeCell ref="EA67:EM71"/>
    <mergeCell ref="AW68:BJ71"/>
    <mergeCell ref="EU68:FF70"/>
    <mergeCell ref="FK68:FN77"/>
    <mergeCell ref="GJ69:GT75"/>
    <mergeCell ref="GU69:GZ71"/>
    <mergeCell ref="HA69:HK75"/>
    <mergeCell ref="GB71:GE80"/>
    <mergeCell ref="HN71:HX73"/>
    <mergeCell ref="DY72:EO76"/>
    <mergeCell ref="EU73:FF75"/>
    <mergeCell ref="EU77:FF79"/>
    <mergeCell ref="HN78:HX80"/>
    <mergeCell ref="EU80:FF82"/>
    <mergeCell ref="AT95:AZ97"/>
    <mergeCell ref="BA95:BD97"/>
    <mergeCell ref="BE95:BK97"/>
    <mergeCell ref="CO95:CR104"/>
    <mergeCell ref="EO95:EU97"/>
    <mergeCell ref="EV95:FB97"/>
    <mergeCell ref="HN83:HX85"/>
    <mergeCell ref="CJ84:CK90"/>
    <mergeCell ref="EA85:EN88"/>
    <mergeCell ref="HN86:HX88"/>
    <mergeCell ref="GQ91:HB93"/>
    <mergeCell ref="AT92:BK94"/>
    <mergeCell ref="FC95:FI97"/>
    <mergeCell ref="DP96:DU98"/>
    <mergeCell ref="GE98:IC101"/>
    <mergeCell ref="FI99:FQ101"/>
    <mergeCell ref="FI102:FQ104"/>
    <mergeCell ref="GE102:GP104"/>
    <mergeCell ref="GQ102:HA104"/>
    <mergeCell ref="HB102:HE104"/>
    <mergeCell ref="HF102:HP104"/>
    <mergeCell ref="HQ102:HT104"/>
    <mergeCell ref="HU102:IC104"/>
    <mergeCell ref="HF105:HP107"/>
    <mergeCell ref="HQ105:HT107"/>
    <mergeCell ref="HU105:IC107"/>
    <mergeCell ref="HF108:HP110"/>
    <mergeCell ref="HQ108:HT110"/>
    <mergeCell ref="HU108:IC110"/>
    <mergeCell ref="HF111:HP113"/>
    <mergeCell ref="HQ111:HT113"/>
    <mergeCell ref="HU111:IC113"/>
    <mergeCell ref="O106:R115"/>
    <mergeCell ref="EB108:EL111"/>
    <mergeCell ref="FJ108:FQ109"/>
    <mergeCell ref="GE108:GP110"/>
    <mergeCell ref="GQ108:HA110"/>
    <mergeCell ref="HB108:HE110"/>
    <mergeCell ref="EO114:FI116"/>
    <mergeCell ref="GE114:GP116"/>
    <mergeCell ref="GQ114:HA116"/>
    <mergeCell ref="HB114:HE116"/>
    <mergeCell ref="FJ110:FQ111"/>
    <mergeCell ref="GE111:GP113"/>
    <mergeCell ref="GQ111:HA113"/>
    <mergeCell ref="HB111:HE113"/>
    <mergeCell ref="CV105:CY114"/>
    <mergeCell ref="EB105:EG107"/>
    <mergeCell ref="FI105:FQ107"/>
    <mergeCell ref="GE105:GP107"/>
    <mergeCell ref="GQ105:HA107"/>
    <mergeCell ref="HB105:HE107"/>
    <mergeCell ref="HQ123:HT125"/>
    <mergeCell ref="HU123:IC125"/>
    <mergeCell ref="GE120:GP122"/>
    <mergeCell ref="GQ120:HA122"/>
    <mergeCell ref="HB120:HE122"/>
    <mergeCell ref="HF120:HP122"/>
    <mergeCell ref="HQ120:HT122"/>
    <mergeCell ref="HU120:IC122"/>
    <mergeCell ref="HF114:HP116"/>
    <mergeCell ref="HQ114:HT116"/>
    <mergeCell ref="HU114:IC116"/>
    <mergeCell ref="GE117:GP119"/>
    <mergeCell ref="GQ117:HA119"/>
    <mergeCell ref="HB117:HE119"/>
    <mergeCell ref="HF117:HP119"/>
    <mergeCell ref="HQ117:HT119"/>
    <mergeCell ref="HU117:IC119"/>
    <mergeCell ref="X132:Y144"/>
    <mergeCell ref="CH132:CI143"/>
    <mergeCell ref="AG141:AS143"/>
    <mergeCell ref="BB141:BE143"/>
    <mergeCell ref="BM141:BY143"/>
    <mergeCell ref="GE123:GP125"/>
    <mergeCell ref="GQ123:HA125"/>
    <mergeCell ref="HB123:HE125"/>
    <mergeCell ref="HF123:HP125"/>
    <mergeCell ref="DK167:EQ169"/>
    <mergeCell ref="FA167:GL169"/>
    <mergeCell ref="GU167:ID169"/>
    <mergeCell ref="DK170:EQ172"/>
    <mergeCell ref="FC170:GJ172"/>
    <mergeCell ref="GU170:ID172"/>
    <mergeCell ref="AT126:BK128"/>
    <mergeCell ref="CO126:CR142"/>
    <mergeCell ref="AT129:AZ131"/>
    <mergeCell ref="BA129:BD131"/>
    <mergeCell ref="BE129:BK131"/>
  </mergeCells>
  <pageMargins left="0.19685039370078741" right="0.11811023622047245" top="0.35433070866141736" bottom="0.15748031496062992" header="0.31496062992125984" footer="0.31496062992125984"/>
  <pageSetup paperSize="9" scale="80" orientation="landscape" r:id="rId1"/>
</worksheet>
</file>

<file path=xl/worksheets/sheet16.xml><?xml version="1.0" encoding="utf-8"?>
<worksheet xmlns="http://schemas.openxmlformats.org/spreadsheetml/2006/main" xmlns:r="http://schemas.openxmlformats.org/officeDocument/2006/relationships">
  <dimension ref="D2:KJ167"/>
  <sheetViews>
    <sheetView view="pageBreakPreview" topLeftCell="A94" zoomScale="51" zoomScaleSheetLayoutView="51" workbookViewId="0">
      <selection activeCell="LL111" sqref="LL111"/>
    </sheetView>
  </sheetViews>
  <sheetFormatPr defaultColWidth="0.7109375" defaultRowHeight="4.1500000000000004" customHeight="1"/>
  <sheetData>
    <row r="2" spans="15:270" ht="4.1500000000000004" customHeight="1">
      <c r="AE2" s="2841" t="s">
        <v>3561</v>
      </c>
      <c r="AF2" s="2841"/>
      <c r="AG2" s="2841"/>
      <c r="AH2" s="2841"/>
      <c r="AI2" s="2841"/>
      <c r="AJ2" s="2841"/>
      <c r="AK2" s="2841"/>
      <c r="AL2" s="2841"/>
      <c r="AM2" s="2841"/>
      <c r="AN2" s="2841"/>
      <c r="AO2" s="2841"/>
      <c r="AP2" s="2841"/>
      <c r="AQ2" s="2841"/>
      <c r="AR2" s="2841"/>
      <c r="AS2" s="2841"/>
      <c r="AT2" s="2841"/>
      <c r="AU2" s="2841"/>
      <c r="AV2" s="2841"/>
      <c r="AW2" s="2841"/>
      <c r="AX2" s="2841"/>
      <c r="AY2" s="2841"/>
      <c r="AZ2" s="2841"/>
      <c r="BA2" s="2841"/>
      <c r="BB2" s="2841"/>
      <c r="BC2" s="2841"/>
      <c r="BD2" s="2841"/>
      <c r="BE2" s="2841"/>
      <c r="BF2" s="2841"/>
      <c r="BG2" s="2841"/>
      <c r="BH2" s="2841"/>
      <c r="BI2" s="2841"/>
      <c r="BJ2" s="2841"/>
      <c r="BK2" s="2841"/>
      <c r="BL2" s="2841"/>
      <c r="BM2" s="2841"/>
      <c r="BN2" s="2841"/>
      <c r="BO2" s="2841"/>
      <c r="BP2" s="2841"/>
      <c r="BQ2" s="2841"/>
      <c r="BR2" s="2841"/>
      <c r="BS2" s="2841"/>
      <c r="BT2" s="2841"/>
      <c r="BU2" s="2841"/>
      <c r="BV2" s="2841"/>
      <c r="BW2" s="2841"/>
      <c r="BX2" s="2841"/>
      <c r="BY2" s="2841"/>
      <c r="BZ2" s="2841"/>
      <c r="CA2" s="2841"/>
      <c r="CB2" s="2841"/>
      <c r="CC2" s="2841"/>
      <c r="CD2" s="2841"/>
      <c r="CE2" s="2841"/>
      <c r="CF2" s="2841"/>
      <c r="CG2" s="2841"/>
      <c r="CH2" s="2841"/>
      <c r="CI2" s="2841"/>
      <c r="CJ2" s="2841"/>
      <c r="CK2" s="2841"/>
      <c r="CL2" s="2841"/>
      <c r="CM2" s="2841"/>
      <c r="CN2" s="2841"/>
      <c r="CO2" s="2841"/>
      <c r="CP2" s="2841"/>
      <c r="CQ2" s="2841"/>
      <c r="CR2" s="2841"/>
      <c r="CS2" s="2841"/>
      <c r="CT2" s="2841"/>
      <c r="CU2" s="2841"/>
      <c r="CV2" s="2841"/>
      <c r="CW2" s="2841"/>
      <c r="CX2" s="2841"/>
      <c r="CY2" s="2841"/>
      <c r="CZ2" s="2841"/>
      <c r="DA2" s="2841"/>
      <c r="DB2" s="2841"/>
      <c r="DC2" s="2841"/>
      <c r="DD2" s="2841"/>
      <c r="DE2" s="2841"/>
      <c r="DF2" s="2841"/>
      <c r="DG2" s="2841"/>
      <c r="DH2" s="2841"/>
      <c r="DI2" s="2841"/>
      <c r="DJ2" s="2841"/>
      <c r="DK2" s="2841"/>
      <c r="DL2" s="2841"/>
      <c r="DM2" s="2841"/>
      <c r="DN2" s="2841"/>
      <c r="DO2" s="2841"/>
      <c r="DP2" s="2841"/>
      <c r="DQ2" s="2841"/>
      <c r="DR2" s="2841"/>
      <c r="DS2" s="2841"/>
      <c r="DT2" s="2841"/>
      <c r="DU2" s="2841"/>
      <c r="DV2" s="2841"/>
      <c r="DW2" s="2841"/>
      <c r="DX2" s="2841"/>
      <c r="DY2" s="2841"/>
      <c r="DZ2" s="2841"/>
      <c r="EA2" s="2841"/>
      <c r="EB2" s="2841"/>
      <c r="EC2" s="2841"/>
      <c r="ED2" s="2841"/>
      <c r="EE2" s="2841"/>
      <c r="EF2" s="2841"/>
      <c r="EG2" s="2841"/>
      <c r="EH2" s="2841"/>
      <c r="EI2" s="2841"/>
      <c r="EJ2" s="2841"/>
      <c r="EK2" s="2841"/>
      <c r="EL2" s="2841"/>
      <c r="EM2" s="2841"/>
      <c r="EN2" s="2841"/>
      <c r="EO2" s="2841"/>
      <c r="EP2" s="2841"/>
      <c r="EQ2" s="2841"/>
      <c r="ER2" s="2841"/>
      <c r="ES2" s="2841"/>
      <c r="ET2" s="2841"/>
      <c r="EU2" s="2841"/>
      <c r="EV2" s="2841"/>
      <c r="EW2" s="2841"/>
      <c r="EX2" s="2841"/>
      <c r="EY2" s="2841"/>
      <c r="EZ2" s="2841"/>
      <c r="FA2" s="2841"/>
      <c r="FB2" s="2841"/>
      <c r="FC2" s="2841"/>
      <c r="FD2" s="2841"/>
      <c r="FE2" s="2841"/>
      <c r="FF2" s="2841"/>
      <c r="FG2" s="2841"/>
      <c r="FH2" s="2841"/>
      <c r="FI2" s="2841"/>
      <c r="FJ2" s="2841"/>
      <c r="FK2" s="2841"/>
      <c r="FL2" s="2841"/>
      <c r="FM2" s="2841"/>
      <c r="FN2" s="2841"/>
      <c r="FO2" s="2841"/>
      <c r="FP2" s="2841"/>
      <c r="HO2" s="2789" t="s">
        <v>3000</v>
      </c>
      <c r="HP2" s="2789"/>
      <c r="HQ2" s="2789"/>
      <c r="HR2" s="2789"/>
      <c r="HS2" s="2789"/>
      <c r="HT2" s="2789"/>
      <c r="HU2" s="2789"/>
      <c r="HV2" s="2789"/>
      <c r="HW2" s="2789"/>
      <c r="HX2" s="2789"/>
      <c r="HY2" s="2789"/>
      <c r="HZ2" s="2789"/>
      <c r="IA2" s="2789"/>
      <c r="IB2" s="2789"/>
      <c r="IC2" s="2789"/>
      <c r="ID2" s="2789"/>
      <c r="IE2" s="2789"/>
      <c r="IF2" s="2789"/>
      <c r="IG2" s="2789"/>
      <c r="IH2" s="2789"/>
      <c r="II2" s="2789"/>
      <c r="IJ2" s="2789"/>
      <c r="IK2" s="2789"/>
      <c r="IL2" s="2789"/>
      <c r="IM2" s="2789"/>
      <c r="IN2" s="2789"/>
      <c r="IO2" s="2789"/>
      <c r="IP2" s="2789"/>
      <c r="IQ2" s="2789"/>
      <c r="IR2" s="2789"/>
      <c r="IS2" s="2789"/>
      <c r="IT2" s="2789"/>
      <c r="IU2" s="2789"/>
      <c r="IV2" s="2789"/>
      <c r="IW2" s="2789"/>
      <c r="IX2" s="2789"/>
      <c r="IY2" s="2789"/>
      <c r="IZ2" s="2789"/>
      <c r="JA2" s="2789"/>
      <c r="JB2" s="2789"/>
    </row>
    <row r="3" spans="15:270" ht="4.1500000000000004" customHeight="1">
      <c r="AE3" s="2841"/>
      <c r="AF3" s="2841"/>
      <c r="AG3" s="2841"/>
      <c r="AH3" s="2841"/>
      <c r="AI3" s="2841"/>
      <c r="AJ3" s="2841"/>
      <c r="AK3" s="2841"/>
      <c r="AL3" s="2841"/>
      <c r="AM3" s="2841"/>
      <c r="AN3" s="2841"/>
      <c r="AO3" s="2841"/>
      <c r="AP3" s="2841"/>
      <c r="AQ3" s="2841"/>
      <c r="AR3" s="2841"/>
      <c r="AS3" s="2841"/>
      <c r="AT3" s="2841"/>
      <c r="AU3" s="2841"/>
      <c r="AV3" s="2841"/>
      <c r="AW3" s="2841"/>
      <c r="AX3" s="2841"/>
      <c r="AY3" s="2841"/>
      <c r="AZ3" s="2841"/>
      <c r="BA3" s="2841"/>
      <c r="BB3" s="2841"/>
      <c r="BC3" s="2841"/>
      <c r="BD3" s="2841"/>
      <c r="BE3" s="2841"/>
      <c r="BF3" s="2841"/>
      <c r="BG3" s="2841"/>
      <c r="BH3" s="2841"/>
      <c r="BI3" s="2841"/>
      <c r="BJ3" s="2841"/>
      <c r="BK3" s="2841"/>
      <c r="BL3" s="2841"/>
      <c r="BM3" s="2841"/>
      <c r="BN3" s="2841"/>
      <c r="BO3" s="2841"/>
      <c r="BP3" s="2841"/>
      <c r="BQ3" s="2841"/>
      <c r="BR3" s="2841"/>
      <c r="BS3" s="2841"/>
      <c r="BT3" s="2841"/>
      <c r="BU3" s="2841"/>
      <c r="BV3" s="2841"/>
      <c r="BW3" s="2841"/>
      <c r="BX3" s="2841"/>
      <c r="BY3" s="2841"/>
      <c r="BZ3" s="2841"/>
      <c r="CA3" s="2841"/>
      <c r="CB3" s="2841"/>
      <c r="CC3" s="2841"/>
      <c r="CD3" s="2841"/>
      <c r="CE3" s="2841"/>
      <c r="CF3" s="2841"/>
      <c r="CG3" s="2841"/>
      <c r="CH3" s="2841"/>
      <c r="CI3" s="2841"/>
      <c r="CJ3" s="2841"/>
      <c r="CK3" s="2841"/>
      <c r="CL3" s="2841"/>
      <c r="CM3" s="2841"/>
      <c r="CN3" s="2841"/>
      <c r="CO3" s="2841"/>
      <c r="CP3" s="2841"/>
      <c r="CQ3" s="2841"/>
      <c r="CR3" s="2841"/>
      <c r="CS3" s="2841"/>
      <c r="CT3" s="2841"/>
      <c r="CU3" s="2841"/>
      <c r="CV3" s="2841"/>
      <c r="CW3" s="2841"/>
      <c r="CX3" s="2841"/>
      <c r="CY3" s="2841"/>
      <c r="CZ3" s="2841"/>
      <c r="DA3" s="2841"/>
      <c r="DB3" s="2841"/>
      <c r="DC3" s="2841"/>
      <c r="DD3" s="2841"/>
      <c r="DE3" s="2841"/>
      <c r="DF3" s="2841"/>
      <c r="DG3" s="2841"/>
      <c r="DH3" s="2841"/>
      <c r="DI3" s="2841"/>
      <c r="DJ3" s="2841"/>
      <c r="DK3" s="2841"/>
      <c r="DL3" s="2841"/>
      <c r="DM3" s="2841"/>
      <c r="DN3" s="2841"/>
      <c r="DO3" s="2841"/>
      <c r="DP3" s="2841"/>
      <c r="DQ3" s="2841"/>
      <c r="DR3" s="2841"/>
      <c r="DS3" s="2841"/>
      <c r="DT3" s="2841"/>
      <c r="DU3" s="2841"/>
      <c r="DV3" s="2841"/>
      <c r="DW3" s="2841"/>
      <c r="DX3" s="2841"/>
      <c r="DY3" s="2841"/>
      <c r="DZ3" s="2841"/>
      <c r="EA3" s="2841"/>
      <c r="EB3" s="2841"/>
      <c r="EC3" s="2841"/>
      <c r="ED3" s="2841"/>
      <c r="EE3" s="2841"/>
      <c r="EF3" s="2841"/>
      <c r="EG3" s="2841"/>
      <c r="EH3" s="2841"/>
      <c r="EI3" s="2841"/>
      <c r="EJ3" s="2841"/>
      <c r="EK3" s="2841"/>
      <c r="EL3" s="2841"/>
      <c r="EM3" s="2841"/>
      <c r="EN3" s="2841"/>
      <c r="EO3" s="2841"/>
      <c r="EP3" s="2841"/>
      <c r="EQ3" s="2841"/>
      <c r="ER3" s="2841"/>
      <c r="ES3" s="2841"/>
      <c r="ET3" s="2841"/>
      <c r="EU3" s="2841"/>
      <c r="EV3" s="2841"/>
      <c r="EW3" s="2841"/>
      <c r="EX3" s="2841"/>
      <c r="EY3" s="2841"/>
      <c r="EZ3" s="2841"/>
      <c r="FA3" s="2841"/>
      <c r="FB3" s="2841"/>
      <c r="FC3" s="2841"/>
      <c r="FD3" s="2841"/>
      <c r="FE3" s="2841"/>
      <c r="FF3" s="2841"/>
      <c r="FG3" s="2841"/>
      <c r="FH3" s="2841"/>
      <c r="FI3" s="2841"/>
      <c r="FJ3" s="2841"/>
      <c r="FK3" s="2841"/>
      <c r="FL3" s="2841"/>
      <c r="FM3" s="2841"/>
      <c r="FN3" s="2841"/>
      <c r="FO3" s="2841"/>
      <c r="FP3" s="2841"/>
      <c r="HO3" s="2789"/>
      <c r="HP3" s="2789"/>
      <c r="HQ3" s="2789"/>
      <c r="HR3" s="2789"/>
      <c r="HS3" s="2789"/>
      <c r="HT3" s="2789"/>
      <c r="HU3" s="2789"/>
      <c r="HV3" s="2789"/>
      <c r="HW3" s="2789"/>
      <c r="HX3" s="2789"/>
      <c r="HY3" s="2789"/>
      <c r="HZ3" s="2789"/>
      <c r="IA3" s="2789"/>
      <c r="IB3" s="2789"/>
      <c r="IC3" s="2789"/>
      <c r="ID3" s="2789"/>
      <c r="IE3" s="2789"/>
      <c r="IF3" s="2789"/>
      <c r="IG3" s="2789"/>
      <c r="IH3" s="2789"/>
      <c r="II3" s="2789"/>
      <c r="IJ3" s="2789"/>
      <c r="IK3" s="2789"/>
      <c r="IL3" s="2789"/>
      <c r="IM3" s="2789"/>
      <c r="IN3" s="2789"/>
      <c r="IO3" s="2789"/>
      <c r="IP3" s="2789"/>
      <c r="IQ3" s="2789"/>
      <c r="IR3" s="2789"/>
      <c r="IS3" s="2789"/>
      <c r="IT3" s="2789"/>
      <c r="IU3" s="2789"/>
      <c r="IV3" s="2789"/>
      <c r="IW3" s="2789"/>
      <c r="IX3" s="2789"/>
      <c r="IY3" s="2789"/>
      <c r="IZ3" s="2789"/>
      <c r="JA3" s="2789"/>
      <c r="JB3" s="2789"/>
    </row>
    <row r="4" spans="15:270" ht="4.1500000000000004" customHeight="1">
      <c r="AE4" s="2841"/>
      <c r="AF4" s="2841"/>
      <c r="AG4" s="2841"/>
      <c r="AH4" s="2841"/>
      <c r="AI4" s="2841"/>
      <c r="AJ4" s="2841"/>
      <c r="AK4" s="2841"/>
      <c r="AL4" s="2841"/>
      <c r="AM4" s="2841"/>
      <c r="AN4" s="2841"/>
      <c r="AO4" s="2841"/>
      <c r="AP4" s="2841"/>
      <c r="AQ4" s="2841"/>
      <c r="AR4" s="2841"/>
      <c r="AS4" s="2841"/>
      <c r="AT4" s="2841"/>
      <c r="AU4" s="2841"/>
      <c r="AV4" s="2841"/>
      <c r="AW4" s="2841"/>
      <c r="AX4" s="2841"/>
      <c r="AY4" s="2841"/>
      <c r="AZ4" s="2841"/>
      <c r="BA4" s="2841"/>
      <c r="BB4" s="2841"/>
      <c r="BC4" s="2841"/>
      <c r="BD4" s="2841"/>
      <c r="BE4" s="2841"/>
      <c r="BF4" s="2841"/>
      <c r="BG4" s="2841"/>
      <c r="BH4" s="2841"/>
      <c r="BI4" s="2841"/>
      <c r="BJ4" s="2841"/>
      <c r="BK4" s="2841"/>
      <c r="BL4" s="2841"/>
      <c r="BM4" s="2841"/>
      <c r="BN4" s="2841"/>
      <c r="BO4" s="2841"/>
      <c r="BP4" s="2841"/>
      <c r="BQ4" s="2841"/>
      <c r="BR4" s="2841"/>
      <c r="BS4" s="2841"/>
      <c r="BT4" s="2841"/>
      <c r="BU4" s="2841"/>
      <c r="BV4" s="2841"/>
      <c r="BW4" s="2841"/>
      <c r="BX4" s="2841"/>
      <c r="BY4" s="2841"/>
      <c r="BZ4" s="2841"/>
      <c r="CA4" s="2841"/>
      <c r="CB4" s="2841"/>
      <c r="CC4" s="2841"/>
      <c r="CD4" s="2841"/>
      <c r="CE4" s="2841"/>
      <c r="CF4" s="2841"/>
      <c r="CG4" s="2841"/>
      <c r="CH4" s="2841"/>
      <c r="CI4" s="2841"/>
      <c r="CJ4" s="2841"/>
      <c r="CK4" s="2841"/>
      <c r="CL4" s="2841"/>
      <c r="CM4" s="2841"/>
      <c r="CN4" s="2841"/>
      <c r="CO4" s="2841"/>
      <c r="CP4" s="2841"/>
      <c r="CQ4" s="2841"/>
      <c r="CR4" s="2841"/>
      <c r="CS4" s="2841"/>
      <c r="CT4" s="2841"/>
      <c r="CU4" s="2841"/>
      <c r="CV4" s="2841"/>
      <c r="CW4" s="2841"/>
      <c r="CX4" s="2841"/>
      <c r="CY4" s="2841"/>
      <c r="CZ4" s="2841"/>
      <c r="DA4" s="2841"/>
      <c r="DB4" s="2841"/>
      <c r="DC4" s="2841"/>
      <c r="DD4" s="2841"/>
      <c r="DE4" s="2841"/>
      <c r="DF4" s="2841"/>
      <c r="DG4" s="2841"/>
      <c r="DH4" s="2841"/>
      <c r="DI4" s="2841"/>
      <c r="DJ4" s="2841"/>
      <c r="DK4" s="2841"/>
      <c r="DL4" s="2841"/>
      <c r="DM4" s="2841"/>
      <c r="DN4" s="2841"/>
      <c r="DO4" s="2841"/>
      <c r="DP4" s="2841"/>
      <c r="DQ4" s="2841"/>
      <c r="DR4" s="2841"/>
      <c r="DS4" s="2841"/>
      <c r="DT4" s="2841"/>
      <c r="DU4" s="2841"/>
      <c r="DV4" s="2841"/>
      <c r="DW4" s="2841"/>
      <c r="DX4" s="2841"/>
      <c r="DY4" s="2841"/>
      <c r="DZ4" s="2841"/>
      <c r="EA4" s="2841"/>
      <c r="EB4" s="2841"/>
      <c r="EC4" s="2841"/>
      <c r="ED4" s="2841"/>
      <c r="EE4" s="2841"/>
      <c r="EF4" s="2841"/>
      <c r="EG4" s="2841"/>
      <c r="EH4" s="2841"/>
      <c r="EI4" s="2841"/>
      <c r="EJ4" s="2841"/>
      <c r="EK4" s="2841"/>
      <c r="EL4" s="2841"/>
      <c r="EM4" s="2841"/>
      <c r="EN4" s="2841"/>
      <c r="EO4" s="2841"/>
      <c r="EP4" s="2841"/>
      <c r="EQ4" s="2841"/>
      <c r="ER4" s="2841"/>
      <c r="ES4" s="2841"/>
      <c r="ET4" s="2841"/>
      <c r="EU4" s="2841"/>
      <c r="EV4" s="2841"/>
      <c r="EW4" s="2841"/>
      <c r="EX4" s="2841"/>
      <c r="EY4" s="2841"/>
      <c r="EZ4" s="2841"/>
      <c r="FA4" s="2841"/>
      <c r="FB4" s="2841"/>
      <c r="FC4" s="2841"/>
      <c r="FD4" s="2841"/>
      <c r="FE4" s="2841"/>
      <c r="FF4" s="2841"/>
      <c r="FG4" s="2841"/>
      <c r="FH4" s="2841"/>
      <c r="FI4" s="2841"/>
      <c r="FJ4" s="2841"/>
      <c r="FK4" s="2841"/>
      <c r="FL4" s="2841"/>
      <c r="FM4" s="2841"/>
      <c r="FN4" s="2841"/>
      <c r="FO4" s="2841"/>
      <c r="FP4" s="2841"/>
      <c r="HO4" s="2789"/>
      <c r="HP4" s="2789"/>
      <c r="HQ4" s="2789"/>
      <c r="HR4" s="2789"/>
      <c r="HS4" s="2789"/>
      <c r="HT4" s="2789"/>
      <c r="HU4" s="2789"/>
      <c r="HV4" s="2789"/>
      <c r="HW4" s="2789"/>
      <c r="HX4" s="2789"/>
      <c r="HY4" s="2789"/>
      <c r="HZ4" s="2789"/>
      <c r="IA4" s="2789"/>
      <c r="IB4" s="2789"/>
      <c r="IC4" s="2789"/>
      <c r="ID4" s="2789"/>
      <c r="IE4" s="2789"/>
      <c r="IF4" s="2789"/>
      <c r="IG4" s="2789"/>
      <c r="IH4" s="2789"/>
      <c r="II4" s="2789"/>
      <c r="IJ4" s="2789"/>
      <c r="IK4" s="2789"/>
      <c r="IL4" s="2789"/>
      <c r="IM4" s="2789"/>
      <c r="IN4" s="2789"/>
      <c r="IO4" s="2789"/>
      <c r="IP4" s="2789"/>
      <c r="IQ4" s="2789"/>
      <c r="IR4" s="2789"/>
      <c r="IS4" s="2789"/>
      <c r="IT4" s="2789"/>
      <c r="IU4" s="2789"/>
      <c r="IV4" s="2789"/>
      <c r="IW4" s="2789"/>
      <c r="IX4" s="2789"/>
      <c r="IY4" s="2789"/>
      <c r="IZ4" s="2789"/>
      <c r="JA4" s="2789"/>
      <c r="JB4" s="2789"/>
    </row>
    <row r="5" spans="15:270" ht="4.1500000000000004" customHeight="1">
      <c r="AE5" s="2841"/>
      <c r="AF5" s="2841"/>
      <c r="AG5" s="2841"/>
      <c r="AH5" s="2841"/>
      <c r="AI5" s="2841"/>
      <c r="AJ5" s="2841"/>
      <c r="AK5" s="2841"/>
      <c r="AL5" s="2841"/>
      <c r="AM5" s="2841"/>
      <c r="AN5" s="2841"/>
      <c r="AO5" s="2841"/>
      <c r="AP5" s="2841"/>
      <c r="AQ5" s="2841"/>
      <c r="AR5" s="2841"/>
      <c r="AS5" s="2841"/>
      <c r="AT5" s="2841"/>
      <c r="AU5" s="2841"/>
      <c r="AV5" s="2841"/>
      <c r="AW5" s="2841"/>
      <c r="AX5" s="2841"/>
      <c r="AY5" s="2841"/>
      <c r="AZ5" s="2841"/>
      <c r="BA5" s="2841"/>
      <c r="BB5" s="2841"/>
      <c r="BC5" s="2841"/>
      <c r="BD5" s="2841"/>
      <c r="BE5" s="2841"/>
      <c r="BF5" s="2841"/>
      <c r="BG5" s="2841"/>
      <c r="BH5" s="2841"/>
      <c r="BI5" s="2841"/>
      <c r="BJ5" s="2841"/>
      <c r="BK5" s="2841"/>
      <c r="BL5" s="2841"/>
      <c r="BM5" s="2841"/>
      <c r="BN5" s="2841"/>
      <c r="BO5" s="2841"/>
      <c r="BP5" s="2841"/>
      <c r="BQ5" s="2841"/>
      <c r="BR5" s="2841"/>
      <c r="BS5" s="2841"/>
      <c r="BT5" s="2841"/>
      <c r="BU5" s="2841"/>
      <c r="BV5" s="2841"/>
      <c r="BW5" s="2841"/>
      <c r="BX5" s="2841"/>
      <c r="BY5" s="2841"/>
      <c r="BZ5" s="2841"/>
      <c r="CA5" s="2841"/>
      <c r="CB5" s="2841"/>
      <c r="CC5" s="2841"/>
      <c r="CD5" s="2841"/>
      <c r="CE5" s="2841"/>
      <c r="CF5" s="2841"/>
      <c r="CG5" s="2841"/>
      <c r="CH5" s="2841"/>
      <c r="CI5" s="2841"/>
      <c r="CJ5" s="2841"/>
      <c r="CK5" s="2841"/>
      <c r="CL5" s="2841"/>
      <c r="CM5" s="2841"/>
      <c r="CN5" s="2841"/>
      <c r="CO5" s="2841"/>
      <c r="CP5" s="2841"/>
      <c r="CQ5" s="2841"/>
      <c r="CR5" s="2841"/>
      <c r="CS5" s="2841"/>
      <c r="CT5" s="2841"/>
      <c r="CU5" s="2841"/>
      <c r="CV5" s="2841"/>
      <c r="CW5" s="2841"/>
      <c r="CX5" s="2841"/>
      <c r="CY5" s="2841"/>
      <c r="CZ5" s="2841"/>
      <c r="DA5" s="2841"/>
      <c r="DB5" s="2841"/>
      <c r="DC5" s="2841"/>
      <c r="DD5" s="2841"/>
      <c r="DE5" s="2841"/>
      <c r="DF5" s="2841"/>
      <c r="DG5" s="2841"/>
      <c r="DH5" s="2841"/>
      <c r="DI5" s="2841"/>
      <c r="DJ5" s="2841"/>
      <c r="DK5" s="2841"/>
      <c r="DL5" s="2841"/>
      <c r="DM5" s="2841"/>
      <c r="DN5" s="2841"/>
      <c r="DO5" s="2841"/>
      <c r="DP5" s="2841"/>
      <c r="DQ5" s="2841"/>
      <c r="DR5" s="2841"/>
      <c r="DS5" s="2841"/>
      <c r="DT5" s="2841"/>
      <c r="DU5" s="2841"/>
      <c r="DV5" s="2841"/>
      <c r="DW5" s="2841"/>
      <c r="DX5" s="2841"/>
      <c r="DY5" s="2841"/>
      <c r="DZ5" s="2841"/>
      <c r="EA5" s="2841"/>
      <c r="EB5" s="2841"/>
      <c r="EC5" s="2841"/>
      <c r="ED5" s="2841"/>
      <c r="EE5" s="2841"/>
      <c r="EF5" s="2841"/>
      <c r="EG5" s="2841"/>
      <c r="EH5" s="2841"/>
      <c r="EI5" s="2841"/>
      <c r="EJ5" s="2841"/>
      <c r="EK5" s="2841"/>
      <c r="EL5" s="2841"/>
      <c r="EM5" s="2841"/>
      <c r="EN5" s="2841"/>
      <c r="EO5" s="2841"/>
      <c r="EP5" s="2841"/>
      <c r="EQ5" s="2841"/>
      <c r="ER5" s="2841"/>
      <c r="ES5" s="2841"/>
      <c r="ET5" s="2841"/>
      <c r="EU5" s="2841"/>
      <c r="EV5" s="2841"/>
      <c r="EW5" s="2841"/>
      <c r="EX5" s="2841"/>
      <c r="EY5" s="2841"/>
      <c r="EZ5" s="2841"/>
      <c r="FA5" s="2841"/>
      <c r="FB5" s="2841"/>
      <c r="FC5" s="2841"/>
      <c r="FD5" s="2841"/>
      <c r="FE5" s="2841"/>
      <c r="FF5" s="2841"/>
      <c r="FG5" s="2841"/>
      <c r="FH5" s="2841"/>
      <c r="FI5" s="2841"/>
      <c r="FJ5" s="2841"/>
      <c r="FK5" s="2841"/>
      <c r="FL5" s="2841"/>
      <c r="FM5" s="2841"/>
      <c r="FN5" s="2841"/>
      <c r="FO5" s="2841"/>
      <c r="FP5" s="2841"/>
      <c r="HO5" s="2789"/>
      <c r="HP5" s="2789"/>
      <c r="HQ5" s="2789"/>
      <c r="HR5" s="2789"/>
      <c r="HS5" s="2789"/>
      <c r="HT5" s="2789"/>
      <c r="HU5" s="2789"/>
      <c r="HV5" s="2789"/>
      <c r="HW5" s="2789"/>
      <c r="HX5" s="2789"/>
      <c r="HY5" s="2789"/>
      <c r="HZ5" s="2789"/>
      <c r="IA5" s="2789"/>
      <c r="IB5" s="2789"/>
      <c r="IC5" s="2789"/>
      <c r="ID5" s="2789"/>
      <c r="IE5" s="2789"/>
      <c r="IF5" s="2789"/>
      <c r="IG5" s="2789"/>
      <c r="IH5" s="2789"/>
      <c r="II5" s="2789"/>
      <c r="IJ5" s="2789"/>
      <c r="IK5" s="2789"/>
      <c r="IL5" s="2789"/>
      <c r="IM5" s="2789"/>
      <c r="IN5" s="2789"/>
      <c r="IO5" s="2789"/>
      <c r="IP5" s="2789"/>
      <c r="IQ5" s="2789"/>
      <c r="IR5" s="2789"/>
      <c r="IS5" s="2789"/>
      <c r="IT5" s="2789"/>
      <c r="IU5" s="2789"/>
      <c r="IV5" s="2789"/>
      <c r="IW5" s="2789"/>
      <c r="IX5" s="2789"/>
      <c r="IY5" s="2789"/>
      <c r="IZ5" s="2789"/>
      <c r="JA5" s="2789"/>
      <c r="JB5" s="2789"/>
    </row>
    <row r="6" spans="15:270" ht="4.1500000000000004" customHeight="1">
      <c r="AE6" s="2841"/>
      <c r="AF6" s="2841"/>
      <c r="AG6" s="2841"/>
      <c r="AH6" s="2841"/>
      <c r="AI6" s="2841"/>
      <c r="AJ6" s="2841"/>
      <c r="AK6" s="2841"/>
      <c r="AL6" s="2841"/>
      <c r="AM6" s="2841"/>
      <c r="AN6" s="2841"/>
      <c r="AO6" s="2841"/>
      <c r="AP6" s="2841"/>
      <c r="AQ6" s="2841"/>
      <c r="AR6" s="2841"/>
      <c r="AS6" s="2841"/>
      <c r="AT6" s="2841"/>
      <c r="AU6" s="2841"/>
      <c r="AV6" s="2841"/>
      <c r="AW6" s="2841"/>
      <c r="AX6" s="2841"/>
      <c r="AY6" s="2841"/>
      <c r="AZ6" s="2841"/>
      <c r="BA6" s="2841"/>
      <c r="BB6" s="2841"/>
      <c r="BC6" s="2841"/>
      <c r="BD6" s="2841"/>
      <c r="BE6" s="2841"/>
      <c r="BF6" s="2841"/>
      <c r="BG6" s="2841"/>
      <c r="BH6" s="2841"/>
      <c r="BI6" s="2841"/>
      <c r="BJ6" s="2841"/>
      <c r="BK6" s="2841"/>
      <c r="BL6" s="2841"/>
      <c r="BM6" s="2841"/>
      <c r="BN6" s="2841"/>
      <c r="BO6" s="2841"/>
      <c r="BP6" s="2841"/>
      <c r="BQ6" s="2841"/>
      <c r="BR6" s="2841"/>
      <c r="BS6" s="2841"/>
      <c r="BT6" s="2841"/>
      <c r="BU6" s="2841"/>
      <c r="BV6" s="2841"/>
      <c r="BW6" s="2841"/>
      <c r="BX6" s="2841"/>
      <c r="BY6" s="2841"/>
      <c r="BZ6" s="2841"/>
      <c r="CA6" s="2841"/>
      <c r="CB6" s="2841"/>
      <c r="CC6" s="2841"/>
      <c r="CD6" s="2841"/>
      <c r="CE6" s="2841"/>
      <c r="CF6" s="2841"/>
      <c r="CG6" s="2841"/>
      <c r="CH6" s="2841"/>
      <c r="CI6" s="2841"/>
      <c r="CJ6" s="2841"/>
      <c r="CK6" s="2841"/>
      <c r="CL6" s="2841"/>
      <c r="CM6" s="2841"/>
      <c r="CN6" s="2841"/>
      <c r="CO6" s="2841"/>
      <c r="CP6" s="2841"/>
      <c r="CQ6" s="2841"/>
      <c r="CR6" s="2841"/>
      <c r="CS6" s="2841"/>
      <c r="CT6" s="2841"/>
      <c r="CU6" s="2841"/>
      <c r="CV6" s="2841"/>
      <c r="CW6" s="2841"/>
      <c r="CX6" s="2841"/>
      <c r="CY6" s="2841"/>
      <c r="CZ6" s="2841"/>
      <c r="DA6" s="2841"/>
      <c r="DB6" s="2841"/>
      <c r="DC6" s="2841"/>
      <c r="DD6" s="2841"/>
      <c r="DE6" s="2841"/>
      <c r="DF6" s="2841"/>
      <c r="DG6" s="2841"/>
      <c r="DH6" s="2841"/>
      <c r="DI6" s="2841"/>
      <c r="DJ6" s="2841"/>
      <c r="DK6" s="2841"/>
      <c r="DL6" s="2841"/>
      <c r="DM6" s="2841"/>
      <c r="DN6" s="2841"/>
      <c r="DO6" s="2841"/>
      <c r="DP6" s="2841"/>
      <c r="DQ6" s="2841"/>
      <c r="DR6" s="2841"/>
      <c r="DS6" s="2841"/>
      <c r="DT6" s="2841"/>
      <c r="DU6" s="2841"/>
      <c r="DV6" s="2841"/>
      <c r="DW6" s="2841"/>
      <c r="DX6" s="2841"/>
      <c r="DY6" s="2841"/>
      <c r="DZ6" s="2841"/>
      <c r="EA6" s="2841"/>
      <c r="EB6" s="2841"/>
      <c r="EC6" s="2841"/>
      <c r="ED6" s="2841"/>
      <c r="EE6" s="2841"/>
      <c r="EF6" s="2841"/>
      <c r="EG6" s="2841"/>
      <c r="EH6" s="2841"/>
      <c r="EI6" s="2841"/>
      <c r="EJ6" s="2841"/>
      <c r="EK6" s="2841"/>
      <c r="EL6" s="2841"/>
      <c r="EM6" s="2841"/>
      <c r="EN6" s="2841"/>
      <c r="EO6" s="2841"/>
      <c r="EP6" s="2841"/>
      <c r="EQ6" s="2841"/>
      <c r="ER6" s="2841"/>
      <c r="ES6" s="2841"/>
      <c r="ET6" s="2841"/>
      <c r="EU6" s="2841"/>
      <c r="EV6" s="2841"/>
      <c r="EW6" s="2841"/>
      <c r="EX6" s="2841"/>
      <c r="EY6" s="2841"/>
      <c r="EZ6" s="2841"/>
      <c r="FA6" s="2841"/>
      <c r="FB6" s="2841"/>
      <c r="FC6" s="2841"/>
      <c r="FD6" s="2841"/>
      <c r="FE6" s="2841"/>
      <c r="FF6" s="2841"/>
      <c r="FG6" s="2841"/>
      <c r="FH6" s="2841"/>
      <c r="FI6" s="2841"/>
      <c r="FJ6" s="2841"/>
      <c r="FK6" s="2841"/>
      <c r="FL6" s="2841"/>
      <c r="FM6" s="2841"/>
      <c r="FN6" s="2841"/>
      <c r="FO6" s="2841"/>
      <c r="FP6" s="2841"/>
      <c r="HO6" s="2789" t="s">
        <v>3001</v>
      </c>
      <c r="HP6" s="2789"/>
      <c r="HQ6" s="2789"/>
      <c r="HR6" s="2789"/>
      <c r="HS6" s="2789"/>
      <c r="HT6" s="2789"/>
      <c r="HU6" s="2789"/>
      <c r="HV6" s="2789"/>
      <c r="HW6" s="2789"/>
      <c r="HX6" s="2789"/>
      <c r="HY6" s="2789"/>
      <c r="HZ6" s="2789"/>
      <c r="IA6" s="2789"/>
      <c r="IB6" s="2789"/>
      <c r="IC6" s="2789"/>
      <c r="ID6" s="2789"/>
      <c r="IE6" s="2789"/>
      <c r="IF6" s="2789"/>
      <c r="IG6" s="2789"/>
      <c r="IH6" s="2789"/>
      <c r="II6" s="2789"/>
      <c r="IJ6" s="2789"/>
      <c r="IK6" s="2789"/>
      <c r="IL6" s="2789"/>
      <c r="IM6" s="2789"/>
      <c r="IN6" s="2789"/>
      <c r="IO6" s="2789"/>
      <c r="IP6" s="2789"/>
      <c r="IQ6" s="2789"/>
      <c r="IR6" s="2789"/>
      <c r="IS6" s="2789"/>
      <c r="IT6" s="2789"/>
      <c r="IU6" s="2789"/>
      <c r="IV6" s="2789"/>
      <c r="IW6" s="2789"/>
      <c r="IX6" s="2789"/>
      <c r="IY6" s="2789"/>
      <c r="IZ6" s="2789"/>
      <c r="JA6" s="2789"/>
      <c r="JB6" s="2789"/>
    </row>
    <row r="7" spans="15:270" ht="4.1500000000000004" customHeight="1">
      <c r="AE7" s="2841"/>
      <c r="AF7" s="2841"/>
      <c r="AG7" s="2841"/>
      <c r="AH7" s="2841"/>
      <c r="AI7" s="2841"/>
      <c r="AJ7" s="2841"/>
      <c r="AK7" s="2841"/>
      <c r="AL7" s="2841"/>
      <c r="AM7" s="2841"/>
      <c r="AN7" s="2841"/>
      <c r="AO7" s="2841"/>
      <c r="AP7" s="2841"/>
      <c r="AQ7" s="2841"/>
      <c r="AR7" s="2841"/>
      <c r="AS7" s="2841"/>
      <c r="AT7" s="2841"/>
      <c r="AU7" s="2841"/>
      <c r="AV7" s="2841"/>
      <c r="AW7" s="2841"/>
      <c r="AX7" s="2841"/>
      <c r="AY7" s="2841"/>
      <c r="AZ7" s="2841"/>
      <c r="BA7" s="2841"/>
      <c r="BB7" s="2841"/>
      <c r="BC7" s="2841"/>
      <c r="BD7" s="2841"/>
      <c r="BE7" s="2841"/>
      <c r="BF7" s="2841"/>
      <c r="BG7" s="2841"/>
      <c r="BH7" s="2841"/>
      <c r="BI7" s="2841"/>
      <c r="BJ7" s="2841"/>
      <c r="BK7" s="2841"/>
      <c r="BL7" s="2841"/>
      <c r="BM7" s="2841"/>
      <c r="BN7" s="2841"/>
      <c r="BO7" s="2841"/>
      <c r="BP7" s="2841"/>
      <c r="BQ7" s="2841"/>
      <c r="BR7" s="2841"/>
      <c r="BS7" s="2841"/>
      <c r="BT7" s="2841"/>
      <c r="BU7" s="2841"/>
      <c r="BV7" s="2841"/>
      <c r="BW7" s="2841"/>
      <c r="BX7" s="2841"/>
      <c r="BY7" s="2841"/>
      <c r="BZ7" s="2841"/>
      <c r="CA7" s="2841"/>
      <c r="CB7" s="2841"/>
      <c r="CC7" s="2841"/>
      <c r="CD7" s="2841"/>
      <c r="CE7" s="2841"/>
      <c r="CF7" s="2841"/>
      <c r="CG7" s="2841"/>
      <c r="CH7" s="2841"/>
      <c r="CI7" s="2841"/>
      <c r="CJ7" s="2841"/>
      <c r="CK7" s="2841"/>
      <c r="CL7" s="2841"/>
      <c r="CM7" s="2841"/>
      <c r="CN7" s="2841"/>
      <c r="CO7" s="2841"/>
      <c r="CP7" s="2841"/>
      <c r="CQ7" s="2841"/>
      <c r="CR7" s="2841"/>
      <c r="CS7" s="2841"/>
      <c r="CT7" s="2841"/>
      <c r="CU7" s="2841"/>
      <c r="CV7" s="2841"/>
      <c r="CW7" s="2841"/>
      <c r="CX7" s="2841"/>
      <c r="CY7" s="2841"/>
      <c r="CZ7" s="2841"/>
      <c r="DA7" s="2841"/>
      <c r="DB7" s="2841"/>
      <c r="DC7" s="2841"/>
      <c r="DD7" s="2841"/>
      <c r="DE7" s="2841"/>
      <c r="DF7" s="2841"/>
      <c r="DG7" s="2841"/>
      <c r="DH7" s="2841"/>
      <c r="DI7" s="2841"/>
      <c r="DJ7" s="2841"/>
      <c r="DK7" s="2841"/>
      <c r="DL7" s="2841"/>
      <c r="DM7" s="2841"/>
      <c r="DN7" s="2841"/>
      <c r="DO7" s="2841"/>
      <c r="DP7" s="2841"/>
      <c r="DQ7" s="2841"/>
      <c r="DR7" s="2841"/>
      <c r="DS7" s="2841"/>
      <c r="DT7" s="2841"/>
      <c r="DU7" s="2841"/>
      <c r="DV7" s="2841"/>
      <c r="DW7" s="2841"/>
      <c r="DX7" s="2841"/>
      <c r="DY7" s="2841"/>
      <c r="DZ7" s="2841"/>
      <c r="EA7" s="2841"/>
      <c r="EB7" s="2841"/>
      <c r="EC7" s="2841"/>
      <c r="ED7" s="2841"/>
      <c r="EE7" s="2841"/>
      <c r="EF7" s="2841"/>
      <c r="EG7" s="2841"/>
      <c r="EH7" s="2841"/>
      <c r="EI7" s="2841"/>
      <c r="EJ7" s="2841"/>
      <c r="EK7" s="2841"/>
      <c r="EL7" s="2841"/>
      <c r="EM7" s="2841"/>
      <c r="EN7" s="2841"/>
      <c r="EO7" s="2841"/>
      <c r="EP7" s="2841"/>
      <c r="EQ7" s="2841"/>
      <c r="ER7" s="2841"/>
      <c r="ES7" s="2841"/>
      <c r="ET7" s="2841"/>
      <c r="EU7" s="2841"/>
      <c r="EV7" s="2841"/>
      <c r="EW7" s="2841"/>
      <c r="EX7" s="2841"/>
      <c r="EY7" s="2841"/>
      <c r="EZ7" s="2841"/>
      <c r="FA7" s="2841"/>
      <c r="FB7" s="2841"/>
      <c r="FC7" s="2841"/>
      <c r="FD7" s="2841"/>
      <c r="FE7" s="2841"/>
      <c r="FF7" s="2841"/>
      <c r="FG7" s="2841"/>
      <c r="FH7" s="2841"/>
      <c r="FI7" s="2841"/>
      <c r="FJ7" s="2841"/>
      <c r="FK7" s="2841"/>
      <c r="FL7" s="2841"/>
      <c r="FM7" s="2841"/>
      <c r="FN7" s="2841"/>
      <c r="FO7" s="2841"/>
      <c r="FP7" s="2841"/>
      <c r="HO7" s="2789"/>
      <c r="HP7" s="2789"/>
      <c r="HQ7" s="2789"/>
      <c r="HR7" s="2789"/>
      <c r="HS7" s="2789"/>
      <c r="HT7" s="2789"/>
      <c r="HU7" s="2789"/>
      <c r="HV7" s="2789"/>
      <c r="HW7" s="2789"/>
      <c r="HX7" s="2789"/>
      <c r="HY7" s="2789"/>
      <c r="HZ7" s="2789"/>
      <c r="IA7" s="2789"/>
      <c r="IB7" s="2789"/>
      <c r="IC7" s="2789"/>
      <c r="ID7" s="2789"/>
      <c r="IE7" s="2789"/>
      <c r="IF7" s="2789"/>
      <c r="IG7" s="2789"/>
      <c r="IH7" s="2789"/>
      <c r="II7" s="2789"/>
      <c r="IJ7" s="2789"/>
      <c r="IK7" s="2789"/>
      <c r="IL7" s="2789"/>
      <c r="IM7" s="2789"/>
      <c r="IN7" s="2789"/>
      <c r="IO7" s="2789"/>
      <c r="IP7" s="2789"/>
      <c r="IQ7" s="2789"/>
      <c r="IR7" s="2789"/>
      <c r="IS7" s="2789"/>
      <c r="IT7" s="2789"/>
      <c r="IU7" s="2789"/>
      <c r="IV7" s="2789"/>
      <c r="IW7" s="2789"/>
      <c r="IX7" s="2789"/>
      <c r="IY7" s="2789"/>
      <c r="IZ7" s="2789"/>
      <c r="JA7" s="2789"/>
      <c r="JB7" s="2789"/>
    </row>
    <row r="8" spans="15:270" ht="4.1500000000000004" customHeight="1">
      <c r="HO8" s="2789"/>
      <c r="HP8" s="2789"/>
      <c r="HQ8" s="2789"/>
      <c r="HR8" s="2789"/>
      <c r="HS8" s="2789"/>
      <c r="HT8" s="2789"/>
      <c r="HU8" s="2789"/>
      <c r="HV8" s="2789"/>
      <c r="HW8" s="2789"/>
      <c r="HX8" s="2789"/>
      <c r="HY8" s="2789"/>
      <c r="HZ8" s="2789"/>
      <c r="IA8" s="2789"/>
      <c r="IB8" s="2789"/>
      <c r="IC8" s="2789"/>
      <c r="ID8" s="2789"/>
      <c r="IE8" s="2789"/>
      <c r="IF8" s="2789"/>
      <c r="IG8" s="2789"/>
      <c r="IH8" s="2789"/>
      <c r="II8" s="2789"/>
      <c r="IJ8" s="2789"/>
      <c r="IK8" s="2789"/>
      <c r="IL8" s="2789"/>
      <c r="IM8" s="2789"/>
      <c r="IN8" s="2789"/>
      <c r="IO8" s="2789"/>
      <c r="IP8" s="2789"/>
      <c r="IQ8" s="2789"/>
      <c r="IR8" s="2789"/>
      <c r="IS8" s="2789"/>
      <c r="IT8" s="2789"/>
      <c r="IU8" s="2789"/>
      <c r="IV8" s="2789"/>
      <c r="IW8" s="2789"/>
      <c r="IX8" s="2789"/>
      <c r="IY8" s="2789"/>
      <c r="IZ8" s="2789"/>
      <c r="JA8" s="2789"/>
      <c r="JB8" s="2789"/>
    </row>
    <row r="9" spans="15:270" ht="4.1500000000000004" customHeight="1">
      <c r="HO9" s="2789"/>
      <c r="HP9" s="2789"/>
      <c r="HQ9" s="2789"/>
      <c r="HR9" s="2789"/>
      <c r="HS9" s="2789"/>
      <c r="HT9" s="2789"/>
      <c r="HU9" s="2789"/>
      <c r="HV9" s="2789"/>
      <c r="HW9" s="2789"/>
      <c r="HX9" s="2789"/>
      <c r="HY9" s="2789"/>
      <c r="HZ9" s="2789"/>
      <c r="IA9" s="2789"/>
      <c r="IB9" s="2789"/>
      <c r="IC9" s="2789"/>
      <c r="ID9" s="2789"/>
      <c r="IE9" s="2789"/>
      <c r="IF9" s="2789"/>
      <c r="IG9" s="2789"/>
      <c r="IH9" s="2789"/>
      <c r="II9" s="2789"/>
      <c r="IJ9" s="2789"/>
      <c r="IK9" s="2789"/>
      <c r="IL9" s="2789"/>
      <c r="IM9" s="2789"/>
      <c r="IN9" s="2789"/>
      <c r="IO9" s="2789"/>
      <c r="IP9" s="2789"/>
      <c r="IQ9" s="2789"/>
      <c r="IR9" s="2789"/>
      <c r="IS9" s="2789"/>
      <c r="IT9" s="2789"/>
      <c r="IU9" s="2789"/>
      <c r="IV9" s="2789"/>
      <c r="IW9" s="2789"/>
      <c r="IX9" s="2789"/>
      <c r="IY9" s="2789"/>
      <c r="IZ9" s="2789"/>
      <c r="JA9" s="2789"/>
      <c r="JB9" s="2789"/>
    </row>
    <row r="11" spans="15:270" ht="4.1500000000000004" customHeight="1">
      <c r="O11" s="419"/>
      <c r="P11" s="420"/>
      <c r="Q11" s="420"/>
      <c r="R11" s="420"/>
      <c r="S11" s="420"/>
      <c r="T11" s="420"/>
      <c r="U11" s="420"/>
      <c r="V11" s="420"/>
      <c r="W11" s="420"/>
      <c r="X11" s="420"/>
      <c r="Y11" s="420"/>
      <c r="Z11" s="420"/>
      <c r="AA11" s="420"/>
      <c r="AB11" s="420"/>
      <c r="AC11" s="420"/>
      <c r="AD11" s="420"/>
      <c r="AE11" s="420"/>
      <c r="AF11" s="420"/>
      <c r="AG11" s="420"/>
      <c r="AH11" s="420"/>
      <c r="AI11" s="420"/>
      <c r="AJ11" s="420"/>
      <c r="AK11" s="420"/>
      <c r="AL11" s="420"/>
      <c r="AM11" s="420"/>
      <c r="AN11" s="420"/>
      <c r="AO11" s="420"/>
      <c r="AP11" s="420"/>
      <c r="AQ11" s="420"/>
      <c r="AR11" s="420"/>
      <c r="AS11" s="420"/>
      <c r="AT11" s="420"/>
      <c r="AU11" s="420"/>
      <c r="AV11" s="420"/>
      <c r="AW11" s="420"/>
      <c r="AX11" s="420"/>
      <c r="AY11" s="420"/>
      <c r="AZ11" s="420"/>
      <c r="BA11" s="420"/>
      <c r="BB11" s="420"/>
      <c r="BC11" s="420"/>
      <c r="BD11" s="420"/>
      <c r="BE11" s="420"/>
      <c r="BF11" s="420"/>
      <c r="BG11" s="420"/>
      <c r="BH11" s="420"/>
      <c r="BI11" s="420"/>
      <c r="BJ11" s="420"/>
      <c r="BK11" s="420"/>
      <c r="BL11" s="420"/>
      <c r="BM11" s="420"/>
      <c r="BN11" s="420"/>
      <c r="BO11" s="420"/>
      <c r="BP11" s="420"/>
      <c r="BQ11" s="420"/>
      <c r="BR11" s="420"/>
      <c r="BS11" s="420"/>
      <c r="BT11" s="420"/>
      <c r="BU11" s="420"/>
      <c r="BV11" s="420"/>
      <c r="BW11" s="420"/>
      <c r="BX11" s="420"/>
      <c r="BY11" s="420"/>
      <c r="BZ11" s="420"/>
      <c r="CA11" s="420"/>
      <c r="CB11" s="420"/>
      <c r="CC11" s="420"/>
      <c r="CD11" s="420"/>
      <c r="CE11" s="420"/>
      <c r="CF11" s="420"/>
      <c r="CG11" s="420"/>
      <c r="CH11" s="420"/>
      <c r="CI11" s="420"/>
      <c r="CJ11" s="420"/>
      <c r="CK11" s="420"/>
      <c r="CL11" s="420"/>
      <c r="CM11" s="420"/>
      <c r="CN11" s="420"/>
      <c r="CO11" s="420"/>
      <c r="CP11" s="420"/>
      <c r="CQ11" s="420"/>
      <c r="CR11" s="420"/>
      <c r="CS11" s="420"/>
      <c r="CT11" s="420"/>
      <c r="CU11" s="420"/>
      <c r="CV11" s="420"/>
      <c r="CW11" s="420"/>
      <c r="CX11" s="421"/>
    </row>
    <row r="12" spans="15:270" ht="4.1500000000000004" customHeight="1">
      <c r="P12" s="414"/>
      <c r="CW12" s="415"/>
    </row>
    <row r="13" spans="15:270" ht="4.1500000000000004" customHeight="1">
      <c r="P13" s="414"/>
      <c r="CW13" s="415"/>
      <c r="JC13" s="2773">
        <v>0.1</v>
      </c>
      <c r="JD13" s="2773"/>
      <c r="JE13" s="2773"/>
      <c r="JF13" s="2773"/>
      <c r="JG13" s="2773"/>
      <c r="JH13" s="2773"/>
      <c r="JI13" s="2773"/>
      <c r="JJ13" s="2773"/>
    </row>
    <row r="14" spans="15:270" ht="4.1500000000000004" customHeight="1">
      <c r="P14" s="414"/>
      <c r="AJ14" s="2845" t="s">
        <v>3561</v>
      </c>
      <c r="AK14" s="2845"/>
      <c r="AL14" s="2845"/>
      <c r="AM14" s="2845"/>
      <c r="AN14" s="2845"/>
      <c r="AO14" s="2845"/>
      <c r="AP14" s="2845"/>
      <c r="AQ14" s="2845"/>
      <c r="AR14" s="2845"/>
      <c r="AS14" s="2845"/>
      <c r="AT14" s="2845"/>
      <c r="AU14" s="2845"/>
      <c r="AV14" s="2845"/>
      <c r="AW14" s="2845"/>
      <c r="AX14" s="2845"/>
      <c r="AY14" s="2845"/>
      <c r="AZ14" s="2845"/>
      <c r="BA14" s="2845"/>
      <c r="BB14" s="2845"/>
      <c r="BC14" s="2845"/>
      <c r="BD14" s="2845"/>
      <c r="BE14" s="2845"/>
      <c r="BF14" s="2845"/>
      <c r="BG14" s="2845"/>
      <c r="BH14" s="2845"/>
      <c r="BI14" s="2845"/>
      <c r="BJ14" s="2845"/>
      <c r="BK14" s="2845"/>
      <c r="BL14" s="2845"/>
      <c r="BM14" s="2845"/>
      <c r="BN14" s="2845"/>
      <c r="BO14" s="2845"/>
      <c r="BP14" s="2845"/>
      <c r="BQ14" s="2845"/>
      <c r="BR14" s="2845"/>
      <c r="BS14" s="2845"/>
      <c r="BT14" s="2845"/>
      <c r="BU14" s="2845"/>
      <c r="BV14" s="2845"/>
      <c r="BW14" s="2845"/>
      <c r="BX14" s="2845"/>
      <c r="BY14" s="2845"/>
      <c r="BZ14" s="2845"/>
      <c r="CA14" s="2845"/>
      <c r="CB14" s="2845"/>
      <c r="CC14" s="2845"/>
      <c r="CW14" s="415"/>
      <c r="EJ14" s="459"/>
      <c r="EK14" s="460"/>
      <c r="EL14" s="460"/>
      <c r="EM14" s="460"/>
      <c r="EN14" s="460"/>
      <c r="EO14" s="460"/>
      <c r="EP14" s="460"/>
      <c r="EQ14" s="460"/>
      <c r="ER14" s="460"/>
      <c r="ES14" s="460"/>
      <c r="ET14" s="460"/>
      <c r="EU14" s="460"/>
      <c r="EV14" s="460"/>
      <c r="EW14" s="460"/>
      <c r="EX14" s="460"/>
      <c r="EY14" s="460"/>
      <c r="EZ14" s="460"/>
      <c r="FA14" s="460"/>
      <c r="FB14" s="460"/>
      <c r="FC14" s="460"/>
      <c r="FD14" s="460"/>
      <c r="FE14" s="460"/>
      <c r="FF14" s="460"/>
      <c r="FG14" s="460"/>
      <c r="FH14" s="460"/>
      <c r="FI14" s="460"/>
      <c r="FJ14" s="460"/>
      <c r="FK14" s="460"/>
      <c r="FL14" s="460"/>
      <c r="FM14" s="460"/>
      <c r="FN14" s="460"/>
      <c r="FO14" s="460"/>
      <c r="FP14" s="460"/>
      <c r="FQ14" s="460"/>
      <c r="FR14" s="460"/>
      <c r="FS14" s="460"/>
      <c r="FT14" s="460"/>
      <c r="FU14" s="461"/>
      <c r="FV14" s="460"/>
      <c r="FW14" s="460"/>
      <c r="FX14" s="460"/>
      <c r="FY14" s="460"/>
      <c r="FZ14" s="460"/>
      <c r="GA14" s="460"/>
      <c r="GB14" s="460"/>
      <c r="GC14" s="460"/>
      <c r="GD14" s="460"/>
      <c r="GE14" s="460"/>
      <c r="GF14" s="460"/>
      <c r="GG14" s="460"/>
      <c r="GH14" s="460"/>
      <c r="HO14" s="459"/>
      <c r="HP14" s="460"/>
      <c r="HQ14" s="460"/>
      <c r="HR14" s="460"/>
      <c r="HS14" s="460"/>
      <c r="HT14" s="460"/>
      <c r="HU14" s="460"/>
      <c r="HV14" s="460"/>
      <c r="HW14" s="451"/>
      <c r="HX14" s="451"/>
      <c r="HY14" s="451"/>
      <c r="HZ14" s="451"/>
      <c r="IA14" s="451"/>
      <c r="IB14" s="451"/>
      <c r="IC14" s="451"/>
      <c r="ID14" s="451"/>
      <c r="IE14" s="451"/>
      <c r="IF14" s="451"/>
      <c r="IG14" s="451"/>
      <c r="IH14" s="460"/>
      <c r="II14" s="460"/>
      <c r="IJ14" s="460"/>
      <c r="IK14" s="460"/>
      <c r="IL14" s="460"/>
      <c r="IM14" s="460"/>
      <c r="IN14" s="460"/>
      <c r="IO14" s="460"/>
      <c r="IP14" s="461"/>
      <c r="IU14" s="420"/>
      <c r="IV14" s="420"/>
      <c r="IW14" s="420"/>
      <c r="IX14" s="420"/>
      <c r="IY14" s="420"/>
      <c r="IZ14" s="420"/>
      <c r="JA14" s="420"/>
      <c r="JC14" s="2773"/>
      <c r="JD14" s="2773"/>
      <c r="JE14" s="2773"/>
      <c r="JF14" s="2773"/>
      <c r="JG14" s="2773"/>
      <c r="JH14" s="2773"/>
      <c r="JI14" s="2773"/>
      <c r="JJ14" s="2773"/>
    </row>
    <row r="15" spans="15:270" ht="4.1500000000000004" customHeight="1">
      <c r="P15" s="414"/>
      <c r="AJ15" s="2845"/>
      <c r="AK15" s="2845"/>
      <c r="AL15" s="2845"/>
      <c r="AM15" s="2845"/>
      <c r="AN15" s="2845"/>
      <c r="AO15" s="2845"/>
      <c r="AP15" s="2845"/>
      <c r="AQ15" s="2845"/>
      <c r="AR15" s="2845"/>
      <c r="AS15" s="2845"/>
      <c r="AT15" s="2845"/>
      <c r="AU15" s="2845"/>
      <c r="AV15" s="2845"/>
      <c r="AW15" s="2845"/>
      <c r="AX15" s="2845"/>
      <c r="AY15" s="2845"/>
      <c r="AZ15" s="2845"/>
      <c r="BA15" s="2845"/>
      <c r="BB15" s="2845"/>
      <c r="BC15" s="2845"/>
      <c r="BD15" s="2845"/>
      <c r="BE15" s="2845"/>
      <c r="BF15" s="2845"/>
      <c r="BG15" s="2845"/>
      <c r="BH15" s="2845"/>
      <c r="BI15" s="2845"/>
      <c r="BJ15" s="2845"/>
      <c r="BK15" s="2845"/>
      <c r="BL15" s="2845"/>
      <c r="BM15" s="2845"/>
      <c r="BN15" s="2845"/>
      <c r="BO15" s="2845"/>
      <c r="BP15" s="2845"/>
      <c r="BQ15" s="2845"/>
      <c r="BR15" s="2845"/>
      <c r="BS15" s="2845"/>
      <c r="BT15" s="2845"/>
      <c r="BU15" s="2845"/>
      <c r="BV15" s="2845"/>
      <c r="BW15" s="2845"/>
      <c r="BX15" s="2845"/>
      <c r="BY15" s="2845"/>
      <c r="BZ15" s="2845"/>
      <c r="CA15" s="2845"/>
      <c r="CB15" s="2845"/>
      <c r="CC15" s="2845"/>
      <c r="CW15" s="415"/>
      <c r="DR15" s="412"/>
      <c r="DS15" s="412"/>
      <c r="DT15" s="412"/>
      <c r="DU15" s="411"/>
      <c r="DV15" s="412"/>
      <c r="EJ15" s="2842">
        <v>0.15</v>
      </c>
      <c r="EK15" s="2843"/>
      <c r="EL15" s="414"/>
      <c r="EP15" s="415"/>
      <c r="GC15" s="414"/>
      <c r="HQ15" s="450"/>
      <c r="HR15" s="451"/>
      <c r="HS15" s="451"/>
      <c r="HT15" s="452"/>
      <c r="HW15" s="2583">
        <v>0.2</v>
      </c>
      <c r="HX15" s="2583"/>
      <c r="HY15" s="2583"/>
      <c r="HZ15" s="2583"/>
      <c r="IA15" s="2583"/>
      <c r="IB15" s="2583"/>
      <c r="IC15" s="2583"/>
      <c r="ID15" s="2583"/>
      <c r="IE15" s="2583"/>
      <c r="IF15" s="2583"/>
      <c r="IG15" s="2583"/>
      <c r="IN15" s="414"/>
      <c r="JC15" s="2773"/>
      <c r="JD15" s="2773"/>
      <c r="JE15" s="2773"/>
      <c r="JF15" s="2773"/>
      <c r="JG15" s="2773"/>
      <c r="JH15" s="2773"/>
      <c r="JI15" s="2773"/>
      <c r="JJ15" s="2773"/>
    </row>
    <row r="16" spans="15:270" ht="4.1500000000000004" customHeight="1">
      <c r="P16" s="414"/>
      <c r="AJ16" s="2845"/>
      <c r="AK16" s="2845"/>
      <c r="AL16" s="2845"/>
      <c r="AM16" s="2845"/>
      <c r="AN16" s="2845"/>
      <c r="AO16" s="2845"/>
      <c r="AP16" s="2845"/>
      <c r="AQ16" s="2845"/>
      <c r="AR16" s="2845"/>
      <c r="AS16" s="2845"/>
      <c r="AT16" s="2845"/>
      <c r="AU16" s="2845"/>
      <c r="AV16" s="2845"/>
      <c r="AW16" s="2845"/>
      <c r="AX16" s="2845"/>
      <c r="AY16" s="2845"/>
      <c r="AZ16" s="2845"/>
      <c r="BA16" s="2845"/>
      <c r="BB16" s="2845"/>
      <c r="BC16" s="2845"/>
      <c r="BD16" s="2845"/>
      <c r="BE16" s="2845"/>
      <c r="BF16" s="2845"/>
      <c r="BG16" s="2845"/>
      <c r="BH16" s="2845"/>
      <c r="BI16" s="2845"/>
      <c r="BJ16" s="2845"/>
      <c r="BK16" s="2845"/>
      <c r="BL16" s="2845"/>
      <c r="BM16" s="2845"/>
      <c r="BN16" s="2845"/>
      <c r="BO16" s="2845"/>
      <c r="BP16" s="2845"/>
      <c r="BQ16" s="2845"/>
      <c r="BR16" s="2845"/>
      <c r="BS16" s="2845"/>
      <c r="BT16" s="2845"/>
      <c r="BU16" s="2845"/>
      <c r="BV16" s="2845"/>
      <c r="BW16" s="2845"/>
      <c r="BX16" s="2845"/>
      <c r="BY16" s="2845"/>
      <c r="BZ16" s="2845"/>
      <c r="CA16" s="2845"/>
      <c r="CB16" s="2845"/>
      <c r="CC16" s="2845"/>
      <c r="CW16" s="415"/>
      <c r="DU16" s="414"/>
      <c r="EJ16" s="2796"/>
      <c r="EK16" s="2797"/>
      <c r="EL16" s="414"/>
      <c r="EP16" s="415"/>
      <c r="FP16" s="2771">
        <v>0.9</v>
      </c>
      <c r="FQ16" s="2772"/>
      <c r="FR16" s="2772"/>
      <c r="FS16" s="2772"/>
      <c r="GC16" s="414"/>
      <c r="HQ16" s="453"/>
      <c r="HR16" s="454"/>
      <c r="HS16" s="454"/>
      <c r="HT16" s="455"/>
      <c r="HW16" s="2580"/>
      <c r="HX16" s="2580"/>
      <c r="HY16" s="2580"/>
      <c r="HZ16" s="2580"/>
      <c r="IA16" s="2580"/>
      <c r="IB16" s="2580"/>
      <c r="IC16" s="2580"/>
      <c r="ID16" s="2580"/>
      <c r="IE16" s="2580"/>
      <c r="IF16" s="2580"/>
      <c r="IG16" s="2580"/>
      <c r="IN16" s="414"/>
    </row>
    <row r="17" spans="16:249" ht="4.1500000000000004" customHeight="1">
      <c r="P17" s="414"/>
      <c r="AJ17" s="2845"/>
      <c r="AK17" s="2845"/>
      <c r="AL17" s="2845"/>
      <c r="AM17" s="2845"/>
      <c r="AN17" s="2845"/>
      <c r="AO17" s="2845"/>
      <c r="AP17" s="2845"/>
      <c r="AQ17" s="2845"/>
      <c r="AR17" s="2845"/>
      <c r="AS17" s="2845"/>
      <c r="AT17" s="2845"/>
      <c r="AU17" s="2845"/>
      <c r="AV17" s="2845"/>
      <c r="AW17" s="2845"/>
      <c r="AX17" s="2845"/>
      <c r="AY17" s="2845"/>
      <c r="AZ17" s="2845"/>
      <c r="BA17" s="2845"/>
      <c r="BB17" s="2845"/>
      <c r="BC17" s="2845"/>
      <c r="BD17" s="2845"/>
      <c r="BE17" s="2845"/>
      <c r="BF17" s="2845"/>
      <c r="BG17" s="2845"/>
      <c r="BH17" s="2845"/>
      <c r="BI17" s="2845"/>
      <c r="BJ17" s="2845"/>
      <c r="BK17" s="2845"/>
      <c r="BL17" s="2845"/>
      <c r="BM17" s="2845"/>
      <c r="BN17" s="2845"/>
      <c r="BO17" s="2845"/>
      <c r="BP17" s="2845"/>
      <c r="BQ17" s="2845"/>
      <c r="BR17" s="2845"/>
      <c r="BS17" s="2845"/>
      <c r="BT17" s="2845"/>
      <c r="BU17" s="2845"/>
      <c r="BV17" s="2845"/>
      <c r="BW17" s="2845"/>
      <c r="BX17" s="2845"/>
      <c r="BY17" s="2845"/>
      <c r="BZ17" s="2845"/>
      <c r="CA17" s="2845"/>
      <c r="CB17" s="2845"/>
      <c r="CC17" s="2845"/>
      <c r="CW17" s="415"/>
      <c r="DU17" s="414"/>
      <c r="EJ17" s="2796"/>
      <c r="EK17" s="2797"/>
      <c r="EL17" s="414"/>
      <c r="EP17" s="415"/>
      <c r="FP17" s="2772"/>
      <c r="FQ17" s="2772"/>
      <c r="FR17" s="2772"/>
      <c r="FS17" s="2772"/>
      <c r="GC17" s="414"/>
      <c r="HQ17" s="456"/>
      <c r="HR17" s="457"/>
      <c r="HS17" s="457"/>
      <c r="HT17" s="458"/>
      <c r="HW17" s="2584"/>
      <c r="HX17" s="2584"/>
      <c r="HY17" s="2584"/>
      <c r="HZ17" s="2584"/>
      <c r="IA17" s="2584"/>
      <c r="IB17" s="2584"/>
      <c r="IC17" s="2584"/>
      <c r="ID17" s="2584"/>
      <c r="IE17" s="2584"/>
      <c r="IF17" s="2584"/>
      <c r="IG17" s="2584"/>
      <c r="IN17" s="414"/>
    </row>
    <row r="18" spans="16:249" ht="4.1500000000000004" customHeight="1">
      <c r="P18" s="414"/>
      <c r="AJ18" s="2845"/>
      <c r="AK18" s="2845"/>
      <c r="AL18" s="2845"/>
      <c r="AM18" s="2845"/>
      <c r="AN18" s="2845"/>
      <c r="AO18" s="2845"/>
      <c r="AP18" s="2845"/>
      <c r="AQ18" s="2845"/>
      <c r="AR18" s="2845"/>
      <c r="AS18" s="2845"/>
      <c r="AT18" s="2845"/>
      <c r="AU18" s="2845"/>
      <c r="AV18" s="2845"/>
      <c r="AW18" s="2845"/>
      <c r="AX18" s="2845"/>
      <c r="AY18" s="2845"/>
      <c r="AZ18" s="2845"/>
      <c r="BA18" s="2845"/>
      <c r="BB18" s="2845"/>
      <c r="BC18" s="2845"/>
      <c r="BD18" s="2845"/>
      <c r="BE18" s="2845"/>
      <c r="BF18" s="2845"/>
      <c r="BG18" s="2845"/>
      <c r="BH18" s="2845"/>
      <c r="BI18" s="2845"/>
      <c r="BJ18" s="2845"/>
      <c r="BK18" s="2845"/>
      <c r="BL18" s="2845"/>
      <c r="BM18" s="2845"/>
      <c r="BN18" s="2845"/>
      <c r="BO18" s="2845"/>
      <c r="BP18" s="2845"/>
      <c r="BQ18" s="2845"/>
      <c r="BR18" s="2845"/>
      <c r="BS18" s="2845"/>
      <c r="BT18" s="2845"/>
      <c r="BU18" s="2845"/>
      <c r="BV18" s="2845"/>
      <c r="BW18" s="2845"/>
      <c r="BX18" s="2845"/>
      <c r="BY18" s="2845"/>
      <c r="BZ18" s="2845"/>
      <c r="CA18" s="2845"/>
      <c r="CB18" s="2845"/>
      <c r="CC18" s="2845"/>
      <c r="CW18" s="415"/>
      <c r="DU18" s="414"/>
      <c r="EJ18" s="2796"/>
      <c r="EK18" s="2797"/>
      <c r="EL18" s="414"/>
      <c r="EP18" s="415"/>
      <c r="FP18" s="2772"/>
      <c r="FQ18" s="2772"/>
      <c r="FR18" s="2772"/>
      <c r="FS18" s="2772"/>
      <c r="GC18" s="414"/>
      <c r="HQ18" s="414"/>
      <c r="HT18" s="415"/>
      <c r="IA18" s="2844">
        <f>FP16-HW15</f>
        <v>0.7</v>
      </c>
      <c r="IB18" s="2824"/>
      <c r="IC18" s="2824"/>
      <c r="ID18" s="2824"/>
      <c r="IN18" s="414"/>
    </row>
    <row r="19" spans="16:249" ht="4.1500000000000004" customHeight="1">
      <c r="P19" s="414"/>
      <c r="CW19" s="415"/>
      <c r="DU19" s="414"/>
      <c r="EJ19" s="2796"/>
      <c r="EK19" s="2797"/>
      <c r="EL19" s="414"/>
      <c r="EP19" s="415"/>
      <c r="FP19" s="2772"/>
      <c r="FQ19" s="2772"/>
      <c r="FR19" s="2772"/>
      <c r="FS19" s="2772"/>
      <c r="GC19" s="414"/>
      <c r="HQ19" s="414"/>
      <c r="HT19" s="415"/>
      <c r="IA19" s="2772"/>
      <c r="IB19" s="2772"/>
      <c r="IC19" s="2772"/>
      <c r="ID19" s="2772"/>
      <c r="IN19" s="414"/>
    </row>
    <row r="20" spans="16:249" ht="4.1500000000000004" customHeight="1">
      <c r="P20" s="414"/>
      <c r="CW20" s="415"/>
      <c r="DU20" s="414"/>
      <c r="EJ20" s="2796"/>
      <c r="EK20" s="2797"/>
      <c r="EL20" s="414"/>
      <c r="EP20" s="415"/>
      <c r="FP20" s="2772"/>
      <c r="FQ20" s="2772"/>
      <c r="FR20" s="2772"/>
      <c r="FS20" s="2772"/>
      <c r="GC20" s="414"/>
      <c r="HQ20" s="414"/>
      <c r="HT20" s="415"/>
      <c r="IA20" s="2772"/>
      <c r="IB20" s="2772"/>
      <c r="IC20" s="2772"/>
      <c r="ID20" s="2772"/>
      <c r="IN20" s="414"/>
    </row>
    <row r="21" spans="16:249" ht="4.1500000000000004" customHeight="1">
      <c r="P21" s="414"/>
      <c r="CW21" s="415"/>
      <c r="DU21" s="414"/>
      <c r="EJ21" s="2796"/>
      <c r="EK21" s="2797"/>
      <c r="EL21" s="414"/>
      <c r="EP21" s="415"/>
      <c r="FP21" s="2772"/>
      <c r="FQ21" s="2772"/>
      <c r="FR21" s="2772"/>
      <c r="FS21" s="2772"/>
      <c r="GC21" s="414"/>
      <c r="HQ21" s="414"/>
      <c r="HT21" s="415"/>
      <c r="IA21" s="2772"/>
      <c r="IB21" s="2772"/>
      <c r="IC21" s="2772"/>
      <c r="ID21" s="2772"/>
      <c r="IN21" s="414"/>
    </row>
    <row r="22" spans="16:249" ht="4.1500000000000004" customHeight="1">
      <c r="P22" s="414"/>
      <c r="CW22" s="415"/>
      <c r="DU22" s="414"/>
      <c r="EL22" s="414"/>
      <c r="EP22" s="415"/>
      <c r="FP22" s="2772"/>
      <c r="FQ22" s="2772"/>
      <c r="FR22" s="2772"/>
      <c r="FS22" s="2772"/>
      <c r="GC22" s="414"/>
      <c r="HQ22" s="414"/>
      <c r="HT22" s="415"/>
      <c r="IA22" s="2772"/>
      <c r="IB22" s="2772"/>
      <c r="IC22" s="2772"/>
      <c r="ID22" s="2772"/>
      <c r="IN22" s="414"/>
    </row>
    <row r="23" spans="16:249" ht="4.1500000000000004" customHeight="1">
      <c r="P23" s="419"/>
      <c r="Q23" s="420"/>
      <c r="R23" s="412"/>
      <c r="S23" s="412"/>
      <c r="T23" s="412"/>
      <c r="U23" s="412"/>
      <c r="V23" s="412"/>
      <c r="W23" s="412"/>
      <c r="X23" s="412"/>
      <c r="Y23" s="412"/>
      <c r="Z23" s="412"/>
      <c r="AA23" s="412"/>
      <c r="AB23" s="412"/>
      <c r="AC23" s="412"/>
      <c r="AD23" s="412"/>
      <c r="AE23" s="412"/>
      <c r="AF23" s="412"/>
      <c r="AG23" s="412"/>
      <c r="AH23" s="420"/>
      <c r="AI23" s="420"/>
      <c r="AJ23" s="420"/>
      <c r="AK23" s="420"/>
      <c r="AL23" s="420"/>
      <c r="AM23" s="420"/>
      <c r="AN23" s="420"/>
      <c r="AO23" s="420"/>
      <c r="AP23" s="420"/>
      <c r="AQ23" s="420"/>
      <c r="AR23" s="420"/>
      <c r="AS23" s="420"/>
      <c r="AT23" s="412"/>
      <c r="AU23" s="412"/>
      <c r="AV23" s="420"/>
      <c r="AW23" s="420"/>
      <c r="AX23" s="420"/>
      <c r="AY23" s="420"/>
      <c r="AZ23" s="420"/>
      <c r="BA23" s="420"/>
      <c r="BB23" s="420"/>
      <c r="BC23" s="420"/>
      <c r="BD23" s="420"/>
      <c r="BE23" s="420"/>
      <c r="BF23" s="420"/>
      <c r="BG23" s="420"/>
      <c r="BH23" s="420"/>
      <c r="BI23" s="420"/>
      <c r="BJ23" s="420"/>
      <c r="BK23" s="420"/>
      <c r="BL23" s="420"/>
      <c r="BM23" s="420"/>
      <c r="BN23" s="420"/>
      <c r="BO23" s="420"/>
      <c r="BP23" s="420"/>
      <c r="BQ23" s="420"/>
      <c r="BR23" s="420"/>
      <c r="BS23" s="420"/>
      <c r="BT23" s="420"/>
      <c r="BU23" s="420"/>
      <c r="BV23" s="420"/>
      <c r="BW23" s="420"/>
      <c r="BX23" s="420"/>
      <c r="BY23" s="420"/>
      <c r="BZ23" s="420"/>
      <c r="CA23" s="420"/>
      <c r="CB23" s="420"/>
      <c r="CC23" s="421"/>
      <c r="CW23" s="415"/>
      <c r="CX23" s="419"/>
      <c r="CY23" s="421"/>
      <c r="DU23" s="414"/>
      <c r="EL23" s="414"/>
      <c r="EP23" s="415"/>
      <c r="FP23" s="2772"/>
      <c r="FQ23" s="2772"/>
      <c r="FR23" s="2772"/>
      <c r="FS23" s="2772"/>
      <c r="GC23" s="414"/>
      <c r="HQ23" s="414"/>
      <c r="HT23" s="415"/>
      <c r="IA23" s="2772"/>
      <c r="IB23" s="2772"/>
      <c r="IC23" s="2772"/>
      <c r="ID23" s="2772"/>
      <c r="IN23" s="414"/>
    </row>
    <row r="24" spans="16:249" ht="4.1500000000000004" customHeight="1">
      <c r="P24" s="414"/>
      <c r="R24" s="419"/>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1"/>
      <c r="AT24" s="411"/>
      <c r="AU24" s="413"/>
      <c r="AX24" s="412"/>
      <c r="BA24" s="411"/>
      <c r="BB24" s="412"/>
      <c r="BC24" s="412"/>
      <c r="BD24" s="412"/>
      <c r="BE24" s="413"/>
      <c r="BF24" s="412"/>
      <c r="BG24" s="412"/>
      <c r="BH24" s="412"/>
      <c r="BI24" s="412"/>
      <c r="BJ24" s="413"/>
      <c r="BQ24" s="411"/>
      <c r="BR24" s="412"/>
      <c r="BS24" s="412"/>
      <c r="BT24" s="412"/>
      <c r="BU24" s="411"/>
      <c r="BV24" s="445"/>
      <c r="BW24" s="412"/>
      <c r="BX24" s="412"/>
      <c r="BY24" s="412"/>
      <c r="CA24" s="414"/>
      <c r="CB24" s="411"/>
      <c r="CW24" s="415"/>
      <c r="DU24" s="414"/>
      <c r="EL24" s="414"/>
      <c r="EP24" s="415"/>
      <c r="FP24" s="2772"/>
      <c r="FQ24" s="2772"/>
      <c r="FR24" s="2772"/>
      <c r="FS24" s="2772"/>
      <c r="GC24" s="414"/>
      <c r="HQ24" s="414"/>
      <c r="HT24" s="415"/>
      <c r="IA24" s="2772"/>
      <c r="IB24" s="2772"/>
      <c r="IC24" s="2772"/>
      <c r="ID24" s="2772"/>
      <c r="IN24" s="414"/>
    </row>
    <row r="25" spans="16:249" ht="4.1500000000000004" customHeight="1">
      <c r="P25" s="414"/>
      <c r="R25" s="419"/>
      <c r="S25" s="420"/>
      <c r="T25" s="420"/>
      <c r="U25" s="420"/>
      <c r="V25" s="420"/>
      <c r="W25" s="420"/>
      <c r="X25" s="420"/>
      <c r="Y25" s="420"/>
      <c r="Z25" s="420"/>
      <c r="AA25" s="420"/>
      <c r="AB25" s="420"/>
      <c r="AC25" s="420"/>
      <c r="AD25" s="420"/>
      <c r="AE25" s="420"/>
      <c r="AF25" s="420"/>
      <c r="AG25" s="420"/>
      <c r="AH25" s="420"/>
      <c r="AI25" s="420"/>
      <c r="AJ25" s="420"/>
      <c r="AK25" s="420"/>
      <c r="AL25" s="420"/>
      <c r="AM25" s="420"/>
      <c r="AN25" s="420"/>
      <c r="AO25" s="420"/>
      <c r="AP25" s="420"/>
      <c r="AQ25" s="420"/>
      <c r="AR25" s="420"/>
      <c r="AS25" s="421"/>
      <c r="AT25" s="414"/>
      <c r="AU25" s="415"/>
      <c r="BA25" s="414"/>
      <c r="BB25" s="411"/>
      <c r="BC25" s="412"/>
      <c r="BD25" s="412"/>
      <c r="BE25" s="413"/>
      <c r="BF25" s="412"/>
      <c r="BG25" s="412"/>
      <c r="BH25" s="412"/>
      <c r="BI25" s="413"/>
      <c r="BJ25" s="415"/>
      <c r="BQ25" s="414"/>
      <c r="BR25" s="411"/>
      <c r="BS25" s="413"/>
      <c r="BU25" s="414"/>
      <c r="BV25" s="446"/>
      <c r="BX25" s="411"/>
      <c r="BY25" s="413"/>
      <c r="CA25" s="414"/>
      <c r="CB25" s="414"/>
      <c r="CW25" s="415"/>
      <c r="DU25" s="414"/>
      <c r="EL25" s="414"/>
      <c r="EP25" s="415"/>
      <c r="FP25" s="2772"/>
      <c r="FQ25" s="2772"/>
      <c r="FR25" s="2772"/>
      <c r="FS25" s="2772"/>
      <c r="GC25" s="414"/>
      <c r="HQ25" s="414"/>
      <c r="HT25" s="415"/>
      <c r="IA25" s="2772"/>
      <c r="IB25" s="2772"/>
      <c r="IC25" s="2772"/>
      <c r="ID25" s="2772"/>
      <c r="IN25" s="414"/>
    </row>
    <row r="26" spans="16:249" ht="4.1500000000000004" customHeight="1">
      <c r="P26" s="414"/>
      <c r="R26" s="419"/>
      <c r="S26" s="420"/>
      <c r="T26" s="420"/>
      <c r="U26" s="420"/>
      <c r="V26" s="420"/>
      <c r="W26" s="420"/>
      <c r="X26" s="420"/>
      <c r="Y26" s="420"/>
      <c r="Z26" s="420"/>
      <c r="AA26" s="420"/>
      <c r="AB26" s="420"/>
      <c r="AC26" s="420"/>
      <c r="AD26" s="420"/>
      <c r="AE26" s="420"/>
      <c r="AF26" s="420"/>
      <c r="AG26" s="420"/>
      <c r="AH26" s="420"/>
      <c r="AI26" s="420"/>
      <c r="AJ26" s="420"/>
      <c r="AK26" s="420"/>
      <c r="AL26" s="420"/>
      <c r="AM26" s="420"/>
      <c r="AN26" s="420"/>
      <c r="AO26" s="420"/>
      <c r="AP26" s="420"/>
      <c r="AQ26" s="420"/>
      <c r="AR26" s="420"/>
      <c r="AS26" s="421"/>
      <c r="AT26" s="414"/>
      <c r="AU26" s="415"/>
      <c r="BA26" s="414"/>
      <c r="BB26" s="414"/>
      <c r="BC26" s="411"/>
      <c r="BD26" s="413"/>
      <c r="BE26" s="415"/>
      <c r="BG26" s="411"/>
      <c r="BH26" s="413"/>
      <c r="BI26" s="415"/>
      <c r="BJ26" s="415"/>
      <c r="BQ26" s="414"/>
      <c r="BR26" s="414"/>
      <c r="BS26" s="415"/>
      <c r="BU26" s="414"/>
      <c r="BV26" s="446"/>
      <c r="BX26" s="414"/>
      <c r="BY26" s="415"/>
      <c r="CA26" s="414"/>
      <c r="CB26" s="414"/>
      <c r="CW26" s="415"/>
      <c r="DU26" s="414"/>
      <c r="EL26" s="414"/>
      <c r="EP26" s="415"/>
      <c r="GC26" s="414"/>
      <c r="HQ26" s="414"/>
      <c r="HT26" s="415"/>
      <c r="IA26" s="2825"/>
      <c r="IB26" s="2825"/>
      <c r="IC26" s="2825"/>
      <c r="ID26" s="2825"/>
      <c r="IN26" s="414"/>
    </row>
    <row r="27" spans="16:249" ht="4.1500000000000004" customHeight="1">
      <c r="P27" s="414"/>
      <c r="R27" s="419"/>
      <c r="S27" s="420"/>
      <c r="T27" s="420"/>
      <c r="U27" s="420"/>
      <c r="V27" s="420"/>
      <c r="W27" s="420"/>
      <c r="X27" s="420"/>
      <c r="Y27" s="420"/>
      <c r="Z27" s="420"/>
      <c r="AA27" s="420"/>
      <c r="AB27" s="420"/>
      <c r="AC27" s="420"/>
      <c r="AD27" s="420"/>
      <c r="AE27" s="420"/>
      <c r="AF27" s="420"/>
      <c r="AG27" s="420"/>
      <c r="AH27" s="420"/>
      <c r="AI27" s="420"/>
      <c r="AJ27" s="420"/>
      <c r="AK27" s="420"/>
      <c r="AL27" s="420"/>
      <c r="AM27" s="420"/>
      <c r="AN27" s="420"/>
      <c r="AO27" s="420"/>
      <c r="AP27" s="420"/>
      <c r="AQ27" s="420"/>
      <c r="AR27" s="420"/>
      <c r="AS27" s="421"/>
      <c r="AT27" s="414"/>
      <c r="AU27" s="415"/>
      <c r="BA27" s="414"/>
      <c r="BB27" s="414"/>
      <c r="BC27" s="414"/>
      <c r="BD27" s="415"/>
      <c r="BE27" s="415"/>
      <c r="BG27" s="414"/>
      <c r="BH27" s="415"/>
      <c r="BI27" s="415"/>
      <c r="BJ27" s="415"/>
      <c r="BQ27" s="414"/>
      <c r="BR27" s="414"/>
      <c r="BS27" s="415"/>
      <c r="BU27" s="414"/>
      <c r="BV27" s="446"/>
      <c r="BX27" s="414"/>
      <c r="BY27" s="415"/>
      <c r="CA27" s="414"/>
      <c r="CB27" s="414"/>
      <c r="CW27" s="415"/>
      <c r="DU27" s="414"/>
      <c r="EL27" s="450"/>
      <c r="EM27" s="451"/>
      <c r="EN27" s="451"/>
      <c r="EO27" s="451"/>
      <c r="EP27" s="452"/>
      <c r="FL27" s="2835">
        <v>0.15</v>
      </c>
      <c r="FM27" s="2836"/>
      <c r="FN27" s="2836"/>
      <c r="FO27" s="2836"/>
      <c r="FP27" s="2836"/>
      <c r="FQ27" s="2836"/>
      <c r="FR27" s="2836"/>
      <c r="FS27" s="2836"/>
      <c r="FT27" s="2836"/>
      <c r="FU27" s="2836"/>
      <c r="FV27" s="2836"/>
      <c r="FW27" s="2836"/>
      <c r="GC27" s="414"/>
      <c r="HQ27" s="453"/>
      <c r="HR27" s="454"/>
      <c r="HS27" s="454"/>
      <c r="HT27" s="455"/>
      <c r="HW27" s="2587">
        <f>FL27</f>
        <v>0.15</v>
      </c>
      <c r="HX27" s="2838"/>
      <c r="HY27" s="2838"/>
      <c r="HZ27" s="2838"/>
      <c r="IA27" s="2838"/>
      <c r="IB27" s="2838"/>
      <c r="IC27" s="2838"/>
      <c r="ID27" s="2838"/>
      <c r="IE27" s="2838"/>
      <c r="IF27" s="2838"/>
      <c r="IG27" s="2838"/>
      <c r="IH27" s="2838"/>
      <c r="IN27" s="414"/>
    </row>
    <row r="28" spans="16:249" ht="4.1500000000000004" customHeight="1">
      <c r="P28" s="414"/>
      <c r="R28" s="419"/>
      <c r="S28" s="420"/>
      <c r="T28" s="420"/>
      <c r="U28" s="420"/>
      <c r="V28" s="420"/>
      <c r="W28" s="420"/>
      <c r="X28" s="420"/>
      <c r="Y28" s="420"/>
      <c r="Z28" s="420"/>
      <c r="AA28" s="420"/>
      <c r="AB28" s="420"/>
      <c r="AC28" s="420"/>
      <c r="AD28" s="420"/>
      <c r="AE28" s="420"/>
      <c r="AF28" s="420"/>
      <c r="AG28" s="420"/>
      <c r="AH28" s="420"/>
      <c r="AI28" s="420"/>
      <c r="AJ28" s="420"/>
      <c r="AK28" s="420"/>
      <c r="AL28" s="420"/>
      <c r="AM28" s="420"/>
      <c r="AN28" s="420"/>
      <c r="AO28" s="420"/>
      <c r="AP28" s="420"/>
      <c r="AQ28" s="420"/>
      <c r="AR28" s="420"/>
      <c r="AS28" s="421"/>
      <c r="AT28" s="414"/>
      <c r="AU28" s="415"/>
      <c r="BA28" s="414"/>
      <c r="BB28" s="414"/>
      <c r="BC28" s="414"/>
      <c r="BD28" s="415"/>
      <c r="BE28" s="415"/>
      <c r="BG28" s="414"/>
      <c r="BH28" s="415"/>
      <c r="BI28" s="415"/>
      <c r="BJ28" s="415"/>
      <c r="BQ28" s="414"/>
      <c r="BR28" s="414"/>
      <c r="BS28" s="415"/>
      <c r="BU28" s="414"/>
      <c r="BV28" s="446"/>
      <c r="BX28" s="414"/>
      <c r="BY28" s="415"/>
      <c r="CA28" s="414"/>
      <c r="CB28" s="414"/>
      <c r="CW28" s="415"/>
      <c r="DU28" s="414"/>
      <c r="EL28" s="453"/>
      <c r="EM28" s="454"/>
      <c r="EN28" s="454"/>
      <c r="EO28" s="454"/>
      <c r="EP28" s="455"/>
      <c r="FL28" s="2835"/>
      <c r="FM28" s="2835"/>
      <c r="FN28" s="2835"/>
      <c r="FO28" s="2835"/>
      <c r="FP28" s="2835"/>
      <c r="FQ28" s="2835"/>
      <c r="FR28" s="2835"/>
      <c r="FS28" s="2835"/>
      <c r="FT28" s="2835"/>
      <c r="FU28" s="2835"/>
      <c r="FV28" s="2835"/>
      <c r="FW28" s="2835"/>
      <c r="GC28" s="414"/>
      <c r="HQ28" s="453"/>
      <c r="HR28" s="454"/>
      <c r="HS28" s="454"/>
      <c r="HT28" s="455"/>
      <c r="HW28" s="2808"/>
      <c r="HX28" s="2808"/>
      <c r="HY28" s="2808"/>
      <c r="HZ28" s="2808"/>
      <c r="IA28" s="2808"/>
      <c r="IB28" s="2808"/>
      <c r="IC28" s="2808"/>
      <c r="ID28" s="2808"/>
      <c r="IE28" s="2808"/>
      <c r="IF28" s="2808"/>
      <c r="IG28" s="2808"/>
      <c r="IH28" s="2808"/>
      <c r="IN28" s="414"/>
    </row>
    <row r="29" spans="16:249" ht="4.1500000000000004" customHeight="1">
      <c r="P29" s="414"/>
      <c r="R29" s="419"/>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420"/>
      <c r="AQ29" s="420"/>
      <c r="AR29" s="420"/>
      <c r="AS29" s="421"/>
      <c r="AT29" s="414"/>
      <c r="AU29" s="415"/>
      <c r="BA29" s="414"/>
      <c r="BB29" s="414"/>
      <c r="BC29" s="414"/>
      <c r="BD29" s="415"/>
      <c r="BE29" s="415"/>
      <c r="BG29" s="414"/>
      <c r="BH29" s="415"/>
      <c r="BI29" s="415"/>
      <c r="BJ29" s="415"/>
      <c r="BQ29" s="414"/>
      <c r="BR29" s="414"/>
      <c r="BS29" s="415"/>
      <c r="BU29" s="414"/>
      <c r="BV29" s="446"/>
      <c r="BX29" s="414"/>
      <c r="BY29" s="415"/>
      <c r="CA29" s="414"/>
      <c r="CB29" s="414"/>
      <c r="CW29" s="415"/>
      <c r="DU29" s="414"/>
      <c r="EE29" s="459"/>
      <c r="EF29" s="460"/>
      <c r="EG29" s="460"/>
      <c r="EH29" s="460"/>
      <c r="EI29" s="460"/>
      <c r="EJ29" s="460"/>
      <c r="EK29" s="461"/>
      <c r="EL29" s="456"/>
      <c r="EM29" s="457"/>
      <c r="EN29" s="457"/>
      <c r="EO29" s="457"/>
      <c r="EP29" s="458"/>
      <c r="FL29" s="2837"/>
      <c r="FM29" s="2837"/>
      <c r="FN29" s="2837"/>
      <c r="FO29" s="2837"/>
      <c r="FP29" s="2837"/>
      <c r="FQ29" s="2837"/>
      <c r="FR29" s="2837"/>
      <c r="FS29" s="2837"/>
      <c r="FT29" s="2837"/>
      <c r="FU29" s="2837"/>
      <c r="FV29" s="2837"/>
      <c r="FW29" s="2837"/>
      <c r="GC29" s="414"/>
      <c r="HK29" s="459"/>
      <c r="HL29" s="460"/>
      <c r="HM29" s="460"/>
      <c r="HN29" s="460"/>
      <c r="HO29" s="460"/>
      <c r="HP29" s="461"/>
      <c r="HQ29" s="453"/>
      <c r="HR29" s="454"/>
      <c r="HS29" s="454"/>
      <c r="HT29" s="455"/>
      <c r="HW29" s="2809"/>
      <c r="HX29" s="2809"/>
      <c r="HY29" s="2809"/>
      <c r="HZ29" s="2809"/>
      <c r="IA29" s="2809"/>
      <c r="IB29" s="2809"/>
      <c r="IC29" s="2809"/>
      <c r="ID29" s="2809"/>
      <c r="IE29" s="2809"/>
      <c r="IF29" s="2809"/>
      <c r="IG29" s="2809"/>
      <c r="IH29" s="2809"/>
      <c r="IN29" s="414"/>
    </row>
    <row r="30" spans="16:249" ht="4.1500000000000004" customHeight="1">
      <c r="P30" s="414"/>
      <c r="R30" s="419"/>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420"/>
      <c r="AQ30" s="420"/>
      <c r="AR30" s="420"/>
      <c r="AS30" s="421"/>
      <c r="AT30" s="414"/>
      <c r="AU30" s="415"/>
      <c r="BA30" s="414"/>
      <c r="BB30" s="414"/>
      <c r="BC30" s="416"/>
      <c r="BD30" s="418"/>
      <c r="BE30" s="415"/>
      <c r="BG30" s="416"/>
      <c r="BH30" s="418"/>
      <c r="BI30" s="415"/>
      <c r="BJ30" s="415"/>
      <c r="BQ30" s="414"/>
      <c r="BR30" s="414"/>
      <c r="BS30" s="415"/>
      <c r="BU30" s="414"/>
      <c r="BV30" s="446"/>
      <c r="BX30" s="414"/>
      <c r="BY30" s="415"/>
      <c r="CA30" s="414"/>
      <c r="CB30" s="414"/>
      <c r="CW30" s="415"/>
      <c r="DU30" s="414"/>
      <c r="EL30" s="414"/>
      <c r="EP30" s="415"/>
      <c r="FL30" s="412"/>
      <c r="FM30" s="412"/>
      <c r="FN30" s="412"/>
      <c r="FO30" s="412"/>
      <c r="FP30" s="412"/>
      <c r="FQ30" s="412"/>
      <c r="FR30" s="411"/>
      <c r="FS30" s="412"/>
      <c r="FT30" s="412"/>
      <c r="FU30" s="412"/>
      <c r="FV30" s="412"/>
      <c r="FW30" s="412"/>
      <c r="GA30" s="2771">
        <f>FP16+FL27+FP35</f>
        <v>3.1500000000000004</v>
      </c>
      <c r="GB30" s="2772"/>
      <c r="GC30" s="2772"/>
      <c r="GD30" s="2772"/>
      <c r="HQ30" s="414"/>
      <c r="HT30" s="415"/>
      <c r="IB30" s="414"/>
      <c r="IL30" s="2771">
        <f>HZ35+HW27+IA18+HW15</f>
        <v>3.1500000000000004</v>
      </c>
      <c r="IM30" s="2772"/>
      <c r="IN30" s="2772"/>
      <c r="IO30" s="2772"/>
    </row>
    <row r="31" spans="16:249" ht="4.1500000000000004" customHeight="1">
      <c r="P31" s="414"/>
      <c r="R31" s="419"/>
      <c r="S31" s="420"/>
      <c r="T31" s="420"/>
      <c r="U31" s="420"/>
      <c r="V31" s="420"/>
      <c r="W31" s="420"/>
      <c r="X31" s="420"/>
      <c r="Y31" s="420"/>
      <c r="Z31" s="420"/>
      <c r="AA31" s="420"/>
      <c r="AB31" s="420"/>
      <c r="AC31" s="420"/>
      <c r="AD31" s="420"/>
      <c r="AE31" s="420"/>
      <c r="AF31" s="420"/>
      <c r="AG31" s="420"/>
      <c r="AH31" s="420"/>
      <c r="AI31" s="420"/>
      <c r="AJ31" s="420"/>
      <c r="AK31" s="420"/>
      <c r="AL31" s="420"/>
      <c r="AM31" s="420"/>
      <c r="AN31" s="420"/>
      <c r="AO31" s="420"/>
      <c r="AP31" s="420"/>
      <c r="AQ31" s="420"/>
      <c r="AR31" s="420"/>
      <c r="AS31" s="421"/>
      <c r="AT31" s="414"/>
      <c r="AU31" s="415"/>
      <c r="BA31" s="414"/>
      <c r="BB31" s="414"/>
      <c r="BE31" s="415"/>
      <c r="BI31" s="415"/>
      <c r="BJ31" s="415"/>
      <c r="BQ31" s="414"/>
      <c r="BR31" s="414"/>
      <c r="BS31" s="415"/>
      <c r="BU31" s="414"/>
      <c r="BV31" s="446"/>
      <c r="BX31" s="414"/>
      <c r="BY31" s="415"/>
      <c r="CA31" s="414"/>
      <c r="CB31" s="414"/>
      <c r="CW31" s="415"/>
      <c r="DU31" s="414"/>
      <c r="EE31" s="2839">
        <v>0.6</v>
      </c>
      <c r="EF31" s="2774"/>
      <c r="EG31" s="2774"/>
      <c r="EH31" s="2774"/>
      <c r="EI31" s="2774"/>
      <c r="EJ31" s="2774"/>
      <c r="EK31" s="2840"/>
      <c r="EL31" s="414"/>
      <c r="EP31" s="415"/>
      <c r="FR31" s="414"/>
      <c r="GA31" s="2772"/>
      <c r="GB31" s="2772"/>
      <c r="GC31" s="2772"/>
      <c r="GD31" s="2772"/>
      <c r="HQ31" s="414"/>
      <c r="HT31" s="415"/>
      <c r="IB31" s="414"/>
      <c r="IL31" s="2772"/>
      <c r="IM31" s="2772"/>
      <c r="IN31" s="2772"/>
      <c r="IO31" s="2772"/>
    </row>
    <row r="32" spans="16:249" ht="4.1500000000000004" customHeight="1">
      <c r="P32" s="414"/>
      <c r="R32" s="419"/>
      <c r="S32" s="420"/>
      <c r="T32" s="420"/>
      <c r="U32" s="420"/>
      <c r="V32" s="420"/>
      <c r="W32" s="420"/>
      <c r="X32" s="420"/>
      <c r="Y32" s="420"/>
      <c r="Z32" s="420"/>
      <c r="AA32" s="420"/>
      <c r="AB32" s="420"/>
      <c r="AC32" s="420"/>
      <c r="AD32" s="420"/>
      <c r="AE32" s="420"/>
      <c r="AF32" s="420"/>
      <c r="AG32" s="420"/>
      <c r="AH32" s="420"/>
      <c r="AI32" s="420"/>
      <c r="AJ32" s="420"/>
      <c r="AK32" s="420"/>
      <c r="AL32" s="420"/>
      <c r="AM32" s="420"/>
      <c r="AN32" s="420"/>
      <c r="AO32" s="420"/>
      <c r="AP32" s="420"/>
      <c r="AQ32" s="420"/>
      <c r="AR32" s="420"/>
      <c r="AS32" s="421"/>
      <c r="AT32" s="414"/>
      <c r="AU32" s="415"/>
      <c r="BA32" s="414"/>
      <c r="BB32" s="414"/>
      <c r="BC32" s="411"/>
      <c r="BD32" s="413"/>
      <c r="BE32" s="415"/>
      <c r="BG32" s="411"/>
      <c r="BH32" s="413"/>
      <c r="BI32" s="415"/>
      <c r="BJ32" s="415"/>
      <c r="BQ32" s="414"/>
      <c r="BR32" s="414"/>
      <c r="BS32" s="415"/>
      <c r="BU32" s="414"/>
      <c r="BV32" s="446"/>
      <c r="BX32" s="414"/>
      <c r="BY32" s="415"/>
      <c r="CA32" s="414"/>
      <c r="CB32" s="414"/>
      <c r="CW32" s="415"/>
      <c r="DS32" s="2771">
        <f>GA30+GB53</f>
        <v>3.6000000000000005</v>
      </c>
      <c r="DT32" s="2772"/>
      <c r="DU32" s="2772"/>
      <c r="DV32" s="2772"/>
      <c r="EE32" s="2839"/>
      <c r="EF32" s="2774"/>
      <c r="EG32" s="2774"/>
      <c r="EH32" s="2774"/>
      <c r="EI32" s="2774"/>
      <c r="EJ32" s="2774"/>
      <c r="EK32" s="2840"/>
      <c r="EL32" s="414"/>
      <c r="EP32" s="415"/>
      <c r="FR32" s="414"/>
      <c r="GA32" s="2772"/>
      <c r="GB32" s="2772"/>
      <c r="GC32" s="2772"/>
      <c r="GD32" s="2772"/>
      <c r="HQ32" s="414"/>
      <c r="HT32" s="415"/>
      <c r="IB32" s="414"/>
      <c r="IL32" s="2772"/>
      <c r="IM32" s="2772"/>
      <c r="IN32" s="2772"/>
      <c r="IO32" s="2772"/>
    </row>
    <row r="33" spans="16:249" ht="4.1500000000000004" customHeight="1">
      <c r="P33" s="414"/>
      <c r="R33" s="419"/>
      <c r="S33" s="420"/>
      <c r="T33" s="420"/>
      <c r="U33" s="420"/>
      <c r="V33" s="420"/>
      <c r="W33" s="420"/>
      <c r="X33" s="420"/>
      <c r="Y33" s="420"/>
      <c r="Z33" s="420"/>
      <c r="AA33" s="420"/>
      <c r="AB33" s="420"/>
      <c r="AC33" s="420"/>
      <c r="AD33" s="420"/>
      <c r="AE33" s="420"/>
      <c r="AF33" s="420"/>
      <c r="AG33" s="420"/>
      <c r="AH33" s="420"/>
      <c r="AI33" s="420"/>
      <c r="AJ33" s="420"/>
      <c r="AK33" s="420"/>
      <c r="AL33" s="420"/>
      <c r="AM33" s="420"/>
      <c r="AN33" s="420"/>
      <c r="AO33" s="420"/>
      <c r="AP33" s="420"/>
      <c r="AQ33" s="420"/>
      <c r="AR33" s="420"/>
      <c r="AS33" s="421"/>
      <c r="AT33" s="414"/>
      <c r="AU33" s="415"/>
      <c r="BA33" s="414"/>
      <c r="BB33" s="414"/>
      <c r="BC33" s="414"/>
      <c r="BD33" s="415"/>
      <c r="BE33" s="415"/>
      <c r="BG33" s="414"/>
      <c r="BH33" s="415"/>
      <c r="BI33" s="415"/>
      <c r="BJ33" s="415"/>
      <c r="BQ33" s="414"/>
      <c r="BR33" s="414"/>
      <c r="BS33" s="415"/>
      <c r="BU33" s="414"/>
      <c r="BV33" s="446"/>
      <c r="BX33" s="414"/>
      <c r="BY33" s="415"/>
      <c r="CA33" s="414"/>
      <c r="CB33" s="414"/>
      <c r="CW33" s="415"/>
      <c r="DS33" s="2772"/>
      <c r="DT33" s="2772"/>
      <c r="DU33" s="2772"/>
      <c r="DV33" s="2772"/>
      <c r="EE33" s="2839"/>
      <c r="EF33" s="2774"/>
      <c r="EG33" s="2774"/>
      <c r="EH33" s="2774"/>
      <c r="EI33" s="2774"/>
      <c r="EJ33" s="2774"/>
      <c r="EK33" s="2840"/>
      <c r="EL33" s="414"/>
      <c r="EP33" s="415"/>
      <c r="FR33" s="414"/>
      <c r="GA33" s="2772"/>
      <c r="GB33" s="2772"/>
      <c r="GC33" s="2772"/>
      <c r="GD33" s="2772"/>
      <c r="HQ33" s="414"/>
      <c r="HT33" s="415"/>
      <c r="IB33" s="414"/>
      <c r="IL33" s="2772"/>
      <c r="IM33" s="2772"/>
      <c r="IN33" s="2772"/>
      <c r="IO33" s="2772"/>
    </row>
    <row r="34" spans="16:249" ht="4.1500000000000004" customHeight="1">
      <c r="P34" s="414"/>
      <c r="R34" s="419"/>
      <c r="S34" s="420"/>
      <c r="T34" s="420"/>
      <c r="U34" s="420"/>
      <c r="V34" s="420"/>
      <c r="W34" s="420"/>
      <c r="X34" s="420"/>
      <c r="Y34" s="420"/>
      <c r="Z34" s="420"/>
      <c r="AA34" s="420"/>
      <c r="AB34" s="420"/>
      <c r="AC34" s="420"/>
      <c r="AD34" s="420"/>
      <c r="AE34" s="420"/>
      <c r="AF34" s="420"/>
      <c r="AG34" s="420"/>
      <c r="AH34" s="420"/>
      <c r="AI34" s="420"/>
      <c r="AJ34" s="420"/>
      <c r="AK34" s="420"/>
      <c r="AL34" s="420"/>
      <c r="AM34" s="420"/>
      <c r="AN34" s="420"/>
      <c r="AO34" s="420"/>
      <c r="AP34" s="420"/>
      <c r="AQ34" s="420"/>
      <c r="AR34" s="420"/>
      <c r="AS34" s="421"/>
      <c r="AT34" s="414"/>
      <c r="AU34" s="415"/>
      <c r="BA34" s="414"/>
      <c r="BB34" s="414"/>
      <c r="BC34" s="414"/>
      <c r="BD34" s="415"/>
      <c r="BE34" s="415"/>
      <c r="BG34" s="414"/>
      <c r="BH34" s="415"/>
      <c r="BI34" s="415"/>
      <c r="BJ34" s="415"/>
      <c r="BQ34" s="414"/>
      <c r="BR34" s="414"/>
      <c r="BS34" s="415"/>
      <c r="BU34" s="414"/>
      <c r="BV34" s="446"/>
      <c r="BX34" s="414"/>
      <c r="BY34" s="415"/>
      <c r="CA34" s="414"/>
      <c r="CB34" s="414"/>
      <c r="CW34" s="415"/>
      <c r="DS34" s="2772"/>
      <c r="DT34" s="2772"/>
      <c r="DU34" s="2772"/>
      <c r="DV34" s="2772"/>
      <c r="EL34" s="414"/>
      <c r="EP34" s="415"/>
      <c r="FR34" s="414"/>
      <c r="GA34" s="2772"/>
      <c r="GB34" s="2772"/>
      <c r="GC34" s="2772"/>
      <c r="GD34" s="2772"/>
      <c r="HQ34" s="414"/>
      <c r="HT34" s="415"/>
      <c r="IB34" s="414"/>
      <c r="IL34" s="2772"/>
      <c r="IM34" s="2772"/>
      <c r="IN34" s="2772"/>
      <c r="IO34" s="2772"/>
    </row>
    <row r="35" spans="16:249" ht="4.1500000000000004" customHeight="1">
      <c r="P35" s="414"/>
      <c r="R35" s="419"/>
      <c r="S35" s="420"/>
      <c r="T35" s="420"/>
      <c r="U35" s="420"/>
      <c r="V35" s="420"/>
      <c r="W35" s="420"/>
      <c r="X35" s="420"/>
      <c r="Y35" s="420"/>
      <c r="Z35" s="420"/>
      <c r="AA35" s="420"/>
      <c r="AB35" s="420"/>
      <c r="AC35" s="420"/>
      <c r="AD35" s="420"/>
      <c r="AE35" s="420"/>
      <c r="AF35" s="420"/>
      <c r="AG35" s="420"/>
      <c r="AH35" s="420"/>
      <c r="AI35" s="420"/>
      <c r="AJ35" s="420"/>
      <c r="AK35" s="420"/>
      <c r="AL35" s="420"/>
      <c r="AM35" s="420"/>
      <c r="AN35" s="420"/>
      <c r="AO35" s="420"/>
      <c r="AP35" s="420"/>
      <c r="AQ35" s="420"/>
      <c r="AR35" s="420"/>
      <c r="AS35" s="421"/>
      <c r="AT35" s="414"/>
      <c r="AU35" s="415"/>
      <c r="BA35" s="414"/>
      <c r="BB35" s="414"/>
      <c r="BC35" s="416"/>
      <c r="BD35" s="418"/>
      <c r="BE35" s="415"/>
      <c r="BG35" s="416"/>
      <c r="BH35" s="418"/>
      <c r="BI35" s="415"/>
      <c r="BJ35" s="415"/>
      <c r="BQ35" s="414"/>
      <c r="BR35" s="416"/>
      <c r="BS35" s="418"/>
      <c r="BU35" s="414"/>
      <c r="BV35" s="446"/>
      <c r="BX35" s="416"/>
      <c r="BY35" s="418"/>
      <c r="CA35" s="414"/>
      <c r="CB35" s="414"/>
      <c r="CW35" s="415"/>
      <c r="DS35" s="2772"/>
      <c r="DT35" s="2772"/>
      <c r="DU35" s="2772"/>
      <c r="DV35" s="2772"/>
      <c r="EL35" s="414"/>
      <c r="EP35" s="415"/>
      <c r="FP35" s="2771">
        <v>2.1</v>
      </c>
      <c r="FQ35" s="2772"/>
      <c r="FR35" s="2772"/>
      <c r="FS35" s="2772"/>
      <c r="GA35" s="2772"/>
      <c r="GB35" s="2772"/>
      <c r="GC35" s="2772"/>
      <c r="GD35" s="2772"/>
      <c r="HQ35" s="414"/>
      <c r="HT35" s="415"/>
      <c r="HZ35" s="2771">
        <v>2.1</v>
      </c>
      <c r="IA35" s="2772"/>
      <c r="IB35" s="2772"/>
      <c r="IC35" s="2772"/>
      <c r="IL35" s="2772"/>
      <c r="IM35" s="2772"/>
      <c r="IN35" s="2772"/>
      <c r="IO35" s="2772"/>
    </row>
    <row r="36" spans="16:249" ht="4.1500000000000004" customHeight="1">
      <c r="P36" s="414"/>
      <c r="R36" s="419"/>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21"/>
      <c r="AT36" s="414"/>
      <c r="AU36" s="415"/>
      <c r="BA36" s="414"/>
      <c r="BB36" s="416"/>
      <c r="BC36" s="417"/>
      <c r="BD36" s="417"/>
      <c r="BE36" s="418"/>
      <c r="BF36" s="417"/>
      <c r="BG36" s="417"/>
      <c r="BH36" s="417"/>
      <c r="BI36" s="418"/>
      <c r="BJ36" s="415"/>
      <c r="BQ36" s="414"/>
      <c r="BU36" s="414"/>
      <c r="BV36" s="446"/>
      <c r="CA36" s="414"/>
      <c r="CB36" s="414"/>
      <c r="CW36" s="415"/>
      <c r="DS36" s="2772"/>
      <c r="DT36" s="2772"/>
      <c r="DU36" s="2772"/>
      <c r="DV36" s="2772"/>
      <c r="EL36" s="414"/>
      <c r="EP36" s="415"/>
      <c r="FP36" s="2772"/>
      <c r="FQ36" s="2772"/>
      <c r="FR36" s="2772"/>
      <c r="FS36" s="2772"/>
      <c r="GA36" s="2772"/>
      <c r="GB36" s="2772"/>
      <c r="GC36" s="2772"/>
      <c r="GD36" s="2772"/>
      <c r="HQ36" s="414"/>
      <c r="HT36" s="415"/>
      <c r="HZ36" s="2772"/>
      <c r="IA36" s="2772"/>
      <c r="IB36" s="2772"/>
      <c r="IC36" s="2772"/>
      <c r="IL36" s="2772"/>
      <c r="IM36" s="2772"/>
      <c r="IN36" s="2772"/>
      <c r="IO36" s="2772"/>
    </row>
    <row r="37" spans="16:249" ht="4.1500000000000004" customHeight="1">
      <c r="P37" s="414"/>
      <c r="R37" s="419"/>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420"/>
      <c r="AQ37" s="420"/>
      <c r="AR37" s="420"/>
      <c r="AS37" s="421"/>
      <c r="AT37" s="414"/>
      <c r="AU37" s="415"/>
      <c r="BA37" s="416"/>
      <c r="BB37" s="417"/>
      <c r="BC37" s="417"/>
      <c r="BD37" s="417"/>
      <c r="BE37" s="418"/>
      <c r="BF37" s="417"/>
      <c r="BG37" s="417"/>
      <c r="BH37" s="417"/>
      <c r="BI37" s="417"/>
      <c r="BJ37" s="418"/>
      <c r="BQ37" s="414"/>
      <c r="BU37" s="414"/>
      <c r="BV37" s="446"/>
      <c r="CA37" s="414"/>
      <c r="CB37" s="414"/>
      <c r="CW37" s="415"/>
      <c r="DS37" s="2772"/>
      <c r="DT37" s="2772"/>
      <c r="DU37" s="2772"/>
      <c r="DV37" s="2772"/>
      <c r="EL37" s="414"/>
      <c r="EP37" s="415"/>
      <c r="FP37" s="2772"/>
      <c r="FQ37" s="2772"/>
      <c r="FR37" s="2772"/>
      <c r="FS37" s="2772"/>
      <c r="GA37" s="2772"/>
      <c r="GB37" s="2772"/>
      <c r="GC37" s="2772"/>
      <c r="GD37" s="2772"/>
      <c r="HQ37" s="414"/>
      <c r="HT37" s="415"/>
      <c r="HZ37" s="2772"/>
      <c r="IA37" s="2772"/>
      <c r="IB37" s="2772"/>
      <c r="IC37" s="2772"/>
      <c r="IL37" s="2772"/>
      <c r="IM37" s="2772"/>
      <c r="IN37" s="2772"/>
      <c r="IO37" s="2772"/>
    </row>
    <row r="38" spans="16:249" ht="4.1500000000000004" customHeight="1">
      <c r="P38" s="414"/>
      <c r="R38" s="419"/>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1"/>
      <c r="AT38" s="414"/>
      <c r="AU38" s="415"/>
      <c r="BQ38" s="414"/>
      <c r="BR38" s="411"/>
      <c r="BS38" s="413"/>
      <c r="BU38" s="414"/>
      <c r="BV38" s="446"/>
      <c r="BX38" s="411"/>
      <c r="BY38" s="413"/>
      <c r="CA38" s="414"/>
      <c r="CB38" s="414"/>
      <c r="CW38" s="415"/>
      <c r="DS38" s="2772"/>
      <c r="DT38" s="2772"/>
      <c r="DU38" s="2772"/>
      <c r="DV38" s="2772"/>
      <c r="EL38" s="414"/>
      <c r="EP38" s="415"/>
      <c r="FP38" s="2772"/>
      <c r="FQ38" s="2772"/>
      <c r="FR38" s="2772"/>
      <c r="FS38" s="2772"/>
      <c r="GA38" s="2772"/>
      <c r="GB38" s="2772"/>
      <c r="GC38" s="2772"/>
      <c r="GD38" s="2772"/>
      <c r="HQ38" s="414"/>
      <c r="HT38" s="415"/>
      <c r="HZ38" s="2772"/>
      <c r="IA38" s="2772"/>
      <c r="IB38" s="2772"/>
      <c r="IC38" s="2772"/>
      <c r="IL38" s="2772"/>
      <c r="IM38" s="2772"/>
      <c r="IN38" s="2772"/>
      <c r="IO38" s="2772"/>
    </row>
    <row r="39" spans="16:249" ht="4.1500000000000004" customHeight="1">
      <c r="P39" s="414"/>
      <c r="R39" s="419"/>
      <c r="S39" s="420"/>
      <c r="T39" s="420"/>
      <c r="U39" s="420"/>
      <c r="V39" s="420"/>
      <c r="W39" s="420"/>
      <c r="X39" s="420"/>
      <c r="Y39" s="420"/>
      <c r="Z39" s="420"/>
      <c r="AA39" s="420"/>
      <c r="AB39" s="420"/>
      <c r="AC39" s="420"/>
      <c r="AD39" s="420"/>
      <c r="AE39" s="420"/>
      <c r="AF39" s="420"/>
      <c r="AG39" s="420"/>
      <c r="AH39" s="420"/>
      <c r="AI39" s="420"/>
      <c r="AJ39" s="420"/>
      <c r="AK39" s="420"/>
      <c r="AL39" s="420"/>
      <c r="AM39" s="420"/>
      <c r="AN39" s="420"/>
      <c r="AO39" s="420"/>
      <c r="AP39" s="420"/>
      <c r="AQ39" s="420"/>
      <c r="AR39" s="420"/>
      <c r="AS39" s="421"/>
      <c r="AT39" s="414"/>
      <c r="AU39" s="415"/>
      <c r="BQ39" s="414"/>
      <c r="BR39" s="414"/>
      <c r="BS39" s="415"/>
      <c r="BU39" s="414"/>
      <c r="BV39" s="446"/>
      <c r="BX39" s="414"/>
      <c r="BY39" s="415"/>
      <c r="CA39" s="414"/>
      <c r="CB39" s="414"/>
      <c r="CW39" s="415"/>
      <c r="DS39" s="2772"/>
      <c r="DT39" s="2772"/>
      <c r="DU39" s="2772"/>
      <c r="DV39" s="2772"/>
      <c r="EL39" s="414"/>
      <c r="EP39" s="415"/>
      <c r="FP39" s="2772"/>
      <c r="FQ39" s="2772"/>
      <c r="FR39" s="2772"/>
      <c r="FS39" s="2772"/>
      <c r="GA39" s="2772"/>
      <c r="GB39" s="2772"/>
      <c r="GC39" s="2772"/>
      <c r="GD39" s="2772"/>
      <c r="HQ39" s="414"/>
      <c r="HT39" s="415"/>
      <c r="HZ39" s="2772"/>
      <c r="IA39" s="2772"/>
      <c r="IB39" s="2772"/>
      <c r="IC39" s="2772"/>
      <c r="IL39" s="2772"/>
      <c r="IM39" s="2772"/>
      <c r="IN39" s="2772"/>
      <c r="IO39" s="2772"/>
    </row>
    <row r="40" spans="16:249" ht="4.1500000000000004" customHeight="1">
      <c r="P40" s="414"/>
      <c r="R40" s="419"/>
      <c r="S40" s="420"/>
      <c r="T40" s="420"/>
      <c r="U40" s="420"/>
      <c r="V40" s="420"/>
      <c r="W40" s="420"/>
      <c r="X40" s="420"/>
      <c r="Y40" s="420"/>
      <c r="Z40" s="420"/>
      <c r="AA40" s="420"/>
      <c r="AB40" s="420"/>
      <c r="AC40" s="420"/>
      <c r="AD40" s="420"/>
      <c r="AE40" s="420"/>
      <c r="AF40" s="420"/>
      <c r="AG40" s="420"/>
      <c r="AH40" s="420"/>
      <c r="AI40" s="420"/>
      <c r="AJ40" s="420"/>
      <c r="AK40" s="420"/>
      <c r="AL40" s="420"/>
      <c r="AM40" s="420"/>
      <c r="AN40" s="420"/>
      <c r="AO40" s="420"/>
      <c r="AP40" s="420"/>
      <c r="AQ40" s="420"/>
      <c r="AR40" s="420"/>
      <c r="AS40" s="421"/>
      <c r="AT40" s="414"/>
      <c r="AU40" s="415"/>
      <c r="BQ40" s="414"/>
      <c r="BR40" s="414"/>
      <c r="BS40" s="415"/>
      <c r="BU40" s="414"/>
      <c r="BV40" s="446"/>
      <c r="BX40" s="414"/>
      <c r="BY40" s="415"/>
      <c r="CA40" s="414"/>
      <c r="CB40" s="414"/>
      <c r="CW40" s="415"/>
      <c r="DS40" s="2772"/>
      <c r="DT40" s="2772"/>
      <c r="DU40" s="2772"/>
      <c r="DV40" s="2772"/>
      <c r="EL40" s="414"/>
      <c r="EP40" s="415"/>
      <c r="FP40" s="2772"/>
      <c r="FQ40" s="2772"/>
      <c r="FR40" s="2772"/>
      <c r="FS40" s="2772"/>
      <c r="GC40" s="414"/>
      <c r="HQ40" s="414"/>
      <c r="HT40" s="415"/>
      <c r="HZ40" s="2772"/>
      <c r="IA40" s="2772"/>
      <c r="IB40" s="2772"/>
      <c r="IC40" s="2772"/>
      <c r="IN40" s="414"/>
    </row>
    <row r="41" spans="16:249" ht="4.1500000000000004" customHeight="1">
      <c r="P41" s="414"/>
      <c r="R41" s="419"/>
      <c r="S41" s="420"/>
      <c r="T41" s="420"/>
      <c r="U41" s="420"/>
      <c r="V41" s="420"/>
      <c r="W41" s="420"/>
      <c r="X41" s="420"/>
      <c r="Y41" s="420"/>
      <c r="Z41" s="420"/>
      <c r="AA41" s="420"/>
      <c r="AB41" s="420"/>
      <c r="AC41" s="420"/>
      <c r="AD41" s="420"/>
      <c r="AE41" s="420"/>
      <c r="AF41" s="420"/>
      <c r="AG41" s="420"/>
      <c r="AH41" s="420"/>
      <c r="AI41" s="420"/>
      <c r="AJ41" s="420"/>
      <c r="AK41" s="420"/>
      <c r="AL41" s="420"/>
      <c r="AM41" s="420"/>
      <c r="AN41" s="420"/>
      <c r="AO41" s="420"/>
      <c r="AP41" s="420"/>
      <c r="AQ41" s="420"/>
      <c r="AR41" s="420"/>
      <c r="AS41" s="421"/>
      <c r="AT41" s="414"/>
      <c r="AU41" s="415"/>
      <c r="BQ41" s="414"/>
      <c r="BR41" s="414"/>
      <c r="BS41" s="415"/>
      <c r="BU41" s="414"/>
      <c r="BV41" s="446"/>
      <c r="BX41" s="414"/>
      <c r="BY41" s="415"/>
      <c r="CA41" s="414"/>
      <c r="CB41" s="414"/>
      <c r="CW41" s="415"/>
      <c r="DS41" s="2772"/>
      <c r="DT41" s="2772"/>
      <c r="DU41" s="2772"/>
      <c r="DV41" s="2772"/>
      <c r="EL41" s="414"/>
      <c r="EP41" s="415"/>
      <c r="FP41" s="2772"/>
      <c r="FQ41" s="2772"/>
      <c r="FR41" s="2772"/>
      <c r="FS41" s="2772"/>
      <c r="GC41" s="414"/>
      <c r="HQ41" s="414"/>
      <c r="HT41" s="415"/>
      <c r="HZ41" s="2772"/>
      <c r="IA41" s="2772"/>
      <c r="IB41" s="2772"/>
      <c r="IC41" s="2772"/>
      <c r="IN41" s="414"/>
    </row>
    <row r="42" spans="16:249" ht="4.1500000000000004" customHeight="1">
      <c r="P42" s="414"/>
      <c r="R42" s="419"/>
      <c r="S42" s="420"/>
      <c r="T42" s="420"/>
      <c r="U42" s="420"/>
      <c r="V42" s="420"/>
      <c r="W42" s="420"/>
      <c r="X42" s="420"/>
      <c r="Y42" s="420"/>
      <c r="Z42" s="420"/>
      <c r="AA42" s="420"/>
      <c r="AB42" s="420"/>
      <c r="AC42" s="420"/>
      <c r="AD42" s="420"/>
      <c r="AE42" s="420"/>
      <c r="AF42" s="420"/>
      <c r="AG42" s="420"/>
      <c r="AH42" s="420"/>
      <c r="AI42" s="420"/>
      <c r="AJ42" s="420"/>
      <c r="AK42" s="420"/>
      <c r="AL42" s="420"/>
      <c r="AM42" s="420"/>
      <c r="AN42" s="420"/>
      <c r="AO42" s="420"/>
      <c r="AP42" s="420"/>
      <c r="AQ42" s="420"/>
      <c r="AR42" s="420"/>
      <c r="AS42" s="421"/>
      <c r="AT42" s="414"/>
      <c r="AU42" s="415"/>
      <c r="BQ42" s="414"/>
      <c r="BR42" s="414"/>
      <c r="BS42" s="415"/>
      <c r="BU42" s="414"/>
      <c r="BV42" s="446"/>
      <c r="BX42" s="414"/>
      <c r="BY42" s="415"/>
      <c r="CA42" s="414"/>
      <c r="CB42" s="414"/>
      <c r="CW42" s="415"/>
      <c r="DU42" s="414"/>
      <c r="EL42" s="414"/>
      <c r="EP42" s="415"/>
      <c r="FP42" s="2772"/>
      <c r="FQ42" s="2772"/>
      <c r="FR42" s="2772"/>
      <c r="FS42" s="2772"/>
      <c r="GC42" s="414"/>
      <c r="HQ42" s="414"/>
      <c r="HT42" s="415"/>
      <c r="HZ42" s="2772"/>
      <c r="IA42" s="2772"/>
      <c r="IB42" s="2772"/>
      <c r="IC42" s="2772"/>
      <c r="IN42" s="414"/>
    </row>
    <row r="43" spans="16:249" ht="4.1500000000000004" customHeight="1">
      <c r="P43" s="414"/>
      <c r="R43" s="419"/>
      <c r="S43" s="420"/>
      <c r="T43" s="420"/>
      <c r="U43" s="420"/>
      <c r="V43" s="420"/>
      <c r="W43" s="420"/>
      <c r="X43" s="420"/>
      <c r="Y43" s="420"/>
      <c r="Z43" s="420"/>
      <c r="AA43" s="420"/>
      <c r="AB43" s="420"/>
      <c r="AC43" s="420"/>
      <c r="AD43" s="420"/>
      <c r="AE43" s="420"/>
      <c r="AF43" s="420"/>
      <c r="AG43" s="420"/>
      <c r="AH43" s="420"/>
      <c r="AI43" s="420"/>
      <c r="AJ43" s="420"/>
      <c r="AK43" s="420"/>
      <c r="AL43" s="420"/>
      <c r="AM43" s="420"/>
      <c r="AN43" s="420"/>
      <c r="AO43" s="420"/>
      <c r="AP43" s="420"/>
      <c r="AQ43" s="420"/>
      <c r="AR43" s="420"/>
      <c r="AS43" s="421"/>
      <c r="AT43" s="414"/>
      <c r="AU43" s="415"/>
      <c r="BQ43" s="414"/>
      <c r="BR43" s="414"/>
      <c r="BS43" s="415"/>
      <c r="BU43" s="414"/>
      <c r="BV43" s="446"/>
      <c r="BX43" s="414"/>
      <c r="BY43" s="415"/>
      <c r="CA43" s="414"/>
      <c r="CB43" s="414"/>
      <c r="CW43" s="415"/>
      <c r="DU43" s="414"/>
      <c r="EL43" s="414"/>
      <c r="EP43" s="415"/>
      <c r="FP43" s="2772"/>
      <c r="FQ43" s="2772"/>
      <c r="FR43" s="2772"/>
      <c r="FS43" s="2772"/>
      <c r="GC43" s="414"/>
      <c r="HQ43" s="414"/>
      <c r="HT43" s="415"/>
      <c r="HZ43" s="2772"/>
      <c r="IA43" s="2772"/>
      <c r="IB43" s="2772"/>
      <c r="IC43" s="2772"/>
      <c r="IN43" s="414"/>
    </row>
    <row r="44" spans="16:249" ht="4.1500000000000004" customHeight="1">
      <c r="P44" s="414"/>
      <c r="R44" s="419"/>
      <c r="S44" s="420"/>
      <c r="T44" s="420"/>
      <c r="U44" s="420"/>
      <c r="V44" s="420"/>
      <c r="W44" s="420"/>
      <c r="X44" s="420"/>
      <c r="Y44" s="420"/>
      <c r="Z44" s="420"/>
      <c r="AA44" s="420"/>
      <c r="AB44" s="420"/>
      <c r="AC44" s="420"/>
      <c r="AD44" s="420"/>
      <c r="AE44" s="420"/>
      <c r="AF44" s="420"/>
      <c r="AG44" s="420"/>
      <c r="AH44" s="420"/>
      <c r="AI44" s="420"/>
      <c r="AJ44" s="420"/>
      <c r="AK44" s="420"/>
      <c r="AL44" s="420"/>
      <c r="AM44" s="420"/>
      <c r="AN44" s="420"/>
      <c r="AO44" s="420"/>
      <c r="AP44" s="420"/>
      <c r="AQ44" s="420"/>
      <c r="AR44" s="420"/>
      <c r="AS44" s="421"/>
      <c r="AT44" s="414"/>
      <c r="AU44" s="415"/>
      <c r="BQ44" s="414"/>
      <c r="BR44" s="414"/>
      <c r="BS44" s="415"/>
      <c r="BU44" s="414"/>
      <c r="BV44" s="446"/>
      <c r="BX44" s="414"/>
      <c r="BY44" s="415"/>
      <c r="CA44" s="414"/>
      <c r="CB44" s="414"/>
      <c r="CW44" s="415"/>
      <c r="DU44" s="414"/>
      <c r="EL44" s="414"/>
      <c r="EP44" s="415"/>
      <c r="EQ44" s="414"/>
      <c r="FP44" s="2772"/>
      <c r="FQ44" s="2772"/>
      <c r="FR44" s="2772"/>
      <c r="FS44" s="2772"/>
      <c r="GC44" s="414"/>
      <c r="HQ44" s="414"/>
      <c r="HT44" s="415"/>
      <c r="HZ44" s="2772"/>
      <c r="IA44" s="2772"/>
      <c r="IB44" s="2772"/>
      <c r="IC44" s="2772"/>
      <c r="IN44" s="414"/>
    </row>
    <row r="45" spans="16:249" ht="4.1500000000000004" customHeight="1">
      <c r="P45" s="414"/>
      <c r="R45" s="419"/>
      <c r="S45" s="420"/>
      <c r="T45" s="420"/>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1"/>
      <c r="AT45" s="414"/>
      <c r="AU45" s="415"/>
      <c r="BQ45" s="414"/>
      <c r="BR45" s="414"/>
      <c r="BS45" s="415"/>
      <c r="BU45" s="414"/>
      <c r="BV45" s="446"/>
      <c r="BX45" s="414"/>
      <c r="BY45" s="415"/>
      <c r="CA45" s="414"/>
      <c r="CB45" s="414"/>
      <c r="CW45" s="415"/>
      <c r="DU45" s="414"/>
      <c r="EL45" s="414"/>
      <c r="EP45" s="415"/>
      <c r="EQ45" s="414"/>
      <c r="FR45" s="414"/>
      <c r="GC45" s="414"/>
      <c r="HQ45" s="414"/>
      <c r="HT45" s="415"/>
      <c r="IB45" s="414"/>
      <c r="IN45" s="414"/>
    </row>
    <row r="46" spans="16:249" ht="4.1500000000000004" customHeight="1">
      <c r="P46" s="414"/>
      <c r="R46" s="419"/>
      <c r="S46" s="420"/>
      <c r="T46" s="420"/>
      <c r="U46" s="420"/>
      <c r="V46" s="420"/>
      <c r="W46" s="420"/>
      <c r="X46" s="420"/>
      <c r="Y46" s="420"/>
      <c r="Z46" s="420"/>
      <c r="AA46" s="420"/>
      <c r="AB46" s="420"/>
      <c r="AC46" s="420"/>
      <c r="AD46" s="420"/>
      <c r="AE46" s="420"/>
      <c r="AF46" s="420"/>
      <c r="AG46" s="420"/>
      <c r="AH46" s="420"/>
      <c r="AI46" s="420"/>
      <c r="AJ46" s="420"/>
      <c r="AK46" s="420"/>
      <c r="AL46" s="420"/>
      <c r="AM46" s="420"/>
      <c r="AN46" s="420"/>
      <c r="AO46" s="420"/>
      <c r="AP46" s="420"/>
      <c r="AQ46" s="420"/>
      <c r="AR46" s="420"/>
      <c r="AS46" s="421"/>
      <c r="AT46" s="414"/>
      <c r="AU46" s="415"/>
      <c r="BQ46" s="414"/>
      <c r="BR46" s="414"/>
      <c r="BS46" s="415"/>
      <c r="BU46" s="414"/>
      <c r="BV46" s="446"/>
      <c r="BX46" s="414"/>
      <c r="BY46" s="415"/>
      <c r="CA46" s="414"/>
      <c r="CB46" s="414"/>
      <c r="CW46" s="415"/>
      <c r="DU46" s="414"/>
      <c r="EL46" s="414"/>
      <c r="EP46" s="415"/>
      <c r="EQ46" s="414"/>
      <c r="FR46" s="414"/>
      <c r="GC46" s="414"/>
      <c r="HQ46" s="414"/>
      <c r="HT46" s="415"/>
      <c r="IB46" s="414"/>
      <c r="IN46" s="414"/>
    </row>
    <row r="47" spans="16:249" ht="4.1500000000000004" customHeight="1">
      <c r="P47" s="414"/>
      <c r="R47" s="419"/>
      <c r="S47" s="420"/>
      <c r="T47" s="420"/>
      <c r="U47" s="420"/>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0"/>
      <c r="AS47" s="421"/>
      <c r="AT47" s="414"/>
      <c r="AU47" s="415"/>
      <c r="BQ47" s="414"/>
      <c r="BR47" s="416"/>
      <c r="BS47" s="418"/>
      <c r="BU47" s="414"/>
      <c r="BV47" s="446"/>
      <c r="BX47" s="416"/>
      <c r="BY47" s="418"/>
      <c r="CA47" s="414"/>
      <c r="CB47" s="414"/>
      <c r="CW47" s="415"/>
      <c r="DU47" s="414"/>
      <c r="EL47" s="414"/>
      <c r="EP47" s="415"/>
      <c r="EQ47" s="414"/>
      <c r="FR47" s="414"/>
      <c r="GC47" s="414"/>
      <c r="HQ47" s="414"/>
      <c r="HT47" s="415"/>
      <c r="HU47" s="414"/>
      <c r="IB47" s="414"/>
      <c r="IN47" s="414"/>
    </row>
    <row r="48" spans="16:249" ht="4.1500000000000004" customHeight="1">
      <c r="P48" s="416"/>
      <c r="Q48" s="417"/>
      <c r="R48" s="419"/>
      <c r="S48" s="420"/>
      <c r="T48" s="420"/>
      <c r="U48" s="420"/>
      <c r="V48" s="420"/>
      <c r="W48" s="420"/>
      <c r="X48" s="420"/>
      <c r="Y48" s="420"/>
      <c r="Z48" s="420"/>
      <c r="AA48" s="420"/>
      <c r="AB48" s="420"/>
      <c r="AC48" s="420"/>
      <c r="AD48" s="420"/>
      <c r="AE48" s="420"/>
      <c r="AF48" s="420"/>
      <c r="AG48" s="420"/>
      <c r="AH48" s="420"/>
      <c r="AI48" s="420"/>
      <c r="AJ48" s="420"/>
      <c r="AK48" s="420"/>
      <c r="AL48" s="420"/>
      <c r="AM48" s="420"/>
      <c r="AN48" s="420"/>
      <c r="AO48" s="420"/>
      <c r="AP48" s="420"/>
      <c r="AQ48" s="420"/>
      <c r="AR48" s="420"/>
      <c r="AS48" s="421"/>
      <c r="AT48" s="416"/>
      <c r="AU48" s="418"/>
      <c r="AV48" s="417"/>
      <c r="AW48" s="417"/>
      <c r="AX48" s="417"/>
      <c r="AY48" s="417"/>
      <c r="AZ48" s="417"/>
      <c r="BA48" s="417"/>
      <c r="BB48" s="417"/>
      <c r="BC48" s="417"/>
      <c r="BD48" s="417"/>
      <c r="BE48" s="417"/>
      <c r="BF48" s="417"/>
      <c r="BG48" s="417"/>
      <c r="BH48" s="417"/>
      <c r="BI48" s="417"/>
      <c r="BJ48" s="417"/>
      <c r="BK48" s="417"/>
      <c r="BL48" s="417"/>
      <c r="BM48" s="417"/>
      <c r="BN48" s="417"/>
      <c r="BO48" s="417"/>
      <c r="BP48" s="417"/>
      <c r="BQ48" s="416"/>
      <c r="BR48" s="417"/>
      <c r="BS48" s="417"/>
      <c r="BT48" s="417"/>
      <c r="BU48" s="416"/>
      <c r="BV48" s="447"/>
      <c r="BW48" s="417"/>
      <c r="CA48" s="414"/>
      <c r="CB48" s="416"/>
      <c r="CC48" s="417"/>
      <c r="CD48" s="417"/>
      <c r="CE48" s="417"/>
      <c r="CF48" s="417"/>
      <c r="CG48" s="417"/>
      <c r="CH48" s="417"/>
      <c r="CI48" s="417"/>
      <c r="CJ48" s="417"/>
      <c r="CK48" s="417"/>
      <c r="CL48" s="417"/>
      <c r="CM48" s="417"/>
      <c r="CN48" s="417"/>
      <c r="CO48" s="417"/>
      <c r="CP48" s="417"/>
      <c r="CQ48" s="417"/>
      <c r="CR48" s="417"/>
      <c r="CS48" s="417"/>
      <c r="CT48" s="417"/>
      <c r="CU48" s="417"/>
      <c r="CV48" s="417"/>
      <c r="CW48" s="418"/>
      <c r="DU48" s="414"/>
      <c r="EL48" s="414"/>
      <c r="EP48" s="415"/>
      <c r="EQ48" s="414"/>
      <c r="FR48" s="414"/>
      <c r="GC48" s="414"/>
      <c r="HQ48" s="414"/>
      <c r="HT48" s="415"/>
      <c r="HU48" s="414"/>
      <c r="IB48" s="414"/>
      <c r="IN48" s="414"/>
    </row>
    <row r="49" spans="15:266" ht="4.1500000000000004" customHeight="1">
      <c r="O49" s="411"/>
      <c r="P49" s="412"/>
      <c r="Q49" s="412"/>
      <c r="AH49" s="412"/>
      <c r="AI49" s="412"/>
      <c r="AJ49" s="412"/>
      <c r="AK49" s="412"/>
      <c r="AL49" s="412"/>
      <c r="AM49" s="412"/>
      <c r="AN49" s="412"/>
      <c r="AO49" s="412"/>
      <c r="AP49" s="412"/>
      <c r="AQ49" s="412"/>
      <c r="AR49" s="412"/>
      <c r="AS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3"/>
      <c r="CB49" s="412"/>
      <c r="CC49" s="412"/>
      <c r="CD49" s="412"/>
      <c r="CE49" s="412"/>
      <c r="CF49" s="412"/>
      <c r="CG49" s="412"/>
      <c r="CH49" s="412"/>
      <c r="CI49" s="412"/>
      <c r="CJ49" s="412"/>
      <c r="CK49" s="412"/>
      <c r="CL49" s="412"/>
      <c r="CM49" s="412"/>
      <c r="CN49" s="412"/>
      <c r="CO49" s="412"/>
      <c r="CP49" s="412"/>
      <c r="CQ49" s="412"/>
      <c r="CR49" s="412"/>
      <c r="CS49" s="412"/>
      <c r="CT49" s="412"/>
      <c r="CU49" s="412"/>
      <c r="CV49" s="412"/>
      <c r="CW49" s="412"/>
      <c r="CX49" s="413"/>
      <c r="DU49" s="414"/>
      <c r="EL49" s="414"/>
      <c r="EP49" s="415"/>
      <c r="EQ49" s="414"/>
      <c r="FR49" s="414"/>
      <c r="GC49" s="414"/>
      <c r="GI49" s="2808" t="s">
        <v>2981</v>
      </c>
      <c r="GJ49" s="2808"/>
      <c r="GK49" s="2808"/>
      <c r="GL49" s="2808"/>
      <c r="GM49" s="2808"/>
      <c r="GN49" s="2808"/>
      <c r="GO49" s="2808"/>
      <c r="HQ49" s="414"/>
      <c r="HT49" s="415"/>
      <c r="HU49" s="414"/>
      <c r="IB49" s="414"/>
      <c r="IN49" s="414"/>
    </row>
    <row r="50" spans="15:266" ht="4.1500000000000004" customHeight="1">
      <c r="O50" s="416"/>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c r="AS50" s="417"/>
      <c r="AT50" s="417"/>
      <c r="AU50" s="417"/>
      <c r="AV50" s="417"/>
      <c r="AW50" s="417"/>
      <c r="AX50" s="417"/>
      <c r="AY50" s="417"/>
      <c r="AZ50" s="417"/>
      <c r="BA50" s="417"/>
      <c r="BB50" s="417"/>
      <c r="BC50" s="417"/>
      <c r="BD50" s="417"/>
      <c r="BE50" s="417"/>
      <c r="BF50" s="417"/>
      <c r="BG50" s="417"/>
      <c r="BH50" s="417"/>
      <c r="BI50" s="417"/>
      <c r="BJ50" s="417"/>
      <c r="BK50" s="417"/>
      <c r="BL50" s="417"/>
      <c r="BM50" s="417"/>
      <c r="BN50" s="417"/>
      <c r="BO50" s="417"/>
      <c r="BP50" s="417"/>
      <c r="BQ50" s="417"/>
      <c r="BR50" s="417"/>
      <c r="BS50" s="417"/>
      <c r="BT50" s="417"/>
      <c r="BU50" s="417"/>
      <c r="BV50" s="417"/>
      <c r="BW50" s="417"/>
      <c r="BX50" s="417"/>
      <c r="BY50" s="417"/>
      <c r="BZ50" s="417"/>
      <c r="CA50" s="418"/>
      <c r="CX50" s="415"/>
      <c r="DU50" s="414"/>
      <c r="EL50" s="414"/>
      <c r="EP50" s="415"/>
      <c r="EQ50" s="414"/>
      <c r="FR50" s="414"/>
      <c r="GC50" s="414"/>
      <c r="GI50" s="2808"/>
      <c r="GJ50" s="2808"/>
      <c r="GK50" s="2808"/>
      <c r="GL50" s="2808"/>
      <c r="GM50" s="2808"/>
      <c r="GN50" s="2808"/>
      <c r="GO50" s="2808"/>
      <c r="HQ50" s="414"/>
      <c r="HT50" s="415"/>
      <c r="HU50" s="414"/>
      <c r="IB50" s="414"/>
      <c r="IN50" s="414"/>
    </row>
    <row r="51" spans="15:266" ht="4.1500000000000004" customHeight="1">
      <c r="O51" s="411"/>
      <c r="P51" s="412"/>
      <c r="Q51" s="412"/>
      <c r="R51" s="412"/>
      <c r="S51" s="412"/>
      <c r="T51" s="412"/>
      <c r="U51" s="412"/>
      <c r="V51" s="412"/>
      <c r="W51" s="412"/>
      <c r="X51" s="412"/>
      <c r="Y51" s="412"/>
      <c r="Z51" s="412"/>
      <c r="AA51" s="412"/>
      <c r="AB51" s="412"/>
      <c r="AC51" s="412"/>
      <c r="AD51" s="412"/>
      <c r="AE51" s="412"/>
      <c r="AF51" s="412"/>
      <c r="AG51" s="412"/>
      <c r="AH51" s="412"/>
      <c r="AI51" s="412"/>
      <c r="AJ51" s="412"/>
      <c r="AK51" s="412"/>
      <c r="AL51" s="412"/>
      <c r="AM51" s="412"/>
      <c r="AN51" s="412"/>
      <c r="AO51" s="412"/>
      <c r="AP51" s="412"/>
      <c r="AQ51" s="412"/>
      <c r="AR51" s="412"/>
      <c r="AS51" s="412"/>
      <c r="AT51" s="412"/>
      <c r="AU51" s="412"/>
      <c r="AV51" s="412"/>
      <c r="AW51" s="412"/>
      <c r="AX51" s="412"/>
      <c r="AY51" s="412"/>
      <c r="AZ51" s="412"/>
      <c r="BA51" s="412"/>
      <c r="BB51" s="412"/>
      <c r="BC51" s="412"/>
      <c r="BD51" s="412"/>
      <c r="BE51" s="412"/>
      <c r="BF51" s="412"/>
      <c r="BG51" s="412"/>
      <c r="BH51" s="412"/>
      <c r="BI51" s="412"/>
      <c r="BJ51" s="412"/>
      <c r="BK51" s="412"/>
      <c r="BL51" s="412"/>
      <c r="BM51" s="412"/>
      <c r="BN51" s="412"/>
      <c r="BO51" s="412"/>
      <c r="BP51" s="412"/>
      <c r="BQ51" s="412"/>
      <c r="BR51" s="412"/>
      <c r="BS51" s="412"/>
      <c r="BT51" s="412"/>
      <c r="BU51" s="412"/>
      <c r="BV51" s="412"/>
      <c r="BW51" s="412"/>
      <c r="BX51" s="412"/>
      <c r="BY51" s="412"/>
      <c r="BZ51" s="412"/>
      <c r="CA51" s="413"/>
      <c r="CX51" s="415"/>
      <c r="DU51" s="414"/>
      <c r="EL51" s="414"/>
      <c r="EP51" s="415"/>
      <c r="EQ51" s="414"/>
      <c r="FR51" s="414"/>
      <c r="GC51" s="414"/>
      <c r="GI51" s="2808"/>
      <c r="GJ51" s="2808"/>
      <c r="GK51" s="2808"/>
      <c r="GL51" s="2808"/>
      <c r="GM51" s="2808"/>
      <c r="GN51" s="2808"/>
      <c r="GO51" s="2808"/>
      <c r="HQ51" s="414"/>
      <c r="HT51" s="415"/>
      <c r="HU51" s="414"/>
      <c r="IB51" s="414"/>
      <c r="IN51" s="414"/>
    </row>
    <row r="52" spans="15:266" ht="4.1500000000000004" customHeight="1">
      <c r="O52" s="416"/>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8"/>
      <c r="CX52" s="415"/>
      <c r="DU52" s="414"/>
      <c r="EL52" s="414"/>
      <c r="EP52" s="415"/>
      <c r="EQ52" s="416"/>
      <c r="ER52" s="417"/>
      <c r="ES52" s="417"/>
      <c r="ET52" s="417"/>
      <c r="EU52" s="417"/>
      <c r="EV52" s="417"/>
      <c r="EW52" s="417"/>
      <c r="EX52" s="417"/>
      <c r="EY52" s="417"/>
      <c r="EZ52" s="417"/>
      <c r="FA52" s="417"/>
      <c r="FB52" s="417"/>
      <c r="FC52" s="417"/>
      <c r="FD52" s="417"/>
      <c r="FE52" s="417"/>
      <c r="FF52" s="417"/>
      <c r="FG52" s="417"/>
      <c r="FH52" s="417"/>
      <c r="FI52" s="417"/>
      <c r="FJ52" s="417"/>
      <c r="FK52" s="417"/>
      <c r="FL52" s="417"/>
      <c r="FM52" s="417"/>
      <c r="FN52" s="417"/>
      <c r="FO52" s="417"/>
      <c r="FP52" s="417"/>
      <c r="FQ52" s="417"/>
      <c r="FR52" s="416"/>
      <c r="FS52" s="417"/>
      <c r="FT52" s="417"/>
      <c r="FU52" s="417"/>
      <c r="FV52" s="417"/>
      <c r="FW52" s="417"/>
      <c r="GC52" s="414"/>
      <c r="GE52" s="417"/>
      <c r="GF52" s="417"/>
      <c r="GG52" s="417"/>
      <c r="GH52" s="417"/>
      <c r="GI52" s="417"/>
      <c r="GJ52" s="417"/>
      <c r="GK52" s="417"/>
      <c r="GL52" s="417"/>
      <c r="GM52" s="417"/>
      <c r="GN52" s="417"/>
      <c r="GO52" s="417"/>
      <c r="GP52" s="417"/>
      <c r="GQ52" s="417"/>
      <c r="GR52" s="417"/>
      <c r="GS52" s="417"/>
      <c r="GT52" s="417"/>
      <c r="GU52" s="417"/>
      <c r="GV52" s="417"/>
      <c r="GW52" s="417"/>
      <c r="GX52" s="417"/>
      <c r="GY52" s="417"/>
      <c r="GZ52" s="417"/>
      <c r="HA52" s="417"/>
      <c r="HB52" s="417"/>
      <c r="HC52" s="417"/>
      <c r="HD52" s="417"/>
      <c r="HE52" s="417"/>
      <c r="HF52" s="417"/>
      <c r="HG52" s="417"/>
      <c r="HH52" s="417"/>
      <c r="HI52" s="417"/>
      <c r="HJ52" s="417"/>
      <c r="HK52" s="417"/>
      <c r="HL52" s="417"/>
      <c r="HM52" s="417"/>
      <c r="HN52" s="417"/>
      <c r="HO52" s="417"/>
      <c r="HQ52" s="414"/>
      <c r="HT52" s="415"/>
      <c r="HU52" s="416"/>
      <c r="HV52" s="417"/>
      <c r="HW52" s="417"/>
      <c r="HX52" s="417"/>
      <c r="HY52" s="417"/>
      <c r="HZ52" s="417"/>
      <c r="IA52" s="417"/>
      <c r="IB52" s="416"/>
      <c r="IC52" s="417"/>
      <c r="ID52" s="417"/>
      <c r="IE52" s="417"/>
      <c r="IF52" s="417"/>
      <c r="IG52" s="417"/>
      <c r="IH52" s="417"/>
      <c r="II52" s="417"/>
      <c r="IJ52" s="417"/>
      <c r="IK52" s="417"/>
      <c r="IL52" s="417"/>
      <c r="IM52" s="417"/>
      <c r="IN52" s="416"/>
      <c r="IO52" s="417"/>
      <c r="IP52" s="417"/>
      <c r="IQ52" s="417"/>
      <c r="IR52" s="417"/>
      <c r="IS52" s="417"/>
    </row>
    <row r="53" spans="15:266" ht="4.1500000000000004" customHeight="1">
      <c r="O53" s="411"/>
      <c r="P53" s="412"/>
      <c r="Q53" s="412"/>
      <c r="R53" s="412"/>
      <c r="S53" s="412"/>
      <c r="T53" s="412"/>
      <c r="U53" s="412"/>
      <c r="V53" s="412"/>
      <c r="W53" s="412"/>
      <c r="X53" s="412"/>
      <c r="Y53" s="412"/>
      <c r="Z53" s="412"/>
      <c r="AA53" s="412"/>
      <c r="AB53" s="412"/>
      <c r="AC53" s="412"/>
      <c r="AD53" s="412"/>
      <c r="AE53" s="412"/>
      <c r="AF53" s="412"/>
      <c r="AG53" s="412"/>
      <c r="AH53" s="412"/>
      <c r="AI53" s="412"/>
      <c r="AJ53" s="412"/>
      <c r="AK53" s="412"/>
      <c r="AL53" s="412"/>
      <c r="AM53" s="412"/>
      <c r="AN53" s="412"/>
      <c r="AO53" s="412"/>
      <c r="AP53" s="412"/>
      <c r="AQ53" s="412"/>
      <c r="AR53" s="412"/>
      <c r="AS53" s="412"/>
      <c r="AT53" s="412"/>
      <c r="AU53" s="412"/>
      <c r="AV53" s="412"/>
      <c r="AW53" s="412"/>
      <c r="AX53" s="412"/>
      <c r="AY53" s="412"/>
      <c r="AZ53" s="412"/>
      <c r="BA53" s="412"/>
      <c r="BB53" s="412"/>
      <c r="BC53" s="412"/>
      <c r="BD53" s="412"/>
      <c r="BE53" s="412"/>
      <c r="BF53" s="412"/>
      <c r="BG53" s="412"/>
      <c r="BH53" s="412"/>
      <c r="BI53" s="412"/>
      <c r="BJ53" s="412"/>
      <c r="BK53" s="412"/>
      <c r="BL53" s="412"/>
      <c r="BM53" s="412"/>
      <c r="BN53" s="412"/>
      <c r="BO53" s="412"/>
      <c r="BP53" s="412"/>
      <c r="BQ53" s="412"/>
      <c r="BR53" s="412"/>
      <c r="BS53" s="412"/>
      <c r="BT53" s="412"/>
      <c r="BU53" s="412"/>
      <c r="BV53" s="412"/>
      <c r="BW53" s="412"/>
      <c r="BX53" s="412"/>
      <c r="BY53" s="412"/>
      <c r="BZ53" s="412"/>
      <c r="CA53" s="413"/>
      <c r="CX53" s="415"/>
      <c r="DU53" s="414"/>
      <c r="EL53" s="450"/>
      <c r="EM53" s="451"/>
      <c r="EN53" s="451"/>
      <c r="EO53" s="451"/>
      <c r="EP53" s="452"/>
      <c r="FL53" s="2588">
        <v>0.2</v>
      </c>
      <c r="FM53" s="2587"/>
      <c r="FN53" s="2587"/>
      <c r="FO53" s="2587"/>
      <c r="FP53" s="2587"/>
      <c r="FQ53" s="2587"/>
      <c r="FR53" s="2587"/>
      <c r="FS53" s="2587"/>
      <c r="FT53" s="2587"/>
      <c r="FU53" s="2587"/>
      <c r="FV53" s="2587"/>
      <c r="FW53" s="2587"/>
      <c r="GA53" s="412"/>
      <c r="GB53" s="2823">
        <f>FL53+FL58</f>
        <v>0.45</v>
      </c>
      <c r="GC53" s="2824"/>
      <c r="GD53" s="2824"/>
      <c r="GE53" s="2772"/>
      <c r="HQ53" s="450"/>
      <c r="HR53" s="451"/>
      <c r="HS53" s="451"/>
      <c r="HT53" s="452"/>
      <c r="HW53" s="2588">
        <v>0.2</v>
      </c>
      <c r="HX53" s="2587"/>
      <c r="HY53" s="2587"/>
      <c r="HZ53" s="2587"/>
      <c r="IA53" s="2587"/>
      <c r="IB53" s="2587"/>
      <c r="IC53" s="2587"/>
      <c r="ID53" s="2587"/>
      <c r="IE53" s="2587"/>
      <c r="IF53" s="2587"/>
      <c r="IG53" s="2587"/>
      <c r="IH53" s="2587"/>
    </row>
    <row r="54" spans="15:266" ht="4.1500000000000004" customHeight="1">
      <c r="O54" s="416"/>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c r="CA54" s="418"/>
      <c r="CB54" s="417"/>
      <c r="CC54" s="417"/>
      <c r="CD54" s="417"/>
      <c r="CE54" s="417"/>
      <c r="CF54" s="417"/>
      <c r="CG54" s="417"/>
      <c r="CH54" s="417"/>
      <c r="CI54" s="417"/>
      <c r="CJ54" s="417"/>
      <c r="CK54" s="417"/>
      <c r="CL54" s="417"/>
      <c r="CM54" s="417"/>
      <c r="CN54" s="417"/>
      <c r="CO54" s="417"/>
      <c r="CP54" s="417"/>
      <c r="CQ54" s="417"/>
      <c r="CR54" s="417"/>
      <c r="CS54" s="417"/>
      <c r="CT54" s="417"/>
      <c r="CU54" s="417"/>
      <c r="CV54" s="417"/>
      <c r="CW54" s="417"/>
      <c r="CX54" s="418"/>
      <c r="DU54" s="414"/>
      <c r="EL54" s="453"/>
      <c r="EM54" s="454"/>
      <c r="EN54" s="454"/>
      <c r="EO54" s="454"/>
      <c r="EP54" s="455"/>
      <c r="FL54" s="2588"/>
      <c r="FM54" s="2588"/>
      <c r="FN54" s="2588"/>
      <c r="FO54" s="2588"/>
      <c r="FP54" s="2588"/>
      <c r="FQ54" s="2588"/>
      <c r="FR54" s="2588"/>
      <c r="FS54" s="2588"/>
      <c r="FT54" s="2588"/>
      <c r="FU54" s="2588"/>
      <c r="FV54" s="2588"/>
      <c r="FW54" s="2588"/>
      <c r="GB54" s="2772"/>
      <c r="GC54" s="2772"/>
      <c r="GD54" s="2772"/>
      <c r="GE54" s="2772"/>
      <c r="HQ54" s="453"/>
      <c r="HR54" s="454"/>
      <c r="HS54" s="454"/>
      <c r="HT54" s="455"/>
      <c r="HW54" s="2588"/>
      <c r="HX54" s="2588"/>
      <c r="HY54" s="2588"/>
      <c r="HZ54" s="2588"/>
      <c r="IA54" s="2588"/>
      <c r="IB54" s="2588"/>
      <c r="IC54" s="2588"/>
      <c r="ID54" s="2588"/>
      <c r="IE54" s="2588"/>
      <c r="IF54" s="2588"/>
      <c r="IG54" s="2588"/>
      <c r="IH54" s="2588"/>
    </row>
    <row r="55" spans="15:266" ht="4.1500000000000004" customHeight="1">
      <c r="O55" s="411"/>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c r="AP55" s="412"/>
      <c r="AQ55" s="412"/>
      <c r="AR55" s="412"/>
      <c r="AS55" s="412"/>
      <c r="AT55" s="412"/>
      <c r="AU55" s="412"/>
      <c r="AV55" s="412"/>
      <c r="AW55" s="412"/>
      <c r="AX55" s="412"/>
      <c r="AY55" s="412"/>
      <c r="AZ55" s="412"/>
      <c r="BA55" s="412"/>
      <c r="BB55" s="412"/>
      <c r="BC55" s="412"/>
      <c r="BD55" s="412"/>
      <c r="BE55" s="412"/>
      <c r="BF55" s="412"/>
      <c r="BG55" s="412"/>
      <c r="BH55" s="412"/>
      <c r="BI55" s="412"/>
      <c r="BJ55" s="412"/>
      <c r="BK55" s="412"/>
      <c r="BL55" s="412"/>
      <c r="BM55" s="412"/>
      <c r="BN55" s="412"/>
      <c r="BO55" s="412"/>
      <c r="BP55" s="412"/>
      <c r="BQ55" s="412"/>
      <c r="BR55" s="412"/>
      <c r="BS55" s="412"/>
      <c r="BT55" s="412"/>
      <c r="BU55" s="412"/>
      <c r="BV55" s="412"/>
      <c r="BW55" s="412"/>
      <c r="BX55" s="412"/>
      <c r="BY55" s="412"/>
      <c r="BZ55" s="412"/>
      <c r="CA55" s="413"/>
      <c r="CB55" s="412"/>
      <c r="CC55" s="412"/>
      <c r="CD55" s="412"/>
      <c r="CE55" s="412"/>
      <c r="CF55" s="412"/>
      <c r="CG55" s="412"/>
      <c r="CH55" s="412"/>
      <c r="CI55" s="412"/>
      <c r="CJ55" s="412"/>
      <c r="CK55" s="412"/>
      <c r="CL55" s="412"/>
      <c r="CM55" s="412"/>
      <c r="CN55" s="412"/>
      <c r="CO55" s="412"/>
      <c r="CP55" s="412"/>
      <c r="CQ55" s="412"/>
      <c r="CR55" s="412"/>
      <c r="CS55" s="412"/>
      <c r="CT55" s="412"/>
      <c r="CU55" s="412"/>
      <c r="CV55" s="412"/>
      <c r="CW55" s="412"/>
      <c r="DU55" s="414"/>
      <c r="EL55" s="453"/>
      <c r="EM55" s="454"/>
      <c r="EN55" s="454"/>
      <c r="EO55" s="454"/>
      <c r="EP55" s="455"/>
      <c r="FL55" s="2589"/>
      <c r="FM55" s="2589"/>
      <c r="FN55" s="2589"/>
      <c r="FO55" s="2589"/>
      <c r="FP55" s="2589"/>
      <c r="FQ55" s="2589"/>
      <c r="FR55" s="2589"/>
      <c r="FS55" s="2589"/>
      <c r="FT55" s="2589"/>
      <c r="FU55" s="2589"/>
      <c r="FV55" s="2589"/>
      <c r="FW55" s="2589"/>
      <c r="GB55" s="2772"/>
      <c r="GC55" s="2772"/>
      <c r="GD55" s="2772"/>
      <c r="GE55" s="2772"/>
      <c r="HQ55" s="456"/>
      <c r="HR55" s="457"/>
      <c r="HS55" s="457"/>
      <c r="HT55" s="458"/>
      <c r="HU55" s="414"/>
      <c r="HW55" s="2589"/>
      <c r="HX55" s="2589"/>
      <c r="HY55" s="2589"/>
      <c r="HZ55" s="2589"/>
      <c r="IA55" s="2589"/>
      <c r="IB55" s="2589"/>
      <c r="IC55" s="2589"/>
      <c r="ID55" s="2589"/>
      <c r="IE55" s="2589"/>
      <c r="IF55" s="2589"/>
      <c r="IG55" s="2589"/>
      <c r="IH55" s="2589"/>
    </row>
    <row r="56" spans="15:266" ht="4.1500000000000004" customHeight="1">
      <c r="O56" s="414"/>
      <c r="CA56" s="415"/>
      <c r="DU56" s="414"/>
      <c r="EL56" s="2826">
        <f>CV85</f>
        <v>0.25</v>
      </c>
      <c r="EM56" s="2827"/>
      <c r="EN56" s="2827"/>
      <c r="EO56" s="2827"/>
      <c r="EP56" s="2828"/>
      <c r="FL56" s="412"/>
      <c r="FM56" s="412"/>
      <c r="FN56" s="412"/>
      <c r="FO56" s="412"/>
      <c r="FP56" s="412"/>
      <c r="FQ56" s="412"/>
      <c r="FR56" s="412"/>
      <c r="FS56" s="412"/>
      <c r="FT56" s="412"/>
      <c r="FU56" s="412"/>
      <c r="FV56" s="412"/>
      <c r="FW56" s="412"/>
      <c r="GB56" s="2772"/>
      <c r="GC56" s="2772"/>
      <c r="GD56" s="2772"/>
      <c r="GE56" s="2772"/>
      <c r="HQ56" s="411"/>
      <c r="HR56" s="412"/>
      <c r="HS56" s="412"/>
      <c r="HT56" s="413"/>
      <c r="HU56" s="414"/>
      <c r="HW56" s="412"/>
      <c r="HX56" s="412"/>
      <c r="HY56" s="412"/>
      <c r="HZ56" s="412"/>
      <c r="IA56" s="412"/>
      <c r="IB56" s="412"/>
      <c r="IC56" s="412"/>
      <c r="ID56" s="412"/>
      <c r="IE56" s="412"/>
      <c r="IF56" s="412"/>
      <c r="IG56" s="412"/>
      <c r="IH56" s="412"/>
    </row>
    <row r="57" spans="15:266" ht="4.1500000000000004" customHeight="1">
      <c r="O57" s="414"/>
      <c r="CA57" s="415"/>
      <c r="DU57" s="414"/>
      <c r="EL57" s="2829"/>
      <c r="EM57" s="2830"/>
      <c r="EN57" s="2830"/>
      <c r="EO57" s="2830"/>
      <c r="EP57" s="2831"/>
      <c r="FL57" s="449"/>
      <c r="FM57" s="449"/>
      <c r="FN57" s="449"/>
      <c r="FO57" s="449"/>
      <c r="FP57" s="449"/>
      <c r="FQ57" s="449"/>
      <c r="FR57" s="449"/>
      <c r="FS57" s="449"/>
      <c r="FT57" s="449"/>
      <c r="FU57" s="449"/>
      <c r="FV57" s="449"/>
      <c r="FW57" s="449"/>
      <c r="GB57" s="2772"/>
      <c r="GC57" s="2772"/>
      <c r="GD57" s="2772"/>
      <c r="GE57" s="2772"/>
      <c r="HQ57" s="414"/>
      <c r="HT57" s="415"/>
      <c r="HU57" s="414"/>
      <c r="HW57" s="449"/>
      <c r="HX57" s="449"/>
      <c r="HY57" s="449"/>
      <c r="HZ57" s="449"/>
      <c r="IA57" s="449"/>
      <c r="IB57" s="449"/>
      <c r="IC57" s="449"/>
      <c r="ID57" s="449"/>
      <c r="IE57" s="449"/>
      <c r="IF57" s="449"/>
      <c r="IG57" s="449"/>
      <c r="IH57" s="449"/>
    </row>
    <row r="58" spans="15:266" ht="4.1500000000000004" customHeight="1">
      <c r="DU58" s="414"/>
      <c r="EH58" s="411"/>
      <c r="EI58" s="412"/>
      <c r="EJ58" s="412"/>
      <c r="EK58" s="413"/>
      <c r="EL58" s="2829"/>
      <c r="EM58" s="2830"/>
      <c r="EN58" s="2830"/>
      <c r="EO58" s="2830"/>
      <c r="EP58" s="2831"/>
      <c r="FL58" s="2588">
        <v>0.25</v>
      </c>
      <c r="FM58" s="2588"/>
      <c r="FN58" s="2588"/>
      <c r="FO58" s="2588"/>
      <c r="FP58" s="2588"/>
      <c r="FQ58" s="2588"/>
      <c r="FR58" s="2588"/>
      <c r="FS58" s="2588"/>
      <c r="FT58" s="2588"/>
      <c r="FU58" s="2588"/>
      <c r="FV58" s="2588"/>
      <c r="FW58" s="2588"/>
      <c r="GB58" s="2772"/>
      <c r="GC58" s="2772"/>
      <c r="GD58" s="2772"/>
      <c r="GE58" s="2772"/>
      <c r="HP58" s="415"/>
      <c r="HQ58" s="414"/>
      <c r="HT58" s="415"/>
      <c r="HU58" s="414"/>
      <c r="HW58" s="2588">
        <v>0.25</v>
      </c>
      <c r="HX58" s="2588"/>
      <c r="HY58" s="2588"/>
      <c r="HZ58" s="2588"/>
      <c r="IA58" s="2588"/>
      <c r="IB58" s="2588"/>
      <c r="IC58" s="2588"/>
      <c r="ID58" s="2588"/>
      <c r="IE58" s="2588"/>
      <c r="IF58" s="2588"/>
      <c r="IG58" s="2588"/>
      <c r="IH58" s="2588"/>
    </row>
    <row r="59" spans="15:266" ht="4.1500000000000004" customHeight="1">
      <c r="P59" s="414"/>
      <c r="AZ59" s="2773">
        <f>AZ64+CV85</f>
        <v>7.4</v>
      </c>
      <c r="BA59" s="2579"/>
      <c r="BB59" s="2579"/>
      <c r="BC59" s="2579"/>
      <c r="BD59" s="2579"/>
      <c r="BE59" s="2579"/>
      <c r="BF59" s="2579"/>
      <c r="BG59" s="2579"/>
      <c r="BH59" s="2579"/>
      <c r="BI59" s="2579"/>
      <c r="BJ59" s="2579"/>
      <c r="BK59" s="2579"/>
      <c r="BL59" s="2579"/>
      <c r="BM59" s="2579"/>
      <c r="CW59" s="415"/>
      <c r="DU59" s="414"/>
      <c r="EH59" s="414"/>
      <c r="EK59" s="415"/>
      <c r="EL59" s="2829"/>
      <c r="EM59" s="2830"/>
      <c r="EN59" s="2830"/>
      <c r="EO59" s="2830"/>
      <c r="EP59" s="2831"/>
      <c r="FL59" s="2588"/>
      <c r="FM59" s="2588"/>
      <c r="FN59" s="2588"/>
      <c r="FO59" s="2588"/>
      <c r="FP59" s="2588"/>
      <c r="FQ59" s="2588"/>
      <c r="FR59" s="2588"/>
      <c r="FS59" s="2588"/>
      <c r="FT59" s="2588"/>
      <c r="FU59" s="2588"/>
      <c r="FV59" s="2588"/>
      <c r="FW59" s="2588"/>
      <c r="GB59" s="2772"/>
      <c r="GC59" s="2772"/>
      <c r="GD59" s="2772"/>
      <c r="GE59" s="2772"/>
      <c r="GI59" s="2808" t="s">
        <v>2980</v>
      </c>
      <c r="GJ59" s="2808"/>
      <c r="GK59" s="2808"/>
      <c r="GL59" s="2808"/>
      <c r="GM59" s="2808"/>
      <c r="GN59" s="2808"/>
      <c r="GO59" s="2808"/>
      <c r="HP59" s="415"/>
      <c r="HQ59" s="414"/>
      <c r="HT59" s="415"/>
      <c r="HU59" s="414"/>
      <c r="HW59" s="2588"/>
      <c r="HX59" s="2588"/>
      <c r="HY59" s="2588"/>
      <c r="HZ59" s="2588"/>
      <c r="IA59" s="2588"/>
      <c r="IB59" s="2588"/>
      <c r="IC59" s="2588"/>
      <c r="ID59" s="2588"/>
      <c r="IE59" s="2588"/>
      <c r="IF59" s="2588"/>
      <c r="IG59" s="2588"/>
      <c r="IH59" s="2588"/>
    </row>
    <row r="60" spans="15:266" ht="4.1500000000000004" customHeight="1">
      <c r="P60" s="416"/>
      <c r="Q60" s="417"/>
      <c r="R60" s="417"/>
      <c r="S60" s="417"/>
      <c r="T60" s="417"/>
      <c r="U60" s="417"/>
      <c r="V60" s="417"/>
      <c r="W60" s="417"/>
      <c r="X60" s="417"/>
      <c r="Y60" s="417"/>
      <c r="Z60" s="417"/>
      <c r="AA60" s="417"/>
      <c r="AB60" s="417"/>
      <c r="AC60" s="417"/>
      <c r="AD60" s="417"/>
      <c r="AE60" s="417"/>
      <c r="AF60" s="417"/>
      <c r="AG60" s="417"/>
      <c r="AH60" s="417"/>
      <c r="AI60" s="417"/>
      <c r="AJ60" s="417"/>
      <c r="AK60" s="417"/>
      <c r="AL60" s="417"/>
      <c r="AM60" s="417"/>
      <c r="AN60" s="417"/>
      <c r="AO60" s="417"/>
      <c r="AP60" s="417"/>
      <c r="AQ60" s="417"/>
      <c r="AR60" s="417"/>
      <c r="AS60" s="417"/>
      <c r="AT60" s="417"/>
      <c r="AU60" s="417"/>
      <c r="AV60" s="417"/>
      <c r="AW60" s="417"/>
      <c r="AX60" s="417"/>
      <c r="AY60" s="417"/>
      <c r="AZ60" s="2579"/>
      <c r="BA60" s="2579"/>
      <c r="BB60" s="2579"/>
      <c r="BC60" s="2579"/>
      <c r="BD60" s="2579"/>
      <c r="BE60" s="2579"/>
      <c r="BF60" s="2579"/>
      <c r="BG60" s="2579"/>
      <c r="BH60" s="2579"/>
      <c r="BI60" s="2579"/>
      <c r="BJ60" s="2579"/>
      <c r="BK60" s="2579"/>
      <c r="BL60" s="2579"/>
      <c r="BM60" s="2579"/>
      <c r="BN60" s="417"/>
      <c r="BO60" s="417"/>
      <c r="BP60" s="417"/>
      <c r="BQ60" s="417"/>
      <c r="BR60" s="417"/>
      <c r="BS60" s="417"/>
      <c r="BT60" s="417"/>
      <c r="BU60" s="417"/>
      <c r="BV60" s="417"/>
      <c r="BW60" s="417"/>
      <c r="BX60" s="417"/>
      <c r="BY60" s="417"/>
      <c r="BZ60" s="417"/>
      <c r="CA60" s="417"/>
      <c r="CB60" s="417"/>
      <c r="CC60" s="417"/>
      <c r="CD60" s="417"/>
      <c r="CE60" s="417"/>
      <c r="CF60" s="417"/>
      <c r="CG60" s="417"/>
      <c r="CH60" s="417"/>
      <c r="CI60" s="417"/>
      <c r="CJ60" s="417"/>
      <c r="CK60" s="417"/>
      <c r="CL60" s="417"/>
      <c r="CM60" s="417"/>
      <c r="CN60" s="417"/>
      <c r="CO60" s="417"/>
      <c r="CP60" s="417"/>
      <c r="CQ60" s="417"/>
      <c r="CR60" s="417"/>
      <c r="CS60" s="417"/>
      <c r="CT60" s="417"/>
      <c r="CU60" s="417"/>
      <c r="CV60" s="417"/>
      <c r="CW60" s="418"/>
      <c r="DU60" s="414"/>
      <c r="ED60" s="411"/>
      <c r="EE60" s="412"/>
      <c r="EF60" s="412"/>
      <c r="EG60" s="412"/>
      <c r="EL60" s="2829"/>
      <c r="EM60" s="2830"/>
      <c r="EN60" s="2830"/>
      <c r="EO60" s="2830"/>
      <c r="EP60" s="2831"/>
      <c r="FL60" s="2588"/>
      <c r="FM60" s="2588"/>
      <c r="FN60" s="2588"/>
      <c r="FO60" s="2588"/>
      <c r="FP60" s="2588"/>
      <c r="FQ60" s="2588"/>
      <c r="FR60" s="2588"/>
      <c r="FS60" s="2588"/>
      <c r="FT60" s="2588"/>
      <c r="FU60" s="2588"/>
      <c r="FV60" s="2588"/>
      <c r="FW60" s="2588"/>
      <c r="GB60" s="2772"/>
      <c r="GC60" s="2772"/>
      <c r="GD60" s="2772"/>
      <c r="GE60" s="2772"/>
      <c r="GI60" s="2808"/>
      <c r="GJ60" s="2808"/>
      <c r="GK60" s="2808"/>
      <c r="GL60" s="2808"/>
      <c r="GM60" s="2808"/>
      <c r="GN60" s="2808"/>
      <c r="GO60" s="2808"/>
      <c r="HP60" s="415"/>
      <c r="HQ60" s="414"/>
      <c r="HT60" s="415"/>
      <c r="HU60" s="414"/>
      <c r="HW60" s="2588"/>
      <c r="HX60" s="2588"/>
      <c r="HY60" s="2588"/>
      <c r="HZ60" s="2588"/>
      <c r="IA60" s="2588"/>
      <c r="IB60" s="2588"/>
      <c r="IC60" s="2588"/>
      <c r="ID60" s="2588"/>
      <c r="IE60" s="2588"/>
      <c r="IF60" s="2588"/>
      <c r="IG60" s="2588"/>
      <c r="IH60" s="2588"/>
    </row>
    <row r="61" spans="15:266" ht="4.1500000000000004" customHeight="1">
      <c r="P61" s="414"/>
      <c r="AZ61" s="2579"/>
      <c r="BA61" s="2579"/>
      <c r="BB61" s="2579"/>
      <c r="BC61" s="2579"/>
      <c r="BD61" s="2579"/>
      <c r="BE61" s="2579"/>
      <c r="BF61" s="2579"/>
      <c r="BG61" s="2579"/>
      <c r="BH61" s="2579"/>
      <c r="BI61" s="2579"/>
      <c r="BJ61" s="2579"/>
      <c r="BK61" s="2579"/>
      <c r="BL61" s="2579"/>
      <c r="BM61" s="2579"/>
      <c r="CW61" s="415"/>
      <c r="DR61" s="417"/>
      <c r="DS61" s="417"/>
      <c r="DT61" s="417"/>
      <c r="DU61" s="416"/>
      <c r="DV61" s="417"/>
      <c r="DW61" s="417"/>
      <c r="DX61" s="417"/>
      <c r="DY61" s="417"/>
      <c r="DZ61" s="417"/>
      <c r="EA61" s="417"/>
      <c r="EB61" s="417"/>
      <c r="EC61" s="417"/>
      <c r="ED61" s="416"/>
      <c r="EE61" s="417"/>
      <c r="EF61" s="417"/>
      <c r="EG61" s="417"/>
      <c r="EL61" s="2832"/>
      <c r="EM61" s="2833"/>
      <c r="EN61" s="2833"/>
      <c r="EO61" s="2833"/>
      <c r="EP61" s="2834"/>
      <c r="ET61" s="417"/>
      <c r="EU61" s="417"/>
      <c r="EV61" s="417"/>
      <c r="EW61" s="417"/>
      <c r="EX61" s="417"/>
      <c r="EY61" s="417"/>
      <c r="EZ61" s="417"/>
      <c r="FA61" s="417"/>
      <c r="FB61" s="417"/>
      <c r="FC61" s="417"/>
      <c r="FD61" s="417"/>
      <c r="FE61" s="417"/>
      <c r="FF61" s="417"/>
      <c r="FG61" s="417"/>
      <c r="FH61" s="417"/>
      <c r="FI61" s="417"/>
      <c r="FJ61" s="417"/>
      <c r="FK61" s="417"/>
      <c r="FL61" s="448"/>
      <c r="FM61" s="448"/>
      <c r="FN61" s="448"/>
      <c r="FO61" s="448"/>
      <c r="FP61" s="448"/>
      <c r="FQ61" s="448"/>
      <c r="FR61" s="448"/>
      <c r="FS61" s="448"/>
      <c r="FT61" s="448"/>
      <c r="FU61" s="448"/>
      <c r="FV61" s="448"/>
      <c r="FW61" s="448"/>
      <c r="GA61" s="417"/>
      <c r="GB61" s="2825"/>
      <c r="GC61" s="2825"/>
      <c r="GD61" s="2825"/>
      <c r="GE61" s="2825"/>
      <c r="GF61" s="417"/>
      <c r="GG61" s="417"/>
      <c r="GH61" s="417"/>
      <c r="GI61" s="2809"/>
      <c r="GJ61" s="2809"/>
      <c r="GK61" s="2809"/>
      <c r="GL61" s="2809"/>
      <c r="GM61" s="2809"/>
      <c r="GN61" s="2809"/>
      <c r="GO61" s="2809"/>
      <c r="GP61" s="417"/>
      <c r="GQ61" s="417"/>
      <c r="GR61" s="417"/>
      <c r="GS61" s="417"/>
      <c r="GT61" s="417"/>
      <c r="GU61" s="417"/>
      <c r="GV61" s="417"/>
      <c r="GW61" s="417"/>
      <c r="GX61" s="417"/>
      <c r="GY61" s="417"/>
      <c r="GZ61" s="417"/>
      <c r="HA61" s="417"/>
      <c r="HB61" s="417"/>
      <c r="HC61" s="417"/>
      <c r="HD61" s="417"/>
      <c r="HE61" s="417"/>
      <c r="HF61" s="417"/>
      <c r="HG61" s="417"/>
      <c r="HH61" s="417"/>
      <c r="HI61" s="417"/>
      <c r="HJ61" s="417"/>
      <c r="HK61" s="417"/>
      <c r="HL61" s="417"/>
      <c r="HM61" s="417"/>
      <c r="HN61" s="417"/>
      <c r="HO61" s="417"/>
      <c r="HP61" s="418"/>
      <c r="HQ61" s="416"/>
      <c r="HR61" s="417"/>
      <c r="HS61" s="417"/>
      <c r="HT61" s="418"/>
      <c r="HU61" s="416"/>
      <c r="HV61" s="417"/>
      <c r="HW61" s="448"/>
      <c r="HX61" s="448"/>
      <c r="HY61" s="448"/>
      <c r="HZ61" s="448"/>
      <c r="IA61" s="448"/>
      <c r="IB61" s="448"/>
      <c r="IC61" s="448"/>
      <c r="ID61" s="448"/>
      <c r="IE61" s="448"/>
      <c r="IF61" s="448"/>
      <c r="IG61" s="448"/>
      <c r="IH61" s="448"/>
      <c r="II61" s="417"/>
    </row>
    <row r="62" spans="15:266" ht="4.1500000000000004" customHeight="1">
      <c r="P62" s="414"/>
      <c r="AZ62" s="2579"/>
      <c r="BA62" s="2579"/>
      <c r="BB62" s="2579"/>
      <c r="BC62" s="2579"/>
      <c r="BD62" s="2579"/>
      <c r="BE62" s="2579"/>
      <c r="BF62" s="2579"/>
      <c r="BG62" s="2579"/>
      <c r="BH62" s="2579"/>
      <c r="BI62" s="2579"/>
      <c r="BJ62" s="2579"/>
      <c r="BK62" s="2579"/>
      <c r="BL62" s="2579"/>
      <c r="BM62" s="2579"/>
      <c r="CW62" s="415"/>
      <c r="DW62" s="412"/>
      <c r="DX62" s="412"/>
      <c r="DY62" s="412"/>
      <c r="DZ62" s="412"/>
      <c r="EA62" s="412"/>
      <c r="EB62" s="419"/>
      <c r="EC62" s="420"/>
      <c r="ED62" s="420"/>
      <c r="EE62" s="420"/>
      <c r="EF62" s="462"/>
      <c r="EG62" s="462"/>
      <c r="EH62" s="462"/>
      <c r="EI62" s="463"/>
      <c r="EJ62" s="2810">
        <v>0.375</v>
      </c>
      <c r="EK62" s="2811"/>
      <c r="EL62" s="2811"/>
      <c r="EM62" s="2811"/>
      <c r="EN62" s="2811"/>
      <c r="EO62" s="2811"/>
      <c r="EP62" s="2811"/>
      <c r="EQ62" s="2811"/>
      <c r="ER62" s="2812"/>
      <c r="ES62" s="449"/>
      <c r="ET62" s="449"/>
      <c r="EU62" s="449"/>
      <c r="EV62" s="449"/>
      <c r="FJ62" s="412"/>
      <c r="FK62" s="412"/>
      <c r="FL62" s="412"/>
      <c r="FM62" s="412"/>
      <c r="FN62" s="412"/>
      <c r="FO62" s="412"/>
      <c r="FP62" s="412"/>
      <c r="FQ62" s="412"/>
      <c r="FR62" s="412"/>
      <c r="FS62" s="412"/>
      <c r="FT62" s="412"/>
      <c r="FU62" s="412"/>
      <c r="FV62" s="412"/>
      <c r="FW62" s="412"/>
      <c r="GA62" s="412"/>
      <c r="GB62" s="412"/>
      <c r="GC62" s="412"/>
      <c r="GD62" s="411"/>
      <c r="GE62" s="412"/>
      <c r="GF62" s="412"/>
      <c r="HQ62" s="414"/>
      <c r="HT62" s="415"/>
      <c r="IJ62" s="412"/>
      <c r="IK62" s="412"/>
      <c r="IL62" s="412"/>
      <c r="IM62" s="412"/>
      <c r="IN62" s="412"/>
      <c r="IO62" s="412"/>
      <c r="IP62" s="412"/>
      <c r="IQ62" s="412"/>
      <c r="IR62" s="412"/>
      <c r="IS62" s="412"/>
      <c r="IX62" s="412"/>
      <c r="IY62" s="412"/>
      <c r="IZ62" s="412"/>
      <c r="JA62" s="412"/>
      <c r="JB62" s="412"/>
      <c r="JC62" s="411"/>
      <c r="JD62" s="412"/>
      <c r="JE62" s="412"/>
      <c r="JF62" s="412"/>
    </row>
    <row r="63" spans="15:266" ht="4.1500000000000004" customHeight="1">
      <c r="EB63" s="419"/>
      <c r="EC63" s="420"/>
      <c r="ED63" s="420"/>
      <c r="EE63" s="420"/>
      <c r="EF63" s="462"/>
      <c r="EG63" s="462"/>
      <c r="EH63" s="462"/>
      <c r="EI63" s="463"/>
      <c r="EJ63" s="2788"/>
      <c r="EK63" s="2773"/>
      <c r="EL63" s="2773"/>
      <c r="EM63" s="2773"/>
      <c r="EN63" s="2773"/>
      <c r="EO63" s="2773"/>
      <c r="EP63" s="2773"/>
      <c r="EQ63" s="2773"/>
      <c r="ER63" s="2813"/>
      <c r="ES63" s="449"/>
      <c r="ET63" s="449"/>
      <c r="EU63" s="449"/>
      <c r="EV63" s="449"/>
      <c r="FL63" s="2588">
        <v>0.15</v>
      </c>
      <c r="FM63" s="2588"/>
      <c r="FN63" s="2588"/>
      <c r="FO63" s="2588"/>
      <c r="FP63" s="2588"/>
      <c r="FQ63" s="2588"/>
      <c r="FR63" s="2588"/>
      <c r="FS63" s="2588"/>
      <c r="FT63" s="2588"/>
      <c r="FU63" s="2588"/>
      <c r="FV63" s="2588"/>
      <c r="FW63" s="2588"/>
      <c r="GD63" s="414"/>
      <c r="HQ63" s="2817">
        <v>0.25</v>
      </c>
      <c r="HR63" s="2818"/>
      <c r="HS63" s="2818"/>
      <c r="HT63" s="2819"/>
      <c r="JC63" s="414"/>
    </row>
    <row r="64" spans="15:266" ht="4.1500000000000004" customHeight="1">
      <c r="P64" s="415"/>
      <c r="AZ64" s="2773">
        <f>Y70+BN70</f>
        <v>7.15</v>
      </c>
      <c r="BA64" s="2579"/>
      <c r="BB64" s="2579"/>
      <c r="BC64" s="2579"/>
      <c r="BD64" s="2579"/>
      <c r="BE64" s="2579"/>
      <c r="BF64" s="2579"/>
      <c r="BG64" s="2579"/>
      <c r="BH64" s="2579"/>
      <c r="BI64" s="2579"/>
      <c r="BJ64" s="2579"/>
      <c r="BK64" s="2579"/>
      <c r="BL64" s="2579"/>
      <c r="BM64" s="2579"/>
      <c r="CV64" s="415"/>
      <c r="EF64" s="449"/>
      <c r="EG64" s="449"/>
      <c r="EH64" s="449"/>
      <c r="EI64" s="449"/>
      <c r="EJ64" s="2788"/>
      <c r="EK64" s="2773"/>
      <c r="EL64" s="2773"/>
      <c r="EM64" s="2773"/>
      <c r="EN64" s="2773"/>
      <c r="EO64" s="2773"/>
      <c r="EP64" s="2773"/>
      <c r="EQ64" s="2773"/>
      <c r="ER64" s="2813"/>
      <c r="ES64" s="449"/>
      <c r="ET64" s="449"/>
      <c r="EU64" s="449"/>
      <c r="EV64" s="449"/>
      <c r="FL64" s="2588"/>
      <c r="FM64" s="2588"/>
      <c r="FN64" s="2588"/>
      <c r="FO64" s="2588"/>
      <c r="FP64" s="2588"/>
      <c r="FQ64" s="2588"/>
      <c r="FR64" s="2588"/>
      <c r="FS64" s="2588"/>
      <c r="FT64" s="2588"/>
      <c r="FU64" s="2588"/>
      <c r="FV64" s="2588"/>
      <c r="FW64" s="2588"/>
      <c r="GD64" s="414"/>
      <c r="HQ64" s="2817"/>
      <c r="HR64" s="2818"/>
      <c r="HS64" s="2818"/>
      <c r="HT64" s="2819"/>
      <c r="II64" s="2580">
        <v>0.3</v>
      </c>
      <c r="IJ64" s="2580"/>
      <c r="IK64" s="2580"/>
      <c r="IL64" s="2580"/>
      <c r="IM64" s="2580"/>
      <c r="IN64" s="2580"/>
      <c r="IO64" s="2580"/>
      <c r="IP64" s="2580"/>
      <c r="IQ64" s="2580"/>
      <c r="IR64" s="2580"/>
      <c r="IS64" s="2580"/>
      <c r="JC64" s="414"/>
    </row>
    <row r="65" spans="5:267" ht="4.1500000000000004" customHeight="1">
      <c r="P65" s="415"/>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c r="AS65" s="417"/>
      <c r="AT65" s="417"/>
      <c r="AU65" s="417"/>
      <c r="AV65" s="417"/>
      <c r="AW65" s="417"/>
      <c r="AX65" s="417"/>
      <c r="AY65" s="417"/>
      <c r="AZ65" s="2579"/>
      <c r="BA65" s="2579"/>
      <c r="BB65" s="2579"/>
      <c r="BC65" s="2579"/>
      <c r="BD65" s="2579"/>
      <c r="BE65" s="2579"/>
      <c r="BF65" s="2579"/>
      <c r="BG65" s="2579"/>
      <c r="BH65" s="2579"/>
      <c r="BI65" s="2579"/>
      <c r="BJ65" s="2579"/>
      <c r="BK65" s="2579"/>
      <c r="BL65" s="2579"/>
      <c r="BM65" s="2579"/>
      <c r="BN65" s="417"/>
      <c r="BO65" s="417"/>
      <c r="BP65" s="417"/>
      <c r="BQ65" s="417"/>
      <c r="BR65" s="417"/>
      <c r="BS65" s="417"/>
      <c r="BT65" s="417"/>
      <c r="BU65" s="417"/>
      <c r="BV65" s="417"/>
      <c r="BW65" s="417"/>
      <c r="BX65" s="417"/>
      <c r="BY65" s="417"/>
      <c r="BZ65" s="417"/>
      <c r="CA65" s="417"/>
      <c r="CB65" s="417"/>
      <c r="CC65" s="417"/>
      <c r="CD65" s="417"/>
      <c r="CE65" s="417"/>
      <c r="CF65" s="417"/>
      <c r="CG65" s="417"/>
      <c r="CH65" s="417"/>
      <c r="CI65" s="417"/>
      <c r="CJ65" s="417"/>
      <c r="CK65" s="417"/>
      <c r="CL65" s="417"/>
      <c r="CM65" s="417"/>
      <c r="CN65" s="417"/>
      <c r="CO65" s="417"/>
      <c r="CP65" s="417"/>
      <c r="CQ65" s="417"/>
      <c r="CR65" s="417"/>
      <c r="CS65" s="417"/>
      <c r="CT65" s="417"/>
      <c r="CU65" s="417"/>
      <c r="CV65" s="418"/>
      <c r="EF65" s="449"/>
      <c r="EG65" s="449"/>
      <c r="EH65" s="449"/>
      <c r="EI65" s="449"/>
      <c r="EJ65" s="2788"/>
      <c r="EK65" s="2773"/>
      <c r="EL65" s="2773"/>
      <c r="EM65" s="2773"/>
      <c r="EN65" s="2773"/>
      <c r="EO65" s="2773"/>
      <c r="EP65" s="2773"/>
      <c r="EQ65" s="2773"/>
      <c r="ER65" s="2813"/>
      <c r="ES65" s="449"/>
      <c r="ET65" s="449"/>
      <c r="EU65" s="449"/>
      <c r="EV65" s="449"/>
      <c r="FL65" s="2588"/>
      <c r="FM65" s="2588"/>
      <c r="FN65" s="2588"/>
      <c r="FO65" s="2588"/>
      <c r="FP65" s="2588"/>
      <c r="FQ65" s="2588"/>
      <c r="FR65" s="2588"/>
      <c r="FS65" s="2588"/>
      <c r="FT65" s="2588"/>
      <c r="FU65" s="2588"/>
      <c r="FV65" s="2588"/>
      <c r="FW65" s="2588"/>
      <c r="GD65" s="414"/>
      <c r="HQ65" s="2817"/>
      <c r="HR65" s="2818"/>
      <c r="HS65" s="2818"/>
      <c r="HT65" s="2819"/>
      <c r="II65" s="2580"/>
      <c r="IJ65" s="2580"/>
      <c r="IK65" s="2580"/>
      <c r="IL65" s="2580"/>
      <c r="IM65" s="2580"/>
      <c r="IN65" s="2580"/>
      <c r="IO65" s="2580"/>
      <c r="IP65" s="2580"/>
      <c r="IQ65" s="2580"/>
      <c r="IR65" s="2580"/>
      <c r="IS65" s="2580"/>
      <c r="JC65" s="414"/>
    </row>
    <row r="66" spans="5:267" ht="4.1500000000000004" customHeight="1">
      <c r="P66" s="415"/>
      <c r="AZ66" s="2579"/>
      <c r="BA66" s="2579"/>
      <c r="BB66" s="2579"/>
      <c r="BC66" s="2579"/>
      <c r="BD66" s="2579"/>
      <c r="BE66" s="2579"/>
      <c r="BF66" s="2579"/>
      <c r="BG66" s="2579"/>
      <c r="BH66" s="2579"/>
      <c r="BI66" s="2579"/>
      <c r="BJ66" s="2579"/>
      <c r="BK66" s="2579"/>
      <c r="BL66" s="2579"/>
      <c r="BM66" s="2579"/>
      <c r="CV66" s="415"/>
      <c r="EF66" s="449"/>
      <c r="EG66" s="449"/>
      <c r="EH66" s="449"/>
      <c r="EI66" s="449"/>
      <c r="EJ66" s="2814"/>
      <c r="EK66" s="2815"/>
      <c r="EL66" s="2815"/>
      <c r="EM66" s="2815"/>
      <c r="EN66" s="2815"/>
      <c r="EO66" s="2815"/>
      <c r="EP66" s="2815"/>
      <c r="EQ66" s="2815"/>
      <c r="ER66" s="2816"/>
      <c r="ES66" s="449"/>
      <c r="ET66" s="449"/>
      <c r="EU66" s="449"/>
      <c r="EV66" s="449"/>
      <c r="FL66" s="480"/>
      <c r="FM66" s="480"/>
      <c r="FN66" s="480"/>
      <c r="FO66" s="480"/>
      <c r="FP66" s="480"/>
      <c r="FQ66" s="480"/>
      <c r="FR66" s="480"/>
      <c r="FS66" s="480"/>
      <c r="FT66" s="480"/>
      <c r="FU66" s="480"/>
      <c r="FV66" s="480"/>
      <c r="FW66" s="480"/>
      <c r="GD66" s="414"/>
      <c r="HQ66" s="2817"/>
      <c r="HR66" s="2818"/>
      <c r="HS66" s="2818"/>
      <c r="HT66" s="2819"/>
      <c r="II66" s="2580"/>
      <c r="IJ66" s="2580"/>
      <c r="IK66" s="2580"/>
      <c r="IL66" s="2580"/>
      <c r="IM66" s="2580"/>
      <c r="IN66" s="2580"/>
      <c r="IO66" s="2580"/>
      <c r="IP66" s="2580"/>
      <c r="IQ66" s="2580"/>
      <c r="IR66" s="2580"/>
      <c r="IS66" s="2580"/>
      <c r="JC66" s="414"/>
    </row>
    <row r="67" spans="5:267" ht="4.1500000000000004" customHeight="1">
      <c r="P67" s="415"/>
      <c r="AZ67" s="2579"/>
      <c r="BA67" s="2579"/>
      <c r="BB67" s="2579"/>
      <c r="BC67" s="2579"/>
      <c r="BD67" s="2579"/>
      <c r="BE67" s="2579"/>
      <c r="BF67" s="2579"/>
      <c r="BG67" s="2579"/>
      <c r="BH67" s="2579"/>
      <c r="BI67" s="2579"/>
      <c r="BJ67" s="2579"/>
      <c r="BK67" s="2579"/>
      <c r="BL67" s="2579"/>
      <c r="BM67" s="2579"/>
      <c r="CV67" s="415"/>
      <c r="EF67" s="449"/>
      <c r="EG67" s="449"/>
      <c r="EH67" s="2798">
        <v>0.5</v>
      </c>
      <c r="EI67" s="2583"/>
      <c r="EJ67" s="2583"/>
      <c r="EK67" s="2583"/>
      <c r="EL67" s="2583"/>
      <c r="EM67" s="2583"/>
      <c r="EN67" s="2583"/>
      <c r="EO67" s="2583"/>
      <c r="EP67" s="2583"/>
      <c r="EQ67" s="2583"/>
      <c r="ER67" s="2583"/>
      <c r="ES67" s="2583"/>
      <c r="ET67" s="2799"/>
      <c r="EU67" s="449"/>
      <c r="EV67" s="449"/>
      <c r="FL67" s="449"/>
      <c r="FM67" s="449"/>
      <c r="FN67" s="449"/>
      <c r="FO67" s="449"/>
      <c r="FP67" s="449"/>
      <c r="FQ67" s="449"/>
      <c r="FR67" s="449"/>
      <c r="FS67" s="449"/>
      <c r="FT67" s="449"/>
      <c r="FU67" s="449"/>
      <c r="FV67" s="449"/>
      <c r="FW67" s="449"/>
      <c r="GD67" s="414"/>
      <c r="HQ67" s="2817"/>
      <c r="HR67" s="2818"/>
      <c r="HS67" s="2818"/>
      <c r="HT67" s="2819"/>
      <c r="JC67" s="414"/>
    </row>
    <row r="68" spans="5:267" ht="4.1500000000000004" customHeight="1">
      <c r="EF68" s="449"/>
      <c r="EG68" s="449"/>
      <c r="EH68" s="2581"/>
      <c r="EI68" s="2580"/>
      <c r="EJ68" s="2580"/>
      <c r="EK68" s="2580"/>
      <c r="EL68" s="2580"/>
      <c r="EM68" s="2580"/>
      <c r="EN68" s="2580"/>
      <c r="EO68" s="2580"/>
      <c r="EP68" s="2580"/>
      <c r="EQ68" s="2580"/>
      <c r="ER68" s="2580"/>
      <c r="ES68" s="2580"/>
      <c r="ET68" s="2582"/>
      <c r="EU68" s="449"/>
      <c r="EV68" s="449"/>
      <c r="FL68" s="2588">
        <v>0.15</v>
      </c>
      <c r="FM68" s="2588"/>
      <c r="FN68" s="2588"/>
      <c r="FO68" s="2588"/>
      <c r="FP68" s="2588"/>
      <c r="FQ68" s="2588"/>
      <c r="FR68" s="2588"/>
      <c r="FS68" s="2588"/>
      <c r="FT68" s="2588"/>
      <c r="FU68" s="2588"/>
      <c r="FV68" s="2588"/>
      <c r="FW68" s="2588"/>
      <c r="GB68" s="2802">
        <f>FL63+FL68+FL73+FL77+FL80</f>
        <v>0.6</v>
      </c>
      <c r="GC68" s="2802"/>
      <c r="GD68" s="2802"/>
      <c r="GE68" s="2802"/>
      <c r="HQ68" s="2820"/>
      <c r="HR68" s="2821"/>
      <c r="HS68" s="2821"/>
      <c r="HT68" s="2822"/>
      <c r="JC68" s="414"/>
    </row>
    <row r="69" spans="5:267" ht="4.1500000000000004" customHeight="1">
      <c r="EF69" s="449"/>
      <c r="EG69" s="449"/>
      <c r="EH69" s="2581"/>
      <c r="EI69" s="2580"/>
      <c r="EJ69" s="2580"/>
      <c r="EK69" s="2580"/>
      <c r="EL69" s="2580"/>
      <c r="EM69" s="2580"/>
      <c r="EN69" s="2580"/>
      <c r="EO69" s="2580"/>
      <c r="EP69" s="2580"/>
      <c r="EQ69" s="2580"/>
      <c r="ER69" s="2580"/>
      <c r="ES69" s="2580"/>
      <c r="ET69" s="2582"/>
      <c r="EU69" s="449"/>
      <c r="EV69" s="449"/>
      <c r="FL69" s="2588"/>
      <c r="FM69" s="2588"/>
      <c r="FN69" s="2588"/>
      <c r="FO69" s="2588"/>
      <c r="FP69" s="2588"/>
      <c r="FQ69" s="2588"/>
      <c r="FR69" s="2588"/>
      <c r="FS69" s="2588"/>
      <c r="FT69" s="2588"/>
      <c r="FU69" s="2588"/>
      <c r="FV69" s="2588"/>
      <c r="FW69" s="2588"/>
      <c r="GB69" s="2802"/>
      <c r="GC69" s="2802"/>
      <c r="GD69" s="2802"/>
      <c r="GE69" s="2802"/>
      <c r="HE69" s="2673"/>
      <c r="HF69" s="2673"/>
      <c r="HG69" s="2673"/>
      <c r="HH69" s="2673"/>
      <c r="HI69" s="2673"/>
      <c r="HJ69" s="2673"/>
      <c r="HK69" s="2673"/>
      <c r="HL69" s="2673"/>
      <c r="HM69" s="2673"/>
      <c r="HN69" s="2673"/>
      <c r="HO69" s="2673"/>
      <c r="HP69" s="2804">
        <v>0.3</v>
      </c>
      <c r="HQ69" s="2804"/>
      <c r="HR69" s="2804"/>
      <c r="HS69" s="2804"/>
      <c r="HT69" s="2804"/>
      <c r="HU69" s="2804"/>
      <c r="HV69" s="2675"/>
      <c r="HW69" s="2675"/>
      <c r="HX69" s="2675"/>
      <c r="HY69" s="2675"/>
      <c r="HZ69" s="2675"/>
      <c r="IA69" s="2675"/>
      <c r="IB69" s="2675"/>
      <c r="IC69" s="2675"/>
      <c r="ID69" s="2675"/>
      <c r="IE69" s="2675"/>
      <c r="IF69" s="2675"/>
      <c r="II69" s="412"/>
      <c r="IJ69" s="412"/>
      <c r="IK69" s="412"/>
      <c r="IL69" s="412"/>
      <c r="IM69" s="412"/>
      <c r="IN69" s="412"/>
      <c r="IO69" s="412"/>
      <c r="IP69" s="412"/>
      <c r="IQ69" s="412"/>
      <c r="IR69" s="412"/>
      <c r="IS69" s="412"/>
      <c r="JC69" s="414"/>
    </row>
    <row r="70" spans="5:267" ht="4.1500000000000004" customHeight="1">
      <c r="Q70" s="414"/>
      <c r="Y70" s="2580">
        <f>V91+CV85</f>
        <v>2.35</v>
      </c>
      <c r="Z70" s="2580"/>
      <c r="AA70" s="2580"/>
      <c r="AB70" s="2580"/>
      <c r="AC70" s="2580"/>
      <c r="AD70" s="2580"/>
      <c r="AE70" s="2580"/>
      <c r="AF70" s="2580"/>
      <c r="AG70" s="2580"/>
      <c r="AH70" s="2580"/>
      <c r="AI70" s="2580"/>
      <c r="AJ70" s="2580"/>
      <c r="AK70" s="2580"/>
      <c r="AL70" s="2580"/>
      <c r="AT70" s="415"/>
      <c r="BN70" s="2580">
        <f>BM97+CV85</f>
        <v>4.8</v>
      </c>
      <c r="BO70" s="2580"/>
      <c r="BP70" s="2580"/>
      <c r="BQ70" s="2580"/>
      <c r="BR70" s="2580"/>
      <c r="BS70" s="2580"/>
      <c r="BT70" s="2580"/>
      <c r="BU70" s="2580"/>
      <c r="BV70" s="2580"/>
      <c r="BW70" s="2580"/>
      <c r="BX70" s="2580"/>
      <c r="BY70" s="2580"/>
      <c r="BZ70" s="2580"/>
      <c r="CA70" s="2580"/>
      <c r="CV70" s="415"/>
      <c r="EF70" s="449"/>
      <c r="EG70" s="449"/>
      <c r="EH70" s="2581"/>
      <c r="EI70" s="2580"/>
      <c r="EJ70" s="2580"/>
      <c r="EK70" s="2580"/>
      <c r="EL70" s="2580"/>
      <c r="EM70" s="2580"/>
      <c r="EN70" s="2580"/>
      <c r="EO70" s="2580"/>
      <c r="EP70" s="2580"/>
      <c r="EQ70" s="2580"/>
      <c r="ER70" s="2580"/>
      <c r="ES70" s="2580"/>
      <c r="ET70" s="2582"/>
      <c r="EU70" s="449"/>
      <c r="EV70" s="449"/>
      <c r="FL70" s="2588"/>
      <c r="FM70" s="2588"/>
      <c r="FN70" s="2588"/>
      <c r="FO70" s="2588"/>
      <c r="FP70" s="2588"/>
      <c r="FQ70" s="2588"/>
      <c r="FR70" s="2588"/>
      <c r="FS70" s="2588"/>
      <c r="FT70" s="2588"/>
      <c r="FU70" s="2588"/>
      <c r="FV70" s="2588"/>
      <c r="FW70" s="2588"/>
      <c r="GB70" s="2802"/>
      <c r="GC70" s="2802"/>
      <c r="GD70" s="2802"/>
      <c r="GE70" s="2802"/>
      <c r="HE70" s="2673"/>
      <c r="HF70" s="2673"/>
      <c r="HG70" s="2673"/>
      <c r="HH70" s="2673"/>
      <c r="HI70" s="2673"/>
      <c r="HJ70" s="2673"/>
      <c r="HK70" s="2673"/>
      <c r="HL70" s="2673"/>
      <c r="HM70" s="2673"/>
      <c r="HN70" s="2673"/>
      <c r="HO70" s="2673"/>
      <c r="HP70" s="2774"/>
      <c r="HQ70" s="2774"/>
      <c r="HR70" s="2774"/>
      <c r="HS70" s="2774"/>
      <c r="HT70" s="2774"/>
      <c r="HU70" s="2774"/>
      <c r="HV70" s="2675"/>
      <c r="HW70" s="2675"/>
      <c r="HX70" s="2675"/>
      <c r="HY70" s="2675"/>
      <c r="HZ70" s="2675"/>
      <c r="IA70" s="2675"/>
      <c r="IB70" s="2675"/>
      <c r="IC70" s="2675"/>
      <c r="ID70" s="2675"/>
      <c r="IE70" s="2675"/>
      <c r="IF70" s="2675"/>
      <c r="JC70" s="414"/>
    </row>
    <row r="71" spans="5:267" ht="4.1500000000000004" customHeight="1">
      <c r="Q71" s="416"/>
      <c r="R71" s="417"/>
      <c r="S71" s="417"/>
      <c r="T71" s="417"/>
      <c r="U71" s="417"/>
      <c r="V71" s="417"/>
      <c r="W71" s="417"/>
      <c r="X71" s="417"/>
      <c r="Y71" s="2580"/>
      <c r="Z71" s="2580"/>
      <c r="AA71" s="2580"/>
      <c r="AB71" s="2580"/>
      <c r="AC71" s="2580"/>
      <c r="AD71" s="2580"/>
      <c r="AE71" s="2580"/>
      <c r="AF71" s="2580"/>
      <c r="AG71" s="2580"/>
      <c r="AH71" s="2580"/>
      <c r="AI71" s="2580"/>
      <c r="AJ71" s="2580"/>
      <c r="AK71" s="2580"/>
      <c r="AL71" s="2580"/>
      <c r="AM71" s="417"/>
      <c r="AN71" s="417"/>
      <c r="AO71" s="417"/>
      <c r="AP71" s="417"/>
      <c r="AQ71" s="417"/>
      <c r="AR71" s="417"/>
      <c r="AS71" s="417"/>
      <c r="AT71" s="418"/>
      <c r="AU71" s="417"/>
      <c r="AV71" s="417"/>
      <c r="AW71" s="417"/>
      <c r="AX71" s="417"/>
      <c r="AY71" s="417"/>
      <c r="AZ71" s="417"/>
      <c r="BA71" s="417"/>
      <c r="BB71" s="417"/>
      <c r="BC71" s="417"/>
      <c r="BD71" s="417"/>
      <c r="BE71" s="417"/>
      <c r="BF71" s="417"/>
      <c r="BG71" s="417"/>
      <c r="BH71" s="417"/>
      <c r="BI71" s="417"/>
      <c r="BJ71" s="417"/>
      <c r="BK71" s="417"/>
      <c r="BL71" s="417"/>
      <c r="BM71" s="417"/>
      <c r="BN71" s="2580"/>
      <c r="BO71" s="2580"/>
      <c r="BP71" s="2580"/>
      <c r="BQ71" s="2580"/>
      <c r="BR71" s="2580"/>
      <c r="BS71" s="2580"/>
      <c r="BT71" s="2580"/>
      <c r="BU71" s="2580"/>
      <c r="BV71" s="2580"/>
      <c r="BW71" s="2580"/>
      <c r="BX71" s="2580"/>
      <c r="BY71" s="2580"/>
      <c r="BZ71" s="2580"/>
      <c r="CA71" s="2580"/>
      <c r="CB71" s="417"/>
      <c r="CC71" s="417"/>
      <c r="CD71" s="417"/>
      <c r="CE71" s="417"/>
      <c r="CF71" s="417"/>
      <c r="CG71" s="417"/>
      <c r="CH71" s="417"/>
      <c r="CI71" s="417"/>
      <c r="CJ71" s="417"/>
      <c r="CK71" s="417"/>
      <c r="CL71" s="417"/>
      <c r="CM71" s="417"/>
      <c r="CN71" s="417"/>
      <c r="CO71" s="417"/>
      <c r="CP71" s="417"/>
      <c r="CQ71" s="417"/>
      <c r="CR71" s="417"/>
      <c r="CS71" s="417"/>
      <c r="CT71" s="417"/>
      <c r="CU71" s="417"/>
      <c r="CV71" s="418"/>
      <c r="EF71" s="449"/>
      <c r="EG71" s="449"/>
      <c r="EH71" s="2800"/>
      <c r="EI71" s="2584"/>
      <c r="EJ71" s="2584"/>
      <c r="EK71" s="2584"/>
      <c r="EL71" s="2584"/>
      <c r="EM71" s="2584"/>
      <c r="EN71" s="2584"/>
      <c r="EO71" s="2584"/>
      <c r="EP71" s="2584"/>
      <c r="EQ71" s="2584"/>
      <c r="ER71" s="2584"/>
      <c r="ES71" s="2584"/>
      <c r="ET71" s="2801"/>
      <c r="EU71" s="449"/>
      <c r="EV71" s="449"/>
      <c r="FL71" s="480"/>
      <c r="FM71" s="480"/>
      <c r="FN71" s="480"/>
      <c r="FO71" s="480"/>
      <c r="FP71" s="480"/>
      <c r="FQ71" s="480"/>
      <c r="FR71" s="480"/>
      <c r="FS71" s="480"/>
      <c r="FT71" s="480"/>
      <c r="FU71" s="480"/>
      <c r="FV71" s="480"/>
      <c r="FW71" s="480"/>
      <c r="GB71" s="2802"/>
      <c r="GC71" s="2802"/>
      <c r="GD71" s="2802"/>
      <c r="GE71" s="2802"/>
      <c r="HE71" s="2673"/>
      <c r="HF71" s="2673"/>
      <c r="HG71" s="2673"/>
      <c r="HH71" s="2673"/>
      <c r="HI71" s="2673"/>
      <c r="HJ71" s="2673"/>
      <c r="HK71" s="2673"/>
      <c r="HL71" s="2673"/>
      <c r="HM71" s="2673"/>
      <c r="HN71" s="2673"/>
      <c r="HO71" s="2673"/>
      <c r="HP71" s="2774"/>
      <c r="HQ71" s="2774"/>
      <c r="HR71" s="2774"/>
      <c r="HS71" s="2774"/>
      <c r="HT71" s="2774"/>
      <c r="HU71" s="2774"/>
      <c r="HV71" s="2675"/>
      <c r="HW71" s="2675"/>
      <c r="HX71" s="2675"/>
      <c r="HY71" s="2675"/>
      <c r="HZ71" s="2675"/>
      <c r="IA71" s="2675"/>
      <c r="IB71" s="2675"/>
      <c r="IC71" s="2675"/>
      <c r="ID71" s="2675"/>
      <c r="IE71" s="2675"/>
      <c r="IF71" s="2675"/>
      <c r="II71" s="2580">
        <v>0.3</v>
      </c>
      <c r="IJ71" s="2580"/>
      <c r="IK71" s="2580"/>
      <c r="IL71" s="2580"/>
      <c r="IM71" s="2580"/>
      <c r="IN71" s="2580"/>
      <c r="IO71" s="2580"/>
      <c r="IP71" s="2580"/>
      <c r="IQ71" s="2580"/>
      <c r="IR71" s="2580"/>
      <c r="IS71" s="2580"/>
      <c r="JC71" s="414"/>
    </row>
    <row r="72" spans="5:267" ht="4.1500000000000004" customHeight="1">
      <c r="Q72" s="414"/>
      <c r="Y72" s="2580"/>
      <c r="Z72" s="2580"/>
      <c r="AA72" s="2580"/>
      <c r="AB72" s="2580"/>
      <c r="AC72" s="2580"/>
      <c r="AD72" s="2580"/>
      <c r="AE72" s="2580"/>
      <c r="AF72" s="2580"/>
      <c r="AG72" s="2580"/>
      <c r="AH72" s="2580"/>
      <c r="AI72" s="2580"/>
      <c r="AJ72" s="2580"/>
      <c r="AK72" s="2580"/>
      <c r="AL72" s="2580"/>
      <c r="AT72" s="415"/>
      <c r="BN72" s="2580"/>
      <c r="BO72" s="2580"/>
      <c r="BP72" s="2580"/>
      <c r="BQ72" s="2580"/>
      <c r="BR72" s="2580"/>
      <c r="BS72" s="2580"/>
      <c r="BT72" s="2580"/>
      <c r="BU72" s="2580"/>
      <c r="BV72" s="2580"/>
      <c r="BW72" s="2580"/>
      <c r="BX72" s="2580"/>
      <c r="BY72" s="2580"/>
      <c r="BZ72" s="2580"/>
      <c r="CA72" s="2580"/>
      <c r="CV72" s="415"/>
      <c r="EF72" s="2798">
        <v>0</v>
      </c>
      <c r="EG72" s="2583"/>
      <c r="EH72" s="2583"/>
      <c r="EI72" s="2583"/>
      <c r="EJ72" s="2583"/>
      <c r="EK72" s="2583"/>
      <c r="EL72" s="2583"/>
      <c r="EM72" s="2583"/>
      <c r="EN72" s="2583"/>
      <c r="EO72" s="2583"/>
      <c r="EP72" s="2583"/>
      <c r="EQ72" s="2583"/>
      <c r="ER72" s="2583"/>
      <c r="ES72" s="2583"/>
      <c r="ET72" s="2583"/>
      <c r="EU72" s="2583"/>
      <c r="EV72" s="2799"/>
      <c r="FL72" s="449"/>
      <c r="FM72" s="449"/>
      <c r="FN72" s="449"/>
      <c r="FO72" s="449"/>
      <c r="FP72" s="449"/>
      <c r="FQ72" s="449"/>
      <c r="FR72" s="449"/>
      <c r="FS72" s="449"/>
      <c r="FT72" s="449"/>
      <c r="FU72" s="449"/>
      <c r="FV72" s="449"/>
      <c r="FW72" s="449"/>
      <c r="GB72" s="2802"/>
      <c r="GC72" s="2802"/>
      <c r="GD72" s="2802"/>
      <c r="GE72" s="2802"/>
      <c r="HE72" s="2673"/>
      <c r="HF72" s="2673"/>
      <c r="HG72" s="2673"/>
      <c r="HH72" s="2673"/>
      <c r="HI72" s="2673"/>
      <c r="HJ72" s="2673"/>
      <c r="HK72" s="2673"/>
      <c r="HL72" s="2673"/>
      <c r="HM72" s="2673"/>
      <c r="HN72" s="2673"/>
      <c r="HO72" s="2673"/>
      <c r="HV72" s="2675"/>
      <c r="HW72" s="2675"/>
      <c r="HX72" s="2675"/>
      <c r="HY72" s="2675"/>
      <c r="HZ72" s="2675"/>
      <c r="IA72" s="2675"/>
      <c r="IB72" s="2675"/>
      <c r="IC72" s="2675"/>
      <c r="ID72" s="2675"/>
      <c r="IE72" s="2675"/>
      <c r="IF72" s="2675"/>
      <c r="II72" s="2580"/>
      <c r="IJ72" s="2580"/>
      <c r="IK72" s="2580"/>
      <c r="IL72" s="2580"/>
      <c r="IM72" s="2580"/>
      <c r="IN72" s="2580"/>
      <c r="IO72" s="2580"/>
      <c r="IP72" s="2580"/>
      <c r="IQ72" s="2580"/>
      <c r="IR72" s="2580"/>
      <c r="IS72" s="2580"/>
      <c r="JC72" s="414"/>
    </row>
    <row r="73" spans="5:267" ht="4.1500000000000004" customHeight="1">
      <c r="Q73" s="414"/>
      <c r="Y73" s="2580"/>
      <c r="Z73" s="2580"/>
      <c r="AA73" s="2580"/>
      <c r="AB73" s="2580"/>
      <c r="AC73" s="2580"/>
      <c r="AD73" s="2580"/>
      <c r="AE73" s="2580"/>
      <c r="AF73" s="2580"/>
      <c r="AG73" s="2580"/>
      <c r="AH73" s="2580"/>
      <c r="AI73" s="2580"/>
      <c r="AJ73" s="2580"/>
      <c r="AK73" s="2580"/>
      <c r="AL73" s="2580"/>
      <c r="AT73" s="415"/>
      <c r="BN73" s="2580"/>
      <c r="BO73" s="2580"/>
      <c r="BP73" s="2580"/>
      <c r="BQ73" s="2580"/>
      <c r="BR73" s="2580"/>
      <c r="BS73" s="2580"/>
      <c r="BT73" s="2580"/>
      <c r="BU73" s="2580"/>
      <c r="BV73" s="2580"/>
      <c r="BW73" s="2580"/>
      <c r="BX73" s="2580"/>
      <c r="BY73" s="2580"/>
      <c r="BZ73" s="2580"/>
      <c r="CA73" s="2580"/>
      <c r="CV73" s="415"/>
      <c r="EF73" s="2581"/>
      <c r="EG73" s="2580"/>
      <c r="EH73" s="2580"/>
      <c r="EI73" s="2580"/>
      <c r="EJ73" s="2580"/>
      <c r="EK73" s="2580"/>
      <c r="EL73" s="2580"/>
      <c r="EM73" s="2580"/>
      <c r="EN73" s="2580"/>
      <c r="EO73" s="2580"/>
      <c r="EP73" s="2580"/>
      <c r="EQ73" s="2580"/>
      <c r="ER73" s="2580"/>
      <c r="ES73" s="2580"/>
      <c r="ET73" s="2580"/>
      <c r="EU73" s="2580"/>
      <c r="EV73" s="2582"/>
      <c r="FL73" s="2588">
        <v>0</v>
      </c>
      <c r="FM73" s="2588"/>
      <c r="FN73" s="2588"/>
      <c r="FO73" s="2588"/>
      <c r="FP73" s="2588"/>
      <c r="FQ73" s="2588"/>
      <c r="FR73" s="2588"/>
      <c r="FS73" s="2588"/>
      <c r="FT73" s="2588"/>
      <c r="FU73" s="2588"/>
      <c r="FV73" s="2588"/>
      <c r="FW73" s="2588"/>
      <c r="GB73" s="2802"/>
      <c r="GC73" s="2802"/>
      <c r="GD73" s="2802"/>
      <c r="GE73" s="2802"/>
      <c r="HE73" s="2673"/>
      <c r="HF73" s="2673"/>
      <c r="HG73" s="2673"/>
      <c r="HH73" s="2673"/>
      <c r="HI73" s="2673"/>
      <c r="HJ73" s="2673"/>
      <c r="HK73" s="2673"/>
      <c r="HL73" s="2673"/>
      <c r="HM73" s="2673"/>
      <c r="HN73" s="2673"/>
      <c r="HO73" s="2673"/>
      <c r="HV73" s="2675"/>
      <c r="HW73" s="2675"/>
      <c r="HX73" s="2675"/>
      <c r="HY73" s="2675"/>
      <c r="HZ73" s="2675"/>
      <c r="IA73" s="2675"/>
      <c r="IB73" s="2675"/>
      <c r="IC73" s="2675"/>
      <c r="ID73" s="2675"/>
      <c r="IE73" s="2675"/>
      <c r="IF73" s="2675"/>
      <c r="II73" s="2580"/>
      <c r="IJ73" s="2580"/>
      <c r="IK73" s="2580"/>
      <c r="IL73" s="2580"/>
      <c r="IM73" s="2580"/>
      <c r="IN73" s="2580"/>
      <c r="IO73" s="2580"/>
      <c r="IP73" s="2580"/>
      <c r="IQ73" s="2580"/>
      <c r="IR73" s="2580"/>
      <c r="IS73" s="2580"/>
      <c r="JC73" s="414"/>
    </row>
    <row r="74" spans="5:267" ht="4.1500000000000004" customHeight="1">
      <c r="EF74" s="2581"/>
      <c r="EG74" s="2580"/>
      <c r="EH74" s="2580"/>
      <c r="EI74" s="2580"/>
      <c r="EJ74" s="2580"/>
      <c r="EK74" s="2580"/>
      <c r="EL74" s="2580"/>
      <c r="EM74" s="2580"/>
      <c r="EN74" s="2580"/>
      <c r="EO74" s="2580"/>
      <c r="EP74" s="2580"/>
      <c r="EQ74" s="2580"/>
      <c r="ER74" s="2580"/>
      <c r="ES74" s="2580"/>
      <c r="ET74" s="2580"/>
      <c r="EU74" s="2580"/>
      <c r="EV74" s="2582"/>
      <c r="FL74" s="2588"/>
      <c r="FM74" s="2588"/>
      <c r="FN74" s="2588"/>
      <c r="FO74" s="2588"/>
      <c r="FP74" s="2588"/>
      <c r="FQ74" s="2588"/>
      <c r="FR74" s="2588"/>
      <c r="FS74" s="2588"/>
      <c r="FT74" s="2588"/>
      <c r="FU74" s="2588"/>
      <c r="FV74" s="2588"/>
      <c r="FW74" s="2588"/>
      <c r="GB74" s="2802"/>
      <c r="GC74" s="2802"/>
      <c r="GD74" s="2802"/>
      <c r="GE74" s="2802"/>
      <c r="HE74" s="2673"/>
      <c r="HF74" s="2673"/>
      <c r="HG74" s="2673"/>
      <c r="HH74" s="2673"/>
      <c r="HI74" s="2673"/>
      <c r="HJ74" s="2673"/>
      <c r="HK74" s="2673"/>
      <c r="HL74" s="2673"/>
      <c r="HM74" s="2673"/>
      <c r="HN74" s="2673"/>
      <c r="HO74" s="2673"/>
      <c r="HV74" s="2675"/>
      <c r="HW74" s="2675"/>
      <c r="HX74" s="2675"/>
      <c r="HY74" s="2675"/>
      <c r="HZ74" s="2675"/>
      <c r="IA74" s="2675"/>
      <c r="IB74" s="2675"/>
      <c r="IC74" s="2675"/>
      <c r="ID74" s="2675"/>
      <c r="IE74" s="2675"/>
      <c r="IF74" s="2675"/>
      <c r="IW74" s="2580">
        <f>II64+II71+II78+II83+II86</f>
        <v>1.1999999999999997</v>
      </c>
      <c r="IX74" s="2580"/>
      <c r="IY74" s="2580"/>
      <c r="IZ74" s="2580"/>
      <c r="JA74" s="2580"/>
      <c r="JB74" s="2580"/>
      <c r="JC74" s="2580"/>
      <c r="JD74" s="2580"/>
      <c r="JE74" s="2580"/>
      <c r="JF74" s="2580"/>
      <c r="JG74" s="2580"/>
    </row>
    <row r="75" spans="5:267" ht="4.1500000000000004" customHeight="1">
      <c r="EF75" s="2581"/>
      <c r="EG75" s="2580"/>
      <c r="EH75" s="2580"/>
      <c r="EI75" s="2580"/>
      <c r="EJ75" s="2580"/>
      <c r="EK75" s="2580"/>
      <c r="EL75" s="2580"/>
      <c r="EM75" s="2580"/>
      <c r="EN75" s="2580"/>
      <c r="EO75" s="2580"/>
      <c r="EP75" s="2580"/>
      <c r="EQ75" s="2580"/>
      <c r="ER75" s="2580"/>
      <c r="ES75" s="2580"/>
      <c r="ET75" s="2580"/>
      <c r="EU75" s="2580"/>
      <c r="EV75" s="2582"/>
      <c r="FL75" s="2588"/>
      <c r="FM75" s="2588"/>
      <c r="FN75" s="2588"/>
      <c r="FO75" s="2588"/>
      <c r="FP75" s="2588"/>
      <c r="FQ75" s="2588"/>
      <c r="FR75" s="2588"/>
      <c r="FS75" s="2588"/>
      <c r="FT75" s="2588"/>
      <c r="FU75" s="2588"/>
      <c r="FV75" s="2588"/>
      <c r="FW75" s="2588"/>
      <c r="GB75" s="2802"/>
      <c r="GC75" s="2802"/>
      <c r="GD75" s="2802"/>
      <c r="GE75" s="2802"/>
      <c r="HE75" s="2803"/>
      <c r="HF75" s="2803"/>
      <c r="HG75" s="2803"/>
      <c r="HH75" s="2803"/>
      <c r="HI75" s="2803"/>
      <c r="HJ75" s="2803"/>
      <c r="HK75" s="2803"/>
      <c r="HL75" s="2803"/>
      <c r="HM75" s="2803"/>
      <c r="HN75" s="2803"/>
      <c r="HO75" s="2803"/>
      <c r="HP75" s="417"/>
      <c r="HQ75" s="417"/>
      <c r="HR75" s="417"/>
      <c r="HS75" s="417"/>
      <c r="HT75" s="417"/>
      <c r="HU75" s="417"/>
      <c r="HV75" s="2805"/>
      <c r="HW75" s="2805"/>
      <c r="HX75" s="2805"/>
      <c r="HY75" s="2805"/>
      <c r="HZ75" s="2805"/>
      <c r="IA75" s="2805"/>
      <c r="IB75" s="2805"/>
      <c r="IC75" s="2805"/>
      <c r="ID75" s="2805"/>
      <c r="IE75" s="2805"/>
      <c r="IF75" s="2805"/>
      <c r="IW75" s="2580"/>
      <c r="IX75" s="2580"/>
      <c r="IY75" s="2580"/>
      <c r="IZ75" s="2580"/>
      <c r="JA75" s="2580"/>
      <c r="JB75" s="2580"/>
      <c r="JC75" s="2580"/>
      <c r="JD75" s="2580"/>
      <c r="JE75" s="2580"/>
      <c r="JF75" s="2580"/>
      <c r="JG75" s="2580"/>
    </row>
    <row r="76" spans="5:267" ht="4.1500000000000004" customHeight="1">
      <c r="EF76" s="2800"/>
      <c r="EG76" s="2584"/>
      <c r="EH76" s="2584"/>
      <c r="EI76" s="2584"/>
      <c r="EJ76" s="2584"/>
      <c r="EK76" s="2584"/>
      <c r="EL76" s="2584"/>
      <c r="EM76" s="2584"/>
      <c r="EN76" s="2584"/>
      <c r="EO76" s="2584"/>
      <c r="EP76" s="2584"/>
      <c r="EQ76" s="2584"/>
      <c r="ER76" s="2584"/>
      <c r="ES76" s="2584"/>
      <c r="ET76" s="2584"/>
      <c r="EU76" s="2584"/>
      <c r="EV76" s="2801"/>
      <c r="FL76" s="417"/>
      <c r="FM76" s="417"/>
      <c r="FN76" s="417"/>
      <c r="FO76" s="417"/>
      <c r="FP76" s="417"/>
      <c r="FQ76" s="417"/>
      <c r="FR76" s="417"/>
      <c r="FS76" s="417"/>
      <c r="FT76" s="417"/>
      <c r="FU76" s="417"/>
      <c r="FV76" s="417"/>
      <c r="FW76" s="417"/>
      <c r="GB76" s="2802"/>
      <c r="GC76" s="2802"/>
      <c r="GD76" s="2802"/>
      <c r="GE76" s="2802"/>
      <c r="HE76" s="414"/>
      <c r="IF76" s="415"/>
      <c r="II76" s="412"/>
      <c r="IJ76" s="412"/>
      <c r="IK76" s="412"/>
      <c r="IL76" s="412"/>
      <c r="IM76" s="412"/>
      <c r="IN76" s="412"/>
      <c r="IO76" s="412"/>
      <c r="IP76" s="412"/>
      <c r="IQ76" s="412"/>
      <c r="IR76" s="412"/>
      <c r="IS76" s="412"/>
      <c r="IW76" s="2580"/>
      <c r="IX76" s="2580"/>
      <c r="IY76" s="2580"/>
      <c r="IZ76" s="2580"/>
      <c r="JA76" s="2580"/>
      <c r="JB76" s="2580"/>
      <c r="JC76" s="2580"/>
      <c r="JD76" s="2580"/>
      <c r="JE76" s="2580"/>
      <c r="JF76" s="2580"/>
      <c r="JG76" s="2580"/>
    </row>
    <row r="77" spans="5:267" ht="4.1500000000000004" customHeight="1">
      <c r="Z77" s="437"/>
      <c r="AA77" s="434"/>
      <c r="AB77" s="434"/>
      <c r="AC77" s="434"/>
      <c r="AD77" s="434"/>
      <c r="AE77" s="434"/>
      <c r="AF77" s="434"/>
      <c r="AG77" s="434"/>
      <c r="AH77" s="434"/>
      <c r="AI77" s="434"/>
      <c r="AJ77" s="434"/>
      <c r="AK77" s="438"/>
      <c r="AZ77" s="437"/>
      <c r="BA77" s="434"/>
      <c r="BB77" s="434"/>
      <c r="BC77" s="434"/>
      <c r="BD77" s="434"/>
      <c r="BE77" s="434"/>
      <c r="BF77" s="434"/>
      <c r="BG77" s="434"/>
      <c r="BH77" s="434"/>
      <c r="BI77" s="434"/>
      <c r="BJ77" s="434"/>
      <c r="BK77" s="438"/>
      <c r="CG77" s="437"/>
      <c r="CH77" s="434"/>
      <c r="CI77" s="434"/>
      <c r="CJ77" s="434"/>
      <c r="CK77" s="434"/>
      <c r="CL77" s="434"/>
      <c r="CM77" s="434"/>
      <c r="CN77" s="434"/>
      <c r="CO77" s="434"/>
      <c r="CP77" s="434"/>
      <c r="CQ77" s="434"/>
      <c r="CR77" s="438"/>
      <c r="ED77" s="2806" t="s">
        <v>3002</v>
      </c>
      <c r="EE77" s="2585"/>
      <c r="EF77" s="2585"/>
      <c r="EG77" s="2585"/>
      <c r="EH77" s="2585"/>
      <c r="EI77" s="2585"/>
      <c r="EJ77" s="2585"/>
      <c r="EK77" s="2585"/>
      <c r="EL77" s="2585"/>
      <c r="EM77" s="2585"/>
      <c r="EN77" s="2585"/>
      <c r="EO77" s="2585"/>
      <c r="EP77" s="2585"/>
      <c r="EQ77" s="2585"/>
      <c r="ER77" s="2585"/>
      <c r="ES77" s="2585"/>
      <c r="ET77" s="2585"/>
      <c r="EU77" s="2585"/>
      <c r="EV77" s="2585"/>
      <c r="EW77" s="2585"/>
      <c r="EX77" s="2807"/>
      <c r="EY77" s="414"/>
      <c r="FL77" s="2587">
        <v>0.15</v>
      </c>
      <c r="FM77" s="2587"/>
      <c r="FN77" s="2587"/>
      <c r="FO77" s="2587"/>
      <c r="FP77" s="2587"/>
      <c r="FQ77" s="2587"/>
      <c r="FR77" s="2587"/>
      <c r="FS77" s="2587"/>
      <c r="FT77" s="2587"/>
      <c r="FU77" s="2587"/>
      <c r="FV77" s="2587"/>
      <c r="FW77" s="2587"/>
      <c r="GB77" s="2802"/>
      <c r="GC77" s="2802"/>
      <c r="GD77" s="2802"/>
      <c r="GE77" s="2802"/>
      <c r="HE77" s="414"/>
      <c r="IF77" s="415"/>
      <c r="JC77" s="414"/>
    </row>
    <row r="78" spans="5:267" ht="4.1500000000000004" customHeight="1">
      <c r="Z78" s="439"/>
      <c r="AK78" s="440"/>
      <c r="AZ78" s="439"/>
      <c r="BK78" s="440"/>
      <c r="CG78" s="439"/>
      <c r="CR78" s="440"/>
      <c r="ED78" s="2670"/>
      <c r="EE78" s="2579"/>
      <c r="EF78" s="2579"/>
      <c r="EG78" s="2579"/>
      <c r="EH78" s="2579"/>
      <c r="EI78" s="2579"/>
      <c r="EJ78" s="2579"/>
      <c r="EK78" s="2579"/>
      <c r="EL78" s="2579"/>
      <c r="EM78" s="2579"/>
      <c r="EN78" s="2579"/>
      <c r="EO78" s="2579"/>
      <c r="EP78" s="2579"/>
      <c r="EQ78" s="2579"/>
      <c r="ER78" s="2579"/>
      <c r="ES78" s="2579"/>
      <c r="ET78" s="2579"/>
      <c r="EU78" s="2579"/>
      <c r="EV78" s="2579"/>
      <c r="EW78" s="2579"/>
      <c r="EX78" s="2669"/>
      <c r="EY78" s="414"/>
      <c r="FL78" s="2588"/>
      <c r="FM78" s="2588"/>
      <c r="FN78" s="2588"/>
      <c r="FO78" s="2588"/>
      <c r="FP78" s="2588"/>
      <c r="FQ78" s="2588"/>
      <c r="FR78" s="2588"/>
      <c r="FS78" s="2588"/>
      <c r="FT78" s="2588"/>
      <c r="FU78" s="2588"/>
      <c r="FV78" s="2588"/>
      <c r="FW78" s="2588"/>
      <c r="GD78" s="414"/>
      <c r="HE78" s="414"/>
      <c r="IF78" s="415"/>
      <c r="II78" s="2580">
        <v>0.3</v>
      </c>
      <c r="IJ78" s="2580"/>
      <c r="IK78" s="2580"/>
      <c r="IL78" s="2580"/>
      <c r="IM78" s="2580"/>
      <c r="IN78" s="2580"/>
      <c r="IO78" s="2580"/>
      <c r="IP78" s="2580"/>
      <c r="IQ78" s="2580"/>
      <c r="IR78" s="2580"/>
      <c r="IS78" s="2580"/>
      <c r="JC78" s="414"/>
    </row>
    <row r="79" spans="5:267" ht="4.1500000000000004" customHeight="1">
      <c r="Z79" s="439"/>
      <c r="AK79" s="440"/>
      <c r="AZ79" s="439"/>
      <c r="BK79" s="440"/>
      <c r="CG79" s="439"/>
      <c r="CR79" s="440"/>
      <c r="ED79" s="2671"/>
      <c r="EE79" s="2586"/>
      <c r="EF79" s="2586"/>
      <c r="EG79" s="2586"/>
      <c r="EH79" s="2586"/>
      <c r="EI79" s="2586"/>
      <c r="EJ79" s="2586"/>
      <c r="EK79" s="2586"/>
      <c r="EL79" s="2586"/>
      <c r="EM79" s="2586"/>
      <c r="EN79" s="2586"/>
      <c r="EO79" s="2586"/>
      <c r="EP79" s="2586"/>
      <c r="EQ79" s="2586"/>
      <c r="ER79" s="2586"/>
      <c r="ES79" s="2586"/>
      <c r="ET79" s="2586"/>
      <c r="EU79" s="2586"/>
      <c r="EV79" s="2586"/>
      <c r="EW79" s="2586"/>
      <c r="EX79" s="2672"/>
      <c r="EY79" s="414"/>
      <c r="FL79" s="2589"/>
      <c r="FM79" s="2589"/>
      <c r="FN79" s="2589"/>
      <c r="FO79" s="2589"/>
      <c r="FP79" s="2589"/>
      <c r="FQ79" s="2589"/>
      <c r="FR79" s="2589"/>
      <c r="FS79" s="2589"/>
      <c r="FT79" s="2589"/>
      <c r="FU79" s="2589"/>
      <c r="FV79" s="2589"/>
      <c r="FW79" s="2589"/>
      <c r="GD79" s="414"/>
      <c r="HE79" s="414"/>
      <c r="IF79" s="415"/>
      <c r="II79" s="2580"/>
      <c r="IJ79" s="2580"/>
      <c r="IK79" s="2580"/>
      <c r="IL79" s="2580"/>
      <c r="IM79" s="2580"/>
      <c r="IN79" s="2580"/>
      <c r="IO79" s="2580"/>
      <c r="IP79" s="2580"/>
      <c r="IQ79" s="2580"/>
      <c r="IR79" s="2580"/>
      <c r="IS79" s="2580"/>
      <c r="JC79" s="414"/>
    </row>
    <row r="80" spans="5:267" ht="4.1500000000000004" customHeight="1">
      <c r="E80" s="417"/>
      <c r="F80" s="417"/>
      <c r="Z80" s="441"/>
      <c r="AA80" s="417"/>
      <c r="AB80" s="417"/>
      <c r="AC80" s="417"/>
      <c r="AD80" s="417"/>
      <c r="AE80" s="417"/>
      <c r="AF80" s="417"/>
      <c r="AG80" s="417"/>
      <c r="AH80" s="417"/>
      <c r="AI80" s="417"/>
      <c r="AJ80" s="417"/>
      <c r="AK80" s="442"/>
      <c r="AZ80" s="441"/>
      <c r="BA80" s="417"/>
      <c r="BB80" s="417"/>
      <c r="BC80" s="417"/>
      <c r="BD80" s="417"/>
      <c r="BE80" s="417"/>
      <c r="BF80" s="417"/>
      <c r="BG80" s="417"/>
      <c r="BH80" s="417"/>
      <c r="BI80" s="417"/>
      <c r="BJ80" s="417"/>
      <c r="BK80" s="442"/>
      <c r="BN80" s="417"/>
      <c r="BU80" s="417"/>
      <c r="BV80" s="417"/>
      <c r="BW80" s="417"/>
      <c r="BX80" s="417"/>
      <c r="BY80" s="417"/>
      <c r="BZ80" s="417"/>
      <c r="CA80" s="417"/>
      <c r="CB80" s="417"/>
      <c r="CC80" s="417"/>
      <c r="CD80" s="417"/>
      <c r="CE80" s="417"/>
      <c r="CF80" s="417"/>
      <c r="CG80" s="441"/>
      <c r="CH80" s="417"/>
      <c r="CI80" s="417"/>
      <c r="CJ80" s="417"/>
      <c r="CK80" s="417"/>
      <c r="CL80" s="417"/>
      <c r="CM80" s="417"/>
      <c r="CN80" s="417"/>
      <c r="CO80" s="417"/>
      <c r="CP80" s="417"/>
      <c r="CQ80" s="417"/>
      <c r="CR80" s="442"/>
      <c r="ED80" s="2806" t="s">
        <v>775</v>
      </c>
      <c r="EE80" s="2585"/>
      <c r="EF80" s="2585"/>
      <c r="EG80" s="2585"/>
      <c r="EH80" s="2585"/>
      <c r="EI80" s="2585"/>
      <c r="EJ80" s="2585"/>
      <c r="EK80" s="2585"/>
      <c r="EL80" s="2585"/>
      <c r="EM80" s="2585"/>
      <c r="EN80" s="2585"/>
      <c r="EO80" s="2585"/>
      <c r="EP80" s="2585"/>
      <c r="EQ80" s="2585"/>
      <c r="ER80" s="2585"/>
      <c r="ES80" s="2585"/>
      <c r="ET80" s="2585"/>
      <c r="EU80" s="2585"/>
      <c r="EV80" s="2585"/>
      <c r="EW80" s="2585"/>
      <c r="EX80" s="2807"/>
      <c r="EY80" s="414"/>
      <c r="FL80" s="2587">
        <v>0.15</v>
      </c>
      <c r="FM80" s="2587"/>
      <c r="FN80" s="2587"/>
      <c r="FO80" s="2587"/>
      <c r="FP80" s="2587"/>
      <c r="FQ80" s="2587"/>
      <c r="FR80" s="2587"/>
      <c r="FS80" s="2587"/>
      <c r="FT80" s="2587"/>
      <c r="FU80" s="2587"/>
      <c r="FV80" s="2587"/>
      <c r="FW80" s="2587"/>
      <c r="GD80" s="414"/>
      <c r="HE80" s="414"/>
      <c r="IF80" s="415"/>
      <c r="II80" s="2580"/>
      <c r="IJ80" s="2580"/>
      <c r="IK80" s="2580"/>
      <c r="IL80" s="2580"/>
      <c r="IM80" s="2580"/>
      <c r="IN80" s="2580"/>
      <c r="IO80" s="2580"/>
      <c r="IP80" s="2580"/>
      <c r="IQ80" s="2580"/>
      <c r="IR80" s="2580"/>
      <c r="IS80" s="2580"/>
      <c r="JC80" s="414"/>
    </row>
    <row r="81" spans="7:266" ht="4.1500000000000004" customHeight="1" thickBot="1">
      <c r="G81" s="411"/>
      <c r="H81" s="412"/>
      <c r="I81" s="412"/>
      <c r="J81" s="412"/>
      <c r="K81" s="411"/>
      <c r="L81" s="412"/>
      <c r="P81" s="453"/>
      <c r="Q81" s="454"/>
      <c r="R81" s="412"/>
      <c r="S81" s="412"/>
      <c r="T81" s="412"/>
      <c r="U81" s="412"/>
      <c r="V81" s="412"/>
      <c r="W81" s="412"/>
      <c r="X81" s="412"/>
      <c r="Y81" s="412"/>
      <c r="Z81" s="412"/>
      <c r="AA81" s="422"/>
      <c r="AB81" s="423"/>
      <c r="AC81" s="423"/>
      <c r="AD81" s="423"/>
      <c r="AE81" s="423"/>
      <c r="AF81" s="423"/>
      <c r="AG81" s="423"/>
      <c r="AH81" s="423"/>
      <c r="AI81" s="423"/>
      <c r="AJ81" s="424"/>
      <c r="AK81" s="412"/>
      <c r="AL81" s="412"/>
      <c r="AM81" s="412"/>
      <c r="AN81" s="412"/>
      <c r="AO81" s="412"/>
      <c r="AP81" s="412"/>
      <c r="AQ81" s="412"/>
      <c r="AR81" s="412"/>
      <c r="AS81" s="412"/>
      <c r="AT81" s="453"/>
      <c r="AU81" s="454"/>
      <c r="AV81" s="412"/>
      <c r="AW81" s="412"/>
      <c r="AX81" s="412"/>
      <c r="AY81" s="412"/>
      <c r="AZ81" s="412"/>
      <c r="BA81" s="422"/>
      <c r="BB81" s="423"/>
      <c r="BC81" s="423"/>
      <c r="BD81" s="423"/>
      <c r="BE81" s="423"/>
      <c r="BF81" s="423"/>
      <c r="BG81" s="423"/>
      <c r="BH81" s="423"/>
      <c r="BI81" s="423"/>
      <c r="BJ81" s="424"/>
      <c r="BK81" s="412"/>
      <c r="BL81" s="412"/>
      <c r="BM81" s="412"/>
      <c r="BN81" s="412"/>
      <c r="BO81" s="412"/>
      <c r="BP81" s="412"/>
      <c r="BQ81" s="412"/>
      <c r="BR81" s="412"/>
      <c r="BS81" s="412"/>
      <c r="BT81" s="412"/>
      <c r="BU81" s="412"/>
      <c r="CH81" s="422"/>
      <c r="CI81" s="423"/>
      <c r="CJ81" s="423"/>
      <c r="CK81" s="423"/>
      <c r="CL81" s="423"/>
      <c r="CM81" s="423"/>
      <c r="CN81" s="423"/>
      <c r="CO81" s="423"/>
      <c r="CP81" s="423"/>
      <c r="CQ81" s="424"/>
      <c r="CR81" s="412"/>
      <c r="CS81" s="412"/>
      <c r="CT81" s="412"/>
      <c r="CU81" s="412"/>
      <c r="CV81" s="453"/>
      <c r="CW81" s="454"/>
      <c r="DK81" s="412"/>
      <c r="DL81" s="412"/>
      <c r="DM81" s="411"/>
      <c r="DN81" s="412"/>
      <c r="DO81" s="412"/>
      <c r="ED81" s="2670"/>
      <c r="EE81" s="2579"/>
      <c r="EF81" s="2579"/>
      <c r="EG81" s="2579"/>
      <c r="EH81" s="2579"/>
      <c r="EI81" s="2579"/>
      <c r="EJ81" s="2579"/>
      <c r="EK81" s="2579"/>
      <c r="EL81" s="2579"/>
      <c r="EM81" s="2579"/>
      <c r="EN81" s="2579"/>
      <c r="EO81" s="2579"/>
      <c r="EP81" s="2579"/>
      <c r="EQ81" s="2579"/>
      <c r="ER81" s="2579"/>
      <c r="ES81" s="2579"/>
      <c r="ET81" s="2579"/>
      <c r="EU81" s="2579"/>
      <c r="EV81" s="2579"/>
      <c r="EW81" s="2579"/>
      <c r="EX81" s="2669"/>
      <c r="EY81" s="414"/>
      <c r="FL81" s="2588"/>
      <c r="FM81" s="2588"/>
      <c r="FN81" s="2588"/>
      <c r="FO81" s="2588"/>
      <c r="FP81" s="2588"/>
      <c r="FQ81" s="2588"/>
      <c r="FR81" s="2588"/>
      <c r="FS81" s="2588"/>
      <c r="FT81" s="2588"/>
      <c r="FU81" s="2588"/>
      <c r="FV81" s="2588"/>
      <c r="FW81" s="2588"/>
      <c r="GD81" s="414"/>
      <c r="HE81" s="414"/>
      <c r="IF81" s="415"/>
      <c r="JC81" s="414"/>
    </row>
    <row r="82" spans="7:266" ht="4.1500000000000004" customHeight="1" thickTop="1">
      <c r="G82" s="414"/>
      <c r="K82" s="414"/>
      <c r="P82" s="454"/>
      <c r="Q82" s="454"/>
      <c r="AA82" s="416"/>
      <c r="AB82" s="417"/>
      <c r="AC82" s="417"/>
      <c r="AD82" s="417"/>
      <c r="AE82" s="417"/>
      <c r="AF82" s="417"/>
      <c r="AG82" s="417"/>
      <c r="AH82" s="417"/>
      <c r="AI82" s="417"/>
      <c r="AJ82" s="418"/>
      <c r="AK82" s="417"/>
      <c r="AL82" s="417"/>
      <c r="AM82" s="417"/>
      <c r="AN82" s="417"/>
      <c r="AO82" s="417"/>
      <c r="AP82" s="417"/>
      <c r="AQ82" s="417"/>
      <c r="AR82" s="417"/>
      <c r="AS82" s="417"/>
      <c r="AT82" s="454"/>
      <c r="AU82" s="454"/>
      <c r="AV82" s="417"/>
      <c r="AW82" s="417"/>
      <c r="AX82" s="417"/>
      <c r="AY82" s="417"/>
      <c r="AZ82" s="417"/>
      <c r="BA82" s="416"/>
      <c r="BB82" s="417"/>
      <c r="BC82" s="417"/>
      <c r="BD82" s="417"/>
      <c r="BE82" s="417"/>
      <c r="BF82" s="417"/>
      <c r="BG82" s="417"/>
      <c r="BH82" s="417"/>
      <c r="BI82" s="417"/>
      <c r="BJ82" s="418"/>
      <c r="BK82" s="417"/>
      <c r="BL82" s="417"/>
      <c r="BM82" s="417"/>
      <c r="CH82" s="416"/>
      <c r="CI82" s="417"/>
      <c r="CJ82" s="417"/>
      <c r="CK82" s="417"/>
      <c r="CL82" s="417"/>
      <c r="CM82" s="417"/>
      <c r="CN82" s="417"/>
      <c r="CO82" s="417"/>
      <c r="CP82" s="417"/>
      <c r="CQ82" s="418"/>
      <c r="CV82" s="454"/>
      <c r="CW82" s="454"/>
      <c r="DA82" s="412"/>
      <c r="DB82" s="412"/>
      <c r="DC82" s="411"/>
      <c r="DD82" s="412"/>
      <c r="DG82" s="412"/>
      <c r="DH82" s="412"/>
      <c r="DI82" s="411"/>
      <c r="DJ82" s="412"/>
      <c r="DM82" s="414"/>
      <c r="ED82" s="2671"/>
      <c r="EE82" s="2586"/>
      <c r="EF82" s="2586"/>
      <c r="EG82" s="2586"/>
      <c r="EH82" s="2586"/>
      <c r="EI82" s="2586"/>
      <c r="EJ82" s="2586"/>
      <c r="EK82" s="2586"/>
      <c r="EL82" s="2586"/>
      <c r="EM82" s="2586"/>
      <c r="EN82" s="2586"/>
      <c r="EO82" s="2586"/>
      <c r="EP82" s="2586"/>
      <c r="EQ82" s="2586"/>
      <c r="ER82" s="2586"/>
      <c r="ES82" s="2586"/>
      <c r="ET82" s="2586"/>
      <c r="EU82" s="2586"/>
      <c r="EV82" s="2586"/>
      <c r="EW82" s="2586"/>
      <c r="EX82" s="2672"/>
      <c r="EY82" s="416"/>
      <c r="EZ82" s="417"/>
      <c r="FA82" s="417"/>
      <c r="FB82" s="417"/>
      <c r="FC82" s="417"/>
      <c r="FD82" s="417"/>
      <c r="FE82" s="417"/>
      <c r="FF82" s="417"/>
      <c r="FG82" s="417"/>
      <c r="FH82" s="417"/>
      <c r="FI82" s="417"/>
      <c r="FL82" s="2589"/>
      <c r="FM82" s="2589"/>
      <c r="FN82" s="2589"/>
      <c r="FO82" s="2589"/>
      <c r="FP82" s="2589"/>
      <c r="FQ82" s="2589"/>
      <c r="FR82" s="2589"/>
      <c r="FS82" s="2589"/>
      <c r="FT82" s="2589"/>
      <c r="FU82" s="2589"/>
      <c r="FV82" s="2589"/>
      <c r="FW82" s="2589"/>
      <c r="GA82" s="417"/>
      <c r="GB82" s="417"/>
      <c r="GC82" s="417"/>
      <c r="GD82" s="416"/>
      <c r="GE82" s="417"/>
      <c r="GF82" s="417"/>
      <c r="GG82" s="417"/>
      <c r="GH82" s="417"/>
      <c r="GI82" s="417"/>
      <c r="GJ82" s="417"/>
      <c r="GK82" s="417"/>
      <c r="GL82" s="417"/>
      <c r="GM82" s="417"/>
      <c r="GN82" s="417"/>
      <c r="GO82" s="417"/>
      <c r="GP82" s="417"/>
      <c r="GQ82" s="417"/>
      <c r="GR82" s="417"/>
      <c r="GS82" s="417"/>
      <c r="GT82" s="417"/>
      <c r="GU82" s="417"/>
      <c r="GV82" s="417"/>
      <c r="GW82" s="417"/>
      <c r="GX82" s="417"/>
      <c r="GY82" s="417"/>
      <c r="GZ82" s="417"/>
      <c r="HA82" s="417"/>
      <c r="HE82" s="416"/>
      <c r="HF82" s="417"/>
      <c r="HG82" s="417"/>
      <c r="HH82" s="417"/>
      <c r="HI82" s="417"/>
      <c r="HJ82" s="417"/>
      <c r="HK82" s="417"/>
      <c r="HL82" s="417"/>
      <c r="HM82" s="417"/>
      <c r="HN82" s="417"/>
      <c r="HO82" s="417"/>
      <c r="HP82" s="417"/>
      <c r="HQ82" s="417"/>
      <c r="HR82" s="417"/>
      <c r="HS82" s="417"/>
      <c r="HT82" s="417"/>
      <c r="HU82" s="417"/>
      <c r="HV82" s="417"/>
      <c r="HW82" s="417"/>
      <c r="HX82" s="417"/>
      <c r="HY82" s="417"/>
      <c r="HZ82" s="417"/>
      <c r="IA82" s="417"/>
      <c r="IB82" s="417"/>
      <c r="IC82" s="417"/>
      <c r="ID82" s="417"/>
      <c r="IE82" s="417"/>
      <c r="IF82" s="418"/>
      <c r="II82" s="417"/>
      <c r="IJ82" s="417"/>
      <c r="IK82" s="417"/>
      <c r="IL82" s="417"/>
      <c r="IM82" s="417"/>
      <c r="IN82" s="417"/>
      <c r="IO82" s="417"/>
      <c r="IP82" s="417"/>
      <c r="IQ82" s="417"/>
      <c r="IR82" s="417"/>
      <c r="IS82" s="417"/>
      <c r="JC82" s="414"/>
    </row>
    <row r="83" spans="7:266" ht="4.1500000000000004" customHeight="1">
      <c r="G83" s="414"/>
      <c r="K83" s="414"/>
      <c r="P83" s="414"/>
      <c r="R83" s="411"/>
      <c r="S83" s="412"/>
      <c r="T83" s="412"/>
      <c r="U83" s="412"/>
      <c r="V83" s="412"/>
      <c r="W83" s="412"/>
      <c r="X83" s="412"/>
      <c r="Y83" s="412"/>
      <c r="Z83" s="412"/>
      <c r="AA83" s="412"/>
      <c r="AB83" s="412"/>
      <c r="AC83" s="412"/>
      <c r="AD83" s="412"/>
      <c r="AE83" s="412"/>
      <c r="AF83" s="412"/>
      <c r="AG83" s="412"/>
      <c r="AH83" s="412"/>
      <c r="AI83" s="412"/>
      <c r="AJ83" s="412"/>
      <c r="AK83" s="412"/>
      <c r="AL83" s="412"/>
      <c r="AM83" s="412"/>
      <c r="AN83" s="412"/>
      <c r="AO83" s="412"/>
      <c r="AP83" s="412"/>
      <c r="AQ83" s="412"/>
      <c r="AR83" s="412"/>
      <c r="AS83" s="413"/>
      <c r="AT83" s="412"/>
      <c r="AU83" s="413"/>
      <c r="AV83" s="412"/>
      <c r="AW83" s="412"/>
      <c r="AX83" s="412"/>
      <c r="AY83" s="412"/>
      <c r="AZ83" s="412"/>
      <c r="BA83" s="412"/>
      <c r="BB83" s="412"/>
      <c r="BC83" s="412"/>
      <c r="BN83" s="412"/>
      <c r="BO83" s="412"/>
      <c r="BP83" s="412"/>
      <c r="BQ83" s="412"/>
      <c r="BR83" s="412"/>
      <c r="BS83" s="412"/>
      <c r="BT83" s="412"/>
      <c r="BU83" s="412"/>
      <c r="BV83" s="412"/>
      <c r="BW83" s="412"/>
      <c r="BX83" s="412"/>
      <c r="BY83" s="412"/>
      <c r="BZ83" s="412"/>
      <c r="CA83" s="412"/>
      <c r="CB83" s="412"/>
      <c r="CC83" s="412"/>
      <c r="CD83" s="412"/>
      <c r="CE83" s="412"/>
      <c r="CF83" s="412"/>
      <c r="CG83" s="412"/>
      <c r="CH83" s="412"/>
      <c r="CI83" s="412"/>
      <c r="CJ83" s="412"/>
      <c r="CK83" s="412"/>
      <c r="CL83" s="412"/>
      <c r="CM83" s="412"/>
      <c r="CN83" s="412"/>
      <c r="CO83" s="412"/>
      <c r="CP83" s="412"/>
      <c r="CQ83" s="412"/>
      <c r="CR83" s="412"/>
      <c r="CS83" s="412"/>
      <c r="CT83" s="412"/>
      <c r="CU83" s="413"/>
      <c r="CW83" s="415"/>
      <c r="DC83" s="414"/>
      <c r="DI83" s="414"/>
      <c r="DM83" s="414"/>
      <c r="HD83" s="411"/>
      <c r="HE83" s="412"/>
      <c r="HF83" s="412"/>
      <c r="HG83" s="412"/>
      <c r="HH83" s="412"/>
      <c r="HI83" s="412"/>
      <c r="HJ83" s="412"/>
      <c r="HK83" s="412"/>
      <c r="HL83" s="412"/>
      <c r="HM83" s="412"/>
      <c r="HN83" s="412"/>
      <c r="HO83" s="412"/>
      <c r="HP83" s="412"/>
      <c r="HQ83" s="412"/>
      <c r="HR83" s="412"/>
      <c r="HS83" s="412"/>
      <c r="HT83" s="412"/>
      <c r="HU83" s="412"/>
      <c r="HV83" s="412"/>
      <c r="HW83" s="412"/>
      <c r="HX83" s="412"/>
      <c r="HY83" s="412"/>
      <c r="HZ83" s="412"/>
      <c r="IA83" s="412"/>
      <c r="IB83" s="412"/>
      <c r="IC83" s="412"/>
      <c r="ID83" s="412"/>
      <c r="IE83" s="412"/>
      <c r="IF83" s="412"/>
      <c r="IG83" s="413"/>
      <c r="II83" s="2583">
        <v>0.15</v>
      </c>
      <c r="IJ83" s="2583"/>
      <c r="IK83" s="2583"/>
      <c r="IL83" s="2583"/>
      <c r="IM83" s="2583"/>
      <c r="IN83" s="2583"/>
      <c r="IO83" s="2583"/>
      <c r="IP83" s="2583"/>
      <c r="IQ83" s="2583"/>
      <c r="IR83" s="2583"/>
      <c r="IS83" s="2583"/>
      <c r="JC83" s="414"/>
    </row>
    <row r="84" spans="7:266" ht="4.1500000000000004" customHeight="1">
      <c r="G84" s="414"/>
      <c r="K84" s="414"/>
      <c r="P84" s="414"/>
      <c r="R84" s="414"/>
      <c r="AS84" s="415"/>
      <c r="AU84" s="415"/>
      <c r="CU84" s="415"/>
      <c r="CW84" s="415"/>
      <c r="DC84" s="414"/>
      <c r="DI84" s="414"/>
      <c r="DM84" s="414"/>
      <c r="HD84" s="414"/>
      <c r="IG84" s="415"/>
      <c r="II84" s="2580"/>
      <c r="IJ84" s="2580"/>
      <c r="IK84" s="2580"/>
      <c r="IL84" s="2580"/>
      <c r="IM84" s="2580"/>
      <c r="IN84" s="2580"/>
      <c r="IO84" s="2580"/>
      <c r="IP84" s="2580"/>
      <c r="IQ84" s="2580"/>
      <c r="IR84" s="2580"/>
      <c r="IS84" s="2580"/>
      <c r="JC84" s="414"/>
    </row>
    <row r="85" spans="7:266" ht="4.1500000000000004" customHeight="1">
      <c r="G85" s="414"/>
      <c r="K85" s="414"/>
      <c r="P85" s="414"/>
      <c r="R85" s="414"/>
      <c r="AS85" s="415"/>
      <c r="AU85" s="415"/>
      <c r="CU85" s="415"/>
      <c r="CV85" s="2796">
        <v>0.25</v>
      </c>
      <c r="CW85" s="2797"/>
      <c r="DC85" s="414"/>
      <c r="DI85" s="414"/>
      <c r="DM85" s="414"/>
      <c r="ED85" s="414"/>
      <c r="EH85" s="2773">
        <v>0.9</v>
      </c>
      <c r="EI85" s="2579"/>
      <c r="EJ85" s="2579"/>
      <c r="EK85" s="2579"/>
      <c r="EL85" s="2579"/>
      <c r="EM85" s="2579"/>
      <c r="EN85" s="2579"/>
      <c r="EO85" s="2579"/>
      <c r="EP85" s="2579"/>
      <c r="EQ85" s="2579"/>
      <c r="ER85" s="2579"/>
      <c r="ES85" s="2579"/>
      <c r="ET85" s="2579"/>
      <c r="EU85" s="2579"/>
      <c r="EX85" s="415"/>
      <c r="HD85" s="416"/>
      <c r="HE85" s="417"/>
      <c r="HF85" s="417"/>
      <c r="HG85" s="417"/>
      <c r="HH85" s="417"/>
      <c r="HI85" s="417"/>
      <c r="HJ85" s="417"/>
      <c r="HK85" s="417"/>
      <c r="HL85" s="417"/>
      <c r="HM85" s="417"/>
      <c r="HN85" s="417"/>
      <c r="HO85" s="417"/>
      <c r="HP85" s="417"/>
      <c r="HQ85" s="417"/>
      <c r="HR85" s="417"/>
      <c r="HS85" s="417"/>
      <c r="HT85" s="417"/>
      <c r="HU85" s="417"/>
      <c r="HV85" s="417"/>
      <c r="HW85" s="417"/>
      <c r="HX85" s="417"/>
      <c r="HY85" s="417"/>
      <c r="HZ85" s="417"/>
      <c r="IA85" s="417"/>
      <c r="IB85" s="417"/>
      <c r="IC85" s="417"/>
      <c r="ID85" s="417"/>
      <c r="IE85" s="417"/>
      <c r="IF85" s="417"/>
      <c r="IG85" s="418"/>
      <c r="II85" s="2584"/>
      <c r="IJ85" s="2584"/>
      <c r="IK85" s="2584"/>
      <c r="IL85" s="2584"/>
      <c r="IM85" s="2584"/>
      <c r="IN85" s="2584"/>
      <c r="IO85" s="2584"/>
      <c r="IP85" s="2584"/>
      <c r="IQ85" s="2584"/>
      <c r="IR85" s="2584"/>
      <c r="IS85" s="2584"/>
      <c r="JC85" s="414"/>
    </row>
    <row r="86" spans="7:266" ht="4.1500000000000004" customHeight="1">
      <c r="G86" s="414"/>
      <c r="K86" s="414"/>
      <c r="P86" s="414"/>
      <c r="R86" s="414"/>
      <c r="AS86" s="415"/>
      <c r="AU86" s="415"/>
      <c r="CU86" s="415"/>
      <c r="CV86" s="2796"/>
      <c r="CW86" s="2797"/>
      <c r="DC86" s="414"/>
      <c r="DI86" s="414"/>
      <c r="DM86" s="414"/>
      <c r="ED86" s="416"/>
      <c r="EE86" s="417"/>
      <c r="EF86" s="417"/>
      <c r="EG86" s="417"/>
      <c r="EH86" s="2579"/>
      <c r="EI86" s="2579"/>
      <c r="EJ86" s="2579"/>
      <c r="EK86" s="2579"/>
      <c r="EL86" s="2579"/>
      <c r="EM86" s="2579"/>
      <c r="EN86" s="2579"/>
      <c r="EO86" s="2579"/>
      <c r="EP86" s="2579"/>
      <c r="EQ86" s="2579"/>
      <c r="ER86" s="2579"/>
      <c r="ES86" s="2579"/>
      <c r="ET86" s="2579"/>
      <c r="EU86" s="2579"/>
      <c r="EV86" s="417"/>
      <c r="EW86" s="417"/>
      <c r="EX86" s="418"/>
      <c r="HD86" s="411"/>
      <c r="HE86" s="412"/>
      <c r="HF86" s="412"/>
      <c r="HG86" s="412"/>
      <c r="HH86" s="412"/>
      <c r="HI86" s="412"/>
      <c r="HJ86" s="412"/>
      <c r="HK86" s="412"/>
      <c r="HL86" s="412"/>
      <c r="HM86" s="412"/>
      <c r="HN86" s="412"/>
      <c r="HO86" s="412"/>
      <c r="HP86" s="412"/>
      <c r="HQ86" s="412"/>
      <c r="HR86" s="412"/>
      <c r="HS86" s="412"/>
      <c r="HT86" s="412"/>
      <c r="HU86" s="412"/>
      <c r="HV86" s="412"/>
      <c r="HW86" s="412"/>
      <c r="HX86" s="412"/>
      <c r="HY86" s="412"/>
      <c r="HZ86" s="412"/>
      <c r="IA86" s="412"/>
      <c r="IB86" s="412"/>
      <c r="IC86" s="412"/>
      <c r="ID86" s="412"/>
      <c r="IE86" s="412"/>
      <c r="IF86" s="412"/>
      <c r="IG86" s="413"/>
      <c r="II86" s="2583">
        <v>0.15</v>
      </c>
      <c r="IJ86" s="2583"/>
      <c r="IK86" s="2583"/>
      <c r="IL86" s="2583"/>
      <c r="IM86" s="2583"/>
      <c r="IN86" s="2583"/>
      <c r="IO86" s="2583"/>
      <c r="IP86" s="2583"/>
      <c r="IQ86" s="2583"/>
      <c r="IR86" s="2583"/>
      <c r="IS86" s="2583"/>
      <c r="JC86" s="414"/>
    </row>
    <row r="87" spans="7:266" ht="4.1500000000000004" customHeight="1">
      <c r="G87" s="414"/>
      <c r="K87" s="414"/>
      <c r="L87" s="437"/>
      <c r="M87" s="434"/>
      <c r="N87" s="434"/>
      <c r="O87" s="487"/>
      <c r="P87" s="414"/>
      <c r="R87" s="414"/>
      <c r="AS87" s="415"/>
      <c r="AU87" s="415"/>
      <c r="CU87" s="415"/>
      <c r="CV87" s="2796"/>
      <c r="CW87" s="2797"/>
      <c r="DC87" s="414"/>
      <c r="DI87" s="414"/>
      <c r="DM87" s="414"/>
      <c r="ED87" s="414"/>
      <c r="EH87" s="2579"/>
      <c r="EI87" s="2579"/>
      <c r="EJ87" s="2579"/>
      <c r="EK87" s="2579"/>
      <c r="EL87" s="2579"/>
      <c r="EM87" s="2579"/>
      <c r="EN87" s="2579"/>
      <c r="EO87" s="2579"/>
      <c r="EP87" s="2579"/>
      <c r="EQ87" s="2579"/>
      <c r="ER87" s="2579"/>
      <c r="ES87" s="2579"/>
      <c r="ET87" s="2579"/>
      <c r="EU87" s="2579"/>
      <c r="EX87" s="415"/>
      <c r="HD87" s="414"/>
      <c r="IG87" s="415"/>
      <c r="II87" s="2580"/>
      <c r="IJ87" s="2580"/>
      <c r="IK87" s="2580"/>
      <c r="IL87" s="2580"/>
      <c r="IM87" s="2580"/>
      <c r="IN87" s="2580"/>
      <c r="IO87" s="2580"/>
      <c r="IP87" s="2580"/>
      <c r="IQ87" s="2580"/>
      <c r="IR87" s="2580"/>
      <c r="IS87" s="2580"/>
      <c r="JC87" s="414"/>
    </row>
    <row r="88" spans="7:266" ht="4.1500000000000004" customHeight="1">
      <c r="G88" s="414"/>
      <c r="I88" s="2771">
        <f>AG91+CV85</f>
        <v>2.4500000000000002</v>
      </c>
      <c r="J88" s="2772"/>
      <c r="K88" s="2772"/>
      <c r="L88" s="2772"/>
      <c r="O88" s="415"/>
      <c r="P88" s="411"/>
      <c r="Q88" s="1543"/>
      <c r="R88" s="414"/>
      <c r="V88" s="2579" t="s">
        <v>3559</v>
      </c>
      <c r="W88" s="2579"/>
      <c r="X88" s="2579"/>
      <c r="Y88" s="2579"/>
      <c r="Z88" s="2579"/>
      <c r="AA88" s="2579"/>
      <c r="AB88" s="2579"/>
      <c r="AC88" s="2579"/>
      <c r="AD88" s="2579"/>
      <c r="AE88" s="2579"/>
      <c r="AF88" s="2579"/>
      <c r="AG88" s="2579"/>
      <c r="AH88" s="2579"/>
      <c r="AI88" s="2579"/>
      <c r="AJ88" s="2579"/>
      <c r="AK88" s="2579"/>
      <c r="AL88" s="2579"/>
      <c r="AM88" s="2579"/>
      <c r="AS88" s="415"/>
      <c r="AU88" s="415"/>
      <c r="CU88" s="415"/>
      <c r="CV88" s="2796"/>
      <c r="CW88" s="2797"/>
      <c r="DC88" s="414"/>
      <c r="DI88" s="414"/>
      <c r="DM88" s="414"/>
      <c r="ED88" s="414"/>
      <c r="EH88" s="2579"/>
      <c r="EI88" s="2579"/>
      <c r="EJ88" s="2579"/>
      <c r="EK88" s="2579"/>
      <c r="EL88" s="2579"/>
      <c r="EM88" s="2579"/>
      <c r="EN88" s="2579"/>
      <c r="EO88" s="2579"/>
      <c r="EP88" s="2579"/>
      <c r="EQ88" s="2579"/>
      <c r="ER88" s="2579"/>
      <c r="ES88" s="2579"/>
      <c r="ET88" s="2579"/>
      <c r="EU88" s="2579"/>
      <c r="EX88" s="415"/>
      <c r="HD88" s="416"/>
      <c r="HE88" s="417"/>
      <c r="HF88" s="417"/>
      <c r="HG88" s="417"/>
      <c r="HH88" s="417"/>
      <c r="HI88" s="417"/>
      <c r="HJ88" s="417"/>
      <c r="HK88" s="417"/>
      <c r="HL88" s="417"/>
      <c r="HM88" s="417"/>
      <c r="HN88" s="417"/>
      <c r="HO88" s="417"/>
      <c r="HP88" s="417"/>
      <c r="HQ88" s="417"/>
      <c r="HR88" s="417"/>
      <c r="HS88" s="417"/>
      <c r="HT88" s="417"/>
      <c r="HU88" s="417"/>
      <c r="HV88" s="417"/>
      <c r="HW88" s="417"/>
      <c r="HX88" s="417"/>
      <c r="HY88" s="417"/>
      <c r="HZ88" s="417"/>
      <c r="IA88" s="417"/>
      <c r="IB88" s="417"/>
      <c r="IC88" s="417"/>
      <c r="ID88" s="417"/>
      <c r="IE88" s="417"/>
      <c r="IF88" s="417"/>
      <c r="IG88" s="418"/>
      <c r="II88" s="2584"/>
      <c r="IJ88" s="2584"/>
      <c r="IK88" s="2584"/>
      <c r="IL88" s="2584"/>
      <c r="IM88" s="2584"/>
      <c r="IN88" s="2584"/>
      <c r="IO88" s="2584"/>
      <c r="IP88" s="2584"/>
      <c r="IQ88" s="2584"/>
      <c r="IR88" s="2584"/>
      <c r="IS88" s="2584"/>
      <c r="IX88" s="417"/>
      <c r="IY88" s="417"/>
      <c r="IZ88" s="417"/>
      <c r="JA88" s="417"/>
      <c r="JB88" s="417"/>
      <c r="JC88" s="416"/>
      <c r="JD88" s="417"/>
      <c r="JE88" s="417"/>
      <c r="JF88" s="417"/>
    </row>
    <row r="89" spans="7:266" ht="4.1500000000000004" customHeight="1">
      <c r="G89" s="414"/>
      <c r="I89" s="2772"/>
      <c r="J89" s="2772"/>
      <c r="K89" s="2772"/>
      <c r="L89" s="2772"/>
      <c r="O89" s="415"/>
      <c r="P89" s="414"/>
      <c r="Q89" s="1544"/>
      <c r="R89" s="414"/>
      <c r="V89" s="2579"/>
      <c r="W89" s="2579"/>
      <c r="X89" s="2579"/>
      <c r="Y89" s="2579"/>
      <c r="Z89" s="2579"/>
      <c r="AA89" s="2579"/>
      <c r="AB89" s="2579"/>
      <c r="AC89" s="2579"/>
      <c r="AD89" s="2579"/>
      <c r="AE89" s="2579"/>
      <c r="AF89" s="2579"/>
      <c r="AG89" s="2579"/>
      <c r="AH89" s="2579"/>
      <c r="AI89" s="2579"/>
      <c r="AJ89" s="2579"/>
      <c r="AK89" s="2579"/>
      <c r="AL89" s="2579"/>
      <c r="AM89" s="2579"/>
      <c r="AS89" s="415"/>
      <c r="AU89" s="415"/>
      <c r="CU89" s="415"/>
      <c r="CV89" s="2796"/>
      <c r="CW89" s="2797"/>
      <c r="DC89" s="414"/>
      <c r="DI89" s="414"/>
      <c r="DM89" s="414"/>
      <c r="HX89" s="412"/>
      <c r="HY89" s="412"/>
      <c r="HZ89" s="412"/>
      <c r="IA89" s="412"/>
      <c r="IB89" s="412"/>
      <c r="IC89" s="412"/>
      <c r="ID89" s="412"/>
      <c r="IE89" s="412"/>
      <c r="IF89" s="412"/>
      <c r="IG89" s="412"/>
    </row>
    <row r="90" spans="7:266" ht="4.1500000000000004" customHeight="1">
      <c r="G90" s="414"/>
      <c r="I90" s="2772"/>
      <c r="J90" s="2772"/>
      <c r="K90" s="2772"/>
      <c r="L90" s="2772"/>
      <c r="O90" s="415"/>
      <c r="P90" s="414"/>
      <c r="Q90" s="1544"/>
      <c r="R90" s="414"/>
      <c r="V90" s="2579"/>
      <c r="W90" s="2579"/>
      <c r="X90" s="2579"/>
      <c r="Y90" s="2579"/>
      <c r="Z90" s="2579"/>
      <c r="AA90" s="2579"/>
      <c r="AB90" s="2579"/>
      <c r="AC90" s="2579"/>
      <c r="AD90" s="2579"/>
      <c r="AE90" s="2579"/>
      <c r="AF90" s="2579"/>
      <c r="AG90" s="2579"/>
      <c r="AH90" s="2579"/>
      <c r="AI90" s="2579"/>
      <c r="AJ90" s="2579"/>
      <c r="AK90" s="2579"/>
      <c r="AL90" s="2579"/>
      <c r="AM90" s="2579"/>
      <c r="AS90" s="415"/>
      <c r="AU90" s="415"/>
      <c r="CU90" s="415"/>
      <c r="CV90" s="2796"/>
      <c r="CW90" s="2797"/>
      <c r="DC90" s="414"/>
      <c r="DI90" s="414"/>
      <c r="DM90" s="414"/>
      <c r="FW90" s="412"/>
      <c r="FX90" s="412"/>
      <c r="FY90" s="412"/>
      <c r="FZ90" s="412"/>
      <c r="GA90" s="412"/>
      <c r="GB90" s="412"/>
      <c r="GC90" s="412"/>
      <c r="GD90" s="412"/>
      <c r="GE90" s="412"/>
      <c r="GF90" s="412"/>
      <c r="GG90" s="412"/>
      <c r="GH90" s="412"/>
      <c r="GI90" s="412"/>
      <c r="GJ90" s="412"/>
      <c r="GK90" s="412"/>
      <c r="GL90" s="412"/>
      <c r="GM90" s="412"/>
      <c r="GN90" s="412"/>
      <c r="GO90" s="412"/>
      <c r="HD90" s="414"/>
      <c r="IG90" s="415"/>
    </row>
    <row r="91" spans="7:266" ht="4.1500000000000004" customHeight="1">
      <c r="G91" s="414"/>
      <c r="I91" s="2772"/>
      <c r="J91" s="2772"/>
      <c r="K91" s="2772"/>
      <c r="L91" s="2772"/>
      <c r="O91" s="415"/>
      <c r="P91" s="414"/>
      <c r="Q91" s="1544"/>
      <c r="R91" s="414"/>
      <c r="V91" s="2577">
        <v>2.1</v>
      </c>
      <c r="W91" s="2577"/>
      <c r="X91" s="2577"/>
      <c r="Y91" s="2577"/>
      <c r="Z91" s="2577"/>
      <c r="AA91" s="2577"/>
      <c r="AB91" s="2577"/>
      <c r="AC91" s="2577" t="s">
        <v>901</v>
      </c>
      <c r="AD91" s="2577"/>
      <c r="AE91" s="2577"/>
      <c r="AF91" s="2577"/>
      <c r="AG91" s="2577">
        <v>2.2000000000000002</v>
      </c>
      <c r="AH91" s="2577"/>
      <c r="AI91" s="2577"/>
      <c r="AJ91" s="2577"/>
      <c r="AK91" s="2577"/>
      <c r="AL91" s="2577"/>
      <c r="AM91" s="2577"/>
      <c r="AS91" s="415"/>
      <c r="AU91" s="415"/>
      <c r="CU91" s="415"/>
      <c r="CV91" s="2796"/>
      <c r="CW91" s="2797"/>
      <c r="DC91" s="414"/>
      <c r="DI91" s="414"/>
      <c r="DM91" s="414"/>
      <c r="GB91" s="411"/>
      <c r="GC91" s="412"/>
      <c r="GD91" s="412"/>
      <c r="GE91" s="412"/>
      <c r="GF91" s="412"/>
      <c r="GG91" s="412"/>
      <c r="GH91" s="412"/>
      <c r="GI91" s="413"/>
      <c r="HD91" s="414"/>
      <c r="HL91" s="2588">
        <v>1.2</v>
      </c>
      <c r="HM91" s="2588"/>
      <c r="HN91" s="2588"/>
      <c r="HO91" s="2588"/>
      <c r="HP91" s="2588"/>
      <c r="HQ91" s="2588"/>
      <c r="HR91" s="2588"/>
      <c r="HS91" s="2588"/>
      <c r="HT91" s="2588"/>
      <c r="HU91" s="2588"/>
      <c r="HV91" s="2588"/>
      <c r="HW91" s="2588"/>
      <c r="IG91" s="415"/>
    </row>
    <row r="92" spans="7:266" ht="4.1500000000000004" customHeight="1">
      <c r="G92" s="414"/>
      <c r="I92" s="2772"/>
      <c r="J92" s="2772"/>
      <c r="K92" s="2772"/>
      <c r="L92" s="2772"/>
      <c r="O92" s="415"/>
      <c r="P92" s="414"/>
      <c r="Q92" s="1544"/>
      <c r="R92" s="414"/>
      <c r="V92" s="2577"/>
      <c r="W92" s="2577"/>
      <c r="X92" s="2577"/>
      <c r="Y92" s="2577"/>
      <c r="Z92" s="2577"/>
      <c r="AA92" s="2577"/>
      <c r="AB92" s="2577"/>
      <c r="AC92" s="2577"/>
      <c r="AD92" s="2577"/>
      <c r="AE92" s="2577"/>
      <c r="AF92" s="2577"/>
      <c r="AG92" s="2577"/>
      <c r="AH92" s="2577"/>
      <c r="AI92" s="2577"/>
      <c r="AJ92" s="2577"/>
      <c r="AK92" s="2577"/>
      <c r="AL92" s="2577"/>
      <c r="AM92" s="2577"/>
      <c r="AS92" s="415"/>
      <c r="AU92" s="415"/>
      <c r="CU92" s="415"/>
      <c r="CW92" s="415"/>
      <c r="DC92" s="414"/>
      <c r="DI92" s="414"/>
      <c r="DM92" s="414"/>
      <c r="FW92" s="417"/>
      <c r="FX92" s="417"/>
      <c r="FY92" s="417"/>
      <c r="FZ92" s="417"/>
      <c r="GB92" s="414"/>
      <c r="GI92" s="415"/>
      <c r="GK92" s="417"/>
      <c r="GL92" s="417"/>
      <c r="GM92" s="417"/>
      <c r="GN92" s="417"/>
      <c r="GO92" s="417"/>
      <c r="HD92" s="416"/>
      <c r="HE92" s="417"/>
      <c r="HF92" s="417"/>
      <c r="HG92" s="417"/>
      <c r="HH92" s="417"/>
      <c r="HI92" s="417"/>
      <c r="HJ92" s="417"/>
      <c r="HK92" s="417"/>
      <c r="HL92" s="2588"/>
      <c r="HM92" s="2588"/>
      <c r="HN92" s="2588"/>
      <c r="HO92" s="2588"/>
      <c r="HP92" s="2588"/>
      <c r="HQ92" s="2588"/>
      <c r="HR92" s="2588"/>
      <c r="HS92" s="2588"/>
      <c r="HT92" s="2588"/>
      <c r="HU92" s="2588"/>
      <c r="HV92" s="2588"/>
      <c r="HW92" s="2588"/>
      <c r="HX92" s="417"/>
      <c r="HY92" s="417"/>
      <c r="HZ92" s="417"/>
      <c r="IA92" s="417"/>
      <c r="IB92" s="417"/>
      <c r="IC92" s="417"/>
      <c r="ID92" s="417"/>
      <c r="IE92" s="417"/>
      <c r="IF92" s="417"/>
      <c r="IG92" s="418"/>
    </row>
    <row r="93" spans="7:266" ht="4.1500000000000004" customHeight="1">
      <c r="G93" s="414"/>
      <c r="I93" s="2772"/>
      <c r="J93" s="2772"/>
      <c r="K93" s="2772"/>
      <c r="L93" s="2772"/>
      <c r="O93" s="415"/>
      <c r="P93" s="414"/>
      <c r="Q93" s="1544"/>
      <c r="R93" s="414"/>
      <c r="V93" s="2577"/>
      <c r="W93" s="2577"/>
      <c r="X93" s="2577"/>
      <c r="Y93" s="2577"/>
      <c r="Z93" s="2577"/>
      <c r="AA93" s="2577"/>
      <c r="AB93" s="2577"/>
      <c r="AC93" s="2577"/>
      <c r="AD93" s="2577"/>
      <c r="AE93" s="2577"/>
      <c r="AF93" s="2577"/>
      <c r="AG93" s="2577"/>
      <c r="AH93" s="2577"/>
      <c r="AI93" s="2577"/>
      <c r="AJ93" s="2577"/>
      <c r="AK93" s="2577"/>
      <c r="AL93" s="2577"/>
      <c r="AM93" s="2577"/>
      <c r="AS93" s="415"/>
      <c r="AU93" s="415"/>
      <c r="CU93" s="415"/>
      <c r="CW93" s="415"/>
      <c r="DA93" s="2771">
        <f>BX97+CV85</f>
        <v>3.3</v>
      </c>
      <c r="DB93" s="2772"/>
      <c r="DC93" s="2772"/>
      <c r="DD93" s="2772"/>
      <c r="DI93" s="414"/>
      <c r="DM93" s="414"/>
      <c r="GA93" s="414"/>
      <c r="GB93" s="414"/>
      <c r="GI93" s="415"/>
      <c r="GJ93" s="415"/>
      <c r="HD93" s="414"/>
      <c r="HL93" s="2588"/>
      <c r="HM93" s="2588"/>
      <c r="HN93" s="2588"/>
      <c r="HO93" s="2588"/>
      <c r="HP93" s="2588"/>
      <c r="HQ93" s="2588"/>
      <c r="HR93" s="2588"/>
      <c r="HS93" s="2588"/>
      <c r="HT93" s="2588"/>
      <c r="HU93" s="2588"/>
      <c r="HV93" s="2588"/>
      <c r="HW93" s="2588"/>
      <c r="IG93" s="415"/>
    </row>
    <row r="94" spans="7:266" ht="4.1500000000000004" customHeight="1">
      <c r="G94" s="414"/>
      <c r="I94" s="2772"/>
      <c r="J94" s="2772"/>
      <c r="K94" s="2772"/>
      <c r="L94" s="2772"/>
      <c r="O94" s="415"/>
      <c r="P94" s="414"/>
      <c r="Q94" s="1544"/>
      <c r="R94" s="414"/>
      <c r="AS94" s="415"/>
      <c r="AU94" s="415"/>
      <c r="BM94" s="2775" t="s">
        <v>3003</v>
      </c>
      <c r="BN94" s="2775"/>
      <c r="BO94" s="2775"/>
      <c r="BP94" s="2775"/>
      <c r="BQ94" s="2775"/>
      <c r="BR94" s="2775"/>
      <c r="BS94" s="2775"/>
      <c r="BT94" s="2775"/>
      <c r="BU94" s="2775"/>
      <c r="BV94" s="2775"/>
      <c r="BW94" s="2775"/>
      <c r="BX94" s="2775"/>
      <c r="BY94" s="2775"/>
      <c r="BZ94" s="2775"/>
      <c r="CA94" s="2775"/>
      <c r="CB94" s="2775"/>
      <c r="CC94" s="2775"/>
      <c r="CD94" s="2775"/>
      <c r="CU94" s="415"/>
      <c r="CW94" s="415"/>
      <c r="DA94" s="2772"/>
      <c r="DB94" s="2772"/>
      <c r="DC94" s="2772"/>
      <c r="DD94" s="2772"/>
      <c r="DI94" s="414"/>
      <c r="DM94" s="414"/>
      <c r="GA94" s="414"/>
      <c r="GB94" s="414"/>
      <c r="GI94" s="415"/>
      <c r="GJ94" s="415"/>
      <c r="GL94" s="2771">
        <v>0.3</v>
      </c>
      <c r="GM94" s="2771"/>
      <c r="GN94" s="2771"/>
      <c r="GO94" s="2771"/>
    </row>
    <row r="95" spans="7:266" ht="4.1500000000000004" customHeight="1">
      <c r="G95" s="414"/>
      <c r="I95" s="2772"/>
      <c r="J95" s="2772"/>
      <c r="K95" s="2772"/>
      <c r="L95" s="2772"/>
      <c r="O95" s="415"/>
      <c r="P95" s="414"/>
      <c r="Q95" s="1544"/>
      <c r="R95" s="414"/>
      <c r="AS95" s="415"/>
      <c r="AU95" s="415"/>
      <c r="BM95" s="2775"/>
      <c r="BN95" s="2775"/>
      <c r="BO95" s="2775"/>
      <c r="BP95" s="2775"/>
      <c r="BQ95" s="2775"/>
      <c r="BR95" s="2775"/>
      <c r="BS95" s="2775"/>
      <c r="BT95" s="2775"/>
      <c r="BU95" s="2775"/>
      <c r="BV95" s="2775"/>
      <c r="BW95" s="2775"/>
      <c r="BX95" s="2775"/>
      <c r="BY95" s="2775"/>
      <c r="BZ95" s="2775"/>
      <c r="CA95" s="2775"/>
      <c r="CB95" s="2775"/>
      <c r="CC95" s="2775"/>
      <c r="CD95" s="2775"/>
      <c r="CU95" s="415"/>
      <c r="CW95" s="415"/>
      <c r="DA95" s="2772"/>
      <c r="DB95" s="2772"/>
      <c r="DC95" s="2772"/>
      <c r="DD95" s="2772"/>
      <c r="DI95" s="414"/>
      <c r="DM95" s="414"/>
      <c r="GA95" s="414"/>
      <c r="GB95" s="414"/>
      <c r="GI95" s="415"/>
      <c r="GJ95" s="415"/>
      <c r="GL95" s="2771"/>
      <c r="GM95" s="2771"/>
      <c r="GN95" s="2771"/>
      <c r="GO95" s="2771"/>
    </row>
    <row r="96" spans="7:266" ht="4.1500000000000004" customHeight="1">
      <c r="G96" s="414"/>
      <c r="I96" s="2772"/>
      <c r="J96" s="2772"/>
      <c r="K96" s="2772"/>
      <c r="L96" s="2772"/>
      <c r="O96" s="415"/>
      <c r="P96" s="414"/>
      <c r="Q96" s="1544"/>
      <c r="R96" s="414"/>
      <c r="AT96" s="412"/>
      <c r="AU96" s="411"/>
      <c r="BM96" s="2775"/>
      <c r="BN96" s="2775"/>
      <c r="BO96" s="2775"/>
      <c r="BP96" s="2775"/>
      <c r="BQ96" s="2775"/>
      <c r="BR96" s="2775"/>
      <c r="BS96" s="2775"/>
      <c r="BT96" s="2775"/>
      <c r="BU96" s="2775"/>
      <c r="BV96" s="2775"/>
      <c r="BW96" s="2775"/>
      <c r="BX96" s="2775"/>
      <c r="BY96" s="2775"/>
      <c r="BZ96" s="2775"/>
      <c r="CA96" s="2775"/>
      <c r="CB96" s="2775"/>
      <c r="CC96" s="2775"/>
      <c r="CD96" s="2775"/>
      <c r="CU96" s="415"/>
      <c r="CW96" s="415"/>
      <c r="DA96" s="2772"/>
      <c r="DB96" s="2772"/>
      <c r="DC96" s="2772"/>
      <c r="DD96" s="2772"/>
      <c r="DI96" s="414"/>
      <c r="DM96" s="414"/>
      <c r="DS96" s="464"/>
      <c r="DT96" s="464"/>
      <c r="DU96" s="464"/>
      <c r="DV96" s="464"/>
      <c r="DW96" s="464"/>
      <c r="DX96" s="464"/>
      <c r="DY96" s="464"/>
      <c r="DZ96" s="464"/>
      <c r="EA96" s="464"/>
      <c r="EB96" s="464"/>
      <c r="EC96" s="464"/>
      <c r="ED96" s="464"/>
      <c r="EE96" s="464"/>
      <c r="EF96" s="464"/>
      <c r="EG96" s="464"/>
      <c r="EH96" s="464"/>
      <c r="EI96" s="465"/>
      <c r="EJ96" s="465"/>
      <c r="EK96" s="465"/>
      <c r="EL96" s="465"/>
      <c r="EM96" s="465"/>
      <c r="EN96" s="465"/>
      <c r="EO96" s="465"/>
      <c r="EP96" s="465"/>
      <c r="EQ96" s="2790">
        <v>0.3</v>
      </c>
      <c r="ER96" s="2786"/>
      <c r="ES96" s="2786"/>
      <c r="ET96" s="2786"/>
      <c r="EU96" s="2786"/>
      <c r="EV96" s="2786"/>
      <c r="EW96" s="2791"/>
      <c r="EX96" s="2790">
        <f>EQ96</f>
        <v>0.3</v>
      </c>
      <c r="EY96" s="2786"/>
      <c r="EZ96" s="2786"/>
      <c r="FA96" s="2786"/>
      <c r="FB96" s="2786"/>
      <c r="FC96" s="2786"/>
      <c r="FD96" s="2791"/>
      <c r="FE96" s="2790">
        <f>EX96</f>
        <v>0.3</v>
      </c>
      <c r="FF96" s="2786"/>
      <c r="FG96" s="2786"/>
      <c r="FH96" s="2786"/>
      <c r="FI96" s="2786"/>
      <c r="FJ96" s="2786"/>
      <c r="FK96" s="2791"/>
      <c r="FL96" s="465"/>
      <c r="FM96" s="465"/>
      <c r="FN96" s="465"/>
      <c r="FO96" s="465"/>
      <c r="FP96" s="465"/>
      <c r="FQ96" s="465"/>
      <c r="FR96" s="465"/>
      <c r="FS96" s="465"/>
      <c r="GA96" s="414"/>
      <c r="GB96" s="414"/>
      <c r="GI96" s="415"/>
      <c r="GJ96" s="415"/>
      <c r="GL96" s="2771"/>
      <c r="GM96" s="2771"/>
      <c r="GN96" s="2771"/>
      <c r="GO96" s="2771"/>
    </row>
    <row r="97" spans="4:249" ht="4.1500000000000004" customHeight="1">
      <c r="G97" s="414"/>
      <c r="K97" s="414"/>
      <c r="L97" s="439"/>
      <c r="O97" s="415"/>
      <c r="P97" s="416"/>
      <c r="Q97" s="1545"/>
      <c r="R97" s="414"/>
      <c r="AU97" s="414"/>
      <c r="BM97" s="2577">
        <v>4.55</v>
      </c>
      <c r="BN97" s="2577"/>
      <c r="BO97" s="2577"/>
      <c r="BP97" s="2577"/>
      <c r="BQ97" s="2577"/>
      <c r="BR97" s="2577"/>
      <c r="BS97" s="2577"/>
      <c r="BT97" s="2577" t="s">
        <v>901</v>
      </c>
      <c r="BU97" s="2577"/>
      <c r="BV97" s="2577"/>
      <c r="BW97" s="2577"/>
      <c r="BX97" s="2577">
        <v>3.05</v>
      </c>
      <c r="BY97" s="2577"/>
      <c r="BZ97" s="2577"/>
      <c r="CA97" s="2577"/>
      <c r="CB97" s="2577"/>
      <c r="CC97" s="2577"/>
      <c r="CD97" s="2577"/>
      <c r="CU97" s="415"/>
      <c r="CW97" s="415"/>
      <c r="DA97" s="2772"/>
      <c r="DB97" s="2772"/>
      <c r="DC97" s="2772"/>
      <c r="DD97" s="2772"/>
      <c r="DI97" s="414"/>
      <c r="DM97" s="414"/>
      <c r="DS97" s="2783"/>
      <c r="DT97" s="2783"/>
      <c r="DU97" s="2783"/>
      <c r="DV97" s="2783"/>
      <c r="DW97" s="2783"/>
      <c r="DX97" s="464"/>
      <c r="DY97" s="464"/>
      <c r="DZ97" s="464"/>
      <c r="EA97" s="464"/>
      <c r="EB97" s="464"/>
      <c r="EC97" s="464"/>
      <c r="ED97" s="464"/>
      <c r="EE97" s="464"/>
      <c r="EF97" s="464"/>
      <c r="EG97" s="464"/>
      <c r="EH97" s="464"/>
      <c r="EI97" s="465"/>
      <c r="EJ97" s="465"/>
      <c r="EK97" s="465"/>
      <c r="EL97" s="465"/>
      <c r="EM97" s="465"/>
      <c r="EN97" s="465"/>
      <c r="EO97" s="465"/>
      <c r="EP97" s="465"/>
      <c r="EQ97" s="2790"/>
      <c r="ER97" s="2786"/>
      <c r="ES97" s="2786"/>
      <c r="ET97" s="2786"/>
      <c r="EU97" s="2786"/>
      <c r="EV97" s="2786"/>
      <c r="EW97" s="2791"/>
      <c r="EX97" s="2790"/>
      <c r="EY97" s="2786"/>
      <c r="EZ97" s="2786"/>
      <c r="FA97" s="2786"/>
      <c r="FB97" s="2786"/>
      <c r="FC97" s="2786"/>
      <c r="FD97" s="2791"/>
      <c r="FE97" s="2790"/>
      <c r="FF97" s="2786"/>
      <c r="FG97" s="2786"/>
      <c r="FH97" s="2786"/>
      <c r="FI97" s="2786"/>
      <c r="FJ97" s="2786"/>
      <c r="FK97" s="2791"/>
      <c r="FL97" s="465"/>
      <c r="FM97" s="465"/>
      <c r="FN97" s="465"/>
      <c r="FO97" s="465"/>
      <c r="FP97" s="465"/>
      <c r="FQ97" s="465"/>
      <c r="FR97" s="465"/>
      <c r="FS97" s="465"/>
      <c r="GA97" s="414"/>
      <c r="GB97" s="414"/>
      <c r="GI97" s="415"/>
      <c r="GJ97" s="415"/>
      <c r="GL97" s="2771"/>
      <c r="GM97" s="2771"/>
      <c r="GN97" s="2771"/>
      <c r="GO97" s="2771"/>
    </row>
    <row r="98" spans="4:249" ht="4.1500000000000004" customHeight="1">
      <c r="G98" s="414"/>
      <c r="K98" s="414"/>
      <c r="L98" s="443"/>
      <c r="M98" s="436"/>
      <c r="N98" s="436"/>
      <c r="O98" s="488"/>
      <c r="P98" s="414"/>
      <c r="R98" s="414"/>
      <c r="AU98" s="414"/>
      <c r="BM98" s="2577"/>
      <c r="BN98" s="2577"/>
      <c r="BO98" s="2577"/>
      <c r="BP98" s="2577"/>
      <c r="BQ98" s="2577"/>
      <c r="BR98" s="2577"/>
      <c r="BS98" s="2577"/>
      <c r="BT98" s="2577"/>
      <c r="BU98" s="2577"/>
      <c r="BV98" s="2577"/>
      <c r="BW98" s="2577"/>
      <c r="BX98" s="2577"/>
      <c r="BY98" s="2577"/>
      <c r="BZ98" s="2577"/>
      <c r="CA98" s="2577"/>
      <c r="CB98" s="2577"/>
      <c r="CC98" s="2577"/>
      <c r="CD98" s="2577"/>
      <c r="CU98" s="415"/>
      <c r="CW98" s="415"/>
      <c r="DA98" s="2772"/>
      <c r="DB98" s="2772"/>
      <c r="DC98" s="2772"/>
      <c r="DD98" s="2772"/>
      <c r="DI98" s="414"/>
      <c r="DM98" s="414"/>
      <c r="DS98" s="2783"/>
      <c r="DT98" s="2783"/>
      <c r="DU98" s="2783"/>
      <c r="DV98" s="2783"/>
      <c r="DW98" s="2783"/>
      <c r="DX98" s="464"/>
      <c r="DY98" s="464"/>
      <c r="DZ98" s="464"/>
      <c r="EA98" s="464"/>
      <c r="EB98" s="464"/>
      <c r="EC98" s="464"/>
      <c r="ED98" s="464"/>
      <c r="EE98" s="464"/>
      <c r="EF98" s="464"/>
      <c r="EG98" s="464"/>
      <c r="EH98" s="464"/>
      <c r="EI98" s="465"/>
      <c r="EJ98" s="465"/>
      <c r="EK98" s="465"/>
      <c r="EL98" s="465"/>
      <c r="EM98" s="465"/>
      <c r="EN98" s="465"/>
      <c r="EO98" s="465"/>
      <c r="EP98" s="465"/>
      <c r="EQ98" s="2790"/>
      <c r="ER98" s="2786"/>
      <c r="ES98" s="2786"/>
      <c r="ET98" s="2786"/>
      <c r="EU98" s="2786"/>
      <c r="EV98" s="2786"/>
      <c r="EW98" s="2791"/>
      <c r="EX98" s="2790"/>
      <c r="EY98" s="2786"/>
      <c r="EZ98" s="2786"/>
      <c r="FA98" s="2786"/>
      <c r="FB98" s="2786"/>
      <c r="FC98" s="2786"/>
      <c r="FD98" s="2791"/>
      <c r="FE98" s="2790"/>
      <c r="FF98" s="2786"/>
      <c r="FG98" s="2786"/>
      <c r="FH98" s="2786"/>
      <c r="FI98" s="2786"/>
      <c r="FJ98" s="2786"/>
      <c r="FK98" s="2791"/>
      <c r="FL98" s="465"/>
      <c r="FM98" s="465"/>
      <c r="FN98" s="465"/>
      <c r="FO98" s="465"/>
      <c r="FP98" s="465"/>
      <c r="FQ98" s="465"/>
      <c r="FR98" s="465"/>
      <c r="FS98" s="465"/>
      <c r="GA98" s="414"/>
      <c r="GB98" s="414"/>
      <c r="GI98" s="415"/>
      <c r="GJ98" s="415"/>
      <c r="GL98" s="2771"/>
      <c r="GM98" s="2771"/>
      <c r="GN98" s="2771"/>
      <c r="GO98" s="2771"/>
    </row>
    <row r="99" spans="4:249" ht="4.1500000000000004" customHeight="1">
      <c r="G99" s="414"/>
      <c r="K99" s="414"/>
      <c r="P99" s="414"/>
      <c r="R99" s="414"/>
      <c r="AU99" s="414"/>
      <c r="BM99" s="2577"/>
      <c r="BN99" s="2577"/>
      <c r="BO99" s="2577"/>
      <c r="BP99" s="2577"/>
      <c r="BQ99" s="2577"/>
      <c r="BR99" s="2577"/>
      <c r="BS99" s="2577"/>
      <c r="BT99" s="2577"/>
      <c r="BU99" s="2577"/>
      <c r="BV99" s="2577"/>
      <c r="BW99" s="2577"/>
      <c r="BX99" s="2577"/>
      <c r="BY99" s="2577"/>
      <c r="BZ99" s="2577"/>
      <c r="CA99" s="2577"/>
      <c r="CB99" s="2577"/>
      <c r="CC99" s="2577"/>
      <c r="CD99" s="2577"/>
      <c r="CU99" s="415"/>
      <c r="CW99" s="415"/>
      <c r="DA99" s="2772"/>
      <c r="DB99" s="2772"/>
      <c r="DC99" s="2772"/>
      <c r="DD99" s="2772"/>
      <c r="DI99" s="414"/>
      <c r="DM99" s="414"/>
      <c r="DS99" s="2784"/>
      <c r="DT99" s="2784"/>
      <c r="DU99" s="2784"/>
      <c r="DV99" s="2784"/>
      <c r="DW99" s="2784"/>
      <c r="DX99" s="466"/>
      <c r="DY99" s="466"/>
      <c r="DZ99" s="466"/>
      <c r="EA99" s="466"/>
      <c r="EB99" s="466"/>
      <c r="EC99" s="466"/>
      <c r="ED99" s="466"/>
      <c r="EE99" s="466"/>
      <c r="EF99" s="466"/>
      <c r="EG99" s="466"/>
      <c r="EH99" s="466"/>
      <c r="EI99" s="465"/>
      <c r="EJ99" s="465"/>
      <c r="EK99" s="465"/>
      <c r="EL99" s="465"/>
      <c r="EM99" s="465"/>
      <c r="EN99" s="465"/>
      <c r="EO99" s="465"/>
      <c r="EP99" s="465"/>
      <c r="EQ99" s="465"/>
      <c r="ER99" s="465"/>
      <c r="ES99" s="465"/>
      <c r="ET99" s="465"/>
      <c r="EU99" s="465"/>
      <c r="EV99" s="465"/>
      <c r="EW99" s="465"/>
      <c r="EX99" s="465"/>
      <c r="EY99" s="465"/>
      <c r="EZ99" s="465"/>
      <c r="FA99" s="465"/>
      <c r="FB99" s="465"/>
      <c r="FC99" s="465"/>
      <c r="FD99" s="465"/>
      <c r="FE99" s="465"/>
      <c r="FF99" s="465"/>
      <c r="FG99" s="465"/>
      <c r="FH99" s="465"/>
      <c r="FI99" s="465"/>
      <c r="FJ99" s="465"/>
      <c r="FK99" s="465"/>
      <c r="FL99" s="465"/>
      <c r="FM99" s="465"/>
      <c r="FN99" s="465"/>
      <c r="FO99" s="465"/>
      <c r="FP99" s="465"/>
      <c r="FQ99" s="465"/>
      <c r="FR99" s="465"/>
      <c r="FS99" s="465"/>
      <c r="GA99" s="414"/>
      <c r="GB99" s="414"/>
      <c r="GI99" s="415"/>
      <c r="GJ99" s="415"/>
      <c r="GL99" s="2771"/>
      <c r="GM99" s="2771"/>
      <c r="GN99" s="2771"/>
      <c r="GO99" s="2771"/>
    </row>
    <row r="100" spans="4:249" ht="4.1500000000000004" customHeight="1">
      <c r="G100" s="414"/>
      <c r="K100" s="414"/>
      <c r="P100" s="414"/>
      <c r="R100" s="414"/>
      <c r="AU100" s="414"/>
      <c r="CU100" s="415"/>
      <c r="CW100" s="415"/>
      <c r="DA100" s="2772"/>
      <c r="DB100" s="2772"/>
      <c r="DC100" s="2772"/>
      <c r="DD100" s="2772"/>
      <c r="DI100" s="414"/>
      <c r="DM100" s="414"/>
      <c r="DS100" s="464"/>
      <c r="DT100" s="464"/>
      <c r="DU100" s="464"/>
      <c r="DV100" s="464"/>
      <c r="DW100" s="464"/>
      <c r="DX100" s="464"/>
      <c r="DY100" s="464"/>
      <c r="DZ100" s="464"/>
      <c r="EA100" s="464"/>
      <c r="EB100" s="464"/>
      <c r="EC100" s="464"/>
      <c r="ED100" s="464"/>
      <c r="EE100" s="464"/>
      <c r="EF100" s="464"/>
      <c r="EG100" s="464"/>
      <c r="EH100" s="464"/>
      <c r="EI100" s="467"/>
      <c r="EJ100" s="467"/>
      <c r="EK100" s="467"/>
      <c r="EL100" s="467"/>
      <c r="EM100" s="467"/>
      <c r="EN100" s="467"/>
      <c r="EO100" s="467"/>
      <c r="EP100" s="468"/>
      <c r="EQ100" s="465"/>
      <c r="ER100" s="465"/>
      <c r="ES100" s="465"/>
      <c r="ET100" s="465"/>
      <c r="EU100" s="465"/>
      <c r="EV100" s="465"/>
      <c r="EW100" s="465"/>
      <c r="EX100" s="465"/>
      <c r="EY100" s="465"/>
      <c r="EZ100" s="465"/>
      <c r="FA100" s="465"/>
      <c r="FB100" s="465"/>
      <c r="FC100" s="465"/>
      <c r="FD100" s="465"/>
      <c r="FE100" s="465"/>
      <c r="FF100" s="465"/>
      <c r="FG100" s="465"/>
      <c r="FH100" s="465"/>
      <c r="FI100" s="465"/>
      <c r="FJ100" s="465"/>
      <c r="FK100" s="2785">
        <v>0.15</v>
      </c>
      <c r="FL100" s="2785"/>
      <c r="FM100" s="2785"/>
      <c r="FN100" s="2785"/>
      <c r="FO100" s="2785"/>
      <c r="FP100" s="2785"/>
      <c r="FQ100" s="2785"/>
      <c r="FR100" s="2785"/>
      <c r="FS100" s="2785"/>
      <c r="GA100" s="414"/>
      <c r="GB100" s="414"/>
      <c r="GI100" s="415"/>
      <c r="GJ100" s="415"/>
      <c r="GL100" s="2771"/>
      <c r="GM100" s="2771"/>
      <c r="GN100" s="2771"/>
      <c r="GO100" s="2771"/>
    </row>
    <row r="101" spans="4:249" ht="4.1500000000000004" customHeight="1">
      <c r="G101" s="414"/>
      <c r="K101" s="414"/>
      <c r="P101" s="414"/>
      <c r="R101" s="414"/>
      <c r="AU101" s="414"/>
      <c r="CU101" s="415"/>
      <c r="CW101" s="415"/>
      <c r="DA101" s="2772"/>
      <c r="DB101" s="2772"/>
      <c r="DC101" s="2772"/>
      <c r="DD101" s="2772"/>
      <c r="DI101" s="414"/>
      <c r="DM101" s="414"/>
      <c r="DS101" s="464"/>
      <c r="DT101" s="464"/>
      <c r="DU101" s="464"/>
      <c r="DV101" s="464"/>
      <c r="DW101" s="464"/>
      <c r="DX101" s="464"/>
      <c r="DY101" s="464"/>
      <c r="DZ101" s="464"/>
      <c r="EA101" s="464"/>
      <c r="EB101" s="464"/>
      <c r="EC101" s="464"/>
      <c r="ED101" s="464"/>
      <c r="EE101" s="464"/>
      <c r="EF101" s="464"/>
      <c r="EG101" s="464"/>
      <c r="EH101" s="464"/>
      <c r="EI101" s="465"/>
      <c r="EJ101" s="465"/>
      <c r="EK101" s="465"/>
      <c r="EL101" s="465"/>
      <c r="EM101" s="465"/>
      <c r="EN101" s="465"/>
      <c r="EO101" s="465"/>
      <c r="EP101" s="469"/>
      <c r="EQ101" s="465"/>
      <c r="ER101" s="465"/>
      <c r="ES101" s="465"/>
      <c r="ET101" s="465"/>
      <c r="EU101" s="465"/>
      <c r="EV101" s="465"/>
      <c r="EW101" s="465"/>
      <c r="EX101" s="465"/>
      <c r="EY101" s="465"/>
      <c r="EZ101" s="465"/>
      <c r="FA101" s="465"/>
      <c r="FB101" s="465"/>
      <c r="FC101" s="465"/>
      <c r="FD101" s="465"/>
      <c r="FE101" s="465"/>
      <c r="FF101" s="465"/>
      <c r="FG101" s="465"/>
      <c r="FH101" s="465"/>
      <c r="FI101" s="465"/>
      <c r="FJ101" s="465"/>
      <c r="FK101" s="2786"/>
      <c r="FL101" s="2786"/>
      <c r="FM101" s="2786"/>
      <c r="FN101" s="2786"/>
      <c r="FO101" s="2786"/>
      <c r="FP101" s="2786"/>
      <c r="FQ101" s="2786"/>
      <c r="FR101" s="2786"/>
      <c r="FS101" s="2786"/>
      <c r="GA101" s="414"/>
      <c r="GB101" s="414"/>
      <c r="GI101" s="415"/>
      <c r="GJ101" s="415"/>
      <c r="GL101" s="2771"/>
      <c r="GM101" s="2771"/>
      <c r="GN101" s="2771"/>
      <c r="GO101" s="2771"/>
      <c r="GQ101" s="2789" t="s">
        <v>1949</v>
      </c>
      <c r="GR101" s="2789"/>
      <c r="GS101" s="2789"/>
      <c r="GT101" s="2789"/>
      <c r="GU101" s="2789"/>
      <c r="GV101" s="2789"/>
      <c r="GW101" s="2789"/>
      <c r="GX101" s="2789"/>
      <c r="GY101" s="2789"/>
      <c r="GZ101" s="2789"/>
      <c r="HA101" s="2789"/>
      <c r="HB101" s="2789"/>
      <c r="HC101" s="2789"/>
      <c r="HD101" s="2789"/>
      <c r="HE101" s="2789"/>
      <c r="HF101" s="2789"/>
      <c r="HG101" s="2789"/>
      <c r="HH101" s="2789"/>
      <c r="HI101" s="2789"/>
      <c r="HJ101" s="2789"/>
      <c r="HK101" s="2789"/>
      <c r="HL101" s="2789"/>
      <c r="HM101" s="2789"/>
      <c r="HN101" s="2789"/>
      <c r="HO101" s="2789"/>
      <c r="HP101" s="2789"/>
      <c r="HQ101" s="2789"/>
      <c r="HR101" s="2789"/>
      <c r="HS101" s="2789"/>
      <c r="HT101" s="2789"/>
      <c r="HU101" s="2789"/>
      <c r="HV101" s="2789"/>
      <c r="HW101" s="2789"/>
      <c r="HX101" s="2789"/>
      <c r="HY101" s="2789"/>
      <c r="HZ101" s="2789"/>
      <c r="IA101" s="2789"/>
      <c r="IB101" s="2789"/>
      <c r="IC101" s="2789"/>
      <c r="ID101" s="2789"/>
      <c r="IE101" s="2789"/>
      <c r="IF101" s="2789"/>
      <c r="IG101" s="2789"/>
      <c r="IH101" s="2789"/>
      <c r="II101" s="2789"/>
      <c r="IJ101" s="2789"/>
      <c r="IK101" s="2789"/>
      <c r="IL101" s="2789"/>
      <c r="IM101" s="2789"/>
      <c r="IN101" s="2789"/>
      <c r="IO101" s="2789"/>
    </row>
    <row r="102" spans="4:249" ht="4.1500000000000004" customHeight="1">
      <c r="D102" s="2771">
        <f>I88+I108+I121</f>
        <v>4.9000000000000004</v>
      </c>
      <c r="E102" s="2772"/>
      <c r="F102" s="2772"/>
      <c r="G102" s="2772"/>
      <c r="K102" s="414"/>
      <c r="P102" s="414"/>
      <c r="R102" s="414"/>
      <c r="AU102" s="414"/>
      <c r="CU102" s="415"/>
      <c r="CW102" s="415"/>
      <c r="DA102" s="2772"/>
      <c r="DB102" s="2772"/>
      <c r="DC102" s="2772"/>
      <c r="DD102" s="2772"/>
      <c r="DI102" s="414"/>
      <c r="DM102" s="414"/>
      <c r="DS102" s="464"/>
      <c r="DT102" s="464"/>
      <c r="DU102" s="464"/>
      <c r="DV102" s="464"/>
      <c r="DW102" s="464"/>
      <c r="DX102" s="464"/>
      <c r="DY102" s="464"/>
      <c r="DZ102" s="464"/>
      <c r="EA102" s="464"/>
      <c r="EB102" s="464"/>
      <c r="EC102" s="464"/>
      <c r="ED102" s="464"/>
      <c r="EE102" s="464"/>
      <c r="EF102" s="464"/>
      <c r="EG102" s="464"/>
      <c r="EH102" s="464"/>
      <c r="EI102" s="465"/>
      <c r="EJ102" s="465"/>
      <c r="EK102" s="465"/>
      <c r="EL102" s="465"/>
      <c r="EM102" s="465"/>
      <c r="EN102" s="465"/>
      <c r="EO102" s="465"/>
      <c r="EP102" s="469"/>
      <c r="EQ102" s="465"/>
      <c r="ER102" s="465"/>
      <c r="ES102" s="465"/>
      <c r="ET102" s="465"/>
      <c r="EU102" s="465"/>
      <c r="EV102" s="465"/>
      <c r="EW102" s="465"/>
      <c r="EX102" s="465"/>
      <c r="EY102" s="465"/>
      <c r="EZ102" s="465"/>
      <c r="FA102" s="465"/>
      <c r="FB102" s="465"/>
      <c r="FC102" s="465"/>
      <c r="FD102" s="465"/>
      <c r="FE102" s="465"/>
      <c r="FF102" s="465"/>
      <c r="FG102" s="465"/>
      <c r="FH102" s="465"/>
      <c r="FI102" s="465"/>
      <c r="FJ102" s="465"/>
      <c r="FK102" s="2787"/>
      <c r="FL102" s="2787"/>
      <c r="FM102" s="2787"/>
      <c r="FN102" s="2787"/>
      <c r="FO102" s="2787"/>
      <c r="FP102" s="2787"/>
      <c r="FQ102" s="2787"/>
      <c r="FR102" s="2787"/>
      <c r="FS102" s="2787"/>
      <c r="GA102" s="414"/>
      <c r="GB102" s="414"/>
      <c r="GI102" s="415"/>
      <c r="GJ102" s="415"/>
      <c r="GL102" s="2771"/>
      <c r="GM102" s="2771"/>
      <c r="GN102" s="2771"/>
      <c r="GO102" s="2771"/>
      <c r="GQ102" s="2789"/>
      <c r="GR102" s="2789"/>
      <c r="GS102" s="2789"/>
      <c r="GT102" s="2789"/>
      <c r="GU102" s="2789"/>
      <c r="GV102" s="2789"/>
      <c r="GW102" s="2789"/>
      <c r="GX102" s="2789"/>
      <c r="GY102" s="2789"/>
      <c r="GZ102" s="2789"/>
      <c r="HA102" s="2789"/>
      <c r="HB102" s="2789"/>
      <c r="HC102" s="2789"/>
      <c r="HD102" s="2789"/>
      <c r="HE102" s="2789"/>
      <c r="HF102" s="2789"/>
      <c r="HG102" s="2789"/>
      <c r="HH102" s="2789"/>
      <c r="HI102" s="2789"/>
      <c r="HJ102" s="2789"/>
      <c r="HK102" s="2789"/>
      <c r="HL102" s="2789"/>
      <c r="HM102" s="2789"/>
      <c r="HN102" s="2789"/>
      <c r="HO102" s="2789"/>
      <c r="HP102" s="2789"/>
      <c r="HQ102" s="2789"/>
      <c r="HR102" s="2789"/>
      <c r="HS102" s="2789"/>
      <c r="HT102" s="2789"/>
      <c r="HU102" s="2789"/>
      <c r="HV102" s="2789"/>
      <c r="HW102" s="2789"/>
      <c r="HX102" s="2789"/>
      <c r="HY102" s="2789"/>
      <c r="HZ102" s="2789"/>
      <c r="IA102" s="2789"/>
      <c r="IB102" s="2789"/>
      <c r="IC102" s="2789"/>
      <c r="ID102" s="2789"/>
      <c r="IE102" s="2789"/>
      <c r="IF102" s="2789"/>
      <c r="IG102" s="2789"/>
      <c r="IH102" s="2789"/>
      <c r="II102" s="2789"/>
      <c r="IJ102" s="2789"/>
      <c r="IK102" s="2789"/>
      <c r="IL102" s="2789"/>
      <c r="IM102" s="2789"/>
      <c r="IN102" s="2789"/>
      <c r="IO102" s="2789"/>
    </row>
    <row r="103" spans="4:249" ht="4.1500000000000004" customHeight="1">
      <c r="D103" s="2772"/>
      <c r="E103" s="2772"/>
      <c r="F103" s="2772"/>
      <c r="G103" s="2772"/>
      <c r="K103" s="414"/>
      <c r="P103" s="414"/>
      <c r="R103" s="414"/>
      <c r="AU103" s="414"/>
      <c r="CU103" s="415"/>
      <c r="CW103" s="415"/>
      <c r="DC103" s="414"/>
      <c r="DG103" s="2771">
        <f>DA93+DA120</f>
        <v>4.9000000000000004</v>
      </c>
      <c r="DH103" s="2772"/>
      <c r="DI103" s="2772"/>
      <c r="DJ103" s="2772"/>
      <c r="DK103" s="2771">
        <f>DG103+CV85</f>
        <v>5.15</v>
      </c>
      <c r="DL103" s="2772"/>
      <c r="DM103" s="2772"/>
      <c r="DN103" s="2772"/>
      <c r="DS103" s="464"/>
      <c r="DT103" s="464"/>
      <c r="DU103" s="464"/>
      <c r="DV103" s="464"/>
      <c r="DW103" s="464"/>
      <c r="DX103" s="464"/>
      <c r="DY103" s="464"/>
      <c r="DZ103" s="464"/>
      <c r="EA103" s="464"/>
      <c r="EB103" s="464"/>
      <c r="EC103" s="464"/>
      <c r="ED103" s="464"/>
      <c r="EE103" s="464"/>
      <c r="EF103" s="464"/>
      <c r="EG103" s="464"/>
      <c r="EH103" s="464"/>
      <c r="EI103" s="465"/>
      <c r="EJ103" s="465"/>
      <c r="EK103" s="465"/>
      <c r="EL103" s="465"/>
      <c r="EM103" s="465"/>
      <c r="EN103" s="465"/>
      <c r="EO103" s="465"/>
      <c r="EP103" s="469"/>
      <c r="EQ103" s="470"/>
      <c r="ER103" s="467"/>
      <c r="ES103" s="467"/>
      <c r="ET103" s="467"/>
      <c r="EU103" s="467"/>
      <c r="EV103" s="467"/>
      <c r="EW103" s="468"/>
      <c r="EX103" s="465"/>
      <c r="EY103" s="465"/>
      <c r="EZ103" s="465"/>
      <c r="FA103" s="465"/>
      <c r="FB103" s="465"/>
      <c r="FC103" s="465"/>
      <c r="FD103" s="465"/>
      <c r="FE103" s="465"/>
      <c r="FF103" s="465"/>
      <c r="FG103" s="465"/>
      <c r="FH103" s="465"/>
      <c r="FI103" s="465"/>
      <c r="FJ103" s="465"/>
      <c r="FK103" s="2785">
        <f>FK100</f>
        <v>0.15</v>
      </c>
      <c r="FL103" s="2785"/>
      <c r="FM103" s="2785"/>
      <c r="FN103" s="2785"/>
      <c r="FO103" s="2785"/>
      <c r="FP103" s="2785"/>
      <c r="FQ103" s="2785"/>
      <c r="FR103" s="2785"/>
      <c r="FS103" s="2785"/>
      <c r="GA103" s="414"/>
      <c r="GB103" s="414"/>
      <c r="GI103" s="415"/>
      <c r="GJ103" s="415"/>
      <c r="GL103" s="2771"/>
      <c r="GM103" s="2771"/>
      <c r="GN103" s="2771"/>
      <c r="GO103" s="2771"/>
      <c r="GQ103" s="2789"/>
      <c r="GR103" s="2789"/>
      <c r="GS103" s="2789"/>
      <c r="GT103" s="2789"/>
      <c r="GU103" s="2789"/>
      <c r="GV103" s="2789"/>
      <c r="GW103" s="2789"/>
      <c r="GX103" s="2789"/>
      <c r="GY103" s="2789"/>
      <c r="GZ103" s="2789"/>
      <c r="HA103" s="2789"/>
      <c r="HB103" s="2789"/>
      <c r="HC103" s="2789"/>
      <c r="HD103" s="2789"/>
      <c r="HE103" s="2789"/>
      <c r="HF103" s="2789"/>
      <c r="HG103" s="2789"/>
      <c r="HH103" s="2789"/>
      <c r="HI103" s="2789"/>
      <c r="HJ103" s="2789"/>
      <c r="HK103" s="2789"/>
      <c r="HL103" s="2789"/>
      <c r="HM103" s="2789"/>
      <c r="HN103" s="2789"/>
      <c r="HO103" s="2789"/>
      <c r="HP103" s="2789"/>
      <c r="HQ103" s="2789"/>
      <c r="HR103" s="2789"/>
      <c r="HS103" s="2789"/>
      <c r="HT103" s="2789"/>
      <c r="HU103" s="2789"/>
      <c r="HV103" s="2789"/>
      <c r="HW103" s="2789"/>
      <c r="HX103" s="2789"/>
      <c r="HY103" s="2789"/>
      <c r="HZ103" s="2789"/>
      <c r="IA103" s="2789"/>
      <c r="IB103" s="2789"/>
      <c r="IC103" s="2789"/>
      <c r="ID103" s="2789"/>
      <c r="IE103" s="2789"/>
      <c r="IF103" s="2789"/>
      <c r="IG103" s="2789"/>
      <c r="IH103" s="2789"/>
      <c r="II103" s="2789"/>
      <c r="IJ103" s="2789"/>
      <c r="IK103" s="2789"/>
      <c r="IL103" s="2789"/>
      <c r="IM103" s="2789"/>
      <c r="IN103" s="2789"/>
      <c r="IO103" s="2789"/>
    </row>
    <row r="104" spans="4:249" ht="4.1500000000000004" customHeight="1">
      <c r="D104" s="2772"/>
      <c r="E104" s="2772"/>
      <c r="F104" s="2772"/>
      <c r="G104" s="2772"/>
      <c r="K104" s="414"/>
      <c r="P104" s="414"/>
      <c r="R104" s="414"/>
      <c r="AU104" s="414"/>
      <c r="CU104" s="415"/>
      <c r="CW104" s="415"/>
      <c r="DC104" s="414"/>
      <c r="DG104" s="2772"/>
      <c r="DH104" s="2772"/>
      <c r="DI104" s="2772"/>
      <c r="DJ104" s="2772"/>
      <c r="DK104" s="2772"/>
      <c r="DL104" s="2772"/>
      <c r="DM104" s="2772"/>
      <c r="DN104" s="2772"/>
      <c r="DS104" s="464"/>
      <c r="DT104" s="464"/>
      <c r="DU104" s="464"/>
      <c r="DV104" s="464"/>
      <c r="DW104" s="464"/>
      <c r="DX104" s="464"/>
      <c r="DY104" s="464"/>
      <c r="DZ104" s="464"/>
      <c r="EA104" s="464"/>
      <c r="EB104" s="464"/>
      <c r="EC104" s="464"/>
      <c r="ED104" s="464"/>
      <c r="EE104" s="464"/>
      <c r="EF104" s="464"/>
      <c r="EG104" s="464"/>
      <c r="EH104" s="464"/>
      <c r="EI104" s="465"/>
      <c r="EJ104" s="465"/>
      <c r="EK104" s="465"/>
      <c r="EL104" s="465"/>
      <c r="EM104" s="465"/>
      <c r="EN104" s="465"/>
      <c r="EO104" s="465"/>
      <c r="EP104" s="469"/>
      <c r="EQ104" s="471"/>
      <c r="ER104" s="465"/>
      <c r="ES104" s="465"/>
      <c r="ET104" s="465"/>
      <c r="EU104" s="465"/>
      <c r="EV104" s="465"/>
      <c r="EW104" s="469"/>
      <c r="EX104" s="465"/>
      <c r="EY104" s="465"/>
      <c r="EZ104" s="465"/>
      <c r="FA104" s="465"/>
      <c r="FB104" s="465"/>
      <c r="FC104" s="465"/>
      <c r="FD104" s="465"/>
      <c r="FE104" s="465"/>
      <c r="FF104" s="465"/>
      <c r="FG104" s="465"/>
      <c r="FH104" s="465"/>
      <c r="FI104" s="465"/>
      <c r="FJ104" s="465"/>
      <c r="FK104" s="2786"/>
      <c r="FL104" s="2786"/>
      <c r="FM104" s="2786"/>
      <c r="FN104" s="2786"/>
      <c r="FO104" s="2786"/>
      <c r="FP104" s="2786"/>
      <c r="FQ104" s="2786"/>
      <c r="FR104" s="2786"/>
      <c r="FS104" s="2786"/>
      <c r="GA104" s="414"/>
      <c r="GB104" s="416"/>
      <c r="GC104" s="417"/>
      <c r="GD104" s="417"/>
      <c r="GE104" s="417"/>
      <c r="GF104" s="417"/>
      <c r="GG104" s="417"/>
      <c r="GH104" s="417"/>
      <c r="GI104" s="418"/>
      <c r="GJ104" s="415"/>
      <c r="GL104" s="2771"/>
      <c r="GM104" s="2771"/>
      <c r="GN104" s="2771"/>
      <c r="GO104" s="2771"/>
      <c r="GQ104" s="2789"/>
      <c r="GR104" s="2789"/>
      <c r="GS104" s="2789"/>
      <c r="GT104" s="2789"/>
      <c r="GU104" s="2789"/>
      <c r="GV104" s="2789"/>
      <c r="GW104" s="2789"/>
      <c r="GX104" s="2789"/>
      <c r="GY104" s="2789"/>
      <c r="GZ104" s="2789"/>
      <c r="HA104" s="2789"/>
      <c r="HB104" s="2789"/>
      <c r="HC104" s="2789"/>
      <c r="HD104" s="2789"/>
      <c r="HE104" s="2789"/>
      <c r="HF104" s="2789"/>
      <c r="HG104" s="2789"/>
      <c r="HH104" s="2789"/>
      <c r="HI104" s="2789"/>
      <c r="HJ104" s="2789"/>
      <c r="HK104" s="2789"/>
      <c r="HL104" s="2789"/>
      <c r="HM104" s="2789"/>
      <c r="HN104" s="2789"/>
      <c r="HO104" s="2789"/>
      <c r="HP104" s="2789"/>
      <c r="HQ104" s="2789"/>
      <c r="HR104" s="2789"/>
      <c r="HS104" s="2789"/>
      <c r="HT104" s="2789"/>
      <c r="HU104" s="2789"/>
      <c r="HV104" s="2789"/>
      <c r="HW104" s="2789"/>
      <c r="HX104" s="2789"/>
      <c r="HY104" s="2789"/>
      <c r="HZ104" s="2789"/>
      <c r="IA104" s="2789"/>
      <c r="IB104" s="2789"/>
      <c r="IC104" s="2789"/>
      <c r="ID104" s="2789"/>
      <c r="IE104" s="2789"/>
      <c r="IF104" s="2789"/>
      <c r="IG104" s="2789"/>
      <c r="IH104" s="2789"/>
      <c r="II104" s="2789"/>
      <c r="IJ104" s="2789"/>
      <c r="IK104" s="2789"/>
      <c r="IL104" s="2789"/>
      <c r="IM104" s="2789"/>
      <c r="IN104" s="2789"/>
      <c r="IO104" s="2789"/>
    </row>
    <row r="105" spans="4:249" ht="4.1500000000000004" customHeight="1">
      <c r="D105" s="2772"/>
      <c r="E105" s="2772"/>
      <c r="F105" s="2772"/>
      <c r="G105" s="2772"/>
      <c r="K105" s="414"/>
      <c r="P105" s="414"/>
      <c r="R105" s="414"/>
      <c r="AB105" s="417"/>
      <c r="AC105" s="417"/>
      <c r="AD105" s="417"/>
      <c r="AE105" s="417"/>
      <c r="AF105" s="417"/>
      <c r="AG105" s="417"/>
      <c r="AH105" s="417"/>
      <c r="AI105" s="417"/>
      <c r="AJ105" s="417"/>
      <c r="AK105" s="417"/>
      <c r="AL105" s="417"/>
      <c r="AM105" s="417"/>
      <c r="AN105" s="417"/>
      <c r="AO105" s="417"/>
      <c r="AP105" s="417"/>
      <c r="AQ105" s="417"/>
      <c r="AR105" s="417"/>
      <c r="AS105" s="417"/>
      <c r="AT105" s="417"/>
      <c r="AU105" s="416"/>
      <c r="CU105" s="415"/>
      <c r="CW105" s="415"/>
      <c r="DC105" s="414"/>
      <c r="DG105" s="2772"/>
      <c r="DH105" s="2772"/>
      <c r="DI105" s="2772"/>
      <c r="DJ105" s="2772"/>
      <c r="DK105" s="2772"/>
      <c r="DL105" s="2772"/>
      <c r="DM105" s="2772"/>
      <c r="DN105" s="2772"/>
      <c r="DS105" s="464"/>
      <c r="DT105" s="464"/>
      <c r="DU105" s="464"/>
      <c r="DV105" s="464"/>
      <c r="DW105" s="464"/>
      <c r="DX105" s="464"/>
      <c r="DY105" s="464"/>
      <c r="DZ105" s="464"/>
      <c r="EA105" s="464"/>
      <c r="EB105" s="464"/>
      <c r="EC105" s="464"/>
      <c r="ED105" s="464"/>
      <c r="EE105" s="464"/>
      <c r="EF105" s="464"/>
      <c r="EG105" s="464"/>
      <c r="EH105" s="464"/>
      <c r="EI105" s="465"/>
      <c r="EJ105" s="465"/>
      <c r="EK105" s="465"/>
      <c r="EL105" s="465"/>
      <c r="EM105" s="465"/>
      <c r="EN105" s="465"/>
      <c r="EO105" s="465"/>
      <c r="EP105" s="469"/>
      <c r="EQ105" s="471"/>
      <c r="ER105" s="465"/>
      <c r="ES105" s="465"/>
      <c r="ET105" s="465"/>
      <c r="EU105" s="465"/>
      <c r="EV105" s="465"/>
      <c r="EW105" s="469"/>
      <c r="EX105" s="465"/>
      <c r="EY105" s="465"/>
      <c r="EZ105" s="465"/>
      <c r="FA105" s="465"/>
      <c r="FB105" s="465"/>
      <c r="FC105" s="465"/>
      <c r="FD105" s="465"/>
      <c r="FE105" s="465"/>
      <c r="FF105" s="465"/>
      <c r="FG105" s="465"/>
      <c r="FH105" s="465"/>
      <c r="FI105" s="465"/>
      <c r="FJ105" s="465"/>
      <c r="FK105" s="2787"/>
      <c r="FL105" s="2787"/>
      <c r="FM105" s="2787"/>
      <c r="FN105" s="2787"/>
      <c r="FO105" s="2787"/>
      <c r="FP105" s="2787"/>
      <c r="FQ105" s="2787"/>
      <c r="FR105" s="2787"/>
      <c r="FS105" s="2787"/>
      <c r="GA105" s="416"/>
      <c r="GB105" s="417"/>
      <c r="GC105" s="417"/>
      <c r="GD105" s="417"/>
      <c r="GE105" s="417"/>
      <c r="GF105" s="417"/>
      <c r="GG105" s="417"/>
      <c r="GH105" s="417"/>
      <c r="GI105" s="417"/>
      <c r="GJ105" s="418"/>
      <c r="GL105" s="417"/>
      <c r="GM105" s="417"/>
      <c r="GN105" s="417"/>
      <c r="GO105" s="417"/>
      <c r="GQ105" s="2779" t="s">
        <v>291</v>
      </c>
      <c r="GR105" s="2779"/>
      <c r="GS105" s="2779"/>
      <c r="GT105" s="2779"/>
      <c r="GU105" s="2779"/>
      <c r="GV105" s="2779"/>
      <c r="GW105" s="2779"/>
      <c r="GX105" s="2779"/>
      <c r="GY105" s="2779"/>
      <c r="GZ105" s="2779"/>
      <c r="HA105" s="2779"/>
      <c r="HB105" s="2779"/>
      <c r="HC105" s="2780">
        <v>1</v>
      </c>
      <c r="HD105" s="2780"/>
      <c r="HE105" s="2780"/>
      <c r="HF105" s="2780"/>
      <c r="HG105" s="2780"/>
      <c r="HH105" s="2780"/>
      <c r="HI105" s="2780"/>
      <c r="HJ105" s="2780"/>
      <c r="HK105" s="2780"/>
      <c r="HL105" s="2780"/>
      <c r="HM105" s="2780"/>
      <c r="HN105" s="2779" t="s">
        <v>901</v>
      </c>
      <c r="HO105" s="2779"/>
      <c r="HP105" s="2779"/>
      <c r="HQ105" s="2779"/>
      <c r="HR105" s="2781">
        <v>1.05</v>
      </c>
      <c r="HS105" s="2781"/>
      <c r="HT105" s="2781"/>
      <c r="HU105" s="2781"/>
      <c r="HV105" s="2781"/>
      <c r="HW105" s="2781"/>
      <c r="HX105" s="2781"/>
      <c r="HY105" s="2781"/>
      <c r="HZ105" s="2781"/>
      <c r="IA105" s="2781"/>
      <c r="IB105" s="2781"/>
      <c r="IC105" s="2779" t="s">
        <v>901</v>
      </c>
      <c r="ID105" s="2779"/>
      <c r="IE105" s="2779"/>
      <c r="IF105" s="2779"/>
      <c r="IG105" s="2781">
        <v>2.1</v>
      </c>
      <c r="IH105" s="2781"/>
      <c r="II105" s="2781"/>
      <c r="IJ105" s="2781"/>
      <c r="IK105" s="2781"/>
      <c r="IL105" s="2781"/>
      <c r="IM105" s="2781"/>
      <c r="IN105" s="2781"/>
      <c r="IO105" s="2781"/>
    </row>
    <row r="106" spans="4:249" ht="4.1500000000000004" customHeight="1">
      <c r="D106" s="2772"/>
      <c r="E106" s="2772"/>
      <c r="F106" s="2772"/>
      <c r="G106" s="2772"/>
      <c r="K106" s="414"/>
      <c r="P106" s="453"/>
      <c r="Q106" s="454"/>
      <c r="R106" s="416"/>
      <c r="S106" s="417"/>
      <c r="T106" s="417"/>
      <c r="U106" s="417"/>
      <c r="V106" s="417"/>
      <c r="W106" s="417"/>
      <c r="X106" s="417"/>
      <c r="Y106" s="417"/>
      <c r="Z106" s="417"/>
      <c r="AA106" s="418"/>
      <c r="AS106" s="412"/>
      <c r="AU106" s="415"/>
      <c r="CU106" s="415"/>
      <c r="CW106" s="415"/>
      <c r="DC106" s="414"/>
      <c r="DG106" s="2772"/>
      <c r="DH106" s="2772"/>
      <c r="DI106" s="2772"/>
      <c r="DJ106" s="2772"/>
      <c r="DK106" s="2772"/>
      <c r="DL106" s="2772"/>
      <c r="DM106" s="2772"/>
      <c r="DN106" s="2772"/>
      <c r="DS106" s="464"/>
      <c r="DT106" s="464"/>
      <c r="DU106" s="464"/>
      <c r="DV106" s="464"/>
      <c r="DW106" s="464"/>
      <c r="DX106" s="464"/>
      <c r="DY106" s="464"/>
      <c r="DZ106" s="464"/>
      <c r="EA106" s="464"/>
      <c r="EB106" s="464"/>
      <c r="EC106" s="464"/>
      <c r="ED106" s="2783" t="s">
        <v>2980</v>
      </c>
      <c r="EE106" s="2783"/>
      <c r="EF106" s="2783"/>
      <c r="EG106" s="2783"/>
      <c r="EH106" s="2783"/>
      <c r="EI106" s="2783"/>
      <c r="EJ106" s="465"/>
      <c r="EK106" s="465"/>
      <c r="EL106" s="465"/>
      <c r="EM106" s="465"/>
      <c r="EN106" s="465"/>
      <c r="EO106" s="465"/>
      <c r="EP106" s="465"/>
      <c r="EQ106" s="471"/>
      <c r="ER106" s="465"/>
      <c r="ES106" s="465"/>
      <c r="ET106" s="465"/>
      <c r="EU106" s="465"/>
      <c r="EV106" s="465"/>
      <c r="EW106" s="465"/>
      <c r="EX106" s="467"/>
      <c r="EY106" s="467"/>
      <c r="EZ106" s="467"/>
      <c r="FA106" s="467"/>
      <c r="FB106" s="467"/>
      <c r="FC106" s="467"/>
      <c r="FD106" s="468"/>
      <c r="FE106" s="465"/>
      <c r="FF106" s="465"/>
      <c r="FG106" s="465"/>
      <c r="FH106" s="465"/>
      <c r="FI106" s="465"/>
      <c r="FJ106" s="465"/>
      <c r="FK106" s="2785">
        <f>FK103</f>
        <v>0.15</v>
      </c>
      <c r="FL106" s="2785"/>
      <c r="FM106" s="2785"/>
      <c r="FN106" s="2785"/>
      <c r="FO106" s="2785"/>
      <c r="FP106" s="2785"/>
      <c r="FQ106" s="2785"/>
      <c r="FR106" s="2785"/>
      <c r="FS106" s="2785"/>
      <c r="GQ106" s="2779"/>
      <c r="GR106" s="2779"/>
      <c r="GS106" s="2779"/>
      <c r="GT106" s="2779"/>
      <c r="GU106" s="2779"/>
      <c r="GV106" s="2779"/>
      <c r="GW106" s="2779"/>
      <c r="GX106" s="2779"/>
      <c r="GY106" s="2779"/>
      <c r="GZ106" s="2779"/>
      <c r="HA106" s="2779"/>
      <c r="HB106" s="2779"/>
      <c r="HC106" s="2780"/>
      <c r="HD106" s="2780"/>
      <c r="HE106" s="2780"/>
      <c r="HF106" s="2780"/>
      <c r="HG106" s="2780"/>
      <c r="HH106" s="2780"/>
      <c r="HI106" s="2780"/>
      <c r="HJ106" s="2780"/>
      <c r="HK106" s="2780"/>
      <c r="HL106" s="2780"/>
      <c r="HM106" s="2780"/>
      <c r="HN106" s="2779"/>
      <c r="HO106" s="2779"/>
      <c r="HP106" s="2779"/>
      <c r="HQ106" s="2779"/>
      <c r="HR106" s="2781"/>
      <c r="HS106" s="2781"/>
      <c r="HT106" s="2781"/>
      <c r="HU106" s="2781"/>
      <c r="HV106" s="2781"/>
      <c r="HW106" s="2781"/>
      <c r="HX106" s="2781"/>
      <c r="HY106" s="2781"/>
      <c r="HZ106" s="2781"/>
      <c r="IA106" s="2781"/>
      <c r="IB106" s="2781"/>
      <c r="IC106" s="2779"/>
      <c r="ID106" s="2779"/>
      <c r="IE106" s="2779"/>
      <c r="IF106" s="2779"/>
      <c r="IG106" s="2781"/>
      <c r="IH106" s="2781"/>
      <c r="II106" s="2781"/>
      <c r="IJ106" s="2781"/>
      <c r="IK106" s="2781"/>
      <c r="IL106" s="2781"/>
      <c r="IM106" s="2781"/>
      <c r="IN106" s="2781"/>
      <c r="IO106" s="2781"/>
    </row>
    <row r="107" spans="4:249" ht="4.1500000000000004" customHeight="1">
      <c r="D107" s="2772"/>
      <c r="E107" s="2772"/>
      <c r="F107" s="2772"/>
      <c r="G107" s="2772"/>
      <c r="I107" s="412"/>
      <c r="J107" s="412"/>
      <c r="K107" s="411"/>
      <c r="L107" s="412"/>
      <c r="P107" s="454"/>
      <c r="Q107" s="454"/>
      <c r="R107" s="414"/>
      <c r="AA107" s="415"/>
      <c r="AS107" s="417"/>
      <c r="AU107" s="415"/>
      <c r="CU107" s="415"/>
      <c r="CW107" s="415"/>
      <c r="DC107" s="414"/>
      <c r="DG107" s="2772"/>
      <c r="DH107" s="2772"/>
      <c r="DI107" s="2772"/>
      <c r="DJ107" s="2772"/>
      <c r="DK107" s="2772"/>
      <c r="DL107" s="2772"/>
      <c r="DM107" s="2772"/>
      <c r="DN107" s="2772"/>
      <c r="DS107" s="464"/>
      <c r="DT107" s="464"/>
      <c r="DU107" s="464"/>
      <c r="DV107" s="464"/>
      <c r="DW107" s="464"/>
      <c r="DX107" s="464"/>
      <c r="DY107" s="464"/>
      <c r="DZ107" s="464"/>
      <c r="EA107" s="464"/>
      <c r="EB107" s="464"/>
      <c r="EC107" s="464"/>
      <c r="ED107" s="2783"/>
      <c r="EE107" s="2783"/>
      <c r="EF107" s="2783"/>
      <c r="EG107" s="2783"/>
      <c r="EH107" s="2783"/>
      <c r="EI107" s="2783"/>
      <c r="EJ107" s="465"/>
      <c r="EK107" s="465"/>
      <c r="EL107" s="465"/>
      <c r="EM107" s="465"/>
      <c r="EN107" s="465"/>
      <c r="EO107" s="465"/>
      <c r="EP107" s="469"/>
      <c r="EQ107" s="465"/>
      <c r="ER107" s="465"/>
      <c r="ES107" s="465"/>
      <c r="ET107" s="465"/>
      <c r="EU107" s="465"/>
      <c r="EV107" s="465"/>
      <c r="EW107" s="465"/>
      <c r="EX107" s="465"/>
      <c r="EY107" s="465"/>
      <c r="EZ107" s="465"/>
      <c r="FA107" s="465"/>
      <c r="FB107" s="465"/>
      <c r="FC107" s="465"/>
      <c r="FD107" s="469"/>
      <c r="FE107" s="465"/>
      <c r="FF107" s="465"/>
      <c r="FG107" s="465"/>
      <c r="FH107" s="465"/>
      <c r="FI107" s="465"/>
      <c r="FJ107" s="465"/>
      <c r="FK107" s="2786"/>
      <c r="FL107" s="2786"/>
      <c r="FM107" s="2786"/>
      <c r="FN107" s="2786"/>
      <c r="FO107" s="2786"/>
      <c r="FP107" s="2786"/>
      <c r="FQ107" s="2786"/>
      <c r="FR107" s="2786"/>
      <c r="FS107" s="2786"/>
      <c r="GQ107" s="2779"/>
      <c r="GR107" s="2779"/>
      <c r="GS107" s="2779"/>
      <c r="GT107" s="2779"/>
      <c r="GU107" s="2779"/>
      <c r="GV107" s="2779"/>
      <c r="GW107" s="2779"/>
      <c r="GX107" s="2779"/>
      <c r="GY107" s="2779"/>
      <c r="GZ107" s="2779"/>
      <c r="HA107" s="2779"/>
      <c r="HB107" s="2779"/>
      <c r="HC107" s="2780"/>
      <c r="HD107" s="2780"/>
      <c r="HE107" s="2780"/>
      <c r="HF107" s="2780"/>
      <c r="HG107" s="2780"/>
      <c r="HH107" s="2780"/>
      <c r="HI107" s="2780"/>
      <c r="HJ107" s="2780"/>
      <c r="HK107" s="2780"/>
      <c r="HL107" s="2780"/>
      <c r="HM107" s="2780"/>
      <c r="HN107" s="2779"/>
      <c r="HO107" s="2779"/>
      <c r="HP107" s="2779"/>
      <c r="HQ107" s="2779"/>
      <c r="HR107" s="2781"/>
      <c r="HS107" s="2781"/>
      <c r="HT107" s="2781"/>
      <c r="HU107" s="2781"/>
      <c r="HV107" s="2781"/>
      <c r="HW107" s="2781"/>
      <c r="HX107" s="2781"/>
      <c r="HY107" s="2781"/>
      <c r="HZ107" s="2781"/>
      <c r="IA107" s="2781"/>
      <c r="IB107" s="2781"/>
      <c r="IC107" s="2779"/>
      <c r="ID107" s="2779"/>
      <c r="IE107" s="2779"/>
      <c r="IF107" s="2779"/>
      <c r="IG107" s="2781"/>
      <c r="IH107" s="2781"/>
      <c r="II107" s="2781"/>
      <c r="IJ107" s="2781"/>
      <c r="IK107" s="2781"/>
      <c r="IL107" s="2781"/>
      <c r="IM107" s="2781"/>
      <c r="IN107" s="2781"/>
      <c r="IO107" s="2781"/>
    </row>
    <row r="108" spans="4:249" ht="4.1500000000000004" customHeight="1">
      <c r="D108" s="2772"/>
      <c r="E108" s="2772"/>
      <c r="F108" s="2772"/>
      <c r="G108" s="2772"/>
      <c r="I108" s="2771">
        <f>I88-I121</f>
        <v>0.85000000000000009</v>
      </c>
      <c r="J108" s="2772"/>
      <c r="K108" s="2772"/>
      <c r="L108" s="2772"/>
      <c r="P108" s="414"/>
      <c r="R108" s="414"/>
      <c r="AB108" s="412"/>
      <c r="AC108" s="412"/>
      <c r="AD108" s="412"/>
      <c r="AE108" s="412"/>
      <c r="AF108" s="412"/>
      <c r="AG108" s="412"/>
      <c r="AH108" s="412"/>
      <c r="AI108" s="412"/>
      <c r="AJ108" s="412"/>
      <c r="AK108" s="412"/>
      <c r="AL108" s="412"/>
      <c r="AM108" s="412"/>
      <c r="AN108" s="412"/>
      <c r="AO108" s="412"/>
      <c r="AP108" s="412"/>
      <c r="AQ108" s="412"/>
      <c r="AR108" s="412"/>
      <c r="AS108" s="412"/>
      <c r="AT108" s="414"/>
      <c r="AU108" s="415"/>
      <c r="CU108" s="415"/>
      <c r="CW108" s="415"/>
      <c r="DC108" s="414"/>
      <c r="DG108" s="2772"/>
      <c r="DH108" s="2772"/>
      <c r="DI108" s="2772"/>
      <c r="DJ108" s="2772"/>
      <c r="DK108" s="2772"/>
      <c r="DL108" s="2772"/>
      <c r="DM108" s="2772"/>
      <c r="DN108" s="2772"/>
      <c r="DS108" s="464"/>
      <c r="DT108" s="464"/>
      <c r="DU108" s="464"/>
      <c r="DV108" s="464"/>
      <c r="DW108" s="464"/>
      <c r="DX108" s="464"/>
      <c r="DY108" s="464"/>
      <c r="DZ108" s="464"/>
      <c r="EA108" s="464"/>
      <c r="EB108" s="464"/>
      <c r="EC108" s="464"/>
      <c r="ED108" s="2784"/>
      <c r="EE108" s="2784"/>
      <c r="EF108" s="2784"/>
      <c r="EG108" s="2784"/>
      <c r="EH108" s="2784"/>
      <c r="EI108" s="2784"/>
      <c r="EJ108" s="472"/>
      <c r="EK108" s="472"/>
      <c r="EL108" s="472"/>
      <c r="EM108" s="472"/>
      <c r="EN108" s="472"/>
      <c r="EO108" s="472"/>
      <c r="EP108" s="473"/>
      <c r="EQ108" s="465"/>
      <c r="ER108" s="465"/>
      <c r="ES108" s="465"/>
      <c r="ET108" s="465"/>
      <c r="EU108" s="465"/>
      <c r="EV108" s="465"/>
      <c r="EW108" s="465"/>
      <c r="EX108" s="465"/>
      <c r="EY108" s="465"/>
      <c r="EZ108" s="465"/>
      <c r="FA108" s="465"/>
      <c r="FB108" s="465"/>
      <c r="FC108" s="465"/>
      <c r="FD108" s="469"/>
      <c r="FE108" s="465"/>
      <c r="FF108" s="465"/>
      <c r="FG108" s="465"/>
      <c r="FH108" s="465"/>
      <c r="FI108" s="465"/>
      <c r="FJ108" s="465"/>
      <c r="FK108" s="2786"/>
      <c r="FL108" s="2787"/>
      <c r="FM108" s="2787"/>
      <c r="FN108" s="2787"/>
      <c r="FO108" s="2787"/>
      <c r="FP108" s="2787"/>
      <c r="FQ108" s="2787"/>
      <c r="FR108" s="2787"/>
      <c r="FS108" s="2787"/>
      <c r="GA108" s="2788">
        <f>CV85</f>
        <v>0.25</v>
      </c>
      <c r="GB108" s="2579"/>
      <c r="GC108" s="2579"/>
      <c r="GD108" s="2579"/>
      <c r="GE108" s="2579"/>
      <c r="GF108" s="2579"/>
      <c r="GG108" s="2579"/>
      <c r="GH108" s="2579"/>
      <c r="GI108" s="2579"/>
      <c r="GJ108" s="2669"/>
      <c r="GQ108" s="2779" t="s">
        <v>1950</v>
      </c>
      <c r="GR108" s="2779"/>
      <c r="GS108" s="2779"/>
      <c r="GT108" s="2779"/>
      <c r="GU108" s="2779"/>
      <c r="GV108" s="2779"/>
      <c r="GW108" s="2779"/>
      <c r="GX108" s="2779"/>
      <c r="GY108" s="2779"/>
      <c r="GZ108" s="2779"/>
      <c r="HA108" s="2779"/>
      <c r="HB108" s="2779"/>
      <c r="HC108" s="2780">
        <v>1</v>
      </c>
      <c r="HD108" s="2780"/>
      <c r="HE108" s="2780"/>
      <c r="HF108" s="2780"/>
      <c r="HG108" s="2780"/>
      <c r="HH108" s="2780"/>
      <c r="HI108" s="2780"/>
      <c r="HJ108" s="2780"/>
      <c r="HK108" s="2780"/>
      <c r="HL108" s="2780"/>
      <c r="HM108" s="2780"/>
      <c r="HN108" s="2779" t="s">
        <v>901</v>
      </c>
      <c r="HO108" s="2779"/>
      <c r="HP108" s="2779"/>
      <c r="HQ108" s="2779"/>
      <c r="HR108" s="2781">
        <v>0.9</v>
      </c>
      <c r="HS108" s="2781"/>
      <c r="HT108" s="2781"/>
      <c r="HU108" s="2781"/>
      <c r="HV108" s="2781"/>
      <c r="HW108" s="2781"/>
      <c r="HX108" s="2781"/>
      <c r="HY108" s="2781"/>
      <c r="HZ108" s="2781"/>
      <c r="IA108" s="2781"/>
      <c r="IB108" s="2781"/>
      <c r="IC108" s="2779" t="s">
        <v>901</v>
      </c>
      <c r="ID108" s="2779"/>
      <c r="IE108" s="2779"/>
      <c r="IF108" s="2779"/>
      <c r="IG108" s="2781">
        <v>2.1</v>
      </c>
      <c r="IH108" s="2781"/>
      <c r="II108" s="2781"/>
      <c r="IJ108" s="2781"/>
      <c r="IK108" s="2781"/>
      <c r="IL108" s="2781"/>
      <c r="IM108" s="2781"/>
      <c r="IN108" s="2781"/>
      <c r="IO108" s="2781"/>
    </row>
    <row r="109" spans="4:249" ht="4.1500000000000004" customHeight="1">
      <c r="D109" s="2772"/>
      <c r="E109" s="2772"/>
      <c r="F109" s="2772"/>
      <c r="G109" s="2772"/>
      <c r="I109" s="2772"/>
      <c r="J109" s="2772"/>
      <c r="K109" s="2772"/>
      <c r="L109" s="2772"/>
      <c r="P109" s="414"/>
      <c r="R109" s="414"/>
      <c r="AT109" s="414"/>
      <c r="AU109" s="415"/>
      <c r="CP109" s="1392"/>
      <c r="CU109" s="415"/>
      <c r="CW109" s="415"/>
      <c r="DC109" s="414"/>
      <c r="DG109" s="2772"/>
      <c r="DH109" s="2772"/>
      <c r="DI109" s="2772"/>
      <c r="DJ109" s="2772"/>
      <c r="DK109" s="2772"/>
      <c r="DL109" s="2772"/>
      <c r="DM109" s="2772"/>
      <c r="DN109" s="2772"/>
      <c r="DS109" s="464"/>
      <c r="DT109" s="464"/>
      <c r="DU109" s="464"/>
      <c r="DV109" s="464"/>
      <c r="DW109" s="464"/>
      <c r="DX109" s="464"/>
      <c r="DY109" s="464"/>
      <c r="DZ109" s="464"/>
      <c r="EA109" s="464"/>
      <c r="EB109" s="464"/>
      <c r="EC109" s="464"/>
      <c r="ED109" s="2785">
        <f>FL109+FL111</f>
        <v>0.3</v>
      </c>
      <c r="EE109" s="2785"/>
      <c r="EF109" s="2785"/>
      <c r="EG109" s="2785"/>
      <c r="EH109" s="2785"/>
      <c r="EI109" s="2785"/>
      <c r="EJ109" s="2785"/>
      <c r="EK109" s="2785"/>
      <c r="EL109" s="2785"/>
      <c r="EM109" s="2785"/>
      <c r="EN109" s="2785"/>
      <c r="EO109" s="465"/>
      <c r="EP109" s="469"/>
      <c r="EQ109" s="470"/>
      <c r="ER109" s="467"/>
      <c r="ES109" s="467"/>
      <c r="ET109" s="467"/>
      <c r="EU109" s="467"/>
      <c r="EV109" s="467"/>
      <c r="EW109" s="467"/>
      <c r="EX109" s="467"/>
      <c r="EY109" s="467"/>
      <c r="EZ109" s="467"/>
      <c r="FA109" s="467"/>
      <c r="FB109" s="467"/>
      <c r="FC109" s="467"/>
      <c r="FD109" s="467"/>
      <c r="FE109" s="467"/>
      <c r="FF109" s="467"/>
      <c r="FG109" s="467"/>
      <c r="FH109" s="467"/>
      <c r="FI109" s="467"/>
      <c r="FJ109" s="467"/>
      <c r="FK109" s="468"/>
      <c r="FL109" s="2792">
        <v>0.15</v>
      </c>
      <c r="FM109" s="2793"/>
      <c r="FN109" s="2793"/>
      <c r="FO109" s="2793"/>
      <c r="FP109" s="2793"/>
      <c r="FQ109" s="2793"/>
      <c r="FR109" s="2793"/>
      <c r="FS109" s="2793"/>
      <c r="GA109" s="2670"/>
      <c r="GB109" s="2579"/>
      <c r="GC109" s="2579"/>
      <c r="GD109" s="2579"/>
      <c r="GE109" s="2579"/>
      <c r="GF109" s="2579"/>
      <c r="GG109" s="2579"/>
      <c r="GH109" s="2579"/>
      <c r="GI109" s="2579"/>
      <c r="GJ109" s="2669"/>
      <c r="GQ109" s="2779"/>
      <c r="GR109" s="2779"/>
      <c r="GS109" s="2779"/>
      <c r="GT109" s="2779"/>
      <c r="GU109" s="2779"/>
      <c r="GV109" s="2779"/>
      <c r="GW109" s="2779"/>
      <c r="GX109" s="2779"/>
      <c r="GY109" s="2779"/>
      <c r="GZ109" s="2779"/>
      <c r="HA109" s="2779"/>
      <c r="HB109" s="2779"/>
      <c r="HC109" s="2780"/>
      <c r="HD109" s="2780"/>
      <c r="HE109" s="2780"/>
      <c r="HF109" s="2780"/>
      <c r="HG109" s="2780"/>
      <c r="HH109" s="2780"/>
      <c r="HI109" s="2780"/>
      <c r="HJ109" s="2780"/>
      <c r="HK109" s="2780"/>
      <c r="HL109" s="2780"/>
      <c r="HM109" s="2780"/>
      <c r="HN109" s="2779"/>
      <c r="HO109" s="2779"/>
      <c r="HP109" s="2779"/>
      <c r="HQ109" s="2779"/>
      <c r="HR109" s="2781"/>
      <c r="HS109" s="2781"/>
      <c r="HT109" s="2781"/>
      <c r="HU109" s="2781"/>
      <c r="HV109" s="2781"/>
      <c r="HW109" s="2781"/>
      <c r="HX109" s="2781"/>
      <c r="HY109" s="2781"/>
      <c r="HZ109" s="2781"/>
      <c r="IA109" s="2781"/>
      <c r="IB109" s="2781"/>
      <c r="IC109" s="2779"/>
      <c r="ID109" s="2779"/>
      <c r="IE109" s="2779"/>
      <c r="IF109" s="2779"/>
      <c r="IG109" s="2781"/>
      <c r="IH109" s="2781"/>
      <c r="II109" s="2781"/>
      <c r="IJ109" s="2781"/>
      <c r="IK109" s="2781"/>
      <c r="IL109" s="2781"/>
      <c r="IM109" s="2781"/>
      <c r="IN109" s="2781"/>
      <c r="IO109" s="2781"/>
    </row>
    <row r="110" spans="4:249" ht="4.1500000000000004" customHeight="1">
      <c r="D110" s="2772"/>
      <c r="E110" s="2772"/>
      <c r="F110" s="2772"/>
      <c r="G110" s="2772"/>
      <c r="I110" s="2772"/>
      <c r="J110" s="2772"/>
      <c r="K110" s="2772"/>
      <c r="L110" s="2772"/>
      <c r="P110" s="414"/>
      <c r="R110" s="414"/>
      <c r="AT110" s="414"/>
      <c r="AU110" s="415"/>
      <c r="CU110" s="415"/>
      <c r="CW110" s="415"/>
      <c r="DC110" s="414"/>
      <c r="DG110" s="2772"/>
      <c r="DH110" s="2772"/>
      <c r="DI110" s="2772"/>
      <c r="DJ110" s="2772"/>
      <c r="DK110" s="2772"/>
      <c r="DL110" s="2772"/>
      <c r="DM110" s="2772"/>
      <c r="DN110" s="2772"/>
      <c r="DS110" s="464"/>
      <c r="DT110" s="464"/>
      <c r="DU110" s="464"/>
      <c r="DV110" s="464"/>
      <c r="DW110" s="464"/>
      <c r="DX110" s="464"/>
      <c r="DY110" s="464"/>
      <c r="DZ110" s="464"/>
      <c r="EA110" s="464"/>
      <c r="EB110" s="464"/>
      <c r="EC110" s="464"/>
      <c r="ED110" s="2786"/>
      <c r="EE110" s="2786"/>
      <c r="EF110" s="2786"/>
      <c r="EG110" s="2786"/>
      <c r="EH110" s="2786"/>
      <c r="EI110" s="2786"/>
      <c r="EJ110" s="2786"/>
      <c r="EK110" s="2786"/>
      <c r="EL110" s="2786"/>
      <c r="EM110" s="2786"/>
      <c r="EN110" s="2786"/>
      <c r="EO110" s="465"/>
      <c r="EP110" s="469"/>
      <c r="EQ110" s="474"/>
      <c r="ER110" s="472"/>
      <c r="ES110" s="472"/>
      <c r="ET110" s="472"/>
      <c r="EU110" s="472"/>
      <c r="EV110" s="472"/>
      <c r="EW110" s="472"/>
      <c r="EX110" s="472"/>
      <c r="EY110" s="472"/>
      <c r="EZ110" s="472"/>
      <c r="FA110" s="472"/>
      <c r="FB110" s="472"/>
      <c r="FC110" s="472"/>
      <c r="FD110" s="472"/>
      <c r="FE110" s="472"/>
      <c r="FF110" s="472"/>
      <c r="FG110" s="472"/>
      <c r="FH110" s="472"/>
      <c r="FI110" s="472"/>
      <c r="FJ110" s="472"/>
      <c r="FK110" s="473"/>
      <c r="FL110" s="2794"/>
      <c r="FM110" s="2795"/>
      <c r="FN110" s="2795"/>
      <c r="FO110" s="2795"/>
      <c r="FP110" s="2795"/>
      <c r="FQ110" s="2795"/>
      <c r="FR110" s="2795"/>
      <c r="FS110" s="2795"/>
      <c r="GA110" s="2670"/>
      <c r="GB110" s="2579"/>
      <c r="GC110" s="2579"/>
      <c r="GD110" s="2579"/>
      <c r="GE110" s="2579"/>
      <c r="GF110" s="2579"/>
      <c r="GG110" s="2579"/>
      <c r="GH110" s="2579"/>
      <c r="GI110" s="2579"/>
      <c r="GJ110" s="2669"/>
      <c r="GQ110" s="2779"/>
      <c r="GR110" s="2779"/>
      <c r="GS110" s="2779"/>
      <c r="GT110" s="2779"/>
      <c r="GU110" s="2779"/>
      <c r="GV110" s="2779"/>
      <c r="GW110" s="2779"/>
      <c r="GX110" s="2779"/>
      <c r="GY110" s="2779"/>
      <c r="GZ110" s="2779"/>
      <c r="HA110" s="2779"/>
      <c r="HB110" s="2779"/>
      <c r="HC110" s="2780"/>
      <c r="HD110" s="2780"/>
      <c r="HE110" s="2780"/>
      <c r="HF110" s="2780"/>
      <c r="HG110" s="2780"/>
      <c r="HH110" s="2780"/>
      <c r="HI110" s="2780"/>
      <c r="HJ110" s="2780"/>
      <c r="HK110" s="2780"/>
      <c r="HL110" s="2780"/>
      <c r="HM110" s="2780"/>
      <c r="HN110" s="2779"/>
      <c r="HO110" s="2779"/>
      <c r="HP110" s="2779"/>
      <c r="HQ110" s="2779"/>
      <c r="HR110" s="2781"/>
      <c r="HS110" s="2781"/>
      <c r="HT110" s="2781"/>
      <c r="HU110" s="2781"/>
      <c r="HV110" s="2781"/>
      <c r="HW110" s="2781"/>
      <c r="HX110" s="2781"/>
      <c r="HY110" s="2781"/>
      <c r="HZ110" s="2781"/>
      <c r="IA110" s="2781"/>
      <c r="IB110" s="2781"/>
      <c r="IC110" s="2779"/>
      <c r="ID110" s="2779"/>
      <c r="IE110" s="2779"/>
      <c r="IF110" s="2779"/>
      <c r="IG110" s="2781"/>
      <c r="IH110" s="2781"/>
      <c r="II110" s="2781"/>
      <c r="IJ110" s="2781"/>
      <c r="IK110" s="2781"/>
      <c r="IL110" s="2781"/>
      <c r="IM110" s="2781"/>
      <c r="IN110" s="2781"/>
      <c r="IO110" s="2781"/>
    </row>
    <row r="111" spans="4:249" ht="4.1500000000000004" customHeight="1">
      <c r="F111" s="414"/>
      <c r="I111" s="2772"/>
      <c r="J111" s="2772"/>
      <c r="K111" s="2772"/>
      <c r="L111" s="2772"/>
      <c r="P111" s="414"/>
      <c r="R111" s="414"/>
      <c r="AT111" s="414"/>
      <c r="AU111" s="415"/>
      <c r="CU111" s="415"/>
      <c r="CW111" s="415"/>
      <c r="DC111" s="414"/>
      <c r="DG111" s="2772"/>
      <c r="DH111" s="2772"/>
      <c r="DI111" s="2772"/>
      <c r="DJ111" s="2772"/>
      <c r="DK111" s="2772"/>
      <c r="DL111" s="2772"/>
      <c r="DM111" s="2772"/>
      <c r="DN111" s="2772"/>
      <c r="DS111" s="464"/>
      <c r="DT111" s="464"/>
      <c r="DU111" s="464"/>
      <c r="DV111" s="464"/>
      <c r="DW111" s="464"/>
      <c r="DX111" s="464"/>
      <c r="DY111" s="464"/>
      <c r="DZ111" s="464"/>
      <c r="EA111" s="464"/>
      <c r="EB111" s="464"/>
      <c r="EC111" s="464"/>
      <c r="ED111" s="2786"/>
      <c r="EE111" s="2786"/>
      <c r="EF111" s="2786"/>
      <c r="EG111" s="2786"/>
      <c r="EH111" s="2786"/>
      <c r="EI111" s="2786"/>
      <c r="EJ111" s="2786"/>
      <c r="EK111" s="2786"/>
      <c r="EL111" s="2786"/>
      <c r="EM111" s="2786"/>
      <c r="EN111" s="2786"/>
      <c r="EO111" s="465"/>
      <c r="EP111" s="469"/>
      <c r="EQ111" s="470"/>
      <c r="ER111" s="467"/>
      <c r="ES111" s="467"/>
      <c r="ET111" s="467"/>
      <c r="EU111" s="467"/>
      <c r="EV111" s="467"/>
      <c r="EW111" s="467"/>
      <c r="EX111" s="467"/>
      <c r="EY111" s="467"/>
      <c r="EZ111" s="467"/>
      <c r="FA111" s="467"/>
      <c r="FB111" s="467"/>
      <c r="FC111" s="467"/>
      <c r="FD111" s="467"/>
      <c r="FE111" s="467"/>
      <c r="FF111" s="467"/>
      <c r="FG111" s="467"/>
      <c r="FH111" s="467"/>
      <c r="FI111" s="467"/>
      <c r="FJ111" s="467"/>
      <c r="FK111" s="468"/>
      <c r="FL111" s="2792">
        <f>FL109</f>
        <v>0.15</v>
      </c>
      <c r="FM111" s="2793"/>
      <c r="FN111" s="2793"/>
      <c r="FO111" s="2793"/>
      <c r="FP111" s="2793"/>
      <c r="FQ111" s="2793"/>
      <c r="FR111" s="2793"/>
      <c r="FS111" s="2793"/>
      <c r="GQ111" s="2779" t="s">
        <v>1951</v>
      </c>
      <c r="GR111" s="2779"/>
      <c r="GS111" s="2779"/>
      <c r="GT111" s="2779"/>
      <c r="GU111" s="2779"/>
      <c r="GV111" s="2779"/>
      <c r="GW111" s="2779"/>
      <c r="GX111" s="2779"/>
      <c r="GY111" s="2779"/>
      <c r="GZ111" s="2779"/>
      <c r="HA111" s="2779"/>
      <c r="HB111" s="2779"/>
      <c r="HC111" s="2780">
        <v>1</v>
      </c>
      <c r="HD111" s="2780"/>
      <c r="HE111" s="2780"/>
      <c r="HF111" s="2780"/>
      <c r="HG111" s="2780"/>
      <c r="HH111" s="2780"/>
      <c r="HI111" s="2780"/>
      <c r="HJ111" s="2780"/>
      <c r="HK111" s="2780"/>
      <c r="HL111" s="2780"/>
      <c r="HM111" s="2780"/>
      <c r="HN111" s="2779" t="s">
        <v>901</v>
      </c>
      <c r="HO111" s="2779"/>
      <c r="HP111" s="2779"/>
      <c r="HQ111" s="2779"/>
      <c r="HR111" s="2781">
        <v>0.75</v>
      </c>
      <c r="HS111" s="2781"/>
      <c r="HT111" s="2781"/>
      <c r="HU111" s="2781"/>
      <c r="HV111" s="2781"/>
      <c r="HW111" s="2781"/>
      <c r="HX111" s="2781"/>
      <c r="HY111" s="2781"/>
      <c r="HZ111" s="2781"/>
      <c r="IA111" s="2781"/>
      <c r="IB111" s="2781"/>
      <c r="IC111" s="2779" t="s">
        <v>901</v>
      </c>
      <c r="ID111" s="2779"/>
      <c r="IE111" s="2779"/>
      <c r="IF111" s="2779"/>
      <c r="IG111" s="2781">
        <v>2.1</v>
      </c>
      <c r="IH111" s="2781"/>
      <c r="II111" s="2781"/>
      <c r="IJ111" s="2781"/>
      <c r="IK111" s="2781"/>
      <c r="IL111" s="2781"/>
      <c r="IM111" s="2781"/>
      <c r="IN111" s="2781"/>
      <c r="IO111" s="2781"/>
    </row>
    <row r="112" spans="4:249" ht="4.1500000000000004" customHeight="1">
      <c r="F112" s="414"/>
      <c r="I112" s="2772"/>
      <c r="J112" s="2772"/>
      <c r="K112" s="2772"/>
      <c r="L112" s="2772"/>
      <c r="P112" s="414"/>
      <c r="R112" s="414"/>
      <c r="AS112" s="415"/>
      <c r="AU112" s="415"/>
      <c r="CU112" s="415"/>
      <c r="CW112" s="415"/>
      <c r="DC112" s="414"/>
      <c r="DG112" s="2772"/>
      <c r="DH112" s="2772"/>
      <c r="DI112" s="2772"/>
      <c r="DJ112" s="2772"/>
      <c r="DK112" s="2772"/>
      <c r="DL112" s="2772"/>
      <c r="DM112" s="2772"/>
      <c r="DN112" s="2772"/>
      <c r="DS112" s="464"/>
      <c r="DT112" s="464"/>
      <c r="DU112" s="464"/>
      <c r="DV112" s="464"/>
      <c r="DW112" s="464"/>
      <c r="DX112" s="464"/>
      <c r="DY112" s="464"/>
      <c r="DZ112" s="464"/>
      <c r="EA112" s="464"/>
      <c r="EB112" s="464"/>
      <c r="EC112" s="464"/>
      <c r="ED112" s="2787"/>
      <c r="EE112" s="2787"/>
      <c r="EF112" s="2787"/>
      <c r="EG112" s="2787"/>
      <c r="EH112" s="2787"/>
      <c r="EI112" s="2787"/>
      <c r="EJ112" s="2787"/>
      <c r="EK112" s="2787"/>
      <c r="EL112" s="2787"/>
      <c r="EM112" s="2787"/>
      <c r="EN112" s="2787"/>
      <c r="EO112" s="465"/>
      <c r="EP112" s="469"/>
      <c r="EQ112" s="474"/>
      <c r="ER112" s="472"/>
      <c r="ES112" s="472"/>
      <c r="ET112" s="472"/>
      <c r="EU112" s="472"/>
      <c r="EV112" s="472"/>
      <c r="EW112" s="472"/>
      <c r="EX112" s="472"/>
      <c r="EY112" s="472"/>
      <c r="EZ112" s="472"/>
      <c r="FA112" s="472"/>
      <c r="FB112" s="472"/>
      <c r="FC112" s="472"/>
      <c r="FD112" s="472"/>
      <c r="FE112" s="472"/>
      <c r="FF112" s="472"/>
      <c r="FG112" s="472"/>
      <c r="FH112" s="472"/>
      <c r="FI112" s="472"/>
      <c r="FJ112" s="472"/>
      <c r="FK112" s="473"/>
      <c r="FL112" s="2794"/>
      <c r="FM112" s="2795"/>
      <c r="FN112" s="2795"/>
      <c r="FO112" s="2795"/>
      <c r="FP112" s="2795"/>
      <c r="FQ112" s="2795"/>
      <c r="FR112" s="2795"/>
      <c r="FS112" s="2795"/>
      <c r="GQ112" s="2779"/>
      <c r="GR112" s="2779"/>
      <c r="GS112" s="2779"/>
      <c r="GT112" s="2779"/>
      <c r="GU112" s="2779"/>
      <c r="GV112" s="2779"/>
      <c r="GW112" s="2779"/>
      <c r="GX112" s="2779"/>
      <c r="GY112" s="2779"/>
      <c r="GZ112" s="2779"/>
      <c r="HA112" s="2779"/>
      <c r="HB112" s="2779"/>
      <c r="HC112" s="2780"/>
      <c r="HD112" s="2780"/>
      <c r="HE112" s="2780"/>
      <c r="HF112" s="2780"/>
      <c r="HG112" s="2780"/>
      <c r="HH112" s="2780"/>
      <c r="HI112" s="2780"/>
      <c r="HJ112" s="2780"/>
      <c r="HK112" s="2780"/>
      <c r="HL112" s="2780"/>
      <c r="HM112" s="2780"/>
      <c r="HN112" s="2779"/>
      <c r="HO112" s="2779"/>
      <c r="HP112" s="2779"/>
      <c r="HQ112" s="2779"/>
      <c r="HR112" s="2781"/>
      <c r="HS112" s="2781"/>
      <c r="HT112" s="2781"/>
      <c r="HU112" s="2781"/>
      <c r="HV112" s="2781"/>
      <c r="HW112" s="2781"/>
      <c r="HX112" s="2781"/>
      <c r="HY112" s="2781"/>
      <c r="HZ112" s="2781"/>
      <c r="IA112" s="2781"/>
      <c r="IB112" s="2781"/>
      <c r="IC112" s="2779"/>
      <c r="ID112" s="2779"/>
      <c r="IE112" s="2779"/>
      <c r="IF112" s="2779"/>
      <c r="IG112" s="2781"/>
      <c r="IH112" s="2781"/>
      <c r="II112" s="2781"/>
      <c r="IJ112" s="2781"/>
      <c r="IK112" s="2781"/>
      <c r="IL112" s="2781"/>
      <c r="IM112" s="2781"/>
      <c r="IN112" s="2781"/>
      <c r="IO112" s="2781"/>
    </row>
    <row r="113" spans="6:296" ht="4.1500000000000004" customHeight="1">
      <c r="F113" s="414"/>
      <c r="I113" s="2772"/>
      <c r="J113" s="2772"/>
      <c r="K113" s="2772"/>
      <c r="L113" s="2772"/>
      <c r="P113" s="414"/>
      <c r="R113" s="414"/>
      <c r="AS113" s="415"/>
      <c r="AU113" s="415"/>
      <c r="CU113" s="415"/>
      <c r="CW113" s="415"/>
      <c r="DC113" s="414"/>
      <c r="DI113" s="414"/>
      <c r="DM113" s="414"/>
      <c r="DS113" s="464"/>
      <c r="DT113" s="464"/>
      <c r="DU113" s="464"/>
      <c r="DV113" s="464"/>
      <c r="DW113" s="464"/>
      <c r="DX113" s="464"/>
      <c r="DY113" s="464"/>
      <c r="DZ113" s="464"/>
      <c r="EA113" s="464"/>
      <c r="EB113" s="464"/>
      <c r="EC113" s="464"/>
      <c r="ED113" s="464"/>
      <c r="EE113" s="464"/>
      <c r="EF113" s="464"/>
      <c r="EG113" s="464"/>
      <c r="EH113" s="464"/>
      <c r="EI113" s="465"/>
      <c r="EJ113" s="465"/>
      <c r="EK113" s="465"/>
      <c r="EL113" s="465"/>
      <c r="EM113" s="465"/>
      <c r="EN113" s="465"/>
      <c r="EO113" s="465"/>
      <c r="EP113" s="465"/>
      <c r="EQ113" s="465"/>
      <c r="ER113" s="465"/>
      <c r="ES113" s="465"/>
      <c r="ET113" s="465"/>
      <c r="EU113" s="465"/>
      <c r="EV113" s="465"/>
      <c r="EW113" s="465"/>
      <c r="EX113" s="465"/>
      <c r="EY113" s="465"/>
      <c r="EZ113" s="465"/>
      <c r="FA113" s="465"/>
      <c r="FB113" s="465"/>
      <c r="FC113" s="465"/>
      <c r="FD113" s="465"/>
      <c r="FE113" s="465"/>
      <c r="FF113" s="465"/>
      <c r="FG113" s="465"/>
      <c r="FH113" s="465"/>
      <c r="FI113" s="465"/>
      <c r="FJ113" s="465"/>
      <c r="FK113" s="465"/>
      <c r="FL113" s="465"/>
      <c r="FM113" s="465"/>
      <c r="FN113" s="465"/>
      <c r="FO113" s="465"/>
      <c r="FP113" s="465"/>
      <c r="FQ113" s="465"/>
      <c r="FR113" s="465"/>
      <c r="FS113" s="465"/>
      <c r="GQ113" s="2779"/>
      <c r="GR113" s="2779"/>
      <c r="GS113" s="2779"/>
      <c r="GT113" s="2779"/>
      <c r="GU113" s="2779"/>
      <c r="GV113" s="2779"/>
      <c r="GW113" s="2779"/>
      <c r="GX113" s="2779"/>
      <c r="GY113" s="2779"/>
      <c r="GZ113" s="2779"/>
      <c r="HA113" s="2779"/>
      <c r="HB113" s="2779"/>
      <c r="HC113" s="2780"/>
      <c r="HD113" s="2780"/>
      <c r="HE113" s="2780"/>
      <c r="HF113" s="2780"/>
      <c r="HG113" s="2780"/>
      <c r="HH113" s="2780"/>
      <c r="HI113" s="2780"/>
      <c r="HJ113" s="2780"/>
      <c r="HK113" s="2780"/>
      <c r="HL113" s="2780"/>
      <c r="HM113" s="2780"/>
      <c r="HN113" s="2779"/>
      <c r="HO113" s="2779"/>
      <c r="HP113" s="2779"/>
      <c r="HQ113" s="2779"/>
      <c r="HR113" s="2781"/>
      <c r="HS113" s="2781"/>
      <c r="HT113" s="2781"/>
      <c r="HU113" s="2781"/>
      <c r="HV113" s="2781"/>
      <c r="HW113" s="2781"/>
      <c r="HX113" s="2781"/>
      <c r="HY113" s="2781"/>
      <c r="HZ113" s="2781"/>
      <c r="IA113" s="2781"/>
      <c r="IB113" s="2781"/>
      <c r="IC113" s="2779"/>
      <c r="ID113" s="2779"/>
      <c r="IE113" s="2779"/>
      <c r="IF113" s="2779"/>
      <c r="IG113" s="2781"/>
      <c r="IH113" s="2781"/>
      <c r="II113" s="2781"/>
      <c r="IJ113" s="2781"/>
      <c r="IK113" s="2781"/>
      <c r="IL113" s="2781"/>
      <c r="IM113" s="2781"/>
      <c r="IN113" s="2781"/>
      <c r="IO113" s="2781"/>
    </row>
    <row r="114" spans="6:296" ht="4.1500000000000004" customHeight="1">
      <c r="F114" s="414"/>
      <c r="I114" s="2772"/>
      <c r="J114" s="2772"/>
      <c r="K114" s="2772"/>
      <c r="L114" s="2772"/>
      <c r="P114" s="414"/>
      <c r="R114" s="414"/>
      <c r="AS114" s="415"/>
      <c r="AU114" s="415"/>
      <c r="CU114" s="415"/>
      <c r="CW114" s="415"/>
      <c r="DC114" s="414"/>
      <c r="DI114" s="414"/>
      <c r="DM114" s="414"/>
      <c r="DS114" s="464"/>
      <c r="DT114" s="464"/>
      <c r="DU114" s="464"/>
      <c r="DV114" s="464"/>
      <c r="DW114" s="464"/>
      <c r="DX114" s="464"/>
      <c r="DY114" s="464"/>
      <c r="DZ114" s="464"/>
      <c r="EA114" s="464"/>
      <c r="EB114" s="464"/>
      <c r="EC114" s="464"/>
      <c r="ED114" s="464"/>
      <c r="EE114" s="464"/>
      <c r="EF114" s="464"/>
      <c r="EG114" s="464"/>
      <c r="EH114" s="464"/>
      <c r="EI114" s="465"/>
      <c r="EJ114" s="465"/>
      <c r="EK114" s="465"/>
      <c r="EL114" s="465"/>
      <c r="EM114" s="465"/>
      <c r="EN114" s="465"/>
      <c r="EO114" s="465"/>
      <c r="EP114" s="465"/>
      <c r="EQ114" s="465"/>
      <c r="ER114" s="465"/>
      <c r="ES114" s="465"/>
      <c r="ET114" s="465"/>
      <c r="EU114" s="465"/>
      <c r="EV114" s="465"/>
      <c r="EW114" s="465"/>
      <c r="EX114" s="465"/>
      <c r="EY114" s="465"/>
      <c r="EZ114" s="465"/>
      <c r="FA114" s="465"/>
      <c r="FB114" s="465"/>
      <c r="FC114" s="465"/>
      <c r="FD114" s="465"/>
      <c r="FE114" s="465"/>
      <c r="FF114" s="465"/>
      <c r="FG114" s="465"/>
      <c r="FH114" s="465"/>
      <c r="FI114" s="465"/>
      <c r="FJ114" s="465"/>
      <c r="FK114" s="465"/>
      <c r="FL114" s="465"/>
      <c r="FM114" s="465"/>
      <c r="FN114" s="465"/>
      <c r="FO114" s="465"/>
      <c r="FP114" s="465"/>
      <c r="FQ114" s="465"/>
      <c r="FR114" s="465"/>
      <c r="FS114" s="465"/>
      <c r="GQ114" s="2779" t="s">
        <v>1953</v>
      </c>
      <c r="GR114" s="2779"/>
      <c r="GS114" s="2779"/>
      <c r="GT114" s="2779"/>
      <c r="GU114" s="2779"/>
      <c r="GV114" s="2779"/>
      <c r="GW114" s="2779"/>
      <c r="GX114" s="2779"/>
      <c r="GY114" s="2779"/>
      <c r="GZ114" s="2779"/>
      <c r="HA114" s="2779"/>
      <c r="HB114" s="2779"/>
      <c r="HC114" s="2780">
        <v>5</v>
      </c>
      <c r="HD114" s="2780"/>
      <c r="HE114" s="2780"/>
      <c r="HF114" s="2780"/>
      <c r="HG114" s="2780"/>
      <c r="HH114" s="2780"/>
      <c r="HI114" s="2780"/>
      <c r="HJ114" s="2780"/>
      <c r="HK114" s="2780"/>
      <c r="HL114" s="2780"/>
      <c r="HM114" s="2780"/>
      <c r="HN114" s="2779" t="s">
        <v>901</v>
      </c>
      <c r="HO114" s="2779"/>
      <c r="HP114" s="2779"/>
      <c r="HQ114" s="2779"/>
      <c r="HR114" s="2781">
        <v>1.05</v>
      </c>
      <c r="HS114" s="2781"/>
      <c r="HT114" s="2781"/>
      <c r="HU114" s="2781"/>
      <c r="HV114" s="2781"/>
      <c r="HW114" s="2781"/>
      <c r="HX114" s="2781"/>
      <c r="HY114" s="2781"/>
      <c r="HZ114" s="2781"/>
      <c r="IA114" s="2781"/>
      <c r="IB114" s="2781"/>
      <c r="IC114" s="2779" t="s">
        <v>901</v>
      </c>
      <c r="ID114" s="2779"/>
      <c r="IE114" s="2779"/>
      <c r="IF114" s="2779"/>
      <c r="IG114" s="2781">
        <v>1.35</v>
      </c>
      <c r="IH114" s="2781"/>
      <c r="II114" s="2781"/>
      <c r="IJ114" s="2781"/>
      <c r="IK114" s="2781"/>
      <c r="IL114" s="2781"/>
      <c r="IM114" s="2781"/>
      <c r="IN114" s="2781"/>
      <c r="IO114" s="2781"/>
    </row>
    <row r="115" spans="6:296" ht="4.1500000000000004" customHeight="1">
      <c r="F115" s="414"/>
      <c r="I115" s="2772"/>
      <c r="J115" s="2772"/>
      <c r="K115" s="2772"/>
      <c r="L115" s="2772"/>
      <c r="P115" s="414"/>
      <c r="R115" s="414"/>
      <c r="W115" s="2579" t="s">
        <v>3560</v>
      </c>
      <c r="X115" s="2579"/>
      <c r="Y115" s="2579"/>
      <c r="Z115" s="2579"/>
      <c r="AA115" s="2579"/>
      <c r="AB115" s="2579"/>
      <c r="AC115" s="2579"/>
      <c r="AD115" s="2579"/>
      <c r="AE115" s="2579"/>
      <c r="AF115" s="2579"/>
      <c r="AG115" s="2579"/>
      <c r="AH115" s="2579"/>
      <c r="AI115" s="2579"/>
      <c r="AJ115" s="2579"/>
      <c r="AK115" s="2579"/>
      <c r="AL115" s="2579"/>
      <c r="AM115" s="2579"/>
      <c r="AN115" s="2579"/>
      <c r="AS115" s="415"/>
      <c r="AU115" s="415"/>
      <c r="AV115" s="417"/>
      <c r="AW115" s="417"/>
      <c r="AX115" s="417"/>
      <c r="AY115" s="417"/>
      <c r="AZ115" s="417"/>
      <c r="BA115" s="417"/>
      <c r="BB115" s="417"/>
      <c r="BC115" s="417"/>
      <c r="BF115" s="417"/>
      <c r="BG115" s="417"/>
      <c r="BN115" s="417"/>
      <c r="BO115" s="417"/>
      <c r="BP115" s="417"/>
      <c r="CA115" s="417"/>
      <c r="CB115" s="417"/>
      <c r="CC115" s="417"/>
      <c r="CU115" s="418"/>
      <c r="CW115" s="415"/>
      <c r="DC115" s="414"/>
      <c r="DI115" s="414"/>
      <c r="DM115" s="414"/>
      <c r="DS115" s="475"/>
      <c r="DT115" s="475"/>
      <c r="DU115" s="475"/>
      <c r="DV115" s="475"/>
      <c r="DW115" s="464"/>
      <c r="DX115" s="464"/>
      <c r="DY115" s="464"/>
      <c r="DZ115" s="464"/>
      <c r="EA115" s="476"/>
      <c r="EB115" s="476"/>
      <c r="EC115" s="476"/>
      <c r="ED115" s="476"/>
      <c r="EE115" s="476"/>
      <c r="EF115" s="476"/>
      <c r="EG115" s="476"/>
      <c r="EH115" s="476"/>
      <c r="EI115" s="476"/>
      <c r="EJ115" s="476"/>
      <c r="EK115" s="476"/>
      <c r="EL115" s="464"/>
      <c r="EM115" s="464"/>
      <c r="EN115" s="464"/>
      <c r="EO115" s="464"/>
      <c r="EP115" s="476"/>
      <c r="EQ115" s="2776">
        <f>SUM(EQ96:FK98)</f>
        <v>0.89999999999999991</v>
      </c>
      <c r="ER115" s="2777"/>
      <c r="ES115" s="2777"/>
      <c r="ET115" s="2777"/>
      <c r="EU115" s="2777"/>
      <c r="EV115" s="2777"/>
      <c r="EW115" s="2777"/>
      <c r="EX115" s="2777"/>
      <c r="EY115" s="2777"/>
      <c r="EZ115" s="2777"/>
      <c r="FA115" s="2777"/>
      <c r="FB115" s="2777"/>
      <c r="FC115" s="2777"/>
      <c r="FD115" s="2777"/>
      <c r="FE115" s="2777"/>
      <c r="FF115" s="2777"/>
      <c r="FG115" s="2777"/>
      <c r="FH115" s="2777"/>
      <c r="FI115" s="2777"/>
      <c r="FJ115" s="2777"/>
      <c r="FK115" s="2778"/>
      <c r="FL115" s="464"/>
      <c r="FM115" s="464"/>
      <c r="FN115" s="464"/>
      <c r="FO115" s="464"/>
      <c r="FP115" s="464"/>
      <c r="FQ115" s="464"/>
      <c r="FR115" s="464"/>
      <c r="FS115" s="464"/>
      <c r="GQ115" s="2779"/>
      <c r="GR115" s="2779"/>
      <c r="GS115" s="2779"/>
      <c r="GT115" s="2779"/>
      <c r="GU115" s="2779"/>
      <c r="GV115" s="2779"/>
      <c r="GW115" s="2779"/>
      <c r="GX115" s="2779"/>
      <c r="GY115" s="2779"/>
      <c r="GZ115" s="2779"/>
      <c r="HA115" s="2779"/>
      <c r="HB115" s="2779"/>
      <c r="HC115" s="2780"/>
      <c r="HD115" s="2780"/>
      <c r="HE115" s="2780"/>
      <c r="HF115" s="2780"/>
      <c r="HG115" s="2780"/>
      <c r="HH115" s="2780"/>
      <c r="HI115" s="2780"/>
      <c r="HJ115" s="2780"/>
      <c r="HK115" s="2780"/>
      <c r="HL115" s="2780"/>
      <c r="HM115" s="2780"/>
      <c r="HN115" s="2779"/>
      <c r="HO115" s="2779"/>
      <c r="HP115" s="2779"/>
      <c r="HQ115" s="2779"/>
      <c r="HR115" s="2781"/>
      <c r="HS115" s="2781"/>
      <c r="HT115" s="2781"/>
      <c r="HU115" s="2781"/>
      <c r="HV115" s="2781"/>
      <c r="HW115" s="2781"/>
      <c r="HX115" s="2781"/>
      <c r="HY115" s="2781"/>
      <c r="HZ115" s="2781"/>
      <c r="IA115" s="2781"/>
      <c r="IB115" s="2781"/>
      <c r="IC115" s="2779"/>
      <c r="ID115" s="2779"/>
      <c r="IE115" s="2779"/>
      <c r="IF115" s="2779"/>
      <c r="IG115" s="2781"/>
      <c r="IH115" s="2781"/>
      <c r="II115" s="2781"/>
      <c r="IJ115" s="2781"/>
      <c r="IK115" s="2781"/>
      <c r="IL115" s="2781"/>
      <c r="IM115" s="2781"/>
      <c r="IN115" s="2781"/>
      <c r="IO115" s="2781"/>
    </row>
    <row r="116" spans="6:296" ht="4.1500000000000004" customHeight="1" thickBot="1">
      <c r="F116" s="414"/>
      <c r="I116" s="417"/>
      <c r="J116" s="417"/>
      <c r="K116" s="416"/>
      <c r="L116" s="417"/>
      <c r="P116" s="414"/>
      <c r="R116" s="414"/>
      <c r="W116" s="2579"/>
      <c r="X116" s="2579"/>
      <c r="Y116" s="2579"/>
      <c r="Z116" s="2579"/>
      <c r="AA116" s="2579"/>
      <c r="AB116" s="2579"/>
      <c r="AC116" s="2579"/>
      <c r="AD116" s="2579"/>
      <c r="AE116" s="2579"/>
      <c r="AF116" s="2579"/>
      <c r="AG116" s="2579"/>
      <c r="AH116" s="2579"/>
      <c r="AI116" s="2579"/>
      <c r="AJ116" s="2579"/>
      <c r="AK116" s="2579"/>
      <c r="AL116" s="2579"/>
      <c r="AM116" s="2579"/>
      <c r="AN116" s="2579"/>
      <c r="AS116" s="415"/>
      <c r="AT116" s="453"/>
      <c r="AU116" s="454"/>
      <c r="BA116" s="422"/>
      <c r="BB116" s="423"/>
      <c r="BC116" s="423"/>
      <c r="BD116" s="423"/>
      <c r="BE116" s="423"/>
      <c r="BF116" s="423"/>
      <c r="BG116" s="423"/>
      <c r="BH116" s="423"/>
      <c r="BI116" s="423"/>
      <c r="BJ116" s="424"/>
      <c r="BK116" s="412"/>
      <c r="BL116" s="412"/>
      <c r="BM116" s="412"/>
      <c r="BQ116" s="416"/>
      <c r="BR116" s="417"/>
      <c r="BS116" s="417"/>
      <c r="BT116" s="417"/>
      <c r="BU116" s="417"/>
      <c r="BV116" s="417"/>
      <c r="BW116" s="417"/>
      <c r="BX116" s="417"/>
      <c r="BY116" s="417"/>
      <c r="BZ116" s="418"/>
      <c r="CD116" s="416"/>
      <c r="CE116" s="417"/>
      <c r="CF116" s="417"/>
      <c r="CG116" s="417"/>
      <c r="CH116" s="417"/>
      <c r="CI116" s="417"/>
      <c r="CJ116" s="418"/>
      <c r="CK116" s="412"/>
      <c r="CL116" s="412"/>
      <c r="CM116" s="412"/>
      <c r="CN116" s="412"/>
      <c r="CO116" s="412"/>
      <c r="CP116" s="412"/>
      <c r="CQ116" s="412"/>
      <c r="CR116" s="412"/>
      <c r="CS116" s="412"/>
      <c r="CT116" s="412"/>
      <c r="CV116" s="453"/>
      <c r="CW116" s="454"/>
      <c r="DA116" s="417"/>
      <c r="DB116" s="417"/>
      <c r="DC116" s="416"/>
      <c r="DD116" s="417"/>
      <c r="DI116" s="414"/>
      <c r="DM116" s="414"/>
      <c r="DS116" s="475"/>
      <c r="DT116" s="475"/>
      <c r="DU116" s="475"/>
      <c r="DV116" s="475"/>
      <c r="DW116" s="464"/>
      <c r="DX116" s="464"/>
      <c r="DY116" s="464"/>
      <c r="DZ116" s="464"/>
      <c r="EA116" s="476"/>
      <c r="EB116" s="476"/>
      <c r="EC116" s="476"/>
      <c r="ED116" s="476"/>
      <c r="EE116" s="476"/>
      <c r="EF116" s="476"/>
      <c r="EG116" s="476"/>
      <c r="EH116" s="476"/>
      <c r="EI116" s="476"/>
      <c r="EJ116" s="476"/>
      <c r="EK116" s="476"/>
      <c r="EL116" s="464"/>
      <c r="EM116" s="464"/>
      <c r="EN116" s="464"/>
      <c r="EO116" s="464"/>
      <c r="EP116" s="476"/>
      <c r="EQ116" s="2776"/>
      <c r="ER116" s="2777"/>
      <c r="ES116" s="2777"/>
      <c r="ET116" s="2777"/>
      <c r="EU116" s="2777"/>
      <c r="EV116" s="2777"/>
      <c r="EW116" s="2777"/>
      <c r="EX116" s="2777"/>
      <c r="EY116" s="2777"/>
      <c r="EZ116" s="2777"/>
      <c r="FA116" s="2777"/>
      <c r="FB116" s="2777"/>
      <c r="FC116" s="2777"/>
      <c r="FD116" s="2777"/>
      <c r="FE116" s="2777"/>
      <c r="FF116" s="2777"/>
      <c r="FG116" s="2777"/>
      <c r="FH116" s="2777"/>
      <c r="FI116" s="2777"/>
      <c r="FJ116" s="2777"/>
      <c r="FK116" s="2778"/>
      <c r="FL116" s="464"/>
      <c r="FM116" s="464"/>
      <c r="FN116" s="464"/>
      <c r="FO116" s="464"/>
      <c r="FP116" s="464"/>
      <c r="FQ116" s="464"/>
      <c r="FR116" s="464"/>
      <c r="FS116" s="464"/>
      <c r="GQ116" s="2779"/>
      <c r="GR116" s="2779"/>
      <c r="GS116" s="2779"/>
      <c r="GT116" s="2779"/>
      <c r="GU116" s="2779"/>
      <c r="GV116" s="2779"/>
      <c r="GW116" s="2779"/>
      <c r="GX116" s="2779"/>
      <c r="GY116" s="2779"/>
      <c r="GZ116" s="2779"/>
      <c r="HA116" s="2779"/>
      <c r="HB116" s="2779"/>
      <c r="HC116" s="2780"/>
      <c r="HD116" s="2780"/>
      <c r="HE116" s="2780"/>
      <c r="HF116" s="2780"/>
      <c r="HG116" s="2780"/>
      <c r="HH116" s="2780"/>
      <c r="HI116" s="2780"/>
      <c r="HJ116" s="2780"/>
      <c r="HK116" s="2780"/>
      <c r="HL116" s="2780"/>
      <c r="HM116" s="2780"/>
      <c r="HN116" s="2779"/>
      <c r="HO116" s="2779"/>
      <c r="HP116" s="2779"/>
      <c r="HQ116" s="2779"/>
      <c r="HR116" s="2781"/>
      <c r="HS116" s="2781"/>
      <c r="HT116" s="2781"/>
      <c r="HU116" s="2781"/>
      <c r="HV116" s="2781"/>
      <c r="HW116" s="2781"/>
      <c r="HX116" s="2781"/>
      <c r="HY116" s="2781"/>
      <c r="HZ116" s="2781"/>
      <c r="IA116" s="2781"/>
      <c r="IB116" s="2781"/>
      <c r="IC116" s="2779"/>
      <c r="ID116" s="2779"/>
      <c r="IE116" s="2779"/>
      <c r="IF116" s="2779"/>
      <c r="IG116" s="2781"/>
      <c r="IH116" s="2781"/>
      <c r="II116" s="2781"/>
      <c r="IJ116" s="2781"/>
      <c r="IK116" s="2781"/>
      <c r="IL116" s="2781"/>
      <c r="IM116" s="2781"/>
      <c r="IN116" s="2781"/>
      <c r="IO116" s="2781"/>
    </row>
    <row r="117" spans="6:296" ht="4.1500000000000004" customHeight="1" thickTop="1">
      <c r="F117" s="414"/>
      <c r="I117" s="412"/>
      <c r="J117" s="412"/>
      <c r="K117" s="411"/>
      <c r="L117" s="412"/>
      <c r="P117" s="414"/>
      <c r="R117" s="414"/>
      <c r="W117" s="2579"/>
      <c r="X117" s="2579"/>
      <c r="Y117" s="2579"/>
      <c r="Z117" s="2579"/>
      <c r="AA117" s="2579"/>
      <c r="AB117" s="2579"/>
      <c r="AC117" s="2579"/>
      <c r="AD117" s="2579"/>
      <c r="AE117" s="2579"/>
      <c r="AF117" s="2579"/>
      <c r="AG117" s="2579"/>
      <c r="AH117" s="2579"/>
      <c r="AI117" s="2579"/>
      <c r="AJ117" s="2579"/>
      <c r="AK117" s="2579"/>
      <c r="AL117" s="2579"/>
      <c r="AM117" s="2579"/>
      <c r="AN117" s="2579"/>
      <c r="AS117" s="415"/>
      <c r="AT117" s="454"/>
      <c r="AU117" s="454"/>
      <c r="AW117" s="417"/>
      <c r="AX117" s="417"/>
      <c r="AY117" s="417"/>
      <c r="AZ117" s="417"/>
      <c r="BA117" s="416"/>
      <c r="BB117" s="417"/>
      <c r="BC117" s="417"/>
      <c r="BD117" s="417"/>
      <c r="BE117" s="417"/>
      <c r="BF117" s="417"/>
      <c r="BG117" s="417"/>
      <c r="BH117" s="417"/>
      <c r="BI117" s="417"/>
      <c r="BJ117" s="418"/>
      <c r="BK117" s="417"/>
      <c r="BL117" s="417"/>
      <c r="BM117" s="417"/>
      <c r="BN117" s="417"/>
      <c r="BO117" s="417"/>
      <c r="BP117" s="417"/>
      <c r="BQ117" s="414"/>
      <c r="BZ117" s="415"/>
      <c r="CA117" s="417"/>
      <c r="CD117" s="414"/>
      <c r="CJ117" s="415"/>
      <c r="CK117" s="417"/>
      <c r="CL117" s="417"/>
      <c r="CM117" s="417"/>
      <c r="CN117" s="417"/>
      <c r="CO117" s="417"/>
      <c r="CP117" s="417"/>
      <c r="CQ117" s="417"/>
      <c r="CR117" s="417"/>
      <c r="CS117" s="417"/>
      <c r="CT117" s="417"/>
      <c r="CU117" s="417"/>
      <c r="CV117" s="454"/>
      <c r="CW117" s="454"/>
      <c r="DA117" s="412"/>
      <c r="DB117" s="412"/>
      <c r="DC117" s="411"/>
      <c r="DD117" s="412"/>
      <c r="DI117" s="414"/>
      <c r="DM117" s="414"/>
      <c r="DS117" s="475"/>
      <c r="DT117" s="475"/>
      <c r="DU117" s="475"/>
      <c r="DV117" s="475"/>
      <c r="DW117" s="464"/>
      <c r="DX117" s="464"/>
      <c r="DY117" s="464"/>
      <c r="DZ117" s="464"/>
      <c r="EA117" s="476"/>
      <c r="EB117" s="476"/>
      <c r="EC117" s="476"/>
      <c r="ED117" s="476"/>
      <c r="EE117" s="476"/>
      <c r="EF117" s="476"/>
      <c r="EG117" s="476"/>
      <c r="EH117" s="476"/>
      <c r="EI117" s="476"/>
      <c r="EJ117" s="476"/>
      <c r="EK117" s="476"/>
      <c r="EL117" s="464"/>
      <c r="EM117" s="464"/>
      <c r="EN117" s="464"/>
      <c r="EO117" s="464"/>
      <c r="EP117" s="476"/>
      <c r="EQ117" s="2776"/>
      <c r="ER117" s="2777"/>
      <c r="ES117" s="2777"/>
      <c r="ET117" s="2777"/>
      <c r="EU117" s="2777"/>
      <c r="EV117" s="2777"/>
      <c r="EW117" s="2777"/>
      <c r="EX117" s="2777"/>
      <c r="EY117" s="2777"/>
      <c r="EZ117" s="2777"/>
      <c r="FA117" s="2777"/>
      <c r="FB117" s="2777"/>
      <c r="FC117" s="2777"/>
      <c r="FD117" s="2777"/>
      <c r="FE117" s="2777"/>
      <c r="FF117" s="2777"/>
      <c r="FG117" s="2777"/>
      <c r="FH117" s="2777"/>
      <c r="FI117" s="2777"/>
      <c r="FJ117" s="2777"/>
      <c r="FK117" s="2778"/>
      <c r="FL117" s="464"/>
      <c r="FM117" s="464"/>
      <c r="FN117" s="464"/>
      <c r="FO117" s="464"/>
      <c r="FP117" s="464"/>
      <c r="FQ117" s="464"/>
      <c r="FR117" s="464"/>
      <c r="FS117" s="464"/>
      <c r="GQ117" s="2779" t="s">
        <v>1954</v>
      </c>
      <c r="GR117" s="2779"/>
      <c r="GS117" s="2779"/>
      <c r="GT117" s="2779"/>
      <c r="GU117" s="2779"/>
      <c r="GV117" s="2779"/>
      <c r="GW117" s="2779"/>
      <c r="GX117" s="2779"/>
      <c r="GY117" s="2779"/>
      <c r="GZ117" s="2779"/>
      <c r="HA117" s="2779"/>
      <c r="HB117" s="2779"/>
      <c r="HC117" s="2780">
        <v>1</v>
      </c>
      <c r="HD117" s="2780"/>
      <c r="HE117" s="2780"/>
      <c r="HF117" s="2780"/>
      <c r="HG117" s="2780"/>
      <c r="HH117" s="2780"/>
      <c r="HI117" s="2780"/>
      <c r="HJ117" s="2780"/>
      <c r="HK117" s="2780"/>
      <c r="HL117" s="2780"/>
      <c r="HM117" s="2780"/>
      <c r="HN117" s="2779" t="s">
        <v>901</v>
      </c>
      <c r="HO117" s="2779"/>
      <c r="HP117" s="2779"/>
      <c r="HQ117" s="2779"/>
      <c r="HR117" s="2781">
        <v>0.6</v>
      </c>
      <c r="HS117" s="2781"/>
      <c r="HT117" s="2781"/>
      <c r="HU117" s="2781"/>
      <c r="HV117" s="2781"/>
      <c r="HW117" s="2781"/>
      <c r="HX117" s="2781"/>
      <c r="HY117" s="2781"/>
      <c r="HZ117" s="2781"/>
      <c r="IA117" s="2781"/>
      <c r="IB117" s="2781"/>
      <c r="IC117" s="2779" t="s">
        <v>901</v>
      </c>
      <c r="ID117" s="2779"/>
      <c r="IE117" s="2779"/>
      <c r="IF117" s="2779"/>
      <c r="IG117" s="2781">
        <v>0.75</v>
      </c>
      <c r="IH117" s="2781"/>
      <c r="II117" s="2781"/>
      <c r="IJ117" s="2781"/>
      <c r="IK117" s="2781"/>
      <c r="IL117" s="2781"/>
      <c r="IM117" s="2781"/>
      <c r="IN117" s="2781"/>
      <c r="IO117" s="2781"/>
      <c r="JN117" s="2773">
        <v>409615</v>
      </c>
      <c r="JO117" s="2579"/>
      <c r="JP117" s="2579"/>
      <c r="JQ117" s="2579"/>
      <c r="JR117" s="2579"/>
      <c r="JS117" s="2579"/>
      <c r="JT117" s="2579"/>
      <c r="JU117" s="2579"/>
      <c r="JV117" s="2579"/>
      <c r="JW117" s="2579"/>
      <c r="JX117" s="2579"/>
      <c r="JY117" s="2579"/>
      <c r="JZ117" s="2579"/>
      <c r="KA117" s="2579"/>
      <c r="KB117" s="2579"/>
      <c r="KC117" s="2579"/>
      <c r="KD117" s="2579"/>
      <c r="KE117" s="2579"/>
      <c r="KF117" s="2579"/>
      <c r="KG117" s="2579"/>
      <c r="KH117" s="2579"/>
      <c r="KI117" s="2579"/>
      <c r="KJ117" s="2579"/>
    </row>
    <row r="118" spans="6:296" ht="4.1500000000000004" customHeight="1">
      <c r="F118" s="414"/>
      <c r="K118" s="414"/>
      <c r="P118" s="414"/>
      <c r="R118" s="414"/>
      <c r="W118" s="2577">
        <f>V91</f>
        <v>2.1</v>
      </c>
      <c r="X118" s="2577"/>
      <c r="Y118" s="2577"/>
      <c r="Z118" s="2577"/>
      <c r="AA118" s="2577"/>
      <c r="AB118" s="2577"/>
      <c r="AC118" s="2577"/>
      <c r="AD118" s="2577" t="s">
        <v>901</v>
      </c>
      <c r="AE118" s="2577"/>
      <c r="AF118" s="2577"/>
      <c r="AG118" s="2577"/>
      <c r="AH118" s="2577">
        <f>AG91</f>
        <v>2.2000000000000002</v>
      </c>
      <c r="AI118" s="2577"/>
      <c r="AJ118" s="2577"/>
      <c r="AK118" s="2577"/>
      <c r="AL118" s="2577"/>
      <c r="AM118" s="2577"/>
      <c r="AN118" s="2577"/>
      <c r="AS118" s="415"/>
      <c r="AU118" s="415"/>
      <c r="AV118" s="411"/>
      <c r="AW118" s="412"/>
      <c r="AX118" s="412"/>
      <c r="AY118" s="412"/>
      <c r="AZ118" s="412"/>
      <c r="BA118" s="412"/>
      <c r="BB118" s="412"/>
      <c r="BC118" s="412"/>
      <c r="BD118" s="412"/>
      <c r="BE118" s="412"/>
      <c r="BF118" s="412"/>
      <c r="BG118" s="412"/>
      <c r="BH118" s="412"/>
      <c r="BI118" s="412"/>
      <c r="BJ118" s="412"/>
      <c r="BK118" s="412"/>
      <c r="BL118" s="412"/>
      <c r="BM118" s="412"/>
      <c r="BN118" s="412"/>
      <c r="BO118" s="412"/>
      <c r="BP118" s="412"/>
      <c r="CA118" s="412"/>
      <c r="CB118" s="414"/>
      <c r="CD118" s="414"/>
      <c r="CK118" s="412"/>
      <c r="CL118" s="412"/>
      <c r="CM118" s="412"/>
      <c r="CN118" s="412"/>
      <c r="CO118" s="412"/>
      <c r="CP118" s="412"/>
      <c r="CQ118" s="412"/>
      <c r="CR118" s="412"/>
      <c r="CS118" s="412"/>
      <c r="CT118" s="412"/>
      <c r="CU118" s="413"/>
      <c r="CW118" s="415"/>
      <c r="DC118" s="414"/>
      <c r="DI118" s="414"/>
      <c r="DM118" s="414"/>
      <c r="GQ118" s="2779"/>
      <c r="GR118" s="2779"/>
      <c r="GS118" s="2779"/>
      <c r="GT118" s="2779"/>
      <c r="GU118" s="2779"/>
      <c r="GV118" s="2779"/>
      <c r="GW118" s="2779"/>
      <c r="GX118" s="2779"/>
      <c r="GY118" s="2779"/>
      <c r="GZ118" s="2779"/>
      <c r="HA118" s="2779"/>
      <c r="HB118" s="2779"/>
      <c r="HC118" s="2780"/>
      <c r="HD118" s="2780"/>
      <c r="HE118" s="2780"/>
      <c r="HF118" s="2780"/>
      <c r="HG118" s="2780"/>
      <c r="HH118" s="2780"/>
      <c r="HI118" s="2780"/>
      <c r="HJ118" s="2780"/>
      <c r="HK118" s="2780"/>
      <c r="HL118" s="2780"/>
      <c r="HM118" s="2780"/>
      <c r="HN118" s="2779"/>
      <c r="HO118" s="2779"/>
      <c r="HP118" s="2779"/>
      <c r="HQ118" s="2779"/>
      <c r="HR118" s="2781"/>
      <c r="HS118" s="2781"/>
      <c r="HT118" s="2781"/>
      <c r="HU118" s="2781"/>
      <c r="HV118" s="2781"/>
      <c r="HW118" s="2781"/>
      <c r="HX118" s="2781"/>
      <c r="HY118" s="2781"/>
      <c r="HZ118" s="2781"/>
      <c r="IA118" s="2781"/>
      <c r="IB118" s="2781"/>
      <c r="IC118" s="2779"/>
      <c r="ID118" s="2779"/>
      <c r="IE118" s="2779"/>
      <c r="IF118" s="2779"/>
      <c r="IG118" s="2781"/>
      <c r="IH118" s="2781"/>
      <c r="II118" s="2781"/>
      <c r="IJ118" s="2781"/>
      <c r="IK118" s="2781"/>
      <c r="IL118" s="2781"/>
      <c r="IM118" s="2781"/>
      <c r="IN118" s="2781"/>
      <c r="IO118" s="2781"/>
      <c r="JN118" s="2579"/>
      <c r="JO118" s="2579"/>
      <c r="JP118" s="2579"/>
      <c r="JQ118" s="2579"/>
      <c r="JR118" s="2579"/>
      <c r="JS118" s="2579"/>
      <c r="JT118" s="2579"/>
      <c r="JU118" s="2579"/>
      <c r="JV118" s="2579"/>
      <c r="JW118" s="2579"/>
      <c r="JX118" s="2579"/>
      <c r="JY118" s="2579"/>
      <c r="JZ118" s="2579"/>
      <c r="KA118" s="2579"/>
      <c r="KB118" s="2579"/>
      <c r="KC118" s="2579"/>
      <c r="KD118" s="2579"/>
      <c r="KE118" s="2579"/>
      <c r="KF118" s="2579"/>
      <c r="KG118" s="2579"/>
      <c r="KH118" s="2579"/>
      <c r="KI118" s="2579"/>
      <c r="KJ118" s="2579"/>
    </row>
    <row r="119" spans="6:296" ht="4.1500000000000004" customHeight="1">
      <c r="F119" s="414"/>
      <c r="K119" s="414"/>
      <c r="P119" s="414"/>
      <c r="R119" s="414"/>
      <c r="W119" s="2577"/>
      <c r="X119" s="2577"/>
      <c r="Y119" s="2577"/>
      <c r="Z119" s="2577"/>
      <c r="AA119" s="2577"/>
      <c r="AB119" s="2577"/>
      <c r="AC119" s="2577"/>
      <c r="AD119" s="2577"/>
      <c r="AE119" s="2577"/>
      <c r="AF119" s="2577"/>
      <c r="AG119" s="2577"/>
      <c r="AH119" s="2577"/>
      <c r="AI119" s="2577"/>
      <c r="AJ119" s="2577"/>
      <c r="AK119" s="2577"/>
      <c r="AL119" s="2577"/>
      <c r="AM119" s="2577"/>
      <c r="AN119" s="2577"/>
      <c r="AS119" s="415"/>
      <c r="AU119" s="415"/>
      <c r="CB119" s="414"/>
      <c r="CD119" s="414"/>
      <c r="CU119" s="415"/>
      <c r="CW119" s="415"/>
      <c r="DC119" s="414"/>
      <c r="DI119" s="414"/>
      <c r="DM119" s="414"/>
      <c r="GQ119" s="2779"/>
      <c r="GR119" s="2779"/>
      <c r="GS119" s="2779"/>
      <c r="GT119" s="2779"/>
      <c r="GU119" s="2779"/>
      <c r="GV119" s="2779"/>
      <c r="GW119" s="2779"/>
      <c r="GX119" s="2779"/>
      <c r="GY119" s="2779"/>
      <c r="GZ119" s="2779"/>
      <c r="HA119" s="2779"/>
      <c r="HB119" s="2779"/>
      <c r="HC119" s="2780"/>
      <c r="HD119" s="2780"/>
      <c r="HE119" s="2780"/>
      <c r="HF119" s="2780"/>
      <c r="HG119" s="2780"/>
      <c r="HH119" s="2780"/>
      <c r="HI119" s="2780"/>
      <c r="HJ119" s="2780"/>
      <c r="HK119" s="2780"/>
      <c r="HL119" s="2780"/>
      <c r="HM119" s="2780"/>
      <c r="HN119" s="2779"/>
      <c r="HO119" s="2779"/>
      <c r="HP119" s="2779"/>
      <c r="HQ119" s="2779"/>
      <c r="HR119" s="2781"/>
      <c r="HS119" s="2781"/>
      <c r="HT119" s="2781"/>
      <c r="HU119" s="2781"/>
      <c r="HV119" s="2781"/>
      <c r="HW119" s="2781"/>
      <c r="HX119" s="2781"/>
      <c r="HY119" s="2781"/>
      <c r="HZ119" s="2781"/>
      <c r="IA119" s="2781"/>
      <c r="IB119" s="2781"/>
      <c r="IC119" s="2779"/>
      <c r="ID119" s="2779"/>
      <c r="IE119" s="2779"/>
      <c r="IF119" s="2779"/>
      <c r="IG119" s="2781"/>
      <c r="IH119" s="2781"/>
      <c r="II119" s="2781"/>
      <c r="IJ119" s="2781"/>
      <c r="IK119" s="2781"/>
      <c r="IL119" s="2781"/>
      <c r="IM119" s="2781"/>
      <c r="IN119" s="2781"/>
      <c r="IO119" s="2781"/>
      <c r="JN119" s="2579"/>
      <c r="JO119" s="2579"/>
      <c r="JP119" s="2579"/>
      <c r="JQ119" s="2579"/>
      <c r="JR119" s="2579"/>
      <c r="JS119" s="2579"/>
      <c r="JT119" s="2579"/>
      <c r="JU119" s="2579"/>
      <c r="JV119" s="2579"/>
      <c r="JW119" s="2579"/>
      <c r="JX119" s="2579"/>
      <c r="JY119" s="2579"/>
      <c r="JZ119" s="2579"/>
      <c r="KA119" s="2579"/>
      <c r="KB119" s="2579"/>
      <c r="KC119" s="2579"/>
      <c r="KD119" s="2579"/>
      <c r="KE119" s="2579"/>
      <c r="KF119" s="2579"/>
      <c r="KG119" s="2579"/>
      <c r="KH119" s="2579"/>
      <c r="KI119" s="2579"/>
      <c r="KJ119" s="2579"/>
    </row>
    <row r="120" spans="6:296" ht="4.1500000000000004" customHeight="1">
      <c r="F120" s="414"/>
      <c r="K120" s="414"/>
      <c r="P120" s="414"/>
      <c r="R120" s="414"/>
      <c r="W120" s="2577"/>
      <c r="X120" s="2577"/>
      <c r="Y120" s="2577"/>
      <c r="Z120" s="2577"/>
      <c r="AA120" s="2577"/>
      <c r="AB120" s="2577"/>
      <c r="AC120" s="2577"/>
      <c r="AD120" s="2577"/>
      <c r="AE120" s="2577"/>
      <c r="AF120" s="2577"/>
      <c r="AG120" s="2577"/>
      <c r="AH120" s="2577"/>
      <c r="AI120" s="2577"/>
      <c r="AJ120" s="2577"/>
      <c r="AK120" s="2577"/>
      <c r="AL120" s="2577"/>
      <c r="AM120" s="2577"/>
      <c r="AN120" s="2577"/>
      <c r="AS120" s="415"/>
      <c r="AU120" s="415"/>
      <c r="CB120" s="414"/>
      <c r="CD120" s="414"/>
      <c r="CF120" s="2579" t="s">
        <v>1786</v>
      </c>
      <c r="CG120" s="2579"/>
      <c r="CH120" s="2579"/>
      <c r="CI120" s="2579"/>
      <c r="CJ120" s="2579"/>
      <c r="CK120" s="2579"/>
      <c r="CL120" s="2579"/>
      <c r="CM120" s="2579"/>
      <c r="CN120" s="2579"/>
      <c r="CO120" s="2579"/>
      <c r="CP120" s="2579"/>
      <c r="CQ120" s="2579"/>
      <c r="CR120" s="2579"/>
      <c r="CS120" s="2579"/>
      <c r="CU120" s="415"/>
      <c r="CW120" s="415"/>
      <c r="DA120" s="2771">
        <f>BM124+CV85</f>
        <v>1.6</v>
      </c>
      <c r="DB120" s="2772"/>
      <c r="DC120" s="2772"/>
      <c r="DD120" s="2772"/>
      <c r="DI120" s="414"/>
      <c r="DM120" s="414"/>
      <c r="GQ120" s="2779" t="s">
        <v>3562</v>
      </c>
      <c r="GR120" s="2779"/>
      <c r="GS120" s="2779"/>
      <c r="GT120" s="2779"/>
      <c r="GU120" s="2779"/>
      <c r="GV120" s="2779"/>
      <c r="GW120" s="2779"/>
      <c r="GX120" s="2779"/>
      <c r="GY120" s="2779"/>
      <c r="GZ120" s="2779"/>
      <c r="HA120" s="2779"/>
      <c r="HB120" s="2779"/>
      <c r="HC120" s="2780">
        <v>1</v>
      </c>
      <c r="HD120" s="2780"/>
      <c r="HE120" s="2780"/>
      <c r="HF120" s="2780"/>
      <c r="HG120" s="2780"/>
      <c r="HH120" s="2780"/>
      <c r="HI120" s="2780"/>
      <c r="HJ120" s="2780"/>
      <c r="HK120" s="2780"/>
      <c r="HL120" s="2780"/>
      <c r="HM120" s="2780"/>
      <c r="HN120" s="2779" t="s">
        <v>901</v>
      </c>
      <c r="HO120" s="2779"/>
      <c r="HP120" s="2779"/>
      <c r="HQ120" s="2779"/>
      <c r="HR120" s="2781">
        <v>2.1</v>
      </c>
      <c r="HS120" s="2781"/>
      <c r="HT120" s="2781"/>
      <c r="HU120" s="2781"/>
      <c r="HV120" s="2781"/>
      <c r="HW120" s="2781"/>
      <c r="HX120" s="2781"/>
      <c r="HY120" s="2781"/>
      <c r="HZ120" s="2781"/>
      <c r="IA120" s="2781"/>
      <c r="IB120" s="2781"/>
      <c r="IC120" s="2779" t="s">
        <v>901</v>
      </c>
      <c r="ID120" s="2779"/>
      <c r="IE120" s="2779"/>
      <c r="IF120" s="2779"/>
      <c r="IG120" s="2781">
        <v>1.35</v>
      </c>
      <c r="IH120" s="2781"/>
      <c r="II120" s="2781"/>
      <c r="IJ120" s="2781"/>
      <c r="IK120" s="2781"/>
      <c r="IL120" s="2781"/>
      <c r="IM120" s="2781"/>
      <c r="IN120" s="2781"/>
      <c r="IO120" s="2781"/>
      <c r="JN120" s="2579"/>
      <c r="JO120" s="2579"/>
      <c r="JP120" s="2579"/>
      <c r="JQ120" s="2579"/>
      <c r="JR120" s="2579"/>
      <c r="JS120" s="2579"/>
      <c r="JT120" s="2579"/>
      <c r="JU120" s="2579"/>
      <c r="JV120" s="2579"/>
      <c r="JW120" s="2579"/>
      <c r="JX120" s="2579"/>
      <c r="JY120" s="2579"/>
      <c r="JZ120" s="2579"/>
      <c r="KA120" s="2579"/>
      <c r="KB120" s="2579"/>
      <c r="KC120" s="2579"/>
      <c r="KD120" s="2579"/>
      <c r="KE120" s="2579"/>
      <c r="KF120" s="2579"/>
      <c r="KG120" s="2579"/>
      <c r="KH120" s="2579"/>
      <c r="KI120" s="2579"/>
      <c r="KJ120" s="2579"/>
    </row>
    <row r="121" spans="6:296" ht="4.1500000000000004" customHeight="1">
      <c r="F121" s="414"/>
      <c r="I121" s="2771">
        <f>DA120</f>
        <v>1.6</v>
      </c>
      <c r="J121" s="2772"/>
      <c r="K121" s="2772"/>
      <c r="L121" s="2772"/>
      <c r="P121" s="414"/>
      <c r="R121" s="414"/>
      <c r="AS121" s="415"/>
      <c r="AU121" s="415"/>
      <c r="BB121" s="2579" t="s">
        <v>1780</v>
      </c>
      <c r="BC121" s="2579"/>
      <c r="BD121" s="2579"/>
      <c r="BE121" s="2579"/>
      <c r="BF121" s="2579"/>
      <c r="BG121" s="2579"/>
      <c r="BH121" s="2579"/>
      <c r="BI121" s="2579"/>
      <c r="BJ121" s="2579"/>
      <c r="BK121" s="2579"/>
      <c r="BL121" s="2579"/>
      <c r="BM121" s="2579"/>
      <c r="BN121" s="2579"/>
      <c r="BO121" s="2579"/>
      <c r="BP121" s="2579"/>
      <c r="BQ121" s="2579"/>
      <c r="BR121" s="2579"/>
      <c r="BS121" s="2579"/>
      <c r="CB121" s="414"/>
      <c r="CD121" s="414"/>
      <c r="CF121" s="2579"/>
      <c r="CG121" s="2579"/>
      <c r="CH121" s="2579"/>
      <c r="CI121" s="2579"/>
      <c r="CJ121" s="2579"/>
      <c r="CK121" s="2579"/>
      <c r="CL121" s="2579"/>
      <c r="CM121" s="2579"/>
      <c r="CN121" s="2579"/>
      <c r="CO121" s="2579"/>
      <c r="CP121" s="2579"/>
      <c r="CQ121" s="2579"/>
      <c r="CR121" s="2579"/>
      <c r="CS121" s="2579"/>
      <c r="CU121" s="415"/>
      <c r="CW121" s="415"/>
      <c r="DA121" s="2772"/>
      <c r="DB121" s="2772"/>
      <c r="DC121" s="2772"/>
      <c r="DD121" s="2772"/>
      <c r="DI121" s="414"/>
      <c r="DM121" s="414"/>
      <c r="GQ121" s="2779"/>
      <c r="GR121" s="2779"/>
      <c r="GS121" s="2779"/>
      <c r="GT121" s="2779"/>
      <c r="GU121" s="2779"/>
      <c r="GV121" s="2779"/>
      <c r="GW121" s="2779"/>
      <c r="GX121" s="2779"/>
      <c r="GY121" s="2779"/>
      <c r="GZ121" s="2779"/>
      <c r="HA121" s="2779"/>
      <c r="HB121" s="2779"/>
      <c r="HC121" s="2780"/>
      <c r="HD121" s="2780"/>
      <c r="HE121" s="2780"/>
      <c r="HF121" s="2780"/>
      <c r="HG121" s="2780"/>
      <c r="HH121" s="2780"/>
      <c r="HI121" s="2780"/>
      <c r="HJ121" s="2780"/>
      <c r="HK121" s="2780"/>
      <c r="HL121" s="2780"/>
      <c r="HM121" s="2780"/>
      <c r="HN121" s="2779"/>
      <c r="HO121" s="2779"/>
      <c r="HP121" s="2779"/>
      <c r="HQ121" s="2779"/>
      <c r="HR121" s="2781"/>
      <c r="HS121" s="2781"/>
      <c r="HT121" s="2781"/>
      <c r="HU121" s="2781"/>
      <c r="HV121" s="2781"/>
      <c r="HW121" s="2781"/>
      <c r="HX121" s="2781"/>
      <c r="HY121" s="2781"/>
      <c r="HZ121" s="2781"/>
      <c r="IA121" s="2781"/>
      <c r="IB121" s="2781"/>
      <c r="IC121" s="2779"/>
      <c r="ID121" s="2779"/>
      <c r="IE121" s="2779"/>
      <c r="IF121" s="2779"/>
      <c r="IG121" s="2781"/>
      <c r="IH121" s="2781"/>
      <c r="II121" s="2781"/>
      <c r="IJ121" s="2781"/>
      <c r="IK121" s="2781"/>
      <c r="IL121" s="2781"/>
      <c r="IM121" s="2781"/>
      <c r="IN121" s="2781"/>
      <c r="IO121" s="2781"/>
    </row>
    <row r="122" spans="6:296" ht="4.1500000000000004" customHeight="1">
      <c r="F122" s="414"/>
      <c r="I122" s="2772"/>
      <c r="J122" s="2772"/>
      <c r="K122" s="2772"/>
      <c r="L122" s="2772"/>
      <c r="P122" s="414"/>
      <c r="R122" s="414"/>
      <c r="AS122" s="415"/>
      <c r="AU122" s="415"/>
      <c r="BB122" s="2579"/>
      <c r="BC122" s="2579"/>
      <c r="BD122" s="2579"/>
      <c r="BE122" s="2579"/>
      <c r="BF122" s="2579"/>
      <c r="BG122" s="2579"/>
      <c r="BH122" s="2579"/>
      <c r="BI122" s="2579"/>
      <c r="BJ122" s="2579"/>
      <c r="BK122" s="2579"/>
      <c r="BL122" s="2579"/>
      <c r="BM122" s="2579"/>
      <c r="BN122" s="2579"/>
      <c r="BO122" s="2579"/>
      <c r="BP122" s="2579"/>
      <c r="BQ122" s="2579"/>
      <c r="BR122" s="2579"/>
      <c r="BS122" s="2579"/>
      <c r="CB122" s="414"/>
      <c r="CD122" s="414"/>
      <c r="CF122" s="2579"/>
      <c r="CG122" s="2579"/>
      <c r="CH122" s="2579"/>
      <c r="CI122" s="2579"/>
      <c r="CJ122" s="2579"/>
      <c r="CK122" s="2579"/>
      <c r="CL122" s="2579"/>
      <c r="CM122" s="2579"/>
      <c r="CN122" s="2579"/>
      <c r="CO122" s="2579"/>
      <c r="CP122" s="2579"/>
      <c r="CQ122" s="2579"/>
      <c r="CR122" s="2579"/>
      <c r="CS122" s="2579"/>
      <c r="CU122" s="415"/>
      <c r="CW122" s="415"/>
      <c r="CX122" s="1540"/>
      <c r="CY122" s="438"/>
      <c r="DA122" s="2772"/>
      <c r="DB122" s="2772"/>
      <c r="DC122" s="2772"/>
      <c r="DD122" s="2772"/>
      <c r="DI122" s="414"/>
      <c r="DM122" s="414"/>
      <c r="GQ122" s="2779"/>
      <c r="GR122" s="2779"/>
      <c r="GS122" s="2779"/>
      <c r="GT122" s="2779"/>
      <c r="GU122" s="2779"/>
      <c r="GV122" s="2779"/>
      <c r="GW122" s="2779"/>
      <c r="GX122" s="2779"/>
      <c r="GY122" s="2779"/>
      <c r="GZ122" s="2779"/>
      <c r="HA122" s="2779"/>
      <c r="HB122" s="2779"/>
      <c r="HC122" s="2780"/>
      <c r="HD122" s="2780"/>
      <c r="HE122" s="2780"/>
      <c r="HF122" s="2780"/>
      <c r="HG122" s="2780"/>
      <c r="HH122" s="2780"/>
      <c r="HI122" s="2780"/>
      <c r="HJ122" s="2780"/>
      <c r="HK122" s="2780"/>
      <c r="HL122" s="2780"/>
      <c r="HM122" s="2780"/>
      <c r="HN122" s="2779"/>
      <c r="HO122" s="2779"/>
      <c r="HP122" s="2779"/>
      <c r="HQ122" s="2779"/>
      <c r="HR122" s="2781"/>
      <c r="HS122" s="2781"/>
      <c r="HT122" s="2781"/>
      <c r="HU122" s="2781"/>
      <c r="HV122" s="2781"/>
      <c r="HW122" s="2781"/>
      <c r="HX122" s="2781"/>
      <c r="HY122" s="2781"/>
      <c r="HZ122" s="2781"/>
      <c r="IA122" s="2781"/>
      <c r="IB122" s="2781"/>
      <c r="IC122" s="2779"/>
      <c r="ID122" s="2779"/>
      <c r="IE122" s="2779"/>
      <c r="IF122" s="2779"/>
      <c r="IG122" s="2781"/>
      <c r="IH122" s="2781"/>
      <c r="II122" s="2781"/>
      <c r="IJ122" s="2781"/>
      <c r="IK122" s="2781"/>
      <c r="IL122" s="2781"/>
      <c r="IM122" s="2781"/>
      <c r="IN122" s="2781"/>
      <c r="IO122" s="2781"/>
    </row>
    <row r="123" spans="6:296" ht="4.1500000000000004" customHeight="1">
      <c r="F123" s="414"/>
      <c r="I123" s="2772"/>
      <c r="J123" s="2772"/>
      <c r="K123" s="2772"/>
      <c r="L123" s="2772"/>
      <c r="P123" s="414"/>
      <c r="R123" s="414"/>
      <c r="AS123" s="415"/>
      <c r="AU123" s="415"/>
      <c r="BB123" s="2579"/>
      <c r="BC123" s="2579"/>
      <c r="BD123" s="2579"/>
      <c r="BE123" s="2579"/>
      <c r="BF123" s="2579"/>
      <c r="BG123" s="2579"/>
      <c r="BH123" s="2579"/>
      <c r="BI123" s="2579"/>
      <c r="BJ123" s="2579"/>
      <c r="BK123" s="2579"/>
      <c r="BL123" s="2579"/>
      <c r="BM123" s="2579"/>
      <c r="BN123" s="2579"/>
      <c r="BO123" s="2579"/>
      <c r="BP123" s="2579"/>
      <c r="BQ123" s="2579"/>
      <c r="BR123" s="2579"/>
      <c r="BS123" s="2579"/>
      <c r="CB123" s="414"/>
      <c r="CD123" s="414"/>
      <c r="CF123" s="2774">
        <v>1.8</v>
      </c>
      <c r="CG123" s="2774"/>
      <c r="CH123" s="2774"/>
      <c r="CI123" s="2774"/>
      <c r="CJ123" s="2774"/>
      <c r="CK123" s="2774"/>
      <c r="CL123" s="2774" t="s">
        <v>901</v>
      </c>
      <c r="CM123" s="2774"/>
      <c r="CN123" s="2774">
        <v>1.35</v>
      </c>
      <c r="CO123" s="2774"/>
      <c r="CP123" s="2774"/>
      <c r="CQ123" s="2774"/>
      <c r="CR123" s="2774"/>
      <c r="CS123" s="2774"/>
      <c r="CU123" s="415"/>
      <c r="CV123" s="411"/>
      <c r="CW123" s="1543"/>
      <c r="CX123" s="414"/>
      <c r="CY123" s="440"/>
      <c r="DA123" s="2772"/>
      <c r="DB123" s="2772"/>
      <c r="DC123" s="2772"/>
      <c r="DD123" s="2772"/>
      <c r="DI123" s="414"/>
      <c r="DM123" s="414"/>
      <c r="GQ123" s="2779" t="s">
        <v>3500</v>
      </c>
      <c r="GR123" s="2779"/>
      <c r="GS123" s="2779"/>
      <c r="GT123" s="2779"/>
      <c r="GU123" s="2779"/>
      <c r="GV123" s="2779"/>
      <c r="GW123" s="2779"/>
      <c r="GX123" s="2779"/>
      <c r="GY123" s="2779"/>
      <c r="GZ123" s="2779"/>
      <c r="HA123" s="2779"/>
      <c r="HB123" s="2779"/>
      <c r="HC123" s="2780">
        <v>1</v>
      </c>
      <c r="HD123" s="2780"/>
      <c r="HE123" s="2780"/>
      <c r="HF123" s="2780"/>
      <c r="HG123" s="2780"/>
      <c r="HH123" s="2780"/>
      <c r="HI123" s="2780"/>
      <c r="HJ123" s="2780"/>
      <c r="HK123" s="2780"/>
      <c r="HL123" s="2780"/>
      <c r="HM123" s="2780"/>
      <c r="HN123" s="2779" t="s">
        <v>901</v>
      </c>
      <c r="HO123" s="2779"/>
      <c r="HP123" s="2779"/>
      <c r="HQ123" s="2779"/>
      <c r="HR123" s="2781">
        <v>2.5</v>
      </c>
      <c r="HS123" s="2781"/>
      <c r="HT123" s="2781"/>
      <c r="HU123" s="2781"/>
      <c r="HV123" s="2781"/>
      <c r="HW123" s="2781"/>
      <c r="HX123" s="2781"/>
      <c r="HY123" s="2781"/>
      <c r="HZ123" s="2781"/>
      <c r="IA123" s="2781"/>
      <c r="IB123" s="2781"/>
      <c r="IC123" s="2779" t="s">
        <v>901</v>
      </c>
      <c r="ID123" s="2779"/>
      <c r="IE123" s="2779"/>
      <c r="IF123" s="2779"/>
      <c r="IG123" s="2781">
        <v>2.1</v>
      </c>
      <c r="IH123" s="2781"/>
      <c r="II123" s="2781"/>
      <c r="IJ123" s="2781"/>
      <c r="IK123" s="2781"/>
      <c r="IL123" s="2781"/>
      <c r="IM123" s="2781"/>
      <c r="IN123" s="2781"/>
      <c r="IO123" s="2781"/>
    </row>
    <row r="124" spans="6:296" ht="4.1500000000000004" customHeight="1">
      <c r="F124" s="414"/>
      <c r="I124" s="2772"/>
      <c r="J124" s="2772"/>
      <c r="K124" s="2772"/>
      <c r="L124" s="2772"/>
      <c r="P124" s="414"/>
      <c r="R124" s="414"/>
      <c r="AS124" s="415"/>
      <c r="AU124" s="415"/>
      <c r="BB124" s="2577">
        <f>BM97-CF123-CV85</f>
        <v>2.5</v>
      </c>
      <c r="BC124" s="2577"/>
      <c r="BD124" s="2577"/>
      <c r="BE124" s="2577"/>
      <c r="BF124" s="2577"/>
      <c r="BG124" s="2577"/>
      <c r="BH124" s="2577"/>
      <c r="BI124" s="2577" t="s">
        <v>901</v>
      </c>
      <c r="BJ124" s="2577"/>
      <c r="BK124" s="2577"/>
      <c r="BL124" s="2577"/>
      <c r="BM124" s="2577">
        <f>CN123</f>
        <v>1.35</v>
      </c>
      <c r="BN124" s="2577"/>
      <c r="BO124" s="2577"/>
      <c r="BP124" s="2577"/>
      <c r="BQ124" s="2577"/>
      <c r="BR124" s="2577"/>
      <c r="BS124" s="2577"/>
      <c r="CB124" s="414"/>
      <c r="CD124" s="414"/>
      <c r="CF124" s="2774"/>
      <c r="CG124" s="2774"/>
      <c r="CH124" s="2774"/>
      <c r="CI124" s="2774"/>
      <c r="CJ124" s="2774"/>
      <c r="CK124" s="2774"/>
      <c r="CL124" s="2774"/>
      <c r="CM124" s="2774"/>
      <c r="CN124" s="2774"/>
      <c r="CO124" s="2774"/>
      <c r="CP124" s="2774"/>
      <c r="CQ124" s="2774"/>
      <c r="CR124" s="2774"/>
      <c r="CS124" s="2774"/>
      <c r="CU124" s="415"/>
      <c r="CV124" s="414"/>
      <c r="CW124" s="1544"/>
      <c r="CX124" s="414"/>
      <c r="CY124" s="440"/>
      <c r="DA124" s="2772"/>
      <c r="DB124" s="2772"/>
      <c r="DC124" s="2772"/>
      <c r="DD124" s="2772"/>
      <c r="DI124" s="414"/>
      <c r="DM124" s="414"/>
      <c r="GQ124" s="2779"/>
      <c r="GR124" s="2779"/>
      <c r="GS124" s="2779"/>
      <c r="GT124" s="2779"/>
      <c r="GU124" s="2779"/>
      <c r="GV124" s="2779"/>
      <c r="GW124" s="2779"/>
      <c r="GX124" s="2779"/>
      <c r="GY124" s="2779"/>
      <c r="GZ124" s="2779"/>
      <c r="HA124" s="2779"/>
      <c r="HB124" s="2779"/>
      <c r="HC124" s="2780"/>
      <c r="HD124" s="2780"/>
      <c r="HE124" s="2780"/>
      <c r="HF124" s="2780"/>
      <c r="HG124" s="2780"/>
      <c r="HH124" s="2780"/>
      <c r="HI124" s="2780"/>
      <c r="HJ124" s="2780"/>
      <c r="HK124" s="2780"/>
      <c r="HL124" s="2780"/>
      <c r="HM124" s="2780"/>
      <c r="HN124" s="2779"/>
      <c r="HO124" s="2779"/>
      <c r="HP124" s="2779"/>
      <c r="HQ124" s="2779"/>
      <c r="HR124" s="2781"/>
      <c r="HS124" s="2781"/>
      <c r="HT124" s="2781"/>
      <c r="HU124" s="2781"/>
      <c r="HV124" s="2781"/>
      <c r="HW124" s="2781"/>
      <c r="HX124" s="2781"/>
      <c r="HY124" s="2781"/>
      <c r="HZ124" s="2781"/>
      <c r="IA124" s="2781"/>
      <c r="IB124" s="2781"/>
      <c r="IC124" s="2779"/>
      <c r="ID124" s="2779"/>
      <c r="IE124" s="2779"/>
      <c r="IF124" s="2779"/>
      <c r="IG124" s="2781"/>
      <c r="IH124" s="2781"/>
      <c r="II124" s="2781"/>
      <c r="IJ124" s="2781"/>
      <c r="IK124" s="2781"/>
      <c r="IL124" s="2781"/>
      <c r="IM124" s="2781"/>
      <c r="IN124" s="2781"/>
      <c r="IO124" s="2781"/>
    </row>
    <row r="125" spans="6:296" ht="4.1500000000000004" customHeight="1">
      <c r="F125" s="414"/>
      <c r="I125" s="2772"/>
      <c r="J125" s="2772"/>
      <c r="K125" s="2772"/>
      <c r="L125" s="2772"/>
      <c r="P125" s="414"/>
      <c r="R125" s="414"/>
      <c r="AS125" s="415"/>
      <c r="AU125" s="415"/>
      <c r="BB125" s="2577"/>
      <c r="BC125" s="2577"/>
      <c r="BD125" s="2577"/>
      <c r="BE125" s="2577"/>
      <c r="BF125" s="2577"/>
      <c r="BG125" s="2577"/>
      <c r="BH125" s="2577"/>
      <c r="BI125" s="2577"/>
      <c r="BJ125" s="2577"/>
      <c r="BK125" s="2577"/>
      <c r="BL125" s="2577"/>
      <c r="BM125" s="2577"/>
      <c r="BN125" s="2577"/>
      <c r="BO125" s="2577"/>
      <c r="BP125" s="2577"/>
      <c r="BQ125" s="2577"/>
      <c r="BR125" s="2577"/>
      <c r="BS125" s="2577"/>
      <c r="CA125" s="415"/>
      <c r="CB125" s="414"/>
      <c r="CD125" s="414"/>
      <c r="CF125" s="2774"/>
      <c r="CG125" s="2774"/>
      <c r="CH125" s="2774"/>
      <c r="CI125" s="2774"/>
      <c r="CJ125" s="2774"/>
      <c r="CK125" s="2774"/>
      <c r="CL125" s="2774"/>
      <c r="CM125" s="2774"/>
      <c r="CN125" s="2774"/>
      <c r="CO125" s="2774"/>
      <c r="CP125" s="2774"/>
      <c r="CQ125" s="2774"/>
      <c r="CR125" s="2774"/>
      <c r="CS125" s="2774"/>
      <c r="CU125" s="415"/>
      <c r="CV125" s="414"/>
      <c r="CW125" s="1544"/>
      <c r="CX125" s="414"/>
      <c r="CY125" s="440"/>
      <c r="DA125" s="2772"/>
      <c r="DB125" s="2772"/>
      <c r="DC125" s="2772"/>
      <c r="DD125" s="2772"/>
      <c r="DI125" s="414"/>
      <c r="DM125" s="414"/>
      <c r="GQ125" s="2779"/>
      <c r="GR125" s="2779"/>
      <c r="GS125" s="2779"/>
      <c r="GT125" s="2779"/>
      <c r="GU125" s="2779"/>
      <c r="GV125" s="2779"/>
      <c r="GW125" s="2779"/>
      <c r="GX125" s="2779"/>
      <c r="GY125" s="2779"/>
      <c r="GZ125" s="2779"/>
      <c r="HA125" s="2779"/>
      <c r="HB125" s="2779"/>
      <c r="HC125" s="2780"/>
      <c r="HD125" s="2780"/>
      <c r="HE125" s="2780"/>
      <c r="HF125" s="2780"/>
      <c r="HG125" s="2780"/>
      <c r="HH125" s="2780"/>
      <c r="HI125" s="2780"/>
      <c r="HJ125" s="2780"/>
      <c r="HK125" s="2780"/>
      <c r="HL125" s="2780"/>
      <c r="HM125" s="2780"/>
      <c r="HN125" s="2779"/>
      <c r="HO125" s="2779"/>
      <c r="HP125" s="2779"/>
      <c r="HQ125" s="2779"/>
      <c r="HR125" s="2781"/>
      <c r="HS125" s="2781"/>
      <c r="HT125" s="2781"/>
      <c r="HU125" s="2781"/>
      <c r="HV125" s="2781"/>
      <c r="HW125" s="2781"/>
      <c r="HX125" s="2781"/>
      <c r="HY125" s="2781"/>
      <c r="HZ125" s="2781"/>
      <c r="IA125" s="2781"/>
      <c r="IB125" s="2781"/>
      <c r="IC125" s="2779"/>
      <c r="ID125" s="2779"/>
      <c r="IE125" s="2779"/>
      <c r="IF125" s="2779"/>
      <c r="IG125" s="2781"/>
      <c r="IH125" s="2781"/>
      <c r="II125" s="2781"/>
      <c r="IJ125" s="2781"/>
      <c r="IK125" s="2781"/>
      <c r="IL125" s="2781"/>
      <c r="IM125" s="2781"/>
      <c r="IN125" s="2781"/>
      <c r="IO125" s="2781"/>
    </row>
    <row r="126" spans="6:296" ht="4.1500000000000004" customHeight="1">
      <c r="F126" s="414"/>
      <c r="I126" s="2772"/>
      <c r="J126" s="2772"/>
      <c r="K126" s="2772"/>
      <c r="L126" s="2772"/>
      <c r="P126" s="414"/>
      <c r="R126" s="1539"/>
      <c r="S126" s="481"/>
      <c r="AS126" s="415"/>
      <c r="AU126" s="415"/>
      <c r="BB126" s="2577"/>
      <c r="BC126" s="2577"/>
      <c r="BD126" s="2577"/>
      <c r="BE126" s="2577"/>
      <c r="BF126" s="2577"/>
      <c r="BG126" s="2577"/>
      <c r="BH126" s="2577"/>
      <c r="BI126" s="2577"/>
      <c r="BJ126" s="2577"/>
      <c r="BK126" s="2577"/>
      <c r="BL126" s="2577"/>
      <c r="BM126" s="2577"/>
      <c r="BN126" s="2577"/>
      <c r="BO126" s="2577"/>
      <c r="BP126" s="2577"/>
      <c r="BQ126" s="2577"/>
      <c r="BR126" s="2577"/>
      <c r="BS126" s="2577"/>
      <c r="CA126" s="415"/>
      <c r="CB126" s="414"/>
      <c r="CD126" s="414"/>
      <c r="CT126" s="481"/>
      <c r="CU126" s="482"/>
      <c r="CV126" s="416"/>
      <c r="CW126" s="1545"/>
      <c r="CX126" s="414"/>
      <c r="CY126" s="440"/>
      <c r="DA126" s="2772"/>
      <c r="DB126" s="2772"/>
      <c r="DC126" s="2772"/>
      <c r="DD126" s="2772"/>
      <c r="DI126" s="414"/>
      <c r="DM126" s="414"/>
    </row>
    <row r="127" spans="6:296" ht="4.1500000000000004" customHeight="1">
      <c r="F127" s="414"/>
      <c r="I127" s="2772"/>
      <c r="J127" s="2772"/>
      <c r="K127" s="2772"/>
      <c r="L127" s="2772"/>
      <c r="P127" s="414"/>
      <c r="R127" s="1539"/>
      <c r="S127" s="481"/>
      <c r="AS127" s="415"/>
      <c r="AU127" s="415"/>
      <c r="CA127" s="415"/>
      <c r="CB127" s="414"/>
      <c r="CD127" s="414"/>
      <c r="CT127" s="481"/>
      <c r="CU127" s="482"/>
      <c r="CW127" s="415"/>
      <c r="CX127" s="1541"/>
      <c r="CY127" s="444"/>
      <c r="DA127" s="2772"/>
      <c r="DB127" s="2772"/>
      <c r="DC127" s="2772"/>
      <c r="DD127" s="2772"/>
      <c r="DI127" s="414"/>
      <c r="DM127" s="414"/>
    </row>
    <row r="128" spans="6:296" ht="4.1500000000000004" customHeight="1">
      <c r="F128" s="414"/>
      <c r="I128" s="2772"/>
      <c r="J128" s="2772"/>
      <c r="K128" s="2772"/>
      <c r="L128" s="2772"/>
      <c r="P128" s="414"/>
      <c r="R128" s="1539"/>
      <c r="S128" s="481"/>
      <c r="AJ128" s="483"/>
      <c r="AK128" s="483"/>
      <c r="AL128" s="483"/>
      <c r="AM128" s="483"/>
      <c r="AS128" s="415"/>
      <c r="AU128" s="1538"/>
      <c r="AV128" s="1537"/>
      <c r="AW128" s="1537"/>
      <c r="AX128" s="1537"/>
      <c r="BD128" s="484"/>
      <c r="BE128" s="484"/>
      <c r="BF128" s="484"/>
      <c r="BG128" s="449"/>
      <c r="BH128" s="449"/>
      <c r="BI128" s="449"/>
      <c r="BJ128" s="449"/>
      <c r="BK128" s="449"/>
      <c r="BL128" s="449"/>
      <c r="BM128" s="449"/>
      <c r="BN128" s="449"/>
      <c r="BO128" s="449"/>
      <c r="BP128" s="449"/>
      <c r="BQ128" s="449"/>
      <c r="BR128" s="449"/>
      <c r="BS128" s="449"/>
      <c r="CA128" s="415"/>
      <c r="CD128" s="414"/>
      <c r="CT128" s="481"/>
      <c r="CU128" s="482"/>
      <c r="CW128" s="415"/>
      <c r="DA128" s="2772"/>
      <c r="DB128" s="2772"/>
      <c r="DC128" s="2772"/>
      <c r="DD128" s="2772"/>
      <c r="DI128" s="414"/>
      <c r="DM128" s="414"/>
    </row>
    <row r="129" spans="4:119" ht="4.1500000000000004" customHeight="1">
      <c r="F129" s="414"/>
      <c r="I129" s="2772"/>
      <c r="J129" s="2772"/>
      <c r="K129" s="2772"/>
      <c r="L129" s="2772"/>
      <c r="P129" s="414"/>
      <c r="R129" s="1539"/>
      <c r="S129" s="481"/>
      <c r="AJ129" s="483"/>
      <c r="AK129" s="483"/>
      <c r="AL129" s="483"/>
      <c r="AM129" s="483"/>
      <c r="AS129" s="415"/>
      <c r="AU129" s="1538"/>
      <c r="AV129" s="1537"/>
      <c r="AW129" s="1537"/>
      <c r="AX129" s="1537"/>
      <c r="BD129" s="484"/>
      <c r="BE129" s="484"/>
      <c r="BF129" s="484"/>
      <c r="BG129" s="449"/>
      <c r="BH129" s="449"/>
      <c r="BI129" s="449"/>
      <c r="BJ129" s="449"/>
      <c r="BK129" s="449"/>
      <c r="BL129" s="449"/>
      <c r="BM129" s="449"/>
      <c r="BN129" s="449"/>
      <c r="BO129" s="449"/>
      <c r="BP129" s="449"/>
      <c r="BQ129" s="449"/>
      <c r="BR129" s="449"/>
      <c r="BS129" s="449"/>
      <c r="CA129" s="415"/>
      <c r="CD129" s="414"/>
      <c r="CT129" s="481"/>
      <c r="CU129" s="481"/>
      <c r="CV129" s="414"/>
      <c r="CW129" s="415"/>
      <c r="DA129" s="2772"/>
      <c r="DB129" s="2772"/>
      <c r="DC129" s="2772"/>
      <c r="DD129" s="2772"/>
      <c r="DI129" s="414"/>
      <c r="DM129" s="414"/>
    </row>
    <row r="130" spans="4:119" ht="4.1500000000000004" customHeight="1">
      <c r="F130" s="414"/>
      <c r="K130" s="414"/>
      <c r="P130" s="414"/>
      <c r="Q130" s="415"/>
      <c r="R130" s="1539"/>
      <c r="S130" s="481"/>
      <c r="AJ130" s="483"/>
      <c r="AK130" s="483"/>
      <c r="AL130" s="483"/>
      <c r="AM130" s="483"/>
      <c r="AS130" s="415"/>
      <c r="AU130" s="1538"/>
      <c r="AV130" s="1537"/>
      <c r="AW130" s="1537"/>
      <c r="AX130" s="1537"/>
      <c r="BD130" s="484"/>
      <c r="BE130" s="484"/>
      <c r="BF130" s="484"/>
      <c r="BG130" s="449"/>
      <c r="BH130" s="449"/>
      <c r="BI130" s="449"/>
      <c r="BJ130" s="449"/>
      <c r="BK130" s="449"/>
      <c r="BL130" s="449"/>
      <c r="BM130" s="449"/>
      <c r="BN130" s="449"/>
      <c r="BO130" s="449"/>
      <c r="BP130" s="449"/>
      <c r="BQ130" s="449"/>
      <c r="BR130" s="449"/>
      <c r="BS130" s="449"/>
      <c r="CA130" s="415"/>
      <c r="CD130" s="414"/>
      <c r="CT130" s="481"/>
      <c r="CU130" s="482"/>
      <c r="CV130" s="414"/>
      <c r="CW130" s="415"/>
      <c r="DC130" s="414"/>
      <c r="DI130" s="414"/>
      <c r="DM130" s="414"/>
    </row>
    <row r="131" spans="4:119" ht="4.1500000000000004" customHeight="1">
      <c r="F131" s="414"/>
      <c r="K131" s="414"/>
      <c r="P131" s="414"/>
      <c r="Q131" s="415"/>
      <c r="R131" s="1539"/>
      <c r="S131" s="481"/>
      <c r="AS131" s="415"/>
      <c r="AU131" s="415"/>
      <c r="CB131" s="414"/>
      <c r="CD131" s="416"/>
      <c r="CE131" s="417"/>
      <c r="CF131" s="417"/>
      <c r="CG131" s="417"/>
      <c r="CH131" s="417"/>
      <c r="CI131" s="417"/>
      <c r="CJ131" s="417"/>
      <c r="CO131" s="417"/>
      <c r="CP131" s="417"/>
      <c r="CQ131" s="417"/>
      <c r="CT131" s="417"/>
      <c r="CU131" s="418"/>
      <c r="CV131" s="414"/>
      <c r="CW131" s="415"/>
      <c r="DC131" s="414"/>
      <c r="DI131" s="414"/>
      <c r="DM131" s="414"/>
    </row>
    <row r="132" spans="4:119" ht="4.1500000000000004" customHeight="1" thickBot="1">
      <c r="F132" s="414"/>
      <c r="K132" s="414"/>
      <c r="P132" s="453"/>
      <c r="Q132" s="454"/>
      <c r="R132" s="1546"/>
      <c r="S132" s="1546"/>
      <c r="T132" s="1546"/>
      <c r="U132" s="1546"/>
      <c r="V132" s="1546"/>
      <c r="W132" s="1546"/>
      <c r="X132" s="1546"/>
      <c r="Y132" s="1546"/>
      <c r="Z132" s="1546"/>
      <c r="AA132" s="1546"/>
      <c r="AB132" s="1546"/>
      <c r="AC132" s="1546"/>
      <c r="AD132" s="1546"/>
      <c r="AE132" s="1546"/>
      <c r="AF132" s="1546"/>
      <c r="AG132" s="1546"/>
      <c r="AH132" s="1546"/>
      <c r="AI132" s="1546"/>
      <c r="AJ132" s="1546"/>
      <c r="AK132" s="1546"/>
      <c r="AL132" s="1546"/>
      <c r="AM132" s="1546"/>
      <c r="AN132" s="1546"/>
      <c r="AO132" s="1546"/>
      <c r="AP132" s="1546"/>
      <c r="AQ132" s="1546"/>
      <c r="AR132" s="1546"/>
      <c r="AS132" s="1547"/>
      <c r="AT132" s="453"/>
      <c r="AU132" s="454"/>
      <c r="AV132" s="1540"/>
      <c r="AW132" s="434"/>
      <c r="AX132" s="434"/>
      <c r="AY132" s="434"/>
      <c r="AZ132" s="434"/>
      <c r="BA132" s="434"/>
      <c r="BB132" s="434"/>
      <c r="BC132" s="434"/>
      <c r="BD132" s="434"/>
      <c r="BE132" s="434"/>
      <c r="BF132" s="434"/>
      <c r="BG132" s="434"/>
      <c r="BH132" s="434"/>
      <c r="BI132" s="434"/>
      <c r="BJ132" s="434"/>
      <c r="BK132" s="434"/>
      <c r="BL132" s="434"/>
      <c r="BM132" s="434"/>
      <c r="BN132" s="434"/>
      <c r="BO132" s="434"/>
      <c r="BP132" s="434"/>
      <c r="BQ132" s="434"/>
      <c r="BR132" s="434"/>
      <c r="BS132" s="434"/>
      <c r="BT132" s="434"/>
      <c r="BU132" s="434"/>
      <c r="BV132" s="434"/>
      <c r="BW132" s="434"/>
      <c r="BX132" s="434"/>
      <c r="BY132" s="434"/>
      <c r="BZ132" s="434"/>
      <c r="CA132" s="487"/>
      <c r="CK132" s="412"/>
      <c r="CL132" s="412"/>
      <c r="CM132" s="412"/>
      <c r="CN132" s="412"/>
      <c r="CR132" s="412"/>
      <c r="CS132" s="412"/>
      <c r="CV132" s="453"/>
      <c r="CW132" s="454"/>
      <c r="DA132" s="417"/>
      <c r="DB132" s="417"/>
      <c r="DC132" s="416"/>
      <c r="DD132" s="417"/>
      <c r="DG132" s="417"/>
      <c r="DH132" s="417"/>
      <c r="DI132" s="416"/>
      <c r="DJ132" s="417"/>
      <c r="DM132" s="414"/>
    </row>
    <row r="133" spans="4:119" ht="4.1500000000000004" customHeight="1">
      <c r="D133" s="417"/>
      <c r="E133" s="417"/>
      <c r="F133" s="416"/>
      <c r="G133" s="417"/>
      <c r="H133" s="417"/>
      <c r="I133" s="417"/>
      <c r="J133" s="417"/>
      <c r="K133" s="416"/>
      <c r="L133" s="417"/>
      <c r="P133" s="454"/>
      <c r="Q133" s="454"/>
      <c r="R133" s="1542"/>
      <c r="S133" s="1542"/>
      <c r="T133" s="1542"/>
      <c r="U133" s="1542"/>
      <c r="V133" s="1542"/>
      <c r="W133" s="1542"/>
      <c r="X133" s="1542"/>
      <c r="Y133" s="1542"/>
      <c r="Z133" s="1542"/>
      <c r="AA133" s="1542"/>
      <c r="AB133" s="1542"/>
      <c r="AC133" s="1542"/>
      <c r="AD133" s="1542"/>
      <c r="AE133" s="1542"/>
      <c r="AF133" s="1542"/>
      <c r="AG133" s="1542"/>
      <c r="AH133" s="1542"/>
      <c r="AI133" s="1542"/>
      <c r="AJ133" s="1542"/>
      <c r="AK133" s="1542"/>
      <c r="AL133" s="1542"/>
      <c r="AM133" s="1542"/>
      <c r="AN133" s="1542"/>
      <c r="AO133" s="1542"/>
      <c r="AP133" s="1542"/>
      <c r="AQ133" s="1542"/>
      <c r="AR133" s="1542"/>
      <c r="AS133" s="1542"/>
      <c r="AT133" s="454"/>
      <c r="AU133" s="454"/>
      <c r="AV133" s="414"/>
      <c r="CA133" s="415"/>
      <c r="CD133" s="417"/>
      <c r="CE133" s="417"/>
      <c r="CF133" s="417"/>
      <c r="CG133" s="417"/>
      <c r="CH133" s="417"/>
      <c r="CI133" s="417"/>
      <c r="CJ133" s="417"/>
      <c r="CK133" s="417"/>
      <c r="CL133" s="417"/>
      <c r="CM133" s="417"/>
      <c r="CN133" s="417"/>
      <c r="CO133" s="417"/>
      <c r="CP133" s="417"/>
      <c r="CQ133" s="417"/>
      <c r="CR133" s="417"/>
      <c r="CS133" s="417"/>
      <c r="CT133" s="417"/>
      <c r="CU133" s="417"/>
      <c r="CV133" s="454"/>
      <c r="CW133" s="454"/>
      <c r="DK133" s="417"/>
      <c r="DL133" s="417"/>
      <c r="DM133" s="416"/>
      <c r="DN133" s="417"/>
      <c r="DO133" s="417"/>
    </row>
    <row r="134" spans="4:119" ht="4.1500000000000004" customHeight="1">
      <c r="P134" s="411"/>
      <c r="Q134" s="412"/>
      <c r="AT134" s="412"/>
      <c r="AU134" s="412"/>
      <c r="AV134" s="412"/>
      <c r="AW134" s="412"/>
      <c r="AX134" s="412"/>
      <c r="AY134" s="412"/>
      <c r="AZ134" s="412"/>
      <c r="BA134" s="412"/>
      <c r="BB134" s="412"/>
      <c r="BC134" s="412"/>
      <c r="BD134" s="412"/>
      <c r="BE134" s="412"/>
      <c r="BF134" s="412"/>
      <c r="BG134" s="412"/>
      <c r="BH134" s="412"/>
      <c r="BI134" s="412"/>
      <c r="BJ134" s="412"/>
      <c r="BK134" s="412"/>
      <c r="BL134" s="412"/>
      <c r="BM134" s="412"/>
      <c r="BN134" s="412"/>
      <c r="BO134" s="412"/>
      <c r="BP134" s="412"/>
      <c r="BQ134" s="412"/>
      <c r="BR134" s="412"/>
      <c r="BS134" s="412"/>
      <c r="BT134" s="412"/>
      <c r="BU134" s="412"/>
      <c r="BV134" s="412"/>
      <c r="BW134" s="412"/>
      <c r="BX134" s="412"/>
      <c r="BY134" s="412"/>
      <c r="BZ134" s="412"/>
      <c r="CA134" s="412"/>
      <c r="CB134" s="412"/>
      <c r="CC134" s="413"/>
    </row>
    <row r="135" spans="4:119" ht="4.1500000000000004" customHeight="1">
      <c r="P135" s="416"/>
      <c r="Q135" s="417"/>
      <c r="R135" s="417"/>
      <c r="S135" s="417"/>
      <c r="T135" s="417"/>
      <c r="U135" s="417"/>
      <c r="V135" s="417"/>
      <c r="W135" s="417"/>
      <c r="X135" s="417"/>
      <c r="Y135" s="417"/>
      <c r="Z135" s="417"/>
      <c r="AA135" s="417"/>
      <c r="AB135" s="417"/>
      <c r="AC135" s="417"/>
      <c r="AD135" s="417"/>
      <c r="AE135" s="417"/>
      <c r="AF135" s="417"/>
      <c r="AG135" s="417"/>
      <c r="AH135" s="417"/>
      <c r="AI135" s="417"/>
      <c r="AJ135" s="417"/>
      <c r="AK135" s="417"/>
      <c r="AL135" s="417"/>
      <c r="AM135" s="417"/>
      <c r="AN135" s="417"/>
      <c r="AO135" s="417"/>
      <c r="AP135" s="417"/>
      <c r="AQ135" s="417"/>
      <c r="AR135" s="417"/>
      <c r="AS135" s="417"/>
      <c r="AT135" s="417"/>
      <c r="AU135" s="417"/>
      <c r="AV135" s="417"/>
      <c r="AW135" s="417"/>
      <c r="AX135" s="417"/>
      <c r="AY135" s="417"/>
      <c r="AZ135" s="417"/>
      <c r="BA135" s="417"/>
      <c r="BB135" s="417"/>
      <c r="BC135" s="417"/>
      <c r="BD135" s="417"/>
      <c r="BE135" s="417"/>
      <c r="BF135" s="417"/>
      <c r="BG135" s="417"/>
      <c r="BH135" s="417"/>
      <c r="BI135" s="417"/>
      <c r="BJ135" s="417"/>
      <c r="BK135" s="417"/>
      <c r="BL135" s="417"/>
      <c r="BM135" s="417"/>
      <c r="BN135" s="417"/>
      <c r="BO135" s="417"/>
      <c r="BP135" s="417"/>
      <c r="BQ135" s="417"/>
      <c r="BR135" s="417"/>
      <c r="BS135" s="417"/>
      <c r="BT135" s="417"/>
      <c r="BU135" s="417"/>
      <c r="BV135" s="417"/>
      <c r="BW135" s="417"/>
      <c r="BX135" s="417"/>
      <c r="BY135" s="417"/>
      <c r="BZ135" s="417"/>
      <c r="CA135" s="417"/>
      <c r="CB135" s="417"/>
      <c r="CC135" s="418"/>
    </row>
    <row r="136" spans="4:119" ht="4.1500000000000004" customHeight="1">
      <c r="P136" s="411"/>
      <c r="Q136" s="412"/>
      <c r="R136" s="412"/>
      <c r="S136" s="412"/>
      <c r="T136" s="412"/>
      <c r="U136" s="412"/>
      <c r="V136" s="412"/>
      <c r="W136" s="412"/>
      <c r="X136" s="412"/>
      <c r="Y136" s="412"/>
      <c r="Z136" s="412"/>
      <c r="AA136" s="412"/>
      <c r="AB136" s="412"/>
      <c r="AC136" s="412"/>
      <c r="AD136" s="412"/>
      <c r="AE136" s="412"/>
      <c r="AF136" s="412"/>
      <c r="AG136" s="412"/>
      <c r="AH136" s="412"/>
      <c r="AI136" s="412"/>
      <c r="AJ136" s="412"/>
      <c r="AK136" s="412"/>
      <c r="AL136" s="412"/>
      <c r="AM136" s="412"/>
      <c r="AN136" s="412"/>
      <c r="AO136" s="412"/>
      <c r="AP136" s="412"/>
      <c r="AQ136" s="412"/>
      <c r="AR136" s="412"/>
      <c r="AS136" s="412"/>
      <c r="AT136" s="412"/>
      <c r="AU136" s="412"/>
      <c r="AV136" s="412"/>
      <c r="AW136" s="412"/>
      <c r="AX136" s="412"/>
      <c r="AY136" s="412"/>
      <c r="AZ136" s="412"/>
      <c r="BA136" s="412"/>
      <c r="BB136" s="412"/>
      <c r="BC136" s="412"/>
      <c r="BD136" s="412"/>
      <c r="BE136" s="412"/>
      <c r="BF136" s="412"/>
      <c r="BG136" s="412"/>
      <c r="BH136" s="412"/>
      <c r="BI136" s="412"/>
      <c r="BJ136" s="412"/>
      <c r="BK136" s="412"/>
      <c r="BL136" s="412"/>
      <c r="BM136" s="412"/>
      <c r="BN136" s="412"/>
      <c r="BO136" s="412"/>
      <c r="BP136" s="412"/>
      <c r="BQ136" s="412"/>
      <c r="BR136" s="412"/>
      <c r="BS136" s="412"/>
      <c r="BT136" s="412"/>
      <c r="BU136" s="412"/>
      <c r="BV136" s="412"/>
      <c r="BW136" s="412"/>
      <c r="BX136" s="412"/>
      <c r="BY136" s="412"/>
      <c r="BZ136" s="412"/>
      <c r="CA136" s="412"/>
      <c r="CB136" s="412"/>
      <c r="CC136" s="413"/>
    </row>
    <row r="137" spans="4:119" ht="4.1500000000000004" customHeight="1">
      <c r="P137" s="416"/>
      <c r="Q137" s="417"/>
      <c r="R137" s="417"/>
      <c r="S137" s="417"/>
      <c r="T137" s="417"/>
      <c r="U137" s="417"/>
      <c r="V137" s="417"/>
      <c r="W137" s="417"/>
      <c r="X137" s="417"/>
      <c r="Y137" s="417"/>
      <c r="Z137" s="417"/>
      <c r="AA137" s="417"/>
      <c r="AB137" s="417"/>
      <c r="AC137" s="417"/>
      <c r="AD137" s="417"/>
      <c r="AE137" s="417"/>
      <c r="AF137" s="417"/>
      <c r="AG137" s="417"/>
      <c r="AH137" s="417"/>
      <c r="AI137" s="417"/>
      <c r="AJ137" s="417"/>
      <c r="AK137" s="417"/>
      <c r="AL137" s="417"/>
      <c r="AM137" s="417"/>
      <c r="AN137" s="417"/>
      <c r="AO137" s="417"/>
      <c r="AP137" s="417"/>
      <c r="AQ137" s="417"/>
      <c r="AR137" s="417"/>
      <c r="AS137" s="417"/>
      <c r="AT137" s="417"/>
      <c r="AU137" s="417"/>
      <c r="AV137" s="417"/>
      <c r="AW137" s="417"/>
      <c r="AX137" s="417"/>
      <c r="AY137" s="417"/>
      <c r="AZ137" s="417"/>
      <c r="BA137" s="417"/>
      <c r="BB137" s="417"/>
      <c r="BC137" s="417"/>
      <c r="BD137" s="417"/>
      <c r="BE137" s="417"/>
      <c r="BF137" s="417"/>
      <c r="BG137" s="417"/>
      <c r="BH137" s="417"/>
      <c r="BI137" s="417"/>
      <c r="BJ137" s="417"/>
      <c r="BK137" s="417"/>
      <c r="BL137" s="417"/>
      <c r="BM137" s="417"/>
      <c r="BN137" s="417"/>
      <c r="BO137" s="417"/>
      <c r="BP137" s="417"/>
      <c r="BQ137" s="417"/>
      <c r="BR137" s="417"/>
      <c r="BS137" s="417"/>
      <c r="BT137" s="417"/>
      <c r="BU137" s="417"/>
      <c r="BV137" s="417"/>
      <c r="BW137" s="417"/>
      <c r="BX137" s="417"/>
      <c r="BY137" s="417"/>
      <c r="BZ137" s="417"/>
      <c r="CA137" s="417"/>
      <c r="CB137" s="417"/>
      <c r="CC137" s="418"/>
    </row>
    <row r="138" spans="4:119" ht="4.1500000000000004" customHeight="1">
      <c r="AL138" s="434"/>
      <c r="AM138" s="434"/>
      <c r="AN138" s="434"/>
      <c r="AO138" s="434"/>
      <c r="AP138" s="434"/>
      <c r="AQ138" s="434"/>
      <c r="AR138" s="434"/>
      <c r="AS138" s="434"/>
      <c r="AT138" s="434"/>
      <c r="AU138" s="434"/>
      <c r="AV138" s="434"/>
      <c r="AW138" s="434"/>
      <c r="AX138" s="434"/>
      <c r="AY138" s="434"/>
      <c r="AZ138" s="434"/>
      <c r="BA138" s="434"/>
      <c r="BB138" s="434"/>
      <c r="BC138" s="434"/>
    </row>
    <row r="140" spans="4:119" ht="4.1500000000000004" customHeight="1">
      <c r="P140" s="414"/>
      <c r="X140" s="2773">
        <f>W118+CV85</f>
        <v>2.35</v>
      </c>
      <c r="Y140" s="2579"/>
      <c r="Z140" s="2579"/>
      <c r="AA140" s="2579"/>
      <c r="AB140" s="2579"/>
      <c r="AC140" s="2579"/>
      <c r="AD140" s="2579"/>
      <c r="AE140" s="2579"/>
      <c r="AF140" s="2579"/>
      <c r="AG140" s="2579"/>
      <c r="AH140" s="2579"/>
      <c r="AI140" s="2579"/>
      <c r="AJ140" s="2579"/>
      <c r="AK140" s="2579"/>
      <c r="AT140" s="415"/>
      <c r="BD140" s="2773">
        <f>BB124+CV85</f>
        <v>2.75</v>
      </c>
      <c r="BE140" s="2579"/>
      <c r="BF140" s="2579"/>
      <c r="BG140" s="2579"/>
      <c r="BH140" s="2579"/>
      <c r="BI140" s="2579"/>
      <c r="BJ140" s="2579"/>
      <c r="BK140" s="2579"/>
      <c r="BL140" s="2579"/>
      <c r="BM140" s="2579"/>
      <c r="BN140" s="2579"/>
      <c r="BO140" s="2579"/>
      <c r="BP140" s="2579"/>
      <c r="BQ140" s="2579"/>
      <c r="CC140" s="415"/>
      <c r="CD140" s="414"/>
      <c r="CF140" s="2773">
        <f>CF123+CV85</f>
        <v>2.0499999999999998</v>
      </c>
      <c r="CG140" s="2579"/>
      <c r="CH140" s="2579"/>
      <c r="CI140" s="2579"/>
      <c r="CJ140" s="2579"/>
      <c r="CK140" s="2579"/>
      <c r="CL140" s="2579"/>
      <c r="CM140" s="2579"/>
      <c r="CN140" s="2579"/>
      <c r="CO140" s="2579"/>
      <c r="CP140" s="2579"/>
      <c r="CQ140" s="2579"/>
      <c r="CR140" s="2579"/>
      <c r="CV140" s="415"/>
    </row>
    <row r="141" spans="4:119" ht="4.1500000000000004" customHeight="1">
      <c r="P141" s="416"/>
      <c r="Q141" s="417"/>
      <c r="R141" s="417"/>
      <c r="S141" s="417"/>
      <c r="T141" s="417"/>
      <c r="U141" s="417"/>
      <c r="V141" s="417"/>
      <c r="W141" s="417"/>
      <c r="X141" s="2579"/>
      <c r="Y141" s="2579"/>
      <c r="Z141" s="2579"/>
      <c r="AA141" s="2579"/>
      <c r="AB141" s="2579"/>
      <c r="AC141" s="2579"/>
      <c r="AD141" s="2579"/>
      <c r="AE141" s="2579"/>
      <c r="AF141" s="2579"/>
      <c r="AG141" s="2579"/>
      <c r="AH141" s="2579"/>
      <c r="AI141" s="2579"/>
      <c r="AJ141" s="2579"/>
      <c r="AK141" s="2579"/>
      <c r="AL141" s="417"/>
      <c r="AM141" s="417"/>
      <c r="AN141" s="417"/>
      <c r="AO141" s="417"/>
      <c r="AP141" s="417"/>
      <c r="AQ141" s="417"/>
      <c r="AR141" s="417"/>
      <c r="AS141" s="417"/>
      <c r="AT141" s="418"/>
      <c r="AU141" s="417"/>
      <c r="AV141" s="417"/>
      <c r="AW141" s="417"/>
      <c r="AX141" s="417"/>
      <c r="AY141" s="417"/>
      <c r="AZ141" s="417"/>
      <c r="BA141" s="417"/>
      <c r="BB141" s="417"/>
      <c r="BC141" s="417"/>
      <c r="BD141" s="2579"/>
      <c r="BE141" s="2579"/>
      <c r="BF141" s="2579"/>
      <c r="BG141" s="2579"/>
      <c r="BH141" s="2579"/>
      <c r="BI141" s="2579"/>
      <c r="BJ141" s="2579"/>
      <c r="BK141" s="2579"/>
      <c r="BL141" s="2579"/>
      <c r="BM141" s="2579"/>
      <c r="BN141" s="2579"/>
      <c r="BO141" s="2579"/>
      <c r="BP141" s="2579"/>
      <c r="BQ141" s="2579"/>
      <c r="BR141" s="417"/>
      <c r="BS141" s="417"/>
      <c r="BT141" s="417"/>
      <c r="BU141" s="417"/>
      <c r="BV141" s="417"/>
      <c r="BW141" s="417"/>
      <c r="BX141" s="417"/>
      <c r="BY141" s="417"/>
      <c r="BZ141" s="417"/>
      <c r="CA141" s="417"/>
      <c r="CB141" s="417"/>
      <c r="CC141" s="418"/>
      <c r="CD141" s="416"/>
      <c r="CE141" s="417"/>
      <c r="CF141" s="2579"/>
      <c r="CG141" s="2579"/>
      <c r="CH141" s="2579"/>
      <c r="CI141" s="2579"/>
      <c r="CJ141" s="2579"/>
      <c r="CK141" s="2579"/>
      <c r="CL141" s="2579"/>
      <c r="CM141" s="2579"/>
      <c r="CN141" s="2579"/>
      <c r="CO141" s="2579"/>
      <c r="CP141" s="2579"/>
      <c r="CQ141" s="2579"/>
      <c r="CR141" s="2579"/>
      <c r="CS141" s="417"/>
      <c r="CT141" s="417"/>
      <c r="CU141" s="417"/>
      <c r="CV141" s="418"/>
    </row>
    <row r="142" spans="4:119" ht="4.1500000000000004" customHeight="1">
      <c r="P142" s="414"/>
      <c r="X142" s="2579"/>
      <c r="Y142" s="2579"/>
      <c r="Z142" s="2579"/>
      <c r="AA142" s="2579"/>
      <c r="AB142" s="2579"/>
      <c r="AC142" s="2579"/>
      <c r="AD142" s="2579"/>
      <c r="AE142" s="2579"/>
      <c r="AF142" s="2579"/>
      <c r="AG142" s="2579"/>
      <c r="AH142" s="2579"/>
      <c r="AI142" s="2579"/>
      <c r="AJ142" s="2579"/>
      <c r="AK142" s="2579"/>
      <c r="AT142" s="415"/>
      <c r="BD142" s="2579"/>
      <c r="BE142" s="2579"/>
      <c r="BF142" s="2579"/>
      <c r="BG142" s="2579"/>
      <c r="BH142" s="2579"/>
      <c r="BI142" s="2579"/>
      <c r="BJ142" s="2579"/>
      <c r="BK142" s="2579"/>
      <c r="BL142" s="2579"/>
      <c r="BM142" s="2579"/>
      <c r="BN142" s="2579"/>
      <c r="BO142" s="2579"/>
      <c r="BP142" s="2579"/>
      <c r="BQ142" s="2579"/>
      <c r="CC142" s="415"/>
      <c r="CD142" s="414"/>
      <c r="CF142" s="2579"/>
      <c r="CG142" s="2579"/>
      <c r="CH142" s="2579"/>
      <c r="CI142" s="2579"/>
      <c r="CJ142" s="2579"/>
      <c r="CK142" s="2579"/>
      <c r="CL142" s="2579"/>
      <c r="CM142" s="2579"/>
      <c r="CN142" s="2579"/>
      <c r="CO142" s="2579"/>
      <c r="CP142" s="2579"/>
      <c r="CQ142" s="2579"/>
      <c r="CR142" s="2579"/>
      <c r="CV142" s="415"/>
    </row>
    <row r="143" spans="4:119" ht="4.1500000000000004" customHeight="1">
      <c r="P143" s="414"/>
      <c r="X143" s="2579"/>
      <c r="Y143" s="2579"/>
      <c r="Z143" s="2579"/>
      <c r="AA143" s="2579"/>
      <c r="AB143" s="2579"/>
      <c r="AC143" s="2579"/>
      <c r="AD143" s="2579"/>
      <c r="AE143" s="2579"/>
      <c r="AF143" s="2579"/>
      <c r="AG143" s="2579"/>
      <c r="AH143" s="2579"/>
      <c r="AI143" s="2579"/>
      <c r="AJ143" s="2579"/>
      <c r="AK143" s="2579"/>
      <c r="AT143" s="415"/>
      <c r="BD143" s="2579"/>
      <c r="BE143" s="2579"/>
      <c r="BF143" s="2579"/>
      <c r="BG143" s="2579"/>
      <c r="BH143" s="2579"/>
      <c r="BI143" s="2579"/>
      <c r="BJ143" s="2579"/>
      <c r="BK143" s="2579"/>
      <c r="BL143" s="2579"/>
      <c r="BM143" s="2579"/>
      <c r="BN143" s="2579"/>
      <c r="BO143" s="2579"/>
      <c r="BP143" s="2579"/>
      <c r="BQ143" s="2579"/>
      <c r="CC143" s="415"/>
      <c r="CD143" s="414"/>
      <c r="CF143" s="2579"/>
      <c r="CG143" s="2579"/>
      <c r="CH143" s="2579"/>
      <c r="CI143" s="2579"/>
      <c r="CJ143" s="2579"/>
      <c r="CK143" s="2579"/>
      <c r="CL143" s="2579"/>
      <c r="CM143" s="2579"/>
      <c r="CN143" s="2579"/>
      <c r="CO143" s="2579"/>
      <c r="CP143" s="2579"/>
      <c r="CQ143" s="2579"/>
      <c r="CR143" s="2579"/>
      <c r="CV143" s="415"/>
    </row>
    <row r="158" spans="58:179" ht="4.1500000000000004" customHeight="1">
      <c r="DL158" s="478"/>
      <c r="DM158" s="478"/>
      <c r="DN158" s="478"/>
      <c r="DO158" s="478"/>
      <c r="DP158" s="478"/>
      <c r="DQ158" s="478"/>
      <c r="DR158" s="478"/>
      <c r="DS158" s="478"/>
      <c r="DT158" s="478"/>
      <c r="DU158" s="478"/>
      <c r="DV158" s="478"/>
      <c r="DW158" s="478"/>
      <c r="DX158" s="478"/>
      <c r="DY158" s="478"/>
      <c r="FL158" s="478"/>
      <c r="FM158" s="478"/>
      <c r="FN158" s="478"/>
      <c r="FO158" s="478"/>
      <c r="FP158" s="478"/>
      <c r="FQ158" s="478"/>
      <c r="FR158" s="478"/>
      <c r="FS158" s="478"/>
      <c r="FT158" s="478"/>
      <c r="FU158" s="478"/>
      <c r="FV158" s="478"/>
      <c r="FW158" s="478"/>
    </row>
    <row r="159" spans="58:179" ht="4.1500000000000004" customHeight="1">
      <c r="BF159" s="477"/>
      <c r="BG159" s="477"/>
      <c r="BH159" s="477"/>
      <c r="BI159" s="477"/>
      <c r="BJ159" s="477"/>
      <c r="BK159" s="477"/>
      <c r="BL159" s="477"/>
      <c r="BM159" s="477"/>
      <c r="BN159" s="477"/>
      <c r="BO159" s="477"/>
      <c r="BP159" s="477"/>
      <c r="BQ159" s="477"/>
      <c r="BR159" s="477"/>
      <c r="BS159" s="477"/>
      <c r="BT159" s="477"/>
      <c r="BU159" s="477"/>
      <c r="BV159" s="477"/>
      <c r="BW159" s="477"/>
      <c r="BX159" s="477"/>
      <c r="BY159" s="477"/>
      <c r="BZ159" s="477"/>
      <c r="CA159" s="477"/>
      <c r="CB159" s="477"/>
      <c r="CC159" s="477"/>
      <c r="DL159" s="479"/>
      <c r="DM159" s="479"/>
      <c r="DN159" s="479"/>
      <c r="DO159" s="479"/>
      <c r="DP159" s="479"/>
      <c r="DQ159" s="479"/>
      <c r="DR159" s="479"/>
      <c r="DS159" s="479"/>
      <c r="DT159" s="479"/>
      <c r="DU159" s="479"/>
      <c r="DV159" s="479"/>
      <c r="DW159" s="479"/>
      <c r="DX159" s="479"/>
      <c r="DY159" s="479"/>
    </row>
    <row r="160" spans="58:179" ht="4.1500000000000004" customHeight="1">
      <c r="BF160" s="477"/>
      <c r="BG160" s="477"/>
      <c r="BH160" s="477"/>
      <c r="BI160" s="477"/>
      <c r="BJ160" s="477"/>
      <c r="BK160" s="477"/>
      <c r="BL160" s="477"/>
      <c r="BM160" s="477"/>
      <c r="BN160" s="477"/>
      <c r="BO160" s="477"/>
      <c r="BP160" s="477"/>
      <c r="BQ160" s="477"/>
      <c r="BR160" s="477"/>
      <c r="BS160" s="477"/>
      <c r="BT160" s="477"/>
      <c r="BU160" s="477"/>
      <c r="BV160" s="477"/>
      <c r="BW160" s="477"/>
      <c r="BX160" s="477"/>
      <c r="BY160" s="477"/>
      <c r="BZ160" s="477"/>
      <c r="CA160" s="477"/>
      <c r="CB160" s="477"/>
      <c r="CC160" s="477"/>
      <c r="DL160" s="479"/>
      <c r="DM160" s="479"/>
      <c r="DN160" s="479"/>
      <c r="DO160" s="479"/>
      <c r="DP160" s="479"/>
      <c r="DQ160" s="479"/>
      <c r="DR160" s="479"/>
      <c r="DS160" s="479"/>
      <c r="DT160" s="479"/>
      <c r="DU160" s="479"/>
      <c r="DV160" s="479"/>
      <c r="DW160" s="479"/>
      <c r="DX160" s="479"/>
      <c r="DY160" s="479"/>
    </row>
    <row r="161" spans="58:245" ht="4.1500000000000004" customHeight="1">
      <c r="BF161" s="477"/>
      <c r="BG161" s="477"/>
      <c r="BH161" s="477"/>
      <c r="BI161" s="477"/>
      <c r="BJ161" s="477"/>
      <c r="BK161" s="477"/>
      <c r="BL161" s="477"/>
      <c r="BM161" s="477"/>
      <c r="BN161" s="477"/>
      <c r="BO161" s="477"/>
      <c r="BP161" s="477"/>
      <c r="BQ161" s="477"/>
      <c r="BR161" s="477"/>
      <c r="BS161" s="477"/>
      <c r="BT161" s="477"/>
      <c r="BU161" s="477"/>
      <c r="BV161" s="477"/>
      <c r="BW161" s="477"/>
      <c r="BX161" s="477"/>
      <c r="BY161" s="477"/>
      <c r="BZ161" s="477"/>
      <c r="CA161" s="477"/>
      <c r="CB161" s="477"/>
      <c r="CC161" s="477"/>
      <c r="DL161" s="479"/>
      <c r="DM161" s="479"/>
      <c r="DN161" s="479"/>
      <c r="DO161" s="479"/>
      <c r="DP161" s="479"/>
      <c r="DQ161" s="479"/>
      <c r="DR161" s="479"/>
      <c r="DS161" s="479"/>
      <c r="DT161" s="479"/>
      <c r="DU161" s="479"/>
      <c r="DV161" s="479"/>
      <c r="DW161" s="479"/>
      <c r="DX161" s="479"/>
      <c r="DY161" s="479"/>
      <c r="HB161" s="2782" t="s">
        <v>190</v>
      </c>
      <c r="HC161" s="2782"/>
      <c r="HD161" s="2782"/>
      <c r="HE161" s="2782"/>
      <c r="HF161" s="2782"/>
      <c r="HG161" s="2782"/>
      <c r="HH161" s="2782"/>
      <c r="HI161" s="2782"/>
      <c r="HJ161" s="2782"/>
      <c r="HK161" s="2782"/>
      <c r="HL161" s="2782"/>
      <c r="HM161" s="2782"/>
      <c r="HN161" s="2782"/>
      <c r="HO161" s="2782"/>
      <c r="HP161" s="2782"/>
      <c r="HQ161" s="2782"/>
      <c r="HR161" s="2782"/>
      <c r="HS161" s="2782"/>
      <c r="HT161" s="2782"/>
      <c r="HU161" s="2782"/>
      <c r="HV161" s="2782"/>
      <c r="HW161" s="2782"/>
      <c r="HX161" s="2782"/>
      <c r="HY161" s="2782"/>
      <c r="HZ161" s="2782"/>
      <c r="IA161" s="2782"/>
      <c r="IB161" s="2782"/>
      <c r="IC161" s="2782"/>
      <c r="ID161" s="2782"/>
      <c r="IE161" s="2782"/>
      <c r="IF161" s="2782"/>
      <c r="IG161" s="2782"/>
      <c r="IH161" s="2782"/>
      <c r="II161" s="2782"/>
      <c r="IJ161" s="2782"/>
      <c r="IK161" s="2782"/>
    </row>
    <row r="162" spans="58:245" ht="4.1500000000000004" customHeight="1">
      <c r="BF162" s="477"/>
      <c r="BG162" s="477"/>
      <c r="BH162" s="477"/>
      <c r="BI162" s="477"/>
      <c r="BJ162" s="477"/>
      <c r="BK162" s="477"/>
      <c r="BL162" s="477"/>
      <c r="BM162" s="477"/>
      <c r="BN162" s="477"/>
      <c r="BO162" s="477"/>
      <c r="BP162" s="477"/>
      <c r="BQ162" s="477"/>
      <c r="BR162" s="477"/>
      <c r="BS162" s="477"/>
      <c r="BT162" s="477"/>
      <c r="BU162" s="477"/>
      <c r="BV162" s="477"/>
      <c r="BW162" s="477"/>
      <c r="BX162" s="477"/>
      <c r="BY162" s="477"/>
      <c r="BZ162" s="477"/>
      <c r="CA162" s="477"/>
      <c r="CB162" s="477"/>
      <c r="CC162" s="477"/>
      <c r="CE162" s="2782" t="s">
        <v>188</v>
      </c>
      <c r="CF162" s="2782"/>
      <c r="CG162" s="2782"/>
      <c r="CH162" s="2782"/>
      <c r="CI162" s="2782"/>
      <c r="CJ162" s="2782"/>
      <c r="CK162" s="2782"/>
      <c r="CL162" s="2782"/>
      <c r="CM162" s="2782"/>
      <c r="CN162" s="2782"/>
      <c r="CO162" s="2782"/>
      <c r="CP162" s="2782"/>
      <c r="CQ162" s="2782"/>
      <c r="CR162" s="2782"/>
      <c r="CS162" s="2782"/>
      <c r="CT162" s="2782"/>
      <c r="CU162" s="2782"/>
      <c r="CV162" s="2782"/>
      <c r="CW162" s="2782"/>
      <c r="CX162" s="2782"/>
      <c r="CY162" s="2782"/>
      <c r="CZ162" s="2782"/>
      <c r="DA162" s="2782"/>
      <c r="DB162" s="2782"/>
      <c r="DC162" s="2782"/>
      <c r="DD162" s="2782"/>
      <c r="DE162" s="2782"/>
      <c r="DF162" s="2782"/>
      <c r="DL162" s="479"/>
      <c r="DM162" s="479"/>
      <c r="DN162" s="479"/>
      <c r="DO162" s="479"/>
      <c r="DP162" s="479"/>
      <c r="DQ162" s="479"/>
      <c r="DR162" s="479"/>
      <c r="DS162" s="479"/>
      <c r="DT162" s="479"/>
      <c r="DU162" s="479"/>
      <c r="DV162" s="479"/>
      <c r="DW162" s="479"/>
      <c r="DX162" s="479"/>
      <c r="DY162" s="479"/>
      <c r="EL162" s="2782" t="s">
        <v>189</v>
      </c>
      <c r="EM162" s="2782"/>
      <c r="EN162" s="2782"/>
      <c r="EO162" s="2782"/>
      <c r="EP162" s="2782"/>
      <c r="EQ162" s="2782"/>
      <c r="ER162" s="2782"/>
      <c r="ES162" s="2782"/>
      <c r="ET162" s="2782"/>
      <c r="EU162" s="2782"/>
      <c r="EV162" s="2782"/>
      <c r="EW162" s="2782"/>
      <c r="EX162" s="2782"/>
      <c r="EY162" s="2782"/>
      <c r="EZ162" s="2782"/>
      <c r="FA162" s="2782"/>
      <c r="FB162" s="2782"/>
      <c r="FC162" s="2782"/>
      <c r="FD162" s="2782"/>
      <c r="FE162" s="2782"/>
      <c r="FF162" s="2782"/>
      <c r="FG162" s="2782"/>
      <c r="FH162" s="2782"/>
      <c r="FI162" s="2782"/>
      <c r="FJ162" s="2782"/>
      <c r="FK162" s="2782"/>
      <c r="FL162" s="2782"/>
      <c r="FM162" s="2782"/>
      <c r="FN162" s="2782"/>
      <c r="FO162" s="2782"/>
      <c r="FP162" s="2782"/>
      <c r="FQ162" s="2782"/>
      <c r="FR162" s="2782"/>
      <c r="FS162" s="2782"/>
      <c r="FT162" s="2782"/>
      <c r="FU162" s="2782"/>
      <c r="FV162" s="2782"/>
      <c r="FW162" s="2782"/>
      <c r="HB162" s="2782"/>
      <c r="HC162" s="2782"/>
      <c r="HD162" s="2782"/>
      <c r="HE162" s="2782"/>
      <c r="HF162" s="2782"/>
      <c r="HG162" s="2782"/>
      <c r="HH162" s="2782"/>
      <c r="HI162" s="2782"/>
      <c r="HJ162" s="2782"/>
      <c r="HK162" s="2782"/>
      <c r="HL162" s="2782"/>
      <c r="HM162" s="2782"/>
      <c r="HN162" s="2782"/>
      <c r="HO162" s="2782"/>
      <c r="HP162" s="2782"/>
      <c r="HQ162" s="2782"/>
      <c r="HR162" s="2782"/>
      <c r="HS162" s="2782"/>
      <c r="HT162" s="2782"/>
      <c r="HU162" s="2782"/>
      <c r="HV162" s="2782"/>
      <c r="HW162" s="2782"/>
      <c r="HX162" s="2782"/>
      <c r="HY162" s="2782"/>
      <c r="HZ162" s="2782"/>
      <c r="IA162" s="2782"/>
      <c r="IB162" s="2782"/>
      <c r="IC162" s="2782"/>
      <c r="ID162" s="2782"/>
      <c r="IE162" s="2782"/>
      <c r="IF162" s="2782"/>
      <c r="IG162" s="2782"/>
      <c r="IH162" s="2782"/>
      <c r="II162" s="2782"/>
      <c r="IJ162" s="2782"/>
      <c r="IK162" s="2782"/>
    </row>
    <row r="163" spans="58:245" ht="4.1500000000000004" customHeight="1">
      <c r="BF163" s="477"/>
      <c r="BG163" s="477"/>
      <c r="BH163" s="477"/>
      <c r="BI163" s="477"/>
      <c r="BJ163" s="477"/>
      <c r="BK163" s="477"/>
      <c r="BL163" s="477"/>
      <c r="BM163" s="477"/>
      <c r="BN163" s="477"/>
      <c r="BO163" s="477"/>
      <c r="BP163" s="477"/>
      <c r="BQ163" s="477"/>
      <c r="BR163" s="477"/>
      <c r="BS163" s="477"/>
      <c r="BT163" s="477"/>
      <c r="BU163" s="477"/>
      <c r="BV163" s="477"/>
      <c r="BW163" s="477"/>
      <c r="BX163" s="477"/>
      <c r="BY163" s="477"/>
      <c r="BZ163" s="477"/>
      <c r="CA163" s="477"/>
      <c r="CB163" s="477"/>
      <c r="CC163" s="477"/>
      <c r="CE163" s="2782"/>
      <c r="CF163" s="2782"/>
      <c r="CG163" s="2782"/>
      <c r="CH163" s="2782"/>
      <c r="CI163" s="2782"/>
      <c r="CJ163" s="2782"/>
      <c r="CK163" s="2782"/>
      <c r="CL163" s="2782"/>
      <c r="CM163" s="2782"/>
      <c r="CN163" s="2782"/>
      <c r="CO163" s="2782"/>
      <c r="CP163" s="2782"/>
      <c r="CQ163" s="2782"/>
      <c r="CR163" s="2782"/>
      <c r="CS163" s="2782"/>
      <c r="CT163" s="2782"/>
      <c r="CU163" s="2782"/>
      <c r="CV163" s="2782"/>
      <c r="CW163" s="2782"/>
      <c r="CX163" s="2782"/>
      <c r="CY163" s="2782"/>
      <c r="CZ163" s="2782"/>
      <c r="DA163" s="2782"/>
      <c r="DB163" s="2782"/>
      <c r="DC163" s="2782"/>
      <c r="DD163" s="2782"/>
      <c r="DE163" s="2782"/>
      <c r="DF163" s="2782"/>
      <c r="DL163" s="479"/>
      <c r="DM163" s="479"/>
      <c r="DN163" s="479"/>
      <c r="DO163" s="479"/>
      <c r="DP163" s="479"/>
      <c r="DQ163" s="479"/>
      <c r="DR163" s="479"/>
      <c r="DS163" s="479"/>
      <c r="DT163" s="479"/>
      <c r="DU163" s="479"/>
      <c r="DV163" s="479"/>
      <c r="DW163" s="479"/>
      <c r="DX163" s="479"/>
      <c r="DY163" s="479"/>
      <c r="EL163" s="2782"/>
      <c r="EM163" s="2782"/>
      <c r="EN163" s="2782"/>
      <c r="EO163" s="2782"/>
      <c r="EP163" s="2782"/>
      <c r="EQ163" s="2782"/>
      <c r="ER163" s="2782"/>
      <c r="ES163" s="2782"/>
      <c r="ET163" s="2782"/>
      <c r="EU163" s="2782"/>
      <c r="EV163" s="2782"/>
      <c r="EW163" s="2782"/>
      <c r="EX163" s="2782"/>
      <c r="EY163" s="2782"/>
      <c r="EZ163" s="2782"/>
      <c r="FA163" s="2782"/>
      <c r="FB163" s="2782"/>
      <c r="FC163" s="2782"/>
      <c r="FD163" s="2782"/>
      <c r="FE163" s="2782"/>
      <c r="FF163" s="2782"/>
      <c r="FG163" s="2782"/>
      <c r="FH163" s="2782"/>
      <c r="FI163" s="2782"/>
      <c r="FJ163" s="2782"/>
      <c r="FK163" s="2782"/>
      <c r="FL163" s="2782"/>
      <c r="FM163" s="2782"/>
      <c r="FN163" s="2782"/>
      <c r="FO163" s="2782"/>
      <c r="FP163" s="2782"/>
      <c r="FQ163" s="2782"/>
      <c r="FR163" s="2782"/>
      <c r="FS163" s="2782"/>
      <c r="FT163" s="2782"/>
      <c r="FU163" s="2782"/>
      <c r="FV163" s="2782"/>
      <c r="FW163" s="2782"/>
      <c r="HB163" s="2782"/>
      <c r="HC163" s="2782"/>
      <c r="HD163" s="2782"/>
      <c r="HE163" s="2782"/>
      <c r="HF163" s="2782"/>
      <c r="HG163" s="2782"/>
      <c r="HH163" s="2782"/>
      <c r="HI163" s="2782"/>
      <c r="HJ163" s="2782"/>
      <c r="HK163" s="2782"/>
      <c r="HL163" s="2782"/>
      <c r="HM163" s="2782"/>
      <c r="HN163" s="2782"/>
      <c r="HO163" s="2782"/>
      <c r="HP163" s="2782"/>
      <c r="HQ163" s="2782"/>
      <c r="HR163" s="2782"/>
      <c r="HS163" s="2782"/>
      <c r="HT163" s="2782"/>
      <c r="HU163" s="2782"/>
      <c r="HV163" s="2782"/>
      <c r="HW163" s="2782"/>
      <c r="HX163" s="2782"/>
      <c r="HY163" s="2782"/>
      <c r="HZ163" s="2782"/>
      <c r="IA163" s="2782"/>
      <c r="IB163" s="2782"/>
      <c r="IC163" s="2782"/>
      <c r="ID163" s="2782"/>
      <c r="IE163" s="2782"/>
      <c r="IF163" s="2782"/>
      <c r="IG163" s="2782"/>
      <c r="IH163" s="2782"/>
      <c r="II163" s="2782"/>
      <c r="IJ163" s="2782"/>
      <c r="IK163" s="2782"/>
    </row>
    <row r="164" spans="58:245" ht="4.1500000000000004" customHeight="1">
      <c r="BF164" s="477"/>
      <c r="BG164" s="477"/>
      <c r="BH164" s="477"/>
      <c r="BI164" s="477"/>
      <c r="BJ164" s="477"/>
      <c r="BK164" s="477"/>
      <c r="BL164" s="477"/>
      <c r="BM164" s="477"/>
      <c r="BN164" s="477"/>
      <c r="BO164" s="477"/>
      <c r="BP164" s="477"/>
      <c r="BQ164" s="477"/>
      <c r="BR164" s="477"/>
      <c r="BS164" s="477"/>
      <c r="BT164" s="477"/>
      <c r="BU164" s="477"/>
      <c r="BV164" s="477"/>
      <c r="BW164" s="477"/>
      <c r="BX164" s="477"/>
      <c r="BY164" s="477"/>
      <c r="BZ164" s="477"/>
      <c r="CA164" s="477"/>
      <c r="CB164" s="477"/>
      <c r="CC164" s="477"/>
      <c r="CE164" s="2782"/>
      <c r="CF164" s="2782"/>
      <c r="CG164" s="2782"/>
      <c r="CH164" s="2782"/>
      <c r="CI164" s="2782"/>
      <c r="CJ164" s="2782"/>
      <c r="CK164" s="2782"/>
      <c r="CL164" s="2782"/>
      <c r="CM164" s="2782"/>
      <c r="CN164" s="2782"/>
      <c r="CO164" s="2782"/>
      <c r="CP164" s="2782"/>
      <c r="CQ164" s="2782"/>
      <c r="CR164" s="2782"/>
      <c r="CS164" s="2782"/>
      <c r="CT164" s="2782"/>
      <c r="CU164" s="2782"/>
      <c r="CV164" s="2782"/>
      <c r="CW164" s="2782"/>
      <c r="CX164" s="2782"/>
      <c r="CY164" s="2782"/>
      <c r="CZ164" s="2782"/>
      <c r="DA164" s="2782"/>
      <c r="DB164" s="2782"/>
      <c r="DC164" s="2782"/>
      <c r="DD164" s="2782"/>
      <c r="DE164" s="2782"/>
      <c r="DF164" s="2782"/>
      <c r="DJ164" s="477"/>
      <c r="DK164" s="477"/>
      <c r="DL164" s="477"/>
      <c r="DM164" s="477"/>
      <c r="DN164" s="477"/>
      <c r="DO164" s="477"/>
      <c r="DP164" s="477"/>
      <c r="DQ164" s="477"/>
      <c r="DR164" s="477"/>
      <c r="DS164" s="477"/>
      <c r="DT164" s="477"/>
      <c r="DU164" s="477"/>
      <c r="DV164" s="477"/>
      <c r="DW164" s="477"/>
      <c r="DX164" s="477"/>
      <c r="DY164" s="477"/>
      <c r="DZ164" s="477"/>
      <c r="EA164" s="477"/>
      <c r="EB164" s="477"/>
      <c r="EC164" s="477"/>
      <c r="ED164" s="477"/>
      <c r="EE164" s="477"/>
      <c r="EF164" s="477"/>
      <c r="EG164" s="477"/>
      <c r="EH164" s="477"/>
      <c r="EI164" s="477"/>
      <c r="EJ164" s="477"/>
      <c r="EK164" s="477"/>
      <c r="EL164" s="2782"/>
      <c r="EM164" s="2782"/>
      <c r="EN164" s="2782"/>
      <c r="EO164" s="2782"/>
      <c r="EP164" s="2782"/>
      <c r="EQ164" s="2782"/>
      <c r="ER164" s="2782"/>
      <c r="ES164" s="2782"/>
      <c r="ET164" s="2782"/>
      <c r="EU164" s="2782"/>
      <c r="EV164" s="2782"/>
      <c r="EW164" s="2782"/>
      <c r="EX164" s="2782"/>
      <c r="EY164" s="2782"/>
      <c r="EZ164" s="2782"/>
      <c r="FA164" s="2782"/>
      <c r="FB164" s="2782"/>
      <c r="FC164" s="2782"/>
      <c r="FD164" s="2782"/>
      <c r="FE164" s="2782"/>
      <c r="FF164" s="2782"/>
      <c r="FG164" s="2782"/>
      <c r="FH164" s="2782"/>
      <c r="FI164" s="2782"/>
      <c r="FJ164" s="2782"/>
      <c r="FK164" s="2782"/>
      <c r="FL164" s="2782"/>
      <c r="FM164" s="2782"/>
      <c r="FN164" s="2782"/>
      <c r="FO164" s="2782"/>
      <c r="FP164" s="2782"/>
      <c r="FQ164" s="2782"/>
      <c r="FR164" s="2782"/>
      <c r="FS164" s="2782"/>
      <c r="FT164" s="2782"/>
      <c r="FU164" s="2782"/>
      <c r="FV164" s="2782"/>
      <c r="FW164" s="2782"/>
      <c r="HB164" s="2782" t="str">
        <f>EN165</f>
        <v>Kamakhyanagar Block</v>
      </c>
      <c r="HC164" s="2782"/>
      <c r="HD164" s="2782"/>
      <c r="HE164" s="2782"/>
      <c r="HF164" s="2782"/>
      <c r="HG164" s="2782"/>
      <c r="HH164" s="2782"/>
      <c r="HI164" s="2782"/>
      <c r="HJ164" s="2782"/>
      <c r="HK164" s="2782"/>
      <c r="HL164" s="2782"/>
      <c r="HM164" s="2782"/>
      <c r="HN164" s="2782"/>
      <c r="HO164" s="2782"/>
      <c r="HP164" s="2782"/>
      <c r="HQ164" s="2782"/>
      <c r="HR164" s="2782"/>
      <c r="HS164" s="2782"/>
      <c r="HT164" s="2782"/>
      <c r="HU164" s="2782"/>
      <c r="HV164" s="2782"/>
      <c r="HW164" s="2782"/>
      <c r="HX164" s="2782"/>
      <c r="HY164" s="2782"/>
      <c r="HZ164" s="2782"/>
      <c r="IA164" s="2782"/>
      <c r="IB164" s="2782"/>
      <c r="IC164" s="2782"/>
      <c r="ID164" s="2782"/>
      <c r="IE164" s="2782"/>
      <c r="IF164" s="2782"/>
      <c r="IG164" s="2782"/>
      <c r="IH164" s="2782"/>
      <c r="II164" s="2782"/>
      <c r="IJ164" s="2782"/>
      <c r="IK164" s="2782"/>
    </row>
    <row r="165" spans="58:245" ht="4.1500000000000004" customHeight="1">
      <c r="CE165" s="2782" t="s">
        <v>191</v>
      </c>
      <c r="CF165" s="2782"/>
      <c r="CG165" s="2782"/>
      <c r="CH165" s="2782"/>
      <c r="CI165" s="2782"/>
      <c r="CJ165" s="2782"/>
      <c r="CK165" s="2782"/>
      <c r="CL165" s="2782"/>
      <c r="CM165" s="2782"/>
      <c r="CN165" s="2782"/>
      <c r="CO165" s="2782"/>
      <c r="CP165" s="2782"/>
      <c r="CQ165" s="2782"/>
      <c r="CR165" s="2782"/>
      <c r="CS165" s="2782"/>
      <c r="CT165" s="2782"/>
      <c r="CU165" s="2782"/>
      <c r="CV165" s="2782"/>
      <c r="CW165" s="2782"/>
      <c r="CX165" s="2782"/>
      <c r="CY165" s="2782"/>
      <c r="CZ165" s="2782"/>
      <c r="DA165" s="2782"/>
      <c r="DB165" s="2782"/>
      <c r="DC165" s="2782"/>
      <c r="DD165" s="2782"/>
      <c r="DE165" s="2782"/>
      <c r="DF165" s="2782"/>
      <c r="EL165" s="479"/>
      <c r="EM165" s="479"/>
      <c r="EN165" s="2782" t="str">
        <f>CE165</f>
        <v>Kamakhyanagar Block</v>
      </c>
      <c r="EO165" s="2782"/>
      <c r="EP165" s="2782"/>
      <c r="EQ165" s="2782"/>
      <c r="ER165" s="2782"/>
      <c r="ES165" s="2782"/>
      <c r="ET165" s="2782"/>
      <c r="EU165" s="2782"/>
      <c r="EV165" s="2782"/>
      <c r="EW165" s="2782"/>
      <c r="EX165" s="2782"/>
      <c r="EY165" s="2782"/>
      <c r="EZ165" s="2782"/>
      <c r="FA165" s="2782"/>
      <c r="FB165" s="2782"/>
      <c r="FC165" s="2782"/>
      <c r="FD165" s="2782"/>
      <c r="FE165" s="2782"/>
      <c r="FF165" s="2782"/>
      <c r="FG165" s="2782"/>
      <c r="FH165" s="2782"/>
      <c r="FI165" s="2782"/>
      <c r="FJ165" s="2782"/>
      <c r="FK165" s="2782"/>
      <c r="FL165" s="2782"/>
      <c r="FM165" s="2782"/>
      <c r="FN165" s="2782"/>
      <c r="FO165" s="2782"/>
      <c r="FP165" s="2782"/>
      <c r="FQ165" s="2782"/>
      <c r="FR165" s="2782"/>
      <c r="FS165" s="2782"/>
      <c r="FT165" s="2782"/>
      <c r="FU165" s="2782"/>
      <c r="FV165" s="479"/>
      <c r="FW165" s="479"/>
      <c r="HB165" s="2782"/>
      <c r="HC165" s="2782"/>
      <c r="HD165" s="2782"/>
      <c r="HE165" s="2782"/>
      <c r="HF165" s="2782"/>
      <c r="HG165" s="2782"/>
      <c r="HH165" s="2782"/>
      <c r="HI165" s="2782"/>
      <c r="HJ165" s="2782"/>
      <c r="HK165" s="2782"/>
      <c r="HL165" s="2782"/>
      <c r="HM165" s="2782"/>
      <c r="HN165" s="2782"/>
      <c r="HO165" s="2782"/>
      <c r="HP165" s="2782"/>
      <c r="HQ165" s="2782"/>
      <c r="HR165" s="2782"/>
      <c r="HS165" s="2782"/>
      <c r="HT165" s="2782"/>
      <c r="HU165" s="2782"/>
      <c r="HV165" s="2782"/>
      <c r="HW165" s="2782"/>
      <c r="HX165" s="2782"/>
      <c r="HY165" s="2782"/>
      <c r="HZ165" s="2782"/>
      <c r="IA165" s="2782"/>
      <c r="IB165" s="2782"/>
      <c r="IC165" s="2782"/>
      <c r="ID165" s="2782"/>
      <c r="IE165" s="2782"/>
      <c r="IF165" s="2782"/>
      <c r="IG165" s="2782"/>
      <c r="IH165" s="2782"/>
      <c r="II165" s="2782"/>
      <c r="IJ165" s="2782"/>
      <c r="IK165" s="2782"/>
    </row>
    <row r="166" spans="58:245" ht="4.1500000000000004" customHeight="1">
      <c r="CE166" s="2782"/>
      <c r="CF166" s="2782"/>
      <c r="CG166" s="2782"/>
      <c r="CH166" s="2782"/>
      <c r="CI166" s="2782"/>
      <c r="CJ166" s="2782"/>
      <c r="CK166" s="2782"/>
      <c r="CL166" s="2782"/>
      <c r="CM166" s="2782"/>
      <c r="CN166" s="2782"/>
      <c r="CO166" s="2782"/>
      <c r="CP166" s="2782"/>
      <c r="CQ166" s="2782"/>
      <c r="CR166" s="2782"/>
      <c r="CS166" s="2782"/>
      <c r="CT166" s="2782"/>
      <c r="CU166" s="2782"/>
      <c r="CV166" s="2782"/>
      <c r="CW166" s="2782"/>
      <c r="CX166" s="2782"/>
      <c r="CY166" s="2782"/>
      <c r="CZ166" s="2782"/>
      <c r="DA166" s="2782"/>
      <c r="DB166" s="2782"/>
      <c r="DC166" s="2782"/>
      <c r="DD166" s="2782"/>
      <c r="DE166" s="2782"/>
      <c r="DF166" s="2782"/>
      <c r="EL166" s="479"/>
      <c r="EM166" s="479"/>
      <c r="EN166" s="2782"/>
      <c r="EO166" s="2782"/>
      <c r="EP166" s="2782"/>
      <c r="EQ166" s="2782"/>
      <c r="ER166" s="2782"/>
      <c r="ES166" s="2782"/>
      <c r="ET166" s="2782"/>
      <c r="EU166" s="2782"/>
      <c r="EV166" s="2782"/>
      <c r="EW166" s="2782"/>
      <c r="EX166" s="2782"/>
      <c r="EY166" s="2782"/>
      <c r="EZ166" s="2782"/>
      <c r="FA166" s="2782"/>
      <c r="FB166" s="2782"/>
      <c r="FC166" s="2782"/>
      <c r="FD166" s="2782"/>
      <c r="FE166" s="2782"/>
      <c r="FF166" s="2782"/>
      <c r="FG166" s="2782"/>
      <c r="FH166" s="2782"/>
      <c r="FI166" s="2782"/>
      <c r="FJ166" s="2782"/>
      <c r="FK166" s="2782"/>
      <c r="FL166" s="2782"/>
      <c r="FM166" s="2782"/>
      <c r="FN166" s="2782"/>
      <c r="FO166" s="2782"/>
      <c r="FP166" s="2782"/>
      <c r="FQ166" s="2782"/>
      <c r="FR166" s="2782"/>
      <c r="FS166" s="2782"/>
      <c r="FT166" s="2782"/>
      <c r="FU166" s="2782"/>
      <c r="FV166" s="479"/>
      <c r="FW166" s="479"/>
      <c r="HB166" s="2782"/>
      <c r="HC166" s="2782"/>
      <c r="HD166" s="2782"/>
      <c r="HE166" s="2782"/>
      <c r="HF166" s="2782"/>
      <c r="HG166" s="2782"/>
      <c r="HH166" s="2782"/>
      <c r="HI166" s="2782"/>
      <c r="HJ166" s="2782"/>
      <c r="HK166" s="2782"/>
      <c r="HL166" s="2782"/>
      <c r="HM166" s="2782"/>
      <c r="HN166" s="2782"/>
      <c r="HO166" s="2782"/>
      <c r="HP166" s="2782"/>
      <c r="HQ166" s="2782"/>
      <c r="HR166" s="2782"/>
      <c r="HS166" s="2782"/>
      <c r="HT166" s="2782"/>
      <c r="HU166" s="2782"/>
      <c r="HV166" s="2782"/>
      <c r="HW166" s="2782"/>
      <c r="HX166" s="2782"/>
      <c r="HY166" s="2782"/>
      <c r="HZ166" s="2782"/>
      <c r="IA166" s="2782"/>
      <c r="IB166" s="2782"/>
      <c r="IC166" s="2782"/>
      <c r="ID166" s="2782"/>
      <c r="IE166" s="2782"/>
      <c r="IF166" s="2782"/>
      <c r="IG166" s="2782"/>
      <c r="IH166" s="2782"/>
      <c r="II166" s="2782"/>
      <c r="IJ166" s="2782"/>
      <c r="IK166" s="2782"/>
    </row>
    <row r="167" spans="58:245" ht="4.1500000000000004" customHeight="1">
      <c r="CE167" s="2782"/>
      <c r="CF167" s="2782"/>
      <c r="CG167" s="2782"/>
      <c r="CH167" s="2782"/>
      <c r="CI167" s="2782"/>
      <c r="CJ167" s="2782"/>
      <c r="CK167" s="2782"/>
      <c r="CL167" s="2782"/>
      <c r="CM167" s="2782"/>
      <c r="CN167" s="2782"/>
      <c r="CO167" s="2782"/>
      <c r="CP167" s="2782"/>
      <c r="CQ167" s="2782"/>
      <c r="CR167" s="2782"/>
      <c r="CS167" s="2782"/>
      <c r="CT167" s="2782"/>
      <c r="CU167" s="2782"/>
      <c r="CV167" s="2782"/>
      <c r="CW167" s="2782"/>
      <c r="CX167" s="2782"/>
      <c r="CY167" s="2782"/>
      <c r="CZ167" s="2782"/>
      <c r="DA167" s="2782"/>
      <c r="DB167" s="2782"/>
      <c r="DC167" s="2782"/>
      <c r="DD167" s="2782"/>
      <c r="DE167" s="2782"/>
      <c r="DF167" s="2782"/>
      <c r="EL167" s="479"/>
      <c r="EM167" s="479"/>
      <c r="EN167" s="2782"/>
      <c r="EO167" s="2782"/>
      <c r="EP167" s="2782"/>
      <c r="EQ167" s="2782"/>
      <c r="ER167" s="2782"/>
      <c r="ES167" s="2782"/>
      <c r="ET167" s="2782"/>
      <c r="EU167" s="2782"/>
      <c r="EV167" s="2782"/>
      <c r="EW167" s="2782"/>
      <c r="EX167" s="2782"/>
      <c r="EY167" s="2782"/>
      <c r="EZ167" s="2782"/>
      <c r="FA167" s="2782"/>
      <c r="FB167" s="2782"/>
      <c r="FC167" s="2782"/>
      <c r="FD167" s="2782"/>
      <c r="FE167" s="2782"/>
      <c r="FF167" s="2782"/>
      <c r="FG167" s="2782"/>
      <c r="FH167" s="2782"/>
      <c r="FI167" s="2782"/>
      <c r="FJ167" s="2782"/>
      <c r="FK167" s="2782"/>
      <c r="FL167" s="2782"/>
      <c r="FM167" s="2782"/>
      <c r="FN167" s="2782"/>
      <c r="FO167" s="2782"/>
      <c r="FP167" s="2782"/>
      <c r="FQ167" s="2782"/>
      <c r="FR167" s="2782"/>
      <c r="FS167" s="2782"/>
      <c r="FT167" s="2782"/>
      <c r="FU167" s="2782"/>
      <c r="FV167" s="479"/>
      <c r="FW167" s="479"/>
    </row>
  </sheetData>
  <mergeCells count="148">
    <mergeCell ref="DS32:DV41"/>
    <mergeCell ref="FP35:FS44"/>
    <mergeCell ref="HZ35:IC44"/>
    <mergeCell ref="AE2:FP7"/>
    <mergeCell ref="HO2:JB5"/>
    <mergeCell ref="HO6:JB9"/>
    <mergeCell ref="JC13:JJ15"/>
    <mergeCell ref="EJ15:EK21"/>
    <mergeCell ref="HW15:IG17"/>
    <mergeCell ref="FP16:FS25"/>
    <mergeCell ref="IA18:ID26"/>
    <mergeCell ref="AJ14:CC18"/>
    <mergeCell ref="HW53:IH55"/>
    <mergeCell ref="EL56:EP61"/>
    <mergeCell ref="FL58:FW60"/>
    <mergeCell ref="HW58:IH60"/>
    <mergeCell ref="FL27:FW29"/>
    <mergeCell ref="HW27:IH29"/>
    <mergeCell ref="GA30:GD39"/>
    <mergeCell ref="IL30:IO39"/>
    <mergeCell ref="EE31:EK33"/>
    <mergeCell ref="AZ59:BM62"/>
    <mergeCell ref="GI59:GO61"/>
    <mergeCell ref="EJ62:ER66"/>
    <mergeCell ref="FL63:FW65"/>
    <mergeCell ref="HQ63:HT68"/>
    <mergeCell ref="AZ64:BM67"/>
    <mergeCell ref="GI49:GO51"/>
    <mergeCell ref="FL53:FW55"/>
    <mergeCell ref="GB53:GE61"/>
    <mergeCell ref="IW74:JG76"/>
    <mergeCell ref="II64:IS66"/>
    <mergeCell ref="EH67:ET71"/>
    <mergeCell ref="FL68:FW70"/>
    <mergeCell ref="GB68:GE77"/>
    <mergeCell ref="HE69:HO75"/>
    <mergeCell ref="HP69:HU71"/>
    <mergeCell ref="HV69:IF75"/>
    <mergeCell ref="ED77:EX79"/>
    <mergeCell ref="FL77:FW79"/>
    <mergeCell ref="II78:IS80"/>
    <mergeCell ref="ED80:EX82"/>
    <mergeCell ref="FL80:FW82"/>
    <mergeCell ref="II83:IS85"/>
    <mergeCell ref="CV85:CW91"/>
    <mergeCell ref="EH85:EU88"/>
    <mergeCell ref="II86:IS88"/>
    <mergeCell ref="HL91:HW93"/>
    <mergeCell ref="Y70:AL73"/>
    <mergeCell ref="BN70:CA73"/>
    <mergeCell ref="II71:IS73"/>
    <mergeCell ref="EF72:EV76"/>
    <mergeCell ref="FL73:FW75"/>
    <mergeCell ref="FK100:FS102"/>
    <mergeCell ref="GQ101:IO104"/>
    <mergeCell ref="DG103:DJ112"/>
    <mergeCell ref="FK103:FS105"/>
    <mergeCell ref="D102:G110"/>
    <mergeCell ref="GQ105:HB107"/>
    <mergeCell ref="HC105:HM107"/>
    <mergeCell ref="HN105:HQ107"/>
    <mergeCell ref="HR105:IB107"/>
    <mergeCell ref="IC105:IF107"/>
    <mergeCell ref="DA93:DD102"/>
    <mergeCell ref="GL94:GO104"/>
    <mergeCell ref="BM97:BS99"/>
    <mergeCell ref="BT97:BW99"/>
    <mergeCell ref="BX97:CD99"/>
    <mergeCell ref="EQ96:EW98"/>
    <mergeCell ref="EX96:FD98"/>
    <mergeCell ref="FE96:FK98"/>
    <mergeCell ref="DS97:DW99"/>
    <mergeCell ref="ED109:EN112"/>
    <mergeCell ref="FL109:FS110"/>
    <mergeCell ref="FL111:FS112"/>
    <mergeCell ref="GQ111:HB113"/>
    <mergeCell ref="HC111:HM113"/>
    <mergeCell ref="HN111:HQ113"/>
    <mergeCell ref="IG105:IO107"/>
    <mergeCell ref="ED106:EI108"/>
    <mergeCell ref="FK106:FS108"/>
    <mergeCell ref="GA108:GJ110"/>
    <mergeCell ref="GQ108:HB110"/>
    <mergeCell ref="HC108:HM110"/>
    <mergeCell ref="HN108:HQ110"/>
    <mergeCell ref="HR108:IB110"/>
    <mergeCell ref="IC108:IF110"/>
    <mergeCell ref="IG108:IO110"/>
    <mergeCell ref="HR111:IB113"/>
    <mergeCell ref="IC111:IF113"/>
    <mergeCell ref="IG111:IO113"/>
    <mergeCell ref="GQ114:HB116"/>
    <mergeCell ref="HC114:HM116"/>
    <mergeCell ref="HN114:HQ116"/>
    <mergeCell ref="HR114:IB116"/>
    <mergeCell ref="IC114:IF116"/>
    <mergeCell ref="IG114:IO116"/>
    <mergeCell ref="HB161:IK163"/>
    <mergeCell ref="CE162:DF164"/>
    <mergeCell ref="EL162:FW164"/>
    <mergeCell ref="HB164:IK166"/>
    <mergeCell ref="CE165:DF167"/>
    <mergeCell ref="EN165:FU167"/>
    <mergeCell ref="IG117:IO119"/>
    <mergeCell ref="HR120:IB122"/>
    <mergeCell ref="IC120:IF122"/>
    <mergeCell ref="IG120:IO122"/>
    <mergeCell ref="JN117:KJ120"/>
    <mergeCell ref="BB121:BS123"/>
    <mergeCell ref="CF120:CS122"/>
    <mergeCell ref="DA120:DD129"/>
    <mergeCell ref="BB124:BH126"/>
    <mergeCell ref="BI124:BL126"/>
    <mergeCell ref="BM124:BS126"/>
    <mergeCell ref="CF123:CK125"/>
    <mergeCell ref="CL123:CM125"/>
    <mergeCell ref="EQ115:FK117"/>
    <mergeCell ref="GQ117:HB119"/>
    <mergeCell ref="HC117:HM119"/>
    <mergeCell ref="HN117:HQ119"/>
    <mergeCell ref="HR117:IB119"/>
    <mergeCell ref="IC117:IF119"/>
    <mergeCell ref="GQ123:HB125"/>
    <mergeCell ref="HC123:HM125"/>
    <mergeCell ref="HN123:HQ125"/>
    <mergeCell ref="HR123:IB125"/>
    <mergeCell ref="IC123:IF125"/>
    <mergeCell ref="IG123:IO125"/>
    <mergeCell ref="GQ120:HB122"/>
    <mergeCell ref="HC120:HM122"/>
    <mergeCell ref="HN120:HQ122"/>
    <mergeCell ref="I121:L129"/>
    <mergeCell ref="I108:L115"/>
    <mergeCell ref="I88:L96"/>
    <mergeCell ref="DK103:DN112"/>
    <mergeCell ref="BD140:BQ143"/>
    <mergeCell ref="CF140:CR143"/>
    <mergeCell ref="V88:AM90"/>
    <mergeCell ref="V91:AB93"/>
    <mergeCell ref="AC91:AF93"/>
    <mergeCell ref="AG91:AM93"/>
    <mergeCell ref="W115:AN117"/>
    <mergeCell ref="W118:AC120"/>
    <mergeCell ref="AD118:AG120"/>
    <mergeCell ref="AH118:AN120"/>
    <mergeCell ref="CN123:CS125"/>
    <mergeCell ref="X140:AK143"/>
    <mergeCell ref="BM94:CD96"/>
  </mergeCells>
  <pageMargins left="0.19685039370078741" right="0.11811023622047245" top="0.35433070866141736" bottom="0.15748031496062992" header="0.31496062992125984" footer="0.31496062992125984"/>
  <pageSetup paperSize="9" scale="80" orientation="landscape" verticalDpi="4294967295" r:id="rId1"/>
</worksheet>
</file>

<file path=xl/worksheets/sheet17.xml><?xml version="1.0" encoding="utf-8"?>
<worksheet xmlns="http://schemas.openxmlformats.org/spreadsheetml/2006/main" xmlns:r="http://schemas.openxmlformats.org/officeDocument/2006/relationships">
  <sheetPr>
    <tabColor rgb="FF00B050"/>
  </sheetPr>
  <dimension ref="O14:JJ173"/>
  <sheetViews>
    <sheetView view="pageBreakPreview" topLeftCell="A73" zoomScale="60" workbookViewId="0">
      <selection activeCell="EJ120" sqref="EJ120"/>
    </sheetView>
  </sheetViews>
  <sheetFormatPr defaultColWidth="0.7109375" defaultRowHeight="4.1500000000000004" customHeight="1"/>
  <cols>
    <col min="1" max="16384" width="0.7109375" style="494"/>
  </cols>
  <sheetData>
    <row r="14" spans="21:261" ht="4.1500000000000004" customHeight="1">
      <c r="FQ14" s="508"/>
      <c r="FR14" s="509"/>
      <c r="FS14" s="509"/>
      <c r="FT14" s="509"/>
      <c r="FU14" s="509"/>
      <c r="FV14" s="509"/>
      <c r="FW14" s="509"/>
      <c r="FX14" s="509"/>
      <c r="FY14" s="509"/>
      <c r="FZ14" s="509"/>
      <c r="GA14" s="509"/>
      <c r="GB14" s="509"/>
      <c r="GC14" s="509"/>
      <c r="GD14" s="509"/>
      <c r="GE14" s="509"/>
      <c r="GF14" s="509"/>
      <c r="GG14" s="509"/>
      <c r="GH14" s="509"/>
      <c r="GI14" s="509"/>
      <c r="GJ14" s="509"/>
      <c r="GK14" s="509"/>
      <c r="GL14" s="509"/>
      <c r="GM14" s="509"/>
      <c r="GN14" s="509"/>
      <c r="GO14" s="509"/>
      <c r="GP14" s="509"/>
      <c r="GQ14" s="509"/>
      <c r="GR14" s="509"/>
      <c r="GS14" s="509"/>
      <c r="GT14" s="509"/>
      <c r="GU14" s="509"/>
      <c r="GV14" s="509"/>
      <c r="GW14" s="509"/>
      <c r="GX14" s="509"/>
      <c r="GY14" s="509"/>
      <c r="GZ14" s="509"/>
      <c r="HA14" s="509"/>
      <c r="HB14" s="510"/>
      <c r="HC14" s="509"/>
      <c r="HD14" s="509"/>
      <c r="HE14" s="509"/>
      <c r="HZ14" s="508"/>
      <c r="IA14" s="509"/>
      <c r="IB14" s="509"/>
      <c r="IC14" s="509"/>
      <c r="ID14" s="509"/>
      <c r="IE14" s="509"/>
      <c r="IF14" s="509"/>
      <c r="IG14" s="509"/>
      <c r="IH14" s="509"/>
      <c r="II14" s="509"/>
      <c r="IJ14" s="509"/>
      <c r="IK14" s="509"/>
      <c r="IL14" s="509"/>
      <c r="IM14" s="509"/>
      <c r="IN14" s="509"/>
      <c r="IO14" s="509"/>
      <c r="IP14" s="509"/>
      <c r="IQ14" s="509"/>
      <c r="IR14" s="509"/>
      <c r="IS14" s="509"/>
      <c r="IT14" s="509"/>
      <c r="IU14" s="509"/>
      <c r="IV14" s="509"/>
      <c r="IW14" s="509"/>
      <c r="IX14" s="509"/>
      <c r="IY14" s="509"/>
      <c r="IZ14" s="509"/>
      <c r="JA14" s="510"/>
    </row>
    <row r="15" spans="21:261" ht="4.1500000000000004" customHeight="1">
      <c r="U15" s="511"/>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3"/>
      <c r="FC15" s="514"/>
      <c r="FD15" s="514"/>
      <c r="FE15" s="514"/>
      <c r="FF15" s="515"/>
      <c r="FG15" s="514"/>
      <c r="FQ15" s="2590">
        <v>0.15</v>
      </c>
      <c r="FR15" s="2591"/>
      <c r="FS15" s="516"/>
      <c r="FW15" s="517"/>
      <c r="GZ15" s="516"/>
      <c r="IB15" s="522"/>
      <c r="IC15" s="523"/>
      <c r="ID15" s="523"/>
      <c r="IE15" s="524"/>
      <c r="II15" s="2596">
        <v>0.25</v>
      </c>
      <c r="IJ15" s="2597"/>
      <c r="IK15" s="2597"/>
      <c r="IL15" s="2597"/>
      <c r="IM15" s="2597"/>
      <c r="IN15" s="2597"/>
      <c r="IO15" s="2597"/>
      <c r="IP15" s="2597"/>
      <c r="IQ15" s="2597"/>
      <c r="IR15" s="2597"/>
      <c r="IS15" s="2597"/>
      <c r="IT15" s="2597"/>
      <c r="IZ15" s="516"/>
    </row>
    <row r="16" spans="21:261" ht="4.1500000000000004" customHeight="1">
      <c r="V16" s="516"/>
      <c r="CK16" s="517"/>
      <c r="FF16" s="516"/>
      <c r="FQ16" s="2592"/>
      <c r="FR16" s="2593"/>
      <c r="FS16" s="516"/>
      <c r="FW16" s="517"/>
      <c r="GM16" s="2594">
        <v>0.9</v>
      </c>
      <c r="GN16" s="2595"/>
      <c r="GO16" s="2595"/>
      <c r="GP16" s="2595"/>
      <c r="GZ16" s="516"/>
      <c r="IB16" s="522"/>
      <c r="IC16" s="523"/>
      <c r="ID16" s="523"/>
      <c r="IE16" s="524"/>
      <c r="II16" s="2596"/>
      <c r="IJ16" s="2596"/>
      <c r="IK16" s="2596"/>
      <c r="IL16" s="2596"/>
      <c r="IM16" s="2596"/>
      <c r="IN16" s="2596"/>
      <c r="IO16" s="2596"/>
      <c r="IP16" s="2596"/>
      <c r="IQ16" s="2596"/>
      <c r="IR16" s="2596"/>
      <c r="IS16" s="2596"/>
      <c r="IT16" s="2596"/>
      <c r="IZ16" s="516"/>
    </row>
    <row r="17" spans="22:260" ht="4.1500000000000004" customHeight="1">
      <c r="V17" s="516"/>
      <c r="CK17" s="517"/>
      <c r="FF17" s="516"/>
      <c r="FQ17" s="2592"/>
      <c r="FR17" s="2593"/>
      <c r="FS17" s="516"/>
      <c r="FW17" s="517"/>
      <c r="GM17" s="2595"/>
      <c r="GN17" s="2595"/>
      <c r="GO17" s="2595"/>
      <c r="GP17" s="2595"/>
      <c r="GZ17" s="516"/>
      <c r="IB17" s="522"/>
      <c r="IC17" s="523"/>
      <c r="ID17" s="523"/>
      <c r="IE17" s="524"/>
      <c r="II17" s="2598"/>
      <c r="IJ17" s="2598"/>
      <c r="IK17" s="2598"/>
      <c r="IL17" s="2598"/>
      <c r="IM17" s="2598"/>
      <c r="IN17" s="2598"/>
      <c r="IO17" s="2598"/>
      <c r="IP17" s="2598"/>
      <c r="IQ17" s="2598"/>
      <c r="IR17" s="2598"/>
      <c r="IS17" s="2598"/>
      <c r="IT17" s="2598"/>
      <c r="IZ17" s="516"/>
    </row>
    <row r="18" spans="22:260" ht="4.1500000000000004" customHeight="1">
      <c r="V18" s="516"/>
      <c r="CK18" s="517"/>
      <c r="FF18" s="516"/>
      <c r="FQ18" s="2592"/>
      <c r="FR18" s="2593"/>
      <c r="FS18" s="516"/>
      <c r="FW18" s="517"/>
      <c r="GM18" s="2595"/>
      <c r="GN18" s="2595"/>
      <c r="GO18" s="2595"/>
      <c r="GP18" s="2595"/>
      <c r="GZ18" s="516"/>
      <c r="IB18" s="516"/>
      <c r="IE18" s="517"/>
      <c r="IO18" s="515"/>
      <c r="IP18" s="514"/>
      <c r="IZ18" s="516"/>
    </row>
    <row r="19" spans="22:260" ht="4.1500000000000004" customHeight="1">
      <c r="V19" s="516"/>
      <c r="CK19" s="517"/>
      <c r="FF19" s="516"/>
      <c r="FQ19" s="2592"/>
      <c r="FR19" s="2593"/>
      <c r="FS19" s="516"/>
      <c r="FW19" s="517"/>
      <c r="GM19" s="2595"/>
      <c r="GN19" s="2595"/>
      <c r="GO19" s="2595"/>
      <c r="GP19" s="2595"/>
      <c r="GZ19" s="516"/>
      <c r="IB19" s="516"/>
      <c r="IE19" s="517"/>
      <c r="IO19" s="516"/>
      <c r="IZ19" s="516"/>
    </row>
    <row r="20" spans="22:260" ht="4.1500000000000004" customHeight="1">
      <c r="V20" s="516"/>
      <c r="CK20" s="517"/>
      <c r="FF20" s="516"/>
      <c r="FQ20" s="2592"/>
      <c r="FR20" s="2593"/>
      <c r="FS20" s="516"/>
      <c r="FW20" s="517"/>
      <c r="GM20" s="2595"/>
      <c r="GN20" s="2595"/>
      <c r="GO20" s="2595"/>
      <c r="GP20" s="2595"/>
      <c r="GZ20" s="516"/>
      <c r="IB20" s="516"/>
      <c r="IE20" s="517"/>
      <c r="II20" s="2615">
        <f>GM16-II15</f>
        <v>0.65</v>
      </c>
      <c r="IJ20" s="2608"/>
      <c r="IK20" s="2608"/>
      <c r="IL20" s="2608"/>
      <c r="IM20" s="2608"/>
      <c r="IN20" s="2608"/>
      <c r="IO20" s="2608"/>
      <c r="IP20" s="2608"/>
      <c r="IQ20" s="2608"/>
      <c r="IR20" s="2608"/>
      <c r="IS20" s="2608"/>
      <c r="IT20" s="2608"/>
      <c r="IZ20" s="516"/>
    </row>
    <row r="21" spans="22:260" ht="4.1500000000000004" customHeight="1">
      <c r="V21" s="516"/>
      <c r="CK21" s="517"/>
      <c r="FF21" s="516"/>
      <c r="FS21" s="516"/>
      <c r="FW21" s="517"/>
      <c r="GM21" s="2595"/>
      <c r="GN21" s="2595"/>
      <c r="GO21" s="2595"/>
      <c r="GP21" s="2595"/>
      <c r="GZ21" s="516"/>
      <c r="IB21" s="516"/>
      <c r="IE21" s="517"/>
      <c r="II21" s="2608"/>
      <c r="IJ21" s="2608"/>
      <c r="IK21" s="2608"/>
      <c r="IL21" s="2608"/>
      <c r="IM21" s="2608"/>
      <c r="IN21" s="2608"/>
      <c r="IO21" s="2608"/>
      <c r="IP21" s="2608"/>
      <c r="IQ21" s="2608"/>
      <c r="IR21" s="2608"/>
      <c r="IS21" s="2608"/>
      <c r="IT21" s="2608"/>
      <c r="IZ21" s="516"/>
    </row>
    <row r="22" spans="22:260" ht="4.1500000000000004" customHeight="1">
      <c r="V22" s="516"/>
      <c r="CK22" s="517"/>
      <c r="FF22" s="516"/>
      <c r="FS22" s="516"/>
      <c r="FW22" s="517"/>
      <c r="GM22" s="2595"/>
      <c r="GN22" s="2595"/>
      <c r="GO22" s="2595"/>
      <c r="GP22" s="2595"/>
      <c r="GZ22" s="516"/>
      <c r="IB22" s="516"/>
      <c r="IE22" s="517"/>
      <c r="II22" s="2608"/>
      <c r="IJ22" s="2608"/>
      <c r="IK22" s="2608"/>
      <c r="IL22" s="2608"/>
      <c r="IM22" s="2608"/>
      <c r="IN22" s="2608"/>
      <c r="IO22" s="2608"/>
      <c r="IP22" s="2608"/>
      <c r="IQ22" s="2608"/>
      <c r="IR22" s="2608"/>
      <c r="IS22" s="2608"/>
      <c r="IT22" s="2608"/>
      <c r="IZ22" s="516"/>
    </row>
    <row r="23" spans="22:260" ht="4.1500000000000004" customHeight="1">
      <c r="V23" s="516"/>
      <c r="CK23" s="517"/>
      <c r="FF23" s="516"/>
      <c r="FS23" s="516"/>
      <c r="FW23" s="517"/>
      <c r="GM23" s="2595"/>
      <c r="GN23" s="2595"/>
      <c r="GO23" s="2595"/>
      <c r="GP23" s="2595"/>
      <c r="GZ23" s="516"/>
      <c r="IB23" s="516"/>
      <c r="IE23" s="517"/>
      <c r="IO23" s="516"/>
      <c r="IZ23" s="516"/>
    </row>
    <row r="24" spans="22:260" ht="4.1500000000000004" customHeight="1">
      <c r="V24" s="516"/>
      <c r="CK24" s="517"/>
      <c r="FF24" s="516"/>
      <c r="FS24" s="516"/>
      <c r="FW24" s="517"/>
      <c r="GM24" s="2595"/>
      <c r="GN24" s="2595"/>
      <c r="GO24" s="2595"/>
      <c r="GP24" s="2595"/>
      <c r="GZ24" s="516"/>
      <c r="IB24" s="516"/>
      <c r="IE24" s="517"/>
      <c r="IO24" s="516"/>
      <c r="IZ24" s="516"/>
    </row>
    <row r="25" spans="22:260" ht="4.1500000000000004" customHeight="1">
      <c r="V25" s="516"/>
      <c r="CK25" s="517"/>
      <c r="FF25" s="516"/>
      <c r="FS25" s="516"/>
      <c r="FW25" s="517"/>
      <c r="GM25" s="2595"/>
      <c r="GN25" s="2595"/>
      <c r="GO25" s="2595"/>
      <c r="GP25" s="2595"/>
      <c r="GZ25" s="516"/>
      <c r="IB25" s="516"/>
      <c r="IE25" s="517"/>
      <c r="IO25" s="516"/>
      <c r="IZ25" s="516"/>
    </row>
    <row r="26" spans="22:260" ht="4.1500000000000004" customHeight="1">
      <c r="V26" s="516"/>
      <c r="CK26" s="517"/>
      <c r="FF26" s="516"/>
      <c r="FS26" s="516"/>
      <c r="FW26" s="517"/>
      <c r="GZ26" s="516"/>
      <c r="IB26" s="516"/>
      <c r="IE26" s="517"/>
      <c r="IO26" s="530"/>
      <c r="IP26" s="532"/>
      <c r="IQ26" s="532"/>
      <c r="IR26" s="532"/>
      <c r="IS26" s="532"/>
      <c r="IZ26" s="516"/>
    </row>
    <row r="27" spans="22:260" ht="4.1500000000000004" customHeight="1">
      <c r="V27" s="515"/>
      <c r="W27" s="514"/>
      <c r="X27" s="514"/>
      <c r="Y27" s="514"/>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4"/>
      <c r="CI27" s="514"/>
      <c r="CJ27" s="514"/>
      <c r="CK27" s="518"/>
      <c r="FF27" s="516"/>
      <c r="FS27" s="519"/>
      <c r="FT27" s="520"/>
      <c r="FU27" s="520"/>
      <c r="FV27" s="520"/>
      <c r="FW27" s="521"/>
      <c r="GI27" s="2596">
        <v>0.15</v>
      </c>
      <c r="GJ27" s="2597"/>
      <c r="GK27" s="2597"/>
      <c r="GL27" s="2597"/>
      <c r="GM27" s="2597"/>
      <c r="GN27" s="2597"/>
      <c r="GO27" s="2597"/>
      <c r="GP27" s="2597"/>
      <c r="GQ27" s="2597"/>
      <c r="GR27" s="2597"/>
      <c r="GS27" s="2597"/>
      <c r="GT27" s="2597"/>
      <c r="GZ27" s="516"/>
      <c r="IB27" s="522"/>
      <c r="IC27" s="523"/>
      <c r="ID27" s="523"/>
      <c r="IE27" s="524"/>
      <c r="II27" s="2596">
        <v>0.15</v>
      </c>
      <c r="IJ27" s="2597"/>
      <c r="IK27" s="2597"/>
      <c r="IL27" s="2597"/>
      <c r="IM27" s="2597"/>
      <c r="IN27" s="2597"/>
      <c r="IO27" s="2597"/>
      <c r="IP27" s="2597"/>
      <c r="IQ27" s="2597"/>
      <c r="IR27" s="2597"/>
      <c r="IS27" s="2597"/>
      <c r="IT27" s="2597"/>
      <c r="IZ27" s="516"/>
    </row>
    <row r="28" spans="22:260" ht="4.1500000000000004" customHeight="1">
      <c r="V28" s="515"/>
      <c r="W28" s="514"/>
      <c r="X28" s="514"/>
      <c r="Y28" s="518"/>
      <c r="Z28" s="514"/>
      <c r="AA28" s="514"/>
      <c r="AB28" s="514"/>
      <c r="AC28" s="515"/>
      <c r="AD28" s="525"/>
      <c r="AE28" s="514"/>
      <c r="AF28" s="514"/>
      <c r="AG28" s="514"/>
      <c r="AH28" s="518"/>
      <c r="BA28" s="517"/>
      <c r="BF28" s="516"/>
      <c r="CH28" s="515"/>
      <c r="CI28" s="514"/>
      <c r="CJ28" s="514"/>
      <c r="CK28" s="518"/>
      <c r="FF28" s="516"/>
      <c r="FS28" s="522"/>
      <c r="FT28" s="523"/>
      <c r="FU28" s="523"/>
      <c r="FV28" s="523"/>
      <c r="FW28" s="524"/>
      <c r="GI28" s="2596"/>
      <c r="GJ28" s="2596"/>
      <c r="GK28" s="2596"/>
      <c r="GL28" s="2596"/>
      <c r="GM28" s="2596"/>
      <c r="GN28" s="2596"/>
      <c r="GO28" s="2596"/>
      <c r="GP28" s="2596"/>
      <c r="GQ28" s="2596"/>
      <c r="GR28" s="2596"/>
      <c r="GS28" s="2596"/>
      <c r="GT28" s="2596"/>
      <c r="GZ28" s="516"/>
      <c r="IB28" s="522"/>
      <c r="IC28" s="523"/>
      <c r="ID28" s="523"/>
      <c r="IE28" s="524"/>
      <c r="II28" s="2596"/>
      <c r="IJ28" s="2596"/>
      <c r="IK28" s="2596"/>
      <c r="IL28" s="2596"/>
      <c r="IM28" s="2596"/>
      <c r="IN28" s="2596"/>
      <c r="IO28" s="2596"/>
      <c r="IP28" s="2596"/>
      <c r="IQ28" s="2596"/>
      <c r="IR28" s="2596"/>
      <c r="IS28" s="2596"/>
      <c r="IT28" s="2596"/>
      <c r="IZ28" s="516"/>
    </row>
    <row r="29" spans="22:260" ht="4.1500000000000004" customHeight="1">
      <c r="V29" s="516"/>
      <c r="Y29" s="517"/>
      <c r="Z29" s="515"/>
      <c r="AA29" s="518"/>
      <c r="AC29" s="516"/>
      <c r="AD29" s="526"/>
      <c r="AF29" s="515"/>
      <c r="AG29" s="518"/>
      <c r="AH29" s="517"/>
      <c r="BA29" s="517"/>
      <c r="BF29" s="516"/>
      <c r="CH29" s="516"/>
      <c r="CK29" s="517"/>
      <c r="FF29" s="516"/>
      <c r="FL29" s="508"/>
      <c r="FM29" s="509"/>
      <c r="FN29" s="509"/>
      <c r="FO29" s="509"/>
      <c r="FP29" s="509"/>
      <c r="FQ29" s="509"/>
      <c r="FR29" s="510"/>
      <c r="FS29" s="527"/>
      <c r="FT29" s="528"/>
      <c r="FU29" s="528"/>
      <c r="FV29" s="528"/>
      <c r="FW29" s="529"/>
      <c r="GI29" s="2598"/>
      <c r="GJ29" s="2598"/>
      <c r="GK29" s="2598"/>
      <c r="GL29" s="2598"/>
      <c r="GM29" s="2598"/>
      <c r="GN29" s="2598"/>
      <c r="GO29" s="2598"/>
      <c r="GP29" s="2598"/>
      <c r="GQ29" s="2598"/>
      <c r="GR29" s="2598"/>
      <c r="GS29" s="2598"/>
      <c r="GT29" s="2598"/>
      <c r="GZ29" s="516"/>
      <c r="HV29" s="508"/>
      <c r="HW29" s="509"/>
      <c r="HX29" s="509"/>
      <c r="HY29" s="509"/>
      <c r="HZ29" s="509"/>
      <c r="IA29" s="510"/>
      <c r="IB29" s="522"/>
      <c r="IC29" s="523"/>
      <c r="ID29" s="523"/>
      <c r="IE29" s="524"/>
      <c r="II29" s="2598"/>
      <c r="IJ29" s="2598"/>
      <c r="IK29" s="2598"/>
      <c r="IL29" s="2598"/>
      <c r="IM29" s="2598"/>
      <c r="IN29" s="2598"/>
      <c r="IO29" s="2598"/>
      <c r="IP29" s="2598"/>
      <c r="IQ29" s="2598"/>
      <c r="IR29" s="2598"/>
      <c r="IS29" s="2598"/>
      <c r="IT29" s="2598"/>
      <c r="IZ29" s="516"/>
    </row>
    <row r="30" spans="22:260" ht="4.1500000000000004" customHeight="1">
      <c r="V30" s="516"/>
      <c r="Y30" s="517"/>
      <c r="Z30" s="516"/>
      <c r="AA30" s="517"/>
      <c r="AC30" s="516"/>
      <c r="AD30" s="526"/>
      <c r="AF30" s="516"/>
      <c r="AG30" s="517"/>
      <c r="AH30" s="517"/>
      <c r="BA30" s="517"/>
      <c r="BF30" s="516"/>
      <c r="CH30" s="516"/>
      <c r="CK30" s="517"/>
      <c r="FF30" s="516"/>
      <c r="FS30" s="516"/>
      <c r="FW30" s="517"/>
      <c r="GI30" s="514"/>
      <c r="GJ30" s="514"/>
      <c r="GK30" s="514"/>
      <c r="GL30" s="514"/>
      <c r="GM30" s="514"/>
      <c r="GN30" s="514"/>
      <c r="GO30" s="515"/>
      <c r="GP30" s="514"/>
      <c r="GQ30" s="514"/>
      <c r="GR30" s="514"/>
      <c r="GS30" s="514"/>
      <c r="GT30" s="514"/>
      <c r="GX30" s="2594">
        <f>GM16+GI27+GM35</f>
        <v>3.1500000000000004</v>
      </c>
      <c r="GY30" s="2595"/>
      <c r="GZ30" s="2595"/>
      <c r="HA30" s="2595"/>
      <c r="IB30" s="516"/>
      <c r="IE30" s="517"/>
      <c r="II30" s="514"/>
      <c r="IJ30" s="514"/>
      <c r="IK30" s="514"/>
      <c r="IL30" s="514"/>
      <c r="IM30" s="514"/>
      <c r="IN30" s="514"/>
      <c r="IO30" s="515"/>
      <c r="IP30" s="514"/>
      <c r="IQ30" s="514"/>
      <c r="IR30" s="514"/>
      <c r="IS30" s="514"/>
      <c r="IT30" s="514"/>
      <c r="IZ30" s="516"/>
    </row>
    <row r="31" spans="22:260" ht="4.1500000000000004" customHeight="1">
      <c r="V31" s="516"/>
      <c r="Y31" s="517"/>
      <c r="Z31" s="516"/>
      <c r="AA31" s="517"/>
      <c r="AC31" s="516"/>
      <c r="AD31" s="526"/>
      <c r="AF31" s="516"/>
      <c r="AG31" s="517"/>
      <c r="AH31" s="517"/>
      <c r="BA31" s="517"/>
      <c r="BF31" s="516"/>
      <c r="CH31" s="516"/>
      <c r="CK31" s="517"/>
      <c r="FF31" s="516"/>
      <c r="FL31" s="2599">
        <v>0.6</v>
      </c>
      <c r="FM31" s="2600"/>
      <c r="FN31" s="2600"/>
      <c r="FO31" s="2600"/>
      <c r="FP31" s="2600"/>
      <c r="FQ31" s="2600"/>
      <c r="FR31" s="2601"/>
      <c r="FS31" s="516"/>
      <c r="FW31" s="517"/>
      <c r="GO31" s="516"/>
      <c r="GX31" s="2595"/>
      <c r="GY31" s="2595"/>
      <c r="GZ31" s="2595"/>
      <c r="HA31" s="2595"/>
      <c r="IB31" s="516"/>
      <c r="IE31" s="517"/>
      <c r="IO31" s="516"/>
      <c r="IZ31" s="516"/>
    </row>
    <row r="32" spans="22:260" ht="4.1500000000000004" customHeight="1">
      <c r="V32" s="516"/>
      <c r="Y32" s="517"/>
      <c r="Z32" s="516"/>
      <c r="AA32" s="517"/>
      <c r="AC32" s="516"/>
      <c r="AD32" s="526"/>
      <c r="AF32" s="516"/>
      <c r="AG32" s="517"/>
      <c r="AH32" s="517"/>
      <c r="BA32" s="517"/>
      <c r="BF32" s="516"/>
      <c r="CH32" s="516"/>
      <c r="CK32" s="517"/>
      <c r="FD32" s="2594">
        <f>GX30+GY53</f>
        <v>3.7500000000000004</v>
      </c>
      <c r="FE32" s="2595"/>
      <c r="FF32" s="2595"/>
      <c r="FG32" s="2595"/>
      <c r="FL32" s="2599"/>
      <c r="FM32" s="2600"/>
      <c r="FN32" s="2600"/>
      <c r="FO32" s="2600"/>
      <c r="FP32" s="2600"/>
      <c r="FQ32" s="2600"/>
      <c r="FR32" s="2601"/>
      <c r="FS32" s="516"/>
      <c r="FW32" s="517"/>
      <c r="GO32" s="516"/>
      <c r="GX32" s="2595"/>
      <c r="GY32" s="2595"/>
      <c r="GZ32" s="2595"/>
      <c r="HA32" s="2595"/>
      <c r="IB32" s="516"/>
      <c r="IE32" s="517"/>
      <c r="IO32" s="516"/>
      <c r="IZ32" s="516"/>
    </row>
    <row r="33" spans="22:261" ht="4.1500000000000004" customHeight="1">
      <c r="V33" s="516"/>
      <c r="Y33" s="517"/>
      <c r="Z33" s="516"/>
      <c r="AA33" s="517"/>
      <c r="AC33" s="516"/>
      <c r="AD33" s="526"/>
      <c r="AF33" s="516"/>
      <c r="AG33" s="517"/>
      <c r="AH33" s="517"/>
      <c r="BA33" s="517"/>
      <c r="BF33" s="516"/>
      <c r="CH33" s="516"/>
      <c r="CK33" s="517"/>
      <c r="FD33" s="2595"/>
      <c r="FE33" s="2595"/>
      <c r="FF33" s="2595"/>
      <c r="FG33" s="2595"/>
      <c r="FL33" s="2599"/>
      <c r="FM33" s="2600"/>
      <c r="FN33" s="2600"/>
      <c r="FO33" s="2600"/>
      <c r="FP33" s="2600"/>
      <c r="FQ33" s="2600"/>
      <c r="FR33" s="2601"/>
      <c r="FS33" s="516"/>
      <c r="FW33" s="517"/>
      <c r="GO33" s="516"/>
      <c r="GX33" s="2595"/>
      <c r="GY33" s="2595"/>
      <c r="GZ33" s="2595"/>
      <c r="HA33" s="2595"/>
      <c r="IB33" s="516"/>
      <c r="IE33" s="517"/>
      <c r="IO33" s="516"/>
      <c r="IZ33" s="516"/>
    </row>
    <row r="34" spans="22:261" ht="4.1500000000000004" customHeight="1">
      <c r="V34" s="516"/>
      <c r="Y34" s="517"/>
      <c r="Z34" s="516"/>
      <c r="AA34" s="517"/>
      <c r="AC34" s="516"/>
      <c r="AD34" s="526"/>
      <c r="AF34" s="516"/>
      <c r="AG34" s="517"/>
      <c r="AH34" s="517"/>
      <c r="BA34" s="517"/>
      <c r="BF34" s="516"/>
      <c r="CH34" s="516"/>
      <c r="CK34" s="517"/>
      <c r="FD34" s="2595"/>
      <c r="FE34" s="2595"/>
      <c r="FF34" s="2595"/>
      <c r="FG34" s="2595"/>
      <c r="FS34" s="516"/>
      <c r="FW34" s="517"/>
      <c r="GO34" s="516"/>
      <c r="GX34" s="2595"/>
      <c r="GY34" s="2595"/>
      <c r="GZ34" s="2595"/>
      <c r="HA34" s="2595"/>
      <c r="IB34" s="516"/>
      <c r="IE34" s="517"/>
      <c r="IO34" s="516"/>
      <c r="IZ34" s="516"/>
    </row>
    <row r="35" spans="22:261" ht="4.1500000000000004" customHeight="1">
      <c r="V35" s="516"/>
      <c r="Y35" s="517"/>
      <c r="Z35" s="516"/>
      <c r="AA35" s="517"/>
      <c r="AC35" s="516"/>
      <c r="AD35" s="526"/>
      <c r="AF35" s="516"/>
      <c r="AG35" s="517"/>
      <c r="AH35" s="517"/>
      <c r="BA35" s="517"/>
      <c r="BF35" s="516"/>
      <c r="CH35" s="516"/>
      <c r="CK35" s="517"/>
      <c r="FD35" s="2595"/>
      <c r="FE35" s="2595"/>
      <c r="FF35" s="2595"/>
      <c r="FG35" s="2595"/>
      <c r="FS35" s="516"/>
      <c r="FW35" s="517"/>
      <c r="GM35" s="2594">
        <v>2.1</v>
      </c>
      <c r="GN35" s="2595"/>
      <c r="GO35" s="2595"/>
      <c r="GP35" s="2595"/>
      <c r="GX35" s="2595"/>
      <c r="GY35" s="2595"/>
      <c r="GZ35" s="2595"/>
      <c r="HA35" s="2595"/>
      <c r="IB35" s="516"/>
      <c r="IE35" s="517"/>
      <c r="IM35" s="2594">
        <v>2.1</v>
      </c>
      <c r="IN35" s="2595"/>
      <c r="IO35" s="2595"/>
      <c r="IP35" s="2595"/>
      <c r="IX35" s="2594">
        <v>2.1</v>
      </c>
      <c r="IY35" s="2595"/>
      <c r="IZ35" s="2595"/>
      <c r="JA35" s="2595"/>
    </row>
    <row r="36" spans="22:261" ht="4.1500000000000004" customHeight="1">
      <c r="V36" s="516"/>
      <c r="Y36" s="517"/>
      <c r="Z36" s="530"/>
      <c r="AA36" s="531"/>
      <c r="AC36" s="516"/>
      <c r="AD36" s="526"/>
      <c r="AF36" s="530"/>
      <c r="AG36" s="531"/>
      <c r="AH36" s="517"/>
      <c r="BA36" s="517"/>
      <c r="BF36" s="516"/>
      <c r="CH36" s="516"/>
      <c r="CK36" s="517"/>
      <c r="FD36" s="2595"/>
      <c r="FE36" s="2595"/>
      <c r="FF36" s="2595"/>
      <c r="FG36" s="2595"/>
      <c r="FS36" s="516"/>
      <c r="FW36" s="517"/>
      <c r="GM36" s="2595"/>
      <c r="GN36" s="2595"/>
      <c r="GO36" s="2595"/>
      <c r="GP36" s="2595"/>
      <c r="GX36" s="2595"/>
      <c r="GY36" s="2595"/>
      <c r="GZ36" s="2595"/>
      <c r="HA36" s="2595"/>
      <c r="IB36" s="516"/>
      <c r="IE36" s="517"/>
      <c r="IM36" s="2595"/>
      <c r="IN36" s="2595"/>
      <c r="IO36" s="2595"/>
      <c r="IP36" s="2595"/>
      <c r="IX36" s="2595"/>
      <c r="IY36" s="2595"/>
      <c r="IZ36" s="2595"/>
      <c r="JA36" s="2595"/>
    </row>
    <row r="37" spans="22:261" ht="4.1500000000000004" customHeight="1">
      <c r="V37" s="516"/>
      <c r="Y37" s="517"/>
      <c r="AC37" s="516"/>
      <c r="AD37" s="526"/>
      <c r="AH37" s="517"/>
      <c r="BA37" s="517"/>
      <c r="BF37" s="516"/>
      <c r="CH37" s="516"/>
      <c r="CK37" s="517"/>
      <c r="FD37" s="2595"/>
      <c r="FE37" s="2595"/>
      <c r="FF37" s="2595"/>
      <c r="FG37" s="2595"/>
      <c r="FS37" s="516"/>
      <c r="FW37" s="517"/>
      <c r="GM37" s="2595"/>
      <c r="GN37" s="2595"/>
      <c r="GO37" s="2595"/>
      <c r="GP37" s="2595"/>
      <c r="GX37" s="2595"/>
      <c r="GY37" s="2595"/>
      <c r="GZ37" s="2595"/>
      <c r="HA37" s="2595"/>
      <c r="IB37" s="516"/>
      <c r="IE37" s="517"/>
      <c r="IM37" s="2595"/>
      <c r="IN37" s="2595"/>
      <c r="IO37" s="2595"/>
      <c r="IP37" s="2595"/>
      <c r="IX37" s="2595"/>
      <c r="IY37" s="2595"/>
      <c r="IZ37" s="2595"/>
      <c r="JA37" s="2595"/>
    </row>
    <row r="38" spans="22:261" ht="4.1500000000000004" customHeight="1">
      <c r="V38" s="516"/>
      <c r="Y38" s="517"/>
      <c r="AC38" s="516"/>
      <c r="AD38" s="526"/>
      <c r="AH38" s="517"/>
      <c r="BA38" s="517"/>
      <c r="BF38" s="516"/>
      <c r="CH38" s="516"/>
      <c r="CK38" s="517"/>
      <c r="FD38" s="2595"/>
      <c r="FE38" s="2595"/>
      <c r="FF38" s="2595"/>
      <c r="FG38" s="2595"/>
      <c r="FS38" s="516"/>
      <c r="FW38" s="517"/>
      <c r="GM38" s="2595"/>
      <c r="GN38" s="2595"/>
      <c r="GO38" s="2595"/>
      <c r="GP38" s="2595"/>
      <c r="GX38" s="2595"/>
      <c r="GY38" s="2595"/>
      <c r="GZ38" s="2595"/>
      <c r="HA38" s="2595"/>
      <c r="IB38" s="516"/>
      <c r="IE38" s="517"/>
      <c r="IM38" s="2595"/>
      <c r="IN38" s="2595"/>
      <c r="IO38" s="2595"/>
      <c r="IP38" s="2595"/>
      <c r="IX38" s="2595"/>
      <c r="IY38" s="2595"/>
      <c r="IZ38" s="2595"/>
      <c r="JA38" s="2595"/>
    </row>
    <row r="39" spans="22:261" ht="4.1500000000000004" customHeight="1">
      <c r="V39" s="516"/>
      <c r="Y39" s="517"/>
      <c r="Z39" s="515"/>
      <c r="AA39" s="518"/>
      <c r="AC39" s="516"/>
      <c r="AD39" s="526"/>
      <c r="AF39" s="515"/>
      <c r="AG39" s="518"/>
      <c r="AH39" s="517"/>
      <c r="BA39" s="517"/>
      <c r="BF39" s="516"/>
      <c r="CH39" s="516"/>
      <c r="CK39" s="517"/>
      <c r="FD39" s="2595"/>
      <c r="FE39" s="2595"/>
      <c r="FF39" s="2595"/>
      <c r="FG39" s="2595"/>
      <c r="FS39" s="516"/>
      <c r="FW39" s="517"/>
      <c r="GM39" s="2595"/>
      <c r="GN39" s="2595"/>
      <c r="GO39" s="2595"/>
      <c r="GP39" s="2595"/>
      <c r="GX39" s="2595"/>
      <c r="GY39" s="2595"/>
      <c r="GZ39" s="2595"/>
      <c r="HA39" s="2595"/>
      <c r="IB39" s="516"/>
      <c r="IE39" s="517"/>
      <c r="IM39" s="2595"/>
      <c r="IN39" s="2595"/>
      <c r="IO39" s="2595"/>
      <c r="IP39" s="2595"/>
      <c r="IX39" s="2595"/>
      <c r="IY39" s="2595"/>
      <c r="IZ39" s="2595"/>
      <c r="JA39" s="2595"/>
    </row>
    <row r="40" spans="22:261" ht="4.1500000000000004" customHeight="1">
      <c r="V40" s="516"/>
      <c r="Y40" s="517"/>
      <c r="Z40" s="516"/>
      <c r="AA40" s="517"/>
      <c r="AC40" s="516"/>
      <c r="AD40" s="526"/>
      <c r="AF40" s="516"/>
      <c r="AG40" s="517"/>
      <c r="AH40" s="517"/>
      <c r="BA40" s="517"/>
      <c r="BF40" s="516"/>
      <c r="CH40" s="516"/>
      <c r="CK40" s="517"/>
      <c r="FD40" s="2595"/>
      <c r="FE40" s="2595"/>
      <c r="FF40" s="2595"/>
      <c r="FG40" s="2595"/>
      <c r="FS40" s="516"/>
      <c r="FW40" s="517"/>
      <c r="GM40" s="2595"/>
      <c r="GN40" s="2595"/>
      <c r="GO40" s="2595"/>
      <c r="GP40" s="2595"/>
      <c r="GZ40" s="516"/>
      <c r="IB40" s="516"/>
      <c r="IE40" s="517"/>
      <c r="IM40" s="2595"/>
      <c r="IN40" s="2595"/>
      <c r="IO40" s="2595"/>
      <c r="IP40" s="2595"/>
      <c r="IX40" s="2595"/>
      <c r="IY40" s="2595"/>
      <c r="IZ40" s="2595"/>
      <c r="JA40" s="2595"/>
    </row>
    <row r="41" spans="22:261" ht="4.1500000000000004" customHeight="1">
      <c r="V41" s="516"/>
      <c r="Y41" s="517"/>
      <c r="Z41" s="516"/>
      <c r="AA41" s="517"/>
      <c r="AC41" s="516"/>
      <c r="AD41" s="526"/>
      <c r="AF41" s="516"/>
      <c r="AG41" s="517"/>
      <c r="AH41" s="517"/>
      <c r="BA41" s="517"/>
      <c r="BF41" s="516"/>
      <c r="CH41" s="516"/>
      <c r="CK41" s="517"/>
      <c r="FD41" s="2595"/>
      <c r="FE41" s="2595"/>
      <c r="FF41" s="2595"/>
      <c r="FG41" s="2595"/>
      <c r="FS41" s="516"/>
      <c r="FW41" s="517"/>
      <c r="GM41" s="2595"/>
      <c r="GN41" s="2595"/>
      <c r="GO41" s="2595"/>
      <c r="GP41" s="2595"/>
      <c r="GZ41" s="516"/>
      <c r="IB41" s="516"/>
      <c r="IE41" s="517"/>
      <c r="IM41" s="2595"/>
      <c r="IN41" s="2595"/>
      <c r="IO41" s="2595"/>
      <c r="IP41" s="2595"/>
      <c r="IX41" s="2595"/>
      <c r="IY41" s="2595"/>
      <c r="IZ41" s="2595"/>
      <c r="JA41" s="2595"/>
    </row>
    <row r="42" spans="22:261" ht="4.1500000000000004" customHeight="1">
      <c r="V42" s="516"/>
      <c r="Y42" s="517"/>
      <c r="Z42" s="516"/>
      <c r="AA42" s="517"/>
      <c r="AC42" s="516"/>
      <c r="AD42" s="526"/>
      <c r="AF42" s="516"/>
      <c r="AG42" s="517"/>
      <c r="AH42" s="517"/>
      <c r="BA42" s="517"/>
      <c r="BF42" s="516"/>
      <c r="CH42" s="516"/>
      <c r="CK42" s="517"/>
      <c r="FF42" s="516"/>
      <c r="FS42" s="516"/>
      <c r="FW42" s="517"/>
      <c r="GM42" s="2595"/>
      <c r="GN42" s="2595"/>
      <c r="GO42" s="2595"/>
      <c r="GP42" s="2595"/>
      <c r="GZ42" s="516"/>
      <c r="IB42" s="516"/>
      <c r="IE42" s="517"/>
      <c r="IM42" s="2595"/>
      <c r="IN42" s="2595"/>
      <c r="IO42" s="2595"/>
      <c r="IP42" s="2595"/>
      <c r="IX42" s="2595"/>
      <c r="IY42" s="2595"/>
      <c r="IZ42" s="2595"/>
      <c r="JA42" s="2595"/>
    </row>
    <row r="43" spans="22:261" ht="4.1500000000000004" customHeight="1">
      <c r="V43" s="516"/>
      <c r="Y43" s="517"/>
      <c r="Z43" s="516"/>
      <c r="AA43" s="517"/>
      <c r="AC43" s="516"/>
      <c r="AD43" s="526"/>
      <c r="AF43" s="516"/>
      <c r="AG43" s="517"/>
      <c r="AH43" s="517"/>
      <c r="BA43" s="517"/>
      <c r="BF43" s="516"/>
      <c r="CH43" s="516"/>
      <c r="CK43" s="517"/>
      <c r="FF43" s="516"/>
      <c r="FS43" s="516"/>
      <c r="FW43" s="517"/>
      <c r="GM43" s="2595"/>
      <c r="GN43" s="2595"/>
      <c r="GO43" s="2595"/>
      <c r="GP43" s="2595"/>
      <c r="GZ43" s="516"/>
      <c r="IB43" s="516"/>
      <c r="IE43" s="517"/>
      <c r="IM43" s="2595"/>
      <c r="IN43" s="2595"/>
      <c r="IO43" s="2595"/>
      <c r="IP43" s="2595"/>
      <c r="IX43" s="2595"/>
      <c r="IY43" s="2595"/>
      <c r="IZ43" s="2595"/>
      <c r="JA43" s="2595"/>
    </row>
    <row r="44" spans="22:261" ht="4.1500000000000004" customHeight="1">
      <c r="V44" s="516"/>
      <c r="Y44" s="517"/>
      <c r="Z44" s="516"/>
      <c r="AA44" s="517"/>
      <c r="AC44" s="516"/>
      <c r="AD44" s="526"/>
      <c r="AF44" s="516"/>
      <c r="AG44" s="517"/>
      <c r="AH44" s="517"/>
      <c r="BA44" s="517"/>
      <c r="BF44" s="516"/>
      <c r="CH44" s="516"/>
      <c r="CK44" s="517"/>
      <c r="FF44" s="516"/>
      <c r="FS44" s="516"/>
      <c r="FW44" s="517"/>
      <c r="FX44" s="516"/>
      <c r="GM44" s="2595"/>
      <c r="GN44" s="2595"/>
      <c r="GO44" s="2595"/>
      <c r="GP44" s="2595"/>
      <c r="GZ44" s="516"/>
      <c r="IB44" s="516"/>
      <c r="IE44" s="517"/>
      <c r="IM44" s="2595"/>
      <c r="IN44" s="2595"/>
      <c r="IO44" s="2595"/>
      <c r="IP44" s="2595"/>
      <c r="IX44" s="2595"/>
      <c r="IY44" s="2595"/>
      <c r="IZ44" s="2595"/>
      <c r="JA44" s="2595"/>
    </row>
    <row r="45" spans="22:261" ht="4.1500000000000004" customHeight="1">
      <c r="V45" s="516"/>
      <c r="Y45" s="517"/>
      <c r="Z45" s="516"/>
      <c r="AA45" s="517"/>
      <c r="AC45" s="516"/>
      <c r="AD45" s="526"/>
      <c r="AF45" s="516"/>
      <c r="AG45" s="517"/>
      <c r="AH45" s="517"/>
      <c r="BA45" s="517"/>
      <c r="BF45" s="516"/>
      <c r="CH45" s="516"/>
      <c r="CK45" s="517"/>
      <c r="FF45" s="516"/>
      <c r="FS45" s="516"/>
      <c r="FW45" s="517"/>
      <c r="FX45" s="516"/>
      <c r="GO45" s="516"/>
      <c r="GZ45" s="516"/>
      <c r="IB45" s="516"/>
      <c r="IE45" s="517"/>
      <c r="IO45" s="516"/>
      <c r="IZ45" s="516"/>
    </row>
    <row r="46" spans="22:261" ht="4.1500000000000004" customHeight="1">
      <c r="V46" s="516"/>
      <c r="Y46" s="517"/>
      <c r="Z46" s="516"/>
      <c r="AA46" s="517"/>
      <c r="AC46" s="516"/>
      <c r="AD46" s="526"/>
      <c r="AF46" s="516"/>
      <c r="AG46" s="517"/>
      <c r="AH46" s="517"/>
      <c r="BA46" s="517"/>
      <c r="BF46" s="516"/>
      <c r="CH46" s="516"/>
      <c r="CK46" s="517"/>
      <c r="FF46" s="516"/>
      <c r="FS46" s="516"/>
      <c r="FW46" s="517"/>
      <c r="FX46" s="516"/>
      <c r="GO46" s="516"/>
      <c r="GZ46" s="516"/>
      <c r="IB46" s="516"/>
      <c r="IE46" s="517"/>
      <c r="IO46" s="516"/>
      <c r="IZ46" s="516"/>
    </row>
    <row r="47" spans="22:261" ht="4.1500000000000004" customHeight="1">
      <c r="V47" s="516"/>
      <c r="Y47" s="517"/>
      <c r="Z47" s="530"/>
      <c r="AA47" s="531"/>
      <c r="AC47" s="516"/>
      <c r="AD47" s="526"/>
      <c r="AF47" s="530"/>
      <c r="AG47" s="531"/>
      <c r="AH47" s="517"/>
      <c r="BA47" s="517"/>
      <c r="BF47" s="516"/>
      <c r="CH47" s="516"/>
      <c r="CK47" s="517"/>
      <c r="FF47" s="516"/>
      <c r="FS47" s="516"/>
      <c r="FW47" s="517"/>
      <c r="FX47" s="516"/>
      <c r="GO47" s="516"/>
      <c r="GZ47" s="516"/>
      <c r="IB47" s="516"/>
      <c r="IE47" s="517"/>
      <c r="IF47" s="516"/>
      <c r="IO47" s="516"/>
      <c r="IZ47" s="516"/>
    </row>
    <row r="48" spans="22:261" ht="4.1500000000000004" customHeight="1">
      <c r="V48" s="530"/>
      <c r="W48" s="532"/>
      <c r="X48" s="532"/>
      <c r="Y48" s="531"/>
      <c r="Z48" s="532"/>
      <c r="AA48" s="532"/>
      <c r="AB48" s="532"/>
      <c r="AC48" s="530"/>
      <c r="AD48" s="533"/>
      <c r="AE48" s="532"/>
      <c r="AF48" s="532"/>
      <c r="AG48" s="532"/>
      <c r="AH48" s="531"/>
      <c r="AI48" s="532"/>
      <c r="AJ48" s="532"/>
      <c r="AK48" s="532"/>
      <c r="AL48" s="532"/>
      <c r="AM48" s="532"/>
      <c r="AN48" s="532"/>
      <c r="AO48" s="532"/>
      <c r="AP48" s="532"/>
      <c r="AQ48" s="532"/>
      <c r="AR48" s="532"/>
      <c r="AS48" s="532"/>
      <c r="AT48" s="532"/>
      <c r="AU48" s="532"/>
      <c r="AV48" s="532"/>
      <c r="AW48" s="532"/>
      <c r="AX48" s="532"/>
      <c r="AY48" s="532"/>
      <c r="AZ48" s="532"/>
      <c r="BA48" s="531"/>
      <c r="BB48" s="532"/>
      <c r="BC48" s="532"/>
      <c r="BD48" s="532"/>
      <c r="BE48" s="532"/>
      <c r="BF48" s="530"/>
      <c r="BG48" s="532"/>
      <c r="BH48" s="532"/>
      <c r="BI48" s="532"/>
      <c r="BJ48" s="532"/>
      <c r="BK48" s="532"/>
      <c r="BL48" s="532"/>
      <c r="BM48" s="532"/>
      <c r="BN48" s="532"/>
      <c r="BO48" s="532"/>
      <c r="BP48" s="532"/>
      <c r="BQ48" s="532"/>
      <c r="BR48" s="532"/>
      <c r="BS48" s="532"/>
      <c r="BT48" s="532"/>
      <c r="BU48" s="532"/>
      <c r="BV48" s="532"/>
      <c r="BW48" s="532"/>
      <c r="BX48" s="532"/>
      <c r="BY48" s="532"/>
      <c r="BZ48" s="532"/>
      <c r="CA48" s="532"/>
      <c r="CB48" s="532"/>
      <c r="CC48" s="532"/>
      <c r="CD48" s="532"/>
      <c r="CE48" s="532"/>
      <c r="CF48" s="532"/>
      <c r="CG48" s="532"/>
      <c r="CH48" s="530"/>
      <c r="CI48" s="532"/>
      <c r="CJ48" s="532"/>
      <c r="CK48" s="531"/>
      <c r="FF48" s="516"/>
      <c r="FS48" s="516"/>
      <c r="FW48" s="517"/>
      <c r="FX48" s="516"/>
      <c r="GO48" s="516"/>
      <c r="GZ48" s="516"/>
      <c r="IB48" s="516"/>
      <c r="IE48" s="517"/>
      <c r="IF48" s="516"/>
      <c r="IO48" s="516"/>
      <c r="IZ48" s="516"/>
    </row>
    <row r="49" spans="21:264" ht="4.1500000000000004" customHeight="1">
      <c r="U49" s="515"/>
      <c r="Z49" s="515"/>
      <c r="AA49" s="514"/>
      <c r="AB49" s="514"/>
      <c r="AC49" s="514"/>
      <c r="AD49" s="514"/>
      <c r="AE49" s="514"/>
      <c r="AF49" s="514"/>
      <c r="AG49" s="514"/>
      <c r="AH49" s="514"/>
      <c r="AI49" s="514"/>
      <c r="AJ49" s="514"/>
      <c r="AK49" s="514"/>
      <c r="AL49" s="514"/>
      <c r="AM49" s="514"/>
      <c r="AN49" s="514"/>
      <c r="AO49" s="514"/>
      <c r="AP49" s="514"/>
      <c r="AQ49" s="514"/>
      <c r="AR49" s="514"/>
      <c r="AS49" s="514"/>
      <c r="AT49" s="514"/>
      <c r="AU49" s="514"/>
      <c r="AV49" s="514"/>
      <c r="AW49" s="514"/>
      <c r="AX49" s="514"/>
      <c r="AY49" s="514"/>
      <c r="AZ49" s="514"/>
      <c r="BA49" s="518"/>
      <c r="BB49" s="514"/>
      <c r="BC49" s="514"/>
      <c r="BD49" s="514"/>
      <c r="BE49" s="514"/>
      <c r="BF49" s="514"/>
      <c r="BG49" s="514"/>
      <c r="BH49" s="514"/>
      <c r="BI49" s="514"/>
      <c r="BJ49" s="514"/>
      <c r="BK49" s="514"/>
      <c r="BL49" s="514"/>
      <c r="BM49" s="514"/>
      <c r="BN49" s="514"/>
      <c r="BO49" s="514"/>
      <c r="BP49" s="514"/>
      <c r="BQ49" s="514"/>
      <c r="BR49" s="514"/>
      <c r="BS49" s="514"/>
      <c r="BT49" s="514"/>
      <c r="BU49" s="514"/>
      <c r="BV49" s="514"/>
      <c r="BW49" s="514"/>
      <c r="BX49" s="514"/>
      <c r="BY49" s="514"/>
      <c r="BZ49" s="514"/>
      <c r="CA49" s="514"/>
      <c r="CB49" s="514"/>
      <c r="CC49" s="514"/>
      <c r="CD49" s="514"/>
      <c r="CE49" s="514"/>
      <c r="CF49" s="514"/>
      <c r="CG49" s="514"/>
      <c r="CL49" s="518"/>
      <c r="FF49" s="516"/>
      <c r="FS49" s="516"/>
      <c r="FW49" s="517"/>
      <c r="FX49" s="516"/>
      <c r="GO49" s="516"/>
      <c r="GZ49" s="516"/>
      <c r="HO49" s="2608" t="s">
        <v>2981</v>
      </c>
      <c r="HP49" s="2608"/>
      <c r="HQ49" s="2608"/>
      <c r="HR49" s="2608"/>
      <c r="HS49" s="2608"/>
      <c r="HT49" s="2608"/>
      <c r="HU49" s="2608"/>
      <c r="IB49" s="516"/>
      <c r="IE49" s="517"/>
      <c r="IF49" s="516"/>
      <c r="IO49" s="516"/>
      <c r="IZ49" s="516"/>
    </row>
    <row r="50" spans="21:264" ht="4.1500000000000004" customHeight="1">
      <c r="U50" s="516"/>
      <c r="Z50" s="530"/>
      <c r="AA50" s="532"/>
      <c r="AB50" s="532"/>
      <c r="AC50" s="532"/>
      <c r="AD50" s="532"/>
      <c r="AE50" s="532"/>
      <c r="AF50" s="532"/>
      <c r="AG50" s="532"/>
      <c r="AH50" s="532"/>
      <c r="AI50" s="532"/>
      <c r="AJ50" s="532"/>
      <c r="AK50" s="532"/>
      <c r="AL50" s="532"/>
      <c r="AM50" s="532"/>
      <c r="AN50" s="532"/>
      <c r="AO50" s="532"/>
      <c r="AP50" s="532"/>
      <c r="AQ50" s="532"/>
      <c r="AR50" s="532"/>
      <c r="AS50" s="532"/>
      <c r="AT50" s="532"/>
      <c r="AU50" s="532"/>
      <c r="AV50" s="532"/>
      <c r="AW50" s="532"/>
      <c r="AX50" s="532"/>
      <c r="AY50" s="532"/>
      <c r="AZ50" s="532"/>
      <c r="BA50" s="531"/>
      <c r="CL50" s="517"/>
      <c r="FF50" s="516"/>
      <c r="FS50" s="516"/>
      <c r="FW50" s="517"/>
      <c r="FX50" s="516"/>
      <c r="GO50" s="516"/>
      <c r="GZ50" s="516"/>
      <c r="HO50" s="2608"/>
      <c r="HP50" s="2608"/>
      <c r="HQ50" s="2608"/>
      <c r="HR50" s="2608"/>
      <c r="HS50" s="2608"/>
      <c r="HT50" s="2608"/>
      <c r="HU50" s="2608"/>
      <c r="IB50" s="516"/>
      <c r="IE50" s="517"/>
      <c r="IF50" s="516"/>
      <c r="IO50" s="516"/>
      <c r="IZ50" s="516"/>
    </row>
    <row r="51" spans="21:264" ht="4.1500000000000004" customHeight="1">
      <c r="U51" s="516"/>
      <c r="Z51" s="515"/>
      <c r="AA51" s="514"/>
      <c r="AB51" s="514"/>
      <c r="AC51" s="514"/>
      <c r="AD51" s="514"/>
      <c r="AE51" s="514"/>
      <c r="AF51" s="514"/>
      <c r="AG51" s="514"/>
      <c r="AH51" s="514"/>
      <c r="AI51" s="514"/>
      <c r="AJ51" s="514"/>
      <c r="AK51" s="514"/>
      <c r="AL51" s="514"/>
      <c r="AM51" s="514"/>
      <c r="AN51" s="514"/>
      <c r="AO51" s="514"/>
      <c r="AP51" s="514"/>
      <c r="AQ51" s="514"/>
      <c r="AR51" s="514"/>
      <c r="AS51" s="514"/>
      <c r="AT51" s="514"/>
      <c r="AU51" s="514"/>
      <c r="AV51" s="514"/>
      <c r="AW51" s="514"/>
      <c r="AX51" s="514"/>
      <c r="AY51" s="514"/>
      <c r="AZ51" s="514"/>
      <c r="BA51" s="518"/>
      <c r="CL51" s="517"/>
      <c r="FF51" s="516"/>
      <c r="FS51" s="516"/>
      <c r="FW51" s="517"/>
      <c r="FX51" s="516"/>
      <c r="GO51" s="516"/>
      <c r="GZ51" s="516"/>
      <c r="HO51" s="2608"/>
      <c r="HP51" s="2608"/>
      <c r="HQ51" s="2608"/>
      <c r="HR51" s="2608"/>
      <c r="HS51" s="2608"/>
      <c r="HT51" s="2608"/>
      <c r="HU51" s="2608"/>
      <c r="IB51" s="516"/>
      <c r="IE51" s="517"/>
      <c r="IF51" s="516"/>
      <c r="IO51" s="516"/>
      <c r="IZ51" s="516"/>
    </row>
    <row r="52" spans="21:264" ht="4.1500000000000004" customHeight="1">
      <c r="U52" s="516"/>
      <c r="Z52" s="530"/>
      <c r="AA52" s="532"/>
      <c r="AB52" s="532"/>
      <c r="AC52" s="532"/>
      <c r="AD52" s="532"/>
      <c r="AE52" s="532"/>
      <c r="AF52" s="532"/>
      <c r="AG52" s="532"/>
      <c r="AH52" s="532"/>
      <c r="AI52" s="532"/>
      <c r="AJ52" s="532"/>
      <c r="AK52" s="532"/>
      <c r="AL52" s="532"/>
      <c r="AM52" s="532"/>
      <c r="AN52" s="532"/>
      <c r="AO52" s="532"/>
      <c r="AP52" s="532"/>
      <c r="AQ52" s="532"/>
      <c r="AR52" s="532"/>
      <c r="AS52" s="532"/>
      <c r="AT52" s="532"/>
      <c r="AU52" s="532"/>
      <c r="AV52" s="532"/>
      <c r="AW52" s="532"/>
      <c r="AX52" s="532"/>
      <c r="AY52" s="532"/>
      <c r="AZ52" s="532"/>
      <c r="BA52" s="531"/>
      <c r="CL52" s="517"/>
      <c r="FF52" s="516"/>
      <c r="FS52" s="516"/>
      <c r="FW52" s="517"/>
      <c r="FX52" s="530"/>
      <c r="FY52" s="532"/>
      <c r="FZ52" s="532"/>
      <c r="GA52" s="532"/>
      <c r="GB52" s="532"/>
      <c r="GC52" s="532"/>
      <c r="GD52" s="532"/>
      <c r="GE52" s="532"/>
      <c r="GF52" s="532"/>
      <c r="GG52" s="532"/>
      <c r="GH52" s="532"/>
      <c r="GI52" s="532"/>
      <c r="GJ52" s="532"/>
      <c r="GK52" s="532"/>
      <c r="GL52" s="532"/>
      <c r="GM52" s="532"/>
      <c r="GN52" s="532"/>
      <c r="GO52" s="530"/>
      <c r="GP52" s="532"/>
      <c r="GQ52" s="532"/>
      <c r="GR52" s="532"/>
      <c r="GS52" s="532"/>
      <c r="GT52" s="532"/>
      <c r="GZ52" s="516"/>
      <c r="HB52" s="532"/>
      <c r="HC52" s="532"/>
      <c r="HD52" s="532"/>
      <c r="HE52" s="532"/>
      <c r="HF52" s="532"/>
      <c r="HG52" s="532"/>
      <c r="HH52" s="532"/>
      <c r="HI52" s="532"/>
      <c r="HJ52" s="532"/>
      <c r="HK52" s="532"/>
      <c r="HL52" s="532"/>
      <c r="HM52" s="532"/>
      <c r="HN52" s="532"/>
      <c r="HO52" s="532"/>
      <c r="HP52" s="532"/>
      <c r="HQ52" s="532"/>
      <c r="HR52" s="532"/>
      <c r="HS52" s="532"/>
      <c r="HT52" s="532"/>
      <c r="HU52" s="532"/>
      <c r="HV52" s="532"/>
      <c r="HW52" s="532"/>
      <c r="HX52" s="532"/>
      <c r="HY52" s="532"/>
      <c r="HZ52" s="532"/>
      <c r="IB52" s="516"/>
      <c r="IE52" s="517"/>
      <c r="IF52" s="530"/>
      <c r="IG52" s="532"/>
      <c r="IH52" s="532"/>
      <c r="II52" s="532"/>
      <c r="IJ52" s="532"/>
      <c r="IK52" s="532"/>
      <c r="IL52" s="532"/>
      <c r="IM52" s="532"/>
      <c r="IN52" s="532"/>
      <c r="IO52" s="530"/>
      <c r="IP52" s="532"/>
      <c r="IQ52" s="532"/>
      <c r="IR52" s="532"/>
      <c r="IS52" s="532"/>
      <c r="IT52" s="532"/>
      <c r="IU52" s="532"/>
      <c r="IV52" s="532"/>
      <c r="IW52" s="532"/>
      <c r="IX52" s="532"/>
      <c r="IY52" s="532"/>
      <c r="IZ52" s="530"/>
      <c r="JA52" s="532"/>
      <c r="JB52" s="532"/>
      <c r="JC52" s="532"/>
      <c r="JD52" s="532"/>
    </row>
    <row r="53" spans="21:264" ht="4.1500000000000004" customHeight="1">
      <c r="U53" s="516"/>
      <c r="Z53" s="515"/>
      <c r="AA53" s="514"/>
      <c r="AB53" s="514"/>
      <c r="AC53" s="514"/>
      <c r="AD53" s="514"/>
      <c r="AE53" s="514"/>
      <c r="AF53" s="514"/>
      <c r="AG53" s="514"/>
      <c r="AH53" s="514"/>
      <c r="AI53" s="514"/>
      <c r="AJ53" s="514"/>
      <c r="AK53" s="514"/>
      <c r="AL53" s="514"/>
      <c r="AM53" s="514"/>
      <c r="AN53" s="514"/>
      <c r="AO53" s="514"/>
      <c r="AP53" s="514"/>
      <c r="AQ53" s="514"/>
      <c r="AR53" s="514"/>
      <c r="AS53" s="514"/>
      <c r="AT53" s="514"/>
      <c r="AU53" s="514"/>
      <c r="AV53" s="514"/>
      <c r="AW53" s="514"/>
      <c r="AX53" s="514"/>
      <c r="AY53" s="514"/>
      <c r="AZ53" s="514"/>
      <c r="BA53" s="518"/>
      <c r="CL53" s="517"/>
      <c r="FF53" s="516"/>
      <c r="FS53" s="519"/>
      <c r="FT53" s="520"/>
      <c r="FU53" s="520"/>
      <c r="FV53" s="520"/>
      <c r="FW53" s="521"/>
      <c r="GI53" s="2596">
        <v>0.15</v>
      </c>
      <c r="GJ53" s="2597"/>
      <c r="GK53" s="2597"/>
      <c r="GL53" s="2597"/>
      <c r="GM53" s="2597"/>
      <c r="GN53" s="2597"/>
      <c r="GO53" s="2597"/>
      <c r="GP53" s="2597"/>
      <c r="GQ53" s="2597"/>
      <c r="GR53" s="2597"/>
      <c r="GS53" s="2597"/>
      <c r="GT53" s="2597"/>
      <c r="GX53" s="514"/>
      <c r="GY53" s="2623">
        <f>GI53+GI58</f>
        <v>0.6</v>
      </c>
      <c r="GZ53" s="2624"/>
      <c r="HA53" s="2624"/>
      <c r="HB53" s="2595"/>
      <c r="IB53" s="519"/>
      <c r="IC53" s="520"/>
      <c r="ID53" s="520"/>
      <c r="IE53" s="521"/>
      <c r="IZ53" s="516"/>
    </row>
    <row r="54" spans="21:264" ht="4.1500000000000004" customHeight="1">
      <c r="U54" s="530"/>
      <c r="V54" s="532"/>
      <c r="W54" s="532"/>
      <c r="X54" s="532"/>
      <c r="Y54" s="532"/>
      <c r="Z54" s="530"/>
      <c r="AA54" s="532"/>
      <c r="AB54" s="532"/>
      <c r="AC54" s="532"/>
      <c r="AD54" s="532"/>
      <c r="AE54" s="532"/>
      <c r="AF54" s="532"/>
      <c r="AG54" s="532"/>
      <c r="AH54" s="532"/>
      <c r="AI54" s="532"/>
      <c r="AJ54" s="532"/>
      <c r="AK54" s="532"/>
      <c r="AL54" s="532"/>
      <c r="AM54" s="532"/>
      <c r="AN54" s="532"/>
      <c r="AO54" s="532"/>
      <c r="AP54" s="532"/>
      <c r="AQ54" s="532"/>
      <c r="AR54" s="532"/>
      <c r="AS54" s="532"/>
      <c r="AT54" s="532"/>
      <c r="AU54" s="532"/>
      <c r="AV54" s="532"/>
      <c r="AW54" s="532"/>
      <c r="AX54" s="532"/>
      <c r="AY54" s="532"/>
      <c r="AZ54" s="532"/>
      <c r="BA54" s="531"/>
      <c r="BB54" s="532"/>
      <c r="BC54" s="532"/>
      <c r="BD54" s="532"/>
      <c r="BE54" s="532"/>
      <c r="BF54" s="532"/>
      <c r="BG54" s="532"/>
      <c r="BH54" s="532"/>
      <c r="BI54" s="532"/>
      <c r="BJ54" s="532"/>
      <c r="BK54" s="532"/>
      <c r="BL54" s="532"/>
      <c r="BM54" s="532"/>
      <c r="BN54" s="532"/>
      <c r="BO54" s="532"/>
      <c r="BP54" s="532"/>
      <c r="BQ54" s="532"/>
      <c r="BR54" s="532"/>
      <c r="BS54" s="532"/>
      <c r="BT54" s="532"/>
      <c r="BU54" s="532"/>
      <c r="BV54" s="532"/>
      <c r="BW54" s="532"/>
      <c r="BX54" s="532"/>
      <c r="BY54" s="532"/>
      <c r="BZ54" s="532"/>
      <c r="CA54" s="532"/>
      <c r="CB54" s="532"/>
      <c r="CC54" s="532"/>
      <c r="CD54" s="532"/>
      <c r="CE54" s="532"/>
      <c r="CF54" s="532"/>
      <c r="CG54" s="532"/>
      <c r="CH54" s="532"/>
      <c r="CI54" s="532"/>
      <c r="CJ54" s="532"/>
      <c r="CK54" s="532"/>
      <c r="CL54" s="531"/>
      <c r="FF54" s="516"/>
      <c r="FS54" s="522"/>
      <c r="FT54" s="523"/>
      <c r="FU54" s="523"/>
      <c r="FV54" s="523"/>
      <c r="FW54" s="524"/>
      <c r="GI54" s="2596"/>
      <c r="GJ54" s="2596"/>
      <c r="GK54" s="2596"/>
      <c r="GL54" s="2596"/>
      <c r="GM54" s="2596"/>
      <c r="GN54" s="2596"/>
      <c r="GO54" s="2596"/>
      <c r="GP54" s="2596"/>
      <c r="GQ54" s="2596"/>
      <c r="GR54" s="2596"/>
      <c r="GS54" s="2596"/>
      <c r="GT54" s="2596"/>
      <c r="GY54" s="2595"/>
      <c r="GZ54" s="2595"/>
      <c r="HA54" s="2595"/>
      <c r="HB54" s="2595"/>
      <c r="IB54" s="522"/>
      <c r="IC54" s="523"/>
      <c r="ID54" s="523"/>
      <c r="IE54" s="524"/>
      <c r="IZ54" s="516"/>
    </row>
    <row r="55" spans="21:264" ht="4.1500000000000004" customHeight="1">
      <c r="FF55" s="516"/>
      <c r="FS55" s="522"/>
      <c r="FT55" s="523"/>
      <c r="FU55" s="523"/>
      <c r="FV55" s="523"/>
      <c r="FW55" s="524"/>
      <c r="GI55" s="2598"/>
      <c r="GJ55" s="2598"/>
      <c r="GK55" s="2598"/>
      <c r="GL55" s="2598"/>
      <c r="GM55" s="2598"/>
      <c r="GN55" s="2598"/>
      <c r="GO55" s="2598"/>
      <c r="GP55" s="2598"/>
      <c r="GQ55" s="2598"/>
      <c r="GR55" s="2598"/>
      <c r="GS55" s="2598"/>
      <c r="GT55" s="2598"/>
      <c r="GY55" s="2595"/>
      <c r="GZ55" s="2595"/>
      <c r="HA55" s="2595"/>
      <c r="HB55" s="2595"/>
      <c r="IB55" s="527"/>
      <c r="IC55" s="528"/>
      <c r="ID55" s="528"/>
      <c r="IE55" s="529"/>
      <c r="IF55" s="516"/>
      <c r="IZ55" s="516"/>
    </row>
    <row r="56" spans="21:264" ht="4.1500000000000004" customHeight="1">
      <c r="FF56" s="516"/>
      <c r="FS56" s="2626">
        <f>CJ84</f>
        <v>0.25</v>
      </c>
      <c r="FT56" s="2627"/>
      <c r="FU56" s="2627"/>
      <c r="FV56" s="2627"/>
      <c r="FW56" s="2628"/>
      <c r="GI56" s="514"/>
      <c r="GJ56" s="514"/>
      <c r="GK56" s="514"/>
      <c r="GL56" s="514"/>
      <c r="GM56" s="514"/>
      <c r="GN56" s="514"/>
      <c r="GO56" s="514"/>
      <c r="GP56" s="514"/>
      <c r="GQ56" s="514"/>
      <c r="GR56" s="514"/>
      <c r="GS56" s="514"/>
      <c r="GT56" s="514"/>
      <c r="GY56" s="2595"/>
      <c r="GZ56" s="2595"/>
      <c r="HA56" s="2595"/>
      <c r="HB56" s="2595"/>
      <c r="IB56" s="515"/>
      <c r="IC56" s="514"/>
      <c r="ID56" s="514"/>
      <c r="IE56" s="518"/>
      <c r="IF56" s="516"/>
      <c r="IZ56" s="516"/>
    </row>
    <row r="57" spans="21:264" ht="4.1500000000000004" customHeight="1">
      <c r="FF57" s="516"/>
      <c r="FS57" s="2629"/>
      <c r="FT57" s="2630"/>
      <c r="FU57" s="2630"/>
      <c r="FV57" s="2630"/>
      <c r="FW57" s="2631"/>
      <c r="GI57" s="534"/>
      <c r="GJ57" s="534"/>
      <c r="GK57" s="534"/>
      <c r="GL57" s="534"/>
      <c r="GM57" s="534"/>
      <c r="GN57" s="534"/>
      <c r="GO57" s="534"/>
      <c r="GP57" s="534"/>
      <c r="GQ57" s="534"/>
      <c r="GR57" s="534"/>
      <c r="GS57" s="534"/>
      <c r="GT57" s="534"/>
      <c r="GY57" s="2595"/>
      <c r="GZ57" s="2595"/>
      <c r="HA57" s="2595"/>
      <c r="HB57" s="2595"/>
      <c r="IB57" s="516"/>
      <c r="IE57" s="517"/>
      <c r="IF57" s="516"/>
      <c r="IZ57" s="516"/>
    </row>
    <row r="58" spans="21:264" ht="4.1500000000000004" customHeight="1">
      <c r="FF58" s="516"/>
      <c r="FO58" s="515"/>
      <c r="FP58" s="514"/>
      <c r="FQ58" s="514"/>
      <c r="FR58" s="518"/>
      <c r="FS58" s="2629"/>
      <c r="FT58" s="2630"/>
      <c r="FU58" s="2630"/>
      <c r="FV58" s="2630"/>
      <c r="FW58" s="2631"/>
      <c r="GI58" s="2596">
        <v>0.45</v>
      </c>
      <c r="GJ58" s="2596"/>
      <c r="GK58" s="2596"/>
      <c r="GL58" s="2596"/>
      <c r="GM58" s="2596"/>
      <c r="GN58" s="2596"/>
      <c r="GO58" s="2596"/>
      <c r="GP58" s="2596"/>
      <c r="GQ58" s="2596"/>
      <c r="GR58" s="2596"/>
      <c r="GS58" s="2596"/>
      <c r="GT58" s="2596"/>
      <c r="GY58" s="2595"/>
      <c r="GZ58" s="2595"/>
      <c r="HA58" s="2595"/>
      <c r="HB58" s="2595"/>
      <c r="IA58" s="517"/>
      <c r="IB58" s="516"/>
      <c r="IE58" s="517"/>
      <c r="IF58" s="516"/>
      <c r="IZ58" s="516"/>
    </row>
    <row r="59" spans="21:264" ht="4.1500000000000004" customHeight="1">
      <c r="FF59" s="516"/>
      <c r="FO59" s="516"/>
      <c r="FR59" s="517"/>
      <c r="FS59" s="2629"/>
      <c r="FT59" s="2630"/>
      <c r="FU59" s="2630"/>
      <c r="FV59" s="2630"/>
      <c r="FW59" s="2631"/>
      <c r="GI59" s="2596"/>
      <c r="GJ59" s="2596"/>
      <c r="GK59" s="2596"/>
      <c r="GL59" s="2596"/>
      <c r="GM59" s="2596"/>
      <c r="GN59" s="2596"/>
      <c r="GO59" s="2596"/>
      <c r="GP59" s="2596"/>
      <c r="GQ59" s="2596"/>
      <c r="GR59" s="2596"/>
      <c r="GS59" s="2596"/>
      <c r="GT59" s="2596"/>
      <c r="GY59" s="2595"/>
      <c r="GZ59" s="2595"/>
      <c r="HA59" s="2595"/>
      <c r="HB59" s="2595"/>
      <c r="HO59" s="2608" t="s">
        <v>2980</v>
      </c>
      <c r="HP59" s="2608"/>
      <c r="HQ59" s="2608"/>
      <c r="HR59" s="2608"/>
      <c r="HS59" s="2608"/>
      <c r="HT59" s="2608"/>
      <c r="HU59" s="2608"/>
      <c r="IA59" s="517"/>
      <c r="IB59" s="516"/>
      <c r="IE59" s="517"/>
      <c r="IF59" s="516"/>
      <c r="IZ59" s="516"/>
    </row>
    <row r="60" spans="21:264" ht="4.1500000000000004" customHeight="1">
      <c r="FF60" s="516"/>
      <c r="FK60" s="515"/>
      <c r="FL60" s="514"/>
      <c r="FM60" s="514"/>
      <c r="FN60" s="514"/>
      <c r="FS60" s="2629"/>
      <c r="FT60" s="2630"/>
      <c r="FU60" s="2630"/>
      <c r="FV60" s="2630"/>
      <c r="FW60" s="2631"/>
      <c r="GI60" s="2596"/>
      <c r="GJ60" s="2596"/>
      <c r="GK60" s="2596"/>
      <c r="GL60" s="2596"/>
      <c r="GM60" s="2596"/>
      <c r="GN60" s="2596"/>
      <c r="GO60" s="2596"/>
      <c r="GP60" s="2596"/>
      <c r="GQ60" s="2596"/>
      <c r="GR60" s="2596"/>
      <c r="GS60" s="2596"/>
      <c r="GT60" s="2596"/>
      <c r="GY60" s="2595"/>
      <c r="GZ60" s="2595"/>
      <c r="HA60" s="2595"/>
      <c r="HB60" s="2595"/>
      <c r="HO60" s="2608"/>
      <c r="HP60" s="2608"/>
      <c r="HQ60" s="2608"/>
      <c r="HR60" s="2608"/>
      <c r="HS60" s="2608"/>
      <c r="HT60" s="2608"/>
      <c r="HU60" s="2608"/>
      <c r="IA60" s="517"/>
      <c r="IB60" s="516"/>
      <c r="IE60" s="517"/>
      <c r="IF60" s="516"/>
      <c r="IZ60" s="516"/>
    </row>
    <row r="61" spans="21:264" ht="4.1500000000000004" customHeight="1">
      <c r="FC61" s="532"/>
      <c r="FD61" s="532"/>
      <c r="FE61" s="532"/>
      <c r="FF61" s="530"/>
      <c r="FG61" s="532"/>
      <c r="FH61" s="532"/>
      <c r="FI61" s="532"/>
      <c r="FJ61" s="532"/>
      <c r="FK61" s="530"/>
      <c r="FL61" s="532"/>
      <c r="FM61" s="532"/>
      <c r="FN61" s="532"/>
      <c r="FS61" s="2632"/>
      <c r="FT61" s="2633"/>
      <c r="FU61" s="2633"/>
      <c r="FV61" s="2633"/>
      <c r="FW61" s="2634"/>
      <c r="GA61" s="532"/>
      <c r="GB61" s="532"/>
      <c r="GC61" s="532"/>
      <c r="GD61" s="532"/>
      <c r="GE61" s="532"/>
      <c r="GF61" s="532"/>
      <c r="GG61" s="532"/>
      <c r="GH61" s="532"/>
      <c r="GI61" s="535"/>
      <c r="GJ61" s="535"/>
      <c r="GK61" s="535"/>
      <c r="GL61" s="535"/>
      <c r="GM61" s="535"/>
      <c r="GN61" s="535"/>
      <c r="GO61" s="535"/>
      <c r="GP61" s="535"/>
      <c r="GQ61" s="535"/>
      <c r="GR61" s="535"/>
      <c r="GS61" s="535"/>
      <c r="GT61" s="535"/>
      <c r="GX61" s="532"/>
      <c r="GY61" s="2625"/>
      <c r="GZ61" s="2625"/>
      <c r="HA61" s="2625"/>
      <c r="HB61" s="2625"/>
      <c r="HC61" s="532"/>
      <c r="HD61" s="532"/>
      <c r="HE61" s="532"/>
      <c r="HM61" s="532"/>
      <c r="HN61" s="532"/>
      <c r="HO61" s="2635"/>
      <c r="HP61" s="2635"/>
      <c r="HQ61" s="2635"/>
      <c r="HR61" s="2635"/>
      <c r="HS61" s="2635"/>
      <c r="HT61" s="2635"/>
      <c r="HU61" s="2635"/>
      <c r="HV61" s="532"/>
      <c r="HW61" s="532"/>
      <c r="HX61" s="532"/>
      <c r="HY61" s="532"/>
      <c r="HZ61" s="532"/>
      <c r="IA61" s="531"/>
      <c r="IB61" s="530"/>
      <c r="IC61" s="532"/>
      <c r="ID61" s="532"/>
      <c r="IE61" s="531"/>
      <c r="IF61" s="530"/>
      <c r="IG61" s="532"/>
      <c r="IH61" s="532"/>
      <c r="II61" s="532"/>
      <c r="IJ61" s="532"/>
      <c r="IK61" s="532"/>
      <c r="IL61" s="532"/>
      <c r="IM61" s="532"/>
      <c r="IN61" s="532"/>
      <c r="IO61" s="532"/>
      <c r="IP61" s="532"/>
      <c r="IQ61" s="532"/>
      <c r="IR61" s="532"/>
      <c r="IS61" s="532"/>
      <c r="IT61" s="532"/>
      <c r="IZ61" s="530"/>
      <c r="JA61" s="532"/>
      <c r="JB61" s="532"/>
      <c r="JC61" s="532"/>
      <c r="JD61" s="532"/>
    </row>
    <row r="62" spans="21:264" ht="4.1500000000000004" customHeight="1">
      <c r="V62" s="516"/>
      <c r="AW62" s="2600">
        <f>AW68+CJ84</f>
        <v>4.1500000000000004</v>
      </c>
      <c r="AX62" s="2610"/>
      <c r="AY62" s="2610"/>
      <c r="AZ62" s="2610"/>
      <c r="BA62" s="2610"/>
      <c r="BB62" s="2610"/>
      <c r="BC62" s="2610"/>
      <c r="BD62" s="2610"/>
      <c r="BE62" s="2610"/>
      <c r="BF62" s="2610"/>
      <c r="BG62" s="2610"/>
      <c r="BH62" s="2610"/>
      <c r="BI62" s="2610"/>
      <c r="BJ62" s="2610"/>
      <c r="CK62" s="517"/>
      <c r="FH62" s="514"/>
      <c r="FI62" s="511"/>
      <c r="FJ62" s="512"/>
      <c r="FK62" s="512"/>
      <c r="FL62" s="512"/>
      <c r="FM62" s="563"/>
      <c r="FN62" s="563"/>
      <c r="FO62" s="563"/>
      <c r="FP62" s="564"/>
      <c r="FQ62" s="2602">
        <v>0.3</v>
      </c>
      <c r="FR62" s="2597"/>
      <c r="FS62" s="2597"/>
      <c r="FT62" s="2597"/>
      <c r="FU62" s="2597"/>
      <c r="FV62" s="2597"/>
      <c r="FW62" s="2597"/>
      <c r="FX62" s="2597"/>
      <c r="FY62" s="2603"/>
      <c r="FZ62" s="565"/>
      <c r="GA62" s="565"/>
      <c r="GB62" s="565"/>
      <c r="GC62" s="565"/>
      <c r="GH62" s="514"/>
      <c r="GI62" s="514"/>
      <c r="GJ62" s="514"/>
      <c r="GK62" s="514"/>
      <c r="GL62" s="514"/>
      <c r="GM62" s="514"/>
      <c r="GN62" s="514"/>
      <c r="GO62" s="514"/>
      <c r="GP62" s="514"/>
      <c r="GQ62" s="514"/>
      <c r="GR62" s="514"/>
      <c r="GS62" s="514"/>
      <c r="GT62" s="514"/>
      <c r="GX62" s="514"/>
      <c r="GY62" s="514"/>
      <c r="GZ62" s="514"/>
      <c r="HA62" s="515"/>
      <c r="HB62" s="514"/>
      <c r="HC62" s="514"/>
      <c r="HF62" s="514"/>
      <c r="HG62" s="514"/>
      <c r="HH62" s="514"/>
      <c r="HI62" s="515"/>
      <c r="HJ62" s="514"/>
      <c r="HK62" s="514"/>
      <c r="HL62" s="514"/>
      <c r="HM62" s="514"/>
      <c r="IB62" s="516"/>
      <c r="IE62" s="517"/>
      <c r="IU62" s="514"/>
      <c r="IV62" s="514"/>
      <c r="IW62" s="514"/>
      <c r="IX62" s="514"/>
      <c r="IY62" s="515"/>
      <c r="IZ62" s="514"/>
      <c r="JA62" s="514"/>
      <c r="JB62" s="514"/>
      <c r="JC62" s="514"/>
      <c r="JD62" s="514"/>
    </row>
    <row r="63" spans="21:264" ht="4.1500000000000004" customHeight="1">
      <c r="V63" s="530"/>
      <c r="W63" s="532"/>
      <c r="X63" s="532"/>
      <c r="Y63" s="532"/>
      <c r="Z63" s="532"/>
      <c r="AA63" s="532"/>
      <c r="AB63" s="532"/>
      <c r="AC63" s="532"/>
      <c r="AD63" s="532"/>
      <c r="AE63" s="532"/>
      <c r="AF63" s="532"/>
      <c r="AG63" s="532"/>
      <c r="AH63" s="532"/>
      <c r="AI63" s="532"/>
      <c r="AJ63" s="532"/>
      <c r="AK63" s="532"/>
      <c r="AL63" s="532"/>
      <c r="AM63" s="532"/>
      <c r="AN63" s="532"/>
      <c r="AO63" s="532"/>
      <c r="AP63" s="532"/>
      <c r="AQ63" s="532"/>
      <c r="AR63" s="532"/>
      <c r="AS63" s="532"/>
      <c r="AT63" s="532"/>
      <c r="AU63" s="532"/>
      <c r="AV63" s="532"/>
      <c r="AW63" s="2610"/>
      <c r="AX63" s="2610"/>
      <c r="AY63" s="2610"/>
      <c r="AZ63" s="2610"/>
      <c r="BA63" s="2610"/>
      <c r="BB63" s="2610"/>
      <c r="BC63" s="2610"/>
      <c r="BD63" s="2610"/>
      <c r="BE63" s="2610"/>
      <c r="BF63" s="2610"/>
      <c r="BG63" s="2610"/>
      <c r="BH63" s="2610"/>
      <c r="BI63" s="2610"/>
      <c r="BJ63" s="2610"/>
      <c r="BK63" s="532"/>
      <c r="BL63" s="532"/>
      <c r="BM63" s="532"/>
      <c r="BN63" s="532"/>
      <c r="BO63" s="532"/>
      <c r="BP63" s="532"/>
      <c r="BQ63" s="532"/>
      <c r="BR63" s="532"/>
      <c r="BS63" s="532"/>
      <c r="BT63" s="532"/>
      <c r="BU63" s="532"/>
      <c r="BV63" s="532"/>
      <c r="BW63" s="532"/>
      <c r="BX63" s="532"/>
      <c r="BY63" s="532"/>
      <c r="BZ63" s="532"/>
      <c r="CA63" s="532"/>
      <c r="CB63" s="532"/>
      <c r="CC63" s="532"/>
      <c r="CD63" s="532"/>
      <c r="CE63" s="532"/>
      <c r="CF63" s="532"/>
      <c r="CG63" s="532"/>
      <c r="CH63" s="532"/>
      <c r="CI63" s="532"/>
      <c r="CJ63" s="532"/>
      <c r="CK63" s="531"/>
      <c r="FI63" s="511"/>
      <c r="FJ63" s="512"/>
      <c r="FK63" s="512"/>
      <c r="FL63" s="512"/>
      <c r="FM63" s="563"/>
      <c r="FN63" s="563"/>
      <c r="FO63" s="563"/>
      <c r="FP63" s="564"/>
      <c r="FQ63" s="2604"/>
      <c r="FR63" s="2596"/>
      <c r="FS63" s="2596"/>
      <c r="FT63" s="2596"/>
      <c r="FU63" s="2596"/>
      <c r="FV63" s="2596"/>
      <c r="FW63" s="2596"/>
      <c r="FX63" s="2596"/>
      <c r="FY63" s="2605"/>
      <c r="FZ63" s="565"/>
      <c r="GA63" s="565"/>
      <c r="GB63" s="565"/>
      <c r="GC63" s="565"/>
      <c r="GI63" s="2608">
        <v>0.22500000000000001</v>
      </c>
      <c r="GJ63" s="2608"/>
      <c r="GK63" s="2608"/>
      <c r="GL63" s="2608"/>
      <c r="GM63" s="2608"/>
      <c r="GN63" s="2608"/>
      <c r="GO63" s="2608"/>
      <c r="GP63" s="2608"/>
      <c r="GQ63" s="2608"/>
      <c r="GR63" s="2608"/>
      <c r="GS63" s="2608"/>
      <c r="GT63" s="2608"/>
      <c r="HA63" s="516"/>
      <c r="HI63" s="516"/>
      <c r="IB63" s="2629">
        <v>0.25</v>
      </c>
      <c r="IC63" s="2630"/>
      <c r="ID63" s="2630"/>
      <c r="IE63" s="2631"/>
      <c r="IY63" s="516"/>
    </row>
    <row r="64" spans="21:264" ht="4.1500000000000004" customHeight="1">
      <c r="V64" s="516"/>
      <c r="AW64" s="2610"/>
      <c r="AX64" s="2610"/>
      <c r="AY64" s="2610"/>
      <c r="AZ64" s="2610"/>
      <c r="BA64" s="2610"/>
      <c r="BB64" s="2610"/>
      <c r="BC64" s="2610"/>
      <c r="BD64" s="2610"/>
      <c r="BE64" s="2610"/>
      <c r="BF64" s="2610"/>
      <c r="BG64" s="2610"/>
      <c r="BH64" s="2610"/>
      <c r="BI64" s="2610"/>
      <c r="BJ64" s="2610"/>
      <c r="CK64" s="517"/>
      <c r="FM64" s="565"/>
      <c r="FN64" s="565"/>
      <c r="FO64" s="565"/>
      <c r="FP64" s="565"/>
      <c r="FQ64" s="2604"/>
      <c r="FR64" s="2596"/>
      <c r="FS64" s="2596"/>
      <c r="FT64" s="2596"/>
      <c r="FU64" s="2596"/>
      <c r="FV64" s="2596"/>
      <c r="FW64" s="2596"/>
      <c r="FX64" s="2596"/>
      <c r="FY64" s="2605"/>
      <c r="FZ64" s="565"/>
      <c r="GA64" s="565"/>
      <c r="GB64" s="565"/>
      <c r="GC64" s="565"/>
      <c r="GI64" s="2608"/>
      <c r="GJ64" s="2608"/>
      <c r="GK64" s="2608"/>
      <c r="GL64" s="2608"/>
      <c r="GM64" s="2608"/>
      <c r="GN64" s="2608"/>
      <c r="GO64" s="2608"/>
      <c r="GP64" s="2608"/>
      <c r="GQ64" s="2608"/>
      <c r="GR64" s="2608"/>
      <c r="GS64" s="2608"/>
      <c r="GT64" s="2608"/>
      <c r="HA64" s="516"/>
      <c r="HI64" s="516"/>
      <c r="IB64" s="2629"/>
      <c r="IC64" s="2630"/>
      <c r="ID64" s="2630"/>
      <c r="IE64" s="2631"/>
      <c r="IT64" s="2638">
        <v>0.3</v>
      </c>
      <c r="IU64" s="2638"/>
      <c r="IV64" s="2638"/>
      <c r="IW64" s="2638"/>
      <c r="IX64" s="2638"/>
      <c r="IY64" s="2638"/>
      <c r="IZ64" s="2638"/>
      <c r="JA64" s="2638"/>
      <c r="JB64" s="2638"/>
      <c r="JC64" s="2638"/>
      <c r="JD64" s="2638"/>
    </row>
    <row r="65" spans="15:264" ht="4.1500000000000004" customHeight="1">
      <c r="V65" s="516"/>
      <c r="AW65" s="2610"/>
      <c r="AX65" s="2610"/>
      <c r="AY65" s="2610"/>
      <c r="AZ65" s="2610"/>
      <c r="BA65" s="2610"/>
      <c r="BB65" s="2610"/>
      <c r="BC65" s="2610"/>
      <c r="BD65" s="2610"/>
      <c r="BE65" s="2610"/>
      <c r="BF65" s="2610"/>
      <c r="BG65" s="2610"/>
      <c r="BH65" s="2610"/>
      <c r="BI65" s="2610"/>
      <c r="BJ65" s="2610"/>
      <c r="CK65" s="517"/>
      <c r="FM65" s="565"/>
      <c r="FN65" s="565"/>
      <c r="FO65" s="565"/>
      <c r="FP65" s="565"/>
      <c r="FQ65" s="2604"/>
      <c r="FR65" s="2596"/>
      <c r="FS65" s="2596"/>
      <c r="FT65" s="2596"/>
      <c r="FU65" s="2596"/>
      <c r="FV65" s="2596"/>
      <c r="FW65" s="2596"/>
      <c r="FX65" s="2596"/>
      <c r="FY65" s="2605"/>
      <c r="FZ65" s="565"/>
      <c r="GA65" s="565"/>
      <c r="GB65" s="565"/>
      <c r="GC65" s="565"/>
      <c r="GI65" s="2608"/>
      <c r="GJ65" s="2608"/>
      <c r="GK65" s="2608"/>
      <c r="GL65" s="2608"/>
      <c r="GM65" s="2608"/>
      <c r="GN65" s="2608"/>
      <c r="GO65" s="2608"/>
      <c r="GP65" s="2608"/>
      <c r="GQ65" s="2608"/>
      <c r="GR65" s="2608"/>
      <c r="GS65" s="2608"/>
      <c r="GT65" s="2608"/>
      <c r="HA65" s="516"/>
      <c r="HI65" s="516"/>
      <c r="IB65" s="2629"/>
      <c r="IC65" s="2630"/>
      <c r="ID65" s="2630"/>
      <c r="IE65" s="2631"/>
      <c r="IT65" s="2638"/>
      <c r="IU65" s="2638"/>
      <c r="IV65" s="2638"/>
      <c r="IW65" s="2638"/>
      <c r="IX65" s="2638"/>
      <c r="IY65" s="2638"/>
      <c r="IZ65" s="2638"/>
      <c r="JA65" s="2638"/>
      <c r="JB65" s="2638"/>
      <c r="JC65" s="2638"/>
      <c r="JD65" s="2638"/>
    </row>
    <row r="66" spans="15:264" ht="4.1500000000000004" customHeight="1">
      <c r="FM66" s="565"/>
      <c r="FN66" s="565"/>
      <c r="FO66" s="565"/>
      <c r="FP66" s="565"/>
      <c r="FQ66" s="2606"/>
      <c r="FR66" s="2598"/>
      <c r="FS66" s="2598"/>
      <c r="FT66" s="2598"/>
      <c r="FU66" s="2598"/>
      <c r="FV66" s="2598"/>
      <c r="FW66" s="2598"/>
      <c r="FX66" s="2598"/>
      <c r="FY66" s="2607"/>
      <c r="FZ66" s="565"/>
      <c r="GA66" s="565"/>
      <c r="GB66" s="565"/>
      <c r="GC66" s="565"/>
      <c r="GI66" s="532"/>
      <c r="GJ66" s="532"/>
      <c r="GK66" s="532"/>
      <c r="GL66" s="532"/>
      <c r="GM66" s="532"/>
      <c r="GN66" s="532"/>
      <c r="GO66" s="532"/>
      <c r="GP66" s="532"/>
      <c r="GQ66" s="532"/>
      <c r="GR66" s="532"/>
      <c r="GS66" s="532"/>
      <c r="GT66" s="532"/>
      <c r="HA66" s="516"/>
      <c r="HI66" s="516"/>
      <c r="IB66" s="2629"/>
      <c r="IC66" s="2630"/>
      <c r="ID66" s="2630"/>
      <c r="IE66" s="2631"/>
      <c r="IT66" s="2638"/>
      <c r="IU66" s="2638"/>
      <c r="IV66" s="2638"/>
      <c r="IW66" s="2638"/>
      <c r="IX66" s="2638"/>
      <c r="IY66" s="2638"/>
      <c r="IZ66" s="2638"/>
      <c r="JA66" s="2638"/>
      <c r="JB66" s="2638"/>
      <c r="JC66" s="2638"/>
      <c r="JD66" s="2638"/>
    </row>
    <row r="67" spans="15:264" ht="4.1500000000000004" customHeight="1">
      <c r="FM67" s="565"/>
      <c r="FN67" s="565"/>
      <c r="FO67" s="2602">
        <v>0.5</v>
      </c>
      <c r="FP67" s="2597"/>
      <c r="FQ67" s="2597"/>
      <c r="FR67" s="2597"/>
      <c r="FS67" s="2597"/>
      <c r="FT67" s="2597"/>
      <c r="FU67" s="2597"/>
      <c r="FV67" s="2597"/>
      <c r="FW67" s="2597"/>
      <c r="FX67" s="2597"/>
      <c r="FY67" s="2597"/>
      <c r="FZ67" s="2597"/>
      <c r="GA67" s="2603"/>
      <c r="GB67" s="565"/>
      <c r="GC67" s="565"/>
      <c r="HA67" s="516"/>
      <c r="HI67" s="516"/>
      <c r="IB67" s="2629"/>
      <c r="IC67" s="2630"/>
      <c r="ID67" s="2630"/>
      <c r="IE67" s="2631"/>
      <c r="IY67" s="516"/>
    </row>
    <row r="68" spans="15:264" ht="4.1500000000000004" customHeight="1">
      <c r="W68" s="516"/>
      <c r="AW68" s="2600">
        <f>AT95+CJ84</f>
        <v>3.9</v>
      </c>
      <c r="AX68" s="2610"/>
      <c r="AY68" s="2610"/>
      <c r="AZ68" s="2610"/>
      <c r="BA68" s="2610"/>
      <c r="BB68" s="2610"/>
      <c r="BC68" s="2610"/>
      <c r="BD68" s="2610"/>
      <c r="BE68" s="2610"/>
      <c r="BF68" s="2610"/>
      <c r="BG68" s="2610"/>
      <c r="BH68" s="2610"/>
      <c r="BI68" s="2610"/>
      <c r="BJ68" s="2610"/>
      <c r="CJ68" s="517"/>
      <c r="FM68" s="565"/>
      <c r="FN68" s="565"/>
      <c r="FO68" s="2604"/>
      <c r="FP68" s="2596"/>
      <c r="FQ68" s="2596"/>
      <c r="FR68" s="2596"/>
      <c r="FS68" s="2596"/>
      <c r="FT68" s="2596"/>
      <c r="FU68" s="2596"/>
      <c r="FV68" s="2596"/>
      <c r="FW68" s="2596"/>
      <c r="FX68" s="2596"/>
      <c r="FY68" s="2596"/>
      <c r="FZ68" s="2596"/>
      <c r="GA68" s="2605"/>
      <c r="GB68" s="565"/>
      <c r="GC68" s="565"/>
      <c r="GI68" s="2608">
        <f>GI63</f>
        <v>0.22500000000000001</v>
      </c>
      <c r="GJ68" s="2608"/>
      <c r="GK68" s="2608"/>
      <c r="GL68" s="2608"/>
      <c r="GM68" s="2608"/>
      <c r="GN68" s="2608"/>
      <c r="GO68" s="2608"/>
      <c r="GP68" s="2608"/>
      <c r="GQ68" s="2608"/>
      <c r="GR68" s="2608"/>
      <c r="GS68" s="2608"/>
      <c r="GT68" s="2608"/>
      <c r="GY68" s="2616">
        <f>GI63+GI68+GI73+GI77+GI80</f>
        <v>0.92500000000000004</v>
      </c>
      <c r="GZ68" s="2616"/>
      <c r="HA68" s="2616"/>
      <c r="HB68" s="2616"/>
      <c r="HI68" s="516"/>
      <c r="IB68" s="2632"/>
      <c r="IC68" s="2633"/>
      <c r="ID68" s="2633"/>
      <c r="IE68" s="2634"/>
      <c r="IY68" s="516"/>
    </row>
    <row r="69" spans="15:264" ht="4.1500000000000004" customHeight="1">
      <c r="W69" s="530"/>
      <c r="X69" s="532"/>
      <c r="Y69" s="532"/>
      <c r="Z69" s="532"/>
      <c r="AA69" s="532"/>
      <c r="AB69" s="532"/>
      <c r="AC69" s="532"/>
      <c r="AD69" s="532"/>
      <c r="AE69" s="532"/>
      <c r="AF69" s="532"/>
      <c r="AG69" s="532"/>
      <c r="AH69" s="532"/>
      <c r="AI69" s="532"/>
      <c r="AJ69" s="532"/>
      <c r="AK69" s="532"/>
      <c r="AL69" s="532"/>
      <c r="AM69" s="532"/>
      <c r="AN69" s="532"/>
      <c r="AO69" s="532"/>
      <c r="AP69" s="532"/>
      <c r="AQ69" s="532"/>
      <c r="AR69" s="532"/>
      <c r="AS69" s="532"/>
      <c r="AT69" s="532"/>
      <c r="AU69" s="532"/>
      <c r="AV69" s="532"/>
      <c r="AW69" s="2610"/>
      <c r="AX69" s="2610"/>
      <c r="AY69" s="2610"/>
      <c r="AZ69" s="2610"/>
      <c r="BA69" s="2610"/>
      <c r="BB69" s="2610"/>
      <c r="BC69" s="2610"/>
      <c r="BD69" s="2610"/>
      <c r="BE69" s="2610"/>
      <c r="BF69" s="2610"/>
      <c r="BG69" s="2610"/>
      <c r="BH69" s="2610"/>
      <c r="BI69" s="2610"/>
      <c r="BJ69" s="2610"/>
      <c r="BK69" s="532"/>
      <c r="BL69" s="532"/>
      <c r="BM69" s="532"/>
      <c r="BN69" s="532"/>
      <c r="BO69" s="532"/>
      <c r="BP69" s="532"/>
      <c r="BQ69" s="532"/>
      <c r="BR69" s="532"/>
      <c r="BS69" s="532"/>
      <c r="BT69" s="532"/>
      <c r="BU69" s="532"/>
      <c r="BV69" s="532"/>
      <c r="BW69" s="532"/>
      <c r="BX69" s="532"/>
      <c r="BY69" s="532"/>
      <c r="BZ69" s="532"/>
      <c r="CA69" s="532"/>
      <c r="CB69" s="532"/>
      <c r="CC69" s="532"/>
      <c r="CD69" s="532"/>
      <c r="CE69" s="532"/>
      <c r="CF69" s="532"/>
      <c r="CG69" s="532"/>
      <c r="CH69" s="532"/>
      <c r="CI69" s="532"/>
      <c r="CJ69" s="531"/>
      <c r="FM69" s="565"/>
      <c r="FN69" s="565"/>
      <c r="FO69" s="2604"/>
      <c r="FP69" s="2596"/>
      <c r="FQ69" s="2596"/>
      <c r="FR69" s="2596"/>
      <c r="FS69" s="2596"/>
      <c r="FT69" s="2596"/>
      <c r="FU69" s="2596"/>
      <c r="FV69" s="2596"/>
      <c r="FW69" s="2596"/>
      <c r="FX69" s="2596"/>
      <c r="FY69" s="2596"/>
      <c r="FZ69" s="2596"/>
      <c r="GA69" s="2605"/>
      <c r="GB69" s="565"/>
      <c r="GC69" s="565"/>
      <c r="GI69" s="2608"/>
      <c r="GJ69" s="2608"/>
      <c r="GK69" s="2608"/>
      <c r="GL69" s="2608"/>
      <c r="GM69" s="2608"/>
      <c r="GN69" s="2608"/>
      <c r="GO69" s="2608"/>
      <c r="GP69" s="2608"/>
      <c r="GQ69" s="2608"/>
      <c r="GR69" s="2608"/>
      <c r="GS69" s="2608"/>
      <c r="GT69" s="2608"/>
      <c r="GY69" s="2616"/>
      <c r="GZ69" s="2616"/>
      <c r="HA69" s="2616"/>
      <c r="HB69" s="2616"/>
      <c r="HI69" s="516"/>
      <c r="HP69" s="2619"/>
      <c r="HQ69" s="2619"/>
      <c r="HR69" s="2619"/>
      <c r="HS69" s="2619"/>
      <c r="HT69" s="2619"/>
      <c r="HU69" s="2619"/>
      <c r="HV69" s="2619"/>
      <c r="HW69" s="2619"/>
      <c r="HX69" s="2619"/>
      <c r="HY69" s="2619"/>
      <c r="HZ69" s="2619"/>
      <c r="IA69" s="2643">
        <v>0.3</v>
      </c>
      <c r="IB69" s="2643"/>
      <c r="IC69" s="2643"/>
      <c r="ID69" s="2643"/>
      <c r="IE69" s="2643"/>
      <c r="IF69" s="2643"/>
      <c r="IG69" s="2644"/>
      <c r="IH69" s="2644"/>
      <c r="II69" s="2644"/>
      <c r="IJ69" s="2644"/>
      <c r="IK69" s="2644"/>
      <c r="IL69" s="2644"/>
      <c r="IM69" s="2644"/>
      <c r="IN69" s="2644"/>
      <c r="IO69" s="2644"/>
      <c r="IP69" s="2644"/>
      <c r="IQ69" s="2644"/>
      <c r="IT69" s="514"/>
      <c r="IU69" s="514"/>
      <c r="IV69" s="514"/>
      <c r="IW69" s="514"/>
      <c r="IX69" s="514"/>
      <c r="IY69" s="515"/>
      <c r="IZ69" s="514"/>
      <c r="JA69" s="514"/>
      <c r="JB69" s="514"/>
      <c r="JC69" s="514"/>
      <c r="JD69" s="514"/>
    </row>
    <row r="70" spans="15:264" ht="4.1500000000000004" customHeight="1">
      <c r="W70" s="516"/>
      <c r="AW70" s="2610"/>
      <c r="AX70" s="2610"/>
      <c r="AY70" s="2610"/>
      <c r="AZ70" s="2610"/>
      <c r="BA70" s="2610"/>
      <c r="BB70" s="2610"/>
      <c r="BC70" s="2610"/>
      <c r="BD70" s="2610"/>
      <c r="BE70" s="2610"/>
      <c r="BF70" s="2610"/>
      <c r="BG70" s="2610"/>
      <c r="BH70" s="2610"/>
      <c r="BI70" s="2610"/>
      <c r="BJ70" s="2610"/>
      <c r="CJ70" s="517"/>
      <c r="FM70" s="565"/>
      <c r="FN70" s="565"/>
      <c r="FO70" s="2604"/>
      <c r="FP70" s="2596"/>
      <c r="FQ70" s="2596"/>
      <c r="FR70" s="2596"/>
      <c r="FS70" s="2596"/>
      <c r="FT70" s="2596"/>
      <c r="FU70" s="2596"/>
      <c r="FV70" s="2596"/>
      <c r="FW70" s="2596"/>
      <c r="FX70" s="2596"/>
      <c r="FY70" s="2596"/>
      <c r="FZ70" s="2596"/>
      <c r="GA70" s="2605"/>
      <c r="GB70" s="565"/>
      <c r="GC70" s="565"/>
      <c r="GI70" s="2608"/>
      <c r="GJ70" s="2608"/>
      <c r="GK70" s="2608"/>
      <c r="GL70" s="2608"/>
      <c r="GM70" s="2608"/>
      <c r="GN70" s="2608"/>
      <c r="GO70" s="2608"/>
      <c r="GP70" s="2608"/>
      <c r="GQ70" s="2608"/>
      <c r="GR70" s="2608"/>
      <c r="GS70" s="2608"/>
      <c r="GT70" s="2608"/>
      <c r="GY70" s="2616"/>
      <c r="GZ70" s="2616"/>
      <c r="HA70" s="2616"/>
      <c r="HB70" s="2616"/>
      <c r="HI70" s="516"/>
      <c r="HP70" s="2619"/>
      <c r="HQ70" s="2619"/>
      <c r="HR70" s="2619"/>
      <c r="HS70" s="2619"/>
      <c r="HT70" s="2619"/>
      <c r="HU70" s="2619"/>
      <c r="HV70" s="2619"/>
      <c r="HW70" s="2619"/>
      <c r="HX70" s="2619"/>
      <c r="HY70" s="2619"/>
      <c r="HZ70" s="2619"/>
      <c r="IA70" s="2600"/>
      <c r="IB70" s="2600"/>
      <c r="IC70" s="2600"/>
      <c r="ID70" s="2600"/>
      <c r="IE70" s="2600"/>
      <c r="IF70" s="2600"/>
      <c r="IG70" s="2644"/>
      <c r="IH70" s="2644"/>
      <c r="II70" s="2644"/>
      <c r="IJ70" s="2644"/>
      <c r="IK70" s="2644"/>
      <c r="IL70" s="2644"/>
      <c r="IM70" s="2644"/>
      <c r="IN70" s="2644"/>
      <c r="IO70" s="2644"/>
      <c r="IP70" s="2644"/>
      <c r="IQ70" s="2644"/>
      <c r="IY70" s="516"/>
    </row>
    <row r="71" spans="15:264" ht="4.1500000000000004" customHeight="1">
      <c r="W71" s="516"/>
      <c r="AW71" s="2610"/>
      <c r="AX71" s="2610"/>
      <c r="AY71" s="2610"/>
      <c r="AZ71" s="2610"/>
      <c r="BA71" s="2610"/>
      <c r="BB71" s="2610"/>
      <c r="BC71" s="2610"/>
      <c r="BD71" s="2610"/>
      <c r="BE71" s="2610"/>
      <c r="BF71" s="2610"/>
      <c r="BG71" s="2610"/>
      <c r="BH71" s="2610"/>
      <c r="BI71" s="2610"/>
      <c r="BJ71" s="2610"/>
      <c r="CJ71" s="517"/>
      <c r="FM71" s="565"/>
      <c r="FN71" s="565"/>
      <c r="FO71" s="2606"/>
      <c r="FP71" s="2598"/>
      <c r="FQ71" s="2598"/>
      <c r="FR71" s="2598"/>
      <c r="FS71" s="2598"/>
      <c r="FT71" s="2598"/>
      <c r="FU71" s="2598"/>
      <c r="FV71" s="2598"/>
      <c r="FW71" s="2598"/>
      <c r="FX71" s="2598"/>
      <c r="FY71" s="2598"/>
      <c r="FZ71" s="2598"/>
      <c r="GA71" s="2607"/>
      <c r="GB71" s="565"/>
      <c r="GC71" s="565"/>
      <c r="GI71" s="532"/>
      <c r="GJ71" s="532"/>
      <c r="GK71" s="532"/>
      <c r="GL71" s="532"/>
      <c r="GM71" s="532"/>
      <c r="GN71" s="532"/>
      <c r="GO71" s="532"/>
      <c r="GP71" s="532"/>
      <c r="GQ71" s="532"/>
      <c r="GR71" s="532"/>
      <c r="GS71" s="532"/>
      <c r="GT71" s="532"/>
      <c r="GY71" s="2616"/>
      <c r="GZ71" s="2616"/>
      <c r="HA71" s="2616"/>
      <c r="HB71" s="2616"/>
      <c r="HH71" s="2646">
        <f>IT64+IT71+IT78+IT83+IT86</f>
        <v>1.1999999999999997</v>
      </c>
      <c r="HI71" s="2646"/>
      <c r="HJ71" s="2646"/>
      <c r="HK71" s="2646"/>
      <c r="HP71" s="2619"/>
      <c r="HQ71" s="2619"/>
      <c r="HR71" s="2619"/>
      <c r="HS71" s="2619"/>
      <c r="HT71" s="2619"/>
      <c r="HU71" s="2619"/>
      <c r="HV71" s="2619"/>
      <c r="HW71" s="2619"/>
      <c r="HX71" s="2619"/>
      <c r="HY71" s="2619"/>
      <c r="HZ71" s="2619"/>
      <c r="IA71" s="2600"/>
      <c r="IB71" s="2600"/>
      <c r="IC71" s="2600"/>
      <c r="ID71" s="2600"/>
      <c r="IE71" s="2600"/>
      <c r="IF71" s="2600"/>
      <c r="IG71" s="2644"/>
      <c r="IH71" s="2644"/>
      <c r="II71" s="2644"/>
      <c r="IJ71" s="2644"/>
      <c r="IK71" s="2644"/>
      <c r="IL71" s="2644"/>
      <c r="IM71" s="2644"/>
      <c r="IN71" s="2644"/>
      <c r="IO71" s="2644"/>
      <c r="IP71" s="2644"/>
      <c r="IQ71" s="2644"/>
      <c r="IT71" s="2638">
        <v>0.3</v>
      </c>
      <c r="IU71" s="2638"/>
      <c r="IV71" s="2638"/>
      <c r="IW71" s="2638"/>
      <c r="IX71" s="2638"/>
      <c r="IY71" s="2638"/>
      <c r="IZ71" s="2638"/>
      <c r="JA71" s="2638"/>
      <c r="JB71" s="2638"/>
      <c r="JC71" s="2638"/>
      <c r="JD71" s="2638"/>
    </row>
    <row r="72" spans="15:264" ht="4.1500000000000004" customHeight="1">
      <c r="FM72" s="2602">
        <v>0.6</v>
      </c>
      <c r="FN72" s="2597"/>
      <c r="FO72" s="2597"/>
      <c r="FP72" s="2597"/>
      <c r="FQ72" s="2597"/>
      <c r="FR72" s="2597"/>
      <c r="FS72" s="2597"/>
      <c r="FT72" s="2597"/>
      <c r="FU72" s="2597"/>
      <c r="FV72" s="2597"/>
      <c r="FW72" s="2597"/>
      <c r="FX72" s="2597"/>
      <c r="FY72" s="2597"/>
      <c r="FZ72" s="2597"/>
      <c r="GA72" s="2597"/>
      <c r="GB72" s="2597"/>
      <c r="GC72" s="2603"/>
      <c r="GY72" s="2616"/>
      <c r="GZ72" s="2616"/>
      <c r="HA72" s="2616"/>
      <c r="HB72" s="2616"/>
      <c r="HH72" s="2646"/>
      <c r="HI72" s="2646"/>
      <c r="HJ72" s="2646"/>
      <c r="HK72" s="2646"/>
      <c r="HP72" s="2619"/>
      <c r="HQ72" s="2619"/>
      <c r="HR72" s="2619"/>
      <c r="HS72" s="2619"/>
      <c r="HT72" s="2619"/>
      <c r="HU72" s="2619"/>
      <c r="HV72" s="2619"/>
      <c r="HW72" s="2619"/>
      <c r="HX72" s="2619"/>
      <c r="HY72" s="2619"/>
      <c r="HZ72" s="2619"/>
      <c r="IG72" s="2644"/>
      <c r="IH72" s="2644"/>
      <c r="II72" s="2644"/>
      <c r="IJ72" s="2644"/>
      <c r="IK72" s="2644"/>
      <c r="IL72" s="2644"/>
      <c r="IM72" s="2644"/>
      <c r="IN72" s="2644"/>
      <c r="IO72" s="2644"/>
      <c r="IP72" s="2644"/>
      <c r="IQ72" s="2644"/>
      <c r="IT72" s="2638"/>
      <c r="IU72" s="2638"/>
      <c r="IV72" s="2638"/>
      <c r="IW72" s="2638"/>
      <c r="IX72" s="2638"/>
      <c r="IY72" s="2638"/>
      <c r="IZ72" s="2638"/>
      <c r="JA72" s="2638"/>
      <c r="JB72" s="2638"/>
      <c r="JC72" s="2638"/>
      <c r="JD72" s="2638"/>
    </row>
    <row r="73" spans="15:264" ht="4.1500000000000004" customHeight="1">
      <c r="FM73" s="2604"/>
      <c r="FN73" s="2596"/>
      <c r="FO73" s="2596"/>
      <c r="FP73" s="2596"/>
      <c r="FQ73" s="2596"/>
      <c r="FR73" s="2596"/>
      <c r="FS73" s="2596"/>
      <c r="FT73" s="2596"/>
      <c r="FU73" s="2596"/>
      <c r="FV73" s="2596"/>
      <c r="FW73" s="2596"/>
      <c r="FX73" s="2596"/>
      <c r="FY73" s="2596"/>
      <c r="FZ73" s="2596"/>
      <c r="GA73" s="2596"/>
      <c r="GB73" s="2596"/>
      <c r="GC73" s="2605"/>
      <c r="GI73" s="2608">
        <f>GI68</f>
        <v>0.22500000000000001</v>
      </c>
      <c r="GJ73" s="2608"/>
      <c r="GK73" s="2608"/>
      <c r="GL73" s="2608"/>
      <c r="GM73" s="2608"/>
      <c r="GN73" s="2608"/>
      <c r="GO73" s="2608"/>
      <c r="GP73" s="2608"/>
      <c r="GQ73" s="2608"/>
      <c r="GR73" s="2608"/>
      <c r="GS73" s="2608"/>
      <c r="GT73" s="2608"/>
      <c r="GY73" s="2616"/>
      <c r="GZ73" s="2616"/>
      <c r="HA73" s="2616"/>
      <c r="HB73" s="2616"/>
      <c r="HH73" s="2646"/>
      <c r="HI73" s="2646"/>
      <c r="HJ73" s="2646"/>
      <c r="HK73" s="2646"/>
      <c r="HP73" s="2619"/>
      <c r="HQ73" s="2619"/>
      <c r="HR73" s="2619"/>
      <c r="HS73" s="2619"/>
      <c r="HT73" s="2619"/>
      <c r="HU73" s="2619"/>
      <c r="HV73" s="2619"/>
      <c r="HW73" s="2619"/>
      <c r="HX73" s="2619"/>
      <c r="HY73" s="2619"/>
      <c r="HZ73" s="2619"/>
      <c r="IG73" s="2644"/>
      <c r="IH73" s="2644"/>
      <c r="II73" s="2644"/>
      <c r="IJ73" s="2644"/>
      <c r="IK73" s="2644"/>
      <c r="IL73" s="2644"/>
      <c r="IM73" s="2644"/>
      <c r="IN73" s="2644"/>
      <c r="IO73" s="2644"/>
      <c r="IP73" s="2644"/>
      <c r="IQ73" s="2644"/>
      <c r="IT73" s="2638"/>
      <c r="IU73" s="2638"/>
      <c r="IV73" s="2638"/>
      <c r="IW73" s="2638"/>
      <c r="IX73" s="2638"/>
      <c r="IY73" s="2638"/>
      <c r="IZ73" s="2638"/>
      <c r="JA73" s="2638"/>
      <c r="JB73" s="2638"/>
      <c r="JC73" s="2638"/>
      <c r="JD73" s="2638"/>
    </row>
    <row r="74" spans="15:264" ht="4.1500000000000004" customHeight="1">
      <c r="FM74" s="2604"/>
      <c r="FN74" s="2596"/>
      <c r="FO74" s="2596"/>
      <c r="FP74" s="2596"/>
      <c r="FQ74" s="2596"/>
      <c r="FR74" s="2596"/>
      <c r="FS74" s="2596"/>
      <c r="FT74" s="2596"/>
      <c r="FU74" s="2596"/>
      <c r="FV74" s="2596"/>
      <c r="FW74" s="2596"/>
      <c r="FX74" s="2596"/>
      <c r="FY74" s="2596"/>
      <c r="FZ74" s="2596"/>
      <c r="GA74" s="2596"/>
      <c r="GB74" s="2596"/>
      <c r="GC74" s="2605"/>
      <c r="GI74" s="2608"/>
      <c r="GJ74" s="2608"/>
      <c r="GK74" s="2608"/>
      <c r="GL74" s="2608"/>
      <c r="GM74" s="2608"/>
      <c r="GN74" s="2608"/>
      <c r="GO74" s="2608"/>
      <c r="GP74" s="2608"/>
      <c r="GQ74" s="2608"/>
      <c r="GR74" s="2608"/>
      <c r="GS74" s="2608"/>
      <c r="GT74" s="2608"/>
      <c r="GY74" s="2616"/>
      <c r="GZ74" s="2616"/>
      <c r="HA74" s="2616"/>
      <c r="HB74" s="2616"/>
      <c r="HH74" s="2646"/>
      <c r="HI74" s="2646"/>
      <c r="HJ74" s="2646"/>
      <c r="HK74" s="2646"/>
      <c r="HP74" s="2619"/>
      <c r="HQ74" s="2619"/>
      <c r="HR74" s="2619"/>
      <c r="HS74" s="2619"/>
      <c r="HT74" s="2619"/>
      <c r="HU74" s="2619"/>
      <c r="HV74" s="2619"/>
      <c r="HW74" s="2619"/>
      <c r="HX74" s="2619"/>
      <c r="HY74" s="2619"/>
      <c r="HZ74" s="2619"/>
      <c r="IG74" s="2644"/>
      <c r="IH74" s="2644"/>
      <c r="II74" s="2644"/>
      <c r="IJ74" s="2644"/>
      <c r="IK74" s="2644"/>
      <c r="IL74" s="2644"/>
      <c r="IM74" s="2644"/>
      <c r="IN74" s="2644"/>
      <c r="IO74" s="2644"/>
      <c r="IP74" s="2644"/>
      <c r="IQ74" s="2644"/>
      <c r="IY74" s="516"/>
    </row>
    <row r="75" spans="15:264" ht="4.1500000000000004" customHeight="1">
      <c r="AW75" s="536"/>
      <c r="AX75" s="537"/>
      <c r="AY75" s="537"/>
      <c r="AZ75" s="537"/>
      <c r="BA75" s="537"/>
      <c r="BB75" s="537"/>
      <c r="BC75" s="537"/>
      <c r="BD75" s="537"/>
      <c r="BE75" s="537"/>
      <c r="BF75" s="537"/>
      <c r="BG75" s="537"/>
      <c r="BH75" s="537"/>
      <c r="BI75" s="537"/>
      <c r="BJ75" s="538"/>
      <c r="FM75" s="2604"/>
      <c r="FN75" s="2596"/>
      <c r="FO75" s="2596"/>
      <c r="FP75" s="2596"/>
      <c r="FQ75" s="2596"/>
      <c r="FR75" s="2596"/>
      <c r="FS75" s="2596"/>
      <c r="FT75" s="2596"/>
      <c r="FU75" s="2596"/>
      <c r="FV75" s="2596"/>
      <c r="FW75" s="2596"/>
      <c r="FX75" s="2596"/>
      <c r="FY75" s="2596"/>
      <c r="FZ75" s="2596"/>
      <c r="GA75" s="2596"/>
      <c r="GB75" s="2596"/>
      <c r="GC75" s="2605"/>
      <c r="GI75" s="2608"/>
      <c r="GJ75" s="2608"/>
      <c r="GK75" s="2608"/>
      <c r="GL75" s="2608"/>
      <c r="GM75" s="2608"/>
      <c r="GN75" s="2608"/>
      <c r="GO75" s="2608"/>
      <c r="GP75" s="2608"/>
      <c r="GQ75" s="2608"/>
      <c r="GR75" s="2608"/>
      <c r="GS75" s="2608"/>
      <c r="GT75" s="2608"/>
      <c r="GY75" s="2616"/>
      <c r="GZ75" s="2616"/>
      <c r="HA75" s="2616"/>
      <c r="HB75" s="2616"/>
      <c r="HH75" s="2646"/>
      <c r="HI75" s="2646"/>
      <c r="HJ75" s="2646"/>
      <c r="HK75" s="2646"/>
      <c r="HP75" s="2621"/>
      <c r="HQ75" s="2621"/>
      <c r="HR75" s="2621"/>
      <c r="HS75" s="2621"/>
      <c r="HT75" s="2621"/>
      <c r="HU75" s="2621"/>
      <c r="HV75" s="2621"/>
      <c r="HW75" s="2621"/>
      <c r="HX75" s="2621"/>
      <c r="HY75" s="2621"/>
      <c r="HZ75" s="2621"/>
      <c r="IA75" s="532"/>
      <c r="IB75" s="532"/>
      <c r="IC75" s="532"/>
      <c r="ID75" s="532"/>
      <c r="IE75" s="532"/>
      <c r="IF75" s="532"/>
      <c r="IG75" s="2645"/>
      <c r="IH75" s="2645"/>
      <c r="II75" s="2645"/>
      <c r="IJ75" s="2645"/>
      <c r="IK75" s="2645"/>
      <c r="IL75" s="2645"/>
      <c r="IM75" s="2645"/>
      <c r="IN75" s="2645"/>
      <c r="IO75" s="2645"/>
      <c r="IP75" s="2645"/>
      <c r="IQ75" s="2645"/>
      <c r="IY75" s="516"/>
    </row>
    <row r="76" spans="15:264" ht="4.1500000000000004" customHeight="1">
      <c r="AW76" s="539"/>
      <c r="BJ76" s="540"/>
      <c r="FM76" s="2606"/>
      <c r="FN76" s="2598"/>
      <c r="FO76" s="2598"/>
      <c r="FP76" s="2598"/>
      <c r="FQ76" s="2598"/>
      <c r="FR76" s="2598"/>
      <c r="FS76" s="2598"/>
      <c r="FT76" s="2598"/>
      <c r="FU76" s="2598"/>
      <c r="FV76" s="2598"/>
      <c r="FW76" s="2598"/>
      <c r="FX76" s="2598"/>
      <c r="FY76" s="2598"/>
      <c r="FZ76" s="2598"/>
      <c r="GA76" s="2598"/>
      <c r="GB76" s="2598"/>
      <c r="GC76" s="2607"/>
      <c r="GI76" s="532"/>
      <c r="GJ76" s="532"/>
      <c r="GK76" s="532"/>
      <c r="GL76" s="532"/>
      <c r="GM76" s="532"/>
      <c r="GN76" s="532"/>
      <c r="GO76" s="532"/>
      <c r="GP76" s="532"/>
      <c r="GQ76" s="532"/>
      <c r="GR76" s="532"/>
      <c r="GS76" s="532"/>
      <c r="GT76" s="532"/>
      <c r="GY76" s="2616"/>
      <c r="GZ76" s="2616"/>
      <c r="HA76" s="2616"/>
      <c r="HB76" s="2616"/>
      <c r="HH76" s="2646"/>
      <c r="HI76" s="2646"/>
      <c r="HJ76" s="2646"/>
      <c r="HK76" s="2646"/>
      <c r="HP76" s="516"/>
      <c r="IQ76" s="517"/>
      <c r="IT76" s="514"/>
      <c r="IU76" s="514"/>
      <c r="IV76" s="514"/>
      <c r="IW76" s="514"/>
      <c r="IX76" s="514"/>
      <c r="IY76" s="515"/>
      <c r="IZ76" s="514"/>
      <c r="JA76" s="514"/>
      <c r="JB76" s="514"/>
      <c r="JC76" s="514"/>
      <c r="JD76" s="514"/>
    </row>
    <row r="77" spans="15:264" ht="4.1500000000000004" customHeight="1">
      <c r="AW77" s="539"/>
      <c r="BJ77" s="540"/>
      <c r="FK77" s="515"/>
      <c r="FL77" s="514"/>
      <c r="FM77" s="514"/>
      <c r="FN77" s="514"/>
      <c r="FO77" s="514"/>
      <c r="FP77" s="514"/>
      <c r="FQ77" s="514"/>
      <c r="FR77" s="514"/>
      <c r="FS77" s="514"/>
      <c r="FT77" s="514"/>
      <c r="FU77" s="514"/>
      <c r="FV77" s="514"/>
      <c r="FW77" s="514"/>
      <c r="FX77" s="514"/>
      <c r="FY77" s="514"/>
      <c r="FZ77" s="514"/>
      <c r="GA77" s="514"/>
      <c r="GB77" s="514"/>
      <c r="GC77" s="514"/>
      <c r="GD77" s="514"/>
      <c r="GE77" s="518"/>
      <c r="GF77" s="516"/>
      <c r="GI77" s="2597">
        <v>0.1</v>
      </c>
      <c r="GJ77" s="2597"/>
      <c r="GK77" s="2597"/>
      <c r="GL77" s="2597"/>
      <c r="GM77" s="2597"/>
      <c r="GN77" s="2597"/>
      <c r="GO77" s="2597"/>
      <c r="GP77" s="2597"/>
      <c r="GQ77" s="2597"/>
      <c r="GR77" s="2597"/>
      <c r="GS77" s="2597"/>
      <c r="GT77" s="2597"/>
      <c r="GY77" s="2616"/>
      <c r="GZ77" s="2616"/>
      <c r="HA77" s="2616"/>
      <c r="HB77" s="2616"/>
      <c r="HH77" s="2646"/>
      <c r="HI77" s="2646"/>
      <c r="HJ77" s="2646"/>
      <c r="HK77" s="2646"/>
      <c r="HP77" s="516"/>
      <c r="IQ77" s="517"/>
      <c r="IY77" s="516"/>
    </row>
    <row r="78" spans="15:264" ht="4.1500000000000004" customHeight="1">
      <c r="AW78" s="541"/>
      <c r="AX78" s="532"/>
      <c r="AY78" s="532"/>
      <c r="AZ78" s="532"/>
      <c r="BA78" s="532"/>
      <c r="BB78" s="532"/>
      <c r="BC78" s="532"/>
      <c r="BD78" s="532"/>
      <c r="BE78" s="532"/>
      <c r="BF78" s="532"/>
      <c r="BG78" s="532"/>
      <c r="BH78" s="532"/>
      <c r="BI78" s="532"/>
      <c r="BJ78" s="542"/>
      <c r="FK78" s="516"/>
      <c r="GE78" s="517"/>
      <c r="GF78" s="516"/>
      <c r="GI78" s="2596"/>
      <c r="GJ78" s="2596"/>
      <c r="GK78" s="2596"/>
      <c r="GL78" s="2596"/>
      <c r="GM78" s="2596"/>
      <c r="GN78" s="2596"/>
      <c r="GO78" s="2596"/>
      <c r="GP78" s="2596"/>
      <c r="GQ78" s="2596"/>
      <c r="GR78" s="2596"/>
      <c r="GS78" s="2596"/>
      <c r="GT78" s="2596"/>
      <c r="HA78" s="516"/>
      <c r="HH78" s="2646"/>
      <c r="HI78" s="2646"/>
      <c r="HJ78" s="2646"/>
      <c r="HK78" s="2646"/>
      <c r="HP78" s="516"/>
      <c r="IQ78" s="517"/>
      <c r="IT78" s="2638">
        <v>0.3</v>
      </c>
      <c r="IU78" s="2638"/>
      <c r="IV78" s="2638"/>
      <c r="IW78" s="2638"/>
      <c r="IX78" s="2638"/>
      <c r="IY78" s="2638"/>
      <c r="IZ78" s="2638"/>
      <c r="JA78" s="2638"/>
      <c r="JB78" s="2638"/>
      <c r="JC78" s="2638"/>
      <c r="JD78" s="2638"/>
    </row>
    <row r="79" spans="15:264" ht="4.1500000000000004" customHeight="1" thickBot="1">
      <c r="O79" s="514"/>
      <c r="P79" s="514"/>
      <c r="Q79" s="515"/>
      <c r="R79" s="514"/>
      <c r="V79" s="519"/>
      <c r="W79" s="520"/>
      <c r="X79" s="514"/>
      <c r="Y79" s="514"/>
      <c r="Z79" s="514"/>
      <c r="AA79" s="514"/>
      <c r="AB79" s="514"/>
      <c r="AC79" s="514"/>
      <c r="AD79" s="514"/>
      <c r="AE79" s="514"/>
      <c r="AF79" s="514"/>
      <c r="AG79" s="514"/>
      <c r="AH79" s="514"/>
      <c r="AI79" s="514"/>
      <c r="AJ79" s="514"/>
      <c r="AK79" s="514"/>
      <c r="AL79" s="514"/>
      <c r="AM79" s="514"/>
      <c r="AN79" s="514"/>
      <c r="AO79" s="514"/>
      <c r="AP79" s="514"/>
      <c r="AQ79" s="514"/>
      <c r="AR79" s="514"/>
      <c r="AS79" s="514"/>
      <c r="AT79" s="514"/>
      <c r="AU79" s="514"/>
      <c r="AV79" s="514"/>
      <c r="AW79" s="514"/>
      <c r="AX79" s="514"/>
      <c r="AY79" s="543"/>
      <c r="AZ79" s="544"/>
      <c r="BA79" s="544"/>
      <c r="BB79" s="544"/>
      <c r="BC79" s="544"/>
      <c r="BD79" s="544"/>
      <c r="BE79" s="544"/>
      <c r="BF79" s="544"/>
      <c r="BG79" s="544"/>
      <c r="BH79" s="545"/>
      <c r="BI79" s="514"/>
      <c r="BJ79" s="514"/>
      <c r="BK79" s="514"/>
      <c r="BL79" s="514"/>
      <c r="BM79" s="514"/>
      <c r="BN79" s="514"/>
      <c r="BO79" s="514"/>
      <c r="BP79" s="514"/>
      <c r="BQ79" s="514"/>
      <c r="BR79" s="514"/>
      <c r="BS79" s="514"/>
      <c r="BT79" s="514"/>
      <c r="BU79" s="514"/>
      <c r="BV79" s="514"/>
      <c r="BW79" s="514"/>
      <c r="BX79" s="514"/>
      <c r="BY79" s="514"/>
      <c r="BZ79" s="514"/>
      <c r="CA79" s="514"/>
      <c r="CB79" s="514"/>
      <c r="CC79" s="514"/>
      <c r="CD79" s="514"/>
      <c r="CE79" s="514"/>
      <c r="CF79" s="514"/>
      <c r="CG79" s="514"/>
      <c r="CH79" s="514"/>
      <c r="CI79" s="514"/>
      <c r="CJ79" s="520"/>
      <c r="CK79" s="521"/>
      <c r="FK79" s="530"/>
      <c r="FL79" s="532"/>
      <c r="FM79" s="532"/>
      <c r="FN79" s="532"/>
      <c r="FO79" s="532"/>
      <c r="FP79" s="532"/>
      <c r="FQ79" s="532"/>
      <c r="FR79" s="532"/>
      <c r="FS79" s="532"/>
      <c r="FT79" s="532"/>
      <c r="FU79" s="532"/>
      <c r="FV79" s="532"/>
      <c r="FW79" s="532"/>
      <c r="FX79" s="532"/>
      <c r="FY79" s="532"/>
      <c r="FZ79" s="532"/>
      <c r="GA79" s="532"/>
      <c r="GB79" s="532"/>
      <c r="GC79" s="532"/>
      <c r="GD79" s="532"/>
      <c r="GE79" s="531"/>
      <c r="GF79" s="516"/>
      <c r="GI79" s="2598"/>
      <c r="GJ79" s="2598"/>
      <c r="GK79" s="2598"/>
      <c r="GL79" s="2598"/>
      <c r="GM79" s="2598"/>
      <c r="GN79" s="2598"/>
      <c r="GO79" s="2598"/>
      <c r="GP79" s="2598"/>
      <c r="GQ79" s="2598"/>
      <c r="GR79" s="2598"/>
      <c r="GS79" s="2598"/>
      <c r="GT79" s="2598"/>
      <c r="HA79" s="516"/>
      <c r="HH79" s="2646"/>
      <c r="HI79" s="2646"/>
      <c r="HJ79" s="2646"/>
      <c r="HK79" s="2646"/>
      <c r="HP79" s="516"/>
      <c r="IQ79" s="517"/>
      <c r="IT79" s="2638"/>
      <c r="IU79" s="2638"/>
      <c r="IV79" s="2638"/>
      <c r="IW79" s="2638"/>
      <c r="IX79" s="2638"/>
      <c r="IY79" s="2638"/>
      <c r="IZ79" s="2638"/>
      <c r="JA79" s="2638"/>
      <c r="JB79" s="2638"/>
      <c r="JC79" s="2638"/>
      <c r="JD79" s="2638"/>
    </row>
    <row r="80" spans="15:264" ht="4.1500000000000004" customHeight="1" thickTop="1">
      <c r="Q80" s="516"/>
      <c r="V80" s="522"/>
      <c r="W80" s="523"/>
      <c r="AY80" s="530"/>
      <c r="AZ80" s="532"/>
      <c r="BA80" s="532"/>
      <c r="BB80" s="532"/>
      <c r="BC80" s="532"/>
      <c r="BG80" s="532"/>
      <c r="BH80" s="531"/>
      <c r="CJ80" s="523"/>
      <c r="CK80" s="524"/>
      <c r="CO80" s="514"/>
      <c r="CP80" s="514"/>
      <c r="CQ80" s="515"/>
      <c r="CR80" s="514"/>
      <c r="CV80" s="514"/>
      <c r="CW80" s="514"/>
      <c r="CX80" s="515"/>
      <c r="CY80" s="514"/>
      <c r="FK80" s="515"/>
      <c r="FL80" s="514"/>
      <c r="FM80" s="514"/>
      <c r="FN80" s="514"/>
      <c r="FO80" s="514"/>
      <c r="FP80" s="514"/>
      <c r="FQ80" s="514"/>
      <c r="FR80" s="514"/>
      <c r="FS80" s="514"/>
      <c r="FT80" s="514"/>
      <c r="FU80" s="514"/>
      <c r="FV80" s="514"/>
      <c r="FW80" s="514"/>
      <c r="FX80" s="514"/>
      <c r="FY80" s="514"/>
      <c r="FZ80" s="514"/>
      <c r="GA80" s="514"/>
      <c r="GB80" s="514"/>
      <c r="GC80" s="514"/>
      <c r="GD80" s="514"/>
      <c r="GE80" s="518"/>
      <c r="GF80" s="516"/>
      <c r="GI80" s="2597">
        <v>0.15</v>
      </c>
      <c r="GJ80" s="2597"/>
      <c r="GK80" s="2597"/>
      <c r="GL80" s="2597"/>
      <c r="GM80" s="2597"/>
      <c r="GN80" s="2597"/>
      <c r="GO80" s="2597"/>
      <c r="GP80" s="2597"/>
      <c r="GQ80" s="2597"/>
      <c r="GR80" s="2597"/>
      <c r="GS80" s="2597"/>
      <c r="GT80" s="2597"/>
      <c r="HA80" s="516"/>
      <c r="HH80" s="2646"/>
      <c r="HI80" s="2646"/>
      <c r="HJ80" s="2646"/>
      <c r="HK80" s="2646"/>
      <c r="HP80" s="516"/>
      <c r="IQ80" s="517"/>
      <c r="IT80" s="2638"/>
      <c r="IU80" s="2638"/>
      <c r="IV80" s="2638"/>
      <c r="IW80" s="2638"/>
      <c r="IX80" s="2638"/>
      <c r="IY80" s="2638"/>
      <c r="IZ80" s="2638"/>
      <c r="JA80" s="2638"/>
      <c r="JB80" s="2638"/>
      <c r="JC80" s="2638"/>
      <c r="JD80" s="2638"/>
    </row>
    <row r="81" spans="17:264" ht="4.1500000000000004" customHeight="1">
      <c r="Q81" s="516"/>
      <c r="V81" s="516"/>
      <c r="X81" s="515"/>
      <c r="Y81" s="514"/>
      <c r="Z81" s="514"/>
      <c r="AA81" s="514"/>
      <c r="AB81" s="514"/>
      <c r="AC81" s="514"/>
      <c r="AD81" s="514"/>
      <c r="AE81" s="514"/>
      <c r="AF81" s="514"/>
      <c r="AG81" s="514"/>
      <c r="AH81" s="514"/>
      <c r="AI81" s="514"/>
      <c r="AJ81" s="514"/>
      <c r="AK81" s="514"/>
      <c r="AL81" s="514"/>
      <c r="AM81" s="514"/>
      <c r="AN81" s="514"/>
      <c r="AO81" s="514"/>
      <c r="AP81" s="514"/>
      <c r="AQ81" s="514"/>
      <c r="AR81" s="514"/>
      <c r="AS81" s="514"/>
      <c r="AT81" s="514"/>
      <c r="AU81" s="514"/>
      <c r="AV81" s="514"/>
      <c r="AW81" s="514"/>
      <c r="AX81" s="514"/>
      <c r="AY81" s="514"/>
      <c r="AZ81" s="514"/>
      <c r="BA81" s="514"/>
      <c r="BB81" s="514"/>
      <c r="BC81" s="514"/>
      <c r="BD81" s="514"/>
      <c r="BE81" s="514"/>
      <c r="BF81" s="514"/>
      <c r="BG81" s="514"/>
      <c r="BH81" s="514"/>
      <c r="BI81" s="514"/>
      <c r="BJ81" s="514"/>
      <c r="BK81" s="514"/>
      <c r="BL81" s="514"/>
      <c r="BM81" s="514"/>
      <c r="BN81" s="514"/>
      <c r="BO81" s="514"/>
      <c r="BP81" s="514"/>
      <c r="BQ81" s="514"/>
      <c r="BR81" s="514"/>
      <c r="BS81" s="514"/>
      <c r="BT81" s="514"/>
      <c r="BU81" s="514"/>
      <c r="BV81" s="514"/>
      <c r="BW81" s="514"/>
      <c r="BX81" s="514"/>
      <c r="BY81" s="514"/>
      <c r="BZ81" s="514"/>
      <c r="CA81" s="514"/>
      <c r="CB81" s="514"/>
      <c r="CC81" s="514"/>
      <c r="CD81" s="514"/>
      <c r="CE81" s="514"/>
      <c r="CF81" s="514"/>
      <c r="CG81" s="514"/>
      <c r="CH81" s="514"/>
      <c r="CI81" s="518"/>
      <c r="CK81" s="517"/>
      <c r="CQ81" s="516"/>
      <c r="CX81" s="516"/>
      <c r="FK81" s="516"/>
      <c r="GE81" s="517"/>
      <c r="GF81" s="516"/>
      <c r="GI81" s="2596"/>
      <c r="GJ81" s="2596"/>
      <c r="GK81" s="2596"/>
      <c r="GL81" s="2596"/>
      <c r="GM81" s="2596"/>
      <c r="GN81" s="2596"/>
      <c r="GO81" s="2596"/>
      <c r="GP81" s="2596"/>
      <c r="GQ81" s="2596"/>
      <c r="GR81" s="2596"/>
      <c r="GS81" s="2596"/>
      <c r="GT81" s="2596"/>
      <c r="HA81" s="516"/>
      <c r="HI81" s="516"/>
      <c r="HP81" s="516"/>
      <c r="IQ81" s="517"/>
      <c r="IY81" s="516"/>
    </row>
    <row r="82" spans="17:264" ht="4.1500000000000004" customHeight="1">
      <c r="Q82" s="516"/>
      <c r="V82" s="516"/>
      <c r="X82" s="516"/>
      <c r="CI82" s="517"/>
      <c r="CK82" s="517"/>
      <c r="CQ82" s="516"/>
      <c r="CX82" s="516"/>
      <c r="FK82" s="530"/>
      <c r="FL82" s="532"/>
      <c r="FM82" s="532"/>
      <c r="FN82" s="532"/>
      <c r="FO82" s="532"/>
      <c r="FP82" s="532"/>
      <c r="FQ82" s="532"/>
      <c r="FR82" s="532"/>
      <c r="FS82" s="532"/>
      <c r="FT82" s="532"/>
      <c r="FU82" s="532"/>
      <c r="FV82" s="532"/>
      <c r="FW82" s="532"/>
      <c r="FX82" s="532"/>
      <c r="FY82" s="532"/>
      <c r="FZ82" s="532"/>
      <c r="GA82" s="532"/>
      <c r="GB82" s="532"/>
      <c r="GC82" s="532"/>
      <c r="GD82" s="532"/>
      <c r="GE82" s="531"/>
      <c r="GF82" s="530"/>
      <c r="GG82" s="532"/>
      <c r="GI82" s="2598"/>
      <c r="GJ82" s="2598"/>
      <c r="GK82" s="2598"/>
      <c r="GL82" s="2598"/>
      <c r="GM82" s="2598"/>
      <c r="GN82" s="2598"/>
      <c r="GO82" s="2598"/>
      <c r="GP82" s="2598"/>
      <c r="GQ82" s="2598"/>
      <c r="GR82" s="2598"/>
      <c r="GS82" s="2598"/>
      <c r="GT82" s="2598"/>
      <c r="GX82" s="532"/>
      <c r="GY82" s="532"/>
      <c r="GZ82" s="532"/>
      <c r="HA82" s="530"/>
      <c r="HB82" s="532"/>
      <c r="HC82" s="532"/>
      <c r="HI82" s="516"/>
      <c r="HP82" s="530"/>
      <c r="HQ82" s="532"/>
      <c r="HR82" s="532"/>
      <c r="HS82" s="532"/>
      <c r="HT82" s="532"/>
      <c r="HU82" s="532"/>
      <c r="HV82" s="532"/>
      <c r="HW82" s="532"/>
      <c r="HX82" s="532"/>
      <c r="HY82" s="532"/>
      <c r="HZ82" s="532"/>
      <c r="IA82" s="532"/>
      <c r="IB82" s="532"/>
      <c r="IC82" s="532"/>
      <c r="ID82" s="532"/>
      <c r="IE82" s="532"/>
      <c r="IF82" s="532"/>
      <c r="IG82" s="532"/>
      <c r="IH82" s="532"/>
      <c r="II82" s="532"/>
      <c r="IJ82" s="532"/>
      <c r="IK82" s="532"/>
      <c r="IL82" s="532"/>
      <c r="IM82" s="532"/>
      <c r="IN82" s="532"/>
      <c r="IO82" s="532"/>
      <c r="IP82" s="532"/>
      <c r="IQ82" s="531"/>
      <c r="IT82" s="532"/>
      <c r="IU82" s="532"/>
      <c r="IV82" s="532"/>
      <c r="IW82" s="532"/>
      <c r="IX82" s="532"/>
      <c r="IY82" s="530"/>
      <c r="IZ82" s="532"/>
      <c r="JA82" s="532"/>
      <c r="JB82" s="532"/>
      <c r="JC82" s="532"/>
      <c r="JD82" s="532"/>
    </row>
    <row r="83" spans="17:264" ht="4.1500000000000004" customHeight="1">
      <c r="Q83" s="516"/>
      <c r="V83" s="516"/>
      <c r="X83" s="516"/>
      <c r="CI83" s="517"/>
      <c r="CK83" s="517"/>
      <c r="CQ83" s="516"/>
      <c r="CX83" s="516"/>
      <c r="HI83" s="516"/>
      <c r="HO83" s="515"/>
      <c r="HP83" s="514"/>
      <c r="HQ83" s="514"/>
      <c r="HR83" s="514"/>
      <c r="HS83" s="514"/>
      <c r="HT83" s="514"/>
      <c r="HU83" s="514"/>
      <c r="HV83" s="514"/>
      <c r="HW83" s="514"/>
      <c r="HX83" s="514"/>
      <c r="HY83" s="514"/>
      <c r="HZ83" s="514"/>
      <c r="IA83" s="514"/>
      <c r="IB83" s="514"/>
      <c r="IC83" s="514"/>
      <c r="ID83" s="514"/>
      <c r="IE83" s="514"/>
      <c r="IF83" s="514"/>
      <c r="IG83" s="514"/>
      <c r="IH83" s="514"/>
      <c r="II83" s="514"/>
      <c r="IJ83" s="514"/>
      <c r="IK83" s="514"/>
      <c r="IL83" s="514"/>
      <c r="IM83" s="514"/>
      <c r="IN83" s="514"/>
      <c r="IO83" s="514"/>
      <c r="IP83" s="514"/>
      <c r="IQ83" s="514"/>
      <c r="IR83" s="518"/>
      <c r="IT83" s="2639">
        <v>0.15</v>
      </c>
      <c r="IU83" s="2639"/>
      <c r="IV83" s="2639"/>
      <c r="IW83" s="2639"/>
      <c r="IX83" s="2639"/>
      <c r="IY83" s="2639"/>
      <c r="IZ83" s="2639"/>
      <c r="JA83" s="2639"/>
      <c r="JB83" s="2639"/>
      <c r="JC83" s="2639"/>
      <c r="JD83" s="2639"/>
    </row>
    <row r="84" spans="17:264" ht="4.1500000000000004" customHeight="1">
      <c r="Q84" s="516"/>
      <c r="V84" s="516"/>
      <c r="X84" s="516"/>
      <c r="CI84" s="517"/>
      <c r="CJ84" s="2686">
        <v>0.25</v>
      </c>
      <c r="CK84" s="2687"/>
      <c r="CL84" s="662"/>
      <c r="CM84" s="662"/>
      <c r="CN84" s="662"/>
      <c r="CO84" s="662"/>
      <c r="CP84" s="662"/>
      <c r="CQ84" s="663"/>
      <c r="CR84" s="662"/>
      <c r="CS84" s="662"/>
      <c r="CT84" s="662"/>
      <c r="CU84" s="662"/>
      <c r="CV84" s="662"/>
      <c r="CW84" s="662"/>
      <c r="CX84" s="663"/>
      <c r="CY84" s="662"/>
      <c r="HI84" s="516"/>
      <c r="HO84" s="516"/>
      <c r="IR84" s="517"/>
      <c r="IT84" s="2638"/>
      <c r="IU84" s="2638"/>
      <c r="IV84" s="2638"/>
      <c r="IW84" s="2638"/>
      <c r="IX84" s="2638"/>
      <c r="IY84" s="2638"/>
      <c r="IZ84" s="2638"/>
      <c r="JA84" s="2638"/>
      <c r="JB84" s="2638"/>
      <c r="JC84" s="2638"/>
      <c r="JD84" s="2638"/>
    </row>
    <row r="85" spans="17:264" ht="4.1500000000000004" customHeight="1">
      <c r="Q85" s="516"/>
      <c r="V85" s="516"/>
      <c r="X85" s="516"/>
      <c r="CI85" s="517"/>
      <c r="CJ85" s="2686"/>
      <c r="CK85" s="2687"/>
      <c r="CL85" s="662"/>
      <c r="CM85" s="662"/>
      <c r="CN85" s="662"/>
      <c r="CO85" s="662"/>
      <c r="CP85" s="662"/>
      <c r="CQ85" s="663"/>
      <c r="CR85" s="662"/>
      <c r="CS85" s="662"/>
      <c r="CT85" s="662"/>
      <c r="CU85" s="662"/>
      <c r="CV85" s="662"/>
      <c r="CW85" s="662"/>
      <c r="CX85" s="663"/>
      <c r="CY85" s="662"/>
      <c r="FK85" s="516"/>
      <c r="FO85" s="2615">
        <v>0.9</v>
      </c>
      <c r="FP85" s="2608"/>
      <c r="FQ85" s="2608"/>
      <c r="FR85" s="2608"/>
      <c r="FS85" s="2608"/>
      <c r="FT85" s="2608"/>
      <c r="FU85" s="2608"/>
      <c r="FV85" s="2608"/>
      <c r="FW85" s="2608"/>
      <c r="FX85" s="2608"/>
      <c r="FY85" s="2608"/>
      <c r="FZ85" s="2608"/>
      <c r="GA85" s="2608"/>
      <c r="GB85" s="2608"/>
      <c r="GE85" s="517"/>
      <c r="HI85" s="516"/>
      <c r="HO85" s="530"/>
      <c r="HP85" s="532"/>
      <c r="HQ85" s="532"/>
      <c r="HR85" s="532"/>
      <c r="HS85" s="532"/>
      <c r="HT85" s="532"/>
      <c r="HU85" s="532"/>
      <c r="HV85" s="532"/>
      <c r="HW85" s="532"/>
      <c r="HX85" s="532"/>
      <c r="HY85" s="532"/>
      <c r="HZ85" s="532"/>
      <c r="IA85" s="532"/>
      <c r="IB85" s="532"/>
      <c r="IC85" s="532"/>
      <c r="ID85" s="532"/>
      <c r="IE85" s="532"/>
      <c r="IF85" s="532"/>
      <c r="IG85" s="532"/>
      <c r="IH85" s="532"/>
      <c r="II85" s="532"/>
      <c r="IJ85" s="532"/>
      <c r="IK85" s="532"/>
      <c r="IL85" s="532"/>
      <c r="IM85" s="532"/>
      <c r="IN85" s="532"/>
      <c r="IO85" s="532"/>
      <c r="IP85" s="532"/>
      <c r="IQ85" s="532"/>
      <c r="IR85" s="531"/>
      <c r="IT85" s="2640"/>
      <c r="IU85" s="2640"/>
      <c r="IV85" s="2640"/>
      <c r="IW85" s="2640"/>
      <c r="IX85" s="2640"/>
      <c r="IY85" s="2640"/>
      <c r="IZ85" s="2640"/>
      <c r="JA85" s="2640"/>
      <c r="JB85" s="2640"/>
      <c r="JC85" s="2640"/>
      <c r="JD85" s="2640"/>
    </row>
    <row r="86" spans="17:264" ht="4.1500000000000004" customHeight="1">
      <c r="Q86" s="516"/>
      <c r="V86" s="516"/>
      <c r="X86" s="516"/>
      <c r="CI86" s="517"/>
      <c r="CJ86" s="2686"/>
      <c r="CK86" s="2687"/>
      <c r="CL86" s="662"/>
      <c r="CM86" s="662"/>
      <c r="CN86" s="662"/>
      <c r="CO86" s="662"/>
      <c r="CP86" s="662"/>
      <c r="CQ86" s="663"/>
      <c r="CR86" s="662"/>
      <c r="CS86" s="662"/>
      <c r="CT86" s="662"/>
      <c r="CU86" s="662"/>
      <c r="CV86" s="662"/>
      <c r="CW86" s="662"/>
      <c r="CX86" s="663"/>
      <c r="CY86" s="662"/>
      <c r="FK86" s="530"/>
      <c r="FL86" s="532"/>
      <c r="FM86" s="532"/>
      <c r="FN86" s="532"/>
      <c r="FO86" s="2608"/>
      <c r="FP86" s="2608"/>
      <c r="FQ86" s="2608"/>
      <c r="FR86" s="2608"/>
      <c r="FS86" s="2608"/>
      <c r="FT86" s="2608"/>
      <c r="FU86" s="2608"/>
      <c r="FV86" s="2608"/>
      <c r="FW86" s="2608"/>
      <c r="FX86" s="2608"/>
      <c r="FY86" s="2608"/>
      <c r="FZ86" s="2608"/>
      <c r="GA86" s="2608"/>
      <c r="GB86" s="2608"/>
      <c r="GC86" s="532"/>
      <c r="GD86" s="532"/>
      <c r="GE86" s="531"/>
      <c r="HI86" s="516"/>
      <c r="HO86" s="515"/>
      <c r="HP86" s="514"/>
      <c r="HQ86" s="514"/>
      <c r="HR86" s="514"/>
      <c r="HS86" s="514"/>
      <c r="HT86" s="514"/>
      <c r="HU86" s="514"/>
      <c r="HV86" s="514"/>
      <c r="HW86" s="514"/>
      <c r="HX86" s="514"/>
      <c r="HY86" s="514"/>
      <c r="HZ86" s="514"/>
      <c r="IA86" s="514"/>
      <c r="IB86" s="514"/>
      <c r="IC86" s="514"/>
      <c r="ID86" s="514"/>
      <c r="IE86" s="514"/>
      <c r="IF86" s="514"/>
      <c r="IG86" s="514"/>
      <c r="IH86" s="514"/>
      <c r="II86" s="514"/>
      <c r="IJ86" s="514"/>
      <c r="IK86" s="514"/>
      <c r="IL86" s="514"/>
      <c r="IM86" s="514"/>
      <c r="IN86" s="514"/>
      <c r="IO86" s="514"/>
      <c r="IP86" s="514"/>
      <c r="IQ86" s="514"/>
      <c r="IR86" s="518"/>
      <c r="IT86" s="2639">
        <v>0.15</v>
      </c>
      <c r="IU86" s="2639"/>
      <c r="IV86" s="2639"/>
      <c r="IW86" s="2639"/>
      <c r="IX86" s="2639"/>
      <c r="IY86" s="2639"/>
      <c r="IZ86" s="2639"/>
      <c r="JA86" s="2639"/>
      <c r="JB86" s="2639"/>
      <c r="JC86" s="2639"/>
      <c r="JD86" s="2639"/>
    </row>
    <row r="87" spans="17:264" ht="4.1500000000000004" customHeight="1">
      <c r="Q87" s="516"/>
      <c r="V87" s="516"/>
      <c r="X87" s="516"/>
      <c r="CI87" s="517"/>
      <c r="CJ87" s="2686"/>
      <c r="CK87" s="2687"/>
      <c r="CL87" s="662"/>
      <c r="CM87" s="662"/>
      <c r="CN87" s="662"/>
      <c r="CO87" s="662"/>
      <c r="CP87" s="662"/>
      <c r="CQ87" s="663"/>
      <c r="CR87" s="662"/>
      <c r="CS87" s="662"/>
      <c r="CT87" s="662"/>
      <c r="CU87" s="662"/>
      <c r="CV87" s="662"/>
      <c r="CW87" s="662"/>
      <c r="CX87" s="663"/>
      <c r="CY87" s="662"/>
      <c r="FK87" s="516"/>
      <c r="FO87" s="2608"/>
      <c r="FP87" s="2608"/>
      <c r="FQ87" s="2608"/>
      <c r="FR87" s="2608"/>
      <c r="FS87" s="2608"/>
      <c r="FT87" s="2608"/>
      <c r="FU87" s="2608"/>
      <c r="FV87" s="2608"/>
      <c r="FW87" s="2608"/>
      <c r="FX87" s="2608"/>
      <c r="FY87" s="2608"/>
      <c r="FZ87" s="2608"/>
      <c r="GA87" s="2608"/>
      <c r="GB87" s="2608"/>
      <c r="GE87" s="517"/>
      <c r="HI87" s="516"/>
      <c r="HO87" s="516"/>
      <c r="IR87" s="517"/>
      <c r="IT87" s="2638"/>
      <c r="IU87" s="2638"/>
      <c r="IV87" s="2638"/>
      <c r="IW87" s="2638"/>
      <c r="IX87" s="2638"/>
      <c r="IY87" s="2638"/>
      <c r="IZ87" s="2638"/>
      <c r="JA87" s="2638"/>
      <c r="JB87" s="2638"/>
      <c r="JC87" s="2638"/>
      <c r="JD87" s="2638"/>
    </row>
    <row r="88" spans="17:264" ht="4.1500000000000004" customHeight="1">
      <c r="Q88" s="516"/>
      <c r="V88" s="516"/>
      <c r="X88" s="516"/>
      <c r="CI88" s="517"/>
      <c r="CJ88" s="2686"/>
      <c r="CK88" s="2687"/>
      <c r="CL88" s="662"/>
      <c r="CM88" s="662"/>
      <c r="CN88" s="662"/>
      <c r="CO88" s="662"/>
      <c r="CP88" s="662"/>
      <c r="CQ88" s="663"/>
      <c r="CR88" s="662"/>
      <c r="CS88" s="662"/>
      <c r="CT88" s="662"/>
      <c r="CU88" s="662"/>
      <c r="CV88" s="662"/>
      <c r="CW88" s="662"/>
      <c r="CX88" s="663"/>
      <c r="CY88" s="662"/>
      <c r="FK88" s="516"/>
      <c r="FO88" s="2608"/>
      <c r="FP88" s="2608"/>
      <c r="FQ88" s="2608"/>
      <c r="FR88" s="2608"/>
      <c r="FS88" s="2608"/>
      <c r="FT88" s="2608"/>
      <c r="FU88" s="2608"/>
      <c r="FV88" s="2608"/>
      <c r="FW88" s="2608"/>
      <c r="FX88" s="2608"/>
      <c r="FY88" s="2608"/>
      <c r="FZ88" s="2608"/>
      <c r="GA88" s="2608"/>
      <c r="GB88" s="2608"/>
      <c r="GE88" s="517"/>
      <c r="HF88" s="532"/>
      <c r="HG88" s="532"/>
      <c r="HH88" s="532"/>
      <c r="HI88" s="530"/>
      <c r="HJ88" s="532"/>
      <c r="HK88" s="532"/>
      <c r="HL88" s="532"/>
      <c r="HO88" s="530"/>
      <c r="HP88" s="532"/>
      <c r="HQ88" s="532"/>
      <c r="HR88" s="532"/>
      <c r="HS88" s="532"/>
      <c r="HT88" s="532"/>
      <c r="HU88" s="532"/>
      <c r="HV88" s="532"/>
      <c r="HW88" s="532"/>
      <c r="HX88" s="532"/>
      <c r="HY88" s="532"/>
      <c r="HZ88" s="532"/>
      <c r="IA88" s="532"/>
      <c r="IB88" s="532"/>
      <c r="IC88" s="532"/>
      <c r="ID88" s="532"/>
      <c r="IE88" s="532"/>
      <c r="IF88" s="532"/>
      <c r="IG88" s="532"/>
      <c r="IH88" s="532"/>
      <c r="II88" s="532"/>
      <c r="IJ88" s="532"/>
      <c r="IK88" s="532"/>
      <c r="IL88" s="532"/>
      <c r="IM88" s="532"/>
      <c r="IN88" s="532"/>
      <c r="IO88" s="532"/>
      <c r="IP88" s="532"/>
      <c r="IQ88" s="532"/>
      <c r="IR88" s="531"/>
      <c r="IT88" s="2640"/>
      <c r="IU88" s="2640"/>
      <c r="IV88" s="2640"/>
      <c r="IW88" s="2640"/>
      <c r="IX88" s="2640"/>
      <c r="IY88" s="2640"/>
      <c r="IZ88" s="2640"/>
      <c r="JA88" s="2640"/>
      <c r="JB88" s="2640"/>
      <c r="JC88" s="2640"/>
      <c r="JD88" s="2640"/>
    </row>
    <row r="89" spans="17:264" ht="4.1500000000000004" customHeight="1">
      <c r="Q89" s="516"/>
      <c r="V89" s="516"/>
      <c r="X89" s="516"/>
      <c r="CI89" s="517"/>
      <c r="CJ89" s="2686"/>
      <c r="CK89" s="2687"/>
      <c r="CL89" s="662"/>
      <c r="CM89" s="662"/>
      <c r="CN89" s="662"/>
      <c r="CO89" s="662"/>
      <c r="CP89" s="662"/>
      <c r="CQ89" s="663"/>
      <c r="CR89" s="662"/>
      <c r="CS89" s="662"/>
      <c r="CT89" s="662"/>
      <c r="CU89" s="662"/>
      <c r="CV89" s="662"/>
      <c r="CW89" s="662"/>
      <c r="CX89" s="663"/>
      <c r="CY89" s="662"/>
      <c r="II89" s="514"/>
      <c r="IJ89" s="514"/>
      <c r="IK89" s="514"/>
      <c r="IL89" s="514"/>
      <c r="IM89" s="514"/>
      <c r="IN89" s="514"/>
      <c r="IO89" s="514"/>
      <c r="IP89" s="514"/>
      <c r="IQ89" s="514"/>
      <c r="IR89" s="514"/>
    </row>
    <row r="90" spans="17:264" ht="4.1500000000000004" customHeight="1">
      <c r="Q90" s="516"/>
      <c r="V90" s="516"/>
      <c r="X90" s="516"/>
      <c r="CI90" s="517"/>
      <c r="CJ90" s="2686"/>
      <c r="CK90" s="2687"/>
      <c r="CL90" s="662"/>
      <c r="CM90" s="662"/>
      <c r="CN90" s="662"/>
      <c r="CO90" s="662"/>
      <c r="CP90" s="662"/>
      <c r="CQ90" s="663"/>
      <c r="CR90" s="662"/>
      <c r="CS90" s="662"/>
      <c r="CT90" s="662"/>
      <c r="CU90" s="662"/>
      <c r="CV90" s="662"/>
      <c r="CW90" s="662"/>
      <c r="CX90" s="663"/>
      <c r="CY90" s="662"/>
    </row>
    <row r="91" spans="17:264" ht="4.1500000000000004" customHeight="1">
      <c r="Q91" s="516"/>
      <c r="V91" s="516"/>
      <c r="X91" s="516"/>
      <c r="CI91" s="517"/>
      <c r="CJ91" s="662"/>
      <c r="CK91" s="664"/>
      <c r="CL91" s="662"/>
      <c r="CM91" s="662"/>
      <c r="CN91" s="662"/>
      <c r="CO91" s="662"/>
      <c r="CP91" s="662"/>
      <c r="CQ91" s="663"/>
      <c r="CR91" s="662"/>
      <c r="CS91" s="662"/>
      <c r="CT91" s="662"/>
      <c r="CU91" s="662"/>
      <c r="CV91" s="662"/>
      <c r="CW91" s="662"/>
      <c r="CX91" s="663"/>
      <c r="CY91" s="662"/>
      <c r="HO91" s="516"/>
      <c r="HW91" s="2596">
        <v>1.2</v>
      </c>
      <c r="HX91" s="2596"/>
      <c r="HY91" s="2596"/>
      <c r="HZ91" s="2596"/>
      <c r="IA91" s="2596"/>
      <c r="IB91" s="2596"/>
      <c r="IC91" s="2596"/>
      <c r="ID91" s="2596"/>
      <c r="IE91" s="2596"/>
      <c r="IF91" s="2596"/>
      <c r="IG91" s="2596"/>
      <c r="IH91" s="2596"/>
      <c r="IR91" s="517"/>
    </row>
    <row r="92" spans="17:264" ht="4.1500000000000004" customHeight="1">
      <c r="Q92" s="516"/>
      <c r="V92" s="516"/>
      <c r="X92" s="516"/>
      <c r="AT92" s="2642" t="s">
        <v>2979</v>
      </c>
      <c r="AU92" s="2642"/>
      <c r="AV92" s="2642"/>
      <c r="AW92" s="2642"/>
      <c r="AX92" s="2642"/>
      <c r="AY92" s="2642"/>
      <c r="AZ92" s="2642"/>
      <c r="BA92" s="2642"/>
      <c r="BB92" s="2642"/>
      <c r="BC92" s="2642"/>
      <c r="BD92" s="2642"/>
      <c r="BE92" s="2642"/>
      <c r="BF92" s="2642"/>
      <c r="BG92" s="2642"/>
      <c r="BH92" s="2642"/>
      <c r="BI92" s="2642"/>
      <c r="BJ92" s="2642"/>
      <c r="BK92" s="2642"/>
      <c r="CI92" s="517"/>
      <c r="CJ92" s="662"/>
      <c r="CK92" s="664"/>
      <c r="CL92" s="662"/>
      <c r="CM92" s="662"/>
      <c r="CN92" s="662"/>
      <c r="CO92" s="662"/>
      <c r="CP92" s="662"/>
      <c r="CQ92" s="663"/>
      <c r="CR92" s="662"/>
      <c r="CS92" s="662"/>
      <c r="CT92" s="662"/>
      <c r="CU92" s="662"/>
      <c r="CV92" s="662"/>
      <c r="CW92" s="662"/>
      <c r="CX92" s="663"/>
      <c r="CY92" s="662"/>
      <c r="HO92" s="530"/>
      <c r="HP92" s="532"/>
      <c r="HQ92" s="532"/>
      <c r="HR92" s="532"/>
      <c r="HS92" s="532"/>
      <c r="HT92" s="532"/>
      <c r="HU92" s="532"/>
      <c r="HV92" s="532"/>
      <c r="HW92" s="2596"/>
      <c r="HX92" s="2596"/>
      <c r="HY92" s="2596"/>
      <c r="HZ92" s="2596"/>
      <c r="IA92" s="2596"/>
      <c r="IB92" s="2596"/>
      <c r="IC92" s="2596"/>
      <c r="ID92" s="2596"/>
      <c r="IE92" s="2596"/>
      <c r="IF92" s="2596"/>
      <c r="IG92" s="2596"/>
      <c r="IH92" s="2596"/>
      <c r="II92" s="532"/>
      <c r="IJ92" s="532"/>
      <c r="IK92" s="532"/>
      <c r="IL92" s="532"/>
      <c r="IM92" s="532"/>
      <c r="IN92" s="532"/>
      <c r="IO92" s="532"/>
      <c r="IP92" s="532"/>
      <c r="IQ92" s="532"/>
      <c r="IR92" s="531"/>
    </row>
    <row r="93" spans="17:264" ht="4.1500000000000004" customHeight="1">
      <c r="Q93" s="516"/>
      <c r="V93" s="516"/>
      <c r="X93" s="516"/>
      <c r="AT93" s="2642"/>
      <c r="AU93" s="2642"/>
      <c r="AV93" s="2642"/>
      <c r="AW93" s="2642"/>
      <c r="AX93" s="2642"/>
      <c r="AY93" s="2642"/>
      <c r="AZ93" s="2642"/>
      <c r="BA93" s="2642"/>
      <c r="BB93" s="2642"/>
      <c r="BC93" s="2642"/>
      <c r="BD93" s="2642"/>
      <c r="BE93" s="2642"/>
      <c r="BF93" s="2642"/>
      <c r="BG93" s="2642"/>
      <c r="BH93" s="2642"/>
      <c r="BI93" s="2642"/>
      <c r="BJ93" s="2642"/>
      <c r="BK93" s="2642"/>
      <c r="CI93" s="517"/>
      <c r="CJ93" s="662"/>
      <c r="CK93" s="664"/>
      <c r="CL93" s="662"/>
      <c r="CM93" s="662"/>
      <c r="CN93" s="662"/>
      <c r="CO93" s="662"/>
      <c r="CP93" s="662"/>
      <c r="CQ93" s="663"/>
      <c r="CR93" s="662"/>
      <c r="CS93" s="662"/>
      <c r="CT93" s="662"/>
      <c r="CU93" s="662"/>
      <c r="CV93" s="662"/>
      <c r="CW93" s="662"/>
      <c r="CX93" s="663"/>
      <c r="CY93" s="662"/>
      <c r="HO93" s="516"/>
      <c r="HW93" s="2596"/>
      <c r="HX93" s="2596"/>
      <c r="HY93" s="2596"/>
      <c r="HZ93" s="2596"/>
      <c r="IA93" s="2596"/>
      <c r="IB93" s="2596"/>
      <c r="IC93" s="2596"/>
      <c r="ID93" s="2596"/>
      <c r="IE93" s="2596"/>
      <c r="IF93" s="2596"/>
      <c r="IG93" s="2596"/>
      <c r="IH93" s="2596"/>
      <c r="IR93" s="517"/>
    </row>
    <row r="94" spans="17:264" ht="4.1500000000000004" customHeight="1">
      <c r="Q94" s="516"/>
      <c r="V94" s="516"/>
      <c r="X94" s="516"/>
      <c r="AT94" s="2642"/>
      <c r="AU94" s="2642"/>
      <c r="AV94" s="2642"/>
      <c r="AW94" s="2642"/>
      <c r="AX94" s="2642"/>
      <c r="AY94" s="2642"/>
      <c r="AZ94" s="2642"/>
      <c r="BA94" s="2642"/>
      <c r="BB94" s="2642"/>
      <c r="BC94" s="2642"/>
      <c r="BD94" s="2642"/>
      <c r="BE94" s="2642"/>
      <c r="BF94" s="2642"/>
      <c r="BG94" s="2642"/>
      <c r="BH94" s="2642"/>
      <c r="BI94" s="2642"/>
      <c r="BJ94" s="2642"/>
      <c r="BK94" s="2642"/>
      <c r="CI94" s="517"/>
      <c r="CJ94" s="662"/>
      <c r="CK94" s="664"/>
      <c r="CL94" s="662"/>
      <c r="CM94" s="662"/>
      <c r="CN94" s="662"/>
      <c r="CO94" s="662"/>
      <c r="CP94" s="662"/>
      <c r="CQ94" s="663"/>
      <c r="CR94" s="662"/>
      <c r="CS94" s="662"/>
      <c r="CT94" s="662"/>
      <c r="CU94" s="662"/>
      <c r="CV94" s="662"/>
      <c r="CW94" s="662"/>
      <c r="CX94" s="663"/>
      <c r="CY94" s="662"/>
    </row>
    <row r="95" spans="17:264" ht="4.1500000000000004" customHeight="1">
      <c r="Q95" s="516"/>
      <c r="V95" s="516"/>
      <c r="X95" s="516"/>
      <c r="AT95" s="2762">
        <v>3.65</v>
      </c>
      <c r="AU95" s="2762"/>
      <c r="AV95" s="2762"/>
      <c r="AW95" s="2762"/>
      <c r="AX95" s="2762"/>
      <c r="AY95" s="2762"/>
      <c r="AZ95" s="2762"/>
      <c r="BA95" s="2762" t="s">
        <v>901</v>
      </c>
      <c r="BB95" s="2762"/>
      <c r="BC95" s="2762"/>
      <c r="BD95" s="2762"/>
      <c r="BE95" s="2762">
        <v>3</v>
      </c>
      <c r="BF95" s="2762"/>
      <c r="BG95" s="2762"/>
      <c r="BH95" s="2762"/>
      <c r="BI95" s="2762"/>
      <c r="BJ95" s="2762"/>
      <c r="BK95" s="2762"/>
      <c r="CI95" s="517"/>
      <c r="CJ95" s="662"/>
      <c r="CK95" s="664"/>
      <c r="CL95" s="662"/>
      <c r="CM95" s="662"/>
      <c r="CN95" s="662"/>
      <c r="CO95" s="2681">
        <f>BE95+CJ84</f>
        <v>3.25</v>
      </c>
      <c r="CP95" s="2682"/>
      <c r="CQ95" s="2682"/>
      <c r="CR95" s="2682"/>
      <c r="CS95" s="662"/>
      <c r="CT95" s="662"/>
      <c r="CU95" s="662"/>
      <c r="CV95" s="662"/>
      <c r="CW95" s="662"/>
      <c r="CX95" s="663"/>
      <c r="CY95" s="662"/>
      <c r="FH95" s="495"/>
      <c r="FI95" s="495"/>
      <c r="FJ95" s="495"/>
      <c r="FK95" s="495"/>
      <c r="FL95" s="495"/>
      <c r="FM95" s="495"/>
      <c r="FN95" s="495"/>
      <c r="FO95" s="495"/>
      <c r="FP95" s="495"/>
      <c r="FQ95" s="495"/>
      <c r="FR95" s="495"/>
      <c r="FS95" s="495"/>
      <c r="FT95" s="495"/>
      <c r="FU95" s="496"/>
      <c r="FV95" s="496"/>
      <c r="FW95" s="496"/>
      <c r="FX95" s="496"/>
      <c r="FY95" s="496"/>
      <c r="FZ95" s="496"/>
      <c r="GA95" s="496"/>
      <c r="GB95" s="496"/>
      <c r="GC95" s="2666">
        <v>0.3</v>
      </c>
      <c r="GD95" s="2657"/>
      <c r="GE95" s="2657"/>
      <c r="GF95" s="2657"/>
      <c r="GG95" s="2657"/>
      <c r="GH95" s="2657"/>
      <c r="GI95" s="2667"/>
      <c r="GJ95" s="2666">
        <f>GC95</f>
        <v>0.3</v>
      </c>
      <c r="GK95" s="2657"/>
      <c r="GL95" s="2657"/>
      <c r="GM95" s="2657"/>
      <c r="GN95" s="2657"/>
      <c r="GO95" s="2657"/>
      <c r="GP95" s="2667"/>
      <c r="GQ95" s="2666">
        <f>GJ95</f>
        <v>0.3</v>
      </c>
      <c r="GR95" s="2657"/>
      <c r="GS95" s="2657"/>
      <c r="GT95" s="2657"/>
      <c r="GU95" s="2657"/>
      <c r="GV95" s="2657"/>
      <c r="GW95" s="2667"/>
      <c r="GX95" s="496"/>
      <c r="GY95" s="496"/>
      <c r="GZ95" s="496"/>
      <c r="HA95" s="496"/>
      <c r="HB95" s="496"/>
      <c r="HC95" s="496"/>
      <c r="HD95" s="496"/>
      <c r="HE95" s="496"/>
    </row>
    <row r="96" spans="17:264" ht="4.1500000000000004" customHeight="1">
      <c r="Q96" s="516"/>
      <c r="V96" s="516"/>
      <c r="X96" s="516"/>
      <c r="AT96" s="2762"/>
      <c r="AU96" s="2762"/>
      <c r="AV96" s="2762"/>
      <c r="AW96" s="2762"/>
      <c r="AX96" s="2762"/>
      <c r="AY96" s="2762"/>
      <c r="AZ96" s="2762"/>
      <c r="BA96" s="2762"/>
      <c r="BB96" s="2762"/>
      <c r="BC96" s="2762"/>
      <c r="BD96" s="2762"/>
      <c r="BE96" s="2762"/>
      <c r="BF96" s="2762"/>
      <c r="BG96" s="2762"/>
      <c r="BH96" s="2762"/>
      <c r="BI96" s="2762"/>
      <c r="BJ96" s="2762"/>
      <c r="BK96" s="2762"/>
      <c r="CI96" s="517"/>
      <c r="CJ96" s="662"/>
      <c r="CK96" s="664"/>
      <c r="CL96" s="662"/>
      <c r="CM96" s="662"/>
      <c r="CN96" s="662"/>
      <c r="CO96" s="2682"/>
      <c r="CP96" s="2682"/>
      <c r="CQ96" s="2682"/>
      <c r="CR96" s="2682"/>
      <c r="CS96" s="662"/>
      <c r="CT96" s="662"/>
      <c r="CU96" s="662"/>
      <c r="CV96" s="662"/>
      <c r="CW96" s="662"/>
      <c r="CX96" s="663"/>
      <c r="CY96" s="662"/>
      <c r="FK96" s="495"/>
      <c r="FL96" s="495"/>
      <c r="FM96" s="495"/>
      <c r="FN96" s="495"/>
      <c r="FP96" s="2654" t="s">
        <v>2981</v>
      </c>
      <c r="FQ96" s="2654"/>
      <c r="FR96" s="2654"/>
      <c r="FS96" s="2654"/>
      <c r="FT96" s="2654"/>
      <c r="FU96" s="2654"/>
      <c r="FV96" s="496"/>
      <c r="FW96" s="496"/>
      <c r="FX96" s="496"/>
      <c r="FY96" s="496"/>
      <c r="FZ96" s="496"/>
      <c r="GA96" s="496"/>
      <c r="GB96" s="496"/>
      <c r="GC96" s="2666"/>
      <c r="GD96" s="2657"/>
      <c r="GE96" s="2657"/>
      <c r="GF96" s="2657"/>
      <c r="GG96" s="2657"/>
      <c r="GH96" s="2657"/>
      <c r="GI96" s="2667"/>
      <c r="GJ96" s="2666"/>
      <c r="GK96" s="2657"/>
      <c r="GL96" s="2657"/>
      <c r="GM96" s="2657"/>
      <c r="GN96" s="2657"/>
      <c r="GO96" s="2657"/>
      <c r="GP96" s="2667"/>
      <c r="GQ96" s="2666"/>
      <c r="GR96" s="2657"/>
      <c r="GS96" s="2657"/>
      <c r="GT96" s="2657"/>
      <c r="GU96" s="2657"/>
      <c r="GV96" s="2657"/>
      <c r="GW96" s="2667"/>
      <c r="GX96" s="496"/>
      <c r="GY96" s="496"/>
      <c r="GZ96" s="496"/>
      <c r="HA96" s="496"/>
      <c r="HB96" s="496"/>
      <c r="HC96" s="496"/>
      <c r="HD96" s="496"/>
      <c r="HE96" s="496"/>
    </row>
    <row r="97" spans="15:269" ht="4.1500000000000004" customHeight="1">
      <c r="Q97" s="516"/>
      <c r="V97" s="516"/>
      <c r="X97" s="516"/>
      <c r="AT97" s="2762"/>
      <c r="AU97" s="2762"/>
      <c r="AV97" s="2762"/>
      <c r="AW97" s="2762"/>
      <c r="AX97" s="2762"/>
      <c r="AY97" s="2762"/>
      <c r="AZ97" s="2762"/>
      <c r="BA97" s="2762"/>
      <c r="BB97" s="2762"/>
      <c r="BC97" s="2762"/>
      <c r="BD97" s="2762"/>
      <c r="BE97" s="2762"/>
      <c r="BF97" s="2762"/>
      <c r="BG97" s="2762"/>
      <c r="BH97" s="2762"/>
      <c r="BI97" s="2762"/>
      <c r="BJ97" s="2762"/>
      <c r="BK97" s="2762"/>
      <c r="CI97" s="517"/>
      <c r="CJ97" s="662"/>
      <c r="CK97" s="664"/>
      <c r="CL97" s="662"/>
      <c r="CM97" s="662"/>
      <c r="CN97" s="662"/>
      <c r="CO97" s="2682"/>
      <c r="CP97" s="2682"/>
      <c r="CQ97" s="2682"/>
      <c r="CR97" s="2682"/>
      <c r="CS97" s="662"/>
      <c r="CT97" s="662"/>
      <c r="CU97" s="662"/>
      <c r="CV97" s="662"/>
      <c r="CW97" s="662"/>
      <c r="CX97" s="663"/>
      <c r="CY97" s="662"/>
      <c r="FK97" s="495"/>
      <c r="FL97" s="495"/>
      <c r="FM97" s="495"/>
      <c r="FN97" s="495"/>
      <c r="FP97" s="2654"/>
      <c r="FQ97" s="2654"/>
      <c r="FR97" s="2654"/>
      <c r="FS97" s="2654"/>
      <c r="FT97" s="2654"/>
      <c r="FU97" s="2654"/>
      <c r="FV97" s="496"/>
      <c r="FW97" s="496"/>
      <c r="FX97" s="496"/>
      <c r="FY97" s="496"/>
      <c r="FZ97" s="496"/>
      <c r="GA97" s="496"/>
      <c r="GB97" s="496"/>
      <c r="GC97" s="2666"/>
      <c r="GD97" s="2657"/>
      <c r="GE97" s="2657"/>
      <c r="GF97" s="2657"/>
      <c r="GG97" s="2657"/>
      <c r="GH97" s="2657"/>
      <c r="GI97" s="2667"/>
      <c r="GJ97" s="2666"/>
      <c r="GK97" s="2657"/>
      <c r="GL97" s="2657"/>
      <c r="GM97" s="2657"/>
      <c r="GN97" s="2657"/>
      <c r="GO97" s="2657"/>
      <c r="GP97" s="2667"/>
      <c r="GQ97" s="2666"/>
      <c r="GR97" s="2657"/>
      <c r="GS97" s="2657"/>
      <c r="GT97" s="2657"/>
      <c r="GU97" s="2657"/>
      <c r="GV97" s="2657"/>
      <c r="GW97" s="2667"/>
      <c r="GX97" s="496"/>
      <c r="GY97" s="496"/>
      <c r="GZ97" s="496"/>
      <c r="HA97" s="496"/>
      <c r="HB97" s="496"/>
      <c r="HC97" s="496"/>
      <c r="HD97" s="496"/>
      <c r="HE97" s="496"/>
    </row>
    <row r="98" spans="15:269" ht="4.1500000000000004" customHeight="1">
      <c r="Q98" s="516"/>
      <c r="V98" s="516"/>
      <c r="X98" s="516"/>
      <c r="CI98" s="517"/>
      <c r="CJ98" s="662"/>
      <c r="CK98" s="664"/>
      <c r="CL98" s="662"/>
      <c r="CM98" s="662"/>
      <c r="CN98" s="662"/>
      <c r="CO98" s="2682"/>
      <c r="CP98" s="2682"/>
      <c r="CQ98" s="2682"/>
      <c r="CR98" s="2682"/>
      <c r="CS98" s="662"/>
      <c r="CT98" s="662"/>
      <c r="CU98" s="662"/>
      <c r="CV98" s="662"/>
      <c r="CW98" s="662"/>
      <c r="CX98" s="663"/>
      <c r="CY98" s="662"/>
      <c r="FK98" s="495"/>
      <c r="FL98" s="495"/>
      <c r="FM98" s="495"/>
      <c r="FN98" s="495"/>
      <c r="FP98" s="2655"/>
      <c r="FQ98" s="2655"/>
      <c r="FR98" s="2655"/>
      <c r="FS98" s="2655"/>
      <c r="FT98" s="2655"/>
      <c r="FU98" s="2655"/>
      <c r="FV98" s="496"/>
      <c r="FW98" s="496"/>
      <c r="FX98" s="496"/>
      <c r="FY98" s="496"/>
      <c r="FZ98" s="496"/>
      <c r="GA98" s="496"/>
      <c r="GB98" s="496"/>
      <c r="GC98" s="496"/>
      <c r="GD98" s="496"/>
      <c r="GE98" s="496"/>
      <c r="GF98" s="496"/>
      <c r="GG98" s="496"/>
      <c r="GH98" s="496"/>
      <c r="GI98" s="496"/>
      <c r="GJ98" s="496"/>
      <c r="GK98" s="496"/>
      <c r="GL98" s="496"/>
      <c r="GM98" s="496"/>
      <c r="GN98" s="496"/>
      <c r="GO98" s="496"/>
      <c r="GP98" s="496"/>
      <c r="GQ98" s="496"/>
      <c r="GR98" s="496"/>
      <c r="GS98" s="496"/>
      <c r="GT98" s="496"/>
      <c r="GU98" s="496"/>
      <c r="GV98" s="496"/>
      <c r="GW98" s="496"/>
      <c r="GX98" s="496"/>
      <c r="GY98" s="496"/>
      <c r="GZ98" s="496"/>
      <c r="HA98" s="496"/>
      <c r="HB98" s="496"/>
      <c r="HC98" s="496"/>
      <c r="HD98" s="496"/>
      <c r="HE98" s="496"/>
      <c r="HK98" s="2685" t="s">
        <v>1949</v>
      </c>
      <c r="HL98" s="2685"/>
      <c r="HM98" s="2685"/>
      <c r="HN98" s="2685"/>
      <c r="HO98" s="2685"/>
      <c r="HP98" s="2685"/>
      <c r="HQ98" s="2685"/>
      <c r="HR98" s="2685"/>
      <c r="HS98" s="2685"/>
      <c r="HT98" s="2685"/>
      <c r="HU98" s="2685"/>
      <c r="HV98" s="2685"/>
      <c r="HW98" s="2685"/>
      <c r="HX98" s="2685"/>
      <c r="HY98" s="2685"/>
      <c r="HZ98" s="2685"/>
      <c r="IA98" s="2685"/>
      <c r="IB98" s="2685"/>
      <c r="IC98" s="2685"/>
      <c r="ID98" s="2685"/>
      <c r="IE98" s="2685"/>
      <c r="IF98" s="2685"/>
      <c r="IG98" s="2685"/>
      <c r="IH98" s="2685"/>
      <c r="II98" s="2685"/>
      <c r="IJ98" s="2685"/>
      <c r="IK98" s="2685"/>
      <c r="IL98" s="2685"/>
      <c r="IM98" s="2685"/>
      <c r="IN98" s="2685"/>
      <c r="IO98" s="2685"/>
      <c r="IP98" s="2685"/>
      <c r="IQ98" s="2685"/>
      <c r="IR98" s="2685"/>
      <c r="IS98" s="2685"/>
      <c r="IT98" s="2685"/>
      <c r="IU98" s="2685"/>
      <c r="IV98" s="2685"/>
      <c r="IW98" s="2685"/>
      <c r="IX98" s="2685"/>
      <c r="IY98" s="2685"/>
      <c r="IZ98" s="2685"/>
      <c r="JA98" s="2685"/>
      <c r="JB98" s="2685"/>
      <c r="JC98" s="2685"/>
      <c r="JD98" s="2685"/>
      <c r="JE98" s="2685"/>
      <c r="JF98" s="2685"/>
      <c r="JG98" s="2685"/>
      <c r="JH98" s="2685"/>
      <c r="JI98" s="2685"/>
    </row>
    <row r="99" spans="15:269" ht="4.1500000000000004" customHeight="1">
      <c r="Q99" s="516"/>
      <c r="V99" s="516"/>
      <c r="X99" s="516"/>
      <c r="CI99" s="517"/>
      <c r="CJ99" s="662"/>
      <c r="CK99" s="664"/>
      <c r="CL99" s="662"/>
      <c r="CM99" s="662"/>
      <c r="CN99" s="662"/>
      <c r="CO99" s="2682"/>
      <c r="CP99" s="2682"/>
      <c r="CQ99" s="2682"/>
      <c r="CR99" s="2682"/>
      <c r="CS99" s="662"/>
      <c r="CT99" s="662"/>
      <c r="CU99" s="662"/>
      <c r="CV99" s="662"/>
      <c r="CW99" s="662"/>
      <c r="CX99" s="663"/>
      <c r="CY99" s="662"/>
      <c r="FH99" s="495"/>
      <c r="FI99" s="495"/>
      <c r="FJ99" s="495"/>
      <c r="FK99" s="495"/>
      <c r="FL99" s="495"/>
      <c r="FM99" s="495"/>
      <c r="FN99" s="495"/>
      <c r="FO99" s="495"/>
      <c r="FP99" s="495"/>
      <c r="FQ99" s="495"/>
      <c r="FR99" s="495"/>
      <c r="FS99" s="495"/>
      <c r="FT99" s="495"/>
      <c r="FU99" s="498"/>
      <c r="FV99" s="498"/>
      <c r="FW99" s="498"/>
      <c r="FX99" s="498"/>
      <c r="FY99" s="498"/>
      <c r="FZ99" s="498"/>
      <c r="GA99" s="498"/>
      <c r="GB99" s="499"/>
      <c r="GC99" s="496"/>
      <c r="GD99" s="496"/>
      <c r="GE99" s="496"/>
      <c r="GF99" s="496"/>
      <c r="GG99" s="496"/>
      <c r="GH99" s="496"/>
      <c r="GI99" s="496"/>
      <c r="GJ99" s="496"/>
      <c r="GK99" s="496"/>
      <c r="GL99" s="496"/>
      <c r="GM99" s="496"/>
      <c r="GN99" s="496"/>
      <c r="GO99" s="496"/>
      <c r="GP99" s="496"/>
      <c r="GQ99" s="496"/>
      <c r="GR99" s="496"/>
      <c r="GS99" s="496"/>
      <c r="GT99" s="496"/>
      <c r="GU99" s="496"/>
      <c r="GV99" s="496"/>
      <c r="GW99" s="2846">
        <v>0.2</v>
      </c>
      <c r="GX99" s="2846"/>
      <c r="GY99" s="2846"/>
      <c r="GZ99" s="2846"/>
      <c r="HA99" s="2846"/>
      <c r="HB99" s="2846"/>
      <c r="HC99" s="2846"/>
      <c r="HD99" s="2846"/>
      <c r="HE99" s="2846"/>
      <c r="HK99" s="2685"/>
      <c r="HL99" s="2685"/>
      <c r="HM99" s="2685"/>
      <c r="HN99" s="2685"/>
      <c r="HO99" s="2685"/>
      <c r="HP99" s="2685"/>
      <c r="HQ99" s="2685"/>
      <c r="HR99" s="2685"/>
      <c r="HS99" s="2685"/>
      <c r="HT99" s="2685"/>
      <c r="HU99" s="2685"/>
      <c r="HV99" s="2685"/>
      <c r="HW99" s="2685"/>
      <c r="HX99" s="2685"/>
      <c r="HY99" s="2685"/>
      <c r="HZ99" s="2685"/>
      <c r="IA99" s="2685"/>
      <c r="IB99" s="2685"/>
      <c r="IC99" s="2685"/>
      <c r="ID99" s="2685"/>
      <c r="IE99" s="2685"/>
      <c r="IF99" s="2685"/>
      <c r="IG99" s="2685"/>
      <c r="IH99" s="2685"/>
      <c r="II99" s="2685"/>
      <c r="IJ99" s="2685"/>
      <c r="IK99" s="2685"/>
      <c r="IL99" s="2685"/>
      <c r="IM99" s="2685"/>
      <c r="IN99" s="2685"/>
      <c r="IO99" s="2685"/>
      <c r="IP99" s="2685"/>
      <c r="IQ99" s="2685"/>
      <c r="IR99" s="2685"/>
      <c r="IS99" s="2685"/>
      <c r="IT99" s="2685"/>
      <c r="IU99" s="2685"/>
      <c r="IV99" s="2685"/>
      <c r="IW99" s="2685"/>
      <c r="IX99" s="2685"/>
      <c r="IY99" s="2685"/>
      <c r="IZ99" s="2685"/>
      <c r="JA99" s="2685"/>
      <c r="JB99" s="2685"/>
      <c r="JC99" s="2685"/>
      <c r="JD99" s="2685"/>
      <c r="JE99" s="2685"/>
      <c r="JF99" s="2685"/>
      <c r="JG99" s="2685"/>
      <c r="JH99" s="2685"/>
      <c r="JI99" s="2685"/>
    </row>
    <row r="100" spans="15:269" ht="4.1500000000000004" customHeight="1">
      <c r="Q100" s="516"/>
      <c r="V100" s="516"/>
      <c r="X100" s="516"/>
      <c r="CI100" s="517"/>
      <c r="CJ100" s="662"/>
      <c r="CK100" s="664"/>
      <c r="CL100" s="662"/>
      <c r="CM100" s="662"/>
      <c r="CN100" s="662"/>
      <c r="CO100" s="2682"/>
      <c r="CP100" s="2682"/>
      <c r="CQ100" s="2682"/>
      <c r="CR100" s="2682"/>
      <c r="CS100" s="662"/>
      <c r="CT100" s="662"/>
      <c r="CU100" s="662"/>
      <c r="CV100" s="662"/>
      <c r="CW100" s="662"/>
      <c r="CX100" s="663"/>
      <c r="CY100" s="662"/>
      <c r="FH100" s="495"/>
      <c r="FI100" s="495"/>
      <c r="FJ100" s="495"/>
      <c r="FK100" s="495"/>
      <c r="FL100" s="495"/>
      <c r="FM100" s="495"/>
      <c r="FN100" s="495"/>
      <c r="FO100" s="495"/>
      <c r="FP100" s="495"/>
      <c r="FQ100" s="495"/>
      <c r="FR100" s="495"/>
      <c r="FS100" s="495"/>
      <c r="FT100" s="495"/>
      <c r="FU100" s="496"/>
      <c r="FV100" s="496"/>
      <c r="FW100" s="496"/>
      <c r="FX100" s="496"/>
      <c r="FY100" s="496"/>
      <c r="FZ100" s="496"/>
      <c r="GA100" s="496"/>
      <c r="GB100" s="500"/>
      <c r="GC100" s="496"/>
      <c r="GD100" s="496"/>
      <c r="GE100" s="496"/>
      <c r="GF100" s="496"/>
      <c r="GG100" s="496"/>
      <c r="GH100" s="496"/>
      <c r="GI100" s="496"/>
      <c r="GJ100" s="496"/>
      <c r="GK100" s="496"/>
      <c r="GL100" s="496"/>
      <c r="GM100" s="496"/>
      <c r="GN100" s="496"/>
      <c r="GO100" s="496"/>
      <c r="GP100" s="496"/>
      <c r="GQ100" s="496"/>
      <c r="GR100" s="496"/>
      <c r="GS100" s="496"/>
      <c r="GT100" s="496"/>
      <c r="GU100" s="496"/>
      <c r="GV100" s="496"/>
      <c r="GW100" s="2847"/>
      <c r="GX100" s="2847"/>
      <c r="GY100" s="2847"/>
      <c r="GZ100" s="2847"/>
      <c r="HA100" s="2847"/>
      <c r="HB100" s="2847"/>
      <c r="HC100" s="2847"/>
      <c r="HD100" s="2847"/>
      <c r="HE100" s="2847"/>
      <c r="HK100" s="2685"/>
      <c r="HL100" s="2685"/>
      <c r="HM100" s="2685"/>
      <c r="HN100" s="2685"/>
      <c r="HO100" s="2685"/>
      <c r="HP100" s="2685"/>
      <c r="HQ100" s="2685"/>
      <c r="HR100" s="2685"/>
      <c r="HS100" s="2685"/>
      <c r="HT100" s="2685"/>
      <c r="HU100" s="2685"/>
      <c r="HV100" s="2685"/>
      <c r="HW100" s="2685"/>
      <c r="HX100" s="2685"/>
      <c r="HY100" s="2685"/>
      <c r="HZ100" s="2685"/>
      <c r="IA100" s="2685"/>
      <c r="IB100" s="2685"/>
      <c r="IC100" s="2685"/>
      <c r="ID100" s="2685"/>
      <c r="IE100" s="2685"/>
      <c r="IF100" s="2685"/>
      <c r="IG100" s="2685"/>
      <c r="IH100" s="2685"/>
      <c r="II100" s="2685"/>
      <c r="IJ100" s="2685"/>
      <c r="IK100" s="2685"/>
      <c r="IL100" s="2685"/>
      <c r="IM100" s="2685"/>
      <c r="IN100" s="2685"/>
      <c r="IO100" s="2685"/>
      <c r="IP100" s="2685"/>
      <c r="IQ100" s="2685"/>
      <c r="IR100" s="2685"/>
      <c r="IS100" s="2685"/>
      <c r="IT100" s="2685"/>
      <c r="IU100" s="2685"/>
      <c r="IV100" s="2685"/>
      <c r="IW100" s="2685"/>
      <c r="IX100" s="2685"/>
      <c r="IY100" s="2685"/>
      <c r="IZ100" s="2685"/>
      <c r="JA100" s="2685"/>
      <c r="JB100" s="2685"/>
      <c r="JC100" s="2685"/>
      <c r="JD100" s="2685"/>
      <c r="JE100" s="2685"/>
      <c r="JF100" s="2685"/>
      <c r="JG100" s="2685"/>
      <c r="JH100" s="2685"/>
      <c r="JI100" s="2685"/>
    </row>
    <row r="101" spans="15:269" ht="4.1500000000000004" customHeight="1">
      <c r="Q101" s="516"/>
      <c r="V101" s="516"/>
      <c r="X101" s="516"/>
      <c r="CI101" s="517"/>
      <c r="CJ101" s="662"/>
      <c r="CK101" s="664"/>
      <c r="CL101" s="662"/>
      <c r="CM101" s="662"/>
      <c r="CN101" s="662"/>
      <c r="CO101" s="2682"/>
      <c r="CP101" s="2682"/>
      <c r="CQ101" s="2682"/>
      <c r="CR101" s="2682"/>
      <c r="CS101" s="662"/>
      <c r="CT101" s="662"/>
      <c r="CU101" s="662"/>
      <c r="CV101" s="662"/>
      <c r="CW101" s="662"/>
      <c r="CX101" s="663"/>
      <c r="CY101" s="662"/>
      <c r="FH101" s="495"/>
      <c r="FI101" s="495"/>
      <c r="FJ101" s="495"/>
      <c r="FK101" s="495"/>
      <c r="FL101" s="495"/>
      <c r="FM101" s="495"/>
      <c r="FN101" s="495"/>
      <c r="FO101" s="495"/>
      <c r="FP101" s="495"/>
      <c r="FQ101" s="495"/>
      <c r="FR101" s="495"/>
      <c r="FS101" s="495"/>
      <c r="FT101" s="495"/>
      <c r="FU101" s="496"/>
      <c r="FV101" s="496"/>
      <c r="FW101" s="496"/>
      <c r="FX101" s="496"/>
      <c r="FY101" s="496"/>
      <c r="FZ101" s="496"/>
      <c r="GA101" s="496"/>
      <c r="GB101" s="500"/>
      <c r="GC101" s="496"/>
      <c r="GD101" s="496"/>
      <c r="GE101" s="496"/>
      <c r="GF101" s="496"/>
      <c r="GG101" s="496"/>
      <c r="GH101" s="496"/>
      <c r="GI101" s="496"/>
      <c r="GJ101" s="496"/>
      <c r="GK101" s="496"/>
      <c r="GL101" s="496"/>
      <c r="GM101" s="496"/>
      <c r="GN101" s="496"/>
      <c r="GO101" s="496"/>
      <c r="GP101" s="496"/>
      <c r="GQ101" s="496"/>
      <c r="GR101" s="496"/>
      <c r="GS101" s="496"/>
      <c r="GT101" s="496"/>
      <c r="GU101" s="496"/>
      <c r="GV101" s="496"/>
      <c r="GW101" s="2848"/>
      <c r="GX101" s="2848"/>
      <c r="GY101" s="2848"/>
      <c r="GZ101" s="2848"/>
      <c r="HA101" s="2848"/>
      <c r="HB101" s="2848"/>
      <c r="HC101" s="2848"/>
      <c r="HD101" s="2848"/>
      <c r="HE101" s="2848"/>
      <c r="HK101" s="2685"/>
      <c r="HL101" s="2685"/>
      <c r="HM101" s="2685"/>
      <c r="HN101" s="2685"/>
      <c r="HO101" s="2685"/>
      <c r="HP101" s="2685"/>
      <c r="HQ101" s="2685"/>
      <c r="HR101" s="2685"/>
      <c r="HS101" s="2685"/>
      <c r="HT101" s="2685"/>
      <c r="HU101" s="2685"/>
      <c r="HV101" s="2685"/>
      <c r="HW101" s="2685"/>
      <c r="HX101" s="2685"/>
      <c r="HY101" s="2685"/>
      <c r="HZ101" s="2685"/>
      <c r="IA101" s="2685"/>
      <c r="IB101" s="2685"/>
      <c r="IC101" s="2685"/>
      <c r="ID101" s="2685"/>
      <c r="IE101" s="2685"/>
      <c r="IF101" s="2685"/>
      <c r="IG101" s="2685"/>
      <c r="IH101" s="2685"/>
      <c r="II101" s="2685"/>
      <c r="IJ101" s="2685"/>
      <c r="IK101" s="2685"/>
      <c r="IL101" s="2685"/>
      <c r="IM101" s="2685"/>
      <c r="IN101" s="2685"/>
      <c r="IO101" s="2685"/>
      <c r="IP101" s="2685"/>
      <c r="IQ101" s="2685"/>
      <c r="IR101" s="2685"/>
      <c r="IS101" s="2685"/>
      <c r="IT101" s="2685"/>
      <c r="IU101" s="2685"/>
      <c r="IV101" s="2685"/>
      <c r="IW101" s="2685"/>
      <c r="IX101" s="2685"/>
      <c r="IY101" s="2685"/>
      <c r="IZ101" s="2685"/>
      <c r="JA101" s="2685"/>
      <c r="JB101" s="2685"/>
      <c r="JC101" s="2685"/>
      <c r="JD101" s="2685"/>
      <c r="JE101" s="2685"/>
      <c r="JF101" s="2685"/>
      <c r="JG101" s="2685"/>
      <c r="JH101" s="2685"/>
      <c r="JI101" s="2685"/>
    </row>
    <row r="102" spans="15:269" ht="4.1500000000000004" customHeight="1">
      <c r="Q102" s="516"/>
      <c r="V102" s="516"/>
      <c r="X102" s="516"/>
      <c r="CI102" s="517"/>
      <c r="CJ102" s="662"/>
      <c r="CK102" s="664"/>
      <c r="CL102" s="662"/>
      <c r="CM102" s="662"/>
      <c r="CN102" s="662"/>
      <c r="CO102" s="2682"/>
      <c r="CP102" s="2682"/>
      <c r="CQ102" s="2682"/>
      <c r="CR102" s="2682"/>
      <c r="CS102" s="662"/>
      <c r="CT102" s="662"/>
      <c r="CU102" s="662"/>
      <c r="CV102" s="662"/>
      <c r="CW102" s="662"/>
      <c r="CX102" s="663"/>
      <c r="CY102" s="662"/>
      <c r="FH102" s="495"/>
      <c r="FI102" s="495"/>
      <c r="FJ102" s="495"/>
      <c r="FK102" s="495"/>
      <c r="FL102" s="495"/>
      <c r="FM102" s="495"/>
      <c r="FN102" s="495"/>
      <c r="FO102" s="495"/>
      <c r="FP102" s="495"/>
      <c r="FQ102" s="495"/>
      <c r="FR102" s="495"/>
      <c r="FS102" s="495"/>
      <c r="FT102" s="495"/>
      <c r="FU102" s="496"/>
      <c r="FV102" s="496"/>
      <c r="FW102" s="496"/>
      <c r="FX102" s="496"/>
      <c r="FY102" s="496"/>
      <c r="FZ102" s="496"/>
      <c r="GA102" s="496"/>
      <c r="GB102" s="500"/>
      <c r="GC102" s="501"/>
      <c r="GD102" s="498"/>
      <c r="GE102" s="498"/>
      <c r="GF102" s="498"/>
      <c r="GG102" s="498"/>
      <c r="GH102" s="498"/>
      <c r="GI102" s="499"/>
      <c r="GJ102" s="496"/>
      <c r="GK102" s="496"/>
      <c r="GL102" s="496"/>
      <c r="GM102" s="496"/>
      <c r="GN102" s="496"/>
      <c r="GO102" s="496"/>
      <c r="GP102" s="496"/>
      <c r="GQ102" s="496"/>
      <c r="GR102" s="496"/>
      <c r="GS102" s="496"/>
      <c r="GT102" s="496"/>
      <c r="GU102" s="496"/>
      <c r="GV102" s="496"/>
      <c r="GW102" s="2846">
        <f>GW99</f>
        <v>0.2</v>
      </c>
      <c r="GX102" s="2846"/>
      <c r="GY102" s="2846"/>
      <c r="GZ102" s="2846"/>
      <c r="HA102" s="2846"/>
      <c r="HB102" s="2846"/>
      <c r="HC102" s="2846"/>
      <c r="HD102" s="2846"/>
      <c r="HE102" s="2846"/>
      <c r="HK102" s="2676" t="s">
        <v>291</v>
      </c>
      <c r="HL102" s="2676"/>
      <c r="HM102" s="2676"/>
      <c r="HN102" s="2676"/>
      <c r="HO102" s="2676"/>
      <c r="HP102" s="2676"/>
      <c r="HQ102" s="2676"/>
      <c r="HR102" s="2676"/>
      <c r="HS102" s="2676"/>
      <c r="HT102" s="2676"/>
      <c r="HU102" s="2676"/>
      <c r="HV102" s="2676"/>
      <c r="HW102" s="2678">
        <v>1</v>
      </c>
      <c r="HX102" s="2678"/>
      <c r="HY102" s="2678"/>
      <c r="HZ102" s="2678"/>
      <c r="IA102" s="2678"/>
      <c r="IB102" s="2678"/>
      <c r="IC102" s="2678"/>
      <c r="ID102" s="2678"/>
      <c r="IE102" s="2678"/>
      <c r="IF102" s="2678"/>
      <c r="IG102" s="2678"/>
      <c r="IH102" s="2676" t="s">
        <v>901</v>
      </c>
      <c r="II102" s="2676"/>
      <c r="IJ102" s="2676"/>
      <c r="IK102" s="2676"/>
      <c r="IL102" s="2677">
        <v>1.05</v>
      </c>
      <c r="IM102" s="2677"/>
      <c r="IN102" s="2677"/>
      <c r="IO102" s="2677"/>
      <c r="IP102" s="2677"/>
      <c r="IQ102" s="2677"/>
      <c r="IR102" s="2677"/>
      <c r="IS102" s="2677"/>
      <c r="IT102" s="2677"/>
      <c r="IU102" s="2677"/>
      <c r="IV102" s="2677"/>
      <c r="IW102" s="2676" t="s">
        <v>901</v>
      </c>
      <c r="IX102" s="2676"/>
      <c r="IY102" s="2676"/>
      <c r="IZ102" s="2676"/>
      <c r="JA102" s="2677">
        <v>2.1</v>
      </c>
      <c r="JB102" s="2677"/>
      <c r="JC102" s="2677"/>
      <c r="JD102" s="2677"/>
      <c r="JE102" s="2677"/>
      <c r="JF102" s="2677"/>
      <c r="JG102" s="2677"/>
      <c r="JH102" s="2677"/>
      <c r="JI102" s="2677"/>
    </row>
    <row r="103" spans="15:269" ht="4.1500000000000004" customHeight="1">
      <c r="Q103" s="516"/>
      <c r="V103" s="516"/>
      <c r="X103" s="516"/>
      <c r="CI103" s="517"/>
      <c r="CJ103" s="662"/>
      <c r="CK103" s="664"/>
      <c r="CL103" s="662"/>
      <c r="CM103" s="662"/>
      <c r="CN103" s="662"/>
      <c r="CO103" s="2682"/>
      <c r="CP103" s="2682"/>
      <c r="CQ103" s="2682"/>
      <c r="CR103" s="2682"/>
      <c r="CS103" s="662"/>
      <c r="CT103" s="662"/>
      <c r="CU103" s="662"/>
      <c r="CV103" s="662"/>
      <c r="CW103" s="662"/>
      <c r="CX103" s="663"/>
      <c r="CY103" s="662"/>
      <c r="FH103" s="495"/>
      <c r="FI103" s="495"/>
      <c r="FJ103" s="495"/>
      <c r="FK103" s="495"/>
      <c r="FL103" s="495"/>
      <c r="FM103" s="495"/>
      <c r="FN103" s="495"/>
      <c r="FO103" s="495"/>
      <c r="FP103" s="495"/>
      <c r="FQ103" s="495"/>
      <c r="FR103" s="495"/>
      <c r="FS103" s="495"/>
      <c r="FT103" s="495"/>
      <c r="FU103" s="496"/>
      <c r="FV103" s="496"/>
      <c r="FW103" s="496"/>
      <c r="FX103" s="496"/>
      <c r="FY103" s="496"/>
      <c r="FZ103" s="496"/>
      <c r="GA103" s="496"/>
      <c r="GB103" s="500"/>
      <c r="GC103" s="502"/>
      <c r="GD103" s="496"/>
      <c r="GE103" s="496"/>
      <c r="GF103" s="496"/>
      <c r="GG103" s="496"/>
      <c r="GH103" s="496"/>
      <c r="GI103" s="500"/>
      <c r="GJ103" s="496"/>
      <c r="GK103" s="496"/>
      <c r="GL103" s="496"/>
      <c r="GM103" s="496"/>
      <c r="GN103" s="496"/>
      <c r="GO103" s="496"/>
      <c r="GP103" s="496"/>
      <c r="GQ103" s="496"/>
      <c r="GR103" s="496"/>
      <c r="GS103" s="496"/>
      <c r="GT103" s="496"/>
      <c r="GU103" s="496"/>
      <c r="GV103" s="496"/>
      <c r="GW103" s="2847"/>
      <c r="GX103" s="2847"/>
      <c r="GY103" s="2847"/>
      <c r="GZ103" s="2847"/>
      <c r="HA103" s="2847"/>
      <c r="HB103" s="2847"/>
      <c r="HC103" s="2847"/>
      <c r="HD103" s="2847"/>
      <c r="HE103" s="2847"/>
      <c r="HK103" s="2676"/>
      <c r="HL103" s="2676"/>
      <c r="HM103" s="2676"/>
      <c r="HN103" s="2676"/>
      <c r="HO103" s="2676"/>
      <c r="HP103" s="2676"/>
      <c r="HQ103" s="2676"/>
      <c r="HR103" s="2676"/>
      <c r="HS103" s="2676"/>
      <c r="HT103" s="2676"/>
      <c r="HU103" s="2676"/>
      <c r="HV103" s="2676"/>
      <c r="HW103" s="2678"/>
      <c r="HX103" s="2678"/>
      <c r="HY103" s="2678"/>
      <c r="HZ103" s="2678"/>
      <c r="IA103" s="2678"/>
      <c r="IB103" s="2678"/>
      <c r="IC103" s="2678"/>
      <c r="ID103" s="2678"/>
      <c r="IE103" s="2678"/>
      <c r="IF103" s="2678"/>
      <c r="IG103" s="2678"/>
      <c r="IH103" s="2676"/>
      <c r="II103" s="2676"/>
      <c r="IJ103" s="2676"/>
      <c r="IK103" s="2676"/>
      <c r="IL103" s="2677"/>
      <c r="IM103" s="2677"/>
      <c r="IN103" s="2677"/>
      <c r="IO103" s="2677"/>
      <c r="IP103" s="2677"/>
      <c r="IQ103" s="2677"/>
      <c r="IR103" s="2677"/>
      <c r="IS103" s="2677"/>
      <c r="IT103" s="2677"/>
      <c r="IU103" s="2677"/>
      <c r="IV103" s="2677"/>
      <c r="IW103" s="2676"/>
      <c r="IX103" s="2676"/>
      <c r="IY103" s="2676"/>
      <c r="IZ103" s="2676"/>
      <c r="JA103" s="2677"/>
      <c r="JB103" s="2677"/>
      <c r="JC103" s="2677"/>
      <c r="JD103" s="2677"/>
      <c r="JE103" s="2677"/>
      <c r="JF103" s="2677"/>
      <c r="JG103" s="2677"/>
      <c r="JH103" s="2677"/>
      <c r="JI103" s="2677"/>
    </row>
    <row r="104" spans="15:269" ht="4.1500000000000004" customHeight="1">
      <c r="Q104" s="516"/>
      <c r="V104" s="516"/>
      <c r="X104" s="516"/>
      <c r="CI104" s="517"/>
      <c r="CJ104" s="662"/>
      <c r="CK104" s="664"/>
      <c r="CL104" s="662"/>
      <c r="CM104" s="662"/>
      <c r="CN104" s="662"/>
      <c r="CO104" s="2682"/>
      <c r="CP104" s="2682"/>
      <c r="CQ104" s="2682"/>
      <c r="CR104" s="2682"/>
      <c r="CS104" s="662"/>
      <c r="CT104" s="662"/>
      <c r="CU104" s="662"/>
      <c r="CV104" s="662"/>
      <c r="CW104" s="662"/>
      <c r="CX104" s="663"/>
      <c r="CY104" s="662"/>
      <c r="FH104" s="495"/>
      <c r="FI104" s="495"/>
      <c r="FJ104" s="495"/>
      <c r="FK104" s="495"/>
      <c r="FL104" s="495"/>
      <c r="FM104" s="495"/>
      <c r="FN104" s="495"/>
      <c r="FO104" s="495"/>
      <c r="FP104" s="495"/>
      <c r="FQ104" s="495"/>
      <c r="FR104" s="495"/>
      <c r="FS104" s="495"/>
      <c r="FT104" s="495"/>
      <c r="FU104" s="496"/>
      <c r="FV104" s="496"/>
      <c r="FW104" s="496"/>
      <c r="FX104" s="496"/>
      <c r="FY104" s="496"/>
      <c r="FZ104" s="496"/>
      <c r="GA104" s="496"/>
      <c r="GB104" s="500"/>
      <c r="GC104" s="502"/>
      <c r="GD104" s="496"/>
      <c r="GE104" s="496"/>
      <c r="GF104" s="496"/>
      <c r="GG104" s="496"/>
      <c r="GH104" s="496"/>
      <c r="GI104" s="500"/>
      <c r="GJ104" s="496"/>
      <c r="GK104" s="496"/>
      <c r="GL104" s="496"/>
      <c r="GM104" s="496"/>
      <c r="GN104" s="496"/>
      <c r="GO104" s="496"/>
      <c r="GP104" s="496"/>
      <c r="GQ104" s="496"/>
      <c r="GR104" s="496"/>
      <c r="GS104" s="496"/>
      <c r="GT104" s="496"/>
      <c r="GU104" s="496"/>
      <c r="GV104" s="496"/>
      <c r="GW104" s="2848"/>
      <c r="GX104" s="2848"/>
      <c r="GY104" s="2848"/>
      <c r="GZ104" s="2848"/>
      <c r="HA104" s="2848"/>
      <c r="HB104" s="2848"/>
      <c r="HC104" s="2848"/>
      <c r="HD104" s="2848"/>
      <c r="HE104" s="2848"/>
      <c r="HK104" s="2676"/>
      <c r="HL104" s="2676"/>
      <c r="HM104" s="2676"/>
      <c r="HN104" s="2676"/>
      <c r="HO104" s="2676"/>
      <c r="HP104" s="2676"/>
      <c r="HQ104" s="2676"/>
      <c r="HR104" s="2676"/>
      <c r="HS104" s="2676"/>
      <c r="HT104" s="2676"/>
      <c r="HU104" s="2676"/>
      <c r="HV104" s="2676"/>
      <c r="HW104" s="2678"/>
      <c r="HX104" s="2678"/>
      <c r="HY104" s="2678"/>
      <c r="HZ104" s="2678"/>
      <c r="IA104" s="2678"/>
      <c r="IB104" s="2678"/>
      <c r="IC104" s="2678"/>
      <c r="ID104" s="2678"/>
      <c r="IE104" s="2678"/>
      <c r="IF104" s="2678"/>
      <c r="IG104" s="2678"/>
      <c r="IH104" s="2676"/>
      <c r="II104" s="2676"/>
      <c r="IJ104" s="2676"/>
      <c r="IK104" s="2676"/>
      <c r="IL104" s="2677"/>
      <c r="IM104" s="2677"/>
      <c r="IN104" s="2677"/>
      <c r="IO104" s="2677"/>
      <c r="IP104" s="2677"/>
      <c r="IQ104" s="2677"/>
      <c r="IR104" s="2677"/>
      <c r="IS104" s="2677"/>
      <c r="IT104" s="2677"/>
      <c r="IU104" s="2677"/>
      <c r="IV104" s="2677"/>
      <c r="IW104" s="2676"/>
      <c r="IX104" s="2676"/>
      <c r="IY104" s="2676"/>
      <c r="IZ104" s="2676"/>
      <c r="JA104" s="2677"/>
      <c r="JB104" s="2677"/>
      <c r="JC104" s="2677"/>
      <c r="JD104" s="2677"/>
      <c r="JE104" s="2677"/>
      <c r="JF104" s="2677"/>
      <c r="JG104" s="2677"/>
      <c r="JH104" s="2677"/>
      <c r="JI104" s="2677"/>
    </row>
    <row r="105" spans="15:269" ht="4.1500000000000004" customHeight="1">
      <c r="Q105" s="516"/>
      <c r="V105" s="516"/>
      <c r="X105" s="516"/>
      <c r="CI105" s="517"/>
      <c r="CJ105" s="662"/>
      <c r="CK105" s="664"/>
      <c r="CL105" s="662"/>
      <c r="CM105" s="662"/>
      <c r="CN105" s="662"/>
      <c r="CO105" s="662"/>
      <c r="CP105" s="662"/>
      <c r="CQ105" s="663"/>
      <c r="CR105" s="662"/>
      <c r="CS105" s="662"/>
      <c r="CT105" s="662"/>
      <c r="CU105" s="662"/>
      <c r="CV105" s="2681">
        <f>CO95+CO126</f>
        <v>5</v>
      </c>
      <c r="CW105" s="2682"/>
      <c r="CX105" s="2682"/>
      <c r="CY105" s="2682"/>
      <c r="FH105" s="495"/>
      <c r="FI105" s="495"/>
      <c r="FJ105" s="495"/>
      <c r="FK105" s="495"/>
      <c r="FL105" s="495"/>
      <c r="FM105" s="495"/>
      <c r="FN105" s="495"/>
      <c r="FO105" s="495"/>
      <c r="FP105" s="2654" t="s">
        <v>2980</v>
      </c>
      <c r="FQ105" s="2654"/>
      <c r="FR105" s="2654"/>
      <c r="FS105" s="2654"/>
      <c r="FT105" s="2654"/>
      <c r="FU105" s="2654"/>
      <c r="FV105" s="496"/>
      <c r="FW105" s="496"/>
      <c r="FX105" s="496"/>
      <c r="FY105" s="496"/>
      <c r="FZ105" s="496"/>
      <c r="GA105" s="496"/>
      <c r="GB105" s="500"/>
      <c r="GC105" s="496"/>
      <c r="GD105" s="496"/>
      <c r="GE105" s="496"/>
      <c r="GF105" s="496"/>
      <c r="GG105" s="496"/>
      <c r="GH105" s="496"/>
      <c r="GI105" s="496"/>
      <c r="GJ105" s="498"/>
      <c r="GK105" s="498"/>
      <c r="GL105" s="498"/>
      <c r="GM105" s="498"/>
      <c r="GN105" s="498"/>
      <c r="GO105" s="498"/>
      <c r="GP105" s="499"/>
      <c r="GQ105" s="496"/>
      <c r="GR105" s="496"/>
      <c r="GS105" s="496"/>
      <c r="GT105" s="496"/>
      <c r="GU105" s="496"/>
      <c r="GV105" s="496"/>
      <c r="GW105" s="2846">
        <f>GW102</f>
        <v>0.2</v>
      </c>
      <c r="GX105" s="2846"/>
      <c r="GY105" s="2846"/>
      <c r="GZ105" s="2846"/>
      <c r="HA105" s="2846"/>
      <c r="HB105" s="2846"/>
      <c r="HC105" s="2846"/>
      <c r="HD105" s="2846"/>
      <c r="HE105" s="2846"/>
      <c r="HK105" s="2676" t="s">
        <v>1950</v>
      </c>
      <c r="HL105" s="2676"/>
      <c r="HM105" s="2676"/>
      <c r="HN105" s="2676"/>
      <c r="HO105" s="2676"/>
      <c r="HP105" s="2676"/>
      <c r="HQ105" s="2676"/>
      <c r="HR105" s="2676"/>
      <c r="HS105" s="2676"/>
      <c r="HT105" s="2676"/>
      <c r="HU105" s="2676"/>
      <c r="HV105" s="2676"/>
      <c r="HW105" s="2678">
        <v>1</v>
      </c>
      <c r="HX105" s="2678"/>
      <c r="HY105" s="2678"/>
      <c r="HZ105" s="2678"/>
      <c r="IA105" s="2678"/>
      <c r="IB105" s="2678"/>
      <c r="IC105" s="2678"/>
      <c r="ID105" s="2678"/>
      <c r="IE105" s="2678"/>
      <c r="IF105" s="2678"/>
      <c r="IG105" s="2678"/>
      <c r="IH105" s="2676" t="s">
        <v>901</v>
      </c>
      <c r="II105" s="2676"/>
      <c r="IJ105" s="2676"/>
      <c r="IK105" s="2676"/>
      <c r="IL105" s="2677">
        <v>0.9</v>
      </c>
      <c r="IM105" s="2677"/>
      <c r="IN105" s="2677"/>
      <c r="IO105" s="2677"/>
      <c r="IP105" s="2677"/>
      <c r="IQ105" s="2677"/>
      <c r="IR105" s="2677"/>
      <c r="IS105" s="2677"/>
      <c r="IT105" s="2677"/>
      <c r="IU105" s="2677"/>
      <c r="IV105" s="2677"/>
      <c r="IW105" s="2676" t="s">
        <v>901</v>
      </c>
      <c r="IX105" s="2676"/>
      <c r="IY105" s="2676"/>
      <c r="IZ105" s="2676"/>
      <c r="JA105" s="2677">
        <v>1.2</v>
      </c>
      <c r="JB105" s="2677"/>
      <c r="JC105" s="2677"/>
      <c r="JD105" s="2677"/>
      <c r="JE105" s="2677"/>
      <c r="JF105" s="2677"/>
      <c r="JG105" s="2677"/>
      <c r="JH105" s="2677"/>
      <c r="JI105" s="2677"/>
    </row>
    <row r="106" spans="15:269" ht="4.1500000000000004" customHeight="1">
      <c r="O106" s="2681">
        <f>CV105+CJ84</f>
        <v>5.25</v>
      </c>
      <c r="P106" s="2682"/>
      <c r="Q106" s="2682"/>
      <c r="R106" s="2682"/>
      <c r="V106" s="516"/>
      <c r="X106" s="516"/>
      <c r="CI106" s="517"/>
      <c r="CJ106" s="662"/>
      <c r="CK106" s="664"/>
      <c r="CL106" s="662"/>
      <c r="CM106" s="662"/>
      <c r="CN106" s="662"/>
      <c r="CO106" s="662"/>
      <c r="CP106" s="662"/>
      <c r="CQ106" s="663"/>
      <c r="CR106" s="662"/>
      <c r="CS106" s="662"/>
      <c r="CT106" s="662"/>
      <c r="CU106" s="662"/>
      <c r="CV106" s="2682"/>
      <c r="CW106" s="2682"/>
      <c r="CX106" s="2682"/>
      <c r="CY106" s="2682"/>
      <c r="FH106" s="495"/>
      <c r="FI106" s="495"/>
      <c r="FJ106" s="495"/>
      <c r="FK106" s="495"/>
      <c r="FL106" s="495"/>
      <c r="FM106" s="495"/>
      <c r="FN106" s="495"/>
      <c r="FO106" s="495"/>
      <c r="FP106" s="2654"/>
      <c r="FQ106" s="2654"/>
      <c r="FR106" s="2654"/>
      <c r="FS106" s="2654"/>
      <c r="FT106" s="2654"/>
      <c r="FU106" s="2654"/>
      <c r="FV106" s="496"/>
      <c r="FW106" s="496"/>
      <c r="FX106" s="496"/>
      <c r="FY106" s="496"/>
      <c r="FZ106" s="496"/>
      <c r="GA106" s="496"/>
      <c r="GB106" s="500"/>
      <c r="GC106" s="496"/>
      <c r="GD106" s="496"/>
      <c r="GE106" s="496"/>
      <c r="GF106" s="496"/>
      <c r="GG106" s="496"/>
      <c r="GH106" s="496"/>
      <c r="GI106" s="496"/>
      <c r="GJ106" s="496"/>
      <c r="GK106" s="496"/>
      <c r="GL106" s="496"/>
      <c r="GM106" s="496"/>
      <c r="GN106" s="496"/>
      <c r="GO106" s="496"/>
      <c r="GP106" s="500"/>
      <c r="GQ106" s="496"/>
      <c r="GR106" s="496"/>
      <c r="GS106" s="496"/>
      <c r="GT106" s="496"/>
      <c r="GU106" s="496"/>
      <c r="GV106" s="496"/>
      <c r="GW106" s="2847"/>
      <c r="GX106" s="2847"/>
      <c r="GY106" s="2847"/>
      <c r="GZ106" s="2847"/>
      <c r="HA106" s="2847"/>
      <c r="HB106" s="2847"/>
      <c r="HC106" s="2847"/>
      <c r="HD106" s="2847"/>
      <c r="HE106" s="2847"/>
      <c r="HK106" s="2676"/>
      <c r="HL106" s="2676"/>
      <c r="HM106" s="2676"/>
      <c r="HN106" s="2676"/>
      <c r="HO106" s="2676"/>
      <c r="HP106" s="2676"/>
      <c r="HQ106" s="2676"/>
      <c r="HR106" s="2676"/>
      <c r="HS106" s="2676"/>
      <c r="HT106" s="2676"/>
      <c r="HU106" s="2676"/>
      <c r="HV106" s="2676"/>
      <c r="HW106" s="2678"/>
      <c r="HX106" s="2678"/>
      <c r="HY106" s="2678"/>
      <c r="HZ106" s="2678"/>
      <c r="IA106" s="2678"/>
      <c r="IB106" s="2678"/>
      <c r="IC106" s="2678"/>
      <c r="ID106" s="2678"/>
      <c r="IE106" s="2678"/>
      <c r="IF106" s="2678"/>
      <c r="IG106" s="2678"/>
      <c r="IH106" s="2676"/>
      <c r="II106" s="2676"/>
      <c r="IJ106" s="2676"/>
      <c r="IK106" s="2676"/>
      <c r="IL106" s="2677"/>
      <c r="IM106" s="2677"/>
      <c r="IN106" s="2677"/>
      <c r="IO106" s="2677"/>
      <c r="IP106" s="2677"/>
      <c r="IQ106" s="2677"/>
      <c r="IR106" s="2677"/>
      <c r="IS106" s="2677"/>
      <c r="IT106" s="2677"/>
      <c r="IU106" s="2677"/>
      <c r="IV106" s="2677"/>
      <c r="IW106" s="2676"/>
      <c r="IX106" s="2676"/>
      <c r="IY106" s="2676"/>
      <c r="IZ106" s="2676"/>
      <c r="JA106" s="2677"/>
      <c r="JB106" s="2677"/>
      <c r="JC106" s="2677"/>
      <c r="JD106" s="2677"/>
      <c r="JE106" s="2677"/>
      <c r="JF106" s="2677"/>
      <c r="JG106" s="2677"/>
      <c r="JH106" s="2677"/>
      <c r="JI106" s="2677"/>
    </row>
    <row r="107" spans="15:269" ht="4.1500000000000004" customHeight="1">
      <c r="O107" s="2682"/>
      <c r="P107" s="2682"/>
      <c r="Q107" s="2682"/>
      <c r="R107" s="2682"/>
      <c r="V107" s="516"/>
      <c r="X107" s="516"/>
      <c r="CI107" s="517"/>
      <c r="CJ107" s="662"/>
      <c r="CK107" s="664"/>
      <c r="CL107" s="662"/>
      <c r="CM107" s="662"/>
      <c r="CN107" s="662"/>
      <c r="CO107" s="662"/>
      <c r="CP107" s="662"/>
      <c r="CQ107" s="663"/>
      <c r="CR107" s="662"/>
      <c r="CS107" s="662"/>
      <c r="CT107" s="662"/>
      <c r="CU107" s="662"/>
      <c r="CV107" s="2682"/>
      <c r="CW107" s="2682"/>
      <c r="CX107" s="2682"/>
      <c r="CY107" s="2682"/>
      <c r="FH107" s="495"/>
      <c r="FI107" s="495"/>
      <c r="FJ107" s="495"/>
      <c r="FK107" s="495"/>
      <c r="FL107" s="495"/>
      <c r="FM107" s="495"/>
      <c r="FN107" s="495"/>
      <c r="FO107" s="495"/>
      <c r="FP107" s="2655"/>
      <c r="FQ107" s="2655"/>
      <c r="FR107" s="2655"/>
      <c r="FS107" s="2655"/>
      <c r="FT107" s="2655"/>
      <c r="FU107" s="2655"/>
      <c r="FV107" s="503"/>
      <c r="FW107" s="503"/>
      <c r="FX107" s="503"/>
      <c r="FY107" s="503"/>
      <c r="FZ107" s="503"/>
      <c r="GA107" s="503"/>
      <c r="GB107" s="504"/>
      <c r="GC107" s="496"/>
      <c r="GD107" s="496"/>
      <c r="GE107" s="496"/>
      <c r="GF107" s="496"/>
      <c r="GG107" s="496"/>
      <c r="GH107" s="496"/>
      <c r="GI107" s="496"/>
      <c r="GJ107" s="496"/>
      <c r="GK107" s="496"/>
      <c r="GL107" s="496"/>
      <c r="GM107" s="496"/>
      <c r="GN107" s="496"/>
      <c r="GO107" s="496"/>
      <c r="GP107" s="500"/>
      <c r="GQ107" s="496"/>
      <c r="GR107" s="496"/>
      <c r="GS107" s="496"/>
      <c r="GT107" s="496"/>
      <c r="GU107" s="496"/>
      <c r="GV107" s="496"/>
      <c r="GW107" s="2847"/>
      <c r="GX107" s="2848"/>
      <c r="GY107" s="2848"/>
      <c r="GZ107" s="2848"/>
      <c r="HA107" s="2848"/>
      <c r="HB107" s="2848"/>
      <c r="HC107" s="2848"/>
      <c r="HD107" s="2848"/>
      <c r="HE107" s="2848"/>
      <c r="HK107" s="2676"/>
      <c r="HL107" s="2676"/>
      <c r="HM107" s="2676"/>
      <c r="HN107" s="2676"/>
      <c r="HO107" s="2676"/>
      <c r="HP107" s="2676"/>
      <c r="HQ107" s="2676"/>
      <c r="HR107" s="2676"/>
      <c r="HS107" s="2676"/>
      <c r="HT107" s="2676"/>
      <c r="HU107" s="2676"/>
      <c r="HV107" s="2676"/>
      <c r="HW107" s="2678"/>
      <c r="HX107" s="2678"/>
      <c r="HY107" s="2678"/>
      <c r="HZ107" s="2678"/>
      <c r="IA107" s="2678"/>
      <c r="IB107" s="2678"/>
      <c r="IC107" s="2678"/>
      <c r="ID107" s="2678"/>
      <c r="IE107" s="2678"/>
      <c r="IF107" s="2678"/>
      <c r="IG107" s="2678"/>
      <c r="IH107" s="2676"/>
      <c r="II107" s="2676"/>
      <c r="IJ107" s="2676"/>
      <c r="IK107" s="2676"/>
      <c r="IL107" s="2677"/>
      <c r="IM107" s="2677"/>
      <c r="IN107" s="2677"/>
      <c r="IO107" s="2677"/>
      <c r="IP107" s="2677"/>
      <c r="IQ107" s="2677"/>
      <c r="IR107" s="2677"/>
      <c r="IS107" s="2677"/>
      <c r="IT107" s="2677"/>
      <c r="IU107" s="2677"/>
      <c r="IV107" s="2677"/>
      <c r="IW107" s="2676"/>
      <c r="IX107" s="2676"/>
      <c r="IY107" s="2676"/>
      <c r="IZ107" s="2676"/>
      <c r="JA107" s="2677"/>
      <c r="JB107" s="2677"/>
      <c r="JC107" s="2677"/>
      <c r="JD107" s="2677"/>
      <c r="JE107" s="2677"/>
      <c r="JF107" s="2677"/>
      <c r="JG107" s="2677"/>
      <c r="JH107" s="2677"/>
      <c r="JI107" s="2677"/>
    </row>
    <row r="108" spans="15:269" ht="4.1500000000000004" customHeight="1">
      <c r="O108" s="2682"/>
      <c r="P108" s="2682"/>
      <c r="Q108" s="2682"/>
      <c r="R108" s="2682"/>
      <c r="V108" s="516"/>
      <c r="X108" s="516"/>
      <c r="CI108" s="517"/>
      <c r="CJ108" s="662"/>
      <c r="CK108" s="664"/>
      <c r="CL108" s="662"/>
      <c r="CM108" s="662"/>
      <c r="CN108" s="662"/>
      <c r="CO108" s="662"/>
      <c r="CP108" s="662"/>
      <c r="CQ108" s="663"/>
      <c r="CR108" s="662"/>
      <c r="CS108" s="662"/>
      <c r="CT108" s="662"/>
      <c r="CU108" s="662"/>
      <c r="CV108" s="2682"/>
      <c r="CW108" s="2682"/>
      <c r="CX108" s="2682"/>
      <c r="CY108" s="2682"/>
      <c r="FH108" s="495"/>
      <c r="FI108" s="495"/>
      <c r="FJ108" s="495"/>
      <c r="FK108" s="495"/>
      <c r="FL108" s="495"/>
      <c r="FM108" s="495"/>
      <c r="FN108" s="495"/>
      <c r="FO108" s="495"/>
      <c r="FP108" s="2656">
        <f>GX108+GX110</f>
        <v>0.3</v>
      </c>
      <c r="FQ108" s="2656"/>
      <c r="FR108" s="2656"/>
      <c r="FS108" s="2656"/>
      <c r="FT108" s="2656"/>
      <c r="FU108" s="2656"/>
      <c r="FV108" s="2656"/>
      <c r="FW108" s="2656"/>
      <c r="FX108" s="2656"/>
      <c r="FY108" s="2656"/>
      <c r="FZ108" s="2656"/>
      <c r="GA108" s="496"/>
      <c r="GB108" s="500"/>
      <c r="GC108" s="501"/>
      <c r="GD108" s="498"/>
      <c r="GE108" s="498"/>
      <c r="GF108" s="498"/>
      <c r="GG108" s="498"/>
      <c r="GH108" s="498"/>
      <c r="GI108" s="498"/>
      <c r="GJ108" s="498"/>
      <c r="GK108" s="498"/>
      <c r="GL108" s="498"/>
      <c r="GM108" s="498"/>
      <c r="GN108" s="498"/>
      <c r="GO108" s="498"/>
      <c r="GP108" s="498"/>
      <c r="GQ108" s="498"/>
      <c r="GR108" s="498"/>
      <c r="GS108" s="498"/>
      <c r="GT108" s="498"/>
      <c r="GU108" s="498"/>
      <c r="GV108" s="498"/>
      <c r="GW108" s="1624"/>
      <c r="GX108" s="2849">
        <v>0.15</v>
      </c>
      <c r="GY108" s="2846"/>
      <c r="GZ108" s="2846"/>
      <c r="HA108" s="2846"/>
      <c r="HB108" s="2846"/>
      <c r="HC108" s="2846"/>
      <c r="HD108" s="2846"/>
      <c r="HE108" s="2846"/>
      <c r="HK108" s="2676" t="s">
        <v>1951</v>
      </c>
      <c r="HL108" s="2676"/>
      <c r="HM108" s="2676"/>
      <c r="HN108" s="2676"/>
      <c r="HO108" s="2676"/>
      <c r="HP108" s="2676"/>
      <c r="HQ108" s="2676"/>
      <c r="HR108" s="2676"/>
      <c r="HS108" s="2676"/>
      <c r="HT108" s="2676"/>
      <c r="HU108" s="2676"/>
      <c r="HV108" s="2676"/>
      <c r="HW108" s="2678">
        <v>2</v>
      </c>
      <c r="HX108" s="2678"/>
      <c r="HY108" s="2678"/>
      <c r="HZ108" s="2678"/>
      <c r="IA108" s="2678"/>
      <c r="IB108" s="2678"/>
      <c r="IC108" s="2678"/>
      <c r="ID108" s="2678"/>
      <c r="IE108" s="2678"/>
      <c r="IF108" s="2678"/>
      <c r="IG108" s="2678"/>
      <c r="IH108" s="2676" t="s">
        <v>901</v>
      </c>
      <c r="II108" s="2676"/>
      <c r="IJ108" s="2676"/>
      <c r="IK108" s="2676"/>
      <c r="IL108" s="2677">
        <f>BM134</f>
        <v>1.325</v>
      </c>
      <c r="IM108" s="2677"/>
      <c r="IN108" s="2677"/>
      <c r="IO108" s="2677"/>
      <c r="IP108" s="2677"/>
      <c r="IQ108" s="2677"/>
      <c r="IR108" s="2677"/>
      <c r="IS108" s="2677"/>
      <c r="IT108" s="2677"/>
      <c r="IU108" s="2677"/>
      <c r="IV108" s="2677"/>
      <c r="IW108" s="2676" t="s">
        <v>901</v>
      </c>
      <c r="IX108" s="2676"/>
      <c r="IY108" s="2676"/>
      <c r="IZ108" s="2676"/>
      <c r="JA108" s="2677">
        <f>JA102</f>
        <v>2.1</v>
      </c>
      <c r="JB108" s="2677"/>
      <c r="JC108" s="2677"/>
      <c r="JD108" s="2677"/>
      <c r="JE108" s="2677"/>
      <c r="JF108" s="2677"/>
      <c r="JG108" s="2677"/>
      <c r="JH108" s="2677"/>
      <c r="JI108" s="2677"/>
    </row>
    <row r="109" spans="15:269" ht="4.1500000000000004" customHeight="1">
      <c r="O109" s="2682"/>
      <c r="P109" s="2682"/>
      <c r="Q109" s="2682"/>
      <c r="R109" s="2682"/>
      <c r="V109" s="516"/>
      <c r="X109" s="516"/>
      <c r="CI109" s="517"/>
      <c r="CJ109" s="662"/>
      <c r="CK109" s="664"/>
      <c r="CL109" s="662"/>
      <c r="CM109" s="662"/>
      <c r="CN109" s="662"/>
      <c r="CO109" s="662"/>
      <c r="CP109" s="662"/>
      <c r="CQ109" s="663"/>
      <c r="CR109" s="662"/>
      <c r="CS109" s="662"/>
      <c r="CT109" s="662"/>
      <c r="CU109" s="662"/>
      <c r="CV109" s="2682"/>
      <c r="CW109" s="2682"/>
      <c r="CX109" s="2682"/>
      <c r="CY109" s="2682"/>
      <c r="FH109" s="495"/>
      <c r="FI109" s="495"/>
      <c r="FJ109" s="495"/>
      <c r="FK109" s="495"/>
      <c r="FL109" s="495"/>
      <c r="FM109" s="495"/>
      <c r="FN109" s="495"/>
      <c r="FO109" s="495"/>
      <c r="FP109" s="2657"/>
      <c r="FQ109" s="2657"/>
      <c r="FR109" s="2657"/>
      <c r="FS109" s="2657"/>
      <c r="FT109" s="2657"/>
      <c r="FU109" s="2657"/>
      <c r="FV109" s="2657"/>
      <c r="FW109" s="2657"/>
      <c r="FX109" s="2657"/>
      <c r="FY109" s="2657"/>
      <c r="FZ109" s="2657"/>
      <c r="GA109" s="496"/>
      <c r="GB109" s="500"/>
      <c r="GC109" s="505"/>
      <c r="GD109" s="503"/>
      <c r="GE109" s="503"/>
      <c r="GF109" s="503"/>
      <c r="GG109" s="503"/>
      <c r="GH109" s="503"/>
      <c r="GI109" s="503"/>
      <c r="GJ109" s="503"/>
      <c r="GK109" s="503"/>
      <c r="GL109" s="503"/>
      <c r="GM109" s="503"/>
      <c r="GN109" s="503"/>
      <c r="GO109" s="503"/>
      <c r="GP109" s="503"/>
      <c r="GQ109" s="503"/>
      <c r="GR109" s="503"/>
      <c r="GS109" s="503"/>
      <c r="GT109" s="503"/>
      <c r="GU109" s="503"/>
      <c r="GV109" s="503"/>
      <c r="GW109" s="1625"/>
      <c r="GX109" s="2850"/>
      <c r="GY109" s="2848"/>
      <c r="GZ109" s="2848"/>
      <c r="HA109" s="2848"/>
      <c r="HB109" s="2848"/>
      <c r="HC109" s="2848"/>
      <c r="HD109" s="2848"/>
      <c r="HE109" s="2848"/>
      <c r="HK109" s="2676"/>
      <c r="HL109" s="2676"/>
      <c r="HM109" s="2676"/>
      <c r="HN109" s="2676"/>
      <c r="HO109" s="2676"/>
      <c r="HP109" s="2676"/>
      <c r="HQ109" s="2676"/>
      <c r="HR109" s="2676"/>
      <c r="HS109" s="2676"/>
      <c r="HT109" s="2676"/>
      <c r="HU109" s="2676"/>
      <c r="HV109" s="2676"/>
      <c r="HW109" s="2678"/>
      <c r="HX109" s="2678"/>
      <c r="HY109" s="2678"/>
      <c r="HZ109" s="2678"/>
      <c r="IA109" s="2678"/>
      <c r="IB109" s="2678"/>
      <c r="IC109" s="2678"/>
      <c r="ID109" s="2678"/>
      <c r="IE109" s="2678"/>
      <c r="IF109" s="2678"/>
      <c r="IG109" s="2678"/>
      <c r="IH109" s="2676"/>
      <c r="II109" s="2676"/>
      <c r="IJ109" s="2676"/>
      <c r="IK109" s="2676"/>
      <c r="IL109" s="2677"/>
      <c r="IM109" s="2677"/>
      <c r="IN109" s="2677"/>
      <c r="IO109" s="2677"/>
      <c r="IP109" s="2677"/>
      <c r="IQ109" s="2677"/>
      <c r="IR109" s="2677"/>
      <c r="IS109" s="2677"/>
      <c r="IT109" s="2677"/>
      <c r="IU109" s="2677"/>
      <c r="IV109" s="2677"/>
      <c r="IW109" s="2676"/>
      <c r="IX109" s="2676"/>
      <c r="IY109" s="2676"/>
      <c r="IZ109" s="2676"/>
      <c r="JA109" s="2677"/>
      <c r="JB109" s="2677"/>
      <c r="JC109" s="2677"/>
      <c r="JD109" s="2677"/>
      <c r="JE109" s="2677"/>
      <c r="JF109" s="2677"/>
      <c r="JG109" s="2677"/>
      <c r="JH109" s="2677"/>
      <c r="JI109" s="2677"/>
    </row>
    <row r="110" spans="15:269" ht="4.1500000000000004" customHeight="1">
      <c r="O110" s="2682"/>
      <c r="P110" s="2682"/>
      <c r="Q110" s="2682"/>
      <c r="R110" s="2682"/>
      <c r="V110" s="516"/>
      <c r="X110" s="516"/>
      <c r="CI110" s="517"/>
      <c r="CJ110" s="662"/>
      <c r="CK110" s="664"/>
      <c r="CL110" s="662"/>
      <c r="CM110" s="662"/>
      <c r="CN110" s="662"/>
      <c r="CO110" s="662"/>
      <c r="CP110" s="662"/>
      <c r="CQ110" s="663"/>
      <c r="CR110" s="662"/>
      <c r="CS110" s="662"/>
      <c r="CT110" s="662"/>
      <c r="CU110" s="662"/>
      <c r="CV110" s="2682"/>
      <c r="CW110" s="2682"/>
      <c r="CX110" s="2682"/>
      <c r="CY110" s="2682"/>
      <c r="FH110" s="495"/>
      <c r="FI110" s="495"/>
      <c r="FJ110" s="495"/>
      <c r="FK110" s="495"/>
      <c r="FL110" s="495"/>
      <c r="FM110" s="495"/>
      <c r="FN110" s="495"/>
      <c r="FO110" s="495"/>
      <c r="FP110" s="2657"/>
      <c r="FQ110" s="2657"/>
      <c r="FR110" s="2657"/>
      <c r="FS110" s="2657"/>
      <c r="FT110" s="2657"/>
      <c r="FU110" s="2657"/>
      <c r="FV110" s="2657"/>
      <c r="FW110" s="2657"/>
      <c r="FX110" s="2657"/>
      <c r="FY110" s="2657"/>
      <c r="FZ110" s="2657"/>
      <c r="GA110" s="496"/>
      <c r="GB110" s="500"/>
      <c r="GC110" s="501"/>
      <c r="GD110" s="498"/>
      <c r="GE110" s="498"/>
      <c r="GF110" s="498"/>
      <c r="GG110" s="498"/>
      <c r="GH110" s="498"/>
      <c r="GI110" s="498"/>
      <c r="GJ110" s="498"/>
      <c r="GK110" s="498"/>
      <c r="GL110" s="498"/>
      <c r="GM110" s="498"/>
      <c r="GN110" s="498"/>
      <c r="GO110" s="498"/>
      <c r="GP110" s="498"/>
      <c r="GQ110" s="498"/>
      <c r="GR110" s="498"/>
      <c r="GS110" s="498"/>
      <c r="GT110" s="498"/>
      <c r="GU110" s="498"/>
      <c r="GV110" s="498"/>
      <c r="GW110" s="1624"/>
      <c r="GX110" s="2849">
        <f>GX108</f>
        <v>0.15</v>
      </c>
      <c r="GY110" s="2846"/>
      <c r="GZ110" s="2846"/>
      <c r="HA110" s="2846"/>
      <c r="HB110" s="2846"/>
      <c r="HC110" s="2846"/>
      <c r="HD110" s="2846"/>
      <c r="HE110" s="2846"/>
      <c r="HK110" s="2676"/>
      <c r="HL110" s="2676"/>
      <c r="HM110" s="2676"/>
      <c r="HN110" s="2676"/>
      <c r="HO110" s="2676"/>
      <c r="HP110" s="2676"/>
      <c r="HQ110" s="2676"/>
      <c r="HR110" s="2676"/>
      <c r="HS110" s="2676"/>
      <c r="HT110" s="2676"/>
      <c r="HU110" s="2676"/>
      <c r="HV110" s="2676"/>
      <c r="HW110" s="2678"/>
      <c r="HX110" s="2678"/>
      <c r="HY110" s="2678"/>
      <c r="HZ110" s="2678"/>
      <c r="IA110" s="2678"/>
      <c r="IB110" s="2678"/>
      <c r="IC110" s="2678"/>
      <c r="ID110" s="2678"/>
      <c r="IE110" s="2678"/>
      <c r="IF110" s="2678"/>
      <c r="IG110" s="2678"/>
      <c r="IH110" s="2676"/>
      <c r="II110" s="2676"/>
      <c r="IJ110" s="2676"/>
      <c r="IK110" s="2676"/>
      <c r="IL110" s="2677"/>
      <c r="IM110" s="2677"/>
      <c r="IN110" s="2677"/>
      <c r="IO110" s="2677"/>
      <c r="IP110" s="2677"/>
      <c r="IQ110" s="2677"/>
      <c r="IR110" s="2677"/>
      <c r="IS110" s="2677"/>
      <c r="IT110" s="2677"/>
      <c r="IU110" s="2677"/>
      <c r="IV110" s="2677"/>
      <c r="IW110" s="2676"/>
      <c r="IX110" s="2676"/>
      <c r="IY110" s="2676"/>
      <c r="IZ110" s="2676"/>
      <c r="JA110" s="2677"/>
      <c r="JB110" s="2677"/>
      <c r="JC110" s="2677"/>
      <c r="JD110" s="2677"/>
      <c r="JE110" s="2677"/>
      <c r="JF110" s="2677"/>
      <c r="JG110" s="2677"/>
      <c r="JH110" s="2677"/>
      <c r="JI110" s="2677"/>
    </row>
    <row r="111" spans="15:269" ht="4.1500000000000004" customHeight="1">
      <c r="O111" s="2682"/>
      <c r="P111" s="2682"/>
      <c r="Q111" s="2682"/>
      <c r="R111" s="2682"/>
      <c r="V111" s="516"/>
      <c r="X111" s="516"/>
      <c r="CI111" s="517"/>
      <c r="CJ111" s="662"/>
      <c r="CK111" s="664"/>
      <c r="CL111" s="662"/>
      <c r="CM111" s="662"/>
      <c r="CN111" s="662"/>
      <c r="CO111" s="662"/>
      <c r="CP111" s="662"/>
      <c r="CQ111" s="663"/>
      <c r="CR111" s="662"/>
      <c r="CS111" s="662"/>
      <c r="CT111" s="662"/>
      <c r="CU111" s="662"/>
      <c r="CV111" s="2682"/>
      <c r="CW111" s="2682"/>
      <c r="CX111" s="2682"/>
      <c r="CY111" s="2682"/>
      <c r="FH111" s="495"/>
      <c r="FI111" s="495"/>
      <c r="FJ111" s="495"/>
      <c r="FK111" s="495"/>
      <c r="FL111" s="495"/>
      <c r="FM111" s="495"/>
      <c r="FN111" s="495"/>
      <c r="FO111" s="495"/>
      <c r="FP111" s="2658"/>
      <c r="FQ111" s="2658"/>
      <c r="FR111" s="2658"/>
      <c r="FS111" s="2658"/>
      <c r="FT111" s="2658"/>
      <c r="FU111" s="2658"/>
      <c r="FV111" s="2658"/>
      <c r="FW111" s="2658"/>
      <c r="FX111" s="2658"/>
      <c r="FY111" s="2658"/>
      <c r="FZ111" s="2658"/>
      <c r="GA111" s="496"/>
      <c r="GB111" s="500"/>
      <c r="GC111" s="505"/>
      <c r="GD111" s="503"/>
      <c r="GE111" s="503"/>
      <c r="GF111" s="503"/>
      <c r="GG111" s="503"/>
      <c r="GH111" s="503"/>
      <c r="GI111" s="503"/>
      <c r="GJ111" s="503"/>
      <c r="GK111" s="503"/>
      <c r="GL111" s="503"/>
      <c r="GM111" s="503"/>
      <c r="GN111" s="503"/>
      <c r="GO111" s="503"/>
      <c r="GP111" s="503"/>
      <c r="GQ111" s="503"/>
      <c r="GR111" s="503"/>
      <c r="GS111" s="503"/>
      <c r="GT111" s="503"/>
      <c r="GU111" s="503"/>
      <c r="GV111" s="503"/>
      <c r="GW111" s="1625"/>
      <c r="GX111" s="2850"/>
      <c r="GY111" s="2848"/>
      <c r="GZ111" s="2848"/>
      <c r="HA111" s="2848"/>
      <c r="HB111" s="2848"/>
      <c r="HC111" s="2848"/>
      <c r="HD111" s="2848"/>
      <c r="HE111" s="2848"/>
      <c r="HK111" s="2676" t="s">
        <v>1952</v>
      </c>
      <c r="HL111" s="2676"/>
      <c r="HM111" s="2676"/>
      <c r="HN111" s="2676"/>
      <c r="HO111" s="2676"/>
      <c r="HP111" s="2676"/>
      <c r="HQ111" s="2676"/>
      <c r="HR111" s="2676"/>
      <c r="HS111" s="2676"/>
      <c r="HT111" s="2676"/>
      <c r="HU111" s="2676"/>
      <c r="HV111" s="2676"/>
      <c r="HW111" s="2678">
        <v>2</v>
      </c>
      <c r="HX111" s="2678"/>
      <c r="HY111" s="2678"/>
      <c r="HZ111" s="2678"/>
      <c r="IA111" s="2678"/>
      <c r="IB111" s="2678"/>
      <c r="IC111" s="2678"/>
      <c r="ID111" s="2678"/>
      <c r="IE111" s="2678"/>
      <c r="IF111" s="2678"/>
      <c r="IG111" s="2678"/>
      <c r="IH111" s="2676" t="s">
        <v>901</v>
      </c>
      <c r="II111" s="2676"/>
      <c r="IJ111" s="2676"/>
      <c r="IK111" s="2676"/>
      <c r="IL111" s="2677">
        <f>BM137</f>
        <v>0</v>
      </c>
      <c r="IM111" s="2677"/>
      <c r="IN111" s="2677"/>
      <c r="IO111" s="2677"/>
      <c r="IP111" s="2677"/>
      <c r="IQ111" s="2677"/>
      <c r="IR111" s="2677"/>
      <c r="IS111" s="2677"/>
      <c r="IT111" s="2677"/>
      <c r="IU111" s="2677"/>
      <c r="IV111" s="2677"/>
      <c r="IW111" s="2676" t="s">
        <v>901</v>
      </c>
      <c r="IX111" s="2676"/>
      <c r="IY111" s="2676"/>
      <c r="IZ111" s="2676"/>
      <c r="JA111" s="2677">
        <f>JA105</f>
        <v>1.2</v>
      </c>
      <c r="JB111" s="2677"/>
      <c r="JC111" s="2677"/>
      <c r="JD111" s="2677"/>
      <c r="JE111" s="2677"/>
      <c r="JF111" s="2677"/>
      <c r="JG111" s="2677"/>
      <c r="JH111" s="2677"/>
      <c r="JI111" s="2677"/>
    </row>
    <row r="112" spans="15:269" ht="4.1500000000000004" customHeight="1">
      <c r="O112" s="2682"/>
      <c r="P112" s="2682"/>
      <c r="Q112" s="2682"/>
      <c r="R112" s="2682"/>
      <c r="V112" s="516"/>
      <c r="X112" s="516"/>
      <c r="CI112" s="517"/>
      <c r="CJ112" s="662"/>
      <c r="CK112" s="664"/>
      <c r="CL112" s="662"/>
      <c r="CM112" s="662"/>
      <c r="CN112" s="662"/>
      <c r="CO112" s="662"/>
      <c r="CP112" s="662"/>
      <c r="CQ112" s="663"/>
      <c r="CR112" s="662"/>
      <c r="CS112" s="662"/>
      <c r="CT112" s="662"/>
      <c r="CU112" s="662"/>
      <c r="CV112" s="2682"/>
      <c r="CW112" s="2682"/>
      <c r="CX112" s="2682"/>
      <c r="CY112" s="2682"/>
      <c r="FH112" s="495"/>
      <c r="FI112" s="495"/>
      <c r="FJ112" s="495"/>
      <c r="FK112" s="495"/>
      <c r="FL112" s="495"/>
      <c r="FM112" s="495"/>
      <c r="FN112" s="495"/>
      <c r="FO112" s="495"/>
      <c r="FP112" s="495"/>
      <c r="FQ112" s="495"/>
      <c r="FR112" s="495"/>
      <c r="FS112" s="495"/>
      <c r="FT112" s="495"/>
      <c r="FU112" s="496"/>
      <c r="FV112" s="496"/>
      <c r="FW112" s="496"/>
      <c r="FX112" s="496"/>
      <c r="FY112" s="496"/>
      <c r="FZ112" s="496"/>
      <c r="GA112" s="496"/>
      <c r="GB112" s="496"/>
      <c r="GC112" s="496"/>
      <c r="GD112" s="496"/>
      <c r="GE112" s="496"/>
      <c r="GF112" s="496"/>
      <c r="GG112" s="496"/>
      <c r="GH112" s="496"/>
      <c r="GI112" s="496"/>
      <c r="GJ112" s="496"/>
      <c r="GK112" s="496"/>
      <c r="GL112" s="496"/>
      <c r="GM112" s="496"/>
      <c r="GN112" s="496"/>
      <c r="GO112" s="496"/>
      <c r="GP112" s="496"/>
      <c r="GQ112" s="496"/>
      <c r="GR112" s="496"/>
      <c r="GS112" s="496"/>
      <c r="GT112" s="496"/>
      <c r="GU112" s="496"/>
      <c r="GV112" s="496"/>
      <c r="GW112" s="496"/>
      <c r="GX112" s="496"/>
      <c r="GY112" s="496"/>
      <c r="GZ112" s="496"/>
      <c r="HA112" s="496"/>
      <c r="HB112" s="496"/>
      <c r="HC112" s="496"/>
      <c r="HD112" s="496"/>
      <c r="HE112" s="496"/>
      <c r="HK112" s="2676"/>
      <c r="HL112" s="2676"/>
      <c r="HM112" s="2676"/>
      <c r="HN112" s="2676"/>
      <c r="HO112" s="2676"/>
      <c r="HP112" s="2676"/>
      <c r="HQ112" s="2676"/>
      <c r="HR112" s="2676"/>
      <c r="HS112" s="2676"/>
      <c r="HT112" s="2676"/>
      <c r="HU112" s="2676"/>
      <c r="HV112" s="2676"/>
      <c r="HW112" s="2678"/>
      <c r="HX112" s="2678"/>
      <c r="HY112" s="2678"/>
      <c r="HZ112" s="2678"/>
      <c r="IA112" s="2678"/>
      <c r="IB112" s="2678"/>
      <c r="IC112" s="2678"/>
      <c r="ID112" s="2678"/>
      <c r="IE112" s="2678"/>
      <c r="IF112" s="2678"/>
      <c r="IG112" s="2678"/>
      <c r="IH112" s="2676"/>
      <c r="II112" s="2676"/>
      <c r="IJ112" s="2676"/>
      <c r="IK112" s="2676"/>
      <c r="IL112" s="2677"/>
      <c r="IM112" s="2677"/>
      <c r="IN112" s="2677"/>
      <c r="IO112" s="2677"/>
      <c r="IP112" s="2677"/>
      <c r="IQ112" s="2677"/>
      <c r="IR112" s="2677"/>
      <c r="IS112" s="2677"/>
      <c r="IT112" s="2677"/>
      <c r="IU112" s="2677"/>
      <c r="IV112" s="2677"/>
      <c r="IW112" s="2676"/>
      <c r="IX112" s="2676"/>
      <c r="IY112" s="2676"/>
      <c r="IZ112" s="2676"/>
      <c r="JA112" s="2677"/>
      <c r="JB112" s="2677"/>
      <c r="JC112" s="2677"/>
      <c r="JD112" s="2677"/>
      <c r="JE112" s="2677"/>
      <c r="JF112" s="2677"/>
      <c r="JG112" s="2677"/>
      <c r="JH112" s="2677"/>
      <c r="JI112" s="2677"/>
    </row>
    <row r="113" spans="15:269" ht="4.1500000000000004" customHeight="1">
      <c r="O113" s="2682"/>
      <c r="P113" s="2682"/>
      <c r="Q113" s="2682"/>
      <c r="R113" s="2682"/>
      <c r="V113" s="516"/>
      <c r="X113" s="516"/>
      <c r="CI113" s="517"/>
      <c r="CJ113" s="662"/>
      <c r="CK113" s="664"/>
      <c r="CL113" s="662"/>
      <c r="CM113" s="662"/>
      <c r="CN113" s="662"/>
      <c r="CO113" s="662"/>
      <c r="CP113" s="662"/>
      <c r="CQ113" s="663"/>
      <c r="CR113" s="662"/>
      <c r="CS113" s="662"/>
      <c r="CT113" s="662"/>
      <c r="CU113" s="662"/>
      <c r="CV113" s="2682"/>
      <c r="CW113" s="2682"/>
      <c r="CX113" s="2682"/>
      <c r="CY113" s="2682"/>
      <c r="FH113" s="495"/>
      <c r="FI113" s="495"/>
      <c r="FJ113" s="495"/>
      <c r="FK113" s="495"/>
      <c r="FL113" s="495"/>
      <c r="FM113" s="495"/>
      <c r="FN113" s="495"/>
      <c r="FO113" s="495"/>
      <c r="FP113" s="495"/>
      <c r="FQ113" s="495"/>
      <c r="FR113" s="495"/>
      <c r="FS113" s="495"/>
      <c r="FT113" s="495"/>
      <c r="FU113" s="496"/>
      <c r="FV113" s="496"/>
      <c r="FW113" s="496"/>
      <c r="FX113" s="496"/>
      <c r="FY113" s="496"/>
      <c r="FZ113" s="496"/>
      <c r="GA113" s="496"/>
      <c r="GB113" s="496"/>
      <c r="GC113" s="496"/>
      <c r="GD113" s="496"/>
      <c r="GE113" s="496"/>
      <c r="GF113" s="496"/>
      <c r="GG113" s="496"/>
      <c r="GH113" s="496"/>
      <c r="GI113" s="496"/>
      <c r="GJ113" s="496"/>
      <c r="GK113" s="496"/>
      <c r="GL113" s="496"/>
      <c r="GM113" s="496"/>
      <c r="GN113" s="496"/>
      <c r="GO113" s="496"/>
      <c r="GP113" s="496"/>
      <c r="GQ113" s="496"/>
      <c r="GR113" s="496"/>
      <c r="GS113" s="496"/>
      <c r="GT113" s="496"/>
      <c r="GU113" s="496"/>
      <c r="GV113" s="496"/>
      <c r="GW113" s="496"/>
      <c r="GX113" s="496"/>
      <c r="GY113" s="496"/>
      <c r="GZ113" s="496"/>
      <c r="HA113" s="496"/>
      <c r="HB113" s="496"/>
      <c r="HC113" s="496"/>
      <c r="HD113" s="496"/>
      <c r="HE113" s="496"/>
      <c r="HK113" s="2676"/>
      <c r="HL113" s="2676"/>
      <c r="HM113" s="2676"/>
      <c r="HN113" s="2676"/>
      <c r="HO113" s="2676"/>
      <c r="HP113" s="2676"/>
      <c r="HQ113" s="2676"/>
      <c r="HR113" s="2676"/>
      <c r="HS113" s="2676"/>
      <c r="HT113" s="2676"/>
      <c r="HU113" s="2676"/>
      <c r="HV113" s="2676"/>
      <c r="HW113" s="2678"/>
      <c r="HX113" s="2678"/>
      <c r="HY113" s="2678"/>
      <c r="HZ113" s="2678"/>
      <c r="IA113" s="2678"/>
      <c r="IB113" s="2678"/>
      <c r="IC113" s="2678"/>
      <c r="ID113" s="2678"/>
      <c r="IE113" s="2678"/>
      <c r="IF113" s="2678"/>
      <c r="IG113" s="2678"/>
      <c r="IH113" s="2676"/>
      <c r="II113" s="2676"/>
      <c r="IJ113" s="2676"/>
      <c r="IK113" s="2676"/>
      <c r="IL113" s="2677"/>
      <c r="IM113" s="2677"/>
      <c r="IN113" s="2677"/>
      <c r="IO113" s="2677"/>
      <c r="IP113" s="2677"/>
      <c r="IQ113" s="2677"/>
      <c r="IR113" s="2677"/>
      <c r="IS113" s="2677"/>
      <c r="IT113" s="2677"/>
      <c r="IU113" s="2677"/>
      <c r="IV113" s="2677"/>
      <c r="IW113" s="2676"/>
      <c r="IX113" s="2676"/>
      <c r="IY113" s="2676"/>
      <c r="IZ113" s="2676"/>
      <c r="JA113" s="2677"/>
      <c r="JB113" s="2677"/>
      <c r="JC113" s="2677"/>
      <c r="JD113" s="2677"/>
      <c r="JE113" s="2677"/>
      <c r="JF113" s="2677"/>
      <c r="JG113" s="2677"/>
      <c r="JH113" s="2677"/>
      <c r="JI113" s="2677"/>
    </row>
    <row r="114" spans="15:269" ht="4.1500000000000004" customHeight="1">
      <c r="O114" s="2682"/>
      <c r="P114" s="2682"/>
      <c r="Q114" s="2682"/>
      <c r="R114" s="2682"/>
      <c r="V114" s="516"/>
      <c r="X114" s="516"/>
      <c r="CI114" s="517"/>
      <c r="CJ114" s="662"/>
      <c r="CK114" s="664"/>
      <c r="CL114" s="662"/>
      <c r="CM114" s="662"/>
      <c r="CN114" s="662"/>
      <c r="CO114" s="662"/>
      <c r="CP114" s="662"/>
      <c r="CQ114" s="663"/>
      <c r="CR114" s="662"/>
      <c r="CS114" s="662"/>
      <c r="CT114" s="662"/>
      <c r="CU114" s="662"/>
      <c r="CV114" s="2682"/>
      <c r="CW114" s="2682"/>
      <c r="CX114" s="2682"/>
      <c r="CY114" s="2682"/>
      <c r="FH114" s="506"/>
      <c r="FI114" s="495"/>
      <c r="FJ114" s="495"/>
      <c r="FK114" s="495"/>
      <c r="FL114" s="495"/>
      <c r="FM114" s="507"/>
      <c r="FN114" s="507"/>
      <c r="FO114" s="507"/>
      <c r="FP114" s="507"/>
      <c r="FQ114" s="507"/>
      <c r="FR114" s="507"/>
      <c r="FS114" s="507"/>
      <c r="FT114" s="507"/>
      <c r="FU114" s="507"/>
      <c r="FV114" s="507"/>
      <c r="FW114" s="507"/>
      <c r="FX114" s="495"/>
      <c r="FY114" s="495"/>
      <c r="FZ114" s="495"/>
      <c r="GA114" s="495"/>
      <c r="GB114" s="507"/>
      <c r="GC114" s="2663">
        <f>SUM(GC95:GW97)</f>
        <v>0.89999999999999991</v>
      </c>
      <c r="GD114" s="2664"/>
      <c r="GE114" s="2664"/>
      <c r="GF114" s="2664"/>
      <c r="GG114" s="2664"/>
      <c r="GH114" s="2664"/>
      <c r="GI114" s="2664"/>
      <c r="GJ114" s="2664"/>
      <c r="GK114" s="2664"/>
      <c r="GL114" s="2664"/>
      <c r="GM114" s="2664"/>
      <c r="GN114" s="2664"/>
      <c r="GO114" s="2664"/>
      <c r="GP114" s="2664"/>
      <c r="GQ114" s="2664"/>
      <c r="GR114" s="2664"/>
      <c r="GS114" s="2664"/>
      <c r="GT114" s="2664"/>
      <c r="GU114" s="2664"/>
      <c r="GV114" s="2664"/>
      <c r="GW114" s="2665"/>
      <c r="GX114" s="495"/>
      <c r="GY114" s="495"/>
      <c r="GZ114" s="495"/>
      <c r="HA114" s="495"/>
      <c r="HB114" s="495"/>
      <c r="HC114" s="495"/>
      <c r="HD114" s="495"/>
      <c r="HE114" s="495"/>
      <c r="HK114" s="2676" t="s">
        <v>1953</v>
      </c>
      <c r="HL114" s="2676"/>
      <c r="HM114" s="2676"/>
      <c r="HN114" s="2676"/>
      <c r="HO114" s="2676"/>
      <c r="HP114" s="2676"/>
      <c r="HQ114" s="2676"/>
      <c r="HR114" s="2676"/>
      <c r="HS114" s="2676"/>
      <c r="HT114" s="2676"/>
      <c r="HU114" s="2676"/>
      <c r="HV114" s="2676"/>
      <c r="HW114" s="2678">
        <v>2</v>
      </c>
      <c r="HX114" s="2678"/>
      <c r="HY114" s="2678"/>
      <c r="HZ114" s="2678"/>
      <c r="IA114" s="2678"/>
      <c r="IB114" s="2678"/>
      <c r="IC114" s="2678"/>
      <c r="ID114" s="2678"/>
      <c r="IE114" s="2678"/>
      <c r="IF114" s="2678"/>
      <c r="IG114" s="2678"/>
      <c r="IH114" s="2676" t="s">
        <v>901</v>
      </c>
      <c r="II114" s="2676"/>
      <c r="IJ114" s="2676"/>
      <c r="IK114" s="2676"/>
      <c r="IL114" s="2677">
        <f>BM140</f>
        <v>0</v>
      </c>
      <c r="IM114" s="2677"/>
      <c r="IN114" s="2677"/>
      <c r="IO114" s="2677"/>
      <c r="IP114" s="2677"/>
      <c r="IQ114" s="2677"/>
      <c r="IR114" s="2677"/>
      <c r="IS114" s="2677"/>
      <c r="IT114" s="2677"/>
      <c r="IU114" s="2677"/>
      <c r="IV114" s="2677"/>
      <c r="IW114" s="2676" t="s">
        <v>901</v>
      </c>
      <c r="IX114" s="2676"/>
      <c r="IY114" s="2676"/>
      <c r="IZ114" s="2676"/>
      <c r="JA114" s="2677">
        <f>JA108</f>
        <v>2.1</v>
      </c>
      <c r="JB114" s="2677"/>
      <c r="JC114" s="2677"/>
      <c r="JD114" s="2677"/>
      <c r="JE114" s="2677"/>
      <c r="JF114" s="2677"/>
      <c r="JG114" s="2677"/>
      <c r="JH114" s="2677"/>
      <c r="JI114" s="2677"/>
    </row>
    <row r="115" spans="15:269" ht="4.1500000000000004" customHeight="1">
      <c r="O115" s="2682"/>
      <c r="P115" s="2682"/>
      <c r="Q115" s="2682"/>
      <c r="R115" s="2682"/>
      <c r="V115" s="516"/>
      <c r="X115" s="516"/>
      <c r="CI115" s="517"/>
      <c r="CJ115" s="662"/>
      <c r="CK115" s="664"/>
      <c r="CL115" s="662"/>
      <c r="CM115" s="662"/>
      <c r="CN115" s="662"/>
      <c r="CO115" s="662"/>
      <c r="CP115" s="662"/>
      <c r="CQ115" s="663"/>
      <c r="CR115" s="662"/>
      <c r="CS115" s="662"/>
      <c r="CT115" s="662"/>
      <c r="CU115" s="662"/>
      <c r="CV115" s="662"/>
      <c r="CW115" s="662"/>
      <c r="CX115" s="663"/>
      <c r="CY115" s="662"/>
      <c r="FH115" s="506"/>
      <c r="FI115" s="495"/>
      <c r="FJ115" s="495"/>
      <c r="FK115" s="495"/>
      <c r="FL115" s="495"/>
      <c r="FM115" s="507"/>
      <c r="FN115" s="507"/>
      <c r="FO115" s="507"/>
      <c r="FP115" s="507"/>
      <c r="FQ115" s="507"/>
      <c r="FR115" s="507"/>
      <c r="FS115" s="507"/>
      <c r="FT115" s="507"/>
      <c r="FU115" s="507"/>
      <c r="FV115" s="507"/>
      <c r="FW115" s="507"/>
      <c r="FX115" s="495"/>
      <c r="FY115" s="495"/>
      <c r="FZ115" s="495"/>
      <c r="GA115" s="495"/>
      <c r="GB115" s="507"/>
      <c r="GC115" s="2663"/>
      <c r="GD115" s="2664"/>
      <c r="GE115" s="2664"/>
      <c r="GF115" s="2664"/>
      <c r="GG115" s="2664"/>
      <c r="GH115" s="2664"/>
      <c r="GI115" s="2664"/>
      <c r="GJ115" s="2664"/>
      <c r="GK115" s="2664"/>
      <c r="GL115" s="2664"/>
      <c r="GM115" s="2664"/>
      <c r="GN115" s="2664"/>
      <c r="GO115" s="2664"/>
      <c r="GP115" s="2664"/>
      <c r="GQ115" s="2664"/>
      <c r="GR115" s="2664"/>
      <c r="GS115" s="2664"/>
      <c r="GT115" s="2664"/>
      <c r="GU115" s="2664"/>
      <c r="GV115" s="2664"/>
      <c r="GW115" s="2665"/>
      <c r="GX115" s="495"/>
      <c r="GY115" s="495"/>
      <c r="GZ115" s="495"/>
      <c r="HA115" s="495"/>
      <c r="HB115" s="495"/>
      <c r="HC115" s="495"/>
      <c r="HD115" s="495"/>
      <c r="HE115" s="495"/>
      <c r="HK115" s="2676"/>
      <c r="HL115" s="2676"/>
      <c r="HM115" s="2676"/>
      <c r="HN115" s="2676"/>
      <c r="HO115" s="2676"/>
      <c r="HP115" s="2676"/>
      <c r="HQ115" s="2676"/>
      <c r="HR115" s="2676"/>
      <c r="HS115" s="2676"/>
      <c r="HT115" s="2676"/>
      <c r="HU115" s="2676"/>
      <c r="HV115" s="2676"/>
      <c r="HW115" s="2678"/>
      <c r="HX115" s="2678"/>
      <c r="HY115" s="2678"/>
      <c r="HZ115" s="2678"/>
      <c r="IA115" s="2678"/>
      <c r="IB115" s="2678"/>
      <c r="IC115" s="2678"/>
      <c r="ID115" s="2678"/>
      <c r="IE115" s="2678"/>
      <c r="IF115" s="2678"/>
      <c r="IG115" s="2678"/>
      <c r="IH115" s="2676"/>
      <c r="II115" s="2676"/>
      <c r="IJ115" s="2676"/>
      <c r="IK115" s="2676"/>
      <c r="IL115" s="2677"/>
      <c r="IM115" s="2677"/>
      <c r="IN115" s="2677"/>
      <c r="IO115" s="2677"/>
      <c r="IP115" s="2677"/>
      <c r="IQ115" s="2677"/>
      <c r="IR115" s="2677"/>
      <c r="IS115" s="2677"/>
      <c r="IT115" s="2677"/>
      <c r="IU115" s="2677"/>
      <c r="IV115" s="2677"/>
      <c r="IW115" s="2676"/>
      <c r="IX115" s="2676"/>
      <c r="IY115" s="2676"/>
      <c r="IZ115" s="2676"/>
      <c r="JA115" s="2677"/>
      <c r="JB115" s="2677"/>
      <c r="JC115" s="2677"/>
      <c r="JD115" s="2677"/>
      <c r="JE115" s="2677"/>
      <c r="JF115" s="2677"/>
      <c r="JG115" s="2677"/>
      <c r="JH115" s="2677"/>
      <c r="JI115" s="2677"/>
    </row>
    <row r="116" spans="15:269" ht="4.1500000000000004" customHeight="1">
      <c r="Q116" s="516"/>
      <c r="V116" s="516"/>
      <c r="X116" s="516"/>
      <c r="CI116" s="517"/>
      <c r="CJ116" s="662"/>
      <c r="CK116" s="664"/>
      <c r="CL116" s="662"/>
      <c r="CM116" s="662"/>
      <c r="CN116" s="662"/>
      <c r="CO116" s="662"/>
      <c r="CP116" s="662"/>
      <c r="CQ116" s="663"/>
      <c r="CR116" s="662"/>
      <c r="CS116" s="662"/>
      <c r="CT116" s="662"/>
      <c r="CU116" s="662"/>
      <c r="CV116" s="662"/>
      <c r="CW116" s="662"/>
      <c r="CX116" s="663"/>
      <c r="CY116" s="662"/>
      <c r="FH116" s="506"/>
      <c r="FI116" s="495"/>
      <c r="FJ116" s="495"/>
      <c r="FK116" s="495"/>
      <c r="FL116" s="495"/>
      <c r="FM116" s="507"/>
      <c r="FN116" s="507"/>
      <c r="FO116" s="507"/>
      <c r="FP116" s="507"/>
      <c r="FQ116" s="507"/>
      <c r="FR116" s="507"/>
      <c r="FS116" s="507"/>
      <c r="FT116" s="507"/>
      <c r="FU116" s="507"/>
      <c r="FV116" s="507"/>
      <c r="FW116" s="507"/>
      <c r="FX116" s="495"/>
      <c r="FY116" s="495"/>
      <c r="FZ116" s="495"/>
      <c r="GA116" s="495"/>
      <c r="GB116" s="507"/>
      <c r="GC116" s="2663"/>
      <c r="GD116" s="2664"/>
      <c r="GE116" s="2664"/>
      <c r="GF116" s="2664"/>
      <c r="GG116" s="2664"/>
      <c r="GH116" s="2664"/>
      <c r="GI116" s="2664"/>
      <c r="GJ116" s="2664"/>
      <c r="GK116" s="2664"/>
      <c r="GL116" s="2664"/>
      <c r="GM116" s="2664"/>
      <c r="GN116" s="2664"/>
      <c r="GO116" s="2664"/>
      <c r="GP116" s="2664"/>
      <c r="GQ116" s="2664"/>
      <c r="GR116" s="2664"/>
      <c r="GS116" s="2664"/>
      <c r="GT116" s="2664"/>
      <c r="GU116" s="2664"/>
      <c r="GV116" s="2664"/>
      <c r="GW116" s="2665"/>
      <c r="GX116" s="495"/>
      <c r="GY116" s="495"/>
      <c r="GZ116" s="495"/>
      <c r="HA116" s="495"/>
      <c r="HB116" s="495"/>
      <c r="HC116" s="495"/>
      <c r="HD116" s="495"/>
      <c r="HE116" s="495"/>
      <c r="HK116" s="2676"/>
      <c r="HL116" s="2676"/>
      <c r="HM116" s="2676"/>
      <c r="HN116" s="2676"/>
      <c r="HO116" s="2676"/>
      <c r="HP116" s="2676"/>
      <c r="HQ116" s="2676"/>
      <c r="HR116" s="2676"/>
      <c r="HS116" s="2676"/>
      <c r="HT116" s="2676"/>
      <c r="HU116" s="2676"/>
      <c r="HV116" s="2676"/>
      <c r="HW116" s="2678"/>
      <c r="HX116" s="2678"/>
      <c r="HY116" s="2678"/>
      <c r="HZ116" s="2678"/>
      <c r="IA116" s="2678"/>
      <c r="IB116" s="2678"/>
      <c r="IC116" s="2678"/>
      <c r="ID116" s="2678"/>
      <c r="IE116" s="2678"/>
      <c r="IF116" s="2678"/>
      <c r="IG116" s="2678"/>
      <c r="IH116" s="2676"/>
      <c r="II116" s="2676"/>
      <c r="IJ116" s="2676"/>
      <c r="IK116" s="2676"/>
      <c r="IL116" s="2677"/>
      <c r="IM116" s="2677"/>
      <c r="IN116" s="2677"/>
      <c r="IO116" s="2677"/>
      <c r="IP116" s="2677"/>
      <c r="IQ116" s="2677"/>
      <c r="IR116" s="2677"/>
      <c r="IS116" s="2677"/>
      <c r="IT116" s="2677"/>
      <c r="IU116" s="2677"/>
      <c r="IV116" s="2677"/>
      <c r="IW116" s="2676"/>
      <c r="IX116" s="2676"/>
      <c r="IY116" s="2676"/>
      <c r="IZ116" s="2676"/>
      <c r="JA116" s="2677"/>
      <c r="JB116" s="2677"/>
      <c r="JC116" s="2677"/>
      <c r="JD116" s="2677"/>
      <c r="JE116" s="2677"/>
      <c r="JF116" s="2677"/>
      <c r="JG116" s="2677"/>
      <c r="JH116" s="2677"/>
      <c r="JI116" s="2677"/>
    </row>
    <row r="117" spans="15:269" ht="4.1500000000000004" customHeight="1">
      <c r="Q117" s="516"/>
      <c r="V117" s="516"/>
      <c r="X117" s="516"/>
      <c r="CI117" s="517"/>
      <c r="CJ117" s="662"/>
      <c r="CK117" s="664"/>
      <c r="CL117" s="662"/>
      <c r="CM117" s="662"/>
      <c r="CN117" s="662"/>
      <c r="CO117" s="662"/>
      <c r="CP117" s="662"/>
      <c r="CQ117" s="663"/>
      <c r="CR117" s="662"/>
      <c r="CS117" s="662"/>
      <c r="CT117" s="662"/>
      <c r="CU117" s="662"/>
      <c r="CV117" s="662"/>
      <c r="CW117" s="662"/>
      <c r="CX117" s="663"/>
      <c r="CY117" s="662"/>
      <c r="HK117" s="2676" t="s">
        <v>3009</v>
      </c>
      <c r="HL117" s="2676"/>
      <c r="HM117" s="2676"/>
      <c r="HN117" s="2676"/>
      <c r="HO117" s="2676"/>
      <c r="HP117" s="2676"/>
      <c r="HQ117" s="2676"/>
      <c r="HR117" s="2676"/>
      <c r="HS117" s="2676"/>
      <c r="HT117" s="2676"/>
      <c r="HU117" s="2676"/>
      <c r="HV117" s="2676"/>
      <c r="HW117" s="2678">
        <v>2</v>
      </c>
      <c r="HX117" s="2678"/>
      <c r="HY117" s="2678"/>
      <c r="HZ117" s="2678"/>
      <c r="IA117" s="2678"/>
      <c r="IB117" s="2678"/>
      <c r="IC117" s="2678"/>
      <c r="ID117" s="2678"/>
      <c r="IE117" s="2678"/>
      <c r="IF117" s="2678"/>
      <c r="IG117" s="2678"/>
      <c r="IH117" s="2676" t="s">
        <v>901</v>
      </c>
      <c r="II117" s="2676"/>
      <c r="IJ117" s="2676"/>
      <c r="IK117" s="2676"/>
      <c r="IL117" s="2677">
        <f>BM143</f>
        <v>0</v>
      </c>
      <c r="IM117" s="2677"/>
      <c r="IN117" s="2677"/>
      <c r="IO117" s="2677"/>
      <c r="IP117" s="2677"/>
      <c r="IQ117" s="2677"/>
      <c r="IR117" s="2677"/>
      <c r="IS117" s="2677"/>
      <c r="IT117" s="2677"/>
      <c r="IU117" s="2677"/>
      <c r="IV117" s="2677"/>
      <c r="IW117" s="2676" t="s">
        <v>901</v>
      </c>
      <c r="IX117" s="2676"/>
      <c r="IY117" s="2676"/>
      <c r="IZ117" s="2676"/>
      <c r="JA117" s="2677">
        <f>JA111</f>
        <v>1.2</v>
      </c>
      <c r="JB117" s="2677"/>
      <c r="JC117" s="2677"/>
      <c r="JD117" s="2677"/>
      <c r="JE117" s="2677"/>
      <c r="JF117" s="2677"/>
      <c r="JG117" s="2677"/>
      <c r="JH117" s="2677"/>
      <c r="JI117" s="2677"/>
    </row>
    <row r="118" spans="15:269" ht="4.1500000000000004" customHeight="1">
      <c r="Q118" s="516"/>
      <c r="V118" s="516"/>
      <c r="X118" s="516"/>
      <c r="CI118" s="517"/>
      <c r="CJ118" s="662"/>
      <c r="CK118" s="664"/>
      <c r="CL118" s="662"/>
      <c r="CM118" s="662"/>
      <c r="CN118" s="662"/>
      <c r="CO118" s="662"/>
      <c r="CP118" s="662"/>
      <c r="CQ118" s="663"/>
      <c r="CR118" s="662"/>
      <c r="CS118" s="662"/>
      <c r="CT118" s="662"/>
      <c r="CU118" s="662"/>
      <c r="CV118" s="662"/>
      <c r="CW118" s="662"/>
      <c r="CX118" s="663"/>
      <c r="CY118" s="662"/>
      <c r="HK118" s="2676"/>
      <c r="HL118" s="2676"/>
      <c r="HM118" s="2676"/>
      <c r="HN118" s="2676"/>
      <c r="HO118" s="2676"/>
      <c r="HP118" s="2676"/>
      <c r="HQ118" s="2676"/>
      <c r="HR118" s="2676"/>
      <c r="HS118" s="2676"/>
      <c r="HT118" s="2676"/>
      <c r="HU118" s="2676"/>
      <c r="HV118" s="2676"/>
      <c r="HW118" s="2678"/>
      <c r="HX118" s="2678"/>
      <c r="HY118" s="2678"/>
      <c r="HZ118" s="2678"/>
      <c r="IA118" s="2678"/>
      <c r="IB118" s="2678"/>
      <c r="IC118" s="2678"/>
      <c r="ID118" s="2678"/>
      <c r="IE118" s="2678"/>
      <c r="IF118" s="2678"/>
      <c r="IG118" s="2678"/>
      <c r="IH118" s="2676"/>
      <c r="II118" s="2676"/>
      <c r="IJ118" s="2676"/>
      <c r="IK118" s="2676"/>
      <c r="IL118" s="2677"/>
      <c r="IM118" s="2677"/>
      <c r="IN118" s="2677"/>
      <c r="IO118" s="2677"/>
      <c r="IP118" s="2677"/>
      <c r="IQ118" s="2677"/>
      <c r="IR118" s="2677"/>
      <c r="IS118" s="2677"/>
      <c r="IT118" s="2677"/>
      <c r="IU118" s="2677"/>
      <c r="IV118" s="2677"/>
      <c r="IW118" s="2676"/>
      <c r="IX118" s="2676"/>
      <c r="IY118" s="2676"/>
      <c r="IZ118" s="2676"/>
      <c r="JA118" s="2677"/>
      <c r="JB118" s="2677"/>
      <c r="JC118" s="2677"/>
      <c r="JD118" s="2677"/>
      <c r="JE118" s="2677"/>
      <c r="JF118" s="2677"/>
      <c r="JG118" s="2677"/>
      <c r="JH118" s="2677"/>
      <c r="JI118" s="2677"/>
    </row>
    <row r="119" spans="15:269" ht="4.1500000000000004" customHeight="1">
      <c r="Q119" s="516"/>
      <c r="V119" s="516"/>
      <c r="X119" s="516"/>
      <c r="CI119" s="517"/>
      <c r="CJ119" s="662"/>
      <c r="CK119" s="664"/>
      <c r="CL119" s="662"/>
      <c r="CM119" s="662"/>
      <c r="CN119" s="662"/>
      <c r="CO119" s="662"/>
      <c r="CP119" s="662"/>
      <c r="CQ119" s="663"/>
      <c r="CR119" s="662"/>
      <c r="CS119" s="662"/>
      <c r="CT119" s="662"/>
      <c r="CU119" s="662"/>
      <c r="CV119" s="662"/>
      <c r="CW119" s="662"/>
      <c r="CX119" s="663"/>
      <c r="CY119" s="662"/>
      <c r="HK119" s="2676"/>
      <c r="HL119" s="2676"/>
      <c r="HM119" s="2676"/>
      <c r="HN119" s="2676"/>
      <c r="HO119" s="2676"/>
      <c r="HP119" s="2676"/>
      <c r="HQ119" s="2676"/>
      <c r="HR119" s="2676"/>
      <c r="HS119" s="2676"/>
      <c r="HT119" s="2676"/>
      <c r="HU119" s="2676"/>
      <c r="HV119" s="2676"/>
      <c r="HW119" s="2678"/>
      <c r="HX119" s="2678"/>
      <c r="HY119" s="2678"/>
      <c r="HZ119" s="2678"/>
      <c r="IA119" s="2678"/>
      <c r="IB119" s="2678"/>
      <c r="IC119" s="2678"/>
      <c r="ID119" s="2678"/>
      <c r="IE119" s="2678"/>
      <c r="IF119" s="2678"/>
      <c r="IG119" s="2678"/>
      <c r="IH119" s="2676"/>
      <c r="II119" s="2676"/>
      <c r="IJ119" s="2676"/>
      <c r="IK119" s="2676"/>
      <c r="IL119" s="2677"/>
      <c r="IM119" s="2677"/>
      <c r="IN119" s="2677"/>
      <c r="IO119" s="2677"/>
      <c r="IP119" s="2677"/>
      <c r="IQ119" s="2677"/>
      <c r="IR119" s="2677"/>
      <c r="IS119" s="2677"/>
      <c r="IT119" s="2677"/>
      <c r="IU119" s="2677"/>
      <c r="IV119" s="2677"/>
      <c r="IW119" s="2676"/>
      <c r="IX119" s="2676"/>
      <c r="IY119" s="2676"/>
      <c r="IZ119" s="2676"/>
      <c r="JA119" s="2677"/>
      <c r="JB119" s="2677"/>
      <c r="JC119" s="2677"/>
      <c r="JD119" s="2677"/>
      <c r="JE119" s="2677"/>
      <c r="JF119" s="2677"/>
      <c r="JG119" s="2677"/>
      <c r="JH119" s="2677"/>
      <c r="JI119" s="2677"/>
    </row>
    <row r="120" spans="15:269" ht="4.1500000000000004" customHeight="1">
      <c r="Q120" s="516"/>
      <c r="V120" s="516"/>
      <c r="X120" s="516"/>
      <c r="CI120" s="517"/>
      <c r="CJ120" s="662"/>
      <c r="CK120" s="664"/>
      <c r="CL120" s="662"/>
      <c r="CM120" s="662"/>
      <c r="CN120" s="662"/>
      <c r="CO120" s="662"/>
      <c r="CP120" s="662"/>
      <c r="CQ120" s="663"/>
      <c r="CR120" s="662"/>
      <c r="CS120" s="662"/>
      <c r="CT120" s="662"/>
      <c r="CU120" s="662"/>
      <c r="CV120" s="662"/>
      <c r="CW120" s="662"/>
      <c r="CX120" s="663"/>
      <c r="CY120" s="662"/>
      <c r="HK120" s="2676" t="s">
        <v>1954</v>
      </c>
      <c r="HL120" s="2676"/>
      <c r="HM120" s="2676"/>
      <c r="HN120" s="2676"/>
      <c r="HO120" s="2676"/>
      <c r="HP120" s="2676"/>
      <c r="HQ120" s="2676"/>
      <c r="HR120" s="2676"/>
      <c r="HS120" s="2676"/>
      <c r="HT120" s="2676"/>
      <c r="HU120" s="2676"/>
      <c r="HV120" s="2676"/>
      <c r="HW120" s="2678">
        <v>2</v>
      </c>
      <c r="HX120" s="2678"/>
      <c r="HY120" s="2678"/>
      <c r="HZ120" s="2678"/>
      <c r="IA120" s="2678"/>
      <c r="IB120" s="2678"/>
      <c r="IC120" s="2678"/>
      <c r="ID120" s="2678"/>
      <c r="IE120" s="2678"/>
      <c r="IF120" s="2678"/>
      <c r="IG120" s="2678"/>
      <c r="IH120" s="2676" t="s">
        <v>901</v>
      </c>
      <c r="II120" s="2676"/>
      <c r="IJ120" s="2676"/>
      <c r="IK120" s="2676"/>
      <c r="IL120" s="2677">
        <f>BM146</f>
        <v>0</v>
      </c>
      <c r="IM120" s="2677"/>
      <c r="IN120" s="2677"/>
      <c r="IO120" s="2677"/>
      <c r="IP120" s="2677"/>
      <c r="IQ120" s="2677"/>
      <c r="IR120" s="2677"/>
      <c r="IS120" s="2677"/>
      <c r="IT120" s="2677"/>
      <c r="IU120" s="2677"/>
      <c r="IV120" s="2677"/>
      <c r="IW120" s="2676" t="s">
        <v>901</v>
      </c>
      <c r="IX120" s="2676"/>
      <c r="IY120" s="2676"/>
      <c r="IZ120" s="2676"/>
      <c r="JA120" s="2677">
        <f>JA114</f>
        <v>2.1</v>
      </c>
      <c r="JB120" s="2677"/>
      <c r="JC120" s="2677"/>
      <c r="JD120" s="2677"/>
      <c r="JE120" s="2677"/>
      <c r="JF120" s="2677"/>
      <c r="JG120" s="2677"/>
      <c r="JH120" s="2677"/>
      <c r="JI120" s="2677"/>
    </row>
    <row r="121" spans="15:269" ht="4.1500000000000004" customHeight="1">
      <c r="Q121" s="516"/>
      <c r="V121" s="516"/>
      <c r="X121" s="530"/>
      <c r="AI121" s="532"/>
      <c r="AJ121" s="532"/>
      <c r="AK121" s="532"/>
      <c r="AL121" s="532"/>
      <c r="AM121" s="532"/>
      <c r="AN121" s="532"/>
      <c r="AO121" s="532"/>
      <c r="AP121" s="532"/>
      <c r="AQ121" s="532"/>
      <c r="AR121" s="532"/>
      <c r="AS121" s="532"/>
      <c r="AT121" s="532"/>
      <c r="AU121" s="532"/>
      <c r="AV121" s="532"/>
      <c r="AW121" s="532"/>
      <c r="AX121" s="532"/>
      <c r="AY121" s="532"/>
      <c r="AZ121" s="532"/>
      <c r="BA121" s="532"/>
      <c r="BB121" s="532"/>
      <c r="BC121" s="532"/>
      <c r="BD121" s="532"/>
      <c r="BE121" s="532"/>
      <c r="BF121" s="532"/>
      <c r="BG121" s="532"/>
      <c r="BH121" s="532"/>
      <c r="BI121" s="532"/>
      <c r="BJ121" s="532"/>
      <c r="BK121" s="532"/>
      <c r="BL121" s="532"/>
      <c r="BM121" s="532"/>
      <c r="BN121" s="532"/>
      <c r="BO121" s="532"/>
      <c r="BP121" s="532"/>
      <c r="BQ121" s="532"/>
      <c r="BR121" s="532"/>
      <c r="BS121" s="532"/>
      <c r="BT121" s="532"/>
      <c r="BU121" s="532"/>
      <c r="BV121" s="532"/>
      <c r="BW121" s="532"/>
      <c r="BX121" s="532"/>
      <c r="BY121" s="532"/>
      <c r="BZ121" s="532"/>
      <c r="CA121" s="532"/>
      <c r="CB121" s="532"/>
      <c r="CC121" s="532"/>
      <c r="CD121" s="532"/>
      <c r="CE121" s="532"/>
      <c r="CF121" s="532"/>
      <c r="CG121" s="532"/>
      <c r="CH121" s="532"/>
      <c r="CI121" s="531"/>
      <c r="CJ121" s="662"/>
      <c r="CK121" s="664"/>
      <c r="CL121" s="662"/>
      <c r="CM121" s="662"/>
      <c r="CN121" s="662"/>
      <c r="CO121" s="662"/>
      <c r="CP121" s="662"/>
      <c r="CQ121" s="663"/>
      <c r="CR121" s="662"/>
      <c r="CS121" s="662"/>
      <c r="CT121" s="662"/>
      <c r="CU121" s="662"/>
      <c r="CV121" s="662"/>
      <c r="CW121" s="662"/>
      <c r="CX121" s="663"/>
      <c r="CY121" s="662"/>
      <c r="HK121" s="2676"/>
      <c r="HL121" s="2676"/>
      <c r="HM121" s="2676"/>
      <c r="HN121" s="2676"/>
      <c r="HO121" s="2676"/>
      <c r="HP121" s="2676"/>
      <c r="HQ121" s="2676"/>
      <c r="HR121" s="2676"/>
      <c r="HS121" s="2676"/>
      <c r="HT121" s="2676"/>
      <c r="HU121" s="2676"/>
      <c r="HV121" s="2676"/>
      <c r="HW121" s="2678"/>
      <c r="HX121" s="2678"/>
      <c r="HY121" s="2678"/>
      <c r="HZ121" s="2678"/>
      <c r="IA121" s="2678"/>
      <c r="IB121" s="2678"/>
      <c r="IC121" s="2678"/>
      <c r="ID121" s="2678"/>
      <c r="IE121" s="2678"/>
      <c r="IF121" s="2678"/>
      <c r="IG121" s="2678"/>
      <c r="IH121" s="2676"/>
      <c r="II121" s="2676"/>
      <c r="IJ121" s="2676"/>
      <c r="IK121" s="2676"/>
      <c r="IL121" s="2677"/>
      <c r="IM121" s="2677"/>
      <c r="IN121" s="2677"/>
      <c r="IO121" s="2677"/>
      <c r="IP121" s="2677"/>
      <c r="IQ121" s="2677"/>
      <c r="IR121" s="2677"/>
      <c r="IS121" s="2677"/>
      <c r="IT121" s="2677"/>
      <c r="IU121" s="2677"/>
      <c r="IV121" s="2677"/>
      <c r="IW121" s="2676"/>
      <c r="IX121" s="2676"/>
      <c r="IY121" s="2676"/>
      <c r="IZ121" s="2676"/>
      <c r="JA121" s="2677"/>
      <c r="JB121" s="2677"/>
      <c r="JC121" s="2677"/>
      <c r="JD121" s="2677"/>
      <c r="JE121" s="2677"/>
      <c r="JF121" s="2677"/>
      <c r="JG121" s="2677"/>
      <c r="JH121" s="2677"/>
      <c r="JI121" s="2677"/>
    </row>
    <row r="122" spans="15:269" ht="4.1500000000000004" customHeight="1">
      <c r="Q122" s="516"/>
      <c r="V122" s="522"/>
      <c r="W122" s="523"/>
      <c r="Y122" s="530"/>
      <c r="Z122" s="532"/>
      <c r="AA122" s="532"/>
      <c r="AB122" s="532"/>
      <c r="AC122" s="532"/>
      <c r="AD122" s="532"/>
      <c r="AE122" s="532"/>
      <c r="AF122" s="532"/>
      <c r="AG122" s="532"/>
      <c r="AH122" s="531"/>
      <c r="CJ122" s="1617"/>
      <c r="CK122" s="1618"/>
      <c r="CL122" s="662"/>
      <c r="CM122" s="662"/>
      <c r="CN122" s="662"/>
      <c r="CO122" s="665"/>
      <c r="CP122" s="665"/>
      <c r="CQ122" s="666"/>
      <c r="CR122" s="665"/>
      <c r="CS122" s="662"/>
      <c r="CT122" s="662"/>
      <c r="CU122" s="662"/>
      <c r="CV122" s="662"/>
      <c r="CW122" s="662"/>
      <c r="CX122" s="663"/>
      <c r="CY122" s="662"/>
      <c r="HK122" s="2676"/>
      <c r="HL122" s="2676"/>
      <c r="HM122" s="2676"/>
      <c r="HN122" s="2676"/>
      <c r="HO122" s="2676"/>
      <c r="HP122" s="2676"/>
      <c r="HQ122" s="2676"/>
      <c r="HR122" s="2676"/>
      <c r="HS122" s="2676"/>
      <c r="HT122" s="2676"/>
      <c r="HU122" s="2676"/>
      <c r="HV122" s="2676"/>
      <c r="HW122" s="2678"/>
      <c r="HX122" s="2678"/>
      <c r="HY122" s="2678"/>
      <c r="HZ122" s="2678"/>
      <c r="IA122" s="2678"/>
      <c r="IB122" s="2678"/>
      <c r="IC122" s="2678"/>
      <c r="ID122" s="2678"/>
      <c r="IE122" s="2678"/>
      <c r="IF122" s="2678"/>
      <c r="IG122" s="2678"/>
      <c r="IH122" s="2676"/>
      <c r="II122" s="2676"/>
      <c r="IJ122" s="2676"/>
      <c r="IK122" s="2676"/>
      <c r="IL122" s="2677"/>
      <c r="IM122" s="2677"/>
      <c r="IN122" s="2677"/>
      <c r="IO122" s="2677"/>
      <c r="IP122" s="2677"/>
      <c r="IQ122" s="2677"/>
      <c r="IR122" s="2677"/>
      <c r="IS122" s="2677"/>
      <c r="IT122" s="2677"/>
      <c r="IU122" s="2677"/>
      <c r="IV122" s="2677"/>
      <c r="IW122" s="2676"/>
      <c r="IX122" s="2676"/>
      <c r="IY122" s="2676"/>
      <c r="IZ122" s="2676"/>
      <c r="JA122" s="2677"/>
      <c r="JB122" s="2677"/>
      <c r="JC122" s="2677"/>
      <c r="JD122" s="2677"/>
      <c r="JE122" s="2677"/>
      <c r="JF122" s="2677"/>
      <c r="JG122" s="2677"/>
      <c r="JH122" s="2677"/>
      <c r="JI122" s="2677"/>
    </row>
    <row r="123" spans="15:269" ht="4.1500000000000004" customHeight="1">
      <c r="Q123" s="516"/>
      <c r="V123" s="522"/>
      <c r="W123" s="523"/>
      <c r="X123" s="532"/>
      <c r="Y123" s="516"/>
      <c r="AH123" s="517"/>
      <c r="AI123" s="532"/>
      <c r="AJ123" s="532"/>
      <c r="AK123" s="532"/>
      <c r="AL123" s="532"/>
      <c r="AM123" s="532"/>
      <c r="AN123" s="532"/>
      <c r="AO123" s="532"/>
      <c r="AP123" s="532"/>
      <c r="AQ123" s="532"/>
      <c r="AR123" s="532"/>
      <c r="AS123" s="532"/>
      <c r="AT123" s="532"/>
      <c r="AU123" s="532"/>
      <c r="AV123" s="532"/>
      <c r="AW123" s="532"/>
      <c r="AX123" s="532"/>
      <c r="AY123" s="532"/>
      <c r="AZ123" s="532"/>
      <c r="BA123" s="532"/>
      <c r="BB123" s="532"/>
      <c r="BC123" s="532"/>
      <c r="BD123" s="532"/>
      <c r="BE123" s="532"/>
      <c r="BF123" s="532"/>
      <c r="BG123" s="532"/>
      <c r="BH123" s="532"/>
      <c r="BI123" s="532"/>
      <c r="BJ123" s="532"/>
      <c r="BK123" s="532"/>
      <c r="BL123" s="532"/>
      <c r="BM123" s="532"/>
      <c r="BN123" s="532"/>
      <c r="BO123" s="532"/>
      <c r="BP123" s="532"/>
      <c r="BQ123" s="532"/>
      <c r="BR123" s="532"/>
      <c r="BS123" s="532"/>
      <c r="BT123" s="532"/>
      <c r="BU123" s="532"/>
      <c r="BV123" s="532"/>
      <c r="BW123" s="532"/>
      <c r="BX123" s="532"/>
      <c r="BY123" s="532"/>
      <c r="BZ123" s="532"/>
      <c r="CA123" s="532"/>
      <c r="CB123" s="532"/>
      <c r="CC123" s="532"/>
      <c r="CD123" s="532"/>
      <c r="CE123" s="532"/>
      <c r="CF123" s="532"/>
      <c r="CG123" s="532"/>
      <c r="CH123" s="532"/>
      <c r="CI123" s="532"/>
      <c r="CJ123" s="1617"/>
      <c r="CK123" s="1618"/>
      <c r="CL123" s="662"/>
      <c r="CM123" s="662"/>
      <c r="CN123" s="662"/>
      <c r="CO123" s="667"/>
      <c r="CP123" s="667"/>
      <c r="CQ123" s="668"/>
      <c r="CR123" s="667"/>
      <c r="CS123" s="662"/>
      <c r="CT123" s="662"/>
      <c r="CU123" s="662"/>
      <c r="CV123" s="662"/>
      <c r="CW123" s="662"/>
      <c r="CX123" s="663"/>
      <c r="CY123" s="662"/>
      <c r="HK123" s="2676" t="s">
        <v>1877</v>
      </c>
      <c r="HL123" s="2676"/>
      <c r="HM123" s="2676"/>
      <c r="HN123" s="2676"/>
      <c r="HO123" s="2676"/>
      <c r="HP123" s="2676"/>
      <c r="HQ123" s="2676"/>
      <c r="HR123" s="2676"/>
      <c r="HS123" s="2676"/>
      <c r="HT123" s="2676"/>
      <c r="HU123" s="2676"/>
      <c r="HV123" s="2676"/>
      <c r="HW123" s="2678">
        <v>2</v>
      </c>
      <c r="HX123" s="2678"/>
      <c r="HY123" s="2678"/>
      <c r="HZ123" s="2678"/>
      <c r="IA123" s="2678"/>
      <c r="IB123" s="2678"/>
      <c r="IC123" s="2678"/>
      <c r="ID123" s="2678"/>
      <c r="IE123" s="2678"/>
      <c r="IF123" s="2678"/>
      <c r="IG123" s="2678"/>
      <c r="IH123" s="2676" t="s">
        <v>901</v>
      </c>
      <c r="II123" s="2676"/>
      <c r="IJ123" s="2676"/>
      <c r="IK123" s="2676"/>
      <c r="IL123" s="2677">
        <f>BM149</f>
        <v>0</v>
      </c>
      <c r="IM123" s="2677"/>
      <c r="IN123" s="2677"/>
      <c r="IO123" s="2677"/>
      <c r="IP123" s="2677"/>
      <c r="IQ123" s="2677"/>
      <c r="IR123" s="2677"/>
      <c r="IS123" s="2677"/>
      <c r="IT123" s="2677"/>
      <c r="IU123" s="2677"/>
      <c r="IV123" s="2677"/>
      <c r="IW123" s="2676" t="s">
        <v>901</v>
      </c>
      <c r="IX123" s="2676"/>
      <c r="IY123" s="2676"/>
      <c r="IZ123" s="2676"/>
      <c r="JA123" s="2677">
        <f>JA117</f>
        <v>1.2</v>
      </c>
      <c r="JB123" s="2677"/>
      <c r="JC123" s="2677"/>
      <c r="JD123" s="2677"/>
      <c r="JE123" s="2677"/>
      <c r="JF123" s="2677"/>
      <c r="JG123" s="2677"/>
      <c r="JH123" s="2677"/>
      <c r="JI123" s="2677"/>
    </row>
    <row r="124" spans="15:269" ht="4.1500000000000004" customHeight="1">
      <c r="Q124" s="516"/>
      <c r="V124" s="516"/>
      <c r="X124" s="515"/>
      <c r="AI124" s="514"/>
      <c r="AJ124" s="514"/>
      <c r="AK124" s="514"/>
      <c r="AL124" s="514"/>
      <c r="AM124" s="514"/>
      <c r="AN124" s="514"/>
      <c r="AO124" s="514"/>
      <c r="AP124" s="514"/>
      <c r="AQ124" s="514"/>
      <c r="AR124" s="514"/>
      <c r="AS124" s="514"/>
      <c r="AT124" s="514"/>
      <c r="AU124" s="514"/>
      <c r="AV124" s="514"/>
      <c r="AW124" s="514"/>
      <c r="AX124" s="514"/>
      <c r="AY124" s="514"/>
      <c r="AZ124" s="514"/>
      <c r="BA124" s="514"/>
      <c r="BB124" s="514"/>
      <c r="BC124" s="514"/>
      <c r="BD124" s="514"/>
      <c r="BE124" s="514"/>
      <c r="BF124" s="514"/>
      <c r="BG124" s="514"/>
      <c r="BH124" s="514"/>
      <c r="BI124" s="514"/>
      <c r="BJ124" s="514"/>
      <c r="BK124" s="514"/>
      <c r="BL124" s="514"/>
      <c r="BM124" s="514"/>
      <c r="BN124" s="514"/>
      <c r="BO124" s="514"/>
      <c r="BP124" s="514"/>
      <c r="BQ124" s="514"/>
      <c r="BR124" s="514"/>
      <c r="BS124" s="514"/>
      <c r="BT124" s="514"/>
      <c r="BU124" s="514"/>
      <c r="BV124" s="514"/>
      <c r="BW124" s="514"/>
      <c r="BX124" s="514"/>
      <c r="BY124" s="514"/>
      <c r="BZ124" s="514"/>
      <c r="CA124" s="514"/>
      <c r="CB124" s="514"/>
      <c r="CC124" s="514"/>
      <c r="CD124" s="514"/>
      <c r="CE124" s="514"/>
      <c r="CF124" s="514"/>
      <c r="CG124" s="514"/>
      <c r="CH124" s="514"/>
      <c r="CI124" s="518"/>
      <c r="CJ124" s="662"/>
      <c r="CK124" s="664"/>
      <c r="CL124" s="662"/>
      <c r="CM124" s="662"/>
      <c r="CN124" s="662"/>
      <c r="CO124" s="662"/>
      <c r="CP124" s="662"/>
      <c r="CQ124" s="663"/>
      <c r="CR124" s="662"/>
      <c r="CS124" s="662"/>
      <c r="CT124" s="662"/>
      <c r="CU124" s="662"/>
      <c r="CV124" s="662"/>
      <c r="CW124" s="662"/>
      <c r="CX124" s="663"/>
      <c r="CY124" s="662"/>
      <c r="HK124" s="2676"/>
      <c r="HL124" s="2676"/>
      <c r="HM124" s="2676"/>
      <c r="HN124" s="2676"/>
      <c r="HO124" s="2676"/>
      <c r="HP124" s="2676"/>
      <c r="HQ124" s="2676"/>
      <c r="HR124" s="2676"/>
      <c r="HS124" s="2676"/>
      <c r="HT124" s="2676"/>
      <c r="HU124" s="2676"/>
      <c r="HV124" s="2676"/>
      <c r="HW124" s="2678"/>
      <c r="HX124" s="2678"/>
      <c r="HY124" s="2678"/>
      <c r="HZ124" s="2678"/>
      <c r="IA124" s="2678"/>
      <c r="IB124" s="2678"/>
      <c r="IC124" s="2678"/>
      <c r="ID124" s="2678"/>
      <c r="IE124" s="2678"/>
      <c r="IF124" s="2678"/>
      <c r="IG124" s="2678"/>
      <c r="IH124" s="2676"/>
      <c r="II124" s="2676"/>
      <c r="IJ124" s="2676"/>
      <c r="IK124" s="2676"/>
      <c r="IL124" s="2677"/>
      <c r="IM124" s="2677"/>
      <c r="IN124" s="2677"/>
      <c r="IO124" s="2677"/>
      <c r="IP124" s="2677"/>
      <c r="IQ124" s="2677"/>
      <c r="IR124" s="2677"/>
      <c r="IS124" s="2677"/>
      <c r="IT124" s="2677"/>
      <c r="IU124" s="2677"/>
      <c r="IV124" s="2677"/>
      <c r="IW124" s="2676"/>
      <c r="IX124" s="2676"/>
      <c r="IY124" s="2676"/>
      <c r="IZ124" s="2676"/>
      <c r="JA124" s="2677"/>
      <c r="JB124" s="2677"/>
      <c r="JC124" s="2677"/>
      <c r="JD124" s="2677"/>
      <c r="JE124" s="2677"/>
      <c r="JF124" s="2677"/>
      <c r="JG124" s="2677"/>
      <c r="JH124" s="2677"/>
      <c r="JI124" s="2677"/>
    </row>
    <row r="125" spans="15:269" ht="4.1500000000000004" customHeight="1">
      <c r="Q125" s="516"/>
      <c r="V125" s="516"/>
      <c r="X125" s="516"/>
      <c r="CI125" s="517"/>
      <c r="CJ125" s="662"/>
      <c r="CK125" s="664"/>
      <c r="CL125" s="662"/>
      <c r="CM125" s="662"/>
      <c r="CN125" s="662"/>
      <c r="CO125" s="662"/>
      <c r="CP125" s="662"/>
      <c r="CQ125" s="663"/>
      <c r="CR125" s="662"/>
      <c r="CS125" s="662"/>
      <c r="CT125" s="662"/>
      <c r="CU125" s="662"/>
      <c r="CV125" s="662"/>
      <c r="CW125" s="662"/>
      <c r="CX125" s="663"/>
      <c r="CY125" s="662"/>
      <c r="HK125" s="2676"/>
      <c r="HL125" s="2676"/>
      <c r="HM125" s="2676"/>
      <c r="HN125" s="2676"/>
      <c r="HO125" s="2676"/>
      <c r="HP125" s="2676"/>
      <c r="HQ125" s="2676"/>
      <c r="HR125" s="2676"/>
      <c r="HS125" s="2676"/>
      <c r="HT125" s="2676"/>
      <c r="HU125" s="2676"/>
      <c r="HV125" s="2676"/>
      <c r="HW125" s="2678"/>
      <c r="HX125" s="2678"/>
      <c r="HY125" s="2678"/>
      <c r="HZ125" s="2678"/>
      <c r="IA125" s="2678"/>
      <c r="IB125" s="2678"/>
      <c r="IC125" s="2678"/>
      <c r="ID125" s="2678"/>
      <c r="IE125" s="2678"/>
      <c r="IF125" s="2678"/>
      <c r="IG125" s="2678"/>
      <c r="IH125" s="2676"/>
      <c r="II125" s="2676"/>
      <c r="IJ125" s="2676"/>
      <c r="IK125" s="2676"/>
      <c r="IL125" s="2677"/>
      <c r="IM125" s="2677"/>
      <c r="IN125" s="2677"/>
      <c r="IO125" s="2677"/>
      <c r="IP125" s="2677"/>
      <c r="IQ125" s="2677"/>
      <c r="IR125" s="2677"/>
      <c r="IS125" s="2677"/>
      <c r="IT125" s="2677"/>
      <c r="IU125" s="2677"/>
      <c r="IV125" s="2677"/>
      <c r="IW125" s="2676"/>
      <c r="IX125" s="2676"/>
      <c r="IY125" s="2676"/>
      <c r="IZ125" s="2676"/>
      <c r="JA125" s="2677"/>
      <c r="JB125" s="2677"/>
      <c r="JC125" s="2677"/>
      <c r="JD125" s="2677"/>
      <c r="JE125" s="2677"/>
      <c r="JF125" s="2677"/>
      <c r="JG125" s="2677"/>
      <c r="JH125" s="2677"/>
      <c r="JI125" s="2677"/>
    </row>
    <row r="126" spans="15:269" ht="4.1500000000000004" customHeight="1">
      <c r="Q126" s="516"/>
      <c r="V126" s="516"/>
      <c r="X126" s="516"/>
      <c r="AT126" s="2642" t="s">
        <v>1780</v>
      </c>
      <c r="AU126" s="2642"/>
      <c r="AV126" s="2642"/>
      <c r="AW126" s="2642"/>
      <c r="AX126" s="2642"/>
      <c r="AY126" s="2642"/>
      <c r="AZ126" s="2642"/>
      <c r="BA126" s="2642"/>
      <c r="BB126" s="2642"/>
      <c r="BC126" s="2642"/>
      <c r="BD126" s="2642"/>
      <c r="BE126" s="2642"/>
      <c r="BF126" s="2642"/>
      <c r="BG126" s="2642"/>
      <c r="BH126" s="2642"/>
      <c r="BI126" s="2642"/>
      <c r="BJ126" s="2642"/>
      <c r="BK126" s="2642"/>
      <c r="CI126" s="517"/>
      <c r="CJ126" s="662"/>
      <c r="CK126" s="664"/>
      <c r="CL126" s="662"/>
      <c r="CM126" s="662"/>
      <c r="CN126" s="662"/>
      <c r="CO126" s="2681">
        <f>BE129+CJ84</f>
        <v>1.75</v>
      </c>
      <c r="CP126" s="2682"/>
      <c r="CQ126" s="2682"/>
      <c r="CR126" s="2682"/>
      <c r="CS126" s="662"/>
      <c r="CT126" s="662"/>
      <c r="CU126" s="662"/>
      <c r="CV126" s="662"/>
      <c r="CW126" s="662"/>
      <c r="CX126" s="663"/>
      <c r="CY126" s="662"/>
    </row>
    <row r="127" spans="15:269" ht="4.1500000000000004" customHeight="1">
      <c r="Q127" s="516"/>
      <c r="V127" s="516"/>
      <c r="X127" s="516"/>
      <c r="AT127" s="2642"/>
      <c r="AU127" s="2642"/>
      <c r="AV127" s="2642"/>
      <c r="AW127" s="2642"/>
      <c r="AX127" s="2642"/>
      <c r="AY127" s="2642"/>
      <c r="AZ127" s="2642"/>
      <c r="BA127" s="2642"/>
      <c r="BB127" s="2642"/>
      <c r="BC127" s="2642"/>
      <c r="BD127" s="2642"/>
      <c r="BE127" s="2642"/>
      <c r="BF127" s="2642"/>
      <c r="BG127" s="2642"/>
      <c r="BH127" s="2642"/>
      <c r="BI127" s="2642"/>
      <c r="BJ127" s="2642"/>
      <c r="BK127" s="2642"/>
      <c r="CI127" s="517"/>
      <c r="CJ127" s="662"/>
      <c r="CK127" s="664"/>
      <c r="CL127" s="662"/>
      <c r="CM127" s="662"/>
      <c r="CN127" s="662"/>
      <c r="CO127" s="2682"/>
      <c r="CP127" s="2682"/>
      <c r="CQ127" s="2682"/>
      <c r="CR127" s="2682"/>
      <c r="CS127" s="662"/>
      <c r="CT127" s="662"/>
      <c r="CU127" s="662"/>
      <c r="CV127" s="662"/>
      <c r="CW127" s="662"/>
      <c r="CX127" s="663"/>
      <c r="CY127" s="662"/>
    </row>
    <row r="128" spans="15:269" ht="4.1500000000000004" customHeight="1">
      <c r="Q128" s="516"/>
      <c r="V128" s="516"/>
      <c r="X128" s="516"/>
      <c r="AT128" s="2642"/>
      <c r="AU128" s="2642"/>
      <c r="AV128" s="2642"/>
      <c r="AW128" s="2642"/>
      <c r="AX128" s="2642"/>
      <c r="AY128" s="2642"/>
      <c r="AZ128" s="2642"/>
      <c r="BA128" s="2642"/>
      <c r="BB128" s="2642"/>
      <c r="BC128" s="2642"/>
      <c r="BD128" s="2642"/>
      <c r="BE128" s="2642"/>
      <c r="BF128" s="2642"/>
      <c r="BG128" s="2642"/>
      <c r="BH128" s="2642"/>
      <c r="BI128" s="2642"/>
      <c r="BJ128" s="2642"/>
      <c r="BK128" s="2642"/>
      <c r="CI128" s="517"/>
      <c r="CJ128" s="662"/>
      <c r="CK128" s="664"/>
      <c r="CL128" s="662"/>
      <c r="CM128" s="662"/>
      <c r="CN128" s="662"/>
      <c r="CO128" s="2682"/>
      <c r="CP128" s="2682"/>
      <c r="CQ128" s="2682"/>
      <c r="CR128" s="2682"/>
      <c r="CS128" s="662"/>
      <c r="CT128" s="662"/>
      <c r="CU128" s="662"/>
      <c r="CV128" s="662"/>
      <c r="CW128" s="662"/>
      <c r="CX128" s="663"/>
      <c r="CY128" s="662"/>
    </row>
    <row r="129" spans="15:255" ht="4.1500000000000004" customHeight="1">
      <c r="Q129" s="516"/>
      <c r="V129" s="516"/>
      <c r="X129" s="516"/>
      <c r="AT129" s="2762">
        <v>3.65</v>
      </c>
      <c r="AU129" s="2762"/>
      <c r="AV129" s="2762"/>
      <c r="AW129" s="2762"/>
      <c r="AX129" s="2762"/>
      <c r="AY129" s="2762"/>
      <c r="AZ129" s="2762"/>
      <c r="BA129" s="2762" t="s">
        <v>901</v>
      </c>
      <c r="BB129" s="2762"/>
      <c r="BC129" s="2762"/>
      <c r="BD129" s="2762"/>
      <c r="BE129" s="2762">
        <v>1.5</v>
      </c>
      <c r="BF129" s="2762"/>
      <c r="BG129" s="2762"/>
      <c r="BH129" s="2762"/>
      <c r="BI129" s="2762"/>
      <c r="BJ129" s="2762"/>
      <c r="BK129" s="2762"/>
      <c r="CI129" s="517"/>
      <c r="CJ129" s="662"/>
      <c r="CK129" s="664"/>
      <c r="CL129" s="662"/>
      <c r="CM129" s="662"/>
      <c r="CN129" s="662"/>
      <c r="CO129" s="2682"/>
      <c r="CP129" s="2682"/>
      <c r="CQ129" s="2682"/>
      <c r="CR129" s="2682"/>
      <c r="CS129" s="662"/>
      <c r="CT129" s="662"/>
      <c r="CU129" s="662"/>
      <c r="CV129" s="662"/>
      <c r="CW129" s="662"/>
      <c r="CX129" s="663"/>
      <c r="CY129" s="662"/>
    </row>
    <row r="130" spans="15:255" ht="4.1500000000000004" customHeight="1">
      <c r="Q130" s="516"/>
      <c r="V130" s="516"/>
      <c r="X130" s="516"/>
      <c r="AT130" s="2762"/>
      <c r="AU130" s="2762"/>
      <c r="AV130" s="2762"/>
      <c r="AW130" s="2762"/>
      <c r="AX130" s="2762"/>
      <c r="AY130" s="2762"/>
      <c r="AZ130" s="2762"/>
      <c r="BA130" s="2762"/>
      <c r="BB130" s="2762"/>
      <c r="BC130" s="2762"/>
      <c r="BD130" s="2762"/>
      <c r="BE130" s="2762"/>
      <c r="BF130" s="2762"/>
      <c r="BG130" s="2762"/>
      <c r="BH130" s="2762"/>
      <c r="BI130" s="2762"/>
      <c r="BJ130" s="2762"/>
      <c r="BK130" s="2762"/>
      <c r="CI130" s="517"/>
      <c r="CJ130" s="662"/>
      <c r="CK130" s="664"/>
      <c r="CL130" s="662"/>
      <c r="CM130" s="662"/>
      <c r="CN130" s="662"/>
      <c r="CO130" s="2682"/>
      <c r="CP130" s="2682"/>
      <c r="CQ130" s="2682"/>
      <c r="CR130" s="2682"/>
      <c r="CS130" s="662"/>
      <c r="CT130" s="662"/>
      <c r="CU130" s="662"/>
      <c r="CV130" s="662"/>
      <c r="CW130" s="662"/>
      <c r="CX130" s="663"/>
      <c r="CY130" s="662"/>
    </row>
    <row r="131" spans="15:255" ht="4.1500000000000004" customHeight="1">
      <c r="Q131" s="516"/>
      <c r="V131" s="516"/>
      <c r="X131" s="516"/>
      <c r="AT131" s="2762"/>
      <c r="AU131" s="2762"/>
      <c r="AV131" s="2762"/>
      <c r="AW131" s="2762"/>
      <c r="AX131" s="2762"/>
      <c r="AY131" s="2762"/>
      <c r="AZ131" s="2762"/>
      <c r="BA131" s="2762"/>
      <c r="BB131" s="2762"/>
      <c r="BC131" s="2762"/>
      <c r="BD131" s="2762"/>
      <c r="BE131" s="2762"/>
      <c r="BF131" s="2762"/>
      <c r="BG131" s="2762"/>
      <c r="BH131" s="2762"/>
      <c r="BI131" s="2762"/>
      <c r="BJ131" s="2762"/>
      <c r="BK131" s="2762"/>
      <c r="CI131" s="517"/>
      <c r="CJ131" s="662"/>
      <c r="CK131" s="664"/>
      <c r="CL131" s="662"/>
      <c r="CM131" s="662"/>
      <c r="CN131" s="662"/>
      <c r="CO131" s="2682"/>
      <c r="CP131" s="2682"/>
      <c r="CQ131" s="2682"/>
      <c r="CR131" s="2682"/>
      <c r="CS131" s="662"/>
      <c r="CT131" s="662"/>
      <c r="CU131" s="662"/>
      <c r="CV131" s="662"/>
      <c r="CW131" s="662"/>
      <c r="CX131" s="663"/>
      <c r="CY131" s="662"/>
    </row>
    <row r="132" spans="15:255" ht="4.1500000000000004" customHeight="1">
      <c r="Q132" s="516"/>
      <c r="V132" s="516"/>
      <c r="W132" s="517"/>
      <c r="X132" s="2763">
        <f>CH132</f>
        <v>0.25</v>
      </c>
      <c r="Y132" s="2763"/>
      <c r="CH132" s="2765">
        <v>0.25</v>
      </c>
      <c r="CI132" s="2765"/>
      <c r="CJ132" s="663"/>
      <c r="CK132" s="664"/>
      <c r="CL132" s="662"/>
      <c r="CM132" s="662"/>
      <c r="CN132" s="662"/>
      <c r="CO132" s="2682"/>
      <c r="CP132" s="2682"/>
      <c r="CQ132" s="2682"/>
      <c r="CR132" s="2682"/>
      <c r="CS132" s="662"/>
      <c r="CT132" s="662"/>
      <c r="CU132" s="662"/>
      <c r="CV132" s="662"/>
      <c r="CW132" s="662"/>
      <c r="CX132" s="663"/>
      <c r="CY132" s="662"/>
    </row>
    <row r="133" spans="15:255" ht="4.1500000000000004" customHeight="1">
      <c r="Q133" s="516"/>
      <c r="V133" s="516"/>
      <c r="W133" s="517"/>
      <c r="X133" s="2763"/>
      <c r="Y133" s="2763"/>
      <c r="CH133" s="2765"/>
      <c r="CI133" s="2765"/>
      <c r="CJ133" s="663"/>
      <c r="CK133" s="664"/>
      <c r="CL133" s="662"/>
      <c r="CM133" s="662"/>
      <c r="CN133" s="662"/>
      <c r="CO133" s="2682"/>
      <c r="CP133" s="2682"/>
      <c r="CQ133" s="2682"/>
      <c r="CR133" s="2682"/>
      <c r="CS133" s="662"/>
      <c r="CT133" s="662"/>
      <c r="CU133" s="662"/>
      <c r="CV133" s="662"/>
      <c r="CW133" s="662"/>
      <c r="CX133" s="663"/>
      <c r="CY133" s="662"/>
    </row>
    <row r="134" spans="15:255" ht="4.1500000000000004" customHeight="1">
      <c r="Q134" s="516"/>
      <c r="V134" s="516"/>
      <c r="W134" s="517"/>
      <c r="X134" s="2763"/>
      <c r="Y134" s="2763"/>
      <c r="Z134" s="516"/>
      <c r="AG134" s="2610">
        <f>(AT129-X132-BB134-CH132)/2</f>
        <v>1.325</v>
      </c>
      <c r="AH134" s="2610"/>
      <c r="AI134" s="2610"/>
      <c r="AJ134" s="2610"/>
      <c r="AK134" s="2610"/>
      <c r="AL134" s="2610"/>
      <c r="AM134" s="2610"/>
      <c r="AN134" s="2610"/>
      <c r="AO134" s="2610"/>
      <c r="AP134" s="2610"/>
      <c r="AQ134" s="2610"/>
      <c r="AR134" s="2610"/>
      <c r="AS134" s="2610"/>
      <c r="BA134" s="517"/>
      <c r="BB134" s="2851">
        <v>0.5</v>
      </c>
      <c r="BC134" s="2852"/>
      <c r="BD134" s="2852"/>
      <c r="BE134" s="2853"/>
      <c r="BF134" s="516"/>
      <c r="BM134" s="2610">
        <f>AG134</f>
        <v>1.325</v>
      </c>
      <c r="BN134" s="2610"/>
      <c r="BO134" s="2610"/>
      <c r="BP134" s="2610"/>
      <c r="BQ134" s="2610"/>
      <c r="BR134" s="2610"/>
      <c r="BS134" s="2610"/>
      <c r="BT134" s="2610"/>
      <c r="BU134" s="2610"/>
      <c r="BV134" s="2610"/>
      <c r="BW134" s="2610"/>
      <c r="BX134" s="2610"/>
      <c r="BY134" s="2610"/>
      <c r="CG134" s="517"/>
      <c r="CH134" s="2765"/>
      <c r="CI134" s="2765"/>
      <c r="CJ134" s="663"/>
      <c r="CK134" s="664"/>
      <c r="CL134" s="662"/>
      <c r="CM134" s="662"/>
      <c r="CN134" s="662"/>
      <c r="CO134" s="2682"/>
      <c r="CP134" s="2682"/>
      <c r="CQ134" s="2682"/>
      <c r="CR134" s="2682"/>
      <c r="CS134" s="662"/>
      <c r="CT134" s="662"/>
      <c r="CU134" s="662"/>
      <c r="CV134" s="662"/>
      <c r="CW134" s="662"/>
      <c r="CX134" s="663"/>
      <c r="CY134" s="662"/>
    </row>
    <row r="135" spans="15:255" ht="4.1500000000000004" customHeight="1" thickBot="1">
      <c r="Q135" s="516"/>
      <c r="V135" s="516"/>
      <c r="W135" s="517"/>
      <c r="X135" s="2763"/>
      <c r="Y135" s="2763"/>
      <c r="Z135" s="530"/>
      <c r="AA135" s="532"/>
      <c r="AB135" s="532"/>
      <c r="AC135" s="532"/>
      <c r="AD135" s="532"/>
      <c r="AE135" s="532"/>
      <c r="AF135" s="532"/>
      <c r="AG135" s="2610"/>
      <c r="AH135" s="2610"/>
      <c r="AI135" s="2610"/>
      <c r="AJ135" s="2610"/>
      <c r="AK135" s="2610"/>
      <c r="AL135" s="2610"/>
      <c r="AM135" s="2610"/>
      <c r="AN135" s="2610"/>
      <c r="AO135" s="2610"/>
      <c r="AP135" s="2610"/>
      <c r="AQ135" s="2610"/>
      <c r="AR135" s="2610"/>
      <c r="AS135" s="2610"/>
      <c r="AU135" s="532"/>
      <c r="AV135" s="532"/>
      <c r="AW135" s="532"/>
      <c r="AX135" s="532"/>
      <c r="AY135" s="532"/>
      <c r="AZ135" s="532"/>
      <c r="BA135" s="531"/>
      <c r="BB135" s="2851"/>
      <c r="BC135" s="2852"/>
      <c r="BD135" s="2852"/>
      <c r="BE135" s="2853"/>
      <c r="BF135" s="530"/>
      <c r="BG135" s="532"/>
      <c r="BH135" s="532"/>
      <c r="BI135" s="532"/>
      <c r="BJ135" s="532"/>
      <c r="BK135" s="532"/>
      <c r="BL135" s="532"/>
      <c r="BM135" s="2610"/>
      <c r="BN135" s="2610"/>
      <c r="BO135" s="2610"/>
      <c r="BP135" s="2610"/>
      <c r="BQ135" s="2610"/>
      <c r="BR135" s="2610"/>
      <c r="BS135" s="2610"/>
      <c r="BT135" s="2610"/>
      <c r="BU135" s="2610"/>
      <c r="BV135" s="2610"/>
      <c r="BW135" s="2610"/>
      <c r="BX135" s="2610"/>
      <c r="BY135" s="2610"/>
      <c r="BZ135" s="532"/>
      <c r="CA135" s="532"/>
      <c r="CB135" s="532"/>
      <c r="CC135" s="532"/>
      <c r="CD135" s="532"/>
      <c r="CE135" s="532"/>
      <c r="CF135" s="532"/>
      <c r="CG135" s="531"/>
      <c r="CH135" s="2765"/>
      <c r="CI135" s="2765"/>
      <c r="CJ135" s="663"/>
      <c r="CK135" s="664"/>
      <c r="CL135" s="662"/>
      <c r="CM135" s="662"/>
      <c r="CN135" s="662"/>
      <c r="CO135" s="2682"/>
      <c r="CP135" s="2682"/>
      <c r="CQ135" s="2682"/>
      <c r="CR135" s="2682"/>
      <c r="CS135" s="662"/>
      <c r="CT135" s="662"/>
      <c r="CU135" s="662"/>
      <c r="CV135" s="662"/>
      <c r="CW135" s="662"/>
      <c r="CX135" s="663"/>
      <c r="CY135" s="662"/>
    </row>
    <row r="136" spans="15:255" ht="4.1500000000000004" customHeight="1">
      <c r="Q136" s="516"/>
      <c r="V136" s="546"/>
      <c r="W136" s="547"/>
      <c r="X136" s="2763"/>
      <c r="Y136" s="2763"/>
      <c r="Z136" s="516"/>
      <c r="AG136" s="2610"/>
      <c r="AH136" s="2610"/>
      <c r="AI136" s="2610"/>
      <c r="AJ136" s="2610"/>
      <c r="AK136" s="2610"/>
      <c r="AL136" s="2610"/>
      <c r="AM136" s="2610"/>
      <c r="AN136" s="2610"/>
      <c r="AO136" s="2610"/>
      <c r="AP136" s="2610"/>
      <c r="AQ136" s="2610"/>
      <c r="AR136" s="2610"/>
      <c r="AS136" s="2610"/>
      <c r="BA136" s="517"/>
      <c r="BB136" s="2851"/>
      <c r="BC136" s="2852"/>
      <c r="BD136" s="2852"/>
      <c r="BE136" s="2853"/>
      <c r="BF136" s="516"/>
      <c r="BM136" s="2610"/>
      <c r="BN136" s="2610"/>
      <c r="BO136" s="2610"/>
      <c r="BP136" s="2610"/>
      <c r="BQ136" s="2610"/>
      <c r="BR136" s="2610"/>
      <c r="BS136" s="2610"/>
      <c r="BT136" s="2610"/>
      <c r="BU136" s="2610"/>
      <c r="BV136" s="2610"/>
      <c r="BW136" s="2610"/>
      <c r="BX136" s="2610"/>
      <c r="BY136" s="2610"/>
      <c r="CG136" s="517"/>
      <c r="CH136" s="2765"/>
      <c r="CI136" s="2765"/>
      <c r="CJ136" s="669"/>
      <c r="CK136" s="670"/>
      <c r="CL136" s="662"/>
      <c r="CM136" s="662"/>
      <c r="CN136" s="662"/>
      <c r="CO136" s="662"/>
      <c r="CP136" s="662"/>
      <c r="CQ136" s="663"/>
      <c r="CR136" s="662"/>
      <c r="CS136" s="662"/>
      <c r="CT136" s="662"/>
      <c r="CU136" s="662"/>
      <c r="CV136" s="662"/>
      <c r="CW136" s="662"/>
      <c r="CX136" s="663"/>
      <c r="CY136" s="662"/>
    </row>
    <row r="137" spans="15:255" ht="4.1500000000000004" customHeight="1" thickBot="1">
      <c r="Q137" s="516"/>
      <c r="V137" s="548"/>
      <c r="W137" s="549"/>
      <c r="X137" s="2764"/>
      <c r="Y137" s="2764"/>
      <c r="BD137" s="516"/>
      <c r="CJ137" s="548"/>
      <c r="CK137" s="549"/>
      <c r="CQ137" s="516"/>
      <c r="CX137" s="516"/>
    </row>
    <row r="138" spans="15:255" ht="4.1500000000000004" customHeight="1">
      <c r="Q138" s="516"/>
      <c r="V138" s="1619"/>
      <c r="W138" s="523"/>
      <c r="X138" s="550"/>
      <c r="Y138" s="547"/>
      <c r="Z138" s="551"/>
      <c r="AA138" s="537"/>
      <c r="AB138" s="537"/>
      <c r="AC138" s="537"/>
      <c r="AD138" s="537"/>
      <c r="AE138" s="537"/>
      <c r="AF138" s="537"/>
      <c r="AG138" s="537"/>
      <c r="AH138" s="537"/>
      <c r="AI138" s="537"/>
      <c r="AJ138" s="537"/>
      <c r="AK138" s="537"/>
      <c r="AL138" s="537"/>
      <c r="AM138" s="537"/>
      <c r="AN138" s="537"/>
      <c r="AO138" s="537"/>
      <c r="AP138" s="537"/>
      <c r="AQ138" s="537"/>
      <c r="AR138" s="537"/>
      <c r="AS138" s="537"/>
      <c r="AT138" s="537"/>
      <c r="AU138" s="537"/>
      <c r="AV138" s="537"/>
      <c r="AW138" s="537"/>
      <c r="AX138" s="537"/>
      <c r="AY138" s="537"/>
      <c r="AZ138" s="537"/>
      <c r="BA138" s="552"/>
      <c r="BB138" s="546"/>
      <c r="BC138" s="550"/>
      <c r="BD138" s="550"/>
      <c r="BE138" s="547"/>
      <c r="BF138" s="551"/>
      <c r="BG138" s="537"/>
      <c r="BH138" s="537"/>
      <c r="BI138" s="537"/>
      <c r="BJ138" s="537"/>
      <c r="BK138" s="537"/>
      <c r="BL138" s="537"/>
      <c r="BM138" s="537"/>
      <c r="BN138" s="537"/>
      <c r="BO138" s="537"/>
      <c r="BP138" s="537"/>
      <c r="BQ138" s="537"/>
      <c r="BR138" s="537"/>
      <c r="BS138" s="537"/>
      <c r="BT138" s="537"/>
      <c r="BU138" s="537"/>
      <c r="BV138" s="537"/>
      <c r="BW138" s="537"/>
      <c r="BX138" s="537"/>
      <c r="BY138" s="537"/>
      <c r="BZ138" s="537"/>
      <c r="CA138" s="537"/>
      <c r="CB138" s="537"/>
      <c r="CC138" s="537"/>
      <c r="CD138" s="537"/>
      <c r="CE138" s="537"/>
      <c r="CF138" s="537"/>
      <c r="CG138" s="552"/>
      <c r="CH138" s="546"/>
      <c r="CI138" s="550"/>
      <c r="CJ138" s="523"/>
      <c r="CK138" s="1622"/>
      <c r="CO138" s="532"/>
      <c r="CP138" s="532"/>
      <c r="CQ138" s="530"/>
      <c r="CR138" s="532"/>
      <c r="CV138" s="532"/>
      <c r="CW138" s="532"/>
      <c r="CX138" s="530"/>
      <c r="CY138" s="532"/>
    </row>
    <row r="139" spans="15:255" ht="4.1500000000000004" customHeight="1" thickBot="1">
      <c r="O139" s="532"/>
      <c r="P139" s="532"/>
      <c r="Q139" s="530"/>
      <c r="R139" s="532"/>
      <c r="V139" s="1620"/>
      <c r="W139" s="1621"/>
      <c r="X139" s="554"/>
      <c r="Y139" s="555"/>
      <c r="Z139" s="556"/>
      <c r="AA139" s="557"/>
      <c r="AB139" s="557"/>
      <c r="AC139" s="557"/>
      <c r="AD139" s="557"/>
      <c r="AE139" s="557"/>
      <c r="AF139" s="557"/>
      <c r="AG139" s="557"/>
      <c r="AH139" s="557"/>
      <c r="AI139" s="557"/>
      <c r="AJ139" s="557"/>
      <c r="AK139" s="557"/>
      <c r="AL139" s="557"/>
      <c r="AM139" s="557"/>
      <c r="AN139" s="557"/>
      <c r="AO139" s="557"/>
      <c r="AP139" s="557"/>
      <c r="AQ139" s="557"/>
      <c r="AR139" s="557"/>
      <c r="AS139" s="557"/>
      <c r="AT139" s="557"/>
      <c r="AU139" s="557"/>
      <c r="AV139" s="557"/>
      <c r="AW139" s="557"/>
      <c r="AX139" s="557"/>
      <c r="AY139" s="557"/>
      <c r="AZ139" s="557"/>
      <c r="BA139" s="558"/>
      <c r="BB139" s="553"/>
      <c r="BC139" s="554"/>
      <c r="BD139" s="554"/>
      <c r="BE139" s="555"/>
      <c r="BF139" s="556"/>
      <c r="BG139" s="557"/>
      <c r="BH139" s="557"/>
      <c r="BI139" s="557"/>
      <c r="BJ139" s="557"/>
      <c r="BK139" s="557"/>
      <c r="BL139" s="557"/>
      <c r="BM139" s="557"/>
      <c r="BN139" s="557"/>
      <c r="BO139" s="557"/>
      <c r="BP139" s="557"/>
      <c r="BQ139" s="557"/>
      <c r="BR139" s="557"/>
      <c r="BS139" s="557"/>
      <c r="BT139" s="557"/>
      <c r="BU139" s="557"/>
      <c r="BV139" s="557"/>
      <c r="BW139" s="557"/>
      <c r="BX139" s="557"/>
      <c r="BY139" s="557"/>
      <c r="BZ139" s="557"/>
      <c r="CA139" s="557"/>
      <c r="CB139" s="557"/>
      <c r="CC139" s="557"/>
      <c r="CD139" s="557"/>
      <c r="CE139" s="557"/>
      <c r="CF139" s="557"/>
      <c r="CG139" s="558"/>
      <c r="CH139" s="553"/>
      <c r="CI139" s="554"/>
      <c r="CJ139" s="1621"/>
      <c r="CK139" s="1623"/>
      <c r="HP139" s="515"/>
      <c r="HQ139" s="514"/>
      <c r="HR139" s="514"/>
      <c r="HS139" s="514"/>
      <c r="HT139" s="514"/>
      <c r="HU139" s="514"/>
      <c r="HV139" s="514"/>
      <c r="HW139" s="514"/>
      <c r="HX139" s="514"/>
      <c r="HY139" s="514"/>
      <c r="HZ139" s="514"/>
      <c r="IA139" s="514"/>
      <c r="IB139" s="514"/>
      <c r="IC139" s="514"/>
      <c r="ID139" s="514"/>
      <c r="IE139" s="514"/>
      <c r="IF139" s="514"/>
      <c r="IG139" s="514"/>
      <c r="IH139" s="514"/>
      <c r="II139" s="514"/>
      <c r="IJ139" s="514"/>
      <c r="IK139" s="518"/>
      <c r="IO139" s="2769">
        <v>0.1</v>
      </c>
      <c r="IP139" s="2769"/>
      <c r="IQ139" s="2769"/>
      <c r="IR139" s="2769"/>
      <c r="IS139" s="2769"/>
      <c r="IT139" s="2769"/>
      <c r="IU139" s="2769"/>
    </row>
    <row r="140" spans="15:255" ht="4.1500000000000004" customHeight="1">
      <c r="V140" s="539"/>
      <c r="CK140" s="540"/>
      <c r="HP140" s="530"/>
      <c r="HQ140" s="532"/>
      <c r="HR140" s="532"/>
      <c r="HS140" s="532"/>
      <c r="HT140" s="532"/>
      <c r="HU140" s="532"/>
      <c r="HV140" s="532"/>
      <c r="HX140" s="515"/>
      <c r="HY140" s="514"/>
      <c r="HZ140" s="514"/>
      <c r="IA140" s="514"/>
      <c r="IB140" s="514"/>
      <c r="IC140" s="518"/>
      <c r="IE140" s="532"/>
      <c r="IF140" s="532"/>
      <c r="IG140" s="532"/>
      <c r="IH140" s="532"/>
      <c r="II140" s="532"/>
      <c r="IJ140" s="532"/>
      <c r="IK140" s="531"/>
      <c r="IO140" s="2770"/>
      <c r="IP140" s="2770"/>
      <c r="IQ140" s="2770"/>
      <c r="IR140" s="2770"/>
      <c r="IS140" s="2770"/>
      <c r="IT140" s="2770"/>
      <c r="IU140" s="2770"/>
    </row>
    <row r="141" spans="15:255" ht="4.1500000000000004" customHeight="1">
      <c r="V141" s="539"/>
      <c r="CK141" s="540"/>
      <c r="HW141" s="516"/>
      <c r="HX141" s="516"/>
      <c r="IC141" s="517"/>
      <c r="ID141" s="517"/>
      <c r="IH141" s="2613">
        <v>0.3</v>
      </c>
      <c r="II141" s="2613"/>
      <c r="IJ141" s="2613"/>
      <c r="IK141" s="2613"/>
    </row>
    <row r="142" spans="15:255" ht="4.1500000000000004" customHeight="1">
      <c r="V142" s="539"/>
      <c r="CK142" s="540"/>
      <c r="HW142" s="516"/>
      <c r="HX142" s="516"/>
      <c r="IC142" s="517"/>
      <c r="ID142" s="517"/>
      <c r="IH142" s="2594"/>
      <c r="II142" s="2594"/>
      <c r="IJ142" s="2594"/>
      <c r="IK142" s="2594"/>
    </row>
    <row r="143" spans="15:255" ht="4.1500000000000004" customHeight="1">
      <c r="V143" s="559"/>
      <c r="W143" s="557"/>
      <c r="X143" s="557"/>
      <c r="Y143" s="557"/>
      <c r="Z143" s="557"/>
      <c r="AA143" s="557"/>
      <c r="AB143" s="557"/>
      <c r="AC143" s="557"/>
      <c r="AD143" s="557"/>
      <c r="AE143" s="557"/>
      <c r="AF143" s="557"/>
      <c r="AG143" s="557"/>
      <c r="AH143" s="557"/>
      <c r="AI143" s="557"/>
      <c r="AJ143" s="557"/>
      <c r="AK143" s="557"/>
      <c r="AL143" s="557"/>
      <c r="AM143" s="557"/>
      <c r="AN143" s="557"/>
      <c r="AO143" s="557"/>
      <c r="AP143" s="557"/>
      <c r="AQ143" s="557"/>
      <c r="AR143" s="557"/>
      <c r="AS143" s="557"/>
      <c r="AT143" s="557"/>
      <c r="AU143" s="557"/>
      <c r="AV143" s="557"/>
      <c r="AW143" s="557"/>
      <c r="AX143" s="557"/>
      <c r="AY143" s="557"/>
      <c r="AZ143" s="557"/>
      <c r="BA143" s="557"/>
      <c r="BB143" s="557"/>
      <c r="BC143" s="557"/>
      <c r="BD143" s="557"/>
      <c r="BE143" s="557"/>
      <c r="BF143" s="557"/>
      <c r="BG143" s="557"/>
      <c r="BH143" s="557"/>
      <c r="BI143" s="557"/>
      <c r="BJ143" s="557"/>
      <c r="BK143" s="557"/>
      <c r="BL143" s="557"/>
      <c r="BM143" s="557"/>
      <c r="BN143" s="557"/>
      <c r="BO143" s="557"/>
      <c r="BP143" s="557"/>
      <c r="BQ143" s="557"/>
      <c r="BR143" s="557"/>
      <c r="BS143" s="557"/>
      <c r="BT143" s="557"/>
      <c r="BU143" s="557"/>
      <c r="BV143" s="557"/>
      <c r="BW143" s="557"/>
      <c r="BX143" s="557"/>
      <c r="BY143" s="557"/>
      <c r="BZ143" s="557"/>
      <c r="CA143" s="557"/>
      <c r="CB143" s="557"/>
      <c r="CC143" s="557"/>
      <c r="CD143" s="557"/>
      <c r="CE143" s="557"/>
      <c r="CF143" s="557"/>
      <c r="CG143" s="557"/>
      <c r="CH143" s="557"/>
      <c r="CI143" s="557"/>
      <c r="CJ143" s="557"/>
      <c r="CK143" s="560"/>
      <c r="HW143" s="516"/>
      <c r="HX143" s="516"/>
      <c r="IC143" s="517"/>
      <c r="ID143" s="517"/>
      <c r="IH143" s="2594"/>
      <c r="II143" s="2594"/>
      <c r="IJ143" s="2594"/>
      <c r="IK143" s="2594"/>
    </row>
    <row r="144" spans="15:255" ht="4.1500000000000004" customHeight="1">
      <c r="HW144" s="516"/>
      <c r="HX144" s="516"/>
      <c r="IC144" s="517"/>
      <c r="ID144" s="517"/>
      <c r="IH144" s="2594"/>
      <c r="II144" s="2594"/>
      <c r="IJ144" s="2594"/>
      <c r="IK144" s="2594"/>
    </row>
    <row r="145" spans="231:245" ht="4.1500000000000004" customHeight="1">
      <c r="HW145" s="516"/>
      <c r="HX145" s="516"/>
      <c r="IC145" s="517"/>
      <c r="ID145" s="517"/>
      <c r="IH145" s="2594"/>
      <c r="II145" s="2594"/>
      <c r="IJ145" s="2594"/>
      <c r="IK145" s="2594"/>
    </row>
    <row r="146" spans="231:245" ht="4.1500000000000004" customHeight="1">
      <c r="HW146" s="516"/>
      <c r="HX146" s="516"/>
      <c r="IC146" s="517"/>
      <c r="ID146" s="517"/>
      <c r="IH146" s="2594"/>
      <c r="II146" s="2594"/>
      <c r="IJ146" s="2594"/>
      <c r="IK146" s="2594"/>
    </row>
    <row r="147" spans="231:245" ht="4.1500000000000004" customHeight="1">
      <c r="HW147" s="516"/>
      <c r="HX147" s="516"/>
      <c r="IC147" s="517"/>
      <c r="ID147" s="517"/>
      <c r="IH147" s="2594"/>
      <c r="II147" s="2594"/>
      <c r="IJ147" s="2594"/>
      <c r="IK147" s="2594"/>
    </row>
    <row r="148" spans="231:245" ht="4.1500000000000004" customHeight="1">
      <c r="HW148" s="516"/>
      <c r="HX148" s="530"/>
      <c r="HY148" s="532"/>
      <c r="HZ148" s="532"/>
      <c r="IA148" s="532"/>
      <c r="IB148" s="532"/>
      <c r="IC148" s="531"/>
      <c r="ID148" s="517"/>
      <c r="IH148" s="2594"/>
      <c r="II148" s="2594"/>
      <c r="IJ148" s="2594"/>
      <c r="IK148" s="2594"/>
    </row>
    <row r="149" spans="231:245" ht="4.1500000000000004" customHeight="1">
      <c r="HW149" s="530"/>
      <c r="HX149" s="532"/>
      <c r="HY149" s="532"/>
      <c r="HZ149" s="532"/>
      <c r="IA149" s="532"/>
      <c r="IB149" s="532"/>
      <c r="IC149" s="532"/>
      <c r="ID149" s="531"/>
      <c r="IH149" s="2614"/>
      <c r="II149" s="2614"/>
      <c r="IJ149" s="2614"/>
      <c r="IK149" s="2614"/>
    </row>
    <row r="151" spans="231:245" ht="4.1500000000000004" customHeight="1">
      <c r="HW151" s="2609">
        <v>0.25</v>
      </c>
      <c r="HX151" s="2610"/>
      <c r="HY151" s="2610"/>
      <c r="HZ151" s="2610"/>
      <c r="IA151" s="2610"/>
      <c r="IB151" s="2610"/>
      <c r="IC151" s="2610"/>
      <c r="ID151" s="2611"/>
    </row>
    <row r="152" spans="231:245" ht="4.1500000000000004" customHeight="1">
      <c r="HW152" s="2609"/>
      <c r="HX152" s="2610"/>
      <c r="HY152" s="2610"/>
      <c r="HZ152" s="2610"/>
      <c r="IA152" s="2610"/>
      <c r="IB152" s="2610"/>
      <c r="IC152" s="2610"/>
      <c r="ID152" s="2611"/>
    </row>
    <row r="153" spans="231:245" ht="4.1500000000000004" customHeight="1">
      <c r="HW153" s="2609"/>
      <c r="HX153" s="2610"/>
      <c r="HY153" s="2610"/>
      <c r="HZ153" s="2610"/>
      <c r="IA153" s="2610"/>
      <c r="IB153" s="2610"/>
      <c r="IC153" s="2610"/>
      <c r="ID153" s="2611"/>
    </row>
    <row r="167" spans="65:270" ht="4.1500000000000004" customHeight="1">
      <c r="FC167" s="2668" t="str">
        <f>'Lead &amp; ANALYSIS'!B144</f>
        <v>Junior Engineer</v>
      </c>
      <c r="FD167" s="2668"/>
      <c r="FE167" s="2668"/>
      <c r="FF167" s="2668"/>
      <c r="FG167" s="2668"/>
      <c r="FH167" s="2668"/>
      <c r="FI167" s="2668"/>
      <c r="FJ167" s="2668"/>
      <c r="FK167" s="2668"/>
      <c r="FL167" s="2668"/>
      <c r="FM167" s="2668"/>
      <c r="FN167" s="2668"/>
      <c r="FO167" s="2668"/>
      <c r="FP167" s="2668"/>
      <c r="FQ167" s="2668"/>
      <c r="FR167" s="2668"/>
      <c r="FS167" s="2668"/>
      <c r="FT167" s="2668"/>
      <c r="FU167" s="2668"/>
      <c r="FV167" s="2668"/>
      <c r="FW167" s="2668"/>
      <c r="FX167" s="2668"/>
      <c r="FY167" s="2668"/>
      <c r="FZ167" s="2668"/>
      <c r="GA167" s="2668"/>
      <c r="GB167" s="2668"/>
      <c r="GC167" s="2668"/>
      <c r="GD167" s="2668"/>
      <c r="GE167" s="2668"/>
      <c r="GF167" s="561"/>
      <c r="GG167" s="561"/>
      <c r="GH167" s="561"/>
      <c r="GI167" s="561"/>
      <c r="GJ167" s="561"/>
      <c r="GK167" s="561"/>
      <c r="GL167" s="561"/>
      <c r="GM167" s="561"/>
      <c r="GN167" s="561"/>
      <c r="GO167" s="2668" t="str">
        <f>'Lead &amp; ANALYSIS'!G144</f>
        <v>Assistant Executive Engineer</v>
      </c>
      <c r="GP167" s="2668"/>
      <c r="GQ167" s="2668"/>
      <c r="GR167" s="2668"/>
      <c r="GS167" s="2668"/>
      <c r="GT167" s="2668"/>
      <c r="GU167" s="2668"/>
      <c r="GV167" s="2668"/>
      <c r="GW167" s="2668"/>
      <c r="GX167" s="2668"/>
      <c r="GY167" s="2668"/>
      <c r="GZ167" s="2668"/>
      <c r="HA167" s="2668"/>
      <c r="HB167" s="2668"/>
      <c r="HC167" s="2668"/>
      <c r="HD167" s="2668"/>
      <c r="HE167" s="2668"/>
      <c r="HF167" s="2668"/>
      <c r="HG167" s="2668"/>
      <c r="HH167" s="2668"/>
      <c r="HI167" s="2668"/>
      <c r="HJ167" s="2668"/>
      <c r="HK167" s="2668"/>
      <c r="HL167" s="2668"/>
      <c r="HM167" s="2668"/>
      <c r="HN167" s="2668"/>
      <c r="HO167" s="2668"/>
      <c r="HP167" s="2668"/>
      <c r="HQ167" s="2668"/>
      <c r="HR167" s="2668"/>
      <c r="HS167" s="561"/>
      <c r="HT167" s="561"/>
      <c r="HU167" s="561"/>
      <c r="HV167" s="561"/>
      <c r="HW167" s="561"/>
      <c r="HX167" s="561"/>
      <c r="HY167" s="561"/>
      <c r="HZ167" s="561"/>
      <c r="IA167" s="2668" t="str">
        <f>'Lead &amp; ANALYSIS'!L144</f>
        <v>Block Development Officer</v>
      </c>
      <c r="IB167" s="2668"/>
      <c r="IC167" s="2668"/>
      <c r="ID167" s="2668"/>
      <c r="IE167" s="2668"/>
      <c r="IF167" s="2668"/>
      <c r="IG167" s="2668"/>
      <c r="IH167" s="2668"/>
      <c r="II167" s="2668"/>
      <c r="IJ167" s="2668"/>
      <c r="IK167" s="2668"/>
      <c r="IL167" s="2668"/>
      <c r="IM167" s="2668"/>
      <c r="IN167" s="2668"/>
      <c r="IO167" s="2668"/>
      <c r="IP167" s="2668"/>
      <c r="IQ167" s="2668"/>
      <c r="IR167" s="2668"/>
      <c r="IS167" s="2668"/>
      <c r="IT167" s="2668"/>
      <c r="IU167" s="2668"/>
      <c r="IV167" s="2668"/>
      <c r="IW167" s="2668"/>
      <c r="IX167" s="2668"/>
      <c r="IY167" s="2668"/>
      <c r="IZ167" s="2668"/>
      <c r="JA167" s="2668"/>
      <c r="JB167" s="2668"/>
      <c r="JC167" s="2668"/>
      <c r="JD167" s="2668"/>
      <c r="JE167" s="2668"/>
      <c r="JF167" s="2668"/>
      <c r="JG167" s="2668"/>
      <c r="JH167" s="2668"/>
      <c r="JI167" s="2668"/>
      <c r="JJ167" s="2668"/>
    </row>
    <row r="168" spans="65:270" ht="4.1500000000000004" customHeight="1">
      <c r="BM168" s="496"/>
      <c r="BN168" s="496"/>
      <c r="BO168" s="496"/>
      <c r="BP168" s="496"/>
      <c r="BQ168" s="496"/>
      <c r="BR168" s="496"/>
      <c r="BS168" s="496"/>
      <c r="BT168" s="496"/>
      <c r="BU168" s="496"/>
      <c r="BV168" s="496"/>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FC168" s="2668"/>
      <c r="FD168" s="2668"/>
      <c r="FE168" s="2668"/>
      <c r="FF168" s="2668"/>
      <c r="FG168" s="2668"/>
      <c r="FH168" s="2668"/>
      <c r="FI168" s="2668"/>
      <c r="FJ168" s="2668"/>
      <c r="FK168" s="2668"/>
      <c r="FL168" s="2668"/>
      <c r="FM168" s="2668"/>
      <c r="FN168" s="2668"/>
      <c r="FO168" s="2668"/>
      <c r="FP168" s="2668"/>
      <c r="FQ168" s="2668"/>
      <c r="FR168" s="2668"/>
      <c r="FS168" s="2668"/>
      <c r="FT168" s="2668"/>
      <c r="FU168" s="2668"/>
      <c r="FV168" s="2668"/>
      <c r="FW168" s="2668"/>
      <c r="FX168" s="2668"/>
      <c r="FY168" s="2668"/>
      <c r="FZ168" s="2668"/>
      <c r="GA168" s="2668"/>
      <c r="GB168" s="2668"/>
      <c r="GC168" s="2668"/>
      <c r="GD168" s="2668"/>
      <c r="GE168" s="2668"/>
      <c r="GF168" s="562"/>
      <c r="GG168" s="562"/>
      <c r="GH168" s="562"/>
      <c r="GI168" s="562"/>
      <c r="GJ168" s="562"/>
      <c r="GK168" s="562"/>
      <c r="GL168" s="562"/>
      <c r="GM168" s="562"/>
      <c r="GN168" s="562"/>
      <c r="GO168" s="2668"/>
      <c r="GP168" s="2668"/>
      <c r="GQ168" s="2668"/>
      <c r="GR168" s="2668"/>
      <c r="GS168" s="2668"/>
      <c r="GT168" s="2668"/>
      <c r="GU168" s="2668"/>
      <c r="GV168" s="2668"/>
      <c r="GW168" s="2668"/>
      <c r="GX168" s="2668"/>
      <c r="GY168" s="2668"/>
      <c r="GZ168" s="2668"/>
      <c r="HA168" s="2668"/>
      <c r="HB168" s="2668"/>
      <c r="HC168" s="2668"/>
      <c r="HD168" s="2668"/>
      <c r="HE168" s="2668"/>
      <c r="HF168" s="2668"/>
      <c r="HG168" s="2668"/>
      <c r="HH168" s="2668"/>
      <c r="HI168" s="2668"/>
      <c r="HJ168" s="2668"/>
      <c r="HK168" s="2668"/>
      <c r="HL168" s="2668"/>
      <c r="HM168" s="2668"/>
      <c r="HN168" s="2668"/>
      <c r="HO168" s="2668"/>
      <c r="HP168" s="2668"/>
      <c r="HQ168" s="2668"/>
      <c r="HR168" s="2668"/>
      <c r="HS168" s="561"/>
      <c r="HT168" s="561"/>
      <c r="HU168" s="561"/>
      <c r="HV168" s="561"/>
      <c r="HW168" s="561"/>
      <c r="HX168" s="561"/>
      <c r="HY168" s="561"/>
      <c r="HZ168" s="561"/>
      <c r="IA168" s="2668"/>
      <c r="IB168" s="2668"/>
      <c r="IC168" s="2668"/>
      <c r="ID168" s="2668"/>
      <c r="IE168" s="2668"/>
      <c r="IF168" s="2668"/>
      <c r="IG168" s="2668"/>
      <c r="IH168" s="2668"/>
      <c r="II168" s="2668"/>
      <c r="IJ168" s="2668"/>
      <c r="IK168" s="2668"/>
      <c r="IL168" s="2668"/>
      <c r="IM168" s="2668"/>
      <c r="IN168" s="2668"/>
      <c r="IO168" s="2668"/>
      <c r="IP168" s="2668"/>
      <c r="IQ168" s="2668"/>
      <c r="IR168" s="2668"/>
      <c r="IS168" s="2668"/>
      <c r="IT168" s="2668"/>
      <c r="IU168" s="2668"/>
      <c r="IV168" s="2668"/>
      <c r="IW168" s="2668"/>
      <c r="IX168" s="2668"/>
      <c r="IY168" s="2668"/>
      <c r="IZ168" s="2668"/>
      <c r="JA168" s="2668"/>
      <c r="JB168" s="2668"/>
      <c r="JC168" s="2668"/>
      <c r="JD168" s="2668"/>
      <c r="JE168" s="2668"/>
      <c r="JF168" s="2668"/>
      <c r="JG168" s="2668"/>
      <c r="JH168" s="2668"/>
      <c r="JI168" s="2668"/>
      <c r="JJ168" s="2668"/>
    </row>
    <row r="169" spans="65:270" ht="4.1500000000000004" customHeight="1">
      <c r="BM169" s="496"/>
      <c r="BN169" s="496"/>
      <c r="BO169" s="496"/>
      <c r="BP169" s="496"/>
      <c r="BQ169" s="496"/>
      <c r="BR169" s="496"/>
      <c r="BS169" s="496"/>
      <c r="BT169" s="496"/>
      <c r="BU169" s="496"/>
      <c r="BV169" s="496"/>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FC169" s="2668"/>
      <c r="FD169" s="2668"/>
      <c r="FE169" s="2668"/>
      <c r="FF169" s="2668"/>
      <c r="FG169" s="2668"/>
      <c r="FH169" s="2668"/>
      <c r="FI169" s="2668"/>
      <c r="FJ169" s="2668"/>
      <c r="FK169" s="2668"/>
      <c r="FL169" s="2668"/>
      <c r="FM169" s="2668"/>
      <c r="FN169" s="2668"/>
      <c r="FO169" s="2668"/>
      <c r="FP169" s="2668"/>
      <c r="FQ169" s="2668"/>
      <c r="FR169" s="2668"/>
      <c r="FS169" s="2668"/>
      <c r="FT169" s="2668"/>
      <c r="FU169" s="2668"/>
      <c r="FV169" s="2668"/>
      <c r="FW169" s="2668"/>
      <c r="FX169" s="2668"/>
      <c r="FY169" s="2668"/>
      <c r="FZ169" s="2668"/>
      <c r="GA169" s="2668"/>
      <c r="GB169" s="2668"/>
      <c r="GC169" s="2668"/>
      <c r="GD169" s="2668"/>
      <c r="GE169" s="2668"/>
      <c r="GF169" s="562"/>
      <c r="GG169" s="562"/>
      <c r="GH169" s="562"/>
      <c r="GI169" s="562"/>
      <c r="GJ169" s="562"/>
      <c r="GK169" s="562"/>
      <c r="GL169" s="562"/>
      <c r="GM169" s="562"/>
      <c r="GN169" s="562"/>
      <c r="GO169" s="2668"/>
      <c r="GP169" s="2668"/>
      <c r="GQ169" s="2668"/>
      <c r="GR169" s="2668"/>
      <c r="GS169" s="2668"/>
      <c r="GT169" s="2668"/>
      <c r="GU169" s="2668"/>
      <c r="GV169" s="2668"/>
      <c r="GW169" s="2668"/>
      <c r="GX169" s="2668"/>
      <c r="GY169" s="2668"/>
      <c r="GZ169" s="2668"/>
      <c r="HA169" s="2668"/>
      <c r="HB169" s="2668"/>
      <c r="HC169" s="2668"/>
      <c r="HD169" s="2668"/>
      <c r="HE169" s="2668"/>
      <c r="HF169" s="2668"/>
      <c r="HG169" s="2668"/>
      <c r="HH169" s="2668"/>
      <c r="HI169" s="2668"/>
      <c r="HJ169" s="2668"/>
      <c r="HK169" s="2668"/>
      <c r="HL169" s="2668"/>
      <c r="HM169" s="2668"/>
      <c r="HN169" s="2668"/>
      <c r="HO169" s="2668"/>
      <c r="HP169" s="2668"/>
      <c r="HQ169" s="2668"/>
      <c r="HR169" s="2668"/>
      <c r="HS169" s="561"/>
      <c r="HT169" s="561"/>
      <c r="HU169" s="561"/>
      <c r="HV169" s="561"/>
      <c r="HW169" s="561"/>
      <c r="HX169" s="561"/>
      <c r="HY169" s="561"/>
      <c r="HZ169" s="561"/>
      <c r="IA169" s="2668"/>
      <c r="IB169" s="2668"/>
      <c r="IC169" s="2668"/>
      <c r="ID169" s="2668"/>
      <c r="IE169" s="2668"/>
      <c r="IF169" s="2668"/>
      <c r="IG169" s="2668"/>
      <c r="IH169" s="2668"/>
      <c r="II169" s="2668"/>
      <c r="IJ169" s="2668"/>
      <c r="IK169" s="2668"/>
      <c r="IL169" s="2668"/>
      <c r="IM169" s="2668"/>
      <c r="IN169" s="2668"/>
      <c r="IO169" s="2668"/>
      <c r="IP169" s="2668"/>
      <c r="IQ169" s="2668"/>
      <c r="IR169" s="2668"/>
      <c r="IS169" s="2668"/>
      <c r="IT169" s="2668"/>
      <c r="IU169" s="2668"/>
      <c r="IV169" s="2668"/>
      <c r="IW169" s="2668"/>
      <c r="IX169" s="2668"/>
      <c r="IY169" s="2668"/>
      <c r="IZ169" s="2668"/>
      <c r="JA169" s="2668"/>
      <c r="JB169" s="2668"/>
      <c r="JC169" s="2668"/>
      <c r="JD169" s="2668"/>
      <c r="JE169" s="2668"/>
      <c r="JF169" s="2668"/>
      <c r="JG169" s="2668"/>
      <c r="JH169" s="2668"/>
      <c r="JI169" s="2668"/>
      <c r="JJ169" s="2668"/>
    </row>
    <row r="170" spans="65:270" ht="4.1500000000000004" customHeight="1">
      <c r="BM170" s="496"/>
      <c r="BN170" s="496"/>
      <c r="BO170" s="496"/>
      <c r="BP170" s="496"/>
      <c r="BQ170" s="496"/>
      <c r="BR170" s="496"/>
      <c r="BS170" s="496"/>
      <c r="BT170" s="496"/>
      <c r="BU170" s="496"/>
      <c r="BV170" s="496"/>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FC170" s="2668" t="str">
        <f>'Lead &amp; ANALYSIS'!B145</f>
        <v>Bhuban  Block</v>
      </c>
      <c r="FD170" s="2668"/>
      <c r="FE170" s="2668"/>
      <c r="FF170" s="2668"/>
      <c r="FG170" s="2668"/>
      <c r="FH170" s="2668"/>
      <c r="FI170" s="2668"/>
      <c r="FJ170" s="2668"/>
      <c r="FK170" s="2668"/>
      <c r="FL170" s="2668"/>
      <c r="FM170" s="2668"/>
      <c r="FN170" s="2668"/>
      <c r="FO170" s="2668"/>
      <c r="FP170" s="2668"/>
      <c r="FQ170" s="2668"/>
      <c r="FR170" s="2668"/>
      <c r="FS170" s="2668"/>
      <c r="FT170" s="2668"/>
      <c r="FU170" s="2668"/>
      <c r="FV170" s="2668"/>
      <c r="FW170" s="2668"/>
      <c r="FX170" s="2668"/>
      <c r="FY170" s="2668"/>
      <c r="FZ170" s="2668"/>
      <c r="GA170" s="2668"/>
      <c r="GB170" s="2668"/>
      <c r="GC170" s="2668"/>
      <c r="GD170" s="2668"/>
      <c r="GE170" s="2668"/>
      <c r="GF170" s="562"/>
      <c r="GG170" s="562"/>
      <c r="GH170" s="562"/>
      <c r="GI170" s="562"/>
      <c r="GJ170" s="562"/>
      <c r="GK170" s="562"/>
      <c r="GL170" s="562"/>
      <c r="GM170" s="562"/>
      <c r="GN170" s="562"/>
      <c r="GO170" s="562"/>
      <c r="GP170" s="562"/>
      <c r="GQ170" s="2668" t="str">
        <f>'Lead &amp; ANALYSIS'!G145</f>
        <v>Bhuban  Block</v>
      </c>
      <c r="GR170" s="2668"/>
      <c r="GS170" s="2668"/>
      <c r="GT170" s="2668"/>
      <c r="GU170" s="2668"/>
      <c r="GV170" s="2668"/>
      <c r="GW170" s="2668"/>
      <c r="GX170" s="2668"/>
      <c r="GY170" s="2668"/>
      <c r="GZ170" s="2668"/>
      <c r="HA170" s="2668"/>
      <c r="HB170" s="2668"/>
      <c r="HC170" s="2668"/>
      <c r="HD170" s="2668"/>
      <c r="HE170" s="2668"/>
      <c r="HF170" s="2668"/>
      <c r="HG170" s="2668"/>
      <c r="HH170" s="2668"/>
      <c r="HI170" s="2668"/>
      <c r="HJ170" s="2668"/>
      <c r="HK170" s="2668"/>
      <c r="HL170" s="2668"/>
      <c r="HM170" s="2668"/>
      <c r="HN170" s="2668"/>
      <c r="HO170" s="2668"/>
      <c r="HP170" s="2668"/>
      <c r="HQ170" s="562"/>
      <c r="HR170" s="562"/>
      <c r="HS170" s="561"/>
      <c r="HT170" s="561"/>
      <c r="HU170" s="561"/>
      <c r="HV170" s="561"/>
      <c r="HW170" s="561"/>
      <c r="HX170" s="561"/>
      <c r="HY170" s="561"/>
      <c r="HZ170" s="561"/>
      <c r="IA170" s="2668" t="str">
        <f>'Lead &amp; ANALYSIS'!L145</f>
        <v>Bhuban</v>
      </c>
      <c r="IB170" s="2668"/>
      <c r="IC170" s="2668"/>
      <c r="ID170" s="2668"/>
      <c r="IE170" s="2668"/>
      <c r="IF170" s="2668"/>
      <c r="IG170" s="2668"/>
      <c r="IH170" s="2668"/>
      <c r="II170" s="2668"/>
      <c r="IJ170" s="2668"/>
      <c r="IK170" s="2668"/>
      <c r="IL170" s="2668"/>
      <c r="IM170" s="2668"/>
      <c r="IN170" s="2668"/>
      <c r="IO170" s="2668"/>
      <c r="IP170" s="2668"/>
      <c r="IQ170" s="2668"/>
      <c r="IR170" s="2668"/>
      <c r="IS170" s="2668"/>
      <c r="IT170" s="2668"/>
      <c r="IU170" s="2668"/>
      <c r="IV170" s="2668"/>
      <c r="IW170" s="2668"/>
      <c r="IX170" s="2668"/>
      <c r="IY170" s="2668"/>
      <c r="IZ170" s="2668"/>
      <c r="JA170" s="2668"/>
      <c r="JB170" s="2668"/>
      <c r="JC170" s="2668"/>
      <c r="JD170" s="2668"/>
      <c r="JE170" s="2668"/>
      <c r="JF170" s="2668"/>
      <c r="JG170" s="2668"/>
      <c r="JH170" s="2668"/>
      <c r="JI170" s="2668"/>
      <c r="JJ170" s="2668"/>
    </row>
    <row r="171" spans="65:270" ht="4.1500000000000004" customHeight="1">
      <c r="BM171" s="496"/>
      <c r="BN171" s="496"/>
      <c r="BO171" s="496"/>
      <c r="BP171" s="496"/>
      <c r="BQ171" s="496"/>
      <c r="BR171" s="496"/>
      <c r="BS171" s="496"/>
      <c r="BT171" s="496"/>
      <c r="BU171" s="496"/>
      <c r="BV171" s="496"/>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FC171" s="2668"/>
      <c r="FD171" s="2668"/>
      <c r="FE171" s="2668"/>
      <c r="FF171" s="2668"/>
      <c r="FG171" s="2668"/>
      <c r="FH171" s="2668"/>
      <c r="FI171" s="2668"/>
      <c r="FJ171" s="2668"/>
      <c r="FK171" s="2668"/>
      <c r="FL171" s="2668"/>
      <c r="FM171" s="2668"/>
      <c r="FN171" s="2668"/>
      <c r="FO171" s="2668"/>
      <c r="FP171" s="2668"/>
      <c r="FQ171" s="2668"/>
      <c r="FR171" s="2668"/>
      <c r="FS171" s="2668"/>
      <c r="FT171" s="2668"/>
      <c r="FU171" s="2668"/>
      <c r="FV171" s="2668"/>
      <c r="FW171" s="2668"/>
      <c r="FX171" s="2668"/>
      <c r="FY171" s="2668"/>
      <c r="FZ171" s="2668"/>
      <c r="GA171" s="2668"/>
      <c r="GB171" s="2668"/>
      <c r="GC171" s="2668"/>
      <c r="GD171" s="2668"/>
      <c r="GE171" s="2668"/>
      <c r="GF171" s="562"/>
      <c r="GG171" s="562"/>
      <c r="GH171" s="562"/>
      <c r="GI171" s="562"/>
      <c r="GJ171" s="562"/>
      <c r="GK171" s="562"/>
      <c r="GL171" s="562"/>
      <c r="GM171" s="562"/>
      <c r="GN171" s="562"/>
      <c r="GO171" s="562"/>
      <c r="GP171" s="562"/>
      <c r="GQ171" s="2668"/>
      <c r="GR171" s="2668"/>
      <c r="GS171" s="2668"/>
      <c r="GT171" s="2668"/>
      <c r="GU171" s="2668"/>
      <c r="GV171" s="2668"/>
      <c r="GW171" s="2668"/>
      <c r="GX171" s="2668"/>
      <c r="GY171" s="2668"/>
      <c r="GZ171" s="2668"/>
      <c r="HA171" s="2668"/>
      <c r="HB171" s="2668"/>
      <c r="HC171" s="2668"/>
      <c r="HD171" s="2668"/>
      <c r="HE171" s="2668"/>
      <c r="HF171" s="2668"/>
      <c r="HG171" s="2668"/>
      <c r="HH171" s="2668"/>
      <c r="HI171" s="2668"/>
      <c r="HJ171" s="2668"/>
      <c r="HK171" s="2668"/>
      <c r="HL171" s="2668"/>
      <c r="HM171" s="2668"/>
      <c r="HN171" s="2668"/>
      <c r="HO171" s="2668"/>
      <c r="HP171" s="2668"/>
      <c r="HQ171" s="562"/>
      <c r="HR171" s="562"/>
      <c r="HS171" s="561"/>
      <c r="HT171" s="561"/>
      <c r="HU171" s="561"/>
      <c r="HV171" s="561"/>
      <c r="HW171" s="561"/>
      <c r="HX171" s="561"/>
      <c r="HY171" s="561"/>
      <c r="HZ171" s="561"/>
      <c r="IA171" s="2668"/>
      <c r="IB171" s="2668"/>
      <c r="IC171" s="2668"/>
      <c r="ID171" s="2668"/>
      <c r="IE171" s="2668"/>
      <c r="IF171" s="2668"/>
      <c r="IG171" s="2668"/>
      <c r="IH171" s="2668"/>
      <c r="II171" s="2668"/>
      <c r="IJ171" s="2668"/>
      <c r="IK171" s="2668"/>
      <c r="IL171" s="2668"/>
      <c r="IM171" s="2668"/>
      <c r="IN171" s="2668"/>
      <c r="IO171" s="2668"/>
      <c r="IP171" s="2668"/>
      <c r="IQ171" s="2668"/>
      <c r="IR171" s="2668"/>
      <c r="IS171" s="2668"/>
      <c r="IT171" s="2668"/>
      <c r="IU171" s="2668"/>
      <c r="IV171" s="2668"/>
      <c r="IW171" s="2668"/>
      <c r="IX171" s="2668"/>
      <c r="IY171" s="2668"/>
      <c r="IZ171" s="2668"/>
      <c r="JA171" s="2668"/>
      <c r="JB171" s="2668"/>
      <c r="JC171" s="2668"/>
      <c r="JD171" s="2668"/>
      <c r="JE171" s="2668"/>
      <c r="JF171" s="2668"/>
      <c r="JG171" s="2668"/>
      <c r="JH171" s="2668"/>
      <c r="JI171" s="2668"/>
      <c r="JJ171" s="2668"/>
    </row>
    <row r="172" spans="65:270" ht="4.1500000000000004" customHeight="1">
      <c r="BM172" s="496"/>
      <c r="BN172" s="496"/>
      <c r="BO172" s="496"/>
      <c r="BP172" s="496"/>
      <c r="BQ172" s="496"/>
      <c r="BR172" s="496"/>
      <c r="BS172" s="496"/>
      <c r="BT172" s="496"/>
      <c r="BU172" s="496"/>
      <c r="BV172" s="496"/>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FC172" s="2668"/>
      <c r="FD172" s="2668"/>
      <c r="FE172" s="2668"/>
      <c r="FF172" s="2668"/>
      <c r="FG172" s="2668"/>
      <c r="FH172" s="2668"/>
      <c r="FI172" s="2668"/>
      <c r="FJ172" s="2668"/>
      <c r="FK172" s="2668"/>
      <c r="FL172" s="2668"/>
      <c r="FM172" s="2668"/>
      <c r="FN172" s="2668"/>
      <c r="FO172" s="2668"/>
      <c r="FP172" s="2668"/>
      <c r="FQ172" s="2668"/>
      <c r="FR172" s="2668"/>
      <c r="FS172" s="2668"/>
      <c r="FT172" s="2668"/>
      <c r="FU172" s="2668"/>
      <c r="FV172" s="2668"/>
      <c r="FW172" s="2668"/>
      <c r="FX172" s="2668"/>
      <c r="FY172" s="2668"/>
      <c r="FZ172" s="2668"/>
      <c r="GA172" s="2668"/>
      <c r="GB172" s="2668"/>
      <c r="GC172" s="2668"/>
      <c r="GD172" s="2668"/>
      <c r="GE172" s="2668"/>
      <c r="GF172" s="562"/>
      <c r="GG172" s="562"/>
      <c r="GH172" s="562"/>
      <c r="GI172" s="562"/>
      <c r="GJ172" s="562"/>
      <c r="GK172" s="562"/>
      <c r="GL172" s="562"/>
      <c r="GM172" s="562"/>
      <c r="GN172" s="562"/>
      <c r="GO172" s="562"/>
      <c r="GP172" s="562"/>
      <c r="GQ172" s="2668"/>
      <c r="GR172" s="2668"/>
      <c r="GS172" s="2668"/>
      <c r="GT172" s="2668"/>
      <c r="GU172" s="2668"/>
      <c r="GV172" s="2668"/>
      <c r="GW172" s="2668"/>
      <c r="GX172" s="2668"/>
      <c r="GY172" s="2668"/>
      <c r="GZ172" s="2668"/>
      <c r="HA172" s="2668"/>
      <c r="HB172" s="2668"/>
      <c r="HC172" s="2668"/>
      <c r="HD172" s="2668"/>
      <c r="HE172" s="2668"/>
      <c r="HF172" s="2668"/>
      <c r="HG172" s="2668"/>
      <c r="HH172" s="2668"/>
      <c r="HI172" s="2668"/>
      <c r="HJ172" s="2668"/>
      <c r="HK172" s="2668"/>
      <c r="HL172" s="2668"/>
      <c r="HM172" s="2668"/>
      <c r="HN172" s="2668"/>
      <c r="HO172" s="2668"/>
      <c r="HP172" s="2668"/>
      <c r="HQ172" s="562"/>
      <c r="HR172" s="562"/>
      <c r="HS172" s="561"/>
      <c r="HT172" s="561"/>
      <c r="HU172" s="561"/>
      <c r="HV172" s="561"/>
      <c r="HW172" s="561"/>
      <c r="HX172" s="561"/>
      <c r="HY172" s="561"/>
      <c r="HZ172" s="561"/>
      <c r="IA172" s="2668"/>
      <c r="IB172" s="2668"/>
      <c r="IC172" s="2668"/>
      <c r="ID172" s="2668"/>
      <c r="IE172" s="2668"/>
      <c r="IF172" s="2668"/>
      <c r="IG172" s="2668"/>
      <c r="IH172" s="2668"/>
      <c r="II172" s="2668"/>
      <c r="IJ172" s="2668"/>
      <c r="IK172" s="2668"/>
      <c r="IL172" s="2668"/>
      <c r="IM172" s="2668"/>
      <c r="IN172" s="2668"/>
      <c r="IO172" s="2668"/>
      <c r="IP172" s="2668"/>
      <c r="IQ172" s="2668"/>
      <c r="IR172" s="2668"/>
      <c r="IS172" s="2668"/>
      <c r="IT172" s="2668"/>
      <c r="IU172" s="2668"/>
      <c r="IV172" s="2668"/>
      <c r="IW172" s="2668"/>
      <c r="IX172" s="2668"/>
      <c r="IY172" s="2668"/>
      <c r="IZ172" s="2668"/>
      <c r="JA172" s="2668"/>
      <c r="JB172" s="2668"/>
      <c r="JC172" s="2668"/>
      <c r="JD172" s="2668"/>
      <c r="JE172" s="2668"/>
      <c r="JF172" s="2668"/>
      <c r="JG172" s="2668"/>
      <c r="JH172" s="2668"/>
      <c r="JI172" s="2668"/>
      <c r="JJ172" s="2668"/>
    </row>
    <row r="173" spans="65:270" ht="4.1500000000000004" customHeight="1">
      <c r="BM173" s="496"/>
      <c r="BN173" s="496"/>
      <c r="BO173" s="496"/>
      <c r="BP173" s="496"/>
      <c r="BQ173" s="496"/>
      <c r="BR173" s="496"/>
      <c r="BS173" s="496"/>
      <c r="BT173" s="496"/>
      <c r="BU173" s="496"/>
      <c r="BV173" s="496"/>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c r="HC173" s="496"/>
      <c r="HD173" s="496"/>
      <c r="HE173" s="496"/>
    </row>
  </sheetData>
  <mergeCells count="129">
    <mergeCell ref="IH141:IK149"/>
    <mergeCell ref="HW151:ID153"/>
    <mergeCell ref="IO139:IU140"/>
    <mergeCell ref="FQ15:FR20"/>
    <mergeCell ref="HK111:HV113"/>
    <mergeCell ref="HW111:IG113"/>
    <mergeCell ref="IH111:IK113"/>
    <mergeCell ref="IL111:IV113"/>
    <mergeCell ref="IW111:IZ113"/>
    <mergeCell ref="HW91:IH93"/>
    <mergeCell ref="II27:IT29"/>
    <mergeCell ref="IM35:IP44"/>
    <mergeCell ref="II15:IT17"/>
    <mergeCell ref="II20:IT22"/>
    <mergeCell ref="HH71:HK80"/>
    <mergeCell ref="IT71:JD73"/>
    <mergeCell ref="IT78:JD80"/>
    <mergeCell ref="IT83:JD85"/>
    <mergeCell ref="IT86:JD88"/>
    <mergeCell ref="IB63:IE68"/>
    <mergeCell ref="GI27:GT29"/>
    <mergeCell ref="GM16:GP25"/>
    <mergeCell ref="IG69:IQ75"/>
    <mergeCell ref="GQ95:GW97"/>
    <mergeCell ref="FD32:FG41"/>
    <mergeCell ref="CV105:CY114"/>
    <mergeCell ref="O106:R115"/>
    <mergeCell ref="AW68:BJ71"/>
    <mergeCell ref="AW62:BJ65"/>
    <mergeCell ref="AT92:BK94"/>
    <mergeCell ref="FL31:FR33"/>
    <mergeCell ref="GI53:GT55"/>
    <mergeCell ref="HO49:HU51"/>
    <mergeCell ref="GI63:GT65"/>
    <mergeCell ref="GI58:GT60"/>
    <mergeCell ref="FS56:FW61"/>
    <mergeCell ref="AT95:AZ97"/>
    <mergeCell ref="BE95:BK97"/>
    <mergeCell ref="BA95:BD97"/>
    <mergeCell ref="CJ84:CK90"/>
    <mergeCell ref="GM35:GP44"/>
    <mergeCell ref="GX30:HA39"/>
    <mergeCell ref="GY53:HB61"/>
    <mergeCell ref="HO59:HU61"/>
    <mergeCell ref="FO85:GB88"/>
    <mergeCell ref="GC114:GW116"/>
    <mergeCell ref="GC95:GI97"/>
    <mergeCell ref="GJ95:GP97"/>
    <mergeCell ref="AG134:AS136"/>
    <mergeCell ref="BM134:BY136"/>
    <mergeCell ref="BB134:BE136"/>
    <mergeCell ref="CH132:CI136"/>
    <mergeCell ref="X132:Y137"/>
    <mergeCell ref="AT126:BK128"/>
    <mergeCell ref="AT129:AZ131"/>
    <mergeCell ref="BA129:BD131"/>
    <mergeCell ref="BE129:BK131"/>
    <mergeCell ref="HW120:IG122"/>
    <mergeCell ref="CO126:CR135"/>
    <mergeCell ref="CO95:CR104"/>
    <mergeCell ref="JA105:JI107"/>
    <mergeCell ref="HK108:HV110"/>
    <mergeCell ref="HW108:IG110"/>
    <mergeCell ref="IH108:IK110"/>
    <mergeCell ref="IL108:IV110"/>
    <mergeCell ref="IW108:IZ110"/>
    <mergeCell ref="IH120:IK122"/>
    <mergeCell ref="IL120:IV122"/>
    <mergeCell ref="IW120:IZ122"/>
    <mergeCell ref="HK123:HV125"/>
    <mergeCell ref="JA114:JI116"/>
    <mergeCell ref="HK117:HV119"/>
    <mergeCell ref="HW117:IG119"/>
    <mergeCell ref="IH117:IK119"/>
    <mergeCell ref="IL117:IV119"/>
    <mergeCell ref="IW117:IZ119"/>
    <mergeCell ref="JA117:JI119"/>
    <mergeCell ref="HK114:HV116"/>
    <mergeCell ref="HW114:IG116"/>
    <mergeCell ref="IH114:IK116"/>
    <mergeCell ref="IL114:IV116"/>
    <mergeCell ref="IT64:JD66"/>
    <mergeCell ref="HP69:HZ75"/>
    <mergeCell ref="IA69:IF71"/>
    <mergeCell ref="FC167:GE169"/>
    <mergeCell ref="GO167:HR169"/>
    <mergeCell ref="IA167:JJ169"/>
    <mergeCell ref="FP96:FU98"/>
    <mergeCell ref="GW99:HE101"/>
    <mergeCell ref="GW102:HE104"/>
    <mergeCell ref="GY68:HB77"/>
    <mergeCell ref="GI80:GT82"/>
    <mergeCell ref="GI77:GT79"/>
    <mergeCell ref="FM72:GC76"/>
    <mergeCell ref="FO67:GA71"/>
    <mergeCell ref="FQ62:FY66"/>
    <mergeCell ref="GI73:GT75"/>
    <mergeCell ref="GI68:GT70"/>
    <mergeCell ref="HW123:IG125"/>
    <mergeCell ref="IH123:IK125"/>
    <mergeCell ref="IL123:IV125"/>
    <mergeCell ref="IW123:IZ125"/>
    <mergeCell ref="JA123:JI125"/>
    <mergeCell ref="HK120:HV122"/>
    <mergeCell ref="JA111:JI113"/>
    <mergeCell ref="IX35:JA44"/>
    <mergeCell ref="FC170:GE172"/>
    <mergeCell ref="GQ170:HP172"/>
    <mergeCell ref="IA170:JJ172"/>
    <mergeCell ref="JA102:JI104"/>
    <mergeCell ref="HK98:JI101"/>
    <mergeCell ref="FP105:FU107"/>
    <mergeCell ref="GW105:HE107"/>
    <mergeCell ref="FP108:FZ111"/>
    <mergeCell ref="GX108:HE109"/>
    <mergeCell ref="GX110:HE111"/>
    <mergeCell ref="HK102:HV104"/>
    <mergeCell ref="HW102:IG104"/>
    <mergeCell ref="IH102:IK104"/>
    <mergeCell ref="IL102:IV104"/>
    <mergeCell ref="IW102:IZ104"/>
    <mergeCell ref="JA108:JI110"/>
    <mergeCell ref="HK105:HV107"/>
    <mergeCell ref="HW105:IG107"/>
    <mergeCell ref="IH105:IK107"/>
    <mergeCell ref="IL105:IV107"/>
    <mergeCell ref="IW105:IZ107"/>
    <mergeCell ref="IW114:IZ116"/>
    <mergeCell ref="JA120:JI122"/>
  </mergeCells>
  <pageMargins left="0.196850393700787" right="0.118110236220472" top="0.35433070866141703" bottom="0.15748031496063" header="0.31496062992126" footer="0.31496062992126"/>
  <pageSetup paperSize="9" scale="80" orientation="landscape" r:id="rId1"/>
</worksheet>
</file>

<file path=xl/worksheets/sheet18.xml><?xml version="1.0" encoding="utf-8"?>
<worksheet xmlns="http://schemas.openxmlformats.org/spreadsheetml/2006/main" xmlns:r="http://schemas.openxmlformats.org/officeDocument/2006/relationships">
  <sheetPr>
    <tabColor rgb="FFFF0000"/>
  </sheetPr>
  <dimension ref="A1:I41"/>
  <sheetViews>
    <sheetView view="pageBreakPreview" zoomScale="98" zoomScaleSheetLayoutView="98" workbookViewId="0">
      <selection activeCell="O12" sqref="O12"/>
    </sheetView>
  </sheetViews>
  <sheetFormatPr defaultColWidth="9.140625" defaultRowHeight="12.75"/>
  <cols>
    <col min="1" max="1" width="4.140625" style="2288" customWidth="1"/>
    <col min="2" max="8" width="10.7109375" style="2288" customWidth="1"/>
    <col min="9" max="9" width="17.140625" style="2288" customWidth="1"/>
    <col min="10" max="256" width="9.140625" style="2288"/>
    <col min="257" max="265" width="10.7109375" style="2288" customWidth="1"/>
    <col min="266" max="512" width="9.140625" style="2288"/>
    <col min="513" max="521" width="10.7109375" style="2288" customWidth="1"/>
    <col min="522" max="768" width="9.140625" style="2288"/>
    <col min="769" max="777" width="10.7109375" style="2288" customWidth="1"/>
    <col min="778" max="1024" width="9.140625" style="2288"/>
    <col min="1025" max="1033" width="10.7109375" style="2288" customWidth="1"/>
    <col min="1034" max="1280" width="9.140625" style="2288"/>
    <col min="1281" max="1289" width="10.7109375" style="2288" customWidth="1"/>
    <col min="1290" max="1536" width="9.140625" style="2288"/>
    <col min="1537" max="1545" width="10.7109375" style="2288" customWidth="1"/>
    <col min="1546" max="1792" width="9.140625" style="2288"/>
    <col min="1793" max="1801" width="10.7109375" style="2288" customWidth="1"/>
    <col min="1802" max="2048" width="9.140625" style="2288"/>
    <col min="2049" max="2057" width="10.7109375" style="2288" customWidth="1"/>
    <col min="2058" max="2304" width="9.140625" style="2288"/>
    <col min="2305" max="2313" width="10.7109375" style="2288" customWidth="1"/>
    <col min="2314" max="2560" width="9.140625" style="2288"/>
    <col min="2561" max="2569" width="10.7109375" style="2288" customWidth="1"/>
    <col min="2570" max="2816" width="9.140625" style="2288"/>
    <col min="2817" max="2825" width="10.7109375" style="2288" customWidth="1"/>
    <col min="2826" max="3072" width="9.140625" style="2288"/>
    <col min="3073" max="3081" width="10.7109375" style="2288" customWidth="1"/>
    <col min="3082" max="3328" width="9.140625" style="2288"/>
    <col min="3329" max="3337" width="10.7109375" style="2288" customWidth="1"/>
    <col min="3338" max="3584" width="9.140625" style="2288"/>
    <col min="3585" max="3593" width="10.7109375" style="2288" customWidth="1"/>
    <col min="3594" max="3840" width="9.140625" style="2288"/>
    <col min="3841" max="3849" width="10.7109375" style="2288" customWidth="1"/>
    <col min="3850" max="4096" width="9.140625" style="2288"/>
    <col min="4097" max="4105" width="10.7109375" style="2288" customWidth="1"/>
    <col min="4106" max="4352" width="9.140625" style="2288"/>
    <col min="4353" max="4361" width="10.7109375" style="2288" customWidth="1"/>
    <col min="4362" max="4608" width="9.140625" style="2288"/>
    <col min="4609" max="4617" width="10.7109375" style="2288" customWidth="1"/>
    <col min="4618" max="4864" width="9.140625" style="2288"/>
    <col min="4865" max="4873" width="10.7109375" style="2288" customWidth="1"/>
    <col min="4874" max="5120" width="9.140625" style="2288"/>
    <col min="5121" max="5129" width="10.7109375" style="2288" customWidth="1"/>
    <col min="5130" max="5376" width="9.140625" style="2288"/>
    <col min="5377" max="5385" width="10.7109375" style="2288" customWidth="1"/>
    <col min="5386" max="5632" width="9.140625" style="2288"/>
    <col min="5633" max="5641" width="10.7109375" style="2288" customWidth="1"/>
    <col min="5642" max="5888" width="9.140625" style="2288"/>
    <col min="5889" max="5897" width="10.7109375" style="2288" customWidth="1"/>
    <col min="5898" max="6144" width="9.140625" style="2288"/>
    <col min="6145" max="6153" width="10.7109375" style="2288" customWidth="1"/>
    <col min="6154" max="6400" width="9.140625" style="2288"/>
    <col min="6401" max="6409" width="10.7109375" style="2288" customWidth="1"/>
    <col min="6410" max="6656" width="9.140625" style="2288"/>
    <col min="6657" max="6665" width="10.7109375" style="2288" customWidth="1"/>
    <col min="6666" max="6912" width="9.140625" style="2288"/>
    <col min="6913" max="6921" width="10.7109375" style="2288" customWidth="1"/>
    <col min="6922" max="7168" width="9.140625" style="2288"/>
    <col min="7169" max="7177" width="10.7109375" style="2288" customWidth="1"/>
    <col min="7178" max="7424" width="9.140625" style="2288"/>
    <col min="7425" max="7433" width="10.7109375" style="2288" customWidth="1"/>
    <col min="7434" max="7680" width="9.140625" style="2288"/>
    <col min="7681" max="7689" width="10.7109375" style="2288" customWidth="1"/>
    <col min="7690" max="7936" width="9.140625" style="2288"/>
    <col min="7937" max="7945" width="10.7109375" style="2288" customWidth="1"/>
    <col min="7946" max="8192" width="9.140625" style="2288"/>
    <col min="8193" max="8201" width="10.7109375" style="2288" customWidth="1"/>
    <col min="8202" max="8448" width="9.140625" style="2288"/>
    <col min="8449" max="8457" width="10.7109375" style="2288" customWidth="1"/>
    <col min="8458" max="8704" width="9.140625" style="2288"/>
    <col min="8705" max="8713" width="10.7109375" style="2288" customWidth="1"/>
    <col min="8714" max="8960" width="9.140625" style="2288"/>
    <col min="8961" max="8969" width="10.7109375" style="2288" customWidth="1"/>
    <col min="8970" max="9216" width="9.140625" style="2288"/>
    <col min="9217" max="9225" width="10.7109375" style="2288" customWidth="1"/>
    <col min="9226" max="9472" width="9.140625" style="2288"/>
    <col min="9473" max="9481" width="10.7109375" style="2288" customWidth="1"/>
    <col min="9482" max="9728" width="9.140625" style="2288"/>
    <col min="9729" max="9737" width="10.7109375" style="2288" customWidth="1"/>
    <col min="9738" max="9984" width="9.140625" style="2288"/>
    <col min="9985" max="9993" width="10.7109375" style="2288" customWidth="1"/>
    <col min="9994" max="10240" width="9.140625" style="2288"/>
    <col min="10241" max="10249" width="10.7109375" style="2288" customWidth="1"/>
    <col min="10250" max="10496" width="9.140625" style="2288"/>
    <col min="10497" max="10505" width="10.7109375" style="2288" customWidth="1"/>
    <col min="10506" max="10752" width="9.140625" style="2288"/>
    <col min="10753" max="10761" width="10.7109375" style="2288" customWidth="1"/>
    <col min="10762" max="11008" width="9.140625" style="2288"/>
    <col min="11009" max="11017" width="10.7109375" style="2288" customWidth="1"/>
    <col min="11018" max="11264" width="9.140625" style="2288"/>
    <col min="11265" max="11273" width="10.7109375" style="2288" customWidth="1"/>
    <col min="11274" max="11520" width="9.140625" style="2288"/>
    <col min="11521" max="11529" width="10.7109375" style="2288" customWidth="1"/>
    <col min="11530" max="11776" width="9.140625" style="2288"/>
    <col min="11777" max="11785" width="10.7109375" style="2288" customWidth="1"/>
    <col min="11786" max="12032" width="9.140625" style="2288"/>
    <col min="12033" max="12041" width="10.7109375" style="2288" customWidth="1"/>
    <col min="12042" max="12288" width="9.140625" style="2288"/>
    <col min="12289" max="12297" width="10.7109375" style="2288" customWidth="1"/>
    <col min="12298" max="12544" width="9.140625" style="2288"/>
    <col min="12545" max="12553" width="10.7109375" style="2288" customWidth="1"/>
    <col min="12554" max="12800" width="9.140625" style="2288"/>
    <col min="12801" max="12809" width="10.7109375" style="2288" customWidth="1"/>
    <col min="12810" max="13056" width="9.140625" style="2288"/>
    <col min="13057" max="13065" width="10.7109375" style="2288" customWidth="1"/>
    <col min="13066" max="13312" width="9.140625" style="2288"/>
    <col min="13313" max="13321" width="10.7109375" style="2288" customWidth="1"/>
    <col min="13322" max="13568" width="9.140625" style="2288"/>
    <col min="13569" max="13577" width="10.7109375" style="2288" customWidth="1"/>
    <col min="13578" max="13824" width="9.140625" style="2288"/>
    <col min="13825" max="13833" width="10.7109375" style="2288" customWidth="1"/>
    <col min="13834" max="14080" width="9.140625" style="2288"/>
    <col min="14081" max="14089" width="10.7109375" style="2288" customWidth="1"/>
    <col min="14090" max="14336" width="9.140625" style="2288"/>
    <col min="14337" max="14345" width="10.7109375" style="2288" customWidth="1"/>
    <col min="14346" max="14592" width="9.140625" style="2288"/>
    <col min="14593" max="14601" width="10.7109375" style="2288" customWidth="1"/>
    <col min="14602" max="14848" width="9.140625" style="2288"/>
    <col min="14849" max="14857" width="10.7109375" style="2288" customWidth="1"/>
    <col min="14858" max="15104" width="9.140625" style="2288"/>
    <col min="15105" max="15113" width="10.7109375" style="2288" customWidth="1"/>
    <col min="15114" max="15360" width="9.140625" style="2288"/>
    <col min="15361" max="15369" width="10.7109375" style="2288" customWidth="1"/>
    <col min="15370" max="15616" width="9.140625" style="2288"/>
    <col min="15617" max="15625" width="10.7109375" style="2288" customWidth="1"/>
    <col min="15626" max="15872" width="9.140625" style="2288"/>
    <col min="15873" max="15881" width="10.7109375" style="2288" customWidth="1"/>
    <col min="15882" max="16128" width="9.140625" style="2288"/>
    <col min="16129" max="16137" width="10.7109375" style="2288" customWidth="1"/>
    <col min="16138" max="16384" width="9.140625" style="2288"/>
  </cols>
  <sheetData>
    <row r="1" spans="1:9" ht="15">
      <c r="A1" s="2285"/>
      <c r="B1" s="2286"/>
      <c r="C1" s="2286"/>
      <c r="D1" s="2286"/>
      <c r="E1" s="2286"/>
      <c r="F1" s="2286"/>
      <c r="G1" s="2286"/>
      <c r="H1" s="2286"/>
      <c r="I1" s="2287"/>
    </row>
    <row r="2" spans="1:9" ht="15">
      <c r="A2" s="2289"/>
      <c r="B2" s="2290"/>
      <c r="C2" s="2290"/>
      <c r="D2" s="2290"/>
      <c r="E2" s="2290"/>
      <c r="F2" s="2290"/>
      <c r="G2" s="2290"/>
      <c r="H2" s="2290"/>
      <c r="I2" s="2291"/>
    </row>
    <row r="3" spans="1:9" ht="15">
      <c r="A3" s="2289"/>
      <c r="B3" s="2290"/>
      <c r="C3" s="2290"/>
      <c r="D3" s="2290"/>
      <c r="E3" s="2290"/>
      <c r="F3" s="2290"/>
      <c r="G3" s="2290"/>
      <c r="H3" s="2290"/>
      <c r="I3" s="2291"/>
    </row>
    <row r="4" spans="1:9" ht="15">
      <c r="A4" s="2289"/>
      <c r="B4" s="2290"/>
      <c r="C4" s="2290"/>
      <c r="D4" s="2290"/>
      <c r="E4" s="2290"/>
      <c r="F4" s="2290"/>
      <c r="G4" s="2290"/>
      <c r="H4" s="2290"/>
      <c r="I4" s="2291"/>
    </row>
    <row r="5" spans="1:9" ht="15">
      <c r="A5" s="2289"/>
      <c r="B5" s="2290"/>
      <c r="C5" s="2290"/>
      <c r="D5" s="2290"/>
      <c r="E5" s="2290"/>
      <c r="F5" s="2290"/>
      <c r="G5" s="2290"/>
      <c r="H5" s="2290"/>
      <c r="I5" s="2291"/>
    </row>
    <row r="6" spans="1:9" ht="15">
      <c r="A6" s="2289"/>
      <c r="B6" s="2290"/>
      <c r="C6" s="2290"/>
      <c r="D6" s="2290"/>
      <c r="E6" s="2290"/>
      <c r="F6" s="2290"/>
      <c r="G6" s="2290"/>
      <c r="H6" s="2290"/>
      <c r="I6" s="2291"/>
    </row>
    <row r="7" spans="1:9" ht="15">
      <c r="A7" s="2289"/>
      <c r="B7" s="2290"/>
      <c r="C7" s="2290"/>
      <c r="D7" s="2290"/>
      <c r="E7" s="2290"/>
      <c r="F7" s="2290"/>
      <c r="G7" s="2290"/>
      <c r="H7" s="2290"/>
      <c r="I7" s="2291"/>
    </row>
    <row r="8" spans="1:9" ht="15">
      <c r="A8" s="2289"/>
      <c r="B8" s="2290"/>
      <c r="C8" s="2290"/>
      <c r="D8" s="2290"/>
      <c r="E8" s="2290"/>
      <c r="F8" s="2290"/>
      <c r="G8" s="2290"/>
      <c r="H8" s="2290"/>
      <c r="I8" s="2291"/>
    </row>
    <row r="9" spans="1:9" ht="15">
      <c r="A9" s="2289"/>
      <c r="B9" s="2290"/>
      <c r="C9" s="2290"/>
      <c r="D9" s="2290"/>
      <c r="E9" s="2290"/>
      <c r="F9" s="2290"/>
      <c r="G9" s="2290"/>
      <c r="H9" s="2290"/>
      <c r="I9" s="2291"/>
    </row>
    <row r="10" spans="1:9" ht="15">
      <c r="A10" s="2289"/>
      <c r="B10" s="2290"/>
      <c r="C10" s="2290"/>
      <c r="D10" s="2290"/>
      <c r="E10" s="2290"/>
      <c r="F10" s="2290"/>
      <c r="G10" s="2290"/>
      <c r="H10" s="2290"/>
      <c r="I10" s="2291"/>
    </row>
    <row r="11" spans="1:9" ht="15">
      <c r="A11" s="2289"/>
      <c r="B11" s="2290"/>
      <c r="C11" s="2290"/>
      <c r="D11" s="2290"/>
      <c r="E11" s="2290"/>
      <c r="F11" s="2290"/>
      <c r="G11" s="2290"/>
      <c r="H11" s="2290"/>
      <c r="I11" s="2291"/>
    </row>
    <row r="12" spans="1:9" ht="20.25">
      <c r="A12" s="2854"/>
      <c r="B12" s="2855"/>
      <c r="C12" s="2855"/>
      <c r="D12" s="2855"/>
      <c r="E12" s="2855"/>
      <c r="F12" s="2855"/>
      <c r="G12" s="2855"/>
      <c r="H12" s="2855"/>
      <c r="I12" s="2856"/>
    </row>
    <row r="13" spans="1:9" s="2456" customFormat="1" ht="27.95" customHeight="1">
      <c r="A13" s="2863" t="s">
        <v>4266</v>
      </c>
      <c r="B13" s="2864"/>
      <c r="C13" s="2864"/>
      <c r="D13" s="2864"/>
      <c r="E13" s="2864"/>
      <c r="F13" s="2864"/>
      <c r="G13" s="2864"/>
      <c r="H13" s="2864"/>
      <c r="I13" s="2865"/>
    </row>
    <row r="14" spans="1:9" ht="20.25">
      <c r="A14" s="2854"/>
      <c r="B14" s="2855"/>
      <c r="C14" s="2855"/>
      <c r="D14" s="2855"/>
      <c r="E14" s="2855"/>
      <c r="F14" s="2855"/>
      <c r="G14" s="2855"/>
      <c r="H14" s="2855"/>
      <c r="I14" s="2856"/>
    </row>
    <row r="15" spans="1:9" ht="15">
      <c r="A15" s="2289"/>
      <c r="B15" s="2290"/>
      <c r="C15" s="2290"/>
      <c r="D15" s="2290"/>
      <c r="E15" s="2290"/>
      <c r="F15" s="2290"/>
      <c r="G15" s="2290"/>
      <c r="H15" s="2290"/>
      <c r="I15" s="2291"/>
    </row>
    <row r="16" spans="1:9" ht="20.25">
      <c r="A16" s="2854"/>
      <c r="B16" s="2855"/>
      <c r="C16" s="2855"/>
      <c r="D16" s="2855"/>
      <c r="E16" s="2855"/>
      <c r="F16" s="2855"/>
      <c r="G16" s="2855"/>
      <c r="H16" s="2855"/>
      <c r="I16" s="2856"/>
    </row>
    <row r="17" spans="1:9" ht="15">
      <c r="A17" s="2289"/>
      <c r="B17" s="2290"/>
      <c r="C17" s="2290"/>
      <c r="D17" s="2290"/>
      <c r="E17" s="2290"/>
      <c r="F17" s="2290"/>
      <c r="G17" s="2290"/>
      <c r="H17" s="2290"/>
      <c r="I17" s="2291"/>
    </row>
    <row r="18" spans="1:9" ht="20.25">
      <c r="A18" s="2854"/>
      <c r="B18" s="2855"/>
      <c r="C18" s="2855"/>
      <c r="D18" s="2855"/>
      <c r="E18" s="2855"/>
      <c r="F18" s="2855"/>
      <c r="G18" s="2855"/>
      <c r="H18" s="2855"/>
      <c r="I18" s="2856"/>
    </row>
    <row r="19" spans="1:9" ht="20.25">
      <c r="A19" s="2292"/>
      <c r="B19" s="2293"/>
      <c r="C19" s="2293"/>
      <c r="D19" s="2293"/>
      <c r="E19" s="2293"/>
      <c r="F19" s="2293"/>
      <c r="G19" s="2293"/>
      <c r="H19" s="2293"/>
      <c r="I19" s="2294"/>
    </row>
    <row r="20" spans="1:9" ht="20.25">
      <c r="A20" s="2292"/>
      <c r="B20" s="2293"/>
      <c r="C20" s="2293"/>
      <c r="D20" s="2293"/>
      <c r="E20" s="2295"/>
      <c r="F20" s="2293"/>
      <c r="G20" s="2293"/>
      <c r="H20" s="2293"/>
      <c r="I20" s="2294"/>
    </row>
    <row r="21" spans="1:9" ht="15">
      <c r="A21" s="2289"/>
      <c r="B21" s="2290"/>
      <c r="C21" s="2290"/>
      <c r="D21" s="2290"/>
      <c r="E21" s="2290"/>
      <c r="F21" s="2290"/>
      <c r="G21" s="2290"/>
      <c r="H21" s="2290"/>
      <c r="I21" s="2291"/>
    </row>
    <row r="22" spans="1:9" ht="15">
      <c r="A22" s="2289"/>
      <c r="B22" s="2290"/>
      <c r="C22" s="2290"/>
      <c r="D22" s="2290"/>
      <c r="E22" s="2290"/>
      <c r="F22" s="2290"/>
      <c r="G22" s="2290"/>
      <c r="H22" s="2290"/>
      <c r="I22" s="2291"/>
    </row>
    <row r="23" spans="1:9" s="2300" customFormat="1" ht="16.5" customHeight="1">
      <c r="A23" s="2857"/>
      <c r="B23" s="2858"/>
      <c r="C23" s="2858"/>
      <c r="D23" s="2858"/>
      <c r="E23" s="2859"/>
      <c r="F23" s="2859"/>
      <c r="G23" s="2859"/>
      <c r="H23" s="2859"/>
      <c r="I23" s="2860"/>
    </row>
    <row r="24" spans="1:9" s="2300" customFormat="1" ht="21.4" customHeight="1">
      <c r="A24" s="2296"/>
      <c r="B24" s="2297"/>
      <c r="C24" s="2297"/>
      <c r="D24" s="2297"/>
      <c r="E24" s="2859"/>
      <c r="F24" s="2859"/>
      <c r="G24" s="2859"/>
      <c r="H24" s="2859"/>
      <c r="I24" s="2860"/>
    </row>
    <row r="25" spans="1:9" s="2300" customFormat="1" ht="19.5">
      <c r="A25" s="2857"/>
      <c r="B25" s="2858"/>
      <c r="C25" s="2858"/>
      <c r="D25" s="2858"/>
      <c r="E25" s="2866"/>
      <c r="F25" s="2866"/>
      <c r="G25" s="2301"/>
      <c r="H25" s="2301"/>
      <c r="I25" s="2302"/>
    </row>
    <row r="26" spans="1:9" s="2300" customFormat="1" ht="19.5">
      <c r="A26" s="2296"/>
      <c r="B26" s="2297"/>
      <c r="C26" s="2297"/>
      <c r="D26" s="2297"/>
      <c r="E26" s="2301"/>
      <c r="F26" s="2301"/>
      <c r="G26" s="2301"/>
      <c r="H26" s="2301"/>
      <c r="I26" s="2302"/>
    </row>
    <row r="27" spans="1:9" s="2300" customFormat="1" ht="19.5">
      <c r="A27" s="2296"/>
      <c r="B27" s="2297"/>
      <c r="C27" s="2297"/>
      <c r="D27" s="2297"/>
      <c r="E27" s="2301"/>
      <c r="F27" s="2301"/>
      <c r="G27" s="2301"/>
      <c r="H27" s="2301"/>
      <c r="I27" s="2302"/>
    </row>
    <row r="28" spans="1:9" s="2300" customFormat="1" ht="19.5">
      <c r="A28" s="2857"/>
      <c r="B28" s="2858"/>
      <c r="C28" s="2858"/>
      <c r="D28" s="2858"/>
      <c r="H28" s="2301"/>
      <c r="I28" s="2302"/>
    </row>
    <row r="29" spans="1:9" s="2300" customFormat="1" ht="19.5">
      <c r="A29" s="2296"/>
      <c r="B29" s="2297"/>
      <c r="C29" s="2297"/>
      <c r="D29" s="2297"/>
      <c r="E29" s="2301"/>
      <c r="F29" s="2303"/>
      <c r="G29" s="2303"/>
      <c r="H29" s="2303"/>
      <c r="I29" s="2304"/>
    </row>
    <row r="30" spans="1:9" s="2300" customFormat="1" ht="19.5">
      <c r="A30" s="2296"/>
      <c r="B30" s="2297"/>
      <c r="C30" s="2297"/>
      <c r="D30" s="2297"/>
      <c r="E30" s="2301"/>
      <c r="F30" s="2303"/>
      <c r="G30" s="2303"/>
      <c r="H30" s="2303"/>
      <c r="I30" s="2304"/>
    </row>
    <row r="31" spans="1:9" s="2300" customFormat="1" ht="19.5">
      <c r="A31" s="2296"/>
      <c r="B31" s="2858"/>
      <c r="C31" s="2858"/>
      <c r="D31" s="2858"/>
      <c r="E31" s="2867"/>
      <c r="F31" s="2867"/>
      <c r="G31" s="2306"/>
      <c r="H31" s="2306"/>
      <c r="I31" s="2307"/>
    </row>
    <row r="32" spans="1:9" s="2300" customFormat="1" ht="19.5">
      <c r="A32" s="2296"/>
      <c r="B32" s="2297"/>
      <c r="C32" s="2297"/>
      <c r="D32" s="2297"/>
      <c r="E32" s="2305"/>
      <c r="F32" s="2303"/>
      <c r="G32" s="2306"/>
      <c r="H32" s="2306"/>
      <c r="I32" s="2307"/>
    </row>
    <row r="33" spans="1:9" s="2300" customFormat="1" ht="19.5">
      <c r="A33" s="2296"/>
      <c r="B33" s="2297"/>
      <c r="C33" s="2297"/>
      <c r="D33" s="2297"/>
      <c r="E33" s="2867"/>
      <c r="F33" s="2867"/>
      <c r="G33" s="2306"/>
      <c r="H33" s="2306"/>
      <c r="I33" s="2307"/>
    </row>
    <row r="34" spans="1:9" s="2300" customFormat="1" ht="19.5" customHeight="1">
      <c r="A34" s="2296"/>
      <c r="B34" s="2297"/>
      <c r="C34" s="2861"/>
      <c r="D34" s="2861"/>
      <c r="E34" s="2862"/>
      <c r="F34" s="2859"/>
      <c r="G34" s="2859"/>
      <c r="H34" s="2859"/>
      <c r="I34" s="2302"/>
    </row>
    <row r="35" spans="1:9" s="2300" customFormat="1" ht="19.5">
      <c r="A35" s="2308"/>
      <c r="B35" s="2301"/>
      <c r="C35" s="2301"/>
      <c r="E35" s="2859"/>
      <c r="F35" s="2859"/>
      <c r="G35" s="2859"/>
      <c r="H35" s="2859"/>
      <c r="I35" s="2302"/>
    </row>
    <row r="36" spans="1:9" s="2300" customFormat="1" ht="19.5">
      <c r="A36" s="2308"/>
      <c r="B36" s="2301"/>
      <c r="C36" s="2301"/>
      <c r="D36" s="2301"/>
      <c r="E36" s="2301"/>
      <c r="F36" s="2301"/>
      <c r="G36" s="2301"/>
      <c r="H36" s="2301"/>
      <c r="I36" s="2302"/>
    </row>
    <row r="37" spans="1:9" ht="16.5">
      <c r="A37" s="2309"/>
      <c r="B37" s="2310"/>
      <c r="C37" s="2310"/>
      <c r="D37" s="2310"/>
      <c r="E37" s="2290"/>
      <c r="F37" s="2310"/>
      <c r="G37" s="2310"/>
      <c r="H37" s="2310"/>
      <c r="I37" s="2311"/>
    </row>
    <row r="38" spans="1:9">
      <c r="A38" s="2312"/>
      <c r="I38" s="2313"/>
    </row>
    <row r="39" spans="1:9" s="2454" customFormat="1" ht="16.5">
      <c r="A39" s="2453"/>
      <c r="B39" s="2454" t="s">
        <v>4264</v>
      </c>
      <c r="F39" s="2454" t="s">
        <v>4265</v>
      </c>
      <c r="I39" s="2455"/>
    </row>
    <row r="40" spans="1:9" s="2454" customFormat="1" ht="16.5">
      <c r="A40" s="2453"/>
      <c r="I40" s="2455"/>
    </row>
    <row r="41" spans="1:9" ht="13.5" thickBot="1">
      <c r="A41" s="2314"/>
      <c r="B41" s="2315"/>
      <c r="C41" s="2315"/>
      <c r="D41" s="2315"/>
      <c r="E41" s="2315"/>
      <c r="F41" s="2315"/>
      <c r="G41" s="2315"/>
      <c r="H41" s="2315"/>
      <c r="I41" s="2316"/>
    </row>
  </sheetData>
  <mergeCells count="15">
    <mergeCell ref="C34:D34"/>
    <mergeCell ref="E34:H35"/>
    <mergeCell ref="A13:I13"/>
    <mergeCell ref="A25:D25"/>
    <mergeCell ref="E25:F25"/>
    <mergeCell ref="A28:D28"/>
    <mergeCell ref="B31:D31"/>
    <mergeCell ref="E31:F31"/>
    <mergeCell ref="E33:F33"/>
    <mergeCell ref="A12:I12"/>
    <mergeCell ref="A14:I14"/>
    <mergeCell ref="A16:I16"/>
    <mergeCell ref="A18:I18"/>
    <mergeCell ref="A23:D23"/>
    <mergeCell ref="E23:I24"/>
  </mergeCells>
  <pageMargins left="0.59055118110236227" right="0.43307086614173229" top="1.6141732283464567" bottom="0.74803149606299213" header="0.82677165354330717" footer="0.31496062992125984"/>
  <pageSetup paperSize="9" scale="95" orientation="portrait" verticalDpi="4294967295" r:id="rId1"/>
  <drawing r:id="rId2"/>
</worksheet>
</file>

<file path=xl/worksheets/sheet19.xml><?xml version="1.0" encoding="utf-8"?>
<worksheet xmlns="http://schemas.openxmlformats.org/spreadsheetml/2006/main" xmlns:r="http://schemas.openxmlformats.org/officeDocument/2006/relationships">
  <sheetPr>
    <tabColor rgb="FFFF0000"/>
  </sheetPr>
  <dimension ref="A1:I41"/>
  <sheetViews>
    <sheetView view="pageBreakPreview" topLeftCell="A22" zoomScale="98" zoomScaleSheetLayoutView="98" workbookViewId="0">
      <selection activeCell="F7" sqref="F7"/>
    </sheetView>
  </sheetViews>
  <sheetFormatPr defaultColWidth="9.140625" defaultRowHeight="12.75"/>
  <cols>
    <col min="1" max="1" width="4.140625" style="2288" customWidth="1"/>
    <col min="2" max="8" width="10.7109375" style="2288" customWidth="1"/>
    <col min="9" max="9" width="15.7109375" style="2288" customWidth="1"/>
    <col min="10" max="256" width="9.140625" style="2288"/>
    <col min="257" max="265" width="10.7109375" style="2288" customWidth="1"/>
    <col min="266" max="512" width="9.140625" style="2288"/>
    <col min="513" max="521" width="10.7109375" style="2288" customWidth="1"/>
    <col min="522" max="768" width="9.140625" style="2288"/>
    <col min="769" max="777" width="10.7109375" style="2288" customWidth="1"/>
    <col min="778" max="1024" width="9.140625" style="2288"/>
    <col min="1025" max="1033" width="10.7109375" style="2288" customWidth="1"/>
    <col min="1034" max="1280" width="9.140625" style="2288"/>
    <col min="1281" max="1289" width="10.7109375" style="2288" customWidth="1"/>
    <col min="1290" max="1536" width="9.140625" style="2288"/>
    <col min="1537" max="1545" width="10.7109375" style="2288" customWidth="1"/>
    <col min="1546" max="1792" width="9.140625" style="2288"/>
    <col min="1793" max="1801" width="10.7109375" style="2288" customWidth="1"/>
    <col min="1802" max="2048" width="9.140625" style="2288"/>
    <col min="2049" max="2057" width="10.7109375" style="2288" customWidth="1"/>
    <col min="2058" max="2304" width="9.140625" style="2288"/>
    <col min="2305" max="2313" width="10.7109375" style="2288" customWidth="1"/>
    <col min="2314" max="2560" width="9.140625" style="2288"/>
    <col min="2561" max="2569" width="10.7109375" style="2288" customWidth="1"/>
    <col min="2570" max="2816" width="9.140625" style="2288"/>
    <col min="2817" max="2825" width="10.7109375" style="2288" customWidth="1"/>
    <col min="2826" max="3072" width="9.140625" style="2288"/>
    <col min="3073" max="3081" width="10.7109375" style="2288" customWidth="1"/>
    <col min="3082" max="3328" width="9.140625" style="2288"/>
    <col min="3329" max="3337" width="10.7109375" style="2288" customWidth="1"/>
    <col min="3338" max="3584" width="9.140625" style="2288"/>
    <col min="3585" max="3593" width="10.7109375" style="2288" customWidth="1"/>
    <col min="3594" max="3840" width="9.140625" style="2288"/>
    <col min="3841" max="3849" width="10.7109375" style="2288" customWidth="1"/>
    <col min="3850" max="4096" width="9.140625" style="2288"/>
    <col min="4097" max="4105" width="10.7109375" style="2288" customWidth="1"/>
    <col min="4106" max="4352" width="9.140625" style="2288"/>
    <col min="4353" max="4361" width="10.7109375" style="2288" customWidth="1"/>
    <col min="4362" max="4608" width="9.140625" style="2288"/>
    <col min="4609" max="4617" width="10.7109375" style="2288" customWidth="1"/>
    <col min="4618" max="4864" width="9.140625" style="2288"/>
    <col min="4865" max="4873" width="10.7109375" style="2288" customWidth="1"/>
    <col min="4874" max="5120" width="9.140625" style="2288"/>
    <col min="5121" max="5129" width="10.7109375" style="2288" customWidth="1"/>
    <col min="5130" max="5376" width="9.140625" style="2288"/>
    <col min="5377" max="5385" width="10.7109375" style="2288" customWidth="1"/>
    <col min="5386" max="5632" width="9.140625" style="2288"/>
    <col min="5633" max="5641" width="10.7109375" style="2288" customWidth="1"/>
    <col min="5642" max="5888" width="9.140625" style="2288"/>
    <col min="5889" max="5897" width="10.7109375" style="2288" customWidth="1"/>
    <col min="5898" max="6144" width="9.140625" style="2288"/>
    <col min="6145" max="6153" width="10.7109375" style="2288" customWidth="1"/>
    <col min="6154" max="6400" width="9.140625" style="2288"/>
    <col min="6401" max="6409" width="10.7109375" style="2288" customWidth="1"/>
    <col min="6410" max="6656" width="9.140625" style="2288"/>
    <col min="6657" max="6665" width="10.7109375" style="2288" customWidth="1"/>
    <col min="6666" max="6912" width="9.140625" style="2288"/>
    <col min="6913" max="6921" width="10.7109375" style="2288" customWidth="1"/>
    <col min="6922" max="7168" width="9.140625" style="2288"/>
    <col min="7169" max="7177" width="10.7109375" style="2288" customWidth="1"/>
    <col min="7178" max="7424" width="9.140625" style="2288"/>
    <col min="7425" max="7433" width="10.7109375" style="2288" customWidth="1"/>
    <col min="7434" max="7680" width="9.140625" style="2288"/>
    <col min="7681" max="7689" width="10.7109375" style="2288" customWidth="1"/>
    <col min="7690" max="7936" width="9.140625" style="2288"/>
    <col min="7937" max="7945" width="10.7109375" style="2288" customWidth="1"/>
    <col min="7946" max="8192" width="9.140625" style="2288"/>
    <col min="8193" max="8201" width="10.7109375" style="2288" customWidth="1"/>
    <col min="8202" max="8448" width="9.140625" style="2288"/>
    <col min="8449" max="8457" width="10.7109375" style="2288" customWidth="1"/>
    <col min="8458" max="8704" width="9.140625" style="2288"/>
    <col min="8705" max="8713" width="10.7109375" style="2288" customWidth="1"/>
    <col min="8714" max="8960" width="9.140625" style="2288"/>
    <col min="8961" max="8969" width="10.7109375" style="2288" customWidth="1"/>
    <col min="8970" max="9216" width="9.140625" style="2288"/>
    <col min="9217" max="9225" width="10.7109375" style="2288" customWidth="1"/>
    <col min="9226" max="9472" width="9.140625" style="2288"/>
    <col min="9473" max="9481" width="10.7109375" style="2288" customWidth="1"/>
    <col min="9482" max="9728" width="9.140625" style="2288"/>
    <col min="9729" max="9737" width="10.7109375" style="2288" customWidth="1"/>
    <col min="9738" max="9984" width="9.140625" style="2288"/>
    <col min="9985" max="9993" width="10.7109375" style="2288" customWidth="1"/>
    <col min="9994" max="10240" width="9.140625" style="2288"/>
    <col min="10241" max="10249" width="10.7109375" style="2288" customWidth="1"/>
    <col min="10250" max="10496" width="9.140625" style="2288"/>
    <col min="10497" max="10505" width="10.7109375" style="2288" customWidth="1"/>
    <col min="10506" max="10752" width="9.140625" style="2288"/>
    <col min="10753" max="10761" width="10.7109375" style="2288" customWidth="1"/>
    <col min="10762" max="11008" width="9.140625" style="2288"/>
    <col min="11009" max="11017" width="10.7109375" style="2288" customWidth="1"/>
    <col min="11018" max="11264" width="9.140625" style="2288"/>
    <col min="11265" max="11273" width="10.7109375" style="2288" customWidth="1"/>
    <col min="11274" max="11520" width="9.140625" style="2288"/>
    <col min="11521" max="11529" width="10.7109375" style="2288" customWidth="1"/>
    <col min="11530" max="11776" width="9.140625" style="2288"/>
    <col min="11777" max="11785" width="10.7109375" style="2288" customWidth="1"/>
    <col min="11786" max="12032" width="9.140625" style="2288"/>
    <col min="12033" max="12041" width="10.7109375" style="2288" customWidth="1"/>
    <col min="12042" max="12288" width="9.140625" style="2288"/>
    <col min="12289" max="12297" width="10.7109375" style="2288" customWidth="1"/>
    <col min="12298" max="12544" width="9.140625" style="2288"/>
    <col min="12545" max="12553" width="10.7109375" style="2288" customWidth="1"/>
    <col min="12554" max="12800" width="9.140625" style="2288"/>
    <col min="12801" max="12809" width="10.7109375" style="2288" customWidth="1"/>
    <col min="12810" max="13056" width="9.140625" style="2288"/>
    <col min="13057" max="13065" width="10.7109375" style="2288" customWidth="1"/>
    <col min="13066" max="13312" width="9.140625" style="2288"/>
    <col min="13313" max="13321" width="10.7109375" style="2288" customWidth="1"/>
    <col min="13322" max="13568" width="9.140625" style="2288"/>
    <col min="13569" max="13577" width="10.7109375" style="2288" customWidth="1"/>
    <col min="13578" max="13824" width="9.140625" style="2288"/>
    <col min="13825" max="13833" width="10.7109375" style="2288" customWidth="1"/>
    <col min="13834" max="14080" width="9.140625" style="2288"/>
    <col min="14081" max="14089" width="10.7109375" style="2288" customWidth="1"/>
    <col min="14090" max="14336" width="9.140625" style="2288"/>
    <col min="14337" max="14345" width="10.7109375" style="2288" customWidth="1"/>
    <col min="14346" max="14592" width="9.140625" style="2288"/>
    <col min="14593" max="14601" width="10.7109375" style="2288" customWidth="1"/>
    <col min="14602" max="14848" width="9.140625" style="2288"/>
    <col min="14849" max="14857" width="10.7109375" style="2288" customWidth="1"/>
    <col min="14858" max="15104" width="9.140625" style="2288"/>
    <col min="15105" max="15113" width="10.7109375" style="2288" customWidth="1"/>
    <col min="15114" max="15360" width="9.140625" style="2288"/>
    <col min="15361" max="15369" width="10.7109375" style="2288" customWidth="1"/>
    <col min="15370" max="15616" width="9.140625" style="2288"/>
    <col min="15617" max="15625" width="10.7109375" style="2288" customWidth="1"/>
    <col min="15626" max="15872" width="9.140625" style="2288"/>
    <col min="15873" max="15881" width="10.7109375" style="2288" customWidth="1"/>
    <col min="15882" max="16128" width="9.140625" style="2288"/>
    <col min="16129" max="16137" width="10.7109375" style="2288" customWidth="1"/>
    <col min="16138" max="16384" width="9.140625" style="2288"/>
  </cols>
  <sheetData>
    <row r="1" spans="1:9" ht="15">
      <c r="A1" s="2285"/>
      <c r="B1" s="2286"/>
      <c r="C1" s="2286"/>
      <c r="D1" s="2286"/>
      <c r="E1" s="2286"/>
      <c r="F1" s="2286"/>
      <c r="G1" s="2286"/>
      <c r="H1" s="2286"/>
      <c r="I1" s="2287"/>
    </row>
    <row r="2" spans="1:9" ht="15">
      <c r="A2" s="2289"/>
      <c r="B2" s="2290"/>
      <c r="C2" s="2290"/>
      <c r="D2" s="2290"/>
      <c r="E2" s="2290"/>
      <c r="F2" s="2290"/>
      <c r="G2" s="2290"/>
      <c r="H2" s="2290"/>
      <c r="I2" s="2291"/>
    </row>
    <row r="3" spans="1:9" ht="15">
      <c r="A3" s="2289"/>
      <c r="B3" s="2290"/>
      <c r="C3" s="2290"/>
      <c r="D3" s="2290"/>
      <c r="E3" s="2290"/>
      <c r="F3" s="2290"/>
      <c r="G3" s="2290"/>
      <c r="H3" s="2290"/>
      <c r="I3" s="2291"/>
    </row>
    <row r="4" spans="1:9" ht="15">
      <c r="A4" s="2289"/>
      <c r="B4" s="2290"/>
      <c r="C4" s="2290"/>
      <c r="D4" s="2290"/>
      <c r="E4" s="2290"/>
      <c r="F4" s="2290"/>
      <c r="G4" s="2290"/>
      <c r="H4" s="2290"/>
      <c r="I4" s="2291"/>
    </row>
    <row r="5" spans="1:9" ht="15">
      <c r="A5" s="2289"/>
      <c r="B5" s="2290"/>
      <c r="C5" s="2290"/>
      <c r="D5" s="2290"/>
      <c r="E5" s="2290"/>
      <c r="F5" s="2290"/>
      <c r="G5" s="2290"/>
      <c r="H5" s="2290"/>
      <c r="I5" s="2291"/>
    </row>
    <row r="6" spans="1:9" ht="15">
      <c r="A6" s="2289"/>
      <c r="B6" s="2290"/>
      <c r="C6" s="2290"/>
      <c r="D6" s="2290"/>
      <c r="E6" s="2290"/>
      <c r="F6" s="2290"/>
      <c r="G6" s="2290"/>
      <c r="H6" s="2290"/>
      <c r="I6" s="2291"/>
    </row>
    <row r="7" spans="1:9" ht="15">
      <c r="A7" s="2289"/>
      <c r="B7" s="2290"/>
      <c r="C7" s="2290"/>
      <c r="D7" s="2290"/>
      <c r="E7" s="2290"/>
      <c r="F7" s="2290"/>
      <c r="G7" s="2290"/>
      <c r="H7" s="2290"/>
      <c r="I7" s="2291"/>
    </row>
    <row r="8" spans="1:9" ht="15">
      <c r="A8" s="2289"/>
      <c r="B8" s="2290"/>
      <c r="C8" s="2290"/>
      <c r="D8" s="2290"/>
      <c r="E8" s="2290"/>
      <c r="F8" s="2290"/>
      <c r="G8" s="2290"/>
      <c r="H8" s="2290"/>
      <c r="I8" s="2291"/>
    </row>
    <row r="9" spans="1:9" ht="15">
      <c r="A9" s="2289"/>
      <c r="B9" s="2290"/>
      <c r="C9" s="2290"/>
      <c r="D9" s="2290"/>
      <c r="E9" s="2290"/>
      <c r="F9" s="2290"/>
      <c r="G9" s="2290"/>
      <c r="H9" s="2290"/>
      <c r="I9" s="2291"/>
    </row>
    <row r="10" spans="1:9" ht="15">
      <c r="A10" s="2289"/>
      <c r="B10" s="2290"/>
      <c r="C10" s="2290"/>
      <c r="D10" s="2290"/>
      <c r="E10" s="2290"/>
      <c r="F10" s="2290"/>
      <c r="G10" s="2290"/>
      <c r="H10" s="2290"/>
      <c r="I10" s="2291"/>
    </row>
    <row r="11" spans="1:9" ht="15">
      <c r="A11" s="2289"/>
      <c r="B11" s="2290"/>
      <c r="C11" s="2290"/>
      <c r="D11" s="2290"/>
      <c r="E11" s="2290"/>
      <c r="F11" s="2290"/>
      <c r="G11" s="2290"/>
      <c r="H11" s="2290"/>
      <c r="I11" s="2291"/>
    </row>
    <row r="12" spans="1:9" ht="20.25">
      <c r="A12" s="2854" t="s">
        <v>1574</v>
      </c>
      <c r="B12" s="2855"/>
      <c r="C12" s="2855"/>
      <c r="D12" s="2855"/>
      <c r="E12" s="2855"/>
      <c r="F12" s="2855"/>
      <c r="G12" s="2855"/>
      <c r="H12" s="2855"/>
      <c r="I12" s="2856"/>
    </row>
    <row r="13" spans="1:9" ht="20.25">
      <c r="A13" s="2292"/>
      <c r="B13" s="2293"/>
      <c r="C13" s="2293"/>
      <c r="D13" s="2293"/>
      <c r="E13" s="2293"/>
      <c r="F13" s="2293"/>
      <c r="G13" s="2293"/>
      <c r="H13" s="2293"/>
      <c r="I13" s="2294"/>
    </row>
    <row r="14" spans="1:9" ht="20.25">
      <c r="A14" s="2854" t="s">
        <v>1575</v>
      </c>
      <c r="B14" s="2855"/>
      <c r="C14" s="2855"/>
      <c r="D14" s="2855"/>
      <c r="E14" s="2855"/>
      <c r="F14" s="2855"/>
      <c r="G14" s="2855"/>
      <c r="H14" s="2855"/>
      <c r="I14" s="2856"/>
    </row>
    <row r="15" spans="1:9" ht="15">
      <c r="A15" s="2289"/>
      <c r="B15" s="2290"/>
      <c r="C15" s="2290"/>
      <c r="D15" s="2290"/>
      <c r="E15" s="2290"/>
      <c r="F15" s="2290"/>
      <c r="G15" s="2290"/>
      <c r="H15" s="2290"/>
      <c r="I15" s="2291"/>
    </row>
    <row r="16" spans="1:9" ht="20.25">
      <c r="A16" s="2854" t="s">
        <v>1576</v>
      </c>
      <c r="B16" s="2855"/>
      <c r="C16" s="2855"/>
      <c r="D16" s="2855"/>
      <c r="E16" s="2855"/>
      <c r="F16" s="2855"/>
      <c r="G16" s="2855"/>
      <c r="H16" s="2855"/>
      <c r="I16" s="2856"/>
    </row>
    <row r="17" spans="1:9" ht="15">
      <c r="A17" s="2289"/>
      <c r="B17" s="2290"/>
      <c r="C17" s="2290"/>
      <c r="D17" s="2290"/>
      <c r="E17" s="2290"/>
      <c r="F17" s="2290"/>
      <c r="G17" s="2290"/>
      <c r="H17" s="2290"/>
      <c r="I17" s="2291"/>
    </row>
    <row r="18" spans="1:9" ht="20.25">
      <c r="A18" s="2854" t="s">
        <v>4101</v>
      </c>
      <c r="B18" s="2855"/>
      <c r="C18" s="2855"/>
      <c r="D18" s="2855"/>
      <c r="E18" s="2855"/>
      <c r="F18" s="2855"/>
      <c r="G18" s="2855"/>
      <c r="H18" s="2855"/>
      <c r="I18" s="2856"/>
    </row>
    <row r="19" spans="1:9" ht="20.25">
      <c r="A19" s="2292"/>
      <c r="B19" s="2293"/>
      <c r="C19" s="2293"/>
      <c r="D19" s="2293"/>
      <c r="E19" s="2293"/>
      <c r="F19" s="2293"/>
      <c r="G19" s="2293"/>
      <c r="H19" s="2293"/>
      <c r="I19" s="2294"/>
    </row>
    <row r="20" spans="1:9" ht="20.25">
      <c r="A20" s="2292"/>
      <c r="B20" s="2293"/>
      <c r="C20" s="2293"/>
      <c r="D20" s="2293"/>
      <c r="E20" s="2295"/>
      <c r="F20" s="2293"/>
      <c r="G20" s="2293"/>
      <c r="H20" s="2293"/>
      <c r="I20" s="2294"/>
    </row>
    <row r="21" spans="1:9" ht="15">
      <c r="A21" s="2289"/>
      <c r="B21" s="2290"/>
      <c r="C21" s="2290"/>
      <c r="D21" s="2290"/>
      <c r="E21" s="2290"/>
      <c r="F21" s="2290"/>
      <c r="G21" s="2290"/>
      <c r="H21" s="2290"/>
      <c r="I21" s="2291"/>
    </row>
    <row r="22" spans="1:9" ht="15">
      <c r="A22" s="2289"/>
      <c r="B22" s="2290"/>
      <c r="C22" s="2290"/>
      <c r="D22" s="2290"/>
      <c r="E22" s="2290"/>
      <c r="F22" s="2290"/>
      <c r="G22" s="2290"/>
      <c r="H22" s="2290"/>
      <c r="I22" s="2291"/>
    </row>
    <row r="23" spans="1:9" s="2300" customFormat="1" ht="16.5" customHeight="1">
      <c r="A23" s="2857" t="s">
        <v>1578</v>
      </c>
      <c r="B23" s="2858"/>
      <c r="C23" s="2858"/>
      <c r="D23" s="2858"/>
      <c r="E23" s="2859" t="str">
        <f>[4]DINING!D1</f>
        <v>Construction of Dining Hall  in Govt High School ,Damasal(Boys)</v>
      </c>
      <c r="F23" s="2859"/>
      <c r="G23" s="2859"/>
      <c r="H23" s="2859"/>
      <c r="I23" s="2860"/>
    </row>
    <row r="24" spans="1:9" s="2300" customFormat="1" ht="21.4" customHeight="1">
      <c r="A24" s="2296"/>
      <c r="B24" s="2297"/>
      <c r="C24" s="2297"/>
      <c r="D24" s="2297"/>
      <c r="E24" s="2859"/>
      <c r="F24" s="2859"/>
      <c r="G24" s="2859"/>
      <c r="H24" s="2859"/>
      <c r="I24" s="2860"/>
    </row>
    <row r="25" spans="1:9" s="2300" customFormat="1" ht="19.5">
      <c r="A25" s="2296"/>
      <c r="B25" s="2297"/>
      <c r="C25" s="2297"/>
      <c r="D25" s="2297"/>
      <c r="E25" s="2298"/>
      <c r="F25" s="2298"/>
      <c r="G25" s="2298"/>
      <c r="H25" s="2298"/>
      <c r="I25" s="2299"/>
    </row>
    <row r="26" spans="1:9" s="2300" customFormat="1" ht="19.5">
      <c r="A26" s="2857" t="s">
        <v>1579</v>
      </c>
      <c r="B26" s="2858"/>
      <c r="C26" s="2858"/>
      <c r="D26" s="2858"/>
      <c r="E26" s="2866" t="s">
        <v>4102</v>
      </c>
      <c r="F26" s="2866"/>
      <c r="G26" s="2301"/>
      <c r="H26" s="2301"/>
      <c r="I26" s="2302"/>
    </row>
    <row r="27" spans="1:9" s="2300" customFormat="1" ht="19.5">
      <c r="A27" s="2296"/>
      <c r="B27" s="2297"/>
      <c r="C27" s="2297"/>
      <c r="D27" s="2297"/>
      <c r="E27" s="2301"/>
      <c r="F27" s="2301"/>
      <c r="G27" s="2301"/>
      <c r="H27" s="2301"/>
      <c r="I27" s="2302"/>
    </row>
    <row r="28" spans="1:9" s="2300" customFormat="1" ht="19.5">
      <c r="A28" s="2296"/>
      <c r="B28" s="2297"/>
      <c r="C28" s="2297"/>
      <c r="D28" s="2297"/>
      <c r="E28" s="2301"/>
      <c r="F28" s="2301"/>
      <c r="G28" s="2301"/>
      <c r="H28" s="2301"/>
      <c r="I28" s="2302"/>
    </row>
    <row r="29" spans="1:9" s="2300" customFormat="1" ht="19.5">
      <c r="A29" s="2857" t="s">
        <v>1580</v>
      </c>
      <c r="B29" s="2858"/>
      <c r="C29" s="2858"/>
      <c r="D29" s="2858"/>
      <c r="E29" s="2300" t="s">
        <v>4103</v>
      </c>
      <c r="H29" s="2301"/>
      <c r="I29" s="2302"/>
    </row>
    <row r="30" spans="1:9" s="2300" customFormat="1" ht="19.5">
      <c r="A30" s="2296"/>
      <c r="B30" s="2297"/>
      <c r="C30" s="2297"/>
      <c r="D30" s="2297"/>
      <c r="E30" s="2301"/>
      <c r="F30" s="2303"/>
      <c r="G30" s="2303"/>
      <c r="H30" s="2303"/>
      <c r="I30" s="2304"/>
    </row>
    <row r="31" spans="1:9" s="2300" customFormat="1" ht="19.5">
      <c r="A31" s="2296"/>
      <c r="B31" s="2297"/>
      <c r="C31" s="2297"/>
      <c r="D31" s="2297"/>
      <c r="E31" s="2301"/>
      <c r="F31" s="2303"/>
      <c r="G31" s="2303"/>
      <c r="H31" s="2303"/>
      <c r="I31" s="2304"/>
    </row>
    <row r="32" spans="1:9" s="2300" customFormat="1" ht="19.5">
      <c r="A32" s="2296"/>
      <c r="B32" s="2858" t="s">
        <v>1581</v>
      </c>
      <c r="C32" s="2858"/>
      <c r="D32" s="2858"/>
      <c r="E32" s="2867">
        <f>[4]DINING!O410</f>
        <v>1500000</v>
      </c>
      <c r="F32" s="2867"/>
      <c r="G32" s="2306"/>
      <c r="H32" s="2306"/>
      <c r="I32" s="2307"/>
    </row>
    <row r="33" spans="1:9" s="2300" customFormat="1" ht="19.5">
      <c r="A33" s="2296"/>
      <c r="B33" s="2297"/>
      <c r="C33" s="2297"/>
      <c r="D33" s="2297"/>
      <c r="E33" s="2305"/>
      <c r="F33" s="2303"/>
      <c r="G33" s="2306"/>
      <c r="H33" s="2306"/>
      <c r="I33" s="2307"/>
    </row>
    <row r="34" spans="1:9" s="2300" customFormat="1" ht="19.5">
      <c r="A34" s="2296"/>
      <c r="B34" s="2297"/>
      <c r="C34" s="2297"/>
      <c r="D34" s="2297"/>
      <c r="E34" s="2867"/>
      <c r="F34" s="2867"/>
      <c r="G34" s="2306"/>
      <c r="H34" s="2306"/>
      <c r="I34" s="2307"/>
    </row>
    <row r="35" spans="1:9" s="2300" customFormat="1" ht="19.5" customHeight="1">
      <c r="A35" s="2296"/>
      <c r="B35" s="2297"/>
      <c r="C35" s="2861" t="s">
        <v>4104</v>
      </c>
      <c r="D35" s="2861"/>
      <c r="E35" s="2862" t="str">
        <f>[4]DINING!K412</f>
        <v>( Rupees  Fifteen  Lakhs   ) Only</v>
      </c>
      <c r="F35" s="2859"/>
      <c r="G35" s="2859"/>
      <c r="H35" s="2859"/>
      <c r="I35" s="2302"/>
    </row>
    <row r="36" spans="1:9" s="2300" customFormat="1" ht="19.5">
      <c r="A36" s="2308"/>
      <c r="B36" s="2301"/>
      <c r="C36" s="2301"/>
      <c r="E36" s="2859"/>
      <c r="F36" s="2859"/>
      <c r="G36" s="2859"/>
      <c r="H36" s="2859"/>
      <c r="I36" s="2302"/>
    </row>
    <row r="37" spans="1:9" s="2300" customFormat="1" ht="19.5">
      <c r="A37" s="2308"/>
      <c r="B37" s="2301"/>
      <c r="C37" s="2301"/>
      <c r="D37" s="2301"/>
      <c r="E37" s="2301"/>
      <c r="F37" s="2301"/>
      <c r="G37" s="2301"/>
      <c r="H37" s="2301"/>
      <c r="I37" s="2302"/>
    </row>
    <row r="38" spans="1:9" ht="16.5">
      <c r="A38" s="2309"/>
      <c r="B38" s="2310"/>
      <c r="C38" s="2310"/>
      <c r="D38" s="2310"/>
      <c r="E38" s="2290"/>
      <c r="F38" s="2310"/>
      <c r="G38" s="2310"/>
      <c r="H38" s="2310"/>
      <c r="I38" s="2311"/>
    </row>
    <row r="39" spans="1:9">
      <c r="A39" s="2312"/>
      <c r="I39" s="2313"/>
    </row>
    <row r="40" spans="1:9" ht="20.25">
      <c r="A40" s="2854" t="s">
        <v>4105</v>
      </c>
      <c r="B40" s="2855"/>
      <c r="C40" s="2855"/>
      <c r="D40" s="2855"/>
      <c r="E40" s="2855"/>
      <c r="F40" s="2855"/>
      <c r="G40" s="2855"/>
      <c r="H40" s="2855"/>
      <c r="I40" s="2856"/>
    </row>
    <row r="41" spans="1:9" ht="13.5" thickBot="1">
      <c r="A41" s="2314"/>
      <c r="B41" s="2315"/>
      <c r="C41" s="2315"/>
      <c r="D41" s="2315"/>
      <c r="E41" s="2315"/>
      <c r="F41" s="2315"/>
      <c r="G41" s="2315"/>
      <c r="H41" s="2315"/>
      <c r="I41" s="2316"/>
    </row>
  </sheetData>
  <mergeCells count="15">
    <mergeCell ref="C35:D35"/>
    <mergeCell ref="E35:H36"/>
    <mergeCell ref="A40:I40"/>
    <mergeCell ref="A26:D26"/>
    <mergeCell ref="E26:F26"/>
    <mergeCell ref="A29:D29"/>
    <mergeCell ref="B32:D32"/>
    <mergeCell ref="E32:F32"/>
    <mergeCell ref="E34:F34"/>
    <mergeCell ref="A12:I12"/>
    <mergeCell ref="A14:I14"/>
    <mergeCell ref="A16:I16"/>
    <mergeCell ref="A18:I18"/>
    <mergeCell ref="A23:D23"/>
    <mergeCell ref="E23:I24"/>
  </mergeCells>
  <pageMargins left="0.59" right="0.43307086614173229" top="1.3385826771653544" bottom="0.74803149606299213" header="0.82677165354330717" footer="0.31496062992125984"/>
  <pageSetup paperSize="9" scale="95" orientation="portrait" verticalDpi="4294967295" r:id="rId1"/>
  <drawing r:id="rId2"/>
</worksheet>
</file>

<file path=xl/worksheets/sheet2.xml><?xml version="1.0" encoding="utf-8"?>
<worksheet xmlns="http://schemas.openxmlformats.org/spreadsheetml/2006/main" xmlns:r="http://schemas.openxmlformats.org/officeDocument/2006/relationships">
  <dimension ref="A1:B15"/>
  <sheetViews>
    <sheetView workbookViewId="0">
      <selection activeCell="P113" sqref="P113"/>
    </sheetView>
  </sheetViews>
  <sheetFormatPr defaultColWidth="8.85546875" defaultRowHeight="12.75"/>
  <cols>
    <col min="1" max="16384" width="8.85546875" style="3"/>
  </cols>
  <sheetData>
    <row r="1" spans="1:2">
      <c r="A1" s="2" t="s">
        <v>2949</v>
      </c>
      <c r="B1" s="2"/>
    </row>
    <row r="2" spans="1:2">
      <c r="A2" s="2"/>
      <c r="B2" s="2"/>
    </row>
    <row r="3" spans="1:2">
      <c r="A3" s="2"/>
      <c r="B3" s="2"/>
    </row>
    <row r="4" spans="1:2">
      <c r="A4" s="2" t="s">
        <v>2950</v>
      </c>
      <c r="B4" s="2"/>
    </row>
    <row r="5" spans="1:2">
      <c r="A5" s="2" t="s">
        <v>2951</v>
      </c>
      <c r="B5" s="2"/>
    </row>
    <row r="6" spans="1:2">
      <c r="A6" s="2" t="s">
        <v>2952</v>
      </c>
      <c r="B6" s="2"/>
    </row>
    <row r="7" spans="1:2">
      <c r="A7" s="2" t="s">
        <v>2953</v>
      </c>
      <c r="B7" s="2"/>
    </row>
    <row r="8" spans="1:2">
      <c r="A8" s="2" t="s">
        <v>2954</v>
      </c>
      <c r="B8" s="2"/>
    </row>
    <row r="9" spans="1:2">
      <c r="A9" s="2" t="s">
        <v>2955</v>
      </c>
      <c r="B9" s="2"/>
    </row>
    <row r="10" spans="1:2">
      <c r="A10" s="2" t="s">
        <v>2953</v>
      </c>
      <c r="B10" s="2"/>
    </row>
    <row r="11" spans="1:2">
      <c r="A11" s="2" t="s">
        <v>2956</v>
      </c>
      <c r="B11" s="2"/>
    </row>
    <row r="12" spans="1:2">
      <c r="A12" s="2" t="s">
        <v>2957</v>
      </c>
      <c r="B12" s="2"/>
    </row>
    <row r="13" spans="1:2">
      <c r="A13" s="2" t="s">
        <v>2958</v>
      </c>
      <c r="B13" s="2"/>
    </row>
    <row r="14" spans="1:2">
      <c r="A14" s="2" t="s">
        <v>2957</v>
      </c>
      <c r="B14" s="2"/>
    </row>
    <row r="15" spans="1:2">
      <c r="A15" s="2" t="s">
        <v>2959</v>
      </c>
      <c r="B15" s="2"/>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sheetPr>
    <tabColor rgb="FFFF0000"/>
  </sheetPr>
  <dimension ref="A1:I48"/>
  <sheetViews>
    <sheetView view="pageBreakPreview" zoomScale="96" zoomScaleSheetLayoutView="96" workbookViewId="0">
      <selection activeCell="F7" sqref="F7"/>
    </sheetView>
  </sheetViews>
  <sheetFormatPr defaultColWidth="9.140625" defaultRowHeight="12.75"/>
  <cols>
    <col min="1" max="1" width="41.140625" style="568" customWidth="1"/>
    <col min="2" max="3" width="9.140625" style="568"/>
    <col min="4" max="4" width="9.140625" style="568" customWidth="1"/>
    <col min="5" max="5" width="9.140625" style="568"/>
    <col min="6" max="6" width="16.28515625" style="568" customWidth="1"/>
    <col min="7" max="7" width="12.7109375" style="568" customWidth="1"/>
    <col min="8" max="8" width="10.42578125" style="568" bestFit="1" customWidth="1"/>
    <col min="9" max="9" width="12.7109375" style="568" customWidth="1"/>
    <col min="10" max="256" width="9.140625" style="568"/>
    <col min="257" max="257" width="41.140625" style="568" customWidth="1"/>
    <col min="258" max="261" width="9.140625" style="568"/>
    <col min="262" max="262" width="16.28515625" style="568" customWidth="1"/>
    <col min="263" max="263" width="12.7109375" style="568" customWidth="1"/>
    <col min="264" max="264" width="10.42578125" style="568" bestFit="1" customWidth="1"/>
    <col min="265" max="265" width="12.7109375" style="568" customWidth="1"/>
    <col min="266" max="512" width="9.140625" style="568"/>
    <col min="513" max="513" width="41.140625" style="568" customWidth="1"/>
    <col min="514" max="517" width="9.140625" style="568"/>
    <col min="518" max="518" width="16.28515625" style="568" customWidth="1"/>
    <col min="519" max="519" width="12.7109375" style="568" customWidth="1"/>
    <col min="520" max="520" width="10.42578125" style="568" bestFit="1" customWidth="1"/>
    <col min="521" max="521" width="12.7109375" style="568" customWidth="1"/>
    <col min="522" max="768" width="9.140625" style="568"/>
    <col min="769" max="769" width="41.140625" style="568" customWidth="1"/>
    <col min="770" max="773" width="9.140625" style="568"/>
    <col min="774" max="774" width="16.28515625" style="568" customWidth="1"/>
    <col min="775" max="775" width="12.7109375" style="568" customWidth="1"/>
    <col min="776" max="776" width="10.42578125" style="568" bestFit="1" customWidth="1"/>
    <col min="777" max="777" width="12.7109375" style="568" customWidth="1"/>
    <col min="778" max="1024" width="9.140625" style="568"/>
    <col min="1025" max="1025" width="41.140625" style="568" customWidth="1"/>
    <col min="1026" max="1029" width="9.140625" style="568"/>
    <col min="1030" max="1030" width="16.28515625" style="568" customWidth="1"/>
    <col min="1031" max="1031" width="12.7109375" style="568" customWidth="1"/>
    <col min="1032" max="1032" width="10.42578125" style="568" bestFit="1" customWidth="1"/>
    <col min="1033" max="1033" width="12.7109375" style="568" customWidth="1"/>
    <col min="1034" max="1280" width="9.140625" style="568"/>
    <col min="1281" max="1281" width="41.140625" style="568" customWidth="1"/>
    <col min="1282" max="1285" width="9.140625" style="568"/>
    <col min="1286" max="1286" width="16.28515625" style="568" customWidth="1"/>
    <col min="1287" max="1287" width="12.7109375" style="568" customWidth="1"/>
    <col min="1288" max="1288" width="10.42578125" style="568" bestFit="1" customWidth="1"/>
    <col min="1289" max="1289" width="12.7109375" style="568" customWidth="1"/>
    <col min="1290" max="1536" width="9.140625" style="568"/>
    <col min="1537" max="1537" width="41.140625" style="568" customWidth="1"/>
    <col min="1538" max="1541" width="9.140625" style="568"/>
    <col min="1542" max="1542" width="16.28515625" style="568" customWidth="1"/>
    <col min="1543" max="1543" width="12.7109375" style="568" customWidth="1"/>
    <col min="1544" max="1544" width="10.42578125" style="568" bestFit="1" customWidth="1"/>
    <col min="1545" max="1545" width="12.7109375" style="568" customWidth="1"/>
    <col min="1546" max="1792" width="9.140625" style="568"/>
    <col min="1793" max="1793" width="41.140625" style="568" customWidth="1"/>
    <col min="1794" max="1797" width="9.140625" style="568"/>
    <col min="1798" max="1798" width="16.28515625" style="568" customWidth="1"/>
    <col min="1799" max="1799" width="12.7109375" style="568" customWidth="1"/>
    <col min="1800" max="1800" width="10.42578125" style="568" bestFit="1" customWidth="1"/>
    <col min="1801" max="1801" width="12.7109375" style="568" customWidth="1"/>
    <col min="1802" max="2048" width="9.140625" style="568"/>
    <col min="2049" max="2049" width="41.140625" style="568" customWidth="1"/>
    <col min="2050" max="2053" width="9.140625" style="568"/>
    <col min="2054" max="2054" width="16.28515625" style="568" customWidth="1"/>
    <col min="2055" max="2055" width="12.7109375" style="568" customWidth="1"/>
    <col min="2056" max="2056" width="10.42578125" style="568" bestFit="1" customWidth="1"/>
    <col min="2057" max="2057" width="12.7109375" style="568" customWidth="1"/>
    <col min="2058" max="2304" width="9.140625" style="568"/>
    <col min="2305" max="2305" width="41.140625" style="568" customWidth="1"/>
    <col min="2306" max="2309" width="9.140625" style="568"/>
    <col min="2310" max="2310" width="16.28515625" style="568" customWidth="1"/>
    <col min="2311" max="2311" width="12.7109375" style="568" customWidth="1"/>
    <col min="2312" max="2312" width="10.42578125" style="568" bestFit="1" customWidth="1"/>
    <col min="2313" max="2313" width="12.7109375" style="568" customWidth="1"/>
    <col min="2314" max="2560" width="9.140625" style="568"/>
    <col min="2561" max="2561" width="41.140625" style="568" customWidth="1"/>
    <col min="2562" max="2565" width="9.140625" style="568"/>
    <col min="2566" max="2566" width="16.28515625" style="568" customWidth="1"/>
    <col min="2567" max="2567" width="12.7109375" style="568" customWidth="1"/>
    <col min="2568" max="2568" width="10.42578125" style="568" bestFit="1" customWidth="1"/>
    <col min="2569" max="2569" width="12.7109375" style="568" customWidth="1"/>
    <col min="2570" max="2816" width="9.140625" style="568"/>
    <col min="2817" max="2817" width="41.140625" style="568" customWidth="1"/>
    <col min="2818" max="2821" width="9.140625" style="568"/>
    <col min="2822" max="2822" width="16.28515625" style="568" customWidth="1"/>
    <col min="2823" max="2823" width="12.7109375" style="568" customWidth="1"/>
    <col min="2824" max="2824" width="10.42578125" style="568" bestFit="1" customWidth="1"/>
    <col min="2825" max="2825" width="12.7109375" style="568" customWidth="1"/>
    <col min="2826" max="3072" width="9.140625" style="568"/>
    <col min="3073" max="3073" width="41.140625" style="568" customWidth="1"/>
    <col min="3074" max="3077" width="9.140625" style="568"/>
    <col min="3078" max="3078" width="16.28515625" style="568" customWidth="1"/>
    <col min="3079" max="3079" width="12.7109375" style="568" customWidth="1"/>
    <col min="3080" max="3080" width="10.42578125" style="568" bestFit="1" customWidth="1"/>
    <col min="3081" max="3081" width="12.7109375" style="568" customWidth="1"/>
    <col min="3082" max="3328" width="9.140625" style="568"/>
    <col min="3329" max="3329" width="41.140625" style="568" customWidth="1"/>
    <col min="3330" max="3333" width="9.140625" style="568"/>
    <col min="3334" max="3334" width="16.28515625" style="568" customWidth="1"/>
    <col min="3335" max="3335" width="12.7109375" style="568" customWidth="1"/>
    <col min="3336" max="3336" width="10.42578125" style="568" bestFit="1" customWidth="1"/>
    <col min="3337" max="3337" width="12.7109375" style="568" customWidth="1"/>
    <col min="3338" max="3584" width="9.140625" style="568"/>
    <col min="3585" max="3585" width="41.140625" style="568" customWidth="1"/>
    <col min="3586" max="3589" width="9.140625" style="568"/>
    <col min="3590" max="3590" width="16.28515625" style="568" customWidth="1"/>
    <col min="3591" max="3591" width="12.7109375" style="568" customWidth="1"/>
    <col min="3592" max="3592" width="10.42578125" style="568" bestFit="1" customWidth="1"/>
    <col min="3593" max="3593" width="12.7109375" style="568" customWidth="1"/>
    <col min="3594" max="3840" width="9.140625" style="568"/>
    <col min="3841" max="3841" width="41.140625" style="568" customWidth="1"/>
    <col min="3842" max="3845" width="9.140625" style="568"/>
    <col min="3846" max="3846" width="16.28515625" style="568" customWidth="1"/>
    <col min="3847" max="3847" width="12.7109375" style="568" customWidth="1"/>
    <col min="3848" max="3848" width="10.42578125" style="568" bestFit="1" customWidth="1"/>
    <col min="3849" max="3849" width="12.7109375" style="568" customWidth="1"/>
    <col min="3850" max="4096" width="9.140625" style="568"/>
    <col min="4097" max="4097" width="41.140625" style="568" customWidth="1"/>
    <col min="4098" max="4101" width="9.140625" style="568"/>
    <col min="4102" max="4102" width="16.28515625" style="568" customWidth="1"/>
    <col min="4103" max="4103" width="12.7109375" style="568" customWidth="1"/>
    <col min="4104" max="4104" width="10.42578125" style="568" bestFit="1" customWidth="1"/>
    <col min="4105" max="4105" width="12.7109375" style="568" customWidth="1"/>
    <col min="4106" max="4352" width="9.140625" style="568"/>
    <col min="4353" max="4353" width="41.140625" style="568" customWidth="1"/>
    <col min="4354" max="4357" width="9.140625" style="568"/>
    <col min="4358" max="4358" width="16.28515625" style="568" customWidth="1"/>
    <col min="4359" max="4359" width="12.7109375" style="568" customWidth="1"/>
    <col min="4360" max="4360" width="10.42578125" style="568" bestFit="1" customWidth="1"/>
    <col min="4361" max="4361" width="12.7109375" style="568" customWidth="1"/>
    <col min="4362" max="4608" width="9.140625" style="568"/>
    <col min="4609" max="4609" width="41.140625" style="568" customWidth="1"/>
    <col min="4610" max="4613" width="9.140625" style="568"/>
    <col min="4614" max="4614" width="16.28515625" style="568" customWidth="1"/>
    <col min="4615" max="4615" width="12.7109375" style="568" customWidth="1"/>
    <col min="4616" max="4616" width="10.42578125" style="568" bestFit="1" customWidth="1"/>
    <col min="4617" max="4617" width="12.7109375" style="568" customWidth="1"/>
    <col min="4618" max="4864" width="9.140625" style="568"/>
    <col min="4865" max="4865" width="41.140625" style="568" customWidth="1"/>
    <col min="4866" max="4869" width="9.140625" style="568"/>
    <col min="4870" max="4870" width="16.28515625" style="568" customWidth="1"/>
    <col min="4871" max="4871" width="12.7109375" style="568" customWidth="1"/>
    <col min="4872" max="4872" width="10.42578125" style="568" bestFit="1" customWidth="1"/>
    <col min="4873" max="4873" width="12.7109375" style="568" customWidth="1"/>
    <col min="4874" max="5120" width="9.140625" style="568"/>
    <col min="5121" max="5121" width="41.140625" style="568" customWidth="1"/>
    <col min="5122" max="5125" width="9.140625" style="568"/>
    <col min="5126" max="5126" width="16.28515625" style="568" customWidth="1"/>
    <col min="5127" max="5127" width="12.7109375" style="568" customWidth="1"/>
    <col min="5128" max="5128" width="10.42578125" style="568" bestFit="1" customWidth="1"/>
    <col min="5129" max="5129" width="12.7109375" style="568" customWidth="1"/>
    <col min="5130" max="5376" width="9.140625" style="568"/>
    <col min="5377" max="5377" width="41.140625" style="568" customWidth="1"/>
    <col min="5378" max="5381" width="9.140625" style="568"/>
    <col min="5382" max="5382" width="16.28515625" style="568" customWidth="1"/>
    <col min="5383" max="5383" width="12.7109375" style="568" customWidth="1"/>
    <col min="5384" max="5384" width="10.42578125" style="568" bestFit="1" customWidth="1"/>
    <col min="5385" max="5385" width="12.7109375" style="568" customWidth="1"/>
    <col min="5386" max="5632" width="9.140625" style="568"/>
    <col min="5633" max="5633" width="41.140625" style="568" customWidth="1"/>
    <col min="5634" max="5637" width="9.140625" style="568"/>
    <col min="5638" max="5638" width="16.28515625" style="568" customWidth="1"/>
    <col min="5639" max="5639" width="12.7109375" style="568" customWidth="1"/>
    <col min="5640" max="5640" width="10.42578125" style="568" bestFit="1" customWidth="1"/>
    <col min="5641" max="5641" width="12.7109375" style="568" customWidth="1"/>
    <col min="5642" max="5888" width="9.140625" style="568"/>
    <col min="5889" max="5889" width="41.140625" style="568" customWidth="1"/>
    <col min="5890" max="5893" width="9.140625" style="568"/>
    <col min="5894" max="5894" width="16.28515625" style="568" customWidth="1"/>
    <col min="5895" max="5895" width="12.7109375" style="568" customWidth="1"/>
    <col min="5896" max="5896" width="10.42578125" style="568" bestFit="1" customWidth="1"/>
    <col min="5897" max="5897" width="12.7109375" style="568" customWidth="1"/>
    <col min="5898" max="6144" width="9.140625" style="568"/>
    <col min="6145" max="6145" width="41.140625" style="568" customWidth="1"/>
    <col min="6146" max="6149" width="9.140625" style="568"/>
    <col min="6150" max="6150" width="16.28515625" style="568" customWidth="1"/>
    <col min="6151" max="6151" width="12.7109375" style="568" customWidth="1"/>
    <col min="6152" max="6152" width="10.42578125" style="568" bestFit="1" customWidth="1"/>
    <col min="6153" max="6153" width="12.7109375" style="568" customWidth="1"/>
    <col min="6154" max="6400" width="9.140625" style="568"/>
    <col min="6401" max="6401" width="41.140625" style="568" customWidth="1"/>
    <col min="6402" max="6405" width="9.140625" style="568"/>
    <col min="6406" max="6406" width="16.28515625" style="568" customWidth="1"/>
    <col min="6407" max="6407" width="12.7109375" style="568" customWidth="1"/>
    <col min="6408" max="6408" width="10.42578125" style="568" bestFit="1" customWidth="1"/>
    <col min="6409" max="6409" width="12.7109375" style="568" customWidth="1"/>
    <col min="6410" max="6656" width="9.140625" style="568"/>
    <col min="6657" max="6657" width="41.140625" style="568" customWidth="1"/>
    <col min="6658" max="6661" width="9.140625" style="568"/>
    <col min="6662" max="6662" width="16.28515625" style="568" customWidth="1"/>
    <col min="6663" max="6663" width="12.7109375" style="568" customWidth="1"/>
    <col min="6664" max="6664" width="10.42578125" style="568" bestFit="1" customWidth="1"/>
    <col min="6665" max="6665" width="12.7109375" style="568" customWidth="1"/>
    <col min="6666" max="6912" width="9.140625" style="568"/>
    <col min="6913" max="6913" width="41.140625" style="568" customWidth="1"/>
    <col min="6914" max="6917" width="9.140625" style="568"/>
    <col min="6918" max="6918" width="16.28515625" style="568" customWidth="1"/>
    <col min="6919" max="6919" width="12.7109375" style="568" customWidth="1"/>
    <col min="6920" max="6920" width="10.42578125" style="568" bestFit="1" customWidth="1"/>
    <col min="6921" max="6921" width="12.7109375" style="568" customWidth="1"/>
    <col min="6922" max="7168" width="9.140625" style="568"/>
    <col min="7169" max="7169" width="41.140625" style="568" customWidth="1"/>
    <col min="7170" max="7173" width="9.140625" style="568"/>
    <col min="7174" max="7174" width="16.28515625" style="568" customWidth="1"/>
    <col min="7175" max="7175" width="12.7109375" style="568" customWidth="1"/>
    <col min="7176" max="7176" width="10.42578125" style="568" bestFit="1" customWidth="1"/>
    <col min="7177" max="7177" width="12.7109375" style="568" customWidth="1"/>
    <col min="7178" max="7424" width="9.140625" style="568"/>
    <col min="7425" max="7425" width="41.140625" style="568" customWidth="1"/>
    <col min="7426" max="7429" width="9.140625" style="568"/>
    <col min="7430" max="7430" width="16.28515625" style="568" customWidth="1"/>
    <col min="7431" max="7431" width="12.7109375" style="568" customWidth="1"/>
    <col min="7432" max="7432" width="10.42578125" style="568" bestFit="1" customWidth="1"/>
    <col min="7433" max="7433" width="12.7109375" style="568" customWidth="1"/>
    <col min="7434" max="7680" width="9.140625" style="568"/>
    <col min="7681" max="7681" width="41.140625" style="568" customWidth="1"/>
    <col min="7682" max="7685" width="9.140625" style="568"/>
    <col min="7686" max="7686" width="16.28515625" style="568" customWidth="1"/>
    <col min="7687" max="7687" width="12.7109375" style="568" customWidth="1"/>
    <col min="7688" max="7688" width="10.42578125" style="568" bestFit="1" customWidth="1"/>
    <col min="7689" max="7689" width="12.7109375" style="568" customWidth="1"/>
    <col min="7690" max="7936" width="9.140625" style="568"/>
    <col min="7937" max="7937" width="41.140625" style="568" customWidth="1"/>
    <col min="7938" max="7941" width="9.140625" style="568"/>
    <col min="7942" max="7942" width="16.28515625" style="568" customWidth="1"/>
    <col min="7943" max="7943" width="12.7109375" style="568" customWidth="1"/>
    <col min="7944" max="7944" width="10.42578125" style="568" bestFit="1" customWidth="1"/>
    <col min="7945" max="7945" width="12.7109375" style="568" customWidth="1"/>
    <col min="7946" max="8192" width="9.140625" style="568"/>
    <col min="8193" max="8193" width="41.140625" style="568" customWidth="1"/>
    <col min="8194" max="8197" width="9.140625" style="568"/>
    <col min="8198" max="8198" width="16.28515625" style="568" customWidth="1"/>
    <col min="8199" max="8199" width="12.7109375" style="568" customWidth="1"/>
    <col min="8200" max="8200" width="10.42578125" style="568" bestFit="1" customWidth="1"/>
    <col min="8201" max="8201" width="12.7109375" style="568" customWidth="1"/>
    <col min="8202" max="8448" width="9.140625" style="568"/>
    <col min="8449" max="8449" width="41.140625" style="568" customWidth="1"/>
    <col min="8450" max="8453" width="9.140625" style="568"/>
    <col min="8454" max="8454" width="16.28515625" style="568" customWidth="1"/>
    <col min="8455" max="8455" width="12.7109375" style="568" customWidth="1"/>
    <col min="8456" max="8456" width="10.42578125" style="568" bestFit="1" customWidth="1"/>
    <col min="8457" max="8457" width="12.7109375" style="568" customWidth="1"/>
    <col min="8458" max="8704" width="9.140625" style="568"/>
    <col min="8705" max="8705" width="41.140625" style="568" customWidth="1"/>
    <col min="8706" max="8709" width="9.140625" style="568"/>
    <col min="8710" max="8710" width="16.28515625" style="568" customWidth="1"/>
    <col min="8711" max="8711" width="12.7109375" style="568" customWidth="1"/>
    <col min="8712" max="8712" width="10.42578125" style="568" bestFit="1" customWidth="1"/>
    <col min="8713" max="8713" width="12.7109375" style="568" customWidth="1"/>
    <col min="8714" max="8960" width="9.140625" style="568"/>
    <col min="8961" max="8961" width="41.140625" style="568" customWidth="1"/>
    <col min="8962" max="8965" width="9.140625" style="568"/>
    <col min="8966" max="8966" width="16.28515625" style="568" customWidth="1"/>
    <col min="8967" max="8967" width="12.7109375" style="568" customWidth="1"/>
    <col min="8968" max="8968" width="10.42578125" style="568" bestFit="1" customWidth="1"/>
    <col min="8969" max="8969" width="12.7109375" style="568" customWidth="1"/>
    <col min="8970" max="9216" width="9.140625" style="568"/>
    <col min="9217" max="9217" width="41.140625" style="568" customWidth="1"/>
    <col min="9218" max="9221" width="9.140625" style="568"/>
    <col min="9222" max="9222" width="16.28515625" style="568" customWidth="1"/>
    <col min="9223" max="9223" width="12.7109375" style="568" customWidth="1"/>
    <col min="9224" max="9224" width="10.42578125" style="568" bestFit="1" customWidth="1"/>
    <col min="9225" max="9225" width="12.7109375" style="568" customWidth="1"/>
    <col min="9226" max="9472" width="9.140625" style="568"/>
    <col min="9473" max="9473" width="41.140625" style="568" customWidth="1"/>
    <col min="9474" max="9477" width="9.140625" style="568"/>
    <col min="9478" max="9478" width="16.28515625" style="568" customWidth="1"/>
    <col min="9479" max="9479" width="12.7109375" style="568" customWidth="1"/>
    <col min="9480" max="9480" width="10.42578125" style="568" bestFit="1" customWidth="1"/>
    <col min="9481" max="9481" width="12.7109375" style="568" customWidth="1"/>
    <col min="9482" max="9728" width="9.140625" style="568"/>
    <col min="9729" max="9729" width="41.140625" style="568" customWidth="1"/>
    <col min="9730" max="9733" width="9.140625" style="568"/>
    <col min="9734" max="9734" width="16.28515625" style="568" customWidth="1"/>
    <col min="9735" max="9735" width="12.7109375" style="568" customWidth="1"/>
    <col min="9736" max="9736" width="10.42578125" style="568" bestFit="1" customWidth="1"/>
    <col min="9737" max="9737" width="12.7109375" style="568" customWidth="1"/>
    <col min="9738" max="9984" width="9.140625" style="568"/>
    <col min="9985" max="9985" width="41.140625" style="568" customWidth="1"/>
    <col min="9986" max="9989" width="9.140625" style="568"/>
    <col min="9990" max="9990" width="16.28515625" style="568" customWidth="1"/>
    <col min="9991" max="9991" width="12.7109375" style="568" customWidth="1"/>
    <col min="9992" max="9992" width="10.42578125" style="568" bestFit="1" customWidth="1"/>
    <col min="9993" max="9993" width="12.7109375" style="568" customWidth="1"/>
    <col min="9994" max="10240" width="9.140625" style="568"/>
    <col min="10241" max="10241" width="41.140625" style="568" customWidth="1"/>
    <col min="10242" max="10245" width="9.140625" style="568"/>
    <col min="10246" max="10246" width="16.28515625" style="568" customWidth="1"/>
    <col min="10247" max="10247" width="12.7109375" style="568" customWidth="1"/>
    <col min="10248" max="10248" width="10.42578125" style="568" bestFit="1" customWidth="1"/>
    <col min="10249" max="10249" width="12.7109375" style="568" customWidth="1"/>
    <col min="10250" max="10496" width="9.140625" style="568"/>
    <col min="10497" max="10497" width="41.140625" style="568" customWidth="1"/>
    <col min="10498" max="10501" width="9.140625" style="568"/>
    <col min="10502" max="10502" width="16.28515625" style="568" customWidth="1"/>
    <col min="10503" max="10503" width="12.7109375" style="568" customWidth="1"/>
    <col min="10504" max="10504" width="10.42578125" style="568" bestFit="1" customWidth="1"/>
    <col min="10505" max="10505" width="12.7109375" style="568" customWidth="1"/>
    <col min="10506" max="10752" width="9.140625" style="568"/>
    <col min="10753" max="10753" width="41.140625" style="568" customWidth="1"/>
    <col min="10754" max="10757" width="9.140625" style="568"/>
    <col min="10758" max="10758" width="16.28515625" style="568" customWidth="1"/>
    <col min="10759" max="10759" width="12.7109375" style="568" customWidth="1"/>
    <col min="10760" max="10760" width="10.42578125" style="568" bestFit="1" customWidth="1"/>
    <col min="10761" max="10761" width="12.7109375" style="568" customWidth="1"/>
    <col min="10762" max="11008" width="9.140625" style="568"/>
    <col min="11009" max="11009" width="41.140625" style="568" customWidth="1"/>
    <col min="11010" max="11013" width="9.140625" style="568"/>
    <col min="11014" max="11014" width="16.28515625" style="568" customWidth="1"/>
    <col min="11015" max="11015" width="12.7109375" style="568" customWidth="1"/>
    <col min="11016" max="11016" width="10.42578125" style="568" bestFit="1" customWidth="1"/>
    <col min="11017" max="11017" width="12.7109375" style="568" customWidth="1"/>
    <col min="11018" max="11264" width="9.140625" style="568"/>
    <col min="11265" max="11265" width="41.140625" style="568" customWidth="1"/>
    <col min="11266" max="11269" width="9.140625" style="568"/>
    <col min="11270" max="11270" width="16.28515625" style="568" customWidth="1"/>
    <col min="11271" max="11271" width="12.7109375" style="568" customWidth="1"/>
    <col min="11272" max="11272" width="10.42578125" style="568" bestFit="1" customWidth="1"/>
    <col min="11273" max="11273" width="12.7109375" style="568" customWidth="1"/>
    <col min="11274" max="11520" width="9.140625" style="568"/>
    <col min="11521" max="11521" width="41.140625" style="568" customWidth="1"/>
    <col min="11522" max="11525" width="9.140625" style="568"/>
    <col min="11526" max="11526" width="16.28515625" style="568" customWidth="1"/>
    <col min="11527" max="11527" width="12.7109375" style="568" customWidth="1"/>
    <col min="11528" max="11528" width="10.42578125" style="568" bestFit="1" customWidth="1"/>
    <col min="11529" max="11529" width="12.7109375" style="568" customWidth="1"/>
    <col min="11530" max="11776" width="9.140625" style="568"/>
    <col min="11777" max="11777" width="41.140625" style="568" customWidth="1"/>
    <col min="11778" max="11781" width="9.140625" style="568"/>
    <col min="11782" max="11782" width="16.28515625" style="568" customWidth="1"/>
    <col min="11783" max="11783" width="12.7109375" style="568" customWidth="1"/>
    <col min="11784" max="11784" width="10.42578125" style="568" bestFit="1" customWidth="1"/>
    <col min="11785" max="11785" width="12.7109375" style="568" customWidth="1"/>
    <col min="11786" max="12032" width="9.140625" style="568"/>
    <col min="12033" max="12033" width="41.140625" style="568" customWidth="1"/>
    <col min="12034" max="12037" width="9.140625" style="568"/>
    <col min="12038" max="12038" width="16.28515625" style="568" customWidth="1"/>
    <col min="12039" max="12039" width="12.7109375" style="568" customWidth="1"/>
    <col min="12040" max="12040" width="10.42578125" style="568" bestFit="1" customWidth="1"/>
    <col min="12041" max="12041" width="12.7109375" style="568" customWidth="1"/>
    <col min="12042" max="12288" width="9.140625" style="568"/>
    <col min="12289" max="12289" width="41.140625" style="568" customWidth="1"/>
    <col min="12290" max="12293" width="9.140625" style="568"/>
    <col min="12294" max="12294" width="16.28515625" style="568" customWidth="1"/>
    <col min="12295" max="12295" width="12.7109375" style="568" customWidth="1"/>
    <col min="12296" max="12296" width="10.42578125" style="568" bestFit="1" customWidth="1"/>
    <col min="12297" max="12297" width="12.7109375" style="568" customWidth="1"/>
    <col min="12298" max="12544" width="9.140625" style="568"/>
    <col min="12545" max="12545" width="41.140625" style="568" customWidth="1"/>
    <col min="12546" max="12549" width="9.140625" style="568"/>
    <col min="12550" max="12550" width="16.28515625" style="568" customWidth="1"/>
    <col min="12551" max="12551" width="12.7109375" style="568" customWidth="1"/>
    <col min="12552" max="12552" width="10.42578125" style="568" bestFit="1" customWidth="1"/>
    <col min="12553" max="12553" width="12.7109375" style="568" customWidth="1"/>
    <col min="12554" max="12800" width="9.140625" style="568"/>
    <col min="12801" max="12801" width="41.140625" style="568" customWidth="1"/>
    <col min="12802" max="12805" width="9.140625" style="568"/>
    <col min="12806" max="12806" width="16.28515625" style="568" customWidth="1"/>
    <col min="12807" max="12807" width="12.7109375" style="568" customWidth="1"/>
    <col min="12808" max="12808" width="10.42578125" style="568" bestFit="1" customWidth="1"/>
    <col min="12809" max="12809" width="12.7109375" style="568" customWidth="1"/>
    <col min="12810" max="13056" width="9.140625" style="568"/>
    <col min="13057" max="13057" width="41.140625" style="568" customWidth="1"/>
    <col min="13058" max="13061" width="9.140625" style="568"/>
    <col min="13062" max="13062" width="16.28515625" style="568" customWidth="1"/>
    <col min="13063" max="13063" width="12.7109375" style="568" customWidth="1"/>
    <col min="13064" max="13064" width="10.42578125" style="568" bestFit="1" customWidth="1"/>
    <col min="13065" max="13065" width="12.7109375" style="568" customWidth="1"/>
    <col min="13066" max="13312" width="9.140625" style="568"/>
    <col min="13313" max="13313" width="41.140625" style="568" customWidth="1"/>
    <col min="13314" max="13317" width="9.140625" style="568"/>
    <col min="13318" max="13318" width="16.28515625" style="568" customWidth="1"/>
    <col min="13319" max="13319" width="12.7109375" style="568" customWidth="1"/>
    <col min="13320" max="13320" width="10.42578125" style="568" bestFit="1" customWidth="1"/>
    <col min="13321" max="13321" width="12.7109375" style="568" customWidth="1"/>
    <col min="13322" max="13568" width="9.140625" style="568"/>
    <col min="13569" max="13569" width="41.140625" style="568" customWidth="1"/>
    <col min="13570" max="13573" width="9.140625" style="568"/>
    <col min="13574" max="13574" width="16.28515625" style="568" customWidth="1"/>
    <col min="13575" max="13575" width="12.7109375" style="568" customWidth="1"/>
    <col min="13576" max="13576" width="10.42578125" style="568" bestFit="1" customWidth="1"/>
    <col min="13577" max="13577" width="12.7109375" style="568" customWidth="1"/>
    <col min="13578" max="13824" width="9.140625" style="568"/>
    <col min="13825" max="13825" width="41.140625" style="568" customWidth="1"/>
    <col min="13826" max="13829" width="9.140625" style="568"/>
    <col min="13830" max="13830" width="16.28515625" style="568" customWidth="1"/>
    <col min="13831" max="13831" width="12.7109375" style="568" customWidth="1"/>
    <col min="13832" max="13832" width="10.42578125" style="568" bestFit="1" customWidth="1"/>
    <col min="13833" max="13833" width="12.7109375" style="568" customWidth="1"/>
    <col min="13834" max="14080" width="9.140625" style="568"/>
    <col min="14081" max="14081" width="41.140625" style="568" customWidth="1"/>
    <col min="14082" max="14085" width="9.140625" style="568"/>
    <col min="14086" max="14086" width="16.28515625" style="568" customWidth="1"/>
    <col min="14087" max="14087" width="12.7109375" style="568" customWidth="1"/>
    <col min="14088" max="14088" width="10.42578125" style="568" bestFit="1" customWidth="1"/>
    <col min="14089" max="14089" width="12.7109375" style="568" customWidth="1"/>
    <col min="14090" max="14336" width="9.140625" style="568"/>
    <col min="14337" max="14337" width="41.140625" style="568" customWidth="1"/>
    <col min="14338" max="14341" width="9.140625" style="568"/>
    <col min="14342" max="14342" width="16.28515625" style="568" customWidth="1"/>
    <col min="14343" max="14343" width="12.7109375" style="568" customWidth="1"/>
    <col min="14344" max="14344" width="10.42578125" style="568" bestFit="1" customWidth="1"/>
    <col min="14345" max="14345" width="12.7109375" style="568" customWidth="1"/>
    <col min="14346" max="14592" width="9.140625" style="568"/>
    <col min="14593" max="14593" width="41.140625" style="568" customWidth="1"/>
    <col min="14594" max="14597" width="9.140625" style="568"/>
    <col min="14598" max="14598" width="16.28515625" style="568" customWidth="1"/>
    <col min="14599" max="14599" width="12.7109375" style="568" customWidth="1"/>
    <col min="14600" max="14600" width="10.42578125" style="568" bestFit="1" customWidth="1"/>
    <col min="14601" max="14601" width="12.7109375" style="568" customWidth="1"/>
    <col min="14602" max="14848" width="9.140625" style="568"/>
    <col min="14849" max="14849" width="41.140625" style="568" customWidth="1"/>
    <col min="14850" max="14853" width="9.140625" style="568"/>
    <col min="14854" max="14854" width="16.28515625" style="568" customWidth="1"/>
    <col min="14855" max="14855" width="12.7109375" style="568" customWidth="1"/>
    <col min="14856" max="14856" width="10.42578125" style="568" bestFit="1" customWidth="1"/>
    <col min="14857" max="14857" width="12.7109375" style="568" customWidth="1"/>
    <col min="14858" max="15104" width="9.140625" style="568"/>
    <col min="15105" max="15105" width="41.140625" style="568" customWidth="1"/>
    <col min="15106" max="15109" width="9.140625" style="568"/>
    <col min="15110" max="15110" width="16.28515625" style="568" customWidth="1"/>
    <col min="15111" max="15111" width="12.7109375" style="568" customWidth="1"/>
    <col min="15112" max="15112" width="10.42578125" style="568" bestFit="1" customWidth="1"/>
    <col min="15113" max="15113" width="12.7109375" style="568" customWidth="1"/>
    <col min="15114" max="15360" width="9.140625" style="568"/>
    <col min="15361" max="15361" width="41.140625" style="568" customWidth="1"/>
    <col min="15362" max="15365" width="9.140625" style="568"/>
    <col min="15366" max="15366" width="16.28515625" style="568" customWidth="1"/>
    <col min="15367" max="15367" width="12.7109375" style="568" customWidth="1"/>
    <col min="15368" max="15368" width="10.42578125" style="568" bestFit="1" customWidth="1"/>
    <col min="15369" max="15369" width="12.7109375" style="568" customWidth="1"/>
    <col min="15370" max="15616" width="9.140625" style="568"/>
    <col min="15617" max="15617" width="41.140625" style="568" customWidth="1"/>
    <col min="15618" max="15621" width="9.140625" style="568"/>
    <col min="15622" max="15622" width="16.28515625" style="568" customWidth="1"/>
    <col min="15623" max="15623" width="12.7109375" style="568" customWidth="1"/>
    <col min="15624" max="15624" width="10.42578125" style="568" bestFit="1" customWidth="1"/>
    <col min="15625" max="15625" width="12.7109375" style="568" customWidth="1"/>
    <col min="15626" max="15872" width="9.140625" style="568"/>
    <col min="15873" max="15873" width="41.140625" style="568" customWidth="1"/>
    <col min="15874" max="15877" width="9.140625" style="568"/>
    <col min="15878" max="15878" width="16.28515625" style="568" customWidth="1"/>
    <col min="15879" max="15879" width="12.7109375" style="568" customWidth="1"/>
    <col min="15880" max="15880" width="10.42578125" style="568" bestFit="1" customWidth="1"/>
    <col min="15881" max="15881" width="12.7109375" style="568" customWidth="1"/>
    <col min="15882" max="16128" width="9.140625" style="568"/>
    <col min="16129" max="16129" width="41.140625" style="568" customWidth="1"/>
    <col min="16130" max="16133" width="9.140625" style="568"/>
    <col min="16134" max="16134" width="16.28515625" style="568" customWidth="1"/>
    <col min="16135" max="16135" width="12.7109375" style="568" customWidth="1"/>
    <col min="16136" max="16136" width="10.42578125" style="568" bestFit="1" customWidth="1"/>
    <col min="16137" max="16137" width="12.7109375" style="568" customWidth="1"/>
    <col min="16138" max="16384" width="9.140625" style="568"/>
  </cols>
  <sheetData>
    <row r="1" spans="1:9" ht="15">
      <c r="A1" s="2869" t="s">
        <v>4106</v>
      </c>
      <c r="B1" s="2869"/>
      <c r="C1" s="2869"/>
      <c r="D1" s="2869"/>
      <c r="E1" s="2869"/>
      <c r="F1" s="2869"/>
      <c r="G1" s="2118"/>
      <c r="H1" s="2118"/>
      <c r="I1" s="2118"/>
    </row>
    <row r="2" spans="1:9" ht="16.5" customHeight="1">
      <c r="A2" s="2870"/>
      <c r="B2" s="2870"/>
      <c r="C2" s="2870"/>
      <c r="D2" s="2870"/>
      <c r="E2" s="2870"/>
      <c r="F2" s="2870"/>
      <c r="G2" s="2118"/>
      <c r="H2" s="2118"/>
      <c r="I2" s="2118"/>
    </row>
    <row r="3" spans="1:9" ht="54" customHeight="1">
      <c r="A3" s="2871" t="s">
        <v>4107</v>
      </c>
      <c r="B3" s="2872"/>
      <c r="C3" s="2872"/>
      <c r="D3" s="2872"/>
      <c r="E3" s="2872"/>
      <c r="F3" s="2872"/>
      <c r="G3" s="2118"/>
      <c r="H3" s="2118"/>
      <c r="I3" s="2118"/>
    </row>
    <row r="4" spans="1:9" ht="13.35" customHeight="1">
      <c r="A4" s="315"/>
      <c r="B4" s="316"/>
      <c r="C4" s="316"/>
      <c r="D4" s="316"/>
      <c r="E4" s="316"/>
      <c r="F4" s="316"/>
      <c r="G4" s="2118"/>
      <c r="H4" s="2118"/>
      <c r="I4" s="2118"/>
    </row>
    <row r="5" spans="1:9" ht="28.5" customHeight="1">
      <c r="A5" s="2868" t="s">
        <v>4108</v>
      </c>
      <c r="B5" s="2868"/>
      <c r="C5" s="2868"/>
      <c r="D5" s="2868"/>
      <c r="E5" s="2868"/>
      <c r="F5" s="2868"/>
      <c r="G5" s="2118"/>
      <c r="H5" s="2118"/>
      <c r="I5" s="2118"/>
    </row>
    <row r="6" spans="1:9" ht="15" customHeight="1">
      <c r="A6" s="2317"/>
      <c r="B6" s="2317"/>
      <c r="C6" s="2317"/>
      <c r="D6" s="2317"/>
      <c r="E6" s="2317"/>
      <c r="F6" s="2317"/>
      <c r="G6" s="2118"/>
      <c r="H6" s="2118"/>
      <c r="I6" s="2118"/>
    </row>
    <row r="7" spans="1:9" ht="21" customHeight="1">
      <c r="A7" s="316" t="s">
        <v>4109</v>
      </c>
      <c r="B7" s="2318"/>
      <c r="C7" s="2318"/>
      <c r="D7" s="2318"/>
      <c r="E7" s="2318"/>
      <c r="F7" s="2318"/>
      <c r="G7" s="2118"/>
      <c r="H7" s="2118"/>
      <c r="I7" s="2118"/>
    </row>
    <row r="8" spans="1:9" ht="21" customHeight="1">
      <c r="A8" s="316" t="s">
        <v>4110</v>
      </c>
      <c r="B8" s="2318"/>
      <c r="C8" s="2318"/>
      <c r="D8" s="2318"/>
      <c r="E8" s="2318"/>
      <c r="F8" s="2318"/>
      <c r="G8" s="2118"/>
      <c r="H8" s="2118"/>
      <c r="I8" s="2118"/>
    </row>
    <row r="9" spans="1:9" ht="21" customHeight="1">
      <c r="A9" s="316" t="s">
        <v>4111</v>
      </c>
      <c r="B9" s="2318"/>
      <c r="C9" s="2318"/>
      <c r="D9" s="2318"/>
      <c r="E9" s="2318"/>
      <c r="F9" s="2318"/>
      <c r="G9" s="2118"/>
      <c r="H9" s="2118"/>
      <c r="I9" s="2118"/>
    </row>
    <row r="10" spans="1:9" ht="21" customHeight="1">
      <c r="A10" s="316" t="s">
        <v>4112</v>
      </c>
      <c r="B10" s="2318"/>
      <c r="C10" s="2318"/>
      <c r="D10" s="2318"/>
      <c r="E10" s="2318"/>
      <c r="F10" s="2318"/>
      <c r="G10" s="2118"/>
      <c r="H10" s="2118"/>
      <c r="I10" s="2118"/>
    </row>
    <row r="11" spans="1:9" ht="21" customHeight="1">
      <c r="A11" s="316" t="s">
        <v>4113</v>
      </c>
      <c r="B11" s="2318"/>
      <c r="C11" s="2318"/>
      <c r="D11" s="2318"/>
      <c r="E11" s="2318"/>
      <c r="F11" s="2318"/>
      <c r="G11" s="2118"/>
      <c r="H11" s="2118"/>
      <c r="I11" s="2118"/>
    </row>
    <row r="12" spans="1:9" ht="30.95" customHeight="1">
      <c r="A12" s="2873" t="s">
        <v>4114</v>
      </c>
      <c r="B12" s="2873"/>
      <c r="C12" s="2873"/>
      <c r="D12" s="2873"/>
      <c r="E12" s="2873"/>
      <c r="F12" s="2873"/>
      <c r="G12" s="2118"/>
      <c r="H12" s="2118"/>
      <c r="I12" s="2118"/>
    </row>
    <row r="13" spans="1:9" ht="21" customHeight="1">
      <c r="A13" s="316" t="s">
        <v>4115</v>
      </c>
      <c r="B13" s="2318"/>
      <c r="C13" s="2318"/>
      <c r="D13" s="2318"/>
      <c r="E13" s="2318"/>
      <c r="F13" s="2318"/>
      <c r="G13" s="2118"/>
      <c r="H13" s="2118"/>
      <c r="I13" s="2118"/>
    </row>
    <row r="14" spans="1:9" ht="21" customHeight="1">
      <c r="A14" s="316" t="s">
        <v>4116</v>
      </c>
      <c r="B14" s="2318"/>
      <c r="C14" s="2318"/>
      <c r="D14" s="2318"/>
      <c r="E14" s="2318"/>
      <c r="F14" s="2318"/>
      <c r="G14" s="2118"/>
      <c r="H14" s="2118"/>
      <c r="I14" s="2118"/>
    </row>
    <row r="15" spans="1:9" ht="21" customHeight="1">
      <c r="A15" s="316" t="s">
        <v>4117</v>
      </c>
      <c r="B15" s="2318"/>
      <c r="C15" s="2318"/>
      <c r="D15" s="2318"/>
      <c r="E15" s="2318"/>
      <c r="F15" s="2318"/>
      <c r="G15" s="2118"/>
      <c r="H15" s="2118"/>
      <c r="I15" s="2118"/>
    </row>
    <row r="16" spans="1:9" ht="18.600000000000001" customHeight="1">
      <c r="A16" s="316" t="s">
        <v>4118</v>
      </c>
      <c r="B16" s="2318"/>
      <c r="C16" s="2318"/>
      <c r="D16" s="2318"/>
      <c r="E16" s="2318"/>
      <c r="F16" s="2318"/>
      <c r="G16" s="2118"/>
      <c r="H16" s="2118"/>
      <c r="I16" s="2118"/>
    </row>
    <row r="17" spans="1:9" ht="18.600000000000001" customHeight="1">
      <c r="A17" s="316" t="s">
        <v>4119</v>
      </c>
      <c r="B17" s="2318"/>
      <c r="C17" s="2318"/>
      <c r="D17" s="2318"/>
      <c r="E17" s="2318"/>
      <c r="F17" s="2318"/>
      <c r="G17" s="2118"/>
      <c r="H17" s="2118"/>
      <c r="I17" s="2118"/>
    </row>
    <row r="18" spans="1:9" ht="18.600000000000001" customHeight="1">
      <c r="A18" s="316" t="s">
        <v>4120</v>
      </c>
      <c r="B18" s="2318"/>
      <c r="C18" s="2318"/>
      <c r="D18" s="2318"/>
      <c r="E18" s="2318"/>
      <c r="F18" s="2318"/>
      <c r="G18" s="2118"/>
      <c r="H18" s="2118"/>
      <c r="I18" s="2118"/>
    </row>
    <row r="19" spans="1:9" ht="15" hidden="1">
      <c r="A19" s="316" t="s">
        <v>4121</v>
      </c>
      <c r="B19" s="2318"/>
      <c r="C19" s="2318"/>
      <c r="D19" s="2318"/>
      <c r="E19" s="2318"/>
      <c r="F19" s="2318"/>
      <c r="G19" s="2118"/>
      <c r="H19" s="2118"/>
      <c r="I19" s="2118"/>
    </row>
    <row r="20" spans="1:9" ht="15" hidden="1">
      <c r="A20" s="316" t="s">
        <v>4122</v>
      </c>
      <c r="B20" s="2318"/>
      <c r="C20" s="2318"/>
      <c r="D20" s="2318"/>
      <c r="E20" s="2318"/>
      <c r="F20" s="2318"/>
      <c r="G20" s="2118"/>
      <c r="H20" s="2118"/>
      <c r="I20" s="2118"/>
    </row>
    <row r="21" spans="1:9" ht="15.95" customHeight="1">
      <c r="A21" s="316" t="s">
        <v>4123</v>
      </c>
      <c r="B21" s="2318"/>
      <c r="C21" s="2318"/>
      <c r="D21" s="2318"/>
      <c r="E21" s="2318"/>
      <c r="F21" s="2318"/>
      <c r="G21" s="2118"/>
      <c r="H21" s="2118"/>
      <c r="I21" s="2118"/>
    </row>
    <row r="22" spans="1:9" ht="15.95" customHeight="1">
      <c r="A22" s="316" t="s">
        <v>4124</v>
      </c>
      <c r="B22" s="2318"/>
      <c r="C22" s="2318"/>
      <c r="D22" s="2318"/>
      <c r="E22" s="2318"/>
      <c r="F22" s="2318"/>
      <c r="G22" s="2118"/>
      <c r="H22" s="2118"/>
      <c r="I22" s="2118"/>
    </row>
    <row r="23" spans="1:9" ht="15.95" customHeight="1">
      <c r="A23" s="316" t="s">
        <v>4125</v>
      </c>
      <c r="B23" s="2318"/>
      <c r="C23" s="2318"/>
      <c r="D23" s="2318"/>
      <c r="E23" s="2318"/>
      <c r="F23" s="2318"/>
      <c r="G23" s="2118"/>
      <c r="H23" s="2118"/>
      <c r="I23" s="2118"/>
    </row>
    <row r="24" spans="1:9" ht="15.95" customHeight="1">
      <c r="A24" s="316" t="s">
        <v>4126</v>
      </c>
      <c r="B24" s="2318"/>
      <c r="C24" s="2318"/>
      <c r="D24" s="2318"/>
      <c r="E24" s="2318"/>
      <c r="F24" s="2318"/>
      <c r="G24" s="2118"/>
      <c r="H24" s="2118"/>
      <c r="I24" s="2118"/>
    </row>
    <row r="25" spans="1:9" ht="15" hidden="1">
      <c r="A25" s="316" t="s">
        <v>4127</v>
      </c>
      <c r="B25" s="2318"/>
      <c r="C25" s="2318"/>
      <c r="D25" s="2318"/>
      <c r="E25" s="2318"/>
      <c r="F25" s="2318"/>
      <c r="G25" s="2118"/>
      <c r="H25" s="2118"/>
      <c r="I25" s="2118"/>
    </row>
    <row r="26" spans="1:9" ht="15" hidden="1">
      <c r="A26" s="316" t="s">
        <v>4128</v>
      </c>
      <c r="B26" s="2318"/>
      <c r="C26" s="2318"/>
      <c r="D26" s="2318"/>
      <c r="E26" s="2318"/>
      <c r="F26" s="2318"/>
      <c r="G26" s="2118"/>
      <c r="H26" s="2118"/>
      <c r="I26" s="2118"/>
    </row>
    <row r="27" spans="1:9" ht="23.25" hidden="1" customHeight="1">
      <c r="A27" s="316" t="s">
        <v>4129</v>
      </c>
      <c r="B27" s="2318"/>
      <c r="C27" s="2318"/>
      <c r="D27" s="2318"/>
      <c r="E27" s="2318"/>
      <c r="F27" s="2318"/>
      <c r="G27" s="2118"/>
      <c r="H27" s="2118"/>
      <c r="I27" s="2118"/>
    </row>
    <row r="28" spans="1:9" ht="15" hidden="1">
      <c r="A28" s="316" t="s">
        <v>4130</v>
      </c>
      <c r="B28" s="2318"/>
      <c r="C28" s="2318"/>
      <c r="D28" s="2318"/>
      <c r="E28" s="2318"/>
      <c r="F28" s="2318"/>
      <c r="G28" s="2118"/>
      <c r="H28" s="2118"/>
      <c r="I28" s="2118"/>
    </row>
    <row r="29" spans="1:9" ht="25.9" hidden="1" customHeight="1">
      <c r="A29" s="316" t="s">
        <v>4131</v>
      </c>
      <c r="B29" s="2318"/>
      <c r="C29" s="2318"/>
      <c r="D29" s="2318"/>
      <c r="E29" s="2318"/>
      <c r="F29" s="2318"/>
      <c r="G29" s="2118"/>
      <c r="H29" s="2118"/>
      <c r="I29" s="2118"/>
    </row>
    <row r="30" spans="1:9" ht="25.9" hidden="1" customHeight="1">
      <c r="A30" s="316" t="s">
        <v>4132</v>
      </c>
      <c r="B30" s="2318"/>
      <c r="C30" s="2318"/>
      <c r="D30" s="2318"/>
      <c r="E30" s="2318"/>
      <c r="F30" s="2318"/>
      <c r="G30" s="2118"/>
      <c r="H30" s="2118"/>
      <c r="I30" s="2118"/>
    </row>
    <row r="31" spans="1:9" ht="15" hidden="1">
      <c r="A31" s="316" t="s">
        <v>4133</v>
      </c>
      <c r="B31" s="2318"/>
      <c r="C31" s="2318"/>
      <c r="D31" s="2318"/>
      <c r="E31" s="2318"/>
      <c r="F31" s="2318"/>
      <c r="G31" s="2118"/>
      <c r="H31" s="2118"/>
      <c r="I31" s="2118"/>
    </row>
    <row r="32" spans="1:9" ht="15">
      <c r="A32" s="316"/>
      <c r="B32" s="2318"/>
      <c r="C32" s="2318"/>
      <c r="D32" s="2318"/>
      <c r="E32" s="2318"/>
      <c r="F32" s="2318"/>
      <c r="G32" s="2118"/>
      <c r="H32" s="2118"/>
      <c r="I32" s="2118"/>
    </row>
    <row r="33" spans="1:9" ht="38.25" customHeight="1">
      <c r="A33" s="2868" t="s">
        <v>4134</v>
      </c>
      <c r="B33" s="2868"/>
      <c r="C33" s="2868"/>
      <c r="D33" s="2868"/>
      <c r="E33" s="2868"/>
      <c r="F33" s="2868"/>
      <c r="G33" s="2118"/>
      <c r="H33" s="2118"/>
      <c r="I33" s="2118"/>
    </row>
    <row r="34" spans="1:9" ht="14.65" customHeight="1">
      <c r="A34" s="2317"/>
      <c r="B34" s="2317"/>
      <c r="C34" s="2317"/>
      <c r="D34" s="2317"/>
      <c r="E34" s="2317"/>
      <c r="F34" s="2317"/>
      <c r="G34" s="2118"/>
      <c r="H34" s="2118"/>
      <c r="I34" s="2118"/>
    </row>
    <row r="35" spans="1:9" ht="21" customHeight="1">
      <c r="A35" s="2874" t="s">
        <v>4135</v>
      </c>
      <c r="B35" s="2874"/>
      <c r="C35" s="2874"/>
      <c r="D35" s="2874"/>
      <c r="E35" s="2874"/>
      <c r="F35" s="2874"/>
      <c r="G35" s="2118"/>
      <c r="H35" s="2118"/>
      <c r="I35" s="2118"/>
    </row>
    <row r="36" spans="1:9" ht="21" customHeight="1">
      <c r="A36" s="2318"/>
      <c r="B36" s="2318"/>
      <c r="C36" s="2318"/>
      <c r="D36" s="2318"/>
      <c r="E36" s="2318"/>
      <c r="F36" s="2318"/>
      <c r="G36" s="2118"/>
      <c r="H36" s="2118"/>
      <c r="I36" s="2118"/>
    </row>
    <row r="37" spans="1:9" ht="21" customHeight="1">
      <c r="A37" s="2318"/>
      <c r="B37" s="2318"/>
      <c r="C37" s="2318"/>
      <c r="D37" s="2318"/>
      <c r="E37" s="2318"/>
      <c r="F37" s="2318"/>
      <c r="G37" s="2118"/>
      <c r="H37" s="2118"/>
      <c r="I37" s="2118"/>
    </row>
    <row r="38" spans="1:9" ht="21" customHeight="1">
      <c r="A38" s="2318"/>
      <c r="B38" s="2318"/>
      <c r="C38" s="2318"/>
      <c r="D38" s="2318"/>
      <c r="E38" s="2318"/>
      <c r="F38" s="2318"/>
      <c r="G38" s="2118"/>
      <c r="H38" s="2118"/>
      <c r="I38" s="2118"/>
    </row>
    <row r="39" spans="1:9" ht="21" customHeight="1">
      <c r="A39" s="2318"/>
      <c r="B39" s="2318"/>
      <c r="C39" s="2318"/>
      <c r="D39" s="2318"/>
      <c r="E39" s="2318"/>
      <c r="F39" s="2318"/>
      <c r="G39" s="2118"/>
      <c r="H39" s="2118"/>
      <c r="I39" s="2118"/>
    </row>
    <row r="40" spans="1:9" ht="21" customHeight="1">
      <c r="A40" s="2318"/>
      <c r="B40" s="2318"/>
      <c r="C40" s="2318"/>
      <c r="D40" s="2318"/>
      <c r="E40" s="2318"/>
      <c r="F40" s="2318"/>
      <c r="G40" s="2118"/>
      <c r="H40" s="2118"/>
      <c r="I40" s="2118"/>
    </row>
    <row r="41" spans="1:9" ht="21" customHeight="1">
      <c r="A41" s="2318"/>
      <c r="B41" s="2318"/>
      <c r="C41" s="2318"/>
      <c r="D41" s="2318"/>
      <c r="E41" s="2318"/>
      <c r="F41" s="2318"/>
      <c r="G41" s="2118"/>
      <c r="H41" s="2118"/>
      <c r="I41" s="2118"/>
    </row>
    <row r="42" spans="1:9" ht="21" customHeight="1">
      <c r="A42" s="2318"/>
      <c r="B42" s="2318"/>
      <c r="C42" s="2318"/>
      <c r="D42" s="2318"/>
      <c r="E42" s="2318"/>
      <c r="F42" s="2318"/>
      <c r="G42" s="2118"/>
      <c r="H42" s="2118"/>
      <c r="I42" s="2118"/>
    </row>
    <row r="43" spans="1:9" s="316" customFormat="1" ht="16.899999999999999" customHeight="1">
      <c r="A43" s="2319" t="s">
        <v>3498</v>
      </c>
      <c r="B43" s="2875" t="str">
        <f>'[5]General Abstract K'!F37</f>
        <v>Assistant Executive Engineer</v>
      </c>
      <c r="C43" s="2875"/>
      <c r="D43" s="2875"/>
      <c r="E43" s="2875" t="s">
        <v>4136</v>
      </c>
      <c r="F43" s="2875"/>
      <c r="H43" s="315"/>
      <c r="I43" s="315"/>
    </row>
    <row r="44" spans="1:9" s="316" customFormat="1" ht="16.899999999999999" customHeight="1">
      <c r="A44" s="2320" t="str">
        <f>'[5]General Abstract K'!A38:C38</f>
        <v>Bhuban Block</v>
      </c>
      <c r="B44" s="2318"/>
      <c r="C44" s="2320" t="str">
        <f>'[5]General Abstract K'!F38</f>
        <v>Bhuban Block</v>
      </c>
      <c r="D44" s="2318"/>
      <c r="E44" s="2876" t="str">
        <f>A44</f>
        <v>Bhuban Block</v>
      </c>
      <c r="F44" s="2876"/>
      <c r="G44" s="2318"/>
      <c r="H44" s="2318"/>
      <c r="I44" s="2318"/>
    </row>
    <row r="45" spans="1:9" s="316" customFormat="1" ht="15">
      <c r="A45" s="2318"/>
      <c r="B45" s="2318"/>
      <c r="C45" s="2318"/>
      <c r="D45" s="2318"/>
      <c r="E45" s="2318"/>
      <c r="F45" s="2480"/>
      <c r="G45" s="2480"/>
      <c r="H45" s="1698"/>
      <c r="I45" s="2318"/>
    </row>
    <row r="46" spans="1:9" ht="20.25">
      <c r="A46" s="2321"/>
      <c r="B46" s="2321"/>
      <c r="C46" s="2321"/>
      <c r="D46" s="2321"/>
      <c r="E46" s="2321"/>
      <c r="F46" s="2321"/>
      <c r="G46" s="2321"/>
      <c r="H46" s="2321"/>
      <c r="I46" s="2321"/>
    </row>
    <row r="47" spans="1:9" ht="20.25">
      <c r="A47" s="2321"/>
      <c r="B47" s="2321"/>
      <c r="C47" s="2321"/>
      <c r="D47" s="2321"/>
      <c r="E47" s="2321"/>
      <c r="F47" s="2321"/>
      <c r="G47" s="2321"/>
      <c r="H47" s="2321"/>
      <c r="I47" s="2321"/>
    </row>
    <row r="48" spans="1:9" ht="20.25">
      <c r="A48" s="2321"/>
      <c r="B48" s="2321"/>
      <c r="C48" s="2321"/>
      <c r="D48" s="2321"/>
      <c r="E48" s="2321"/>
      <c r="F48" s="2321"/>
      <c r="G48" s="2321"/>
      <c r="H48" s="2321"/>
      <c r="I48" s="2321"/>
    </row>
  </sheetData>
  <mergeCells count="11">
    <mergeCell ref="A35:F35"/>
    <mergeCell ref="B43:D43"/>
    <mergeCell ref="E43:F43"/>
    <mergeCell ref="E44:F44"/>
    <mergeCell ref="F45:G45"/>
    <mergeCell ref="A33:F33"/>
    <mergeCell ref="A1:F1"/>
    <mergeCell ref="A2:F2"/>
    <mergeCell ref="A3:F3"/>
    <mergeCell ref="A5:F5"/>
    <mergeCell ref="A12:F12"/>
  </mergeCells>
  <pageMargins left="0.43307086614173229" right="0.43307086614173229" top="0.74803149606299213" bottom="0.74803149606299213" header="0.31496062992125984" footer="0.31496062992125984"/>
  <pageSetup paperSize="9" orientation="portrait" verticalDpi="4294967295" r:id="rId1"/>
</worksheet>
</file>

<file path=xl/worksheets/sheet21.xml><?xml version="1.0" encoding="utf-8"?>
<worksheet xmlns="http://schemas.openxmlformats.org/spreadsheetml/2006/main" xmlns:r="http://schemas.openxmlformats.org/officeDocument/2006/relationships">
  <sheetPr>
    <tabColor rgb="FFFF0000"/>
  </sheetPr>
  <dimension ref="A1:IV6526"/>
  <sheetViews>
    <sheetView view="pageBreakPreview" zoomScale="106" zoomScaleSheetLayoutView="106" workbookViewId="0">
      <pane ySplit="7" topLeftCell="A8" activePane="bottomLeft" state="frozen"/>
      <selection activeCell="F7" sqref="F7"/>
      <selection pane="bottomLeft" activeCell="F7" sqref="F7"/>
    </sheetView>
  </sheetViews>
  <sheetFormatPr defaultColWidth="9.140625" defaultRowHeight="12"/>
  <cols>
    <col min="1" max="1" width="4.28515625" style="196" customWidth="1"/>
    <col min="2" max="2" width="23.85546875" style="1705" customWidth="1"/>
    <col min="3" max="3" width="7.7109375" style="1705" customWidth="1"/>
    <col min="4" max="4" width="6.28515625" style="1705" customWidth="1"/>
    <col min="5" max="5" width="4.7109375" style="1701" customWidth="1"/>
    <col min="6" max="6" width="9.42578125" style="1701" customWidth="1"/>
    <col min="7" max="7" width="8.85546875" style="1705" customWidth="1"/>
    <col min="8" max="8" width="5.85546875" style="1705" customWidth="1"/>
    <col min="9" max="9" width="9" style="1707" customWidth="1"/>
    <col min="10" max="10" width="8.42578125" style="1705" customWidth="1"/>
    <col min="11" max="11" width="9.7109375" style="1705" customWidth="1"/>
    <col min="12" max="12" width="4.42578125" style="1706" customWidth="1"/>
    <col min="13" max="13" width="5.7109375" style="1705" customWidth="1"/>
    <col min="14" max="14" width="6.140625" style="1705" customWidth="1"/>
    <col min="15" max="15" width="8" style="1705" customWidth="1"/>
    <col min="16" max="16" width="6.42578125" style="1705" customWidth="1"/>
    <col min="17" max="17" width="0.42578125" style="1705" customWidth="1"/>
    <col min="18" max="18" width="8.5703125" style="1705" customWidth="1"/>
    <col min="19" max="19" width="9.140625" style="1705" customWidth="1"/>
    <col min="20" max="20" width="10.85546875" style="1706" customWidth="1"/>
    <col min="21" max="21" width="10.5703125" style="1705" customWidth="1"/>
    <col min="22" max="23" width="9.140625" style="1705" customWidth="1"/>
    <col min="24" max="24" width="12.85546875" style="1705" customWidth="1"/>
    <col min="25" max="34" width="9.140625" style="1705" customWidth="1"/>
    <col min="35" max="35" width="8.28515625" style="1705" customWidth="1"/>
    <col min="36" max="256" width="9.140625" style="1705"/>
    <col min="257" max="257" width="4.28515625" style="1705" customWidth="1"/>
    <col min="258" max="258" width="27.140625" style="1705" customWidth="1"/>
    <col min="259" max="259" width="8.85546875" style="1705" customWidth="1"/>
    <col min="260" max="260" width="6.7109375" style="1705" customWidth="1"/>
    <col min="261" max="261" width="4.7109375" style="1705" customWidth="1"/>
    <col min="262" max="262" width="8" style="1705" customWidth="1"/>
    <col min="263" max="263" width="9.28515625" style="1705" customWidth="1"/>
    <col min="264" max="264" width="8.5703125" style="1705" customWidth="1"/>
    <col min="265" max="265" width="9.42578125" style="1705" customWidth="1"/>
    <col min="266" max="266" width="8.85546875" style="1705" customWidth="1"/>
    <col min="267" max="267" width="10.28515625" style="1705" customWidth="1"/>
    <col min="268" max="268" width="4.42578125" style="1705" customWidth="1"/>
    <col min="269" max="269" width="7.5703125" style="1705" customWidth="1"/>
    <col min="270" max="270" width="7.85546875" style="1705" customWidth="1"/>
    <col min="271" max="271" width="8" style="1705" customWidth="1"/>
    <col min="272" max="272" width="6.42578125" style="1705" customWidth="1"/>
    <col min="273" max="273" width="28.85546875" style="1705" customWidth="1"/>
    <col min="274" max="274" width="12.42578125" style="1705" customWidth="1"/>
    <col min="275" max="275" width="9.140625" style="1705" customWidth="1"/>
    <col min="276" max="276" width="10.85546875" style="1705" customWidth="1"/>
    <col min="277" max="277" width="9.140625" style="1705" customWidth="1"/>
    <col min="278" max="279" width="0" style="1705" hidden="1" customWidth="1"/>
    <col min="280" max="280" width="32.28515625" style="1705" customWidth="1"/>
    <col min="281" max="512" width="9.140625" style="1705"/>
    <col min="513" max="513" width="4.28515625" style="1705" customWidth="1"/>
    <col min="514" max="514" width="27.140625" style="1705" customWidth="1"/>
    <col min="515" max="515" width="8.85546875" style="1705" customWidth="1"/>
    <col min="516" max="516" width="6.7109375" style="1705" customWidth="1"/>
    <col min="517" max="517" width="4.7109375" style="1705" customWidth="1"/>
    <col min="518" max="518" width="8" style="1705" customWidth="1"/>
    <col min="519" max="519" width="9.28515625" style="1705" customWidth="1"/>
    <col min="520" max="520" width="8.5703125" style="1705" customWidth="1"/>
    <col min="521" max="521" width="9.42578125" style="1705" customWidth="1"/>
    <col min="522" max="522" width="8.85546875" style="1705" customWidth="1"/>
    <col min="523" max="523" width="10.28515625" style="1705" customWidth="1"/>
    <col min="524" max="524" width="4.42578125" style="1705" customWidth="1"/>
    <col min="525" max="525" width="7.5703125" style="1705" customWidth="1"/>
    <col min="526" max="526" width="7.85546875" style="1705" customWidth="1"/>
    <col min="527" max="527" width="8" style="1705" customWidth="1"/>
    <col min="528" max="528" width="6.42578125" style="1705" customWidth="1"/>
    <col min="529" max="529" width="28.85546875" style="1705" customWidth="1"/>
    <col min="530" max="530" width="12.42578125" style="1705" customWidth="1"/>
    <col min="531" max="531" width="9.140625" style="1705" customWidth="1"/>
    <col min="532" max="532" width="10.85546875" style="1705" customWidth="1"/>
    <col min="533" max="533" width="9.140625" style="1705" customWidth="1"/>
    <col min="534" max="535" width="0" style="1705" hidden="1" customWidth="1"/>
    <col min="536" max="536" width="32.28515625" style="1705" customWidth="1"/>
    <col min="537" max="768" width="9.140625" style="1705"/>
    <col min="769" max="769" width="4.28515625" style="1705" customWidth="1"/>
    <col min="770" max="770" width="27.140625" style="1705" customWidth="1"/>
    <col min="771" max="771" width="8.85546875" style="1705" customWidth="1"/>
    <col min="772" max="772" width="6.7109375" style="1705" customWidth="1"/>
    <col min="773" max="773" width="4.7109375" style="1705" customWidth="1"/>
    <col min="774" max="774" width="8" style="1705" customWidth="1"/>
    <col min="775" max="775" width="9.28515625" style="1705" customWidth="1"/>
    <col min="776" max="776" width="8.5703125" style="1705" customWidth="1"/>
    <col min="777" max="777" width="9.42578125" style="1705" customWidth="1"/>
    <col min="778" max="778" width="8.85546875" style="1705" customWidth="1"/>
    <col min="779" max="779" width="10.28515625" style="1705" customWidth="1"/>
    <col min="780" max="780" width="4.42578125" style="1705" customWidth="1"/>
    <col min="781" max="781" width="7.5703125" style="1705" customWidth="1"/>
    <col min="782" max="782" width="7.85546875" style="1705" customWidth="1"/>
    <col min="783" max="783" width="8" style="1705" customWidth="1"/>
    <col min="784" max="784" width="6.42578125" style="1705" customWidth="1"/>
    <col min="785" max="785" width="28.85546875" style="1705" customWidth="1"/>
    <col min="786" max="786" width="12.42578125" style="1705" customWidth="1"/>
    <col min="787" max="787" width="9.140625" style="1705" customWidth="1"/>
    <col min="788" max="788" width="10.85546875" style="1705" customWidth="1"/>
    <col min="789" max="789" width="9.140625" style="1705" customWidth="1"/>
    <col min="790" max="791" width="0" style="1705" hidden="1" customWidth="1"/>
    <col min="792" max="792" width="32.28515625" style="1705" customWidth="1"/>
    <col min="793" max="1024" width="9.140625" style="1705"/>
    <col min="1025" max="1025" width="4.28515625" style="1705" customWidth="1"/>
    <col min="1026" max="1026" width="27.140625" style="1705" customWidth="1"/>
    <col min="1027" max="1027" width="8.85546875" style="1705" customWidth="1"/>
    <col min="1028" max="1028" width="6.7109375" style="1705" customWidth="1"/>
    <col min="1029" max="1029" width="4.7109375" style="1705" customWidth="1"/>
    <col min="1030" max="1030" width="8" style="1705" customWidth="1"/>
    <col min="1031" max="1031" width="9.28515625" style="1705" customWidth="1"/>
    <col min="1032" max="1032" width="8.5703125" style="1705" customWidth="1"/>
    <col min="1033" max="1033" width="9.42578125" style="1705" customWidth="1"/>
    <col min="1034" max="1034" width="8.85546875" style="1705" customWidth="1"/>
    <col min="1035" max="1035" width="10.28515625" style="1705" customWidth="1"/>
    <col min="1036" max="1036" width="4.42578125" style="1705" customWidth="1"/>
    <col min="1037" max="1037" width="7.5703125" style="1705" customWidth="1"/>
    <col min="1038" max="1038" width="7.85546875" style="1705" customWidth="1"/>
    <col min="1039" max="1039" width="8" style="1705" customWidth="1"/>
    <col min="1040" max="1040" width="6.42578125" style="1705" customWidth="1"/>
    <col min="1041" max="1041" width="28.85546875" style="1705" customWidth="1"/>
    <col min="1042" max="1042" width="12.42578125" style="1705" customWidth="1"/>
    <col min="1043" max="1043" width="9.140625" style="1705" customWidth="1"/>
    <col min="1044" max="1044" width="10.85546875" style="1705" customWidth="1"/>
    <col min="1045" max="1045" width="9.140625" style="1705" customWidth="1"/>
    <col min="1046" max="1047" width="0" style="1705" hidden="1" customWidth="1"/>
    <col min="1048" max="1048" width="32.28515625" style="1705" customWidth="1"/>
    <col min="1049" max="1280" width="9.140625" style="1705"/>
    <col min="1281" max="1281" width="4.28515625" style="1705" customWidth="1"/>
    <col min="1282" max="1282" width="27.140625" style="1705" customWidth="1"/>
    <col min="1283" max="1283" width="8.85546875" style="1705" customWidth="1"/>
    <col min="1284" max="1284" width="6.7109375" style="1705" customWidth="1"/>
    <col min="1285" max="1285" width="4.7109375" style="1705" customWidth="1"/>
    <col min="1286" max="1286" width="8" style="1705" customWidth="1"/>
    <col min="1287" max="1287" width="9.28515625" style="1705" customWidth="1"/>
    <col min="1288" max="1288" width="8.5703125" style="1705" customWidth="1"/>
    <col min="1289" max="1289" width="9.42578125" style="1705" customWidth="1"/>
    <col min="1290" max="1290" width="8.85546875" style="1705" customWidth="1"/>
    <col min="1291" max="1291" width="10.28515625" style="1705" customWidth="1"/>
    <col min="1292" max="1292" width="4.42578125" style="1705" customWidth="1"/>
    <col min="1293" max="1293" width="7.5703125" style="1705" customWidth="1"/>
    <col min="1294" max="1294" width="7.85546875" style="1705" customWidth="1"/>
    <col min="1295" max="1295" width="8" style="1705" customWidth="1"/>
    <col min="1296" max="1296" width="6.42578125" style="1705" customWidth="1"/>
    <col min="1297" max="1297" width="28.85546875" style="1705" customWidth="1"/>
    <col min="1298" max="1298" width="12.42578125" style="1705" customWidth="1"/>
    <col min="1299" max="1299" width="9.140625" style="1705" customWidth="1"/>
    <col min="1300" max="1300" width="10.85546875" style="1705" customWidth="1"/>
    <col min="1301" max="1301" width="9.140625" style="1705" customWidth="1"/>
    <col min="1302" max="1303" width="0" style="1705" hidden="1" customWidth="1"/>
    <col min="1304" max="1304" width="32.28515625" style="1705" customWidth="1"/>
    <col min="1305" max="1536" width="9.140625" style="1705"/>
    <col min="1537" max="1537" width="4.28515625" style="1705" customWidth="1"/>
    <col min="1538" max="1538" width="27.140625" style="1705" customWidth="1"/>
    <col min="1539" max="1539" width="8.85546875" style="1705" customWidth="1"/>
    <col min="1540" max="1540" width="6.7109375" style="1705" customWidth="1"/>
    <col min="1541" max="1541" width="4.7109375" style="1705" customWidth="1"/>
    <col min="1542" max="1542" width="8" style="1705" customWidth="1"/>
    <col min="1543" max="1543" width="9.28515625" style="1705" customWidth="1"/>
    <col min="1544" max="1544" width="8.5703125" style="1705" customWidth="1"/>
    <col min="1545" max="1545" width="9.42578125" style="1705" customWidth="1"/>
    <col min="1546" max="1546" width="8.85546875" style="1705" customWidth="1"/>
    <col min="1547" max="1547" width="10.28515625" style="1705" customWidth="1"/>
    <col min="1548" max="1548" width="4.42578125" style="1705" customWidth="1"/>
    <col min="1549" max="1549" width="7.5703125" style="1705" customWidth="1"/>
    <col min="1550" max="1550" width="7.85546875" style="1705" customWidth="1"/>
    <col min="1551" max="1551" width="8" style="1705" customWidth="1"/>
    <col min="1552" max="1552" width="6.42578125" style="1705" customWidth="1"/>
    <col min="1553" max="1553" width="28.85546875" style="1705" customWidth="1"/>
    <col min="1554" max="1554" width="12.42578125" style="1705" customWidth="1"/>
    <col min="1555" max="1555" width="9.140625" style="1705" customWidth="1"/>
    <col min="1556" max="1556" width="10.85546875" style="1705" customWidth="1"/>
    <col min="1557" max="1557" width="9.140625" style="1705" customWidth="1"/>
    <col min="1558" max="1559" width="0" style="1705" hidden="1" customWidth="1"/>
    <col min="1560" max="1560" width="32.28515625" style="1705" customWidth="1"/>
    <col min="1561" max="1792" width="9.140625" style="1705"/>
    <col min="1793" max="1793" width="4.28515625" style="1705" customWidth="1"/>
    <col min="1794" max="1794" width="27.140625" style="1705" customWidth="1"/>
    <col min="1795" max="1795" width="8.85546875" style="1705" customWidth="1"/>
    <col min="1796" max="1796" width="6.7109375" style="1705" customWidth="1"/>
    <col min="1797" max="1797" width="4.7109375" style="1705" customWidth="1"/>
    <col min="1798" max="1798" width="8" style="1705" customWidth="1"/>
    <col min="1799" max="1799" width="9.28515625" style="1705" customWidth="1"/>
    <col min="1800" max="1800" width="8.5703125" style="1705" customWidth="1"/>
    <col min="1801" max="1801" width="9.42578125" style="1705" customWidth="1"/>
    <col min="1802" max="1802" width="8.85546875" style="1705" customWidth="1"/>
    <col min="1803" max="1803" width="10.28515625" style="1705" customWidth="1"/>
    <col min="1804" max="1804" width="4.42578125" style="1705" customWidth="1"/>
    <col min="1805" max="1805" width="7.5703125" style="1705" customWidth="1"/>
    <col min="1806" max="1806" width="7.85546875" style="1705" customWidth="1"/>
    <col min="1807" max="1807" width="8" style="1705" customWidth="1"/>
    <col min="1808" max="1808" width="6.42578125" style="1705" customWidth="1"/>
    <col min="1809" max="1809" width="28.85546875" style="1705" customWidth="1"/>
    <col min="1810" max="1810" width="12.42578125" style="1705" customWidth="1"/>
    <col min="1811" max="1811" width="9.140625" style="1705" customWidth="1"/>
    <col min="1812" max="1812" width="10.85546875" style="1705" customWidth="1"/>
    <col min="1813" max="1813" width="9.140625" style="1705" customWidth="1"/>
    <col min="1814" max="1815" width="0" style="1705" hidden="1" customWidth="1"/>
    <col min="1816" max="1816" width="32.28515625" style="1705" customWidth="1"/>
    <col min="1817" max="2048" width="9.140625" style="1705"/>
    <col min="2049" max="2049" width="4.28515625" style="1705" customWidth="1"/>
    <col min="2050" max="2050" width="27.140625" style="1705" customWidth="1"/>
    <col min="2051" max="2051" width="8.85546875" style="1705" customWidth="1"/>
    <col min="2052" max="2052" width="6.7109375" style="1705" customWidth="1"/>
    <col min="2053" max="2053" width="4.7109375" style="1705" customWidth="1"/>
    <col min="2054" max="2054" width="8" style="1705" customWidth="1"/>
    <col min="2055" max="2055" width="9.28515625" style="1705" customWidth="1"/>
    <col min="2056" max="2056" width="8.5703125" style="1705" customWidth="1"/>
    <col min="2057" max="2057" width="9.42578125" style="1705" customWidth="1"/>
    <col min="2058" max="2058" width="8.85546875" style="1705" customWidth="1"/>
    <col min="2059" max="2059" width="10.28515625" style="1705" customWidth="1"/>
    <col min="2060" max="2060" width="4.42578125" style="1705" customWidth="1"/>
    <col min="2061" max="2061" width="7.5703125" style="1705" customWidth="1"/>
    <col min="2062" max="2062" width="7.85546875" style="1705" customWidth="1"/>
    <col min="2063" max="2063" width="8" style="1705" customWidth="1"/>
    <col min="2064" max="2064" width="6.42578125" style="1705" customWidth="1"/>
    <col min="2065" max="2065" width="28.85546875" style="1705" customWidth="1"/>
    <col min="2066" max="2066" width="12.42578125" style="1705" customWidth="1"/>
    <col min="2067" max="2067" width="9.140625" style="1705" customWidth="1"/>
    <col min="2068" max="2068" width="10.85546875" style="1705" customWidth="1"/>
    <col min="2069" max="2069" width="9.140625" style="1705" customWidth="1"/>
    <col min="2070" max="2071" width="0" style="1705" hidden="1" customWidth="1"/>
    <col min="2072" max="2072" width="32.28515625" style="1705" customWidth="1"/>
    <col min="2073" max="2304" width="9.140625" style="1705"/>
    <col min="2305" max="2305" width="4.28515625" style="1705" customWidth="1"/>
    <col min="2306" max="2306" width="27.140625" style="1705" customWidth="1"/>
    <col min="2307" max="2307" width="8.85546875" style="1705" customWidth="1"/>
    <col min="2308" max="2308" width="6.7109375" style="1705" customWidth="1"/>
    <col min="2309" max="2309" width="4.7109375" style="1705" customWidth="1"/>
    <col min="2310" max="2310" width="8" style="1705" customWidth="1"/>
    <col min="2311" max="2311" width="9.28515625" style="1705" customWidth="1"/>
    <col min="2312" max="2312" width="8.5703125" style="1705" customWidth="1"/>
    <col min="2313" max="2313" width="9.42578125" style="1705" customWidth="1"/>
    <col min="2314" max="2314" width="8.85546875" style="1705" customWidth="1"/>
    <col min="2315" max="2315" width="10.28515625" style="1705" customWidth="1"/>
    <col min="2316" max="2316" width="4.42578125" style="1705" customWidth="1"/>
    <col min="2317" max="2317" width="7.5703125" style="1705" customWidth="1"/>
    <col min="2318" max="2318" width="7.85546875" style="1705" customWidth="1"/>
    <col min="2319" max="2319" width="8" style="1705" customWidth="1"/>
    <col min="2320" max="2320" width="6.42578125" style="1705" customWidth="1"/>
    <col min="2321" max="2321" width="28.85546875" style="1705" customWidth="1"/>
    <col min="2322" max="2322" width="12.42578125" style="1705" customWidth="1"/>
    <col min="2323" max="2323" width="9.140625" style="1705" customWidth="1"/>
    <col min="2324" max="2324" width="10.85546875" style="1705" customWidth="1"/>
    <col min="2325" max="2325" width="9.140625" style="1705" customWidth="1"/>
    <col min="2326" max="2327" width="0" style="1705" hidden="1" customWidth="1"/>
    <col min="2328" max="2328" width="32.28515625" style="1705" customWidth="1"/>
    <col min="2329" max="2560" width="9.140625" style="1705"/>
    <col min="2561" max="2561" width="4.28515625" style="1705" customWidth="1"/>
    <col min="2562" max="2562" width="27.140625" style="1705" customWidth="1"/>
    <col min="2563" max="2563" width="8.85546875" style="1705" customWidth="1"/>
    <col min="2564" max="2564" width="6.7109375" style="1705" customWidth="1"/>
    <col min="2565" max="2565" width="4.7109375" style="1705" customWidth="1"/>
    <col min="2566" max="2566" width="8" style="1705" customWidth="1"/>
    <col min="2567" max="2567" width="9.28515625" style="1705" customWidth="1"/>
    <col min="2568" max="2568" width="8.5703125" style="1705" customWidth="1"/>
    <col min="2569" max="2569" width="9.42578125" style="1705" customWidth="1"/>
    <col min="2570" max="2570" width="8.85546875" style="1705" customWidth="1"/>
    <col min="2571" max="2571" width="10.28515625" style="1705" customWidth="1"/>
    <col min="2572" max="2572" width="4.42578125" style="1705" customWidth="1"/>
    <col min="2573" max="2573" width="7.5703125" style="1705" customWidth="1"/>
    <col min="2574" max="2574" width="7.85546875" style="1705" customWidth="1"/>
    <col min="2575" max="2575" width="8" style="1705" customWidth="1"/>
    <col min="2576" max="2576" width="6.42578125" style="1705" customWidth="1"/>
    <col min="2577" max="2577" width="28.85546875" style="1705" customWidth="1"/>
    <col min="2578" max="2578" width="12.42578125" style="1705" customWidth="1"/>
    <col min="2579" max="2579" width="9.140625" style="1705" customWidth="1"/>
    <col min="2580" max="2580" width="10.85546875" style="1705" customWidth="1"/>
    <col min="2581" max="2581" width="9.140625" style="1705" customWidth="1"/>
    <col min="2582" max="2583" width="0" style="1705" hidden="1" customWidth="1"/>
    <col min="2584" max="2584" width="32.28515625" style="1705" customWidth="1"/>
    <col min="2585" max="2816" width="9.140625" style="1705"/>
    <col min="2817" max="2817" width="4.28515625" style="1705" customWidth="1"/>
    <col min="2818" max="2818" width="27.140625" style="1705" customWidth="1"/>
    <col min="2819" max="2819" width="8.85546875" style="1705" customWidth="1"/>
    <col min="2820" max="2820" width="6.7109375" style="1705" customWidth="1"/>
    <col min="2821" max="2821" width="4.7109375" style="1705" customWidth="1"/>
    <col min="2822" max="2822" width="8" style="1705" customWidth="1"/>
    <col min="2823" max="2823" width="9.28515625" style="1705" customWidth="1"/>
    <col min="2824" max="2824" width="8.5703125" style="1705" customWidth="1"/>
    <col min="2825" max="2825" width="9.42578125" style="1705" customWidth="1"/>
    <col min="2826" max="2826" width="8.85546875" style="1705" customWidth="1"/>
    <col min="2827" max="2827" width="10.28515625" style="1705" customWidth="1"/>
    <col min="2828" max="2828" width="4.42578125" style="1705" customWidth="1"/>
    <col min="2829" max="2829" width="7.5703125" style="1705" customWidth="1"/>
    <col min="2830" max="2830" width="7.85546875" style="1705" customWidth="1"/>
    <col min="2831" max="2831" width="8" style="1705" customWidth="1"/>
    <col min="2832" max="2832" width="6.42578125" style="1705" customWidth="1"/>
    <col min="2833" max="2833" width="28.85546875" style="1705" customWidth="1"/>
    <col min="2834" max="2834" width="12.42578125" style="1705" customWidth="1"/>
    <col min="2835" max="2835" width="9.140625" style="1705" customWidth="1"/>
    <col min="2836" max="2836" width="10.85546875" style="1705" customWidth="1"/>
    <col min="2837" max="2837" width="9.140625" style="1705" customWidth="1"/>
    <col min="2838" max="2839" width="0" style="1705" hidden="1" customWidth="1"/>
    <col min="2840" max="2840" width="32.28515625" style="1705" customWidth="1"/>
    <col min="2841" max="3072" width="9.140625" style="1705"/>
    <col min="3073" max="3073" width="4.28515625" style="1705" customWidth="1"/>
    <col min="3074" max="3074" width="27.140625" style="1705" customWidth="1"/>
    <col min="3075" max="3075" width="8.85546875" style="1705" customWidth="1"/>
    <col min="3076" max="3076" width="6.7109375" style="1705" customWidth="1"/>
    <col min="3077" max="3077" width="4.7109375" style="1705" customWidth="1"/>
    <col min="3078" max="3078" width="8" style="1705" customWidth="1"/>
    <col min="3079" max="3079" width="9.28515625" style="1705" customWidth="1"/>
    <col min="3080" max="3080" width="8.5703125" style="1705" customWidth="1"/>
    <col min="3081" max="3081" width="9.42578125" style="1705" customWidth="1"/>
    <col min="3082" max="3082" width="8.85546875" style="1705" customWidth="1"/>
    <col min="3083" max="3083" width="10.28515625" style="1705" customWidth="1"/>
    <col min="3084" max="3084" width="4.42578125" style="1705" customWidth="1"/>
    <col min="3085" max="3085" width="7.5703125" style="1705" customWidth="1"/>
    <col min="3086" max="3086" width="7.85546875" style="1705" customWidth="1"/>
    <col min="3087" max="3087" width="8" style="1705" customWidth="1"/>
    <col min="3088" max="3088" width="6.42578125" style="1705" customWidth="1"/>
    <col min="3089" max="3089" width="28.85546875" style="1705" customWidth="1"/>
    <col min="3090" max="3090" width="12.42578125" style="1705" customWidth="1"/>
    <col min="3091" max="3091" width="9.140625" style="1705" customWidth="1"/>
    <col min="3092" max="3092" width="10.85546875" style="1705" customWidth="1"/>
    <col min="3093" max="3093" width="9.140625" style="1705" customWidth="1"/>
    <col min="3094" max="3095" width="0" style="1705" hidden="1" customWidth="1"/>
    <col min="3096" max="3096" width="32.28515625" style="1705" customWidth="1"/>
    <col min="3097" max="3328" width="9.140625" style="1705"/>
    <col min="3329" max="3329" width="4.28515625" style="1705" customWidth="1"/>
    <col min="3330" max="3330" width="27.140625" style="1705" customWidth="1"/>
    <col min="3331" max="3331" width="8.85546875" style="1705" customWidth="1"/>
    <col min="3332" max="3332" width="6.7109375" style="1705" customWidth="1"/>
    <col min="3333" max="3333" width="4.7109375" style="1705" customWidth="1"/>
    <col min="3334" max="3334" width="8" style="1705" customWidth="1"/>
    <col min="3335" max="3335" width="9.28515625" style="1705" customWidth="1"/>
    <col min="3336" max="3336" width="8.5703125" style="1705" customWidth="1"/>
    <col min="3337" max="3337" width="9.42578125" style="1705" customWidth="1"/>
    <col min="3338" max="3338" width="8.85546875" style="1705" customWidth="1"/>
    <col min="3339" max="3339" width="10.28515625" style="1705" customWidth="1"/>
    <col min="3340" max="3340" width="4.42578125" style="1705" customWidth="1"/>
    <col min="3341" max="3341" width="7.5703125" style="1705" customWidth="1"/>
    <col min="3342" max="3342" width="7.85546875" style="1705" customWidth="1"/>
    <col min="3343" max="3343" width="8" style="1705" customWidth="1"/>
    <col min="3344" max="3344" width="6.42578125" style="1705" customWidth="1"/>
    <col min="3345" max="3345" width="28.85546875" style="1705" customWidth="1"/>
    <col min="3346" max="3346" width="12.42578125" style="1705" customWidth="1"/>
    <col min="3347" max="3347" width="9.140625" style="1705" customWidth="1"/>
    <col min="3348" max="3348" width="10.85546875" style="1705" customWidth="1"/>
    <col min="3349" max="3349" width="9.140625" style="1705" customWidth="1"/>
    <col min="3350" max="3351" width="0" style="1705" hidden="1" customWidth="1"/>
    <col min="3352" max="3352" width="32.28515625" style="1705" customWidth="1"/>
    <col min="3353" max="3584" width="9.140625" style="1705"/>
    <col min="3585" max="3585" width="4.28515625" style="1705" customWidth="1"/>
    <col min="3586" max="3586" width="27.140625" style="1705" customWidth="1"/>
    <col min="3587" max="3587" width="8.85546875" style="1705" customWidth="1"/>
    <col min="3588" max="3588" width="6.7109375" style="1705" customWidth="1"/>
    <col min="3589" max="3589" width="4.7109375" style="1705" customWidth="1"/>
    <col min="3590" max="3590" width="8" style="1705" customWidth="1"/>
    <col min="3591" max="3591" width="9.28515625" style="1705" customWidth="1"/>
    <col min="3592" max="3592" width="8.5703125" style="1705" customWidth="1"/>
    <col min="3593" max="3593" width="9.42578125" style="1705" customWidth="1"/>
    <col min="3594" max="3594" width="8.85546875" style="1705" customWidth="1"/>
    <col min="3595" max="3595" width="10.28515625" style="1705" customWidth="1"/>
    <col min="3596" max="3596" width="4.42578125" style="1705" customWidth="1"/>
    <col min="3597" max="3597" width="7.5703125" style="1705" customWidth="1"/>
    <col min="3598" max="3598" width="7.85546875" style="1705" customWidth="1"/>
    <col min="3599" max="3599" width="8" style="1705" customWidth="1"/>
    <col min="3600" max="3600" width="6.42578125" style="1705" customWidth="1"/>
    <col min="3601" max="3601" width="28.85546875" style="1705" customWidth="1"/>
    <col min="3602" max="3602" width="12.42578125" style="1705" customWidth="1"/>
    <col min="3603" max="3603" width="9.140625" style="1705" customWidth="1"/>
    <col min="3604" max="3604" width="10.85546875" style="1705" customWidth="1"/>
    <col min="3605" max="3605" width="9.140625" style="1705" customWidth="1"/>
    <col min="3606" max="3607" width="0" style="1705" hidden="1" customWidth="1"/>
    <col min="3608" max="3608" width="32.28515625" style="1705" customWidth="1"/>
    <col min="3609" max="3840" width="9.140625" style="1705"/>
    <col min="3841" max="3841" width="4.28515625" style="1705" customWidth="1"/>
    <col min="3842" max="3842" width="27.140625" style="1705" customWidth="1"/>
    <col min="3843" max="3843" width="8.85546875" style="1705" customWidth="1"/>
    <col min="3844" max="3844" width="6.7109375" style="1705" customWidth="1"/>
    <col min="3845" max="3845" width="4.7109375" style="1705" customWidth="1"/>
    <col min="3846" max="3846" width="8" style="1705" customWidth="1"/>
    <col min="3847" max="3847" width="9.28515625" style="1705" customWidth="1"/>
    <col min="3848" max="3848" width="8.5703125" style="1705" customWidth="1"/>
    <col min="3849" max="3849" width="9.42578125" style="1705" customWidth="1"/>
    <col min="3850" max="3850" width="8.85546875" style="1705" customWidth="1"/>
    <col min="3851" max="3851" width="10.28515625" style="1705" customWidth="1"/>
    <col min="3852" max="3852" width="4.42578125" style="1705" customWidth="1"/>
    <col min="3853" max="3853" width="7.5703125" style="1705" customWidth="1"/>
    <col min="3854" max="3854" width="7.85546875" style="1705" customWidth="1"/>
    <col min="3855" max="3855" width="8" style="1705" customWidth="1"/>
    <col min="3856" max="3856" width="6.42578125" style="1705" customWidth="1"/>
    <col min="3857" max="3857" width="28.85546875" style="1705" customWidth="1"/>
    <col min="3858" max="3858" width="12.42578125" style="1705" customWidth="1"/>
    <col min="3859" max="3859" width="9.140625" style="1705" customWidth="1"/>
    <col min="3860" max="3860" width="10.85546875" style="1705" customWidth="1"/>
    <col min="3861" max="3861" width="9.140625" style="1705" customWidth="1"/>
    <col min="3862" max="3863" width="0" style="1705" hidden="1" customWidth="1"/>
    <col min="3864" max="3864" width="32.28515625" style="1705" customWidth="1"/>
    <col min="3865" max="4096" width="9.140625" style="1705"/>
    <col min="4097" max="4097" width="4.28515625" style="1705" customWidth="1"/>
    <col min="4098" max="4098" width="27.140625" style="1705" customWidth="1"/>
    <col min="4099" max="4099" width="8.85546875" style="1705" customWidth="1"/>
    <col min="4100" max="4100" width="6.7109375" style="1705" customWidth="1"/>
    <col min="4101" max="4101" width="4.7109375" style="1705" customWidth="1"/>
    <col min="4102" max="4102" width="8" style="1705" customWidth="1"/>
    <col min="4103" max="4103" width="9.28515625" style="1705" customWidth="1"/>
    <col min="4104" max="4104" width="8.5703125" style="1705" customWidth="1"/>
    <col min="4105" max="4105" width="9.42578125" style="1705" customWidth="1"/>
    <col min="4106" max="4106" width="8.85546875" style="1705" customWidth="1"/>
    <col min="4107" max="4107" width="10.28515625" style="1705" customWidth="1"/>
    <col min="4108" max="4108" width="4.42578125" style="1705" customWidth="1"/>
    <col min="4109" max="4109" width="7.5703125" style="1705" customWidth="1"/>
    <col min="4110" max="4110" width="7.85546875" style="1705" customWidth="1"/>
    <col min="4111" max="4111" width="8" style="1705" customWidth="1"/>
    <col min="4112" max="4112" width="6.42578125" style="1705" customWidth="1"/>
    <col min="4113" max="4113" width="28.85546875" style="1705" customWidth="1"/>
    <col min="4114" max="4114" width="12.42578125" style="1705" customWidth="1"/>
    <col min="4115" max="4115" width="9.140625" style="1705" customWidth="1"/>
    <col min="4116" max="4116" width="10.85546875" style="1705" customWidth="1"/>
    <col min="4117" max="4117" width="9.140625" style="1705" customWidth="1"/>
    <col min="4118" max="4119" width="0" style="1705" hidden="1" customWidth="1"/>
    <col min="4120" max="4120" width="32.28515625" style="1705" customWidth="1"/>
    <col min="4121" max="4352" width="9.140625" style="1705"/>
    <col min="4353" max="4353" width="4.28515625" style="1705" customWidth="1"/>
    <col min="4354" max="4354" width="27.140625" style="1705" customWidth="1"/>
    <col min="4355" max="4355" width="8.85546875" style="1705" customWidth="1"/>
    <col min="4356" max="4356" width="6.7109375" style="1705" customWidth="1"/>
    <col min="4357" max="4357" width="4.7109375" style="1705" customWidth="1"/>
    <col min="4358" max="4358" width="8" style="1705" customWidth="1"/>
    <col min="4359" max="4359" width="9.28515625" style="1705" customWidth="1"/>
    <col min="4360" max="4360" width="8.5703125" style="1705" customWidth="1"/>
    <col min="4361" max="4361" width="9.42578125" style="1705" customWidth="1"/>
    <col min="4362" max="4362" width="8.85546875" style="1705" customWidth="1"/>
    <col min="4363" max="4363" width="10.28515625" style="1705" customWidth="1"/>
    <col min="4364" max="4364" width="4.42578125" style="1705" customWidth="1"/>
    <col min="4365" max="4365" width="7.5703125" style="1705" customWidth="1"/>
    <col min="4366" max="4366" width="7.85546875" style="1705" customWidth="1"/>
    <col min="4367" max="4367" width="8" style="1705" customWidth="1"/>
    <col min="4368" max="4368" width="6.42578125" style="1705" customWidth="1"/>
    <col min="4369" max="4369" width="28.85546875" style="1705" customWidth="1"/>
    <col min="4370" max="4370" width="12.42578125" style="1705" customWidth="1"/>
    <col min="4371" max="4371" width="9.140625" style="1705" customWidth="1"/>
    <col min="4372" max="4372" width="10.85546875" style="1705" customWidth="1"/>
    <col min="4373" max="4373" width="9.140625" style="1705" customWidth="1"/>
    <col min="4374" max="4375" width="0" style="1705" hidden="1" customWidth="1"/>
    <col min="4376" max="4376" width="32.28515625" style="1705" customWidth="1"/>
    <col min="4377" max="4608" width="9.140625" style="1705"/>
    <col min="4609" max="4609" width="4.28515625" style="1705" customWidth="1"/>
    <col min="4610" max="4610" width="27.140625" style="1705" customWidth="1"/>
    <col min="4611" max="4611" width="8.85546875" style="1705" customWidth="1"/>
    <col min="4612" max="4612" width="6.7109375" style="1705" customWidth="1"/>
    <col min="4613" max="4613" width="4.7109375" style="1705" customWidth="1"/>
    <col min="4614" max="4614" width="8" style="1705" customWidth="1"/>
    <col min="4615" max="4615" width="9.28515625" style="1705" customWidth="1"/>
    <col min="4616" max="4616" width="8.5703125" style="1705" customWidth="1"/>
    <col min="4617" max="4617" width="9.42578125" style="1705" customWidth="1"/>
    <col min="4618" max="4618" width="8.85546875" style="1705" customWidth="1"/>
    <col min="4619" max="4619" width="10.28515625" style="1705" customWidth="1"/>
    <col min="4620" max="4620" width="4.42578125" style="1705" customWidth="1"/>
    <col min="4621" max="4621" width="7.5703125" style="1705" customWidth="1"/>
    <col min="4622" max="4622" width="7.85546875" style="1705" customWidth="1"/>
    <col min="4623" max="4623" width="8" style="1705" customWidth="1"/>
    <col min="4624" max="4624" width="6.42578125" style="1705" customWidth="1"/>
    <col min="4625" max="4625" width="28.85546875" style="1705" customWidth="1"/>
    <col min="4626" max="4626" width="12.42578125" style="1705" customWidth="1"/>
    <col min="4627" max="4627" width="9.140625" style="1705" customWidth="1"/>
    <col min="4628" max="4628" width="10.85546875" style="1705" customWidth="1"/>
    <col min="4629" max="4629" width="9.140625" style="1705" customWidth="1"/>
    <col min="4630" max="4631" width="0" style="1705" hidden="1" customWidth="1"/>
    <col min="4632" max="4632" width="32.28515625" style="1705" customWidth="1"/>
    <col min="4633" max="4864" width="9.140625" style="1705"/>
    <col min="4865" max="4865" width="4.28515625" style="1705" customWidth="1"/>
    <col min="4866" max="4866" width="27.140625" style="1705" customWidth="1"/>
    <col min="4867" max="4867" width="8.85546875" style="1705" customWidth="1"/>
    <col min="4868" max="4868" width="6.7109375" style="1705" customWidth="1"/>
    <col min="4869" max="4869" width="4.7109375" style="1705" customWidth="1"/>
    <col min="4870" max="4870" width="8" style="1705" customWidth="1"/>
    <col min="4871" max="4871" width="9.28515625" style="1705" customWidth="1"/>
    <col min="4872" max="4872" width="8.5703125" style="1705" customWidth="1"/>
    <col min="4873" max="4873" width="9.42578125" style="1705" customWidth="1"/>
    <col min="4874" max="4874" width="8.85546875" style="1705" customWidth="1"/>
    <col min="4875" max="4875" width="10.28515625" style="1705" customWidth="1"/>
    <col min="4876" max="4876" width="4.42578125" style="1705" customWidth="1"/>
    <col min="4877" max="4877" width="7.5703125" style="1705" customWidth="1"/>
    <col min="4878" max="4878" width="7.85546875" style="1705" customWidth="1"/>
    <col min="4879" max="4879" width="8" style="1705" customWidth="1"/>
    <col min="4880" max="4880" width="6.42578125" style="1705" customWidth="1"/>
    <col min="4881" max="4881" width="28.85546875" style="1705" customWidth="1"/>
    <col min="4882" max="4882" width="12.42578125" style="1705" customWidth="1"/>
    <col min="4883" max="4883" width="9.140625" style="1705" customWidth="1"/>
    <col min="4884" max="4884" width="10.85546875" style="1705" customWidth="1"/>
    <col min="4885" max="4885" width="9.140625" style="1705" customWidth="1"/>
    <col min="4886" max="4887" width="0" style="1705" hidden="1" customWidth="1"/>
    <col min="4888" max="4888" width="32.28515625" style="1705" customWidth="1"/>
    <col min="4889" max="5120" width="9.140625" style="1705"/>
    <col min="5121" max="5121" width="4.28515625" style="1705" customWidth="1"/>
    <col min="5122" max="5122" width="27.140625" style="1705" customWidth="1"/>
    <col min="5123" max="5123" width="8.85546875" style="1705" customWidth="1"/>
    <col min="5124" max="5124" width="6.7109375" style="1705" customWidth="1"/>
    <col min="5125" max="5125" width="4.7109375" style="1705" customWidth="1"/>
    <col min="5126" max="5126" width="8" style="1705" customWidth="1"/>
    <col min="5127" max="5127" width="9.28515625" style="1705" customWidth="1"/>
    <col min="5128" max="5128" width="8.5703125" style="1705" customWidth="1"/>
    <col min="5129" max="5129" width="9.42578125" style="1705" customWidth="1"/>
    <col min="5130" max="5130" width="8.85546875" style="1705" customWidth="1"/>
    <col min="5131" max="5131" width="10.28515625" style="1705" customWidth="1"/>
    <col min="5132" max="5132" width="4.42578125" style="1705" customWidth="1"/>
    <col min="5133" max="5133" width="7.5703125" style="1705" customWidth="1"/>
    <col min="5134" max="5134" width="7.85546875" style="1705" customWidth="1"/>
    <col min="5135" max="5135" width="8" style="1705" customWidth="1"/>
    <col min="5136" max="5136" width="6.42578125" style="1705" customWidth="1"/>
    <col min="5137" max="5137" width="28.85546875" style="1705" customWidth="1"/>
    <col min="5138" max="5138" width="12.42578125" style="1705" customWidth="1"/>
    <col min="5139" max="5139" width="9.140625" style="1705" customWidth="1"/>
    <col min="5140" max="5140" width="10.85546875" style="1705" customWidth="1"/>
    <col min="5141" max="5141" width="9.140625" style="1705" customWidth="1"/>
    <col min="5142" max="5143" width="0" style="1705" hidden="1" customWidth="1"/>
    <col min="5144" max="5144" width="32.28515625" style="1705" customWidth="1"/>
    <col min="5145" max="5376" width="9.140625" style="1705"/>
    <col min="5377" max="5377" width="4.28515625" style="1705" customWidth="1"/>
    <col min="5378" max="5378" width="27.140625" style="1705" customWidth="1"/>
    <col min="5379" max="5379" width="8.85546875" style="1705" customWidth="1"/>
    <col min="5380" max="5380" width="6.7109375" style="1705" customWidth="1"/>
    <col min="5381" max="5381" width="4.7109375" style="1705" customWidth="1"/>
    <col min="5382" max="5382" width="8" style="1705" customWidth="1"/>
    <col min="5383" max="5383" width="9.28515625" style="1705" customWidth="1"/>
    <col min="5384" max="5384" width="8.5703125" style="1705" customWidth="1"/>
    <col min="5385" max="5385" width="9.42578125" style="1705" customWidth="1"/>
    <col min="5386" max="5386" width="8.85546875" style="1705" customWidth="1"/>
    <col min="5387" max="5387" width="10.28515625" style="1705" customWidth="1"/>
    <col min="5388" max="5388" width="4.42578125" style="1705" customWidth="1"/>
    <col min="5389" max="5389" width="7.5703125" style="1705" customWidth="1"/>
    <col min="5390" max="5390" width="7.85546875" style="1705" customWidth="1"/>
    <col min="5391" max="5391" width="8" style="1705" customWidth="1"/>
    <col min="5392" max="5392" width="6.42578125" style="1705" customWidth="1"/>
    <col min="5393" max="5393" width="28.85546875" style="1705" customWidth="1"/>
    <col min="5394" max="5394" width="12.42578125" style="1705" customWidth="1"/>
    <col min="5395" max="5395" width="9.140625" style="1705" customWidth="1"/>
    <col min="5396" max="5396" width="10.85546875" style="1705" customWidth="1"/>
    <col min="5397" max="5397" width="9.140625" style="1705" customWidth="1"/>
    <col min="5398" max="5399" width="0" style="1705" hidden="1" customWidth="1"/>
    <col min="5400" max="5400" width="32.28515625" style="1705" customWidth="1"/>
    <col min="5401" max="5632" width="9.140625" style="1705"/>
    <col min="5633" max="5633" width="4.28515625" style="1705" customWidth="1"/>
    <col min="5634" max="5634" width="27.140625" style="1705" customWidth="1"/>
    <col min="5635" max="5635" width="8.85546875" style="1705" customWidth="1"/>
    <col min="5636" max="5636" width="6.7109375" style="1705" customWidth="1"/>
    <col min="5637" max="5637" width="4.7109375" style="1705" customWidth="1"/>
    <col min="5638" max="5638" width="8" style="1705" customWidth="1"/>
    <col min="5639" max="5639" width="9.28515625" style="1705" customWidth="1"/>
    <col min="5640" max="5640" width="8.5703125" style="1705" customWidth="1"/>
    <col min="5641" max="5641" width="9.42578125" style="1705" customWidth="1"/>
    <col min="5642" max="5642" width="8.85546875" style="1705" customWidth="1"/>
    <col min="5643" max="5643" width="10.28515625" style="1705" customWidth="1"/>
    <col min="5644" max="5644" width="4.42578125" style="1705" customWidth="1"/>
    <col min="5645" max="5645" width="7.5703125" style="1705" customWidth="1"/>
    <col min="5646" max="5646" width="7.85546875" style="1705" customWidth="1"/>
    <col min="5647" max="5647" width="8" style="1705" customWidth="1"/>
    <col min="5648" max="5648" width="6.42578125" style="1705" customWidth="1"/>
    <col min="5649" max="5649" width="28.85546875" style="1705" customWidth="1"/>
    <col min="5650" max="5650" width="12.42578125" style="1705" customWidth="1"/>
    <col min="5651" max="5651" width="9.140625" style="1705" customWidth="1"/>
    <col min="5652" max="5652" width="10.85546875" style="1705" customWidth="1"/>
    <col min="5653" max="5653" width="9.140625" style="1705" customWidth="1"/>
    <col min="5654" max="5655" width="0" style="1705" hidden="1" customWidth="1"/>
    <col min="5656" max="5656" width="32.28515625" style="1705" customWidth="1"/>
    <col min="5657" max="5888" width="9.140625" style="1705"/>
    <col min="5889" max="5889" width="4.28515625" style="1705" customWidth="1"/>
    <col min="5890" max="5890" width="27.140625" style="1705" customWidth="1"/>
    <col min="5891" max="5891" width="8.85546875" style="1705" customWidth="1"/>
    <col min="5892" max="5892" width="6.7109375" style="1705" customWidth="1"/>
    <col min="5893" max="5893" width="4.7109375" style="1705" customWidth="1"/>
    <col min="5894" max="5894" width="8" style="1705" customWidth="1"/>
    <col min="5895" max="5895" width="9.28515625" style="1705" customWidth="1"/>
    <col min="5896" max="5896" width="8.5703125" style="1705" customWidth="1"/>
    <col min="5897" max="5897" width="9.42578125" style="1705" customWidth="1"/>
    <col min="5898" max="5898" width="8.85546875" style="1705" customWidth="1"/>
    <col min="5899" max="5899" width="10.28515625" style="1705" customWidth="1"/>
    <col min="5900" max="5900" width="4.42578125" style="1705" customWidth="1"/>
    <col min="5901" max="5901" width="7.5703125" style="1705" customWidth="1"/>
    <col min="5902" max="5902" width="7.85546875" style="1705" customWidth="1"/>
    <col min="5903" max="5903" width="8" style="1705" customWidth="1"/>
    <col min="5904" max="5904" width="6.42578125" style="1705" customWidth="1"/>
    <col min="5905" max="5905" width="28.85546875" style="1705" customWidth="1"/>
    <col min="5906" max="5906" width="12.42578125" style="1705" customWidth="1"/>
    <col min="5907" max="5907" width="9.140625" style="1705" customWidth="1"/>
    <col min="5908" max="5908" width="10.85546875" style="1705" customWidth="1"/>
    <col min="5909" max="5909" width="9.140625" style="1705" customWidth="1"/>
    <col min="5910" max="5911" width="0" style="1705" hidden="1" customWidth="1"/>
    <col min="5912" max="5912" width="32.28515625" style="1705" customWidth="1"/>
    <col min="5913" max="6144" width="9.140625" style="1705"/>
    <col min="6145" max="6145" width="4.28515625" style="1705" customWidth="1"/>
    <col min="6146" max="6146" width="27.140625" style="1705" customWidth="1"/>
    <col min="6147" max="6147" width="8.85546875" style="1705" customWidth="1"/>
    <col min="6148" max="6148" width="6.7109375" style="1705" customWidth="1"/>
    <col min="6149" max="6149" width="4.7109375" style="1705" customWidth="1"/>
    <col min="6150" max="6150" width="8" style="1705" customWidth="1"/>
    <col min="6151" max="6151" width="9.28515625" style="1705" customWidth="1"/>
    <col min="6152" max="6152" width="8.5703125" style="1705" customWidth="1"/>
    <col min="6153" max="6153" width="9.42578125" style="1705" customWidth="1"/>
    <col min="6154" max="6154" width="8.85546875" style="1705" customWidth="1"/>
    <col min="6155" max="6155" width="10.28515625" style="1705" customWidth="1"/>
    <col min="6156" max="6156" width="4.42578125" style="1705" customWidth="1"/>
    <col min="6157" max="6157" width="7.5703125" style="1705" customWidth="1"/>
    <col min="6158" max="6158" width="7.85546875" style="1705" customWidth="1"/>
    <col min="6159" max="6159" width="8" style="1705" customWidth="1"/>
    <col min="6160" max="6160" width="6.42578125" style="1705" customWidth="1"/>
    <col min="6161" max="6161" width="28.85546875" style="1705" customWidth="1"/>
    <col min="6162" max="6162" width="12.42578125" style="1705" customWidth="1"/>
    <col min="6163" max="6163" width="9.140625" style="1705" customWidth="1"/>
    <col min="6164" max="6164" width="10.85546875" style="1705" customWidth="1"/>
    <col min="6165" max="6165" width="9.140625" style="1705" customWidth="1"/>
    <col min="6166" max="6167" width="0" style="1705" hidden="1" customWidth="1"/>
    <col min="6168" max="6168" width="32.28515625" style="1705" customWidth="1"/>
    <col min="6169" max="6400" width="9.140625" style="1705"/>
    <col min="6401" max="6401" width="4.28515625" style="1705" customWidth="1"/>
    <col min="6402" max="6402" width="27.140625" style="1705" customWidth="1"/>
    <col min="6403" max="6403" width="8.85546875" style="1705" customWidth="1"/>
    <col min="6404" max="6404" width="6.7109375" style="1705" customWidth="1"/>
    <col min="6405" max="6405" width="4.7109375" style="1705" customWidth="1"/>
    <col min="6406" max="6406" width="8" style="1705" customWidth="1"/>
    <col min="6407" max="6407" width="9.28515625" style="1705" customWidth="1"/>
    <col min="6408" max="6408" width="8.5703125" style="1705" customWidth="1"/>
    <col min="6409" max="6409" width="9.42578125" style="1705" customWidth="1"/>
    <col min="6410" max="6410" width="8.85546875" style="1705" customWidth="1"/>
    <col min="6411" max="6411" width="10.28515625" style="1705" customWidth="1"/>
    <col min="6412" max="6412" width="4.42578125" style="1705" customWidth="1"/>
    <col min="6413" max="6413" width="7.5703125" style="1705" customWidth="1"/>
    <col min="6414" max="6414" width="7.85546875" style="1705" customWidth="1"/>
    <col min="6415" max="6415" width="8" style="1705" customWidth="1"/>
    <col min="6416" max="6416" width="6.42578125" style="1705" customWidth="1"/>
    <col min="6417" max="6417" width="28.85546875" style="1705" customWidth="1"/>
    <col min="6418" max="6418" width="12.42578125" style="1705" customWidth="1"/>
    <col min="6419" max="6419" width="9.140625" style="1705" customWidth="1"/>
    <col min="6420" max="6420" width="10.85546875" style="1705" customWidth="1"/>
    <col min="6421" max="6421" width="9.140625" style="1705" customWidth="1"/>
    <col min="6422" max="6423" width="0" style="1705" hidden="1" customWidth="1"/>
    <col min="6424" max="6424" width="32.28515625" style="1705" customWidth="1"/>
    <col min="6425" max="6656" width="9.140625" style="1705"/>
    <col min="6657" max="6657" width="4.28515625" style="1705" customWidth="1"/>
    <col min="6658" max="6658" width="27.140625" style="1705" customWidth="1"/>
    <col min="6659" max="6659" width="8.85546875" style="1705" customWidth="1"/>
    <col min="6660" max="6660" width="6.7109375" style="1705" customWidth="1"/>
    <col min="6661" max="6661" width="4.7109375" style="1705" customWidth="1"/>
    <col min="6662" max="6662" width="8" style="1705" customWidth="1"/>
    <col min="6663" max="6663" width="9.28515625" style="1705" customWidth="1"/>
    <col min="6664" max="6664" width="8.5703125" style="1705" customWidth="1"/>
    <col min="6665" max="6665" width="9.42578125" style="1705" customWidth="1"/>
    <col min="6666" max="6666" width="8.85546875" style="1705" customWidth="1"/>
    <col min="6667" max="6667" width="10.28515625" style="1705" customWidth="1"/>
    <col min="6668" max="6668" width="4.42578125" style="1705" customWidth="1"/>
    <col min="6669" max="6669" width="7.5703125" style="1705" customWidth="1"/>
    <col min="6670" max="6670" width="7.85546875" style="1705" customWidth="1"/>
    <col min="6671" max="6671" width="8" style="1705" customWidth="1"/>
    <col min="6672" max="6672" width="6.42578125" style="1705" customWidth="1"/>
    <col min="6673" max="6673" width="28.85546875" style="1705" customWidth="1"/>
    <col min="6674" max="6674" width="12.42578125" style="1705" customWidth="1"/>
    <col min="6675" max="6675" width="9.140625" style="1705" customWidth="1"/>
    <col min="6676" max="6676" width="10.85546875" style="1705" customWidth="1"/>
    <col min="6677" max="6677" width="9.140625" style="1705" customWidth="1"/>
    <col min="6678" max="6679" width="0" style="1705" hidden="1" customWidth="1"/>
    <col min="6680" max="6680" width="32.28515625" style="1705" customWidth="1"/>
    <col min="6681" max="6912" width="9.140625" style="1705"/>
    <col min="6913" max="6913" width="4.28515625" style="1705" customWidth="1"/>
    <col min="6914" max="6914" width="27.140625" style="1705" customWidth="1"/>
    <col min="6915" max="6915" width="8.85546875" style="1705" customWidth="1"/>
    <col min="6916" max="6916" width="6.7109375" style="1705" customWidth="1"/>
    <col min="6917" max="6917" width="4.7109375" style="1705" customWidth="1"/>
    <col min="6918" max="6918" width="8" style="1705" customWidth="1"/>
    <col min="6919" max="6919" width="9.28515625" style="1705" customWidth="1"/>
    <col min="6920" max="6920" width="8.5703125" style="1705" customWidth="1"/>
    <col min="6921" max="6921" width="9.42578125" style="1705" customWidth="1"/>
    <col min="6922" max="6922" width="8.85546875" style="1705" customWidth="1"/>
    <col min="6923" max="6923" width="10.28515625" style="1705" customWidth="1"/>
    <col min="6924" max="6924" width="4.42578125" style="1705" customWidth="1"/>
    <col min="6925" max="6925" width="7.5703125" style="1705" customWidth="1"/>
    <col min="6926" max="6926" width="7.85546875" style="1705" customWidth="1"/>
    <col min="6927" max="6927" width="8" style="1705" customWidth="1"/>
    <col min="6928" max="6928" width="6.42578125" style="1705" customWidth="1"/>
    <col min="6929" max="6929" width="28.85546875" style="1705" customWidth="1"/>
    <col min="6930" max="6930" width="12.42578125" style="1705" customWidth="1"/>
    <col min="6931" max="6931" width="9.140625" style="1705" customWidth="1"/>
    <col min="6932" max="6932" width="10.85546875" style="1705" customWidth="1"/>
    <col min="6933" max="6933" width="9.140625" style="1705" customWidth="1"/>
    <col min="6934" max="6935" width="0" style="1705" hidden="1" customWidth="1"/>
    <col min="6936" max="6936" width="32.28515625" style="1705" customWidth="1"/>
    <col min="6937" max="7168" width="9.140625" style="1705"/>
    <col min="7169" max="7169" width="4.28515625" style="1705" customWidth="1"/>
    <col min="7170" max="7170" width="27.140625" style="1705" customWidth="1"/>
    <col min="7171" max="7171" width="8.85546875" style="1705" customWidth="1"/>
    <col min="7172" max="7172" width="6.7109375" style="1705" customWidth="1"/>
    <col min="7173" max="7173" width="4.7109375" style="1705" customWidth="1"/>
    <col min="7174" max="7174" width="8" style="1705" customWidth="1"/>
    <col min="7175" max="7175" width="9.28515625" style="1705" customWidth="1"/>
    <col min="7176" max="7176" width="8.5703125" style="1705" customWidth="1"/>
    <col min="7177" max="7177" width="9.42578125" style="1705" customWidth="1"/>
    <col min="7178" max="7178" width="8.85546875" style="1705" customWidth="1"/>
    <col min="7179" max="7179" width="10.28515625" style="1705" customWidth="1"/>
    <col min="7180" max="7180" width="4.42578125" style="1705" customWidth="1"/>
    <col min="7181" max="7181" width="7.5703125" style="1705" customWidth="1"/>
    <col min="7182" max="7182" width="7.85546875" style="1705" customWidth="1"/>
    <col min="7183" max="7183" width="8" style="1705" customWidth="1"/>
    <col min="7184" max="7184" width="6.42578125" style="1705" customWidth="1"/>
    <col min="7185" max="7185" width="28.85546875" style="1705" customWidth="1"/>
    <col min="7186" max="7186" width="12.42578125" style="1705" customWidth="1"/>
    <col min="7187" max="7187" width="9.140625" style="1705" customWidth="1"/>
    <col min="7188" max="7188" width="10.85546875" style="1705" customWidth="1"/>
    <col min="7189" max="7189" width="9.140625" style="1705" customWidth="1"/>
    <col min="7190" max="7191" width="0" style="1705" hidden="1" customWidth="1"/>
    <col min="7192" max="7192" width="32.28515625" style="1705" customWidth="1"/>
    <col min="7193" max="7424" width="9.140625" style="1705"/>
    <col min="7425" max="7425" width="4.28515625" style="1705" customWidth="1"/>
    <col min="7426" max="7426" width="27.140625" style="1705" customWidth="1"/>
    <col min="7427" max="7427" width="8.85546875" style="1705" customWidth="1"/>
    <col min="7428" max="7428" width="6.7109375" style="1705" customWidth="1"/>
    <col min="7429" max="7429" width="4.7109375" style="1705" customWidth="1"/>
    <col min="7430" max="7430" width="8" style="1705" customWidth="1"/>
    <col min="7431" max="7431" width="9.28515625" style="1705" customWidth="1"/>
    <col min="7432" max="7432" width="8.5703125" style="1705" customWidth="1"/>
    <col min="7433" max="7433" width="9.42578125" style="1705" customWidth="1"/>
    <col min="7434" max="7434" width="8.85546875" style="1705" customWidth="1"/>
    <col min="7435" max="7435" width="10.28515625" style="1705" customWidth="1"/>
    <col min="7436" max="7436" width="4.42578125" style="1705" customWidth="1"/>
    <col min="7437" max="7437" width="7.5703125" style="1705" customWidth="1"/>
    <col min="7438" max="7438" width="7.85546875" style="1705" customWidth="1"/>
    <col min="7439" max="7439" width="8" style="1705" customWidth="1"/>
    <col min="7440" max="7440" width="6.42578125" style="1705" customWidth="1"/>
    <col min="7441" max="7441" width="28.85546875" style="1705" customWidth="1"/>
    <col min="7442" max="7442" width="12.42578125" style="1705" customWidth="1"/>
    <col min="7443" max="7443" width="9.140625" style="1705" customWidth="1"/>
    <col min="7444" max="7444" width="10.85546875" style="1705" customWidth="1"/>
    <col min="7445" max="7445" width="9.140625" style="1705" customWidth="1"/>
    <col min="7446" max="7447" width="0" style="1705" hidden="1" customWidth="1"/>
    <col min="7448" max="7448" width="32.28515625" style="1705" customWidth="1"/>
    <col min="7449" max="7680" width="9.140625" style="1705"/>
    <col min="7681" max="7681" width="4.28515625" style="1705" customWidth="1"/>
    <col min="7682" max="7682" width="27.140625" style="1705" customWidth="1"/>
    <col min="7683" max="7683" width="8.85546875" style="1705" customWidth="1"/>
    <col min="7684" max="7684" width="6.7109375" style="1705" customWidth="1"/>
    <col min="7685" max="7685" width="4.7109375" style="1705" customWidth="1"/>
    <col min="7686" max="7686" width="8" style="1705" customWidth="1"/>
    <col min="7687" max="7687" width="9.28515625" style="1705" customWidth="1"/>
    <col min="7688" max="7688" width="8.5703125" style="1705" customWidth="1"/>
    <col min="7689" max="7689" width="9.42578125" style="1705" customWidth="1"/>
    <col min="7690" max="7690" width="8.85546875" style="1705" customWidth="1"/>
    <col min="7691" max="7691" width="10.28515625" style="1705" customWidth="1"/>
    <col min="7692" max="7692" width="4.42578125" style="1705" customWidth="1"/>
    <col min="7693" max="7693" width="7.5703125" style="1705" customWidth="1"/>
    <col min="7694" max="7694" width="7.85546875" style="1705" customWidth="1"/>
    <col min="7695" max="7695" width="8" style="1705" customWidth="1"/>
    <col min="7696" max="7696" width="6.42578125" style="1705" customWidth="1"/>
    <col min="7697" max="7697" width="28.85546875" style="1705" customWidth="1"/>
    <col min="7698" max="7698" width="12.42578125" style="1705" customWidth="1"/>
    <col min="7699" max="7699" width="9.140625" style="1705" customWidth="1"/>
    <col min="7700" max="7700" width="10.85546875" style="1705" customWidth="1"/>
    <col min="7701" max="7701" width="9.140625" style="1705" customWidth="1"/>
    <col min="7702" max="7703" width="0" style="1705" hidden="1" customWidth="1"/>
    <col min="7704" max="7704" width="32.28515625" style="1705" customWidth="1"/>
    <col min="7705" max="7936" width="9.140625" style="1705"/>
    <col min="7937" max="7937" width="4.28515625" style="1705" customWidth="1"/>
    <col min="7938" max="7938" width="27.140625" style="1705" customWidth="1"/>
    <col min="7939" max="7939" width="8.85546875" style="1705" customWidth="1"/>
    <col min="7940" max="7940" width="6.7109375" style="1705" customWidth="1"/>
    <col min="7941" max="7941" width="4.7109375" style="1705" customWidth="1"/>
    <col min="7942" max="7942" width="8" style="1705" customWidth="1"/>
    <col min="7943" max="7943" width="9.28515625" style="1705" customWidth="1"/>
    <col min="7944" max="7944" width="8.5703125" style="1705" customWidth="1"/>
    <col min="7945" max="7945" width="9.42578125" style="1705" customWidth="1"/>
    <col min="7946" max="7946" width="8.85546875" style="1705" customWidth="1"/>
    <col min="7947" max="7947" width="10.28515625" style="1705" customWidth="1"/>
    <col min="7948" max="7948" width="4.42578125" style="1705" customWidth="1"/>
    <col min="7949" max="7949" width="7.5703125" style="1705" customWidth="1"/>
    <col min="7950" max="7950" width="7.85546875" style="1705" customWidth="1"/>
    <col min="7951" max="7951" width="8" style="1705" customWidth="1"/>
    <col min="7952" max="7952" width="6.42578125" style="1705" customWidth="1"/>
    <col min="7953" max="7953" width="28.85546875" style="1705" customWidth="1"/>
    <col min="7954" max="7954" width="12.42578125" style="1705" customWidth="1"/>
    <col min="7955" max="7955" width="9.140625" style="1705" customWidth="1"/>
    <col min="7956" max="7956" width="10.85546875" style="1705" customWidth="1"/>
    <col min="7957" max="7957" width="9.140625" style="1705" customWidth="1"/>
    <col min="7958" max="7959" width="0" style="1705" hidden="1" customWidth="1"/>
    <col min="7960" max="7960" width="32.28515625" style="1705" customWidth="1"/>
    <col min="7961" max="8192" width="9.140625" style="1705"/>
    <col min="8193" max="8193" width="4.28515625" style="1705" customWidth="1"/>
    <col min="8194" max="8194" width="27.140625" style="1705" customWidth="1"/>
    <col min="8195" max="8195" width="8.85546875" style="1705" customWidth="1"/>
    <col min="8196" max="8196" width="6.7109375" style="1705" customWidth="1"/>
    <col min="8197" max="8197" width="4.7109375" style="1705" customWidth="1"/>
    <col min="8198" max="8198" width="8" style="1705" customWidth="1"/>
    <col min="8199" max="8199" width="9.28515625" style="1705" customWidth="1"/>
    <col min="8200" max="8200" width="8.5703125" style="1705" customWidth="1"/>
    <col min="8201" max="8201" width="9.42578125" style="1705" customWidth="1"/>
    <col min="8202" max="8202" width="8.85546875" style="1705" customWidth="1"/>
    <col min="8203" max="8203" width="10.28515625" style="1705" customWidth="1"/>
    <col min="8204" max="8204" width="4.42578125" style="1705" customWidth="1"/>
    <col min="8205" max="8205" width="7.5703125" style="1705" customWidth="1"/>
    <col min="8206" max="8206" width="7.85546875" style="1705" customWidth="1"/>
    <col min="8207" max="8207" width="8" style="1705" customWidth="1"/>
    <col min="8208" max="8208" width="6.42578125" style="1705" customWidth="1"/>
    <col min="8209" max="8209" width="28.85546875" style="1705" customWidth="1"/>
    <col min="8210" max="8210" width="12.42578125" style="1705" customWidth="1"/>
    <col min="8211" max="8211" width="9.140625" style="1705" customWidth="1"/>
    <col min="8212" max="8212" width="10.85546875" style="1705" customWidth="1"/>
    <col min="8213" max="8213" width="9.140625" style="1705" customWidth="1"/>
    <col min="8214" max="8215" width="0" style="1705" hidden="1" customWidth="1"/>
    <col min="8216" max="8216" width="32.28515625" style="1705" customWidth="1"/>
    <col min="8217" max="8448" width="9.140625" style="1705"/>
    <col min="8449" max="8449" width="4.28515625" style="1705" customWidth="1"/>
    <col min="8450" max="8450" width="27.140625" style="1705" customWidth="1"/>
    <col min="8451" max="8451" width="8.85546875" style="1705" customWidth="1"/>
    <col min="8452" max="8452" width="6.7109375" style="1705" customWidth="1"/>
    <col min="8453" max="8453" width="4.7109375" style="1705" customWidth="1"/>
    <col min="8454" max="8454" width="8" style="1705" customWidth="1"/>
    <col min="8455" max="8455" width="9.28515625" style="1705" customWidth="1"/>
    <col min="8456" max="8456" width="8.5703125" style="1705" customWidth="1"/>
    <col min="8457" max="8457" width="9.42578125" style="1705" customWidth="1"/>
    <col min="8458" max="8458" width="8.85546875" style="1705" customWidth="1"/>
    <col min="8459" max="8459" width="10.28515625" style="1705" customWidth="1"/>
    <col min="8460" max="8460" width="4.42578125" style="1705" customWidth="1"/>
    <col min="8461" max="8461" width="7.5703125" style="1705" customWidth="1"/>
    <col min="8462" max="8462" width="7.85546875" style="1705" customWidth="1"/>
    <col min="8463" max="8463" width="8" style="1705" customWidth="1"/>
    <col min="8464" max="8464" width="6.42578125" style="1705" customWidth="1"/>
    <col min="8465" max="8465" width="28.85546875" style="1705" customWidth="1"/>
    <col min="8466" max="8466" width="12.42578125" style="1705" customWidth="1"/>
    <col min="8467" max="8467" width="9.140625" style="1705" customWidth="1"/>
    <col min="8468" max="8468" width="10.85546875" style="1705" customWidth="1"/>
    <col min="8469" max="8469" width="9.140625" style="1705" customWidth="1"/>
    <col min="8470" max="8471" width="0" style="1705" hidden="1" customWidth="1"/>
    <col min="8472" max="8472" width="32.28515625" style="1705" customWidth="1"/>
    <col min="8473" max="8704" width="9.140625" style="1705"/>
    <col min="8705" max="8705" width="4.28515625" style="1705" customWidth="1"/>
    <col min="8706" max="8706" width="27.140625" style="1705" customWidth="1"/>
    <col min="8707" max="8707" width="8.85546875" style="1705" customWidth="1"/>
    <col min="8708" max="8708" width="6.7109375" style="1705" customWidth="1"/>
    <col min="8709" max="8709" width="4.7109375" style="1705" customWidth="1"/>
    <col min="8710" max="8710" width="8" style="1705" customWidth="1"/>
    <col min="8711" max="8711" width="9.28515625" style="1705" customWidth="1"/>
    <col min="8712" max="8712" width="8.5703125" style="1705" customWidth="1"/>
    <col min="8713" max="8713" width="9.42578125" style="1705" customWidth="1"/>
    <col min="8714" max="8714" width="8.85546875" style="1705" customWidth="1"/>
    <col min="8715" max="8715" width="10.28515625" style="1705" customWidth="1"/>
    <col min="8716" max="8716" width="4.42578125" style="1705" customWidth="1"/>
    <col min="8717" max="8717" width="7.5703125" style="1705" customWidth="1"/>
    <col min="8718" max="8718" width="7.85546875" style="1705" customWidth="1"/>
    <col min="8719" max="8719" width="8" style="1705" customWidth="1"/>
    <col min="8720" max="8720" width="6.42578125" style="1705" customWidth="1"/>
    <col min="8721" max="8721" width="28.85546875" style="1705" customWidth="1"/>
    <col min="8722" max="8722" width="12.42578125" style="1705" customWidth="1"/>
    <col min="8723" max="8723" width="9.140625" style="1705" customWidth="1"/>
    <col min="8724" max="8724" width="10.85546875" style="1705" customWidth="1"/>
    <col min="8725" max="8725" width="9.140625" style="1705" customWidth="1"/>
    <col min="8726" max="8727" width="0" style="1705" hidden="1" customWidth="1"/>
    <col min="8728" max="8728" width="32.28515625" style="1705" customWidth="1"/>
    <col min="8729" max="8960" width="9.140625" style="1705"/>
    <col min="8961" max="8961" width="4.28515625" style="1705" customWidth="1"/>
    <col min="8962" max="8962" width="27.140625" style="1705" customWidth="1"/>
    <col min="8963" max="8963" width="8.85546875" style="1705" customWidth="1"/>
    <col min="8964" max="8964" width="6.7109375" style="1705" customWidth="1"/>
    <col min="8965" max="8965" width="4.7109375" style="1705" customWidth="1"/>
    <col min="8966" max="8966" width="8" style="1705" customWidth="1"/>
    <col min="8967" max="8967" width="9.28515625" style="1705" customWidth="1"/>
    <col min="8968" max="8968" width="8.5703125" style="1705" customWidth="1"/>
    <col min="8969" max="8969" width="9.42578125" style="1705" customWidth="1"/>
    <col min="8970" max="8970" width="8.85546875" style="1705" customWidth="1"/>
    <col min="8971" max="8971" width="10.28515625" style="1705" customWidth="1"/>
    <col min="8972" max="8972" width="4.42578125" style="1705" customWidth="1"/>
    <col min="8973" max="8973" width="7.5703125" style="1705" customWidth="1"/>
    <col min="8974" max="8974" width="7.85546875" style="1705" customWidth="1"/>
    <col min="8975" max="8975" width="8" style="1705" customWidth="1"/>
    <col min="8976" max="8976" width="6.42578125" style="1705" customWidth="1"/>
    <col min="8977" max="8977" width="28.85546875" style="1705" customWidth="1"/>
    <col min="8978" max="8978" width="12.42578125" style="1705" customWidth="1"/>
    <col min="8979" max="8979" width="9.140625" style="1705" customWidth="1"/>
    <col min="8980" max="8980" width="10.85546875" style="1705" customWidth="1"/>
    <col min="8981" max="8981" width="9.140625" style="1705" customWidth="1"/>
    <col min="8982" max="8983" width="0" style="1705" hidden="1" customWidth="1"/>
    <col min="8984" max="8984" width="32.28515625" style="1705" customWidth="1"/>
    <col min="8985" max="9216" width="9.140625" style="1705"/>
    <col min="9217" max="9217" width="4.28515625" style="1705" customWidth="1"/>
    <col min="9218" max="9218" width="27.140625" style="1705" customWidth="1"/>
    <col min="9219" max="9219" width="8.85546875" style="1705" customWidth="1"/>
    <col min="9220" max="9220" width="6.7109375" style="1705" customWidth="1"/>
    <col min="9221" max="9221" width="4.7109375" style="1705" customWidth="1"/>
    <col min="9222" max="9222" width="8" style="1705" customWidth="1"/>
    <col min="9223" max="9223" width="9.28515625" style="1705" customWidth="1"/>
    <col min="9224" max="9224" width="8.5703125" style="1705" customWidth="1"/>
    <col min="9225" max="9225" width="9.42578125" style="1705" customWidth="1"/>
    <col min="9226" max="9226" width="8.85546875" style="1705" customWidth="1"/>
    <col min="9227" max="9227" width="10.28515625" style="1705" customWidth="1"/>
    <col min="9228" max="9228" width="4.42578125" style="1705" customWidth="1"/>
    <col min="9229" max="9229" width="7.5703125" style="1705" customWidth="1"/>
    <col min="9230" max="9230" width="7.85546875" style="1705" customWidth="1"/>
    <col min="9231" max="9231" width="8" style="1705" customWidth="1"/>
    <col min="9232" max="9232" width="6.42578125" style="1705" customWidth="1"/>
    <col min="9233" max="9233" width="28.85546875" style="1705" customWidth="1"/>
    <col min="9234" max="9234" width="12.42578125" style="1705" customWidth="1"/>
    <col min="9235" max="9235" width="9.140625" style="1705" customWidth="1"/>
    <col min="9236" max="9236" width="10.85546875" style="1705" customWidth="1"/>
    <col min="9237" max="9237" width="9.140625" style="1705" customWidth="1"/>
    <col min="9238" max="9239" width="0" style="1705" hidden="1" customWidth="1"/>
    <col min="9240" max="9240" width="32.28515625" style="1705" customWidth="1"/>
    <col min="9241" max="9472" width="9.140625" style="1705"/>
    <col min="9473" max="9473" width="4.28515625" style="1705" customWidth="1"/>
    <col min="9474" max="9474" width="27.140625" style="1705" customWidth="1"/>
    <col min="9475" max="9475" width="8.85546875" style="1705" customWidth="1"/>
    <col min="9476" max="9476" width="6.7109375" style="1705" customWidth="1"/>
    <col min="9477" max="9477" width="4.7109375" style="1705" customWidth="1"/>
    <col min="9478" max="9478" width="8" style="1705" customWidth="1"/>
    <col min="9479" max="9479" width="9.28515625" style="1705" customWidth="1"/>
    <col min="9480" max="9480" width="8.5703125" style="1705" customWidth="1"/>
    <col min="9481" max="9481" width="9.42578125" style="1705" customWidth="1"/>
    <col min="9482" max="9482" width="8.85546875" style="1705" customWidth="1"/>
    <col min="9483" max="9483" width="10.28515625" style="1705" customWidth="1"/>
    <col min="9484" max="9484" width="4.42578125" style="1705" customWidth="1"/>
    <col min="9485" max="9485" width="7.5703125" style="1705" customWidth="1"/>
    <col min="9486" max="9486" width="7.85546875" style="1705" customWidth="1"/>
    <col min="9487" max="9487" width="8" style="1705" customWidth="1"/>
    <col min="9488" max="9488" width="6.42578125" style="1705" customWidth="1"/>
    <col min="9489" max="9489" width="28.85546875" style="1705" customWidth="1"/>
    <col min="9490" max="9490" width="12.42578125" style="1705" customWidth="1"/>
    <col min="9491" max="9491" width="9.140625" style="1705" customWidth="1"/>
    <col min="9492" max="9492" width="10.85546875" style="1705" customWidth="1"/>
    <col min="9493" max="9493" width="9.140625" style="1705" customWidth="1"/>
    <col min="9494" max="9495" width="0" style="1705" hidden="1" customWidth="1"/>
    <col min="9496" max="9496" width="32.28515625" style="1705" customWidth="1"/>
    <col min="9497" max="9728" width="9.140625" style="1705"/>
    <col min="9729" max="9729" width="4.28515625" style="1705" customWidth="1"/>
    <col min="9730" max="9730" width="27.140625" style="1705" customWidth="1"/>
    <col min="9731" max="9731" width="8.85546875" style="1705" customWidth="1"/>
    <col min="9732" max="9732" width="6.7109375" style="1705" customWidth="1"/>
    <col min="9733" max="9733" width="4.7109375" style="1705" customWidth="1"/>
    <col min="9734" max="9734" width="8" style="1705" customWidth="1"/>
    <col min="9735" max="9735" width="9.28515625" style="1705" customWidth="1"/>
    <col min="9736" max="9736" width="8.5703125" style="1705" customWidth="1"/>
    <col min="9737" max="9737" width="9.42578125" style="1705" customWidth="1"/>
    <col min="9738" max="9738" width="8.85546875" style="1705" customWidth="1"/>
    <col min="9739" max="9739" width="10.28515625" style="1705" customWidth="1"/>
    <col min="9740" max="9740" width="4.42578125" style="1705" customWidth="1"/>
    <col min="9741" max="9741" width="7.5703125" style="1705" customWidth="1"/>
    <col min="9742" max="9742" width="7.85546875" style="1705" customWidth="1"/>
    <col min="9743" max="9743" width="8" style="1705" customWidth="1"/>
    <col min="9744" max="9744" width="6.42578125" style="1705" customWidth="1"/>
    <col min="9745" max="9745" width="28.85546875" style="1705" customWidth="1"/>
    <col min="9746" max="9746" width="12.42578125" style="1705" customWidth="1"/>
    <col min="9747" max="9747" width="9.140625" style="1705" customWidth="1"/>
    <col min="9748" max="9748" width="10.85546875" style="1705" customWidth="1"/>
    <col min="9749" max="9749" width="9.140625" style="1705" customWidth="1"/>
    <col min="9750" max="9751" width="0" style="1705" hidden="1" customWidth="1"/>
    <col min="9752" max="9752" width="32.28515625" style="1705" customWidth="1"/>
    <col min="9753" max="9984" width="9.140625" style="1705"/>
    <col min="9985" max="9985" width="4.28515625" style="1705" customWidth="1"/>
    <col min="9986" max="9986" width="27.140625" style="1705" customWidth="1"/>
    <col min="9987" max="9987" width="8.85546875" style="1705" customWidth="1"/>
    <col min="9988" max="9988" width="6.7109375" style="1705" customWidth="1"/>
    <col min="9989" max="9989" width="4.7109375" style="1705" customWidth="1"/>
    <col min="9990" max="9990" width="8" style="1705" customWidth="1"/>
    <col min="9991" max="9991" width="9.28515625" style="1705" customWidth="1"/>
    <col min="9992" max="9992" width="8.5703125" style="1705" customWidth="1"/>
    <col min="9993" max="9993" width="9.42578125" style="1705" customWidth="1"/>
    <col min="9994" max="9994" width="8.85546875" style="1705" customWidth="1"/>
    <col min="9995" max="9995" width="10.28515625" style="1705" customWidth="1"/>
    <col min="9996" max="9996" width="4.42578125" style="1705" customWidth="1"/>
    <col min="9997" max="9997" width="7.5703125" style="1705" customWidth="1"/>
    <col min="9998" max="9998" width="7.85546875" style="1705" customWidth="1"/>
    <col min="9999" max="9999" width="8" style="1705" customWidth="1"/>
    <col min="10000" max="10000" width="6.42578125" style="1705" customWidth="1"/>
    <col min="10001" max="10001" width="28.85546875" style="1705" customWidth="1"/>
    <col min="10002" max="10002" width="12.42578125" style="1705" customWidth="1"/>
    <col min="10003" max="10003" width="9.140625" style="1705" customWidth="1"/>
    <col min="10004" max="10004" width="10.85546875" style="1705" customWidth="1"/>
    <col min="10005" max="10005" width="9.140625" style="1705" customWidth="1"/>
    <col min="10006" max="10007" width="0" style="1705" hidden="1" customWidth="1"/>
    <col min="10008" max="10008" width="32.28515625" style="1705" customWidth="1"/>
    <col min="10009" max="10240" width="9.140625" style="1705"/>
    <col min="10241" max="10241" width="4.28515625" style="1705" customWidth="1"/>
    <col min="10242" max="10242" width="27.140625" style="1705" customWidth="1"/>
    <col min="10243" max="10243" width="8.85546875" style="1705" customWidth="1"/>
    <col min="10244" max="10244" width="6.7109375" style="1705" customWidth="1"/>
    <col min="10245" max="10245" width="4.7109375" style="1705" customWidth="1"/>
    <col min="10246" max="10246" width="8" style="1705" customWidth="1"/>
    <col min="10247" max="10247" width="9.28515625" style="1705" customWidth="1"/>
    <col min="10248" max="10248" width="8.5703125" style="1705" customWidth="1"/>
    <col min="10249" max="10249" width="9.42578125" style="1705" customWidth="1"/>
    <col min="10250" max="10250" width="8.85546875" style="1705" customWidth="1"/>
    <col min="10251" max="10251" width="10.28515625" style="1705" customWidth="1"/>
    <col min="10252" max="10252" width="4.42578125" style="1705" customWidth="1"/>
    <col min="10253" max="10253" width="7.5703125" style="1705" customWidth="1"/>
    <col min="10254" max="10254" width="7.85546875" style="1705" customWidth="1"/>
    <col min="10255" max="10255" width="8" style="1705" customWidth="1"/>
    <col min="10256" max="10256" width="6.42578125" style="1705" customWidth="1"/>
    <col min="10257" max="10257" width="28.85546875" style="1705" customWidth="1"/>
    <col min="10258" max="10258" width="12.42578125" style="1705" customWidth="1"/>
    <col min="10259" max="10259" width="9.140625" style="1705" customWidth="1"/>
    <col min="10260" max="10260" width="10.85546875" style="1705" customWidth="1"/>
    <col min="10261" max="10261" width="9.140625" style="1705" customWidth="1"/>
    <col min="10262" max="10263" width="0" style="1705" hidden="1" customWidth="1"/>
    <col min="10264" max="10264" width="32.28515625" style="1705" customWidth="1"/>
    <col min="10265" max="10496" width="9.140625" style="1705"/>
    <col min="10497" max="10497" width="4.28515625" style="1705" customWidth="1"/>
    <col min="10498" max="10498" width="27.140625" style="1705" customWidth="1"/>
    <col min="10499" max="10499" width="8.85546875" style="1705" customWidth="1"/>
    <col min="10500" max="10500" width="6.7109375" style="1705" customWidth="1"/>
    <col min="10501" max="10501" width="4.7109375" style="1705" customWidth="1"/>
    <col min="10502" max="10502" width="8" style="1705" customWidth="1"/>
    <col min="10503" max="10503" width="9.28515625" style="1705" customWidth="1"/>
    <col min="10504" max="10504" width="8.5703125" style="1705" customWidth="1"/>
    <col min="10505" max="10505" width="9.42578125" style="1705" customWidth="1"/>
    <col min="10506" max="10506" width="8.85546875" style="1705" customWidth="1"/>
    <col min="10507" max="10507" width="10.28515625" style="1705" customWidth="1"/>
    <col min="10508" max="10508" width="4.42578125" style="1705" customWidth="1"/>
    <col min="10509" max="10509" width="7.5703125" style="1705" customWidth="1"/>
    <col min="10510" max="10510" width="7.85546875" style="1705" customWidth="1"/>
    <col min="10511" max="10511" width="8" style="1705" customWidth="1"/>
    <col min="10512" max="10512" width="6.42578125" style="1705" customWidth="1"/>
    <col min="10513" max="10513" width="28.85546875" style="1705" customWidth="1"/>
    <col min="10514" max="10514" width="12.42578125" style="1705" customWidth="1"/>
    <col min="10515" max="10515" width="9.140625" style="1705" customWidth="1"/>
    <col min="10516" max="10516" width="10.85546875" style="1705" customWidth="1"/>
    <col min="10517" max="10517" width="9.140625" style="1705" customWidth="1"/>
    <col min="10518" max="10519" width="0" style="1705" hidden="1" customWidth="1"/>
    <col min="10520" max="10520" width="32.28515625" style="1705" customWidth="1"/>
    <col min="10521" max="10752" width="9.140625" style="1705"/>
    <col min="10753" max="10753" width="4.28515625" style="1705" customWidth="1"/>
    <col min="10754" max="10754" width="27.140625" style="1705" customWidth="1"/>
    <col min="10755" max="10755" width="8.85546875" style="1705" customWidth="1"/>
    <col min="10756" max="10756" width="6.7109375" style="1705" customWidth="1"/>
    <col min="10757" max="10757" width="4.7109375" style="1705" customWidth="1"/>
    <col min="10758" max="10758" width="8" style="1705" customWidth="1"/>
    <col min="10759" max="10759" width="9.28515625" style="1705" customWidth="1"/>
    <col min="10760" max="10760" width="8.5703125" style="1705" customWidth="1"/>
    <col min="10761" max="10761" width="9.42578125" style="1705" customWidth="1"/>
    <col min="10762" max="10762" width="8.85546875" style="1705" customWidth="1"/>
    <col min="10763" max="10763" width="10.28515625" style="1705" customWidth="1"/>
    <col min="10764" max="10764" width="4.42578125" style="1705" customWidth="1"/>
    <col min="10765" max="10765" width="7.5703125" style="1705" customWidth="1"/>
    <col min="10766" max="10766" width="7.85546875" style="1705" customWidth="1"/>
    <col min="10767" max="10767" width="8" style="1705" customWidth="1"/>
    <col min="10768" max="10768" width="6.42578125" style="1705" customWidth="1"/>
    <col min="10769" max="10769" width="28.85546875" style="1705" customWidth="1"/>
    <col min="10770" max="10770" width="12.42578125" style="1705" customWidth="1"/>
    <col min="10771" max="10771" width="9.140625" style="1705" customWidth="1"/>
    <col min="10772" max="10772" width="10.85546875" style="1705" customWidth="1"/>
    <col min="10773" max="10773" width="9.140625" style="1705" customWidth="1"/>
    <col min="10774" max="10775" width="0" style="1705" hidden="1" customWidth="1"/>
    <col min="10776" max="10776" width="32.28515625" style="1705" customWidth="1"/>
    <col min="10777" max="11008" width="9.140625" style="1705"/>
    <col min="11009" max="11009" width="4.28515625" style="1705" customWidth="1"/>
    <col min="11010" max="11010" width="27.140625" style="1705" customWidth="1"/>
    <col min="11011" max="11011" width="8.85546875" style="1705" customWidth="1"/>
    <col min="11012" max="11012" width="6.7109375" style="1705" customWidth="1"/>
    <col min="11013" max="11013" width="4.7109375" style="1705" customWidth="1"/>
    <col min="11014" max="11014" width="8" style="1705" customWidth="1"/>
    <col min="11015" max="11015" width="9.28515625" style="1705" customWidth="1"/>
    <col min="11016" max="11016" width="8.5703125" style="1705" customWidth="1"/>
    <col min="11017" max="11017" width="9.42578125" style="1705" customWidth="1"/>
    <col min="11018" max="11018" width="8.85546875" style="1705" customWidth="1"/>
    <col min="11019" max="11019" width="10.28515625" style="1705" customWidth="1"/>
    <col min="11020" max="11020" width="4.42578125" style="1705" customWidth="1"/>
    <col min="11021" max="11021" width="7.5703125" style="1705" customWidth="1"/>
    <col min="11022" max="11022" width="7.85546875" style="1705" customWidth="1"/>
    <col min="11023" max="11023" width="8" style="1705" customWidth="1"/>
    <col min="11024" max="11024" width="6.42578125" style="1705" customWidth="1"/>
    <col min="11025" max="11025" width="28.85546875" style="1705" customWidth="1"/>
    <col min="11026" max="11026" width="12.42578125" style="1705" customWidth="1"/>
    <col min="11027" max="11027" width="9.140625" style="1705" customWidth="1"/>
    <col min="11028" max="11028" width="10.85546875" style="1705" customWidth="1"/>
    <col min="11029" max="11029" width="9.140625" style="1705" customWidth="1"/>
    <col min="11030" max="11031" width="0" style="1705" hidden="1" customWidth="1"/>
    <col min="11032" max="11032" width="32.28515625" style="1705" customWidth="1"/>
    <col min="11033" max="11264" width="9.140625" style="1705"/>
    <col min="11265" max="11265" width="4.28515625" style="1705" customWidth="1"/>
    <col min="11266" max="11266" width="27.140625" style="1705" customWidth="1"/>
    <col min="11267" max="11267" width="8.85546875" style="1705" customWidth="1"/>
    <col min="11268" max="11268" width="6.7109375" style="1705" customWidth="1"/>
    <col min="11269" max="11269" width="4.7109375" style="1705" customWidth="1"/>
    <col min="11270" max="11270" width="8" style="1705" customWidth="1"/>
    <col min="11271" max="11271" width="9.28515625" style="1705" customWidth="1"/>
    <col min="11272" max="11272" width="8.5703125" style="1705" customWidth="1"/>
    <col min="11273" max="11273" width="9.42578125" style="1705" customWidth="1"/>
    <col min="11274" max="11274" width="8.85546875" style="1705" customWidth="1"/>
    <col min="11275" max="11275" width="10.28515625" style="1705" customWidth="1"/>
    <col min="11276" max="11276" width="4.42578125" style="1705" customWidth="1"/>
    <col min="11277" max="11277" width="7.5703125" style="1705" customWidth="1"/>
    <col min="11278" max="11278" width="7.85546875" style="1705" customWidth="1"/>
    <col min="11279" max="11279" width="8" style="1705" customWidth="1"/>
    <col min="11280" max="11280" width="6.42578125" style="1705" customWidth="1"/>
    <col min="11281" max="11281" width="28.85546875" style="1705" customWidth="1"/>
    <col min="11282" max="11282" width="12.42578125" style="1705" customWidth="1"/>
    <col min="11283" max="11283" width="9.140625" style="1705" customWidth="1"/>
    <col min="11284" max="11284" width="10.85546875" style="1705" customWidth="1"/>
    <col min="11285" max="11285" width="9.140625" style="1705" customWidth="1"/>
    <col min="11286" max="11287" width="0" style="1705" hidden="1" customWidth="1"/>
    <col min="11288" max="11288" width="32.28515625" style="1705" customWidth="1"/>
    <col min="11289" max="11520" width="9.140625" style="1705"/>
    <col min="11521" max="11521" width="4.28515625" style="1705" customWidth="1"/>
    <col min="11522" max="11522" width="27.140625" style="1705" customWidth="1"/>
    <col min="11523" max="11523" width="8.85546875" style="1705" customWidth="1"/>
    <col min="11524" max="11524" width="6.7109375" style="1705" customWidth="1"/>
    <col min="11525" max="11525" width="4.7109375" style="1705" customWidth="1"/>
    <col min="11526" max="11526" width="8" style="1705" customWidth="1"/>
    <col min="11527" max="11527" width="9.28515625" style="1705" customWidth="1"/>
    <col min="11528" max="11528" width="8.5703125" style="1705" customWidth="1"/>
    <col min="11529" max="11529" width="9.42578125" style="1705" customWidth="1"/>
    <col min="11530" max="11530" width="8.85546875" style="1705" customWidth="1"/>
    <col min="11531" max="11531" width="10.28515625" style="1705" customWidth="1"/>
    <col min="11532" max="11532" width="4.42578125" style="1705" customWidth="1"/>
    <col min="11533" max="11533" width="7.5703125" style="1705" customWidth="1"/>
    <col min="11534" max="11534" width="7.85546875" style="1705" customWidth="1"/>
    <col min="11535" max="11535" width="8" style="1705" customWidth="1"/>
    <col min="11536" max="11536" width="6.42578125" style="1705" customWidth="1"/>
    <col min="11537" max="11537" width="28.85546875" style="1705" customWidth="1"/>
    <col min="11538" max="11538" width="12.42578125" style="1705" customWidth="1"/>
    <col min="11539" max="11539" width="9.140625" style="1705" customWidth="1"/>
    <col min="11540" max="11540" width="10.85546875" style="1705" customWidth="1"/>
    <col min="11541" max="11541" width="9.140625" style="1705" customWidth="1"/>
    <col min="11542" max="11543" width="0" style="1705" hidden="1" customWidth="1"/>
    <col min="11544" max="11544" width="32.28515625" style="1705" customWidth="1"/>
    <col min="11545" max="11776" width="9.140625" style="1705"/>
    <col min="11777" max="11777" width="4.28515625" style="1705" customWidth="1"/>
    <col min="11778" max="11778" width="27.140625" style="1705" customWidth="1"/>
    <col min="11779" max="11779" width="8.85546875" style="1705" customWidth="1"/>
    <col min="11780" max="11780" width="6.7109375" style="1705" customWidth="1"/>
    <col min="11781" max="11781" width="4.7109375" style="1705" customWidth="1"/>
    <col min="11782" max="11782" width="8" style="1705" customWidth="1"/>
    <col min="11783" max="11783" width="9.28515625" style="1705" customWidth="1"/>
    <col min="11784" max="11784" width="8.5703125" style="1705" customWidth="1"/>
    <col min="11785" max="11785" width="9.42578125" style="1705" customWidth="1"/>
    <col min="11786" max="11786" width="8.85546875" style="1705" customWidth="1"/>
    <col min="11787" max="11787" width="10.28515625" style="1705" customWidth="1"/>
    <col min="11788" max="11788" width="4.42578125" style="1705" customWidth="1"/>
    <col min="11789" max="11789" width="7.5703125" style="1705" customWidth="1"/>
    <col min="11790" max="11790" width="7.85546875" style="1705" customWidth="1"/>
    <col min="11791" max="11791" width="8" style="1705" customWidth="1"/>
    <col min="11792" max="11792" width="6.42578125" style="1705" customWidth="1"/>
    <col min="11793" max="11793" width="28.85546875" style="1705" customWidth="1"/>
    <col min="11794" max="11794" width="12.42578125" style="1705" customWidth="1"/>
    <col min="11795" max="11795" width="9.140625" style="1705" customWidth="1"/>
    <col min="11796" max="11796" width="10.85546875" style="1705" customWidth="1"/>
    <col min="11797" max="11797" width="9.140625" style="1705" customWidth="1"/>
    <col min="11798" max="11799" width="0" style="1705" hidden="1" customWidth="1"/>
    <col min="11800" max="11800" width="32.28515625" style="1705" customWidth="1"/>
    <col min="11801" max="12032" width="9.140625" style="1705"/>
    <col min="12033" max="12033" width="4.28515625" style="1705" customWidth="1"/>
    <col min="12034" max="12034" width="27.140625" style="1705" customWidth="1"/>
    <col min="12035" max="12035" width="8.85546875" style="1705" customWidth="1"/>
    <col min="12036" max="12036" width="6.7109375" style="1705" customWidth="1"/>
    <col min="12037" max="12037" width="4.7109375" style="1705" customWidth="1"/>
    <col min="12038" max="12038" width="8" style="1705" customWidth="1"/>
    <col min="12039" max="12039" width="9.28515625" style="1705" customWidth="1"/>
    <col min="12040" max="12040" width="8.5703125" style="1705" customWidth="1"/>
    <col min="12041" max="12041" width="9.42578125" style="1705" customWidth="1"/>
    <col min="12042" max="12042" width="8.85546875" style="1705" customWidth="1"/>
    <col min="12043" max="12043" width="10.28515625" style="1705" customWidth="1"/>
    <col min="12044" max="12044" width="4.42578125" style="1705" customWidth="1"/>
    <col min="12045" max="12045" width="7.5703125" style="1705" customWidth="1"/>
    <col min="12046" max="12046" width="7.85546875" style="1705" customWidth="1"/>
    <col min="12047" max="12047" width="8" style="1705" customWidth="1"/>
    <col min="12048" max="12048" width="6.42578125" style="1705" customWidth="1"/>
    <col min="12049" max="12049" width="28.85546875" style="1705" customWidth="1"/>
    <col min="12050" max="12050" width="12.42578125" style="1705" customWidth="1"/>
    <col min="12051" max="12051" width="9.140625" style="1705" customWidth="1"/>
    <col min="12052" max="12052" width="10.85546875" style="1705" customWidth="1"/>
    <col min="12053" max="12053" width="9.140625" style="1705" customWidth="1"/>
    <col min="12054" max="12055" width="0" style="1705" hidden="1" customWidth="1"/>
    <col min="12056" max="12056" width="32.28515625" style="1705" customWidth="1"/>
    <col min="12057" max="12288" width="9.140625" style="1705"/>
    <col min="12289" max="12289" width="4.28515625" style="1705" customWidth="1"/>
    <col min="12290" max="12290" width="27.140625" style="1705" customWidth="1"/>
    <col min="12291" max="12291" width="8.85546875" style="1705" customWidth="1"/>
    <col min="12292" max="12292" width="6.7109375" style="1705" customWidth="1"/>
    <col min="12293" max="12293" width="4.7109375" style="1705" customWidth="1"/>
    <col min="12294" max="12294" width="8" style="1705" customWidth="1"/>
    <col min="12295" max="12295" width="9.28515625" style="1705" customWidth="1"/>
    <col min="12296" max="12296" width="8.5703125" style="1705" customWidth="1"/>
    <col min="12297" max="12297" width="9.42578125" style="1705" customWidth="1"/>
    <col min="12298" max="12298" width="8.85546875" style="1705" customWidth="1"/>
    <col min="12299" max="12299" width="10.28515625" style="1705" customWidth="1"/>
    <col min="12300" max="12300" width="4.42578125" style="1705" customWidth="1"/>
    <col min="12301" max="12301" width="7.5703125" style="1705" customWidth="1"/>
    <col min="12302" max="12302" width="7.85546875" style="1705" customWidth="1"/>
    <col min="12303" max="12303" width="8" style="1705" customWidth="1"/>
    <col min="12304" max="12304" width="6.42578125" style="1705" customWidth="1"/>
    <col min="12305" max="12305" width="28.85546875" style="1705" customWidth="1"/>
    <col min="12306" max="12306" width="12.42578125" style="1705" customWidth="1"/>
    <col min="12307" max="12307" width="9.140625" style="1705" customWidth="1"/>
    <col min="12308" max="12308" width="10.85546875" style="1705" customWidth="1"/>
    <col min="12309" max="12309" width="9.140625" style="1705" customWidth="1"/>
    <col min="12310" max="12311" width="0" style="1705" hidden="1" customWidth="1"/>
    <col min="12312" max="12312" width="32.28515625" style="1705" customWidth="1"/>
    <col min="12313" max="12544" width="9.140625" style="1705"/>
    <col min="12545" max="12545" width="4.28515625" style="1705" customWidth="1"/>
    <col min="12546" max="12546" width="27.140625" style="1705" customWidth="1"/>
    <col min="12547" max="12547" width="8.85546875" style="1705" customWidth="1"/>
    <col min="12548" max="12548" width="6.7109375" style="1705" customWidth="1"/>
    <col min="12549" max="12549" width="4.7109375" style="1705" customWidth="1"/>
    <col min="12550" max="12550" width="8" style="1705" customWidth="1"/>
    <col min="12551" max="12551" width="9.28515625" style="1705" customWidth="1"/>
    <col min="12552" max="12552" width="8.5703125" style="1705" customWidth="1"/>
    <col min="12553" max="12553" width="9.42578125" style="1705" customWidth="1"/>
    <col min="12554" max="12554" width="8.85546875" style="1705" customWidth="1"/>
    <col min="12555" max="12555" width="10.28515625" style="1705" customWidth="1"/>
    <col min="12556" max="12556" width="4.42578125" style="1705" customWidth="1"/>
    <col min="12557" max="12557" width="7.5703125" style="1705" customWidth="1"/>
    <col min="12558" max="12558" width="7.85546875" style="1705" customWidth="1"/>
    <col min="12559" max="12559" width="8" style="1705" customWidth="1"/>
    <col min="12560" max="12560" width="6.42578125" style="1705" customWidth="1"/>
    <col min="12561" max="12561" width="28.85546875" style="1705" customWidth="1"/>
    <col min="12562" max="12562" width="12.42578125" style="1705" customWidth="1"/>
    <col min="12563" max="12563" width="9.140625" style="1705" customWidth="1"/>
    <col min="12564" max="12564" width="10.85546875" style="1705" customWidth="1"/>
    <col min="12565" max="12565" width="9.140625" style="1705" customWidth="1"/>
    <col min="12566" max="12567" width="0" style="1705" hidden="1" customWidth="1"/>
    <col min="12568" max="12568" width="32.28515625" style="1705" customWidth="1"/>
    <col min="12569" max="12800" width="9.140625" style="1705"/>
    <col min="12801" max="12801" width="4.28515625" style="1705" customWidth="1"/>
    <col min="12802" max="12802" width="27.140625" style="1705" customWidth="1"/>
    <col min="12803" max="12803" width="8.85546875" style="1705" customWidth="1"/>
    <col min="12804" max="12804" width="6.7109375" style="1705" customWidth="1"/>
    <col min="12805" max="12805" width="4.7109375" style="1705" customWidth="1"/>
    <col min="12806" max="12806" width="8" style="1705" customWidth="1"/>
    <col min="12807" max="12807" width="9.28515625" style="1705" customWidth="1"/>
    <col min="12808" max="12808" width="8.5703125" style="1705" customWidth="1"/>
    <col min="12809" max="12809" width="9.42578125" style="1705" customWidth="1"/>
    <col min="12810" max="12810" width="8.85546875" style="1705" customWidth="1"/>
    <col min="12811" max="12811" width="10.28515625" style="1705" customWidth="1"/>
    <col min="12812" max="12812" width="4.42578125" style="1705" customWidth="1"/>
    <col min="12813" max="12813" width="7.5703125" style="1705" customWidth="1"/>
    <col min="12814" max="12814" width="7.85546875" style="1705" customWidth="1"/>
    <col min="12815" max="12815" width="8" style="1705" customWidth="1"/>
    <col min="12816" max="12816" width="6.42578125" style="1705" customWidth="1"/>
    <col min="12817" max="12817" width="28.85546875" style="1705" customWidth="1"/>
    <col min="12818" max="12818" width="12.42578125" style="1705" customWidth="1"/>
    <col min="12819" max="12819" width="9.140625" style="1705" customWidth="1"/>
    <col min="12820" max="12820" width="10.85546875" style="1705" customWidth="1"/>
    <col min="12821" max="12821" width="9.140625" style="1705" customWidth="1"/>
    <col min="12822" max="12823" width="0" style="1705" hidden="1" customWidth="1"/>
    <col min="12824" max="12824" width="32.28515625" style="1705" customWidth="1"/>
    <col min="12825" max="13056" width="9.140625" style="1705"/>
    <col min="13057" max="13057" width="4.28515625" style="1705" customWidth="1"/>
    <col min="13058" max="13058" width="27.140625" style="1705" customWidth="1"/>
    <col min="13059" max="13059" width="8.85546875" style="1705" customWidth="1"/>
    <col min="13060" max="13060" width="6.7109375" style="1705" customWidth="1"/>
    <col min="13061" max="13061" width="4.7109375" style="1705" customWidth="1"/>
    <col min="13062" max="13062" width="8" style="1705" customWidth="1"/>
    <col min="13063" max="13063" width="9.28515625" style="1705" customWidth="1"/>
    <col min="13064" max="13064" width="8.5703125" style="1705" customWidth="1"/>
    <col min="13065" max="13065" width="9.42578125" style="1705" customWidth="1"/>
    <col min="13066" max="13066" width="8.85546875" style="1705" customWidth="1"/>
    <col min="13067" max="13067" width="10.28515625" style="1705" customWidth="1"/>
    <col min="13068" max="13068" width="4.42578125" style="1705" customWidth="1"/>
    <col min="13069" max="13069" width="7.5703125" style="1705" customWidth="1"/>
    <col min="13070" max="13070" width="7.85546875" style="1705" customWidth="1"/>
    <col min="13071" max="13071" width="8" style="1705" customWidth="1"/>
    <col min="13072" max="13072" width="6.42578125" style="1705" customWidth="1"/>
    <col min="13073" max="13073" width="28.85546875" style="1705" customWidth="1"/>
    <col min="13074" max="13074" width="12.42578125" style="1705" customWidth="1"/>
    <col min="13075" max="13075" width="9.140625" style="1705" customWidth="1"/>
    <col min="13076" max="13076" width="10.85546875" style="1705" customWidth="1"/>
    <col min="13077" max="13077" width="9.140625" style="1705" customWidth="1"/>
    <col min="13078" max="13079" width="0" style="1705" hidden="1" customWidth="1"/>
    <col min="13080" max="13080" width="32.28515625" style="1705" customWidth="1"/>
    <col min="13081" max="13312" width="9.140625" style="1705"/>
    <col min="13313" max="13313" width="4.28515625" style="1705" customWidth="1"/>
    <col min="13314" max="13314" width="27.140625" style="1705" customWidth="1"/>
    <col min="13315" max="13315" width="8.85546875" style="1705" customWidth="1"/>
    <col min="13316" max="13316" width="6.7109375" style="1705" customWidth="1"/>
    <col min="13317" max="13317" width="4.7109375" style="1705" customWidth="1"/>
    <col min="13318" max="13318" width="8" style="1705" customWidth="1"/>
    <col min="13319" max="13319" width="9.28515625" style="1705" customWidth="1"/>
    <col min="13320" max="13320" width="8.5703125" style="1705" customWidth="1"/>
    <col min="13321" max="13321" width="9.42578125" style="1705" customWidth="1"/>
    <col min="13322" max="13322" width="8.85546875" style="1705" customWidth="1"/>
    <col min="13323" max="13323" width="10.28515625" style="1705" customWidth="1"/>
    <col min="13324" max="13324" width="4.42578125" style="1705" customWidth="1"/>
    <col min="13325" max="13325" width="7.5703125" style="1705" customWidth="1"/>
    <col min="13326" max="13326" width="7.85546875" style="1705" customWidth="1"/>
    <col min="13327" max="13327" width="8" style="1705" customWidth="1"/>
    <col min="13328" max="13328" width="6.42578125" style="1705" customWidth="1"/>
    <col min="13329" max="13329" width="28.85546875" style="1705" customWidth="1"/>
    <col min="13330" max="13330" width="12.42578125" style="1705" customWidth="1"/>
    <col min="13331" max="13331" width="9.140625" style="1705" customWidth="1"/>
    <col min="13332" max="13332" width="10.85546875" style="1705" customWidth="1"/>
    <col min="13333" max="13333" width="9.140625" style="1705" customWidth="1"/>
    <col min="13334" max="13335" width="0" style="1705" hidden="1" customWidth="1"/>
    <col min="13336" max="13336" width="32.28515625" style="1705" customWidth="1"/>
    <col min="13337" max="13568" width="9.140625" style="1705"/>
    <col min="13569" max="13569" width="4.28515625" style="1705" customWidth="1"/>
    <col min="13570" max="13570" width="27.140625" style="1705" customWidth="1"/>
    <col min="13571" max="13571" width="8.85546875" style="1705" customWidth="1"/>
    <col min="13572" max="13572" width="6.7109375" style="1705" customWidth="1"/>
    <col min="13573" max="13573" width="4.7109375" style="1705" customWidth="1"/>
    <col min="13574" max="13574" width="8" style="1705" customWidth="1"/>
    <col min="13575" max="13575" width="9.28515625" style="1705" customWidth="1"/>
    <col min="13576" max="13576" width="8.5703125" style="1705" customWidth="1"/>
    <col min="13577" max="13577" width="9.42578125" style="1705" customWidth="1"/>
    <col min="13578" max="13578" width="8.85546875" style="1705" customWidth="1"/>
    <col min="13579" max="13579" width="10.28515625" style="1705" customWidth="1"/>
    <col min="13580" max="13580" width="4.42578125" style="1705" customWidth="1"/>
    <col min="13581" max="13581" width="7.5703125" style="1705" customWidth="1"/>
    <col min="13582" max="13582" width="7.85546875" style="1705" customWidth="1"/>
    <col min="13583" max="13583" width="8" style="1705" customWidth="1"/>
    <col min="13584" max="13584" width="6.42578125" style="1705" customWidth="1"/>
    <col min="13585" max="13585" width="28.85546875" style="1705" customWidth="1"/>
    <col min="13586" max="13586" width="12.42578125" style="1705" customWidth="1"/>
    <col min="13587" max="13587" width="9.140625" style="1705" customWidth="1"/>
    <col min="13588" max="13588" width="10.85546875" style="1705" customWidth="1"/>
    <col min="13589" max="13589" width="9.140625" style="1705" customWidth="1"/>
    <col min="13590" max="13591" width="0" style="1705" hidden="1" customWidth="1"/>
    <col min="13592" max="13592" width="32.28515625" style="1705" customWidth="1"/>
    <col min="13593" max="13824" width="9.140625" style="1705"/>
    <col min="13825" max="13825" width="4.28515625" style="1705" customWidth="1"/>
    <col min="13826" max="13826" width="27.140625" style="1705" customWidth="1"/>
    <col min="13827" max="13827" width="8.85546875" style="1705" customWidth="1"/>
    <col min="13828" max="13828" width="6.7109375" style="1705" customWidth="1"/>
    <col min="13829" max="13829" width="4.7109375" style="1705" customWidth="1"/>
    <col min="13830" max="13830" width="8" style="1705" customWidth="1"/>
    <col min="13831" max="13831" width="9.28515625" style="1705" customWidth="1"/>
    <col min="13832" max="13832" width="8.5703125" style="1705" customWidth="1"/>
    <col min="13833" max="13833" width="9.42578125" style="1705" customWidth="1"/>
    <col min="13834" max="13834" width="8.85546875" style="1705" customWidth="1"/>
    <col min="13835" max="13835" width="10.28515625" style="1705" customWidth="1"/>
    <col min="13836" max="13836" width="4.42578125" style="1705" customWidth="1"/>
    <col min="13837" max="13837" width="7.5703125" style="1705" customWidth="1"/>
    <col min="13838" max="13838" width="7.85546875" style="1705" customWidth="1"/>
    <col min="13839" max="13839" width="8" style="1705" customWidth="1"/>
    <col min="13840" max="13840" width="6.42578125" style="1705" customWidth="1"/>
    <col min="13841" max="13841" width="28.85546875" style="1705" customWidth="1"/>
    <col min="13842" max="13842" width="12.42578125" style="1705" customWidth="1"/>
    <col min="13843" max="13843" width="9.140625" style="1705" customWidth="1"/>
    <col min="13844" max="13844" width="10.85546875" style="1705" customWidth="1"/>
    <col min="13845" max="13845" width="9.140625" style="1705" customWidth="1"/>
    <col min="13846" max="13847" width="0" style="1705" hidden="1" customWidth="1"/>
    <col min="13848" max="13848" width="32.28515625" style="1705" customWidth="1"/>
    <col min="13849" max="14080" width="9.140625" style="1705"/>
    <col min="14081" max="14081" width="4.28515625" style="1705" customWidth="1"/>
    <col min="14082" max="14082" width="27.140625" style="1705" customWidth="1"/>
    <col min="14083" max="14083" width="8.85546875" style="1705" customWidth="1"/>
    <col min="14084" max="14084" width="6.7109375" style="1705" customWidth="1"/>
    <col min="14085" max="14085" width="4.7109375" style="1705" customWidth="1"/>
    <col min="14086" max="14086" width="8" style="1705" customWidth="1"/>
    <col min="14087" max="14087" width="9.28515625" style="1705" customWidth="1"/>
    <col min="14088" max="14088" width="8.5703125" style="1705" customWidth="1"/>
    <col min="14089" max="14089" width="9.42578125" style="1705" customWidth="1"/>
    <col min="14090" max="14090" width="8.85546875" style="1705" customWidth="1"/>
    <col min="14091" max="14091" width="10.28515625" style="1705" customWidth="1"/>
    <col min="14092" max="14092" width="4.42578125" style="1705" customWidth="1"/>
    <col min="14093" max="14093" width="7.5703125" style="1705" customWidth="1"/>
    <col min="14094" max="14094" width="7.85546875" style="1705" customWidth="1"/>
    <col min="14095" max="14095" width="8" style="1705" customWidth="1"/>
    <col min="14096" max="14096" width="6.42578125" style="1705" customWidth="1"/>
    <col min="14097" max="14097" width="28.85546875" style="1705" customWidth="1"/>
    <col min="14098" max="14098" width="12.42578125" style="1705" customWidth="1"/>
    <col min="14099" max="14099" width="9.140625" style="1705" customWidth="1"/>
    <col min="14100" max="14100" width="10.85546875" style="1705" customWidth="1"/>
    <col min="14101" max="14101" width="9.140625" style="1705" customWidth="1"/>
    <col min="14102" max="14103" width="0" style="1705" hidden="1" customWidth="1"/>
    <col min="14104" max="14104" width="32.28515625" style="1705" customWidth="1"/>
    <col min="14105" max="14336" width="9.140625" style="1705"/>
    <col min="14337" max="14337" width="4.28515625" style="1705" customWidth="1"/>
    <col min="14338" max="14338" width="27.140625" style="1705" customWidth="1"/>
    <col min="14339" max="14339" width="8.85546875" style="1705" customWidth="1"/>
    <col min="14340" max="14340" width="6.7109375" style="1705" customWidth="1"/>
    <col min="14341" max="14341" width="4.7109375" style="1705" customWidth="1"/>
    <col min="14342" max="14342" width="8" style="1705" customWidth="1"/>
    <col min="14343" max="14343" width="9.28515625" style="1705" customWidth="1"/>
    <col min="14344" max="14344" width="8.5703125" style="1705" customWidth="1"/>
    <col min="14345" max="14345" width="9.42578125" style="1705" customWidth="1"/>
    <col min="14346" max="14346" width="8.85546875" style="1705" customWidth="1"/>
    <col min="14347" max="14347" width="10.28515625" style="1705" customWidth="1"/>
    <col min="14348" max="14348" width="4.42578125" style="1705" customWidth="1"/>
    <col min="14349" max="14349" width="7.5703125" style="1705" customWidth="1"/>
    <col min="14350" max="14350" width="7.85546875" style="1705" customWidth="1"/>
    <col min="14351" max="14351" width="8" style="1705" customWidth="1"/>
    <col min="14352" max="14352" width="6.42578125" style="1705" customWidth="1"/>
    <col min="14353" max="14353" width="28.85546875" style="1705" customWidth="1"/>
    <col min="14354" max="14354" width="12.42578125" style="1705" customWidth="1"/>
    <col min="14355" max="14355" width="9.140625" style="1705" customWidth="1"/>
    <col min="14356" max="14356" width="10.85546875" style="1705" customWidth="1"/>
    <col min="14357" max="14357" width="9.140625" style="1705" customWidth="1"/>
    <col min="14358" max="14359" width="0" style="1705" hidden="1" customWidth="1"/>
    <col min="14360" max="14360" width="32.28515625" style="1705" customWidth="1"/>
    <col min="14361" max="14592" width="9.140625" style="1705"/>
    <col min="14593" max="14593" width="4.28515625" style="1705" customWidth="1"/>
    <col min="14594" max="14594" width="27.140625" style="1705" customWidth="1"/>
    <col min="14595" max="14595" width="8.85546875" style="1705" customWidth="1"/>
    <col min="14596" max="14596" width="6.7109375" style="1705" customWidth="1"/>
    <col min="14597" max="14597" width="4.7109375" style="1705" customWidth="1"/>
    <col min="14598" max="14598" width="8" style="1705" customWidth="1"/>
    <col min="14599" max="14599" width="9.28515625" style="1705" customWidth="1"/>
    <col min="14600" max="14600" width="8.5703125" style="1705" customWidth="1"/>
    <col min="14601" max="14601" width="9.42578125" style="1705" customWidth="1"/>
    <col min="14602" max="14602" width="8.85546875" style="1705" customWidth="1"/>
    <col min="14603" max="14603" width="10.28515625" style="1705" customWidth="1"/>
    <col min="14604" max="14604" width="4.42578125" style="1705" customWidth="1"/>
    <col min="14605" max="14605" width="7.5703125" style="1705" customWidth="1"/>
    <col min="14606" max="14606" width="7.85546875" style="1705" customWidth="1"/>
    <col min="14607" max="14607" width="8" style="1705" customWidth="1"/>
    <col min="14608" max="14608" width="6.42578125" style="1705" customWidth="1"/>
    <col min="14609" max="14609" width="28.85546875" style="1705" customWidth="1"/>
    <col min="14610" max="14610" width="12.42578125" style="1705" customWidth="1"/>
    <col min="14611" max="14611" width="9.140625" style="1705" customWidth="1"/>
    <col min="14612" max="14612" width="10.85546875" style="1705" customWidth="1"/>
    <col min="14613" max="14613" width="9.140625" style="1705" customWidth="1"/>
    <col min="14614" max="14615" width="0" style="1705" hidden="1" customWidth="1"/>
    <col min="14616" max="14616" width="32.28515625" style="1705" customWidth="1"/>
    <col min="14617" max="14848" width="9.140625" style="1705"/>
    <col min="14849" max="14849" width="4.28515625" style="1705" customWidth="1"/>
    <col min="14850" max="14850" width="27.140625" style="1705" customWidth="1"/>
    <col min="14851" max="14851" width="8.85546875" style="1705" customWidth="1"/>
    <col min="14852" max="14852" width="6.7109375" style="1705" customWidth="1"/>
    <col min="14853" max="14853" width="4.7109375" style="1705" customWidth="1"/>
    <col min="14854" max="14854" width="8" style="1705" customWidth="1"/>
    <col min="14855" max="14855" width="9.28515625" style="1705" customWidth="1"/>
    <col min="14856" max="14856" width="8.5703125" style="1705" customWidth="1"/>
    <col min="14857" max="14857" width="9.42578125" style="1705" customWidth="1"/>
    <col min="14858" max="14858" width="8.85546875" style="1705" customWidth="1"/>
    <col min="14859" max="14859" width="10.28515625" style="1705" customWidth="1"/>
    <col min="14860" max="14860" width="4.42578125" style="1705" customWidth="1"/>
    <col min="14861" max="14861" width="7.5703125" style="1705" customWidth="1"/>
    <col min="14862" max="14862" width="7.85546875" style="1705" customWidth="1"/>
    <col min="14863" max="14863" width="8" style="1705" customWidth="1"/>
    <col min="14864" max="14864" width="6.42578125" style="1705" customWidth="1"/>
    <col min="14865" max="14865" width="28.85546875" style="1705" customWidth="1"/>
    <col min="14866" max="14866" width="12.42578125" style="1705" customWidth="1"/>
    <col min="14867" max="14867" width="9.140625" style="1705" customWidth="1"/>
    <col min="14868" max="14868" width="10.85546875" style="1705" customWidth="1"/>
    <col min="14869" max="14869" width="9.140625" style="1705" customWidth="1"/>
    <col min="14870" max="14871" width="0" style="1705" hidden="1" customWidth="1"/>
    <col min="14872" max="14872" width="32.28515625" style="1705" customWidth="1"/>
    <col min="14873" max="15104" width="9.140625" style="1705"/>
    <col min="15105" max="15105" width="4.28515625" style="1705" customWidth="1"/>
    <col min="15106" max="15106" width="27.140625" style="1705" customWidth="1"/>
    <col min="15107" max="15107" width="8.85546875" style="1705" customWidth="1"/>
    <col min="15108" max="15108" width="6.7109375" style="1705" customWidth="1"/>
    <col min="15109" max="15109" width="4.7109375" style="1705" customWidth="1"/>
    <col min="15110" max="15110" width="8" style="1705" customWidth="1"/>
    <col min="15111" max="15111" width="9.28515625" style="1705" customWidth="1"/>
    <col min="15112" max="15112" width="8.5703125" style="1705" customWidth="1"/>
    <col min="15113" max="15113" width="9.42578125" style="1705" customWidth="1"/>
    <col min="15114" max="15114" width="8.85546875" style="1705" customWidth="1"/>
    <col min="15115" max="15115" width="10.28515625" style="1705" customWidth="1"/>
    <col min="15116" max="15116" width="4.42578125" style="1705" customWidth="1"/>
    <col min="15117" max="15117" width="7.5703125" style="1705" customWidth="1"/>
    <col min="15118" max="15118" width="7.85546875" style="1705" customWidth="1"/>
    <col min="15119" max="15119" width="8" style="1705" customWidth="1"/>
    <col min="15120" max="15120" width="6.42578125" style="1705" customWidth="1"/>
    <col min="15121" max="15121" width="28.85546875" style="1705" customWidth="1"/>
    <col min="15122" max="15122" width="12.42578125" style="1705" customWidth="1"/>
    <col min="15123" max="15123" width="9.140625" style="1705" customWidth="1"/>
    <col min="15124" max="15124" width="10.85546875" style="1705" customWidth="1"/>
    <col min="15125" max="15125" width="9.140625" style="1705" customWidth="1"/>
    <col min="15126" max="15127" width="0" style="1705" hidden="1" customWidth="1"/>
    <col min="15128" max="15128" width="32.28515625" style="1705" customWidth="1"/>
    <col min="15129" max="15360" width="9.140625" style="1705"/>
    <col min="15361" max="15361" width="4.28515625" style="1705" customWidth="1"/>
    <col min="15362" max="15362" width="27.140625" style="1705" customWidth="1"/>
    <col min="15363" max="15363" width="8.85546875" style="1705" customWidth="1"/>
    <col min="15364" max="15364" width="6.7109375" style="1705" customWidth="1"/>
    <col min="15365" max="15365" width="4.7109375" style="1705" customWidth="1"/>
    <col min="15366" max="15366" width="8" style="1705" customWidth="1"/>
    <col min="15367" max="15367" width="9.28515625" style="1705" customWidth="1"/>
    <col min="15368" max="15368" width="8.5703125" style="1705" customWidth="1"/>
    <col min="15369" max="15369" width="9.42578125" style="1705" customWidth="1"/>
    <col min="15370" max="15370" width="8.85546875" style="1705" customWidth="1"/>
    <col min="15371" max="15371" width="10.28515625" style="1705" customWidth="1"/>
    <col min="15372" max="15372" width="4.42578125" style="1705" customWidth="1"/>
    <col min="15373" max="15373" width="7.5703125" style="1705" customWidth="1"/>
    <col min="15374" max="15374" width="7.85546875" style="1705" customWidth="1"/>
    <col min="15375" max="15375" width="8" style="1705" customWidth="1"/>
    <col min="15376" max="15376" width="6.42578125" style="1705" customWidth="1"/>
    <col min="15377" max="15377" width="28.85546875" style="1705" customWidth="1"/>
    <col min="15378" max="15378" width="12.42578125" style="1705" customWidth="1"/>
    <col min="15379" max="15379" width="9.140625" style="1705" customWidth="1"/>
    <col min="15380" max="15380" width="10.85546875" style="1705" customWidth="1"/>
    <col min="15381" max="15381" width="9.140625" style="1705" customWidth="1"/>
    <col min="15382" max="15383" width="0" style="1705" hidden="1" customWidth="1"/>
    <col min="15384" max="15384" width="32.28515625" style="1705" customWidth="1"/>
    <col min="15385" max="15616" width="9.140625" style="1705"/>
    <col min="15617" max="15617" width="4.28515625" style="1705" customWidth="1"/>
    <col min="15618" max="15618" width="27.140625" style="1705" customWidth="1"/>
    <col min="15619" max="15619" width="8.85546875" style="1705" customWidth="1"/>
    <col min="15620" max="15620" width="6.7109375" style="1705" customWidth="1"/>
    <col min="15621" max="15621" width="4.7109375" style="1705" customWidth="1"/>
    <col min="15622" max="15622" width="8" style="1705" customWidth="1"/>
    <col min="15623" max="15623" width="9.28515625" style="1705" customWidth="1"/>
    <col min="15624" max="15624" width="8.5703125" style="1705" customWidth="1"/>
    <col min="15625" max="15625" width="9.42578125" style="1705" customWidth="1"/>
    <col min="15626" max="15626" width="8.85546875" style="1705" customWidth="1"/>
    <col min="15627" max="15627" width="10.28515625" style="1705" customWidth="1"/>
    <col min="15628" max="15628" width="4.42578125" style="1705" customWidth="1"/>
    <col min="15629" max="15629" width="7.5703125" style="1705" customWidth="1"/>
    <col min="15630" max="15630" width="7.85546875" style="1705" customWidth="1"/>
    <col min="15631" max="15631" width="8" style="1705" customWidth="1"/>
    <col min="15632" max="15632" width="6.42578125" style="1705" customWidth="1"/>
    <col min="15633" max="15633" width="28.85546875" style="1705" customWidth="1"/>
    <col min="15634" max="15634" width="12.42578125" style="1705" customWidth="1"/>
    <col min="15635" max="15635" width="9.140625" style="1705" customWidth="1"/>
    <col min="15636" max="15636" width="10.85546875" style="1705" customWidth="1"/>
    <col min="15637" max="15637" width="9.140625" style="1705" customWidth="1"/>
    <col min="15638" max="15639" width="0" style="1705" hidden="1" customWidth="1"/>
    <col min="15640" max="15640" width="32.28515625" style="1705" customWidth="1"/>
    <col min="15641" max="15872" width="9.140625" style="1705"/>
    <col min="15873" max="15873" width="4.28515625" style="1705" customWidth="1"/>
    <col min="15874" max="15874" width="27.140625" style="1705" customWidth="1"/>
    <col min="15875" max="15875" width="8.85546875" style="1705" customWidth="1"/>
    <col min="15876" max="15876" width="6.7109375" style="1705" customWidth="1"/>
    <col min="15877" max="15877" width="4.7109375" style="1705" customWidth="1"/>
    <col min="15878" max="15878" width="8" style="1705" customWidth="1"/>
    <col min="15879" max="15879" width="9.28515625" style="1705" customWidth="1"/>
    <col min="15880" max="15880" width="8.5703125" style="1705" customWidth="1"/>
    <col min="15881" max="15881" width="9.42578125" style="1705" customWidth="1"/>
    <col min="15882" max="15882" width="8.85546875" style="1705" customWidth="1"/>
    <col min="15883" max="15883" width="10.28515625" style="1705" customWidth="1"/>
    <col min="15884" max="15884" width="4.42578125" style="1705" customWidth="1"/>
    <col min="15885" max="15885" width="7.5703125" style="1705" customWidth="1"/>
    <col min="15886" max="15886" width="7.85546875" style="1705" customWidth="1"/>
    <col min="15887" max="15887" width="8" style="1705" customWidth="1"/>
    <col min="15888" max="15888" width="6.42578125" style="1705" customWidth="1"/>
    <col min="15889" max="15889" width="28.85546875" style="1705" customWidth="1"/>
    <col min="15890" max="15890" width="12.42578125" style="1705" customWidth="1"/>
    <col min="15891" max="15891" width="9.140625" style="1705" customWidth="1"/>
    <col min="15892" max="15892" width="10.85546875" style="1705" customWidth="1"/>
    <col min="15893" max="15893" width="9.140625" style="1705" customWidth="1"/>
    <col min="15894" max="15895" width="0" style="1705" hidden="1" customWidth="1"/>
    <col min="15896" max="15896" width="32.28515625" style="1705" customWidth="1"/>
    <col min="15897" max="16128" width="9.140625" style="1705"/>
    <col min="16129" max="16129" width="4.28515625" style="1705" customWidth="1"/>
    <col min="16130" max="16130" width="27.140625" style="1705" customWidth="1"/>
    <col min="16131" max="16131" width="8.85546875" style="1705" customWidth="1"/>
    <col min="16132" max="16132" width="6.7109375" style="1705" customWidth="1"/>
    <col min="16133" max="16133" width="4.7109375" style="1705" customWidth="1"/>
    <col min="16134" max="16134" width="8" style="1705" customWidth="1"/>
    <col min="16135" max="16135" width="9.28515625" style="1705" customWidth="1"/>
    <col min="16136" max="16136" width="8.5703125" style="1705" customWidth="1"/>
    <col min="16137" max="16137" width="9.42578125" style="1705" customWidth="1"/>
    <col min="16138" max="16138" width="8.85546875" style="1705" customWidth="1"/>
    <col min="16139" max="16139" width="10.28515625" style="1705" customWidth="1"/>
    <col min="16140" max="16140" width="4.42578125" style="1705" customWidth="1"/>
    <col min="16141" max="16141" width="7.5703125" style="1705" customWidth="1"/>
    <col min="16142" max="16142" width="7.85546875" style="1705" customWidth="1"/>
    <col min="16143" max="16143" width="8" style="1705" customWidth="1"/>
    <col min="16144" max="16144" width="6.42578125" style="1705" customWidth="1"/>
    <col min="16145" max="16145" width="28.85546875" style="1705" customWidth="1"/>
    <col min="16146" max="16146" width="12.42578125" style="1705" customWidth="1"/>
    <col min="16147" max="16147" width="9.140625" style="1705" customWidth="1"/>
    <col min="16148" max="16148" width="10.85546875" style="1705" customWidth="1"/>
    <col min="16149" max="16149" width="9.140625" style="1705" customWidth="1"/>
    <col min="16150" max="16151" width="0" style="1705" hidden="1" customWidth="1"/>
    <col min="16152" max="16152" width="32.28515625" style="1705" customWidth="1"/>
    <col min="16153" max="16384" width="9.140625" style="1705"/>
  </cols>
  <sheetData>
    <row r="1" spans="1:39" ht="15.75" hidden="1">
      <c r="A1" s="2937" t="s">
        <v>0</v>
      </c>
      <c r="B1" s="2937"/>
      <c r="C1" s="2937"/>
      <c r="D1" s="2937"/>
      <c r="E1" s="2937"/>
      <c r="F1" s="2937"/>
      <c r="G1" s="2937"/>
      <c r="H1" s="2937"/>
      <c r="I1" s="2937"/>
      <c r="J1" s="2937"/>
      <c r="K1" s="2937"/>
      <c r="L1" s="2937"/>
      <c r="M1" s="2937"/>
      <c r="N1" s="2937"/>
      <c r="O1" s="1704"/>
      <c r="P1" s="1704"/>
      <c r="Y1" s="1707" t="s">
        <v>1</v>
      </c>
      <c r="Z1" s="1707" t="s">
        <v>2</v>
      </c>
      <c r="AA1" s="1707" t="s">
        <v>3</v>
      </c>
      <c r="AB1" s="1707" t="s">
        <v>4</v>
      </c>
      <c r="AC1" s="1707" t="s">
        <v>5</v>
      </c>
      <c r="AD1" s="1707" t="s">
        <v>6</v>
      </c>
      <c r="AE1" s="1707" t="s">
        <v>7</v>
      </c>
      <c r="AF1" s="1707" t="s">
        <v>8</v>
      </c>
      <c r="AG1" s="1707" t="s">
        <v>9</v>
      </c>
      <c r="AH1" s="1707" t="s">
        <v>10</v>
      </c>
      <c r="AI1" s="1707" t="s">
        <v>11</v>
      </c>
      <c r="AJ1" s="1707" t="s">
        <v>12</v>
      </c>
      <c r="AK1" s="1707" t="s">
        <v>13</v>
      </c>
      <c r="AL1" s="1707" t="s">
        <v>14</v>
      </c>
      <c r="AM1" s="1707" t="s">
        <v>15</v>
      </c>
    </row>
    <row r="2" spans="1:39" ht="13.5" hidden="1" customHeight="1">
      <c r="A2" s="2938" t="s">
        <v>16</v>
      </c>
      <c r="B2" s="2938"/>
      <c r="C2" s="2938"/>
      <c r="D2" s="2939" t="s">
        <v>3967</v>
      </c>
      <c r="E2" s="2939"/>
      <c r="F2" s="2939"/>
      <c r="G2" s="2939"/>
      <c r="H2" s="2939"/>
      <c r="I2" s="2939"/>
      <c r="J2" s="2939"/>
      <c r="K2" s="2939"/>
      <c r="L2" s="2939"/>
      <c r="M2" s="2939"/>
      <c r="N2" s="2939"/>
      <c r="O2" s="1708"/>
      <c r="P2" s="1708"/>
    </row>
    <row r="3" spans="1:39" ht="13.5" hidden="1" customHeight="1">
      <c r="A3" s="2938" t="s">
        <v>18</v>
      </c>
      <c r="B3" s="2938"/>
      <c r="C3" s="2938"/>
      <c r="D3" s="2939" t="s">
        <v>1638</v>
      </c>
      <c r="E3" s="2939"/>
      <c r="F3" s="2939"/>
      <c r="G3" s="2939"/>
      <c r="H3" s="2939"/>
      <c r="I3" s="2939"/>
      <c r="J3" s="2939"/>
      <c r="K3" s="2939"/>
      <c r="L3" s="2939"/>
      <c r="M3" s="2939"/>
      <c r="N3" s="2939"/>
      <c r="O3" s="1708"/>
      <c r="P3" s="1708"/>
      <c r="Q3" s="1709"/>
    </row>
    <row r="4" spans="1:39" ht="13.5" hidden="1" customHeight="1">
      <c r="A4" s="2938" t="s">
        <v>20</v>
      </c>
      <c r="B4" s="2938"/>
      <c r="C4" s="2938"/>
      <c r="D4" s="2940"/>
      <c r="E4" s="2940"/>
      <c r="F4" s="2940"/>
      <c r="G4" s="2940"/>
      <c r="H4" s="2940"/>
      <c r="I4" s="2940"/>
      <c r="J4" s="2940"/>
      <c r="K4" s="2940"/>
      <c r="L4" s="2940"/>
      <c r="M4" s="2940"/>
      <c r="N4" s="2939"/>
      <c r="O4" s="1708"/>
      <c r="P4" s="1708"/>
    </row>
    <row r="5" spans="1:39" s="175" customFormat="1" ht="57.6" customHeight="1">
      <c r="A5" s="1710" t="s">
        <v>22</v>
      </c>
      <c r="B5" s="2917" t="s">
        <v>23</v>
      </c>
      <c r="C5" s="1711" t="s">
        <v>24</v>
      </c>
      <c r="D5" s="2905" t="s">
        <v>25</v>
      </c>
      <c r="E5" s="2905"/>
      <c r="F5" s="1712" t="s">
        <v>26</v>
      </c>
      <c r="G5" s="1712" t="s">
        <v>27</v>
      </c>
      <c r="H5" s="2905" t="s">
        <v>28</v>
      </c>
      <c r="I5" s="2905"/>
      <c r="J5" s="1713" t="s">
        <v>3750</v>
      </c>
      <c r="K5" s="1712" t="s">
        <v>30</v>
      </c>
      <c r="L5" s="2941" t="s">
        <v>31</v>
      </c>
      <c r="M5" s="2941"/>
      <c r="N5" s="2900" t="s">
        <v>32</v>
      </c>
      <c r="O5" s="2907" t="s">
        <v>33</v>
      </c>
      <c r="P5" s="2900" t="s">
        <v>34</v>
      </c>
      <c r="Q5" s="2902"/>
      <c r="R5" s="1714"/>
      <c r="S5" s="1714"/>
      <c r="T5" s="2904" t="s">
        <v>35</v>
      </c>
      <c r="U5" s="2904" t="s">
        <v>36</v>
      </c>
    </row>
    <row r="6" spans="1:39" s="175" customFormat="1" ht="12.75" hidden="1" customHeight="1">
      <c r="A6" s="1715" t="s">
        <v>37</v>
      </c>
      <c r="B6" s="2919"/>
      <c r="C6" s="1711" t="s">
        <v>38</v>
      </c>
      <c r="D6" s="2905" t="s">
        <v>39</v>
      </c>
      <c r="E6" s="2905"/>
      <c r="F6" s="1716" t="s">
        <v>3412</v>
      </c>
      <c r="G6" s="1716" t="s">
        <v>41</v>
      </c>
      <c r="H6" s="1715" t="s">
        <v>42</v>
      </c>
      <c r="I6" s="1715" t="s">
        <v>43</v>
      </c>
      <c r="J6" s="1711" t="s">
        <v>44</v>
      </c>
      <c r="K6" s="1716" t="s">
        <v>45</v>
      </c>
      <c r="L6" s="2894" t="s">
        <v>44</v>
      </c>
      <c r="M6" s="2894"/>
      <c r="N6" s="2901"/>
      <c r="O6" s="2908"/>
      <c r="P6" s="2901"/>
      <c r="Q6" s="2903"/>
      <c r="R6" s="1714"/>
      <c r="S6" s="1714"/>
      <c r="T6" s="2904"/>
      <c r="U6" s="2904"/>
    </row>
    <row r="7" spans="1:39" s="140" customFormat="1" ht="20.65" hidden="1" customHeight="1">
      <c r="A7" s="1711">
        <v>1</v>
      </c>
      <c r="B7" s="1711">
        <v>2</v>
      </c>
      <c r="C7" s="1711">
        <v>3</v>
      </c>
      <c r="D7" s="2905">
        <v>4</v>
      </c>
      <c r="E7" s="2905"/>
      <c r="F7" s="1711">
        <v>5</v>
      </c>
      <c r="G7" s="1711">
        <v>6</v>
      </c>
      <c r="H7" s="1711">
        <v>7</v>
      </c>
      <c r="I7" s="1711">
        <v>8</v>
      </c>
      <c r="J7" s="1711">
        <v>9</v>
      </c>
      <c r="K7" s="1711">
        <v>10</v>
      </c>
      <c r="L7" s="2905">
        <v>11</v>
      </c>
      <c r="M7" s="2905"/>
      <c r="N7" s="1711">
        <v>12</v>
      </c>
      <c r="O7" s="1711">
        <v>13</v>
      </c>
      <c r="P7" s="1711">
        <v>14</v>
      </c>
      <c r="Q7" s="1716">
        <v>15</v>
      </c>
      <c r="R7" s="1717" t="s">
        <v>46</v>
      </c>
      <c r="S7" s="1717"/>
      <c r="T7" s="2904"/>
      <c r="U7" s="2904"/>
      <c r="V7" s="2942" t="s">
        <v>47</v>
      </c>
      <c r="W7" s="2942"/>
    </row>
    <row r="8" spans="1:39" s="175" customFormat="1" ht="11.25" customHeight="1">
      <c r="A8" s="1711">
        <v>1</v>
      </c>
      <c r="B8" s="1714" t="s">
        <v>48</v>
      </c>
      <c r="C8" s="1718" t="s">
        <v>49</v>
      </c>
      <c r="D8" s="2906" t="s">
        <v>50</v>
      </c>
      <c r="E8" s="2906"/>
      <c r="F8" s="1720">
        <f>T8</f>
        <v>995.25</v>
      </c>
      <c r="G8" s="1720">
        <f>F8</f>
        <v>995.25</v>
      </c>
      <c r="H8" s="1719">
        <v>60</v>
      </c>
      <c r="I8" s="1721">
        <f>IF(H8 &gt; 50,'LEAD OF MATL.'!B16+45*'LEAD OF MATL.'!B17+(H8-50)*'LEAD OF MATL.'!B18,'LEAD OF MATL.'!B16+(H8-5)*'LEAD OF MATL.'!B17)</f>
        <v>953.91</v>
      </c>
      <c r="J8" s="1722">
        <f>R8+(R8*10%)+(R8*5%)+S8</f>
        <v>354.5</v>
      </c>
      <c r="K8" s="1721">
        <f>I8+J8</f>
        <v>1308.4099999999999</v>
      </c>
      <c r="L8" s="2886">
        <f>G8+K8</f>
        <v>2303.66</v>
      </c>
      <c r="M8" s="2886"/>
      <c r="N8" s="1723">
        <f>G8-F8</f>
        <v>0</v>
      </c>
      <c r="O8" s="1723">
        <f>L8-J8</f>
        <v>1949.1599999999999</v>
      </c>
      <c r="P8" s="1723">
        <v>5</v>
      </c>
      <c r="Q8" s="1714" t="s">
        <v>48</v>
      </c>
      <c r="R8" s="1724">
        <v>130</v>
      </c>
      <c r="S8" s="1725">
        <v>205</v>
      </c>
      <c r="T8" s="1724">
        <f>'BASIC COST OF MATL'!K52</f>
        <v>995.25</v>
      </c>
      <c r="U8" s="1726">
        <f>G8-N8</f>
        <v>995.25</v>
      </c>
      <c r="V8" s="1727">
        <v>701</v>
      </c>
      <c r="X8" s="1728">
        <f>G8+I8</f>
        <v>1949.1599999999999</v>
      </c>
    </row>
    <row r="9" spans="1:39" s="175" customFormat="1" ht="11.25" customHeight="1">
      <c r="A9" s="1711">
        <f t="shared" ref="A9:A77" si="0">A8+1</f>
        <v>2</v>
      </c>
      <c r="B9" s="1714" t="s">
        <v>51</v>
      </c>
      <c r="C9" s="1718" t="s">
        <v>49</v>
      </c>
      <c r="D9" s="2877" t="str">
        <f>D8</f>
        <v>Gudiakateni</v>
      </c>
      <c r="E9" s="2877"/>
      <c r="F9" s="1720">
        <f t="shared" ref="F9:F48" si="1">T9</f>
        <v>787.36</v>
      </c>
      <c r="G9" s="1720">
        <f t="shared" ref="G9:G72" si="2">F9</f>
        <v>787.36</v>
      </c>
      <c r="H9" s="1729">
        <f>H8</f>
        <v>60</v>
      </c>
      <c r="I9" s="1721">
        <f>IF(H9 &gt; 50,'LEAD OF MATL.'!B16+45*'LEAD OF MATL.'!B17+(H9-50)*'LEAD OF MATL.'!B18,'LEAD OF MATL.'!B16+(H9-5)*'LEAD OF MATL.'!B17)</f>
        <v>953.91</v>
      </c>
      <c r="J9" s="1721">
        <f>J8</f>
        <v>354.5</v>
      </c>
      <c r="K9" s="1721">
        <f t="shared" ref="K9:K63" si="3">I9+J9</f>
        <v>1308.4099999999999</v>
      </c>
      <c r="L9" s="2886">
        <f t="shared" ref="L9:L27" si="4">G9+K9</f>
        <v>2095.77</v>
      </c>
      <c r="M9" s="2886"/>
      <c r="N9" s="1723">
        <f t="shared" ref="N9:N27" si="5">G9-F9</f>
        <v>0</v>
      </c>
      <c r="O9" s="1723">
        <f t="shared" ref="O9:O80" si="6">L9-J9</f>
        <v>1741.27</v>
      </c>
      <c r="P9" s="1723">
        <v>5</v>
      </c>
      <c r="Q9" s="1714" t="s">
        <v>51</v>
      </c>
      <c r="R9" s="1730"/>
      <c r="T9" s="1730">
        <f>'BASIC COST OF MATL'!K53</f>
        <v>787.36</v>
      </c>
      <c r="U9" s="1721">
        <f>G9-N9</f>
        <v>787.36</v>
      </c>
      <c r="V9" s="1727">
        <v>561</v>
      </c>
      <c r="X9" s="1728">
        <f t="shared" ref="X9:X107" si="7">G9+I9</f>
        <v>1741.27</v>
      </c>
    </row>
    <row r="10" spans="1:39" s="175" customFormat="1" ht="11.25" customHeight="1">
      <c r="A10" s="1711">
        <f t="shared" si="0"/>
        <v>3</v>
      </c>
      <c r="B10" s="1714" t="s">
        <v>52</v>
      </c>
      <c r="C10" s="1718" t="s">
        <v>49</v>
      </c>
      <c r="D10" s="2877" t="str">
        <f>D9</f>
        <v>Gudiakateni</v>
      </c>
      <c r="E10" s="2877"/>
      <c r="F10" s="1720">
        <f t="shared" si="1"/>
        <v>1135.74</v>
      </c>
      <c r="G10" s="1720">
        <f t="shared" si="2"/>
        <v>1135.74</v>
      </c>
      <c r="H10" s="1729">
        <f>H9</f>
        <v>60</v>
      </c>
      <c r="I10" s="1721">
        <f>IF(H10 &gt; 50,'LEAD OF MATL.'!B16+45*'LEAD OF MATL.'!B17+(H10-50)*'LEAD OF MATL.'!B18,'LEAD OF MATL.'!B16+(H10-5)*'LEAD OF MATL.'!B17)</f>
        <v>953.91</v>
      </c>
      <c r="J10" s="1721">
        <f>J8</f>
        <v>354.5</v>
      </c>
      <c r="K10" s="1721">
        <f t="shared" si="3"/>
        <v>1308.4099999999999</v>
      </c>
      <c r="L10" s="2886">
        <f t="shared" si="4"/>
        <v>2444.1499999999996</v>
      </c>
      <c r="M10" s="2886"/>
      <c r="N10" s="1723">
        <f t="shared" si="5"/>
        <v>0</v>
      </c>
      <c r="O10" s="1723">
        <f t="shared" si="6"/>
        <v>2089.6499999999996</v>
      </c>
      <c r="P10" s="1723">
        <v>5</v>
      </c>
      <c r="Q10" s="1714" t="s">
        <v>52</v>
      </c>
      <c r="R10" s="1730"/>
      <c r="T10" s="1730">
        <f>'BASIC COST OF MATL'!K58</f>
        <v>1135.74</v>
      </c>
      <c r="U10" s="1721">
        <f t="shared" ref="U10:U98" si="8">G10-N10</f>
        <v>1135.74</v>
      </c>
      <c r="V10" s="1727">
        <v>764</v>
      </c>
      <c r="X10" s="1728">
        <f t="shared" si="7"/>
        <v>2089.65</v>
      </c>
    </row>
    <row r="11" spans="1:39" s="175" customFormat="1" ht="11.25" customHeight="1">
      <c r="A11" s="1711">
        <f t="shared" si="0"/>
        <v>4</v>
      </c>
      <c r="B11" s="1714" t="s">
        <v>53</v>
      </c>
      <c r="C11" s="1718" t="s">
        <v>49</v>
      </c>
      <c r="D11" s="2877" t="str">
        <f>D10</f>
        <v>Gudiakateni</v>
      </c>
      <c r="E11" s="2877"/>
      <c r="F11" s="1720">
        <f t="shared" si="1"/>
        <v>1382.29</v>
      </c>
      <c r="G11" s="1720">
        <f t="shared" si="2"/>
        <v>1382.29</v>
      </c>
      <c r="H11" s="1729">
        <f t="shared" ref="H11:H23" si="9">H10</f>
        <v>60</v>
      </c>
      <c r="I11" s="1721">
        <f>IF(H11 &gt; 50,'LEAD OF MATL.'!B16+45*'LEAD OF MATL.'!B17+(H11-50)*'LEAD OF MATL.'!B18,'LEAD OF MATL.'!B16+(H11-5)*'LEAD OF MATL.'!B17)</f>
        <v>953.91</v>
      </c>
      <c r="J11" s="1721">
        <f>J8</f>
        <v>354.5</v>
      </c>
      <c r="K11" s="1721">
        <f t="shared" si="3"/>
        <v>1308.4099999999999</v>
      </c>
      <c r="L11" s="2886">
        <f t="shared" si="4"/>
        <v>2690.7</v>
      </c>
      <c r="M11" s="2886"/>
      <c r="N11" s="1723">
        <f t="shared" si="5"/>
        <v>0</v>
      </c>
      <c r="O11" s="1723">
        <f t="shared" si="6"/>
        <v>2336.1999999999998</v>
      </c>
      <c r="P11" s="1723">
        <v>5</v>
      </c>
      <c r="Q11" s="1714" t="s">
        <v>53</v>
      </c>
      <c r="R11" s="1730"/>
      <c r="T11" s="1730">
        <f>'BASIC COST OF MATL'!K64</f>
        <v>1382.29</v>
      </c>
      <c r="U11" s="1721">
        <f>G11-N11</f>
        <v>1382.29</v>
      </c>
      <c r="V11" s="1727">
        <v>998</v>
      </c>
      <c r="X11" s="1728">
        <f t="shared" si="7"/>
        <v>2336.1999999999998</v>
      </c>
    </row>
    <row r="12" spans="1:39" s="175" customFormat="1" ht="11.25" customHeight="1">
      <c r="A12" s="1711">
        <f t="shared" si="0"/>
        <v>5</v>
      </c>
      <c r="B12" s="1714" t="s">
        <v>54</v>
      </c>
      <c r="C12" s="1718" t="s">
        <v>49</v>
      </c>
      <c r="D12" s="2877" t="str">
        <f>D11</f>
        <v>Gudiakateni</v>
      </c>
      <c r="E12" s="2877"/>
      <c r="F12" s="1720">
        <f t="shared" si="1"/>
        <v>1396.62</v>
      </c>
      <c r="G12" s="1720">
        <f t="shared" si="2"/>
        <v>1396.62</v>
      </c>
      <c r="H12" s="1729">
        <f t="shared" si="9"/>
        <v>60</v>
      </c>
      <c r="I12" s="1721">
        <f>IF(H12 &gt; 50,'LEAD OF MATL.'!B16+45*'LEAD OF MATL.'!B17+(H12-50)*'LEAD OF MATL.'!B18,'LEAD OF MATL.'!B16+(H12-5)*'LEAD OF MATL.'!B17)</f>
        <v>953.91</v>
      </c>
      <c r="J12" s="1721">
        <f>J8</f>
        <v>354.5</v>
      </c>
      <c r="K12" s="1721">
        <f t="shared" si="3"/>
        <v>1308.4099999999999</v>
      </c>
      <c r="L12" s="2886">
        <f t="shared" si="4"/>
        <v>2705.0299999999997</v>
      </c>
      <c r="M12" s="2886"/>
      <c r="N12" s="1723">
        <f t="shared" si="5"/>
        <v>0</v>
      </c>
      <c r="O12" s="1723">
        <f t="shared" si="6"/>
        <v>2350.5299999999997</v>
      </c>
      <c r="P12" s="1723">
        <v>5</v>
      </c>
      <c r="Q12" s="1714" t="s">
        <v>54</v>
      </c>
      <c r="R12" s="1730"/>
      <c r="T12" s="1730">
        <f>'BASIC COST OF MATL'!K70</f>
        <v>1396.62</v>
      </c>
      <c r="U12" s="1721">
        <f t="shared" si="8"/>
        <v>1396.62</v>
      </c>
      <c r="V12" s="1727">
        <v>1031</v>
      </c>
      <c r="X12" s="1728">
        <f t="shared" si="7"/>
        <v>2350.5299999999997</v>
      </c>
    </row>
    <row r="13" spans="1:39" s="175" customFormat="1" ht="11.25" customHeight="1">
      <c r="A13" s="1711">
        <f t="shared" si="0"/>
        <v>6</v>
      </c>
      <c r="B13" s="1714" t="s">
        <v>55</v>
      </c>
      <c r="C13" s="1718" t="s">
        <v>49</v>
      </c>
      <c r="D13" s="2877" t="str">
        <f>D12</f>
        <v>Gudiakateni</v>
      </c>
      <c r="E13" s="2877"/>
      <c r="F13" s="1720">
        <f t="shared" si="1"/>
        <v>1085.19</v>
      </c>
      <c r="G13" s="1720">
        <f t="shared" si="2"/>
        <v>1085.19</v>
      </c>
      <c r="H13" s="1729">
        <f t="shared" si="9"/>
        <v>60</v>
      </c>
      <c r="I13" s="1721">
        <f>IF(H13 &gt; 50,'LEAD OF MATL.'!B16+45*'LEAD OF MATL.'!B17+(H13-50)*'LEAD OF MATL.'!B18,'LEAD OF MATL.'!B16+(H13-5)*'LEAD OF MATL.'!B17)</f>
        <v>953.91</v>
      </c>
      <c r="J13" s="1721">
        <f>J9</f>
        <v>354.5</v>
      </c>
      <c r="K13" s="1721">
        <f t="shared" si="3"/>
        <v>1308.4099999999999</v>
      </c>
      <c r="L13" s="2886">
        <f t="shared" si="4"/>
        <v>2393.6</v>
      </c>
      <c r="M13" s="2886"/>
      <c r="N13" s="1723">
        <f t="shared" si="5"/>
        <v>0</v>
      </c>
      <c r="O13" s="1723">
        <f t="shared" si="6"/>
        <v>2039.1</v>
      </c>
      <c r="P13" s="1723">
        <v>5</v>
      </c>
      <c r="Q13" s="1714" t="s">
        <v>55</v>
      </c>
      <c r="R13" s="1730"/>
      <c r="T13" s="1730">
        <f>'BASIC COST OF MATL'!K71</f>
        <v>1085.19</v>
      </c>
      <c r="U13" s="1721">
        <f>G13-N13</f>
        <v>1085.19</v>
      </c>
      <c r="V13" s="1727"/>
      <c r="X13" s="1728"/>
    </row>
    <row r="14" spans="1:39" s="175" customFormat="1" ht="11.25" customHeight="1">
      <c r="A14" s="1711">
        <f t="shared" si="0"/>
        <v>7</v>
      </c>
      <c r="B14" s="1714" t="s">
        <v>56</v>
      </c>
      <c r="C14" s="1718" t="s">
        <v>49</v>
      </c>
      <c r="D14" s="2877" t="str">
        <f>D12</f>
        <v>Gudiakateni</v>
      </c>
      <c r="E14" s="2877"/>
      <c r="F14" s="1720">
        <f t="shared" si="1"/>
        <v>1402</v>
      </c>
      <c r="G14" s="1720">
        <f t="shared" si="2"/>
        <v>1402</v>
      </c>
      <c r="H14" s="1729">
        <f t="shared" si="9"/>
        <v>60</v>
      </c>
      <c r="I14" s="1721">
        <f>IF(H14 &gt; 50,'LEAD OF MATL.'!B16+45*'LEAD OF MATL.'!B17+(H14-50)*'LEAD OF MATL.'!B18,'LEAD OF MATL.'!B16+(H14-5)*'LEAD OF MATL.'!B17)</f>
        <v>953.91</v>
      </c>
      <c r="J14" s="1721">
        <f>J8</f>
        <v>354.5</v>
      </c>
      <c r="K14" s="1721">
        <f t="shared" si="3"/>
        <v>1308.4099999999999</v>
      </c>
      <c r="L14" s="2886">
        <f t="shared" si="4"/>
        <v>2710.41</v>
      </c>
      <c r="M14" s="2886"/>
      <c r="N14" s="1723">
        <f t="shared" si="5"/>
        <v>0</v>
      </c>
      <c r="O14" s="1723">
        <f t="shared" si="6"/>
        <v>2355.91</v>
      </c>
      <c r="P14" s="1723">
        <v>5</v>
      </c>
      <c r="Q14" s="1714" t="s">
        <v>56</v>
      </c>
      <c r="R14" s="1730"/>
      <c r="T14" s="1730">
        <f>'BASIC COST OF MATL'!K76</f>
        <v>1402</v>
      </c>
      <c r="U14" s="1721">
        <f t="shared" si="8"/>
        <v>1402</v>
      </c>
      <c r="V14" s="1727">
        <v>1091</v>
      </c>
      <c r="X14" s="1728">
        <f t="shared" si="7"/>
        <v>2355.91</v>
      </c>
    </row>
    <row r="15" spans="1:39" s="175" customFormat="1" ht="11.25" customHeight="1">
      <c r="A15" s="1711">
        <f t="shared" si="0"/>
        <v>8</v>
      </c>
      <c r="B15" s="1714" t="s">
        <v>57</v>
      </c>
      <c r="C15" s="1718" t="s">
        <v>49</v>
      </c>
      <c r="D15" s="2877" t="str">
        <f t="shared" ref="D15:D23" si="10">D14</f>
        <v>Gudiakateni</v>
      </c>
      <c r="E15" s="2877"/>
      <c r="F15" s="1720">
        <f t="shared" si="1"/>
        <v>957.46</v>
      </c>
      <c r="G15" s="1720">
        <f t="shared" si="2"/>
        <v>957.46</v>
      </c>
      <c r="H15" s="1729">
        <f t="shared" si="9"/>
        <v>60</v>
      </c>
      <c r="I15" s="1721">
        <f>IF(H15 &gt; 50,'LEAD OF MATL.'!B16+45*'LEAD OF MATL.'!B17+(H15-50)*'LEAD OF MATL.'!B18,'LEAD OF MATL.'!B16+(H15-5)*'LEAD OF MATL.'!B17)</f>
        <v>953.91</v>
      </c>
      <c r="J15" s="1721">
        <f>J9</f>
        <v>354.5</v>
      </c>
      <c r="K15" s="1721">
        <f t="shared" si="3"/>
        <v>1308.4099999999999</v>
      </c>
      <c r="L15" s="2886">
        <f t="shared" si="4"/>
        <v>2265.87</v>
      </c>
      <c r="M15" s="2886"/>
      <c r="N15" s="1723">
        <f t="shared" si="5"/>
        <v>0</v>
      </c>
      <c r="O15" s="1723">
        <f t="shared" si="6"/>
        <v>1911.37</v>
      </c>
      <c r="P15" s="1723">
        <v>5</v>
      </c>
      <c r="Q15" s="1714" t="s">
        <v>57</v>
      </c>
      <c r="R15" s="1730"/>
      <c r="T15" s="1730">
        <f>'BASIC COST OF MATL'!K78</f>
        <v>957.46</v>
      </c>
      <c r="U15" s="1721">
        <f t="shared" si="8"/>
        <v>957.46</v>
      </c>
      <c r="V15" s="1727">
        <v>708</v>
      </c>
      <c r="X15" s="1728">
        <f t="shared" si="7"/>
        <v>1911.37</v>
      </c>
    </row>
    <row r="16" spans="1:39" s="175" customFormat="1" ht="11.25" customHeight="1">
      <c r="A16" s="1711">
        <f t="shared" si="0"/>
        <v>9</v>
      </c>
      <c r="B16" s="1714" t="s">
        <v>58</v>
      </c>
      <c r="C16" s="1718" t="s">
        <v>49</v>
      </c>
      <c r="D16" s="2877" t="str">
        <f t="shared" si="10"/>
        <v>Gudiakateni</v>
      </c>
      <c r="E16" s="2877"/>
      <c r="F16" s="1720">
        <f t="shared" si="1"/>
        <v>792.8</v>
      </c>
      <c r="G16" s="1720">
        <f t="shared" si="2"/>
        <v>792.8</v>
      </c>
      <c r="H16" s="1729">
        <f t="shared" si="9"/>
        <v>60</v>
      </c>
      <c r="I16" s="1721">
        <f>IF(H16 &gt; 50,'LEAD OF MATL.'!B16+45*'LEAD OF MATL.'!B17+(H16-50)*'LEAD OF MATL.'!B18,'LEAD OF MATL.'!B16+(H16-5)*'LEAD OF MATL.'!B17)</f>
        <v>953.91</v>
      </c>
      <c r="J16" s="1721">
        <f>J8</f>
        <v>354.5</v>
      </c>
      <c r="K16" s="1721">
        <f t="shared" si="3"/>
        <v>1308.4099999999999</v>
      </c>
      <c r="L16" s="2886">
        <f t="shared" si="4"/>
        <v>2101.21</v>
      </c>
      <c r="M16" s="2886"/>
      <c r="N16" s="1723">
        <f t="shared" si="5"/>
        <v>0</v>
      </c>
      <c r="O16" s="1723">
        <f t="shared" si="6"/>
        <v>1746.71</v>
      </c>
      <c r="P16" s="1723">
        <v>5</v>
      </c>
      <c r="Q16" s="1714" t="s">
        <v>58</v>
      </c>
      <c r="R16" s="1730"/>
      <c r="T16" s="1730">
        <f>'BASIC COST OF MATL'!K80</f>
        <v>792.8</v>
      </c>
      <c r="U16" s="1721">
        <f t="shared" si="8"/>
        <v>792.8</v>
      </c>
      <c r="V16" s="1727">
        <v>656</v>
      </c>
      <c r="X16" s="1728">
        <f t="shared" si="7"/>
        <v>1746.71</v>
      </c>
    </row>
    <row r="17" spans="1:24" s="175" customFormat="1" ht="11.25" customHeight="1">
      <c r="A17" s="1711">
        <f t="shared" si="0"/>
        <v>10</v>
      </c>
      <c r="B17" s="1714" t="s">
        <v>59</v>
      </c>
      <c r="C17" s="1718" t="s">
        <v>49</v>
      </c>
      <c r="D17" s="2877" t="str">
        <f t="shared" si="10"/>
        <v>Gudiakateni</v>
      </c>
      <c r="E17" s="2877"/>
      <c r="F17" s="1720">
        <f t="shared" si="1"/>
        <v>291.95999999999998</v>
      </c>
      <c r="G17" s="1720">
        <f t="shared" si="2"/>
        <v>291.95999999999998</v>
      </c>
      <c r="H17" s="1729">
        <f t="shared" si="9"/>
        <v>60</v>
      </c>
      <c r="I17" s="1721">
        <f>IF(H17 &gt; 50,'LEAD OF MATL.'!B16+45*'LEAD OF MATL.'!B17+(H17-50)*'LEAD OF MATL.'!B18,'LEAD OF MATL.'!B16+(H17-5)*'LEAD OF MATL.'!B17)</f>
        <v>953.91</v>
      </c>
      <c r="J17" s="1721">
        <f>J10</f>
        <v>354.5</v>
      </c>
      <c r="K17" s="1721">
        <f t="shared" si="3"/>
        <v>1308.4099999999999</v>
      </c>
      <c r="L17" s="2886">
        <f t="shared" si="4"/>
        <v>1600.37</v>
      </c>
      <c r="M17" s="2886"/>
      <c r="N17" s="1723">
        <f t="shared" si="5"/>
        <v>0</v>
      </c>
      <c r="O17" s="1723">
        <f t="shared" si="6"/>
        <v>1245.8699999999999</v>
      </c>
      <c r="P17" s="1723">
        <v>28</v>
      </c>
      <c r="Q17" s="1714" t="s">
        <v>59</v>
      </c>
      <c r="R17" s="1730"/>
      <c r="T17" s="1730">
        <f>'BASIC COST OF MATL'!K39</f>
        <v>291.95999999999998</v>
      </c>
      <c r="U17" s="1721">
        <f t="shared" si="8"/>
        <v>291.95999999999998</v>
      </c>
      <c r="V17" s="1727">
        <v>245</v>
      </c>
      <c r="X17" s="1728">
        <f t="shared" si="7"/>
        <v>1245.8699999999999</v>
      </c>
    </row>
    <row r="18" spans="1:24" s="175" customFormat="1" ht="11.25" customHeight="1">
      <c r="A18" s="1711">
        <f t="shared" si="0"/>
        <v>11</v>
      </c>
      <c r="B18" s="1714" t="s">
        <v>60</v>
      </c>
      <c r="C18" s="1718" t="s">
        <v>49</v>
      </c>
      <c r="D18" s="2877" t="str">
        <f t="shared" si="10"/>
        <v>Gudiakateni</v>
      </c>
      <c r="E18" s="2877"/>
      <c r="F18" s="1720">
        <f t="shared" si="1"/>
        <v>258.83999999999997</v>
      </c>
      <c r="G18" s="1720">
        <f t="shared" si="2"/>
        <v>258.83999999999997</v>
      </c>
      <c r="H18" s="1729">
        <f t="shared" si="9"/>
        <v>60</v>
      </c>
      <c r="I18" s="1721">
        <f>IF(H18 &gt; 50,'LEAD OF MATL.'!B16+45*'LEAD OF MATL.'!B17+(H18-50)*'LEAD OF MATL.'!B18,'LEAD OF MATL.'!B16+(H18-5)*'LEAD OF MATL.'!B17)</f>
        <v>953.91</v>
      </c>
      <c r="J18" s="1721">
        <f>J11</f>
        <v>354.5</v>
      </c>
      <c r="K18" s="1721">
        <f t="shared" si="3"/>
        <v>1308.4099999999999</v>
      </c>
      <c r="L18" s="2886">
        <f t="shared" si="4"/>
        <v>1567.2499999999998</v>
      </c>
      <c r="M18" s="2886"/>
      <c r="N18" s="1723">
        <f t="shared" si="5"/>
        <v>0</v>
      </c>
      <c r="O18" s="1723">
        <f t="shared" si="6"/>
        <v>1212.7499999999998</v>
      </c>
      <c r="P18" s="1723">
        <v>5</v>
      </c>
      <c r="Q18" s="1714" t="s">
        <v>61</v>
      </c>
      <c r="R18" s="1730"/>
      <c r="T18" s="1730">
        <f>'BASIC COST OF MATL'!K90</f>
        <v>258.83999999999997</v>
      </c>
      <c r="U18" s="1721">
        <f t="shared" si="8"/>
        <v>258.83999999999997</v>
      </c>
      <c r="V18" s="1727">
        <v>187</v>
      </c>
      <c r="X18" s="1728">
        <f t="shared" si="7"/>
        <v>1212.75</v>
      </c>
    </row>
    <row r="19" spans="1:24" s="175" customFormat="1" ht="11.25" hidden="1" customHeight="1">
      <c r="A19" s="1711">
        <f t="shared" si="0"/>
        <v>12</v>
      </c>
      <c r="B19" s="1714" t="str">
        <f>Q19</f>
        <v>I.R.C. Gr-I ( 90mm to 45mm )</v>
      </c>
      <c r="C19" s="1718" t="s">
        <v>49</v>
      </c>
      <c r="D19" s="2877" t="str">
        <f t="shared" si="10"/>
        <v>Gudiakateni</v>
      </c>
      <c r="E19" s="2877"/>
      <c r="F19" s="1720">
        <f>T19</f>
        <v>804.94</v>
      </c>
      <c r="G19" s="1720">
        <f t="shared" si="2"/>
        <v>804.94</v>
      </c>
      <c r="H19" s="1729">
        <f t="shared" si="9"/>
        <v>60</v>
      </c>
      <c r="I19" s="1721">
        <f>IF(H19 &gt; 50,'LEAD OF MATL.'!B16+45*'LEAD OF MATL.'!B17+(H19-50)*'LEAD OF MATL.'!B18,'LEAD OF MATL.'!B16+(H19-5)*'LEAD OF MATL.'!B17)</f>
        <v>953.91</v>
      </c>
      <c r="J19" s="1721">
        <f>J12</f>
        <v>354.5</v>
      </c>
      <c r="K19" s="1721">
        <f t="shared" si="3"/>
        <v>1308.4099999999999</v>
      </c>
      <c r="L19" s="2886">
        <f>G19+K19</f>
        <v>2113.35</v>
      </c>
      <c r="M19" s="2886"/>
      <c r="N19" s="1723">
        <f t="shared" si="5"/>
        <v>0</v>
      </c>
      <c r="O19" s="1723">
        <f>L19-J19</f>
        <v>1758.85</v>
      </c>
      <c r="P19" s="1723">
        <v>5</v>
      </c>
      <c r="Q19" s="1714" t="s">
        <v>62</v>
      </c>
      <c r="R19" s="1730"/>
      <c r="T19" s="1730">
        <f>'BASIC COST OF MATL'!K91</f>
        <v>804.94</v>
      </c>
      <c r="U19" s="1721">
        <f t="shared" si="8"/>
        <v>804.94</v>
      </c>
      <c r="V19" s="1727"/>
      <c r="X19" s="1728"/>
    </row>
    <row r="20" spans="1:24" s="175" customFormat="1" ht="11.25" hidden="1" customHeight="1">
      <c r="A20" s="1711">
        <f t="shared" si="0"/>
        <v>13</v>
      </c>
      <c r="B20" s="1714" t="str">
        <f>Q20</f>
        <v>I.R.C. Gr-II ( 63mm to 45mm )</v>
      </c>
      <c r="C20" s="1718" t="s">
        <v>49</v>
      </c>
      <c r="D20" s="2877" t="str">
        <f t="shared" si="10"/>
        <v>Gudiakateni</v>
      </c>
      <c r="E20" s="2877"/>
      <c r="F20" s="1720">
        <f t="shared" si="1"/>
        <v>888.78</v>
      </c>
      <c r="G20" s="1720">
        <f t="shared" si="2"/>
        <v>888.78</v>
      </c>
      <c r="H20" s="1729">
        <f t="shared" si="9"/>
        <v>60</v>
      </c>
      <c r="I20" s="1721">
        <f>IF(H20 &gt; 50,'LEAD OF MATL.'!B16+45*'LEAD OF MATL.'!B17+(H20-50)*'LEAD OF MATL.'!B18,'LEAD OF MATL.'!B16+(H20-5)*'LEAD OF MATL.'!B17)</f>
        <v>953.91</v>
      </c>
      <c r="J20" s="1721">
        <f>J13</f>
        <v>354.5</v>
      </c>
      <c r="K20" s="1721">
        <f t="shared" si="3"/>
        <v>1308.4099999999999</v>
      </c>
      <c r="L20" s="2886">
        <f>G20+K20</f>
        <v>2197.1899999999996</v>
      </c>
      <c r="M20" s="2886"/>
      <c r="N20" s="1723">
        <f t="shared" si="5"/>
        <v>0</v>
      </c>
      <c r="O20" s="1723">
        <f>L20-J20</f>
        <v>1842.6899999999996</v>
      </c>
      <c r="P20" s="1723">
        <v>5</v>
      </c>
      <c r="Q20" s="1714" t="s">
        <v>63</v>
      </c>
      <c r="R20" s="1730"/>
      <c r="T20" s="1730">
        <f>'BASIC COST OF MATL'!K92</f>
        <v>888.78</v>
      </c>
      <c r="U20" s="1721">
        <f t="shared" si="8"/>
        <v>888.78</v>
      </c>
      <c r="V20" s="1727"/>
      <c r="X20" s="1728"/>
    </row>
    <row r="21" spans="1:24" s="175" customFormat="1" ht="11.25" hidden="1" customHeight="1">
      <c r="A21" s="1711">
        <f t="shared" si="0"/>
        <v>14</v>
      </c>
      <c r="B21" s="1714" t="str">
        <f>Q21</f>
        <v>I.R.C. Gr-III ( 53mm to 22.4mm )</v>
      </c>
      <c r="C21" s="1718" t="s">
        <v>49</v>
      </c>
      <c r="D21" s="2877" t="str">
        <f t="shared" si="10"/>
        <v>Gudiakateni</v>
      </c>
      <c r="E21" s="2877"/>
      <c r="F21" s="1720">
        <f t="shared" si="1"/>
        <v>951</v>
      </c>
      <c r="G21" s="1720">
        <f t="shared" si="2"/>
        <v>951</v>
      </c>
      <c r="H21" s="1729">
        <f t="shared" si="9"/>
        <v>60</v>
      </c>
      <c r="I21" s="1721">
        <f>IF(H21 &gt; 50,'LEAD OF MATL.'!B16+45*'LEAD OF MATL.'!B17+(H21-50)*'LEAD OF MATL.'!B18,'LEAD OF MATL.'!B16+(H21-5)*'LEAD OF MATL.'!B17)</f>
        <v>953.91</v>
      </c>
      <c r="J21" s="1721">
        <f>J14</f>
        <v>354.5</v>
      </c>
      <c r="K21" s="1721">
        <f t="shared" si="3"/>
        <v>1308.4099999999999</v>
      </c>
      <c r="L21" s="2886">
        <f>G21+K21</f>
        <v>2259.41</v>
      </c>
      <c r="M21" s="2886"/>
      <c r="N21" s="1723">
        <f t="shared" si="5"/>
        <v>0</v>
      </c>
      <c r="O21" s="1723">
        <f>L21-J21</f>
        <v>1904.9099999999999</v>
      </c>
      <c r="P21" s="1723">
        <v>5</v>
      </c>
      <c r="Q21" s="1714" t="s">
        <v>64</v>
      </c>
      <c r="R21" s="1730"/>
      <c r="T21" s="1730">
        <f>'BASIC COST OF MATL'!K93</f>
        <v>951</v>
      </c>
      <c r="U21" s="1721">
        <f t="shared" si="8"/>
        <v>951</v>
      </c>
      <c r="V21" s="1727"/>
      <c r="X21" s="1728"/>
    </row>
    <row r="22" spans="1:24" s="175" customFormat="1" ht="11.25" customHeight="1">
      <c r="A22" s="1711">
        <f t="shared" si="0"/>
        <v>15</v>
      </c>
      <c r="B22" s="1714" t="s">
        <v>65</v>
      </c>
      <c r="C22" s="1718" t="s">
        <v>49</v>
      </c>
      <c r="D22" s="2877" t="str">
        <f>D18</f>
        <v>Gudiakateni</v>
      </c>
      <c r="E22" s="2877"/>
      <c r="F22" s="1720">
        <f t="shared" si="1"/>
        <v>353.65</v>
      </c>
      <c r="G22" s="1720">
        <f t="shared" si="2"/>
        <v>353.65</v>
      </c>
      <c r="H22" s="1729">
        <f t="shared" si="9"/>
        <v>60</v>
      </c>
      <c r="I22" s="1721">
        <f>IF(H22 &gt; 50,'LEAD OF MATL.'!B16+45*'LEAD OF MATL.'!B17+(H22-50)*'LEAD OF MATL.'!B18,'LEAD OF MATL.'!B16+(H22-5)*'LEAD OF MATL.'!B17)</f>
        <v>953.91</v>
      </c>
      <c r="J22" s="1721">
        <f>J12</f>
        <v>354.5</v>
      </c>
      <c r="K22" s="1721">
        <f t="shared" si="3"/>
        <v>1308.4099999999999</v>
      </c>
      <c r="L22" s="2886">
        <f t="shared" si="4"/>
        <v>1662.06</v>
      </c>
      <c r="M22" s="2886"/>
      <c r="N22" s="1723">
        <f t="shared" si="5"/>
        <v>0</v>
      </c>
      <c r="O22" s="1723">
        <f t="shared" si="6"/>
        <v>1307.56</v>
      </c>
      <c r="P22" s="1723">
        <v>5</v>
      </c>
      <c r="Q22" s="1714" t="s">
        <v>65</v>
      </c>
      <c r="R22" s="1730"/>
      <c r="T22" s="1730">
        <f>'BASIC COST OF MATL'!K82</f>
        <v>353.65</v>
      </c>
      <c r="U22" s="1721">
        <f t="shared" si="8"/>
        <v>353.65</v>
      </c>
      <c r="V22" s="1727"/>
      <c r="X22" s="1728">
        <f t="shared" si="7"/>
        <v>1307.56</v>
      </c>
    </row>
    <row r="23" spans="1:24" s="175" customFormat="1" ht="11.25" customHeight="1">
      <c r="A23" s="1711">
        <f>A22+1</f>
        <v>16</v>
      </c>
      <c r="B23" s="1714" t="s">
        <v>66</v>
      </c>
      <c r="C23" s="1718" t="s">
        <v>49</v>
      </c>
      <c r="D23" s="2877" t="str">
        <f t="shared" si="10"/>
        <v>Gudiakateni</v>
      </c>
      <c r="E23" s="2877"/>
      <c r="F23" s="1720">
        <f t="shared" si="1"/>
        <v>700.88</v>
      </c>
      <c r="G23" s="1720">
        <f t="shared" si="2"/>
        <v>700.88</v>
      </c>
      <c r="H23" s="1729">
        <f t="shared" si="9"/>
        <v>60</v>
      </c>
      <c r="I23" s="1721">
        <f>IF(H23 &gt; 50,'LEAD OF MATL.'!B16+45*'LEAD OF MATL.'!B17+(H23-50)*'LEAD OF MATL.'!B18,'LEAD OF MATL.'!B16+(H23-5)*'LEAD OF MATL.'!B17)</f>
        <v>953.91</v>
      </c>
      <c r="J23" s="1721">
        <f>J22</f>
        <v>354.5</v>
      </c>
      <c r="K23" s="1721">
        <f t="shared" si="3"/>
        <v>1308.4099999999999</v>
      </c>
      <c r="L23" s="2886">
        <f t="shared" si="4"/>
        <v>2009.29</v>
      </c>
      <c r="M23" s="2886"/>
      <c r="N23" s="1723">
        <f t="shared" si="5"/>
        <v>0</v>
      </c>
      <c r="O23" s="1723">
        <f t="shared" si="6"/>
        <v>1654.79</v>
      </c>
      <c r="P23" s="1723">
        <v>5</v>
      </c>
      <c r="Q23" s="1714" t="s">
        <v>66</v>
      </c>
      <c r="R23" s="1730"/>
      <c r="T23" s="1730">
        <f>'BASIC COST OF MATL'!K47</f>
        <v>700.88</v>
      </c>
      <c r="U23" s="1721">
        <f t="shared" si="8"/>
        <v>700.88</v>
      </c>
      <c r="V23" s="1727"/>
      <c r="X23" s="1728">
        <f t="shared" si="7"/>
        <v>1654.79</v>
      </c>
    </row>
    <row r="24" spans="1:24" s="175" customFormat="1" ht="11.25" customHeight="1">
      <c r="A24" s="1711">
        <f>A23+1</f>
        <v>17</v>
      </c>
      <c r="B24" s="1714" t="s">
        <v>67</v>
      </c>
      <c r="C24" s="1718" t="s">
        <v>68</v>
      </c>
      <c r="D24" s="2906" t="s">
        <v>2016</v>
      </c>
      <c r="E24" s="2906"/>
      <c r="F24" s="1720">
        <f t="shared" si="1"/>
        <v>5124.2</v>
      </c>
      <c r="G24" s="1720">
        <f t="shared" si="2"/>
        <v>5124.2</v>
      </c>
      <c r="H24" s="1719">
        <v>10</v>
      </c>
      <c r="I24" s="1721">
        <f>IF(H24 &gt; 50,'LEAD OF MATL.'!C16/2+45*'LEAD OF MATL.'!C17/2+(H24-50)*'LEAD OF MATL.'!C18/2,'LEAD OF MATL.'!C16/2+(H24-5)*'LEAD OF MATL.'!C17/2)</f>
        <v>1011.375</v>
      </c>
      <c r="J24" s="1731">
        <v>0</v>
      </c>
      <c r="K24" s="1721">
        <f t="shared" si="3"/>
        <v>1011.375</v>
      </c>
      <c r="L24" s="2886">
        <f t="shared" si="4"/>
        <v>6135.5749999999998</v>
      </c>
      <c r="M24" s="2886"/>
      <c r="N24" s="1723">
        <f t="shared" si="5"/>
        <v>0</v>
      </c>
      <c r="O24" s="1723">
        <f t="shared" si="6"/>
        <v>6135.5749999999998</v>
      </c>
      <c r="P24" s="1732">
        <v>5</v>
      </c>
      <c r="Q24" s="1714" t="s">
        <v>67</v>
      </c>
      <c r="R24" s="1730">
        <v>100</v>
      </c>
      <c r="T24" s="1730">
        <f>'BASIC COST OF MATL'!K7</f>
        <v>5124.2</v>
      </c>
      <c r="U24" s="1721">
        <f t="shared" si="8"/>
        <v>5124.2</v>
      </c>
      <c r="V24" s="1727">
        <v>4180</v>
      </c>
      <c r="X24" s="1728">
        <f t="shared" si="7"/>
        <v>6135.5749999999998</v>
      </c>
    </row>
    <row r="25" spans="1:24" s="175" customFormat="1" ht="11.25" customHeight="1">
      <c r="A25" s="1711">
        <f t="shared" si="0"/>
        <v>18</v>
      </c>
      <c r="B25" s="1714" t="s">
        <v>70</v>
      </c>
      <c r="C25" s="1718" t="s">
        <v>68</v>
      </c>
      <c r="D25" s="2877" t="str">
        <f>D24</f>
        <v>Bhuban</v>
      </c>
      <c r="E25" s="2877"/>
      <c r="F25" s="1720">
        <f t="shared" si="1"/>
        <v>6105.67</v>
      </c>
      <c r="G25" s="1720">
        <f t="shared" si="2"/>
        <v>6105.67</v>
      </c>
      <c r="H25" s="1729">
        <f>H24</f>
        <v>10</v>
      </c>
      <c r="I25" s="1721">
        <f>IF(H25 &gt; 50,'LEAD OF MATL.'!C16/2+45*'LEAD OF MATL.'!C17/2+(H25-50)*'LEAD OF MATL.'!C18/2,'LEAD OF MATL.'!C16/2+(H25-5)*'LEAD OF MATL.'!C17/2)</f>
        <v>1011.375</v>
      </c>
      <c r="J25" s="1721">
        <f>J24</f>
        <v>0</v>
      </c>
      <c r="K25" s="1721">
        <f t="shared" si="3"/>
        <v>1011.375</v>
      </c>
      <c r="L25" s="2886">
        <f t="shared" si="4"/>
        <v>7117.0450000000001</v>
      </c>
      <c r="M25" s="2886"/>
      <c r="N25" s="1723">
        <f t="shared" si="5"/>
        <v>0</v>
      </c>
      <c r="O25" s="1723">
        <f t="shared" si="6"/>
        <v>7117.0450000000001</v>
      </c>
      <c r="P25" s="1723">
        <v>5</v>
      </c>
      <c r="Q25" s="1714" t="s">
        <v>70</v>
      </c>
      <c r="R25" s="1730"/>
      <c r="T25" s="1730">
        <f>'BASIC COST OF MATL'!K5</f>
        <v>6105.67</v>
      </c>
      <c r="U25" s="1721">
        <f t="shared" si="8"/>
        <v>6105.67</v>
      </c>
      <c r="V25" s="1727">
        <v>4019</v>
      </c>
      <c r="X25" s="1728">
        <f t="shared" si="7"/>
        <v>7117.0450000000001</v>
      </c>
    </row>
    <row r="26" spans="1:24" s="175" customFormat="1" ht="11.25" customHeight="1">
      <c r="A26" s="1711">
        <f t="shared" si="0"/>
        <v>19</v>
      </c>
      <c r="B26" s="1714" t="s">
        <v>71</v>
      </c>
      <c r="C26" s="1718" t="s">
        <v>68</v>
      </c>
      <c r="D26" s="2877" t="str">
        <f>D25</f>
        <v>Bhuban</v>
      </c>
      <c r="E26" s="2877"/>
      <c r="F26" s="1720">
        <f t="shared" si="1"/>
        <v>4231.96</v>
      </c>
      <c r="G26" s="1720">
        <f t="shared" si="2"/>
        <v>4231.96</v>
      </c>
      <c r="H26" s="1729">
        <f>H25</f>
        <v>10</v>
      </c>
      <c r="I26" s="1721">
        <f>IF(H26 &gt; 50,'LEAD OF MATL.'!C16/2+45*'LEAD OF MATL.'!C17/2+(H26-50)*'LEAD OF MATL.'!C18/2,'LEAD OF MATL.'!C16/2+(H26-5)*'LEAD OF MATL.'!C17/2)</f>
        <v>1011.375</v>
      </c>
      <c r="J26" s="1721">
        <f>J25</f>
        <v>0</v>
      </c>
      <c r="K26" s="1721">
        <f t="shared" si="3"/>
        <v>1011.375</v>
      </c>
      <c r="L26" s="2886">
        <f t="shared" si="4"/>
        <v>5243.335</v>
      </c>
      <c r="M26" s="2886"/>
      <c r="N26" s="1723">
        <f t="shared" si="5"/>
        <v>0</v>
      </c>
      <c r="O26" s="1723">
        <f t="shared" si="6"/>
        <v>5243.335</v>
      </c>
      <c r="P26" s="1723">
        <v>5</v>
      </c>
      <c r="Q26" s="1714" t="s">
        <v>70</v>
      </c>
      <c r="R26" s="1730"/>
      <c r="T26" s="1730">
        <f>'BASIC COST OF MATL'!K3</f>
        <v>4231.96</v>
      </c>
      <c r="U26" s="1721">
        <f t="shared" si="8"/>
        <v>4231.96</v>
      </c>
      <c r="V26" s="1727">
        <v>3080</v>
      </c>
      <c r="X26" s="1728">
        <f t="shared" si="7"/>
        <v>5243.335</v>
      </c>
    </row>
    <row r="27" spans="1:24" s="175" customFormat="1" ht="11.25" customHeight="1">
      <c r="A27" s="1711">
        <f>A26+1</f>
        <v>20</v>
      </c>
      <c r="B27" s="1714" t="s">
        <v>72</v>
      </c>
      <c r="C27" s="1733" t="s">
        <v>38</v>
      </c>
      <c r="D27" s="2877" t="str">
        <f>D26</f>
        <v>Bhuban</v>
      </c>
      <c r="E27" s="2877"/>
      <c r="F27" s="1720">
        <f t="shared" si="1"/>
        <v>16.3</v>
      </c>
      <c r="G27" s="1720">
        <f t="shared" si="2"/>
        <v>16.3</v>
      </c>
      <c r="H27" s="1734">
        <f>H26</f>
        <v>10</v>
      </c>
      <c r="I27" s="1721">
        <f>IF(H27&gt;50,'LEAD OF MATL.'!C16/550+45*'LEAD OF MATL.'!C17/550+(H27-50)*'LEAD OF MATL.'!C18/550,'LEAD OF MATL.'!C16/550+(H27-5)*'LEAD OF MATL.'!C17/550)</f>
        <v>3.6777272727272727</v>
      </c>
      <c r="J27" s="1721">
        <f>ROUND(0.3*0.2*0.15*J44,2)</f>
        <v>0</v>
      </c>
      <c r="K27" s="1721">
        <f t="shared" si="3"/>
        <v>3.6777272727272727</v>
      </c>
      <c r="L27" s="2886">
        <f t="shared" si="4"/>
        <v>19.977727272727272</v>
      </c>
      <c r="M27" s="2886"/>
      <c r="N27" s="1723">
        <f t="shared" si="5"/>
        <v>0</v>
      </c>
      <c r="O27" s="1723">
        <f t="shared" si="6"/>
        <v>19.977727272727272</v>
      </c>
      <c r="P27" s="1723">
        <v>12</v>
      </c>
      <c r="Q27" s="1714" t="s">
        <v>72</v>
      </c>
      <c r="R27" s="1730"/>
      <c r="T27" s="1730">
        <f>'BASIC COST OF MATL'!K9</f>
        <v>16.3</v>
      </c>
      <c r="U27" s="1721">
        <f t="shared" si="8"/>
        <v>16.3</v>
      </c>
      <c r="V27" s="1727"/>
      <c r="X27" s="1728"/>
    </row>
    <row r="28" spans="1:24" s="175" customFormat="1" ht="11.25" hidden="1" customHeight="1">
      <c r="A28" s="2917">
        <f>A27+1</f>
        <v>21</v>
      </c>
      <c r="B28" s="1735" t="s">
        <v>73</v>
      </c>
      <c r="C28" s="1733"/>
      <c r="D28" s="2944"/>
      <c r="E28" s="2945"/>
      <c r="F28" s="1720"/>
      <c r="G28" s="1720">
        <f t="shared" si="2"/>
        <v>0</v>
      </c>
      <c r="H28" s="1734"/>
      <c r="I28" s="1721"/>
      <c r="J28" s="1721"/>
      <c r="K28" s="1737"/>
      <c r="L28" s="2933"/>
      <c r="M28" s="2934"/>
      <c r="N28" s="1723"/>
      <c r="O28" s="1723">
        <f t="shared" si="6"/>
        <v>0</v>
      </c>
      <c r="P28" s="1723"/>
      <c r="Q28" s="1714" t="s">
        <v>73</v>
      </c>
      <c r="R28" s="1730"/>
      <c r="T28" s="1730"/>
      <c r="U28" s="1721"/>
      <c r="V28" s="1727"/>
      <c r="X28" s="1728"/>
    </row>
    <row r="29" spans="1:24" s="175" customFormat="1" ht="11.25" hidden="1" customHeight="1">
      <c r="A29" s="2918"/>
      <c r="B29" s="1738" t="s">
        <v>74</v>
      </c>
      <c r="C29" s="1733" t="s">
        <v>38</v>
      </c>
      <c r="D29" s="2943" t="str">
        <f>D27</f>
        <v>Bhuban</v>
      </c>
      <c r="E29" s="2943"/>
      <c r="F29" s="1720">
        <f t="shared" si="1"/>
        <v>29.89</v>
      </c>
      <c r="G29" s="1720">
        <f t="shared" si="2"/>
        <v>29.89</v>
      </c>
      <c r="H29" s="1740">
        <v>10</v>
      </c>
      <c r="I29" s="1721">
        <f>IF(H29&gt;50,'LEAD OF MATL.'!C16/300+45*'LEAD OF MATL.'!C17/300+(H29-50)*'LEAD OF MATL.'!C18/300,'LEAD OF MATL.'!C16/300+(H29-5)*'LEAD OF MATL.'!C17/300)</f>
        <v>6.7424999999999997</v>
      </c>
      <c r="J29" s="1721">
        <f>ROUND(0.4*0.2*0.2*J44,2)</f>
        <v>0</v>
      </c>
      <c r="K29" s="1721">
        <f t="shared" si="3"/>
        <v>6.7424999999999997</v>
      </c>
      <c r="L29" s="2886">
        <f t="shared" ref="L29:L34" si="11">G29+K29</f>
        <v>36.6325</v>
      </c>
      <c r="M29" s="2886"/>
      <c r="N29" s="1723">
        <f t="shared" ref="N29:N33" si="12">G29-F29</f>
        <v>0</v>
      </c>
      <c r="O29" s="1723">
        <f t="shared" si="6"/>
        <v>36.6325</v>
      </c>
      <c r="P29" s="1723">
        <v>5</v>
      </c>
      <c r="Q29" s="1738" t="s">
        <v>74</v>
      </c>
      <c r="R29" s="1730"/>
      <c r="T29" s="1730">
        <f>'BASIC COST OF MATL'!K11</f>
        <v>29.89</v>
      </c>
      <c r="U29" s="1721">
        <f t="shared" si="8"/>
        <v>29.89</v>
      </c>
      <c r="V29" s="1727"/>
      <c r="X29" s="1728"/>
    </row>
    <row r="30" spans="1:24" s="175" customFormat="1" ht="11.25" hidden="1" customHeight="1">
      <c r="A30" s="2918"/>
      <c r="B30" s="1738" t="s">
        <v>75</v>
      </c>
      <c r="C30" s="1733" t="s">
        <v>38</v>
      </c>
      <c r="D30" s="2877" t="str">
        <f>D29</f>
        <v>Bhuban</v>
      </c>
      <c r="E30" s="2877"/>
      <c r="F30" s="1720">
        <f t="shared" si="1"/>
        <v>24.32</v>
      </c>
      <c r="G30" s="1720">
        <f t="shared" si="2"/>
        <v>24.32</v>
      </c>
      <c r="H30" s="1734">
        <f>H29</f>
        <v>10</v>
      </c>
      <c r="I30" s="1721">
        <f>IF(H30&gt;50,'LEAD OF MATL.'!C16/400+45*'LEAD OF MATL.'!C17/400+(H30-50)*'LEAD OF MATL.'!C18/400,'LEAD OF MATL.'!C16/400*(H30-5)+'LEAD OF MATL.'!C17/400)</f>
        <v>21.749775</v>
      </c>
      <c r="J30" s="1721">
        <f>ROUND(0.4*0.15*0.2*J44,2)</f>
        <v>0</v>
      </c>
      <c r="K30" s="1721">
        <f t="shared" si="3"/>
        <v>21.749775</v>
      </c>
      <c r="L30" s="2886">
        <f t="shared" si="11"/>
        <v>46.069775</v>
      </c>
      <c r="M30" s="2886"/>
      <c r="N30" s="1723">
        <f t="shared" si="12"/>
        <v>0</v>
      </c>
      <c r="O30" s="1723">
        <f t="shared" si="6"/>
        <v>46.069775</v>
      </c>
      <c r="P30" s="1723">
        <v>5</v>
      </c>
      <c r="Q30" s="1738" t="s">
        <v>75</v>
      </c>
      <c r="R30" s="1730"/>
      <c r="T30" s="1730">
        <f>'BASIC COST OF MATL'!K12</f>
        <v>24.32</v>
      </c>
      <c r="U30" s="1721">
        <f>G30-N30</f>
        <v>24.32</v>
      </c>
      <c r="V30" s="1727"/>
      <c r="X30" s="1728"/>
    </row>
    <row r="31" spans="1:24" s="175" customFormat="1" ht="11.25" hidden="1" customHeight="1">
      <c r="A31" s="2918"/>
      <c r="B31" s="1738" t="s">
        <v>76</v>
      </c>
      <c r="C31" s="1733" t="s">
        <v>38</v>
      </c>
      <c r="D31" s="2877" t="str">
        <f>D30</f>
        <v>Bhuban</v>
      </c>
      <c r="E31" s="2877"/>
      <c r="F31" s="1720">
        <f t="shared" si="1"/>
        <v>17</v>
      </c>
      <c r="G31" s="1720">
        <f t="shared" si="2"/>
        <v>17</v>
      </c>
      <c r="H31" s="1734">
        <f>H30</f>
        <v>10</v>
      </c>
      <c r="I31" s="1721">
        <f>IF(H31&gt;50,'LEAD OF MATL.'!C16/600+45*'LEAD OF MATL.'!C17/600+(H31-50)*'LEAD OF MATL.'!C18/600,'LEAD OF MATL.'!C16/600+(H31-5)*'LEAD OF MATL.'!C17/600)</f>
        <v>3.3712499999999999</v>
      </c>
      <c r="J31" s="1721">
        <f>ROUND(0.4*0.1*0.15*J44,2)</f>
        <v>0</v>
      </c>
      <c r="K31" s="1721">
        <f t="shared" si="3"/>
        <v>3.3712499999999999</v>
      </c>
      <c r="L31" s="2886">
        <f t="shared" si="11"/>
        <v>20.37125</v>
      </c>
      <c r="M31" s="2886"/>
      <c r="N31" s="1723">
        <f t="shared" si="12"/>
        <v>0</v>
      </c>
      <c r="O31" s="1723">
        <f t="shared" si="6"/>
        <v>20.37125</v>
      </c>
      <c r="P31" s="1723">
        <v>5</v>
      </c>
      <c r="Q31" s="1738" t="s">
        <v>76</v>
      </c>
      <c r="R31" s="1730"/>
      <c r="T31" s="1730">
        <f>'BASIC COST OF MATL'!K13</f>
        <v>17</v>
      </c>
      <c r="U31" s="1721">
        <f t="shared" si="8"/>
        <v>17</v>
      </c>
      <c r="V31" s="1727"/>
      <c r="X31" s="1728"/>
    </row>
    <row r="32" spans="1:24" s="175" customFormat="1" ht="11.25" hidden="1" customHeight="1">
      <c r="A32" s="2918"/>
      <c r="B32" s="1738" t="s">
        <v>77</v>
      </c>
      <c r="C32" s="1733" t="s">
        <v>38</v>
      </c>
      <c r="D32" s="2877" t="str">
        <f>D31</f>
        <v>Bhuban</v>
      </c>
      <c r="E32" s="2877"/>
      <c r="F32" s="1720">
        <f t="shared" si="1"/>
        <v>19.21</v>
      </c>
      <c r="G32" s="1720">
        <f t="shared" si="2"/>
        <v>19.21</v>
      </c>
      <c r="H32" s="1734">
        <f>H31</f>
        <v>10</v>
      </c>
      <c r="I32" s="1721">
        <f>IF(H32&gt;50,'LEAD OF MATL.'!C16/550+45*'LEAD OF MATL.'!C17/550+(H32-50)*'LEAD OF MATL.'!C18/550,'LEAD OF MATL.'!C16/550+(H32-5)*'LEAD OF MATL.'!C17/550)</f>
        <v>3.6777272727272727</v>
      </c>
      <c r="J32" s="1721">
        <f>ROUND(0.3*0.2*0.15*J44,2)</f>
        <v>0</v>
      </c>
      <c r="K32" s="1721">
        <f t="shared" si="3"/>
        <v>3.6777272727272727</v>
      </c>
      <c r="L32" s="2886">
        <f t="shared" si="11"/>
        <v>22.887727272727275</v>
      </c>
      <c r="M32" s="2886"/>
      <c r="N32" s="1723">
        <f t="shared" si="12"/>
        <v>0</v>
      </c>
      <c r="O32" s="1723">
        <f t="shared" si="6"/>
        <v>22.887727272727275</v>
      </c>
      <c r="P32" s="1723">
        <v>5</v>
      </c>
      <c r="Q32" s="1738" t="s">
        <v>77</v>
      </c>
      <c r="R32" s="1730"/>
      <c r="T32" s="1730">
        <f>'BASIC COST OF MATL'!K14</f>
        <v>19.21</v>
      </c>
      <c r="U32" s="1721">
        <f t="shared" si="8"/>
        <v>19.21</v>
      </c>
      <c r="V32" s="1727"/>
      <c r="X32" s="1728"/>
    </row>
    <row r="33" spans="1:24" s="175" customFormat="1" ht="11.25" hidden="1" customHeight="1">
      <c r="A33" s="2918"/>
      <c r="B33" s="1738" t="s">
        <v>78</v>
      </c>
      <c r="C33" s="1733" t="s">
        <v>38</v>
      </c>
      <c r="D33" s="2877" t="str">
        <f>D32</f>
        <v>Bhuban</v>
      </c>
      <c r="E33" s="2877"/>
      <c r="F33" s="1720">
        <f t="shared" si="1"/>
        <v>15.16</v>
      </c>
      <c r="G33" s="1720">
        <f t="shared" si="2"/>
        <v>15.16</v>
      </c>
      <c r="H33" s="1734">
        <f>H32</f>
        <v>10</v>
      </c>
      <c r="I33" s="1721">
        <f>IF(H33&gt;50,'LEAD OF MATL.'!C16/730+45*'LEAD OF MATL.'!C17/730+(H33-50)*'LEAD OF MATL.'!C18/730,'LEAD OF MATL.'!C16/730+(H33-5)*'LEAD OF MATL.'!C17/730)</f>
        <v>2.7708904109589039</v>
      </c>
      <c r="J33" s="1721">
        <f>ROUND(0.3*0.15*0.15*J44,2)</f>
        <v>0</v>
      </c>
      <c r="K33" s="1721">
        <f t="shared" si="3"/>
        <v>2.7708904109589039</v>
      </c>
      <c r="L33" s="2886">
        <f t="shared" si="11"/>
        <v>17.930890410958902</v>
      </c>
      <c r="M33" s="2886"/>
      <c r="N33" s="1723">
        <f t="shared" si="12"/>
        <v>0</v>
      </c>
      <c r="O33" s="1723">
        <f t="shared" si="6"/>
        <v>17.930890410958902</v>
      </c>
      <c r="P33" s="1723">
        <v>5</v>
      </c>
      <c r="Q33" s="1738" t="s">
        <v>78</v>
      </c>
      <c r="R33" s="1730"/>
      <c r="T33" s="1730">
        <f>'BASIC COST OF MATL'!K15</f>
        <v>15.16</v>
      </c>
      <c r="U33" s="1721">
        <f t="shared" si="8"/>
        <v>15.16</v>
      </c>
      <c r="V33" s="1727"/>
      <c r="X33" s="1728"/>
    </row>
    <row r="34" spans="1:24" s="175" customFormat="1" ht="11.25" hidden="1" customHeight="1">
      <c r="A34" s="2919"/>
      <c r="B34" s="1738" t="s">
        <v>79</v>
      </c>
      <c r="C34" s="1733" t="s">
        <v>38</v>
      </c>
      <c r="D34" s="2877" t="str">
        <f>D33</f>
        <v>Bhuban</v>
      </c>
      <c r="E34" s="2877"/>
      <c r="F34" s="1720">
        <f t="shared" si="1"/>
        <v>13.89</v>
      </c>
      <c r="G34" s="1720">
        <f t="shared" si="2"/>
        <v>13.89</v>
      </c>
      <c r="H34" s="1734">
        <f>H33</f>
        <v>10</v>
      </c>
      <c r="I34" s="1721">
        <f>IF(H34&gt;50,'LEAD OF MATL.'!C16/1100+45*'LEAD OF MATL.'!C17/1100+(H34-50)*'LEAD OF MATL.'!C18/1100,'LEAD OF MATL.'!C16/1100+(H34-5)*'LEAD OF MATL.'!C17/1100)</f>
        <v>1.8388636363636364</v>
      </c>
      <c r="J34" s="1721">
        <f>ROUND(0.3*0.1*0.15*J44,2)</f>
        <v>0</v>
      </c>
      <c r="K34" s="1721">
        <f t="shared" si="3"/>
        <v>1.8388636363636364</v>
      </c>
      <c r="L34" s="2886">
        <f t="shared" si="11"/>
        <v>15.728863636363638</v>
      </c>
      <c r="M34" s="2886"/>
      <c r="N34" s="1723">
        <f>G34-F34</f>
        <v>0</v>
      </c>
      <c r="O34" s="1723">
        <f t="shared" si="6"/>
        <v>15.728863636363638</v>
      </c>
      <c r="P34" s="1723">
        <v>5</v>
      </c>
      <c r="Q34" s="1738" t="s">
        <v>79</v>
      </c>
      <c r="R34" s="1730"/>
      <c r="T34" s="1730">
        <f>'BASIC COST OF MATL'!K16</f>
        <v>13.89</v>
      </c>
      <c r="U34" s="1721">
        <f t="shared" si="8"/>
        <v>13.89</v>
      </c>
      <c r="V34" s="1727"/>
      <c r="X34" s="1728"/>
    </row>
    <row r="35" spans="1:24" s="175" customFormat="1" ht="11.25" hidden="1" customHeight="1">
      <c r="A35" s="2917">
        <f>A28+1</f>
        <v>22</v>
      </c>
      <c r="B35" s="1735" t="s">
        <v>80</v>
      </c>
      <c r="C35" s="1733"/>
      <c r="D35" s="2944"/>
      <c r="E35" s="2946"/>
      <c r="F35" s="1720"/>
      <c r="G35" s="1720">
        <f t="shared" si="2"/>
        <v>0</v>
      </c>
      <c r="H35" s="1734"/>
      <c r="I35" s="1721"/>
      <c r="J35" s="1721"/>
      <c r="K35" s="1737"/>
      <c r="L35" s="2933"/>
      <c r="M35" s="2934"/>
      <c r="N35" s="1723"/>
      <c r="O35" s="1723">
        <f t="shared" si="6"/>
        <v>0</v>
      </c>
      <c r="P35" s="1723"/>
      <c r="Q35" s="1714" t="s">
        <v>73</v>
      </c>
      <c r="R35" s="1730"/>
      <c r="T35" s="1730"/>
      <c r="U35" s="1721"/>
      <c r="V35" s="1727"/>
      <c r="X35" s="1728"/>
    </row>
    <row r="36" spans="1:24" s="175" customFormat="1" ht="11.25" hidden="1" customHeight="1">
      <c r="A36" s="2918"/>
      <c r="B36" s="1742" t="s">
        <v>74</v>
      </c>
      <c r="C36" s="1733" t="s">
        <v>38</v>
      </c>
      <c r="D36" s="2943" t="str">
        <f>D34</f>
        <v>Bhuban</v>
      </c>
      <c r="E36" s="2943"/>
      <c r="F36" s="1720">
        <f t="shared" si="1"/>
        <v>26.84</v>
      </c>
      <c r="G36" s="1720">
        <f t="shared" si="2"/>
        <v>26.84</v>
      </c>
      <c r="H36" s="1740">
        <v>10</v>
      </c>
      <c r="I36" s="1721">
        <f>IF(H36&gt;50,'LEAD OF MATL.'!C16/300+45*'LEAD OF MATL.'!C17/300+(H36-50)*'LEAD OF MATL.'!C18/300,'LEAD OF MATL.'!C16/300+(H36-5)*'LEAD OF MATL.'!C17/300)</f>
        <v>6.7424999999999997</v>
      </c>
      <c r="J36" s="1721">
        <f t="shared" ref="J36:J41" si="13">J29</f>
        <v>0</v>
      </c>
      <c r="K36" s="1721">
        <f t="shared" si="3"/>
        <v>6.7424999999999997</v>
      </c>
      <c r="L36" s="2886">
        <f>G36+K36</f>
        <v>33.582499999999996</v>
      </c>
      <c r="M36" s="2886"/>
      <c r="N36" s="1723">
        <f t="shared" ref="N36:N101" si="14">G36-F36</f>
        <v>0</v>
      </c>
      <c r="O36" s="1723">
        <f t="shared" si="6"/>
        <v>33.582499999999996</v>
      </c>
      <c r="P36" s="1723">
        <v>18</v>
      </c>
      <c r="Q36" s="1738" t="s">
        <v>74</v>
      </c>
      <c r="R36" s="1730"/>
      <c r="T36" s="1730">
        <f>'BASIC COST OF MATL'!K18</f>
        <v>26.84</v>
      </c>
      <c r="U36" s="1721">
        <f>G36-N36</f>
        <v>26.84</v>
      </c>
      <c r="V36" s="1727"/>
      <c r="X36" s="1728"/>
    </row>
    <row r="37" spans="1:24" s="175" customFormat="1" ht="11.25" hidden="1" customHeight="1">
      <c r="A37" s="2918"/>
      <c r="B37" s="1743" t="s">
        <v>75</v>
      </c>
      <c r="C37" s="1733" t="s">
        <v>38</v>
      </c>
      <c r="D37" s="2877" t="str">
        <f>D36</f>
        <v>Bhuban</v>
      </c>
      <c r="E37" s="2877"/>
      <c r="F37" s="1720">
        <f t="shared" si="1"/>
        <v>20.3</v>
      </c>
      <c r="G37" s="1720">
        <f t="shared" si="2"/>
        <v>20.3</v>
      </c>
      <c r="H37" s="1734">
        <f>H36</f>
        <v>10</v>
      </c>
      <c r="I37" s="1721">
        <f>IF(H37&gt;50,'LEAD OF MATL.'!C16/400+45*'LEAD OF MATL.'!C17/400+(H37-50)*'LEAD OF MATL.'!C18/400,'LEAD OF MATL.'!C16/400+(H37-5)*'LEAD OF MATL.'!C17/400)</f>
        <v>5.0568749999999998</v>
      </c>
      <c r="J37" s="1721">
        <f t="shared" si="13"/>
        <v>0</v>
      </c>
      <c r="K37" s="1721">
        <f t="shared" si="3"/>
        <v>5.0568749999999998</v>
      </c>
      <c r="L37" s="2886">
        <f t="shared" ref="L37:L61" si="15">G37+K37</f>
        <v>25.356875000000002</v>
      </c>
      <c r="M37" s="2886"/>
      <c r="N37" s="1723">
        <f t="shared" si="14"/>
        <v>0</v>
      </c>
      <c r="O37" s="1723">
        <f t="shared" si="6"/>
        <v>25.356875000000002</v>
      </c>
      <c r="P37" s="1723">
        <v>18</v>
      </c>
      <c r="Q37" s="1738" t="s">
        <v>75</v>
      </c>
      <c r="R37" s="1730"/>
      <c r="T37" s="1730">
        <f>'BASIC COST OF MATL'!K19</f>
        <v>20.3</v>
      </c>
      <c r="U37" s="1721">
        <f t="shared" si="8"/>
        <v>20.3</v>
      </c>
      <c r="V37" s="1727"/>
      <c r="X37" s="1728"/>
    </row>
    <row r="38" spans="1:24" s="175" customFormat="1" ht="11.25" hidden="1" customHeight="1">
      <c r="A38" s="2918"/>
      <c r="B38" s="1743" t="s">
        <v>81</v>
      </c>
      <c r="C38" s="1733" t="s">
        <v>38</v>
      </c>
      <c r="D38" s="2877" t="str">
        <f>D37</f>
        <v>Bhuban</v>
      </c>
      <c r="E38" s="2877"/>
      <c r="F38" s="1720">
        <f t="shared" si="1"/>
        <v>16.5</v>
      </c>
      <c r="G38" s="1720">
        <f t="shared" si="2"/>
        <v>16.5</v>
      </c>
      <c r="H38" s="1734">
        <f>H37</f>
        <v>10</v>
      </c>
      <c r="I38" s="1721">
        <f>IF(H38&gt;50,'LEAD OF MATL.'!C16/600+45*'LEAD OF MATL.'!C17/600+(H38-50)*'LEAD OF MATL.'!C18/600,'LEAD OF MATL.'!C16/600+(H38-5)*'LEAD OF MATL.'!C17/600)</f>
        <v>3.3712499999999999</v>
      </c>
      <c r="J38" s="1721">
        <f t="shared" si="13"/>
        <v>0</v>
      </c>
      <c r="K38" s="1721">
        <f t="shared" si="3"/>
        <v>3.3712499999999999</v>
      </c>
      <c r="L38" s="2886">
        <f t="shared" si="15"/>
        <v>19.87125</v>
      </c>
      <c r="M38" s="2886"/>
      <c r="N38" s="1723">
        <f t="shared" si="14"/>
        <v>0</v>
      </c>
      <c r="O38" s="1723">
        <f t="shared" si="6"/>
        <v>19.87125</v>
      </c>
      <c r="P38" s="1723">
        <v>18</v>
      </c>
      <c r="Q38" s="1738" t="s">
        <v>76</v>
      </c>
      <c r="R38" s="1730"/>
      <c r="T38" s="1730">
        <f>'BASIC COST OF MATL'!K20</f>
        <v>16.5</v>
      </c>
      <c r="U38" s="1721">
        <f t="shared" si="8"/>
        <v>16.5</v>
      </c>
      <c r="V38" s="1727"/>
      <c r="X38" s="1728"/>
    </row>
    <row r="39" spans="1:24" s="175" customFormat="1" ht="11.25" hidden="1" customHeight="1">
      <c r="A39" s="2918"/>
      <c r="B39" s="1743" t="s">
        <v>77</v>
      </c>
      <c r="C39" s="1733" t="s">
        <v>38</v>
      </c>
      <c r="D39" s="2877" t="str">
        <f>D38</f>
        <v>Bhuban</v>
      </c>
      <c r="E39" s="2877"/>
      <c r="F39" s="1720">
        <f t="shared" si="1"/>
        <v>17</v>
      </c>
      <c r="G39" s="1720">
        <f t="shared" si="2"/>
        <v>17</v>
      </c>
      <c r="H39" s="1734">
        <f>H38</f>
        <v>10</v>
      </c>
      <c r="I39" s="1721">
        <f>IF(H39&gt;50,'LEAD OF MATL.'!C16/550+45*'LEAD OF MATL.'!C17/550+(H39-50)*'LEAD OF MATL.'!C18/550,'LEAD OF MATL.'!C16/550+(H39-5)*'LEAD OF MATL.'!C17/550)</f>
        <v>3.6777272727272727</v>
      </c>
      <c r="J39" s="1721">
        <f t="shared" si="13"/>
        <v>0</v>
      </c>
      <c r="K39" s="1721">
        <f t="shared" si="3"/>
        <v>3.6777272727272727</v>
      </c>
      <c r="L39" s="2886">
        <f t="shared" si="15"/>
        <v>20.677727272727275</v>
      </c>
      <c r="M39" s="2886"/>
      <c r="N39" s="1723">
        <f t="shared" si="14"/>
        <v>0</v>
      </c>
      <c r="O39" s="1723">
        <f t="shared" si="6"/>
        <v>20.677727272727275</v>
      </c>
      <c r="P39" s="1723">
        <v>18</v>
      </c>
      <c r="Q39" s="1738" t="s">
        <v>77</v>
      </c>
      <c r="R39" s="1730"/>
      <c r="T39" s="1730">
        <f>'BASIC COST OF MATL'!K21</f>
        <v>17</v>
      </c>
      <c r="U39" s="1721">
        <f t="shared" si="8"/>
        <v>17</v>
      </c>
      <c r="V39" s="1727"/>
      <c r="X39" s="1728"/>
    </row>
    <row r="40" spans="1:24" s="175" customFormat="1" ht="11.25" hidden="1" customHeight="1">
      <c r="A40" s="2918"/>
      <c r="B40" s="1743" t="s">
        <v>78</v>
      </c>
      <c r="C40" s="1733" t="s">
        <v>38</v>
      </c>
      <c r="D40" s="2877" t="str">
        <f>D39</f>
        <v>Bhuban</v>
      </c>
      <c r="E40" s="2877"/>
      <c r="F40" s="1720">
        <f t="shared" si="1"/>
        <v>13.99</v>
      </c>
      <c r="G40" s="1720">
        <f t="shared" si="2"/>
        <v>13.99</v>
      </c>
      <c r="H40" s="1734">
        <f>H39</f>
        <v>10</v>
      </c>
      <c r="I40" s="1721">
        <f>IF(H40&gt;50,'LEAD OF MATL.'!C16/730+45*'LEAD OF MATL.'!C17/730+(H40-50)*'LEAD OF MATL.'!C18/730,'LEAD OF MATL.'!C16/730+(H40-5)*'LEAD OF MATL.'!C17/730)</f>
        <v>2.7708904109589039</v>
      </c>
      <c r="J40" s="1721">
        <f t="shared" si="13"/>
        <v>0</v>
      </c>
      <c r="K40" s="1721">
        <f t="shared" si="3"/>
        <v>2.7708904109589039</v>
      </c>
      <c r="L40" s="2886">
        <f t="shared" si="15"/>
        <v>16.760890410958904</v>
      </c>
      <c r="M40" s="2886"/>
      <c r="N40" s="1723">
        <f t="shared" si="14"/>
        <v>0</v>
      </c>
      <c r="O40" s="1723">
        <f t="shared" si="6"/>
        <v>16.760890410958904</v>
      </c>
      <c r="P40" s="1723">
        <v>18</v>
      </c>
      <c r="Q40" s="1738" t="s">
        <v>78</v>
      </c>
      <c r="R40" s="1730"/>
      <c r="T40" s="1730">
        <f>'BASIC COST OF MATL'!K22</f>
        <v>13.99</v>
      </c>
      <c r="U40" s="1721">
        <f t="shared" si="8"/>
        <v>13.99</v>
      </c>
      <c r="V40" s="1727"/>
      <c r="X40" s="1728"/>
    </row>
    <row r="41" spans="1:24" s="175" customFormat="1" ht="11.25" hidden="1" customHeight="1">
      <c r="A41" s="2919"/>
      <c r="B41" s="1741" t="s">
        <v>79</v>
      </c>
      <c r="C41" s="1733" t="s">
        <v>38</v>
      </c>
      <c r="D41" s="2877" t="str">
        <f>D40</f>
        <v>Bhuban</v>
      </c>
      <c r="E41" s="2877"/>
      <c r="F41" s="1720">
        <f t="shared" si="1"/>
        <v>11.37</v>
      </c>
      <c r="G41" s="1720">
        <f t="shared" si="2"/>
        <v>11.37</v>
      </c>
      <c r="H41" s="1734">
        <f>H40</f>
        <v>10</v>
      </c>
      <c r="I41" s="1721">
        <f>IF(H41&gt;50,'LEAD OF MATL.'!C16/1100+45*'LEAD OF MATL.'!C17/1100+(H41-50)*'LEAD OF MATL.'!C18/1100,'LEAD OF MATL.'!C16/1100+(H41-5)*'LEAD OF MATL.'!C17/1100)</f>
        <v>1.8388636363636364</v>
      </c>
      <c r="J41" s="1721">
        <f t="shared" si="13"/>
        <v>0</v>
      </c>
      <c r="K41" s="1721">
        <f t="shared" si="3"/>
        <v>1.8388636363636364</v>
      </c>
      <c r="L41" s="2886">
        <f>G41+K41</f>
        <v>13.208863636363635</v>
      </c>
      <c r="M41" s="2886"/>
      <c r="N41" s="1723">
        <f t="shared" si="14"/>
        <v>0</v>
      </c>
      <c r="O41" s="1723">
        <f>L41-J41</f>
        <v>13.208863636363635</v>
      </c>
      <c r="P41" s="1723">
        <v>18</v>
      </c>
      <c r="Q41" s="1738" t="s">
        <v>79</v>
      </c>
      <c r="R41" s="1730"/>
      <c r="T41" s="1730">
        <f>'BASIC COST OF MATL'!K23</f>
        <v>11.37</v>
      </c>
      <c r="U41" s="1721">
        <f t="shared" si="8"/>
        <v>11.37</v>
      </c>
      <c r="V41" s="1727"/>
      <c r="X41" s="1728"/>
    </row>
    <row r="42" spans="1:24" s="175" customFormat="1" ht="11.25" hidden="1" customHeight="1">
      <c r="A42" s="1715">
        <f>A35+1</f>
        <v>23</v>
      </c>
      <c r="B42" s="1742" t="s">
        <v>3507</v>
      </c>
      <c r="C42" s="1733" t="s">
        <v>92</v>
      </c>
      <c r="D42" s="2877" t="s">
        <v>137</v>
      </c>
      <c r="E42" s="2877"/>
      <c r="F42" s="1720">
        <f>ROUND(R42/0.0929,2)</f>
        <v>462.86</v>
      </c>
      <c r="G42" s="1720">
        <f t="shared" si="2"/>
        <v>462.86</v>
      </c>
      <c r="H42" s="1744">
        <v>35</v>
      </c>
      <c r="I42" s="1721">
        <f>IF(H42 &gt; 50,'LEAD OF MATL.'!C16/180+45*'LEAD OF MATL.'!C17/180+(H42-50)*'LEAD OF MATL.'!C18/180,'LEAD OF MATL.'!C16/180+(H42-5)*'LEAD OF MATL.'!C17/180)</f>
        <v>19.419444444444444</v>
      </c>
      <c r="J42" s="1745">
        <v>0</v>
      </c>
      <c r="K42" s="1721">
        <f t="shared" si="3"/>
        <v>19.419444444444444</v>
      </c>
      <c r="L42" s="2886">
        <f>G42+K42</f>
        <v>482.27944444444444</v>
      </c>
      <c r="M42" s="2886"/>
      <c r="N42" s="1723">
        <f>G42-F42</f>
        <v>0</v>
      </c>
      <c r="O42" s="1723">
        <f>L42-J42</f>
        <v>482.27944444444444</v>
      </c>
      <c r="P42" s="1723">
        <v>18</v>
      </c>
      <c r="Q42" s="1742" t="s">
        <v>3507</v>
      </c>
      <c r="R42" s="1730">
        <v>43</v>
      </c>
      <c r="S42" s="175" t="s">
        <v>3672</v>
      </c>
      <c r="T42" s="1730"/>
      <c r="U42" s="1721"/>
      <c r="V42" s="1727"/>
      <c r="X42" s="1728"/>
    </row>
    <row r="43" spans="1:24" s="175" customFormat="1" ht="11.25" hidden="1" customHeight="1">
      <c r="A43" s="1715">
        <f>A42+1</f>
        <v>24</v>
      </c>
      <c r="B43" s="1746" t="s">
        <v>3508</v>
      </c>
      <c r="C43" s="1733" t="s">
        <v>92</v>
      </c>
      <c r="D43" s="2877" t="str">
        <f>D42</f>
        <v>Dhenkanal</v>
      </c>
      <c r="E43" s="2877"/>
      <c r="F43" s="1720">
        <f>ROUND(R43/0.0929,2)</f>
        <v>548.98</v>
      </c>
      <c r="G43" s="1720">
        <f t="shared" si="2"/>
        <v>548.98</v>
      </c>
      <c r="H43" s="1734">
        <f>H42</f>
        <v>35</v>
      </c>
      <c r="I43" s="1721">
        <f>IF(H43 &gt; 50,'LEAD OF MATL.'!C16/180+45*'LEAD OF MATL.'!C17/180+(H43-50)*'LEAD OF MATL.'!C18/180,'LEAD OF MATL.'!C16/180+(H43-5)*'LEAD OF MATL.'!C17/180)</f>
        <v>19.419444444444444</v>
      </c>
      <c r="J43" s="1745">
        <v>0</v>
      </c>
      <c r="K43" s="1721">
        <f t="shared" si="3"/>
        <v>19.419444444444444</v>
      </c>
      <c r="L43" s="2886">
        <f t="shared" ref="L43" si="16">G43+K43</f>
        <v>568.3994444444445</v>
      </c>
      <c r="M43" s="2886"/>
      <c r="N43" s="1723">
        <f t="shared" si="14"/>
        <v>0</v>
      </c>
      <c r="O43" s="1723">
        <f t="shared" si="6"/>
        <v>568.3994444444445</v>
      </c>
      <c r="P43" s="1723">
        <v>18</v>
      </c>
      <c r="Q43" s="1746" t="s">
        <v>3508</v>
      </c>
      <c r="R43" s="1730">
        <v>51</v>
      </c>
      <c r="S43" s="175" t="s">
        <v>3672</v>
      </c>
      <c r="T43" s="1730"/>
      <c r="U43" s="1721"/>
      <c r="V43" s="1727"/>
      <c r="X43" s="1728"/>
    </row>
    <row r="44" spans="1:24" s="175" customFormat="1" ht="11.25" customHeight="1">
      <c r="A44" s="1711">
        <f>A43+1</f>
        <v>25</v>
      </c>
      <c r="B44" s="1714" t="s">
        <v>82</v>
      </c>
      <c r="C44" s="1733" t="s">
        <v>49</v>
      </c>
      <c r="D44" s="2877" t="str">
        <f>D26</f>
        <v>Bhuban</v>
      </c>
      <c r="E44" s="2877"/>
      <c r="F44" s="1720">
        <f t="shared" si="1"/>
        <v>388.26</v>
      </c>
      <c r="G44" s="1720">
        <f t="shared" si="2"/>
        <v>388.26</v>
      </c>
      <c r="H44" s="1734">
        <f>H25</f>
        <v>10</v>
      </c>
      <c r="I44" s="1721">
        <f>IF(H44 &gt; 50,'LEAD OF MATL.'!B16+45*'LEAD OF MATL.'!B17+(H44-50)*'LEAD OF MATL.'!B18,'LEAD OF MATL.'!B16+(H44-5)*'LEAD OF MATL.'!B17)</f>
        <v>341.11</v>
      </c>
      <c r="J44" s="1731">
        <v>0</v>
      </c>
      <c r="K44" s="1721">
        <f t="shared" si="3"/>
        <v>341.11</v>
      </c>
      <c r="L44" s="2886">
        <f t="shared" si="15"/>
        <v>729.37</v>
      </c>
      <c r="M44" s="2886"/>
      <c r="N44" s="1723">
        <f t="shared" si="14"/>
        <v>0</v>
      </c>
      <c r="O44" s="1723">
        <f t="shared" si="6"/>
        <v>729.37</v>
      </c>
      <c r="P44" s="1723">
        <v>18</v>
      </c>
      <c r="Q44" s="1714" t="s">
        <v>82</v>
      </c>
      <c r="R44" s="1747">
        <v>35</v>
      </c>
      <c r="T44" s="1747">
        <f>'BASIC COST OF MATL'!K24</f>
        <v>388.26</v>
      </c>
      <c r="U44" s="1721">
        <f t="shared" si="8"/>
        <v>388.26</v>
      </c>
      <c r="V44" s="1748">
        <v>301</v>
      </c>
      <c r="X44" s="1728">
        <f t="shared" si="7"/>
        <v>729.37</v>
      </c>
    </row>
    <row r="45" spans="1:24" s="175" customFormat="1" ht="13.9" customHeight="1">
      <c r="A45" s="1711">
        <f t="shared" si="0"/>
        <v>26</v>
      </c>
      <c r="B45" s="1714" t="s">
        <v>83</v>
      </c>
      <c r="C45" s="1718" t="s">
        <v>49</v>
      </c>
      <c r="D45" s="2906" t="s">
        <v>89</v>
      </c>
      <c r="E45" s="2906"/>
      <c r="F45" s="1720">
        <f t="shared" si="1"/>
        <v>71.94</v>
      </c>
      <c r="G45" s="1720">
        <f>F45</f>
        <v>71.94</v>
      </c>
      <c r="H45" s="1719">
        <v>5</v>
      </c>
      <c r="I45" s="1721">
        <f>IF(H45 &gt; 50,'LEAD OF MATL.'!B16+45*'LEAD OF MATL.'!B17+(H45-50)*'LEAD OF MATL.'!B18,'LEAD OF MATL.'!B16+(H45-5)*'LEAD OF MATL.'!B17)</f>
        <v>276.01</v>
      </c>
      <c r="J45" s="1731">
        <f>R45+(R45*10%)+(R45*5%)+S45</f>
        <v>311.25</v>
      </c>
      <c r="K45" s="1721">
        <f t="shared" si="3"/>
        <v>587.26</v>
      </c>
      <c r="L45" s="2886">
        <f t="shared" si="15"/>
        <v>659.2</v>
      </c>
      <c r="M45" s="2886"/>
      <c r="N45" s="1723">
        <f t="shared" si="14"/>
        <v>0</v>
      </c>
      <c r="O45" s="1723">
        <f t="shared" si="6"/>
        <v>347.95000000000005</v>
      </c>
      <c r="P45" s="1723">
        <v>5</v>
      </c>
      <c r="Q45" s="1714" t="s">
        <v>83</v>
      </c>
      <c r="R45" s="1730">
        <v>35</v>
      </c>
      <c r="S45" s="175">
        <v>271</v>
      </c>
      <c r="T45" s="1730">
        <f>'BASIC COST OF MATL'!K34</f>
        <v>71.94</v>
      </c>
      <c r="U45" s="1721">
        <f t="shared" si="8"/>
        <v>71.94</v>
      </c>
      <c r="V45" s="1727">
        <v>49</v>
      </c>
      <c r="X45" s="1728">
        <f t="shared" si="7"/>
        <v>347.95</v>
      </c>
    </row>
    <row r="46" spans="1:24" s="175" customFormat="1" ht="11.25" customHeight="1">
      <c r="A46" s="1711">
        <f t="shared" si="0"/>
        <v>27</v>
      </c>
      <c r="B46" s="1714" t="s">
        <v>85</v>
      </c>
      <c r="C46" s="1718" t="s">
        <v>49</v>
      </c>
      <c r="D46" s="2906" t="s">
        <v>86</v>
      </c>
      <c r="E46" s="2906"/>
      <c r="F46" s="1720">
        <f t="shared" si="1"/>
        <v>76.88</v>
      </c>
      <c r="G46" s="1720">
        <f t="shared" si="2"/>
        <v>76.88</v>
      </c>
      <c r="H46" s="1719">
        <v>15</v>
      </c>
      <c r="I46" s="1721">
        <f>IF(H46 &gt; 50,'LEAD OF MATL.'!B16+45*'LEAD OF MATL.'!B17+(H46-50)*'LEAD OF MATL.'!B18,'LEAD OF MATL.'!B16+(H46-5)*'LEAD OF MATL.'!B17)</f>
        <v>406.21</v>
      </c>
      <c r="J46" s="1721">
        <f>J45</f>
        <v>311.25</v>
      </c>
      <c r="K46" s="1721">
        <f t="shared" si="3"/>
        <v>717.46</v>
      </c>
      <c r="L46" s="2886">
        <f t="shared" si="15"/>
        <v>794.34</v>
      </c>
      <c r="M46" s="2886"/>
      <c r="N46" s="1723">
        <f t="shared" si="14"/>
        <v>0</v>
      </c>
      <c r="O46" s="1723">
        <f t="shared" si="6"/>
        <v>483.09000000000003</v>
      </c>
      <c r="P46" s="1723">
        <v>5</v>
      </c>
      <c r="Q46" s="1714" t="s">
        <v>85</v>
      </c>
      <c r="R46" s="1730"/>
      <c r="T46" s="1730">
        <f>'BASIC COST OF MATL'!K33</f>
        <v>76.88</v>
      </c>
      <c r="U46" s="1721">
        <f t="shared" si="8"/>
        <v>76.88</v>
      </c>
      <c r="V46" s="1727">
        <v>52</v>
      </c>
      <c r="X46" s="1728">
        <f t="shared" si="7"/>
        <v>483.09</v>
      </c>
    </row>
    <row r="47" spans="1:24" s="175" customFormat="1" ht="11.25" customHeight="1">
      <c r="A47" s="1711">
        <f t="shared" si="0"/>
        <v>28</v>
      </c>
      <c r="B47" s="1714" t="s">
        <v>87</v>
      </c>
      <c r="C47" s="1733" t="s">
        <v>49</v>
      </c>
      <c r="D47" s="2906" t="s">
        <v>89</v>
      </c>
      <c r="E47" s="2906"/>
      <c r="F47" s="1720">
        <f t="shared" si="1"/>
        <v>749.2</v>
      </c>
      <c r="G47" s="1720">
        <f t="shared" si="2"/>
        <v>749.2</v>
      </c>
      <c r="H47" s="1740">
        <v>10</v>
      </c>
      <c r="I47" s="1721">
        <f>IF(H47 &gt; 50,'LEAD OF MATL.'!B16+45*'LEAD OF MATL.'!B17+(H47-50)*'LEAD OF MATL.'!B18,'LEAD OF MATL.'!B16+(H47-5)*'LEAD OF MATL.'!B17)</f>
        <v>341.11</v>
      </c>
      <c r="J47" s="1731">
        <f>R47+(R47*10%)+(R47*5%)+S47</f>
        <v>504</v>
      </c>
      <c r="K47" s="1721">
        <f t="shared" si="3"/>
        <v>845.11</v>
      </c>
      <c r="L47" s="2886">
        <f t="shared" si="15"/>
        <v>1594.31</v>
      </c>
      <c r="M47" s="2886"/>
      <c r="N47" s="1723">
        <f t="shared" si="14"/>
        <v>0</v>
      </c>
      <c r="O47" s="1723">
        <f t="shared" si="6"/>
        <v>1090.31</v>
      </c>
      <c r="P47" s="1723">
        <v>5</v>
      </c>
      <c r="Q47" s="1714" t="s">
        <v>87</v>
      </c>
      <c r="R47" s="1747">
        <v>180</v>
      </c>
      <c r="S47" s="175">
        <v>297</v>
      </c>
      <c r="T47" s="1747">
        <f>'BASIC COST OF MATL'!K95</f>
        <v>749.2</v>
      </c>
      <c r="U47" s="1721">
        <f t="shared" si="8"/>
        <v>749.2</v>
      </c>
      <c r="V47" s="1748">
        <v>559</v>
      </c>
      <c r="X47" s="1728">
        <f t="shared" si="7"/>
        <v>1090.31</v>
      </c>
    </row>
    <row r="48" spans="1:24" s="175" customFormat="1" ht="11.25" customHeight="1">
      <c r="A48" s="1711">
        <f t="shared" si="0"/>
        <v>29</v>
      </c>
      <c r="B48" s="1714" t="s">
        <v>11</v>
      </c>
      <c r="C48" s="1733" t="s">
        <v>49</v>
      </c>
      <c r="D48" s="2906" t="s">
        <v>89</v>
      </c>
      <c r="E48" s="2906"/>
      <c r="F48" s="1720">
        <f t="shared" si="1"/>
        <v>65.88</v>
      </c>
      <c r="G48" s="1720">
        <f t="shared" si="2"/>
        <v>65.88</v>
      </c>
      <c r="H48" s="1740">
        <v>5</v>
      </c>
      <c r="I48" s="1721">
        <f>IF(H48 &gt; 50,'LEAD OF MATL.'!B16+45*'LEAD OF MATL.'!B17+(H48-50)*'LEAD OF MATL.'!B18,'LEAD OF MATL.'!B16+(H48-5)*'LEAD OF MATL.'!B17)</f>
        <v>276.01</v>
      </c>
      <c r="J48" s="1731">
        <f>R48+(R48*10%)+(R48*5%)+S48</f>
        <v>89.25</v>
      </c>
      <c r="K48" s="1721">
        <f t="shared" si="3"/>
        <v>365.26</v>
      </c>
      <c r="L48" s="2886">
        <f t="shared" si="15"/>
        <v>431.14</v>
      </c>
      <c r="M48" s="2886"/>
      <c r="N48" s="1723">
        <f t="shared" si="14"/>
        <v>0</v>
      </c>
      <c r="O48" s="1723">
        <f t="shared" si="6"/>
        <v>341.89</v>
      </c>
      <c r="P48" s="1723">
        <v>5</v>
      </c>
      <c r="Q48" s="1749" t="s">
        <v>11</v>
      </c>
      <c r="R48" s="1747">
        <f>R45</f>
        <v>35</v>
      </c>
      <c r="S48" s="175">
        <v>49</v>
      </c>
      <c r="T48" s="1747">
        <f>'BASIC COST OF MATL'!K30</f>
        <v>65.88</v>
      </c>
      <c r="U48" s="1721">
        <f t="shared" si="8"/>
        <v>65.88</v>
      </c>
      <c r="V48" s="1748"/>
      <c r="X48" s="1728">
        <f t="shared" si="7"/>
        <v>341.89</v>
      </c>
    </row>
    <row r="49" spans="1:24" s="175" customFormat="1" ht="11.25" customHeight="1">
      <c r="A49" s="1711">
        <f t="shared" si="0"/>
        <v>30</v>
      </c>
      <c r="B49" s="1750" t="s">
        <v>90</v>
      </c>
      <c r="C49" s="1733" t="s">
        <v>49</v>
      </c>
      <c r="D49" s="2906" t="s">
        <v>89</v>
      </c>
      <c r="E49" s="2906"/>
      <c r="F49" s="1720">
        <v>0</v>
      </c>
      <c r="G49" s="1720">
        <f t="shared" si="2"/>
        <v>0</v>
      </c>
      <c r="H49" s="1740">
        <v>5</v>
      </c>
      <c r="I49" s="1721">
        <f>IF(H49 &gt; 50,'LEAD OF MATL.'!B16+45*'LEAD OF MATL.'!B17+(H49-50)*'LEAD OF MATL.'!B18,'LEAD OF MATL.'!B16+(H49-5)*'LEAD OF MATL.'!B17)</f>
        <v>276.01</v>
      </c>
      <c r="J49" s="1731">
        <f>R49+(R49*10%)+(R49*5%)+S49</f>
        <v>40.25</v>
      </c>
      <c r="K49" s="1721">
        <f t="shared" si="3"/>
        <v>316.26</v>
      </c>
      <c r="L49" s="2886">
        <f t="shared" si="15"/>
        <v>316.26</v>
      </c>
      <c r="M49" s="2886"/>
      <c r="N49" s="1723">
        <f t="shared" si="14"/>
        <v>0</v>
      </c>
      <c r="O49" s="1723">
        <f t="shared" si="6"/>
        <v>276.01</v>
      </c>
      <c r="P49" s="1723"/>
      <c r="Q49" s="1749"/>
      <c r="R49" s="1747">
        <v>35</v>
      </c>
      <c r="T49" s="1747"/>
      <c r="U49" s="1721">
        <f t="shared" si="8"/>
        <v>0</v>
      </c>
      <c r="V49" s="1748"/>
      <c r="X49" s="1728"/>
    </row>
    <row r="50" spans="1:24" s="175" customFormat="1" ht="11.25" customHeight="1">
      <c r="A50" s="1711">
        <f t="shared" si="0"/>
        <v>31</v>
      </c>
      <c r="B50" s="1714" t="s">
        <v>8</v>
      </c>
      <c r="C50" s="1718" t="s">
        <v>91</v>
      </c>
      <c r="D50" s="2906" t="s">
        <v>2016</v>
      </c>
      <c r="E50" s="2906"/>
      <c r="F50" s="1751">
        <f>L120</f>
        <v>5702.34</v>
      </c>
      <c r="G50" s="1720">
        <f>F50</f>
        <v>5702.34</v>
      </c>
      <c r="H50" s="1719">
        <v>20</v>
      </c>
      <c r="I50" s="1721">
        <f>IF(H50 &gt; 50,'LEAD OF MATL.'!E16+45*'LEAD OF MATL.'!E17+(H50-50)*'LEAD OF MATL.'!E18,'LEAD OF MATL.'!E16+(H50-5)*'LEAD OF MATL.'!E17)</f>
        <v>426.22</v>
      </c>
      <c r="J50" s="1721">
        <v>0</v>
      </c>
      <c r="K50" s="1721">
        <f t="shared" si="3"/>
        <v>426.22</v>
      </c>
      <c r="L50" s="2886">
        <f t="shared" si="15"/>
        <v>6128.56</v>
      </c>
      <c r="M50" s="2886"/>
      <c r="N50" s="1754">
        <f t="shared" si="14"/>
        <v>0</v>
      </c>
      <c r="O50" s="1723">
        <f>L50-J50</f>
        <v>6128.56</v>
      </c>
      <c r="P50" s="1723">
        <v>28</v>
      </c>
      <c r="Q50" s="1749"/>
      <c r="R50" s="1752"/>
      <c r="T50" s="1752"/>
      <c r="U50" s="1721">
        <f t="shared" si="8"/>
        <v>5702.34</v>
      </c>
      <c r="V50" s="1753"/>
      <c r="X50" s="1728">
        <f t="shared" si="7"/>
        <v>6128.56</v>
      </c>
    </row>
    <row r="51" spans="1:24" s="175" customFormat="1" ht="11.25" customHeight="1">
      <c r="A51" s="1711">
        <f t="shared" si="0"/>
        <v>32</v>
      </c>
      <c r="B51" s="1714" t="s">
        <v>12</v>
      </c>
      <c r="C51" s="1718" t="s">
        <v>91</v>
      </c>
      <c r="D51" s="2877" t="s">
        <v>2016</v>
      </c>
      <c r="E51" s="2877"/>
      <c r="F51" s="1751">
        <f>L131</f>
        <v>65168.049999999996</v>
      </c>
      <c r="G51" s="1720">
        <f>F51</f>
        <v>65168.049999999996</v>
      </c>
      <c r="H51" s="1719">
        <v>20</v>
      </c>
      <c r="I51" s="1721">
        <f>IF(H51 &gt; 50,'LEAD OF MATL.'!E16+45*'LEAD OF MATL.'!E17+(H51-50)*'LEAD OF MATL.'!E18,'LEAD OF MATL.'!E16+(H51-5)*'LEAD OF MATL.'!E17)</f>
        <v>426.22</v>
      </c>
      <c r="J51" s="1721">
        <v>0</v>
      </c>
      <c r="K51" s="1721">
        <f t="shared" si="3"/>
        <v>426.22</v>
      </c>
      <c r="L51" s="2886">
        <f t="shared" si="15"/>
        <v>65594.26999999999</v>
      </c>
      <c r="M51" s="2886"/>
      <c r="N51" s="1754">
        <f t="shared" si="14"/>
        <v>0</v>
      </c>
      <c r="O51" s="1723">
        <f>L51-J51</f>
        <v>65594.26999999999</v>
      </c>
      <c r="P51" s="1723">
        <v>18</v>
      </c>
      <c r="R51" s="1752"/>
      <c r="T51" s="1752"/>
      <c r="U51" s="1721">
        <f t="shared" si="8"/>
        <v>65168.049999999996</v>
      </c>
      <c r="V51" s="1753"/>
      <c r="X51" s="1728">
        <f t="shared" si="7"/>
        <v>65594.26999999999</v>
      </c>
    </row>
    <row r="52" spans="1:24" s="175" customFormat="1" ht="11.25" customHeight="1">
      <c r="A52" s="2917">
        <f t="shared" si="0"/>
        <v>33</v>
      </c>
      <c r="B52" s="1755" t="str">
        <f>B163</f>
        <v>Vertified tile ( 600x 600)Printed</v>
      </c>
      <c r="C52" s="1718" t="s">
        <v>92</v>
      </c>
      <c r="D52" s="2877" t="s">
        <v>2016</v>
      </c>
      <c r="E52" s="2877"/>
      <c r="F52" s="1756">
        <f>G163</f>
        <v>695.76</v>
      </c>
      <c r="G52" s="1720">
        <f t="shared" si="2"/>
        <v>695.76</v>
      </c>
      <c r="H52" s="1719">
        <v>20</v>
      </c>
      <c r="I52" s="1721">
        <f>IF(H52 &gt; 50,'LEAD OF MATL.'!C16/180+45*'LEAD OF MATL.'!C17/180+(H52-50)*'LEAD OF MATL.'!C18/180,'LEAD OF MATL.'!C16/180+(H52-5)*'LEAD OF MATL.'!C17/180)</f>
        <v>14.510277777777777</v>
      </c>
      <c r="J52" s="1721">
        <v>0</v>
      </c>
      <c r="K52" s="1721">
        <f t="shared" si="3"/>
        <v>14.510277777777777</v>
      </c>
      <c r="L52" s="2886">
        <f t="shared" si="15"/>
        <v>710.27027777777778</v>
      </c>
      <c r="M52" s="2886"/>
      <c r="N52" s="1723">
        <f t="shared" si="14"/>
        <v>0</v>
      </c>
      <c r="O52" s="1723">
        <f t="shared" si="6"/>
        <v>710.27027777777778</v>
      </c>
      <c r="P52" s="1723">
        <v>18</v>
      </c>
      <c r="Q52" s="1741">
        <f>IF(H52 &gt; 50,2284/180+(H52-50)*26.5/180,799/180+(H52-5)*33/180)</f>
        <v>7.1888888888888891</v>
      </c>
      <c r="T52" s="1757"/>
      <c r="U52" s="1721">
        <f t="shared" si="8"/>
        <v>695.76</v>
      </c>
      <c r="X52" s="1728">
        <f t="shared" si="7"/>
        <v>710.27027777777778</v>
      </c>
    </row>
    <row r="53" spans="1:24" s="175" customFormat="1" ht="11.25" customHeight="1">
      <c r="A53" s="2918"/>
      <c r="B53" s="1755" t="str">
        <f>B166</f>
        <v>Vertified tile ( 600x 600)Plain</v>
      </c>
      <c r="C53" s="1718" t="s">
        <v>92</v>
      </c>
      <c r="D53" s="2877" t="s">
        <v>2016</v>
      </c>
      <c r="E53" s="2877"/>
      <c r="F53" s="1756">
        <f>G166</f>
        <v>651.08000000000004</v>
      </c>
      <c r="G53" s="1720">
        <f t="shared" si="2"/>
        <v>651.08000000000004</v>
      </c>
      <c r="H53" s="1719">
        <v>20</v>
      </c>
      <c r="I53" s="1721">
        <f>IF(H53 &gt; 50,'LEAD OF MATL.'!C16/180+45*'LEAD OF MATL.'!C17/180+(H53-50)*'LEAD OF MATL.'!C18/180,'LEAD OF MATL.'!C16/180+(H53-5)*'LEAD OF MATL.'!C17/180)</f>
        <v>14.510277777777777</v>
      </c>
      <c r="J53" s="1721">
        <v>0</v>
      </c>
      <c r="K53" s="1721">
        <f t="shared" si="3"/>
        <v>14.510277777777777</v>
      </c>
      <c r="L53" s="2886">
        <f t="shared" si="15"/>
        <v>665.59027777777783</v>
      </c>
      <c r="M53" s="2886"/>
      <c r="N53" s="1723">
        <f t="shared" si="14"/>
        <v>0</v>
      </c>
      <c r="O53" s="1723">
        <f t="shared" si="6"/>
        <v>665.59027777777783</v>
      </c>
      <c r="P53" s="1723">
        <v>18</v>
      </c>
      <c r="Q53" s="1758"/>
      <c r="T53" s="1759"/>
      <c r="U53" s="1728">
        <f t="shared" si="8"/>
        <v>651.08000000000004</v>
      </c>
      <c r="X53" s="1728">
        <f t="shared" si="7"/>
        <v>665.59027777777783</v>
      </c>
    </row>
    <row r="54" spans="1:24" s="175" customFormat="1" ht="11.25" hidden="1" customHeight="1">
      <c r="A54" s="2918"/>
      <c r="B54" s="1755" t="str">
        <f>I163</f>
        <v>Vertified industrial tile (300 x300)</v>
      </c>
      <c r="C54" s="1718" t="s">
        <v>92</v>
      </c>
      <c r="D54" s="2877" t="s">
        <v>2016</v>
      </c>
      <c r="E54" s="2877"/>
      <c r="F54" s="1756">
        <f>M163</f>
        <v>578.35</v>
      </c>
      <c r="G54" s="1720">
        <f t="shared" si="2"/>
        <v>578.35</v>
      </c>
      <c r="H54" s="1719">
        <v>20</v>
      </c>
      <c r="I54" s="1721">
        <f>IF(H54 &gt; 50,'LEAD OF MATL.'!C16/180+45*'LEAD OF MATL.'!C17/180+(H54-50)*'LEAD OF MATL.'!C18/180,'LEAD OF MATL.'!C16/180+(H54-5)*'LEAD OF MATL.'!C17/180)</f>
        <v>14.510277777777777</v>
      </c>
      <c r="J54" s="1721">
        <v>0</v>
      </c>
      <c r="K54" s="1721">
        <f t="shared" si="3"/>
        <v>14.510277777777777</v>
      </c>
      <c r="L54" s="2886">
        <f t="shared" si="15"/>
        <v>592.86027777777781</v>
      </c>
      <c r="M54" s="2886"/>
      <c r="N54" s="1723">
        <f t="shared" si="14"/>
        <v>0</v>
      </c>
      <c r="O54" s="1723">
        <f t="shared" si="6"/>
        <v>592.86027777777781</v>
      </c>
      <c r="P54" s="1723">
        <v>18</v>
      </c>
      <c r="Q54" s="1758"/>
      <c r="T54" s="1759"/>
      <c r="U54" s="1728">
        <f t="shared" si="8"/>
        <v>578.35</v>
      </c>
      <c r="X54" s="1728">
        <f t="shared" si="7"/>
        <v>592.86027777777781</v>
      </c>
    </row>
    <row r="55" spans="1:24" s="175" customFormat="1" ht="11.25" hidden="1" customHeight="1">
      <c r="A55" s="2918"/>
      <c r="B55" s="1755" t="str">
        <f>I159</f>
        <v>Chequred tile</v>
      </c>
      <c r="C55" s="1718" t="s">
        <v>92</v>
      </c>
      <c r="D55" s="2877" t="s">
        <v>2016</v>
      </c>
      <c r="E55" s="2877"/>
      <c r="F55" s="1756">
        <f>M159</f>
        <v>254.75</v>
      </c>
      <c r="G55" s="1720">
        <f t="shared" si="2"/>
        <v>254.75</v>
      </c>
      <c r="H55" s="1719">
        <v>20</v>
      </c>
      <c r="I55" s="1721">
        <f>IF(H55 &gt; 50,'LEAD OF MATL.'!C16/180+45*'LEAD OF MATL.'!C17/180+(H55-50)*'LEAD OF MATL.'!C18/180,'LEAD OF MATL.'!C16/180+(H55-5)*'LEAD OF MATL.'!C17/180)</f>
        <v>14.510277777777777</v>
      </c>
      <c r="J55" s="1721">
        <v>0</v>
      </c>
      <c r="K55" s="1721">
        <f t="shared" si="3"/>
        <v>14.510277777777777</v>
      </c>
      <c r="L55" s="2886">
        <f t="shared" si="15"/>
        <v>269.26027777777779</v>
      </c>
      <c r="M55" s="2886"/>
      <c r="N55" s="1723">
        <f t="shared" si="14"/>
        <v>0</v>
      </c>
      <c r="O55" s="1723">
        <f t="shared" si="6"/>
        <v>269.26027777777779</v>
      </c>
      <c r="P55" s="1723">
        <v>28</v>
      </c>
      <c r="Q55" s="1758"/>
      <c r="T55" s="1759"/>
      <c r="U55" s="1728">
        <f t="shared" si="8"/>
        <v>254.75</v>
      </c>
      <c r="X55" s="1728">
        <f t="shared" si="7"/>
        <v>269.26027777777779</v>
      </c>
    </row>
    <row r="56" spans="1:24" s="175" customFormat="1" ht="11.25" customHeight="1">
      <c r="A56" s="2918"/>
      <c r="B56" s="1755" t="str">
        <f>B162</f>
        <v>Ceramic floor tile</v>
      </c>
      <c r="C56" s="1718" t="s">
        <v>92</v>
      </c>
      <c r="D56" s="2877" t="s">
        <v>2016</v>
      </c>
      <c r="E56" s="2877"/>
      <c r="F56" s="1756">
        <f>G162</f>
        <v>440</v>
      </c>
      <c r="G56" s="1720">
        <f t="shared" si="2"/>
        <v>440</v>
      </c>
      <c r="H56" s="1719">
        <v>20</v>
      </c>
      <c r="I56" s="1721">
        <f>IF(H56 &gt; 50,'LEAD OF MATL.'!C16/180+45*'LEAD OF MATL.'!C17/180+(H56-50)*'LEAD OF MATL.'!C18/180,'LEAD OF MATL.'!C16/180+(H56-5)*'LEAD OF MATL.'!C17/180)</f>
        <v>14.510277777777777</v>
      </c>
      <c r="J56" s="1721">
        <v>0</v>
      </c>
      <c r="K56" s="1721">
        <f t="shared" si="3"/>
        <v>14.510277777777777</v>
      </c>
      <c r="L56" s="2886">
        <f t="shared" si="15"/>
        <v>454.51027777777779</v>
      </c>
      <c r="M56" s="2886"/>
      <c r="N56" s="1723">
        <f t="shared" si="14"/>
        <v>0</v>
      </c>
      <c r="O56" s="1723">
        <f t="shared" si="6"/>
        <v>454.51027777777779</v>
      </c>
      <c r="P56" s="1723">
        <v>18</v>
      </c>
      <c r="Q56" s="1758"/>
      <c r="T56" s="1759"/>
      <c r="U56" s="1728">
        <f t="shared" si="8"/>
        <v>440</v>
      </c>
      <c r="X56" s="1728">
        <f t="shared" si="7"/>
        <v>454.51027777777779</v>
      </c>
    </row>
    <row r="57" spans="1:24" s="175" customFormat="1" ht="11.25" customHeight="1">
      <c r="A57" s="2918"/>
      <c r="B57" s="1755" t="str">
        <f>I162</f>
        <v>Ceramic Wall tile</v>
      </c>
      <c r="C57" s="1718" t="s">
        <v>92</v>
      </c>
      <c r="D57" s="2877" t="s">
        <v>2016</v>
      </c>
      <c r="E57" s="2877"/>
      <c r="F57" s="1756">
        <f>M162</f>
        <v>405.2</v>
      </c>
      <c r="G57" s="1720">
        <f t="shared" si="2"/>
        <v>405.2</v>
      </c>
      <c r="H57" s="1719">
        <v>20</v>
      </c>
      <c r="I57" s="1721">
        <f>IF(H57 &gt; 50,'LEAD OF MATL.'!C16/180+45*'LEAD OF MATL.'!C17/180+(H57-50)*'LEAD OF MATL.'!C18/180,'LEAD OF MATL.'!C16/180+(H57-5)*'LEAD OF MATL.'!C17/180)</f>
        <v>14.510277777777777</v>
      </c>
      <c r="J57" s="1721">
        <v>0</v>
      </c>
      <c r="K57" s="1721">
        <f t="shared" si="3"/>
        <v>14.510277777777777</v>
      </c>
      <c r="L57" s="2886">
        <f t="shared" si="15"/>
        <v>419.71027777777778</v>
      </c>
      <c r="M57" s="2886"/>
      <c r="N57" s="1723">
        <f t="shared" si="14"/>
        <v>0</v>
      </c>
      <c r="O57" s="1723">
        <f t="shared" si="6"/>
        <v>419.71027777777778</v>
      </c>
      <c r="P57" s="1723">
        <v>18</v>
      </c>
      <c r="Q57" s="1758"/>
      <c r="T57" s="1759"/>
      <c r="U57" s="1728">
        <f t="shared" si="8"/>
        <v>405.2</v>
      </c>
      <c r="X57" s="1728">
        <f t="shared" si="7"/>
        <v>419.71027777777778</v>
      </c>
    </row>
    <row r="58" spans="1:24" s="175" customFormat="1" ht="11.25" hidden="1" customHeight="1">
      <c r="A58" s="2918"/>
      <c r="B58" s="1755" t="str">
        <f>I160</f>
        <v>Kota tile (size above 0.10sqm)</v>
      </c>
      <c r="C58" s="1718" t="s">
        <v>92</v>
      </c>
      <c r="D58" s="2877" t="s">
        <v>2016</v>
      </c>
      <c r="E58" s="2877"/>
      <c r="F58" s="1756">
        <f>M160</f>
        <v>500.2</v>
      </c>
      <c r="G58" s="1720">
        <f t="shared" si="2"/>
        <v>500.2</v>
      </c>
      <c r="H58" s="1719">
        <v>20</v>
      </c>
      <c r="I58" s="1721">
        <f>IF(H58 &gt; 50,'LEAD OF MATL.'!C16/180+45*'LEAD OF MATL.'!C17/180+(H58-50)*'LEAD OF MATL.'!C18/180,'LEAD OF MATL.'!C16/180+(H58-5)*'LEAD OF MATL.'!C17/180)</f>
        <v>14.510277777777777</v>
      </c>
      <c r="J58" s="1721">
        <v>0</v>
      </c>
      <c r="K58" s="1721">
        <f t="shared" si="3"/>
        <v>14.510277777777777</v>
      </c>
      <c r="L58" s="2886">
        <f t="shared" si="15"/>
        <v>514.71027777777772</v>
      </c>
      <c r="M58" s="2886"/>
      <c r="N58" s="1723">
        <f t="shared" si="14"/>
        <v>0</v>
      </c>
      <c r="O58" s="1723">
        <f t="shared" si="6"/>
        <v>514.71027777777772</v>
      </c>
      <c r="P58" s="1723">
        <v>28</v>
      </c>
      <c r="Q58" s="1758"/>
      <c r="T58" s="1759"/>
      <c r="U58" s="1728">
        <f t="shared" si="8"/>
        <v>500.2</v>
      </c>
      <c r="X58" s="1728">
        <f t="shared" si="7"/>
        <v>514.71027777777772</v>
      </c>
    </row>
    <row r="59" spans="1:24" s="175" customFormat="1" ht="11.25" hidden="1" customHeight="1">
      <c r="A59" s="2918"/>
      <c r="B59" s="1755" t="str">
        <f>B160</f>
        <v>Marble tile (size0.10-0.40sqm)</v>
      </c>
      <c r="C59" s="1718" t="s">
        <v>92</v>
      </c>
      <c r="D59" s="2877" t="s">
        <v>2016</v>
      </c>
      <c r="E59" s="2877"/>
      <c r="F59" s="1756">
        <f>G160</f>
        <v>677.95</v>
      </c>
      <c r="G59" s="1720">
        <f t="shared" si="2"/>
        <v>677.95</v>
      </c>
      <c r="H59" s="1719">
        <v>20</v>
      </c>
      <c r="I59" s="1721">
        <f>IF(H59 &gt; 50,'LEAD OF MATL.'!C16/180+45*'LEAD OF MATL.'!C17/180+(H59-50)*'LEAD OF MATL.'!C18/180,'LEAD OF MATL.'!C16/180+(H59-5)*'LEAD OF MATL.'!C17/180)</f>
        <v>14.510277777777777</v>
      </c>
      <c r="J59" s="1721">
        <v>0</v>
      </c>
      <c r="K59" s="1721">
        <f t="shared" si="3"/>
        <v>14.510277777777777</v>
      </c>
      <c r="L59" s="2886">
        <f t="shared" ref="L59" si="17">G59+K59</f>
        <v>692.46027777777783</v>
      </c>
      <c r="M59" s="2886"/>
      <c r="N59" s="1723">
        <f t="shared" si="14"/>
        <v>0</v>
      </c>
      <c r="O59" s="1723">
        <f t="shared" si="6"/>
        <v>692.46027777777783</v>
      </c>
      <c r="P59" s="1723">
        <v>28</v>
      </c>
      <c r="Q59" s="1758"/>
      <c r="T59" s="1759"/>
      <c r="U59" s="1728"/>
      <c r="X59" s="1728"/>
    </row>
    <row r="60" spans="1:24" s="175" customFormat="1" ht="11.25" hidden="1" customHeight="1">
      <c r="A60" s="2918"/>
      <c r="B60" s="1755" t="str">
        <f>I161</f>
        <v>Marble tle (0.4Sqm -1Sqm)</v>
      </c>
      <c r="C60" s="1718" t="s">
        <v>92</v>
      </c>
      <c r="D60" s="2877" t="s">
        <v>2016</v>
      </c>
      <c r="E60" s="2877"/>
      <c r="F60" s="1756">
        <f>M161</f>
        <v>766.45</v>
      </c>
      <c r="G60" s="1720">
        <f t="shared" si="2"/>
        <v>766.45</v>
      </c>
      <c r="H60" s="1719">
        <v>20</v>
      </c>
      <c r="I60" s="1721">
        <f>IF(H60 &gt; 50,'LEAD OF MATL.'!C16/180+45*'LEAD OF MATL.'!C17/180+(H60-50)*'LEAD OF MATL.'!C18/180,'LEAD OF MATL.'!C16/180+(H60-5)*'LEAD OF MATL.'!C17/180)</f>
        <v>14.510277777777777</v>
      </c>
      <c r="J60" s="1721">
        <v>0</v>
      </c>
      <c r="K60" s="1721">
        <f t="shared" si="3"/>
        <v>14.510277777777777</v>
      </c>
      <c r="L60" s="2886">
        <f t="shared" si="15"/>
        <v>780.96027777777783</v>
      </c>
      <c r="M60" s="2886"/>
      <c r="N60" s="1723">
        <f t="shared" si="14"/>
        <v>0</v>
      </c>
      <c r="O60" s="1723">
        <f>L60-J60</f>
        <v>780.96027777777783</v>
      </c>
      <c r="P60" s="1723">
        <v>28</v>
      </c>
      <c r="Q60" s="1758"/>
      <c r="T60" s="1759"/>
      <c r="U60" s="1728">
        <f t="shared" si="8"/>
        <v>766.45</v>
      </c>
      <c r="X60" s="1728">
        <f t="shared" si="7"/>
        <v>780.96027777777783</v>
      </c>
    </row>
    <row r="61" spans="1:24" s="175" customFormat="1" ht="11.25" hidden="1" customHeight="1">
      <c r="A61" s="2918"/>
      <c r="B61" s="1755" t="str">
        <f>B164</f>
        <v>Granite Tile upto 0.10 Sqm</v>
      </c>
      <c r="C61" s="1718" t="s">
        <v>92</v>
      </c>
      <c r="D61" s="2877" t="s">
        <v>2016</v>
      </c>
      <c r="E61" s="2877"/>
      <c r="F61" s="1756">
        <f>G164</f>
        <v>1181.8499999999999</v>
      </c>
      <c r="G61" s="1720">
        <f t="shared" si="2"/>
        <v>1181.8499999999999</v>
      </c>
      <c r="H61" s="1719">
        <v>20</v>
      </c>
      <c r="I61" s="1721">
        <f>IF(H61 &gt; 50,'LEAD OF MATL.'!C16/180+45*'LEAD OF MATL.'!C17/180+(H61-50)*'LEAD OF MATL.'!C18/180,'LEAD OF MATL.'!C16/180+(H61-5)*'LEAD OF MATL.'!C17/180)</f>
        <v>14.510277777777777</v>
      </c>
      <c r="J61" s="1721">
        <v>0</v>
      </c>
      <c r="K61" s="1721">
        <f t="shared" si="3"/>
        <v>14.510277777777777</v>
      </c>
      <c r="L61" s="2886">
        <f t="shared" si="15"/>
        <v>1196.3602777777776</v>
      </c>
      <c r="M61" s="2886"/>
      <c r="N61" s="1723">
        <f t="shared" si="14"/>
        <v>0</v>
      </c>
      <c r="O61" s="1723">
        <f t="shared" si="6"/>
        <v>1196.3602777777776</v>
      </c>
      <c r="P61" s="1723">
        <v>28</v>
      </c>
      <c r="Q61" s="1758"/>
      <c r="T61" s="1759"/>
      <c r="U61" s="1728">
        <f t="shared" si="8"/>
        <v>1181.8499999999999</v>
      </c>
      <c r="X61" s="1728">
        <f t="shared" si="7"/>
        <v>1196.3602777777776</v>
      </c>
    </row>
    <row r="62" spans="1:24" s="175" customFormat="1" ht="11.25" hidden="1" customHeight="1">
      <c r="A62" s="2918"/>
      <c r="B62" s="1755" t="str">
        <f>B167</f>
        <v>Nuria Tile (20cmx25cm)</v>
      </c>
      <c r="C62" s="1718" t="s">
        <v>93</v>
      </c>
      <c r="D62" s="2877" t="s">
        <v>2016</v>
      </c>
      <c r="E62" s="2877"/>
      <c r="F62" s="1756">
        <f>G167</f>
        <v>719.25</v>
      </c>
      <c r="G62" s="1720">
        <f t="shared" si="2"/>
        <v>719.25</v>
      </c>
      <c r="H62" s="1719">
        <v>20</v>
      </c>
      <c r="I62" s="1721">
        <f>IF(H62 &gt; 50,'LEAD OF MATL.'!C16/180+45*'LEAD OF MATL.'!C17/180+(H62-50)*'LEAD OF MATL.'!C18/180*50,'LEAD OF MATL.'!C16/180+(H62-5)*'LEAD OF MATL.'!C17/180*50)</f>
        <v>255.05944444444447</v>
      </c>
      <c r="J62" s="1721">
        <v>0</v>
      </c>
      <c r="K62" s="1721">
        <f t="shared" si="3"/>
        <v>255.05944444444447</v>
      </c>
      <c r="L62" s="2886">
        <f t="shared" ref="L62" si="18">G62+K62</f>
        <v>974.30944444444447</v>
      </c>
      <c r="M62" s="2886"/>
      <c r="N62" s="1723">
        <f>G62-F62</f>
        <v>0</v>
      </c>
      <c r="O62" s="1723">
        <f t="shared" si="6"/>
        <v>974.30944444444447</v>
      </c>
      <c r="P62" s="1723">
        <v>5</v>
      </c>
      <c r="Q62" s="1758"/>
      <c r="T62" s="1759"/>
      <c r="U62" s="1728">
        <f t="shared" si="8"/>
        <v>719.25</v>
      </c>
      <c r="X62" s="1728"/>
    </row>
    <row r="63" spans="1:24" s="175" customFormat="1" ht="11.25" hidden="1" customHeight="1">
      <c r="A63" s="2918"/>
      <c r="B63" s="1755" t="str">
        <f>B168</f>
        <v>Nuria Tile (25cmx30cm)</v>
      </c>
      <c r="C63" s="1718" t="s">
        <v>93</v>
      </c>
      <c r="D63" s="2877" t="s">
        <v>2016</v>
      </c>
      <c r="E63" s="2877"/>
      <c r="F63" s="1756">
        <f>G168</f>
        <v>912.84</v>
      </c>
      <c r="G63" s="1720">
        <f t="shared" si="2"/>
        <v>912.84</v>
      </c>
      <c r="H63" s="1719">
        <v>20</v>
      </c>
      <c r="I63" s="1721">
        <f>IF(H63 &gt; 50,'LEAD OF MATL.'!C16/180+45*'LEAD OF MATL.'!C17/180+(H63-50)*'LEAD OF MATL.'!C18/180*75,'LEAD OF MATL.'!C16/180+(H63-5)*'LEAD OF MATL.'!C17/180*75)</f>
        <v>377.78861111111109</v>
      </c>
      <c r="J63" s="1721">
        <v>0</v>
      </c>
      <c r="K63" s="1721">
        <f t="shared" si="3"/>
        <v>377.78861111111109</v>
      </c>
      <c r="L63" s="2886">
        <f t="shared" ref="L63" si="19">G63+K63</f>
        <v>1290.6286111111112</v>
      </c>
      <c r="M63" s="2886"/>
      <c r="N63" s="1723">
        <f t="shared" si="14"/>
        <v>0</v>
      </c>
      <c r="O63" s="1723">
        <f t="shared" ref="O63" si="20">L63-J63</f>
        <v>1290.6286111111112</v>
      </c>
      <c r="P63" s="1723">
        <v>5</v>
      </c>
      <c r="Q63" s="1758"/>
      <c r="T63" s="1759"/>
      <c r="U63" s="1728"/>
      <c r="X63" s="1728"/>
    </row>
    <row r="64" spans="1:24" s="175" customFormat="1" ht="11.25" hidden="1" customHeight="1">
      <c r="A64" s="2918"/>
      <c r="B64" s="1755" t="s">
        <v>3384</v>
      </c>
      <c r="C64" s="1718" t="s">
        <v>93</v>
      </c>
      <c r="D64" s="2877" t="s">
        <v>2016</v>
      </c>
      <c r="E64" s="2877"/>
      <c r="F64" s="1760">
        <v>249.61</v>
      </c>
      <c r="G64" s="1720">
        <f t="shared" si="2"/>
        <v>249.61</v>
      </c>
      <c r="H64" s="1719">
        <v>20</v>
      </c>
      <c r="I64" s="1721"/>
      <c r="J64" s="1721">
        <v>0</v>
      </c>
      <c r="K64" s="1721"/>
      <c r="L64" s="2886">
        <f t="shared" ref="L64:L65" si="21">G64+K64</f>
        <v>249.61</v>
      </c>
      <c r="M64" s="2886"/>
      <c r="N64" s="1723">
        <f t="shared" si="14"/>
        <v>0</v>
      </c>
      <c r="O64" s="1723">
        <f t="shared" ref="O64" si="22">L64-J64</f>
        <v>249.61</v>
      </c>
      <c r="P64" s="1723">
        <v>5</v>
      </c>
      <c r="Q64" s="1758"/>
      <c r="T64" s="1759"/>
      <c r="U64" s="1728"/>
      <c r="X64" s="1728"/>
    </row>
    <row r="65" spans="1:24" s="175" customFormat="1" ht="11.25" hidden="1" customHeight="1">
      <c r="A65" s="2918"/>
      <c r="B65" s="1755" t="str">
        <f>B169</f>
        <v>Ridge Tiles</v>
      </c>
      <c r="C65" s="1718" t="s">
        <v>93</v>
      </c>
      <c r="D65" s="2877" t="s">
        <v>2016</v>
      </c>
      <c r="E65" s="2877"/>
      <c r="F65" s="1756">
        <f>G169</f>
        <v>1034.5899999999999</v>
      </c>
      <c r="G65" s="1720">
        <f t="shared" si="2"/>
        <v>1034.5899999999999</v>
      </c>
      <c r="H65" s="1719">
        <v>20</v>
      </c>
      <c r="I65" s="1721"/>
      <c r="J65" s="1721">
        <v>0</v>
      </c>
      <c r="K65" s="1721"/>
      <c r="L65" s="2886">
        <f t="shared" si="21"/>
        <v>1034.5899999999999</v>
      </c>
      <c r="M65" s="2886"/>
      <c r="N65" s="1723">
        <f t="shared" si="14"/>
        <v>0</v>
      </c>
      <c r="O65" s="1723">
        <f t="shared" si="6"/>
        <v>1034.5899999999999</v>
      </c>
      <c r="P65" s="1723">
        <v>5</v>
      </c>
      <c r="Q65" s="1758"/>
      <c r="T65" s="1759"/>
      <c r="U65" s="1728">
        <f t="shared" si="8"/>
        <v>1034.5899999999999</v>
      </c>
      <c r="X65" s="1728"/>
    </row>
    <row r="66" spans="1:24" s="175" customFormat="1" ht="11.25" hidden="1" customHeight="1">
      <c r="A66" s="2918"/>
      <c r="B66" s="1755" t="str">
        <f>I167</f>
        <v>Kodapa tiles(0.1Sqm-0.4Sqm)</v>
      </c>
      <c r="C66" s="1718" t="s">
        <v>92</v>
      </c>
      <c r="D66" s="2877" t="s">
        <v>2016</v>
      </c>
      <c r="E66" s="2877"/>
      <c r="F66" s="1756">
        <f>M167</f>
        <v>310.43</v>
      </c>
      <c r="G66" s="1720">
        <f t="shared" si="2"/>
        <v>310.43</v>
      </c>
      <c r="H66" s="1719">
        <v>20</v>
      </c>
      <c r="I66" s="1721">
        <f>IF(H66 &gt; 50,'LEAD OF MATL.'!C16/180+45*'LEAD OF MATL.'!C17/180+(H66-50)*'LEAD OF MATL.'!C18/180,'LEAD OF MATL.'!C16/180+(H66-5)*'LEAD OF MATL.'!C17/180)</f>
        <v>14.510277777777777</v>
      </c>
      <c r="J66" s="1721">
        <v>0</v>
      </c>
      <c r="K66" s="1721">
        <f t="shared" ref="K66:K108" si="23">I66+J66</f>
        <v>14.510277777777777</v>
      </c>
      <c r="L66" s="2886">
        <f>G66+K66</f>
        <v>324.94027777777779</v>
      </c>
      <c r="M66" s="2886"/>
      <c r="N66" s="1723">
        <f t="shared" si="14"/>
        <v>0</v>
      </c>
      <c r="O66" s="1723">
        <f t="shared" si="6"/>
        <v>324.94027777777779</v>
      </c>
      <c r="P66" s="1723">
        <v>28</v>
      </c>
      <c r="Q66" s="1758"/>
      <c r="T66" s="1759"/>
      <c r="U66" s="1728">
        <f t="shared" si="8"/>
        <v>310.43</v>
      </c>
      <c r="X66" s="1728"/>
    </row>
    <row r="67" spans="1:24" s="175" customFormat="1" ht="11.25" hidden="1" customHeight="1">
      <c r="A67" s="2918"/>
      <c r="B67" s="1755" t="str">
        <f>I169</f>
        <v>Terazoo Tiles (with White cement)</v>
      </c>
      <c r="C67" s="1718" t="s">
        <v>92</v>
      </c>
      <c r="D67" s="2877" t="s">
        <v>2016</v>
      </c>
      <c r="E67" s="2877"/>
      <c r="F67" s="1756">
        <f>M169</f>
        <v>308.95999999999998</v>
      </c>
      <c r="G67" s="1720">
        <f t="shared" si="2"/>
        <v>308.95999999999998</v>
      </c>
      <c r="H67" s="1719">
        <v>20</v>
      </c>
      <c r="I67" s="1721">
        <f>IF(H67 &gt; 50,'LEAD OF MATL.'!C16/180+45*'LEAD OF MATL.'!C17/180+(H67-50)*'LEAD OF MATL.'!C18/180,'LEAD OF MATL.'!C16/180+(H67-5)*'LEAD OF MATL.'!C17/180)</f>
        <v>14.510277777777777</v>
      </c>
      <c r="J67" s="1721">
        <v>0</v>
      </c>
      <c r="K67" s="1721">
        <f t="shared" si="23"/>
        <v>14.510277777777777</v>
      </c>
      <c r="L67" s="2886">
        <f t="shared" ref="L67:L108" si="24">G67+K67</f>
        <v>323.47027777777777</v>
      </c>
      <c r="M67" s="2886"/>
      <c r="N67" s="1723">
        <f t="shared" si="14"/>
        <v>0</v>
      </c>
      <c r="O67" s="1723">
        <f t="shared" si="6"/>
        <v>323.47027777777777</v>
      </c>
      <c r="P67" s="1723">
        <v>28</v>
      </c>
      <c r="Q67" s="1758"/>
      <c r="T67" s="1759"/>
      <c r="U67" s="1728">
        <f t="shared" si="8"/>
        <v>308.95999999999998</v>
      </c>
      <c r="X67" s="1728"/>
    </row>
    <row r="68" spans="1:24" s="175" customFormat="1" ht="11.25" hidden="1" customHeight="1">
      <c r="A68" s="2919"/>
      <c r="B68" s="1755" t="s">
        <v>2065</v>
      </c>
      <c r="C68" s="1718" t="s">
        <v>92</v>
      </c>
      <c r="D68" s="2877" t="s">
        <v>2016</v>
      </c>
      <c r="E68" s="2877"/>
      <c r="F68" s="1756">
        <f>M162</f>
        <v>405.2</v>
      </c>
      <c r="G68" s="1720">
        <f t="shared" si="2"/>
        <v>405.2</v>
      </c>
      <c r="H68" s="1719">
        <v>20</v>
      </c>
      <c r="I68" s="1721">
        <f>IF(H68 &gt; 50,'LEAD OF MATL.'!C16/180+45*'LEAD OF MATL.'!C17/180+(H68-50)*'LEAD OF MATL.'!C18/180,'LEAD OF MATL.'!C16/180+(H68-5)*'LEAD OF MATL.'!C17/180)</f>
        <v>14.510277777777777</v>
      </c>
      <c r="J68" s="1721">
        <v>0</v>
      </c>
      <c r="K68" s="1721">
        <f t="shared" si="23"/>
        <v>14.510277777777777</v>
      </c>
      <c r="L68" s="2886">
        <f t="shared" si="24"/>
        <v>419.71027777777778</v>
      </c>
      <c r="M68" s="2886"/>
      <c r="N68" s="1723">
        <f t="shared" si="14"/>
        <v>0</v>
      </c>
      <c r="O68" s="1723">
        <f t="shared" si="6"/>
        <v>419.71027777777778</v>
      </c>
      <c r="P68" s="1723">
        <f>P67</f>
        <v>28</v>
      </c>
      <c r="Q68" s="1758"/>
      <c r="T68" s="1759"/>
      <c r="U68" s="1728">
        <f t="shared" si="8"/>
        <v>405.2</v>
      </c>
      <c r="X68" s="1728">
        <f t="shared" si="7"/>
        <v>419.71027777777778</v>
      </c>
    </row>
    <row r="69" spans="1:24" s="175" customFormat="1" ht="11.25" customHeight="1">
      <c r="A69" s="2917">
        <f>A52+1</f>
        <v>34</v>
      </c>
      <c r="B69" s="1714" t="s">
        <v>854</v>
      </c>
      <c r="C69" s="1718" t="s">
        <v>49</v>
      </c>
      <c r="D69" s="2877" t="s">
        <v>2016</v>
      </c>
      <c r="E69" s="2877"/>
      <c r="F69" s="1756">
        <f>G154</f>
        <v>58374.79</v>
      </c>
      <c r="G69" s="1720">
        <f t="shared" si="2"/>
        <v>58374.79</v>
      </c>
      <c r="H69" s="1719">
        <v>20</v>
      </c>
      <c r="I69" s="1721">
        <f>IF(H69 &gt; 50,'LEAD OF MATL.'!E16/1.25+45*'LEAD OF MATL.'!E17/1.25+(H69-50)*'LEAD OF MATL.'!E18/1.25,'LEAD OF MATL.'!E16/1.25+(H69-5)*'LEAD OF MATL.'!E17/1.25)</f>
        <v>340.976</v>
      </c>
      <c r="J69" s="1721">
        <v>0</v>
      </c>
      <c r="K69" s="1721">
        <f t="shared" si="23"/>
        <v>340.976</v>
      </c>
      <c r="L69" s="2886">
        <f t="shared" si="24"/>
        <v>58715.766000000003</v>
      </c>
      <c r="M69" s="2886"/>
      <c r="N69" s="1723">
        <f t="shared" si="14"/>
        <v>0</v>
      </c>
      <c r="O69" s="1723">
        <f>L69-J69</f>
        <v>58715.766000000003</v>
      </c>
      <c r="P69" s="1723">
        <v>12</v>
      </c>
      <c r="Q69" s="1741">
        <f>IF(H69 &gt; 50,2284/180+(H69-50)*26.5/180,799/180+(H69-5)*33/180)</f>
        <v>7.1888888888888891</v>
      </c>
      <c r="T69" s="1759"/>
      <c r="U69" s="1728">
        <f t="shared" si="8"/>
        <v>58374.79</v>
      </c>
      <c r="X69" s="1728">
        <f>G69+I69</f>
        <v>58715.766000000003</v>
      </c>
    </row>
    <row r="70" spans="1:24" s="175" customFormat="1" ht="11.25" customHeight="1">
      <c r="A70" s="2918"/>
      <c r="B70" s="1714" t="s">
        <v>866</v>
      </c>
      <c r="C70" s="1718" t="s">
        <v>49</v>
      </c>
      <c r="D70" s="2877" t="str">
        <f>D69</f>
        <v>Bhuban</v>
      </c>
      <c r="E70" s="2877"/>
      <c r="F70" s="1756">
        <f>F69</f>
        <v>58374.79</v>
      </c>
      <c r="G70" s="1720">
        <f t="shared" si="2"/>
        <v>58374.79</v>
      </c>
      <c r="H70" s="1719">
        <v>20</v>
      </c>
      <c r="I70" s="1721">
        <f>IF(H70 &gt; 50,'LEAD OF MATL.'!E16/1.25+45*'LEAD OF MATL.'!E17/1.25+(H70-50)*'LEAD OF MATL.'!E18/1.25,'LEAD OF MATL.'!E16/1.25+(H70-5)*'LEAD OF MATL.'!E17/1.25)</f>
        <v>340.976</v>
      </c>
      <c r="J70" s="1721">
        <v>0</v>
      </c>
      <c r="K70" s="1721">
        <f t="shared" si="23"/>
        <v>340.976</v>
      </c>
      <c r="L70" s="2886">
        <f t="shared" si="24"/>
        <v>58715.766000000003</v>
      </c>
      <c r="M70" s="2886"/>
      <c r="N70" s="1723">
        <f t="shared" si="14"/>
        <v>0</v>
      </c>
      <c r="O70" s="1723">
        <f t="shared" si="6"/>
        <v>58715.766000000003</v>
      </c>
      <c r="P70" s="1723">
        <v>12</v>
      </c>
      <c r="Q70" s="1758"/>
      <c r="T70" s="1759"/>
      <c r="U70" s="1728">
        <f t="shared" si="8"/>
        <v>58374.79</v>
      </c>
      <c r="X70" s="1728">
        <f>G70+I70</f>
        <v>58715.766000000003</v>
      </c>
    </row>
    <row r="71" spans="1:24" s="175" customFormat="1" ht="11.25" customHeight="1">
      <c r="A71" s="2919"/>
      <c r="B71" s="1714" t="s">
        <v>855</v>
      </c>
      <c r="C71" s="1718" t="s">
        <v>49</v>
      </c>
      <c r="D71" s="2877" t="str">
        <f>D70</f>
        <v>Bhuban</v>
      </c>
      <c r="E71" s="2877"/>
      <c r="F71" s="1756">
        <v>0</v>
      </c>
      <c r="G71" s="1720">
        <f t="shared" si="2"/>
        <v>0</v>
      </c>
      <c r="H71" s="1719">
        <v>20</v>
      </c>
      <c r="I71" s="1721">
        <f>IF(H71 &gt; 50,'LEAD OF MATL.'!E16/1.25+45*'LEAD OF MATL.'!E17/1.25+(H71-50)*'LEAD OF MATL.'!E18/1.25,'LEAD OF MATL.'!E16/1.25+(H71-5)*'LEAD OF MATL.'!E17/1.25)</f>
        <v>340.976</v>
      </c>
      <c r="J71" s="1721">
        <v>0</v>
      </c>
      <c r="K71" s="1721">
        <f t="shared" si="23"/>
        <v>340.976</v>
      </c>
      <c r="L71" s="2886">
        <f t="shared" si="24"/>
        <v>340.976</v>
      </c>
      <c r="M71" s="2886"/>
      <c r="N71" s="1723">
        <f t="shared" si="14"/>
        <v>0</v>
      </c>
      <c r="O71" s="1723">
        <f t="shared" si="6"/>
        <v>340.976</v>
      </c>
      <c r="P71" s="1723"/>
      <c r="Q71" s="1758"/>
      <c r="T71" s="1759"/>
      <c r="U71" s="1728">
        <f t="shared" si="8"/>
        <v>0</v>
      </c>
      <c r="X71" s="1728">
        <f>G71+I71</f>
        <v>340.976</v>
      </c>
    </row>
    <row r="72" spans="1:24" s="175" customFormat="1" ht="11.25" customHeight="1">
      <c r="A72" s="1711">
        <f>A69+1</f>
        <v>35</v>
      </c>
      <c r="B72" s="1714" t="s">
        <v>94</v>
      </c>
      <c r="C72" s="1718" t="s">
        <v>95</v>
      </c>
      <c r="D72" s="2877" t="str">
        <f>D70</f>
        <v>Bhuban</v>
      </c>
      <c r="E72" s="2877"/>
      <c r="F72" s="1752">
        <f>G153</f>
        <v>90.1</v>
      </c>
      <c r="G72" s="1720">
        <f t="shared" si="2"/>
        <v>90.1</v>
      </c>
      <c r="H72" s="1719">
        <v>20</v>
      </c>
      <c r="I72" s="1721">
        <f>IF(H72 &gt; 50,'LEAD OF MATL.'!E16/1000+45*'LEAD OF MATL.'!E17/1000+(H72-50)*'LEAD OF MATL.'!E18/1000,'LEAD OF MATL.'!E16/1000+(H72-5)*'LEAD OF MATL.'!E17/1000)</f>
        <v>0.42622000000000004</v>
      </c>
      <c r="J72" s="1721">
        <v>0</v>
      </c>
      <c r="K72" s="1721">
        <f t="shared" si="23"/>
        <v>0.42622000000000004</v>
      </c>
      <c r="L72" s="2886">
        <f t="shared" si="24"/>
        <v>90.526219999999995</v>
      </c>
      <c r="M72" s="2886"/>
      <c r="N72" s="1723">
        <f t="shared" si="14"/>
        <v>0</v>
      </c>
      <c r="O72" s="1723">
        <f t="shared" si="6"/>
        <v>90.526219999999995</v>
      </c>
      <c r="P72" s="1723">
        <v>18</v>
      </c>
      <c r="Q72" s="1758"/>
      <c r="T72" s="1759"/>
      <c r="U72" s="1728">
        <f t="shared" si="8"/>
        <v>90.1</v>
      </c>
      <c r="X72" s="1728">
        <f t="shared" si="7"/>
        <v>90.526219999999995</v>
      </c>
    </row>
    <row r="73" spans="1:24" s="175" customFormat="1" ht="11.25" customHeight="1">
      <c r="A73" s="1711">
        <f t="shared" si="0"/>
        <v>36</v>
      </c>
      <c r="B73" s="1714" t="s">
        <v>96</v>
      </c>
      <c r="C73" s="1718" t="s">
        <v>97</v>
      </c>
      <c r="D73" s="2877" t="str">
        <f t="shared" ref="D73:D79" si="25">D72</f>
        <v>Bhuban</v>
      </c>
      <c r="E73" s="2877"/>
      <c r="F73" s="1752">
        <f>M153</f>
        <v>30.81</v>
      </c>
      <c r="G73" s="1720">
        <f t="shared" ref="G73:G108" si="26">F73</f>
        <v>30.81</v>
      </c>
      <c r="H73" s="1719">
        <v>20</v>
      </c>
      <c r="I73" s="1721">
        <f>IF(H73 &gt; 50,'LEAD OF MATL.'!E16/1.25*0.005+45*'LEAD OF MATL.'!E17/1.25*0.005+(H73-50)*'LEAD OF MATL.'!E18/1.25*0.005,'LEAD OF MATL.'!E16/1.25*0.005+(H73-5)*'LEAD OF MATL.'!E17/1.25*0.005)</f>
        <v>1.7048800000000002</v>
      </c>
      <c r="J73" s="1721">
        <v>0</v>
      </c>
      <c r="K73" s="1721">
        <f t="shared" si="23"/>
        <v>1.7048800000000002</v>
      </c>
      <c r="L73" s="2886">
        <f t="shared" si="24"/>
        <v>32.514879999999998</v>
      </c>
      <c r="M73" s="2886"/>
      <c r="N73" s="1723">
        <f t="shared" si="14"/>
        <v>0</v>
      </c>
      <c r="O73" s="1723">
        <f t="shared" si="6"/>
        <v>32.514879999999998</v>
      </c>
      <c r="P73" s="1723">
        <v>12</v>
      </c>
      <c r="Q73" s="1758"/>
      <c r="R73" s="1761" t="s">
        <v>98</v>
      </c>
      <c r="T73" s="1759"/>
      <c r="U73" s="1728">
        <f t="shared" si="8"/>
        <v>30.81</v>
      </c>
      <c r="X73" s="1728">
        <f t="shared" si="7"/>
        <v>32.514879999999998</v>
      </c>
    </row>
    <row r="74" spans="1:24" s="175" customFormat="1" ht="11.25" customHeight="1">
      <c r="A74" s="1711">
        <f t="shared" si="0"/>
        <v>37</v>
      </c>
      <c r="B74" s="1714" t="s">
        <v>99</v>
      </c>
      <c r="C74" s="1718" t="s">
        <v>97</v>
      </c>
      <c r="D74" s="2877" t="str">
        <f t="shared" si="25"/>
        <v>Bhuban</v>
      </c>
      <c r="E74" s="2877"/>
      <c r="F74" s="1752">
        <f>M154</f>
        <v>41.81</v>
      </c>
      <c r="G74" s="1720">
        <f t="shared" si="26"/>
        <v>41.81</v>
      </c>
      <c r="H74" s="1719">
        <v>20</v>
      </c>
      <c r="I74" s="1721">
        <f>IF(H74 &gt; 50,'LEAD OF MATL.'!E16/1.25*0.0113+45*'LEAD OF MATL.'!E17/1.25*0.0113+(H74-50)*'LEAD OF MATL.'!E18/1.25*0.0113,'LEAD OF MATL.'!E16/1.25*0.0113+(H74-5)*'LEAD OF MATL.'!E17/1.25*0.0113)</f>
        <v>3.8530287999999997</v>
      </c>
      <c r="J74" s="1721">
        <v>0</v>
      </c>
      <c r="K74" s="1721">
        <f t="shared" si="23"/>
        <v>3.8530287999999997</v>
      </c>
      <c r="L74" s="2886">
        <f t="shared" si="24"/>
        <v>45.663028799999999</v>
      </c>
      <c r="M74" s="2886"/>
      <c r="N74" s="1723">
        <f t="shared" si="14"/>
        <v>0</v>
      </c>
      <c r="O74" s="1723">
        <f t="shared" si="6"/>
        <v>45.663028799999999</v>
      </c>
      <c r="P74" s="1723">
        <v>12</v>
      </c>
      <c r="Q74" s="1758"/>
      <c r="T74" s="1759"/>
      <c r="U74" s="1728">
        <f t="shared" si="8"/>
        <v>41.81</v>
      </c>
      <c r="X74" s="1728">
        <f t="shared" si="7"/>
        <v>45.663028799999999</v>
      </c>
    </row>
    <row r="75" spans="1:24" s="175" customFormat="1" ht="11.25" customHeight="1">
      <c r="A75" s="1711">
        <f t="shared" si="0"/>
        <v>38</v>
      </c>
      <c r="B75" s="1714" t="s">
        <v>100</v>
      </c>
      <c r="C75" s="1718" t="s">
        <v>97</v>
      </c>
      <c r="D75" s="2877" t="str">
        <f t="shared" si="25"/>
        <v>Bhuban</v>
      </c>
      <c r="E75" s="2877"/>
      <c r="F75" s="1752">
        <f>M152</f>
        <v>51.87</v>
      </c>
      <c r="G75" s="1720">
        <f t="shared" si="26"/>
        <v>51.87</v>
      </c>
      <c r="H75" s="1719">
        <v>20</v>
      </c>
      <c r="I75" s="1721">
        <f>IF(H75 &gt; 50,'LEAD OF MATL.'!E16/1.25*0.005+45*'LEAD OF MATL.'!E17/1.25*0.005+(H75-50)*'LEAD OF MATL.'!E18/1.25*0.005,'LEAD OF MATL.'!E16/1.25*0.005+(H75-5)*'LEAD OF MATL.'!E17/1.25*0.005)</f>
        <v>1.7048800000000002</v>
      </c>
      <c r="J75" s="1721">
        <v>0</v>
      </c>
      <c r="K75" s="1721">
        <f t="shared" si="23"/>
        <v>1.7048800000000002</v>
      </c>
      <c r="L75" s="2886">
        <f t="shared" si="24"/>
        <v>53.57488</v>
      </c>
      <c r="M75" s="2886"/>
      <c r="N75" s="1723">
        <f t="shared" si="14"/>
        <v>0</v>
      </c>
      <c r="O75" s="1723">
        <f t="shared" si="6"/>
        <v>53.57488</v>
      </c>
      <c r="P75" s="1723">
        <v>12</v>
      </c>
      <c r="Q75" s="1758"/>
      <c r="S75" s="1762"/>
      <c r="T75" s="1759"/>
      <c r="U75" s="1728">
        <f t="shared" si="8"/>
        <v>51.87</v>
      </c>
      <c r="X75" s="1728">
        <f t="shared" si="7"/>
        <v>53.57488</v>
      </c>
    </row>
    <row r="76" spans="1:24" s="175" customFormat="1" ht="11.25" customHeight="1">
      <c r="A76" s="1711">
        <f t="shared" si="0"/>
        <v>39</v>
      </c>
      <c r="B76" s="1714" t="s">
        <v>102</v>
      </c>
      <c r="C76" s="1718" t="s">
        <v>97</v>
      </c>
      <c r="D76" s="2877" t="str">
        <f t="shared" si="25"/>
        <v>Bhuban</v>
      </c>
      <c r="E76" s="2877"/>
      <c r="F76" s="1752">
        <f>M152</f>
        <v>51.87</v>
      </c>
      <c r="G76" s="1720">
        <f t="shared" si="26"/>
        <v>51.87</v>
      </c>
      <c r="H76" s="1719">
        <v>20</v>
      </c>
      <c r="I76" s="1721">
        <f>IF(H76 &gt; 50,'LEAD OF MATL.'!E16/1.25*0.0113+45*'LEAD OF MATL.'!E17/1.25*0.0113+(H76-50)*'LEAD OF MATL.'!E18/1.25*0.0113,'LEAD OF MATL.'!E16/1.25*0.0113+(H76-5)*'LEAD OF MATL.'!E17/1.25*0.0113)</f>
        <v>3.8530287999999997</v>
      </c>
      <c r="J76" s="1721">
        <v>0</v>
      </c>
      <c r="K76" s="1721">
        <f t="shared" si="23"/>
        <v>3.8530287999999997</v>
      </c>
      <c r="L76" s="2886">
        <f t="shared" si="24"/>
        <v>55.723028799999994</v>
      </c>
      <c r="M76" s="2886"/>
      <c r="N76" s="1723">
        <f t="shared" si="14"/>
        <v>0</v>
      </c>
      <c r="O76" s="1723">
        <f t="shared" si="6"/>
        <v>55.723028799999994</v>
      </c>
      <c r="P76" s="1723">
        <f>P75</f>
        <v>12</v>
      </c>
      <c r="Q76" s="1758"/>
      <c r="T76" s="1759"/>
      <c r="U76" s="1728">
        <f t="shared" si="8"/>
        <v>51.87</v>
      </c>
      <c r="X76" s="1728">
        <f t="shared" si="7"/>
        <v>55.723028799999994</v>
      </c>
    </row>
    <row r="77" spans="1:24" s="175" customFormat="1" ht="11.25" customHeight="1">
      <c r="A77" s="1711">
        <f t="shared" si="0"/>
        <v>40</v>
      </c>
      <c r="B77" s="1714" t="s">
        <v>103</v>
      </c>
      <c r="C77" s="1718" t="s">
        <v>49</v>
      </c>
      <c r="D77" s="2877" t="str">
        <f t="shared" si="25"/>
        <v>Bhuban</v>
      </c>
      <c r="E77" s="2877"/>
      <c r="F77" s="1752">
        <f>G154</f>
        <v>58374.79</v>
      </c>
      <c r="G77" s="1720">
        <f t="shared" si="26"/>
        <v>58374.79</v>
      </c>
      <c r="H77" s="1719">
        <v>20</v>
      </c>
      <c r="I77" s="1721">
        <f>IF(H77 &gt; 50,'LEAD OF MATL.'!E16/1.25+45*'LEAD OF MATL.'!E17/1.25+(H77-50)*'LEAD OF MATL.'!E18/1.25,'LEAD OF MATL.'!E16/1.25+(H77-5)*'LEAD OF MATL.'!E17/1.25)</f>
        <v>340.976</v>
      </c>
      <c r="J77" s="1721">
        <v>0</v>
      </c>
      <c r="K77" s="1721">
        <f t="shared" si="23"/>
        <v>340.976</v>
      </c>
      <c r="L77" s="2886">
        <f t="shared" si="24"/>
        <v>58715.766000000003</v>
      </c>
      <c r="M77" s="2886"/>
      <c r="N77" s="1723">
        <f t="shared" si="14"/>
        <v>0</v>
      </c>
      <c r="O77" s="1723">
        <f t="shared" si="6"/>
        <v>58715.766000000003</v>
      </c>
      <c r="P77" s="1723">
        <f>P70</f>
        <v>12</v>
      </c>
      <c r="Q77" s="1758"/>
      <c r="T77" s="1759"/>
      <c r="U77" s="1728">
        <f t="shared" si="8"/>
        <v>58374.79</v>
      </c>
      <c r="X77" s="1728">
        <f t="shared" si="7"/>
        <v>58715.766000000003</v>
      </c>
    </row>
    <row r="78" spans="1:24" s="175" customFormat="1" ht="11.25" customHeight="1">
      <c r="A78" s="1711">
        <f t="shared" ref="A78:A108" si="27">A77+1</f>
        <v>41</v>
      </c>
      <c r="B78" s="1714" t="s">
        <v>104</v>
      </c>
      <c r="C78" s="1718" t="s">
        <v>49</v>
      </c>
      <c r="D78" s="2877" t="str">
        <f t="shared" si="25"/>
        <v>Bhuban</v>
      </c>
      <c r="E78" s="2877"/>
      <c r="F78" s="1752">
        <f>G154</f>
        <v>58374.79</v>
      </c>
      <c r="G78" s="1720">
        <f t="shared" si="26"/>
        <v>58374.79</v>
      </c>
      <c r="H78" s="1719">
        <v>20</v>
      </c>
      <c r="I78" s="1721">
        <f>IF(H78 &gt; 50,'LEAD OF MATL.'!E16/1.25+45*'LEAD OF MATL.'!E17/1.25+(H78-50)*'LEAD OF MATL.'!E18/1.25,'LEAD OF MATL.'!E16/1.25+(H78-5)*'LEAD OF MATL.'!E17/1.25)</f>
        <v>340.976</v>
      </c>
      <c r="J78" s="1721">
        <v>0</v>
      </c>
      <c r="K78" s="1721">
        <f t="shared" si="23"/>
        <v>340.976</v>
      </c>
      <c r="L78" s="2886">
        <f t="shared" si="24"/>
        <v>58715.766000000003</v>
      </c>
      <c r="M78" s="2886"/>
      <c r="N78" s="1723">
        <f t="shared" si="14"/>
        <v>0</v>
      </c>
      <c r="O78" s="1723">
        <f t="shared" si="6"/>
        <v>58715.766000000003</v>
      </c>
      <c r="P78" s="1723">
        <f>P77</f>
        <v>12</v>
      </c>
      <c r="Q78" s="1758"/>
      <c r="T78" s="1759"/>
      <c r="U78" s="1728">
        <f t="shared" si="8"/>
        <v>58374.79</v>
      </c>
      <c r="X78" s="1728">
        <f t="shared" si="7"/>
        <v>58715.766000000003</v>
      </c>
    </row>
    <row r="79" spans="1:24" s="175" customFormat="1" ht="11.25" customHeight="1">
      <c r="A79" s="1711">
        <f t="shared" si="27"/>
        <v>42</v>
      </c>
      <c r="B79" s="1714" t="s">
        <v>105</v>
      </c>
      <c r="C79" s="1718" t="s">
        <v>49</v>
      </c>
      <c r="D79" s="2877" t="str">
        <f t="shared" si="25"/>
        <v>Bhuban</v>
      </c>
      <c r="E79" s="2877"/>
      <c r="F79" s="1752">
        <f>G171</f>
        <v>71150.5</v>
      </c>
      <c r="G79" s="1720">
        <f t="shared" si="26"/>
        <v>71150.5</v>
      </c>
      <c r="H79" s="1719">
        <v>20</v>
      </c>
      <c r="I79" s="1721">
        <f>IF(H79 &gt; 50,'LEAD OF MATL.'!E16/1.25+45*'LEAD OF MATL.'!E17/1.25+(H79-50)*'LEAD OF MATL.'!E18/1.25,'LEAD OF MATL.'!E16/1.25+(H79-5)*'LEAD OF MATL.'!E17/1.25)</f>
        <v>340.976</v>
      </c>
      <c r="J79" s="1721">
        <v>0</v>
      </c>
      <c r="K79" s="1721">
        <f t="shared" si="23"/>
        <v>340.976</v>
      </c>
      <c r="L79" s="2886">
        <f t="shared" si="24"/>
        <v>71491.475999999995</v>
      </c>
      <c r="M79" s="2886"/>
      <c r="N79" s="1723">
        <f t="shared" si="14"/>
        <v>0</v>
      </c>
      <c r="O79" s="1723">
        <f t="shared" si="6"/>
        <v>71491.475999999995</v>
      </c>
      <c r="P79" s="1723">
        <v>12</v>
      </c>
      <c r="Q79" s="1758"/>
      <c r="T79" s="1759"/>
      <c r="U79" s="1728">
        <f t="shared" si="8"/>
        <v>71150.5</v>
      </c>
      <c r="X79" s="1728"/>
    </row>
    <row r="80" spans="1:24" s="175" customFormat="1" ht="11.25" customHeight="1">
      <c r="A80" s="1711">
        <f t="shared" si="27"/>
        <v>43</v>
      </c>
      <c r="B80" s="1714" t="s">
        <v>106</v>
      </c>
      <c r="C80" s="1718" t="s">
        <v>49</v>
      </c>
      <c r="D80" s="2877" t="str">
        <f>D78</f>
        <v>Bhuban</v>
      </c>
      <c r="E80" s="2877"/>
      <c r="F80" s="1752">
        <f>G172</f>
        <v>65533.5</v>
      </c>
      <c r="G80" s="1720">
        <f t="shared" si="26"/>
        <v>65533.5</v>
      </c>
      <c r="H80" s="1719">
        <v>20</v>
      </c>
      <c r="I80" s="1721">
        <f>IF(H80 &gt; 50,'LEAD OF MATL.'!E16/1.25+45*'LEAD OF MATL.'!E17/1.25+(H80-50)*'LEAD OF MATL.'!E18/1.25,'LEAD OF MATL.'!E16/1.25+(H80-5)*'LEAD OF MATL.'!E17/1.25)</f>
        <v>340.976</v>
      </c>
      <c r="J80" s="1721">
        <v>0</v>
      </c>
      <c r="K80" s="1721">
        <f t="shared" si="23"/>
        <v>340.976</v>
      </c>
      <c r="L80" s="2886">
        <f t="shared" si="24"/>
        <v>65874.475999999995</v>
      </c>
      <c r="M80" s="2886"/>
      <c r="N80" s="1723">
        <f t="shared" si="14"/>
        <v>0</v>
      </c>
      <c r="O80" s="1723">
        <f t="shared" si="6"/>
        <v>65874.475999999995</v>
      </c>
      <c r="P80" s="1723">
        <v>12</v>
      </c>
      <c r="Q80" s="1758"/>
      <c r="T80" s="1759"/>
      <c r="U80" s="1728">
        <f t="shared" si="8"/>
        <v>65533.5</v>
      </c>
      <c r="X80" s="1728">
        <f t="shared" si="7"/>
        <v>65874.475999999995</v>
      </c>
    </row>
    <row r="81" spans="1:24" s="175" customFormat="1" ht="11.25" customHeight="1">
      <c r="A81" s="1711">
        <f t="shared" si="27"/>
        <v>44</v>
      </c>
      <c r="B81" s="1714" t="s">
        <v>107</v>
      </c>
      <c r="C81" s="1718" t="s">
        <v>49</v>
      </c>
      <c r="D81" s="2877" t="str">
        <f>D80</f>
        <v>Bhuban</v>
      </c>
      <c r="E81" s="2877"/>
      <c r="F81" s="1752">
        <f>M172</f>
        <v>63839</v>
      </c>
      <c r="G81" s="1720">
        <f t="shared" si="26"/>
        <v>63839</v>
      </c>
      <c r="H81" s="1719">
        <v>20</v>
      </c>
      <c r="I81" s="1721">
        <f>IF(H81 &gt; 50,'LEAD OF MATL.'!E16/1.25+45*'LEAD OF MATL.'!E17/1.25+(H81-50)*'LEAD OF MATL.'!E18/1.25,'LEAD OF MATL.'!E16/1.25+(H81-5)*'LEAD OF MATL.'!E17/1.25)</f>
        <v>340.976</v>
      </c>
      <c r="J81" s="1721">
        <v>0</v>
      </c>
      <c r="K81" s="1721">
        <f t="shared" si="23"/>
        <v>340.976</v>
      </c>
      <c r="L81" s="2886">
        <f t="shared" si="24"/>
        <v>64179.976000000002</v>
      </c>
      <c r="M81" s="2886"/>
      <c r="N81" s="1723">
        <f t="shared" si="14"/>
        <v>0</v>
      </c>
      <c r="O81" s="1723">
        <f t="shared" ref="O81:O108" si="28">L81-J81</f>
        <v>64179.976000000002</v>
      </c>
      <c r="P81" s="1723">
        <v>12</v>
      </c>
      <c r="Q81" s="1758"/>
      <c r="T81" s="1759"/>
      <c r="U81" s="1728">
        <f t="shared" si="8"/>
        <v>63839</v>
      </c>
      <c r="X81" s="1728">
        <f t="shared" si="7"/>
        <v>64179.976000000002</v>
      </c>
    </row>
    <row r="82" spans="1:24" s="175" customFormat="1" ht="11.25" customHeight="1">
      <c r="A82" s="1711">
        <f t="shared" si="27"/>
        <v>45</v>
      </c>
      <c r="B82" s="1714" t="s">
        <v>108</v>
      </c>
      <c r="C82" s="1718" t="s">
        <v>49</v>
      </c>
      <c r="D82" s="2877" t="str">
        <f>D81</f>
        <v>Bhuban</v>
      </c>
      <c r="E82" s="2877"/>
      <c r="F82" s="1752">
        <f>G155</f>
        <v>74369.67</v>
      </c>
      <c r="G82" s="1720">
        <f t="shared" si="26"/>
        <v>74369.67</v>
      </c>
      <c r="H82" s="1719">
        <v>20</v>
      </c>
      <c r="I82" s="1721">
        <f>IF(H82 &gt; 50,'LEAD OF MATL.'!E16/1.25+45*'LEAD OF MATL.'!E17/1.25+(H82-50)*'LEAD OF MATL.'!E18/1.25,'LEAD OF MATL.'!E16/1.25+(H82-5)*'LEAD OF MATL.'!E17/1.25)</f>
        <v>340.976</v>
      </c>
      <c r="J82" s="1721">
        <v>0</v>
      </c>
      <c r="K82" s="1721">
        <f t="shared" si="23"/>
        <v>340.976</v>
      </c>
      <c r="L82" s="2886">
        <f t="shared" si="24"/>
        <v>74710.645999999993</v>
      </c>
      <c r="M82" s="2886"/>
      <c r="N82" s="1723">
        <f t="shared" si="14"/>
        <v>0</v>
      </c>
      <c r="O82" s="1723">
        <f t="shared" si="28"/>
        <v>74710.645999999993</v>
      </c>
      <c r="P82" s="1723">
        <v>12</v>
      </c>
      <c r="Q82" s="1758"/>
      <c r="T82" s="1759"/>
      <c r="U82" s="1728">
        <f t="shared" si="8"/>
        <v>74369.67</v>
      </c>
      <c r="X82" s="1728"/>
    </row>
    <row r="83" spans="1:24" s="175" customFormat="1" ht="11.25" customHeight="1">
      <c r="A83" s="1711">
        <f t="shared" si="27"/>
        <v>46</v>
      </c>
      <c r="B83" s="1714" t="s">
        <v>109</v>
      </c>
      <c r="C83" s="1718" t="s">
        <v>49</v>
      </c>
      <c r="D83" s="2877" t="str">
        <f>D82</f>
        <v>Bhuban</v>
      </c>
      <c r="E83" s="2877"/>
      <c r="F83" s="1752">
        <f>M156</f>
        <v>746.99</v>
      </c>
      <c r="G83" s="1720">
        <f t="shared" si="26"/>
        <v>746.99</v>
      </c>
      <c r="H83" s="1719">
        <v>20</v>
      </c>
      <c r="I83" s="1721">
        <f>IF(H83 &gt; 50,'LEAD OF MATL.'!E16/1.25+45*'LEAD OF MATL.'!E17/1.25+(H83-50)*'LEAD OF MATL.'!E18/1.25,'LEAD OF MATL.'!E16/1.25+(H83-5)*'LEAD OF MATL.'!E17/1.25)</f>
        <v>340.976</v>
      </c>
      <c r="J83" s="1721">
        <v>0</v>
      </c>
      <c r="K83" s="1721">
        <f t="shared" si="23"/>
        <v>340.976</v>
      </c>
      <c r="L83" s="2886">
        <f t="shared" si="24"/>
        <v>1087.9659999999999</v>
      </c>
      <c r="M83" s="2886"/>
      <c r="N83" s="1723">
        <f t="shared" si="14"/>
        <v>0</v>
      </c>
      <c r="O83" s="1723">
        <f t="shared" si="28"/>
        <v>1087.9659999999999</v>
      </c>
      <c r="P83" s="1723"/>
      <c r="Q83" s="1758"/>
      <c r="T83" s="1759"/>
      <c r="U83" s="1728">
        <f t="shared" si="8"/>
        <v>746.99</v>
      </c>
      <c r="X83" s="1728">
        <f t="shared" si="7"/>
        <v>1087.9659999999999</v>
      </c>
    </row>
    <row r="84" spans="1:24" s="175" customFormat="1" ht="11.25" customHeight="1">
      <c r="A84" s="1711">
        <f t="shared" si="27"/>
        <v>47</v>
      </c>
      <c r="B84" s="1714" t="s">
        <v>110</v>
      </c>
      <c r="C84" s="1718" t="s">
        <v>95</v>
      </c>
      <c r="D84" s="2877" t="str">
        <f>D82</f>
        <v>Bhuban</v>
      </c>
      <c r="E84" s="2877"/>
      <c r="F84" s="1763">
        <v>57.4</v>
      </c>
      <c r="G84" s="1720">
        <f t="shared" si="26"/>
        <v>57.4</v>
      </c>
      <c r="H84" s="1719">
        <v>20</v>
      </c>
      <c r="I84" s="1721">
        <f>IF(H84 &gt; 50,'LEAD OF MATL.'!E16/1000+45*'LEAD OF MATL.'!E17/1000+(H84-50)*'LEAD OF MATL.'!E18/1000,'LEAD OF MATL.'!E16/1000+(H84-5)*'LEAD OF MATL.'!E17/1000)</f>
        <v>0.42622000000000004</v>
      </c>
      <c r="J84" s="1721">
        <v>0</v>
      </c>
      <c r="K84" s="1721">
        <f t="shared" si="23"/>
        <v>0.42622000000000004</v>
      </c>
      <c r="L84" s="2886">
        <f t="shared" si="24"/>
        <v>57.826219999999999</v>
      </c>
      <c r="M84" s="2886"/>
      <c r="N84" s="1723">
        <f t="shared" si="14"/>
        <v>0</v>
      </c>
      <c r="O84" s="1723">
        <f t="shared" si="28"/>
        <v>57.826219999999999</v>
      </c>
      <c r="P84" s="1723">
        <v>28</v>
      </c>
      <c r="Q84" s="1758"/>
      <c r="T84" s="1759"/>
      <c r="U84" s="1728">
        <f t="shared" si="8"/>
        <v>57.4</v>
      </c>
      <c r="X84" s="1728">
        <f t="shared" si="7"/>
        <v>57.826219999999999</v>
      </c>
    </row>
    <row r="85" spans="1:24" s="175" customFormat="1" ht="11.25" customHeight="1">
      <c r="A85" s="1711">
        <f t="shared" si="27"/>
        <v>48</v>
      </c>
      <c r="B85" s="1714" t="s">
        <v>111</v>
      </c>
      <c r="C85" s="1718" t="s">
        <v>95</v>
      </c>
      <c r="D85" s="2877" t="str">
        <f>D84</f>
        <v>Bhuban</v>
      </c>
      <c r="E85" s="2877"/>
      <c r="F85" s="1763">
        <f>F84</f>
        <v>57.4</v>
      </c>
      <c r="G85" s="1720">
        <f t="shared" si="26"/>
        <v>57.4</v>
      </c>
      <c r="H85" s="1719">
        <v>20</v>
      </c>
      <c r="I85" s="1721">
        <f>IF(H85 &gt; 50,'LEAD OF MATL.'!E16/1000+45*'LEAD OF MATL.'!E17/1000+(H85-50)*'LEAD OF MATL.'!E18/1000,'LEAD OF MATL.'!E16/1000+(H85-5)*'LEAD OF MATL.'!E17/1000)</f>
        <v>0.42622000000000004</v>
      </c>
      <c r="J85" s="1721">
        <v>0</v>
      </c>
      <c r="K85" s="1721">
        <f t="shared" si="23"/>
        <v>0.42622000000000004</v>
      </c>
      <c r="L85" s="2886">
        <f t="shared" si="24"/>
        <v>57.826219999999999</v>
      </c>
      <c r="M85" s="2886"/>
      <c r="N85" s="1723">
        <f t="shared" si="14"/>
        <v>0</v>
      </c>
      <c r="O85" s="1723">
        <f t="shared" si="28"/>
        <v>57.826219999999999</v>
      </c>
      <c r="P85" s="1723">
        <v>28</v>
      </c>
      <c r="Q85" s="1758"/>
      <c r="T85" s="1759"/>
      <c r="U85" s="1728">
        <f t="shared" si="8"/>
        <v>57.4</v>
      </c>
      <c r="X85" s="1728">
        <f t="shared" si="7"/>
        <v>57.826219999999999</v>
      </c>
    </row>
    <row r="86" spans="1:24" s="175" customFormat="1" ht="11.25" customHeight="1">
      <c r="A86" s="1711">
        <f t="shared" si="27"/>
        <v>49</v>
      </c>
      <c r="B86" s="1714" t="s">
        <v>112</v>
      </c>
      <c r="C86" s="1718" t="s">
        <v>95</v>
      </c>
      <c r="D86" s="2877" t="str">
        <f>D85</f>
        <v>Bhuban</v>
      </c>
      <c r="E86" s="2877"/>
      <c r="F86" s="1752">
        <f>G195</f>
        <v>70.099999999999994</v>
      </c>
      <c r="G86" s="1720">
        <f t="shared" si="26"/>
        <v>70.099999999999994</v>
      </c>
      <c r="H86" s="1719">
        <v>20</v>
      </c>
      <c r="I86" s="1721">
        <f>IF(H86 &gt; 50,'LEAD OF MATL.'!E16/1000+45*'LEAD OF MATL.'!E17/1000+(H86-50)*'LEAD OF MATL.'!E18/1000,'LEAD OF MATL.'!E16/1000+(H86-5)*'LEAD OF MATL.'!E17/1000)</f>
        <v>0.42622000000000004</v>
      </c>
      <c r="J86" s="1721">
        <v>0</v>
      </c>
      <c r="K86" s="1721">
        <f t="shared" si="23"/>
        <v>0.42622000000000004</v>
      </c>
      <c r="L86" s="2886">
        <f t="shared" si="24"/>
        <v>70.526219999999995</v>
      </c>
      <c r="M86" s="2886"/>
      <c r="N86" s="1723">
        <f t="shared" si="14"/>
        <v>0</v>
      </c>
      <c r="O86" s="1723">
        <f t="shared" si="28"/>
        <v>70.526219999999995</v>
      </c>
      <c r="P86" s="1723">
        <v>28</v>
      </c>
      <c r="Q86" s="1758"/>
      <c r="T86" s="1759"/>
      <c r="U86" s="1728">
        <f t="shared" si="8"/>
        <v>70.099999999999994</v>
      </c>
      <c r="X86" s="1728">
        <f t="shared" si="7"/>
        <v>70.526219999999995</v>
      </c>
    </row>
    <row r="87" spans="1:24" s="175" customFormat="1" ht="11.25" customHeight="1">
      <c r="A87" s="1711">
        <f t="shared" si="27"/>
        <v>50</v>
      </c>
      <c r="B87" s="1714" t="s">
        <v>113</v>
      </c>
      <c r="C87" s="1718" t="s">
        <v>95</v>
      </c>
      <c r="D87" s="2877" t="str">
        <f>D86</f>
        <v>Bhuban</v>
      </c>
      <c r="E87" s="2877"/>
      <c r="F87" s="1752">
        <f>G192</f>
        <v>47.83</v>
      </c>
      <c r="G87" s="1720">
        <f t="shared" si="26"/>
        <v>47.83</v>
      </c>
      <c r="H87" s="1719">
        <v>20</v>
      </c>
      <c r="I87" s="1721">
        <f>IF(H87 &gt; 50,'LEAD OF MATL.'!E16/1000+45*'LEAD OF MATL.'!E17/1000+(H87-50)*'LEAD OF MATL.'!E18/1000,'LEAD OF MATL.'!E16/1000+(H87-5)*'LEAD OF MATL.'!E17/1000)</f>
        <v>0.42622000000000004</v>
      </c>
      <c r="J87" s="1721">
        <v>0</v>
      </c>
      <c r="K87" s="1721">
        <f t="shared" si="23"/>
        <v>0.42622000000000004</v>
      </c>
      <c r="L87" s="2886">
        <f t="shared" si="24"/>
        <v>48.256219999999999</v>
      </c>
      <c r="M87" s="2886"/>
      <c r="N87" s="1723">
        <f t="shared" si="14"/>
        <v>0</v>
      </c>
      <c r="O87" s="1723">
        <f t="shared" si="28"/>
        <v>48.256219999999999</v>
      </c>
      <c r="P87" s="1723">
        <v>28</v>
      </c>
      <c r="Q87" s="1758"/>
      <c r="T87" s="1759"/>
      <c r="U87" s="1728">
        <f t="shared" si="8"/>
        <v>47.83</v>
      </c>
      <c r="X87" s="1728">
        <f t="shared" si="7"/>
        <v>48.256219999999999</v>
      </c>
    </row>
    <row r="88" spans="1:24" s="175" customFormat="1" ht="11.25" customHeight="1">
      <c r="A88" s="1711">
        <f t="shared" si="27"/>
        <v>51</v>
      </c>
      <c r="B88" s="1714" t="s">
        <v>114</v>
      </c>
      <c r="C88" s="1718" t="s">
        <v>95</v>
      </c>
      <c r="D88" s="2877" t="str">
        <f>D87</f>
        <v>Bhuban</v>
      </c>
      <c r="E88" s="2877"/>
      <c r="F88" s="1752">
        <f>G196</f>
        <v>250.34</v>
      </c>
      <c r="G88" s="1720">
        <f t="shared" si="26"/>
        <v>250.34</v>
      </c>
      <c r="H88" s="1719">
        <v>20</v>
      </c>
      <c r="I88" s="1721">
        <f>IF(H88 &gt; 50,'LEAD OF MATL.'!E16/1000+45*'LEAD OF MATL.'!E17/1000+(H88-50)*'LEAD OF MATL.'!E18/1000,'LEAD OF MATL.'!E16/1000+(H88-5)*'LEAD OF MATL.'!E17/1000)</f>
        <v>0.42622000000000004</v>
      </c>
      <c r="J88" s="1721">
        <v>0</v>
      </c>
      <c r="K88" s="1721">
        <f t="shared" si="23"/>
        <v>0.42622000000000004</v>
      </c>
      <c r="L88" s="2886">
        <f t="shared" si="24"/>
        <v>250.76622</v>
      </c>
      <c r="M88" s="2886"/>
      <c r="N88" s="1723">
        <f t="shared" si="14"/>
        <v>0</v>
      </c>
      <c r="O88" s="1723">
        <f t="shared" si="28"/>
        <v>250.76622</v>
      </c>
      <c r="P88" s="1723">
        <v>28</v>
      </c>
      <c r="Q88" s="1758"/>
      <c r="T88" s="1759"/>
      <c r="U88" s="1728">
        <f t="shared" si="8"/>
        <v>250.34</v>
      </c>
      <c r="X88" s="1728">
        <f t="shared" si="7"/>
        <v>250.76622</v>
      </c>
    </row>
    <row r="89" spans="1:24" s="175" customFormat="1" ht="11.25" customHeight="1">
      <c r="A89" s="1711">
        <f t="shared" si="27"/>
        <v>52</v>
      </c>
      <c r="B89" s="1714" t="s">
        <v>115</v>
      </c>
      <c r="C89" s="1718" t="s">
        <v>116</v>
      </c>
      <c r="D89" s="2877" t="str">
        <f>D88</f>
        <v>Bhuban</v>
      </c>
      <c r="E89" s="2877"/>
      <c r="F89" s="1752">
        <f>G194</f>
        <v>249.34</v>
      </c>
      <c r="G89" s="1720">
        <f t="shared" si="26"/>
        <v>249.34</v>
      </c>
      <c r="H89" s="1719">
        <v>20</v>
      </c>
      <c r="I89" s="1721">
        <f>IF(H89 &gt; 50,'LEAD OF MATL.'!E16/1000+45*'LEAD OF MATL.'!E17/1000+(H89-50)*'LEAD OF MATL.'!E18/1000,'LEAD OF MATL.'!E16/1000+(H89-5)*'LEAD OF MATL.'!E17/1000)</f>
        <v>0.42622000000000004</v>
      </c>
      <c r="J89" s="1721">
        <v>0</v>
      </c>
      <c r="K89" s="1721">
        <f t="shared" si="23"/>
        <v>0.42622000000000004</v>
      </c>
      <c r="L89" s="2886">
        <f t="shared" si="24"/>
        <v>249.76622</v>
      </c>
      <c r="M89" s="2886"/>
      <c r="N89" s="1723">
        <f t="shared" si="14"/>
        <v>0</v>
      </c>
      <c r="O89" s="1723">
        <f t="shared" si="28"/>
        <v>249.76622</v>
      </c>
      <c r="P89" s="1723">
        <v>28</v>
      </c>
      <c r="Q89" s="1758"/>
      <c r="T89" s="1759"/>
      <c r="U89" s="1728">
        <f t="shared" si="8"/>
        <v>249.34</v>
      </c>
      <c r="X89" s="1728">
        <f t="shared" si="7"/>
        <v>249.76622</v>
      </c>
    </row>
    <row r="90" spans="1:24" s="175" customFormat="1" ht="11.25" customHeight="1">
      <c r="A90" s="1711">
        <f t="shared" si="27"/>
        <v>53</v>
      </c>
      <c r="B90" s="1714" t="s">
        <v>117</v>
      </c>
      <c r="C90" s="1718" t="s">
        <v>116</v>
      </c>
      <c r="D90" s="2877" t="str">
        <f t="shared" ref="D90:D102" si="29">D89</f>
        <v>Bhuban</v>
      </c>
      <c r="E90" s="2877"/>
      <c r="F90" s="1752">
        <f>G198</f>
        <v>49.21</v>
      </c>
      <c r="G90" s="1720">
        <f t="shared" si="26"/>
        <v>49.21</v>
      </c>
      <c r="H90" s="1719">
        <v>20</v>
      </c>
      <c r="I90" s="1721">
        <f>IF(H90 &gt; 50,'LEAD OF MATL.'!E16/1000+45*'LEAD OF MATL.'!E17/1000+(H90-50)*'LEAD OF MATL.'!E18/1000,'LEAD OF MATL.'!E16/1000+(H90-5)*'LEAD OF MATL.'!E17/1000)</f>
        <v>0.42622000000000004</v>
      </c>
      <c r="J90" s="1721">
        <v>0</v>
      </c>
      <c r="K90" s="1721">
        <f t="shared" si="23"/>
        <v>0.42622000000000004</v>
      </c>
      <c r="L90" s="2886">
        <f t="shared" si="24"/>
        <v>49.636220000000002</v>
      </c>
      <c r="M90" s="2886"/>
      <c r="N90" s="1723">
        <f t="shared" si="14"/>
        <v>0</v>
      </c>
      <c r="O90" s="1723">
        <f t="shared" si="28"/>
        <v>49.636220000000002</v>
      </c>
      <c r="P90" s="1723">
        <v>28</v>
      </c>
      <c r="Q90" s="1758"/>
      <c r="T90" s="1759"/>
      <c r="U90" s="1728">
        <f t="shared" si="8"/>
        <v>49.21</v>
      </c>
      <c r="X90" s="1728">
        <f t="shared" si="7"/>
        <v>49.636220000000002</v>
      </c>
    </row>
    <row r="91" spans="1:24" s="175" customFormat="1" ht="11.25" customHeight="1">
      <c r="A91" s="1711">
        <f t="shared" si="27"/>
        <v>54</v>
      </c>
      <c r="B91" s="1714" t="s">
        <v>118</v>
      </c>
      <c r="C91" s="1718" t="s">
        <v>95</v>
      </c>
      <c r="D91" s="2877" t="str">
        <f t="shared" si="29"/>
        <v>Bhuban</v>
      </c>
      <c r="E91" s="2877"/>
      <c r="F91" s="1752">
        <f>G199</f>
        <v>17.23</v>
      </c>
      <c r="G91" s="1720">
        <f t="shared" si="26"/>
        <v>17.23</v>
      </c>
      <c r="H91" s="1719">
        <v>20</v>
      </c>
      <c r="I91" s="1721">
        <f>IF(H91 &gt; 50,'LEAD OF MATL.'!E16/1000+45*'LEAD OF MATL.'!E/1000+(H91-50)*'LEAD OF MATL.'!E18/1000,'LEAD OF MATL.'!E16/1000+(H91-5)*'LEAD OF MATL.'!E17/1000)</f>
        <v>0.42622000000000004</v>
      </c>
      <c r="J91" s="1721">
        <v>0</v>
      </c>
      <c r="K91" s="1721">
        <f t="shared" si="23"/>
        <v>0.42622000000000004</v>
      </c>
      <c r="L91" s="2886">
        <f t="shared" si="24"/>
        <v>17.656220000000001</v>
      </c>
      <c r="M91" s="2886"/>
      <c r="N91" s="1723">
        <f t="shared" si="14"/>
        <v>0</v>
      </c>
      <c r="O91" s="1723">
        <f t="shared" si="28"/>
        <v>17.656220000000001</v>
      </c>
      <c r="P91" s="1723">
        <v>18</v>
      </c>
      <c r="Q91" s="1758"/>
      <c r="T91" s="1759"/>
      <c r="U91" s="1728">
        <f t="shared" si="8"/>
        <v>17.23</v>
      </c>
      <c r="X91" s="1728">
        <f t="shared" si="7"/>
        <v>17.656220000000001</v>
      </c>
    </row>
    <row r="92" spans="1:24" s="175" customFormat="1" ht="11.25" customHeight="1">
      <c r="A92" s="1711">
        <f t="shared" si="27"/>
        <v>55</v>
      </c>
      <c r="B92" s="1714" t="s">
        <v>119</v>
      </c>
      <c r="C92" s="1718" t="s">
        <v>95</v>
      </c>
      <c r="D92" s="2877" t="str">
        <f t="shared" si="29"/>
        <v>Bhuban</v>
      </c>
      <c r="E92" s="2877"/>
      <c r="F92" s="1752">
        <f>G193</f>
        <v>194.79</v>
      </c>
      <c r="G92" s="1720">
        <f t="shared" si="26"/>
        <v>194.79</v>
      </c>
      <c r="H92" s="1719">
        <v>20</v>
      </c>
      <c r="I92" s="1721">
        <f>IF(H92 &gt; 50,'LEAD OF MATL.'!E16/1000+45*'LEAD OF MATL.'!E17/1000+(H92-50)*'LEAD OF MATL.'!E18/1000,'LEAD OF MATL.'!E16/1000+(H92-5)*'LEAD OF MATL.'!E17/1000)</f>
        <v>0.42622000000000004</v>
      </c>
      <c r="J92" s="1721">
        <v>0</v>
      </c>
      <c r="K92" s="1721">
        <f t="shared" si="23"/>
        <v>0.42622000000000004</v>
      </c>
      <c r="L92" s="2886">
        <f t="shared" si="24"/>
        <v>195.21621999999999</v>
      </c>
      <c r="M92" s="2886"/>
      <c r="N92" s="1723">
        <f t="shared" si="14"/>
        <v>0</v>
      </c>
      <c r="O92" s="1723">
        <f t="shared" si="28"/>
        <v>195.21621999999999</v>
      </c>
      <c r="P92" s="1723">
        <v>28</v>
      </c>
      <c r="Q92" s="1758"/>
      <c r="T92" s="1759"/>
      <c r="U92" s="1728">
        <f t="shared" si="8"/>
        <v>194.79</v>
      </c>
      <c r="X92" s="1728">
        <f t="shared" si="7"/>
        <v>195.21621999999999</v>
      </c>
    </row>
    <row r="93" spans="1:24" s="175" customFormat="1" ht="11.25" customHeight="1">
      <c r="A93" s="1711">
        <f t="shared" si="27"/>
        <v>56</v>
      </c>
      <c r="B93" s="1714" t="s">
        <v>120</v>
      </c>
      <c r="C93" s="1718" t="s">
        <v>116</v>
      </c>
      <c r="D93" s="2877" t="str">
        <f t="shared" si="29"/>
        <v>Bhuban</v>
      </c>
      <c r="E93" s="2877"/>
      <c r="F93" s="1752">
        <f>M194</f>
        <v>142.69999999999999</v>
      </c>
      <c r="G93" s="1720">
        <f t="shared" si="26"/>
        <v>142.69999999999999</v>
      </c>
      <c r="H93" s="1719">
        <v>20</v>
      </c>
      <c r="I93" s="1721">
        <f>IF(H93 &gt; 50,'LEAD OF MATL.'!E16/1000+45*'LEAD OF MATL.'!E17/1000+(H93-50)*'LEAD OF MATL.'!E18/1000,'LEAD OF MATL.'!E16/1000+(H93-5)*'LEAD OF MATL.'!E17/1000)</f>
        <v>0.42622000000000004</v>
      </c>
      <c r="J93" s="1721">
        <v>0</v>
      </c>
      <c r="K93" s="1721">
        <f t="shared" si="23"/>
        <v>0.42622000000000004</v>
      </c>
      <c r="L93" s="2886">
        <f t="shared" si="24"/>
        <v>143.12621999999999</v>
      </c>
      <c r="M93" s="2886"/>
      <c r="N93" s="1723">
        <f t="shared" si="14"/>
        <v>0</v>
      </c>
      <c r="O93" s="1723">
        <f t="shared" si="28"/>
        <v>143.12621999999999</v>
      </c>
      <c r="P93" s="1723">
        <v>18</v>
      </c>
      <c r="Q93" s="1758">
        <f>238.21</f>
        <v>238.21</v>
      </c>
      <c r="R93" s="175">
        <f>Q93*18%</f>
        <v>42.877800000000001</v>
      </c>
      <c r="T93" s="1759"/>
      <c r="U93" s="1728">
        <f t="shared" si="8"/>
        <v>142.69999999999999</v>
      </c>
      <c r="X93" s="1728">
        <f t="shared" si="7"/>
        <v>143.12621999999999</v>
      </c>
    </row>
    <row r="94" spans="1:24" s="175" customFormat="1" ht="11.25" customHeight="1">
      <c r="A94" s="1711">
        <f t="shared" si="27"/>
        <v>57</v>
      </c>
      <c r="B94" s="1714" t="s">
        <v>121</v>
      </c>
      <c r="C94" s="1718" t="s">
        <v>116</v>
      </c>
      <c r="D94" s="2877" t="str">
        <f t="shared" si="29"/>
        <v>Bhuban</v>
      </c>
      <c r="E94" s="2877"/>
      <c r="F94" s="1752">
        <f>M191</f>
        <v>159.03</v>
      </c>
      <c r="G94" s="1720">
        <f t="shared" si="26"/>
        <v>159.03</v>
      </c>
      <c r="H94" s="1719">
        <v>20</v>
      </c>
      <c r="I94" s="1721">
        <f>IF(H94 &gt; 50,'LEAD OF MATL.'!E16/1000+45*'LEAD OF MATL.'!E17/1000+(H94-50)*'LEAD OF MATL.'!E18/1000,'LEAD OF MATL.'!E16/1000+(H94-5)*'LEAD OF MATL.'!E17/1000)</f>
        <v>0.42622000000000004</v>
      </c>
      <c r="J94" s="1721">
        <v>0</v>
      </c>
      <c r="K94" s="1721">
        <f t="shared" si="23"/>
        <v>0.42622000000000004</v>
      </c>
      <c r="L94" s="2886">
        <f t="shared" si="24"/>
        <v>159.45622</v>
      </c>
      <c r="M94" s="2886"/>
      <c r="N94" s="1723">
        <f t="shared" si="14"/>
        <v>0</v>
      </c>
      <c r="O94" s="1723">
        <f t="shared" si="28"/>
        <v>159.45622</v>
      </c>
      <c r="P94" s="1723">
        <v>28</v>
      </c>
      <c r="Q94" s="1758"/>
      <c r="R94" s="1728">
        <f>Q93+R93</f>
        <v>281.08780000000002</v>
      </c>
      <c r="T94" s="1759"/>
      <c r="U94" s="1728">
        <f t="shared" si="8"/>
        <v>159.03</v>
      </c>
      <c r="X94" s="1728">
        <f t="shared" si="7"/>
        <v>159.45622</v>
      </c>
    </row>
    <row r="95" spans="1:24" s="175" customFormat="1" ht="11.25" customHeight="1">
      <c r="A95" s="1711">
        <f t="shared" si="27"/>
        <v>58</v>
      </c>
      <c r="B95" s="1714" t="s">
        <v>122</v>
      </c>
      <c r="C95" s="1718" t="s">
        <v>116</v>
      </c>
      <c r="D95" s="2877" t="str">
        <f t="shared" si="29"/>
        <v>Bhuban</v>
      </c>
      <c r="E95" s="2877"/>
      <c r="F95" s="1752">
        <f>M195</f>
        <v>155.08000000000001</v>
      </c>
      <c r="G95" s="1720">
        <f t="shared" si="26"/>
        <v>155.08000000000001</v>
      </c>
      <c r="H95" s="1719">
        <v>20</v>
      </c>
      <c r="I95" s="1721">
        <f>IF(H95 &gt; 50,'LEAD OF MATL.'!E16/1000+45*'LEAD OF MATL.'!E17/1000+(H95-50)*'LEAD OF MATL.'!E18/1000,'LEAD OF MATL.'!E16/1000+(H95-5)*'LEAD OF MATL.'!E17/1000)</f>
        <v>0.42622000000000004</v>
      </c>
      <c r="J95" s="1721">
        <v>0</v>
      </c>
      <c r="K95" s="1721">
        <f t="shared" si="23"/>
        <v>0.42622000000000004</v>
      </c>
      <c r="L95" s="2886">
        <f t="shared" si="24"/>
        <v>155.50622000000001</v>
      </c>
      <c r="M95" s="2886"/>
      <c r="N95" s="1723">
        <f t="shared" si="14"/>
        <v>0</v>
      </c>
      <c r="O95" s="1723">
        <f t="shared" si="28"/>
        <v>155.50622000000001</v>
      </c>
      <c r="P95" s="1723">
        <v>28</v>
      </c>
      <c r="Q95" s="1758"/>
      <c r="T95" s="1759"/>
      <c r="U95" s="1728">
        <f t="shared" si="8"/>
        <v>155.08000000000001</v>
      </c>
      <c r="X95" s="1728">
        <f t="shared" si="7"/>
        <v>155.50622000000001</v>
      </c>
    </row>
    <row r="96" spans="1:24" s="175" customFormat="1" ht="11.25" customHeight="1">
      <c r="A96" s="1711">
        <f t="shared" si="27"/>
        <v>59</v>
      </c>
      <c r="B96" s="1714" t="s">
        <v>123</v>
      </c>
      <c r="C96" s="1718" t="s">
        <v>95</v>
      </c>
      <c r="D96" s="2877" t="str">
        <f t="shared" si="29"/>
        <v>Bhuban</v>
      </c>
      <c r="E96" s="2877"/>
      <c r="F96" s="1752">
        <f>M192</f>
        <v>40</v>
      </c>
      <c r="G96" s="1720">
        <f t="shared" si="26"/>
        <v>40</v>
      </c>
      <c r="H96" s="1719">
        <v>20</v>
      </c>
      <c r="I96" s="1721">
        <f>IF(H96 &gt; 50,'LEAD OF MATL.'!E16/1000+45*'LEAD OF MATL.'!E17/1000+(H96-50)*'LEAD OF MATL.'!E18/1000,'LEAD OF MATL.'!E16/1000+(H96-5)*'LEAD OF MATL.'!E17/1000)</f>
        <v>0.42622000000000004</v>
      </c>
      <c r="J96" s="1721">
        <v>0</v>
      </c>
      <c r="K96" s="1721">
        <f t="shared" si="23"/>
        <v>0.42622000000000004</v>
      </c>
      <c r="L96" s="2886">
        <f t="shared" si="24"/>
        <v>40.426220000000001</v>
      </c>
      <c r="M96" s="2886"/>
      <c r="N96" s="1723">
        <f t="shared" si="14"/>
        <v>0</v>
      </c>
      <c r="O96" s="1723">
        <f t="shared" si="28"/>
        <v>40.426220000000001</v>
      </c>
      <c r="P96" s="1723">
        <f>P95</f>
        <v>28</v>
      </c>
      <c r="Q96" s="1758">
        <v>293</v>
      </c>
      <c r="R96" s="175">
        <f>Q96*18/118</f>
        <v>44.694915254237287</v>
      </c>
      <c r="T96" s="1759"/>
      <c r="U96" s="1728">
        <f t="shared" si="8"/>
        <v>40</v>
      </c>
      <c r="X96" s="1728">
        <f t="shared" si="7"/>
        <v>40.426220000000001</v>
      </c>
    </row>
    <row r="97" spans="1:28" s="175" customFormat="1" ht="11.25" customHeight="1">
      <c r="A97" s="1711">
        <f t="shared" si="27"/>
        <v>60</v>
      </c>
      <c r="B97" s="1714" t="s">
        <v>124</v>
      </c>
      <c r="C97" s="1718" t="s">
        <v>125</v>
      </c>
      <c r="D97" s="2877" t="str">
        <f t="shared" si="29"/>
        <v>Bhuban</v>
      </c>
      <c r="E97" s="2877"/>
      <c r="F97" s="1752">
        <f>M198</f>
        <v>2017.18</v>
      </c>
      <c r="G97" s="1720">
        <f t="shared" si="26"/>
        <v>2017.18</v>
      </c>
      <c r="H97" s="1719">
        <v>20</v>
      </c>
      <c r="I97" s="1721">
        <f>IF(H97 &gt; 50,'LEAD OF MATL.'!E16/10+45*'LEAD OF MATL.'!E17/10+(H97-50)*'LEAD OF MATL.'!E18/10,'LEAD OF MATL.'!E16/10+(H97-5)*'LEAD OF MATL.'!E17/10)</f>
        <v>42.622</v>
      </c>
      <c r="J97" s="1721">
        <v>0</v>
      </c>
      <c r="K97" s="1721">
        <f t="shared" si="23"/>
        <v>42.622</v>
      </c>
      <c r="L97" s="2886">
        <f t="shared" si="24"/>
        <v>2059.8020000000001</v>
      </c>
      <c r="M97" s="2886"/>
      <c r="N97" s="1723">
        <f t="shared" si="14"/>
        <v>0</v>
      </c>
      <c r="O97" s="1723">
        <f t="shared" si="28"/>
        <v>2059.8020000000001</v>
      </c>
      <c r="P97" s="1723">
        <v>28</v>
      </c>
      <c r="Q97" s="1758">
        <f>Q96-R96</f>
        <v>248.30508474576271</v>
      </c>
      <c r="T97" s="1759"/>
      <c r="U97" s="1728">
        <f t="shared" si="8"/>
        <v>2017.18</v>
      </c>
      <c r="X97" s="1728">
        <f t="shared" si="7"/>
        <v>2059.8020000000001</v>
      </c>
    </row>
    <row r="98" spans="1:28" s="175" customFormat="1" ht="11.25" hidden="1" customHeight="1">
      <c r="A98" s="1711">
        <f t="shared" si="27"/>
        <v>61</v>
      </c>
      <c r="B98" s="1714" t="s">
        <v>126</v>
      </c>
      <c r="C98" s="1718" t="s">
        <v>95</v>
      </c>
      <c r="D98" s="2877" t="str">
        <f t="shared" si="29"/>
        <v>Bhuban</v>
      </c>
      <c r="E98" s="2877"/>
      <c r="F98" s="1752">
        <f>M193</f>
        <v>24.19</v>
      </c>
      <c r="G98" s="1720">
        <f t="shared" si="26"/>
        <v>24.19</v>
      </c>
      <c r="H98" s="1719">
        <v>20</v>
      </c>
      <c r="I98" s="1721">
        <f>IF(H98 &gt; 50,'LEAD OF MATL.'!E16/1000+45*'LEAD OF MATL.'!E17/1000+(H98-50)*'LEAD OF MATL.'!E18/1000,'LEAD OF MATL.'!E16/1000+(H98-5)*'LEAD OF MATL.'!E17/1000)</f>
        <v>0.42622000000000004</v>
      </c>
      <c r="J98" s="1721">
        <v>0</v>
      </c>
      <c r="K98" s="1721">
        <f t="shared" si="23"/>
        <v>0.42622000000000004</v>
      </c>
      <c r="L98" s="2886">
        <f t="shared" si="24"/>
        <v>24.616220000000002</v>
      </c>
      <c r="M98" s="2886"/>
      <c r="N98" s="1723">
        <f t="shared" si="14"/>
        <v>0</v>
      </c>
      <c r="O98" s="1723">
        <f t="shared" si="28"/>
        <v>24.616220000000002</v>
      </c>
      <c r="P98" s="1723">
        <v>5</v>
      </c>
      <c r="Q98" s="1758"/>
      <c r="R98" s="175">
        <f>Q93/Q96*100</f>
        <v>81.300341296928337</v>
      </c>
      <c r="T98" s="1759"/>
      <c r="U98" s="1728">
        <f t="shared" si="8"/>
        <v>24.19</v>
      </c>
      <c r="X98" s="1728">
        <f t="shared" si="7"/>
        <v>24.616220000000002</v>
      </c>
    </row>
    <row r="99" spans="1:28" s="175" customFormat="1" ht="11.25" hidden="1" customHeight="1">
      <c r="A99" s="1711">
        <f t="shared" si="27"/>
        <v>62</v>
      </c>
      <c r="B99" s="1714" t="s">
        <v>127</v>
      </c>
      <c r="C99" s="1718" t="s">
        <v>92</v>
      </c>
      <c r="D99" s="2877" t="str">
        <f t="shared" si="29"/>
        <v>Bhuban</v>
      </c>
      <c r="E99" s="2877"/>
      <c r="F99" s="1752">
        <f>G158</f>
        <v>209.1</v>
      </c>
      <c r="G99" s="1720">
        <f t="shared" si="26"/>
        <v>209.1</v>
      </c>
      <c r="H99" s="1719">
        <v>20</v>
      </c>
      <c r="I99" s="1721">
        <f>IF(H99 &gt; 50,'LEAD OF MATL.'!E16/1000*16.4+45*'LEAD OF MATL.'!E17/1000*16.4+(H99-50)*'LEAD OF MATL.'!E18/1000*16.4,'LEAD OF MATL.'!E16/1000*16.4+(H99-5)*'LEAD OF MATL.'!E17/1000*16.4)</f>
        <v>6.9900080000000004</v>
      </c>
      <c r="J99" s="1721">
        <v>0</v>
      </c>
      <c r="K99" s="1721">
        <f t="shared" si="23"/>
        <v>6.9900080000000004</v>
      </c>
      <c r="L99" s="2886">
        <f t="shared" si="24"/>
        <v>216.09000799999998</v>
      </c>
      <c r="M99" s="2886"/>
      <c r="N99" s="1723">
        <f t="shared" si="14"/>
        <v>0</v>
      </c>
      <c r="O99" s="1723">
        <f t="shared" si="28"/>
        <v>216.09000799999998</v>
      </c>
      <c r="P99" s="1723">
        <v>18</v>
      </c>
      <c r="Q99" s="1758"/>
      <c r="R99" s="175">
        <f>100-R98</f>
        <v>18.699658703071663</v>
      </c>
      <c r="T99" s="1759"/>
      <c r="U99" s="1728">
        <f t="shared" ref="U99:U108" si="30">G99-N99</f>
        <v>209.1</v>
      </c>
      <c r="X99" s="1728">
        <f t="shared" si="7"/>
        <v>216.09000799999998</v>
      </c>
    </row>
    <row r="100" spans="1:28" s="175" customFormat="1" ht="11.25" hidden="1" customHeight="1">
      <c r="A100" s="1711">
        <f t="shared" si="27"/>
        <v>63</v>
      </c>
      <c r="B100" s="1714" t="s">
        <v>128</v>
      </c>
      <c r="C100" s="1718" t="s">
        <v>129</v>
      </c>
      <c r="D100" s="2877" t="str">
        <f t="shared" si="29"/>
        <v>Bhuban</v>
      </c>
      <c r="E100" s="2877"/>
      <c r="F100" s="1752">
        <f>M158</f>
        <v>207.69</v>
      </c>
      <c r="G100" s="1720">
        <f t="shared" si="26"/>
        <v>207.69</v>
      </c>
      <c r="H100" s="1719">
        <v>20</v>
      </c>
      <c r="I100" s="1721">
        <f>IF(H100 &gt; 50,'LEAD OF MATL.'!E16/1000*16.4+45*'LEAD OF MATL.'!E17/1000*16.4+(H100-50)*'LEAD OF MATL.'!E18/1000*16.4,'LEAD OF MATL.'!E16/1000*16.4+(H100-5)*'LEAD OF MATL.'!E17/1000*16.4)</f>
        <v>6.9900080000000004</v>
      </c>
      <c r="J100" s="1721">
        <v>0</v>
      </c>
      <c r="K100" s="1721">
        <f t="shared" si="23"/>
        <v>6.9900080000000004</v>
      </c>
      <c r="L100" s="2886">
        <f t="shared" si="24"/>
        <v>214.68000799999999</v>
      </c>
      <c r="M100" s="2886"/>
      <c r="N100" s="1723">
        <f t="shared" si="14"/>
        <v>0</v>
      </c>
      <c r="O100" s="1723">
        <f t="shared" si="28"/>
        <v>214.68000799999999</v>
      </c>
      <c r="P100" s="1723">
        <v>18</v>
      </c>
      <c r="Q100" s="1758"/>
      <c r="T100" s="1759"/>
      <c r="U100" s="1728">
        <f t="shared" si="30"/>
        <v>207.69</v>
      </c>
      <c r="X100" s="1728">
        <f t="shared" si="7"/>
        <v>214.68000799999999</v>
      </c>
    </row>
    <row r="101" spans="1:28" s="175" customFormat="1" ht="11.25" hidden="1" customHeight="1">
      <c r="A101" s="1711">
        <f t="shared" si="27"/>
        <v>64</v>
      </c>
      <c r="B101" s="1714" t="s">
        <v>130</v>
      </c>
      <c r="C101" s="1718" t="s">
        <v>92</v>
      </c>
      <c r="D101" s="2877" t="str">
        <f t="shared" si="29"/>
        <v>Bhuban</v>
      </c>
      <c r="E101" s="2877"/>
      <c r="F101" s="1752">
        <f>M157</f>
        <v>317.5</v>
      </c>
      <c r="G101" s="1720">
        <f t="shared" si="26"/>
        <v>317.5</v>
      </c>
      <c r="H101" s="1719">
        <v>20</v>
      </c>
      <c r="I101" s="1721">
        <f>IF(H101 &gt; 50,'LEAD OF MATL.'!E16/1000*8.6+45*'LEAD OF MATL.'!E17/1000*8.6+(H101-50)*'LEAD OF MATL.'!E18/1000*8.6,'LEAD OF MATL.'!E16/1000*8.6+(H101-5)*'LEAD OF MATL.'!E17/1000*8.6)</f>
        <v>3.6654920000000004</v>
      </c>
      <c r="J101" s="1721">
        <v>0</v>
      </c>
      <c r="K101" s="1721">
        <f t="shared" si="23"/>
        <v>3.6654920000000004</v>
      </c>
      <c r="L101" s="2886">
        <f t="shared" si="24"/>
        <v>321.16549199999997</v>
      </c>
      <c r="M101" s="2886"/>
      <c r="N101" s="1723">
        <f t="shared" si="14"/>
        <v>0</v>
      </c>
      <c r="O101" s="1723">
        <f t="shared" si="28"/>
        <v>321.16549199999997</v>
      </c>
      <c r="P101" s="1723">
        <v>18</v>
      </c>
      <c r="Q101" s="1758"/>
      <c r="T101" s="1759"/>
      <c r="U101" s="1728">
        <f t="shared" si="30"/>
        <v>317.5</v>
      </c>
      <c r="X101" s="1728">
        <f t="shared" si="7"/>
        <v>321.16549199999997</v>
      </c>
    </row>
    <row r="102" spans="1:28" s="175" customFormat="1" ht="11.25" customHeight="1">
      <c r="A102" s="1711">
        <f t="shared" si="27"/>
        <v>65</v>
      </c>
      <c r="B102" s="1714" t="s">
        <v>131</v>
      </c>
      <c r="C102" s="1718" t="s">
        <v>95</v>
      </c>
      <c r="D102" s="2877" t="str">
        <f t="shared" si="29"/>
        <v>Bhuban</v>
      </c>
      <c r="E102" s="2877"/>
      <c r="F102" s="1752">
        <f>M190</f>
        <v>2.38</v>
      </c>
      <c r="G102" s="1720">
        <f t="shared" si="26"/>
        <v>2.38</v>
      </c>
      <c r="H102" s="1729"/>
      <c r="I102" s="1721">
        <f>M190</f>
        <v>2.38</v>
      </c>
      <c r="J102" s="1721">
        <v>0</v>
      </c>
      <c r="K102" s="1721"/>
      <c r="L102" s="2886">
        <f>G102+K102</f>
        <v>2.38</v>
      </c>
      <c r="M102" s="2886"/>
      <c r="N102" s="1723"/>
      <c r="O102" s="1723">
        <f t="shared" si="28"/>
        <v>2.38</v>
      </c>
      <c r="P102" s="1723">
        <v>18</v>
      </c>
      <c r="Q102" s="1764" t="s">
        <v>132</v>
      </c>
      <c r="R102" s="1711" t="s">
        <v>41</v>
      </c>
      <c r="S102" s="1711" t="s">
        <v>133</v>
      </c>
      <c r="T102" s="1711" t="s">
        <v>134</v>
      </c>
      <c r="U102" s="1728">
        <f t="shared" si="30"/>
        <v>2.38</v>
      </c>
      <c r="X102" s="1728">
        <f t="shared" si="7"/>
        <v>4.76</v>
      </c>
    </row>
    <row r="103" spans="1:28" s="175" customFormat="1" ht="11.25" hidden="1" customHeight="1">
      <c r="A103" s="1711">
        <f t="shared" si="27"/>
        <v>66</v>
      </c>
      <c r="B103" s="1714" t="s">
        <v>135</v>
      </c>
      <c r="C103" s="1718" t="s">
        <v>136</v>
      </c>
      <c r="D103" s="2911" t="s">
        <v>137</v>
      </c>
      <c r="E103" s="2911"/>
      <c r="F103" s="1752">
        <f t="shared" ref="F103:F108" si="31">Q103</f>
        <v>668</v>
      </c>
      <c r="G103" s="1720">
        <f t="shared" si="26"/>
        <v>668</v>
      </c>
      <c r="H103" s="1719">
        <v>30</v>
      </c>
      <c r="I103" s="1721">
        <f>IF(H103 &gt; 50,'LEAD OF MATL.'!F16/12.5+45*'LEAD OF MATL.'!F17/12.5+(H103-50)*'LEAD OF MATL.'!F18/12.5,'LEAD OF MATL.'!F16/12.5+(H103-5)*'LEAD OF MATL.'!F17/12.5)</f>
        <v>313.10480000000001</v>
      </c>
      <c r="J103" s="1721">
        <v>0</v>
      </c>
      <c r="K103" s="1721">
        <f t="shared" si="23"/>
        <v>313.10480000000001</v>
      </c>
      <c r="L103" s="2886">
        <f>G103+K103</f>
        <v>981.10480000000007</v>
      </c>
      <c r="M103" s="2886"/>
      <c r="N103" s="1723">
        <f t="shared" ref="N103:N108" si="32">G103-F103</f>
        <v>0</v>
      </c>
      <c r="O103" s="1723">
        <f t="shared" si="28"/>
        <v>981.10480000000007</v>
      </c>
      <c r="P103" s="1723">
        <v>18</v>
      </c>
      <c r="Q103" s="1752">
        <v>668</v>
      </c>
      <c r="R103" s="1765">
        <f t="shared" ref="R103:R108" si="33">ROUND(Q103*18/118,2)</f>
        <v>101.9</v>
      </c>
      <c r="S103" s="1752">
        <v>427</v>
      </c>
      <c r="T103" s="1752">
        <v>709</v>
      </c>
      <c r="U103" s="1728">
        <f t="shared" si="30"/>
        <v>668</v>
      </c>
      <c r="X103" s="1728">
        <f t="shared" si="7"/>
        <v>981.10480000000007</v>
      </c>
      <c r="AA103" s="175">
        <v>668</v>
      </c>
      <c r="AB103" s="175">
        <v>300</v>
      </c>
    </row>
    <row r="104" spans="1:28" s="175" customFormat="1" ht="11.25" hidden="1" customHeight="1">
      <c r="A104" s="1711">
        <f t="shared" si="27"/>
        <v>67</v>
      </c>
      <c r="B104" s="1714" t="s">
        <v>138</v>
      </c>
      <c r="C104" s="1718" t="s">
        <v>136</v>
      </c>
      <c r="D104" s="2877" t="str">
        <f>D103</f>
        <v>Dhenkanal</v>
      </c>
      <c r="E104" s="2877"/>
      <c r="F104" s="1752">
        <f t="shared" si="31"/>
        <v>1291</v>
      </c>
      <c r="G104" s="1720">
        <f t="shared" si="26"/>
        <v>1291</v>
      </c>
      <c r="H104" s="1729">
        <f>H103</f>
        <v>30</v>
      </c>
      <c r="I104" s="1721">
        <f>IF(H104 &gt; 50,'LEAD OF MATL.'!F16/12.5+45*'LEAD OF MATL.'!F17/12.5+(H104-50)*'LEAD OF MATL.'!F18/12.5,'LEAD OF MATL.'!F16/12.5+(H104-5)*'LEAD OF MATL.'!F17/12.5)</f>
        <v>313.10480000000001</v>
      </c>
      <c r="J104" s="1721">
        <v>0</v>
      </c>
      <c r="K104" s="1721">
        <f t="shared" si="23"/>
        <v>313.10480000000001</v>
      </c>
      <c r="L104" s="2886">
        <f t="shared" si="24"/>
        <v>1604.1048000000001</v>
      </c>
      <c r="M104" s="2886"/>
      <c r="N104" s="1723">
        <f t="shared" si="32"/>
        <v>0</v>
      </c>
      <c r="O104" s="1723">
        <f t="shared" si="28"/>
        <v>1604.1048000000001</v>
      </c>
      <c r="P104" s="1723">
        <v>18</v>
      </c>
      <c r="Q104" s="1752">
        <v>1291</v>
      </c>
      <c r="R104" s="1765">
        <f t="shared" si="33"/>
        <v>196.93</v>
      </c>
      <c r="S104" s="1752">
        <v>651</v>
      </c>
      <c r="T104" s="1752">
        <v>1441</v>
      </c>
      <c r="U104" s="1728">
        <f t="shared" si="30"/>
        <v>1291</v>
      </c>
      <c r="X104" s="1728">
        <f t="shared" si="7"/>
        <v>1604.1048000000001</v>
      </c>
      <c r="AA104" s="175">
        <v>1291</v>
      </c>
      <c r="AB104" s="175">
        <v>450</v>
      </c>
    </row>
    <row r="105" spans="1:28" s="175" customFormat="1" ht="11.25" hidden="1" customHeight="1">
      <c r="A105" s="1711">
        <f t="shared" si="27"/>
        <v>68</v>
      </c>
      <c r="B105" s="1714" t="s">
        <v>139</v>
      </c>
      <c r="C105" s="1718" t="s">
        <v>136</v>
      </c>
      <c r="D105" s="2877" t="str">
        <f>D104</f>
        <v>Dhenkanal</v>
      </c>
      <c r="E105" s="2877"/>
      <c r="F105" s="1752">
        <f t="shared" si="31"/>
        <v>1964</v>
      </c>
      <c r="G105" s="1720">
        <f t="shared" si="26"/>
        <v>1964</v>
      </c>
      <c r="H105" s="1729">
        <f>H104</f>
        <v>30</v>
      </c>
      <c r="I105" s="1721">
        <f>IF(H105 &gt; 50,'LEAD OF MATL.'!F16/12.5+45*'LEAD OF MATL.'!F17/12.5+(H105-50)*'LEAD OF MATL.'!F18/12.5,'LEAD OF MATL.'!F16/12.5+(H105-5)*'LEAD OF MATL.'!F17/12.5)</f>
        <v>313.10480000000001</v>
      </c>
      <c r="J105" s="1721">
        <v>0</v>
      </c>
      <c r="K105" s="1721">
        <f t="shared" si="23"/>
        <v>313.10480000000001</v>
      </c>
      <c r="L105" s="2886">
        <f t="shared" si="24"/>
        <v>2277.1048000000001</v>
      </c>
      <c r="M105" s="2886"/>
      <c r="N105" s="1723">
        <f t="shared" si="32"/>
        <v>0</v>
      </c>
      <c r="O105" s="1723">
        <f t="shared" si="28"/>
        <v>2277.1048000000001</v>
      </c>
      <c r="P105" s="1723">
        <v>18</v>
      </c>
      <c r="Q105" s="1752">
        <v>1964</v>
      </c>
      <c r="R105" s="1765">
        <f t="shared" si="33"/>
        <v>299.58999999999997</v>
      </c>
      <c r="S105" s="1752">
        <v>1034</v>
      </c>
      <c r="T105" s="1752">
        <v>2400</v>
      </c>
      <c r="U105" s="1728">
        <f t="shared" si="30"/>
        <v>1964</v>
      </c>
      <c r="X105" s="1728">
        <f t="shared" si="7"/>
        <v>2277.1048000000001</v>
      </c>
      <c r="AA105" s="175">
        <v>1964</v>
      </c>
      <c r="AB105" s="175">
        <v>600</v>
      </c>
    </row>
    <row r="106" spans="1:28" s="175" customFormat="1" ht="11.25" hidden="1" customHeight="1">
      <c r="A106" s="1711">
        <f t="shared" si="27"/>
        <v>69</v>
      </c>
      <c r="B106" s="1714" t="s">
        <v>140</v>
      </c>
      <c r="C106" s="1718" t="s">
        <v>136</v>
      </c>
      <c r="D106" s="2877" t="str">
        <f>D105</f>
        <v>Dhenkanal</v>
      </c>
      <c r="E106" s="2877"/>
      <c r="F106" s="1752">
        <f t="shared" si="31"/>
        <v>3799</v>
      </c>
      <c r="G106" s="1720">
        <f t="shared" si="26"/>
        <v>3799</v>
      </c>
      <c r="H106" s="1729">
        <f>H105</f>
        <v>30</v>
      </c>
      <c r="I106" s="1721">
        <f>IF(H106 &gt; 50,'LEAD OF MATL.'!F16/7.5+45*'LEAD OF MATL.'!F17/7.5+(H106-50)*'LEAD OF MATL.'!F18/7.5,'LEAD OF MATL.'!F16/7.5+(H106-5)*'LEAD OF MATL.'!F17/7.5)</f>
        <v>521.8413333333333</v>
      </c>
      <c r="J106" s="1721">
        <v>0</v>
      </c>
      <c r="K106" s="1721">
        <f t="shared" si="23"/>
        <v>521.8413333333333</v>
      </c>
      <c r="L106" s="2886">
        <f t="shared" si="24"/>
        <v>4320.8413333333338</v>
      </c>
      <c r="M106" s="2886"/>
      <c r="N106" s="1723">
        <f t="shared" si="32"/>
        <v>0</v>
      </c>
      <c r="O106" s="1723">
        <f t="shared" si="28"/>
        <v>4320.8413333333338</v>
      </c>
      <c r="P106" s="1723">
        <v>18</v>
      </c>
      <c r="Q106" s="1752">
        <v>3799</v>
      </c>
      <c r="R106" s="1765">
        <f t="shared" si="33"/>
        <v>579.51</v>
      </c>
      <c r="S106" s="1752">
        <v>2065</v>
      </c>
      <c r="T106" s="1752">
        <v>4695</v>
      </c>
      <c r="U106" s="1728">
        <f t="shared" si="30"/>
        <v>3799</v>
      </c>
      <c r="X106" s="1728">
        <f t="shared" si="7"/>
        <v>4320.8413333333338</v>
      </c>
      <c r="AA106" s="175">
        <v>3799</v>
      </c>
      <c r="AB106" s="175">
        <v>900</v>
      </c>
    </row>
    <row r="107" spans="1:28" s="175" customFormat="1" ht="11.25" hidden="1" customHeight="1">
      <c r="A107" s="1711">
        <f t="shared" si="27"/>
        <v>70</v>
      </c>
      <c r="B107" s="1714" t="s">
        <v>141</v>
      </c>
      <c r="C107" s="1718" t="s">
        <v>136</v>
      </c>
      <c r="D107" s="2877" t="str">
        <f>D106</f>
        <v>Dhenkanal</v>
      </c>
      <c r="E107" s="2877"/>
      <c r="F107" s="1752">
        <f t="shared" si="31"/>
        <v>4634</v>
      </c>
      <c r="G107" s="1720">
        <f t="shared" si="26"/>
        <v>4634</v>
      </c>
      <c r="H107" s="1729">
        <f>H106</f>
        <v>30</v>
      </c>
      <c r="I107" s="1721">
        <f>IF(H107 &gt; 50,'LEAD OF MATL.'!F16/7.5+45*'LEAD OF MATL.'!F17/7.5+(H107-50)*'LEAD OF MATL.'!F18/7.5,'LEAD OF MATL.'!F16/7.5+(H107-5)*'LEAD OF MATL.'!F17/7.5)</f>
        <v>521.8413333333333</v>
      </c>
      <c r="J107" s="1721">
        <v>0</v>
      </c>
      <c r="K107" s="1721">
        <f t="shared" si="23"/>
        <v>521.8413333333333</v>
      </c>
      <c r="L107" s="2886">
        <f t="shared" si="24"/>
        <v>5155.8413333333338</v>
      </c>
      <c r="M107" s="2886"/>
      <c r="N107" s="1723">
        <f t="shared" si="32"/>
        <v>0</v>
      </c>
      <c r="O107" s="1723">
        <f>L107-J107</f>
        <v>5155.8413333333338</v>
      </c>
      <c r="P107" s="1723">
        <v>18</v>
      </c>
      <c r="Q107" s="1752">
        <v>4634</v>
      </c>
      <c r="R107" s="1765">
        <f t="shared" si="33"/>
        <v>706.88</v>
      </c>
      <c r="S107" s="1752">
        <v>2480</v>
      </c>
      <c r="T107" s="1752">
        <v>5954</v>
      </c>
      <c r="U107" s="1728">
        <f t="shared" si="30"/>
        <v>4634</v>
      </c>
      <c r="X107" s="1728">
        <f t="shared" si="7"/>
        <v>5155.8413333333338</v>
      </c>
      <c r="AA107" s="175">
        <v>4634</v>
      </c>
      <c r="AB107" s="175">
        <v>1000</v>
      </c>
    </row>
    <row r="108" spans="1:28" s="175" customFormat="1" ht="11.25" hidden="1" customHeight="1">
      <c r="A108" s="1711">
        <f t="shared" si="27"/>
        <v>71</v>
      </c>
      <c r="B108" s="1714" t="s">
        <v>142</v>
      </c>
      <c r="C108" s="1718" t="s">
        <v>136</v>
      </c>
      <c r="D108" s="2877" t="str">
        <f>D107</f>
        <v>Dhenkanal</v>
      </c>
      <c r="E108" s="2877"/>
      <c r="F108" s="1752">
        <f t="shared" si="31"/>
        <v>6066</v>
      </c>
      <c r="G108" s="1720">
        <f t="shared" si="26"/>
        <v>6066</v>
      </c>
      <c r="H108" s="1729">
        <f>H107</f>
        <v>30</v>
      </c>
      <c r="I108" s="1721">
        <f>IF(H108 &gt; 50,'LEAD OF MATL.'!F16/7.5+45*'LEAD OF MATL.'!F17/7.5+(H108-50)*'LEAD OF MATL.'!F18/7.5,'LEAD OF MATL.'!F16/7.5+(H108-5)*'LEAD OF MATL.'!F17/7.5)</f>
        <v>521.8413333333333</v>
      </c>
      <c r="J108" s="1721">
        <v>0</v>
      </c>
      <c r="K108" s="1721">
        <f t="shared" si="23"/>
        <v>521.8413333333333</v>
      </c>
      <c r="L108" s="2886">
        <f t="shared" si="24"/>
        <v>6587.8413333333338</v>
      </c>
      <c r="M108" s="2886"/>
      <c r="N108" s="1723">
        <f t="shared" si="32"/>
        <v>0</v>
      </c>
      <c r="O108" s="1723">
        <f t="shared" si="28"/>
        <v>6587.8413333333338</v>
      </c>
      <c r="P108" s="1723">
        <v>18</v>
      </c>
      <c r="Q108" s="1752">
        <v>6066</v>
      </c>
      <c r="R108" s="1765">
        <f t="shared" si="33"/>
        <v>925.32</v>
      </c>
      <c r="S108" s="1752">
        <v>3256</v>
      </c>
      <c r="T108" s="1752">
        <v>7882</v>
      </c>
      <c r="U108" s="1728">
        <f t="shared" si="30"/>
        <v>6066</v>
      </c>
      <c r="X108" s="1728">
        <f>G108+I108</f>
        <v>6587.8413333333338</v>
      </c>
      <c r="AA108" s="175">
        <v>6066</v>
      </c>
      <c r="AB108" s="175">
        <v>1200</v>
      </c>
    </row>
    <row r="109" spans="1:28" s="175" customFormat="1" ht="11.25" customHeight="1">
      <c r="A109" s="1766"/>
      <c r="C109" s="1762"/>
      <c r="D109" s="1762"/>
      <c r="E109" s="1762"/>
      <c r="F109" s="1762"/>
      <c r="G109" s="1725"/>
      <c r="H109" s="1766"/>
      <c r="I109" s="1728"/>
      <c r="J109" s="1728"/>
      <c r="K109" s="1728"/>
      <c r="L109" s="1767"/>
      <c r="M109" s="1767"/>
      <c r="N109" s="1768"/>
      <c r="O109" s="1768"/>
      <c r="P109" s="1768"/>
      <c r="Q109" s="1725"/>
      <c r="T109" s="1759"/>
      <c r="X109" s="1728"/>
    </row>
    <row r="110" spans="1:28" s="175" customFormat="1" ht="11.25" hidden="1" customHeight="1">
      <c r="A110" s="1766"/>
      <c r="C110" s="1762"/>
      <c r="D110" s="1762"/>
      <c r="E110" s="1762"/>
      <c r="F110" s="1762"/>
      <c r="G110" s="1725"/>
      <c r="H110" s="1766"/>
      <c r="I110" s="1728"/>
      <c r="J110" s="1728"/>
      <c r="K110" s="1728"/>
      <c r="L110" s="1767"/>
      <c r="M110" s="1767"/>
      <c r="N110" s="1768"/>
      <c r="O110" s="1768"/>
      <c r="P110" s="1768"/>
      <c r="Q110" s="1725"/>
      <c r="T110" s="1759"/>
      <c r="X110" s="1728"/>
    </row>
    <row r="111" spans="1:28" s="175" customFormat="1" ht="11.25" hidden="1" customHeight="1">
      <c r="A111" s="1766"/>
      <c r="C111" s="1762"/>
      <c r="D111" s="1762"/>
      <c r="E111" s="1762"/>
      <c r="F111" s="1762"/>
      <c r="G111" s="1725"/>
      <c r="H111" s="1766"/>
      <c r="I111" s="1728"/>
      <c r="J111" s="1728"/>
      <c r="K111" s="1728"/>
      <c r="L111" s="1767"/>
      <c r="M111" s="1767"/>
      <c r="N111" s="1768"/>
      <c r="O111" s="1768"/>
      <c r="P111" s="1768"/>
      <c r="Q111" s="1725"/>
      <c r="T111" s="1759"/>
      <c r="X111" s="1728"/>
    </row>
    <row r="112" spans="1:28" s="175" customFormat="1" ht="11.25" customHeight="1">
      <c r="A112" s="1766"/>
      <c r="B112" s="2912" t="s">
        <v>143</v>
      </c>
      <c r="C112" s="2912"/>
      <c r="D112" s="2912"/>
      <c r="E112" s="2912"/>
      <c r="F112" s="2912"/>
      <c r="G112" s="2912"/>
      <c r="H112" s="2912"/>
      <c r="I112" s="2912"/>
      <c r="J112" s="2912"/>
      <c r="K112" s="2912"/>
      <c r="L112" s="2912"/>
      <c r="M112" s="2912"/>
      <c r="N112" s="2912"/>
      <c r="O112" s="1769"/>
      <c r="P112" s="1769"/>
      <c r="Q112" s="1758"/>
      <c r="T112" s="1759"/>
    </row>
    <row r="113" spans="1:35" s="175" customFormat="1" ht="11.25" hidden="1" customHeight="1">
      <c r="A113" s="2913" t="s">
        <v>144</v>
      </c>
      <c r="B113" s="2913"/>
      <c r="C113" s="2913"/>
      <c r="D113" s="2913"/>
      <c r="E113" s="2913"/>
      <c r="F113" s="2913"/>
      <c r="G113" s="2913"/>
      <c r="H113" s="2913"/>
      <c r="I113" s="2913"/>
      <c r="J113" s="2913"/>
      <c r="K113" s="2913"/>
      <c r="L113" s="2913"/>
      <c r="M113" s="2913"/>
      <c r="N113" s="1770">
        <f>S118</f>
        <v>655.9</v>
      </c>
      <c r="O113" s="1770" t="str">
        <f>S117</f>
        <v>29.12.20</v>
      </c>
      <c r="P113" s="1771">
        <f>AD118</f>
        <v>729.9</v>
      </c>
      <c r="Q113" s="1759" t="str">
        <f>AD117</f>
        <v>27.3.23</v>
      </c>
      <c r="R113" s="1758"/>
      <c r="T113" s="1759"/>
    </row>
    <row r="114" spans="1:35" s="175" customFormat="1" ht="11.25" hidden="1" customHeight="1">
      <c r="A114" s="1772" t="s">
        <v>22</v>
      </c>
      <c r="B114" s="1772" t="s">
        <v>145</v>
      </c>
      <c r="C114" s="1772" t="s">
        <v>1</v>
      </c>
      <c r="D114" s="2892" t="s">
        <v>146</v>
      </c>
      <c r="E114" s="2892"/>
      <c r="F114" s="1772"/>
      <c r="G114" s="1772" t="s">
        <v>147</v>
      </c>
      <c r="H114" s="2914" t="s">
        <v>148</v>
      </c>
      <c r="I114" s="2914"/>
      <c r="J114" s="2889" t="s">
        <v>149</v>
      </c>
      <c r="K114" s="1773"/>
      <c r="L114" s="2914" t="s">
        <v>150</v>
      </c>
      <c r="M114" s="2914"/>
      <c r="N114" s="1770">
        <f>T118</f>
        <v>655.9</v>
      </c>
      <c r="O114" s="1770" t="str">
        <f>T117</f>
        <v>30.3.21</v>
      </c>
      <c r="P114" s="1770"/>
      <c r="R114" s="1758"/>
      <c r="T114" s="1759"/>
    </row>
    <row r="115" spans="1:35" s="175" customFormat="1" ht="11.25" hidden="1" customHeight="1">
      <c r="A115" s="1772"/>
      <c r="B115" s="1772"/>
      <c r="C115" s="1772"/>
      <c r="D115" s="1772"/>
      <c r="E115" s="1772"/>
      <c r="F115" s="1772"/>
      <c r="G115" s="1772"/>
      <c r="H115" s="1774"/>
      <c r="I115" s="1774"/>
      <c r="J115" s="2890"/>
      <c r="K115" s="1773"/>
      <c r="L115" s="1774"/>
      <c r="M115" s="1774"/>
      <c r="N115" s="1770">
        <f>U118</f>
        <v>733.9</v>
      </c>
      <c r="O115" s="1775" t="str">
        <f>U117</f>
        <v>28.6.21</v>
      </c>
      <c r="P115" s="1770"/>
      <c r="R115" s="1758"/>
      <c r="T115" s="1759"/>
    </row>
    <row r="116" spans="1:35" s="175" customFormat="1" ht="11.25" hidden="1" customHeight="1">
      <c r="A116" s="1772" t="s">
        <v>37</v>
      </c>
      <c r="B116" s="1772"/>
      <c r="C116" s="1772" t="s">
        <v>151</v>
      </c>
      <c r="D116" s="2892"/>
      <c r="E116" s="2892"/>
      <c r="F116" s="1772"/>
      <c r="G116" s="1772" t="s">
        <v>8</v>
      </c>
      <c r="H116" s="2914" t="s">
        <v>152</v>
      </c>
      <c r="I116" s="2914"/>
      <c r="J116" s="2889"/>
      <c r="K116" s="1773"/>
      <c r="L116" s="2892" t="s">
        <v>44</v>
      </c>
      <c r="M116" s="2892"/>
      <c r="N116" s="1770">
        <f>X118</f>
        <v>733.9</v>
      </c>
      <c r="O116" s="1776" t="str">
        <f>X117</f>
        <v>27.09.21</v>
      </c>
      <c r="P116" s="1775"/>
      <c r="R116" s="1758"/>
      <c r="T116" s="1759"/>
    </row>
    <row r="117" spans="1:35" s="175" customFormat="1" ht="11.25" hidden="1" customHeight="1">
      <c r="A117" s="1777">
        <v>1</v>
      </c>
      <c r="B117" s="1778" t="s">
        <v>153</v>
      </c>
      <c r="C117" s="1779" t="s">
        <v>91</v>
      </c>
      <c r="D117" s="2916"/>
      <c r="E117" s="2916"/>
      <c r="F117" s="1777"/>
      <c r="G117" s="1777" t="s">
        <v>155</v>
      </c>
      <c r="H117" s="2920">
        <f>P113*10</f>
        <v>7299</v>
      </c>
      <c r="I117" s="2920"/>
      <c r="J117" s="1780">
        <f>ROUND((H117*28/128),2)</f>
        <v>1596.66</v>
      </c>
      <c r="K117" s="1773"/>
      <c r="L117" s="2915">
        <f>H117-J117</f>
        <v>5702.34</v>
      </c>
      <c r="M117" s="2915"/>
      <c r="N117" s="1776">
        <f>Y118</f>
        <v>709.23</v>
      </c>
      <c r="O117" s="1776" t="str">
        <f>Y117</f>
        <v>27.12.21</v>
      </c>
      <c r="P117" s="1781"/>
      <c r="Q117" s="1711" t="s">
        <v>1627</v>
      </c>
      <c r="R117" s="1711" t="s">
        <v>3593</v>
      </c>
      <c r="S117" s="1782" t="s">
        <v>3589</v>
      </c>
      <c r="T117" s="1711" t="s">
        <v>3590</v>
      </c>
      <c r="U117" s="1711" t="s">
        <v>3612</v>
      </c>
      <c r="X117" s="1711" t="s">
        <v>3625</v>
      </c>
      <c r="Y117" s="1711" t="s">
        <v>3670</v>
      </c>
      <c r="Z117" s="1711" t="s">
        <v>3673</v>
      </c>
      <c r="AA117" s="1711" t="s">
        <v>3702</v>
      </c>
      <c r="AB117" s="1711" t="s">
        <v>3715</v>
      </c>
      <c r="AC117" s="1711" t="s">
        <v>3719</v>
      </c>
      <c r="AD117" s="1711" t="s">
        <v>3722</v>
      </c>
    </row>
    <row r="118" spans="1:35" s="175" customFormat="1" ht="11.25" hidden="1" customHeight="1">
      <c r="A118" s="1777">
        <v>2</v>
      </c>
      <c r="B118" s="1778" t="s">
        <v>156</v>
      </c>
      <c r="C118" s="1783" t="s">
        <v>91</v>
      </c>
      <c r="D118" s="2916"/>
      <c r="E118" s="2916"/>
      <c r="F118" s="1777"/>
      <c r="G118" s="1777" t="s">
        <v>155</v>
      </c>
      <c r="H118" s="2921">
        <f>H117</f>
        <v>7299</v>
      </c>
      <c r="I118" s="2921"/>
      <c r="J118" s="1780">
        <f>ROUND((H118*28/128),2)</f>
        <v>1596.66</v>
      </c>
      <c r="K118" s="1773"/>
      <c r="L118" s="2915">
        <f>H118-J118</f>
        <v>5702.34</v>
      </c>
      <c r="M118" s="2915"/>
      <c r="N118" s="1776">
        <f>Z118</f>
        <v>683.9</v>
      </c>
      <c r="O118" s="1776" t="str">
        <f>Z117</f>
        <v>17.3.22</v>
      </c>
      <c r="P118" s="1781"/>
      <c r="Q118" s="1757" t="s">
        <v>3591</v>
      </c>
      <c r="R118" s="1765">
        <v>655.9</v>
      </c>
      <c r="S118" s="1782">
        <v>655.9</v>
      </c>
      <c r="T118" s="1765">
        <v>655.9</v>
      </c>
      <c r="U118" s="1765">
        <v>733.9</v>
      </c>
      <c r="X118" s="1765">
        <v>733.9</v>
      </c>
      <c r="Y118" s="1711">
        <v>709.23</v>
      </c>
      <c r="Z118" s="1765">
        <v>683.9</v>
      </c>
      <c r="AA118" s="1765">
        <v>729.9</v>
      </c>
      <c r="AB118" s="1765">
        <v>729.9</v>
      </c>
      <c r="AC118" s="1765">
        <v>729.9</v>
      </c>
      <c r="AD118" s="1765">
        <v>729.9</v>
      </c>
    </row>
    <row r="119" spans="1:35" s="175" customFormat="1" ht="11.25" hidden="1" customHeight="1">
      <c r="A119" s="1777">
        <v>3</v>
      </c>
      <c r="B119" s="1778" t="s">
        <v>157</v>
      </c>
      <c r="C119" s="1783" t="s">
        <v>91</v>
      </c>
      <c r="D119" s="2916"/>
      <c r="E119" s="2916"/>
      <c r="F119" s="1777"/>
      <c r="G119" s="1777" t="s">
        <v>159</v>
      </c>
      <c r="H119" s="2921">
        <f>H118</f>
        <v>7299</v>
      </c>
      <c r="I119" s="2921"/>
      <c r="J119" s="1780">
        <f>ROUND((H119*28/128),2)</f>
        <v>1596.66</v>
      </c>
      <c r="K119" s="1773"/>
      <c r="L119" s="2928">
        <f>H119-J119</f>
        <v>5702.34</v>
      </c>
      <c r="M119" s="2928"/>
      <c r="N119" s="1776">
        <f>AA118</f>
        <v>729.9</v>
      </c>
      <c r="O119" s="1784" t="str">
        <f>AA117</f>
        <v>27.6.22</v>
      </c>
      <c r="P119" s="1781"/>
      <c r="Q119" s="1757" t="s">
        <v>3592</v>
      </c>
      <c r="R119" s="1765">
        <v>5455.44</v>
      </c>
      <c r="S119" s="1782">
        <v>6684.56</v>
      </c>
      <c r="T119" s="1765">
        <v>6681.23</v>
      </c>
      <c r="U119" s="1765">
        <v>7259.8</v>
      </c>
      <c r="X119" s="1765">
        <v>7148.92</v>
      </c>
      <c r="Y119" s="1711">
        <v>7722.54</v>
      </c>
      <c r="Z119" s="1711">
        <v>8601.82</v>
      </c>
      <c r="AA119" s="1711">
        <v>8260.33</v>
      </c>
      <c r="AB119" s="1711">
        <v>7604.74</v>
      </c>
      <c r="AC119" s="1765">
        <v>7913.55</v>
      </c>
      <c r="AD119" s="1765">
        <v>7689.83</v>
      </c>
    </row>
    <row r="120" spans="1:35" s="175" customFormat="1" ht="11.25" hidden="1" customHeight="1">
      <c r="A120" s="1785"/>
      <c r="B120" s="1786" t="s">
        <v>160</v>
      </c>
      <c r="C120" s="1787"/>
      <c r="D120" s="1773"/>
      <c r="E120" s="1779" t="s">
        <v>161</v>
      </c>
      <c r="F120" s="1779"/>
      <c r="G120" s="2929">
        <f>SUM(L117:L119)</f>
        <v>17107.02</v>
      </c>
      <c r="H120" s="2929"/>
      <c r="I120" s="2892" t="s">
        <v>162</v>
      </c>
      <c r="J120" s="2892"/>
      <c r="K120" s="1773"/>
      <c r="L120" s="2930">
        <f>G120/3</f>
        <v>5702.34</v>
      </c>
      <c r="M120" s="2930"/>
      <c r="N120" s="1776">
        <f>AB118</f>
        <v>729.9</v>
      </c>
      <c r="O120" s="1766" t="str">
        <f>AB117</f>
        <v>29.9.22</v>
      </c>
      <c r="P120" s="1788"/>
      <c r="R120" s="1758"/>
      <c r="T120" s="1759"/>
    </row>
    <row r="121" spans="1:35" s="175" customFormat="1" ht="11.25" hidden="1" customHeight="1">
      <c r="A121" s="1789" t="s">
        <v>163</v>
      </c>
      <c r="B121" s="1789"/>
      <c r="C121" s="1789"/>
      <c r="D121" s="1789"/>
      <c r="E121" s="1790"/>
      <c r="F121" s="1791"/>
      <c r="G121" s="1792"/>
      <c r="H121" s="1792"/>
      <c r="I121" s="1792"/>
      <c r="J121" s="1792"/>
      <c r="K121" s="1793"/>
      <c r="L121" s="1794"/>
      <c r="M121" s="1794"/>
      <c r="N121" s="1770">
        <f>AC118</f>
        <v>729.9</v>
      </c>
      <c r="O121" s="1775" t="str">
        <f>AC117</f>
        <v>26.12.22</v>
      </c>
      <c r="P121" s="1795"/>
      <c r="R121" s="1758"/>
      <c r="T121" s="1759"/>
    </row>
    <row r="122" spans="1:35" s="175" customFormat="1" ht="14.45" hidden="1" customHeight="1">
      <c r="A122" s="1772" t="s">
        <v>22</v>
      </c>
      <c r="B122" s="1772" t="s">
        <v>145</v>
      </c>
      <c r="C122" s="1772" t="s">
        <v>1</v>
      </c>
      <c r="D122" s="2922" t="s">
        <v>146</v>
      </c>
      <c r="E122" s="2922"/>
      <c r="F122" s="2958"/>
      <c r="G122" s="2923" t="s">
        <v>164</v>
      </c>
      <c r="H122" s="2925" t="s">
        <v>165</v>
      </c>
      <c r="I122" s="2923" t="s">
        <v>166</v>
      </c>
      <c r="J122" s="2889" t="s">
        <v>167</v>
      </c>
      <c r="K122" s="1772"/>
      <c r="L122" s="2926" t="s">
        <v>150</v>
      </c>
      <c r="M122" s="2926"/>
      <c r="N122" s="1797"/>
      <c r="O122" s="1770"/>
      <c r="P122" s="1797"/>
      <c r="R122" s="1758"/>
      <c r="T122" s="1759"/>
    </row>
    <row r="123" spans="1:35" s="175" customFormat="1" ht="14.45" hidden="1" customHeight="1">
      <c r="A123" s="1772"/>
      <c r="B123" s="1772"/>
      <c r="C123" s="1772"/>
      <c r="D123" s="2922"/>
      <c r="E123" s="2922"/>
      <c r="F123" s="2959"/>
      <c r="G123" s="2924"/>
      <c r="H123" s="2924"/>
      <c r="I123" s="2923"/>
      <c r="J123" s="2924"/>
      <c r="K123" s="1772"/>
      <c r="L123" s="2935"/>
      <c r="M123" s="2936"/>
      <c r="N123" s="1770">
        <f>S119</f>
        <v>6684.56</v>
      </c>
      <c r="O123" s="1770" t="str">
        <f>O113</f>
        <v>29.12.20</v>
      </c>
      <c r="P123" s="1797">
        <f>AD119</f>
        <v>7689.83</v>
      </c>
      <c r="Q123" s="1759" t="str">
        <f>AD117</f>
        <v>27.3.23</v>
      </c>
      <c r="R123" s="1758"/>
      <c r="T123" s="1759"/>
    </row>
    <row r="124" spans="1:35" s="175" customFormat="1" ht="14.45" hidden="1" customHeight="1">
      <c r="A124" s="1772" t="s">
        <v>37</v>
      </c>
      <c r="B124" s="1772"/>
      <c r="C124" s="1772" t="s">
        <v>151</v>
      </c>
      <c r="D124" s="2922"/>
      <c r="E124" s="2922"/>
      <c r="F124" s="2960"/>
      <c r="G124" s="2923"/>
      <c r="H124" s="2925"/>
      <c r="I124" s="2923"/>
      <c r="J124" s="2889"/>
      <c r="K124" s="1772"/>
      <c r="L124" s="2927" t="s">
        <v>44</v>
      </c>
      <c r="M124" s="2927"/>
      <c r="N124" s="1770">
        <f>T119</f>
        <v>6681.23</v>
      </c>
      <c r="O124" s="1770" t="str">
        <f t="shared" ref="O124:O130" si="34">O114</f>
        <v>30.3.21</v>
      </c>
      <c r="P124" s="1798"/>
      <c r="R124" s="1758"/>
      <c r="T124" s="1759"/>
    </row>
    <row r="125" spans="1:35" s="175" customFormat="1" ht="11.25" hidden="1" customHeight="1">
      <c r="A125" s="1785">
        <v>1</v>
      </c>
      <c r="B125" s="1799" t="s">
        <v>168</v>
      </c>
      <c r="C125" s="1777" t="s">
        <v>91</v>
      </c>
      <c r="D125" s="2895" t="s">
        <v>3767</v>
      </c>
      <c r="E125" s="2895"/>
      <c r="F125" s="1774"/>
      <c r="G125" s="1796" t="s">
        <v>169</v>
      </c>
      <c r="H125" s="1800">
        <f>P123*10</f>
        <v>76898.3</v>
      </c>
      <c r="I125" s="1801"/>
      <c r="J125" s="1780">
        <f>ROUND((H125*18/118),2)</f>
        <v>11730.25</v>
      </c>
      <c r="K125" s="1802"/>
      <c r="L125" s="2896">
        <f t="shared" ref="L125:L130" si="35">H125-J125</f>
        <v>65168.05</v>
      </c>
      <c r="M125" s="2896"/>
      <c r="N125" s="1803">
        <f>U119</f>
        <v>7259.8</v>
      </c>
      <c r="O125" s="1770" t="str">
        <f t="shared" si="34"/>
        <v>28.6.21</v>
      </c>
      <c r="P125" s="1804"/>
      <c r="R125" s="1758"/>
      <c r="T125" s="1759"/>
    </row>
    <row r="126" spans="1:35" s="175" customFormat="1" ht="11.25" hidden="1" customHeight="1">
      <c r="A126" s="1805"/>
      <c r="B126" s="1806"/>
      <c r="C126" s="1777" t="s">
        <v>91</v>
      </c>
      <c r="D126" s="2895"/>
      <c r="E126" s="2895"/>
      <c r="F126" s="1774"/>
      <c r="G126" s="1796" t="s">
        <v>170</v>
      </c>
      <c r="H126" s="1807">
        <f>H125</f>
        <v>76898.3</v>
      </c>
      <c r="I126" s="1801"/>
      <c r="J126" s="1780">
        <f t="shared" ref="J126:J130" si="36">ROUND((H126*18/118),2)</f>
        <v>11730.25</v>
      </c>
      <c r="K126" s="1802"/>
      <c r="L126" s="2896">
        <f t="shared" si="35"/>
        <v>65168.05</v>
      </c>
      <c r="M126" s="2896"/>
      <c r="N126" s="1803">
        <f>X119</f>
        <v>7148.92</v>
      </c>
      <c r="O126" s="1770" t="str">
        <f t="shared" si="34"/>
        <v>27.09.21</v>
      </c>
      <c r="P126" s="1804"/>
      <c r="R126" s="1758"/>
      <c r="T126" s="1759"/>
    </row>
    <row r="127" spans="1:35" s="175" customFormat="1" ht="11.25" hidden="1" customHeight="1">
      <c r="A127" s="1805"/>
      <c r="B127" s="1806"/>
      <c r="C127" s="1777" t="s">
        <v>91</v>
      </c>
      <c r="D127" s="2895"/>
      <c r="E127" s="2895"/>
      <c r="F127" s="1774"/>
      <c r="G127" s="1796" t="s">
        <v>171</v>
      </c>
      <c r="H127" s="1807">
        <f>H126</f>
        <v>76898.3</v>
      </c>
      <c r="I127" s="1801"/>
      <c r="J127" s="1780">
        <f t="shared" si="36"/>
        <v>11730.25</v>
      </c>
      <c r="K127" s="1802"/>
      <c r="L127" s="2896">
        <f t="shared" si="35"/>
        <v>65168.05</v>
      </c>
      <c r="M127" s="2896"/>
      <c r="N127" s="1803">
        <f>Y119</f>
        <v>7722.54</v>
      </c>
      <c r="O127" s="1770" t="str">
        <f t="shared" si="34"/>
        <v>27.12.21</v>
      </c>
      <c r="P127" s="1804"/>
      <c r="Q127" s="1714"/>
      <c r="R127" s="1808"/>
      <c r="S127" s="1714"/>
      <c r="T127" s="1711" t="s">
        <v>3435</v>
      </c>
      <c r="U127" s="1714"/>
      <c r="V127" s="1714"/>
      <c r="W127" s="1714"/>
      <c r="X127" s="1714"/>
      <c r="Y127" s="1714"/>
      <c r="Z127" s="1714"/>
      <c r="AA127" s="1714"/>
      <c r="AB127" s="1714"/>
      <c r="AC127" s="1714"/>
      <c r="AD127" s="1714"/>
      <c r="AE127" s="1757"/>
      <c r="AF127" s="1757"/>
      <c r="AG127" s="1757"/>
      <c r="AH127" s="1714"/>
      <c r="AI127" s="1714"/>
    </row>
    <row r="128" spans="1:35" s="175" customFormat="1" ht="11.25" hidden="1" customHeight="1">
      <c r="A128" s="1785"/>
      <c r="B128" s="1787"/>
      <c r="C128" s="1777" t="s">
        <v>91</v>
      </c>
      <c r="D128" s="2895"/>
      <c r="E128" s="2895"/>
      <c r="F128" s="1774"/>
      <c r="G128" s="1796" t="s">
        <v>173</v>
      </c>
      <c r="H128" s="1807">
        <f>H127</f>
        <v>76898.3</v>
      </c>
      <c r="I128" s="1801"/>
      <c r="J128" s="1780">
        <f t="shared" si="36"/>
        <v>11730.25</v>
      </c>
      <c r="K128" s="1802"/>
      <c r="L128" s="2891">
        <f t="shared" si="35"/>
        <v>65168.05</v>
      </c>
      <c r="M128" s="2891"/>
      <c r="N128" s="1803">
        <f>Z119</f>
        <v>8601.82</v>
      </c>
      <c r="O128" s="1770" t="str">
        <f t="shared" si="34"/>
        <v>17.3.22</v>
      </c>
      <c r="P128" s="1804"/>
      <c r="Q128" s="1714"/>
      <c r="R128" s="1808"/>
      <c r="S128" s="1714"/>
      <c r="T128" s="1757"/>
      <c r="U128" s="1714"/>
      <c r="V128" s="1714"/>
      <c r="W128" s="1714"/>
      <c r="X128" s="1714"/>
      <c r="Y128" s="1714"/>
      <c r="Z128" s="1714"/>
      <c r="AA128" s="1714"/>
      <c r="AB128" s="1714"/>
      <c r="AC128" s="1714"/>
      <c r="AD128" s="1714"/>
      <c r="AE128" s="1757"/>
      <c r="AF128" s="1757"/>
      <c r="AG128" s="1757"/>
      <c r="AH128" s="1714"/>
      <c r="AI128" s="1714"/>
    </row>
    <row r="129" spans="1:35" s="175" customFormat="1" ht="11.25" hidden="1" customHeight="1">
      <c r="A129" s="1785"/>
      <c r="B129" s="1787"/>
      <c r="C129" s="1777" t="s">
        <v>91</v>
      </c>
      <c r="D129" s="2895"/>
      <c r="E129" s="2895"/>
      <c r="F129" s="1774"/>
      <c r="G129" s="1796" t="s">
        <v>174</v>
      </c>
      <c r="H129" s="1807">
        <f>H128</f>
        <v>76898.3</v>
      </c>
      <c r="I129" s="1801"/>
      <c r="J129" s="1780">
        <f t="shared" si="36"/>
        <v>11730.25</v>
      </c>
      <c r="K129" s="1802"/>
      <c r="L129" s="2891">
        <f t="shared" si="35"/>
        <v>65168.05</v>
      </c>
      <c r="M129" s="2891"/>
      <c r="N129" s="1803">
        <f>AA119</f>
        <v>8260.33</v>
      </c>
      <c r="O129" s="1770" t="str">
        <f t="shared" si="34"/>
        <v>27.6.22</v>
      </c>
      <c r="P129" s="1804"/>
      <c r="Q129" s="1714"/>
      <c r="R129" s="1764"/>
      <c r="S129" s="1711" t="s">
        <v>175</v>
      </c>
      <c r="T129" s="1757"/>
      <c r="U129" s="1711" t="s">
        <v>3434</v>
      </c>
      <c r="V129" s="1714"/>
      <c r="W129" s="1714"/>
      <c r="X129" s="1714"/>
      <c r="Y129" s="1711" t="s">
        <v>3501</v>
      </c>
      <c r="Z129" s="1714"/>
      <c r="AA129" s="1714"/>
      <c r="AB129" s="1711" t="s">
        <v>3586</v>
      </c>
      <c r="AC129" s="1714"/>
      <c r="AD129" s="1714"/>
      <c r="AE129" s="1711" t="s">
        <v>3624</v>
      </c>
      <c r="AF129" s="1757"/>
      <c r="AG129" s="1711" t="s">
        <v>3716</v>
      </c>
      <c r="AH129" s="1714"/>
      <c r="AI129" s="1711" t="s">
        <v>3721</v>
      </c>
    </row>
    <row r="130" spans="1:35" s="175" customFormat="1" ht="11.25" hidden="1" customHeight="1">
      <c r="A130" s="1785"/>
      <c r="B130" s="1787"/>
      <c r="C130" s="1777" t="s">
        <v>91</v>
      </c>
      <c r="D130" s="2895"/>
      <c r="E130" s="2895"/>
      <c r="F130" s="1774"/>
      <c r="G130" s="1796" t="s">
        <v>177</v>
      </c>
      <c r="H130" s="1807">
        <f>H129</f>
        <v>76898.3</v>
      </c>
      <c r="I130" s="1801"/>
      <c r="J130" s="1780">
        <f t="shared" si="36"/>
        <v>11730.25</v>
      </c>
      <c r="K130" s="1802"/>
      <c r="L130" s="2891">
        <f t="shared" si="35"/>
        <v>65168.05</v>
      </c>
      <c r="M130" s="2891"/>
      <c r="N130" s="1803">
        <f>AB119</f>
        <v>7604.74</v>
      </c>
      <c r="O130" s="1770" t="str">
        <f t="shared" si="34"/>
        <v>29.9.22</v>
      </c>
      <c r="P130" s="1804"/>
      <c r="Q130" s="1714"/>
      <c r="R130" s="1782" t="s">
        <v>178</v>
      </c>
      <c r="S130" s="1757"/>
      <c r="T130" s="1711" t="s">
        <v>179</v>
      </c>
      <c r="U130" s="1757"/>
      <c r="V130" s="1714"/>
      <c r="W130" s="1714"/>
      <c r="X130" s="1711" t="s">
        <v>3499</v>
      </c>
      <c r="Y130" s="1714"/>
      <c r="Z130" s="2909" t="s">
        <v>3563</v>
      </c>
      <c r="AA130" s="2910"/>
      <c r="AC130" s="2909" t="s">
        <v>3595</v>
      </c>
      <c r="AD130" s="2910"/>
      <c r="AE130" s="1714"/>
      <c r="AF130" s="1711" t="s">
        <v>3674</v>
      </c>
      <c r="AG130" s="1714"/>
      <c r="AH130" s="1711" t="s">
        <v>3717</v>
      </c>
      <c r="AI130" s="1714"/>
    </row>
    <row r="131" spans="1:35" s="175" customFormat="1" ht="11.25" hidden="1" customHeight="1">
      <c r="A131" s="1785"/>
      <c r="B131" s="1786" t="s">
        <v>160</v>
      </c>
      <c r="C131" s="1787"/>
      <c r="D131" s="1811" t="s">
        <v>161</v>
      </c>
      <c r="E131" s="2891">
        <f>SUM(L125:L130)</f>
        <v>391008.3</v>
      </c>
      <c r="F131" s="2891"/>
      <c r="G131" s="2891"/>
      <c r="H131" s="2892" t="s">
        <v>180</v>
      </c>
      <c r="I131" s="2892"/>
      <c r="J131" s="1812"/>
      <c r="K131" s="1812"/>
      <c r="L131" s="2893">
        <f>E131/6</f>
        <v>65168.049999999996</v>
      </c>
      <c r="M131" s="2893"/>
      <c r="N131" s="1803">
        <f>AC119</f>
        <v>7913.55</v>
      </c>
      <c r="O131" s="1813" t="str">
        <f>AC117</f>
        <v>26.12.22</v>
      </c>
      <c r="P131" s="1814"/>
      <c r="Q131" s="1714"/>
      <c r="R131" s="1808"/>
      <c r="S131" s="1714"/>
      <c r="T131" s="1757"/>
      <c r="U131" s="1714"/>
      <c r="V131" s="1714"/>
      <c r="W131" s="1714"/>
      <c r="X131" s="1714"/>
      <c r="Y131" s="1714"/>
      <c r="Z131" s="1714"/>
      <c r="AA131" s="1714"/>
      <c r="AB131" s="1714"/>
      <c r="AC131" s="1714"/>
      <c r="AD131" s="1714"/>
      <c r="AE131" s="1757"/>
      <c r="AF131" s="1757"/>
      <c r="AG131" s="1757"/>
      <c r="AH131" s="1757"/>
      <c r="AI131" s="1714"/>
    </row>
    <row r="132" spans="1:35" s="175" customFormat="1" ht="11.25" customHeight="1">
      <c r="A132" s="1815"/>
      <c r="B132" s="1816"/>
      <c r="C132" s="1762"/>
      <c r="D132" s="1817"/>
      <c r="E132" s="1818"/>
      <c r="F132" s="1818"/>
      <c r="G132" s="1818"/>
      <c r="H132" s="1766"/>
      <c r="I132" s="1766"/>
      <c r="J132" s="1767"/>
      <c r="K132" s="1767"/>
      <c r="L132" s="1819"/>
      <c r="M132" s="1819"/>
      <c r="N132" s="1803"/>
      <c r="O132" s="1820"/>
      <c r="P132" s="1821"/>
      <c r="Q132" s="1711" t="s">
        <v>3594</v>
      </c>
      <c r="R132" s="230" t="s">
        <v>3655</v>
      </c>
      <c r="S132" s="17" t="s">
        <v>3656</v>
      </c>
      <c r="T132" s="17" t="s">
        <v>3657</v>
      </c>
      <c r="U132" s="17"/>
      <c r="V132" s="17"/>
      <c r="W132" s="17"/>
      <c r="X132" s="17" t="s">
        <v>3658</v>
      </c>
      <c r="Y132" s="17"/>
      <c r="Z132" s="17"/>
      <c r="AA132" s="17" t="s">
        <v>3659</v>
      </c>
      <c r="AB132" s="17"/>
      <c r="AC132" s="17"/>
      <c r="AD132" s="17" t="s">
        <v>3654</v>
      </c>
      <c r="AE132" s="1757"/>
      <c r="AF132" s="1757"/>
      <c r="AG132" s="1711" t="s">
        <v>3718</v>
      </c>
      <c r="AH132" s="1757"/>
      <c r="AI132" s="1714"/>
    </row>
    <row r="133" spans="1:35" s="175" customFormat="1" ht="11.25" customHeight="1">
      <c r="B133" s="1822" t="s">
        <v>181</v>
      </c>
      <c r="C133" s="1762"/>
      <c r="D133" s="1817"/>
      <c r="E133" s="1818"/>
      <c r="F133" s="1818"/>
      <c r="G133" s="2897" t="s">
        <v>2</v>
      </c>
      <c r="H133" s="2898"/>
      <c r="I133" s="2898"/>
      <c r="J133" s="2898"/>
      <c r="K133" s="2899"/>
      <c r="L133" s="2894" t="s">
        <v>182</v>
      </c>
      <c r="M133" s="2894"/>
      <c r="N133" s="1821"/>
      <c r="O133" s="1821"/>
      <c r="P133" s="1821"/>
      <c r="Q133" s="1715" t="s">
        <v>183</v>
      </c>
      <c r="R133" s="1825">
        <v>174</v>
      </c>
      <c r="S133" s="1826">
        <v>176</v>
      </c>
      <c r="T133" s="1826">
        <v>182</v>
      </c>
      <c r="U133" s="1826">
        <f>T133</f>
        <v>182</v>
      </c>
      <c r="X133" s="1826">
        <v>188</v>
      </c>
      <c r="Y133" s="1827">
        <f>X133</f>
        <v>188</v>
      </c>
      <c r="Z133" s="1752">
        <v>188</v>
      </c>
      <c r="AA133" s="1752">
        <v>207</v>
      </c>
      <c r="AB133" s="1752">
        <v>207</v>
      </c>
      <c r="AC133" s="1752">
        <f>AB133</f>
        <v>207</v>
      </c>
      <c r="AD133" s="1752">
        <v>215</v>
      </c>
      <c r="AE133" s="1752">
        <v>215</v>
      </c>
      <c r="AF133" s="1752">
        <v>215</v>
      </c>
      <c r="AG133" s="1752">
        <v>222</v>
      </c>
      <c r="AH133" s="1752">
        <v>222</v>
      </c>
      <c r="AI133" s="1752">
        <v>237</v>
      </c>
    </row>
    <row r="134" spans="1:35" s="175" customFormat="1" ht="11.25" customHeight="1">
      <c r="C134" s="196"/>
      <c r="G134" s="1828" t="s">
        <v>184</v>
      </c>
      <c r="H134" s="1829"/>
      <c r="I134" s="1711" t="s">
        <v>161</v>
      </c>
      <c r="J134" s="1830"/>
      <c r="K134" s="1830"/>
      <c r="L134" s="2887">
        <f>AI134</f>
        <v>345</v>
      </c>
      <c r="M134" s="2887"/>
      <c r="N134" s="1767">
        <f>K134</f>
        <v>0</v>
      </c>
      <c r="O134" s="1767"/>
      <c r="P134" s="1767"/>
      <c r="Q134" s="1752">
        <v>150</v>
      </c>
      <c r="R134" s="1832">
        <v>200</v>
      </c>
      <c r="S134" s="1765">
        <v>207.2</v>
      </c>
      <c r="T134" s="1832">
        <v>213.5</v>
      </c>
      <c r="U134" s="1832">
        <v>224.3</v>
      </c>
      <c r="X134" s="1765">
        <v>280</v>
      </c>
      <c r="Y134" s="1752">
        <v>286.3</v>
      </c>
      <c r="Z134" s="1752">
        <f>Y134+11.7</f>
        <v>298</v>
      </c>
      <c r="AA134" s="1752">
        <v>298</v>
      </c>
      <c r="AB134" s="1752">
        <v>303.39999999999998</v>
      </c>
      <c r="AC134" s="1752">
        <v>308</v>
      </c>
      <c r="AD134" s="1752">
        <v>308</v>
      </c>
      <c r="AE134" s="1752">
        <v>311</v>
      </c>
      <c r="AF134" s="1752">
        <f>AE134+4</f>
        <v>315</v>
      </c>
      <c r="AG134" s="1752">
        <f>AF134+11</f>
        <v>326</v>
      </c>
      <c r="AH134" s="1752">
        <f>AG134+7</f>
        <v>333</v>
      </c>
      <c r="AI134" s="1752">
        <f>AH134+12</f>
        <v>345</v>
      </c>
    </row>
    <row r="135" spans="1:35" s="175" customFormat="1" ht="11.25" customHeight="1">
      <c r="A135" s="1766"/>
      <c r="G135" s="1828" t="s">
        <v>185</v>
      </c>
      <c r="H135" s="1829"/>
      <c r="I135" s="1711" t="s">
        <v>161</v>
      </c>
      <c r="J135" s="1833"/>
      <c r="K135" s="1742"/>
      <c r="L135" s="2887">
        <f t="shared" ref="L135:L137" si="37">AI135</f>
        <v>385</v>
      </c>
      <c r="M135" s="2887"/>
      <c r="N135" s="1767">
        <f>K135</f>
        <v>0</v>
      </c>
      <c r="O135" s="1767"/>
      <c r="P135" s="1767"/>
      <c r="Q135" s="1752">
        <v>170</v>
      </c>
      <c r="R135" s="1832">
        <v>220</v>
      </c>
      <c r="S135" s="1765">
        <f>R135+7.2</f>
        <v>227.2</v>
      </c>
      <c r="T135" s="1832">
        <v>233.5</v>
      </c>
      <c r="U135" s="1832">
        <v>244.3</v>
      </c>
      <c r="X135" s="1765">
        <v>320</v>
      </c>
      <c r="Y135" s="1752">
        <v>326.3</v>
      </c>
      <c r="Z135" s="1752">
        <f t="shared" ref="Z135:Z137" si="38">Y135+11.7</f>
        <v>338</v>
      </c>
      <c r="AA135" s="1752">
        <v>338</v>
      </c>
      <c r="AB135" s="1752">
        <v>343.4</v>
      </c>
      <c r="AC135" s="1752">
        <v>348</v>
      </c>
      <c r="AD135" s="1752">
        <v>348</v>
      </c>
      <c r="AE135" s="1752">
        <v>351</v>
      </c>
      <c r="AF135" s="1752">
        <f t="shared" ref="AF135:AF137" si="39">AE135+4</f>
        <v>355</v>
      </c>
      <c r="AG135" s="1752">
        <f t="shared" ref="AG135:AG137" si="40">AF135+11</f>
        <v>366</v>
      </c>
      <c r="AH135" s="1752">
        <f t="shared" ref="AH135:AH137" si="41">AG135+7</f>
        <v>373</v>
      </c>
      <c r="AI135" s="1752">
        <f t="shared" ref="AI135:AI137" si="42">AH135+12</f>
        <v>385</v>
      </c>
    </row>
    <row r="136" spans="1:35" s="175" customFormat="1" ht="11.25" customHeight="1">
      <c r="A136" s="1766"/>
      <c r="G136" s="1828" t="s">
        <v>186</v>
      </c>
      <c r="H136" s="1829"/>
      <c r="I136" s="1711" t="s">
        <v>161</v>
      </c>
      <c r="J136" s="1833"/>
      <c r="K136" s="1742"/>
      <c r="L136" s="2887">
        <f t="shared" si="37"/>
        <v>435</v>
      </c>
      <c r="M136" s="2887"/>
      <c r="N136" s="1767">
        <f>K136</f>
        <v>0</v>
      </c>
      <c r="O136" s="1767"/>
      <c r="P136" s="1767"/>
      <c r="Q136" s="1752">
        <v>190</v>
      </c>
      <c r="R136" s="1832">
        <v>240</v>
      </c>
      <c r="S136" s="1765">
        <f>R136+7.2</f>
        <v>247.2</v>
      </c>
      <c r="T136" s="1832">
        <v>253.5</v>
      </c>
      <c r="U136" s="1832">
        <v>264.3</v>
      </c>
      <c r="X136" s="1765">
        <v>370</v>
      </c>
      <c r="Y136" s="1752">
        <v>376.3</v>
      </c>
      <c r="Z136" s="1752">
        <f t="shared" si="38"/>
        <v>388</v>
      </c>
      <c r="AA136" s="1752">
        <v>388</v>
      </c>
      <c r="AB136" s="1752">
        <v>393.4</v>
      </c>
      <c r="AC136" s="1752">
        <v>398</v>
      </c>
      <c r="AD136" s="1752">
        <v>398</v>
      </c>
      <c r="AE136" s="1752">
        <v>401</v>
      </c>
      <c r="AF136" s="1752">
        <f t="shared" si="39"/>
        <v>405</v>
      </c>
      <c r="AG136" s="1752">
        <f t="shared" si="40"/>
        <v>416</v>
      </c>
      <c r="AH136" s="1752">
        <f t="shared" si="41"/>
        <v>423</v>
      </c>
      <c r="AI136" s="1752">
        <f t="shared" si="42"/>
        <v>435</v>
      </c>
    </row>
    <row r="137" spans="1:35" s="175" customFormat="1" ht="11.25" customHeight="1">
      <c r="A137" s="1766"/>
      <c r="G137" s="1828" t="s">
        <v>187</v>
      </c>
      <c r="H137" s="1829"/>
      <c r="I137" s="1711" t="s">
        <v>161</v>
      </c>
      <c r="J137" s="1833"/>
      <c r="K137" s="1742"/>
      <c r="L137" s="2887">
        <f t="shared" si="37"/>
        <v>495</v>
      </c>
      <c r="M137" s="2887"/>
      <c r="N137" s="1767">
        <f>K137</f>
        <v>0</v>
      </c>
      <c r="O137" s="1767"/>
      <c r="P137" s="1767"/>
      <c r="Q137" s="1752">
        <v>205</v>
      </c>
      <c r="R137" s="1832">
        <v>260</v>
      </c>
      <c r="S137" s="1765">
        <f>R137+7.2</f>
        <v>267.2</v>
      </c>
      <c r="T137" s="1832">
        <v>273.5</v>
      </c>
      <c r="U137" s="1832">
        <v>284.3</v>
      </c>
      <c r="X137" s="1765">
        <v>430</v>
      </c>
      <c r="Y137" s="1752">
        <v>436.3</v>
      </c>
      <c r="Z137" s="1752">
        <f t="shared" si="38"/>
        <v>448</v>
      </c>
      <c r="AA137" s="1752">
        <v>448</v>
      </c>
      <c r="AB137" s="1752">
        <v>453.4</v>
      </c>
      <c r="AC137" s="1752">
        <v>458</v>
      </c>
      <c r="AD137" s="1752">
        <v>458</v>
      </c>
      <c r="AE137" s="1752">
        <v>461</v>
      </c>
      <c r="AF137" s="1752">
        <f t="shared" si="39"/>
        <v>465</v>
      </c>
      <c r="AG137" s="1752">
        <f t="shared" si="40"/>
        <v>476</v>
      </c>
      <c r="AH137" s="1752">
        <f t="shared" si="41"/>
        <v>483</v>
      </c>
      <c r="AI137" s="1752">
        <f t="shared" si="42"/>
        <v>495</v>
      </c>
    </row>
    <row r="138" spans="1:35" s="175" customFormat="1" ht="11.25" customHeight="1">
      <c r="A138" s="1766"/>
      <c r="E138" s="1766"/>
      <c r="F138" s="1766"/>
      <c r="H138" s="1759"/>
      <c r="I138" s="1762"/>
      <c r="L138" s="1759"/>
      <c r="Q138" s="1711" t="s">
        <v>3676</v>
      </c>
      <c r="R138" s="1721">
        <v>115</v>
      </c>
      <c r="S138" s="1714" t="s">
        <v>1515</v>
      </c>
      <c r="T138" s="1721">
        <v>130</v>
      </c>
      <c r="U138" s="1714" t="s">
        <v>1515</v>
      </c>
      <c r="X138" s="1721">
        <v>3</v>
      </c>
      <c r="Y138" s="1714" t="s">
        <v>3682</v>
      </c>
    </row>
    <row r="139" spans="1:35" s="175" customFormat="1" ht="11.25" hidden="1" customHeight="1">
      <c r="A139" s="1766"/>
      <c r="E139" s="1766"/>
      <c r="F139" s="1766"/>
      <c r="H139" s="1759"/>
      <c r="I139" s="1762"/>
      <c r="L139" s="1759"/>
      <c r="Q139" s="1711" t="s">
        <v>3677</v>
      </c>
      <c r="R139" s="1721">
        <v>95</v>
      </c>
      <c r="S139" s="1714" t="s">
        <v>1515</v>
      </c>
      <c r="T139" s="1721">
        <v>150</v>
      </c>
      <c r="U139" s="1714" t="s">
        <v>1515</v>
      </c>
      <c r="X139" s="1721">
        <v>2</v>
      </c>
      <c r="Y139" s="1714" t="s">
        <v>3682</v>
      </c>
    </row>
    <row r="140" spans="1:35" s="175" customFormat="1" ht="11.25" hidden="1" customHeight="1">
      <c r="A140" s="1766"/>
      <c r="E140" s="1766"/>
      <c r="F140" s="1766"/>
      <c r="H140" s="1759"/>
      <c r="I140" s="1762"/>
      <c r="L140" s="1759"/>
      <c r="Q140" s="1711" t="s">
        <v>1890</v>
      </c>
      <c r="R140" s="1721">
        <v>120</v>
      </c>
      <c r="S140" s="1714" t="s">
        <v>1515</v>
      </c>
      <c r="T140" s="1721">
        <v>120</v>
      </c>
      <c r="U140" s="1714" t="s">
        <v>1515</v>
      </c>
      <c r="X140" s="1721">
        <v>3.5</v>
      </c>
      <c r="Y140" s="1714" t="s">
        <v>3682</v>
      </c>
    </row>
    <row r="141" spans="1:35" s="175" customFormat="1" ht="11.25" hidden="1" customHeight="1">
      <c r="A141" s="1766"/>
      <c r="E141" s="1766"/>
      <c r="F141" s="1766"/>
      <c r="H141" s="1759"/>
      <c r="I141" s="1762"/>
      <c r="L141" s="1759"/>
      <c r="Q141" s="1711" t="s">
        <v>677</v>
      </c>
      <c r="R141" s="1721">
        <v>100</v>
      </c>
      <c r="S141" s="1714" t="s">
        <v>1515</v>
      </c>
      <c r="T141" s="1721">
        <v>115</v>
      </c>
      <c r="U141" s="1714" t="s">
        <v>1515</v>
      </c>
      <c r="X141" s="1721">
        <v>2.5</v>
      </c>
      <c r="Y141" s="1714" t="s">
        <v>3682</v>
      </c>
    </row>
    <row r="142" spans="1:35" s="175" customFormat="1" ht="11.25" customHeight="1">
      <c r="A142" s="1766"/>
      <c r="E142" s="1766"/>
      <c r="F142" s="1766"/>
      <c r="H142" s="1759"/>
      <c r="I142" s="1762"/>
      <c r="L142" s="1759"/>
      <c r="Q142" s="1711"/>
      <c r="R142" s="1721"/>
      <c r="S142" s="1714"/>
      <c r="T142" s="1721"/>
      <c r="U142" s="1714"/>
      <c r="X142" s="1721"/>
      <c r="Y142" s="1714"/>
    </row>
    <row r="143" spans="1:35" s="175" customFormat="1" ht="9.4" customHeight="1">
      <c r="A143" s="1766"/>
      <c r="E143" s="1766"/>
      <c r="F143" s="1766"/>
      <c r="H143" s="1759"/>
      <c r="I143" s="1762"/>
      <c r="L143" s="1759"/>
      <c r="Q143" s="1711" t="s">
        <v>3678</v>
      </c>
      <c r="R143" s="1721">
        <v>390</v>
      </c>
      <c r="S143" s="1714" t="s">
        <v>1515</v>
      </c>
      <c r="T143" s="1721">
        <v>400</v>
      </c>
      <c r="U143" s="1714" t="s">
        <v>1515</v>
      </c>
      <c r="X143" s="1721">
        <v>3</v>
      </c>
      <c r="Y143" s="1714" t="s">
        <v>3682</v>
      </c>
    </row>
    <row r="144" spans="1:35" s="1766" customFormat="1">
      <c r="B144" s="2963" t="s">
        <v>3498</v>
      </c>
      <c r="C144" s="2963"/>
      <c r="G144" s="121" t="s">
        <v>189</v>
      </c>
      <c r="L144" s="121" t="s">
        <v>190</v>
      </c>
      <c r="Q144" s="1711" t="s">
        <v>3679</v>
      </c>
      <c r="R144" s="1721">
        <v>400</v>
      </c>
      <c r="S144" s="1714" t="s">
        <v>1515</v>
      </c>
      <c r="T144" s="1723">
        <v>450</v>
      </c>
      <c r="U144" s="1714" t="s">
        <v>1515</v>
      </c>
      <c r="X144" s="1834">
        <v>3.75</v>
      </c>
      <c r="Y144" s="1714" t="s">
        <v>3682</v>
      </c>
    </row>
    <row r="145" spans="1:26" s="1766" customFormat="1">
      <c r="B145" s="2963" t="s">
        <v>4218</v>
      </c>
      <c r="C145" s="2963"/>
      <c r="G145" s="121" t="str">
        <f>B145</f>
        <v>Bhuban  Block</v>
      </c>
      <c r="L145" s="121" t="s">
        <v>2016</v>
      </c>
      <c r="Q145" s="1711" t="s">
        <v>3711</v>
      </c>
      <c r="R145" s="1711" t="s">
        <v>3681</v>
      </c>
      <c r="S145" s="1711"/>
      <c r="T145" s="1710" t="s">
        <v>3680</v>
      </c>
      <c r="U145" s="1710"/>
      <c r="X145" s="1710" t="s">
        <v>3710</v>
      </c>
      <c r="Y145" s="1710"/>
    </row>
    <row r="146" spans="1:26" s="140" customFormat="1" ht="15.75" hidden="1">
      <c r="A146" s="2964" t="s">
        <v>192</v>
      </c>
      <c r="B146" s="2964"/>
      <c r="C146" s="2964"/>
      <c r="D146" s="2964"/>
      <c r="E146" s="2964"/>
      <c r="F146" s="2964"/>
      <c r="G146" s="2964"/>
      <c r="H146" s="2964"/>
      <c r="I146" s="2964"/>
      <c r="J146" s="2964"/>
      <c r="K146" s="2964"/>
      <c r="L146" s="2964"/>
      <c r="M146" s="2964"/>
      <c r="N146" s="2964"/>
      <c r="O146" s="1835"/>
      <c r="P146" s="1835"/>
      <c r="Q146" s="1836" t="s">
        <v>3683</v>
      </c>
      <c r="R146" s="1836" t="s">
        <v>3684</v>
      </c>
      <c r="S146" s="1836" t="s">
        <v>3700</v>
      </c>
      <c r="T146" s="1837" t="s">
        <v>3688</v>
      </c>
      <c r="U146" s="1837" t="s">
        <v>3691</v>
      </c>
      <c r="V146" s="1838"/>
      <c r="W146" s="1838"/>
      <c r="X146" s="1836" t="s">
        <v>3712</v>
      </c>
      <c r="Y146" s="1837" t="s">
        <v>3694</v>
      </c>
      <c r="Z146" s="1837" t="s">
        <v>3697</v>
      </c>
    </row>
    <row r="147" spans="1:26" ht="15" hidden="1" customHeight="1">
      <c r="A147" s="2955" t="str">
        <f>A2</f>
        <v>NAME OF THE WORK:-</v>
      </c>
      <c r="B147" s="2955"/>
      <c r="C147" s="2955"/>
      <c r="D147" s="2956" t="str">
        <f>D2</f>
        <v>Dining Hall of Damasal School</v>
      </c>
      <c r="E147" s="2956"/>
      <c r="F147" s="2956"/>
      <c r="G147" s="2956"/>
      <c r="H147" s="2956"/>
      <c r="I147" s="2956"/>
      <c r="J147" s="2956"/>
      <c r="K147" s="2956"/>
      <c r="L147" s="2956"/>
      <c r="M147" s="2956"/>
      <c r="N147" s="2956"/>
      <c r="O147" s="1839"/>
      <c r="P147" s="1839"/>
      <c r="Q147" s="1840" t="s">
        <v>3685</v>
      </c>
      <c r="R147" s="1836" t="s">
        <v>3684</v>
      </c>
      <c r="S147" s="1840" t="s">
        <v>3686</v>
      </c>
      <c r="T147" s="1841" t="s">
        <v>3689</v>
      </c>
      <c r="U147" s="1837" t="s">
        <v>3692</v>
      </c>
      <c r="V147" s="1842"/>
      <c r="W147" s="1842"/>
      <c r="X147" s="1840" t="s">
        <v>3713</v>
      </c>
      <c r="Y147" s="1841" t="s">
        <v>3695</v>
      </c>
      <c r="Z147" s="1837" t="s">
        <v>3698</v>
      </c>
    </row>
    <row r="148" spans="1:26" ht="15" hidden="1" customHeight="1">
      <c r="A148" s="2955" t="str">
        <f>A3</f>
        <v>NAME OF THE G.P.:-</v>
      </c>
      <c r="B148" s="2955"/>
      <c r="C148" s="2955"/>
      <c r="D148" s="2956" t="str">
        <f>D3</f>
        <v>Odisha</v>
      </c>
      <c r="E148" s="2956"/>
      <c r="F148" s="2956"/>
      <c r="G148" s="2956"/>
      <c r="H148" s="2956"/>
      <c r="I148" s="2956"/>
      <c r="J148" s="2956"/>
      <c r="K148" s="2956"/>
      <c r="L148" s="2956"/>
      <c r="M148" s="2956"/>
      <c r="N148" s="2956"/>
      <c r="O148" s="1839"/>
      <c r="P148" s="1839"/>
      <c r="Q148" s="1840" t="s">
        <v>3687</v>
      </c>
      <c r="R148" s="1836" t="s">
        <v>3684</v>
      </c>
      <c r="S148" s="1840" t="s">
        <v>3701</v>
      </c>
      <c r="T148" s="1841" t="s">
        <v>3690</v>
      </c>
      <c r="U148" s="1837" t="s">
        <v>3693</v>
      </c>
      <c r="V148" s="1842"/>
      <c r="W148" s="1842"/>
      <c r="X148" s="1840" t="s">
        <v>3714</v>
      </c>
      <c r="Y148" s="1841" t="s">
        <v>3696</v>
      </c>
      <c r="Z148" s="1837" t="s">
        <v>3699</v>
      </c>
    </row>
    <row r="149" spans="1:26" ht="15" hidden="1" customHeight="1">
      <c r="A149" s="2955" t="str">
        <f>A4</f>
        <v>NAME OF THE SCHEME:-</v>
      </c>
      <c r="B149" s="2955"/>
      <c r="C149" s="2955"/>
      <c r="D149" s="2956">
        <f>D4</f>
        <v>0</v>
      </c>
      <c r="E149" s="2956"/>
      <c r="F149" s="2956"/>
      <c r="G149" s="2956"/>
      <c r="H149" s="2956"/>
      <c r="I149" s="2956"/>
      <c r="J149" s="2956"/>
      <c r="K149" s="2956"/>
      <c r="L149" s="2956"/>
      <c r="M149" s="2956"/>
      <c r="N149" s="2956"/>
      <c r="O149" s="1839"/>
      <c r="P149" s="1839"/>
    </row>
    <row r="150" spans="1:26" s="140" customFormat="1" ht="17.25" hidden="1" customHeight="1">
      <c r="A150" s="1843" t="s">
        <v>193</v>
      </c>
      <c r="B150" s="1844"/>
      <c r="C150" s="1845"/>
      <c r="D150" s="1846"/>
      <c r="E150" s="1845"/>
      <c r="F150" s="1845"/>
      <c r="G150" s="1846"/>
      <c r="H150" s="1846"/>
      <c r="I150" s="1846"/>
      <c r="J150" s="1847"/>
      <c r="K150" s="1846"/>
      <c r="L150" s="1848"/>
      <c r="M150" s="1849"/>
      <c r="N150" s="1849"/>
      <c r="O150" s="1850"/>
      <c r="P150" s="1850"/>
      <c r="Q150" s="1838"/>
      <c r="R150" s="2948" t="s">
        <v>194</v>
      </c>
      <c r="S150" s="2948"/>
      <c r="T150" s="2948" t="s">
        <v>195</v>
      </c>
      <c r="U150" s="2948"/>
      <c r="V150" s="2948" t="s">
        <v>196</v>
      </c>
      <c r="W150" s="2948"/>
      <c r="X150" s="1838"/>
    </row>
    <row r="151" spans="1:26" s="140" customFormat="1" ht="12.75" hidden="1" customHeight="1">
      <c r="A151" s="1851" t="s">
        <v>22</v>
      </c>
      <c r="B151" s="2949" t="s">
        <v>197</v>
      </c>
      <c r="C151" s="2950"/>
      <c r="D151" s="2951"/>
      <c r="E151" s="1853" t="s">
        <v>198</v>
      </c>
      <c r="F151" s="1854"/>
      <c r="G151" s="1855" t="s">
        <v>199</v>
      </c>
      <c r="H151" s="1772" t="s">
        <v>22</v>
      </c>
      <c r="I151" s="2952" t="s">
        <v>197</v>
      </c>
      <c r="J151" s="2953"/>
      <c r="K151" s="2954"/>
      <c r="L151" s="1853" t="s">
        <v>200</v>
      </c>
      <c r="M151" s="1855" t="s">
        <v>199</v>
      </c>
      <c r="N151" s="1856"/>
      <c r="O151" s="1741"/>
      <c r="P151" s="1741"/>
      <c r="Q151" s="1857" t="str">
        <f>I151</f>
        <v>Materials link with Analysis</v>
      </c>
      <c r="R151" s="1858" t="s">
        <v>199</v>
      </c>
      <c r="S151" s="1859" t="s">
        <v>199</v>
      </c>
      <c r="T151" s="1858" t="s">
        <v>199</v>
      </c>
      <c r="U151" s="1858" t="s">
        <v>199</v>
      </c>
      <c r="V151" s="1858" t="s">
        <v>199</v>
      </c>
      <c r="W151" s="1858" t="s">
        <v>199</v>
      </c>
      <c r="X151" s="1714"/>
    </row>
    <row r="152" spans="1:26" s="140" customFormat="1" ht="12.75" hidden="1" customHeight="1">
      <c r="A152" s="1860" t="s">
        <v>201</v>
      </c>
      <c r="B152" s="1861" t="s">
        <v>202</v>
      </c>
      <c r="C152" s="1861"/>
      <c r="D152" s="1862"/>
      <c r="E152" s="1862"/>
      <c r="F152" s="1862"/>
      <c r="G152" s="1860"/>
      <c r="H152" s="1811">
        <v>1</v>
      </c>
      <c r="I152" s="1863" t="str">
        <f>X152</f>
        <v>Sal bullah120mm dia</v>
      </c>
      <c r="J152" s="1861"/>
      <c r="K152" s="1864"/>
      <c r="L152" s="1787" t="s">
        <v>136</v>
      </c>
      <c r="M152" s="1865">
        <f>U152</f>
        <v>51.87</v>
      </c>
      <c r="N152" s="1866"/>
      <c r="O152" s="1741"/>
      <c r="P152" s="1741"/>
      <c r="Q152" s="1867" t="s">
        <v>203</v>
      </c>
      <c r="R152" s="1757"/>
      <c r="S152" s="1721">
        <f>'BASIC COST OF MATL'!J100</f>
        <v>92</v>
      </c>
      <c r="T152" s="1868"/>
      <c r="U152" s="1869">
        <f>'BASIC COST OF MATL'!K100</f>
        <v>51.87</v>
      </c>
      <c r="V152" s="1757"/>
      <c r="W152" s="1869">
        <v>94</v>
      </c>
      <c r="X152" s="1870" t="s">
        <v>204</v>
      </c>
      <c r="Y152" s="164" t="s">
        <v>205</v>
      </c>
    </row>
    <row r="153" spans="1:26" s="140" customFormat="1" ht="12.75" hidden="1" customHeight="1">
      <c r="A153" s="1811">
        <f t="shared" ref="A153:A158" si="43">H153-1</f>
        <v>2</v>
      </c>
      <c r="B153" s="1871" t="str">
        <f t="shared" ref="B153:B158" si="44">Q153</f>
        <v xml:space="preserve">Binding Wire </v>
      </c>
      <c r="C153" s="1871"/>
      <c r="D153" s="1871"/>
      <c r="E153" s="1787" t="s">
        <v>95</v>
      </c>
      <c r="F153" s="1787"/>
      <c r="G153" s="1872">
        <f>T153</f>
        <v>90.1</v>
      </c>
      <c r="H153" s="1811">
        <f t="shared" ref="H153:H158" si="45">H152+2</f>
        <v>3</v>
      </c>
      <c r="I153" s="1863" t="str">
        <f>X153</f>
        <v>Nonsal bullah 80mm dia</v>
      </c>
      <c r="J153" s="1873"/>
      <c r="K153" s="1864"/>
      <c r="L153" s="1787" t="s">
        <v>136</v>
      </c>
      <c r="M153" s="1865">
        <f t="shared" ref="M153:M196" si="46">U153</f>
        <v>30.81</v>
      </c>
      <c r="N153" s="1866"/>
      <c r="O153" s="1741"/>
      <c r="P153" s="1741"/>
      <c r="Q153" s="1870" t="s">
        <v>206</v>
      </c>
      <c r="R153" s="1723">
        <v>60</v>
      </c>
      <c r="S153" s="1721">
        <f>'BASIC COST OF MATL'!J108</f>
        <v>44</v>
      </c>
      <c r="T153" s="1874">
        <f>'BASIC COST OF MATL'!K188</f>
        <v>90.1</v>
      </c>
      <c r="U153" s="1869">
        <f>'BASIC COST OF MATL'!K108</f>
        <v>30.81</v>
      </c>
      <c r="V153" s="1723">
        <v>60</v>
      </c>
      <c r="W153" s="1869">
        <v>46</v>
      </c>
      <c r="X153" s="1870" t="s">
        <v>207</v>
      </c>
      <c r="Y153" s="164" t="s">
        <v>205</v>
      </c>
    </row>
    <row r="154" spans="1:26" s="140" customFormat="1" ht="12.75" hidden="1" customHeight="1">
      <c r="A154" s="1811">
        <f t="shared" si="43"/>
        <v>4</v>
      </c>
      <c r="B154" s="1871" t="str">
        <f t="shared" si="44"/>
        <v>Nnonsal planks / scanting</v>
      </c>
      <c r="C154" s="1861"/>
      <c r="D154" s="1873"/>
      <c r="E154" s="1787" t="s">
        <v>49</v>
      </c>
      <c r="F154" s="1787"/>
      <c r="G154" s="1872">
        <f>T154</f>
        <v>58374.79</v>
      </c>
      <c r="H154" s="1811">
        <f t="shared" si="45"/>
        <v>5</v>
      </c>
      <c r="I154" s="1863" t="str">
        <f>X154</f>
        <v>Nonsal bullah120mm dia</v>
      </c>
      <c r="J154" s="1873"/>
      <c r="K154" s="1864"/>
      <c r="L154" s="1787" t="s">
        <v>136</v>
      </c>
      <c r="M154" s="1865">
        <f t="shared" si="46"/>
        <v>41.81</v>
      </c>
      <c r="N154" s="1866"/>
      <c r="O154" s="1741"/>
      <c r="P154" s="1741"/>
      <c r="Q154" s="1870" t="s">
        <v>208</v>
      </c>
      <c r="R154" s="1747">
        <v>16800</v>
      </c>
      <c r="S154" s="1723">
        <v>66</v>
      </c>
      <c r="T154" s="1875">
        <f>'BASIC COST OF MATL'!K120</f>
        <v>58374.79</v>
      </c>
      <c r="U154" s="1723">
        <f>'BASIC COST OF MATL'!K110</f>
        <v>41.81</v>
      </c>
      <c r="V154" s="1747">
        <v>16600</v>
      </c>
      <c r="W154" s="1723">
        <v>71</v>
      </c>
      <c r="X154" s="1870" t="s">
        <v>209</v>
      </c>
      <c r="Y154" s="164" t="s">
        <v>205</v>
      </c>
    </row>
    <row r="155" spans="1:26" s="140" customFormat="1" ht="12.75" hidden="1" customHeight="1">
      <c r="A155" s="1811">
        <f t="shared" si="43"/>
        <v>6</v>
      </c>
      <c r="B155" s="1871" t="str">
        <f t="shared" si="44"/>
        <v>Piasal wood Planks</v>
      </c>
      <c r="C155" s="1876"/>
      <c r="D155" s="1877"/>
      <c r="E155" s="1787" t="s">
        <v>49</v>
      </c>
      <c r="F155" s="1787"/>
      <c r="G155" s="1872">
        <f>T155</f>
        <v>74369.67</v>
      </c>
      <c r="H155" s="1811">
        <f t="shared" si="45"/>
        <v>7</v>
      </c>
      <c r="I155" s="1863" t="str">
        <f>X155</f>
        <v>Teak wood Planks</v>
      </c>
      <c r="J155" s="1873"/>
      <c r="K155" s="1864"/>
      <c r="L155" s="1787" t="s">
        <v>49</v>
      </c>
      <c r="M155" s="1878">
        <f t="shared" si="46"/>
        <v>114414.94</v>
      </c>
      <c r="N155" s="1866"/>
      <c r="O155" s="1741"/>
      <c r="P155" s="1741"/>
      <c r="Q155" s="1870" t="s">
        <v>210</v>
      </c>
      <c r="R155" s="1747">
        <v>47192</v>
      </c>
      <c r="S155" s="1723">
        <v>62100</v>
      </c>
      <c r="T155" s="1875">
        <f>'BASIC COST OF MATL'!K118</f>
        <v>74369.67</v>
      </c>
      <c r="U155" s="1723">
        <f>'BASIC COST OF MATL'!K119</f>
        <v>114414.94</v>
      </c>
      <c r="V155" s="1747">
        <v>47740</v>
      </c>
      <c r="W155" s="1723">
        <v>67430</v>
      </c>
      <c r="X155" s="1870" t="s">
        <v>211</v>
      </c>
      <c r="Y155" s="164"/>
    </row>
    <row r="156" spans="1:26" s="140" customFormat="1" ht="12.75" hidden="1" customHeight="1">
      <c r="A156" s="1811">
        <f t="shared" si="43"/>
        <v>8</v>
      </c>
      <c r="B156" s="1871" t="str">
        <f t="shared" si="44"/>
        <v>Non Sal reepers</v>
      </c>
      <c r="C156" s="1876"/>
      <c r="D156" s="1877"/>
      <c r="E156" s="1787" t="s">
        <v>49</v>
      </c>
      <c r="F156" s="1787"/>
      <c r="G156" s="1872">
        <f>T156</f>
        <v>13268.45</v>
      </c>
      <c r="H156" s="1811">
        <f t="shared" si="45"/>
        <v>9</v>
      </c>
      <c r="I156" s="1863" t="str">
        <f>X156</f>
        <v>Fire wood</v>
      </c>
      <c r="J156" s="1873"/>
      <c r="K156" s="1864"/>
      <c r="L156" s="1787" t="s">
        <v>49</v>
      </c>
      <c r="M156" s="1865">
        <f>U156</f>
        <v>746.99</v>
      </c>
      <c r="N156" s="1866"/>
      <c r="O156" s="1741"/>
      <c r="P156" s="1741"/>
      <c r="Q156" s="1870" t="s">
        <v>212</v>
      </c>
      <c r="R156" s="1747">
        <v>10941</v>
      </c>
      <c r="S156" s="1723">
        <v>385</v>
      </c>
      <c r="T156" s="1875">
        <f>'BASIC COST OF MATL'!K121</f>
        <v>13268.45</v>
      </c>
      <c r="U156" s="1723">
        <f>'BASIC COST OF MATL'!K122</f>
        <v>746.99</v>
      </c>
      <c r="V156" s="1747">
        <v>12100</v>
      </c>
      <c r="W156" s="1723">
        <v>437</v>
      </c>
      <c r="X156" s="1870" t="s">
        <v>213</v>
      </c>
      <c r="Y156" s="164"/>
    </row>
    <row r="157" spans="1:26" s="140" customFormat="1" ht="12.75" hidden="1" customHeight="1">
      <c r="A157" s="1811">
        <f t="shared" si="43"/>
        <v>10</v>
      </c>
      <c r="B157" s="1871" t="str">
        <f t="shared" si="44"/>
        <v xml:space="preserve">Bentonite Powder </v>
      </c>
      <c r="C157" s="1877"/>
      <c r="D157" s="1877"/>
      <c r="E157" s="1787" t="s">
        <v>214</v>
      </c>
      <c r="F157" s="1787"/>
      <c r="G157" s="1872">
        <f t="shared" ref="G157:G197" si="47">T157</f>
        <v>168.935</v>
      </c>
      <c r="H157" s="1811">
        <f t="shared" si="45"/>
        <v>11</v>
      </c>
      <c r="I157" s="1863" t="s">
        <v>215</v>
      </c>
      <c r="J157" s="1873"/>
      <c r="K157" s="1864"/>
      <c r="L157" s="1787" t="s">
        <v>92</v>
      </c>
      <c r="M157" s="1865">
        <f t="shared" si="46"/>
        <v>317.5</v>
      </c>
      <c r="N157" s="1866"/>
      <c r="O157" s="1741"/>
      <c r="P157" s="1741"/>
      <c r="Q157" s="1870" t="s">
        <v>216</v>
      </c>
      <c r="R157" s="1721">
        <v>111.5</v>
      </c>
      <c r="S157" s="1721">
        <v>260</v>
      </c>
      <c r="T157" s="1879">
        <f>'BASIC COST OF MATL'!K206/2</f>
        <v>168.935</v>
      </c>
      <c r="U157" s="1721">
        <f>'BASIC COST OF MATL'!K175</f>
        <v>317.5</v>
      </c>
      <c r="V157" s="1721">
        <v>111.5</v>
      </c>
      <c r="W157" s="1721">
        <v>260</v>
      </c>
      <c r="X157" s="1870" t="s">
        <v>217</v>
      </c>
      <c r="Y157" s="164" t="s">
        <v>205</v>
      </c>
    </row>
    <row r="158" spans="1:26" s="140" customFormat="1" ht="12.75" hidden="1" customHeight="1">
      <c r="A158" s="1811">
        <f t="shared" si="43"/>
        <v>12</v>
      </c>
      <c r="B158" s="1871" t="str">
        <f t="shared" si="44"/>
        <v>AC sheet</v>
      </c>
      <c r="C158" s="1877"/>
      <c r="D158" s="1877"/>
      <c r="E158" s="1787" t="s">
        <v>92</v>
      </c>
      <c r="F158" s="1880"/>
      <c r="G158" s="1872">
        <f>T158</f>
        <v>209.1</v>
      </c>
      <c r="H158" s="1811">
        <f t="shared" si="45"/>
        <v>13</v>
      </c>
      <c r="I158" s="1863" t="s">
        <v>128</v>
      </c>
      <c r="J158" s="1873"/>
      <c r="K158" s="1864"/>
      <c r="L158" s="1787" t="s">
        <v>218</v>
      </c>
      <c r="M158" s="1865">
        <f>U158</f>
        <v>207.69</v>
      </c>
      <c r="N158" s="1866"/>
      <c r="O158" s="1741"/>
      <c r="P158" s="1741"/>
      <c r="Q158" s="1881" t="s">
        <v>219</v>
      </c>
      <c r="R158" s="1721"/>
      <c r="S158" s="1721">
        <v>171</v>
      </c>
      <c r="T158" s="1879">
        <f>'BASIC COST OF MATL'!K177</f>
        <v>209.1</v>
      </c>
      <c r="U158" s="1721">
        <f>'BASIC COST OF MATL'!K178</f>
        <v>207.69</v>
      </c>
      <c r="V158" s="1721"/>
      <c r="W158" s="1721">
        <v>171</v>
      </c>
      <c r="X158" s="1870" t="s">
        <v>128</v>
      </c>
      <c r="Y158" s="164"/>
    </row>
    <row r="159" spans="1:26" s="140" customFormat="1" ht="12.75" hidden="1" customHeight="1">
      <c r="A159" s="1882" t="s">
        <v>220</v>
      </c>
      <c r="B159" s="1861" t="s">
        <v>221</v>
      </c>
      <c r="C159" s="1861"/>
      <c r="D159" s="1862"/>
      <c r="E159" s="1862"/>
      <c r="F159" s="1862"/>
      <c r="G159" s="1872"/>
      <c r="H159" s="1811">
        <f>H158+1</f>
        <v>14</v>
      </c>
      <c r="I159" s="1883" t="s">
        <v>222</v>
      </c>
      <c r="J159" s="1854"/>
      <c r="K159" s="1853"/>
      <c r="L159" s="1787" t="s">
        <v>92</v>
      </c>
      <c r="M159" s="1865">
        <f t="shared" si="46"/>
        <v>254.75</v>
      </c>
      <c r="N159" s="1866"/>
      <c r="O159" s="1741"/>
      <c r="P159" s="1741"/>
      <c r="Q159" s="1867" t="s">
        <v>223</v>
      </c>
      <c r="R159" s="1757"/>
      <c r="S159" s="1721">
        <v>198</v>
      </c>
      <c r="T159" s="1868"/>
      <c r="U159" s="1721">
        <f>'BASIC COST OF MATL'!K158</f>
        <v>254.75</v>
      </c>
      <c r="V159" s="1757"/>
      <c r="W159" s="1721">
        <v>198</v>
      </c>
      <c r="X159" s="1884" t="s">
        <v>222</v>
      </c>
      <c r="Y159" s="164" t="s">
        <v>205</v>
      </c>
    </row>
    <row r="160" spans="1:26" s="140" customFormat="1" ht="12.75" hidden="1" customHeight="1">
      <c r="A160" s="1811">
        <f t="shared" ref="A160:A168" si="48">H160-1</f>
        <v>15</v>
      </c>
      <c r="B160" s="1885" t="s">
        <v>224</v>
      </c>
      <c r="C160" s="1886"/>
      <c r="D160" s="1886"/>
      <c r="E160" s="1787" t="s">
        <v>92</v>
      </c>
      <c r="F160" s="1787"/>
      <c r="G160" s="1872">
        <f t="shared" si="47"/>
        <v>677.95</v>
      </c>
      <c r="H160" s="1811">
        <f t="shared" ref="H160:H199" si="49">H159+2</f>
        <v>16</v>
      </c>
      <c r="I160" s="1883" t="s">
        <v>225</v>
      </c>
      <c r="J160" s="1854"/>
      <c r="K160" s="1853"/>
      <c r="L160" s="1787" t="s">
        <v>92</v>
      </c>
      <c r="M160" s="1865">
        <f t="shared" si="46"/>
        <v>500.2</v>
      </c>
      <c r="N160" s="1866"/>
      <c r="O160" s="1741"/>
      <c r="P160" s="1741"/>
      <c r="Q160" s="1884" t="s">
        <v>224</v>
      </c>
      <c r="R160" s="1721">
        <v>550</v>
      </c>
      <c r="S160" s="1721">
        <v>447</v>
      </c>
      <c r="T160" s="1879">
        <f>'BASIC COST OF MATL'!K135</f>
        <v>677.95</v>
      </c>
      <c r="U160" s="1721">
        <f>'BASIC COST OF MATL'!K139</f>
        <v>500.2</v>
      </c>
      <c r="V160" s="1721">
        <v>550</v>
      </c>
      <c r="W160" s="1721">
        <v>447</v>
      </c>
      <c r="X160" s="1884" t="s">
        <v>225</v>
      </c>
      <c r="Y160" s="164" t="s">
        <v>205</v>
      </c>
    </row>
    <row r="161" spans="1:25" s="140" customFormat="1" ht="12.75" hidden="1" customHeight="1">
      <c r="A161" s="1811">
        <f t="shared" si="48"/>
        <v>17</v>
      </c>
      <c r="B161" s="1885" t="str">
        <f>Q161</f>
        <v>Marble tile upto 0.10Sqm</v>
      </c>
      <c r="C161" s="1886"/>
      <c r="D161" s="1886"/>
      <c r="E161" s="1787" t="s">
        <v>92</v>
      </c>
      <c r="F161" s="1787"/>
      <c r="G161" s="1872">
        <f t="shared" si="47"/>
        <v>550.99</v>
      </c>
      <c r="H161" s="1811">
        <f t="shared" si="49"/>
        <v>18</v>
      </c>
      <c r="I161" s="1883" t="str">
        <f>X161</f>
        <v>Marble tle (0.4Sqm -1Sqm)</v>
      </c>
      <c r="J161" s="1854"/>
      <c r="K161" s="1853"/>
      <c r="L161" s="1787" t="s">
        <v>92</v>
      </c>
      <c r="M161" s="1865">
        <f t="shared" si="46"/>
        <v>766.45</v>
      </c>
      <c r="N161" s="1866"/>
      <c r="O161" s="1741"/>
      <c r="P161" s="1741"/>
      <c r="Q161" s="1884" t="s">
        <v>226</v>
      </c>
      <c r="R161" s="1721"/>
      <c r="S161" s="1721">
        <v>682</v>
      </c>
      <c r="T161" s="1879">
        <f>'BASIC COST OF MATL'!K134</f>
        <v>550.99</v>
      </c>
      <c r="U161" s="1721">
        <f>'BASIC COST OF MATL'!K136</f>
        <v>766.45</v>
      </c>
      <c r="V161" s="1721"/>
      <c r="W161" s="1721">
        <v>682</v>
      </c>
      <c r="X161" s="1884" t="s">
        <v>227</v>
      </c>
      <c r="Y161" s="164"/>
    </row>
    <row r="162" spans="1:25" s="140" customFormat="1" ht="12.75" hidden="1" customHeight="1">
      <c r="A162" s="1811">
        <f t="shared" si="48"/>
        <v>19</v>
      </c>
      <c r="B162" s="1887" t="s">
        <v>228</v>
      </c>
      <c r="C162" s="1854"/>
      <c r="D162" s="1854"/>
      <c r="E162" s="1787" t="s">
        <v>92</v>
      </c>
      <c r="F162" s="1787"/>
      <c r="G162" s="1872">
        <f t="shared" si="47"/>
        <v>440</v>
      </c>
      <c r="H162" s="1811">
        <f t="shared" si="49"/>
        <v>20</v>
      </c>
      <c r="I162" s="1883" t="s">
        <v>229</v>
      </c>
      <c r="J162" s="1854"/>
      <c r="K162" s="1853"/>
      <c r="L162" s="1787" t="s">
        <v>92</v>
      </c>
      <c r="M162" s="1865">
        <f t="shared" si="46"/>
        <v>405.2</v>
      </c>
      <c r="N162" s="1866"/>
      <c r="O162" s="1741"/>
      <c r="P162" s="1741"/>
      <c r="Q162" s="1884" t="s">
        <v>228</v>
      </c>
      <c r="R162" s="1721">
        <v>355</v>
      </c>
      <c r="S162" s="1721">
        <v>352</v>
      </c>
      <c r="T162" s="1879">
        <f>'BASIC COST OF MATL'!K153</f>
        <v>440</v>
      </c>
      <c r="U162" s="1721">
        <f>'BASIC COST OF MATL'!K151</f>
        <v>405.2</v>
      </c>
      <c r="V162" s="1721">
        <v>355</v>
      </c>
      <c r="W162" s="1721">
        <v>352</v>
      </c>
      <c r="X162" s="1884" t="s">
        <v>229</v>
      </c>
      <c r="Y162" s="164" t="s">
        <v>205</v>
      </c>
    </row>
    <row r="163" spans="1:25" s="140" customFormat="1" ht="12.75" hidden="1" customHeight="1">
      <c r="A163" s="1811">
        <f t="shared" si="48"/>
        <v>21</v>
      </c>
      <c r="B163" s="1888" t="str">
        <f t="shared" ref="B163:B169" si="50">Q163</f>
        <v>Vertified tile ( 600x 600)Printed</v>
      </c>
      <c r="C163" s="1852"/>
      <c r="D163" s="1852"/>
      <c r="E163" s="1787" t="s">
        <v>92</v>
      </c>
      <c r="F163" s="1787"/>
      <c r="G163" s="1872">
        <f t="shared" si="47"/>
        <v>695.76</v>
      </c>
      <c r="H163" s="1811">
        <f t="shared" si="49"/>
        <v>22</v>
      </c>
      <c r="I163" s="1883" t="str">
        <f t="shared" ref="I163:I169" si="51">X163</f>
        <v>Vertified industrial tile (300 x300)</v>
      </c>
      <c r="J163" s="1854"/>
      <c r="K163" s="1853"/>
      <c r="L163" s="1787" t="s">
        <v>92</v>
      </c>
      <c r="M163" s="1865">
        <f t="shared" si="46"/>
        <v>578.35</v>
      </c>
      <c r="N163" s="1866"/>
      <c r="O163" s="1741"/>
      <c r="P163" s="1741"/>
      <c r="Q163" s="1884" t="s">
        <v>230</v>
      </c>
      <c r="R163" s="1721">
        <v>600</v>
      </c>
      <c r="S163" s="1721">
        <v>550</v>
      </c>
      <c r="T163" s="1879">
        <f>'BASIC COST OF MATL'!K156</f>
        <v>695.76</v>
      </c>
      <c r="U163" s="1721">
        <f>'BASIC COST OF MATL'!K157</f>
        <v>578.35</v>
      </c>
      <c r="V163" s="1721">
        <v>600</v>
      </c>
      <c r="W163" s="1721">
        <v>550</v>
      </c>
      <c r="X163" s="1884" t="s">
        <v>231</v>
      </c>
      <c r="Y163" s="164" t="s">
        <v>205</v>
      </c>
    </row>
    <row r="164" spans="1:25" s="140" customFormat="1" ht="12.75" hidden="1" customHeight="1">
      <c r="A164" s="1811">
        <f t="shared" si="48"/>
        <v>23</v>
      </c>
      <c r="B164" s="1888" t="str">
        <f t="shared" si="50"/>
        <v>Granite Tile upto 0.10 Sqm</v>
      </c>
      <c r="C164" s="1852"/>
      <c r="D164" s="1852"/>
      <c r="E164" s="1787" t="s">
        <v>92</v>
      </c>
      <c r="F164" s="1787"/>
      <c r="G164" s="1872">
        <f t="shared" si="47"/>
        <v>1181.8499999999999</v>
      </c>
      <c r="H164" s="1811">
        <f t="shared" si="49"/>
        <v>24</v>
      </c>
      <c r="I164" s="1883" t="str">
        <f t="shared" si="51"/>
        <v>Granite tiles (0.10 Sqm-0.40Sqm)</v>
      </c>
      <c r="J164" s="1854"/>
      <c r="K164" s="1853"/>
      <c r="L164" s="1787" t="s">
        <v>92</v>
      </c>
      <c r="M164" s="1865">
        <f t="shared" si="46"/>
        <v>1328.07</v>
      </c>
      <c r="N164" s="1866"/>
      <c r="O164" s="1741"/>
      <c r="P164" s="1741"/>
      <c r="Q164" s="1884" t="s">
        <v>232</v>
      </c>
      <c r="R164" s="1721"/>
      <c r="S164" s="1721">
        <v>1210</v>
      </c>
      <c r="T164" s="1879">
        <f>'BASIC COST OF MATL'!K142</f>
        <v>1181.8499999999999</v>
      </c>
      <c r="U164" s="1721">
        <f>'BASIC COST OF MATL'!K144</f>
        <v>1328.07</v>
      </c>
      <c r="V164" s="1721"/>
      <c r="W164" s="1721">
        <v>1210</v>
      </c>
      <c r="X164" s="1884" t="s">
        <v>233</v>
      </c>
      <c r="Y164" s="164"/>
    </row>
    <row r="165" spans="1:25" s="140" customFormat="1" ht="12.75" hidden="1" customHeight="1">
      <c r="A165" s="1811">
        <f t="shared" si="48"/>
        <v>25</v>
      </c>
      <c r="B165" s="1888" t="str">
        <f t="shared" si="50"/>
        <v>Khondolite (upto 0.06Sqm)</v>
      </c>
      <c r="C165" s="1852"/>
      <c r="D165" s="1852"/>
      <c r="E165" s="1889" t="s">
        <v>92</v>
      </c>
      <c r="F165" s="1880"/>
      <c r="G165" s="1872">
        <f t="shared" si="47"/>
        <v>324.37</v>
      </c>
      <c r="H165" s="1811">
        <f t="shared" si="49"/>
        <v>26</v>
      </c>
      <c r="I165" s="1883" t="str">
        <f t="shared" si="51"/>
        <v>Kota tile upto (0.10Sqm)</v>
      </c>
      <c r="J165" s="1854"/>
      <c r="K165" s="1853"/>
      <c r="L165" s="1787" t="s">
        <v>92</v>
      </c>
      <c r="M165" s="1865">
        <f t="shared" si="46"/>
        <v>416.91</v>
      </c>
      <c r="N165" s="1866"/>
      <c r="O165" s="1741"/>
      <c r="P165" s="1741"/>
      <c r="Q165" s="1884" t="s">
        <v>234</v>
      </c>
      <c r="R165" s="1721"/>
      <c r="S165" s="1721">
        <v>366</v>
      </c>
      <c r="T165" s="1879">
        <f>'BASIC COST OF MATL'!K140</f>
        <v>324.37</v>
      </c>
      <c r="U165" s="1721">
        <f>'BASIC COST OF MATL'!K138</f>
        <v>416.91</v>
      </c>
      <c r="V165" s="1721"/>
      <c r="W165" s="1721">
        <v>366</v>
      </c>
      <c r="X165" s="1884" t="s">
        <v>235</v>
      </c>
      <c r="Y165" s="164"/>
    </row>
    <row r="166" spans="1:25" s="140" customFormat="1" ht="12.75" hidden="1" customHeight="1">
      <c r="A166" s="1811">
        <f t="shared" si="48"/>
        <v>27</v>
      </c>
      <c r="B166" s="1888" t="str">
        <f t="shared" si="50"/>
        <v>Vertified tile ( 600x 600)Plain</v>
      </c>
      <c r="C166" s="1852"/>
      <c r="D166" s="1852"/>
      <c r="E166" s="1889" t="s">
        <v>92</v>
      </c>
      <c r="F166" s="1880"/>
      <c r="G166" s="1872">
        <f t="shared" si="47"/>
        <v>651.08000000000004</v>
      </c>
      <c r="H166" s="1811">
        <f t="shared" si="49"/>
        <v>28</v>
      </c>
      <c r="I166" s="1883" t="str">
        <f t="shared" si="51"/>
        <v>Dholpuri stone tiles</v>
      </c>
      <c r="J166" s="1854"/>
      <c r="K166" s="1853"/>
      <c r="L166" s="1787" t="s">
        <v>92</v>
      </c>
      <c r="M166" s="1865">
        <f t="shared" si="46"/>
        <v>408.94</v>
      </c>
      <c r="N166" s="1866"/>
      <c r="O166" s="1741"/>
      <c r="P166" s="1741"/>
      <c r="Q166" s="1884" t="s">
        <v>236</v>
      </c>
      <c r="R166" s="1721"/>
      <c r="S166" s="1721">
        <v>363</v>
      </c>
      <c r="T166" s="1879">
        <f>'BASIC COST OF MATL'!K155</f>
        <v>651.08000000000004</v>
      </c>
      <c r="U166" s="1721">
        <f>'BASIC COST OF MATL'!K149</f>
        <v>408.94</v>
      </c>
      <c r="V166" s="1721"/>
      <c r="W166" s="1721">
        <v>363</v>
      </c>
      <c r="X166" s="1884" t="s">
        <v>237</v>
      </c>
      <c r="Y166" s="164"/>
    </row>
    <row r="167" spans="1:25" s="140" customFormat="1" ht="12.75" hidden="1" customHeight="1">
      <c r="A167" s="1811">
        <f t="shared" si="48"/>
        <v>29</v>
      </c>
      <c r="B167" s="1888" t="str">
        <f t="shared" si="50"/>
        <v>Nuria Tile (20cmx25cm)</v>
      </c>
      <c r="C167" s="1852"/>
      <c r="D167" s="1852"/>
      <c r="E167" s="1890" t="s">
        <v>68</v>
      </c>
      <c r="F167" s="1880"/>
      <c r="G167" s="1872">
        <f t="shared" si="47"/>
        <v>719.25</v>
      </c>
      <c r="H167" s="1811">
        <f t="shared" si="49"/>
        <v>30</v>
      </c>
      <c r="I167" s="1883" t="str">
        <f t="shared" si="51"/>
        <v>Kodapa tiles(0.1Sqm-0.4Sqm)</v>
      </c>
      <c r="J167" s="1854"/>
      <c r="K167" s="1853"/>
      <c r="L167" s="1787" t="s">
        <v>92</v>
      </c>
      <c r="M167" s="1865">
        <f t="shared" si="46"/>
        <v>310.43</v>
      </c>
      <c r="N167" s="1866"/>
      <c r="O167" s="1741"/>
      <c r="P167" s="1741"/>
      <c r="Q167" s="1884" t="s">
        <v>238</v>
      </c>
      <c r="R167" s="1721"/>
      <c r="S167" s="1721"/>
      <c r="T167" s="1879">
        <f>'BASIC COST OF MATL'!K130</f>
        <v>719.25</v>
      </c>
      <c r="U167" s="1721">
        <f>'BASIC COST OF MATL'!K147</f>
        <v>310.43</v>
      </c>
      <c r="V167" s="1721"/>
      <c r="W167" s="1721"/>
      <c r="X167" s="1884" t="s">
        <v>239</v>
      </c>
      <c r="Y167" s="164"/>
    </row>
    <row r="168" spans="1:25" s="140" customFormat="1" ht="12.75" hidden="1" customHeight="1">
      <c r="A168" s="1811">
        <f t="shared" si="48"/>
        <v>31</v>
      </c>
      <c r="B168" s="1888" t="str">
        <f t="shared" si="50"/>
        <v>Nuria Tile (25cmx30cm)</v>
      </c>
      <c r="C168" s="1852"/>
      <c r="D168" s="1852"/>
      <c r="E168" s="1890" t="s">
        <v>68</v>
      </c>
      <c r="F168" s="1880"/>
      <c r="G168" s="1872">
        <f t="shared" si="47"/>
        <v>912.84</v>
      </c>
      <c r="H168" s="1811">
        <f t="shared" si="49"/>
        <v>32</v>
      </c>
      <c r="I168" s="1883" t="str">
        <f t="shared" si="51"/>
        <v>Kodapa tiles(above 0.4Sqm)</v>
      </c>
      <c r="J168" s="1854"/>
      <c r="K168" s="1853"/>
      <c r="L168" s="1787" t="s">
        <v>92</v>
      </c>
      <c r="M168" s="1865">
        <f t="shared" si="46"/>
        <v>372.8</v>
      </c>
      <c r="N168" s="1866"/>
      <c r="O168" s="1741"/>
      <c r="P168" s="1741"/>
      <c r="Q168" s="1884" t="s">
        <v>240</v>
      </c>
      <c r="R168" s="1721"/>
      <c r="S168" s="1721"/>
      <c r="T168" s="1879">
        <f>'BASIC COST OF MATL'!K131</f>
        <v>912.84</v>
      </c>
      <c r="U168" s="1721">
        <f>'BASIC COST OF MATL'!K148</f>
        <v>372.8</v>
      </c>
      <c r="V168" s="1721"/>
      <c r="W168" s="1721"/>
      <c r="X168" s="1884" t="s">
        <v>241</v>
      </c>
      <c r="Y168" s="164"/>
    </row>
    <row r="169" spans="1:25" s="140" customFormat="1" ht="12.75" hidden="1" customHeight="1">
      <c r="A169" s="1811">
        <f>H169-1</f>
        <v>33</v>
      </c>
      <c r="B169" s="1888" t="str">
        <f t="shared" si="50"/>
        <v>Ridge Tiles</v>
      </c>
      <c r="C169" s="1852"/>
      <c r="D169" s="1852"/>
      <c r="E169" s="1890" t="s">
        <v>68</v>
      </c>
      <c r="F169" s="1880"/>
      <c r="G169" s="1872">
        <f t="shared" si="47"/>
        <v>1034.5899999999999</v>
      </c>
      <c r="H169" s="1811">
        <f t="shared" si="49"/>
        <v>34</v>
      </c>
      <c r="I169" s="1883" t="str">
        <f t="shared" si="51"/>
        <v>Terazoo Tiles (with White cement)</v>
      </c>
      <c r="J169" s="1854"/>
      <c r="K169" s="1853"/>
      <c r="L169" s="1787" t="s">
        <v>92</v>
      </c>
      <c r="M169" s="1865">
        <f t="shared" si="46"/>
        <v>308.95999999999998</v>
      </c>
      <c r="N169" s="1866"/>
      <c r="O169" s="1741"/>
      <c r="P169" s="1741"/>
      <c r="Q169" s="1884" t="s">
        <v>242</v>
      </c>
      <c r="R169" s="1721"/>
      <c r="S169" s="1721"/>
      <c r="T169" s="1879">
        <f>'BASIC COST OF MATL'!K132</f>
        <v>1034.5899999999999</v>
      </c>
      <c r="U169" s="1721">
        <f>'BASIC COST OF MATL'!K161</f>
        <v>308.95999999999998</v>
      </c>
      <c r="V169" s="1721"/>
      <c r="W169" s="1721"/>
      <c r="X169" s="1884" t="s">
        <v>243</v>
      </c>
      <c r="Y169" s="164"/>
    </row>
    <row r="170" spans="1:25" s="140" customFormat="1" ht="12.75" hidden="1" customHeight="1">
      <c r="A170" s="1882" t="s">
        <v>244</v>
      </c>
      <c r="B170" s="1861" t="s">
        <v>245</v>
      </c>
      <c r="C170" s="1861"/>
      <c r="D170" s="1861"/>
      <c r="E170" s="1890"/>
      <c r="F170" s="1862"/>
      <c r="G170" s="1872"/>
      <c r="H170" s="1811">
        <f>H169+1</f>
        <v>35</v>
      </c>
      <c r="I170" s="1863" t="s">
        <v>246</v>
      </c>
      <c r="J170" s="1854"/>
      <c r="K170" s="1853"/>
      <c r="L170" s="1787" t="s">
        <v>247</v>
      </c>
      <c r="M170" s="1865">
        <f t="shared" si="46"/>
        <v>5100</v>
      </c>
      <c r="N170" s="1866"/>
      <c r="O170" s="1741"/>
      <c r="P170" s="1741"/>
      <c r="Q170" s="1867" t="s">
        <v>248</v>
      </c>
      <c r="R170" s="1757"/>
      <c r="S170" s="1721">
        <v>5100</v>
      </c>
      <c r="T170" s="1868"/>
      <c r="U170" s="1891">
        <v>5100</v>
      </c>
      <c r="V170" s="1892"/>
      <c r="W170" s="1893">
        <v>5100</v>
      </c>
      <c r="X170" s="1870" t="s">
        <v>246</v>
      </c>
      <c r="Y170" s="164" t="s">
        <v>205</v>
      </c>
    </row>
    <row r="171" spans="1:25" s="140" customFormat="1" ht="12.75" hidden="1" customHeight="1">
      <c r="A171" s="1811">
        <f>H171-1</f>
        <v>36</v>
      </c>
      <c r="B171" s="1871" t="s">
        <v>249</v>
      </c>
      <c r="C171" s="1886"/>
      <c r="D171" s="1886"/>
      <c r="E171" s="1889" t="s">
        <v>49</v>
      </c>
      <c r="F171" s="1880"/>
      <c r="G171" s="1872">
        <f t="shared" si="47"/>
        <v>71150.5</v>
      </c>
      <c r="H171" s="1811">
        <f>H170+2</f>
        <v>37</v>
      </c>
      <c r="I171" s="1863" t="s">
        <v>250</v>
      </c>
      <c r="J171" s="1873"/>
      <c r="K171" s="1864"/>
      <c r="L171" s="1787" t="s">
        <v>49</v>
      </c>
      <c r="M171" s="1865">
        <f t="shared" si="46"/>
        <v>74369.67</v>
      </c>
      <c r="N171" s="1866"/>
      <c r="O171" s="1741"/>
      <c r="P171" s="1741"/>
      <c r="Q171" s="1870" t="s">
        <v>249</v>
      </c>
      <c r="R171" s="1747">
        <v>30200</v>
      </c>
      <c r="S171" s="1752">
        <v>47192</v>
      </c>
      <c r="T171" s="1875">
        <f>'BASIC COST OF MATL'!K115</f>
        <v>71150.5</v>
      </c>
      <c r="U171" s="1752">
        <f>'BASIC COST OF MATL'!K118</f>
        <v>74369.67</v>
      </c>
      <c r="V171" s="1747">
        <v>29600</v>
      </c>
      <c r="W171" s="1752">
        <v>47740</v>
      </c>
      <c r="X171" s="1870" t="s">
        <v>250</v>
      </c>
      <c r="Y171" s="164" t="s">
        <v>205</v>
      </c>
    </row>
    <row r="172" spans="1:25" s="140" customFormat="1" ht="12.75" hidden="1" customHeight="1">
      <c r="A172" s="1811">
        <f t="shared" ref="A172:A197" si="52">H172-1</f>
        <v>38</v>
      </c>
      <c r="B172" s="1873" t="s">
        <v>251</v>
      </c>
      <c r="C172" s="1886"/>
      <c r="D172" s="1886"/>
      <c r="E172" s="1889" t="s">
        <v>49</v>
      </c>
      <c r="F172" s="1880"/>
      <c r="G172" s="1872">
        <f>T172</f>
        <v>65533.5</v>
      </c>
      <c r="H172" s="1811">
        <f>H171+2</f>
        <v>39</v>
      </c>
      <c r="I172" s="1863" t="s">
        <v>252</v>
      </c>
      <c r="J172" s="1873"/>
      <c r="K172" s="1864"/>
      <c r="L172" s="1787" t="s">
        <v>49</v>
      </c>
      <c r="M172" s="1865">
        <f>U172</f>
        <v>63839</v>
      </c>
      <c r="N172" s="1866"/>
      <c r="O172" s="1741"/>
      <c r="P172" s="1741"/>
      <c r="Q172" s="1870" t="s">
        <v>251</v>
      </c>
      <c r="R172" s="1747"/>
      <c r="S172" s="1752"/>
      <c r="T172" s="1875">
        <f>'BASIC COST OF MATL'!K116</f>
        <v>65533.5</v>
      </c>
      <c r="U172" s="1752">
        <f>'BASIC COST OF MATL'!K117</f>
        <v>63839</v>
      </c>
      <c r="V172" s="1747"/>
      <c r="W172" s="1752"/>
      <c r="X172" s="1870" t="s">
        <v>252</v>
      </c>
      <c r="Y172" s="164"/>
    </row>
    <row r="173" spans="1:25" s="140" customFormat="1" ht="12.75" hidden="1" customHeight="1">
      <c r="A173" s="1811">
        <f>H173-1</f>
        <v>40</v>
      </c>
      <c r="B173" s="1873" t="s">
        <v>253</v>
      </c>
      <c r="C173" s="1873"/>
      <c r="D173" s="1873"/>
      <c r="E173" s="1787" t="s">
        <v>49</v>
      </c>
      <c r="F173" s="1787"/>
      <c r="G173" s="1872">
        <f t="shared" si="47"/>
        <v>1108</v>
      </c>
      <c r="H173" s="1811">
        <f>H172+2</f>
        <v>41</v>
      </c>
      <c r="I173" s="1863" t="s">
        <v>254</v>
      </c>
      <c r="J173" s="1873"/>
      <c r="K173" s="1864"/>
      <c r="L173" s="1787" t="s">
        <v>92</v>
      </c>
      <c r="M173" s="1865">
        <f t="shared" si="46"/>
        <v>5100</v>
      </c>
      <c r="N173" s="1866"/>
      <c r="O173" s="1741"/>
      <c r="P173" s="1741"/>
      <c r="Q173" s="1870" t="s">
        <v>253</v>
      </c>
      <c r="R173" s="1723">
        <v>1108</v>
      </c>
      <c r="S173" s="1721">
        <v>5100</v>
      </c>
      <c r="T173" s="1874">
        <v>1108</v>
      </c>
      <c r="U173" s="1891">
        <v>5100</v>
      </c>
      <c r="V173" s="1894">
        <v>1108</v>
      </c>
      <c r="W173" s="1893">
        <v>5100</v>
      </c>
      <c r="X173" s="1870" t="s">
        <v>254</v>
      </c>
      <c r="Y173" s="164" t="s">
        <v>205</v>
      </c>
    </row>
    <row r="174" spans="1:25" s="140" customFormat="1" ht="12.75" hidden="1" customHeight="1">
      <c r="A174" s="1811">
        <f t="shared" si="52"/>
        <v>42</v>
      </c>
      <c r="B174" s="1863" t="s">
        <v>255</v>
      </c>
      <c r="C174" s="1873"/>
      <c r="D174" s="1873"/>
      <c r="E174" s="1802" t="s">
        <v>136</v>
      </c>
      <c r="F174" s="1802"/>
      <c r="G174" s="1872">
        <f t="shared" si="47"/>
        <v>300</v>
      </c>
      <c r="H174" s="1811">
        <f t="shared" si="49"/>
        <v>43</v>
      </c>
      <c r="I174" s="1863" t="s">
        <v>256</v>
      </c>
      <c r="J174" s="1873"/>
      <c r="K174" s="1864"/>
      <c r="L174" s="1787" t="s">
        <v>92</v>
      </c>
      <c r="M174" s="1865">
        <f t="shared" si="46"/>
        <v>1900</v>
      </c>
      <c r="N174" s="1866"/>
      <c r="O174" s="1741"/>
      <c r="P174" s="1741"/>
      <c r="Q174" s="1870" t="s">
        <v>255</v>
      </c>
      <c r="R174" s="1723">
        <v>300</v>
      </c>
      <c r="S174" s="1723">
        <v>1900</v>
      </c>
      <c r="T174" s="1874">
        <v>300</v>
      </c>
      <c r="U174" s="1895">
        <v>1900</v>
      </c>
      <c r="V174" s="1894">
        <v>300</v>
      </c>
      <c r="W174" s="1894">
        <v>1900</v>
      </c>
      <c r="X174" s="1870" t="s">
        <v>256</v>
      </c>
      <c r="Y174" s="164" t="s">
        <v>205</v>
      </c>
    </row>
    <row r="175" spans="1:25" s="140" customFormat="1" ht="12.75" hidden="1" customHeight="1">
      <c r="A175" s="1811">
        <f t="shared" si="52"/>
        <v>44</v>
      </c>
      <c r="B175" s="1863" t="s">
        <v>257</v>
      </c>
      <c r="C175" s="1861"/>
      <c r="D175" s="1873"/>
      <c r="E175" s="1787" t="s">
        <v>92</v>
      </c>
      <c r="F175" s="1787"/>
      <c r="G175" s="1872">
        <f t="shared" si="47"/>
        <v>710.82</v>
      </c>
      <c r="H175" s="1811">
        <f t="shared" si="49"/>
        <v>45</v>
      </c>
      <c r="I175" s="1863" t="s">
        <v>258</v>
      </c>
      <c r="J175" s="1873"/>
      <c r="K175" s="1864"/>
      <c r="L175" s="1787" t="s">
        <v>92</v>
      </c>
      <c r="M175" s="1865">
        <f t="shared" si="46"/>
        <v>705.01</v>
      </c>
      <c r="N175" s="1866"/>
      <c r="O175" s="1741"/>
      <c r="P175" s="1741"/>
      <c r="Q175" s="1870" t="s">
        <v>257</v>
      </c>
      <c r="R175" s="1721">
        <v>563</v>
      </c>
      <c r="S175" s="1721">
        <v>590</v>
      </c>
      <c r="T175" s="1879">
        <f>'BASIC COST OF MATL'!K337</f>
        <v>710.82</v>
      </c>
      <c r="U175" s="1721">
        <f>'BASIC COST OF MATL'!K324</f>
        <v>705.01</v>
      </c>
      <c r="V175" s="1721">
        <v>563</v>
      </c>
      <c r="W175" s="1721">
        <v>590</v>
      </c>
      <c r="X175" s="1870" t="s">
        <v>258</v>
      </c>
      <c r="Y175" s="164" t="s">
        <v>205</v>
      </c>
    </row>
    <row r="176" spans="1:25" s="140" customFormat="1" ht="12.75" hidden="1" customHeight="1">
      <c r="A176" s="1811">
        <f t="shared" si="52"/>
        <v>46</v>
      </c>
      <c r="B176" s="1863" t="s">
        <v>259</v>
      </c>
      <c r="C176" s="1873"/>
      <c r="D176" s="1873"/>
      <c r="E176" s="1787" t="s">
        <v>37</v>
      </c>
      <c r="F176" s="1787"/>
      <c r="G176" s="1872">
        <f t="shared" si="47"/>
        <v>7</v>
      </c>
      <c r="H176" s="1811">
        <f t="shared" si="49"/>
        <v>47</v>
      </c>
      <c r="I176" s="1863" t="s">
        <v>260</v>
      </c>
      <c r="J176" s="1873"/>
      <c r="K176" s="1864"/>
      <c r="L176" s="1787" t="s">
        <v>38</v>
      </c>
      <c r="M176" s="1865">
        <f t="shared" si="46"/>
        <v>25</v>
      </c>
      <c r="N176" s="1866"/>
      <c r="O176" s="1741"/>
      <c r="P176" s="1741"/>
      <c r="Q176" s="1870" t="s">
        <v>259</v>
      </c>
      <c r="R176" s="1721">
        <v>7</v>
      </c>
      <c r="S176" s="1721">
        <v>25</v>
      </c>
      <c r="T176" s="1896">
        <v>7</v>
      </c>
      <c r="U176" s="1897">
        <v>25</v>
      </c>
      <c r="V176" s="1893">
        <v>7</v>
      </c>
      <c r="W176" s="1898">
        <v>25</v>
      </c>
      <c r="X176" s="1870" t="s">
        <v>260</v>
      </c>
      <c r="Y176" s="164" t="s">
        <v>205</v>
      </c>
    </row>
    <row r="177" spans="1:28" s="140" customFormat="1" ht="12.75" hidden="1" customHeight="1">
      <c r="A177" s="1811">
        <f t="shared" si="52"/>
        <v>48</v>
      </c>
      <c r="B177" s="1863" t="s">
        <v>261</v>
      </c>
      <c r="C177" s="1873"/>
      <c r="D177" s="1873"/>
      <c r="E177" s="1802" t="s">
        <v>262</v>
      </c>
      <c r="F177" s="1802"/>
      <c r="G177" s="1872">
        <f t="shared" si="47"/>
        <v>2</v>
      </c>
      <c r="H177" s="1811">
        <f t="shared" si="49"/>
        <v>49</v>
      </c>
      <c r="I177" s="1863" t="s">
        <v>263</v>
      </c>
      <c r="J177" s="1873"/>
      <c r="K177" s="1864"/>
      <c r="L177" s="1787" t="s">
        <v>38</v>
      </c>
      <c r="M177" s="1865">
        <f t="shared" si="46"/>
        <v>40</v>
      </c>
      <c r="N177" s="1866"/>
      <c r="O177" s="1741"/>
      <c r="P177" s="1741"/>
      <c r="Q177" s="1870" t="s">
        <v>261</v>
      </c>
      <c r="R177" s="1723">
        <v>2</v>
      </c>
      <c r="S177" s="1721">
        <v>40</v>
      </c>
      <c r="T177" s="1831">
        <v>2</v>
      </c>
      <c r="U177" s="1897">
        <v>40</v>
      </c>
      <c r="V177" s="1723">
        <v>2</v>
      </c>
      <c r="W177" s="1721">
        <v>40</v>
      </c>
      <c r="X177" s="1870" t="s">
        <v>263</v>
      </c>
      <c r="Y177" s="164" t="s">
        <v>205</v>
      </c>
    </row>
    <row r="178" spans="1:28" s="140" customFormat="1" ht="12.75" hidden="1" customHeight="1">
      <c r="A178" s="1811">
        <f>H178-1</f>
        <v>50</v>
      </c>
      <c r="B178" s="1863" t="s">
        <v>264</v>
      </c>
      <c r="C178" s="1873"/>
      <c r="D178" s="1873"/>
      <c r="E178" s="1787" t="s">
        <v>37</v>
      </c>
      <c r="F178" s="1787"/>
      <c r="G178" s="1872">
        <f t="shared" si="47"/>
        <v>0.875</v>
      </c>
      <c r="H178" s="1811">
        <f t="shared" si="49"/>
        <v>51</v>
      </c>
      <c r="I178" s="1863" t="s">
        <v>265</v>
      </c>
      <c r="J178" s="1873"/>
      <c r="K178" s="1864"/>
      <c r="L178" s="1787" t="s">
        <v>38</v>
      </c>
      <c r="M178" s="1865">
        <f t="shared" si="46"/>
        <v>40</v>
      </c>
      <c r="N178" s="1866"/>
      <c r="O178" s="1741"/>
      <c r="P178" s="1741"/>
      <c r="Q178" s="1870" t="s">
        <v>264</v>
      </c>
      <c r="R178" s="1721">
        <v>0.64</v>
      </c>
      <c r="S178" s="1721">
        <v>40</v>
      </c>
      <c r="T178" s="1896">
        <f>'BASIC COST OF MATL'!K238/100</f>
        <v>0.875</v>
      </c>
      <c r="U178" s="1897">
        <v>40</v>
      </c>
      <c r="V178" s="1721">
        <v>0.64</v>
      </c>
      <c r="W178" s="1721">
        <v>40</v>
      </c>
      <c r="X178" s="1870" t="s">
        <v>265</v>
      </c>
      <c r="Y178" s="164" t="s">
        <v>205</v>
      </c>
      <c r="AB178" s="1709"/>
    </row>
    <row r="179" spans="1:28" s="140" customFormat="1" ht="12.75" hidden="1" customHeight="1">
      <c r="A179" s="1811">
        <f t="shared" si="52"/>
        <v>52</v>
      </c>
      <c r="B179" s="1863" t="s">
        <v>266</v>
      </c>
      <c r="C179" s="1861"/>
      <c r="D179" s="1873"/>
      <c r="E179" s="1787" t="s">
        <v>37</v>
      </c>
      <c r="F179" s="1787"/>
      <c r="G179" s="1872">
        <f t="shared" si="47"/>
        <v>39</v>
      </c>
      <c r="H179" s="1811">
        <f t="shared" si="49"/>
        <v>53</v>
      </c>
      <c r="I179" s="1863" t="s">
        <v>267</v>
      </c>
      <c r="J179" s="1873"/>
      <c r="K179" s="1864"/>
      <c r="L179" s="1787" t="s">
        <v>38</v>
      </c>
      <c r="M179" s="1865">
        <f t="shared" si="46"/>
        <v>122</v>
      </c>
      <c r="N179" s="1866"/>
      <c r="O179" s="1741"/>
      <c r="P179" s="1741"/>
      <c r="Q179" s="1870" t="s">
        <v>266</v>
      </c>
      <c r="R179" s="1721">
        <v>39</v>
      </c>
      <c r="S179" s="1721">
        <v>122</v>
      </c>
      <c r="T179" s="1896">
        <v>39</v>
      </c>
      <c r="U179" s="1897">
        <v>122</v>
      </c>
      <c r="V179" s="1721">
        <v>39</v>
      </c>
      <c r="W179" s="1721">
        <v>122</v>
      </c>
      <c r="X179" s="1870" t="s">
        <v>267</v>
      </c>
      <c r="Y179" s="164" t="s">
        <v>205</v>
      </c>
      <c r="AB179" s="1709"/>
    </row>
    <row r="180" spans="1:28" s="140" customFormat="1" ht="12.75" hidden="1" customHeight="1">
      <c r="A180" s="1811">
        <f t="shared" si="52"/>
        <v>54</v>
      </c>
      <c r="B180" s="1863" t="s">
        <v>268</v>
      </c>
      <c r="C180" s="1861"/>
      <c r="D180" s="1873"/>
      <c r="E180" s="1787" t="s">
        <v>136</v>
      </c>
      <c r="F180" s="1787"/>
      <c r="G180" s="1872">
        <f t="shared" si="47"/>
        <v>7</v>
      </c>
      <c r="H180" s="1811">
        <f t="shared" si="49"/>
        <v>55</v>
      </c>
      <c r="I180" s="1863" t="s">
        <v>258</v>
      </c>
      <c r="J180" s="1873"/>
      <c r="K180" s="1864"/>
      <c r="L180" s="1787" t="s">
        <v>92</v>
      </c>
      <c r="M180" s="1865">
        <f t="shared" si="46"/>
        <v>608.4</v>
      </c>
      <c r="N180" s="1866"/>
      <c r="O180" s="1741"/>
      <c r="P180" s="1741"/>
      <c r="Q180" s="1870" t="s">
        <v>268</v>
      </c>
      <c r="R180" s="1721">
        <v>7</v>
      </c>
      <c r="S180" s="1721">
        <v>490</v>
      </c>
      <c r="T180" s="1896">
        <v>7</v>
      </c>
      <c r="U180" s="1721">
        <f>'BASIC COST OF MATL'!K323</f>
        <v>608.4</v>
      </c>
      <c r="V180" s="1721">
        <v>7</v>
      </c>
      <c r="W180" s="1721">
        <v>490</v>
      </c>
      <c r="X180" s="1870" t="s">
        <v>269</v>
      </c>
      <c r="Y180" s="164" t="s">
        <v>205</v>
      </c>
      <c r="AB180" s="1709"/>
    </row>
    <row r="181" spans="1:28" s="140" customFormat="1" ht="12.75" hidden="1" customHeight="1">
      <c r="A181" s="1811">
        <f t="shared" si="52"/>
        <v>56</v>
      </c>
      <c r="B181" s="1863" t="s">
        <v>270</v>
      </c>
      <c r="C181" s="1861"/>
      <c r="D181" s="1873"/>
      <c r="E181" s="1787" t="s">
        <v>38</v>
      </c>
      <c r="F181" s="1787"/>
      <c r="G181" s="1872">
        <f t="shared" si="47"/>
        <v>25</v>
      </c>
      <c r="H181" s="1811">
        <f t="shared" si="49"/>
        <v>57</v>
      </c>
      <c r="I181" s="1863" t="s">
        <v>271</v>
      </c>
      <c r="J181" s="1873"/>
      <c r="K181" s="1864"/>
      <c r="L181" s="1802" t="s">
        <v>262</v>
      </c>
      <c r="M181" s="1865">
        <f t="shared" si="46"/>
        <v>55.67</v>
      </c>
      <c r="N181" s="1866"/>
      <c r="O181" s="1741"/>
      <c r="P181" s="1741"/>
      <c r="Q181" s="1870" t="s">
        <v>270</v>
      </c>
      <c r="R181" s="1721">
        <v>25</v>
      </c>
      <c r="S181" s="1723">
        <v>45</v>
      </c>
      <c r="T181" s="1896">
        <v>25</v>
      </c>
      <c r="U181" s="1723">
        <f>'BASIC COST OF MATL'!K258</f>
        <v>55.67</v>
      </c>
      <c r="V181" s="1721">
        <v>25</v>
      </c>
      <c r="W181" s="1723">
        <v>45</v>
      </c>
      <c r="X181" s="1870" t="s">
        <v>271</v>
      </c>
      <c r="Y181" s="164" t="s">
        <v>205</v>
      </c>
      <c r="AB181" s="1709"/>
    </row>
    <row r="182" spans="1:28" s="140" customFormat="1" ht="12.75" hidden="1" customHeight="1">
      <c r="A182" s="1811">
        <f t="shared" si="52"/>
        <v>58</v>
      </c>
      <c r="B182" s="1863" t="s">
        <v>272</v>
      </c>
      <c r="C182" s="1861"/>
      <c r="D182" s="1873"/>
      <c r="E182" s="1787" t="s">
        <v>38</v>
      </c>
      <c r="F182" s="1787"/>
      <c r="G182" s="1872">
        <f t="shared" si="47"/>
        <v>62.5</v>
      </c>
      <c r="H182" s="1811">
        <f t="shared" si="49"/>
        <v>59</v>
      </c>
      <c r="I182" s="1863" t="s">
        <v>273</v>
      </c>
      <c r="J182" s="1873"/>
      <c r="K182" s="1864"/>
      <c r="L182" s="1802" t="s">
        <v>262</v>
      </c>
      <c r="M182" s="1865">
        <f t="shared" si="46"/>
        <v>31.31</v>
      </c>
      <c r="N182" s="1866"/>
      <c r="O182" s="1741"/>
      <c r="P182" s="1741"/>
      <c r="Q182" s="1870" t="s">
        <v>272</v>
      </c>
      <c r="R182" s="1721">
        <v>62.5</v>
      </c>
      <c r="S182" s="1723">
        <v>25</v>
      </c>
      <c r="T182" s="1896">
        <v>62.5</v>
      </c>
      <c r="U182" s="1723">
        <f>'BASIC COST OF MATL'!K264</f>
        <v>31.31</v>
      </c>
      <c r="V182" s="1721">
        <v>62.5</v>
      </c>
      <c r="W182" s="1723">
        <v>25</v>
      </c>
      <c r="X182" s="1870" t="s">
        <v>273</v>
      </c>
      <c r="Y182" s="164" t="s">
        <v>205</v>
      </c>
      <c r="AB182" s="1705"/>
    </row>
    <row r="183" spans="1:28" s="140" customFormat="1" ht="12.75" hidden="1" customHeight="1">
      <c r="A183" s="1811">
        <f t="shared" si="52"/>
        <v>60</v>
      </c>
      <c r="B183" s="1863" t="s">
        <v>274</v>
      </c>
      <c r="C183" s="1861"/>
      <c r="D183" s="1873"/>
      <c r="E183" s="1787" t="s">
        <v>38</v>
      </c>
      <c r="F183" s="1787"/>
      <c r="G183" s="1872">
        <f t="shared" si="47"/>
        <v>400</v>
      </c>
      <c r="H183" s="1811">
        <f t="shared" si="49"/>
        <v>61</v>
      </c>
      <c r="I183" s="1863" t="s">
        <v>275</v>
      </c>
      <c r="J183" s="1873"/>
      <c r="K183" s="1864"/>
      <c r="L183" s="1802" t="s">
        <v>262</v>
      </c>
      <c r="M183" s="1865">
        <f>U183</f>
        <v>54.26</v>
      </c>
      <c r="N183" s="1866"/>
      <c r="O183" s="1741"/>
      <c r="P183" s="1741"/>
      <c r="Q183" s="1870" t="s">
        <v>274</v>
      </c>
      <c r="R183" s="1721">
        <v>400</v>
      </c>
      <c r="S183" s="1723">
        <v>42</v>
      </c>
      <c r="T183" s="1896">
        <v>400</v>
      </c>
      <c r="U183" s="1723">
        <f>'BASIC COST OF MATL'!K270</f>
        <v>54.26</v>
      </c>
      <c r="V183" s="1721">
        <v>400</v>
      </c>
      <c r="W183" s="1723">
        <v>42</v>
      </c>
      <c r="X183" s="1870" t="s">
        <v>275</v>
      </c>
      <c r="Y183" s="164" t="s">
        <v>205</v>
      </c>
      <c r="AB183" s="1705"/>
    </row>
    <row r="184" spans="1:28" s="140" customFormat="1" ht="12.75" hidden="1" customHeight="1">
      <c r="A184" s="1811">
        <f t="shared" si="52"/>
        <v>62</v>
      </c>
      <c r="B184" s="1863" t="s">
        <v>276</v>
      </c>
      <c r="C184" s="1861"/>
      <c r="D184" s="1873"/>
      <c r="E184" s="1787" t="s">
        <v>38</v>
      </c>
      <c r="F184" s="1787"/>
      <c r="G184" s="1872">
        <f t="shared" si="47"/>
        <v>600</v>
      </c>
      <c r="H184" s="1811">
        <f t="shared" si="49"/>
        <v>63</v>
      </c>
      <c r="I184" s="1863" t="s">
        <v>277</v>
      </c>
      <c r="J184" s="1873"/>
      <c r="K184" s="1864"/>
      <c r="L184" s="1802" t="s">
        <v>262</v>
      </c>
      <c r="M184" s="1865">
        <f t="shared" si="46"/>
        <v>223.68</v>
      </c>
      <c r="N184" s="1866"/>
      <c r="O184" s="1741"/>
      <c r="P184" s="1741"/>
      <c r="Q184" s="1870" t="s">
        <v>276</v>
      </c>
      <c r="R184" s="1721">
        <v>600</v>
      </c>
      <c r="S184" s="1723">
        <v>190</v>
      </c>
      <c r="T184" s="1896">
        <v>600</v>
      </c>
      <c r="U184" s="1723">
        <f>'BASIC COST OF MATL'!K274</f>
        <v>223.68</v>
      </c>
      <c r="V184" s="1721">
        <v>600</v>
      </c>
      <c r="W184" s="1723">
        <v>190</v>
      </c>
      <c r="X184" s="1870" t="s">
        <v>277</v>
      </c>
      <c r="Y184" s="164" t="s">
        <v>205</v>
      </c>
      <c r="AB184" s="1705"/>
    </row>
    <row r="185" spans="1:28" s="140" customFormat="1" ht="12.75" hidden="1" customHeight="1">
      <c r="A185" s="1811">
        <f t="shared" si="52"/>
        <v>64</v>
      </c>
      <c r="B185" s="1863" t="s">
        <v>278</v>
      </c>
      <c r="C185" s="1873"/>
      <c r="D185" s="1873"/>
      <c r="E185" s="1787" t="s">
        <v>92</v>
      </c>
      <c r="F185" s="1787"/>
      <c r="G185" s="1872">
        <f t="shared" si="47"/>
        <v>843.5</v>
      </c>
      <c r="H185" s="1811">
        <f t="shared" si="49"/>
        <v>65</v>
      </c>
      <c r="I185" s="1863" t="s">
        <v>279</v>
      </c>
      <c r="J185" s="1873"/>
      <c r="K185" s="1864"/>
      <c r="L185" s="1802" t="s">
        <v>262</v>
      </c>
      <c r="M185" s="1865">
        <f t="shared" si="46"/>
        <v>0.44</v>
      </c>
      <c r="N185" s="1866"/>
      <c r="O185" s="1741"/>
      <c r="P185" s="1741"/>
      <c r="Q185" s="1870" t="s">
        <v>278</v>
      </c>
      <c r="R185" s="1721">
        <v>630</v>
      </c>
      <c r="S185" s="1723">
        <v>0.4</v>
      </c>
      <c r="T185" s="1896">
        <f>'BASIC COST OF MATL'!K325</f>
        <v>843.5</v>
      </c>
      <c r="U185" s="1895">
        <v>0.44</v>
      </c>
      <c r="V185" s="1721">
        <v>630</v>
      </c>
      <c r="W185" s="1723">
        <v>0.4</v>
      </c>
      <c r="X185" s="1870" t="s">
        <v>279</v>
      </c>
      <c r="Y185" s="164" t="s">
        <v>205</v>
      </c>
      <c r="AB185" s="1705"/>
    </row>
    <row r="186" spans="1:28" s="140" customFormat="1" ht="12.75" hidden="1" customHeight="1">
      <c r="A186" s="1811">
        <f t="shared" si="52"/>
        <v>66</v>
      </c>
      <c r="B186" s="1863" t="s">
        <v>280</v>
      </c>
      <c r="C186" s="1873"/>
      <c r="D186" s="1873"/>
      <c r="E186" s="1787" t="s">
        <v>95</v>
      </c>
      <c r="F186" s="1787"/>
      <c r="G186" s="1872">
        <f t="shared" si="47"/>
        <v>297.97000000000003</v>
      </c>
      <c r="H186" s="1811">
        <f t="shared" si="49"/>
        <v>67</v>
      </c>
      <c r="I186" s="1863" t="s">
        <v>281</v>
      </c>
      <c r="J186" s="1873"/>
      <c r="K186" s="1864"/>
      <c r="L186" s="1787" t="s">
        <v>37</v>
      </c>
      <c r="M186" s="1865">
        <f t="shared" si="46"/>
        <v>1.5</v>
      </c>
      <c r="N186" s="1866"/>
      <c r="O186" s="1741"/>
      <c r="P186" s="1741"/>
      <c r="Q186" s="1870" t="s">
        <v>280</v>
      </c>
      <c r="R186" s="1721">
        <v>205</v>
      </c>
      <c r="S186" s="1721">
        <v>1.5</v>
      </c>
      <c r="T186" s="1896">
        <f>'BASIC COST OF MATL'!K366</f>
        <v>297.97000000000003</v>
      </c>
      <c r="U186" s="1897">
        <v>1.5</v>
      </c>
      <c r="V186" s="1721">
        <v>205</v>
      </c>
      <c r="W186" s="1721">
        <v>1.5</v>
      </c>
      <c r="X186" s="1870" t="s">
        <v>281</v>
      </c>
      <c r="Y186" s="164" t="s">
        <v>205</v>
      </c>
      <c r="AB186" s="1705"/>
    </row>
    <row r="187" spans="1:28" s="140" customFormat="1" ht="12.75" hidden="1" customHeight="1">
      <c r="A187" s="1811">
        <f t="shared" si="52"/>
        <v>68</v>
      </c>
      <c r="B187" s="1863" t="s">
        <v>282</v>
      </c>
      <c r="C187" s="1873"/>
      <c r="D187" s="1873"/>
      <c r="E187" s="1787" t="s">
        <v>37</v>
      </c>
      <c r="F187" s="1787"/>
      <c r="G187" s="1872">
        <f t="shared" si="47"/>
        <v>5.5</v>
      </c>
      <c r="H187" s="1811">
        <f t="shared" si="49"/>
        <v>69</v>
      </c>
      <c r="I187" s="1863" t="s">
        <v>264</v>
      </c>
      <c r="J187" s="1873"/>
      <c r="K187" s="1864"/>
      <c r="L187" s="1787" t="s">
        <v>37</v>
      </c>
      <c r="M187" s="1865">
        <f t="shared" si="46"/>
        <v>0.875</v>
      </c>
      <c r="N187" s="1866"/>
      <c r="O187" s="1741"/>
      <c r="P187" s="1741"/>
      <c r="Q187" s="1870" t="s">
        <v>282</v>
      </c>
      <c r="R187" s="1721">
        <v>5.5</v>
      </c>
      <c r="S187" s="1721">
        <v>0.64</v>
      </c>
      <c r="T187" s="1896">
        <v>5.5</v>
      </c>
      <c r="U187" s="1723">
        <f>'BASIC COST OF MATL'!K238/100</f>
        <v>0.875</v>
      </c>
      <c r="V187" s="1721">
        <v>5.5</v>
      </c>
      <c r="W187" s="1721">
        <v>0.64</v>
      </c>
      <c r="X187" s="1870" t="s">
        <v>264</v>
      </c>
      <c r="Y187" s="164" t="s">
        <v>205</v>
      </c>
      <c r="AB187" s="1705"/>
    </row>
    <row r="188" spans="1:28" s="140" customFormat="1" ht="12.75" hidden="1" customHeight="1">
      <c r="A188" s="1811">
        <f t="shared" si="52"/>
        <v>70</v>
      </c>
      <c r="B188" s="1863" t="s">
        <v>283</v>
      </c>
      <c r="C188" s="1873"/>
      <c r="D188" s="1873"/>
      <c r="E188" s="1787" t="s">
        <v>284</v>
      </c>
      <c r="F188" s="1787"/>
      <c r="G188" s="1872">
        <f t="shared" si="47"/>
        <v>60</v>
      </c>
      <c r="H188" s="1811">
        <f t="shared" si="49"/>
        <v>71</v>
      </c>
      <c r="I188" s="1863" t="s">
        <v>285</v>
      </c>
      <c r="J188" s="1873"/>
      <c r="K188" s="1864"/>
      <c r="L188" s="1787" t="s">
        <v>95</v>
      </c>
      <c r="M188" s="1865">
        <f t="shared" si="46"/>
        <v>240.24</v>
      </c>
      <c r="N188" s="1866"/>
      <c r="O188" s="1741"/>
      <c r="P188" s="1741"/>
      <c r="Q188" s="1870" t="s">
        <v>283</v>
      </c>
      <c r="R188" s="1721">
        <v>40</v>
      </c>
      <c r="S188" s="1721">
        <v>240.24</v>
      </c>
      <c r="T188" s="1896">
        <v>60</v>
      </c>
      <c r="U188" s="1897">
        <v>240.24</v>
      </c>
      <c r="V188" s="1721">
        <v>40</v>
      </c>
      <c r="W188" s="1721">
        <v>240.24</v>
      </c>
      <c r="X188" s="1870" t="s">
        <v>285</v>
      </c>
      <c r="Y188" s="164" t="s">
        <v>205</v>
      </c>
      <c r="AB188" s="1705"/>
    </row>
    <row r="189" spans="1:28" s="140" customFormat="1" ht="12.75" hidden="1" customHeight="1">
      <c r="A189" s="1811">
        <f>H189-1</f>
        <v>72</v>
      </c>
      <c r="B189" s="1899" t="s">
        <v>286</v>
      </c>
      <c r="C189" s="1877"/>
      <c r="D189" s="1877"/>
      <c r="E189" s="1787" t="s">
        <v>37</v>
      </c>
      <c r="F189" s="1787"/>
      <c r="G189" s="1872">
        <f t="shared" si="47"/>
        <v>0.6</v>
      </c>
      <c r="H189" s="1811">
        <f t="shared" si="49"/>
        <v>73</v>
      </c>
      <c r="I189" s="1863" t="s">
        <v>287</v>
      </c>
      <c r="J189" s="1873"/>
      <c r="K189" s="1864"/>
      <c r="L189" s="1787" t="s">
        <v>95</v>
      </c>
      <c r="M189" s="1865">
        <f t="shared" si="46"/>
        <v>256.62</v>
      </c>
      <c r="N189" s="1866"/>
      <c r="O189" s="1741"/>
      <c r="P189" s="1741"/>
      <c r="Q189" s="1870" t="s">
        <v>286</v>
      </c>
      <c r="R189" s="1721">
        <v>0.6</v>
      </c>
      <c r="S189" s="1721">
        <v>256.62</v>
      </c>
      <c r="T189" s="1896">
        <v>0.6</v>
      </c>
      <c r="U189" s="1897">
        <v>256.62</v>
      </c>
      <c r="V189" s="1721">
        <v>0.6</v>
      </c>
      <c r="W189" s="1721">
        <v>256.62</v>
      </c>
      <c r="X189" s="1870" t="s">
        <v>287</v>
      </c>
      <c r="Y189" s="164" t="s">
        <v>205</v>
      </c>
      <c r="AB189" s="1705"/>
    </row>
    <row r="190" spans="1:28" s="140" customFormat="1" ht="12.75" hidden="1" customHeight="1">
      <c r="A190" s="1811">
        <f>A189+2</f>
        <v>74</v>
      </c>
      <c r="B190" s="1899" t="str">
        <f>Q190</f>
        <v>12.5mm thick gypsum board</v>
      </c>
      <c r="C190" s="1877"/>
      <c r="D190" s="1877"/>
      <c r="E190" s="1787" t="s">
        <v>288</v>
      </c>
      <c r="F190" s="1787"/>
      <c r="G190" s="1872">
        <f>T190</f>
        <v>398</v>
      </c>
      <c r="H190" s="1811">
        <f t="shared" si="49"/>
        <v>75</v>
      </c>
      <c r="I190" s="1863" t="s">
        <v>289</v>
      </c>
      <c r="J190" s="1873"/>
      <c r="K190" s="1864"/>
      <c r="L190" s="1787" t="s">
        <v>37</v>
      </c>
      <c r="M190" s="1865">
        <v>2.38</v>
      </c>
      <c r="N190" s="1866"/>
      <c r="O190" s="1741"/>
      <c r="P190" s="1741"/>
      <c r="Q190" s="1870" t="s">
        <v>290</v>
      </c>
      <c r="R190" s="1721"/>
      <c r="S190" s="1721"/>
      <c r="T190" s="1896">
        <f>'BASIC COST OF MATL'!K403</f>
        <v>398</v>
      </c>
      <c r="U190" s="1897"/>
      <c r="V190" s="1721"/>
      <c r="W190" s="1721"/>
      <c r="X190" s="1870"/>
      <c r="Y190" s="164"/>
      <c r="AB190" s="1705"/>
    </row>
    <row r="191" spans="1:28" s="140" customFormat="1" ht="12.75" hidden="1" customHeight="1">
      <c r="A191" s="1882" t="s">
        <v>291</v>
      </c>
      <c r="B191" s="1900" t="s">
        <v>292</v>
      </c>
      <c r="C191" s="1861"/>
      <c r="D191" s="1862"/>
      <c r="E191" s="1862"/>
      <c r="F191" s="1862"/>
      <c r="G191" s="1872"/>
      <c r="H191" s="1811">
        <f>H190+1</f>
        <v>76</v>
      </c>
      <c r="I191" s="1863" t="s">
        <v>293</v>
      </c>
      <c r="J191" s="1873"/>
      <c r="K191" s="1864"/>
      <c r="L191" s="1787" t="s">
        <v>294</v>
      </c>
      <c r="M191" s="1865">
        <f t="shared" si="46"/>
        <v>159.03</v>
      </c>
      <c r="N191" s="1866"/>
      <c r="O191" s="1741"/>
      <c r="P191" s="1741"/>
      <c r="Q191" s="1867" t="s">
        <v>295</v>
      </c>
      <c r="R191" s="1757"/>
      <c r="S191" s="1721">
        <v>116</v>
      </c>
      <c r="T191" s="1868"/>
      <c r="U191" s="1901">
        <f>'BASIC COST OF MATL'!K302</f>
        <v>159.03</v>
      </c>
      <c r="V191" s="1757"/>
      <c r="W191" s="1721">
        <v>116</v>
      </c>
      <c r="X191" s="1870" t="s">
        <v>293</v>
      </c>
      <c r="Y191" s="164" t="s">
        <v>205</v>
      </c>
      <c r="AB191" s="1705"/>
    </row>
    <row r="192" spans="1:28" s="140" customFormat="1" ht="12.75" hidden="1" customHeight="1">
      <c r="A192" s="1811">
        <f t="shared" si="52"/>
        <v>76</v>
      </c>
      <c r="B192" s="1902" t="s">
        <v>296</v>
      </c>
      <c r="C192" s="1871"/>
      <c r="D192" s="1871"/>
      <c r="E192" s="1787" t="s">
        <v>284</v>
      </c>
      <c r="F192" s="1787"/>
      <c r="G192" s="1872">
        <f t="shared" si="47"/>
        <v>47.83</v>
      </c>
      <c r="H192" s="1811">
        <f>H191+1</f>
        <v>77</v>
      </c>
      <c r="I192" s="1863" t="s">
        <v>297</v>
      </c>
      <c r="J192" s="1873"/>
      <c r="K192" s="1864"/>
      <c r="L192" s="1787" t="s">
        <v>95</v>
      </c>
      <c r="M192" s="1865">
        <f t="shared" si="46"/>
        <v>40</v>
      </c>
      <c r="N192" s="1866"/>
      <c r="O192" s="1741"/>
      <c r="P192" s="1741"/>
      <c r="Q192" s="1870" t="s">
        <v>296</v>
      </c>
      <c r="R192" s="1721">
        <v>35</v>
      </c>
      <c r="S192" s="1721">
        <v>30</v>
      </c>
      <c r="T192" s="1879">
        <f>'BASIC COST OF MATL'!K168</f>
        <v>47.83</v>
      </c>
      <c r="U192" s="1903">
        <v>40</v>
      </c>
      <c r="V192" s="1721">
        <v>35</v>
      </c>
      <c r="W192" s="1721">
        <v>30</v>
      </c>
      <c r="X192" s="1870" t="s">
        <v>297</v>
      </c>
      <c r="Y192" s="164" t="s">
        <v>205</v>
      </c>
      <c r="AB192" s="1705"/>
    </row>
    <row r="193" spans="1:28" s="140" customFormat="1" ht="12.75" hidden="1" customHeight="1">
      <c r="A193" s="1811">
        <f t="shared" si="52"/>
        <v>78</v>
      </c>
      <c r="B193" s="1863" t="s">
        <v>298</v>
      </c>
      <c r="C193" s="1873"/>
      <c r="D193" s="1873"/>
      <c r="E193" s="1787" t="s">
        <v>294</v>
      </c>
      <c r="F193" s="1787"/>
      <c r="G193" s="1872">
        <f t="shared" si="47"/>
        <v>194.79</v>
      </c>
      <c r="H193" s="1811">
        <f t="shared" si="49"/>
        <v>79</v>
      </c>
      <c r="I193" s="1863" t="s">
        <v>126</v>
      </c>
      <c r="J193" s="1873"/>
      <c r="K193" s="1864"/>
      <c r="L193" s="1787" t="s">
        <v>95</v>
      </c>
      <c r="M193" s="1865">
        <f t="shared" si="46"/>
        <v>24.19</v>
      </c>
      <c r="N193" s="1866"/>
      <c r="O193" s="1741"/>
      <c r="P193" s="1741"/>
      <c r="Q193" s="1870" t="s">
        <v>298</v>
      </c>
      <c r="R193" s="1721">
        <v>150</v>
      </c>
      <c r="S193" s="1721">
        <v>14</v>
      </c>
      <c r="T193" s="1879">
        <f>'BASIC COST OF MATL'!K304</f>
        <v>194.79</v>
      </c>
      <c r="U193" s="1904">
        <f>'BASIC COST OF MATL'!K38</f>
        <v>24.19</v>
      </c>
      <c r="V193" s="1721">
        <v>150</v>
      </c>
      <c r="W193" s="1721">
        <v>14</v>
      </c>
      <c r="X193" s="1870" t="s">
        <v>126</v>
      </c>
      <c r="Y193" s="164" t="s">
        <v>205</v>
      </c>
      <c r="AB193" s="1705"/>
    </row>
    <row r="194" spans="1:28" s="140" customFormat="1" ht="12.75" hidden="1" customHeight="1">
      <c r="A194" s="1811">
        <f t="shared" si="52"/>
        <v>80</v>
      </c>
      <c r="B194" s="1863" t="s">
        <v>299</v>
      </c>
      <c r="C194" s="1873"/>
      <c r="D194" s="1873"/>
      <c r="E194" s="1787" t="s">
        <v>294</v>
      </c>
      <c r="F194" s="1787"/>
      <c r="G194" s="1872">
        <f t="shared" si="47"/>
        <v>249.34</v>
      </c>
      <c r="H194" s="1811">
        <f t="shared" si="49"/>
        <v>81</v>
      </c>
      <c r="I194" s="1863" t="s">
        <v>300</v>
      </c>
      <c r="J194" s="1873"/>
      <c r="K194" s="1864"/>
      <c r="L194" s="1787" t="s">
        <v>95</v>
      </c>
      <c r="M194" s="1865">
        <f t="shared" si="46"/>
        <v>142.69999999999999</v>
      </c>
      <c r="N194" s="1866"/>
      <c r="O194" s="1741"/>
      <c r="P194" s="1741"/>
      <c r="Q194" s="1870" t="s">
        <v>299</v>
      </c>
      <c r="R194" s="1721">
        <v>188</v>
      </c>
      <c r="S194" s="1721">
        <v>98</v>
      </c>
      <c r="T194" s="1879">
        <f>'BASIC COST OF MATL'!K165</f>
        <v>249.34</v>
      </c>
      <c r="U194" s="1904">
        <f>'BASIC COST OF MATL'!K162</f>
        <v>142.69999999999999</v>
      </c>
      <c r="V194" s="1721">
        <v>188</v>
      </c>
      <c r="W194" s="1721">
        <v>98</v>
      </c>
      <c r="X194" s="1870" t="s">
        <v>300</v>
      </c>
      <c r="Y194" s="164" t="s">
        <v>205</v>
      </c>
      <c r="AB194" s="1705"/>
    </row>
    <row r="195" spans="1:28" s="140" customFormat="1" ht="12.75" hidden="1" customHeight="1">
      <c r="A195" s="1811">
        <f t="shared" si="52"/>
        <v>82</v>
      </c>
      <c r="B195" s="1863" t="s">
        <v>112</v>
      </c>
      <c r="C195" s="1873"/>
      <c r="D195" s="1873"/>
      <c r="E195" s="1787" t="s">
        <v>284</v>
      </c>
      <c r="F195" s="1787"/>
      <c r="G195" s="1872">
        <f t="shared" si="47"/>
        <v>70.099999999999994</v>
      </c>
      <c r="H195" s="1811">
        <f t="shared" si="49"/>
        <v>83</v>
      </c>
      <c r="I195" s="1863" t="s">
        <v>122</v>
      </c>
      <c r="J195" s="1873"/>
      <c r="K195" s="1864"/>
      <c r="L195" s="1787" t="s">
        <v>95</v>
      </c>
      <c r="M195" s="1865">
        <f t="shared" si="46"/>
        <v>155.08000000000001</v>
      </c>
      <c r="N195" s="1866"/>
      <c r="O195" s="1741"/>
      <c r="P195" s="1741"/>
      <c r="Q195" s="1870" t="s">
        <v>112</v>
      </c>
      <c r="R195" s="1721">
        <v>50</v>
      </c>
      <c r="S195" s="1721">
        <v>110</v>
      </c>
      <c r="T195" s="1879">
        <f>'BASIC COST OF MATL'!K167</f>
        <v>70.099999999999994</v>
      </c>
      <c r="U195" s="1904">
        <f>'BASIC COST OF MATL'!K163</f>
        <v>155.08000000000001</v>
      </c>
      <c r="V195" s="1721">
        <v>50</v>
      </c>
      <c r="W195" s="1721">
        <v>110</v>
      </c>
      <c r="X195" s="1870" t="s">
        <v>122</v>
      </c>
      <c r="Y195" s="164" t="s">
        <v>205</v>
      </c>
      <c r="AB195" s="1705"/>
    </row>
    <row r="196" spans="1:28" s="140" customFormat="1" ht="12.75" hidden="1" customHeight="1">
      <c r="A196" s="1811">
        <f t="shared" si="52"/>
        <v>84</v>
      </c>
      <c r="B196" s="1863" t="s">
        <v>114</v>
      </c>
      <c r="C196" s="1873"/>
      <c r="D196" s="1873"/>
      <c r="E196" s="1787" t="s">
        <v>294</v>
      </c>
      <c r="F196" s="1787"/>
      <c r="G196" s="1872">
        <f>T196</f>
        <v>250.34</v>
      </c>
      <c r="H196" s="1811">
        <f t="shared" si="49"/>
        <v>85</v>
      </c>
      <c r="I196" s="1863" t="s">
        <v>301</v>
      </c>
      <c r="J196" s="1873"/>
      <c r="K196" s="1864"/>
      <c r="L196" s="1787" t="s">
        <v>3768</v>
      </c>
      <c r="M196" s="1865">
        <f t="shared" si="46"/>
        <v>30</v>
      </c>
      <c r="N196" s="1866"/>
      <c r="O196" s="1741"/>
      <c r="P196" s="1741"/>
      <c r="Q196" s="1870" t="s">
        <v>114</v>
      </c>
      <c r="R196" s="1721">
        <v>145</v>
      </c>
      <c r="S196" s="1721">
        <v>30</v>
      </c>
      <c r="T196" s="1879">
        <f>'BASIC COST OF MATL'!K166</f>
        <v>250.34</v>
      </c>
      <c r="U196" s="1903">
        <v>30</v>
      </c>
      <c r="V196" s="1721">
        <v>145</v>
      </c>
      <c r="W196" s="1721">
        <v>30</v>
      </c>
      <c r="X196" s="1870" t="s">
        <v>301</v>
      </c>
      <c r="Y196" s="164" t="s">
        <v>205</v>
      </c>
      <c r="AB196" s="1705"/>
    </row>
    <row r="197" spans="1:28" s="140" customFormat="1" ht="12.75" hidden="1" customHeight="1">
      <c r="A197" s="1811">
        <f t="shared" si="52"/>
        <v>86</v>
      </c>
      <c r="B197" s="1863" t="s">
        <v>302</v>
      </c>
      <c r="C197" s="1873"/>
      <c r="D197" s="1873"/>
      <c r="E197" s="1787" t="s">
        <v>92</v>
      </c>
      <c r="F197" s="1787"/>
      <c r="G197" s="1872">
        <f t="shared" si="47"/>
        <v>437.36</v>
      </c>
      <c r="H197" s="1811">
        <f t="shared" si="49"/>
        <v>87</v>
      </c>
      <c r="I197" s="1863" t="s">
        <v>303</v>
      </c>
      <c r="J197" s="1873"/>
      <c r="K197" s="1864"/>
      <c r="L197" s="1787" t="s">
        <v>95</v>
      </c>
      <c r="M197" s="1865">
        <f>U197</f>
        <v>217.4</v>
      </c>
      <c r="N197" s="1866"/>
      <c r="O197" s="1741"/>
      <c r="P197" s="1741"/>
      <c r="Q197" s="1870" t="s">
        <v>302</v>
      </c>
      <c r="R197" s="1721">
        <v>305</v>
      </c>
      <c r="S197" s="1721">
        <v>20</v>
      </c>
      <c r="T197" s="1879">
        <f>'BASIC COST OF MATL'!K313</f>
        <v>437.36</v>
      </c>
      <c r="U197" s="1901">
        <f>'BASIC COST OF MATL'!K305</f>
        <v>217.4</v>
      </c>
      <c r="V197" s="1721">
        <v>305</v>
      </c>
      <c r="W197" s="1721">
        <v>20</v>
      </c>
      <c r="X197" s="1870" t="s">
        <v>303</v>
      </c>
      <c r="Y197" s="164" t="s">
        <v>205</v>
      </c>
      <c r="AB197" s="1705"/>
    </row>
    <row r="198" spans="1:28" s="140" customFormat="1" ht="12.75" hidden="1" customHeight="1">
      <c r="A198" s="1811">
        <f>H198-1</f>
        <v>88</v>
      </c>
      <c r="B198" s="1863" t="s">
        <v>304</v>
      </c>
      <c r="C198" s="1873"/>
      <c r="D198" s="1873"/>
      <c r="E198" s="1787" t="s">
        <v>305</v>
      </c>
      <c r="F198" s="1787"/>
      <c r="G198" s="1872">
        <f>T198</f>
        <v>49.21</v>
      </c>
      <c r="H198" s="1811">
        <f t="shared" si="49"/>
        <v>89</v>
      </c>
      <c r="I198" s="1863" t="s">
        <v>124</v>
      </c>
      <c r="J198" s="1873"/>
      <c r="K198" s="1864"/>
      <c r="L198" s="1787" t="s">
        <v>247</v>
      </c>
      <c r="M198" s="1865">
        <f>U198</f>
        <v>2017.18</v>
      </c>
      <c r="N198" s="1866"/>
      <c r="O198" s="1905"/>
      <c r="P198" s="1905"/>
      <c r="Q198" s="1906" t="s">
        <v>304</v>
      </c>
      <c r="R198" s="1737"/>
      <c r="S198" s="1737"/>
      <c r="T198" s="1907">
        <f>'BASIC COST OF MATL'!K173</f>
        <v>49.21</v>
      </c>
      <c r="U198" s="1908">
        <f>'BASIC COST OF MATL'!K201</f>
        <v>2017.18</v>
      </c>
      <c r="V198" s="1728"/>
      <c r="W198" s="1728"/>
      <c r="X198" s="1881" t="s">
        <v>124</v>
      </c>
      <c r="Y198" s="164"/>
      <c r="AB198" s="1705"/>
    </row>
    <row r="199" spans="1:28" s="140" customFormat="1" ht="12.75" hidden="1" customHeight="1">
      <c r="A199" s="1811">
        <f>A198+2</f>
        <v>90</v>
      </c>
      <c r="B199" s="1863" t="s">
        <v>118</v>
      </c>
      <c r="C199" s="1873"/>
      <c r="D199" s="1873"/>
      <c r="E199" s="1787" t="s">
        <v>305</v>
      </c>
      <c r="F199" s="1787"/>
      <c r="G199" s="1872">
        <f>T199</f>
        <v>17.23</v>
      </c>
      <c r="H199" s="1811">
        <f t="shared" si="49"/>
        <v>91</v>
      </c>
      <c r="I199" s="1863" t="str">
        <f>X199</f>
        <v>Varnish</v>
      </c>
      <c r="J199" s="1873"/>
      <c r="K199" s="1864"/>
      <c r="L199" s="1787" t="s">
        <v>95</v>
      </c>
      <c r="M199" s="1865">
        <f>U199</f>
        <v>169.85</v>
      </c>
      <c r="N199" s="1866"/>
      <c r="O199" s="1905"/>
      <c r="P199" s="1905"/>
      <c r="Q199" s="1714" t="s">
        <v>118</v>
      </c>
      <c r="R199" s="1721"/>
      <c r="S199" s="1721"/>
      <c r="T199" s="1879">
        <f>'BASIC COST OF MATL'!K172</f>
        <v>17.23</v>
      </c>
      <c r="U199" s="1901">
        <f>'BASIC COST OF MATL'!K171</f>
        <v>169.85</v>
      </c>
      <c r="V199" s="1721"/>
      <c r="W199" s="1721"/>
      <c r="X199" s="1714" t="s">
        <v>306</v>
      </c>
      <c r="Y199" s="164"/>
      <c r="AB199" s="1705"/>
    </row>
    <row r="200" spans="1:28" s="140" customFormat="1" ht="12.75" hidden="1" customHeight="1">
      <c r="A200" s="1811">
        <f>A199+2</f>
        <v>92</v>
      </c>
      <c r="B200" s="1863" t="str">
        <f>Q200</f>
        <v>Alluminium Paint</v>
      </c>
      <c r="C200" s="1873"/>
      <c r="D200" s="1873"/>
      <c r="E200" s="1787"/>
      <c r="F200" s="1787"/>
      <c r="G200" s="1872">
        <f>T200</f>
        <v>167.09</v>
      </c>
      <c r="H200" s="1811"/>
      <c r="I200" s="1863"/>
      <c r="J200" s="1873"/>
      <c r="K200" s="1864"/>
      <c r="L200" s="1787"/>
      <c r="M200" s="1865"/>
      <c r="N200" s="1866"/>
      <c r="O200" s="1905"/>
      <c r="P200" s="1905"/>
      <c r="Q200" s="1714" t="s">
        <v>307</v>
      </c>
      <c r="R200" s="1721"/>
      <c r="S200" s="1721"/>
      <c r="T200" s="1879">
        <f>'BASIC COST OF MATL'!K303</f>
        <v>167.09</v>
      </c>
      <c r="U200" s="1901"/>
      <c r="V200" s="1721"/>
      <c r="W200" s="1721"/>
      <c r="X200" s="1714"/>
      <c r="Y200" s="164"/>
      <c r="AB200" s="1705"/>
    </row>
    <row r="201" spans="1:28" s="140" customFormat="1" ht="12.75" hidden="1" customHeight="1">
      <c r="A201" s="1882" t="s">
        <v>308</v>
      </c>
      <c r="B201" s="1900" t="s">
        <v>3708</v>
      </c>
      <c r="C201" s="1861"/>
      <c r="D201" s="1862"/>
      <c r="E201" s="1862"/>
      <c r="F201" s="1862"/>
      <c r="G201" s="1872"/>
      <c r="H201" s="1811"/>
      <c r="I201" s="1863"/>
      <c r="J201" s="1873"/>
      <c r="K201" s="1864"/>
      <c r="L201" s="1787"/>
      <c r="M201" s="1865"/>
      <c r="N201" s="1866"/>
      <c r="O201" s="1741"/>
      <c r="P201" s="1741"/>
      <c r="Q201" s="1867"/>
      <c r="R201" s="1757"/>
      <c r="S201" s="1721"/>
      <c r="T201" s="1868"/>
      <c r="U201" s="1901"/>
      <c r="V201" s="1757"/>
      <c r="W201" s="1721"/>
      <c r="X201" s="1870"/>
      <c r="Y201" s="164" t="s">
        <v>205</v>
      </c>
      <c r="AB201" s="1705"/>
    </row>
    <row r="202" spans="1:28" s="140" customFormat="1" ht="12.75" hidden="1" customHeight="1">
      <c r="A202" s="1772" t="s">
        <v>413</v>
      </c>
      <c r="B202" s="1909" t="str">
        <f>'BASIC COST OF MATL'!B335</f>
        <v>Prelaminated particle board (Novapan tandard type ) (ISI)</v>
      </c>
      <c r="C202" s="1871"/>
      <c r="D202" s="1871"/>
      <c r="E202" s="1787"/>
      <c r="F202" s="1787"/>
      <c r="G202" s="1872"/>
      <c r="H202" s="1811"/>
      <c r="I202" s="1900" t="str">
        <f>'BASIC COST OF MATL'!B311</f>
        <v>Glass plain (ISI)</v>
      </c>
      <c r="J202" s="1873"/>
      <c r="K202" s="1864"/>
      <c r="L202" s="1787"/>
      <c r="M202" s="1865"/>
      <c r="N202" s="1866"/>
      <c r="O202" s="1741"/>
      <c r="P202" s="1741"/>
      <c r="Q202" s="1870"/>
      <c r="R202" s="1721"/>
      <c r="S202" s="1721"/>
      <c r="T202" s="1879"/>
      <c r="U202" s="1903"/>
      <c r="V202" s="1721"/>
      <c r="W202" s="1721"/>
      <c r="X202" s="1870"/>
      <c r="Y202" s="164" t="s">
        <v>205</v>
      </c>
      <c r="AB202" s="1705"/>
    </row>
    <row r="203" spans="1:28" s="140" customFormat="1" ht="12.75" hidden="1" customHeight="1">
      <c r="A203" s="1772"/>
      <c r="B203" s="1863" t="str">
        <f>'BASIC COST OF MATL'!B336</f>
        <v>9 mm</v>
      </c>
      <c r="C203" s="1873"/>
      <c r="D203" s="1873"/>
      <c r="E203" s="1787" t="str">
        <f>'BASIC COST OF MATL'!C336</f>
        <v>Sqm</v>
      </c>
      <c r="F203" s="1787">
        <v>18</v>
      </c>
      <c r="G203" s="1872">
        <f>'BASIC COST OF MATL'!K336</f>
        <v>634.45000000000005</v>
      </c>
      <c r="H203" s="1811">
        <f>G203+ROUND(G203*F203%,2)</f>
        <v>748.65000000000009</v>
      </c>
      <c r="I203" s="1863" t="str">
        <f>'BASIC COST OF MATL'!B312</f>
        <v>3 mm</v>
      </c>
      <c r="J203" s="1873"/>
      <c r="K203" s="1864"/>
      <c r="L203" s="1787" t="str">
        <f>'BASIC COST OF MATL'!C312</f>
        <v>Sqm</v>
      </c>
      <c r="M203" s="1865">
        <f>'BASIC COST OF MATL'!K312</f>
        <v>362</v>
      </c>
      <c r="N203" s="1801">
        <f>M203+ROUND(M203*O203%,2)</f>
        <v>463.36</v>
      </c>
      <c r="O203" s="1741">
        <v>28</v>
      </c>
      <c r="P203" s="1741"/>
      <c r="Q203" s="1870"/>
      <c r="R203" s="1721"/>
      <c r="S203" s="1721"/>
      <c r="T203" s="1879"/>
      <c r="U203" s="1904"/>
      <c r="V203" s="1721"/>
      <c r="W203" s="1721"/>
      <c r="X203" s="1870"/>
      <c r="Y203" s="164" t="s">
        <v>205</v>
      </c>
      <c r="AB203" s="1705"/>
    </row>
    <row r="204" spans="1:28" s="140" customFormat="1" ht="12.75" hidden="1" customHeight="1">
      <c r="A204" s="1772"/>
      <c r="B204" s="1863" t="str">
        <f>'BASIC COST OF MATL'!B337</f>
        <v>12 mm</v>
      </c>
      <c r="C204" s="1873"/>
      <c r="D204" s="1873"/>
      <c r="E204" s="1787" t="str">
        <f>'BASIC COST OF MATL'!C337</f>
        <v>Sqm</v>
      </c>
      <c r="F204" s="1787">
        <v>18</v>
      </c>
      <c r="G204" s="1872">
        <f>'BASIC COST OF MATL'!K337</f>
        <v>710.82</v>
      </c>
      <c r="H204" s="1811">
        <f t="shared" ref="H204:H206" si="53">G204+ROUND(G204*F204%,2)</f>
        <v>838.7700000000001</v>
      </c>
      <c r="I204" s="1863" t="str">
        <f>'BASIC COST OF MATL'!B313</f>
        <v>4 mm</v>
      </c>
      <c r="J204" s="1873"/>
      <c r="K204" s="1864"/>
      <c r="L204" s="1787" t="str">
        <f>'BASIC COST OF MATL'!C313</f>
        <v>Sqm</v>
      </c>
      <c r="M204" s="1865">
        <f>'BASIC COST OF MATL'!K313</f>
        <v>437.36</v>
      </c>
      <c r="N204" s="1801">
        <f t="shared" ref="N204:N209" si="54">M204+ROUND(M204*O204%,2)</f>
        <v>559.82000000000005</v>
      </c>
      <c r="O204" s="1741">
        <v>28</v>
      </c>
      <c r="P204" s="1741"/>
      <c r="Q204" s="1870"/>
      <c r="R204" s="1721"/>
      <c r="S204" s="1721"/>
      <c r="T204" s="1879"/>
      <c r="U204" s="1904"/>
      <c r="V204" s="1721"/>
      <c r="W204" s="1721"/>
      <c r="X204" s="1870"/>
      <c r="Y204" s="164" t="s">
        <v>205</v>
      </c>
      <c r="AB204" s="1705"/>
    </row>
    <row r="205" spans="1:28" s="140" customFormat="1" ht="12.75" hidden="1" customHeight="1">
      <c r="A205" s="1772"/>
      <c r="B205" s="1863" t="str">
        <f>'BASIC COST OF MATL'!B338</f>
        <v>18 mm</v>
      </c>
      <c r="C205" s="1873"/>
      <c r="D205" s="1873"/>
      <c r="E205" s="1787" t="str">
        <f>'BASIC COST OF MATL'!C338</f>
        <v>Sqm</v>
      </c>
      <c r="F205" s="1787">
        <v>18</v>
      </c>
      <c r="G205" s="1872">
        <f>'BASIC COST OF MATL'!K338</f>
        <v>782.53</v>
      </c>
      <c r="H205" s="1811">
        <f t="shared" si="53"/>
        <v>923.39</v>
      </c>
      <c r="I205" s="1863" t="str">
        <f>'BASIC COST OF MATL'!B314</f>
        <v>5 mm</v>
      </c>
      <c r="J205" s="1873"/>
      <c r="K205" s="1864"/>
      <c r="L205" s="1787" t="str">
        <f>'BASIC COST OF MATL'!C314</f>
        <v>Sqm</v>
      </c>
      <c r="M205" s="1865">
        <f>'BASIC COST OF MATL'!K314</f>
        <v>579.51</v>
      </c>
      <c r="N205" s="1801">
        <f t="shared" si="54"/>
        <v>741.77</v>
      </c>
      <c r="O205" s="1741">
        <v>28</v>
      </c>
      <c r="P205" s="1741"/>
      <c r="Q205" s="1870"/>
      <c r="R205" s="1721"/>
      <c r="S205" s="1721"/>
      <c r="T205" s="1879"/>
      <c r="U205" s="1904"/>
      <c r="V205" s="1721"/>
      <c r="W205" s="1721"/>
      <c r="X205" s="1870"/>
      <c r="Y205" s="164" t="s">
        <v>205</v>
      </c>
      <c r="AB205" s="1705"/>
    </row>
    <row r="206" spans="1:28" s="140" customFormat="1" ht="12.75" hidden="1" customHeight="1">
      <c r="A206" s="1772"/>
      <c r="B206" s="1863" t="str">
        <f>'BASIC COST OF MATL'!B339</f>
        <v>25 mm</v>
      </c>
      <c r="C206" s="1873"/>
      <c r="D206" s="1873"/>
      <c r="E206" s="1787" t="str">
        <f>'BASIC COST OF MATL'!C339</f>
        <v>Sqm</v>
      </c>
      <c r="F206" s="1787">
        <v>18</v>
      </c>
      <c r="G206" s="1872">
        <f>'BASIC COST OF MATL'!K339</f>
        <v>959.84</v>
      </c>
      <c r="H206" s="1811">
        <f t="shared" si="53"/>
        <v>1132.6100000000001</v>
      </c>
      <c r="I206" s="1863" t="str">
        <f>'BASIC COST OF MATL'!B315</f>
        <v>6 mm</v>
      </c>
      <c r="J206" s="1873"/>
      <c r="K206" s="1864"/>
      <c r="L206" s="1787" t="str">
        <f>'BASIC COST OF MATL'!C315</f>
        <v>Sqm</v>
      </c>
      <c r="M206" s="1865">
        <f>'BASIC COST OF MATL'!K315</f>
        <v>672.91</v>
      </c>
      <c r="N206" s="1801">
        <f t="shared" si="54"/>
        <v>861.31999999999994</v>
      </c>
      <c r="O206" s="1741">
        <v>28</v>
      </c>
      <c r="P206" s="1741"/>
      <c r="Q206" s="1870"/>
      <c r="R206" s="1721"/>
      <c r="S206" s="1721"/>
      <c r="T206" s="1879"/>
      <c r="U206" s="1903"/>
      <c r="V206" s="1721"/>
      <c r="W206" s="1721"/>
      <c r="X206" s="1870"/>
      <c r="Y206" s="164" t="s">
        <v>205</v>
      </c>
      <c r="AB206" s="1705"/>
    </row>
    <row r="207" spans="1:28" s="140" customFormat="1" ht="12.75" hidden="1" customHeight="1">
      <c r="A207" s="1772" t="s">
        <v>415</v>
      </c>
      <c r="B207" s="1900" t="str">
        <f>'BASIC COST OF MATL'!B341</f>
        <v>BWR Ply Wood (ISI)</v>
      </c>
      <c r="C207" s="1873"/>
      <c r="D207" s="1873"/>
      <c r="E207" s="1787"/>
      <c r="F207" s="1787"/>
      <c r="G207" s="1872"/>
      <c r="H207" s="1811"/>
      <c r="I207" s="1863" t="str">
        <f>'BASIC COST OF MATL'!B316</f>
        <v>8 mm</v>
      </c>
      <c r="J207" s="1873"/>
      <c r="K207" s="1864"/>
      <c r="L207" s="1787" t="str">
        <f>'BASIC COST OF MATL'!C316</f>
        <v>Sqm</v>
      </c>
      <c r="M207" s="1865">
        <f>'BASIC COST OF MATL'!K316</f>
        <v>980.32</v>
      </c>
      <c r="N207" s="1801">
        <f t="shared" si="54"/>
        <v>1254.81</v>
      </c>
      <c r="O207" s="1741">
        <v>28</v>
      </c>
      <c r="P207" s="1741"/>
      <c r="Q207" s="1870"/>
      <c r="R207" s="1721"/>
      <c r="S207" s="1721"/>
      <c r="T207" s="1879"/>
      <c r="U207" s="1901"/>
      <c r="V207" s="1721"/>
      <c r="W207" s="1721"/>
      <c r="X207" s="1870"/>
      <c r="Y207" s="164" t="s">
        <v>205</v>
      </c>
      <c r="AB207" s="1705"/>
    </row>
    <row r="208" spans="1:28" s="140" customFormat="1" ht="12.75" hidden="1" customHeight="1">
      <c r="A208" s="1772"/>
      <c r="B208" s="1863" t="str">
        <f>'BASIC COST OF MATL'!B342</f>
        <v>3 mm</v>
      </c>
      <c r="C208" s="1873"/>
      <c r="D208" s="1873"/>
      <c r="E208" s="1787" t="str">
        <f>'BASIC COST OF MATL'!C342</f>
        <v>Sqm</v>
      </c>
      <c r="F208" s="1787">
        <v>18</v>
      </c>
      <c r="G208" s="1872">
        <f>'BASIC COST OF MATL'!K342</f>
        <v>321.52</v>
      </c>
      <c r="H208" s="1811">
        <f>G208+ROUND(G208*F208%,2)</f>
        <v>379.39</v>
      </c>
      <c r="I208" s="1863" t="str">
        <f>'BASIC COST OF MATL'!B317</f>
        <v>10 mm</v>
      </c>
      <c r="J208" s="1873"/>
      <c r="K208" s="1864"/>
      <c r="L208" s="1787" t="str">
        <f>'BASIC COST OF MATL'!C317</f>
        <v>Sqm</v>
      </c>
      <c r="M208" s="1865">
        <f>'BASIC COST OF MATL'!K317</f>
        <v>1232.3399999999999</v>
      </c>
      <c r="N208" s="1801">
        <f t="shared" si="54"/>
        <v>1577.3999999999999</v>
      </c>
      <c r="O208" s="1741">
        <v>28</v>
      </c>
      <c r="P208" s="1905"/>
      <c r="Q208" s="1906"/>
      <c r="R208" s="1737"/>
      <c r="S208" s="1737"/>
      <c r="T208" s="1907"/>
      <c r="U208" s="1908"/>
      <c r="V208" s="1728"/>
      <c r="W208" s="1728"/>
      <c r="X208" s="1881"/>
      <c r="Y208" s="164"/>
      <c r="AB208" s="1705"/>
    </row>
    <row r="209" spans="1:28" s="140" customFormat="1" ht="12.75" hidden="1" customHeight="1">
      <c r="A209" s="1772"/>
      <c r="B209" s="1863" t="str">
        <f>'BASIC COST OF MATL'!B343</f>
        <v>4 mm</v>
      </c>
      <c r="C209" s="1873"/>
      <c r="D209" s="1873"/>
      <c r="E209" s="1787" t="str">
        <f>'BASIC COST OF MATL'!C343</f>
        <v>Sqm</v>
      </c>
      <c r="F209" s="1787">
        <v>18</v>
      </c>
      <c r="G209" s="1872">
        <f>'BASIC COST OF MATL'!K343</f>
        <v>363.93</v>
      </c>
      <c r="H209" s="1811">
        <f t="shared" ref="H209:H215" si="55">G209+ROUND(G209*F209%,2)</f>
        <v>429.44</v>
      </c>
      <c r="I209" s="1863" t="str">
        <f>'BASIC COST OF MATL'!B318</f>
        <v>12 mm</v>
      </c>
      <c r="J209" s="1873"/>
      <c r="K209" s="1864"/>
      <c r="L209" s="1787" t="str">
        <f>'BASIC COST OF MATL'!C318</f>
        <v>Sqm</v>
      </c>
      <c r="M209" s="1865">
        <f>'BASIC COST OF MATL'!K318</f>
        <v>1480</v>
      </c>
      <c r="N209" s="1801">
        <f t="shared" si="54"/>
        <v>1894.4</v>
      </c>
      <c r="O209" s="1741">
        <v>28</v>
      </c>
      <c r="P209" s="1905"/>
      <c r="Q209" s="1714"/>
      <c r="R209" s="1721"/>
      <c r="S209" s="1721"/>
      <c r="T209" s="1879"/>
      <c r="U209" s="1901"/>
      <c r="V209" s="1721"/>
      <c r="W209" s="1721"/>
      <c r="X209" s="1714"/>
      <c r="Y209" s="164"/>
      <c r="AB209" s="1705"/>
    </row>
    <row r="210" spans="1:28" s="140" customFormat="1" ht="12.75" hidden="1" customHeight="1">
      <c r="A210" s="1772"/>
      <c r="B210" s="1863" t="str">
        <f>'BASIC COST OF MATL'!B344</f>
        <v>6 mm</v>
      </c>
      <c r="C210" s="1873"/>
      <c r="D210" s="1873"/>
      <c r="E210" s="1787" t="str">
        <f>'BASIC COST OF MATL'!C344</f>
        <v>Sqm</v>
      </c>
      <c r="F210" s="1787">
        <v>18</v>
      </c>
      <c r="G210" s="1872">
        <f>'BASIC COST OF MATL'!K344</f>
        <v>513.61</v>
      </c>
      <c r="H210" s="1811">
        <f t="shared" si="55"/>
        <v>606.06000000000006</v>
      </c>
      <c r="I210" s="1900" t="str">
        <f>'BASIC COST OF MATL'!B322</f>
        <v>Black glass (ISI)</v>
      </c>
      <c r="J210" s="1873"/>
      <c r="K210" s="1864"/>
      <c r="L210" s="1787"/>
      <c r="M210" s="1865"/>
      <c r="N210" s="1910"/>
      <c r="O210" s="1905"/>
      <c r="P210" s="1905"/>
      <c r="Q210" s="1714"/>
      <c r="R210" s="1721"/>
      <c r="S210" s="1721"/>
      <c r="T210" s="1879"/>
      <c r="U210" s="1901"/>
      <c r="V210" s="1721"/>
      <c r="W210" s="1721"/>
      <c r="X210" s="1714"/>
      <c r="Y210" s="164"/>
      <c r="AB210" s="1705"/>
    </row>
    <row r="211" spans="1:28" s="140" customFormat="1" ht="12.75" hidden="1" customHeight="1">
      <c r="A211" s="1772"/>
      <c r="B211" s="1863" t="str">
        <f>'BASIC COST OF MATL'!B345</f>
        <v>9 mm</v>
      </c>
      <c r="C211" s="1873"/>
      <c r="D211" s="1873"/>
      <c r="E211" s="1787" t="str">
        <f>'BASIC COST OF MATL'!C345</f>
        <v>Sqm</v>
      </c>
      <c r="F211" s="1787">
        <v>18</v>
      </c>
      <c r="G211" s="1872">
        <f>'BASIC COST OF MATL'!K345</f>
        <v>668.32</v>
      </c>
      <c r="H211" s="1811">
        <f t="shared" si="55"/>
        <v>788.62</v>
      </c>
      <c r="I211" s="1863" t="str">
        <f>'BASIC COST OF MATL'!B323</f>
        <v>4 mm</v>
      </c>
      <c r="J211" s="1873"/>
      <c r="K211" s="1864"/>
      <c r="L211" s="1787" t="str">
        <f>'BASIC COST OF MATL'!C323</f>
        <v>Sqm</v>
      </c>
      <c r="M211" s="1865">
        <f>'BASIC COST OF MATL'!K323</f>
        <v>608.4</v>
      </c>
      <c r="N211" s="1801">
        <f>M211+ROUND(M211*O211%,2)</f>
        <v>778.75</v>
      </c>
      <c r="O211" s="1905">
        <v>28</v>
      </c>
      <c r="P211" s="1905"/>
      <c r="Q211" s="1714"/>
      <c r="R211" s="1721"/>
      <c r="S211" s="1721"/>
      <c r="T211" s="1879"/>
      <c r="U211" s="1901"/>
      <c r="V211" s="1728"/>
      <c r="W211" s="1721"/>
      <c r="X211" s="175"/>
      <c r="Y211" s="164"/>
      <c r="AB211" s="1705"/>
    </row>
    <row r="212" spans="1:28" s="140" customFormat="1" ht="12.75" hidden="1" customHeight="1">
      <c r="A212" s="1772"/>
      <c r="B212" s="1863" t="str">
        <f>'BASIC COST OF MATL'!B346</f>
        <v>12 mm</v>
      </c>
      <c r="C212" s="1873"/>
      <c r="D212" s="1873"/>
      <c r="E212" s="1787" t="str">
        <f>'BASIC COST OF MATL'!C346</f>
        <v>Sqm</v>
      </c>
      <c r="F212" s="1787">
        <v>18</v>
      </c>
      <c r="G212" s="1872">
        <f>'BASIC COST OF MATL'!K346</f>
        <v>839.98</v>
      </c>
      <c r="H212" s="1811">
        <f>G212+ROUND(G212*F212%,2)</f>
        <v>991.18000000000006</v>
      </c>
      <c r="I212" s="1863" t="str">
        <f>'BASIC COST OF MATL'!B324</f>
        <v>5 mm</v>
      </c>
      <c r="J212" s="1873"/>
      <c r="K212" s="1864"/>
      <c r="L212" s="1787" t="str">
        <f>'BASIC COST OF MATL'!C324</f>
        <v>Sqm</v>
      </c>
      <c r="M212" s="1865">
        <f>'BASIC COST OF MATL'!K324</f>
        <v>705.01</v>
      </c>
      <c r="N212" s="1801">
        <f t="shared" ref="N212:N215" si="56">M212+ROUND(M212*O212%,2)</f>
        <v>902.41</v>
      </c>
      <c r="O212" s="1905">
        <v>28</v>
      </c>
      <c r="P212" s="1905"/>
      <c r="Q212" s="1714"/>
      <c r="R212" s="1721"/>
      <c r="S212" s="1721"/>
      <c r="T212" s="1879"/>
      <c r="U212" s="1901"/>
      <c r="V212" s="1728"/>
      <c r="W212" s="1721"/>
      <c r="X212" s="175"/>
      <c r="Y212" s="164"/>
      <c r="AB212" s="1705"/>
    </row>
    <row r="213" spans="1:28" s="140" customFormat="1" ht="12.75" hidden="1" customHeight="1">
      <c r="A213" s="1772"/>
      <c r="B213" s="1863" t="str">
        <f>'BASIC COST OF MATL'!B347</f>
        <v>16 mm</v>
      </c>
      <c r="C213" s="1873"/>
      <c r="D213" s="1873"/>
      <c r="E213" s="1787" t="str">
        <f>'BASIC COST OF MATL'!C347</f>
        <v>Sqm</v>
      </c>
      <c r="F213" s="1787">
        <v>18</v>
      </c>
      <c r="G213" s="1872">
        <f>'BASIC COST OF MATL'!K347</f>
        <v>987</v>
      </c>
      <c r="H213" s="1811">
        <f t="shared" si="55"/>
        <v>1164.6600000000001</v>
      </c>
      <c r="I213" s="1863" t="str">
        <f>'BASIC COST OF MATL'!B325</f>
        <v>6 mm</v>
      </c>
      <c r="J213" s="1873"/>
      <c r="K213" s="1864"/>
      <c r="L213" s="1787" t="str">
        <f>'BASIC COST OF MATL'!C325</f>
        <v>Sqm</v>
      </c>
      <c r="M213" s="1865">
        <f>'BASIC COST OF MATL'!K325</f>
        <v>843.5</v>
      </c>
      <c r="N213" s="1801">
        <f t="shared" si="56"/>
        <v>1079.68</v>
      </c>
      <c r="O213" s="1905">
        <v>28</v>
      </c>
      <c r="P213" s="1905"/>
      <c r="Q213" s="1714"/>
      <c r="R213" s="1721"/>
      <c r="S213" s="1721"/>
      <c r="T213" s="1879"/>
      <c r="U213" s="1901"/>
      <c r="V213" s="1728"/>
      <c r="W213" s="1721"/>
      <c r="X213" s="175"/>
      <c r="Y213" s="164"/>
      <c r="AB213" s="1705"/>
    </row>
    <row r="214" spans="1:28" s="140" customFormat="1" ht="12.75" hidden="1" customHeight="1">
      <c r="A214" s="1772"/>
      <c r="B214" s="1863" t="str">
        <f>'BASIC COST OF MATL'!B348</f>
        <v>19 mm</v>
      </c>
      <c r="C214" s="1873"/>
      <c r="D214" s="1873"/>
      <c r="E214" s="1787" t="str">
        <f>'BASIC COST OF MATL'!C348</f>
        <v>Sqm</v>
      </c>
      <c r="F214" s="1787">
        <v>18</v>
      </c>
      <c r="G214" s="1872">
        <f>'BASIC COST OF MATL'!K348</f>
        <v>1146.9100000000001</v>
      </c>
      <c r="H214" s="1811">
        <f t="shared" si="55"/>
        <v>1353.3500000000001</v>
      </c>
      <c r="I214" s="1863" t="str">
        <f>'BASIC COST OF MATL'!B326</f>
        <v>8 mm</v>
      </c>
      <c r="J214" s="1873"/>
      <c r="K214" s="1864"/>
      <c r="L214" s="1787" t="str">
        <f>'BASIC COST OF MATL'!C326</f>
        <v>Sqm</v>
      </c>
      <c r="M214" s="1865">
        <f>'BASIC COST OF MATL'!K326</f>
        <v>1286.47</v>
      </c>
      <c r="N214" s="1801">
        <f t="shared" si="56"/>
        <v>1646.68</v>
      </c>
      <c r="O214" s="1905">
        <v>28</v>
      </c>
      <c r="P214" s="1905"/>
      <c r="Q214" s="1714"/>
      <c r="R214" s="1721"/>
      <c r="S214" s="1721"/>
      <c r="T214" s="1879"/>
      <c r="U214" s="1901"/>
      <c r="V214" s="1728"/>
      <c r="W214" s="1721"/>
      <c r="X214" s="175"/>
      <c r="Y214" s="164"/>
      <c r="AB214" s="1705"/>
    </row>
    <row r="215" spans="1:28" s="140" customFormat="1" ht="12.75" hidden="1" customHeight="1">
      <c r="A215" s="1772"/>
      <c r="B215" s="1863" t="str">
        <f>'BASIC COST OF MATL'!B349</f>
        <v xml:space="preserve">25mm </v>
      </c>
      <c r="C215" s="1873"/>
      <c r="D215" s="1873"/>
      <c r="E215" s="1787" t="str">
        <f>'BASIC COST OF MATL'!C349</f>
        <v>Sqm</v>
      </c>
      <c r="F215" s="1787">
        <v>18</v>
      </c>
      <c r="G215" s="1872">
        <f>'BASIC COST OF MATL'!K349</f>
        <v>1590</v>
      </c>
      <c r="H215" s="1811">
        <f t="shared" si="55"/>
        <v>1876.2</v>
      </c>
      <c r="I215" s="1863" t="str">
        <f>'BASIC COST OF MATL'!B327</f>
        <v>12 mm</v>
      </c>
      <c r="J215" s="1873"/>
      <c r="K215" s="1864"/>
      <c r="L215" s="1787" t="str">
        <f>'BASIC COST OF MATL'!C327</f>
        <v>Sqm</v>
      </c>
      <c r="M215" s="1865">
        <f>'BASIC COST OF MATL'!K327</f>
        <v>1979.71</v>
      </c>
      <c r="N215" s="1801">
        <f t="shared" si="56"/>
        <v>2534.0300000000002</v>
      </c>
      <c r="O215" s="1905">
        <v>28</v>
      </c>
      <c r="P215" s="1905"/>
      <c r="Q215" s="1714"/>
      <c r="R215" s="1721"/>
      <c r="S215" s="1721"/>
      <c r="T215" s="1879"/>
      <c r="U215" s="1901"/>
      <c r="V215" s="1728"/>
      <c r="W215" s="1721"/>
      <c r="X215" s="175"/>
      <c r="Y215" s="164"/>
      <c r="AB215" s="1705"/>
    </row>
    <row r="216" spans="1:28" s="140" customFormat="1" ht="12.75" hidden="1" customHeight="1">
      <c r="A216" s="1772" t="s">
        <v>638</v>
      </c>
      <c r="B216" s="1900" t="str">
        <f>'BASIC COST OF MATL'!B350</f>
        <v>BWR Block board (ISI)</v>
      </c>
      <c r="C216" s="1873"/>
      <c r="D216" s="1873"/>
      <c r="E216" s="1787"/>
      <c r="F216" s="1787"/>
      <c r="G216" s="1872"/>
      <c r="H216" s="1811"/>
      <c r="I216" s="1863"/>
      <c r="J216" s="1873"/>
      <c r="K216" s="1864"/>
      <c r="L216" s="1787"/>
      <c r="M216" s="1865"/>
      <c r="N216" s="1910"/>
      <c r="O216" s="1905"/>
      <c r="P216" s="1905"/>
      <c r="Q216" s="1714"/>
      <c r="R216" s="1721"/>
      <c r="S216" s="1721"/>
      <c r="T216" s="1879"/>
      <c r="U216" s="1901"/>
      <c r="V216" s="1728"/>
      <c r="W216" s="1721"/>
      <c r="X216" s="175"/>
      <c r="Y216" s="164"/>
      <c r="AB216" s="1705"/>
    </row>
    <row r="217" spans="1:28" s="140" customFormat="1" ht="12.75" hidden="1" customHeight="1">
      <c r="A217" s="1811"/>
      <c r="B217" s="1863" t="str">
        <f>'BASIC COST OF MATL'!B351</f>
        <v>16 mm</v>
      </c>
      <c r="C217" s="1873"/>
      <c r="D217" s="1873"/>
      <c r="E217" s="1787" t="str">
        <f>'BASIC COST OF MATL'!C351</f>
        <v>Sqm</v>
      </c>
      <c r="F217" s="1787">
        <v>18</v>
      </c>
      <c r="G217" s="1872">
        <f>'BASIC COST OF MATL'!K351</f>
        <v>911</v>
      </c>
      <c r="H217" s="1811">
        <f>G217+ROUND(G217*F217%,2)</f>
        <v>1074.98</v>
      </c>
      <c r="I217" s="1863"/>
      <c r="J217" s="1873"/>
      <c r="K217" s="1864"/>
      <c r="L217" s="1787"/>
      <c r="M217" s="1865"/>
      <c r="N217" s="1910"/>
      <c r="O217" s="1905"/>
      <c r="P217" s="1905"/>
      <c r="Q217" s="1714"/>
      <c r="R217" s="1721"/>
      <c r="S217" s="1721"/>
      <c r="T217" s="1879"/>
      <c r="U217" s="1901"/>
      <c r="V217" s="1728"/>
      <c r="W217" s="1721"/>
      <c r="X217" s="175"/>
      <c r="Y217" s="164"/>
      <c r="AB217" s="1705"/>
    </row>
    <row r="218" spans="1:28" s="140" customFormat="1" ht="12.75" hidden="1" customHeight="1">
      <c r="A218" s="1811"/>
      <c r="B218" s="1863" t="str">
        <f>'BASIC COST OF MATL'!B352</f>
        <v>19 mm</v>
      </c>
      <c r="C218" s="1873"/>
      <c r="D218" s="1873"/>
      <c r="E218" s="1787" t="str">
        <f>'BASIC COST OF MATL'!C352</f>
        <v>Sqm</v>
      </c>
      <c r="F218" s="1787">
        <v>18</v>
      </c>
      <c r="G218" s="1872">
        <f>'BASIC COST OF MATL'!K352</f>
        <v>995</v>
      </c>
      <c r="H218" s="1811">
        <f t="shared" ref="H218:H220" si="57">G218+ROUND(G218*F218%,2)</f>
        <v>1174.0999999999999</v>
      </c>
      <c r="I218" s="1863"/>
      <c r="J218" s="1873"/>
      <c r="K218" s="1864"/>
      <c r="L218" s="1787"/>
      <c r="M218" s="1865"/>
      <c r="N218" s="1910"/>
      <c r="O218" s="1905"/>
      <c r="P218" s="1905"/>
      <c r="Q218" s="1714"/>
      <c r="R218" s="1721"/>
      <c r="S218" s="1721"/>
      <c r="T218" s="1879"/>
      <c r="U218" s="1901"/>
      <c r="V218" s="1728"/>
      <c r="W218" s="1721"/>
      <c r="X218" s="175"/>
      <c r="Y218" s="164"/>
      <c r="AB218" s="1705"/>
    </row>
    <row r="219" spans="1:28" s="140" customFormat="1" ht="12.75" hidden="1" customHeight="1">
      <c r="A219" s="1811"/>
      <c r="B219" s="1863" t="str">
        <f>'BASIC COST OF MATL'!B353</f>
        <v>25 mm</v>
      </c>
      <c r="C219" s="1873"/>
      <c r="D219" s="1873"/>
      <c r="E219" s="1787" t="str">
        <f>'BASIC COST OF MATL'!C353</f>
        <v>Sqm</v>
      </c>
      <c r="F219" s="1787">
        <v>18</v>
      </c>
      <c r="G219" s="1872">
        <f>'BASIC COST OF MATL'!K353</f>
        <v>1220.9100000000001</v>
      </c>
      <c r="H219" s="1811">
        <f t="shared" si="57"/>
        <v>1440.67</v>
      </c>
      <c r="I219" s="1863"/>
      <c r="J219" s="1873"/>
      <c r="K219" s="1864"/>
      <c r="L219" s="1787"/>
      <c r="M219" s="1865"/>
      <c r="N219" s="1910"/>
      <c r="O219" s="1905"/>
      <c r="P219" s="1905"/>
      <c r="Q219" s="1714"/>
      <c r="R219" s="1721"/>
      <c r="S219" s="1721"/>
      <c r="T219" s="1879"/>
      <c r="U219" s="1901"/>
      <c r="V219" s="1728"/>
      <c r="W219" s="1721"/>
      <c r="X219" s="175"/>
      <c r="Y219" s="164"/>
      <c r="AB219" s="1705"/>
    </row>
    <row r="220" spans="1:28" s="140" customFormat="1" ht="12.75" hidden="1" customHeight="1">
      <c r="A220" s="1811"/>
      <c r="B220" s="1863" t="str">
        <f>'BASIC COST OF MATL'!B354</f>
        <v>32 mm</v>
      </c>
      <c r="C220" s="1873"/>
      <c r="D220" s="1873"/>
      <c r="E220" s="1787" t="str">
        <f>'BASIC COST OF MATL'!C354</f>
        <v>Sqm</v>
      </c>
      <c r="F220" s="1787">
        <v>18</v>
      </c>
      <c r="G220" s="1872">
        <f>'BASIC COST OF MATL'!K354</f>
        <v>1458.68</v>
      </c>
      <c r="H220" s="1811">
        <f t="shared" si="57"/>
        <v>1721.24</v>
      </c>
      <c r="I220" s="1863"/>
      <c r="J220" s="1873"/>
      <c r="K220" s="1864"/>
      <c r="L220" s="1787"/>
      <c r="M220" s="1865"/>
      <c r="N220" s="1910"/>
      <c r="O220" s="1905"/>
      <c r="P220" s="1905"/>
      <c r="Q220" s="1714"/>
      <c r="R220" s="1721"/>
      <c r="S220" s="1721"/>
      <c r="T220" s="1879"/>
      <c r="U220" s="1901"/>
      <c r="V220" s="1728"/>
      <c r="W220" s="1721"/>
      <c r="X220" s="175"/>
      <c r="Y220" s="164"/>
      <c r="AB220" s="1705"/>
    </row>
    <row r="221" spans="1:28" s="140" customFormat="1" ht="12.75" hidden="1" customHeight="1">
      <c r="A221" s="1911" t="s">
        <v>308</v>
      </c>
      <c r="B221" s="1912" t="s">
        <v>309</v>
      </c>
      <c r="C221" s="1913"/>
      <c r="D221" s="1864"/>
      <c r="E221" s="1914"/>
      <c r="F221" s="1914"/>
      <c r="G221" s="1783"/>
      <c r="H221" s="1772"/>
      <c r="I221" s="1863"/>
      <c r="J221" s="1915"/>
      <c r="K221" s="1916"/>
      <c r="L221" s="1772"/>
      <c r="M221" s="1917"/>
      <c r="N221" s="1910"/>
      <c r="O221" s="1905"/>
      <c r="P221" s="1905"/>
      <c r="Q221" s="1838"/>
      <c r="R221" s="1842"/>
      <c r="S221" s="1842"/>
      <c r="T221" s="1918"/>
      <c r="U221" s="1919"/>
      <c r="V221" s="1741"/>
      <c r="W221" s="1842"/>
      <c r="X221" s="1741"/>
      <c r="Y221" s="164" t="s">
        <v>205</v>
      </c>
      <c r="AB221" s="1705"/>
    </row>
    <row r="222" spans="1:28" s="140" customFormat="1" ht="12.75" hidden="1" customHeight="1">
      <c r="A222" s="1811" t="s">
        <v>22</v>
      </c>
      <c r="B222" s="2952" t="s">
        <v>310</v>
      </c>
      <c r="C222" s="2953"/>
      <c r="D222" s="2953"/>
      <c r="E222" s="1772" t="s">
        <v>198</v>
      </c>
      <c r="F222" s="1772"/>
      <c r="G222" s="1860" t="s">
        <v>199</v>
      </c>
      <c r="H222" s="1772"/>
      <c r="I222" s="2952" t="s">
        <v>310</v>
      </c>
      <c r="J222" s="2953"/>
      <c r="K222" s="2954"/>
      <c r="L222" s="1772" t="s">
        <v>200</v>
      </c>
      <c r="M222" s="1900" t="s">
        <v>199</v>
      </c>
      <c r="N222" s="1866"/>
      <c r="O222" s="1905"/>
      <c r="P222" s="1905"/>
      <c r="Q222" s="1714" t="str">
        <f>B222</f>
        <v>Machineries link with Analysis</v>
      </c>
      <c r="R222" s="1757" t="s">
        <v>199</v>
      </c>
      <c r="S222" s="1711" t="s">
        <v>199</v>
      </c>
      <c r="T222" s="1868" t="s">
        <v>199</v>
      </c>
      <c r="U222" s="1729" t="s">
        <v>199</v>
      </c>
      <c r="V222" s="1757" t="s">
        <v>199</v>
      </c>
      <c r="W222" s="1711" t="s">
        <v>199</v>
      </c>
      <c r="X222" s="1718"/>
      <c r="Y222" s="164" t="s">
        <v>205</v>
      </c>
      <c r="AB222" s="1705"/>
    </row>
    <row r="223" spans="1:28" s="140" customFormat="1" ht="12.75" hidden="1" customHeight="1">
      <c r="A223" s="1811">
        <f>H223-1</f>
        <v>1</v>
      </c>
      <c r="B223" s="1863" t="s">
        <v>311</v>
      </c>
      <c r="C223" s="1873"/>
      <c r="D223" s="1913"/>
      <c r="E223" s="1787" t="s">
        <v>312</v>
      </c>
      <c r="F223" s="1787"/>
      <c r="G223" s="1872">
        <f>T223</f>
        <v>229.55</v>
      </c>
      <c r="H223" s="1811">
        <f>H222+2</f>
        <v>2</v>
      </c>
      <c r="I223" s="1863" t="s">
        <v>313</v>
      </c>
      <c r="J223" s="1873"/>
      <c r="K223" s="1864"/>
      <c r="L223" s="1787" t="s">
        <v>312</v>
      </c>
      <c r="M223" s="1865">
        <f>U223</f>
        <v>700</v>
      </c>
      <c r="N223" s="1866"/>
      <c r="O223" s="1741"/>
      <c r="P223" s="1741"/>
      <c r="Q223" s="1870" t="s">
        <v>311</v>
      </c>
      <c r="R223" s="1723">
        <v>177</v>
      </c>
      <c r="S223" s="1723">
        <v>240</v>
      </c>
      <c r="T223" s="1874">
        <f>'HIRE CHG OF MECH.'!F86</f>
        <v>229.55</v>
      </c>
      <c r="U223" s="1920">
        <f>'HIRE CHG OF MECH.'!F99</f>
        <v>700</v>
      </c>
      <c r="V223" s="1723">
        <v>177</v>
      </c>
      <c r="W223" s="1723">
        <v>240</v>
      </c>
      <c r="X223" s="1870" t="s">
        <v>313</v>
      </c>
      <c r="Y223" s="164" t="s">
        <v>205</v>
      </c>
      <c r="AB223" s="1705"/>
    </row>
    <row r="224" spans="1:28" s="140" customFormat="1" ht="12.75" hidden="1" customHeight="1">
      <c r="A224" s="1811">
        <f>H224-1</f>
        <v>3</v>
      </c>
      <c r="B224" s="1863" t="s">
        <v>314</v>
      </c>
      <c r="C224" s="1873"/>
      <c r="D224" s="1873"/>
      <c r="E224" s="1787" t="s">
        <v>315</v>
      </c>
      <c r="F224" s="1787"/>
      <c r="G224" s="1872">
        <f>T224</f>
        <v>483</v>
      </c>
      <c r="H224" s="1811">
        <f>H223+2</f>
        <v>4</v>
      </c>
      <c r="I224" s="1863" t="s">
        <v>316</v>
      </c>
      <c r="J224" s="1873"/>
      <c r="K224" s="1864"/>
      <c r="L224" s="1787" t="s">
        <v>312</v>
      </c>
      <c r="M224" s="1865">
        <f>U224</f>
        <v>600</v>
      </c>
      <c r="N224" s="1866"/>
      <c r="O224" s="1741"/>
      <c r="P224" s="1741"/>
      <c r="Q224" s="1870" t="s">
        <v>314</v>
      </c>
      <c r="R224" s="1721">
        <v>110</v>
      </c>
      <c r="S224" s="1721">
        <v>220</v>
      </c>
      <c r="T224" s="1879">
        <f>'BASIC COST OF MATL'!K482</f>
        <v>483</v>
      </c>
      <c r="U224" s="1904">
        <f>'HIRE CHG OF MECH.'!F83</f>
        <v>600</v>
      </c>
      <c r="V224" s="1721">
        <v>110</v>
      </c>
      <c r="W224" s="1721">
        <v>220</v>
      </c>
      <c r="X224" s="1870" t="s">
        <v>316</v>
      </c>
      <c r="Y224" s="164" t="s">
        <v>205</v>
      </c>
      <c r="AB224" s="1705"/>
    </row>
    <row r="225" spans="1:27" s="140" customFormat="1" ht="12.75" hidden="1" customHeight="1">
      <c r="A225" s="1811">
        <f>H225-1</f>
        <v>5</v>
      </c>
      <c r="B225" s="1863" t="s">
        <v>317</v>
      </c>
      <c r="C225" s="1873"/>
      <c r="D225" s="1873"/>
      <c r="E225" s="1787" t="s">
        <v>315</v>
      </c>
      <c r="F225" s="1787"/>
      <c r="G225" s="1872">
        <f>T225</f>
        <v>450</v>
      </c>
      <c r="H225" s="1811">
        <f>H224+2</f>
        <v>6</v>
      </c>
      <c r="I225" s="1863" t="s">
        <v>318</v>
      </c>
      <c r="J225" s="1861"/>
      <c r="K225" s="1864"/>
      <c r="L225" s="1787" t="s">
        <v>319</v>
      </c>
      <c r="M225" s="1865">
        <f>U225</f>
        <v>100</v>
      </c>
      <c r="N225" s="1866"/>
      <c r="O225" s="1741"/>
      <c r="P225" s="1741"/>
      <c r="Q225" s="1870" t="s">
        <v>317</v>
      </c>
      <c r="R225" s="1721">
        <v>450</v>
      </c>
      <c r="S225" s="1721">
        <v>100</v>
      </c>
      <c r="T225" s="1921">
        <v>450</v>
      </c>
      <c r="U225" s="1891">
        <v>100</v>
      </c>
      <c r="V225" s="1721">
        <v>450</v>
      </c>
      <c r="W225" s="1721">
        <v>100</v>
      </c>
      <c r="X225" s="1870" t="s">
        <v>318</v>
      </c>
      <c r="Y225" s="164" t="s">
        <v>205</v>
      </c>
    </row>
    <row r="226" spans="1:27" s="140" customFormat="1" ht="12.75" hidden="1" customHeight="1">
      <c r="A226" s="1811">
        <f>H226-1</f>
        <v>7</v>
      </c>
      <c r="B226" s="1863" t="s">
        <v>320</v>
      </c>
      <c r="C226" s="1873"/>
      <c r="D226" s="1873"/>
      <c r="E226" s="1787" t="s">
        <v>95</v>
      </c>
      <c r="F226" s="1787"/>
      <c r="G226" s="1872">
        <f>T226</f>
        <v>10</v>
      </c>
      <c r="H226" s="1811">
        <f>H225+2</f>
        <v>8</v>
      </c>
      <c r="I226" s="1863" t="s">
        <v>321</v>
      </c>
      <c r="J226" s="1861"/>
      <c r="K226" s="1864"/>
      <c r="L226" s="1787" t="s">
        <v>49</v>
      </c>
      <c r="M226" s="1865">
        <f>U226</f>
        <v>33</v>
      </c>
      <c r="N226" s="1866"/>
      <c r="O226" s="1741"/>
      <c r="P226" s="1741"/>
      <c r="Q226" s="1870" t="s">
        <v>320</v>
      </c>
      <c r="R226" s="1721">
        <v>10</v>
      </c>
      <c r="S226" s="1721">
        <v>33</v>
      </c>
      <c r="T226" s="1921">
        <v>10</v>
      </c>
      <c r="U226" s="1891">
        <v>33</v>
      </c>
      <c r="V226" s="1721">
        <v>10</v>
      </c>
      <c r="W226" s="1721">
        <v>33</v>
      </c>
      <c r="X226" s="1870" t="s">
        <v>321</v>
      </c>
      <c r="Y226" s="164" t="s">
        <v>205</v>
      </c>
    </row>
    <row r="227" spans="1:27" s="175" customFormat="1" ht="12.75" hidden="1" customHeight="1">
      <c r="A227" s="1811">
        <f>A226+2</f>
        <v>9</v>
      </c>
      <c r="B227" s="1863" t="s">
        <v>322</v>
      </c>
      <c r="C227" s="1861"/>
      <c r="D227" s="1873"/>
      <c r="E227" s="1787" t="s">
        <v>49</v>
      </c>
      <c r="F227" s="1787"/>
      <c r="G227" s="1872">
        <f>T227</f>
        <v>41.9</v>
      </c>
      <c r="H227" s="1877"/>
      <c r="I227" s="1877"/>
      <c r="J227" s="1922"/>
      <c r="K227" s="1923"/>
      <c r="L227" s="1923"/>
      <c r="M227" s="1924"/>
      <c r="N227" s="1866"/>
      <c r="O227" s="1741"/>
      <c r="P227" s="1741"/>
      <c r="Q227" s="1870" t="s">
        <v>322</v>
      </c>
      <c r="R227" s="1721">
        <v>41.9</v>
      </c>
      <c r="T227" s="1921">
        <v>41.9</v>
      </c>
      <c r="U227" s="1925"/>
      <c r="V227" s="1721">
        <v>41.9</v>
      </c>
      <c r="X227" s="1718"/>
      <c r="Y227" s="164" t="s">
        <v>205</v>
      </c>
      <c r="Z227" s="140"/>
      <c r="AA227" s="140"/>
    </row>
    <row r="228" spans="1:27" s="1741" customFormat="1" ht="12.75" hidden="1" customHeight="1">
      <c r="A228" s="1926">
        <v>1</v>
      </c>
      <c r="B228" s="1927" t="s">
        <v>323</v>
      </c>
      <c r="C228" s="1928"/>
      <c r="D228" s="1929"/>
      <c r="E228" s="1930" t="s">
        <v>312</v>
      </c>
      <c r="F228" s="1931"/>
      <c r="G228" s="1932">
        <f t="shared" ref="G228:G242" si="58">T228</f>
        <v>2834</v>
      </c>
      <c r="H228" s="1926">
        <f>A228+1</f>
        <v>2</v>
      </c>
      <c r="I228" s="1928" t="s">
        <v>324</v>
      </c>
      <c r="J228" s="1928"/>
      <c r="K228" s="1931"/>
      <c r="L228" s="1933" t="s">
        <v>312</v>
      </c>
      <c r="M228" s="1934">
        <f t="shared" ref="M228:M242" si="59">U228</f>
        <v>1071.0999999999999</v>
      </c>
      <c r="N228" s="1866"/>
      <c r="Q228" s="1935" t="s">
        <v>323</v>
      </c>
      <c r="R228" s="1936">
        <v>1831</v>
      </c>
      <c r="S228" s="1937">
        <v>692</v>
      </c>
      <c r="T228" s="1938">
        <f>'HIRE CHG OF MECH.'!F5</f>
        <v>2834</v>
      </c>
      <c r="U228" s="1939">
        <f>'HIRE CHG OF MECH.'!F42</f>
        <v>1071.0999999999999</v>
      </c>
      <c r="V228" s="1936">
        <v>1831</v>
      </c>
      <c r="W228" s="1937">
        <v>692</v>
      </c>
      <c r="X228" s="1940" t="s">
        <v>324</v>
      </c>
      <c r="Y228" s="164" t="s">
        <v>205</v>
      </c>
      <c r="Z228" s="140"/>
      <c r="AA228" s="140"/>
    </row>
    <row r="229" spans="1:27" s="1741" customFormat="1" ht="12.75" hidden="1" customHeight="1">
      <c r="A229" s="1926">
        <f>A228+2</f>
        <v>3</v>
      </c>
      <c r="B229" s="1927" t="s">
        <v>325</v>
      </c>
      <c r="C229" s="1928"/>
      <c r="D229" s="1929"/>
      <c r="E229" s="1930" t="s">
        <v>312</v>
      </c>
      <c r="F229" s="1931"/>
      <c r="G229" s="1932">
        <f t="shared" si="58"/>
        <v>2391.39</v>
      </c>
      <c r="H229" s="1926">
        <f t="shared" ref="H229:H242" si="60">A229+1</f>
        <v>4</v>
      </c>
      <c r="I229" s="1928" t="s">
        <v>326</v>
      </c>
      <c r="J229" s="1928"/>
      <c r="K229" s="1931"/>
      <c r="L229" s="1933" t="s">
        <v>312</v>
      </c>
      <c r="M229" s="1934">
        <f t="shared" si="59"/>
        <v>798.68</v>
      </c>
      <c r="N229" s="1866"/>
      <c r="Q229" s="1935" t="s">
        <v>325</v>
      </c>
      <c r="R229" s="1936">
        <v>1545</v>
      </c>
      <c r="S229" s="1941">
        <v>516</v>
      </c>
      <c r="T229" s="1938">
        <f>'HIRE CHG OF MECH.'!F11</f>
        <v>2391.39</v>
      </c>
      <c r="U229" s="1942">
        <f>'HIRE CHG OF MECH.'!F43</f>
        <v>798.68</v>
      </c>
      <c r="V229" s="1936">
        <v>1545</v>
      </c>
      <c r="W229" s="1941">
        <v>516</v>
      </c>
      <c r="X229" s="1940" t="s">
        <v>326</v>
      </c>
      <c r="Y229" s="164" t="s">
        <v>205</v>
      </c>
      <c r="Z229" s="140"/>
      <c r="AA229" s="140"/>
    </row>
    <row r="230" spans="1:27" s="1741" customFormat="1" ht="12.75" hidden="1" customHeight="1">
      <c r="A230" s="1926">
        <f t="shared" ref="A230:A242" si="61">A229+2</f>
        <v>5</v>
      </c>
      <c r="B230" s="1927" t="s">
        <v>327</v>
      </c>
      <c r="C230" s="1928"/>
      <c r="D230" s="1929"/>
      <c r="E230" s="1930" t="s">
        <v>312</v>
      </c>
      <c r="F230" s="1931"/>
      <c r="G230" s="1932">
        <f t="shared" si="58"/>
        <v>1300.1600000000001</v>
      </c>
      <c r="H230" s="1926">
        <f t="shared" si="60"/>
        <v>6</v>
      </c>
      <c r="I230" s="1928" t="s">
        <v>328</v>
      </c>
      <c r="J230" s="1928"/>
      <c r="K230" s="1931"/>
      <c r="L230" s="1933" t="s">
        <v>312</v>
      </c>
      <c r="M230" s="1934">
        <f t="shared" si="59"/>
        <v>17284.560000000001</v>
      </c>
      <c r="N230" s="1866"/>
      <c r="Q230" s="1935" t="s">
        <v>327</v>
      </c>
      <c r="R230" s="1936">
        <v>840</v>
      </c>
      <c r="S230" s="1943">
        <v>11167</v>
      </c>
      <c r="T230" s="1938">
        <f>'HIRE CHG OF MECH.'!F16</f>
        <v>1300.1600000000001</v>
      </c>
      <c r="U230" s="1944">
        <f>'HIRE CHG OF MECH.'!F45</f>
        <v>17284.560000000001</v>
      </c>
      <c r="V230" s="1936">
        <v>840</v>
      </c>
      <c r="W230" s="1943">
        <v>11167</v>
      </c>
      <c r="X230" s="1940" t="s">
        <v>328</v>
      </c>
      <c r="Y230" s="164" t="s">
        <v>205</v>
      </c>
      <c r="Z230" s="140"/>
      <c r="AA230" s="140"/>
    </row>
    <row r="231" spans="1:27" s="1741" customFormat="1" ht="12.75" hidden="1" customHeight="1">
      <c r="A231" s="1926">
        <f t="shared" si="61"/>
        <v>7</v>
      </c>
      <c r="B231" s="1927" t="s">
        <v>329</v>
      </c>
      <c r="C231" s="1928"/>
      <c r="D231" s="1929"/>
      <c r="E231" s="1930" t="s">
        <v>312</v>
      </c>
      <c r="F231" s="1931"/>
      <c r="G231" s="1932">
        <f t="shared" si="58"/>
        <v>804.86</v>
      </c>
      <c r="H231" s="1926">
        <f t="shared" si="60"/>
        <v>8</v>
      </c>
      <c r="I231" s="1928" t="s">
        <v>330</v>
      </c>
      <c r="J231" s="1928"/>
      <c r="K231" s="1931"/>
      <c r="L231" s="1933" t="s">
        <v>312</v>
      </c>
      <c r="M231" s="1934">
        <f t="shared" si="59"/>
        <v>1724.97</v>
      </c>
      <c r="N231" s="1866"/>
      <c r="Q231" s="1935" t="s">
        <v>329</v>
      </c>
      <c r="R231" s="1936">
        <v>520</v>
      </c>
      <c r="S231" s="1941">
        <v>1725</v>
      </c>
      <c r="T231" s="1938">
        <f>'HIRE CHG OF MECH.'!F20</f>
        <v>804.86</v>
      </c>
      <c r="U231" s="1942">
        <f>'HIRE CHG OF MECH.'!F49</f>
        <v>1724.97</v>
      </c>
      <c r="V231" s="1936">
        <v>520</v>
      </c>
      <c r="W231" s="1941">
        <v>1725</v>
      </c>
      <c r="X231" s="1940" t="s">
        <v>330</v>
      </c>
      <c r="Y231" s="164" t="s">
        <v>205</v>
      </c>
      <c r="Z231" s="140"/>
      <c r="AA231" s="140"/>
    </row>
    <row r="232" spans="1:27" s="1741" customFormat="1" ht="12.75" hidden="1" customHeight="1">
      <c r="A232" s="1926">
        <f t="shared" si="61"/>
        <v>9</v>
      </c>
      <c r="B232" s="1927" t="s">
        <v>331</v>
      </c>
      <c r="C232" s="1928"/>
      <c r="D232" s="1929"/>
      <c r="E232" s="1930" t="s">
        <v>312</v>
      </c>
      <c r="F232" s="1931"/>
      <c r="G232" s="1932">
        <f t="shared" si="58"/>
        <v>900.84</v>
      </c>
      <c r="H232" s="1926">
        <f t="shared" si="60"/>
        <v>10</v>
      </c>
      <c r="I232" s="1928" t="s">
        <v>332</v>
      </c>
      <c r="J232" s="1928"/>
      <c r="K232" s="1931"/>
      <c r="L232" s="1933" t="s">
        <v>312</v>
      </c>
      <c r="M232" s="1934">
        <f t="shared" si="59"/>
        <v>1143.9000000000001</v>
      </c>
      <c r="N232" s="1866"/>
      <c r="Q232" s="1935" t="s">
        <v>331</v>
      </c>
      <c r="R232" s="1936">
        <v>582</v>
      </c>
      <c r="S232" s="1941">
        <v>739</v>
      </c>
      <c r="T232" s="1938">
        <f>'HIRE CHG OF MECH.'!F24</f>
        <v>900.84</v>
      </c>
      <c r="U232" s="1942">
        <f>'HIRE CHG OF MECH.'!F50</f>
        <v>1143.9000000000001</v>
      </c>
      <c r="V232" s="1936">
        <v>582</v>
      </c>
      <c r="W232" s="1941">
        <v>739</v>
      </c>
      <c r="X232" s="1940" t="s">
        <v>332</v>
      </c>
      <c r="Y232" s="164" t="s">
        <v>205</v>
      </c>
      <c r="Z232" s="140"/>
      <c r="AA232" s="140"/>
    </row>
    <row r="233" spans="1:27" s="1741" customFormat="1" ht="12.75" hidden="1" customHeight="1">
      <c r="A233" s="1926">
        <f t="shared" si="61"/>
        <v>11</v>
      </c>
      <c r="B233" s="1927" t="s">
        <v>333</v>
      </c>
      <c r="C233" s="1931"/>
      <c r="D233" s="1929"/>
      <c r="E233" s="1930" t="s">
        <v>334</v>
      </c>
      <c r="F233" s="1931"/>
      <c r="G233" s="1932">
        <f t="shared" si="58"/>
        <v>3.86</v>
      </c>
      <c r="H233" s="1926">
        <f t="shared" si="60"/>
        <v>12</v>
      </c>
      <c r="I233" s="1928" t="s">
        <v>335</v>
      </c>
      <c r="J233" s="1928"/>
      <c r="K233" s="1931"/>
      <c r="L233" s="1933" t="s">
        <v>312</v>
      </c>
      <c r="M233" s="1934">
        <f t="shared" si="59"/>
        <v>1480.62</v>
      </c>
      <c r="N233" s="1866"/>
      <c r="Q233" s="1935" t="s">
        <v>333</v>
      </c>
      <c r="R233" s="1936">
        <v>2.5</v>
      </c>
      <c r="S233" s="1937">
        <v>1700</v>
      </c>
      <c r="T233" s="1938">
        <f>'HIRE CHG OF MECH.'!F23</f>
        <v>3.86</v>
      </c>
      <c r="U233" s="1939">
        <f>'HIRE CHG OF MECH.'!F53</f>
        <v>1480.62</v>
      </c>
      <c r="V233" s="1936">
        <v>2.5</v>
      </c>
      <c r="W233" s="1937">
        <v>1700</v>
      </c>
      <c r="X233" s="1940" t="s">
        <v>335</v>
      </c>
      <c r="Y233" s="164" t="s">
        <v>205</v>
      </c>
      <c r="Z233" s="140"/>
      <c r="AA233" s="140"/>
    </row>
    <row r="234" spans="1:27" s="1741" customFormat="1" ht="12.75" hidden="1" customHeight="1">
      <c r="A234" s="1926">
        <f t="shared" si="61"/>
        <v>13</v>
      </c>
      <c r="B234" s="1927" t="s">
        <v>336</v>
      </c>
      <c r="C234" s="1928"/>
      <c r="D234" s="1929"/>
      <c r="E234" s="1930" t="s">
        <v>312</v>
      </c>
      <c r="F234" s="1931"/>
      <c r="G234" s="1932">
        <f t="shared" si="58"/>
        <v>1538.54</v>
      </c>
      <c r="H234" s="1926">
        <f t="shared" si="60"/>
        <v>14</v>
      </c>
      <c r="I234" s="1928" t="s">
        <v>337</v>
      </c>
      <c r="J234" s="1928"/>
      <c r="K234" s="1931"/>
      <c r="L234" s="1933" t="s">
        <v>312</v>
      </c>
      <c r="M234" s="1934">
        <f t="shared" si="59"/>
        <v>1142.3</v>
      </c>
      <c r="N234" s="1866"/>
      <c r="Q234" s="1935" t="s">
        <v>336</v>
      </c>
      <c r="R234" s="1936">
        <v>994</v>
      </c>
      <c r="S234" s="1941">
        <v>738</v>
      </c>
      <c r="T234" s="1938">
        <f>'HIRE CHG OF MECH.'!F25</f>
        <v>1538.54</v>
      </c>
      <c r="U234" s="1942">
        <f>'HIRE CHG OF MECH.'!F54</f>
        <v>1142.3</v>
      </c>
      <c r="V234" s="1936">
        <v>994</v>
      </c>
      <c r="W234" s="1941">
        <v>738</v>
      </c>
      <c r="X234" s="1940" t="s">
        <v>337</v>
      </c>
      <c r="Y234" s="164" t="s">
        <v>205</v>
      </c>
      <c r="Z234" s="140"/>
      <c r="AA234" s="140"/>
    </row>
    <row r="235" spans="1:27" s="1741" customFormat="1" ht="12.75" hidden="1" customHeight="1">
      <c r="A235" s="1926">
        <f t="shared" si="61"/>
        <v>15</v>
      </c>
      <c r="B235" s="1927" t="s">
        <v>338</v>
      </c>
      <c r="C235" s="1928"/>
      <c r="D235" s="1929"/>
      <c r="E235" s="1930" t="s">
        <v>312</v>
      </c>
      <c r="F235" s="1931"/>
      <c r="G235" s="1932">
        <f t="shared" si="58"/>
        <v>524.70000000000005</v>
      </c>
      <c r="H235" s="1926">
        <f t="shared" si="60"/>
        <v>16</v>
      </c>
      <c r="I235" s="1928" t="s">
        <v>339</v>
      </c>
      <c r="J235" s="1928"/>
      <c r="K235" s="1931"/>
      <c r="L235" s="1933" t="s">
        <v>312</v>
      </c>
      <c r="M235" s="1934">
        <f t="shared" si="59"/>
        <v>114.54</v>
      </c>
      <c r="N235" s="1866"/>
      <c r="Q235" s="1935" t="s">
        <v>338</v>
      </c>
      <c r="R235" s="1936">
        <v>339</v>
      </c>
      <c r="S235" s="1941">
        <v>74</v>
      </c>
      <c r="T235" s="1938">
        <f>'HIRE CHG OF MECH.'!F28</f>
        <v>524.70000000000005</v>
      </c>
      <c r="U235" s="1942">
        <f>'HIRE CHG OF MECH.'!F58</f>
        <v>114.54</v>
      </c>
      <c r="V235" s="1936">
        <v>339</v>
      </c>
      <c r="W235" s="1941">
        <v>74</v>
      </c>
      <c r="X235" s="1940" t="s">
        <v>339</v>
      </c>
      <c r="Y235" s="164" t="s">
        <v>205</v>
      </c>
      <c r="Z235" s="140"/>
      <c r="AA235" s="140"/>
    </row>
    <row r="236" spans="1:27" s="1741" customFormat="1" ht="12.75" hidden="1" customHeight="1">
      <c r="A236" s="1926">
        <f t="shared" si="61"/>
        <v>17</v>
      </c>
      <c r="B236" s="1927" t="s">
        <v>340</v>
      </c>
      <c r="C236" s="1928"/>
      <c r="D236" s="1929"/>
      <c r="E236" s="1930" t="s">
        <v>312</v>
      </c>
      <c r="F236" s="1931"/>
      <c r="G236" s="1932">
        <f t="shared" si="58"/>
        <v>900.84</v>
      </c>
      <c r="H236" s="1926">
        <f t="shared" si="60"/>
        <v>18</v>
      </c>
      <c r="I236" s="1928" t="s">
        <v>311</v>
      </c>
      <c r="J236" s="1928"/>
      <c r="K236" s="1931"/>
      <c r="L236" s="1933" t="s">
        <v>312</v>
      </c>
      <c r="M236" s="1934">
        <f t="shared" si="59"/>
        <v>229.55</v>
      </c>
      <c r="N236" s="1866"/>
      <c r="Q236" s="1935" t="s">
        <v>340</v>
      </c>
      <c r="R236" s="1936">
        <v>582</v>
      </c>
      <c r="S236" s="1941">
        <v>177</v>
      </c>
      <c r="T236" s="1938">
        <f>'HIRE CHG OF MECH.'!F31</f>
        <v>900.84</v>
      </c>
      <c r="U236" s="1942">
        <f>'HIRE CHG OF MECH.'!F86</f>
        <v>229.55</v>
      </c>
      <c r="V236" s="1936">
        <v>582</v>
      </c>
      <c r="W236" s="1941">
        <v>177</v>
      </c>
      <c r="X236" s="1940" t="s">
        <v>311</v>
      </c>
      <c r="Y236" s="164" t="s">
        <v>205</v>
      </c>
      <c r="Z236" s="140"/>
      <c r="AA236" s="140"/>
    </row>
    <row r="237" spans="1:27" s="1741" customFormat="1" ht="12.75" hidden="1" customHeight="1">
      <c r="A237" s="1926">
        <f t="shared" si="61"/>
        <v>19</v>
      </c>
      <c r="B237" s="1927" t="s">
        <v>341</v>
      </c>
      <c r="C237" s="1928"/>
      <c r="D237" s="1929"/>
      <c r="E237" s="1930" t="s">
        <v>312</v>
      </c>
      <c r="F237" s="1931"/>
      <c r="G237" s="1932">
        <f t="shared" si="58"/>
        <v>357.55</v>
      </c>
      <c r="H237" s="1926">
        <f t="shared" si="60"/>
        <v>20</v>
      </c>
      <c r="I237" s="1928" t="s">
        <v>342</v>
      </c>
      <c r="J237" s="1928"/>
      <c r="K237" s="1931"/>
      <c r="L237" s="1933" t="s">
        <v>312</v>
      </c>
      <c r="M237" s="1934">
        <f t="shared" si="59"/>
        <v>153.22999999999999</v>
      </c>
      <c r="N237" s="1866"/>
      <c r="Q237" s="1935" t="s">
        <v>341</v>
      </c>
      <c r="R237" s="1936">
        <f>'HIRE CHG OF MECH.'!F32</f>
        <v>357.55</v>
      </c>
      <c r="S237" s="1941">
        <v>106</v>
      </c>
      <c r="T237" s="1938">
        <f>'HIRE CHG OF MECH.'!F32</f>
        <v>357.55</v>
      </c>
      <c r="U237" s="1942">
        <f>'HIRE CHG OF MECH.'!F88</f>
        <v>153.22999999999999</v>
      </c>
      <c r="V237" s="1936">
        <v>231</v>
      </c>
      <c r="W237" s="1941">
        <v>106</v>
      </c>
      <c r="X237" s="1940" t="s">
        <v>342</v>
      </c>
      <c r="Y237" s="164" t="s">
        <v>205</v>
      </c>
      <c r="Z237" s="140"/>
      <c r="AA237" s="140"/>
    </row>
    <row r="238" spans="1:27" s="1741" customFormat="1" ht="12.75" hidden="1" customHeight="1">
      <c r="A238" s="1926">
        <f t="shared" si="61"/>
        <v>21</v>
      </c>
      <c r="B238" s="1927" t="s">
        <v>343</v>
      </c>
      <c r="C238" s="1928"/>
      <c r="D238" s="1929"/>
      <c r="E238" s="1930" t="s">
        <v>312</v>
      </c>
      <c r="F238" s="1931"/>
      <c r="G238" s="1932">
        <f t="shared" si="58"/>
        <v>373.55</v>
      </c>
      <c r="H238" s="1926">
        <f t="shared" si="60"/>
        <v>22</v>
      </c>
      <c r="I238" s="1928" t="s">
        <v>344</v>
      </c>
      <c r="J238" s="1928"/>
      <c r="K238" s="1928"/>
      <c r="L238" s="1933" t="s">
        <v>312</v>
      </c>
      <c r="M238" s="1934">
        <f t="shared" si="59"/>
        <v>300</v>
      </c>
      <c r="N238" s="1866"/>
      <c r="Q238" s="1935" t="s">
        <v>343</v>
      </c>
      <c r="R238" s="1936">
        <v>242</v>
      </c>
      <c r="S238" s="1941">
        <v>300</v>
      </c>
      <c r="T238" s="1938">
        <f>'HIRE CHG OF MECH.'!F32+'HIRE CHG OF MECH.'!F33</f>
        <v>373.55</v>
      </c>
      <c r="U238" s="1945">
        <v>300</v>
      </c>
      <c r="V238" s="1936">
        <v>242</v>
      </c>
      <c r="W238" s="1941">
        <v>300</v>
      </c>
      <c r="X238" s="1940" t="s">
        <v>344</v>
      </c>
      <c r="Y238" s="164" t="s">
        <v>205</v>
      </c>
      <c r="Z238" s="140"/>
      <c r="AA238" s="140"/>
    </row>
    <row r="239" spans="1:27" s="1741" customFormat="1" ht="12.75" hidden="1" customHeight="1">
      <c r="A239" s="1926">
        <f t="shared" si="61"/>
        <v>23</v>
      </c>
      <c r="B239" s="1927" t="s">
        <v>345</v>
      </c>
      <c r="C239" s="1928"/>
      <c r="D239" s="1929"/>
      <c r="E239" s="1930" t="s">
        <v>312</v>
      </c>
      <c r="F239" s="1931"/>
      <c r="G239" s="1932">
        <f t="shared" si="58"/>
        <v>378.55</v>
      </c>
      <c r="H239" s="1926">
        <f t="shared" si="60"/>
        <v>24</v>
      </c>
      <c r="I239" s="1946" t="s">
        <v>313</v>
      </c>
      <c r="J239" s="1946"/>
      <c r="K239" s="1928"/>
      <c r="L239" s="1933" t="s">
        <v>312</v>
      </c>
      <c r="M239" s="1934">
        <f t="shared" si="59"/>
        <v>700</v>
      </c>
      <c r="N239" s="1866"/>
      <c r="Q239" s="1935" t="s">
        <v>345</v>
      </c>
      <c r="R239" s="1936">
        <v>249</v>
      </c>
      <c r="S239" s="1941">
        <v>240</v>
      </c>
      <c r="T239" s="1938">
        <f>'HIRE CHG OF MECH.'!F32+'HIRE CHG OF MECH.'!F34</f>
        <v>378.55</v>
      </c>
      <c r="U239" s="1942">
        <f>'HIRE CHG OF MECH.'!F99</f>
        <v>700</v>
      </c>
      <c r="V239" s="1936">
        <v>249</v>
      </c>
      <c r="W239" s="1941">
        <v>240</v>
      </c>
      <c r="X239" s="1947" t="s">
        <v>313</v>
      </c>
      <c r="Y239" s="164" t="s">
        <v>205</v>
      </c>
      <c r="Z239" s="140"/>
      <c r="AA239" s="140"/>
    </row>
    <row r="240" spans="1:27" s="1741" customFormat="1" ht="12.75" hidden="1" customHeight="1">
      <c r="A240" s="1926">
        <f t="shared" si="61"/>
        <v>25</v>
      </c>
      <c r="B240" s="1927" t="s">
        <v>346</v>
      </c>
      <c r="C240" s="1931"/>
      <c r="D240" s="1929"/>
      <c r="E240" s="1930" t="s">
        <v>312</v>
      </c>
      <c r="F240" s="1931"/>
      <c r="G240" s="1932">
        <f t="shared" si="58"/>
        <v>585</v>
      </c>
      <c r="H240" s="1926">
        <f t="shared" si="60"/>
        <v>26</v>
      </c>
      <c r="I240" s="1928" t="s">
        <v>347</v>
      </c>
      <c r="J240" s="1928"/>
      <c r="K240" s="1931"/>
      <c r="L240" s="1933" t="s">
        <v>312</v>
      </c>
      <c r="M240" s="1934">
        <f t="shared" si="59"/>
        <v>1341.16</v>
      </c>
      <c r="N240" s="1866"/>
      <c r="Q240" s="1935" t="s">
        <v>346</v>
      </c>
      <c r="R240" s="1948">
        <v>206</v>
      </c>
      <c r="S240" s="1941">
        <v>905</v>
      </c>
      <c r="T240" s="1949">
        <f>'HIRE CHG OF MECH.'!F35</f>
        <v>585</v>
      </c>
      <c r="U240" s="1942">
        <f>'HIRE CHG OF MECH.'!F101</f>
        <v>1341.16</v>
      </c>
      <c r="V240" s="1948">
        <v>206</v>
      </c>
      <c r="W240" s="1941">
        <v>905</v>
      </c>
      <c r="X240" s="1940" t="s">
        <v>347</v>
      </c>
      <c r="Y240" s="164" t="s">
        <v>205</v>
      </c>
      <c r="Z240" s="140"/>
      <c r="AA240" s="140"/>
    </row>
    <row r="241" spans="1:27" s="1741" customFormat="1" ht="12.75" hidden="1" customHeight="1">
      <c r="A241" s="1926">
        <f t="shared" si="61"/>
        <v>27</v>
      </c>
      <c r="B241" s="1927" t="s">
        <v>348</v>
      </c>
      <c r="C241" s="1928"/>
      <c r="D241" s="1929"/>
      <c r="E241" s="1930" t="s">
        <v>312</v>
      </c>
      <c r="F241" s="1931"/>
      <c r="G241" s="1932">
        <f t="shared" si="58"/>
        <v>1700</v>
      </c>
      <c r="H241" s="1926">
        <f t="shared" si="60"/>
        <v>28</v>
      </c>
      <c r="I241" s="1928" t="s">
        <v>349</v>
      </c>
      <c r="J241" s="1928"/>
      <c r="K241" s="1931"/>
      <c r="L241" s="1933" t="s">
        <v>312</v>
      </c>
      <c r="M241" s="1934">
        <f t="shared" si="59"/>
        <v>1600</v>
      </c>
      <c r="N241" s="1866"/>
      <c r="Q241" s="1935" t="s">
        <v>348</v>
      </c>
      <c r="R241" s="1936">
        <v>1036</v>
      </c>
      <c r="S241" s="1941">
        <v>1125</v>
      </c>
      <c r="T241" s="1938">
        <f>'HIRE CHG OF MECH.'!F40</f>
        <v>1700</v>
      </c>
      <c r="U241" s="1942">
        <f>'HIRE CHG OF MECH.'!F98</f>
        <v>1600</v>
      </c>
      <c r="V241" s="1936">
        <v>1036</v>
      </c>
      <c r="W241" s="1941">
        <v>1125</v>
      </c>
      <c r="X241" s="1940" t="s">
        <v>349</v>
      </c>
      <c r="Y241" s="164" t="s">
        <v>205</v>
      </c>
      <c r="Z241" s="140"/>
      <c r="AA241" s="140"/>
    </row>
    <row r="242" spans="1:27" s="1741" customFormat="1" ht="12.75" hidden="1" customHeight="1">
      <c r="A242" s="1926">
        <f t="shared" si="61"/>
        <v>29</v>
      </c>
      <c r="B242" s="1927" t="s">
        <v>350</v>
      </c>
      <c r="C242" s="1931"/>
      <c r="D242" s="1929"/>
      <c r="E242" s="1930" t="s">
        <v>312</v>
      </c>
      <c r="F242" s="1931"/>
      <c r="G242" s="1932">
        <f t="shared" si="58"/>
        <v>356</v>
      </c>
      <c r="H242" s="1926">
        <f t="shared" si="60"/>
        <v>30</v>
      </c>
      <c r="I242" s="1946" t="s">
        <v>351</v>
      </c>
      <c r="J242" s="1946"/>
      <c r="K242" s="1928"/>
      <c r="L242" s="1933" t="s">
        <v>312</v>
      </c>
      <c r="M242" s="1934">
        <f t="shared" si="59"/>
        <v>300</v>
      </c>
      <c r="N242" s="1866"/>
      <c r="Q242" s="1935" t="s">
        <v>350</v>
      </c>
      <c r="R242" s="1948">
        <v>230</v>
      </c>
      <c r="S242" s="1941">
        <v>60</v>
      </c>
      <c r="T242" s="1949">
        <f>'HIRE CHG OF MECH.'!F41</f>
        <v>356</v>
      </c>
      <c r="U242" s="1942">
        <f>'HIRE CHG OF MECH.'!F106</f>
        <v>300</v>
      </c>
      <c r="V242" s="1948">
        <v>230</v>
      </c>
      <c r="W242" s="1941">
        <v>60</v>
      </c>
      <c r="X242" s="1947" t="s">
        <v>351</v>
      </c>
      <c r="Y242" s="164" t="s">
        <v>205</v>
      </c>
      <c r="Z242" s="140"/>
      <c r="AA242" s="140"/>
    </row>
    <row r="243" spans="1:27" s="1741" customFormat="1" ht="12.75" hidden="1" customHeight="1">
      <c r="A243" s="1950" t="s">
        <v>352</v>
      </c>
      <c r="B243" s="1951" t="s">
        <v>353</v>
      </c>
      <c r="C243" s="1952"/>
      <c r="D243" s="1953"/>
      <c r="E243" s="1954"/>
      <c r="F243" s="1954"/>
      <c r="G243" s="1953"/>
      <c r="H243" s="1953"/>
      <c r="I243" s="1953"/>
      <c r="J243" s="1955"/>
      <c r="K243" s="1791"/>
      <c r="L243" s="1956"/>
      <c r="M243" s="1957"/>
      <c r="N243" s="1866"/>
      <c r="Q243" s="1958"/>
      <c r="R243" s="2947" t="s">
        <v>194</v>
      </c>
      <c r="S243" s="2947"/>
      <c r="T243" s="2957" t="s">
        <v>195</v>
      </c>
      <c r="U243" s="2957"/>
      <c r="V243" s="2947" t="s">
        <v>196</v>
      </c>
      <c r="W243" s="2947"/>
      <c r="X243" s="1742"/>
      <c r="Y243" s="164" t="s">
        <v>205</v>
      </c>
      <c r="Z243" s="140"/>
      <c r="AA243" s="140"/>
    </row>
    <row r="244" spans="1:27" s="1739" customFormat="1" ht="12.75" hidden="1" customHeight="1">
      <c r="A244" s="1959" t="s">
        <v>22</v>
      </c>
      <c r="B244" s="2980" t="s">
        <v>197</v>
      </c>
      <c r="C244" s="2980"/>
      <c r="D244" s="2980"/>
      <c r="E244" s="1960" t="s">
        <v>198</v>
      </c>
      <c r="F244" s="1774"/>
      <c r="G244" s="1961" t="s">
        <v>199</v>
      </c>
      <c r="H244" s="1959" t="s">
        <v>22</v>
      </c>
      <c r="I244" s="2981" t="s">
        <v>197</v>
      </c>
      <c r="J244" s="2982"/>
      <c r="K244" s="2982"/>
      <c r="L244" s="1960" t="s">
        <v>200</v>
      </c>
      <c r="M244" s="1961" t="s">
        <v>199</v>
      </c>
      <c r="N244" s="1962"/>
      <c r="O244" s="1741"/>
      <c r="P244" s="1741"/>
      <c r="Q244" s="1963" t="str">
        <f>I244</f>
        <v>Materials link with Analysis</v>
      </c>
      <c r="R244" s="1964" t="s">
        <v>199</v>
      </c>
      <c r="S244" s="1712" t="s">
        <v>199</v>
      </c>
      <c r="T244" s="1965" t="s">
        <v>199</v>
      </c>
      <c r="U244" s="1965" t="s">
        <v>199</v>
      </c>
      <c r="V244" s="1964" t="s">
        <v>199</v>
      </c>
      <c r="W244" s="1966" t="s">
        <v>199</v>
      </c>
      <c r="X244" s="1967"/>
      <c r="Y244" s="1700" t="s">
        <v>205</v>
      </c>
      <c r="Z244" s="1699"/>
      <c r="AA244" s="1699"/>
    </row>
    <row r="245" spans="1:27" s="1741" customFormat="1" ht="12.75" hidden="1" customHeight="1">
      <c r="A245" s="1926">
        <v>1</v>
      </c>
      <c r="B245" s="1927" t="s">
        <v>354</v>
      </c>
      <c r="C245" s="1928"/>
      <c r="D245" s="1929"/>
      <c r="E245" s="1933" t="s">
        <v>355</v>
      </c>
      <c r="F245" s="1774"/>
      <c r="G245" s="1932">
        <f t="shared" ref="G245:G254" si="62">T245</f>
        <v>10</v>
      </c>
      <c r="H245" s="1926">
        <f>A245+1</f>
        <v>2</v>
      </c>
      <c r="I245" s="1927" t="s">
        <v>206</v>
      </c>
      <c r="J245" s="1928"/>
      <c r="K245" s="1968"/>
      <c r="L245" s="1933" t="s">
        <v>284</v>
      </c>
      <c r="M245" s="1969">
        <f t="shared" ref="M245:M254" si="63">U245</f>
        <v>90.1</v>
      </c>
      <c r="N245" s="1866"/>
      <c r="Q245" s="1970" t="s">
        <v>354</v>
      </c>
      <c r="R245" s="1936">
        <v>10</v>
      </c>
      <c r="S245" s="1941">
        <v>60</v>
      </c>
      <c r="T245" s="1938">
        <v>10</v>
      </c>
      <c r="U245" s="1942">
        <f>'BASIC COST OF MATL'!K188</f>
        <v>90.1</v>
      </c>
      <c r="V245" s="1936">
        <v>10</v>
      </c>
      <c r="W245" s="1941">
        <v>60</v>
      </c>
      <c r="X245" s="1935" t="s">
        <v>206</v>
      </c>
      <c r="Y245" s="164" t="s">
        <v>205</v>
      </c>
      <c r="Z245" s="140"/>
      <c r="AA245" s="140"/>
    </row>
    <row r="246" spans="1:27" s="1741" customFormat="1" ht="12.75" hidden="1" customHeight="1">
      <c r="A246" s="1926">
        <f>A245+2</f>
        <v>3</v>
      </c>
      <c r="B246" s="1971" t="s">
        <v>356</v>
      </c>
      <c r="C246" s="1972"/>
      <c r="D246" s="1973"/>
      <c r="E246" s="1933" t="s">
        <v>357</v>
      </c>
      <c r="F246" s="1774"/>
      <c r="G246" s="1932">
        <f t="shared" si="62"/>
        <v>3</v>
      </c>
      <c r="H246" s="1926">
        <f>H245+2</f>
        <v>4</v>
      </c>
      <c r="I246" s="1927" t="s">
        <v>358</v>
      </c>
      <c r="J246" s="1928"/>
      <c r="K246" s="1968"/>
      <c r="L246" s="1933" t="s">
        <v>37</v>
      </c>
      <c r="M246" s="1969">
        <f t="shared" si="63"/>
        <v>5</v>
      </c>
      <c r="N246" s="1866"/>
      <c r="Q246" s="1974" t="s">
        <v>356</v>
      </c>
      <c r="R246" s="1936">
        <v>3</v>
      </c>
      <c r="S246" s="1941">
        <v>5</v>
      </c>
      <c r="T246" s="1938">
        <v>3</v>
      </c>
      <c r="U246" s="1945">
        <v>5</v>
      </c>
      <c r="V246" s="1936">
        <v>3</v>
      </c>
      <c r="W246" s="1941">
        <v>5</v>
      </c>
      <c r="X246" s="1935" t="s">
        <v>358</v>
      </c>
      <c r="Y246" s="164" t="s">
        <v>205</v>
      </c>
      <c r="Z246" s="140"/>
      <c r="AA246" s="140"/>
    </row>
    <row r="247" spans="1:27" s="1741" customFormat="1" ht="12.75" hidden="1" customHeight="1">
      <c r="A247" s="1926">
        <f t="shared" ref="A247:A254" si="64">A246+2</f>
        <v>5</v>
      </c>
      <c r="B247" s="1971" t="s">
        <v>359</v>
      </c>
      <c r="C247" s="1928"/>
      <c r="D247" s="1929"/>
      <c r="E247" s="1933" t="s">
        <v>91</v>
      </c>
      <c r="F247" s="1774"/>
      <c r="G247" s="1932">
        <f t="shared" si="62"/>
        <v>3000</v>
      </c>
      <c r="H247" s="1926">
        <f t="shared" ref="H247:H254" si="65">H246+2</f>
        <v>6</v>
      </c>
      <c r="I247" s="1927" t="s">
        <v>360</v>
      </c>
      <c r="J247" s="1928"/>
      <c r="K247" s="1968"/>
      <c r="L247" s="1933" t="s">
        <v>116</v>
      </c>
      <c r="M247" s="1969">
        <f t="shared" si="63"/>
        <v>40</v>
      </c>
      <c r="N247" s="1866"/>
      <c r="Q247" s="1974" t="s">
        <v>361</v>
      </c>
      <c r="R247" s="1936">
        <v>3000</v>
      </c>
      <c r="S247" s="1941">
        <v>40</v>
      </c>
      <c r="T247" s="1938">
        <v>3000</v>
      </c>
      <c r="U247" s="1945">
        <v>40</v>
      </c>
      <c r="V247" s="1936">
        <v>3000</v>
      </c>
      <c r="W247" s="1941">
        <v>40</v>
      </c>
      <c r="X247" s="1935" t="s">
        <v>360</v>
      </c>
      <c r="Y247" s="164" t="s">
        <v>205</v>
      </c>
      <c r="Z247" s="140"/>
      <c r="AA247" s="140"/>
    </row>
    <row r="248" spans="1:27" s="1741" customFormat="1" ht="12.75" hidden="1" customHeight="1">
      <c r="A248" s="1926">
        <f t="shared" si="64"/>
        <v>7</v>
      </c>
      <c r="B248" s="1927" t="s">
        <v>362</v>
      </c>
      <c r="C248" s="1928"/>
      <c r="D248" s="1929"/>
      <c r="E248" s="1933" t="s">
        <v>116</v>
      </c>
      <c r="F248" s="1774"/>
      <c r="G248" s="1932">
        <f t="shared" si="62"/>
        <v>50</v>
      </c>
      <c r="H248" s="1926">
        <f t="shared" si="65"/>
        <v>8</v>
      </c>
      <c r="I248" s="1927" t="s">
        <v>363</v>
      </c>
      <c r="J248" s="1928"/>
      <c r="K248" s="1968"/>
      <c r="L248" s="1933" t="s">
        <v>116</v>
      </c>
      <c r="M248" s="1969">
        <f t="shared" si="63"/>
        <v>40</v>
      </c>
      <c r="N248" s="1866"/>
      <c r="Q248" s="1970" t="s">
        <v>362</v>
      </c>
      <c r="R248" s="1936">
        <v>50</v>
      </c>
      <c r="S248" s="1941">
        <v>40</v>
      </c>
      <c r="T248" s="1938">
        <v>50</v>
      </c>
      <c r="U248" s="1945">
        <v>40</v>
      </c>
      <c r="V248" s="1936">
        <v>50</v>
      </c>
      <c r="W248" s="1941">
        <v>40</v>
      </c>
      <c r="X248" s="1935" t="s">
        <v>363</v>
      </c>
      <c r="Y248" s="164" t="s">
        <v>205</v>
      </c>
      <c r="Z248" s="140"/>
      <c r="AA248" s="140"/>
    </row>
    <row r="249" spans="1:27" s="1741" customFormat="1" ht="12.75" hidden="1" customHeight="1">
      <c r="A249" s="1926">
        <f t="shared" si="64"/>
        <v>9</v>
      </c>
      <c r="B249" s="1927" t="s">
        <v>364</v>
      </c>
      <c r="C249" s="1928"/>
      <c r="D249" s="1929"/>
      <c r="E249" s="1933" t="s">
        <v>136</v>
      </c>
      <c r="F249" s="1774"/>
      <c r="G249" s="1932">
        <f t="shared" si="62"/>
        <v>12</v>
      </c>
      <c r="H249" s="1926">
        <f t="shared" si="65"/>
        <v>10</v>
      </c>
      <c r="I249" s="1927" t="s">
        <v>365</v>
      </c>
      <c r="J249" s="1928"/>
      <c r="K249" s="1968"/>
      <c r="L249" s="1933" t="s">
        <v>357</v>
      </c>
      <c r="M249" s="1969">
        <f t="shared" si="63"/>
        <v>1048</v>
      </c>
      <c r="N249" s="1866"/>
      <c r="Q249" s="1970" t="s">
        <v>364</v>
      </c>
      <c r="R249" s="1936">
        <v>12</v>
      </c>
      <c r="S249" s="1941">
        <v>1048</v>
      </c>
      <c r="T249" s="1938">
        <v>12</v>
      </c>
      <c r="U249" s="1945">
        <v>1048</v>
      </c>
      <c r="V249" s="1936">
        <v>12</v>
      </c>
      <c r="W249" s="1941">
        <v>1048</v>
      </c>
      <c r="X249" s="1935" t="s">
        <v>365</v>
      </c>
      <c r="Y249" s="164" t="s">
        <v>205</v>
      </c>
      <c r="Z249" s="140"/>
      <c r="AA249" s="140"/>
    </row>
    <row r="250" spans="1:27" s="1741" customFormat="1" ht="12.75" hidden="1" customHeight="1">
      <c r="A250" s="1926">
        <f t="shared" si="64"/>
        <v>11</v>
      </c>
      <c r="B250" s="1927" t="s">
        <v>366</v>
      </c>
      <c r="C250" s="1928"/>
      <c r="D250" s="1929"/>
      <c r="E250" s="1933" t="s">
        <v>136</v>
      </c>
      <c r="F250" s="1774"/>
      <c r="G250" s="1932">
        <f t="shared" si="62"/>
        <v>60</v>
      </c>
      <c r="H250" s="1926">
        <f t="shared" si="65"/>
        <v>12</v>
      </c>
      <c r="I250" s="1975" t="s">
        <v>367</v>
      </c>
      <c r="J250" s="1928"/>
      <c r="K250" s="1968"/>
      <c r="L250" s="1976" t="s">
        <v>136</v>
      </c>
      <c r="M250" s="1969">
        <f t="shared" si="63"/>
        <v>60</v>
      </c>
      <c r="N250" s="1866"/>
      <c r="Q250" s="1970" t="s">
        <v>366</v>
      </c>
      <c r="R250" s="1936">
        <v>60</v>
      </c>
      <c r="S250" s="1941">
        <v>60</v>
      </c>
      <c r="T250" s="1938">
        <v>60</v>
      </c>
      <c r="U250" s="1945">
        <v>60</v>
      </c>
      <c r="V250" s="1936">
        <v>60</v>
      </c>
      <c r="W250" s="1941">
        <v>60</v>
      </c>
      <c r="X250" s="1977" t="s">
        <v>367</v>
      </c>
      <c r="Y250" s="164" t="s">
        <v>205</v>
      </c>
      <c r="Z250" s="140"/>
      <c r="AA250" s="140"/>
    </row>
    <row r="251" spans="1:27" s="1741" customFormat="1" ht="12.75" hidden="1" customHeight="1">
      <c r="A251" s="1926">
        <f t="shared" si="64"/>
        <v>13</v>
      </c>
      <c r="B251" s="1975" t="s">
        <v>368</v>
      </c>
      <c r="C251" s="1928"/>
      <c r="D251" s="1929"/>
      <c r="E251" s="1978" t="s">
        <v>369</v>
      </c>
      <c r="F251" s="1774"/>
      <c r="G251" s="1932">
        <f t="shared" si="62"/>
        <v>160</v>
      </c>
      <c r="H251" s="1926">
        <f t="shared" si="65"/>
        <v>14</v>
      </c>
      <c r="I251" s="1975" t="s">
        <v>370</v>
      </c>
      <c r="J251" s="1928"/>
      <c r="K251" s="1968"/>
      <c r="L251" s="1976" t="s">
        <v>37</v>
      </c>
      <c r="M251" s="1969">
        <f t="shared" si="63"/>
        <v>10</v>
      </c>
      <c r="N251" s="1866"/>
      <c r="Q251" s="1977" t="s">
        <v>368</v>
      </c>
      <c r="R251" s="1936">
        <v>160</v>
      </c>
      <c r="S251" s="1941">
        <v>10</v>
      </c>
      <c r="T251" s="1938">
        <v>160</v>
      </c>
      <c r="U251" s="1945">
        <v>10</v>
      </c>
      <c r="V251" s="1936">
        <v>160</v>
      </c>
      <c r="W251" s="1941">
        <v>10</v>
      </c>
      <c r="X251" s="1977" t="s">
        <v>370</v>
      </c>
      <c r="Y251" s="164" t="s">
        <v>205</v>
      </c>
      <c r="Z251" s="140"/>
      <c r="AA251" s="140"/>
    </row>
    <row r="252" spans="1:27" s="1741" customFormat="1" ht="12.75" hidden="1" customHeight="1">
      <c r="A252" s="1926">
        <f t="shared" si="64"/>
        <v>15</v>
      </c>
      <c r="B252" s="1975" t="s">
        <v>371</v>
      </c>
      <c r="C252" s="1928"/>
      <c r="D252" s="1929"/>
      <c r="E252" s="1978" t="s">
        <v>284</v>
      </c>
      <c r="F252" s="1774"/>
      <c r="G252" s="1932">
        <f t="shared" si="62"/>
        <v>50</v>
      </c>
      <c r="H252" s="1926">
        <f t="shared" si="65"/>
        <v>16</v>
      </c>
      <c r="I252" s="1975" t="s">
        <v>372</v>
      </c>
      <c r="J252" s="1928"/>
      <c r="K252" s="1968"/>
      <c r="L252" s="1976" t="s">
        <v>37</v>
      </c>
      <c r="M252" s="1969">
        <f t="shared" si="63"/>
        <v>6</v>
      </c>
      <c r="N252" s="1866"/>
      <c r="Q252" s="1977" t="s">
        <v>371</v>
      </c>
      <c r="R252" s="1936">
        <v>50</v>
      </c>
      <c r="S252" s="1941">
        <v>6</v>
      </c>
      <c r="T252" s="1938">
        <v>50</v>
      </c>
      <c r="U252" s="1945">
        <v>6</v>
      </c>
      <c r="V252" s="1936">
        <v>50</v>
      </c>
      <c r="W252" s="1941">
        <v>6</v>
      </c>
      <c r="X252" s="1977" t="s">
        <v>372</v>
      </c>
      <c r="Y252" s="164" t="s">
        <v>205</v>
      </c>
      <c r="Z252" s="140"/>
      <c r="AA252" s="140"/>
    </row>
    <row r="253" spans="1:27" s="1741" customFormat="1" ht="12.75" hidden="1" customHeight="1">
      <c r="A253" s="1926">
        <f t="shared" si="64"/>
        <v>17</v>
      </c>
      <c r="B253" s="1927" t="s">
        <v>208</v>
      </c>
      <c r="C253" s="1979"/>
      <c r="D253" s="1929"/>
      <c r="E253" s="1933" t="s">
        <v>49</v>
      </c>
      <c r="F253" s="1774"/>
      <c r="G253" s="1932">
        <f t="shared" si="62"/>
        <v>58374.79</v>
      </c>
      <c r="H253" s="1926">
        <f t="shared" si="65"/>
        <v>18</v>
      </c>
      <c r="I253" s="1927" t="s">
        <v>207</v>
      </c>
      <c r="J253" s="1928"/>
      <c r="K253" s="1968"/>
      <c r="L253" s="1933" t="s">
        <v>136</v>
      </c>
      <c r="M253" s="1969">
        <f t="shared" si="63"/>
        <v>30.81</v>
      </c>
      <c r="N253" s="1866"/>
      <c r="Q253" s="1935" t="s">
        <v>208</v>
      </c>
      <c r="R253" s="1980">
        <v>16800</v>
      </c>
      <c r="S253" s="1937">
        <v>40</v>
      </c>
      <c r="T253" s="1981">
        <f>'BASIC COST OF MATL'!K120</f>
        <v>58374.79</v>
      </c>
      <c r="U253" s="1982">
        <f>'BASIC COST OF MATL'!K108</f>
        <v>30.81</v>
      </c>
      <c r="V253" s="1980">
        <v>16600</v>
      </c>
      <c r="W253" s="1983">
        <v>42</v>
      </c>
      <c r="X253" s="1935" t="s">
        <v>207</v>
      </c>
      <c r="Y253" s="164" t="s">
        <v>205</v>
      </c>
      <c r="Z253" s="140"/>
      <c r="AA253" s="140"/>
    </row>
    <row r="254" spans="1:27" s="1741" customFormat="1" ht="12.75" hidden="1" customHeight="1">
      <c r="A254" s="1926">
        <f t="shared" si="64"/>
        <v>19</v>
      </c>
      <c r="B254" s="1927" t="s">
        <v>204</v>
      </c>
      <c r="C254" s="1979"/>
      <c r="D254" s="1929"/>
      <c r="E254" s="1933" t="s">
        <v>136</v>
      </c>
      <c r="F254" s="1774"/>
      <c r="G254" s="1932">
        <f t="shared" si="62"/>
        <v>51.87</v>
      </c>
      <c r="H254" s="1926">
        <f t="shared" si="65"/>
        <v>20</v>
      </c>
      <c r="I254" s="1927" t="s">
        <v>209</v>
      </c>
      <c r="J254" s="1928"/>
      <c r="K254" s="1968"/>
      <c r="L254" s="1933" t="s">
        <v>136</v>
      </c>
      <c r="M254" s="1969">
        <f t="shared" si="63"/>
        <v>41.81</v>
      </c>
      <c r="N254" s="1866"/>
      <c r="Q254" s="1935" t="s">
        <v>204</v>
      </c>
      <c r="R254" s="1984">
        <v>84</v>
      </c>
      <c r="S254" s="1937">
        <v>60</v>
      </c>
      <c r="T254" s="1981">
        <f>'BASIC COST OF MATL'!K100</f>
        <v>51.87</v>
      </c>
      <c r="U254" s="1982">
        <f>'BASIC COST OF MATL'!K110</f>
        <v>41.81</v>
      </c>
      <c r="V254" s="1984">
        <v>86</v>
      </c>
      <c r="W254" s="1983">
        <v>65</v>
      </c>
      <c r="X254" s="1935" t="s">
        <v>209</v>
      </c>
      <c r="Y254" s="164" t="s">
        <v>205</v>
      </c>
      <c r="Z254" s="140"/>
      <c r="AA254" s="140"/>
    </row>
    <row r="255" spans="1:27" s="175" customFormat="1" hidden="1">
      <c r="A255" s="1775"/>
      <c r="B255" s="1985"/>
      <c r="C255" s="1986"/>
      <c r="D255" s="1985"/>
      <c r="E255" s="1987"/>
      <c r="F255" s="1987"/>
      <c r="G255" s="1985"/>
      <c r="H255" s="1985"/>
      <c r="I255" s="1985"/>
      <c r="J255" s="1798"/>
      <c r="K255" s="1797"/>
      <c r="L255" s="1797"/>
      <c r="M255" s="1850"/>
      <c r="N255" s="1850"/>
      <c r="O255" s="1850"/>
      <c r="P255" s="1850"/>
      <c r="R255" s="1705"/>
      <c r="S255" s="1705"/>
      <c r="T255" s="1706"/>
      <c r="U255" s="1701"/>
      <c r="V255" s="1988"/>
      <c r="W255" s="1705"/>
      <c r="X255" s="1707"/>
      <c r="Y255" s="1709"/>
      <c r="Z255" s="1709"/>
      <c r="AA255" s="1709"/>
    </row>
    <row r="256" spans="1:27" s="175" customFormat="1" hidden="1">
      <c r="A256" s="1775"/>
      <c r="B256" s="1985"/>
      <c r="C256" s="1986"/>
      <c r="D256" s="1985"/>
      <c r="E256" s="1987"/>
      <c r="F256" s="1987"/>
      <c r="G256" s="1985"/>
      <c r="H256" s="1985"/>
      <c r="I256" s="1985"/>
      <c r="J256" s="1798"/>
      <c r="K256" s="1797"/>
      <c r="L256" s="1797"/>
      <c r="M256" s="1850"/>
      <c r="N256" s="1850"/>
      <c r="O256" s="1850"/>
      <c r="P256" s="1850"/>
      <c r="R256" s="1705"/>
      <c r="S256" s="1705"/>
      <c r="T256" s="1706"/>
      <c r="U256" s="1701"/>
      <c r="V256" s="1988"/>
      <c r="W256" s="1705"/>
      <c r="X256" s="1707"/>
      <c r="Y256" s="1709"/>
      <c r="Z256" s="1709"/>
      <c r="AA256" s="1709"/>
    </row>
    <row r="257" spans="1:27" s="175" customFormat="1" hidden="1">
      <c r="A257" s="1775"/>
      <c r="B257" s="1985"/>
      <c r="C257" s="1986"/>
      <c r="D257" s="1985"/>
      <c r="E257" s="1987"/>
      <c r="F257" s="1987"/>
      <c r="G257" s="1985"/>
      <c r="H257" s="1985"/>
      <c r="I257" s="1985"/>
      <c r="J257" s="1798"/>
      <c r="K257" s="1797"/>
      <c r="L257" s="1797"/>
      <c r="M257" s="1850"/>
      <c r="N257" s="1850"/>
      <c r="O257" s="1850"/>
      <c r="P257" s="1850"/>
      <c r="R257" s="1705"/>
      <c r="S257" s="1705"/>
      <c r="T257" s="1706"/>
      <c r="U257" s="1701"/>
      <c r="V257" s="1988"/>
      <c r="W257" s="1705"/>
      <c r="X257" s="1707"/>
      <c r="Y257" s="1709"/>
      <c r="Z257" s="1709"/>
      <c r="AA257" s="1709"/>
    </row>
    <row r="258" spans="1:27" s="1759" customFormat="1" hidden="1">
      <c r="A258" s="1775"/>
      <c r="B258" s="2977" t="str">
        <f>B144</f>
        <v>Junior Engineer</v>
      </c>
      <c r="C258" s="2977"/>
      <c r="D258" s="1775"/>
      <c r="E258" s="1775"/>
      <c r="F258" s="1775"/>
      <c r="G258" s="1989"/>
      <c r="H258" s="1775" t="str">
        <f>G144</f>
        <v>Assistant Executive Engineer</v>
      </c>
      <c r="I258" s="1775"/>
      <c r="J258" s="1775"/>
      <c r="K258" s="1989"/>
      <c r="L258" s="1775" t="str">
        <f>L144</f>
        <v>Block Development Officer</v>
      </c>
      <c r="M258" s="1989"/>
      <c r="N258" s="1989"/>
      <c r="O258" s="1989"/>
      <c r="P258" s="1989"/>
    </row>
    <row r="259" spans="1:27" s="1759" customFormat="1" hidden="1">
      <c r="A259" s="1775"/>
      <c r="B259" s="2977" t="str">
        <f>B145</f>
        <v>Bhuban  Block</v>
      </c>
      <c r="C259" s="2977"/>
      <c r="D259" s="1775"/>
      <c r="E259" s="1775"/>
      <c r="F259" s="1775"/>
      <c r="G259" s="1989"/>
      <c r="H259" s="1775" t="str">
        <f>G145</f>
        <v>Bhuban  Block</v>
      </c>
      <c r="I259" s="1775"/>
      <c r="J259" s="1775"/>
      <c r="K259" s="1989"/>
      <c r="L259" s="1775" t="str">
        <f>L145</f>
        <v>Bhuban</v>
      </c>
      <c r="M259" s="1989"/>
      <c r="N259" s="1989"/>
      <c r="O259" s="1989"/>
      <c r="P259" s="1989"/>
      <c r="R259" s="1706"/>
      <c r="S259" s="1706"/>
      <c r="T259" s="1706"/>
      <c r="U259" s="1701"/>
      <c r="V259" s="1990"/>
      <c r="W259" s="1706"/>
      <c r="X259" s="196"/>
      <c r="Y259" s="1991"/>
      <c r="Z259" s="1991"/>
      <c r="AA259" s="1991"/>
    </row>
    <row r="260" spans="1:27" s="175" customFormat="1" hidden="1">
      <c r="A260" s="1775"/>
      <c r="B260" s="2978"/>
      <c r="C260" s="2978"/>
      <c r="D260" s="1992"/>
      <c r="E260" s="1775"/>
      <c r="F260" s="1775"/>
      <c r="G260" s="1985"/>
      <c r="H260" s="1992"/>
      <c r="I260" s="1992"/>
      <c r="J260" s="1992"/>
      <c r="K260" s="1985"/>
      <c r="L260" s="1992"/>
      <c r="M260" s="1985"/>
      <c r="N260" s="1985"/>
      <c r="O260" s="1985"/>
      <c r="P260" s="1985"/>
      <c r="R260" s="1705"/>
      <c r="S260" s="1705" t="s">
        <v>373</v>
      </c>
      <c r="T260" s="1706"/>
      <c r="U260" s="1701"/>
      <c r="V260" s="1988"/>
      <c r="W260" s="1705"/>
      <c r="X260" s="1707"/>
      <c r="Y260" s="1709"/>
      <c r="Z260" s="1709"/>
      <c r="AA260" s="1709"/>
    </row>
    <row r="261" spans="1:27" s="175" customFormat="1" hidden="1">
      <c r="A261" s="1775"/>
      <c r="B261" s="1992"/>
      <c r="C261" s="1992"/>
      <c r="D261" s="1992"/>
      <c r="E261" s="1775"/>
      <c r="F261" s="1775"/>
      <c r="G261" s="1985"/>
      <c r="H261" s="1992"/>
      <c r="I261" s="1992"/>
      <c r="J261" s="1992"/>
      <c r="K261" s="1985"/>
      <c r="L261" s="1992"/>
      <c r="M261" s="1985"/>
      <c r="N261" s="1985"/>
      <c r="O261" s="1985"/>
      <c r="P261" s="1985"/>
      <c r="R261" s="1705"/>
      <c r="S261" s="1705"/>
      <c r="T261" s="1706"/>
      <c r="U261" s="1701"/>
      <c r="V261" s="1988"/>
      <c r="W261" s="1705"/>
      <c r="X261" s="1707"/>
      <c r="Y261" s="1709"/>
      <c r="Z261" s="1709"/>
      <c r="AA261" s="1709"/>
    </row>
    <row r="262" spans="1:27" s="140" customFormat="1" ht="15.75">
      <c r="A262" s="2979" t="s">
        <v>374</v>
      </c>
      <c r="B262" s="2979"/>
      <c r="C262" s="2979"/>
      <c r="D262" s="2979"/>
      <c r="E262" s="2979"/>
      <c r="F262" s="2979"/>
      <c r="G262" s="2979"/>
      <c r="H262" s="2979"/>
      <c r="I262" s="2979"/>
      <c r="J262" s="2979"/>
      <c r="K262" s="2979"/>
      <c r="L262" s="2979"/>
      <c r="M262" s="2979"/>
      <c r="N262" s="2979"/>
      <c r="O262" s="1993"/>
      <c r="P262" s="1993"/>
      <c r="T262" s="1994"/>
    </row>
    <row r="263" spans="1:27" ht="18" customHeight="1">
      <c r="A263" s="2961" t="str">
        <f>A147</f>
        <v>NAME OF THE WORK:-</v>
      </c>
      <c r="B263" s="2961"/>
      <c r="C263" s="2961"/>
      <c r="D263" s="2962" t="str">
        <f>D2</f>
        <v>Dining Hall of Damasal School</v>
      </c>
      <c r="E263" s="2962"/>
      <c r="F263" s="2962"/>
      <c r="G263" s="2962"/>
      <c r="H263" s="2962"/>
      <c r="I263" s="2962"/>
      <c r="J263" s="2962"/>
      <c r="K263" s="2962"/>
      <c r="L263" s="2962"/>
      <c r="M263" s="2962"/>
      <c r="N263" s="2962"/>
      <c r="O263" s="1995"/>
      <c r="P263" s="1995"/>
    </row>
    <row r="264" spans="1:27" ht="18" customHeight="1">
      <c r="A264" s="2961" t="str">
        <f>A148</f>
        <v>NAME OF THE G.P.:-</v>
      </c>
      <c r="B264" s="2961"/>
      <c r="C264" s="2961"/>
      <c r="D264" s="2962" t="str">
        <f>D3</f>
        <v>Odisha</v>
      </c>
      <c r="E264" s="2962"/>
      <c r="F264" s="2962"/>
      <c r="G264" s="2962"/>
      <c r="H264" s="2962"/>
      <c r="I264" s="2962"/>
      <c r="J264" s="2962"/>
      <c r="K264" s="2962"/>
      <c r="L264" s="2962"/>
      <c r="M264" s="2962"/>
      <c r="N264" s="2962"/>
      <c r="O264" s="1995"/>
      <c r="P264" s="1995"/>
    </row>
    <row r="265" spans="1:27" ht="18" customHeight="1" thickBot="1">
      <c r="A265" s="2961" t="str">
        <f>A149</f>
        <v>NAME OF THE SCHEME:-</v>
      </c>
      <c r="B265" s="2961"/>
      <c r="C265" s="2961"/>
      <c r="D265" s="2962">
        <f>D4</f>
        <v>0</v>
      </c>
      <c r="E265" s="2962"/>
      <c r="F265" s="2962"/>
      <c r="G265" s="2962"/>
      <c r="H265" s="2962"/>
      <c r="I265" s="2962"/>
      <c r="J265" s="2962"/>
      <c r="K265" s="2962"/>
      <c r="L265" s="2962"/>
      <c r="M265" s="2962"/>
      <c r="N265" s="2962"/>
      <c r="O265" s="1995"/>
      <c r="P265" s="1995"/>
    </row>
    <row r="266" spans="1:27" s="1766" customFormat="1" ht="11.85" customHeight="1">
      <c r="A266" s="1996" t="s">
        <v>375</v>
      </c>
      <c r="B266" s="2965" t="s">
        <v>376</v>
      </c>
      <c r="C266" s="2966"/>
      <c r="D266" s="2966"/>
      <c r="E266" s="2966"/>
      <c r="F266" s="2967"/>
      <c r="G266" s="2965" t="s">
        <v>1</v>
      </c>
      <c r="H266" s="2971"/>
      <c r="I266" s="2965" t="s">
        <v>377</v>
      </c>
      <c r="J266" s="2972"/>
      <c r="K266" s="2974" t="s">
        <v>378</v>
      </c>
      <c r="L266" s="2974"/>
      <c r="M266" s="2975"/>
    </row>
    <row r="267" spans="1:27" s="1766" customFormat="1" ht="11.85" customHeight="1">
      <c r="A267" s="1997" t="s">
        <v>37</v>
      </c>
      <c r="B267" s="2968"/>
      <c r="C267" s="2969"/>
      <c r="D267" s="2969"/>
      <c r="E267" s="2969"/>
      <c r="F267" s="2970"/>
      <c r="G267" s="2968"/>
      <c r="H267" s="2946"/>
      <c r="I267" s="2968"/>
      <c r="J267" s="2973"/>
      <c r="K267" s="1711" t="s">
        <v>150</v>
      </c>
      <c r="L267" s="2905" t="s">
        <v>379</v>
      </c>
      <c r="M267" s="2976"/>
    </row>
    <row r="268" spans="1:27" s="1759" customFormat="1" ht="11.25" customHeight="1">
      <c r="A268" s="1998">
        <v>1</v>
      </c>
      <c r="B268" s="2909">
        <v>2</v>
      </c>
      <c r="C268" s="2983"/>
      <c r="D268" s="2983"/>
      <c r="E268" s="2983"/>
      <c r="F268" s="2910"/>
      <c r="G268" s="2909">
        <v>3</v>
      </c>
      <c r="H268" s="2910"/>
      <c r="I268" s="1809">
        <v>4</v>
      </c>
      <c r="J268" s="1711">
        <v>5</v>
      </c>
      <c r="K268" s="1711">
        <v>6</v>
      </c>
      <c r="L268" s="2905">
        <v>7</v>
      </c>
      <c r="M268" s="2976"/>
      <c r="N268" s="1766"/>
      <c r="O268" s="1766"/>
      <c r="P268" s="1766"/>
    </row>
    <row r="269" spans="1:27" s="175" customFormat="1">
      <c r="A269" s="2000" t="s">
        <v>380</v>
      </c>
      <c r="B269" s="1828"/>
      <c r="C269" s="2001"/>
      <c r="D269" s="2001"/>
      <c r="E269" s="2001"/>
      <c r="F269" s="2001"/>
      <c r="G269" s="2909"/>
      <c r="H269" s="2910"/>
      <c r="I269" s="1714"/>
      <c r="J269" s="1829"/>
      <c r="K269" s="1711"/>
      <c r="L269" s="2909"/>
      <c r="M269" s="2984"/>
      <c r="N269" s="1766"/>
      <c r="O269" s="1766"/>
      <c r="P269" s="1766"/>
      <c r="Q269" s="1706" t="str">
        <f>A269</f>
        <v>A) Dismantling of Different Items</v>
      </c>
      <c r="T269" s="1759"/>
    </row>
    <row r="270" spans="1:27" s="1741" customFormat="1" ht="13.5" customHeight="1">
      <c r="A270" s="1998">
        <v>1</v>
      </c>
      <c r="B270" s="2002" t="s">
        <v>3769</v>
      </c>
      <c r="C270" s="2003"/>
      <c r="D270" s="2003"/>
      <c r="E270" s="2003"/>
      <c r="F270" s="2003"/>
      <c r="G270" s="2882" t="s">
        <v>381</v>
      </c>
      <c r="H270" s="2883"/>
      <c r="I270" s="1723"/>
      <c r="J270" s="1721"/>
      <c r="K270" s="1721"/>
      <c r="L270" s="2884"/>
      <c r="M270" s="2885"/>
      <c r="O270" s="1735" t="s">
        <v>382</v>
      </c>
    </row>
    <row r="271" spans="1:27" s="175" customFormat="1" ht="13.5" customHeight="1">
      <c r="A271" s="2008" t="s">
        <v>383</v>
      </c>
      <c r="B271" s="2009" t="s">
        <v>384</v>
      </c>
      <c r="C271" s="2003"/>
      <c r="D271" s="2003"/>
      <c r="E271" s="2003"/>
      <c r="F271" s="2003"/>
      <c r="G271" s="2882" t="str">
        <f>G270</f>
        <v>Each Cum</v>
      </c>
      <c r="H271" s="2883"/>
      <c r="I271" s="1723">
        <f>K1313</f>
        <v>1116.9000000000001</v>
      </c>
      <c r="J271" s="1721"/>
      <c r="K271" s="1721">
        <f>I271+J271</f>
        <v>1116.9000000000001</v>
      </c>
      <c r="L271" s="2884">
        <f>ROUND(K271,1)</f>
        <v>1116.9000000000001</v>
      </c>
      <c r="M271" s="2885"/>
      <c r="N271" s="1767"/>
      <c r="O271" s="1759"/>
      <c r="P271" s="1767"/>
      <c r="Q271" s="1725" t="s">
        <v>385</v>
      </c>
      <c r="R271" s="1725"/>
      <c r="S271" s="1725"/>
    </row>
    <row r="272" spans="1:27" s="175" customFormat="1" ht="13.5" hidden="1" customHeight="1">
      <c r="A272" s="2008" t="s">
        <v>386</v>
      </c>
      <c r="B272" s="2009" t="s">
        <v>387</v>
      </c>
      <c r="C272" s="2003"/>
      <c r="D272" s="2003"/>
      <c r="E272" s="2003"/>
      <c r="F272" s="2003"/>
      <c r="G272" s="2882" t="str">
        <f>G271</f>
        <v>Each Cum</v>
      </c>
      <c r="H272" s="2883"/>
      <c r="I272" s="1723">
        <f>K1317</f>
        <v>1171.6500000000001</v>
      </c>
      <c r="J272" s="1721"/>
      <c r="K272" s="1721">
        <f>I272+J272</f>
        <v>1171.6500000000001</v>
      </c>
      <c r="L272" s="2884">
        <f>ROUND(K272,1)</f>
        <v>1171.7</v>
      </c>
      <c r="M272" s="2885"/>
      <c r="N272" s="1767"/>
      <c r="O272" s="1725"/>
      <c r="P272" s="1767"/>
      <c r="Q272" s="1725"/>
      <c r="R272" s="1725"/>
      <c r="S272" s="1725"/>
    </row>
    <row r="273" spans="1:20" s="175" customFormat="1" ht="13.5" hidden="1" customHeight="1">
      <c r="A273" s="2008" t="s">
        <v>432</v>
      </c>
      <c r="B273" s="2009" t="s">
        <v>3613</v>
      </c>
      <c r="C273" s="2003"/>
      <c r="D273" s="2003"/>
      <c r="E273" s="2003"/>
      <c r="F273" s="2003"/>
      <c r="G273" s="2882" t="str">
        <f>G272</f>
        <v>Each Cum</v>
      </c>
      <c r="H273" s="2883"/>
      <c r="I273" s="1723">
        <f>K1321</f>
        <v>1229.1375</v>
      </c>
      <c r="J273" s="1721"/>
      <c r="K273" s="1721">
        <f>I273+J273</f>
        <v>1229.1375</v>
      </c>
      <c r="L273" s="2884">
        <f>ROUND(K273,1)</f>
        <v>1229.0999999999999</v>
      </c>
      <c r="M273" s="2885"/>
      <c r="N273" s="1767"/>
      <c r="O273" s="1725"/>
      <c r="P273" s="1767"/>
      <c r="Q273" s="1725"/>
      <c r="R273" s="1725"/>
      <c r="S273" s="1725"/>
    </row>
    <row r="274" spans="1:20" s="175" customFormat="1" ht="13.5" hidden="1" customHeight="1">
      <c r="A274" s="2008" t="s">
        <v>443</v>
      </c>
      <c r="B274" s="2009" t="s">
        <v>3632</v>
      </c>
      <c r="C274" s="2003"/>
      <c r="D274" s="2003"/>
      <c r="E274" s="2003"/>
      <c r="F274" s="2003"/>
      <c r="G274" s="2882" t="str">
        <f>G273</f>
        <v>Each Cum</v>
      </c>
      <c r="H274" s="2883"/>
      <c r="I274" s="1723">
        <f>K1325</f>
        <v>1289.4993750000001</v>
      </c>
      <c r="J274" s="1721"/>
      <c r="K274" s="1721">
        <f>I274+J274</f>
        <v>1289.4993750000001</v>
      </c>
      <c r="L274" s="2884">
        <f>ROUND(K274,1)</f>
        <v>1289.5</v>
      </c>
      <c r="M274" s="2885"/>
      <c r="N274" s="1767"/>
      <c r="O274" s="1725"/>
      <c r="P274" s="1767"/>
      <c r="Q274" s="1725"/>
      <c r="R274" s="1725"/>
      <c r="S274" s="1725"/>
    </row>
    <row r="275" spans="1:20" s="1741" customFormat="1" ht="13.5" customHeight="1">
      <c r="A275" s="1998">
        <f>A270+1</f>
        <v>2</v>
      </c>
      <c r="B275" s="2010" t="s">
        <v>3770</v>
      </c>
      <c r="C275" s="2002"/>
      <c r="D275" s="2002"/>
      <c r="E275" s="2002"/>
      <c r="F275" s="1736"/>
      <c r="G275" s="2882" t="s">
        <v>381</v>
      </c>
      <c r="H275" s="2883"/>
      <c r="I275" s="1723"/>
      <c r="J275" s="1721"/>
      <c r="K275" s="1721"/>
      <c r="L275" s="2884"/>
      <c r="M275" s="2885"/>
      <c r="O275" s="1735" t="s">
        <v>389</v>
      </c>
      <c r="Q275" s="1735" t="s">
        <v>388</v>
      </c>
    </row>
    <row r="276" spans="1:20" s="175" customFormat="1" ht="13.5" customHeight="1">
      <c r="A276" s="2008" t="s">
        <v>383</v>
      </c>
      <c r="B276" s="2009" t="s">
        <v>384</v>
      </c>
      <c r="C276" s="2003"/>
      <c r="D276" s="2003"/>
      <c r="E276" s="2003"/>
      <c r="F276" s="2003"/>
      <c r="G276" s="2882" t="str">
        <f>G275</f>
        <v>Each Cum</v>
      </c>
      <c r="H276" s="2883"/>
      <c r="I276" s="1723">
        <f>K1335</f>
        <v>1056.94</v>
      </c>
      <c r="J276" s="1721"/>
      <c r="K276" s="1721">
        <f>I276+J276</f>
        <v>1056.94</v>
      </c>
      <c r="L276" s="2884">
        <f>ROUND(K276,1)</f>
        <v>1056.9000000000001</v>
      </c>
      <c r="M276" s="2885"/>
      <c r="N276" s="1767"/>
      <c r="O276" s="1725"/>
      <c r="P276" s="1767"/>
      <c r="Q276" s="1725"/>
      <c r="R276" s="1725"/>
      <c r="S276" s="1725"/>
    </row>
    <row r="277" spans="1:20" s="175" customFormat="1" ht="13.5" hidden="1" customHeight="1">
      <c r="A277" s="2008" t="s">
        <v>386</v>
      </c>
      <c r="B277" s="2009" t="s">
        <v>387</v>
      </c>
      <c r="C277" s="2003"/>
      <c r="D277" s="2003"/>
      <c r="E277" s="2003"/>
      <c r="F277" s="2003"/>
      <c r="G277" s="2882" t="str">
        <f>G276</f>
        <v>Each Cum</v>
      </c>
      <c r="H277" s="2883"/>
      <c r="I277" s="1723">
        <f>K1339</f>
        <v>1108.75</v>
      </c>
      <c r="J277" s="1721"/>
      <c r="K277" s="1721">
        <f>I277+J277</f>
        <v>1108.75</v>
      </c>
      <c r="L277" s="2884">
        <f>ROUND(K277,1)</f>
        <v>1108.8</v>
      </c>
      <c r="M277" s="2885"/>
      <c r="N277" s="1767"/>
      <c r="O277" s="1725"/>
      <c r="P277" s="1767"/>
      <c r="Q277" s="1725"/>
      <c r="R277" s="1725"/>
      <c r="S277" s="1725"/>
    </row>
    <row r="278" spans="1:20" s="175" customFormat="1" ht="13.5" hidden="1" customHeight="1">
      <c r="A278" s="2008" t="s">
        <v>432</v>
      </c>
      <c r="B278" s="2009" t="s">
        <v>3613</v>
      </c>
      <c r="C278" s="2003"/>
      <c r="D278" s="2003"/>
      <c r="E278" s="2003"/>
      <c r="F278" s="2003"/>
      <c r="G278" s="2882" t="str">
        <f>G277</f>
        <v>Each Cum</v>
      </c>
      <c r="H278" s="2883"/>
      <c r="I278" s="1723">
        <f>K1343</f>
        <v>1163.1505</v>
      </c>
      <c r="J278" s="1721"/>
      <c r="K278" s="1721">
        <f>I278+J278</f>
        <v>1163.1505</v>
      </c>
      <c r="L278" s="2884">
        <f>ROUND(K278,1)</f>
        <v>1163.2</v>
      </c>
      <c r="M278" s="2885"/>
      <c r="N278" s="1767"/>
      <c r="O278" s="1725"/>
      <c r="P278" s="1767"/>
      <c r="Q278" s="1725"/>
      <c r="R278" s="1725"/>
      <c r="S278" s="1725"/>
    </row>
    <row r="279" spans="1:20" s="175" customFormat="1" ht="13.5" hidden="1" customHeight="1">
      <c r="A279" s="2008" t="s">
        <v>443</v>
      </c>
      <c r="B279" s="2009" t="s">
        <v>3632</v>
      </c>
      <c r="C279" s="2003"/>
      <c r="D279" s="2003"/>
      <c r="E279" s="2003"/>
      <c r="F279" s="2003"/>
      <c r="G279" s="2882" t="str">
        <f>G278</f>
        <v>Each Cum</v>
      </c>
      <c r="H279" s="2883"/>
      <c r="I279" s="1723">
        <f>K1347</f>
        <v>1220.271025</v>
      </c>
      <c r="J279" s="1721"/>
      <c r="K279" s="1721">
        <f>I279+J279</f>
        <v>1220.271025</v>
      </c>
      <c r="L279" s="2884">
        <f>ROUND(K279,1)</f>
        <v>1220.3</v>
      </c>
      <c r="M279" s="2885"/>
      <c r="N279" s="1767"/>
      <c r="O279" s="1725"/>
      <c r="P279" s="1767"/>
      <c r="Q279" s="1725"/>
      <c r="R279" s="1725"/>
      <c r="S279" s="1725"/>
    </row>
    <row r="280" spans="1:20" s="175" customFormat="1" ht="13.5" customHeight="1">
      <c r="A280" s="1998">
        <f>A275+1</f>
        <v>3</v>
      </c>
      <c r="B280" s="1884" t="s">
        <v>3771</v>
      </c>
      <c r="C280" s="2003"/>
      <c r="D280" s="2003"/>
      <c r="E280" s="2003"/>
      <c r="F280" s="2003"/>
      <c r="G280" s="2882" t="s">
        <v>390</v>
      </c>
      <c r="H280" s="2883"/>
      <c r="I280" s="1723"/>
      <c r="J280" s="1721"/>
      <c r="K280" s="1721"/>
      <c r="L280" s="2884"/>
      <c r="M280" s="2885"/>
      <c r="N280" s="1767"/>
      <c r="O280" s="1725"/>
      <c r="P280" s="1767"/>
      <c r="Q280" s="1725" t="s">
        <v>391</v>
      </c>
      <c r="R280" s="1725"/>
      <c r="S280" s="1725"/>
    </row>
    <row r="281" spans="1:20" s="175" customFormat="1" ht="13.5" customHeight="1">
      <c r="A281" s="2008" t="s">
        <v>383</v>
      </c>
      <c r="B281" s="2009" t="s">
        <v>384</v>
      </c>
      <c r="C281" s="2003"/>
      <c r="D281" s="2003"/>
      <c r="E281" s="2003"/>
      <c r="F281" s="2003"/>
      <c r="G281" s="2882" t="str">
        <f>G280</f>
        <v>Each Sqm</v>
      </c>
      <c r="H281" s="2883"/>
      <c r="I281" s="1723">
        <f>K1357</f>
        <v>75.680000000000007</v>
      </c>
      <c r="J281" s="1721"/>
      <c r="K281" s="1721">
        <f>I281+J281</f>
        <v>75.680000000000007</v>
      </c>
      <c r="L281" s="2884">
        <f>ROUND(K281,1)</f>
        <v>75.7</v>
      </c>
      <c r="M281" s="2885"/>
      <c r="N281" s="1767"/>
      <c r="O281" s="1725"/>
      <c r="P281" s="1767"/>
      <c r="Q281" s="1725"/>
      <c r="R281" s="1725"/>
      <c r="S281" s="1725"/>
    </row>
    <row r="282" spans="1:20" s="175" customFormat="1" ht="13.5" hidden="1" customHeight="1">
      <c r="A282" s="2008" t="s">
        <v>386</v>
      </c>
      <c r="B282" s="2009" t="s">
        <v>387</v>
      </c>
      <c r="C282" s="2003"/>
      <c r="D282" s="2003"/>
      <c r="E282" s="2003"/>
      <c r="F282" s="2003"/>
      <c r="G282" s="2882" t="str">
        <f>G281</f>
        <v>Each Sqm</v>
      </c>
      <c r="H282" s="2883"/>
      <c r="I282" s="1723">
        <f>K1361</f>
        <v>79.39</v>
      </c>
      <c r="J282" s="1721"/>
      <c r="K282" s="1721">
        <f>I282+J282</f>
        <v>79.39</v>
      </c>
      <c r="L282" s="2884">
        <f>ROUND(K282,1)</f>
        <v>79.400000000000006</v>
      </c>
      <c r="M282" s="2885"/>
      <c r="N282" s="1767"/>
      <c r="O282" s="1725"/>
      <c r="P282" s="1767"/>
      <c r="Q282" s="1725"/>
      <c r="R282" s="1725"/>
      <c r="S282" s="1725"/>
    </row>
    <row r="283" spans="1:20" s="175" customFormat="1" ht="13.5" hidden="1" customHeight="1">
      <c r="A283" s="2008" t="s">
        <v>432</v>
      </c>
      <c r="B283" s="2009" t="s">
        <v>3613</v>
      </c>
      <c r="C283" s="2003"/>
      <c r="D283" s="2003"/>
      <c r="E283" s="2003"/>
      <c r="F283" s="2003"/>
      <c r="G283" s="2882" t="str">
        <f>G282</f>
        <v>Each Sqm</v>
      </c>
      <c r="H283" s="2883"/>
      <c r="I283" s="1723">
        <f>K1365</f>
        <v>83.285499999999999</v>
      </c>
      <c r="J283" s="1721"/>
      <c r="K283" s="1721">
        <f>I283+J283</f>
        <v>83.285499999999999</v>
      </c>
      <c r="L283" s="2884">
        <f>ROUND(K283,1)</f>
        <v>83.3</v>
      </c>
      <c r="M283" s="2885"/>
      <c r="N283" s="1767"/>
      <c r="O283" s="1725"/>
      <c r="P283" s="1767"/>
      <c r="Q283" s="1725"/>
      <c r="R283" s="1725"/>
      <c r="S283" s="1725"/>
    </row>
    <row r="284" spans="1:20" s="175" customFormat="1" ht="13.5" hidden="1" customHeight="1">
      <c r="A284" s="2008" t="s">
        <v>443</v>
      </c>
      <c r="B284" s="2009" t="s">
        <v>3632</v>
      </c>
      <c r="C284" s="2003"/>
      <c r="D284" s="2003"/>
      <c r="E284" s="2003"/>
      <c r="F284" s="2003"/>
      <c r="G284" s="2882" t="str">
        <f>G283</f>
        <v>Each Sqm</v>
      </c>
      <c r="H284" s="2883"/>
      <c r="I284" s="1723">
        <f>K1369</f>
        <v>87.375775000000004</v>
      </c>
      <c r="J284" s="1721"/>
      <c r="K284" s="1721">
        <f>I284+J284</f>
        <v>87.375775000000004</v>
      </c>
      <c r="L284" s="2884">
        <f>ROUND(K284,1)</f>
        <v>87.4</v>
      </c>
      <c r="M284" s="2885"/>
      <c r="N284" s="1767"/>
      <c r="O284" s="1725"/>
      <c r="P284" s="1767"/>
      <c r="Q284" s="1725"/>
      <c r="R284" s="1725"/>
      <c r="S284" s="1725"/>
    </row>
    <row r="285" spans="1:20" s="1741" customFormat="1" ht="13.5" customHeight="1">
      <c r="A285" s="1998">
        <f>A280+1</f>
        <v>4</v>
      </c>
      <c r="B285" s="2002" t="s">
        <v>3772</v>
      </c>
      <c r="C285" s="2002"/>
      <c r="D285" s="2002"/>
      <c r="E285" s="2002"/>
      <c r="F285" s="2002"/>
      <c r="G285" s="2882" t="s">
        <v>390</v>
      </c>
      <c r="H285" s="2883"/>
      <c r="I285" s="1723"/>
      <c r="J285" s="1721"/>
      <c r="K285" s="1721"/>
      <c r="L285" s="2884"/>
      <c r="M285" s="2885"/>
      <c r="O285" s="1735" t="s">
        <v>393</v>
      </c>
      <c r="Q285" s="1735" t="s">
        <v>392</v>
      </c>
    </row>
    <row r="286" spans="1:20" s="175" customFormat="1" ht="13.5" customHeight="1">
      <c r="A286" s="2008" t="s">
        <v>383</v>
      </c>
      <c r="B286" s="2009" t="s">
        <v>384</v>
      </c>
      <c r="C286" s="2003"/>
      <c r="D286" s="2003"/>
      <c r="E286" s="2003"/>
      <c r="F286" s="2003"/>
      <c r="G286" s="2882" t="str">
        <f>G285</f>
        <v>Each Sqm</v>
      </c>
      <c r="H286" s="2883"/>
      <c r="I286" s="1723">
        <f>K1379</f>
        <v>37.840000000000003</v>
      </c>
      <c r="J286" s="1721"/>
      <c r="K286" s="1721">
        <f>I286+J286</f>
        <v>37.840000000000003</v>
      </c>
      <c r="L286" s="2884">
        <f>ROUND(K286,1)</f>
        <v>37.799999999999997</v>
      </c>
      <c r="M286" s="2885"/>
      <c r="N286" s="1767"/>
      <c r="O286" s="1767"/>
      <c r="P286" s="1767"/>
      <c r="Q286" s="1725"/>
      <c r="R286" s="1725"/>
      <c r="S286" s="1725"/>
      <c r="T286" s="1725"/>
    </row>
    <row r="287" spans="1:20" s="175" customFormat="1" ht="13.5" hidden="1" customHeight="1">
      <c r="A287" s="2008" t="s">
        <v>386</v>
      </c>
      <c r="B287" s="2009" t="s">
        <v>387</v>
      </c>
      <c r="C287" s="2003"/>
      <c r="D287" s="2003"/>
      <c r="E287" s="2003"/>
      <c r="F287" s="2003"/>
      <c r="G287" s="2882" t="str">
        <f>G286</f>
        <v>Each Sqm</v>
      </c>
      <c r="H287" s="2883"/>
      <c r="I287" s="1723">
        <f>K1383</f>
        <v>39.690000000000005</v>
      </c>
      <c r="J287" s="1721"/>
      <c r="K287" s="1721">
        <f>I287+J287</f>
        <v>39.690000000000005</v>
      </c>
      <c r="L287" s="2884">
        <f>ROUND(K287,1)</f>
        <v>39.700000000000003</v>
      </c>
      <c r="M287" s="2885"/>
      <c r="N287" s="1767"/>
      <c r="O287" s="1767"/>
      <c r="P287" s="1767"/>
      <c r="Q287" s="1725"/>
      <c r="R287" s="1725"/>
      <c r="S287" s="1725"/>
      <c r="T287" s="1725"/>
    </row>
    <row r="288" spans="1:20" s="175" customFormat="1" ht="13.5" hidden="1" customHeight="1">
      <c r="A288" s="2008" t="s">
        <v>432</v>
      </c>
      <c r="B288" s="2009" t="s">
        <v>3613</v>
      </c>
      <c r="C288" s="2003"/>
      <c r="D288" s="2003"/>
      <c r="E288" s="2003"/>
      <c r="F288" s="2003"/>
      <c r="G288" s="2882" t="str">
        <f>G287</f>
        <v>Each Sqm</v>
      </c>
      <c r="H288" s="2883"/>
      <c r="I288" s="1723">
        <f>K1387</f>
        <v>41.632500000000007</v>
      </c>
      <c r="J288" s="1721"/>
      <c r="K288" s="1721">
        <f>I288+J288</f>
        <v>41.632500000000007</v>
      </c>
      <c r="L288" s="2884">
        <f>ROUND(K288,1)</f>
        <v>41.6</v>
      </c>
      <c r="M288" s="2885"/>
      <c r="N288" s="1767"/>
      <c r="O288" s="1767"/>
      <c r="P288" s="1767"/>
      <c r="Q288" s="1725"/>
      <c r="R288" s="1725"/>
      <c r="S288" s="1725"/>
      <c r="T288" s="1725"/>
    </row>
    <row r="289" spans="1:20" s="175" customFormat="1" ht="13.5" hidden="1" customHeight="1">
      <c r="A289" s="2008" t="s">
        <v>443</v>
      </c>
      <c r="B289" s="2009" t="s">
        <v>3632</v>
      </c>
      <c r="C289" s="2003"/>
      <c r="D289" s="2003"/>
      <c r="E289" s="2003"/>
      <c r="F289" s="2003"/>
      <c r="G289" s="2882" t="str">
        <f>G288</f>
        <v>Each Sqm</v>
      </c>
      <c r="H289" s="2883"/>
      <c r="I289" s="1723">
        <f>K1391</f>
        <v>43.672125000000008</v>
      </c>
      <c r="J289" s="1721"/>
      <c r="K289" s="1721">
        <f>I289+J289</f>
        <v>43.672125000000008</v>
      </c>
      <c r="L289" s="2884">
        <f>ROUND(K289,1)</f>
        <v>43.7</v>
      </c>
      <c r="M289" s="2885"/>
      <c r="N289" s="1767"/>
      <c r="O289" s="1725"/>
      <c r="P289" s="1767"/>
      <c r="Q289" s="1725"/>
      <c r="R289" s="1725"/>
      <c r="S289" s="1725"/>
    </row>
    <row r="290" spans="1:20" s="175" customFormat="1" ht="13.5" customHeight="1">
      <c r="A290" s="1998">
        <f>A285+1</f>
        <v>5</v>
      </c>
      <c r="B290" s="1884" t="s">
        <v>3773</v>
      </c>
      <c r="C290" s="2003"/>
      <c r="D290" s="2003"/>
      <c r="E290" s="2003"/>
      <c r="F290" s="2003"/>
      <c r="G290" s="2882" t="s">
        <v>390</v>
      </c>
      <c r="H290" s="2883"/>
      <c r="I290" s="1723"/>
      <c r="J290" s="1721"/>
      <c r="K290" s="1721"/>
      <c r="L290" s="2884"/>
      <c r="M290" s="2885"/>
      <c r="N290" s="1767"/>
      <c r="O290" s="1767"/>
      <c r="P290" s="1767"/>
      <c r="Q290" s="1725" t="s">
        <v>394</v>
      </c>
      <c r="R290" s="1725"/>
      <c r="S290" s="1725"/>
      <c r="T290" s="1725"/>
    </row>
    <row r="291" spans="1:20" s="175" customFormat="1" ht="13.5" customHeight="1">
      <c r="A291" s="2008" t="s">
        <v>383</v>
      </c>
      <c r="B291" s="2009" t="s">
        <v>384</v>
      </c>
      <c r="C291" s="2003"/>
      <c r="D291" s="2003"/>
      <c r="E291" s="2003"/>
      <c r="F291" s="2003"/>
      <c r="G291" s="2882" t="str">
        <f>G290</f>
        <v>Each Sqm</v>
      </c>
      <c r="H291" s="2883"/>
      <c r="I291" s="1723">
        <f>K1402</f>
        <v>68.69</v>
      </c>
      <c r="J291" s="1721"/>
      <c r="K291" s="1721">
        <f>I291+J291</f>
        <v>68.69</v>
      </c>
      <c r="L291" s="2884">
        <f>ROUND(K291,1)</f>
        <v>68.7</v>
      </c>
      <c r="M291" s="2885"/>
      <c r="N291" s="1767"/>
      <c r="O291" s="1767"/>
      <c r="P291" s="1767"/>
      <c r="Q291" s="1725"/>
      <c r="R291" s="1725"/>
      <c r="S291" s="1725"/>
      <c r="T291" s="1725"/>
    </row>
    <row r="292" spans="1:20" s="175" customFormat="1" ht="13.5" hidden="1" customHeight="1">
      <c r="A292" s="2008" t="s">
        <v>386</v>
      </c>
      <c r="B292" s="2009" t="s">
        <v>387</v>
      </c>
      <c r="C292" s="2003"/>
      <c r="D292" s="2003"/>
      <c r="E292" s="2003"/>
      <c r="F292" s="2003"/>
      <c r="G292" s="2882" t="str">
        <f>G291</f>
        <v>Each Sqm</v>
      </c>
      <c r="H292" s="2883"/>
      <c r="I292" s="1723">
        <f>K1406</f>
        <v>72.06</v>
      </c>
      <c r="J292" s="1721"/>
      <c r="K292" s="1721">
        <f>I292+J292</f>
        <v>72.06</v>
      </c>
      <c r="L292" s="2884">
        <f>ROUND(K292,1)</f>
        <v>72.099999999999994</v>
      </c>
      <c r="M292" s="2885"/>
      <c r="N292" s="1767"/>
      <c r="O292" s="1767"/>
      <c r="P292" s="1767"/>
      <c r="Q292" s="1725"/>
      <c r="R292" s="1725"/>
      <c r="S292" s="1725"/>
      <c r="T292" s="1725"/>
    </row>
    <row r="293" spans="1:20" s="175" customFormat="1" ht="13.5" hidden="1" customHeight="1">
      <c r="A293" s="2008" t="s">
        <v>432</v>
      </c>
      <c r="B293" s="2009" t="s">
        <v>3613</v>
      </c>
      <c r="C293" s="2003"/>
      <c r="D293" s="2003"/>
      <c r="E293" s="2003"/>
      <c r="F293" s="2003"/>
      <c r="G293" s="2882" t="str">
        <f>G292</f>
        <v>Each Sqm</v>
      </c>
      <c r="H293" s="2883"/>
      <c r="I293" s="1723">
        <f>K1410</f>
        <v>75.598500000000001</v>
      </c>
      <c r="J293" s="1721"/>
      <c r="K293" s="1721">
        <f>I293+J293</f>
        <v>75.598500000000001</v>
      </c>
      <c r="L293" s="2884">
        <f>ROUND(K293,1)</f>
        <v>75.599999999999994</v>
      </c>
      <c r="M293" s="2885"/>
      <c r="N293" s="1767"/>
      <c r="O293" s="1767"/>
      <c r="P293" s="1767"/>
      <c r="Q293" s="1725"/>
      <c r="R293" s="1725"/>
      <c r="S293" s="1725"/>
      <c r="T293" s="1725"/>
    </row>
    <row r="294" spans="1:20" s="175" customFormat="1" ht="13.5" hidden="1" customHeight="1">
      <c r="A294" s="2008" t="s">
        <v>443</v>
      </c>
      <c r="B294" s="2009" t="s">
        <v>3632</v>
      </c>
      <c r="C294" s="2003"/>
      <c r="D294" s="2003"/>
      <c r="E294" s="2003"/>
      <c r="F294" s="2003"/>
      <c r="G294" s="2882" t="str">
        <f>G293</f>
        <v>Each Sqm</v>
      </c>
      <c r="H294" s="2883"/>
      <c r="I294" s="1723">
        <f>K1414</f>
        <v>79.313924999999998</v>
      </c>
      <c r="J294" s="1721"/>
      <c r="K294" s="1721">
        <f>I294+J294</f>
        <v>79.313924999999998</v>
      </c>
      <c r="L294" s="2884">
        <f>ROUND(K294,1)</f>
        <v>79.3</v>
      </c>
      <c r="M294" s="2885"/>
      <c r="N294" s="1767"/>
      <c r="O294" s="1725"/>
      <c r="P294" s="1767"/>
      <c r="Q294" s="1725"/>
      <c r="R294" s="1725"/>
      <c r="S294" s="1725"/>
    </row>
    <row r="295" spans="1:20" s="175" customFormat="1" ht="13.5" customHeight="1">
      <c r="A295" s="1998">
        <f>A290+1</f>
        <v>6</v>
      </c>
      <c r="B295" s="1884" t="s">
        <v>3774</v>
      </c>
      <c r="C295" s="2003"/>
      <c r="D295" s="2003"/>
      <c r="E295" s="2003"/>
      <c r="F295" s="2003"/>
      <c r="G295" s="2882" t="s">
        <v>381</v>
      </c>
      <c r="H295" s="2883"/>
      <c r="I295" s="1723"/>
      <c r="J295" s="1721"/>
      <c r="K295" s="1721"/>
      <c r="L295" s="2884"/>
      <c r="M295" s="2885"/>
      <c r="N295" s="1767"/>
      <c r="O295" s="1767"/>
      <c r="P295" s="1767"/>
      <c r="Q295" s="1725" t="s">
        <v>395</v>
      </c>
      <c r="R295" s="1725"/>
      <c r="S295" s="1725"/>
      <c r="T295" s="1725"/>
    </row>
    <row r="296" spans="1:20" s="175" customFormat="1" ht="13.5" customHeight="1">
      <c r="A296" s="2008" t="s">
        <v>383</v>
      </c>
      <c r="B296" s="2009" t="s">
        <v>384</v>
      </c>
      <c r="C296" s="2003"/>
      <c r="D296" s="2003"/>
      <c r="E296" s="2003"/>
      <c r="F296" s="2003"/>
      <c r="G296" s="2882" t="str">
        <f>G295</f>
        <v>Each Cum</v>
      </c>
      <c r="H296" s="2883"/>
      <c r="I296" s="1723">
        <f>K1425</f>
        <v>967.84</v>
      </c>
      <c r="J296" s="1721"/>
      <c r="K296" s="1721">
        <f>I296+J296</f>
        <v>967.84</v>
      </c>
      <c r="L296" s="2884">
        <f>ROUND(K296,1)</f>
        <v>967.8</v>
      </c>
      <c r="M296" s="2885"/>
      <c r="N296" s="1767"/>
      <c r="O296" s="1767"/>
      <c r="P296" s="1767"/>
      <c r="Q296" s="1725"/>
      <c r="R296" s="1725"/>
      <c r="S296" s="1725"/>
      <c r="T296" s="1725"/>
    </row>
    <row r="297" spans="1:20" s="175" customFormat="1" ht="13.5" hidden="1" customHeight="1">
      <c r="A297" s="2008" t="s">
        <v>386</v>
      </c>
      <c r="B297" s="2009" t="s">
        <v>387</v>
      </c>
      <c r="C297" s="2003"/>
      <c r="D297" s="2003"/>
      <c r="E297" s="2003"/>
      <c r="F297" s="2003"/>
      <c r="G297" s="2882" t="str">
        <f>G296</f>
        <v>Each Cum</v>
      </c>
      <c r="H297" s="2883"/>
      <c r="I297" s="1723">
        <f>K1429</f>
        <v>1015.28</v>
      </c>
      <c r="J297" s="1721"/>
      <c r="K297" s="1721">
        <f>I297+J297</f>
        <v>1015.28</v>
      </c>
      <c r="L297" s="2884">
        <f>ROUND(K297,1)</f>
        <v>1015.3</v>
      </c>
      <c r="M297" s="2885"/>
      <c r="N297" s="1767"/>
      <c r="O297" s="1767"/>
      <c r="P297" s="1767"/>
      <c r="Q297" s="1725"/>
      <c r="R297" s="1725"/>
      <c r="S297" s="1725"/>
      <c r="T297" s="1725"/>
    </row>
    <row r="298" spans="1:20" s="175" customFormat="1" ht="13.5" hidden="1" customHeight="1">
      <c r="A298" s="2008" t="s">
        <v>432</v>
      </c>
      <c r="B298" s="2009" t="s">
        <v>3613</v>
      </c>
      <c r="C298" s="2003"/>
      <c r="D298" s="2003"/>
      <c r="E298" s="2003"/>
      <c r="F298" s="2003"/>
      <c r="G298" s="2882" t="str">
        <f>G297</f>
        <v>Each Cum</v>
      </c>
      <c r="H298" s="2883"/>
      <c r="I298" s="1723">
        <f>K1433</f>
        <v>1065.0919999999999</v>
      </c>
      <c r="J298" s="1721"/>
      <c r="K298" s="1721">
        <f>I298+J298</f>
        <v>1065.0919999999999</v>
      </c>
      <c r="L298" s="2884">
        <f>ROUND(K298,1)</f>
        <v>1065.0999999999999</v>
      </c>
      <c r="M298" s="2885"/>
      <c r="N298" s="1767"/>
      <c r="O298" s="1767"/>
      <c r="P298" s="1767"/>
      <c r="Q298" s="1725"/>
      <c r="R298" s="1725"/>
      <c r="S298" s="1725"/>
      <c r="T298" s="1725"/>
    </row>
    <row r="299" spans="1:20" s="175" customFormat="1" ht="13.5" hidden="1" customHeight="1">
      <c r="A299" s="2008" t="s">
        <v>443</v>
      </c>
      <c r="B299" s="2009" t="s">
        <v>3632</v>
      </c>
      <c r="C299" s="2003"/>
      <c r="D299" s="2003"/>
      <c r="E299" s="2003"/>
      <c r="F299" s="2003"/>
      <c r="G299" s="2882" t="str">
        <f>G298</f>
        <v>Each Cum</v>
      </c>
      <c r="H299" s="2883"/>
      <c r="I299" s="1723">
        <f>K1437</f>
        <v>1117.3945999999999</v>
      </c>
      <c r="J299" s="1721"/>
      <c r="K299" s="1721">
        <f>I299+J299</f>
        <v>1117.3945999999999</v>
      </c>
      <c r="L299" s="2884">
        <f>ROUND(K299,1)</f>
        <v>1117.4000000000001</v>
      </c>
      <c r="M299" s="2885"/>
      <c r="N299" s="1767"/>
      <c r="O299" s="1725"/>
      <c r="P299" s="1767"/>
      <c r="Q299" s="1725"/>
      <c r="R299" s="1725"/>
      <c r="S299" s="1725"/>
    </row>
    <row r="300" spans="1:20" s="1741" customFormat="1" ht="13.5" customHeight="1">
      <c r="A300" s="1998">
        <f>A295+1</f>
        <v>7</v>
      </c>
      <c r="B300" s="2002" t="s">
        <v>3775</v>
      </c>
      <c r="C300" s="2003"/>
      <c r="D300" s="2003"/>
      <c r="E300" s="2003"/>
      <c r="F300" s="2003"/>
      <c r="G300" s="2882" t="s">
        <v>390</v>
      </c>
      <c r="H300" s="2883"/>
      <c r="I300" s="1723"/>
      <c r="J300" s="1721"/>
      <c r="K300" s="1721"/>
      <c r="L300" s="2884"/>
      <c r="M300" s="2885"/>
      <c r="O300" s="1735" t="s">
        <v>397</v>
      </c>
      <c r="Q300" s="1735" t="s">
        <v>396</v>
      </c>
    </row>
    <row r="301" spans="1:20" s="175" customFormat="1" ht="13.5" customHeight="1">
      <c r="A301" s="2008" t="s">
        <v>383</v>
      </c>
      <c r="B301" s="2009" t="s">
        <v>384</v>
      </c>
      <c r="C301" s="2003"/>
      <c r="D301" s="2003"/>
      <c r="E301" s="2003"/>
      <c r="F301" s="2003"/>
      <c r="G301" s="2882" t="str">
        <f>G300</f>
        <v>Each Sqm</v>
      </c>
      <c r="H301" s="2883"/>
      <c r="I301" s="1723">
        <f>K1448</f>
        <v>301.88</v>
      </c>
      <c r="J301" s="1721"/>
      <c r="K301" s="1721">
        <f>I301+J301</f>
        <v>301.88</v>
      </c>
      <c r="L301" s="2884">
        <f>ROUND(K301,1)</f>
        <v>301.89999999999998</v>
      </c>
      <c r="M301" s="2885"/>
      <c r="N301" s="1767"/>
      <c r="O301" s="1767"/>
      <c r="P301" s="1767"/>
      <c r="Q301" s="1725"/>
      <c r="R301" s="1725"/>
      <c r="S301" s="1725"/>
      <c r="T301" s="1725"/>
    </row>
    <row r="302" spans="1:20" s="175" customFormat="1" ht="13.5" hidden="1" customHeight="1">
      <c r="A302" s="2008" t="s">
        <v>386</v>
      </c>
      <c r="B302" s="2009" t="s">
        <v>387</v>
      </c>
      <c r="C302" s="2003"/>
      <c r="D302" s="2003"/>
      <c r="E302" s="2003"/>
      <c r="F302" s="2003"/>
      <c r="G302" s="2882" t="str">
        <f>G301</f>
        <v>Each Sqm</v>
      </c>
      <c r="H302" s="2883"/>
      <c r="I302" s="1723">
        <f>K1452</f>
        <v>316.68</v>
      </c>
      <c r="J302" s="1721"/>
      <c r="K302" s="1721">
        <f>I302+J302</f>
        <v>316.68</v>
      </c>
      <c r="L302" s="2884">
        <f>ROUND(K302,1)</f>
        <v>316.7</v>
      </c>
      <c r="M302" s="2885"/>
      <c r="N302" s="1767"/>
      <c r="O302" s="1767"/>
      <c r="P302" s="1767"/>
      <c r="Q302" s="1725"/>
      <c r="R302" s="1725"/>
      <c r="S302" s="1725"/>
      <c r="T302" s="1725"/>
    </row>
    <row r="303" spans="1:20" s="175" customFormat="1" ht="13.5" hidden="1" customHeight="1">
      <c r="A303" s="2008" t="s">
        <v>432</v>
      </c>
      <c r="B303" s="2009" t="s">
        <v>3613</v>
      </c>
      <c r="C303" s="2003"/>
      <c r="D303" s="2003"/>
      <c r="E303" s="2003"/>
      <c r="F303" s="2003"/>
      <c r="G303" s="2882" t="str">
        <f>G302</f>
        <v>Each Sqm</v>
      </c>
      <c r="H303" s="2883"/>
      <c r="I303" s="1723">
        <f>K1456</f>
        <v>332.22</v>
      </c>
      <c r="J303" s="1721"/>
      <c r="K303" s="1721">
        <f>I303+J303</f>
        <v>332.22</v>
      </c>
      <c r="L303" s="2884">
        <f>ROUND(K303,1)</f>
        <v>332.2</v>
      </c>
      <c r="M303" s="2885"/>
      <c r="N303" s="1767"/>
      <c r="O303" s="1767"/>
      <c r="P303" s="1767"/>
      <c r="Q303" s="1725"/>
      <c r="R303" s="1725"/>
      <c r="S303" s="1725"/>
      <c r="T303" s="1725"/>
    </row>
    <row r="304" spans="1:20" s="175" customFormat="1" ht="13.5" hidden="1" customHeight="1">
      <c r="A304" s="2008" t="s">
        <v>443</v>
      </c>
      <c r="B304" s="2009" t="s">
        <v>3632</v>
      </c>
      <c r="C304" s="2003"/>
      <c r="D304" s="2003"/>
      <c r="E304" s="2003"/>
      <c r="F304" s="2003"/>
      <c r="G304" s="2882" t="str">
        <f>G303</f>
        <v>Each Sqm</v>
      </c>
      <c r="H304" s="2883"/>
      <c r="I304" s="1723">
        <f>K1460</f>
        <v>348.53700000000003</v>
      </c>
      <c r="J304" s="1721"/>
      <c r="K304" s="1721">
        <f>I304+J304</f>
        <v>348.53700000000003</v>
      </c>
      <c r="L304" s="2884">
        <f>ROUND(K304,1)</f>
        <v>348.5</v>
      </c>
      <c r="M304" s="2885"/>
      <c r="N304" s="1767"/>
      <c r="O304" s="1725"/>
      <c r="P304" s="1767"/>
      <c r="Q304" s="1725"/>
      <c r="R304" s="1725"/>
      <c r="S304" s="1725"/>
    </row>
    <row r="305" spans="1:20" s="175" customFormat="1" ht="13.5" hidden="1" customHeight="1">
      <c r="A305" s="1998">
        <f>A300+1</f>
        <v>8</v>
      </c>
      <c r="B305" s="1884" t="s">
        <v>3776</v>
      </c>
      <c r="C305" s="2003"/>
      <c r="D305" s="2003"/>
      <c r="E305" s="2003"/>
      <c r="F305" s="2003"/>
      <c r="G305" s="2882" t="s">
        <v>390</v>
      </c>
      <c r="H305" s="2883"/>
      <c r="I305" s="1723"/>
      <c r="J305" s="1721"/>
      <c r="K305" s="1721"/>
      <c r="L305" s="2884"/>
      <c r="M305" s="2885"/>
      <c r="N305" s="1767"/>
      <c r="O305" s="1767"/>
      <c r="P305" s="1767"/>
      <c r="Q305" s="1725" t="s">
        <v>398</v>
      </c>
      <c r="R305" s="1725"/>
      <c r="S305" s="1725"/>
      <c r="T305" s="1725"/>
    </row>
    <row r="306" spans="1:20" s="175" customFormat="1" ht="13.5" hidden="1" customHeight="1">
      <c r="A306" s="2008" t="s">
        <v>383</v>
      </c>
      <c r="B306" s="2009" t="s">
        <v>384</v>
      </c>
      <c r="C306" s="2003"/>
      <c r="D306" s="2003"/>
      <c r="E306" s="2003"/>
      <c r="F306" s="2003"/>
      <c r="G306" s="2882" t="str">
        <f>G305</f>
        <v>Each Sqm</v>
      </c>
      <c r="H306" s="2883"/>
      <c r="I306" s="1723">
        <f>K1470</f>
        <v>85.14</v>
      </c>
      <c r="J306" s="1721"/>
      <c r="K306" s="1721">
        <f>I306+J306</f>
        <v>85.14</v>
      </c>
      <c r="L306" s="2884">
        <f>ROUND(K306,1)</f>
        <v>85.1</v>
      </c>
      <c r="M306" s="2885"/>
      <c r="N306" s="1767"/>
      <c r="O306" s="1767"/>
      <c r="P306" s="1767"/>
      <c r="Q306" s="1725"/>
      <c r="R306" s="1725"/>
      <c r="S306" s="1725"/>
      <c r="T306" s="1725"/>
    </row>
    <row r="307" spans="1:20" s="175" customFormat="1" ht="13.5" hidden="1" customHeight="1">
      <c r="A307" s="2008" t="s">
        <v>386</v>
      </c>
      <c r="B307" s="2009" t="s">
        <v>387</v>
      </c>
      <c r="C307" s="2003"/>
      <c r="D307" s="2003"/>
      <c r="E307" s="2003"/>
      <c r="F307" s="2003"/>
      <c r="G307" s="2882" t="str">
        <f>G306</f>
        <v>Each Sqm</v>
      </c>
      <c r="H307" s="2883"/>
      <c r="I307" s="1723">
        <f>K1474</f>
        <v>89.31</v>
      </c>
      <c r="J307" s="1721"/>
      <c r="K307" s="1721">
        <f>I307+J307</f>
        <v>89.31</v>
      </c>
      <c r="L307" s="2884">
        <f>ROUND(K307,1)</f>
        <v>89.3</v>
      </c>
      <c r="M307" s="2885"/>
      <c r="N307" s="1767"/>
      <c r="O307" s="1767"/>
      <c r="P307" s="1767"/>
      <c r="Q307" s="1725"/>
      <c r="R307" s="1725"/>
      <c r="S307" s="1725"/>
      <c r="T307" s="1725"/>
    </row>
    <row r="308" spans="1:20" s="175" customFormat="1" ht="13.5" hidden="1" customHeight="1">
      <c r="A308" s="2008" t="s">
        <v>432</v>
      </c>
      <c r="B308" s="2009" t="s">
        <v>3613</v>
      </c>
      <c r="C308" s="2003"/>
      <c r="D308" s="2003"/>
      <c r="E308" s="2003"/>
      <c r="F308" s="2003"/>
      <c r="G308" s="2882" t="str">
        <f>G307</f>
        <v>Each Sqm</v>
      </c>
      <c r="H308" s="2883"/>
      <c r="I308" s="1723">
        <f>K1478</f>
        <v>93.688500000000005</v>
      </c>
      <c r="J308" s="1721"/>
      <c r="K308" s="1721">
        <f>I308+J308</f>
        <v>93.688500000000005</v>
      </c>
      <c r="L308" s="2884">
        <f>ROUND(K308,1)</f>
        <v>93.7</v>
      </c>
      <c r="M308" s="2885"/>
      <c r="N308" s="1767"/>
      <c r="O308" s="1767"/>
      <c r="P308" s="1767"/>
      <c r="Q308" s="1725"/>
      <c r="R308" s="1725"/>
      <c r="S308" s="1725"/>
      <c r="T308" s="1725"/>
    </row>
    <row r="309" spans="1:20" s="175" customFormat="1" ht="13.5" hidden="1" customHeight="1">
      <c r="A309" s="2008" t="s">
        <v>443</v>
      </c>
      <c r="B309" s="2009" t="s">
        <v>3632</v>
      </c>
      <c r="C309" s="2003"/>
      <c r="D309" s="2003"/>
      <c r="E309" s="2003"/>
      <c r="F309" s="2003"/>
      <c r="G309" s="2882" t="str">
        <f>G308</f>
        <v>Each Sqm</v>
      </c>
      <c r="H309" s="2883"/>
      <c r="I309" s="1723">
        <f>K1482</f>
        <v>98.285925000000006</v>
      </c>
      <c r="J309" s="1721"/>
      <c r="K309" s="1721">
        <f>I309+J309</f>
        <v>98.285925000000006</v>
      </c>
      <c r="L309" s="2884">
        <f>ROUND(K309,1)</f>
        <v>98.3</v>
      </c>
      <c r="M309" s="2885"/>
      <c r="N309" s="1767"/>
      <c r="O309" s="1725"/>
      <c r="P309" s="1767"/>
      <c r="Q309" s="1725"/>
      <c r="R309" s="1725"/>
      <c r="S309" s="1725"/>
    </row>
    <row r="310" spans="1:20" s="175" customFormat="1" ht="13.5" customHeight="1">
      <c r="A310" s="1998">
        <f>A305+1</f>
        <v>9</v>
      </c>
      <c r="B310" s="1884" t="s">
        <v>3777</v>
      </c>
      <c r="C310" s="2003"/>
      <c r="D310" s="2003"/>
      <c r="E310" s="2003"/>
      <c r="F310" s="2003"/>
      <c r="G310" s="2882" t="s">
        <v>390</v>
      </c>
      <c r="H310" s="2883"/>
      <c r="I310" s="1723"/>
      <c r="J310" s="1721"/>
      <c r="K310" s="1721"/>
      <c r="L310" s="2884"/>
      <c r="M310" s="2885"/>
      <c r="N310" s="1767"/>
      <c r="O310" s="1767"/>
      <c r="P310" s="1767"/>
      <c r="Q310" s="1725" t="s">
        <v>399</v>
      </c>
      <c r="R310" s="1725"/>
      <c r="S310" s="1725"/>
      <c r="T310" s="1725"/>
    </row>
    <row r="311" spans="1:20" s="175" customFormat="1" ht="13.5" customHeight="1">
      <c r="A311" s="2008" t="s">
        <v>383</v>
      </c>
      <c r="B311" s="2009" t="s">
        <v>384</v>
      </c>
      <c r="C311" s="2003"/>
      <c r="D311" s="2003"/>
      <c r="E311" s="2003"/>
      <c r="F311" s="2003"/>
      <c r="G311" s="2882" t="str">
        <f>G310</f>
        <v>Each Sqm</v>
      </c>
      <c r="H311" s="2883"/>
      <c r="I311" s="1723">
        <f>K1492</f>
        <v>58.65</v>
      </c>
      <c r="J311" s="1721"/>
      <c r="K311" s="1721">
        <f>I311+J311</f>
        <v>58.65</v>
      </c>
      <c r="L311" s="2884">
        <f>ROUND(K311,1)</f>
        <v>58.7</v>
      </c>
      <c r="M311" s="2885"/>
      <c r="N311" s="1767"/>
      <c r="O311" s="1767"/>
      <c r="P311" s="1767"/>
      <c r="Q311" s="1725"/>
      <c r="R311" s="1725"/>
      <c r="S311" s="1725"/>
      <c r="T311" s="1725"/>
    </row>
    <row r="312" spans="1:20" s="175" customFormat="1" ht="13.5" hidden="1" customHeight="1">
      <c r="A312" s="2008" t="s">
        <v>386</v>
      </c>
      <c r="B312" s="2009" t="s">
        <v>387</v>
      </c>
      <c r="C312" s="2003"/>
      <c r="D312" s="2003"/>
      <c r="E312" s="2003"/>
      <c r="F312" s="2003"/>
      <c r="G312" s="2882" t="str">
        <f>G311</f>
        <v>Each Sqm</v>
      </c>
      <c r="H312" s="2883"/>
      <c r="I312" s="1723">
        <f>K1496</f>
        <v>61.53</v>
      </c>
      <c r="J312" s="1721"/>
      <c r="K312" s="1721">
        <f>I312+J312</f>
        <v>61.53</v>
      </c>
      <c r="L312" s="2884">
        <f>ROUND(K312,1)</f>
        <v>61.5</v>
      </c>
      <c r="M312" s="2885"/>
      <c r="N312" s="1767"/>
      <c r="O312" s="1767"/>
      <c r="P312" s="1767"/>
      <c r="Q312" s="1725"/>
      <c r="R312" s="1725"/>
      <c r="S312" s="1725"/>
      <c r="T312" s="1725"/>
    </row>
    <row r="313" spans="1:20" s="175" customFormat="1" ht="13.5" hidden="1" customHeight="1">
      <c r="A313" s="2008" t="s">
        <v>432</v>
      </c>
      <c r="B313" s="2009" t="s">
        <v>3613</v>
      </c>
      <c r="C313" s="2003"/>
      <c r="D313" s="2003"/>
      <c r="E313" s="2003"/>
      <c r="F313" s="2003"/>
      <c r="G313" s="2882" t="str">
        <f>G312</f>
        <v>Each Sqm</v>
      </c>
      <c r="H313" s="2883"/>
      <c r="I313" s="1723">
        <f>K1500</f>
        <v>64.554000000000002</v>
      </c>
      <c r="J313" s="1721"/>
      <c r="K313" s="1721">
        <f>I313+J313</f>
        <v>64.554000000000002</v>
      </c>
      <c r="L313" s="2884">
        <f>ROUND(K313,1)</f>
        <v>64.599999999999994</v>
      </c>
      <c r="M313" s="2885"/>
      <c r="N313" s="1767"/>
      <c r="O313" s="1767"/>
      <c r="P313" s="1767"/>
      <c r="Q313" s="1725"/>
      <c r="R313" s="1725"/>
      <c r="S313" s="1725"/>
      <c r="T313" s="1725"/>
    </row>
    <row r="314" spans="1:20" s="175" customFormat="1" ht="13.5" hidden="1" customHeight="1">
      <c r="A314" s="2008" t="s">
        <v>443</v>
      </c>
      <c r="B314" s="2009" t="s">
        <v>3632</v>
      </c>
      <c r="C314" s="2003"/>
      <c r="D314" s="2003"/>
      <c r="E314" s="2003"/>
      <c r="F314" s="2003"/>
      <c r="G314" s="2882" t="str">
        <f>G313</f>
        <v>Each Sqm</v>
      </c>
      <c r="H314" s="2883"/>
      <c r="I314" s="1723">
        <f>K1504</f>
        <v>67.729200000000006</v>
      </c>
      <c r="J314" s="1721"/>
      <c r="K314" s="1721">
        <f>I314+J314</f>
        <v>67.729200000000006</v>
      </c>
      <c r="L314" s="2884">
        <f>ROUND(K314,1)</f>
        <v>67.7</v>
      </c>
      <c r="M314" s="2885"/>
      <c r="N314" s="1767"/>
      <c r="O314" s="1725"/>
      <c r="P314" s="1767"/>
      <c r="Q314" s="1725"/>
      <c r="R314" s="1725"/>
      <c r="S314" s="1725"/>
    </row>
    <row r="315" spans="1:20" s="175" customFormat="1" ht="13.5" hidden="1" customHeight="1">
      <c r="A315" s="1998">
        <f>A310+1</f>
        <v>10</v>
      </c>
      <c r="B315" s="1884" t="s">
        <v>3778</v>
      </c>
      <c r="C315" s="2003"/>
      <c r="D315" s="2003"/>
      <c r="E315" s="2003"/>
      <c r="F315" s="2003"/>
      <c r="G315" s="2882" t="s">
        <v>381</v>
      </c>
      <c r="H315" s="2883"/>
      <c r="I315" s="1723"/>
      <c r="J315" s="1721"/>
      <c r="K315" s="1721"/>
      <c r="L315" s="2884"/>
      <c r="M315" s="2885"/>
      <c r="N315" s="1767"/>
      <c r="O315" s="1767"/>
      <c r="P315" s="1767"/>
      <c r="Q315" s="1759" t="s">
        <v>400</v>
      </c>
      <c r="T315" s="1759"/>
    </row>
    <row r="316" spans="1:20" s="175" customFormat="1" ht="13.5" hidden="1" customHeight="1">
      <c r="A316" s="2008" t="s">
        <v>383</v>
      </c>
      <c r="B316" s="2009" t="s">
        <v>384</v>
      </c>
      <c r="C316" s="2003"/>
      <c r="D316" s="2003"/>
      <c r="E316" s="2003"/>
      <c r="F316" s="2003"/>
      <c r="G316" s="2882" t="str">
        <f>G315</f>
        <v>Each Cum</v>
      </c>
      <c r="H316" s="2883"/>
      <c r="I316" s="1723">
        <f>K1513</f>
        <v>563.04</v>
      </c>
      <c r="J316" s="1721"/>
      <c r="K316" s="1721">
        <f>I316+J316</f>
        <v>563.04</v>
      </c>
      <c r="L316" s="2884">
        <f>ROUND(K316,1)</f>
        <v>563</v>
      </c>
      <c r="M316" s="2885"/>
      <c r="N316" s="1767"/>
      <c r="O316" s="1767"/>
      <c r="P316" s="1767"/>
      <c r="Q316" s="1725"/>
      <c r="R316" s="1725"/>
      <c r="S316" s="1725"/>
      <c r="T316" s="1725"/>
    </row>
    <row r="317" spans="1:20" s="175" customFormat="1" ht="13.5" hidden="1" customHeight="1">
      <c r="A317" s="2008" t="s">
        <v>386</v>
      </c>
      <c r="B317" s="2009" t="s">
        <v>387</v>
      </c>
      <c r="C317" s="2003"/>
      <c r="D317" s="2003"/>
      <c r="E317" s="2003"/>
      <c r="F317" s="2003"/>
      <c r="G317" s="2882" t="str">
        <f>G316</f>
        <v>Each Cum</v>
      </c>
      <c r="H317" s="2883"/>
      <c r="I317" s="1723">
        <f>K1517</f>
        <v>590.64</v>
      </c>
      <c r="J317" s="1721"/>
      <c r="K317" s="1721">
        <f>I317+J317</f>
        <v>590.64</v>
      </c>
      <c r="L317" s="2884">
        <f>ROUND(K317,1)</f>
        <v>590.6</v>
      </c>
      <c r="M317" s="2885"/>
      <c r="N317" s="1767"/>
      <c r="O317" s="1767"/>
      <c r="P317" s="1767"/>
      <c r="Q317" s="1725"/>
      <c r="R317" s="1725"/>
      <c r="S317" s="1725"/>
      <c r="T317" s="1725"/>
    </row>
    <row r="318" spans="1:20" s="175" customFormat="1" ht="13.5" hidden="1" customHeight="1">
      <c r="A318" s="2008" t="s">
        <v>432</v>
      </c>
      <c r="B318" s="2009" t="s">
        <v>3613</v>
      </c>
      <c r="C318" s="2003"/>
      <c r="D318" s="2003"/>
      <c r="E318" s="2003"/>
      <c r="F318" s="2003"/>
      <c r="G318" s="2882" t="str">
        <f>G317</f>
        <v>Each Cum</v>
      </c>
      <c r="H318" s="2883"/>
      <c r="I318" s="1723">
        <f>K1521</f>
        <v>619.62</v>
      </c>
      <c r="J318" s="1721"/>
      <c r="K318" s="1721">
        <f>I318+J318</f>
        <v>619.62</v>
      </c>
      <c r="L318" s="2884">
        <f>ROUND(K318,1)</f>
        <v>619.6</v>
      </c>
      <c r="M318" s="2885"/>
      <c r="N318" s="1767"/>
      <c r="O318" s="1767"/>
      <c r="P318" s="1767"/>
      <c r="Q318" s="1725"/>
      <c r="R318" s="1725"/>
      <c r="S318" s="1725"/>
      <c r="T318" s="1725"/>
    </row>
    <row r="319" spans="1:20" s="175" customFormat="1" ht="13.5" hidden="1" customHeight="1">
      <c r="A319" s="2008" t="s">
        <v>443</v>
      </c>
      <c r="B319" s="2009" t="s">
        <v>3632</v>
      </c>
      <c r="C319" s="2003"/>
      <c r="D319" s="2003"/>
      <c r="E319" s="2003"/>
      <c r="F319" s="2003"/>
      <c r="G319" s="2882" t="str">
        <f>G318</f>
        <v>Each Cum</v>
      </c>
      <c r="H319" s="2883"/>
      <c r="I319" s="1723">
        <f>K1525</f>
        <v>650.04899999999998</v>
      </c>
      <c r="J319" s="1721"/>
      <c r="K319" s="1721">
        <f>I319+J319</f>
        <v>650.04899999999998</v>
      </c>
      <c r="L319" s="2884">
        <f>ROUND(K319,1)</f>
        <v>650</v>
      </c>
      <c r="M319" s="2885"/>
      <c r="N319" s="1767"/>
      <c r="O319" s="1725"/>
      <c r="P319" s="1767"/>
      <c r="Q319" s="1725"/>
      <c r="R319" s="1725"/>
      <c r="S319" s="1725"/>
    </row>
    <row r="320" spans="1:20" s="175" customFormat="1" ht="13.5" hidden="1" customHeight="1">
      <c r="A320" s="1998">
        <f>A315+1</f>
        <v>11</v>
      </c>
      <c r="B320" s="1884" t="s">
        <v>3779</v>
      </c>
      <c r="C320" s="2003"/>
      <c r="D320" s="2003"/>
      <c r="E320" s="2003"/>
      <c r="F320" s="2003"/>
      <c r="G320" s="2882" t="s">
        <v>390</v>
      </c>
      <c r="H320" s="2883"/>
      <c r="I320" s="1723"/>
      <c r="J320" s="1721"/>
      <c r="K320" s="1721"/>
      <c r="L320" s="2884"/>
      <c r="M320" s="2885"/>
      <c r="N320" s="1767"/>
      <c r="O320" s="1767"/>
      <c r="P320" s="1767"/>
      <c r="Q320" s="1759" t="s">
        <v>401</v>
      </c>
      <c r="T320" s="1759"/>
    </row>
    <row r="321" spans="1:20" s="175" customFormat="1" ht="13.5" hidden="1" customHeight="1">
      <c r="A321" s="2008" t="s">
        <v>383</v>
      </c>
      <c r="B321" s="2009" t="s">
        <v>384</v>
      </c>
      <c r="C321" s="2003"/>
      <c r="D321" s="2003"/>
      <c r="E321" s="2003"/>
      <c r="F321" s="2003"/>
      <c r="G321" s="2882" t="str">
        <f>G320</f>
        <v>Each Sqm</v>
      </c>
      <c r="H321" s="2883"/>
      <c r="I321" s="1723">
        <f>K1535</f>
        <v>132.44</v>
      </c>
      <c r="J321" s="1721"/>
      <c r="K321" s="1721">
        <f>I321+J321</f>
        <v>132.44</v>
      </c>
      <c r="L321" s="2884">
        <f>ROUND(K321,1)</f>
        <v>132.4</v>
      </c>
      <c r="M321" s="2885"/>
      <c r="N321" s="1767"/>
      <c r="O321" s="1767"/>
      <c r="P321" s="1767"/>
      <c r="Q321" s="1725"/>
      <c r="R321" s="1725"/>
      <c r="S321" s="1725"/>
      <c r="T321" s="1725"/>
    </row>
    <row r="322" spans="1:20" s="175" customFormat="1" ht="13.5" hidden="1" customHeight="1">
      <c r="A322" s="2008" t="s">
        <v>386</v>
      </c>
      <c r="B322" s="2009" t="s">
        <v>387</v>
      </c>
      <c r="C322" s="2003"/>
      <c r="D322" s="2003"/>
      <c r="E322" s="2003"/>
      <c r="F322" s="2003"/>
      <c r="G322" s="2882" t="str">
        <f>G321</f>
        <v>Each Sqm</v>
      </c>
      <c r="H322" s="2883"/>
      <c r="I322" s="1723">
        <f>K1539</f>
        <v>138.93</v>
      </c>
      <c r="J322" s="1721"/>
      <c r="K322" s="1721">
        <f>I322+J322</f>
        <v>138.93</v>
      </c>
      <c r="L322" s="2884">
        <f>ROUND(K322,1)</f>
        <v>138.9</v>
      </c>
      <c r="M322" s="2885"/>
      <c r="N322" s="1767"/>
      <c r="O322" s="1767"/>
      <c r="P322" s="1767"/>
      <c r="Q322" s="1725"/>
      <c r="R322" s="1725"/>
      <c r="S322" s="1725"/>
      <c r="T322" s="1725"/>
    </row>
    <row r="323" spans="1:20" s="175" customFormat="1" ht="13.5" hidden="1" customHeight="1">
      <c r="A323" s="2008" t="s">
        <v>432</v>
      </c>
      <c r="B323" s="2009" t="s">
        <v>3613</v>
      </c>
      <c r="C323" s="2003"/>
      <c r="D323" s="2003"/>
      <c r="E323" s="2003"/>
      <c r="F323" s="2003"/>
      <c r="G323" s="2882" t="str">
        <f>G322</f>
        <v>Each Sqm</v>
      </c>
      <c r="H323" s="2883"/>
      <c r="I323" s="1723">
        <f>K1543</f>
        <v>145.74450000000002</v>
      </c>
      <c r="J323" s="1721"/>
      <c r="K323" s="1721">
        <f>I323+J323</f>
        <v>145.74450000000002</v>
      </c>
      <c r="L323" s="2884">
        <f>ROUND(K323,1)</f>
        <v>145.69999999999999</v>
      </c>
      <c r="M323" s="2885"/>
      <c r="N323" s="1767"/>
      <c r="O323" s="1767"/>
      <c r="P323" s="1767"/>
      <c r="Q323" s="1725"/>
      <c r="R323" s="1725"/>
      <c r="S323" s="1725"/>
      <c r="T323" s="1725"/>
    </row>
    <row r="324" spans="1:20" s="175" customFormat="1" ht="13.5" hidden="1" customHeight="1">
      <c r="A324" s="2008" t="s">
        <v>443</v>
      </c>
      <c r="B324" s="2009" t="s">
        <v>3632</v>
      </c>
      <c r="C324" s="2003"/>
      <c r="D324" s="2003"/>
      <c r="E324" s="2003"/>
      <c r="F324" s="2003"/>
      <c r="G324" s="2882" t="str">
        <f>G323</f>
        <v>Each Sqm</v>
      </c>
      <c r="H324" s="2883"/>
      <c r="I324" s="1723">
        <f>K1547</f>
        <v>152.89972500000002</v>
      </c>
      <c r="J324" s="1721"/>
      <c r="K324" s="1721">
        <f>I324+J324</f>
        <v>152.89972500000002</v>
      </c>
      <c r="L324" s="2884">
        <f>ROUND(K324,1)</f>
        <v>152.9</v>
      </c>
      <c r="M324" s="2885"/>
      <c r="N324" s="1767"/>
      <c r="O324" s="1725"/>
      <c r="P324" s="1767"/>
      <c r="Q324" s="1725"/>
      <c r="R324" s="1725"/>
      <c r="S324" s="1725"/>
    </row>
    <row r="325" spans="1:20" s="175" customFormat="1" ht="13.5" hidden="1" customHeight="1">
      <c r="A325" s="1998">
        <f>A320+1</f>
        <v>12</v>
      </c>
      <c r="B325" s="1884" t="s">
        <v>3780</v>
      </c>
      <c r="C325" s="2003"/>
      <c r="D325" s="2003"/>
      <c r="E325" s="2003"/>
      <c r="F325" s="2003"/>
      <c r="G325" s="2882" t="s">
        <v>390</v>
      </c>
      <c r="H325" s="2883"/>
      <c r="I325" s="1723"/>
      <c r="J325" s="1721"/>
      <c r="K325" s="1721"/>
      <c r="L325" s="2884"/>
      <c r="M325" s="2885"/>
      <c r="N325" s="1767"/>
      <c r="O325" s="1767"/>
      <c r="P325" s="1767"/>
      <c r="Q325" s="1759" t="s">
        <v>402</v>
      </c>
      <c r="T325" s="1759"/>
    </row>
    <row r="326" spans="1:20" s="175" customFormat="1" ht="13.5" hidden="1" customHeight="1">
      <c r="A326" s="2008" t="s">
        <v>383</v>
      </c>
      <c r="B326" s="2009" t="s">
        <v>384</v>
      </c>
      <c r="C326" s="2003"/>
      <c r="D326" s="2003"/>
      <c r="E326" s="2003"/>
      <c r="F326" s="2003"/>
      <c r="G326" s="2882" t="str">
        <f>G325</f>
        <v>Each Sqm</v>
      </c>
      <c r="H326" s="2883"/>
      <c r="I326" s="1723">
        <f>K1557</f>
        <v>85.14</v>
      </c>
      <c r="J326" s="1721"/>
      <c r="K326" s="1721">
        <f>I326+J326</f>
        <v>85.14</v>
      </c>
      <c r="L326" s="2884">
        <f>ROUND(K326,1)</f>
        <v>85.1</v>
      </c>
      <c r="M326" s="2885"/>
      <c r="N326" s="1767"/>
      <c r="O326" s="1767"/>
      <c r="P326" s="1767"/>
      <c r="Q326" s="1725"/>
      <c r="R326" s="1725"/>
      <c r="S326" s="1725"/>
      <c r="T326" s="1725"/>
    </row>
    <row r="327" spans="1:20" s="175" customFormat="1" ht="13.5" hidden="1" customHeight="1">
      <c r="A327" s="2008" t="s">
        <v>386</v>
      </c>
      <c r="B327" s="2009" t="s">
        <v>387</v>
      </c>
      <c r="C327" s="2003"/>
      <c r="D327" s="2003"/>
      <c r="E327" s="2003"/>
      <c r="F327" s="2003"/>
      <c r="G327" s="2882" t="str">
        <f>G326</f>
        <v>Each Sqm</v>
      </c>
      <c r="H327" s="2883"/>
      <c r="I327" s="1723">
        <f>K1561</f>
        <v>89.31</v>
      </c>
      <c r="J327" s="1721"/>
      <c r="K327" s="1721">
        <f>I327+J327</f>
        <v>89.31</v>
      </c>
      <c r="L327" s="2884">
        <f>ROUND(K327,1)</f>
        <v>89.3</v>
      </c>
      <c r="M327" s="2885"/>
      <c r="N327" s="1767"/>
      <c r="O327" s="1767"/>
      <c r="P327" s="1767"/>
      <c r="Q327" s="1725"/>
      <c r="R327" s="1725"/>
      <c r="S327" s="1725"/>
      <c r="T327" s="1725"/>
    </row>
    <row r="328" spans="1:20" s="175" customFormat="1" ht="13.5" hidden="1" customHeight="1">
      <c r="A328" s="2008" t="s">
        <v>432</v>
      </c>
      <c r="B328" s="2009" t="s">
        <v>3613</v>
      </c>
      <c r="C328" s="2003"/>
      <c r="D328" s="2003"/>
      <c r="E328" s="2003"/>
      <c r="F328" s="2003"/>
      <c r="G328" s="2882" t="str">
        <f>G327</f>
        <v>Each Sqm</v>
      </c>
      <c r="H328" s="2883"/>
      <c r="I328" s="1723">
        <f>K1565</f>
        <v>93.688500000000005</v>
      </c>
      <c r="J328" s="1721"/>
      <c r="K328" s="1721">
        <f>I328+J328</f>
        <v>93.688500000000005</v>
      </c>
      <c r="L328" s="2884">
        <f>ROUND(K328,1)</f>
        <v>93.7</v>
      </c>
      <c r="M328" s="2885"/>
      <c r="N328" s="1767"/>
      <c r="O328" s="1767"/>
      <c r="P328" s="1767"/>
      <c r="Q328" s="1725"/>
      <c r="R328" s="1725"/>
      <c r="S328" s="1725"/>
      <c r="T328" s="1725"/>
    </row>
    <row r="329" spans="1:20" s="175" customFormat="1" ht="13.5" hidden="1" customHeight="1">
      <c r="A329" s="2008" t="s">
        <v>443</v>
      </c>
      <c r="B329" s="2009" t="s">
        <v>3632</v>
      </c>
      <c r="C329" s="2003"/>
      <c r="D329" s="2003"/>
      <c r="E329" s="2003"/>
      <c r="F329" s="2003"/>
      <c r="G329" s="2882" t="str">
        <f>G328</f>
        <v>Each Sqm</v>
      </c>
      <c r="H329" s="2883"/>
      <c r="I329" s="1723">
        <f>K1569</f>
        <v>98.285925000000006</v>
      </c>
      <c r="J329" s="1721"/>
      <c r="K329" s="1721">
        <f>I329+J329</f>
        <v>98.285925000000006</v>
      </c>
      <c r="L329" s="2884">
        <f>ROUND(K329,1)</f>
        <v>98.3</v>
      </c>
      <c r="M329" s="2885"/>
      <c r="N329" s="1767"/>
      <c r="O329" s="1725"/>
      <c r="P329" s="1767"/>
      <c r="Q329" s="1725"/>
      <c r="R329" s="1725"/>
      <c r="S329" s="1725"/>
    </row>
    <row r="330" spans="1:20" s="175" customFormat="1" ht="13.5" hidden="1" customHeight="1">
      <c r="A330" s="1998">
        <f>A325+1</f>
        <v>13</v>
      </c>
      <c r="B330" s="1884" t="s">
        <v>3781</v>
      </c>
      <c r="C330" s="2003"/>
      <c r="D330" s="2003"/>
      <c r="E330" s="2003"/>
      <c r="F330" s="2003"/>
      <c r="G330" s="2882" t="s">
        <v>390</v>
      </c>
      <c r="H330" s="2883"/>
      <c r="I330" s="1723"/>
      <c r="J330" s="1721"/>
      <c r="K330" s="1721"/>
      <c r="L330" s="2884"/>
      <c r="M330" s="2885"/>
      <c r="N330" s="1767"/>
      <c r="O330" s="1767"/>
      <c r="P330" s="1767"/>
      <c r="Q330" s="1759" t="s">
        <v>403</v>
      </c>
      <c r="T330" s="1759"/>
    </row>
    <row r="331" spans="1:20" s="175" customFormat="1" ht="13.5" hidden="1" customHeight="1">
      <c r="A331" s="2008" t="s">
        <v>383</v>
      </c>
      <c r="B331" s="2009" t="s">
        <v>384</v>
      </c>
      <c r="C331" s="2003"/>
      <c r="D331" s="2003"/>
      <c r="E331" s="2003"/>
      <c r="F331" s="2003"/>
      <c r="G331" s="2882" t="str">
        <f>G330</f>
        <v>Each Sqm</v>
      </c>
      <c r="H331" s="2883"/>
      <c r="I331" s="1723">
        <f>K1579</f>
        <v>41.62</v>
      </c>
      <c r="J331" s="1721"/>
      <c r="K331" s="1721">
        <f>I331+J331</f>
        <v>41.62</v>
      </c>
      <c r="L331" s="2884">
        <f>ROUND(K331,1)</f>
        <v>41.6</v>
      </c>
      <c r="M331" s="2885"/>
      <c r="N331" s="1767"/>
      <c r="O331" s="1767"/>
      <c r="P331" s="1767"/>
      <c r="Q331" s="1725"/>
      <c r="R331" s="1725"/>
      <c r="S331" s="1725"/>
      <c r="T331" s="1725"/>
    </row>
    <row r="332" spans="1:20" s="175" customFormat="1" ht="13.5" hidden="1" customHeight="1">
      <c r="A332" s="2008" t="s">
        <v>386</v>
      </c>
      <c r="B332" s="2009" t="s">
        <v>387</v>
      </c>
      <c r="C332" s="2003"/>
      <c r="D332" s="2003"/>
      <c r="E332" s="2003"/>
      <c r="F332" s="2003"/>
      <c r="G332" s="2882" t="str">
        <f>G331</f>
        <v>Each Sqm</v>
      </c>
      <c r="H332" s="2883"/>
      <c r="I332" s="1723">
        <f>K1583</f>
        <v>43.66</v>
      </c>
      <c r="J332" s="1721"/>
      <c r="K332" s="1721">
        <f>I332+J332</f>
        <v>43.66</v>
      </c>
      <c r="L332" s="2884">
        <f>ROUND(K332,1)</f>
        <v>43.7</v>
      </c>
      <c r="M332" s="2885"/>
      <c r="N332" s="1767"/>
      <c r="O332" s="1767"/>
      <c r="P332" s="1767"/>
      <c r="Q332" s="1725"/>
      <c r="R332" s="1725"/>
      <c r="S332" s="1725"/>
      <c r="T332" s="1725"/>
    </row>
    <row r="333" spans="1:20" s="175" customFormat="1" ht="13.5" hidden="1" customHeight="1">
      <c r="A333" s="2008" t="s">
        <v>432</v>
      </c>
      <c r="B333" s="2009" t="s">
        <v>3613</v>
      </c>
      <c r="C333" s="2003"/>
      <c r="D333" s="2003"/>
      <c r="E333" s="2003"/>
      <c r="F333" s="2003"/>
      <c r="G333" s="2882" t="str">
        <f>G332</f>
        <v>Each Sqm</v>
      </c>
      <c r="H333" s="2883"/>
      <c r="I333" s="1723">
        <f>K1587</f>
        <v>45.802</v>
      </c>
      <c r="J333" s="1721"/>
      <c r="K333" s="1721">
        <f>I333+J333</f>
        <v>45.802</v>
      </c>
      <c r="L333" s="2884">
        <f>ROUND(K333,1)</f>
        <v>45.8</v>
      </c>
      <c r="M333" s="2885"/>
      <c r="N333" s="1767"/>
      <c r="O333" s="1767"/>
      <c r="P333" s="1767"/>
      <c r="Q333" s="1725"/>
      <c r="R333" s="1725"/>
      <c r="S333" s="1725"/>
      <c r="T333" s="1725"/>
    </row>
    <row r="334" spans="1:20" s="175" customFormat="1" ht="13.5" hidden="1" customHeight="1">
      <c r="A334" s="2008" t="s">
        <v>443</v>
      </c>
      <c r="B334" s="2009" t="s">
        <v>3632</v>
      </c>
      <c r="C334" s="2003"/>
      <c r="D334" s="2003"/>
      <c r="E334" s="2003"/>
      <c r="F334" s="2003"/>
      <c r="G334" s="2882" t="str">
        <f>G333</f>
        <v>Each Sqm</v>
      </c>
      <c r="H334" s="2883"/>
      <c r="I334" s="1723">
        <f>K1591</f>
        <v>48.051099999999998</v>
      </c>
      <c r="J334" s="1721"/>
      <c r="K334" s="1721">
        <f>I334+J334</f>
        <v>48.051099999999998</v>
      </c>
      <c r="L334" s="2884">
        <f>ROUND(K334,1)</f>
        <v>48.1</v>
      </c>
      <c r="M334" s="2885"/>
      <c r="N334" s="1767"/>
      <c r="O334" s="1725"/>
      <c r="P334" s="1767"/>
      <c r="Q334" s="1725"/>
      <c r="R334" s="1725"/>
      <c r="S334" s="1725"/>
    </row>
    <row r="335" spans="1:20" s="175" customFormat="1" ht="13.5" hidden="1" customHeight="1">
      <c r="A335" s="1998">
        <f>A330+1</f>
        <v>14</v>
      </c>
      <c r="B335" s="1884" t="s">
        <v>3782</v>
      </c>
      <c r="C335" s="2003"/>
      <c r="D335" s="2003"/>
      <c r="E335" s="2003"/>
      <c r="F335" s="2003"/>
      <c r="G335" s="2882" t="s">
        <v>390</v>
      </c>
      <c r="H335" s="2883"/>
      <c r="I335" s="1723"/>
      <c r="J335" s="1721"/>
      <c r="K335" s="1721"/>
      <c r="L335" s="2884"/>
      <c r="M335" s="2885"/>
      <c r="N335" s="1767"/>
      <c r="O335" s="1767"/>
      <c r="P335" s="1767"/>
      <c r="Q335" s="1759" t="s">
        <v>404</v>
      </c>
      <c r="T335" s="1759"/>
    </row>
    <row r="336" spans="1:20" s="175" customFormat="1" ht="13.5" hidden="1" customHeight="1">
      <c r="A336" s="2008" t="s">
        <v>383</v>
      </c>
      <c r="B336" s="2009" t="s">
        <v>384</v>
      </c>
      <c r="C336" s="2003"/>
      <c r="D336" s="2003"/>
      <c r="E336" s="2003"/>
      <c r="F336" s="2003"/>
      <c r="G336" s="2882" t="str">
        <f>G335</f>
        <v>Each Sqm</v>
      </c>
      <c r="H336" s="2883"/>
      <c r="I336" s="1723">
        <f>K1601</f>
        <v>94.6</v>
      </c>
      <c r="J336" s="1721"/>
      <c r="K336" s="1721">
        <f>I336+J336</f>
        <v>94.6</v>
      </c>
      <c r="L336" s="2884">
        <f>ROUND(K336,1)</f>
        <v>94.6</v>
      </c>
      <c r="M336" s="2885"/>
      <c r="N336" s="1767"/>
      <c r="O336" s="1767"/>
      <c r="P336" s="1767"/>
      <c r="Q336" s="1725"/>
      <c r="R336" s="1725"/>
      <c r="S336" s="1725"/>
      <c r="T336" s="1725"/>
    </row>
    <row r="337" spans="1:20" s="175" customFormat="1" ht="13.5" hidden="1" customHeight="1">
      <c r="A337" s="2008" t="s">
        <v>386</v>
      </c>
      <c r="B337" s="2009" t="s">
        <v>387</v>
      </c>
      <c r="C337" s="2003"/>
      <c r="D337" s="2003"/>
      <c r="E337" s="2003"/>
      <c r="F337" s="2003"/>
      <c r="G337" s="2882" t="str">
        <f>G336</f>
        <v>Each Sqm</v>
      </c>
      <c r="H337" s="2883"/>
      <c r="I337" s="1723">
        <f>K1605</f>
        <v>99.24</v>
      </c>
      <c r="J337" s="1721"/>
      <c r="K337" s="1721">
        <f>I337+J337</f>
        <v>99.24</v>
      </c>
      <c r="L337" s="2884">
        <f>ROUND(K337,1)</f>
        <v>99.2</v>
      </c>
      <c r="M337" s="2885"/>
      <c r="N337" s="1767"/>
      <c r="O337" s="1767"/>
      <c r="P337" s="1767"/>
      <c r="Q337" s="1725"/>
      <c r="R337" s="1725"/>
      <c r="S337" s="1725"/>
      <c r="T337" s="1725"/>
    </row>
    <row r="338" spans="1:20" s="175" customFormat="1" ht="13.5" hidden="1" customHeight="1">
      <c r="A338" s="2008" t="s">
        <v>432</v>
      </c>
      <c r="B338" s="2009" t="s">
        <v>3613</v>
      </c>
      <c r="C338" s="2003"/>
      <c r="D338" s="2003"/>
      <c r="E338" s="2003"/>
      <c r="F338" s="2003"/>
      <c r="G338" s="2882" t="str">
        <f>G337</f>
        <v>Each Sqm</v>
      </c>
      <c r="H338" s="2883"/>
      <c r="I338" s="1723">
        <f>K1609</f>
        <v>104.11199999999999</v>
      </c>
      <c r="J338" s="1721"/>
      <c r="K338" s="1721">
        <f>I338+J338</f>
        <v>104.11199999999999</v>
      </c>
      <c r="L338" s="2884">
        <f>ROUND(K338,1)</f>
        <v>104.1</v>
      </c>
      <c r="M338" s="2885"/>
      <c r="N338" s="1767"/>
      <c r="O338" s="1767"/>
      <c r="P338" s="1767"/>
      <c r="Q338" s="1725"/>
      <c r="R338" s="1725"/>
      <c r="S338" s="1725"/>
      <c r="T338" s="1725"/>
    </row>
    <row r="339" spans="1:20" s="175" customFormat="1" ht="13.5" hidden="1" customHeight="1">
      <c r="A339" s="2008" t="s">
        <v>443</v>
      </c>
      <c r="B339" s="2009" t="s">
        <v>3632</v>
      </c>
      <c r="C339" s="2003"/>
      <c r="D339" s="2003"/>
      <c r="E339" s="2003"/>
      <c r="F339" s="2003"/>
      <c r="G339" s="2882" t="str">
        <f>G338</f>
        <v>Each Sqm</v>
      </c>
      <c r="H339" s="2883"/>
      <c r="I339" s="1723">
        <f>K1613</f>
        <v>109.2276</v>
      </c>
      <c r="J339" s="1721"/>
      <c r="K339" s="1721">
        <f>I339+J339</f>
        <v>109.2276</v>
      </c>
      <c r="L339" s="2884">
        <f>ROUND(K339,1)</f>
        <v>109.2</v>
      </c>
      <c r="M339" s="2885"/>
      <c r="N339" s="1767"/>
      <c r="O339" s="1725"/>
      <c r="P339" s="1767"/>
      <c r="Q339" s="1725"/>
      <c r="R339" s="1725"/>
      <c r="S339" s="1725"/>
    </row>
    <row r="340" spans="1:20" s="175" customFormat="1" ht="13.5" hidden="1" customHeight="1">
      <c r="A340" s="1998">
        <f>A335+1</f>
        <v>15</v>
      </c>
      <c r="B340" s="1884" t="s">
        <v>3783</v>
      </c>
      <c r="C340" s="2003"/>
      <c r="D340" s="2003"/>
      <c r="E340" s="2003"/>
      <c r="F340" s="2003"/>
      <c r="G340" s="2882" t="s">
        <v>390</v>
      </c>
      <c r="H340" s="2883"/>
      <c r="I340" s="1723"/>
      <c r="J340" s="1721"/>
      <c r="K340" s="1721"/>
      <c r="L340" s="2884"/>
      <c r="M340" s="2885"/>
      <c r="N340" s="1767"/>
      <c r="O340" s="1767"/>
      <c r="P340" s="1767"/>
      <c r="Q340" s="1759" t="s">
        <v>405</v>
      </c>
      <c r="T340" s="1759"/>
    </row>
    <row r="341" spans="1:20" s="175" customFormat="1" ht="13.5" hidden="1" customHeight="1">
      <c r="A341" s="2008" t="s">
        <v>383</v>
      </c>
      <c r="B341" s="2009" t="s">
        <v>384</v>
      </c>
      <c r="C341" s="2003"/>
      <c r="D341" s="2003"/>
      <c r="E341" s="2003"/>
      <c r="F341" s="2003"/>
      <c r="G341" s="2882" t="str">
        <f>G340</f>
        <v>Each Sqm</v>
      </c>
      <c r="H341" s="2883"/>
      <c r="I341" s="1723">
        <f>K1623</f>
        <v>49.19</v>
      </c>
      <c r="J341" s="1721"/>
      <c r="K341" s="1721">
        <f>I341+J341</f>
        <v>49.19</v>
      </c>
      <c r="L341" s="2884">
        <f>ROUND(K341,1)</f>
        <v>49.2</v>
      </c>
      <c r="M341" s="2885"/>
      <c r="N341" s="1767"/>
      <c r="O341" s="1767"/>
      <c r="P341" s="1767"/>
      <c r="Q341" s="1725"/>
      <c r="R341" s="1725"/>
      <c r="S341" s="1725"/>
      <c r="T341" s="1725"/>
    </row>
    <row r="342" spans="1:20" s="175" customFormat="1" ht="13.5" hidden="1" customHeight="1">
      <c r="A342" s="2008" t="s">
        <v>386</v>
      </c>
      <c r="B342" s="2009" t="s">
        <v>387</v>
      </c>
      <c r="C342" s="2003"/>
      <c r="D342" s="2003"/>
      <c r="E342" s="2003"/>
      <c r="F342" s="2003"/>
      <c r="G342" s="2882" t="str">
        <f>G341</f>
        <v>Each Sqm</v>
      </c>
      <c r="H342" s="2883"/>
      <c r="I342" s="1723">
        <f>K1627</f>
        <v>51.599999999999994</v>
      </c>
      <c r="J342" s="1721"/>
      <c r="K342" s="1721">
        <f>I342+J342</f>
        <v>51.599999999999994</v>
      </c>
      <c r="L342" s="2884">
        <f>ROUND(K342,1)</f>
        <v>51.6</v>
      </c>
      <c r="M342" s="2885"/>
      <c r="N342" s="1767"/>
      <c r="O342" s="1767"/>
      <c r="P342" s="1767"/>
      <c r="Q342" s="1725"/>
      <c r="R342" s="1725"/>
      <c r="S342" s="1725"/>
      <c r="T342" s="1725"/>
    </row>
    <row r="343" spans="1:20" s="175" customFormat="1" ht="13.5" hidden="1" customHeight="1">
      <c r="A343" s="2008" t="s">
        <v>432</v>
      </c>
      <c r="B343" s="2009" t="s">
        <v>3613</v>
      </c>
      <c r="C343" s="2003"/>
      <c r="D343" s="2003"/>
      <c r="E343" s="2003"/>
      <c r="F343" s="2003"/>
      <c r="G343" s="2882" t="str">
        <f>G342</f>
        <v>Each Sqm</v>
      </c>
      <c r="H343" s="2883"/>
      <c r="I343" s="1723">
        <f>K1631</f>
        <v>54.130499999999998</v>
      </c>
      <c r="J343" s="1721"/>
      <c r="K343" s="1721">
        <f>I343+J343</f>
        <v>54.130499999999998</v>
      </c>
      <c r="L343" s="2884">
        <f>ROUND(K343,1)</f>
        <v>54.1</v>
      </c>
      <c r="M343" s="2885"/>
      <c r="N343" s="1767"/>
      <c r="O343" s="1767"/>
      <c r="P343" s="1767"/>
      <c r="Q343" s="1725"/>
      <c r="R343" s="1725"/>
      <c r="S343" s="1725"/>
      <c r="T343" s="1725"/>
    </row>
    <row r="344" spans="1:20" s="175" customFormat="1" ht="13.5" hidden="1" customHeight="1">
      <c r="A344" s="2008" t="s">
        <v>443</v>
      </c>
      <c r="B344" s="2009" t="s">
        <v>3632</v>
      </c>
      <c r="C344" s="2003"/>
      <c r="D344" s="2003"/>
      <c r="E344" s="2003"/>
      <c r="F344" s="2003"/>
      <c r="G344" s="2882" t="str">
        <f>G343</f>
        <v>Each Sqm</v>
      </c>
      <c r="H344" s="2883"/>
      <c r="I344" s="1723">
        <f>K1635</f>
        <v>56.787524999999995</v>
      </c>
      <c r="J344" s="1721"/>
      <c r="K344" s="1721">
        <f>I344+J344</f>
        <v>56.787524999999995</v>
      </c>
      <c r="L344" s="2884">
        <f>ROUND(K344,1)</f>
        <v>56.8</v>
      </c>
      <c r="M344" s="2885"/>
      <c r="N344" s="1767"/>
      <c r="O344" s="1725"/>
      <c r="P344" s="1767"/>
      <c r="Q344" s="1725"/>
      <c r="R344" s="1725"/>
      <c r="S344" s="1725"/>
    </row>
    <row r="345" spans="1:20" s="175" customFormat="1" ht="13.5" hidden="1" customHeight="1">
      <c r="A345" s="1998">
        <f>A340+1</f>
        <v>16</v>
      </c>
      <c r="B345" s="1884" t="s">
        <v>3784</v>
      </c>
      <c r="C345" s="2003"/>
      <c r="D345" s="2003"/>
      <c r="E345" s="2003"/>
      <c r="F345" s="2003"/>
      <c r="G345" s="2882" t="s">
        <v>390</v>
      </c>
      <c r="H345" s="2883"/>
      <c r="I345" s="1723"/>
      <c r="J345" s="1721"/>
      <c r="K345" s="1721"/>
      <c r="L345" s="2884"/>
      <c r="M345" s="2885"/>
      <c r="N345" s="1767"/>
      <c r="O345" s="1767"/>
      <c r="P345" s="1767"/>
      <c r="Q345" s="1759" t="s">
        <v>406</v>
      </c>
      <c r="T345" s="1759"/>
    </row>
    <row r="346" spans="1:20" s="175" customFormat="1" ht="13.5" hidden="1" customHeight="1">
      <c r="A346" s="2008" t="s">
        <v>383</v>
      </c>
      <c r="B346" s="2009" t="s">
        <v>384</v>
      </c>
      <c r="C346" s="2003"/>
      <c r="D346" s="2003"/>
      <c r="E346" s="2003"/>
      <c r="F346" s="2003"/>
      <c r="G346" s="2882" t="str">
        <f>G345</f>
        <v>Each Sqm</v>
      </c>
      <c r="H346" s="2883"/>
      <c r="I346" s="1723">
        <f>K1645</f>
        <v>104.06</v>
      </c>
      <c r="J346" s="1721"/>
      <c r="K346" s="1721">
        <f>I346+J346</f>
        <v>104.06</v>
      </c>
      <c r="L346" s="2884">
        <f>ROUND(K346,1)</f>
        <v>104.1</v>
      </c>
      <c r="M346" s="2885"/>
      <c r="N346" s="1767"/>
      <c r="O346" s="1767"/>
      <c r="P346" s="1767"/>
      <c r="Q346" s="1725"/>
      <c r="R346" s="1725"/>
      <c r="S346" s="1725"/>
      <c r="T346" s="1725"/>
    </row>
    <row r="347" spans="1:20" s="175" customFormat="1" ht="13.5" hidden="1" customHeight="1">
      <c r="A347" s="2008" t="s">
        <v>386</v>
      </c>
      <c r="B347" s="2009" t="s">
        <v>387</v>
      </c>
      <c r="C347" s="2003"/>
      <c r="D347" s="2003"/>
      <c r="E347" s="2003"/>
      <c r="F347" s="2003"/>
      <c r="G347" s="2882" t="str">
        <f>G346</f>
        <v>Each Sqm</v>
      </c>
      <c r="H347" s="2883"/>
      <c r="I347" s="1723">
        <f>K1649</f>
        <v>109.16</v>
      </c>
      <c r="J347" s="1721"/>
      <c r="K347" s="1721">
        <f>I347+J347</f>
        <v>109.16</v>
      </c>
      <c r="L347" s="2884">
        <f>ROUND(K347,1)</f>
        <v>109.2</v>
      </c>
      <c r="M347" s="2885"/>
      <c r="N347" s="1767"/>
      <c r="O347" s="1767"/>
      <c r="P347" s="1767"/>
      <c r="Q347" s="1725"/>
      <c r="R347" s="1725"/>
      <c r="S347" s="1725"/>
      <c r="T347" s="1725"/>
    </row>
    <row r="348" spans="1:20" s="175" customFormat="1" ht="13.5" hidden="1" customHeight="1">
      <c r="A348" s="2008" t="s">
        <v>432</v>
      </c>
      <c r="B348" s="2009" t="s">
        <v>3613</v>
      </c>
      <c r="C348" s="2003"/>
      <c r="D348" s="2003"/>
      <c r="E348" s="2003"/>
      <c r="F348" s="2003"/>
      <c r="G348" s="2882" t="str">
        <f>G347</f>
        <v>Each Sqm</v>
      </c>
      <c r="H348" s="2883"/>
      <c r="I348" s="1723">
        <f>K1653</f>
        <v>114.515</v>
      </c>
      <c r="J348" s="1721"/>
      <c r="K348" s="1721">
        <f>I348+J348</f>
        <v>114.515</v>
      </c>
      <c r="L348" s="2884">
        <f>ROUND(K348,1)</f>
        <v>114.5</v>
      </c>
      <c r="M348" s="2885"/>
      <c r="N348" s="1767"/>
      <c r="O348" s="1767"/>
      <c r="P348" s="1767"/>
      <c r="Q348" s="1725"/>
      <c r="R348" s="1725"/>
      <c r="S348" s="1725"/>
      <c r="T348" s="1725"/>
    </row>
    <row r="349" spans="1:20" s="175" customFormat="1" ht="13.5" hidden="1" customHeight="1">
      <c r="A349" s="2008" t="s">
        <v>443</v>
      </c>
      <c r="B349" s="2009" t="s">
        <v>3632</v>
      </c>
      <c r="C349" s="2003"/>
      <c r="D349" s="2003"/>
      <c r="E349" s="2003"/>
      <c r="F349" s="2003"/>
      <c r="G349" s="2882" t="str">
        <f>G348</f>
        <v>Each Sqm</v>
      </c>
      <c r="H349" s="2883"/>
      <c r="I349" s="1723">
        <f>K1657</f>
        <v>120.13775</v>
      </c>
      <c r="J349" s="1721"/>
      <c r="K349" s="1721">
        <f>I349+J349</f>
        <v>120.13775</v>
      </c>
      <c r="L349" s="2884">
        <f>ROUND(K349,1)</f>
        <v>120.1</v>
      </c>
      <c r="M349" s="2885"/>
      <c r="N349" s="1767"/>
      <c r="O349" s="1725"/>
      <c r="P349" s="1767"/>
      <c r="Q349" s="1725"/>
      <c r="R349" s="1725"/>
      <c r="S349" s="1725"/>
    </row>
    <row r="350" spans="1:20" s="175" customFormat="1" ht="13.5" customHeight="1">
      <c r="A350" s="1998">
        <f>A345+1</f>
        <v>17</v>
      </c>
      <c r="B350" s="1884" t="s">
        <v>3785</v>
      </c>
      <c r="C350" s="2003"/>
      <c r="D350" s="2003"/>
      <c r="E350" s="2003"/>
      <c r="F350" s="2003"/>
      <c r="G350" s="2882" t="s">
        <v>390</v>
      </c>
      <c r="H350" s="2883"/>
      <c r="I350" s="1723"/>
      <c r="J350" s="1721"/>
      <c r="K350" s="1721"/>
      <c r="L350" s="2884"/>
      <c r="M350" s="2885"/>
      <c r="N350" s="1767"/>
      <c r="O350" s="1767"/>
      <c r="P350" s="1767"/>
      <c r="Q350" s="1759" t="s">
        <v>407</v>
      </c>
      <c r="T350" s="1759"/>
    </row>
    <row r="351" spans="1:20" s="175" customFormat="1" ht="13.5" customHeight="1">
      <c r="A351" s="2008" t="s">
        <v>383</v>
      </c>
      <c r="B351" s="2009" t="s">
        <v>384</v>
      </c>
      <c r="C351" s="2003"/>
      <c r="D351" s="2003"/>
      <c r="E351" s="2003"/>
      <c r="F351" s="2003"/>
      <c r="G351" s="2882" t="str">
        <f>G350</f>
        <v>Each Sqm</v>
      </c>
      <c r="H351" s="2883"/>
      <c r="I351" s="1723">
        <f>K1667</f>
        <v>198.65</v>
      </c>
      <c r="J351" s="1721"/>
      <c r="K351" s="1721">
        <f>I351+J351</f>
        <v>198.65</v>
      </c>
      <c r="L351" s="2884">
        <f>ROUND(K351,1)</f>
        <v>198.7</v>
      </c>
      <c r="M351" s="2885"/>
      <c r="N351" s="1767"/>
      <c r="O351" s="1767"/>
      <c r="P351" s="1767"/>
      <c r="Q351" s="1725"/>
      <c r="R351" s="1725"/>
      <c r="S351" s="1725"/>
      <c r="T351" s="1725"/>
    </row>
    <row r="352" spans="1:20" s="175" customFormat="1" ht="13.5" hidden="1" customHeight="1">
      <c r="A352" s="2008" t="s">
        <v>386</v>
      </c>
      <c r="B352" s="2009" t="s">
        <v>387</v>
      </c>
      <c r="C352" s="2003"/>
      <c r="D352" s="2003"/>
      <c r="E352" s="2003"/>
      <c r="F352" s="2003"/>
      <c r="G352" s="2882" t="str">
        <f>G351</f>
        <v>Each Sqm</v>
      </c>
      <c r="H352" s="2883"/>
      <c r="I352" s="1723">
        <f>K1671</f>
        <v>208.39000000000001</v>
      </c>
      <c r="J352" s="1721"/>
      <c r="K352" s="1721">
        <f>I352+J352</f>
        <v>208.39000000000001</v>
      </c>
      <c r="L352" s="2884">
        <f>ROUND(K352,1)</f>
        <v>208.4</v>
      </c>
      <c r="M352" s="2885"/>
      <c r="N352" s="1767"/>
      <c r="O352" s="1767"/>
      <c r="P352" s="1767"/>
      <c r="Q352" s="1725"/>
      <c r="R352" s="1725"/>
      <c r="S352" s="1725"/>
      <c r="T352" s="1725"/>
    </row>
    <row r="353" spans="1:20" s="175" customFormat="1" ht="13.5" hidden="1" customHeight="1">
      <c r="A353" s="2008" t="s">
        <v>432</v>
      </c>
      <c r="B353" s="2009" t="s">
        <v>3613</v>
      </c>
      <c r="C353" s="2003"/>
      <c r="D353" s="2003"/>
      <c r="E353" s="2003"/>
      <c r="F353" s="2003"/>
      <c r="G353" s="2882" t="str">
        <f>G352</f>
        <v>Each Sqm</v>
      </c>
      <c r="H353" s="2883"/>
      <c r="I353" s="1723">
        <f>K1675</f>
        <v>218.61700000000002</v>
      </c>
      <c r="J353" s="1721"/>
      <c r="K353" s="1721">
        <f>I353+J353</f>
        <v>218.61700000000002</v>
      </c>
      <c r="L353" s="2884">
        <f>ROUND(K353,1)</f>
        <v>218.6</v>
      </c>
      <c r="M353" s="2885"/>
      <c r="N353" s="1767"/>
      <c r="O353" s="1767"/>
      <c r="P353" s="1767"/>
      <c r="Q353" s="1725"/>
      <c r="R353" s="1725"/>
      <c r="S353" s="1725"/>
      <c r="T353" s="1725"/>
    </row>
    <row r="354" spans="1:20" s="175" customFormat="1" ht="13.5" hidden="1" customHeight="1">
      <c r="A354" s="2008" t="s">
        <v>443</v>
      </c>
      <c r="B354" s="2009" t="s">
        <v>3632</v>
      </c>
      <c r="C354" s="2003"/>
      <c r="D354" s="2003"/>
      <c r="E354" s="2003"/>
      <c r="F354" s="2003"/>
      <c r="G354" s="2882" t="str">
        <f>G353</f>
        <v>Each Sqm</v>
      </c>
      <c r="H354" s="2883"/>
      <c r="I354" s="1723">
        <f>K1679</f>
        <v>229.35535000000002</v>
      </c>
      <c r="J354" s="1721"/>
      <c r="K354" s="1721">
        <f>I354+J354</f>
        <v>229.35535000000002</v>
      </c>
      <c r="L354" s="2884">
        <f>ROUND(K354,1)</f>
        <v>229.4</v>
      </c>
      <c r="M354" s="2885"/>
      <c r="N354" s="1767"/>
      <c r="O354" s="1725"/>
      <c r="P354" s="1767"/>
      <c r="Q354" s="1725"/>
      <c r="R354" s="1725"/>
      <c r="S354" s="1725"/>
    </row>
    <row r="355" spans="1:20" s="175" customFormat="1" ht="13.5" hidden="1" customHeight="1">
      <c r="A355" s="1998">
        <f>A350+1</f>
        <v>18</v>
      </c>
      <c r="B355" s="1884" t="s">
        <v>3786</v>
      </c>
      <c r="C355" s="2003"/>
      <c r="D355" s="2003"/>
      <c r="E355" s="2003"/>
      <c r="F355" s="2003"/>
      <c r="G355" s="2882" t="s">
        <v>390</v>
      </c>
      <c r="H355" s="2883"/>
      <c r="I355" s="1723"/>
      <c r="J355" s="1721"/>
      <c r="K355" s="1721"/>
      <c r="L355" s="2884"/>
      <c r="M355" s="2885"/>
      <c r="N355" s="1767"/>
      <c r="O355" s="1767"/>
      <c r="P355" s="1767"/>
      <c r="Q355" s="1759" t="s">
        <v>408</v>
      </c>
      <c r="T355" s="1759"/>
    </row>
    <row r="356" spans="1:20" s="175" customFormat="1" ht="13.5" hidden="1" customHeight="1">
      <c r="A356" s="2008" t="s">
        <v>383</v>
      </c>
      <c r="B356" s="2009" t="s">
        <v>384</v>
      </c>
      <c r="C356" s="2003"/>
      <c r="D356" s="2003"/>
      <c r="E356" s="2003"/>
      <c r="F356" s="2003"/>
      <c r="G356" s="2882" t="str">
        <f>G355</f>
        <v>Each Sqm</v>
      </c>
      <c r="H356" s="2883"/>
      <c r="I356" s="1723">
        <f>K1690</f>
        <v>63.04</v>
      </c>
      <c r="J356" s="1721"/>
      <c r="K356" s="1721">
        <f>I356+J356</f>
        <v>63.04</v>
      </c>
      <c r="L356" s="2884">
        <f>ROUND(K356,1)</f>
        <v>63</v>
      </c>
      <c r="M356" s="2885"/>
      <c r="N356" s="1767"/>
      <c r="O356" s="1767"/>
      <c r="P356" s="1767"/>
      <c r="Q356" s="1725"/>
      <c r="R356" s="1725"/>
      <c r="S356" s="1725"/>
      <c r="T356" s="1725"/>
    </row>
    <row r="357" spans="1:20" s="175" customFormat="1" ht="13.5" hidden="1" customHeight="1">
      <c r="A357" s="2008" t="s">
        <v>386</v>
      </c>
      <c r="B357" s="2009" t="s">
        <v>387</v>
      </c>
      <c r="C357" s="2003"/>
      <c r="D357" s="2003"/>
      <c r="E357" s="2003"/>
      <c r="F357" s="2003"/>
      <c r="G357" s="2882" t="str">
        <f>G356</f>
        <v>Each Sqm</v>
      </c>
      <c r="H357" s="2883"/>
      <c r="I357" s="1723">
        <f>K1694</f>
        <v>66.13</v>
      </c>
      <c r="J357" s="1721"/>
      <c r="K357" s="1721">
        <f>I357+J357</f>
        <v>66.13</v>
      </c>
      <c r="L357" s="2884">
        <f>ROUND(K357,1)</f>
        <v>66.099999999999994</v>
      </c>
      <c r="M357" s="2885"/>
      <c r="N357" s="1767"/>
      <c r="O357" s="1767"/>
      <c r="P357" s="1767"/>
      <c r="Q357" s="1725"/>
      <c r="R357" s="1725"/>
      <c r="S357" s="1725"/>
      <c r="T357" s="1725"/>
    </row>
    <row r="358" spans="1:20" s="175" customFormat="1" ht="13.5" hidden="1" customHeight="1">
      <c r="A358" s="2008" t="s">
        <v>432</v>
      </c>
      <c r="B358" s="2009" t="s">
        <v>3613</v>
      </c>
      <c r="C358" s="2003"/>
      <c r="D358" s="2003"/>
      <c r="E358" s="2003"/>
      <c r="F358" s="2003"/>
      <c r="G358" s="2882" t="str">
        <f>G357</f>
        <v>Each Sqm</v>
      </c>
      <c r="H358" s="2883"/>
      <c r="I358" s="1723">
        <f>K1698</f>
        <v>69.374499999999998</v>
      </c>
      <c r="J358" s="1721"/>
      <c r="K358" s="1721">
        <f>I358+J358</f>
        <v>69.374499999999998</v>
      </c>
      <c r="L358" s="2884">
        <f>ROUND(K358,1)</f>
        <v>69.400000000000006</v>
      </c>
      <c r="M358" s="2885"/>
      <c r="N358" s="1767"/>
      <c r="O358" s="1767"/>
      <c r="P358" s="1767"/>
      <c r="Q358" s="1725"/>
      <c r="R358" s="1725"/>
      <c r="S358" s="1725"/>
      <c r="T358" s="1725"/>
    </row>
    <row r="359" spans="1:20" s="175" customFormat="1" ht="13.5" hidden="1" customHeight="1">
      <c r="A359" s="2008" t="s">
        <v>443</v>
      </c>
      <c r="B359" s="2009" t="s">
        <v>3632</v>
      </c>
      <c r="C359" s="2003"/>
      <c r="D359" s="2003"/>
      <c r="E359" s="2003"/>
      <c r="F359" s="2003"/>
      <c r="G359" s="2882" t="str">
        <f>G358</f>
        <v>Each Sqm</v>
      </c>
      <c r="H359" s="2883"/>
      <c r="I359" s="1723">
        <f>K1702</f>
        <v>72.781224999999992</v>
      </c>
      <c r="J359" s="1721"/>
      <c r="K359" s="1721">
        <f>I359+J359</f>
        <v>72.781224999999992</v>
      </c>
      <c r="L359" s="2884">
        <f>ROUND(K359,1)</f>
        <v>72.8</v>
      </c>
      <c r="M359" s="2885"/>
      <c r="N359" s="1767"/>
      <c r="O359" s="1725"/>
      <c r="P359" s="1767"/>
      <c r="Q359" s="1725"/>
      <c r="R359" s="1725"/>
      <c r="S359" s="1725"/>
    </row>
    <row r="360" spans="1:20" s="175" customFormat="1" ht="13.5" hidden="1" customHeight="1">
      <c r="A360" s="1998">
        <f>A355+1</f>
        <v>19</v>
      </c>
      <c r="B360" s="1884" t="s">
        <v>3787</v>
      </c>
      <c r="C360" s="2003"/>
      <c r="D360" s="2003"/>
      <c r="E360" s="2003"/>
      <c r="F360" s="2003"/>
      <c r="G360" s="2882" t="s">
        <v>390</v>
      </c>
      <c r="H360" s="2883"/>
      <c r="I360" s="1723"/>
      <c r="J360" s="1721"/>
      <c r="K360" s="1721"/>
      <c r="L360" s="2884"/>
      <c r="M360" s="2885"/>
      <c r="N360" s="1767"/>
      <c r="O360" s="1767"/>
      <c r="P360" s="1767"/>
      <c r="Q360" s="1759" t="s">
        <v>409</v>
      </c>
      <c r="T360" s="1759"/>
    </row>
    <row r="361" spans="1:20" s="175" customFormat="1" ht="13.5" hidden="1" customHeight="1">
      <c r="A361" s="2008" t="s">
        <v>383</v>
      </c>
      <c r="B361" s="2009" t="s">
        <v>384</v>
      </c>
      <c r="C361" s="2003"/>
      <c r="D361" s="2003"/>
      <c r="E361" s="2003"/>
      <c r="F361" s="2003"/>
      <c r="G361" s="2882" t="str">
        <f>G360</f>
        <v>Each Sqm</v>
      </c>
      <c r="H361" s="2883"/>
      <c r="I361" s="1723">
        <f>K1712</f>
        <v>66.22</v>
      </c>
      <c r="J361" s="1721"/>
      <c r="K361" s="1721">
        <f>I361+J361</f>
        <v>66.22</v>
      </c>
      <c r="L361" s="2884">
        <f>ROUND(K361,1)</f>
        <v>66.2</v>
      </c>
      <c r="M361" s="2885"/>
      <c r="N361" s="1767"/>
      <c r="O361" s="1767"/>
      <c r="P361" s="1767"/>
      <c r="Q361" s="1725"/>
      <c r="R361" s="1725"/>
      <c r="S361" s="1725"/>
      <c r="T361" s="1725"/>
    </row>
    <row r="362" spans="1:20" s="175" customFormat="1" ht="13.5" hidden="1" customHeight="1">
      <c r="A362" s="2008" t="s">
        <v>386</v>
      </c>
      <c r="B362" s="2009" t="s">
        <v>387</v>
      </c>
      <c r="C362" s="2003"/>
      <c r="D362" s="2003"/>
      <c r="E362" s="2003"/>
      <c r="F362" s="2003"/>
      <c r="G362" s="2882" t="str">
        <f>G361</f>
        <v>Each Sqm</v>
      </c>
      <c r="H362" s="2883"/>
      <c r="I362" s="1723">
        <f>K1716</f>
        <v>69.47</v>
      </c>
      <c r="J362" s="1721"/>
      <c r="K362" s="1721">
        <f>I362+J362</f>
        <v>69.47</v>
      </c>
      <c r="L362" s="2884">
        <f>ROUND(K362,1)</f>
        <v>69.5</v>
      </c>
      <c r="M362" s="2885"/>
      <c r="N362" s="1767"/>
      <c r="O362" s="1767"/>
      <c r="P362" s="1767"/>
      <c r="Q362" s="1725"/>
      <c r="R362" s="1725"/>
      <c r="S362" s="1725"/>
      <c r="T362" s="1725"/>
    </row>
    <row r="363" spans="1:20" s="175" customFormat="1" ht="13.5" hidden="1" customHeight="1">
      <c r="A363" s="2008" t="s">
        <v>432</v>
      </c>
      <c r="B363" s="2009" t="s">
        <v>3613</v>
      </c>
      <c r="C363" s="2003"/>
      <c r="D363" s="2003"/>
      <c r="E363" s="2003"/>
      <c r="F363" s="2003"/>
      <c r="G363" s="2882" t="str">
        <f>G362</f>
        <v>Each Sqm</v>
      </c>
      <c r="H363" s="2883"/>
      <c r="I363" s="1723">
        <f>K1720</f>
        <v>72.882499999999993</v>
      </c>
      <c r="J363" s="1721"/>
      <c r="K363" s="1721">
        <f>I363+J363</f>
        <v>72.882499999999993</v>
      </c>
      <c r="L363" s="2884">
        <f>ROUND(K363,1)</f>
        <v>72.900000000000006</v>
      </c>
      <c r="M363" s="2885"/>
      <c r="N363" s="1767"/>
      <c r="O363" s="1767"/>
      <c r="P363" s="1767"/>
      <c r="Q363" s="1725"/>
      <c r="R363" s="1725"/>
      <c r="S363" s="1725"/>
      <c r="T363" s="1725"/>
    </row>
    <row r="364" spans="1:20" s="175" customFormat="1" ht="13.5" hidden="1" customHeight="1">
      <c r="A364" s="2008" t="s">
        <v>443</v>
      </c>
      <c r="B364" s="2009" t="s">
        <v>3632</v>
      </c>
      <c r="C364" s="2003"/>
      <c r="D364" s="2003"/>
      <c r="E364" s="2003"/>
      <c r="F364" s="2003"/>
      <c r="G364" s="2882" t="str">
        <f>G363</f>
        <v>Each Sqm</v>
      </c>
      <c r="H364" s="2883"/>
      <c r="I364" s="1723">
        <f>K1724</f>
        <v>76.465624999999989</v>
      </c>
      <c r="J364" s="1721"/>
      <c r="K364" s="1721">
        <f>I364+J364</f>
        <v>76.465624999999989</v>
      </c>
      <c r="L364" s="2884">
        <f>ROUND(K364,1)</f>
        <v>76.5</v>
      </c>
      <c r="M364" s="2885"/>
      <c r="N364" s="1767"/>
      <c r="O364" s="1725"/>
      <c r="P364" s="1767"/>
      <c r="Q364" s="1725"/>
      <c r="R364" s="1725"/>
      <c r="S364" s="1725"/>
    </row>
    <row r="365" spans="1:20" s="175" customFormat="1" ht="13.5" hidden="1" customHeight="1">
      <c r="A365" s="1998">
        <f>A360+1</f>
        <v>20</v>
      </c>
      <c r="B365" s="2011" t="s">
        <v>3788</v>
      </c>
      <c r="C365" s="2003"/>
      <c r="D365" s="2003"/>
      <c r="E365" s="2003"/>
      <c r="F365" s="2003"/>
      <c r="G365" s="2882" t="s">
        <v>390</v>
      </c>
      <c r="H365" s="2883"/>
      <c r="I365" s="1723"/>
      <c r="J365" s="1721"/>
      <c r="K365" s="1721"/>
      <c r="L365" s="2884"/>
      <c r="M365" s="2885"/>
      <c r="N365" s="1767"/>
      <c r="O365" s="1767"/>
      <c r="P365" s="1767"/>
      <c r="Q365" s="1759"/>
      <c r="T365" s="1759"/>
    </row>
    <row r="366" spans="1:20" s="175" customFormat="1" ht="13.5" hidden="1" customHeight="1">
      <c r="A366" s="2008" t="s">
        <v>383</v>
      </c>
      <c r="B366" s="2009" t="s">
        <v>384</v>
      </c>
      <c r="C366" s="2003"/>
      <c r="D366" s="2003"/>
      <c r="E366" s="2003"/>
      <c r="F366" s="2003"/>
      <c r="G366" s="2882" t="str">
        <f>G365</f>
        <v>Each Sqm</v>
      </c>
      <c r="H366" s="2883"/>
      <c r="I366" s="1723">
        <f>K1737</f>
        <v>15.56</v>
      </c>
      <c r="J366" s="1721"/>
      <c r="K366" s="1721">
        <f>I366+J366</f>
        <v>15.56</v>
      </c>
      <c r="L366" s="2884">
        <f>ROUND(K366,1)</f>
        <v>15.6</v>
      </c>
      <c r="M366" s="2885"/>
      <c r="N366" s="1767"/>
      <c r="O366" s="1767"/>
      <c r="P366" s="1767"/>
      <c r="Q366" s="1725"/>
      <c r="R366" s="1725"/>
      <c r="S366" s="1725"/>
      <c r="T366" s="1725"/>
    </row>
    <row r="367" spans="1:20" s="175" customFormat="1" ht="13.5" hidden="1" customHeight="1">
      <c r="A367" s="2008" t="s">
        <v>386</v>
      </c>
      <c r="B367" s="2009" t="s">
        <v>387</v>
      </c>
      <c r="C367" s="2003"/>
      <c r="D367" s="2003"/>
      <c r="E367" s="2003"/>
      <c r="F367" s="2003"/>
      <c r="G367" s="2882" t="str">
        <f>G366</f>
        <v>Each Sqm</v>
      </c>
      <c r="H367" s="2883"/>
      <c r="I367" s="1723">
        <f>K1741</f>
        <v>16.28</v>
      </c>
      <c r="J367" s="1721"/>
      <c r="K367" s="1721">
        <f>I367+J367</f>
        <v>16.28</v>
      </c>
      <c r="L367" s="2884">
        <f>ROUND(K367,1)</f>
        <v>16.3</v>
      </c>
      <c r="M367" s="2885"/>
      <c r="N367" s="1767"/>
      <c r="O367" s="1767"/>
      <c r="P367" s="1767"/>
      <c r="Q367" s="1725"/>
      <c r="R367" s="1725"/>
      <c r="S367" s="1725"/>
      <c r="T367" s="1725"/>
    </row>
    <row r="368" spans="1:20" s="175" customFormat="1" ht="13.5" hidden="1" customHeight="1">
      <c r="A368" s="2008" t="s">
        <v>432</v>
      </c>
      <c r="B368" s="2009" t="s">
        <v>3613</v>
      </c>
      <c r="C368" s="2003"/>
      <c r="D368" s="2003"/>
      <c r="E368" s="2003"/>
      <c r="F368" s="2003"/>
      <c r="G368" s="2882" t="str">
        <f>G367</f>
        <v>Each Sqm</v>
      </c>
      <c r="H368" s="2883"/>
      <c r="I368" s="1723">
        <f>K1745</f>
        <v>17.036000000000001</v>
      </c>
      <c r="J368" s="1721"/>
      <c r="K368" s="1721">
        <f>I368+J368</f>
        <v>17.036000000000001</v>
      </c>
      <c r="L368" s="2884">
        <f>ROUND(K368,1)</f>
        <v>17</v>
      </c>
      <c r="M368" s="2885"/>
      <c r="N368" s="1767"/>
      <c r="O368" s="1767"/>
      <c r="P368" s="1767"/>
      <c r="Q368" s="1725"/>
      <c r="R368" s="1725"/>
      <c r="S368" s="1725"/>
      <c r="T368" s="1725"/>
    </row>
    <row r="369" spans="1:31" s="175" customFormat="1" ht="13.5" hidden="1" customHeight="1">
      <c r="A369" s="2008" t="s">
        <v>443</v>
      </c>
      <c r="B369" s="2009" t="s">
        <v>3632</v>
      </c>
      <c r="C369" s="2003"/>
      <c r="D369" s="2003"/>
      <c r="E369" s="2003"/>
      <c r="F369" s="2003"/>
      <c r="G369" s="2882" t="str">
        <f>G368</f>
        <v>Each Sqm</v>
      </c>
      <c r="H369" s="2883"/>
      <c r="I369" s="1723">
        <f>K1749</f>
        <v>17.829800000000002</v>
      </c>
      <c r="J369" s="1721"/>
      <c r="K369" s="1721">
        <f>I369+J369</f>
        <v>17.829800000000002</v>
      </c>
      <c r="L369" s="2884">
        <f>ROUND(K369,1)</f>
        <v>17.8</v>
      </c>
      <c r="M369" s="2885"/>
      <c r="N369" s="1767"/>
      <c r="O369" s="1725"/>
      <c r="P369" s="1767"/>
      <c r="Q369" s="1725"/>
      <c r="R369" s="1725"/>
      <c r="S369" s="1725"/>
    </row>
    <row r="370" spans="1:31" s="175" customFormat="1" ht="13.5" hidden="1" customHeight="1">
      <c r="A370" s="1998">
        <f>A365+1</f>
        <v>21</v>
      </c>
      <c r="B370" s="2011" t="s">
        <v>3789</v>
      </c>
      <c r="C370" s="2003"/>
      <c r="D370" s="2003"/>
      <c r="E370" s="2003"/>
      <c r="F370" s="2003"/>
      <c r="G370" s="2882" t="s">
        <v>390</v>
      </c>
      <c r="H370" s="2883"/>
      <c r="I370" s="1723"/>
      <c r="J370" s="1721"/>
      <c r="K370" s="1721"/>
      <c r="L370" s="2884"/>
      <c r="M370" s="2885"/>
      <c r="N370" s="1767"/>
      <c r="O370" s="1767"/>
      <c r="P370" s="1767"/>
      <c r="Q370" s="1759"/>
      <c r="T370" s="1759"/>
    </row>
    <row r="371" spans="1:31" s="175" customFormat="1" ht="13.5" hidden="1" customHeight="1">
      <c r="A371" s="2008" t="s">
        <v>383</v>
      </c>
      <c r="B371" s="2009" t="s">
        <v>384</v>
      </c>
      <c r="C371" s="2003"/>
      <c r="D371" s="2003"/>
      <c r="E371" s="2003"/>
      <c r="F371" s="2003"/>
      <c r="G371" s="2882" t="str">
        <f>G370</f>
        <v>Each Sqm</v>
      </c>
      <c r="H371" s="2883"/>
      <c r="I371" s="1723">
        <f>K1759</f>
        <v>1.26</v>
      </c>
      <c r="J371" s="1721"/>
      <c r="K371" s="1721">
        <f>I371+J371</f>
        <v>1.26</v>
      </c>
      <c r="L371" s="2884">
        <f>ROUND(K371,1)</f>
        <v>1.3</v>
      </c>
      <c r="M371" s="2885"/>
      <c r="N371" s="1767"/>
      <c r="O371" s="1767"/>
      <c r="P371" s="1767"/>
      <c r="Q371" s="1725"/>
      <c r="R371" s="1725"/>
      <c r="S371" s="1725"/>
      <c r="T371" s="1725"/>
    </row>
    <row r="372" spans="1:31" s="175" customFormat="1" ht="13.5" hidden="1" customHeight="1">
      <c r="A372" s="2008" t="s">
        <v>386</v>
      </c>
      <c r="B372" s="2009" t="s">
        <v>387</v>
      </c>
      <c r="C372" s="2003"/>
      <c r="D372" s="2003"/>
      <c r="E372" s="2003"/>
      <c r="F372" s="2003"/>
      <c r="G372" s="2882" t="str">
        <f>G371</f>
        <v>Each Sqm</v>
      </c>
      <c r="H372" s="2883"/>
      <c r="I372" s="1723">
        <f>K1763</f>
        <v>1.32</v>
      </c>
      <c r="J372" s="1721"/>
      <c r="K372" s="1721">
        <f>I372+J372</f>
        <v>1.32</v>
      </c>
      <c r="L372" s="2884">
        <f>ROUND(K372,1)</f>
        <v>1.3</v>
      </c>
      <c r="M372" s="2885"/>
      <c r="N372" s="1767"/>
      <c r="O372" s="1767"/>
      <c r="P372" s="1767"/>
      <c r="Q372" s="1725"/>
      <c r="R372" s="1725"/>
      <c r="S372" s="1725"/>
      <c r="T372" s="1725"/>
    </row>
    <row r="373" spans="1:31" s="175" customFormat="1" ht="13.5" hidden="1" customHeight="1">
      <c r="A373" s="2008" t="s">
        <v>432</v>
      </c>
      <c r="B373" s="2009" t="s">
        <v>3613</v>
      </c>
      <c r="C373" s="2003"/>
      <c r="D373" s="2003"/>
      <c r="E373" s="2003"/>
      <c r="F373" s="2003"/>
      <c r="G373" s="2882" t="str">
        <f>G372</f>
        <v>Each Sqm</v>
      </c>
      <c r="H373" s="2883"/>
      <c r="I373" s="1723">
        <f>K1767</f>
        <v>1.383</v>
      </c>
      <c r="J373" s="1721"/>
      <c r="K373" s="1721">
        <f>I373+J373</f>
        <v>1.383</v>
      </c>
      <c r="L373" s="2884">
        <f>ROUND(K373,1)</f>
        <v>1.4</v>
      </c>
      <c r="M373" s="2885"/>
      <c r="N373" s="1767"/>
      <c r="O373" s="1767"/>
      <c r="P373" s="1767"/>
      <c r="Q373" s="1725"/>
      <c r="R373" s="1725"/>
      <c r="S373" s="1725"/>
      <c r="T373" s="1725"/>
    </row>
    <row r="374" spans="1:31" s="175" customFormat="1" ht="13.5" hidden="1" customHeight="1">
      <c r="A374" s="2008" t="s">
        <v>443</v>
      </c>
      <c r="B374" s="2009" t="s">
        <v>3632</v>
      </c>
      <c r="C374" s="2003"/>
      <c r="D374" s="2003"/>
      <c r="E374" s="2003"/>
      <c r="F374" s="2003"/>
      <c r="G374" s="2882" t="str">
        <f>G373</f>
        <v>Each Sqm</v>
      </c>
      <c r="H374" s="2883"/>
      <c r="I374" s="1723">
        <f>K1771</f>
        <v>1.4491499999999999</v>
      </c>
      <c r="J374" s="1721"/>
      <c r="K374" s="1721">
        <f>I374+J374</f>
        <v>1.4491499999999999</v>
      </c>
      <c r="L374" s="2884">
        <f>ROUND(K374,1)</f>
        <v>1.4</v>
      </c>
      <c r="M374" s="2885"/>
      <c r="N374" s="1767"/>
      <c r="O374" s="1725"/>
      <c r="P374" s="1767"/>
      <c r="Q374" s="1725"/>
      <c r="R374" s="1725"/>
      <c r="S374" s="1725"/>
    </row>
    <row r="375" spans="1:31" s="175" customFormat="1" ht="13.5" hidden="1" customHeight="1">
      <c r="A375" s="1998">
        <f>A370+1</f>
        <v>22</v>
      </c>
      <c r="B375" s="2011" t="s">
        <v>3790</v>
      </c>
      <c r="C375" s="2003"/>
      <c r="D375" s="2003"/>
      <c r="E375" s="2003"/>
      <c r="F375" s="2003"/>
      <c r="G375" s="2882" t="s">
        <v>390</v>
      </c>
      <c r="H375" s="2883"/>
      <c r="I375" s="1723"/>
      <c r="J375" s="1721"/>
      <c r="K375" s="1721"/>
      <c r="L375" s="2884"/>
      <c r="M375" s="2885"/>
      <c r="N375" s="1767"/>
      <c r="O375" s="1767"/>
      <c r="P375" s="1767"/>
      <c r="Q375" s="1759"/>
      <c r="T375" s="1759"/>
    </row>
    <row r="376" spans="1:31" s="175" customFormat="1" ht="13.5" hidden="1" customHeight="1">
      <c r="A376" s="2008" t="s">
        <v>383</v>
      </c>
      <c r="B376" s="2009" t="s">
        <v>384</v>
      </c>
      <c r="C376" s="2003"/>
      <c r="D376" s="2003"/>
      <c r="E376" s="2003"/>
      <c r="F376" s="2003"/>
      <c r="G376" s="2882" t="str">
        <f>G375</f>
        <v>Each Sqm</v>
      </c>
      <c r="H376" s="2883"/>
      <c r="I376" s="1723">
        <f>K1785</f>
        <v>545.71</v>
      </c>
      <c r="J376" s="1721"/>
      <c r="K376" s="1721">
        <f>I376+J376</f>
        <v>545.71</v>
      </c>
      <c r="L376" s="2884">
        <f>ROUND(K376,1)</f>
        <v>545.70000000000005</v>
      </c>
      <c r="M376" s="2885"/>
      <c r="N376" s="1767"/>
      <c r="O376" s="1767"/>
      <c r="P376" s="1767"/>
      <c r="Q376" s="1725"/>
      <c r="R376" s="1725"/>
      <c r="S376" s="1725"/>
      <c r="T376" s="1725"/>
    </row>
    <row r="377" spans="1:31" s="175" customFormat="1" ht="13.5" hidden="1" customHeight="1">
      <c r="A377" s="2008" t="s">
        <v>386</v>
      </c>
      <c r="B377" s="2009" t="s">
        <v>387</v>
      </c>
      <c r="C377" s="2003"/>
      <c r="D377" s="2003"/>
      <c r="E377" s="2003"/>
      <c r="F377" s="2003"/>
      <c r="G377" s="2882" t="str">
        <f>G376</f>
        <v>Each Sqm</v>
      </c>
      <c r="H377" s="2883"/>
      <c r="I377" s="1723">
        <f>K1789</f>
        <v>569.13</v>
      </c>
      <c r="J377" s="1721"/>
      <c r="K377" s="1721">
        <f>I377+J377</f>
        <v>569.13</v>
      </c>
      <c r="L377" s="2884">
        <f>ROUND(K377,1)</f>
        <v>569.1</v>
      </c>
      <c r="M377" s="2885"/>
      <c r="N377" s="1767"/>
      <c r="O377" s="1767"/>
      <c r="P377" s="1767"/>
      <c r="Q377" s="1725"/>
      <c r="R377" s="1725"/>
      <c r="S377" s="1725"/>
      <c r="T377" s="1725"/>
    </row>
    <row r="378" spans="1:31" s="175" customFormat="1" ht="13.5" hidden="1" customHeight="1">
      <c r="A378" s="2008" t="s">
        <v>432</v>
      </c>
      <c r="B378" s="2009" t="s">
        <v>3613</v>
      </c>
      <c r="C378" s="2003"/>
      <c r="D378" s="2003"/>
      <c r="E378" s="2003"/>
      <c r="F378" s="2003"/>
      <c r="G378" s="2882" t="str">
        <f>G377</f>
        <v>Each Sqm</v>
      </c>
      <c r="H378" s="2883"/>
      <c r="I378" s="1723">
        <f>K1793</f>
        <v>593.721</v>
      </c>
      <c r="J378" s="1721"/>
      <c r="K378" s="1721">
        <f>I378+J378</f>
        <v>593.721</v>
      </c>
      <c r="L378" s="2884">
        <f>ROUND(K378,1)</f>
        <v>593.70000000000005</v>
      </c>
      <c r="M378" s="2885"/>
      <c r="N378" s="1767"/>
      <c r="O378" s="1767"/>
      <c r="P378" s="1767"/>
      <c r="Q378" s="1725"/>
      <c r="R378" s="1725"/>
      <c r="S378" s="1725"/>
      <c r="T378" s="1725"/>
    </row>
    <row r="379" spans="1:31" s="175" customFormat="1" ht="13.5" hidden="1" customHeight="1">
      <c r="A379" s="2008" t="s">
        <v>443</v>
      </c>
      <c r="B379" s="2009" t="s">
        <v>3632</v>
      </c>
      <c r="C379" s="2003"/>
      <c r="D379" s="2003"/>
      <c r="E379" s="2003"/>
      <c r="F379" s="2003"/>
      <c r="G379" s="2882" t="str">
        <f>G378</f>
        <v>Each Sqm</v>
      </c>
      <c r="H379" s="2883"/>
      <c r="I379" s="1723">
        <f>K1797</f>
        <v>619.54155000000003</v>
      </c>
      <c r="J379" s="1721"/>
      <c r="K379" s="1721">
        <f>I379+J379</f>
        <v>619.54155000000003</v>
      </c>
      <c r="L379" s="2884">
        <f>ROUND(K379,1)</f>
        <v>619.5</v>
      </c>
      <c r="M379" s="2885"/>
      <c r="N379" s="1767"/>
      <c r="O379" s="1725"/>
      <c r="P379" s="1767"/>
      <c r="Q379" s="1725"/>
      <c r="R379" s="1725"/>
      <c r="S379" s="1725"/>
    </row>
    <row r="380" spans="1:31" s="175" customFormat="1" ht="13.5" hidden="1" customHeight="1">
      <c r="A380" s="2012" t="s">
        <v>410</v>
      </c>
      <c r="B380" s="1828"/>
      <c r="C380" s="2001"/>
      <c r="D380" s="2001"/>
      <c r="E380" s="2001"/>
      <c r="F380" s="2001"/>
      <c r="G380" s="1809"/>
      <c r="H380" s="1810"/>
      <c r="I380" s="1829"/>
      <c r="J380" s="1829"/>
      <c r="K380" s="1711"/>
      <c r="L380" s="2013"/>
      <c r="M380" s="2014"/>
      <c r="N380" s="1766"/>
      <c r="O380" s="1766"/>
      <c r="P380" s="1766"/>
      <c r="Q380" s="2015" t="str">
        <f>A380</f>
        <v>B) Foundation, Substructure, Superstructure (All Masonry work, All PCC/RCC work)</v>
      </c>
      <c r="R380" s="1829"/>
      <c r="S380" s="1829"/>
      <c r="T380" s="2016"/>
      <c r="U380" s="1829"/>
      <c r="V380" s="1829"/>
      <c r="W380" s="1829"/>
      <c r="X380" s="1829"/>
      <c r="Y380" s="1829"/>
      <c r="Z380" s="1829"/>
      <c r="AA380" s="1829"/>
      <c r="AB380" s="1829"/>
      <c r="AC380" s="1829"/>
      <c r="AD380" s="1829"/>
      <c r="AE380" s="1749"/>
    </row>
    <row r="381" spans="1:31" s="140" customFormat="1" ht="13.5" customHeight="1">
      <c r="A381" s="2017">
        <f>A375+1</f>
        <v>23</v>
      </c>
      <c r="B381" s="2018" t="s">
        <v>3791</v>
      </c>
      <c r="C381" s="2019"/>
      <c r="D381" s="2019"/>
      <c r="E381" s="2019"/>
      <c r="F381" s="2019"/>
      <c r="G381" s="2985" t="s">
        <v>381</v>
      </c>
      <c r="H381" s="2986"/>
      <c r="I381" s="2020">
        <f>K1814</f>
        <v>206.77030000000002</v>
      </c>
      <c r="J381" s="2021"/>
      <c r="K381" s="2021">
        <f t="shared" ref="K381:K393" si="66">I381+J381</f>
        <v>206.77030000000002</v>
      </c>
      <c r="L381" s="2987">
        <f>ROUND(K381,1)</f>
        <v>206.8</v>
      </c>
      <c r="M381" s="2988"/>
      <c r="N381" s="2022"/>
      <c r="O381" s="2023" t="s">
        <v>3198</v>
      </c>
      <c r="P381" s="2022"/>
      <c r="Q381" s="2024"/>
      <c r="R381" s="2024"/>
      <c r="S381" s="2024"/>
      <c r="T381" s="2024"/>
    </row>
    <row r="382" spans="1:31" s="140" customFormat="1" ht="13.5" hidden="1" customHeight="1">
      <c r="A382" s="2017">
        <f>A381+1</f>
        <v>24</v>
      </c>
      <c r="B382" s="2018" t="str">
        <f>B381</f>
        <v>E/W in excavation of foundation trenches in hard soil including dressing of sides and levelling the bed complete as directed by the Engineer in charge.</v>
      </c>
      <c r="C382" s="2019"/>
      <c r="D382" s="2019"/>
      <c r="E382" s="2019"/>
      <c r="F382" s="2019"/>
      <c r="G382" s="2985" t="s">
        <v>381</v>
      </c>
      <c r="H382" s="2986"/>
      <c r="I382" s="2025"/>
      <c r="J382" s="2025"/>
      <c r="K382" s="2025"/>
      <c r="L382" s="2025"/>
      <c r="M382" s="2026"/>
      <c r="N382" s="2022"/>
      <c r="O382" s="2022"/>
      <c r="P382" s="2022"/>
      <c r="Q382" s="2024" t="s">
        <v>411</v>
      </c>
      <c r="R382" s="2024" t="s">
        <v>412</v>
      </c>
      <c r="S382" s="2024"/>
    </row>
    <row r="383" spans="1:31" s="140" customFormat="1" ht="13.5" hidden="1" customHeight="1">
      <c r="A383" s="2017" t="s">
        <v>413</v>
      </c>
      <c r="B383" s="2018" t="s">
        <v>414</v>
      </c>
      <c r="C383" s="2019"/>
      <c r="D383" s="2019"/>
      <c r="E383" s="2019"/>
      <c r="F383" s="2019"/>
      <c r="G383" s="2985" t="s">
        <v>381</v>
      </c>
      <c r="H383" s="2986"/>
      <c r="I383" s="2020">
        <f>K1822</f>
        <v>248.69</v>
      </c>
      <c r="J383" s="2021"/>
      <c r="K383" s="2021">
        <f>I383+J383</f>
        <v>248.69</v>
      </c>
      <c r="L383" s="2987">
        <f>ROUND(K383,1)</f>
        <v>248.7</v>
      </c>
      <c r="M383" s="2988"/>
      <c r="N383" s="2022"/>
      <c r="O383" s="2023" t="s">
        <v>3198</v>
      </c>
      <c r="P383" s="2022"/>
      <c r="Q383" s="2024"/>
      <c r="R383" s="2024"/>
      <c r="S383" s="2024"/>
    </row>
    <row r="384" spans="1:31" s="140" customFormat="1" ht="13.5" hidden="1" customHeight="1">
      <c r="A384" s="2017" t="s">
        <v>415</v>
      </c>
      <c r="B384" s="2018" t="s">
        <v>416</v>
      </c>
      <c r="C384" s="2019"/>
      <c r="D384" s="2019"/>
      <c r="E384" s="2019"/>
      <c r="F384" s="2019"/>
      <c r="G384" s="2985" t="s">
        <v>381</v>
      </c>
      <c r="H384" s="2986"/>
      <c r="I384" s="2020">
        <f>K1825</f>
        <v>298.43</v>
      </c>
      <c r="J384" s="2021"/>
      <c r="K384" s="2021">
        <f t="shared" si="66"/>
        <v>298.43</v>
      </c>
      <c r="L384" s="2987">
        <f>ROUND(K384,1)</f>
        <v>298.39999999999998</v>
      </c>
      <c r="M384" s="2988"/>
      <c r="N384" s="2022"/>
      <c r="O384" s="2023" t="s">
        <v>3198</v>
      </c>
      <c r="P384" s="2022"/>
      <c r="Q384" s="2024"/>
      <c r="R384" s="2024" t="s">
        <v>417</v>
      </c>
      <c r="S384" s="2024"/>
    </row>
    <row r="385" spans="1:24" s="140" customFormat="1" ht="13.5" hidden="1" customHeight="1">
      <c r="A385" s="1823">
        <f>A382+1</f>
        <v>25</v>
      </c>
      <c r="B385" s="2018" t="s">
        <v>3792</v>
      </c>
      <c r="C385" s="2019"/>
      <c r="D385" s="2019"/>
      <c r="E385" s="2019"/>
      <c r="F385" s="2019"/>
      <c r="G385" s="2985" t="s">
        <v>381</v>
      </c>
      <c r="H385" s="2986"/>
      <c r="I385" s="2020">
        <f>K1835</f>
        <v>135.12959999999998</v>
      </c>
      <c r="J385" s="2021"/>
      <c r="K385" s="2021">
        <f t="shared" si="66"/>
        <v>135.12959999999998</v>
      </c>
      <c r="L385" s="2987">
        <f t="shared" ref="L385:L393" si="67">ROUND(K385,1)</f>
        <v>135.1</v>
      </c>
      <c r="M385" s="2988"/>
      <c r="N385" s="2022"/>
      <c r="O385" s="2023" t="s">
        <v>3197</v>
      </c>
      <c r="P385" s="2022"/>
      <c r="Q385" s="2024"/>
      <c r="R385" s="2024"/>
      <c r="S385" s="2024"/>
    </row>
    <row r="386" spans="1:24" s="140" customFormat="1" ht="13.5" hidden="1" customHeight="1">
      <c r="A386" s="1823">
        <f>A385+1</f>
        <v>26</v>
      </c>
      <c r="B386" s="2018" t="str">
        <f>B385</f>
        <v>E/W in excavation of foundation trenches in ordinary soil including dressing of sides and levelling the bed complete as directed by the Engineer in charge.</v>
      </c>
      <c r="C386" s="2019"/>
      <c r="D386" s="2019"/>
      <c r="E386" s="2019"/>
      <c r="F386" s="2019"/>
      <c r="G386" s="2985" t="s">
        <v>381</v>
      </c>
      <c r="H386" s="2986"/>
      <c r="I386" s="2025"/>
      <c r="J386" s="2025"/>
      <c r="K386" s="2025"/>
      <c r="L386" s="2025"/>
      <c r="M386" s="2026"/>
      <c r="N386" s="2022"/>
      <c r="O386" s="2022"/>
      <c r="P386" s="2022"/>
      <c r="Q386" s="2024" t="s">
        <v>411</v>
      </c>
      <c r="R386" s="2024" t="s">
        <v>412</v>
      </c>
      <c r="S386" s="2024"/>
    </row>
    <row r="387" spans="1:24" s="140" customFormat="1" ht="13.5" hidden="1" customHeight="1">
      <c r="A387" s="2017" t="s">
        <v>413</v>
      </c>
      <c r="B387" s="2018" t="s">
        <v>414</v>
      </c>
      <c r="C387" s="2019"/>
      <c r="D387" s="2019"/>
      <c r="E387" s="2019"/>
      <c r="F387" s="2019"/>
      <c r="G387" s="2985" t="s">
        <v>381</v>
      </c>
      <c r="H387" s="2986"/>
      <c r="I387" s="2020">
        <f>K1843</f>
        <v>200.16</v>
      </c>
      <c r="J387" s="2021"/>
      <c r="K387" s="2021">
        <f>I387+J387</f>
        <v>200.16</v>
      </c>
      <c r="L387" s="2987">
        <f>ROUND(K387,1)</f>
        <v>200.2</v>
      </c>
      <c r="M387" s="2988"/>
      <c r="N387" s="2022"/>
      <c r="O387" s="2023" t="s">
        <v>3197</v>
      </c>
      <c r="P387" s="2022"/>
      <c r="Q387" s="2024"/>
      <c r="R387" s="2024"/>
      <c r="S387" s="2024"/>
    </row>
    <row r="388" spans="1:24" s="140" customFormat="1" ht="13.5" hidden="1" customHeight="1">
      <c r="A388" s="2017" t="s">
        <v>415</v>
      </c>
      <c r="B388" s="2018" t="s">
        <v>416</v>
      </c>
      <c r="C388" s="2002"/>
      <c r="D388" s="2002"/>
      <c r="E388" s="2002"/>
      <c r="F388" s="1736"/>
      <c r="G388" s="2989" t="s">
        <v>381</v>
      </c>
      <c r="H388" s="2989"/>
      <c r="I388" s="2020">
        <f>K1846</f>
        <v>240.19</v>
      </c>
      <c r="J388" s="2021"/>
      <c r="K388" s="2021">
        <f t="shared" si="66"/>
        <v>240.19</v>
      </c>
      <c r="L388" s="2987">
        <f t="shared" si="67"/>
        <v>240.2</v>
      </c>
      <c r="M388" s="2988"/>
      <c r="N388" s="2022"/>
      <c r="O388" s="2023" t="s">
        <v>3197</v>
      </c>
      <c r="P388" s="2022"/>
      <c r="Q388" s="2024"/>
      <c r="R388" s="2024" t="s">
        <v>417</v>
      </c>
      <c r="S388" s="2024"/>
    </row>
    <row r="389" spans="1:24" s="140" customFormat="1" ht="13.5" hidden="1" customHeight="1">
      <c r="A389" s="1716">
        <f>A386+1</f>
        <v>27</v>
      </c>
      <c r="B389" s="2010" t="s">
        <v>3793</v>
      </c>
      <c r="C389" s="2002"/>
      <c r="D389" s="2002"/>
      <c r="E389" s="2002"/>
      <c r="F389" s="1736"/>
      <c r="G389" s="2989" t="s">
        <v>381</v>
      </c>
      <c r="H389" s="2989"/>
      <c r="I389" s="2020">
        <f>K1856</f>
        <v>185.8032</v>
      </c>
      <c r="J389" s="2021"/>
      <c r="K389" s="2021">
        <f t="shared" si="66"/>
        <v>185.8032</v>
      </c>
      <c r="L389" s="2987">
        <f t="shared" si="67"/>
        <v>185.8</v>
      </c>
      <c r="M389" s="2988"/>
      <c r="N389" s="2022"/>
      <c r="O389" s="2027" t="s">
        <v>3201</v>
      </c>
      <c r="P389" s="2022"/>
      <c r="Q389" s="2024"/>
      <c r="R389" s="2024"/>
      <c r="S389" s="2024"/>
    </row>
    <row r="390" spans="1:24" s="140" customFormat="1" ht="13.5" hidden="1" customHeight="1">
      <c r="A390" s="1716">
        <f>A389+1</f>
        <v>28</v>
      </c>
      <c r="B390" s="2010" t="str">
        <f>B389</f>
        <v>E/W in excavation of foundation trenches in slushy  soil including dressing of sides and levelling the bed complete as directed by the Engineer in charge.</v>
      </c>
      <c r="C390" s="2002"/>
      <c r="D390" s="2002"/>
      <c r="E390" s="2002"/>
      <c r="F390" s="1736"/>
      <c r="G390" s="2989" t="s">
        <v>381</v>
      </c>
      <c r="H390" s="2989"/>
      <c r="I390" s="2025"/>
      <c r="J390" s="2025"/>
      <c r="K390" s="2025"/>
      <c r="L390" s="2025"/>
      <c r="M390" s="2026"/>
      <c r="N390" s="2022"/>
      <c r="O390" s="2027"/>
      <c r="P390" s="2022"/>
      <c r="Q390" s="2024" t="s">
        <v>411</v>
      </c>
      <c r="R390" s="2024" t="s">
        <v>412</v>
      </c>
      <c r="S390" s="2024"/>
    </row>
    <row r="391" spans="1:24" s="140" customFormat="1" ht="13.5" hidden="1" customHeight="1">
      <c r="A391" s="2017" t="s">
        <v>413</v>
      </c>
      <c r="B391" s="2018" t="s">
        <v>414</v>
      </c>
      <c r="C391" s="2002"/>
      <c r="D391" s="2002"/>
      <c r="E391" s="2002"/>
      <c r="F391" s="1736"/>
      <c r="G391" s="2989" t="s">
        <v>381</v>
      </c>
      <c r="H391" s="2989"/>
      <c r="I391" s="2020">
        <f>K1864</f>
        <v>264.61</v>
      </c>
      <c r="J391" s="2021"/>
      <c r="K391" s="2021">
        <f>I391+J391</f>
        <v>264.61</v>
      </c>
      <c r="L391" s="2987">
        <f>ROUND(K391,1)</f>
        <v>264.60000000000002</v>
      </c>
      <c r="M391" s="2988"/>
      <c r="N391" s="2022"/>
      <c r="O391" s="2027" t="s">
        <v>3201</v>
      </c>
      <c r="P391" s="2022"/>
      <c r="Q391" s="2024"/>
      <c r="R391" s="2024"/>
      <c r="S391" s="2024"/>
    </row>
    <row r="392" spans="1:24" s="140" customFormat="1" ht="13.5" hidden="1" customHeight="1">
      <c r="A392" s="2017" t="s">
        <v>415</v>
      </c>
      <c r="B392" s="2018" t="s">
        <v>416</v>
      </c>
      <c r="C392" s="2002"/>
      <c r="D392" s="2002"/>
      <c r="E392" s="2002"/>
      <c r="F392" s="1736"/>
      <c r="G392" s="2989" t="s">
        <v>381</v>
      </c>
      <c r="H392" s="2989"/>
      <c r="I392" s="2020">
        <f>K1867</f>
        <v>317.53000000000003</v>
      </c>
      <c r="J392" s="2021"/>
      <c r="K392" s="2021">
        <f t="shared" si="66"/>
        <v>317.53000000000003</v>
      </c>
      <c r="L392" s="2987">
        <f t="shared" si="67"/>
        <v>317.5</v>
      </c>
      <c r="M392" s="2988"/>
      <c r="N392" s="2022"/>
      <c r="O392" s="2027" t="s">
        <v>3201</v>
      </c>
      <c r="P392" s="2022"/>
      <c r="Q392" s="2024"/>
      <c r="R392" s="2024" t="s">
        <v>417</v>
      </c>
      <c r="S392" s="2024"/>
    </row>
    <row r="393" spans="1:24" s="140" customFormat="1" ht="13.5" hidden="1" customHeight="1">
      <c r="A393" s="1716">
        <f>A390+1</f>
        <v>29</v>
      </c>
      <c r="B393" s="1742" t="s">
        <v>3794</v>
      </c>
      <c r="C393" s="2002"/>
      <c r="D393" s="2002"/>
      <c r="E393" s="2002"/>
      <c r="F393" s="1736"/>
      <c r="G393" s="2989" t="s">
        <v>381</v>
      </c>
      <c r="H393" s="2989"/>
      <c r="I393" s="2020">
        <f>K1877</f>
        <v>283.18090000000001</v>
      </c>
      <c r="J393" s="2021"/>
      <c r="K393" s="2021">
        <f t="shared" si="66"/>
        <v>283.18090000000001</v>
      </c>
      <c r="L393" s="2987">
        <f t="shared" si="67"/>
        <v>283.2</v>
      </c>
      <c r="M393" s="2988"/>
      <c r="N393" s="2022"/>
      <c r="O393" s="2023" t="s">
        <v>3199</v>
      </c>
      <c r="P393" s="2022"/>
      <c r="Q393" s="2024"/>
      <c r="R393" s="2024"/>
      <c r="S393" s="2024"/>
    </row>
    <row r="394" spans="1:24" s="1741" customFormat="1" ht="13.5" hidden="1" customHeight="1">
      <c r="A394" s="1716">
        <f>A393+1</f>
        <v>30</v>
      </c>
      <c r="B394" s="1742" t="str">
        <f>B393</f>
        <v>E/W in excavation of foundation trenches in stoney earth including dressing of sides and levelling the bed complete as directed by the Engineer in charge.</v>
      </c>
      <c r="C394" s="1742"/>
      <c r="D394" s="1742"/>
      <c r="E394" s="2010"/>
      <c r="F394" s="1736"/>
      <c r="G394" s="2989" t="s">
        <v>381</v>
      </c>
      <c r="H394" s="2989"/>
      <c r="I394" s="2028"/>
      <c r="J394" s="2029"/>
      <c r="K394" s="2029"/>
      <c r="L394" s="2030"/>
      <c r="M394" s="2031"/>
      <c r="O394" s="2022"/>
      <c r="Q394" s="1735" t="s">
        <v>411</v>
      </c>
      <c r="R394" s="1735" t="s">
        <v>412</v>
      </c>
      <c r="T394" s="1706"/>
      <c r="X394" s="1741" t="s">
        <v>418</v>
      </c>
    </row>
    <row r="395" spans="1:24" s="1741" customFormat="1" ht="13.5" hidden="1" customHeight="1">
      <c r="A395" s="2017" t="s">
        <v>413</v>
      </c>
      <c r="B395" s="2018" t="s">
        <v>414</v>
      </c>
      <c r="C395" s="2002"/>
      <c r="D395" s="2002"/>
      <c r="E395" s="2002"/>
      <c r="F395" s="1736"/>
      <c r="G395" s="2989" t="s">
        <v>381</v>
      </c>
      <c r="H395" s="2989"/>
      <c r="I395" s="1742">
        <f>K1885</f>
        <v>344.97</v>
      </c>
      <c r="J395" s="1742"/>
      <c r="K395" s="1742">
        <f>I395+J395</f>
        <v>344.97</v>
      </c>
      <c r="L395" s="2990">
        <f>ROUND(K395,1)</f>
        <v>345</v>
      </c>
      <c r="M395" s="2991"/>
      <c r="O395" s="2023" t="s">
        <v>3199</v>
      </c>
      <c r="Q395" s="1735"/>
      <c r="R395" s="1735"/>
      <c r="T395" s="1706"/>
    </row>
    <row r="396" spans="1:24" s="140" customFormat="1" ht="13.5" hidden="1" customHeight="1">
      <c r="A396" s="2017" t="s">
        <v>415</v>
      </c>
      <c r="B396" s="2018" t="s">
        <v>416</v>
      </c>
      <c r="C396" s="2002"/>
      <c r="D396" s="2002"/>
      <c r="E396" s="2002"/>
      <c r="F396" s="1736"/>
      <c r="G396" s="2989" t="s">
        <v>381</v>
      </c>
      <c r="H396" s="2989"/>
      <c r="I396" s="2020">
        <f>K1888</f>
        <v>413.96000000000004</v>
      </c>
      <c r="J396" s="2021"/>
      <c r="K396" s="2021">
        <f>I396+J396</f>
        <v>413.96000000000004</v>
      </c>
      <c r="L396" s="2992">
        <f>ROUND(K396,1)</f>
        <v>414</v>
      </c>
      <c r="M396" s="2993"/>
      <c r="N396" s="2022"/>
      <c r="O396" s="2023" t="s">
        <v>3199</v>
      </c>
      <c r="P396" s="2022"/>
      <c r="Q396" s="2024"/>
      <c r="R396" s="2024" t="s">
        <v>417</v>
      </c>
      <c r="S396" s="2024"/>
    </row>
    <row r="397" spans="1:24" s="140" customFormat="1" ht="13.5" hidden="1" customHeight="1">
      <c r="A397" s="1716">
        <f>A394+1</f>
        <v>31</v>
      </c>
      <c r="B397" s="2010" t="s">
        <v>3795</v>
      </c>
      <c r="C397" s="2002"/>
      <c r="D397" s="2002"/>
      <c r="E397" s="2002"/>
      <c r="F397" s="1736"/>
      <c r="G397" s="2989" t="s">
        <v>381</v>
      </c>
      <c r="H397" s="2989"/>
      <c r="I397" s="2020">
        <f>K1896</f>
        <v>1316.11</v>
      </c>
      <c r="J397" s="2021"/>
      <c r="K397" s="2021">
        <f>I397+J397</f>
        <v>1316.11</v>
      </c>
      <c r="L397" s="2992">
        <f>ROUND(K397,1)</f>
        <v>1316.1</v>
      </c>
      <c r="M397" s="2993"/>
      <c r="N397" s="2022"/>
      <c r="O397" s="2022"/>
      <c r="P397" s="2022"/>
      <c r="Q397" s="2024"/>
      <c r="R397" s="2024"/>
      <c r="S397" s="2024"/>
    </row>
    <row r="398" spans="1:24" s="140" customFormat="1" ht="13.5" hidden="1" customHeight="1">
      <c r="A398" s="1716">
        <f>A397+1</f>
        <v>32</v>
      </c>
      <c r="B398" s="2002" t="s">
        <v>3796</v>
      </c>
      <c r="C398" s="2002"/>
      <c r="D398" s="2002"/>
      <c r="E398" s="2002"/>
      <c r="F398" s="1736"/>
      <c r="G398" s="2989" t="s">
        <v>381</v>
      </c>
      <c r="H398" s="2989"/>
      <c r="I398" s="2020">
        <f>K1906</f>
        <v>383.57</v>
      </c>
      <c r="J398" s="2021"/>
      <c r="K398" s="2021">
        <f>I398+J398</f>
        <v>383.57</v>
      </c>
      <c r="L398" s="2992">
        <f>ROUND(K398,1)</f>
        <v>383.6</v>
      </c>
      <c r="M398" s="2993"/>
      <c r="N398" s="2022"/>
      <c r="O398" s="1735" t="s">
        <v>3200</v>
      </c>
      <c r="P398" s="2022"/>
      <c r="Q398" s="2024"/>
      <c r="S398" s="2024"/>
    </row>
    <row r="399" spans="1:24" s="140" customFormat="1" ht="13.5" customHeight="1">
      <c r="A399" s="1716">
        <f>A398+1</f>
        <v>33</v>
      </c>
      <c r="B399" s="2010" t="s">
        <v>3797</v>
      </c>
      <c r="C399" s="2002"/>
      <c r="D399" s="2002"/>
      <c r="E399" s="2002"/>
      <c r="F399" s="1736"/>
      <c r="G399" s="2989" t="s">
        <v>381</v>
      </c>
      <c r="H399" s="2989"/>
      <c r="I399" s="2020">
        <f>K1924</f>
        <v>726.21969999999999</v>
      </c>
      <c r="J399" s="2021"/>
      <c r="K399" s="2021">
        <f>I399+J399</f>
        <v>726.21969999999999</v>
      </c>
      <c r="L399" s="2992">
        <f>ROUND(K399,1)</f>
        <v>726.2</v>
      </c>
      <c r="M399" s="2993"/>
      <c r="N399" s="2022"/>
      <c r="O399" s="1735" t="s">
        <v>420</v>
      </c>
      <c r="P399" s="2022"/>
      <c r="Q399" s="2024" t="s">
        <v>419</v>
      </c>
      <c r="S399" s="2024"/>
    </row>
    <row r="400" spans="1:24" s="175" customFormat="1" ht="13.5" hidden="1" customHeight="1">
      <c r="A400" s="1998">
        <f>A399+1</f>
        <v>34</v>
      </c>
      <c r="B400" s="1755" t="s">
        <v>3798</v>
      </c>
      <c r="C400" s="1755"/>
      <c r="D400" s="1755"/>
      <c r="E400" s="1884"/>
      <c r="F400" s="2032"/>
      <c r="G400" s="2989" t="s">
        <v>381</v>
      </c>
      <c r="H400" s="2888"/>
      <c r="I400" s="1714"/>
      <c r="J400" s="1714"/>
      <c r="K400" s="1714"/>
      <c r="L400" s="2877"/>
      <c r="M400" s="2994"/>
      <c r="N400" s="2033"/>
      <c r="O400" s="1725"/>
      <c r="P400" s="2033"/>
      <c r="Q400" s="1725"/>
      <c r="S400" s="1725"/>
    </row>
    <row r="401" spans="1:20" s="1741" customFormat="1" ht="13.5" hidden="1" customHeight="1">
      <c r="A401" s="1998"/>
      <c r="B401" s="2034" t="s">
        <v>421</v>
      </c>
      <c r="C401" s="2002"/>
      <c r="D401" s="2002"/>
      <c r="E401" s="2002"/>
      <c r="F401" s="2002"/>
      <c r="G401" s="2989" t="s">
        <v>381</v>
      </c>
      <c r="H401" s="2888"/>
      <c r="I401" s="1723">
        <f>K1944</f>
        <v>5350.73</v>
      </c>
      <c r="J401" s="1721"/>
      <c r="K401" s="1721">
        <f>I401+J401</f>
        <v>5350.73</v>
      </c>
      <c r="L401" s="2931">
        <f>ROUND(K401,1)</f>
        <v>5350.7</v>
      </c>
      <c r="M401" s="2994"/>
      <c r="O401" s="1735" t="s">
        <v>422</v>
      </c>
      <c r="T401" s="1706"/>
    </row>
    <row r="402" spans="1:20" s="1741" customFormat="1" ht="13.5" hidden="1" customHeight="1">
      <c r="A402" s="1998"/>
      <c r="B402" s="2034" t="s">
        <v>423</v>
      </c>
      <c r="C402" s="2002"/>
      <c r="D402" s="2002"/>
      <c r="E402" s="2002"/>
      <c r="F402" s="2002"/>
      <c r="G402" s="2888" t="s">
        <v>381</v>
      </c>
      <c r="H402" s="2888"/>
      <c r="I402" s="1723">
        <f>K1950</f>
        <v>5580.24</v>
      </c>
      <c r="J402" s="1721"/>
      <c r="K402" s="1721">
        <f>I402+J402</f>
        <v>5580.24</v>
      </c>
      <c r="L402" s="2931">
        <f>ROUND(K402,1)</f>
        <v>5580.2</v>
      </c>
      <c r="M402" s="2994"/>
      <c r="O402" s="1735" t="s">
        <v>424</v>
      </c>
      <c r="T402" s="1706"/>
    </row>
    <row r="403" spans="1:20" s="175" customFormat="1" ht="13.5" customHeight="1">
      <c r="A403" s="1998">
        <f>A400+1</f>
        <v>35</v>
      </c>
      <c r="B403" s="1884" t="s">
        <v>3799</v>
      </c>
      <c r="C403" s="2003"/>
      <c r="D403" s="2003"/>
      <c r="E403" s="2003"/>
      <c r="F403" s="2003"/>
      <c r="G403" s="2888" t="s">
        <v>381</v>
      </c>
      <c r="H403" s="2888"/>
      <c r="I403" s="1714"/>
      <c r="J403" s="1714"/>
      <c r="K403" s="1714"/>
      <c r="L403" s="2877"/>
      <c r="M403" s="2994"/>
      <c r="N403" s="2033"/>
      <c r="O403" s="1725"/>
      <c r="P403" s="2033"/>
      <c r="Q403" s="1725"/>
      <c r="S403" s="1725"/>
    </row>
    <row r="404" spans="1:20" s="1741" customFormat="1" ht="13.5" customHeight="1">
      <c r="A404" s="1998"/>
      <c r="B404" s="2034" t="s">
        <v>421</v>
      </c>
      <c r="C404" s="2002"/>
      <c r="D404" s="2002"/>
      <c r="E404" s="2002"/>
      <c r="F404" s="2002"/>
      <c r="G404" s="2888" t="s">
        <v>381</v>
      </c>
      <c r="H404" s="2888"/>
      <c r="I404" s="1723">
        <f>K1972</f>
        <v>5806.3099999999995</v>
      </c>
      <c r="J404" s="1721"/>
      <c r="K404" s="2035">
        <f>I404+J404</f>
        <v>5806.3099999999995</v>
      </c>
      <c r="L404" s="2931">
        <f>ROUND(K404,1)</f>
        <v>5806.3</v>
      </c>
      <c r="M404" s="2994"/>
      <c r="O404" s="1735" t="s">
        <v>425</v>
      </c>
      <c r="T404" s="1706"/>
    </row>
    <row r="405" spans="1:20" s="1741" customFormat="1" ht="13.5" customHeight="1">
      <c r="A405" s="1998"/>
      <c r="B405" s="2036" t="s">
        <v>423</v>
      </c>
      <c r="C405" s="2002"/>
      <c r="D405" s="2002"/>
      <c r="E405" s="2002"/>
      <c r="F405" s="2002"/>
      <c r="G405" s="2888" t="s">
        <v>381</v>
      </c>
      <c r="H405" s="2888"/>
      <c r="I405" s="1723">
        <f>K1980</f>
        <v>6038.11</v>
      </c>
      <c r="J405" s="1721"/>
      <c r="K405" s="2035">
        <f>I405+J405</f>
        <v>6038.11</v>
      </c>
      <c r="L405" s="2931">
        <f>ROUND(K405,1)</f>
        <v>6038.1</v>
      </c>
      <c r="M405" s="2994"/>
      <c r="O405" s="1735" t="s">
        <v>426</v>
      </c>
      <c r="T405" s="1706"/>
    </row>
    <row r="406" spans="1:20" s="1741" customFormat="1" ht="13.5" customHeight="1">
      <c r="A406" s="1998">
        <f>A403+1</f>
        <v>36</v>
      </c>
      <c r="B406" s="2010" t="s">
        <v>3800</v>
      </c>
      <c r="C406" s="2002"/>
      <c r="D406" s="2002"/>
      <c r="E406" s="2002"/>
      <c r="F406" s="1736"/>
      <c r="G406" s="2888"/>
      <c r="H406" s="2888"/>
      <c r="I406" s="1742"/>
      <c r="J406" s="1742"/>
      <c r="K406" s="2010"/>
      <c r="L406" s="2995"/>
      <c r="M406" s="2994"/>
      <c r="O406" s="1735"/>
      <c r="T406" s="1706"/>
    </row>
    <row r="407" spans="1:20" s="1741" customFormat="1" ht="13.5" hidden="1" customHeight="1">
      <c r="A407" s="1998"/>
      <c r="B407" s="2036" t="s">
        <v>421</v>
      </c>
      <c r="C407" s="2002"/>
      <c r="D407" s="2002"/>
      <c r="E407" s="2002"/>
      <c r="F407" s="2002"/>
      <c r="G407" s="2996"/>
      <c r="H407" s="2997"/>
      <c r="I407" s="1742"/>
      <c r="J407" s="1742"/>
      <c r="K407" s="2010"/>
      <c r="L407" s="2989"/>
      <c r="M407" s="2994"/>
      <c r="O407" s="1735" t="s">
        <v>427</v>
      </c>
      <c r="T407" s="1706"/>
    </row>
    <row r="408" spans="1:20" s="175" customFormat="1" ht="13.5" hidden="1" customHeight="1">
      <c r="A408" s="2008" t="s">
        <v>383</v>
      </c>
      <c r="B408" s="2009" t="s">
        <v>384</v>
      </c>
      <c r="C408" s="2003"/>
      <c r="D408" s="2003"/>
      <c r="E408" s="2003"/>
      <c r="F408" s="2032"/>
      <c r="G408" s="2888" t="s">
        <v>381</v>
      </c>
      <c r="H408" s="2888"/>
      <c r="I408" s="1723">
        <f>K2003</f>
        <v>7155.25</v>
      </c>
      <c r="J408" s="1721"/>
      <c r="K408" s="2035">
        <f>I408+J408</f>
        <v>7155.25</v>
      </c>
      <c r="L408" s="2931">
        <f>ROUND(K408,1)</f>
        <v>7155.3</v>
      </c>
      <c r="M408" s="2994"/>
      <c r="N408" s="2037"/>
      <c r="O408" s="1725"/>
      <c r="P408" s="2037"/>
      <c r="Q408" s="1725"/>
      <c r="S408" s="1725"/>
    </row>
    <row r="409" spans="1:20" s="175" customFormat="1" ht="13.5" hidden="1" customHeight="1">
      <c r="A409" s="2008" t="s">
        <v>386</v>
      </c>
      <c r="B409" s="2009" t="s">
        <v>387</v>
      </c>
      <c r="C409" s="2003"/>
      <c r="D409" s="2003"/>
      <c r="E409" s="2003"/>
      <c r="F409" s="2003"/>
      <c r="G409" s="2888" t="s">
        <v>381</v>
      </c>
      <c r="H409" s="2888"/>
      <c r="I409" s="1723">
        <f>K2009</f>
        <v>7440.5</v>
      </c>
      <c r="J409" s="1721"/>
      <c r="K409" s="2035">
        <f>I409+J409</f>
        <v>7440.5</v>
      </c>
      <c r="L409" s="2931">
        <f>ROUND(K409,1)</f>
        <v>7440.5</v>
      </c>
      <c r="M409" s="2994"/>
      <c r="N409" s="2037"/>
      <c r="O409" s="1725"/>
      <c r="P409" s="2037"/>
      <c r="Q409" s="1725"/>
      <c r="S409" s="1725"/>
    </row>
    <row r="410" spans="1:20" s="175" customFormat="1" ht="13.5" hidden="1" customHeight="1">
      <c r="A410" s="2008" t="s">
        <v>432</v>
      </c>
      <c r="B410" s="2009" t="s">
        <v>3613</v>
      </c>
      <c r="C410" s="2003"/>
      <c r="D410" s="2003"/>
      <c r="E410" s="2003"/>
      <c r="F410" s="2003"/>
      <c r="G410" s="2888" t="s">
        <v>381</v>
      </c>
      <c r="H410" s="2888"/>
      <c r="I410" s="1723">
        <f>K2015</f>
        <v>7768.53</v>
      </c>
      <c r="J410" s="1721"/>
      <c r="K410" s="2035">
        <f>I410+J410</f>
        <v>7768.53</v>
      </c>
      <c r="L410" s="2931">
        <f>ROUND(K410,1)</f>
        <v>7768.5</v>
      </c>
      <c r="M410" s="2994"/>
      <c r="N410" s="2037"/>
      <c r="O410" s="1725"/>
      <c r="P410" s="2037"/>
      <c r="Q410" s="1725"/>
      <c r="S410" s="1725"/>
    </row>
    <row r="411" spans="1:20" s="175" customFormat="1" ht="13.5" hidden="1" customHeight="1">
      <c r="A411" s="2008" t="s">
        <v>443</v>
      </c>
      <c r="B411" s="2009" t="s">
        <v>3632</v>
      </c>
      <c r="C411" s="2003"/>
      <c r="D411" s="2003"/>
      <c r="E411" s="2003"/>
      <c r="F411" s="2003"/>
      <c r="G411" s="2882" t="str">
        <f>G410</f>
        <v>Each Cum</v>
      </c>
      <c r="H411" s="2883"/>
      <c r="I411" s="1723">
        <f>K2021</f>
        <v>8145.7599999999993</v>
      </c>
      <c r="J411" s="1721"/>
      <c r="K411" s="1721">
        <f>I411+J411</f>
        <v>8145.7599999999993</v>
      </c>
      <c r="L411" s="2884">
        <f>ROUND(K411,1)</f>
        <v>8145.8</v>
      </c>
      <c r="M411" s="2885"/>
      <c r="N411" s="1767"/>
      <c r="O411" s="1725"/>
      <c r="P411" s="1767"/>
      <c r="Q411" s="1725"/>
      <c r="R411" s="1725"/>
      <c r="S411" s="1725"/>
    </row>
    <row r="412" spans="1:20" s="1741" customFormat="1" ht="13.5" customHeight="1">
      <c r="A412" s="1967"/>
      <c r="B412" s="2036" t="s">
        <v>423</v>
      </c>
      <c r="C412" s="2002"/>
      <c r="D412" s="2002"/>
      <c r="E412" s="2002"/>
      <c r="F412" s="2002"/>
      <c r="G412" s="2010"/>
      <c r="H412" s="2002"/>
      <c r="I412" s="1723"/>
      <c r="J412" s="1721"/>
      <c r="K412" s="2035"/>
      <c r="L412" s="2989"/>
      <c r="M412" s="2994"/>
      <c r="O412" s="1735" t="s">
        <v>428</v>
      </c>
      <c r="T412" s="1706"/>
    </row>
    <row r="413" spans="1:20" s="175" customFormat="1" ht="13.5" customHeight="1">
      <c r="A413" s="2038" t="s">
        <v>383</v>
      </c>
      <c r="B413" s="2039" t="s">
        <v>384</v>
      </c>
      <c r="C413" s="2003"/>
      <c r="D413" s="2003"/>
      <c r="E413" s="2003"/>
      <c r="F413" s="2003"/>
      <c r="G413" s="2882" t="s">
        <v>381</v>
      </c>
      <c r="H413" s="2883"/>
      <c r="I413" s="1723">
        <f>K2031</f>
        <v>7480.81</v>
      </c>
      <c r="J413" s="1721"/>
      <c r="K413" s="1721">
        <f>I413+J413</f>
        <v>7480.81</v>
      </c>
      <c r="L413" s="2931">
        <f>ROUND(K413,1)</f>
        <v>7480.8</v>
      </c>
      <c r="M413" s="2994"/>
      <c r="N413" s="2037"/>
      <c r="O413" s="2037"/>
      <c r="P413" s="2037"/>
      <c r="Q413" s="1725"/>
      <c r="R413" s="1725"/>
      <c r="S413" s="1725"/>
    </row>
    <row r="414" spans="1:20" s="175" customFormat="1" ht="13.5" hidden="1" customHeight="1">
      <c r="A414" s="2038" t="s">
        <v>386</v>
      </c>
      <c r="B414" s="2039" t="s">
        <v>387</v>
      </c>
      <c r="C414" s="2003"/>
      <c r="D414" s="2003"/>
      <c r="E414" s="2003"/>
      <c r="F414" s="2003"/>
      <c r="G414" s="2882" t="s">
        <v>381</v>
      </c>
      <c r="H414" s="2883"/>
      <c r="I414" s="1723">
        <f>K2037</f>
        <v>7766.0500000000011</v>
      </c>
      <c r="J414" s="1721"/>
      <c r="K414" s="1721">
        <f>I414+J414</f>
        <v>7766.0500000000011</v>
      </c>
      <c r="L414" s="2931">
        <f>ROUND(K414,1)</f>
        <v>7766.1</v>
      </c>
      <c r="M414" s="2994"/>
      <c r="N414" s="2037"/>
      <c r="O414" s="2037"/>
      <c r="P414" s="2037"/>
      <c r="Q414" s="1725"/>
      <c r="R414" s="1725"/>
      <c r="S414" s="1725"/>
    </row>
    <row r="415" spans="1:20" s="175" customFormat="1" ht="13.5" hidden="1" customHeight="1">
      <c r="A415" s="2008" t="s">
        <v>432</v>
      </c>
      <c r="B415" s="2009" t="s">
        <v>3613</v>
      </c>
      <c r="C415" s="2003"/>
      <c r="D415" s="2003"/>
      <c r="E415" s="2003"/>
      <c r="F415" s="2003"/>
      <c r="G415" s="2882" t="s">
        <v>381</v>
      </c>
      <c r="H415" s="2883"/>
      <c r="I415" s="1723">
        <f>K2043</f>
        <v>8094.0800000000008</v>
      </c>
      <c r="J415" s="1721"/>
      <c r="K415" s="1721">
        <f>I415+J415</f>
        <v>8094.0800000000008</v>
      </c>
      <c r="L415" s="2931">
        <f>ROUND(K415,1)</f>
        <v>8094.1</v>
      </c>
      <c r="M415" s="2994"/>
      <c r="N415" s="2037"/>
      <c r="O415" s="2037"/>
      <c r="P415" s="2037"/>
      <c r="Q415" s="1725"/>
      <c r="R415" s="1725"/>
      <c r="S415" s="1725"/>
    </row>
    <row r="416" spans="1:20" s="175" customFormat="1" ht="13.5" hidden="1" customHeight="1">
      <c r="A416" s="2008" t="s">
        <v>443</v>
      </c>
      <c r="B416" s="2009" t="s">
        <v>3632</v>
      </c>
      <c r="C416" s="2003"/>
      <c r="D416" s="2003"/>
      <c r="E416" s="2003"/>
      <c r="F416" s="2003"/>
      <c r="G416" s="2882" t="str">
        <f>G415</f>
        <v>Each Cum</v>
      </c>
      <c r="H416" s="2883"/>
      <c r="I416" s="1723">
        <f>K2049</f>
        <v>8471.3100000000013</v>
      </c>
      <c r="J416" s="1721"/>
      <c r="K416" s="1721">
        <f>I416+J416</f>
        <v>8471.3100000000013</v>
      </c>
      <c r="L416" s="2884">
        <f>ROUND(K416,1)</f>
        <v>8471.2999999999993</v>
      </c>
      <c r="M416" s="2885"/>
      <c r="N416" s="1767"/>
      <c r="O416" s="1725"/>
      <c r="P416" s="1767"/>
      <c r="Q416" s="1725"/>
      <c r="R416" s="1725"/>
      <c r="S416" s="1725"/>
    </row>
    <row r="417" spans="1:20" s="175" customFormat="1" ht="13.5" hidden="1" customHeight="1">
      <c r="A417" s="1711">
        <f>A406+1</f>
        <v>37</v>
      </c>
      <c r="B417" s="2001" t="s">
        <v>3801</v>
      </c>
      <c r="C417" s="2003"/>
      <c r="D417" s="2003"/>
      <c r="E417" s="2003"/>
      <c r="F417" s="2003"/>
      <c r="G417" s="2882" t="s">
        <v>381</v>
      </c>
      <c r="H417" s="2883"/>
      <c r="I417" s="1723"/>
      <c r="J417" s="1721"/>
      <c r="K417" s="1721"/>
      <c r="L417" s="2931"/>
      <c r="M417" s="2994"/>
      <c r="N417" s="2037"/>
      <c r="O417" s="2037"/>
      <c r="P417" s="2037"/>
      <c r="Q417" s="1725"/>
      <c r="R417" s="1725"/>
      <c r="S417" s="1725"/>
    </row>
    <row r="418" spans="1:20" s="175" customFormat="1" ht="13.5" hidden="1" customHeight="1">
      <c r="A418" s="2038" t="s">
        <v>383</v>
      </c>
      <c r="B418" s="2039" t="s">
        <v>429</v>
      </c>
      <c r="C418" s="2003"/>
      <c r="D418" s="2003"/>
      <c r="E418" s="2003"/>
      <c r="F418" s="2003"/>
      <c r="G418" s="2882" t="str">
        <f>G417</f>
        <v>Each Cum</v>
      </c>
      <c r="H418" s="2883"/>
      <c r="I418" s="1723">
        <f>K2070</f>
        <v>5634.43</v>
      </c>
      <c r="J418" s="1721"/>
      <c r="K418" s="1721">
        <f>I418+J418</f>
        <v>5634.43</v>
      </c>
      <c r="L418" s="2931">
        <f t="shared" ref="L418:L426" si="68">ROUND(K418,1)</f>
        <v>5634.4</v>
      </c>
      <c r="M418" s="2994"/>
      <c r="N418" s="2037"/>
      <c r="O418" s="2037"/>
      <c r="P418" s="2037"/>
      <c r="Q418" s="1725"/>
      <c r="R418" s="1725"/>
      <c r="S418" s="1725"/>
    </row>
    <row r="419" spans="1:20" s="1741" customFormat="1" ht="13.5" hidden="1" customHeight="1">
      <c r="A419" s="2040" t="s">
        <v>386</v>
      </c>
      <c r="B419" s="2041" t="s">
        <v>430</v>
      </c>
      <c r="C419" s="2002"/>
      <c r="D419" s="2002"/>
      <c r="E419" s="2002"/>
      <c r="F419" s="2002"/>
      <c r="G419" s="2882" t="str">
        <f>G417</f>
        <v>Each Cum</v>
      </c>
      <c r="H419" s="2883"/>
      <c r="I419" s="1723">
        <f>K2074</f>
        <v>5667.43</v>
      </c>
      <c r="J419" s="1721"/>
      <c r="K419" s="1721">
        <f>I419+J419</f>
        <v>5667.43</v>
      </c>
      <c r="L419" s="2931">
        <f t="shared" si="68"/>
        <v>5667.4</v>
      </c>
      <c r="M419" s="2994"/>
      <c r="O419" s="1735" t="s">
        <v>431</v>
      </c>
      <c r="T419" s="1706"/>
    </row>
    <row r="420" spans="1:20" s="175" customFormat="1" ht="13.5" hidden="1" customHeight="1">
      <c r="A420" s="2038" t="s">
        <v>432</v>
      </c>
      <c r="B420" s="2039" t="s">
        <v>433</v>
      </c>
      <c r="C420" s="2003"/>
      <c r="D420" s="2003"/>
      <c r="E420" s="2003"/>
      <c r="F420" s="2003"/>
      <c r="G420" s="2882" t="str">
        <f>G419</f>
        <v>Each Cum</v>
      </c>
      <c r="H420" s="2883"/>
      <c r="I420" s="1723">
        <f>K2080</f>
        <v>5957.96</v>
      </c>
      <c r="J420" s="1721"/>
      <c r="K420" s="1721">
        <f>I420+J420</f>
        <v>5957.96</v>
      </c>
      <c r="L420" s="2931">
        <f t="shared" si="68"/>
        <v>5958</v>
      </c>
      <c r="M420" s="2994"/>
      <c r="N420" s="2037"/>
      <c r="O420" s="1725"/>
      <c r="P420" s="2037"/>
      <c r="Q420" s="1725"/>
      <c r="S420" s="1725"/>
    </row>
    <row r="421" spans="1:20" s="175" customFormat="1" ht="13.5" hidden="1" customHeight="1">
      <c r="A421" s="2008" t="s">
        <v>443</v>
      </c>
      <c r="B421" s="2039" t="s">
        <v>3614</v>
      </c>
      <c r="C421" s="2003"/>
      <c r="D421" s="2003"/>
      <c r="E421" s="2003"/>
      <c r="F421" s="2003"/>
      <c r="G421" s="2882" t="str">
        <f>G420</f>
        <v>Each Cum</v>
      </c>
      <c r="H421" s="2883"/>
      <c r="I421" s="1723">
        <f>K2086</f>
        <v>6292.0599999999995</v>
      </c>
      <c r="J421" s="1721"/>
      <c r="K421" s="1721">
        <f>I421+J421</f>
        <v>6292.0599999999995</v>
      </c>
      <c r="L421" s="2931">
        <f t="shared" ref="L421" si="69">ROUND(K421,1)</f>
        <v>6292.1</v>
      </c>
      <c r="M421" s="2994"/>
      <c r="N421" s="2037"/>
      <c r="O421" s="1725"/>
      <c r="P421" s="2037"/>
      <c r="Q421" s="1725"/>
      <c r="S421" s="1725"/>
    </row>
    <row r="422" spans="1:20" s="175" customFormat="1" ht="13.5" hidden="1" customHeight="1">
      <c r="A422" s="2042" t="s">
        <v>445</v>
      </c>
      <c r="B422" s="2039" t="s">
        <v>3633</v>
      </c>
      <c r="C422" s="2003"/>
      <c r="D422" s="2003"/>
      <c r="E422" s="2003"/>
      <c r="F422" s="2003"/>
      <c r="G422" s="2882" t="str">
        <f>G421</f>
        <v>Each Cum</v>
      </c>
      <c r="H422" s="2883"/>
      <c r="I422" s="1723">
        <f>K2092</f>
        <v>6676.2800000000007</v>
      </c>
      <c r="J422" s="1721"/>
      <c r="K422" s="1721">
        <f>I422+J422</f>
        <v>6676.2800000000007</v>
      </c>
      <c r="L422" s="2931">
        <f t="shared" ref="L422" si="70">ROUND(K422,1)</f>
        <v>6676.3</v>
      </c>
      <c r="M422" s="2994"/>
      <c r="N422" s="2037"/>
      <c r="O422" s="1725"/>
      <c r="P422" s="2037"/>
      <c r="Q422" s="1725"/>
      <c r="S422" s="1725"/>
    </row>
    <row r="423" spans="1:20" s="175" customFormat="1" ht="13.5" hidden="1" customHeight="1">
      <c r="A423" s="1711">
        <f>A417+1</f>
        <v>38</v>
      </c>
      <c r="B423" s="2001" t="s">
        <v>3802</v>
      </c>
      <c r="C423" s="2003"/>
      <c r="D423" s="2003"/>
      <c r="E423" s="2003"/>
      <c r="F423" s="2003"/>
      <c r="G423" s="2882" t="s">
        <v>381</v>
      </c>
      <c r="H423" s="2883"/>
      <c r="I423" s="1723"/>
      <c r="J423" s="1721"/>
      <c r="K423" s="1721"/>
      <c r="L423" s="2931"/>
      <c r="M423" s="2994"/>
      <c r="N423" s="2037"/>
      <c r="O423" s="1725"/>
      <c r="P423" s="2037"/>
      <c r="Q423" s="1725"/>
      <c r="S423" s="1725"/>
    </row>
    <row r="424" spans="1:20" s="1741" customFormat="1" ht="13.5" hidden="1" customHeight="1">
      <c r="A424" s="2040" t="s">
        <v>383</v>
      </c>
      <c r="B424" s="2041" t="s">
        <v>429</v>
      </c>
      <c r="C424" s="2002"/>
      <c r="D424" s="2002"/>
      <c r="E424" s="2002"/>
      <c r="F424" s="2002"/>
      <c r="G424" s="2882" t="str">
        <f>G423</f>
        <v>Each Cum</v>
      </c>
      <c r="H424" s="2883"/>
      <c r="I424" s="1723">
        <f>K2113</f>
        <v>5405.3600000000006</v>
      </c>
      <c r="J424" s="1721"/>
      <c r="K424" s="1721">
        <f>I424+J424</f>
        <v>5405.3600000000006</v>
      </c>
      <c r="L424" s="2931">
        <f t="shared" si="68"/>
        <v>5405.4</v>
      </c>
      <c r="M424" s="2932"/>
      <c r="O424" s="1735" t="s">
        <v>434</v>
      </c>
      <c r="T424" s="1706"/>
    </row>
    <row r="425" spans="1:20" s="1741" customFormat="1" ht="13.5" hidden="1" customHeight="1">
      <c r="A425" s="2040" t="s">
        <v>386</v>
      </c>
      <c r="B425" s="2041" t="s">
        <v>430</v>
      </c>
      <c r="C425" s="2002"/>
      <c r="D425" s="2002"/>
      <c r="E425" s="2002"/>
      <c r="F425" s="2002"/>
      <c r="G425" s="2882" t="str">
        <f>G423</f>
        <v>Each Cum</v>
      </c>
      <c r="H425" s="2883"/>
      <c r="I425" s="1723">
        <f>K2117</f>
        <v>5438.3600000000006</v>
      </c>
      <c r="J425" s="1721"/>
      <c r="K425" s="1721">
        <f>I425+J425</f>
        <v>5438.3600000000006</v>
      </c>
      <c r="L425" s="2884">
        <f t="shared" si="68"/>
        <v>5438.4</v>
      </c>
      <c r="M425" s="2885"/>
      <c r="O425" s="1735" t="s">
        <v>435</v>
      </c>
      <c r="T425" s="1706"/>
    </row>
    <row r="426" spans="1:20" s="175" customFormat="1" ht="13.5" hidden="1" customHeight="1">
      <c r="A426" s="2038" t="s">
        <v>432</v>
      </c>
      <c r="B426" s="2039" t="s">
        <v>433</v>
      </c>
      <c r="C426" s="2003"/>
      <c r="D426" s="2003"/>
      <c r="E426" s="2003"/>
      <c r="F426" s="2003"/>
      <c r="G426" s="2882" t="str">
        <f>G425</f>
        <v>Each Cum</v>
      </c>
      <c r="H426" s="2883"/>
      <c r="I426" s="1723">
        <f>K2123</f>
        <v>5728.89</v>
      </c>
      <c r="J426" s="1721"/>
      <c r="K426" s="1721">
        <f>I426+J426</f>
        <v>5728.89</v>
      </c>
      <c r="L426" s="2884">
        <f t="shared" si="68"/>
        <v>5728.9</v>
      </c>
      <c r="M426" s="2885"/>
      <c r="N426" s="2037"/>
      <c r="O426" s="1725"/>
      <c r="P426" s="2037"/>
      <c r="Q426" s="1725"/>
      <c r="S426" s="1725"/>
    </row>
    <row r="427" spans="1:20" s="175" customFormat="1" ht="13.5" hidden="1" customHeight="1">
      <c r="A427" s="2008" t="s">
        <v>443</v>
      </c>
      <c r="B427" s="2039" t="s">
        <v>3614</v>
      </c>
      <c r="C427" s="2003"/>
      <c r="D427" s="2003"/>
      <c r="E427" s="2003"/>
      <c r="F427" s="2003"/>
      <c r="G427" s="2882" t="str">
        <f>G426</f>
        <v>Each Cum</v>
      </c>
      <c r="H427" s="2883"/>
      <c r="I427" s="1723">
        <f>K2129</f>
        <v>6062.99</v>
      </c>
      <c r="J427" s="1721"/>
      <c r="K427" s="1721">
        <f>I427+J427</f>
        <v>6062.99</v>
      </c>
      <c r="L427" s="2884">
        <f t="shared" ref="L427" si="71">ROUND(K427,1)</f>
        <v>6063</v>
      </c>
      <c r="M427" s="2885"/>
      <c r="N427" s="2037"/>
      <c r="O427" s="1725"/>
      <c r="P427" s="2037"/>
      <c r="Q427" s="1725"/>
      <c r="S427" s="1725"/>
    </row>
    <row r="428" spans="1:20" s="175" customFormat="1" ht="13.5" hidden="1" customHeight="1">
      <c r="A428" s="2042" t="s">
        <v>445</v>
      </c>
      <c r="B428" s="2039" t="s">
        <v>3633</v>
      </c>
      <c r="C428" s="2003"/>
      <c r="D428" s="2003"/>
      <c r="E428" s="2003"/>
      <c r="F428" s="2003"/>
      <c r="G428" s="2882" t="str">
        <f>G427</f>
        <v>Each Cum</v>
      </c>
      <c r="H428" s="2883"/>
      <c r="I428" s="1723">
        <f>K2135</f>
        <v>6447.2100000000009</v>
      </c>
      <c r="J428" s="1721"/>
      <c r="K428" s="1721">
        <f>I428+J428</f>
        <v>6447.2100000000009</v>
      </c>
      <c r="L428" s="2884">
        <f t="shared" ref="L428" si="72">ROUND(K428,1)</f>
        <v>6447.2</v>
      </c>
      <c r="M428" s="2885"/>
      <c r="N428" s="2037"/>
      <c r="O428" s="1725"/>
      <c r="P428" s="2037"/>
      <c r="Q428" s="1725"/>
      <c r="S428" s="1725"/>
    </row>
    <row r="429" spans="1:20" s="175" customFormat="1" ht="13.5" hidden="1" customHeight="1">
      <c r="A429" s="1711">
        <f>A423+1</f>
        <v>39</v>
      </c>
      <c r="B429" s="2001" t="s">
        <v>3803</v>
      </c>
      <c r="C429" s="2003"/>
      <c r="D429" s="2003"/>
      <c r="E429" s="2003"/>
      <c r="F429" s="2003"/>
      <c r="G429" s="2882" t="s">
        <v>381</v>
      </c>
      <c r="H429" s="2883"/>
      <c r="I429" s="1723"/>
      <c r="J429" s="1721"/>
      <c r="K429" s="1721"/>
      <c r="L429" s="2884"/>
      <c r="M429" s="2885"/>
      <c r="N429" s="2037"/>
      <c r="O429" s="1725"/>
      <c r="P429" s="2037"/>
      <c r="Q429" s="1725"/>
      <c r="S429" s="1725"/>
    </row>
    <row r="430" spans="1:20" s="1741" customFormat="1" ht="13.5" hidden="1" customHeight="1">
      <c r="A430" s="2040" t="s">
        <v>383</v>
      </c>
      <c r="B430" s="2041" t="s">
        <v>429</v>
      </c>
      <c r="C430" s="2003"/>
      <c r="D430" s="2003"/>
      <c r="E430" s="2003"/>
      <c r="F430" s="2003"/>
      <c r="G430" s="2882" t="str">
        <f>G429</f>
        <v>Each Cum</v>
      </c>
      <c r="H430" s="2883"/>
      <c r="I430" s="1723">
        <f>K2156</f>
        <v>4651.1899999999996</v>
      </c>
      <c r="J430" s="1721"/>
      <c r="K430" s="1721">
        <f>I430+J430</f>
        <v>4651.1899999999996</v>
      </c>
      <c r="L430" s="2884">
        <f>ROUND(K430,1)</f>
        <v>4651.2</v>
      </c>
      <c r="M430" s="2885"/>
      <c r="O430" s="1735" t="s">
        <v>436</v>
      </c>
      <c r="T430" s="1706"/>
    </row>
    <row r="431" spans="1:20" s="1741" customFormat="1" ht="13.5" hidden="1" customHeight="1">
      <c r="A431" s="2040" t="s">
        <v>386</v>
      </c>
      <c r="B431" s="2041" t="s">
        <v>430</v>
      </c>
      <c r="C431" s="2002"/>
      <c r="D431" s="2002"/>
      <c r="E431" s="2002"/>
      <c r="F431" s="2002"/>
      <c r="G431" s="2888" t="str">
        <f>G429</f>
        <v>Each Cum</v>
      </c>
      <c r="H431" s="2888"/>
      <c r="I431" s="1723">
        <f>K2160</f>
        <v>4684.1899999999996</v>
      </c>
      <c r="J431" s="1721"/>
      <c r="K431" s="1721">
        <f>I431+J431</f>
        <v>4684.1899999999996</v>
      </c>
      <c r="L431" s="2884">
        <f>ROUND(K431,1)</f>
        <v>4684.2</v>
      </c>
      <c r="M431" s="2885"/>
      <c r="O431" s="1735" t="s">
        <v>437</v>
      </c>
      <c r="T431" s="1706"/>
    </row>
    <row r="432" spans="1:20" s="175" customFormat="1" ht="13.5" hidden="1" customHeight="1">
      <c r="A432" s="2038" t="s">
        <v>432</v>
      </c>
      <c r="B432" s="2039" t="s">
        <v>433</v>
      </c>
      <c r="C432" s="2003"/>
      <c r="D432" s="2003"/>
      <c r="E432" s="2003"/>
      <c r="F432" s="2003"/>
      <c r="G432" s="2888" t="str">
        <f>G431</f>
        <v>Each Cum</v>
      </c>
      <c r="H432" s="2888"/>
      <c r="I432" s="1723">
        <f>K2166</f>
        <v>4974.7199999999993</v>
      </c>
      <c r="J432" s="1721"/>
      <c r="K432" s="1721">
        <f>I432+J432</f>
        <v>4974.7199999999993</v>
      </c>
      <c r="L432" s="2884">
        <f>ROUND(K432,1)</f>
        <v>4974.7</v>
      </c>
      <c r="M432" s="2885"/>
      <c r="N432" s="2037"/>
      <c r="O432" s="1725"/>
      <c r="P432" s="2037"/>
      <c r="Q432" s="1725"/>
      <c r="S432" s="1725"/>
    </row>
    <row r="433" spans="1:20" s="175" customFormat="1" ht="13.5" hidden="1" customHeight="1">
      <c r="A433" s="2008" t="s">
        <v>443</v>
      </c>
      <c r="B433" s="2039" t="s">
        <v>3614</v>
      </c>
      <c r="C433" s="2003"/>
      <c r="D433" s="2003"/>
      <c r="E433" s="2003"/>
      <c r="F433" s="2003"/>
      <c r="G433" s="2888" t="str">
        <f>G432</f>
        <v>Each Cum</v>
      </c>
      <c r="H433" s="2888"/>
      <c r="I433" s="1723">
        <f>K2172</f>
        <v>5308.82</v>
      </c>
      <c r="J433" s="1721"/>
      <c r="K433" s="1721">
        <f>I433+J433</f>
        <v>5308.82</v>
      </c>
      <c r="L433" s="2884">
        <f>ROUND(K433,1)</f>
        <v>5308.8</v>
      </c>
      <c r="M433" s="2885"/>
      <c r="N433" s="2037"/>
      <c r="O433" s="1725"/>
      <c r="P433" s="2037"/>
      <c r="Q433" s="1725"/>
      <c r="S433" s="1725"/>
    </row>
    <row r="434" spans="1:20" s="175" customFormat="1" ht="13.5" hidden="1" customHeight="1">
      <c r="A434" s="2042" t="s">
        <v>445</v>
      </c>
      <c r="B434" s="2039" t="s">
        <v>3633</v>
      </c>
      <c r="C434" s="2003"/>
      <c r="D434" s="2003"/>
      <c r="E434" s="2003"/>
      <c r="F434" s="2003"/>
      <c r="G434" s="2888" t="str">
        <f>G433</f>
        <v>Each Cum</v>
      </c>
      <c r="H434" s="2888"/>
      <c r="I434" s="1723">
        <f>K2178</f>
        <v>5693.0400000000009</v>
      </c>
      <c r="J434" s="1721"/>
      <c r="K434" s="1721">
        <f>I434+J434</f>
        <v>5693.0400000000009</v>
      </c>
      <c r="L434" s="2884">
        <f>ROUND(K434,1)</f>
        <v>5693</v>
      </c>
      <c r="M434" s="2885"/>
      <c r="N434" s="2037"/>
      <c r="O434" s="1725"/>
      <c r="P434" s="2037"/>
      <c r="Q434" s="1725"/>
      <c r="S434" s="1725"/>
    </row>
    <row r="435" spans="1:20" s="175" customFormat="1" ht="13.5" hidden="1" customHeight="1">
      <c r="A435" s="1716">
        <f>A429+1</f>
        <v>40</v>
      </c>
      <c r="B435" s="1828" t="s">
        <v>3804</v>
      </c>
      <c r="C435" s="2002"/>
      <c r="D435" s="2002"/>
      <c r="E435" s="1736"/>
      <c r="F435" s="2002"/>
      <c r="G435" s="2989" t="s">
        <v>381</v>
      </c>
      <c r="H435" s="2989"/>
      <c r="I435" s="1742"/>
      <c r="J435" s="1742"/>
      <c r="K435" s="1742"/>
      <c r="L435" s="2999"/>
      <c r="M435" s="3000"/>
      <c r="N435" s="2037"/>
      <c r="O435" s="1725"/>
      <c r="P435" s="2037"/>
      <c r="Q435" s="1725"/>
      <c r="S435" s="1725"/>
    </row>
    <row r="436" spans="1:20" s="1741" customFormat="1" ht="13.5" hidden="1" customHeight="1">
      <c r="A436" s="2040" t="s">
        <v>383</v>
      </c>
      <c r="B436" s="2043" t="s">
        <v>429</v>
      </c>
      <c r="C436" s="2002"/>
      <c r="D436" s="2002"/>
      <c r="E436" s="2002"/>
      <c r="F436" s="1736"/>
      <c r="G436" s="2998" t="str">
        <f>G435</f>
        <v>Each Cum</v>
      </c>
      <c r="H436" s="2989"/>
      <c r="I436" s="1742">
        <f>K2199</f>
        <v>4880.2599999999993</v>
      </c>
      <c r="J436" s="1742"/>
      <c r="K436" s="1742">
        <f>I436+J436</f>
        <v>4880.2599999999993</v>
      </c>
      <c r="L436" s="2990">
        <f>ROUND(K436,1)</f>
        <v>4880.3</v>
      </c>
      <c r="M436" s="2991"/>
      <c r="O436" s="1735" t="s">
        <v>436</v>
      </c>
      <c r="T436" s="1706"/>
    </row>
    <row r="437" spans="1:20" s="1741" customFormat="1" ht="13.5" hidden="1" customHeight="1">
      <c r="A437" s="2040" t="s">
        <v>386</v>
      </c>
      <c r="B437" s="2043" t="s">
        <v>430</v>
      </c>
      <c r="C437" s="2002"/>
      <c r="D437" s="2002"/>
      <c r="E437" s="2002"/>
      <c r="F437" s="1736"/>
      <c r="G437" s="2998" t="str">
        <f>G435</f>
        <v>Each Cum</v>
      </c>
      <c r="H437" s="2989"/>
      <c r="I437" s="1742">
        <f>K2203</f>
        <v>4913.2599999999993</v>
      </c>
      <c r="J437" s="1742"/>
      <c r="K437" s="1742">
        <f>I437+J437</f>
        <v>4913.2599999999993</v>
      </c>
      <c r="L437" s="2990">
        <f>ROUND(K437,1)</f>
        <v>4913.3</v>
      </c>
      <c r="M437" s="2991"/>
      <c r="O437" s="1735" t="s">
        <v>437</v>
      </c>
      <c r="T437" s="1706"/>
    </row>
    <row r="438" spans="1:20" s="175" customFormat="1" ht="13.5" hidden="1" customHeight="1">
      <c r="A438" s="2040" t="s">
        <v>432</v>
      </c>
      <c r="B438" s="2043" t="s">
        <v>433</v>
      </c>
      <c r="C438" s="2002"/>
      <c r="D438" s="2002"/>
      <c r="E438" s="2002"/>
      <c r="F438" s="1736"/>
      <c r="G438" s="2998" t="str">
        <f>G437</f>
        <v>Each Cum</v>
      </c>
      <c r="H438" s="2989"/>
      <c r="I438" s="1742">
        <f>K2209</f>
        <v>5203.7899999999991</v>
      </c>
      <c r="J438" s="1742"/>
      <c r="K438" s="1742">
        <f>I438+J438</f>
        <v>5203.7899999999991</v>
      </c>
      <c r="L438" s="2990">
        <f>ROUND(K438,1)</f>
        <v>5203.8</v>
      </c>
      <c r="M438" s="2991"/>
      <c r="N438" s="2037"/>
      <c r="O438" s="1725"/>
      <c r="P438" s="2037"/>
      <c r="Q438" s="1725"/>
      <c r="S438" s="1725"/>
    </row>
    <row r="439" spans="1:20" s="175" customFormat="1" ht="13.5" hidden="1" customHeight="1">
      <c r="A439" s="2008" t="s">
        <v>443</v>
      </c>
      <c r="B439" s="2039" t="s">
        <v>3614</v>
      </c>
      <c r="C439" s="2002"/>
      <c r="D439" s="2002"/>
      <c r="E439" s="2002"/>
      <c r="F439" s="2002"/>
      <c r="G439" s="2998" t="str">
        <f>G438</f>
        <v>Each Cum</v>
      </c>
      <c r="H439" s="2989"/>
      <c r="I439" s="2045">
        <f>K2215</f>
        <v>5537.8899999999994</v>
      </c>
      <c r="J439" s="1742"/>
      <c r="K439" s="1742">
        <f>I439+J439</f>
        <v>5537.8899999999994</v>
      </c>
      <c r="L439" s="2990">
        <f>ROUND(K439,1)</f>
        <v>5537.9</v>
      </c>
      <c r="M439" s="2991"/>
      <c r="N439" s="2037"/>
      <c r="O439" s="1725"/>
      <c r="P439" s="2037"/>
      <c r="Q439" s="1725"/>
      <c r="S439" s="1725"/>
    </row>
    <row r="440" spans="1:20" s="175" customFormat="1" ht="13.5" hidden="1" customHeight="1">
      <c r="A440" s="2042" t="s">
        <v>445</v>
      </c>
      <c r="B440" s="2039" t="s">
        <v>3633</v>
      </c>
      <c r="C440" s="2003"/>
      <c r="D440" s="2003"/>
      <c r="E440" s="2003"/>
      <c r="F440" s="2003"/>
      <c r="G440" s="2998" t="str">
        <f>G439</f>
        <v>Each Cum</v>
      </c>
      <c r="H440" s="2989"/>
      <c r="I440" s="2045">
        <f>K2221</f>
        <v>5922.1100000000006</v>
      </c>
      <c r="J440" s="1721"/>
      <c r="K440" s="1742">
        <f>I440+J440</f>
        <v>5922.1100000000006</v>
      </c>
      <c r="L440" s="2990">
        <f>ROUND(K440,1)</f>
        <v>5922.1</v>
      </c>
      <c r="M440" s="2991"/>
      <c r="N440" s="2037"/>
      <c r="O440" s="1725"/>
      <c r="P440" s="2037"/>
      <c r="Q440" s="1725"/>
      <c r="S440" s="1725"/>
    </row>
    <row r="441" spans="1:20" s="1741" customFormat="1" ht="13.5" customHeight="1">
      <c r="A441" s="1711">
        <f>A435+1</f>
        <v>41</v>
      </c>
      <c r="B441" s="2010" t="s">
        <v>3805</v>
      </c>
      <c r="C441" s="2002"/>
      <c r="D441" s="2002"/>
      <c r="E441" s="1736"/>
      <c r="F441" s="2002"/>
      <c r="G441" s="2888" t="s">
        <v>381</v>
      </c>
      <c r="H441" s="2888"/>
      <c r="I441" s="1723"/>
      <c r="J441" s="1721"/>
      <c r="K441" s="1721"/>
      <c r="L441" s="2931"/>
      <c r="M441" s="2932"/>
      <c r="O441" s="1735"/>
      <c r="Q441" s="1735" t="s">
        <v>438</v>
      </c>
      <c r="T441" s="1706"/>
    </row>
    <row r="442" spans="1:20" s="1741" customFormat="1" ht="13.5" customHeight="1">
      <c r="A442" s="2040" t="s">
        <v>383</v>
      </c>
      <c r="B442" s="2043" t="s">
        <v>429</v>
      </c>
      <c r="C442" s="2002"/>
      <c r="D442" s="2002"/>
      <c r="E442" s="2002"/>
      <c r="F442" s="1736"/>
      <c r="G442" s="2883" t="str">
        <f>G441</f>
        <v>Each Cum</v>
      </c>
      <c r="H442" s="2888"/>
      <c r="I442" s="1723">
        <f>K2244</f>
        <v>5060.43</v>
      </c>
      <c r="J442" s="1721"/>
      <c r="K442" s="1721">
        <f>I442+J442</f>
        <v>5060.43</v>
      </c>
      <c r="L442" s="2884">
        <f>ROUND(K442,1)</f>
        <v>5060.3999999999996</v>
      </c>
      <c r="M442" s="2885"/>
      <c r="O442" s="1735" t="s">
        <v>439</v>
      </c>
      <c r="T442" s="1706"/>
    </row>
    <row r="443" spans="1:20" s="1741" customFormat="1" ht="13.5" customHeight="1">
      <c r="A443" s="2040" t="s">
        <v>386</v>
      </c>
      <c r="B443" s="2043" t="s">
        <v>430</v>
      </c>
      <c r="C443" s="2002"/>
      <c r="D443" s="2002"/>
      <c r="E443" s="2002"/>
      <c r="F443" s="2002"/>
      <c r="G443" s="2883" t="str">
        <f>G441</f>
        <v>Each Cum</v>
      </c>
      <c r="H443" s="2888"/>
      <c r="I443" s="1723">
        <f>K2250</f>
        <v>5093.76</v>
      </c>
      <c r="J443" s="1721"/>
      <c r="K443" s="1721">
        <f>I443+J443</f>
        <v>5093.76</v>
      </c>
      <c r="L443" s="2884">
        <f>ROUND(K443,1)</f>
        <v>5093.8</v>
      </c>
      <c r="M443" s="2885"/>
      <c r="O443" s="1735" t="s">
        <v>440</v>
      </c>
      <c r="T443" s="1706"/>
    </row>
    <row r="444" spans="1:20" s="175" customFormat="1" ht="13.5" customHeight="1">
      <c r="A444" s="2040" t="s">
        <v>432</v>
      </c>
      <c r="B444" s="2009" t="s">
        <v>433</v>
      </c>
      <c r="C444" s="2003"/>
      <c r="D444" s="2003"/>
      <c r="E444" s="2003"/>
      <c r="F444" s="2032"/>
      <c r="G444" s="2883" t="str">
        <f>G443</f>
        <v>Each Cum</v>
      </c>
      <c r="H444" s="2888"/>
      <c r="I444" s="1723">
        <f>K2258</f>
        <v>5387.2</v>
      </c>
      <c r="J444" s="1721"/>
      <c r="K444" s="1721">
        <f>I444+J444</f>
        <v>5387.2</v>
      </c>
      <c r="L444" s="2884">
        <f>ROUND(K444,1)</f>
        <v>5387.2</v>
      </c>
      <c r="M444" s="2885"/>
      <c r="N444" s="2037"/>
      <c r="O444" s="1725"/>
      <c r="P444" s="2037"/>
      <c r="Q444" s="1725"/>
      <c r="S444" s="1725"/>
    </row>
    <row r="445" spans="1:20" s="175" customFormat="1" ht="13.5" customHeight="1">
      <c r="A445" s="2008" t="s">
        <v>443</v>
      </c>
      <c r="B445" s="2039" t="s">
        <v>3614</v>
      </c>
      <c r="C445" s="2003"/>
      <c r="D445" s="2003"/>
      <c r="E445" s="2003"/>
      <c r="F445" s="2003"/>
      <c r="G445" s="2883" t="str">
        <f>G444</f>
        <v>Each Cum</v>
      </c>
      <c r="H445" s="2888"/>
      <c r="I445" s="1723">
        <f>K2266</f>
        <v>5724.6399999999994</v>
      </c>
      <c r="J445" s="1721"/>
      <c r="K445" s="1721">
        <f>I445+J445</f>
        <v>5724.6399999999994</v>
      </c>
      <c r="L445" s="2884">
        <f>ROUND(K445,1)</f>
        <v>5724.6</v>
      </c>
      <c r="M445" s="2885"/>
      <c r="N445" s="2037"/>
      <c r="O445" s="1725"/>
      <c r="P445" s="2037"/>
      <c r="Q445" s="1725"/>
      <c r="S445" s="1725"/>
    </row>
    <row r="446" spans="1:20" s="175" customFormat="1" ht="13.5" customHeight="1">
      <c r="A446" s="2042" t="s">
        <v>445</v>
      </c>
      <c r="B446" s="2039" t="s">
        <v>3633</v>
      </c>
      <c r="C446" s="2003"/>
      <c r="D446" s="2003"/>
      <c r="E446" s="2003"/>
      <c r="F446" s="2003"/>
      <c r="G446" s="2883" t="str">
        <f>G445</f>
        <v>Each Cum</v>
      </c>
      <c r="H446" s="2888"/>
      <c r="I446" s="1723">
        <f>K2274</f>
        <v>6112.7000000000007</v>
      </c>
      <c r="J446" s="1721"/>
      <c r="K446" s="1721">
        <f>I446+J446</f>
        <v>6112.7000000000007</v>
      </c>
      <c r="L446" s="2884">
        <f>ROUND(K446,1)</f>
        <v>6112.7</v>
      </c>
      <c r="M446" s="2885"/>
      <c r="N446" s="2037"/>
      <c r="O446" s="1725"/>
      <c r="P446" s="2037"/>
      <c r="Q446" s="1725"/>
      <c r="S446" s="1725"/>
    </row>
    <row r="447" spans="1:20" s="1741" customFormat="1" ht="13.5" customHeight="1">
      <c r="A447" s="1711">
        <f>A441+1</f>
        <v>42</v>
      </c>
      <c r="B447" s="1828" t="s">
        <v>3806</v>
      </c>
      <c r="C447" s="2002"/>
      <c r="D447" s="2002"/>
      <c r="E447" s="2002"/>
      <c r="F447" s="2002"/>
      <c r="G447" s="2882" t="s">
        <v>381</v>
      </c>
      <c r="H447" s="2883"/>
      <c r="I447" s="1723"/>
      <c r="J447" s="1721"/>
      <c r="K447" s="1721"/>
      <c r="L447" s="2884"/>
      <c r="M447" s="2885"/>
      <c r="O447" s="1735"/>
      <c r="T447" s="1706"/>
    </row>
    <row r="448" spans="1:20" s="1741" customFormat="1" ht="13.5" customHeight="1">
      <c r="A448" s="2040" t="s">
        <v>383</v>
      </c>
      <c r="B448" s="2043" t="s">
        <v>429</v>
      </c>
      <c r="C448" s="2002"/>
      <c r="D448" s="2002"/>
      <c r="E448" s="2002"/>
      <c r="F448" s="2002"/>
      <c r="G448" s="2882" t="str">
        <f>G447</f>
        <v>Each Cum</v>
      </c>
      <c r="H448" s="2883"/>
      <c r="I448" s="1723">
        <f>K2297</f>
        <v>5235.6200000000008</v>
      </c>
      <c r="J448" s="1721"/>
      <c r="K448" s="1721">
        <f t="shared" ref="K448:K459" si="73">I448+J448</f>
        <v>5235.6200000000008</v>
      </c>
      <c r="L448" s="2884">
        <f t="shared" ref="L448:L459" si="74">ROUND(K448,1)</f>
        <v>5235.6000000000004</v>
      </c>
      <c r="M448" s="2885"/>
      <c r="O448" s="1735" t="s">
        <v>441</v>
      </c>
      <c r="T448" s="1706"/>
    </row>
    <row r="449" spans="1:20" s="175" customFormat="1" ht="13.5" customHeight="1">
      <c r="A449" s="2040" t="s">
        <v>386</v>
      </c>
      <c r="B449" s="2009" t="s">
        <v>430</v>
      </c>
      <c r="C449" s="2003"/>
      <c r="D449" s="2003"/>
      <c r="E449" s="2003"/>
      <c r="F449" s="2003"/>
      <c r="G449" s="2882" t="str">
        <f>G447</f>
        <v>Each Cum</v>
      </c>
      <c r="H449" s="2883"/>
      <c r="I449" s="1723">
        <f>K2302</f>
        <v>5277.52</v>
      </c>
      <c r="J449" s="1721"/>
      <c r="K449" s="1721">
        <f t="shared" si="73"/>
        <v>5277.52</v>
      </c>
      <c r="L449" s="2884">
        <f t="shared" si="74"/>
        <v>5277.5</v>
      </c>
      <c r="M449" s="2885"/>
      <c r="N449" s="2037"/>
      <c r="O449" s="2037"/>
      <c r="P449" s="2037"/>
      <c r="Q449" s="1725"/>
      <c r="R449" s="1725"/>
      <c r="S449" s="1725"/>
      <c r="T449" s="1725"/>
    </row>
    <row r="450" spans="1:20" s="175" customFormat="1" ht="13.5" customHeight="1">
      <c r="A450" s="2040" t="s">
        <v>432</v>
      </c>
      <c r="B450" s="2009" t="s">
        <v>442</v>
      </c>
      <c r="C450" s="2003"/>
      <c r="D450" s="2003"/>
      <c r="E450" s="2003"/>
      <c r="F450" s="2003"/>
      <c r="G450" s="2882" t="str">
        <f>G448</f>
        <v>Each Cum</v>
      </c>
      <c r="H450" s="2883"/>
      <c r="I450" s="1723">
        <f>K2309</f>
        <v>5725.1299999999992</v>
      </c>
      <c r="J450" s="1721"/>
      <c r="K450" s="1721">
        <f t="shared" ref="K450:K455" si="75">I450+J450</f>
        <v>5725.1299999999992</v>
      </c>
      <c r="L450" s="2884">
        <f t="shared" ref="L450:L455" si="76">ROUND(K450,1)</f>
        <v>5725.1</v>
      </c>
      <c r="M450" s="2885"/>
      <c r="N450" s="2037"/>
      <c r="O450" s="2037"/>
      <c r="P450" s="2037"/>
      <c r="Q450" s="1725"/>
      <c r="R450" s="1725"/>
      <c r="S450" s="1725"/>
      <c r="T450" s="1725"/>
    </row>
    <row r="451" spans="1:20" s="175" customFormat="1" ht="13.5" customHeight="1">
      <c r="A451" s="2008" t="s">
        <v>443</v>
      </c>
      <c r="B451" s="2039" t="s">
        <v>3614</v>
      </c>
      <c r="C451" s="2003"/>
      <c r="D451" s="2003"/>
      <c r="E451" s="2003"/>
      <c r="F451" s="2003"/>
      <c r="G451" s="2882" t="str">
        <f>G449</f>
        <v>Each Cum</v>
      </c>
      <c r="H451" s="2883"/>
      <c r="I451" s="1723">
        <f>K2315</f>
        <v>6239.9099999999989</v>
      </c>
      <c r="J451" s="1721"/>
      <c r="K451" s="1721">
        <f t="shared" si="75"/>
        <v>6239.9099999999989</v>
      </c>
      <c r="L451" s="2884">
        <f t="shared" si="76"/>
        <v>6239.9</v>
      </c>
      <c r="M451" s="2885"/>
      <c r="N451" s="2037"/>
      <c r="O451" s="2037"/>
      <c r="P451" s="2037"/>
      <c r="Q451" s="1725"/>
      <c r="R451" s="1725"/>
      <c r="S451" s="1725"/>
      <c r="T451" s="1725"/>
    </row>
    <row r="452" spans="1:20" s="175" customFormat="1" ht="13.5" customHeight="1">
      <c r="A452" s="2042" t="s">
        <v>445</v>
      </c>
      <c r="B452" s="2039" t="s">
        <v>3633</v>
      </c>
      <c r="C452" s="2003"/>
      <c r="D452" s="2003"/>
      <c r="E452" s="2003"/>
      <c r="F452" s="2003"/>
      <c r="G452" s="2882" t="str">
        <f>G450</f>
        <v>Each Cum</v>
      </c>
      <c r="H452" s="2883"/>
      <c r="I452" s="2046">
        <f>K2321</f>
        <v>6831.9199999999983</v>
      </c>
      <c r="J452" s="1721"/>
      <c r="K452" s="1721">
        <f t="shared" si="75"/>
        <v>6831.9199999999983</v>
      </c>
      <c r="L452" s="2884">
        <f t="shared" si="76"/>
        <v>6831.9</v>
      </c>
      <c r="M452" s="2885"/>
      <c r="N452" s="2037"/>
      <c r="O452" s="1725"/>
      <c r="P452" s="2037"/>
      <c r="Q452" s="1725"/>
      <c r="S452" s="1725"/>
    </row>
    <row r="453" spans="1:20" s="175" customFormat="1" ht="13.5" customHeight="1">
      <c r="A453" s="2040" t="s">
        <v>447</v>
      </c>
      <c r="B453" s="2009" t="s">
        <v>444</v>
      </c>
      <c r="C453" s="2003"/>
      <c r="D453" s="2003"/>
      <c r="E453" s="2003"/>
      <c r="F453" s="2003"/>
      <c r="G453" s="2882" t="str">
        <f>G449</f>
        <v>Each Cum</v>
      </c>
      <c r="H453" s="2883"/>
      <c r="I453" s="1723">
        <f>K2325</f>
        <v>5307.3200000000006</v>
      </c>
      <c r="J453" s="1721"/>
      <c r="K453" s="1721">
        <f t="shared" si="75"/>
        <v>5307.3200000000006</v>
      </c>
      <c r="L453" s="2884">
        <f t="shared" si="76"/>
        <v>5307.3</v>
      </c>
      <c r="M453" s="2885"/>
      <c r="N453" s="2037"/>
      <c r="O453" s="2037"/>
      <c r="P453" s="2037"/>
      <c r="Q453" s="1725"/>
      <c r="R453" s="1725"/>
      <c r="S453" s="1725"/>
      <c r="T453" s="1725"/>
    </row>
    <row r="454" spans="1:20" s="175" customFormat="1" ht="13.5" customHeight="1">
      <c r="A454" s="2040" t="s">
        <v>3634</v>
      </c>
      <c r="B454" s="2009" t="s">
        <v>446</v>
      </c>
      <c r="C454" s="2003"/>
      <c r="D454" s="2003"/>
      <c r="E454" s="2003"/>
      <c r="F454" s="2003"/>
      <c r="G454" s="2882" t="str">
        <f>G450</f>
        <v>Each Cum</v>
      </c>
      <c r="H454" s="2883"/>
      <c r="I454" s="1723">
        <f>K2331</f>
        <v>5760.1</v>
      </c>
      <c r="J454" s="1721"/>
      <c r="K454" s="1721">
        <f t="shared" si="75"/>
        <v>5760.1</v>
      </c>
      <c r="L454" s="2884">
        <f t="shared" si="76"/>
        <v>5760.1</v>
      </c>
      <c r="M454" s="2885"/>
      <c r="N454" s="2037"/>
      <c r="O454" s="2037"/>
      <c r="P454" s="2037"/>
      <c r="Q454" s="1725"/>
      <c r="R454" s="1725"/>
      <c r="S454" s="1725"/>
      <c r="T454" s="1725"/>
    </row>
    <row r="455" spans="1:20" s="175" customFormat="1" ht="13.5" customHeight="1">
      <c r="A455" s="2040" t="s">
        <v>3635</v>
      </c>
      <c r="B455" s="2009" t="s">
        <v>448</v>
      </c>
      <c r="C455" s="2003"/>
      <c r="D455" s="2003"/>
      <c r="E455" s="2003"/>
      <c r="F455" s="2003"/>
      <c r="G455" s="2882" t="str">
        <f>G453</f>
        <v>Each Cum</v>
      </c>
      <c r="H455" s="2883"/>
      <c r="I455" s="1723">
        <f>K2337</f>
        <v>6001.58</v>
      </c>
      <c r="J455" s="1721"/>
      <c r="K455" s="1721">
        <f t="shared" si="75"/>
        <v>6001.58</v>
      </c>
      <c r="L455" s="2884">
        <f t="shared" si="76"/>
        <v>6001.6</v>
      </c>
      <c r="M455" s="2885"/>
      <c r="N455" s="2037"/>
      <c r="O455" s="2037"/>
      <c r="P455" s="2037"/>
      <c r="Q455" s="1725"/>
      <c r="R455" s="1725"/>
      <c r="S455" s="1725"/>
      <c r="T455" s="1725"/>
    </row>
    <row r="456" spans="1:20" s="175" customFormat="1" ht="13.5" customHeight="1">
      <c r="A456" s="2047">
        <f>A447+1</f>
        <v>43</v>
      </c>
      <c r="B456" s="1828" t="s">
        <v>3807</v>
      </c>
      <c r="C456" s="2003"/>
      <c r="D456" s="2003"/>
      <c r="E456" s="2003"/>
      <c r="F456" s="2003"/>
      <c r="G456" s="2882" t="s">
        <v>381</v>
      </c>
      <c r="H456" s="2883"/>
      <c r="I456" s="1723">
        <f>K2358</f>
        <v>4929.41</v>
      </c>
      <c r="J456" s="1721"/>
      <c r="K456" s="1721">
        <f t="shared" si="73"/>
        <v>4929.41</v>
      </c>
      <c r="L456" s="2884">
        <f t="shared" si="74"/>
        <v>4929.3999999999996</v>
      </c>
      <c r="M456" s="2885"/>
      <c r="N456" s="2037"/>
      <c r="O456" s="2037"/>
      <c r="P456" s="2037"/>
      <c r="Q456" s="1725"/>
      <c r="R456" s="1725"/>
      <c r="S456" s="1725"/>
      <c r="T456" s="1725"/>
    </row>
    <row r="457" spans="1:20" s="175" customFormat="1" ht="13.5" customHeight="1">
      <c r="A457" s="2047">
        <f>A456+1</f>
        <v>44</v>
      </c>
      <c r="B457" s="1828" t="s">
        <v>3808</v>
      </c>
      <c r="C457" s="2003"/>
      <c r="D457" s="2003"/>
      <c r="E457" s="2032"/>
      <c r="F457" s="2003"/>
      <c r="G457" s="2882" t="s">
        <v>381</v>
      </c>
      <c r="H457" s="2883"/>
      <c r="I457" s="1723">
        <f>K2379</f>
        <v>4649.72</v>
      </c>
      <c r="J457" s="1721"/>
      <c r="K457" s="1721">
        <f t="shared" si="73"/>
        <v>4649.72</v>
      </c>
      <c r="L457" s="2884">
        <f t="shared" si="74"/>
        <v>4649.7</v>
      </c>
      <c r="M457" s="2885"/>
      <c r="N457" s="2037"/>
      <c r="O457" s="2048" t="s">
        <v>601</v>
      </c>
      <c r="P457" s="2037"/>
      <c r="Q457" s="1725"/>
      <c r="R457" s="1725"/>
      <c r="S457" s="1725"/>
      <c r="T457" s="1725"/>
    </row>
    <row r="458" spans="1:20" s="1741" customFormat="1" ht="13.5" customHeight="1">
      <c r="A458" s="2047">
        <f>A457+1</f>
        <v>45</v>
      </c>
      <c r="B458" s="2010" t="s">
        <v>3809</v>
      </c>
      <c r="C458" s="2003"/>
      <c r="D458" s="2003"/>
      <c r="E458" s="2032"/>
      <c r="F458" s="2003"/>
      <c r="G458" s="2882" t="s">
        <v>390</v>
      </c>
      <c r="H458" s="2883"/>
      <c r="I458" s="1723">
        <f>K2398</f>
        <v>330.82</v>
      </c>
      <c r="J458" s="1721"/>
      <c r="K458" s="1721">
        <f t="shared" si="73"/>
        <v>330.82</v>
      </c>
      <c r="L458" s="2884">
        <f t="shared" si="74"/>
        <v>330.8</v>
      </c>
      <c r="M458" s="2885"/>
      <c r="O458" s="1735" t="s">
        <v>449</v>
      </c>
      <c r="T458" s="1706"/>
    </row>
    <row r="459" spans="1:20" s="1741" customFormat="1" ht="13.5" customHeight="1">
      <c r="A459" s="2047">
        <f>A458+1</f>
        <v>46</v>
      </c>
      <c r="B459" s="1828" t="s">
        <v>3810</v>
      </c>
      <c r="C459" s="2003"/>
      <c r="D459" s="2003"/>
      <c r="E459" s="2032"/>
      <c r="F459" s="2003"/>
      <c r="G459" s="2882" t="s">
        <v>381</v>
      </c>
      <c r="H459" s="2883"/>
      <c r="I459" s="1723">
        <f>K2400</f>
        <v>98.9</v>
      </c>
      <c r="J459" s="1721"/>
      <c r="K459" s="1721">
        <f t="shared" si="73"/>
        <v>98.9</v>
      </c>
      <c r="L459" s="2884">
        <f t="shared" si="74"/>
        <v>98.9</v>
      </c>
      <c r="M459" s="2885"/>
      <c r="O459" s="1735" t="s">
        <v>450</v>
      </c>
      <c r="T459" s="1706"/>
    </row>
    <row r="460" spans="1:20" s="1741" customFormat="1" ht="13.5" customHeight="1">
      <c r="A460" s="2047">
        <f>A459+1</f>
        <v>47</v>
      </c>
      <c r="B460" s="1828" t="s">
        <v>3811</v>
      </c>
      <c r="C460" s="2003"/>
      <c r="D460" s="2003"/>
      <c r="E460" s="2032"/>
      <c r="F460" s="2003"/>
      <c r="G460" s="2882" t="s">
        <v>381</v>
      </c>
      <c r="H460" s="2883"/>
      <c r="I460" s="1723"/>
      <c r="J460" s="1721"/>
      <c r="K460" s="1721"/>
      <c r="L460" s="2884"/>
      <c r="M460" s="2885"/>
      <c r="O460" s="1735"/>
      <c r="T460" s="1706"/>
    </row>
    <row r="461" spans="1:20" s="1741" customFormat="1" ht="13.5" customHeight="1">
      <c r="A461" s="2040" t="s">
        <v>383</v>
      </c>
      <c r="B461" s="2043" t="s">
        <v>384</v>
      </c>
      <c r="C461" s="2003"/>
      <c r="D461" s="2003"/>
      <c r="E461" s="2003"/>
      <c r="F461" s="2003"/>
      <c r="G461" s="2882" t="s">
        <v>381</v>
      </c>
      <c r="H461" s="2883"/>
      <c r="I461" s="1723">
        <f>K2431</f>
        <v>6501.16</v>
      </c>
      <c r="J461" s="1721"/>
      <c r="K461" s="1721">
        <f>I461+J461</f>
        <v>6501.16</v>
      </c>
      <c r="L461" s="2884">
        <f>ROUND(K461,1)</f>
        <v>6501.2</v>
      </c>
      <c r="M461" s="2885"/>
      <c r="O461" s="1735" t="s">
        <v>451</v>
      </c>
      <c r="T461" s="1706"/>
    </row>
    <row r="462" spans="1:20" s="1741" customFormat="1" ht="13.5" hidden="1" customHeight="1">
      <c r="A462" s="2040" t="s">
        <v>386</v>
      </c>
      <c r="B462" s="2043" t="s">
        <v>387</v>
      </c>
      <c r="C462" s="2003"/>
      <c r="D462" s="2003"/>
      <c r="E462" s="2003"/>
      <c r="F462" s="2003"/>
      <c r="G462" s="2882" t="s">
        <v>381</v>
      </c>
      <c r="H462" s="2883"/>
      <c r="I462" s="1723">
        <f>K2437</f>
        <v>6527.45</v>
      </c>
      <c r="J462" s="1721"/>
      <c r="K462" s="1721">
        <f>I462+J462</f>
        <v>6527.45</v>
      </c>
      <c r="L462" s="2884">
        <f>ROUND(K462,1)</f>
        <v>6527.5</v>
      </c>
      <c r="M462" s="2885"/>
      <c r="O462" s="1735" t="s">
        <v>452</v>
      </c>
      <c r="T462" s="1706"/>
    </row>
    <row r="463" spans="1:20" s="1741" customFormat="1" ht="13.5" hidden="1" customHeight="1">
      <c r="A463" s="2049" t="s">
        <v>432</v>
      </c>
      <c r="B463" s="2043" t="s">
        <v>3613</v>
      </c>
      <c r="C463" s="2003"/>
      <c r="D463" s="2003"/>
      <c r="E463" s="2003"/>
      <c r="F463" s="2003"/>
      <c r="G463" s="2882" t="s">
        <v>381</v>
      </c>
      <c r="H463" s="2883"/>
      <c r="I463" s="1723">
        <f>K2447</f>
        <v>6698.04</v>
      </c>
      <c r="J463" s="1721"/>
      <c r="K463" s="1721">
        <f>I463+J463</f>
        <v>6698.04</v>
      </c>
      <c r="L463" s="2884">
        <f>ROUND(K463,1)</f>
        <v>6698</v>
      </c>
      <c r="M463" s="2885"/>
      <c r="O463" s="1735"/>
      <c r="T463" s="1706"/>
    </row>
    <row r="464" spans="1:20" s="175" customFormat="1" ht="13.5" hidden="1" customHeight="1">
      <c r="A464" s="2008" t="s">
        <v>443</v>
      </c>
      <c r="B464" s="2009" t="s">
        <v>3632</v>
      </c>
      <c r="C464" s="2003"/>
      <c r="D464" s="2003"/>
      <c r="E464" s="2003"/>
      <c r="F464" s="2003"/>
      <c r="G464" s="2882" t="str">
        <f>G463</f>
        <v>Each Cum</v>
      </c>
      <c r="H464" s="2883"/>
      <c r="I464" s="1723">
        <f>K2455</f>
        <v>6819.1500000000005</v>
      </c>
      <c r="J464" s="1721"/>
      <c r="K464" s="1721">
        <f>I464+J464</f>
        <v>6819.1500000000005</v>
      </c>
      <c r="L464" s="2884">
        <f>ROUND(K464,1)</f>
        <v>6819.2</v>
      </c>
      <c r="M464" s="2885"/>
      <c r="N464" s="1767"/>
      <c r="O464" s="1725"/>
      <c r="P464" s="1767"/>
      <c r="Q464" s="1725"/>
      <c r="R464" s="1725"/>
      <c r="S464" s="1725"/>
    </row>
    <row r="465" spans="1:20" s="1741" customFormat="1" ht="13.5" hidden="1" customHeight="1">
      <c r="A465" s="1998">
        <f>A460+1</f>
        <v>48</v>
      </c>
      <c r="B465" s="1828" t="s">
        <v>3812</v>
      </c>
      <c r="C465" s="2003"/>
      <c r="D465" s="2003"/>
      <c r="E465" s="2003"/>
      <c r="F465" s="2003"/>
      <c r="G465" s="2882" t="s">
        <v>381</v>
      </c>
      <c r="H465" s="2883"/>
      <c r="I465" s="1723"/>
      <c r="J465" s="1721"/>
      <c r="K465" s="1721"/>
      <c r="L465" s="2884"/>
      <c r="M465" s="2885"/>
      <c r="O465" s="1735"/>
      <c r="T465" s="1706"/>
    </row>
    <row r="466" spans="1:20" s="1741" customFormat="1" ht="13.5" hidden="1" customHeight="1">
      <c r="A466" s="2040" t="s">
        <v>383</v>
      </c>
      <c r="B466" s="2043" t="s">
        <v>384</v>
      </c>
      <c r="C466" s="2003"/>
      <c r="D466" s="2003"/>
      <c r="E466" s="2003"/>
      <c r="F466" s="2003"/>
      <c r="G466" s="2882" t="s">
        <v>381</v>
      </c>
      <c r="H466" s="2883"/>
      <c r="I466" s="1723">
        <f>K2484</f>
        <v>5966.4199999999992</v>
      </c>
      <c r="J466" s="1721"/>
      <c r="K466" s="1721">
        <f>I466+J466</f>
        <v>5966.4199999999992</v>
      </c>
      <c r="L466" s="2884">
        <f>ROUND(K466,1)</f>
        <v>5966.4</v>
      </c>
      <c r="M466" s="2885"/>
      <c r="O466" s="1735" t="s">
        <v>453</v>
      </c>
      <c r="T466" s="1706"/>
    </row>
    <row r="467" spans="1:20" s="1741" customFormat="1" ht="13.5" hidden="1" customHeight="1">
      <c r="A467" s="2040" t="s">
        <v>386</v>
      </c>
      <c r="B467" s="2043" t="s">
        <v>387</v>
      </c>
      <c r="C467" s="2003"/>
      <c r="D467" s="2003"/>
      <c r="E467" s="2003"/>
      <c r="F467" s="2003"/>
      <c r="G467" s="2882" t="s">
        <v>381</v>
      </c>
      <c r="H467" s="2883"/>
      <c r="I467" s="1723">
        <f>K2492</f>
        <v>6057.0599999999986</v>
      </c>
      <c r="J467" s="1721"/>
      <c r="K467" s="1721">
        <f>I467+J467</f>
        <v>6057.0599999999986</v>
      </c>
      <c r="L467" s="2884">
        <f>ROUND(K467,1)</f>
        <v>6057.1</v>
      </c>
      <c r="M467" s="2885"/>
      <c r="O467" s="1735" t="s">
        <v>454</v>
      </c>
      <c r="T467" s="1706"/>
    </row>
    <row r="468" spans="1:20" s="1741" customFormat="1" ht="13.5" hidden="1" customHeight="1">
      <c r="A468" s="2049" t="s">
        <v>432</v>
      </c>
      <c r="B468" s="2043" t="s">
        <v>3613</v>
      </c>
      <c r="C468" s="2003"/>
      <c r="D468" s="2003"/>
      <c r="E468" s="2003"/>
      <c r="F468" s="2003"/>
      <c r="G468" s="2882" t="s">
        <v>381</v>
      </c>
      <c r="H468" s="2883"/>
      <c r="I468" s="1723">
        <f>K2502</f>
        <v>6222.9099999999989</v>
      </c>
      <c r="J468" s="1721"/>
      <c r="K468" s="1721">
        <f>I468+J468</f>
        <v>6222.9099999999989</v>
      </c>
      <c r="L468" s="2884">
        <f>ROUND(K468,1)</f>
        <v>6222.9</v>
      </c>
      <c r="M468" s="2885"/>
      <c r="O468" s="1735"/>
      <c r="T468" s="1706"/>
    </row>
    <row r="469" spans="1:20" s="175" customFormat="1" ht="13.5" hidden="1" customHeight="1">
      <c r="A469" s="2008" t="s">
        <v>443</v>
      </c>
      <c r="B469" s="2009" t="s">
        <v>3632</v>
      </c>
      <c r="C469" s="2003"/>
      <c r="D469" s="2003"/>
      <c r="E469" s="2003"/>
      <c r="F469" s="2003"/>
      <c r="G469" s="2882" t="str">
        <f>G468</f>
        <v>Each Cum</v>
      </c>
      <c r="H469" s="2883"/>
      <c r="I469" s="1723">
        <f>K2510</f>
        <v>6343.9899999999989</v>
      </c>
      <c r="J469" s="1721"/>
      <c r="K469" s="1721">
        <f>I469+J469</f>
        <v>6343.9899999999989</v>
      </c>
      <c r="L469" s="2884">
        <f>ROUND(K469,1)</f>
        <v>6344</v>
      </c>
      <c r="M469" s="2885"/>
      <c r="N469" s="1767"/>
      <c r="O469" s="1725"/>
      <c r="P469" s="1767"/>
      <c r="Q469" s="1725"/>
      <c r="R469" s="1725"/>
      <c r="S469" s="1725"/>
    </row>
    <row r="470" spans="1:20" s="175" customFormat="1" ht="13.5" hidden="1" customHeight="1">
      <c r="A470" s="1998">
        <f>A465+1</f>
        <v>49</v>
      </c>
      <c r="B470" s="1828" t="s">
        <v>3813</v>
      </c>
      <c r="C470" s="2003"/>
      <c r="D470" s="2003"/>
      <c r="E470" s="2003"/>
      <c r="F470" s="2003"/>
      <c r="G470" s="2882" t="s">
        <v>381</v>
      </c>
      <c r="H470" s="2883"/>
      <c r="I470" s="1723"/>
      <c r="J470" s="1721"/>
      <c r="K470" s="1721"/>
      <c r="L470" s="2884"/>
      <c r="M470" s="2885"/>
      <c r="N470" s="2037"/>
      <c r="O470" s="1759"/>
      <c r="P470" s="2037"/>
    </row>
    <row r="471" spans="1:20" s="175" customFormat="1" ht="13.5" hidden="1" customHeight="1">
      <c r="A471" s="2040" t="s">
        <v>383</v>
      </c>
      <c r="B471" s="2009" t="s">
        <v>384</v>
      </c>
      <c r="C471" s="2003"/>
      <c r="D471" s="2003"/>
      <c r="E471" s="2003"/>
      <c r="F471" s="2003"/>
      <c r="G471" s="2882" t="s">
        <v>381</v>
      </c>
      <c r="H471" s="2883"/>
      <c r="I471" s="1723">
        <f>K2541</f>
        <v>6436.7893333333332</v>
      </c>
      <c r="J471" s="1721"/>
      <c r="K471" s="1721">
        <f>I471+J471</f>
        <v>6436.7893333333332</v>
      </c>
      <c r="L471" s="2884">
        <f>ROUND(K471,1)</f>
        <v>6436.8</v>
      </c>
      <c r="M471" s="2885"/>
      <c r="N471" s="2037"/>
      <c r="O471" s="1759"/>
      <c r="P471" s="2037"/>
    </row>
    <row r="472" spans="1:20" s="175" customFormat="1" ht="13.5" hidden="1" customHeight="1">
      <c r="A472" s="2040" t="s">
        <v>386</v>
      </c>
      <c r="B472" s="2009" t="s">
        <v>387</v>
      </c>
      <c r="C472" s="2003"/>
      <c r="D472" s="2003"/>
      <c r="E472" s="2003"/>
      <c r="F472" s="2003"/>
      <c r="G472" s="2882" t="s">
        <v>381</v>
      </c>
      <c r="H472" s="2883"/>
      <c r="I472" s="1723">
        <f>K2549</f>
        <v>6527.449333333333</v>
      </c>
      <c r="J472" s="1721"/>
      <c r="K472" s="1721">
        <f>I472+J472</f>
        <v>6527.449333333333</v>
      </c>
      <c r="L472" s="2884">
        <f>ROUND(K472,1)</f>
        <v>6527.4</v>
      </c>
      <c r="M472" s="2885"/>
      <c r="N472" s="2037"/>
      <c r="O472" s="1759"/>
      <c r="P472" s="2037"/>
    </row>
    <row r="473" spans="1:20" s="175" customFormat="1" ht="13.5" hidden="1" customHeight="1">
      <c r="A473" s="2049" t="s">
        <v>432</v>
      </c>
      <c r="B473" s="2043" t="s">
        <v>3613</v>
      </c>
      <c r="C473" s="2003"/>
      <c r="D473" s="2003"/>
      <c r="E473" s="2003"/>
      <c r="F473" s="2003"/>
      <c r="G473" s="2882" t="s">
        <v>381</v>
      </c>
      <c r="H473" s="2883"/>
      <c r="I473" s="1723">
        <f>K2559</f>
        <v>6698.0293333333329</v>
      </c>
      <c r="J473" s="1721"/>
      <c r="K473" s="1721">
        <f>I473+J473</f>
        <v>6698.0293333333329</v>
      </c>
      <c r="L473" s="2884">
        <f>ROUND(K473,1)</f>
        <v>6698</v>
      </c>
      <c r="M473" s="2885"/>
      <c r="N473" s="2037"/>
      <c r="O473" s="1759"/>
      <c r="P473" s="2037"/>
    </row>
    <row r="474" spans="1:20" s="175" customFormat="1" ht="13.5" hidden="1" customHeight="1">
      <c r="A474" s="2008" t="s">
        <v>443</v>
      </c>
      <c r="B474" s="2009" t="s">
        <v>3632</v>
      </c>
      <c r="C474" s="2003"/>
      <c r="D474" s="2003"/>
      <c r="E474" s="2003"/>
      <c r="F474" s="2003"/>
      <c r="G474" s="2882" t="str">
        <f>G473</f>
        <v>Each Cum</v>
      </c>
      <c r="H474" s="2883"/>
      <c r="I474" s="1723">
        <f>K2567</f>
        <v>6819.1293333333333</v>
      </c>
      <c r="J474" s="1721"/>
      <c r="K474" s="1721">
        <f>I474+J474</f>
        <v>6819.1293333333333</v>
      </c>
      <c r="L474" s="2884">
        <f>ROUND(K474,1)</f>
        <v>6819.1</v>
      </c>
      <c r="M474" s="2885"/>
      <c r="N474" s="1767"/>
      <c r="O474" s="1725"/>
      <c r="P474" s="1767"/>
      <c r="Q474" s="1725"/>
      <c r="R474" s="1725"/>
      <c r="S474" s="1725"/>
    </row>
    <row r="475" spans="1:20" s="1741" customFormat="1" ht="13.5" hidden="1" customHeight="1">
      <c r="A475" s="1998">
        <f>A470+1</f>
        <v>50</v>
      </c>
      <c r="B475" s="1828" t="s">
        <v>3814</v>
      </c>
      <c r="C475" s="2003"/>
      <c r="D475" s="2003"/>
      <c r="E475" s="2003"/>
      <c r="F475" s="2003"/>
      <c r="G475" s="2882" t="s">
        <v>381</v>
      </c>
      <c r="H475" s="2883"/>
      <c r="I475" s="1723"/>
      <c r="J475" s="1721"/>
      <c r="K475" s="1721"/>
      <c r="L475" s="2931"/>
      <c r="M475" s="3000"/>
      <c r="O475" s="1735" t="s">
        <v>455</v>
      </c>
      <c r="T475" s="1706"/>
    </row>
    <row r="476" spans="1:20" s="175" customFormat="1" ht="13.5" hidden="1" customHeight="1">
      <c r="A476" s="2040" t="s">
        <v>383</v>
      </c>
      <c r="B476" s="2009" t="s">
        <v>384</v>
      </c>
      <c r="C476" s="2003"/>
      <c r="D476" s="2003"/>
      <c r="E476" s="2003"/>
      <c r="F476" s="2003"/>
      <c r="G476" s="2882" t="s">
        <v>381</v>
      </c>
      <c r="H476" s="2883"/>
      <c r="I476" s="1723">
        <f>K2592</f>
        <v>8147.04</v>
      </c>
      <c r="J476" s="1721"/>
      <c r="K476" s="1721">
        <f>I476+J476</f>
        <v>8147.04</v>
      </c>
      <c r="L476" s="2931">
        <f>ROUND(K476,1)</f>
        <v>8147</v>
      </c>
      <c r="M476" s="2994"/>
      <c r="N476" s="2037"/>
      <c r="O476" s="1759"/>
      <c r="P476" s="2037"/>
    </row>
    <row r="477" spans="1:20" s="175" customFormat="1" ht="13.5" hidden="1" customHeight="1">
      <c r="A477" s="2040" t="s">
        <v>386</v>
      </c>
      <c r="B477" s="2009" t="s">
        <v>387</v>
      </c>
      <c r="C477" s="2003"/>
      <c r="D477" s="2003"/>
      <c r="E477" s="2003"/>
      <c r="F477" s="2003"/>
      <c r="G477" s="2882" t="s">
        <v>381</v>
      </c>
      <c r="H477" s="2883"/>
      <c r="I477" s="1723">
        <f>K2600</f>
        <v>8471.82</v>
      </c>
      <c r="J477" s="1721"/>
      <c r="K477" s="1721">
        <f>I477+J477</f>
        <v>8471.82</v>
      </c>
      <c r="L477" s="2931">
        <f>ROUND(K477,1)</f>
        <v>8471.7999999999993</v>
      </c>
      <c r="M477" s="2994"/>
      <c r="N477" s="2037"/>
      <c r="O477" s="1759"/>
      <c r="P477" s="2037"/>
    </row>
    <row r="478" spans="1:20" s="175" customFormat="1" ht="13.5" hidden="1" customHeight="1">
      <c r="A478" s="2049" t="s">
        <v>432</v>
      </c>
      <c r="B478" s="2043" t="s">
        <v>3613</v>
      </c>
      <c r="C478" s="2003"/>
      <c r="D478" s="2003"/>
      <c r="E478" s="2003"/>
      <c r="F478" s="2003"/>
      <c r="G478" s="2882" t="s">
        <v>381</v>
      </c>
      <c r="H478" s="2883"/>
      <c r="I478" s="1723">
        <f>K2610</f>
        <v>9019.34</v>
      </c>
      <c r="J478" s="1721"/>
      <c r="K478" s="1721">
        <f>I478+J478</f>
        <v>9019.34</v>
      </c>
      <c r="L478" s="2931">
        <f>ROUND(K478,1)</f>
        <v>9019.2999999999993</v>
      </c>
      <c r="M478" s="2994"/>
      <c r="N478" s="2037"/>
      <c r="O478" s="1759"/>
      <c r="P478" s="2037"/>
    </row>
    <row r="479" spans="1:20" s="175" customFormat="1" ht="13.5" hidden="1" customHeight="1">
      <c r="A479" s="2008" t="s">
        <v>443</v>
      </c>
      <c r="B479" s="2009" t="s">
        <v>3632</v>
      </c>
      <c r="C479" s="2003"/>
      <c r="D479" s="2003"/>
      <c r="E479" s="2003"/>
      <c r="F479" s="2003"/>
      <c r="G479" s="2882" t="str">
        <f>G478</f>
        <v>Each Cum</v>
      </c>
      <c r="H479" s="2883"/>
      <c r="I479" s="1723">
        <f>K2618</f>
        <v>9543.35</v>
      </c>
      <c r="J479" s="1721"/>
      <c r="K479" s="1721">
        <f>I479+J479</f>
        <v>9543.35</v>
      </c>
      <c r="L479" s="2884">
        <f>ROUND(K479,1)</f>
        <v>9543.4</v>
      </c>
      <c r="M479" s="2885"/>
      <c r="N479" s="1767"/>
      <c r="O479" s="1725"/>
      <c r="P479" s="1767"/>
      <c r="Q479" s="1725"/>
      <c r="R479" s="1725"/>
      <c r="S479" s="1725"/>
    </row>
    <row r="480" spans="1:20" s="1741" customFormat="1" ht="13.5" customHeight="1">
      <c r="A480" s="1711">
        <f>A475+1</f>
        <v>51</v>
      </c>
      <c r="B480" s="2010" t="s">
        <v>456</v>
      </c>
      <c r="C480" s="2002"/>
      <c r="D480" s="2002"/>
      <c r="E480" s="2002"/>
      <c r="F480" s="2002"/>
      <c r="G480" s="2882" t="s">
        <v>390</v>
      </c>
      <c r="H480" s="2883"/>
      <c r="I480" s="1723"/>
      <c r="J480" s="1721"/>
      <c r="K480" s="1721"/>
      <c r="L480" s="2931"/>
      <c r="M480" s="2995"/>
      <c r="O480" s="1735" t="s">
        <v>457</v>
      </c>
      <c r="T480" s="1706"/>
    </row>
    <row r="481" spans="1:20" s="175" customFormat="1" ht="13.5" customHeight="1">
      <c r="A481" s="1711" t="s">
        <v>458</v>
      </c>
      <c r="B481" s="1828" t="str">
        <f>B2621</f>
        <v>RCC foundation and plinth bend bases of columns  mass concrete precast slab.</v>
      </c>
      <c r="C481" s="2003"/>
      <c r="D481" s="2003"/>
      <c r="E481" s="2003"/>
      <c r="F481" s="2003"/>
      <c r="G481" s="2882"/>
      <c r="H481" s="2883"/>
      <c r="I481" s="1723"/>
      <c r="J481" s="1721"/>
      <c r="K481" s="1721"/>
      <c r="L481" s="3037"/>
      <c r="M481" s="3000"/>
      <c r="N481" s="2037"/>
      <c r="O481" s="1735" t="s">
        <v>457</v>
      </c>
      <c r="P481" s="2037"/>
      <c r="T481" s="1759"/>
    </row>
    <row r="482" spans="1:20" s="175" customFormat="1" ht="13.5" customHeight="1">
      <c r="A482" s="2040" t="s">
        <v>383</v>
      </c>
      <c r="B482" s="2009" t="s">
        <v>384</v>
      </c>
      <c r="C482" s="2003"/>
      <c r="D482" s="2003"/>
      <c r="E482" s="2003"/>
      <c r="F482" s="2003"/>
      <c r="G482" s="2882" t="s">
        <v>390</v>
      </c>
      <c r="H482" s="2883"/>
      <c r="I482" s="1723">
        <f>K2640</f>
        <v>232.14</v>
      </c>
      <c r="J482" s="1721"/>
      <c r="K482" s="1721">
        <f>I482+J482</f>
        <v>232.14</v>
      </c>
      <c r="L482" s="2931">
        <f>ROUND(K482,1)</f>
        <v>232.1</v>
      </c>
      <c r="M482" s="3000"/>
      <c r="N482" s="2037"/>
      <c r="O482" s="2037"/>
      <c r="P482" s="2037"/>
      <c r="T482" s="1759"/>
    </row>
    <row r="483" spans="1:20" s="175" customFormat="1" ht="13.5" hidden="1" customHeight="1">
      <c r="A483" s="2040" t="s">
        <v>386</v>
      </c>
      <c r="B483" s="2009" t="s">
        <v>387</v>
      </c>
      <c r="C483" s="2003"/>
      <c r="D483" s="2003"/>
      <c r="E483" s="2003"/>
      <c r="F483" s="2003"/>
      <c r="G483" s="2882" t="s">
        <v>390</v>
      </c>
      <c r="H483" s="2883"/>
      <c r="I483" s="1723">
        <f>K2646</f>
        <v>266.95999999999998</v>
      </c>
      <c r="J483" s="1721"/>
      <c r="K483" s="1721">
        <f>I483+J483</f>
        <v>266.95999999999998</v>
      </c>
      <c r="L483" s="2931">
        <f>ROUND(K483,1)</f>
        <v>267</v>
      </c>
      <c r="M483" s="3000"/>
      <c r="N483" s="2037"/>
      <c r="O483" s="2037"/>
      <c r="P483" s="2037"/>
      <c r="T483" s="1759"/>
    </row>
    <row r="484" spans="1:20" s="175" customFormat="1" ht="13.5" hidden="1" customHeight="1">
      <c r="A484" s="2049" t="s">
        <v>432</v>
      </c>
      <c r="B484" s="2043" t="s">
        <v>3613</v>
      </c>
      <c r="C484" s="2003"/>
      <c r="D484" s="2003"/>
      <c r="E484" s="2003"/>
      <c r="F484" s="2003"/>
      <c r="G484" s="2882" t="s">
        <v>390</v>
      </c>
      <c r="H484" s="2883"/>
      <c r="I484" s="1723">
        <f>K2652</f>
        <v>308.8</v>
      </c>
      <c r="J484" s="1721"/>
      <c r="K484" s="1721">
        <f>I484+J484</f>
        <v>308.8</v>
      </c>
      <c r="L484" s="2931">
        <f>ROUND(K484,1)</f>
        <v>308.8</v>
      </c>
      <c r="M484" s="3000"/>
      <c r="N484" s="2037"/>
      <c r="O484" s="2037"/>
      <c r="P484" s="2037"/>
      <c r="T484" s="1759"/>
    </row>
    <row r="485" spans="1:20" s="175" customFormat="1" ht="13.5" hidden="1" customHeight="1">
      <c r="A485" s="2008" t="s">
        <v>443</v>
      </c>
      <c r="B485" s="2009" t="s">
        <v>3632</v>
      </c>
      <c r="C485" s="2003"/>
      <c r="D485" s="2003"/>
      <c r="E485" s="2003"/>
      <c r="F485" s="2003"/>
      <c r="G485" s="2882" t="str">
        <f>G484</f>
        <v>Each Sqm</v>
      </c>
      <c r="H485" s="2883"/>
      <c r="I485" s="1723">
        <f>K2657</f>
        <v>358.9</v>
      </c>
      <c r="J485" s="1721"/>
      <c r="K485" s="1721">
        <f>I485+J485</f>
        <v>358.9</v>
      </c>
      <c r="L485" s="2884">
        <f>ROUND(K485,1)</f>
        <v>358.9</v>
      </c>
      <c r="M485" s="2885"/>
      <c r="N485" s="1767"/>
      <c r="O485" s="1725"/>
      <c r="P485" s="1767"/>
      <c r="Q485" s="1725"/>
      <c r="R485" s="1725"/>
      <c r="S485" s="1725"/>
    </row>
    <row r="486" spans="1:20" s="175" customFormat="1" ht="13.5" customHeight="1">
      <c r="A486" s="1711" t="s">
        <v>459</v>
      </c>
      <c r="B486" s="1828" t="str">
        <f>B2658</f>
        <v>RCC floor &amp; roof slab,landing,balconies, projecting sunshade &amp; chajja upto 4.3m ht.</v>
      </c>
      <c r="C486" s="2003"/>
      <c r="D486" s="2003"/>
      <c r="E486" s="2003"/>
      <c r="F486" s="2003"/>
      <c r="G486" s="2882"/>
      <c r="H486" s="2883"/>
      <c r="I486" s="1723"/>
      <c r="J486" s="1721"/>
      <c r="K486" s="1721"/>
      <c r="L486" s="2931"/>
      <c r="M486" s="3000"/>
      <c r="N486" s="2037"/>
      <c r="O486" s="1735" t="s">
        <v>457</v>
      </c>
      <c r="P486" s="2037"/>
      <c r="T486" s="1759"/>
    </row>
    <row r="487" spans="1:20" s="175" customFormat="1" ht="13.5" customHeight="1">
      <c r="A487" s="2040" t="s">
        <v>383</v>
      </c>
      <c r="B487" s="2009" t="s">
        <v>384</v>
      </c>
      <c r="C487" s="2003"/>
      <c r="D487" s="2003"/>
      <c r="E487" s="2003"/>
      <c r="F487" s="2003"/>
      <c r="G487" s="2882" t="s">
        <v>390</v>
      </c>
      <c r="H487" s="2883"/>
      <c r="I487" s="1723">
        <f>K2676</f>
        <v>667.38</v>
      </c>
      <c r="J487" s="1721"/>
      <c r="K487" s="1721">
        <f>I487+J487</f>
        <v>667.38</v>
      </c>
      <c r="L487" s="2931">
        <f>ROUND(K487,1)</f>
        <v>667.4</v>
      </c>
      <c r="M487" s="3000"/>
      <c r="N487" s="2037"/>
      <c r="O487" s="2037"/>
      <c r="P487" s="2037"/>
      <c r="T487" s="1759"/>
    </row>
    <row r="488" spans="1:20" s="175" customFormat="1" ht="13.5" hidden="1" customHeight="1">
      <c r="A488" s="2040" t="s">
        <v>386</v>
      </c>
      <c r="B488" s="2009" t="s">
        <v>387</v>
      </c>
      <c r="C488" s="2003"/>
      <c r="D488" s="2003"/>
      <c r="E488" s="2003"/>
      <c r="F488" s="2003"/>
      <c r="G488" s="2882" t="s">
        <v>390</v>
      </c>
      <c r="H488" s="2883"/>
      <c r="I488" s="1723">
        <f>K2684</f>
        <v>731.68</v>
      </c>
      <c r="J488" s="1721"/>
      <c r="K488" s="1721">
        <f>I488+J488</f>
        <v>731.68</v>
      </c>
      <c r="L488" s="2931">
        <f>ROUND(K488,1)</f>
        <v>731.7</v>
      </c>
      <c r="M488" s="3000"/>
      <c r="N488" s="2037"/>
      <c r="O488" s="2037"/>
      <c r="P488" s="2037"/>
      <c r="T488" s="1759"/>
    </row>
    <row r="489" spans="1:20" s="175" customFormat="1" ht="13.5" hidden="1" customHeight="1">
      <c r="A489" s="2049" t="s">
        <v>432</v>
      </c>
      <c r="B489" s="2043" t="s">
        <v>3613</v>
      </c>
      <c r="C489" s="2003"/>
      <c r="D489" s="2003"/>
      <c r="E489" s="2003"/>
      <c r="F489" s="2003"/>
      <c r="G489" s="2882" t="s">
        <v>390</v>
      </c>
      <c r="H489" s="2883"/>
      <c r="I489" s="1723">
        <f>K2694</f>
        <v>808.83999999999992</v>
      </c>
      <c r="J489" s="1721"/>
      <c r="K489" s="1721">
        <f>I489+J489</f>
        <v>808.83999999999992</v>
      </c>
      <c r="L489" s="2931">
        <f>ROUND(K489,1)</f>
        <v>808.8</v>
      </c>
      <c r="M489" s="3000"/>
      <c r="N489" s="2037"/>
      <c r="O489" s="2037"/>
      <c r="P489" s="2037"/>
      <c r="T489" s="1759"/>
    </row>
    <row r="490" spans="1:20" s="175" customFormat="1" ht="13.5" hidden="1" customHeight="1">
      <c r="A490" s="2008" t="s">
        <v>443</v>
      </c>
      <c r="B490" s="2009" t="s">
        <v>3632</v>
      </c>
      <c r="C490" s="2003"/>
      <c r="D490" s="2003"/>
      <c r="E490" s="2003"/>
      <c r="F490" s="2003"/>
      <c r="G490" s="2882" t="str">
        <f>G489</f>
        <v>Each Sqm</v>
      </c>
      <c r="H490" s="2883"/>
      <c r="I490" s="1723">
        <f>K2702</f>
        <v>892.64999999999986</v>
      </c>
      <c r="J490" s="1721"/>
      <c r="K490" s="1721">
        <f>I490+J490</f>
        <v>892.64999999999986</v>
      </c>
      <c r="L490" s="2884">
        <f>ROUND(K490,1)</f>
        <v>892.7</v>
      </c>
      <c r="M490" s="2885"/>
      <c r="N490" s="1767"/>
      <c r="O490" s="1725"/>
      <c r="P490" s="1767"/>
      <c r="Q490" s="1725"/>
      <c r="R490" s="1725"/>
      <c r="S490" s="1725"/>
    </row>
    <row r="491" spans="1:20" s="175" customFormat="1" ht="13.5" customHeight="1">
      <c r="A491" s="1711" t="s">
        <v>460</v>
      </c>
      <c r="B491" s="1828" t="str">
        <f>B2703</f>
        <v>RCC stairs excluding landing, but including railing.</v>
      </c>
      <c r="C491" s="2003"/>
      <c r="D491" s="2003"/>
      <c r="E491" s="2003"/>
      <c r="F491" s="2003"/>
      <c r="G491" s="2882"/>
      <c r="H491" s="2883"/>
      <c r="I491" s="1723"/>
      <c r="J491" s="1721"/>
      <c r="K491" s="1721"/>
      <c r="L491" s="2884"/>
      <c r="M491" s="2885"/>
      <c r="N491" s="2037"/>
      <c r="O491" s="1735" t="s">
        <v>457</v>
      </c>
      <c r="P491" s="2037"/>
      <c r="T491" s="1759"/>
    </row>
    <row r="492" spans="1:20" s="175" customFormat="1" ht="13.5" customHeight="1">
      <c r="A492" s="2040" t="s">
        <v>383</v>
      </c>
      <c r="B492" s="2009" t="s">
        <v>384</v>
      </c>
      <c r="C492" s="2003"/>
      <c r="D492" s="2003"/>
      <c r="E492" s="2003"/>
      <c r="F492" s="2003"/>
      <c r="G492" s="2882" t="s">
        <v>390</v>
      </c>
      <c r="H492" s="2883"/>
      <c r="I492" s="1723">
        <f>K2722</f>
        <v>886.12</v>
      </c>
      <c r="J492" s="1721"/>
      <c r="K492" s="1721">
        <f>I492+J492</f>
        <v>886.12</v>
      </c>
      <c r="L492" s="2884">
        <f>ROUND(K492,1)</f>
        <v>886.1</v>
      </c>
      <c r="M492" s="2885"/>
      <c r="N492" s="2037"/>
      <c r="O492" s="2037"/>
      <c r="P492" s="2037"/>
      <c r="T492" s="1759"/>
    </row>
    <row r="493" spans="1:20" s="175" customFormat="1" ht="13.5" hidden="1" customHeight="1">
      <c r="A493" s="2040" t="s">
        <v>386</v>
      </c>
      <c r="B493" s="2009" t="s">
        <v>387</v>
      </c>
      <c r="C493" s="2003"/>
      <c r="D493" s="2003"/>
      <c r="E493" s="2003"/>
      <c r="F493" s="2003"/>
      <c r="G493" s="2882" t="s">
        <v>390</v>
      </c>
      <c r="H493" s="2883"/>
      <c r="I493" s="1723">
        <f>K2730</f>
        <v>989.86</v>
      </c>
      <c r="J493" s="1721"/>
      <c r="K493" s="1721">
        <f>I493+J493</f>
        <v>989.86</v>
      </c>
      <c r="L493" s="2884">
        <f>ROUND(K493,1)</f>
        <v>989.9</v>
      </c>
      <c r="M493" s="2885"/>
      <c r="N493" s="2037"/>
      <c r="O493" s="2037"/>
      <c r="P493" s="2037"/>
      <c r="T493" s="1759"/>
    </row>
    <row r="494" spans="1:20" s="175" customFormat="1" ht="13.5" hidden="1" customHeight="1">
      <c r="A494" s="2049" t="s">
        <v>432</v>
      </c>
      <c r="B494" s="2043" t="s">
        <v>3613</v>
      </c>
      <c r="C494" s="2003"/>
      <c r="D494" s="2003"/>
      <c r="E494" s="2003"/>
      <c r="F494" s="2003"/>
      <c r="G494" s="2882" t="s">
        <v>390</v>
      </c>
      <c r="H494" s="2883"/>
      <c r="I494" s="1723">
        <f>K2740</f>
        <v>1125.4799999999998</v>
      </c>
      <c r="J494" s="1721"/>
      <c r="K494" s="1721">
        <f>I494+J494</f>
        <v>1125.4799999999998</v>
      </c>
      <c r="L494" s="2884">
        <f>ROUND(K494,1)</f>
        <v>1125.5</v>
      </c>
      <c r="M494" s="2885"/>
      <c r="N494" s="2037"/>
      <c r="O494" s="2037"/>
      <c r="P494" s="2037"/>
      <c r="T494" s="1759"/>
    </row>
    <row r="495" spans="1:20" s="175" customFormat="1" ht="13.5" hidden="1" customHeight="1">
      <c r="A495" s="2008" t="s">
        <v>443</v>
      </c>
      <c r="B495" s="2009" t="s">
        <v>3632</v>
      </c>
      <c r="C495" s="2003"/>
      <c r="D495" s="2003"/>
      <c r="E495" s="2003"/>
      <c r="F495" s="2003"/>
      <c r="G495" s="2882" t="str">
        <f>G494</f>
        <v>Each Sqm</v>
      </c>
      <c r="H495" s="2883"/>
      <c r="I495" s="1723">
        <f>K2748</f>
        <v>1276.3499999999997</v>
      </c>
      <c r="J495" s="1721"/>
      <c r="K495" s="1721">
        <f>I495+J495</f>
        <v>1276.3499999999997</v>
      </c>
      <c r="L495" s="2884">
        <f>ROUND(K495,1)</f>
        <v>1276.4000000000001</v>
      </c>
      <c r="M495" s="2885"/>
      <c r="N495" s="1767"/>
      <c r="O495" s="1725"/>
      <c r="P495" s="1767"/>
      <c r="Q495" s="1725"/>
      <c r="R495" s="1725"/>
      <c r="S495" s="1725"/>
    </row>
    <row r="496" spans="1:20" s="175" customFormat="1" ht="13.5" customHeight="1">
      <c r="A496" s="1711" t="s">
        <v>461</v>
      </c>
      <c r="B496" s="1828" t="str">
        <f>B2749</f>
        <v>RCC beam, column, girder and bressmer etc.</v>
      </c>
      <c r="C496" s="2003"/>
      <c r="D496" s="2003"/>
      <c r="E496" s="2003"/>
      <c r="F496" s="2003"/>
      <c r="G496" s="2882"/>
      <c r="H496" s="2883"/>
      <c r="I496" s="1723"/>
      <c r="J496" s="1721"/>
      <c r="K496" s="1721"/>
      <c r="L496" s="2884"/>
      <c r="M496" s="2885"/>
      <c r="N496" s="2037"/>
      <c r="O496" s="1735" t="s">
        <v>457</v>
      </c>
      <c r="P496" s="2037"/>
      <c r="T496" s="1759"/>
    </row>
    <row r="497" spans="1:20" s="175" customFormat="1" ht="13.5" customHeight="1">
      <c r="A497" s="2040" t="s">
        <v>383</v>
      </c>
      <c r="B497" s="2009" t="s">
        <v>384</v>
      </c>
      <c r="C497" s="2003"/>
      <c r="D497" s="2003"/>
      <c r="E497" s="2003"/>
      <c r="F497" s="2003"/>
      <c r="G497" s="2882" t="s">
        <v>390</v>
      </c>
      <c r="H497" s="2883"/>
      <c r="I497" s="1723">
        <f>K2767</f>
        <v>1003.09</v>
      </c>
      <c r="J497" s="1721"/>
      <c r="K497" s="1721">
        <f>I497+J497</f>
        <v>1003.09</v>
      </c>
      <c r="L497" s="2884">
        <f>ROUND(K497,1)</f>
        <v>1003.1</v>
      </c>
      <c r="M497" s="2885"/>
      <c r="N497" s="2037"/>
      <c r="O497" s="2037"/>
      <c r="P497" s="2037"/>
      <c r="T497" s="1759"/>
    </row>
    <row r="498" spans="1:20" s="175" customFormat="1" ht="13.5" hidden="1" customHeight="1">
      <c r="A498" s="2040" t="s">
        <v>386</v>
      </c>
      <c r="B498" s="2009" t="s">
        <v>387</v>
      </c>
      <c r="C498" s="2003"/>
      <c r="D498" s="2003"/>
      <c r="E498" s="2003"/>
      <c r="F498" s="2003"/>
      <c r="G498" s="2882" t="s">
        <v>390</v>
      </c>
      <c r="H498" s="2883"/>
      <c r="I498" s="1723">
        <f>K2775</f>
        <v>1136.5999999999999</v>
      </c>
      <c r="J498" s="1721"/>
      <c r="K498" s="1721">
        <f>I498+J498</f>
        <v>1136.5999999999999</v>
      </c>
      <c r="L498" s="2884">
        <f>ROUND(K498,1)</f>
        <v>1136.5999999999999</v>
      </c>
      <c r="M498" s="2885"/>
      <c r="N498" s="2037"/>
      <c r="O498" s="2037"/>
      <c r="P498" s="2037"/>
      <c r="T498" s="1759"/>
    </row>
    <row r="499" spans="1:20" s="175" customFormat="1" ht="13.5" hidden="1" customHeight="1">
      <c r="A499" s="2049" t="s">
        <v>432</v>
      </c>
      <c r="B499" s="2043" t="s">
        <v>3613</v>
      </c>
      <c r="C499" s="2003"/>
      <c r="D499" s="2003"/>
      <c r="E499" s="2003"/>
      <c r="F499" s="2003"/>
      <c r="G499" s="2882" t="s">
        <v>390</v>
      </c>
      <c r="H499" s="2883"/>
      <c r="I499" s="1723">
        <f>K2785</f>
        <v>1309.1100000000001</v>
      </c>
      <c r="J499" s="1721"/>
      <c r="K499" s="1721">
        <f>I499+J499</f>
        <v>1309.1100000000001</v>
      </c>
      <c r="L499" s="2884">
        <f>ROUND(K499,1)</f>
        <v>1309.0999999999999</v>
      </c>
      <c r="M499" s="2885"/>
      <c r="N499" s="2037"/>
      <c r="O499" s="2037"/>
      <c r="P499" s="2037"/>
      <c r="T499" s="1759"/>
    </row>
    <row r="500" spans="1:20" s="175" customFormat="1" ht="13.5" hidden="1" customHeight="1">
      <c r="A500" s="2008" t="s">
        <v>443</v>
      </c>
      <c r="B500" s="2009" t="s">
        <v>3632</v>
      </c>
      <c r="C500" s="2003"/>
      <c r="D500" s="2003"/>
      <c r="E500" s="2003"/>
      <c r="F500" s="2003"/>
      <c r="G500" s="2882" t="str">
        <f>G499</f>
        <v>Each Sqm</v>
      </c>
      <c r="H500" s="2883"/>
      <c r="I500" s="1723">
        <f>K2793</f>
        <v>1501.81</v>
      </c>
      <c r="J500" s="1721"/>
      <c r="K500" s="1721">
        <f>I500+J500</f>
        <v>1501.81</v>
      </c>
      <c r="L500" s="2884">
        <f>ROUND(K500,1)</f>
        <v>1501.8</v>
      </c>
      <c r="M500" s="2885"/>
      <c r="N500" s="1767"/>
      <c r="O500" s="1725"/>
      <c r="P500" s="1767"/>
      <c r="Q500" s="1725"/>
      <c r="R500" s="1725"/>
      <c r="S500" s="1725"/>
    </row>
    <row r="501" spans="1:20" s="175" customFormat="1" ht="13.5" hidden="1" customHeight="1">
      <c r="A501" s="1711" t="s">
        <v>462</v>
      </c>
      <c r="B501" s="1828" t="str">
        <f>B2794</f>
        <v>RCC wall &amp;  Fins including attach pillaster</v>
      </c>
      <c r="C501" s="2003"/>
      <c r="D501" s="2003"/>
      <c r="E501" s="2003"/>
      <c r="F501" s="2003"/>
      <c r="G501" s="2882"/>
      <c r="H501" s="2883"/>
      <c r="I501" s="1723"/>
      <c r="J501" s="1721"/>
      <c r="K501" s="1721"/>
      <c r="L501" s="2884"/>
      <c r="M501" s="2885"/>
      <c r="N501" s="2037"/>
      <c r="O501" s="1735" t="s">
        <v>457</v>
      </c>
      <c r="P501" s="2037"/>
      <c r="T501" s="1759"/>
    </row>
    <row r="502" spans="1:20" s="175" customFormat="1" ht="13.5" hidden="1" customHeight="1">
      <c r="A502" s="2040" t="s">
        <v>383</v>
      </c>
      <c r="B502" s="2009" t="s">
        <v>384</v>
      </c>
      <c r="C502" s="2003"/>
      <c r="D502" s="2003"/>
      <c r="E502" s="2003"/>
      <c r="F502" s="2003"/>
      <c r="G502" s="2882" t="s">
        <v>390</v>
      </c>
      <c r="H502" s="2883"/>
      <c r="I502" s="1723">
        <f>K2811</f>
        <v>783.04</v>
      </c>
      <c r="J502" s="1721"/>
      <c r="K502" s="1721">
        <f>I502+J502</f>
        <v>783.04</v>
      </c>
      <c r="L502" s="2884">
        <f>ROUND(K502,1)</f>
        <v>783</v>
      </c>
      <c r="M502" s="2885"/>
      <c r="N502" s="2037"/>
      <c r="O502" s="2037"/>
      <c r="P502" s="2037"/>
      <c r="T502" s="1759"/>
    </row>
    <row r="503" spans="1:20" s="175" customFormat="1" ht="13.5" hidden="1" customHeight="1">
      <c r="A503" s="2040" t="s">
        <v>386</v>
      </c>
      <c r="B503" s="2009" t="s">
        <v>387</v>
      </c>
      <c r="C503" s="2003"/>
      <c r="D503" s="2003"/>
      <c r="E503" s="2003"/>
      <c r="F503" s="2003"/>
      <c r="G503" s="2882" t="s">
        <v>390</v>
      </c>
      <c r="H503" s="2883"/>
      <c r="I503" s="1723">
        <f>K2819</f>
        <v>875.68</v>
      </c>
      <c r="J503" s="1721"/>
      <c r="K503" s="1721">
        <f>I503+J503</f>
        <v>875.68</v>
      </c>
      <c r="L503" s="2884">
        <f>ROUND(K503,1)</f>
        <v>875.7</v>
      </c>
      <c r="M503" s="2885"/>
      <c r="N503" s="2037"/>
      <c r="O503" s="2037"/>
      <c r="P503" s="2037"/>
      <c r="T503" s="1759"/>
    </row>
    <row r="504" spans="1:20" s="175" customFormat="1" ht="13.5" hidden="1" customHeight="1">
      <c r="A504" s="2049" t="s">
        <v>432</v>
      </c>
      <c r="B504" s="2043" t="s">
        <v>3613</v>
      </c>
      <c r="C504" s="2003"/>
      <c r="D504" s="2003"/>
      <c r="E504" s="2003"/>
      <c r="F504" s="2003"/>
      <c r="G504" s="2882" t="s">
        <v>390</v>
      </c>
      <c r="H504" s="2883"/>
      <c r="I504" s="1723">
        <f>K2829</f>
        <v>996.70999999999992</v>
      </c>
      <c r="J504" s="1721"/>
      <c r="K504" s="1721">
        <f>I504+J504</f>
        <v>996.70999999999992</v>
      </c>
      <c r="L504" s="2884">
        <f>ROUND(K504,1)</f>
        <v>996.7</v>
      </c>
      <c r="M504" s="2885"/>
      <c r="N504" s="2037"/>
      <c r="O504" s="2037"/>
      <c r="P504" s="2037"/>
      <c r="T504" s="1759"/>
    </row>
    <row r="505" spans="1:20" s="175" customFormat="1" ht="13.5" hidden="1" customHeight="1">
      <c r="A505" s="2008" t="s">
        <v>443</v>
      </c>
      <c r="B505" s="2009" t="s">
        <v>3632</v>
      </c>
      <c r="C505" s="2003"/>
      <c r="D505" s="2003"/>
      <c r="E505" s="2003"/>
      <c r="F505" s="2003"/>
      <c r="G505" s="2882" t="str">
        <f>G504</f>
        <v>Each Sqm</v>
      </c>
      <c r="H505" s="2883"/>
      <c r="I505" s="1723">
        <f>K2837</f>
        <v>1131.44</v>
      </c>
      <c r="J505" s="1721"/>
      <c r="K505" s="1721">
        <f>I505+J505</f>
        <v>1131.44</v>
      </c>
      <c r="L505" s="2884">
        <f>ROUND(K505,1)</f>
        <v>1131.4000000000001</v>
      </c>
      <c r="M505" s="2885"/>
      <c r="N505" s="1767"/>
      <c r="O505" s="1725"/>
      <c r="P505" s="1767"/>
      <c r="Q505" s="1725"/>
      <c r="R505" s="1725"/>
      <c r="S505" s="1725"/>
    </row>
    <row r="506" spans="1:20" s="175" customFormat="1" ht="13.5" customHeight="1">
      <c r="A506" s="1711" t="s">
        <v>463</v>
      </c>
      <c r="B506" s="1828" t="str">
        <f>B2838</f>
        <v>RCC lintels</v>
      </c>
      <c r="C506" s="2003"/>
      <c r="D506" s="2003"/>
      <c r="E506" s="2003"/>
      <c r="F506" s="2003"/>
      <c r="G506" s="2882"/>
      <c r="H506" s="2883"/>
      <c r="I506" s="1723"/>
      <c r="J506" s="1721"/>
      <c r="K506" s="1721"/>
      <c r="L506" s="2884"/>
      <c r="M506" s="2885"/>
      <c r="N506" s="2037"/>
      <c r="O506" s="1735" t="s">
        <v>457</v>
      </c>
      <c r="P506" s="2037"/>
      <c r="T506" s="1759"/>
    </row>
    <row r="507" spans="1:20" s="175" customFormat="1" ht="13.5" customHeight="1">
      <c r="A507" s="2040" t="s">
        <v>383</v>
      </c>
      <c r="B507" s="2009" t="s">
        <v>384</v>
      </c>
      <c r="C507" s="2003"/>
      <c r="D507" s="2003"/>
      <c r="E507" s="2003"/>
      <c r="F507" s="2003"/>
      <c r="G507" s="2882" t="s">
        <v>390</v>
      </c>
      <c r="H507" s="2883"/>
      <c r="I507" s="1723">
        <f>K2854</f>
        <v>522.98</v>
      </c>
      <c r="J507" s="1721"/>
      <c r="K507" s="1721">
        <f>I507+J507</f>
        <v>522.98</v>
      </c>
      <c r="L507" s="2884">
        <f>ROUND(K507,1)</f>
        <v>523</v>
      </c>
      <c r="M507" s="2885"/>
      <c r="N507" s="2037"/>
      <c r="O507" s="2037"/>
      <c r="P507" s="2037"/>
      <c r="T507" s="1759"/>
    </row>
    <row r="508" spans="1:20" s="175" customFormat="1" ht="13.5" hidden="1" customHeight="1">
      <c r="A508" s="2040" t="s">
        <v>386</v>
      </c>
      <c r="B508" s="2009" t="s">
        <v>387</v>
      </c>
      <c r="C508" s="2003"/>
      <c r="D508" s="2003"/>
      <c r="E508" s="2003"/>
      <c r="F508" s="2003"/>
      <c r="G508" s="2882" t="s">
        <v>390</v>
      </c>
      <c r="H508" s="2883"/>
      <c r="I508" s="1723">
        <f>K2862</f>
        <v>553.20000000000005</v>
      </c>
      <c r="J508" s="1721"/>
      <c r="K508" s="1721">
        <f>I508+J508</f>
        <v>553.20000000000005</v>
      </c>
      <c r="L508" s="2884">
        <f>ROUND(K508,1)</f>
        <v>553.20000000000005</v>
      </c>
      <c r="M508" s="2885"/>
      <c r="N508" s="2037"/>
      <c r="O508" s="2037"/>
      <c r="P508" s="2037"/>
      <c r="T508" s="1759"/>
    </row>
    <row r="509" spans="1:20" s="175" customFormat="1" ht="13.5" hidden="1" customHeight="1">
      <c r="A509" s="2049" t="s">
        <v>432</v>
      </c>
      <c r="B509" s="2043" t="s">
        <v>3613</v>
      </c>
      <c r="C509" s="2003"/>
      <c r="D509" s="2003"/>
      <c r="E509" s="2003"/>
      <c r="F509" s="2003"/>
      <c r="G509" s="2882" t="s">
        <v>390</v>
      </c>
      <c r="H509" s="2883"/>
      <c r="I509" s="1723">
        <f>K2872</f>
        <v>595.37</v>
      </c>
      <c r="J509" s="1721"/>
      <c r="K509" s="1721">
        <f>I509+J509</f>
        <v>595.37</v>
      </c>
      <c r="L509" s="2884">
        <f>ROUND(K509,1)</f>
        <v>595.4</v>
      </c>
      <c r="M509" s="2885"/>
      <c r="N509" s="2037"/>
      <c r="O509" s="2037"/>
      <c r="P509" s="2037"/>
      <c r="T509" s="1759"/>
    </row>
    <row r="510" spans="1:20" s="175" customFormat="1" ht="13.5" hidden="1" customHeight="1">
      <c r="A510" s="2008" t="s">
        <v>443</v>
      </c>
      <c r="B510" s="2009" t="s">
        <v>3632</v>
      </c>
      <c r="C510" s="2003"/>
      <c r="D510" s="2003"/>
      <c r="E510" s="2003"/>
      <c r="F510" s="2003"/>
      <c r="G510" s="2882" t="str">
        <f>G509</f>
        <v>Each Sqm</v>
      </c>
      <c r="H510" s="2883"/>
      <c r="I510" s="1723">
        <f>K2880</f>
        <v>639.34000000000015</v>
      </c>
      <c r="J510" s="1721"/>
      <c r="K510" s="1721">
        <f>I510+J510</f>
        <v>639.34000000000015</v>
      </c>
      <c r="L510" s="2884">
        <f>ROUND(K510,1)</f>
        <v>639.29999999999995</v>
      </c>
      <c r="M510" s="2885"/>
      <c r="N510" s="1767"/>
      <c r="O510" s="1725"/>
      <c r="P510" s="1767"/>
      <c r="Q510" s="1725"/>
      <c r="R510" s="1725"/>
      <c r="S510" s="1725"/>
    </row>
    <row r="511" spans="1:20" s="175" customFormat="1" ht="13.5" hidden="1" customHeight="1">
      <c r="A511" s="1711" t="s">
        <v>464</v>
      </c>
      <c r="B511" s="1828" t="str">
        <f>B2881</f>
        <v>Centering and shuttering for slope roof upto 3.6m height</v>
      </c>
      <c r="C511" s="2003"/>
      <c r="D511" s="2003"/>
      <c r="E511" s="2003"/>
      <c r="F511" s="2003"/>
      <c r="G511" s="2882"/>
      <c r="H511" s="2883"/>
      <c r="I511" s="1723"/>
      <c r="J511" s="1721"/>
      <c r="K511" s="1721"/>
      <c r="L511" s="2884"/>
      <c r="M511" s="2885"/>
      <c r="N511" s="2037"/>
      <c r="O511" s="1735" t="s">
        <v>457</v>
      </c>
      <c r="P511" s="2037"/>
      <c r="T511" s="1759"/>
    </row>
    <row r="512" spans="1:20" s="175" customFormat="1" ht="13.5" hidden="1" customHeight="1">
      <c r="A512" s="2040" t="s">
        <v>383</v>
      </c>
      <c r="B512" s="2009" t="s">
        <v>384</v>
      </c>
      <c r="C512" s="2003"/>
      <c r="D512" s="2003"/>
      <c r="E512" s="2003"/>
      <c r="F512" s="2003"/>
      <c r="G512" s="2882" t="s">
        <v>390</v>
      </c>
      <c r="H512" s="2883"/>
      <c r="I512" s="1723">
        <f>K2897</f>
        <v>636.27</v>
      </c>
      <c r="J512" s="1721"/>
      <c r="K512" s="1721">
        <f>I512+J512</f>
        <v>636.27</v>
      </c>
      <c r="L512" s="2884">
        <f>ROUND(K512,1)</f>
        <v>636.29999999999995</v>
      </c>
      <c r="M512" s="2885"/>
      <c r="N512" s="2037"/>
      <c r="O512" s="2037"/>
      <c r="P512" s="2037"/>
      <c r="T512" s="1759"/>
    </row>
    <row r="513" spans="1:20" s="175" customFormat="1" ht="13.5" hidden="1" customHeight="1">
      <c r="A513" s="2040" t="s">
        <v>386</v>
      </c>
      <c r="B513" s="2009" t="s">
        <v>387</v>
      </c>
      <c r="C513" s="2003"/>
      <c r="D513" s="2003"/>
      <c r="E513" s="2003"/>
      <c r="F513" s="2003"/>
      <c r="G513" s="2882" t="s">
        <v>390</v>
      </c>
      <c r="H513" s="2883"/>
      <c r="I513" s="1723">
        <f>K2902</f>
        <v>763.56</v>
      </c>
      <c r="J513" s="1721"/>
      <c r="K513" s="1721">
        <f>I513+J513</f>
        <v>763.56</v>
      </c>
      <c r="L513" s="2884">
        <f>ROUND(K513,1)</f>
        <v>763.6</v>
      </c>
      <c r="M513" s="2885"/>
      <c r="N513" s="2037"/>
      <c r="O513" s="2037"/>
      <c r="P513" s="2037"/>
      <c r="T513" s="1759"/>
    </row>
    <row r="514" spans="1:20" s="175" customFormat="1" ht="13.5" hidden="1" customHeight="1">
      <c r="A514" s="2049" t="s">
        <v>432</v>
      </c>
      <c r="B514" s="2043" t="s">
        <v>3613</v>
      </c>
      <c r="C514" s="2003"/>
      <c r="D514" s="2003"/>
      <c r="E514" s="2003"/>
      <c r="F514" s="2003"/>
      <c r="G514" s="2882" t="s">
        <v>390</v>
      </c>
      <c r="H514" s="2883"/>
      <c r="I514" s="1723">
        <f>K2908</f>
        <v>916.3</v>
      </c>
      <c r="J514" s="1721"/>
      <c r="K514" s="1721">
        <f>I514+J514</f>
        <v>916.3</v>
      </c>
      <c r="L514" s="2884">
        <f>ROUND(K514,1)</f>
        <v>916.3</v>
      </c>
      <c r="M514" s="2885"/>
      <c r="N514" s="2037"/>
      <c r="O514" s="2037"/>
      <c r="P514" s="2037"/>
      <c r="T514" s="1759"/>
    </row>
    <row r="515" spans="1:20" s="175" customFormat="1" ht="13.5" hidden="1" customHeight="1">
      <c r="A515" s="2008" t="s">
        <v>443</v>
      </c>
      <c r="B515" s="2009" t="s">
        <v>3632</v>
      </c>
      <c r="C515" s="2003"/>
      <c r="D515" s="2003"/>
      <c r="E515" s="2003"/>
      <c r="F515" s="2003"/>
      <c r="G515" s="2882" t="str">
        <f>G514</f>
        <v>Each Sqm</v>
      </c>
      <c r="H515" s="2883"/>
      <c r="I515" s="1723">
        <f>K2913</f>
        <v>1099.5999999999999</v>
      </c>
      <c r="J515" s="1721"/>
      <c r="K515" s="1721">
        <f>I515+J515</f>
        <v>1099.5999999999999</v>
      </c>
      <c r="L515" s="2884">
        <f>ROUND(K515,1)</f>
        <v>1099.5999999999999</v>
      </c>
      <c r="M515" s="2885"/>
      <c r="N515" s="1767"/>
      <c r="O515" s="1725"/>
      <c r="P515" s="1767"/>
      <c r="Q515" s="1725"/>
      <c r="R515" s="1725"/>
      <c r="S515" s="1725"/>
    </row>
    <row r="516" spans="1:20" s="175" customFormat="1" ht="13.5" hidden="1" customHeight="1">
      <c r="A516" s="1711" t="s">
        <v>465</v>
      </c>
      <c r="B516" s="1828" t="s">
        <v>466</v>
      </c>
      <c r="C516" s="2003"/>
      <c r="D516" s="2003"/>
      <c r="E516" s="2003"/>
      <c r="F516" s="2003"/>
      <c r="G516" s="2882"/>
      <c r="H516" s="2883"/>
      <c r="I516" s="1723"/>
      <c r="J516" s="1721"/>
      <c r="K516" s="1721"/>
      <c r="L516" s="2884"/>
      <c r="M516" s="2885"/>
      <c r="N516" s="2037"/>
      <c r="O516" s="2037"/>
      <c r="P516" s="2037"/>
      <c r="T516" s="1759"/>
    </row>
    <row r="517" spans="1:20" s="175" customFormat="1" ht="13.5" hidden="1" customHeight="1">
      <c r="A517" s="1967" t="s">
        <v>383</v>
      </c>
      <c r="B517" s="1828" t="s">
        <v>467</v>
      </c>
      <c r="C517" s="2003"/>
      <c r="D517" s="2003"/>
      <c r="E517" s="2003"/>
      <c r="F517" s="2003"/>
      <c r="G517" s="2882" t="s">
        <v>390</v>
      </c>
      <c r="H517" s="2883"/>
      <c r="I517" s="1723">
        <f>K2919</f>
        <v>800.9</v>
      </c>
      <c r="J517" s="1721"/>
      <c r="K517" s="1721">
        <f>I517+J517</f>
        <v>800.9</v>
      </c>
      <c r="L517" s="2884">
        <f>ROUND(K517,1)</f>
        <v>800.9</v>
      </c>
      <c r="M517" s="2885"/>
      <c r="N517" s="2037"/>
      <c r="O517" s="2037"/>
      <c r="P517" s="2037"/>
      <c r="T517" s="1759"/>
    </row>
    <row r="518" spans="1:20" s="175" customFormat="1" ht="13.5" customHeight="1">
      <c r="A518" s="2050">
        <f>A480+1</f>
        <v>52</v>
      </c>
      <c r="B518" s="2051" t="s">
        <v>3626</v>
      </c>
      <c r="C518" s="2052"/>
      <c r="D518" s="2052"/>
      <c r="E518" s="2052"/>
      <c r="F518" s="2052"/>
      <c r="G518" s="2004"/>
      <c r="H518" s="2005"/>
      <c r="I518" s="1723"/>
      <c r="J518" s="1721"/>
      <c r="K518" s="1721"/>
      <c r="L518" s="2006"/>
      <c r="M518" s="2007"/>
      <c r="N518" s="2037"/>
      <c r="O518" s="2037"/>
      <c r="P518" s="2037"/>
      <c r="T518" s="1759"/>
    </row>
    <row r="519" spans="1:20" s="175" customFormat="1" ht="13.5" customHeight="1">
      <c r="A519" s="1711" t="s">
        <v>468</v>
      </c>
      <c r="B519" s="2001" t="s">
        <v>3644</v>
      </c>
      <c r="C519" s="2003"/>
      <c r="D519" s="2003"/>
      <c r="E519" s="2003"/>
      <c r="F519" s="2003"/>
      <c r="G519" s="2004"/>
      <c r="H519" s="2005"/>
      <c r="I519" s="1723"/>
      <c r="J519" s="1721"/>
      <c r="K519" s="1721"/>
      <c r="L519" s="2006"/>
      <c r="M519" s="2007"/>
      <c r="N519" s="2037"/>
      <c r="O519" s="2037"/>
      <c r="P519" s="2037"/>
      <c r="T519" s="1759"/>
    </row>
    <row r="520" spans="1:20" s="175" customFormat="1" ht="13.5" customHeight="1">
      <c r="A520" s="2038" t="s">
        <v>413</v>
      </c>
      <c r="B520" s="2053" t="s">
        <v>1943</v>
      </c>
      <c r="C520" s="2003"/>
      <c r="D520" s="2003"/>
      <c r="E520" s="2003"/>
      <c r="F520" s="2003"/>
      <c r="G520" s="2882" t="s">
        <v>381</v>
      </c>
      <c r="H520" s="2883"/>
      <c r="I520" s="1723">
        <f>K2924</f>
        <v>8580.2000000000007</v>
      </c>
      <c r="J520" s="1721"/>
      <c r="K520" s="1721">
        <f>I520+J520</f>
        <v>8580.2000000000007</v>
      </c>
      <c r="L520" s="2884">
        <f t="shared" ref="L520:L605" si="77">ROUND(K520,1)</f>
        <v>8580.2000000000007</v>
      </c>
      <c r="M520" s="2885"/>
      <c r="N520" s="2037"/>
      <c r="O520" s="2037"/>
      <c r="P520" s="2037"/>
      <c r="T520" s="1759"/>
    </row>
    <row r="521" spans="1:20" s="175" customFormat="1" ht="13.5" customHeight="1">
      <c r="A521" s="2038" t="s">
        <v>415</v>
      </c>
      <c r="B521" s="2054" t="s">
        <v>3588</v>
      </c>
      <c r="C521" s="2003"/>
      <c r="D521" s="2003"/>
      <c r="E521" s="2003"/>
      <c r="F521" s="2003"/>
      <c r="G521" s="2882" t="s">
        <v>381</v>
      </c>
      <c r="H521" s="2883"/>
      <c r="I521" s="1723">
        <f>K2928</f>
        <v>6788.48</v>
      </c>
      <c r="J521" s="1721"/>
      <c r="K521" s="1721">
        <f>I521+J521</f>
        <v>6788.48</v>
      </c>
      <c r="L521" s="2884">
        <f t="shared" ref="L521" si="78">ROUND(K521,1)</f>
        <v>6788.5</v>
      </c>
      <c r="M521" s="2885"/>
      <c r="N521" s="2037"/>
      <c r="O521" s="2037"/>
      <c r="P521" s="2037"/>
      <c r="T521" s="1759"/>
    </row>
    <row r="522" spans="1:20" s="175" customFormat="1" ht="13.5" customHeight="1">
      <c r="A522" s="1711" t="s">
        <v>470</v>
      </c>
      <c r="B522" s="2001" t="s">
        <v>3643</v>
      </c>
      <c r="C522" s="2003"/>
      <c r="D522" s="2003"/>
      <c r="E522" s="2003"/>
      <c r="F522" s="2003"/>
      <c r="G522" s="2004"/>
      <c r="H522" s="2005"/>
      <c r="I522" s="1723"/>
      <c r="J522" s="1721"/>
      <c r="K522" s="1721"/>
      <c r="L522" s="2006"/>
      <c r="M522" s="2007"/>
      <c r="N522" s="2037"/>
      <c r="O522" s="2037"/>
      <c r="P522" s="2037"/>
      <c r="T522" s="1759"/>
    </row>
    <row r="523" spans="1:20" s="175" customFormat="1" ht="13.5" customHeight="1">
      <c r="A523" s="2038" t="s">
        <v>413</v>
      </c>
      <c r="B523" s="2053" t="s">
        <v>1943</v>
      </c>
      <c r="C523" s="2003"/>
      <c r="D523" s="2003"/>
      <c r="E523" s="2003"/>
      <c r="F523" s="2003"/>
      <c r="G523" s="2882" t="s">
        <v>381</v>
      </c>
      <c r="H523" s="2883"/>
      <c r="I523" s="1723">
        <f>K2933</f>
        <v>9400.81</v>
      </c>
      <c r="J523" s="1721"/>
      <c r="K523" s="1721">
        <f>I523+J523</f>
        <v>9400.81</v>
      </c>
      <c r="L523" s="2884">
        <f t="shared" si="77"/>
        <v>9400.7999999999993</v>
      </c>
      <c r="M523" s="2885"/>
      <c r="N523" s="2037"/>
      <c r="O523" s="2037"/>
      <c r="P523" s="2037"/>
      <c r="T523" s="1759"/>
    </row>
    <row r="524" spans="1:20" s="175" customFormat="1" ht="13.5" customHeight="1">
      <c r="A524" s="2038" t="s">
        <v>415</v>
      </c>
      <c r="B524" s="2054" t="s">
        <v>3588</v>
      </c>
      <c r="C524" s="2003"/>
      <c r="D524" s="2003"/>
      <c r="E524" s="2003"/>
      <c r="F524" s="2003"/>
      <c r="G524" s="2882" t="s">
        <v>381</v>
      </c>
      <c r="H524" s="2883"/>
      <c r="I524" s="1723">
        <f>K2937</f>
        <v>7609.09</v>
      </c>
      <c r="J524" s="1721"/>
      <c r="K524" s="1721">
        <f>I524+J524</f>
        <v>7609.09</v>
      </c>
      <c r="L524" s="2884">
        <f t="shared" ref="L524" si="79">ROUND(K524,1)</f>
        <v>7609.1</v>
      </c>
      <c r="M524" s="2885"/>
      <c r="N524" s="2037"/>
      <c r="O524" s="2037"/>
      <c r="P524" s="2037"/>
      <c r="T524" s="1759"/>
    </row>
    <row r="525" spans="1:20" s="175" customFormat="1" ht="13.5" customHeight="1">
      <c r="A525" s="1711" t="s">
        <v>472</v>
      </c>
      <c r="B525" s="2001" t="s">
        <v>3640</v>
      </c>
      <c r="C525" s="2003"/>
      <c r="D525" s="2003"/>
      <c r="E525" s="2003"/>
      <c r="F525" s="2003"/>
      <c r="G525" s="2882"/>
      <c r="H525" s="2883"/>
      <c r="I525" s="1723"/>
      <c r="J525" s="1721"/>
      <c r="K525" s="1721"/>
      <c r="L525" s="2884"/>
      <c r="M525" s="2885"/>
      <c r="N525" s="2037"/>
      <c r="O525" s="2037"/>
      <c r="P525" s="2037"/>
      <c r="T525" s="1759"/>
    </row>
    <row r="526" spans="1:20" s="175" customFormat="1" ht="13.5" customHeight="1">
      <c r="A526" s="2055" t="s">
        <v>383</v>
      </c>
      <c r="B526" s="2056" t="s">
        <v>384</v>
      </c>
      <c r="C526" s="2003"/>
      <c r="D526" s="2003"/>
      <c r="E526" s="2003"/>
      <c r="F526" s="2003"/>
      <c r="G526" s="2004"/>
      <c r="H526" s="2005"/>
      <c r="I526" s="1723"/>
      <c r="J526" s="1721"/>
      <c r="K526" s="1721"/>
      <c r="L526" s="2006"/>
      <c r="M526" s="2007"/>
      <c r="N526" s="2037"/>
      <c r="O526" s="2037"/>
      <c r="P526" s="2037"/>
      <c r="T526" s="1759"/>
    </row>
    <row r="527" spans="1:20" s="175" customFormat="1" ht="13.5" customHeight="1">
      <c r="A527" s="2038" t="s">
        <v>413</v>
      </c>
      <c r="B527" s="2053" t="s">
        <v>1943</v>
      </c>
      <c r="C527" s="2003"/>
      <c r="D527" s="2003"/>
      <c r="E527" s="2003"/>
      <c r="F527" s="2003"/>
      <c r="G527" s="2882" t="str">
        <f>G524</f>
        <v>Each Cum</v>
      </c>
      <c r="H527" s="2883"/>
      <c r="I527" s="1723">
        <f>K2943</f>
        <v>15623.45</v>
      </c>
      <c r="J527" s="1721"/>
      <c r="K527" s="1721">
        <f>I527+J527</f>
        <v>15623.45</v>
      </c>
      <c r="L527" s="2884">
        <f t="shared" si="77"/>
        <v>15623.5</v>
      </c>
      <c r="M527" s="2885"/>
      <c r="N527" s="2037"/>
      <c r="O527" s="2037"/>
      <c r="P527" s="2037"/>
      <c r="Q527" s="1725"/>
      <c r="R527" s="1725"/>
      <c r="S527" s="1725"/>
      <c r="T527" s="1725"/>
    </row>
    <row r="528" spans="1:20" s="175" customFormat="1" ht="13.5" customHeight="1">
      <c r="A528" s="2038" t="s">
        <v>415</v>
      </c>
      <c r="B528" s="2054" t="s">
        <v>3588</v>
      </c>
      <c r="C528" s="2003"/>
      <c r="D528" s="2003"/>
      <c r="E528" s="2003"/>
      <c r="F528" s="2003"/>
      <c r="G528" s="2882" t="str">
        <f>G527</f>
        <v>Each Cum</v>
      </c>
      <c r="H528" s="2883"/>
      <c r="I528" s="1723">
        <f>K2947</f>
        <v>13831.73</v>
      </c>
      <c r="J528" s="1721"/>
      <c r="K528" s="1721">
        <f>I528+J528</f>
        <v>13831.73</v>
      </c>
      <c r="L528" s="2884">
        <f t="shared" ref="L528" si="80">ROUND(K528,1)</f>
        <v>13831.7</v>
      </c>
      <c r="M528" s="2885"/>
      <c r="N528" s="2037"/>
      <c r="O528" s="2037"/>
      <c r="P528" s="2037"/>
      <c r="Q528" s="1725"/>
      <c r="R528" s="1725"/>
      <c r="S528" s="1725"/>
      <c r="T528" s="1725"/>
    </row>
    <row r="529" spans="1:20" s="175" customFormat="1" ht="13.5" hidden="1" customHeight="1">
      <c r="A529" s="2055" t="s">
        <v>386</v>
      </c>
      <c r="B529" s="2056" t="s">
        <v>387</v>
      </c>
      <c r="C529" s="2003"/>
      <c r="D529" s="2003"/>
      <c r="E529" s="2003"/>
      <c r="F529" s="2003"/>
      <c r="G529" s="2004"/>
      <c r="H529" s="2005"/>
      <c r="I529" s="1723"/>
      <c r="J529" s="1721"/>
      <c r="K529" s="1721"/>
      <c r="L529" s="2006"/>
      <c r="M529" s="2007"/>
      <c r="N529" s="2037"/>
      <c r="O529" s="2037"/>
      <c r="P529" s="2037"/>
      <c r="Q529" s="1725"/>
      <c r="R529" s="1725"/>
      <c r="S529" s="1725"/>
      <c r="T529" s="1725"/>
    </row>
    <row r="530" spans="1:20" s="175" customFormat="1" ht="13.5" hidden="1" customHeight="1">
      <c r="A530" s="2038" t="s">
        <v>413</v>
      </c>
      <c r="B530" s="2053" t="s">
        <v>1943</v>
      </c>
      <c r="C530" s="2003"/>
      <c r="D530" s="2003"/>
      <c r="E530" s="2003"/>
      <c r="F530" s="2003"/>
      <c r="G530" s="2882" t="str">
        <f>G527</f>
        <v>Each Cum</v>
      </c>
      <c r="H530" s="2883"/>
      <c r="I530" s="1723">
        <f>K2953</f>
        <v>17384.86</v>
      </c>
      <c r="J530" s="1721"/>
      <c r="K530" s="1721">
        <f>I530+J530</f>
        <v>17384.86</v>
      </c>
      <c r="L530" s="2884">
        <f t="shared" si="77"/>
        <v>17384.900000000001</v>
      </c>
      <c r="M530" s="2885"/>
      <c r="N530" s="2037"/>
      <c r="O530" s="2037"/>
      <c r="P530" s="2037"/>
      <c r="Q530" s="1725"/>
      <c r="R530" s="1725"/>
      <c r="S530" s="1725"/>
      <c r="T530" s="1725"/>
    </row>
    <row r="531" spans="1:20" s="175" customFormat="1" ht="13.5" hidden="1" customHeight="1">
      <c r="A531" s="2038" t="s">
        <v>415</v>
      </c>
      <c r="B531" s="2054" t="s">
        <v>3588</v>
      </c>
      <c r="C531" s="2003"/>
      <c r="D531" s="2003"/>
      <c r="E531" s="2003"/>
      <c r="F531" s="2003"/>
      <c r="G531" s="2882" t="str">
        <f>G528</f>
        <v>Each Cum</v>
      </c>
      <c r="H531" s="2883"/>
      <c r="I531" s="1723">
        <f>K2958</f>
        <v>15389.56</v>
      </c>
      <c r="J531" s="1721"/>
      <c r="K531" s="1721">
        <f>I531+J531</f>
        <v>15389.56</v>
      </c>
      <c r="L531" s="2884">
        <f t="shared" ref="L531" si="81">ROUND(K531,1)</f>
        <v>15389.6</v>
      </c>
      <c r="M531" s="2885"/>
      <c r="N531" s="2037"/>
      <c r="O531" s="2037"/>
      <c r="P531" s="2037"/>
      <c r="Q531" s="1725"/>
      <c r="R531" s="1725"/>
      <c r="S531" s="1725"/>
      <c r="T531" s="1725"/>
    </row>
    <row r="532" spans="1:20" s="175" customFormat="1" ht="13.5" hidden="1" customHeight="1">
      <c r="A532" s="2055" t="s">
        <v>432</v>
      </c>
      <c r="B532" s="2057" t="s">
        <v>3613</v>
      </c>
      <c r="C532" s="2003"/>
      <c r="D532" s="2003"/>
      <c r="E532" s="2003"/>
      <c r="F532" s="2003"/>
      <c r="G532" s="2004"/>
      <c r="H532" s="2005"/>
      <c r="I532" s="1723"/>
      <c r="J532" s="1721"/>
      <c r="K532" s="1721"/>
      <c r="L532" s="2006"/>
      <c r="M532" s="2007"/>
      <c r="N532" s="2037"/>
      <c r="O532" s="2037"/>
      <c r="P532" s="2037"/>
      <c r="Q532" s="1725"/>
      <c r="R532" s="1725"/>
      <c r="S532" s="1725"/>
      <c r="T532" s="1725"/>
    </row>
    <row r="533" spans="1:20" s="175" customFormat="1" ht="13.5" hidden="1" customHeight="1">
      <c r="A533" s="2038" t="s">
        <v>413</v>
      </c>
      <c r="B533" s="2053" t="s">
        <v>1943</v>
      </c>
      <c r="C533" s="2003"/>
      <c r="D533" s="2003"/>
      <c r="E533" s="2003"/>
      <c r="F533" s="2003"/>
      <c r="G533" s="2882" t="str">
        <f>G530</f>
        <v>Each Cum</v>
      </c>
      <c r="H533" s="2883"/>
      <c r="I533" s="1723">
        <f>K2964</f>
        <v>19484.43</v>
      </c>
      <c r="J533" s="1721"/>
      <c r="K533" s="1721">
        <f>I533+J533</f>
        <v>19484.43</v>
      </c>
      <c r="L533" s="2884">
        <f t="shared" ref="L533:L534" si="82">ROUND(K533,1)</f>
        <v>19484.400000000001</v>
      </c>
      <c r="M533" s="2885"/>
      <c r="N533" s="2037"/>
      <c r="O533" s="2037"/>
      <c r="P533" s="2037"/>
      <c r="Q533" s="1725"/>
      <c r="R533" s="1725"/>
      <c r="S533" s="1725"/>
      <c r="T533" s="1725"/>
    </row>
    <row r="534" spans="1:20" s="175" customFormat="1" ht="13.5" hidden="1" customHeight="1">
      <c r="A534" s="2038" t="s">
        <v>415</v>
      </c>
      <c r="B534" s="2054" t="s">
        <v>3588</v>
      </c>
      <c r="C534" s="2003"/>
      <c r="D534" s="2003"/>
      <c r="E534" s="2003"/>
      <c r="F534" s="2003"/>
      <c r="G534" s="2882" t="str">
        <f>G531</f>
        <v>Each Cum</v>
      </c>
      <c r="H534" s="2883"/>
      <c r="I534" s="1723">
        <f>K2969</f>
        <v>17255.019999999997</v>
      </c>
      <c r="J534" s="1721"/>
      <c r="K534" s="1721">
        <f>I534+J534</f>
        <v>17255.019999999997</v>
      </c>
      <c r="L534" s="2884">
        <f t="shared" si="82"/>
        <v>17255</v>
      </c>
      <c r="M534" s="2885"/>
      <c r="N534" s="2037"/>
      <c r="O534" s="2037"/>
      <c r="P534" s="2037"/>
      <c r="Q534" s="1725"/>
      <c r="R534" s="1725"/>
      <c r="S534" s="1725"/>
      <c r="T534" s="1725"/>
    </row>
    <row r="535" spans="1:20" s="175" customFormat="1" ht="13.5" hidden="1" customHeight="1">
      <c r="A535" s="2055" t="s">
        <v>443</v>
      </c>
      <c r="B535" s="2057" t="s">
        <v>3632</v>
      </c>
      <c r="C535" s="2003"/>
      <c r="D535" s="2003"/>
      <c r="E535" s="2003"/>
      <c r="F535" s="2003"/>
      <c r="G535" s="2004"/>
      <c r="H535" s="2005"/>
      <c r="I535" s="1723"/>
      <c r="J535" s="1721"/>
      <c r="K535" s="1721"/>
      <c r="L535" s="2006"/>
      <c r="M535" s="2007"/>
      <c r="N535" s="2037"/>
      <c r="O535" s="2037"/>
      <c r="P535" s="2037"/>
      <c r="Q535" s="1725"/>
      <c r="R535" s="1725"/>
      <c r="S535" s="1725"/>
      <c r="T535" s="1725"/>
    </row>
    <row r="536" spans="1:20" s="175" customFormat="1" ht="13.5" hidden="1" customHeight="1">
      <c r="A536" s="2038" t="s">
        <v>413</v>
      </c>
      <c r="B536" s="2053" t="s">
        <v>1943</v>
      </c>
      <c r="C536" s="2003"/>
      <c r="D536" s="2003"/>
      <c r="E536" s="2003"/>
      <c r="F536" s="2003"/>
      <c r="G536" s="2882" t="str">
        <f>G533</f>
        <v>Each Cum</v>
      </c>
      <c r="H536" s="2883"/>
      <c r="I536" s="1723">
        <f>K2975</f>
        <v>21987.68</v>
      </c>
      <c r="J536" s="1721"/>
      <c r="K536" s="1721">
        <f>I536+J536</f>
        <v>21987.68</v>
      </c>
      <c r="L536" s="2884">
        <f t="shared" ref="L536:L537" si="83">ROUND(K536,1)</f>
        <v>21987.7</v>
      </c>
      <c r="M536" s="2885"/>
      <c r="N536" s="2037"/>
      <c r="O536" s="2037"/>
      <c r="P536" s="2037"/>
      <c r="Q536" s="1725"/>
      <c r="R536" s="1725"/>
      <c r="S536" s="1725"/>
      <c r="T536" s="1725"/>
    </row>
    <row r="537" spans="1:20" s="175" customFormat="1" ht="13.5" hidden="1" customHeight="1">
      <c r="A537" s="2038" t="s">
        <v>415</v>
      </c>
      <c r="B537" s="2054" t="s">
        <v>3588</v>
      </c>
      <c r="C537" s="2003"/>
      <c r="D537" s="2003"/>
      <c r="E537" s="2003"/>
      <c r="F537" s="2003"/>
      <c r="G537" s="2882" t="str">
        <f>G534</f>
        <v>Each Cum</v>
      </c>
      <c r="H537" s="2883"/>
      <c r="I537" s="1723">
        <f>K2980</f>
        <v>19489.039999999997</v>
      </c>
      <c r="J537" s="1721"/>
      <c r="K537" s="1721">
        <f>I537+J537</f>
        <v>19489.039999999997</v>
      </c>
      <c r="L537" s="2884">
        <f t="shared" si="83"/>
        <v>19489</v>
      </c>
      <c r="M537" s="2885"/>
      <c r="N537" s="2037"/>
      <c r="O537" s="2037"/>
      <c r="P537" s="2037"/>
      <c r="Q537" s="1725"/>
      <c r="R537" s="1725"/>
      <c r="S537" s="1725"/>
      <c r="T537" s="1725"/>
    </row>
    <row r="538" spans="1:20" s="175" customFormat="1" ht="13.5" customHeight="1">
      <c r="A538" s="1711" t="s">
        <v>474</v>
      </c>
      <c r="B538" s="2001" t="s">
        <v>3641</v>
      </c>
      <c r="C538" s="2003"/>
      <c r="D538" s="2003"/>
      <c r="E538" s="2003"/>
      <c r="F538" s="2003"/>
      <c r="G538" s="2882" t="s">
        <v>381</v>
      </c>
      <c r="H538" s="2883"/>
      <c r="I538" s="1723"/>
      <c r="J538" s="1721"/>
      <c r="K538" s="1721"/>
      <c r="L538" s="2884"/>
      <c r="M538" s="2885"/>
      <c r="N538" s="2037"/>
      <c r="O538" s="2037"/>
      <c r="P538" s="2037"/>
      <c r="T538" s="1759"/>
    </row>
    <row r="539" spans="1:20" s="175" customFormat="1" ht="13.5" customHeight="1">
      <c r="A539" s="2055" t="s">
        <v>383</v>
      </c>
      <c r="B539" s="2056" t="s">
        <v>384</v>
      </c>
      <c r="C539" s="2003"/>
      <c r="D539" s="2003"/>
      <c r="E539" s="2003"/>
      <c r="F539" s="2003"/>
      <c r="G539" s="2004"/>
      <c r="H539" s="2005"/>
      <c r="I539" s="1723"/>
      <c r="J539" s="1721"/>
      <c r="K539" s="1721"/>
      <c r="L539" s="2006"/>
      <c r="M539" s="2007"/>
      <c r="N539" s="2037"/>
      <c r="O539" s="2037"/>
      <c r="P539" s="2037"/>
      <c r="T539" s="1759"/>
    </row>
    <row r="540" spans="1:20" s="175" customFormat="1" ht="13.5" customHeight="1">
      <c r="A540" s="2038" t="s">
        <v>413</v>
      </c>
      <c r="B540" s="2053" t="s">
        <v>1943</v>
      </c>
      <c r="C540" s="2003"/>
      <c r="D540" s="2003"/>
      <c r="E540" s="2003"/>
      <c r="F540" s="2003"/>
      <c r="G540" s="2882" t="str">
        <f>G538</f>
        <v>Each Cum</v>
      </c>
      <c r="H540" s="2883"/>
      <c r="I540" s="1723">
        <f>K2986</f>
        <v>16333.470000000001</v>
      </c>
      <c r="J540" s="1721"/>
      <c r="K540" s="1721">
        <f>I540+J540</f>
        <v>16333.470000000001</v>
      </c>
      <c r="L540" s="2884">
        <f t="shared" si="77"/>
        <v>16333.5</v>
      </c>
      <c r="M540" s="2885"/>
      <c r="N540" s="2037"/>
      <c r="O540" s="2037"/>
      <c r="P540" s="2037"/>
      <c r="Q540" s="1725"/>
      <c r="R540" s="1725"/>
      <c r="S540" s="1725"/>
      <c r="T540" s="1725"/>
    </row>
    <row r="541" spans="1:20" s="175" customFormat="1" ht="13.5" customHeight="1">
      <c r="A541" s="2038" t="s">
        <v>415</v>
      </c>
      <c r="B541" s="2054" t="s">
        <v>3588</v>
      </c>
      <c r="C541" s="2003"/>
      <c r="D541" s="2003"/>
      <c r="E541" s="2003"/>
      <c r="F541" s="2003"/>
      <c r="G541" s="2882" t="str">
        <f>G540</f>
        <v>Each Cum</v>
      </c>
      <c r="H541" s="2883"/>
      <c r="I541" s="1723">
        <f>K2990</f>
        <v>14541.75</v>
      </c>
      <c r="J541" s="1721"/>
      <c r="K541" s="1721">
        <f>I541+J541</f>
        <v>14541.75</v>
      </c>
      <c r="L541" s="2884">
        <f t="shared" ref="L541" si="84">ROUND(K541,1)</f>
        <v>14541.8</v>
      </c>
      <c r="M541" s="2885"/>
      <c r="N541" s="2037"/>
      <c r="O541" s="2037"/>
      <c r="P541" s="2037"/>
      <c r="Q541" s="1725"/>
      <c r="R541" s="1725"/>
      <c r="S541" s="1725"/>
      <c r="T541" s="1725"/>
    </row>
    <row r="542" spans="1:20" s="175" customFormat="1" ht="13.5" hidden="1" customHeight="1">
      <c r="A542" s="2055" t="s">
        <v>386</v>
      </c>
      <c r="B542" s="2056" t="s">
        <v>387</v>
      </c>
      <c r="C542" s="2003"/>
      <c r="D542" s="2003"/>
      <c r="E542" s="2003"/>
      <c r="F542" s="2003"/>
      <c r="G542" s="2004"/>
      <c r="H542" s="2005"/>
      <c r="I542" s="1723"/>
      <c r="J542" s="1721"/>
      <c r="K542" s="1721"/>
      <c r="L542" s="2006"/>
      <c r="M542" s="2007"/>
      <c r="N542" s="2037"/>
      <c r="O542" s="2037"/>
      <c r="P542" s="2037"/>
      <c r="Q542" s="1725"/>
      <c r="R542" s="1725"/>
      <c r="S542" s="1725"/>
      <c r="T542" s="1725"/>
    </row>
    <row r="543" spans="1:20" s="175" customFormat="1" ht="13.5" hidden="1" customHeight="1">
      <c r="A543" s="2038" t="s">
        <v>413</v>
      </c>
      <c r="B543" s="2053" t="s">
        <v>1943</v>
      </c>
      <c r="C543" s="2003"/>
      <c r="D543" s="2003"/>
      <c r="E543" s="2003"/>
      <c r="F543" s="2003"/>
      <c r="G543" s="2882" t="str">
        <f>G541</f>
        <v>Each Cum</v>
      </c>
      <c r="H543" s="2883"/>
      <c r="I543" s="1723">
        <f>K2996</f>
        <v>18236.88</v>
      </c>
      <c r="J543" s="1721"/>
      <c r="K543" s="1721">
        <f>I543+J543</f>
        <v>18236.88</v>
      </c>
      <c r="L543" s="2884">
        <f t="shared" ref="L543:L544" si="85">ROUND(K543,1)</f>
        <v>18236.900000000001</v>
      </c>
      <c r="M543" s="2885"/>
      <c r="N543" s="2037"/>
      <c r="O543" s="2037"/>
      <c r="P543" s="2037"/>
      <c r="Q543" s="1725"/>
      <c r="R543" s="1725"/>
      <c r="S543" s="1725"/>
      <c r="T543" s="1725"/>
    </row>
    <row r="544" spans="1:20" s="175" customFormat="1" ht="13.5" hidden="1" customHeight="1">
      <c r="A544" s="2038" t="s">
        <v>415</v>
      </c>
      <c r="B544" s="2054" t="s">
        <v>3588</v>
      </c>
      <c r="C544" s="2003"/>
      <c r="D544" s="2003"/>
      <c r="E544" s="2003"/>
      <c r="F544" s="2003"/>
      <c r="G544" s="2882" t="str">
        <f>G543</f>
        <v>Each Cum</v>
      </c>
      <c r="H544" s="2883"/>
      <c r="I544" s="1723">
        <f>K3001</f>
        <v>16241.58</v>
      </c>
      <c r="J544" s="1721"/>
      <c r="K544" s="1721">
        <f>I544+J544</f>
        <v>16241.58</v>
      </c>
      <c r="L544" s="2884">
        <f t="shared" si="85"/>
        <v>16241.6</v>
      </c>
      <c r="M544" s="2885"/>
      <c r="N544" s="2037"/>
      <c r="O544" s="2037"/>
      <c r="P544" s="2037"/>
      <c r="Q544" s="1725"/>
      <c r="R544" s="1725"/>
      <c r="S544" s="1725"/>
      <c r="T544" s="1725"/>
    </row>
    <row r="545" spans="1:20" s="175" customFormat="1" ht="13.5" hidden="1" customHeight="1">
      <c r="A545" s="2055" t="s">
        <v>432</v>
      </c>
      <c r="B545" s="2057" t="s">
        <v>3613</v>
      </c>
      <c r="C545" s="2003"/>
      <c r="D545" s="2003"/>
      <c r="E545" s="2003"/>
      <c r="F545" s="2003"/>
      <c r="G545" s="2004"/>
      <c r="H545" s="2005"/>
      <c r="I545" s="1723"/>
      <c r="J545" s="1721"/>
      <c r="K545" s="1721"/>
      <c r="L545" s="2006"/>
      <c r="M545" s="2007"/>
      <c r="N545" s="2037"/>
      <c r="O545" s="2037"/>
      <c r="P545" s="2037"/>
      <c r="Q545" s="1725"/>
      <c r="R545" s="1725"/>
      <c r="S545" s="1725"/>
      <c r="T545" s="1725"/>
    </row>
    <row r="546" spans="1:20" s="175" customFormat="1" ht="13.5" hidden="1" customHeight="1">
      <c r="A546" s="2038" t="s">
        <v>413</v>
      </c>
      <c r="B546" s="2053" t="s">
        <v>1943</v>
      </c>
      <c r="C546" s="2003"/>
      <c r="D546" s="2003"/>
      <c r="E546" s="2003"/>
      <c r="F546" s="2003"/>
      <c r="G546" s="2882" t="str">
        <f>G544</f>
        <v>Each Cum</v>
      </c>
      <c r="H546" s="2883"/>
      <c r="I546" s="1723">
        <f>K3007</f>
        <v>20506.849999999999</v>
      </c>
      <c r="J546" s="1721"/>
      <c r="K546" s="1721">
        <f>I546+J546</f>
        <v>20506.849999999999</v>
      </c>
      <c r="L546" s="2884">
        <f t="shared" ref="L546:L547" si="86">ROUND(K546,1)</f>
        <v>20506.900000000001</v>
      </c>
      <c r="M546" s="2885"/>
      <c r="N546" s="2037"/>
      <c r="O546" s="2037"/>
      <c r="P546" s="2037"/>
      <c r="Q546" s="1725"/>
      <c r="R546" s="1725"/>
      <c r="S546" s="1725"/>
      <c r="T546" s="1725"/>
    </row>
    <row r="547" spans="1:20" s="175" customFormat="1" ht="13.5" hidden="1" customHeight="1">
      <c r="A547" s="2038" t="s">
        <v>415</v>
      </c>
      <c r="B547" s="2054" t="s">
        <v>3588</v>
      </c>
      <c r="C547" s="2003"/>
      <c r="D547" s="2003"/>
      <c r="E547" s="2003"/>
      <c r="F547" s="2003"/>
      <c r="G547" s="2882" t="str">
        <f>G546</f>
        <v>Each Cum</v>
      </c>
      <c r="H547" s="2883"/>
      <c r="I547" s="1723">
        <f>K3012</f>
        <v>18277.439999999999</v>
      </c>
      <c r="J547" s="1721"/>
      <c r="K547" s="1721">
        <f>I547+J547</f>
        <v>18277.439999999999</v>
      </c>
      <c r="L547" s="2884">
        <f t="shared" si="86"/>
        <v>18277.400000000001</v>
      </c>
      <c r="M547" s="2885"/>
      <c r="N547" s="2037"/>
      <c r="O547" s="2037"/>
      <c r="P547" s="2037"/>
      <c r="Q547" s="1725"/>
      <c r="R547" s="1725"/>
      <c r="S547" s="1725"/>
      <c r="T547" s="1725"/>
    </row>
    <row r="548" spans="1:20" s="175" customFormat="1" ht="13.5" hidden="1" customHeight="1">
      <c r="A548" s="2055" t="s">
        <v>443</v>
      </c>
      <c r="B548" s="2057" t="s">
        <v>3632</v>
      </c>
      <c r="C548" s="2003"/>
      <c r="D548" s="2003"/>
      <c r="E548" s="2003"/>
      <c r="F548" s="2003"/>
      <c r="G548" s="2004"/>
      <c r="H548" s="2005"/>
      <c r="I548" s="1723"/>
      <c r="J548" s="1721"/>
      <c r="K548" s="1721"/>
      <c r="L548" s="2006"/>
      <c r="M548" s="2007"/>
      <c r="N548" s="2037"/>
      <c r="O548" s="2037"/>
      <c r="P548" s="2037"/>
      <c r="Q548" s="1725"/>
      <c r="R548" s="1725"/>
      <c r="S548" s="1725"/>
      <c r="T548" s="1725"/>
    </row>
    <row r="549" spans="1:20" s="175" customFormat="1" ht="13.5" hidden="1" customHeight="1">
      <c r="A549" s="2038" t="s">
        <v>413</v>
      </c>
      <c r="B549" s="2053" t="s">
        <v>1943</v>
      </c>
      <c r="C549" s="2003"/>
      <c r="D549" s="2003"/>
      <c r="E549" s="2003"/>
      <c r="F549" s="2003"/>
      <c r="G549" s="2882" t="str">
        <f>G546</f>
        <v>Each Cum</v>
      </c>
      <c r="H549" s="2883"/>
      <c r="I549" s="1723">
        <f>K3018</f>
        <v>23214.579999999998</v>
      </c>
      <c r="J549" s="1721"/>
      <c r="K549" s="1721">
        <f>I549+J549</f>
        <v>23214.579999999998</v>
      </c>
      <c r="L549" s="2884">
        <f t="shared" ref="L549:L550" si="87">ROUND(K549,1)</f>
        <v>23214.6</v>
      </c>
      <c r="M549" s="2885"/>
      <c r="N549" s="2037"/>
      <c r="O549" s="2037"/>
      <c r="P549" s="2037"/>
      <c r="Q549" s="1725"/>
      <c r="R549" s="1725"/>
      <c r="S549" s="1725"/>
      <c r="T549" s="1725"/>
    </row>
    <row r="550" spans="1:20" s="175" customFormat="1" ht="13.5" hidden="1" customHeight="1">
      <c r="A550" s="2038" t="s">
        <v>415</v>
      </c>
      <c r="B550" s="2054" t="s">
        <v>3588</v>
      </c>
      <c r="C550" s="2003"/>
      <c r="D550" s="2003"/>
      <c r="E550" s="2003"/>
      <c r="F550" s="2003"/>
      <c r="G550" s="2882" t="str">
        <f>G547</f>
        <v>Each Cum</v>
      </c>
      <c r="H550" s="2883"/>
      <c r="I550" s="1723">
        <f>K3023</f>
        <v>20715.939999999999</v>
      </c>
      <c r="J550" s="1721"/>
      <c r="K550" s="1721">
        <f>I550+J550</f>
        <v>20715.939999999999</v>
      </c>
      <c r="L550" s="2884">
        <f t="shared" si="87"/>
        <v>20715.900000000001</v>
      </c>
      <c r="M550" s="2885"/>
      <c r="N550" s="2037"/>
      <c r="O550" s="2037"/>
      <c r="P550" s="2037"/>
      <c r="Q550" s="1725"/>
      <c r="R550" s="1725"/>
      <c r="S550" s="1725"/>
      <c r="T550" s="1725"/>
    </row>
    <row r="551" spans="1:20" s="175" customFormat="1" ht="13.5" customHeight="1">
      <c r="A551" s="1711" t="s">
        <v>476</v>
      </c>
      <c r="B551" s="2001" t="s">
        <v>3642</v>
      </c>
      <c r="C551" s="2003"/>
      <c r="D551" s="2003"/>
      <c r="E551" s="2003"/>
      <c r="F551" s="2003"/>
      <c r="G551" s="2882" t="s">
        <v>381</v>
      </c>
      <c r="H551" s="2883"/>
      <c r="I551" s="1723"/>
      <c r="J551" s="1721"/>
      <c r="K551" s="1721"/>
      <c r="L551" s="2884"/>
      <c r="M551" s="2885"/>
      <c r="N551" s="2037"/>
      <c r="O551" s="2037"/>
      <c r="P551" s="2037"/>
      <c r="T551" s="1759"/>
    </row>
    <row r="552" spans="1:20" s="175" customFormat="1" ht="13.5" customHeight="1">
      <c r="A552" s="2055" t="s">
        <v>383</v>
      </c>
      <c r="B552" s="2056" t="s">
        <v>384</v>
      </c>
      <c r="C552" s="2003"/>
      <c r="D552" s="2003"/>
      <c r="E552" s="2003"/>
      <c r="F552" s="2003"/>
      <c r="G552" s="2004"/>
      <c r="H552" s="2005"/>
      <c r="I552" s="1723"/>
      <c r="J552" s="1721"/>
      <c r="K552" s="1721"/>
      <c r="L552" s="2006"/>
      <c r="M552" s="2007"/>
      <c r="N552" s="2037"/>
      <c r="O552" s="2037"/>
      <c r="P552" s="2037"/>
      <c r="T552" s="1759"/>
    </row>
    <row r="553" spans="1:20" s="175" customFormat="1" ht="13.5" customHeight="1">
      <c r="A553" s="2038" t="s">
        <v>413</v>
      </c>
      <c r="B553" s="2053" t="s">
        <v>1943</v>
      </c>
      <c r="C553" s="2003"/>
      <c r="D553" s="2003"/>
      <c r="E553" s="2003"/>
      <c r="F553" s="2003"/>
      <c r="G553" s="2882" t="str">
        <f>G551</f>
        <v>Each Cum</v>
      </c>
      <c r="H553" s="2883"/>
      <c r="I553" s="1723">
        <f>K3029</f>
        <v>14969.01</v>
      </c>
      <c r="J553" s="1721"/>
      <c r="K553" s="1721">
        <f>I553+J553</f>
        <v>14969.01</v>
      </c>
      <c r="L553" s="2884">
        <f t="shared" si="77"/>
        <v>14969</v>
      </c>
      <c r="M553" s="2885"/>
      <c r="N553" s="2037"/>
      <c r="O553" s="2037"/>
      <c r="P553" s="2037"/>
      <c r="Q553" s="1725"/>
      <c r="R553" s="1725"/>
      <c r="S553" s="1725"/>
      <c r="T553" s="1725"/>
    </row>
    <row r="554" spans="1:20" s="175" customFormat="1" ht="13.5" customHeight="1">
      <c r="A554" s="2038" t="s">
        <v>415</v>
      </c>
      <c r="B554" s="2054" t="s">
        <v>3588</v>
      </c>
      <c r="C554" s="2003"/>
      <c r="D554" s="2003"/>
      <c r="E554" s="2003"/>
      <c r="F554" s="2003"/>
      <c r="G554" s="2882" t="str">
        <f>G553</f>
        <v>Each Cum</v>
      </c>
      <c r="H554" s="2883"/>
      <c r="I554" s="1723">
        <f>K3033</f>
        <v>13177.29</v>
      </c>
      <c r="J554" s="1721"/>
      <c r="K554" s="1721">
        <f>I554+J554</f>
        <v>13177.29</v>
      </c>
      <c r="L554" s="2884">
        <f t="shared" ref="L554" si="88">ROUND(K554,1)</f>
        <v>13177.3</v>
      </c>
      <c r="M554" s="2885"/>
      <c r="N554" s="2037"/>
      <c r="O554" s="2037"/>
      <c r="P554" s="2037"/>
      <c r="Q554" s="1725"/>
      <c r="R554" s="1725"/>
      <c r="S554" s="1725"/>
      <c r="T554" s="1725"/>
    </row>
    <row r="555" spans="1:20" s="175" customFormat="1" ht="13.5" hidden="1" customHeight="1">
      <c r="A555" s="2055" t="s">
        <v>386</v>
      </c>
      <c r="B555" s="2056" t="s">
        <v>387</v>
      </c>
      <c r="C555" s="2003"/>
      <c r="D555" s="2003"/>
      <c r="E555" s="2003"/>
      <c r="F555" s="2003"/>
      <c r="G555" s="2004"/>
      <c r="H555" s="2005"/>
      <c r="I555" s="1723"/>
      <c r="J555" s="1721"/>
      <c r="K555" s="1721"/>
      <c r="L555" s="2006"/>
      <c r="M555" s="2007"/>
      <c r="N555" s="2037"/>
      <c r="O555" s="2037"/>
      <c r="P555" s="2037"/>
      <c r="Q555" s="1725"/>
      <c r="R555" s="1725"/>
      <c r="S555" s="1725"/>
      <c r="T555" s="1725"/>
    </row>
    <row r="556" spans="1:20" s="175" customFormat="1" ht="13.5" hidden="1" customHeight="1">
      <c r="A556" s="2038" t="s">
        <v>413</v>
      </c>
      <c r="B556" s="2053" t="s">
        <v>1943</v>
      </c>
      <c r="C556" s="2003"/>
      <c r="D556" s="2003"/>
      <c r="E556" s="2003"/>
      <c r="F556" s="2003"/>
      <c r="G556" s="2882" t="str">
        <f>G554</f>
        <v>Each Cum</v>
      </c>
      <c r="H556" s="2883"/>
      <c r="I556" s="1723">
        <f>K3039</f>
        <v>16599.53</v>
      </c>
      <c r="J556" s="1721"/>
      <c r="K556" s="1721">
        <f>I556+J556</f>
        <v>16599.53</v>
      </c>
      <c r="L556" s="2884">
        <f t="shared" ref="L556:L557" si="89">ROUND(K556,1)</f>
        <v>16599.5</v>
      </c>
      <c r="M556" s="2885"/>
      <c r="N556" s="2037"/>
      <c r="O556" s="2037"/>
      <c r="P556" s="2037"/>
      <c r="Q556" s="1725"/>
      <c r="R556" s="1725"/>
      <c r="S556" s="1725"/>
      <c r="T556" s="1725"/>
    </row>
    <row r="557" spans="1:20" s="175" customFormat="1" ht="13.5" hidden="1" customHeight="1">
      <c r="A557" s="2038" t="s">
        <v>415</v>
      </c>
      <c r="B557" s="2054" t="s">
        <v>3588</v>
      </c>
      <c r="C557" s="2003"/>
      <c r="D557" s="2003"/>
      <c r="E557" s="2003"/>
      <c r="F557" s="2003"/>
      <c r="G557" s="2882" t="str">
        <f>G556</f>
        <v>Each Cum</v>
      </c>
      <c r="H557" s="2883"/>
      <c r="I557" s="1723">
        <f>K3044</f>
        <v>14604.230000000001</v>
      </c>
      <c r="J557" s="1721"/>
      <c r="K557" s="1721">
        <f>I557+J557</f>
        <v>14604.230000000001</v>
      </c>
      <c r="L557" s="2884">
        <f t="shared" si="89"/>
        <v>14604.2</v>
      </c>
      <c r="M557" s="2885"/>
      <c r="N557" s="2037"/>
      <c r="O557" s="2037"/>
      <c r="P557" s="2037"/>
      <c r="Q557" s="1725"/>
      <c r="R557" s="1725"/>
      <c r="S557" s="1725"/>
      <c r="T557" s="1725"/>
    </row>
    <row r="558" spans="1:20" s="175" customFormat="1" ht="13.5" hidden="1" customHeight="1">
      <c r="A558" s="2055" t="s">
        <v>432</v>
      </c>
      <c r="B558" s="2057" t="s">
        <v>3613</v>
      </c>
      <c r="C558" s="2003"/>
      <c r="D558" s="2003"/>
      <c r="E558" s="2003"/>
      <c r="F558" s="2003"/>
      <c r="G558" s="2004"/>
      <c r="H558" s="2005"/>
      <c r="I558" s="1723"/>
      <c r="J558" s="1721"/>
      <c r="K558" s="1721"/>
      <c r="L558" s="2006"/>
      <c r="M558" s="2007"/>
      <c r="N558" s="2037"/>
      <c r="O558" s="2037"/>
      <c r="P558" s="2037"/>
      <c r="Q558" s="1725"/>
      <c r="R558" s="1725"/>
      <c r="S558" s="1725"/>
      <c r="T558" s="1725"/>
    </row>
    <row r="559" spans="1:20" s="175" customFormat="1" ht="13.5" hidden="1" customHeight="1">
      <c r="A559" s="2038" t="s">
        <v>413</v>
      </c>
      <c r="B559" s="2053" t="s">
        <v>1943</v>
      </c>
      <c r="C559" s="2003"/>
      <c r="D559" s="2003"/>
      <c r="E559" s="2003"/>
      <c r="F559" s="2003"/>
      <c r="G559" s="2882" t="str">
        <f>G557</f>
        <v>Each Cum</v>
      </c>
      <c r="H559" s="2883"/>
      <c r="I559" s="1723">
        <f>K3050</f>
        <v>18542.03</v>
      </c>
      <c r="J559" s="1721"/>
      <c r="K559" s="1721">
        <f>I559+J559</f>
        <v>18542.03</v>
      </c>
      <c r="L559" s="2884">
        <f t="shared" ref="L559:L560" si="90">ROUND(K559,1)</f>
        <v>18542</v>
      </c>
      <c r="M559" s="2885"/>
      <c r="N559" s="2037"/>
      <c r="O559" s="2037"/>
      <c r="P559" s="2037"/>
      <c r="Q559" s="1725"/>
      <c r="R559" s="1725"/>
      <c r="S559" s="1725"/>
      <c r="T559" s="1725"/>
    </row>
    <row r="560" spans="1:20" s="175" customFormat="1" ht="13.5" hidden="1" customHeight="1">
      <c r="A560" s="2038" t="s">
        <v>415</v>
      </c>
      <c r="B560" s="2054" t="s">
        <v>3588</v>
      </c>
      <c r="C560" s="2003"/>
      <c r="D560" s="2003"/>
      <c r="E560" s="2003"/>
      <c r="F560" s="2003"/>
      <c r="G560" s="2882" t="str">
        <f>G559</f>
        <v>Each Cum</v>
      </c>
      <c r="H560" s="2883"/>
      <c r="I560" s="1723">
        <f>K3055</f>
        <v>16312.62</v>
      </c>
      <c r="J560" s="1721"/>
      <c r="K560" s="1721">
        <f>I560+J560</f>
        <v>16312.62</v>
      </c>
      <c r="L560" s="2884">
        <f t="shared" si="90"/>
        <v>16312.6</v>
      </c>
      <c r="M560" s="2885"/>
      <c r="N560" s="2037"/>
      <c r="O560" s="2037"/>
      <c r="P560" s="2037"/>
      <c r="Q560" s="1725"/>
      <c r="R560" s="1725"/>
      <c r="S560" s="1725"/>
      <c r="T560" s="1725"/>
    </row>
    <row r="561" spans="1:20" s="175" customFormat="1" ht="13.5" hidden="1" customHeight="1">
      <c r="A561" s="2055" t="s">
        <v>443</v>
      </c>
      <c r="B561" s="2057" t="s">
        <v>3632</v>
      </c>
      <c r="C561" s="2003"/>
      <c r="D561" s="2003"/>
      <c r="E561" s="2003"/>
      <c r="F561" s="2003"/>
      <c r="G561" s="2004"/>
      <c r="H561" s="2005"/>
      <c r="I561" s="1723"/>
      <c r="J561" s="1721"/>
      <c r="K561" s="1721"/>
      <c r="L561" s="2006"/>
      <c r="M561" s="2007"/>
      <c r="N561" s="2037"/>
      <c r="O561" s="2037"/>
      <c r="P561" s="2037"/>
      <c r="Q561" s="1725"/>
      <c r="R561" s="1725"/>
      <c r="S561" s="1725"/>
      <c r="T561" s="1725"/>
    </row>
    <row r="562" spans="1:20" s="175" customFormat="1" ht="13.5" hidden="1" customHeight="1">
      <c r="A562" s="2038" t="s">
        <v>413</v>
      </c>
      <c r="B562" s="2053" t="s">
        <v>1943</v>
      </c>
      <c r="C562" s="2003"/>
      <c r="D562" s="2003"/>
      <c r="E562" s="2003"/>
      <c r="F562" s="2003"/>
      <c r="G562" s="2882" t="str">
        <f>G559</f>
        <v>Each Cum</v>
      </c>
      <c r="H562" s="2883"/>
      <c r="I562" s="1723">
        <f>K3061</f>
        <v>20856.789999999997</v>
      </c>
      <c r="J562" s="1721"/>
      <c r="K562" s="1721">
        <f>I562+J562</f>
        <v>20856.789999999997</v>
      </c>
      <c r="L562" s="2884">
        <f t="shared" ref="L562:L563" si="91">ROUND(K562,1)</f>
        <v>20856.8</v>
      </c>
      <c r="M562" s="2885"/>
      <c r="N562" s="2037"/>
      <c r="O562" s="2037"/>
      <c r="P562" s="2037"/>
      <c r="Q562" s="1725"/>
      <c r="R562" s="1725"/>
      <c r="S562" s="1725"/>
      <c r="T562" s="1725"/>
    </row>
    <row r="563" spans="1:20" s="175" customFormat="1" ht="13.5" hidden="1" customHeight="1">
      <c r="A563" s="2038" t="s">
        <v>415</v>
      </c>
      <c r="B563" s="2054" t="s">
        <v>3588</v>
      </c>
      <c r="C563" s="2003"/>
      <c r="D563" s="2003"/>
      <c r="E563" s="2003"/>
      <c r="F563" s="2003"/>
      <c r="G563" s="2882" t="str">
        <f>G560</f>
        <v>Each Cum</v>
      </c>
      <c r="H563" s="2883"/>
      <c r="I563" s="1723">
        <f>K3066</f>
        <v>18358.150000000001</v>
      </c>
      <c r="J563" s="1721"/>
      <c r="K563" s="1721">
        <f>I563+J563</f>
        <v>18358.150000000001</v>
      </c>
      <c r="L563" s="2884">
        <f t="shared" si="91"/>
        <v>18358.2</v>
      </c>
      <c r="M563" s="2885"/>
      <c r="N563" s="2037"/>
      <c r="O563" s="2037"/>
      <c r="P563" s="2037"/>
      <c r="Q563" s="1725"/>
      <c r="R563" s="1725"/>
      <c r="S563" s="1725"/>
      <c r="T563" s="1725"/>
    </row>
    <row r="564" spans="1:20" s="175" customFormat="1" ht="13.5" hidden="1" customHeight="1">
      <c r="A564" s="1711" t="s">
        <v>478</v>
      </c>
      <c r="B564" s="2001" t="s">
        <v>3645</v>
      </c>
      <c r="C564" s="2003"/>
      <c r="D564" s="2003"/>
      <c r="E564" s="2003"/>
      <c r="F564" s="2003"/>
      <c r="G564" s="2882" t="s">
        <v>381</v>
      </c>
      <c r="H564" s="2883"/>
      <c r="I564" s="1723"/>
      <c r="J564" s="1721"/>
      <c r="K564" s="1721"/>
      <c r="L564" s="2884"/>
      <c r="M564" s="2885"/>
      <c r="N564" s="2037"/>
      <c r="O564" s="2037"/>
      <c r="P564" s="2037"/>
      <c r="T564" s="1759"/>
    </row>
    <row r="565" spans="1:20" s="175" customFormat="1" ht="13.5" hidden="1" customHeight="1">
      <c r="A565" s="2055" t="s">
        <v>383</v>
      </c>
      <c r="B565" s="2056" t="s">
        <v>384</v>
      </c>
      <c r="C565" s="2003"/>
      <c r="D565" s="2003"/>
      <c r="E565" s="2003"/>
      <c r="F565" s="2003"/>
      <c r="G565" s="2004"/>
      <c r="H565" s="2005"/>
      <c r="I565" s="1723"/>
      <c r="J565" s="1721"/>
      <c r="K565" s="1721"/>
      <c r="L565" s="2006"/>
      <c r="M565" s="2007"/>
      <c r="N565" s="2037"/>
      <c r="O565" s="2037"/>
      <c r="P565" s="2037"/>
      <c r="T565" s="1759"/>
    </row>
    <row r="566" spans="1:20" s="175" customFormat="1" ht="13.5" hidden="1" customHeight="1">
      <c r="A566" s="2038" t="s">
        <v>413</v>
      </c>
      <c r="B566" s="2053" t="s">
        <v>1943</v>
      </c>
      <c r="C566" s="2003"/>
      <c r="D566" s="2003"/>
      <c r="E566" s="2003"/>
      <c r="F566" s="2003"/>
      <c r="G566" s="2882" t="str">
        <f>G564</f>
        <v>Each Cum</v>
      </c>
      <c r="H566" s="2883"/>
      <c r="I566" s="1723">
        <f>K3072</f>
        <v>16283.33</v>
      </c>
      <c r="J566" s="1721"/>
      <c r="K566" s="1721">
        <f>I566+J566</f>
        <v>16283.33</v>
      </c>
      <c r="L566" s="2884">
        <f t="shared" si="77"/>
        <v>16283.3</v>
      </c>
      <c r="M566" s="2885"/>
      <c r="N566" s="2037"/>
      <c r="O566" s="2037"/>
      <c r="P566" s="2037"/>
      <c r="Q566" s="1725"/>
      <c r="R566" s="1725"/>
      <c r="S566" s="1725"/>
      <c r="T566" s="1725"/>
    </row>
    <row r="567" spans="1:20" s="175" customFormat="1" ht="13.5" hidden="1" customHeight="1">
      <c r="A567" s="2038" t="s">
        <v>415</v>
      </c>
      <c r="B567" s="2054" t="s">
        <v>3588</v>
      </c>
      <c r="C567" s="2003"/>
      <c r="D567" s="2003"/>
      <c r="E567" s="2003"/>
      <c r="F567" s="2003"/>
      <c r="G567" s="2882" t="str">
        <f>G566</f>
        <v>Each Cum</v>
      </c>
      <c r="H567" s="2883"/>
      <c r="I567" s="1723">
        <f>K3076</f>
        <v>14491.61</v>
      </c>
      <c r="J567" s="1721"/>
      <c r="K567" s="1721">
        <f>I567+J567</f>
        <v>14491.61</v>
      </c>
      <c r="L567" s="2884">
        <f t="shared" ref="L567" si="92">ROUND(K567,1)</f>
        <v>14491.6</v>
      </c>
      <c r="M567" s="2885"/>
      <c r="N567" s="2037"/>
      <c r="O567" s="2037"/>
      <c r="P567" s="2037"/>
      <c r="Q567" s="1725"/>
      <c r="R567" s="1725"/>
      <c r="S567" s="1725"/>
      <c r="T567" s="1725"/>
    </row>
    <row r="568" spans="1:20" s="175" customFormat="1" ht="13.5" hidden="1" customHeight="1">
      <c r="A568" s="2055" t="s">
        <v>386</v>
      </c>
      <c r="B568" s="2056" t="s">
        <v>387</v>
      </c>
      <c r="C568" s="2003"/>
      <c r="D568" s="2003"/>
      <c r="E568" s="2003"/>
      <c r="F568" s="2003"/>
      <c r="G568" s="2004"/>
      <c r="H568" s="2005"/>
      <c r="I568" s="1723"/>
      <c r="J568" s="1721"/>
      <c r="K568" s="1721"/>
      <c r="L568" s="2006"/>
      <c r="M568" s="2007"/>
      <c r="N568" s="2037"/>
      <c r="O568" s="2037"/>
      <c r="P568" s="2037"/>
      <c r="Q568" s="1725"/>
      <c r="R568" s="1725"/>
      <c r="S568" s="1725"/>
      <c r="T568" s="1725"/>
    </row>
    <row r="569" spans="1:20" s="175" customFormat="1" ht="13.5" hidden="1" customHeight="1">
      <c r="A569" s="2038" t="s">
        <v>413</v>
      </c>
      <c r="B569" s="2053" t="s">
        <v>1943</v>
      </c>
      <c r="C569" s="2003"/>
      <c r="D569" s="2003"/>
      <c r="E569" s="2003"/>
      <c r="F569" s="2003"/>
      <c r="G569" s="2882" t="str">
        <f>G567</f>
        <v>Each Cum</v>
      </c>
      <c r="H569" s="2883"/>
      <c r="I569" s="1723">
        <f>K3082</f>
        <v>18176.71</v>
      </c>
      <c r="J569" s="1721"/>
      <c r="K569" s="1721">
        <f>I569+J569</f>
        <v>18176.71</v>
      </c>
      <c r="L569" s="2884">
        <f t="shared" ref="L569:L570" si="93">ROUND(K569,1)</f>
        <v>18176.7</v>
      </c>
      <c r="M569" s="2885"/>
      <c r="N569" s="2037"/>
      <c r="O569" s="2037"/>
      <c r="P569" s="2037"/>
      <c r="Q569" s="1725"/>
      <c r="R569" s="1725"/>
      <c r="S569" s="1725"/>
      <c r="T569" s="1725"/>
    </row>
    <row r="570" spans="1:20" s="175" customFormat="1" ht="13.5" hidden="1" customHeight="1">
      <c r="A570" s="2038" t="s">
        <v>415</v>
      </c>
      <c r="B570" s="2054" t="s">
        <v>3588</v>
      </c>
      <c r="C570" s="2003"/>
      <c r="D570" s="2003"/>
      <c r="E570" s="2003"/>
      <c r="F570" s="2003"/>
      <c r="G570" s="2882" t="str">
        <f>G569</f>
        <v>Each Cum</v>
      </c>
      <c r="H570" s="2883"/>
      <c r="I570" s="1723">
        <f>K3087</f>
        <v>16181.41</v>
      </c>
      <c r="J570" s="1721"/>
      <c r="K570" s="1721">
        <f>I570+J570</f>
        <v>16181.41</v>
      </c>
      <c r="L570" s="2884">
        <f t="shared" si="93"/>
        <v>16181.4</v>
      </c>
      <c r="M570" s="2885"/>
      <c r="N570" s="2037"/>
      <c r="O570" s="2037"/>
      <c r="P570" s="2037"/>
      <c r="Q570" s="1725"/>
      <c r="R570" s="1725"/>
      <c r="S570" s="1725"/>
      <c r="T570" s="1725"/>
    </row>
    <row r="571" spans="1:20" s="175" customFormat="1" ht="13.5" hidden="1" customHeight="1">
      <c r="A571" s="2055" t="s">
        <v>432</v>
      </c>
      <c r="B571" s="2057" t="s">
        <v>3613</v>
      </c>
      <c r="C571" s="2003"/>
      <c r="D571" s="2003"/>
      <c r="E571" s="2003"/>
      <c r="F571" s="2003"/>
      <c r="G571" s="2004"/>
      <c r="H571" s="2005"/>
      <c r="I571" s="1723"/>
      <c r="J571" s="1721"/>
      <c r="K571" s="1721"/>
      <c r="L571" s="2006"/>
      <c r="M571" s="2007"/>
      <c r="N571" s="2037"/>
      <c r="O571" s="2037"/>
      <c r="P571" s="2037"/>
      <c r="Q571" s="1725"/>
      <c r="R571" s="1725"/>
      <c r="S571" s="1725"/>
      <c r="T571" s="1725"/>
    </row>
    <row r="572" spans="1:20" s="175" customFormat="1" ht="13.5" hidden="1" customHeight="1">
      <c r="A572" s="2038" t="s">
        <v>413</v>
      </c>
      <c r="B572" s="2053" t="s">
        <v>1943</v>
      </c>
      <c r="C572" s="2003"/>
      <c r="D572" s="2003"/>
      <c r="E572" s="2003"/>
      <c r="F572" s="2003"/>
      <c r="G572" s="2882" t="str">
        <f>G570</f>
        <v>Each Cum</v>
      </c>
      <c r="H572" s="2883"/>
      <c r="I572" s="1723">
        <f>K3093</f>
        <v>20434.64</v>
      </c>
      <c r="J572" s="1721"/>
      <c r="K572" s="1721">
        <f>I572+J572</f>
        <v>20434.64</v>
      </c>
      <c r="L572" s="2884">
        <f t="shared" ref="L572:L573" si="94">ROUND(K572,1)</f>
        <v>20434.599999999999</v>
      </c>
      <c r="M572" s="2885"/>
      <c r="N572" s="2037"/>
      <c r="O572" s="2037"/>
      <c r="P572" s="2037"/>
      <c r="Q572" s="1725"/>
      <c r="R572" s="1725"/>
      <c r="S572" s="1725"/>
      <c r="T572" s="1725"/>
    </row>
    <row r="573" spans="1:20" s="175" customFormat="1" ht="13.5" hidden="1" customHeight="1">
      <c r="A573" s="2038" t="s">
        <v>415</v>
      </c>
      <c r="B573" s="2054" t="s">
        <v>3588</v>
      </c>
      <c r="C573" s="2003"/>
      <c r="D573" s="2003"/>
      <c r="E573" s="2003"/>
      <c r="F573" s="2003"/>
      <c r="G573" s="2882" t="str">
        <f>G572</f>
        <v>Each Cum</v>
      </c>
      <c r="H573" s="2883"/>
      <c r="I573" s="1723">
        <f>K3098</f>
        <v>18205.23</v>
      </c>
      <c r="J573" s="1721"/>
      <c r="K573" s="1721">
        <f>I573+J573</f>
        <v>18205.23</v>
      </c>
      <c r="L573" s="2884">
        <f t="shared" si="94"/>
        <v>18205.2</v>
      </c>
      <c r="M573" s="2885"/>
      <c r="N573" s="2037"/>
      <c r="O573" s="2037"/>
      <c r="P573" s="2037"/>
      <c r="Q573" s="1725"/>
      <c r="R573" s="1725"/>
      <c r="S573" s="1725"/>
      <c r="T573" s="1725"/>
    </row>
    <row r="574" spans="1:20" s="175" customFormat="1" ht="13.5" hidden="1" customHeight="1">
      <c r="A574" s="2055" t="s">
        <v>443</v>
      </c>
      <c r="B574" s="2057" t="s">
        <v>3632</v>
      </c>
      <c r="C574" s="2003"/>
      <c r="D574" s="2003"/>
      <c r="E574" s="2003"/>
      <c r="F574" s="2003"/>
      <c r="G574" s="2004"/>
      <c r="H574" s="2005"/>
      <c r="I574" s="1723"/>
      <c r="J574" s="1721"/>
      <c r="K574" s="1721"/>
      <c r="L574" s="2006"/>
      <c r="M574" s="2007"/>
      <c r="N574" s="2037"/>
      <c r="O574" s="2037"/>
      <c r="P574" s="2037"/>
      <c r="Q574" s="1725"/>
      <c r="R574" s="1725"/>
      <c r="S574" s="1725"/>
      <c r="T574" s="1725"/>
    </row>
    <row r="575" spans="1:20" s="175" customFormat="1" ht="13.5" hidden="1" customHeight="1">
      <c r="A575" s="2038" t="s">
        <v>413</v>
      </c>
      <c r="B575" s="2053" t="s">
        <v>1943</v>
      </c>
      <c r="C575" s="2003"/>
      <c r="D575" s="2003"/>
      <c r="E575" s="2003"/>
      <c r="F575" s="2003"/>
      <c r="G575" s="2882" t="str">
        <f>G572</f>
        <v>Each Cum</v>
      </c>
      <c r="H575" s="2883"/>
      <c r="I575" s="1723">
        <f>K3104</f>
        <v>23127.919999999998</v>
      </c>
      <c r="J575" s="1721"/>
      <c r="K575" s="1721">
        <f>I575+J575</f>
        <v>23127.919999999998</v>
      </c>
      <c r="L575" s="2884">
        <f t="shared" ref="L575:L576" si="95">ROUND(K575,1)</f>
        <v>23127.9</v>
      </c>
      <c r="M575" s="2885"/>
      <c r="N575" s="2037"/>
      <c r="O575" s="2037"/>
      <c r="P575" s="2037"/>
      <c r="Q575" s="1725"/>
      <c r="R575" s="1725"/>
      <c r="S575" s="1725"/>
      <c r="T575" s="1725"/>
    </row>
    <row r="576" spans="1:20" s="175" customFormat="1" ht="13.5" hidden="1" customHeight="1">
      <c r="A576" s="2038" t="s">
        <v>415</v>
      </c>
      <c r="B576" s="2054" t="s">
        <v>3588</v>
      </c>
      <c r="C576" s="2003"/>
      <c r="D576" s="2003"/>
      <c r="E576" s="2003"/>
      <c r="F576" s="2003"/>
      <c r="G576" s="2882" t="str">
        <f>G573</f>
        <v>Each Cum</v>
      </c>
      <c r="H576" s="2883"/>
      <c r="I576" s="1723">
        <f>K3109</f>
        <v>20629.28</v>
      </c>
      <c r="J576" s="1721"/>
      <c r="K576" s="1721">
        <f>I576+J576</f>
        <v>20629.28</v>
      </c>
      <c r="L576" s="2884">
        <f t="shared" si="95"/>
        <v>20629.3</v>
      </c>
      <c r="M576" s="2885"/>
      <c r="N576" s="2037"/>
      <c r="O576" s="2037"/>
      <c r="P576" s="2037"/>
      <c r="Q576" s="1725"/>
      <c r="R576" s="1725"/>
      <c r="S576" s="1725"/>
      <c r="T576" s="1725"/>
    </row>
    <row r="577" spans="1:20" s="175" customFormat="1" ht="13.5" customHeight="1">
      <c r="A577" s="1711" t="s">
        <v>480</v>
      </c>
      <c r="B577" s="2001" t="s">
        <v>3646</v>
      </c>
      <c r="C577" s="2003"/>
      <c r="D577" s="2003"/>
      <c r="E577" s="2003"/>
      <c r="F577" s="2003"/>
      <c r="G577" s="2882" t="s">
        <v>390</v>
      </c>
      <c r="H577" s="2883"/>
      <c r="I577" s="1723"/>
      <c r="J577" s="1721"/>
      <c r="K577" s="1721"/>
      <c r="L577" s="2884"/>
      <c r="M577" s="2885"/>
      <c r="N577" s="2037"/>
      <c r="O577" s="2037"/>
      <c r="P577" s="2037"/>
      <c r="T577" s="1759"/>
    </row>
    <row r="578" spans="1:20" s="175" customFormat="1" ht="13.5" customHeight="1">
      <c r="A578" s="2055" t="s">
        <v>383</v>
      </c>
      <c r="B578" s="2056" t="s">
        <v>384</v>
      </c>
      <c r="C578" s="2003"/>
      <c r="D578" s="2003"/>
      <c r="E578" s="2003"/>
      <c r="F578" s="2003"/>
      <c r="G578" s="2004"/>
      <c r="H578" s="2005"/>
      <c r="I578" s="1723"/>
      <c r="J578" s="1721"/>
      <c r="K578" s="1721"/>
      <c r="L578" s="2006"/>
      <c r="M578" s="2007"/>
      <c r="N578" s="2037"/>
      <c r="O578" s="2037"/>
      <c r="P578" s="2037"/>
      <c r="T578" s="1759"/>
    </row>
    <row r="579" spans="1:20" s="175" customFormat="1" ht="13.5" customHeight="1">
      <c r="A579" s="2038" t="s">
        <v>413</v>
      </c>
      <c r="B579" s="2053" t="s">
        <v>1943</v>
      </c>
      <c r="C579" s="2003"/>
      <c r="D579" s="2003"/>
      <c r="E579" s="2003"/>
      <c r="F579" s="2003"/>
      <c r="G579" s="2882" t="str">
        <f>G577</f>
        <v>Each Sqm</v>
      </c>
      <c r="H579" s="2883"/>
      <c r="I579" s="1723">
        <f>K3115</f>
        <v>1276.3081500000001</v>
      </c>
      <c r="J579" s="1721"/>
      <c r="K579" s="1721">
        <f>I579+J579</f>
        <v>1276.3081500000001</v>
      </c>
      <c r="L579" s="2884">
        <f t="shared" si="77"/>
        <v>1276.3</v>
      </c>
      <c r="M579" s="2885"/>
      <c r="N579" s="2037"/>
      <c r="O579" s="2037"/>
      <c r="P579" s="2037"/>
      <c r="Q579" s="1725"/>
      <c r="R579" s="1725"/>
      <c r="S579" s="1725"/>
      <c r="T579" s="1725"/>
    </row>
    <row r="580" spans="1:20" s="175" customFormat="1" ht="13.5" customHeight="1">
      <c r="A580" s="2038" t="s">
        <v>415</v>
      </c>
      <c r="B580" s="2054" t="s">
        <v>3588</v>
      </c>
      <c r="C580" s="2003"/>
      <c r="D580" s="2003"/>
      <c r="E580" s="2003"/>
      <c r="F580" s="2003"/>
      <c r="G580" s="2882" t="str">
        <f>G579</f>
        <v>Each Sqm</v>
      </c>
      <c r="H580" s="2883"/>
      <c r="I580" s="1723">
        <f>K3119</f>
        <v>1159.84635</v>
      </c>
      <c r="J580" s="1721"/>
      <c r="K580" s="1721">
        <f>I580+J580</f>
        <v>1159.84635</v>
      </c>
      <c r="L580" s="2884">
        <f t="shared" ref="L580" si="96">ROUND(K580,1)</f>
        <v>1159.8</v>
      </c>
      <c r="M580" s="2885"/>
      <c r="N580" s="2037"/>
      <c r="O580" s="2037"/>
      <c r="P580" s="2037"/>
      <c r="Q580" s="1725"/>
      <c r="R580" s="1725"/>
      <c r="S580" s="1725"/>
      <c r="T580" s="1725"/>
    </row>
    <row r="581" spans="1:20" s="175" customFormat="1" ht="13.5" hidden="1" customHeight="1">
      <c r="A581" s="2055" t="s">
        <v>386</v>
      </c>
      <c r="B581" s="2056" t="s">
        <v>387</v>
      </c>
      <c r="C581" s="2003"/>
      <c r="D581" s="2003"/>
      <c r="E581" s="2003"/>
      <c r="F581" s="2003"/>
      <c r="G581" s="2004"/>
      <c r="H581" s="2005"/>
      <c r="I581" s="1723"/>
      <c r="J581" s="1721"/>
      <c r="K581" s="1721"/>
      <c r="L581" s="2006"/>
      <c r="M581" s="2007"/>
      <c r="N581" s="2037"/>
      <c r="O581" s="2037"/>
      <c r="P581" s="2037"/>
      <c r="Q581" s="1725"/>
      <c r="R581" s="1725"/>
      <c r="S581" s="1725"/>
      <c r="T581" s="1725"/>
    </row>
    <row r="582" spans="1:20" s="175" customFormat="1" ht="13.5" hidden="1" customHeight="1">
      <c r="A582" s="2038" t="s">
        <v>413</v>
      </c>
      <c r="B582" s="2053" t="s">
        <v>1943</v>
      </c>
      <c r="C582" s="2003"/>
      <c r="D582" s="2003"/>
      <c r="E582" s="2003"/>
      <c r="F582" s="2003"/>
      <c r="G582" s="2882" t="str">
        <f>G580</f>
        <v>Each Sqm</v>
      </c>
      <c r="H582" s="2883"/>
      <c r="I582" s="1723">
        <f>K3125</f>
        <v>1442.9554499999999</v>
      </c>
      <c r="J582" s="1721"/>
      <c r="K582" s="1721">
        <f>I582+J582</f>
        <v>1442.9554499999999</v>
      </c>
      <c r="L582" s="2884">
        <f t="shared" ref="L582:L583" si="97">ROUND(K582,1)</f>
        <v>1443</v>
      </c>
      <c r="M582" s="2885"/>
      <c r="N582" s="2037"/>
      <c r="O582" s="2037"/>
      <c r="P582" s="2037"/>
      <c r="Q582" s="1725"/>
      <c r="R582" s="1725"/>
      <c r="S582" s="1725"/>
      <c r="T582" s="1725"/>
    </row>
    <row r="583" spans="1:20" s="175" customFormat="1" ht="13.5" hidden="1" customHeight="1">
      <c r="A583" s="2038" t="s">
        <v>415</v>
      </c>
      <c r="B583" s="2054" t="s">
        <v>3588</v>
      </c>
      <c r="C583" s="2003"/>
      <c r="D583" s="2003"/>
      <c r="E583" s="2003"/>
      <c r="F583" s="2003"/>
      <c r="G583" s="2882" t="str">
        <f>G582</f>
        <v>Each Sqm</v>
      </c>
      <c r="H583" s="2883"/>
      <c r="I583" s="1723">
        <f>K3130</f>
        <v>1313.2609500000001</v>
      </c>
      <c r="J583" s="1721"/>
      <c r="K583" s="1721">
        <f>I583+J583</f>
        <v>1313.2609500000001</v>
      </c>
      <c r="L583" s="2884">
        <f t="shared" si="97"/>
        <v>1313.3</v>
      </c>
      <c r="M583" s="2885"/>
      <c r="N583" s="2037"/>
      <c r="O583" s="2037"/>
      <c r="P583" s="2037"/>
      <c r="Q583" s="1725"/>
      <c r="R583" s="1725"/>
      <c r="S583" s="1725"/>
      <c r="T583" s="1725"/>
    </row>
    <row r="584" spans="1:20" s="175" customFormat="1" ht="13.5" hidden="1" customHeight="1">
      <c r="A584" s="2055" t="s">
        <v>432</v>
      </c>
      <c r="B584" s="2057" t="s">
        <v>3613</v>
      </c>
      <c r="C584" s="2003"/>
      <c r="D584" s="2003"/>
      <c r="E584" s="2003"/>
      <c r="F584" s="2003"/>
      <c r="G584" s="2004"/>
      <c r="H584" s="2005"/>
      <c r="I584" s="1723"/>
      <c r="J584" s="1721"/>
      <c r="K584" s="1721"/>
      <c r="L584" s="2006"/>
      <c r="M584" s="2007"/>
      <c r="N584" s="2037"/>
      <c r="O584" s="2037"/>
      <c r="P584" s="2037"/>
      <c r="Q584" s="1725"/>
      <c r="R584" s="1725"/>
      <c r="S584" s="1725"/>
      <c r="T584" s="1725"/>
    </row>
    <row r="585" spans="1:20" s="175" customFormat="1" ht="13.5" hidden="1" customHeight="1">
      <c r="A585" s="2038" t="s">
        <v>413</v>
      </c>
      <c r="B585" s="2053" t="s">
        <v>1943</v>
      </c>
      <c r="C585" s="2003"/>
      <c r="D585" s="2003"/>
      <c r="E585" s="2003"/>
      <c r="F585" s="2003"/>
      <c r="G585" s="2882" t="str">
        <f>G583</f>
        <v>Each Sqm</v>
      </c>
      <c r="H585" s="2883"/>
      <c r="I585" s="1723">
        <f>K3136</f>
        <v>1642.0127499999999</v>
      </c>
      <c r="J585" s="1721"/>
      <c r="K585" s="1721">
        <f>I585+J585</f>
        <v>1642.0127499999999</v>
      </c>
      <c r="L585" s="2884">
        <f t="shared" ref="L585:L586" si="98">ROUND(K585,1)</f>
        <v>1642</v>
      </c>
      <c r="M585" s="2885"/>
      <c r="N585" s="2037"/>
      <c r="O585" s="2037"/>
      <c r="P585" s="2037"/>
      <c r="Q585" s="1725"/>
      <c r="R585" s="1725"/>
      <c r="S585" s="1725"/>
      <c r="T585" s="1725"/>
    </row>
    <row r="586" spans="1:20" s="175" customFormat="1" ht="13.5" hidden="1" customHeight="1">
      <c r="A586" s="2038" t="s">
        <v>415</v>
      </c>
      <c r="B586" s="2054" t="s">
        <v>3588</v>
      </c>
      <c r="C586" s="2003"/>
      <c r="D586" s="2003"/>
      <c r="E586" s="2003"/>
      <c r="F586" s="2003"/>
      <c r="G586" s="2882" t="str">
        <f>G585</f>
        <v>Each Sqm</v>
      </c>
      <c r="H586" s="2883"/>
      <c r="I586" s="1723">
        <f>K3141</f>
        <v>1497.1055500000002</v>
      </c>
      <c r="J586" s="1721"/>
      <c r="K586" s="1721">
        <f>I586+J586</f>
        <v>1497.1055500000002</v>
      </c>
      <c r="L586" s="2884">
        <f t="shared" si="98"/>
        <v>1497.1</v>
      </c>
      <c r="M586" s="2885"/>
      <c r="N586" s="2037"/>
      <c r="O586" s="2037"/>
      <c r="P586" s="2037"/>
      <c r="Q586" s="1725"/>
      <c r="R586" s="1725"/>
      <c r="S586" s="1725"/>
      <c r="T586" s="1725"/>
    </row>
    <row r="587" spans="1:20" s="175" customFormat="1" ht="13.5" hidden="1" customHeight="1">
      <c r="A587" s="2055" t="s">
        <v>443</v>
      </c>
      <c r="B587" s="2057" t="s">
        <v>3632</v>
      </c>
      <c r="C587" s="2003"/>
      <c r="D587" s="2003"/>
      <c r="E587" s="2003"/>
      <c r="F587" s="2003"/>
      <c r="G587" s="2004"/>
      <c r="H587" s="2005"/>
      <c r="I587" s="1723"/>
      <c r="J587" s="1721"/>
      <c r="K587" s="1721"/>
      <c r="L587" s="2006"/>
      <c r="M587" s="2007"/>
      <c r="N587" s="2037"/>
      <c r="O587" s="2037"/>
      <c r="P587" s="2037"/>
      <c r="Q587" s="1725"/>
      <c r="R587" s="1725"/>
      <c r="S587" s="1725"/>
      <c r="T587" s="1725"/>
    </row>
    <row r="588" spans="1:20" s="175" customFormat="1" ht="13.5" hidden="1" customHeight="1">
      <c r="A588" s="2038" t="s">
        <v>413</v>
      </c>
      <c r="B588" s="2053" t="s">
        <v>1943</v>
      </c>
      <c r="C588" s="2003"/>
      <c r="D588" s="2003"/>
      <c r="E588" s="2003"/>
      <c r="F588" s="2003"/>
      <c r="G588" s="2882" t="str">
        <f>G585</f>
        <v>Each Sqm</v>
      </c>
      <c r="H588" s="2883"/>
      <c r="I588" s="1723">
        <f>K3147</f>
        <v>1879.8300499999998</v>
      </c>
      <c r="J588" s="1721"/>
      <c r="K588" s="1721">
        <f>I588+J588</f>
        <v>1879.8300499999998</v>
      </c>
      <c r="L588" s="2884">
        <f t="shared" ref="L588:L589" si="99">ROUND(K588,1)</f>
        <v>1879.8</v>
      </c>
      <c r="M588" s="2885"/>
      <c r="N588" s="2037"/>
      <c r="O588" s="2037"/>
      <c r="P588" s="2037"/>
      <c r="Q588" s="1725"/>
      <c r="R588" s="1725"/>
      <c r="S588" s="1725"/>
      <c r="T588" s="1725"/>
    </row>
    <row r="589" spans="1:20" s="175" customFormat="1" ht="13.5" hidden="1" customHeight="1">
      <c r="A589" s="2038" t="s">
        <v>415</v>
      </c>
      <c r="B589" s="2054" t="s">
        <v>3588</v>
      </c>
      <c r="C589" s="2003"/>
      <c r="D589" s="2003"/>
      <c r="E589" s="2003"/>
      <c r="F589" s="2003"/>
      <c r="G589" s="2882" t="str">
        <f>G586</f>
        <v>Each Sqm</v>
      </c>
      <c r="H589" s="2883"/>
      <c r="I589" s="1723">
        <f>K3152</f>
        <v>1717.4201500000001</v>
      </c>
      <c r="J589" s="1721"/>
      <c r="K589" s="1721">
        <f>I589+J589</f>
        <v>1717.4201500000001</v>
      </c>
      <c r="L589" s="2884">
        <f t="shared" si="99"/>
        <v>1717.4</v>
      </c>
      <c r="M589" s="2885"/>
      <c r="N589" s="2037"/>
      <c r="O589" s="2037"/>
      <c r="P589" s="2037"/>
      <c r="Q589" s="1725"/>
      <c r="R589" s="1725"/>
      <c r="S589" s="1725"/>
      <c r="T589" s="1725"/>
    </row>
    <row r="590" spans="1:20" s="175" customFormat="1" ht="13.5" hidden="1" customHeight="1">
      <c r="A590" s="1711" t="s">
        <v>482</v>
      </c>
      <c r="B590" s="2001" t="s">
        <v>3647</v>
      </c>
      <c r="C590" s="2003"/>
      <c r="D590" s="2003"/>
      <c r="E590" s="2003"/>
      <c r="F590" s="2003"/>
      <c r="G590" s="2882" t="s">
        <v>390</v>
      </c>
      <c r="H590" s="2883"/>
      <c r="I590" s="1723"/>
      <c r="J590" s="1721"/>
      <c r="K590" s="1721"/>
      <c r="L590" s="2884"/>
      <c r="M590" s="2885"/>
      <c r="N590" s="2037"/>
      <c r="O590" s="2037"/>
      <c r="P590" s="2037"/>
      <c r="T590" s="1759"/>
    </row>
    <row r="591" spans="1:20" s="175" customFormat="1" ht="13.5" hidden="1" customHeight="1">
      <c r="A591" s="2055" t="s">
        <v>383</v>
      </c>
      <c r="B591" s="2056" t="s">
        <v>384</v>
      </c>
      <c r="C591" s="2003"/>
      <c r="D591" s="2003"/>
      <c r="E591" s="2003"/>
      <c r="F591" s="2003"/>
      <c r="G591" s="2004"/>
      <c r="H591" s="2005"/>
      <c r="I591" s="1723"/>
      <c r="J591" s="1721"/>
      <c r="K591" s="1721"/>
      <c r="L591" s="2006"/>
      <c r="M591" s="2007"/>
      <c r="N591" s="2037"/>
      <c r="O591" s="2037"/>
      <c r="P591" s="2037"/>
      <c r="T591" s="1759"/>
    </row>
    <row r="592" spans="1:20" s="175" customFormat="1" ht="13.5" hidden="1" customHeight="1">
      <c r="A592" s="2038" t="s">
        <v>413</v>
      </c>
      <c r="B592" s="2053" t="s">
        <v>1943</v>
      </c>
      <c r="C592" s="2003"/>
      <c r="D592" s="2003"/>
      <c r="E592" s="2003"/>
      <c r="F592" s="2003"/>
      <c r="G592" s="2882" t="str">
        <f>G590</f>
        <v>Each Sqm</v>
      </c>
      <c r="H592" s="2883"/>
      <c r="I592" s="1723">
        <f>K3158</f>
        <v>1152.8805000000002</v>
      </c>
      <c r="J592" s="1721"/>
      <c r="K592" s="1721">
        <f>I592+J592</f>
        <v>1152.8805000000002</v>
      </c>
      <c r="L592" s="2884">
        <f t="shared" si="77"/>
        <v>1152.9000000000001</v>
      </c>
      <c r="M592" s="2885"/>
      <c r="N592" s="2037"/>
      <c r="O592" s="2037"/>
      <c r="P592" s="2037"/>
      <c r="Q592" s="1725"/>
      <c r="R592" s="1725"/>
      <c r="S592" s="1725"/>
      <c r="T592" s="1725"/>
    </row>
    <row r="593" spans="1:20" s="175" customFormat="1" ht="13.5" hidden="1" customHeight="1">
      <c r="A593" s="2038" t="s">
        <v>415</v>
      </c>
      <c r="B593" s="2054" t="s">
        <v>3588</v>
      </c>
      <c r="C593" s="2003"/>
      <c r="D593" s="2003"/>
      <c r="E593" s="2003"/>
      <c r="F593" s="2003"/>
      <c r="G593" s="2882" t="str">
        <f>G592</f>
        <v>Each Sqm</v>
      </c>
      <c r="H593" s="2883"/>
      <c r="I593" s="1723">
        <f>K3162</f>
        <v>1063.2945</v>
      </c>
      <c r="J593" s="1721"/>
      <c r="K593" s="1721">
        <f>I593+J593</f>
        <v>1063.2945</v>
      </c>
      <c r="L593" s="2884">
        <f t="shared" ref="L593" si="100">ROUND(K593,1)</f>
        <v>1063.3</v>
      </c>
      <c r="M593" s="2885"/>
      <c r="N593" s="2037"/>
      <c r="O593" s="2037"/>
      <c r="P593" s="2037"/>
      <c r="Q593" s="1725"/>
      <c r="R593" s="1725"/>
      <c r="S593" s="1725"/>
      <c r="T593" s="1725"/>
    </row>
    <row r="594" spans="1:20" s="175" customFormat="1" ht="13.5" hidden="1" customHeight="1">
      <c r="A594" s="2055" t="s">
        <v>386</v>
      </c>
      <c r="B594" s="2056" t="s">
        <v>387</v>
      </c>
      <c r="C594" s="2003"/>
      <c r="D594" s="2003"/>
      <c r="E594" s="2003"/>
      <c r="F594" s="2003"/>
      <c r="G594" s="2004"/>
      <c r="H594" s="2005"/>
      <c r="I594" s="1723"/>
      <c r="J594" s="1721"/>
      <c r="K594" s="1721"/>
      <c r="L594" s="2006"/>
      <c r="M594" s="2007"/>
      <c r="N594" s="2037"/>
      <c r="O594" s="2037"/>
      <c r="P594" s="2037"/>
      <c r="Q594" s="1725"/>
      <c r="R594" s="1725"/>
      <c r="S594" s="1725"/>
      <c r="T594" s="1725"/>
    </row>
    <row r="595" spans="1:20" s="175" customFormat="1" ht="13.5" hidden="1" customHeight="1">
      <c r="A595" s="2038" t="s">
        <v>413</v>
      </c>
      <c r="B595" s="2053" t="s">
        <v>1943</v>
      </c>
      <c r="C595" s="2003"/>
      <c r="D595" s="2003"/>
      <c r="E595" s="2003"/>
      <c r="F595" s="2003"/>
      <c r="G595" s="2882" t="str">
        <f>G593</f>
        <v>Each Sqm</v>
      </c>
      <c r="H595" s="2883"/>
      <c r="I595" s="1723">
        <f>K3168</f>
        <v>1315.2905000000001</v>
      </c>
      <c r="J595" s="1721"/>
      <c r="K595" s="1721">
        <f>I595+J595</f>
        <v>1315.2905000000001</v>
      </c>
      <c r="L595" s="2884">
        <f t="shared" ref="L595:L596" si="101">ROUND(K595,1)</f>
        <v>1315.3</v>
      </c>
      <c r="M595" s="2885"/>
      <c r="N595" s="2037"/>
      <c r="O595" s="2037"/>
      <c r="P595" s="2037"/>
      <c r="Q595" s="1725"/>
      <c r="R595" s="1725"/>
      <c r="S595" s="1725"/>
      <c r="T595" s="1725"/>
    </row>
    <row r="596" spans="1:20" s="175" customFormat="1" ht="13.5" hidden="1" customHeight="1">
      <c r="A596" s="2038" t="s">
        <v>415</v>
      </c>
      <c r="B596" s="2054" t="s">
        <v>3588</v>
      </c>
      <c r="C596" s="2003"/>
      <c r="D596" s="2003"/>
      <c r="E596" s="2003"/>
      <c r="F596" s="2003"/>
      <c r="G596" s="2882" t="str">
        <f>G595</f>
        <v>Each Sqm</v>
      </c>
      <c r="H596" s="2883"/>
      <c r="I596" s="1723">
        <f>K3173</f>
        <v>1215.5245</v>
      </c>
      <c r="J596" s="1721"/>
      <c r="K596" s="1721">
        <f>I596+J596</f>
        <v>1215.5245</v>
      </c>
      <c r="L596" s="2884">
        <f t="shared" si="101"/>
        <v>1215.5</v>
      </c>
      <c r="M596" s="2885"/>
      <c r="N596" s="2037"/>
      <c r="O596" s="2037"/>
      <c r="P596" s="2037"/>
      <c r="Q596" s="1725"/>
      <c r="R596" s="1725"/>
      <c r="S596" s="1725"/>
      <c r="T596" s="1725"/>
    </row>
    <row r="597" spans="1:20" s="175" customFormat="1" ht="13.5" hidden="1" customHeight="1">
      <c r="A597" s="2055" t="s">
        <v>432</v>
      </c>
      <c r="B597" s="2057" t="s">
        <v>3613</v>
      </c>
      <c r="C597" s="2003"/>
      <c r="D597" s="2003"/>
      <c r="E597" s="2003"/>
      <c r="F597" s="2003"/>
      <c r="G597" s="2004"/>
      <c r="H597" s="2005"/>
      <c r="I597" s="1723"/>
      <c r="J597" s="1721"/>
      <c r="K597" s="1721"/>
      <c r="L597" s="2006"/>
      <c r="M597" s="2007"/>
      <c r="N597" s="2037"/>
      <c r="O597" s="2037"/>
      <c r="P597" s="2037"/>
      <c r="Q597" s="1725"/>
      <c r="R597" s="1725"/>
      <c r="S597" s="1725"/>
      <c r="T597" s="1725"/>
    </row>
    <row r="598" spans="1:20" s="175" customFormat="1" ht="13.5" hidden="1" customHeight="1">
      <c r="A598" s="2038" t="s">
        <v>413</v>
      </c>
      <c r="B598" s="2053" t="s">
        <v>1943</v>
      </c>
      <c r="C598" s="2003"/>
      <c r="D598" s="2003"/>
      <c r="E598" s="2003"/>
      <c r="F598" s="2003"/>
      <c r="G598" s="2882" t="str">
        <f>G596</f>
        <v>Each Sqm</v>
      </c>
      <c r="H598" s="2883"/>
      <c r="I598" s="1723">
        <f>K3179</f>
        <v>1509.4805000000001</v>
      </c>
      <c r="J598" s="1721"/>
      <c r="K598" s="1721">
        <f>I598+J598</f>
        <v>1509.4805000000001</v>
      </c>
      <c r="L598" s="2884">
        <f t="shared" ref="L598:L599" si="102">ROUND(K598,1)</f>
        <v>1509.5</v>
      </c>
      <c r="M598" s="2885"/>
      <c r="N598" s="2037"/>
      <c r="O598" s="2037"/>
      <c r="P598" s="2037"/>
      <c r="Q598" s="1725"/>
      <c r="R598" s="1725"/>
      <c r="S598" s="1725"/>
      <c r="T598" s="1725"/>
    </row>
    <row r="599" spans="1:20" s="175" customFormat="1" ht="13.5" hidden="1" customHeight="1">
      <c r="A599" s="2038" t="s">
        <v>415</v>
      </c>
      <c r="B599" s="2054" t="s">
        <v>3588</v>
      </c>
      <c r="C599" s="2003"/>
      <c r="D599" s="2003"/>
      <c r="E599" s="2003"/>
      <c r="F599" s="2003"/>
      <c r="G599" s="2882" t="str">
        <f>G598</f>
        <v>Each Sqm</v>
      </c>
      <c r="H599" s="2883"/>
      <c r="I599" s="1723">
        <f>K3184</f>
        <v>1398.0045</v>
      </c>
      <c r="J599" s="1721"/>
      <c r="K599" s="1721">
        <f>I599+J599</f>
        <v>1398.0045</v>
      </c>
      <c r="L599" s="2884">
        <f t="shared" si="102"/>
        <v>1398</v>
      </c>
      <c r="M599" s="2885"/>
      <c r="N599" s="2037"/>
      <c r="O599" s="2037"/>
      <c r="P599" s="2037"/>
      <c r="Q599" s="1725"/>
      <c r="R599" s="1725"/>
      <c r="S599" s="1725"/>
      <c r="T599" s="1725"/>
    </row>
    <row r="600" spans="1:20" s="175" customFormat="1" ht="13.5" hidden="1" customHeight="1">
      <c r="A600" s="2055" t="s">
        <v>443</v>
      </c>
      <c r="B600" s="2057" t="s">
        <v>3632</v>
      </c>
      <c r="C600" s="2003"/>
      <c r="D600" s="2003"/>
      <c r="E600" s="2003"/>
      <c r="F600" s="2003"/>
      <c r="G600" s="2004"/>
      <c r="H600" s="2005"/>
      <c r="I600" s="1723"/>
      <c r="J600" s="1721"/>
      <c r="K600" s="1721"/>
      <c r="L600" s="2006"/>
      <c r="M600" s="2007"/>
      <c r="N600" s="2037"/>
      <c r="O600" s="2037"/>
      <c r="P600" s="2037"/>
      <c r="Q600" s="1725"/>
      <c r="R600" s="1725"/>
      <c r="S600" s="1725"/>
      <c r="T600" s="1725"/>
    </row>
    <row r="601" spans="1:20" s="175" customFormat="1" ht="13.5" hidden="1" customHeight="1">
      <c r="A601" s="2038" t="s">
        <v>413</v>
      </c>
      <c r="B601" s="2053" t="s">
        <v>1943</v>
      </c>
      <c r="C601" s="2003"/>
      <c r="D601" s="2003"/>
      <c r="E601" s="2003"/>
      <c r="F601" s="2003"/>
      <c r="G601" s="2882" t="str">
        <f>G598</f>
        <v>Each Sqm</v>
      </c>
      <c r="H601" s="2883"/>
      <c r="I601" s="1723">
        <f>K3190</f>
        <v>1741.7005000000001</v>
      </c>
      <c r="J601" s="1721"/>
      <c r="K601" s="1721">
        <f>I601+J601</f>
        <v>1741.7005000000001</v>
      </c>
      <c r="L601" s="2884">
        <f t="shared" ref="L601:L602" si="103">ROUND(K601,1)</f>
        <v>1741.7</v>
      </c>
      <c r="M601" s="2885"/>
      <c r="N601" s="2037"/>
      <c r="O601" s="2037"/>
      <c r="P601" s="2037"/>
      <c r="Q601" s="1725"/>
      <c r="R601" s="1725"/>
      <c r="S601" s="1725"/>
      <c r="T601" s="1725"/>
    </row>
    <row r="602" spans="1:20" s="175" customFormat="1" ht="13.5" hidden="1" customHeight="1">
      <c r="A602" s="2038" t="s">
        <v>415</v>
      </c>
      <c r="B602" s="2054" t="s">
        <v>3588</v>
      </c>
      <c r="C602" s="2003"/>
      <c r="D602" s="2003"/>
      <c r="E602" s="2003"/>
      <c r="F602" s="2003"/>
      <c r="G602" s="2882" t="str">
        <f>G599</f>
        <v>Each Sqm</v>
      </c>
      <c r="H602" s="2883"/>
      <c r="I602" s="1723">
        <f>K3195</f>
        <v>1616.7545</v>
      </c>
      <c r="J602" s="1721"/>
      <c r="K602" s="1721">
        <f>I602+J602</f>
        <v>1616.7545</v>
      </c>
      <c r="L602" s="2884">
        <f t="shared" si="103"/>
        <v>1616.8</v>
      </c>
      <c r="M602" s="2885"/>
      <c r="N602" s="2037"/>
      <c r="O602" s="2037"/>
      <c r="P602" s="2037"/>
      <c r="Q602" s="1725"/>
      <c r="R602" s="1725"/>
      <c r="S602" s="1725"/>
      <c r="T602" s="1725"/>
    </row>
    <row r="603" spans="1:20" s="175" customFormat="1" ht="13.5" hidden="1" customHeight="1">
      <c r="A603" s="1711" t="s">
        <v>484</v>
      </c>
      <c r="B603" s="2001" t="s">
        <v>3648</v>
      </c>
      <c r="C603" s="2003"/>
      <c r="D603" s="2003"/>
      <c r="E603" s="2003"/>
      <c r="F603" s="2003"/>
      <c r="G603" s="2882" t="s">
        <v>390</v>
      </c>
      <c r="H603" s="2883"/>
      <c r="I603" s="1723"/>
      <c r="J603" s="1721"/>
      <c r="K603" s="1721"/>
      <c r="L603" s="2884"/>
      <c r="M603" s="2885"/>
      <c r="N603" s="2037"/>
      <c r="O603" s="2037"/>
      <c r="P603" s="2037"/>
      <c r="T603" s="1759"/>
    </row>
    <row r="604" spans="1:20" s="175" customFormat="1" ht="13.5" hidden="1" customHeight="1">
      <c r="A604" s="2055" t="s">
        <v>383</v>
      </c>
      <c r="B604" s="2056" t="s">
        <v>384</v>
      </c>
      <c r="C604" s="2003"/>
      <c r="D604" s="2003"/>
      <c r="E604" s="2003"/>
      <c r="F604" s="2003"/>
      <c r="G604" s="2004"/>
      <c r="H604" s="2005"/>
      <c r="I604" s="1723"/>
      <c r="J604" s="1721"/>
      <c r="K604" s="1721"/>
      <c r="L604" s="2006"/>
      <c r="M604" s="2007"/>
      <c r="N604" s="2037"/>
      <c r="O604" s="2037"/>
      <c r="P604" s="2037"/>
      <c r="T604" s="1759"/>
    </row>
    <row r="605" spans="1:20" s="175" customFormat="1" ht="13.5" hidden="1" customHeight="1">
      <c r="A605" s="2038" t="s">
        <v>413</v>
      </c>
      <c r="B605" s="2053" t="s">
        <v>1943</v>
      </c>
      <c r="C605" s="2003"/>
      <c r="D605" s="2003"/>
      <c r="E605" s="2003"/>
      <c r="F605" s="2003"/>
      <c r="G605" s="2882" t="str">
        <f>G603</f>
        <v>Each Sqm</v>
      </c>
      <c r="H605" s="2883"/>
      <c r="I605" s="1723">
        <f>K3201</f>
        <v>2240.0208000000002</v>
      </c>
      <c r="J605" s="1721"/>
      <c r="K605" s="1721">
        <f>I605+J605</f>
        <v>2240.0208000000002</v>
      </c>
      <c r="L605" s="2884">
        <f t="shared" si="77"/>
        <v>2240</v>
      </c>
      <c r="M605" s="2885"/>
      <c r="N605" s="2037"/>
      <c r="O605" s="2037"/>
      <c r="P605" s="2037"/>
      <c r="Q605" s="1725"/>
      <c r="R605" s="1725"/>
      <c r="S605" s="1725"/>
      <c r="T605" s="1725"/>
    </row>
    <row r="606" spans="1:20" s="175" customFormat="1" ht="13.5" hidden="1" customHeight="1">
      <c r="A606" s="2038" t="s">
        <v>415</v>
      </c>
      <c r="B606" s="2054" t="s">
        <v>3588</v>
      </c>
      <c r="C606" s="2003"/>
      <c r="D606" s="2003"/>
      <c r="E606" s="2003"/>
      <c r="F606" s="2003"/>
      <c r="G606" s="2882" t="str">
        <f>G605</f>
        <v>Each Sqm</v>
      </c>
      <c r="H606" s="2883"/>
      <c r="I606" s="1723">
        <f>K3205</f>
        <v>2096.6831999999999</v>
      </c>
      <c r="J606" s="1721"/>
      <c r="K606" s="1721">
        <f>I606+J606</f>
        <v>2096.6831999999999</v>
      </c>
      <c r="L606" s="2884">
        <f t="shared" ref="L606" si="104">ROUND(K606,1)</f>
        <v>2096.6999999999998</v>
      </c>
      <c r="M606" s="2885"/>
      <c r="N606" s="2037"/>
      <c r="O606" s="2037"/>
      <c r="P606" s="2037"/>
      <c r="Q606" s="1725"/>
      <c r="R606" s="1725"/>
      <c r="S606" s="1725"/>
      <c r="T606" s="1725"/>
    </row>
    <row r="607" spans="1:20" s="175" customFormat="1" ht="13.5" hidden="1" customHeight="1">
      <c r="A607" s="2055" t="s">
        <v>386</v>
      </c>
      <c r="B607" s="2056" t="s">
        <v>387</v>
      </c>
      <c r="C607" s="2003"/>
      <c r="D607" s="2003"/>
      <c r="E607" s="2003"/>
      <c r="F607" s="2003"/>
      <c r="G607" s="2004"/>
      <c r="H607" s="2005"/>
      <c r="I607" s="1723"/>
      <c r="J607" s="1721"/>
      <c r="K607" s="1721"/>
      <c r="L607" s="2006"/>
      <c r="M607" s="2007"/>
      <c r="N607" s="2037"/>
      <c r="O607" s="2037"/>
      <c r="P607" s="2037"/>
      <c r="Q607" s="1725"/>
      <c r="R607" s="1725"/>
      <c r="S607" s="1725"/>
      <c r="T607" s="1725"/>
    </row>
    <row r="608" spans="1:20" s="175" customFormat="1" ht="13.5" hidden="1" customHeight="1">
      <c r="A608" s="2038" t="s">
        <v>413</v>
      </c>
      <c r="B608" s="2053" t="s">
        <v>1943</v>
      </c>
      <c r="C608" s="2003"/>
      <c r="D608" s="2003"/>
      <c r="E608" s="2003"/>
      <c r="F608" s="2003"/>
      <c r="G608" s="2882" t="str">
        <f>G606</f>
        <v>Each Sqm</v>
      </c>
      <c r="H608" s="2883"/>
      <c r="I608" s="1723">
        <f>K3211</f>
        <v>2578.9608000000003</v>
      </c>
      <c r="J608" s="1721"/>
      <c r="K608" s="1721">
        <f>I608+J608</f>
        <v>2578.9608000000003</v>
      </c>
      <c r="L608" s="2884">
        <f t="shared" ref="L608:L609" si="105">ROUND(K608,1)</f>
        <v>2579</v>
      </c>
      <c r="M608" s="2885"/>
      <c r="N608" s="2037"/>
      <c r="O608" s="2037"/>
      <c r="P608" s="2037"/>
      <c r="Q608" s="1725"/>
      <c r="R608" s="1725"/>
      <c r="S608" s="1725"/>
      <c r="T608" s="1725"/>
    </row>
    <row r="609" spans="1:20" s="175" customFormat="1" ht="13.5" hidden="1" customHeight="1">
      <c r="A609" s="2038" t="s">
        <v>415</v>
      </c>
      <c r="B609" s="2054" t="s">
        <v>3588</v>
      </c>
      <c r="C609" s="2003"/>
      <c r="D609" s="2003"/>
      <c r="E609" s="2003"/>
      <c r="F609" s="2003"/>
      <c r="G609" s="2882" t="str">
        <f>G608</f>
        <v>Each Sqm</v>
      </c>
      <c r="H609" s="2883"/>
      <c r="I609" s="1723">
        <f>K3216</f>
        <v>2419.3431999999998</v>
      </c>
      <c r="J609" s="1721"/>
      <c r="K609" s="1721">
        <f>I609+J609</f>
        <v>2419.3431999999998</v>
      </c>
      <c r="L609" s="2884">
        <f t="shared" si="105"/>
        <v>2419.3000000000002</v>
      </c>
      <c r="M609" s="2885"/>
      <c r="N609" s="2037"/>
      <c r="O609" s="2037"/>
      <c r="P609" s="2037"/>
      <c r="Q609" s="1725"/>
      <c r="R609" s="1725"/>
      <c r="S609" s="1725"/>
      <c r="T609" s="1725"/>
    </row>
    <row r="610" spans="1:20" s="175" customFormat="1" ht="13.5" hidden="1" customHeight="1">
      <c r="A610" s="2055" t="s">
        <v>432</v>
      </c>
      <c r="B610" s="2057" t="s">
        <v>3613</v>
      </c>
      <c r="C610" s="2003"/>
      <c r="D610" s="2003"/>
      <c r="E610" s="2003"/>
      <c r="F610" s="2003"/>
      <c r="G610" s="2004"/>
      <c r="H610" s="2005"/>
      <c r="I610" s="1723"/>
      <c r="J610" s="1721"/>
      <c r="K610" s="1721"/>
      <c r="L610" s="2006"/>
      <c r="M610" s="2007"/>
      <c r="N610" s="2037"/>
      <c r="O610" s="2037"/>
      <c r="P610" s="2037"/>
      <c r="Q610" s="1725"/>
      <c r="R610" s="1725"/>
      <c r="S610" s="1725"/>
      <c r="T610" s="1725"/>
    </row>
    <row r="611" spans="1:20" s="175" customFormat="1" ht="13.5" hidden="1" customHeight="1">
      <c r="A611" s="2038" t="s">
        <v>413</v>
      </c>
      <c r="B611" s="2053" t="s">
        <v>1943</v>
      </c>
      <c r="C611" s="2003"/>
      <c r="D611" s="2003"/>
      <c r="E611" s="2003"/>
      <c r="F611" s="2003"/>
      <c r="G611" s="2882" t="str">
        <f>G609</f>
        <v>Each Sqm</v>
      </c>
      <c r="H611" s="2883"/>
      <c r="I611" s="1723">
        <f>K3222</f>
        <v>2984.5608000000002</v>
      </c>
      <c r="J611" s="1721"/>
      <c r="K611" s="1721">
        <f>I611+J611</f>
        <v>2984.5608000000002</v>
      </c>
      <c r="L611" s="2884">
        <f t="shared" ref="L611:L612" si="106">ROUND(K611,1)</f>
        <v>2984.6</v>
      </c>
      <c r="M611" s="2885"/>
      <c r="N611" s="2037"/>
      <c r="O611" s="2037"/>
      <c r="P611" s="2037"/>
      <c r="Q611" s="1725"/>
      <c r="R611" s="1725"/>
      <c r="S611" s="1725"/>
      <c r="T611" s="1725"/>
    </row>
    <row r="612" spans="1:20" s="175" customFormat="1" ht="13.5" hidden="1" customHeight="1">
      <c r="A612" s="2038" t="s">
        <v>415</v>
      </c>
      <c r="B612" s="2054" t="s">
        <v>3588</v>
      </c>
      <c r="C612" s="2003"/>
      <c r="D612" s="2003"/>
      <c r="E612" s="2003"/>
      <c r="F612" s="2003"/>
      <c r="G612" s="2882" t="str">
        <f>G611</f>
        <v>Each Sqm</v>
      </c>
      <c r="H612" s="2883"/>
      <c r="I612" s="1723">
        <f>K3227</f>
        <v>2806.2231999999999</v>
      </c>
      <c r="J612" s="1721"/>
      <c r="K612" s="1721">
        <f>I612+J612</f>
        <v>2806.2231999999999</v>
      </c>
      <c r="L612" s="2884">
        <f t="shared" si="106"/>
        <v>2806.2</v>
      </c>
      <c r="M612" s="2885"/>
      <c r="N612" s="2037"/>
      <c r="O612" s="2037"/>
      <c r="P612" s="2037"/>
      <c r="Q612" s="1725"/>
      <c r="R612" s="1725"/>
      <c r="S612" s="1725"/>
      <c r="T612" s="1725"/>
    </row>
    <row r="613" spans="1:20" s="175" customFormat="1" ht="13.5" hidden="1" customHeight="1">
      <c r="A613" s="2055" t="s">
        <v>443</v>
      </c>
      <c r="B613" s="2057" t="s">
        <v>3632</v>
      </c>
      <c r="C613" s="2003"/>
      <c r="D613" s="2003"/>
      <c r="E613" s="2003"/>
      <c r="F613" s="2003"/>
      <c r="G613" s="2004"/>
      <c r="H613" s="2005"/>
      <c r="I613" s="1723"/>
      <c r="J613" s="1721"/>
      <c r="K613" s="1721"/>
      <c r="L613" s="2006"/>
      <c r="M613" s="2007"/>
      <c r="N613" s="2037"/>
      <c r="O613" s="2037"/>
      <c r="P613" s="2037"/>
      <c r="Q613" s="1725"/>
      <c r="R613" s="1725"/>
      <c r="S613" s="1725"/>
      <c r="T613" s="1725"/>
    </row>
    <row r="614" spans="1:20" s="175" customFormat="1" ht="13.5" hidden="1" customHeight="1">
      <c r="A614" s="2038" t="s">
        <v>413</v>
      </c>
      <c r="B614" s="2053" t="s">
        <v>1943</v>
      </c>
      <c r="C614" s="2003"/>
      <c r="D614" s="2003"/>
      <c r="E614" s="2003"/>
      <c r="F614" s="2003"/>
      <c r="G614" s="2882" t="str">
        <f>G611</f>
        <v>Each Sqm</v>
      </c>
      <c r="H614" s="2883"/>
      <c r="I614" s="1723">
        <f>K3233</f>
        <v>3469.9808000000003</v>
      </c>
      <c r="J614" s="1721"/>
      <c r="K614" s="1721">
        <f>I614+J614</f>
        <v>3469.9808000000003</v>
      </c>
      <c r="L614" s="2884">
        <f t="shared" ref="L614:L615" si="107">ROUND(K614,1)</f>
        <v>3470</v>
      </c>
      <c r="M614" s="2885"/>
      <c r="N614" s="2037"/>
      <c r="O614" s="2037"/>
      <c r="P614" s="2037"/>
      <c r="Q614" s="1725"/>
      <c r="R614" s="1725"/>
      <c r="S614" s="1725"/>
      <c r="T614" s="1725"/>
    </row>
    <row r="615" spans="1:20" s="175" customFormat="1" ht="13.5" hidden="1" customHeight="1">
      <c r="A615" s="2038" t="s">
        <v>415</v>
      </c>
      <c r="B615" s="2054" t="s">
        <v>3588</v>
      </c>
      <c r="C615" s="2003"/>
      <c r="D615" s="2003"/>
      <c r="E615" s="2003"/>
      <c r="F615" s="2003"/>
      <c r="G615" s="2882" t="str">
        <f>G612</f>
        <v>Each Sqm</v>
      </c>
      <c r="H615" s="2883"/>
      <c r="I615" s="1723">
        <f>K3238</f>
        <v>3270.1131999999998</v>
      </c>
      <c r="J615" s="1721"/>
      <c r="K615" s="1721">
        <f>I615+J615</f>
        <v>3270.1131999999998</v>
      </c>
      <c r="L615" s="2884">
        <f t="shared" si="107"/>
        <v>3270.1</v>
      </c>
      <c r="M615" s="2885"/>
      <c r="N615" s="2037"/>
      <c r="O615" s="2037"/>
      <c r="P615" s="2037"/>
      <c r="Q615" s="1725"/>
      <c r="R615" s="1725"/>
      <c r="S615" s="1725"/>
      <c r="T615" s="1725"/>
    </row>
    <row r="616" spans="1:20" s="1741" customFormat="1" ht="13.5" customHeight="1">
      <c r="A616" s="1711">
        <f>A518+1</f>
        <v>53</v>
      </c>
      <c r="B616" s="2002" t="s">
        <v>3815</v>
      </c>
      <c r="C616" s="2003"/>
      <c r="D616" s="2003"/>
      <c r="E616" s="2003"/>
      <c r="F616" s="2003"/>
      <c r="G616" s="2882" t="s">
        <v>486</v>
      </c>
      <c r="H616" s="2883"/>
      <c r="I616" s="1723"/>
      <c r="J616" s="1721"/>
      <c r="K616" s="1721"/>
      <c r="L616" s="2884"/>
      <c r="M616" s="2885"/>
      <c r="O616" s="1735" t="s">
        <v>487</v>
      </c>
      <c r="T616" s="1706"/>
    </row>
    <row r="617" spans="1:20" s="1741" customFormat="1" ht="13.5" customHeight="1">
      <c r="A617" s="2040" t="s">
        <v>383</v>
      </c>
      <c r="B617" s="2041" t="s">
        <v>384</v>
      </c>
      <c r="C617" s="2002"/>
      <c r="D617" s="2002"/>
      <c r="E617" s="2002"/>
      <c r="F617" s="2002"/>
      <c r="G617" s="2882" t="str">
        <f>G616</f>
        <v>Each Qtl</v>
      </c>
      <c r="H617" s="2883"/>
      <c r="I617" s="1723">
        <f>K3261</f>
        <v>8589.7329999999984</v>
      </c>
      <c r="J617" s="1721"/>
      <c r="K617" s="1721">
        <f>I617+J617</f>
        <v>8589.7329999999984</v>
      </c>
      <c r="L617" s="2884">
        <f>ROUND(K617,1)</f>
        <v>8589.7000000000007</v>
      </c>
      <c r="M617" s="2885"/>
      <c r="T617" s="1735"/>
    </row>
    <row r="618" spans="1:20" s="1741" customFormat="1" ht="13.5" hidden="1" customHeight="1">
      <c r="A618" s="2040" t="s">
        <v>386</v>
      </c>
      <c r="B618" s="2041" t="s">
        <v>387</v>
      </c>
      <c r="C618" s="2002"/>
      <c r="D618" s="2002"/>
      <c r="E618" s="2002"/>
      <c r="F618" s="2002"/>
      <c r="G618" s="2882" t="str">
        <f>G617</f>
        <v>Each Qtl</v>
      </c>
      <c r="H618" s="2883"/>
      <c r="I618" s="1723">
        <f>K3269</f>
        <v>9016.9429999999993</v>
      </c>
      <c r="J618" s="1721"/>
      <c r="K618" s="1721">
        <f>I618+J618</f>
        <v>9016.9429999999993</v>
      </c>
      <c r="L618" s="2884">
        <f>ROUND(K618,1)</f>
        <v>9016.9</v>
      </c>
      <c r="M618" s="2885"/>
      <c r="T618" s="1735"/>
    </row>
    <row r="619" spans="1:20" s="1741" customFormat="1" ht="13.5" hidden="1" customHeight="1">
      <c r="A619" s="2049" t="s">
        <v>432</v>
      </c>
      <c r="B619" s="2043" t="s">
        <v>3613</v>
      </c>
      <c r="C619" s="2002"/>
      <c r="D619" s="2002"/>
      <c r="E619" s="2002"/>
      <c r="F619" s="2002"/>
      <c r="G619" s="2882" t="str">
        <f>G618</f>
        <v>Each Qtl</v>
      </c>
      <c r="H619" s="2883"/>
      <c r="I619" s="1723">
        <f>K3277</f>
        <v>9465.5129999999972</v>
      </c>
      <c r="J619" s="1721"/>
      <c r="K619" s="1721">
        <f>I619+J619</f>
        <v>9465.5129999999972</v>
      </c>
      <c r="L619" s="2884">
        <f>ROUND(K619,1)</f>
        <v>9465.5</v>
      </c>
      <c r="M619" s="2885"/>
      <c r="T619" s="1735"/>
    </row>
    <row r="620" spans="1:20" s="175" customFormat="1" ht="13.5" hidden="1" customHeight="1">
      <c r="A620" s="2008" t="s">
        <v>443</v>
      </c>
      <c r="B620" s="2009" t="s">
        <v>3632</v>
      </c>
      <c r="C620" s="2003"/>
      <c r="D620" s="2003"/>
      <c r="E620" s="2003"/>
      <c r="F620" s="2003"/>
      <c r="G620" s="2882" t="str">
        <f>G619</f>
        <v>Each Qtl</v>
      </c>
      <c r="H620" s="2883"/>
      <c r="I620" s="1723">
        <f>K3285</f>
        <v>9936.502999999997</v>
      </c>
      <c r="J620" s="1721"/>
      <c r="K620" s="1721">
        <f>I620+J620</f>
        <v>9936.502999999997</v>
      </c>
      <c r="L620" s="2884">
        <f>ROUND(K620,1)</f>
        <v>9936.5</v>
      </c>
      <c r="M620" s="2885"/>
      <c r="N620" s="1767"/>
      <c r="O620" s="1725"/>
      <c r="P620" s="1767"/>
      <c r="Q620" s="1725"/>
      <c r="R620" s="1725"/>
      <c r="S620" s="1725"/>
    </row>
    <row r="621" spans="1:20" s="175" customFormat="1" ht="13.5" hidden="1" customHeight="1">
      <c r="A621" s="1711">
        <f>A616+1</f>
        <v>54</v>
      </c>
      <c r="B621" s="2058" t="s">
        <v>3816</v>
      </c>
      <c r="C621" s="2003"/>
      <c r="D621" s="2003"/>
      <c r="E621" s="2003"/>
      <c r="F621" s="2003"/>
      <c r="G621" s="2882" t="s">
        <v>488</v>
      </c>
      <c r="H621" s="2883"/>
      <c r="I621" s="1723"/>
      <c r="J621" s="1721"/>
      <c r="K621" s="1721"/>
      <c r="L621" s="2884"/>
      <c r="M621" s="2885"/>
      <c r="N621" s="2037"/>
      <c r="O621" s="2037"/>
      <c r="P621" s="2037"/>
      <c r="T621" s="1759"/>
    </row>
    <row r="622" spans="1:20" s="175" customFormat="1" ht="13.5" hidden="1" customHeight="1">
      <c r="A622" s="1711" t="s">
        <v>468</v>
      </c>
      <c r="B622" s="2059" t="s">
        <v>489</v>
      </c>
      <c r="C622" s="2003"/>
      <c r="D622" s="2003"/>
      <c r="E622" s="2003"/>
      <c r="F622" s="2003"/>
      <c r="G622" s="2882" t="s">
        <v>488</v>
      </c>
      <c r="H622" s="2883"/>
      <c r="I622" s="1723">
        <f>K3319</f>
        <v>17022</v>
      </c>
      <c r="J622" s="1721"/>
      <c r="K622" s="1721">
        <f>I622+J622</f>
        <v>17022</v>
      </c>
      <c r="L622" s="2884">
        <f t="shared" ref="L622:L640" si="108">ROUND(K622,1)</f>
        <v>17022</v>
      </c>
      <c r="M622" s="2885"/>
      <c r="N622" s="2037"/>
      <c r="O622" s="2037"/>
      <c r="P622" s="2037"/>
      <c r="Q622" s="1725"/>
      <c r="R622" s="1725"/>
      <c r="S622" s="1725"/>
      <c r="T622" s="1725"/>
    </row>
    <row r="623" spans="1:20" s="175" customFormat="1" ht="13.5" hidden="1" customHeight="1">
      <c r="A623" s="1967" t="s">
        <v>383</v>
      </c>
      <c r="B623" s="2002" t="s">
        <v>490</v>
      </c>
      <c r="C623" s="2003"/>
      <c r="D623" s="2003"/>
      <c r="E623" s="2003"/>
      <c r="F623" s="2003"/>
      <c r="G623" s="2882" t="str">
        <f>G622</f>
        <v>Each No</v>
      </c>
      <c r="H623" s="2883"/>
      <c r="I623" s="1723">
        <f>K3311</f>
        <v>11396.6</v>
      </c>
      <c r="J623" s="1721"/>
      <c r="K623" s="1721">
        <f>I623+J623</f>
        <v>11396.6</v>
      </c>
      <c r="L623" s="2884">
        <f t="shared" si="108"/>
        <v>11396.6</v>
      </c>
      <c r="M623" s="2885"/>
      <c r="N623" s="2037"/>
      <c r="O623" s="2037"/>
      <c r="P623" s="2037"/>
      <c r="Q623" s="1725"/>
      <c r="R623" s="1725"/>
      <c r="S623" s="1725"/>
      <c r="T623" s="1725"/>
    </row>
    <row r="624" spans="1:20" s="175" customFormat="1" ht="13.5" hidden="1" customHeight="1">
      <c r="A624" s="1967" t="s">
        <v>386</v>
      </c>
      <c r="B624" s="2019" t="s">
        <v>491</v>
      </c>
      <c r="C624" s="2003"/>
      <c r="D624" s="2003"/>
      <c r="E624" s="2003"/>
      <c r="F624" s="2003"/>
      <c r="G624" s="2882" t="s">
        <v>492</v>
      </c>
      <c r="H624" s="2883"/>
      <c r="I624" s="1723">
        <f>K3316</f>
        <v>1406.3412403124998</v>
      </c>
      <c r="J624" s="1721"/>
      <c r="K624" s="1721">
        <f>I624+J624</f>
        <v>1406.3412403124998</v>
      </c>
      <c r="L624" s="2884">
        <f t="shared" si="108"/>
        <v>1406.3</v>
      </c>
      <c r="M624" s="2885"/>
      <c r="N624" s="2037"/>
      <c r="O624" s="2037"/>
      <c r="P624" s="2037"/>
      <c r="Q624" s="1725"/>
      <c r="R624" s="1725"/>
      <c r="S624" s="1725"/>
      <c r="T624" s="1725"/>
    </row>
    <row r="625" spans="1:20" s="175" customFormat="1" ht="13.5" hidden="1" customHeight="1">
      <c r="A625" s="1711" t="s">
        <v>470</v>
      </c>
      <c r="B625" s="2059" t="s">
        <v>493</v>
      </c>
      <c r="C625" s="2003"/>
      <c r="D625" s="2003"/>
      <c r="E625" s="2003"/>
      <c r="F625" s="2003"/>
      <c r="G625" s="2882" t="s">
        <v>488</v>
      </c>
      <c r="H625" s="2883"/>
      <c r="I625" s="1723">
        <f>K3344</f>
        <v>12517.9</v>
      </c>
      <c r="J625" s="1721"/>
      <c r="K625" s="1721">
        <f t="shared" ref="K625:K630" si="109">I625+J625</f>
        <v>12517.9</v>
      </c>
      <c r="L625" s="2884">
        <f t="shared" si="108"/>
        <v>12517.9</v>
      </c>
      <c r="M625" s="2885"/>
      <c r="N625" s="2037"/>
      <c r="O625" s="2037"/>
      <c r="P625" s="2037"/>
      <c r="Q625" s="1725"/>
      <c r="R625" s="1725"/>
      <c r="S625" s="1725"/>
      <c r="T625" s="1725"/>
    </row>
    <row r="626" spans="1:20" s="175" customFormat="1" ht="13.5" hidden="1" customHeight="1">
      <c r="A626" s="1967" t="s">
        <v>383</v>
      </c>
      <c r="B626" s="2002" t="s">
        <v>494</v>
      </c>
      <c r="C626" s="2003"/>
      <c r="D626" s="2003"/>
      <c r="E626" s="2003"/>
      <c r="F626" s="2003"/>
      <c r="G626" s="2882" t="str">
        <f>G625</f>
        <v>Each No</v>
      </c>
      <c r="H626" s="2883"/>
      <c r="I626" s="1723">
        <f>K3336</f>
        <v>8178.2</v>
      </c>
      <c r="J626" s="1721"/>
      <c r="K626" s="1721">
        <f t="shared" si="109"/>
        <v>8178.2</v>
      </c>
      <c r="L626" s="2884">
        <f t="shared" si="108"/>
        <v>8178.2</v>
      </c>
      <c r="M626" s="2885"/>
      <c r="N626" s="2037"/>
      <c r="O626" s="2037"/>
      <c r="P626" s="2037"/>
      <c r="Q626" s="1725"/>
      <c r="R626" s="1725"/>
      <c r="S626" s="1725"/>
      <c r="T626" s="1725"/>
    </row>
    <row r="627" spans="1:20" s="175" customFormat="1" ht="13.5" hidden="1" customHeight="1">
      <c r="A627" s="1967" t="s">
        <v>386</v>
      </c>
      <c r="B627" s="2019" t="s">
        <v>491</v>
      </c>
      <c r="C627" s="2003"/>
      <c r="D627" s="2003"/>
      <c r="E627" s="2003"/>
      <c r="F627" s="2003"/>
      <c r="G627" s="2882" t="s">
        <v>492</v>
      </c>
      <c r="H627" s="2883"/>
      <c r="I627" s="1723">
        <f>K3341</f>
        <v>1084.9045594104143</v>
      </c>
      <c r="J627" s="1721"/>
      <c r="K627" s="1721">
        <f t="shared" si="109"/>
        <v>1084.9045594104143</v>
      </c>
      <c r="L627" s="2884">
        <f t="shared" si="108"/>
        <v>1084.9000000000001</v>
      </c>
      <c r="M627" s="2885"/>
      <c r="N627" s="2037"/>
      <c r="O627" s="2037"/>
      <c r="P627" s="2037"/>
      <c r="Q627" s="1725"/>
      <c r="R627" s="1725"/>
      <c r="S627" s="1725"/>
      <c r="T627" s="1725"/>
    </row>
    <row r="628" spans="1:20" s="175" customFormat="1" ht="13.5" hidden="1" customHeight="1">
      <c r="A628" s="1711" t="s">
        <v>472</v>
      </c>
      <c r="B628" s="2059" t="s">
        <v>495</v>
      </c>
      <c r="C628" s="2003"/>
      <c r="D628" s="2003"/>
      <c r="E628" s="2003"/>
      <c r="F628" s="2003"/>
      <c r="G628" s="2882" t="s">
        <v>488</v>
      </c>
      <c r="H628" s="2883"/>
      <c r="I628" s="1723">
        <f>K3369</f>
        <v>10097.700000000001</v>
      </c>
      <c r="J628" s="1721"/>
      <c r="K628" s="1721">
        <f t="shared" si="109"/>
        <v>10097.700000000001</v>
      </c>
      <c r="L628" s="2884">
        <f t="shared" si="108"/>
        <v>10097.700000000001</v>
      </c>
      <c r="M628" s="2885"/>
      <c r="N628" s="2037"/>
      <c r="O628" s="2037"/>
      <c r="P628" s="2037"/>
      <c r="Q628" s="1725"/>
      <c r="R628" s="1725"/>
      <c r="S628" s="1725"/>
      <c r="T628" s="1725"/>
    </row>
    <row r="629" spans="1:20" s="175" customFormat="1" ht="13.5" hidden="1" customHeight="1">
      <c r="A629" s="1967" t="s">
        <v>383</v>
      </c>
      <c r="B629" s="2002" t="s">
        <v>496</v>
      </c>
      <c r="C629" s="2003"/>
      <c r="D629" s="2003"/>
      <c r="E629" s="2003"/>
      <c r="F629" s="2003"/>
      <c r="G629" s="2882" t="str">
        <f>G628</f>
        <v>Each No</v>
      </c>
      <c r="H629" s="2883"/>
      <c r="I629" s="1723">
        <f>K3361</f>
        <v>6456.5</v>
      </c>
      <c r="J629" s="1721"/>
      <c r="K629" s="1721">
        <f t="shared" si="109"/>
        <v>6456.5</v>
      </c>
      <c r="L629" s="2884">
        <f t="shared" si="108"/>
        <v>6456.5</v>
      </c>
      <c r="M629" s="2885"/>
      <c r="N629" s="2037"/>
      <c r="O629" s="2037"/>
      <c r="P629" s="2037"/>
      <c r="Q629" s="1725"/>
      <c r="R629" s="1725"/>
      <c r="S629" s="1725"/>
      <c r="T629" s="1725"/>
    </row>
    <row r="630" spans="1:20" s="175" customFormat="1" ht="13.5" hidden="1" customHeight="1">
      <c r="A630" s="1967" t="s">
        <v>386</v>
      </c>
      <c r="B630" s="2019" t="s">
        <v>491</v>
      </c>
      <c r="C630" s="2003"/>
      <c r="D630" s="2003"/>
      <c r="E630" s="2003"/>
      <c r="F630" s="2003"/>
      <c r="G630" s="2882" t="s">
        <v>492</v>
      </c>
      <c r="H630" s="2883"/>
      <c r="I630" s="1723">
        <f>K3366</f>
        <v>910.29674403500985</v>
      </c>
      <c r="J630" s="1721"/>
      <c r="K630" s="1721">
        <f t="shared" si="109"/>
        <v>910.29674403500985</v>
      </c>
      <c r="L630" s="2884">
        <f t="shared" si="108"/>
        <v>910.3</v>
      </c>
      <c r="M630" s="2885"/>
      <c r="N630" s="2037"/>
      <c r="O630" s="2037"/>
      <c r="P630" s="2037"/>
      <c r="Q630" s="1725"/>
      <c r="R630" s="1725"/>
      <c r="S630" s="1725"/>
      <c r="T630" s="1725"/>
    </row>
    <row r="631" spans="1:20" s="175" customFormat="1" ht="13.5" hidden="1" customHeight="1">
      <c r="A631" s="1711">
        <f>A621+1</f>
        <v>55</v>
      </c>
      <c r="B631" s="2058" t="s">
        <v>3817</v>
      </c>
      <c r="C631" s="2003"/>
      <c r="D631" s="2003"/>
      <c r="E631" s="2003"/>
      <c r="F631" s="2003"/>
      <c r="G631" s="2882" t="s">
        <v>488</v>
      </c>
      <c r="H631" s="2883"/>
      <c r="I631" s="1723"/>
      <c r="J631" s="1721"/>
      <c r="K631" s="1721"/>
      <c r="L631" s="2884"/>
      <c r="M631" s="2885"/>
      <c r="N631" s="2037"/>
      <c r="O631" s="2037"/>
      <c r="P631" s="2037"/>
      <c r="T631" s="1759"/>
    </row>
    <row r="632" spans="1:20" s="175" customFormat="1" ht="13.5" hidden="1" customHeight="1">
      <c r="A632" s="1711" t="s">
        <v>468</v>
      </c>
      <c r="B632" s="2059" t="s">
        <v>489</v>
      </c>
      <c r="C632" s="2003"/>
      <c r="D632" s="2003"/>
      <c r="E632" s="2003"/>
      <c r="F632" s="2003"/>
      <c r="G632" s="2882" t="s">
        <v>488</v>
      </c>
      <c r="H632" s="2883"/>
      <c r="I632" s="1723">
        <f>K3404</f>
        <v>18787.933199999999</v>
      </c>
      <c r="J632" s="1721"/>
      <c r="K632" s="1721">
        <f t="shared" ref="K632:K640" si="110">I632+J632</f>
        <v>18787.933199999999</v>
      </c>
      <c r="L632" s="2884">
        <f t="shared" si="108"/>
        <v>18787.900000000001</v>
      </c>
      <c r="M632" s="2885"/>
      <c r="N632" s="2037"/>
      <c r="O632" s="2037"/>
      <c r="P632" s="2037"/>
      <c r="Q632" s="1725"/>
      <c r="R632" s="1725"/>
      <c r="S632" s="1725"/>
      <c r="T632" s="1725"/>
    </row>
    <row r="633" spans="1:20" s="175" customFormat="1" ht="13.5" hidden="1" customHeight="1">
      <c r="A633" s="1967" t="s">
        <v>383</v>
      </c>
      <c r="B633" s="2002" t="s">
        <v>490</v>
      </c>
      <c r="C633" s="2003"/>
      <c r="D633" s="2003"/>
      <c r="E633" s="2003"/>
      <c r="F633" s="2003"/>
      <c r="G633" s="2882" t="str">
        <f>G632</f>
        <v>Each No</v>
      </c>
      <c r="H633" s="2883"/>
      <c r="I633" s="1723">
        <f>K3396</f>
        <v>13162.57</v>
      </c>
      <c r="J633" s="1721"/>
      <c r="K633" s="1721">
        <f t="shared" si="110"/>
        <v>13162.57</v>
      </c>
      <c r="L633" s="2884">
        <f t="shared" si="108"/>
        <v>13162.6</v>
      </c>
      <c r="M633" s="2885"/>
      <c r="N633" s="2037"/>
      <c r="O633" s="2037"/>
      <c r="P633" s="2037"/>
      <c r="Q633" s="1725"/>
      <c r="R633" s="1725"/>
      <c r="S633" s="1725"/>
      <c r="T633" s="1725"/>
    </row>
    <row r="634" spans="1:20" s="175" customFormat="1" ht="13.5" hidden="1" customHeight="1">
      <c r="A634" s="1967" t="s">
        <v>386</v>
      </c>
      <c r="B634" s="2019" t="s">
        <v>491</v>
      </c>
      <c r="C634" s="2003"/>
      <c r="D634" s="2003"/>
      <c r="E634" s="2003"/>
      <c r="F634" s="2003"/>
      <c r="G634" s="2882" t="s">
        <v>492</v>
      </c>
      <c r="H634" s="2883"/>
      <c r="I634" s="1723">
        <f>K3402</f>
        <v>1406.3407999999999</v>
      </c>
      <c r="J634" s="1721"/>
      <c r="K634" s="1721">
        <f t="shared" si="110"/>
        <v>1406.3407999999999</v>
      </c>
      <c r="L634" s="2884">
        <f t="shared" si="108"/>
        <v>1406.3</v>
      </c>
      <c r="M634" s="2885"/>
      <c r="N634" s="2037"/>
      <c r="O634" s="2037"/>
      <c r="P634" s="2037"/>
      <c r="Q634" s="1725"/>
      <c r="R634" s="1725"/>
      <c r="S634" s="1725"/>
      <c r="T634" s="1725"/>
    </row>
    <row r="635" spans="1:20" s="175" customFormat="1" ht="13.5" hidden="1" customHeight="1">
      <c r="A635" s="1711" t="s">
        <v>470</v>
      </c>
      <c r="B635" s="2059" t="s">
        <v>493</v>
      </c>
      <c r="C635" s="2003"/>
      <c r="D635" s="2003"/>
      <c r="E635" s="2003"/>
      <c r="F635" s="2003"/>
      <c r="G635" s="2882" t="s">
        <v>488</v>
      </c>
      <c r="H635" s="2883"/>
      <c r="I635" s="1723">
        <f>K3430</f>
        <v>14383.778199999999</v>
      </c>
      <c r="J635" s="1721"/>
      <c r="K635" s="1721">
        <f t="shared" si="110"/>
        <v>14383.778199999999</v>
      </c>
      <c r="L635" s="2884">
        <f t="shared" si="108"/>
        <v>14383.8</v>
      </c>
      <c r="M635" s="2885"/>
      <c r="N635" s="2037"/>
      <c r="O635" s="2037"/>
      <c r="P635" s="2037"/>
      <c r="Q635" s="1725"/>
      <c r="R635" s="1725"/>
      <c r="S635" s="1725"/>
      <c r="T635" s="1725"/>
    </row>
    <row r="636" spans="1:20" s="175" customFormat="1" ht="13.5" hidden="1" customHeight="1">
      <c r="A636" s="1967" t="s">
        <v>383</v>
      </c>
      <c r="B636" s="2002" t="s">
        <v>494</v>
      </c>
      <c r="C636" s="2003"/>
      <c r="D636" s="2003"/>
      <c r="E636" s="2003"/>
      <c r="F636" s="2003"/>
      <c r="G636" s="2882" t="str">
        <f>G635</f>
        <v>Each No</v>
      </c>
      <c r="H636" s="2883"/>
      <c r="I636" s="1723">
        <f>K3422</f>
        <v>10044.174999999999</v>
      </c>
      <c r="J636" s="1721"/>
      <c r="K636" s="1721">
        <f t="shared" si="110"/>
        <v>10044.174999999999</v>
      </c>
      <c r="L636" s="2884">
        <f t="shared" si="108"/>
        <v>10044.200000000001</v>
      </c>
      <c r="M636" s="2885"/>
      <c r="N636" s="2037"/>
      <c r="O636" s="2037"/>
      <c r="P636" s="2037"/>
      <c r="Q636" s="1725"/>
      <c r="R636" s="1725"/>
      <c r="S636" s="1725"/>
      <c r="T636" s="1725"/>
    </row>
    <row r="637" spans="1:20" s="175" customFormat="1" ht="13.5" hidden="1" customHeight="1">
      <c r="A637" s="1967" t="s">
        <v>386</v>
      </c>
      <c r="B637" s="2019" t="s">
        <v>491</v>
      </c>
      <c r="C637" s="2003"/>
      <c r="D637" s="2003"/>
      <c r="E637" s="2003"/>
      <c r="F637" s="2003"/>
      <c r="G637" s="2882" t="s">
        <v>492</v>
      </c>
      <c r="H637" s="2883"/>
      <c r="I637" s="1723">
        <f>K3428</f>
        <v>1084.9007999999999</v>
      </c>
      <c r="J637" s="1721"/>
      <c r="K637" s="1721">
        <f t="shared" si="110"/>
        <v>1084.9007999999999</v>
      </c>
      <c r="L637" s="2884">
        <f t="shared" si="108"/>
        <v>1084.9000000000001</v>
      </c>
      <c r="M637" s="2885"/>
      <c r="N637" s="2037"/>
      <c r="O637" s="2037"/>
      <c r="P637" s="2037"/>
      <c r="Q637" s="1725"/>
      <c r="R637" s="1725"/>
      <c r="S637" s="1725"/>
      <c r="T637" s="1725"/>
    </row>
    <row r="638" spans="1:20" s="175" customFormat="1" ht="13.5" hidden="1" customHeight="1">
      <c r="A638" s="1711" t="s">
        <v>472</v>
      </c>
      <c r="B638" s="2059" t="s">
        <v>495</v>
      </c>
      <c r="C638" s="2003"/>
      <c r="D638" s="2003"/>
      <c r="E638" s="2003"/>
      <c r="F638" s="2003"/>
      <c r="G638" s="2882" t="s">
        <v>488</v>
      </c>
      <c r="H638" s="2883"/>
      <c r="I638" s="1723">
        <f>K3456</f>
        <v>11504.5797</v>
      </c>
      <c r="J638" s="1721"/>
      <c r="K638" s="1721">
        <f t="shared" si="110"/>
        <v>11504.5797</v>
      </c>
      <c r="L638" s="2884">
        <f t="shared" si="108"/>
        <v>11504.6</v>
      </c>
      <c r="M638" s="2885"/>
      <c r="N638" s="2037"/>
      <c r="O638" s="2037"/>
      <c r="P638" s="2037"/>
      <c r="Q638" s="1725"/>
      <c r="R638" s="1725"/>
      <c r="S638" s="1725"/>
      <c r="T638" s="1725"/>
    </row>
    <row r="639" spans="1:20" s="175" customFormat="1" ht="13.5" hidden="1" customHeight="1">
      <c r="A639" s="1967" t="s">
        <v>383</v>
      </c>
      <c r="B639" s="2002" t="s">
        <v>496</v>
      </c>
      <c r="C639" s="2003"/>
      <c r="D639" s="2003"/>
      <c r="E639" s="2003"/>
      <c r="F639" s="2003"/>
      <c r="G639" s="2882" t="str">
        <f>G638</f>
        <v>Each No</v>
      </c>
      <c r="H639" s="2883"/>
      <c r="I639" s="1723">
        <f>K3448</f>
        <v>7863.3765000000003</v>
      </c>
      <c r="J639" s="1721"/>
      <c r="K639" s="1721">
        <f t="shared" si="110"/>
        <v>7863.3765000000003</v>
      </c>
      <c r="L639" s="2884">
        <f t="shared" si="108"/>
        <v>7863.4</v>
      </c>
      <c r="M639" s="2885"/>
      <c r="N639" s="2037"/>
      <c r="O639" s="2037"/>
      <c r="P639" s="2037"/>
      <c r="Q639" s="1725"/>
      <c r="R639" s="1725"/>
      <c r="S639" s="1725"/>
      <c r="T639" s="1725"/>
    </row>
    <row r="640" spans="1:20" s="175" customFormat="1" ht="13.5" hidden="1" customHeight="1">
      <c r="A640" s="1967" t="s">
        <v>386</v>
      </c>
      <c r="B640" s="2002" t="s">
        <v>491</v>
      </c>
      <c r="C640" s="2003"/>
      <c r="D640" s="2003"/>
      <c r="E640" s="2002"/>
      <c r="F640" s="2002"/>
      <c r="G640" s="2882" t="s">
        <v>492</v>
      </c>
      <c r="H640" s="2883"/>
      <c r="I640" s="1723">
        <f>K3454</f>
        <v>910.30079999999998</v>
      </c>
      <c r="J640" s="1721"/>
      <c r="K640" s="1721">
        <f t="shared" si="110"/>
        <v>910.30079999999998</v>
      </c>
      <c r="L640" s="2884">
        <f t="shared" si="108"/>
        <v>910.3</v>
      </c>
      <c r="M640" s="2885"/>
      <c r="N640" s="2037"/>
      <c r="O640" s="2037"/>
      <c r="P640" s="2037"/>
      <c r="Q640" s="1725"/>
      <c r="R640" s="1725"/>
      <c r="S640" s="1725"/>
      <c r="T640" s="1725"/>
    </row>
    <row r="641" spans="1:25" s="175" customFormat="1" ht="13.5" hidden="1" customHeight="1">
      <c r="A641" s="2036" t="s">
        <v>497</v>
      </c>
      <c r="B641" s="2002"/>
      <c r="C641" s="2002"/>
      <c r="D641" s="2002"/>
      <c r="E641" s="2002"/>
      <c r="F641" s="2002"/>
      <c r="G641" s="2002"/>
      <c r="H641" s="2002"/>
      <c r="I641" s="1829"/>
      <c r="J641" s="1829"/>
      <c r="K641" s="1711"/>
      <c r="L641" s="2013"/>
      <c r="M641" s="2014"/>
      <c r="N641" s="1761"/>
      <c r="O641" s="1761"/>
      <c r="P641" s="1761"/>
      <c r="Q641" s="2015" t="str">
        <f>A641</f>
        <v>C) Plastering, Flooring &amp; Grading concrete</v>
      </c>
      <c r="R641" s="1829"/>
      <c r="S641" s="1829"/>
      <c r="T641" s="2016"/>
      <c r="U641" s="1829"/>
      <c r="V641" s="1829"/>
      <c r="W641" s="1829"/>
      <c r="X641" s="1829"/>
      <c r="Y641" s="1749"/>
    </row>
    <row r="642" spans="1:25" s="1741" customFormat="1" ht="13.5" customHeight="1">
      <c r="A642" s="2047">
        <f>A631+1</f>
        <v>56</v>
      </c>
      <c r="B642" s="2010" t="s">
        <v>3818</v>
      </c>
      <c r="C642" s="2003"/>
      <c r="D642" s="2003"/>
      <c r="E642" s="2003"/>
      <c r="F642" s="2003"/>
      <c r="G642" s="2882" t="s">
        <v>390</v>
      </c>
      <c r="H642" s="2883"/>
      <c r="I642" s="1723"/>
      <c r="J642" s="1721"/>
      <c r="K642" s="1721"/>
      <c r="L642" s="2884"/>
      <c r="M642" s="2885"/>
      <c r="O642" s="1735" t="s">
        <v>499</v>
      </c>
      <c r="Q642" s="1735" t="s">
        <v>498</v>
      </c>
      <c r="T642" s="1706"/>
    </row>
    <row r="643" spans="1:25" s="175" customFormat="1" ht="13.5" customHeight="1">
      <c r="A643" s="1711" t="s">
        <v>468</v>
      </c>
      <c r="B643" s="1828" t="s">
        <v>500</v>
      </c>
      <c r="C643" s="2003"/>
      <c r="D643" s="2003"/>
      <c r="E643" s="2003"/>
      <c r="F643" s="2003"/>
      <c r="G643" s="2882" t="s">
        <v>390</v>
      </c>
      <c r="H643" s="2883"/>
      <c r="I643" s="1723"/>
      <c r="J643" s="1721"/>
      <c r="K643" s="1721"/>
      <c r="L643" s="2006"/>
      <c r="M643" s="2007"/>
      <c r="N643" s="1761"/>
      <c r="O643" s="1761"/>
      <c r="P643" s="1761"/>
      <c r="Q643" s="1725"/>
      <c r="R643" s="1725"/>
      <c r="S643" s="1725"/>
    </row>
    <row r="644" spans="1:25" s="175" customFormat="1" ht="13.5" customHeight="1">
      <c r="A644" s="2040" t="s">
        <v>383</v>
      </c>
      <c r="B644" s="2009" t="s">
        <v>384</v>
      </c>
      <c r="C644" s="2003"/>
      <c r="D644" s="2003"/>
      <c r="E644" s="2003"/>
      <c r="F644" s="2003"/>
      <c r="G644" s="2882" t="str">
        <f>G643</f>
        <v>Each Sqm</v>
      </c>
      <c r="H644" s="2883"/>
      <c r="I644" s="1723">
        <f>K3481</f>
        <v>156.28</v>
      </c>
      <c r="J644" s="1721"/>
      <c r="K644" s="1721">
        <f>I644+J644</f>
        <v>156.28</v>
      </c>
      <c r="L644" s="2884">
        <f t="shared" ref="L644:L654" si="111">ROUND(K644,1)</f>
        <v>156.30000000000001</v>
      </c>
      <c r="M644" s="2885"/>
      <c r="N644" s="1761"/>
      <c r="O644" s="1761"/>
      <c r="P644" s="1761"/>
      <c r="Q644" s="1725"/>
      <c r="R644" s="1725"/>
      <c r="S644" s="1725"/>
    </row>
    <row r="645" spans="1:25" s="175" customFormat="1" ht="13.5" hidden="1" customHeight="1">
      <c r="A645" s="2040" t="s">
        <v>386</v>
      </c>
      <c r="B645" s="2009" t="s">
        <v>387</v>
      </c>
      <c r="C645" s="2003"/>
      <c r="D645" s="2003"/>
      <c r="E645" s="2003"/>
      <c r="F645" s="2003"/>
      <c r="G645" s="2882" t="str">
        <f>G644</f>
        <v>Each Sqm</v>
      </c>
      <c r="H645" s="2883"/>
      <c r="I645" s="1723">
        <f>K3489</f>
        <v>159.83999999999997</v>
      </c>
      <c r="J645" s="1721"/>
      <c r="K645" s="1721">
        <f>I645+J645</f>
        <v>159.83999999999997</v>
      </c>
      <c r="L645" s="2884">
        <f t="shared" si="111"/>
        <v>159.80000000000001</v>
      </c>
      <c r="M645" s="2885"/>
      <c r="N645" s="1761"/>
      <c r="O645" s="1761"/>
      <c r="P645" s="1761"/>
      <c r="Q645" s="1725"/>
      <c r="R645" s="1725"/>
      <c r="S645" s="1725"/>
    </row>
    <row r="646" spans="1:25" s="175" customFormat="1" ht="13.5" hidden="1" customHeight="1">
      <c r="A646" s="2040" t="s">
        <v>432</v>
      </c>
      <c r="B646" s="2009" t="s">
        <v>3622</v>
      </c>
      <c r="C646" s="2003"/>
      <c r="D646" s="2003"/>
      <c r="E646" s="2003"/>
      <c r="F646" s="2003"/>
      <c r="G646" s="2882" t="str">
        <f>G645</f>
        <v>Each Sqm</v>
      </c>
      <c r="H646" s="2883"/>
      <c r="I646" s="1723">
        <f>K3497</f>
        <v>163.51999999999998</v>
      </c>
      <c r="J646" s="1721"/>
      <c r="K646" s="1721">
        <f>I646+J646</f>
        <v>163.51999999999998</v>
      </c>
      <c r="L646" s="2884">
        <f t="shared" ref="L646" si="112">ROUND(K646,1)</f>
        <v>163.5</v>
      </c>
      <c r="M646" s="2885"/>
      <c r="N646" s="1761"/>
      <c r="O646" s="1761"/>
      <c r="P646" s="1761"/>
      <c r="Q646" s="1725"/>
      <c r="R646" s="1725"/>
      <c r="S646" s="1725"/>
    </row>
    <row r="647" spans="1:25" s="175" customFormat="1" ht="13.5" hidden="1" customHeight="1">
      <c r="A647" s="2040" t="s">
        <v>443</v>
      </c>
      <c r="B647" s="2009" t="s">
        <v>3636</v>
      </c>
      <c r="C647" s="2003"/>
      <c r="D647" s="2003"/>
      <c r="E647" s="2003"/>
      <c r="F647" s="2003"/>
      <c r="G647" s="2882" t="str">
        <f>G646</f>
        <v>Each Sqm</v>
      </c>
      <c r="H647" s="2883"/>
      <c r="I647" s="1723">
        <f>K3505</f>
        <v>167.29999999999998</v>
      </c>
      <c r="J647" s="1721"/>
      <c r="K647" s="1721">
        <f>I647+J647</f>
        <v>167.29999999999998</v>
      </c>
      <c r="L647" s="2884">
        <f t="shared" ref="L647" si="113">ROUND(K647,1)</f>
        <v>167.3</v>
      </c>
      <c r="M647" s="2885"/>
      <c r="N647" s="1761"/>
      <c r="O647" s="1761"/>
      <c r="P647" s="1761"/>
      <c r="Q647" s="1725"/>
      <c r="R647" s="1725"/>
      <c r="S647" s="1725"/>
    </row>
    <row r="648" spans="1:25" s="175" customFormat="1" ht="13.5" hidden="1" customHeight="1">
      <c r="A648" s="1711" t="s">
        <v>470</v>
      </c>
      <c r="B648" s="1828" t="s">
        <v>501</v>
      </c>
      <c r="C648" s="2003"/>
      <c r="D648" s="2003"/>
      <c r="E648" s="2003"/>
      <c r="F648" s="2003"/>
      <c r="G648" s="2882" t="s">
        <v>390</v>
      </c>
      <c r="H648" s="2883"/>
      <c r="I648" s="1723"/>
      <c r="J648" s="1721"/>
      <c r="K648" s="1721"/>
      <c r="L648" s="2006"/>
      <c r="M648" s="2007"/>
      <c r="N648" s="1761"/>
      <c r="O648" s="1761"/>
      <c r="P648" s="1761"/>
      <c r="Q648" s="1725"/>
      <c r="R648" s="1725"/>
      <c r="S648" s="1725"/>
    </row>
    <row r="649" spans="1:25" s="175" customFormat="1" ht="13.5" hidden="1" customHeight="1">
      <c r="A649" s="2038" t="s">
        <v>383</v>
      </c>
      <c r="B649" s="2009" t="s">
        <v>384</v>
      </c>
      <c r="C649" s="2003"/>
      <c r="D649" s="2003"/>
      <c r="E649" s="2003"/>
      <c r="F649" s="2003"/>
      <c r="G649" s="2882" t="str">
        <f>G648</f>
        <v>Each Sqm</v>
      </c>
      <c r="H649" s="2883"/>
      <c r="I649" s="1723">
        <f>K3507</f>
        <v>154.72999999999999</v>
      </c>
      <c r="J649" s="1721"/>
      <c r="K649" s="1721">
        <f>I649+J649</f>
        <v>154.72999999999999</v>
      </c>
      <c r="L649" s="2884">
        <f t="shared" si="111"/>
        <v>154.69999999999999</v>
      </c>
      <c r="M649" s="2885"/>
      <c r="N649" s="1761"/>
      <c r="O649" s="1761"/>
      <c r="P649" s="1761"/>
      <c r="Q649" s="1725"/>
      <c r="R649" s="1725"/>
      <c r="S649" s="1725"/>
    </row>
    <row r="650" spans="1:25" s="175" customFormat="1" ht="13.5" hidden="1" customHeight="1">
      <c r="A650" s="2038" t="s">
        <v>386</v>
      </c>
      <c r="B650" s="2009" t="s">
        <v>387</v>
      </c>
      <c r="C650" s="2003"/>
      <c r="D650" s="2003"/>
      <c r="E650" s="2003"/>
      <c r="F650" s="2003"/>
      <c r="G650" s="2882" t="str">
        <f>G649</f>
        <v>Each Sqm</v>
      </c>
      <c r="H650" s="2883"/>
      <c r="I650" s="1723">
        <f>K3515</f>
        <v>162.22</v>
      </c>
      <c r="J650" s="1721"/>
      <c r="K650" s="1721">
        <f>I650+J650</f>
        <v>162.22</v>
      </c>
      <c r="L650" s="2884">
        <f t="shared" si="111"/>
        <v>162.19999999999999</v>
      </c>
      <c r="M650" s="2885"/>
      <c r="N650" s="1761"/>
      <c r="O650" s="1761"/>
      <c r="P650" s="1761"/>
      <c r="Q650" s="1725"/>
      <c r="R650" s="1725"/>
      <c r="S650" s="1725"/>
    </row>
    <row r="651" spans="1:25" s="175" customFormat="1" ht="13.5" hidden="1" customHeight="1">
      <c r="A651" s="2038" t="str">
        <f>A646</f>
        <v>(iii)</v>
      </c>
      <c r="B651" s="2009" t="str">
        <f>B646</f>
        <v>2nd Floor</v>
      </c>
      <c r="C651" s="2003"/>
      <c r="D651" s="2003"/>
      <c r="E651" s="2003"/>
      <c r="F651" s="2003"/>
      <c r="G651" s="2882" t="str">
        <f>G650</f>
        <v>Each Sqm</v>
      </c>
      <c r="H651" s="2883"/>
      <c r="I651" s="1723">
        <f>K3523</f>
        <v>168.45</v>
      </c>
      <c r="J651" s="1721"/>
      <c r="K651" s="1721">
        <f>I651+J651</f>
        <v>168.45</v>
      </c>
      <c r="L651" s="2884">
        <f t="shared" ref="L651:L652" si="114">ROUND(K651,1)</f>
        <v>168.5</v>
      </c>
      <c r="M651" s="2885"/>
      <c r="N651" s="1761"/>
      <c r="O651" s="1761"/>
      <c r="P651" s="1761"/>
      <c r="Q651" s="1725"/>
      <c r="R651" s="1725"/>
      <c r="S651" s="1725"/>
    </row>
    <row r="652" spans="1:25" s="175" customFormat="1" ht="13.5" hidden="1" customHeight="1">
      <c r="A652" s="2040" t="s">
        <v>443</v>
      </c>
      <c r="B652" s="2009" t="s">
        <v>3636</v>
      </c>
      <c r="C652" s="2003"/>
      <c r="D652" s="2003"/>
      <c r="E652" s="2003"/>
      <c r="F652" s="2003"/>
      <c r="G652" s="2882" t="str">
        <f>G651</f>
        <v>Each Sqm</v>
      </c>
      <c r="H652" s="2883"/>
      <c r="I652" s="1723">
        <f>K3531</f>
        <v>174.98999999999995</v>
      </c>
      <c r="J652" s="1721"/>
      <c r="K652" s="1721">
        <f>I652+J652</f>
        <v>174.98999999999995</v>
      </c>
      <c r="L652" s="2884">
        <f t="shared" si="114"/>
        <v>175</v>
      </c>
      <c r="M652" s="2885"/>
      <c r="N652" s="1761"/>
      <c r="O652" s="1761"/>
      <c r="P652" s="1761"/>
      <c r="Q652" s="1725"/>
      <c r="R652" s="1725"/>
      <c r="S652" s="1725"/>
    </row>
    <row r="653" spans="1:25" s="1741" customFormat="1" ht="13.5" hidden="1" customHeight="1">
      <c r="A653" s="1711">
        <f>A642+1</f>
        <v>57</v>
      </c>
      <c r="B653" s="2010" t="s">
        <v>3819</v>
      </c>
      <c r="C653" s="2002"/>
      <c r="D653" s="2002"/>
      <c r="E653" s="2002"/>
      <c r="F653" s="2002"/>
      <c r="G653" s="2882" t="s">
        <v>390</v>
      </c>
      <c r="H653" s="2883"/>
      <c r="I653" s="1723"/>
      <c r="J653" s="1721"/>
      <c r="K653" s="1721"/>
      <c r="L653" s="2884"/>
      <c r="M653" s="2885"/>
      <c r="O653" s="1735" t="s">
        <v>503</v>
      </c>
      <c r="Q653" s="1735" t="s">
        <v>502</v>
      </c>
      <c r="T653" s="1706"/>
    </row>
    <row r="654" spans="1:25" s="175" customFormat="1" ht="13.5" hidden="1" customHeight="1">
      <c r="A654" s="2038" t="s">
        <v>383</v>
      </c>
      <c r="B654" s="2009" t="s">
        <v>384</v>
      </c>
      <c r="C654" s="2003"/>
      <c r="D654" s="2003"/>
      <c r="E654" s="2003"/>
      <c r="F654" s="2003"/>
      <c r="G654" s="2882" t="str">
        <f>G653</f>
        <v>Each Sqm</v>
      </c>
      <c r="H654" s="2883"/>
      <c r="I654" s="1723">
        <f>K3552</f>
        <v>139.24</v>
      </c>
      <c r="J654" s="1721"/>
      <c r="K654" s="1721">
        <f>I654+J654</f>
        <v>139.24</v>
      </c>
      <c r="L654" s="2884">
        <f t="shared" si="111"/>
        <v>139.19999999999999</v>
      </c>
      <c r="M654" s="2885"/>
      <c r="N654" s="1761"/>
      <c r="O654" s="1725"/>
      <c r="P654" s="1761"/>
      <c r="Q654" s="1725"/>
      <c r="S654" s="1725"/>
    </row>
    <row r="655" spans="1:25" s="175" customFormat="1" ht="13.5" hidden="1" customHeight="1">
      <c r="A655" s="2038" t="s">
        <v>386</v>
      </c>
      <c r="B655" s="2009" t="s">
        <v>387</v>
      </c>
      <c r="C655" s="2003"/>
      <c r="D655" s="2003"/>
      <c r="E655" s="2003"/>
      <c r="F655" s="2003"/>
      <c r="G655" s="2882" t="str">
        <f>G654</f>
        <v>Each Sqm</v>
      </c>
      <c r="H655" s="2883"/>
      <c r="I655" s="1723">
        <f>K3560</f>
        <v>142.82999999999998</v>
      </c>
      <c r="J655" s="1721"/>
      <c r="K655" s="1721">
        <f>I655+J655</f>
        <v>142.82999999999998</v>
      </c>
      <c r="L655" s="2884">
        <f>ROUND(K655,1)</f>
        <v>142.80000000000001</v>
      </c>
      <c r="M655" s="2885"/>
      <c r="N655" s="1761"/>
      <c r="O655" s="1725"/>
      <c r="P655" s="1761"/>
      <c r="Q655" s="1725"/>
      <c r="S655" s="1725"/>
    </row>
    <row r="656" spans="1:25" s="175" customFormat="1" ht="13.5" hidden="1" customHeight="1">
      <c r="A656" s="2038" t="str">
        <f>A651</f>
        <v>(iii)</v>
      </c>
      <c r="B656" s="2009" t="str">
        <f>B651</f>
        <v>2nd Floor</v>
      </c>
      <c r="C656" s="2003"/>
      <c r="D656" s="2003"/>
      <c r="E656" s="2003"/>
      <c r="F656" s="2003"/>
      <c r="G656" s="2882" t="str">
        <f>G655</f>
        <v>Each Sqm</v>
      </c>
      <c r="H656" s="2883"/>
      <c r="I656" s="1723">
        <f>K3564</f>
        <v>0.24</v>
      </c>
      <c r="J656" s="1721"/>
      <c r="K656" s="1721">
        <f>I656+J656</f>
        <v>0.24</v>
      </c>
      <c r="L656" s="2884">
        <f>ROUND(K656,1)</f>
        <v>0.2</v>
      </c>
      <c r="M656" s="2885"/>
      <c r="N656" s="1761"/>
      <c r="O656" s="1725"/>
      <c r="P656" s="1761"/>
      <c r="Q656" s="1725"/>
      <c r="S656" s="1725"/>
    </row>
    <row r="657" spans="1:20" s="175" customFormat="1" ht="13.5" hidden="1" customHeight="1">
      <c r="A657" s="2040" t="s">
        <v>443</v>
      </c>
      <c r="B657" s="2009" t="s">
        <v>3636</v>
      </c>
      <c r="C657" s="2003"/>
      <c r="D657" s="2003"/>
      <c r="E657" s="2003"/>
      <c r="F657" s="2003"/>
      <c r="G657" s="2882" t="str">
        <f>G656</f>
        <v>Each Sqm</v>
      </c>
      <c r="H657" s="2883"/>
      <c r="I657" s="1723">
        <f>K3576</f>
        <v>150.36000000000001</v>
      </c>
      <c r="J657" s="1721"/>
      <c r="K657" s="1721">
        <f>I657+J657</f>
        <v>150.36000000000001</v>
      </c>
      <c r="L657" s="2884">
        <f t="shared" ref="L657" si="115">ROUND(K657,1)</f>
        <v>150.4</v>
      </c>
      <c r="M657" s="2885"/>
      <c r="N657" s="1761"/>
      <c r="O657" s="1761"/>
      <c r="P657" s="1761"/>
      <c r="Q657" s="1725"/>
      <c r="R657" s="1725"/>
      <c r="S657" s="1725"/>
    </row>
    <row r="658" spans="1:20" s="1741" customFormat="1" ht="13.5" hidden="1" customHeight="1">
      <c r="A658" s="1711">
        <f>A653+1</f>
        <v>58</v>
      </c>
      <c r="B658" s="2010" t="s">
        <v>3820</v>
      </c>
      <c r="C658" s="2002"/>
      <c r="D658" s="2002"/>
      <c r="E658" s="2002"/>
      <c r="F658" s="2002"/>
      <c r="G658" s="2882" t="s">
        <v>390</v>
      </c>
      <c r="H658" s="2883"/>
      <c r="I658" s="1723"/>
      <c r="J658" s="1721"/>
      <c r="K658" s="1721"/>
      <c r="L658" s="2884"/>
      <c r="M658" s="2885"/>
      <c r="O658" s="1735" t="s">
        <v>505</v>
      </c>
      <c r="Q658" s="1735" t="s">
        <v>504</v>
      </c>
      <c r="T658" s="1706"/>
    </row>
    <row r="659" spans="1:20" s="175" customFormat="1" ht="13.5" hidden="1" customHeight="1">
      <c r="A659" s="2038" t="s">
        <v>383</v>
      </c>
      <c r="B659" s="2009" t="s">
        <v>384</v>
      </c>
      <c r="C659" s="2003"/>
      <c r="D659" s="2003"/>
      <c r="E659" s="2003"/>
      <c r="F659" s="2003"/>
      <c r="G659" s="2882" t="str">
        <f>G658</f>
        <v>Each Sqm</v>
      </c>
      <c r="H659" s="2883"/>
      <c r="I659" s="1723">
        <f>K3593</f>
        <v>183.44</v>
      </c>
      <c r="J659" s="1721"/>
      <c r="K659" s="1721">
        <f>I659+J659</f>
        <v>183.44</v>
      </c>
      <c r="L659" s="2884">
        <f>ROUND(K659,1)</f>
        <v>183.4</v>
      </c>
      <c r="M659" s="2885"/>
      <c r="N659" s="1761"/>
      <c r="O659" s="1725"/>
      <c r="P659" s="1761"/>
      <c r="Q659" s="1725"/>
      <c r="S659" s="1725"/>
    </row>
    <row r="660" spans="1:20" s="175" customFormat="1" ht="13.5" hidden="1" customHeight="1">
      <c r="A660" s="2038" t="s">
        <v>386</v>
      </c>
      <c r="B660" s="2009" t="s">
        <v>387</v>
      </c>
      <c r="C660" s="2003"/>
      <c r="D660" s="2003"/>
      <c r="E660" s="2003"/>
      <c r="F660" s="2003"/>
      <c r="G660" s="2882" t="str">
        <f>G659</f>
        <v>Each Sqm</v>
      </c>
      <c r="H660" s="2883"/>
      <c r="I660" s="1723">
        <f>K3603</f>
        <v>199.06</v>
      </c>
      <c r="J660" s="1721"/>
      <c r="K660" s="1721">
        <f>I660+J660</f>
        <v>199.06</v>
      </c>
      <c r="L660" s="2884">
        <f>ROUND(K660,1)</f>
        <v>199.1</v>
      </c>
      <c r="M660" s="2885"/>
      <c r="N660" s="1761"/>
      <c r="O660" s="1725"/>
      <c r="P660" s="1761"/>
      <c r="Q660" s="1725"/>
      <c r="S660" s="1725"/>
    </row>
    <row r="661" spans="1:20" s="175" customFormat="1" ht="13.5" hidden="1" customHeight="1">
      <c r="A661" s="2038" t="str">
        <f>A656</f>
        <v>(iii)</v>
      </c>
      <c r="B661" s="2009" t="str">
        <f>B656</f>
        <v>2nd Floor</v>
      </c>
      <c r="C661" s="2003"/>
      <c r="D661" s="2003"/>
      <c r="E661" s="2003"/>
      <c r="F661" s="2003"/>
      <c r="G661" s="2882" t="str">
        <f>G660</f>
        <v>Each Sqm</v>
      </c>
      <c r="H661" s="2883"/>
      <c r="I661" s="1723">
        <f>K3612</f>
        <v>215</v>
      </c>
      <c r="J661" s="1721"/>
      <c r="K661" s="1721">
        <f>I661+J661</f>
        <v>215</v>
      </c>
      <c r="L661" s="2884">
        <f>ROUND(K661,1)</f>
        <v>215</v>
      </c>
      <c r="M661" s="2885"/>
      <c r="N661" s="1761"/>
      <c r="O661" s="1725"/>
      <c r="P661" s="1761"/>
      <c r="Q661" s="1725"/>
      <c r="S661" s="1725"/>
    </row>
    <row r="662" spans="1:20" s="175" customFormat="1" ht="13.5" hidden="1" customHeight="1">
      <c r="A662" s="2040" t="s">
        <v>443</v>
      </c>
      <c r="B662" s="2009" t="s">
        <v>3636</v>
      </c>
      <c r="C662" s="2003"/>
      <c r="D662" s="2003"/>
      <c r="E662" s="2003"/>
      <c r="F662" s="2003"/>
      <c r="G662" s="2882" t="str">
        <f>G661</f>
        <v>Each Sqm</v>
      </c>
      <c r="H662" s="2883"/>
      <c r="I662" s="1723">
        <f>K3621</f>
        <v>231.41</v>
      </c>
      <c r="J662" s="1721"/>
      <c r="K662" s="1721">
        <f>I662+J662</f>
        <v>231.41</v>
      </c>
      <c r="L662" s="2884">
        <f t="shared" ref="L662" si="116">ROUND(K662,1)</f>
        <v>231.4</v>
      </c>
      <c r="M662" s="2885"/>
      <c r="N662" s="1761"/>
      <c r="O662" s="1761"/>
      <c r="P662" s="1761"/>
      <c r="Q662" s="1725"/>
      <c r="R662" s="1725"/>
      <c r="S662" s="1725"/>
    </row>
    <row r="663" spans="1:20" s="1741" customFormat="1" ht="13.5" customHeight="1">
      <c r="A663" s="1711">
        <f>A658+1</f>
        <v>59</v>
      </c>
      <c r="B663" s="2010" t="s">
        <v>3821</v>
      </c>
      <c r="C663" s="2002"/>
      <c r="D663" s="2002"/>
      <c r="E663" s="2002"/>
      <c r="F663" s="2002"/>
      <c r="G663" s="2882" t="s">
        <v>390</v>
      </c>
      <c r="H663" s="2883"/>
      <c r="I663" s="1723"/>
      <c r="J663" s="1721"/>
      <c r="K663" s="1721"/>
      <c r="L663" s="2884"/>
      <c r="M663" s="2885"/>
      <c r="O663" s="1735" t="s">
        <v>507</v>
      </c>
      <c r="Q663" s="1735" t="s">
        <v>506</v>
      </c>
      <c r="T663" s="1706"/>
    </row>
    <row r="664" spans="1:20" s="175" customFormat="1" ht="13.5" customHeight="1">
      <c r="A664" s="2038" t="s">
        <v>383</v>
      </c>
      <c r="B664" s="2009" t="s">
        <v>384</v>
      </c>
      <c r="C664" s="2003"/>
      <c r="D664" s="2003"/>
      <c r="E664" s="2003"/>
      <c r="F664" s="2003"/>
      <c r="G664" s="2882" t="str">
        <f>G663</f>
        <v>Each Sqm</v>
      </c>
      <c r="H664" s="2883"/>
      <c r="I664" s="1723">
        <f>K3642</f>
        <v>221.98</v>
      </c>
      <c r="J664" s="1721"/>
      <c r="K664" s="1721">
        <f>I664+J664</f>
        <v>221.98</v>
      </c>
      <c r="L664" s="2884">
        <f>ROUND(K664,1)</f>
        <v>222</v>
      </c>
      <c r="M664" s="2885"/>
      <c r="N664" s="1761"/>
      <c r="O664" s="1725"/>
      <c r="P664" s="1761"/>
      <c r="Q664" s="1725"/>
      <c r="S664" s="1725"/>
    </row>
    <row r="665" spans="1:20" s="175" customFormat="1" ht="13.5" hidden="1" customHeight="1">
      <c r="A665" s="2038" t="s">
        <v>386</v>
      </c>
      <c r="B665" s="2009" t="s">
        <v>387</v>
      </c>
      <c r="C665" s="2003"/>
      <c r="D665" s="2003"/>
      <c r="E665" s="2003"/>
      <c r="F665" s="2003"/>
      <c r="G665" s="2882" t="str">
        <f>G664</f>
        <v>Each Sqm</v>
      </c>
      <c r="H665" s="2883"/>
      <c r="I665" s="1723">
        <f>K3650</f>
        <v>227.28</v>
      </c>
      <c r="J665" s="1721"/>
      <c r="K665" s="1721">
        <f>I665+J665</f>
        <v>227.28</v>
      </c>
      <c r="L665" s="2884">
        <f>ROUND(K665,1)</f>
        <v>227.3</v>
      </c>
      <c r="M665" s="2885"/>
      <c r="N665" s="1761"/>
      <c r="O665" s="1725"/>
      <c r="P665" s="1761"/>
      <c r="Q665" s="1725"/>
      <c r="S665" s="1725"/>
    </row>
    <row r="666" spans="1:20" s="175" customFormat="1" ht="13.5" hidden="1" customHeight="1">
      <c r="A666" s="2038" t="str">
        <f>A661</f>
        <v>(iii)</v>
      </c>
      <c r="B666" s="2009" t="str">
        <f>B661</f>
        <v>2nd Floor</v>
      </c>
      <c r="C666" s="2003"/>
      <c r="D666" s="2003"/>
      <c r="E666" s="2003"/>
      <c r="F666" s="2003"/>
      <c r="G666" s="2882" t="str">
        <f>G665</f>
        <v>Each Sqm</v>
      </c>
      <c r="H666" s="2883"/>
      <c r="I666" s="1723">
        <f>K3658</f>
        <v>232.74</v>
      </c>
      <c r="J666" s="1721"/>
      <c r="K666" s="1721">
        <f>I666+J666</f>
        <v>232.74</v>
      </c>
      <c r="L666" s="2884">
        <f>ROUND(K666,1)</f>
        <v>232.7</v>
      </c>
      <c r="M666" s="2885"/>
      <c r="N666" s="1761"/>
      <c r="O666" s="1725"/>
      <c r="P666" s="1761"/>
      <c r="Q666" s="1725"/>
      <c r="S666" s="1725"/>
    </row>
    <row r="667" spans="1:20" s="175" customFormat="1" ht="13.5" hidden="1" customHeight="1">
      <c r="A667" s="2040" t="s">
        <v>443</v>
      </c>
      <c r="B667" s="2009" t="s">
        <v>3636</v>
      </c>
      <c r="C667" s="2003"/>
      <c r="D667" s="2003"/>
      <c r="E667" s="2003"/>
      <c r="F667" s="2003"/>
      <c r="G667" s="2882" t="str">
        <f>G666</f>
        <v>Each Sqm</v>
      </c>
      <c r="H667" s="2883"/>
      <c r="I667" s="1723">
        <f>K3666</f>
        <v>240.69000000000003</v>
      </c>
      <c r="J667" s="1721"/>
      <c r="K667" s="1721">
        <f>I667+J667</f>
        <v>240.69000000000003</v>
      </c>
      <c r="L667" s="2884">
        <f t="shared" ref="L667" si="117">ROUND(K667,1)</f>
        <v>240.7</v>
      </c>
      <c r="M667" s="2885"/>
      <c r="N667" s="1761"/>
      <c r="O667" s="1761"/>
      <c r="P667" s="1761"/>
      <c r="Q667" s="1725"/>
      <c r="R667" s="1725"/>
      <c r="S667" s="1725"/>
    </row>
    <row r="668" spans="1:20" s="1741" customFormat="1" ht="13.5" hidden="1" customHeight="1">
      <c r="A668" s="1711">
        <f>A663+1</f>
        <v>60</v>
      </c>
      <c r="B668" s="2010" t="s">
        <v>3822</v>
      </c>
      <c r="C668" s="2002"/>
      <c r="D668" s="2002"/>
      <c r="E668" s="2002"/>
      <c r="F668" s="2002"/>
      <c r="G668" s="2882" t="s">
        <v>390</v>
      </c>
      <c r="H668" s="2883"/>
      <c r="I668" s="1723"/>
      <c r="J668" s="1721"/>
      <c r="K668" s="1721"/>
      <c r="L668" s="2884"/>
      <c r="M668" s="2885"/>
      <c r="O668" s="1735" t="s">
        <v>509</v>
      </c>
      <c r="Q668" s="1735" t="s">
        <v>508</v>
      </c>
      <c r="T668" s="1706"/>
    </row>
    <row r="669" spans="1:20" s="175" customFormat="1" ht="13.5" hidden="1" customHeight="1">
      <c r="A669" s="2038" t="s">
        <v>383</v>
      </c>
      <c r="B669" s="2009" t="s">
        <v>384</v>
      </c>
      <c r="C669" s="2003"/>
      <c r="D669" s="2003"/>
      <c r="E669" s="2003"/>
      <c r="F669" s="2003"/>
      <c r="G669" s="2882" t="str">
        <f>G668</f>
        <v>Each Sqm</v>
      </c>
      <c r="H669" s="2883"/>
      <c r="I669" s="1723">
        <f>K3688</f>
        <v>254.5</v>
      </c>
      <c r="J669" s="1721"/>
      <c r="K669" s="1721">
        <f>I669+J669</f>
        <v>254.5</v>
      </c>
      <c r="L669" s="2884">
        <f>ROUND(K669,1)</f>
        <v>254.5</v>
      </c>
      <c r="M669" s="2885"/>
      <c r="N669" s="1761"/>
      <c r="O669" s="1725"/>
      <c r="P669" s="1761"/>
      <c r="Q669" s="1725"/>
      <c r="S669" s="1725"/>
    </row>
    <row r="670" spans="1:20" s="175" customFormat="1" ht="13.5" hidden="1" customHeight="1">
      <c r="A670" s="2038" t="s">
        <v>386</v>
      </c>
      <c r="B670" s="2009" t="s">
        <v>387</v>
      </c>
      <c r="C670" s="2003"/>
      <c r="D670" s="2003"/>
      <c r="E670" s="2003"/>
      <c r="F670" s="2003"/>
      <c r="G670" s="2882" t="str">
        <f>G669</f>
        <v>Each Sqm</v>
      </c>
      <c r="H670" s="2883"/>
      <c r="I670" s="1723">
        <f>K3696</f>
        <v>260.53999999999996</v>
      </c>
      <c r="J670" s="1721"/>
      <c r="K670" s="1721">
        <f>I670+J670</f>
        <v>260.53999999999996</v>
      </c>
      <c r="L670" s="2884">
        <f>ROUND(K670,1)</f>
        <v>260.5</v>
      </c>
      <c r="M670" s="2885"/>
      <c r="N670" s="1761"/>
      <c r="O670" s="1725"/>
      <c r="P670" s="1761"/>
      <c r="Q670" s="1725"/>
      <c r="S670" s="1725"/>
    </row>
    <row r="671" spans="1:20" s="175" customFormat="1" ht="13.5" hidden="1" customHeight="1">
      <c r="A671" s="2038" t="str">
        <f>A666</f>
        <v>(iii)</v>
      </c>
      <c r="B671" s="2039" t="str">
        <f>B666</f>
        <v>2nd Floor</v>
      </c>
      <c r="C671" s="2003"/>
      <c r="D671" s="2003"/>
      <c r="E671" s="2003"/>
      <c r="F671" s="2003"/>
      <c r="G671" s="2882" t="str">
        <f>G670</f>
        <v>Each Sqm</v>
      </c>
      <c r="H671" s="2883"/>
      <c r="I671" s="1723">
        <f>K3704</f>
        <v>266.75999999999993</v>
      </c>
      <c r="J671" s="1721"/>
      <c r="K671" s="1721">
        <f>I671+J671</f>
        <v>266.75999999999993</v>
      </c>
      <c r="L671" s="2884">
        <f>ROUND(K671,1)</f>
        <v>266.8</v>
      </c>
      <c r="M671" s="2885"/>
      <c r="N671" s="1761"/>
      <c r="O671" s="1725"/>
      <c r="P671" s="1761"/>
      <c r="Q671" s="1725"/>
      <c r="S671" s="1725"/>
    </row>
    <row r="672" spans="1:20" s="175" customFormat="1" ht="13.5" hidden="1" customHeight="1">
      <c r="A672" s="2040" t="s">
        <v>443</v>
      </c>
      <c r="B672" s="2009" t="s">
        <v>3636</v>
      </c>
      <c r="C672" s="2003"/>
      <c r="D672" s="2003"/>
      <c r="E672" s="2003"/>
      <c r="F672" s="2003"/>
      <c r="G672" s="2882" t="str">
        <f>G671</f>
        <v>Each Sqm</v>
      </c>
      <c r="H672" s="2883"/>
      <c r="I672" s="1723">
        <f>K3712</f>
        <v>275.83</v>
      </c>
      <c r="J672" s="1721"/>
      <c r="K672" s="1721">
        <f>I672+J672</f>
        <v>275.83</v>
      </c>
      <c r="L672" s="2884">
        <f t="shared" ref="L672" si="118">ROUND(K672,1)</f>
        <v>275.8</v>
      </c>
      <c r="M672" s="2885"/>
      <c r="N672" s="1761"/>
      <c r="O672" s="1761"/>
      <c r="P672" s="1761"/>
      <c r="Q672" s="1725"/>
      <c r="R672" s="1725"/>
      <c r="S672" s="1725"/>
    </row>
    <row r="673" spans="1:20" s="1741" customFormat="1" ht="13.5" customHeight="1">
      <c r="A673" s="1711">
        <f>A668+1</f>
        <v>61</v>
      </c>
      <c r="B673" s="2002" t="s">
        <v>3823</v>
      </c>
      <c r="C673" s="2002"/>
      <c r="D673" s="2002"/>
      <c r="E673" s="2002"/>
      <c r="F673" s="2002"/>
      <c r="G673" s="2882" t="s">
        <v>390</v>
      </c>
      <c r="H673" s="2883"/>
      <c r="I673" s="1723"/>
      <c r="J673" s="1721"/>
      <c r="K673" s="1721"/>
      <c r="L673" s="2884"/>
      <c r="M673" s="2885"/>
      <c r="O673" s="1735" t="s">
        <v>511</v>
      </c>
      <c r="Q673" s="1735" t="s">
        <v>510</v>
      </c>
      <c r="T673" s="1706"/>
    </row>
    <row r="674" spans="1:20" s="175" customFormat="1" ht="13.5" customHeight="1">
      <c r="A674" s="2038" t="s">
        <v>383</v>
      </c>
      <c r="B674" s="2009" t="s">
        <v>384</v>
      </c>
      <c r="C674" s="2003"/>
      <c r="D674" s="2003"/>
      <c r="E674" s="2003"/>
      <c r="F674" s="2003"/>
      <c r="G674" s="2882" t="str">
        <f>G673</f>
        <v>Each Sqm</v>
      </c>
      <c r="H674" s="2883"/>
      <c r="I674" s="1723">
        <f>K3734</f>
        <v>171.20999999999998</v>
      </c>
      <c r="J674" s="1721"/>
      <c r="K674" s="1721">
        <f>I674+J674</f>
        <v>171.20999999999998</v>
      </c>
      <c r="L674" s="2884">
        <f>ROUND(K674,1)</f>
        <v>171.2</v>
      </c>
      <c r="M674" s="2885"/>
      <c r="N674" s="1761"/>
      <c r="O674" s="1725"/>
      <c r="P674" s="1761"/>
      <c r="Q674" s="1725"/>
      <c r="S674" s="1725"/>
    </row>
    <row r="675" spans="1:20" s="175" customFormat="1" ht="13.5" hidden="1" customHeight="1">
      <c r="A675" s="2038" t="s">
        <v>386</v>
      </c>
      <c r="B675" s="2009" t="s">
        <v>387</v>
      </c>
      <c r="C675" s="2003"/>
      <c r="D675" s="2003"/>
      <c r="E675" s="2003"/>
      <c r="F675" s="2003"/>
      <c r="G675" s="2882" t="str">
        <f>G674</f>
        <v>Each Sqm</v>
      </c>
      <c r="H675" s="2883"/>
      <c r="I675" s="1723">
        <f>K3742</f>
        <v>175.38000000000002</v>
      </c>
      <c r="J675" s="1721"/>
      <c r="K675" s="1721">
        <f>I675+J675</f>
        <v>175.38000000000002</v>
      </c>
      <c r="L675" s="2884">
        <f>ROUND(K675,1)</f>
        <v>175.4</v>
      </c>
      <c r="M675" s="2885"/>
      <c r="N675" s="1761"/>
      <c r="O675" s="1725"/>
      <c r="P675" s="1761"/>
      <c r="Q675" s="1725"/>
      <c r="S675" s="1725"/>
    </row>
    <row r="676" spans="1:20" s="175" customFormat="1" ht="13.5" hidden="1" customHeight="1">
      <c r="A676" s="2038" t="str">
        <f>A671</f>
        <v>(iii)</v>
      </c>
      <c r="B676" s="2039" t="str">
        <f>B671</f>
        <v>2nd Floor</v>
      </c>
      <c r="C676" s="2003"/>
      <c r="D676" s="2003"/>
      <c r="E676" s="2003"/>
      <c r="F676" s="2003"/>
      <c r="G676" s="2882" t="str">
        <f>G675</f>
        <v>Each Sqm</v>
      </c>
      <c r="H676" s="2883"/>
      <c r="I676" s="1723">
        <f>K3750</f>
        <v>179.67000000000002</v>
      </c>
      <c r="J676" s="1721"/>
      <c r="K676" s="1721">
        <f>I676+J676</f>
        <v>179.67000000000002</v>
      </c>
      <c r="L676" s="2884">
        <f>ROUND(K676,1)</f>
        <v>179.7</v>
      </c>
      <c r="M676" s="2885"/>
      <c r="N676" s="1761"/>
      <c r="O676" s="1725"/>
      <c r="P676" s="1761"/>
      <c r="Q676" s="1725"/>
      <c r="S676" s="1725"/>
    </row>
    <row r="677" spans="1:20" s="175" customFormat="1" ht="13.5" hidden="1" customHeight="1">
      <c r="A677" s="2040" t="s">
        <v>443</v>
      </c>
      <c r="B677" s="2009" t="s">
        <v>3636</v>
      </c>
      <c r="C677" s="2003"/>
      <c r="D677" s="2003"/>
      <c r="E677" s="2003"/>
      <c r="F677" s="2003"/>
      <c r="G677" s="2882" t="str">
        <f>G676</f>
        <v>Each Sqm</v>
      </c>
      <c r="H677" s="2883"/>
      <c r="I677" s="1723">
        <f>K3758</f>
        <v>184.09</v>
      </c>
      <c r="J677" s="1721"/>
      <c r="K677" s="1721">
        <f>I677+J677</f>
        <v>184.09</v>
      </c>
      <c r="L677" s="2884">
        <f t="shared" ref="L677" si="119">ROUND(K677,1)</f>
        <v>184.1</v>
      </c>
      <c r="M677" s="2885"/>
      <c r="N677" s="1761"/>
      <c r="O677" s="1761"/>
      <c r="P677" s="1761"/>
      <c r="Q677" s="1725"/>
      <c r="R677" s="1725"/>
      <c r="S677" s="1725"/>
    </row>
    <row r="678" spans="1:20" s="1741" customFormat="1" ht="13.5" customHeight="1">
      <c r="A678" s="1711">
        <f>A673+1</f>
        <v>62</v>
      </c>
      <c r="B678" s="2002" t="s">
        <v>3824</v>
      </c>
      <c r="C678" s="2002"/>
      <c r="D678" s="2002"/>
      <c r="E678" s="2002"/>
      <c r="F678" s="2002"/>
      <c r="G678" s="2882" t="s">
        <v>390</v>
      </c>
      <c r="H678" s="2883"/>
      <c r="I678" s="1723"/>
      <c r="J678" s="1721"/>
      <c r="K678" s="1721"/>
      <c r="L678" s="2884"/>
      <c r="M678" s="2885"/>
      <c r="O678" s="1735" t="s">
        <v>512</v>
      </c>
      <c r="Q678" s="1735" t="s">
        <v>399</v>
      </c>
      <c r="T678" s="1706"/>
    </row>
    <row r="679" spans="1:20" s="175" customFormat="1" ht="13.5" customHeight="1">
      <c r="A679" s="2038" t="s">
        <v>383</v>
      </c>
      <c r="B679" s="2009" t="s">
        <v>384</v>
      </c>
      <c r="C679" s="2003"/>
      <c r="D679" s="2003"/>
      <c r="E679" s="2003"/>
      <c r="F679" s="2003"/>
      <c r="G679" s="2882" t="str">
        <f>G678</f>
        <v>Each Sqm</v>
      </c>
      <c r="H679" s="2883"/>
      <c r="I679" s="1723">
        <f>K3780</f>
        <v>246.57999999999996</v>
      </c>
      <c r="J679" s="1721"/>
      <c r="K679" s="1721">
        <f>I679+J679</f>
        <v>246.57999999999996</v>
      </c>
      <c r="L679" s="2884">
        <f>ROUND(K679,1)</f>
        <v>246.6</v>
      </c>
      <c r="M679" s="2885"/>
      <c r="N679" s="1761"/>
      <c r="O679" s="1725"/>
      <c r="P679" s="1761"/>
      <c r="Q679" s="1725"/>
      <c r="S679" s="1725"/>
    </row>
    <row r="680" spans="1:20" s="175" customFormat="1" ht="13.5" customHeight="1">
      <c r="A680" s="2008" t="s">
        <v>386</v>
      </c>
      <c r="B680" s="2009" t="s">
        <v>387</v>
      </c>
      <c r="C680" s="2003"/>
      <c r="D680" s="2003"/>
      <c r="E680" s="2003"/>
      <c r="F680" s="2003"/>
      <c r="G680" s="2882" t="str">
        <f>G679</f>
        <v>Each Sqm</v>
      </c>
      <c r="H680" s="2883"/>
      <c r="I680" s="1723">
        <f>K3788</f>
        <v>251.87999999999997</v>
      </c>
      <c r="J680" s="1721"/>
      <c r="K680" s="1721">
        <f>I680+J680</f>
        <v>251.87999999999997</v>
      </c>
      <c r="L680" s="2884">
        <f>ROUND(K680,1)</f>
        <v>251.9</v>
      </c>
      <c r="M680" s="2885"/>
      <c r="N680" s="1761"/>
      <c r="O680" s="1725"/>
      <c r="P680" s="1761"/>
      <c r="Q680" s="1725"/>
      <c r="S680" s="1725"/>
    </row>
    <row r="681" spans="1:20" s="175" customFormat="1" ht="13.5" customHeight="1">
      <c r="A681" s="2008" t="str">
        <f>A676</f>
        <v>(iii)</v>
      </c>
      <c r="B681" s="2039" t="str">
        <f>B676</f>
        <v>2nd Floor</v>
      </c>
      <c r="C681" s="2003"/>
      <c r="D681" s="2003"/>
      <c r="E681" s="2003"/>
      <c r="F681" s="2003"/>
      <c r="G681" s="2882" t="str">
        <f>G680</f>
        <v>Each Sqm</v>
      </c>
      <c r="H681" s="2883"/>
      <c r="I681" s="1723">
        <f>K3796</f>
        <v>259.86</v>
      </c>
      <c r="J681" s="1721"/>
      <c r="K681" s="1721">
        <f>I681+J681</f>
        <v>259.86</v>
      </c>
      <c r="L681" s="2884">
        <f>ROUND(K681,1)</f>
        <v>259.89999999999998</v>
      </c>
      <c r="M681" s="2885"/>
      <c r="N681" s="1761"/>
      <c r="O681" s="1725"/>
      <c r="P681" s="1761"/>
      <c r="Q681" s="1725"/>
      <c r="S681" s="1725"/>
    </row>
    <row r="682" spans="1:20" s="175" customFormat="1" ht="13.5" customHeight="1">
      <c r="A682" s="2040" t="s">
        <v>443</v>
      </c>
      <c r="B682" s="2009" t="s">
        <v>3636</v>
      </c>
      <c r="C682" s="2003"/>
      <c r="D682" s="2003"/>
      <c r="E682" s="2003"/>
      <c r="F682" s="2003"/>
      <c r="G682" s="2882" t="str">
        <f>G681</f>
        <v>Each Sqm</v>
      </c>
      <c r="H682" s="2883"/>
      <c r="I682" s="1723">
        <f>K3804</f>
        <v>268.08000000000004</v>
      </c>
      <c r="J682" s="1721"/>
      <c r="K682" s="1721">
        <f>I682+J682</f>
        <v>268.08000000000004</v>
      </c>
      <c r="L682" s="2884">
        <f t="shared" ref="L682" si="120">ROUND(K682,1)</f>
        <v>268.10000000000002</v>
      </c>
      <c r="M682" s="2885"/>
      <c r="N682" s="1761"/>
      <c r="O682" s="1761"/>
      <c r="P682" s="1761"/>
      <c r="Q682" s="1725"/>
      <c r="R682" s="1725"/>
      <c r="S682" s="1725"/>
    </row>
    <row r="683" spans="1:20" s="1741" customFormat="1" ht="13.5" customHeight="1">
      <c r="A683" s="1998">
        <f>A678+1</f>
        <v>63</v>
      </c>
      <c r="B683" s="2002" t="s">
        <v>3825</v>
      </c>
      <c r="C683" s="2002"/>
      <c r="D683" s="2002"/>
      <c r="E683" s="2002"/>
      <c r="F683" s="2002"/>
      <c r="G683" s="2882" t="s">
        <v>390</v>
      </c>
      <c r="H683" s="2883"/>
      <c r="I683" s="1723"/>
      <c r="J683" s="1721"/>
      <c r="K683" s="1721"/>
      <c r="L683" s="2884"/>
      <c r="M683" s="2885"/>
      <c r="O683" s="1735" t="s">
        <v>513</v>
      </c>
      <c r="T683" s="1706"/>
    </row>
    <row r="684" spans="1:20" s="175" customFormat="1" ht="13.5" customHeight="1">
      <c r="A684" s="2008" t="s">
        <v>383</v>
      </c>
      <c r="B684" s="2009" t="s">
        <v>384</v>
      </c>
      <c r="C684" s="2003"/>
      <c r="D684" s="2003"/>
      <c r="E684" s="2003"/>
      <c r="F684" s="2003"/>
      <c r="G684" s="2882" t="str">
        <f>G683</f>
        <v>Each Sqm</v>
      </c>
      <c r="H684" s="2883"/>
      <c r="I684" s="1723">
        <f>K3826</f>
        <v>234.31</v>
      </c>
      <c r="J684" s="1721"/>
      <c r="K684" s="1721">
        <f>I684+J684</f>
        <v>234.31</v>
      </c>
      <c r="L684" s="2884">
        <f>ROUND(K684,1)</f>
        <v>234.3</v>
      </c>
      <c r="M684" s="2885"/>
      <c r="N684" s="1761"/>
      <c r="O684" s="1761"/>
      <c r="P684" s="1761"/>
      <c r="Q684" s="1725" t="s">
        <v>506</v>
      </c>
      <c r="R684" s="1725"/>
      <c r="S684" s="1725"/>
    </row>
    <row r="685" spans="1:20" s="175" customFormat="1" ht="13.5" customHeight="1">
      <c r="A685" s="2008" t="s">
        <v>386</v>
      </c>
      <c r="B685" s="2009" t="s">
        <v>387</v>
      </c>
      <c r="C685" s="2003"/>
      <c r="D685" s="2003"/>
      <c r="E685" s="2003"/>
      <c r="F685" s="2003"/>
      <c r="G685" s="2882" t="str">
        <f>G684</f>
        <v>Each Sqm</v>
      </c>
      <c r="H685" s="2883"/>
      <c r="I685" s="1723">
        <f>K3834</f>
        <v>239.61</v>
      </c>
      <c r="J685" s="1721"/>
      <c r="K685" s="1721">
        <f>I685+J685</f>
        <v>239.61</v>
      </c>
      <c r="L685" s="2884">
        <f>ROUND(K685,1)</f>
        <v>239.6</v>
      </c>
      <c r="M685" s="2885"/>
      <c r="N685" s="1761"/>
      <c r="O685" s="1761"/>
      <c r="P685" s="1761"/>
      <c r="Q685" s="1725"/>
      <c r="R685" s="1725"/>
      <c r="S685" s="1725"/>
    </row>
    <row r="686" spans="1:20" s="175" customFormat="1" ht="13.5" customHeight="1">
      <c r="A686" s="2008" t="str">
        <f>A681</f>
        <v>(iii)</v>
      </c>
      <c r="B686" s="2009" t="str">
        <f>B681</f>
        <v>2nd Floor</v>
      </c>
      <c r="C686" s="2003"/>
      <c r="D686" s="2003"/>
      <c r="E686" s="2003"/>
      <c r="F686" s="2003"/>
      <c r="G686" s="2882" t="str">
        <f>G685</f>
        <v>Each Sqm</v>
      </c>
      <c r="H686" s="2883"/>
      <c r="I686" s="1723">
        <f>K3842</f>
        <v>245.08</v>
      </c>
      <c r="J686" s="1721"/>
      <c r="K686" s="1721">
        <f>I686+J686</f>
        <v>245.08</v>
      </c>
      <c r="L686" s="2884">
        <f>ROUND(K686,1)</f>
        <v>245.1</v>
      </c>
      <c r="M686" s="2885"/>
      <c r="N686" s="1761"/>
      <c r="O686" s="1761"/>
      <c r="P686" s="1761"/>
      <c r="Q686" s="1725"/>
      <c r="R686" s="1725"/>
      <c r="S686" s="1725"/>
    </row>
    <row r="687" spans="1:20" s="175" customFormat="1" ht="13.5" customHeight="1">
      <c r="A687" s="2040" t="s">
        <v>443</v>
      </c>
      <c r="B687" s="2009" t="s">
        <v>3636</v>
      </c>
      <c r="C687" s="2003"/>
      <c r="D687" s="2003"/>
      <c r="E687" s="2003"/>
      <c r="F687" s="2003"/>
      <c r="G687" s="2882" t="str">
        <f>G686</f>
        <v>Each Sqm</v>
      </c>
      <c r="H687" s="2883"/>
      <c r="I687" s="1723">
        <f>K3850</f>
        <v>253.16000000000003</v>
      </c>
      <c r="J687" s="1721"/>
      <c r="K687" s="1721">
        <f>I687+J687</f>
        <v>253.16000000000003</v>
      </c>
      <c r="L687" s="2884">
        <f t="shared" ref="L687" si="121">ROUND(K687,1)</f>
        <v>253.2</v>
      </c>
      <c r="M687" s="2885"/>
      <c r="N687" s="1761"/>
      <c r="O687" s="1761"/>
      <c r="P687" s="1761"/>
      <c r="Q687" s="1725"/>
      <c r="R687" s="1725"/>
      <c r="S687" s="1725"/>
    </row>
    <row r="688" spans="1:20" s="175" customFormat="1" ht="13.5" customHeight="1">
      <c r="A688" s="1998">
        <f>A683+1</f>
        <v>64</v>
      </c>
      <c r="B688" s="1884" t="s">
        <v>3826</v>
      </c>
      <c r="C688" s="2003"/>
      <c r="D688" s="2003"/>
      <c r="E688" s="2003"/>
      <c r="F688" s="2003"/>
      <c r="G688" s="2882" t="str">
        <f>G685</f>
        <v>Each Sqm</v>
      </c>
      <c r="H688" s="2883"/>
      <c r="I688" s="1723"/>
      <c r="J688" s="1721"/>
      <c r="K688" s="1721"/>
      <c r="L688" s="2006"/>
      <c r="M688" s="2007"/>
      <c r="N688" s="1761"/>
      <c r="O688" s="1761"/>
      <c r="P688" s="1761"/>
      <c r="Q688" s="1725"/>
      <c r="R688" s="1725"/>
      <c r="S688" s="1725"/>
    </row>
    <row r="689" spans="1:20" s="175" customFormat="1" ht="13.5" customHeight="1">
      <c r="A689" s="2008" t="s">
        <v>383</v>
      </c>
      <c r="B689" s="2009" t="s">
        <v>384</v>
      </c>
      <c r="C689" s="2003"/>
      <c r="D689" s="2003"/>
      <c r="E689" s="2003"/>
      <c r="F689" s="2003"/>
      <c r="G689" s="2882" t="str">
        <f>G688</f>
        <v>Each Sqm</v>
      </c>
      <c r="H689" s="2883"/>
      <c r="I689" s="1723">
        <f>K3859</f>
        <v>17.594999999999999</v>
      </c>
      <c r="J689" s="1721"/>
      <c r="K689" s="1721">
        <f t="shared" ref="K689:K695" si="122">I689+J689</f>
        <v>17.594999999999999</v>
      </c>
      <c r="L689" s="2884">
        <f t="shared" ref="L689:L695" si="123">ROUND(K689,1)</f>
        <v>17.600000000000001</v>
      </c>
      <c r="M689" s="2885"/>
      <c r="N689" s="1761"/>
      <c r="O689" s="1761"/>
      <c r="P689" s="1761"/>
      <c r="Q689" s="1725" t="s">
        <v>514</v>
      </c>
      <c r="R689" s="1725"/>
      <c r="S689" s="1725"/>
    </row>
    <row r="690" spans="1:20" s="175" customFormat="1" ht="13.5" customHeight="1">
      <c r="A690" s="2008" t="s">
        <v>386</v>
      </c>
      <c r="B690" s="2009" t="s">
        <v>387</v>
      </c>
      <c r="C690" s="2003"/>
      <c r="D690" s="2003"/>
      <c r="E690" s="2003"/>
      <c r="F690" s="2003"/>
      <c r="G690" s="2882" t="str">
        <f>G689</f>
        <v>Each Sqm</v>
      </c>
      <c r="H690" s="2883"/>
      <c r="I690" s="1723">
        <f>K3863</f>
        <v>22.774999999999999</v>
      </c>
      <c r="J690" s="1721"/>
      <c r="K690" s="1721">
        <f t="shared" si="122"/>
        <v>22.774999999999999</v>
      </c>
      <c r="L690" s="2884">
        <f t="shared" si="123"/>
        <v>22.8</v>
      </c>
      <c r="M690" s="2885"/>
      <c r="N690" s="1761"/>
      <c r="O690" s="1761"/>
      <c r="P690" s="1761"/>
      <c r="Q690" s="1725"/>
      <c r="R690" s="1725"/>
      <c r="S690" s="1725"/>
    </row>
    <row r="691" spans="1:20" s="175" customFormat="1" ht="13.5" customHeight="1">
      <c r="A691" s="2008" t="str">
        <f>A686</f>
        <v>(iii)</v>
      </c>
      <c r="B691" s="2009" t="str">
        <f>B686</f>
        <v>2nd Floor</v>
      </c>
      <c r="C691" s="2003"/>
      <c r="D691" s="2003"/>
      <c r="E691" s="2003"/>
      <c r="F691" s="2003"/>
      <c r="G691" s="2882" t="str">
        <f>G690</f>
        <v>Each Sqm</v>
      </c>
      <c r="H691" s="2883"/>
      <c r="I691" s="1723">
        <f>K3867</f>
        <v>28.114999999999998</v>
      </c>
      <c r="J691" s="1721"/>
      <c r="K691" s="1721">
        <f t="shared" si="122"/>
        <v>28.114999999999998</v>
      </c>
      <c r="L691" s="2884">
        <f t="shared" si="123"/>
        <v>28.1</v>
      </c>
      <c r="M691" s="2885"/>
      <c r="N691" s="1761"/>
      <c r="O691" s="1761"/>
      <c r="P691" s="1761"/>
      <c r="Q691" s="1725"/>
      <c r="R691" s="1725"/>
      <c r="S691" s="1725"/>
    </row>
    <row r="692" spans="1:20" s="175" customFormat="1" ht="13.5" customHeight="1">
      <c r="A692" s="2040" t="s">
        <v>443</v>
      </c>
      <c r="B692" s="2009" t="s">
        <v>3636</v>
      </c>
      <c r="C692" s="2003"/>
      <c r="D692" s="2003"/>
      <c r="E692" s="2003"/>
      <c r="F692" s="2003"/>
      <c r="G692" s="2882" t="str">
        <f>G691</f>
        <v>Each Sqm</v>
      </c>
      <c r="H692" s="2883"/>
      <c r="I692" s="1723">
        <f>K3871</f>
        <v>33.614999999999995</v>
      </c>
      <c r="J692" s="1721"/>
      <c r="K692" s="1721">
        <f>I692+J692</f>
        <v>33.614999999999995</v>
      </c>
      <c r="L692" s="2884">
        <f t="shared" si="123"/>
        <v>33.6</v>
      </c>
      <c r="M692" s="2885"/>
      <c r="N692" s="1761"/>
      <c r="O692" s="1761"/>
      <c r="P692" s="1761"/>
      <c r="Q692" s="1725"/>
      <c r="R692" s="1725"/>
      <c r="S692" s="1725"/>
    </row>
    <row r="693" spans="1:20" s="175" customFormat="1" ht="13.5" customHeight="1">
      <c r="A693" s="1998">
        <f>A688+1</f>
        <v>65</v>
      </c>
      <c r="B693" s="1828" t="s">
        <v>3827</v>
      </c>
      <c r="C693" s="2003"/>
      <c r="D693" s="2003"/>
      <c r="E693" s="2003"/>
      <c r="F693" s="2003"/>
      <c r="G693" s="2882" t="str">
        <f>G680</f>
        <v>Each Sqm</v>
      </c>
      <c r="H693" s="2883"/>
      <c r="I693" s="1723">
        <f>K3885</f>
        <v>29.679999999999996</v>
      </c>
      <c r="J693" s="1721"/>
      <c r="K693" s="1721">
        <f t="shared" si="122"/>
        <v>29.679999999999996</v>
      </c>
      <c r="L693" s="2884">
        <f t="shared" si="123"/>
        <v>29.7</v>
      </c>
      <c r="M693" s="2885"/>
      <c r="N693" s="1761"/>
      <c r="O693" s="1761"/>
      <c r="P693" s="1761"/>
      <c r="Q693" s="1725"/>
      <c r="R693" s="1725"/>
      <c r="S693" s="1725"/>
    </row>
    <row r="694" spans="1:20" s="1741" customFormat="1" ht="13.5" customHeight="1">
      <c r="A694" s="1998">
        <f>A693+1</f>
        <v>66</v>
      </c>
      <c r="B694" s="1828" t="s">
        <v>3828</v>
      </c>
      <c r="C694" s="2003"/>
      <c r="D694" s="2003"/>
      <c r="E694" s="2003"/>
      <c r="F694" s="2003"/>
      <c r="G694" s="2882" t="s">
        <v>381</v>
      </c>
      <c r="H694" s="2883"/>
      <c r="I694" s="1723">
        <f>K3899</f>
        <v>220.46999999999997</v>
      </c>
      <c r="J694" s="1721"/>
      <c r="K694" s="1721">
        <f t="shared" si="122"/>
        <v>220.46999999999997</v>
      </c>
      <c r="L694" s="2884">
        <f t="shared" si="123"/>
        <v>220.5</v>
      </c>
      <c r="M694" s="2885"/>
      <c r="O694" s="1735" t="s">
        <v>516</v>
      </c>
      <c r="Q694" s="1735" t="s">
        <v>515</v>
      </c>
      <c r="T694" s="1706"/>
    </row>
    <row r="695" spans="1:20" s="1741" customFormat="1" ht="13.5" customHeight="1">
      <c r="A695" s="1998">
        <f>A694+1</f>
        <v>67</v>
      </c>
      <c r="B695" s="1828" t="s">
        <v>3829</v>
      </c>
      <c r="C695" s="2003"/>
      <c r="D695" s="2003"/>
      <c r="E695" s="2003"/>
      <c r="F695" s="2003"/>
      <c r="G695" s="2882" t="s">
        <v>381</v>
      </c>
      <c r="H695" s="2883"/>
      <c r="I695" s="1723">
        <f>K3913</f>
        <v>351.03999999999996</v>
      </c>
      <c r="J695" s="1721"/>
      <c r="K695" s="1721">
        <f t="shared" si="122"/>
        <v>351.03999999999996</v>
      </c>
      <c r="L695" s="2884">
        <f t="shared" si="123"/>
        <v>351</v>
      </c>
      <c r="M695" s="2885"/>
      <c r="O695" s="1735" t="s">
        <v>517</v>
      </c>
      <c r="Q695" s="1735" t="s">
        <v>515</v>
      </c>
      <c r="T695" s="1706"/>
    </row>
    <row r="696" spans="1:20" s="1741" customFormat="1" ht="13.5" customHeight="1">
      <c r="A696" s="1998">
        <f>A695+1</f>
        <v>68</v>
      </c>
      <c r="B696" s="2002" t="s">
        <v>3830</v>
      </c>
      <c r="C696" s="2003"/>
      <c r="D696" s="2003"/>
      <c r="E696" s="2003"/>
      <c r="F696" s="2003"/>
      <c r="G696" s="2882" t="s">
        <v>390</v>
      </c>
      <c r="H696" s="2883"/>
      <c r="I696" s="1723"/>
      <c r="J696" s="1721"/>
      <c r="K696" s="1721"/>
      <c r="L696" s="2884"/>
      <c r="M696" s="2885"/>
      <c r="O696" s="1735" t="s">
        <v>518</v>
      </c>
      <c r="Q696" s="1735"/>
      <c r="T696" s="1706"/>
    </row>
    <row r="697" spans="1:20" s="175" customFormat="1" ht="13.5" customHeight="1">
      <c r="A697" s="2008" t="s">
        <v>383</v>
      </c>
      <c r="B697" s="2009" t="s">
        <v>384</v>
      </c>
      <c r="C697" s="2003"/>
      <c r="D697" s="2003"/>
      <c r="E697" s="2003"/>
      <c r="F697" s="2003"/>
      <c r="G697" s="2882" t="str">
        <f>G696</f>
        <v>Each Sqm</v>
      </c>
      <c r="H697" s="2883"/>
      <c r="I697" s="1723">
        <f>K3932</f>
        <v>312.88</v>
      </c>
      <c r="J697" s="1721"/>
      <c r="K697" s="1721">
        <f>I697+J697</f>
        <v>312.88</v>
      </c>
      <c r="L697" s="2884">
        <f>ROUND(K697,1)</f>
        <v>312.89999999999998</v>
      </c>
      <c r="M697" s="2885"/>
      <c r="N697" s="1761"/>
      <c r="O697" s="1725"/>
      <c r="P697" s="1761"/>
      <c r="Q697" s="1725"/>
      <c r="S697" s="1725"/>
      <c r="T697" s="1725"/>
    </row>
    <row r="698" spans="1:20" s="175" customFormat="1" ht="13.5" customHeight="1">
      <c r="A698" s="2008" t="s">
        <v>386</v>
      </c>
      <c r="B698" s="2009" t="s">
        <v>387</v>
      </c>
      <c r="C698" s="2003"/>
      <c r="D698" s="2003"/>
      <c r="E698" s="2003"/>
      <c r="F698" s="2003"/>
      <c r="G698" s="2882" t="str">
        <f>G697</f>
        <v>Each Sqm</v>
      </c>
      <c r="H698" s="2883"/>
      <c r="I698" s="1723">
        <f>K3936</f>
        <v>322.31</v>
      </c>
      <c r="J698" s="1721"/>
      <c r="K698" s="1721">
        <f>I698+J698</f>
        <v>322.31</v>
      </c>
      <c r="L698" s="2884">
        <f>ROUND(K698,1)</f>
        <v>322.3</v>
      </c>
      <c r="M698" s="2885"/>
      <c r="N698" s="1761"/>
      <c r="O698" s="1725"/>
      <c r="P698" s="1761"/>
      <c r="Q698" s="1725"/>
      <c r="S698" s="1725"/>
      <c r="T698" s="1725"/>
    </row>
    <row r="699" spans="1:20" s="175" customFormat="1" ht="13.5" customHeight="1">
      <c r="A699" s="2008" t="str">
        <f>A691</f>
        <v>(iii)</v>
      </c>
      <c r="B699" s="2009" t="str">
        <f>B691</f>
        <v>2nd Floor</v>
      </c>
      <c r="C699" s="2003"/>
      <c r="D699" s="2003"/>
      <c r="E699" s="2003"/>
      <c r="F699" s="2003"/>
      <c r="G699" s="2882" t="str">
        <f>G698</f>
        <v>Each Sqm</v>
      </c>
      <c r="H699" s="2883"/>
      <c r="I699" s="1723">
        <f>K3940</f>
        <v>332.17</v>
      </c>
      <c r="J699" s="1721"/>
      <c r="K699" s="1721">
        <f>I699+J699</f>
        <v>332.17</v>
      </c>
      <c r="L699" s="2884">
        <f>ROUND(K699,1)</f>
        <v>332.2</v>
      </c>
      <c r="M699" s="2885"/>
      <c r="N699" s="1761"/>
      <c r="O699" s="1725"/>
      <c r="P699" s="1761"/>
      <c r="Q699" s="1725"/>
      <c r="S699" s="1725"/>
      <c r="T699" s="1725"/>
    </row>
    <row r="700" spans="1:20" s="175" customFormat="1" ht="13.5" customHeight="1">
      <c r="A700" s="2040" t="s">
        <v>443</v>
      </c>
      <c r="B700" s="2009" t="s">
        <v>3636</v>
      </c>
      <c r="C700" s="2003"/>
      <c r="D700" s="2003"/>
      <c r="E700" s="2003"/>
      <c r="F700" s="2003"/>
      <c r="G700" s="2882" t="str">
        <f>G699</f>
        <v>Each Sqm</v>
      </c>
      <c r="H700" s="2883"/>
      <c r="I700" s="1723">
        <f>K3944</f>
        <v>342.03000000000003</v>
      </c>
      <c r="J700" s="1721"/>
      <c r="K700" s="1721">
        <f>I700+J700</f>
        <v>342.03000000000003</v>
      </c>
      <c r="L700" s="2884">
        <f t="shared" ref="L700" si="124">ROUND(K700,1)</f>
        <v>342</v>
      </c>
      <c r="M700" s="2885"/>
      <c r="N700" s="1761"/>
      <c r="O700" s="1761"/>
      <c r="P700" s="1761"/>
      <c r="Q700" s="1725"/>
      <c r="R700" s="1725"/>
      <c r="S700" s="1725"/>
    </row>
    <row r="701" spans="1:20" s="1741" customFormat="1" ht="13.5" customHeight="1">
      <c r="A701" s="1998">
        <f>A696+1</f>
        <v>69</v>
      </c>
      <c r="B701" s="2002" t="s">
        <v>3831</v>
      </c>
      <c r="C701" s="2003"/>
      <c r="D701" s="2003"/>
      <c r="E701" s="2003"/>
      <c r="F701" s="2003"/>
      <c r="G701" s="2882" t="s">
        <v>390</v>
      </c>
      <c r="H701" s="2883"/>
      <c r="I701" s="1723"/>
      <c r="J701" s="1721"/>
      <c r="K701" s="1721"/>
      <c r="L701" s="2884"/>
      <c r="M701" s="2885"/>
      <c r="O701" s="1735" t="s">
        <v>518</v>
      </c>
      <c r="Q701" s="1735"/>
      <c r="T701" s="1706"/>
    </row>
    <row r="702" spans="1:20" s="175" customFormat="1" ht="13.5" customHeight="1">
      <c r="A702" s="2060" t="s">
        <v>383</v>
      </c>
      <c r="B702" s="1884" t="s">
        <v>384</v>
      </c>
      <c r="C702" s="2003"/>
      <c r="D702" s="2003"/>
      <c r="E702" s="2003"/>
      <c r="F702" s="2003"/>
      <c r="G702" s="2882" t="str">
        <f>G701</f>
        <v>Each Sqm</v>
      </c>
      <c r="H702" s="2883"/>
      <c r="I702" s="1723">
        <f>K3964</f>
        <v>631.0630000000001</v>
      </c>
      <c r="J702" s="1721"/>
      <c r="K702" s="1721">
        <f>I702+J702</f>
        <v>631.0630000000001</v>
      </c>
      <c r="L702" s="2884">
        <f>ROUND(K702,1)</f>
        <v>631.1</v>
      </c>
      <c r="M702" s="2885"/>
      <c r="N702" s="1761"/>
      <c r="O702" s="1725"/>
      <c r="P702" s="1761"/>
      <c r="Q702" s="1725"/>
      <c r="S702" s="1725"/>
      <c r="T702" s="1725"/>
    </row>
    <row r="703" spans="1:20" s="1741" customFormat="1" ht="13.5" customHeight="1">
      <c r="A703" s="1998">
        <f>A701+1</f>
        <v>70</v>
      </c>
      <c r="B703" s="2002" t="s">
        <v>3832</v>
      </c>
      <c r="C703" s="2003"/>
      <c r="D703" s="2003"/>
      <c r="E703" s="2003"/>
      <c r="F703" s="2003"/>
      <c r="G703" s="2882" t="s">
        <v>390</v>
      </c>
      <c r="H703" s="2883"/>
      <c r="I703" s="1723"/>
      <c r="J703" s="1721"/>
      <c r="K703" s="1721"/>
      <c r="L703" s="2884"/>
      <c r="M703" s="2885"/>
      <c r="O703" s="1735" t="s">
        <v>518</v>
      </c>
      <c r="Q703" s="1735"/>
      <c r="T703" s="1706"/>
    </row>
    <row r="704" spans="1:20" s="175" customFormat="1" ht="13.5" customHeight="1">
      <c r="A704" s="2060" t="s">
        <v>383</v>
      </c>
      <c r="B704" s="1884" t="s">
        <v>384</v>
      </c>
      <c r="C704" s="2003"/>
      <c r="D704" s="2003"/>
      <c r="E704" s="2003"/>
      <c r="F704" s="2003"/>
      <c r="G704" s="2882" t="str">
        <f>G703</f>
        <v>Each Sqm</v>
      </c>
      <c r="H704" s="2883"/>
      <c r="I704" s="1723">
        <f>K3984</f>
        <v>718.0440000000001</v>
      </c>
      <c r="J704" s="1721"/>
      <c r="K704" s="1721">
        <f>I704+J704</f>
        <v>718.0440000000001</v>
      </c>
      <c r="L704" s="2884">
        <f>ROUND(K704,1)</f>
        <v>718</v>
      </c>
      <c r="M704" s="2885"/>
      <c r="N704" s="1761"/>
      <c r="O704" s="1725"/>
      <c r="P704" s="1761"/>
      <c r="Q704" s="1725"/>
      <c r="S704" s="1725"/>
      <c r="T704" s="1725"/>
    </row>
    <row r="705" spans="1:20" s="175" customFormat="1" ht="13.5" customHeight="1">
      <c r="A705" s="1998">
        <f>A703+1</f>
        <v>71</v>
      </c>
      <c r="B705" s="1884" t="s">
        <v>3833</v>
      </c>
      <c r="C705" s="2003"/>
      <c r="D705" s="2003"/>
      <c r="E705" s="2003"/>
      <c r="F705" s="2003"/>
      <c r="G705" s="2882" t="s">
        <v>390</v>
      </c>
      <c r="H705" s="2883"/>
      <c r="I705" s="1723"/>
      <c r="J705" s="1721"/>
      <c r="K705" s="1721"/>
      <c r="L705" s="2884"/>
      <c r="M705" s="2885"/>
      <c r="N705" s="1761"/>
      <c r="O705" s="1725"/>
      <c r="P705" s="1761"/>
      <c r="Q705" s="1725" t="s">
        <v>519</v>
      </c>
      <c r="S705" s="1725"/>
      <c r="T705" s="1725"/>
    </row>
    <row r="706" spans="1:20" s="175" customFormat="1" ht="13.5" customHeight="1">
      <c r="A706" s="2008" t="s">
        <v>383</v>
      </c>
      <c r="B706" s="2009" t="s">
        <v>384</v>
      </c>
      <c r="C706" s="2003"/>
      <c r="D706" s="2003"/>
      <c r="E706" s="2003"/>
      <c r="F706" s="2003"/>
      <c r="G706" s="2882" t="str">
        <f>G705</f>
        <v>Each Sqm</v>
      </c>
      <c r="H706" s="2883"/>
      <c r="I706" s="1723">
        <f>K4008</f>
        <v>338.62</v>
      </c>
      <c r="J706" s="1721"/>
      <c r="K706" s="1721">
        <f>I706+J706</f>
        <v>338.62</v>
      </c>
      <c r="L706" s="2884">
        <f>ROUND(K706,1)</f>
        <v>338.6</v>
      </c>
      <c r="M706" s="2885"/>
      <c r="N706" s="1761"/>
      <c r="O706" s="1725"/>
      <c r="P706" s="1761"/>
      <c r="S706" s="1725"/>
      <c r="T706" s="1725"/>
    </row>
    <row r="707" spans="1:20" s="175" customFormat="1" ht="13.5" customHeight="1">
      <c r="A707" s="2008" t="s">
        <v>386</v>
      </c>
      <c r="B707" s="2009" t="s">
        <v>387</v>
      </c>
      <c r="C707" s="2003"/>
      <c r="D707" s="2003"/>
      <c r="E707" s="2003"/>
      <c r="F707" s="2003"/>
      <c r="G707" s="2882" t="str">
        <f>G706</f>
        <v>Each Sqm</v>
      </c>
      <c r="H707" s="2883"/>
      <c r="I707" s="1723">
        <f>K4016</f>
        <v>348.70999999999992</v>
      </c>
      <c r="J707" s="1721"/>
      <c r="K707" s="1721">
        <f>I707+J707</f>
        <v>348.70999999999992</v>
      </c>
      <c r="L707" s="2884">
        <f>ROUND(K707,1)</f>
        <v>348.7</v>
      </c>
      <c r="M707" s="2885"/>
      <c r="N707" s="1761"/>
      <c r="O707" s="1725"/>
      <c r="P707" s="1761"/>
      <c r="Q707" s="1725"/>
      <c r="S707" s="1725"/>
      <c r="T707" s="1725"/>
    </row>
    <row r="708" spans="1:20" s="175" customFormat="1" ht="13.5" customHeight="1">
      <c r="A708" s="2008" t="str">
        <f>A691</f>
        <v>(iii)</v>
      </c>
      <c r="B708" s="2009" t="str">
        <f>B691</f>
        <v>2nd Floor</v>
      </c>
      <c r="C708" s="2003"/>
      <c r="D708" s="2003"/>
      <c r="E708" s="2003"/>
      <c r="F708" s="2003"/>
      <c r="G708" s="2882" t="str">
        <f>G707</f>
        <v>Each Sqm</v>
      </c>
      <c r="H708" s="2883"/>
      <c r="I708" s="1723">
        <f>K4024</f>
        <v>359.29999999999995</v>
      </c>
      <c r="J708" s="1721"/>
      <c r="K708" s="1721">
        <f>I708+J708</f>
        <v>359.29999999999995</v>
      </c>
      <c r="L708" s="2884">
        <f>ROUND(K708,1)</f>
        <v>359.3</v>
      </c>
      <c r="M708" s="2885"/>
      <c r="N708" s="1761"/>
      <c r="O708" s="1725"/>
      <c r="P708" s="1761"/>
      <c r="Q708" s="1725"/>
      <c r="S708" s="1725"/>
      <c r="T708" s="1725"/>
    </row>
    <row r="709" spans="1:20" s="175" customFormat="1" ht="13.5" customHeight="1">
      <c r="A709" s="2040" t="s">
        <v>443</v>
      </c>
      <c r="B709" s="2009" t="s">
        <v>3636</v>
      </c>
      <c r="C709" s="2003"/>
      <c r="D709" s="2003"/>
      <c r="E709" s="2003"/>
      <c r="F709" s="2003"/>
      <c r="G709" s="2882" t="str">
        <f>G708</f>
        <v>Each Sqm</v>
      </c>
      <c r="H709" s="2883"/>
      <c r="I709" s="1723">
        <f>K4032</f>
        <v>370.43</v>
      </c>
      <c r="J709" s="1721"/>
      <c r="K709" s="1721">
        <f>I709+J709</f>
        <v>370.43</v>
      </c>
      <c r="L709" s="2884">
        <f t="shared" ref="L709" si="125">ROUND(K709,1)</f>
        <v>370.4</v>
      </c>
      <c r="M709" s="2885"/>
      <c r="N709" s="1761"/>
      <c r="O709" s="1761"/>
      <c r="P709" s="1761"/>
      <c r="Q709" s="1725"/>
      <c r="R709" s="1725"/>
      <c r="S709" s="1725"/>
    </row>
    <row r="710" spans="1:20" s="175" customFormat="1" ht="13.5" customHeight="1">
      <c r="A710" s="1998">
        <f>A705+1</f>
        <v>72</v>
      </c>
      <c r="B710" s="1884" t="s">
        <v>3834</v>
      </c>
      <c r="C710" s="2003"/>
      <c r="D710" s="2003"/>
      <c r="E710" s="2003"/>
      <c r="F710" s="2003"/>
      <c r="G710" s="2882" t="s">
        <v>390</v>
      </c>
      <c r="H710" s="2883"/>
      <c r="I710" s="1723"/>
      <c r="J710" s="1721"/>
      <c r="K710" s="1721"/>
      <c r="L710" s="2884"/>
      <c r="M710" s="2885"/>
      <c r="N710" s="1761"/>
      <c r="P710" s="1761"/>
      <c r="Q710" s="1759" t="s">
        <v>520</v>
      </c>
      <c r="T710" s="1759"/>
    </row>
    <row r="711" spans="1:20" s="175" customFormat="1" ht="13.5" customHeight="1">
      <c r="A711" s="2008" t="s">
        <v>383</v>
      </c>
      <c r="B711" s="2009" t="s">
        <v>384</v>
      </c>
      <c r="C711" s="2003"/>
      <c r="D711" s="2003"/>
      <c r="E711" s="2003"/>
      <c r="F711" s="2003"/>
      <c r="G711" s="2882" t="str">
        <f>G710</f>
        <v>Each Sqm</v>
      </c>
      <c r="H711" s="2883"/>
      <c r="I711" s="1723">
        <f>K4053</f>
        <v>609.12</v>
      </c>
      <c r="J711" s="1721"/>
      <c r="K711" s="1721">
        <f>I711+J711</f>
        <v>609.12</v>
      </c>
      <c r="L711" s="2884">
        <f>ROUND(K711,1)</f>
        <v>609.1</v>
      </c>
      <c r="M711" s="2885"/>
      <c r="N711" s="1761"/>
      <c r="O711" s="1725"/>
      <c r="P711" s="1761"/>
      <c r="Q711" s="1725"/>
      <c r="S711" s="1725"/>
      <c r="T711" s="1725"/>
    </row>
    <row r="712" spans="1:20" s="175" customFormat="1" ht="13.5" hidden="1" customHeight="1">
      <c r="A712" s="2008" t="s">
        <v>386</v>
      </c>
      <c r="B712" s="2009" t="s">
        <v>387</v>
      </c>
      <c r="C712" s="2003"/>
      <c r="D712" s="2003"/>
      <c r="E712" s="2003"/>
      <c r="F712" s="2003"/>
      <c r="G712" s="2882" t="str">
        <f>G711</f>
        <v>Each Sqm</v>
      </c>
      <c r="H712" s="2883"/>
      <c r="I712" s="1723">
        <f>K4057</f>
        <v>630.59</v>
      </c>
      <c r="J712" s="1721"/>
      <c r="K712" s="1721">
        <f>I712+J712</f>
        <v>630.59</v>
      </c>
      <c r="L712" s="2884">
        <f>ROUND(K712,1)</f>
        <v>630.6</v>
      </c>
      <c r="M712" s="2885"/>
      <c r="N712" s="1761"/>
      <c r="O712" s="1725"/>
      <c r="P712" s="1761"/>
      <c r="Q712" s="1725"/>
      <c r="S712" s="1725"/>
      <c r="T712" s="1725"/>
    </row>
    <row r="713" spans="1:20" s="175" customFormat="1" ht="13.5" hidden="1" customHeight="1">
      <c r="A713" s="2008" t="str">
        <f>A708</f>
        <v>(iii)</v>
      </c>
      <c r="B713" s="2009" t="str">
        <f>B708</f>
        <v>2nd Floor</v>
      </c>
      <c r="C713" s="2003"/>
      <c r="D713" s="2003"/>
      <c r="E713" s="2003"/>
      <c r="F713" s="2003"/>
      <c r="G713" s="2882" t="str">
        <f>G712</f>
        <v>Each Sqm</v>
      </c>
      <c r="H713" s="2883"/>
      <c r="I713" s="1723">
        <f>K4061</f>
        <v>653.13</v>
      </c>
      <c r="J713" s="1721"/>
      <c r="K713" s="1721">
        <f>I713+J713</f>
        <v>653.13</v>
      </c>
      <c r="L713" s="2884">
        <f>ROUND(K713,1)</f>
        <v>653.1</v>
      </c>
      <c r="M713" s="2885"/>
      <c r="N713" s="1761"/>
      <c r="O713" s="1725"/>
      <c r="P713" s="1761"/>
      <c r="Q713" s="1725"/>
      <c r="S713" s="1725"/>
      <c r="T713" s="1725"/>
    </row>
    <row r="714" spans="1:20" s="175" customFormat="1" ht="13.5" hidden="1" customHeight="1">
      <c r="A714" s="2040" t="s">
        <v>443</v>
      </c>
      <c r="B714" s="2009" t="s">
        <v>3636</v>
      </c>
      <c r="C714" s="2003"/>
      <c r="D714" s="2003"/>
      <c r="E714" s="2003"/>
      <c r="F714" s="2003"/>
      <c r="G714" s="2882" t="str">
        <f>G713</f>
        <v>Each Sqm</v>
      </c>
      <c r="H714" s="2883"/>
      <c r="I714" s="1723">
        <f>K4065</f>
        <v>676.8</v>
      </c>
      <c r="J714" s="1721"/>
      <c r="K714" s="1721">
        <f>I714+J714</f>
        <v>676.8</v>
      </c>
      <c r="L714" s="2884">
        <f t="shared" ref="L714" si="126">ROUND(K714,1)</f>
        <v>676.8</v>
      </c>
      <c r="M714" s="2885"/>
      <c r="N714" s="1761"/>
      <c r="O714" s="1761"/>
      <c r="P714" s="1761"/>
      <c r="Q714" s="1725"/>
      <c r="R714" s="1725"/>
      <c r="S714" s="1725"/>
    </row>
    <row r="715" spans="1:20" s="1741" customFormat="1" ht="13.5" hidden="1" customHeight="1">
      <c r="A715" s="1998">
        <f>A710+1</f>
        <v>73</v>
      </c>
      <c r="B715" s="1828" t="s">
        <v>3835</v>
      </c>
      <c r="C715" s="2003"/>
      <c r="D715" s="2003"/>
      <c r="E715" s="2003"/>
      <c r="F715" s="2003"/>
      <c r="G715" s="2882" t="s">
        <v>390</v>
      </c>
      <c r="H715" s="2883"/>
      <c r="I715" s="1723"/>
      <c r="J715" s="1721"/>
      <c r="K715" s="1721"/>
      <c r="L715" s="2884"/>
      <c r="M715" s="2885"/>
      <c r="O715" s="1735" t="s">
        <v>522</v>
      </c>
      <c r="Q715" s="1735" t="s">
        <v>521</v>
      </c>
      <c r="T715" s="1706"/>
    </row>
    <row r="716" spans="1:20" s="175" customFormat="1" ht="13.5" hidden="1" customHeight="1">
      <c r="A716" s="1998" t="s">
        <v>468</v>
      </c>
      <c r="B716" s="1828" t="str">
        <f>B163</f>
        <v>Vertified tile ( 600x 600)Printed</v>
      </c>
      <c r="C716" s="2003"/>
      <c r="D716" s="2003"/>
      <c r="E716" s="2003"/>
      <c r="F716" s="2003"/>
      <c r="G716" s="2882" t="s">
        <v>390</v>
      </c>
      <c r="H716" s="2883"/>
      <c r="I716" s="1723"/>
      <c r="J716" s="1721"/>
      <c r="K716" s="1721"/>
      <c r="L716" s="2006"/>
      <c r="M716" s="2007"/>
      <c r="N716" s="1761"/>
      <c r="O716" s="1761"/>
      <c r="P716" s="1761"/>
      <c r="T716" s="1759"/>
    </row>
    <row r="717" spans="1:20" s="175" customFormat="1" ht="13.5" hidden="1" customHeight="1">
      <c r="A717" s="2008" t="s">
        <v>383</v>
      </c>
      <c r="B717" s="2009" t="s">
        <v>384</v>
      </c>
      <c r="C717" s="2003"/>
      <c r="D717" s="2003"/>
      <c r="E717" s="2003"/>
      <c r="F717" s="2003"/>
      <c r="G717" s="2882" t="str">
        <f>G716</f>
        <v>Each Sqm</v>
      </c>
      <c r="H717" s="2883"/>
      <c r="I717" s="1723">
        <f>K4089</f>
        <v>1281.53</v>
      </c>
      <c r="J717" s="1721"/>
      <c r="K717" s="1721">
        <f>I717+J717</f>
        <v>1281.53</v>
      </c>
      <c r="L717" s="2884">
        <f>ROUND(K717,1)</f>
        <v>1281.5</v>
      </c>
      <c r="M717" s="2885"/>
      <c r="N717" s="1761"/>
      <c r="O717" s="1761"/>
      <c r="P717" s="1761"/>
      <c r="Q717" s="1725"/>
      <c r="R717" s="1725"/>
      <c r="S717" s="1725"/>
      <c r="T717" s="1725"/>
    </row>
    <row r="718" spans="1:20" s="175" customFormat="1" ht="13.5" hidden="1" customHeight="1">
      <c r="A718" s="2008" t="s">
        <v>386</v>
      </c>
      <c r="B718" s="2009" t="s">
        <v>387</v>
      </c>
      <c r="C718" s="2003"/>
      <c r="D718" s="2003"/>
      <c r="E718" s="2003"/>
      <c r="F718" s="2003"/>
      <c r="G718" s="2882" t="str">
        <f>G717</f>
        <v>Each Sqm</v>
      </c>
      <c r="H718" s="2883"/>
      <c r="I718" s="1723">
        <f>K4093</f>
        <v>1301.19</v>
      </c>
      <c r="J718" s="1721"/>
      <c r="K718" s="1721">
        <f>I718+J718</f>
        <v>1301.19</v>
      </c>
      <c r="L718" s="2884">
        <f>ROUND(K718,1)</f>
        <v>1301.2</v>
      </c>
      <c r="M718" s="2885"/>
      <c r="N718" s="1761"/>
      <c r="O718" s="1761"/>
      <c r="P718" s="1761"/>
      <c r="Q718" s="1725"/>
      <c r="R718" s="1725"/>
      <c r="S718" s="1725"/>
      <c r="T718" s="1725"/>
    </row>
    <row r="719" spans="1:20" s="175" customFormat="1" ht="13.5" hidden="1" customHeight="1">
      <c r="A719" s="2008" t="str">
        <f>A713</f>
        <v>(iii)</v>
      </c>
      <c r="B719" s="2009" t="str">
        <f>B713</f>
        <v>2nd Floor</v>
      </c>
      <c r="C719" s="2003"/>
      <c r="D719" s="2003"/>
      <c r="E719" s="2003"/>
      <c r="F719" s="2003"/>
      <c r="G719" s="2882" t="str">
        <f>G718</f>
        <v>Each Sqm</v>
      </c>
      <c r="H719" s="2883"/>
      <c r="I719" s="1723">
        <f>K4097</f>
        <v>1321.8300000000002</v>
      </c>
      <c r="J719" s="1721"/>
      <c r="K719" s="1721">
        <f>I719+J719</f>
        <v>1321.8300000000002</v>
      </c>
      <c r="L719" s="2884">
        <f>ROUND(K719,1)</f>
        <v>1321.8</v>
      </c>
      <c r="M719" s="2885"/>
      <c r="N719" s="1761"/>
      <c r="O719" s="1761"/>
      <c r="P719" s="1761"/>
      <c r="Q719" s="1725"/>
      <c r="R719" s="1725"/>
      <c r="S719" s="1725"/>
      <c r="T719" s="1725"/>
    </row>
    <row r="720" spans="1:20" s="175" customFormat="1" ht="13.5" hidden="1" customHeight="1">
      <c r="A720" s="2040" t="s">
        <v>443</v>
      </c>
      <c r="B720" s="2009" t="s">
        <v>3636</v>
      </c>
      <c r="C720" s="2003"/>
      <c r="D720" s="2003"/>
      <c r="E720" s="2003"/>
      <c r="F720" s="2003"/>
      <c r="G720" s="2882" t="str">
        <f>G719</f>
        <v>Each Sqm</v>
      </c>
      <c r="H720" s="2883"/>
      <c r="I720" s="1723">
        <f>K4101</f>
        <v>1343.5000000000002</v>
      </c>
      <c r="J720" s="1721"/>
      <c r="K720" s="1721">
        <f>I720+J720</f>
        <v>1343.5000000000002</v>
      </c>
      <c r="L720" s="2884">
        <f t="shared" ref="L720" si="127">ROUND(K720,1)</f>
        <v>1343.5</v>
      </c>
      <c r="M720" s="2885"/>
      <c r="N720" s="1761"/>
      <c r="O720" s="1761"/>
      <c r="P720" s="1761"/>
      <c r="Q720" s="1725"/>
      <c r="R720" s="1725"/>
      <c r="S720" s="1725"/>
    </row>
    <row r="721" spans="1:20" s="175" customFormat="1" ht="13.5" hidden="1" customHeight="1">
      <c r="A721" s="1998" t="s">
        <v>470</v>
      </c>
      <c r="B721" s="1828" t="str">
        <f>B166</f>
        <v>Vertified tile ( 600x 600)Plain</v>
      </c>
      <c r="C721" s="2003"/>
      <c r="D721" s="2003"/>
      <c r="E721" s="2003"/>
      <c r="F721" s="2003"/>
      <c r="G721" s="2882" t="s">
        <v>390</v>
      </c>
      <c r="H721" s="2883"/>
      <c r="I721" s="1723"/>
      <c r="J721" s="1721"/>
      <c r="K721" s="1721"/>
      <c r="L721" s="2006"/>
      <c r="M721" s="2007"/>
      <c r="N721" s="1761"/>
      <c r="O721" s="1761"/>
      <c r="P721" s="1761"/>
      <c r="T721" s="1759"/>
    </row>
    <row r="722" spans="1:20" s="175" customFormat="1" ht="13.5" hidden="1" customHeight="1">
      <c r="A722" s="2008" t="s">
        <v>383</v>
      </c>
      <c r="B722" s="2009" t="s">
        <v>384</v>
      </c>
      <c r="C722" s="2003"/>
      <c r="D722" s="2003"/>
      <c r="E722" s="2003"/>
      <c r="F722" s="2003"/>
      <c r="G722" s="2882" t="str">
        <f>G721</f>
        <v>Each Sqm</v>
      </c>
      <c r="H722" s="2883"/>
      <c r="I722" s="1723">
        <f>K4107</f>
        <v>1236.8499999999999</v>
      </c>
      <c r="J722" s="1721"/>
      <c r="K722" s="1721">
        <f>I722+J722</f>
        <v>1236.8499999999999</v>
      </c>
      <c r="L722" s="2884">
        <f>ROUND(K722,1)</f>
        <v>1236.9000000000001</v>
      </c>
      <c r="M722" s="2885"/>
      <c r="N722" s="1761"/>
      <c r="O722" s="1761"/>
      <c r="P722" s="1761"/>
      <c r="Q722" s="1725"/>
      <c r="R722" s="1725"/>
      <c r="S722" s="1725"/>
      <c r="T722" s="1725"/>
    </row>
    <row r="723" spans="1:20" s="175" customFormat="1" ht="13.5" hidden="1" customHeight="1">
      <c r="A723" s="2008" t="s">
        <v>386</v>
      </c>
      <c r="B723" s="2009" t="s">
        <v>387</v>
      </c>
      <c r="C723" s="2003"/>
      <c r="D723" s="2003"/>
      <c r="E723" s="2003"/>
      <c r="F723" s="2003"/>
      <c r="G723" s="2882" t="str">
        <f>G722</f>
        <v>Each Sqm</v>
      </c>
      <c r="H723" s="2883"/>
      <c r="I723" s="1723">
        <f>K4111</f>
        <v>1256.51</v>
      </c>
      <c r="J723" s="1721"/>
      <c r="K723" s="1721">
        <f>I723+J723</f>
        <v>1256.51</v>
      </c>
      <c r="L723" s="2884">
        <f>ROUND(K723,1)</f>
        <v>1256.5</v>
      </c>
      <c r="M723" s="2885"/>
      <c r="N723" s="1761"/>
      <c r="O723" s="1761"/>
      <c r="P723" s="1761"/>
      <c r="Q723" s="1725"/>
      <c r="R723" s="1725"/>
      <c r="S723" s="1725"/>
      <c r="T723" s="1725"/>
    </row>
    <row r="724" spans="1:20" s="175" customFormat="1" ht="13.5" hidden="1" customHeight="1">
      <c r="A724" s="2008" t="str">
        <f>A719</f>
        <v>(iii)</v>
      </c>
      <c r="B724" s="2009" t="str">
        <f>B719</f>
        <v>2nd Floor</v>
      </c>
      <c r="C724" s="2003"/>
      <c r="D724" s="2003"/>
      <c r="E724" s="2003"/>
      <c r="F724" s="2003"/>
      <c r="G724" s="2882" t="str">
        <f>G723</f>
        <v>Each Sqm</v>
      </c>
      <c r="H724" s="2883"/>
      <c r="I724" s="1723">
        <f>K4115</f>
        <v>1277.1500000000001</v>
      </c>
      <c r="J724" s="1721"/>
      <c r="K724" s="1721">
        <f>I724+J724</f>
        <v>1277.1500000000001</v>
      </c>
      <c r="L724" s="2884">
        <f>ROUND(K724,1)</f>
        <v>1277.2</v>
      </c>
      <c r="M724" s="2885"/>
      <c r="N724" s="1761"/>
      <c r="O724" s="1761"/>
      <c r="P724" s="1761"/>
      <c r="Q724" s="1725"/>
      <c r="R724" s="1725"/>
      <c r="S724" s="1725"/>
      <c r="T724" s="1725"/>
    </row>
    <row r="725" spans="1:20" s="175" customFormat="1" ht="13.5" hidden="1" customHeight="1">
      <c r="A725" s="2040" t="s">
        <v>443</v>
      </c>
      <c r="B725" s="2009" t="s">
        <v>3636</v>
      </c>
      <c r="C725" s="2003"/>
      <c r="D725" s="2003"/>
      <c r="E725" s="2003"/>
      <c r="F725" s="2003"/>
      <c r="G725" s="2882" t="str">
        <f>G724</f>
        <v>Each Sqm</v>
      </c>
      <c r="H725" s="2883"/>
      <c r="I725" s="1723">
        <f>K4119</f>
        <v>1298.8200000000002</v>
      </c>
      <c r="J725" s="1721"/>
      <c r="K725" s="1721">
        <f>I725+J725</f>
        <v>1298.8200000000002</v>
      </c>
      <c r="L725" s="2884">
        <f t="shared" ref="L725" si="128">ROUND(K725,1)</f>
        <v>1298.8</v>
      </c>
      <c r="M725" s="2885"/>
      <c r="N725" s="1761"/>
      <c r="O725" s="1761"/>
      <c r="P725" s="1761"/>
      <c r="Q725" s="1725"/>
      <c r="R725" s="1725"/>
      <c r="S725" s="1725"/>
    </row>
    <row r="726" spans="1:20" s="175" customFormat="1" ht="13.5" hidden="1" customHeight="1">
      <c r="A726" s="1998" t="s">
        <v>472</v>
      </c>
      <c r="B726" s="1828" t="str">
        <f>I163</f>
        <v>Vertified industrial tile (300 x300)</v>
      </c>
      <c r="C726" s="2003"/>
      <c r="D726" s="2003"/>
      <c r="E726" s="2003"/>
      <c r="F726" s="2003"/>
      <c r="G726" s="2882" t="s">
        <v>390</v>
      </c>
      <c r="H726" s="2883"/>
      <c r="I726" s="1723"/>
      <c r="J726" s="1721"/>
      <c r="K726" s="1721"/>
      <c r="L726" s="2006"/>
      <c r="M726" s="2007"/>
      <c r="N726" s="1761"/>
      <c r="O726" s="1761"/>
      <c r="P726" s="1761"/>
      <c r="T726" s="1759"/>
    </row>
    <row r="727" spans="1:20" s="175" customFormat="1" ht="13.5" hidden="1" customHeight="1">
      <c r="A727" s="2008" t="s">
        <v>383</v>
      </c>
      <c r="B727" s="2009" t="s">
        <v>384</v>
      </c>
      <c r="C727" s="2003"/>
      <c r="D727" s="2003"/>
      <c r="E727" s="2003"/>
      <c r="F727" s="2003"/>
      <c r="G727" s="2882" t="str">
        <f>G726</f>
        <v>Each Sqm</v>
      </c>
      <c r="H727" s="2883"/>
      <c r="I727" s="1723">
        <f>K4125</f>
        <v>1164.1199999999999</v>
      </c>
      <c r="J727" s="1721"/>
      <c r="K727" s="1721">
        <f>I727+J727</f>
        <v>1164.1199999999999</v>
      </c>
      <c r="L727" s="2884">
        <f>ROUND(K727,1)</f>
        <v>1164.0999999999999</v>
      </c>
      <c r="M727" s="2885"/>
      <c r="N727" s="1761"/>
      <c r="O727" s="1761"/>
      <c r="P727" s="1761"/>
      <c r="Q727" s="1725"/>
      <c r="R727" s="1725"/>
      <c r="S727" s="1725"/>
      <c r="T727" s="1725"/>
    </row>
    <row r="728" spans="1:20" s="175" customFormat="1" ht="13.5" hidden="1" customHeight="1">
      <c r="A728" s="2008" t="s">
        <v>386</v>
      </c>
      <c r="B728" s="2009" t="s">
        <v>387</v>
      </c>
      <c r="C728" s="2003"/>
      <c r="D728" s="2003"/>
      <c r="E728" s="2003"/>
      <c r="F728" s="2003"/>
      <c r="G728" s="2882" t="str">
        <f>G727</f>
        <v>Each Sqm</v>
      </c>
      <c r="H728" s="2883"/>
      <c r="I728" s="1723">
        <f>K4129</f>
        <v>1183.78</v>
      </c>
      <c r="J728" s="1721"/>
      <c r="K728" s="1721">
        <f>I728+J728</f>
        <v>1183.78</v>
      </c>
      <c r="L728" s="2884">
        <f>ROUND(K728,1)</f>
        <v>1183.8</v>
      </c>
      <c r="M728" s="2885"/>
      <c r="N728" s="1761"/>
      <c r="O728" s="1761"/>
      <c r="P728" s="1761"/>
      <c r="Q728" s="1725"/>
      <c r="R728" s="1725"/>
      <c r="S728" s="1725"/>
      <c r="T728" s="1725"/>
    </row>
    <row r="729" spans="1:20" s="175" customFormat="1" ht="13.5" hidden="1" customHeight="1">
      <c r="A729" s="2008" t="str">
        <f>A724</f>
        <v>(iii)</v>
      </c>
      <c r="B729" s="2009" t="str">
        <f>B724</f>
        <v>2nd Floor</v>
      </c>
      <c r="C729" s="2003"/>
      <c r="D729" s="2003"/>
      <c r="E729" s="2003"/>
      <c r="F729" s="2003"/>
      <c r="G729" s="2882" t="str">
        <f>G728</f>
        <v>Each Sqm</v>
      </c>
      <c r="H729" s="2883"/>
      <c r="I729" s="1723">
        <f>K4133</f>
        <v>1204.42</v>
      </c>
      <c r="J729" s="1721"/>
      <c r="K729" s="1721">
        <f>I729+J729</f>
        <v>1204.42</v>
      </c>
      <c r="L729" s="2884">
        <f>ROUND(K729,1)</f>
        <v>1204.4000000000001</v>
      </c>
      <c r="M729" s="2885"/>
      <c r="N729" s="1761"/>
      <c r="O729" s="1761"/>
      <c r="P729" s="1761"/>
      <c r="Q729" s="1725"/>
      <c r="R729" s="1725"/>
      <c r="S729" s="1725"/>
      <c r="T729" s="1725"/>
    </row>
    <row r="730" spans="1:20" s="175" customFormat="1" ht="13.5" hidden="1" customHeight="1">
      <c r="A730" s="2040" t="s">
        <v>443</v>
      </c>
      <c r="B730" s="2009" t="s">
        <v>3636</v>
      </c>
      <c r="C730" s="2003"/>
      <c r="D730" s="2003"/>
      <c r="E730" s="2003"/>
      <c r="F730" s="2003"/>
      <c r="G730" s="2882" t="str">
        <f>G729</f>
        <v>Each Sqm</v>
      </c>
      <c r="H730" s="2883"/>
      <c r="I730" s="1723">
        <f>K4137</f>
        <v>1226.0900000000001</v>
      </c>
      <c r="J730" s="1721"/>
      <c r="K730" s="1721">
        <f>I730+J730</f>
        <v>1226.0900000000001</v>
      </c>
      <c r="L730" s="2884">
        <f t="shared" ref="L730" si="129">ROUND(K730,1)</f>
        <v>1226.0999999999999</v>
      </c>
      <c r="M730" s="2885"/>
      <c r="N730" s="1761"/>
      <c r="O730" s="1761"/>
      <c r="P730" s="1761"/>
      <c r="Q730" s="1725"/>
      <c r="R730" s="1725"/>
      <c r="S730" s="1725"/>
    </row>
    <row r="731" spans="1:20" s="175" customFormat="1" ht="13.5" hidden="1" customHeight="1">
      <c r="A731" s="1998" t="s">
        <v>474</v>
      </c>
      <c r="B731" s="1828" t="str">
        <f>I159</f>
        <v>Chequred tile</v>
      </c>
      <c r="C731" s="2003"/>
      <c r="D731" s="2003"/>
      <c r="E731" s="2003"/>
      <c r="F731" s="2003"/>
      <c r="G731" s="2882" t="s">
        <v>390</v>
      </c>
      <c r="H731" s="2883"/>
      <c r="I731" s="1723"/>
      <c r="J731" s="1721"/>
      <c r="K731" s="1721"/>
      <c r="L731" s="2006"/>
      <c r="M731" s="2007"/>
      <c r="N731" s="1761"/>
      <c r="O731" s="1761"/>
      <c r="P731" s="1761"/>
      <c r="T731" s="1759"/>
    </row>
    <row r="732" spans="1:20" s="175" customFormat="1" ht="13.5" hidden="1" customHeight="1">
      <c r="A732" s="2008" t="s">
        <v>383</v>
      </c>
      <c r="B732" s="2009" t="s">
        <v>384</v>
      </c>
      <c r="C732" s="2003"/>
      <c r="D732" s="2003"/>
      <c r="E732" s="2003"/>
      <c r="F732" s="2003"/>
      <c r="G732" s="2882" t="str">
        <f>G731</f>
        <v>Each Sqm</v>
      </c>
      <c r="H732" s="2883"/>
      <c r="I732" s="1723">
        <f>K4143</f>
        <v>840.52</v>
      </c>
      <c r="J732" s="1721"/>
      <c r="K732" s="1721">
        <f>I732+J732</f>
        <v>840.52</v>
      </c>
      <c r="L732" s="2884">
        <f>ROUND(K732,1)</f>
        <v>840.5</v>
      </c>
      <c r="M732" s="2885"/>
      <c r="N732" s="1761"/>
      <c r="O732" s="1761"/>
      <c r="P732" s="1761"/>
      <c r="Q732" s="1725"/>
      <c r="R732" s="1725"/>
      <c r="S732" s="1725"/>
      <c r="T732" s="1725"/>
    </row>
    <row r="733" spans="1:20" s="175" customFormat="1" ht="13.5" hidden="1" customHeight="1">
      <c r="A733" s="2008" t="s">
        <v>386</v>
      </c>
      <c r="B733" s="2009" t="s">
        <v>387</v>
      </c>
      <c r="C733" s="2003"/>
      <c r="D733" s="2003"/>
      <c r="E733" s="2003"/>
      <c r="F733" s="2003"/>
      <c r="G733" s="2882" t="str">
        <f>G732</f>
        <v>Each Sqm</v>
      </c>
      <c r="H733" s="2883"/>
      <c r="I733" s="1723">
        <f>K4147</f>
        <v>860.18</v>
      </c>
      <c r="J733" s="1721"/>
      <c r="K733" s="1721">
        <f>I733+J733</f>
        <v>860.18</v>
      </c>
      <c r="L733" s="2884">
        <f>ROUND(K733,1)</f>
        <v>860.2</v>
      </c>
      <c r="M733" s="2885"/>
      <c r="N733" s="1761"/>
      <c r="O733" s="1761"/>
      <c r="P733" s="1761"/>
      <c r="Q733" s="1725"/>
      <c r="R733" s="1725"/>
      <c r="S733" s="1725"/>
      <c r="T733" s="1725"/>
    </row>
    <row r="734" spans="1:20" s="175" customFormat="1" ht="13.5" hidden="1" customHeight="1">
      <c r="A734" s="2008" t="str">
        <f>A729</f>
        <v>(iii)</v>
      </c>
      <c r="B734" s="2009" t="str">
        <f>B729</f>
        <v>2nd Floor</v>
      </c>
      <c r="C734" s="2003"/>
      <c r="D734" s="2003"/>
      <c r="E734" s="2003"/>
      <c r="F734" s="2003"/>
      <c r="G734" s="2882" t="str">
        <f>G733</f>
        <v>Each Sqm</v>
      </c>
      <c r="H734" s="2883"/>
      <c r="I734" s="1723">
        <f>K4151</f>
        <v>880.81999999999994</v>
      </c>
      <c r="J734" s="1721"/>
      <c r="K734" s="1721">
        <f>I734+J734</f>
        <v>880.81999999999994</v>
      </c>
      <c r="L734" s="2884">
        <f>ROUND(K734,1)</f>
        <v>880.8</v>
      </c>
      <c r="M734" s="2885"/>
      <c r="N734" s="1761"/>
      <c r="O734" s="1761"/>
      <c r="P734" s="1761"/>
      <c r="Q734" s="1725"/>
      <c r="R734" s="1725"/>
      <c r="S734" s="1725"/>
      <c r="T734" s="1725"/>
    </row>
    <row r="735" spans="1:20" s="175" customFormat="1" ht="13.5" hidden="1" customHeight="1">
      <c r="A735" s="2040" t="s">
        <v>443</v>
      </c>
      <c r="B735" s="2009" t="s">
        <v>3636</v>
      </c>
      <c r="C735" s="2003"/>
      <c r="D735" s="2003"/>
      <c r="E735" s="2003"/>
      <c r="F735" s="2003"/>
      <c r="G735" s="2882" t="str">
        <f>G734</f>
        <v>Each Sqm</v>
      </c>
      <c r="H735" s="2883"/>
      <c r="I735" s="1723">
        <f>K4155</f>
        <v>902.4899999999999</v>
      </c>
      <c r="J735" s="1721"/>
      <c r="K735" s="1721">
        <f>I735+J735</f>
        <v>902.4899999999999</v>
      </c>
      <c r="L735" s="2884">
        <f t="shared" ref="L735" si="130">ROUND(K735,1)</f>
        <v>902.5</v>
      </c>
      <c r="M735" s="2885"/>
      <c r="N735" s="1761"/>
      <c r="O735" s="1761"/>
      <c r="P735" s="1761"/>
      <c r="Q735" s="1725"/>
      <c r="R735" s="1725"/>
      <c r="S735" s="1725"/>
    </row>
    <row r="736" spans="1:20" s="175" customFormat="1" ht="13.5" hidden="1" customHeight="1">
      <c r="A736" s="1998" t="s">
        <v>476</v>
      </c>
      <c r="B736" s="1828" t="s">
        <v>228</v>
      </c>
      <c r="C736" s="2003"/>
      <c r="D736" s="2003"/>
      <c r="E736" s="2003"/>
      <c r="F736" s="2003"/>
      <c r="G736" s="2882" t="s">
        <v>390</v>
      </c>
      <c r="H736" s="2883"/>
      <c r="I736" s="1723"/>
      <c r="J736" s="1721"/>
      <c r="K736" s="1721"/>
      <c r="L736" s="2006"/>
      <c r="M736" s="2007"/>
      <c r="N736" s="1761"/>
      <c r="O736" s="1761"/>
      <c r="P736" s="1761"/>
      <c r="T736" s="1759"/>
    </row>
    <row r="737" spans="1:20" s="175" customFormat="1" ht="13.5" hidden="1" customHeight="1">
      <c r="A737" s="2008" t="s">
        <v>383</v>
      </c>
      <c r="B737" s="2009" t="s">
        <v>384</v>
      </c>
      <c r="C737" s="2003"/>
      <c r="D737" s="2003"/>
      <c r="E737" s="2003"/>
      <c r="F737" s="2003"/>
      <c r="G737" s="2882" t="str">
        <f>G736</f>
        <v>Each Sqm</v>
      </c>
      <c r="H737" s="2883"/>
      <c r="I737" s="1723">
        <f>K4161</f>
        <v>1025.77</v>
      </c>
      <c r="J737" s="1721"/>
      <c r="K737" s="1721">
        <f>I737+J737</f>
        <v>1025.77</v>
      </c>
      <c r="L737" s="2884">
        <f>ROUND(K737,1)</f>
        <v>1025.8</v>
      </c>
      <c r="M737" s="2885"/>
      <c r="N737" s="1761"/>
      <c r="O737" s="1761"/>
      <c r="P737" s="1761"/>
      <c r="Q737" s="1725"/>
      <c r="R737" s="1725"/>
      <c r="S737" s="1725"/>
      <c r="T737" s="1725" t="s">
        <v>373</v>
      </c>
    </row>
    <row r="738" spans="1:20" s="175" customFormat="1" ht="13.5" hidden="1" customHeight="1">
      <c r="A738" s="2008" t="s">
        <v>386</v>
      </c>
      <c r="B738" s="2009" t="s">
        <v>387</v>
      </c>
      <c r="C738" s="2003"/>
      <c r="D738" s="2003"/>
      <c r="E738" s="2003"/>
      <c r="F738" s="2003"/>
      <c r="G738" s="2882" t="str">
        <f>G737</f>
        <v>Each Sqm</v>
      </c>
      <c r="H738" s="2883"/>
      <c r="I738" s="1723">
        <f>K4165</f>
        <v>1045.43</v>
      </c>
      <c r="J738" s="1721"/>
      <c r="K738" s="1721">
        <f>I738+J738</f>
        <v>1045.43</v>
      </c>
      <c r="L738" s="2884">
        <f>ROUND(K738,1)</f>
        <v>1045.4000000000001</v>
      </c>
      <c r="M738" s="2885"/>
      <c r="N738" s="1761"/>
      <c r="O738" s="1761"/>
      <c r="P738" s="1761"/>
      <c r="Q738" s="1725"/>
      <c r="R738" s="1725"/>
      <c r="S738" s="1725"/>
      <c r="T738" s="1725"/>
    </row>
    <row r="739" spans="1:20" s="175" customFormat="1" ht="13.5" hidden="1" customHeight="1">
      <c r="A739" s="2008" t="str">
        <f>A734</f>
        <v>(iii)</v>
      </c>
      <c r="B739" s="2009" t="str">
        <f>B734</f>
        <v>2nd Floor</v>
      </c>
      <c r="C739" s="2003"/>
      <c r="D739" s="2003"/>
      <c r="E739" s="2003"/>
      <c r="F739" s="2003"/>
      <c r="G739" s="2882" t="str">
        <f>G738</f>
        <v>Each Sqm</v>
      </c>
      <c r="H739" s="2883"/>
      <c r="I739" s="1723">
        <f>K4169</f>
        <v>1066.0700000000002</v>
      </c>
      <c r="J739" s="1721"/>
      <c r="K739" s="1721">
        <f>I739+J739</f>
        <v>1066.0700000000002</v>
      </c>
      <c r="L739" s="2884">
        <f>ROUND(K739,1)</f>
        <v>1066.0999999999999</v>
      </c>
      <c r="M739" s="2885"/>
      <c r="N739" s="1761"/>
      <c r="O739" s="1761"/>
      <c r="P739" s="1761"/>
      <c r="Q739" s="1725"/>
      <c r="R739" s="1725"/>
      <c r="S739" s="1725"/>
      <c r="T739" s="1725"/>
    </row>
    <row r="740" spans="1:20" s="175" customFormat="1" ht="13.5" hidden="1" customHeight="1">
      <c r="A740" s="2040" t="s">
        <v>443</v>
      </c>
      <c r="B740" s="2009" t="s">
        <v>3636</v>
      </c>
      <c r="C740" s="2003"/>
      <c r="D740" s="2003"/>
      <c r="E740" s="2003"/>
      <c r="F740" s="2003"/>
      <c r="G740" s="2882" t="str">
        <f>G739</f>
        <v>Each Sqm</v>
      </c>
      <c r="H740" s="2883"/>
      <c r="I740" s="1723">
        <f>K4173</f>
        <v>1087.7400000000002</v>
      </c>
      <c r="J740" s="1721"/>
      <c r="K740" s="1721">
        <f>I740+J740</f>
        <v>1087.7400000000002</v>
      </c>
      <c r="L740" s="2884">
        <f t="shared" ref="L740" si="131">ROUND(K740,1)</f>
        <v>1087.7</v>
      </c>
      <c r="M740" s="2885"/>
      <c r="N740" s="1761"/>
      <c r="O740" s="1761"/>
      <c r="P740" s="1761"/>
      <c r="Q740" s="1725"/>
      <c r="R740" s="1725"/>
      <c r="S740" s="1725"/>
    </row>
    <row r="741" spans="1:20" s="175" customFormat="1" ht="13.5" hidden="1" customHeight="1">
      <c r="A741" s="1998" t="s">
        <v>478</v>
      </c>
      <c r="B741" s="1828" t="str">
        <f>I160</f>
        <v>Kota tile (size above 0.10sqm)</v>
      </c>
      <c r="C741" s="2003"/>
      <c r="D741" s="2003"/>
      <c r="E741" s="2003"/>
      <c r="F741" s="2003"/>
      <c r="G741" s="2882" t="s">
        <v>390</v>
      </c>
      <c r="H741" s="2883"/>
      <c r="I741" s="1723"/>
      <c r="J741" s="1721"/>
      <c r="K741" s="1721"/>
      <c r="L741" s="2006"/>
      <c r="M741" s="2007"/>
      <c r="N741" s="1761"/>
      <c r="O741" s="1761"/>
      <c r="P741" s="1761"/>
      <c r="T741" s="1759"/>
    </row>
    <row r="742" spans="1:20" s="175" customFormat="1" ht="13.5" hidden="1" customHeight="1">
      <c r="A742" s="2008" t="s">
        <v>383</v>
      </c>
      <c r="B742" s="2009" t="s">
        <v>384</v>
      </c>
      <c r="C742" s="2003"/>
      <c r="D742" s="2003"/>
      <c r="E742" s="2003"/>
      <c r="F742" s="2003"/>
      <c r="G742" s="2882" t="str">
        <f>G741</f>
        <v>Each Sqm</v>
      </c>
      <c r="H742" s="2883"/>
      <c r="I742" s="1723">
        <f>K4182</f>
        <v>1345.72</v>
      </c>
      <c r="J742" s="1721"/>
      <c r="K742" s="1721">
        <f>I742+J742</f>
        <v>1345.72</v>
      </c>
      <c r="L742" s="2884">
        <f>ROUND(K742,1)</f>
        <v>1345.7</v>
      </c>
      <c r="M742" s="2885"/>
      <c r="N742" s="1761"/>
      <c r="O742" s="1761"/>
      <c r="P742" s="1761"/>
      <c r="Q742" s="1725"/>
      <c r="R742" s="1725"/>
      <c r="S742" s="1725"/>
      <c r="T742" s="1725"/>
    </row>
    <row r="743" spans="1:20" s="175" customFormat="1" ht="13.5" hidden="1" customHeight="1">
      <c r="A743" s="2008" t="s">
        <v>386</v>
      </c>
      <c r="B743" s="2009" t="s">
        <v>387</v>
      </c>
      <c r="C743" s="2003"/>
      <c r="D743" s="2003"/>
      <c r="E743" s="2003"/>
      <c r="F743" s="2003"/>
      <c r="G743" s="2882" t="str">
        <f>G742</f>
        <v>Each Sqm</v>
      </c>
      <c r="H743" s="2883"/>
      <c r="I743" s="1723">
        <f>K4186</f>
        <v>1375.97</v>
      </c>
      <c r="J743" s="1721"/>
      <c r="K743" s="1721">
        <f>I743+J743</f>
        <v>1375.97</v>
      </c>
      <c r="L743" s="2884">
        <f>ROUND(K743,1)</f>
        <v>1376</v>
      </c>
      <c r="M743" s="2885"/>
      <c r="N743" s="1761"/>
      <c r="O743" s="1761"/>
      <c r="P743" s="1761"/>
      <c r="Q743" s="1725"/>
      <c r="R743" s="1725"/>
      <c r="S743" s="1725"/>
      <c r="T743" s="1725"/>
    </row>
    <row r="744" spans="1:20" s="175" customFormat="1" ht="13.5" hidden="1" customHeight="1">
      <c r="A744" s="2008" t="str">
        <f>A739</f>
        <v>(iii)</v>
      </c>
      <c r="B744" s="2009" t="str">
        <f>B739</f>
        <v>2nd Floor</v>
      </c>
      <c r="C744" s="2003"/>
      <c r="D744" s="2003"/>
      <c r="E744" s="2003"/>
      <c r="F744" s="2003"/>
      <c r="G744" s="2882" t="str">
        <f>G743</f>
        <v>Each Sqm</v>
      </c>
      <c r="H744" s="2883"/>
      <c r="I744" s="1723">
        <f>K4190</f>
        <v>1407.73</v>
      </c>
      <c r="J744" s="1721"/>
      <c r="K744" s="1721">
        <f>I744+J744</f>
        <v>1407.73</v>
      </c>
      <c r="L744" s="2884">
        <f>ROUND(K744,1)</f>
        <v>1407.7</v>
      </c>
      <c r="M744" s="2885"/>
      <c r="N744" s="1761"/>
      <c r="O744" s="1761"/>
      <c r="P744" s="1761"/>
      <c r="Q744" s="1725"/>
      <c r="R744" s="1725"/>
      <c r="S744" s="1725"/>
      <c r="T744" s="1725"/>
    </row>
    <row r="745" spans="1:20" s="175" customFormat="1" ht="13.5" hidden="1" customHeight="1">
      <c r="A745" s="2040" t="s">
        <v>443</v>
      </c>
      <c r="B745" s="2009" t="s">
        <v>3636</v>
      </c>
      <c r="C745" s="2003"/>
      <c r="D745" s="2003"/>
      <c r="E745" s="2003"/>
      <c r="F745" s="2003"/>
      <c r="G745" s="2882" t="str">
        <f>G744</f>
        <v>Each Sqm</v>
      </c>
      <c r="H745" s="2883"/>
      <c r="I745" s="1723">
        <f>K4194</f>
        <v>1441.08</v>
      </c>
      <c r="J745" s="1721"/>
      <c r="K745" s="1721">
        <f>I745+J745</f>
        <v>1441.08</v>
      </c>
      <c r="L745" s="2884">
        <f t="shared" ref="L745" si="132">ROUND(K745,1)</f>
        <v>1441.1</v>
      </c>
      <c r="M745" s="2885"/>
      <c r="N745" s="1761"/>
      <c r="O745" s="1761"/>
      <c r="P745" s="1761"/>
      <c r="Q745" s="1725"/>
      <c r="R745" s="1725"/>
      <c r="S745" s="1725"/>
    </row>
    <row r="746" spans="1:20" s="175" customFormat="1" ht="13.5" hidden="1" customHeight="1">
      <c r="A746" s="1998" t="s">
        <v>480</v>
      </c>
      <c r="B746" s="1828" t="str">
        <f>B59</f>
        <v>Marble tile (size0.10-0.40sqm)</v>
      </c>
      <c r="C746" s="2003"/>
      <c r="D746" s="2003"/>
      <c r="E746" s="2003"/>
      <c r="F746" s="2003"/>
      <c r="G746" s="2882" t="s">
        <v>390</v>
      </c>
      <c r="H746" s="2883"/>
      <c r="I746" s="1723"/>
      <c r="J746" s="1721"/>
      <c r="K746" s="1721"/>
      <c r="L746" s="2006"/>
      <c r="M746" s="2007"/>
      <c r="N746" s="1761"/>
      <c r="O746" s="1761"/>
      <c r="P746" s="1761"/>
      <c r="T746" s="1759"/>
    </row>
    <row r="747" spans="1:20" s="175" customFormat="1" ht="13.5" hidden="1" customHeight="1">
      <c r="A747" s="2008" t="s">
        <v>383</v>
      </c>
      <c r="B747" s="2009" t="s">
        <v>384</v>
      </c>
      <c r="C747" s="2003"/>
      <c r="D747" s="2003"/>
      <c r="E747" s="2003"/>
      <c r="F747" s="2003"/>
      <c r="G747" s="2882" t="str">
        <f>G746</f>
        <v>Each Sqm</v>
      </c>
      <c r="H747" s="2883"/>
      <c r="I747" s="1723">
        <f>K4203</f>
        <v>1523.47</v>
      </c>
      <c r="J747" s="1721"/>
      <c r="K747" s="1721">
        <f>I747+J747</f>
        <v>1523.47</v>
      </c>
      <c r="L747" s="2884">
        <f>ROUND(K747,1)</f>
        <v>1523.5</v>
      </c>
      <c r="M747" s="2885"/>
      <c r="N747" s="1761"/>
      <c r="O747" s="1761"/>
      <c r="P747" s="1761"/>
      <c r="Q747" s="1725"/>
      <c r="R747" s="1725"/>
      <c r="S747" s="1725"/>
      <c r="T747" s="1725"/>
    </row>
    <row r="748" spans="1:20" s="175" customFormat="1" ht="13.5" hidden="1" customHeight="1">
      <c r="A748" s="2008" t="s">
        <v>386</v>
      </c>
      <c r="B748" s="2009" t="s">
        <v>387</v>
      </c>
      <c r="C748" s="2003"/>
      <c r="D748" s="2003"/>
      <c r="E748" s="2003"/>
      <c r="F748" s="2003"/>
      <c r="G748" s="2882" t="str">
        <f>G747</f>
        <v>Each Sqm</v>
      </c>
      <c r="H748" s="2883"/>
      <c r="I748" s="1723">
        <f>K4207</f>
        <v>1553.72</v>
      </c>
      <c r="J748" s="1721"/>
      <c r="K748" s="1721">
        <f>I748+J748</f>
        <v>1553.72</v>
      </c>
      <c r="L748" s="2884">
        <f>ROUND(K748,1)</f>
        <v>1553.7</v>
      </c>
      <c r="M748" s="2885"/>
      <c r="N748" s="1761"/>
      <c r="O748" s="1761"/>
      <c r="P748" s="1761"/>
      <c r="Q748" s="1725"/>
      <c r="R748" s="1725"/>
      <c r="S748" s="1725"/>
      <c r="T748" s="1725"/>
    </row>
    <row r="749" spans="1:20" s="175" customFormat="1" ht="13.5" hidden="1" customHeight="1">
      <c r="A749" s="2008" t="str">
        <f>A744</f>
        <v>(iii)</v>
      </c>
      <c r="B749" s="2009" t="str">
        <f>B744</f>
        <v>2nd Floor</v>
      </c>
      <c r="C749" s="2003"/>
      <c r="D749" s="2003"/>
      <c r="E749" s="2003"/>
      <c r="F749" s="2003"/>
      <c r="G749" s="2882" t="str">
        <f>G748</f>
        <v>Each Sqm</v>
      </c>
      <c r="H749" s="2883"/>
      <c r="I749" s="1723">
        <f>K4211</f>
        <v>1585.48</v>
      </c>
      <c r="J749" s="1721"/>
      <c r="K749" s="1721">
        <f>I749+J749</f>
        <v>1585.48</v>
      </c>
      <c r="L749" s="2884">
        <f>ROUND(K749,1)</f>
        <v>1585.5</v>
      </c>
      <c r="M749" s="2885"/>
      <c r="N749" s="1761"/>
      <c r="O749" s="1761"/>
      <c r="P749" s="1761"/>
      <c r="Q749" s="1725"/>
      <c r="R749" s="1725"/>
      <c r="S749" s="1725"/>
      <c r="T749" s="1725"/>
    </row>
    <row r="750" spans="1:20" s="175" customFormat="1" ht="13.5" hidden="1" customHeight="1">
      <c r="A750" s="2040" t="s">
        <v>443</v>
      </c>
      <c r="B750" s="2009" t="s">
        <v>3636</v>
      </c>
      <c r="C750" s="2003"/>
      <c r="D750" s="2003"/>
      <c r="E750" s="2003"/>
      <c r="F750" s="2003"/>
      <c r="G750" s="2882" t="str">
        <f>G749</f>
        <v>Each Sqm</v>
      </c>
      <c r="H750" s="2883"/>
      <c r="I750" s="1723">
        <f>K4215</f>
        <v>1618.83</v>
      </c>
      <c r="J750" s="1721"/>
      <c r="K750" s="1721">
        <f>I750+J750</f>
        <v>1618.83</v>
      </c>
      <c r="L750" s="2884">
        <f t="shared" ref="L750" si="133">ROUND(K750,1)</f>
        <v>1618.8</v>
      </c>
      <c r="M750" s="2885"/>
      <c r="N750" s="1761"/>
      <c r="O750" s="1761"/>
      <c r="P750" s="1761"/>
      <c r="Q750" s="1725"/>
      <c r="R750" s="1725"/>
      <c r="S750" s="1725"/>
    </row>
    <row r="751" spans="1:20" s="175" customFormat="1" ht="13.5" customHeight="1">
      <c r="A751" s="1998">
        <f>A715+1</f>
        <v>74</v>
      </c>
      <c r="B751" s="1828" t="s">
        <v>3836</v>
      </c>
      <c r="C751" s="2003"/>
      <c r="D751" s="2003"/>
      <c r="E751" s="2003"/>
      <c r="F751" s="2003"/>
      <c r="G751" s="2882" t="s">
        <v>390</v>
      </c>
      <c r="H751" s="2883"/>
      <c r="I751" s="1723"/>
      <c r="J751" s="1721"/>
      <c r="K751" s="1721"/>
      <c r="L751" s="2884"/>
      <c r="M751" s="2885"/>
      <c r="N751" s="1761"/>
      <c r="O751" s="1735" t="s">
        <v>522</v>
      </c>
      <c r="P751" s="1761"/>
      <c r="Q751" s="1816" t="s">
        <v>523</v>
      </c>
      <c r="T751" s="1759"/>
    </row>
    <row r="752" spans="1:20" s="175" customFormat="1" ht="13.5" customHeight="1">
      <c r="A752" s="1998" t="s">
        <v>468</v>
      </c>
      <c r="B752" s="1828" t="str">
        <f>B716</f>
        <v>Vertified tile ( 600x 600)Printed</v>
      </c>
      <c r="C752" s="2003"/>
      <c r="D752" s="2003"/>
      <c r="E752" s="2003"/>
      <c r="F752" s="2003"/>
      <c r="G752" s="2882" t="s">
        <v>390</v>
      </c>
      <c r="H752" s="2883"/>
      <c r="I752" s="1723"/>
      <c r="J752" s="1721"/>
      <c r="K752" s="1721"/>
      <c r="L752" s="2884"/>
      <c r="M752" s="2885"/>
      <c r="N752" s="1761"/>
      <c r="O752" s="1761"/>
      <c r="P752" s="1761"/>
      <c r="T752" s="1759"/>
    </row>
    <row r="753" spans="1:20" s="175" customFormat="1" ht="13.5" customHeight="1">
      <c r="A753" s="2008" t="s">
        <v>383</v>
      </c>
      <c r="B753" s="2009" t="s">
        <v>384</v>
      </c>
      <c r="C753" s="2003"/>
      <c r="D753" s="2003"/>
      <c r="E753" s="2003"/>
      <c r="F753" s="2003"/>
      <c r="G753" s="2882" t="str">
        <f>G752</f>
        <v>Each Sqm</v>
      </c>
      <c r="H753" s="2883"/>
      <c r="I753" s="1723">
        <f>K4242</f>
        <v>336.38</v>
      </c>
      <c r="J753" s="1721"/>
      <c r="K753" s="1721">
        <f>I753+J753</f>
        <v>336.38</v>
      </c>
      <c r="L753" s="2884">
        <f>ROUND(K753,1)</f>
        <v>336.4</v>
      </c>
      <c r="M753" s="2885"/>
      <c r="N753" s="1761"/>
      <c r="O753" s="1761"/>
      <c r="P753" s="1761"/>
      <c r="Q753" s="1725"/>
      <c r="R753" s="1725"/>
      <c r="S753" s="1725"/>
      <c r="T753" s="1725"/>
    </row>
    <row r="754" spans="1:20" s="175" customFormat="1" ht="13.5" hidden="1" customHeight="1">
      <c r="A754" s="2008" t="s">
        <v>386</v>
      </c>
      <c r="B754" s="2009" t="s">
        <v>387</v>
      </c>
      <c r="C754" s="2003"/>
      <c r="D754" s="2003"/>
      <c r="E754" s="2003"/>
      <c r="F754" s="2003"/>
      <c r="G754" s="2882" t="str">
        <f>G753</f>
        <v>Each Sqm</v>
      </c>
      <c r="H754" s="2883"/>
      <c r="I754" s="1723">
        <f>K4259</f>
        <v>1155.0400000000002</v>
      </c>
      <c r="J754" s="1721"/>
      <c r="K754" s="1721">
        <f>I754+J754</f>
        <v>1155.0400000000002</v>
      </c>
      <c r="L754" s="2884">
        <f>ROUND(K754,1)</f>
        <v>1155</v>
      </c>
      <c r="M754" s="2885"/>
      <c r="N754" s="1761"/>
      <c r="O754" s="1761"/>
      <c r="P754" s="1761"/>
      <c r="Q754" s="1725"/>
      <c r="R754" s="1725"/>
      <c r="S754" s="1725"/>
      <c r="T754" s="1725"/>
    </row>
    <row r="755" spans="1:20" s="175" customFormat="1" ht="13.5" hidden="1" customHeight="1">
      <c r="A755" s="2008" t="str">
        <f>A749</f>
        <v>(iii)</v>
      </c>
      <c r="B755" s="2009" t="str">
        <f>B749</f>
        <v>2nd Floor</v>
      </c>
      <c r="C755" s="2003"/>
      <c r="D755" s="2003"/>
      <c r="E755" s="2003"/>
      <c r="F755" s="2003"/>
      <c r="G755" s="2882" t="str">
        <f>G754</f>
        <v>Each Sqm</v>
      </c>
      <c r="H755" s="2883"/>
      <c r="I755" s="1723">
        <f>K4267</f>
        <v>1166.1000000000001</v>
      </c>
      <c r="J755" s="1721"/>
      <c r="K755" s="1721">
        <f>I755+J755</f>
        <v>1166.1000000000001</v>
      </c>
      <c r="L755" s="2884">
        <f>ROUND(K755,1)</f>
        <v>1166.0999999999999</v>
      </c>
      <c r="M755" s="2885"/>
      <c r="N755" s="1761"/>
      <c r="O755" s="1761"/>
      <c r="P755" s="1761"/>
      <c r="Q755" s="1725"/>
      <c r="R755" s="1725"/>
      <c r="S755" s="1725"/>
      <c r="T755" s="1725"/>
    </row>
    <row r="756" spans="1:20" s="175" customFormat="1" ht="13.5" hidden="1" customHeight="1">
      <c r="A756" s="2040" t="s">
        <v>443</v>
      </c>
      <c r="B756" s="2009" t="s">
        <v>3636</v>
      </c>
      <c r="C756" s="2003"/>
      <c r="D756" s="2003"/>
      <c r="E756" s="2003"/>
      <c r="F756" s="2003"/>
      <c r="G756" s="2882" t="str">
        <f>G755</f>
        <v>Each Sqm</v>
      </c>
      <c r="H756" s="2883"/>
      <c r="I756" s="1723">
        <f>K4275</f>
        <v>1177.7100000000003</v>
      </c>
      <c r="J756" s="1721"/>
      <c r="K756" s="1721">
        <f>I756+J756</f>
        <v>1177.7100000000003</v>
      </c>
      <c r="L756" s="2884">
        <f t="shared" ref="L756" si="134">ROUND(K756,1)</f>
        <v>1177.7</v>
      </c>
      <c r="M756" s="2885"/>
      <c r="N756" s="1761"/>
      <c r="O756" s="1761"/>
      <c r="P756" s="1761"/>
      <c r="Q756" s="1725"/>
      <c r="R756" s="1725"/>
      <c r="S756" s="1725"/>
    </row>
    <row r="757" spans="1:20" s="175" customFormat="1" ht="13.5" customHeight="1">
      <c r="A757" s="1998" t="s">
        <v>470</v>
      </c>
      <c r="B757" s="1828" t="str">
        <f>B166</f>
        <v>Vertified tile ( 600x 600)Plain</v>
      </c>
      <c r="C757" s="2003"/>
      <c r="D757" s="2003"/>
      <c r="E757" s="2003"/>
      <c r="F757" s="2003"/>
      <c r="G757" s="2882" t="s">
        <v>390</v>
      </c>
      <c r="H757" s="2883"/>
      <c r="I757" s="1723"/>
      <c r="J757" s="1721"/>
      <c r="K757" s="1721"/>
      <c r="L757" s="2006"/>
      <c r="M757" s="2007"/>
      <c r="N757" s="1761"/>
      <c r="O757" s="1761"/>
      <c r="P757" s="1761"/>
      <c r="T757" s="1759"/>
    </row>
    <row r="758" spans="1:20" s="175" customFormat="1" ht="13.5" customHeight="1">
      <c r="A758" s="2008" t="s">
        <v>383</v>
      </c>
      <c r="B758" s="2009" t="s">
        <v>384</v>
      </c>
      <c r="C758" s="2003"/>
      <c r="D758" s="2003"/>
      <c r="E758" s="2003"/>
      <c r="F758" s="2003"/>
      <c r="G758" s="2882" t="str">
        <f>G757</f>
        <v>Each Sqm</v>
      </c>
      <c r="H758" s="2883"/>
      <c r="I758" s="1723">
        <f>K4284</f>
        <v>1092.6099999999999</v>
      </c>
      <c r="J758" s="1721"/>
      <c r="K758" s="1721">
        <f>I758+J758</f>
        <v>1092.6099999999999</v>
      </c>
      <c r="L758" s="2884">
        <f>ROUND(K758,1)</f>
        <v>1092.5999999999999</v>
      </c>
      <c r="M758" s="2885"/>
      <c r="N758" s="1761"/>
      <c r="O758" s="1761"/>
      <c r="P758" s="1761"/>
      <c r="Q758" s="1725"/>
      <c r="R758" s="1725"/>
      <c r="S758" s="1725"/>
      <c r="T758" s="1725"/>
    </row>
    <row r="759" spans="1:20" s="175" customFormat="1" ht="13.5" hidden="1" customHeight="1">
      <c r="A759" s="2008" t="s">
        <v>386</v>
      </c>
      <c r="B759" s="2009" t="s">
        <v>387</v>
      </c>
      <c r="C759" s="2003"/>
      <c r="D759" s="2003"/>
      <c r="E759" s="2003"/>
      <c r="F759" s="2003"/>
      <c r="G759" s="2882" t="str">
        <f>G758</f>
        <v>Each Sqm</v>
      </c>
      <c r="H759" s="2883"/>
      <c r="I759" s="1723">
        <f>K4292</f>
        <v>1103.1400000000001</v>
      </c>
      <c r="J759" s="1721"/>
      <c r="K759" s="1721">
        <f>I759+J759</f>
        <v>1103.1400000000001</v>
      </c>
      <c r="L759" s="2884">
        <f>ROUND(K759,1)</f>
        <v>1103.0999999999999</v>
      </c>
      <c r="M759" s="2885"/>
      <c r="N759" s="1761"/>
      <c r="O759" s="1761"/>
      <c r="P759" s="1761"/>
      <c r="Q759" s="1725"/>
      <c r="R759" s="1725"/>
      <c r="S759" s="1725"/>
      <c r="T759" s="1725"/>
    </row>
    <row r="760" spans="1:20" s="175" customFormat="1" ht="13.5" hidden="1" customHeight="1">
      <c r="A760" s="2008" t="str">
        <f>A755</f>
        <v>(iii)</v>
      </c>
      <c r="B760" s="2009" t="str">
        <f>B755</f>
        <v>2nd Floor</v>
      </c>
      <c r="C760" s="2003"/>
      <c r="D760" s="2003"/>
      <c r="E760" s="2003"/>
      <c r="F760" s="2003"/>
      <c r="G760" s="2882" t="str">
        <f>G759</f>
        <v>Each Sqm</v>
      </c>
      <c r="H760" s="2883"/>
      <c r="I760" s="1723">
        <f>K4300</f>
        <v>1114.2</v>
      </c>
      <c r="J760" s="1721"/>
      <c r="K760" s="1721">
        <f>I760+J760</f>
        <v>1114.2</v>
      </c>
      <c r="L760" s="2884">
        <f>ROUND(K760,1)</f>
        <v>1114.2</v>
      </c>
      <c r="M760" s="2885"/>
      <c r="N760" s="1761"/>
      <c r="O760" s="1761"/>
      <c r="P760" s="1761"/>
      <c r="Q760" s="1725"/>
      <c r="R760" s="1725"/>
      <c r="S760" s="1725"/>
      <c r="T760" s="1725"/>
    </row>
    <row r="761" spans="1:20" s="175" customFormat="1" ht="13.5" hidden="1" customHeight="1">
      <c r="A761" s="2040" t="s">
        <v>443</v>
      </c>
      <c r="B761" s="2009" t="s">
        <v>3636</v>
      </c>
      <c r="C761" s="2003"/>
      <c r="D761" s="2003"/>
      <c r="E761" s="2003"/>
      <c r="F761" s="2003"/>
      <c r="G761" s="2882" t="str">
        <f>G760</f>
        <v>Each Sqm</v>
      </c>
      <c r="H761" s="2883"/>
      <c r="I761" s="1723">
        <f>K4308</f>
        <v>1125.8200000000002</v>
      </c>
      <c r="J761" s="1721"/>
      <c r="K761" s="1721">
        <f>I761+J761</f>
        <v>1125.8200000000002</v>
      </c>
      <c r="L761" s="2884">
        <f t="shared" ref="L761" si="135">ROUND(K761,1)</f>
        <v>1125.8</v>
      </c>
      <c r="M761" s="2885"/>
      <c r="N761" s="1761"/>
      <c r="O761" s="1761"/>
      <c r="P761" s="1761"/>
      <c r="Q761" s="1725"/>
      <c r="R761" s="1725"/>
      <c r="S761" s="1725"/>
    </row>
    <row r="762" spans="1:20" s="175" customFormat="1" ht="13.5" hidden="1" customHeight="1">
      <c r="A762" s="1998" t="s">
        <v>472</v>
      </c>
      <c r="B762" s="1828" t="str">
        <f>B726</f>
        <v>Vertified industrial tile (300 x300)</v>
      </c>
      <c r="C762" s="2003"/>
      <c r="D762" s="2003"/>
      <c r="E762" s="2003"/>
      <c r="F762" s="2003"/>
      <c r="G762" s="2882" t="s">
        <v>390</v>
      </c>
      <c r="H762" s="2883"/>
      <c r="I762" s="1723"/>
      <c r="J762" s="1721"/>
      <c r="K762" s="1721"/>
      <c r="L762" s="2006"/>
      <c r="M762" s="2007"/>
      <c r="N762" s="1761"/>
      <c r="O762" s="1761"/>
      <c r="P762" s="1761"/>
      <c r="T762" s="1759"/>
    </row>
    <row r="763" spans="1:20" s="175" customFormat="1" ht="13.5" hidden="1" customHeight="1">
      <c r="A763" s="2008" t="s">
        <v>383</v>
      </c>
      <c r="B763" s="2009" t="s">
        <v>384</v>
      </c>
      <c r="C763" s="2003"/>
      <c r="D763" s="2003"/>
      <c r="E763" s="2003"/>
      <c r="F763" s="2003"/>
      <c r="G763" s="2882" t="str">
        <f>G762</f>
        <v>Each Sqm</v>
      </c>
      <c r="H763" s="2883"/>
      <c r="I763" s="1723">
        <f>K4317</f>
        <v>1008.1400000000001</v>
      </c>
      <c r="J763" s="1721"/>
      <c r="K763" s="1721">
        <f>I763+J763</f>
        <v>1008.1400000000001</v>
      </c>
      <c r="L763" s="2884">
        <f>ROUND(K763,1)</f>
        <v>1008.1</v>
      </c>
      <c r="M763" s="2885"/>
      <c r="N763" s="1761"/>
      <c r="O763" s="1761"/>
      <c r="P763" s="1761"/>
      <c r="Q763" s="1725"/>
      <c r="R763" s="1725"/>
      <c r="S763" s="1725"/>
      <c r="T763" s="1725"/>
    </row>
    <row r="764" spans="1:20" s="175" customFormat="1" ht="13.5" hidden="1" customHeight="1">
      <c r="A764" s="2008" t="s">
        <v>386</v>
      </c>
      <c r="B764" s="2009" t="s">
        <v>387</v>
      </c>
      <c r="C764" s="2003"/>
      <c r="D764" s="2003"/>
      <c r="E764" s="2003"/>
      <c r="F764" s="2003"/>
      <c r="G764" s="2882" t="str">
        <f>G763</f>
        <v>Each Sqm</v>
      </c>
      <c r="H764" s="2883"/>
      <c r="I764" s="1723">
        <f>K4325</f>
        <v>1018.6800000000001</v>
      </c>
      <c r="J764" s="1721"/>
      <c r="K764" s="1721">
        <f>I764+J764</f>
        <v>1018.6800000000001</v>
      </c>
      <c r="L764" s="2884">
        <f>ROUND(K764,1)</f>
        <v>1018.7</v>
      </c>
      <c r="M764" s="2885"/>
      <c r="N764" s="1761"/>
      <c r="O764" s="1761"/>
      <c r="P764" s="1761"/>
      <c r="Q764" s="1725"/>
      <c r="R764" s="1725"/>
      <c r="S764" s="1725"/>
      <c r="T764" s="1725"/>
    </row>
    <row r="765" spans="1:20" s="175" customFormat="1" ht="13.5" hidden="1" customHeight="1">
      <c r="A765" s="2008" t="str">
        <f>A760</f>
        <v>(iii)</v>
      </c>
      <c r="B765" s="2009" t="str">
        <f>B760</f>
        <v>2nd Floor</v>
      </c>
      <c r="C765" s="2003"/>
      <c r="D765" s="2003"/>
      <c r="E765" s="2003"/>
      <c r="F765" s="2003"/>
      <c r="G765" s="2882" t="str">
        <f>G764</f>
        <v>Each Sqm</v>
      </c>
      <c r="H765" s="2883"/>
      <c r="I765" s="1723">
        <f>K4333</f>
        <v>1039.93</v>
      </c>
      <c r="J765" s="1721"/>
      <c r="K765" s="1721">
        <f>I765+J765</f>
        <v>1039.93</v>
      </c>
      <c r="L765" s="2884">
        <f>ROUND(K765,1)</f>
        <v>1039.9000000000001</v>
      </c>
      <c r="M765" s="2885"/>
      <c r="N765" s="1761"/>
      <c r="O765" s="1761"/>
      <c r="P765" s="1761"/>
      <c r="Q765" s="1725"/>
      <c r="R765" s="1725"/>
      <c r="S765" s="1725"/>
      <c r="T765" s="1725"/>
    </row>
    <row r="766" spans="1:20" s="175" customFormat="1" ht="13.5" hidden="1" customHeight="1">
      <c r="A766" s="2040" t="s">
        <v>443</v>
      </c>
      <c r="B766" s="2009" t="s">
        <v>3636</v>
      </c>
      <c r="C766" s="2003"/>
      <c r="D766" s="2003"/>
      <c r="E766" s="2003"/>
      <c r="F766" s="2003"/>
      <c r="G766" s="2882" t="str">
        <f>G765</f>
        <v>Each Sqm</v>
      </c>
      <c r="H766" s="2883"/>
      <c r="I766" s="1723">
        <f>K4341</f>
        <v>1061.94</v>
      </c>
      <c r="J766" s="1721"/>
      <c r="K766" s="1721">
        <f>I766+J766</f>
        <v>1061.94</v>
      </c>
      <c r="L766" s="2884">
        <f t="shared" ref="L766" si="136">ROUND(K766,1)</f>
        <v>1061.9000000000001</v>
      </c>
      <c r="M766" s="2885"/>
      <c r="N766" s="1761"/>
      <c r="O766" s="1761"/>
      <c r="P766" s="1761"/>
      <c r="Q766" s="1725"/>
      <c r="R766" s="1725"/>
      <c r="S766" s="1725"/>
    </row>
    <row r="767" spans="1:20" s="175" customFormat="1" ht="13.5" customHeight="1">
      <c r="A767" s="1998" t="s">
        <v>474</v>
      </c>
      <c r="B767" s="1828" t="str">
        <f>B731</f>
        <v>Chequred tile</v>
      </c>
      <c r="C767" s="2003"/>
      <c r="D767" s="2003"/>
      <c r="E767" s="2003"/>
      <c r="F767" s="2003"/>
      <c r="G767" s="2882" t="s">
        <v>390</v>
      </c>
      <c r="H767" s="2883"/>
      <c r="I767" s="1723"/>
      <c r="J767" s="1721"/>
      <c r="K767" s="1721"/>
      <c r="L767" s="2006"/>
      <c r="M767" s="2007"/>
      <c r="N767" s="1761"/>
      <c r="O767" s="1761"/>
      <c r="P767" s="1761"/>
      <c r="T767" s="1759"/>
    </row>
    <row r="768" spans="1:20" s="175" customFormat="1" ht="13.5" customHeight="1">
      <c r="A768" s="2008" t="s">
        <v>383</v>
      </c>
      <c r="B768" s="2009" t="s">
        <v>384</v>
      </c>
      <c r="C768" s="2003"/>
      <c r="D768" s="2003"/>
      <c r="E768" s="2003"/>
      <c r="F768" s="2003"/>
      <c r="G768" s="2882" t="str">
        <f>G767</f>
        <v>Each Sqm</v>
      </c>
      <c r="H768" s="2883"/>
      <c r="I768" s="1723">
        <f>K4350</f>
        <v>632.28</v>
      </c>
      <c r="J768" s="1721"/>
      <c r="K768" s="1721">
        <f>I768+J768</f>
        <v>632.28</v>
      </c>
      <c r="L768" s="2884">
        <f>ROUND(K768,1)</f>
        <v>632.29999999999995</v>
      </c>
      <c r="M768" s="2885"/>
      <c r="N768" s="1761"/>
      <c r="O768" s="1761"/>
      <c r="P768" s="1761"/>
      <c r="Q768" s="1725"/>
      <c r="R768" s="1725"/>
      <c r="S768" s="1725"/>
      <c r="T768" s="1725"/>
    </row>
    <row r="769" spans="1:20" s="175" customFormat="1" ht="13.5" hidden="1" customHeight="1">
      <c r="A769" s="2008" t="s">
        <v>386</v>
      </c>
      <c r="B769" s="2009" t="s">
        <v>387</v>
      </c>
      <c r="C769" s="2003"/>
      <c r="D769" s="2003"/>
      <c r="E769" s="2003"/>
      <c r="F769" s="2003"/>
      <c r="G769" s="2882" t="str">
        <f>G768</f>
        <v>Each Sqm</v>
      </c>
      <c r="H769" s="2883"/>
      <c r="I769" s="1723">
        <f>K4358</f>
        <v>642.80999999999995</v>
      </c>
      <c r="J769" s="1721"/>
      <c r="K769" s="1721">
        <f>I769+J769</f>
        <v>642.80999999999995</v>
      </c>
      <c r="L769" s="2884">
        <f>ROUND(K769,1)</f>
        <v>642.79999999999995</v>
      </c>
      <c r="M769" s="2885"/>
      <c r="N769" s="1761"/>
      <c r="O769" s="1761"/>
      <c r="P769" s="1761"/>
      <c r="Q769" s="1725"/>
      <c r="R769" s="1725"/>
      <c r="S769" s="1725"/>
      <c r="T769" s="1725"/>
    </row>
    <row r="770" spans="1:20" s="175" customFormat="1" ht="13.5" hidden="1" customHeight="1">
      <c r="A770" s="2008" t="str">
        <f>A765</f>
        <v>(iii)</v>
      </c>
      <c r="B770" s="2009" t="str">
        <f>B765</f>
        <v>2nd Floor</v>
      </c>
      <c r="C770" s="2003"/>
      <c r="D770" s="2003"/>
      <c r="E770" s="2003"/>
      <c r="F770" s="2003"/>
      <c r="G770" s="2882" t="str">
        <f>G769</f>
        <v>Each Sqm</v>
      </c>
      <c r="H770" s="2883"/>
      <c r="I770" s="1723">
        <f>K4366</f>
        <v>653.87</v>
      </c>
      <c r="J770" s="1721"/>
      <c r="K770" s="1721">
        <f>I770+J770</f>
        <v>653.87</v>
      </c>
      <c r="L770" s="2884">
        <f>ROUND(K770,1)</f>
        <v>653.9</v>
      </c>
      <c r="M770" s="2885"/>
      <c r="N770" s="1761"/>
      <c r="O770" s="1761"/>
      <c r="P770" s="1761"/>
      <c r="Q770" s="1725"/>
      <c r="R770" s="1725"/>
      <c r="S770" s="1725"/>
      <c r="T770" s="1725"/>
    </row>
    <row r="771" spans="1:20" s="175" customFormat="1" ht="13.5" hidden="1" customHeight="1">
      <c r="A771" s="2040" t="s">
        <v>443</v>
      </c>
      <c r="B771" s="2009" t="s">
        <v>3636</v>
      </c>
      <c r="C771" s="2003"/>
      <c r="D771" s="2003"/>
      <c r="E771" s="2003"/>
      <c r="F771" s="2003"/>
      <c r="G771" s="2882" t="str">
        <f>G770</f>
        <v>Each Sqm</v>
      </c>
      <c r="H771" s="2883"/>
      <c r="I771" s="1723">
        <f>K4374</f>
        <v>665.49</v>
      </c>
      <c r="J771" s="1721"/>
      <c r="K771" s="1721">
        <f>I771+J771</f>
        <v>665.49</v>
      </c>
      <c r="L771" s="2884">
        <f t="shared" ref="L771" si="137">ROUND(K771,1)</f>
        <v>665.5</v>
      </c>
      <c r="M771" s="2885"/>
      <c r="N771" s="1761"/>
      <c r="O771" s="1761"/>
      <c r="P771" s="1761"/>
      <c r="Q771" s="1725"/>
      <c r="R771" s="1725"/>
      <c r="S771" s="1725"/>
    </row>
    <row r="772" spans="1:20" s="175" customFormat="1" ht="13.5" customHeight="1">
      <c r="A772" s="1998" t="s">
        <v>476</v>
      </c>
      <c r="B772" s="1828" t="str">
        <f>B736</f>
        <v>Ceramic floor tile</v>
      </c>
      <c r="C772" s="2003"/>
      <c r="D772" s="2003"/>
      <c r="E772" s="2003"/>
      <c r="F772" s="2003"/>
      <c r="G772" s="2882" t="s">
        <v>390</v>
      </c>
      <c r="H772" s="2883"/>
      <c r="I772" s="1723"/>
      <c r="J772" s="1721"/>
      <c r="K772" s="1721"/>
      <c r="L772" s="2006"/>
      <c r="M772" s="2007"/>
      <c r="N772" s="1761"/>
      <c r="O772" s="1761"/>
      <c r="P772" s="1761"/>
      <c r="T772" s="1759"/>
    </row>
    <row r="773" spans="1:20" s="175" customFormat="1" ht="13.5" customHeight="1">
      <c r="A773" s="2008" t="s">
        <v>383</v>
      </c>
      <c r="B773" s="2009" t="s">
        <v>384</v>
      </c>
      <c r="C773" s="2003"/>
      <c r="D773" s="2003"/>
      <c r="E773" s="2003"/>
      <c r="F773" s="2003"/>
      <c r="G773" s="2882" t="str">
        <f>G772</f>
        <v>Each Sqm</v>
      </c>
      <c r="H773" s="2883"/>
      <c r="I773" s="1723">
        <f>K4383</f>
        <v>847.43999999999994</v>
      </c>
      <c r="J773" s="1721"/>
      <c r="K773" s="1721">
        <f>I773+J773</f>
        <v>847.43999999999994</v>
      </c>
      <c r="L773" s="2884">
        <f>ROUND(K773,1)</f>
        <v>847.4</v>
      </c>
      <c r="M773" s="2885"/>
      <c r="N773" s="1761"/>
      <c r="O773" s="1761"/>
      <c r="P773" s="1761"/>
      <c r="Q773" s="1725"/>
      <c r="R773" s="1725"/>
      <c r="S773" s="1725"/>
      <c r="T773" s="1725"/>
    </row>
    <row r="774" spans="1:20" s="175" customFormat="1" ht="13.5" hidden="1" customHeight="1">
      <c r="A774" s="2008" t="s">
        <v>386</v>
      </c>
      <c r="B774" s="2009" t="s">
        <v>387</v>
      </c>
      <c r="C774" s="2003"/>
      <c r="D774" s="2003"/>
      <c r="E774" s="2003"/>
      <c r="F774" s="2003"/>
      <c r="G774" s="2882" t="str">
        <f>G773</f>
        <v>Each Sqm</v>
      </c>
      <c r="H774" s="2883"/>
      <c r="I774" s="1723">
        <f>K4391</f>
        <v>857.96999999999991</v>
      </c>
      <c r="J774" s="1721"/>
      <c r="K774" s="1721">
        <f>I774+J774</f>
        <v>857.96999999999991</v>
      </c>
      <c r="L774" s="2884">
        <f>ROUND(K774,1)</f>
        <v>858</v>
      </c>
      <c r="M774" s="2885"/>
      <c r="N774" s="1761"/>
      <c r="O774" s="1761"/>
      <c r="P774" s="1761"/>
      <c r="Q774" s="1725"/>
      <c r="R774" s="1725"/>
      <c r="S774" s="1725"/>
      <c r="T774" s="1725"/>
    </row>
    <row r="775" spans="1:20" s="175" customFormat="1" ht="13.5" hidden="1" customHeight="1">
      <c r="A775" s="2008" t="str">
        <f>A770</f>
        <v>(iii)</v>
      </c>
      <c r="B775" s="2009" t="str">
        <f>B770</f>
        <v>2nd Floor</v>
      </c>
      <c r="C775" s="2003"/>
      <c r="D775" s="2003"/>
      <c r="E775" s="2003"/>
      <c r="F775" s="2003"/>
      <c r="G775" s="2882" t="str">
        <f>G774</f>
        <v>Each Sqm</v>
      </c>
      <c r="H775" s="2883"/>
      <c r="I775" s="1723">
        <f>K4399</f>
        <v>869.03</v>
      </c>
      <c r="J775" s="1721"/>
      <c r="K775" s="1721">
        <f>I775+J775</f>
        <v>869.03</v>
      </c>
      <c r="L775" s="2884">
        <f>ROUND(K775,1)</f>
        <v>869</v>
      </c>
      <c r="M775" s="2885"/>
      <c r="N775" s="1761"/>
      <c r="O775" s="1761"/>
      <c r="P775" s="1761"/>
      <c r="Q775" s="1725"/>
      <c r="R775" s="1725"/>
      <c r="S775" s="1725"/>
      <c r="T775" s="1725"/>
    </row>
    <row r="776" spans="1:20" s="175" customFormat="1" ht="13.5" hidden="1" customHeight="1">
      <c r="A776" s="2040" t="s">
        <v>443</v>
      </c>
      <c r="B776" s="2009" t="s">
        <v>3636</v>
      </c>
      <c r="C776" s="2003"/>
      <c r="D776" s="2003"/>
      <c r="E776" s="2003"/>
      <c r="F776" s="2003"/>
      <c r="G776" s="2882" t="str">
        <f>G775</f>
        <v>Each Sqm</v>
      </c>
      <c r="H776" s="2883"/>
      <c r="I776" s="1723">
        <f>K4407</f>
        <v>880.65</v>
      </c>
      <c r="J776" s="1721"/>
      <c r="K776" s="1721">
        <f>I776+J776</f>
        <v>880.65</v>
      </c>
      <c r="L776" s="2884">
        <f t="shared" ref="L776" si="138">ROUND(K776,1)</f>
        <v>880.7</v>
      </c>
      <c r="M776" s="2885"/>
      <c r="N776" s="1761"/>
      <c r="O776" s="1761"/>
      <c r="P776" s="1761"/>
      <c r="Q776" s="1725"/>
      <c r="R776" s="1725"/>
      <c r="S776" s="1725"/>
    </row>
    <row r="777" spans="1:20" s="175" customFormat="1" ht="13.5" hidden="1" customHeight="1">
      <c r="A777" s="1998" t="s">
        <v>478</v>
      </c>
      <c r="B777" s="1828" t="str">
        <f>B741</f>
        <v>Kota tile (size above 0.10sqm)</v>
      </c>
      <c r="C777" s="2003"/>
      <c r="D777" s="2003"/>
      <c r="E777" s="2003"/>
      <c r="F777" s="2003"/>
      <c r="G777" s="2882" t="s">
        <v>390</v>
      </c>
      <c r="H777" s="2883"/>
      <c r="I777" s="1723"/>
      <c r="J777" s="1721"/>
      <c r="K777" s="1721"/>
      <c r="L777" s="2006"/>
      <c r="M777" s="2007"/>
      <c r="N777" s="1761"/>
      <c r="O777" s="1761"/>
      <c r="P777" s="1761"/>
      <c r="T777" s="1759"/>
    </row>
    <row r="778" spans="1:20" s="175" customFormat="1" ht="13.5" hidden="1" customHeight="1">
      <c r="A778" s="2008" t="s">
        <v>383</v>
      </c>
      <c r="B778" s="2009" t="s">
        <v>384</v>
      </c>
      <c r="C778" s="2003"/>
      <c r="D778" s="2003"/>
      <c r="E778" s="2003"/>
      <c r="F778" s="2003"/>
      <c r="G778" s="2882" t="str">
        <f>G777</f>
        <v>Each Sqm</v>
      </c>
      <c r="H778" s="2883"/>
      <c r="I778" s="1723">
        <f>K4416</f>
        <v>841.75</v>
      </c>
      <c r="J778" s="1721"/>
      <c r="K778" s="1721">
        <f>I778+J778</f>
        <v>841.75</v>
      </c>
      <c r="L778" s="2884">
        <f>ROUND(K778,1)</f>
        <v>841.8</v>
      </c>
      <c r="M778" s="2885"/>
      <c r="N778" s="1761"/>
      <c r="O778" s="1761"/>
      <c r="P778" s="1761"/>
      <c r="Q778" s="1725"/>
      <c r="R778" s="1725"/>
      <c r="S778" s="1725"/>
      <c r="T778" s="1725"/>
    </row>
    <row r="779" spans="1:20" s="175" customFormat="1" ht="13.5" hidden="1" customHeight="1">
      <c r="A779" s="2008" t="s">
        <v>386</v>
      </c>
      <c r="B779" s="2009" t="s">
        <v>387</v>
      </c>
      <c r="C779" s="2003"/>
      <c r="D779" s="2003"/>
      <c r="E779" s="2003"/>
      <c r="F779" s="2003"/>
      <c r="G779" s="2882" t="str">
        <f>G778</f>
        <v>Each Sqm</v>
      </c>
      <c r="H779" s="2883"/>
      <c r="I779" s="1723">
        <f>K4420</f>
        <v>850.82</v>
      </c>
      <c r="J779" s="1721"/>
      <c r="K779" s="1721">
        <f>I779+J779</f>
        <v>850.82</v>
      </c>
      <c r="L779" s="2884">
        <f>ROUND(K779,1)</f>
        <v>850.8</v>
      </c>
      <c r="M779" s="2885"/>
      <c r="N779" s="1761"/>
      <c r="O779" s="1761"/>
      <c r="P779" s="1761"/>
      <c r="Q779" s="1725"/>
      <c r="R779" s="1725"/>
      <c r="S779" s="1725"/>
      <c r="T779" s="1725"/>
    </row>
    <row r="780" spans="1:20" s="175" customFormat="1" ht="13.5" hidden="1" customHeight="1">
      <c r="A780" s="2008" t="str">
        <f>A775</f>
        <v>(iii)</v>
      </c>
      <c r="B780" s="2009" t="str">
        <f>B775</f>
        <v>2nd Floor</v>
      </c>
      <c r="C780" s="2003"/>
      <c r="D780" s="2003"/>
      <c r="E780" s="2003"/>
      <c r="F780" s="2003"/>
      <c r="G780" s="2882" t="str">
        <f>G779</f>
        <v>Each Sqm</v>
      </c>
      <c r="H780" s="2883"/>
      <c r="I780" s="1723">
        <f>K4424</f>
        <v>893.1400000000001</v>
      </c>
      <c r="J780" s="1721"/>
      <c r="K780" s="1721">
        <f>I780+J780</f>
        <v>893.1400000000001</v>
      </c>
      <c r="L780" s="2884">
        <f>ROUND(K780,1)</f>
        <v>893.1</v>
      </c>
      <c r="M780" s="2885"/>
      <c r="N780" s="1761"/>
      <c r="O780" s="1761"/>
      <c r="P780" s="1761"/>
      <c r="Q780" s="1725"/>
      <c r="R780" s="1725"/>
      <c r="S780" s="1725"/>
      <c r="T780" s="1725"/>
    </row>
    <row r="781" spans="1:20" s="175" customFormat="1" ht="13.5" hidden="1" customHeight="1">
      <c r="A781" s="2040" t="s">
        <v>443</v>
      </c>
      <c r="B781" s="2009" t="s">
        <v>3636</v>
      </c>
      <c r="C781" s="2003"/>
      <c r="D781" s="2003"/>
      <c r="E781" s="2003"/>
      <c r="F781" s="2003"/>
      <c r="G781" s="2882" t="str">
        <f>G780</f>
        <v>Each Sqm</v>
      </c>
      <c r="H781" s="2883"/>
      <c r="I781" s="1723">
        <f>K4428</f>
        <v>952.33000000000015</v>
      </c>
      <c r="J781" s="1721"/>
      <c r="K781" s="1721">
        <f>I781+J781</f>
        <v>952.33000000000015</v>
      </c>
      <c r="L781" s="2884">
        <f t="shared" ref="L781" si="139">ROUND(K781,1)</f>
        <v>952.3</v>
      </c>
      <c r="M781" s="2885"/>
      <c r="N781" s="1761"/>
      <c r="O781" s="1761"/>
      <c r="P781" s="1761"/>
      <c r="Q781" s="1725"/>
      <c r="R781" s="1725"/>
      <c r="S781" s="1725"/>
    </row>
    <row r="782" spans="1:20" s="175" customFormat="1" ht="13.5" hidden="1" customHeight="1">
      <c r="A782" s="1998" t="s">
        <v>480</v>
      </c>
      <c r="B782" s="1828" t="str">
        <f>B746</f>
        <v>Marble tile (size0.10-0.40sqm)</v>
      </c>
      <c r="C782" s="2003"/>
      <c r="D782" s="2003"/>
      <c r="E782" s="2003"/>
      <c r="F782" s="2003"/>
      <c r="G782" s="2882" t="s">
        <v>390</v>
      </c>
      <c r="H782" s="2883"/>
      <c r="I782" s="1723"/>
      <c r="J782" s="1721"/>
      <c r="K782" s="1721"/>
      <c r="L782" s="2006"/>
      <c r="M782" s="2007"/>
      <c r="N782" s="1761"/>
      <c r="O782" s="1761"/>
      <c r="P782" s="1761"/>
      <c r="T782" s="1759"/>
    </row>
    <row r="783" spans="1:20" s="175" customFormat="1" ht="13.5" hidden="1" customHeight="1">
      <c r="A783" s="2008" t="s">
        <v>383</v>
      </c>
      <c r="B783" s="2009" t="s">
        <v>384</v>
      </c>
      <c r="C783" s="2003"/>
      <c r="D783" s="2003"/>
      <c r="E783" s="2003"/>
      <c r="F783" s="2003"/>
      <c r="G783" s="2882" t="str">
        <f>G782</f>
        <v>Each Sqm</v>
      </c>
      <c r="H783" s="2883"/>
      <c r="I783" s="1723">
        <f>K4437</f>
        <v>1019.5</v>
      </c>
      <c r="J783" s="1721"/>
      <c r="K783" s="1721">
        <f>I783+J783</f>
        <v>1019.5</v>
      </c>
      <c r="L783" s="2884">
        <f>ROUND(K783,1)</f>
        <v>1019.5</v>
      </c>
      <c r="M783" s="2885"/>
      <c r="N783" s="1761"/>
      <c r="O783" s="1761"/>
      <c r="P783" s="1761"/>
      <c r="Q783" s="1725"/>
      <c r="R783" s="1725"/>
      <c r="S783" s="1725"/>
      <c r="T783" s="1725"/>
    </row>
    <row r="784" spans="1:20" s="175" customFormat="1" ht="13.5" hidden="1" customHeight="1">
      <c r="A784" s="2008" t="s">
        <v>386</v>
      </c>
      <c r="B784" s="2009" t="s">
        <v>387</v>
      </c>
      <c r="C784" s="2003"/>
      <c r="D784" s="2003"/>
      <c r="E784" s="2003"/>
      <c r="F784" s="2003"/>
      <c r="G784" s="2882" t="str">
        <f>G783</f>
        <v>Each Sqm</v>
      </c>
      <c r="H784" s="2883"/>
      <c r="I784" s="1723">
        <f>K4441</f>
        <v>1028.57</v>
      </c>
      <c r="J784" s="1721"/>
      <c r="K784" s="1721">
        <f>I784+J784</f>
        <v>1028.57</v>
      </c>
      <c r="L784" s="2884">
        <f>ROUND(K784,1)</f>
        <v>1028.5999999999999</v>
      </c>
      <c r="M784" s="2885"/>
      <c r="N784" s="1761"/>
      <c r="O784" s="1761"/>
      <c r="P784" s="1761"/>
      <c r="Q784" s="1725"/>
      <c r="R784" s="1725"/>
      <c r="S784" s="1725"/>
      <c r="T784" s="1725"/>
    </row>
    <row r="785" spans="1:20" s="175" customFormat="1" ht="13.5" hidden="1" customHeight="1">
      <c r="A785" s="2008" t="str">
        <f>A780</f>
        <v>(iii)</v>
      </c>
      <c r="B785" s="2009" t="str">
        <f>B780</f>
        <v>2nd Floor</v>
      </c>
      <c r="C785" s="2003"/>
      <c r="D785" s="2003"/>
      <c r="E785" s="2003"/>
      <c r="F785" s="2003"/>
      <c r="G785" s="2882" t="str">
        <f>G784</f>
        <v>Each Sqm</v>
      </c>
      <c r="H785" s="2883"/>
      <c r="I785" s="1723">
        <f>K4445</f>
        <v>1079.77</v>
      </c>
      <c r="J785" s="1721"/>
      <c r="K785" s="1721">
        <f>I785+J785</f>
        <v>1079.77</v>
      </c>
      <c r="L785" s="2884">
        <f>ROUND(K785,1)</f>
        <v>1079.8</v>
      </c>
      <c r="M785" s="2885"/>
      <c r="N785" s="1761"/>
      <c r="O785" s="1761"/>
      <c r="P785" s="1761"/>
      <c r="Q785" s="1725"/>
      <c r="R785" s="1725"/>
      <c r="S785" s="1725"/>
      <c r="T785" s="1725"/>
    </row>
    <row r="786" spans="1:20" s="175" customFormat="1" ht="13.5" hidden="1" customHeight="1">
      <c r="A786" s="2040" t="s">
        <v>443</v>
      </c>
      <c r="B786" s="2009" t="s">
        <v>3636</v>
      </c>
      <c r="C786" s="2003"/>
      <c r="D786" s="2003"/>
      <c r="E786" s="2003"/>
      <c r="F786" s="2003"/>
      <c r="G786" s="2882" t="str">
        <f>G785</f>
        <v>Each Sqm</v>
      </c>
      <c r="H786" s="2883"/>
      <c r="I786" s="1723">
        <f>K4449</f>
        <v>1147.8499999999999</v>
      </c>
      <c r="J786" s="1721"/>
      <c r="K786" s="1721">
        <f>I786+J786</f>
        <v>1147.8499999999999</v>
      </c>
      <c r="L786" s="2884">
        <f t="shared" ref="L786" si="140">ROUND(K786,1)</f>
        <v>1147.9000000000001</v>
      </c>
      <c r="M786" s="2885"/>
      <c r="N786" s="1761"/>
      <c r="O786" s="1761"/>
      <c r="P786" s="1761"/>
      <c r="Q786" s="1725"/>
      <c r="R786" s="1725"/>
      <c r="S786" s="1725"/>
    </row>
    <row r="787" spans="1:20" s="1741" customFormat="1" ht="13.5" customHeight="1">
      <c r="A787" s="1998">
        <f>A751+1</f>
        <v>75</v>
      </c>
      <c r="B787" s="1828" t="s">
        <v>3837</v>
      </c>
      <c r="C787" s="2003"/>
      <c r="D787" s="2003"/>
      <c r="E787" s="2003"/>
      <c r="F787" s="2003"/>
      <c r="G787" s="2882" t="s">
        <v>390</v>
      </c>
      <c r="H787" s="2883"/>
      <c r="I787" s="1723"/>
      <c r="J787" s="1721"/>
      <c r="K787" s="1721"/>
      <c r="L787" s="2884"/>
      <c r="M787" s="2885"/>
      <c r="O787" s="1735" t="s">
        <v>525</v>
      </c>
      <c r="Q787" s="1735" t="s">
        <v>524</v>
      </c>
      <c r="T787" s="1706"/>
    </row>
    <row r="788" spans="1:20" s="175" customFormat="1" ht="13.5" customHeight="1">
      <c r="A788" s="1998" t="s">
        <v>468</v>
      </c>
      <c r="B788" s="1828" t="str">
        <f>B163</f>
        <v>Vertified tile ( 600x 600)Printed</v>
      </c>
      <c r="C788" s="2003"/>
      <c r="D788" s="2003"/>
      <c r="E788" s="2003"/>
      <c r="F788" s="2003"/>
      <c r="G788" s="2882" t="s">
        <v>390</v>
      </c>
      <c r="H788" s="2883"/>
      <c r="I788" s="1723"/>
      <c r="J788" s="1721"/>
      <c r="K788" s="1721"/>
      <c r="L788" s="2006"/>
      <c r="M788" s="2007"/>
      <c r="N788" s="1761"/>
      <c r="O788" s="1761"/>
      <c r="P788" s="1761"/>
      <c r="Q788" s="1759" t="s">
        <v>526</v>
      </c>
      <c r="T788" s="1759"/>
    </row>
    <row r="789" spans="1:20" s="175" customFormat="1" ht="13.5" customHeight="1">
      <c r="A789" s="2008" t="s">
        <v>383</v>
      </c>
      <c r="B789" s="2009" t="s">
        <v>384</v>
      </c>
      <c r="C789" s="2003"/>
      <c r="D789" s="2003"/>
      <c r="E789" s="2003"/>
      <c r="F789" s="2003"/>
      <c r="G789" s="2882" t="str">
        <f>G788</f>
        <v>Each Sqm</v>
      </c>
      <c r="H789" s="2883"/>
      <c r="I789" s="1723">
        <f>K4474</f>
        <v>780.80000000000007</v>
      </c>
      <c r="J789" s="1721"/>
      <c r="K789" s="1721">
        <f>I789+J789</f>
        <v>780.80000000000007</v>
      </c>
      <c r="L789" s="2884">
        <f>ROUND(K789,1)</f>
        <v>780.8</v>
      </c>
      <c r="M789" s="2885"/>
      <c r="N789" s="1761"/>
      <c r="O789" s="1761"/>
      <c r="P789" s="1761"/>
      <c r="Q789" s="1725"/>
      <c r="R789" s="1725"/>
      <c r="S789" s="1725"/>
      <c r="T789" s="1725"/>
    </row>
    <row r="790" spans="1:20" s="175" customFormat="1" ht="13.5" hidden="1" customHeight="1">
      <c r="A790" s="2008" t="s">
        <v>386</v>
      </c>
      <c r="B790" s="2009" t="s">
        <v>387</v>
      </c>
      <c r="C790" s="2003"/>
      <c r="D790" s="2003"/>
      <c r="E790" s="2003"/>
      <c r="F790" s="2003"/>
      <c r="G790" s="2882" t="str">
        <f>G789</f>
        <v>Each Sqm</v>
      </c>
      <c r="H790" s="2883"/>
      <c r="I790" s="1723">
        <f>K4491</f>
        <v>1621.7699999999998</v>
      </c>
      <c r="J790" s="1721"/>
      <c r="K790" s="1721">
        <f>I790+J790</f>
        <v>1621.7699999999998</v>
      </c>
      <c r="L790" s="2884">
        <f>ROUND(K790,1)</f>
        <v>1621.8</v>
      </c>
      <c r="M790" s="2885"/>
      <c r="N790" s="1761"/>
      <c r="O790" s="1761"/>
      <c r="P790" s="1761"/>
      <c r="Q790" s="1725"/>
      <c r="R790" s="1725"/>
      <c r="S790" s="1725"/>
      <c r="T790" s="1725"/>
    </row>
    <row r="791" spans="1:20" s="175" customFormat="1" ht="13.5" hidden="1" customHeight="1">
      <c r="A791" s="2008" t="str">
        <f>A785</f>
        <v>(iii)</v>
      </c>
      <c r="B791" s="2009" t="str">
        <f>B785</f>
        <v>2nd Floor</v>
      </c>
      <c r="C791" s="2003"/>
      <c r="D791" s="2003"/>
      <c r="E791" s="2003"/>
      <c r="F791" s="2003"/>
      <c r="G791" s="2882" t="str">
        <f>G790</f>
        <v>Each Sqm</v>
      </c>
      <c r="H791" s="2883"/>
      <c r="I791" s="1723">
        <f>K4499</f>
        <v>1656.26</v>
      </c>
      <c r="J791" s="1721"/>
      <c r="K791" s="1721">
        <f>I791+J791</f>
        <v>1656.26</v>
      </c>
      <c r="L791" s="2884">
        <f>ROUND(K791,1)</f>
        <v>1656.3</v>
      </c>
      <c r="M791" s="2885"/>
      <c r="N791" s="1761"/>
      <c r="O791" s="1761"/>
      <c r="P791" s="1761"/>
      <c r="Q791" s="1725"/>
      <c r="R791" s="1725"/>
      <c r="S791" s="1725"/>
      <c r="T791" s="1725"/>
    </row>
    <row r="792" spans="1:20" s="175" customFormat="1" ht="13.5" hidden="1" customHeight="1">
      <c r="A792" s="2040" t="s">
        <v>443</v>
      </c>
      <c r="B792" s="2009" t="s">
        <v>3636</v>
      </c>
      <c r="C792" s="2003"/>
      <c r="D792" s="2003"/>
      <c r="E792" s="2003"/>
      <c r="F792" s="2003"/>
      <c r="G792" s="2882" t="str">
        <f>G791</f>
        <v>Each Sqm</v>
      </c>
      <c r="H792" s="2883"/>
      <c r="I792" s="1723">
        <f>K4507</f>
        <v>1692.4799999999998</v>
      </c>
      <c r="J792" s="1721"/>
      <c r="K792" s="1721">
        <f>I792+J792</f>
        <v>1692.4799999999998</v>
      </c>
      <c r="L792" s="2884">
        <f t="shared" ref="L792" si="141">ROUND(K792,1)</f>
        <v>1692.5</v>
      </c>
      <c r="M792" s="2885"/>
      <c r="N792" s="1761"/>
      <c r="O792" s="1761"/>
      <c r="P792" s="1761"/>
      <c r="Q792" s="1725"/>
      <c r="R792" s="1725"/>
      <c r="S792" s="1725"/>
    </row>
    <row r="793" spans="1:20" s="175" customFormat="1" ht="13.5" customHeight="1">
      <c r="A793" s="1998" t="s">
        <v>470</v>
      </c>
      <c r="B793" s="1828" t="str">
        <f>B166</f>
        <v>Vertified tile ( 600x 600)Plain</v>
      </c>
      <c r="C793" s="2003"/>
      <c r="D793" s="2003"/>
      <c r="E793" s="2003"/>
      <c r="F793" s="2003"/>
      <c r="G793" s="2882" t="s">
        <v>390</v>
      </c>
      <c r="H793" s="2883"/>
      <c r="I793" s="1723"/>
      <c r="J793" s="1721"/>
      <c r="K793" s="1721"/>
      <c r="L793" s="2006"/>
      <c r="M793" s="2007"/>
      <c r="N793" s="1761"/>
      <c r="O793" s="1761"/>
      <c r="P793" s="1761"/>
      <c r="Q793" s="1759" t="s">
        <v>526</v>
      </c>
      <c r="T793" s="1759"/>
    </row>
    <row r="794" spans="1:20" s="175" customFormat="1" ht="13.5" customHeight="1">
      <c r="A794" s="2008" t="s">
        <v>383</v>
      </c>
      <c r="B794" s="2009" t="s">
        <v>384</v>
      </c>
      <c r="C794" s="2003"/>
      <c r="D794" s="2003"/>
      <c r="E794" s="2003"/>
      <c r="F794" s="2003"/>
      <c r="G794" s="2882" t="str">
        <f>G793</f>
        <v>Each Sqm</v>
      </c>
      <c r="H794" s="2883"/>
      <c r="I794" s="1723">
        <f>K4516</f>
        <v>1537.03</v>
      </c>
      <c r="J794" s="1721"/>
      <c r="K794" s="1721">
        <f>I794+J794</f>
        <v>1537.03</v>
      </c>
      <c r="L794" s="2884">
        <f>ROUND(K794,1)</f>
        <v>1537</v>
      </c>
      <c r="M794" s="2885"/>
      <c r="N794" s="1761"/>
      <c r="O794" s="1761"/>
      <c r="P794" s="1761"/>
      <c r="Q794" s="1725"/>
      <c r="R794" s="1725"/>
      <c r="S794" s="1725"/>
      <c r="T794" s="1725"/>
    </row>
    <row r="795" spans="1:20" s="175" customFormat="1" ht="13.5" hidden="1" customHeight="1">
      <c r="A795" s="2008" t="s">
        <v>386</v>
      </c>
      <c r="B795" s="2009" t="s">
        <v>387</v>
      </c>
      <c r="C795" s="2003"/>
      <c r="D795" s="2003"/>
      <c r="E795" s="2003"/>
      <c r="F795" s="2003"/>
      <c r="G795" s="2882" t="str">
        <f>G794</f>
        <v>Each Sqm</v>
      </c>
      <c r="H795" s="2883"/>
      <c r="I795" s="1723">
        <f>K4524</f>
        <v>1569.8699999999997</v>
      </c>
      <c r="J795" s="1721"/>
      <c r="K795" s="1721">
        <f>I795+J795</f>
        <v>1569.8699999999997</v>
      </c>
      <c r="L795" s="2884">
        <f>ROUND(K795,1)</f>
        <v>1569.9</v>
      </c>
      <c r="M795" s="2885"/>
      <c r="N795" s="1761"/>
      <c r="O795" s="1761"/>
      <c r="P795" s="1761"/>
      <c r="Q795" s="1725"/>
      <c r="R795" s="1725"/>
      <c r="S795" s="1725"/>
      <c r="T795" s="1725"/>
    </row>
    <row r="796" spans="1:20" s="175" customFormat="1" ht="13.5" hidden="1" customHeight="1">
      <c r="A796" s="2008" t="str">
        <f>A791</f>
        <v>(iii)</v>
      </c>
      <c r="B796" s="2009" t="str">
        <f>B791</f>
        <v>2nd Floor</v>
      </c>
      <c r="C796" s="2003"/>
      <c r="D796" s="2003"/>
      <c r="E796" s="2003"/>
      <c r="F796" s="2003"/>
      <c r="G796" s="2882" t="str">
        <f>G795</f>
        <v>Each Sqm</v>
      </c>
      <c r="H796" s="2883"/>
      <c r="I796" s="1723">
        <f>K4532</f>
        <v>1604.36</v>
      </c>
      <c r="J796" s="1721"/>
      <c r="K796" s="1721">
        <f>I796+J796</f>
        <v>1604.36</v>
      </c>
      <c r="L796" s="2884">
        <f>ROUND(K796,1)</f>
        <v>1604.4</v>
      </c>
      <c r="M796" s="2885"/>
      <c r="N796" s="1761"/>
      <c r="O796" s="1761"/>
      <c r="P796" s="1761"/>
      <c r="Q796" s="1725"/>
      <c r="R796" s="1725"/>
      <c r="S796" s="1725"/>
      <c r="T796" s="1725"/>
    </row>
    <row r="797" spans="1:20" s="175" customFormat="1" ht="13.5" hidden="1" customHeight="1">
      <c r="A797" s="2040" t="s">
        <v>443</v>
      </c>
      <c r="B797" s="2009" t="s">
        <v>3636</v>
      </c>
      <c r="C797" s="2003"/>
      <c r="D797" s="2003"/>
      <c r="E797" s="2003"/>
      <c r="F797" s="2003"/>
      <c r="G797" s="2882" t="str">
        <f>G796</f>
        <v>Each Sqm</v>
      </c>
      <c r="H797" s="2883"/>
      <c r="I797" s="1723">
        <f>K4540</f>
        <v>1640.5799999999997</v>
      </c>
      <c r="J797" s="1721"/>
      <c r="K797" s="1721">
        <f>I797+J797</f>
        <v>1640.5799999999997</v>
      </c>
      <c r="L797" s="2884">
        <f t="shared" ref="L797" si="142">ROUND(K797,1)</f>
        <v>1640.6</v>
      </c>
      <c r="M797" s="2885"/>
      <c r="N797" s="1761"/>
      <c r="O797" s="1761"/>
      <c r="P797" s="1761"/>
      <c r="Q797" s="1725"/>
      <c r="R797" s="1725"/>
      <c r="S797" s="1725"/>
    </row>
    <row r="798" spans="1:20" s="175" customFormat="1" ht="13.5" hidden="1" customHeight="1">
      <c r="A798" s="1998" t="s">
        <v>470</v>
      </c>
      <c r="B798" s="1828" t="str">
        <f>I163</f>
        <v>Vertified industrial tile (300 x300)</v>
      </c>
      <c r="C798" s="2003"/>
      <c r="D798" s="2003"/>
      <c r="E798" s="2003"/>
      <c r="F798" s="2003"/>
      <c r="G798" s="2882" t="s">
        <v>390</v>
      </c>
      <c r="H798" s="2883"/>
      <c r="I798" s="1723"/>
      <c r="J798" s="1721"/>
      <c r="K798" s="1721"/>
      <c r="L798" s="2006"/>
      <c r="M798" s="2007"/>
      <c r="N798" s="1761"/>
      <c r="O798" s="1761"/>
      <c r="P798" s="1761"/>
      <c r="Q798" s="1759" t="s">
        <v>526</v>
      </c>
      <c r="T798" s="1759"/>
    </row>
    <row r="799" spans="1:20" s="175" customFormat="1" ht="13.5" hidden="1" customHeight="1">
      <c r="A799" s="2008" t="s">
        <v>383</v>
      </c>
      <c r="B799" s="2009" t="s">
        <v>384</v>
      </c>
      <c r="C799" s="2003"/>
      <c r="D799" s="2003"/>
      <c r="E799" s="2003"/>
      <c r="F799" s="2003"/>
      <c r="G799" s="2882" t="str">
        <f>G798</f>
        <v>Each Sqm</v>
      </c>
      <c r="H799" s="2883"/>
      <c r="I799" s="1723">
        <f>K4549</f>
        <v>1452.5600000000004</v>
      </c>
      <c r="J799" s="1721"/>
      <c r="K799" s="1721">
        <f>I799+J799</f>
        <v>1452.5600000000004</v>
      </c>
      <c r="L799" s="2884">
        <f>ROUND(K799,1)</f>
        <v>1452.6</v>
      </c>
      <c r="M799" s="2885"/>
      <c r="N799" s="1761"/>
      <c r="O799" s="1761"/>
      <c r="P799" s="1761"/>
      <c r="Q799" s="1725"/>
      <c r="R799" s="1725"/>
      <c r="S799" s="1725"/>
      <c r="T799" s="1725"/>
    </row>
    <row r="800" spans="1:20" s="175" customFormat="1" ht="13.5" hidden="1" customHeight="1">
      <c r="A800" s="2008" t="s">
        <v>386</v>
      </c>
      <c r="B800" s="2009" t="s">
        <v>387</v>
      </c>
      <c r="C800" s="2003"/>
      <c r="D800" s="2003"/>
      <c r="E800" s="2003"/>
      <c r="F800" s="2003"/>
      <c r="G800" s="2882" t="str">
        <f>G799</f>
        <v>Each Sqm</v>
      </c>
      <c r="H800" s="2883"/>
      <c r="I800" s="1723">
        <f>K4557</f>
        <v>1485.41</v>
      </c>
      <c r="J800" s="1721"/>
      <c r="K800" s="1721">
        <f>I800+J800</f>
        <v>1485.41</v>
      </c>
      <c r="L800" s="2884">
        <f>ROUND(K800,1)</f>
        <v>1485.4</v>
      </c>
      <c r="M800" s="2885"/>
      <c r="N800" s="1761"/>
      <c r="O800" s="1761"/>
      <c r="P800" s="1761"/>
      <c r="Q800" s="1725"/>
      <c r="R800" s="1725"/>
      <c r="S800" s="1725"/>
      <c r="T800" s="1725"/>
    </row>
    <row r="801" spans="1:20" s="175" customFormat="1" ht="13.5" hidden="1" customHeight="1">
      <c r="A801" s="2008" t="str">
        <f>A796</f>
        <v>(iii)</v>
      </c>
      <c r="B801" s="2009" t="str">
        <f>B796</f>
        <v>2nd Floor</v>
      </c>
      <c r="C801" s="2003"/>
      <c r="D801" s="2003"/>
      <c r="E801" s="2003"/>
      <c r="F801" s="2003"/>
      <c r="G801" s="2882" t="str">
        <f>G800</f>
        <v>Each Sqm</v>
      </c>
      <c r="H801" s="2883"/>
      <c r="I801" s="1723">
        <f>K4606</f>
        <v>1395.4199999999998</v>
      </c>
      <c r="J801" s="1721"/>
      <c r="K801" s="1721">
        <f>I801+J801</f>
        <v>1395.4199999999998</v>
      </c>
      <c r="L801" s="2884">
        <f>ROUND(K801,1)</f>
        <v>1395.4</v>
      </c>
      <c r="M801" s="2885"/>
      <c r="N801" s="1761"/>
      <c r="O801" s="1761"/>
      <c r="P801" s="1761"/>
      <c r="Q801" s="1725"/>
      <c r="R801" s="1725"/>
      <c r="S801" s="1725"/>
      <c r="T801" s="1725"/>
    </row>
    <row r="802" spans="1:20" s="175" customFormat="1" ht="13.5" hidden="1" customHeight="1">
      <c r="A802" s="2040" t="s">
        <v>443</v>
      </c>
      <c r="B802" s="2009" t="s">
        <v>3636</v>
      </c>
      <c r="C802" s="2003"/>
      <c r="D802" s="2003"/>
      <c r="E802" s="2003"/>
      <c r="F802" s="2003"/>
      <c r="G802" s="2882" t="str">
        <f>G801</f>
        <v>Each Sqm</v>
      </c>
      <c r="H802" s="2883"/>
      <c r="I802" s="1723">
        <f>K4573</f>
        <v>1556.1200000000001</v>
      </c>
      <c r="J802" s="1721"/>
      <c r="K802" s="1721">
        <f>I802+J802</f>
        <v>1556.1200000000001</v>
      </c>
      <c r="L802" s="2884">
        <f t="shared" ref="L802" si="143">ROUND(K802,1)</f>
        <v>1556.1</v>
      </c>
      <c r="M802" s="2885"/>
      <c r="N802" s="1761"/>
      <c r="O802" s="1761"/>
      <c r="P802" s="1761"/>
      <c r="Q802" s="1725"/>
      <c r="R802" s="1725"/>
      <c r="S802" s="1725"/>
    </row>
    <row r="803" spans="1:20" s="175" customFormat="1" ht="13.5" hidden="1" customHeight="1">
      <c r="A803" s="1998" t="s">
        <v>472</v>
      </c>
      <c r="B803" s="1828" t="str">
        <f>I160</f>
        <v>Kota tile (size above 0.10sqm)</v>
      </c>
      <c r="C803" s="2003"/>
      <c r="D803" s="2003"/>
      <c r="E803" s="2003"/>
      <c r="F803" s="2003"/>
      <c r="G803" s="2882" t="s">
        <v>390</v>
      </c>
      <c r="H803" s="2883"/>
      <c r="I803" s="1723"/>
      <c r="J803" s="1721"/>
      <c r="K803" s="1721"/>
      <c r="L803" s="2006"/>
      <c r="M803" s="2007"/>
      <c r="N803" s="1761"/>
      <c r="O803" s="1761"/>
      <c r="P803" s="1761"/>
      <c r="Q803" s="1759" t="s">
        <v>526</v>
      </c>
      <c r="T803" s="1759"/>
    </row>
    <row r="804" spans="1:20" s="175" customFormat="1" ht="13.5" hidden="1" customHeight="1">
      <c r="A804" s="2008" t="s">
        <v>383</v>
      </c>
      <c r="B804" s="2009" t="s">
        <v>384</v>
      </c>
      <c r="C804" s="2003"/>
      <c r="D804" s="2003"/>
      <c r="E804" s="2003"/>
      <c r="F804" s="2003"/>
      <c r="G804" s="2882" t="str">
        <f>G803</f>
        <v>Each Sqm</v>
      </c>
      <c r="H804" s="2883"/>
      <c r="I804" s="1723">
        <f>K4648</f>
        <v>1281.77</v>
      </c>
      <c r="J804" s="1721"/>
      <c r="K804" s="1721">
        <f>I804+J804</f>
        <v>1281.77</v>
      </c>
      <c r="L804" s="2884">
        <f>ROUND(K804,1)</f>
        <v>1281.8</v>
      </c>
      <c r="M804" s="2885"/>
      <c r="N804" s="1761"/>
      <c r="O804" s="1761"/>
      <c r="P804" s="1761"/>
      <c r="Q804" s="1725"/>
      <c r="R804" s="1725"/>
      <c r="S804" s="1725"/>
      <c r="T804" s="1725"/>
    </row>
    <row r="805" spans="1:20" s="175" customFormat="1" ht="13.5" hidden="1" customHeight="1">
      <c r="A805" s="2008" t="s">
        <v>386</v>
      </c>
      <c r="B805" s="2009" t="s">
        <v>387</v>
      </c>
      <c r="C805" s="2003"/>
      <c r="D805" s="2003"/>
      <c r="E805" s="2003"/>
      <c r="F805" s="2003"/>
      <c r="G805" s="2882" t="str">
        <f>G804</f>
        <v>Each Sqm</v>
      </c>
      <c r="H805" s="2883"/>
      <c r="I805" s="1723">
        <f>K4652</f>
        <v>1310.05</v>
      </c>
      <c r="J805" s="1721"/>
      <c r="K805" s="1721">
        <f>I805+J805</f>
        <v>1310.05</v>
      </c>
      <c r="L805" s="2884">
        <f>ROUND(K805,1)</f>
        <v>1310.0999999999999</v>
      </c>
      <c r="M805" s="2885"/>
      <c r="N805" s="1761"/>
      <c r="O805" s="1761"/>
      <c r="P805" s="1761"/>
      <c r="Q805" s="1725"/>
      <c r="R805" s="1725"/>
      <c r="S805" s="1725"/>
      <c r="T805" s="1725"/>
    </row>
    <row r="806" spans="1:20" s="175" customFormat="1" ht="13.5" hidden="1" customHeight="1">
      <c r="A806" s="2008" t="str">
        <f>A801</f>
        <v>(iii)</v>
      </c>
      <c r="B806" s="2009" t="str">
        <f>B801</f>
        <v>2nd Floor</v>
      </c>
      <c r="C806" s="2003"/>
      <c r="D806" s="2003"/>
      <c r="E806" s="2003"/>
      <c r="F806" s="2003"/>
      <c r="G806" s="2882" t="str">
        <f>G805</f>
        <v>Each Sqm</v>
      </c>
      <c r="H806" s="2883"/>
      <c r="I806" s="1723">
        <f>K4656</f>
        <v>1374.4299999999998</v>
      </c>
      <c r="J806" s="1721"/>
      <c r="K806" s="1721">
        <f>I806+J806</f>
        <v>1374.4299999999998</v>
      </c>
      <c r="L806" s="2884">
        <f>ROUND(K806,1)</f>
        <v>1374.4</v>
      </c>
      <c r="M806" s="2885"/>
      <c r="N806" s="1761"/>
      <c r="O806" s="1761"/>
      <c r="P806" s="1761"/>
      <c r="Q806" s="1725"/>
      <c r="R806" s="1725"/>
      <c r="S806" s="1725"/>
      <c r="T806" s="1725"/>
    </row>
    <row r="807" spans="1:20" s="175" customFormat="1" ht="13.5" hidden="1" customHeight="1">
      <c r="A807" s="2040" t="s">
        <v>443</v>
      </c>
      <c r="B807" s="2009" t="s">
        <v>3636</v>
      </c>
      <c r="C807" s="2003"/>
      <c r="D807" s="2003"/>
      <c r="E807" s="2003"/>
      <c r="F807" s="2003"/>
      <c r="G807" s="2882" t="str">
        <f>G806</f>
        <v>Each Sqm</v>
      </c>
      <c r="H807" s="2883"/>
      <c r="I807" s="1723">
        <f>K4606</f>
        <v>1395.4199999999998</v>
      </c>
      <c r="J807" s="1721"/>
      <c r="K807" s="1721">
        <f>I807+J807</f>
        <v>1395.4199999999998</v>
      </c>
      <c r="L807" s="2884">
        <f t="shared" ref="L807" si="144">ROUND(K807,1)</f>
        <v>1395.4</v>
      </c>
      <c r="M807" s="2885"/>
      <c r="N807" s="1761"/>
      <c r="O807" s="1761"/>
      <c r="P807" s="1761"/>
      <c r="Q807" s="1725"/>
      <c r="R807" s="1725"/>
      <c r="S807" s="1725"/>
    </row>
    <row r="808" spans="1:20" s="175" customFormat="1" ht="13.5" customHeight="1">
      <c r="A808" s="1998" t="s">
        <v>474</v>
      </c>
      <c r="B808" s="1828" t="s">
        <v>527</v>
      </c>
      <c r="C808" s="2003"/>
      <c r="D808" s="2003"/>
      <c r="E808" s="2003"/>
      <c r="F808" s="2003"/>
      <c r="G808" s="2882" t="s">
        <v>390</v>
      </c>
      <c r="H808" s="2883"/>
      <c r="I808" s="1723"/>
      <c r="J808" s="1721"/>
      <c r="K808" s="1721"/>
      <c r="L808" s="2006"/>
      <c r="M808" s="2007"/>
      <c r="N808" s="1761"/>
      <c r="O808" s="1761"/>
      <c r="P808" s="1761"/>
      <c r="Q808" s="1759" t="s">
        <v>526</v>
      </c>
      <c r="T808" s="1759"/>
    </row>
    <row r="809" spans="1:20" s="175" customFormat="1" ht="13.5" customHeight="1">
      <c r="A809" s="2008" t="s">
        <v>383</v>
      </c>
      <c r="B809" s="2009" t="s">
        <v>384</v>
      </c>
      <c r="C809" s="2003"/>
      <c r="D809" s="2003"/>
      <c r="E809" s="2003"/>
      <c r="F809" s="2003"/>
      <c r="G809" s="2882" t="str">
        <f>G808</f>
        <v>Each Sqm</v>
      </c>
      <c r="H809" s="2883"/>
      <c r="I809" s="1723">
        <f>K4582</f>
        <v>1291.8600000000001</v>
      </c>
      <c r="J809" s="1721"/>
      <c r="K809" s="1721">
        <f>I809+J809</f>
        <v>1291.8600000000001</v>
      </c>
      <c r="L809" s="2884">
        <f>ROUND(K809,1)</f>
        <v>1291.9000000000001</v>
      </c>
      <c r="M809" s="2885"/>
      <c r="N809" s="1761"/>
      <c r="O809" s="1761"/>
      <c r="P809" s="1761"/>
      <c r="Q809" s="1725"/>
      <c r="R809" s="1725"/>
      <c r="S809" s="1725"/>
      <c r="T809" s="1725"/>
    </row>
    <row r="810" spans="1:20" s="175" customFormat="1" ht="13.5" hidden="1" customHeight="1">
      <c r="A810" s="2008" t="s">
        <v>386</v>
      </c>
      <c r="B810" s="2009" t="s">
        <v>387</v>
      </c>
      <c r="C810" s="2003"/>
      <c r="D810" s="2003"/>
      <c r="E810" s="2003"/>
      <c r="F810" s="2003"/>
      <c r="G810" s="2882" t="str">
        <f>G809</f>
        <v>Each Sqm</v>
      </c>
      <c r="H810" s="2883"/>
      <c r="I810" s="1723">
        <f>K4590</f>
        <v>1324.7099999999998</v>
      </c>
      <c r="J810" s="1721"/>
      <c r="K810" s="1721">
        <f>I810+J810</f>
        <v>1324.7099999999998</v>
      </c>
      <c r="L810" s="2884">
        <f>ROUND(K810,1)</f>
        <v>1324.7</v>
      </c>
      <c r="M810" s="2885"/>
      <c r="N810" s="1761"/>
      <c r="O810" s="1761"/>
      <c r="P810" s="1761"/>
      <c r="Q810" s="1725"/>
      <c r="R810" s="1725"/>
      <c r="S810" s="1725"/>
      <c r="T810" s="1725"/>
    </row>
    <row r="811" spans="1:20" s="175" customFormat="1" ht="13.5" hidden="1" customHeight="1">
      <c r="A811" s="2008" t="str">
        <f>A806</f>
        <v>(iii)</v>
      </c>
      <c r="B811" s="2009" t="str">
        <f>B806</f>
        <v>2nd Floor</v>
      </c>
      <c r="C811" s="2003"/>
      <c r="D811" s="2003"/>
      <c r="E811" s="2003"/>
      <c r="F811" s="2003"/>
      <c r="G811" s="2882" t="str">
        <f>G810</f>
        <v>Each Sqm</v>
      </c>
      <c r="H811" s="2883"/>
      <c r="I811" s="1723">
        <f>K4606</f>
        <v>1395.4199999999998</v>
      </c>
      <c r="J811" s="1721"/>
      <c r="K811" s="1721">
        <f>I811+J811</f>
        <v>1395.4199999999998</v>
      </c>
      <c r="L811" s="2884">
        <f>ROUND(K811,1)</f>
        <v>1395.4</v>
      </c>
      <c r="M811" s="2885"/>
      <c r="N811" s="1761"/>
      <c r="O811" s="1761"/>
      <c r="P811" s="1761"/>
      <c r="Q811" s="1725"/>
      <c r="R811" s="1725"/>
      <c r="S811" s="1725"/>
      <c r="T811" s="1725"/>
    </row>
    <row r="812" spans="1:20" s="175" customFormat="1" ht="13.5" hidden="1" customHeight="1">
      <c r="A812" s="2040" t="s">
        <v>443</v>
      </c>
      <c r="B812" s="2009" t="s">
        <v>3636</v>
      </c>
      <c r="C812" s="2003"/>
      <c r="D812" s="2003"/>
      <c r="E812" s="2003"/>
      <c r="F812" s="2003"/>
      <c r="G812" s="2882" t="str">
        <f>G811</f>
        <v>Each Sqm</v>
      </c>
      <c r="H812" s="2883"/>
      <c r="I812" s="1723">
        <f>K4639</f>
        <v>1355</v>
      </c>
      <c r="J812" s="1721"/>
      <c r="K812" s="1721">
        <f>I812+J812</f>
        <v>1355</v>
      </c>
      <c r="L812" s="2884">
        <f t="shared" ref="L812" si="145">ROUND(K812,1)</f>
        <v>1355</v>
      </c>
      <c r="M812" s="2885"/>
      <c r="N812" s="1761"/>
      <c r="O812" s="1761"/>
      <c r="P812" s="1761"/>
      <c r="Q812" s="1725"/>
      <c r="R812" s="1725"/>
      <c r="S812" s="1725"/>
    </row>
    <row r="813" spans="1:20" s="175" customFormat="1" ht="13.5" customHeight="1">
      <c r="A813" s="1998" t="s">
        <v>476</v>
      </c>
      <c r="B813" s="1828" t="s">
        <v>528</v>
      </c>
      <c r="C813" s="2003"/>
      <c r="D813" s="2003"/>
      <c r="E813" s="2003"/>
      <c r="F813" s="2003"/>
      <c r="G813" s="2882" t="s">
        <v>390</v>
      </c>
      <c r="H813" s="2883"/>
      <c r="I813" s="1723"/>
      <c r="J813" s="1721"/>
      <c r="K813" s="1721"/>
      <c r="L813" s="2006"/>
      <c r="M813" s="2007"/>
      <c r="N813" s="1761"/>
      <c r="O813" s="1761"/>
      <c r="P813" s="1761"/>
      <c r="Q813" s="1759" t="s">
        <v>529</v>
      </c>
      <c r="T813" s="1759"/>
    </row>
    <row r="814" spans="1:20" s="175" customFormat="1" ht="13.5" customHeight="1">
      <c r="A814" s="2008" t="s">
        <v>383</v>
      </c>
      <c r="B814" s="2009" t="s">
        <v>384</v>
      </c>
      <c r="C814" s="2003"/>
      <c r="D814" s="2003"/>
      <c r="E814" s="2003"/>
      <c r="F814" s="2003"/>
      <c r="G814" s="2882" t="str">
        <f>G813</f>
        <v>Each Sqm</v>
      </c>
      <c r="H814" s="2883"/>
      <c r="I814" s="1723">
        <f>K4615</f>
        <v>1251.4400000000003</v>
      </c>
      <c r="J814" s="1721"/>
      <c r="K814" s="1721">
        <f>I814+J814</f>
        <v>1251.4400000000003</v>
      </c>
      <c r="L814" s="2884">
        <f>ROUND(K814,1)</f>
        <v>1251.4000000000001</v>
      </c>
      <c r="M814" s="2885"/>
      <c r="N814" s="1761"/>
      <c r="O814" s="1761"/>
      <c r="P814" s="1761"/>
      <c r="Q814" s="1725"/>
      <c r="R814" s="1725"/>
      <c r="S814" s="1725"/>
      <c r="T814" s="1725"/>
    </row>
    <row r="815" spans="1:20" s="175" customFormat="1" ht="13.5" hidden="1" customHeight="1">
      <c r="A815" s="2008" t="s">
        <v>386</v>
      </c>
      <c r="B815" s="2009" t="s">
        <v>387</v>
      </c>
      <c r="C815" s="2003"/>
      <c r="D815" s="2003"/>
      <c r="E815" s="2003"/>
      <c r="F815" s="2003"/>
      <c r="G815" s="2882" t="str">
        <f>G814</f>
        <v>Each Sqm</v>
      </c>
      <c r="H815" s="2883"/>
      <c r="I815" s="1723">
        <f>K4623</f>
        <v>1284.29</v>
      </c>
      <c r="J815" s="1721"/>
      <c r="K815" s="1721">
        <f>I815+J815</f>
        <v>1284.29</v>
      </c>
      <c r="L815" s="2884">
        <f>ROUND(K815,1)</f>
        <v>1284.3</v>
      </c>
      <c r="M815" s="2885"/>
      <c r="N815" s="1761"/>
      <c r="O815" s="1761"/>
      <c r="P815" s="1761"/>
      <c r="Q815" s="1725"/>
      <c r="R815" s="1725"/>
      <c r="S815" s="1725"/>
      <c r="T815" s="1725"/>
    </row>
    <row r="816" spans="1:20" s="175" customFormat="1" ht="13.5" hidden="1" customHeight="1">
      <c r="A816" s="2008" t="str">
        <f>A811</f>
        <v>(iii)</v>
      </c>
      <c r="B816" s="2009" t="str">
        <f>B811</f>
        <v>2nd Floor</v>
      </c>
      <c r="C816" s="2003"/>
      <c r="D816" s="2003"/>
      <c r="E816" s="2003"/>
      <c r="F816" s="2003"/>
      <c r="G816" s="2882" t="str">
        <f>G815</f>
        <v>Each Sqm</v>
      </c>
      <c r="H816" s="2883"/>
      <c r="I816" s="1723">
        <f>K4631</f>
        <v>1318.78</v>
      </c>
      <c r="J816" s="1721"/>
      <c r="K816" s="1721">
        <f>I816+J816</f>
        <v>1318.78</v>
      </c>
      <c r="L816" s="2884">
        <f>ROUND(K816,1)</f>
        <v>1318.8</v>
      </c>
      <c r="M816" s="2885"/>
      <c r="N816" s="1761"/>
      <c r="O816" s="1761"/>
      <c r="P816" s="1761"/>
      <c r="Q816" s="1725"/>
      <c r="R816" s="1725"/>
      <c r="S816" s="1725"/>
      <c r="T816" s="1725"/>
    </row>
    <row r="817" spans="1:20" s="175" customFormat="1" ht="13.5" hidden="1" customHeight="1">
      <c r="A817" s="2040" t="s">
        <v>443</v>
      </c>
      <c r="B817" s="2009" t="s">
        <v>3636</v>
      </c>
      <c r="C817" s="2003"/>
      <c r="D817" s="2003"/>
      <c r="E817" s="2003"/>
      <c r="F817" s="2003"/>
      <c r="G817" s="2882" t="str">
        <f>G816</f>
        <v>Each Sqm</v>
      </c>
      <c r="H817" s="2883"/>
      <c r="I817" s="1723">
        <f>K4660</f>
        <v>1443.7999999999997</v>
      </c>
      <c r="J817" s="1721"/>
      <c r="K817" s="1721">
        <f>I817+J817</f>
        <v>1443.7999999999997</v>
      </c>
      <c r="L817" s="2884">
        <f t="shared" ref="L817" si="146">ROUND(K817,1)</f>
        <v>1443.8</v>
      </c>
      <c r="M817" s="2885"/>
      <c r="N817" s="1761"/>
      <c r="O817" s="1761"/>
      <c r="P817" s="1761"/>
      <c r="Q817" s="1725"/>
      <c r="R817" s="1725"/>
      <c r="S817" s="1725"/>
    </row>
    <row r="818" spans="1:20" s="175" customFormat="1" ht="13.5" hidden="1" customHeight="1">
      <c r="A818" s="1998">
        <f>A787+1</f>
        <v>76</v>
      </c>
      <c r="B818" s="1884" t="s">
        <v>3838</v>
      </c>
      <c r="C818" s="2003"/>
      <c r="D818" s="2003"/>
      <c r="E818" s="2003"/>
      <c r="F818" s="2003"/>
      <c r="G818" s="2882" t="s">
        <v>390</v>
      </c>
      <c r="H818" s="2883"/>
      <c r="I818" s="1723"/>
      <c r="J818" s="1721"/>
      <c r="K818" s="1721"/>
      <c r="L818" s="2884"/>
      <c r="M818" s="2885"/>
      <c r="N818" s="1761"/>
      <c r="O818" s="1761"/>
      <c r="P818" s="1761"/>
      <c r="Q818" s="1725" t="s">
        <v>530</v>
      </c>
      <c r="T818" s="1759"/>
    </row>
    <row r="819" spans="1:20" s="175" customFormat="1" ht="13.5" hidden="1" customHeight="1">
      <c r="A819" s="2008" t="s">
        <v>383</v>
      </c>
      <c r="B819" s="2009" t="s">
        <v>384</v>
      </c>
      <c r="C819" s="2009" t="s">
        <v>531</v>
      </c>
      <c r="D819" s="2003"/>
      <c r="E819" s="2003"/>
      <c r="F819" s="2003"/>
      <c r="G819" s="2882" t="str">
        <f>G818</f>
        <v>Each Sqm</v>
      </c>
      <c r="H819" s="2883"/>
      <c r="I819" s="1723">
        <f>K4680</f>
        <v>1024.761</v>
      </c>
      <c r="J819" s="1721"/>
      <c r="K819" s="1721">
        <f>I819+J819</f>
        <v>1024.761</v>
      </c>
      <c r="L819" s="2884">
        <f>ROUND(K819,1)</f>
        <v>1024.8</v>
      </c>
      <c r="M819" s="2885"/>
      <c r="N819" s="1761"/>
      <c r="O819" s="1761"/>
      <c r="P819" s="1761"/>
      <c r="R819" s="1725"/>
      <c r="S819" s="1725"/>
      <c r="T819" s="1725"/>
    </row>
    <row r="820" spans="1:20" s="175" customFormat="1" ht="13.5" hidden="1" customHeight="1">
      <c r="A820" s="2008"/>
      <c r="B820" s="2009"/>
      <c r="C820" s="2009" t="s">
        <v>532</v>
      </c>
      <c r="D820" s="2003"/>
      <c r="E820" s="2003"/>
      <c r="F820" s="2003"/>
      <c r="G820" s="2882" t="str">
        <f>G819</f>
        <v>Each Sqm</v>
      </c>
      <c r="H820" s="2883"/>
      <c r="I820" s="1723">
        <f>K4698</f>
        <v>980.08100000000002</v>
      </c>
      <c r="J820" s="1721"/>
      <c r="K820" s="1721">
        <f>I820+J820</f>
        <v>980.08100000000002</v>
      </c>
      <c r="L820" s="2884">
        <f>ROUND(K820,1)</f>
        <v>980.1</v>
      </c>
      <c r="M820" s="2885"/>
      <c r="N820" s="1761"/>
      <c r="O820" s="1761"/>
      <c r="P820" s="1761"/>
      <c r="Q820" s="1725"/>
      <c r="R820" s="1725"/>
      <c r="S820" s="1725"/>
      <c r="T820" s="1725"/>
    </row>
    <row r="821" spans="1:20" s="175" customFormat="1" ht="13.5" hidden="1" customHeight="1">
      <c r="A821" s="2008" t="s">
        <v>386</v>
      </c>
      <c r="B821" s="2009" t="s">
        <v>387</v>
      </c>
      <c r="C821" s="2009" t="s">
        <v>531</v>
      </c>
      <c r="D821" s="2003"/>
      <c r="E821" s="2003"/>
      <c r="F821" s="2032"/>
      <c r="G821" s="2996" t="str">
        <f>G819</f>
        <v>Each Sqm</v>
      </c>
      <c r="H821" s="2883"/>
      <c r="I821" s="1723">
        <f>K4684</f>
        <v>1033.8309999999999</v>
      </c>
      <c r="J821" s="1721"/>
      <c r="K821" s="1721">
        <f>I821+J821</f>
        <v>1033.8309999999999</v>
      </c>
      <c r="L821" s="2884">
        <f>ROUND(K821,1)</f>
        <v>1033.8</v>
      </c>
      <c r="M821" s="2885"/>
      <c r="N821" s="1761"/>
      <c r="O821" s="1761"/>
      <c r="P821" s="1761"/>
      <c r="Q821" s="1725"/>
      <c r="R821" s="1725"/>
      <c r="S821" s="1725"/>
      <c r="T821" s="1725"/>
    </row>
    <row r="822" spans="1:20" s="175" customFormat="1" ht="13.5" hidden="1" customHeight="1">
      <c r="A822" s="2008"/>
      <c r="B822" s="2009"/>
      <c r="C822" s="2009" t="s">
        <v>532</v>
      </c>
      <c r="D822" s="2002"/>
      <c r="E822" s="2002"/>
      <c r="F822" s="2002"/>
      <c r="G822" s="2882" t="str">
        <f>G820</f>
        <v>Each Sqm</v>
      </c>
      <c r="H822" s="2883"/>
      <c r="I822" s="1723">
        <f>K4702</f>
        <v>989.15100000000007</v>
      </c>
      <c r="J822" s="1721"/>
      <c r="K822" s="1721">
        <f>I822+J822</f>
        <v>989.15100000000007</v>
      </c>
      <c r="L822" s="2884">
        <f>ROUND(K822,1)</f>
        <v>989.2</v>
      </c>
      <c r="M822" s="2885"/>
      <c r="N822" s="1761"/>
      <c r="O822" s="1761"/>
      <c r="P822" s="1761"/>
      <c r="Q822" s="1725"/>
      <c r="R822" s="1725"/>
      <c r="S822" s="1725"/>
      <c r="T822" s="1725"/>
    </row>
    <row r="823" spans="1:20" s="175" customFormat="1" ht="13.5" hidden="1" customHeight="1">
      <c r="A823" s="2008" t="str">
        <f>A816</f>
        <v>(iii)</v>
      </c>
      <c r="B823" s="2009" t="str">
        <f>B816</f>
        <v>2nd Floor</v>
      </c>
      <c r="C823" s="2009" t="s">
        <v>531</v>
      </c>
      <c r="D823" s="2002"/>
      <c r="E823" s="2002"/>
      <c r="F823" s="2002"/>
      <c r="G823" s="2882" t="str">
        <f t="shared" ref="G823:G824" si="147">G821</f>
        <v>Each Sqm</v>
      </c>
      <c r="H823" s="2883"/>
      <c r="I823" s="1723">
        <f>K4688</f>
        <v>1043.3509999999999</v>
      </c>
      <c r="J823" s="1721"/>
      <c r="K823" s="1721">
        <f t="shared" ref="K823:K824" si="148">I823+J823</f>
        <v>1043.3509999999999</v>
      </c>
      <c r="L823" s="2884">
        <f t="shared" ref="L823:L825" si="149">ROUND(K823,1)</f>
        <v>1043.4000000000001</v>
      </c>
      <c r="M823" s="2885"/>
      <c r="N823" s="1761"/>
      <c r="O823" s="1761"/>
      <c r="P823" s="1761"/>
      <c r="Q823" s="1725"/>
      <c r="R823" s="1725"/>
      <c r="S823" s="1725"/>
      <c r="T823" s="1725"/>
    </row>
    <row r="824" spans="1:20" s="175" customFormat="1" ht="13.5" hidden="1" customHeight="1">
      <c r="A824" s="2008"/>
      <c r="B824" s="2009"/>
      <c r="C824" s="2009" t="s">
        <v>532</v>
      </c>
      <c r="D824" s="2002"/>
      <c r="E824" s="2002"/>
      <c r="F824" s="2002"/>
      <c r="G824" s="2882" t="str">
        <f t="shared" si="147"/>
        <v>Each Sqm</v>
      </c>
      <c r="H824" s="2883"/>
      <c r="I824" s="1723">
        <f>K4706</f>
        <v>998.67100000000005</v>
      </c>
      <c r="J824" s="1721"/>
      <c r="K824" s="1721">
        <f t="shared" si="148"/>
        <v>998.67100000000005</v>
      </c>
      <c r="L824" s="2884">
        <f t="shared" si="149"/>
        <v>998.7</v>
      </c>
      <c r="M824" s="2885"/>
      <c r="N824" s="1761"/>
      <c r="O824" s="1761"/>
      <c r="P824" s="1761"/>
      <c r="Q824" s="1725"/>
      <c r="R824" s="1725"/>
      <c r="S824" s="1725"/>
      <c r="T824" s="1725"/>
    </row>
    <row r="825" spans="1:20" s="175" customFormat="1" ht="13.5" hidden="1" customHeight="1">
      <c r="A825" s="2040" t="s">
        <v>443</v>
      </c>
      <c r="B825" s="2009" t="s">
        <v>3636</v>
      </c>
      <c r="C825" s="2009" t="s">
        <v>531</v>
      </c>
      <c r="D825" s="2003"/>
      <c r="E825" s="2003"/>
      <c r="F825" s="2003"/>
      <c r="G825" s="2882" t="str">
        <f>G824</f>
        <v>Each Sqm</v>
      </c>
      <c r="H825" s="2883"/>
      <c r="I825" s="2046">
        <f>K4692</f>
        <v>1053.3509999999999</v>
      </c>
      <c r="J825" s="1721"/>
      <c r="K825" s="1721">
        <f>I825+J825</f>
        <v>1053.3509999999999</v>
      </c>
      <c r="L825" s="3001">
        <f t="shared" si="149"/>
        <v>1053.4000000000001</v>
      </c>
      <c r="M825" s="3002"/>
      <c r="N825" s="1761"/>
      <c r="O825" s="1761"/>
      <c r="P825" s="1761"/>
      <c r="Q825" s="1725"/>
      <c r="R825" s="1725"/>
      <c r="S825" s="1725"/>
    </row>
    <row r="826" spans="1:20" s="175" customFormat="1" ht="13.5" hidden="1" customHeight="1">
      <c r="A826" s="2049"/>
      <c r="B826" s="2009"/>
      <c r="C826" s="2009" t="s">
        <v>532</v>
      </c>
      <c r="D826" s="2003"/>
      <c r="E826" s="2003"/>
      <c r="F826" s="2003"/>
      <c r="G826" s="2882" t="str">
        <f>G825</f>
        <v>Each Sqm</v>
      </c>
      <c r="H826" s="2883"/>
      <c r="I826" s="2046">
        <f>K4710</f>
        <v>1008.671</v>
      </c>
      <c r="J826" s="1721"/>
      <c r="K826" s="1721">
        <f>I826+J826</f>
        <v>1008.671</v>
      </c>
      <c r="L826" s="3001">
        <f t="shared" ref="L826" si="150">ROUND(K826,1)</f>
        <v>1008.7</v>
      </c>
      <c r="M826" s="3002"/>
      <c r="N826" s="1761"/>
      <c r="O826" s="1761"/>
      <c r="P826" s="1761"/>
      <c r="Q826" s="1725"/>
      <c r="R826" s="1725"/>
      <c r="S826" s="1725"/>
    </row>
    <row r="827" spans="1:20" s="175" customFormat="1" ht="13.5" hidden="1" customHeight="1">
      <c r="A827" s="1998">
        <f>A818+1</f>
        <v>77</v>
      </c>
      <c r="B827" s="1884" t="s">
        <v>3839</v>
      </c>
      <c r="C827" s="2003"/>
      <c r="D827" s="2003"/>
      <c r="E827" s="2003"/>
      <c r="F827" s="2003"/>
      <c r="G827" s="2882" t="s">
        <v>390</v>
      </c>
      <c r="H827" s="2883"/>
      <c r="I827" s="1723"/>
      <c r="J827" s="1721"/>
      <c r="K827" s="1721"/>
      <c r="L827" s="2884"/>
      <c r="M827" s="2885"/>
      <c r="N827" s="1761"/>
      <c r="O827" s="1761"/>
      <c r="P827" s="1761"/>
      <c r="Q827" s="1759" t="s">
        <v>533</v>
      </c>
      <c r="T827" s="1759"/>
    </row>
    <row r="828" spans="1:20" s="175" customFormat="1" ht="13.5" hidden="1" customHeight="1">
      <c r="A828" s="2008" t="s">
        <v>383</v>
      </c>
      <c r="B828" s="2009" t="s">
        <v>384</v>
      </c>
      <c r="C828" s="2009" t="s">
        <v>531</v>
      </c>
      <c r="D828" s="2003"/>
      <c r="E828" s="2003"/>
      <c r="F828" s="2003"/>
      <c r="G828" s="2882" t="str">
        <f>G827</f>
        <v>Each Sqm</v>
      </c>
      <c r="H828" s="2883"/>
      <c r="I828" s="1723">
        <f>K4734</f>
        <v>989.87</v>
      </c>
      <c r="J828" s="1721"/>
      <c r="K828" s="1721">
        <f>I828+J828</f>
        <v>989.87</v>
      </c>
      <c r="L828" s="2884">
        <f>ROUND(K828,1)</f>
        <v>989.9</v>
      </c>
      <c r="M828" s="2885"/>
      <c r="N828" s="1761"/>
      <c r="O828" s="1761"/>
      <c r="P828" s="1761"/>
      <c r="R828" s="1725"/>
      <c r="S828" s="1725"/>
      <c r="T828" s="1725"/>
    </row>
    <row r="829" spans="1:20" s="175" customFormat="1" ht="13.5" hidden="1" customHeight="1">
      <c r="A829" s="2008"/>
      <c r="B829" s="2009"/>
      <c r="C829" s="2009" t="s">
        <v>532</v>
      </c>
      <c r="D829" s="2003"/>
      <c r="E829" s="2003"/>
      <c r="F829" s="2003"/>
      <c r="G829" s="2882" t="str">
        <f>G828</f>
        <v>Each Sqm</v>
      </c>
      <c r="H829" s="2883"/>
      <c r="I829" s="1723">
        <f>K4752</f>
        <v>945.19</v>
      </c>
      <c r="J829" s="1721"/>
      <c r="K829" s="1721">
        <f>I829+J829</f>
        <v>945.19</v>
      </c>
      <c r="L829" s="2884">
        <f>ROUND(K829,1)</f>
        <v>945.2</v>
      </c>
      <c r="M829" s="2885"/>
      <c r="N829" s="1761"/>
      <c r="O829" s="1761"/>
      <c r="P829" s="1761"/>
      <c r="R829" s="1725"/>
      <c r="S829" s="1725"/>
      <c r="T829" s="1725"/>
    </row>
    <row r="830" spans="1:20" s="175" customFormat="1" ht="13.5" hidden="1" customHeight="1">
      <c r="A830" s="2008" t="s">
        <v>386</v>
      </c>
      <c r="B830" s="2009" t="s">
        <v>387</v>
      </c>
      <c r="C830" s="2009" t="s">
        <v>531</v>
      </c>
      <c r="D830" s="2003"/>
      <c r="E830" s="2003"/>
      <c r="F830" s="2032"/>
      <c r="G830" s="2996" t="str">
        <f>G828</f>
        <v>Each Sqm</v>
      </c>
      <c r="H830" s="2883"/>
      <c r="I830" s="1723">
        <f>K4738</f>
        <v>998.94</v>
      </c>
      <c r="J830" s="1721"/>
      <c r="K830" s="1721">
        <f>I830+J830</f>
        <v>998.94</v>
      </c>
      <c r="L830" s="2884">
        <f>ROUND(K830,1)</f>
        <v>998.9</v>
      </c>
      <c r="M830" s="2885"/>
      <c r="N830" s="1761"/>
      <c r="O830" s="1761"/>
      <c r="P830" s="1761"/>
      <c r="Q830" s="1725"/>
      <c r="R830" s="1725"/>
      <c r="S830" s="1725"/>
      <c r="T830" s="1725"/>
    </row>
    <row r="831" spans="1:20" s="175" customFormat="1" ht="13.5" hidden="1" customHeight="1">
      <c r="A831" s="2061"/>
      <c r="B831" s="2009"/>
      <c r="C831" s="2009" t="s">
        <v>532</v>
      </c>
      <c r="D831" s="2002"/>
      <c r="E831" s="2002"/>
      <c r="F831" s="2002"/>
      <c r="G831" s="2882" t="str">
        <f>G829</f>
        <v>Each Sqm</v>
      </c>
      <c r="H831" s="2883"/>
      <c r="I831" s="1723">
        <f>K4756</f>
        <v>954.2600000000001</v>
      </c>
      <c r="J831" s="2035"/>
      <c r="K831" s="1721">
        <f>I831+J831</f>
        <v>954.2600000000001</v>
      </c>
      <c r="L831" s="2884">
        <f>ROUND(K831,1)</f>
        <v>954.3</v>
      </c>
      <c r="M831" s="2885"/>
      <c r="N831" s="1761"/>
      <c r="O831" s="1761"/>
      <c r="P831" s="1761"/>
      <c r="Q831" s="1725"/>
      <c r="R831" s="1725"/>
      <c r="S831" s="1725"/>
      <c r="T831" s="1725"/>
    </row>
    <row r="832" spans="1:20" s="175" customFormat="1" ht="13.5" hidden="1" customHeight="1">
      <c r="A832" s="2008" t="str">
        <f>A823</f>
        <v>(iii)</v>
      </c>
      <c r="B832" s="2009" t="str">
        <f>B823</f>
        <v>2nd Floor</v>
      </c>
      <c r="C832" s="2009" t="s">
        <v>531</v>
      </c>
      <c r="D832" s="2002"/>
      <c r="E832" s="2002"/>
      <c r="F832" s="2002"/>
      <c r="G832" s="2882" t="str">
        <f t="shared" ref="G832:G833" si="151">G830</f>
        <v>Each Sqm</v>
      </c>
      <c r="H832" s="2883"/>
      <c r="I832" s="1723">
        <f>K4742</f>
        <v>1008.46</v>
      </c>
      <c r="J832" s="2035"/>
      <c r="K832" s="1721">
        <f t="shared" ref="K832:K833" si="152">I832+J832</f>
        <v>1008.46</v>
      </c>
      <c r="L832" s="2884">
        <f t="shared" ref="L832:L835" si="153">ROUND(K832,1)</f>
        <v>1008.5</v>
      </c>
      <c r="M832" s="2885"/>
      <c r="N832" s="1761"/>
      <c r="O832" s="1761"/>
      <c r="P832" s="1761"/>
      <c r="Q832" s="1725"/>
      <c r="R832" s="1725"/>
      <c r="S832" s="1725"/>
      <c r="T832" s="1725"/>
    </row>
    <row r="833" spans="1:25" s="175" customFormat="1" ht="13.5" hidden="1" customHeight="1">
      <c r="A833" s="2008"/>
      <c r="B833" s="2009"/>
      <c r="C833" s="2009" t="s">
        <v>532</v>
      </c>
      <c r="D833" s="2002"/>
      <c r="E833" s="2002"/>
      <c r="F833" s="2002"/>
      <c r="G833" s="2882" t="str">
        <f t="shared" si="151"/>
        <v>Each Sqm</v>
      </c>
      <c r="H833" s="2883"/>
      <c r="I833" s="1723">
        <f>K4760</f>
        <v>963.78000000000009</v>
      </c>
      <c r="J833" s="2035"/>
      <c r="K833" s="1721">
        <f t="shared" si="152"/>
        <v>963.78000000000009</v>
      </c>
      <c r="L833" s="2884">
        <f t="shared" si="153"/>
        <v>963.8</v>
      </c>
      <c r="M833" s="2885"/>
      <c r="N833" s="1761"/>
      <c r="O833" s="1761"/>
      <c r="P833" s="1761"/>
      <c r="Q833" s="1725"/>
      <c r="R833" s="1725"/>
      <c r="S833" s="1725"/>
      <c r="T833" s="1725"/>
    </row>
    <row r="834" spans="1:25" s="175" customFormat="1" ht="13.5" hidden="1" customHeight="1">
      <c r="A834" s="2040" t="s">
        <v>443</v>
      </c>
      <c r="B834" s="2009" t="s">
        <v>3636</v>
      </c>
      <c r="C834" s="2009" t="s">
        <v>531</v>
      </c>
      <c r="D834" s="2003"/>
      <c r="E834" s="2003"/>
      <c r="F834" s="2003"/>
      <c r="G834" s="2882" t="str">
        <f>G833</f>
        <v>Each Sqm</v>
      </c>
      <c r="H834" s="2883"/>
      <c r="I834" s="2046">
        <f>K4746</f>
        <v>1018.46</v>
      </c>
      <c r="J834" s="1721"/>
      <c r="K834" s="1721">
        <f>I834+J834</f>
        <v>1018.46</v>
      </c>
      <c r="L834" s="3001">
        <f t="shared" si="153"/>
        <v>1018.5</v>
      </c>
      <c r="M834" s="3002"/>
      <c r="N834" s="1761"/>
      <c r="O834" s="1761"/>
      <c r="P834" s="1761"/>
      <c r="Q834" s="1725"/>
      <c r="R834" s="1725"/>
      <c r="S834" s="1725"/>
    </row>
    <row r="835" spans="1:25" s="175" customFormat="1" ht="13.5" hidden="1" customHeight="1">
      <c r="A835" s="2049"/>
      <c r="B835" s="2009"/>
      <c r="C835" s="2009" t="s">
        <v>532</v>
      </c>
      <c r="D835" s="2003"/>
      <c r="E835" s="2003"/>
      <c r="F835" s="2003"/>
      <c r="G835" s="2882" t="str">
        <f>G834</f>
        <v>Each Sqm</v>
      </c>
      <c r="H835" s="2883"/>
      <c r="I835" s="2046">
        <f>K4764</f>
        <v>973.78000000000009</v>
      </c>
      <c r="J835" s="1721"/>
      <c r="K835" s="1721">
        <f>I835+J835</f>
        <v>973.78000000000009</v>
      </c>
      <c r="L835" s="3001">
        <f t="shared" si="153"/>
        <v>973.8</v>
      </c>
      <c r="M835" s="3002"/>
      <c r="N835" s="1761"/>
      <c r="O835" s="1761"/>
      <c r="P835" s="1761"/>
      <c r="Q835" s="1725"/>
      <c r="R835" s="1725"/>
      <c r="S835" s="1725"/>
    </row>
    <row r="836" spans="1:25" s="175" customFormat="1" ht="13.5" customHeight="1">
      <c r="A836" s="2000" t="s">
        <v>534</v>
      </c>
      <c r="B836" s="1828"/>
      <c r="C836" s="2001"/>
      <c r="D836" s="2001"/>
      <c r="E836" s="2001"/>
      <c r="F836" s="2001"/>
      <c r="G836" s="2062"/>
      <c r="H836" s="2063"/>
      <c r="I836" s="1829"/>
      <c r="J836" s="1829"/>
      <c r="K836" s="1711"/>
      <c r="L836" s="2013"/>
      <c r="M836" s="2014"/>
      <c r="N836" s="1761"/>
      <c r="O836" s="1761"/>
      <c r="P836" s="1761"/>
      <c r="Q836" s="2015" t="str">
        <f>A836</f>
        <v>D) Doors, Windows, Ventilators, Railiings etc.</v>
      </c>
      <c r="R836" s="1829"/>
      <c r="S836" s="1829"/>
      <c r="T836" s="2016"/>
      <c r="U836" s="1829"/>
      <c r="V836" s="1829"/>
      <c r="W836" s="1829"/>
      <c r="X836" s="1829"/>
      <c r="Y836" s="1749"/>
    </row>
    <row r="837" spans="1:25" s="175" customFormat="1" ht="13.5" hidden="1" customHeight="1">
      <c r="A837" s="1998">
        <f>A827+1</f>
        <v>78</v>
      </c>
      <c r="B837" s="1884" t="s">
        <v>3840</v>
      </c>
      <c r="C837" s="2003"/>
      <c r="D837" s="2003"/>
      <c r="E837" s="2003"/>
      <c r="F837" s="2003"/>
      <c r="G837" s="2882" t="s">
        <v>381</v>
      </c>
      <c r="H837" s="2883"/>
      <c r="I837" s="1723">
        <f>K4777</f>
        <v>86150.357142857145</v>
      </c>
      <c r="J837" s="1721"/>
      <c r="K837" s="1721">
        <f>I837+J837</f>
        <v>86150.357142857145</v>
      </c>
      <c r="L837" s="2884">
        <f t="shared" ref="L837:L870" si="154">ROUND(K837,1)</f>
        <v>86150.399999999994</v>
      </c>
      <c r="M837" s="2885"/>
      <c r="N837" s="1767"/>
      <c r="O837" s="1767"/>
      <c r="P837" s="1767"/>
      <c r="Q837" s="1725" t="s">
        <v>535</v>
      </c>
      <c r="R837" s="1725" t="s">
        <v>536</v>
      </c>
      <c r="S837" s="1725"/>
      <c r="T837" s="1725"/>
    </row>
    <row r="838" spans="1:25" s="1741" customFormat="1" ht="13.5" hidden="1" customHeight="1">
      <c r="A838" s="1998">
        <f>A837+1</f>
        <v>79</v>
      </c>
      <c r="B838" s="2002" t="s">
        <v>3066</v>
      </c>
      <c r="C838" s="2002"/>
      <c r="D838" s="2002"/>
      <c r="E838" s="2002"/>
      <c r="F838" s="2002"/>
      <c r="G838" s="2882" t="s">
        <v>390</v>
      </c>
      <c r="H838" s="2883"/>
      <c r="I838" s="1723">
        <f>K4792</f>
        <v>4821.1968085106391</v>
      </c>
      <c r="J838" s="1721"/>
      <c r="K838" s="1721">
        <f t="shared" ref="K838:K870" si="155">I838+J838</f>
        <v>4821.1968085106391</v>
      </c>
      <c r="L838" s="2884">
        <f t="shared" si="154"/>
        <v>4821.2</v>
      </c>
      <c r="M838" s="2885"/>
      <c r="O838" s="1735" t="s">
        <v>538</v>
      </c>
      <c r="Q838" s="1735" t="s">
        <v>537</v>
      </c>
      <c r="T838" s="1706"/>
    </row>
    <row r="839" spans="1:25" s="1741" customFormat="1" ht="13.5" hidden="1" customHeight="1">
      <c r="A839" s="1998">
        <f t="shared" ref="A839:A873" si="156">A838+1</f>
        <v>80</v>
      </c>
      <c r="B839" s="2002" t="s">
        <v>3840</v>
      </c>
      <c r="C839" s="2002"/>
      <c r="D839" s="2002"/>
      <c r="E839" s="2002"/>
      <c r="F839" s="2002"/>
      <c r="G839" s="2882" t="s">
        <v>381</v>
      </c>
      <c r="H839" s="2883"/>
      <c r="I839" s="1723">
        <f>K4809</f>
        <v>48691.248107016661</v>
      </c>
      <c r="J839" s="1721"/>
      <c r="K839" s="1721">
        <f t="shared" si="155"/>
        <v>48691.248107016661</v>
      </c>
      <c r="L839" s="2884">
        <f t="shared" si="154"/>
        <v>48691.199999999997</v>
      </c>
      <c r="M839" s="2885"/>
      <c r="O839" s="1735" t="s">
        <v>540</v>
      </c>
      <c r="Q839" s="1735" t="s">
        <v>535</v>
      </c>
      <c r="R839" s="1735" t="s">
        <v>539</v>
      </c>
      <c r="T839" s="1706"/>
    </row>
    <row r="840" spans="1:25" s="175" customFormat="1" ht="13.5" hidden="1" customHeight="1">
      <c r="A840" s="1998">
        <f t="shared" si="156"/>
        <v>81</v>
      </c>
      <c r="B840" s="1828" t="s">
        <v>3841</v>
      </c>
      <c r="C840" s="2003"/>
      <c r="D840" s="2003"/>
      <c r="E840" s="2003"/>
      <c r="F840" s="2003"/>
      <c r="G840" s="2882" t="s">
        <v>390</v>
      </c>
      <c r="H840" s="2883"/>
      <c r="I840" s="1723">
        <f>K4826</f>
        <v>55338.005462290726</v>
      </c>
      <c r="J840" s="1721"/>
      <c r="K840" s="1721">
        <f t="shared" si="155"/>
        <v>55338.005462290726</v>
      </c>
      <c r="L840" s="2884">
        <f t="shared" si="154"/>
        <v>55338</v>
      </c>
      <c r="M840" s="2885"/>
      <c r="N840" s="1767"/>
      <c r="O840" s="1725"/>
      <c r="P840" s="1767"/>
      <c r="Q840" s="1725" t="s">
        <v>537</v>
      </c>
      <c r="R840" s="1725"/>
    </row>
    <row r="841" spans="1:25" s="175" customFormat="1" ht="13.5" hidden="1" customHeight="1">
      <c r="A841" s="1998">
        <f t="shared" si="156"/>
        <v>82</v>
      </c>
      <c r="B841" s="1884" t="s">
        <v>3842</v>
      </c>
      <c r="C841" s="2003"/>
      <c r="D841" s="2003"/>
      <c r="E841" s="2003"/>
      <c r="F841" s="2003"/>
      <c r="G841" s="2882" t="s">
        <v>486</v>
      </c>
      <c r="H841" s="2883"/>
      <c r="I841" s="1723">
        <f>K4835</f>
        <v>8778.1670588235302</v>
      </c>
      <c r="J841" s="1721"/>
      <c r="K841" s="1721">
        <f t="shared" si="155"/>
        <v>8778.1670588235302</v>
      </c>
      <c r="L841" s="2884">
        <f t="shared" si="154"/>
        <v>8778.2000000000007</v>
      </c>
      <c r="M841" s="2885"/>
      <c r="N841" s="2037"/>
      <c r="O841" s="1725"/>
      <c r="P841" s="2037"/>
      <c r="Q841" s="1725"/>
      <c r="R841" s="1725"/>
    </row>
    <row r="842" spans="1:25" s="1741" customFormat="1" ht="13.5" hidden="1" customHeight="1">
      <c r="A842" s="1998">
        <f t="shared" si="156"/>
        <v>83</v>
      </c>
      <c r="B842" s="2002" t="s">
        <v>3843</v>
      </c>
      <c r="C842" s="2002"/>
      <c r="D842" s="2002"/>
      <c r="E842" s="2002"/>
      <c r="F842" s="2002"/>
      <c r="G842" s="2882" t="s">
        <v>486</v>
      </c>
      <c r="H842" s="2883"/>
      <c r="I842" s="1723">
        <f>K4844</f>
        <v>8735.8678991596644</v>
      </c>
      <c r="J842" s="1721"/>
      <c r="K842" s="1721">
        <f>I842+J842</f>
        <v>8735.8678991596644</v>
      </c>
      <c r="L842" s="2884">
        <f t="shared" si="154"/>
        <v>8735.9</v>
      </c>
      <c r="M842" s="2885"/>
      <c r="O842" s="1735" t="s">
        <v>541</v>
      </c>
      <c r="T842" s="1706"/>
    </row>
    <row r="843" spans="1:25" s="175" customFormat="1" ht="13.5" hidden="1" customHeight="1">
      <c r="A843" s="1998">
        <f t="shared" si="156"/>
        <v>84</v>
      </c>
      <c r="B843" s="1884" t="s">
        <v>3844</v>
      </c>
      <c r="C843" s="2003"/>
      <c r="D843" s="2003"/>
      <c r="E843" s="2003"/>
      <c r="F843" s="2003"/>
      <c r="G843" s="2882" t="s">
        <v>486</v>
      </c>
      <c r="H843" s="2883"/>
      <c r="I843" s="1723">
        <f>K4855</f>
        <v>10384.69254901961</v>
      </c>
      <c r="J843" s="1721"/>
      <c r="K843" s="1721">
        <f>I843+J843</f>
        <v>10384.69254901961</v>
      </c>
      <c r="L843" s="2884">
        <f t="shared" si="154"/>
        <v>10384.700000000001</v>
      </c>
      <c r="M843" s="2885"/>
      <c r="N843" s="2037"/>
      <c r="O843" s="2037"/>
      <c r="P843" s="2037"/>
      <c r="Q843" s="1725"/>
      <c r="R843" s="1725"/>
      <c r="S843" s="1725"/>
      <c r="T843" s="1725"/>
    </row>
    <row r="844" spans="1:25" s="175" customFormat="1" ht="13.5" hidden="1" customHeight="1">
      <c r="A844" s="1998">
        <f t="shared" si="156"/>
        <v>85</v>
      </c>
      <c r="B844" s="1884" t="s">
        <v>3845</v>
      </c>
      <c r="C844" s="2003"/>
      <c r="D844" s="2003"/>
      <c r="E844" s="2003"/>
      <c r="F844" s="2003"/>
      <c r="G844" s="2882" t="s">
        <v>390</v>
      </c>
      <c r="H844" s="2883"/>
      <c r="I844" s="1723">
        <f>K4883</f>
        <v>3368.77</v>
      </c>
      <c r="J844" s="1721"/>
      <c r="K844" s="1721">
        <f>I844+J844</f>
        <v>3368.77</v>
      </c>
      <c r="L844" s="2884">
        <f t="shared" si="154"/>
        <v>3368.8</v>
      </c>
      <c r="M844" s="2885"/>
      <c r="N844" s="2037"/>
      <c r="O844" s="2037"/>
      <c r="P844" s="2037"/>
      <c r="Q844" s="2064" t="s">
        <v>523</v>
      </c>
      <c r="R844" s="1725"/>
      <c r="S844" s="1725"/>
      <c r="T844" s="1725"/>
    </row>
    <row r="845" spans="1:25" s="175" customFormat="1" ht="13.5" hidden="1" customHeight="1">
      <c r="A845" s="1998"/>
      <c r="B845" s="1884"/>
      <c r="C845" s="2003"/>
      <c r="D845" s="2003"/>
      <c r="E845" s="2003"/>
      <c r="F845" s="2003"/>
      <c r="G845" s="2882" t="s">
        <v>542</v>
      </c>
      <c r="H845" s="2883"/>
      <c r="I845" s="1723">
        <f>K4884</f>
        <v>657.45633456334554</v>
      </c>
      <c r="J845" s="1721"/>
      <c r="K845" s="1721">
        <f>I845+J845</f>
        <v>657.45633456334554</v>
      </c>
      <c r="L845" s="2884">
        <f>ROUND(K845,1)</f>
        <v>657.5</v>
      </c>
      <c r="M845" s="2885"/>
      <c r="N845" s="2037"/>
      <c r="O845" s="2037"/>
      <c r="P845" s="2037"/>
      <c r="Q845" s="2065" t="s">
        <v>523</v>
      </c>
      <c r="R845" s="2065"/>
      <c r="S845" s="1725"/>
      <c r="T845" s="1725"/>
    </row>
    <row r="846" spans="1:25" s="175" customFormat="1" ht="13.5" hidden="1" customHeight="1">
      <c r="A846" s="1998">
        <f>A844+1</f>
        <v>86</v>
      </c>
      <c r="B846" s="1884" t="s">
        <v>3845</v>
      </c>
      <c r="C846" s="2003"/>
      <c r="D846" s="2003"/>
      <c r="E846" s="2003"/>
      <c r="F846" s="2003"/>
      <c r="G846" s="2882" t="s">
        <v>390</v>
      </c>
      <c r="H846" s="2883"/>
      <c r="I846" s="1723">
        <f>K4910</f>
        <v>5589.7187815126053</v>
      </c>
      <c r="J846" s="1721"/>
      <c r="K846" s="1721">
        <f>I846+J846</f>
        <v>5589.7187815126053</v>
      </c>
      <c r="L846" s="2884">
        <f>ROUND(K846,1)</f>
        <v>5589.7</v>
      </c>
      <c r="M846" s="2885"/>
      <c r="N846" s="2037"/>
      <c r="O846" s="2037"/>
      <c r="P846" s="2037"/>
      <c r="Q846" s="2065" t="s">
        <v>521</v>
      </c>
      <c r="R846" s="2065"/>
      <c r="S846" s="1725"/>
      <c r="T846" s="1725"/>
    </row>
    <row r="847" spans="1:25" s="175" customFormat="1" ht="13.5" hidden="1" customHeight="1">
      <c r="A847" s="1998">
        <f>A846+1</f>
        <v>87</v>
      </c>
      <c r="B847" s="1884" t="s">
        <v>3846</v>
      </c>
      <c r="C847" s="2003"/>
      <c r="D847" s="2003"/>
      <c r="E847" s="2003"/>
      <c r="F847" s="2003"/>
      <c r="G847" s="2882" t="s">
        <v>390</v>
      </c>
      <c r="H847" s="2883"/>
      <c r="I847" s="1723">
        <f>K4941</f>
        <v>6861.33</v>
      </c>
      <c r="J847" s="1721"/>
      <c r="K847" s="1721">
        <f t="shared" si="155"/>
        <v>6861.33</v>
      </c>
      <c r="L847" s="2884">
        <f t="shared" si="154"/>
        <v>6861.3</v>
      </c>
      <c r="M847" s="2885"/>
      <c r="N847" s="2037"/>
      <c r="O847" s="2066" t="s">
        <v>543</v>
      </c>
      <c r="P847" s="2037"/>
      <c r="Q847" s="2067" t="s">
        <v>523</v>
      </c>
      <c r="R847" s="1750"/>
      <c r="S847" s="1725"/>
      <c r="T847" s="1725"/>
    </row>
    <row r="848" spans="1:25" s="175" customFormat="1" ht="13.5" hidden="1" customHeight="1">
      <c r="A848" s="1998"/>
      <c r="B848" s="1884"/>
      <c r="C848" s="2003"/>
      <c r="D848" s="2003"/>
      <c r="E848" s="2003"/>
      <c r="F848" s="2003"/>
      <c r="G848" s="2882" t="s">
        <v>542</v>
      </c>
      <c r="H848" s="2883"/>
      <c r="I848" s="1723">
        <f>K4942</f>
        <v>546.27607814227792</v>
      </c>
      <c r="J848" s="1721"/>
      <c r="K848" s="1721">
        <f t="shared" si="155"/>
        <v>546.27607814227792</v>
      </c>
      <c r="L848" s="2884">
        <f>ROUND(K848,1)</f>
        <v>546.29999999999995</v>
      </c>
      <c r="M848" s="2885"/>
      <c r="N848" s="2037"/>
      <c r="O848" s="1725"/>
      <c r="P848" s="2037"/>
      <c r="Q848" s="2065" t="s">
        <v>523</v>
      </c>
      <c r="R848" s="1750"/>
      <c r="S848" s="1725"/>
      <c r="T848" s="1725"/>
    </row>
    <row r="849" spans="1:21" s="1741" customFormat="1" ht="13.5" hidden="1" customHeight="1">
      <c r="A849" s="1998">
        <f>A847+1</f>
        <v>88</v>
      </c>
      <c r="B849" s="2002" t="s">
        <v>3847</v>
      </c>
      <c r="C849" s="2002"/>
      <c r="D849" s="2002"/>
      <c r="E849" s="2002"/>
      <c r="F849" s="2002"/>
      <c r="G849" s="2998" t="s">
        <v>390</v>
      </c>
      <c r="H849" s="2997"/>
      <c r="I849" s="1723">
        <f>K4975</f>
        <v>6956.46</v>
      </c>
      <c r="J849" s="1721"/>
      <c r="K849" s="1721">
        <f t="shared" si="155"/>
        <v>6956.46</v>
      </c>
      <c r="L849" s="2884">
        <f t="shared" si="154"/>
        <v>6956.5</v>
      </c>
      <c r="M849" s="2885"/>
      <c r="O849" s="2066" t="s">
        <v>543</v>
      </c>
      <c r="Q849" s="1735" t="s">
        <v>523</v>
      </c>
      <c r="R849" s="1958"/>
      <c r="S849" s="1741" t="s">
        <v>544</v>
      </c>
      <c r="T849" s="1706"/>
      <c r="U849" s="1705"/>
    </row>
    <row r="850" spans="1:21" s="175" customFormat="1" ht="13.5" hidden="1" customHeight="1">
      <c r="A850" s="1998"/>
      <c r="B850" s="1884"/>
      <c r="C850" s="2003"/>
      <c r="D850" s="2003"/>
      <c r="E850" s="2003"/>
      <c r="F850" s="2003"/>
      <c r="G850" s="2882" t="s">
        <v>542</v>
      </c>
      <c r="H850" s="2883"/>
      <c r="I850" s="1723">
        <f>K4976</f>
        <v>529.93265993265993</v>
      </c>
      <c r="J850" s="1721"/>
      <c r="K850" s="1721">
        <f t="shared" si="155"/>
        <v>529.93265993265993</v>
      </c>
      <c r="L850" s="2884">
        <f t="shared" si="154"/>
        <v>529.9</v>
      </c>
      <c r="M850" s="2885"/>
      <c r="N850" s="2037"/>
      <c r="O850" s="1725"/>
      <c r="P850" s="2037"/>
      <c r="Q850" s="2065" t="s">
        <v>523</v>
      </c>
      <c r="R850" s="1750"/>
      <c r="S850" s="1725"/>
      <c r="T850" s="1725"/>
    </row>
    <row r="851" spans="1:21" s="175" customFormat="1" ht="13.5" hidden="1" customHeight="1">
      <c r="A851" s="1998">
        <f>A849+1</f>
        <v>89</v>
      </c>
      <c r="B851" s="1884" t="s">
        <v>3846</v>
      </c>
      <c r="C851" s="2003"/>
      <c r="D851" s="2003"/>
      <c r="E851" s="2003"/>
      <c r="F851" s="2003"/>
      <c r="G851" s="2882" t="s">
        <v>390</v>
      </c>
      <c r="H851" s="2883"/>
      <c r="I851" s="1723">
        <f>K5004</f>
        <v>7837.15</v>
      </c>
      <c r="J851" s="1721"/>
      <c r="K851" s="1721">
        <f t="shared" si="155"/>
        <v>7837.15</v>
      </c>
      <c r="L851" s="2884">
        <f t="shared" si="154"/>
        <v>7837.2</v>
      </c>
      <c r="M851" s="2885"/>
      <c r="N851" s="2037"/>
      <c r="O851" s="2066" t="s">
        <v>543</v>
      </c>
      <c r="P851" s="2037"/>
      <c r="Q851" s="2067" t="s">
        <v>521</v>
      </c>
      <c r="R851" s="1750"/>
      <c r="S851" s="1725"/>
      <c r="T851" s="1725"/>
    </row>
    <row r="852" spans="1:21" s="175" customFormat="1" ht="13.5" hidden="1" customHeight="1">
      <c r="A852" s="1998"/>
      <c r="B852" s="1884"/>
      <c r="C852" s="2003"/>
      <c r="D852" s="2003"/>
      <c r="E852" s="2003"/>
      <c r="F852" s="2003"/>
      <c r="G852" s="2882" t="s">
        <v>542</v>
      </c>
      <c r="H852" s="2883"/>
      <c r="I852" s="1723">
        <f>K5005</f>
        <v>1164.2530949105917</v>
      </c>
      <c r="J852" s="1721"/>
      <c r="K852" s="1721">
        <f t="shared" si="155"/>
        <v>1164.2530949105917</v>
      </c>
      <c r="L852" s="2884">
        <f t="shared" si="154"/>
        <v>1164.3</v>
      </c>
      <c r="M852" s="2885"/>
      <c r="N852" s="2037"/>
      <c r="O852" s="1725"/>
      <c r="P852" s="2037"/>
      <c r="Q852" s="2065" t="s">
        <v>521</v>
      </c>
      <c r="R852" s="1750"/>
      <c r="S852" s="1725"/>
      <c r="T852" s="1725"/>
    </row>
    <row r="853" spans="1:21" s="175" customFormat="1" ht="13.5" hidden="1" customHeight="1">
      <c r="A853" s="1998">
        <f>A851+1</f>
        <v>90</v>
      </c>
      <c r="B853" s="1884" t="s">
        <v>3847</v>
      </c>
      <c r="C853" s="2003"/>
      <c r="D853" s="2003"/>
      <c r="E853" s="2003"/>
      <c r="F853" s="2003"/>
      <c r="G853" s="2882" t="s">
        <v>390</v>
      </c>
      <c r="H853" s="2883"/>
      <c r="I853" s="1723">
        <f>K5034</f>
        <v>7281.57</v>
      </c>
      <c r="J853" s="1721"/>
      <c r="K853" s="1721">
        <f t="shared" si="155"/>
        <v>7281.57</v>
      </c>
      <c r="L853" s="2884">
        <f t="shared" si="154"/>
        <v>7281.6</v>
      </c>
      <c r="M853" s="2885"/>
      <c r="N853" s="2037"/>
      <c r="O853" s="2066" t="s">
        <v>543</v>
      </c>
      <c r="P853" s="2037"/>
      <c r="Q853" s="2068" t="s">
        <v>521</v>
      </c>
      <c r="S853" s="1725"/>
      <c r="T853" s="1725"/>
    </row>
    <row r="854" spans="1:21" s="175" customFormat="1" ht="13.5" hidden="1" customHeight="1">
      <c r="A854" s="1998"/>
      <c r="B854" s="1884"/>
      <c r="C854" s="2003"/>
      <c r="D854" s="2003"/>
      <c r="E854" s="2003"/>
      <c r="F854" s="2003"/>
      <c r="G854" s="2882" t="s">
        <v>542</v>
      </c>
      <c r="H854" s="2883"/>
      <c r="I854" s="1723">
        <f>K5035</f>
        <v>984.29</v>
      </c>
      <c r="J854" s="1721"/>
      <c r="K854" s="1721">
        <f t="shared" si="155"/>
        <v>984.29</v>
      </c>
      <c r="L854" s="2884">
        <f t="shared" si="154"/>
        <v>984.3</v>
      </c>
      <c r="M854" s="2885"/>
      <c r="N854" s="2037"/>
      <c r="O854" s="2037"/>
      <c r="P854" s="2037"/>
      <c r="Q854" s="2068" t="s">
        <v>521</v>
      </c>
      <c r="R854" s="1725"/>
      <c r="S854" s="1725"/>
      <c r="T854" s="1725"/>
    </row>
    <row r="855" spans="1:21" s="175" customFormat="1" ht="13.5" hidden="1" customHeight="1">
      <c r="A855" s="1998">
        <f>A853+1</f>
        <v>91</v>
      </c>
      <c r="B855" s="1884" t="s">
        <v>3848</v>
      </c>
      <c r="C855" s="2003"/>
      <c r="D855" s="2003"/>
      <c r="E855" s="2003"/>
      <c r="F855" s="2003"/>
      <c r="G855" s="2882" t="s">
        <v>390</v>
      </c>
      <c r="H855" s="2883"/>
      <c r="I855" s="1723">
        <f>K5083</f>
        <v>5405.5</v>
      </c>
      <c r="J855" s="1721"/>
      <c r="K855" s="1721">
        <f>I855+J855</f>
        <v>5405.5</v>
      </c>
      <c r="L855" s="2884">
        <f t="shared" si="154"/>
        <v>5405.5</v>
      </c>
      <c r="M855" s="2885"/>
      <c r="N855" s="2037"/>
      <c r="O855" s="2037"/>
      <c r="P855" s="2037"/>
      <c r="Q855" s="2064" t="s">
        <v>521</v>
      </c>
      <c r="R855" s="1725"/>
      <c r="S855" s="1725"/>
      <c r="T855" s="1725"/>
    </row>
    <row r="856" spans="1:21" s="175" customFormat="1" ht="13.5" hidden="1" customHeight="1">
      <c r="A856" s="1998">
        <f t="shared" si="156"/>
        <v>92</v>
      </c>
      <c r="B856" s="1884" t="s">
        <v>3849</v>
      </c>
      <c r="C856" s="2003"/>
      <c r="D856" s="2003"/>
      <c r="E856" s="2003"/>
      <c r="F856" s="2003"/>
      <c r="G856" s="2882" t="s">
        <v>390</v>
      </c>
      <c r="H856" s="2883"/>
      <c r="I856" s="1723">
        <f>K5084</f>
        <v>3627.85</v>
      </c>
      <c r="J856" s="1721"/>
      <c r="K856" s="1721">
        <f t="shared" si="155"/>
        <v>3627.85</v>
      </c>
      <c r="L856" s="2884">
        <f t="shared" si="154"/>
        <v>3627.9</v>
      </c>
      <c r="M856" s="2885"/>
      <c r="N856" s="2037"/>
      <c r="O856" s="2037"/>
      <c r="P856" s="2037"/>
      <c r="Q856" s="2068" t="s">
        <v>523</v>
      </c>
      <c r="R856" s="1725" t="s">
        <v>545</v>
      </c>
      <c r="S856" s="1725"/>
      <c r="T856" s="1725"/>
    </row>
    <row r="857" spans="1:21" s="175" customFormat="1" ht="13.5" hidden="1" customHeight="1">
      <c r="A857" s="1998"/>
      <c r="B857" s="1884"/>
      <c r="C857" s="2003"/>
      <c r="D857" s="2003"/>
      <c r="E857" s="2003"/>
      <c r="F857" s="2003"/>
      <c r="G857" s="2882" t="s">
        <v>542</v>
      </c>
      <c r="H857" s="2883"/>
      <c r="I857" s="1723">
        <f>K5085</f>
        <v>742.51</v>
      </c>
      <c r="J857" s="1721"/>
      <c r="K857" s="1721">
        <f>I857+J857</f>
        <v>742.51</v>
      </c>
      <c r="L857" s="2884">
        <f t="shared" si="154"/>
        <v>742.5</v>
      </c>
      <c r="M857" s="2885"/>
      <c r="N857" s="2037"/>
      <c r="O857" s="2037"/>
      <c r="P857" s="2037"/>
      <c r="Q857" s="1827" t="s">
        <v>523</v>
      </c>
      <c r="R857" s="1725"/>
      <c r="S857" s="1725"/>
      <c r="T857" s="1725"/>
    </row>
    <row r="858" spans="1:21" s="175" customFormat="1" ht="13.5" hidden="1" customHeight="1">
      <c r="A858" s="1998">
        <f>A856+1</f>
        <v>93</v>
      </c>
      <c r="B858" s="1884" t="s">
        <v>3850</v>
      </c>
      <c r="C858" s="2003"/>
      <c r="D858" s="2003"/>
      <c r="E858" s="2003"/>
      <c r="F858" s="2003"/>
      <c r="G858" s="2882" t="s">
        <v>390</v>
      </c>
      <c r="H858" s="2883"/>
      <c r="I858" s="1723">
        <f>K5115</f>
        <v>3918.1</v>
      </c>
      <c r="J858" s="1721"/>
      <c r="K858" s="1721">
        <f>I858+J858</f>
        <v>3918.1</v>
      </c>
      <c r="L858" s="2884">
        <f t="shared" si="154"/>
        <v>3918.1</v>
      </c>
      <c r="M858" s="2885"/>
      <c r="N858" s="2037"/>
      <c r="O858" s="2037"/>
      <c r="P858" s="2037"/>
      <c r="Q858" s="2068" t="s">
        <v>523</v>
      </c>
      <c r="R858" s="1725"/>
      <c r="S858" s="1725"/>
      <c r="T858" s="1725"/>
    </row>
    <row r="859" spans="1:21" s="175" customFormat="1" ht="13.5" hidden="1" customHeight="1">
      <c r="A859" s="1998"/>
      <c r="B859" s="1884"/>
      <c r="C859" s="2003"/>
      <c r="D859" s="2003"/>
      <c r="E859" s="2003"/>
      <c r="F859" s="2003"/>
      <c r="G859" s="2882" t="s">
        <v>542</v>
      </c>
      <c r="H859" s="2883"/>
      <c r="I859" s="1723">
        <f>K5116</f>
        <v>828.97</v>
      </c>
      <c r="J859" s="1721"/>
      <c r="K859" s="1721">
        <f>I859+J859</f>
        <v>828.97</v>
      </c>
      <c r="L859" s="2884">
        <f>ROUND(K859,1)</f>
        <v>829</v>
      </c>
      <c r="M859" s="2885"/>
      <c r="N859" s="2037"/>
      <c r="O859" s="2037"/>
      <c r="P859" s="2037"/>
      <c r="Q859" s="1827" t="s">
        <v>523</v>
      </c>
      <c r="R859" s="1725"/>
      <c r="S859" s="1725"/>
      <c r="T859" s="1725"/>
    </row>
    <row r="860" spans="1:21" s="175" customFormat="1" ht="13.5" hidden="1" customHeight="1">
      <c r="A860" s="1998">
        <f>A858+1</f>
        <v>94</v>
      </c>
      <c r="B860" s="1884" t="s">
        <v>3851</v>
      </c>
      <c r="C860" s="2003"/>
      <c r="D860" s="2003"/>
      <c r="E860" s="2003"/>
      <c r="F860" s="2003"/>
      <c r="G860" s="2882" t="s">
        <v>390</v>
      </c>
      <c r="H860" s="2883"/>
      <c r="I860" s="1723">
        <f>K5138</f>
        <v>4308.1899999999996</v>
      </c>
      <c r="J860" s="1721"/>
      <c r="K860" s="1721">
        <f t="shared" si="155"/>
        <v>4308.1899999999996</v>
      </c>
      <c r="L860" s="2884">
        <f t="shared" si="154"/>
        <v>4308.2</v>
      </c>
      <c r="M860" s="2885"/>
      <c r="N860" s="2037"/>
      <c r="O860" s="2037"/>
      <c r="P860" s="2037"/>
      <c r="Q860" s="1752"/>
      <c r="R860" s="1725"/>
      <c r="S860" s="1725"/>
      <c r="T860" s="1725"/>
    </row>
    <row r="861" spans="1:21" s="175" customFormat="1" ht="13.5" hidden="1" customHeight="1">
      <c r="A861" s="1998">
        <f t="shared" si="156"/>
        <v>95</v>
      </c>
      <c r="B861" s="1884" t="s">
        <v>3852</v>
      </c>
      <c r="C861" s="2003"/>
      <c r="D861" s="2003"/>
      <c r="E861" s="2003"/>
      <c r="F861" s="2003"/>
      <c r="G861" s="2882" t="s">
        <v>390</v>
      </c>
      <c r="H861" s="2883"/>
      <c r="I861" s="1723">
        <f>K5158</f>
        <v>4530.29</v>
      </c>
      <c r="J861" s="1721"/>
      <c r="K861" s="1721">
        <f t="shared" si="155"/>
        <v>4530.29</v>
      </c>
      <c r="L861" s="2884">
        <f t="shared" si="154"/>
        <v>4530.3</v>
      </c>
      <c r="M861" s="2885"/>
      <c r="N861" s="2037"/>
      <c r="O861" s="2037"/>
      <c r="P861" s="2037"/>
      <c r="Q861" s="1752" t="s">
        <v>523</v>
      </c>
      <c r="R861" s="1725"/>
      <c r="S861" s="1725"/>
      <c r="T861" s="1725"/>
    </row>
    <row r="862" spans="1:21" s="175" customFormat="1" ht="13.5" hidden="1" customHeight="1">
      <c r="A862" s="1998">
        <f t="shared" si="156"/>
        <v>96</v>
      </c>
      <c r="B862" s="1884" t="s">
        <v>3853</v>
      </c>
      <c r="C862" s="2003"/>
      <c r="D862" s="2003"/>
      <c r="E862" s="2003"/>
      <c r="F862" s="2003"/>
      <c r="G862" s="2882" t="s">
        <v>390</v>
      </c>
      <c r="H862" s="2883"/>
      <c r="I862" s="1723">
        <f>K5183</f>
        <v>4309.25</v>
      </c>
      <c r="J862" s="1721"/>
      <c r="K862" s="1721">
        <f t="shared" si="155"/>
        <v>4309.25</v>
      </c>
      <c r="L862" s="2884">
        <f t="shared" si="154"/>
        <v>4309.3</v>
      </c>
      <c r="M862" s="2885"/>
      <c r="N862" s="2037"/>
      <c r="O862" s="2037"/>
      <c r="P862" s="2037"/>
      <c r="Q862" s="1714"/>
      <c r="T862" s="1759"/>
    </row>
    <row r="863" spans="1:21" s="175" customFormat="1" ht="13.5" hidden="1" customHeight="1">
      <c r="A863" s="1998">
        <f t="shared" si="156"/>
        <v>97</v>
      </c>
      <c r="B863" s="1884" t="s">
        <v>3854</v>
      </c>
      <c r="C863" s="2003"/>
      <c r="D863" s="2003"/>
      <c r="E863" s="2003"/>
      <c r="F863" s="2003"/>
      <c r="G863" s="2882" t="s">
        <v>390</v>
      </c>
      <c r="H863" s="2883"/>
      <c r="I863" s="1723">
        <f>K5211</f>
        <v>6304.09</v>
      </c>
      <c r="J863" s="1721"/>
      <c r="K863" s="1721">
        <f t="shared" si="155"/>
        <v>6304.09</v>
      </c>
      <c r="L863" s="2884">
        <f t="shared" si="154"/>
        <v>6304.1</v>
      </c>
      <c r="M863" s="2885"/>
      <c r="N863" s="2037"/>
      <c r="O863" s="2037"/>
      <c r="P863" s="2037"/>
      <c r="Q863" s="1714"/>
      <c r="T863" s="1759"/>
    </row>
    <row r="864" spans="1:21" s="175" customFormat="1" ht="13.5" hidden="1" customHeight="1">
      <c r="A864" s="1998">
        <f t="shared" si="156"/>
        <v>98</v>
      </c>
      <c r="B864" s="1884" t="s">
        <v>3855</v>
      </c>
      <c r="C864" s="2003"/>
      <c r="D864" s="2003"/>
      <c r="E864" s="2003"/>
      <c r="F864" s="2003"/>
      <c r="G864" s="2882" t="s">
        <v>492</v>
      </c>
      <c r="H864" s="2883"/>
      <c r="I864" s="1723">
        <f>K5226</f>
        <v>372.25</v>
      </c>
      <c r="J864" s="1721"/>
      <c r="K864" s="1721">
        <f t="shared" si="155"/>
        <v>372.25</v>
      </c>
      <c r="L864" s="2884">
        <f t="shared" si="154"/>
        <v>372.3</v>
      </c>
      <c r="M864" s="2885"/>
      <c r="N864" s="2037"/>
      <c r="O864" s="2037"/>
      <c r="P864" s="2037"/>
      <c r="Q864" s="1714"/>
      <c r="T864" s="1759"/>
    </row>
    <row r="865" spans="1:20" s="175" customFormat="1" ht="13.5" hidden="1" customHeight="1">
      <c r="A865" s="1998">
        <f t="shared" si="156"/>
        <v>99</v>
      </c>
      <c r="B865" s="1884" t="s">
        <v>3856</v>
      </c>
      <c r="C865" s="2003"/>
      <c r="D865" s="2003"/>
      <c r="E865" s="2003"/>
      <c r="F865" s="2003"/>
      <c r="G865" s="2882" t="s">
        <v>390</v>
      </c>
      <c r="H865" s="2883"/>
      <c r="I865" s="1723">
        <f>K5247</f>
        <v>2963.23</v>
      </c>
      <c r="J865" s="1721"/>
      <c r="K865" s="1721">
        <f t="shared" si="155"/>
        <v>2963.23</v>
      </c>
      <c r="L865" s="2884">
        <f t="shared" si="154"/>
        <v>2963.2</v>
      </c>
      <c r="M865" s="2885"/>
      <c r="N865" s="2037"/>
      <c r="O865" s="2037"/>
      <c r="P865" s="2037"/>
      <c r="Q865" s="1714"/>
      <c r="T865" s="1759"/>
    </row>
    <row r="866" spans="1:20" s="175" customFormat="1" ht="13.5" hidden="1" customHeight="1">
      <c r="A866" s="1998">
        <f t="shared" si="156"/>
        <v>100</v>
      </c>
      <c r="B866" s="1884" t="s">
        <v>3857</v>
      </c>
      <c r="C866" s="2003"/>
      <c r="D866" s="2003"/>
      <c r="E866" s="2003"/>
      <c r="F866" s="2003"/>
      <c r="G866" s="2882" t="s">
        <v>492</v>
      </c>
      <c r="H866" s="2883"/>
      <c r="I866" s="1723">
        <f>K5269</f>
        <v>3029.33</v>
      </c>
      <c r="J866" s="1721"/>
      <c r="K866" s="1721">
        <f t="shared" si="155"/>
        <v>3029.33</v>
      </c>
      <c r="L866" s="2884">
        <f t="shared" si="154"/>
        <v>3029.3</v>
      </c>
      <c r="M866" s="2885"/>
      <c r="N866" s="2037"/>
      <c r="O866" s="1735" t="s">
        <v>3176</v>
      </c>
      <c r="P866" s="2037"/>
      <c r="Q866" s="1752" t="s">
        <v>523</v>
      </c>
      <c r="T866" s="1759"/>
    </row>
    <row r="867" spans="1:20" s="1741" customFormat="1" ht="13.5" hidden="1" customHeight="1">
      <c r="A867" s="1998">
        <f t="shared" si="156"/>
        <v>101</v>
      </c>
      <c r="B867" s="2002" t="s">
        <v>3858</v>
      </c>
      <c r="C867" s="2003"/>
      <c r="D867" s="2003"/>
      <c r="E867" s="2003"/>
      <c r="F867" s="2003"/>
      <c r="G867" s="2882" t="s">
        <v>390</v>
      </c>
      <c r="H867" s="2883"/>
      <c r="I867" s="1723">
        <f>K5283</f>
        <v>510.39</v>
      </c>
      <c r="J867" s="1721"/>
      <c r="K867" s="1721">
        <f t="shared" si="155"/>
        <v>510.39</v>
      </c>
      <c r="L867" s="2884">
        <f t="shared" si="154"/>
        <v>510.4</v>
      </c>
      <c r="M867" s="2885"/>
      <c r="O867" s="1735" t="s">
        <v>546</v>
      </c>
      <c r="Q867" s="1742"/>
      <c r="T867" s="1706"/>
    </row>
    <row r="868" spans="1:20" s="1741" customFormat="1" ht="13.5" hidden="1" customHeight="1">
      <c r="A868" s="1998">
        <f t="shared" si="156"/>
        <v>102</v>
      </c>
      <c r="B868" s="2002" t="s">
        <v>3859</v>
      </c>
      <c r="C868" s="2003"/>
      <c r="D868" s="2003"/>
      <c r="E868" s="2003"/>
      <c r="F868" s="2003"/>
      <c r="G868" s="2882" t="s">
        <v>390</v>
      </c>
      <c r="H868" s="2883"/>
      <c r="I868" s="1723">
        <f>K5295</f>
        <v>405.51</v>
      </c>
      <c r="J868" s="1721"/>
      <c r="K868" s="1721">
        <f>I868+J868</f>
        <v>405.51</v>
      </c>
      <c r="L868" s="2884">
        <f>ROUND(K868,1)</f>
        <v>405.5</v>
      </c>
      <c r="M868" s="2885"/>
      <c r="O868" s="1735" t="s">
        <v>547</v>
      </c>
      <c r="Q868" s="1742"/>
      <c r="T868" s="1706"/>
    </row>
    <row r="869" spans="1:20" s="175" customFormat="1" ht="13.5" hidden="1" customHeight="1">
      <c r="A869" s="1998">
        <f t="shared" si="156"/>
        <v>103</v>
      </c>
      <c r="B869" s="1884" t="s">
        <v>3860</v>
      </c>
      <c r="C869" s="2003"/>
      <c r="D869" s="2003"/>
      <c r="E869" s="2003"/>
      <c r="F869" s="2003"/>
      <c r="G869" s="2882" t="s">
        <v>390</v>
      </c>
      <c r="H869" s="2883"/>
      <c r="I869" s="1723">
        <f>K5309</f>
        <v>468.68</v>
      </c>
      <c r="J869" s="1721"/>
      <c r="K869" s="1721">
        <f>I869+J869</f>
        <v>468.68</v>
      </c>
      <c r="L869" s="2884">
        <f>ROUND(K869,1)</f>
        <v>468.7</v>
      </c>
      <c r="M869" s="2885"/>
      <c r="N869" s="2037"/>
      <c r="O869" s="1759"/>
      <c r="P869" s="2037"/>
      <c r="Q869" s="1714"/>
    </row>
    <row r="870" spans="1:20" s="175" customFormat="1" ht="13.5" hidden="1" customHeight="1">
      <c r="A870" s="1998">
        <f t="shared" si="156"/>
        <v>104</v>
      </c>
      <c r="B870" s="1884" t="s">
        <v>3861</v>
      </c>
      <c r="C870" s="2003"/>
      <c r="D870" s="2003"/>
      <c r="E870" s="2003"/>
      <c r="F870" s="2003"/>
      <c r="G870" s="2882" t="s">
        <v>390</v>
      </c>
      <c r="H870" s="2883"/>
      <c r="I870" s="1723">
        <f>K5335</f>
        <v>1321.96</v>
      </c>
      <c r="J870" s="1721"/>
      <c r="K870" s="1721">
        <f t="shared" si="155"/>
        <v>1321.96</v>
      </c>
      <c r="L870" s="2884">
        <f t="shared" si="154"/>
        <v>1322</v>
      </c>
      <c r="M870" s="2885"/>
      <c r="N870" s="2037"/>
      <c r="O870" s="1735" t="s">
        <v>549</v>
      </c>
      <c r="P870" s="2037"/>
      <c r="Q870" s="2069" t="s">
        <v>548</v>
      </c>
    </row>
    <row r="871" spans="1:20" s="175" customFormat="1" ht="13.5" hidden="1" customHeight="1">
      <c r="A871" s="1998">
        <f t="shared" si="156"/>
        <v>105</v>
      </c>
      <c r="B871" s="1884" t="s">
        <v>3862</v>
      </c>
      <c r="C871" s="2003"/>
      <c r="D871" s="2003"/>
      <c r="E871" s="2003"/>
      <c r="F871" s="2003"/>
      <c r="G871" s="2882" t="s">
        <v>390</v>
      </c>
      <c r="H871" s="2883"/>
      <c r="I871" s="1723">
        <f>K5361</f>
        <v>766.82</v>
      </c>
      <c r="J871" s="1721"/>
      <c r="K871" s="1721">
        <f>I871+J871</f>
        <v>766.82</v>
      </c>
      <c r="L871" s="2884">
        <f>ROUND(K871,1)</f>
        <v>766.8</v>
      </c>
      <c r="M871" s="2885"/>
      <c r="N871" s="2037"/>
      <c r="O871" s="1735" t="s">
        <v>549</v>
      </c>
      <c r="P871" s="2037"/>
      <c r="Q871" s="2070" t="s">
        <v>550</v>
      </c>
    </row>
    <row r="872" spans="1:20" s="1741" customFormat="1" ht="13.5" hidden="1" customHeight="1">
      <c r="A872" s="1998">
        <f t="shared" si="156"/>
        <v>106</v>
      </c>
      <c r="B872" s="2010" t="s">
        <v>3863</v>
      </c>
      <c r="C872" s="2003"/>
      <c r="D872" s="2003"/>
      <c r="E872" s="2003"/>
      <c r="F872" s="2003"/>
      <c r="G872" s="2882" t="s">
        <v>390</v>
      </c>
      <c r="H872" s="2883"/>
      <c r="I872" s="1723">
        <f>K5387</f>
        <v>1280.07</v>
      </c>
      <c r="J872" s="1721"/>
      <c r="K872" s="1721">
        <f>I872+J872</f>
        <v>1280.07</v>
      </c>
      <c r="L872" s="2884">
        <f>ROUND(K872,1)</f>
        <v>1280.0999999999999</v>
      </c>
      <c r="M872" s="2885"/>
      <c r="O872" s="1735" t="s">
        <v>549</v>
      </c>
      <c r="Q872" s="2071" t="s">
        <v>551</v>
      </c>
      <c r="T872" s="1706"/>
    </row>
    <row r="873" spans="1:20" s="1741" customFormat="1" ht="13.5" hidden="1" customHeight="1">
      <c r="A873" s="1998">
        <f t="shared" si="156"/>
        <v>107</v>
      </c>
      <c r="B873" s="2002" t="s">
        <v>3864</v>
      </c>
      <c r="C873" s="2003"/>
      <c r="D873" s="2003"/>
      <c r="E873" s="2003"/>
      <c r="F873" s="2003"/>
      <c r="G873" s="2882" t="s">
        <v>390</v>
      </c>
      <c r="H873" s="2883"/>
      <c r="I873" s="1723">
        <f>K5413</f>
        <v>768.12</v>
      </c>
      <c r="J873" s="1721"/>
      <c r="K873" s="1721">
        <f>I873+J873</f>
        <v>768.12</v>
      </c>
      <c r="L873" s="2884">
        <f>ROUND(K873,1)</f>
        <v>768.1</v>
      </c>
      <c r="M873" s="2885"/>
      <c r="O873" s="1735" t="s">
        <v>549</v>
      </c>
      <c r="Q873" s="2072" t="s">
        <v>552</v>
      </c>
      <c r="T873" s="1706"/>
    </row>
    <row r="874" spans="1:20" s="1741" customFormat="1" ht="13.5" hidden="1" customHeight="1">
      <c r="A874" s="1998">
        <f>A873+1</f>
        <v>108</v>
      </c>
      <c r="B874" s="2002" t="s">
        <v>1219</v>
      </c>
      <c r="C874" s="2003"/>
      <c r="D874" s="2003"/>
      <c r="E874" s="2003"/>
      <c r="F874" s="2003"/>
      <c r="G874" s="2882" t="s">
        <v>390</v>
      </c>
      <c r="H874" s="2883"/>
      <c r="I874" s="1723">
        <f>K5429</f>
        <v>238.22</v>
      </c>
      <c r="J874" s="1721"/>
      <c r="K874" s="1721">
        <f>I874+J874</f>
        <v>238.22</v>
      </c>
      <c r="L874" s="2884">
        <f>ROUND(K874,1)</f>
        <v>238.2</v>
      </c>
      <c r="M874" s="2885"/>
      <c r="O874" s="1735"/>
      <c r="Q874" s="1735"/>
      <c r="T874" s="1706"/>
    </row>
    <row r="875" spans="1:20" s="1741" customFormat="1" ht="13.5" hidden="1" customHeight="1">
      <c r="A875" s="1998">
        <f t="shared" ref="A875:A879" si="157">A874+1</f>
        <v>109</v>
      </c>
      <c r="B875" s="2002" t="s">
        <v>3377</v>
      </c>
      <c r="C875" s="2003"/>
      <c r="D875" s="2003"/>
      <c r="E875" s="2003"/>
      <c r="F875" s="2003"/>
      <c r="G875" s="2882" t="s">
        <v>390</v>
      </c>
      <c r="H875" s="2883"/>
      <c r="I875" s="1723">
        <f>K5450</f>
        <v>213.48</v>
      </c>
      <c r="J875" s="1721"/>
      <c r="K875" s="1721">
        <f t="shared" ref="K875:K877" si="158">I875+J875</f>
        <v>213.48</v>
      </c>
      <c r="L875" s="2884">
        <f t="shared" ref="L875:L878" si="159">ROUND(K875,1)</f>
        <v>213.5</v>
      </c>
      <c r="M875" s="2885"/>
      <c r="O875" s="1735"/>
      <c r="Q875" s="1735"/>
      <c r="T875" s="1706"/>
    </row>
    <row r="876" spans="1:20" s="1741" customFormat="1" ht="13.5" hidden="1" customHeight="1">
      <c r="A876" s="1998">
        <f t="shared" si="157"/>
        <v>110</v>
      </c>
      <c r="B876" s="2002" t="s">
        <v>3381</v>
      </c>
      <c r="C876" s="2003"/>
      <c r="D876" s="2003"/>
      <c r="E876" s="2003"/>
      <c r="F876" s="2003"/>
      <c r="G876" s="2882" t="s">
        <v>390</v>
      </c>
      <c r="H876" s="2883"/>
      <c r="I876" s="1723">
        <f>K5470</f>
        <v>218.55</v>
      </c>
      <c r="J876" s="1721"/>
      <c r="K876" s="1721">
        <f t="shared" si="158"/>
        <v>218.55</v>
      </c>
      <c r="L876" s="2884">
        <f t="shared" si="159"/>
        <v>218.6</v>
      </c>
      <c r="M876" s="2885"/>
      <c r="O876" s="1735"/>
      <c r="Q876" s="1735"/>
      <c r="T876" s="1706"/>
    </row>
    <row r="877" spans="1:20" s="1741" customFormat="1" ht="13.5" hidden="1" customHeight="1">
      <c r="A877" s="1998">
        <f t="shared" si="157"/>
        <v>111</v>
      </c>
      <c r="B877" s="2002" t="s">
        <v>3383</v>
      </c>
      <c r="C877" s="2003"/>
      <c r="D877" s="2003"/>
      <c r="E877" s="2003"/>
      <c r="F877" s="2003"/>
      <c r="G877" s="2882" t="s">
        <v>390</v>
      </c>
      <c r="H877" s="2883"/>
      <c r="I877" s="1723">
        <f>K5490</f>
        <v>282.3</v>
      </c>
      <c r="J877" s="1721"/>
      <c r="K877" s="1721">
        <f t="shared" si="158"/>
        <v>282.3</v>
      </c>
      <c r="L877" s="2884">
        <f t="shared" si="159"/>
        <v>282.3</v>
      </c>
      <c r="M877" s="2885"/>
      <c r="O877" s="1735"/>
      <c r="Q877" s="1735"/>
      <c r="T877" s="1706"/>
    </row>
    <row r="878" spans="1:20" s="1741" customFormat="1" ht="13.5" hidden="1" customHeight="1">
      <c r="A878" s="1998">
        <f t="shared" si="157"/>
        <v>112</v>
      </c>
      <c r="B878" s="2002" t="s">
        <v>3385</v>
      </c>
      <c r="C878" s="2003"/>
      <c r="D878" s="2003"/>
      <c r="E878" s="2003"/>
      <c r="F878" s="2003"/>
      <c r="G878" s="2882" t="s">
        <v>390</v>
      </c>
      <c r="H878" s="2883"/>
      <c r="I878" s="1723">
        <f>K5510</f>
        <v>292.45</v>
      </c>
      <c r="J878" s="1721"/>
      <c r="K878" s="1721">
        <f t="shared" ref="K878" si="160">I878+J878</f>
        <v>292.45</v>
      </c>
      <c r="L878" s="2884">
        <f t="shared" si="159"/>
        <v>292.5</v>
      </c>
      <c r="M878" s="2885"/>
      <c r="O878" s="1735"/>
      <c r="Q878" s="1735"/>
      <c r="T878" s="1706"/>
    </row>
    <row r="879" spans="1:20" s="175" customFormat="1" ht="13.5" hidden="1" customHeight="1">
      <c r="A879" s="1998">
        <f t="shared" si="157"/>
        <v>113</v>
      </c>
      <c r="B879" s="1884" t="s">
        <v>553</v>
      </c>
      <c r="C879" s="2003"/>
      <c r="D879" s="2003"/>
      <c r="E879" s="2003"/>
      <c r="F879" s="2003"/>
      <c r="G879" s="2882"/>
      <c r="H879" s="2883"/>
      <c r="I879" s="1723"/>
      <c r="J879" s="1721"/>
      <c r="K879" s="1721"/>
      <c r="L879" s="2884"/>
      <c r="M879" s="2885"/>
      <c r="N879" s="2037"/>
      <c r="O879" s="2037"/>
      <c r="P879" s="2037"/>
      <c r="Q879" s="1759"/>
      <c r="T879" s="1759"/>
    </row>
    <row r="880" spans="1:20" s="175" customFormat="1" ht="13.5" hidden="1" customHeight="1">
      <c r="A880" s="1998" t="s">
        <v>554</v>
      </c>
      <c r="B880" s="1884" t="s">
        <v>555</v>
      </c>
      <c r="C880" s="2003"/>
      <c r="D880" s="2003"/>
      <c r="E880" s="2003"/>
      <c r="F880" s="2003"/>
      <c r="G880" s="2882" t="s">
        <v>542</v>
      </c>
      <c r="H880" s="2883"/>
      <c r="I880" s="1723">
        <v>59.06</v>
      </c>
      <c r="J880" s="1721"/>
      <c r="K880" s="1721">
        <f t="shared" ref="K880:K888" si="161">I880+J880</f>
        <v>59.06</v>
      </c>
      <c r="L880" s="2884">
        <f t="shared" ref="L880:L888" si="162">ROUND(K880,1)</f>
        <v>59.1</v>
      </c>
      <c r="M880" s="2885"/>
      <c r="N880" s="2037"/>
      <c r="O880" s="2037"/>
      <c r="P880" s="2037"/>
      <c r="T880" s="1759"/>
    </row>
    <row r="881" spans="1:20" s="175" customFormat="1" ht="13.5" hidden="1" customHeight="1">
      <c r="A881" s="1998" t="s">
        <v>556</v>
      </c>
      <c r="B881" s="1884" t="s">
        <v>557</v>
      </c>
      <c r="C881" s="2003"/>
      <c r="D881" s="2003"/>
      <c r="E881" s="2003"/>
      <c r="F881" s="2003"/>
      <c r="G881" s="2882" t="s">
        <v>542</v>
      </c>
      <c r="H881" s="2883"/>
      <c r="I881" s="1723">
        <v>56.17</v>
      </c>
      <c r="J881" s="1721"/>
      <c r="K881" s="1721">
        <f t="shared" si="161"/>
        <v>56.17</v>
      </c>
      <c r="L881" s="2884">
        <f t="shared" si="162"/>
        <v>56.2</v>
      </c>
      <c r="M881" s="2885"/>
      <c r="N881" s="2037"/>
      <c r="O881" s="2037"/>
      <c r="P881" s="2037"/>
      <c r="T881" s="1759"/>
    </row>
    <row r="882" spans="1:20" s="175" customFormat="1" ht="13.5" hidden="1" customHeight="1">
      <c r="A882" s="1998" t="s">
        <v>558</v>
      </c>
      <c r="B882" s="1884" t="s">
        <v>559</v>
      </c>
      <c r="C882" s="2003"/>
      <c r="D882" s="2003"/>
      <c r="E882" s="2003"/>
      <c r="F882" s="2003"/>
      <c r="G882" s="2882" t="s">
        <v>488</v>
      </c>
      <c r="H882" s="2883"/>
      <c r="I882" s="1723">
        <v>17.32</v>
      </c>
      <c r="J882" s="1721"/>
      <c r="K882" s="1721">
        <f t="shared" si="161"/>
        <v>17.32</v>
      </c>
      <c r="L882" s="2884">
        <f t="shared" si="162"/>
        <v>17.3</v>
      </c>
      <c r="M882" s="2885"/>
      <c r="N882" s="2037"/>
      <c r="O882" s="2037"/>
      <c r="P882" s="2037"/>
      <c r="T882" s="1759"/>
    </row>
    <row r="883" spans="1:20" s="175" customFormat="1" ht="13.5" hidden="1" customHeight="1">
      <c r="A883" s="1998" t="s">
        <v>560</v>
      </c>
      <c r="B883" s="1884" t="s">
        <v>561</v>
      </c>
      <c r="C883" s="2003"/>
      <c r="D883" s="2003"/>
      <c r="E883" s="2003"/>
      <c r="F883" s="2003"/>
      <c r="G883" s="2882" t="s">
        <v>488</v>
      </c>
      <c r="H883" s="2883"/>
      <c r="I883" s="1723">
        <v>11.02</v>
      </c>
      <c r="J883" s="1721"/>
      <c r="K883" s="1721">
        <f t="shared" si="161"/>
        <v>11.02</v>
      </c>
      <c r="L883" s="2884">
        <f t="shared" si="162"/>
        <v>11</v>
      </c>
      <c r="M883" s="2885"/>
      <c r="N883" s="2037"/>
      <c r="O883" s="2037"/>
      <c r="P883" s="2037"/>
      <c r="T883" s="1759"/>
    </row>
    <row r="884" spans="1:20" s="175" customFormat="1" ht="13.5" hidden="1" customHeight="1">
      <c r="A884" s="1998" t="s">
        <v>562</v>
      </c>
      <c r="B884" s="1884" t="s">
        <v>563</v>
      </c>
      <c r="C884" s="2003"/>
      <c r="D884" s="2003"/>
      <c r="E884" s="2003"/>
      <c r="F884" s="2003"/>
      <c r="G884" s="2882" t="s">
        <v>488</v>
      </c>
      <c r="H884" s="2883"/>
      <c r="I884" s="1723">
        <v>77.95</v>
      </c>
      <c r="J884" s="1721"/>
      <c r="K884" s="1721">
        <f t="shared" si="161"/>
        <v>77.95</v>
      </c>
      <c r="L884" s="2884">
        <f t="shared" si="162"/>
        <v>78</v>
      </c>
      <c r="M884" s="2885"/>
      <c r="N884" s="2037"/>
      <c r="O884" s="2037"/>
      <c r="P884" s="2037"/>
      <c r="T884" s="1759"/>
    </row>
    <row r="885" spans="1:20" s="175" customFormat="1" ht="13.5" hidden="1" customHeight="1">
      <c r="A885" s="1998" t="s">
        <v>564</v>
      </c>
      <c r="B885" s="1884" t="s">
        <v>565</v>
      </c>
      <c r="C885" s="2003"/>
      <c r="D885" s="2003"/>
      <c r="E885" s="2003"/>
      <c r="F885" s="2003"/>
      <c r="G885" s="2882" t="s">
        <v>488</v>
      </c>
      <c r="H885" s="2883"/>
      <c r="I885" s="1723">
        <v>15.75</v>
      </c>
      <c r="J885" s="1721"/>
      <c r="K885" s="1721">
        <f t="shared" si="161"/>
        <v>15.75</v>
      </c>
      <c r="L885" s="2884">
        <f t="shared" si="162"/>
        <v>15.8</v>
      </c>
      <c r="M885" s="2885"/>
      <c r="N885" s="2037"/>
      <c r="O885" s="2037"/>
      <c r="P885" s="2037"/>
      <c r="T885" s="1759"/>
    </row>
    <row r="886" spans="1:20" s="175" customFormat="1" ht="13.5" hidden="1" customHeight="1">
      <c r="A886" s="1998" t="s">
        <v>464</v>
      </c>
      <c r="B886" s="1884" t="s">
        <v>566</v>
      </c>
      <c r="C886" s="2003"/>
      <c r="D886" s="2003"/>
      <c r="E886" s="2003"/>
      <c r="F886" s="2003"/>
      <c r="G886" s="2882" t="s">
        <v>488</v>
      </c>
      <c r="H886" s="2883"/>
      <c r="I886" s="1723">
        <v>11.02</v>
      </c>
      <c r="J886" s="1721"/>
      <c r="K886" s="1721">
        <f t="shared" si="161"/>
        <v>11.02</v>
      </c>
      <c r="L886" s="2884">
        <f t="shared" si="162"/>
        <v>11</v>
      </c>
      <c r="M886" s="2885"/>
      <c r="N886" s="2037"/>
      <c r="O886" s="2037"/>
      <c r="P886" s="2037"/>
      <c r="T886" s="1759"/>
    </row>
    <row r="887" spans="1:20" s="175" customFormat="1" ht="13.5" hidden="1" customHeight="1">
      <c r="A887" s="1998" t="s">
        <v>465</v>
      </c>
      <c r="B887" s="1884" t="s">
        <v>567</v>
      </c>
      <c r="C887" s="2003"/>
      <c r="D887" s="2003"/>
      <c r="E887" s="2003"/>
      <c r="F887" s="2003"/>
      <c r="G887" s="2882" t="s">
        <v>488</v>
      </c>
      <c r="H887" s="2883"/>
      <c r="I887" s="1723">
        <v>20.47</v>
      </c>
      <c r="J887" s="1721"/>
      <c r="K887" s="1721">
        <f t="shared" si="161"/>
        <v>20.47</v>
      </c>
      <c r="L887" s="2884">
        <f t="shared" si="162"/>
        <v>20.5</v>
      </c>
      <c r="M887" s="2885"/>
      <c r="N887" s="2037"/>
      <c r="O887" s="2037"/>
      <c r="P887" s="2037"/>
      <c r="T887" s="1759"/>
    </row>
    <row r="888" spans="1:20" s="175" customFormat="1" ht="13.5" hidden="1" customHeight="1">
      <c r="A888" s="2047" t="s">
        <v>568</v>
      </c>
      <c r="B888" s="1884" t="s">
        <v>569</v>
      </c>
      <c r="C888" s="2003"/>
      <c r="D888" s="2003"/>
      <c r="E888" s="2003"/>
      <c r="F888" s="2003"/>
      <c r="G888" s="2882" t="s">
        <v>488</v>
      </c>
      <c r="H888" s="2883"/>
      <c r="I888" s="1723">
        <v>13.39</v>
      </c>
      <c r="J888" s="1721"/>
      <c r="K888" s="1721">
        <f t="shared" si="161"/>
        <v>13.39</v>
      </c>
      <c r="L888" s="2884">
        <f t="shared" si="162"/>
        <v>13.4</v>
      </c>
      <c r="M888" s="2885"/>
      <c r="N888" s="2037"/>
      <c r="O888" s="2037"/>
      <c r="P888" s="2037"/>
      <c r="T888" s="1759"/>
    </row>
    <row r="889" spans="1:20" s="175" customFormat="1" ht="13.5" customHeight="1">
      <c r="A889" s="2000" t="s">
        <v>570</v>
      </c>
      <c r="B889" s="1828"/>
      <c r="C889" s="2001"/>
      <c r="D889" s="2001"/>
      <c r="E889" s="2001"/>
      <c r="F889" s="2001"/>
      <c r="G889" s="2062"/>
      <c r="H889" s="2063"/>
      <c r="I889" s="1829"/>
      <c r="J889" s="1829"/>
      <c r="K889" s="1711"/>
      <c r="L889" s="2013"/>
      <c r="M889" s="2014"/>
      <c r="N889" s="1761"/>
      <c r="O889" s="1761"/>
      <c r="P889" s="1761"/>
      <c r="Q889" s="1841" t="str">
        <f>A889</f>
        <v>E) Painting</v>
      </c>
      <c r="T889" s="1759"/>
    </row>
    <row r="890" spans="1:20" s="1741" customFormat="1" ht="13.5" customHeight="1">
      <c r="A890" s="1998">
        <f>A879+1</f>
        <v>114</v>
      </c>
      <c r="B890" s="2002" t="s">
        <v>3865</v>
      </c>
      <c r="C890" s="2003"/>
      <c r="D890" s="2003"/>
      <c r="E890" s="2003"/>
      <c r="F890" s="2003"/>
      <c r="G890" s="2882" t="s">
        <v>390</v>
      </c>
      <c r="H890" s="2883"/>
      <c r="I890" s="1723"/>
      <c r="J890" s="1721"/>
      <c r="K890" s="1721"/>
      <c r="L890" s="2884"/>
      <c r="M890" s="2885"/>
      <c r="O890" s="1735" t="s">
        <v>571</v>
      </c>
      <c r="T890" s="1706"/>
    </row>
    <row r="891" spans="1:20" s="175" customFormat="1" ht="13.5" customHeight="1">
      <c r="A891" s="2073" t="s">
        <v>468</v>
      </c>
      <c r="B891" s="1828" t="s">
        <v>572</v>
      </c>
      <c r="C891" s="2003"/>
      <c r="D891" s="2003"/>
      <c r="E891" s="2003"/>
      <c r="F891" s="2003"/>
      <c r="G891" s="2882" t="s">
        <v>390</v>
      </c>
      <c r="H891" s="2883"/>
      <c r="I891" s="1723"/>
      <c r="J891" s="1721"/>
      <c r="K891" s="1721"/>
      <c r="L891" s="2006"/>
      <c r="M891" s="2007"/>
      <c r="N891" s="2037"/>
      <c r="O891" s="2037"/>
      <c r="P891" s="2037"/>
      <c r="Q891" s="1725"/>
      <c r="R891" s="1725"/>
      <c r="S891" s="1725"/>
      <c r="T891" s="1725"/>
    </row>
    <row r="892" spans="1:20" s="175" customFormat="1" ht="13.5" customHeight="1">
      <c r="A892" s="2074" t="s">
        <v>383</v>
      </c>
      <c r="B892" s="2009" t="s">
        <v>384</v>
      </c>
      <c r="C892" s="2003"/>
      <c r="D892" s="2003"/>
      <c r="E892" s="2003"/>
      <c r="F892" s="2003"/>
      <c r="G892" s="2882" t="str">
        <f>G891</f>
        <v>Each Sqm</v>
      </c>
      <c r="H892" s="2883"/>
      <c r="I892" s="1723">
        <f>K5567</f>
        <v>15.98</v>
      </c>
      <c r="J892" s="1721"/>
      <c r="K892" s="1721">
        <f>I892+J892</f>
        <v>15.98</v>
      </c>
      <c r="L892" s="2884">
        <f>ROUND(K892,1)</f>
        <v>16</v>
      </c>
      <c r="M892" s="2885"/>
      <c r="N892" s="2037"/>
      <c r="O892" s="2037"/>
      <c r="P892" s="2037"/>
      <c r="Q892" s="1725"/>
      <c r="R892" s="1725"/>
      <c r="S892" s="1725"/>
      <c r="T892" s="1725"/>
    </row>
    <row r="893" spans="1:20" s="175" customFormat="1" ht="13.5" hidden="1" customHeight="1">
      <c r="A893" s="2074" t="s">
        <v>386</v>
      </c>
      <c r="B893" s="2009" t="s">
        <v>387</v>
      </c>
      <c r="C893" s="2003"/>
      <c r="D893" s="2003"/>
      <c r="E893" s="2003"/>
      <c r="F893" s="2003"/>
      <c r="G893" s="2882" t="str">
        <f>G892</f>
        <v>Each Sqm</v>
      </c>
      <c r="H893" s="2883"/>
      <c r="I893" s="1723">
        <f>K5575</f>
        <v>16.239999999999998</v>
      </c>
      <c r="J893" s="1721"/>
      <c r="K893" s="1721">
        <f>I893+J893</f>
        <v>16.239999999999998</v>
      </c>
      <c r="L893" s="2884">
        <f>ROUND(K893,1)</f>
        <v>16.2</v>
      </c>
      <c r="M893" s="2885"/>
      <c r="N893" s="2037"/>
      <c r="O893" s="2037"/>
      <c r="P893" s="2037"/>
      <c r="Q893" s="1725"/>
      <c r="R893" s="1725"/>
      <c r="S893" s="1725"/>
      <c r="T893" s="1725"/>
    </row>
    <row r="894" spans="1:20" s="175" customFormat="1" ht="13.5" hidden="1" customHeight="1">
      <c r="A894" s="2074" t="s">
        <v>432</v>
      </c>
      <c r="B894" s="2009" t="s">
        <v>3622</v>
      </c>
      <c r="C894" s="2003"/>
      <c r="D894" s="2003"/>
      <c r="E894" s="2003"/>
      <c r="F894" s="2003"/>
      <c r="G894" s="2882" t="str">
        <f t="shared" ref="G894:G895" si="163">G893</f>
        <v>Each Sqm</v>
      </c>
      <c r="H894" s="2883"/>
      <c r="I894" s="1723">
        <f>K5583</f>
        <v>16.499999999999996</v>
      </c>
      <c r="J894" s="1721"/>
      <c r="K894" s="1721">
        <f t="shared" ref="K894:K895" si="164">I894+J894</f>
        <v>16.499999999999996</v>
      </c>
      <c r="L894" s="2884">
        <f t="shared" ref="L894:L895" si="165">ROUND(K894,1)</f>
        <v>16.5</v>
      </c>
      <c r="M894" s="2885"/>
      <c r="N894" s="2037"/>
      <c r="O894" s="2037"/>
      <c r="P894" s="2037"/>
      <c r="Q894" s="1725"/>
      <c r="R894" s="1725"/>
      <c r="S894" s="1725"/>
      <c r="T894" s="1725"/>
    </row>
    <row r="895" spans="1:20" s="175" customFormat="1" ht="13.5" hidden="1" customHeight="1">
      <c r="A895" s="2074" t="s">
        <v>443</v>
      </c>
      <c r="B895" s="2009" t="s">
        <v>3636</v>
      </c>
      <c r="C895" s="2003"/>
      <c r="D895" s="2003"/>
      <c r="E895" s="2003"/>
      <c r="F895" s="2003"/>
      <c r="G895" s="2882" t="str">
        <f t="shared" si="163"/>
        <v>Each Sqm</v>
      </c>
      <c r="H895" s="2883"/>
      <c r="I895" s="1723">
        <f>K5591</f>
        <v>16.779999999999998</v>
      </c>
      <c r="J895" s="1721"/>
      <c r="K895" s="1721">
        <f t="shared" si="164"/>
        <v>16.779999999999998</v>
      </c>
      <c r="L895" s="2884">
        <f t="shared" si="165"/>
        <v>16.8</v>
      </c>
      <c r="M895" s="2885"/>
      <c r="N895" s="2037"/>
      <c r="O895" s="2037"/>
      <c r="P895" s="2037"/>
      <c r="Q895" s="1725"/>
      <c r="R895" s="1725"/>
      <c r="S895" s="1725"/>
      <c r="T895" s="1725"/>
    </row>
    <row r="896" spans="1:20" s="175" customFormat="1" ht="13.5" hidden="1" customHeight="1">
      <c r="A896" s="2073" t="s">
        <v>470</v>
      </c>
      <c r="B896" s="1828" t="s">
        <v>573</v>
      </c>
      <c r="C896" s="2003"/>
      <c r="D896" s="2003"/>
      <c r="E896" s="2003"/>
      <c r="F896" s="2003"/>
      <c r="G896" s="2882" t="s">
        <v>390</v>
      </c>
      <c r="H896" s="2883"/>
      <c r="I896" s="1723"/>
      <c r="J896" s="1721"/>
      <c r="K896" s="1721"/>
      <c r="L896" s="2006"/>
      <c r="M896" s="2007"/>
      <c r="N896" s="2037"/>
      <c r="O896" s="2037"/>
      <c r="P896" s="2037"/>
      <c r="Q896" s="1725"/>
      <c r="R896" s="1725"/>
      <c r="S896" s="1725"/>
      <c r="T896" s="1725"/>
    </row>
    <row r="897" spans="1:20" s="175" customFormat="1" ht="13.5" hidden="1" customHeight="1">
      <c r="A897" s="2074" t="s">
        <v>383</v>
      </c>
      <c r="B897" s="2009" t="s">
        <v>384</v>
      </c>
      <c r="C897" s="2003"/>
      <c r="D897" s="2003"/>
      <c r="E897" s="2003"/>
      <c r="F897" s="2003"/>
      <c r="G897" s="2882" t="str">
        <f>G896</f>
        <v>Each Sqm</v>
      </c>
      <c r="H897" s="2883"/>
      <c r="I897" s="1723">
        <f>K5593</f>
        <v>15.82</v>
      </c>
      <c r="J897" s="1721"/>
      <c r="K897" s="1721">
        <f>I897+J897</f>
        <v>15.82</v>
      </c>
      <c r="L897" s="2884">
        <f>ROUND(K897,1)</f>
        <v>15.8</v>
      </c>
      <c r="M897" s="2885"/>
      <c r="N897" s="2037"/>
      <c r="O897" s="2037"/>
      <c r="P897" s="2037"/>
      <c r="Q897" s="1725"/>
      <c r="R897" s="1725"/>
      <c r="S897" s="1725"/>
      <c r="T897" s="1725"/>
    </row>
    <row r="898" spans="1:20" s="175" customFormat="1" ht="13.5" hidden="1" customHeight="1">
      <c r="A898" s="2074" t="s">
        <v>386</v>
      </c>
      <c r="B898" s="2009" t="s">
        <v>387</v>
      </c>
      <c r="C898" s="2003"/>
      <c r="D898" s="2003"/>
      <c r="E898" s="2003"/>
      <c r="F898" s="2003"/>
      <c r="G898" s="2882" t="str">
        <f>G897</f>
        <v>Each Sqm</v>
      </c>
      <c r="H898" s="2883"/>
      <c r="I898" s="1723">
        <f>K5601</f>
        <v>16.400000000000002</v>
      </c>
      <c r="J898" s="1721"/>
      <c r="K898" s="1721">
        <f>I898+J898</f>
        <v>16.400000000000002</v>
      </c>
      <c r="L898" s="2884">
        <f>ROUND(K898,1)</f>
        <v>16.399999999999999</v>
      </c>
      <c r="M898" s="2885"/>
      <c r="N898" s="2037"/>
      <c r="O898" s="2037"/>
      <c r="P898" s="2037"/>
      <c r="Q898" s="1725"/>
      <c r="R898" s="1725"/>
      <c r="S898" s="1725"/>
      <c r="T898" s="1725"/>
    </row>
    <row r="899" spans="1:20" s="175" customFormat="1" ht="13.5" hidden="1" customHeight="1">
      <c r="A899" s="2074" t="s">
        <v>432</v>
      </c>
      <c r="B899" s="2009" t="s">
        <v>3622</v>
      </c>
      <c r="C899" s="2003"/>
      <c r="D899" s="2003"/>
      <c r="E899" s="2003"/>
      <c r="F899" s="2003"/>
      <c r="G899" s="2882" t="str">
        <f t="shared" ref="G899:G900" si="166">G898</f>
        <v>Each Sqm</v>
      </c>
      <c r="H899" s="2883"/>
      <c r="I899" s="1723">
        <f>K5609</f>
        <v>16.850000000000005</v>
      </c>
      <c r="J899" s="1721"/>
      <c r="K899" s="1721">
        <f t="shared" ref="K899:K900" si="167">I899+J899</f>
        <v>16.850000000000005</v>
      </c>
      <c r="L899" s="2884">
        <f t="shared" ref="L899:L900" si="168">ROUND(K899,1)</f>
        <v>16.899999999999999</v>
      </c>
      <c r="M899" s="2885"/>
      <c r="N899" s="2037"/>
      <c r="O899" s="2037"/>
      <c r="P899" s="2037"/>
      <c r="Q899" s="1725"/>
      <c r="R899" s="1725"/>
      <c r="S899" s="1725"/>
      <c r="T899" s="1725"/>
    </row>
    <row r="900" spans="1:20" s="175" customFormat="1" ht="13.5" hidden="1" customHeight="1">
      <c r="A900" s="2074" t="s">
        <v>443</v>
      </c>
      <c r="B900" s="2009" t="s">
        <v>3636</v>
      </c>
      <c r="C900" s="2003"/>
      <c r="D900" s="2003"/>
      <c r="E900" s="2003"/>
      <c r="F900" s="2003"/>
      <c r="G900" s="2882" t="str">
        <f t="shared" si="166"/>
        <v>Each Sqm</v>
      </c>
      <c r="H900" s="2883"/>
      <c r="I900" s="1723">
        <f>K5617</f>
        <v>17.310000000000006</v>
      </c>
      <c r="J900" s="1721"/>
      <c r="K900" s="1721">
        <f t="shared" si="167"/>
        <v>17.310000000000006</v>
      </c>
      <c r="L900" s="2884">
        <f t="shared" si="168"/>
        <v>17.3</v>
      </c>
      <c r="M900" s="2885"/>
      <c r="N900" s="2037"/>
      <c r="O900" s="2037"/>
      <c r="P900" s="2037"/>
      <c r="Q900" s="1725"/>
      <c r="R900" s="1725"/>
      <c r="S900" s="1725"/>
      <c r="T900" s="1725"/>
    </row>
    <row r="901" spans="1:20" s="175" customFormat="1" ht="13.5" customHeight="1">
      <c r="A901" s="1998">
        <f>A890+1</f>
        <v>115</v>
      </c>
      <c r="B901" s="1884" t="s">
        <v>3866</v>
      </c>
      <c r="C901" s="2003"/>
      <c r="D901" s="2003"/>
      <c r="E901" s="2003"/>
      <c r="F901" s="2003"/>
      <c r="G901" s="2882" t="s">
        <v>390</v>
      </c>
      <c r="H901" s="2883"/>
      <c r="I901" s="1723"/>
      <c r="J901" s="1721"/>
      <c r="K901" s="1721"/>
      <c r="L901" s="2884"/>
      <c r="M901" s="2885"/>
      <c r="N901" s="2037"/>
      <c r="O901" s="2037"/>
      <c r="P901" s="2037"/>
      <c r="Q901" s="1725" t="s">
        <v>574</v>
      </c>
      <c r="R901" s="1725"/>
      <c r="S901" s="1725"/>
      <c r="T901" s="1725"/>
    </row>
    <row r="902" spans="1:20" s="175" customFormat="1" ht="13.5" customHeight="1">
      <c r="A902" s="2073" t="s">
        <v>468</v>
      </c>
      <c r="B902" s="1828" t="s">
        <v>572</v>
      </c>
      <c r="C902" s="2003"/>
      <c r="D902" s="2003"/>
      <c r="E902" s="2003"/>
      <c r="F902" s="2003"/>
      <c r="G902" s="2882" t="s">
        <v>390</v>
      </c>
      <c r="H902" s="2883"/>
      <c r="I902" s="1723"/>
      <c r="J902" s="1721"/>
      <c r="K902" s="1721"/>
      <c r="L902" s="2006"/>
      <c r="M902" s="2007"/>
      <c r="N902" s="2037"/>
      <c r="O902" s="2037"/>
      <c r="P902" s="2037"/>
      <c r="Q902" s="1725"/>
      <c r="R902" s="1725"/>
      <c r="S902" s="1725"/>
      <c r="T902" s="1725"/>
    </row>
    <row r="903" spans="1:20" s="175" customFormat="1" ht="13.5" customHeight="1">
      <c r="A903" s="2074" t="s">
        <v>383</v>
      </c>
      <c r="B903" s="2009" t="s">
        <v>384</v>
      </c>
      <c r="C903" s="2003"/>
      <c r="D903" s="2003"/>
      <c r="E903" s="2003"/>
      <c r="F903" s="2003"/>
      <c r="G903" s="2882" t="str">
        <f>G902</f>
        <v>Each Sqm</v>
      </c>
      <c r="H903" s="2883"/>
      <c r="I903" s="1723">
        <f>K5636</f>
        <v>64.33</v>
      </c>
      <c r="J903" s="1721"/>
      <c r="K903" s="1721">
        <f>I903+J903</f>
        <v>64.33</v>
      </c>
      <c r="L903" s="2884">
        <f>ROUND(K903,1)</f>
        <v>64.3</v>
      </c>
      <c r="M903" s="2885"/>
      <c r="N903" s="2037"/>
      <c r="O903" s="2037"/>
      <c r="P903" s="2037"/>
      <c r="Q903" s="1725"/>
      <c r="R903" s="1725"/>
      <c r="S903" s="1725"/>
      <c r="T903" s="1725"/>
    </row>
    <row r="904" spans="1:20" s="175" customFormat="1" ht="13.5" hidden="1" customHeight="1">
      <c r="A904" s="2074" t="s">
        <v>386</v>
      </c>
      <c r="B904" s="2009" t="s">
        <v>387</v>
      </c>
      <c r="C904" s="2003"/>
      <c r="D904" s="2003"/>
      <c r="E904" s="2003"/>
      <c r="F904" s="2003"/>
      <c r="G904" s="2882" t="str">
        <f>G903</f>
        <v>Each Sqm</v>
      </c>
      <c r="H904" s="2883"/>
      <c r="I904" s="1723">
        <f>K5644</f>
        <v>65.889999999999986</v>
      </c>
      <c r="J904" s="1721"/>
      <c r="K904" s="1721">
        <f>I904+J904</f>
        <v>65.889999999999986</v>
      </c>
      <c r="L904" s="2884">
        <f>ROUND(K904,1)</f>
        <v>65.900000000000006</v>
      </c>
      <c r="M904" s="2885"/>
      <c r="N904" s="2037"/>
      <c r="O904" s="2037"/>
      <c r="P904" s="2037"/>
      <c r="Q904" s="1725"/>
      <c r="R904" s="1725"/>
      <c r="S904" s="1725"/>
      <c r="T904" s="1725"/>
    </row>
    <row r="905" spans="1:20" s="175" customFormat="1" ht="13.5" hidden="1" customHeight="1">
      <c r="A905" s="2074" t="s">
        <v>432</v>
      </c>
      <c r="B905" s="2009" t="s">
        <v>3622</v>
      </c>
      <c r="C905" s="2003"/>
      <c r="D905" s="2003"/>
      <c r="E905" s="2003"/>
      <c r="F905" s="2003"/>
      <c r="G905" s="2882" t="str">
        <f t="shared" ref="G905:G906" si="169">G904</f>
        <v>Each Sqm</v>
      </c>
      <c r="H905" s="2883"/>
      <c r="I905" s="1723">
        <f>K5652</f>
        <v>67.529999999999987</v>
      </c>
      <c r="J905" s="1721"/>
      <c r="K905" s="1721">
        <f t="shared" ref="K905:K906" si="170">I905+J905</f>
        <v>67.529999999999987</v>
      </c>
      <c r="L905" s="2884">
        <f t="shared" ref="L905:L906" si="171">ROUND(K905,1)</f>
        <v>67.5</v>
      </c>
      <c r="M905" s="2885"/>
      <c r="N905" s="2037"/>
      <c r="O905" s="2037"/>
      <c r="P905" s="2037"/>
      <c r="Q905" s="1725"/>
      <c r="R905" s="1725"/>
      <c r="S905" s="1725"/>
      <c r="T905" s="1725"/>
    </row>
    <row r="906" spans="1:20" s="175" customFormat="1" ht="13.5" hidden="1" customHeight="1">
      <c r="A906" s="2074" t="s">
        <v>443</v>
      </c>
      <c r="B906" s="2009" t="s">
        <v>3636</v>
      </c>
      <c r="C906" s="2003"/>
      <c r="D906" s="2003"/>
      <c r="E906" s="2003"/>
      <c r="F906" s="2003"/>
      <c r="G906" s="2882" t="str">
        <f t="shared" si="169"/>
        <v>Each Sqm</v>
      </c>
      <c r="H906" s="2883"/>
      <c r="I906" s="1723">
        <f>K5660</f>
        <v>69.20999999999998</v>
      </c>
      <c r="J906" s="1721"/>
      <c r="K906" s="1721">
        <f t="shared" si="170"/>
        <v>69.20999999999998</v>
      </c>
      <c r="L906" s="2884">
        <f t="shared" si="171"/>
        <v>69.2</v>
      </c>
      <c r="M906" s="2885"/>
      <c r="N906" s="2037"/>
      <c r="O906" s="2037"/>
      <c r="P906" s="2037"/>
      <c r="Q906" s="1725"/>
      <c r="R906" s="1725"/>
      <c r="S906" s="1725"/>
      <c r="T906" s="1725"/>
    </row>
    <row r="907" spans="1:20" s="175" customFormat="1" ht="13.5" hidden="1" customHeight="1">
      <c r="A907" s="2073" t="s">
        <v>470</v>
      </c>
      <c r="B907" s="1828" t="s">
        <v>573</v>
      </c>
      <c r="C907" s="2003"/>
      <c r="D907" s="2003"/>
      <c r="E907" s="2003"/>
      <c r="F907" s="2003"/>
      <c r="G907" s="2882" t="s">
        <v>390</v>
      </c>
      <c r="H907" s="2883"/>
      <c r="I907" s="1723"/>
      <c r="J907" s="1721"/>
      <c r="K907" s="1721"/>
      <c r="L907" s="2006"/>
      <c r="M907" s="2007"/>
      <c r="N907" s="2037"/>
      <c r="O907" s="2037"/>
      <c r="P907" s="2037"/>
      <c r="Q907" s="1725"/>
      <c r="R907" s="1725"/>
      <c r="S907" s="1725"/>
      <c r="T907" s="1725"/>
    </row>
    <row r="908" spans="1:20" s="175" customFormat="1" ht="13.5" hidden="1" customHeight="1">
      <c r="A908" s="2074" t="s">
        <v>383</v>
      </c>
      <c r="B908" s="2009" t="s">
        <v>384</v>
      </c>
      <c r="C908" s="2003"/>
      <c r="D908" s="2003"/>
      <c r="E908" s="2003"/>
      <c r="F908" s="2003"/>
      <c r="G908" s="2882" t="str">
        <f>G907</f>
        <v>Each Sqm</v>
      </c>
      <c r="H908" s="2883"/>
      <c r="I908" s="1723">
        <f>K5662</f>
        <v>63.69</v>
      </c>
      <c r="J908" s="1721"/>
      <c r="K908" s="1721">
        <f>I908+J908</f>
        <v>63.69</v>
      </c>
      <c r="L908" s="2884">
        <f>ROUND(K908,1)</f>
        <v>63.7</v>
      </c>
      <c r="M908" s="2885"/>
      <c r="N908" s="2037"/>
      <c r="O908" s="2037"/>
      <c r="P908" s="2037"/>
      <c r="Q908" s="1725"/>
      <c r="R908" s="1725"/>
      <c r="S908" s="1725"/>
      <c r="T908" s="1725"/>
    </row>
    <row r="909" spans="1:20" s="175" customFormat="1" ht="13.5" hidden="1" customHeight="1">
      <c r="A909" s="2074" t="s">
        <v>386</v>
      </c>
      <c r="B909" s="2009" t="s">
        <v>387</v>
      </c>
      <c r="C909" s="2003"/>
      <c r="D909" s="2003"/>
      <c r="E909" s="2003"/>
      <c r="F909" s="2003"/>
      <c r="G909" s="2882" t="str">
        <f>G908</f>
        <v>Each Sqm</v>
      </c>
      <c r="H909" s="2883"/>
      <c r="I909" s="1723">
        <f>K5670</f>
        <v>66.95</v>
      </c>
      <c r="J909" s="1721"/>
      <c r="K909" s="1721">
        <f>I909+J909</f>
        <v>66.95</v>
      </c>
      <c r="L909" s="2884">
        <f>ROUND(K909,1)</f>
        <v>67</v>
      </c>
      <c r="M909" s="2885"/>
      <c r="N909" s="2037"/>
      <c r="O909" s="2037"/>
      <c r="P909" s="2037"/>
      <c r="Q909" s="1725"/>
      <c r="R909" s="1725"/>
      <c r="S909" s="1725"/>
      <c r="T909" s="1725"/>
    </row>
    <row r="910" spans="1:20" s="175" customFormat="1" ht="13.5" hidden="1" customHeight="1">
      <c r="A910" s="2074" t="s">
        <v>432</v>
      </c>
      <c r="B910" s="2009" t="s">
        <v>3622</v>
      </c>
      <c r="C910" s="2003"/>
      <c r="D910" s="2003"/>
      <c r="E910" s="2003"/>
      <c r="F910" s="2003"/>
      <c r="G910" s="2882" t="str">
        <f t="shared" ref="G910:G911" si="172">G909</f>
        <v>Each Sqm</v>
      </c>
      <c r="H910" s="2883"/>
      <c r="I910" s="1723">
        <f>K5678</f>
        <v>69.710000000000022</v>
      </c>
      <c r="J910" s="1721"/>
      <c r="K910" s="1721">
        <f t="shared" ref="K910:K911" si="173">I910+J910</f>
        <v>69.710000000000022</v>
      </c>
      <c r="L910" s="2884">
        <f t="shared" ref="L910:L911" si="174">ROUND(K910,1)</f>
        <v>69.7</v>
      </c>
      <c r="M910" s="2885"/>
      <c r="N910" s="2037"/>
      <c r="O910" s="2037"/>
      <c r="P910" s="2037"/>
      <c r="Q910" s="1725"/>
      <c r="R910" s="1725"/>
      <c r="S910" s="1725"/>
      <c r="T910" s="1725"/>
    </row>
    <row r="911" spans="1:20" s="175" customFormat="1" ht="13.5" hidden="1" customHeight="1">
      <c r="A911" s="2074" t="s">
        <v>443</v>
      </c>
      <c r="B911" s="2009" t="s">
        <v>3636</v>
      </c>
      <c r="C911" s="2003"/>
      <c r="D911" s="2003"/>
      <c r="E911" s="2003"/>
      <c r="F911" s="2003"/>
      <c r="G911" s="2882" t="str">
        <f t="shared" si="172"/>
        <v>Each Sqm</v>
      </c>
      <c r="H911" s="2883"/>
      <c r="I911" s="1723">
        <f>K5686</f>
        <v>72.610000000000014</v>
      </c>
      <c r="J911" s="1721"/>
      <c r="K911" s="1721">
        <f t="shared" si="173"/>
        <v>72.610000000000014</v>
      </c>
      <c r="L911" s="2884">
        <f t="shared" si="174"/>
        <v>72.599999999999994</v>
      </c>
      <c r="M911" s="2885"/>
      <c r="N911" s="2037"/>
      <c r="O911" s="2037"/>
      <c r="P911" s="2037"/>
      <c r="Q911" s="1725"/>
      <c r="R911" s="1725"/>
      <c r="S911" s="1725"/>
      <c r="T911" s="1725"/>
    </row>
    <row r="912" spans="1:20" s="175" customFormat="1" ht="13.5" hidden="1" customHeight="1">
      <c r="A912" s="1998">
        <f>A901+1</f>
        <v>116</v>
      </c>
      <c r="B912" s="1884" t="s">
        <v>3867</v>
      </c>
      <c r="C912" s="2003"/>
      <c r="D912" s="2003"/>
      <c r="E912" s="2003"/>
      <c r="F912" s="2003"/>
      <c r="G912" s="2882" t="s">
        <v>390</v>
      </c>
      <c r="H912" s="2883"/>
      <c r="I912" s="1723"/>
      <c r="J912" s="1721"/>
      <c r="K912" s="1721"/>
      <c r="L912" s="2884"/>
      <c r="M912" s="2885"/>
      <c r="N912" s="2037"/>
      <c r="O912" s="1735" t="s">
        <v>576</v>
      </c>
      <c r="P912" s="2037"/>
      <c r="Q912" s="1725" t="s">
        <v>575</v>
      </c>
      <c r="S912" s="1725"/>
      <c r="T912" s="1725"/>
    </row>
    <row r="913" spans="1:20" s="175" customFormat="1" ht="13.5" hidden="1" customHeight="1">
      <c r="A913" s="2073" t="s">
        <v>468</v>
      </c>
      <c r="B913" s="1828" t="s">
        <v>572</v>
      </c>
      <c r="C913" s="2003"/>
      <c r="D913" s="2003"/>
      <c r="E913" s="2003"/>
      <c r="F913" s="2003"/>
      <c r="G913" s="2882" t="s">
        <v>390</v>
      </c>
      <c r="H913" s="2883"/>
      <c r="I913" s="1723"/>
      <c r="J913" s="1721"/>
      <c r="K913" s="1721"/>
      <c r="L913" s="2006"/>
      <c r="M913" s="2007"/>
      <c r="N913" s="2037"/>
      <c r="O913" s="1725"/>
      <c r="P913" s="2037"/>
      <c r="Q913" s="1725"/>
      <c r="S913" s="1725"/>
      <c r="T913" s="1725"/>
    </row>
    <row r="914" spans="1:20" s="175" customFormat="1" ht="13.5" hidden="1" customHeight="1">
      <c r="A914" s="2074" t="s">
        <v>383</v>
      </c>
      <c r="B914" s="2009" t="s">
        <v>384</v>
      </c>
      <c r="C914" s="2003"/>
      <c r="D914" s="2003"/>
      <c r="E914" s="2003"/>
      <c r="F914" s="2003"/>
      <c r="G914" s="2882" t="str">
        <f>G913</f>
        <v>Each Sqm</v>
      </c>
      <c r="H914" s="2883"/>
      <c r="I914" s="1723">
        <f>K5705</f>
        <v>26.750000000000004</v>
      </c>
      <c r="J914" s="1721"/>
      <c r="K914" s="1721">
        <f>I914+J914</f>
        <v>26.750000000000004</v>
      </c>
      <c r="L914" s="2884">
        <f>ROUND(K914,1)</f>
        <v>26.8</v>
      </c>
      <c r="M914" s="2885"/>
      <c r="N914" s="2037"/>
      <c r="O914" s="1725"/>
      <c r="P914" s="2037"/>
      <c r="Q914" s="1725"/>
      <c r="S914" s="1725"/>
      <c r="T914" s="1725"/>
    </row>
    <row r="915" spans="1:20" s="175" customFormat="1" ht="13.5" hidden="1" customHeight="1">
      <c r="A915" s="2074" t="s">
        <v>386</v>
      </c>
      <c r="B915" s="2009" t="s">
        <v>387</v>
      </c>
      <c r="C915" s="2003"/>
      <c r="D915" s="2003"/>
      <c r="E915" s="2003"/>
      <c r="F915" s="2003"/>
      <c r="G915" s="2882" t="str">
        <f>G914</f>
        <v>Each Sqm</v>
      </c>
      <c r="H915" s="2883"/>
      <c r="I915" s="1723">
        <f>K5713</f>
        <v>27.270000000000003</v>
      </c>
      <c r="J915" s="1721"/>
      <c r="K915" s="1721">
        <f>I915+J915</f>
        <v>27.270000000000003</v>
      </c>
      <c r="L915" s="2884">
        <f>ROUND(K915,1)</f>
        <v>27.3</v>
      </c>
      <c r="M915" s="2885"/>
      <c r="N915" s="2037"/>
      <c r="O915" s="1725"/>
      <c r="P915" s="2037"/>
      <c r="Q915" s="1725"/>
      <c r="S915" s="1725"/>
      <c r="T915" s="1725"/>
    </row>
    <row r="916" spans="1:20" s="175" customFormat="1" ht="13.5" hidden="1" customHeight="1">
      <c r="A916" s="2074" t="s">
        <v>432</v>
      </c>
      <c r="B916" s="2009" t="s">
        <v>3622</v>
      </c>
      <c r="C916" s="2003"/>
      <c r="D916" s="2003"/>
      <c r="E916" s="2003"/>
      <c r="F916" s="2003"/>
      <c r="G916" s="2882" t="str">
        <f t="shared" ref="G916:G917" si="175">G915</f>
        <v>Each Sqm</v>
      </c>
      <c r="H916" s="2883"/>
      <c r="I916" s="1723">
        <f>K5721</f>
        <v>27.800000000000008</v>
      </c>
      <c r="J916" s="1721"/>
      <c r="K916" s="1721">
        <f t="shared" ref="K916:K917" si="176">I916+J916</f>
        <v>27.800000000000008</v>
      </c>
      <c r="L916" s="2884">
        <f t="shared" ref="L916:L917" si="177">ROUND(K916,1)</f>
        <v>27.8</v>
      </c>
      <c r="M916" s="2885"/>
      <c r="N916" s="2037"/>
      <c r="O916" s="2037"/>
      <c r="P916" s="2037"/>
      <c r="Q916" s="1725"/>
      <c r="R916" s="1725"/>
      <c r="S916" s="1725"/>
      <c r="T916" s="1725"/>
    </row>
    <row r="917" spans="1:20" s="175" customFormat="1" ht="13.5" hidden="1" customHeight="1">
      <c r="A917" s="2074" t="s">
        <v>443</v>
      </c>
      <c r="B917" s="2009" t="s">
        <v>3636</v>
      </c>
      <c r="C917" s="2003"/>
      <c r="D917" s="2003"/>
      <c r="E917" s="2003"/>
      <c r="F917" s="2003"/>
      <c r="G917" s="2882" t="str">
        <f t="shared" si="175"/>
        <v>Each Sqm</v>
      </c>
      <c r="H917" s="2883"/>
      <c r="I917" s="1723">
        <f>K5729</f>
        <v>28.360000000000007</v>
      </c>
      <c r="J917" s="1721"/>
      <c r="K917" s="1721">
        <f t="shared" si="176"/>
        <v>28.360000000000007</v>
      </c>
      <c r="L917" s="2884">
        <f t="shared" si="177"/>
        <v>28.4</v>
      </c>
      <c r="M917" s="2885"/>
      <c r="N917" s="2037"/>
      <c r="O917" s="2037"/>
      <c r="P917" s="2037"/>
      <c r="Q917" s="1725"/>
      <c r="R917" s="1725"/>
      <c r="S917" s="1725"/>
      <c r="T917" s="1725"/>
    </row>
    <row r="918" spans="1:20" s="175" customFormat="1" ht="13.5" hidden="1" customHeight="1">
      <c r="A918" s="2073" t="s">
        <v>470</v>
      </c>
      <c r="B918" s="1828" t="s">
        <v>573</v>
      </c>
      <c r="C918" s="2003"/>
      <c r="D918" s="2003"/>
      <c r="E918" s="2003"/>
      <c r="F918" s="2003"/>
      <c r="G918" s="2882" t="s">
        <v>390</v>
      </c>
      <c r="H918" s="2883"/>
      <c r="I918" s="1723"/>
      <c r="J918" s="1721"/>
      <c r="K918" s="1721"/>
      <c r="L918" s="2006"/>
      <c r="M918" s="2007"/>
      <c r="N918" s="2037"/>
      <c r="O918" s="1725"/>
      <c r="P918" s="2037"/>
      <c r="Q918" s="1725"/>
      <c r="S918" s="1725"/>
      <c r="T918" s="1725"/>
    </row>
    <row r="919" spans="1:20" s="175" customFormat="1" ht="13.5" hidden="1" customHeight="1">
      <c r="A919" s="2074" t="s">
        <v>383</v>
      </c>
      <c r="B919" s="2009" t="s">
        <v>384</v>
      </c>
      <c r="C919" s="2003"/>
      <c r="D919" s="2003"/>
      <c r="E919" s="2003"/>
      <c r="F919" s="2003"/>
      <c r="G919" s="2882" t="str">
        <f>G918</f>
        <v>Each Sqm</v>
      </c>
      <c r="H919" s="2883"/>
      <c r="I919" s="1723">
        <f>K5731</f>
        <v>26.490000000000002</v>
      </c>
      <c r="J919" s="1721"/>
      <c r="K919" s="1721">
        <f>I919+J919</f>
        <v>26.490000000000002</v>
      </c>
      <c r="L919" s="2884">
        <f>ROUND(K919,1)</f>
        <v>26.5</v>
      </c>
      <c r="M919" s="2885"/>
      <c r="N919" s="2037"/>
      <c r="O919" s="1725"/>
      <c r="P919" s="2037"/>
      <c r="Q919" s="1725"/>
      <c r="S919" s="1725"/>
      <c r="T919" s="1725"/>
    </row>
    <row r="920" spans="1:20" s="175" customFormat="1" ht="13.5" hidden="1" customHeight="1">
      <c r="A920" s="2074" t="s">
        <v>386</v>
      </c>
      <c r="B920" s="2009" t="s">
        <v>387</v>
      </c>
      <c r="C920" s="2003"/>
      <c r="D920" s="2003"/>
      <c r="E920" s="2003"/>
      <c r="F920" s="2003"/>
      <c r="G920" s="2882" t="str">
        <f>G919</f>
        <v>Each Sqm</v>
      </c>
      <c r="H920" s="2883"/>
      <c r="I920" s="1723">
        <f>K5739</f>
        <v>35.730000000000011</v>
      </c>
      <c r="J920" s="1721"/>
      <c r="K920" s="1721">
        <f>I920+J920</f>
        <v>35.730000000000011</v>
      </c>
      <c r="L920" s="2884">
        <f>ROUND(K920,1)</f>
        <v>35.700000000000003</v>
      </c>
      <c r="M920" s="2885"/>
      <c r="N920" s="2037"/>
      <c r="O920" s="1725"/>
      <c r="P920" s="2037"/>
      <c r="Q920" s="1725"/>
      <c r="S920" s="1725"/>
      <c r="T920" s="1725"/>
    </row>
    <row r="921" spans="1:20" s="175" customFormat="1" ht="13.5" hidden="1" customHeight="1">
      <c r="A921" s="2074" t="s">
        <v>432</v>
      </c>
      <c r="B921" s="2009" t="s">
        <v>3622</v>
      </c>
      <c r="C921" s="2003"/>
      <c r="D921" s="2003"/>
      <c r="E921" s="2003"/>
      <c r="F921" s="2003"/>
      <c r="G921" s="2882" t="str">
        <f t="shared" ref="G921:G922" si="178">G920</f>
        <v>Each Sqm</v>
      </c>
      <c r="H921" s="2883"/>
      <c r="I921" s="1723">
        <f>K5747</f>
        <v>36.690000000000012</v>
      </c>
      <c r="J921" s="1721"/>
      <c r="K921" s="1721">
        <f t="shared" ref="K921:K922" si="179">I921+J921</f>
        <v>36.690000000000012</v>
      </c>
      <c r="L921" s="2884">
        <f t="shared" ref="L921:L922" si="180">ROUND(K921,1)</f>
        <v>36.700000000000003</v>
      </c>
      <c r="M921" s="2885"/>
      <c r="N921" s="2037"/>
      <c r="O921" s="2037"/>
      <c r="P921" s="2037"/>
      <c r="Q921" s="1725"/>
      <c r="R921" s="1725"/>
      <c r="S921" s="1725"/>
      <c r="T921" s="1725"/>
    </row>
    <row r="922" spans="1:20" s="175" customFormat="1" ht="13.5" hidden="1" customHeight="1">
      <c r="A922" s="2074" t="s">
        <v>443</v>
      </c>
      <c r="B922" s="2009" t="s">
        <v>3636</v>
      </c>
      <c r="C922" s="2003"/>
      <c r="D922" s="2003"/>
      <c r="E922" s="2003"/>
      <c r="F922" s="2003"/>
      <c r="G922" s="2882" t="str">
        <f t="shared" si="178"/>
        <v>Each Sqm</v>
      </c>
      <c r="H922" s="2883"/>
      <c r="I922" s="1723">
        <f>K5755</f>
        <v>37.69</v>
      </c>
      <c r="J922" s="1721"/>
      <c r="K922" s="1721">
        <f t="shared" si="179"/>
        <v>37.69</v>
      </c>
      <c r="L922" s="2884">
        <f t="shared" si="180"/>
        <v>37.700000000000003</v>
      </c>
      <c r="M922" s="2885"/>
      <c r="N922" s="2037"/>
      <c r="O922" s="2037"/>
      <c r="P922" s="2037"/>
      <c r="Q922" s="1725"/>
      <c r="R922" s="1725"/>
      <c r="S922" s="1725"/>
      <c r="T922" s="1725"/>
    </row>
    <row r="923" spans="1:20" s="1741" customFormat="1" ht="13.5" customHeight="1">
      <c r="A923" s="1998">
        <f>A912+1</f>
        <v>117</v>
      </c>
      <c r="B923" s="2010" t="s">
        <v>3868</v>
      </c>
      <c r="C923" s="2002"/>
      <c r="D923" s="2002"/>
      <c r="E923" s="2002"/>
      <c r="F923" s="1736"/>
      <c r="G923" s="2882" t="s">
        <v>390</v>
      </c>
      <c r="H923" s="2883"/>
      <c r="I923" s="1723"/>
      <c r="J923" s="1721"/>
      <c r="K923" s="1721"/>
      <c r="L923" s="2884"/>
      <c r="M923" s="2885"/>
      <c r="O923" s="1735" t="s">
        <v>576</v>
      </c>
      <c r="Q923" s="1735" t="s">
        <v>577</v>
      </c>
      <c r="T923" s="1706"/>
    </row>
    <row r="924" spans="1:20" s="175" customFormat="1" ht="13.5" customHeight="1">
      <c r="A924" s="1998" t="s">
        <v>468</v>
      </c>
      <c r="B924" s="1828" t="s">
        <v>572</v>
      </c>
      <c r="C924" s="2003"/>
      <c r="D924" s="2003"/>
      <c r="E924" s="2003"/>
      <c r="F924" s="2003"/>
      <c r="G924" s="2882" t="s">
        <v>390</v>
      </c>
      <c r="H924" s="2883"/>
      <c r="I924" s="1723"/>
      <c r="J924" s="1721"/>
      <c r="K924" s="1721"/>
      <c r="L924" s="2006"/>
      <c r="M924" s="2007"/>
      <c r="N924" s="2037"/>
      <c r="O924" s="2037"/>
      <c r="P924" s="2037"/>
      <c r="Q924" s="1725"/>
      <c r="R924" s="1725"/>
      <c r="S924" s="1725"/>
      <c r="T924" s="1725"/>
    </row>
    <row r="925" spans="1:20" s="175" customFormat="1" ht="13.5" customHeight="1">
      <c r="A925" s="2074" t="s">
        <v>383</v>
      </c>
      <c r="B925" s="2009" t="s">
        <v>384</v>
      </c>
      <c r="C925" s="2003"/>
      <c r="D925" s="2003"/>
      <c r="E925" s="2003"/>
      <c r="F925" s="2003"/>
      <c r="G925" s="2882" t="str">
        <f>G924</f>
        <v>Each Sqm</v>
      </c>
      <c r="H925" s="2883"/>
      <c r="I925" s="1723">
        <f>K5774</f>
        <v>39.479999999999997</v>
      </c>
      <c r="J925" s="1721"/>
      <c r="K925" s="1721">
        <f>I925+J925</f>
        <v>39.479999999999997</v>
      </c>
      <c r="L925" s="2884">
        <f>ROUND(K925,1)</f>
        <v>39.5</v>
      </c>
      <c r="M925" s="2885"/>
      <c r="N925" s="2037"/>
      <c r="O925" s="2037"/>
      <c r="P925" s="2037"/>
      <c r="Q925" s="1725"/>
      <c r="R925" s="1725"/>
      <c r="S925" s="1725"/>
      <c r="T925" s="1725"/>
    </row>
    <row r="926" spans="1:20" s="175" customFormat="1" ht="13.5" hidden="1" customHeight="1">
      <c r="A926" s="2074" t="s">
        <v>386</v>
      </c>
      <c r="B926" s="2009" t="s">
        <v>387</v>
      </c>
      <c r="C926" s="2003"/>
      <c r="D926" s="2003"/>
      <c r="E926" s="2003"/>
      <c r="F926" s="2003"/>
      <c r="G926" s="2882" t="str">
        <f>G925</f>
        <v>Each Sqm</v>
      </c>
      <c r="H926" s="2883"/>
      <c r="I926" s="1723">
        <f>K5782</f>
        <v>40.249999999999986</v>
      </c>
      <c r="J926" s="1721"/>
      <c r="K926" s="1721">
        <f>I926+J926</f>
        <v>40.249999999999986</v>
      </c>
      <c r="L926" s="2884">
        <f>ROUND(K926,1)</f>
        <v>40.299999999999997</v>
      </c>
      <c r="M926" s="2885"/>
      <c r="N926" s="2037"/>
      <c r="O926" s="2037"/>
      <c r="P926" s="2037"/>
      <c r="Q926" s="1725"/>
      <c r="R926" s="1725"/>
      <c r="S926" s="1725"/>
      <c r="T926" s="1725"/>
    </row>
    <row r="927" spans="1:20" s="175" customFormat="1" ht="13.5" hidden="1" customHeight="1">
      <c r="A927" s="2074" t="s">
        <v>432</v>
      </c>
      <c r="B927" s="2009" t="s">
        <v>3622</v>
      </c>
      <c r="C927" s="2003"/>
      <c r="D927" s="2003"/>
      <c r="E927" s="2003"/>
      <c r="F927" s="2003"/>
      <c r="G927" s="2882" t="str">
        <f t="shared" ref="G927:G928" si="181">G926</f>
        <v>Each Sqm</v>
      </c>
      <c r="H927" s="2883"/>
      <c r="I927" s="1723">
        <f>K5790</f>
        <v>41.039999999999978</v>
      </c>
      <c r="J927" s="1721"/>
      <c r="K927" s="1721">
        <f t="shared" ref="K927:K928" si="182">I927+J927</f>
        <v>41.039999999999978</v>
      </c>
      <c r="L927" s="2884">
        <f t="shared" ref="L927:L928" si="183">ROUND(K927,1)</f>
        <v>41</v>
      </c>
      <c r="M927" s="2885"/>
      <c r="N927" s="2037"/>
      <c r="O927" s="2037"/>
      <c r="P927" s="2037"/>
      <c r="Q927" s="1725"/>
      <c r="R927" s="1725"/>
      <c r="S927" s="1725"/>
      <c r="T927" s="1725"/>
    </row>
    <row r="928" spans="1:20" s="175" customFormat="1" ht="13.5" hidden="1" customHeight="1">
      <c r="A928" s="2074" t="s">
        <v>443</v>
      </c>
      <c r="B928" s="2009" t="s">
        <v>3636</v>
      </c>
      <c r="C928" s="2003"/>
      <c r="D928" s="2003"/>
      <c r="E928" s="2003"/>
      <c r="F928" s="2003"/>
      <c r="G928" s="2882" t="str">
        <f t="shared" si="181"/>
        <v>Each Sqm</v>
      </c>
      <c r="H928" s="2883"/>
      <c r="I928" s="1723">
        <f>K5798</f>
        <v>41.839999999999975</v>
      </c>
      <c r="J928" s="1721"/>
      <c r="K928" s="1721">
        <f t="shared" si="182"/>
        <v>41.839999999999975</v>
      </c>
      <c r="L928" s="2884">
        <f t="shared" si="183"/>
        <v>41.8</v>
      </c>
      <c r="M928" s="2885"/>
      <c r="N928" s="2037"/>
      <c r="O928" s="2037"/>
      <c r="P928" s="2037"/>
      <c r="Q928" s="1725"/>
      <c r="R928" s="1725"/>
      <c r="S928" s="1725"/>
      <c r="T928" s="1725"/>
    </row>
    <row r="929" spans="1:20" s="175" customFormat="1" ht="13.5" hidden="1" customHeight="1">
      <c r="A929" s="1998" t="s">
        <v>470</v>
      </c>
      <c r="B929" s="1828" t="s">
        <v>573</v>
      </c>
      <c r="C929" s="2003"/>
      <c r="D929" s="2003"/>
      <c r="E929" s="2003"/>
      <c r="F929" s="2003"/>
      <c r="G929" s="2882" t="s">
        <v>390</v>
      </c>
      <c r="H929" s="2883"/>
      <c r="I929" s="1723"/>
      <c r="J929" s="1721"/>
      <c r="K929" s="1721"/>
      <c r="L929" s="2006"/>
      <c r="M929" s="2007"/>
      <c r="N929" s="2037"/>
      <c r="O929" s="2037"/>
      <c r="P929" s="2037"/>
      <c r="Q929" s="1725"/>
      <c r="R929" s="1725"/>
      <c r="S929" s="1725"/>
      <c r="T929" s="1725"/>
    </row>
    <row r="930" spans="1:20" s="175" customFormat="1" ht="13.5" hidden="1" customHeight="1">
      <c r="A930" s="2074" t="s">
        <v>383</v>
      </c>
      <c r="B930" s="2009" t="s">
        <v>384</v>
      </c>
      <c r="C930" s="2003"/>
      <c r="D930" s="2003"/>
      <c r="E930" s="2003"/>
      <c r="F930" s="2003"/>
      <c r="G930" s="2882" t="str">
        <f>G929</f>
        <v>Each Sqm</v>
      </c>
      <c r="H930" s="2883"/>
      <c r="I930" s="1723">
        <f>K5800</f>
        <v>39.089999999999996</v>
      </c>
      <c r="J930" s="1721"/>
      <c r="K930" s="1721">
        <f>I930+J930</f>
        <v>39.089999999999996</v>
      </c>
      <c r="L930" s="2884">
        <f>ROUND(K930,1)</f>
        <v>39.1</v>
      </c>
      <c r="M930" s="2885"/>
      <c r="N930" s="2037"/>
      <c r="O930" s="2037"/>
      <c r="P930" s="2037"/>
      <c r="Q930" s="1725"/>
      <c r="R930" s="1725"/>
      <c r="S930" s="1725"/>
      <c r="T930" s="1725"/>
    </row>
    <row r="931" spans="1:20" s="175" customFormat="1" ht="13.5" hidden="1" customHeight="1">
      <c r="A931" s="2074" t="s">
        <v>386</v>
      </c>
      <c r="B931" s="2009" t="s">
        <v>387</v>
      </c>
      <c r="C931" s="2003"/>
      <c r="D931" s="2003"/>
      <c r="E931" s="2003"/>
      <c r="F931" s="2003"/>
      <c r="G931" s="2882" t="str">
        <f>G930</f>
        <v>Each Sqm</v>
      </c>
      <c r="H931" s="2883"/>
      <c r="I931" s="1723">
        <f>K5808</f>
        <v>40.749999999999993</v>
      </c>
      <c r="J931" s="1721"/>
      <c r="K931" s="1721">
        <f>I931+J931</f>
        <v>40.749999999999993</v>
      </c>
      <c r="L931" s="2884">
        <f>ROUND(K931,1)</f>
        <v>40.799999999999997</v>
      </c>
      <c r="M931" s="2885"/>
      <c r="N931" s="2037"/>
      <c r="O931" s="2037"/>
      <c r="P931" s="2037"/>
      <c r="Q931" s="1725"/>
      <c r="R931" s="1725"/>
      <c r="S931" s="1725"/>
      <c r="T931" s="1725"/>
    </row>
    <row r="932" spans="1:20" s="175" customFormat="1" ht="13.5" hidden="1" customHeight="1">
      <c r="A932" s="2074" t="s">
        <v>432</v>
      </c>
      <c r="B932" s="2009" t="s">
        <v>3622</v>
      </c>
      <c r="C932" s="2003"/>
      <c r="D932" s="2003"/>
      <c r="E932" s="2003"/>
      <c r="F932" s="2003"/>
      <c r="G932" s="2882" t="str">
        <f t="shared" ref="G932:G933" si="184">G931</f>
        <v>Each Sqm</v>
      </c>
      <c r="H932" s="2883"/>
      <c r="I932" s="1723">
        <f>K5816</f>
        <v>41.999999999999993</v>
      </c>
      <c r="J932" s="1721"/>
      <c r="K932" s="1721">
        <f t="shared" ref="K932:K933" si="185">I932+J932</f>
        <v>41.999999999999993</v>
      </c>
      <c r="L932" s="2884">
        <f t="shared" ref="L932:L933" si="186">ROUND(K932,1)</f>
        <v>42</v>
      </c>
      <c r="M932" s="2885"/>
      <c r="N932" s="2037"/>
      <c r="O932" s="2037"/>
      <c r="P932" s="2037"/>
      <c r="Q932" s="1725"/>
      <c r="R932" s="1725"/>
      <c r="S932" s="1725"/>
      <c r="T932" s="1725"/>
    </row>
    <row r="933" spans="1:20" s="175" customFormat="1" ht="13.5" hidden="1" customHeight="1">
      <c r="A933" s="2074" t="s">
        <v>443</v>
      </c>
      <c r="B933" s="2009" t="s">
        <v>3636</v>
      </c>
      <c r="C933" s="2003"/>
      <c r="D933" s="2003"/>
      <c r="E933" s="2003"/>
      <c r="F933" s="2003"/>
      <c r="G933" s="2882" t="str">
        <f t="shared" si="184"/>
        <v>Each Sqm</v>
      </c>
      <c r="H933" s="2883"/>
      <c r="I933" s="1723">
        <f>K5824</f>
        <v>42.849999999999987</v>
      </c>
      <c r="J933" s="1721"/>
      <c r="K933" s="1721">
        <f t="shared" si="185"/>
        <v>42.849999999999987</v>
      </c>
      <c r="L933" s="2884">
        <f t="shared" si="186"/>
        <v>42.9</v>
      </c>
      <c r="M933" s="2885"/>
      <c r="N933" s="2037"/>
      <c r="O933" s="2037"/>
      <c r="P933" s="2037"/>
      <c r="Q933" s="1725"/>
      <c r="R933" s="1725"/>
      <c r="S933" s="1725"/>
      <c r="T933" s="1725"/>
    </row>
    <row r="934" spans="1:20" s="175" customFormat="1" ht="13.5" hidden="1" customHeight="1">
      <c r="A934" s="1998">
        <f>A923+1</f>
        <v>118</v>
      </c>
      <c r="B934" s="1884" t="s">
        <v>3869</v>
      </c>
      <c r="C934" s="2003"/>
      <c r="D934" s="2003"/>
      <c r="E934" s="2003"/>
      <c r="F934" s="2003"/>
      <c r="G934" s="2882" t="s">
        <v>390</v>
      </c>
      <c r="H934" s="2883"/>
      <c r="I934" s="1723"/>
      <c r="J934" s="1721"/>
      <c r="K934" s="1721"/>
      <c r="L934" s="2884"/>
      <c r="M934" s="2885"/>
      <c r="N934" s="2037"/>
      <c r="O934" s="2037"/>
      <c r="P934" s="2037"/>
      <c r="Q934" s="1725" t="s">
        <v>578</v>
      </c>
      <c r="R934" s="1725"/>
      <c r="S934" s="1725"/>
      <c r="T934" s="1725"/>
    </row>
    <row r="935" spans="1:20" s="175" customFormat="1" ht="13.5" hidden="1" customHeight="1">
      <c r="A935" s="2074" t="s">
        <v>383</v>
      </c>
      <c r="B935" s="2009" t="s">
        <v>384</v>
      </c>
      <c r="C935" s="2003"/>
      <c r="D935" s="2003"/>
      <c r="E935" s="2003"/>
      <c r="F935" s="2003"/>
      <c r="G935" s="2882" t="str">
        <f>G934</f>
        <v>Each Sqm</v>
      </c>
      <c r="H935" s="2883"/>
      <c r="I935" s="1723">
        <f>K5843</f>
        <v>85.03</v>
      </c>
      <c r="J935" s="1721"/>
      <c r="K935" s="1721">
        <f>I935+J935</f>
        <v>85.03</v>
      </c>
      <c r="L935" s="2884">
        <f>ROUND(K935,1)</f>
        <v>85</v>
      </c>
      <c r="M935" s="2885"/>
      <c r="N935" s="2037"/>
      <c r="O935" s="2037"/>
      <c r="P935" s="2037"/>
      <c r="Q935" s="1725"/>
      <c r="R935" s="1725"/>
      <c r="S935" s="1725"/>
      <c r="T935" s="1725"/>
    </row>
    <row r="936" spans="1:20" s="175" customFormat="1" ht="13.5" hidden="1" customHeight="1">
      <c r="A936" s="2074" t="s">
        <v>386</v>
      </c>
      <c r="B936" s="2009" t="s">
        <v>387</v>
      </c>
      <c r="C936" s="2003"/>
      <c r="D936" s="2003"/>
      <c r="E936" s="2003"/>
      <c r="F936" s="2003"/>
      <c r="G936" s="2882" t="str">
        <f>G935</f>
        <v>Each Sqm</v>
      </c>
      <c r="H936" s="2883"/>
      <c r="I936" s="1723">
        <f>K5851</f>
        <v>87.860000000000014</v>
      </c>
      <c r="J936" s="1721"/>
      <c r="K936" s="1721">
        <f>I936+J936</f>
        <v>87.860000000000014</v>
      </c>
      <c r="L936" s="2884">
        <f>ROUND(K936,1)</f>
        <v>87.9</v>
      </c>
      <c r="M936" s="2885"/>
      <c r="N936" s="2037"/>
      <c r="O936" s="2037"/>
      <c r="P936" s="2037"/>
      <c r="Q936" s="1725"/>
      <c r="R936" s="1725"/>
      <c r="S936" s="1725"/>
      <c r="T936" s="1725"/>
    </row>
    <row r="937" spans="1:20" s="175" customFormat="1" ht="13.5" hidden="1" customHeight="1">
      <c r="A937" s="2074" t="s">
        <v>432</v>
      </c>
      <c r="B937" s="2009" t="s">
        <v>3622</v>
      </c>
      <c r="C937" s="2003"/>
      <c r="D937" s="2003"/>
      <c r="E937" s="2003"/>
      <c r="F937" s="2003"/>
      <c r="G937" s="2882" t="str">
        <f t="shared" ref="G937:G938" si="187">G936</f>
        <v>Each Sqm</v>
      </c>
      <c r="H937" s="2883"/>
      <c r="I937" s="1723">
        <f>K5859</f>
        <v>90.830000000000013</v>
      </c>
      <c r="J937" s="1721"/>
      <c r="K937" s="1721">
        <f t="shared" ref="K937:K938" si="188">I937+J937</f>
        <v>90.830000000000013</v>
      </c>
      <c r="L937" s="2884">
        <f t="shared" ref="L937:L938" si="189">ROUND(K937,1)</f>
        <v>90.8</v>
      </c>
      <c r="M937" s="2885"/>
      <c r="N937" s="2037"/>
      <c r="O937" s="2037"/>
      <c r="P937" s="2037"/>
      <c r="Q937" s="1725"/>
      <c r="R937" s="1725"/>
      <c r="S937" s="1725"/>
      <c r="T937" s="1725"/>
    </row>
    <row r="938" spans="1:20" s="175" customFormat="1" ht="13.5" hidden="1" customHeight="1">
      <c r="A938" s="2074" t="s">
        <v>443</v>
      </c>
      <c r="B938" s="2009" t="s">
        <v>3636</v>
      </c>
      <c r="C938" s="2003"/>
      <c r="D938" s="2003"/>
      <c r="E938" s="2003"/>
      <c r="F938" s="2003"/>
      <c r="G938" s="2882" t="str">
        <f t="shared" si="187"/>
        <v>Each Sqm</v>
      </c>
      <c r="H938" s="2883"/>
      <c r="I938" s="1723">
        <f>K5867</f>
        <v>93.950000000000017</v>
      </c>
      <c r="J938" s="1721"/>
      <c r="K938" s="1721">
        <f t="shared" si="188"/>
        <v>93.950000000000017</v>
      </c>
      <c r="L938" s="2884">
        <f t="shared" si="189"/>
        <v>94</v>
      </c>
      <c r="M938" s="2885"/>
      <c r="N938" s="2037"/>
      <c r="O938" s="2037"/>
      <c r="P938" s="2037"/>
      <c r="Q938" s="1725"/>
      <c r="R938" s="1725"/>
      <c r="S938" s="1725"/>
      <c r="T938" s="1725"/>
    </row>
    <row r="939" spans="1:20" s="175" customFormat="1" ht="13.5" customHeight="1">
      <c r="A939" s="1998">
        <f>A934+1</f>
        <v>119</v>
      </c>
      <c r="B939" s="1884" t="s">
        <v>3870</v>
      </c>
      <c r="C939" s="2003"/>
      <c r="D939" s="2003"/>
      <c r="E939" s="2003"/>
      <c r="F939" s="2003"/>
      <c r="G939" s="2882" t="s">
        <v>390</v>
      </c>
      <c r="H939" s="2883"/>
      <c r="I939" s="1723"/>
      <c r="J939" s="1721"/>
      <c r="K939" s="1721"/>
      <c r="L939" s="2884"/>
      <c r="M939" s="2885"/>
      <c r="N939" s="2037"/>
      <c r="O939" s="2037"/>
      <c r="P939" s="2037"/>
      <c r="Q939" s="1725" t="s">
        <v>579</v>
      </c>
      <c r="R939" s="1725"/>
      <c r="S939" s="1725"/>
      <c r="T939" s="1725"/>
    </row>
    <row r="940" spans="1:20" s="175" customFormat="1" ht="13.5" customHeight="1">
      <c r="A940" s="2074" t="s">
        <v>383</v>
      </c>
      <c r="B940" s="2009" t="s">
        <v>384</v>
      </c>
      <c r="C940" s="2003"/>
      <c r="D940" s="2003"/>
      <c r="E940" s="2003"/>
      <c r="F940" s="2003"/>
      <c r="G940" s="2882" t="str">
        <f>G939</f>
        <v>Each Sqm</v>
      </c>
      <c r="H940" s="2883"/>
      <c r="I940" s="1723">
        <f>K5886</f>
        <v>152.97999999999999</v>
      </c>
      <c r="J940" s="1721"/>
      <c r="K940" s="1721">
        <f>I940+J940</f>
        <v>152.97999999999999</v>
      </c>
      <c r="L940" s="2884">
        <f>ROUND(K940,1)</f>
        <v>153</v>
      </c>
      <c r="M940" s="2885"/>
      <c r="N940" s="2037"/>
      <c r="O940" s="2037"/>
      <c r="P940" s="2037"/>
      <c r="Q940" s="1725"/>
      <c r="R940" s="1725"/>
      <c r="S940" s="1725"/>
      <c r="T940" s="1725"/>
    </row>
    <row r="941" spans="1:20" s="175" customFormat="1" ht="13.5" hidden="1" customHeight="1">
      <c r="A941" s="2074" t="s">
        <v>386</v>
      </c>
      <c r="B941" s="2009" t="s">
        <v>387</v>
      </c>
      <c r="C941" s="2003"/>
      <c r="D941" s="2003"/>
      <c r="E941" s="2003"/>
      <c r="F941" s="2003"/>
      <c r="G941" s="2882" t="str">
        <f>G940</f>
        <v>Each Sqm</v>
      </c>
      <c r="H941" s="2883"/>
      <c r="I941" s="1723">
        <f>K5894</f>
        <v>158.43999999999997</v>
      </c>
      <c r="J941" s="1721"/>
      <c r="K941" s="1721">
        <f>I941+J941</f>
        <v>158.43999999999997</v>
      </c>
      <c r="L941" s="2884">
        <f>ROUND(K941,1)</f>
        <v>158.4</v>
      </c>
      <c r="M941" s="2885"/>
      <c r="N941" s="2037"/>
      <c r="O941" s="2037"/>
      <c r="P941" s="2037"/>
      <c r="Q941" s="1725"/>
      <c r="R941" s="1725"/>
      <c r="S941" s="1725"/>
      <c r="T941" s="1725"/>
    </row>
    <row r="942" spans="1:20" s="175" customFormat="1" ht="13.5" hidden="1" customHeight="1">
      <c r="A942" s="2074" t="s">
        <v>432</v>
      </c>
      <c r="B942" s="2009" t="s">
        <v>3622</v>
      </c>
      <c r="C942" s="2003"/>
      <c r="D942" s="2003"/>
      <c r="E942" s="2003"/>
      <c r="F942" s="2003"/>
      <c r="G942" s="2882" t="str">
        <f t="shared" ref="G942:G943" si="190">G941</f>
        <v>Each Sqm</v>
      </c>
      <c r="H942" s="2883"/>
      <c r="I942" s="1723">
        <f>K5902</f>
        <v>164.17</v>
      </c>
      <c r="J942" s="1721"/>
      <c r="K942" s="1721">
        <f t="shared" ref="K942:K943" si="191">I942+J942</f>
        <v>164.17</v>
      </c>
      <c r="L942" s="2884">
        <f t="shared" ref="L942:L943" si="192">ROUND(K942,1)</f>
        <v>164.2</v>
      </c>
      <c r="M942" s="2885"/>
      <c r="N942" s="2037"/>
      <c r="O942" s="2037"/>
      <c r="P942" s="2037"/>
      <c r="Q942" s="1725"/>
      <c r="R942" s="1725"/>
      <c r="S942" s="1725"/>
      <c r="T942" s="1725"/>
    </row>
    <row r="943" spans="1:20" s="175" customFormat="1" ht="13.5" hidden="1" customHeight="1">
      <c r="A943" s="2074" t="s">
        <v>443</v>
      </c>
      <c r="B943" s="2009" t="s">
        <v>3636</v>
      </c>
      <c r="C943" s="2003"/>
      <c r="D943" s="2003"/>
      <c r="E943" s="2003"/>
      <c r="F943" s="2003"/>
      <c r="G943" s="2882" t="str">
        <f t="shared" si="190"/>
        <v>Each Sqm</v>
      </c>
      <c r="H943" s="2883"/>
      <c r="I943" s="1723">
        <f>K5910</f>
        <v>170.18999999999997</v>
      </c>
      <c r="J943" s="1721"/>
      <c r="K943" s="1721">
        <f t="shared" si="191"/>
        <v>170.18999999999997</v>
      </c>
      <c r="L943" s="2884">
        <f t="shared" si="192"/>
        <v>170.2</v>
      </c>
      <c r="M943" s="2885"/>
      <c r="N943" s="2037"/>
      <c r="O943" s="2037"/>
      <c r="P943" s="2037"/>
      <c r="Q943" s="1725"/>
      <c r="R943" s="1725"/>
      <c r="S943" s="1725"/>
      <c r="T943" s="1725"/>
    </row>
    <row r="944" spans="1:20" s="175" customFormat="1" ht="13.5" hidden="1" customHeight="1">
      <c r="A944" s="1998">
        <f>A939+1</f>
        <v>120</v>
      </c>
      <c r="B944" s="1884" t="s">
        <v>3871</v>
      </c>
      <c r="C944" s="2003"/>
      <c r="D944" s="2003"/>
      <c r="E944" s="2003"/>
      <c r="F944" s="2003"/>
      <c r="G944" s="2882" t="s">
        <v>390</v>
      </c>
      <c r="H944" s="2883"/>
      <c r="I944" s="1723"/>
      <c r="J944" s="1721"/>
      <c r="K944" s="1721"/>
      <c r="L944" s="2884"/>
      <c r="M944" s="2885"/>
      <c r="N944" s="2037"/>
      <c r="O944" s="2037"/>
      <c r="P944" s="2037"/>
      <c r="Q944" s="1725"/>
      <c r="R944" s="1725"/>
      <c r="S944" s="1725"/>
      <c r="T944" s="1725"/>
    </row>
    <row r="945" spans="1:20" s="175" customFormat="1" ht="13.5" hidden="1" customHeight="1">
      <c r="A945" s="2074" t="s">
        <v>383</v>
      </c>
      <c r="B945" s="2009" t="s">
        <v>384</v>
      </c>
      <c r="C945" s="2003"/>
      <c r="D945" s="2003"/>
      <c r="E945" s="2003"/>
      <c r="F945" s="2003"/>
      <c r="G945" s="2882" t="str">
        <f>G944</f>
        <v>Each Sqm</v>
      </c>
      <c r="H945" s="2883"/>
      <c r="I945" s="1723">
        <f>K5923</f>
        <v>55.54</v>
      </c>
      <c r="J945" s="1721"/>
      <c r="K945" s="1721">
        <f>I945+J945</f>
        <v>55.54</v>
      </c>
      <c r="L945" s="2884">
        <f>ROUND(K945,1)</f>
        <v>55.5</v>
      </c>
      <c r="M945" s="2885"/>
      <c r="N945" s="2037"/>
      <c r="O945" s="2037"/>
      <c r="P945" s="2037"/>
      <c r="Q945" s="1725"/>
      <c r="R945" s="1725"/>
      <c r="S945" s="1725"/>
      <c r="T945" s="1725"/>
    </row>
    <row r="946" spans="1:20" s="175" customFormat="1" ht="13.5" hidden="1" customHeight="1">
      <c r="A946" s="2074" t="s">
        <v>386</v>
      </c>
      <c r="B946" s="2009" t="s">
        <v>387</v>
      </c>
      <c r="C946" s="2003"/>
      <c r="D946" s="2003"/>
      <c r="E946" s="2003"/>
      <c r="F946" s="2003"/>
      <c r="G946" s="2882" t="str">
        <f>G945</f>
        <v>Each Sqm</v>
      </c>
      <c r="H946" s="2883"/>
      <c r="I946" s="1723">
        <f>K5927</f>
        <v>56.78</v>
      </c>
      <c r="J946" s="1721"/>
      <c r="K946" s="1721">
        <f>I946+J946</f>
        <v>56.78</v>
      </c>
      <c r="L946" s="2884">
        <f>ROUND(K946,1)</f>
        <v>56.8</v>
      </c>
      <c r="M946" s="2885"/>
      <c r="N946" s="2037"/>
      <c r="O946" s="2037"/>
      <c r="P946" s="2037"/>
      <c r="Q946" s="1725"/>
      <c r="R946" s="1725"/>
      <c r="S946" s="1725"/>
      <c r="T946" s="1725"/>
    </row>
    <row r="947" spans="1:20" s="175" customFormat="1" ht="13.5" hidden="1" customHeight="1">
      <c r="A947" s="2074" t="s">
        <v>432</v>
      </c>
      <c r="B947" s="2009" t="s">
        <v>3622</v>
      </c>
      <c r="C947" s="2003"/>
      <c r="D947" s="2003"/>
      <c r="E947" s="2003"/>
      <c r="F947" s="2003"/>
      <c r="G947" s="2882" t="str">
        <f t="shared" ref="G947:G948" si="193">G946</f>
        <v>Each Sqm</v>
      </c>
      <c r="H947" s="2883"/>
      <c r="I947" s="1723">
        <f>K5931</f>
        <v>59.69</v>
      </c>
      <c r="J947" s="1721"/>
      <c r="K947" s="1721">
        <f t="shared" ref="K947:K948" si="194">I947+J947</f>
        <v>59.69</v>
      </c>
      <c r="L947" s="2884">
        <f t="shared" ref="L947:L948" si="195">ROUND(K947,1)</f>
        <v>59.7</v>
      </c>
      <c r="M947" s="2885"/>
      <c r="N947" s="2037"/>
      <c r="O947" s="2037"/>
      <c r="P947" s="2037"/>
      <c r="Q947" s="1725"/>
      <c r="R947" s="1725"/>
      <c r="S947" s="1725"/>
      <c r="T947" s="1725"/>
    </row>
    <row r="948" spans="1:20" s="175" customFormat="1" ht="13.5" hidden="1" customHeight="1">
      <c r="A948" s="2074" t="s">
        <v>443</v>
      </c>
      <c r="B948" s="2009" t="s">
        <v>3636</v>
      </c>
      <c r="C948" s="2003"/>
      <c r="D948" s="2003"/>
      <c r="E948" s="2003"/>
      <c r="F948" s="2003"/>
      <c r="G948" s="2882" t="str">
        <f t="shared" si="193"/>
        <v>Each Sqm</v>
      </c>
      <c r="H948" s="2883"/>
      <c r="I948" s="1723">
        <f>K5935</f>
        <v>62.69</v>
      </c>
      <c r="J948" s="1721"/>
      <c r="K948" s="1721">
        <f t="shared" si="194"/>
        <v>62.69</v>
      </c>
      <c r="L948" s="2884">
        <f t="shared" si="195"/>
        <v>62.7</v>
      </c>
      <c r="M948" s="2885"/>
      <c r="N948" s="2037"/>
      <c r="O948" s="2037"/>
      <c r="P948" s="2037"/>
      <c r="Q948" s="1725"/>
      <c r="R948" s="1725"/>
      <c r="S948" s="1725"/>
      <c r="T948" s="1725"/>
    </row>
    <row r="949" spans="1:20" s="175" customFormat="1" ht="13.5" customHeight="1">
      <c r="A949" s="1998">
        <f>A944+1</f>
        <v>121</v>
      </c>
      <c r="B949" s="1884" t="s">
        <v>3872</v>
      </c>
      <c r="C949" s="2003"/>
      <c r="D949" s="2003"/>
      <c r="E949" s="2003"/>
      <c r="F949" s="2003"/>
      <c r="G949" s="2882" t="s">
        <v>390</v>
      </c>
      <c r="H949" s="2883"/>
      <c r="I949" s="1723"/>
      <c r="J949" s="1721"/>
      <c r="K949" s="1721"/>
      <c r="L949" s="2884"/>
      <c r="M949" s="2885"/>
      <c r="N949" s="2037"/>
      <c r="O949" s="1735" t="s">
        <v>580</v>
      </c>
      <c r="P949" s="2037"/>
      <c r="Q949" s="1725"/>
      <c r="S949" s="1725"/>
    </row>
    <row r="950" spans="1:20" s="175" customFormat="1" ht="13.5" customHeight="1">
      <c r="A950" s="2074" t="s">
        <v>383</v>
      </c>
      <c r="B950" s="2009" t="s">
        <v>384</v>
      </c>
      <c r="C950" s="2003"/>
      <c r="D950" s="2003"/>
      <c r="E950" s="2003"/>
      <c r="F950" s="2003"/>
      <c r="G950" s="2882" t="str">
        <f>G949</f>
        <v>Each Sqm</v>
      </c>
      <c r="H950" s="2883"/>
      <c r="I950" s="1723">
        <f>K5951</f>
        <v>85.27</v>
      </c>
      <c r="J950" s="1721"/>
      <c r="K950" s="1721">
        <f>I950+J950</f>
        <v>85.27</v>
      </c>
      <c r="L950" s="2884">
        <f>ROUND(K950,1)</f>
        <v>85.3</v>
      </c>
      <c r="M950" s="2885"/>
      <c r="N950" s="2037"/>
      <c r="O950" s="1725"/>
      <c r="P950" s="2037"/>
      <c r="Q950" s="1725"/>
      <c r="S950" s="1725"/>
    </row>
    <row r="951" spans="1:20" s="175" customFormat="1" ht="13.5" hidden="1" customHeight="1">
      <c r="A951" s="2074" t="s">
        <v>386</v>
      </c>
      <c r="B951" s="2009" t="s">
        <v>387</v>
      </c>
      <c r="C951" s="2003"/>
      <c r="D951" s="2003"/>
      <c r="E951" s="2003"/>
      <c r="F951" s="2003"/>
      <c r="G951" s="2882" t="str">
        <f>G950</f>
        <v>Each Sqm</v>
      </c>
      <c r="H951" s="2883"/>
      <c r="I951" s="1723">
        <f>K5959</f>
        <v>86.706999999999994</v>
      </c>
      <c r="J951" s="1721"/>
      <c r="K951" s="1721">
        <f>I951+J951</f>
        <v>86.706999999999994</v>
      </c>
      <c r="L951" s="2884">
        <f>ROUND(K951,1)</f>
        <v>86.7</v>
      </c>
      <c r="M951" s="2885"/>
      <c r="N951" s="2037"/>
      <c r="O951" s="1725"/>
      <c r="P951" s="2037"/>
      <c r="Q951" s="1725"/>
      <c r="S951" s="1725"/>
    </row>
    <row r="952" spans="1:20" s="175" customFormat="1" ht="13.5" hidden="1" customHeight="1">
      <c r="A952" s="2074" t="s">
        <v>432</v>
      </c>
      <c r="B952" s="2009" t="s">
        <v>3622</v>
      </c>
      <c r="C952" s="2003"/>
      <c r="D952" s="2003"/>
      <c r="E952" s="2003"/>
      <c r="F952" s="2003"/>
      <c r="G952" s="2882" t="str">
        <f t="shared" ref="G952:G953" si="196">G951</f>
        <v>Each Sqm</v>
      </c>
      <c r="H952" s="2883"/>
      <c r="I952" s="1723">
        <f>K5967</f>
        <v>89.066999999999979</v>
      </c>
      <c r="J952" s="1721"/>
      <c r="K952" s="1721">
        <f t="shared" ref="K952:K953" si="197">I952+J952</f>
        <v>89.066999999999979</v>
      </c>
      <c r="L952" s="2884">
        <f t="shared" ref="L952:L953" si="198">ROUND(K952,1)</f>
        <v>89.1</v>
      </c>
      <c r="M952" s="2885"/>
      <c r="N952" s="2037"/>
      <c r="O952" s="2037"/>
      <c r="P952" s="2037"/>
      <c r="Q952" s="1725"/>
      <c r="R952" s="1725"/>
      <c r="S952" s="1725"/>
      <c r="T952" s="1725"/>
    </row>
    <row r="953" spans="1:20" s="175" customFormat="1" ht="13.5" hidden="1" customHeight="1">
      <c r="A953" s="2074" t="s">
        <v>443</v>
      </c>
      <c r="B953" s="2009" t="s">
        <v>3636</v>
      </c>
      <c r="C953" s="2003"/>
      <c r="D953" s="2003"/>
      <c r="E953" s="2003"/>
      <c r="F953" s="2003"/>
      <c r="G953" s="2882" t="str">
        <f t="shared" si="196"/>
        <v>Each Sqm</v>
      </c>
      <c r="H953" s="2883"/>
      <c r="I953" s="1723">
        <f>K5975</f>
        <v>91.496999999999957</v>
      </c>
      <c r="J953" s="1721"/>
      <c r="K953" s="1721">
        <f t="shared" si="197"/>
        <v>91.496999999999957</v>
      </c>
      <c r="L953" s="2884">
        <f t="shared" si="198"/>
        <v>91.5</v>
      </c>
      <c r="M953" s="2885"/>
      <c r="N953" s="2037"/>
      <c r="O953" s="2037"/>
      <c r="P953" s="2037"/>
      <c r="Q953" s="1725"/>
      <c r="R953" s="1725"/>
      <c r="S953" s="1725"/>
      <c r="T953" s="1725"/>
    </row>
    <row r="954" spans="1:20" s="175" customFormat="1" ht="13.5" hidden="1" customHeight="1">
      <c r="A954" s="1998">
        <f>A949+1</f>
        <v>122</v>
      </c>
      <c r="B954" s="1884" t="s">
        <v>3873</v>
      </c>
      <c r="C954" s="2003"/>
      <c r="D954" s="2003"/>
      <c r="E954" s="2003"/>
      <c r="F954" s="2003"/>
      <c r="G954" s="2882" t="s">
        <v>390</v>
      </c>
      <c r="H954" s="2883"/>
      <c r="I954" s="1723"/>
      <c r="J954" s="1721"/>
      <c r="K954" s="1721"/>
      <c r="L954" s="2884"/>
      <c r="M954" s="2885"/>
      <c r="N954" s="2037"/>
      <c r="O954" s="1725"/>
      <c r="P954" s="2037"/>
      <c r="Q954" s="1725" t="s">
        <v>578</v>
      </c>
      <c r="S954" s="1725"/>
    </row>
    <row r="955" spans="1:20" s="175" customFormat="1" ht="13.5" hidden="1" customHeight="1">
      <c r="A955" s="2074" t="s">
        <v>383</v>
      </c>
      <c r="B955" s="2009" t="s">
        <v>384</v>
      </c>
      <c r="C955" s="2003"/>
      <c r="D955" s="2003"/>
      <c r="E955" s="2003"/>
      <c r="F955" s="2003"/>
      <c r="G955" s="2882" t="str">
        <f>G954</f>
        <v>Each Sqm</v>
      </c>
      <c r="H955" s="2883"/>
      <c r="I955" s="1723">
        <f>K5994</f>
        <v>92.95</v>
      </c>
      <c r="J955" s="1721"/>
      <c r="K955" s="1721">
        <f>I955+J955</f>
        <v>92.95</v>
      </c>
      <c r="L955" s="2884">
        <f>ROUND(K955,1)</f>
        <v>93</v>
      </c>
      <c r="M955" s="2885"/>
      <c r="N955" s="2037"/>
      <c r="O955" s="1725"/>
      <c r="P955" s="2037"/>
      <c r="Q955" s="1725"/>
      <c r="S955" s="1725"/>
    </row>
    <row r="956" spans="1:20" s="175" customFormat="1" ht="13.5" hidden="1" customHeight="1">
      <c r="A956" s="2074" t="s">
        <v>386</v>
      </c>
      <c r="B956" s="2009" t="s">
        <v>387</v>
      </c>
      <c r="C956" s="2003"/>
      <c r="D956" s="2003"/>
      <c r="E956" s="2003"/>
      <c r="F956" s="2003"/>
      <c r="G956" s="2882" t="str">
        <f>G955</f>
        <v>Each Sqm</v>
      </c>
      <c r="H956" s="2883"/>
      <c r="I956" s="1723">
        <f>K6002</f>
        <v>94.649999999999991</v>
      </c>
      <c r="J956" s="1721"/>
      <c r="K956" s="1721">
        <f>I956+J956</f>
        <v>94.649999999999991</v>
      </c>
      <c r="L956" s="2884">
        <f>ROUND(K956,1)</f>
        <v>94.7</v>
      </c>
      <c r="M956" s="2885"/>
      <c r="N956" s="2037"/>
      <c r="O956" s="1725"/>
      <c r="P956" s="2037"/>
      <c r="Q956" s="1725"/>
      <c r="S956" s="1725"/>
    </row>
    <row r="957" spans="1:20" s="175" customFormat="1" ht="13.5" hidden="1" customHeight="1">
      <c r="A957" s="2074" t="s">
        <v>432</v>
      </c>
      <c r="B957" s="2009" t="s">
        <v>3622</v>
      </c>
      <c r="C957" s="2003"/>
      <c r="D957" s="2003"/>
      <c r="E957" s="2003"/>
      <c r="F957" s="2003"/>
      <c r="G957" s="2882" t="str">
        <f t="shared" ref="G957:G958" si="199">G956</f>
        <v>Each Sqm</v>
      </c>
      <c r="H957" s="2883"/>
      <c r="I957" s="1723">
        <f>K6010</f>
        <v>96.39</v>
      </c>
      <c r="J957" s="1721"/>
      <c r="K957" s="1721">
        <f t="shared" ref="K957:K958" si="200">I957+J957</f>
        <v>96.39</v>
      </c>
      <c r="L957" s="2884">
        <f t="shared" ref="L957:L958" si="201">ROUND(K957,1)</f>
        <v>96.4</v>
      </c>
      <c r="M957" s="2885"/>
      <c r="N957" s="2037"/>
      <c r="O957" s="2037"/>
      <c r="P957" s="2037"/>
      <c r="Q957" s="1725"/>
      <c r="R957" s="1725"/>
      <c r="S957" s="1725"/>
      <c r="T957" s="1725"/>
    </row>
    <row r="958" spans="1:20" s="175" customFormat="1" ht="13.5" hidden="1" customHeight="1">
      <c r="A958" s="2074" t="s">
        <v>443</v>
      </c>
      <c r="B958" s="2009" t="s">
        <v>3636</v>
      </c>
      <c r="C958" s="2003"/>
      <c r="D958" s="2003"/>
      <c r="E958" s="2003"/>
      <c r="F958" s="2003"/>
      <c r="G958" s="2882" t="str">
        <f t="shared" si="199"/>
        <v>Each Sqm</v>
      </c>
      <c r="H958" s="2883"/>
      <c r="I958" s="1723">
        <f>K6018</f>
        <v>98.2</v>
      </c>
      <c r="J958" s="1721"/>
      <c r="K958" s="1721">
        <f t="shared" si="200"/>
        <v>98.2</v>
      </c>
      <c r="L958" s="2884">
        <f t="shared" si="201"/>
        <v>98.2</v>
      </c>
      <c r="M958" s="2885"/>
      <c r="N958" s="2037"/>
      <c r="O958" s="2037"/>
      <c r="P958" s="2037"/>
      <c r="Q958" s="1725"/>
      <c r="R958" s="1725"/>
      <c r="S958" s="1725"/>
      <c r="T958" s="1725"/>
    </row>
    <row r="959" spans="1:20" s="175" customFormat="1" ht="13.5" customHeight="1">
      <c r="A959" s="1998">
        <f>A954+1</f>
        <v>123</v>
      </c>
      <c r="B959" s="1884" t="s">
        <v>3874</v>
      </c>
      <c r="C959" s="2003"/>
      <c r="D959" s="2003"/>
      <c r="E959" s="2003"/>
      <c r="F959" s="2003"/>
      <c r="G959" s="2882" t="s">
        <v>390</v>
      </c>
      <c r="H959" s="2883"/>
      <c r="I959" s="1723"/>
      <c r="J959" s="1721"/>
      <c r="K959" s="1721"/>
      <c r="L959" s="2884"/>
      <c r="M959" s="2885"/>
      <c r="N959" s="2037"/>
      <c r="O959" s="1725"/>
      <c r="P959" s="2037"/>
      <c r="Q959" s="1725" t="s">
        <v>579</v>
      </c>
      <c r="S959" s="1725"/>
    </row>
    <row r="960" spans="1:20" s="175" customFormat="1" ht="13.5" customHeight="1">
      <c r="A960" s="2074" t="s">
        <v>383</v>
      </c>
      <c r="B960" s="2009" t="s">
        <v>384</v>
      </c>
      <c r="C960" s="2003"/>
      <c r="D960" s="2003"/>
      <c r="E960" s="2003"/>
      <c r="F960" s="2003"/>
      <c r="G960" s="2882" t="str">
        <f>G959</f>
        <v>Each Sqm</v>
      </c>
      <c r="H960" s="2883"/>
      <c r="I960" s="1723">
        <f>K6037</f>
        <v>160.9</v>
      </c>
      <c r="J960" s="1721"/>
      <c r="K960" s="1721">
        <f>I960+J960</f>
        <v>160.9</v>
      </c>
      <c r="L960" s="2884">
        <f>ROUND(K960,1)</f>
        <v>160.9</v>
      </c>
      <c r="M960" s="2885"/>
      <c r="N960" s="2037"/>
      <c r="O960" s="1725"/>
      <c r="P960" s="2037"/>
      <c r="Q960" s="1725"/>
      <c r="S960" s="1725"/>
    </row>
    <row r="961" spans="1:20" s="175" customFormat="1" ht="13.5" hidden="1" customHeight="1">
      <c r="A961" s="2074" t="s">
        <v>386</v>
      </c>
      <c r="B961" s="2009" t="s">
        <v>387</v>
      </c>
      <c r="C961" s="2003"/>
      <c r="D961" s="2003"/>
      <c r="E961" s="2003"/>
      <c r="F961" s="2003"/>
      <c r="G961" s="2882" t="str">
        <f>G960</f>
        <v>Each Sqm</v>
      </c>
      <c r="H961" s="2883"/>
      <c r="I961" s="1723">
        <f>K6045</f>
        <v>164.18</v>
      </c>
      <c r="J961" s="1721"/>
      <c r="K961" s="1721">
        <f>I961+J961</f>
        <v>164.18</v>
      </c>
      <c r="L961" s="2884">
        <f>ROUND(K961,1)</f>
        <v>164.2</v>
      </c>
      <c r="M961" s="2885"/>
      <c r="N961" s="2037"/>
      <c r="O961" s="1725"/>
      <c r="P961" s="2037"/>
      <c r="Q961" s="1725"/>
      <c r="S961" s="1725"/>
    </row>
    <row r="962" spans="1:20" s="175" customFormat="1" ht="13.5" hidden="1" customHeight="1">
      <c r="A962" s="2074" t="s">
        <v>432</v>
      </c>
      <c r="B962" s="2009" t="s">
        <v>3622</v>
      </c>
      <c r="C962" s="2003"/>
      <c r="D962" s="2003"/>
      <c r="E962" s="2003"/>
      <c r="F962" s="2003"/>
      <c r="G962" s="2882" t="str">
        <f t="shared" ref="G962:G963" si="202">G961</f>
        <v>Each Sqm</v>
      </c>
      <c r="H962" s="2883"/>
      <c r="I962" s="1723">
        <f>K6053</f>
        <v>167.55</v>
      </c>
      <c r="J962" s="1721"/>
      <c r="K962" s="1721">
        <f t="shared" ref="K962:K963" si="203">I962+J962</f>
        <v>167.55</v>
      </c>
      <c r="L962" s="2884">
        <f t="shared" ref="L962:L963" si="204">ROUND(K962,1)</f>
        <v>167.6</v>
      </c>
      <c r="M962" s="2885"/>
      <c r="N962" s="2037"/>
      <c r="O962" s="2037"/>
      <c r="P962" s="2037"/>
      <c r="Q962" s="1725"/>
      <c r="R962" s="1725"/>
      <c r="S962" s="1725"/>
      <c r="T962" s="1725"/>
    </row>
    <row r="963" spans="1:20" s="175" customFormat="1" ht="13.5" hidden="1" customHeight="1">
      <c r="A963" s="2074" t="s">
        <v>443</v>
      </c>
      <c r="B963" s="2009" t="s">
        <v>3636</v>
      </c>
      <c r="C963" s="2003"/>
      <c r="D963" s="2003"/>
      <c r="E963" s="2003"/>
      <c r="F963" s="2003"/>
      <c r="G963" s="2882" t="str">
        <f t="shared" si="202"/>
        <v>Each Sqm</v>
      </c>
      <c r="H963" s="2883"/>
      <c r="I963" s="1723">
        <f>K6061</f>
        <v>171.01000000000002</v>
      </c>
      <c r="J963" s="1721"/>
      <c r="K963" s="1721">
        <f t="shared" si="203"/>
        <v>171.01000000000002</v>
      </c>
      <c r="L963" s="2884">
        <f t="shared" si="204"/>
        <v>171</v>
      </c>
      <c r="M963" s="2885"/>
      <c r="N963" s="2037"/>
      <c r="O963" s="2037"/>
      <c r="P963" s="2037"/>
      <c r="Q963" s="1725"/>
      <c r="R963" s="1725"/>
      <c r="S963" s="1725"/>
      <c r="T963" s="1725"/>
    </row>
    <row r="964" spans="1:20" s="1741" customFormat="1" ht="13.5" hidden="1" customHeight="1">
      <c r="A964" s="1998">
        <f>A959+1</f>
        <v>124</v>
      </c>
      <c r="B964" s="2010" t="s">
        <v>3875</v>
      </c>
      <c r="C964" s="2003"/>
      <c r="D964" s="2003"/>
      <c r="E964" s="2003"/>
      <c r="F964" s="2003"/>
      <c r="G964" s="2882" t="s">
        <v>390</v>
      </c>
      <c r="H964" s="2883"/>
      <c r="I964" s="1723"/>
      <c r="J964" s="1721"/>
      <c r="K964" s="1721"/>
      <c r="L964" s="2884"/>
      <c r="M964" s="2885"/>
      <c r="O964" s="1735" t="s">
        <v>581</v>
      </c>
      <c r="Q964" s="1735" t="s">
        <v>575</v>
      </c>
      <c r="T964" s="1706"/>
    </row>
    <row r="965" spans="1:20" s="175" customFormat="1" ht="13.5" hidden="1" customHeight="1">
      <c r="A965" s="2074" t="s">
        <v>383</v>
      </c>
      <c r="B965" s="2009" t="s">
        <v>384</v>
      </c>
      <c r="C965" s="2003"/>
      <c r="D965" s="2003"/>
      <c r="E965" s="2003"/>
      <c r="F965" s="2003"/>
      <c r="G965" s="2882" t="str">
        <f>G964</f>
        <v>Each Sqm</v>
      </c>
      <c r="H965" s="2883"/>
      <c r="I965" s="1723">
        <f>K6079</f>
        <v>48.61</v>
      </c>
      <c r="J965" s="1721"/>
      <c r="K965" s="1721">
        <f>I965+J965</f>
        <v>48.61</v>
      </c>
      <c r="L965" s="2884">
        <f>ROUND(K965,1)</f>
        <v>48.6</v>
      </c>
      <c r="M965" s="2885"/>
      <c r="N965" s="2037"/>
      <c r="O965" s="1725"/>
      <c r="P965" s="2037"/>
      <c r="Q965" s="1725"/>
      <c r="S965" s="1725"/>
    </row>
    <row r="966" spans="1:20" s="175" customFormat="1" ht="13.5" hidden="1" customHeight="1">
      <c r="A966" s="2074" t="s">
        <v>386</v>
      </c>
      <c r="B966" s="2009" t="s">
        <v>387</v>
      </c>
      <c r="C966" s="2003"/>
      <c r="D966" s="2003"/>
      <c r="E966" s="2003"/>
      <c r="F966" s="2003"/>
      <c r="G966" s="2882" t="str">
        <f>G965</f>
        <v>Each Sqm</v>
      </c>
      <c r="H966" s="2883"/>
      <c r="I966" s="1723">
        <f>K6087</f>
        <v>49.660000000000004</v>
      </c>
      <c r="J966" s="1721"/>
      <c r="K966" s="1721">
        <f>I966+J966</f>
        <v>49.660000000000004</v>
      </c>
      <c r="L966" s="2884">
        <f>ROUND(K966,1)</f>
        <v>49.7</v>
      </c>
      <c r="M966" s="2885"/>
      <c r="N966" s="2037"/>
      <c r="O966" s="1725"/>
      <c r="P966" s="2037"/>
      <c r="Q966" s="1725"/>
      <c r="S966" s="1725"/>
    </row>
    <row r="967" spans="1:20" s="175" customFormat="1" ht="13.5" hidden="1" customHeight="1">
      <c r="A967" s="2074" t="s">
        <v>432</v>
      </c>
      <c r="B967" s="2009" t="s">
        <v>3622</v>
      </c>
      <c r="C967" s="2003"/>
      <c r="D967" s="2003"/>
      <c r="E967" s="2003"/>
      <c r="F967" s="2003"/>
      <c r="G967" s="2882" t="str">
        <f t="shared" ref="G967:G968" si="205">G966</f>
        <v>Each Sqm</v>
      </c>
      <c r="H967" s="2883"/>
      <c r="I967" s="1723">
        <f>K6095</f>
        <v>50.74</v>
      </c>
      <c r="J967" s="1721"/>
      <c r="K967" s="1721">
        <f t="shared" ref="K967:K968" si="206">I967+J967</f>
        <v>50.74</v>
      </c>
      <c r="L967" s="2884">
        <f t="shared" ref="L967:L968" si="207">ROUND(K967,1)</f>
        <v>50.7</v>
      </c>
      <c r="M967" s="2885"/>
      <c r="N967" s="2037"/>
      <c r="O967" s="2037"/>
      <c r="P967" s="2037"/>
      <c r="Q967" s="1725"/>
      <c r="R967" s="1725"/>
      <c r="S967" s="1725"/>
      <c r="T967" s="1725"/>
    </row>
    <row r="968" spans="1:20" s="175" customFormat="1" ht="13.5" hidden="1" customHeight="1">
      <c r="A968" s="2074" t="s">
        <v>443</v>
      </c>
      <c r="B968" s="2009" t="s">
        <v>3636</v>
      </c>
      <c r="C968" s="2003"/>
      <c r="D968" s="2003"/>
      <c r="E968" s="2003"/>
      <c r="F968" s="2003"/>
      <c r="G968" s="2882" t="str">
        <f t="shared" si="205"/>
        <v>Each Sqm</v>
      </c>
      <c r="H968" s="2883"/>
      <c r="I968" s="1723">
        <f>K6103</f>
        <v>51.85</v>
      </c>
      <c r="J968" s="1721"/>
      <c r="K968" s="1721">
        <f t="shared" si="206"/>
        <v>51.85</v>
      </c>
      <c r="L968" s="2884">
        <f t="shared" si="207"/>
        <v>51.9</v>
      </c>
      <c r="M968" s="2885"/>
      <c r="N968" s="2037"/>
      <c r="O968" s="2037"/>
      <c r="P968" s="2037"/>
      <c r="Q968" s="1725"/>
      <c r="R968" s="1725"/>
      <c r="S968" s="1725"/>
      <c r="T968" s="1725"/>
    </row>
    <row r="969" spans="1:20" s="1741" customFormat="1" ht="13.5" hidden="1" customHeight="1">
      <c r="A969" s="1998">
        <f>A964+1</f>
        <v>125</v>
      </c>
      <c r="B969" s="2010" t="s">
        <v>3876</v>
      </c>
      <c r="C969" s="2003"/>
      <c r="D969" s="2003"/>
      <c r="E969" s="2003"/>
      <c r="F969" s="2003"/>
      <c r="G969" s="2882" t="s">
        <v>390</v>
      </c>
      <c r="H969" s="2883"/>
      <c r="I969" s="1723"/>
      <c r="J969" s="1721"/>
      <c r="K969" s="1721"/>
      <c r="L969" s="2884"/>
      <c r="M969" s="2885"/>
      <c r="O969" s="1735" t="s">
        <v>582</v>
      </c>
      <c r="Q969" s="1735" t="s">
        <v>578</v>
      </c>
      <c r="T969" s="1706"/>
    </row>
    <row r="970" spans="1:20" s="175" customFormat="1" ht="13.5" hidden="1" customHeight="1">
      <c r="A970" s="2074" t="s">
        <v>383</v>
      </c>
      <c r="B970" s="2009" t="s">
        <v>384</v>
      </c>
      <c r="C970" s="2003"/>
      <c r="D970" s="2003"/>
      <c r="E970" s="2003"/>
      <c r="F970" s="2003"/>
      <c r="G970" s="2882" t="str">
        <f>G969</f>
        <v>Each Sqm</v>
      </c>
      <c r="H970" s="2883"/>
      <c r="I970" s="1723">
        <f>K6121</f>
        <v>75.22</v>
      </c>
      <c r="J970" s="1721"/>
      <c r="K970" s="1721">
        <f>I970+J970</f>
        <v>75.22</v>
      </c>
      <c r="L970" s="2884">
        <f>ROUND(K970,1)</f>
        <v>75.2</v>
      </c>
      <c r="M970" s="2885"/>
      <c r="N970" s="2037"/>
      <c r="O970" s="1725"/>
      <c r="P970" s="2037"/>
      <c r="Q970" s="1725"/>
      <c r="S970" s="1725"/>
      <c r="T970" s="1725"/>
    </row>
    <row r="971" spans="1:20" s="175" customFormat="1" ht="13.5" hidden="1" customHeight="1">
      <c r="A971" s="2074" t="s">
        <v>386</v>
      </c>
      <c r="B971" s="2009" t="s">
        <v>387</v>
      </c>
      <c r="C971" s="2003"/>
      <c r="D971" s="2003"/>
      <c r="E971" s="2003"/>
      <c r="F971" s="2003"/>
      <c r="G971" s="2882" t="str">
        <f>G970</f>
        <v>Each Sqm</v>
      </c>
      <c r="H971" s="2883"/>
      <c r="I971" s="1723">
        <f>K6129</f>
        <v>77.61999999999999</v>
      </c>
      <c r="J971" s="1721"/>
      <c r="K971" s="1721">
        <f>I971+J971</f>
        <v>77.61999999999999</v>
      </c>
      <c r="L971" s="2884">
        <f>ROUND(K971,1)</f>
        <v>77.599999999999994</v>
      </c>
      <c r="M971" s="2885"/>
      <c r="N971" s="2037"/>
      <c r="O971" s="1725"/>
      <c r="P971" s="2037"/>
      <c r="Q971" s="1725"/>
      <c r="S971" s="1725"/>
      <c r="T971" s="1725"/>
    </row>
    <row r="972" spans="1:20" s="175" customFormat="1" ht="13.5" hidden="1" customHeight="1">
      <c r="A972" s="2074" t="s">
        <v>432</v>
      </c>
      <c r="B972" s="2009" t="s">
        <v>3622</v>
      </c>
      <c r="C972" s="2003"/>
      <c r="D972" s="2003"/>
      <c r="E972" s="2003"/>
      <c r="F972" s="2003"/>
      <c r="G972" s="2882" t="str">
        <f t="shared" ref="G972:G973" si="208">G971</f>
        <v>Each Sqm</v>
      </c>
      <c r="H972" s="2883"/>
      <c r="I972" s="1723">
        <f>K6137</f>
        <v>80.089999999999989</v>
      </c>
      <c r="J972" s="1721"/>
      <c r="K972" s="1721">
        <f t="shared" ref="K972:K973" si="209">I972+J972</f>
        <v>80.089999999999989</v>
      </c>
      <c r="L972" s="2884">
        <f t="shared" ref="L972:L973" si="210">ROUND(K972,1)</f>
        <v>80.099999999999994</v>
      </c>
      <c r="M972" s="2885"/>
      <c r="N972" s="2037"/>
      <c r="O972" s="2037"/>
      <c r="P972" s="2037"/>
      <c r="Q972" s="1725"/>
      <c r="R972" s="1725"/>
      <c r="S972" s="1725"/>
      <c r="T972" s="1725"/>
    </row>
    <row r="973" spans="1:20" s="175" customFormat="1" ht="13.5" hidden="1" customHeight="1">
      <c r="A973" s="2074" t="s">
        <v>443</v>
      </c>
      <c r="B973" s="2009" t="s">
        <v>3636</v>
      </c>
      <c r="C973" s="2003"/>
      <c r="D973" s="2003"/>
      <c r="E973" s="2003"/>
      <c r="F973" s="2003"/>
      <c r="G973" s="2882" t="str">
        <f t="shared" si="208"/>
        <v>Each Sqm</v>
      </c>
      <c r="H973" s="2883"/>
      <c r="I973" s="1723">
        <f>K6145</f>
        <v>82.629999999999981</v>
      </c>
      <c r="J973" s="1721"/>
      <c r="K973" s="1721">
        <f t="shared" si="209"/>
        <v>82.629999999999981</v>
      </c>
      <c r="L973" s="2884">
        <f t="shared" si="210"/>
        <v>82.6</v>
      </c>
      <c r="M973" s="2885"/>
      <c r="N973" s="2037"/>
      <c r="O973" s="2037"/>
      <c r="P973" s="2037"/>
      <c r="Q973" s="1725"/>
      <c r="R973" s="1725"/>
      <c r="S973" s="1725"/>
      <c r="T973" s="1725"/>
    </row>
    <row r="974" spans="1:20" s="1741" customFormat="1" ht="13.5" customHeight="1">
      <c r="A974" s="1998">
        <f>A969+1</f>
        <v>126</v>
      </c>
      <c r="B974" s="2010" t="s">
        <v>3877</v>
      </c>
      <c r="C974" s="2003"/>
      <c r="D974" s="2003"/>
      <c r="E974" s="2003"/>
      <c r="F974" s="2003"/>
      <c r="G974" s="2882" t="s">
        <v>390</v>
      </c>
      <c r="H974" s="2883"/>
      <c r="I974" s="1723"/>
      <c r="J974" s="1721"/>
      <c r="K974" s="1721"/>
      <c r="L974" s="2884"/>
      <c r="M974" s="2885"/>
      <c r="O974" s="1735" t="s">
        <v>582</v>
      </c>
      <c r="Q974" s="1735" t="s">
        <v>579</v>
      </c>
      <c r="T974" s="1706"/>
    </row>
    <row r="975" spans="1:20" s="175" customFormat="1" ht="13.5" customHeight="1">
      <c r="A975" s="2074" t="s">
        <v>383</v>
      </c>
      <c r="B975" s="2009" t="s">
        <v>384</v>
      </c>
      <c r="C975" s="2003"/>
      <c r="D975" s="2003"/>
      <c r="E975" s="2003"/>
      <c r="F975" s="2003"/>
      <c r="G975" s="2882" t="str">
        <f>G974</f>
        <v>Each Sqm</v>
      </c>
      <c r="H975" s="2883"/>
      <c r="I975" s="1723">
        <f>K6164</f>
        <v>143.16</v>
      </c>
      <c r="J975" s="1721"/>
      <c r="K975" s="1721">
        <f>I975+J975</f>
        <v>143.16</v>
      </c>
      <c r="L975" s="2884">
        <f>ROUND(K975,1)</f>
        <v>143.19999999999999</v>
      </c>
      <c r="M975" s="2885"/>
      <c r="N975" s="2037"/>
      <c r="O975" s="2037"/>
      <c r="P975" s="2037"/>
      <c r="Q975" s="1725"/>
      <c r="R975" s="1725"/>
      <c r="S975" s="1725"/>
      <c r="T975" s="1725"/>
    </row>
    <row r="976" spans="1:20" s="175" customFormat="1" ht="13.5" hidden="1" customHeight="1">
      <c r="A976" s="2074" t="s">
        <v>386</v>
      </c>
      <c r="B976" s="2009" t="s">
        <v>387</v>
      </c>
      <c r="C976" s="2003"/>
      <c r="D976" s="2003"/>
      <c r="E976" s="2003"/>
      <c r="F976" s="2003"/>
      <c r="G976" s="2882" t="str">
        <f>G975</f>
        <v>Each Sqm</v>
      </c>
      <c r="H976" s="2883"/>
      <c r="I976" s="1723">
        <f>K6172</f>
        <v>146.38000000000002</v>
      </c>
      <c r="J976" s="1721"/>
      <c r="K976" s="1721">
        <f>I976+J976</f>
        <v>146.38000000000002</v>
      </c>
      <c r="L976" s="2884">
        <f>ROUND(K976,1)</f>
        <v>146.4</v>
      </c>
      <c r="M976" s="2885"/>
      <c r="N976" s="2037"/>
      <c r="O976" s="2037"/>
      <c r="P976" s="2037"/>
      <c r="Q976" s="1725"/>
      <c r="R976" s="1725"/>
      <c r="S976" s="1725"/>
      <c r="T976" s="1725"/>
    </row>
    <row r="977" spans="1:20" s="175" customFormat="1" ht="13.5" hidden="1" customHeight="1">
      <c r="A977" s="2074" t="s">
        <v>432</v>
      </c>
      <c r="B977" s="2009" t="s">
        <v>3622</v>
      </c>
      <c r="C977" s="2003"/>
      <c r="D977" s="2003"/>
      <c r="E977" s="2003"/>
      <c r="F977" s="2003"/>
      <c r="G977" s="2882" t="str">
        <f t="shared" ref="G977:G978" si="211">G976</f>
        <v>Each Sqm</v>
      </c>
      <c r="H977" s="2883"/>
      <c r="I977" s="1723">
        <f>K6180</f>
        <v>151.15000000000003</v>
      </c>
      <c r="J977" s="1721"/>
      <c r="K977" s="1721">
        <f t="shared" ref="K977:K978" si="212">I977+J977</f>
        <v>151.15000000000003</v>
      </c>
      <c r="L977" s="2884">
        <f t="shared" ref="L977:L978" si="213">ROUND(K977,1)</f>
        <v>151.19999999999999</v>
      </c>
      <c r="M977" s="2885"/>
      <c r="N977" s="2037"/>
      <c r="O977" s="2037"/>
      <c r="P977" s="2037"/>
      <c r="Q977" s="1725"/>
      <c r="R977" s="1725"/>
      <c r="S977" s="1725"/>
      <c r="T977" s="1725"/>
    </row>
    <row r="978" spans="1:20" s="175" customFormat="1" ht="13.5" hidden="1" customHeight="1">
      <c r="A978" s="2074" t="s">
        <v>443</v>
      </c>
      <c r="B978" s="2009" t="s">
        <v>3636</v>
      </c>
      <c r="C978" s="2003"/>
      <c r="D978" s="2003"/>
      <c r="E978" s="2003"/>
      <c r="F978" s="2003"/>
      <c r="G978" s="2882" t="str">
        <f t="shared" si="211"/>
        <v>Each Sqm</v>
      </c>
      <c r="H978" s="2883"/>
      <c r="I978" s="1723">
        <f>K6188</f>
        <v>156.08000000000004</v>
      </c>
      <c r="J978" s="1721"/>
      <c r="K978" s="1721">
        <f t="shared" si="212"/>
        <v>156.08000000000004</v>
      </c>
      <c r="L978" s="2884">
        <f t="shared" si="213"/>
        <v>156.1</v>
      </c>
      <c r="M978" s="2885"/>
      <c r="N978" s="2037"/>
      <c r="O978" s="2037"/>
      <c r="P978" s="2037"/>
      <c r="Q978" s="1725"/>
      <c r="R978" s="1725"/>
      <c r="S978" s="1725"/>
      <c r="T978" s="1725"/>
    </row>
    <row r="979" spans="1:20" s="175" customFormat="1" ht="13.5" hidden="1" customHeight="1">
      <c r="A979" s="1998">
        <f>A974+1</f>
        <v>127</v>
      </c>
      <c r="B979" s="1828" t="s">
        <v>3878</v>
      </c>
      <c r="C979" s="2003"/>
      <c r="D979" s="2003"/>
      <c r="E979" s="2003"/>
      <c r="F979" s="2003"/>
      <c r="G979" s="2882" t="s">
        <v>390</v>
      </c>
      <c r="H979" s="2883"/>
      <c r="I979" s="1723"/>
      <c r="J979" s="1721"/>
      <c r="K979" s="1721"/>
      <c r="L979" s="2884"/>
      <c r="M979" s="2885"/>
      <c r="N979" s="2037"/>
      <c r="O979" s="2037"/>
      <c r="P979" s="2037"/>
      <c r="Q979" s="1725"/>
      <c r="R979" s="1725"/>
      <c r="S979" s="1725"/>
      <c r="T979" s="1725"/>
    </row>
    <row r="980" spans="1:20" s="175" customFormat="1" ht="13.5" hidden="1" customHeight="1">
      <c r="A980" s="2074" t="s">
        <v>383</v>
      </c>
      <c r="B980" s="2009" t="s">
        <v>384</v>
      </c>
      <c r="C980" s="2003"/>
      <c r="D980" s="2003"/>
      <c r="E980" s="2003"/>
      <c r="F980" s="2003"/>
      <c r="G980" s="2882" t="str">
        <f>G979</f>
        <v>Each Sqm</v>
      </c>
      <c r="H980" s="2883"/>
      <c r="I980" s="1723">
        <f>K6201</f>
        <v>12.4</v>
      </c>
      <c r="J980" s="1721"/>
      <c r="K980" s="1721">
        <f>I980+J980</f>
        <v>12.4</v>
      </c>
      <c r="L980" s="2884">
        <f>ROUND(K980,1)</f>
        <v>12.4</v>
      </c>
      <c r="M980" s="2885"/>
      <c r="N980" s="2037"/>
      <c r="O980" s="2037"/>
      <c r="P980" s="2037"/>
      <c r="Q980" s="1725"/>
      <c r="R980" s="1725"/>
      <c r="S980" s="1725"/>
      <c r="T980" s="1725"/>
    </row>
    <row r="981" spans="1:20" s="175" customFormat="1" ht="13.5" hidden="1" customHeight="1">
      <c r="A981" s="2074" t="s">
        <v>386</v>
      </c>
      <c r="B981" s="2009" t="s">
        <v>387</v>
      </c>
      <c r="C981" s="2003"/>
      <c r="D981" s="2003"/>
      <c r="E981" s="2003"/>
      <c r="F981" s="2003"/>
      <c r="G981" s="2882" t="str">
        <f>G980</f>
        <v>Each Sqm</v>
      </c>
      <c r="H981" s="2883"/>
      <c r="I981" s="1723">
        <f>K6205</f>
        <v>12.620000000000001</v>
      </c>
      <c r="J981" s="1721"/>
      <c r="K981" s="1721">
        <f>I981+J981</f>
        <v>12.620000000000001</v>
      </c>
      <c r="L981" s="2884">
        <f>ROUND(K981,1)</f>
        <v>12.6</v>
      </c>
      <c r="M981" s="2885"/>
      <c r="N981" s="2037"/>
      <c r="O981" s="2037"/>
      <c r="P981" s="2037"/>
      <c r="Q981" s="1725"/>
      <c r="R981" s="1725"/>
      <c r="S981" s="1725"/>
      <c r="T981" s="1725"/>
    </row>
    <row r="982" spans="1:20" s="175" customFormat="1" ht="13.5" hidden="1" customHeight="1">
      <c r="A982" s="2074" t="s">
        <v>432</v>
      </c>
      <c r="B982" s="2009" t="s">
        <v>3622</v>
      </c>
      <c r="C982" s="2003"/>
      <c r="D982" s="2003"/>
      <c r="E982" s="2003"/>
      <c r="F982" s="2003"/>
      <c r="G982" s="2882" t="str">
        <f t="shared" ref="G982:G983" si="214">G981</f>
        <v>Each Sqm</v>
      </c>
      <c r="H982" s="2883"/>
      <c r="I982" s="1723">
        <f>K6209</f>
        <v>12.850000000000001</v>
      </c>
      <c r="J982" s="1721"/>
      <c r="K982" s="1721">
        <f t="shared" ref="K982:K983" si="215">I982+J982</f>
        <v>12.850000000000001</v>
      </c>
      <c r="L982" s="2884">
        <f t="shared" ref="L982:L983" si="216">ROUND(K982,1)</f>
        <v>12.9</v>
      </c>
      <c r="M982" s="2885"/>
      <c r="N982" s="2037"/>
      <c r="O982" s="2037"/>
      <c r="P982" s="2037"/>
      <c r="Q982" s="1725"/>
      <c r="R982" s="1725"/>
      <c r="S982" s="1725"/>
      <c r="T982" s="1725"/>
    </row>
    <row r="983" spans="1:20" s="175" customFormat="1" ht="13.5" hidden="1" customHeight="1">
      <c r="A983" s="2074" t="s">
        <v>443</v>
      </c>
      <c r="B983" s="2009" t="s">
        <v>3636</v>
      </c>
      <c r="C983" s="2003"/>
      <c r="D983" s="2003"/>
      <c r="E983" s="2003"/>
      <c r="F983" s="2003"/>
      <c r="G983" s="2882" t="str">
        <f t="shared" si="214"/>
        <v>Each Sqm</v>
      </c>
      <c r="H983" s="2883"/>
      <c r="I983" s="1723">
        <f>K6213</f>
        <v>13.090000000000002</v>
      </c>
      <c r="J983" s="1721"/>
      <c r="K983" s="1721">
        <f t="shared" si="215"/>
        <v>13.090000000000002</v>
      </c>
      <c r="L983" s="2884">
        <f t="shared" si="216"/>
        <v>13.1</v>
      </c>
      <c r="M983" s="2885"/>
      <c r="N983" s="2037"/>
      <c r="O983" s="2037"/>
      <c r="P983" s="2037"/>
      <c r="Q983" s="1725"/>
      <c r="R983" s="1725"/>
      <c r="S983" s="1725"/>
      <c r="T983" s="1725"/>
    </row>
    <row r="984" spans="1:20" s="175" customFormat="1" ht="13.5" hidden="1" customHeight="1">
      <c r="A984" s="1998">
        <f>A979+1</f>
        <v>128</v>
      </c>
      <c r="B984" s="1828" t="s">
        <v>3879</v>
      </c>
      <c r="C984" s="2003"/>
      <c r="D984" s="2003"/>
      <c r="E984" s="2003"/>
      <c r="F984" s="2003"/>
      <c r="G984" s="2882" t="s">
        <v>390</v>
      </c>
      <c r="H984" s="2883"/>
      <c r="I984" s="1723"/>
      <c r="J984" s="1721"/>
      <c r="K984" s="1721"/>
      <c r="L984" s="2884"/>
      <c r="M984" s="2885"/>
      <c r="N984" s="2037"/>
      <c r="O984" s="2037"/>
      <c r="P984" s="2037"/>
      <c r="Q984" s="1725"/>
      <c r="R984" s="1725"/>
      <c r="S984" s="1725"/>
      <c r="T984" s="1725"/>
    </row>
    <row r="985" spans="1:20" s="175" customFormat="1" ht="13.5" hidden="1" customHeight="1">
      <c r="A985" s="2074" t="s">
        <v>383</v>
      </c>
      <c r="B985" s="2009" t="s">
        <v>384</v>
      </c>
      <c r="C985" s="2003"/>
      <c r="D985" s="2003"/>
      <c r="E985" s="2003"/>
      <c r="F985" s="2003"/>
      <c r="G985" s="2882" t="str">
        <f>G984</f>
        <v>Each Sqm</v>
      </c>
      <c r="H985" s="2883"/>
      <c r="I985" s="1723">
        <f>K6226</f>
        <v>16.899999999999999</v>
      </c>
      <c r="J985" s="1721"/>
      <c r="K985" s="1721">
        <f>I985+J985</f>
        <v>16.899999999999999</v>
      </c>
      <c r="L985" s="2884">
        <f>ROUND(K985,1)</f>
        <v>16.899999999999999</v>
      </c>
      <c r="M985" s="2885"/>
      <c r="N985" s="2037"/>
      <c r="O985" s="2037"/>
      <c r="P985" s="2037"/>
      <c r="Q985" s="1725"/>
      <c r="R985" s="1725"/>
      <c r="S985" s="1725"/>
      <c r="T985" s="1725"/>
    </row>
    <row r="986" spans="1:20" s="175" customFormat="1" ht="13.5" hidden="1" customHeight="1">
      <c r="A986" s="2074" t="s">
        <v>386</v>
      </c>
      <c r="B986" s="2009" t="s">
        <v>387</v>
      </c>
      <c r="C986" s="2003"/>
      <c r="D986" s="2003"/>
      <c r="E986" s="2003"/>
      <c r="F986" s="2003"/>
      <c r="G986" s="2882" t="str">
        <f>G985</f>
        <v>Each Sqm</v>
      </c>
      <c r="H986" s="2883"/>
      <c r="I986" s="1723">
        <f>K6230</f>
        <v>17.22</v>
      </c>
      <c r="J986" s="1721"/>
      <c r="K986" s="1721">
        <f>I986+J986</f>
        <v>17.22</v>
      </c>
      <c r="L986" s="2884">
        <f>ROUND(K986,1)</f>
        <v>17.2</v>
      </c>
      <c r="M986" s="2885"/>
      <c r="N986" s="2037"/>
      <c r="O986" s="2037"/>
      <c r="P986" s="2037"/>
      <c r="Q986" s="1725"/>
      <c r="R986" s="1725"/>
      <c r="S986" s="1725"/>
      <c r="T986" s="1725"/>
    </row>
    <row r="987" spans="1:20" s="175" customFormat="1" ht="13.5" hidden="1" customHeight="1">
      <c r="A987" s="2074" t="s">
        <v>432</v>
      </c>
      <c r="B987" s="2009" t="s">
        <v>3622</v>
      </c>
      <c r="C987" s="2003"/>
      <c r="D987" s="2003"/>
      <c r="E987" s="2003"/>
      <c r="F987" s="2003"/>
      <c r="G987" s="2882" t="str">
        <f t="shared" ref="G987:G988" si="217">G986</f>
        <v>Each Sqm</v>
      </c>
      <c r="H987" s="2883"/>
      <c r="I987" s="1723">
        <f>K6234</f>
        <v>17.549999999999997</v>
      </c>
      <c r="J987" s="1721"/>
      <c r="K987" s="1721">
        <f t="shared" ref="K987:K988" si="218">I987+J987</f>
        <v>17.549999999999997</v>
      </c>
      <c r="L987" s="2884">
        <f t="shared" ref="L987:L988" si="219">ROUND(K987,1)</f>
        <v>17.600000000000001</v>
      </c>
      <c r="M987" s="2885"/>
      <c r="N987" s="2037"/>
      <c r="O987" s="2037"/>
      <c r="P987" s="2037"/>
      <c r="Q987" s="1725"/>
      <c r="R987" s="1725"/>
      <c r="S987" s="1725"/>
      <c r="T987" s="1725"/>
    </row>
    <row r="988" spans="1:20" s="175" customFormat="1" ht="13.5" hidden="1" customHeight="1">
      <c r="A988" s="2074" t="s">
        <v>443</v>
      </c>
      <c r="B988" s="2009" t="s">
        <v>3636</v>
      </c>
      <c r="C988" s="2003"/>
      <c r="D988" s="2003"/>
      <c r="E988" s="2003"/>
      <c r="F988" s="2003"/>
      <c r="G988" s="2882" t="str">
        <f t="shared" si="217"/>
        <v>Each Sqm</v>
      </c>
      <c r="H988" s="2883"/>
      <c r="I988" s="1723">
        <f>K6238</f>
        <v>17.889999999999997</v>
      </c>
      <c r="J988" s="1721"/>
      <c r="K988" s="1721">
        <f t="shared" si="218"/>
        <v>17.889999999999997</v>
      </c>
      <c r="L988" s="2884">
        <f t="shared" si="219"/>
        <v>17.899999999999999</v>
      </c>
      <c r="M988" s="2885"/>
      <c r="N988" s="2037"/>
      <c r="O988" s="2037"/>
      <c r="P988" s="2037"/>
      <c r="Q988" s="1725"/>
      <c r="R988" s="1725"/>
      <c r="S988" s="1725"/>
      <c r="T988" s="1725"/>
    </row>
    <row r="989" spans="1:20" s="175" customFormat="1" ht="13.5" hidden="1" customHeight="1">
      <c r="A989" s="1998">
        <f>A984+1</f>
        <v>129</v>
      </c>
      <c r="B989" s="1828" t="s">
        <v>3880</v>
      </c>
      <c r="C989" s="2003"/>
      <c r="D989" s="2003"/>
      <c r="E989" s="2003"/>
      <c r="F989" s="2003"/>
      <c r="G989" s="2882" t="s">
        <v>390</v>
      </c>
      <c r="H989" s="2883"/>
      <c r="I989" s="1723"/>
      <c r="J989" s="1721"/>
      <c r="K989" s="1721"/>
      <c r="L989" s="2884"/>
      <c r="M989" s="2885"/>
      <c r="N989" s="2037"/>
      <c r="O989" s="2037"/>
      <c r="P989" s="2037"/>
      <c r="T989" s="1759"/>
    </row>
    <row r="990" spans="1:20" s="175" customFormat="1" ht="13.5" hidden="1" customHeight="1">
      <c r="A990" s="2074" t="s">
        <v>383</v>
      </c>
      <c r="B990" s="2009" t="s">
        <v>384</v>
      </c>
      <c r="C990" s="2003"/>
      <c r="D990" s="2003"/>
      <c r="E990" s="2003"/>
      <c r="F990" s="2003"/>
      <c r="G990" s="2882" t="str">
        <f>G989</f>
        <v>Each Sqm</v>
      </c>
      <c r="H990" s="2883"/>
      <c r="I990" s="1723">
        <f>K6245</f>
        <v>17.22</v>
      </c>
      <c r="J990" s="1721"/>
      <c r="K990" s="1721">
        <f>I990+J990</f>
        <v>17.22</v>
      </c>
      <c r="L990" s="2884">
        <f>ROUND(K990,1)</f>
        <v>17.2</v>
      </c>
      <c r="M990" s="2885"/>
      <c r="N990" s="2037"/>
      <c r="O990" s="2037"/>
      <c r="P990" s="2037"/>
      <c r="Q990" s="1725"/>
      <c r="R990" s="1725"/>
      <c r="S990" s="1725"/>
      <c r="T990" s="1725"/>
    </row>
    <row r="991" spans="1:20" s="175" customFormat="1" ht="13.5" hidden="1" customHeight="1">
      <c r="A991" s="2074" t="s">
        <v>386</v>
      </c>
      <c r="B991" s="2009" t="s">
        <v>387</v>
      </c>
      <c r="C991" s="2003"/>
      <c r="D991" s="2003"/>
      <c r="E991" s="2003"/>
      <c r="F991" s="2003"/>
      <c r="G991" s="2882" t="str">
        <f>G990</f>
        <v>Each Sqm</v>
      </c>
      <c r="H991" s="2883"/>
      <c r="I991" s="1723">
        <f>K6249</f>
        <v>17.759999999999998</v>
      </c>
      <c r="J991" s="1721"/>
      <c r="K991" s="1721">
        <f>I991+J991</f>
        <v>17.759999999999998</v>
      </c>
      <c r="L991" s="2884">
        <f>ROUND(K991,1)</f>
        <v>17.8</v>
      </c>
      <c r="M991" s="2885"/>
      <c r="N991" s="2037"/>
      <c r="O991" s="2037"/>
      <c r="P991" s="2037"/>
      <c r="Q991" s="1725"/>
      <c r="R991" s="1725"/>
      <c r="S991" s="1725"/>
      <c r="T991" s="1725"/>
    </row>
    <row r="992" spans="1:20" s="175" customFormat="1" ht="13.5" hidden="1" customHeight="1">
      <c r="A992" s="2074" t="s">
        <v>432</v>
      </c>
      <c r="B992" s="2009" t="s">
        <v>3622</v>
      </c>
      <c r="C992" s="2003"/>
      <c r="D992" s="2003"/>
      <c r="E992" s="2003"/>
      <c r="F992" s="2003"/>
      <c r="G992" s="2882" t="str">
        <f t="shared" ref="G992:G993" si="220">G991</f>
        <v>Each Sqm</v>
      </c>
      <c r="H992" s="2883"/>
      <c r="I992" s="1723">
        <f>K6255</f>
        <v>19.149999999999999</v>
      </c>
      <c r="J992" s="1721"/>
      <c r="K992" s="1721">
        <f t="shared" ref="K992:K993" si="221">I992+J992</f>
        <v>19.149999999999999</v>
      </c>
      <c r="L992" s="2884">
        <f t="shared" ref="L992:L993" si="222">ROUND(K992,1)</f>
        <v>19.2</v>
      </c>
      <c r="M992" s="2885"/>
      <c r="N992" s="2037"/>
      <c r="O992" s="2037"/>
      <c r="P992" s="2037"/>
      <c r="Q992" s="1725"/>
      <c r="R992" s="1725"/>
      <c r="S992" s="1725"/>
      <c r="T992" s="1725"/>
    </row>
    <row r="993" spans="1:20" s="175" customFormat="1" ht="13.5" hidden="1" customHeight="1">
      <c r="A993" s="2074" t="s">
        <v>443</v>
      </c>
      <c r="B993" s="2009" t="s">
        <v>3636</v>
      </c>
      <c r="C993" s="2003"/>
      <c r="D993" s="2003"/>
      <c r="E993" s="2003"/>
      <c r="F993" s="2003"/>
      <c r="G993" s="2882" t="str">
        <f t="shared" si="220"/>
        <v>Each Sqm</v>
      </c>
      <c r="H993" s="2883"/>
      <c r="I993" s="1723">
        <f>K6260</f>
        <v>20.56</v>
      </c>
      <c r="J993" s="1721"/>
      <c r="K993" s="1721">
        <f t="shared" si="221"/>
        <v>20.56</v>
      </c>
      <c r="L993" s="2884">
        <f t="shared" si="222"/>
        <v>20.6</v>
      </c>
      <c r="M993" s="2885"/>
      <c r="N993" s="2037"/>
      <c r="O993" s="2037"/>
      <c r="P993" s="2037"/>
      <c r="Q993" s="1725"/>
      <c r="R993" s="1725"/>
      <c r="S993" s="1725"/>
      <c r="T993" s="1725"/>
    </row>
    <row r="994" spans="1:20" s="175" customFormat="1" ht="13.5" hidden="1" customHeight="1">
      <c r="A994" s="1998">
        <f>A989+1</f>
        <v>130</v>
      </c>
      <c r="B994" s="1884" t="s">
        <v>3881</v>
      </c>
      <c r="C994" s="2003"/>
      <c r="D994" s="2003"/>
      <c r="E994" s="2003"/>
      <c r="F994" s="2003"/>
      <c r="G994" s="2882" t="s">
        <v>390</v>
      </c>
      <c r="H994" s="2883"/>
      <c r="I994" s="1723"/>
      <c r="J994" s="1721"/>
      <c r="K994" s="1721"/>
      <c r="L994" s="2884"/>
      <c r="M994" s="2885"/>
      <c r="N994" s="2037"/>
      <c r="O994" s="2037"/>
      <c r="P994" s="2037"/>
      <c r="Q994" s="1759" t="s">
        <v>583</v>
      </c>
      <c r="R994" s="1816" t="s">
        <v>584</v>
      </c>
      <c r="T994" s="1759"/>
    </row>
    <row r="995" spans="1:20" s="175" customFormat="1" ht="13.5" hidden="1" customHeight="1">
      <c r="A995" s="2074" t="s">
        <v>383</v>
      </c>
      <c r="B995" s="2009" t="s">
        <v>384</v>
      </c>
      <c r="C995" s="2003"/>
      <c r="D995" s="2003"/>
      <c r="E995" s="2003"/>
      <c r="F995" s="2003"/>
      <c r="G995" s="2882" t="str">
        <f>G994</f>
        <v>Each Sqm</v>
      </c>
      <c r="H995" s="2883"/>
      <c r="I995" s="1723">
        <f>K6273</f>
        <v>140.84</v>
      </c>
      <c r="J995" s="1721"/>
      <c r="K995" s="1721">
        <f>I995+J995</f>
        <v>140.84</v>
      </c>
      <c r="L995" s="2884">
        <f>ROUND(K995,1)</f>
        <v>140.80000000000001</v>
      </c>
      <c r="M995" s="2885"/>
      <c r="N995" s="2037"/>
      <c r="O995" s="2037"/>
      <c r="P995" s="2037"/>
      <c r="Q995" s="1725"/>
      <c r="R995" s="2075"/>
      <c r="S995" s="1725"/>
      <c r="T995" s="1725"/>
    </row>
    <row r="996" spans="1:20" s="175" customFormat="1" ht="13.5" hidden="1" customHeight="1">
      <c r="A996" s="2074" t="s">
        <v>386</v>
      </c>
      <c r="B996" s="2009" t="s">
        <v>387</v>
      </c>
      <c r="C996" s="2003"/>
      <c r="D996" s="2003"/>
      <c r="E996" s="2003"/>
      <c r="F996" s="2003"/>
      <c r="G996" s="2882" t="str">
        <f>G995</f>
        <v>Each Sqm</v>
      </c>
      <c r="H996" s="2883"/>
      <c r="I996" s="1723">
        <f>K6277</f>
        <v>144.06</v>
      </c>
      <c r="J996" s="1721"/>
      <c r="K996" s="1721">
        <f>I996+J996</f>
        <v>144.06</v>
      </c>
      <c r="L996" s="2884">
        <f>ROUND(K996,1)</f>
        <v>144.1</v>
      </c>
      <c r="M996" s="2885"/>
      <c r="N996" s="2037"/>
      <c r="O996" s="2037"/>
      <c r="P996" s="2037"/>
      <c r="Q996" s="1725"/>
      <c r="R996" s="2075"/>
      <c r="S996" s="1725"/>
      <c r="T996" s="1725"/>
    </row>
    <row r="997" spans="1:20" s="175" customFormat="1" ht="13.5" hidden="1" customHeight="1">
      <c r="A997" s="2074" t="s">
        <v>432</v>
      </c>
      <c r="B997" s="2009" t="s">
        <v>3622</v>
      </c>
      <c r="C997" s="2003"/>
      <c r="D997" s="2003"/>
      <c r="E997" s="2003"/>
      <c r="F997" s="2003"/>
      <c r="G997" s="2882" t="str">
        <f t="shared" ref="G997:G998" si="223">G996</f>
        <v>Each Sqm</v>
      </c>
      <c r="H997" s="2883"/>
      <c r="I997" s="1723">
        <f>K6281</f>
        <v>147.38</v>
      </c>
      <c r="J997" s="1721"/>
      <c r="K997" s="1721">
        <f t="shared" ref="K997:K998" si="224">I997+J997</f>
        <v>147.38</v>
      </c>
      <c r="L997" s="2884">
        <f t="shared" ref="L997:L998" si="225">ROUND(K997,1)</f>
        <v>147.4</v>
      </c>
      <c r="M997" s="2885"/>
      <c r="N997" s="2037"/>
      <c r="O997" s="2037"/>
      <c r="P997" s="2037"/>
      <c r="Q997" s="1725"/>
      <c r="R997" s="1725"/>
      <c r="S997" s="1725"/>
      <c r="T997" s="1725"/>
    </row>
    <row r="998" spans="1:20" s="175" customFormat="1" ht="13.5" hidden="1" customHeight="1">
      <c r="A998" s="2074" t="s">
        <v>443</v>
      </c>
      <c r="B998" s="2009" t="s">
        <v>3636</v>
      </c>
      <c r="C998" s="2003"/>
      <c r="D998" s="2003"/>
      <c r="E998" s="2003"/>
      <c r="F998" s="2003"/>
      <c r="G998" s="2882" t="str">
        <f t="shared" si="223"/>
        <v>Each Sqm</v>
      </c>
      <c r="H998" s="2883"/>
      <c r="I998" s="1723">
        <f>K6285</f>
        <v>150.79999999999998</v>
      </c>
      <c r="J998" s="1721"/>
      <c r="K998" s="1721">
        <f t="shared" si="224"/>
        <v>150.79999999999998</v>
      </c>
      <c r="L998" s="2884">
        <f t="shared" si="225"/>
        <v>150.80000000000001</v>
      </c>
      <c r="M998" s="2885"/>
      <c r="N998" s="2037"/>
      <c r="O998" s="2037"/>
      <c r="P998" s="2037"/>
      <c r="Q998" s="1725"/>
      <c r="R998" s="1725"/>
      <c r="S998" s="1725"/>
      <c r="T998" s="1725"/>
    </row>
    <row r="999" spans="1:20" s="1741" customFormat="1" ht="13.5" customHeight="1">
      <c r="A999" s="1998">
        <f>A994+1</f>
        <v>131</v>
      </c>
      <c r="B999" s="2010" t="s">
        <v>3882</v>
      </c>
      <c r="C999" s="2003"/>
      <c r="D999" s="2003"/>
      <c r="E999" s="2003"/>
      <c r="F999" s="2003"/>
      <c r="G999" s="2882" t="s">
        <v>390</v>
      </c>
      <c r="H999" s="2883"/>
      <c r="I999" s="1723"/>
      <c r="J999" s="1721"/>
      <c r="K999" s="1721"/>
      <c r="L999" s="2884"/>
      <c r="M999" s="2885"/>
      <c r="O999" s="1735" t="s">
        <v>586</v>
      </c>
      <c r="Q999" s="1735" t="s">
        <v>585</v>
      </c>
      <c r="R999" s="2076" t="s">
        <v>584</v>
      </c>
      <c r="T999" s="1706"/>
    </row>
    <row r="1000" spans="1:20" s="175" customFormat="1" ht="13.5" customHeight="1">
      <c r="A1000" s="2074" t="s">
        <v>383</v>
      </c>
      <c r="B1000" s="2009" t="s">
        <v>384</v>
      </c>
      <c r="C1000" s="2003"/>
      <c r="D1000" s="2003"/>
      <c r="E1000" s="2003"/>
      <c r="F1000" s="2003"/>
      <c r="G1000" s="2882" t="str">
        <f>G999</f>
        <v>Each Sqm</v>
      </c>
      <c r="H1000" s="2883"/>
      <c r="I1000" s="1723">
        <f>K6303</f>
        <v>222.51999999999998</v>
      </c>
      <c r="J1000" s="1721"/>
      <c r="K1000" s="1721">
        <f>I1000+J1000</f>
        <v>222.51999999999998</v>
      </c>
      <c r="L1000" s="2884">
        <f>ROUND(K1000,1)</f>
        <v>222.5</v>
      </c>
      <c r="M1000" s="2885"/>
      <c r="N1000" s="2037"/>
      <c r="O1000" s="1725"/>
      <c r="P1000" s="2037"/>
      <c r="Q1000" s="1725"/>
      <c r="R1000" s="2075"/>
    </row>
    <row r="1001" spans="1:20" s="175" customFormat="1" ht="13.5" hidden="1" customHeight="1">
      <c r="A1001" s="2074" t="s">
        <v>386</v>
      </c>
      <c r="B1001" s="2009" t="s">
        <v>387</v>
      </c>
      <c r="C1001" s="2003"/>
      <c r="D1001" s="2003"/>
      <c r="E1001" s="2003"/>
      <c r="F1001" s="2003"/>
      <c r="G1001" s="2882" t="str">
        <f>G1000</f>
        <v>Each Sqm</v>
      </c>
      <c r="H1001" s="2883"/>
      <c r="I1001" s="1723">
        <f>K6311</f>
        <v>230.06</v>
      </c>
      <c r="J1001" s="1721"/>
      <c r="K1001" s="1721">
        <f>I1001+J1001</f>
        <v>230.06</v>
      </c>
      <c r="L1001" s="2884">
        <f>ROUND(K1001,1)</f>
        <v>230.1</v>
      </c>
      <c r="M1001" s="2885"/>
      <c r="N1001" s="2037"/>
      <c r="O1001" s="1725"/>
      <c r="P1001" s="2037"/>
      <c r="Q1001" s="1725"/>
      <c r="R1001" s="2075"/>
    </row>
    <row r="1002" spans="1:20" s="175" customFormat="1" ht="13.5" hidden="1" customHeight="1">
      <c r="A1002" s="2074" t="s">
        <v>432</v>
      </c>
      <c r="B1002" s="2009" t="s">
        <v>3622</v>
      </c>
      <c r="C1002" s="2003"/>
      <c r="D1002" s="2003"/>
      <c r="E1002" s="2003"/>
      <c r="F1002" s="2003"/>
      <c r="G1002" s="2882" t="str">
        <f t="shared" ref="G1002:G1003" si="226">G1001</f>
        <v>Each Sqm</v>
      </c>
      <c r="H1002" s="2883"/>
      <c r="I1002" s="1723">
        <f>K6319</f>
        <v>237.82</v>
      </c>
      <c r="J1002" s="1721"/>
      <c r="K1002" s="1721">
        <f t="shared" ref="K1002:K1003" si="227">I1002+J1002</f>
        <v>237.82</v>
      </c>
      <c r="L1002" s="2884">
        <f t="shared" ref="L1002:L1003" si="228">ROUND(K1002,1)</f>
        <v>237.8</v>
      </c>
      <c r="M1002" s="2885"/>
      <c r="N1002" s="2037"/>
      <c r="O1002" s="2037"/>
      <c r="P1002" s="2037"/>
      <c r="Q1002" s="1725"/>
      <c r="R1002" s="1725"/>
      <c r="S1002" s="1725"/>
      <c r="T1002" s="1725"/>
    </row>
    <row r="1003" spans="1:20" s="175" customFormat="1" ht="13.5" hidden="1" customHeight="1">
      <c r="A1003" s="2074" t="s">
        <v>443</v>
      </c>
      <c r="B1003" s="2009" t="s">
        <v>3636</v>
      </c>
      <c r="C1003" s="2003"/>
      <c r="D1003" s="2003"/>
      <c r="E1003" s="2003"/>
      <c r="F1003" s="2003"/>
      <c r="G1003" s="2882" t="str">
        <f t="shared" si="226"/>
        <v>Each Sqm</v>
      </c>
      <c r="H1003" s="2883"/>
      <c r="I1003" s="1723">
        <f>K6327</f>
        <v>245.82000000000002</v>
      </c>
      <c r="J1003" s="1721"/>
      <c r="K1003" s="1721">
        <f t="shared" si="227"/>
        <v>245.82000000000002</v>
      </c>
      <c r="L1003" s="2884">
        <f t="shared" si="228"/>
        <v>245.8</v>
      </c>
      <c r="M1003" s="2885"/>
      <c r="N1003" s="2037"/>
      <c r="O1003" s="2037"/>
      <c r="P1003" s="2037"/>
      <c r="Q1003" s="1725"/>
      <c r="R1003" s="1725"/>
      <c r="S1003" s="1725"/>
      <c r="T1003" s="1725"/>
    </row>
    <row r="1004" spans="1:20" s="175" customFormat="1" ht="13.5" hidden="1" customHeight="1">
      <c r="A1004" s="1998">
        <f>A999+1</f>
        <v>132</v>
      </c>
      <c r="B1004" s="1828" t="s">
        <v>3883</v>
      </c>
      <c r="C1004" s="2003"/>
      <c r="D1004" s="2003"/>
      <c r="E1004" s="2003"/>
      <c r="F1004" s="2003"/>
      <c r="G1004" s="2882" t="s">
        <v>390</v>
      </c>
      <c r="H1004" s="2883"/>
      <c r="I1004" s="1723"/>
      <c r="J1004" s="1721"/>
      <c r="K1004" s="1721"/>
      <c r="L1004" s="2884"/>
      <c r="M1004" s="2885"/>
      <c r="N1004" s="2037"/>
      <c r="O1004" s="1759"/>
      <c r="P1004" s="2037"/>
      <c r="Q1004" s="1759"/>
      <c r="R1004" s="1816" t="s">
        <v>587</v>
      </c>
    </row>
    <row r="1005" spans="1:20" s="175" customFormat="1" ht="13.5" hidden="1" customHeight="1">
      <c r="A1005" s="2074" t="s">
        <v>383</v>
      </c>
      <c r="B1005" s="2009" t="s">
        <v>384</v>
      </c>
      <c r="C1005" s="2003"/>
      <c r="D1005" s="2003"/>
      <c r="E1005" s="2003"/>
      <c r="F1005" s="2003"/>
      <c r="G1005" s="2882" t="str">
        <f>G1004</f>
        <v>Each Sqm</v>
      </c>
      <c r="H1005" s="2883"/>
      <c r="I1005" s="1723">
        <f>K6343</f>
        <v>37.678387096774188</v>
      </c>
      <c r="J1005" s="1721"/>
      <c r="K1005" s="1721">
        <f>I1005+J1005</f>
        <v>37.678387096774188</v>
      </c>
      <c r="L1005" s="2884">
        <f>ROUND(K1005,1)</f>
        <v>37.700000000000003</v>
      </c>
      <c r="M1005" s="2885"/>
      <c r="N1005" s="2037"/>
      <c r="O1005" s="1725"/>
      <c r="P1005" s="2037"/>
      <c r="Q1005" s="1725"/>
      <c r="R1005" s="2075"/>
    </row>
    <row r="1006" spans="1:20" s="175" customFormat="1" ht="13.5" hidden="1" customHeight="1">
      <c r="A1006" s="2074" t="s">
        <v>386</v>
      </c>
      <c r="B1006" s="2009" t="s">
        <v>387</v>
      </c>
      <c r="C1006" s="2003"/>
      <c r="D1006" s="2003"/>
      <c r="E1006" s="2003"/>
      <c r="F1006" s="2003"/>
      <c r="G1006" s="2882" t="str">
        <f>G1005</f>
        <v>Each Sqm</v>
      </c>
      <c r="H1006" s="2883"/>
      <c r="I1006" s="1723">
        <f>K6352</f>
        <v>33.4</v>
      </c>
      <c r="J1006" s="2035"/>
      <c r="K1006" s="1721">
        <f>I1006+J1006</f>
        <v>33.4</v>
      </c>
      <c r="L1006" s="2931">
        <f>ROUND(K1006,1)</f>
        <v>33.4</v>
      </c>
      <c r="M1006" s="3000"/>
      <c r="N1006" s="2037"/>
      <c r="O1006" s="1725"/>
      <c r="P1006" s="2037"/>
      <c r="Q1006" s="1725"/>
      <c r="R1006" s="2075"/>
    </row>
    <row r="1007" spans="1:20" s="175" customFormat="1" ht="13.5" hidden="1" customHeight="1">
      <c r="A1007" s="2074" t="s">
        <v>432</v>
      </c>
      <c r="B1007" s="2009" t="s">
        <v>3622</v>
      </c>
      <c r="C1007" s="2003"/>
      <c r="D1007" s="2003"/>
      <c r="E1007" s="2003"/>
      <c r="F1007" s="2003"/>
      <c r="G1007" s="2882" t="str">
        <f t="shared" ref="G1007:G1008" si="229">G1006</f>
        <v>Each Sqm</v>
      </c>
      <c r="H1007" s="2883"/>
      <c r="I1007" s="1723">
        <f>K6360</f>
        <v>34.078387096774193</v>
      </c>
      <c r="J1007" s="1721"/>
      <c r="K1007" s="1721">
        <f t="shared" ref="K1007:K1008" si="230">I1007+J1007</f>
        <v>34.078387096774193</v>
      </c>
      <c r="L1007" s="2884">
        <f t="shared" ref="L1007:L1008" si="231">ROUND(K1007,1)</f>
        <v>34.1</v>
      </c>
      <c r="M1007" s="2885"/>
      <c r="N1007" s="2037"/>
      <c r="O1007" s="2037"/>
      <c r="P1007" s="2037"/>
      <c r="Q1007" s="1725"/>
      <c r="R1007" s="1725"/>
      <c r="S1007" s="1725"/>
      <c r="T1007" s="1725"/>
    </row>
    <row r="1008" spans="1:20" s="175" customFormat="1" ht="13.5" hidden="1" customHeight="1">
      <c r="A1008" s="2074" t="s">
        <v>443</v>
      </c>
      <c r="B1008" s="2009" t="s">
        <v>3636</v>
      </c>
      <c r="C1008" s="2003"/>
      <c r="D1008" s="2003"/>
      <c r="E1008" s="2003"/>
      <c r="F1008" s="2003"/>
      <c r="G1008" s="2882" t="str">
        <f t="shared" si="229"/>
        <v>Each Sqm</v>
      </c>
      <c r="H1008" s="2883"/>
      <c r="I1008" s="1723">
        <f>K6370</f>
        <v>35.1</v>
      </c>
      <c r="J1008" s="1721"/>
      <c r="K1008" s="1721">
        <f t="shared" si="230"/>
        <v>35.1</v>
      </c>
      <c r="L1008" s="2884">
        <f t="shared" si="231"/>
        <v>35.1</v>
      </c>
      <c r="M1008" s="2885"/>
      <c r="N1008" s="2037"/>
      <c r="O1008" s="2037"/>
      <c r="P1008" s="2037"/>
      <c r="Q1008" s="1725"/>
      <c r="R1008" s="1725"/>
      <c r="S1008" s="1725"/>
      <c r="T1008" s="1725"/>
    </row>
    <row r="1009" spans="1:20" s="1741" customFormat="1" ht="13.5" hidden="1" customHeight="1">
      <c r="A1009" s="1998">
        <f>A1004+1</f>
        <v>133</v>
      </c>
      <c r="B1009" s="2010" t="s">
        <v>3884</v>
      </c>
      <c r="C1009" s="2003"/>
      <c r="D1009" s="2003"/>
      <c r="E1009" s="2003"/>
      <c r="F1009" s="2003"/>
      <c r="G1009" s="2882" t="s">
        <v>390</v>
      </c>
      <c r="H1009" s="2883"/>
      <c r="I1009" s="1723"/>
      <c r="J1009" s="2035"/>
      <c r="K1009" s="1721"/>
      <c r="L1009" s="2931"/>
      <c r="M1009" s="3000"/>
      <c r="O1009" s="1735" t="s">
        <v>588</v>
      </c>
      <c r="R1009" s="2076" t="s">
        <v>587</v>
      </c>
      <c r="T1009" s="1706"/>
    </row>
    <row r="1010" spans="1:20" s="175" customFormat="1" ht="13.5" hidden="1" customHeight="1">
      <c r="A1010" s="2074" t="s">
        <v>383</v>
      </c>
      <c r="B1010" s="2009" t="s">
        <v>384</v>
      </c>
      <c r="C1010" s="2003"/>
      <c r="D1010" s="2003"/>
      <c r="E1010" s="2003"/>
      <c r="F1010" s="2003"/>
      <c r="G1010" s="2882" t="str">
        <f>G1009</f>
        <v>Each Sqm</v>
      </c>
      <c r="H1010" s="2883"/>
      <c r="I1010" s="1723">
        <f>K6387</f>
        <v>65.960000000000008</v>
      </c>
      <c r="J1010" s="2035"/>
      <c r="K1010" s="1721">
        <f>I1010+J1010</f>
        <v>65.960000000000008</v>
      </c>
      <c r="L1010" s="2931">
        <f>ROUND(K1010,1)</f>
        <v>66</v>
      </c>
      <c r="M1010" s="3000"/>
      <c r="N1010" s="2037"/>
      <c r="O1010" s="1725"/>
      <c r="P1010" s="2037"/>
      <c r="Q1010" s="1725"/>
      <c r="R1010" s="2075"/>
    </row>
    <row r="1011" spans="1:20" s="175" customFormat="1" ht="13.5" hidden="1" customHeight="1">
      <c r="A1011" s="2074" t="s">
        <v>386</v>
      </c>
      <c r="B1011" s="2009" t="s">
        <v>387</v>
      </c>
      <c r="C1011" s="2003"/>
      <c r="D1011" s="2003"/>
      <c r="E1011" s="2003"/>
      <c r="F1011" s="2003"/>
      <c r="G1011" s="2882" t="str">
        <f>G1010</f>
        <v>Each Sqm</v>
      </c>
      <c r="H1011" s="2883"/>
      <c r="I1011" s="1723">
        <f>K6396</f>
        <v>58.9</v>
      </c>
      <c r="J1011" s="2035"/>
      <c r="K1011" s="1721">
        <f>I1011+J1011</f>
        <v>58.9</v>
      </c>
      <c r="L1011" s="2931">
        <f>ROUND(K1011,1)</f>
        <v>58.9</v>
      </c>
      <c r="M1011" s="3000"/>
      <c r="N1011" s="2037"/>
      <c r="O1011" s="1725"/>
      <c r="P1011" s="2037"/>
      <c r="Q1011" s="1725"/>
      <c r="R1011" s="2075"/>
    </row>
    <row r="1012" spans="1:20" s="175" customFormat="1" ht="13.5" hidden="1" customHeight="1">
      <c r="A1012" s="2074" t="s">
        <v>432</v>
      </c>
      <c r="B1012" s="2009" t="s">
        <v>3622</v>
      </c>
      <c r="C1012" s="2003"/>
      <c r="D1012" s="2003"/>
      <c r="E1012" s="2003"/>
      <c r="F1012" s="2003"/>
      <c r="G1012" s="2882" t="str">
        <f t="shared" ref="G1012:G1013" si="232">G1011</f>
        <v>Each Sqm</v>
      </c>
      <c r="H1012" s="2883"/>
      <c r="I1012" s="1723">
        <f>K6405</f>
        <v>61.2</v>
      </c>
      <c r="J1012" s="1721"/>
      <c r="K1012" s="1721">
        <f t="shared" ref="K1012:K1013" si="233">I1012+J1012</f>
        <v>61.2</v>
      </c>
      <c r="L1012" s="2884">
        <f t="shared" ref="L1012:L1013" si="234">ROUND(K1012,1)</f>
        <v>61.2</v>
      </c>
      <c r="M1012" s="2885"/>
      <c r="N1012" s="2037"/>
      <c r="O1012" s="2037"/>
      <c r="P1012" s="2037"/>
      <c r="Q1012" s="1725"/>
      <c r="R1012" s="1725"/>
      <c r="S1012" s="1725"/>
      <c r="T1012" s="1725"/>
    </row>
    <row r="1013" spans="1:20" s="175" customFormat="1" ht="13.5" hidden="1" customHeight="1">
      <c r="A1013" s="2074" t="s">
        <v>443</v>
      </c>
      <c r="B1013" s="2009" t="s">
        <v>3636</v>
      </c>
      <c r="C1013" s="2003"/>
      <c r="D1013" s="2003"/>
      <c r="E1013" s="2003"/>
      <c r="F1013" s="2003"/>
      <c r="G1013" s="2882" t="str">
        <f t="shared" si="232"/>
        <v>Each Sqm</v>
      </c>
      <c r="H1013" s="2883"/>
      <c r="I1013" s="1723">
        <f>K6414</f>
        <v>63.4</v>
      </c>
      <c r="J1013" s="1721"/>
      <c r="K1013" s="1721">
        <f t="shared" si="233"/>
        <v>63.4</v>
      </c>
      <c r="L1013" s="2884">
        <f t="shared" si="234"/>
        <v>63.4</v>
      </c>
      <c r="M1013" s="2885"/>
      <c r="N1013" s="2037"/>
      <c r="O1013" s="2037"/>
      <c r="P1013" s="2037"/>
      <c r="Q1013" s="1725"/>
      <c r="R1013" s="1725"/>
      <c r="S1013" s="1725"/>
      <c r="T1013" s="1725"/>
    </row>
    <row r="1014" spans="1:20" s="175" customFormat="1" ht="13.5" hidden="1" customHeight="1">
      <c r="A1014" s="1998">
        <f>A1009+1</f>
        <v>134</v>
      </c>
      <c r="B1014" s="1884" t="s">
        <v>3885</v>
      </c>
      <c r="C1014" s="2003"/>
      <c r="D1014" s="2003"/>
      <c r="E1014" s="2003"/>
      <c r="F1014" s="2003"/>
      <c r="G1014" s="2882" t="s">
        <v>390</v>
      </c>
      <c r="H1014" s="2883"/>
      <c r="I1014" s="1723"/>
      <c r="J1014" s="2035"/>
      <c r="K1014" s="1721"/>
      <c r="L1014" s="2931"/>
      <c r="M1014" s="3000"/>
      <c r="N1014" s="2037"/>
      <c r="O1014" s="1759"/>
      <c r="P1014" s="2037"/>
      <c r="Q1014" s="1759" t="s">
        <v>589</v>
      </c>
      <c r="R1014" s="1816" t="s">
        <v>587</v>
      </c>
    </row>
    <row r="1015" spans="1:20" s="175" customFormat="1" ht="13.5" hidden="1" customHeight="1">
      <c r="A1015" s="2074" t="s">
        <v>383</v>
      </c>
      <c r="B1015" s="2009" t="s">
        <v>384</v>
      </c>
      <c r="C1015" s="2003"/>
      <c r="D1015" s="2003"/>
      <c r="E1015" s="2003"/>
      <c r="F1015" s="2003"/>
      <c r="G1015" s="2882" t="str">
        <f>G1014</f>
        <v>Each Sqm</v>
      </c>
      <c r="H1015" s="2883"/>
      <c r="I1015" s="1723">
        <f>K6427</f>
        <v>140.83602150537635</v>
      </c>
      <c r="J1015" s="2035"/>
      <c r="K1015" s="1721">
        <f>I1015+J1015</f>
        <v>140.83602150537635</v>
      </c>
      <c r="L1015" s="2931">
        <f>ROUND(K1015,1)</f>
        <v>140.80000000000001</v>
      </c>
      <c r="M1015" s="3000"/>
      <c r="N1015" s="2037"/>
      <c r="O1015" s="1725"/>
      <c r="P1015" s="2037"/>
      <c r="Q1015" s="1725"/>
      <c r="R1015" s="2075"/>
    </row>
    <row r="1016" spans="1:20" s="175" customFormat="1" ht="13.5" hidden="1" customHeight="1">
      <c r="A1016" s="2074" t="s">
        <v>386</v>
      </c>
      <c r="B1016" s="2009" t="s">
        <v>387</v>
      </c>
      <c r="C1016" s="2003"/>
      <c r="D1016" s="2003"/>
      <c r="E1016" s="2003"/>
      <c r="F1016" s="2003"/>
      <c r="G1016" s="2882" t="str">
        <f>G1015</f>
        <v>Each Sqm</v>
      </c>
      <c r="H1016" s="2883"/>
      <c r="I1016" s="1723">
        <f>K6431</f>
        <v>144.05618279569893</v>
      </c>
      <c r="J1016" s="2035"/>
      <c r="K1016" s="1721">
        <f>I1016+J1016</f>
        <v>144.05618279569893</v>
      </c>
      <c r="L1016" s="2931">
        <f>ROUND(K1016,1)</f>
        <v>144.1</v>
      </c>
      <c r="M1016" s="3000"/>
      <c r="N1016" s="2037"/>
      <c r="O1016" s="1725"/>
      <c r="P1016" s="2037"/>
      <c r="Q1016" s="1725"/>
      <c r="R1016" s="2075"/>
    </row>
    <row r="1017" spans="1:20" s="175" customFormat="1" ht="13.5" hidden="1" customHeight="1">
      <c r="A1017" s="2074" t="s">
        <v>432</v>
      </c>
      <c r="B1017" s="2009" t="s">
        <v>3622</v>
      </c>
      <c r="C1017" s="2003"/>
      <c r="D1017" s="2003"/>
      <c r="E1017" s="2003"/>
      <c r="F1017" s="2003"/>
      <c r="G1017" s="2882" t="str">
        <f t="shared" ref="G1017:G1018" si="235">G1016</f>
        <v>Each Sqm</v>
      </c>
      <c r="H1017" s="2883"/>
      <c r="I1017" s="1723">
        <f>K6435</f>
        <v>147.37294892473119</v>
      </c>
      <c r="J1017" s="1721"/>
      <c r="K1017" s="1721">
        <f t="shared" ref="K1017:K1018" si="236">I1017+J1017</f>
        <v>147.37294892473119</v>
      </c>
      <c r="L1017" s="2884">
        <f t="shared" ref="L1017:L1018" si="237">ROUND(K1017,1)</f>
        <v>147.4</v>
      </c>
      <c r="M1017" s="2885"/>
      <c r="N1017" s="2037"/>
      <c r="O1017" s="2037"/>
      <c r="P1017" s="2037"/>
      <c r="Q1017" s="1725"/>
      <c r="R1017" s="1725"/>
      <c r="S1017" s="1725"/>
      <c r="T1017" s="1725"/>
    </row>
    <row r="1018" spans="1:20" s="175" customFormat="1" ht="13.5" hidden="1" customHeight="1">
      <c r="A1018" s="2074" t="s">
        <v>443</v>
      </c>
      <c r="B1018" s="2009" t="s">
        <v>3636</v>
      </c>
      <c r="C1018" s="2003"/>
      <c r="D1018" s="2003"/>
      <c r="E1018" s="2003"/>
      <c r="F1018" s="2003"/>
      <c r="G1018" s="2882" t="str">
        <f t="shared" si="235"/>
        <v>Each Sqm</v>
      </c>
      <c r="H1018" s="2883"/>
      <c r="I1018" s="1723">
        <f>K6439</f>
        <v>150.78921803763441</v>
      </c>
      <c r="J1018" s="1721"/>
      <c r="K1018" s="1721">
        <f t="shared" si="236"/>
        <v>150.78921803763441</v>
      </c>
      <c r="L1018" s="2884">
        <f t="shared" si="237"/>
        <v>150.80000000000001</v>
      </c>
      <c r="M1018" s="2885"/>
      <c r="N1018" s="2037"/>
      <c r="O1018" s="2037"/>
      <c r="P1018" s="2037"/>
      <c r="Q1018" s="1725"/>
      <c r="R1018" s="1725"/>
      <c r="S1018" s="1725"/>
      <c r="T1018" s="1725"/>
    </row>
    <row r="1019" spans="1:20" s="175" customFormat="1" ht="13.5" hidden="1" customHeight="1">
      <c r="A1019" s="1998">
        <f>A1014+1</f>
        <v>135</v>
      </c>
      <c r="B1019" s="1884" t="s">
        <v>3886</v>
      </c>
      <c r="C1019" s="2003"/>
      <c r="D1019" s="2003"/>
      <c r="E1019" s="2003"/>
      <c r="F1019" s="2003"/>
      <c r="G1019" s="2882" t="s">
        <v>390</v>
      </c>
      <c r="H1019" s="2883"/>
      <c r="I1019" s="1723"/>
      <c r="J1019" s="2035"/>
      <c r="K1019" s="1721"/>
      <c r="L1019" s="2931"/>
      <c r="M1019" s="3000"/>
      <c r="N1019" s="2037"/>
      <c r="O1019" s="1759"/>
      <c r="P1019" s="2037"/>
      <c r="Q1019" s="1759" t="s">
        <v>590</v>
      </c>
      <c r="R1019" s="1816" t="s">
        <v>587</v>
      </c>
    </row>
    <row r="1020" spans="1:20" s="175" customFormat="1" ht="13.5" hidden="1" customHeight="1">
      <c r="A1020" s="2074" t="s">
        <v>383</v>
      </c>
      <c r="B1020" s="2009" t="s">
        <v>384</v>
      </c>
      <c r="C1020" s="2003"/>
      <c r="D1020" s="2003"/>
      <c r="E1020" s="2003"/>
      <c r="F1020" s="2003"/>
      <c r="G1020" s="2882" t="str">
        <f t="shared" ref="G1020:G1028" si="238">G1019</f>
        <v>Each Sqm</v>
      </c>
      <c r="H1020" s="2883"/>
      <c r="I1020" s="1723">
        <f>K6452</f>
        <v>198.56</v>
      </c>
      <c r="J1020" s="2035"/>
      <c r="K1020" s="1721">
        <f>I1020+J1020</f>
        <v>198.56</v>
      </c>
      <c r="L1020" s="2931">
        <f>ROUND(K1020,1)</f>
        <v>198.6</v>
      </c>
      <c r="M1020" s="3000"/>
      <c r="N1020" s="2037"/>
      <c r="O1020" s="1725"/>
      <c r="P1020" s="2037"/>
      <c r="Q1020" s="1725"/>
      <c r="R1020" s="1725"/>
    </row>
    <row r="1021" spans="1:20" s="175" customFormat="1" ht="13.5" hidden="1" customHeight="1">
      <c r="A1021" s="2074" t="s">
        <v>386</v>
      </c>
      <c r="B1021" s="2009" t="s">
        <v>387</v>
      </c>
      <c r="C1021" s="2003"/>
      <c r="D1021" s="2003"/>
      <c r="E1021" s="2003"/>
      <c r="F1021" s="2003"/>
      <c r="G1021" s="2882" t="str">
        <f t="shared" si="238"/>
        <v>Each Sqm</v>
      </c>
      <c r="H1021" s="2883"/>
      <c r="I1021" s="1723">
        <f>K6456</f>
        <v>203.14000000000001</v>
      </c>
      <c r="J1021" s="2002"/>
      <c r="K1021" s="1742">
        <f>I1021+J1021</f>
        <v>203.14000000000001</v>
      </c>
      <c r="L1021" s="2931">
        <f>ROUND(K1021,1)</f>
        <v>203.1</v>
      </c>
      <c r="M1021" s="3000"/>
      <c r="N1021" s="2037"/>
      <c r="O1021" s="1725"/>
      <c r="P1021" s="2037"/>
      <c r="Q1021" s="1725"/>
      <c r="R1021" s="1725"/>
    </row>
    <row r="1022" spans="1:20" s="175" customFormat="1" ht="13.5" hidden="1" customHeight="1">
      <c r="A1022" s="2074" t="s">
        <v>432</v>
      </c>
      <c r="B1022" s="2009" t="s">
        <v>3622</v>
      </c>
      <c r="C1022" s="2003"/>
      <c r="D1022" s="2003"/>
      <c r="E1022" s="2003"/>
      <c r="F1022" s="2003"/>
      <c r="G1022" s="2882" t="str">
        <f t="shared" si="238"/>
        <v>Each Sqm</v>
      </c>
      <c r="H1022" s="2883"/>
      <c r="I1022" s="1723">
        <f>K6460</f>
        <v>207.86</v>
      </c>
      <c r="J1022" s="1721"/>
      <c r="K1022" s="1721">
        <f t="shared" ref="K1022:K1023" si="239">I1022+J1022</f>
        <v>207.86</v>
      </c>
      <c r="L1022" s="2884">
        <f t="shared" ref="L1022:L1023" si="240">ROUND(K1022,1)</f>
        <v>207.9</v>
      </c>
      <c r="M1022" s="2885"/>
      <c r="N1022" s="2037"/>
      <c r="O1022" s="2037"/>
      <c r="P1022" s="2037"/>
      <c r="Q1022" s="1725"/>
      <c r="R1022" s="1725"/>
      <c r="S1022" s="1725"/>
      <c r="T1022" s="1725"/>
    </row>
    <row r="1023" spans="1:20" s="175" customFormat="1" ht="13.5" hidden="1" customHeight="1">
      <c r="A1023" s="2074" t="s">
        <v>443</v>
      </c>
      <c r="B1023" s="2009" t="s">
        <v>3636</v>
      </c>
      <c r="C1023" s="2003"/>
      <c r="D1023" s="2003"/>
      <c r="E1023" s="2003"/>
      <c r="F1023" s="2003"/>
      <c r="G1023" s="2882" t="str">
        <f t="shared" si="238"/>
        <v>Each Sqm</v>
      </c>
      <c r="H1023" s="2883"/>
      <c r="I1023" s="1723">
        <f>K6464</f>
        <v>212.72000000000003</v>
      </c>
      <c r="J1023" s="1721"/>
      <c r="K1023" s="1721">
        <f t="shared" si="239"/>
        <v>212.72000000000003</v>
      </c>
      <c r="L1023" s="2884">
        <f t="shared" si="240"/>
        <v>212.7</v>
      </c>
      <c r="M1023" s="2885"/>
      <c r="N1023" s="2037"/>
      <c r="O1023" s="2037"/>
      <c r="P1023" s="2037"/>
      <c r="Q1023" s="1725"/>
      <c r="R1023" s="1725"/>
      <c r="S1023" s="1725"/>
      <c r="T1023" s="1725"/>
    </row>
    <row r="1024" spans="1:20" s="1741" customFormat="1" ht="13.5" hidden="1" customHeight="1">
      <c r="A1024" s="1716">
        <f>A1019+1</f>
        <v>136</v>
      </c>
      <c r="B1024" s="1742" t="s">
        <v>3887</v>
      </c>
      <c r="C1024" s="1742"/>
      <c r="D1024" s="1742"/>
      <c r="E1024" s="2010"/>
      <c r="F1024" s="1736"/>
      <c r="G1024" s="2989" t="str">
        <f>G1020</f>
        <v>Each Sqm</v>
      </c>
      <c r="H1024" s="2989"/>
      <c r="I1024" s="1742">
        <f>K6473</f>
        <v>3.52</v>
      </c>
      <c r="J1024" s="2010"/>
      <c r="K1024" s="1742">
        <f>I1024+J1024</f>
        <v>3.52</v>
      </c>
      <c r="L1024" s="3003">
        <f>ROUND(K1024,1)</f>
        <v>3.5</v>
      </c>
      <c r="M1024" s="3004"/>
      <c r="O1024" s="1735" t="s">
        <v>592</v>
      </c>
      <c r="Q1024" s="1735" t="s">
        <v>591</v>
      </c>
      <c r="T1024" s="1706"/>
    </row>
    <row r="1025" spans="1:20" s="175" customFormat="1" ht="13.5" hidden="1" customHeight="1">
      <c r="A1025" s="1711">
        <f>A1024+1</f>
        <v>137</v>
      </c>
      <c r="B1025" s="1755" t="s">
        <v>3888</v>
      </c>
      <c r="C1025" s="1755"/>
      <c r="D1025" s="1755"/>
      <c r="E1025" s="1884"/>
      <c r="F1025" s="2032"/>
      <c r="G1025" s="2888" t="str">
        <f>G1021</f>
        <v>Each Sqm</v>
      </c>
      <c r="H1025" s="2888"/>
      <c r="I1025" s="1723">
        <f>K6482</f>
        <v>1.8</v>
      </c>
      <c r="J1025" s="2035"/>
      <c r="K1025" s="1721">
        <f>I1025+J1025</f>
        <v>1.8</v>
      </c>
      <c r="L1025" s="2931">
        <f>ROUND(K1025,1)</f>
        <v>1.8</v>
      </c>
      <c r="M1025" s="3000"/>
      <c r="N1025" s="2037"/>
      <c r="O1025" s="1725"/>
      <c r="P1025" s="2037"/>
      <c r="Q1025" s="1725"/>
      <c r="R1025" s="1725"/>
    </row>
    <row r="1026" spans="1:20" s="1741" customFormat="1" ht="13.5" hidden="1" customHeight="1">
      <c r="A1026" s="1711">
        <f>A1025+1</f>
        <v>138</v>
      </c>
      <c r="B1026" s="1742" t="s">
        <v>3889</v>
      </c>
      <c r="C1026" s="1755"/>
      <c r="D1026" s="1742"/>
      <c r="E1026" s="2010"/>
      <c r="F1026" s="1736"/>
      <c r="G1026" s="2888" t="str">
        <f t="shared" si="238"/>
        <v>Each Sqm</v>
      </c>
      <c r="H1026" s="2888"/>
      <c r="I1026" s="1742"/>
      <c r="J1026" s="1742"/>
      <c r="K1026" s="1742"/>
      <c r="L1026" s="2999"/>
      <c r="M1026" s="3000"/>
      <c r="O1026" s="1735" t="s">
        <v>593</v>
      </c>
      <c r="T1026" s="1706"/>
    </row>
    <row r="1027" spans="1:20" s="1741" customFormat="1" ht="13.5" hidden="1" customHeight="1">
      <c r="A1027" s="2040" t="s">
        <v>413</v>
      </c>
      <c r="B1027" s="2043" t="s">
        <v>594</v>
      </c>
      <c r="C1027" s="2003"/>
      <c r="D1027" s="2003"/>
      <c r="E1027" s="2002"/>
      <c r="F1027" s="1736"/>
      <c r="G1027" s="2888" t="str">
        <f t="shared" si="238"/>
        <v>Each Sqm</v>
      </c>
      <c r="H1027" s="2888"/>
      <c r="I1027" s="1742">
        <f>K6496</f>
        <v>5.44</v>
      </c>
      <c r="J1027" s="1742"/>
      <c r="K1027" s="1742">
        <f t="shared" ref="K1027:K1042" si="241">I1027+J1027</f>
        <v>5.44</v>
      </c>
      <c r="L1027" s="3003">
        <f t="shared" ref="L1027:L1070" si="242">ROUND(K1027,1)</f>
        <v>5.4</v>
      </c>
      <c r="M1027" s="3004"/>
      <c r="T1027" s="1735"/>
    </row>
    <row r="1028" spans="1:20" s="1741" customFormat="1" ht="13.5" hidden="1" customHeight="1">
      <c r="A1028" s="2077" t="s">
        <v>415</v>
      </c>
      <c r="B1028" s="2043" t="s">
        <v>595</v>
      </c>
      <c r="C1028" s="2002"/>
      <c r="D1028" s="2002"/>
      <c r="E1028" s="2002"/>
      <c r="F1028" s="1736"/>
      <c r="G1028" s="2888" t="str">
        <f t="shared" si="238"/>
        <v>Each Sqm</v>
      </c>
      <c r="H1028" s="2888"/>
      <c r="I1028" s="1742">
        <f>K6508</f>
        <v>7.28</v>
      </c>
      <c r="J1028" s="1742"/>
      <c r="K1028" s="1742">
        <f t="shared" si="241"/>
        <v>7.28</v>
      </c>
      <c r="L1028" s="3003">
        <f t="shared" si="242"/>
        <v>7.3</v>
      </c>
      <c r="M1028" s="3004"/>
      <c r="T1028" s="1735"/>
    </row>
    <row r="1029" spans="1:20" s="175" customFormat="1" ht="13.5" hidden="1" customHeight="1">
      <c r="A1029" s="1711">
        <f>A1026+1</f>
        <v>139</v>
      </c>
      <c r="B1029" s="1755" t="s">
        <v>3890</v>
      </c>
      <c r="C1029" s="1755"/>
      <c r="D1029" s="1755"/>
      <c r="E1029" s="1884"/>
      <c r="F1029" s="2032"/>
      <c r="G1029" s="3007" t="s">
        <v>381</v>
      </c>
      <c r="H1029" s="3007"/>
      <c r="I1029" s="1937" t="e">
        <f>#REF!</f>
        <v>#REF!</v>
      </c>
      <c r="J1029" s="1742"/>
      <c r="K1029" s="1742" t="e">
        <f t="shared" si="241"/>
        <v>#REF!</v>
      </c>
      <c r="L1029" s="3005" t="e">
        <f t="shared" si="242"/>
        <v>#REF!</v>
      </c>
      <c r="M1029" s="3006"/>
      <c r="N1029" s="2037"/>
      <c r="O1029" s="2037"/>
      <c r="P1029" s="2037"/>
      <c r="Q1029" s="1725"/>
      <c r="R1029" s="1725"/>
      <c r="S1029" s="1725"/>
      <c r="T1029" s="1725"/>
    </row>
    <row r="1030" spans="1:20" s="175" customFormat="1" ht="13.5" hidden="1" customHeight="1">
      <c r="A1030" s="1711">
        <f t="shared" ref="A1030:A1044" si="243">A1029+1</f>
        <v>140</v>
      </c>
      <c r="B1030" s="1755" t="s">
        <v>3891</v>
      </c>
      <c r="C1030" s="1755"/>
      <c r="D1030" s="1755"/>
      <c r="E1030" s="1755"/>
      <c r="F1030" s="1755"/>
      <c r="G1030" s="3007" t="s">
        <v>381</v>
      </c>
      <c r="H1030" s="3007"/>
      <c r="I1030" s="1937" t="e">
        <f>#REF!</f>
        <v>#REF!</v>
      </c>
      <c r="J1030" s="1742"/>
      <c r="K1030" s="1742" t="e">
        <f>I1030+J1030</f>
        <v>#REF!</v>
      </c>
      <c r="L1030" s="3005" t="e">
        <f t="shared" si="242"/>
        <v>#REF!</v>
      </c>
      <c r="M1030" s="3006"/>
      <c r="N1030" s="2037"/>
      <c r="O1030" s="2037"/>
      <c r="P1030" s="2037"/>
      <c r="Q1030" s="1725"/>
      <c r="R1030" s="1725"/>
      <c r="S1030" s="1725"/>
      <c r="T1030" s="1725"/>
    </row>
    <row r="1031" spans="1:20" s="175" customFormat="1" ht="13.5" hidden="1" customHeight="1">
      <c r="A1031" s="1998">
        <f t="shared" si="243"/>
        <v>141</v>
      </c>
      <c r="B1031" s="1884" t="s">
        <v>3892</v>
      </c>
      <c r="C1031" s="2003"/>
      <c r="D1031" s="2003"/>
      <c r="E1031" s="2032"/>
      <c r="F1031" s="2003"/>
      <c r="G1031" s="2882" t="s">
        <v>488</v>
      </c>
      <c r="H1031" s="2883"/>
      <c r="I1031" s="1937" t="e">
        <f>#REF!</f>
        <v>#REF!</v>
      </c>
      <c r="J1031" s="1742"/>
      <c r="K1031" s="1742" t="e">
        <f t="shared" si="241"/>
        <v>#REF!</v>
      </c>
      <c r="L1031" s="3005" t="e">
        <f t="shared" si="242"/>
        <v>#REF!</v>
      </c>
      <c r="M1031" s="3006"/>
      <c r="N1031" s="2037"/>
      <c r="O1031" s="2037"/>
      <c r="P1031" s="2037"/>
      <c r="Q1031" s="1725"/>
      <c r="R1031" s="1725"/>
      <c r="S1031" s="1725"/>
      <c r="T1031" s="1725"/>
    </row>
    <row r="1032" spans="1:20" s="175" customFormat="1" ht="13.5" hidden="1" customHeight="1">
      <c r="A1032" s="1998">
        <f t="shared" si="243"/>
        <v>142</v>
      </c>
      <c r="B1032" s="1884" t="s">
        <v>3893</v>
      </c>
      <c r="C1032" s="2003"/>
      <c r="D1032" s="2003"/>
      <c r="E1032" s="2032"/>
      <c r="F1032" s="2003"/>
      <c r="G1032" s="2882" t="s">
        <v>488</v>
      </c>
      <c r="H1032" s="2883"/>
      <c r="I1032" s="1937" t="e">
        <f>#REF!</f>
        <v>#REF!</v>
      </c>
      <c r="J1032" s="1742"/>
      <c r="K1032" s="1742" t="e">
        <f t="shared" si="241"/>
        <v>#REF!</v>
      </c>
      <c r="L1032" s="3005" t="e">
        <f>ROUND(K1032,1)</f>
        <v>#REF!</v>
      </c>
      <c r="M1032" s="3006"/>
      <c r="N1032" s="2037"/>
      <c r="O1032" s="2037"/>
      <c r="P1032" s="2037"/>
      <c r="Q1032" s="1725"/>
      <c r="R1032" s="1725"/>
      <c r="S1032" s="1725"/>
      <c r="T1032" s="1725"/>
    </row>
    <row r="1033" spans="1:20" s="175" customFormat="1" ht="13.5" hidden="1" customHeight="1">
      <c r="A1033" s="1998">
        <f t="shared" si="243"/>
        <v>143</v>
      </c>
      <c r="B1033" s="1756" t="s">
        <v>600</v>
      </c>
      <c r="C1033" s="2003"/>
      <c r="D1033" s="2003"/>
      <c r="E1033" s="2032"/>
      <c r="F1033" s="2002"/>
      <c r="G1033" s="3007" t="s">
        <v>381</v>
      </c>
      <c r="H1033" s="3007"/>
      <c r="I1033" s="1937" t="e">
        <f>#REF!</f>
        <v>#REF!</v>
      </c>
      <c r="J1033" s="1742"/>
      <c r="K1033" s="1742" t="e">
        <f t="shared" si="241"/>
        <v>#REF!</v>
      </c>
      <c r="L1033" s="3005" t="e">
        <f t="shared" si="242"/>
        <v>#REF!</v>
      </c>
      <c r="M1033" s="3006"/>
      <c r="N1033" s="2037"/>
      <c r="O1033" s="2037"/>
      <c r="P1033" s="2037"/>
      <c r="Q1033" s="1725"/>
      <c r="R1033" s="1725"/>
      <c r="S1033" s="1725"/>
      <c r="T1033" s="1725"/>
    </row>
    <row r="1034" spans="1:20" s="175" customFormat="1" ht="13.5" hidden="1" customHeight="1">
      <c r="A1034" s="1998">
        <f t="shared" si="243"/>
        <v>144</v>
      </c>
      <c r="B1034" s="1884" t="s">
        <v>3894</v>
      </c>
      <c r="C1034" s="2079"/>
      <c r="D1034" s="2079"/>
      <c r="E1034" s="1810"/>
      <c r="F1034" s="1810"/>
      <c r="G1034" s="2888" t="s">
        <v>492</v>
      </c>
      <c r="H1034" s="2888"/>
      <c r="I1034" s="1872">
        <v>139.5</v>
      </c>
      <c r="J1034" s="1742"/>
      <c r="K1034" s="1742">
        <f t="shared" si="241"/>
        <v>139.5</v>
      </c>
      <c r="L1034" s="3003">
        <f t="shared" si="242"/>
        <v>139.5</v>
      </c>
      <c r="M1034" s="3004"/>
      <c r="N1034" s="2037"/>
      <c r="O1034" s="2037"/>
      <c r="P1034" s="2037"/>
      <c r="T1034" s="1759"/>
    </row>
    <row r="1035" spans="1:20" s="1741" customFormat="1" ht="13.5" hidden="1" customHeight="1">
      <c r="A1035" s="1716">
        <f t="shared" si="243"/>
        <v>145</v>
      </c>
      <c r="B1035" s="1742" t="s">
        <v>3895</v>
      </c>
      <c r="C1035" s="1742"/>
      <c r="D1035" s="1742"/>
      <c r="E1035" s="1742"/>
      <c r="F1035" s="1742"/>
      <c r="G1035" s="2989" t="s">
        <v>381</v>
      </c>
      <c r="H1035" s="2989"/>
      <c r="I1035" s="1742" t="e">
        <f>#REF!</f>
        <v>#REF!</v>
      </c>
      <c r="J1035" s="1742"/>
      <c r="K1035" s="1742" t="e">
        <f t="shared" si="241"/>
        <v>#REF!</v>
      </c>
      <c r="L1035" s="3003" t="e">
        <f t="shared" si="242"/>
        <v>#REF!</v>
      </c>
      <c r="M1035" s="3004"/>
      <c r="O1035" s="1735" t="s">
        <v>601</v>
      </c>
      <c r="T1035" s="1706"/>
    </row>
    <row r="1036" spans="1:20" s="1741" customFormat="1" ht="13.5" hidden="1" customHeight="1">
      <c r="A1036" s="1716">
        <f t="shared" si="243"/>
        <v>146</v>
      </c>
      <c r="B1036" s="1742" t="s">
        <v>3896</v>
      </c>
      <c r="C1036" s="1742"/>
      <c r="D1036" s="1742"/>
      <c r="E1036" s="1742"/>
      <c r="F1036" s="1742"/>
      <c r="G1036" s="2989" t="s">
        <v>381</v>
      </c>
      <c r="H1036" s="2989"/>
      <c r="I1036" s="1742" t="e">
        <f>#REF!</f>
        <v>#REF!</v>
      </c>
      <c r="J1036" s="1742"/>
      <c r="K1036" s="1742" t="e">
        <f t="shared" si="241"/>
        <v>#REF!</v>
      </c>
      <c r="L1036" s="3003" t="e">
        <f t="shared" si="242"/>
        <v>#REF!</v>
      </c>
      <c r="M1036" s="3004"/>
      <c r="O1036" s="1735" t="s">
        <v>602</v>
      </c>
      <c r="T1036" s="1706"/>
    </row>
    <row r="1037" spans="1:20" s="137" customFormat="1" ht="13.5" hidden="1" customHeight="1">
      <c r="A1037" s="2047">
        <f t="shared" si="243"/>
        <v>147</v>
      </c>
      <c r="B1037" s="2080" t="s">
        <v>3897</v>
      </c>
      <c r="C1037" s="2081"/>
      <c r="D1037" s="2081"/>
      <c r="E1037" s="2081"/>
      <c r="F1037" s="2081"/>
      <c r="G1037" s="3007" t="s">
        <v>492</v>
      </c>
      <c r="H1037" s="3007"/>
      <c r="I1037" s="1937" t="e">
        <f>#REF!</f>
        <v>#REF!</v>
      </c>
      <c r="J1037" s="1742"/>
      <c r="K1037" s="1742" t="e">
        <f t="shared" si="241"/>
        <v>#REF!</v>
      </c>
      <c r="L1037" s="3005" t="e">
        <f t="shared" si="242"/>
        <v>#REF!</v>
      </c>
      <c r="M1037" s="3006"/>
      <c r="N1037" s="2082"/>
      <c r="O1037" s="136" t="s">
        <v>3175</v>
      </c>
      <c r="P1037" s="2082"/>
      <c r="Q1037" s="2083"/>
      <c r="S1037" s="2083"/>
    </row>
    <row r="1038" spans="1:20" s="137" customFormat="1" ht="13.5" hidden="1" customHeight="1">
      <c r="A1038" s="2047">
        <f t="shared" si="243"/>
        <v>148</v>
      </c>
      <c r="B1038" s="2080" t="s">
        <v>3898</v>
      </c>
      <c r="C1038" s="1940"/>
      <c r="D1038" s="1940"/>
      <c r="E1038" s="1940"/>
      <c r="F1038" s="1940"/>
      <c r="G1038" s="3007" t="s">
        <v>390</v>
      </c>
      <c r="H1038" s="3007"/>
      <c r="I1038" s="1937" t="e">
        <f>#REF!</f>
        <v>#REF!</v>
      </c>
      <c r="J1038" s="1742"/>
      <c r="K1038" s="1742" t="e">
        <f t="shared" si="241"/>
        <v>#REF!</v>
      </c>
      <c r="L1038" s="3005" t="e">
        <f t="shared" si="242"/>
        <v>#REF!</v>
      </c>
      <c r="M1038" s="3006"/>
      <c r="N1038" s="2082"/>
      <c r="O1038" s="136"/>
      <c r="P1038" s="2082"/>
      <c r="Q1038" s="2083"/>
      <c r="S1038" s="2083"/>
    </row>
    <row r="1039" spans="1:20" s="137" customFormat="1" ht="13.5" hidden="1" customHeight="1">
      <c r="A1039" s="2047">
        <f t="shared" si="243"/>
        <v>149</v>
      </c>
      <c r="B1039" s="2080" t="s">
        <v>3899</v>
      </c>
      <c r="C1039" s="1940"/>
      <c r="D1039" s="1940"/>
      <c r="E1039" s="1940"/>
      <c r="F1039" s="1940"/>
      <c r="G1039" s="3007" t="s">
        <v>381</v>
      </c>
      <c r="H1039" s="3007"/>
      <c r="I1039" s="1937" t="e">
        <f>#REF!</f>
        <v>#REF!</v>
      </c>
      <c r="J1039" s="1742"/>
      <c r="K1039" s="1742" t="e">
        <f t="shared" si="241"/>
        <v>#REF!</v>
      </c>
      <c r="L1039" s="3005" t="e">
        <f t="shared" si="242"/>
        <v>#REF!</v>
      </c>
      <c r="M1039" s="3006"/>
      <c r="N1039" s="2082"/>
      <c r="O1039" s="2082" t="s">
        <v>373</v>
      </c>
      <c r="P1039" s="2082"/>
      <c r="Q1039" s="2082"/>
      <c r="S1039" s="2082"/>
    </row>
    <row r="1040" spans="1:20" s="137" customFormat="1" ht="13.5" hidden="1" customHeight="1">
      <c r="A1040" s="2047">
        <f t="shared" si="243"/>
        <v>150</v>
      </c>
      <c r="B1040" s="2080" t="s">
        <v>603</v>
      </c>
      <c r="C1040" s="1940"/>
      <c r="D1040" s="1940"/>
      <c r="E1040" s="1940"/>
      <c r="F1040" s="1940"/>
      <c r="G1040" s="3007" t="s">
        <v>381</v>
      </c>
      <c r="H1040" s="3007"/>
      <c r="I1040" s="1937" t="e">
        <f>#REF!</f>
        <v>#REF!</v>
      </c>
      <c r="J1040" s="1742"/>
      <c r="K1040" s="1742" t="e">
        <f>I1040+J1040</f>
        <v>#REF!</v>
      </c>
      <c r="L1040" s="3005" t="e">
        <f>ROUND(K1040,1)</f>
        <v>#REF!</v>
      </c>
      <c r="M1040" s="3006"/>
      <c r="N1040" s="2082"/>
      <c r="O1040" s="2082"/>
      <c r="P1040" s="2082"/>
      <c r="Q1040" s="2082"/>
      <c r="S1040" s="2082"/>
    </row>
    <row r="1041" spans="1:256" s="1741" customFormat="1" ht="13.5" hidden="1" customHeight="1">
      <c r="A1041" s="2047">
        <f t="shared" si="243"/>
        <v>151</v>
      </c>
      <c r="B1041" s="2002" t="s">
        <v>3900</v>
      </c>
      <c r="C1041" s="2002"/>
      <c r="D1041" s="2002"/>
      <c r="E1041" s="2002"/>
      <c r="F1041" s="2002"/>
      <c r="G1041" s="2989" t="s">
        <v>381</v>
      </c>
      <c r="H1041" s="2989"/>
      <c r="I1041" s="1742" t="e">
        <f>#REF!</f>
        <v>#REF!</v>
      </c>
      <c r="J1041" s="1742"/>
      <c r="K1041" s="1742" t="e">
        <f t="shared" si="241"/>
        <v>#REF!</v>
      </c>
      <c r="L1041" s="3003" t="e">
        <f t="shared" si="242"/>
        <v>#REF!</v>
      </c>
      <c r="M1041" s="3004"/>
      <c r="O1041" s="1735" t="s">
        <v>604</v>
      </c>
      <c r="T1041" s="1706"/>
    </row>
    <row r="1042" spans="1:256" s="137" customFormat="1" ht="13.5" hidden="1" customHeight="1">
      <c r="A1042" s="2047">
        <f t="shared" si="243"/>
        <v>152</v>
      </c>
      <c r="B1042" s="2080" t="s">
        <v>3901</v>
      </c>
      <c r="C1042" s="1940"/>
      <c r="D1042" s="1940"/>
      <c r="E1042" s="1940"/>
      <c r="F1042" s="1940"/>
      <c r="G1042" s="3007" t="s">
        <v>390</v>
      </c>
      <c r="H1042" s="3007"/>
      <c r="I1042" s="1937" t="e">
        <f>#REF!</f>
        <v>#REF!</v>
      </c>
      <c r="J1042" s="1742"/>
      <c r="K1042" s="1742" t="e">
        <f t="shared" si="241"/>
        <v>#REF!</v>
      </c>
      <c r="L1042" s="3005" t="e">
        <f t="shared" si="242"/>
        <v>#REF!</v>
      </c>
      <c r="M1042" s="3006"/>
      <c r="N1042" s="2082"/>
      <c r="O1042" s="2082"/>
      <c r="P1042" s="2082"/>
      <c r="Q1042" s="2082"/>
      <c r="S1042" s="2082"/>
    </row>
    <row r="1043" spans="1:256" s="1741" customFormat="1" ht="13.5" hidden="1" customHeight="1">
      <c r="A1043" s="1823">
        <f t="shared" si="243"/>
        <v>153</v>
      </c>
      <c r="B1043" s="2010" t="s">
        <v>3902</v>
      </c>
      <c r="C1043" s="2002"/>
      <c r="D1043" s="2002"/>
      <c r="E1043" s="2002"/>
      <c r="F1043" s="1736"/>
      <c r="G1043" s="2989" t="s">
        <v>381</v>
      </c>
      <c r="H1043" s="2989"/>
      <c r="I1043" s="1742" t="e">
        <f>#REF!</f>
        <v>#REF!</v>
      </c>
      <c r="J1043" s="1742"/>
      <c r="K1043" s="1742" t="e">
        <f>I1043+J1043</f>
        <v>#REF!</v>
      </c>
      <c r="L1043" s="2990" t="e">
        <f t="shared" si="242"/>
        <v>#REF!</v>
      </c>
      <c r="M1043" s="2990"/>
      <c r="O1043" s="1735" t="s">
        <v>605</v>
      </c>
      <c r="T1043" s="1706"/>
    </row>
    <row r="1044" spans="1:256" s="1741" customFormat="1" ht="13.5" hidden="1" customHeight="1">
      <c r="A1044" s="1823">
        <f t="shared" si="243"/>
        <v>154</v>
      </c>
      <c r="B1044" s="2080" t="s">
        <v>606</v>
      </c>
      <c r="C1044" s="2002"/>
      <c r="D1044" s="2002"/>
      <c r="E1044" s="2002"/>
      <c r="F1044" s="1736"/>
      <c r="G1044" s="2989" t="s">
        <v>381</v>
      </c>
      <c r="H1044" s="2989"/>
      <c r="I1044" s="1742"/>
      <c r="J1044" s="1742"/>
      <c r="K1044" s="1742"/>
      <c r="L1044" s="3008"/>
      <c r="M1044" s="3008"/>
      <c r="O1044" s="1735"/>
      <c r="T1044" s="1706"/>
    </row>
    <row r="1045" spans="1:256" s="1741" customFormat="1" ht="13.5" hidden="1" customHeight="1">
      <c r="A1045" s="2084" t="s">
        <v>201</v>
      </c>
      <c r="B1045" s="2034" t="s">
        <v>607</v>
      </c>
      <c r="C1045" s="2002"/>
      <c r="D1045" s="2002"/>
      <c r="E1045" s="2002"/>
      <c r="F1045" s="1736"/>
      <c r="G1045" s="2989" t="s">
        <v>381</v>
      </c>
      <c r="H1045" s="2989"/>
      <c r="I1045" s="2045" t="e">
        <f>#REF!</f>
        <v>#REF!</v>
      </c>
      <c r="J1045" s="1742"/>
      <c r="K1045" s="1742" t="e">
        <f>I1045+J1045</f>
        <v>#REF!</v>
      </c>
      <c r="L1045" s="2990" t="e">
        <f>ROUND(K1045,1)</f>
        <v>#REF!</v>
      </c>
      <c r="M1045" s="2990"/>
      <c r="O1045" s="1735" t="s">
        <v>3192</v>
      </c>
      <c r="T1045" s="1706"/>
    </row>
    <row r="1046" spans="1:256" s="1741" customFormat="1" ht="13.5" hidden="1" customHeight="1">
      <c r="A1046" s="2084" t="s">
        <v>220</v>
      </c>
      <c r="B1046" s="2034" t="s">
        <v>608</v>
      </c>
      <c r="C1046" s="2002"/>
      <c r="D1046" s="2002"/>
      <c r="E1046" s="2002"/>
      <c r="F1046" s="1736"/>
      <c r="G1046" s="2989" t="s">
        <v>381</v>
      </c>
      <c r="H1046" s="2989"/>
      <c r="I1046" s="2045" t="e">
        <f>#REF!</f>
        <v>#REF!</v>
      </c>
      <c r="J1046" s="1742"/>
      <c r="K1046" s="1742" t="e">
        <f>I1046+J1046</f>
        <v>#REF!</v>
      </c>
      <c r="L1046" s="2990" t="e">
        <f>ROUND(K1046,1)</f>
        <v>#REF!</v>
      </c>
      <c r="M1046" s="2990"/>
      <c r="O1046" s="1735"/>
      <c r="T1046" s="1706"/>
    </row>
    <row r="1047" spans="1:256" s="1741" customFormat="1" ht="13.5" hidden="1" customHeight="1">
      <c r="A1047" s="2084" t="s">
        <v>244</v>
      </c>
      <c r="B1047" s="2034" t="s">
        <v>609</v>
      </c>
      <c r="C1047" s="2002"/>
      <c r="D1047" s="2002"/>
      <c r="E1047" s="2002"/>
      <c r="F1047" s="1736"/>
      <c r="G1047" s="2989" t="s">
        <v>381</v>
      </c>
      <c r="H1047" s="2989"/>
      <c r="I1047" s="2045" t="e">
        <f>#REF!</f>
        <v>#REF!</v>
      </c>
      <c r="J1047" s="1742"/>
      <c r="K1047" s="1742" t="e">
        <f>I1047+J1047</f>
        <v>#REF!</v>
      </c>
      <c r="L1047" s="2990" t="e">
        <f>ROUND(K1047,1)</f>
        <v>#REF!</v>
      </c>
      <c r="M1047" s="2990"/>
      <c r="O1047" s="1735"/>
      <c r="T1047" s="1706"/>
    </row>
    <row r="1048" spans="1:256" s="137" customFormat="1" ht="13.5" hidden="1" customHeight="1">
      <c r="A1048" s="2085">
        <f>A1044+1</f>
        <v>155</v>
      </c>
      <c r="B1048" s="2086" t="s">
        <v>3903</v>
      </c>
      <c r="C1048" s="2086"/>
      <c r="D1048" s="2086"/>
      <c r="E1048" s="2086"/>
      <c r="F1048" s="2086"/>
      <c r="G1048" s="3007" t="s">
        <v>381</v>
      </c>
      <c r="H1048" s="3007"/>
      <c r="I1048" s="1937" t="e">
        <f>#REF!</f>
        <v>#REF!</v>
      </c>
      <c r="J1048" s="1742"/>
      <c r="K1048" s="1742" t="e">
        <f t="shared" ref="K1048:K1070" si="244">I1048+J1048</f>
        <v>#REF!</v>
      </c>
      <c r="L1048" s="3005" t="e">
        <f t="shared" si="242"/>
        <v>#REF!</v>
      </c>
      <c r="M1048" s="3006"/>
      <c r="N1048" s="2087"/>
      <c r="O1048" s="2087"/>
      <c r="P1048" s="2087"/>
      <c r="Q1048" s="2087"/>
      <c r="S1048" s="2087"/>
      <c r="T1048" s="2087"/>
      <c r="U1048" s="2087"/>
      <c r="V1048" s="2087"/>
      <c r="W1048" s="2087"/>
      <c r="X1048" s="2087"/>
      <c r="Y1048" s="2087"/>
      <c r="Z1048" s="2087"/>
      <c r="AA1048" s="2087"/>
      <c r="AB1048" s="2087"/>
      <c r="AC1048" s="2087"/>
      <c r="AD1048" s="2087"/>
      <c r="AE1048" s="2087"/>
      <c r="AF1048" s="2087"/>
      <c r="AG1048" s="2087"/>
      <c r="AH1048" s="2087"/>
      <c r="AI1048" s="2087"/>
      <c r="AJ1048" s="2087"/>
      <c r="AK1048" s="2087"/>
      <c r="AL1048" s="2087"/>
      <c r="AM1048" s="2087"/>
      <c r="AN1048" s="2087"/>
      <c r="AO1048" s="2087"/>
      <c r="AP1048" s="2087"/>
      <c r="AQ1048" s="2087"/>
      <c r="AR1048" s="2087"/>
      <c r="AS1048" s="2087"/>
      <c r="AT1048" s="2087"/>
      <c r="AU1048" s="2087"/>
      <c r="AV1048" s="2087"/>
      <c r="AW1048" s="2087"/>
      <c r="AX1048" s="2087"/>
      <c r="AY1048" s="2087"/>
      <c r="AZ1048" s="2087"/>
      <c r="BA1048" s="2087"/>
      <c r="BB1048" s="2087"/>
      <c r="BC1048" s="2087"/>
      <c r="BD1048" s="2087"/>
      <c r="BE1048" s="2087"/>
      <c r="BF1048" s="2087"/>
      <c r="BG1048" s="2087"/>
      <c r="BH1048" s="2087"/>
      <c r="BI1048" s="2087"/>
      <c r="BJ1048" s="2087"/>
      <c r="BK1048" s="2087"/>
      <c r="BL1048" s="2087"/>
      <c r="BM1048" s="2087"/>
      <c r="BN1048" s="2087"/>
      <c r="BO1048" s="2087"/>
      <c r="BP1048" s="2087"/>
      <c r="BQ1048" s="2087"/>
      <c r="BR1048" s="2087"/>
      <c r="BS1048" s="2087"/>
      <c r="BT1048" s="2087"/>
      <c r="BU1048" s="2087"/>
      <c r="BV1048" s="2087"/>
      <c r="BW1048" s="2087"/>
      <c r="BX1048" s="2087"/>
      <c r="BY1048" s="2087"/>
      <c r="BZ1048" s="2087"/>
      <c r="CA1048" s="2087"/>
      <c r="CB1048" s="2087"/>
      <c r="CC1048" s="2087"/>
      <c r="CD1048" s="2087"/>
      <c r="CE1048" s="2087"/>
      <c r="CF1048" s="2087"/>
      <c r="CG1048" s="2087"/>
      <c r="CH1048" s="2087"/>
      <c r="CI1048" s="2087"/>
      <c r="CJ1048" s="2087"/>
      <c r="CK1048" s="2087"/>
      <c r="CL1048" s="2087"/>
      <c r="CM1048" s="2087"/>
      <c r="CN1048" s="2087"/>
      <c r="CO1048" s="2087"/>
      <c r="CP1048" s="2087"/>
      <c r="CQ1048" s="2087"/>
      <c r="CR1048" s="2087"/>
      <c r="CS1048" s="2087"/>
      <c r="CT1048" s="2087"/>
      <c r="CU1048" s="2087"/>
      <c r="CV1048" s="2087"/>
      <c r="CW1048" s="2087"/>
      <c r="CX1048" s="2087"/>
      <c r="CY1048" s="2087"/>
      <c r="CZ1048" s="2087"/>
      <c r="DA1048" s="2087"/>
      <c r="DB1048" s="2087"/>
      <c r="DC1048" s="2087"/>
      <c r="DD1048" s="2087"/>
      <c r="DE1048" s="2087"/>
      <c r="DF1048" s="2087"/>
      <c r="DG1048" s="2087"/>
      <c r="DH1048" s="2087"/>
      <c r="DI1048" s="2087"/>
      <c r="DJ1048" s="2087"/>
      <c r="DK1048" s="2087"/>
      <c r="DL1048" s="2087"/>
      <c r="DM1048" s="2087"/>
      <c r="DN1048" s="2087"/>
      <c r="DO1048" s="2087"/>
      <c r="DP1048" s="2087"/>
      <c r="DQ1048" s="2087"/>
      <c r="DR1048" s="2087"/>
      <c r="DS1048" s="2087"/>
      <c r="DT1048" s="2087"/>
      <c r="DU1048" s="2087"/>
      <c r="DV1048" s="2087"/>
      <c r="DW1048" s="2087"/>
      <c r="DX1048" s="2087"/>
      <c r="DY1048" s="2087"/>
      <c r="DZ1048" s="2087"/>
      <c r="EA1048" s="2087"/>
      <c r="EB1048" s="2087"/>
      <c r="EC1048" s="2087"/>
      <c r="ED1048" s="2087"/>
      <c r="EE1048" s="2087"/>
      <c r="EF1048" s="2087"/>
      <c r="EG1048" s="2087"/>
      <c r="EH1048" s="2087"/>
      <c r="EI1048" s="2087"/>
      <c r="EJ1048" s="2087"/>
      <c r="EK1048" s="2087"/>
      <c r="EL1048" s="2087"/>
      <c r="EM1048" s="2087"/>
      <c r="EN1048" s="2087"/>
      <c r="EO1048" s="2087"/>
      <c r="EP1048" s="2087"/>
      <c r="EQ1048" s="2087"/>
      <c r="ER1048" s="2087"/>
      <c r="ES1048" s="2087"/>
      <c r="ET1048" s="2087"/>
      <c r="EU1048" s="2087"/>
      <c r="EV1048" s="2087"/>
      <c r="EW1048" s="2087"/>
      <c r="EX1048" s="2087"/>
      <c r="EY1048" s="2087"/>
      <c r="EZ1048" s="2087"/>
      <c r="FA1048" s="2087"/>
      <c r="FB1048" s="2087"/>
      <c r="FC1048" s="2087"/>
      <c r="FD1048" s="2087"/>
      <c r="FE1048" s="2087"/>
      <c r="FF1048" s="2087"/>
      <c r="FG1048" s="2087"/>
      <c r="FH1048" s="2087"/>
      <c r="FI1048" s="2087"/>
      <c r="FJ1048" s="2087"/>
      <c r="FK1048" s="2087"/>
      <c r="FL1048" s="2087"/>
      <c r="FM1048" s="2087"/>
      <c r="FN1048" s="2087"/>
      <c r="FO1048" s="2087"/>
      <c r="FP1048" s="2087"/>
      <c r="FQ1048" s="2087"/>
      <c r="FR1048" s="2087"/>
      <c r="FS1048" s="2087"/>
      <c r="FT1048" s="2087"/>
      <c r="FU1048" s="2087"/>
      <c r="FV1048" s="2087"/>
      <c r="FW1048" s="2087"/>
      <c r="FX1048" s="2087"/>
      <c r="FY1048" s="2087"/>
      <c r="FZ1048" s="2087"/>
      <c r="GA1048" s="2087"/>
      <c r="GB1048" s="2087"/>
      <c r="GC1048" s="2087"/>
      <c r="GD1048" s="2087"/>
      <c r="GE1048" s="2087"/>
      <c r="GF1048" s="2087"/>
      <c r="GG1048" s="2087"/>
      <c r="GH1048" s="2087"/>
      <c r="GI1048" s="2087"/>
      <c r="GJ1048" s="2087"/>
      <c r="GK1048" s="2087"/>
      <c r="GL1048" s="2087"/>
      <c r="GM1048" s="2087"/>
      <c r="GN1048" s="2087"/>
      <c r="GO1048" s="2087"/>
      <c r="GP1048" s="2087"/>
      <c r="GQ1048" s="2087"/>
      <c r="GR1048" s="2087"/>
      <c r="GS1048" s="2087"/>
      <c r="GT1048" s="2087"/>
      <c r="GU1048" s="2087"/>
      <c r="GV1048" s="2087"/>
      <c r="GW1048" s="2087"/>
      <c r="GX1048" s="2087"/>
      <c r="GY1048" s="2087"/>
      <c r="GZ1048" s="2087"/>
      <c r="HA1048" s="2087"/>
      <c r="HB1048" s="2087"/>
      <c r="HC1048" s="2087"/>
      <c r="HD1048" s="2087"/>
      <c r="HE1048" s="2087"/>
      <c r="HF1048" s="2087"/>
      <c r="HG1048" s="2087"/>
      <c r="HH1048" s="2087"/>
      <c r="HI1048" s="2087"/>
      <c r="HJ1048" s="2087"/>
      <c r="HK1048" s="2087"/>
      <c r="HL1048" s="2087"/>
      <c r="HM1048" s="2087"/>
      <c r="HN1048" s="2087"/>
      <c r="HO1048" s="2087"/>
      <c r="HP1048" s="2087"/>
      <c r="HQ1048" s="2087"/>
      <c r="HR1048" s="2087"/>
      <c r="HS1048" s="2087"/>
      <c r="HT1048" s="2087"/>
      <c r="HU1048" s="2087"/>
      <c r="HV1048" s="2087"/>
      <c r="HW1048" s="2087"/>
      <c r="HX1048" s="2087"/>
      <c r="HY1048" s="2087"/>
      <c r="HZ1048" s="2087"/>
      <c r="IA1048" s="2087"/>
      <c r="IB1048" s="2087"/>
      <c r="IC1048" s="2087"/>
      <c r="ID1048" s="2087"/>
      <c r="IE1048" s="2087"/>
      <c r="IF1048" s="2087"/>
      <c r="IG1048" s="2087"/>
      <c r="IH1048" s="2087"/>
      <c r="II1048" s="2087"/>
      <c r="IJ1048" s="2087"/>
      <c r="IK1048" s="2087"/>
      <c r="IL1048" s="2087"/>
      <c r="IM1048" s="2087"/>
      <c r="IN1048" s="2087"/>
      <c r="IO1048" s="2087"/>
      <c r="IP1048" s="2087"/>
      <c r="IQ1048" s="2087"/>
      <c r="IR1048" s="2087"/>
      <c r="IS1048" s="2087"/>
      <c r="IT1048" s="2087"/>
      <c r="IU1048" s="2087"/>
      <c r="IV1048" s="2087"/>
    </row>
    <row r="1049" spans="1:256" s="137" customFormat="1" ht="13.5" hidden="1" customHeight="1">
      <c r="A1049" s="2088" t="s">
        <v>201</v>
      </c>
      <c r="B1049" s="2086" t="s">
        <v>3389</v>
      </c>
      <c r="C1049" s="2089"/>
      <c r="D1049" s="2089"/>
      <c r="E1049" s="2089"/>
      <c r="F1049" s="2089"/>
      <c r="G1049" s="2996" t="s">
        <v>381</v>
      </c>
      <c r="H1049" s="3007"/>
      <c r="I1049" s="1937" t="e">
        <f>#REF!</f>
        <v>#REF!</v>
      </c>
      <c r="J1049" s="1742"/>
      <c r="K1049" s="1742" t="e">
        <f t="shared" ref="K1049" si="245">I1049+J1049</f>
        <v>#REF!</v>
      </c>
      <c r="L1049" s="3005" t="e">
        <f t="shared" ref="L1049" si="246">ROUND(K1049,1)</f>
        <v>#REF!</v>
      </c>
      <c r="M1049" s="3006"/>
      <c r="N1049" s="2087"/>
      <c r="O1049" s="2087"/>
      <c r="P1049" s="2087"/>
      <c r="Q1049" s="2087"/>
      <c r="S1049" s="2087"/>
      <c r="T1049" s="2087"/>
      <c r="U1049" s="2087"/>
      <c r="V1049" s="2087"/>
      <c r="W1049" s="2087"/>
      <c r="X1049" s="2087"/>
      <c r="Y1049" s="2087"/>
      <c r="Z1049" s="2087"/>
      <c r="AA1049" s="2087"/>
      <c r="AB1049" s="2087"/>
      <c r="AC1049" s="2087"/>
      <c r="AD1049" s="2087"/>
      <c r="AE1049" s="2087"/>
      <c r="AF1049" s="2087"/>
      <c r="AG1049" s="2087"/>
      <c r="AH1049" s="2087"/>
      <c r="AI1049" s="2087"/>
      <c r="AJ1049" s="2087"/>
      <c r="AK1049" s="2087"/>
      <c r="AL1049" s="2087"/>
      <c r="AM1049" s="2087"/>
      <c r="AN1049" s="2087"/>
      <c r="AO1049" s="2087"/>
      <c r="AP1049" s="2087"/>
      <c r="AQ1049" s="2087"/>
      <c r="AR1049" s="2087"/>
      <c r="AS1049" s="2087"/>
      <c r="AT1049" s="2087"/>
      <c r="AU1049" s="2087"/>
      <c r="AV1049" s="2087"/>
      <c r="AW1049" s="2087"/>
      <c r="AX1049" s="2087"/>
      <c r="AY1049" s="2087"/>
      <c r="AZ1049" s="2087"/>
      <c r="BA1049" s="2087"/>
      <c r="BB1049" s="2087"/>
      <c r="BC1049" s="2087"/>
      <c r="BD1049" s="2087"/>
      <c r="BE1049" s="2087"/>
      <c r="BF1049" s="2087"/>
      <c r="BG1049" s="2087"/>
      <c r="BH1049" s="2087"/>
      <c r="BI1049" s="2087"/>
      <c r="BJ1049" s="2087"/>
      <c r="BK1049" s="2087"/>
      <c r="BL1049" s="2087"/>
      <c r="BM1049" s="2087"/>
      <c r="BN1049" s="2087"/>
      <c r="BO1049" s="2087"/>
      <c r="BP1049" s="2087"/>
      <c r="BQ1049" s="2087"/>
      <c r="BR1049" s="2087"/>
      <c r="BS1049" s="2087"/>
      <c r="BT1049" s="2087"/>
      <c r="BU1049" s="2087"/>
      <c r="BV1049" s="2087"/>
      <c r="BW1049" s="2087"/>
      <c r="BX1049" s="2087"/>
      <c r="BY1049" s="2087"/>
      <c r="BZ1049" s="2087"/>
      <c r="CA1049" s="2087"/>
      <c r="CB1049" s="2087"/>
      <c r="CC1049" s="2087"/>
      <c r="CD1049" s="2087"/>
      <c r="CE1049" s="2087"/>
      <c r="CF1049" s="2087"/>
      <c r="CG1049" s="2087"/>
      <c r="CH1049" s="2087"/>
      <c r="CI1049" s="2087"/>
      <c r="CJ1049" s="2087"/>
      <c r="CK1049" s="2087"/>
      <c r="CL1049" s="2087"/>
      <c r="CM1049" s="2087"/>
      <c r="CN1049" s="2087"/>
      <c r="CO1049" s="2087"/>
      <c r="CP1049" s="2087"/>
      <c r="CQ1049" s="2087"/>
      <c r="CR1049" s="2087"/>
      <c r="CS1049" s="2087"/>
      <c r="CT1049" s="2087"/>
      <c r="CU1049" s="2087"/>
      <c r="CV1049" s="2087"/>
      <c r="CW1049" s="2087"/>
      <c r="CX1049" s="2087"/>
      <c r="CY1049" s="2087"/>
      <c r="CZ1049" s="2087"/>
      <c r="DA1049" s="2087"/>
      <c r="DB1049" s="2087"/>
      <c r="DC1049" s="2087"/>
      <c r="DD1049" s="2087"/>
      <c r="DE1049" s="2087"/>
      <c r="DF1049" s="2087"/>
      <c r="DG1049" s="2087"/>
      <c r="DH1049" s="2087"/>
      <c r="DI1049" s="2087"/>
      <c r="DJ1049" s="2087"/>
      <c r="DK1049" s="2087"/>
      <c r="DL1049" s="2087"/>
      <c r="DM1049" s="2087"/>
      <c r="DN1049" s="2087"/>
      <c r="DO1049" s="2087"/>
      <c r="DP1049" s="2087"/>
      <c r="DQ1049" s="2087"/>
      <c r="DR1049" s="2087"/>
      <c r="DS1049" s="2087"/>
      <c r="DT1049" s="2087"/>
      <c r="DU1049" s="2087"/>
      <c r="DV1049" s="2087"/>
      <c r="DW1049" s="2087"/>
      <c r="DX1049" s="2087"/>
      <c r="DY1049" s="2087"/>
      <c r="DZ1049" s="2087"/>
      <c r="EA1049" s="2087"/>
      <c r="EB1049" s="2087"/>
      <c r="EC1049" s="2087"/>
      <c r="ED1049" s="2087"/>
      <c r="EE1049" s="2087"/>
      <c r="EF1049" s="2087"/>
      <c r="EG1049" s="2087"/>
      <c r="EH1049" s="2087"/>
      <c r="EI1049" s="2087"/>
      <c r="EJ1049" s="2087"/>
      <c r="EK1049" s="2087"/>
      <c r="EL1049" s="2087"/>
      <c r="EM1049" s="2087"/>
      <c r="EN1049" s="2087"/>
      <c r="EO1049" s="2087"/>
      <c r="EP1049" s="2087"/>
      <c r="EQ1049" s="2087"/>
      <c r="ER1049" s="2087"/>
      <c r="ES1049" s="2087"/>
      <c r="ET1049" s="2087"/>
      <c r="EU1049" s="2087"/>
      <c r="EV1049" s="2087"/>
      <c r="EW1049" s="2087"/>
      <c r="EX1049" s="2087"/>
      <c r="EY1049" s="2087"/>
      <c r="EZ1049" s="2087"/>
      <c r="FA1049" s="2087"/>
      <c r="FB1049" s="2087"/>
      <c r="FC1049" s="2087"/>
      <c r="FD1049" s="2087"/>
      <c r="FE1049" s="2087"/>
      <c r="FF1049" s="2087"/>
      <c r="FG1049" s="2087"/>
      <c r="FH1049" s="2087"/>
      <c r="FI1049" s="2087"/>
      <c r="FJ1049" s="2087"/>
      <c r="FK1049" s="2087"/>
      <c r="FL1049" s="2087"/>
      <c r="FM1049" s="2087"/>
      <c r="FN1049" s="2087"/>
      <c r="FO1049" s="2087"/>
      <c r="FP1049" s="2087"/>
      <c r="FQ1049" s="2087"/>
      <c r="FR1049" s="2087"/>
      <c r="FS1049" s="2087"/>
      <c r="FT1049" s="2087"/>
      <c r="FU1049" s="2087"/>
      <c r="FV1049" s="2087"/>
      <c r="FW1049" s="2087"/>
      <c r="FX1049" s="2087"/>
      <c r="FY1049" s="2087"/>
      <c r="FZ1049" s="2087"/>
      <c r="GA1049" s="2087"/>
      <c r="GB1049" s="2087"/>
      <c r="GC1049" s="2087"/>
      <c r="GD1049" s="2087"/>
      <c r="GE1049" s="2087"/>
      <c r="GF1049" s="2087"/>
      <c r="GG1049" s="2087"/>
      <c r="GH1049" s="2087"/>
      <c r="GI1049" s="2087"/>
      <c r="GJ1049" s="2087"/>
      <c r="GK1049" s="2087"/>
      <c r="GL1049" s="2087"/>
      <c r="GM1049" s="2087"/>
      <c r="GN1049" s="2087"/>
      <c r="GO1049" s="2087"/>
      <c r="GP1049" s="2087"/>
      <c r="GQ1049" s="2087"/>
      <c r="GR1049" s="2087"/>
      <c r="GS1049" s="2087"/>
      <c r="GT1049" s="2087"/>
      <c r="GU1049" s="2087"/>
      <c r="GV1049" s="2087"/>
      <c r="GW1049" s="2087"/>
      <c r="GX1049" s="2087"/>
      <c r="GY1049" s="2087"/>
      <c r="GZ1049" s="2087"/>
      <c r="HA1049" s="2087"/>
      <c r="HB1049" s="2087"/>
      <c r="HC1049" s="2087"/>
      <c r="HD1049" s="2087"/>
      <c r="HE1049" s="2087"/>
      <c r="HF1049" s="2087"/>
      <c r="HG1049" s="2087"/>
      <c r="HH1049" s="2087"/>
      <c r="HI1049" s="2087"/>
      <c r="HJ1049" s="2087"/>
      <c r="HK1049" s="2087"/>
      <c r="HL1049" s="2087"/>
      <c r="HM1049" s="2087"/>
      <c r="HN1049" s="2087"/>
      <c r="HO1049" s="2087"/>
      <c r="HP1049" s="2087"/>
      <c r="HQ1049" s="2087"/>
      <c r="HR1049" s="2087"/>
      <c r="HS1049" s="2087"/>
      <c r="HT1049" s="2087"/>
      <c r="HU1049" s="2087"/>
      <c r="HV1049" s="2087"/>
      <c r="HW1049" s="2087"/>
      <c r="HX1049" s="2087"/>
      <c r="HY1049" s="2087"/>
      <c r="HZ1049" s="2087"/>
      <c r="IA1049" s="2087"/>
      <c r="IB1049" s="2087"/>
      <c r="IC1049" s="2087"/>
      <c r="ID1049" s="2087"/>
      <c r="IE1049" s="2087"/>
      <c r="IF1049" s="2087"/>
      <c r="IG1049" s="2087"/>
      <c r="IH1049" s="2087"/>
      <c r="II1049" s="2087"/>
      <c r="IJ1049" s="2087"/>
      <c r="IK1049" s="2087"/>
      <c r="IL1049" s="2087"/>
      <c r="IM1049" s="2087"/>
      <c r="IN1049" s="2087"/>
      <c r="IO1049" s="2087"/>
      <c r="IP1049" s="2087"/>
      <c r="IQ1049" s="2087"/>
      <c r="IR1049" s="2087"/>
      <c r="IS1049" s="2087"/>
      <c r="IT1049" s="2087"/>
      <c r="IU1049" s="2087"/>
      <c r="IV1049" s="2087"/>
    </row>
    <row r="1050" spans="1:256" s="137" customFormat="1" ht="13.5" hidden="1" customHeight="1">
      <c r="A1050" s="2088" t="s">
        <v>220</v>
      </c>
      <c r="B1050" s="2086" t="s">
        <v>610</v>
      </c>
      <c r="C1050" s="2089"/>
      <c r="D1050" s="2089"/>
      <c r="E1050" s="2002"/>
      <c r="F1050" s="2002"/>
      <c r="G1050" s="2996" t="s">
        <v>381</v>
      </c>
      <c r="H1050" s="3007"/>
      <c r="I1050" s="1937" t="e">
        <f>#REF!</f>
        <v>#REF!</v>
      </c>
      <c r="J1050" s="1742"/>
      <c r="K1050" s="1742" t="e">
        <f t="shared" si="244"/>
        <v>#REF!</v>
      </c>
      <c r="L1050" s="3005" t="e">
        <f t="shared" si="242"/>
        <v>#REF!</v>
      </c>
      <c r="M1050" s="3006"/>
      <c r="N1050" s="2087"/>
      <c r="O1050" s="2087" t="s">
        <v>3178</v>
      </c>
      <c r="P1050" s="2087"/>
      <c r="Q1050" s="2087"/>
      <c r="S1050" s="2087"/>
      <c r="T1050" s="2087"/>
      <c r="U1050" s="2087"/>
      <c r="V1050" s="2087"/>
      <c r="W1050" s="2087"/>
      <c r="X1050" s="2087"/>
      <c r="Y1050" s="2087"/>
      <c r="Z1050" s="2087"/>
      <c r="AA1050" s="2087"/>
      <c r="AB1050" s="2087"/>
      <c r="AC1050" s="2087"/>
      <c r="AD1050" s="2087"/>
      <c r="AE1050" s="2087"/>
      <c r="AF1050" s="2087"/>
      <c r="AG1050" s="2087"/>
      <c r="AH1050" s="2087"/>
      <c r="AI1050" s="2087"/>
      <c r="AJ1050" s="2087"/>
      <c r="AK1050" s="2087"/>
      <c r="AL1050" s="2087"/>
      <c r="AM1050" s="2087"/>
      <c r="AN1050" s="2087"/>
      <c r="AO1050" s="2087"/>
      <c r="AP1050" s="2087"/>
      <c r="AQ1050" s="2087"/>
      <c r="AR1050" s="2087"/>
      <c r="AS1050" s="2087"/>
      <c r="AT1050" s="2087"/>
      <c r="AU1050" s="2087"/>
      <c r="AV1050" s="2087"/>
      <c r="AW1050" s="2087"/>
      <c r="AX1050" s="2087"/>
      <c r="AY1050" s="2087"/>
      <c r="AZ1050" s="2087"/>
      <c r="BA1050" s="2087"/>
      <c r="BB1050" s="2087"/>
      <c r="BC1050" s="2087"/>
      <c r="BD1050" s="2087"/>
      <c r="BE1050" s="2087"/>
      <c r="BF1050" s="2087"/>
      <c r="BG1050" s="2087"/>
      <c r="BH1050" s="2087"/>
      <c r="BI1050" s="2087"/>
      <c r="BJ1050" s="2087"/>
      <c r="BK1050" s="2087"/>
      <c r="BL1050" s="2087"/>
      <c r="BM1050" s="2087"/>
      <c r="BN1050" s="2087"/>
      <c r="BO1050" s="2087"/>
      <c r="BP1050" s="2087"/>
      <c r="BQ1050" s="2087"/>
      <c r="BR1050" s="2087"/>
      <c r="BS1050" s="2087"/>
      <c r="BT1050" s="2087"/>
      <c r="BU1050" s="2087"/>
      <c r="BV1050" s="2087"/>
      <c r="BW1050" s="2087"/>
      <c r="BX1050" s="2087"/>
      <c r="BY1050" s="2087"/>
      <c r="BZ1050" s="2087"/>
      <c r="CA1050" s="2087"/>
      <c r="CB1050" s="2087"/>
      <c r="CC1050" s="2087"/>
      <c r="CD1050" s="2087"/>
      <c r="CE1050" s="2087"/>
      <c r="CF1050" s="2087"/>
      <c r="CG1050" s="2087"/>
      <c r="CH1050" s="2087"/>
      <c r="CI1050" s="2087"/>
      <c r="CJ1050" s="2087"/>
      <c r="CK1050" s="2087"/>
      <c r="CL1050" s="2087"/>
      <c r="CM1050" s="2087"/>
      <c r="CN1050" s="2087"/>
      <c r="CO1050" s="2087"/>
      <c r="CP1050" s="2087"/>
      <c r="CQ1050" s="2087"/>
      <c r="CR1050" s="2087"/>
      <c r="CS1050" s="2087"/>
      <c r="CT1050" s="2087"/>
      <c r="CU1050" s="2087"/>
      <c r="CV1050" s="2087"/>
      <c r="CW1050" s="2087"/>
      <c r="CX1050" s="2087"/>
      <c r="CY1050" s="2087"/>
      <c r="CZ1050" s="2087"/>
      <c r="DA1050" s="2087"/>
      <c r="DB1050" s="2087"/>
      <c r="DC1050" s="2087"/>
      <c r="DD1050" s="2087"/>
      <c r="DE1050" s="2087"/>
      <c r="DF1050" s="2087"/>
      <c r="DG1050" s="2087"/>
      <c r="DH1050" s="2087"/>
      <c r="DI1050" s="2087"/>
      <c r="DJ1050" s="2087"/>
      <c r="DK1050" s="2087"/>
      <c r="DL1050" s="2087"/>
      <c r="DM1050" s="2087"/>
      <c r="DN1050" s="2087"/>
      <c r="DO1050" s="2087"/>
      <c r="DP1050" s="2087"/>
      <c r="DQ1050" s="2087"/>
      <c r="DR1050" s="2087"/>
      <c r="DS1050" s="2087"/>
      <c r="DT1050" s="2087"/>
      <c r="DU1050" s="2087"/>
      <c r="DV1050" s="2087"/>
      <c r="DW1050" s="2087"/>
      <c r="DX1050" s="2087"/>
      <c r="DY1050" s="2087"/>
      <c r="DZ1050" s="2087"/>
      <c r="EA1050" s="2087"/>
      <c r="EB1050" s="2087"/>
      <c r="EC1050" s="2087"/>
      <c r="ED1050" s="2087"/>
      <c r="EE1050" s="2087"/>
      <c r="EF1050" s="2087"/>
      <c r="EG1050" s="2087"/>
      <c r="EH1050" s="2087"/>
      <c r="EI1050" s="2087"/>
      <c r="EJ1050" s="2087"/>
      <c r="EK1050" s="2087"/>
      <c r="EL1050" s="2087"/>
      <c r="EM1050" s="2087"/>
      <c r="EN1050" s="2087"/>
      <c r="EO1050" s="2087"/>
      <c r="EP1050" s="2087"/>
      <c r="EQ1050" s="2087"/>
      <c r="ER1050" s="2087"/>
      <c r="ES1050" s="2087"/>
      <c r="ET1050" s="2087"/>
      <c r="EU1050" s="2087"/>
      <c r="EV1050" s="2087"/>
      <c r="EW1050" s="2087"/>
      <c r="EX1050" s="2087"/>
      <c r="EY1050" s="2087"/>
      <c r="EZ1050" s="2087"/>
      <c r="FA1050" s="2087"/>
      <c r="FB1050" s="2087"/>
      <c r="FC1050" s="2087"/>
      <c r="FD1050" s="2087"/>
      <c r="FE1050" s="2087"/>
      <c r="FF1050" s="2087"/>
      <c r="FG1050" s="2087"/>
      <c r="FH1050" s="2087"/>
      <c r="FI1050" s="2087"/>
      <c r="FJ1050" s="2087"/>
      <c r="FK1050" s="2087"/>
      <c r="FL1050" s="2087"/>
      <c r="FM1050" s="2087"/>
      <c r="FN1050" s="2087"/>
      <c r="FO1050" s="2087"/>
      <c r="FP1050" s="2087"/>
      <c r="FQ1050" s="2087"/>
      <c r="FR1050" s="2087"/>
      <c r="FS1050" s="2087"/>
      <c r="FT1050" s="2087"/>
      <c r="FU1050" s="2087"/>
      <c r="FV1050" s="2087"/>
      <c r="FW1050" s="2087"/>
      <c r="FX1050" s="2087"/>
      <c r="FY1050" s="2087"/>
      <c r="FZ1050" s="2087"/>
      <c r="GA1050" s="2087"/>
      <c r="GB1050" s="2087"/>
      <c r="GC1050" s="2087"/>
      <c r="GD1050" s="2087"/>
      <c r="GE1050" s="2087"/>
      <c r="GF1050" s="2087"/>
      <c r="GG1050" s="2087"/>
      <c r="GH1050" s="2087"/>
      <c r="GI1050" s="2087"/>
      <c r="GJ1050" s="2087"/>
      <c r="GK1050" s="2087"/>
      <c r="GL1050" s="2087"/>
      <c r="GM1050" s="2087"/>
      <c r="GN1050" s="2087"/>
      <c r="GO1050" s="2087"/>
      <c r="GP1050" s="2087"/>
      <c r="GQ1050" s="2087"/>
      <c r="GR1050" s="2087"/>
      <c r="GS1050" s="2087"/>
      <c r="GT1050" s="2087"/>
      <c r="GU1050" s="2087"/>
      <c r="GV1050" s="2087"/>
      <c r="GW1050" s="2087"/>
      <c r="GX1050" s="2087"/>
      <c r="GY1050" s="2087"/>
      <c r="GZ1050" s="2087"/>
      <c r="HA1050" s="2087"/>
      <c r="HB1050" s="2087"/>
      <c r="HC1050" s="2087"/>
      <c r="HD1050" s="2087"/>
      <c r="HE1050" s="2087"/>
      <c r="HF1050" s="2087"/>
      <c r="HG1050" s="2087"/>
      <c r="HH1050" s="2087"/>
      <c r="HI1050" s="2087"/>
      <c r="HJ1050" s="2087"/>
      <c r="HK1050" s="2087"/>
      <c r="HL1050" s="2087"/>
      <c r="HM1050" s="2087"/>
      <c r="HN1050" s="2087"/>
      <c r="HO1050" s="2087"/>
      <c r="HP1050" s="2087"/>
      <c r="HQ1050" s="2087"/>
      <c r="HR1050" s="2087"/>
      <c r="HS1050" s="2087"/>
      <c r="HT1050" s="2087"/>
      <c r="HU1050" s="2087"/>
      <c r="HV1050" s="2087"/>
      <c r="HW1050" s="2087"/>
      <c r="HX1050" s="2087"/>
      <c r="HY1050" s="2087"/>
      <c r="HZ1050" s="2087"/>
      <c r="IA1050" s="2087"/>
      <c r="IB1050" s="2087"/>
      <c r="IC1050" s="2087"/>
      <c r="ID1050" s="2087"/>
      <c r="IE1050" s="2087"/>
      <c r="IF1050" s="2087"/>
      <c r="IG1050" s="2087"/>
      <c r="IH1050" s="2087"/>
      <c r="II1050" s="2087"/>
      <c r="IJ1050" s="2087"/>
      <c r="IK1050" s="2087"/>
      <c r="IL1050" s="2087"/>
      <c r="IM1050" s="2087"/>
      <c r="IN1050" s="2087"/>
      <c r="IO1050" s="2087"/>
      <c r="IP1050" s="2087"/>
      <c r="IQ1050" s="2087"/>
      <c r="IR1050" s="2087"/>
      <c r="IS1050" s="2087"/>
      <c r="IT1050" s="2087"/>
      <c r="IU1050" s="2087"/>
      <c r="IV1050" s="2087"/>
    </row>
    <row r="1051" spans="1:256" s="137" customFormat="1" ht="13.5" hidden="1" customHeight="1">
      <c r="A1051" s="2088" t="s">
        <v>244</v>
      </c>
      <c r="B1051" s="2086" t="s">
        <v>611</v>
      </c>
      <c r="C1051" s="2089"/>
      <c r="D1051" s="2089"/>
      <c r="E1051" s="2002"/>
      <c r="F1051" s="2002"/>
      <c r="G1051" s="2996" t="s">
        <v>381</v>
      </c>
      <c r="H1051" s="3007"/>
      <c r="I1051" s="1937" t="e">
        <f>#REF!</f>
        <v>#REF!</v>
      </c>
      <c r="J1051" s="1742"/>
      <c r="K1051" s="1742" t="e">
        <f t="shared" si="244"/>
        <v>#REF!</v>
      </c>
      <c r="L1051" s="3005" t="e">
        <f t="shared" si="242"/>
        <v>#REF!</v>
      </c>
      <c r="M1051" s="3006"/>
      <c r="N1051" s="2087"/>
      <c r="O1051" s="2087"/>
      <c r="P1051" s="2087"/>
      <c r="Q1051" s="2087"/>
      <c r="S1051" s="2087"/>
      <c r="T1051" s="2087"/>
      <c r="U1051" s="2087"/>
      <c r="V1051" s="2087"/>
      <c r="W1051" s="2087"/>
      <c r="X1051" s="2087"/>
      <c r="Y1051" s="2087"/>
      <c r="Z1051" s="2087"/>
      <c r="AA1051" s="2087"/>
      <c r="AB1051" s="2087"/>
      <c r="AC1051" s="2087"/>
      <c r="AD1051" s="2087"/>
      <c r="AE1051" s="2087"/>
      <c r="AF1051" s="2087"/>
      <c r="AG1051" s="2087"/>
      <c r="AH1051" s="2087"/>
      <c r="AI1051" s="2087"/>
      <c r="AJ1051" s="2087"/>
      <c r="AK1051" s="2087"/>
      <c r="AL1051" s="2087"/>
      <c r="AM1051" s="2087"/>
      <c r="AN1051" s="2087"/>
      <c r="AO1051" s="2087"/>
      <c r="AP1051" s="2087"/>
      <c r="AQ1051" s="2087"/>
      <c r="AR1051" s="2087"/>
      <c r="AS1051" s="2087"/>
      <c r="AT1051" s="2087"/>
      <c r="AU1051" s="2087"/>
      <c r="AV1051" s="2087"/>
      <c r="AW1051" s="2087"/>
      <c r="AX1051" s="2087"/>
      <c r="AY1051" s="2087"/>
      <c r="AZ1051" s="2087"/>
      <c r="BA1051" s="2087"/>
      <c r="BB1051" s="2087"/>
      <c r="BC1051" s="2087"/>
      <c r="BD1051" s="2087"/>
      <c r="BE1051" s="2087"/>
      <c r="BF1051" s="2087"/>
      <c r="BG1051" s="2087"/>
      <c r="BH1051" s="2087"/>
      <c r="BI1051" s="2087"/>
      <c r="BJ1051" s="2087"/>
      <c r="BK1051" s="2087"/>
      <c r="BL1051" s="2087"/>
      <c r="BM1051" s="2087"/>
      <c r="BN1051" s="2087"/>
      <c r="BO1051" s="2087"/>
      <c r="BP1051" s="2087"/>
      <c r="BQ1051" s="2087"/>
      <c r="BR1051" s="2087"/>
      <c r="BS1051" s="2087"/>
      <c r="BT1051" s="2087"/>
      <c r="BU1051" s="2087"/>
      <c r="BV1051" s="2087"/>
      <c r="BW1051" s="2087"/>
      <c r="BX1051" s="2087"/>
      <c r="BY1051" s="2087"/>
      <c r="BZ1051" s="2087"/>
      <c r="CA1051" s="2087"/>
      <c r="CB1051" s="2087"/>
      <c r="CC1051" s="2087"/>
      <c r="CD1051" s="2087"/>
      <c r="CE1051" s="2087"/>
      <c r="CF1051" s="2087"/>
      <c r="CG1051" s="2087"/>
      <c r="CH1051" s="2087"/>
      <c r="CI1051" s="2087"/>
      <c r="CJ1051" s="2087"/>
      <c r="CK1051" s="2087"/>
      <c r="CL1051" s="2087"/>
      <c r="CM1051" s="2087"/>
      <c r="CN1051" s="2087"/>
      <c r="CO1051" s="2087"/>
      <c r="CP1051" s="2087"/>
      <c r="CQ1051" s="2087"/>
      <c r="CR1051" s="2087"/>
      <c r="CS1051" s="2087"/>
      <c r="CT1051" s="2087"/>
      <c r="CU1051" s="2087"/>
      <c r="CV1051" s="2087"/>
      <c r="CW1051" s="2087"/>
      <c r="CX1051" s="2087"/>
      <c r="CY1051" s="2087"/>
      <c r="CZ1051" s="2087"/>
      <c r="DA1051" s="2087"/>
      <c r="DB1051" s="2087"/>
      <c r="DC1051" s="2087"/>
      <c r="DD1051" s="2087"/>
      <c r="DE1051" s="2087"/>
      <c r="DF1051" s="2087"/>
      <c r="DG1051" s="2087"/>
      <c r="DH1051" s="2087"/>
      <c r="DI1051" s="2087"/>
      <c r="DJ1051" s="2087"/>
      <c r="DK1051" s="2087"/>
      <c r="DL1051" s="2087"/>
      <c r="DM1051" s="2087"/>
      <c r="DN1051" s="2087"/>
      <c r="DO1051" s="2087"/>
      <c r="DP1051" s="2087"/>
      <c r="DQ1051" s="2087"/>
      <c r="DR1051" s="2087"/>
      <c r="DS1051" s="2087"/>
      <c r="DT1051" s="2087"/>
      <c r="DU1051" s="2087"/>
      <c r="DV1051" s="2087"/>
      <c r="DW1051" s="2087"/>
      <c r="DX1051" s="2087"/>
      <c r="DY1051" s="2087"/>
      <c r="DZ1051" s="2087"/>
      <c r="EA1051" s="2087"/>
      <c r="EB1051" s="2087"/>
      <c r="EC1051" s="2087"/>
      <c r="ED1051" s="2087"/>
      <c r="EE1051" s="2087"/>
      <c r="EF1051" s="2087"/>
      <c r="EG1051" s="2087"/>
      <c r="EH1051" s="2087"/>
      <c r="EI1051" s="2087"/>
      <c r="EJ1051" s="2087"/>
      <c r="EK1051" s="2087"/>
      <c r="EL1051" s="2087"/>
      <c r="EM1051" s="2087"/>
      <c r="EN1051" s="2087"/>
      <c r="EO1051" s="2087"/>
      <c r="EP1051" s="2087"/>
      <c r="EQ1051" s="2087"/>
      <c r="ER1051" s="2087"/>
      <c r="ES1051" s="2087"/>
      <c r="ET1051" s="2087"/>
      <c r="EU1051" s="2087"/>
      <c r="EV1051" s="2087"/>
      <c r="EW1051" s="2087"/>
      <c r="EX1051" s="2087"/>
      <c r="EY1051" s="2087"/>
      <c r="EZ1051" s="2087"/>
      <c r="FA1051" s="2087"/>
      <c r="FB1051" s="2087"/>
      <c r="FC1051" s="2087"/>
      <c r="FD1051" s="2087"/>
      <c r="FE1051" s="2087"/>
      <c r="FF1051" s="2087"/>
      <c r="FG1051" s="2087"/>
      <c r="FH1051" s="2087"/>
      <c r="FI1051" s="2087"/>
      <c r="FJ1051" s="2087"/>
      <c r="FK1051" s="2087"/>
      <c r="FL1051" s="2087"/>
      <c r="FM1051" s="2087"/>
      <c r="FN1051" s="2087"/>
      <c r="FO1051" s="2087"/>
      <c r="FP1051" s="2087"/>
      <c r="FQ1051" s="2087"/>
      <c r="FR1051" s="2087"/>
      <c r="FS1051" s="2087"/>
      <c r="FT1051" s="2087"/>
      <c r="FU1051" s="2087"/>
      <c r="FV1051" s="2087"/>
      <c r="FW1051" s="2087"/>
      <c r="FX1051" s="2087"/>
      <c r="FY1051" s="2087"/>
      <c r="FZ1051" s="2087"/>
      <c r="GA1051" s="2087"/>
      <c r="GB1051" s="2087"/>
      <c r="GC1051" s="2087"/>
      <c r="GD1051" s="2087"/>
      <c r="GE1051" s="2087"/>
      <c r="GF1051" s="2087"/>
      <c r="GG1051" s="2087"/>
      <c r="GH1051" s="2087"/>
      <c r="GI1051" s="2087"/>
      <c r="GJ1051" s="2087"/>
      <c r="GK1051" s="2087"/>
      <c r="GL1051" s="2087"/>
      <c r="GM1051" s="2087"/>
      <c r="GN1051" s="2087"/>
      <c r="GO1051" s="2087"/>
      <c r="GP1051" s="2087"/>
      <c r="GQ1051" s="2087"/>
      <c r="GR1051" s="2087"/>
      <c r="GS1051" s="2087"/>
      <c r="GT1051" s="2087"/>
      <c r="GU1051" s="2087"/>
      <c r="GV1051" s="2087"/>
      <c r="GW1051" s="2087"/>
      <c r="GX1051" s="2087"/>
      <c r="GY1051" s="2087"/>
      <c r="GZ1051" s="2087"/>
      <c r="HA1051" s="2087"/>
      <c r="HB1051" s="2087"/>
      <c r="HC1051" s="2087"/>
      <c r="HD1051" s="2087"/>
      <c r="HE1051" s="2087"/>
      <c r="HF1051" s="2087"/>
      <c r="HG1051" s="2087"/>
      <c r="HH1051" s="2087"/>
      <c r="HI1051" s="2087"/>
      <c r="HJ1051" s="2087"/>
      <c r="HK1051" s="2087"/>
      <c r="HL1051" s="2087"/>
      <c r="HM1051" s="2087"/>
      <c r="HN1051" s="2087"/>
      <c r="HO1051" s="2087"/>
      <c r="HP1051" s="2087"/>
      <c r="HQ1051" s="2087"/>
      <c r="HR1051" s="2087"/>
      <c r="HS1051" s="2087"/>
      <c r="HT1051" s="2087"/>
      <c r="HU1051" s="2087"/>
      <c r="HV1051" s="2087"/>
      <c r="HW1051" s="2087"/>
      <c r="HX1051" s="2087"/>
      <c r="HY1051" s="2087"/>
      <c r="HZ1051" s="2087"/>
      <c r="IA1051" s="2087"/>
      <c r="IB1051" s="2087"/>
      <c r="IC1051" s="2087"/>
      <c r="ID1051" s="2087"/>
      <c r="IE1051" s="2087"/>
      <c r="IF1051" s="2087"/>
      <c r="IG1051" s="2087"/>
      <c r="IH1051" s="2087"/>
      <c r="II1051" s="2087"/>
      <c r="IJ1051" s="2087"/>
      <c r="IK1051" s="2087"/>
      <c r="IL1051" s="2087"/>
      <c r="IM1051" s="2087"/>
      <c r="IN1051" s="2087"/>
      <c r="IO1051" s="2087"/>
      <c r="IP1051" s="2087"/>
      <c r="IQ1051" s="2087"/>
      <c r="IR1051" s="2087"/>
      <c r="IS1051" s="2087"/>
      <c r="IT1051" s="2087"/>
      <c r="IU1051" s="2087"/>
      <c r="IV1051" s="2087"/>
    </row>
    <row r="1052" spans="1:256" s="137" customFormat="1" ht="13.5" hidden="1" customHeight="1">
      <c r="A1052" s="2088" t="s">
        <v>291</v>
      </c>
      <c r="B1052" s="2086" t="s">
        <v>612</v>
      </c>
      <c r="C1052" s="2089"/>
      <c r="D1052" s="2089"/>
      <c r="E1052" s="2002"/>
      <c r="F1052" s="2002"/>
      <c r="G1052" s="2996" t="s">
        <v>381</v>
      </c>
      <c r="H1052" s="3007"/>
      <c r="I1052" s="1937" t="e">
        <f>#REF!</f>
        <v>#REF!</v>
      </c>
      <c r="J1052" s="1742"/>
      <c r="K1052" s="2090" t="e">
        <f t="shared" si="244"/>
        <v>#REF!</v>
      </c>
      <c r="L1052" s="3005" t="e">
        <f t="shared" si="242"/>
        <v>#REF!</v>
      </c>
      <c r="M1052" s="3006"/>
      <c r="N1052" s="2087"/>
      <c r="O1052" s="2087"/>
      <c r="P1052" s="2087"/>
      <c r="Q1052" s="2087"/>
      <c r="S1052" s="2087"/>
      <c r="T1052" s="2087"/>
      <c r="U1052" s="2087"/>
      <c r="V1052" s="2087"/>
      <c r="W1052" s="2087"/>
      <c r="X1052" s="2087"/>
      <c r="Y1052" s="2087"/>
      <c r="Z1052" s="2087"/>
      <c r="AA1052" s="2087"/>
      <c r="AB1052" s="2087"/>
      <c r="AC1052" s="2087"/>
      <c r="AD1052" s="2087"/>
      <c r="AE1052" s="2087"/>
      <c r="AF1052" s="2087"/>
      <c r="AG1052" s="2087"/>
      <c r="AH1052" s="2087"/>
      <c r="AI1052" s="2087"/>
      <c r="AJ1052" s="2087"/>
      <c r="AK1052" s="2087"/>
      <c r="AL1052" s="2087"/>
      <c r="AM1052" s="2087"/>
      <c r="AN1052" s="2087"/>
      <c r="AO1052" s="2087"/>
      <c r="AP1052" s="2087"/>
      <c r="AQ1052" s="2087"/>
      <c r="AR1052" s="2087"/>
      <c r="AS1052" s="2087"/>
      <c r="AT1052" s="2087"/>
      <c r="AU1052" s="2087"/>
      <c r="AV1052" s="2087"/>
      <c r="AW1052" s="2087"/>
      <c r="AX1052" s="2087"/>
      <c r="AY1052" s="2087"/>
      <c r="AZ1052" s="2087"/>
      <c r="BA1052" s="2087"/>
      <c r="BB1052" s="2087"/>
      <c r="BC1052" s="2087"/>
      <c r="BD1052" s="2087"/>
      <c r="BE1052" s="2087"/>
      <c r="BF1052" s="2087"/>
      <c r="BG1052" s="2087"/>
      <c r="BH1052" s="2087"/>
      <c r="BI1052" s="2087"/>
      <c r="BJ1052" s="2087"/>
      <c r="BK1052" s="2087"/>
      <c r="BL1052" s="2087"/>
      <c r="BM1052" s="2087"/>
      <c r="BN1052" s="2087"/>
      <c r="BO1052" s="2087"/>
      <c r="BP1052" s="2087"/>
      <c r="BQ1052" s="2087"/>
      <c r="BR1052" s="2087"/>
      <c r="BS1052" s="2087"/>
      <c r="BT1052" s="2087"/>
      <c r="BU1052" s="2087"/>
      <c r="BV1052" s="2087"/>
      <c r="BW1052" s="2087"/>
      <c r="BX1052" s="2087"/>
      <c r="BY1052" s="2087"/>
      <c r="BZ1052" s="2087"/>
      <c r="CA1052" s="2087"/>
      <c r="CB1052" s="2087"/>
      <c r="CC1052" s="2087"/>
      <c r="CD1052" s="2087"/>
      <c r="CE1052" s="2087"/>
      <c r="CF1052" s="2087"/>
      <c r="CG1052" s="2087"/>
      <c r="CH1052" s="2087"/>
      <c r="CI1052" s="2087"/>
      <c r="CJ1052" s="2087"/>
      <c r="CK1052" s="2087"/>
      <c r="CL1052" s="2087"/>
      <c r="CM1052" s="2087"/>
      <c r="CN1052" s="2087"/>
      <c r="CO1052" s="2087"/>
      <c r="CP1052" s="2087"/>
      <c r="CQ1052" s="2087"/>
      <c r="CR1052" s="2087"/>
      <c r="CS1052" s="2087"/>
      <c r="CT1052" s="2087"/>
      <c r="CU1052" s="2087"/>
      <c r="CV1052" s="2087"/>
      <c r="CW1052" s="2087"/>
      <c r="CX1052" s="2087"/>
      <c r="CY1052" s="2087"/>
      <c r="CZ1052" s="2087"/>
      <c r="DA1052" s="2087"/>
      <c r="DB1052" s="2087"/>
      <c r="DC1052" s="2087"/>
      <c r="DD1052" s="2087"/>
      <c r="DE1052" s="2087"/>
      <c r="DF1052" s="2087"/>
      <c r="DG1052" s="2087"/>
      <c r="DH1052" s="2087"/>
      <c r="DI1052" s="2087"/>
      <c r="DJ1052" s="2087"/>
      <c r="DK1052" s="2087"/>
      <c r="DL1052" s="2087"/>
      <c r="DM1052" s="2087"/>
      <c r="DN1052" s="2087"/>
      <c r="DO1052" s="2087"/>
      <c r="DP1052" s="2087"/>
      <c r="DQ1052" s="2087"/>
      <c r="DR1052" s="2087"/>
      <c r="DS1052" s="2087"/>
      <c r="DT1052" s="2087"/>
      <c r="DU1052" s="2087"/>
      <c r="DV1052" s="2087"/>
      <c r="DW1052" s="2087"/>
      <c r="DX1052" s="2087"/>
      <c r="DY1052" s="2087"/>
      <c r="DZ1052" s="2087"/>
      <c r="EA1052" s="2087"/>
      <c r="EB1052" s="2087"/>
      <c r="EC1052" s="2087"/>
      <c r="ED1052" s="2087"/>
      <c r="EE1052" s="2087"/>
      <c r="EF1052" s="2087"/>
      <c r="EG1052" s="2087"/>
      <c r="EH1052" s="2087"/>
      <c r="EI1052" s="2087"/>
      <c r="EJ1052" s="2087"/>
      <c r="EK1052" s="2087"/>
      <c r="EL1052" s="2087"/>
      <c r="EM1052" s="2087"/>
      <c r="EN1052" s="2087"/>
      <c r="EO1052" s="2087"/>
      <c r="EP1052" s="2087"/>
      <c r="EQ1052" s="2087"/>
      <c r="ER1052" s="2087"/>
      <c r="ES1052" s="2087"/>
      <c r="ET1052" s="2087"/>
      <c r="EU1052" s="2087"/>
      <c r="EV1052" s="2087"/>
      <c r="EW1052" s="2087"/>
      <c r="EX1052" s="2087"/>
      <c r="EY1052" s="2087"/>
      <c r="EZ1052" s="2087"/>
      <c r="FA1052" s="2087"/>
      <c r="FB1052" s="2087"/>
      <c r="FC1052" s="2087"/>
      <c r="FD1052" s="2087"/>
      <c r="FE1052" s="2087"/>
      <c r="FF1052" s="2087"/>
      <c r="FG1052" s="2087"/>
      <c r="FH1052" s="2087"/>
      <c r="FI1052" s="2087"/>
      <c r="FJ1052" s="2087"/>
      <c r="FK1052" s="2087"/>
      <c r="FL1052" s="2087"/>
      <c r="FM1052" s="2087"/>
      <c r="FN1052" s="2087"/>
      <c r="FO1052" s="2087"/>
      <c r="FP1052" s="2087"/>
      <c r="FQ1052" s="2087"/>
      <c r="FR1052" s="2087"/>
      <c r="FS1052" s="2087"/>
      <c r="FT1052" s="2087"/>
      <c r="FU1052" s="2087"/>
      <c r="FV1052" s="2087"/>
      <c r="FW1052" s="2087"/>
      <c r="FX1052" s="2087"/>
      <c r="FY1052" s="2087"/>
      <c r="FZ1052" s="2087"/>
      <c r="GA1052" s="2087"/>
      <c r="GB1052" s="2087"/>
      <c r="GC1052" s="2087"/>
      <c r="GD1052" s="2087"/>
      <c r="GE1052" s="2087"/>
      <c r="GF1052" s="2087"/>
      <c r="GG1052" s="2087"/>
      <c r="GH1052" s="2087"/>
      <c r="GI1052" s="2087"/>
      <c r="GJ1052" s="2087"/>
      <c r="GK1052" s="2087"/>
      <c r="GL1052" s="2087"/>
      <c r="GM1052" s="2087"/>
      <c r="GN1052" s="2087"/>
      <c r="GO1052" s="2087"/>
      <c r="GP1052" s="2087"/>
      <c r="GQ1052" s="2087"/>
      <c r="GR1052" s="2087"/>
      <c r="GS1052" s="2087"/>
      <c r="GT1052" s="2087"/>
      <c r="GU1052" s="2087"/>
      <c r="GV1052" s="2087"/>
      <c r="GW1052" s="2087"/>
      <c r="GX1052" s="2087"/>
      <c r="GY1052" s="2087"/>
      <c r="GZ1052" s="2087"/>
      <c r="HA1052" s="2087"/>
      <c r="HB1052" s="2087"/>
      <c r="HC1052" s="2087"/>
      <c r="HD1052" s="2087"/>
      <c r="HE1052" s="2087"/>
      <c r="HF1052" s="2087"/>
      <c r="HG1052" s="2087"/>
      <c r="HH1052" s="2087"/>
      <c r="HI1052" s="2087"/>
      <c r="HJ1052" s="2087"/>
      <c r="HK1052" s="2087"/>
      <c r="HL1052" s="2087"/>
      <c r="HM1052" s="2087"/>
      <c r="HN1052" s="2087"/>
      <c r="HO1052" s="2087"/>
      <c r="HP1052" s="2087"/>
      <c r="HQ1052" s="2087"/>
      <c r="HR1052" s="2087"/>
      <c r="HS1052" s="2087"/>
      <c r="HT1052" s="2087"/>
      <c r="HU1052" s="2087"/>
      <c r="HV1052" s="2087"/>
      <c r="HW1052" s="2087"/>
      <c r="HX1052" s="2087"/>
      <c r="HY1052" s="2087"/>
      <c r="HZ1052" s="2087"/>
      <c r="IA1052" s="2087"/>
      <c r="IB1052" s="2087"/>
      <c r="IC1052" s="2087"/>
      <c r="ID1052" s="2087"/>
      <c r="IE1052" s="2087"/>
      <c r="IF1052" s="2087"/>
      <c r="IG1052" s="2087"/>
      <c r="IH1052" s="2087"/>
      <c r="II1052" s="2087"/>
      <c r="IJ1052" s="2087"/>
      <c r="IK1052" s="2087"/>
      <c r="IL1052" s="2087"/>
      <c r="IM1052" s="2087"/>
      <c r="IN1052" s="2087"/>
      <c r="IO1052" s="2087"/>
      <c r="IP1052" s="2087"/>
      <c r="IQ1052" s="2087"/>
      <c r="IR1052" s="2087"/>
      <c r="IS1052" s="2087"/>
      <c r="IT1052" s="2087"/>
      <c r="IU1052" s="2087"/>
      <c r="IV1052" s="2087"/>
    </row>
    <row r="1053" spans="1:256" s="137" customFormat="1" ht="13.5" hidden="1" customHeight="1">
      <c r="A1053" s="2085">
        <f>A1048+1</f>
        <v>156</v>
      </c>
      <c r="B1053" s="2086" t="s">
        <v>613</v>
      </c>
      <c r="C1053" s="2089"/>
      <c r="D1053" s="2089"/>
      <c r="E1053" s="2002"/>
      <c r="F1053" s="2002"/>
      <c r="G1053" s="2996" t="s">
        <v>381</v>
      </c>
      <c r="H1053" s="3007"/>
      <c r="I1053" s="1937" t="e">
        <f>#REF!</f>
        <v>#REF!</v>
      </c>
      <c r="J1053" s="1742"/>
      <c r="K1053" s="2090" t="e">
        <f t="shared" si="244"/>
        <v>#REF!</v>
      </c>
      <c r="L1053" s="3005" t="e">
        <f t="shared" si="242"/>
        <v>#REF!</v>
      </c>
      <c r="M1053" s="3006"/>
      <c r="N1053" s="2087"/>
      <c r="O1053" s="2087"/>
      <c r="P1053" s="2087"/>
      <c r="Q1053" s="2087"/>
      <c r="S1053" s="2087"/>
      <c r="T1053" s="2087"/>
      <c r="U1053" s="2087"/>
      <c r="V1053" s="2087"/>
      <c r="W1053" s="2087"/>
      <c r="X1053" s="2087"/>
      <c r="Y1053" s="2087"/>
      <c r="Z1053" s="2087"/>
      <c r="AA1053" s="2087"/>
      <c r="AB1053" s="2087"/>
      <c r="AC1053" s="2087"/>
      <c r="AD1053" s="2087"/>
      <c r="AE1053" s="2087"/>
      <c r="AF1053" s="2087"/>
      <c r="AG1053" s="2087"/>
      <c r="AH1053" s="2087"/>
      <c r="AI1053" s="2087"/>
      <c r="AJ1053" s="2087"/>
      <c r="AK1053" s="2087"/>
      <c r="AL1053" s="2087"/>
      <c r="AM1053" s="2087"/>
      <c r="AN1053" s="2087"/>
      <c r="AO1053" s="2087"/>
      <c r="AP1053" s="2087"/>
      <c r="AQ1053" s="2087"/>
      <c r="AR1053" s="2087"/>
      <c r="AS1053" s="2087"/>
      <c r="AT1053" s="2087"/>
      <c r="AU1053" s="2087"/>
      <c r="AV1053" s="2087"/>
      <c r="AW1053" s="2087"/>
      <c r="AX1053" s="2087"/>
      <c r="AY1053" s="2087"/>
      <c r="AZ1053" s="2087"/>
      <c r="BA1053" s="2087"/>
      <c r="BB1053" s="2087"/>
      <c r="BC1053" s="2087"/>
      <c r="BD1053" s="2087"/>
      <c r="BE1053" s="2087"/>
      <c r="BF1053" s="2087"/>
      <c r="BG1053" s="2087"/>
      <c r="BH1053" s="2087"/>
      <c r="BI1053" s="2087"/>
      <c r="BJ1053" s="2087"/>
      <c r="BK1053" s="2087"/>
      <c r="BL1053" s="2087"/>
      <c r="BM1053" s="2087"/>
      <c r="BN1053" s="2087"/>
      <c r="BO1053" s="2087"/>
      <c r="BP1053" s="2087"/>
      <c r="BQ1053" s="2087"/>
      <c r="BR1053" s="2087"/>
      <c r="BS1053" s="2087"/>
      <c r="BT1053" s="2087"/>
      <c r="BU1053" s="2087"/>
      <c r="BV1053" s="2087"/>
      <c r="BW1053" s="2087"/>
      <c r="BX1053" s="2087"/>
      <c r="BY1053" s="2087"/>
      <c r="BZ1053" s="2087"/>
      <c r="CA1053" s="2087"/>
      <c r="CB1053" s="2087"/>
      <c r="CC1053" s="2087"/>
      <c r="CD1053" s="2087"/>
      <c r="CE1053" s="2087"/>
      <c r="CF1053" s="2087"/>
      <c r="CG1053" s="2087"/>
      <c r="CH1053" s="2087"/>
      <c r="CI1053" s="2087"/>
      <c r="CJ1053" s="2087"/>
      <c r="CK1053" s="2087"/>
      <c r="CL1053" s="2087"/>
      <c r="CM1053" s="2087"/>
      <c r="CN1053" s="2087"/>
      <c r="CO1053" s="2087"/>
      <c r="CP1053" s="2087"/>
      <c r="CQ1053" s="2087"/>
      <c r="CR1053" s="2087"/>
      <c r="CS1053" s="2087"/>
      <c r="CT1053" s="2087"/>
      <c r="CU1053" s="2087"/>
      <c r="CV1053" s="2087"/>
      <c r="CW1053" s="2087"/>
      <c r="CX1053" s="2087"/>
      <c r="CY1053" s="2087"/>
      <c r="CZ1053" s="2087"/>
      <c r="DA1053" s="2087"/>
      <c r="DB1053" s="2087"/>
      <c r="DC1053" s="2087"/>
      <c r="DD1053" s="2087"/>
      <c r="DE1053" s="2087"/>
      <c r="DF1053" s="2087"/>
      <c r="DG1053" s="2087"/>
      <c r="DH1053" s="2087"/>
      <c r="DI1053" s="2087"/>
      <c r="DJ1053" s="2087"/>
      <c r="DK1053" s="2087"/>
      <c r="DL1053" s="2087"/>
      <c r="DM1053" s="2087"/>
      <c r="DN1053" s="2087"/>
      <c r="DO1053" s="2087"/>
      <c r="DP1053" s="2087"/>
      <c r="DQ1053" s="2087"/>
      <c r="DR1053" s="2087"/>
      <c r="DS1053" s="2087"/>
      <c r="DT1053" s="2087"/>
      <c r="DU1053" s="2087"/>
      <c r="DV1053" s="2087"/>
      <c r="DW1053" s="2087"/>
      <c r="DX1053" s="2087"/>
      <c r="DY1053" s="2087"/>
      <c r="DZ1053" s="2087"/>
      <c r="EA1053" s="2087"/>
      <c r="EB1053" s="2087"/>
      <c r="EC1053" s="2087"/>
      <c r="ED1053" s="2087"/>
      <c r="EE1053" s="2087"/>
      <c r="EF1053" s="2087"/>
      <c r="EG1053" s="2087"/>
      <c r="EH1053" s="2087"/>
      <c r="EI1053" s="2087"/>
      <c r="EJ1053" s="2087"/>
      <c r="EK1053" s="2087"/>
      <c r="EL1053" s="2087"/>
      <c r="EM1053" s="2087"/>
      <c r="EN1053" s="2087"/>
      <c r="EO1053" s="2087"/>
      <c r="EP1053" s="2087"/>
      <c r="EQ1053" s="2087"/>
      <c r="ER1053" s="2087"/>
      <c r="ES1053" s="2087"/>
      <c r="ET1053" s="2087"/>
      <c r="EU1053" s="2087"/>
      <c r="EV1053" s="2087"/>
      <c r="EW1053" s="2087"/>
      <c r="EX1053" s="2087"/>
      <c r="EY1053" s="2087"/>
      <c r="EZ1053" s="2087"/>
      <c r="FA1053" s="2087"/>
      <c r="FB1053" s="2087"/>
      <c r="FC1053" s="2087"/>
      <c r="FD1053" s="2087"/>
      <c r="FE1053" s="2087"/>
      <c r="FF1053" s="2087"/>
      <c r="FG1053" s="2087"/>
      <c r="FH1053" s="2087"/>
      <c r="FI1053" s="2087"/>
      <c r="FJ1053" s="2087"/>
      <c r="FK1053" s="2087"/>
      <c r="FL1053" s="2087"/>
      <c r="FM1053" s="2087"/>
      <c r="FN1053" s="2087"/>
      <c r="FO1053" s="2087"/>
      <c r="FP1053" s="2087"/>
      <c r="FQ1053" s="2087"/>
      <c r="FR1053" s="2087"/>
      <c r="FS1053" s="2087"/>
      <c r="FT1053" s="2087"/>
      <c r="FU1053" s="2087"/>
      <c r="FV1053" s="2087"/>
      <c r="FW1053" s="2087"/>
      <c r="FX1053" s="2087"/>
      <c r="FY1053" s="2087"/>
      <c r="FZ1053" s="2087"/>
      <c r="GA1053" s="2087"/>
      <c r="GB1053" s="2087"/>
      <c r="GC1053" s="2087"/>
      <c r="GD1053" s="2087"/>
      <c r="GE1053" s="2087"/>
      <c r="GF1053" s="2087"/>
      <c r="GG1053" s="2087"/>
      <c r="GH1053" s="2087"/>
      <c r="GI1053" s="2087"/>
      <c r="GJ1053" s="2087"/>
      <c r="GK1053" s="2087"/>
      <c r="GL1053" s="2087"/>
      <c r="GM1053" s="2087"/>
      <c r="GN1053" s="2087"/>
      <c r="GO1053" s="2087"/>
      <c r="GP1053" s="2087"/>
      <c r="GQ1053" s="2087"/>
      <c r="GR1053" s="2087"/>
      <c r="GS1053" s="2087"/>
      <c r="GT1053" s="2087"/>
      <c r="GU1053" s="2087"/>
      <c r="GV1053" s="2087"/>
      <c r="GW1053" s="2087"/>
      <c r="GX1053" s="2087"/>
      <c r="GY1053" s="2087"/>
      <c r="GZ1053" s="2087"/>
      <c r="HA1053" s="2087"/>
      <c r="HB1053" s="2087"/>
      <c r="HC1053" s="2087"/>
      <c r="HD1053" s="2087"/>
      <c r="HE1053" s="2087"/>
      <c r="HF1053" s="2087"/>
      <c r="HG1053" s="2087"/>
      <c r="HH1053" s="2087"/>
      <c r="HI1053" s="2087"/>
      <c r="HJ1053" s="2087"/>
      <c r="HK1053" s="2087"/>
      <c r="HL1053" s="2087"/>
      <c r="HM1053" s="2087"/>
      <c r="HN1053" s="2087"/>
      <c r="HO1053" s="2087"/>
      <c r="HP1053" s="2087"/>
      <c r="HQ1053" s="2087"/>
      <c r="HR1053" s="2087"/>
      <c r="HS1053" s="2087"/>
      <c r="HT1053" s="2087"/>
      <c r="HU1053" s="2087"/>
      <c r="HV1053" s="2087"/>
      <c r="HW1053" s="2087"/>
      <c r="HX1053" s="2087"/>
      <c r="HY1053" s="2087"/>
      <c r="HZ1053" s="2087"/>
      <c r="IA1053" s="2087"/>
      <c r="IB1053" s="2087"/>
      <c r="IC1053" s="2087"/>
      <c r="ID1053" s="2087"/>
      <c r="IE1053" s="2087"/>
      <c r="IF1053" s="2087"/>
      <c r="IG1053" s="2087"/>
      <c r="IH1053" s="2087"/>
      <c r="II1053" s="2087"/>
      <c r="IJ1053" s="2087"/>
      <c r="IK1053" s="2087"/>
      <c r="IL1053" s="2087"/>
      <c r="IM1053" s="2087"/>
      <c r="IN1053" s="2087"/>
      <c r="IO1053" s="2087"/>
      <c r="IP1053" s="2087"/>
      <c r="IQ1053" s="2087"/>
      <c r="IR1053" s="2087"/>
      <c r="IS1053" s="2087"/>
      <c r="IT1053" s="2087"/>
      <c r="IU1053" s="2087"/>
      <c r="IV1053" s="2087"/>
    </row>
    <row r="1054" spans="1:256" s="137" customFormat="1" ht="13.5" hidden="1" customHeight="1">
      <c r="A1054" s="2088" t="s">
        <v>201</v>
      </c>
      <c r="B1054" s="2086" t="s">
        <v>610</v>
      </c>
      <c r="C1054" s="2089"/>
      <c r="D1054" s="2089"/>
      <c r="E1054" s="2002"/>
      <c r="F1054" s="2002"/>
      <c r="G1054" s="2996" t="s">
        <v>381</v>
      </c>
      <c r="H1054" s="3007"/>
      <c r="I1054" s="1937" t="e">
        <f>#REF!</f>
        <v>#REF!</v>
      </c>
      <c r="J1054" s="1742"/>
      <c r="K1054" s="2090" t="e">
        <f t="shared" si="244"/>
        <v>#REF!</v>
      </c>
      <c r="L1054" s="3005" t="e">
        <f t="shared" si="242"/>
        <v>#REF!</v>
      </c>
      <c r="M1054" s="3006"/>
      <c r="N1054" s="2087"/>
      <c r="O1054" s="2087" t="s">
        <v>3178</v>
      </c>
      <c r="P1054" s="2087"/>
      <c r="Q1054" s="2087"/>
      <c r="S1054" s="2087"/>
      <c r="T1054" s="2087"/>
      <c r="U1054" s="2087"/>
      <c r="V1054" s="2087"/>
      <c r="W1054" s="2087"/>
      <c r="X1054" s="2087"/>
      <c r="Y1054" s="2087"/>
      <c r="Z1054" s="2087"/>
      <c r="AA1054" s="2087"/>
      <c r="AB1054" s="2087"/>
      <c r="AC1054" s="2087"/>
      <c r="AD1054" s="2087"/>
      <c r="AE1054" s="2087"/>
      <c r="AF1054" s="2087"/>
      <c r="AG1054" s="2087"/>
      <c r="AH1054" s="2087"/>
      <c r="AI1054" s="2087"/>
      <c r="AJ1054" s="2087"/>
      <c r="AK1054" s="2087"/>
      <c r="AL1054" s="2087"/>
      <c r="AM1054" s="2087"/>
      <c r="AN1054" s="2087"/>
      <c r="AO1054" s="2087"/>
      <c r="AP1054" s="2087"/>
      <c r="AQ1054" s="2087"/>
      <c r="AR1054" s="2087"/>
      <c r="AS1054" s="2087"/>
      <c r="AT1054" s="2087"/>
      <c r="AU1054" s="2087"/>
      <c r="AV1054" s="2087"/>
      <c r="AW1054" s="2087"/>
      <c r="AX1054" s="2087"/>
      <c r="AY1054" s="2087"/>
      <c r="AZ1054" s="2087"/>
      <c r="BA1054" s="2087"/>
      <c r="BB1054" s="2087"/>
      <c r="BC1054" s="2087"/>
      <c r="BD1054" s="2087"/>
      <c r="BE1054" s="2087"/>
      <c r="BF1054" s="2087"/>
      <c r="BG1054" s="2087"/>
      <c r="BH1054" s="2087"/>
      <c r="BI1054" s="2087"/>
      <c r="BJ1054" s="2087"/>
      <c r="BK1054" s="2087"/>
      <c r="BL1054" s="2087"/>
      <c r="BM1054" s="2087"/>
      <c r="BN1054" s="2087"/>
      <c r="BO1054" s="2087"/>
      <c r="BP1054" s="2087"/>
      <c r="BQ1054" s="2087"/>
      <c r="BR1054" s="2087"/>
      <c r="BS1054" s="2087"/>
      <c r="BT1054" s="2087"/>
      <c r="BU1054" s="2087"/>
      <c r="BV1054" s="2087"/>
      <c r="BW1054" s="2087"/>
      <c r="BX1054" s="2087"/>
      <c r="BY1054" s="2087"/>
      <c r="BZ1054" s="2087"/>
      <c r="CA1054" s="2087"/>
      <c r="CB1054" s="2087"/>
      <c r="CC1054" s="2087"/>
      <c r="CD1054" s="2087"/>
      <c r="CE1054" s="2087"/>
      <c r="CF1054" s="2087"/>
      <c r="CG1054" s="2087"/>
      <c r="CH1054" s="2087"/>
      <c r="CI1054" s="2087"/>
      <c r="CJ1054" s="2087"/>
      <c r="CK1054" s="2087"/>
      <c r="CL1054" s="2087"/>
      <c r="CM1054" s="2087"/>
      <c r="CN1054" s="2087"/>
      <c r="CO1054" s="2087"/>
      <c r="CP1054" s="2087"/>
      <c r="CQ1054" s="2087"/>
      <c r="CR1054" s="2087"/>
      <c r="CS1054" s="2087"/>
      <c r="CT1054" s="2087"/>
      <c r="CU1054" s="2087"/>
      <c r="CV1054" s="2087"/>
      <c r="CW1054" s="2087"/>
      <c r="CX1054" s="2087"/>
      <c r="CY1054" s="2087"/>
      <c r="CZ1054" s="2087"/>
      <c r="DA1054" s="2087"/>
      <c r="DB1054" s="2087"/>
      <c r="DC1054" s="2087"/>
      <c r="DD1054" s="2087"/>
      <c r="DE1054" s="2087"/>
      <c r="DF1054" s="2087"/>
      <c r="DG1054" s="2087"/>
      <c r="DH1054" s="2087"/>
      <c r="DI1054" s="2087"/>
      <c r="DJ1054" s="2087"/>
      <c r="DK1054" s="2087"/>
      <c r="DL1054" s="2087"/>
      <c r="DM1054" s="2087"/>
      <c r="DN1054" s="2087"/>
      <c r="DO1054" s="2087"/>
      <c r="DP1054" s="2087"/>
      <c r="DQ1054" s="2087"/>
      <c r="DR1054" s="2087"/>
      <c r="DS1054" s="2087"/>
      <c r="DT1054" s="2087"/>
      <c r="DU1054" s="2087"/>
      <c r="DV1054" s="2087"/>
      <c r="DW1054" s="2087"/>
      <c r="DX1054" s="2087"/>
      <c r="DY1054" s="2087"/>
      <c r="DZ1054" s="2087"/>
      <c r="EA1054" s="2087"/>
      <c r="EB1054" s="2087"/>
      <c r="EC1054" s="2087"/>
      <c r="ED1054" s="2087"/>
      <c r="EE1054" s="2087"/>
      <c r="EF1054" s="2087"/>
      <c r="EG1054" s="2087"/>
      <c r="EH1054" s="2087"/>
      <c r="EI1054" s="2087"/>
      <c r="EJ1054" s="2087"/>
      <c r="EK1054" s="2087"/>
      <c r="EL1054" s="2087"/>
      <c r="EM1054" s="2087"/>
      <c r="EN1054" s="2087"/>
      <c r="EO1054" s="2087"/>
      <c r="EP1054" s="2087"/>
      <c r="EQ1054" s="2087"/>
      <c r="ER1054" s="2087"/>
      <c r="ES1054" s="2087"/>
      <c r="ET1054" s="2087"/>
      <c r="EU1054" s="2087"/>
      <c r="EV1054" s="2087"/>
      <c r="EW1054" s="2087"/>
      <c r="EX1054" s="2087"/>
      <c r="EY1054" s="2087"/>
      <c r="EZ1054" s="2087"/>
      <c r="FA1054" s="2087"/>
      <c r="FB1054" s="2087"/>
      <c r="FC1054" s="2087"/>
      <c r="FD1054" s="2087"/>
      <c r="FE1054" s="2087"/>
      <c r="FF1054" s="2087"/>
      <c r="FG1054" s="2087"/>
      <c r="FH1054" s="2087"/>
      <c r="FI1054" s="2087"/>
      <c r="FJ1054" s="2087"/>
      <c r="FK1054" s="2087"/>
      <c r="FL1054" s="2087"/>
      <c r="FM1054" s="2087"/>
      <c r="FN1054" s="2087"/>
      <c r="FO1054" s="2087"/>
      <c r="FP1054" s="2087"/>
      <c r="FQ1054" s="2087"/>
      <c r="FR1054" s="2087"/>
      <c r="FS1054" s="2087"/>
      <c r="FT1054" s="2087"/>
      <c r="FU1054" s="2087"/>
      <c r="FV1054" s="2087"/>
      <c r="FW1054" s="2087"/>
      <c r="FX1054" s="2087"/>
      <c r="FY1054" s="2087"/>
      <c r="FZ1054" s="2087"/>
      <c r="GA1054" s="2087"/>
      <c r="GB1054" s="2087"/>
      <c r="GC1054" s="2087"/>
      <c r="GD1054" s="2087"/>
      <c r="GE1054" s="2087"/>
      <c r="GF1054" s="2087"/>
      <c r="GG1054" s="2087"/>
      <c r="GH1054" s="2087"/>
      <c r="GI1054" s="2087"/>
      <c r="GJ1054" s="2087"/>
      <c r="GK1054" s="2087"/>
      <c r="GL1054" s="2087"/>
      <c r="GM1054" s="2087"/>
      <c r="GN1054" s="2087"/>
      <c r="GO1054" s="2087"/>
      <c r="GP1054" s="2087"/>
      <c r="GQ1054" s="2087"/>
      <c r="GR1054" s="2087"/>
      <c r="GS1054" s="2087"/>
      <c r="GT1054" s="2087"/>
      <c r="GU1054" s="2087"/>
      <c r="GV1054" s="2087"/>
      <c r="GW1054" s="2087"/>
      <c r="GX1054" s="2087"/>
      <c r="GY1054" s="2087"/>
      <c r="GZ1054" s="2087"/>
      <c r="HA1054" s="2087"/>
      <c r="HB1054" s="2087"/>
      <c r="HC1054" s="2087"/>
      <c r="HD1054" s="2087"/>
      <c r="HE1054" s="2087"/>
      <c r="HF1054" s="2087"/>
      <c r="HG1054" s="2087"/>
      <c r="HH1054" s="2087"/>
      <c r="HI1054" s="2087"/>
      <c r="HJ1054" s="2087"/>
      <c r="HK1054" s="2087"/>
      <c r="HL1054" s="2087"/>
      <c r="HM1054" s="2087"/>
      <c r="HN1054" s="2087"/>
      <c r="HO1054" s="2087"/>
      <c r="HP1054" s="2087"/>
      <c r="HQ1054" s="2087"/>
      <c r="HR1054" s="2087"/>
      <c r="HS1054" s="2087"/>
      <c r="HT1054" s="2087"/>
      <c r="HU1054" s="2087"/>
      <c r="HV1054" s="2087"/>
      <c r="HW1054" s="2087"/>
      <c r="HX1054" s="2087"/>
      <c r="HY1054" s="2087"/>
      <c r="HZ1054" s="2087"/>
      <c r="IA1054" s="2087"/>
      <c r="IB1054" s="2087"/>
      <c r="IC1054" s="2087"/>
      <c r="ID1054" s="2087"/>
      <c r="IE1054" s="2087"/>
      <c r="IF1054" s="2087"/>
      <c r="IG1054" s="2087"/>
      <c r="IH1054" s="2087"/>
      <c r="II1054" s="2087"/>
      <c r="IJ1054" s="2087"/>
      <c r="IK1054" s="2087"/>
      <c r="IL1054" s="2087"/>
      <c r="IM1054" s="2087"/>
      <c r="IN1054" s="2087"/>
      <c r="IO1054" s="2087"/>
      <c r="IP1054" s="2087"/>
      <c r="IQ1054" s="2087"/>
      <c r="IR1054" s="2087"/>
      <c r="IS1054" s="2087"/>
      <c r="IT1054" s="2087"/>
      <c r="IU1054" s="2087"/>
      <c r="IV1054" s="2087"/>
    </row>
    <row r="1055" spans="1:256" s="137" customFormat="1" ht="13.5" hidden="1" customHeight="1">
      <c r="A1055" s="2088" t="s">
        <v>220</v>
      </c>
      <c r="B1055" s="2086" t="s">
        <v>611</v>
      </c>
      <c r="C1055" s="2089"/>
      <c r="D1055" s="2089"/>
      <c r="E1055" s="2002"/>
      <c r="F1055" s="2002"/>
      <c r="G1055" s="2996" t="s">
        <v>381</v>
      </c>
      <c r="H1055" s="3007"/>
      <c r="I1055" s="1937" t="e">
        <f>#REF!</f>
        <v>#REF!</v>
      </c>
      <c r="J1055" s="1742"/>
      <c r="K1055" s="2090" t="e">
        <f t="shared" si="244"/>
        <v>#REF!</v>
      </c>
      <c r="L1055" s="3005" t="e">
        <f t="shared" si="242"/>
        <v>#REF!</v>
      </c>
      <c r="M1055" s="3006"/>
      <c r="N1055" s="2087"/>
      <c r="O1055" s="2087"/>
      <c r="P1055" s="2087"/>
      <c r="Q1055" s="2087"/>
      <c r="R1055" s="2087"/>
      <c r="S1055" s="2087"/>
      <c r="T1055" s="2087"/>
      <c r="U1055" s="2087"/>
      <c r="V1055" s="2087"/>
      <c r="W1055" s="2087"/>
      <c r="X1055" s="2087"/>
      <c r="Y1055" s="2087"/>
      <c r="Z1055" s="2087"/>
      <c r="AA1055" s="2087"/>
      <c r="AB1055" s="2087"/>
      <c r="AC1055" s="2087"/>
      <c r="AD1055" s="2087"/>
      <c r="AE1055" s="2087"/>
      <c r="AF1055" s="2087"/>
      <c r="AG1055" s="2087"/>
      <c r="AH1055" s="2087"/>
      <c r="AI1055" s="2087"/>
      <c r="AJ1055" s="2087"/>
      <c r="AK1055" s="2087"/>
      <c r="AL1055" s="2087"/>
      <c r="AM1055" s="2087"/>
      <c r="AN1055" s="2087"/>
      <c r="AO1055" s="2087"/>
      <c r="AP1055" s="2087"/>
      <c r="AQ1055" s="2087"/>
      <c r="AR1055" s="2087"/>
      <c r="AS1055" s="2087"/>
      <c r="AT1055" s="2087"/>
      <c r="AU1055" s="2087"/>
      <c r="AV1055" s="2087"/>
      <c r="AW1055" s="2087"/>
      <c r="AX1055" s="2087"/>
      <c r="AY1055" s="2087"/>
      <c r="AZ1055" s="2087"/>
      <c r="BA1055" s="2087"/>
      <c r="BB1055" s="2087"/>
      <c r="BC1055" s="2087"/>
      <c r="BD1055" s="2087"/>
      <c r="BE1055" s="2087"/>
      <c r="BF1055" s="2087"/>
      <c r="BG1055" s="2087"/>
      <c r="BH1055" s="2087"/>
      <c r="BI1055" s="2087"/>
      <c r="BJ1055" s="2087"/>
      <c r="BK1055" s="2087"/>
      <c r="BL1055" s="2087"/>
      <c r="BM1055" s="2087"/>
      <c r="BN1055" s="2087"/>
      <c r="BO1055" s="2087"/>
      <c r="BP1055" s="2087"/>
      <c r="BQ1055" s="2087"/>
      <c r="BR1055" s="2087"/>
      <c r="BS1055" s="2087"/>
      <c r="BT1055" s="2087"/>
      <c r="BU1055" s="2087"/>
      <c r="BV1055" s="2087"/>
      <c r="BW1055" s="2087"/>
      <c r="BX1055" s="2087"/>
      <c r="BY1055" s="2087"/>
      <c r="BZ1055" s="2087"/>
      <c r="CA1055" s="2087"/>
      <c r="CB1055" s="2087"/>
      <c r="CC1055" s="2087"/>
      <c r="CD1055" s="2087"/>
      <c r="CE1055" s="2087"/>
      <c r="CF1055" s="2087"/>
      <c r="CG1055" s="2087"/>
      <c r="CH1055" s="2087"/>
      <c r="CI1055" s="2087"/>
      <c r="CJ1055" s="2087"/>
      <c r="CK1055" s="2087"/>
      <c r="CL1055" s="2087"/>
      <c r="CM1055" s="2087"/>
      <c r="CN1055" s="2087"/>
      <c r="CO1055" s="2087"/>
      <c r="CP1055" s="2087"/>
      <c r="CQ1055" s="2087"/>
      <c r="CR1055" s="2087"/>
      <c r="CS1055" s="2087"/>
      <c r="CT1055" s="2087"/>
      <c r="CU1055" s="2087"/>
      <c r="CV1055" s="2087"/>
      <c r="CW1055" s="2087"/>
      <c r="CX1055" s="2087"/>
      <c r="CY1055" s="2087"/>
      <c r="CZ1055" s="2087"/>
      <c r="DA1055" s="2087"/>
      <c r="DB1055" s="2087"/>
      <c r="DC1055" s="2087"/>
      <c r="DD1055" s="2087"/>
      <c r="DE1055" s="2087"/>
      <c r="DF1055" s="2087"/>
      <c r="DG1055" s="2087"/>
      <c r="DH1055" s="2087"/>
      <c r="DI1055" s="2087"/>
      <c r="DJ1055" s="2087"/>
      <c r="DK1055" s="2087"/>
      <c r="DL1055" s="2087"/>
      <c r="DM1055" s="2087"/>
      <c r="DN1055" s="2087"/>
      <c r="DO1055" s="2087"/>
      <c r="DP1055" s="2087"/>
      <c r="DQ1055" s="2087"/>
      <c r="DR1055" s="2087"/>
      <c r="DS1055" s="2087"/>
      <c r="DT1055" s="2087"/>
      <c r="DU1055" s="2087"/>
      <c r="DV1055" s="2087"/>
      <c r="DW1055" s="2087"/>
      <c r="DX1055" s="2087"/>
      <c r="DY1055" s="2087"/>
      <c r="DZ1055" s="2087"/>
      <c r="EA1055" s="2087"/>
      <c r="EB1055" s="2087"/>
      <c r="EC1055" s="2087"/>
      <c r="ED1055" s="2087"/>
      <c r="EE1055" s="2087"/>
      <c r="EF1055" s="2087"/>
      <c r="EG1055" s="2087"/>
      <c r="EH1055" s="2087"/>
      <c r="EI1055" s="2087"/>
      <c r="EJ1055" s="2087"/>
      <c r="EK1055" s="2087"/>
      <c r="EL1055" s="2087"/>
      <c r="EM1055" s="2087"/>
      <c r="EN1055" s="2087"/>
      <c r="EO1055" s="2087"/>
      <c r="EP1055" s="2087"/>
      <c r="EQ1055" s="2087"/>
      <c r="ER1055" s="2087"/>
      <c r="ES1055" s="2087"/>
      <c r="ET1055" s="2087"/>
      <c r="EU1055" s="2087"/>
      <c r="EV1055" s="2087"/>
      <c r="EW1055" s="2087"/>
      <c r="EX1055" s="2087"/>
      <c r="EY1055" s="2087"/>
      <c r="EZ1055" s="2087"/>
      <c r="FA1055" s="2087"/>
      <c r="FB1055" s="2087"/>
      <c r="FC1055" s="2087"/>
      <c r="FD1055" s="2087"/>
      <c r="FE1055" s="2087"/>
      <c r="FF1055" s="2087"/>
      <c r="FG1055" s="2087"/>
      <c r="FH1055" s="2087"/>
      <c r="FI1055" s="2087"/>
      <c r="FJ1055" s="2087"/>
      <c r="FK1055" s="2087"/>
      <c r="FL1055" s="2087"/>
      <c r="FM1055" s="2087"/>
      <c r="FN1055" s="2087"/>
      <c r="FO1055" s="2087"/>
      <c r="FP1055" s="2087"/>
      <c r="FQ1055" s="2087"/>
      <c r="FR1055" s="2087"/>
      <c r="FS1055" s="2087"/>
      <c r="FT1055" s="2087"/>
      <c r="FU1055" s="2087"/>
      <c r="FV1055" s="2087"/>
      <c r="FW1055" s="2087"/>
      <c r="FX1055" s="2087"/>
      <c r="FY1055" s="2087"/>
      <c r="FZ1055" s="2087"/>
      <c r="GA1055" s="2087"/>
      <c r="GB1055" s="2087"/>
      <c r="GC1055" s="2087"/>
      <c r="GD1055" s="2087"/>
      <c r="GE1055" s="2087"/>
      <c r="GF1055" s="2087"/>
      <c r="GG1055" s="2087"/>
      <c r="GH1055" s="2087"/>
      <c r="GI1055" s="2087"/>
      <c r="GJ1055" s="2087"/>
      <c r="GK1055" s="2087"/>
      <c r="GL1055" s="2087"/>
      <c r="GM1055" s="2087"/>
      <c r="GN1055" s="2087"/>
      <c r="GO1055" s="2087"/>
      <c r="GP1055" s="2087"/>
      <c r="GQ1055" s="2087"/>
      <c r="GR1055" s="2087"/>
      <c r="GS1055" s="2087"/>
      <c r="GT1055" s="2087"/>
      <c r="GU1055" s="2087"/>
      <c r="GV1055" s="2087"/>
      <c r="GW1055" s="2087"/>
      <c r="GX1055" s="2087"/>
      <c r="GY1055" s="2087"/>
      <c r="GZ1055" s="2087"/>
      <c r="HA1055" s="2087"/>
      <c r="HB1055" s="2087"/>
      <c r="HC1055" s="2087"/>
      <c r="HD1055" s="2087"/>
      <c r="HE1055" s="2087"/>
      <c r="HF1055" s="2087"/>
      <c r="HG1055" s="2087"/>
      <c r="HH1055" s="2087"/>
      <c r="HI1055" s="2087"/>
      <c r="HJ1055" s="2087"/>
      <c r="HK1055" s="2087"/>
      <c r="HL1055" s="2087"/>
      <c r="HM1055" s="2087"/>
      <c r="HN1055" s="2087"/>
      <c r="HO1055" s="2087"/>
      <c r="HP1055" s="2087"/>
      <c r="HQ1055" s="2087"/>
      <c r="HR1055" s="2087"/>
      <c r="HS1055" s="2087"/>
      <c r="HT1055" s="2087"/>
      <c r="HU1055" s="2087"/>
      <c r="HV1055" s="2087"/>
      <c r="HW1055" s="2087"/>
      <c r="HX1055" s="2087"/>
      <c r="HY1055" s="2087"/>
      <c r="HZ1055" s="2087"/>
      <c r="IA1055" s="2087"/>
      <c r="IB1055" s="2087"/>
      <c r="IC1055" s="2087"/>
      <c r="ID1055" s="2087"/>
      <c r="IE1055" s="2087"/>
      <c r="IF1055" s="2087"/>
      <c r="IG1055" s="2087"/>
      <c r="IH1055" s="2087"/>
      <c r="II1055" s="2087"/>
      <c r="IJ1055" s="2087"/>
      <c r="IK1055" s="2087"/>
      <c r="IL1055" s="2087"/>
      <c r="IM1055" s="2087"/>
      <c r="IN1055" s="2087"/>
      <c r="IO1055" s="2087"/>
      <c r="IP1055" s="2087"/>
      <c r="IQ1055" s="2087"/>
      <c r="IR1055" s="2087"/>
      <c r="IS1055" s="2087"/>
      <c r="IT1055" s="2087"/>
      <c r="IU1055" s="2087"/>
      <c r="IV1055" s="2087"/>
    </row>
    <row r="1056" spans="1:256" s="137" customFormat="1" ht="13.5" hidden="1" customHeight="1">
      <c r="A1056" s="2088" t="s">
        <v>244</v>
      </c>
      <c r="B1056" s="2086" t="s">
        <v>612</v>
      </c>
      <c r="C1056" s="2089"/>
      <c r="D1056" s="2089"/>
      <c r="E1056" s="2002"/>
      <c r="F1056" s="2002"/>
      <c r="G1056" s="2996" t="s">
        <v>381</v>
      </c>
      <c r="H1056" s="3007"/>
      <c r="I1056" s="1937" t="e">
        <f>#REF!</f>
        <v>#REF!</v>
      </c>
      <c r="J1056" s="1742"/>
      <c r="K1056" s="2090" t="e">
        <f t="shared" si="244"/>
        <v>#REF!</v>
      </c>
      <c r="L1056" s="3005" t="e">
        <f t="shared" si="242"/>
        <v>#REF!</v>
      </c>
      <c r="M1056" s="3006"/>
      <c r="N1056" s="2087"/>
      <c r="O1056" s="2087"/>
      <c r="P1056" s="2087"/>
      <c r="Q1056" s="2087"/>
      <c r="R1056" s="2087"/>
      <c r="S1056" s="2087"/>
      <c r="T1056" s="2087"/>
      <c r="U1056" s="2087"/>
      <c r="V1056" s="2087"/>
      <c r="W1056" s="2087"/>
      <c r="X1056" s="2087"/>
      <c r="Y1056" s="2087"/>
      <c r="Z1056" s="2087"/>
      <c r="AA1056" s="2087"/>
      <c r="AB1056" s="2087"/>
      <c r="AC1056" s="2087"/>
      <c r="AD1056" s="2087"/>
      <c r="AE1056" s="2087"/>
      <c r="AF1056" s="2087"/>
      <c r="AG1056" s="2087"/>
      <c r="AH1056" s="2087"/>
      <c r="AI1056" s="2087"/>
      <c r="AJ1056" s="2087"/>
      <c r="AK1056" s="2087"/>
      <c r="AL1056" s="2087"/>
      <c r="AM1056" s="2087"/>
      <c r="AN1056" s="2087"/>
      <c r="AO1056" s="2087"/>
      <c r="AP1056" s="2087"/>
      <c r="AQ1056" s="2087"/>
      <c r="AR1056" s="2087"/>
      <c r="AS1056" s="2087"/>
      <c r="AT1056" s="2087"/>
      <c r="AU1056" s="2087"/>
      <c r="AV1056" s="2087"/>
      <c r="AW1056" s="2087"/>
      <c r="AX1056" s="2087"/>
      <c r="AY1056" s="2087"/>
      <c r="AZ1056" s="2087"/>
      <c r="BA1056" s="2087"/>
      <c r="BB1056" s="2087"/>
      <c r="BC1056" s="2087"/>
      <c r="BD1056" s="2087"/>
      <c r="BE1056" s="2087"/>
      <c r="BF1056" s="2087"/>
      <c r="BG1056" s="2087"/>
      <c r="BH1056" s="2087"/>
      <c r="BI1056" s="2087"/>
      <c r="BJ1056" s="2087"/>
      <c r="BK1056" s="2087"/>
      <c r="BL1056" s="2087"/>
      <c r="BM1056" s="2087"/>
      <c r="BN1056" s="2087"/>
      <c r="BO1056" s="2087"/>
      <c r="BP1056" s="2087"/>
      <c r="BQ1056" s="2087"/>
      <c r="BR1056" s="2087"/>
      <c r="BS1056" s="2087"/>
      <c r="BT1056" s="2087"/>
      <c r="BU1056" s="2087"/>
      <c r="BV1056" s="2087"/>
      <c r="BW1056" s="2087"/>
      <c r="BX1056" s="2087"/>
      <c r="BY1056" s="2087"/>
      <c r="BZ1056" s="2087"/>
      <c r="CA1056" s="2087"/>
      <c r="CB1056" s="2087"/>
      <c r="CC1056" s="2087"/>
      <c r="CD1056" s="2087"/>
      <c r="CE1056" s="2087"/>
      <c r="CF1056" s="2087"/>
      <c r="CG1056" s="2087"/>
      <c r="CH1056" s="2087"/>
      <c r="CI1056" s="2087"/>
      <c r="CJ1056" s="2087"/>
      <c r="CK1056" s="2087"/>
      <c r="CL1056" s="2087"/>
      <c r="CM1056" s="2087"/>
      <c r="CN1056" s="2087"/>
      <c r="CO1056" s="2087"/>
      <c r="CP1056" s="2087"/>
      <c r="CQ1056" s="2087"/>
      <c r="CR1056" s="2087"/>
      <c r="CS1056" s="2087"/>
      <c r="CT1056" s="2087"/>
      <c r="CU1056" s="2087"/>
      <c r="CV1056" s="2087"/>
      <c r="CW1056" s="2087"/>
      <c r="CX1056" s="2087"/>
      <c r="CY1056" s="2087"/>
      <c r="CZ1056" s="2087"/>
      <c r="DA1056" s="2087"/>
      <c r="DB1056" s="2087"/>
      <c r="DC1056" s="2087"/>
      <c r="DD1056" s="2087"/>
      <c r="DE1056" s="2087"/>
      <c r="DF1056" s="2087"/>
      <c r="DG1056" s="2087"/>
      <c r="DH1056" s="2087"/>
      <c r="DI1056" s="2087"/>
      <c r="DJ1056" s="2087"/>
      <c r="DK1056" s="2087"/>
      <c r="DL1056" s="2087"/>
      <c r="DM1056" s="2087"/>
      <c r="DN1056" s="2087"/>
      <c r="DO1056" s="2087"/>
      <c r="DP1056" s="2087"/>
      <c r="DQ1056" s="2087"/>
      <c r="DR1056" s="2087"/>
      <c r="DS1056" s="2087"/>
      <c r="DT1056" s="2087"/>
      <c r="DU1056" s="2087"/>
      <c r="DV1056" s="2087"/>
      <c r="DW1056" s="2087"/>
      <c r="DX1056" s="2087"/>
      <c r="DY1056" s="2087"/>
      <c r="DZ1056" s="2087"/>
      <c r="EA1056" s="2087"/>
      <c r="EB1056" s="2087"/>
      <c r="EC1056" s="2087"/>
      <c r="ED1056" s="2087"/>
      <c r="EE1056" s="2087"/>
      <c r="EF1056" s="2087"/>
      <c r="EG1056" s="2087"/>
      <c r="EH1056" s="2087"/>
      <c r="EI1056" s="2087"/>
      <c r="EJ1056" s="2087"/>
      <c r="EK1056" s="2087"/>
      <c r="EL1056" s="2087"/>
      <c r="EM1056" s="2087"/>
      <c r="EN1056" s="2087"/>
      <c r="EO1056" s="2087"/>
      <c r="EP1056" s="2087"/>
      <c r="EQ1056" s="2087"/>
      <c r="ER1056" s="2087"/>
      <c r="ES1056" s="2087"/>
      <c r="ET1056" s="2087"/>
      <c r="EU1056" s="2087"/>
      <c r="EV1056" s="2087"/>
      <c r="EW1056" s="2087"/>
      <c r="EX1056" s="2087"/>
      <c r="EY1056" s="2087"/>
      <c r="EZ1056" s="2087"/>
      <c r="FA1056" s="2087"/>
      <c r="FB1056" s="2087"/>
      <c r="FC1056" s="2087"/>
      <c r="FD1056" s="2087"/>
      <c r="FE1056" s="2087"/>
      <c r="FF1056" s="2087"/>
      <c r="FG1056" s="2087"/>
      <c r="FH1056" s="2087"/>
      <c r="FI1056" s="2087"/>
      <c r="FJ1056" s="2087"/>
      <c r="FK1056" s="2087"/>
      <c r="FL1056" s="2087"/>
      <c r="FM1056" s="2087"/>
      <c r="FN1056" s="2087"/>
      <c r="FO1056" s="2087"/>
      <c r="FP1056" s="2087"/>
      <c r="FQ1056" s="2087"/>
      <c r="FR1056" s="2087"/>
      <c r="FS1056" s="2087"/>
      <c r="FT1056" s="2087"/>
      <c r="FU1056" s="2087"/>
      <c r="FV1056" s="2087"/>
      <c r="FW1056" s="2087"/>
      <c r="FX1056" s="2087"/>
      <c r="FY1056" s="2087"/>
      <c r="FZ1056" s="2087"/>
      <c r="GA1056" s="2087"/>
      <c r="GB1056" s="2087"/>
      <c r="GC1056" s="2087"/>
      <c r="GD1056" s="2087"/>
      <c r="GE1056" s="2087"/>
      <c r="GF1056" s="2087"/>
      <c r="GG1056" s="2087"/>
      <c r="GH1056" s="2087"/>
      <c r="GI1056" s="2087"/>
      <c r="GJ1056" s="2087"/>
      <c r="GK1056" s="2087"/>
      <c r="GL1056" s="2087"/>
      <c r="GM1056" s="2087"/>
      <c r="GN1056" s="2087"/>
      <c r="GO1056" s="2087"/>
      <c r="GP1056" s="2087"/>
      <c r="GQ1056" s="2087"/>
      <c r="GR1056" s="2087"/>
      <c r="GS1056" s="2087"/>
      <c r="GT1056" s="2087"/>
      <c r="GU1056" s="2087"/>
      <c r="GV1056" s="2087"/>
      <c r="GW1056" s="2087"/>
      <c r="GX1056" s="2087"/>
      <c r="GY1056" s="2087"/>
      <c r="GZ1056" s="2087"/>
      <c r="HA1056" s="2087"/>
      <c r="HB1056" s="2087"/>
      <c r="HC1056" s="2087"/>
      <c r="HD1056" s="2087"/>
      <c r="HE1056" s="2087"/>
      <c r="HF1056" s="2087"/>
      <c r="HG1056" s="2087"/>
      <c r="HH1056" s="2087"/>
      <c r="HI1056" s="2087"/>
      <c r="HJ1056" s="2087"/>
      <c r="HK1056" s="2087"/>
      <c r="HL1056" s="2087"/>
      <c r="HM1056" s="2087"/>
      <c r="HN1056" s="2087"/>
      <c r="HO1056" s="2087"/>
      <c r="HP1056" s="2087"/>
      <c r="HQ1056" s="2087"/>
      <c r="HR1056" s="2087"/>
      <c r="HS1056" s="2087"/>
      <c r="HT1056" s="2087"/>
      <c r="HU1056" s="2087"/>
      <c r="HV1056" s="2087"/>
      <c r="HW1056" s="2087"/>
      <c r="HX1056" s="2087"/>
      <c r="HY1056" s="2087"/>
      <c r="HZ1056" s="2087"/>
      <c r="IA1056" s="2087"/>
      <c r="IB1056" s="2087"/>
      <c r="IC1056" s="2087"/>
      <c r="ID1056" s="2087"/>
      <c r="IE1056" s="2087"/>
      <c r="IF1056" s="2087"/>
      <c r="IG1056" s="2087"/>
      <c r="IH1056" s="2087"/>
      <c r="II1056" s="2087"/>
      <c r="IJ1056" s="2087"/>
      <c r="IK1056" s="2087"/>
      <c r="IL1056" s="2087"/>
      <c r="IM1056" s="2087"/>
      <c r="IN1056" s="2087"/>
      <c r="IO1056" s="2087"/>
      <c r="IP1056" s="2087"/>
      <c r="IQ1056" s="2087"/>
      <c r="IR1056" s="2087"/>
      <c r="IS1056" s="2087"/>
      <c r="IT1056" s="2087"/>
      <c r="IU1056" s="2087"/>
      <c r="IV1056" s="2087"/>
    </row>
    <row r="1057" spans="1:20" s="137" customFormat="1" ht="13.5" hidden="1" customHeight="1">
      <c r="A1057" s="2085">
        <f>A1053+1</f>
        <v>157</v>
      </c>
      <c r="B1057" s="2080" t="s">
        <v>3904</v>
      </c>
      <c r="C1057" s="1940"/>
      <c r="D1057" s="1940"/>
      <c r="E1057" s="2002"/>
      <c r="F1057" s="2002"/>
      <c r="G1057" s="2996" t="s">
        <v>381</v>
      </c>
      <c r="H1057" s="3007"/>
      <c r="I1057" s="1937" t="e">
        <f>#REF!</f>
        <v>#REF!</v>
      </c>
      <c r="J1057" s="2090"/>
      <c r="K1057" s="2090" t="e">
        <f t="shared" si="244"/>
        <v>#REF!</v>
      </c>
      <c r="L1057" s="3005" t="e">
        <f t="shared" si="242"/>
        <v>#REF!</v>
      </c>
      <c r="M1057" s="3006"/>
      <c r="N1057" s="2082"/>
      <c r="O1057" s="2082"/>
      <c r="P1057" s="2082"/>
      <c r="Q1057" s="2082" t="s">
        <v>614</v>
      </c>
      <c r="R1057" s="2082"/>
      <c r="S1057" s="2082"/>
      <c r="T1057" s="2082"/>
    </row>
    <row r="1058" spans="1:20" s="137" customFormat="1" ht="13.5" hidden="1" customHeight="1">
      <c r="A1058" s="2047">
        <f>A1057+1</f>
        <v>158</v>
      </c>
      <c r="B1058" s="2080" t="s">
        <v>3905</v>
      </c>
      <c r="C1058" s="1940"/>
      <c r="D1058" s="1940"/>
      <c r="E1058" s="1940"/>
      <c r="F1058" s="1940"/>
      <c r="G1058" s="3007" t="s">
        <v>381</v>
      </c>
      <c r="H1058" s="3007"/>
      <c r="I1058" s="1937" t="e">
        <f>#REF!</f>
        <v>#REF!</v>
      </c>
      <c r="J1058" s="2090"/>
      <c r="K1058" s="2090" t="e">
        <f t="shared" si="244"/>
        <v>#REF!</v>
      </c>
      <c r="L1058" s="3005" t="e">
        <f t="shared" si="242"/>
        <v>#REF!</v>
      </c>
      <c r="M1058" s="3006"/>
      <c r="N1058" s="2082"/>
      <c r="O1058" s="2082"/>
      <c r="P1058" s="2082"/>
      <c r="Q1058" s="2082" t="s">
        <v>614</v>
      </c>
      <c r="R1058" s="2082"/>
      <c r="S1058" s="2082"/>
      <c r="T1058" s="2082"/>
    </row>
    <row r="1059" spans="1:20" s="137" customFormat="1" ht="13.5" hidden="1" customHeight="1">
      <c r="A1059" s="2047">
        <f>A1058+1</f>
        <v>159</v>
      </c>
      <c r="B1059" s="1935" t="s">
        <v>3906</v>
      </c>
      <c r="C1059" s="1940"/>
      <c r="D1059" s="1940"/>
      <c r="E1059" s="1940"/>
      <c r="F1059" s="1940"/>
      <c r="G1059" s="3007" t="s">
        <v>381</v>
      </c>
      <c r="H1059" s="3007"/>
      <c r="I1059" s="1937" t="e">
        <f>#REF!</f>
        <v>#REF!</v>
      </c>
      <c r="J1059" s="2090"/>
      <c r="K1059" s="2090" t="e">
        <f>I1059+J1059</f>
        <v>#REF!</v>
      </c>
      <c r="L1059" s="3005" t="e">
        <f>ROUND(K1059,1)</f>
        <v>#REF!</v>
      </c>
      <c r="M1059" s="3006"/>
      <c r="N1059" s="2082"/>
      <c r="O1059" s="2082"/>
      <c r="P1059" s="2082"/>
      <c r="Q1059" s="2082" t="s">
        <v>3374</v>
      </c>
      <c r="R1059" s="2082"/>
      <c r="S1059" s="2082"/>
      <c r="T1059" s="2082"/>
    </row>
    <row r="1060" spans="1:20" s="137" customFormat="1" ht="13.5" hidden="1" customHeight="1">
      <c r="A1060" s="1999">
        <f>A1059+1</f>
        <v>160</v>
      </c>
      <c r="B1060" s="1935" t="s">
        <v>3907</v>
      </c>
      <c r="C1060" s="1940"/>
      <c r="D1060" s="1940"/>
      <c r="E1060" s="1940"/>
      <c r="F1060" s="1940"/>
      <c r="G1060" s="3007" t="s">
        <v>381</v>
      </c>
      <c r="H1060" s="3007"/>
      <c r="I1060" s="1937" t="e">
        <f>#REF!</f>
        <v>#REF!</v>
      </c>
      <c r="J1060" s="2090"/>
      <c r="K1060" s="2090" t="e">
        <f>I1060+J1060</f>
        <v>#REF!</v>
      </c>
      <c r="L1060" s="3005" t="e">
        <f>ROUND(K1060,1)</f>
        <v>#REF!</v>
      </c>
      <c r="M1060" s="3006"/>
      <c r="N1060" s="2082"/>
      <c r="O1060" s="2082"/>
      <c r="P1060" s="2082"/>
      <c r="Q1060" s="2082" t="s">
        <v>3374</v>
      </c>
      <c r="R1060" s="2082"/>
      <c r="S1060" s="2082"/>
      <c r="T1060" s="2082"/>
    </row>
    <row r="1061" spans="1:20" s="1741" customFormat="1" ht="13.5" hidden="1" customHeight="1">
      <c r="A1061" s="1824">
        <f>A1060+1</f>
        <v>161</v>
      </c>
      <c r="B1061" s="2010" t="s">
        <v>3908</v>
      </c>
      <c r="C1061" s="2002"/>
      <c r="D1061" s="2002"/>
      <c r="E1061" s="2002"/>
      <c r="F1061" s="2002"/>
      <c r="G1061" s="2989" t="s">
        <v>381</v>
      </c>
      <c r="H1061" s="2989"/>
      <c r="I1061" s="1742" t="e">
        <f>#REF!</f>
        <v>#REF!</v>
      </c>
      <c r="J1061" s="1742"/>
      <c r="K1061" s="1742" t="e">
        <f t="shared" si="244"/>
        <v>#REF!</v>
      </c>
      <c r="L1061" s="2990" t="e">
        <f t="shared" si="242"/>
        <v>#REF!</v>
      </c>
      <c r="M1061" s="2990"/>
      <c r="O1061" s="1735" t="s">
        <v>616</v>
      </c>
      <c r="T1061" s="1706"/>
    </row>
    <row r="1062" spans="1:20" s="1741" customFormat="1" ht="13.5" hidden="1" customHeight="1">
      <c r="A1062" s="1824">
        <f>A1061+1</f>
        <v>162</v>
      </c>
      <c r="B1062" s="2010" t="s">
        <v>3909</v>
      </c>
      <c r="C1062" s="2002"/>
      <c r="D1062" s="2002"/>
      <c r="E1062" s="2002"/>
      <c r="F1062" s="2002"/>
      <c r="G1062" s="2989" t="s">
        <v>381</v>
      </c>
      <c r="H1062" s="2989"/>
      <c r="I1062" s="1742" t="e">
        <f>#REF!</f>
        <v>#REF!</v>
      </c>
      <c r="J1062" s="1742"/>
      <c r="K1062" s="1742" t="e">
        <f t="shared" si="244"/>
        <v>#REF!</v>
      </c>
      <c r="L1062" s="2990" t="e">
        <f t="shared" si="242"/>
        <v>#REF!</v>
      </c>
      <c r="M1062" s="2990"/>
      <c r="O1062" s="1735" t="s">
        <v>617</v>
      </c>
      <c r="Q1062" s="1735"/>
      <c r="T1062" s="1706"/>
    </row>
    <row r="1063" spans="1:20" s="1741" customFormat="1" ht="13.5" hidden="1" customHeight="1">
      <c r="A1063" s="1824">
        <f t="shared" ref="A1063:A1068" si="247">A1062+1</f>
        <v>163</v>
      </c>
      <c r="B1063" s="2010" t="s">
        <v>3910</v>
      </c>
      <c r="C1063" s="2002"/>
      <c r="D1063" s="2002"/>
      <c r="E1063" s="2002"/>
      <c r="F1063" s="2002"/>
      <c r="G1063" s="2989" t="s">
        <v>381</v>
      </c>
      <c r="H1063" s="2989"/>
      <c r="I1063" s="1742" t="e">
        <f>#REF!</f>
        <v>#REF!</v>
      </c>
      <c r="J1063" s="1742"/>
      <c r="K1063" s="1742" t="e">
        <f t="shared" si="244"/>
        <v>#REF!</v>
      </c>
      <c r="L1063" s="2990" t="e">
        <f t="shared" si="242"/>
        <v>#REF!</v>
      </c>
      <c r="M1063" s="2990"/>
      <c r="O1063" s="1735" t="s">
        <v>620</v>
      </c>
      <c r="Q1063" s="1735" t="s">
        <v>619</v>
      </c>
      <c r="T1063" s="1706"/>
    </row>
    <row r="1064" spans="1:20" s="137" customFormat="1" ht="13.5" hidden="1" customHeight="1">
      <c r="A1064" s="2047">
        <f>A1063+1</f>
        <v>164</v>
      </c>
      <c r="B1064" s="1935" t="s">
        <v>3911</v>
      </c>
      <c r="C1064" s="1940"/>
      <c r="D1064" s="1940"/>
      <c r="E1064" s="1940"/>
      <c r="F1064" s="1940"/>
      <c r="G1064" s="3007" t="s">
        <v>390</v>
      </c>
      <c r="H1064" s="3007"/>
      <c r="I1064" s="1937" t="e">
        <f>#REF!</f>
        <v>#REF!</v>
      </c>
      <c r="J1064" s="2090"/>
      <c r="K1064" s="2090" t="e">
        <f t="shared" si="244"/>
        <v>#REF!</v>
      </c>
      <c r="L1064" s="3005" t="e">
        <f>ROUND(K1064,1)</f>
        <v>#REF!</v>
      </c>
      <c r="M1064" s="3005"/>
      <c r="N1064" s="2082"/>
      <c r="O1064" s="2082"/>
      <c r="P1064" s="2082"/>
      <c r="Q1064" s="2082"/>
      <c r="R1064" s="2082"/>
      <c r="S1064" s="2082"/>
    </row>
    <row r="1065" spans="1:20" s="137" customFormat="1" ht="13.5" hidden="1" customHeight="1">
      <c r="A1065" s="2047">
        <f>A1064+1</f>
        <v>165</v>
      </c>
      <c r="B1065" s="1935" t="s">
        <v>3912</v>
      </c>
      <c r="C1065" s="1940"/>
      <c r="D1065" s="1940"/>
      <c r="E1065" s="1940"/>
      <c r="F1065" s="1940"/>
      <c r="G1065" s="3007" t="s">
        <v>390</v>
      </c>
      <c r="H1065" s="3007"/>
      <c r="I1065" s="1937" t="e">
        <f>#REF!</f>
        <v>#REF!</v>
      </c>
      <c r="J1065" s="2090"/>
      <c r="K1065" s="2090" t="e">
        <f t="shared" si="244"/>
        <v>#REF!</v>
      </c>
      <c r="L1065" s="3005" t="e">
        <f>ROUND(K1065,1)</f>
        <v>#REF!</v>
      </c>
      <c r="M1065" s="3005"/>
      <c r="N1065" s="2082"/>
      <c r="O1065" s="2082"/>
      <c r="P1065" s="2082"/>
      <c r="Q1065" s="2082"/>
      <c r="R1065" s="2082"/>
      <c r="S1065" s="2082"/>
    </row>
    <row r="1066" spans="1:20" s="1741" customFormat="1" ht="13.5" hidden="1" customHeight="1">
      <c r="A1066" s="1823">
        <f>A1065+1</f>
        <v>166</v>
      </c>
      <c r="B1066" s="2010" t="s">
        <v>3913</v>
      </c>
      <c r="C1066" s="2002"/>
      <c r="D1066" s="2002"/>
      <c r="E1066" s="2002"/>
      <c r="F1066" s="2002"/>
      <c r="G1066" s="2989" t="s">
        <v>381</v>
      </c>
      <c r="H1066" s="2989"/>
      <c r="I1066" s="1742" t="e">
        <f>#REF!</f>
        <v>#REF!</v>
      </c>
      <c r="J1066" s="1742"/>
      <c r="K1066" s="1742" t="e">
        <f t="shared" si="244"/>
        <v>#REF!</v>
      </c>
      <c r="L1066" s="2990" t="e">
        <f t="shared" si="242"/>
        <v>#REF!</v>
      </c>
      <c r="M1066" s="2990"/>
      <c r="O1066" s="1735" t="s">
        <v>617</v>
      </c>
      <c r="Q1066" s="1735" t="s">
        <v>623</v>
      </c>
      <c r="T1066" s="1706"/>
    </row>
    <row r="1067" spans="1:20" s="1741" customFormat="1" ht="13.5" hidden="1" customHeight="1">
      <c r="A1067" s="1823">
        <f>A1066+1</f>
        <v>167</v>
      </c>
      <c r="B1067" s="2010" t="s">
        <v>3914</v>
      </c>
      <c r="C1067" s="2002"/>
      <c r="D1067" s="2002"/>
      <c r="E1067" s="2002"/>
      <c r="F1067" s="2002"/>
      <c r="G1067" s="2989" t="s">
        <v>381</v>
      </c>
      <c r="H1067" s="2989"/>
      <c r="I1067" s="1742" t="e">
        <f>#REF!</f>
        <v>#REF!</v>
      </c>
      <c r="J1067" s="1742"/>
      <c r="K1067" s="1742" t="e">
        <f t="shared" si="244"/>
        <v>#REF!</v>
      </c>
      <c r="L1067" s="2990" t="e">
        <f t="shared" si="242"/>
        <v>#REF!</v>
      </c>
      <c r="M1067" s="2990"/>
      <c r="O1067" s="1735" t="s">
        <v>625</v>
      </c>
      <c r="Q1067" s="1735" t="s">
        <v>624</v>
      </c>
      <c r="T1067" s="1706"/>
    </row>
    <row r="1068" spans="1:20" s="137" customFormat="1" ht="13.5" hidden="1" customHeight="1">
      <c r="A1068" s="2047">
        <f t="shared" si="247"/>
        <v>168</v>
      </c>
      <c r="B1068" s="1935" t="s">
        <v>3915</v>
      </c>
      <c r="C1068" s="1940"/>
      <c r="D1068" s="1940"/>
      <c r="E1068" s="1940"/>
      <c r="F1068" s="1940"/>
      <c r="G1068" s="3007" t="s">
        <v>381</v>
      </c>
      <c r="H1068" s="3007"/>
      <c r="I1068" s="1937" t="e">
        <f>#REF!</f>
        <v>#REF!</v>
      </c>
      <c r="J1068" s="2090"/>
      <c r="K1068" s="2090" t="e">
        <f t="shared" si="244"/>
        <v>#REF!</v>
      </c>
      <c r="L1068" s="3005" t="e">
        <f t="shared" si="242"/>
        <v>#REF!</v>
      </c>
      <c r="M1068" s="3005"/>
      <c r="N1068" s="2082"/>
      <c r="O1068" s="2082"/>
      <c r="P1068" s="2082"/>
      <c r="Q1068" s="2082" t="s">
        <v>624</v>
      </c>
      <c r="S1068" s="2082"/>
    </row>
    <row r="1069" spans="1:20" s="1741" customFormat="1" ht="13.5" hidden="1" customHeight="1">
      <c r="A1069" s="1823">
        <f>A1068+1</f>
        <v>169</v>
      </c>
      <c r="B1069" s="2010" t="s">
        <v>3916</v>
      </c>
      <c r="C1069" s="2002"/>
      <c r="D1069" s="2002"/>
      <c r="E1069" s="2002"/>
      <c r="F1069" s="2002"/>
      <c r="G1069" s="2989" t="s">
        <v>390</v>
      </c>
      <c r="H1069" s="2989"/>
      <c r="I1069" s="1742" t="e">
        <f>#REF!</f>
        <v>#REF!</v>
      </c>
      <c r="J1069" s="1742"/>
      <c r="K1069" s="1742" t="e">
        <f t="shared" si="244"/>
        <v>#REF!</v>
      </c>
      <c r="L1069" s="2990" t="e">
        <f t="shared" si="242"/>
        <v>#REF!</v>
      </c>
      <c r="M1069" s="2990"/>
      <c r="O1069" s="1735" t="s">
        <v>626</v>
      </c>
      <c r="Q1069" s="1735"/>
      <c r="T1069" s="1706"/>
    </row>
    <row r="1070" spans="1:20" s="137" customFormat="1" ht="13.5" hidden="1" customHeight="1">
      <c r="A1070" s="2047">
        <f>A1069+1</f>
        <v>170</v>
      </c>
      <c r="B1070" s="1977" t="s">
        <v>3917</v>
      </c>
      <c r="C1070" s="1947"/>
      <c r="D1070" s="1947"/>
      <c r="E1070" s="1940"/>
      <c r="F1070" s="1940"/>
      <c r="G1070" s="3007" t="s">
        <v>381</v>
      </c>
      <c r="H1070" s="3007"/>
      <c r="I1070" s="1937" t="e">
        <f>#REF!</f>
        <v>#REF!</v>
      </c>
      <c r="J1070" s="2090"/>
      <c r="K1070" s="2090" t="e">
        <f t="shared" si="244"/>
        <v>#REF!</v>
      </c>
      <c r="L1070" s="3005" t="e">
        <f t="shared" si="242"/>
        <v>#REF!</v>
      </c>
      <c r="M1070" s="3005"/>
      <c r="N1070" s="2082"/>
      <c r="O1070" s="2082"/>
      <c r="P1070" s="2082"/>
      <c r="Q1070" s="2082"/>
      <c r="R1070" s="2082"/>
      <c r="S1070" s="2082"/>
    </row>
    <row r="1071" spans="1:20" s="137" customFormat="1" ht="13.5" hidden="1" customHeight="1">
      <c r="A1071" s="2047">
        <f>A1070+1</f>
        <v>171</v>
      </c>
      <c r="B1071" s="1935" t="s">
        <v>3918</v>
      </c>
      <c r="C1071" s="1940"/>
      <c r="D1071" s="1940"/>
      <c r="E1071" s="1940"/>
      <c r="F1071" s="1940"/>
      <c r="G1071" s="3007"/>
      <c r="H1071" s="3007"/>
      <c r="I1071" s="1937"/>
      <c r="J1071" s="2090"/>
      <c r="K1071" s="2090"/>
      <c r="L1071" s="3005"/>
      <c r="M1071" s="3005"/>
      <c r="N1071" s="2082"/>
      <c r="O1071" s="2082"/>
      <c r="P1071" s="2082"/>
      <c r="Q1071" s="2082"/>
      <c r="R1071" s="2082"/>
      <c r="S1071" s="2082"/>
    </row>
    <row r="1072" spans="1:20" s="137" customFormat="1" ht="13.5" hidden="1" customHeight="1">
      <c r="A1072" s="2091" t="s">
        <v>627</v>
      </c>
      <c r="B1072" s="1935" t="e">
        <f>#REF!</f>
        <v>#REF!</v>
      </c>
      <c r="C1072" s="1940"/>
      <c r="D1072" s="1940"/>
      <c r="E1072" s="1940"/>
      <c r="F1072" s="1940"/>
      <c r="G1072" s="3007" t="s">
        <v>381</v>
      </c>
      <c r="H1072" s="3007"/>
      <c r="I1072" s="1937" t="e">
        <f>#REF!</f>
        <v>#REF!</v>
      </c>
      <c r="J1072" s="2090"/>
      <c r="K1072" s="2090" t="e">
        <f>I1072+J1072</f>
        <v>#REF!</v>
      </c>
      <c r="L1072" s="3005" t="e">
        <f>ROUND(K1072,1)</f>
        <v>#REF!</v>
      </c>
      <c r="M1072" s="3005"/>
      <c r="N1072" s="2082"/>
      <c r="O1072" s="2082"/>
      <c r="P1072" s="2082"/>
      <c r="Q1072" s="2082"/>
      <c r="R1072" s="2082"/>
      <c r="S1072" s="2082"/>
    </row>
    <row r="1073" spans="1:20" s="137" customFormat="1" ht="13.5" hidden="1" customHeight="1">
      <c r="A1073" s="2091" t="s">
        <v>628</v>
      </c>
      <c r="B1073" s="1935" t="e">
        <f>#REF!</f>
        <v>#REF!</v>
      </c>
      <c r="C1073" s="1940"/>
      <c r="D1073" s="1940"/>
      <c r="E1073" s="1940"/>
      <c r="F1073" s="1940"/>
      <c r="G1073" s="3007" t="s">
        <v>381</v>
      </c>
      <c r="H1073" s="3007"/>
      <c r="I1073" s="1937" t="e">
        <f>#REF!</f>
        <v>#REF!</v>
      </c>
      <c r="J1073" s="2090"/>
      <c r="K1073" s="2090" t="e">
        <f>I1073+J1073</f>
        <v>#REF!</v>
      </c>
      <c r="L1073" s="3005" t="e">
        <f>ROUND(K1073,1)</f>
        <v>#REF!</v>
      </c>
      <c r="M1073" s="3005"/>
      <c r="N1073" s="2082"/>
      <c r="O1073" s="2082"/>
      <c r="P1073" s="2082"/>
      <c r="Q1073" s="2082"/>
      <c r="R1073" s="2082"/>
      <c r="S1073" s="2082"/>
    </row>
    <row r="1074" spans="1:20" s="137" customFormat="1" ht="13.5" hidden="1" customHeight="1">
      <c r="A1074" s="2091" t="s">
        <v>629</v>
      </c>
      <c r="B1074" s="1935" t="e">
        <f>#REF!</f>
        <v>#REF!</v>
      </c>
      <c r="C1074" s="1940"/>
      <c r="D1074" s="1940"/>
      <c r="E1074" s="1940"/>
      <c r="F1074" s="1940"/>
      <c r="G1074" s="3007" t="s">
        <v>381</v>
      </c>
      <c r="H1074" s="3007"/>
      <c r="I1074" s="1937" t="e">
        <f>#REF!</f>
        <v>#REF!</v>
      </c>
      <c r="J1074" s="2090"/>
      <c r="K1074" s="2090" t="e">
        <f>I1074+J1074</f>
        <v>#REF!</v>
      </c>
      <c r="L1074" s="3005" t="e">
        <f>ROUND(K1074,1)</f>
        <v>#REF!</v>
      </c>
      <c r="M1074" s="3005"/>
      <c r="N1074" s="2082"/>
      <c r="O1074" s="2082"/>
      <c r="P1074" s="2082"/>
      <c r="Q1074" s="2082"/>
      <c r="R1074" s="2082"/>
      <c r="S1074" s="2082"/>
    </row>
    <row r="1075" spans="1:20" s="1741" customFormat="1" ht="13.5" hidden="1" customHeight="1">
      <c r="A1075" s="1823">
        <f>A1071+1</f>
        <v>172</v>
      </c>
      <c r="B1075" s="2002" t="s">
        <v>3919</v>
      </c>
      <c r="C1075" s="2002"/>
      <c r="D1075" s="2002"/>
      <c r="E1075" s="2002"/>
      <c r="F1075" s="2002"/>
      <c r="G1075" s="2996" t="s">
        <v>381</v>
      </c>
      <c r="H1075" s="2997"/>
      <c r="I1075" s="1742" t="e">
        <f>#REF!</f>
        <v>#REF!</v>
      </c>
      <c r="J1075" s="1742"/>
      <c r="K1075" s="1742" t="e">
        <f>I1075+J1075</f>
        <v>#REF!</v>
      </c>
      <c r="L1075" s="2990" t="e">
        <f>ROUND(K1075,1)</f>
        <v>#REF!</v>
      </c>
      <c r="M1075" s="2990"/>
      <c r="O1075" s="1735" t="s">
        <v>630</v>
      </c>
      <c r="T1075" s="1706"/>
    </row>
    <row r="1076" spans="1:20" s="137" customFormat="1" ht="13.5" hidden="1" customHeight="1">
      <c r="A1076" s="2047">
        <f>A1075+1</f>
        <v>173</v>
      </c>
      <c r="B1076" s="1935" t="s">
        <v>3920</v>
      </c>
      <c r="C1076" s="1940"/>
      <c r="D1076" s="1940"/>
      <c r="E1076" s="1940"/>
      <c r="F1076" s="1940"/>
      <c r="G1076" s="3007" t="s">
        <v>381</v>
      </c>
      <c r="H1076" s="3007"/>
      <c r="I1076" s="1937" t="e">
        <f>#REF!</f>
        <v>#REF!</v>
      </c>
      <c r="J1076" s="2090"/>
      <c r="K1076" s="2090" t="e">
        <f>I1076+J1076</f>
        <v>#REF!</v>
      </c>
      <c r="L1076" s="3005" t="e">
        <f>ROUND(K1076,1)</f>
        <v>#REF!</v>
      </c>
      <c r="M1076" s="3006"/>
      <c r="N1076" s="2082"/>
      <c r="O1076" s="2082"/>
      <c r="P1076" s="2082"/>
      <c r="Q1076" s="2082"/>
      <c r="R1076" s="2082"/>
      <c r="S1076" s="2082"/>
      <c r="T1076" s="2082"/>
    </row>
    <row r="1077" spans="1:20" s="137" customFormat="1" ht="13.5" hidden="1" customHeight="1">
      <c r="A1077" s="2047">
        <f>A1076+1</f>
        <v>174</v>
      </c>
      <c r="B1077" s="1935" t="s">
        <v>3921</v>
      </c>
      <c r="C1077" s="1940"/>
      <c r="D1077" s="1940"/>
      <c r="E1077" s="1940"/>
      <c r="F1077" s="1940"/>
      <c r="G1077" s="3007" t="s">
        <v>381</v>
      </c>
      <c r="H1077" s="3007"/>
      <c r="I1077" s="1937"/>
      <c r="J1077" s="2090"/>
      <c r="K1077" s="2090"/>
      <c r="L1077" s="3005"/>
      <c r="M1077" s="3006"/>
      <c r="N1077" s="2082"/>
      <c r="O1077" s="2082"/>
      <c r="P1077" s="2082"/>
      <c r="Q1077" s="2082"/>
      <c r="R1077" s="2082"/>
      <c r="S1077" s="2082"/>
      <c r="T1077" s="2082"/>
    </row>
    <row r="1078" spans="1:20" s="137" customFormat="1" ht="13.5" hidden="1" customHeight="1">
      <c r="A1078" s="2091" t="s">
        <v>554</v>
      </c>
      <c r="B1078" s="1935" t="e">
        <f>#REF!</f>
        <v>#REF!</v>
      </c>
      <c r="C1078" s="1940"/>
      <c r="D1078" s="1940"/>
      <c r="E1078" s="1940"/>
      <c r="F1078" s="1940"/>
      <c r="G1078" s="3007" t="s">
        <v>381</v>
      </c>
      <c r="H1078" s="3007"/>
      <c r="I1078" s="1937" t="e">
        <f>#REF!</f>
        <v>#REF!</v>
      </c>
      <c r="J1078" s="2090"/>
      <c r="K1078" s="2090" t="e">
        <f t="shared" ref="K1078:K1087" si="248">I1078+J1078</f>
        <v>#REF!</v>
      </c>
      <c r="L1078" s="3005" t="e">
        <f t="shared" ref="L1078:L1083" si="249">ROUND(K1078,1)</f>
        <v>#REF!</v>
      </c>
      <c r="M1078" s="3006"/>
      <c r="N1078" s="2082"/>
      <c r="O1078" s="2082"/>
      <c r="P1078" s="2082"/>
      <c r="Q1078" s="2082"/>
      <c r="R1078" s="2082"/>
      <c r="S1078" s="2082"/>
      <c r="T1078" s="2082"/>
    </row>
    <row r="1079" spans="1:20" s="137" customFormat="1" ht="13.5" hidden="1" customHeight="1">
      <c r="A1079" s="2091" t="s">
        <v>556</v>
      </c>
      <c r="B1079" s="1935" t="e">
        <f>#REF!</f>
        <v>#REF!</v>
      </c>
      <c r="C1079" s="1940"/>
      <c r="D1079" s="1940"/>
      <c r="E1079" s="1940"/>
      <c r="F1079" s="1940"/>
      <c r="G1079" s="3007" t="s">
        <v>381</v>
      </c>
      <c r="H1079" s="3007"/>
      <c r="I1079" s="1937" t="e">
        <f>#REF!</f>
        <v>#REF!</v>
      </c>
      <c r="J1079" s="2090"/>
      <c r="K1079" s="2090" t="e">
        <f t="shared" si="248"/>
        <v>#REF!</v>
      </c>
      <c r="L1079" s="2878" t="e">
        <f t="shared" si="249"/>
        <v>#REF!</v>
      </c>
      <c r="M1079" s="2879"/>
      <c r="N1079" s="2082"/>
      <c r="O1079" s="2082"/>
      <c r="P1079" s="2082"/>
      <c r="Q1079" s="2082"/>
      <c r="R1079" s="2082"/>
      <c r="S1079" s="2082"/>
      <c r="T1079" s="2082"/>
    </row>
    <row r="1080" spans="1:20" s="137" customFormat="1" ht="13.5" hidden="1" customHeight="1">
      <c r="A1080" s="2091" t="s">
        <v>558</v>
      </c>
      <c r="B1080" s="1935" t="e">
        <f>#REF!</f>
        <v>#REF!</v>
      </c>
      <c r="C1080" s="1940"/>
      <c r="D1080" s="1940"/>
      <c r="E1080" s="1940"/>
      <c r="F1080" s="1940"/>
      <c r="G1080" s="3007" t="s">
        <v>381</v>
      </c>
      <c r="H1080" s="3007"/>
      <c r="I1080" s="1937" t="e">
        <f>#REF!</f>
        <v>#REF!</v>
      </c>
      <c r="J1080" s="2090"/>
      <c r="K1080" s="2090" t="e">
        <f t="shared" si="248"/>
        <v>#REF!</v>
      </c>
      <c r="L1080" s="2878" t="e">
        <f t="shared" si="249"/>
        <v>#REF!</v>
      </c>
      <c r="M1080" s="2879"/>
      <c r="N1080" s="2082"/>
      <c r="O1080" s="2082"/>
      <c r="P1080" s="2082"/>
      <c r="Q1080" s="2082"/>
      <c r="R1080" s="2082"/>
      <c r="S1080" s="2082"/>
      <c r="T1080" s="2082"/>
    </row>
    <row r="1081" spans="1:20" s="137" customFormat="1" ht="13.5" hidden="1" customHeight="1">
      <c r="A1081" s="2091" t="s">
        <v>560</v>
      </c>
      <c r="B1081" s="1935" t="e">
        <f>#REF!</f>
        <v>#REF!</v>
      </c>
      <c r="C1081" s="1940"/>
      <c r="D1081" s="1940"/>
      <c r="E1081" s="1940"/>
      <c r="F1081" s="1940"/>
      <c r="G1081" s="3007" t="s">
        <v>381</v>
      </c>
      <c r="H1081" s="3007"/>
      <c r="I1081" s="1937" t="e">
        <f>#REF!</f>
        <v>#REF!</v>
      </c>
      <c r="J1081" s="2090"/>
      <c r="K1081" s="2090" t="e">
        <f t="shared" si="248"/>
        <v>#REF!</v>
      </c>
      <c r="L1081" s="2878" t="e">
        <f t="shared" si="249"/>
        <v>#REF!</v>
      </c>
      <c r="M1081" s="2879"/>
      <c r="N1081" s="2082"/>
      <c r="O1081" s="2082"/>
      <c r="P1081" s="2082"/>
      <c r="Q1081" s="2082"/>
      <c r="R1081" s="2082"/>
      <c r="S1081" s="2082"/>
      <c r="T1081" s="2082"/>
    </row>
    <row r="1082" spans="1:20" s="137" customFormat="1" ht="13.5" hidden="1" customHeight="1">
      <c r="A1082" s="2091" t="s">
        <v>562</v>
      </c>
      <c r="B1082" s="1935" t="e">
        <f>#REF!</f>
        <v>#REF!</v>
      </c>
      <c r="C1082" s="1940"/>
      <c r="D1082" s="1940"/>
      <c r="E1082" s="1940"/>
      <c r="F1082" s="1940"/>
      <c r="G1082" s="3007" t="s">
        <v>381</v>
      </c>
      <c r="H1082" s="3007"/>
      <c r="I1082" s="1937" t="e">
        <f>#REF!</f>
        <v>#REF!</v>
      </c>
      <c r="J1082" s="2090"/>
      <c r="K1082" s="2090" t="e">
        <f t="shared" si="248"/>
        <v>#REF!</v>
      </c>
      <c r="L1082" s="2878" t="e">
        <f t="shared" si="249"/>
        <v>#REF!</v>
      </c>
      <c r="M1082" s="2879"/>
      <c r="N1082" s="2082"/>
      <c r="O1082" s="2082"/>
      <c r="P1082" s="2082"/>
      <c r="Q1082" s="2082"/>
      <c r="R1082" s="2082"/>
      <c r="S1082" s="2082"/>
      <c r="T1082" s="2082"/>
    </row>
    <row r="1083" spans="1:20" s="137" customFormat="1" ht="13.5" hidden="1" customHeight="1">
      <c r="A1083" s="2094">
        <f>A1077+1</f>
        <v>175</v>
      </c>
      <c r="B1083" s="1935" t="s">
        <v>3922</v>
      </c>
      <c r="C1083" s="1940"/>
      <c r="D1083" s="1940"/>
      <c r="E1083" s="1940"/>
      <c r="F1083" s="1940"/>
      <c r="G1083" s="3007" t="s">
        <v>381</v>
      </c>
      <c r="H1083" s="3007"/>
      <c r="I1083" s="1937" t="e">
        <f>#REF!</f>
        <v>#REF!</v>
      </c>
      <c r="J1083" s="2090"/>
      <c r="K1083" s="2090" t="e">
        <f t="shared" si="248"/>
        <v>#REF!</v>
      </c>
      <c r="L1083" s="2878" t="e">
        <f t="shared" si="249"/>
        <v>#REF!</v>
      </c>
      <c r="M1083" s="2879"/>
      <c r="N1083" s="2082"/>
      <c r="O1083" s="2082"/>
      <c r="P1083" s="2082"/>
      <c r="Q1083" s="2082"/>
      <c r="R1083" s="2082"/>
      <c r="S1083" s="2082"/>
      <c r="T1083" s="2082"/>
    </row>
    <row r="1084" spans="1:20" s="137" customFormat="1" ht="13.5" hidden="1" customHeight="1">
      <c r="A1084" s="1823">
        <f>A1083+1</f>
        <v>176</v>
      </c>
      <c r="B1084" s="2010" t="s">
        <v>631</v>
      </c>
      <c r="C1084" s="1940"/>
      <c r="D1084" s="1940"/>
      <c r="E1084" s="2002"/>
      <c r="F1084" s="1736"/>
      <c r="G1084" s="3009" t="s">
        <v>492</v>
      </c>
      <c r="H1084" s="3009"/>
      <c r="I1084" s="2095" t="e">
        <f>#REF!</f>
        <v>#REF!</v>
      </c>
      <c r="J1084" s="2096"/>
      <c r="K1084" s="2096" t="e">
        <f t="shared" si="248"/>
        <v>#REF!</v>
      </c>
      <c r="L1084" s="3010" t="e">
        <f>ROUND(K1084,1)</f>
        <v>#REF!</v>
      </c>
      <c r="M1084" s="3011"/>
      <c r="N1084" s="2082"/>
      <c r="O1084" s="2082"/>
      <c r="P1084" s="2082"/>
      <c r="Q1084" s="2082"/>
      <c r="R1084" s="2082"/>
      <c r="S1084" s="2082"/>
      <c r="T1084" s="2082"/>
    </row>
    <row r="1085" spans="1:20" s="137" customFormat="1" ht="13.5" hidden="1" customHeight="1">
      <c r="A1085" s="1823">
        <f>A1084+1</f>
        <v>177</v>
      </c>
      <c r="B1085" s="2010" t="s">
        <v>632</v>
      </c>
      <c r="C1085" s="1940"/>
      <c r="D1085" s="1940"/>
      <c r="E1085" s="2002"/>
      <c r="F1085" s="1736"/>
      <c r="G1085" s="3009" t="s">
        <v>492</v>
      </c>
      <c r="H1085" s="3009"/>
      <c r="I1085" s="2095" t="e">
        <f>#REF!</f>
        <v>#REF!</v>
      </c>
      <c r="J1085" s="2096"/>
      <c r="K1085" s="2096" t="e">
        <f t="shared" si="248"/>
        <v>#REF!</v>
      </c>
      <c r="L1085" s="3010" t="e">
        <f>ROUND(K1085,1)</f>
        <v>#REF!</v>
      </c>
      <c r="M1085" s="3011"/>
      <c r="N1085" s="2082"/>
      <c r="O1085" s="2082"/>
      <c r="P1085" s="2082"/>
      <c r="Q1085" s="2082"/>
      <c r="R1085" s="2082"/>
      <c r="S1085" s="2082"/>
      <c r="T1085" s="2082"/>
    </row>
    <row r="1086" spans="1:20" s="137" customFormat="1" ht="13.5" hidden="1" customHeight="1">
      <c r="A1086" s="1823">
        <f>A1085+1</f>
        <v>178</v>
      </c>
      <c r="B1086" s="2010" t="s">
        <v>631</v>
      </c>
      <c r="C1086" s="1940"/>
      <c r="D1086" s="1940"/>
      <c r="E1086" s="2002"/>
      <c r="F1086" s="1736"/>
      <c r="G1086" s="3009" t="s">
        <v>492</v>
      </c>
      <c r="H1086" s="3009"/>
      <c r="I1086" s="2095" t="e">
        <f>#REF!</f>
        <v>#REF!</v>
      </c>
      <c r="J1086" s="2096"/>
      <c r="K1086" s="2096" t="e">
        <f t="shared" si="248"/>
        <v>#REF!</v>
      </c>
      <c r="L1086" s="3010" t="e">
        <f>ROUND(K1086,1)</f>
        <v>#REF!</v>
      </c>
      <c r="M1086" s="3011"/>
      <c r="N1086" s="2082"/>
      <c r="O1086" s="2082"/>
      <c r="P1086" s="2082"/>
      <c r="Q1086" s="2082"/>
      <c r="R1086" s="2082"/>
      <c r="S1086" s="2082"/>
      <c r="T1086" s="2082"/>
    </row>
    <row r="1087" spans="1:20" s="137" customFormat="1" ht="13.5" hidden="1" customHeight="1">
      <c r="A1087" s="1823">
        <f>A1086+1</f>
        <v>179</v>
      </c>
      <c r="B1087" s="2010" t="s">
        <v>632</v>
      </c>
      <c r="C1087" s="1940"/>
      <c r="D1087" s="1940"/>
      <c r="E1087" s="2002"/>
      <c r="F1087" s="1736"/>
      <c r="G1087" s="3009" t="s">
        <v>492</v>
      </c>
      <c r="H1087" s="3009"/>
      <c r="I1087" s="2095" t="e">
        <f>#REF!</f>
        <v>#REF!</v>
      </c>
      <c r="J1087" s="2096"/>
      <c r="K1087" s="2096" t="e">
        <f t="shared" si="248"/>
        <v>#REF!</v>
      </c>
      <c r="L1087" s="3010" t="e">
        <f>ROUND(K1087,1)</f>
        <v>#REF!</v>
      </c>
      <c r="M1087" s="3011"/>
      <c r="N1087" s="2082"/>
      <c r="O1087" s="2082"/>
      <c r="P1087" s="2082"/>
      <c r="Q1087" s="2082"/>
      <c r="R1087" s="2082"/>
      <c r="S1087" s="2082"/>
      <c r="T1087" s="2082"/>
    </row>
    <row r="1088" spans="1:20" s="137" customFormat="1" ht="13.5" hidden="1" customHeight="1">
      <c r="A1088" s="2047">
        <f>A1087+1</f>
        <v>180</v>
      </c>
      <c r="B1088" s="1935" t="s">
        <v>633</v>
      </c>
      <c r="C1088" s="1940"/>
      <c r="D1088" s="1940"/>
      <c r="E1088" s="1940"/>
      <c r="F1088" s="1940"/>
      <c r="G1088" s="3007"/>
      <c r="H1088" s="3007"/>
      <c r="I1088" s="1937"/>
      <c r="J1088" s="2090"/>
      <c r="K1088" s="2090"/>
      <c r="L1088" s="2878"/>
      <c r="M1088" s="2879"/>
      <c r="N1088" s="2082"/>
      <c r="O1088" s="2082"/>
      <c r="P1088" s="2082"/>
      <c r="Q1088" s="2082"/>
      <c r="R1088" s="2082"/>
      <c r="S1088" s="2082"/>
      <c r="T1088" s="2082"/>
    </row>
    <row r="1089" spans="1:20" s="137" customFormat="1" ht="13.5" hidden="1" customHeight="1">
      <c r="A1089" s="2047" t="s">
        <v>634</v>
      </c>
      <c r="B1089" s="2080" t="s">
        <v>635</v>
      </c>
      <c r="C1089" s="1940"/>
      <c r="D1089" s="1940"/>
      <c r="E1089" s="1940"/>
      <c r="F1089" s="1940"/>
      <c r="G1089" s="3007"/>
      <c r="H1089" s="3007"/>
      <c r="I1089" s="1937"/>
      <c r="J1089" s="2090"/>
      <c r="K1089" s="2090"/>
      <c r="L1089" s="2878"/>
      <c r="M1089" s="2879"/>
      <c r="N1089" s="2082"/>
      <c r="O1089" s="2082"/>
      <c r="P1089" s="2082"/>
      <c r="Q1089" s="2082"/>
      <c r="R1089" s="2082"/>
      <c r="S1089" s="2082"/>
      <c r="T1089" s="2082"/>
    </row>
    <row r="1090" spans="1:20" s="137" customFormat="1" ht="13.5" hidden="1" customHeight="1">
      <c r="A1090" s="2097" t="s">
        <v>413</v>
      </c>
      <c r="B1090" s="2098" t="s">
        <v>636</v>
      </c>
      <c r="C1090" s="1940"/>
      <c r="D1090" s="1940"/>
      <c r="E1090" s="1940"/>
      <c r="F1090" s="1940"/>
      <c r="G1090" s="3007" t="s">
        <v>381</v>
      </c>
      <c r="H1090" s="3007"/>
      <c r="I1090" s="1937" t="e">
        <f>#REF!</f>
        <v>#REF!</v>
      </c>
      <c r="J1090" s="2090"/>
      <c r="K1090" s="2090" t="e">
        <f>I1090+J1090</f>
        <v>#REF!</v>
      </c>
      <c r="L1090" s="2878" t="e">
        <f>ROUND(K1090,1)</f>
        <v>#REF!</v>
      </c>
      <c r="M1090" s="2879"/>
      <c r="N1090" s="2082"/>
      <c r="O1090" s="2082" t="s">
        <v>3179</v>
      </c>
      <c r="P1090" s="2082"/>
      <c r="Q1090" s="2082"/>
      <c r="S1090" s="2082"/>
      <c r="T1090" s="2082"/>
    </row>
    <row r="1091" spans="1:20" s="137" customFormat="1" ht="13.5" hidden="1" customHeight="1">
      <c r="A1091" s="2097" t="s">
        <v>415</v>
      </c>
      <c r="B1091" s="2098" t="s">
        <v>637</v>
      </c>
      <c r="C1091" s="1940"/>
      <c r="D1091" s="1940"/>
      <c r="E1091" s="1940"/>
      <c r="F1091" s="1940"/>
      <c r="G1091" s="3007" t="s">
        <v>381</v>
      </c>
      <c r="H1091" s="3007"/>
      <c r="I1091" s="1937" t="e">
        <f>#REF!</f>
        <v>#REF!</v>
      </c>
      <c r="J1091" s="2090"/>
      <c r="K1091" s="2090" t="e">
        <f>I1091+J1091</f>
        <v>#REF!</v>
      </c>
      <c r="L1091" s="2878" t="e">
        <f>ROUND(K1091,1)</f>
        <v>#REF!</v>
      </c>
      <c r="M1091" s="2879"/>
      <c r="N1091" s="2082"/>
      <c r="O1091" s="2082" t="s">
        <v>3179</v>
      </c>
      <c r="P1091" s="2082"/>
      <c r="Q1091" s="2082"/>
      <c r="S1091" s="2082"/>
      <c r="T1091" s="2082"/>
    </row>
    <row r="1092" spans="1:20" s="137" customFormat="1" ht="13.5" hidden="1" customHeight="1">
      <c r="A1092" s="2097" t="s">
        <v>638</v>
      </c>
      <c r="B1092" s="2098" t="s">
        <v>639</v>
      </c>
      <c r="C1092" s="1940"/>
      <c r="D1092" s="1940"/>
      <c r="E1092" s="1940"/>
      <c r="F1092" s="1940"/>
      <c r="G1092" s="3007" t="s">
        <v>381</v>
      </c>
      <c r="H1092" s="3007"/>
      <c r="I1092" s="1937" t="e">
        <f>#REF!</f>
        <v>#REF!</v>
      </c>
      <c r="J1092" s="2090"/>
      <c r="K1092" s="2090" t="e">
        <f>I1092+J1092</f>
        <v>#REF!</v>
      </c>
      <c r="L1092" s="2878" t="e">
        <f>ROUND(K1092,1)</f>
        <v>#REF!</v>
      </c>
      <c r="M1092" s="2879"/>
      <c r="N1092" s="2082"/>
      <c r="O1092" s="2082" t="s">
        <v>3179</v>
      </c>
      <c r="P1092" s="2082"/>
      <c r="Q1092" s="2082"/>
      <c r="S1092" s="2082"/>
      <c r="T1092" s="2082"/>
    </row>
    <row r="1093" spans="1:20" s="137" customFormat="1" ht="13.5" hidden="1" customHeight="1">
      <c r="A1093" s="2097" t="s">
        <v>640</v>
      </c>
      <c r="B1093" s="2098" t="s">
        <v>641</v>
      </c>
      <c r="C1093" s="1940"/>
      <c r="D1093" s="1940"/>
      <c r="E1093" s="1940"/>
      <c r="F1093" s="1940"/>
      <c r="G1093" s="3007" t="s">
        <v>381</v>
      </c>
      <c r="H1093" s="3007"/>
      <c r="I1093" s="1937" t="e">
        <f>#REF!</f>
        <v>#REF!</v>
      </c>
      <c r="J1093" s="2090"/>
      <c r="K1093" s="2090" t="e">
        <f>I1093+J1093</f>
        <v>#REF!</v>
      </c>
      <c r="L1093" s="2878" t="e">
        <f>ROUND(K1093,1)</f>
        <v>#REF!</v>
      </c>
      <c r="M1093" s="2879"/>
      <c r="N1093" s="2082"/>
      <c r="O1093" s="2082" t="s">
        <v>3179</v>
      </c>
      <c r="P1093" s="2082"/>
      <c r="Q1093" s="2082"/>
      <c r="S1093" s="2082"/>
      <c r="T1093" s="2082"/>
    </row>
    <row r="1094" spans="1:20" s="137" customFormat="1" ht="13.5" hidden="1" customHeight="1">
      <c r="A1094" s="2097" t="s">
        <v>642</v>
      </c>
      <c r="B1094" s="2098" t="s">
        <v>643</v>
      </c>
      <c r="C1094" s="1940"/>
      <c r="D1094" s="1940"/>
      <c r="E1094" s="1940"/>
      <c r="F1094" s="1940"/>
      <c r="G1094" s="3007" t="s">
        <v>381</v>
      </c>
      <c r="H1094" s="3007"/>
      <c r="I1094" s="1937" t="e">
        <f>#REF!</f>
        <v>#REF!</v>
      </c>
      <c r="J1094" s="2090"/>
      <c r="K1094" s="2090" t="e">
        <f>I1094+J1094</f>
        <v>#REF!</v>
      </c>
      <c r="L1094" s="2878" t="e">
        <f>ROUND(K1094,1)</f>
        <v>#REF!</v>
      </c>
      <c r="M1094" s="2879"/>
      <c r="N1094" s="2082"/>
      <c r="O1094" s="2082" t="s">
        <v>3179</v>
      </c>
      <c r="P1094" s="2082"/>
      <c r="Q1094" s="2082"/>
      <c r="S1094" s="2082"/>
      <c r="T1094" s="2082"/>
    </row>
    <row r="1095" spans="1:20" s="137" customFormat="1" ht="13.5" hidden="1" customHeight="1">
      <c r="A1095" s="2047" t="s">
        <v>644</v>
      </c>
      <c r="B1095" s="2080" t="s">
        <v>645</v>
      </c>
      <c r="C1095" s="1940"/>
      <c r="D1095" s="1940"/>
      <c r="E1095" s="1940"/>
      <c r="F1095" s="1940"/>
      <c r="G1095" s="3007"/>
      <c r="H1095" s="3007"/>
      <c r="I1095" s="1937"/>
      <c r="J1095" s="2090"/>
      <c r="K1095" s="2090"/>
      <c r="L1095" s="2092"/>
      <c r="M1095" s="2093"/>
      <c r="N1095" s="2082"/>
      <c r="O1095" s="2082"/>
      <c r="P1095" s="2082"/>
      <c r="Q1095" s="2082"/>
      <c r="S1095" s="2082"/>
      <c r="T1095" s="2082"/>
    </row>
    <row r="1096" spans="1:20" s="137" customFormat="1" ht="13.5" hidden="1" customHeight="1">
      <c r="A1096" s="2097" t="s">
        <v>413</v>
      </c>
      <c r="B1096" s="2098" t="s">
        <v>636</v>
      </c>
      <c r="C1096" s="1940"/>
      <c r="D1096" s="1940"/>
      <c r="E1096" s="1940"/>
      <c r="F1096" s="1940"/>
      <c r="G1096" s="3007" t="s">
        <v>381</v>
      </c>
      <c r="H1096" s="3007"/>
      <c r="I1096" s="1937" t="e">
        <f>#REF!</f>
        <v>#REF!</v>
      </c>
      <c r="J1096" s="2090"/>
      <c r="K1096" s="2090" t="e">
        <f>I1096+J1096</f>
        <v>#REF!</v>
      </c>
      <c r="L1096" s="2878" t="e">
        <f>ROUND(K1096,1)</f>
        <v>#REF!</v>
      </c>
      <c r="M1096" s="2879"/>
      <c r="N1096" s="2082"/>
      <c r="O1096" s="2082" t="s">
        <v>3180</v>
      </c>
      <c r="P1096" s="2082"/>
      <c r="Q1096" s="2082"/>
      <c r="S1096" s="2082"/>
      <c r="T1096" s="2082"/>
    </row>
    <row r="1097" spans="1:20" s="137" customFormat="1" ht="13.5" hidden="1" customHeight="1">
      <c r="A1097" s="2097" t="s">
        <v>415</v>
      </c>
      <c r="B1097" s="2098" t="s">
        <v>637</v>
      </c>
      <c r="C1097" s="1940"/>
      <c r="D1097" s="1940"/>
      <c r="E1097" s="1940"/>
      <c r="F1097" s="1940"/>
      <c r="G1097" s="3007" t="s">
        <v>381</v>
      </c>
      <c r="H1097" s="3007"/>
      <c r="I1097" s="1937" t="e">
        <f>#REF!</f>
        <v>#REF!</v>
      </c>
      <c r="J1097" s="2090"/>
      <c r="K1097" s="2090" t="e">
        <f>I1097+J1097</f>
        <v>#REF!</v>
      </c>
      <c r="L1097" s="2878" t="e">
        <f>ROUND(K1097,1)</f>
        <v>#REF!</v>
      </c>
      <c r="M1097" s="2879"/>
      <c r="N1097" s="2082"/>
      <c r="O1097" s="2082" t="str">
        <f>O1096</f>
        <v>ODACT208</v>
      </c>
      <c r="P1097" s="2082"/>
      <c r="Q1097" s="2082"/>
      <c r="S1097" s="2082"/>
      <c r="T1097" s="2082"/>
    </row>
    <row r="1098" spans="1:20" s="137" customFormat="1" ht="13.5" hidden="1" customHeight="1">
      <c r="A1098" s="2097" t="s">
        <v>638</v>
      </c>
      <c r="B1098" s="2098" t="s">
        <v>639</v>
      </c>
      <c r="C1098" s="1940"/>
      <c r="D1098" s="1940"/>
      <c r="E1098" s="1940"/>
      <c r="F1098" s="1940"/>
      <c r="G1098" s="3007" t="s">
        <v>381</v>
      </c>
      <c r="H1098" s="3007"/>
      <c r="I1098" s="1937" t="e">
        <f>#REF!</f>
        <v>#REF!</v>
      </c>
      <c r="J1098" s="2090"/>
      <c r="K1098" s="2090" t="e">
        <f>I1098+J1098</f>
        <v>#REF!</v>
      </c>
      <c r="L1098" s="2878" t="e">
        <f>ROUND(K1098,1)</f>
        <v>#REF!</v>
      </c>
      <c r="M1098" s="2879"/>
      <c r="N1098" s="2082"/>
      <c r="O1098" s="2082" t="str">
        <f t="shared" ref="O1098:O1100" si="250">O1097</f>
        <v>ODACT208</v>
      </c>
      <c r="P1098" s="2082"/>
      <c r="Q1098" s="2082"/>
      <c r="S1098" s="2082"/>
      <c r="T1098" s="2082"/>
    </row>
    <row r="1099" spans="1:20" s="137" customFormat="1" ht="13.5" hidden="1" customHeight="1">
      <c r="A1099" s="2097" t="s">
        <v>640</v>
      </c>
      <c r="B1099" s="2098" t="s">
        <v>641</v>
      </c>
      <c r="C1099" s="1940"/>
      <c r="D1099" s="1940"/>
      <c r="E1099" s="1940"/>
      <c r="F1099" s="1940"/>
      <c r="G1099" s="3007" t="s">
        <v>381</v>
      </c>
      <c r="H1099" s="3007"/>
      <c r="I1099" s="1937" t="e">
        <f>#REF!</f>
        <v>#REF!</v>
      </c>
      <c r="J1099" s="2090"/>
      <c r="K1099" s="2090" t="e">
        <f>I1099+J1099</f>
        <v>#REF!</v>
      </c>
      <c r="L1099" s="2878" t="e">
        <f>ROUND(K1099,1)</f>
        <v>#REF!</v>
      </c>
      <c r="M1099" s="2879"/>
      <c r="N1099" s="2082"/>
      <c r="O1099" s="2082" t="str">
        <f t="shared" si="250"/>
        <v>ODACT208</v>
      </c>
      <c r="P1099" s="2082"/>
      <c r="Q1099" s="2082"/>
      <c r="S1099" s="2082"/>
      <c r="T1099" s="2082"/>
    </row>
    <row r="1100" spans="1:20" s="137" customFormat="1" ht="13.5" hidden="1" customHeight="1">
      <c r="A1100" s="2097" t="s">
        <v>642</v>
      </c>
      <c r="B1100" s="2098" t="s">
        <v>643</v>
      </c>
      <c r="C1100" s="1940"/>
      <c r="D1100" s="1940"/>
      <c r="E1100" s="1940"/>
      <c r="F1100" s="1940"/>
      <c r="G1100" s="3007" t="s">
        <v>381</v>
      </c>
      <c r="H1100" s="3007"/>
      <c r="I1100" s="1937" t="e">
        <f>#REF!</f>
        <v>#REF!</v>
      </c>
      <c r="J1100" s="2090"/>
      <c r="K1100" s="2090" t="e">
        <f>I1100+J1100</f>
        <v>#REF!</v>
      </c>
      <c r="L1100" s="2878" t="e">
        <f>ROUND(K1100,1)</f>
        <v>#REF!</v>
      </c>
      <c r="M1100" s="2879"/>
      <c r="N1100" s="2082"/>
      <c r="O1100" s="2082" t="str">
        <f t="shared" si="250"/>
        <v>ODACT208</v>
      </c>
      <c r="P1100" s="2082"/>
      <c r="Q1100" s="2082"/>
      <c r="S1100" s="2082"/>
      <c r="T1100" s="2082"/>
    </row>
    <row r="1101" spans="1:20" s="137" customFormat="1" ht="13.5" hidden="1" customHeight="1">
      <c r="A1101" s="2047" t="s">
        <v>646</v>
      </c>
      <c r="B1101" s="2080" t="s">
        <v>647</v>
      </c>
      <c r="C1101" s="1940"/>
      <c r="D1101" s="1940"/>
      <c r="E1101" s="1940"/>
      <c r="F1101" s="1940"/>
      <c r="G1101" s="3007"/>
      <c r="H1101" s="3007"/>
      <c r="I1101" s="1937"/>
      <c r="J1101" s="2090"/>
      <c r="K1101" s="2090"/>
      <c r="L1101" s="2092"/>
      <c r="M1101" s="2093"/>
      <c r="N1101" s="2082"/>
      <c r="O1101" s="2082"/>
      <c r="P1101" s="2082"/>
      <c r="Q1101" s="2082"/>
      <c r="S1101" s="2082"/>
      <c r="T1101" s="2082"/>
    </row>
    <row r="1102" spans="1:20" s="137" customFormat="1" ht="13.5" hidden="1" customHeight="1">
      <c r="A1102" s="2097" t="s">
        <v>413</v>
      </c>
      <c r="B1102" s="2098" t="s">
        <v>636</v>
      </c>
      <c r="C1102" s="1940"/>
      <c r="D1102" s="1940"/>
      <c r="E1102" s="1940"/>
      <c r="F1102" s="1940"/>
      <c r="G1102" s="3007" t="s">
        <v>381</v>
      </c>
      <c r="H1102" s="3007"/>
      <c r="I1102" s="1937" t="e">
        <f>#REF!</f>
        <v>#REF!</v>
      </c>
      <c r="J1102" s="2090"/>
      <c r="K1102" s="2090" t="e">
        <f>I1102+J1102</f>
        <v>#REF!</v>
      </c>
      <c r="L1102" s="2878" t="e">
        <f>ROUND(K1102,1)</f>
        <v>#REF!</v>
      </c>
      <c r="M1102" s="2879"/>
      <c r="N1102" s="2082"/>
      <c r="O1102" s="2082" t="s">
        <v>3181</v>
      </c>
      <c r="P1102" s="2082"/>
      <c r="Q1102" s="2082"/>
      <c r="S1102" s="2082"/>
      <c r="T1102" s="2082"/>
    </row>
    <row r="1103" spans="1:20" s="137" customFormat="1" ht="13.5" hidden="1" customHeight="1">
      <c r="A1103" s="2097" t="s">
        <v>415</v>
      </c>
      <c r="B1103" s="2098" t="s">
        <v>637</v>
      </c>
      <c r="C1103" s="1940"/>
      <c r="D1103" s="1940"/>
      <c r="E1103" s="1940"/>
      <c r="F1103" s="1940"/>
      <c r="G1103" s="3007" t="s">
        <v>381</v>
      </c>
      <c r="H1103" s="3007"/>
      <c r="I1103" s="1937" t="e">
        <f>#REF!</f>
        <v>#REF!</v>
      </c>
      <c r="J1103" s="2090"/>
      <c r="K1103" s="2090" t="e">
        <f>I1103+J1103</f>
        <v>#REF!</v>
      </c>
      <c r="L1103" s="2878" t="e">
        <f>ROUND(K1103,1)</f>
        <v>#REF!</v>
      </c>
      <c r="M1103" s="2879"/>
      <c r="N1103" s="2082"/>
      <c r="O1103" s="2082" t="str">
        <f>O1102</f>
        <v>ODACT209</v>
      </c>
      <c r="P1103" s="2082"/>
      <c r="Q1103" s="2082"/>
      <c r="S1103" s="2082"/>
      <c r="T1103" s="2082"/>
    </row>
    <row r="1104" spans="1:20" s="137" customFormat="1" ht="13.5" hidden="1" customHeight="1">
      <c r="A1104" s="2097" t="s">
        <v>638</v>
      </c>
      <c r="B1104" s="2098" t="s">
        <v>639</v>
      </c>
      <c r="C1104" s="1940"/>
      <c r="D1104" s="1940"/>
      <c r="E1104" s="1940"/>
      <c r="F1104" s="1940"/>
      <c r="G1104" s="3007" t="s">
        <v>381</v>
      </c>
      <c r="H1104" s="3007"/>
      <c r="I1104" s="1937" t="e">
        <f>#REF!</f>
        <v>#REF!</v>
      </c>
      <c r="J1104" s="2090"/>
      <c r="K1104" s="2090" t="e">
        <f>I1104+J1104</f>
        <v>#REF!</v>
      </c>
      <c r="L1104" s="2878" t="e">
        <f>ROUND(K1104,1)</f>
        <v>#REF!</v>
      </c>
      <c r="M1104" s="2879"/>
      <c r="N1104" s="2082"/>
      <c r="O1104" s="2082" t="str">
        <f t="shared" ref="O1104:O1106" si="251">O1103</f>
        <v>ODACT209</v>
      </c>
      <c r="P1104" s="2082"/>
      <c r="Q1104" s="2082"/>
      <c r="S1104" s="2082"/>
      <c r="T1104" s="2082"/>
    </row>
    <row r="1105" spans="1:20" s="137" customFormat="1" ht="13.5" hidden="1" customHeight="1">
      <c r="A1105" s="2097" t="s">
        <v>640</v>
      </c>
      <c r="B1105" s="2098" t="s">
        <v>641</v>
      </c>
      <c r="C1105" s="1940"/>
      <c r="D1105" s="1940"/>
      <c r="E1105" s="1940"/>
      <c r="F1105" s="1940"/>
      <c r="G1105" s="3007" t="s">
        <v>381</v>
      </c>
      <c r="H1105" s="3007"/>
      <c r="I1105" s="1937" t="e">
        <f>#REF!</f>
        <v>#REF!</v>
      </c>
      <c r="J1105" s="2090"/>
      <c r="K1105" s="2090" t="e">
        <f>I1105+J1105</f>
        <v>#REF!</v>
      </c>
      <c r="L1105" s="2878" t="e">
        <f>ROUND(K1105,1)</f>
        <v>#REF!</v>
      </c>
      <c r="M1105" s="2879"/>
      <c r="N1105" s="2082"/>
      <c r="O1105" s="2082" t="str">
        <f t="shared" si="251"/>
        <v>ODACT209</v>
      </c>
      <c r="P1105" s="2082"/>
      <c r="Q1105" s="2082"/>
      <c r="S1105" s="2082"/>
      <c r="T1105" s="2082"/>
    </row>
    <row r="1106" spans="1:20" s="137" customFormat="1" ht="13.5" hidden="1" customHeight="1">
      <c r="A1106" s="2097" t="s">
        <v>642</v>
      </c>
      <c r="B1106" s="2098" t="s">
        <v>643</v>
      </c>
      <c r="C1106" s="1940"/>
      <c r="D1106" s="1940"/>
      <c r="E1106" s="1940"/>
      <c r="F1106" s="1940"/>
      <c r="G1106" s="3007" t="s">
        <v>381</v>
      </c>
      <c r="H1106" s="3007"/>
      <c r="I1106" s="1937" t="e">
        <f>#REF!</f>
        <v>#REF!</v>
      </c>
      <c r="J1106" s="2090"/>
      <c r="K1106" s="2090" t="e">
        <f>I1106+J1106</f>
        <v>#REF!</v>
      </c>
      <c r="L1106" s="2878" t="e">
        <f>ROUND(K1106,1)</f>
        <v>#REF!</v>
      </c>
      <c r="M1106" s="2879"/>
      <c r="N1106" s="2082"/>
      <c r="O1106" s="2082" t="str">
        <f t="shared" si="251"/>
        <v>ODACT209</v>
      </c>
      <c r="P1106" s="2082"/>
      <c r="Q1106" s="2082"/>
      <c r="S1106" s="2082"/>
      <c r="T1106" s="2082"/>
    </row>
    <row r="1107" spans="1:20" s="137" customFormat="1" ht="13.5" hidden="1" customHeight="1">
      <c r="A1107" s="2047" t="s">
        <v>648</v>
      </c>
      <c r="B1107" s="2080" t="s">
        <v>649</v>
      </c>
      <c r="C1107" s="1940"/>
      <c r="D1107" s="1940"/>
      <c r="E1107" s="1940"/>
      <c r="F1107" s="1940"/>
      <c r="G1107" s="3007"/>
      <c r="H1107" s="3007"/>
      <c r="I1107" s="1937"/>
      <c r="J1107" s="2090"/>
      <c r="K1107" s="2090"/>
      <c r="L1107" s="2092"/>
      <c r="M1107" s="2093"/>
      <c r="N1107" s="2082"/>
      <c r="O1107" s="2082"/>
      <c r="P1107" s="2082"/>
      <c r="Q1107" s="2082"/>
      <c r="S1107" s="2082"/>
      <c r="T1107" s="2082"/>
    </row>
    <row r="1108" spans="1:20" s="137" customFormat="1" ht="13.5" hidden="1" customHeight="1">
      <c r="A1108" s="2097" t="s">
        <v>413</v>
      </c>
      <c r="B1108" s="2098" t="s">
        <v>636</v>
      </c>
      <c r="C1108" s="1940"/>
      <c r="D1108" s="1940"/>
      <c r="E1108" s="1940"/>
      <c r="F1108" s="1940"/>
      <c r="G1108" s="3007" t="s">
        <v>381</v>
      </c>
      <c r="H1108" s="3007"/>
      <c r="I1108" s="1937" t="e">
        <f>#REF!</f>
        <v>#REF!</v>
      </c>
      <c r="J1108" s="2090"/>
      <c r="K1108" s="2090" t="e">
        <f>I1108+J1108</f>
        <v>#REF!</v>
      </c>
      <c r="L1108" s="2878" t="e">
        <f>ROUND(K1108,1)</f>
        <v>#REF!</v>
      </c>
      <c r="M1108" s="2879"/>
      <c r="N1108" s="2082"/>
      <c r="O1108" s="2082" t="s">
        <v>3182</v>
      </c>
      <c r="P1108" s="2082"/>
      <c r="Q1108" s="2082"/>
      <c r="S1108" s="2082"/>
      <c r="T1108" s="2082"/>
    </row>
    <row r="1109" spans="1:20" s="137" customFormat="1" ht="13.5" hidden="1" customHeight="1">
      <c r="A1109" s="2097" t="s">
        <v>415</v>
      </c>
      <c r="B1109" s="2098" t="s">
        <v>637</v>
      </c>
      <c r="C1109" s="1940"/>
      <c r="D1109" s="1940"/>
      <c r="E1109" s="1940"/>
      <c r="F1109" s="1940"/>
      <c r="G1109" s="3007" t="s">
        <v>381</v>
      </c>
      <c r="H1109" s="3007"/>
      <c r="I1109" s="1937" t="e">
        <f>#REF!</f>
        <v>#REF!</v>
      </c>
      <c r="J1109" s="2090"/>
      <c r="K1109" s="2090" t="e">
        <f>I1109+J1109</f>
        <v>#REF!</v>
      </c>
      <c r="L1109" s="2878" t="e">
        <f>ROUND(K1109,1)</f>
        <v>#REF!</v>
      </c>
      <c r="M1109" s="2879"/>
      <c r="N1109" s="2082"/>
      <c r="O1109" s="2082" t="str">
        <f>O1108</f>
        <v>ODACT210.</v>
      </c>
      <c r="P1109" s="2082"/>
      <c r="Q1109" s="2082"/>
      <c r="S1109" s="2082"/>
      <c r="T1109" s="2082"/>
    </row>
    <row r="1110" spans="1:20" s="137" customFormat="1" ht="13.5" hidden="1" customHeight="1">
      <c r="A1110" s="2097" t="s">
        <v>638</v>
      </c>
      <c r="B1110" s="2098" t="s">
        <v>639</v>
      </c>
      <c r="C1110" s="1940"/>
      <c r="D1110" s="1940"/>
      <c r="E1110" s="1940"/>
      <c r="F1110" s="1940"/>
      <c r="G1110" s="3007" t="s">
        <v>381</v>
      </c>
      <c r="H1110" s="3007"/>
      <c r="I1110" s="1937" t="e">
        <f>#REF!</f>
        <v>#REF!</v>
      </c>
      <c r="J1110" s="2090"/>
      <c r="K1110" s="2090" t="e">
        <f>I1110+J1110</f>
        <v>#REF!</v>
      </c>
      <c r="L1110" s="2878" t="e">
        <f>ROUND(K1110,1)</f>
        <v>#REF!</v>
      </c>
      <c r="M1110" s="2879"/>
      <c r="N1110" s="2082"/>
      <c r="O1110" s="2082" t="s">
        <v>3182</v>
      </c>
      <c r="P1110" s="2082"/>
      <c r="Q1110" s="2082"/>
      <c r="S1110" s="2082"/>
      <c r="T1110" s="2082"/>
    </row>
    <row r="1111" spans="1:20" s="137" customFormat="1" ht="13.5" hidden="1" customHeight="1">
      <c r="A1111" s="2097" t="s">
        <v>640</v>
      </c>
      <c r="B1111" s="2098" t="s">
        <v>641</v>
      </c>
      <c r="C1111" s="1940"/>
      <c r="D1111" s="1940"/>
      <c r="E1111" s="1940"/>
      <c r="F1111" s="1940"/>
      <c r="G1111" s="3007" t="s">
        <v>381</v>
      </c>
      <c r="H1111" s="3007"/>
      <c r="I1111" s="1937" t="e">
        <f>#REF!</f>
        <v>#REF!</v>
      </c>
      <c r="J1111" s="2090"/>
      <c r="K1111" s="2090" t="e">
        <f>I1111+J1111</f>
        <v>#REF!</v>
      </c>
      <c r="L1111" s="2878" t="e">
        <f>ROUND(K1111,1)</f>
        <v>#REF!</v>
      </c>
      <c r="M1111" s="2879"/>
      <c r="N1111" s="2082"/>
      <c r="O1111" s="2082" t="str">
        <f t="shared" ref="O1111" si="252">O1110</f>
        <v>ODACT210.</v>
      </c>
      <c r="P1111" s="2082"/>
      <c r="Q1111" s="2082"/>
      <c r="S1111" s="2082"/>
      <c r="T1111" s="2082"/>
    </row>
    <row r="1112" spans="1:20" s="137" customFormat="1" ht="13.5" hidden="1" customHeight="1">
      <c r="A1112" s="2097" t="s">
        <v>642</v>
      </c>
      <c r="B1112" s="2098" t="s">
        <v>643</v>
      </c>
      <c r="C1112" s="1940"/>
      <c r="D1112" s="1940"/>
      <c r="E1112" s="1940"/>
      <c r="F1112" s="1940"/>
      <c r="G1112" s="3007" t="s">
        <v>381</v>
      </c>
      <c r="H1112" s="3007"/>
      <c r="I1112" s="1937" t="e">
        <f>#REF!</f>
        <v>#REF!</v>
      </c>
      <c r="J1112" s="2090"/>
      <c r="K1112" s="2090" t="e">
        <f>I1112+J1112</f>
        <v>#REF!</v>
      </c>
      <c r="L1112" s="2878" t="e">
        <f>ROUND(K1112,1)</f>
        <v>#REF!</v>
      </c>
      <c r="M1112" s="2879"/>
      <c r="N1112" s="2082"/>
      <c r="O1112" s="2082" t="s">
        <v>3182</v>
      </c>
      <c r="P1112" s="2082"/>
      <c r="Q1112" s="2082"/>
      <c r="S1112" s="2082"/>
      <c r="T1112" s="2082"/>
    </row>
    <row r="1113" spans="1:20" s="137" customFormat="1" ht="13.5" hidden="1" customHeight="1">
      <c r="A1113" s="2047" t="s">
        <v>650</v>
      </c>
      <c r="B1113" s="2080" t="s">
        <v>651</v>
      </c>
      <c r="C1113" s="1940"/>
      <c r="D1113" s="1940"/>
      <c r="E1113" s="1940"/>
      <c r="F1113" s="1940"/>
      <c r="G1113" s="3007"/>
      <c r="H1113" s="3007"/>
      <c r="I1113" s="1937"/>
      <c r="J1113" s="2090"/>
      <c r="K1113" s="2090"/>
      <c r="L1113" s="2092"/>
      <c r="M1113" s="2093"/>
      <c r="N1113" s="2082"/>
      <c r="O1113" s="2082"/>
      <c r="P1113" s="2082"/>
      <c r="Q1113" s="2082"/>
      <c r="S1113" s="2082"/>
      <c r="T1113" s="2082"/>
    </row>
    <row r="1114" spans="1:20" s="137" customFormat="1" ht="13.5" hidden="1" customHeight="1">
      <c r="A1114" s="2097" t="s">
        <v>413</v>
      </c>
      <c r="B1114" s="2098" t="s">
        <v>636</v>
      </c>
      <c r="C1114" s="1940"/>
      <c r="D1114" s="1940"/>
      <c r="E1114" s="1940"/>
      <c r="F1114" s="1940"/>
      <c r="G1114" s="3007" t="s">
        <v>381</v>
      </c>
      <c r="H1114" s="3007"/>
      <c r="I1114" s="1937" t="e">
        <f>#REF!</f>
        <v>#REF!</v>
      </c>
      <c r="J1114" s="2090"/>
      <c r="K1114" s="2090" t="e">
        <f>I1114+J1114</f>
        <v>#REF!</v>
      </c>
      <c r="L1114" s="2878" t="e">
        <f>ROUND(K1114,1)</f>
        <v>#REF!</v>
      </c>
      <c r="M1114" s="2879"/>
      <c r="N1114" s="2082"/>
      <c r="O1114" s="2082" t="s">
        <v>3183</v>
      </c>
      <c r="P1114" s="2082"/>
      <c r="Q1114" s="2082"/>
      <c r="S1114" s="2082"/>
      <c r="T1114" s="2082"/>
    </row>
    <row r="1115" spans="1:20" s="137" customFormat="1" ht="13.5" hidden="1" customHeight="1">
      <c r="A1115" s="2097" t="s">
        <v>415</v>
      </c>
      <c r="B1115" s="2098" t="s">
        <v>637</v>
      </c>
      <c r="C1115" s="1940"/>
      <c r="D1115" s="1940"/>
      <c r="E1115" s="1940"/>
      <c r="F1115" s="1940"/>
      <c r="G1115" s="3007" t="s">
        <v>381</v>
      </c>
      <c r="H1115" s="3007"/>
      <c r="I1115" s="1937" t="e">
        <f>#REF!</f>
        <v>#REF!</v>
      </c>
      <c r="J1115" s="2090"/>
      <c r="K1115" s="2090" t="e">
        <f>I1115+J1115</f>
        <v>#REF!</v>
      </c>
      <c r="L1115" s="2878" t="e">
        <f>ROUND(K1115,1)</f>
        <v>#REF!</v>
      </c>
      <c r="M1115" s="2879"/>
      <c r="N1115" s="2082"/>
      <c r="O1115" s="2082" t="str">
        <f>O1114</f>
        <v>ODACT211</v>
      </c>
      <c r="P1115" s="2082"/>
      <c r="Q1115" s="2082"/>
      <c r="S1115" s="2082"/>
      <c r="T1115" s="2082"/>
    </row>
    <row r="1116" spans="1:20" s="137" customFormat="1" ht="13.5" hidden="1" customHeight="1">
      <c r="A1116" s="2097" t="s">
        <v>638</v>
      </c>
      <c r="B1116" s="2098" t="s">
        <v>639</v>
      </c>
      <c r="C1116" s="1940"/>
      <c r="D1116" s="1940"/>
      <c r="E1116" s="1940"/>
      <c r="F1116" s="1940"/>
      <c r="G1116" s="3007" t="s">
        <v>381</v>
      </c>
      <c r="H1116" s="3007"/>
      <c r="I1116" s="1937" t="e">
        <f>#REF!</f>
        <v>#REF!</v>
      </c>
      <c r="J1116" s="2090"/>
      <c r="K1116" s="2090" t="e">
        <f>I1116+J1116</f>
        <v>#REF!</v>
      </c>
      <c r="L1116" s="2878" t="e">
        <f>ROUND(K1116,1)</f>
        <v>#REF!</v>
      </c>
      <c r="M1116" s="2879"/>
      <c r="N1116" s="2082"/>
      <c r="O1116" s="2082" t="str">
        <f t="shared" ref="O1116:O1118" si="253">O1115</f>
        <v>ODACT211</v>
      </c>
      <c r="P1116" s="2082"/>
      <c r="Q1116" s="2082"/>
      <c r="S1116" s="2082"/>
      <c r="T1116" s="2082"/>
    </row>
    <row r="1117" spans="1:20" s="137" customFormat="1" ht="13.5" hidden="1" customHeight="1">
      <c r="A1117" s="2097" t="s">
        <v>640</v>
      </c>
      <c r="B1117" s="2098" t="s">
        <v>641</v>
      </c>
      <c r="C1117" s="1940"/>
      <c r="D1117" s="1940"/>
      <c r="E1117" s="1940"/>
      <c r="F1117" s="1940"/>
      <c r="G1117" s="3007" t="s">
        <v>381</v>
      </c>
      <c r="H1117" s="3007"/>
      <c r="I1117" s="1937" t="e">
        <f>#REF!</f>
        <v>#REF!</v>
      </c>
      <c r="J1117" s="2090"/>
      <c r="K1117" s="2090" t="e">
        <f>I1117+J1117</f>
        <v>#REF!</v>
      </c>
      <c r="L1117" s="2878" t="e">
        <f>ROUND(K1117,1)</f>
        <v>#REF!</v>
      </c>
      <c r="M1117" s="2879"/>
      <c r="N1117" s="2082"/>
      <c r="O1117" s="2082" t="str">
        <f t="shared" si="253"/>
        <v>ODACT211</v>
      </c>
      <c r="P1117" s="2082"/>
      <c r="Q1117" s="2082"/>
      <c r="S1117" s="2082"/>
      <c r="T1117" s="2082"/>
    </row>
    <row r="1118" spans="1:20" s="137" customFormat="1" ht="13.5" hidden="1" customHeight="1">
      <c r="A1118" s="2097" t="s">
        <v>642</v>
      </c>
      <c r="B1118" s="2098" t="s">
        <v>643</v>
      </c>
      <c r="C1118" s="1940"/>
      <c r="D1118" s="1940"/>
      <c r="E1118" s="1940"/>
      <c r="F1118" s="1940"/>
      <c r="G1118" s="3007" t="s">
        <v>381</v>
      </c>
      <c r="H1118" s="3007"/>
      <c r="I1118" s="1937" t="e">
        <f>#REF!</f>
        <v>#REF!</v>
      </c>
      <c r="J1118" s="2090"/>
      <c r="K1118" s="2090" t="e">
        <f>I1118+J1118</f>
        <v>#REF!</v>
      </c>
      <c r="L1118" s="2878" t="e">
        <f>ROUND(K1118,1)</f>
        <v>#REF!</v>
      </c>
      <c r="M1118" s="2879"/>
      <c r="N1118" s="2082"/>
      <c r="O1118" s="2082" t="str">
        <f t="shared" si="253"/>
        <v>ODACT211</v>
      </c>
      <c r="P1118" s="2082"/>
      <c r="Q1118" s="2082"/>
      <c r="S1118" s="2082"/>
      <c r="T1118" s="2082"/>
    </row>
    <row r="1119" spans="1:20" s="137" customFormat="1" ht="13.5" hidden="1" customHeight="1">
      <c r="A1119" s="2047" t="s">
        <v>652</v>
      </c>
      <c r="B1119" s="2080" t="s">
        <v>653</v>
      </c>
      <c r="C1119" s="1940"/>
      <c r="D1119" s="1940"/>
      <c r="E1119" s="1940"/>
      <c r="F1119" s="1940"/>
      <c r="G1119" s="3007"/>
      <c r="H1119" s="3007"/>
      <c r="I1119" s="1937"/>
      <c r="J1119" s="2090"/>
      <c r="K1119" s="2090"/>
      <c r="L1119" s="2092"/>
      <c r="M1119" s="2093"/>
      <c r="N1119" s="2082"/>
      <c r="O1119" s="2082"/>
      <c r="P1119" s="2082"/>
      <c r="Q1119" s="2082"/>
      <c r="S1119" s="2082"/>
      <c r="T1119" s="2082"/>
    </row>
    <row r="1120" spans="1:20" s="137" customFormat="1" ht="13.5" hidden="1" customHeight="1">
      <c r="A1120" s="2097" t="s">
        <v>413</v>
      </c>
      <c r="B1120" s="2098" t="s">
        <v>636</v>
      </c>
      <c r="C1120" s="1940"/>
      <c r="D1120" s="1940"/>
      <c r="E1120" s="1940"/>
      <c r="F1120" s="1940"/>
      <c r="G1120" s="3007" t="s">
        <v>381</v>
      </c>
      <c r="H1120" s="3007"/>
      <c r="I1120" s="1937" t="e">
        <f>#REF!</f>
        <v>#REF!</v>
      </c>
      <c r="J1120" s="2090"/>
      <c r="K1120" s="2090" t="e">
        <f>I1120+J1120</f>
        <v>#REF!</v>
      </c>
      <c r="L1120" s="2878" t="e">
        <f>ROUND(K1120,1)</f>
        <v>#REF!</v>
      </c>
      <c r="M1120" s="2879"/>
      <c r="N1120" s="2082"/>
      <c r="O1120" s="2082" t="s">
        <v>3184</v>
      </c>
      <c r="P1120" s="2082"/>
      <c r="Q1120" s="2082"/>
      <c r="S1120" s="2082"/>
      <c r="T1120" s="2082"/>
    </row>
    <row r="1121" spans="1:20" s="137" customFormat="1" ht="13.5" hidden="1" customHeight="1">
      <c r="A1121" s="2097" t="s">
        <v>415</v>
      </c>
      <c r="B1121" s="2098" t="s">
        <v>637</v>
      </c>
      <c r="C1121" s="1940"/>
      <c r="D1121" s="1940"/>
      <c r="E1121" s="1940"/>
      <c r="F1121" s="1940"/>
      <c r="G1121" s="3007" t="s">
        <v>381</v>
      </c>
      <c r="H1121" s="3007"/>
      <c r="I1121" s="1937" t="e">
        <f>#REF!</f>
        <v>#REF!</v>
      </c>
      <c r="J1121" s="2090"/>
      <c r="K1121" s="2090" t="e">
        <f>I1121+J1121</f>
        <v>#REF!</v>
      </c>
      <c r="L1121" s="2878" t="e">
        <f>ROUND(K1121,1)</f>
        <v>#REF!</v>
      </c>
      <c r="M1121" s="2879"/>
      <c r="N1121" s="2082"/>
      <c r="O1121" s="2082" t="str">
        <f>O1120</f>
        <v>ODACT212</v>
      </c>
      <c r="P1121" s="2082"/>
      <c r="Q1121" s="2082"/>
      <c r="S1121" s="2082"/>
      <c r="T1121" s="2082"/>
    </row>
    <row r="1122" spans="1:20" s="137" customFormat="1" ht="13.5" hidden="1" customHeight="1">
      <c r="A1122" s="2097" t="s">
        <v>638</v>
      </c>
      <c r="B1122" s="2098" t="s">
        <v>639</v>
      </c>
      <c r="C1122" s="1940"/>
      <c r="D1122" s="1940"/>
      <c r="E1122" s="1940"/>
      <c r="F1122" s="1940"/>
      <c r="G1122" s="3007" t="s">
        <v>381</v>
      </c>
      <c r="H1122" s="3007"/>
      <c r="I1122" s="1937" t="e">
        <f>#REF!</f>
        <v>#REF!</v>
      </c>
      <c r="J1122" s="2090"/>
      <c r="K1122" s="2090" t="e">
        <f>I1122+J1122</f>
        <v>#REF!</v>
      </c>
      <c r="L1122" s="2878" t="e">
        <f>ROUND(K1122,1)</f>
        <v>#REF!</v>
      </c>
      <c r="M1122" s="2879"/>
      <c r="N1122" s="2082"/>
      <c r="O1122" s="2082" t="str">
        <f t="shared" ref="O1122:O1124" si="254">O1121</f>
        <v>ODACT212</v>
      </c>
      <c r="P1122" s="2082"/>
      <c r="Q1122" s="2082"/>
      <c r="S1122" s="2082"/>
      <c r="T1122" s="2082"/>
    </row>
    <row r="1123" spans="1:20" s="137" customFormat="1" ht="13.5" hidden="1" customHeight="1">
      <c r="A1123" s="2097" t="s">
        <v>640</v>
      </c>
      <c r="B1123" s="2098" t="s">
        <v>641</v>
      </c>
      <c r="C1123" s="1940"/>
      <c r="D1123" s="1940"/>
      <c r="E1123" s="1940"/>
      <c r="F1123" s="1940"/>
      <c r="G1123" s="3007" t="s">
        <v>381</v>
      </c>
      <c r="H1123" s="3007"/>
      <c r="I1123" s="1937" t="e">
        <f>#REF!</f>
        <v>#REF!</v>
      </c>
      <c r="J1123" s="2090"/>
      <c r="K1123" s="2090" t="e">
        <f>I1123+J1123</f>
        <v>#REF!</v>
      </c>
      <c r="L1123" s="2878" t="e">
        <f>ROUND(K1123,1)</f>
        <v>#REF!</v>
      </c>
      <c r="M1123" s="2879"/>
      <c r="N1123" s="2082"/>
      <c r="O1123" s="2082" t="str">
        <f t="shared" si="254"/>
        <v>ODACT212</v>
      </c>
      <c r="P1123" s="2082"/>
      <c r="Q1123" s="2082"/>
      <c r="S1123" s="2082"/>
      <c r="T1123" s="2082"/>
    </row>
    <row r="1124" spans="1:20" s="137" customFormat="1" ht="13.5" hidden="1" customHeight="1">
      <c r="A1124" s="2097" t="s">
        <v>642</v>
      </c>
      <c r="B1124" s="2098" t="s">
        <v>643</v>
      </c>
      <c r="C1124" s="1940"/>
      <c r="D1124" s="1940"/>
      <c r="E1124" s="1940"/>
      <c r="F1124" s="1940"/>
      <c r="G1124" s="3007" t="s">
        <v>381</v>
      </c>
      <c r="H1124" s="3007"/>
      <c r="I1124" s="1937" t="e">
        <f>#REF!</f>
        <v>#REF!</v>
      </c>
      <c r="J1124" s="2090"/>
      <c r="K1124" s="2090" t="e">
        <f>I1124+J1124</f>
        <v>#REF!</v>
      </c>
      <c r="L1124" s="2878" t="e">
        <f>ROUND(K1124,1)</f>
        <v>#REF!</v>
      </c>
      <c r="M1124" s="2879"/>
      <c r="N1124" s="2082"/>
      <c r="O1124" s="2082" t="str">
        <f t="shared" si="254"/>
        <v>ODACT212</v>
      </c>
      <c r="P1124" s="2082"/>
      <c r="Q1124" s="2082"/>
      <c r="S1124" s="2082"/>
      <c r="T1124" s="2082"/>
    </row>
    <row r="1125" spans="1:20" s="137" customFormat="1" ht="13.5" hidden="1" customHeight="1">
      <c r="A1125" s="2047" t="s">
        <v>654</v>
      </c>
      <c r="B1125" s="2080" t="s">
        <v>655</v>
      </c>
      <c r="C1125" s="1940"/>
      <c r="D1125" s="1940"/>
      <c r="E1125" s="1940"/>
      <c r="F1125" s="1940"/>
      <c r="G1125" s="3007"/>
      <c r="H1125" s="3007"/>
      <c r="I1125" s="1937"/>
      <c r="J1125" s="2090"/>
      <c r="K1125" s="2090"/>
      <c r="L1125" s="2092"/>
      <c r="M1125" s="2093"/>
      <c r="N1125" s="2082"/>
      <c r="O1125" s="2082"/>
      <c r="P1125" s="2082"/>
      <c r="Q1125" s="2082"/>
      <c r="S1125" s="2082"/>
      <c r="T1125" s="2082"/>
    </row>
    <row r="1126" spans="1:20" s="137" customFormat="1" ht="13.5" hidden="1" customHeight="1">
      <c r="A1126" s="2097" t="s">
        <v>413</v>
      </c>
      <c r="B1126" s="2098" t="s">
        <v>636</v>
      </c>
      <c r="C1126" s="1940"/>
      <c r="D1126" s="1940"/>
      <c r="E1126" s="1940"/>
      <c r="F1126" s="1940"/>
      <c r="G1126" s="3007" t="s">
        <v>381</v>
      </c>
      <c r="H1126" s="3007"/>
      <c r="I1126" s="1937" t="e">
        <f>#REF!</f>
        <v>#REF!</v>
      </c>
      <c r="J1126" s="2090"/>
      <c r="K1126" s="2090" t="e">
        <f>I1126+J1126</f>
        <v>#REF!</v>
      </c>
      <c r="L1126" s="2878" t="e">
        <f>ROUND(K1126,1)</f>
        <v>#REF!</v>
      </c>
      <c r="M1126" s="2879"/>
      <c r="N1126" s="2082"/>
      <c r="O1126" s="2082" t="s">
        <v>3185</v>
      </c>
      <c r="P1126" s="2082"/>
      <c r="Q1126" s="2082"/>
      <c r="S1126" s="2082"/>
      <c r="T1126" s="2082"/>
    </row>
    <row r="1127" spans="1:20" s="137" customFormat="1" ht="13.5" hidden="1" customHeight="1">
      <c r="A1127" s="2097" t="s">
        <v>415</v>
      </c>
      <c r="B1127" s="2098" t="s">
        <v>637</v>
      </c>
      <c r="C1127" s="1940"/>
      <c r="D1127" s="1940"/>
      <c r="E1127" s="1940"/>
      <c r="F1127" s="1940"/>
      <c r="G1127" s="3007" t="s">
        <v>381</v>
      </c>
      <c r="H1127" s="3007"/>
      <c r="I1127" s="1937" t="e">
        <f>#REF!</f>
        <v>#REF!</v>
      </c>
      <c r="J1127" s="2090"/>
      <c r="K1127" s="2090" t="e">
        <f>I1127+J1127</f>
        <v>#REF!</v>
      </c>
      <c r="L1127" s="2878" t="e">
        <f>ROUND(K1127,1)</f>
        <v>#REF!</v>
      </c>
      <c r="M1127" s="2879"/>
      <c r="N1127" s="2082"/>
      <c r="O1127" s="2082" t="str">
        <f>O1126</f>
        <v>ODACT213</v>
      </c>
      <c r="P1127" s="2082"/>
      <c r="Q1127" s="2082"/>
      <c r="S1127" s="2082"/>
      <c r="T1127" s="2082"/>
    </row>
    <row r="1128" spans="1:20" s="137" customFormat="1" ht="13.5" hidden="1" customHeight="1">
      <c r="A1128" s="2097" t="s">
        <v>638</v>
      </c>
      <c r="B1128" s="2098" t="s">
        <v>639</v>
      </c>
      <c r="C1128" s="1940"/>
      <c r="D1128" s="1940"/>
      <c r="E1128" s="1940"/>
      <c r="F1128" s="1940"/>
      <c r="G1128" s="3007" t="s">
        <v>381</v>
      </c>
      <c r="H1128" s="3007"/>
      <c r="I1128" s="1937" t="e">
        <f>#REF!</f>
        <v>#REF!</v>
      </c>
      <c r="J1128" s="2090"/>
      <c r="K1128" s="2090" t="e">
        <f>I1128+J1128</f>
        <v>#REF!</v>
      </c>
      <c r="L1128" s="2878" t="e">
        <f>ROUND(K1128,1)</f>
        <v>#REF!</v>
      </c>
      <c r="M1128" s="2879"/>
      <c r="N1128" s="2082"/>
      <c r="O1128" s="2082" t="str">
        <f t="shared" ref="O1128:O1130" si="255">O1127</f>
        <v>ODACT213</v>
      </c>
      <c r="P1128" s="2082"/>
      <c r="Q1128" s="2082"/>
      <c r="S1128" s="2082"/>
      <c r="T1128" s="2082"/>
    </row>
    <row r="1129" spans="1:20" s="137" customFormat="1" ht="13.5" hidden="1" customHeight="1">
      <c r="A1129" s="2097" t="s">
        <v>640</v>
      </c>
      <c r="B1129" s="2098" t="s">
        <v>641</v>
      </c>
      <c r="C1129" s="1940"/>
      <c r="D1129" s="1940"/>
      <c r="E1129" s="1940"/>
      <c r="F1129" s="1940"/>
      <c r="G1129" s="3007" t="s">
        <v>381</v>
      </c>
      <c r="H1129" s="3007"/>
      <c r="I1129" s="1937" t="e">
        <f>#REF!</f>
        <v>#REF!</v>
      </c>
      <c r="J1129" s="2090"/>
      <c r="K1129" s="2090" t="e">
        <f>I1129+J1129</f>
        <v>#REF!</v>
      </c>
      <c r="L1129" s="2878" t="e">
        <f>ROUND(K1129,1)</f>
        <v>#REF!</v>
      </c>
      <c r="M1129" s="2879"/>
      <c r="N1129" s="2082"/>
      <c r="O1129" s="2082" t="str">
        <f t="shared" si="255"/>
        <v>ODACT213</v>
      </c>
      <c r="P1129" s="2082"/>
      <c r="Q1129" s="2082"/>
      <c r="S1129" s="2082"/>
      <c r="T1129" s="2082"/>
    </row>
    <row r="1130" spans="1:20" s="137" customFormat="1" ht="13.5" hidden="1" customHeight="1">
      <c r="A1130" s="2097" t="s">
        <v>642</v>
      </c>
      <c r="B1130" s="2098" t="s">
        <v>643</v>
      </c>
      <c r="C1130" s="1940"/>
      <c r="D1130" s="1940"/>
      <c r="E1130" s="1940"/>
      <c r="F1130" s="1940"/>
      <c r="G1130" s="3007" t="s">
        <v>381</v>
      </c>
      <c r="H1130" s="3007"/>
      <c r="I1130" s="1937" t="e">
        <f>#REF!</f>
        <v>#REF!</v>
      </c>
      <c r="J1130" s="2090"/>
      <c r="K1130" s="2090" t="e">
        <f>I1130+J1130</f>
        <v>#REF!</v>
      </c>
      <c r="L1130" s="2878" t="e">
        <f>ROUND(K1130,1)</f>
        <v>#REF!</v>
      </c>
      <c r="M1130" s="2879"/>
      <c r="N1130" s="2082"/>
      <c r="O1130" s="2082" t="str">
        <f t="shared" si="255"/>
        <v>ODACT213</v>
      </c>
      <c r="P1130" s="2082"/>
      <c r="Q1130" s="2082"/>
      <c r="S1130" s="2082"/>
      <c r="T1130" s="2082"/>
    </row>
    <row r="1131" spans="1:20" s="137" customFormat="1" ht="13.5" hidden="1" customHeight="1">
      <c r="A1131" s="2047" t="s">
        <v>656</v>
      </c>
      <c r="B1131" s="2080" t="s">
        <v>657</v>
      </c>
      <c r="C1131" s="1940"/>
      <c r="D1131" s="1940"/>
      <c r="E1131" s="1940"/>
      <c r="F1131" s="1940"/>
      <c r="G1131" s="3007"/>
      <c r="H1131" s="3007"/>
      <c r="I1131" s="1937"/>
      <c r="J1131" s="2090"/>
      <c r="K1131" s="2090"/>
      <c r="L1131" s="2092"/>
      <c r="M1131" s="2093"/>
      <c r="N1131" s="2082"/>
      <c r="O1131" s="2082"/>
      <c r="P1131" s="2082"/>
      <c r="Q1131" s="2082"/>
      <c r="S1131" s="2082"/>
      <c r="T1131" s="2082"/>
    </row>
    <row r="1132" spans="1:20" s="137" customFormat="1" ht="13.5" hidden="1" customHeight="1">
      <c r="A1132" s="2097" t="s">
        <v>413</v>
      </c>
      <c r="B1132" s="2098" t="s">
        <v>636</v>
      </c>
      <c r="C1132" s="1940"/>
      <c r="D1132" s="1940"/>
      <c r="E1132" s="1940"/>
      <c r="F1132" s="1940"/>
      <c r="G1132" s="3007" t="s">
        <v>381</v>
      </c>
      <c r="H1132" s="3007"/>
      <c r="I1132" s="1937" t="e">
        <f>#REF!</f>
        <v>#REF!</v>
      </c>
      <c r="J1132" s="2090"/>
      <c r="K1132" s="2090" t="e">
        <f>I1132+J1132</f>
        <v>#REF!</v>
      </c>
      <c r="L1132" s="2878" t="e">
        <f>ROUND(K1132,1)</f>
        <v>#REF!</v>
      </c>
      <c r="M1132" s="2879"/>
      <c r="N1132" s="2082"/>
      <c r="O1132" s="2082" t="s">
        <v>3186</v>
      </c>
      <c r="P1132" s="2082"/>
      <c r="Q1132" s="2082"/>
      <c r="S1132" s="2082"/>
      <c r="T1132" s="2082"/>
    </row>
    <row r="1133" spans="1:20" s="137" customFormat="1" ht="13.5" hidden="1" customHeight="1">
      <c r="A1133" s="2097" t="s">
        <v>415</v>
      </c>
      <c r="B1133" s="2098" t="s">
        <v>637</v>
      </c>
      <c r="C1133" s="1940"/>
      <c r="D1133" s="1940"/>
      <c r="E1133" s="1940"/>
      <c r="F1133" s="1940"/>
      <c r="G1133" s="3007" t="s">
        <v>381</v>
      </c>
      <c r="H1133" s="3007"/>
      <c r="I1133" s="1937" t="e">
        <f>#REF!</f>
        <v>#REF!</v>
      </c>
      <c r="J1133" s="2090"/>
      <c r="K1133" s="2090" t="e">
        <f>I1133+J1133</f>
        <v>#REF!</v>
      </c>
      <c r="L1133" s="2878" t="e">
        <f>ROUND(K1133,1)</f>
        <v>#REF!</v>
      </c>
      <c r="M1133" s="2879"/>
      <c r="N1133" s="2082"/>
      <c r="O1133" s="2082" t="str">
        <f>O1132</f>
        <v>ODACT214</v>
      </c>
      <c r="P1133" s="2082"/>
      <c r="Q1133" s="2082"/>
      <c r="S1133" s="2082"/>
      <c r="T1133" s="2082"/>
    </row>
    <row r="1134" spans="1:20" s="137" customFormat="1" ht="13.5" hidden="1" customHeight="1">
      <c r="A1134" s="2097" t="s">
        <v>638</v>
      </c>
      <c r="B1134" s="2098" t="s">
        <v>639</v>
      </c>
      <c r="C1134" s="1940"/>
      <c r="D1134" s="1940"/>
      <c r="E1134" s="1940"/>
      <c r="F1134" s="1940"/>
      <c r="G1134" s="3007" t="s">
        <v>381</v>
      </c>
      <c r="H1134" s="3007"/>
      <c r="I1134" s="1937" t="e">
        <f>#REF!</f>
        <v>#REF!</v>
      </c>
      <c r="J1134" s="2090"/>
      <c r="K1134" s="2090" t="e">
        <f>I1134+J1134</f>
        <v>#REF!</v>
      </c>
      <c r="L1134" s="2878" t="e">
        <f>ROUND(K1134,1)</f>
        <v>#REF!</v>
      </c>
      <c r="M1134" s="2879"/>
      <c r="N1134" s="2082"/>
      <c r="O1134" s="2082" t="str">
        <f t="shared" ref="O1134:O1136" si="256">O1133</f>
        <v>ODACT214</v>
      </c>
      <c r="P1134" s="2082"/>
      <c r="Q1134" s="2082"/>
      <c r="S1134" s="2082"/>
      <c r="T1134" s="2082"/>
    </row>
    <row r="1135" spans="1:20" s="137" customFormat="1" ht="13.5" hidden="1" customHeight="1">
      <c r="A1135" s="2097" t="s">
        <v>640</v>
      </c>
      <c r="B1135" s="2098" t="s">
        <v>641</v>
      </c>
      <c r="C1135" s="1940"/>
      <c r="D1135" s="1940"/>
      <c r="E1135" s="1940"/>
      <c r="F1135" s="1940"/>
      <c r="G1135" s="3007" t="s">
        <v>381</v>
      </c>
      <c r="H1135" s="3007"/>
      <c r="I1135" s="1937" t="e">
        <f>#REF!</f>
        <v>#REF!</v>
      </c>
      <c r="J1135" s="2090"/>
      <c r="K1135" s="2090" t="e">
        <f>I1135+J1135</f>
        <v>#REF!</v>
      </c>
      <c r="L1135" s="2878" t="e">
        <f>ROUND(K1135,1)</f>
        <v>#REF!</v>
      </c>
      <c r="M1135" s="2879"/>
      <c r="N1135" s="2082"/>
      <c r="O1135" s="2082" t="str">
        <f t="shared" si="256"/>
        <v>ODACT214</v>
      </c>
      <c r="P1135" s="2082"/>
      <c r="Q1135" s="2082"/>
      <c r="S1135" s="2082"/>
      <c r="T1135" s="2082"/>
    </row>
    <row r="1136" spans="1:20" s="137" customFormat="1" ht="13.5" hidden="1" customHeight="1">
      <c r="A1136" s="2097" t="s">
        <v>642</v>
      </c>
      <c r="B1136" s="2098" t="s">
        <v>643</v>
      </c>
      <c r="C1136" s="1940"/>
      <c r="D1136" s="1940"/>
      <c r="E1136" s="1940"/>
      <c r="F1136" s="1940"/>
      <c r="G1136" s="3007" t="s">
        <v>381</v>
      </c>
      <c r="H1136" s="3007"/>
      <c r="I1136" s="1937" t="e">
        <f>#REF!</f>
        <v>#REF!</v>
      </c>
      <c r="J1136" s="2090"/>
      <c r="K1136" s="2090" t="e">
        <f>I1136+J1136</f>
        <v>#REF!</v>
      </c>
      <c r="L1136" s="2878" t="e">
        <f>ROUND(K1136,1)</f>
        <v>#REF!</v>
      </c>
      <c r="M1136" s="2879"/>
      <c r="N1136" s="2082"/>
      <c r="O1136" s="2082" t="str">
        <f t="shared" si="256"/>
        <v>ODACT214</v>
      </c>
      <c r="P1136" s="2082"/>
      <c r="Q1136" s="2082"/>
      <c r="S1136" s="2082"/>
      <c r="T1136" s="2082"/>
    </row>
    <row r="1137" spans="1:20" s="137" customFormat="1" ht="13.5" hidden="1" customHeight="1">
      <c r="A1137" s="2047">
        <f>A1088+1</f>
        <v>181</v>
      </c>
      <c r="B1137" s="1935" t="s">
        <v>633</v>
      </c>
      <c r="C1137" s="1940"/>
      <c r="D1137" s="1940"/>
      <c r="E1137" s="1940"/>
      <c r="F1137" s="1940"/>
      <c r="G1137" s="3007"/>
      <c r="H1137" s="3007"/>
      <c r="I1137" s="1937"/>
      <c r="J1137" s="2090"/>
      <c r="K1137" s="2090"/>
      <c r="L1137" s="2878"/>
      <c r="M1137" s="2879"/>
      <c r="N1137" s="2082"/>
      <c r="O1137" s="2082" t="s">
        <v>183</v>
      </c>
      <c r="P1137" s="2082"/>
      <c r="Q1137" s="2082"/>
      <c r="R1137" s="2082"/>
      <c r="S1137" s="2082"/>
      <c r="T1137" s="2082"/>
    </row>
    <row r="1138" spans="1:20" s="137" customFormat="1" ht="13.5" hidden="1" customHeight="1">
      <c r="A1138" s="2047" t="s">
        <v>634</v>
      </c>
      <c r="B1138" s="2080" t="s">
        <v>635</v>
      </c>
      <c r="C1138" s="1940"/>
      <c r="D1138" s="1940"/>
      <c r="E1138" s="1940"/>
      <c r="F1138" s="1940"/>
      <c r="G1138" s="3007"/>
      <c r="H1138" s="3007"/>
      <c r="I1138" s="1937"/>
      <c r="J1138" s="2090"/>
      <c r="K1138" s="2090"/>
      <c r="L1138" s="2878"/>
      <c r="M1138" s="2879"/>
      <c r="N1138" s="2082"/>
      <c r="O1138" s="2082"/>
      <c r="P1138" s="2082"/>
      <c r="Q1138" s="2082"/>
      <c r="R1138" s="2082"/>
      <c r="S1138" s="2082"/>
      <c r="T1138" s="2082"/>
    </row>
    <row r="1139" spans="1:20" s="137" customFormat="1" ht="13.5" hidden="1" customHeight="1">
      <c r="A1139" s="2097" t="s">
        <v>413</v>
      </c>
      <c r="B1139" s="2098" t="s">
        <v>636</v>
      </c>
      <c r="C1139" s="1940"/>
      <c r="D1139" s="1940"/>
      <c r="E1139" s="1940"/>
      <c r="F1139" s="1940"/>
      <c r="G1139" s="3007" t="s">
        <v>381</v>
      </c>
      <c r="H1139" s="3007"/>
      <c r="I1139" s="1937" t="e">
        <f>#REF!</f>
        <v>#REF!</v>
      </c>
      <c r="J1139" s="2090"/>
      <c r="K1139" s="2090" t="e">
        <f>I1139+J1139</f>
        <v>#REF!</v>
      </c>
      <c r="L1139" s="2878" t="e">
        <f>ROUND(K1139,1)</f>
        <v>#REF!</v>
      </c>
      <c r="M1139" s="2879"/>
      <c r="N1139" s="2082"/>
      <c r="O1139" s="2082" t="s">
        <v>3179</v>
      </c>
      <c r="P1139" s="2082"/>
      <c r="Q1139" s="2082"/>
      <c r="S1139" s="2082"/>
      <c r="T1139" s="2082"/>
    </row>
    <row r="1140" spans="1:20" s="137" customFormat="1" ht="13.5" hidden="1" customHeight="1">
      <c r="A1140" s="2097" t="s">
        <v>415</v>
      </c>
      <c r="B1140" s="2098" t="s">
        <v>637</v>
      </c>
      <c r="C1140" s="1940"/>
      <c r="D1140" s="1940"/>
      <c r="E1140" s="1940"/>
      <c r="F1140" s="1940"/>
      <c r="G1140" s="3007" t="s">
        <v>381</v>
      </c>
      <c r="H1140" s="3007"/>
      <c r="I1140" s="1937" t="e">
        <f>#REF!</f>
        <v>#REF!</v>
      </c>
      <c r="J1140" s="2090"/>
      <c r="K1140" s="2090" t="e">
        <f>I1140+J1140</f>
        <v>#REF!</v>
      </c>
      <c r="L1140" s="2878" t="e">
        <f>ROUND(K1140,1)</f>
        <v>#REF!</v>
      </c>
      <c r="M1140" s="2879"/>
      <c r="N1140" s="2082"/>
      <c r="O1140" s="2082" t="s">
        <v>3179</v>
      </c>
      <c r="P1140" s="2082"/>
      <c r="Q1140" s="2082"/>
      <c r="S1140" s="2082"/>
      <c r="T1140" s="2082"/>
    </row>
    <row r="1141" spans="1:20" s="137" customFormat="1" ht="13.5" hidden="1" customHeight="1">
      <c r="A1141" s="2097" t="s">
        <v>638</v>
      </c>
      <c r="B1141" s="2098" t="s">
        <v>639</v>
      </c>
      <c r="C1141" s="1940"/>
      <c r="D1141" s="1940"/>
      <c r="E1141" s="1940"/>
      <c r="F1141" s="1940"/>
      <c r="G1141" s="3007" t="s">
        <v>381</v>
      </c>
      <c r="H1141" s="3007"/>
      <c r="I1141" s="1937" t="e">
        <f>#REF!</f>
        <v>#REF!</v>
      </c>
      <c r="J1141" s="2090"/>
      <c r="K1141" s="2090" t="e">
        <f>I1141+J1141</f>
        <v>#REF!</v>
      </c>
      <c r="L1141" s="2878" t="e">
        <f>ROUND(K1141,1)</f>
        <v>#REF!</v>
      </c>
      <c r="M1141" s="2879"/>
      <c r="N1141" s="2082"/>
      <c r="O1141" s="2082" t="s">
        <v>3179</v>
      </c>
      <c r="P1141" s="2082"/>
      <c r="Q1141" s="2082"/>
      <c r="S1141" s="2082"/>
      <c r="T1141" s="2082"/>
    </row>
    <row r="1142" spans="1:20" s="137" customFormat="1" ht="13.5" hidden="1" customHeight="1">
      <c r="A1142" s="2097" t="s">
        <v>640</v>
      </c>
      <c r="B1142" s="2098" t="s">
        <v>641</v>
      </c>
      <c r="C1142" s="1940"/>
      <c r="D1142" s="1940"/>
      <c r="E1142" s="1940"/>
      <c r="F1142" s="1940"/>
      <c r="G1142" s="3007" t="s">
        <v>381</v>
      </c>
      <c r="H1142" s="3007"/>
      <c r="I1142" s="1937" t="e">
        <f>#REF!</f>
        <v>#REF!</v>
      </c>
      <c r="J1142" s="2090"/>
      <c r="K1142" s="2090" t="e">
        <f>I1142+J1142</f>
        <v>#REF!</v>
      </c>
      <c r="L1142" s="2878" t="e">
        <f>ROUND(K1142,1)</f>
        <v>#REF!</v>
      </c>
      <c r="M1142" s="2879"/>
      <c r="N1142" s="2082"/>
      <c r="O1142" s="2082" t="s">
        <v>3179</v>
      </c>
      <c r="P1142" s="2082"/>
      <c r="Q1142" s="2082"/>
      <c r="S1142" s="2082"/>
      <c r="T1142" s="2082"/>
    </row>
    <row r="1143" spans="1:20" s="137" customFormat="1" ht="13.5" hidden="1" customHeight="1">
      <c r="A1143" s="2097" t="s">
        <v>642</v>
      </c>
      <c r="B1143" s="2098" t="s">
        <v>643</v>
      </c>
      <c r="C1143" s="1940"/>
      <c r="D1143" s="1940"/>
      <c r="E1143" s="1940"/>
      <c r="F1143" s="1940"/>
      <c r="G1143" s="3007" t="s">
        <v>381</v>
      </c>
      <c r="H1143" s="3007"/>
      <c r="I1143" s="1937" t="e">
        <f>#REF!</f>
        <v>#REF!</v>
      </c>
      <c r="J1143" s="2090"/>
      <c r="K1143" s="2090" t="e">
        <f>I1143+J1143</f>
        <v>#REF!</v>
      </c>
      <c r="L1143" s="2878" t="e">
        <f>ROUND(K1143,1)</f>
        <v>#REF!</v>
      </c>
      <c r="M1143" s="2879"/>
      <c r="N1143" s="2082"/>
      <c r="O1143" s="2082" t="s">
        <v>3179</v>
      </c>
      <c r="P1143" s="2082"/>
      <c r="Q1143" s="2082"/>
      <c r="S1143" s="2082"/>
      <c r="T1143" s="2082"/>
    </row>
    <row r="1144" spans="1:20" s="137" customFormat="1" ht="13.5" hidden="1" customHeight="1">
      <c r="A1144" s="2047" t="s">
        <v>644</v>
      </c>
      <c r="B1144" s="2080" t="s">
        <v>645</v>
      </c>
      <c r="C1144" s="1940"/>
      <c r="D1144" s="1940"/>
      <c r="E1144" s="1940"/>
      <c r="F1144" s="1940"/>
      <c r="G1144" s="3007"/>
      <c r="H1144" s="3007"/>
      <c r="I1144" s="1937"/>
      <c r="J1144" s="2090"/>
      <c r="K1144" s="2090"/>
      <c r="L1144" s="2092"/>
      <c r="M1144" s="2093"/>
      <c r="N1144" s="2082"/>
      <c r="O1144" s="2082"/>
      <c r="P1144" s="2082"/>
      <c r="Q1144" s="2082"/>
      <c r="S1144" s="2082"/>
      <c r="T1144" s="2082"/>
    </row>
    <row r="1145" spans="1:20" s="137" customFormat="1" ht="13.5" hidden="1" customHeight="1">
      <c r="A1145" s="2097" t="s">
        <v>413</v>
      </c>
      <c r="B1145" s="2098" t="s">
        <v>636</v>
      </c>
      <c r="C1145" s="1940"/>
      <c r="D1145" s="1940"/>
      <c r="E1145" s="1940"/>
      <c r="F1145" s="1940"/>
      <c r="G1145" s="3007" t="s">
        <v>381</v>
      </c>
      <c r="H1145" s="3007"/>
      <c r="I1145" s="1937" t="e">
        <f>#REF!</f>
        <v>#REF!</v>
      </c>
      <c r="J1145" s="2090"/>
      <c r="K1145" s="2090" t="e">
        <f>I1145+J1145</f>
        <v>#REF!</v>
      </c>
      <c r="L1145" s="2878" t="e">
        <f>ROUND(K1145,1)</f>
        <v>#REF!</v>
      </c>
      <c r="M1145" s="2879"/>
      <c r="N1145" s="2082"/>
      <c r="O1145" s="2082" t="s">
        <v>3180</v>
      </c>
      <c r="P1145" s="2082"/>
      <c r="Q1145" s="2082"/>
      <c r="S1145" s="2082"/>
      <c r="T1145" s="2082"/>
    </row>
    <row r="1146" spans="1:20" s="137" customFormat="1" ht="13.5" hidden="1" customHeight="1">
      <c r="A1146" s="2097" t="s">
        <v>415</v>
      </c>
      <c r="B1146" s="2098" t="s">
        <v>637</v>
      </c>
      <c r="C1146" s="1940"/>
      <c r="D1146" s="1940"/>
      <c r="E1146" s="1940"/>
      <c r="F1146" s="1940"/>
      <c r="G1146" s="3007" t="s">
        <v>381</v>
      </c>
      <c r="H1146" s="3007"/>
      <c r="I1146" s="1937" t="e">
        <f>#REF!</f>
        <v>#REF!</v>
      </c>
      <c r="J1146" s="2090"/>
      <c r="K1146" s="2090" t="e">
        <f>I1146+J1146</f>
        <v>#REF!</v>
      </c>
      <c r="L1146" s="2878" t="e">
        <f>ROUND(K1146,1)</f>
        <v>#REF!</v>
      </c>
      <c r="M1146" s="2879"/>
      <c r="N1146" s="2082"/>
      <c r="O1146" s="2082" t="str">
        <f>O1145</f>
        <v>ODACT208</v>
      </c>
      <c r="P1146" s="2082"/>
      <c r="Q1146" s="2082"/>
      <c r="S1146" s="2082"/>
      <c r="T1146" s="2082"/>
    </row>
    <row r="1147" spans="1:20" s="137" customFormat="1" ht="13.5" hidden="1" customHeight="1">
      <c r="A1147" s="2097" t="s">
        <v>638</v>
      </c>
      <c r="B1147" s="2098" t="s">
        <v>639</v>
      </c>
      <c r="C1147" s="1940"/>
      <c r="D1147" s="1940"/>
      <c r="E1147" s="1940"/>
      <c r="F1147" s="1940"/>
      <c r="G1147" s="3007" t="s">
        <v>381</v>
      </c>
      <c r="H1147" s="3007"/>
      <c r="I1147" s="1937" t="e">
        <f>#REF!</f>
        <v>#REF!</v>
      </c>
      <c r="J1147" s="2090"/>
      <c r="K1147" s="2090" t="e">
        <f>I1147+J1147</f>
        <v>#REF!</v>
      </c>
      <c r="L1147" s="2878" t="e">
        <f>ROUND(K1147,1)</f>
        <v>#REF!</v>
      </c>
      <c r="M1147" s="2879"/>
      <c r="N1147" s="2082"/>
      <c r="O1147" s="2082" t="str">
        <f t="shared" ref="O1147:O1149" si="257">O1146</f>
        <v>ODACT208</v>
      </c>
      <c r="P1147" s="2082"/>
      <c r="Q1147" s="2082"/>
      <c r="S1147" s="2082"/>
      <c r="T1147" s="2082"/>
    </row>
    <row r="1148" spans="1:20" s="137" customFormat="1" ht="13.5" hidden="1" customHeight="1">
      <c r="A1148" s="2097" t="s">
        <v>640</v>
      </c>
      <c r="B1148" s="2098" t="s">
        <v>641</v>
      </c>
      <c r="C1148" s="1940"/>
      <c r="D1148" s="1940"/>
      <c r="E1148" s="1940"/>
      <c r="F1148" s="1940"/>
      <c r="G1148" s="3007" t="s">
        <v>381</v>
      </c>
      <c r="H1148" s="3007"/>
      <c r="I1148" s="1937" t="e">
        <f>#REF!</f>
        <v>#REF!</v>
      </c>
      <c r="J1148" s="2090"/>
      <c r="K1148" s="2090" t="e">
        <f>I1148+J1148</f>
        <v>#REF!</v>
      </c>
      <c r="L1148" s="2878" t="e">
        <f>ROUND(K1148,1)</f>
        <v>#REF!</v>
      </c>
      <c r="M1148" s="2879"/>
      <c r="N1148" s="2082"/>
      <c r="O1148" s="2082" t="str">
        <f t="shared" si="257"/>
        <v>ODACT208</v>
      </c>
      <c r="P1148" s="2082"/>
      <c r="Q1148" s="2082"/>
      <c r="S1148" s="2082"/>
      <c r="T1148" s="2082"/>
    </row>
    <row r="1149" spans="1:20" s="137" customFormat="1" ht="13.5" hidden="1" customHeight="1">
      <c r="A1149" s="2097" t="s">
        <v>642</v>
      </c>
      <c r="B1149" s="2098" t="s">
        <v>643</v>
      </c>
      <c r="C1149" s="1940"/>
      <c r="D1149" s="1940"/>
      <c r="E1149" s="1940"/>
      <c r="F1149" s="1940"/>
      <c r="G1149" s="3007" t="s">
        <v>381</v>
      </c>
      <c r="H1149" s="3007"/>
      <c r="I1149" s="1937" t="e">
        <f>#REF!</f>
        <v>#REF!</v>
      </c>
      <c r="J1149" s="2090"/>
      <c r="K1149" s="2090" t="e">
        <f>I1149+J1149</f>
        <v>#REF!</v>
      </c>
      <c r="L1149" s="2878" t="e">
        <f>ROUND(K1149,1)</f>
        <v>#REF!</v>
      </c>
      <c r="M1149" s="2879"/>
      <c r="N1149" s="2082"/>
      <c r="O1149" s="2082" t="str">
        <f t="shared" si="257"/>
        <v>ODACT208</v>
      </c>
      <c r="P1149" s="2082"/>
      <c r="Q1149" s="2082"/>
      <c r="S1149" s="2082"/>
      <c r="T1149" s="2082"/>
    </row>
    <row r="1150" spans="1:20" s="137" customFormat="1" ht="13.5" hidden="1" customHeight="1">
      <c r="A1150" s="2047" t="s">
        <v>646</v>
      </c>
      <c r="B1150" s="2080" t="s">
        <v>647</v>
      </c>
      <c r="C1150" s="1940"/>
      <c r="D1150" s="1940"/>
      <c r="E1150" s="1940"/>
      <c r="F1150" s="1940"/>
      <c r="G1150" s="3007"/>
      <c r="H1150" s="3007"/>
      <c r="I1150" s="1937"/>
      <c r="J1150" s="2090"/>
      <c r="K1150" s="2090"/>
      <c r="L1150" s="2092"/>
      <c r="M1150" s="2093"/>
      <c r="N1150" s="2082"/>
      <c r="O1150" s="2082"/>
      <c r="P1150" s="2082"/>
      <c r="Q1150" s="2082"/>
      <c r="S1150" s="2082"/>
      <c r="T1150" s="2082"/>
    </row>
    <row r="1151" spans="1:20" s="137" customFormat="1" ht="13.5" hidden="1" customHeight="1">
      <c r="A1151" s="2097" t="s">
        <v>413</v>
      </c>
      <c r="B1151" s="2098" t="s">
        <v>636</v>
      </c>
      <c r="C1151" s="1940"/>
      <c r="D1151" s="1940"/>
      <c r="E1151" s="1940"/>
      <c r="F1151" s="1940"/>
      <c r="G1151" s="3007" t="s">
        <v>381</v>
      </c>
      <c r="H1151" s="3007"/>
      <c r="I1151" s="1937" t="e">
        <f>#REF!</f>
        <v>#REF!</v>
      </c>
      <c r="J1151" s="2090"/>
      <c r="K1151" s="2090" t="e">
        <f>I1151+J1151</f>
        <v>#REF!</v>
      </c>
      <c r="L1151" s="2878" t="e">
        <f>ROUND(K1151,1)</f>
        <v>#REF!</v>
      </c>
      <c r="M1151" s="2879"/>
      <c r="N1151" s="2082"/>
      <c r="O1151" s="2082" t="s">
        <v>3181</v>
      </c>
      <c r="P1151" s="2082"/>
      <c r="Q1151" s="2082"/>
      <c r="S1151" s="2082"/>
      <c r="T1151" s="2082"/>
    </row>
    <row r="1152" spans="1:20" s="137" customFormat="1" ht="13.5" hidden="1" customHeight="1">
      <c r="A1152" s="2097" t="s">
        <v>415</v>
      </c>
      <c r="B1152" s="2098" t="s">
        <v>637</v>
      </c>
      <c r="C1152" s="1940"/>
      <c r="D1152" s="1940"/>
      <c r="E1152" s="1940"/>
      <c r="F1152" s="1940"/>
      <c r="G1152" s="3007" t="s">
        <v>381</v>
      </c>
      <c r="H1152" s="3007"/>
      <c r="I1152" s="1937" t="e">
        <f>#REF!</f>
        <v>#REF!</v>
      </c>
      <c r="J1152" s="2090"/>
      <c r="K1152" s="2090" t="e">
        <f>I1152+J1152</f>
        <v>#REF!</v>
      </c>
      <c r="L1152" s="2878" t="e">
        <f>ROUND(K1152,1)</f>
        <v>#REF!</v>
      </c>
      <c r="M1152" s="2879"/>
      <c r="N1152" s="2082"/>
      <c r="O1152" s="2082" t="str">
        <f>O1151</f>
        <v>ODACT209</v>
      </c>
      <c r="P1152" s="2082"/>
      <c r="Q1152" s="2082"/>
      <c r="S1152" s="2082"/>
      <c r="T1152" s="2082"/>
    </row>
    <row r="1153" spans="1:20" s="137" customFormat="1" ht="13.5" hidden="1" customHeight="1">
      <c r="A1153" s="2097" t="s">
        <v>638</v>
      </c>
      <c r="B1153" s="2098" t="s">
        <v>639</v>
      </c>
      <c r="C1153" s="1940"/>
      <c r="D1153" s="1940"/>
      <c r="E1153" s="1940"/>
      <c r="F1153" s="1940"/>
      <c r="G1153" s="3007" t="s">
        <v>381</v>
      </c>
      <c r="H1153" s="3007"/>
      <c r="I1153" s="1937" t="e">
        <f>#REF!</f>
        <v>#REF!</v>
      </c>
      <c r="J1153" s="2090"/>
      <c r="K1153" s="2090" t="e">
        <f>I1153+J1153</f>
        <v>#REF!</v>
      </c>
      <c r="L1153" s="2878" t="e">
        <f>ROUND(K1153,1)</f>
        <v>#REF!</v>
      </c>
      <c r="M1153" s="2879"/>
      <c r="N1153" s="2082"/>
      <c r="O1153" s="2082" t="str">
        <f t="shared" ref="O1153:O1155" si="258">O1152</f>
        <v>ODACT209</v>
      </c>
      <c r="P1153" s="2082"/>
      <c r="Q1153" s="2082"/>
      <c r="S1153" s="2082"/>
      <c r="T1153" s="2082"/>
    </row>
    <row r="1154" spans="1:20" s="137" customFormat="1" ht="13.5" hidden="1" customHeight="1">
      <c r="A1154" s="2097" t="s">
        <v>640</v>
      </c>
      <c r="B1154" s="2098" t="s">
        <v>641</v>
      </c>
      <c r="C1154" s="1940"/>
      <c r="D1154" s="1940"/>
      <c r="E1154" s="1940"/>
      <c r="F1154" s="1940"/>
      <c r="G1154" s="3007" t="s">
        <v>381</v>
      </c>
      <c r="H1154" s="3007"/>
      <c r="I1154" s="1937" t="e">
        <f>#REF!</f>
        <v>#REF!</v>
      </c>
      <c r="J1154" s="2090"/>
      <c r="K1154" s="2090" t="e">
        <f>I1154+J1154</f>
        <v>#REF!</v>
      </c>
      <c r="L1154" s="2878" t="e">
        <f>ROUND(K1154,1)</f>
        <v>#REF!</v>
      </c>
      <c r="M1154" s="2879"/>
      <c r="N1154" s="2082"/>
      <c r="O1154" s="2082" t="str">
        <f t="shared" si="258"/>
        <v>ODACT209</v>
      </c>
      <c r="P1154" s="2082"/>
      <c r="Q1154" s="2082"/>
      <c r="S1154" s="2082"/>
      <c r="T1154" s="2082"/>
    </row>
    <row r="1155" spans="1:20" s="137" customFormat="1" ht="13.5" hidden="1" customHeight="1">
      <c r="A1155" s="2097" t="s">
        <v>642</v>
      </c>
      <c r="B1155" s="2098" t="s">
        <v>643</v>
      </c>
      <c r="C1155" s="1940"/>
      <c r="D1155" s="1940"/>
      <c r="E1155" s="1940"/>
      <c r="F1155" s="1940"/>
      <c r="G1155" s="3007" t="s">
        <v>381</v>
      </c>
      <c r="H1155" s="3007"/>
      <c r="I1155" s="1937" t="e">
        <f>#REF!</f>
        <v>#REF!</v>
      </c>
      <c r="J1155" s="2090"/>
      <c r="K1155" s="2090" t="e">
        <f>I1155+J1155</f>
        <v>#REF!</v>
      </c>
      <c r="L1155" s="2878" t="e">
        <f>ROUND(K1155,1)</f>
        <v>#REF!</v>
      </c>
      <c r="M1155" s="2879"/>
      <c r="N1155" s="2082"/>
      <c r="O1155" s="2082" t="str">
        <f t="shared" si="258"/>
        <v>ODACT209</v>
      </c>
      <c r="P1155" s="2082"/>
      <c r="Q1155" s="2082"/>
      <c r="S1155" s="2082"/>
      <c r="T1155" s="2082"/>
    </row>
    <row r="1156" spans="1:20" s="137" customFormat="1" ht="13.5" hidden="1" customHeight="1">
      <c r="A1156" s="2047" t="s">
        <v>648</v>
      </c>
      <c r="B1156" s="2080" t="s">
        <v>649</v>
      </c>
      <c r="C1156" s="1940"/>
      <c r="D1156" s="1940"/>
      <c r="E1156" s="1940"/>
      <c r="F1156" s="1940"/>
      <c r="G1156" s="3007"/>
      <c r="H1156" s="3007"/>
      <c r="I1156" s="1937"/>
      <c r="J1156" s="2090"/>
      <c r="K1156" s="2090"/>
      <c r="L1156" s="2092"/>
      <c r="M1156" s="2093"/>
      <c r="N1156" s="2082"/>
      <c r="O1156" s="2082"/>
      <c r="P1156" s="2082"/>
      <c r="Q1156" s="2082"/>
      <c r="S1156" s="2082"/>
      <c r="T1156" s="2082"/>
    </row>
    <row r="1157" spans="1:20" s="137" customFormat="1" ht="13.5" hidden="1" customHeight="1">
      <c r="A1157" s="2097" t="s">
        <v>413</v>
      </c>
      <c r="B1157" s="2098" t="s">
        <v>636</v>
      </c>
      <c r="C1157" s="1940"/>
      <c r="D1157" s="1940"/>
      <c r="E1157" s="1940"/>
      <c r="F1157" s="1940"/>
      <c r="G1157" s="3007" t="s">
        <v>381</v>
      </c>
      <c r="H1157" s="3007"/>
      <c r="I1157" s="1937" t="e">
        <f>#REF!</f>
        <v>#REF!</v>
      </c>
      <c r="J1157" s="2090"/>
      <c r="K1157" s="2090" t="e">
        <f>I1157+J1157</f>
        <v>#REF!</v>
      </c>
      <c r="L1157" s="2878" t="e">
        <f>ROUND(K1157,1)</f>
        <v>#REF!</v>
      </c>
      <c r="M1157" s="2879"/>
      <c r="N1157" s="2082"/>
      <c r="O1157" s="2082" t="s">
        <v>3182</v>
      </c>
      <c r="P1157" s="2082"/>
      <c r="Q1157" s="2082"/>
      <c r="S1157" s="2082"/>
      <c r="T1157" s="2082"/>
    </row>
    <row r="1158" spans="1:20" s="137" customFormat="1" ht="13.5" hidden="1" customHeight="1">
      <c r="A1158" s="2097" t="s">
        <v>415</v>
      </c>
      <c r="B1158" s="2098" t="s">
        <v>637</v>
      </c>
      <c r="C1158" s="1940"/>
      <c r="D1158" s="1940"/>
      <c r="E1158" s="1940"/>
      <c r="F1158" s="1940"/>
      <c r="G1158" s="3007" t="s">
        <v>381</v>
      </c>
      <c r="H1158" s="3007"/>
      <c r="I1158" s="1937" t="e">
        <f>#REF!</f>
        <v>#REF!</v>
      </c>
      <c r="J1158" s="2090"/>
      <c r="K1158" s="2090" t="e">
        <f>I1158+J1158</f>
        <v>#REF!</v>
      </c>
      <c r="L1158" s="2878" t="e">
        <f>ROUND(K1158,1)</f>
        <v>#REF!</v>
      </c>
      <c r="M1158" s="2879"/>
      <c r="N1158" s="2082"/>
      <c r="O1158" s="2082" t="str">
        <f>O1157</f>
        <v>ODACT210.</v>
      </c>
      <c r="P1158" s="2082"/>
      <c r="Q1158" s="2082"/>
      <c r="S1158" s="2082"/>
      <c r="T1158" s="2082"/>
    </row>
    <row r="1159" spans="1:20" s="137" customFormat="1" ht="13.5" hidden="1" customHeight="1">
      <c r="A1159" s="2097" t="s">
        <v>638</v>
      </c>
      <c r="B1159" s="2098" t="s">
        <v>639</v>
      </c>
      <c r="C1159" s="1940"/>
      <c r="D1159" s="1940"/>
      <c r="E1159" s="1940"/>
      <c r="F1159" s="1940"/>
      <c r="G1159" s="3007" t="s">
        <v>381</v>
      </c>
      <c r="H1159" s="3007"/>
      <c r="I1159" s="1937" t="e">
        <f>#REF!</f>
        <v>#REF!</v>
      </c>
      <c r="J1159" s="2090"/>
      <c r="K1159" s="2090" t="e">
        <f>I1159+J1159</f>
        <v>#REF!</v>
      </c>
      <c r="L1159" s="2878" t="e">
        <f>ROUND(K1159,1)</f>
        <v>#REF!</v>
      </c>
      <c r="M1159" s="2879"/>
      <c r="N1159" s="2082"/>
      <c r="O1159" s="2082" t="s">
        <v>3182</v>
      </c>
      <c r="P1159" s="2082"/>
      <c r="Q1159" s="2082"/>
      <c r="S1159" s="2082"/>
      <c r="T1159" s="2082"/>
    </row>
    <row r="1160" spans="1:20" s="137" customFormat="1" ht="13.5" hidden="1" customHeight="1">
      <c r="A1160" s="2097" t="s">
        <v>640</v>
      </c>
      <c r="B1160" s="2098" t="s">
        <v>641</v>
      </c>
      <c r="C1160" s="1940"/>
      <c r="D1160" s="1940"/>
      <c r="E1160" s="1940"/>
      <c r="F1160" s="1940"/>
      <c r="G1160" s="3007" t="s">
        <v>381</v>
      </c>
      <c r="H1160" s="3007"/>
      <c r="I1160" s="1937" t="e">
        <f>#REF!</f>
        <v>#REF!</v>
      </c>
      <c r="J1160" s="2090"/>
      <c r="K1160" s="2090" t="e">
        <f>I1160+J1160</f>
        <v>#REF!</v>
      </c>
      <c r="L1160" s="2878" t="e">
        <f>ROUND(K1160,1)</f>
        <v>#REF!</v>
      </c>
      <c r="M1160" s="2879"/>
      <c r="N1160" s="2082"/>
      <c r="O1160" s="2082" t="str">
        <f t="shared" ref="O1160" si="259">O1159</f>
        <v>ODACT210.</v>
      </c>
      <c r="P1160" s="2082"/>
      <c r="Q1160" s="2082"/>
      <c r="S1160" s="2082"/>
      <c r="T1160" s="2082"/>
    </row>
    <row r="1161" spans="1:20" s="137" customFormat="1" ht="13.5" hidden="1" customHeight="1">
      <c r="A1161" s="2097" t="s">
        <v>642</v>
      </c>
      <c r="B1161" s="2098" t="s">
        <v>643</v>
      </c>
      <c r="C1161" s="1940"/>
      <c r="D1161" s="1940"/>
      <c r="E1161" s="1940"/>
      <c r="F1161" s="1940"/>
      <c r="G1161" s="3007" t="s">
        <v>381</v>
      </c>
      <c r="H1161" s="3007"/>
      <c r="I1161" s="1937" t="e">
        <f>#REF!</f>
        <v>#REF!</v>
      </c>
      <c r="J1161" s="2090"/>
      <c r="K1161" s="2090" t="e">
        <f>I1161+J1161</f>
        <v>#REF!</v>
      </c>
      <c r="L1161" s="2878" t="e">
        <f>ROUND(K1161,1)</f>
        <v>#REF!</v>
      </c>
      <c r="M1161" s="2879"/>
      <c r="N1161" s="2082"/>
      <c r="O1161" s="2082" t="s">
        <v>3182</v>
      </c>
      <c r="P1161" s="2082"/>
      <c r="Q1161" s="2082"/>
      <c r="S1161" s="2082"/>
      <c r="T1161" s="2082"/>
    </row>
    <row r="1162" spans="1:20" s="137" customFormat="1" ht="13.5" hidden="1" customHeight="1">
      <c r="A1162" s="2047" t="s">
        <v>650</v>
      </c>
      <c r="B1162" s="2080" t="s">
        <v>651</v>
      </c>
      <c r="C1162" s="1940"/>
      <c r="D1162" s="1940"/>
      <c r="E1162" s="1940"/>
      <c r="F1162" s="1940"/>
      <c r="G1162" s="3007"/>
      <c r="H1162" s="3007"/>
      <c r="I1162" s="1937"/>
      <c r="J1162" s="2090"/>
      <c r="K1162" s="2090"/>
      <c r="L1162" s="2092"/>
      <c r="M1162" s="2093"/>
      <c r="N1162" s="2082"/>
      <c r="O1162" s="2082"/>
      <c r="P1162" s="2082"/>
      <c r="Q1162" s="2082"/>
      <c r="S1162" s="2082"/>
      <c r="T1162" s="2082"/>
    </row>
    <row r="1163" spans="1:20" s="137" customFormat="1" ht="13.5" hidden="1" customHeight="1">
      <c r="A1163" s="2097" t="s">
        <v>413</v>
      </c>
      <c r="B1163" s="2098" t="s">
        <v>636</v>
      </c>
      <c r="C1163" s="1940"/>
      <c r="D1163" s="1940"/>
      <c r="E1163" s="1940"/>
      <c r="F1163" s="1940"/>
      <c r="G1163" s="3007" t="s">
        <v>381</v>
      </c>
      <c r="H1163" s="3007"/>
      <c r="I1163" s="1937" t="e">
        <f>#REF!</f>
        <v>#REF!</v>
      </c>
      <c r="J1163" s="2090"/>
      <c r="K1163" s="2090" t="e">
        <f>I1163+J1163</f>
        <v>#REF!</v>
      </c>
      <c r="L1163" s="2878" t="e">
        <f>ROUND(K1163,1)</f>
        <v>#REF!</v>
      </c>
      <c r="M1163" s="2879"/>
      <c r="N1163" s="2082"/>
      <c r="O1163" s="2082" t="s">
        <v>3183</v>
      </c>
      <c r="P1163" s="2082"/>
      <c r="Q1163" s="2082"/>
      <c r="S1163" s="2082"/>
      <c r="T1163" s="2082"/>
    </row>
    <row r="1164" spans="1:20" s="137" customFormat="1" ht="13.5" hidden="1" customHeight="1">
      <c r="A1164" s="2097" t="s">
        <v>415</v>
      </c>
      <c r="B1164" s="2098" t="s">
        <v>637</v>
      </c>
      <c r="C1164" s="1940"/>
      <c r="D1164" s="1940"/>
      <c r="E1164" s="1940"/>
      <c r="F1164" s="1940"/>
      <c r="G1164" s="3007" t="s">
        <v>381</v>
      </c>
      <c r="H1164" s="3007"/>
      <c r="I1164" s="1937" t="e">
        <f>#REF!</f>
        <v>#REF!</v>
      </c>
      <c r="J1164" s="2090"/>
      <c r="K1164" s="2090" t="e">
        <f>I1164+J1164</f>
        <v>#REF!</v>
      </c>
      <c r="L1164" s="2878" t="e">
        <f>ROUND(K1164,1)</f>
        <v>#REF!</v>
      </c>
      <c r="M1164" s="2879"/>
      <c r="N1164" s="2082"/>
      <c r="O1164" s="2082" t="str">
        <f>O1163</f>
        <v>ODACT211</v>
      </c>
      <c r="P1164" s="2082"/>
      <c r="Q1164" s="2082"/>
      <c r="S1164" s="2082"/>
      <c r="T1164" s="2082"/>
    </row>
    <row r="1165" spans="1:20" s="137" customFormat="1" ht="13.5" hidden="1" customHeight="1">
      <c r="A1165" s="2097" t="s">
        <v>638</v>
      </c>
      <c r="B1165" s="2098" t="s">
        <v>639</v>
      </c>
      <c r="C1165" s="1940"/>
      <c r="D1165" s="1940"/>
      <c r="E1165" s="1940"/>
      <c r="F1165" s="1940"/>
      <c r="G1165" s="3007" t="s">
        <v>381</v>
      </c>
      <c r="H1165" s="3007"/>
      <c r="I1165" s="1937" t="e">
        <f>#REF!</f>
        <v>#REF!</v>
      </c>
      <c r="J1165" s="2090"/>
      <c r="K1165" s="2090" t="e">
        <f>I1165+J1165</f>
        <v>#REF!</v>
      </c>
      <c r="L1165" s="2878" t="e">
        <f>ROUND(K1165,1)</f>
        <v>#REF!</v>
      </c>
      <c r="M1165" s="2879"/>
      <c r="N1165" s="2082"/>
      <c r="O1165" s="2082" t="str">
        <f t="shared" ref="O1165:O1167" si="260">O1164</f>
        <v>ODACT211</v>
      </c>
      <c r="P1165" s="2082"/>
      <c r="Q1165" s="2082"/>
      <c r="S1165" s="2082"/>
      <c r="T1165" s="2082"/>
    </row>
    <row r="1166" spans="1:20" s="137" customFormat="1" ht="13.5" hidden="1" customHeight="1">
      <c r="A1166" s="2097" t="s">
        <v>640</v>
      </c>
      <c r="B1166" s="2098" t="s">
        <v>641</v>
      </c>
      <c r="C1166" s="1940"/>
      <c r="D1166" s="1940"/>
      <c r="E1166" s="1940"/>
      <c r="F1166" s="1940"/>
      <c r="G1166" s="3007" t="s">
        <v>381</v>
      </c>
      <c r="H1166" s="3007"/>
      <c r="I1166" s="1937" t="e">
        <f>#REF!</f>
        <v>#REF!</v>
      </c>
      <c r="J1166" s="2090"/>
      <c r="K1166" s="2090" t="e">
        <f>I1166+J1166</f>
        <v>#REF!</v>
      </c>
      <c r="L1166" s="2878" t="e">
        <f>ROUND(K1166,1)</f>
        <v>#REF!</v>
      </c>
      <c r="M1166" s="2879"/>
      <c r="N1166" s="2082"/>
      <c r="O1166" s="2082" t="str">
        <f t="shared" si="260"/>
        <v>ODACT211</v>
      </c>
      <c r="P1166" s="2082"/>
      <c r="Q1166" s="2082"/>
      <c r="S1166" s="2082"/>
      <c r="T1166" s="2082"/>
    </row>
    <row r="1167" spans="1:20" s="137" customFormat="1" ht="13.5" hidden="1" customHeight="1">
      <c r="A1167" s="2097" t="s">
        <v>642</v>
      </c>
      <c r="B1167" s="2098" t="s">
        <v>643</v>
      </c>
      <c r="C1167" s="1940"/>
      <c r="D1167" s="1940"/>
      <c r="E1167" s="1940"/>
      <c r="F1167" s="1940"/>
      <c r="G1167" s="3007" t="s">
        <v>381</v>
      </c>
      <c r="H1167" s="3007"/>
      <c r="I1167" s="1937" t="e">
        <f>#REF!</f>
        <v>#REF!</v>
      </c>
      <c r="J1167" s="2090"/>
      <c r="K1167" s="2090" t="e">
        <f>I1167+J1167</f>
        <v>#REF!</v>
      </c>
      <c r="L1167" s="2878" t="e">
        <f>ROUND(K1167,1)</f>
        <v>#REF!</v>
      </c>
      <c r="M1167" s="2879"/>
      <c r="N1167" s="2082"/>
      <c r="O1167" s="2082" t="str">
        <f t="shared" si="260"/>
        <v>ODACT211</v>
      </c>
      <c r="P1167" s="2082"/>
      <c r="Q1167" s="2082"/>
      <c r="S1167" s="2082"/>
      <c r="T1167" s="2082"/>
    </row>
    <row r="1168" spans="1:20" s="137" customFormat="1" ht="13.5" hidden="1" customHeight="1">
      <c r="A1168" s="2047" t="s">
        <v>652</v>
      </c>
      <c r="B1168" s="2080" t="s">
        <v>653</v>
      </c>
      <c r="C1168" s="1940"/>
      <c r="D1168" s="1940"/>
      <c r="E1168" s="1940"/>
      <c r="F1168" s="1940"/>
      <c r="G1168" s="3007"/>
      <c r="H1168" s="3007"/>
      <c r="I1168" s="1937"/>
      <c r="J1168" s="2090"/>
      <c r="K1168" s="2090"/>
      <c r="L1168" s="2092"/>
      <c r="M1168" s="2093"/>
      <c r="N1168" s="2082"/>
      <c r="O1168" s="2082"/>
      <c r="P1168" s="2082"/>
      <c r="Q1168" s="2082"/>
      <c r="S1168" s="2082"/>
      <c r="T1168" s="2082"/>
    </row>
    <row r="1169" spans="1:20" s="137" customFormat="1" ht="13.5" hidden="1" customHeight="1">
      <c r="A1169" s="2097" t="s">
        <v>413</v>
      </c>
      <c r="B1169" s="2098" t="s">
        <v>636</v>
      </c>
      <c r="C1169" s="1940"/>
      <c r="D1169" s="1940"/>
      <c r="E1169" s="1940"/>
      <c r="F1169" s="1940"/>
      <c r="G1169" s="3007" t="s">
        <v>381</v>
      </c>
      <c r="H1169" s="3007"/>
      <c r="I1169" s="1937" t="e">
        <f>#REF!</f>
        <v>#REF!</v>
      </c>
      <c r="J1169" s="2090"/>
      <c r="K1169" s="2090" t="e">
        <f>I1169+J1169</f>
        <v>#REF!</v>
      </c>
      <c r="L1169" s="2878" t="e">
        <f>ROUND(K1169,1)</f>
        <v>#REF!</v>
      </c>
      <c r="M1169" s="2879"/>
      <c r="N1169" s="2082"/>
      <c r="O1169" s="2082" t="s">
        <v>3184</v>
      </c>
      <c r="P1169" s="2082"/>
      <c r="Q1169" s="2082"/>
      <c r="S1169" s="2082"/>
      <c r="T1169" s="2082"/>
    </row>
    <row r="1170" spans="1:20" s="137" customFormat="1" ht="13.5" hidden="1" customHeight="1">
      <c r="A1170" s="2097" t="s">
        <v>415</v>
      </c>
      <c r="B1170" s="2098" t="s">
        <v>637</v>
      </c>
      <c r="C1170" s="1940"/>
      <c r="D1170" s="1940"/>
      <c r="E1170" s="1940"/>
      <c r="F1170" s="1940"/>
      <c r="G1170" s="3007" t="s">
        <v>381</v>
      </c>
      <c r="H1170" s="3007"/>
      <c r="I1170" s="1937" t="e">
        <f>#REF!</f>
        <v>#REF!</v>
      </c>
      <c r="J1170" s="2090"/>
      <c r="K1170" s="2090" t="e">
        <f>I1170+J1170</f>
        <v>#REF!</v>
      </c>
      <c r="L1170" s="2878" t="e">
        <f>ROUND(K1170,1)</f>
        <v>#REF!</v>
      </c>
      <c r="M1170" s="2879"/>
      <c r="N1170" s="2082"/>
      <c r="O1170" s="2082" t="str">
        <f>O1169</f>
        <v>ODACT212</v>
      </c>
      <c r="P1170" s="2082"/>
      <c r="Q1170" s="2082"/>
      <c r="S1170" s="2082"/>
      <c r="T1170" s="2082"/>
    </row>
    <row r="1171" spans="1:20" s="137" customFormat="1" ht="13.5" hidden="1" customHeight="1">
      <c r="A1171" s="2097" t="s">
        <v>638</v>
      </c>
      <c r="B1171" s="2098" t="s">
        <v>639</v>
      </c>
      <c r="C1171" s="1940"/>
      <c r="D1171" s="1940"/>
      <c r="E1171" s="1940"/>
      <c r="F1171" s="1940"/>
      <c r="G1171" s="3007" t="s">
        <v>381</v>
      </c>
      <c r="H1171" s="3007"/>
      <c r="I1171" s="1937" t="e">
        <f>#REF!</f>
        <v>#REF!</v>
      </c>
      <c r="J1171" s="2090"/>
      <c r="K1171" s="2090" t="e">
        <f>I1171+J1171</f>
        <v>#REF!</v>
      </c>
      <c r="L1171" s="2878" t="e">
        <f>ROUND(K1171,1)</f>
        <v>#REF!</v>
      </c>
      <c r="M1171" s="2879"/>
      <c r="N1171" s="2082"/>
      <c r="O1171" s="2082" t="str">
        <f t="shared" ref="O1171:O1173" si="261">O1170</f>
        <v>ODACT212</v>
      </c>
      <c r="P1171" s="2082"/>
      <c r="Q1171" s="2082"/>
      <c r="S1171" s="2082"/>
      <c r="T1171" s="2082"/>
    </row>
    <row r="1172" spans="1:20" s="137" customFormat="1" ht="13.5" hidden="1" customHeight="1">
      <c r="A1172" s="2097" t="s">
        <v>640</v>
      </c>
      <c r="B1172" s="2098" t="s">
        <v>641</v>
      </c>
      <c r="C1172" s="1940"/>
      <c r="D1172" s="1940"/>
      <c r="E1172" s="1940"/>
      <c r="F1172" s="1940"/>
      <c r="G1172" s="3007" t="s">
        <v>381</v>
      </c>
      <c r="H1172" s="3007"/>
      <c r="I1172" s="1937" t="e">
        <f>#REF!</f>
        <v>#REF!</v>
      </c>
      <c r="J1172" s="2090"/>
      <c r="K1172" s="2090" t="e">
        <f>I1172+J1172</f>
        <v>#REF!</v>
      </c>
      <c r="L1172" s="2878" t="e">
        <f>ROUND(K1172,1)</f>
        <v>#REF!</v>
      </c>
      <c r="M1172" s="2879"/>
      <c r="N1172" s="2082"/>
      <c r="O1172" s="2082" t="str">
        <f t="shared" si="261"/>
        <v>ODACT212</v>
      </c>
      <c r="P1172" s="2082"/>
      <c r="Q1172" s="2082"/>
      <c r="S1172" s="2082"/>
      <c r="T1172" s="2082"/>
    </row>
    <row r="1173" spans="1:20" s="137" customFormat="1" ht="13.5" hidden="1" customHeight="1">
      <c r="A1173" s="2097" t="s">
        <v>642</v>
      </c>
      <c r="B1173" s="2098" t="s">
        <v>643</v>
      </c>
      <c r="C1173" s="1940"/>
      <c r="D1173" s="1940"/>
      <c r="E1173" s="1940"/>
      <c r="F1173" s="1940"/>
      <c r="G1173" s="3007" t="s">
        <v>381</v>
      </c>
      <c r="H1173" s="3007"/>
      <c r="I1173" s="1937" t="e">
        <f>#REF!</f>
        <v>#REF!</v>
      </c>
      <c r="J1173" s="2090"/>
      <c r="K1173" s="2090" t="e">
        <f>I1173+J1173</f>
        <v>#REF!</v>
      </c>
      <c r="L1173" s="2878" t="e">
        <f>ROUND(K1173,1)</f>
        <v>#REF!</v>
      </c>
      <c r="M1173" s="2879"/>
      <c r="N1173" s="2082"/>
      <c r="O1173" s="2082" t="str">
        <f t="shared" si="261"/>
        <v>ODACT212</v>
      </c>
      <c r="P1173" s="2082"/>
      <c r="Q1173" s="2082"/>
      <c r="S1173" s="2082"/>
      <c r="T1173" s="2082"/>
    </row>
    <row r="1174" spans="1:20" s="137" customFormat="1" ht="13.5" hidden="1" customHeight="1">
      <c r="A1174" s="2047" t="s">
        <v>654</v>
      </c>
      <c r="B1174" s="2080" t="s">
        <v>655</v>
      </c>
      <c r="C1174" s="1940"/>
      <c r="D1174" s="1940"/>
      <c r="E1174" s="1940"/>
      <c r="F1174" s="1940"/>
      <c r="G1174" s="3007"/>
      <c r="H1174" s="3007"/>
      <c r="I1174" s="1937"/>
      <c r="J1174" s="2090"/>
      <c r="K1174" s="2090"/>
      <c r="L1174" s="2092"/>
      <c r="M1174" s="2093"/>
      <c r="N1174" s="2082"/>
      <c r="O1174" s="2082"/>
      <c r="P1174" s="2082"/>
      <c r="Q1174" s="2082"/>
      <c r="S1174" s="2082"/>
      <c r="T1174" s="2082"/>
    </row>
    <row r="1175" spans="1:20" s="137" customFormat="1" ht="13.5" hidden="1" customHeight="1">
      <c r="A1175" s="2097" t="s">
        <v>413</v>
      </c>
      <c r="B1175" s="2098" t="s">
        <v>636</v>
      </c>
      <c r="C1175" s="1940"/>
      <c r="D1175" s="1940"/>
      <c r="E1175" s="1940"/>
      <c r="F1175" s="1940"/>
      <c r="G1175" s="3007" t="s">
        <v>381</v>
      </c>
      <c r="H1175" s="3007"/>
      <c r="I1175" s="1937" t="e">
        <f>#REF!</f>
        <v>#REF!</v>
      </c>
      <c r="J1175" s="2090"/>
      <c r="K1175" s="2090" t="e">
        <f>I1175+J1175</f>
        <v>#REF!</v>
      </c>
      <c r="L1175" s="2878" t="e">
        <f>ROUND(K1175,1)</f>
        <v>#REF!</v>
      </c>
      <c r="M1175" s="2879"/>
      <c r="N1175" s="2082"/>
      <c r="O1175" s="2082" t="s">
        <v>3185</v>
      </c>
      <c r="P1175" s="2082"/>
      <c r="Q1175" s="2082"/>
      <c r="S1175" s="2082"/>
      <c r="T1175" s="2082"/>
    </row>
    <row r="1176" spans="1:20" s="137" customFormat="1" ht="13.5" hidden="1" customHeight="1">
      <c r="A1176" s="2097" t="s">
        <v>415</v>
      </c>
      <c r="B1176" s="2098" t="s">
        <v>637</v>
      </c>
      <c r="C1176" s="1940"/>
      <c r="D1176" s="1940"/>
      <c r="E1176" s="1940"/>
      <c r="F1176" s="1940"/>
      <c r="G1176" s="3007" t="s">
        <v>381</v>
      </c>
      <c r="H1176" s="3007"/>
      <c r="I1176" s="1937" t="e">
        <f>#REF!</f>
        <v>#REF!</v>
      </c>
      <c r="J1176" s="2090"/>
      <c r="K1176" s="2090" t="e">
        <f>I1176+J1176</f>
        <v>#REF!</v>
      </c>
      <c r="L1176" s="2878" t="e">
        <f>ROUND(K1176,1)</f>
        <v>#REF!</v>
      </c>
      <c r="M1176" s="2879"/>
      <c r="N1176" s="2082"/>
      <c r="O1176" s="2082" t="str">
        <f>O1175</f>
        <v>ODACT213</v>
      </c>
      <c r="P1176" s="2082"/>
      <c r="Q1176" s="2082"/>
      <c r="S1176" s="2082"/>
      <c r="T1176" s="2082"/>
    </row>
    <row r="1177" spans="1:20" s="137" customFormat="1" ht="13.5" hidden="1" customHeight="1">
      <c r="A1177" s="2097" t="s">
        <v>638</v>
      </c>
      <c r="B1177" s="2098" t="s">
        <v>639</v>
      </c>
      <c r="C1177" s="1940"/>
      <c r="D1177" s="1940"/>
      <c r="E1177" s="1940"/>
      <c r="F1177" s="1940"/>
      <c r="G1177" s="3007" t="s">
        <v>381</v>
      </c>
      <c r="H1177" s="3007"/>
      <c r="I1177" s="1937" t="e">
        <f>#REF!</f>
        <v>#REF!</v>
      </c>
      <c r="J1177" s="2090"/>
      <c r="K1177" s="2090" t="e">
        <f>I1177+J1177</f>
        <v>#REF!</v>
      </c>
      <c r="L1177" s="2878" t="e">
        <f>ROUND(K1177,1)</f>
        <v>#REF!</v>
      </c>
      <c r="M1177" s="2879"/>
      <c r="N1177" s="2082"/>
      <c r="O1177" s="2082" t="str">
        <f t="shared" ref="O1177:O1179" si="262">O1176</f>
        <v>ODACT213</v>
      </c>
      <c r="P1177" s="2082"/>
      <c r="Q1177" s="2082"/>
      <c r="S1177" s="2082"/>
      <c r="T1177" s="2082"/>
    </row>
    <row r="1178" spans="1:20" s="137" customFormat="1" ht="13.5" hidden="1" customHeight="1">
      <c r="A1178" s="2097" t="s">
        <v>640</v>
      </c>
      <c r="B1178" s="2098" t="s">
        <v>641</v>
      </c>
      <c r="C1178" s="1940"/>
      <c r="D1178" s="1940"/>
      <c r="E1178" s="1940"/>
      <c r="F1178" s="1940"/>
      <c r="G1178" s="3007" t="s">
        <v>381</v>
      </c>
      <c r="H1178" s="3007"/>
      <c r="I1178" s="1937" t="e">
        <f>#REF!</f>
        <v>#REF!</v>
      </c>
      <c r="J1178" s="2090"/>
      <c r="K1178" s="2090" t="e">
        <f>I1178+J1178</f>
        <v>#REF!</v>
      </c>
      <c r="L1178" s="2878" t="e">
        <f>ROUND(K1178,1)</f>
        <v>#REF!</v>
      </c>
      <c r="M1178" s="2879"/>
      <c r="N1178" s="2082"/>
      <c r="O1178" s="2082" t="str">
        <f t="shared" si="262"/>
        <v>ODACT213</v>
      </c>
      <c r="P1178" s="2082"/>
      <c r="Q1178" s="2082"/>
      <c r="S1178" s="2082"/>
      <c r="T1178" s="2082"/>
    </row>
    <row r="1179" spans="1:20" s="137" customFormat="1" ht="13.5" hidden="1" customHeight="1">
      <c r="A1179" s="2097" t="s">
        <v>642</v>
      </c>
      <c r="B1179" s="2098" t="s">
        <v>643</v>
      </c>
      <c r="C1179" s="1940"/>
      <c r="D1179" s="1940"/>
      <c r="E1179" s="1940"/>
      <c r="F1179" s="1940"/>
      <c r="G1179" s="3007" t="s">
        <v>381</v>
      </c>
      <c r="H1179" s="3007"/>
      <c r="I1179" s="1937" t="e">
        <f>#REF!</f>
        <v>#REF!</v>
      </c>
      <c r="J1179" s="2090"/>
      <c r="K1179" s="2090" t="e">
        <f>I1179+J1179</f>
        <v>#REF!</v>
      </c>
      <c r="L1179" s="2878" t="e">
        <f>ROUND(K1179,1)</f>
        <v>#REF!</v>
      </c>
      <c r="M1179" s="2879"/>
      <c r="N1179" s="2082"/>
      <c r="O1179" s="2082" t="str">
        <f t="shared" si="262"/>
        <v>ODACT213</v>
      </c>
      <c r="P1179" s="2082"/>
      <c r="Q1179" s="2082"/>
      <c r="S1179" s="2082"/>
      <c r="T1179" s="2082"/>
    </row>
    <row r="1180" spans="1:20" s="137" customFormat="1" ht="13.5" hidden="1" customHeight="1">
      <c r="A1180" s="2047" t="s">
        <v>656</v>
      </c>
      <c r="B1180" s="2080" t="s">
        <v>657</v>
      </c>
      <c r="C1180" s="1940"/>
      <c r="D1180" s="1940"/>
      <c r="E1180" s="1940"/>
      <c r="F1180" s="1940"/>
      <c r="G1180" s="3007"/>
      <c r="H1180" s="3007"/>
      <c r="I1180" s="1937"/>
      <c r="J1180" s="2090"/>
      <c r="K1180" s="2090"/>
      <c r="L1180" s="2092"/>
      <c r="M1180" s="2093"/>
      <c r="N1180" s="2082"/>
      <c r="O1180" s="2082"/>
      <c r="P1180" s="2082"/>
      <c r="Q1180" s="2082"/>
      <c r="S1180" s="2082"/>
      <c r="T1180" s="2082"/>
    </row>
    <row r="1181" spans="1:20" s="137" customFormat="1" ht="13.5" hidden="1" customHeight="1">
      <c r="A1181" s="2097" t="s">
        <v>413</v>
      </c>
      <c r="B1181" s="2098" t="s">
        <v>636</v>
      </c>
      <c r="C1181" s="1940"/>
      <c r="D1181" s="1940"/>
      <c r="E1181" s="1940"/>
      <c r="F1181" s="1940"/>
      <c r="G1181" s="3007" t="s">
        <v>381</v>
      </c>
      <c r="H1181" s="3007"/>
      <c r="I1181" s="1937" t="e">
        <f>#REF!</f>
        <v>#REF!</v>
      </c>
      <c r="J1181" s="2090"/>
      <c r="K1181" s="2090" t="e">
        <f>I1181+J1181</f>
        <v>#REF!</v>
      </c>
      <c r="L1181" s="2878" t="e">
        <f>ROUND(K1181,1)</f>
        <v>#REF!</v>
      </c>
      <c r="M1181" s="2879"/>
      <c r="N1181" s="2082"/>
      <c r="O1181" s="2082" t="s">
        <v>3186</v>
      </c>
      <c r="P1181" s="2082"/>
      <c r="Q1181" s="2082"/>
      <c r="S1181" s="2082"/>
      <c r="T1181" s="2082"/>
    </row>
    <row r="1182" spans="1:20" s="137" customFormat="1" ht="13.5" hidden="1" customHeight="1">
      <c r="A1182" s="2097" t="s">
        <v>415</v>
      </c>
      <c r="B1182" s="2098" t="s">
        <v>637</v>
      </c>
      <c r="C1182" s="1940"/>
      <c r="D1182" s="1940"/>
      <c r="E1182" s="1940"/>
      <c r="F1182" s="1940"/>
      <c r="G1182" s="3007" t="s">
        <v>381</v>
      </c>
      <c r="H1182" s="3007"/>
      <c r="I1182" s="1937" t="e">
        <f>#REF!</f>
        <v>#REF!</v>
      </c>
      <c r="J1182" s="2090"/>
      <c r="K1182" s="2090" t="e">
        <f>I1182+J1182</f>
        <v>#REF!</v>
      </c>
      <c r="L1182" s="2878" t="e">
        <f>ROUND(K1182,1)</f>
        <v>#REF!</v>
      </c>
      <c r="M1182" s="2879"/>
      <c r="N1182" s="2082"/>
      <c r="O1182" s="2082" t="str">
        <f>O1181</f>
        <v>ODACT214</v>
      </c>
      <c r="P1182" s="2082"/>
      <c r="Q1182" s="2082"/>
      <c r="S1182" s="2082"/>
      <c r="T1182" s="2082"/>
    </row>
    <row r="1183" spans="1:20" s="137" customFormat="1" ht="13.5" hidden="1" customHeight="1">
      <c r="A1183" s="2097" t="s">
        <v>638</v>
      </c>
      <c r="B1183" s="2098" t="s">
        <v>639</v>
      </c>
      <c r="C1183" s="1940"/>
      <c r="D1183" s="1940"/>
      <c r="E1183" s="1940"/>
      <c r="F1183" s="1940"/>
      <c r="G1183" s="3007" t="s">
        <v>381</v>
      </c>
      <c r="H1183" s="3007"/>
      <c r="I1183" s="1937" t="e">
        <f>#REF!</f>
        <v>#REF!</v>
      </c>
      <c r="J1183" s="2090"/>
      <c r="K1183" s="2090" t="e">
        <f>I1183+J1183</f>
        <v>#REF!</v>
      </c>
      <c r="L1183" s="2878" t="e">
        <f>ROUND(K1183,1)</f>
        <v>#REF!</v>
      </c>
      <c r="M1183" s="2879"/>
      <c r="N1183" s="2082"/>
      <c r="O1183" s="2082" t="str">
        <f t="shared" ref="O1183:O1185" si="263">O1182</f>
        <v>ODACT214</v>
      </c>
      <c r="P1183" s="2082"/>
      <c r="Q1183" s="2082"/>
      <c r="S1183" s="2082"/>
      <c r="T1183" s="2082"/>
    </row>
    <row r="1184" spans="1:20" s="137" customFormat="1" ht="13.5" hidden="1" customHeight="1">
      <c r="A1184" s="2097" t="s">
        <v>640</v>
      </c>
      <c r="B1184" s="2098" t="s">
        <v>641</v>
      </c>
      <c r="C1184" s="1940"/>
      <c r="D1184" s="1940"/>
      <c r="E1184" s="1940"/>
      <c r="F1184" s="1940"/>
      <c r="G1184" s="3007" t="s">
        <v>381</v>
      </c>
      <c r="H1184" s="3007"/>
      <c r="I1184" s="1937" t="e">
        <f>#REF!</f>
        <v>#REF!</v>
      </c>
      <c r="J1184" s="2090"/>
      <c r="K1184" s="2090" t="e">
        <f>I1184+J1184</f>
        <v>#REF!</v>
      </c>
      <c r="L1184" s="2878" t="e">
        <f>ROUND(K1184,1)</f>
        <v>#REF!</v>
      </c>
      <c r="M1184" s="2879"/>
      <c r="N1184" s="2082"/>
      <c r="O1184" s="2082" t="str">
        <f t="shared" si="263"/>
        <v>ODACT214</v>
      </c>
      <c r="P1184" s="2082"/>
      <c r="Q1184" s="2082"/>
      <c r="S1184" s="2082"/>
      <c r="T1184" s="2082"/>
    </row>
    <row r="1185" spans="1:20" s="137" customFormat="1" ht="13.5" hidden="1" customHeight="1">
      <c r="A1185" s="2097" t="s">
        <v>642</v>
      </c>
      <c r="B1185" s="2098" t="s">
        <v>643</v>
      </c>
      <c r="C1185" s="1940"/>
      <c r="D1185" s="1940"/>
      <c r="E1185" s="1940"/>
      <c r="F1185" s="1940"/>
      <c r="G1185" s="3007" t="s">
        <v>381</v>
      </c>
      <c r="H1185" s="3007"/>
      <c r="I1185" s="1937" t="e">
        <f>#REF!</f>
        <v>#REF!</v>
      </c>
      <c r="J1185" s="2090"/>
      <c r="K1185" s="2090" t="e">
        <f>I1185+J1185</f>
        <v>#REF!</v>
      </c>
      <c r="L1185" s="2878" t="e">
        <f>ROUND(K1185,1)</f>
        <v>#REF!</v>
      </c>
      <c r="M1185" s="2879"/>
      <c r="N1185" s="2082"/>
      <c r="O1185" s="2082" t="str">
        <f t="shared" si="263"/>
        <v>ODACT214</v>
      </c>
      <c r="P1185" s="2082"/>
      <c r="Q1185" s="2082"/>
      <c r="S1185" s="2082"/>
      <c r="T1185" s="2082"/>
    </row>
    <row r="1186" spans="1:20" s="137" customFormat="1" ht="13.5" hidden="1" customHeight="1">
      <c r="A1186" s="2047"/>
      <c r="B1186" s="1935"/>
      <c r="C1186" s="1940"/>
      <c r="D1186" s="1940"/>
      <c r="E1186" s="1940"/>
      <c r="F1186" s="1940"/>
      <c r="G1186" s="2078"/>
      <c r="H1186" s="2078"/>
      <c r="I1186" s="1937"/>
      <c r="J1186" s="2090"/>
      <c r="K1186" s="2090"/>
      <c r="L1186" s="2092"/>
      <c r="M1186" s="2093"/>
      <c r="N1186" s="2082"/>
      <c r="O1186" s="2082"/>
      <c r="P1186" s="2082"/>
      <c r="Q1186" s="2082"/>
      <c r="R1186" s="2082"/>
      <c r="S1186" s="2082"/>
      <c r="T1186" s="2082"/>
    </row>
    <row r="1187" spans="1:20" s="137" customFormat="1" ht="13.5" hidden="1" customHeight="1">
      <c r="A1187" s="2047">
        <f>A1137+1</f>
        <v>182</v>
      </c>
      <c r="B1187" s="1935" t="s">
        <v>658</v>
      </c>
      <c r="C1187" s="1940"/>
      <c r="D1187" s="1940"/>
      <c r="E1187" s="1940"/>
      <c r="F1187" s="1940"/>
      <c r="G1187" s="3007"/>
      <c r="H1187" s="3007"/>
      <c r="I1187" s="1937"/>
      <c r="J1187" s="2090"/>
      <c r="K1187" s="2090"/>
      <c r="L1187" s="2878"/>
      <c r="M1187" s="2879"/>
      <c r="N1187" s="2082"/>
      <c r="O1187" s="2082"/>
      <c r="P1187" s="2082"/>
      <c r="Q1187" s="2082"/>
      <c r="R1187" s="2082"/>
      <c r="S1187" s="2082"/>
      <c r="T1187" s="2082"/>
    </row>
    <row r="1188" spans="1:20" s="137" customFormat="1" ht="13.5" hidden="1" customHeight="1">
      <c r="A1188" s="2047" t="s">
        <v>634</v>
      </c>
      <c r="B1188" s="2080" t="s">
        <v>635</v>
      </c>
      <c r="C1188" s="1940"/>
      <c r="D1188" s="1940"/>
      <c r="E1188" s="1940"/>
      <c r="F1188" s="1940"/>
      <c r="G1188" s="3007"/>
      <c r="H1188" s="3007"/>
      <c r="I1188" s="1937"/>
      <c r="J1188" s="2090"/>
      <c r="K1188" s="2090"/>
      <c r="L1188" s="2878"/>
      <c r="M1188" s="2879"/>
      <c r="N1188" s="2082"/>
      <c r="O1188" s="2082"/>
      <c r="P1188" s="2082"/>
      <c r="Q1188" s="2082"/>
      <c r="R1188" s="2082"/>
      <c r="S1188" s="2082"/>
      <c r="T1188" s="2082"/>
    </row>
    <row r="1189" spans="1:20" s="137" customFormat="1" ht="13.5" hidden="1" customHeight="1">
      <c r="A1189" s="2047" t="s">
        <v>413</v>
      </c>
      <c r="B1189" s="1935" t="s">
        <v>659</v>
      </c>
      <c r="C1189" s="1940"/>
      <c r="D1189" s="1940"/>
      <c r="E1189" s="1940"/>
      <c r="F1189" s="1940"/>
      <c r="G1189" s="3007" t="s">
        <v>381</v>
      </c>
      <c r="H1189" s="3007"/>
      <c r="I1189" s="1937" t="e">
        <f>#REF!</f>
        <v>#REF!</v>
      </c>
      <c r="J1189" s="2090"/>
      <c r="K1189" s="2090" t="e">
        <f>I1189+J1189</f>
        <v>#REF!</v>
      </c>
      <c r="L1189" s="2878" t="e">
        <f>ROUND(K1189,1)</f>
        <v>#REF!</v>
      </c>
      <c r="M1189" s="2879"/>
      <c r="N1189" s="2082"/>
      <c r="O1189" s="2082"/>
      <c r="P1189" s="2082"/>
      <c r="Q1189" s="2082"/>
      <c r="R1189" s="2082"/>
      <c r="S1189" s="2082"/>
      <c r="T1189" s="2082"/>
    </row>
    <row r="1190" spans="1:20" s="137" customFormat="1" ht="13.5" hidden="1" customHeight="1">
      <c r="A1190" s="2047" t="s">
        <v>644</v>
      </c>
      <c r="B1190" s="2080" t="s">
        <v>645</v>
      </c>
      <c r="C1190" s="1940"/>
      <c r="D1190" s="1940"/>
      <c r="E1190" s="1940"/>
      <c r="F1190" s="1940"/>
      <c r="G1190" s="3007"/>
      <c r="H1190" s="3007"/>
      <c r="I1190" s="1937"/>
      <c r="J1190" s="2090"/>
      <c r="K1190" s="2090"/>
      <c r="L1190" s="2092"/>
      <c r="M1190" s="2093"/>
      <c r="N1190" s="2082"/>
      <c r="O1190" s="2082"/>
      <c r="P1190" s="2082"/>
      <c r="Q1190" s="2082"/>
      <c r="R1190" s="2082"/>
      <c r="S1190" s="2082"/>
      <c r="T1190" s="2082"/>
    </row>
    <row r="1191" spans="1:20" s="137" customFormat="1" ht="13.5" hidden="1" customHeight="1">
      <c r="A1191" s="2047" t="s">
        <v>413</v>
      </c>
      <c r="B1191" s="1935" t="str">
        <f>B1189</f>
        <v>i.Disintegrated Rock</v>
      </c>
      <c r="C1191" s="1940"/>
      <c r="D1191" s="1940"/>
      <c r="E1191" s="1940"/>
      <c r="F1191" s="1940"/>
      <c r="G1191" s="3007" t="s">
        <v>381</v>
      </c>
      <c r="H1191" s="3007"/>
      <c r="I1191" s="1937" t="e">
        <f>#REF!</f>
        <v>#REF!</v>
      </c>
      <c r="J1191" s="2090"/>
      <c r="K1191" s="2090" t="e">
        <f>I1191+J1191</f>
        <v>#REF!</v>
      </c>
      <c r="L1191" s="2878" t="e">
        <f>ROUND(K1191,1)</f>
        <v>#REF!</v>
      </c>
      <c r="M1191" s="2879"/>
      <c r="N1191" s="2082"/>
      <c r="O1191" s="2082"/>
      <c r="P1191" s="2082"/>
      <c r="Q1191" s="2082"/>
      <c r="R1191" s="2082"/>
      <c r="S1191" s="2082"/>
      <c r="T1191" s="2082"/>
    </row>
    <row r="1192" spans="1:20" s="137" customFormat="1" ht="13.5" hidden="1" customHeight="1">
      <c r="A1192" s="2047" t="s">
        <v>646</v>
      </c>
      <c r="B1192" s="2080" t="s">
        <v>660</v>
      </c>
      <c r="C1192" s="1940"/>
      <c r="D1192" s="1940"/>
      <c r="E1192" s="1940"/>
      <c r="F1192" s="1940"/>
      <c r="G1192" s="3007"/>
      <c r="H1192" s="3007"/>
      <c r="I1192" s="1937"/>
      <c r="J1192" s="2090"/>
      <c r="K1192" s="2090"/>
      <c r="L1192" s="2092"/>
      <c r="M1192" s="2093"/>
      <c r="N1192" s="2082"/>
      <c r="O1192" s="2082"/>
      <c r="P1192" s="2082"/>
      <c r="Q1192" s="2082"/>
      <c r="R1192" s="2082"/>
      <c r="S1192" s="2082"/>
      <c r="T1192" s="2082"/>
    </row>
    <row r="1193" spans="1:20" s="137" customFormat="1" ht="13.5" hidden="1" customHeight="1">
      <c r="A1193" s="2047" t="s">
        <v>413</v>
      </c>
      <c r="B1193" s="1935" t="str">
        <f>B1191</f>
        <v>i.Disintegrated Rock</v>
      </c>
      <c r="C1193" s="1940"/>
      <c r="D1193" s="1940"/>
      <c r="E1193" s="1940"/>
      <c r="F1193" s="1940"/>
      <c r="G1193" s="3007" t="s">
        <v>381</v>
      </c>
      <c r="H1193" s="3007"/>
      <c r="I1193" s="1937" t="e">
        <f>#REF!</f>
        <v>#REF!</v>
      </c>
      <c r="J1193" s="2090"/>
      <c r="K1193" s="2090" t="e">
        <f>I1193+J1193</f>
        <v>#REF!</v>
      </c>
      <c r="L1193" s="2878" t="e">
        <f>ROUND(K1193,1)</f>
        <v>#REF!</v>
      </c>
      <c r="M1193" s="2879"/>
      <c r="N1193" s="2082"/>
      <c r="O1193" s="2082"/>
      <c r="P1193" s="2082"/>
      <c r="Q1193" s="2082"/>
      <c r="R1193" s="2082"/>
      <c r="S1193" s="2082"/>
      <c r="T1193" s="2082"/>
    </row>
    <row r="1194" spans="1:20" s="137" customFormat="1" ht="13.5" hidden="1" customHeight="1">
      <c r="A1194" s="2047" t="s">
        <v>648</v>
      </c>
      <c r="B1194" s="2080" t="s">
        <v>649</v>
      </c>
      <c r="C1194" s="1940"/>
      <c r="D1194" s="1940"/>
      <c r="E1194" s="1940"/>
      <c r="F1194" s="1940"/>
      <c r="G1194" s="3007"/>
      <c r="H1194" s="3007"/>
      <c r="I1194" s="1937"/>
      <c r="J1194" s="2090"/>
      <c r="K1194" s="2090"/>
      <c r="L1194" s="2092"/>
      <c r="M1194" s="2093"/>
      <c r="N1194" s="2082"/>
      <c r="O1194" s="2082"/>
      <c r="P1194" s="2082"/>
      <c r="Q1194" s="2082"/>
      <c r="R1194" s="2082"/>
      <c r="S1194" s="2082"/>
      <c r="T1194" s="2082"/>
    </row>
    <row r="1195" spans="1:20" s="137" customFormat="1" ht="13.5" hidden="1" customHeight="1">
      <c r="A1195" s="2047" t="s">
        <v>413</v>
      </c>
      <c r="B1195" s="1935" t="str">
        <f>B1193</f>
        <v>i.Disintegrated Rock</v>
      </c>
      <c r="C1195" s="1940"/>
      <c r="D1195" s="1940"/>
      <c r="E1195" s="1940"/>
      <c r="F1195" s="1940"/>
      <c r="G1195" s="3007" t="s">
        <v>381</v>
      </c>
      <c r="H1195" s="3007"/>
      <c r="I1195" s="1937" t="e">
        <f>#REF!</f>
        <v>#REF!</v>
      </c>
      <c r="J1195" s="2090"/>
      <c r="K1195" s="2090" t="e">
        <f>I1195+J1195</f>
        <v>#REF!</v>
      </c>
      <c r="L1195" s="2878" t="e">
        <f>ROUND(K1195,1)</f>
        <v>#REF!</v>
      </c>
      <c r="M1195" s="2879"/>
      <c r="N1195" s="2082"/>
      <c r="O1195" s="2082"/>
      <c r="P1195" s="2082"/>
      <c r="Q1195" s="2082"/>
      <c r="R1195" s="2082"/>
      <c r="S1195" s="2082"/>
      <c r="T1195" s="2082"/>
    </row>
    <row r="1196" spans="1:20" s="137" customFormat="1" ht="13.5" hidden="1" customHeight="1">
      <c r="A1196" s="2047" t="s">
        <v>650</v>
      </c>
      <c r="B1196" s="2080" t="s">
        <v>651</v>
      </c>
      <c r="C1196" s="1940"/>
      <c r="D1196" s="1940"/>
      <c r="E1196" s="1940"/>
      <c r="F1196" s="1940"/>
      <c r="G1196" s="3007"/>
      <c r="H1196" s="3007"/>
      <c r="I1196" s="1937"/>
      <c r="J1196" s="2090"/>
      <c r="K1196" s="2090"/>
      <c r="L1196" s="2092"/>
      <c r="M1196" s="2093"/>
      <c r="N1196" s="2082"/>
      <c r="O1196" s="2082"/>
      <c r="P1196" s="2082"/>
      <c r="Q1196" s="2082"/>
      <c r="R1196" s="2082"/>
      <c r="S1196" s="2082"/>
      <c r="T1196" s="2082"/>
    </row>
    <row r="1197" spans="1:20" s="137" customFormat="1" ht="13.5" hidden="1" customHeight="1">
      <c r="A1197" s="2047" t="s">
        <v>413</v>
      </c>
      <c r="B1197" s="1935" t="str">
        <f>B1195</f>
        <v>i.Disintegrated Rock</v>
      </c>
      <c r="C1197" s="1940"/>
      <c r="D1197" s="1940"/>
      <c r="E1197" s="1940"/>
      <c r="F1197" s="1940"/>
      <c r="G1197" s="3007" t="s">
        <v>381</v>
      </c>
      <c r="H1197" s="3007"/>
      <c r="I1197" s="1937" t="e">
        <f>#REF!</f>
        <v>#REF!</v>
      </c>
      <c r="J1197" s="2090"/>
      <c r="K1197" s="2090" t="e">
        <f>I1197+J1197</f>
        <v>#REF!</v>
      </c>
      <c r="L1197" s="2878" t="e">
        <f>ROUND(K1197,1)</f>
        <v>#REF!</v>
      </c>
      <c r="M1197" s="2879"/>
      <c r="N1197" s="2082"/>
      <c r="O1197" s="2082"/>
      <c r="P1197" s="2082"/>
      <c r="Q1197" s="2082"/>
      <c r="R1197" s="2082"/>
      <c r="S1197" s="2082"/>
      <c r="T1197" s="2082"/>
    </row>
    <row r="1198" spans="1:20" s="137" customFormat="1" ht="13.5" hidden="1" customHeight="1">
      <c r="A1198" s="2047" t="s">
        <v>652</v>
      </c>
      <c r="B1198" s="2080" t="s">
        <v>653</v>
      </c>
      <c r="C1198" s="1940"/>
      <c r="D1198" s="1940"/>
      <c r="E1198" s="1940"/>
      <c r="F1198" s="1940"/>
      <c r="G1198" s="3007"/>
      <c r="H1198" s="3007"/>
      <c r="I1198" s="1937"/>
      <c r="J1198" s="2090"/>
      <c r="K1198" s="2090"/>
      <c r="L1198" s="2092"/>
      <c r="M1198" s="2093"/>
      <c r="N1198" s="2082"/>
      <c r="O1198" s="2082"/>
      <c r="P1198" s="2082"/>
      <c r="Q1198" s="2082"/>
      <c r="R1198" s="2082"/>
      <c r="S1198" s="2082"/>
      <c r="T1198" s="2082"/>
    </row>
    <row r="1199" spans="1:20" s="137" customFormat="1" ht="13.5" hidden="1" customHeight="1">
      <c r="A1199" s="2047" t="s">
        <v>413</v>
      </c>
      <c r="B1199" s="1935" t="str">
        <f>B1197</f>
        <v>i.Disintegrated Rock</v>
      </c>
      <c r="C1199" s="1940"/>
      <c r="D1199" s="1940"/>
      <c r="E1199" s="1940"/>
      <c r="F1199" s="1940"/>
      <c r="G1199" s="3007" t="s">
        <v>381</v>
      </c>
      <c r="H1199" s="3007"/>
      <c r="I1199" s="1937" t="e">
        <f>#REF!</f>
        <v>#REF!</v>
      </c>
      <c r="J1199" s="2090"/>
      <c r="K1199" s="2090" t="e">
        <f>I1199+J1199</f>
        <v>#REF!</v>
      </c>
      <c r="L1199" s="2878" t="e">
        <f>ROUND(K1199,1)</f>
        <v>#REF!</v>
      </c>
      <c r="M1199" s="2879"/>
      <c r="N1199" s="2082"/>
      <c r="O1199" s="2082"/>
      <c r="P1199" s="2082"/>
      <c r="Q1199" s="2082"/>
      <c r="R1199" s="2082"/>
      <c r="S1199" s="2082"/>
      <c r="T1199" s="2082"/>
    </row>
    <row r="1200" spans="1:20" s="137" customFormat="1" ht="13.5" hidden="1" customHeight="1">
      <c r="A1200" s="2047" t="s">
        <v>654</v>
      </c>
      <c r="B1200" s="2080" t="s">
        <v>655</v>
      </c>
      <c r="C1200" s="1940"/>
      <c r="D1200" s="1940"/>
      <c r="E1200" s="1940"/>
      <c r="F1200" s="1940"/>
      <c r="G1200" s="3007"/>
      <c r="H1200" s="3007"/>
      <c r="I1200" s="1937"/>
      <c r="J1200" s="2090"/>
      <c r="K1200" s="2090"/>
      <c r="L1200" s="2092"/>
      <c r="M1200" s="2093"/>
      <c r="N1200" s="2082"/>
      <c r="O1200" s="2082"/>
      <c r="P1200" s="2082"/>
      <c r="Q1200" s="2082"/>
      <c r="R1200" s="2082"/>
      <c r="S1200" s="2082"/>
      <c r="T1200" s="2082"/>
    </row>
    <row r="1201" spans="1:20" s="137" customFormat="1" ht="13.5" hidden="1" customHeight="1">
      <c r="A1201" s="2047" t="s">
        <v>413</v>
      </c>
      <c r="B1201" s="1935" t="str">
        <f>B1199</f>
        <v>i.Disintegrated Rock</v>
      </c>
      <c r="C1201" s="1940"/>
      <c r="D1201" s="1940"/>
      <c r="E1201" s="1940"/>
      <c r="F1201" s="1940"/>
      <c r="G1201" s="3007" t="s">
        <v>381</v>
      </c>
      <c r="H1201" s="3007"/>
      <c r="I1201" s="1937" t="e">
        <f>#REF!</f>
        <v>#REF!</v>
      </c>
      <c r="J1201" s="2090"/>
      <c r="K1201" s="2090" t="e">
        <f>I1201+J1201</f>
        <v>#REF!</v>
      </c>
      <c r="L1201" s="2878" t="e">
        <f>ROUND(K1201,1)</f>
        <v>#REF!</v>
      </c>
      <c r="M1201" s="2879"/>
      <c r="N1201" s="2082"/>
      <c r="O1201" s="2082"/>
      <c r="P1201" s="2082"/>
      <c r="Q1201" s="2082"/>
      <c r="R1201" s="2082"/>
      <c r="S1201" s="2082"/>
      <c r="T1201" s="2082"/>
    </row>
    <row r="1202" spans="1:20" s="137" customFormat="1" ht="13.5" hidden="1" customHeight="1">
      <c r="A1202" s="2047" t="s">
        <v>656</v>
      </c>
      <c r="B1202" s="2080" t="s">
        <v>657</v>
      </c>
      <c r="C1202" s="1940"/>
      <c r="D1202" s="1940"/>
      <c r="E1202" s="1940"/>
      <c r="F1202" s="1940"/>
      <c r="G1202" s="3007"/>
      <c r="H1202" s="3007"/>
      <c r="I1202" s="1937"/>
      <c r="J1202" s="2090"/>
      <c r="K1202" s="2090"/>
      <c r="L1202" s="2092"/>
      <c r="M1202" s="2093"/>
      <c r="N1202" s="2082"/>
      <c r="O1202" s="2082"/>
      <c r="P1202" s="2082"/>
      <c r="Q1202" s="2082"/>
      <c r="R1202" s="2082"/>
      <c r="S1202" s="2082"/>
      <c r="T1202" s="2082"/>
    </row>
    <row r="1203" spans="1:20" s="137" customFormat="1" ht="13.5" hidden="1" customHeight="1">
      <c r="A1203" s="2047" t="s">
        <v>413</v>
      </c>
      <c r="B1203" s="1935" t="str">
        <f>B1201</f>
        <v>i.Disintegrated Rock</v>
      </c>
      <c r="C1203" s="1940"/>
      <c r="D1203" s="1940"/>
      <c r="E1203" s="1940"/>
      <c r="F1203" s="1940"/>
      <c r="G1203" s="3007" t="s">
        <v>381</v>
      </c>
      <c r="H1203" s="3007"/>
      <c r="I1203" s="1937" t="e">
        <f>#REF!</f>
        <v>#REF!</v>
      </c>
      <c r="J1203" s="2090"/>
      <c r="K1203" s="2090" t="e">
        <f>I1203+J1203</f>
        <v>#REF!</v>
      </c>
      <c r="L1203" s="2878" t="e">
        <f>ROUND(K1203,1)</f>
        <v>#REF!</v>
      </c>
      <c r="M1203" s="2879"/>
      <c r="N1203" s="2082"/>
      <c r="O1203" s="2082"/>
      <c r="P1203" s="2082"/>
      <c r="Q1203" s="2082"/>
      <c r="R1203" s="2082"/>
      <c r="S1203" s="2082"/>
      <c r="T1203" s="2082"/>
    </row>
    <row r="1204" spans="1:20" s="137" customFormat="1" ht="13.5" hidden="1" customHeight="1">
      <c r="A1204" s="2047"/>
      <c r="B1204" s="1935"/>
      <c r="C1204" s="1940"/>
      <c r="D1204" s="1940"/>
      <c r="E1204" s="1940"/>
      <c r="F1204" s="1940"/>
      <c r="G1204" s="2078"/>
      <c r="H1204" s="2078"/>
      <c r="I1204" s="1937"/>
      <c r="J1204" s="2090"/>
      <c r="K1204" s="2090"/>
      <c r="L1204" s="2092"/>
      <c r="M1204" s="2093"/>
      <c r="N1204" s="2082"/>
      <c r="O1204" s="2082"/>
      <c r="P1204" s="2082"/>
      <c r="Q1204" s="2082"/>
      <c r="R1204" s="2082"/>
      <c r="S1204" s="2082"/>
      <c r="T1204" s="2082"/>
    </row>
    <row r="1205" spans="1:20" s="137" customFormat="1" ht="13.5" hidden="1" customHeight="1">
      <c r="A1205" s="2047">
        <f>A1187+1</f>
        <v>183</v>
      </c>
      <c r="B1205" s="2080" t="s">
        <v>3923</v>
      </c>
      <c r="C1205" s="1940"/>
      <c r="D1205" s="1940"/>
      <c r="E1205" s="1940"/>
      <c r="F1205" s="1940"/>
      <c r="G1205" s="3007" t="s">
        <v>381</v>
      </c>
      <c r="H1205" s="3007"/>
      <c r="I1205" s="1937" t="e">
        <f>#REF!</f>
        <v>#REF!</v>
      </c>
      <c r="J1205" s="2090"/>
      <c r="K1205" s="2090" t="e">
        <f t="shared" ref="K1205:K1245" si="264">I1205+J1205</f>
        <v>#REF!</v>
      </c>
      <c r="L1205" s="2878" t="e">
        <f t="shared" ref="L1205:L1245" si="265">ROUND(K1205,1)</f>
        <v>#REF!</v>
      </c>
      <c r="M1205" s="2879"/>
      <c r="N1205" s="2082"/>
      <c r="O1205" s="2082"/>
      <c r="P1205" s="2082"/>
      <c r="Q1205" s="2082"/>
      <c r="R1205" s="2082"/>
      <c r="S1205" s="2082"/>
      <c r="T1205" s="2082"/>
    </row>
    <row r="1206" spans="1:20" s="137" customFormat="1" ht="13.5" hidden="1" customHeight="1">
      <c r="A1206" s="2047">
        <f t="shared" ref="A1206:A1278" si="266">A1205+1</f>
        <v>184</v>
      </c>
      <c r="B1206" s="2080" t="s">
        <v>3924</v>
      </c>
      <c r="C1206" s="1940"/>
      <c r="D1206" s="1940"/>
      <c r="E1206" s="1940"/>
      <c r="F1206" s="1940"/>
      <c r="G1206" s="3007" t="s">
        <v>381</v>
      </c>
      <c r="H1206" s="3007"/>
      <c r="I1206" s="1937" t="e">
        <f>#REF!</f>
        <v>#REF!</v>
      </c>
      <c r="J1206" s="2090"/>
      <c r="K1206" s="2090" t="e">
        <f t="shared" si="264"/>
        <v>#REF!</v>
      </c>
      <c r="L1206" s="2878" t="e">
        <f t="shared" si="265"/>
        <v>#REF!</v>
      </c>
      <c r="M1206" s="2879"/>
      <c r="N1206" s="2082"/>
      <c r="O1206" s="2082"/>
      <c r="P1206" s="2082"/>
      <c r="Q1206" s="2082"/>
      <c r="R1206" s="2082"/>
      <c r="S1206" s="2082"/>
      <c r="T1206" s="2082"/>
    </row>
    <row r="1207" spans="1:20" s="137" customFormat="1" ht="13.5" hidden="1" customHeight="1">
      <c r="A1207" s="2047">
        <f t="shared" si="266"/>
        <v>185</v>
      </c>
      <c r="B1207" s="2080" t="s">
        <v>3925</v>
      </c>
      <c r="C1207" s="1940"/>
      <c r="D1207" s="1940"/>
      <c r="E1207" s="1940"/>
      <c r="F1207" s="1940"/>
      <c r="G1207" s="3007" t="s">
        <v>381</v>
      </c>
      <c r="H1207" s="3007"/>
      <c r="I1207" s="1937" t="e">
        <f>#REF!</f>
        <v>#REF!</v>
      </c>
      <c r="J1207" s="2090"/>
      <c r="K1207" s="2090" t="e">
        <f t="shared" si="264"/>
        <v>#REF!</v>
      </c>
      <c r="L1207" s="2878" t="e">
        <f t="shared" si="265"/>
        <v>#REF!</v>
      </c>
      <c r="M1207" s="2879"/>
      <c r="N1207" s="2082"/>
      <c r="O1207" s="2082"/>
      <c r="P1207" s="2082"/>
      <c r="Q1207" s="2082"/>
      <c r="R1207" s="2082"/>
      <c r="S1207" s="2082"/>
      <c r="T1207" s="2082"/>
    </row>
    <row r="1208" spans="1:20" s="137" customFormat="1" ht="13.5" hidden="1" customHeight="1">
      <c r="A1208" s="2047">
        <f t="shared" si="266"/>
        <v>186</v>
      </c>
      <c r="B1208" s="2080" t="s">
        <v>3926</v>
      </c>
      <c r="C1208" s="1940"/>
      <c r="D1208" s="1940"/>
      <c r="E1208" s="1940"/>
      <c r="F1208" s="1940"/>
      <c r="G1208" s="3007" t="s">
        <v>381</v>
      </c>
      <c r="H1208" s="3007"/>
      <c r="I1208" s="1937" t="e">
        <f>#REF!</f>
        <v>#REF!</v>
      </c>
      <c r="J1208" s="2090"/>
      <c r="K1208" s="2090" t="e">
        <f t="shared" si="264"/>
        <v>#REF!</v>
      </c>
      <c r="L1208" s="2878" t="e">
        <f t="shared" si="265"/>
        <v>#REF!</v>
      </c>
      <c r="M1208" s="2879"/>
      <c r="N1208" s="2082"/>
      <c r="O1208" s="2082"/>
      <c r="P1208" s="2082"/>
      <c r="Q1208" s="2082"/>
      <c r="R1208" s="2082"/>
      <c r="S1208" s="2082"/>
      <c r="T1208" s="2082"/>
    </row>
    <row r="1209" spans="1:20" s="137" customFormat="1" ht="13.5" hidden="1" customHeight="1">
      <c r="A1209" s="2047">
        <f t="shared" si="266"/>
        <v>187</v>
      </c>
      <c r="B1209" s="2080" t="s">
        <v>3927</v>
      </c>
      <c r="C1209" s="1940"/>
      <c r="D1209" s="1940"/>
      <c r="E1209" s="1940"/>
      <c r="F1209" s="1940"/>
      <c r="G1209" s="3007" t="s">
        <v>381</v>
      </c>
      <c r="H1209" s="3007"/>
      <c r="I1209" s="1937" t="e">
        <f>#REF!</f>
        <v>#REF!</v>
      </c>
      <c r="J1209" s="2090"/>
      <c r="K1209" s="2090" t="e">
        <f t="shared" si="264"/>
        <v>#REF!</v>
      </c>
      <c r="L1209" s="2878" t="e">
        <f t="shared" si="265"/>
        <v>#REF!</v>
      </c>
      <c r="M1209" s="2879"/>
      <c r="N1209" s="2082"/>
      <c r="O1209" s="2082"/>
      <c r="P1209" s="2082"/>
      <c r="Q1209" s="2082"/>
      <c r="R1209" s="2082"/>
      <c r="S1209" s="2082"/>
      <c r="T1209" s="2082"/>
    </row>
    <row r="1210" spans="1:20" s="137" customFormat="1" ht="13.5" hidden="1" customHeight="1">
      <c r="A1210" s="2047">
        <f t="shared" si="266"/>
        <v>188</v>
      </c>
      <c r="B1210" s="1935" t="s">
        <v>3928</v>
      </c>
      <c r="C1210" s="1940"/>
      <c r="D1210" s="1940"/>
      <c r="E1210" s="1940"/>
      <c r="F1210" s="1940"/>
      <c r="G1210" s="3007" t="s">
        <v>492</v>
      </c>
      <c r="H1210" s="3007"/>
      <c r="I1210" s="1937" t="e">
        <f>#REF!</f>
        <v>#REF!</v>
      </c>
      <c r="J1210" s="2090"/>
      <c r="K1210" s="2090" t="e">
        <f t="shared" si="264"/>
        <v>#REF!</v>
      </c>
      <c r="L1210" s="2878" t="e">
        <f t="shared" si="265"/>
        <v>#REF!</v>
      </c>
      <c r="M1210" s="2879"/>
      <c r="N1210" s="2082"/>
      <c r="O1210" s="2082" t="s">
        <v>3187</v>
      </c>
      <c r="P1210" s="2082"/>
      <c r="Q1210" s="2082"/>
      <c r="S1210" s="2082"/>
      <c r="T1210" s="2082"/>
    </row>
    <row r="1211" spans="1:20" s="137" customFormat="1" ht="13.5" hidden="1" customHeight="1">
      <c r="A1211" s="2047">
        <f t="shared" si="266"/>
        <v>189</v>
      </c>
      <c r="B1211" s="1935" t="s">
        <v>3929</v>
      </c>
      <c r="C1211" s="1940"/>
      <c r="D1211" s="1940"/>
      <c r="E1211" s="1940"/>
      <c r="F1211" s="1940"/>
      <c r="G1211" s="3007" t="s">
        <v>492</v>
      </c>
      <c r="H1211" s="3007"/>
      <c r="I1211" s="1937" t="e">
        <f>#REF!</f>
        <v>#REF!</v>
      </c>
      <c r="J1211" s="2090"/>
      <c r="K1211" s="2090" t="e">
        <f t="shared" si="264"/>
        <v>#REF!</v>
      </c>
      <c r="L1211" s="2878" t="e">
        <f t="shared" si="265"/>
        <v>#REF!</v>
      </c>
      <c r="M1211" s="2879"/>
      <c r="N1211" s="2082"/>
      <c r="O1211" s="2082" t="str">
        <f>O1210</f>
        <v>ODACT202</v>
      </c>
      <c r="P1211" s="2082"/>
      <c r="Q1211" s="2082"/>
      <c r="S1211" s="2082"/>
      <c r="T1211" s="2082"/>
    </row>
    <row r="1212" spans="1:20" s="137" customFormat="1" ht="13.5" hidden="1" customHeight="1">
      <c r="A1212" s="2047">
        <f t="shared" si="266"/>
        <v>190</v>
      </c>
      <c r="B1212" s="1935" t="s">
        <v>3930</v>
      </c>
      <c r="C1212" s="1940"/>
      <c r="D1212" s="1940"/>
      <c r="E1212" s="1940"/>
      <c r="F1212" s="1940"/>
      <c r="G1212" s="3007" t="s">
        <v>492</v>
      </c>
      <c r="H1212" s="3007"/>
      <c r="I1212" s="1937" t="e">
        <f>#REF!</f>
        <v>#REF!</v>
      </c>
      <c r="J1212" s="2090"/>
      <c r="K1212" s="2090" t="e">
        <f t="shared" si="264"/>
        <v>#REF!</v>
      </c>
      <c r="L1212" s="2878" t="e">
        <f t="shared" si="265"/>
        <v>#REF!</v>
      </c>
      <c r="M1212" s="2879"/>
      <c r="N1212" s="2082"/>
      <c r="O1212" s="2082" t="str">
        <f t="shared" ref="O1212:O1214" si="267">O1211</f>
        <v>ODACT202</v>
      </c>
      <c r="P1212" s="2082"/>
      <c r="Q1212" s="2082"/>
      <c r="S1212" s="2082"/>
      <c r="T1212" s="2082"/>
    </row>
    <row r="1213" spans="1:20" s="137" customFormat="1" ht="13.5" hidden="1" customHeight="1">
      <c r="A1213" s="2047">
        <f t="shared" si="266"/>
        <v>191</v>
      </c>
      <c r="B1213" s="1935" t="s">
        <v>3931</v>
      </c>
      <c r="C1213" s="1940"/>
      <c r="D1213" s="1940"/>
      <c r="E1213" s="1940"/>
      <c r="F1213" s="1940"/>
      <c r="G1213" s="3007" t="s">
        <v>492</v>
      </c>
      <c r="H1213" s="3007"/>
      <c r="I1213" s="1937" t="e">
        <f>#REF!</f>
        <v>#REF!</v>
      </c>
      <c r="J1213" s="2090"/>
      <c r="K1213" s="2090" t="e">
        <f t="shared" si="264"/>
        <v>#REF!</v>
      </c>
      <c r="L1213" s="2878" t="e">
        <f t="shared" si="265"/>
        <v>#REF!</v>
      </c>
      <c r="M1213" s="2879"/>
      <c r="N1213" s="2082"/>
      <c r="O1213" s="2082" t="str">
        <f t="shared" si="267"/>
        <v>ODACT202</v>
      </c>
      <c r="P1213" s="2082"/>
      <c r="Q1213" s="2082"/>
      <c r="S1213" s="2082"/>
      <c r="T1213" s="2082"/>
    </row>
    <row r="1214" spans="1:20" s="137" customFormat="1" ht="13.5" hidden="1" customHeight="1">
      <c r="A1214" s="2047">
        <f t="shared" si="266"/>
        <v>192</v>
      </c>
      <c r="B1214" s="1935" t="s">
        <v>3932</v>
      </c>
      <c r="C1214" s="1940"/>
      <c r="D1214" s="1940"/>
      <c r="E1214" s="1940"/>
      <c r="F1214" s="1940"/>
      <c r="G1214" s="3007" t="s">
        <v>492</v>
      </c>
      <c r="H1214" s="3007"/>
      <c r="I1214" s="1937" t="e">
        <f>#REF!</f>
        <v>#REF!</v>
      </c>
      <c r="J1214" s="2090"/>
      <c r="K1214" s="2090" t="e">
        <f t="shared" si="264"/>
        <v>#REF!</v>
      </c>
      <c r="L1214" s="2878" t="e">
        <f t="shared" si="265"/>
        <v>#REF!</v>
      </c>
      <c r="M1214" s="2879"/>
      <c r="N1214" s="2082"/>
      <c r="O1214" s="2082" t="str">
        <f t="shared" si="267"/>
        <v>ODACT202</v>
      </c>
      <c r="P1214" s="2082"/>
      <c r="Q1214" s="2083"/>
      <c r="S1214" s="2083"/>
      <c r="T1214" s="136"/>
    </row>
    <row r="1215" spans="1:20" s="137" customFormat="1" ht="13.5" hidden="1" customHeight="1">
      <c r="A1215" s="1998">
        <f t="shared" si="266"/>
        <v>193</v>
      </c>
      <c r="B1215" s="1940" t="s">
        <v>3933</v>
      </c>
      <c r="C1215" s="1940"/>
      <c r="D1215" s="1940"/>
      <c r="E1215" s="2099"/>
      <c r="F1215" s="2099"/>
      <c r="G1215" s="3007" t="s">
        <v>492</v>
      </c>
      <c r="H1215" s="3007"/>
      <c r="I1215" s="1937" t="e">
        <f>#REF!</f>
        <v>#REF!</v>
      </c>
      <c r="J1215" s="2090"/>
      <c r="K1215" s="2090" t="e">
        <f t="shared" si="264"/>
        <v>#REF!</v>
      </c>
      <c r="L1215" s="2878" t="e">
        <f t="shared" si="265"/>
        <v>#REF!</v>
      </c>
      <c r="M1215" s="2879"/>
      <c r="N1215" s="2082"/>
      <c r="O1215" s="2082" t="str">
        <f>O1214</f>
        <v>ODACT202</v>
      </c>
      <c r="P1215" s="2082"/>
      <c r="Q1215" s="2083"/>
      <c r="S1215" s="2083"/>
      <c r="T1215" s="136"/>
    </row>
    <row r="1216" spans="1:20" s="137" customFormat="1" ht="13.5" hidden="1" customHeight="1">
      <c r="A1216" s="1998"/>
      <c r="B1216" s="1940"/>
      <c r="C1216" s="1940"/>
      <c r="D1216" s="1940"/>
      <c r="E1216" s="2099"/>
      <c r="F1216" s="2099"/>
      <c r="G1216" s="2100"/>
      <c r="H1216" s="2101"/>
      <c r="I1216" s="2102"/>
      <c r="J1216" s="2090"/>
      <c r="K1216" s="2090"/>
      <c r="L1216" s="2092"/>
      <c r="M1216" s="2093"/>
      <c r="N1216" s="2082"/>
      <c r="O1216" s="2082"/>
      <c r="P1216" s="2082"/>
      <c r="Q1216" s="2083"/>
      <c r="S1216" s="2083"/>
      <c r="T1216" s="136"/>
    </row>
    <row r="1217" spans="1:20" s="137" customFormat="1" ht="13.5" hidden="1" customHeight="1">
      <c r="A1217" s="1998">
        <f>A1215+1</f>
        <v>194</v>
      </c>
      <c r="B1217" s="1935" t="s">
        <v>3934</v>
      </c>
      <c r="C1217" s="1940"/>
      <c r="D1217" s="1940"/>
      <c r="E1217" s="2099"/>
      <c r="F1217" s="2099"/>
      <c r="G1217" s="2880" t="e">
        <f>#REF!</f>
        <v>#REF!</v>
      </c>
      <c r="H1217" s="2881"/>
      <c r="I1217" s="2103" t="e">
        <f>#REF!</f>
        <v>#REF!</v>
      </c>
      <c r="J1217" s="2090"/>
      <c r="K1217" s="2090" t="e">
        <f t="shared" ref="K1217:K1238" si="268">I1217+J1217</f>
        <v>#REF!</v>
      </c>
      <c r="L1217" s="2878" t="e">
        <f t="shared" ref="L1217:L1238" si="269">ROUND(K1217,1)</f>
        <v>#REF!</v>
      </c>
      <c r="M1217" s="2879"/>
      <c r="N1217" s="2082"/>
      <c r="O1217" s="2082"/>
      <c r="P1217" s="2082"/>
      <c r="Q1217" s="2083"/>
      <c r="S1217" s="2083"/>
      <c r="T1217" s="136"/>
    </row>
    <row r="1218" spans="1:20" s="137" customFormat="1" ht="13.5" hidden="1" customHeight="1">
      <c r="A1218" s="1998">
        <f t="shared" si="266"/>
        <v>195</v>
      </c>
      <c r="B1218" s="1935" t="s">
        <v>3935</v>
      </c>
      <c r="C1218" s="1940"/>
      <c r="D1218" s="1940"/>
      <c r="E1218" s="2099"/>
      <c r="F1218" s="2099"/>
      <c r="G1218" s="2880" t="e">
        <f>#REF!</f>
        <v>#REF!</v>
      </c>
      <c r="H1218" s="2881"/>
      <c r="I1218" s="2103" t="e">
        <f>#REF!</f>
        <v>#REF!</v>
      </c>
      <c r="J1218" s="2090"/>
      <c r="K1218" s="2090" t="e">
        <f t="shared" si="268"/>
        <v>#REF!</v>
      </c>
      <c r="L1218" s="2878" t="e">
        <f t="shared" si="269"/>
        <v>#REF!</v>
      </c>
      <c r="M1218" s="2879"/>
      <c r="N1218" s="2082"/>
      <c r="O1218" s="2082"/>
      <c r="P1218" s="2082"/>
      <c r="Q1218" s="2083"/>
      <c r="S1218" s="2083"/>
      <c r="T1218" s="136"/>
    </row>
    <row r="1219" spans="1:20" s="137" customFormat="1" ht="13.5" hidden="1" customHeight="1">
      <c r="A1219" s="1998">
        <f t="shared" si="266"/>
        <v>196</v>
      </c>
      <c r="B1219" s="1935" t="s">
        <v>3936</v>
      </c>
      <c r="C1219" s="1940"/>
      <c r="D1219" s="1940"/>
      <c r="E1219" s="2099"/>
      <c r="F1219" s="2099"/>
      <c r="G1219" s="2880" t="e">
        <f>#REF!</f>
        <v>#REF!</v>
      </c>
      <c r="H1219" s="2881"/>
      <c r="I1219" s="2103" t="e">
        <f>#REF!</f>
        <v>#REF!</v>
      </c>
      <c r="J1219" s="2090"/>
      <c r="K1219" s="2090" t="e">
        <f t="shared" si="268"/>
        <v>#REF!</v>
      </c>
      <c r="L1219" s="2878" t="e">
        <f t="shared" si="269"/>
        <v>#REF!</v>
      </c>
      <c r="M1219" s="2879"/>
      <c r="N1219" s="2082"/>
      <c r="O1219" s="2082"/>
      <c r="P1219" s="2082"/>
      <c r="Q1219" s="2083"/>
      <c r="S1219" s="2083"/>
      <c r="T1219" s="136"/>
    </row>
    <row r="1220" spans="1:20" s="137" customFormat="1" ht="13.5" hidden="1" customHeight="1">
      <c r="A1220" s="1998">
        <f t="shared" si="266"/>
        <v>197</v>
      </c>
      <c r="B1220" s="1935" t="s">
        <v>3937</v>
      </c>
      <c r="C1220" s="1940"/>
      <c r="D1220" s="1940"/>
      <c r="E1220" s="2099"/>
      <c r="F1220" s="2099"/>
      <c r="G1220" s="2880" t="e">
        <f>#REF!</f>
        <v>#REF!</v>
      </c>
      <c r="H1220" s="2881"/>
      <c r="I1220" s="2103" t="e">
        <f>#REF!</f>
        <v>#REF!</v>
      </c>
      <c r="J1220" s="2090"/>
      <c r="K1220" s="2090" t="e">
        <f t="shared" si="268"/>
        <v>#REF!</v>
      </c>
      <c r="L1220" s="2878" t="e">
        <f t="shared" si="269"/>
        <v>#REF!</v>
      </c>
      <c r="M1220" s="2879"/>
      <c r="N1220" s="2082"/>
      <c r="O1220" s="2082" t="e">
        <f>L1220/10.76</f>
        <v>#REF!</v>
      </c>
      <c r="P1220" s="2082" t="s">
        <v>3706</v>
      </c>
      <c r="Q1220" s="2083"/>
      <c r="S1220" s="2083"/>
      <c r="T1220" s="136"/>
    </row>
    <row r="1221" spans="1:20" s="137" customFormat="1" ht="13.5" hidden="1" customHeight="1">
      <c r="A1221" s="1998">
        <f t="shared" si="266"/>
        <v>198</v>
      </c>
      <c r="B1221" s="1935" t="s">
        <v>3938</v>
      </c>
      <c r="C1221" s="1940"/>
      <c r="D1221" s="1940"/>
      <c r="E1221" s="2099"/>
      <c r="F1221" s="2099"/>
      <c r="G1221" s="2880" t="e">
        <f>#REF!</f>
        <v>#REF!</v>
      </c>
      <c r="H1221" s="2881"/>
      <c r="I1221" s="2103" t="e">
        <f>#REF!</f>
        <v>#REF!</v>
      </c>
      <c r="J1221" s="2090"/>
      <c r="K1221" s="2090" t="e">
        <f t="shared" si="268"/>
        <v>#REF!</v>
      </c>
      <c r="L1221" s="2878" t="e">
        <f t="shared" si="269"/>
        <v>#REF!</v>
      </c>
      <c r="M1221" s="2879"/>
      <c r="N1221" s="2082"/>
      <c r="O1221" s="2082"/>
      <c r="P1221" s="2082"/>
      <c r="Q1221" s="2083"/>
      <c r="S1221" s="2083"/>
      <c r="T1221" s="136"/>
    </row>
    <row r="1222" spans="1:20" s="137" customFormat="1" ht="13.5" hidden="1" customHeight="1">
      <c r="A1222" s="1998">
        <f t="shared" si="266"/>
        <v>199</v>
      </c>
      <c r="B1222" s="1935" t="s">
        <v>3939</v>
      </c>
      <c r="C1222" s="1940"/>
      <c r="D1222" s="1940"/>
      <c r="E1222" s="2099"/>
      <c r="F1222" s="2099"/>
      <c r="G1222" s="2880" t="e">
        <f>#REF!</f>
        <v>#REF!</v>
      </c>
      <c r="H1222" s="2881"/>
      <c r="I1222" s="2103" t="e">
        <f>#REF!</f>
        <v>#REF!</v>
      </c>
      <c r="J1222" s="2090"/>
      <c r="K1222" s="2090" t="e">
        <f t="shared" si="268"/>
        <v>#REF!</v>
      </c>
      <c r="L1222" s="2878" t="e">
        <f t="shared" si="269"/>
        <v>#REF!</v>
      </c>
      <c r="M1222" s="2879"/>
      <c r="N1222" s="2082"/>
      <c r="O1222" s="2082" t="e">
        <f t="shared" ref="O1222:O1231" si="270">L1222/10.76</f>
        <v>#REF!</v>
      </c>
      <c r="P1222" s="2082" t="s">
        <v>3706</v>
      </c>
      <c r="Q1222" s="2083"/>
      <c r="S1222" s="2083"/>
      <c r="T1222" s="136"/>
    </row>
    <row r="1223" spans="1:20" s="137" customFormat="1" ht="13.5" hidden="1" customHeight="1">
      <c r="A1223" s="1998">
        <f t="shared" si="266"/>
        <v>200</v>
      </c>
      <c r="B1223" s="1935" t="s">
        <v>3940</v>
      </c>
      <c r="C1223" s="1940"/>
      <c r="D1223" s="1940"/>
      <c r="E1223" s="2099"/>
      <c r="F1223" s="2099"/>
      <c r="G1223" s="2880" t="e">
        <f>#REF!</f>
        <v>#REF!</v>
      </c>
      <c r="H1223" s="2881"/>
      <c r="I1223" s="2103" t="e">
        <f>#REF!</f>
        <v>#REF!</v>
      </c>
      <c r="J1223" s="2090"/>
      <c r="K1223" s="2090" t="e">
        <f t="shared" si="268"/>
        <v>#REF!</v>
      </c>
      <c r="L1223" s="2878" t="e">
        <f t="shared" si="269"/>
        <v>#REF!</v>
      </c>
      <c r="M1223" s="2879"/>
      <c r="N1223" s="2082"/>
      <c r="O1223" s="2082" t="e">
        <f t="shared" si="270"/>
        <v>#REF!</v>
      </c>
      <c r="P1223" s="2082" t="s">
        <v>3706</v>
      </c>
      <c r="Q1223" s="2083"/>
      <c r="S1223" s="2083"/>
      <c r="T1223" s="136"/>
    </row>
    <row r="1224" spans="1:20" s="137" customFormat="1" ht="13.5" hidden="1" customHeight="1">
      <c r="A1224" s="1998">
        <f t="shared" si="266"/>
        <v>201</v>
      </c>
      <c r="B1224" s="1935" t="s">
        <v>3941</v>
      </c>
      <c r="C1224" s="1940"/>
      <c r="D1224" s="1940"/>
      <c r="E1224" s="2099"/>
      <c r="F1224" s="2099"/>
      <c r="G1224" s="2880" t="e">
        <f>#REF!</f>
        <v>#REF!</v>
      </c>
      <c r="H1224" s="2881"/>
      <c r="I1224" s="2103" t="e">
        <f>#REF!</f>
        <v>#REF!</v>
      </c>
      <c r="J1224" s="2090"/>
      <c r="K1224" s="2090" t="e">
        <f t="shared" si="268"/>
        <v>#REF!</v>
      </c>
      <c r="L1224" s="2878" t="e">
        <f t="shared" si="269"/>
        <v>#REF!</v>
      </c>
      <c r="M1224" s="2879"/>
      <c r="N1224" s="2082"/>
      <c r="O1224" s="2082" t="e">
        <f t="shared" si="270"/>
        <v>#REF!</v>
      </c>
      <c r="P1224" s="2082" t="s">
        <v>3706</v>
      </c>
      <c r="Q1224" s="2083"/>
      <c r="S1224" s="2083"/>
      <c r="T1224" s="136"/>
    </row>
    <row r="1225" spans="1:20" s="137" customFormat="1" ht="13.5" hidden="1" customHeight="1">
      <c r="A1225" s="1998">
        <f t="shared" si="266"/>
        <v>202</v>
      </c>
      <c r="B1225" s="1935" t="s">
        <v>3942</v>
      </c>
      <c r="C1225" s="1940"/>
      <c r="D1225" s="1940"/>
      <c r="E1225" s="2099"/>
      <c r="F1225" s="2099"/>
      <c r="G1225" s="2880" t="e">
        <f>#REF!</f>
        <v>#REF!</v>
      </c>
      <c r="H1225" s="2881"/>
      <c r="I1225" s="2103" t="e">
        <f>#REF!</f>
        <v>#REF!</v>
      </c>
      <c r="J1225" s="2090"/>
      <c r="K1225" s="2090" t="e">
        <f t="shared" si="268"/>
        <v>#REF!</v>
      </c>
      <c r="L1225" s="2878" t="e">
        <f t="shared" si="269"/>
        <v>#REF!</v>
      </c>
      <c r="M1225" s="2879"/>
      <c r="N1225" s="2082"/>
      <c r="O1225" s="2082" t="e">
        <f t="shared" si="270"/>
        <v>#REF!</v>
      </c>
      <c r="P1225" s="2082" t="s">
        <v>3706</v>
      </c>
      <c r="Q1225" s="2083"/>
      <c r="S1225" s="2083"/>
      <c r="T1225" s="136"/>
    </row>
    <row r="1226" spans="1:20" s="137" customFormat="1" ht="13.5" hidden="1" customHeight="1">
      <c r="A1226" s="1998">
        <f t="shared" si="266"/>
        <v>203</v>
      </c>
      <c r="B1226" s="1935" t="s">
        <v>3943</v>
      </c>
      <c r="C1226" s="1940"/>
      <c r="D1226" s="1940"/>
      <c r="E1226" s="2099"/>
      <c r="F1226" s="2099"/>
      <c r="G1226" s="2880" t="e">
        <f>#REF!</f>
        <v>#REF!</v>
      </c>
      <c r="H1226" s="2881"/>
      <c r="I1226" s="2103" t="e">
        <f>#REF!</f>
        <v>#REF!</v>
      </c>
      <c r="J1226" s="2090"/>
      <c r="K1226" s="2090" t="e">
        <f t="shared" si="268"/>
        <v>#REF!</v>
      </c>
      <c r="L1226" s="2878" t="e">
        <f t="shared" si="269"/>
        <v>#REF!</v>
      </c>
      <c r="M1226" s="2879"/>
      <c r="N1226" s="2082"/>
      <c r="O1226" s="2082" t="e">
        <f t="shared" si="270"/>
        <v>#REF!</v>
      </c>
      <c r="P1226" s="2082" t="s">
        <v>3706</v>
      </c>
      <c r="Q1226" s="2083"/>
      <c r="S1226" s="2083"/>
      <c r="T1226" s="136"/>
    </row>
    <row r="1227" spans="1:20" s="137" customFormat="1" ht="13.5" hidden="1" customHeight="1">
      <c r="A1227" s="1998">
        <f t="shared" si="266"/>
        <v>204</v>
      </c>
      <c r="B1227" s="1935" t="s">
        <v>3944</v>
      </c>
      <c r="C1227" s="1940"/>
      <c r="D1227" s="1940"/>
      <c r="E1227" s="2099"/>
      <c r="F1227" s="2099"/>
      <c r="G1227" s="2880" t="e">
        <f>#REF!</f>
        <v>#REF!</v>
      </c>
      <c r="H1227" s="2881"/>
      <c r="I1227" s="2103" t="e">
        <f>#REF!</f>
        <v>#REF!</v>
      </c>
      <c r="J1227" s="2090"/>
      <c r="K1227" s="2090" t="e">
        <f t="shared" si="268"/>
        <v>#REF!</v>
      </c>
      <c r="L1227" s="2878" t="e">
        <f t="shared" si="269"/>
        <v>#REF!</v>
      </c>
      <c r="M1227" s="2879"/>
      <c r="N1227" s="2082"/>
      <c r="O1227" s="2082" t="e">
        <f t="shared" si="270"/>
        <v>#REF!</v>
      </c>
      <c r="P1227" s="2082" t="s">
        <v>3706</v>
      </c>
      <c r="Q1227" s="2083"/>
      <c r="S1227" s="2083"/>
      <c r="T1227" s="136"/>
    </row>
    <row r="1228" spans="1:20" s="137" customFormat="1" ht="13.5" hidden="1" customHeight="1">
      <c r="A1228" s="1998">
        <f t="shared" si="266"/>
        <v>205</v>
      </c>
      <c r="B1228" s="1935" t="s">
        <v>3945</v>
      </c>
      <c r="C1228" s="1940"/>
      <c r="D1228" s="1940"/>
      <c r="E1228" s="2099"/>
      <c r="F1228" s="2099"/>
      <c r="G1228" s="2880" t="e">
        <f>#REF!</f>
        <v>#REF!</v>
      </c>
      <c r="H1228" s="2881"/>
      <c r="I1228" s="2103" t="e">
        <f>#REF!</f>
        <v>#REF!</v>
      </c>
      <c r="J1228" s="2090"/>
      <c r="K1228" s="2090" t="e">
        <f t="shared" si="268"/>
        <v>#REF!</v>
      </c>
      <c r="L1228" s="2878" t="e">
        <f t="shared" si="269"/>
        <v>#REF!</v>
      </c>
      <c r="M1228" s="2879"/>
      <c r="N1228" s="2082"/>
      <c r="O1228" s="2082" t="e">
        <f t="shared" si="270"/>
        <v>#REF!</v>
      </c>
      <c r="P1228" s="2082" t="s">
        <v>3706</v>
      </c>
      <c r="Q1228" s="2083"/>
      <c r="S1228" s="2083"/>
      <c r="T1228" s="136"/>
    </row>
    <row r="1229" spans="1:20" s="137" customFormat="1" ht="13.5" hidden="1" customHeight="1">
      <c r="A1229" s="1998">
        <f t="shared" si="266"/>
        <v>206</v>
      </c>
      <c r="B1229" s="1935" t="s">
        <v>3946</v>
      </c>
      <c r="C1229" s="1940"/>
      <c r="D1229" s="1940"/>
      <c r="E1229" s="2099"/>
      <c r="F1229" s="2099"/>
      <c r="G1229" s="2880" t="e">
        <f>#REF!</f>
        <v>#REF!</v>
      </c>
      <c r="H1229" s="2881"/>
      <c r="I1229" s="2103" t="e">
        <f>#REF!</f>
        <v>#REF!</v>
      </c>
      <c r="J1229" s="2090"/>
      <c r="K1229" s="2090" t="e">
        <f t="shared" si="268"/>
        <v>#REF!</v>
      </c>
      <c r="L1229" s="2878" t="e">
        <f t="shared" si="269"/>
        <v>#REF!</v>
      </c>
      <c r="M1229" s="2879"/>
      <c r="N1229" s="2082"/>
      <c r="O1229" s="2082" t="e">
        <f t="shared" si="270"/>
        <v>#REF!</v>
      </c>
      <c r="P1229" s="2082" t="s">
        <v>3706</v>
      </c>
      <c r="Q1229" s="2083"/>
      <c r="S1229" s="2083"/>
      <c r="T1229" s="136"/>
    </row>
    <row r="1230" spans="1:20" s="137" customFormat="1" ht="13.5" hidden="1" customHeight="1">
      <c r="A1230" s="1998">
        <f t="shared" si="266"/>
        <v>207</v>
      </c>
      <c r="B1230" s="1935" t="s">
        <v>3947</v>
      </c>
      <c r="C1230" s="1940"/>
      <c r="D1230" s="1940"/>
      <c r="E1230" s="2099"/>
      <c r="F1230" s="2099"/>
      <c r="G1230" s="2880" t="e">
        <f>#REF!</f>
        <v>#REF!</v>
      </c>
      <c r="H1230" s="2881"/>
      <c r="I1230" s="2103" t="e">
        <f>#REF!</f>
        <v>#REF!</v>
      </c>
      <c r="J1230" s="2090"/>
      <c r="K1230" s="2090" t="e">
        <f t="shared" si="268"/>
        <v>#REF!</v>
      </c>
      <c r="L1230" s="2878" t="e">
        <f t="shared" si="269"/>
        <v>#REF!</v>
      </c>
      <c r="M1230" s="2879"/>
      <c r="N1230" s="2082"/>
      <c r="O1230" s="2082" t="e">
        <f t="shared" si="270"/>
        <v>#REF!</v>
      </c>
      <c r="P1230" s="2082" t="s">
        <v>3706</v>
      </c>
      <c r="Q1230" s="2083"/>
      <c r="S1230" s="2083"/>
      <c r="T1230" s="136"/>
    </row>
    <row r="1231" spans="1:20" s="137" customFormat="1" ht="13.5" hidden="1" customHeight="1">
      <c r="A1231" s="1998">
        <f t="shared" si="266"/>
        <v>208</v>
      </c>
      <c r="B1231" s="1935" t="s">
        <v>3948</v>
      </c>
      <c r="C1231" s="1940"/>
      <c r="D1231" s="1940"/>
      <c r="E1231" s="2099"/>
      <c r="F1231" s="2099"/>
      <c r="G1231" s="2880" t="e">
        <f>#REF!</f>
        <v>#REF!</v>
      </c>
      <c r="H1231" s="2881"/>
      <c r="I1231" s="2103" t="e">
        <f>#REF!</f>
        <v>#REF!</v>
      </c>
      <c r="J1231" s="2090"/>
      <c r="K1231" s="2090" t="e">
        <f t="shared" si="268"/>
        <v>#REF!</v>
      </c>
      <c r="L1231" s="2878" t="e">
        <f t="shared" si="269"/>
        <v>#REF!</v>
      </c>
      <c r="M1231" s="2879"/>
      <c r="N1231" s="2082"/>
      <c r="O1231" s="2082" t="e">
        <f t="shared" si="270"/>
        <v>#REF!</v>
      </c>
      <c r="P1231" s="2082" t="s">
        <v>3706</v>
      </c>
      <c r="Q1231" s="2083"/>
      <c r="S1231" s="2083"/>
      <c r="T1231" s="136"/>
    </row>
    <row r="1232" spans="1:20" s="137" customFormat="1" ht="13.5" hidden="1" customHeight="1">
      <c r="A1232" s="1998">
        <f t="shared" si="266"/>
        <v>209</v>
      </c>
      <c r="B1232" s="1935" t="s">
        <v>3949</v>
      </c>
      <c r="C1232" s="1940"/>
      <c r="D1232" s="1940"/>
      <c r="E1232" s="2099"/>
      <c r="F1232" s="2099"/>
      <c r="G1232" s="2880" t="e">
        <f>#REF!</f>
        <v>#REF!</v>
      </c>
      <c r="H1232" s="2881"/>
      <c r="I1232" s="2103" t="e">
        <f>#REF!</f>
        <v>#REF!</v>
      </c>
      <c r="J1232" s="2090"/>
      <c r="K1232" s="2090" t="e">
        <f t="shared" si="268"/>
        <v>#REF!</v>
      </c>
      <c r="L1232" s="2878" t="e">
        <f t="shared" si="269"/>
        <v>#REF!</v>
      </c>
      <c r="M1232" s="2879"/>
      <c r="N1232" s="2082"/>
      <c r="O1232" s="2082" t="e">
        <f>L1232/3.28</f>
        <v>#REF!</v>
      </c>
      <c r="P1232" s="2082" t="s">
        <v>3707</v>
      </c>
      <c r="Q1232" s="2083"/>
      <c r="S1232" s="2083"/>
      <c r="T1232" s="136"/>
    </row>
    <row r="1233" spans="1:20" s="137" customFormat="1" ht="13.5" hidden="1" customHeight="1">
      <c r="A1233" s="1998">
        <f t="shared" si="266"/>
        <v>210</v>
      </c>
      <c r="B1233" s="1935" t="s">
        <v>3950</v>
      </c>
      <c r="C1233" s="1940"/>
      <c r="D1233" s="1940"/>
      <c r="E1233" s="2099"/>
      <c r="F1233" s="2099"/>
      <c r="G1233" s="2880" t="e">
        <f>#REF!</f>
        <v>#REF!</v>
      </c>
      <c r="H1233" s="2881"/>
      <c r="I1233" s="2103" t="e">
        <f>#REF!</f>
        <v>#REF!</v>
      </c>
      <c r="J1233" s="2090"/>
      <c r="K1233" s="2090" t="e">
        <f t="shared" si="268"/>
        <v>#REF!</v>
      </c>
      <c r="L1233" s="2878" t="e">
        <f t="shared" si="269"/>
        <v>#REF!</v>
      </c>
      <c r="M1233" s="2879"/>
      <c r="N1233" s="2082"/>
      <c r="O1233" s="2082" t="e">
        <f t="shared" ref="O1233:O1234" si="271">L1233/3.28</f>
        <v>#REF!</v>
      </c>
      <c r="P1233" s="2082" t="s">
        <v>3707</v>
      </c>
      <c r="Q1233" s="2083"/>
      <c r="S1233" s="2083"/>
      <c r="T1233" s="136"/>
    </row>
    <row r="1234" spans="1:20" s="137" customFormat="1" ht="13.5" hidden="1" customHeight="1">
      <c r="A1234" s="1998">
        <f t="shared" si="266"/>
        <v>211</v>
      </c>
      <c r="B1234" s="1935" t="s">
        <v>3951</v>
      </c>
      <c r="C1234" s="1940"/>
      <c r="D1234" s="1940"/>
      <c r="E1234" s="2099"/>
      <c r="F1234" s="2099"/>
      <c r="G1234" s="2880" t="e">
        <f>#REF!</f>
        <v>#REF!</v>
      </c>
      <c r="H1234" s="2881"/>
      <c r="I1234" s="2103" t="e">
        <f>#REF!</f>
        <v>#REF!</v>
      </c>
      <c r="J1234" s="2090"/>
      <c r="K1234" s="2090" t="e">
        <f t="shared" si="268"/>
        <v>#REF!</v>
      </c>
      <c r="L1234" s="2878" t="e">
        <f t="shared" si="269"/>
        <v>#REF!</v>
      </c>
      <c r="M1234" s="2879"/>
      <c r="N1234" s="2082"/>
      <c r="O1234" s="2082" t="e">
        <f t="shared" si="271"/>
        <v>#REF!</v>
      </c>
      <c r="P1234" s="2082" t="s">
        <v>3707</v>
      </c>
      <c r="Q1234" s="2083"/>
      <c r="S1234" s="2083"/>
      <c r="T1234" s="136"/>
    </row>
    <row r="1235" spans="1:20" s="137" customFormat="1" ht="13.5" hidden="1" customHeight="1">
      <c r="A1235" s="1998">
        <f t="shared" si="266"/>
        <v>212</v>
      </c>
      <c r="B1235" s="1935" t="s">
        <v>3952</v>
      </c>
      <c r="C1235" s="1940"/>
      <c r="D1235" s="1940"/>
      <c r="E1235" s="2099"/>
      <c r="F1235" s="2099"/>
      <c r="G1235" s="2880" t="e">
        <f>#REF!</f>
        <v>#REF!</v>
      </c>
      <c r="H1235" s="2881"/>
      <c r="I1235" s="2103" t="e">
        <f>#REF!</f>
        <v>#REF!</v>
      </c>
      <c r="J1235" s="2090"/>
      <c r="K1235" s="2090" t="e">
        <f t="shared" si="268"/>
        <v>#REF!</v>
      </c>
      <c r="L1235" s="2878" t="e">
        <f t="shared" si="269"/>
        <v>#REF!</v>
      </c>
      <c r="M1235" s="2879"/>
      <c r="N1235" s="2082"/>
      <c r="O1235" s="2082" t="e">
        <f>L1235/10.76</f>
        <v>#REF!</v>
      </c>
      <c r="P1235" s="2082" t="s">
        <v>3706</v>
      </c>
      <c r="Q1235" s="2083"/>
      <c r="S1235" s="2083"/>
      <c r="T1235" s="136"/>
    </row>
    <row r="1236" spans="1:20" s="137" customFormat="1" ht="13.5" hidden="1" customHeight="1">
      <c r="A1236" s="1998">
        <f t="shared" si="266"/>
        <v>213</v>
      </c>
      <c r="B1236" s="1935" t="s">
        <v>3953</v>
      </c>
      <c r="C1236" s="1940"/>
      <c r="D1236" s="1940"/>
      <c r="E1236" s="2099"/>
      <c r="F1236" s="2099"/>
      <c r="G1236" s="2880" t="e">
        <f>#REF!</f>
        <v>#REF!</v>
      </c>
      <c r="H1236" s="2881"/>
      <c r="I1236" s="2103" t="e">
        <f>#REF!</f>
        <v>#REF!</v>
      </c>
      <c r="J1236" s="2090"/>
      <c r="K1236" s="2090" t="e">
        <f t="shared" si="268"/>
        <v>#REF!</v>
      </c>
      <c r="L1236" s="2878" t="e">
        <f t="shared" si="269"/>
        <v>#REF!</v>
      </c>
      <c r="M1236" s="2879"/>
      <c r="N1236" s="2082"/>
      <c r="O1236" s="2082" t="e">
        <f>L1236/10.76</f>
        <v>#REF!</v>
      </c>
      <c r="P1236" s="2082" t="s">
        <v>3706</v>
      </c>
      <c r="Q1236" s="2083"/>
      <c r="S1236" s="2083"/>
      <c r="T1236" s="136"/>
    </row>
    <row r="1237" spans="1:20" s="137" customFormat="1" ht="13.5" hidden="1" customHeight="1">
      <c r="A1237" s="1998">
        <f t="shared" si="266"/>
        <v>214</v>
      </c>
      <c r="B1237" s="1935" t="s">
        <v>3954</v>
      </c>
      <c r="C1237" s="1940"/>
      <c r="D1237" s="1940"/>
      <c r="E1237" s="2099"/>
      <c r="F1237" s="2099"/>
      <c r="G1237" s="2880" t="e">
        <f>#REF!</f>
        <v>#REF!</v>
      </c>
      <c r="H1237" s="2881"/>
      <c r="I1237" s="2103" t="e">
        <f>#REF!</f>
        <v>#REF!</v>
      </c>
      <c r="J1237" s="2090"/>
      <c r="K1237" s="2090" t="e">
        <f t="shared" si="268"/>
        <v>#REF!</v>
      </c>
      <c r="L1237" s="2878" t="e">
        <f t="shared" si="269"/>
        <v>#REF!</v>
      </c>
      <c r="M1237" s="2879"/>
      <c r="N1237" s="2082"/>
      <c r="O1237" s="2082" t="e">
        <f>L1237/10.76</f>
        <v>#REF!</v>
      </c>
      <c r="P1237" s="2082" t="s">
        <v>3706</v>
      </c>
      <c r="Q1237" s="2083"/>
      <c r="S1237" s="2083"/>
      <c r="T1237" s="136"/>
    </row>
    <row r="1238" spans="1:20" s="137" customFormat="1" ht="13.5" hidden="1" customHeight="1">
      <c r="A1238" s="1998">
        <f t="shared" si="266"/>
        <v>215</v>
      </c>
      <c r="B1238" s="1935" t="s">
        <v>3955</v>
      </c>
      <c r="C1238" s="1940"/>
      <c r="D1238" s="1940"/>
      <c r="E1238" s="2099"/>
      <c r="F1238" s="2099"/>
      <c r="G1238" s="2880" t="e">
        <f>#REF!</f>
        <v>#REF!</v>
      </c>
      <c r="H1238" s="2881"/>
      <c r="I1238" s="2103" t="e">
        <f>#REF!</f>
        <v>#REF!</v>
      </c>
      <c r="J1238" s="2090"/>
      <c r="K1238" s="2090" t="e">
        <f t="shared" si="268"/>
        <v>#REF!</v>
      </c>
      <c r="L1238" s="2878" t="e">
        <f t="shared" si="269"/>
        <v>#REF!</v>
      </c>
      <c r="M1238" s="2879"/>
      <c r="N1238" s="2082"/>
      <c r="O1238" s="2082" t="e">
        <f>L1238/10.76</f>
        <v>#REF!</v>
      </c>
      <c r="P1238" s="2082" t="s">
        <v>3706</v>
      </c>
      <c r="Q1238" s="2083"/>
      <c r="S1238" s="2083"/>
      <c r="T1238" s="136"/>
    </row>
    <row r="1239" spans="1:20" s="137" customFormat="1" ht="13.5" hidden="1" customHeight="1">
      <c r="A1239" s="1998"/>
      <c r="B1239" s="1940"/>
      <c r="C1239" s="1940"/>
      <c r="D1239" s="1940"/>
      <c r="E1239" s="2099"/>
      <c r="F1239" s="2099"/>
      <c r="G1239" s="2100"/>
      <c r="H1239" s="2101"/>
      <c r="I1239" s="2103"/>
      <c r="J1239" s="2090"/>
      <c r="K1239" s="2090"/>
      <c r="L1239" s="2092"/>
      <c r="M1239" s="2093"/>
      <c r="N1239" s="2082"/>
      <c r="O1239" s="2082"/>
      <c r="P1239" s="2082"/>
      <c r="Q1239" s="2083"/>
      <c r="S1239" s="2083"/>
      <c r="T1239" s="136"/>
    </row>
    <row r="1240" spans="1:20" s="175" customFormat="1" ht="13.5" hidden="1" customHeight="1">
      <c r="A1240" s="1998">
        <f>A1238+1</f>
        <v>216</v>
      </c>
      <c r="B1240" s="2003" t="s">
        <v>661</v>
      </c>
      <c r="C1240" s="2079"/>
      <c r="D1240" s="2079"/>
      <c r="E1240" s="1810"/>
      <c r="F1240" s="1810"/>
      <c r="G1240" s="3007" t="s">
        <v>390</v>
      </c>
      <c r="H1240" s="3007"/>
      <c r="I1240" s="1937">
        <v>220</v>
      </c>
      <c r="J1240" s="2090"/>
      <c r="K1240" s="2090">
        <f t="shared" si="264"/>
        <v>220</v>
      </c>
      <c r="L1240" s="2878">
        <f t="shared" si="265"/>
        <v>220</v>
      </c>
      <c r="M1240" s="2879"/>
      <c r="N1240" s="1767"/>
      <c r="O1240" s="1759" t="s">
        <v>3177</v>
      </c>
      <c r="P1240" s="1767"/>
      <c r="T1240" s="1759"/>
    </row>
    <row r="1241" spans="1:20" s="175" customFormat="1" ht="13.5" hidden="1" customHeight="1">
      <c r="A1241" s="1998">
        <f t="shared" si="266"/>
        <v>217</v>
      </c>
      <c r="B1241" s="2003" t="s">
        <v>662</v>
      </c>
      <c r="C1241" s="2079"/>
      <c r="D1241" s="2079"/>
      <c r="E1241" s="1810"/>
      <c r="F1241" s="1810"/>
      <c r="G1241" s="3007" t="s">
        <v>390</v>
      </c>
      <c r="H1241" s="3007"/>
      <c r="I1241" s="1937">
        <v>330</v>
      </c>
      <c r="J1241" s="2090"/>
      <c r="K1241" s="2090">
        <f t="shared" si="264"/>
        <v>330</v>
      </c>
      <c r="L1241" s="3005">
        <f t="shared" si="265"/>
        <v>330</v>
      </c>
      <c r="M1241" s="3006"/>
      <c r="N1241" s="1767"/>
      <c r="O1241" s="1767"/>
      <c r="P1241" s="1767"/>
      <c r="R1241" s="1759"/>
      <c r="T1241" s="1759"/>
    </row>
    <row r="1242" spans="1:20" s="175" customFormat="1" ht="13.5" hidden="1" customHeight="1">
      <c r="A1242" s="1998">
        <f t="shared" si="266"/>
        <v>218</v>
      </c>
      <c r="B1242" s="2003" t="s">
        <v>663</v>
      </c>
      <c r="C1242" s="2079"/>
      <c r="D1242" s="2079"/>
      <c r="E1242" s="1810"/>
      <c r="F1242" s="1810"/>
      <c r="G1242" s="3007" t="s">
        <v>390</v>
      </c>
      <c r="H1242" s="3007"/>
      <c r="I1242" s="1937">
        <v>210</v>
      </c>
      <c r="J1242" s="2090"/>
      <c r="K1242" s="2090">
        <f t="shared" si="264"/>
        <v>210</v>
      </c>
      <c r="L1242" s="3005">
        <f t="shared" si="265"/>
        <v>210</v>
      </c>
      <c r="M1242" s="3006"/>
      <c r="N1242" s="1767"/>
      <c r="O1242" s="1767"/>
      <c r="P1242" s="1767"/>
      <c r="Q1242" s="1759" t="s">
        <v>664</v>
      </c>
      <c r="R1242" s="1759"/>
      <c r="T1242" s="1759"/>
    </row>
    <row r="1243" spans="1:20" s="175" customFormat="1" ht="13.5" hidden="1" customHeight="1">
      <c r="A1243" s="1998">
        <f t="shared" si="266"/>
        <v>219</v>
      </c>
      <c r="B1243" s="2003" t="s">
        <v>665</v>
      </c>
      <c r="C1243" s="2079"/>
      <c r="D1243" s="2079"/>
      <c r="E1243" s="1810"/>
      <c r="F1243" s="1810"/>
      <c r="G1243" s="3007" t="s">
        <v>666</v>
      </c>
      <c r="H1243" s="3007"/>
      <c r="I1243" s="1937">
        <v>55</v>
      </c>
      <c r="J1243" s="2090"/>
      <c r="K1243" s="2090">
        <f t="shared" si="264"/>
        <v>55</v>
      </c>
      <c r="L1243" s="3005">
        <f t="shared" si="265"/>
        <v>55</v>
      </c>
      <c r="M1243" s="3006"/>
      <c r="N1243" s="1767"/>
      <c r="O1243" s="1767"/>
      <c r="P1243" s="1767"/>
      <c r="R1243" s="1759"/>
      <c r="T1243" s="1759"/>
    </row>
    <row r="1244" spans="1:20" s="175" customFormat="1" ht="13.5" hidden="1" customHeight="1">
      <c r="A1244" s="1998">
        <f t="shared" si="266"/>
        <v>220</v>
      </c>
      <c r="B1244" s="2003" t="s">
        <v>667</v>
      </c>
      <c r="C1244" s="2079"/>
      <c r="D1244" s="2079"/>
      <c r="E1244" s="1810"/>
      <c r="F1244" s="1810"/>
      <c r="G1244" s="3007" t="s">
        <v>381</v>
      </c>
      <c r="H1244" s="3007"/>
      <c r="I1244" s="1937">
        <v>4660</v>
      </c>
      <c r="J1244" s="2090"/>
      <c r="K1244" s="2090">
        <f t="shared" si="264"/>
        <v>4660</v>
      </c>
      <c r="L1244" s="3005">
        <f t="shared" si="265"/>
        <v>4660</v>
      </c>
      <c r="M1244" s="3006"/>
      <c r="N1244" s="1767"/>
      <c r="O1244" s="1767"/>
      <c r="P1244" s="1767"/>
      <c r="R1244" s="1759"/>
      <c r="T1244" s="1759"/>
    </row>
    <row r="1245" spans="1:20" s="175" customFormat="1" ht="13.5" hidden="1" customHeight="1">
      <c r="A1245" s="1998">
        <f t="shared" si="266"/>
        <v>221</v>
      </c>
      <c r="B1245" s="2003" t="s">
        <v>668</v>
      </c>
      <c r="C1245" s="2079"/>
      <c r="D1245" s="2079"/>
      <c r="E1245" s="1810"/>
      <c r="F1245" s="1810"/>
      <c r="G1245" s="3007" t="s">
        <v>666</v>
      </c>
      <c r="H1245" s="3007"/>
      <c r="I1245" s="1937">
        <v>70.5</v>
      </c>
      <c r="J1245" s="2090"/>
      <c r="K1245" s="2090">
        <f t="shared" si="264"/>
        <v>70.5</v>
      </c>
      <c r="L1245" s="3005">
        <f t="shared" si="265"/>
        <v>70.5</v>
      </c>
      <c r="M1245" s="3006"/>
      <c r="N1245" s="1767"/>
      <c r="O1245" s="1759" t="s">
        <v>450</v>
      </c>
      <c r="P1245" s="1767"/>
      <c r="T1245" s="1759"/>
    </row>
    <row r="1246" spans="1:20" s="175" customFormat="1" ht="13.5" hidden="1" customHeight="1">
      <c r="A1246" s="1998">
        <f t="shared" si="266"/>
        <v>222</v>
      </c>
      <c r="B1246" s="2003" t="s">
        <v>669</v>
      </c>
      <c r="C1246" s="2079"/>
      <c r="D1246" s="2079"/>
      <c r="E1246" s="1810"/>
      <c r="F1246" s="1810"/>
      <c r="G1246" s="3007" t="s">
        <v>666</v>
      </c>
      <c r="H1246" s="3007"/>
      <c r="I1246" s="1937">
        <v>5.45</v>
      </c>
      <c r="J1246" s="2090"/>
      <c r="K1246" s="2090">
        <f>I1246+J1246</f>
        <v>5.45</v>
      </c>
      <c r="L1246" s="3005">
        <f>ROUND(K1246,1)</f>
        <v>5.5</v>
      </c>
      <c r="M1246" s="3006"/>
      <c r="N1246" s="1767"/>
      <c r="O1246" s="1767"/>
      <c r="P1246" s="1767"/>
      <c r="T1246" s="1759"/>
    </row>
    <row r="1247" spans="1:20" s="175" customFormat="1" ht="13.5" hidden="1" customHeight="1">
      <c r="A1247" s="1998">
        <f t="shared" si="266"/>
        <v>223</v>
      </c>
      <c r="B1247" s="2003" t="s">
        <v>670</v>
      </c>
      <c r="C1247" s="2079"/>
      <c r="D1247" s="2079"/>
      <c r="E1247" s="1810"/>
      <c r="F1247" s="1810"/>
      <c r="G1247" s="3007" t="s">
        <v>671</v>
      </c>
      <c r="H1247" s="3007"/>
      <c r="I1247" s="1937">
        <v>340.2</v>
      </c>
      <c r="J1247" s="2090"/>
      <c r="K1247" s="2090">
        <f>I1247+J1247</f>
        <v>340.2</v>
      </c>
      <c r="L1247" s="3005">
        <f>ROUND(K1247,1)</f>
        <v>340.2</v>
      </c>
      <c r="M1247" s="3006"/>
      <c r="N1247" s="1767"/>
      <c r="O1247" s="1767"/>
      <c r="P1247" s="1767"/>
      <c r="T1247" s="1759"/>
    </row>
    <row r="1248" spans="1:20" s="175" customFormat="1" ht="13.5" hidden="1" customHeight="1">
      <c r="A1248" s="1998">
        <f t="shared" si="266"/>
        <v>224</v>
      </c>
      <c r="B1248" s="1884" t="s">
        <v>672</v>
      </c>
      <c r="C1248" s="2079"/>
      <c r="D1248" s="2079"/>
      <c r="E1248" s="1810"/>
      <c r="F1248" s="1810"/>
      <c r="G1248" s="3007" t="s">
        <v>390</v>
      </c>
      <c r="H1248" s="3007"/>
      <c r="I1248" s="1937">
        <v>310</v>
      </c>
      <c r="J1248" s="2090"/>
      <c r="K1248" s="2090">
        <f>I1248+J1248</f>
        <v>310</v>
      </c>
      <c r="L1248" s="3005">
        <f>ROUND(K1248,1)</f>
        <v>310</v>
      </c>
      <c r="M1248" s="3006"/>
      <c r="N1248" s="1767"/>
      <c r="O1248" s="1767"/>
      <c r="P1248" s="1767"/>
      <c r="T1248" s="1759"/>
    </row>
    <row r="1249" spans="1:20" s="175" customFormat="1" ht="13.5" hidden="1" customHeight="1">
      <c r="A1249" s="1998">
        <f t="shared" si="266"/>
        <v>225</v>
      </c>
      <c r="B1249" s="1884" t="s">
        <v>673</v>
      </c>
      <c r="C1249" s="2079"/>
      <c r="D1249" s="2079"/>
      <c r="E1249" s="1810"/>
      <c r="F1249" s="1810"/>
      <c r="G1249" s="3007" t="s">
        <v>38</v>
      </c>
      <c r="H1249" s="3007"/>
      <c r="I1249" s="1937">
        <v>55.8</v>
      </c>
      <c r="J1249" s="2090"/>
      <c r="K1249" s="2090">
        <f t="shared" ref="K1249:K1274" si="272">I1249+J1249</f>
        <v>55.8</v>
      </c>
      <c r="L1249" s="3005">
        <f t="shared" ref="L1249:L1274" si="273">ROUND(K1249,1)</f>
        <v>55.8</v>
      </c>
      <c r="M1249" s="3006"/>
      <c r="N1249" s="1767"/>
      <c r="O1249" s="1767"/>
      <c r="P1249" s="1767"/>
      <c r="T1249" s="1759"/>
    </row>
    <row r="1250" spans="1:20" s="175" customFormat="1" ht="13.5" hidden="1" customHeight="1">
      <c r="A1250" s="1998">
        <f t="shared" si="266"/>
        <v>226</v>
      </c>
      <c r="B1250" s="1884" t="s">
        <v>674</v>
      </c>
      <c r="C1250" s="2079"/>
      <c r="D1250" s="2079"/>
      <c r="E1250" s="1810"/>
      <c r="F1250" s="1810"/>
      <c r="G1250" s="3007" t="s">
        <v>38</v>
      </c>
      <c r="H1250" s="3007"/>
      <c r="I1250" s="1937">
        <v>43.1</v>
      </c>
      <c r="J1250" s="2090"/>
      <c r="K1250" s="2090">
        <f t="shared" si="272"/>
        <v>43.1</v>
      </c>
      <c r="L1250" s="3005">
        <f t="shared" si="273"/>
        <v>43.1</v>
      </c>
      <c r="M1250" s="3006"/>
      <c r="N1250" s="1767"/>
      <c r="O1250" s="1767"/>
      <c r="P1250" s="1767"/>
      <c r="T1250" s="1759"/>
    </row>
    <row r="1251" spans="1:20" s="175" customFormat="1" ht="13.5" hidden="1" customHeight="1">
      <c r="A1251" s="1998">
        <f t="shared" si="266"/>
        <v>227</v>
      </c>
      <c r="B1251" s="1884" t="s">
        <v>675</v>
      </c>
      <c r="C1251" s="2079"/>
      <c r="D1251" s="2079"/>
      <c r="E1251" s="1810"/>
      <c r="F1251" s="1810"/>
      <c r="G1251" s="3007" t="s">
        <v>38</v>
      </c>
      <c r="H1251" s="3007"/>
      <c r="I1251" s="1937">
        <v>53.7</v>
      </c>
      <c r="J1251" s="2090"/>
      <c r="K1251" s="2090">
        <f t="shared" si="272"/>
        <v>53.7</v>
      </c>
      <c r="L1251" s="3005">
        <f t="shared" si="273"/>
        <v>53.7</v>
      </c>
      <c r="M1251" s="3006"/>
      <c r="N1251" s="1767"/>
      <c r="O1251" s="1767"/>
      <c r="P1251" s="1767"/>
      <c r="Q1251" s="1759" t="s">
        <v>676</v>
      </c>
      <c r="T1251" s="1759"/>
    </row>
    <row r="1252" spans="1:20" s="175" customFormat="1" ht="13.5" hidden="1" customHeight="1">
      <c r="A1252" s="1998">
        <f t="shared" si="266"/>
        <v>228</v>
      </c>
      <c r="B1252" s="1884" t="str">
        <f>B1251</f>
        <v>Labour for taking out door &amp; window shutters and refixing the same after necessary repair including screws as may be required.</v>
      </c>
      <c r="C1252" s="2079"/>
      <c r="D1252" s="2079"/>
      <c r="E1252" s="1810"/>
      <c r="F1252" s="1810"/>
      <c r="G1252" s="3007" t="s">
        <v>38</v>
      </c>
      <c r="H1252" s="3007"/>
      <c r="I1252" s="1937">
        <v>32.700000000000003</v>
      </c>
      <c r="J1252" s="2090"/>
      <c r="K1252" s="2090">
        <f>I1252+J1252</f>
        <v>32.700000000000003</v>
      </c>
      <c r="L1252" s="3005">
        <f t="shared" si="273"/>
        <v>32.700000000000003</v>
      </c>
      <c r="M1252" s="3006"/>
      <c r="N1252" s="1767"/>
      <c r="O1252" s="1767"/>
      <c r="P1252" s="1767"/>
      <c r="Q1252" s="1759" t="s">
        <v>677</v>
      </c>
      <c r="T1252" s="1759"/>
    </row>
    <row r="1253" spans="1:20" s="175" customFormat="1" ht="13.5" hidden="1" customHeight="1">
      <c r="A1253" s="1998">
        <f t="shared" si="266"/>
        <v>229</v>
      </c>
      <c r="B1253" s="1884" t="s">
        <v>678</v>
      </c>
      <c r="C1253" s="2079"/>
      <c r="D1253" s="2079"/>
      <c r="E1253" s="1810"/>
      <c r="F1253" s="1810"/>
      <c r="G1253" s="3007" t="s">
        <v>38</v>
      </c>
      <c r="H1253" s="3007"/>
      <c r="I1253" s="1937">
        <v>3.4</v>
      </c>
      <c r="J1253" s="2090"/>
      <c r="K1253" s="2090">
        <f t="shared" si="272"/>
        <v>3.4</v>
      </c>
      <c r="L1253" s="3005">
        <f t="shared" si="273"/>
        <v>3.4</v>
      </c>
      <c r="M1253" s="3006"/>
      <c r="N1253" s="1767"/>
      <c r="O1253" s="1767"/>
      <c r="P1253" s="1767"/>
      <c r="T1253" s="1759"/>
    </row>
    <row r="1254" spans="1:20" s="175" customFormat="1" ht="13.5" hidden="1" customHeight="1">
      <c r="A1254" s="1998">
        <f t="shared" si="266"/>
        <v>230</v>
      </c>
      <c r="B1254" s="1884" t="s">
        <v>679</v>
      </c>
      <c r="C1254" s="2079"/>
      <c r="D1254" s="2079"/>
      <c r="E1254" s="1999"/>
      <c r="F1254" s="1810"/>
      <c r="G1254" s="3007" t="s">
        <v>680</v>
      </c>
      <c r="H1254" s="3007"/>
      <c r="I1254" s="1937">
        <v>90</v>
      </c>
      <c r="J1254" s="2090"/>
      <c r="K1254" s="2090">
        <f t="shared" si="272"/>
        <v>90</v>
      </c>
      <c r="L1254" s="3005">
        <f t="shared" si="273"/>
        <v>90</v>
      </c>
      <c r="M1254" s="3006"/>
      <c r="N1254" s="1767"/>
      <c r="O1254" s="1767"/>
      <c r="P1254" s="1767"/>
      <c r="T1254" s="1759"/>
    </row>
    <row r="1255" spans="1:20" s="175" customFormat="1" ht="13.5" hidden="1" customHeight="1">
      <c r="A1255" s="1998">
        <f t="shared" si="266"/>
        <v>231</v>
      </c>
      <c r="B1255" s="1884" t="s">
        <v>681</v>
      </c>
      <c r="C1255" s="2079"/>
      <c r="D1255" s="2079"/>
      <c r="E1255" s="1999"/>
      <c r="F1255" s="1810"/>
      <c r="G1255" s="3007" t="s">
        <v>38</v>
      </c>
      <c r="H1255" s="3007"/>
      <c r="I1255" s="1937">
        <v>1.5</v>
      </c>
      <c r="J1255" s="2090"/>
      <c r="K1255" s="2090">
        <f t="shared" si="272"/>
        <v>1.5</v>
      </c>
      <c r="L1255" s="3005">
        <f t="shared" si="273"/>
        <v>1.5</v>
      </c>
      <c r="M1255" s="3006"/>
      <c r="N1255" s="1767"/>
      <c r="O1255" s="1767"/>
      <c r="P1255" s="1767"/>
      <c r="T1255" s="1759"/>
    </row>
    <row r="1256" spans="1:20" s="175" customFormat="1" ht="13.5" hidden="1" customHeight="1">
      <c r="A1256" s="1998">
        <f t="shared" si="266"/>
        <v>232</v>
      </c>
      <c r="B1256" s="1884" t="s">
        <v>682</v>
      </c>
      <c r="C1256" s="2079"/>
      <c r="D1256" s="2079"/>
      <c r="E1256" s="1999"/>
      <c r="F1256" s="1810"/>
      <c r="G1256" s="3007" t="s">
        <v>390</v>
      </c>
      <c r="H1256" s="3007"/>
      <c r="I1256" s="1937">
        <v>15.2</v>
      </c>
      <c r="J1256" s="2090"/>
      <c r="K1256" s="2090">
        <f t="shared" si="272"/>
        <v>15.2</v>
      </c>
      <c r="L1256" s="3005">
        <f t="shared" si="273"/>
        <v>15.2</v>
      </c>
      <c r="M1256" s="3006"/>
      <c r="N1256" s="1767"/>
      <c r="O1256" s="1767"/>
      <c r="P1256" s="1767"/>
      <c r="T1256" s="1759"/>
    </row>
    <row r="1257" spans="1:20" s="175" customFormat="1" ht="13.5" hidden="1" customHeight="1">
      <c r="A1257" s="1998">
        <f t="shared" si="266"/>
        <v>233</v>
      </c>
      <c r="B1257" s="1884" t="s">
        <v>683</v>
      </c>
      <c r="C1257" s="2079"/>
      <c r="D1257" s="2079"/>
      <c r="E1257" s="1999"/>
      <c r="F1257" s="1810"/>
      <c r="G1257" s="3007" t="s">
        <v>684</v>
      </c>
      <c r="H1257" s="3007"/>
      <c r="I1257" s="1937">
        <v>210.5</v>
      </c>
      <c r="J1257" s="2090"/>
      <c r="K1257" s="2090">
        <f t="shared" si="272"/>
        <v>210.5</v>
      </c>
      <c r="L1257" s="3005">
        <f t="shared" si="273"/>
        <v>210.5</v>
      </c>
      <c r="M1257" s="3006"/>
      <c r="N1257" s="1767"/>
      <c r="O1257" s="1767"/>
      <c r="P1257" s="1767"/>
      <c r="T1257" s="1759"/>
    </row>
    <row r="1258" spans="1:20" s="175" customFormat="1" ht="13.5" hidden="1" customHeight="1">
      <c r="A1258" s="1998">
        <f t="shared" si="266"/>
        <v>234</v>
      </c>
      <c r="B1258" s="1884" t="s">
        <v>685</v>
      </c>
      <c r="C1258" s="2079"/>
      <c r="D1258" s="2079"/>
      <c r="E1258" s="1999"/>
      <c r="F1258" s="1810"/>
      <c r="G1258" s="3007" t="s">
        <v>684</v>
      </c>
      <c r="H1258" s="3007"/>
      <c r="I1258" s="1937">
        <v>270.8</v>
      </c>
      <c r="J1258" s="2090"/>
      <c r="K1258" s="2090">
        <f t="shared" si="272"/>
        <v>270.8</v>
      </c>
      <c r="L1258" s="3005">
        <f t="shared" si="273"/>
        <v>270.8</v>
      </c>
      <c r="M1258" s="3006"/>
      <c r="N1258" s="1767"/>
      <c r="O1258" s="1767"/>
      <c r="P1258" s="1767"/>
      <c r="T1258" s="1759"/>
    </row>
    <row r="1259" spans="1:20" s="175" customFormat="1" ht="13.5" hidden="1" customHeight="1">
      <c r="A1259" s="1998">
        <f t="shared" si="266"/>
        <v>235</v>
      </c>
      <c r="B1259" s="1884" t="s">
        <v>686</v>
      </c>
      <c r="C1259" s="2079"/>
      <c r="D1259" s="2079"/>
      <c r="E1259" s="1999"/>
      <c r="F1259" s="1810"/>
      <c r="G1259" s="3007" t="s">
        <v>390</v>
      </c>
      <c r="H1259" s="3007"/>
      <c r="I1259" s="1937">
        <v>12.1</v>
      </c>
      <c r="J1259" s="2090"/>
      <c r="K1259" s="2090">
        <f t="shared" si="272"/>
        <v>12.1</v>
      </c>
      <c r="L1259" s="3005">
        <f t="shared" si="273"/>
        <v>12.1</v>
      </c>
      <c r="M1259" s="3006"/>
      <c r="N1259" s="1767"/>
      <c r="O1259" s="1767"/>
      <c r="P1259" s="1767"/>
      <c r="T1259" s="1759"/>
    </row>
    <row r="1260" spans="1:20" s="175" customFormat="1" ht="13.5" hidden="1" customHeight="1">
      <c r="A1260" s="1998">
        <f t="shared" si="266"/>
        <v>236</v>
      </c>
      <c r="B1260" s="1884" t="s">
        <v>687</v>
      </c>
      <c r="C1260" s="2079"/>
      <c r="D1260" s="2079"/>
      <c r="E1260" s="1999"/>
      <c r="F1260" s="1810"/>
      <c r="G1260" s="3007" t="s">
        <v>390</v>
      </c>
      <c r="H1260" s="3007"/>
      <c r="I1260" s="1937">
        <v>70.099999999999994</v>
      </c>
      <c r="J1260" s="2090"/>
      <c r="K1260" s="2090">
        <f t="shared" si="272"/>
        <v>70.099999999999994</v>
      </c>
      <c r="L1260" s="3005">
        <f t="shared" si="273"/>
        <v>70.099999999999994</v>
      </c>
      <c r="M1260" s="3006"/>
      <c r="N1260" s="1767"/>
      <c r="O1260" s="1767"/>
      <c r="P1260" s="1767"/>
      <c r="T1260" s="1759"/>
    </row>
    <row r="1261" spans="1:20" s="175" customFormat="1" ht="13.5" hidden="1" customHeight="1">
      <c r="A1261" s="1998">
        <f t="shared" si="266"/>
        <v>237</v>
      </c>
      <c r="B1261" s="1884" t="s">
        <v>688</v>
      </c>
      <c r="C1261" s="2079"/>
      <c r="D1261" s="2079"/>
      <c r="E1261" s="1999"/>
      <c r="F1261" s="1810"/>
      <c r="G1261" s="3007" t="s">
        <v>689</v>
      </c>
      <c r="H1261" s="3007"/>
      <c r="I1261" s="1937">
        <v>10.9</v>
      </c>
      <c r="J1261" s="2090"/>
      <c r="K1261" s="2090">
        <f t="shared" si="272"/>
        <v>10.9</v>
      </c>
      <c r="L1261" s="3005">
        <f t="shared" si="273"/>
        <v>10.9</v>
      </c>
      <c r="M1261" s="3006"/>
      <c r="N1261" s="1767"/>
      <c r="O1261" s="1767"/>
      <c r="P1261" s="1767"/>
      <c r="T1261" s="1759"/>
    </row>
    <row r="1262" spans="1:20" s="175" customFormat="1" ht="13.5" hidden="1" customHeight="1">
      <c r="A1262" s="1998">
        <f t="shared" si="266"/>
        <v>238</v>
      </c>
      <c r="B1262" s="1884" t="s">
        <v>690</v>
      </c>
      <c r="C1262" s="2079"/>
      <c r="D1262" s="2079"/>
      <c r="E1262" s="1999"/>
      <c r="F1262" s="1810"/>
      <c r="G1262" s="3007" t="s">
        <v>38</v>
      </c>
      <c r="H1262" s="3007"/>
      <c r="I1262" s="1937">
        <v>1.2</v>
      </c>
      <c r="J1262" s="2090"/>
      <c r="K1262" s="2090">
        <f t="shared" si="272"/>
        <v>1.2</v>
      </c>
      <c r="L1262" s="3005">
        <f t="shared" si="273"/>
        <v>1.2</v>
      </c>
      <c r="M1262" s="3006"/>
      <c r="N1262" s="1767"/>
      <c r="O1262" s="1767"/>
      <c r="P1262" s="1767"/>
      <c r="T1262" s="1759"/>
    </row>
    <row r="1263" spans="1:20" s="175" customFormat="1" ht="13.5" hidden="1" customHeight="1">
      <c r="A1263" s="1998">
        <f t="shared" si="266"/>
        <v>239</v>
      </c>
      <c r="B1263" s="1884" t="s">
        <v>691</v>
      </c>
      <c r="C1263" s="2079"/>
      <c r="D1263" s="2079"/>
      <c r="E1263" s="1999"/>
      <c r="F1263" s="1810"/>
      <c r="G1263" s="3007" t="s">
        <v>390</v>
      </c>
      <c r="H1263" s="3007"/>
      <c r="I1263" s="1937">
        <v>3.5</v>
      </c>
      <c r="J1263" s="2090"/>
      <c r="K1263" s="2090">
        <f t="shared" si="272"/>
        <v>3.5</v>
      </c>
      <c r="L1263" s="3005">
        <f t="shared" si="273"/>
        <v>3.5</v>
      </c>
      <c r="M1263" s="3006"/>
      <c r="N1263" s="1767"/>
      <c r="O1263" s="1767"/>
      <c r="P1263" s="1767"/>
      <c r="T1263" s="1759"/>
    </row>
    <row r="1264" spans="1:20" s="175" customFormat="1" ht="13.5" hidden="1" customHeight="1">
      <c r="A1264" s="1823">
        <f t="shared" si="266"/>
        <v>240</v>
      </c>
      <c r="B1264" s="1884" t="s">
        <v>692</v>
      </c>
      <c r="C1264" s="2079"/>
      <c r="D1264" s="2079"/>
      <c r="E1264" s="1999"/>
      <c r="F1264" s="1810"/>
      <c r="G1264" s="3007" t="s">
        <v>390</v>
      </c>
      <c r="H1264" s="3007"/>
      <c r="I1264" s="1937">
        <v>325</v>
      </c>
      <c r="J1264" s="2090"/>
      <c r="K1264" s="2090">
        <f t="shared" si="272"/>
        <v>325</v>
      </c>
      <c r="L1264" s="3005">
        <f t="shared" si="273"/>
        <v>325</v>
      </c>
      <c r="M1264" s="3006"/>
      <c r="N1264" s="1767"/>
      <c r="O1264" s="1767"/>
      <c r="P1264" s="1767"/>
      <c r="T1264" s="1759"/>
    </row>
    <row r="1265" spans="1:20" s="175" customFormat="1" ht="13.5" hidden="1" customHeight="1">
      <c r="A1265" s="2044" t="s">
        <v>413</v>
      </c>
      <c r="B1265" s="1884" t="s">
        <v>693</v>
      </c>
      <c r="C1265" s="2079"/>
      <c r="D1265" s="2079"/>
      <c r="E1265" s="1999"/>
      <c r="F1265" s="1810"/>
      <c r="G1265" s="3007" t="s">
        <v>694</v>
      </c>
      <c r="H1265" s="3007"/>
      <c r="I1265" s="1937">
        <v>9.1999999999999993</v>
      </c>
      <c r="J1265" s="2090"/>
      <c r="K1265" s="2090">
        <f t="shared" si="272"/>
        <v>9.1999999999999993</v>
      </c>
      <c r="L1265" s="3005">
        <f t="shared" si="273"/>
        <v>9.1999999999999993</v>
      </c>
      <c r="M1265" s="3006"/>
      <c r="N1265" s="1767"/>
      <c r="O1265" s="1767"/>
      <c r="P1265" s="1767"/>
      <c r="T1265" s="1759"/>
    </row>
    <row r="1266" spans="1:20" s="175" customFormat="1" ht="13.5" hidden="1" customHeight="1">
      <c r="A1266" s="2044" t="s">
        <v>415</v>
      </c>
      <c r="B1266" s="1884" t="s">
        <v>695</v>
      </c>
      <c r="C1266" s="2079"/>
      <c r="D1266" s="2079"/>
      <c r="E1266" s="1999"/>
      <c r="F1266" s="1810"/>
      <c r="G1266" s="3007" t="s">
        <v>694</v>
      </c>
      <c r="H1266" s="3007"/>
      <c r="I1266" s="1937">
        <v>10.199999999999999</v>
      </c>
      <c r="J1266" s="2090"/>
      <c r="K1266" s="2090">
        <f t="shared" si="272"/>
        <v>10.199999999999999</v>
      </c>
      <c r="L1266" s="3005">
        <f t="shared" si="273"/>
        <v>10.199999999999999</v>
      </c>
      <c r="M1266" s="3006"/>
      <c r="N1266" s="1767"/>
      <c r="O1266" s="1767"/>
      <c r="P1266" s="1767"/>
      <c r="T1266" s="1759"/>
    </row>
    <row r="1267" spans="1:20" s="175" customFormat="1" ht="13.5" hidden="1" customHeight="1">
      <c r="A1267" s="2044" t="s">
        <v>638</v>
      </c>
      <c r="B1267" s="1884" t="s">
        <v>696</v>
      </c>
      <c r="C1267" s="2079"/>
      <c r="D1267" s="2079"/>
      <c r="E1267" s="1999"/>
      <c r="F1267" s="1810"/>
      <c r="G1267" s="3007" t="s">
        <v>694</v>
      </c>
      <c r="H1267" s="3007"/>
      <c r="I1267" s="1937">
        <v>15.2</v>
      </c>
      <c r="J1267" s="2090"/>
      <c r="K1267" s="2090">
        <f t="shared" si="272"/>
        <v>15.2</v>
      </c>
      <c r="L1267" s="3005">
        <f t="shared" si="273"/>
        <v>15.2</v>
      </c>
      <c r="M1267" s="3006"/>
      <c r="N1267" s="1767"/>
      <c r="O1267" s="1767"/>
      <c r="P1267" s="1767"/>
      <c r="T1267" s="1759"/>
    </row>
    <row r="1268" spans="1:20" s="175" customFormat="1" ht="13.5" hidden="1" customHeight="1">
      <c r="A1268" s="2044" t="s">
        <v>640</v>
      </c>
      <c r="B1268" s="1884" t="s">
        <v>697</v>
      </c>
      <c r="C1268" s="2079"/>
      <c r="D1268" s="2079"/>
      <c r="E1268" s="1999"/>
      <c r="F1268" s="1810"/>
      <c r="G1268" s="3007" t="s">
        <v>694</v>
      </c>
      <c r="H1268" s="3007"/>
      <c r="I1268" s="1937">
        <v>17.8</v>
      </c>
      <c r="J1268" s="2090"/>
      <c r="K1268" s="2090">
        <f t="shared" si="272"/>
        <v>17.8</v>
      </c>
      <c r="L1268" s="3005">
        <f t="shared" si="273"/>
        <v>17.8</v>
      </c>
      <c r="M1268" s="3006"/>
      <c r="N1268" s="1767"/>
      <c r="O1268" s="1767"/>
      <c r="P1268" s="1767"/>
      <c r="T1268" s="1759"/>
    </row>
    <row r="1269" spans="1:20" s="175" customFormat="1" ht="13.5" hidden="1" customHeight="1">
      <c r="A1269" s="2044" t="s">
        <v>642</v>
      </c>
      <c r="B1269" s="1884" t="s">
        <v>698</v>
      </c>
      <c r="C1269" s="2079"/>
      <c r="D1269" s="2079"/>
      <c r="E1269" s="1999"/>
      <c r="F1269" s="1810"/>
      <c r="G1269" s="3007" t="s">
        <v>694</v>
      </c>
      <c r="H1269" s="3007"/>
      <c r="I1269" s="1937">
        <v>22.9</v>
      </c>
      <c r="J1269" s="2090"/>
      <c r="K1269" s="2090">
        <f t="shared" si="272"/>
        <v>22.9</v>
      </c>
      <c r="L1269" s="3005">
        <f t="shared" si="273"/>
        <v>22.9</v>
      </c>
      <c r="M1269" s="3006"/>
      <c r="N1269" s="1767"/>
      <c r="O1269" s="1767"/>
      <c r="P1269" s="1767"/>
      <c r="T1269" s="1759"/>
    </row>
    <row r="1270" spans="1:20" s="175" customFormat="1" ht="13.5" hidden="1" customHeight="1">
      <c r="A1270" s="2044" t="s">
        <v>699</v>
      </c>
      <c r="B1270" s="1884" t="s">
        <v>700</v>
      </c>
      <c r="C1270" s="2079"/>
      <c r="D1270" s="2079"/>
      <c r="E1270" s="1999"/>
      <c r="F1270" s="1810"/>
      <c r="G1270" s="3007" t="s">
        <v>694</v>
      </c>
      <c r="H1270" s="3007"/>
      <c r="I1270" s="1937">
        <v>28.1</v>
      </c>
      <c r="J1270" s="2090"/>
      <c r="K1270" s="2090">
        <f t="shared" si="272"/>
        <v>28.1</v>
      </c>
      <c r="L1270" s="3005">
        <f t="shared" si="273"/>
        <v>28.1</v>
      </c>
      <c r="M1270" s="3006"/>
      <c r="N1270" s="1767"/>
      <c r="O1270" s="1767"/>
      <c r="P1270" s="1767"/>
      <c r="T1270" s="1759"/>
    </row>
    <row r="1271" spans="1:20" s="175" customFormat="1" ht="13.5" hidden="1" customHeight="1">
      <c r="A1271" s="2044" t="s">
        <v>701</v>
      </c>
      <c r="B1271" s="1884" t="s">
        <v>702</v>
      </c>
      <c r="C1271" s="2079"/>
      <c r="D1271" s="2079"/>
      <c r="E1271" s="1999"/>
      <c r="F1271" s="1810"/>
      <c r="G1271" s="3007" t="s">
        <v>694</v>
      </c>
      <c r="H1271" s="3007"/>
      <c r="I1271" s="1937">
        <v>42.2</v>
      </c>
      <c r="J1271" s="2090"/>
      <c r="K1271" s="2090">
        <f t="shared" si="272"/>
        <v>42.2</v>
      </c>
      <c r="L1271" s="3005">
        <f t="shared" si="273"/>
        <v>42.2</v>
      </c>
      <c r="M1271" s="3006"/>
      <c r="N1271" s="1767"/>
      <c r="O1271" s="1767"/>
      <c r="P1271" s="1767"/>
      <c r="T1271" s="1759"/>
    </row>
    <row r="1272" spans="1:20" s="175" customFormat="1" ht="13.5" hidden="1" customHeight="1">
      <c r="A1272" s="2044" t="s">
        <v>703</v>
      </c>
      <c r="B1272" s="1884" t="s">
        <v>704</v>
      </c>
      <c r="C1272" s="2079"/>
      <c r="D1272" s="2079"/>
      <c r="E1272" s="1999"/>
      <c r="F1272" s="1810"/>
      <c r="G1272" s="3007" t="s">
        <v>694</v>
      </c>
      <c r="H1272" s="3007"/>
      <c r="I1272" s="1937">
        <v>73.2</v>
      </c>
      <c r="J1272" s="2090"/>
      <c r="K1272" s="2090">
        <f t="shared" si="272"/>
        <v>73.2</v>
      </c>
      <c r="L1272" s="3005">
        <f t="shared" si="273"/>
        <v>73.2</v>
      </c>
      <c r="M1272" s="3006"/>
      <c r="N1272" s="1767"/>
      <c r="O1272" s="1767"/>
      <c r="P1272" s="1767"/>
      <c r="T1272" s="1759"/>
    </row>
    <row r="1273" spans="1:20" s="175" customFormat="1" ht="13.5" hidden="1" customHeight="1">
      <c r="A1273" s="1998">
        <f>A1264+1</f>
        <v>241</v>
      </c>
      <c r="B1273" s="1884" t="s">
        <v>3956</v>
      </c>
      <c r="C1273" s="2079"/>
      <c r="D1273" s="2079"/>
      <c r="E1273" s="1999"/>
      <c r="F1273" s="1810"/>
      <c r="G1273" s="3007" t="s">
        <v>390</v>
      </c>
      <c r="H1273" s="3007"/>
      <c r="I1273" s="1937">
        <v>326</v>
      </c>
      <c r="J1273" s="2090"/>
      <c r="K1273" s="2090">
        <f t="shared" si="272"/>
        <v>326</v>
      </c>
      <c r="L1273" s="3005">
        <f t="shared" si="273"/>
        <v>326</v>
      </c>
      <c r="M1273" s="3006"/>
      <c r="N1273" s="1767"/>
      <c r="O1273" s="1767"/>
      <c r="P1273" s="1767"/>
      <c r="T1273" s="1759"/>
    </row>
    <row r="1274" spans="1:20" s="175" customFormat="1" ht="13.5" hidden="1" customHeight="1">
      <c r="A1274" s="1711">
        <f t="shared" si="266"/>
        <v>242</v>
      </c>
      <c r="B1274" s="1884" t="s">
        <v>3956</v>
      </c>
      <c r="C1274" s="2079"/>
      <c r="D1274" s="2079"/>
      <c r="E1274" s="1999"/>
      <c r="F1274" s="1810"/>
      <c r="G1274" s="3007" t="s">
        <v>390</v>
      </c>
      <c r="H1274" s="3007"/>
      <c r="I1274" s="1937">
        <v>327</v>
      </c>
      <c r="J1274" s="2090"/>
      <c r="K1274" s="2090">
        <f t="shared" si="272"/>
        <v>327</v>
      </c>
      <c r="L1274" s="3005">
        <f t="shared" si="273"/>
        <v>327</v>
      </c>
      <c r="M1274" s="3005"/>
      <c r="N1274" s="1767"/>
      <c r="O1274" s="1767"/>
      <c r="P1274" s="1767"/>
      <c r="T1274" s="1759"/>
    </row>
    <row r="1275" spans="1:20" s="175" customFormat="1" hidden="1">
      <c r="A1275" s="1711">
        <f t="shared" si="266"/>
        <v>243</v>
      </c>
      <c r="B1275" s="1884" t="s">
        <v>3189</v>
      </c>
      <c r="C1275" s="2079"/>
      <c r="D1275" s="2079"/>
      <c r="E1275" s="1999"/>
      <c r="F1275" s="1810"/>
      <c r="G1275" s="3007" t="s">
        <v>3191</v>
      </c>
      <c r="H1275" s="3007"/>
      <c r="I1275" s="1723"/>
      <c r="J1275" s="1721"/>
      <c r="K1275" s="1721"/>
      <c r="L1275" s="3005"/>
      <c r="M1275" s="3005"/>
      <c r="N1275" s="1767"/>
      <c r="O1275" s="1759" t="s">
        <v>3190</v>
      </c>
      <c r="P1275" s="1767"/>
      <c r="T1275" s="1759"/>
    </row>
    <row r="1276" spans="1:20" s="175" customFormat="1" hidden="1">
      <c r="A1276" s="1711">
        <f t="shared" si="266"/>
        <v>244</v>
      </c>
      <c r="B1276" s="1884" t="s">
        <v>3194</v>
      </c>
      <c r="C1276" s="2079"/>
      <c r="D1276" s="2079"/>
      <c r="E1276" s="1999"/>
      <c r="F1276" s="1810"/>
      <c r="G1276" s="3007" t="s">
        <v>3196</v>
      </c>
      <c r="H1276" s="3007"/>
      <c r="I1276" s="1723"/>
      <c r="J1276" s="1721"/>
      <c r="K1276" s="1721"/>
      <c r="L1276" s="3005"/>
      <c r="M1276" s="3005"/>
      <c r="N1276" s="1767"/>
      <c r="O1276" s="2075" t="s">
        <v>3195</v>
      </c>
      <c r="P1276" s="1767"/>
      <c r="T1276" s="1759"/>
    </row>
    <row r="1277" spans="1:20" s="175" customFormat="1" hidden="1">
      <c r="A1277" s="1711">
        <f t="shared" si="266"/>
        <v>245</v>
      </c>
      <c r="B1277" s="1884" t="s">
        <v>3202</v>
      </c>
      <c r="C1277" s="2079"/>
      <c r="D1277" s="2079"/>
      <c r="E1277" s="1999"/>
      <c r="F1277" s="1810"/>
      <c r="G1277" s="3007" t="s">
        <v>3191</v>
      </c>
      <c r="H1277" s="3007"/>
      <c r="I1277" s="1723"/>
      <c r="J1277" s="1721"/>
      <c r="K1277" s="1721"/>
      <c r="L1277" s="3005"/>
      <c r="M1277" s="3005"/>
      <c r="N1277" s="1767"/>
      <c r="O1277" s="2075" t="s">
        <v>3203</v>
      </c>
      <c r="P1277" s="1767"/>
      <c r="T1277" s="1759"/>
    </row>
    <row r="1278" spans="1:20" s="175" customFormat="1" hidden="1">
      <c r="A1278" s="1711">
        <f t="shared" si="266"/>
        <v>246</v>
      </c>
      <c r="B1278" s="1884" t="s">
        <v>3204</v>
      </c>
      <c r="C1278" s="2079"/>
      <c r="D1278" s="2079"/>
      <c r="E1278" s="1999"/>
      <c r="F1278" s="1810"/>
      <c r="G1278" s="3007" t="s">
        <v>3191</v>
      </c>
      <c r="H1278" s="3007"/>
      <c r="I1278" s="1723"/>
      <c r="J1278" s="1721"/>
      <c r="K1278" s="1721"/>
      <c r="L1278" s="3005"/>
      <c r="M1278" s="3005"/>
      <c r="N1278" s="1767"/>
      <c r="O1278" s="2075" t="s">
        <v>3205</v>
      </c>
      <c r="P1278" s="1767"/>
      <c r="T1278" s="1759"/>
    </row>
    <row r="1279" spans="1:20" s="175" customFormat="1" hidden="1">
      <c r="A1279" s="1766"/>
      <c r="B1279" s="2104"/>
      <c r="C1279" s="1762"/>
      <c r="D1279" s="1762"/>
      <c r="E1279" s="1766"/>
      <c r="F1279" s="1766"/>
      <c r="G1279" s="2105"/>
      <c r="H1279" s="2105"/>
      <c r="I1279" s="1768"/>
      <c r="J1279" s="1728"/>
      <c r="K1279" s="1728"/>
      <c r="L1279" s="1767"/>
      <c r="M1279" s="1767"/>
      <c r="N1279" s="1767"/>
      <c r="O1279" s="1767"/>
      <c r="P1279" s="1767"/>
      <c r="T1279" s="1759"/>
    </row>
    <row r="1280" spans="1:20" s="175" customFormat="1" hidden="1">
      <c r="A1280" s="1766"/>
      <c r="B1280" s="2104"/>
      <c r="C1280" s="1762"/>
      <c r="D1280" s="1762"/>
      <c r="E1280" s="1766"/>
      <c r="F1280" s="1766"/>
      <c r="G1280" s="2105"/>
      <c r="H1280" s="2105"/>
      <c r="I1280" s="1768"/>
      <c r="J1280" s="1728"/>
      <c r="K1280" s="1728"/>
      <c r="L1280" s="1767"/>
      <c r="M1280" s="1767"/>
      <c r="N1280" s="1767"/>
      <c r="O1280" s="1767"/>
      <c r="P1280" s="1767"/>
      <c r="T1280" s="1759"/>
    </row>
    <row r="1281" spans="1:20" s="175" customFormat="1" hidden="1">
      <c r="A1281" s="1766"/>
      <c r="B1281" s="2104"/>
      <c r="C1281" s="1762"/>
      <c r="D1281" s="1762"/>
      <c r="E1281" s="1766"/>
      <c r="F1281" s="1766"/>
      <c r="G1281" s="2105"/>
      <c r="H1281" s="2105"/>
      <c r="I1281" s="1768"/>
      <c r="J1281" s="1728"/>
      <c r="K1281" s="1728"/>
      <c r="L1281" s="1767"/>
      <c r="M1281" s="1767"/>
      <c r="N1281" s="1767"/>
      <c r="O1281" s="1767"/>
      <c r="P1281" s="1767"/>
      <c r="T1281" s="1759"/>
    </row>
    <row r="1282" spans="1:20" s="175" customFormat="1" hidden="1">
      <c r="A1282" s="1766"/>
      <c r="B1282" s="2104"/>
      <c r="C1282" s="1762"/>
      <c r="D1282" s="1762"/>
      <c r="E1282" s="1766"/>
      <c r="F1282" s="1766"/>
      <c r="G1282" s="2105"/>
      <c r="H1282" s="2105"/>
      <c r="I1282" s="1768"/>
      <c r="J1282" s="1728"/>
      <c r="K1282" s="1728"/>
      <c r="L1282" s="1767"/>
      <c r="M1282" s="1767"/>
      <c r="N1282" s="1767"/>
      <c r="O1282" s="1767"/>
      <c r="P1282" s="1767"/>
      <c r="T1282" s="1759"/>
    </row>
    <row r="1283" spans="1:20" s="175" customFormat="1" hidden="1">
      <c r="A1283" s="1766"/>
      <c r="B1283" s="2104"/>
      <c r="C1283" s="1762"/>
      <c r="D1283" s="1762"/>
      <c r="E1283" s="1766"/>
      <c r="F1283" s="1766"/>
      <c r="G1283" s="2105"/>
      <c r="H1283" s="2105"/>
      <c r="I1283" s="1768"/>
      <c r="J1283" s="1728"/>
      <c r="K1283" s="1728"/>
      <c r="L1283" s="1767"/>
      <c r="M1283" s="1767"/>
      <c r="N1283" s="1767"/>
      <c r="O1283" s="1767"/>
      <c r="P1283" s="1767"/>
      <c r="T1283" s="1759"/>
    </row>
    <row r="1284" spans="1:20" s="175" customFormat="1" hidden="1">
      <c r="A1284" s="1766"/>
      <c r="B1284" s="2104"/>
      <c r="C1284" s="1762"/>
      <c r="D1284" s="1762"/>
      <c r="E1284" s="1766"/>
      <c r="F1284" s="1766"/>
      <c r="G1284" s="2105"/>
      <c r="H1284" s="2105"/>
      <c r="I1284" s="1768"/>
      <c r="J1284" s="1728"/>
      <c r="K1284" s="1728"/>
      <c r="L1284" s="1767"/>
      <c r="M1284" s="1767"/>
      <c r="N1284" s="1767"/>
      <c r="O1284" s="1767"/>
      <c r="P1284" s="1767"/>
      <c r="T1284" s="1759"/>
    </row>
    <row r="1285" spans="1:20" s="175" customFormat="1" hidden="1">
      <c r="A1285" s="1766"/>
      <c r="B1285" s="2104"/>
      <c r="C1285" s="1762"/>
      <c r="D1285" s="1762"/>
      <c r="E1285" s="1766"/>
      <c r="F1285" s="1766"/>
      <c r="G1285" s="2105"/>
      <c r="H1285" s="2105"/>
      <c r="I1285" s="1768"/>
      <c r="J1285" s="1728"/>
      <c r="K1285" s="1728"/>
      <c r="L1285" s="1767"/>
      <c r="M1285" s="1767"/>
      <c r="N1285" s="1767"/>
      <c r="O1285" s="1767"/>
      <c r="P1285" s="1767"/>
      <c r="T1285" s="1759"/>
    </row>
    <row r="1286" spans="1:20" s="175" customFormat="1" hidden="1">
      <c r="A1286" s="1766"/>
      <c r="B1286" s="2104"/>
      <c r="C1286" s="1762"/>
      <c r="D1286" s="1762"/>
      <c r="E1286" s="1766"/>
      <c r="F1286" s="1766"/>
      <c r="G1286" s="2105"/>
      <c r="H1286" s="2105"/>
      <c r="I1286" s="1768"/>
      <c r="J1286" s="1728"/>
      <c r="K1286" s="1728"/>
      <c r="L1286" s="1767"/>
      <c r="M1286" s="1767"/>
      <c r="N1286" s="1767"/>
      <c r="O1286" s="1767"/>
      <c r="P1286" s="1767"/>
      <c r="T1286" s="1759"/>
    </row>
    <row r="1287" spans="1:20" s="175" customFormat="1" hidden="1">
      <c r="A1287" s="1766"/>
      <c r="B1287" s="2104"/>
      <c r="C1287" s="1762"/>
      <c r="D1287" s="1762"/>
      <c r="E1287" s="1766"/>
      <c r="F1287" s="1766"/>
      <c r="G1287" s="2105"/>
      <c r="H1287" s="2105"/>
      <c r="I1287" s="1768"/>
      <c r="J1287" s="1728"/>
      <c r="K1287" s="1728"/>
      <c r="L1287" s="1767"/>
      <c r="M1287" s="1767"/>
      <c r="N1287" s="1767"/>
      <c r="O1287" s="1767"/>
      <c r="P1287" s="1767"/>
      <c r="T1287" s="1759"/>
    </row>
    <row r="1288" spans="1:20" s="175" customFormat="1" hidden="1">
      <c r="A1288" s="1766"/>
      <c r="B1288" s="2104"/>
      <c r="C1288" s="1762"/>
      <c r="D1288" s="1762"/>
      <c r="E1288" s="1766"/>
      <c r="F1288" s="1766"/>
      <c r="G1288" s="2105"/>
      <c r="H1288" s="2105"/>
      <c r="I1288" s="1768"/>
      <c r="J1288" s="1728"/>
      <c r="K1288" s="1728"/>
      <c r="L1288" s="1767"/>
      <c r="M1288" s="1767"/>
      <c r="N1288" s="1767"/>
      <c r="O1288" s="1767"/>
      <c r="P1288" s="1767"/>
      <c r="T1288" s="1759"/>
    </row>
    <row r="1289" spans="1:20" s="175" customFormat="1" hidden="1">
      <c r="A1289" s="1766"/>
      <c r="B1289" s="2104"/>
      <c r="C1289" s="1762"/>
      <c r="D1289" s="1762"/>
      <c r="E1289" s="1766"/>
      <c r="F1289" s="1766"/>
      <c r="G1289" s="2105"/>
      <c r="H1289" s="2105"/>
      <c r="I1289" s="1768"/>
      <c r="J1289" s="1728"/>
      <c r="K1289" s="1728"/>
      <c r="L1289" s="1767"/>
      <c r="M1289" s="1767"/>
      <c r="N1289" s="1767"/>
      <c r="O1289" s="1767"/>
      <c r="P1289" s="1767"/>
      <c r="T1289" s="1759"/>
    </row>
    <row r="1290" spans="1:20" s="175" customFormat="1" hidden="1">
      <c r="A1290" s="1766"/>
      <c r="B1290" s="2104"/>
      <c r="C1290" s="1762"/>
      <c r="D1290" s="1762"/>
      <c r="E1290" s="1766"/>
      <c r="F1290" s="1766"/>
      <c r="G1290" s="2105"/>
      <c r="H1290" s="2105"/>
      <c r="I1290" s="1768"/>
      <c r="J1290" s="1728"/>
      <c r="K1290" s="1728"/>
      <c r="L1290" s="1767"/>
      <c r="M1290" s="1767"/>
      <c r="N1290" s="1767"/>
      <c r="O1290" s="1767"/>
      <c r="P1290" s="1767"/>
      <c r="T1290" s="1759"/>
    </row>
    <row r="1291" spans="1:20" s="175" customFormat="1" hidden="1">
      <c r="A1291" s="1766"/>
      <c r="B1291" s="2104"/>
      <c r="C1291" s="1762"/>
      <c r="D1291" s="1762"/>
      <c r="E1291" s="1766"/>
      <c r="F1291" s="1766"/>
      <c r="G1291" s="2105"/>
      <c r="H1291" s="2105"/>
      <c r="I1291" s="1768"/>
      <c r="J1291" s="1728"/>
      <c r="K1291" s="1728"/>
      <c r="L1291" s="1767"/>
      <c r="M1291" s="1767"/>
      <c r="N1291" s="1767"/>
      <c r="O1291" s="1767"/>
      <c r="P1291" s="1767"/>
      <c r="T1291" s="1759"/>
    </row>
    <row r="1292" spans="1:20" s="175" customFormat="1" hidden="1">
      <c r="A1292" s="1766"/>
      <c r="B1292" s="2104"/>
      <c r="C1292" s="1762"/>
      <c r="D1292" s="1762"/>
      <c r="E1292" s="1766"/>
      <c r="F1292" s="1766"/>
      <c r="G1292" s="2105"/>
      <c r="H1292" s="2105"/>
      <c r="I1292" s="1768"/>
      <c r="J1292" s="1728"/>
      <c r="K1292" s="1728"/>
      <c r="L1292" s="1767"/>
      <c r="M1292" s="1767"/>
      <c r="N1292" s="1767"/>
      <c r="O1292" s="1767"/>
      <c r="P1292" s="1767"/>
      <c r="T1292" s="1759"/>
    </row>
    <row r="1293" spans="1:20" s="1759" customFormat="1" hidden="1">
      <c r="A1293" s="1766"/>
      <c r="B1293" s="3014" t="str">
        <f>B144</f>
        <v>Junior Engineer</v>
      </c>
      <c r="C1293" s="3014"/>
      <c r="D1293" s="1766"/>
      <c r="E1293" s="1766"/>
      <c r="F1293" s="1766"/>
      <c r="H1293" s="1766" t="str">
        <f>G144</f>
        <v>Assistant Executive Engineer</v>
      </c>
      <c r="I1293" s="1766"/>
      <c r="J1293" s="1766"/>
      <c r="L1293" s="1766" t="str">
        <f>L144</f>
        <v>Block Development Officer</v>
      </c>
    </row>
    <row r="1294" spans="1:20" s="1759" customFormat="1" hidden="1">
      <c r="A1294" s="1766"/>
      <c r="B1294" s="3014" t="str">
        <f>B145</f>
        <v>Bhuban  Block</v>
      </c>
      <c r="C1294" s="3014"/>
      <c r="D1294" s="1766"/>
      <c r="E1294" s="1766"/>
      <c r="F1294" s="1766"/>
      <c r="H1294" s="1766" t="str">
        <f>G145</f>
        <v>Bhuban  Block</v>
      </c>
      <c r="I1294" s="1766"/>
      <c r="J1294" s="1766"/>
      <c r="L1294" s="1766" t="str">
        <f>L145</f>
        <v>Bhuban</v>
      </c>
    </row>
    <row r="1295" spans="1:20" s="175" customFormat="1" hidden="1">
      <c r="A1295" s="1766"/>
      <c r="B1295" s="1762"/>
      <c r="C1295" s="1762"/>
      <c r="D1295" s="1762"/>
      <c r="E1295" s="1766"/>
      <c r="F1295" s="1766"/>
      <c r="H1295" s="1762"/>
      <c r="I1295" s="1762"/>
      <c r="J1295" s="1762"/>
      <c r="L1295" s="1762"/>
      <c r="T1295" s="1759"/>
    </row>
    <row r="1296" spans="1:20" ht="21.75" customHeight="1">
      <c r="A1296" s="2937" t="s">
        <v>705</v>
      </c>
      <c r="B1296" s="2937"/>
      <c r="C1296" s="2937"/>
      <c r="D1296" s="2937"/>
      <c r="E1296" s="2937"/>
      <c r="F1296" s="2937"/>
      <c r="G1296" s="2937"/>
      <c r="H1296" s="2937"/>
      <c r="I1296" s="2937"/>
      <c r="J1296" s="2937"/>
      <c r="K1296" s="2937"/>
      <c r="L1296" s="2937"/>
      <c r="M1296" s="2937"/>
      <c r="N1296" s="1704"/>
      <c r="O1296" s="1704"/>
      <c r="P1296" s="1704"/>
    </row>
    <row r="1297" spans="1:17" ht="15.6" customHeight="1">
      <c r="A1297" s="3015" t="str">
        <f>A2</f>
        <v>NAME OF THE WORK:-</v>
      </c>
      <c r="B1297" s="3015"/>
      <c r="C1297" s="3015"/>
      <c r="D1297" s="3016" t="str">
        <f>D2</f>
        <v>Dining Hall of Damasal School</v>
      </c>
      <c r="E1297" s="3016"/>
      <c r="F1297" s="3016"/>
      <c r="G1297" s="3016"/>
      <c r="H1297" s="3016"/>
      <c r="I1297" s="3016"/>
      <c r="J1297" s="3016"/>
      <c r="K1297" s="3016"/>
      <c r="L1297" s="3016"/>
      <c r="M1297" s="3016"/>
      <c r="N1297" s="2106"/>
      <c r="O1297" s="2106"/>
      <c r="P1297" s="2106"/>
    </row>
    <row r="1298" spans="1:17" ht="15.6" customHeight="1">
      <c r="A1298" s="3015" t="str">
        <f>A3</f>
        <v>NAME OF THE G.P.:-</v>
      </c>
      <c r="B1298" s="3015"/>
      <c r="C1298" s="3015"/>
      <c r="D1298" s="3016" t="str">
        <f>D3</f>
        <v>Odisha</v>
      </c>
      <c r="E1298" s="3016"/>
      <c r="F1298" s="3016"/>
      <c r="G1298" s="3016"/>
      <c r="H1298" s="3016"/>
      <c r="I1298" s="3016"/>
      <c r="J1298" s="3016"/>
      <c r="K1298" s="3016"/>
      <c r="L1298" s="3016"/>
      <c r="M1298" s="3016"/>
      <c r="N1298" s="2106"/>
      <c r="O1298" s="2106"/>
      <c r="P1298" s="2106"/>
    </row>
    <row r="1299" spans="1:17" ht="15.6" customHeight="1">
      <c r="A1299" s="3015" t="str">
        <f>A4</f>
        <v>NAME OF THE SCHEME:-</v>
      </c>
      <c r="B1299" s="3015"/>
      <c r="C1299" s="3015"/>
      <c r="D1299" s="3016">
        <f>D4</f>
        <v>0</v>
      </c>
      <c r="E1299" s="3016"/>
      <c r="F1299" s="3016"/>
      <c r="G1299" s="3016"/>
      <c r="H1299" s="3016"/>
      <c r="I1299" s="3016"/>
      <c r="J1299" s="3016"/>
      <c r="K1299" s="3016"/>
      <c r="L1299" s="3016"/>
      <c r="M1299" s="3016"/>
      <c r="N1299" s="2106"/>
      <c r="O1299" s="2106"/>
      <c r="P1299" s="2106"/>
    </row>
    <row r="1300" spans="1:17" ht="12" customHeight="1">
      <c r="A1300" s="2107" t="s">
        <v>375</v>
      </c>
      <c r="B1300" s="3026" t="s">
        <v>706</v>
      </c>
      <c r="C1300" s="3027"/>
      <c r="D1300" s="3028"/>
      <c r="E1300" s="3012" t="s">
        <v>1</v>
      </c>
      <c r="F1300" s="3013"/>
      <c r="G1300" s="3012" t="s">
        <v>707</v>
      </c>
      <c r="H1300" s="3013"/>
      <c r="I1300" s="2107" t="s">
        <v>1</v>
      </c>
      <c r="J1300" s="2108" t="s">
        <v>708</v>
      </c>
      <c r="K1300" s="2108" t="s">
        <v>709</v>
      </c>
      <c r="L1300" s="3012" t="s">
        <v>710</v>
      </c>
      <c r="M1300" s="3013"/>
      <c r="N1300" s="196"/>
      <c r="O1300" s="196"/>
      <c r="P1300" s="196"/>
    </row>
    <row r="1301" spans="1:17" ht="12.75" customHeight="1">
      <c r="A1301" s="2109" t="s">
        <v>37</v>
      </c>
      <c r="B1301" s="3029"/>
      <c r="C1301" s="3030"/>
      <c r="D1301" s="3031"/>
      <c r="E1301" s="2968"/>
      <c r="F1301" s="2970"/>
      <c r="G1301" s="2968"/>
      <c r="H1301" s="2970"/>
      <c r="I1301" s="2109" t="s">
        <v>151</v>
      </c>
      <c r="J1301" s="2110" t="s">
        <v>44</v>
      </c>
      <c r="K1301" s="2110" t="s">
        <v>44</v>
      </c>
      <c r="L1301" s="2968"/>
      <c r="M1301" s="2970"/>
      <c r="N1301" s="2111"/>
      <c r="O1301" s="2111"/>
      <c r="P1301" s="2111"/>
    </row>
    <row r="1302" spans="1:17">
      <c r="A1302" s="1840">
        <v>1</v>
      </c>
      <c r="B1302" s="3022">
        <v>2</v>
      </c>
      <c r="C1302" s="3023"/>
      <c r="D1302" s="3024"/>
      <c r="E1302" s="3018">
        <v>3</v>
      </c>
      <c r="F1302" s="3019"/>
      <c r="G1302" s="3022">
        <v>4</v>
      </c>
      <c r="H1302" s="3024"/>
      <c r="I1302" s="1840">
        <v>5</v>
      </c>
      <c r="J1302" s="2112">
        <v>6</v>
      </c>
      <c r="K1302" s="2112">
        <v>7</v>
      </c>
      <c r="L1302" s="3022">
        <v>8</v>
      </c>
      <c r="M1302" s="3024"/>
      <c r="N1302" s="196"/>
      <c r="O1302" s="196"/>
      <c r="P1302" s="196"/>
      <c r="Q1302" s="1705" t="s">
        <v>711</v>
      </c>
    </row>
    <row r="1303" spans="1:17" ht="12.75" hidden="1">
      <c r="A1303" s="2113" t="s">
        <v>712</v>
      </c>
      <c r="B1303" s="2113"/>
      <c r="C1303" s="2113"/>
      <c r="D1303" s="2113"/>
      <c r="E1303" s="188"/>
      <c r="F1303" s="188"/>
      <c r="G1303" s="2114"/>
      <c r="H1303" s="2114"/>
      <c r="I1303" s="2114"/>
      <c r="J1303" s="2114"/>
      <c r="K1303" s="2114"/>
      <c r="L1303" s="2114"/>
      <c r="M1303" s="2114"/>
      <c r="N1303" s="2114"/>
      <c r="O1303" s="196"/>
      <c r="P1303" s="196"/>
      <c r="Q1303" s="2115" t="s">
        <v>713</v>
      </c>
    </row>
    <row r="1304" spans="1:17" ht="43.15" hidden="1" customHeight="1">
      <c r="A1304" s="2114">
        <f>A270</f>
        <v>1</v>
      </c>
      <c r="B1304" s="3017" t="str">
        <f>B270</f>
        <v>Dismantling &amp; removing RCC Columns / Beams / Slab including stacking the useful materials for reuse  &amp;  removing the debris within 50m lead  with  cost  of  all labour etc. complete.</v>
      </c>
      <c r="C1304" s="3017"/>
      <c r="D1304" s="3017"/>
      <c r="E1304" s="2116" t="str">
        <f>G270</f>
        <v>Each Cum</v>
      </c>
      <c r="F1304" s="2116"/>
      <c r="G1304" s="2117"/>
      <c r="H1304" s="2117"/>
      <c r="I1304" s="2118"/>
      <c r="J1304" s="2117"/>
      <c r="K1304" s="2117"/>
      <c r="L1304" s="2119"/>
      <c r="M1304" s="2117"/>
      <c r="N1304" s="2117"/>
      <c r="O1304" s="2111"/>
      <c r="P1304" s="2111"/>
    </row>
    <row r="1305" spans="1:17" ht="12.75" hidden="1">
      <c r="A1305" s="2114" t="str">
        <f>A271</f>
        <v>(i)</v>
      </c>
      <c r="B1305" s="192" t="str">
        <f>B271</f>
        <v>Ground Floor</v>
      </c>
      <c r="C1305" s="675"/>
      <c r="D1305" s="675"/>
      <c r="E1305" s="2120" t="str">
        <f>E1304</f>
        <v>Each Cum</v>
      </c>
      <c r="F1305" s="2120"/>
      <c r="G1305" s="2117"/>
      <c r="H1305" s="2117"/>
      <c r="I1305" s="2118"/>
      <c r="J1305" s="2117"/>
      <c r="K1305" s="2117"/>
      <c r="L1305" s="2119"/>
      <c r="M1305" s="2117"/>
      <c r="N1305" s="2117"/>
      <c r="O1305" s="2111"/>
      <c r="P1305" s="2111"/>
    </row>
    <row r="1306" spans="1:17" ht="12.75" hidden="1">
      <c r="A1306" s="2114"/>
      <c r="B1306" s="192" t="s">
        <v>714</v>
      </c>
      <c r="C1306" s="568"/>
      <c r="D1306" s="568"/>
      <c r="E1306" s="2121"/>
      <c r="F1306" s="2121"/>
      <c r="G1306" s="568"/>
      <c r="H1306" s="2117"/>
      <c r="I1306" s="2118"/>
      <c r="J1306" s="568"/>
      <c r="K1306" s="568"/>
      <c r="L1306" s="2119"/>
      <c r="M1306" s="2117"/>
      <c r="N1306" s="2117"/>
      <c r="O1306" s="2111"/>
      <c r="P1306" s="2111"/>
    </row>
    <row r="1307" spans="1:17" ht="12.75" hidden="1">
      <c r="A1307" s="2114"/>
      <c r="B1307" s="192" t="s">
        <v>715</v>
      </c>
      <c r="C1307" s="192"/>
      <c r="D1307" s="568"/>
      <c r="E1307" s="2121"/>
      <c r="F1307" s="2121"/>
      <c r="G1307" s="568"/>
      <c r="H1307" s="2117"/>
      <c r="I1307" s="2118"/>
      <c r="J1307" s="568"/>
      <c r="K1307" s="568"/>
      <c r="L1307" s="2119"/>
      <c r="M1307" s="2117"/>
      <c r="N1307" s="2117"/>
      <c r="O1307" s="2111"/>
      <c r="P1307" s="2111"/>
    </row>
    <row r="1308" spans="1:17" ht="12.75" hidden="1">
      <c r="A1308" s="2114"/>
      <c r="B1308" s="568" t="s">
        <v>716</v>
      </c>
      <c r="C1308" s="568"/>
      <c r="D1308" s="568"/>
      <c r="E1308" s="2121"/>
      <c r="F1308" s="2121"/>
      <c r="G1308" s="2122">
        <v>1.5</v>
      </c>
      <c r="H1308" s="2117" t="s">
        <v>262</v>
      </c>
      <c r="I1308" s="2118" t="s">
        <v>38</v>
      </c>
      <c r="J1308" s="2123">
        <f>L135</f>
        <v>385</v>
      </c>
      <c r="K1308" s="2123">
        <f>ROUND(G1308*J1308,2)</f>
        <v>577.5</v>
      </c>
      <c r="L1308" s="2119"/>
      <c r="M1308" s="2117"/>
      <c r="N1308" s="2117"/>
      <c r="O1308" s="2111"/>
      <c r="P1308" s="2111"/>
    </row>
    <row r="1309" spans="1:17" ht="12.75" hidden="1">
      <c r="A1309" s="2114"/>
      <c r="B1309" s="568" t="s">
        <v>717</v>
      </c>
      <c r="C1309" s="568"/>
      <c r="D1309" s="568"/>
      <c r="E1309" s="2121"/>
      <c r="F1309" s="2121"/>
      <c r="G1309" s="2122">
        <v>1.5</v>
      </c>
      <c r="H1309" s="2117" t="s">
        <v>262</v>
      </c>
      <c r="I1309" s="2118" t="s">
        <v>38</v>
      </c>
      <c r="J1309" s="2123">
        <f>L134</f>
        <v>345</v>
      </c>
      <c r="K1309" s="2123">
        <f>ROUND(G1309*J1309,2)</f>
        <v>517.5</v>
      </c>
      <c r="L1309" s="2119"/>
      <c r="M1309" s="2117"/>
      <c r="N1309" s="2117"/>
      <c r="O1309" s="2111"/>
      <c r="P1309" s="2111"/>
    </row>
    <row r="1310" spans="1:17" ht="12.75" hidden="1">
      <c r="A1310" s="2114"/>
      <c r="B1310" s="568"/>
      <c r="C1310" s="568"/>
      <c r="D1310" s="568"/>
      <c r="E1310" s="2121"/>
      <c r="F1310" s="2121"/>
      <c r="G1310" s="2122"/>
      <c r="H1310" s="2117"/>
      <c r="I1310" s="2118"/>
      <c r="J1310" s="2114" t="s">
        <v>718</v>
      </c>
      <c r="K1310" s="2124">
        <f>K1308+K1309</f>
        <v>1095</v>
      </c>
      <c r="L1310" s="2119"/>
      <c r="M1310" s="2117"/>
      <c r="N1310" s="2117"/>
      <c r="O1310" s="2111"/>
      <c r="P1310" s="2111"/>
    </row>
    <row r="1311" spans="1:17" ht="12.75" hidden="1">
      <c r="A1311" s="2114"/>
      <c r="B1311" s="192"/>
      <c r="C1311" s="568"/>
      <c r="D1311" s="568"/>
      <c r="E1311" s="2121"/>
      <c r="F1311" s="2121"/>
      <c r="G1311" s="568"/>
      <c r="H1311" s="2117"/>
      <c r="I1311" s="2118"/>
      <c r="J1311" s="568"/>
      <c r="K1311" s="2124"/>
      <c r="L1311" s="2119"/>
      <c r="M1311" s="2117"/>
      <c r="N1311" s="2117"/>
      <c r="O1311" s="2111"/>
      <c r="P1311" s="2111"/>
    </row>
    <row r="1312" spans="1:17" ht="12.75" hidden="1">
      <c r="A1312" s="2114"/>
      <c r="B1312" s="192" t="s">
        <v>719</v>
      </c>
      <c r="C1312" s="568"/>
      <c r="D1312" s="568"/>
      <c r="E1312" s="2121"/>
      <c r="F1312" s="2121"/>
      <c r="G1312" s="568"/>
      <c r="H1312" s="2117"/>
      <c r="I1312" s="2125">
        <v>0.02</v>
      </c>
      <c r="J1312" s="568"/>
      <c r="K1312" s="2124">
        <f>ROUND(K1310*I1312,2)</f>
        <v>21.9</v>
      </c>
      <c r="L1312" s="2119"/>
      <c r="M1312" s="2117"/>
      <c r="N1312" s="2117"/>
      <c r="O1312" s="2111"/>
      <c r="P1312" s="2111"/>
    </row>
    <row r="1313" spans="1:27" ht="12.75" hidden="1">
      <c r="A1313" s="2114"/>
      <c r="B1313" s="568" t="s">
        <v>720</v>
      </c>
      <c r="C1313" s="568"/>
      <c r="D1313" s="568"/>
      <c r="E1313" s="2121"/>
      <c r="F1313" s="2121"/>
      <c r="G1313" s="568"/>
      <c r="H1313" s="2117"/>
      <c r="I1313" s="2118"/>
      <c r="J1313" s="2114" t="s">
        <v>718</v>
      </c>
      <c r="K1313" s="2124">
        <f>SUM(K1310:K1312)</f>
        <v>1116.9000000000001</v>
      </c>
      <c r="L1313" s="192" t="s">
        <v>721</v>
      </c>
      <c r="M1313" s="2117"/>
      <c r="N1313" s="2117"/>
      <c r="O1313" s="2111"/>
      <c r="P1313" s="2111"/>
      <c r="Y1313" s="1705" t="s">
        <v>49</v>
      </c>
      <c r="Z1313" s="1709">
        <f>K1310</f>
        <v>1095</v>
      </c>
      <c r="AA1313" s="1709">
        <f>K1312</f>
        <v>21.9</v>
      </c>
    </row>
    <row r="1314" spans="1:27" ht="12.75" hidden="1">
      <c r="A1314" s="2114" t="str">
        <f>A272</f>
        <v>(ii)</v>
      </c>
      <c r="B1314" s="2119" t="str">
        <f>B272</f>
        <v>First Floor</v>
      </c>
      <c r="C1314" s="568"/>
      <c r="D1314" s="568"/>
      <c r="E1314" s="2120" t="str">
        <f>E1304</f>
        <v>Each Cum</v>
      </c>
      <c r="F1314" s="2120"/>
      <c r="G1314" s="2122"/>
      <c r="H1314" s="568"/>
      <c r="I1314" s="2118"/>
      <c r="J1314" s="2123"/>
      <c r="K1314" s="2123"/>
      <c r="L1314" s="192"/>
      <c r="M1314" s="568"/>
    </row>
    <row r="1315" spans="1:27" ht="12.75" hidden="1">
      <c r="A1315" s="2114"/>
      <c r="B1315" s="568" t="s">
        <v>722</v>
      </c>
      <c r="C1315" s="568"/>
      <c r="D1315" s="568"/>
      <c r="E1315" s="188"/>
      <c r="F1315" s="188"/>
      <c r="G1315" s="2122"/>
      <c r="H1315" s="568"/>
      <c r="I1315" s="2118"/>
      <c r="J1315" s="2123"/>
      <c r="K1315" s="2123">
        <f>K1313</f>
        <v>1116.9000000000001</v>
      </c>
      <c r="L1315" s="192"/>
      <c r="M1315" s="568"/>
    </row>
    <row r="1316" spans="1:27" ht="12.75" hidden="1">
      <c r="A1316" s="2114"/>
      <c r="B1316" s="568" t="s">
        <v>723</v>
      </c>
      <c r="C1316" s="568"/>
      <c r="D1316" s="568"/>
      <c r="E1316" s="188"/>
      <c r="F1316" s="188"/>
      <c r="G1316" s="2122"/>
      <c r="H1316" s="568"/>
      <c r="I1316" s="2118"/>
      <c r="J1316" s="2123"/>
      <c r="K1316" s="2123">
        <f>ROUND(K1310*1*5%,2)</f>
        <v>54.75</v>
      </c>
      <c r="L1316" s="192"/>
      <c r="M1316" s="568"/>
    </row>
    <row r="1317" spans="1:27" ht="12.75" hidden="1">
      <c r="A1317" s="2114"/>
      <c r="B1317" s="568"/>
      <c r="C1317" s="568"/>
      <c r="D1317" s="568"/>
      <c r="E1317" s="188"/>
      <c r="F1317" s="188"/>
      <c r="G1317" s="2122"/>
      <c r="H1317" s="568"/>
      <c r="I1317" s="2118"/>
      <c r="J1317" s="2126" t="s">
        <v>718</v>
      </c>
      <c r="K1317" s="2124">
        <f>SUM(K1315:K1316)</f>
        <v>1171.6500000000001</v>
      </c>
      <c r="L1317" s="192" t="s">
        <v>721</v>
      </c>
      <c r="M1317" s="568"/>
      <c r="Y1317" s="1705" t="s">
        <v>49</v>
      </c>
      <c r="Z1317" s="1709">
        <f>Z1313+K1316</f>
        <v>1149.75</v>
      </c>
      <c r="AA1317" s="1709">
        <f>K1312</f>
        <v>21.9</v>
      </c>
    </row>
    <row r="1318" spans="1:27" ht="12.75" hidden="1">
      <c r="A1318" s="2114" t="str">
        <f>A273</f>
        <v>(iii)</v>
      </c>
      <c r="B1318" s="2119" t="str">
        <f>B273</f>
        <v>Second Floor</v>
      </c>
      <c r="C1318" s="568"/>
      <c r="D1318" s="568"/>
      <c r="E1318" s="2120" t="str">
        <f>E1314</f>
        <v>Each Cum</v>
      </c>
      <c r="F1318" s="2120"/>
      <c r="G1318" s="2122"/>
      <c r="H1318" s="568"/>
      <c r="I1318" s="2118"/>
      <c r="J1318" s="2123"/>
      <c r="K1318" s="2123"/>
      <c r="L1318" s="192"/>
      <c r="M1318" s="568"/>
    </row>
    <row r="1319" spans="1:27" ht="12.75" hidden="1">
      <c r="A1319" s="2114"/>
      <c r="B1319" s="568" t="s">
        <v>950</v>
      </c>
      <c r="C1319" s="568"/>
      <c r="D1319" s="568"/>
      <c r="E1319" s="188"/>
      <c r="F1319" s="188"/>
      <c r="G1319" s="2122"/>
      <c r="H1319" s="568"/>
      <c r="I1319" s="2118"/>
      <c r="J1319" s="2123"/>
      <c r="K1319" s="2123">
        <f>K1317</f>
        <v>1171.6500000000001</v>
      </c>
      <c r="L1319" s="192"/>
      <c r="M1319" s="568"/>
      <c r="O1319" s="1709">
        <f>K1313</f>
        <v>1116.9000000000001</v>
      </c>
    </row>
    <row r="1320" spans="1:27" ht="12.75" hidden="1">
      <c r="A1320" s="2114"/>
      <c r="B1320" s="568" t="s">
        <v>723</v>
      </c>
      <c r="C1320" s="568"/>
      <c r="D1320" s="568"/>
      <c r="E1320" s="188"/>
      <c r="F1320" s="188"/>
      <c r="G1320" s="2122"/>
      <c r="H1320" s="568"/>
      <c r="I1320" s="2118"/>
      <c r="J1320" s="2123"/>
      <c r="K1320" s="2123">
        <f>K1316+(K1316*5%)</f>
        <v>57.487499999999997</v>
      </c>
      <c r="L1320" s="192"/>
      <c r="M1320" s="568"/>
      <c r="O1320" s="1705">
        <f>(K1310*10%)</f>
        <v>109.5</v>
      </c>
    </row>
    <row r="1321" spans="1:27" ht="12.75" hidden="1">
      <c r="A1321" s="2114"/>
      <c r="B1321" s="568"/>
      <c r="C1321" s="568"/>
      <c r="D1321" s="568"/>
      <c r="E1321" s="188"/>
      <c r="F1321" s="188"/>
      <c r="G1321" s="2122"/>
      <c r="H1321" s="568"/>
      <c r="I1321" s="2118"/>
      <c r="J1321" s="2126" t="s">
        <v>718</v>
      </c>
      <c r="K1321" s="2124">
        <f>SUM(K1319:K1320)</f>
        <v>1229.1375</v>
      </c>
      <c r="L1321" s="192" t="s">
        <v>721</v>
      </c>
      <c r="M1321" s="568"/>
      <c r="O1321" s="1709">
        <f>SUM(O1319:O1320)</f>
        <v>1226.4000000000001</v>
      </c>
      <c r="Y1321" s="1705" t="s">
        <v>49</v>
      </c>
      <c r="Z1321" s="1709">
        <f>Z1317+K1320</f>
        <v>1207.2375</v>
      </c>
      <c r="AA1321" s="1709">
        <f>K1316</f>
        <v>54.75</v>
      </c>
    </row>
    <row r="1322" spans="1:27" ht="12.75" hidden="1">
      <c r="A1322" s="2114" t="str">
        <f>A279</f>
        <v>(iv)</v>
      </c>
      <c r="B1322" s="2119" t="str">
        <f>B274</f>
        <v>Third Floor</v>
      </c>
      <c r="C1322" s="568"/>
      <c r="D1322" s="568"/>
      <c r="E1322" s="2120" t="str">
        <f>E1318</f>
        <v>Each Cum</v>
      </c>
      <c r="F1322" s="2120"/>
      <c r="G1322" s="2122"/>
      <c r="H1322" s="568"/>
      <c r="I1322" s="2118"/>
      <c r="J1322" s="2123"/>
      <c r="K1322" s="2123"/>
      <c r="L1322" s="192"/>
      <c r="M1322" s="568"/>
    </row>
    <row r="1323" spans="1:27" ht="12.75" hidden="1">
      <c r="A1323" s="2114"/>
      <c r="B1323" s="568" t="s">
        <v>3637</v>
      </c>
      <c r="C1323" s="568"/>
      <c r="D1323" s="568"/>
      <c r="E1323" s="188"/>
      <c r="F1323" s="188"/>
      <c r="G1323" s="2122"/>
      <c r="H1323" s="568"/>
      <c r="I1323" s="2118"/>
      <c r="J1323" s="2123"/>
      <c r="K1323" s="2123">
        <f>K1321</f>
        <v>1229.1375</v>
      </c>
      <c r="L1323" s="192"/>
      <c r="M1323" s="568"/>
      <c r="O1323" s="1709">
        <f>K1313</f>
        <v>1116.9000000000001</v>
      </c>
    </row>
    <row r="1324" spans="1:27" ht="12.75" hidden="1">
      <c r="A1324" s="2114"/>
      <c r="B1324" s="568" t="s">
        <v>723</v>
      </c>
      <c r="C1324" s="568"/>
      <c r="D1324" s="568"/>
      <c r="E1324" s="188"/>
      <c r="F1324" s="188"/>
      <c r="G1324" s="2122"/>
      <c r="H1324" s="568"/>
      <c r="I1324" s="2118"/>
      <c r="J1324" s="2123"/>
      <c r="K1324" s="2123">
        <f>K1320+(K1320*5%)</f>
        <v>60.361874999999998</v>
      </c>
      <c r="L1324" s="192"/>
      <c r="M1324" s="568"/>
      <c r="O1324" s="1705">
        <f>K1310*15%</f>
        <v>164.25</v>
      </c>
    </row>
    <row r="1325" spans="1:27" ht="12.75" hidden="1">
      <c r="A1325" s="2114"/>
      <c r="B1325" s="568"/>
      <c r="C1325" s="568"/>
      <c r="D1325" s="568"/>
      <c r="E1325" s="188"/>
      <c r="F1325" s="188"/>
      <c r="G1325" s="2122"/>
      <c r="H1325" s="568"/>
      <c r="I1325" s="2118"/>
      <c r="J1325" s="2126" t="s">
        <v>718</v>
      </c>
      <c r="K1325" s="2124">
        <f>SUM(K1323:K1324)</f>
        <v>1289.4993750000001</v>
      </c>
      <c r="L1325" s="192" t="s">
        <v>721</v>
      </c>
      <c r="M1325" s="568"/>
      <c r="O1325" s="1709">
        <f>SUM(O1323:O1324)</f>
        <v>1281.1500000000001</v>
      </c>
      <c r="Y1325" s="1705" t="s">
        <v>49</v>
      </c>
      <c r="Z1325" s="1709">
        <f>Z1321+K1324</f>
        <v>1267.599375</v>
      </c>
      <c r="AA1325" s="1709">
        <f>K1320</f>
        <v>57.487499999999997</v>
      </c>
    </row>
    <row r="1326" spans="1:27" ht="42.6" hidden="1" customHeight="1">
      <c r="A1326" s="2114">
        <f>A275</f>
        <v>2</v>
      </c>
      <c r="B1326" s="3017" t="str">
        <f>B275</f>
        <v>Dismantling &amp; removing Brick / Stone Masonry in C.M./L.M. including stacking the useful materials for reuse  &amp;  removing the debris within 50m lead  with  cost  of  all labour etc. complete.</v>
      </c>
      <c r="C1326" s="3017"/>
      <c r="D1326" s="3017"/>
      <c r="E1326" s="2116" t="str">
        <f>G275</f>
        <v>Each Cum</v>
      </c>
      <c r="F1326" s="2116"/>
      <c r="G1326" s="2117"/>
      <c r="H1326" s="2117"/>
      <c r="I1326" s="2118"/>
      <c r="J1326" s="2114"/>
      <c r="K1326" s="2117"/>
      <c r="L1326" s="2119"/>
      <c r="M1326" s="2117"/>
      <c r="N1326" s="2111"/>
      <c r="O1326" s="2111"/>
      <c r="P1326" s="2111"/>
    </row>
    <row r="1327" spans="1:27" ht="12.75" hidden="1">
      <c r="A1327" s="2114" t="str">
        <f>A276</f>
        <v>(i)</v>
      </c>
      <c r="B1327" s="192" t="str">
        <f>B276</f>
        <v>Ground Floor</v>
      </c>
      <c r="C1327" s="675"/>
      <c r="D1327" s="675"/>
      <c r="E1327" s="2120" t="str">
        <f>E1326</f>
        <v>Each Cum</v>
      </c>
      <c r="F1327" s="2120"/>
      <c r="G1327" s="2117"/>
      <c r="H1327" s="2117"/>
      <c r="I1327" s="2118"/>
      <c r="J1327" s="2117"/>
      <c r="K1327" s="2117"/>
      <c r="L1327" s="2119"/>
      <c r="M1327" s="2117"/>
      <c r="N1327" s="2111"/>
      <c r="O1327" s="2111"/>
      <c r="P1327" s="2111"/>
    </row>
    <row r="1328" spans="1:27" ht="12.75" hidden="1">
      <c r="A1328" s="2114"/>
      <c r="B1328" s="568" t="s">
        <v>724</v>
      </c>
      <c r="C1328" s="568"/>
      <c r="D1328" s="568"/>
      <c r="E1328" s="2121"/>
      <c r="F1328" s="2121"/>
      <c r="G1328" s="568"/>
      <c r="H1328" s="2117"/>
      <c r="I1328" s="2118"/>
      <c r="J1328" s="568"/>
      <c r="K1328" s="568"/>
      <c r="L1328" s="2119"/>
      <c r="M1328" s="2117"/>
      <c r="N1328" s="2111"/>
      <c r="O1328" s="2111"/>
      <c r="P1328" s="2111"/>
    </row>
    <row r="1329" spans="1:27" ht="12.75" hidden="1">
      <c r="A1329" s="2114"/>
      <c r="B1329" s="192" t="s">
        <v>715</v>
      </c>
      <c r="C1329" s="192"/>
      <c r="D1329" s="568"/>
      <c r="E1329" s="2121"/>
      <c r="F1329" s="2121"/>
      <c r="G1329" s="568"/>
      <c r="H1329" s="2117"/>
      <c r="I1329" s="2118"/>
      <c r="J1329" s="568"/>
      <c r="K1329" s="568"/>
      <c r="L1329" s="2119"/>
      <c r="M1329" s="2117"/>
      <c r="N1329" s="2111"/>
      <c r="O1329" s="2111"/>
      <c r="P1329" s="2111"/>
    </row>
    <row r="1330" spans="1:27" ht="12.75" hidden="1">
      <c r="A1330" s="2114"/>
      <c r="B1330" s="568" t="s">
        <v>717</v>
      </c>
      <c r="C1330" s="568"/>
      <c r="D1330" s="568"/>
      <c r="E1330" s="2121"/>
      <c r="F1330" s="2121"/>
      <c r="G1330" s="2122">
        <v>8.5</v>
      </c>
      <c r="H1330" s="2117" t="s">
        <v>262</v>
      </c>
      <c r="I1330" s="2118" t="s">
        <v>38</v>
      </c>
      <c r="J1330" s="2123">
        <f>L134</f>
        <v>345</v>
      </c>
      <c r="K1330" s="2123">
        <f>ROUND(G1330*J1330,2)</f>
        <v>2932.5</v>
      </c>
      <c r="L1330" s="2119"/>
      <c r="M1330" s="2117"/>
      <c r="N1330" s="2111"/>
      <c r="O1330" s="2111"/>
      <c r="P1330" s="2111"/>
    </row>
    <row r="1331" spans="1:27" ht="12.75" hidden="1">
      <c r="A1331" s="2114"/>
      <c r="B1331" s="568"/>
      <c r="C1331" s="568"/>
      <c r="D1331" s="568"/>
      <c r="E1331" s="2121"/>
      <c r="F1331" s="2121"/>
      <c r="G1331" s="2122"/>
      <c r="H1331" s="2117"/>
      <c r="I1331" s="2118"/>
      <c r="J1331" s="2114" t="s">
        <v>718</v>
      </c>
      <c r="K1331" s="2124">
        <f>K1330</f>
        <v>2932.5</v>
      </c>
      <c r="L1331" s="2119"/>
      <c r="M1331" s="2117"/>
      <c r="N1331" s="2111"/>
      <c r="O1331" s="2111"/>
      <c r="P1331" s="2111"/>
    </row>
    <row r="1332" spans="1:27" ht="12.75" hidden="1">
      <c r="A1332" s="2114"/>
      <c r="B1332" s="192"/>
      <c r="C1332" s="568"/>
      <c r="D1332" s="568"/>
      <c r="E1332" s="2121"/>
      <c r="F1332" s="2121"/>
      <c r="G1332" s="568"/>
      <c r="H1332" s="2117"/>
      <c r="I1332" s="2118"/>
      <c r="J1332" s="568"/>
      <c r="K1332" s="2124"/>
      <c r="L1332" s="2119"/>
      <c r="M1332" s="2117"/>
      <c r="N1332" s="2111"/>
      <c r="O1332" s="2111"/>
      <c r="P1332" s="2111"/>
    </row>
    <row r="1333" spans="1:27" ht="12.75" hidden="1">
      <c r="A1333" s="2114"/>
      <c r="B1333" s="192" t="s">
        <v>719</v>
      </c>
      <c r="C1333" s="568"/>
      <c r="D1333" s="568"/>
      <c r="E1333" s="2121"/>
      <c r="F1333" s="2121"/>
      <c r="G1333" s="568"/>
      <c r="H1333" s="2117"/>
      <c r="I1333" s="2125">
        <v>0.02</v>
      </c>
      <c r="J1333" s="568"/>
      <c r="K1333" s="2124">
        <f>ROUND(K1331*I1333,2)</f>
        <v>58.65</v>
      </c>
      <c r="L1333" s="2119"/>
      <c r="M1333" s="2117"/>
      <c r="N1333" s="2111"/>
      <c r="O1333" s="2111"/>
      <c r="P1333" s="2111"/>
    </row>
    <row r="1334" spans="1:27" ht="12.75" hidden="1">
      <c r="A1334" s="2114"/>
      <c r="B1334" s="192" t="s">
        <v>725</v>
      </c>
      <c r="C1334" s="568"/>
      <c r="D1334" s="568"/>
      <c r="E1334" s="2121"/>
      <c r="F1334" s="2121"/>
      <c r="G1334" s="568"/>
      <c r="H1334" s="2117"/>
      <c r="I1334" s="2118"/>
      <c r="J1334" s="568"/>
      <c r="K1334" s="2124">
        <f>SUM(K1331:K1333)</f>
        <v>2991.15</v>
      </c>
      <c r="L1334" s="2119"/>
      <c r="M1334" s="2117"/>
      <c r="N1334" s="2111"/>
      <c r="O1334" s="2111"/>
      <c r="P1334" s="2111"/>
    </row>
    <row r="1335" spans="1:27" ht="12.75" hidden="1">
      <c r="A1335" s="2114"/>
      <c r="B1335" s="192" t="s">
        <v>726</v>
      </c>
      <c r="C1335" s="568"/>
      <c r="D1335" s="568"/>
      <c r="E1335" s="2121"/>
      <c r="F1335" s="2121"/>
      <c r="G1335" s="568"/>
      <c r="H1335" s="2117"/>
      <c r="I1335" s="2118"/>
      <c r="J1335" s="2114" t="s">
        <v>718</v>
      </c>
      <c r="K1335" s="2124">
        <f>ROUND(K1334/2.83,2)</f>
        <v>1056.94</v>
      </c>
      <c r="L1335" s="192" t="s">
        <v>721</v>
      </c>
      <c r="M1335" s="2117"/>
      <c r="N1335" s="2111"/>
      <c r="O1335" s="2111"/>
      <c r="P1335" s="2111"/>
      <c r="Y1335" s="1705" t="s">
        <v>49</v>
      </c>
      <c r="Z1335" s="1705">
        <f>K1331/2.83</f>
        <v>1036.2190812720848</v>
      </c>
      <c r="AA1335" s="1709">
        <f>K1333/2.83</f>
        <v>20.724381625441694</v>
      </c>
    </row>
    <row r="1336" spans="1:27" ht="12.75" hidden="1">
      <c r="A1336" s="2114" t="str">
        <f>A277</f>
        <v>(ii)</v>
      </c>
      <c r="B1336" s="192" t="str">
        <f>B277</f>
        <v>First Floor</v>
      </c>
      <c r="C1336" s="568"/>
      <c r="D1336" s="568"/>
      <c r="E1336" s="2120" t="str">
        <f>E1326</f>
        <v>Each Cum</v>
      </c>
      <c r="F1336" s="2120"/>
      <c r="G1336" s="2122"/>
      <c r="H1336" s="568"/>
      <c r="I1336" s="2118"/>
      <c r="J1336" s="2123"/>
      <c r="K1336" s="2123"/>
      <c r="L1336" s="192"/>
      <c r="M1336" s="568"/>
    </row>
    <row r="1337" spans="1:27" ht="12.75" hidden="1">
      <c r="A1337" s="2114"/>
      <c r="B1337" s="568" t="s">
        <v>722</v>
      </c>
      <c r="C1337" s="568"/>
      <c r="D1337" s="568"/>
      <c r="E1337" s="188"/>
      <c r="F1337" s="188"/>
      <c r="G1337" s="2122"/>
      <c r="H1337" s="568"/>
      <c r="I1337" s="2118"/>
      <c r="J1337" s="2123"/>
      <c r="K1337" s="2123">
        <f>K1335</f>
        <v>1056.94</v>
      </c>
      <c r="L1337" s="192"/>
      <c r="M1337" s="568"/>
    </row>
    <row r="1338" spans="1:27" ht="12.75" hidden="1">
      <c r="A1338" s="2114"/>
      <c r="B1338" s="568" t="s">
        <v>723</v>
      </c>
      <c r="C1338" s="568"/>
      <c r="D1338" s="568"/>
      <c r="E1338" s="188"/>
      <c r="F1338" s="188"/>
      <c r="G1338" s="2122"/>
      <c r="H1338" s="568"/>
      <c r="I1338" s="2118"/>
      <c r="J1338" s="2126"/>
      <c r="K1338" s="2123">
        <f>ROUND(K1331/2.83*1*5%,2)</f>
        <v>51.81</v>
      </c>
      <c r="L1338" s="192"/>
      <c r="M1338" s="568"/>
      <c r="Y1338" s="1705" t="s">
        <v>49</v>
      </c>
      <c r="Z1338" s="1709">
        <f>Z1335+K1338</f>
        <v>1088.0290812720848</v>
      </c>
      <c r="AA1338" s="1709">
        <f>AA1335</f>
        <v>20.724381625441694</v>
      </c>
    </row>
    <row r="1339" spans="1:27" ht="12.75" hidden="1">
      <c r="A1339" s="2114"/>
      <c r="B1339" s="568"/>
      <c r="C1339" s="568"/>
      <c r="D1339" s="568"/>
      <c r="E1339" s="188"/>
      <c r="F1339" s="188"/>
      <c r="G1339" s="2122"/>
      <c r="H1339" s="568"/>
      <c r="I1339" s="2118"/>
      <c r="J1339" s="2126" t="s">
        <v>718</v>
      </c>
      <c r="K1339" s="2124">
        <f>SUM(K1337:K1338)</f>
        <v>1108.75</v>
      </c>
      <c r="L1339" s="192" t="s">
        <v>721</v>
      </c>
      <c r="M1339" s="568"/>
    </row>
    <row r="1340" spans="1:27" ht="12.75" hidden="1">
      <c r="A1340" s="2114" t="str">
        <f>A1318</f>
        <v>(iii)</v>
      </c>
      <c r="B1340" s="192" t="str">
        <f>B1318</f>
        <v>Second Floor</v>
      </c>
      <c r="C1340" s="568"/>
      <c r="D1340" s="568"/>
      <c r="E1340" s="2120" t="str">
        <f>E1336</f>
        <v>Each Cum</v>
      </c>
      <c r="F1340" s="2120"/>
      <c r="G1340" s="2122"/>
      <c r="H1340" s="568"/>
      <c r="I1340" s="2118"/>
      <c r="J1340" s="2123"/>
      <c r="K1340" s="2123"/>
      <c r="L1340" s="192"/>
      <c r="M1340" s="568"/>
    </row>
    <row r="1341" spans="1:27" ht="12.75" hidden="1">
      <c r="A1341" s="2114"/>
      <c r="B1341" s="568" t="s">
        <v>950</v>
      </c>
      <c r="C1341" s="568"/>
      <c r="D1341" s="568"/>
      <c r="E1341" s="188"/>
      <c r="F1341" s="188"/>
      <c r="G1341" s="2122"/>
      <c r="H1341" s="568"/>
      <c r="I1341" s="2118"/>
      <c r="J1341" s="2123"/>
      <c r="K1341" s="2123">
        <f>K1339</f>
        <v>1108.75</v>
      </c>
      <c r="L1341" s="192"/>
      <c r="M1341" s="568"/>
    </row>
    <row r="1342" spans="1:27" ht="12.75" hidden="1">
      <c r="A1342" s="2114"/>
      <c r="B1342" s="568" t="s">
        <v>723</v>
      </c>
      <c r="C1342" s="568"/>
      <c r="D1342" s="568"/>
      <c r="E1342" s="188"/>
      <c r="F1342" s="188"/>
      <c r="G1342" s="2122"/>
      <c r="H1342" s="568"/>
      <c r="I1342" s="2118"/>
      <c r="J1342" s="2126"/>
      <c r="K1342" s="2123">
        <f>K1338+(K1338*5%)</f>
        <v>54.400500000000001</v>
      </c>
      <c r="L1342" s="192"/>
      <c r="M1342" s="568"/>
      <c r="Y1342" s="1705" t="s">
        <v>49</v>
      </c>
      <c r="Z1342" s="1709">
        <f>Z1339+K1342</f>
        <v>54.400500000000001</v>
      </c>
      <c r="AA1342" s="1709">
        <f>AA1339</f>
        <v>0</v>
      </c>
    </row>
    <row r="1343" spans="1:27" ht="12.75" hidden="1">
      <c r="A1343" s="2114"/>
      <c r="B1343" s="568"/>
      <c r="C1343" s="568"/>
      <c r="D1343" s="568"/>
      <c r="E1343" s="188"/>
      <c r="F1343" s="188"/>
      <c r="G1343" s="2122"/>
      <c r="H1343" s="568"/>
      <c r="I1343" s="2118"/>
      <c r="J1343" s="2126" t="s">
        <v>718</v>
      </c>
      <c r="K1343" s="2124">
        <f>SUM(K1341:K1342)</f>
        <v>1163.1505</v>
      </c>
      <c r="L1343" s="192" t="s">
        <v>721</v>
      </c>
      <c r="M1343" s="568"/>
    </row>
    <row r="1344" spans="1:27" ht="12.75" hidden="1">
      <c r="A1344" s="2114" t="str">
        <f>A1322</f>
        <v>(iv)</v>
      </c>
      <c r="B1344" s="192" t="str">
        <f>B1322</f>
        <v>Third Floor</v>
      </c>
      <c r="C1344" s="568"/>
      <c r="D1344" s="568"/>
      <c r="E1344" s="2120" t="str">
        <f>E1340</f>
        <v>Each Cum</v>
      </c>
      <c r="F1344" s="2120"/>
      <c r="G1344" s="2122"/>
      <c r="H1344" s="568"/>
      <c r="I1344" s="2118"/>
      <c r="J1344" s="2123"/>
      <c r="K1344" s="2123"/>
      <c r="L1344" s="192"/>
      <c r="M1344" s="568"/>
    </row>
    <row r="1345" spans="1:27" ht="12.75" hidden="1">
      <c r="A1345" s="2114"/>
      <c r="B1345" s="568" t="s">
        <v>950</v>
      </c>
      <c r="C1345" s="568"/>
      <c r="D1345" s="568"/>
      <c r="E1345" s="188"/>
      <c r="F1345" s="188"/>
      <c r="G1345" s="2122"/>
      <c r="H1345" s="568"/>
      <c r="I1345" s="2118"/>
      <c r="J1345" s="2123"/>
      <c r="K1345" s="2123">
        <f>K1343</f>
        <v>1163.1505</v>
      </c>
      <c r="L1345" s="192"/>
      <c r="M1345" s="568"/>
    </row>
    <row r="1346" spans="1:27" ht="12.75" hidden="1">
      <c r="A1346" s="2114"/>
      <c r="B1346" s="568" t="s">
        <v>723</v>
      </c>
      <c r="C1346" s="568"/>
      <c r="D1346" s="568"/>
      <c r="E1346" s="188"/>
      <c r="F1346" s="188"/>
      <c r="G1346" s="2122"/>
      <c r="H1346" s="568"/>
      <c r="I1346" s="2118"/>
      <c r="J1346" s="2126"/>
      <c r="K1346" s="2123">
        <f>K1342+(K1342*5%)</f>
        <v>57.120525000000001</v>
      </c>
      <c r="L1346" s="192"/>
      <c r="M1346" s="568"/>
      <c r="Y1346" s="1705" t="s">
        <v>49</v>
      </c>
      <c r="Z1346" s="1709">
        <f>Z1343+K1346</f>
        <v>57.120525000000001</v>
      </c>
      <c r="AA1346" s="1709">
        <f>AA1343</f>
        <v>0</v>
      </c>
    </row>
    <row r="1347" spans="1:27" ht="12.75" hidden="1">
      <c r="A1347" s="2114"/>
      <c r="B1347" s="568"/>
      <c r="C1347" s="568"/>
      <c r="D1347" s="568"/>
      <c r="E1347" s="188"/>
      <c r="F1347" s="188"/>
      <c r="G1347" s="2122"/>
      <c r="H1347" s="568"/>
      <c r="I1347" s="2118"/>
      <c r="J1347" s="2126" t="s">
        <v>718</v>
      </c>
      <c r="K1347" s="2124">
        <f>SUM(K1345:K1346)</f>
        <v>1220.271025</v>
      </c>
      <c r="L1347" s="192" t="s">
        <v>721</v>
      </c>
      <c r="M1347" s="568"/>
    </row>
    <row r="1348" spans="1:27" ht="43.15" hidden="1" customHeight="1">
      <c r="A1348" s="2114">
        <f>A280</f>
        <v>3</v>
      </c>
      <c r="B1348" s="3017" t="str">
        <f>B280</f>
        <v>Dismantling &amp; removing 2.5cm thick A.S. Flooring including stacking the useful materials for reuse  &amp;  removing the debris within 50m lead  with  cost  of  all labour etc. complete.</v>
      </c>
      <c r="C1348" s="3017"/>
      <c r="D1348" s="3017"/>
      <c r="E1348" s="2116" t="str">
        <f>G280</f>
        <v>Each Sqm</v>
      </c>
      <c r="F1348" s="2116"/>
      <c r="G1348" s="2117"/>
      <c r="H1348" s="2117"/>
      <c r="I1348" s="2118"/>
      <c r="J1348" s="2117"/>
      <c r="K1348" s="2117"/>
      <c r="L1348" s="2119"/>
      <c r="M1348" s="2117"/>
      <c r="N1348" s="2111"/>
      <c r="O1348" s="2111"/>
      <c r="P1348" s="2111"/>
    </row>
    <row r="1349" spans="1:27" ht="12.75" hidden="1">
      <c r="A1349" s="2114" t="str">
        <f>A281</f>
        <v>(i)</v>
      </c>
      <c r="B1349" s="192" t="str">
        <f>B281</f>
        <v>Ground Floor</v>
      </c>
      <c r="C1349" s="675"/>
      <c r="D1349" s="675"/>
      <c r="E1349" s="2120" t="str">
        <f>E1348</f>
        <v>Each Sqm</v>
      </c>
      <c r="F1349" s="2120"/>
      <c r="G1349" s="2117"/>
      <c r="H1349" s="2117"/>
      <c r="I1349" s="2118"/>
      <c r="J1349" s="2117"/>
      <c r="K1349" s="2117"/>
      <c r="L1349" s="2119"/>
      <c r="M1349" s="2117"/>
      <c r="N1349" s="2111"/>
      <c r="O1349" s="2111"/>
      <c r="P1349" s="2111"/>
    </row>
    <row r="1350" spans="1:27" ht="12.75" hidden="1">
      <c r="A1350" s="2114"/>
      <c r="B1350" s="192" t="s">
        <v>727</v>
      </c>
      <c r="C1350" s="568"/>
      <c r="D1350" s="568"/>
      <c r="E1350" s="2121"/>
      <c r="F1350" s="2121"/>
      <c r="G1350" s="568"/>
      <c r="H1350" s="2117"/>
      <c r="I1350" s="2118"/>
      <c r="J1350" s="568"/>
      <c r="K1350" s="568"/>
      <c r="L1350" s="2119"/>
      <c r="M1350" s="2117"/>
      <c r="N1350" s="2111"/>
      <c r="O1350" s="2111"/>
      <c r="P1350" s="2111"/>
    </row>
    <row r="1351" spans="1:27" ht="12.75" hidden="1">
      <c r="A1351" s="2114"/>
      <c r="B1351" s="192" t="s">
        <v>715</v>
      </c>
      <c r="C1351" s="192"/>
      <c r="D1351" s="568"/>
      <c r="E1351" s="2121"/>
      <c r="F1351" s="2121"/>
      <c r="G1351" s="568"/>
      <c r="H1351" s="2117"/>
      <c r="I1351" s="2118"/>
      <c r="J1351" s="568"/>
      <c r="K1351" s="568"/>
      <c r="L1351" s="2119"/>
      <c r="M1351" s="2117"/>
      <c r="N1351" s="2111"/>
      <c r="O1351" s="2111"/>
      <c r="P1351" s="2111"/>
    </row>
    <row r="1352" spans="1:27" ht="12.75" hidden="1">
      <c r="A1352" s="2114"/>
      <c r="B1352" s="568" t="s">
        <v>717</v>
      </c>
      <c r="C1352" s="568"/>
      <c r="D1352" s="568"/>
      <c r="E1352" s="2121"/>
      <c r="F1352" s="2121"/>
      <c r="G1352" s="2122">
        <v>2</v>
      </c>
      <c r="H1352" s="2117" t="s">
        <v>262</v>
      </c>
      <c r="I1352" s="2118" t="s">
        <v>38</v>
      </c>
      <c r="J1352" s="2123">
        <f>L134</f>
        <v>345</v>
      </c>
      <c r="K1352" s="2123">
        <f>ROUND(G1352*J1352,2)</f>
        <v>690</v>
      </c>
      <c r="L1352" s="2119"/>
      <c r="M1352" s="2117"/>
      <c r="N1352" s="2111"/>
      <c r="O1352" s="2111"/>
      <c r="P1352" s="2111"/>
    </row>
    <row r="1353" spans="1:27" ht="12.75" hidden="1">
      <c r="A1353" s="2114"/>
      <c r="B1353" s="568"/>
      <c r="C1353" s="568"/>
      <c r="D1353" s="568"/>
      <c r="E1353" s="2121"/>
      <c r="F1353" s="2121"/>
      <c r="G1353" s="2122"/>
      <c r="H1353" s="2117"/>
      <c r="I1353" s="2118"/>
      <c r="J1353" s="2114" t="s">
        <v>718</v>
      </c>
      <c r="K1353" s="2124">
        <f>K1352</f>
        <v>690</v>
      </c>
      <c r="L1353" s="2119"/>
      <c r="M1353" s="2117"/>
      <c r="N1353" s="2111"/>
      <c r="O1353" s="2111"/>
      <c r="P1353" s="2111"/>
    </row>
    <row r="1354" spans="1:27" ht="12.75" hidden="1">
      <c r="A1354" s="2114"/>
      <c r="B1354" s="192"/>
      <c r="C1354" s="568"/>
      <c r="D1354" s="568"/>
      <c r="E1354" s="2121"/>
      <c r="F1354" s="2121"/>
      <c r="G1354" s="568"/>
      <c r="H1354" s="2117"/>
      <c r="I1354" s="2118"/>
      <c r="J1354" s="568"/>
      <c r="K1354" s="2124"/>
      <c r="L1354" s="2119"/>
      <c r="M1354" s="2117"/>
      <c r="N1354" s="2111"/>
      <c r="O1354" s="2111"/>
      <c r="P1354" s="2111"/>
    </row>
    <row r="1355" spans="1:27" ht="12.75" hidden="1">
      <c r="A1355" s="2114"/>
      <c r="B1355" s="192" t="s">
        <v>719</v>
      </c>
      <c r="C1355" s="568"/>
      <c r="D1355" s="568"/>
      <c r="E1355" s="2121"/>
      <c r="F1355" s="2121"/>
      <c r="G1355" s="568"/>
      <c r="H1355" s="2117"/>
      <c r="I1355" s="2125">
        <v>0.02</v>
      </c>
      <c r="J1355" s="568"/>
      <c r="K1355" s="2124">
        <f>ROUND(K1353*I1355,2)</f>
        <v>13.8</v>
      </c>
      <c r="L1355" s="2119"/>
      <c r="M1355" s="2117"/>
      <c r="N1355" s="2111"/>
      <c r="O1355" s="2111"/>
      <c r="P1355" s="2111"/>
    </row>
    <row r="1356" spans="1:27" ht="12.75" hidden="1">
      <c r="A1356" s="2114"/>
      <c r="B1356" s="192" t="s">
        <v>728</v>
      </c>
      <c r="C1356" s="568"/>
      <c r="D1356" s="568"/>
      <c r="E1356" s="2121"/>
      <c r="F1356" s="2121"/>
      <c r="G1356" s="568"/>
      <c r="H1356" s="2117"/>
      <c r="I1356" s="2118"/>
      <c r="J1356" s="568"/>
      <c r="K1356" s="2124">
        <f>SUM(K1353:K1355)</f>
        <v>703.8</v>
      </c>
      <c r="L1356" s="2119"/>
      <c r="M1356" s="2117"/>
      <c r="N1356" s="2111"/>
      <c r="O1356" s="2111"/>
      <c r="P1356" s="2111"/>
    </row>
    <row r="1357" spans="1:27" ht="12.75" hidden="1">
      <c r="A1357" s="2114"/>
      <c r="B1357" s="568" t="s">
        <v>729</v>
      </c>
      <c r="C1357" s="568"/>
      <c r="D1357" s="568"/>
      <c r="E1357" s="2121"/>
      <c r="F1357" s="2121"/>
      <c r="G1357" s="568"/>
      <c r="H1357" s="2117"/>
      <c r="I1357" s="2118"/>
      <c r="J1357" s="2114" t="s">
        <v>718</v>
      </c>
      <c r="K1357" s="2124">
        <f>ROUND(K1356/9.3,2)</f>
        <v>75.680000000000007</v>
      </c>
      <c r="L1357" s="192" t="s">
        <v>730</v>
      </c>
      <c r="M1357" s="2117"/>
      <c r="N1357" s="2111"/>
      <c r="O1357" s="2111"/>
      <c r="P1357" s="2111"/>
      <c r="Y1357" s="1705" t="s">
        <v>92</v>
      </c>
      <c r="Z1357" s="1705">
        <f>ROUND(K1353/9.3,2)</f>
        <v>74.19</v>
      </c>
      <c r="AA1357" s="1709">
        <f>K1357-Z1357</f>
        <v>1.4900000000000091</v>
      </c>
    </row>
    <row r="1358" spans="1:27" ht="12.75" hidden="1">
      <c r="A1358" s="2114" t="str">
        <f>A282</f>
        <v>(ii)</v>
      </c>
      <c r="B1358" s="192" t="str">
        <f>B282</f>
        <v>First Floor</v>
      </c>
      <c r="C1358" s="568"/>
      <c r="D1358" s="568"/>
      <c r="E1358" s="2120" t="str">
        <f>E1348</f>
        <v>Each Sqm</v>
      </c>
      <c r="F1358" s="2120"/>
      <c r="G1358" s="2122"/>
      <c r="H1358" s="568"/>
      <c r="I1358" s="2118"/>
      <c r="J1358" s="2123"/>
      <c r="K1358" s="2123"/>
      <c r="L1358" s="192"/>
      <c r="M1358" s="568"/>
    </row>
    <row r="1359" spans="1:27" ht="12.75" hidden="1">
      <c r="A1359" s="2114"/>
      <c r="B1359" s="568" t="s">
        <v>722</v>
      </c>
      <c r="C1359" s="568"/>
      <c r="D1359" s="568"/>
      <c r="E1359" s="188"/>
      <c r="F1359" s="188"/>
      <c r="G1359" s="2122"/>
      <c r="H1359" s="568"/>
      <c r="I1359" s="2118"/>
      <c r="J1359" s="2123"/>
      <c r="K1359" s="2123">
        <f>K1357</f>
        <v>75.680000000000007</v>
      </c>
      <c r="L1359" s="192"/>
      <c r="M1359" s="568"/>
    </row>
    <row r="1360" spans="1:27" ht="12.75" hidden="1">
      <c r="A1360" s="2114"/>
      <c r="B1360" s="568" t="s">
        <v>723</v>
      </c>
      <c r="C1360" s="568"/>
      <c r="D1360" s="568"/>
      <c r="E1360" s="188"/>
      <c r="F1360" s="188"/>
      <c r="G1360" s="2122"/>
      <c r="H1360" s="568"/>
      <c r="I1360" s="2118"/>
      <c r="J1360" s="2123"/>
      <c r="K1360" s="2123">
        <f>ROUND(K1353/9.3*1*5%,2)</f>
        <v>3.71</v>
      </c>
      <c r="L1360" s="192"/>
      <c r="M1360" s="568"/>
    </row>
    <row r="1361" spans="1:27" ht="12.75" hidden="1">
      <c r="A1361" s="2114"/>
      <c r="B1361" s="568"/>
      <c r="C1361" s="568"/>
      <c r="D1361" s="568"/>
      <c r="E1361" s="188"/>
      <c r="F1361" s="188"/>
      <c r="G1361" s="2122"/>
      <c r="H1361" s="568"/>
      <c r="I1361" s="2118"/>
      <c r="J1361" s="2126" t="s">
        <v>718</v>
      </c>
      <c r="K1361" s="2124">
        <f>SUM(K1359:K1360)</f>
        <v>79.39</v>
      </c>
      <c r="L1361" s="192" t="s">
        <v>730</v>
      </c>
      <c r="M1361" s="568"/>
      <c r="Y1361" s="1705" t="s">
        <v>92</v>
      </c>
      <c r="Z1361" s="1709">
        <f>Z1357+K1360</f>
        <v>77.899999999999991</v>
      </c>
      <c r="AA1361" s="1709">
        <f>K1361-Z1361</f>
        <v>1.4900000000000091</v>
      </c>
    </row>
    <row r="1362" spans="1:27" ht="12.75" hidden="1">
      <c r="A1362" s="2114" t="str">
        <f>A1340</f>
        <v>(iii)</v>
      </c>
      <c r="B1362" s="192" t="str">
        <f>B1340</f>
        <v>Second Floor</v>
      </c>
      <c r="C1362" s="568"/>
      <c r="D1362" s="568"/>
      <c r="E1362" s="2120" t="str">
        <f>E1358</f>
        <v>Each Sqm</v>
      </c>
      <c r="F1362" s="2120"/>
      <c r="G1362" s="2122"/>
      <c r="H1362" s="568"/>
      <c r="I1362" s="2118"/>
      <c r="J1362" s="2123"/>
      <c r="K1362" s="2123"/>
      <c r="L1362" s="192"/>
      <c r="M1362" s="568"/>
    </row>
    <row r="1363" spans="1:27" ht="12.75" hidden="1">
      <c r="A1363" s="2114"/>
      <c r="B1363" s="568" t="str">
        <f>B1341</f>
        <v>Basic Rate in First Floor.</v>
      </c>
      <c r="C1363" s="568"/>
      <c r="D1363" s="568"/>
      <c r="E1363" s="188"/>
      <c r="F1363" s="188"/>
      <c r="G1363" s="2122"/>
      <c r="H1363" s="568"/>
      <c r="I1363" s="2118"/>
      <c r="J1363" s="2123"/>
      <c r="K1363" s="2123">
        <f>K1361</f>
        <v>79.39</v>
      </c>
      <c r="L1363" s="192"/>
      <c r="M1363" s="568"/>
    </row>
    <row r="1364" spans="1:27" ht="12.75" hidden="1">
      <c r="A1364" s="2114"/>
      <c r="B1364" s="568" t="s">
        <v>723</v>
      </c>
      <c r="C1364" s="568"/>
      <c r="D1364" s="568"/>
      <c r="E1364" s="188"/>
      <c r="F1364" s="188"/>
      <c r="G1364" s="2122"/>
      <c r="H1364" s="568"/>
      <c r="I1364" s="2118"/>
      <c r="J1364" s="2123"/>
      <c r="K1364" s="2123">
        <f>K1360+(K1360*5%)</f>
        <v>3.8955000000000002</v>
      </c>
      <c r="L1364" s="192"/>
      <c r="M1364" s="568"/>
    </row>
    <row r="1365" spans="1:27" ht="12.75" hidden="1">
      <c r="A1365" s="2114"/>
      <c r="B1365" s="568"/>
      <c r="C1365" s="568"/>
      <c r="D1365" s="568"/>
      <c r="E1365" s="188"/>
      <c r="F1365" s="188"/>
      <c r="G1365" s="2122"/>
      <c r="H1365" s="568"/>
      <c r="I1365" s="2118"/>
      <c r="J1365" s="2126" t="s">
        <v>718</v>
      </c>
      <c r="K1365" s="2124">
        <f>SUM(K1363:K1364)</f>
        <v>83.285499999999999</v>
      </c>
      <c r="L1365" s="192" t="s">
        <v>730</v>
      </c>
      <c r="M1365" s="568"/>
      <c r="Y1365" s="1705" t="s">
        <v>92</v>
      </c>
      <c r="Z1365" s="1709">
        <f>Z1361+K1364</f>
        <v>81.79549999999999</v>
      </c>
      <c r="AA1365" s="1709">
        <f>K1365-Z1365</f>
        <v>1.4900000000000091</v>
      </c>
    </row>
    <row r="1366" spans="1:27" ht="12.75" hidden="1">
      <c r="A1366" s="2114" t="str">
        <f>A1344</f>
        <v>(iv)</v>
      </c>
      <c r="B1366" s="192" t="str">
        <f>B1344</f>
        <v>Third Floor</v>
      </c>
      <c r="C1366" s="568"/>
      <c r="D1366" s="568"/>
      <c r="E1366" s="2120" t="str">
        <f>E1362</f>
        <v>Each Sqm</v>
      </c>
      <c r="F1366" s="2120"/>
      <c r="G1366" s="2122"/>
      <c r="H1366" s="568"/>
      <c r="I1366" s="2118"/>
      <c r="J1366" s="2123"/>
      <c r="K1366" s="2123"/>
      <c r="L1366" s="192"/>
      <c r="M1366" s="568"/>
    </row>
    <row r="1367" spans="1:27" ht="12.75" hidden="1">
      <c r="A1367" s="2114"/>
      <c r="B1367" s="568" t="str">
        <f>B1345</f>
        <v>Basic Rate in First Floor.</v>
      </c>
      <c r="C1367" s="568"/>
      <c r="D1367" s="568"/>
      <c r="E1367" s="188"/>
      <c r="F1367" s="188"/>
      <c r="G1367" s="2122"/>
      <c r="H1367" s="568"/>
      <c r="I1367" s="2118"/>
      <c r="J1367" s="2123"/>
      <c r="K1367" s="2123">
        <f>K1365</f>
        <v>83.285499999999999</v>
      </c>
      <c r="L1367" s="192"/>
      <c r="M1367" s="568"/>
    </row>
    <row r="1368" spans="1:27" ht="12.75" hidden="1">
      <c r="A1368" s="2114"/>
      <c r="B1368" s="568" t="s">
        <v>723</v>
      </c>
      <c r="C1368" s="568"/>
      <c r="D1368" s="568"/>
      <c r="E1368" s="188"/>
      <c r="F1368" s="188"/>
      <c r="G1368" s="2122"/>
      <c r="H1368" s="568"/>
      <c r="I1368" s="2118"/>
      <c r="J1368" s="2123"/>
      <c r="K1368" s="2123">
        <f>K1364+(K1364*5%)</f>
        <v>4.0902750000000001</v>
      </c>
      <c r="L1368" s="192"/>
      <c r="M1368" s="568"/>
    </row>
    <row r="1369" spans="1:27" ht="12.75" hidden="1">
      <c r="A1369" s="2114"/>
      <c r="B1369" s="568"/>
      <c r="C1369" s="568"/>
      <c r="D1369" s="568"/>
      <c r="E1369" s="188"/>
      <c r="F1369" s="188"/>
      <c r="G1369" s="2122"/>
      <c r="H1369" s="568"/>
      <c r="I1369" s="2118"/>
      <c r="J1369" s="2126" t="s">
        <v>718</v>
      </c>
      <c r="K1369" s="2124">
        <f>SUM(K1367:K1368)</f>
        <v>87.375775000000004</v>
      </c>
      <c r="L1369" s="192" t="s">
        <v>730</v>
      </c>
      <c r="M1369" s="568"/>
      <c r="Y1369" s="1705" t="s">
        <v>92</v>
      </c>
      <c r="Z1369" s="1709">
        <f>Z1365+K1368</f>
        <v>85.885774999999995</v>
      </c>
      <c r="AA1369" s="1709">
        <f>K1369-Z1369</f>
        <v>1.4900000000000091</v>
      </c>
    </row>
    <row r="1370" spans="1:27" ht="46.5" hidden="1" customHeight="1">
      <c r="A1370" s="2114">
        <f>A285</f>
        <v>4</v>
      </c>
      <c r="B1370" s="3017" t="str">
        <f>B285</f>
        <v>Removing Old lime or cement plaster including raking out joints 12mm deep and removing the debris within 50m lead  with  cost  of  all labour etc. complete.</v>
      </c>
      <c r="C1370" s="3017"/>
      <c r="D1370" s="3017"/>
      <c r="E1370" s="2116" t="str">
        <f>G285</f>
        <v>Each Sqm</v>
      </c>
      <c r="F1370" s="2116"/>
      <c r="G1370" s="2117"/>
      <c r="H1370" s="2117"/>
      <c r="I1370" s="2118"/>
      <c r="J1370" s="2117"/>
      <c r="K1370" s="2117"/>
      <c r="L1370" s="2119"/>
      <c r="M1370" s="2117"/>
      <c r="N1370" s="2111"/>
      <c r="O1370" s="2111"/>
      <c r="P1370" s="2111"/>
    </row>
    <row r="1371" spans="1:27" ht="12.75" hidden="1">
      <c r="A1371" s="2114" t="str">
        <f>A286</f>
        <v>(i)</v>
      </c>
      <c r="B1371" s="192" t="str">
        <f>B286</f>
        <v>Ground Floor</v>
      </c>
      <c r="C1371" s="675"/>
      <c r="D1371" s="675"/>
      <c r="E1371" s="2120" t="str">
        <f>E1370</f>
        <v>Each Sqm</v>
      </c>
      <c r="F1371" s="2120"/>
      <c r="G1371" s="2117"/>
      <c r="H1371" s="2117"/>
      <c r="I1371" s="2118"/>
      <c r="J1371" s="2117"/>
      <c r="K1371" s="2117"/>
      <c r="L1371" s="2119"/>
      <c r="M1371" s="2117"/>
      <c r="N1371" s="2111"/>
      <c r="O1371" s="2111"/>
      <c r="P1371" s="2111"/>
    </row>
    <row r="1372" spans="1:27" ht="12.75" hidden="1">
      <c r="A1372" s="2114"/>
      <c r="B1372" s="192" t="s">
        <v>727</v>
      </c>
      <c r="C1372" s="568"/>
      <c r="D1372" s="568"/>
      <c r="E1372" s="2121"/>
      <c r="F1372" s="2121"/>
      <c r="G1372" s="568"/>
      <c r="H1372" s="2117"/>
      <c r="I1372" s="2118"/>
      <c r="J1372" s="568"/>
      <c r="K1372" s="568"/>
      <c r="L1372" s="2119"/>
      <c r="M1372" s="2117"/>
      <c r="N1372" s="2111"/>
      <c r="O1372" s="2111"/>
      <c r="P1372" s="2111"/>
    </row>
    <row r="1373" spans="1:27" ht="12.75" hidden="1">
      <c r="A1373" s="2114"/>
      <c r="B1373" s="192" t="s">
        <v>715</v>
      </c>
      <c r="C1373" s="192"/>
      <c r="D1373" s="568"/>
      <c r="E1373" s="2121"/>
      <c r="F1373" s="2121"/>
      <c r="G1373" s="568"/>
      <c r="H1373" s="2117"/>
      <c r="I1373" s="2118"/>
      <c r="J1373" s="568"/>
      <c r="K1373" s="568"/>
      <c r="L1373" s="2119"/>
      <c r="M1373" s="2117"/>
      <c r="N1373" s="2111"/>
      <c r="O1373" s="2111"/>
      <c r="P1373" s="2111"/>
    </row>
    <row r="1374" spans="1:27" ht="12.75" hidden="1">
      <c r="A1374" s="2114"/>
      <c r="B1374" s="568" t="s">
        <v>717</v>
      </c>
      <c r="C1374" s="568"/>
      <c r="D1374" s="568"/>
      <c r="E1374" s="2121"/>
      <c r="F1374" s="2121"/>
      <c r="G1374" s="2122">
        <v>1</v>
      </c>
      <c r="H1374" s="2117" t="s">
        <v>262</v>
      </c>
      <c r="I1374" s="2118" t="s">
        <v>38</v>
      </c>
      <c r="J1374" s="2123">
        <f>L134</f>
        <v>345</v>
      </c>
      <c r="K1374" s="2123">
        <f>ROUND(G1374*J1374,2)</f>
        <v>345</v>
      </c>
      <c r="L1374" s="2119"/>
      <c r="M1374" s="2117"/>
      <c r="N1374" s="2111"/>
      <c r="O1374" s="2111"/>
      <c r="P1374" s="2111"/>
    </row>
    <row r="1375" spans="1:27" ht="12.75" hidden="1">
      <c r="A1375" s="2114"/>
      <c r="B1375" s="568"/>
      <c r="C1375" s="568"/>
      <c r="D1375" s="568"/>
      <c r="E1375" s="2121"/>
      <c r="F1375" s="2121"/>
      <c r="G1375" s="2122"/>
      <c r="H1375" s="2117"/>
      <c r="I1375" s="2118"/>
      <c r="J1375" s="2114" t="s">
        <v>718</v>
      </c>
      <c r="K1375" s="2124">
        <f>K1374</f>
        <v>345</v>
      </c>
      <c r="L1375" s="2119"/>
      <c r="M1375" s="2117"/>
      <c r="N1375" s="2111"/>
      <c r="O1375" s="2111"/>
      <c r="P1375" s="2111"/>
    </row>
    <row r="1376" spans="1:27" ht="12.75" hidden="1">
      <c r="A1376" s="2114"/>
      <c r="B1376" s="192"/>
      <c r="C1376" s="568"/>
      <c r="D1376" s="568"/>
      <c r="E1376" s="2121"/>
      <c r="F1376" s="2121"/>
      <c r="G1376" s="568"/>
      <c r="H1376" s="2117"/>
      <c r="I1376" s="2118"/>
      <c r="J1376" s="568"/>
      <c r="K1376" s="2124"/>
      <c r="L1376" s="2119"/>
      <c r="M1376" s="2117"/>
      <c r="N1376" s="2111"/>
      <c r="O1376" s="2111"/>
      <c r="P1376" s="2111"/>
    </row>
    <row r="1377" spans="1:27" ht="12.75" hidden="1">
      <c r="A1377" s="2114"/>
      <c r="B1377" s="192" t="s">
        <v>719</v>
      </c>
      <c r="C1377" s="568"/>
      <c r="D1377" s="568"/>
      <c r="E1377" s="2121"/>
      <c r="F1377" s="2121"/>
      <c r="G1377" s="568"/>
      <c r="H1377" s="2117"/>
      <c r="I1377" s="2125">
        <v>0.02</v>
      </c>
      <c r="J1377" s="568"/>
      <c r="K1377" s="2124">
        <f>ROUND(K1375*I1377,2)</f>
        <v>6.9</v>
      </c>
      <c r="L1377" s="2119"/>
      <c r="M1377" s="2117"/>
      <c r="N1377" s="2111"/>
      <c r="O1377" s="2111"/>
      <c r="P1377" s="2111"/>
    </row>
    <row r="1378" spans="1:27" ht="12.75" hidden="1">
      <c r="A1378" s="2114"/>
      <c r="B1378" s="192" t="s">
        <v>728</v>
      </c>
      <c r="C1378" s="568"/>
      <c r="D1378" s="568"/>
      <c r="E1378" s="2121"/>
      <c r="F1378" s="2121"/>
      <c r="G1378" s="568"/>
      <c r="H1378" s="2117"/>
      <c r="I1378" s="2118"/>
      <c r="J1378" s="568"/>
      <c r="K1378" s="2124">
        <f>SUM(K1375:K1377)</f>
        <v>351.9</v>
      </c>
      <c r="L1378" s="2119"/>
      <c r="M1378" s="2117"/>
      <c r="N1378" s="2111"/>
      <c r="O1378" s="2111"/>
      <c r="P1378" s="2111"/>
    </row>
    <row r="1379" spans="1:27" ht="12.75" hidden="1">
      <c r="A1379" s="2114"/>
      <c r="B1379" s="568" t="s">
        <v>729</v>
      </c>
      <c r="C1379" s="568"/>
      <c r="D1379" s="568"/>
      <c r="E1379" s="2121"/>
      <c r="F1379" s="2121"/>
      <c r="G1379" s="568"/>
      <c r="H1379" s="2117"/>
      <c r="I1379" s="2118"/>
      <c r="J1379" s="2114" t="s">
        <v>718</v>
      </c>
      <c r="K1379" s="2124">
        <f>ROUND(K1378/9.3,2)</f>
        <v>37.840000000000003</v>
      </c>
      <c r="L1379" s="192" t="s">
        <v>730</v>
      </c>
      <c r="M1379" s="2117"/>
      <c r="N1379" s="2111"/>
      <c r="O1379" s="2111"/>
      <c r="P1379" s="2111"/>
      <c r="Y1379" s="1705" t="s">
        <v>92</v>
      </c>
      <c r="Z1379" s="1705">
        <f>ROUND(K1375/9.3,2)</f>
        <v>37.1</v>
      </c>
      <c r="AA1379" s="1709">
        <f>K1379-Z1379</f>
        <v>0.74000000000000199</v>
      </c>
    </row>
    <row r="1380" spans="1:27" ht="12.75" hidden="1">
      <c r="A1380" s="2114" t="str">
        <f>A287</f>
        <v>(ii)</v>
      </c>
      <c r="B1380" s="192" t="str">
        <f>B287</f>
        <v>First Floor</v>
      </c>
      <c r="C1380" s="568"/>
      <c r="D1380" s="568"/>
      <c r="E1380" s="2120" t="str">
        <f>E1370</f>
        <v>Each Sqm</v>
      </c>
      <c r="F1380" s="2120"/>
      <c r="G1380" s="2122"/>
      <c r="H1380" s="568"/>
      <c r="I1380" s="2118"/>
      <c r="J1380" s="2123"/>
      <c r="K1380" s="2123"/>
      <c r="L1380" s="192"/>
      <c r="M1380" s="568"/>
    </row>
    <row r="1381" spans="1:27" ht="12.75" hidden="1">
      <c r="A1381" s="2114"/>
      <c r="B1381" s="568" t="s">
        <v>722</v>
      </c>
      <c r="C1381" s="568"/>
      <c r="D1381" s="568"/>
      <c r="E1381" s="188"/>
      <c r="F1381" s="188"/>
      <c r="G1381" s="2122"/>
      <c r="H1381" s="568"/>
      <c r="I1381" s="2118"/>
      <c r="J1381" s="2123"/>
      <c r="K1381" s="2123">
        <f>K1379</f>
        <v>37.840000000000003</v>
      </c>
      <c r="L1381" s="192"/>
      <c r="M1381" s="568"/>
    </row>
    <row r="1382" spans="1:27" ht="12.75" hidden="1">
      <c r="A1382" s="2114"/>
      <c r="B1382" s="568" t="s">
        <v>723</v>
      </c>
      <c r="C1382" s="568"/>
      <c r="D1382" s="568"/>
      <c r="E1382" s="188"/>
      <c r="F1382" s="188"/>
      <c r="G1382" s="2122"/>
      <c r="H1382" s="568"/>
      <c r="I1382" s="2118"/>
      <c r="J1382" s="2123"/>
      <c r="K1382" s="2123">
        <f>ROUND(K1375/9.3*1*5%,2)</f>
        <v>1.85</v>
      </c>
      <c r="L1382" s="192"/>
      <c r="M1382" s="568"/>
    </row>
    <row r="1383" spans="1:27" ht="12.75" hidden="1">
      <c r="A1383" s="2114"/>
      <c r="B1383" s="568"/>
      <c r="C1383" s="568"/>
      <c r="D1383" s="568"/>
      <c r="E1383" s="188"/>
      <c r="F1383" s="188"/>
      <c r="G1383" s="2122"/>
      <c r="H1383" s="568"/>
      <c r="I1383" s="2118"/>
      <c r="J1383" s="2114" t="s">
        <v>718</v>
      </c>
      <c r="K1383" s="2124">
        <f>SUM(K1381:K1382)</f>
        <v>39.690000000000005</v>
      </c>
      <c r="L1383" s="192" t="s">
        <v>730</v>
      </c>
      <c r="M1383" s="568"/>
      <c r="Y1383" s="1705" t="s">
        <v>92</v>
      </c>
      <c r="Z1383" s="1709">
        <f>Z1379+K1382</f>
        <v>38.950000000000003</v>
      </c>
      <c r="AA1383" s="1709">
        <f>K1383-Z1383</f>
        <v>0.74000000000000199</v>
      </c>
    </row>
    <row r="1384" spans="1:27" ht="12.75" hidden="1">
      <c r="A1384" s="2114" t="str">
        <f>A1362</f>
        <v>(iii)</v>
      </c>
      <c r="B1384" s="192" t="str">
        <f>B1362</f>
        <v>Second Floor</v>
      </c>
      <c r="C1384" s="568"/>
      <c r="D1384" s="568"/>
      <c r="E1384" s="2120" t="str">
        <f>E1380</f>
        <v>Each Sqm</v>
      </c>
      <c r="F1384" s="2120"/>
      <c r="G1384" s="2122"/>
      <c r="H1384" s="568"/>
      <c r="I1384" s="2118"/>
      <c r="J1384" s="2123"/>
      <c r="K1384" s="2123"/>
      <c r="L1384" s="192"/>
      <c r="M1384" s="568"/>
    </row>
    <row r="1385" spans="1:27" ht="12.75" hidden="1">
      <c r="A1385" s="2114"/>
      <c r="B1385" s="568" t="str">
        <f>B1363</f>
        <v>Basic Rate in First Floor.</v>
      </c>
      <c r="C1385" s="568"/>
      <c r="D1385" s="568"/>
      <c r="E1385" s="188"/>
      <c r="F1385" s="188"/>
      <c r="G1385" s="2122"/>
      <c r="H1385" s="568"/>
      <c r="I1385" s="2118"/>
      <c r="J1385" s="2123"/>
      <c r="K1385" s="2123">
        <f>K1383</f>
        <v>39.690000000000005</v>
      </c>
      <c r="L1385" s="192"/>
      <c r="M1385" s="568"/>
    </row>
    <row r="1386" spans="1:27" ht="12.75" hidden="1">
      <c r="A1386" s="2114"/>
      <c r="B1386" s="568" t="s">
        <v>723</v>
      </c>
      <c r="C1386" s="568"/>
      <c r="D1386" s="568"/>
      <c r="E1386" s="188"/>
      <c r="F1386" s="188"/>
      <c r="G1386" s="2122"/>
      <c r="H1386" s="568"/>
      <c r="I1386" s="2118"/>
      <c r="J1386" s="2123"/>
      <c r="K1386" s="2123">
        <f>K1382+(K1382*5%)</f>
        <v>1.9425000000000001</v>
      </c>
      <c r="L1386" s="192"/>
      <c r="M1386" s="568"/>
    </row>
    <row r="1387" spans="1:27" ht="12.75" hidden="1">
      <c r="A1387" s="2114"/>
      <c r="B1387" s="568"/>
      <c r="C1387" s="568"/>
      <c r="D1387" s="568"/>
      <c r="E1387" s="188"/>
      <c r="F1387" s="188"/>
      <c r="G1387" s="2122"/>
      <c r="H1387" s="568"/>
      <c r="I1387" s="2118"/>
      <c r="J1387" s="2114" t="s">
        <v>718</v>
      </c>
      <c r="K1387" s="2124">
        <f>SUM(K1385:K1386)</f>
        <v>41.632500000000007</v>
      </c>
      <c r="L1387" s="192" t="s">
        <v>730</v>
      </c>
      <c r="M1387" s="568"/>
      <c r="Y1387" s="1705" t="s">
        <v>92</v>
      </c>
      <c r="Z1387" s="1709">
        <f>Z1383+K1386</f>
        <v>40.892500000000005</v>
      </c>
      <c r="AA1387" s="1709">
        <f>K1387-Z1387</f>
        <v>0.74000000000000199</v>
      </c>
    </row>
    <row r="1388" spans="1:27" ht="12.75" hidden="1">
      <c r="A1388" s="2114" t="str">
        <f>A1366</f>
        <v>(iv)</v>
      </c>
      <c r="B1388" s="192" t="str">
        <f>B1366</f>
        <v>Third Floor</v>
      </c>
      <c r="C1388" s="568"/>
      <c r="D1388" s="568"/>
      <c r="E1388" s="2120" t="str">
        <f>E1384</f>
        <v>Each Sqm</v>
      </c>
      <c r="F1388" s="2120"/>
      <c r="G1388" s="2122"/>
      <c r="H1388" s="568"/>
      <c r="I1388" s="2118"/>
      <c r="J1388" s="2123"/>
      <c r="K1388" s="2123"/>
      <c r="L1388" s="192"/>
      <c r="M1388" s="568"/>
    </row>
    <row r="1389" spans="1:27" ht="12.75" hidden="1">
      <c r="A1389" s="2114"/>
      <c r="B1389" s="568" t="str">
        <f>B1367</f>
        <v>Basic Rate in First Floor.</v>
      </c>
      <c r="C1389" s="568"/>
      <c r="D1389" s="568"/>
      <c r="E1389" s="188"/>
      <c r="F1389" s="188"/>
      <c r="G1389" s="2122"/>
      <c r="H1389" s="568"/>
      <c r="I1389" s="2118"/>
      <c r="J1389" s="2123"/>
      <c r="K1389" s="2123">
        <f>K1387</f>
        <v>41.632500000000007</v>
      </c>
      <c r="L1389" s="192"/>
      <c r="M1389" s="568"/>
    </row>
    <row r="1390" spans="1:27" ht="12.75" hidden="1">
      <c r="A1390" s="2114"/>
      <c r="B1390" s="568" t="s">
        <v>723</v>
      </c>
      <c r="C1390" s="568"/>
      <c r="D1390" s="568"/>
      <c r="E1390" s="188"/>
      <c r="F1390" s="188"/>
      <c r="G1390" s="2122"/>
      <c r="H1390" s="568"/>
      <c r="I1390" s="2118"/>
      <c r="J1390" s="2123"/>
      <c r="K1390" s="2123">
        <f>K1386+(K1386*5%)</f>
        <v>2.039625</v>
      </c>
      <c r="L1390" s="192"/>
      <c r="M1390" s="568"/>
    </row>
    <row r="1391" spans="1:27" ht="12.75" hidden="1">
      <c r="A1391" s="2114"/>
      <c r="B1391" s="568"/>
      <c r="C1391" s="568"/>
      <c r="D1391" s="568"/>
      <c r="E1391" s="188"/>
      <c r="F1391" s="188"/>
      <c r="G1391" s="2122"/>
      <c r="H1391" s="568"/>
      <c r="I1391" s="2118"/>
      <c r="J1391" s="2114" t="s">
        <v>718</v>
      </c>
      <c r="K1391" s="2124">
        <f>SUM(K1389:K1390)</f>
        <v>43.672125000000008</v>
      </c>
      <c r="L1391" s="192" t="s">
        <v>730</v>
      </c>
      <c r="M1391" s="568"/>
      <c r="Y1391" s="1705" t="s">
        <v>92</v>
      </c>
      <c r="Z1391" s="1709">
        <f>Z1387+K1390</f>
        <v>42.932125000000006</v>
      </c>
      <c r="AA1391" s="1709">
        <f>K1391-Z1391</f>
        <v>0.74000000000000199</v>
      </c>
    </row>
    <row r="1392" spans="1:27" ht="59.25" hidden="1" customHeight="1">
      <c r="A1392" s="2114">
        <f>A290</f>
        <v>5</v>
      </c>
      <c r="B1392" s="3017" t="str">
        <f>B290</f>
        <v>Dismantling G.C.I. Sheet or A.C. Sheet roofing after carefully removing nuts &amp; bolts including stacking the useful materials for reuse  &amp;  removing the debris within 50m lead  with  cost  of  all labour etc. complete.</v>
      </c>
      <c r="C1392" s="3017"/>
      <c r="D1392" s="3017"/>
      <c r="E1392" s="2116" t="str">
        <f>G290</f>
        <v>Each Sqm</v>
      </c>
      <c r="F1392" s="2116"/>
      <c r="G1392" s="2117"/>
      <c r="H1392" s="2117"/>
      <c r="I1392" s="2118"/>
      <c r="J1392" s="2117"/>
      <c r="K1392" s="2117"/>
      <c r="L1392" s="2119"/>
      <c r="M1392" s="2117"/>
      <c r="N1392" s="2111"/>
      <c r="O1392" s="2111"/>
      <c r="P1392" s="2111"/>
    </row>
    <row r="1393" spans="1:27" ht="12.75" hidden="1">
      <c r="A1393" s="2114" t="str">
        <f>A291</f>
        <v>(i)</v>
      </c>
      <c r="B1393" s="192" t="str">
        <f>B291</f>
        <v>Ground Floor</v>
      </c>
      <c r="C1393" s="675"/>
      <c r="D1393" s="675"/>
      <c r="E1393" s="2120" t="str">
        <f>G291</f>
        <v>Each Sqm</v>
      </c>
      <c r="F1393" s="2120"/>
      <c r="G1393" s="2117"/>
      <c r="H1393" s="2117"/>
      <c r="I1393" s="2118"/>
      <c r="J1393" s="2117"/>
      <c r="K1393" s="2117"/>
      <c r="L1393" s="2119"/>
      <c r="M1393" s="2117"/>
      <c r="N1393" s="2111"/>
      <c r="O1393" s="2111"/>
      <c r="P1393" s="2111"/>
    </row>
    <row r="1394" spans="1:27" ht="12.75" hidden="1">
      <c r="A1394" s="2114"/>
      <c r="B1394" s="192" t="s">
        <v>727</v>
      </c>
      <c r="C1394" s="568"/>
      <c r="D1394" s="568"/>
      <c r="E1394" s="2121"/>
      <c r="F1394" s="2121"/>
      <c r="G1394" s="568"/>
      <c r="H1394" s="2117"/>
      <c r="I1394" s="2118"/>
      <c r="J1394" s="568"/>
      <c r="K1394" s="568"/>
      <c r="L1394" s="2119"/>
      <c r="M1394" s="2117"/>
      <c r="N1394" s="2111"/>
      <c r="O1394" s="2111"/>
      <c r="P1394" s="2111"/>
    </row>
    <row r="1395" spans="1:27" ht="12.75" hidden="1">
      <c r="A1395" s="2114"/>
      <c r="B1395" s="192" t="s">
        <v>715</v>
      </c>
      <c r="C1395" s="192"/>
      <c r="D1395" s="568"/>
      <c r="E1395" s="2121"/>
      <c r="F1395" s="2121"/>
      <c r="G1395" s="568"/>
      <c r="H1395" s="2117"/>
      <c r="I1395" s="2118"/>
      <c r="J1395" s="568"/>
      <c r="K1395" s="568"/>
      <c r="L1395" s="2119"/>
      <c r="M1395" s="2117"/>
      <c r="N1395" s="2111"/>
      <c r="O1395" s="2111"/>
      <c r="P1395" s="2111"/>
    </row>
    <row r="1396" spans="1:27" ht="12.75" hidden="1">
      <c r="A1396" s="2114"/>
      <c r="B1396" s="568" t="s">
        <v>731</v>
      </c>
      <c r="C1396" s="568"/>
      <c r="D1396" s="568"/>
      <c r="E1396" s="2121"/>
      <c r="F1396" s="2121"/>
      <c r="G1396" s="2122">
        <v>0.25</v>
      </c>
      <c r="H1396" s="2117" t="s">
        <v>262</v>
      </c>
      <c r="I1396" s="2118" t="s">
        <v>38</v>
      </c>
      <c r="J1396" s="2123">
        <f>L136</f>
        <v>435</v>
      </c>
      <c r="K1396" s="2123">
        <f>ROUND(G1396*J1396,2)</f>
        <v>108.75</v>
      </c>
      <c r="L1396" s="2119"/>
      <c r="M1396" s="2117"/>
      <c r="N1396" s="2111"/>
      <c r="O1396" s="2111"/>
      <c r="P1396" s="2111"/>
      <c r="Q1396" s="2127">
        <f>G1396/9.3</f>
        <v>2.6881720430107524E-2</v>
      </c>
      <c r="T1396" s="2128">
        <f>G1396*2%/9.3</f>
        <v>5.3763440860215054E-4</v>
      </c>
      <c r="U1396" s="2129">
        <f>Q1396+T1396</f>
        <v>2.7419354838709675E-2</v>
      </c>
      <c r="X1396" s="2130">
        <f>U1396*J1396</f>
        <v>11.927419354838708</v>
      </c>
    </row>
    <row r="1397" spans="1:27" ht="12.75" hidden="1">
      <c r="A1397" s="2114"/>
      <c r="B1397" s="568" t="s">
        <v>717</v>
      </c>
      <c r="C1397" s="568"/>
      <c r="D1397" s="568"/>
      <c r="E1397" s="2121"/>
      <c r="F1397" s="2121"/>
      <c r="G1397" s="2122">
        <v>1.5</v>
      </c>
      <c r="H1397" s="2117" t="s">
        <v>262</v>
      </c>
      <c r="I1397" s="2118" t="s">
        <v>38</v>
      </c>
      <c r="J1397" s="2123">
        <f>L134</f>
        <v>345</v>
      </c>
      <c r="K1397" s="2123">
        <f>ROUND(G1397*J1397,2)</f>
        <v>517.5</v>
      </c>
      <c r="L1397" s="2119"/>
      <c r="M1397" s="2117"/>
      <c r="N1397" s="2111"/>
      <c r="O1397" s="2111"/>
      <c r="P1397" s="2111"/>
      <c r="Q1397" s="1705">
        <f>G1397/9.3</f>
        <v>0.16129032258064516</v>
      </c>
      <c r="T1397" s="2128">
        <f>G1397*2%/9.3</f>
        <v>3.2258064516129028E-3</v>
      </c>
      <c r="U1397" s="2129">
        <f>Q1397+T1397</f>
        <v>0.16451612903225807</v>
      </c>
      <c r="X1397" s="2130">
        <f>U1397*J1397</f>
        <v>56.758064516129032</v>
      </c>
    </row>
    <row r="1398" spans="1:27" ht="12.75" hidden="1">
      <c r="A1398" s="2114"/>
      <c r="B1398" s="568"/>
      <c r="C1398" s="568"/>
      <c r="D1398" s="568"/>
      <c r="E1398" s="2121"/>
      <c r="F1398" s="2121"/>
      <c r="G1398" s="2122"/>
      <c r="H1398" s="2117"/>
      <c r="I1398" s="2118"/>
      <c r="J1398" s="2114" t="s">
        <v>718</v>
      </c>
      <c r="K1398" s="2124">
        <f>SUM(K1396:K1397)</f>
        <v>626.25</v>
      </c>
      <c r="L1398" s="2119"/>
      <c r="M1398" s="2117"/>
      <c r="N1398" s="2111"/>
      <c r="O1398" s="2111"/>
      <c r="P1398" s="2111"/>
      <c r="U1398" s="1709"/>
      <c r="X1398" s="2130">
        <f>SUM(X1396:X1397)</f>
        <v>68.685483870967744</v>
      </c>
    </row>
    <row r="1399" spans="1:27" ht="12.75" hidden="1">
      <c r="A1399" s="2114"/>
      <c r="B1399" s="192"/>
      <c r="C1399" s="568"/>
      <c r="D1399" s="568"/>
      <c r="E1399" s="2121"/>
      <c r="F1399" s="2121"/>
      <c r="G1399" s="568"/>
      <c r="H1399" s="2117"/>
      <c r="I1399" s="2118"/>
      <c r="J1399" s="568"/>
      <c r="K1399" s="2124"/>
      <c r="L1399" s="2119"/>
      <c r="M1399" s="2117"/>
      <c r="N1399" s="2111"/>
      <c r="O1399" s="2111"/>
      <c r="P1399" s="2111"/>
    </row>
    <row r="1400" spans="1:27" ht="12.75" hidden="1">
      <c r="A1400" s="2114"/>
      <c r="B1400" s="192" t="s">
        <v>719</v>
      </c>
      <c r="C1400" s="568"/>
      <c r="D1400" s="568"/>
      <c r="E1400" s="2121"/>
      <c r="F1400" s="2121"/>
      <c r="G1400" s="568"/>
      <c r="H1400" s="2117"/>
      <c r="I1400" s="2125">
        <v>0.02</v>
      </c>
      <c r="J1400" s="568"/>
      <c r="K1400" s="2124">
        <f>ROUND(K1398*I1400,2)</f>
        <v>12.53</v>
      </c>
      <c r="L1400" s="2119"/>
      <c r="M1400" s="2117"/>
      <c r="N1400" s="2111"/>
      <c r="O1400" s="2111"/>
      <c r="P1400" s="2111"/>
    </row>
    <row r="1401" spans="1:27" ht="12.75" hidden="1">
      <c r="A1401" s="2114"/>
      <c r="B1401" s="192" t="s">
        <v>728</v>
      </c>
      <c r="C1401" s="568"/>
      <c r="D1401" s="568"/>
      <c r="E1401" s="2121"/>
      <c r="F1401" s="2121"/>
      <c r="G1401" s="568"/>
      <c r="H1401" s="2117"/>
      <c r="I1401" s="2118"/>
      <c r="J1401" s="568"/>
      <c r="K1401" s="2124">
        <f>SUM(K1398:K1400)</f>
        <v>638.78</v>
      </c>
      <c r="L1401" s="2119"/>
      <c r="M1401" s="2117"/>
      <c r="N1401" s="2111"/>
      <c r="O1401" s="2111"/>
      <c r="P1401" s="2111"/>
    </row>
    <row r="1402" spans="1:27" ht="12.75" hidden="1">
      <c r="A1402" s="2114"/>
      <c r="B1402" s="568" t="s">
        <v>729</v>
      </c>
      <c r="C1402" s="568"/>
      <c r="D1402" s="568"/>
      <c r="E1402" s="2120"/>
      <c r="F1402" s="2120"/>
      <c r="G1402" s="568"/>
      <c r="H1402" s="2117"/>
      <c r="I1402" s="2118"/>
      <c r="J1402" s="2114" t="s">
        <v>718</v>
      </c>
      <c r="K1402" s="2124">
        <f>ROUND(K1401/9.3,2)</f>
        <v>68.69</v>
      </c>
      <c r="L1402" s="192" t="s">
        <v>730</v>
      </c>
      <c r="M1402" s="2117"/>
      <c r="N1402" s="2111"/>
      <c r="O1402" s="2111"/>
      <c r="P1402" s="2111"/>
      <c r="Y1402" s="1705" t="s">
        <v>92</v>
      </c>
      <c r="Z1402" s="1705">
        <f>ROUND(K1398/9.3,2)</f>
        <v>67.34</v>
      </c>
      <c r="AA1402" s="1709">
        <f>K1402-Z1402</f>
        <v>1.3499999999999943</v>
      </c>
    </row>
    <row r="1403" spans="1:27" ht="12.75" hidden="1">
      <c r="A1403" s="2114" t="str">
        <f>A292</f>
        <v>(ii)</v>
      </c>
      <c r="B1403" s="192" t="str">
        <f>B292</f>
        <v>First Floor</v>
      </c>
      <c r="C1403" s="568"/>
      <c r="D1403" s="568"/>
      <c r="E1403" s="2120" t="str">
        <f>E1393</f>
        <v>Each Sqm</v>
      </c>
      <c r="F1403" s="2120"/>
      <c r="G1403" s="2122"/>
      <c r="H1403" s="568"/>
      <c r="I1403" s="2118"/>
      <c r="J1403" s="2123"/>
      <c r="K1403" s="2123"/>
      <c r="L1403" s="192"/>
      <c r="M1403" s="568"/>
    </row>
    <row r="1404" spans="1:27" ht="12.75" hidden="1">
      <c r="A1404" s="2114"/>
      <c r="B1404" s="568" t="s">
        <v>722</v>
      </c>
      <c r="C1404" s="568"/>
      <c r="D1404" s="568"/>
      <c r="E1404" s="188"/>
      <c r="F1404" s="188"/>
      <c r="G1404" s="2122"/>
      <c r="H1404" s="568"/>
      <c r="I1404" s="2118"/>
      <c r="J1404" s="2123"/>
      <c r="K1404" s="2123">
        <f>K1402</f>
        <v>68.69</v>
      </c>
      <c r="L1404" s="192"/>
      <c r="M1404" s="568"/>
    </row>
    <row r="1405" spans="1:27" ht="12.75" hidden="1">
      <c r="A1405" s="2114"/>
      <c r="B1405" s="568" t="s">
        <v>723</v>
      </c>
      <c r="C1405" s="568"/>
      <c r="D1405" s="568"/>
      <c r="E1405" s="188"/>
      <c r="F1405" s="188"/>
      <c r="G1405" s="2122"/>
      <c r="H1405" s="568"/>
      <c r="I1405" s="2118"/>
      <c r="J1405" s="2123"/>
      <c r="K1405" s="2123">
        <f>ROUND(K1398/9.3*1*5%,2)</f>
        <v>3.37</v>
      </c>
      <c r="L1405" s="192"/>
      <c r="M1405" s="568"/>
    </row>
    <row r="1406" spans="1:27" ht="12.75" hidden="1">
      <c r="A1406" s="2114"/>
      <c r="B1406" s="568"/>
      <c r="C1406" s="568"/>
      <c r="D1406" s="568"/>
      <c r="E1406" s="2120"/>
      <c r="F1406" s="2120"/>
      <c r="G1406" s="2122"/>
      <c r="H1406" s="568"/>
      <c r="I1406" s="2118"/>
      <c r="J1406" s="2114" t="s">
        <v>718</v>
      </c>
      <c r="K1406" s="2124">
        <f>SUM(K1404:K1405)</f>
        <v>72.06</v>
      </c>
      <c r="L1406" s="192" t="s">
        <v>730</v>
      </c>
      <c r="M1406" s="568"/>
      <c r="Y1406" s="1705" t="s">
        <v>92</v>
      </c>
      <c r="Z1406" s="1709">
        <f>Z1402+K1405</f>
        <v>70.710000000000008</v>
      </c>
      <c r="AA1406" s="1709">
        <f>K1406-Z1406</f>
        <v>1.3499999999999943</v>
      </c>
    </row>
    <row r="1407" spans="1:27" ht="12.75" hidden="1">
      <c r="A1407" s="2114" t="str">
        <f>A1384</f>
        <v>(iii)</v>
      </c>
      <c r="B1407" s="192" t="str">
        <f>B1384</f>
        <v>Second Floor</v>
      </c>
      <c r="C1407" s="568"/>
      <c r="D1407" s="568"/>
      <c r="E1407" s="2120" t="str">
        <f>E1403</f>
        <v>Each Sqm</v>
      </c>
      <c r="F1407" s="2120"/>
      <c r="G1407" s="2122"/>
      <c r="H1407" s="568"/>
      <c r="I1407" s="2118"/>
      <c r="J1407" s="2123"/>
      <c r="K1407" s="2123"/>
      <c r="L1407" s="192"/>
      <c r="M1407" s="568"/>
    </row>
    <row r="1408" spans="1:27" ht="12.75" hidden="1">
      <c r="A1408" s="2114"/>
      <c r="B1408" s="568" t="str">
        <f>B1385</f>
        <v>Basic Rate in First Floor.</v>
      </c>
      <c r="C1408" s="568"/>
      <c r="D1408" s="568"/>
      <c r="E1408" s="188"/>
      <c r="F1408" s="188"/>
      <c r="G1408" s="2122"/>
      <c r="H1408" s="568"/>
      <c r="I1408" s="2118"/>
      <c r="J1408" s="2123"/>
      <c r="K1408" s="2123">
        <f>K1406</f>
        <v>72.06</v>
      </c>
      <c r="L1408" s="192"/>
      <c r="M1408" s="568"/>
    </row>
    <row r="1409" spans="1:27" ht="12.75" hidden="1">
      <c r="A1409" s="2114"/>
      <c r="B1409" s="568" t="s">
        <v>723</v>
      </c>
      <c r="C1409" s="568"/>
      <c r="D1409" s="568"/>
      <c r="E1409" s="188"/>
      <c r="F1409" s="188"/>
      <c r="G1409" s="2122"/>
      <c r="H1409" s="568"/>
      <c r="I1409" s="2118"/>
      <c r="J1409" s="2123"/>
      <c r="K1409" s="2123">
        <f>K1405+(K1405*5%)</f>
        <v>3.5385</v>
      </c>
      <c r="L1409" s="192"/>
      <c r="M1409" s="568"/>
    </row>
    <row r="1410" spans="1:27" ht="12.75" hidden="1">
      <c r="A1410" s="2114"/>
      <c r="B1410" s="568"/>
      <c r="C1410" s="568"/>
      <c r="D1410" s="568"/>
      <c r="E1410" s="2120"/>
      <c r="F1410" s="2120"/>
      <c r="G1410" s="2122"/>
      <c r="H1410" s="568"/>
      <c r="I1410" s="2118"/>
      <c r="J1410" s="2114" t="s">
        <v>718</v>
      </c>
      <c r="K1410" s="2124">
        <f>SUM(K1408:K1409)</f>
        <v>75.598500000000001</v>
      </c>
      <c r="L1410" s="192" t="s">
        <v>730</v>
      </c>
      <c r="M1410" s="568"/>
      <c r="Y1410" s="1705" t="s">
        <v>92</v>
      </c>
      <c r="Z1410" s="1709">
        <f>Z1406+K1409</f>
        <v>74.248500000000007</v>
      </c>
      <c r="AA1410" s="1709">
        <f>K1410-Z1410</f>
        <v>1.3499999999999943</v>
      </c>
    </row>
    <row r="1411" spans="1:27" ht="12.75" hidden="1">
      <c r="A1411" s="2114" t="str">
        <f>A1388</f>
        <v>(iv)</v>
      </c>
      <c r="B1411" s="192" t="str">
        <f>B1388</f>
        <v>Third Floor</v>
      </c>
      <c r="C1411" s="568"/>
      <c r="D1411" s="568"/>
      <c r="E1411" s="2120" t="str">
        <f>E1407</f>
        <v>Each Sqm</v>
      </c>
      <c r="F1411" s="2120"/>
      <c r="G1411" s="2122"/>
      <c r="H1411" s="568"/>
      <c r="I1411" s="2118"/>
      <c r="J1411" s="2123"/>
      <c r="K1411" s="2123"/>
      <c r="L1411" s="192"/>
      <c r="M1411" s="568"/>
    </row>
    <row r="1412" spans="1:27" ht="12.75" hidden="1">
      <c r="A1412" s="2114"/>
      <c r="B1412" s="568" t="str">
        <f>B1389</f>
        <v>Basic Rate in First Floor.</v>
      </c>
      <c r="C1412" s="568"/>
      <c r="D1412" s="568"/>
      <c r="E1412" s="188"/>
      <c r="F1412" s="188"/>
      <c r="G1412" s="2122"/>
      <c r="H1412" s="568"/>
      <c r="I1412" s="2118"/>
      <c r="J1412" s="2123"/>
      <c r="K1412" s="2123">
        <f>K1410</f>
        <v>75.598500000000001</v>
      </c>
      <c r="L1412" s="192"/>
      <c r="M1412" s="568"/>
    </row>
    <row r="1413" spans="1:27" ht="12.75" hidden="1">
      <c r="A1413" s="2114"/>
      <c r="B1413" s="568" t="s">
        <v>723</v>
      </c>
      <c r="C1413" s="568"/>
      <c r="D1413" s="568"/>
      <c r="E1413" s="188"/>
      <c r="F1413" s="188"/>
      <c r="G1413" s="2122"/>
      <c r="H1413" s="568"/>
      <c r="I1413" s="2118"/>
      <c r="J1413" s="2123"/>
      <c r="K1413" s="2123">
        <f>K1409+(K1409*5%)</f>
        <v>3.7154249999999998</v>
      </c>
      <c r="L1413" s="192"/>
      <c r="M1413" s="568"/>
    </row>
    <row r="1414" spans="1:27" ht="12.75" hidden="1">
      <c r="A1414" s="2114"/>
      <c r="B1414" s="568"/>
      <c r="C1414" s="568"/>
      <c r="D1414" s="568"/>
      <c r="E1414" s="2120"/>
      <c r="F1414" s="2120"/>
      <c r="G1414" s="2122"/>
      <c r="H1414" s="568"/>
      <c r="I1414" s="2118"/>
      <c r="J1414" s="2114" t="s">
        <v>718</v>
      </c>
      <c r="K1414" s="2124">
        <f>SUM(K1412:K1413)</f>
        <v>79.313924999999998</v>
      </c>
      <c r="L1414" s="192" t="s">
        <v>730</v>
      </c>
      <c r="M1414" s="568"/>
      <c r="Y1414" s="1705" t="s">
        <v>92</v>
      </c>
      <c r="Z1414" s="1709">
        <f>Z1410+K1413</f>
        <v>77.963925000000003</v>
      </c>
      <c r="AA1414" s="1709">
        <f>K1414-Z1414</f>
        <v>1.3499999999999943</v>
      </c>
    </row>
    <row r="1415" spans="1:27" ht="61.5" hidden="1" customHeight="1">
      <c r="A1415" s="2114">
        <f>A295</f>
        <v>6</v>
      </c>
      <c r="B1415" s="3017" t="str">
        <f>B295</f>
        <v>Dismantling wrought and framed timber in roof frame work or floors after carefully removing nails, nuts &amp; bolts including stacking the useful materials for reuse  &amp;  removing the debris within 50m lead  with  cost  of  all labour etc. complete.</v>
      </c>
      <c r="C1415" s="3017"/>
      <c r="D1415" s="3017"/>
      <c r="E1415" s="2116" t="str">
        <f>G295</f>
        <v>Each Cum</v>
      </c>
      <c r="F1415" s="2116"/>
      <c r="G1415" s="2117"/>
      <c r="H1415" s="2117"/>
      <c r="I1415" s="2118"/>
      <c r="J1415" s="2117"/>
      <c r="K1415" s="2117"/>
      <c r="L1415" s="2119"/>
      <c r="M1415" s="2117"/>
      <c r="N1415" s="2111"/>
      <c r="O1415" s="2111"/>
      <c r="P1415" s="2111"/>
    </row>
    <row r="1416" spans="1:27" ht="12.75" hidden="1">
      <c r="A1416" s="2114" t="str">
        <f>A296</f>
        <v>(i)</v>
      </c>
      <c r="B1416" s="192" t="str">
        <f>B296</f>
        <v>Ground Floor</v>
      </c>
      <c r="C1416" s="675"/>
      <c r="D1416" s="675"/>
      <c r="E1416" s="2120" t="str">
        <f>E1415</f>
        <v>Each Cum</v>
      </c>
      <c r="F1416" s="2120"/>
      <c r="G1416" s="2117"/>
      <c r="H1416" s="2117"/>
      <c r="I1416" s="2118"/>
      <c r="J1416" s="2117"/>
      <c r="K1416" s="2117"/>
      <c r="L1416" s="2119"/>
      <c r="M1416" s="2117"/>
      <c r="N1416" s="2111"/>
      <c r="O1416" s="2111"/>
      <c r="P1416" s="2111"/>
    </row>
    <row r="1417" spans="1:27" ht="12.75" hidden="1">
      <c r="A1417" s="2114"/>
      <c r="B1417" s="192" t="s">
        <v>732</v>
      </c>
      <c r="C1417" s="568"/>
      <c r="D1417" s="568"/>
      <c r="E1417" s="2121"/>
      <c r="F1417" s="2121"/>
      <c r="G1417" s="568"/>
      <c r="H1417" s="2117"/>
      <c r="I1417" s="2118"/>
      <c r="J1417" s="568"/>
      <c r="K1417" s="568"/>
      <c r="L1417" s="2119"/>
      <c r="M1417" s="2117"/>
      <c r="N1417" s="2111"/>
      <c r="O1417" s="2111"/>
      <c r="P1417" s="2111"/>
    </row>
    <row r="1418" spans="1:27" ht="12.75" hidden="1">
      <c r="A1418" s="2114"/>
      <c r="B1418" s="192" t="s">
        <v>715</v>
      </c>
      <c r="C1418" s="192"/>
      <c r="D1418" s="568"/>
      <c r="E1418" s="2121"/>
      <c r="F1418" s="2121"/>
      <c r="G1418" s="568"/>
      <c r="H1418" s="2117"/>
      <c r="I1418" s="2118"/>
      <c r="J1418" s="568"/>
      <c r="K1418" s="568"/>
      <c r="L1418" s="2119"/>
      <c r="M1418" s="2117"/>
      <c r="N1418" s="2111"/>
      <c r="O1418" s="2111"/>
      <c r="P1418" s="2111"/>
    </row>
    <row r="1419" spans="1:27" ht="12.75" hidden="1">
      <c r="A1419" s="2114"/>
      <c r="B1419" s="568" t="s">
        <v>733</v>
      </c>
      <c r="C1419" s="568"/>
      <c r="D1419" s="568"/>
      <c r="E1419" s="2121"/>
      <c r="F1419" s="2121"/>
      <c r="G1419" s="2122">
        <v>0.03</v>
      </c>
      <c r="H1419" s="2117" t="s">
        <v>262</v>
      </c>
      <c r="I1419" s="2118" t="s">
        <v>38</v>
      </c>
      <c r="J1419" s="2123">
        <f>L136</f>
        <v>435</v>
      </c>
      <c r="K1419" s="2123">
        <f>ROUND(G1419*J1419,2)</f>
        <v>13.05</v>
      </c>
      <c r="L1419" s="2119"/>
      <c r="M1419" s="2117"/>
      <c r="N1419" s="2111"/>
      <c r="O1419" s="2111"/>
      <c r="P1419" s="2111"/>
      <c r="Q1419" s="2127">
        <f>G1419/0.0283</f>
        <v>1.0600706713780919</v>
      </c>
      <c r="T1419" s="2128">
        <f>G1419*2%/0.0283</f>
        <v>2.1201413427561835E-2</v>
      </c>
      <c r="U1419" s="2129">
        <f>Q1419+T1419</f>
        <v>1.0812720848056536</v>
      </c>
      <c r="X1419" s="2130">
        <f>U1419*J1419</f>
        <v>470.35335689045934</v>
      </c>
    </row>
    <row r="1420" spans="1:27" ht="12.75" hidden="1">
      <c r="A1420" s="2114"/>
      <c r="B1420" s="568" t="s">
        <v>717</v>
      </c>
      <c r="C1420" s="568"/>
      <c r="D1420" s="568"/>
      <c r="E1420" s="2121"/>
      <c r="F1420" s="2121"/>
      <c r="G1420" s="2122">
        <v>0.04</v>
      </c>
      <c r="H1420" s="2117" t="s">
        <v>262</v>
      </c>
      <c r="I1420" s="2118" t="s">
        <v>38</v>
      </c>
      <c r="J1420" s="2123">
        <f>L134</f>
        <v>345</v>
      </c>
      <c r="K1420" s="2123">
        <f>ROUND(G1420*J1420,2)</f>
        <v>13.8</v>
      </c>
      <c r="L1420" s="2119"/>
      <c r="M1420" s="2117"/>
      <c r="N1420" s="2111"/>
      <c r="O1420" s="2111"/>
      <c r="P1420" s="2111"/>
      <c r="Q1420" s="1705">
        <f>G1420/0.0283</f>
        <v>1.4134275618374559</v>
      </c>
      <c r="T1420" s="2128">
        <f>G1420*2%/0.0283</f>
        <v>2.826855123674912E-2</v>
      </c>
      <c r="U1420" s="2129">
        <f>Q1420+T1420</f>
        <v>1.441696113074205</v>
      </c>
      <c r="X1420" s="2130">
        <f>U1420*J1420</f>
        <v>497.38515901060072</v>
      </c>
    </row>
    <row r="1421" spans="1:27" ht="12.75" hidden="1">
      <c r="A1421" s="2114"/>
      <c r="B1421" s="568"/>
      <c r="C1421" s="568"/>
      <c r="D1421" s="568"/>
      <c r="E1421" s="2121"/>
      <c r="F1421" s="2121"/>
      <c r="G1421" s="2122"/>
      <c r="H1421" s="2117"/>
      <c r="I1421" s="2118"/>
      <c r="J1421" s="2114" t="s">
        <v>718</v>
      </c>
      <c r="K1421" s="2124">
        <f>SUM(K1419:K1420)</f>
        <v>26.85</v>
      </c>
      <c r="L1421" s="2119"/>
      <c r="M1421" s="2117"/>
      <c r="N1421" s="2111"/>
      <c r="O1421" s="2111"/>
      <c r="P1421" s="2111"/>
      <c r="U1421" s="1709"/>
      <c r="X1421" s="2130">
        <f>SUM(X1419:X1420)</f>
        <v>967.73851590106005</v>
      </c>
    </row>
    <row r="1422" spans="1:27" ht="12.75" hidden="1">
      <c r="A1422" s="2114"/>
      <c r="B1422" s="192"/>
      <c r="C1422" s="568"/>
      <c r="D1422" s="568"/>
      <c r="E1422" s="2121"/>
      <c r="F1422" s="2121"/>
      <c r="G1422" s="568"/>
      <c r="H1422" s="2117"/>
      <c r="I1422" s="2118"/>
      <c r="J1422" s="568"/>
      <c r="K1422" s="2124"/>
      <c r="L1422" s="2119"/>
      <c r="M1422" s="2117"/>
      <c r="N1422" s="2111"/>
      <c r="O1422" s="2111"/>
      <c r="P1422" s="2111"/>
    </row>
    <row r="1423" spans="1:27" ht="12.75" hidden="1">
      <c r="A1423" s="2114"/>
      <c r="B1423" s="192" t="s">
        <v>719</v>
      </c>
      <c r="C1423" s="568"/>
      <c r="D1423" s="568"/>
      <c r="E1423" s="2121"/>
      <c r="F1423" s="2121"/>
      <c r="G1423" s="568"/>
      <c r="H1423" s="2117"/>
      <c r="I1423" s="2125">
        <v>0.02</v>
      </c>
      <c r="J1423" s="568"/>
      <c r="K1423" s="2124">
        <f>ROUND(K1421*I1423,2)</f>
        <v>0.54</v>
      </c>
      <c r="L1423" s="2119"/>
      <c r="M1423" s="2117"/>
      <c r="N1423" s="2111"/>
      <c r="O1423" s="2111"/>
      <c r="P1423" s="2111"/>
    </row>
    <row r="1424" spans="1:27" ht="12.75" hidden="1">
      <c r="A1424" s="2114"/>
      <c r="B1424" s="192" t="s">
        <v>734</v>
      </c>
      <c r="C1424" s="568"/>
      <c r="D1424" s="568"/>
      <c r="E1424" s="2121"/>
      <c r="F1424" s="2121"/>
      <c r="G1424" s="568"/>
      <c r="H1424" s="2117"/>
      <c r="I1424" s="2118"/>
      <c r="J1424" s="2114" t="s">
        <v>718</v>
      </c>
      <c r="K1424" s="2124">
        <f>SUM(K1421:K1423)</f>
        <v>27.39</v>
      </c>
      <c r="L1424" s="2119"/>
      <c r="M1424" s="2117"/>
      <c r="N1424" s="2111"/>
      <c r="O1424" s="2111"/>
      <c r="P1424" s="2111"/>
    </row>
    <row r="1425" spans="1:29" ht="12.75" hidden="1">
      <c r="A1425" s="2114"/>
      <c r="B1425" s="192" t="s">
        <v>735</v>
      </c>
      <c r="C1425" s="568"/>
      <c r="D1425" s="568"/>
      <c r="E1425" s="2120"/>
      <c r="F1425" s="2120"/>
      <c r="G1425" s="568"/>
      <c r="H1425" s="2117"/>
      <c r="I1425" s="2118"/>
      <c r="J1425" s="2114" t="s">
        <v>718</v>
      </c>
      <c r="K1425" s="2124">
        <f>ROUND(K1424/0.0283,2)</f>
        <v>967.84</v>
      </c>
      <c r="L1425" s="192" t="s">
        <v>721</v>
      </c>
      <c r="M1425" s="2117"/>
      <c r="N1425" s="2111"/>
      <c r="O1425" s="2111"/>
      <c r="P1425" s="2111"/>
      <c r="Y1425" s="1705" t="s">
        <v>49</v>
      </c>
      <c r="Z1425" s="1705">
        <f>ROUND(K1421/0.0283,2)</f>
        <v>948.76</v>
      </c>
      <c r="AA1425" s="1709">
        <f>K1425-Z1425</f>
        <v>19.080000000000041</v>
      </c>
      <c r="AC1425" s="1709"/>
    </row>
    <row r="1426" spans="1:29" ht="12.75" hidden="1">
      <c r="A1426" s="2114" t="str">
        <f>A297</f>
        <v>(ii)</v>
      </c>
      <c r="B1426" s="192" t="str">
        <f>B297</f>
        <v>First Floor</v>
      </c>
      <c r="C1426" s="568"/>
      <c r="D1426" s="568"/>
      <c r="E1426" s="2120" t="str">
        <f>E1416</f>
        <v>Each Cum</v>
      </c>
      <c r="F1426" s="2120"/>
      <c r="G1426" s="2122"/>
      <c r="H1426" s="568"/>
      <c r="I1426" s="2118"/>
      <c r="J1426" s="2123"/>
      <c r="K1426" s="2123"/>
      <c r="L1426" s="192"/>
      <c r="M1426" s="568"/>
    </row>
    <row r="1427" spans="1:29" ht="12.75" hidden="1">
      <c r="A1427" s="2114"/>
      <c r="B1427" s="568" t="s">
        <v>722</v>
      </c>
      <c r="C1427" s="568"/>
      <c r="D1427" s="568"/>
      <c r="E1427" s="188"/>
      <c r="F1427" s="188"/>
      <c r="G1427" s="2122"/>
      <c r="H1427" s="568"/>
      <c r="I1427" s="2118"/>
      <c r="J1427" s="2123"/>
      <c r="K1427" s="2123">
        <f>K1425</f>
        <v>967.84</v>
      </c>
      <c r="L1427" s="192"/>
      <c r="M1427" s="568"/>
    </row>
    <row r="1428" spans="1:29" ht="12.75" hidden="1">
      <c r="A1428" s="2114"/>
      <c r="B1428" s="568" t="s">
        <v>723</v>
      </c>
      <c r="C1428" s="568"/>
      <c r="D1428" s="568"/>
      <c r="E1428" s="188"/>
      <c r="F1428" s="188"/>
      <c r="G1428" s="2122"/>
      <c r="H1428" s="568"/>
      <c r="I1428" s="2118"/>
      <c r="J1428" s="2123"/>
      <c r="K1428" s="2123">
        <f>ROUND(K1421/0.0283*1*5%,2)</f>
        <v>47.44</v>
      </c>
      <c r="L1428" s="192"/>
      <c r="M1428" s="568"/>
    </row>
    <row r="1429" spans="1:29" ht="12.75" hidden="1">
      <c r="A1429" s="2114"/>
      <c r="B1429" s="568"/>
      <c r="C1429" s="568"/>
      <c r="D1429" s="568"/>
      <c r="E1429" s="2120"/>
      <c r="F1429" s="2120"/>
      <c r="G1429" s="2122"/>
      <c r="H1429" s="568"/>
      <c r="I1429" s="2118"/>
      <c r="J1429" s="2114" t="s">
        <v>718</v>
      </c>
      <c r="K1429" s="2124">
        <f>SUM(K1427:K1428)</f>
        <v>1015.28</v>
      </c>
      <c r="L1429" s="192" t="s">
        <v>721</v>
      </c>
      <c r="M1429" s="568"/>
      <c r="Y1429" s="1705" t="s">
        <v>49</v>
      </c>
      <c r="Z1429" s="1709">
        <f>Z1425+K1428</f>
        <v>996.2</v>
      </c>
      <c r="AA1429" s="1709">
        <f>K1429-Z1429</f>
        <v>19.079999999999927</v>
      </c>
    </row>
    <row r="1430" spans="1:29" ht="12.75" hidden="1">
      <c r="A1430" s="2114" t="str">
        <f>A1407</f>
        <v>(iii)</v>
      </c>
      <c r="B1430" s="192" t="str">
        <f>B1407</f>
        <v>Second Floor</v>
      </c>
      <c r="C1430" s="568"/>
      <c r="D1430" s="568"/>
      <c r="E1430" s="2120" t="str">
        <f>E1426</f>
        <v>Each Cum</v>
      </c>
      <c r="F1430" s="2120"/>
      <c r="G1430" s="2122"/>
      <c r="H1430" s="568"/>
      <c r="I1430" s="2118"/>
      <c r="J1430" s="2123"/>
      <c r="K1430" s="2123"/>
      <c r="L1430" s="192"/>
      <c r="M1430" s="568"/>
    </row>
    <row r="1431" spans="1:29" ht="12.75" hidden="1">
      <c r="A1431" s="2114"/>
      <c r="B1431" s="568" t="str">
        <f>B1408</f>
        <v>Basic Rate in First Floor.</v>
      </c>
      <c r="C1431" s="568"/>
      <c r="D1431" s="568"/>
      <c r="E1431" s="188"/>
      <c r="F1431" s="188"/>
      <c r="G1431" s="2122"/>
      <c r="H1431" s="568"/>
      <c r="I1431" s="2118"/>
      <c r="J1431" s="2123"/>
      <c r="K1431" s="2123">
        <f>K1429</f>
        <v>1015.28</v>
      </c>
      <c r="L1431" s="192"/>
      <c r="M1431" s="568"/>
    </row>
    <row r="1432" spans="1:29" ht="12.75" hidden="1">
      <c r="A1432" s="2114"/>
      <c r="B1432" s="568" t="s">
        <v>723</v>
      </c>
      <c r="C1432" s="568"/>
      <c r="D1432" s="568"/>
      <c r="E1432" s="188"/>
      <c r="F1432" s="188"/>
      <c r="G1432" s="2122"/>
      <c r="H1432" s="568"/>
      <c r="I1432" s="2118"/>
      <c r="J1432" s="2123"/>
      <c r="K1432" s="2123">
        <f>K1428+(K1428*5%)</f>
        <v>49.811999999999998</v>
      </c>
      <c r="L1432" s="192"/>
      <c r="M1432" s="568"/>
    </row>
    <row r="1433" spans="1:29" ht="12.75" hidden="1">
      <c r="A1433" s="2114"/>
      <c r="B1433" s="568"/>
      <c r="C1433" s="568"/>
      <c r="D1433" s="568"/>
      <c r="E1433" s="2120"/>
      <c r="F1433" s="2120"/>
      <c r="G1433" s="2122"/>
      <c r="H1433" s="568"/>
      <c r="I1433" s="2118"/>
      <c r="J1433" s="2114" t="s">
        <v>718</v>
      </c>
      <c r="K1433" s="2124">
        <f>SUM(K1431:K1432)</f>
        <v>1065.0919999999999</v>
      </c>
      <c r="L1433" s="192" t="s">
        <v>721</v>
      </c>
      <c r="M1433" s="568"/>
      <c r="Y1433" s="1705" t="s">
        <v>49</v>
      </c>
      <c r="Z1433" s="1709">
        <f>Z1429+K1432</f>
        <v>1046.0119999999999</v>
      </c>
      <c r="AA1433" s="1709">
        <f>K1433-Z1433</f>
        <v>19.079999999999927</v>
      </c>
    </row>
    <row r="1434" spans="1:29" ht="12.75" hidden="1">
      <c r="A1434" s="2114" t="str">
        <f>A1411</f>
        <v>(iv)</v>
      </c>
      <c r="B1434" s="192" t="str">
        <f>B1411</f>
        <v>Third Floor</v>
      </c>
      <c r="C1434" s="568"/>
      <c r="D1434" s="568"/>
      <c r="E1434" s="2120" t="str">
        <f>E1430</f>
        <v>Each Cum</v>
      </c>
      <c r="F1434" s="2120"/>
      <c r="G1434" s="2122"/>
      <c r="H1434" s="568"/>
      <c r="I1434" s="2118"/>
      <c r="J1434" s="2123"/>
      <c r="K1434" s="2123"/>
      <c r="L1434" s="192"/>
      <c r="M1434" s="568"/>
    </row>
    <row r="1435" spans="1:29" ht="12.75" hidden="1">
      <c r="A1435" s="2114"/>
      <c r="B1435" s="568" t="str">
        <f>B1412</f>
        <v>Basic Rate in First Floor.</v>
      </c>
      <c r="C1435" s="568"/>
      <c r="D1435" s="568"/>
      <c r="E1435" s="188"/>
      <c r="F1435" s="188"/>
      <c r="G1435" s="2122"/>
      <c r="H1435" s="568"/>
      <c r="I1435" s="2118"/>
      <c r="J1435" s="2123"/>
      <c r="K1435" s="2123">
        <f>K1433</f>
        <v>1065.0919999999999</v>
      </c>
      <c r="L1435" s="192"/>
      <c r="M1435" s="568"/>
    </row>
    <row r="1436" spans="1:29" ht="12.75" hidden="1">
      <c r="A1436" s="2114"/>
      <c r="B1436" s="568" t="s">
        <v>723</v>
      </c>
      <c r="C1436" s="568"/>
      <c r="D1436" s="568"/>
      <c r="E1436" s="188"/>
      <c r="F1436" s="188"/>
      <c r="G1436" s="2122"/>
      <c r="H1436" s="568"/>
      <c r="I1436" s="2118"/>
      <c r="J1436" s="2123"/>
      <c r="K1436" s="2123">
        <f>K1432+(K1432*5%)</f>
        <v>52.302599999999998</v>
      </c>
      <c r="L1436" s="192"/>
      <c r="M1436" s="568"/>
    </row>
    <row r="1437" spans="1:29" ht="12.75" hidden="1">
      <c r="A1437" s="2114"/>
      <c r="B1437" s="568"/>
      <c r="C1437" s="568"/>
      <c r="D1437" s="568"/>
      <c r="E1437" s="2120"/>
      <c r="F1437" s="2120"/>
      <c r="G1437" s="2122"/>
      <c r="H1437" s="568"/>
      <c r="I1437" s="2118"/>
      <c r="J1437" s="2114" t="s">
        <v>718</v>
      </c>
      <c r="K1437" s="2124">
        <f>SUM(K1435:K1436)</f>
        <v>1117.3945999999999</v>
      </c>
      <c r="L1437" s="192" t="s">
        <v>721</v>
      </c>
      <c r="M1437" s="568"/>
      <c r="Y1437" s="1705" t="s">
        <v>49</v>
      </c>
      <c r="Z1437" s="1709">
        <f>Z1433+K1436</f>
        <v>1098.3145999999999</v>
      </c>
      <c r="AA1437" s="1709">
        <f>K1437-Z1437</f>
        <v>19.079999999999927</v>
      </c>
    </row>
    <row r="1438" spans="1:29" ht="63" hidden="1" customHeight="1">
      <c r="A1438" s="2114">
        <f>A300</f>
        <v>7</v>
      </c>
      <c r="B1438" s="3017" t="str">
        <f>B300</f>
        <v>Dismantling &amp; removing doors, windows &amp; ventilators including removal of frame, hinges, fastening  and stacking the useful materials for reuse  &amp;  removing the debris within 50m lead  with  cost  of  all labour etc. complete.</v>
      </c>
      <c r="C1438" s="3017"/>
      <c r="D1438" s="3017"/>
      <c r="E1438" s="2116" t="str">
        <f>G300</f>
        <v>Each Sqm</v>
      </c>
      <c r="F1438" s="2116"/>
      <c r="G1438" s="2117"/>
      <c r="H1438" s="2117"/>
      <c r="I1438" s="2118"/>
      <c r="J1438" s="2117"/>
      <c r="K1438" s="2117"/>
      <c r="L1438" s="2119"/>
      <c r="M1438" s="2117"/>
      <c r="N1438" s="2111"/>
      <c r="O1438" s="2111"/>
      <c r="P1438" s="2111"/>
    </row>
    <row r="1439" spans="1:29" ht="12.75" hidden="1">
      <c r="A1439" s="2114" t="str">
        <f>A301</f>
        <v>(i)</v>
      </c>
      <c r="B1439" s="192" t="str">
        <f>B301</f>
        <v>Ground Floor</v>
      </c>
      <c r="C1439" s="675"/>
      <c r="D1439" s="675"/>
      <c r="E1439" s="2120" t="str">
        <f>E1438</f>
        <v>Each Sqm</v>
      </c>
      <c r="F1439" s="2120"/>
      <c r="G1439" s="2117"/>
      <c r="H1439" s="2117"/>
      <c r="I1439" s="2118"/>
      <c r="J1439" s="2117"/>
      <c r="K1439" s="2117"/>
      <c r="L1439" s="2119"/>
      <c r="M1439" s="2117"/>
      <c r="N1439" s="2111"/>
      <c r="O1439" s="2111"/>
      <c r="P1439" s="2111"/>
    </row>
    <row r="1440" spans="1:29" ht="12.75" hidden="1">
      <c r="A1440" s="2114"/>
      <c r="B1440" s="192" t="s">
        <v>736</v>
      </c>
      <c r="C1440" s="568"/>
      <c r="D1440" s="568"/>
      <c r="E1440" s="2121"/>
      <c r="F1440" s="2121"/>
      <c r="G1440" s="568"/>
      <c r="H1440" s="2117"/>
      <c r="I1440" s="2118"/>
      <c r="J1440" s="568"/>
      <c r="K1440" s="568"/>
      <c r="L1440" s="2119"/>
      <c r="M1440" s="2117"/>
      <c r="N1440" s="2111"/>
      <c r="O1440" s="2111"/>
      <c r="P1440" s="2111"/>
    </row>
    <row r="1441" spans="1:27" ht="12.75" hidden="1">
      <c r="A1441" s="2114"/>
      <c r="B1441" s="192" t="s">
        <v>715</v>
      </c>
      <c r="C1441" s="192"/>
      <c r="D1441" s="568"/>
      <c r="E1441" s="2121"/>
      <c r="F1441" s="2121"/>
      <c r="G1441" s="568"/>
      <c r="H1441" s="2117"/>
      <c r="I1441" s="2118"/>
      <c r="J1441" s="568"/>
      <c r="K1441" s="568"/>
      <c r="L1441" s="2119"/>
      <c r="M1441" s="2117"/>
      <c r="N1441" s="2111"/>
      <c r="O1441" s="2111"/>
      <c r="P1441" s="2111"/>
    </row>
    <row r="1442" spans="1:27" ht="12.75" hidden="1">
      <c r="A1442" s="2114"/>
      <c r="B1442" s="568" t="s">
        <v>733</v>
      </c>
      <c r="C1442" s="568"/>
      <c r="D1442" s="568"/>
      <c r="E1442" s="2121"/>
      <c r="F1442" s="2121"/>
      <c r="G1442" s="2122">
        <v>0.5</v>
      </c>
      <c r="H1442" s="2117" t="s">
        <v>262</v>
      </c>
      <c r="I1442" s="2118" t="s">
        <v>38</v>
      </c>
      <c r="J1442" s="2123">
        <f>L136</f>
        <v>435</v>
      </c>
      <c r="K1442" s="2123">
        <f>ROUND(G1442*J1442,2)</f>
        <v>217.5</v>
      </c>
      <c r="L1442" s="2119"/>
      <c r="M1442" s="2117"/>
      <c r="N1442" s="2111"/>
      <c r="O1442" s="2111"/>
      <c r="P1442" s="2111"/>
    </row>
    <row r="1443" spans="1:27" ht="12.75" hidden="1">
      <c r="A1443" s="2114"/>
      <c r="B1443" s="568" t="s">
        <v>717</v>
      </c>
      <c r="C1443" s="568"/>
      <c r="D1443" s="568"/>
      <c r="E1443" s="2121"/>
      <c r="F1443" s="2121"/>
      <c r="G1443" s="2122">
        <v>1.6</v>
      </c>
      <c r="H1443" s="2117" t="s">
        <v>262</v>
      </c>
      <c r="I1443" s="2118" t="s">
        <v>38</v>
      </c>
      <c r="J1443" s="2123">
        <f>L134</f>
        <v>345</v>
      </c>
      <c r="K1443" s="2123">
        <f>ROUND(G1443*J1443,2)</f>
        <v>552</v>
      </c>
      <c r="L1443" s="2119"/>
      <c r="M1443" s="2117"/>
      <c r="N1443" s="2111"/>
      <c r="O1443" s="2111"/>
      <c r="P1443" s="2111"/>
    </row>
    <row r="1444" spans="1:27" ht="12.75" hidden="1">
      <c r="A1444" s="2114"/>
      <c r="B1444" s="568"/>
      <c r="C1444" s="568"/>
      <c r="D1444" s="568"/>
      <c r="E1444" s="2121"/>
      <c r="F1444" s="2121"/>
      <c r="G1444" s="2122"/>
      <c r="H1444" s="2117"/>
      <c r="I1444" s="2118"/>
      <c r="J1444" s="2114" t="s">
        <v>718</v>
      </c>
      <c r="K1444" s="2124">
        <f>SUM(K1442:K1443)</f>
        <v>769.5</v>
      </c>
      <c r="L1444" s="2119"/>
      <c r="M1444" s="2117"/>
      <c r="N1444" s="2111"/>
      <c r="O1444" s="2111"/>
      <c r="P1444" s="2111"/>
    </row>
    <row r="1445" spans="1:27" ht="12.75" hidden="1">
      <c r="A1445" s="2114"/>
      <c r="B1445" s="192"/>
      <c r="C1445" s="568"/>
      <c r="D1445" s="568"/>
      <c r="E1445" s="2121"/>
      <c r="F1445" s="2121"/>
      <c r="G1445" s="568"/>
      <c r="H1445" s="2117"/>
      <c r="I1445" s="2118"/>
      <c r="J1445" s="568"/>
      <c r="K1445" s="2124"/>
      <c r="L1445" s="2119"/>
      <c r="M1445" s="2117"/>
      <c r="N1445" s="2111"/>
      <c r="O1445" s="2111"/>
      <c r="P1445" s="2111"/>
    </row>
    <row r="1446" spans="1:27" ht="12.75" hidden="1">
      <c r="A1446" s="2114"/>
      <c r="B1446" s="192" t="s">
        <v>719</v>
      </c>
      <c r="C1446" s="568"/>
      <c r="D1446" s="568"/>
      <c r="E1446" s="2121"/>
      <c r="F1446" s="2121"/>
      <c r="G1446" s="568"/>
      <c r="H1446" s="2117"/>
      <c r="I1446" s="2125">
        <v>0.02</v>
      </c>
      <c r="J1446" s="568"/>
      <c r="K1446" s="2124">
        <f>ROUND(K1444*I1446,2)</f>
        <v>15.39</v>
      </c>
      <c r="L1446" s="2119"/>
      <c r="M1446" s="2117"/>
      <c r="N1446" s="2111"/>
      <c r="O1446" s="2111"/>
      <c r="P1446" s="2111"/>
    </row>
    <row r="1447" spans="1:27" ht="12.75" hidden="1">
      <c r="A1447" s="2114"/>
      <c r="B1447" s="192" t="s">
        <v>737</v>
      </c>
      <c r="C1447" s="568"/>
      <c r="D1447" s="568"/>
      <c r="E1447" s="2121"/>
      <c r="F1447" s="2121"/>
      <c r="G1447" s="568"/>
      <c r="H1447" s="2117"/>
      <c r="I1447" s="2118"/>
      <c r="J1447" s="568"/>
      <c r="K1447" s="2124">
        <f>SUM(K1444:K1446)</f>
        <v>784.89</v>
      </c>
      <c r="L1447" s="2119"/>
      <c r="M1447" s="2117"/>
      <c r="N1447" s="2111"/>
      <c r="O1447" s="2111"/>
      <c r="P1447" s="2111"/>
    </row>
    <row r="1448" spans="1:27" ht="12.75" hidden="1">
      <c r="A1448" s="2114"/>
      <c r="B1448" s="568" t="s">
        <v>738</v>
      </c>
      <c r="C1448" s="568"/>
      <c r="D1448" s="568"/>
      <c r="E1448" s="2120"/>
      <c r="F1448" s="2120"/>
      <c r="G1448" s="568"/>
      <c r="H1448" s="2117"/>
      <c r="I1448" s="2118"/>
      <c r="J1448" s="2114" t="s">
        <v>718</v>
      </c>
      <c r="K1448" s="2124">
        <f>ROUND(K1447/2.6,2)</f>
        <v>301.88</v>
      </c>
      <c r="L1448" s="192" t="s">
        <v>730</v>
      </c>
      <c r="M1448" s="2117"/>
      <c r="N1448" s="2111"/>
      <c r="O1448" s="2111"/>
      <c r="P1448" s="2111"/>
      <c r="Y1448" s="1705" t="s">
        <v>92</v>
      </c>
      <c r="Z1448" s="1705">
        <f>ROUND(K1444/2.6,2)</f>
        <v>295.95999999999998</v>
      </c>
      <c r="AA1448" s="1709">
        <f>K1448-Z1448</f>
        <v>5.9200000000000159</v>
      </c>
    </row>
    <row r="1449" spans="1:27" ht="12.75" hidden="1">
      <c r="A1449" s="2114" t="str">
        <f>A302</f>
        <v>(ii)</v>
      </c>
      <c r="B1449" s="192" t="str">
        <f>B302</f>
        <v>First Floor</v>
      </c>
      <c r="C1449" s="568"/>
      <c r="D1449" s="568"/>
      <c r="E1449" s="2120" t="str">
        <f>E1439</f>
        <v>Each Sqm</v>
      </c>
      <c r="F1449" s="2120"/>
      <c r="G1449" s="2122"/>
      <c r="H1449" s="568"/>
      <c r="I1449" s="2118"/>
      <c r="J1449" s="2123"/>
      <c r="K1449" s="2123"/>
      <c r="L1449" s="192"/>
      <c r="M1449" s="568"/>
    </row>
    <row r="1450" spans="1:27" ht="12.75" hidden="1">
      <c r="A1450" s="2114"/>
      <c r="B1450" s="568" t="s">
        <v>722</v>
      </c>
      <c r="C1450" s="568"/>
      <c r="D1450" s="568"/>
      <c r="E1450" s="188"/>
      <c r="F1450" s="188"/>
      <c r="G1450" s="2122"/>
      <c r="H1450" s="568"/>
      <c r="I1450" s="2118"/>
      <c r="J1450" s="2123"/>
      <c r="K1450" s="2123">
        <f>K1448</f>
        <v>301.88</v>
      </c>
      <c r="L1450" s="192"/>
      <c r="M1450" s="568"/>
    </row>
    <row r="1451" spans="1:27" ht="12.75" hidden="1">
      <c r="A1451" s="2114"/>
      <c r="B1451" s="568" t="s">
        <v>723</v>
      </c>
      <c r="C1451" s="568"/>
      <c r="D1451" s="568"/>
      <c r="E1451" s="188"/>
      <c r="F1451" s="188"/>
      <c r="G1451" s="2122"/>
      <c r="H1451" s="568"/>
      <c r="I1451" s="2118"/>
      <c r="J1451" s="2123"/>
      <c r="K1451" s="2123">
        <f>ROUND(K1444/2.6*1*5%,2)</f>
        <v>14.8</v>
      </c>
      <c r="L1451" s="192"/>
      <c r="M1451" s="568"/>
    </row>
    <row r="1452" spans="1:27" ht="12.75" hidden="1">
      <c r="A1452" s="2114"/>
      <c r="B1452" s="568"/>
      <c r="C1452" s="568"/>
      <c r="D1452" s="568"/>
      <c r="E1452" s="2120"/>
      <c r="F1452" s="2120"/>
      <c r="G1452" s="2122"/>
      <c r="H1452" s="568"/>
      <c r="I1452" s="2118"/>
      <c r="J1452" s="2114" t="s">
        <v>718</v>
      </c>
      <c r="K1452" s="2124">
        <f>SUM(K1450:K1451)</f>
        <v>316.68</v>
      </c>
      <c r="L1452" s="192" t="s">
        <v>730</v>
      </c>
      <c r="M1452" s="568"/>
      <c r="Y1452" s="1705" t="s">
        <v>92</v>
      </c>
      <c r="Z1452" s="1709">
        <f>Z1448+K1451</f>
        <v>310.76</v>
      </c>
      <c r="AA1452" s="1709">
        <f>K1452-Z1452</f>
        <v>5.9200000000000159</v>
      </c>
    </row>
    <row r="1453" spans="1:27" ht="12.75" hidden="1">
      <c r="A1453" s="2114" t="str">
        <f>A1430</f>
        <v>(iii)</v>
      </c>
      <c r="B1453" s="192" t="str">
        <f>B1430</f>
        <v>Second Floor</v>
      </c>
      <c r="C1453" s="568"/>
      <c r="D1453" s="568"/>
      <c r="E1453" s="2120" t="str">
        <f>E1449</f>
        <v>Each Sqm</v>
      </c>
      <c r="F1453" s="2120"/>
      <c r="G1453" s="2122"/>
      <c r="H1453" s="568"/>
      <c r="I1453" s="2118"/>
      <c r="J1453" s="2123"/>
      <c r="K1453" s="2123"/>
      <c r="L1453" s="192"/>
      <c r="M1453" s="568"/>
    </row>
    <row r="1454" spans="1:27" ht="12.75" hidden="1">
      <c r="A1454" s="2114"/>
      <c r="B1454" s="568" t="str">
        <f>B1431</f>
        <v>Basic Rate in First Floor.</v>
      </c>
      <c r="C1454" s="568"/>
      <c r="D1454" s="568"/>
      <c r="E1454" s="188"/>
      <c r="F1454" s="188"/>
      <c r="G1454" s="2122"/>
      <c r="H1454" s="568"/>
      <c r="I1454" s="2118"/>
      <c r="J1454" s="2123"/>
      <c r="K1454" s="2123">
        <f>K1452</f>
        <v>316.68</v>
      </c>
      <c r="L1454" s="192"/>
      <c r="M1454" s="568"/>
    </row>
    <row r="1455" spans="1:27" ht="12.75" hidden="1">
      <c r="A1455" s="2114"/>
      <c r="B1455" s="568" t="s">
        <v>723</v>
      </c>
      <c r="C1455" s="568"/>
      <c r="D1455" s="568"/>
      <c r="E1455" s="188"/>
      <c r="F1455" s="188"/>
      <c r="G1455" s="2122"/>
      <c r="H1455" s="568"/>
      <c r="I1455" s="2118"/>
      <c r="J1455" s="2123"/>
      <c r="K1455" s="2123">
        <f>K1451+(K1451*5%)</f>
        <v>15.540000000000001</v>
      </c>
      <c r="L1455" s="192"/>
      <c r="M1455" s="568"/>
    </row>
    <row r="1456" spans="1:27" ht="12.75" hidden="1">
      <c r="A1456" s="2114"/>
      <c r="B1456" s="568"/>
      <c r="C1456" s="568"/>
      <c r="D1456" s="568"/>
      <c r="E1456" s="2120"/>
      <c r="F1456" s="2120"/>
      <c r="G1456" s="2122"/>
      <c r="H1456" s="568"/>
      <c r="I1456" s="2118"/>
      <c r="J1456" s="2114" t="s">
        <v>718</v>
      </c>
      <c r="K1456" s="2124">
        <f>SUM(K1454:K1455)</f>
        <v>332.22</v>
      </c>
      <c r="L1456" s="192" t="s">
        <v>730</v>
      </c>
      <c r="M1456" s="568"/>
      <c r="Y1456" s="1705" t="s">
        <v>92</v>
      </c>
      <c r="Z1456" s="1709">
        <f>Z1452+K1455</f>
        <v>326.3</v>
      </c>
      <c r="AA1456" s="1709">
        <f>K1456-Z1456</f>
        <v>5.9200000000000159</v>
      </c>
    </row>
    <row r="1457" spans="1:27" ht="12.75" hidden="1">
      <c r="A1457" s="2114" t="str">
        <f>A1434</f>
        <v>(iv)</v>
      </c>
      <c r="B1457" s="192" t="str">
        <f>B1434</f>
        <v>Third Floor</v>
      </c>
      <c r="C1457" s="568"/>
      <c r="D1457" s="568"/>
      <c r="E1457" s="2120" t="str">
        <f>E1453</f>
        <v>Each Sqm</v>
      </c>
      <c r="F1457" s="2120"/>
      <c r="G1457" s="2122"/>
      <c r="H1457" s="568"/>
      <c r="I1457" s="2118"/>
      <c r="J1457" s="2123"/>
      <c r="K1457" s="2123"/>
      <c r="L1457" s="192"/>
      <c r="M1457" s="568"/>
    </row>
    <row r="1458" spans="1:27" ht="12.75" hidden="1">
      <c r="A1458" s="2114"/>
      <c r="B1458" s="568" t="str">
        <f>B1435</f>
        <v>Basic Rate in First Floor.</v>
      </c>
      <c r="C1458" s="568"/>
      <c r="D1458" s="568"/>
      <c r="E1458" s="188"/>
      <c r="F1458" s="188"/>
      <c r="G1458" s="2122"/>
      <c r="H1458" s="568"/>
      <c r="I1458" s="2118"/>
      <c r="J1458" s="2123"/>
      <c r="K1458" s="2123">
        <f>K1456</f>
        <v>332.22</v>
      </c>
      <c r="L1458" s="192"/>
      <c r="M1458" s="568"/>
    </row>
    <row r="1459" spans="1:27" ht="12.75" hidden="1">
      <c r="A1459" s="2114"/>
      <c r="B1459" s="568" t="s">
        <v>723</v>
      </c>
      <c r="C1459" s="568"/>
      <c r="D1459" s="568"/>
      <c r="E1459" s="188"/>
      <c r="F1459" s="188"/>
      <c r="G1459" s="2122"/>
      <c r="H1459" s="568"/>
      <c r="I1459" s="2118"/>
      <c r="J1459" s="2123"/>
      <c r="K1459" s="2123">
        <f>K1455+(K1455*5%)</f>
        <v>16.317</v>
      </c>
      <c r="L1459" s="192"/>
      <c r="M1459" s="568"/>
    </row>
    <row r="1460" spans="1:27" ht="12.75" hidden="1">
      <c r="A1460" s="2114"/>
      <c r="B1460" s="568"/>
      <c r="C1460" s="568"/>
      <c r="D1460" s="568"/>
      <c r="E1460" s="2120"/>
      <c r="F1460" s="2120"/>
      <c r="G1460" s="2122"/>
      <c r="H1460" s="568"/>
      <c r="I1460" s="2118"/>
      <c r="J1460" s="2114" t="s">
        <v>718</v>
      </c>
      <c r="K1460" s="2124">
        <f>SUM(K1458:K1459)</f>
        <v>348.53700000000003</v>
      </c>
      <c r="L1460" s="192" t="s">
        <v>730</v>
      </c>
      <c r="M1460" s="568"/>
      <c r="Y1460" s="1705" t="s">
        <v>92</v>
      </c>
      <c r="Z1460" s="1709">
        <f>Z1456+K1459</f>
        <v>342.61700000000002</v>
      </c>
      <c r="AA1460" s="1709">
        <f>K1460-Z1460</f>
        <v>5.9200000000000159</v>
      </c>
    </row>
    <row r="1461" spans="1:27" ht="49.5" hidden="1" customHeight="1">
      <c r="A1461" s="2114">
        <f>A305</f>
        <v>8</v>
      </c>
      <c r="B1461" s="3017" t="str">
        <f>B305</f>
        <v>Dismantling &amp; Removing 2.5cm thick grading concrete from roof slab including removing the debris within 50m lead  with  cost  of  all labour etc. complete.</v>
      </c>
      <c r="C1461" s="3017"/>
      <c r="D1461" s="3017"/>
      <c r="E1461" s="2116" t="str">
        <f>G305</f>
        <v>Each Sqm</v>
      </c>
      <c r="F1461" s="2116"/>
      <c r="G1461" s="2117"/>
      <c r="H1461" s="2117"/>
      <c r="I1461" s="2118"/>
      <c r="J1461" s="2117"/>
      <c r="K1461" s="2117"/>
      <c r="L1461" s="2119"/>
      <c r="M1461" s="2117"/>
      <c r="N1461" s="2111"/>
      <c r="O1461" s="2111"/>
      <c r="P1461" s="2111"/>
    </row>
    <row r="1462" spans="1:27" ht="12.75" hidden="1">
      <c r="A1462" s="2114" t="str">
        <f>A306</f>
        <v>(i)</v>
      </c>
      <c r="B1462" s="192" t="str">
        <f>B306</f>
        <v>Ground Floor</v>
      </c>
      <c r="C1462" s="675"/>
      <c r="D1462" s="675"/>
      <c r="E1462" s="188" t="str">
        <f>E1461</f>
        <v>Each Sqm</v>
      </c>
      <c r="F1462" s="188"/>
      <c r="G1462" s="2117"/>
      <c r="H1462" s="2117"/>
      <c r="I1462" s="2118"/>
      <c r="J1462" s="2117"/>
      <c r="K1462" s="2117"/>
      <c r="L1462" s="2119"/>
      <c r="M1462" s="2117"/>
      <c r="N1462" s="2111"/>
      <c r="O1462" s="2111"/>
      <c r="P1462" s="2111"/>
    </row>
    <row r="1463" spans="1:27" ht="12.75" hidden="1">
      <c r="A1463" s="2114"/>
      <c r="B1463" s="192" t="s">
        <v>727</v>
      </c>
      <c r="C1463" s="568"/>
      <c r="D1463" s="568"/>
      <c r="E1463" s="2121"/>
      <c r="F1463" s="2121"/>
      <c r="G1463" s="568"/>
      <c r="H1463" s="2117"/>
      <c r="I1463" s="2118"/>
      <c r="J1463" s="568"/>
      <c r="K1463" s="568"/>
      <c r="L1463" s="2119"/>
      <c r="M1463" s="2117"/>
      <c r="N1463" s="2111"/>
      <c r="O1463" s="2111"/>
      <c r="P1463" s="2111"/>
    </row>
    <row r="1464" spans="1:27" ht="12.75" hidden="1">
      <c r="A1464" s="2114"/>
      <c r="B1464" s="192" t="s">
        <v>715</v>
      </c>
      <c r="C1464" s="192"/>
      <c r="D1464" s="568"/>
      <c r="E1464" s="2121"/>
      <c r="F1464" s="2121"/>
      <c r="G1464" s="568"/>
      <c r="H1464" s="2117"/>
      <c r="I1464" s="2118"/>
      <c r="J1464" s="568"/>
      <c r="K1464" s="568"/>
      <c r="L1464" s="2119"/>
      <c r="M1464" s="2117"/>
      <c r="N1464" s="2111"/>
      <c r="O1464" s="2111"/>
      <c r="P1464" s="2111"/>
    </row>
    <row r="1465" spans="1:27" ht="12.75" hidden="1">
      <c r="A1465" s="2114"/>
      <c r="B1465" s="568" t="s">
        <v>717</v>
      </c>
      <c r="C1465" s="568"/>
      <c r="D1465" s="568"/>
      <c r="E1465" s="2121"/>
      <c r="F1465" s="2121"/>
      <c r="G1465" s="2122">
        <v>2.25</v>
      </c>
      <c r="H1465" s="2117" t="s">
        <v>262</v>
      </c>
      <c r="I1465" s="2118" t="s">
        <v>38</v>
      </c>
      <c r="J1465" s="2123">
        <f>L134</f>
        <v>345</v>
      </c>
      <c r="K1465" s="2123">
        <f>ROUND(G1465*J1465,2)</f>
        <v>776.25</v>
      </c>
      <c r="L1465" s="2119"/>
      <c r="M1465" s="2117"/>
      <c r="N1465" s="2111"/>
      <c r="O1465" s="2111"/>
      <c r="P1465" s="2111"/>
    </row>
    <row r="1466" spans="1:27" ht="12.75" hidden="1">
      <c r="A1466" s="2114"/>
      <c r="B1466" s="568"/>
      <c r="C1466" s="568"/>
      <c r="D1466" s="568"/>
      <c r="E1466" s="2121"/>
      <c r="F1466" s="2121"/>
      <c r="G1466" s="2122"/>
      <c r="H1466" s="2117"/>
      <c r="I1466" s="2118"/>
      <c r="J1466" s="2114" t="s">
        <v>718</v>
      </c>
      <c r="K1466" s="2124">
        <f>K1465</f>
        <v>776.25</v>
      </c>
      <c r="L1466" s="2119"/>
      <c r="M1466" s="2117"/>
      <c r="N1466" s="2111"/>
      <c r="O1466" s="2111"/>
      <c r="P1466" s="2111"/>
    </row>
    <row r="1467" spans="1:27" ht="12.75" hidden="1">
      <c r="A1467" s="2114"/>
      <c r="B1467" s="192"/>
      <c r="C1467" s="568"/>
      <c r="D1467" s="568"/>
      <c r="E1467" s="2121"/>
      <c r="F1467" s="2121"/>
      <c r="G1467" s="568"/>
      <c r="H1467" s="2117"/>
      <c r="I1467" s="2118"/>
      <c r="J1467" s="568"/>
      <c r="K1467" s="2124"/>
      <c r="L1467" s="2119"/>
      <c r="M1467" s="2117"/>
      <c r="N1467" s="2111"/>
      <c r="O1467" s="2111"/>
      <c r="P1467" s="2111"/>
    </row>
    <row r="1468" spans="1:27" ht="12.75" hidden="1">
      <c r="A1468" s="2114"/>
      <c r="B1468" s="192" t="s">
        <v>719</v>
      </c>
      <c r="C1468" s="568"/>
      <c r="D1468" s="568"/>
      <c r="E1468" s="2121"/>
      <c r="F1468" s="2121"/>
      <c r="G1468" s="568"/>
      <c r="H1468" s="2117"/>
      <c r="I1468" s="2125">
        <v>0.02</v>
      </c>
      <c r="J1468" s="568"/>
      <c r="K1468" s="2124">
        <f>ROUND(K1466*I1468,2)</f>
        <v>15.53</v>
      </c>
      <c r="L1468" s="2119"/>
      <c r="M1468" s="2117"/>
      <c r="N1468" s="2111"/>
      <c r="O1468" s="2111"/>
      <c r="P1468" s="2111"/>
    </row>
    <row r="1469" spans="1:27" ht="12.75" hidden="1">
      <c r="A1469" s="2114"/>
      <c r="B1469" s="192" t="s">
        <v>728</v>
      </c>
      <c r="C1469" s="568"/>
      <c r="D1469" s="568"/>
      <c r="E1469" s="2121"/>
      <c r="F1469" s="2121"/>
      <c r="G1469" s="568"/>
      <c r="H1469" s="2117"/>
      <c r="I1469" s="2118"/>
      <c r="J1469" s="568"/>
      <c r="K1469" s="2124">
        <f>SUM(K1466:K1468)</f>
        <v>791.78</v>
      </c>
      <c r="L1469" s="2119"/>
      <c r="M1469" s="2117"/>
      <c r="N1469" s="2111"/>
      <c r="O1469" s="2111"/>
      <c r="P1469" s="2111"/>
    </row>
    <row r="1470" spans="1:27" ht="12.75" hidden="1">
      <c r="A1470" s="2114"/>
      <c r="B1470" s="568" t="s">
        <v>729</v>
      </c>
      <c r="C1470" s="568"/>
      <c r="D1470" s="568"/>
      <c r="E1470" s="2121"/>
      <c r="F1470" s="2121"/>
      <c r="G1470" s="568"/>
      <c r="H1470" s="2117"/>
      <c r="I1470" s="2118"/>
      <c r="J1470" s="2114" t="s">
        <v>718</v>
      </c>
      <c r="K1470" s="2124">
        <f>ROUND(K1469/9.3,2)</f>
        <v>85.14</v>
      </c>
      <c r="L1470" s="192" t="s">
        <v>730</v>
      </c>
      <c r="M1470" s="2117"/>
      <c r="N1470" s="2111"/>
      <c r="O1470" s="2111"/>
      <c r="P1470" s="2111"/>
      <c r="Y1470" s="1705" t="s">
        <v>92</v>
      </c>
      <c r="Z1470" s="1705">
        <f>ROUND(K1466/9.3,2)</f>
        <v>83.47</v>
      </c>
      <c r="AA1470" s="1709">
        <f>K1470-Z1470</f>
        <v>1.6700000000000017</v>
      </c>
    </row>
    <row r="1471" spans="1:27" ht="12.75" hidden="1">
      <c r="A1471" s="2114" t="str">
        <f>A307</f>
        <v>(ii)</v>
      </c>
      <c r="B1471" s="192" t="str">
        <f>B307</f>
        <v>First Floor</v>
      </c>
      <c r="C1471" s="568"/>
      <c r="D1471" s="568"/>
      <c r="E1471" s="188" t="str">
        <f>E1462</f>
        <v>Each Sqm</v>
      </c>
      <c r="F1471" s="188"/>
      <c r="G1471" s="2122"/>
      <c r="H1471" s="568"/>
      <c r="I1471" s="2118"/>
      <c r="J1471" s="2123"/>
      <c r="K1471" s="2123"/>
      <c r="L1471" s="192"/>
      <c r="M1471" s="568"/>
    </row>
    <row r="1472" spans="1:27" ht="12.75" hidden="1">
      <c r="A1472" s="2114"/>
      <c r="B1472" s="568" t="s">
        <v>722</v>
      </c>
      <c r="C1472" s="568"/>
      <c r="D1472" s="568"/>
      <c r="E1472" s="188"/>
      <c r="F1472" s="188"/>
      <c r="G1472" s="2122"/>
      <c r="H1472" s="568"/>
      <c r="I1472" s="2118"/>
      <c r="J1472" s="2123"/>
      <c r="K1472" s="2123">
        <f>K1470</f>
        <v>85.14</v>
      </c>
      <c r="L1472" s="192"/>
      <c r="M1472" s="568"/>
    </row>
    <row r="1473" spans="1:27" ht="12.75" hidden="1">
      <c r="A1473" s="2114"/>
      <c r="B1473" s="568" t="s">
        <v>723</v>
      </c>
      <c r="C1473" s="568"/>
      <c r="D1473" s="568"/>
      <c r="E1473" s="188"/>
      <c r="F1473" s="188"/>
      <c r="G1473" s="2122"/>
      <c r="H1473" s="568"/>
      <c r="I1473" s="2118"/>
      <c r="J1473" s="2123"/>
      <c r="K1473" s="2123">
        <f>ROUND(K1466/9.3*1*5%,2)</f>
        <v>4.17</v>
      </c>
      <c r="L1473" s="192"/>
      <c r="M1473" s="568"/>
    </row>
    <row r="1474" spans="1:27" ht="12.75" hidden="1">
      <c r="A1474" s="2114"/>
      <c r="B1474" s="568"/>
      <c r="C1474" s="568"/>
      <c r="D1474" s="568"/>
      <c r="E1474" s="188"/>
      <c r="F1474" s="188"/>
      <c r="G1474" s="2122"/>
      <c r="H1474" s="568"/>
      <c r="I1474" s="2118"/>
      <c r="J1474" s="2114" t="s">
        <v>718</v>
      </c>
      <c r="K1474" s="2124">
        <f>SUM(K1472:K1473)</f>
        <v>89.31</v>
      </c>
      <c r="L1474" s="192" t="s">
        <v>730</v>
      </c>
      <c r="M1474" s="568"/>
      <c r="Y1474" s="1705" t="s">
        <v>92</v>
      </c>
      <c r="Z1474" s="1709">
        <f>Z1470+K1473</f>
        <v>87.64</v>
      </c>
      <c r="AA1474" s="1709">
        <f>K1474-Z1474</f>
        <v>1.6700000000000017</v>
      </c>
    </row>
    <row r="1475" spans="1:27" ht="12.75" hidden="1">
      <c r="A1475" s="2114" t="str">
        <f>A1453</f>
        <v>(iii)</v>
      </c>
      <c r="B1475" s="192" t="str">
        <f>B1453</f>
        <v>Second Floor</v>
      </c>
      <c r="C1475" s="568"/>
      <c r="D1475" s="568"/>
      <c r="E1475" s="188" t="str">
        <f>E1471</f>
        <v>Each Sqm</v>
      </c>
      <c r="F1475" s="188"/>
      <c r="G1475" s="2122"/>
      <c r="H1475" s="568"/>
      <c r="I1475" s="2118"/>
      <c r="J1475" s="2123"/>
      <c r="K1475" s="2123"/>
      <c r="L1475" s="192"/>
      <c r="M1475" s="568"/>
    </row>
    <row r="1476" spans="1:27" ht="12.75" hidden="1">
      <c r="A1476" s="2114"/>
      <c r="B1476" s="568" t="str">
        <f>B1454</f>
        <v>Basic Rate in First Floor.</v>
      </c>
      <c r="C1476" s="568"/>
      <c r="D1476" s="568"/>
      <c r="E1476" s="188"/>
      <c r="F1476" s="188"/>
      <c r="G1476" s="2122"/>
      <c r="H1476" s="568"/>
      <c r="I1476" s="2118"/>
      <c r="J1476" s="2123"/>
      <c r="K1476" s="2123">
        <f>K1474</f>
        <v>89.31</v>
      </c>
      <c r="L1476" s="192"/>
      <c r="M1476" s="568"/>
    </row>
    <row r="1477" spans="1:27" ht="12.75" hidden="1">
      <c r="A1477" s="2114"/>
      <c r="B1477" s="568" t="s">
        <v>723</v>
      </c>
      <c r="C1477" s="568"/>
      <c r="D1477" s="568"/>
      <c r="E1477" s="188"/>
      <c r="F1477" s="188"/>
      <c r="G1477" s="2122"/>
      <c r="H1477" s="568"/>
      <c r="I1477" s="2118"/>
      <c r="J1477" s="2123"/>
      <c r="K1477" s="2123">
        <f>K1473+(K1473*5%)</f>
        <v>4.3784999999999998</v>
      </c>
      <c r="L1477" s="192"/>
      <c r="M1477" s="568"/>
    </row>
    <row r="1478" spans="1:27" ht="12.75" hidden="1">
      <c r="A1478" s="2114"/>
      <c r="B1478" s="568"/>
      <c r="C1478" s="568"/>
      <c r="D1478" s="568"/>
      <c r="E1478" s="188"/>
      <c r="F1478" s="188"/>
      <c r="G1478" s="2122"/>
      <c r="H1478" s="568"/>
      <c r="I1478" s="2118"/>
      <c r="J1478" s="2114" t="s">
        <v>718</v>
      </c>
      <c r="K1478" s="2124">
        <f>SUM(K1476:K1477)</f>
        <v>93.688500000000005</v>
      </c>
      <c r="L1478" s="192" t="s">
        <v>730</v>
      </c>
      <c r="M1478" s="568"/>
      <c r="Y1478" s="1705" t="s">
        <v>92</v>
      </c>
      <c r="Z1478" s="1709">
        <f>Z1474+K1477</f>
        <v>92.018500000000003</v>
      </c>
      <c r="AA1478" s="1709">
        <f>K1478-Z1478</f>
        <v>1.6700000000000017</v>
      </c>
    </row>
    <row r="1479" spans="1:27" ht="12.75" hidden="1">
      <c r="A1479" s="2114" t="str">
        <f>A1457</f>
        <v>(iv)</v>
      </c>
      <c r="B1479" s="192" t="str">
        <f>B1457</f>
        <v>Third Floor</v>
      </c>
      <c r="C1479" s="568"/>
      <c r="D1479" s="568"/>
      <c r="E1479" s="188" t="str">
        <f>E1475</f>
        <v>Each Sqm</v>
      </c>
      <c r="F1479" s="188"/>
      <c r="G1479" s="2122"/>
      <c r="H1479" s="568"/>
      <c r="I1479" s="2118"/>
      <c r="J1479" s="2123"/>
      <c r="K1479" s="2123"/>
      <c r="L1479" s="192"/>
      <c r="M1479" s="568"/>
    </row>
    <row r="1480" spans="1:27" ht="12.75" hidden="1">
      <c r="A1480" s="2114"/>
      <c r="B1480" s="568" t="str">
        <f>B1458</f>
        <v>Basic Rate in First Floor.</v>
      </c>
      <c r="C1480" s="568"/>
      <c r="D1480" s="568"/>
      <c r="E1480" s="188"/>
      <c r="F1480" s="188"/>
      <c r="G1480" s="2122"/>
      <c r="H1480" s="568"/>
      <c r="I1480" s="2118"/>
      <c r="J1480" s="2123"/>
      <c r="K1480" s="2123">
        <f>K1478</f>
        <v>93.688500000000005</v>
      </c>
      <c r="L1480" s="192"/>
      <c r="M1480" s="568"/>
    </row>
    <row r="1481" spans="1:27" ht="12.75" hidden="1">
      <c r="A1481" s="2114"/>
      <c r="B1481" s="568" t="s">
        <v>723</v>
      </c>
      <c r="C1481" s="568"/>
      <c r="D1481" s="568"/>
      <c r="E1481" s="188"/>
      <c r="F1481" s="188"/>
      <c r="G1481" s="2122"/>
      <c r="H1481" s="568"/>
      <c r="I1481" s="2118"/>
      <c r="J1481" s="2123"/>
      <c r="K1481" s="2123">
        <f>K1477+(K1477*5%)</f>
        <v>4.5974249999999994</v>
      </c>
      <c r="L1481" s="192"/>
      <c r="M1481" s="568"/>
    </row>
    <row r="1482" spans="1:27" ht="12.75" hidden="1">
      <c r="A1482" s="2114"/>
      <c r="B1482" s="568"/>
      <c r="C1482" s="568"/>
      <c r="D1482" s="568"/>
      <c r="E1482" s="188"/>
      <c r="F1482" s="188"/>
      <c r="G1482" s="2122"/>
      <c r="H1482" s="568"/>
      <c r="I1482" s="2118"/>
      <c r="J1482" s="2114" t="s">
        <v>718</v>
      </c>
      <c r="K1482" s="2124">
        <f>SUM(K1480:K1481)</f>
        <v>98.285925000000006</v>
      </c>
      <c r="L1482" s="192" t="s">
        <v>730</v>
      </c>
      <c r="M1482" s="568"/>
      <c r="Y1482" s="1705" t="s">
        <v>92</v>
      </c>
      <c r="Z1482" s="1709">
        <f>Z1478+K1481</f>
        <v>96.615925000000004</v>
      </c>
      <c r="AA1482" s="1709">
        <f>K1482-Z1482</f>
        <v>1.6700000000000017</v>
      </c>
    </row>
    <row r="1483" spans="1:27" ht="31.15" hidden="1" customHeight="1">
      <c r="A1483" s="2114">
        <f>A310</f>
        <v>9</v>
      </c>
      <c r="B1483" s="3017" t="str">
        <f>B310</f>
        <v>Removing grading plaster from roof slab including removing the debris within 50m lead  with  cost  of  all labour etc. complete.</v>
      </c>
      <c r="C1483" s="3017"/>
      <c r="D1483" s="3017"/>
      <c r="E1483" s="2116" t="str">
        <f>G310</f>
        <v>Each Sqm</v>
      </c>
      <c r="F1483" s="2116"/>
      <c r="G1483" s="2117"/>
      <c r="H1483" s="2117"/>
      <c r="I1483" s="2118"/>
      <c r="J1483" s="2117"/>
      <c r="K1483" s="2117"/>
      <c r="L1483" s="2119"/>
      <c r="M1483" s="2117"/>
      <c r="N1483" s="2111"/>
      <c r="O1483" s="2111"/>
      <c r="P1483" s="2111"/>
    </row>
    <row r="1484" spans="1:27" ht="12.75" hidden="1">
      <c r="A1484" s="2114" t="str">
        <f>A311</f>
        <v>(i)</v>
      </c>
      <c r="B1484" s="192" t="str">
        <f>B311</f>
        <v>Ground Floor</v>
      </c>
      <c r="C1484" s="675"/>
      <c r="D1484" s="675"/>
      <c r="E1484" s="188" t="str">
        <f>E1483</f>
        <v>Each Sqm</v>
      </c>
      <c r="F1484" s="188"/>
      <c r="G1484" s="2117"/>
      <c r="H1484" s="2117"/>
      <c r="I1484" s="2118"/>
      <c r="J1484" s="2117"/>
      <c r="K1484" s="2117"/>
      <c r="L1484" s="2119"/>
      <c r="M1484" s="2117"/>
      <c r="N1484" s="2111"/>
      <c r="O1484" s="2111"/>
      <c r="P1484" s="2111"/>
    </row>
    <row r="1485" spans="1:27" ht="12.75" hidden="1">
      <c r="A1485" s="2114"/>
      <c r="B1485" s="192" t="s">
        <v>727</v>
      </c>
      <c r="C1485" s="568"/>
      <c r="D1485" s="568"/>
      <c r="E1485" s="2121"/>
      <c r="F1485" s="2121"/>
      <c r="G1485" s="568"/>
      <c r="H1485" s="2117"/>
      <c r="I1485" s="2118"/>
      <c r="J1485" s="568"/>
      <c r="K1485" s="568"/>
      <c r="L1485" s="2119"/>
      <c r="M1485" s="2117"/>
      <c r="N1485" s="2111"/>
      <c r="O1485" s="2111"/>
      <c r="P1485" s="2111"/>
    </row>
    <row r="1486" spans="1:27" ht="12.75" hidden="1">
      <c r="A1486" s="2114"/>
      <c r="B1486" s="192" t="s">
        <v>715</v>
      </c>
      <c r="C1486" s="192"/>
      <c r="D1486" s="568"/>
      <c r="E1486" s="2121"/>
      <c r="F1486" s="2121"/>
      <c r="G1486" s="568"/>
      <c r="H1486" s="2117"/>
      <c r="I1486" s="2118"/>
      <c r="J1486" s="568"/>
      <c r="K1486" s="568"/>
      <c r="L1486" s="2119"/>
      <c r="M1486" s="2117"/>
      <c r="N1486" s="2111"/>
      <c r="O1486" s="2111"/>
      <c r="P1486" s="2111"/>
    </row>
    <row r="1487" spans="1:27" ht="12.75" hidden="1">
      <c r="A1487" s="2114"/>
      <c r="B1487" s="568" t="s">
        <v>717</v>
      </c>
      <c r="C1487" s="568"/>
      <c r="D1487" s="568"/>
      <c r="E1487" s="2121"/>
      <c r="F1487" s="2121"/>
      <c r="G1487" s="2122">
        <v>1.55</v>
      </c>
      <c r="H1487" s="2117" t="s">
        <v>262</v>
      </c>
      <c r="I1487" s="2118" t="s">
        <v>38</v>
      </c>
      <c r="J1487" s="2123">
        <f>L134</f>
        <v>345</v>
      </c>
      <c r="K1487" s="2123">
        <f>ROUND(G1487*J1487,2)</f>
        <v>534.75</v>
      </c>
      <c r="L1487" s="2119"/>
      <c r="M1487" s="2117"/>
      <c r="N1487" s="2111"/>
      <c r="O1487" s="2111"/>
      <c r="P1487" s="2111"/>
    </row>
    <row r="1488" spans="1:27" ht="12.75" hidden="1">
      <c r="A1488" s="2114"/>
      <c r="B1488" s="568"/>
      <c r="C1488" s="568"/>
      <c r="D1488" s="568"/>
      <c r="E1488" s="2121"/>
      <c r="F1488" s="2121"/>
      <c r="G1488" s="2122"/>
      <c r="H1488" s="2117"/>
      <c r="I1488" s="2118"/>
      <c r="J1488" s="2114" t="s">
        <v>718</v>
      </c>
      <c r="K1488" s="2124">
        <f>K1487</f>
        <v>534.75</v>
      </c>
      <c r="L1488" s="2119"/>
      <c r="M1488" s="2117"/>
      <c r="N1488" s="2111"/>
      <c r="O1488" s="2111"/>
      <c r="P1488" s="2111"/>
    </row>
    <row r="1489" spans="1:27" ht="12.75" hidden="1">
      <c r="A1489" s="2114"/>
      <c r="B1489" s="192"/>
      <c r="C1489" s="568"/>
      <c r="D1489" s="568"/>
      <c r="E1489" s="2121"/>
      <c r="F1489" s="2121"/>
      <c r="G1489" s="568"/>
      <c r="H1489" s="2117"/>
      <c r="I1489" s="2118"/>
      <c r="J1489" s="568"/>
      <c r="K1489" s="2124"/>
      <c r="L1489" s="2119"/>
      <c r="M1489" s="2117"/>
      <c r="N1489" s="2111"/>
      <c r="O1489" s="2111"/>
      <c r="P1489" s="2111"/>
    </row>
    <row r="1490" spans="1:27" ht="12.75" hidden="1">
      <c r="A1490" s="2114"/>
      <c r="B1490" s="192" t="s">
        <v>719</v>
      </c>
      <c r="C1490" s="568"/>
      <c r="D1490" s="568"/>
      <c r="E1490" s="2121"/>
      <c r="F1490" s="2121"/>
      <c r="G1490" s="568"/>
      <c r="H1490" s="2117"/>
      <c r="I1490" s="2125">
        <v>0.02</v>
      </c>
      <c r="J1490" s="568"/>
      <c r="K1490" s="2124">
        <f>ROUND(K1488*I1490,2)</f>
        <v>10.7</v>
      </c>
      <c r="L1490" s="2119"/>
      <c r="M1490" s="2117"/>
      <c r="N1490" s="2111"/>
      <c r="O1490" s="2111"/>
      <c r="P1490" s="2111"/>
    </row>
    <row r="1491" spans="1:27" ht="12.75" hidden="1">
      <c r="A1491" s="2114"/>
      <c r="B1491" s="192" t="s">
        <v>728</v>
      </c>
      <c r="C1491" s="568"/>
      <c r="D1491" s="568"/>
      <c r="E1491" s="2121"/>
      <c r="F1491" s="2121"/>
      <c r="G1491" s="568"/>
      <c r="H1491" s="2117"/>
      <c r="I1491" s="2118"/>
      <c r="J1491" s="568"/>
      <c r="K1491" s="2124">
        <f>SUM(K1488:K1490)</f>
        <v>545.45000000000005</v>
      </c>
      <c r="L1491" s="2119"/>
      <c r="M1491" s="2117"/>
      <c r="N1491" s="2111"/>
      <c r="O1491" s="2111"/>
      <c r="P1491" s="2111"/>
    </row>
    <row r="1492" spans="1:27" ht="12.75" hidden="1">
      <c r="A1492" s="2114"/>
      <c r="B1492" s="568" t="s">
        <v>729</v>
      </c>
      <c r="C1492" s="568"/>
      <c r="D1492" s="568"/>
      <c r="E1492" s="2121"/>
      <c r="F1492" s="2121"/>
      <c r="G1492" s="568"/>
      <c r="H1492" s="2117"/>
      <c r="I1492" s="2118"/>
      <c r="J1492" s="2114" t="s">
        <v>718</v>
      </c>
      <c r="K1492" s="2124">
        <f>ROUND(K1491/9.3,2)</f>
        <v>58.65</v>
      </c>
      <c r="L1492" s="192" t="s">
        <v>730</v>
      </c>
      <c r="M1492" s="2117"/>
      <c r="N1492" s="2111"/>
      <c r="O1492" s="2111"/>
      <c r="P1492" s="2111"/>
      <c r="Y1492" s="1705" t="s">
        <v>92</v>
      </c>
      <c r="Z1492" s="1709">
        <f>ROUND(K1488/9.3,2)</f>
        <v>57.5</v>
      </c>
      <c r="AA1492" s="1709">
        <f>K1492-Z1492</f>
        <v>1.1499999999999986</v>
      </c>
    </row>
    <row r="1493" spans="1:27" ht="12.75" hidden="1">
      <c r="A1493" s="2114" t="str">
        <f>A312</f>
        <v>(ii)</v>
      </c>
      <c r="B1493" s="192" t="str">
        <f>B312</f>
        <v>First Floor</v>
      </c>
      <c r="C1493" s="568"/>
      <c r="D1493" s="568"/>
      <c r="E1493" s="188" t="str">
        <f>E1484</f>
        <v>Each Sqm</v>
      </c>
      <c r="F1493" s="188"/>
      <c r="G1493" s="2122"/>
      <c r="H1493" s="568"/>
      <c r="I1493" s="2118"/>
      <c r="J1493" s="2123"/>
      <c r="K1493" s="2123"/>
      <c r="L1493" s="192"/>
      <c r="M1493" s="568"/>
    </row>
    <row r="1494" spans="1:27" ht="12.75" hidden="1">
      <c r="A1494" s="2114"/>
      <c r="B1494" s="568" t="s">
        <v>722</v>
      </c>
      <c r="C1494" s="568"/>
      <c r="D1494" s="568"/>
      <c r="E1494" s="188"/>
      <c r="F1494" s="188"/>
      <c r="G1494" s="2122"/>
      <c r="H1494" s="568"/>
      <c r="I1494" s="2118"/>
      <c r="J1494" s="2123"/>
      <c r="K1494" s="2123">
        <f>K1492</f>
        <v>58.65</v>
      </c>
      <c r="L1494" s="192"/>
      <c r="M1494" s="568"/>
    </row>
    <row r="1495" spans="1:27" ht="12.75" hidden="1">
      <c r="A1495" s="2114"/>
      <c r="B1495" s="568" t="s">
        <v>723</v>
      </c>
      <c r="C1495" s="568"/>
      <c r="D1495" s="568"/>
      <c r="E1495" s="188"/>
      <c r="F1495" s="188"/>
      <c r="G1495" s="2122"/>
      <c r="H1495" s="568"/>
      <c r="I1495" s="2118"/>
      <c r="J1495" s="2123"/>
      <c r="K1495" s="2123">
        <f>ROUND(K1488/9.3*1*5%,2)</f>
        <v>2.88</v>
      </c>
      <c r="L1495" s="192"/>
      <c r="M1495" s="568"/>
    </row>
    <row r="1496" spans="1:27" ht="12.75" hidden="1">
      <c r="A1496" s="2114"/>
      <c r="B1496" s="568"/>
      <c r="C1496" s="568"/>
      <c r="D1496" s="568"/>
      <c r="E1496" s="188"/>
      <c r="F1496" s="188"/>
      <c r="G1496" s="2122"/>
      <c r="H1496" s="568"/>
      <c r="I1496" s="2118"/>
      <c r="J1496" s="2114" t="s">
        <v>718</v>
      </c>
      <c r="K1496" s="2124">
        <f>SUM(K1494:K1495)</f>
        <v>61.53</v>
      </c>
      <c r="L1496" s="192" t="s">
        <v>730</v>
      </c>
      <c r="M1496" s="568"/>
      <c r="Y1496" s="1705" t="s">
        <v>92</v>
      </c>
      <c r="Z1496" s="1709">
        <f>Z1492+K1495</f>
        <v>60.38</v>
      </c>
      <c r="AA1496" s="1709">
        <f>K1496-Z1496</f>
        <v>1.1499999999999986</v>
      </c>
    </row>
    <row r="1497" spans="1:27" ht="12.75" hidden="1">
      <c r="A1497" s="2114" t="str">
        <f>A1475</f>
        <v>(iii)</v>
      </c>
      <c r="B1497" s="192" t="str">
        <f>B1475</f>
        <v>Second Floor</v>
      </c>
      <c r="C1497" s="568"/>
      <c r="D1497" s="568"/>
      <c r="E1497" s="188" t="str">
        <f>E1493</f>
        <v>Each Sqm</v>
      </c>
      <c r="F1497" s="188"/>
      <c r="G1497" s="2122"/>
      <c r="H1497" s="568"/>
      <c r="I1497" s="2118"/>
      <c r="J1497" s="2123"/>
      <c r="K1497" s="2123"/>
      <c r="L1497" s="192"/>
      <c r="M1497" s="568"/>
    </row>
    <row r="1498" spans="1:27" ht="12.75" hidden="1">
      <c r="A1498" s="2114"/>
      <c r="B1498" s="568" t="str">
        <f>B1476</f>
        <v>Basic Rate in First Floor.</v>
      </c>
      <c r="C1498" s="568"/>
      <c r="D1498" s="568"/>
      <c r="E1498" s="188"/>
      <c r="F1498" s="188"/>
      <c r="G1498" s="2122"/>
      <c r="H1498" s="568"/>
      <c r="I1498" s="2118"/>
      <c r="J1498" s="2123"/>
      <c r="K1498" s="2123">
        <f>K1496</f>
        <v>61.53</v>
      </c>
      <c r="L1498" s="192"/>
      <c r="M1498" s="568"/>
    </row>
    <row r="1499" spans="1:27" ht="12.75" hidden="1">
      <c r="A1499" s="2114"/>
      <c r="B1499" s="568" t="s">
        <v>723</v>
      </c>
      <c r="C1499" s="568"/>
      <c r="D1499" s="568"/>
      <c r="E1499" s="188"/>
      <c r="F1499" s="188"/>
      <c r="G1499" s="2122"/>
      <c r="H1499" s="568"/>
      <c r="I1499" s="2118"/>
      <c r="J1499" s="2123"/>
      <c r="K1499" s="2123">
        <f>K1495+(K1495*5%)</f>
        <v>3.024</v>
      </c>
      <c r="L1499" s="192"/>
      <c r="M1499" s="568"/>
    </row>
    <row r="1500" spans="1:27" ht="12.75" hidden="1">
      <c r="A1500" s="2114"/>
      <c r="B1500" s="568"/>
      <c r="C1500" s="568"/>
      <c r="D1500" s="568"/>
      <c r="E1500" s="188"/>
      <c r="F1500" s="188"/>
      <c r="G1500" s="2122"/>
      <c r="H1500" s="568"/>
      <c r="I1500" s="2118"/>
      <c r="J1500" s="2114" t="s">
        <v>718</v>
      </c>
      <c r="K1500" s="2124">
        <f>SUM(K1498:K1499)</f>
        <v>64.554000000000002</v>
      </c>
      <c r="L1500" s="192" t="s">
        <v>730</v>
      </c>
      <c r="M1500" s="568"/>
      <c r="Y1500" s="1705" t="s">
        <v>92</v>
      </c>
      <c r="Z1500" s="1709">
        <f>Z1496+K1499</f>
        <v>63.404000000000003</v>
      </c>
      <c r="AA1500" s="1709">
        <f>K1500-Z1500</f>
        <v>1.1499999999999986</v>
      </c>
    </row>
    <row r="1501" spans="1:27" ht="12.75" hidden="1">
      <c r="A1501" s="2114" t="str">
        <f>A1479</f>
        <v>(iv)</v>
      </c>
      <c r="B1501" s="192" t="str">
        <f>B1479</f>
        <v>Third Floor</v>
      </c>
      <c r="C1501" s="568"/>
      <c r="D1501" s="568"/>
      <c r="E1501" s="188" t="str">
        <f>E1497</f>
        <v>Each Sqm</v>
      </c>
      <c r="F1501" s="188"/>
      <c r="G1501" s="2122"/>
      <c r="H1501" s="568"/>
      <c r="I1501" s="2118"/>
      <c r="J1501" s="2123"/>
      <c r="K1501" s="2123"/>
      <c r="L1501" s="192"/>
      <c r="M1501" s="568"/>
    </row>
    <row r="1502" spans="1:27" ht="12.75" hidden="1">
      <c r="A1502" s="2114"/>
      <c r="B1502" s="568" t="str">
        <f>B1480</f>
        <v>Basic Rate in First Floor.</v>
      </c>
      <c r="C1502" s="568"/>
      <c r="D1502" s="568"/>
      <c r="E1502" s="188"/>
      <c r="F1502" s="188"/>
      <c r="G1502" s="2122"/>
      <c r="H1502" s="568"/>
      <c r="I1502" s="2118"/>
      <c r="J1502" s="2123"/>
      <c r="K1502" s="2123">
        <f>K1500</f>
        <v>64.554000000000002</v>
      </c>
      <c r="L1502" s="192"/>
      <c r="M1502" s="568"/>
    </row>
    <row r="1503" spans="1:27" ht="12.75" hidden="1">
      <c r="A1503" s="2114"/>
      <c r="B1503" s="568" t="s">
        <v>723</v>
      </c>
      <c r="C1503" s="568"/>
      <c r="D1503" s="568"/>
      <c r="E1503" s="188"/>
      <c r="F1503" s="188"/>
      <c r="G1503" s="2122"/>
      <c r="H1503" s="568"/>
      <c r="I1503" s="2118"/>
      <c r="J1503" s="2123"/>
      <c r="K1503" s="2123">
        <f>K1499+(K1499*5%)</f>
        <v>3.1752000000000002</v>
      </c>
      <c r="L1503" s="192"/>
      <c r="M1503" s="568"/>
    </row>
    <row r="1504" spans="1:27" ht="12.75" hidden="1">
      <c r="A1504" s="2114"/>
      <c r="B1504" s="568"/>
      <c r="C1504" s="568"/>
      <c r="D1504" s="568"/>
      <c r="E1504" s="188"/>
      <c r="F1504" s="188"/>
      <c r="G1504" s="2122"/>
      <c r="H1504" s="568"/>
      <c r="I1504" s="2118"/>
      <c r="J1504" s="2114" t="s">
        <v>718</v>
      </c>
      <c r="K1504" s="2124">
        <f>SUM(K1502:K1503)</f>
        <v>67.729200000000006</v>
      </c>
      <c r="L1504" s="192" t="s">
        <v>730</v>
      </c>
      <c r="M1504" s="568"/>
      <c r="Y1504" s="1705" t="s">
        <v>92</v>
      </c>
      <c r="Z1504" s="1709">
        <f>Z1500+K1503</f>
        <v>66.5792</v>
      </c>
      <c r="AA1504" s="1709">
        <f>K1504-Z1504</f>
        <v>1.1500000000000057</v>
      </c>
    </row>
    <row r="1505" spans="1:27" ht="43.9" hidden="1" customHeight="1">
      <c r="A1505" s="2114">
        <f>A315</f>
        <v>10</v>
      </c>
      <c r="B1505" s="3017" t="str">
        <f>B315</f>
        <v>Dismantling &amp; Removing cement concrete including stacking the useful materials for reuse and removing the debris within 50m lead  with  cost  of  all labour etc. complete.</v>
      </c>
      <c r="C1505" s="3017"/>
      <c r="D1505" s="3017"/>
      <c r="E1505" s="2116" t="str">
        <f>G315</f>
        <v>Each Cum</v>
      </c>
      <c r="F1505" s="2116"/>
      <c r="G1505" s="2117"/>
      <c r="H1505" s="2117"/>
      <c r="I1505" s="2118"/>
      <c r="J1505" s="2117"/>
      <c r="K1505" s="2117"/>
      <c r="L1505" s="2119"/>
      <c r="M1505" s="2117"/>
      <c r="N1505" s="2111"/>
      <c r="O1505" s="2111"/>
      <c r="P1505" s="2111"/>
    </row>
    <row r="1506" spans="1:27" ht="12.75" hidden="1">
      <c r="A1506" s="2114" t="str">
        <f>A316</f>
        <v>(i)</v>
      </c>
      <c r="B1506" s="192" t="str">
        <f>B316</f>
        <v>Ground Floor</v>
      </c>
      <c r="C1506" s="675"/>
      <c r="D1506" s="675"/>
      <c r="E1506" s="188" t="str">
        <f>E1505</f>
        <v>Each Cum</v>
      </c>
      <c r="F1506" s="188"/>
      <c r="G1506" s="2117"/>
      <c r="H1506" s="2117"/>
      <c r="I1506" s="2118"/>
      <c r="J1506" s="2117"/>
      <c r="K1506" s="2117"/>
      <c r="L1506" s="2119"/>
      <c r="M1506" s="2117"/>
      <c r="N1506" s="2111"/>
      <c r="O1506" s="2111"/>
      <c r="P1506" s="2111"/>
    </row>
    <row r="1507" spans="1:27" ht="12.75" hidden="1">
      <c r="A1507" s="2114"/>
      <c r="B1507" s="192" t="s">
        <v>739</v>
      </c>
      <c r="C1507" s="568"/>
      <c r="D1507" s="568"/>
      <c r="E1507" s="2121"/>
      <c r="F1507" s="2121"/>
      <c r="G1507" s="568"/>
      <c r="H1507" s="2117"/>
      <c r="I1507" s="2118"/>
      <c r="J1507" s="568"/>
      <c r="K1507" s="568"/>
      <c r="L1507" s="2119"/>
      <c r="M1507" s="2117"/>
      <c r="N1507" s="2111"/>
      <c r="O1507" s="2111"/>
      <c r="P1507" s="2111"/>
    </row>
    <row r="1508" spans="1:27" ht="12.75" hidden="1">
      <c r="A1508" s="2114"/>
      <c r="B1508" s="192" t="s">
        <v>715</v>
      </c>
      <c r="C1508" s="192"/>
      <c r="D1508" s="568"/>
      <c r="E1508" s="2121"/>
      <c r="F1508" s="2121"/>
      <c r="G1508" s="568"/>
      <c r="H1508" s="2117"/>
      <c r="I1508" s="2118"/>
      <c r="J1508" s="568"/>
      <c r="K1508" s="568"/>
      <c r="L1508" s="2119"/>
      <c r="M1508" s="2117"/>
      <c r="N1508" s="2111"/>
      <c r="O1508" s="2111"/>
      <c r="P1508" s="2111"/>
    </row>
    <row r="1509" spans="1:27" ht="12.75" hidden="1">
      <c r="A1509" s="2114"/>
      <c r="B1509" s="568" t="s">
        <v>717</v>
      </c>
      <c r="C1509" s="568"/>
      <c r="D1509" s="568"/>
      <c r="E1509" s="2121"/>
      <c r="F1509" s="2121"/>
      <c r="G1509" s="2122">
        <v>1.6</v>
      </c>
      <c r="H1509" s="2117" t="s">
        <v>262</v>
      </c>
      <c r="I1509" s="2118" t="s">
        <v>38</v>
      </c>
      <c r="J1509" s="2123">
        <f>L134</f>
        <v>345</v>
      </c>
      <c r="K1509" s="2123">
        <f>ROUND(G1509*J1509,2)</f>
        <v>552</v>
      </c>
      <c r="L1509" s="2119"/>
      <c r="M1509" s="2117"/>
      <c r="N1509" s="2111"/>
      <c r="O1509" s="2111"/>
      <c r="P1509" s="2111"/>
    </row>
    <row r="1510" spans="1:27" ht="12.75" hidden="1">
      <c r="A1510" s="2114"/>
      <c r="B1510" s="568"/>
      <c r="C1510" s="568"/>
      <c r="D1510" s="568"/>
      <c r="E1510" s="2121"/>
      <c r="F1510" s="2121"/>
      <c r="G1510" s="2122"/>
      <c r="H1510" s="2117"/>
      <c r="I1510" s="2118"/>
      <c r="J1510" s="2114" t="s">
        <v>718</v>
      </c>
      <c r="K1510" s="2124">
        <f>K1509</f>
        <v>552</v>
      </c>
      <c r="L1510" s="2119"/>
      <c r="M1510" s="2117"/>
      <c r="N1510" s="2111"/>
      <c r="O1510" s="2111"/>
      <c r="P1510" s="2111"/>
    </row>
    <row r="1511" spans="1:27" ht="12.75" hidden="1">
      <c r="A1511" s="2114"/>
      <c r="B1511" s="192"/>
      <c r="C1511" s="568"/>
      <c r="D1511" s="568"/>
      <c r="E1511" s="2121"/>
      <c r="F1511" s="2121"/>
      <c r="G1511" s="568"/>
      <c r="H1511" s="2117"/>
      <c r="I1511" s="2118"/>
      <c r="J1511" s="568"/>
      <c r="K1511" s="2124"/>
      <c r="L1511" s="2119"/>
      <c r="M1511" s="2117"/>
      <c r="N1511" s="2111"/>
      <c r="O1511" s="2111"/>
      <c r="P1511" s="2111"/>
    </row>
    <row r="1512" spans="1:27" ht="12.75" hidden="1">
      <c r="A1512" s="2114"/>
      <c r="B1512" s="192" t="s">
        <v>719</v>
      </c>
      <c r="C1512" s="568"/>
      <c r="D1512" s="568"/>
      <c r="E1512" s="2121"/>
      <c r="F1512" s="2121"/>
      <c r="G1512" s="568"/>
      <c r="H1512" s="2117"/>
      <c r="I1512" s="2125">
        <v>0.02</v>
      </c>
      <c r="J1512" s="568"/>
      <c r="K1512" s="2124">
        <f>ROUND(K1510*I1512,2)</f>
        <v>11.04</v>
      </c>
      <c r="L1512" s="2119"/>
      <c r="M1512" s="2117"/>
      <c r="N1512" s="2111"/>
      <c r="O1512" s="2111"/>
      <c r="P1512" s="2111"/>
    </row>
    <row r="1513" spans="1:27" ht="12.75" hidden="1">
      <c r="A1513" s="2114"/>
      <c r="B1513" s="568" t="s">
        <v>740</v>
      </c>
      <c r="C1513" s="568"/>
      <c r="D1513" s="568"/>
      <c r="E1513" s="2121"/>
      <c r="F1513" s="2121"/>
      <c r="G1513" s="568"/>
      <c r="H1513" s="2117"/>
      <c r="I1513" s="2118"/>
      <c r="J1513" s="2114" t="s">
        <v>718</v>
      </c>
      <c r="K1513" s="2124">
        <f>SUM(K1510:K1512)</f>
        <v>563.04</v>
      </c>
      <c r="L1513" s="2119" t="s">
        <v>721</v>
      </c>
      <c r="M1513" s="2117"/>
      <c r="N1513" s="2111"/>
      <c r="O1513" s="2111"/>
      <c r="P1513" s="2111"/>
      <c r="Y1513" s="1705" t="s">
        <v>49</v>
      </c>
      <c r="Z1513" s="1709">
        <f>ROUND(K1510/1,2)</f>
        <v>552</v>
      </c>
      <c r="AA1513" s="1709">
        <f>K1513-Z1513</f>
        <v>11.039999999999964</v>
      </c>
    </row>
    <row r="1514" spans="1:27" ht="12.75" hidden="1">
      <c r="A1514" s="2114" t="str">
        <f>A317</f>
        <v>(ii)</v>
      </c>
      <c r="B1514" s="192" t="str">
        <f>B317</f>
        <v>First Floor</v>
      </c>
      <c r="C1514" s="568"/>
      <c r="D1514" s="568"/>
      <c r="E1514" s="188" t="str">
        <f>E1506</f>
        <v>Each Cum</v>
      </c>
      <c r="F1514" s="188"/>
      <c r="G1514" s="2122"/>
      <c r="H1514" s="568"/>
      <c r="I1514" s="2118"/>
      <c r="J1514" s="2123"/>
      <c r="K1514" s="2123"/>
      <c r="L1514" s="192"/>
      <c r="M1514" s="568"/>
    </row>
    <row r="1515" spans="1:27" ht="12.75" hidden="1">
      <c r="A1515" s="2114"/>
      <c r="B1515" s="568" t="s">
        <v>722</v>
      </c>
      <c r="C1515" s="568"/>
      <c r="D1515" s="568"/>
      <c r="E1515" s="188"/>
      <c r="F1515" s="188"/>
      <c r="G1515" s="2122"/>
      <c r="H1515" s="568"/>
      <c r="I1515" s="2118"/>
      <c r="J1515" s="2123"/>
      <c r="K1515" s="2123">
        <f>K1513</f>
        <v>563.04</v>
      </c>
      <c r="L1515" s="192"/>
      <c r="M1515" s="568"/>
    </row>
    <row r="1516" spans="1:27" ht="12.75" hidden="1">
      <c r="A1516" s="2114"/>
      <c r="B1516" s="568" t="s">
        <v>723</v>
      </c>
      <c r="C1516" s="568"/>
      <c r="D1516" s="568"/>
      <c r="E1516" s="188"/>
      <c r="F1516" s="188"/>
      <c r="G1516" s="2122"/>
      <c r="H1516" s="568"/>
      <c r="I1516" s="2118"/>
      <c r="J1516" s="2123"/>
      <c r="K1516" s="2123">
        <f>ROUND(K1510*1*5%,2)</f>
        <v>27.6</v>
      </c>
      <c r="L1516" s="192"/>
      <c r="M1516" s="568"/>
    </row>
    <row r="1517" spans="1:27" ht="12.75" hidden="1">
      <c r="A1517" s="2114"/>
      <c r="B1517" s="568"/>
      <c r="C1517" s="568"/>
      <c r="D1517" s="568"/>
      <c r="E1517" s="188"/>
      <c r="F1517" s="188"/>
      <c r="G1517" s="2122"/>
      <c r="H1517" s="568"/>
      <c r="I1517" s="2118"/>
      <c r="J1517" s="2126" t="s">
        <v>718</v>
      </c>
      <c r="K1517" s="2124">
        <f>SUM(K1515:K1516)</f>
        <v>590.64</v>
      </c>
      <c r="L1517" s="2119" t="s">
        <v>721</v>
      </c>
      <c r="M1517" s="568"/>
      <c r="Y1517" s="1705" t="s">
        <v>49</v>
      </c>
      <c r="Z1517" s="1709">
        <f>Z1513+K1516</f>
        <v>579.6</v>
      </c>
      <c r="AA1517" s="1709">
        <f>K1517-Z1517</f>
        <v>11.039999999999964</v>
      </c>
    </row>
    <row r="1518" spans="1:27" ht="12.75" hidden="1">
      <c r="A1518" s="2114" t="str">
        <f>A1497</f>
        <v>(iii)</v>
      </c>
      <c r="B1518" s="192" t="str">
        <f>B1497</f>
        <v>Second Floor</v>
      </c>
      <c r="C1518" s="568"/>
      <c r="D1518" s="568"/>
      <c r="E1518" s="188" t="str">
        <f>E1514</f>
        <v>Each Cum</v>
      </c>
      <c r="F1518" s="188"/>
      <c r="G1518" s="2122"/>
      <c r="H1518" s="568"/>
      <c r="I1518" s="2118"/>
      <c r="J1518" s="2123"/>
      <c r="K1518" s="2123"/>
      <c r="L1518" s="192"/>
      <c r="M1518" s="568"/>
    </row>
    <row r="1519" spans="1:27" ht="12.75" hidden="1">
      <c r="A1519" s="2114"/>
      <c r="B1519" s="568" t="str">
        <f>B1498</f>
        <v>Basic Rate in First Floor.</v>
      </c>
      <c r="C1519" s="568"/>
      <c r="D1519" s="568"/>
      <c r="E1519" s="188"/>
      <c r="F1519" s="188"/>
      <c r="G1519" s="2122"/>
      <c r="H1519" s="568"/>
      <c r="I1519" s="2118"/>
      <c r="J1519" s="2123"/>
      <c r="K1519" s="2123">
        <f>K1517</f>
        <v>590.64</v>
      </c>
      <c r="L1519" s="192"/>
      <c r="M1519" s="568"/>
    </row>
    <row r="1520" spans="1:27" ht="12.75" hidden="1">
      <c r="A1520" s="2114"/>
      <c r="B1520" s="568" t="s">
        <v>723</v>
      </c>
      <c r="C1520" s="568"/>
      <c r="D1520" s="568"/>
      <c r="E1520" s="188"/>
      <c r="F1520" s="188"/>
      <c r="G1520" s="2122"/>
      <c r="H1520" s="568"/>
      <c r="I1520" s="2118"/>
      <c r="J1520" s="2123"/>
      <c r="K1520" s="2123">
        <f>K1516+(K1516*5%)</f>
        <v>28.98</v>
      </c>
      <c r="L1520" s="192"/>
      <c r="M1520" s="568"/>
    </row>
    <row r="1521" spans="1:27" ht="12.75" hidden="1">
      <c r="A1521" s="2114"/>
      <c r="B1521" s="568"/>
      <c r="C1521" s="568"/>
      <c r="D1521" s="568"/>
      <c r="E1521" s="188"/>
      <c r="F1521" s="188"/>
      <c r="G1521" s="2122"/>
      <c r="H1521" s="568"/>
      <c r="I1521" s="2118"/>
      <c r="J1521" s="2126" t="s">
        <v>718</v>
      </c>
      <c r="K1521" s="2124">
        <f>SUM(K1519:K1520)</f>
        <v>619.62</v>
      </c>
      <c r="L1521" s="2119" t="s">
        <v>721</v>
      </c>
      <c r="M1521" s="568"/>
      <c r="Y1521" s="1705" t="s">
        <v>49</v>
      </c>
      <c r="Z1521" s="1709">
        <f>Z1517+K1520</f>
        <v>608.58000000000004</v>
      </c>
      <c r="AA1521" s="1709">
        <f>K1521-Z1521</f>
        <v>11.039999999999964</v>
      </c>
    </row>
    <row r="1522" spans="1:27" ht="12.75" hidden="1">
      <c r="A1522" s="2114" t="str">
        <f>A1501</f>
        <v>(iv)</v>
      </c>
      <c r="B1522" s="192" t="str">
        <f>B1501</f>
        <v>Third Floor</v>
      </c>
      <c r="C1522" s="568"/>
      <c r="D1522" s="568"/>
      <c r="E1522" s="188" t="str">
        <f>E1518</f>
        <v>Each Cum</v>
      </c>
      <c r="F1522" s="188"/>
      <c r="G1522" s="2122"/>
      <c r="H1522" s="568"/>
      <c r="I1522" s="2118"/>
      <c r="J1522" s="2123"/>
      <c r="K1522" s="2123"/>
      <c r="L1522" s="192"/>
      <c r="M1522" s="568"/>
    </row>
    <row r="1523" spans="1:27" ht="12.75" hidden="1">
      <c r="A1523" s="2114"/>
      <c r="B1523" s="568" t="str">
        <f>B1502</f>
        <v>Basic Rate in First Floor.</v>
      </c>
      <c r="C1523" s="568"/>
      <c r="D1523" s="568"/>
      <c r="E1523" s="188"/>
      <c r="F1523" s="188"/>
      <c r="G1523" s="2122"/>
      <c r="H1523" s="568"/>
      <c r="I1523" s="2118"/>
      <c r="J1523" s="2123"/>
      <c r="K1523" s="2123">
        <f>K1521</f>
        <v>619.62</v>
      </c>
      <c r="L1523" s="192"/>
      <c r="M1523" s="568"/>
    </row>
    <row r="1524" spans="1:27" ht="12.75" hidden="1">
      <c r="A1524" s="2114"/>
      <c r="B1524" s="568" t="s">
        <v>723</v>
      </c>
      <c r="C1524" s="568"/>
      <c r="D1524" s="568"/>
      <c r="E1524" s="188"/>
      <c r="F1524" s="188"/>
      <c r="G1524" s="2122"/>
      <c r="H1524" s="568"/>
      <c r="I1524" s="2118"/>
      <c r="J1524" s="2123"/>
      <c r="K1524" s="2123">
        <f>K1520+(K1520*5%)</f>
        <v>30.429000000000002</v>
      </c>
      <c r="L1524" s="192"/>
      <c r="M1524" s="568"/>
    </row>
    <row r="1525" spans="1:27" ht="12.75" hidden="1">
      <c r="A1525" s="2114"/>
      <c r="B1525" s="568"/>
      <c r="C1525" s="568"/>
      <c r="D1525" s="568"/>
      <c r="E1525" s="188"/>
      <c r="F1525" s="188"/>
      <c r="G1525" s="2122"/>
      <c r="H1525" s="568"/>
      <c r="I1525" s="2118"/>
      <c r="J1525" s="2126" t="s">
        <v>718</v>
      </c>
      <c r="K1525" s="2124">
        <f>SUM(K1523:K1524)</f>
        <v>650.04899999999998</v>
      </c>
      <c r="L1525" s="2119" t="s">
        <v>721</v>
      </c>
      <c r="M1525" s="568"/>
      <c r="Y1525" s="1705" t="s">
        <v>49</v>
      </c>
      <c r="Z1525" s="1709">
        <f>Z1521+K1524</f>
        <v>639.00900000000001</v>
      </c>
      <c r="AA1525" s="1709">
        <f>K1525-Z1525</f>
        <v>11.039999999999964</v>
      </c>
    </row>
    <row r="1526" spans="1:27" ht="48.75" hidden="1" customHeight="1">
      <c r="A1526" s="2114">
        <f>A320</f>
        <v>11</v>
      </c>
      <c r="B1526" s="3017" t="str">
        <f>B320</f>
        <v>Dismantling &amp; Removing RCC Chajja, Shelve, Fins including stacking the useful materials for reuse and removing the debris within 50m lead  with  cost  of  all labour etc. complete.</v>
      </c>
      <c r="C1526" s="3017"/>
      <c r="D1526" s="3017"/>
      <c r="E1526" s="2116" t="str">
        <f>G320</f>
        <v>Each Sqm</v>
      </c>
      <c r="F1526" s="2116"/>
      <c r="G1526" s="2117"/>
      <c r="H1526" s="2117"/>
      <c r="I1526" s="2118"/>
      <c r="J1526" s="2117"/>
      <c r="K1526" s="2117"/>
      <c r="L1526" s="2119"/>
      <c r="M1526" s="2117"/>
      <c r="N1526" s="2111"/>
      <c r="O1526" s="2111"/>
      <c r="P1526" s="2111"/>
    </row>
    <row r="1527" spans="1:27" ht="12.75" hidden="1">
      <c r="A1527" s="2114" t="str">
        <f>A321</f>
        <v>(i)</v>
      </c>
      <c r="B1527" s="192" t="str">
        <f>B321</f>
        <v>Ground Floor</v>
      </c>
      <c r="C1527" s="675"/>
      <c r="D1527" s="675"/>
      <c r="E1527" s="188" t="str">
        <f>E1526</f>
        <v>Each Sqm</v>
      </c>
      <c r="F1527" s="188"/>
      <c r="G1527" s="2117"/>
      <c r="H1527" s="2117"/>
      <c r="I1527" s="2118"/>
      <c r="J1527" s="2117"/>
      <c r="K1527" s="2117"/>
      <c r="L1527" s="2119"/>
      <c r="M1527" s="2117"/>
      <c r="N1527" s="2111"/>
      <c r="O1527" s="2111"/>
      <c r="P1527" s="2111"/>
    </row>
    <row r="1528" spans="1:27" ht="12.75" hidden="1">
      <c r="A1528" s="2114"/>
      <c r="B1528" s="192" t="s">
        <v>727</v>
      </c>
      <c r="C1528" s="568"/>
      <c r="D1528" s="568"/>
      <c r="E1528" s="2121"/>
      <c r="F1528" s="2121"/>
      <c r="G1528" s="568"/>
      <c r="H1528" s="2117"/>
      <c r="I1528" s="2118"/>
      <c r="J1528" s="568"/>
      <c r="K1528" s="568"/>
      <c r="L1528" s="2119"/>
      <c r="M1528" s="2117"/>
      <c r="N1528" s="2111"/>
      <c r="O1528" s="2111"/>
      <c r="P1528" s="2111"/>
    </row>
    <row r="1529" spans="1:27" ht="12.75" hidden="1">
      <c r="A1529" s="2114"/>
      <c r="B1529" s="192" t="s">
        <v>715</v>
      </c>
      <c r="C1529" s="192"/>
      <c r="D1529" s="568"/>
      <c r="E1529" s="2121"/>
      <c r="F1529" s="2121"/>
      <c r="G1529" s="568"/>
      <c r="H1529" s="2117"/>
      <c r="I1529" s="2118"/>
      <c r="J1529" s="568"/>
      <c r="K1529" s="568"/>
      <c r="L1529" s="2119"/>
      <c r="M1529" s="2117"/>
      <c r="N1529" s="2111"/>
      <c r="O1529" s="2111"/>
      <c r="P1529" s="2111"/>
    </row>
    <row r="1530" spans="1:27" ht="12.75" hidden="1">
      <c r="A1530" s="2114"/>
      <c r="B1530" s="568" t="s">
        <v>717</v>
      </c>
      <c r="C1530" s="568"/>
      <c r="D1530" s="568"/>
      <c r="E1530" s="2121"/>
      <c r="F1530" s="2121"/>
      <c r="G1530" s="2122">
        <v>3.5</v>
      </c>
      <c r="H1530" s="2117" t="s">
        <v>262</v>
      </c>
      <c r="I1530" s="2118" t="s">
        <v>38</v>
      </c>
      <c r="J1530" s="2123">
        <f>L134</f>
        <v>345</v>
      </c>
      <c r="K1530" s="2123">
        <f>ROUND(G1530*J1530,2)</f>
        <v>1207.5</v>
      </c>
      <c r="L1530" s="2119"/>
      <c r="M1530" s="2117"/>
      <c r="N1530" s="2111"/>
      <c r="O1530" s="2111"/>
      <c r="P1530" s="2111"/>
    </row>
    <row r="1531" spans="1:27" ht="12.75" hidden="1">
      <c r="A1531" s="2114"/>
      <c r="B1531" s="568"/>
      <c r="C1531" s="568"/>
      <c r="D1531" s="568"/>
      <c r="E1531" s="2121"/>
      <c r="F1531" s="2121"/>
      <c r="G1531" s="2122"/>
      <c r="H1531" s="2117"/>
      <c r="I1531" s="2118"/>
      <c r="J1531" s="2114" t="s">
        <v>718</v>
      </c>
      <c r="K1531" s="2124">
        <f>K1530</f>
        <v>1207.5</v>
      </c>
      <c r="L1531" s="2119"/>
      <c r="M1531" s="2117"/>
      <c r="N1531" s="2111"/>
      <c r="O1531" s="2111"/>
      <c r="P1531" s="2111"/>
    </row>
    <row r="1532" spans="1:27" ht="12.75" hidden="1">
      <c r="A1532" s="2114"/>
      <c r="B1532" s="192"/>
      <c r="C1532" s="568"/>
      <c r="D1532" s="568"/>
      <c r="E1532" s="2121"/>
      <c r="F1532" s="2121"/>
      <c r="G1532" s="568"/>
      <c r="H1532" s="2117"/>
      <c r="I1532" s="2118"/>
      <c r="J1532" s="568"/>
      <c r="K1532" s="2124"/>
      <c r="L1532" s="2119"/>
      <c r="M1532" s="2117"/>
      <c r="N1532" s="2111"/>
      <c r="O1532" s="2111"/>
      <c r="P1532" s="2111"/>
    </row>
    <row r="1533" spans="1:27" ht="12.75" hidden="1">
      <c r="A1533" s="2114"/>
      <c r="B1533" s="192" t="s">
        <v>719</v>
      </c>
      <c r="C1533" s="568"/>
      <c r="D1533" s="568"/>
      <c r="E1533" s="2121"/>
      <c r="F1533" s="2121"/>
      <c r="G1533" s="568"/>
      <c r="H1533" s="2117"/>
      <c r="I1533" s="2125">
        <v>0.02</v>
      </c>
      <c r="J1533" s="568"/>
      <c r="K1533" s="2124">
        <f>ROUND(K1531*I1533,2)</f>
        <v>24.15</v>
      </c>
      <c r="L1533" s="2119"/>
      <c r="M1533" s="2117"/>
      <c r="N1533" s="2111"/>
      <c r="O1533" s="2111"/>
      <c r="P1533" s="2111"/>
    </row>
    <row r="1534" spans="1:27" ht="12.75" hidden="1">
      <c r="A1534" s="2114"/>
      <c r="B1534" s="192" t="s">
        <v>728</v>
      </c>
      <c r="C1534" s="568"/>
      <c r="D1534" s="568"/>
      <c r="E1534" s="2121"/>
      <c r="F1534" s="2121"/>
      <c r="G1534" s="568"/>
      <c r="H1534" s="2117"/>
      <c r="I1534" s="2118"/>
      <c r="J1534" s="568"/>
      <c r="K1534" s="2124">
        <f>SUM(K1531:K1533)</f>
        <v>1231.6500000000001</v>
      </c>
      <c r="L1534" s="2119"/>
      <c r="M1534" s="2117"/>
      <c r="N1534" s="2111"/>
      <c r="O1534" s="2111"/>
      <c r="P1534" s="2111"/>
    </row>
    <row r="1535" spans="1:27" ht="12.75" hidden="1">
      <c r="A1535" s="2114"/>
      <c r="B1535" s="568" t="s">
        <v>729</v>
      </c>
      <c r="C1535" s="568"/>
      <c r="D1535" s="568"/>
      <c r="E1535" s="2121"/>
      <c r="F1535" s="2121"/>
      <c r="G1535" s="568"/>
      <c r="H1535" s="2117"/>
      <c r="I1535" s="2118"/>
      <c r="J1535" s="2114" t="s">
        <v>718</v>
      </c>
      <c r="K1535" s="2124">
        <f>ROUND(K1534/9.3,2)</f>
        <v>132.44</v>
      </c>
      <c r="L1535" s="192" t="s">
        <v>730</v>
      </c>
      <c r="M1535" s="2117"/>
      <c r="N1535" s="2111"/>
      <c r="O1535" s="2111"/>
      <c r="P1535" s="2111"/>
      <c r="Y1535" s="1705" t="s">
        <v>92</v>
      </c>
      <c r="Z1535" s="1709">
        <f>ROUND(K1531/9.3,2)</f>
        <v>129.84</v>
      </c>
      <c r="AA1535" s="1709">
        <f>K1535-Z1535</f>
        <v>2.5999999999999943</v>
      </c>
    </row>
    <row r="1536" spans="1:27" ht="12.75" hidden="1">
      <c r="A1536" s="2114" t="str">
        <f>A322</f>
        <v>(ii)</v>
      </c>
      <c r="B1536" s="192" t="str">
        <f>B322</f>
        <v>First Floor</v>
      </c>
      <c r="C1536" s="568"/>
      <c r="D1536" s="568"/>
      <c r="E1536" s="188" t="str">
        <f>E1527</f>
        <v>Each Sqm</v>
      </c>
      <c r="F1536" s="188"/>
      <c r="G1536" s="2122"/>
      <c r="H1536" s="568"/>
      <c r="I1536" s="2118"/>
      <c r="J1536" s="2123"/>
      <c r="K1536" s="2123"/>
      <c r="L1536" s="192"/>
      <c r="M1536" s="568"/>
    </row>
    <row r="1537" spans="1:27" ht="12.75" hidden="1">
      <c r="A1537" s="2114"/>
      <c r="B1537" s="568" t="s">
        <v>722</v>
      </c>
      <c r="C1537" s="568"/>
      <c r="D1537" s="568"/>
      <c r="E1537" s="188"/>
      <c r="F1537" s="188"/>
      <c r="G1537" s="2122"/>
      <c r="H1537" s="568"/>
      <c r="I1537" s="2118"/>
      <c r="J1537" s="2123"/>
      <c r="K1537" s="2123">
        <f>K1535</f>
        <v>132.44</v>
      </c>
      <c r="L1537" s="192"/>
      <c r="M1537" s="568"/>
    </row>
    <row r="1538" spans="1:27" ht="12.75" hidden="1">
      <c r="A1538" s="2114"/>
      <c r="B1538" s="568" t="s">
        <v>741</v>
      </c>
      <c r="C1538" s="568"/>
      <c r="D1538" s="568"/>
      <c r="E1538" s="188"/>
      <c r="F1538" s="188"/>
      <c r="G1538" s="2122"/>
      <c r="H1538" s="568"/>
      <c r="I1538" s="2118"/>
      <c r="J1538" s="2123"/>
      <c r="K1538" s="2123">
        <f>ROUND(K1531/9.3*1*5%,2)</f>
        <v>6.49</v>
      </c>
      <c r="L1538" s="192"/>
      <c r="M1538" s="568"/>
    </row>
    <row r="1539" spans="1:27" ht="12.75" hidden="1">
      <c r="A1539" s="2114"/>
      <c r="B1539" s="568"/>
      <c r="C1539" s="568"/>
      <c r="D1539" s="568"/>
      <c r="E1539" s="188"/>
      <c r="F1539" s="188"/>
      <c r="G1539" s="2122"/>
      <c r="H1539" s="568"/>
      <c r="I1539" s="2118"/>
      <c r="J1539" s="2114" t="s">
        <v>718</v>
      </c>
      <c r="K1539" s="2124">
        <f>SUM(K1537:K1538)</f>
        <v>138.93</v>
      </c>
      <c r="L1539" s="192" t="s">
        <v>730</v>
      </c>
      <c r="M1539" s="568"/>
      <c r="Y1539" s="1705" t="s">
        <v>92</v>
      </c>
      <c r="Z1539" s="1709">
        <f>Z1535+K1538</f>
        <v>136.33000000000001</v>
      </c>
      <c r="AA1539" s="1709">
        <f>K1539-Z1539</f>
        <v>2.5999999999999943</v>
      </c>
    </row>
    <row r="1540" spans="1:27" ht="12.75" hidden="1">
      <c r="A1540" s="2114" t="str">
        <f>A1518</f>
        <v>(iii)</v>
      </c>
      <c r="B1540" s="192" t="str">
        <f>B1518</f>
        <v>Second Floor</v>
      </c>
      <c r="C1540" s="568"/>
      <c r="D1540" s="568"/>
      <c r="E1540" s="188" t="str">
        <f>E1536</f>
        <v>Each Sqm</v>
      </c>
      <c r="F1540" s="188"/>
      <c r="G1540" s="2122"/>
      <c r="H1540" s="568"/>
      <c r="I1540" s="2118"/>
      <c r="J1540" s="2123"/>
      <c r="K1540" s="2123"/>
      <c r="L1540" s="192"/>
      <c r="M1540" s="568"/>
    </row>
    <row r="1541" spans="1:27" ht="12.75" hidden="1">
      <c r="A1541" s="2114"/>
      <c r="B1541" s="568" t="str">
        <f>B1519</f>
        <v>Basic Rate in First Floor.</v>
      </c>
      <c r="C1541" s="568"/>
      <c r="D1541" s="568"/>
      <c r="E1541" s="188"/>
      <c r="F1541" s="188"/>
      <c r="G1541" s="2122"/>
      <c r="H1541" s="568"/>
      <c r="I1541" s="2118"/>
      <c r="J1541" s="2123"/>
      <c r="K1541" s="2123">
        <f>K1539</f>
        <v>138.93</v>
      </c>
      <c r="L1541" s="192"/>
      <c r="M1541" s="568"/>
    </row>
    <row r="1542" spans="1:27" ht="12.75" hidden="1">
      <c r="A1542" s="2114"/>
      <c r="B1542" s="568" t="s">
        <v>741</v>
      </c>
      <c r="C1542" s="568"/>
      <c r="D1542" s="568"/>
      <c r="E1542" s="188"/>
      <c r="F1542" s="188"/>
      <c r="G1542" s="2122"/>
      <c r="H1542" s="568"/>
      <c r="I1542" s="2118"/>
      <c r="J1542" s="2123"/>
      <c r="K1542" s="2123">
        <f>K1538+(K1538*5%)</f>
        <v>6.8145000000000007</v>
      </c>
      <c r="L1542" s="192"/>
      <c r="M1542" s="568"/>
    </row>
    <row r="1543" spans="1:27" ht="12.75" hidden="1">
      <c r="A1543" s="2114"/>
      <c r="B1543" s="568"/>
      <c r="C1543" s="568"/>
      <c r="D1543" s="568"/>
      <c r="E1543" s="188"/>
      <c r="F1543" s="188"/>
      <c r="G1543" s="2122"/>
      <c r="H1543" s="568"/>
      <c r="I1543" s="2118"/>
      <c r="J1543" s="2114" t="s">
        <v>718</v>
      </c>
      <c r="K1543" s="2124">
        <f>SUM(K1541:K1542)</f>
        <v>145.74450000000002</v>
      </c>
      <c r="L1543" s="192" t="s">
        <v>730</v>
      </c>
      <c r="M1543" s="568"/>
      <c r="Y1543" s="1705" t="s">
        <v>92</v>
      </c>
      <c r="Z1543" s="1709">
        <f>Z1539+K1542</f>
        <v>143.14450000000002</v>
      </c>
      <c r="AA1543" s="1709">
        <f>K1543-Z1543</f>
        <v>2.5999999999999943</v>
      </c>
    </row>
    <row r="1544" spans="1:27" ht="12.75" hidden="1">
      <c r="A1544" s="2114" t="str">
        <f>A1522</f>
        <v>(iv)</v>
      </c>
      <c r="B1544" s="192" t="str">
        <f>B1522</f>
        <v>Third Floor</v>
      </c>
      <c r="C1544" s="568"/>
      <c r="D1544" s="568"/>
      <c r="E1544" s="188" t="str">
        <f>E1540</f>
        <v>Each Sqm</v>
      </c>
      <c r="F1544" s="188"/>
      <c r="G1544" s="2122"/>
      <c r="H1544" s="568"/>
      <c r="I1544" s="2118"/>
      <c r="J1544" s="2123"/>
      <c r="K1544" s="2123"/>
      <c r="L1544" s="192"/>
      <c r="M1544" s="568"/>
    </row>
    <row r="1545" spans="1:27" ht="12.75" hidden="1">
      <c r="A1545" s="2114"/>
      <c r="B1545" s="568" t="str">
        <f>B1523</f>
        <v>Basic Rate in First Floor.</v>
      </c>
      <c r="C1545" s="568"/>
      <c r="D1545" s="568"/>
      <c r="E1545" s="188"/>
      <c r="F1545" s="188"/>
      <c r="G1545" s="2122"/>
      <c r="H1545" s="568"/>
      <c r="I1545" s="2118"/>
      <c r="J1545" s="2123"/>
      <c r="K1545" s="2123">
        <f>K1543</f>
        <v>145.74450000000002</v>
      </c>
      <c r="L1545" s="192"/>
      <c r="M1545" s="568"/>
    </row>
    <row r="1546" spans="1:27" ht="12.75" hidden="1">
      <c r="A1546" s="2114"/>
      <c r="B1546" s="568" t="s">
        <v>741</v>
      </c>
      <c r="C1546" s="568"/>
      <c r="D1546" s="568"/>
      <c r="E1546" s="188"/>
      <c r="F1546" s="188"/>
      <c r="G1546" s="2122"/>
      <c r="H1546" s="568"/>
      <c r="I1546" s="2118"/>
      <c r="J1546" s="2123"/>
      <c r="K1546" s="2123">
        <f>K1542+(K1542*5%)</f>
        <v>7.1552250000000006</v>
      </c>
      <c r="L1546" s="192"/>
      <c r="M1546" s="568"/>
    </row>
    <row r="1547" spans="1:27" ht="12.75" hidden="1">
      <c r="A1547" s="2114"/>
      <c r="B1547" s="568"/>
      <c r="C1547" s="568"/>
      <c r="D1547" s="568"/>
      <c r="E1547" s="188"/>
      <c r="F1547" s="188"/>
      <c r="G1547" s="2122"/>
      <c r="H1547" s="568"/>
      <c r="I1547" s="2118"/>
      <c r="J1547" s="2114" t="s">
        <v>718</v>
      </c>
      <c r="K1547" s="2124">
        <f>SUM(K1545:K1546)</f>
        <v>152.89972500000002</v>
      </c>
      <c r="L1547" s="192" t="s">
        <v>730</v>
      </c>
      <c r="M1547" s="568"/>
      <c r="Y1547" s="1705" t="s">
        <v>92</v>
      </c>
      <c r="Z1547" s="1709">
        <f>Z1543+K1546</f>
        <v>150.29972500000002</v>
      </c>
      <c r="AA1547" s="1709">
        <f>K1547-Z1547</f>
        <v>2.5999999999999943</v>
      </c>
    </row>
    <row r="1548" spans="1:27" ht="49.5" hidden="1" customHeight="1">
      <c r="A1548" s="2114">
        <f>A325</f>
        <v>12</v>
      </c>
      <c r="B1548" s="3017" t="str">
        <f>B325</f>
        <v>Dismantling &amp; Removing marble chips flooring including stacking the useful materials for reuse and removing the debris within 50m lead  with  cost  of  all labour etc. complete.</v>
      </c>
      <c r="C1548" s="3017"/>
      <c r="D1548" s="3017"/>
      <c r="E1548" s="2116" t="str">
        <f>G325</f>
        <v>Each Sqm</v>
      </c>
      <c r="F1548" s="2116"/>
      <c r="G1548" s="2117"/>
      <c r="H1548" s="2117"/>
      <c r="I1548" s="2118"/>
      <c r="J1548" s="2117"/>
      <c r="K1548" s="2117"/>
      <c r="L1548" s="2119"/>
      <c r="M1548" s="2117"/>
      <c r="N1548" s="2111"/>
      <c r="O1548" s="2111"/>
      <c r="P1548" s="2111"/>
    </row>
    <row r="1549" spans="1:27" ht="12.75" hidden="1">
      <c r="A1549" s="2114" t="str">
        <f>A326</f>
        <v>(i)</v>
      </c>
      <c r="B1549" s="192" t="str">
        <f>B326</f>
        <v>Ground Floor</v>
      </c>
      <c r="C1549" s="675"/>
      <c r="D1549" s="675"/>
      <c r="E1549" s="188" t="str">
        <f>E1548</f>
        <v>Each Sqm</v>
      </c>
      <c r="F1549" s="188"/>
      <c r="G1549" s="2117"/>
      <c r="H1549" s="2117"/>
      <c r="I1549" s="2118"/>
      <c r="J1549" s="2117"/>
      <c r="K1549" s="2117"/>
      <c r="L1549" s="2119"/>
      <c r="M1549" s="2117"/>
      <c r="N1549" s="2111"/>
      <c r="O1549" s="2111"/>
      <c r="P1549" s="2111"/>
    </row>
    <row r="1550" spans="1:27" ht="12.75" hidden="1">
      <c r="A1550" s="2114"/>
      <c r="B1550" s="192" t="s">
        <v>727</v>
      </c>
      <c r="C1550" s="568"/>
      <c r="D1550" s="568"/>
      <c r="E1550" s="2121"/>
      <c r="F1550" s="2121"/>
      <c r="G1550" s="568"/>
      <c r="H1550" s="2117"/>
      <c r="I1550" s="2118"/>
      <c r="J1550" s="568"/>
      <c r="K1550" s="568"/>
      <c r="L1550" s="2119"/>
      <c r="M1550" s="2117"/>
      <c r="N1550" s="2111"/>
      <c r="O1550" s="2111"/>
      <c r="P1550" s="2111"/>
    </row>
    <row r="1551" spans="1:27" ht="12.75" hidden="1">
      <c r="A1551" s="2114"/>
      <c r="B1551" s="192" t="s">
        <v>715</v>
      </c>
      <c r="C1551" s="192"/>
      <c r="D1551" s="568"/>
      <c r="E1551" s="2121"/>
      <c r="F1551" s="2121"/>
      <c r="G1551" s="568"/>
      <c r="H1551" s="2117"/>
      <c r="I1551" s="2118"/>
      <c r="J1551" s="568"/>
      <c r="K1551" s="568"/>
      <c r="L1551" s="2119"/>
      <c r="M1551" s="2117"/>
      <c r="N1551" s="2111"/>
      <c r="O1551" s="2111"/>
      <c r="P1551" s="2111"/>
    </row>
    <row r="1552" spans="1:27" ht="12.75" hidden="1">
      <c r="A1552" s="2114"/>
      <c r="B1552" s="568" t="s">
        <v>717</v>
      </c>
      <c r="C1552" s="568"/>
      <c r="D1552" s="568"/>
      <c r="E1552" s="2121"/>
      <c r="F1552" s="2121"/>
      <c r="G1552" s="2122">
        <v>2.25</v>
      </c>
      <c r="H1552" s="2117" t="s">
        <v>262</v>
      </c>
      <c r="I1552" s="2118" t="s">
        <v>38</v>
      </c>
      <c r="J1552" s="2123">
        <f>L134</f>
        <v>345</v>
      </c>
      <c r="K1552" s="2123">
        <f>ROUND(G1552*J1552,2)</f>
        <v>776.25</v>
      </c>
      <c r="L1552" s="2119"/>
      <c r="M1552" s="2117"/>
      <c r="N1552" s="2111"/>
      <c r="O1552" s="2111"/>
      <c r="P1552" s="2111"/>
    </row>
    <row r="1553" spans="1:27" ht="12.75" hidden="1">
      <c r="A1553" s="2114"/>
      <c r="B1553" s="568"/>
      <c r="C1553" s="568"/>
      <c r="D1553" s="568"/>
      <c r="E1553" s="2121"/>
      <c r="F1553" s="2121"/>
      <c r="G1553" s="2122"/>
      <c r="H1553" s="2117"/>
      <c r="I1553" s="2118"/>
      <c r="J1553" s="2114" t="s">
        <v>718</v>
      </c>
      <c r="K1553" s="2124">
        <f>K1552</f>
        <v>776.25</v>
      </c>
      <c r="L1553" s="2119"/>
      <c r="M1553" s="2117"/>
      <c r="N1553" s="2111"/>
      <c r="O1553" s="2111"/>
      <c r="P1553" s="2111"/>
    </row>
    <row r="1554" spans="1:27" ht="12.75" hidden="1">
      <c r="A1554" s="2114"/>
      <c r="B1554" s="192"/>
      <c r="C1554" s="568"/>
      <c r="D1554" s="568"/>
      <c r="E1554" s="2121"/>
      <c r="F1554" s="2121"/>
      <c r="G1554" s="568"/>
      <c r="H1554" s="2117"/>
      <c r="I1554" s="2118"/>
      <c r="J1554" s="568"/>
      <c r="K1554" s="2124"/>
      <c r="L1554" s="2119"/>
      <c r="M1554" s="2117"/>
      <c r="N1554" s="2111"/>
      <c r="O1554" s="2111"/>
      <c r="P1554" s="2111"/>
    </row>
    <row r="1555" spans="1:27" ht="12.75" hidden="1">
      <c r="A1555" s="2114"/>
      <c r="B1555" s="192" t="s">
        <v>719</v>
      </c>
      <c r="C1555" s="568"/>
      <c r="D1555" s="568"/>
      <c r="E1555" s="2121"/>
      <c r="F1555" s="2121"/>
      <c r="G1555" s="568"/>
      <c r="H1555" s="2117"/>
      <c r="I1555" s="2125">
        <v>0.02</v>
      </c>
      <c r="J1555" s="568"/>
      <c r="K1555" s="2124">
        <f>ROUND(K1553*I1555,2)</f>
        <v>15.53</v>
      </c>
      <c r="L1555" s="2119"/>
      <c r="M1555" s="2117"/>
      <c r="N1555" s="2111"/>
      <c r="O1555" s="2111"/>
      <c r="P1555" s="2111"/>
    </row>
    <row r="1556" spans="1:27" ht="12.75" hidden="1">
      <c r="A1556" s="2114"/>
      <c r="B1556" s="192" t="s">
        <v>728</v>
      </c>
      <c r="C1556" s="568"/>
      <c r="D1556" s="568"/>
      <c r="E1556" s="2121"/>
      <c r="F1556" s="2121"/>
      <c r="G1556" s="568"/>
      <c r="H1556" s="2117"/>
      <c r="I1556" s="2118"/>
      <c r="J1556" s="568"/>
      <c r="K1556" s="2124">
        <f>SUM(K1553:K1555)</f>
        <v>791.78</v>
      </c>
      <c r="L1556" s="2119"/>
      <c r="M1556" s="2117"/>
      <c r="N1556" s="2111"/>
      <c r="O1556" s="2111"/>
      <c r="P1556" s="2111"/>
    </row>
    <row r="1557" spans="1:27" ht="12.75" hidden="1">
      <c r="A1557" s="2114"/>
      <c r="B1557" s="568" t="s">
        <v>729</v>
      </c>
      <c r="C1557" s="568"/>
      <c r="D1557" s="568"/>
      <c r="E1557" s="2121"/>
      <c r="F1557" s="2121"/>
      <c r="G1557" s="568"/>
      <c r="H1557" s="2117"/>
      <c r="I1557" s="2118"/>
      <c r="J1557" s="2114" t="s">
        <v>718</v>
      </c>
      <c r="K1557" s="2124">
        <f>ROUND(K1556/9.3,2)</f>
        <v>85.14</v>
      </c>
      <c r="L1557" s="192" t="s">
        <v>730</v>
      </c>
      <c r="M1557" s="2117"/>
      <c r="N1557" s="2111"/>
      <c r="O1557" s="2111"/>
      <c r="P1557" s="2111"/>
      <c r="Y1557" s="1705" t="s">
        <v>92</v>
      </c>
      <c r="Z1557" s="1709">
        <f>ROUND(K1553/9.3,2)</f>
        <v>83.47</v>
      </c>
      <c r="AA1557" s="1709">
        <f>K1557-Z1557</f>
        <v>1.6700000000000017</v>
      </c>
    </row>
    <row r="1558" spans="1:27" ht="12.75" hidden="1">
      <c r="A1558" s="2114" t="str">
        <f>A327</f>
        <v>(ii)</v>
      </c>
      <c r="B1558" s="192" t="str">
        <f>B327</f>
        <v>First Floor</v>
      </c>
      <c r="C1558" s="568"/>
      <c r="D1558" s="568"/>
      <c r="E1558" s="188" t="str">
        <f>E1549</f>
        <v>Each Sqm</v>
      </c>
      <c r="F1558" s="188"/>
      <c r="G1558" s="2122"/>
      <c r="H1558" s="568"/>
      <c r="I1558" s="2118"/>
      <c r="J1558" s="2123"/>
      <c r="K1558" s="2123"/>
      <c r="L1558" s="192"/>
      <c r="M1558" s="568"/>
    </row>
    <row r="1559" spans="1:27" ht="12.75" hidden="1">
      <c r="A1559" s="2114"/>
      <c r="B1559" s="568" t="s">
        <v>722</v>
      </c>
      <c r="C1559" s="568"/>
      <c r="D1559" s="568"/>
      <c r="E1559" s="188"/>
      <c r="F1559" s="188"/>
      <c r="G1559" s="2122"/>
      <c r="H1559" s="568"/>
      <c r="I1559" s="2118"/>
      <c r="J1559" s="2123"/>
      <c r="K1559" s="2123">
        <f>K1557</f>
        <v>85.14</v>
      </c>
      <c r="L1559" s="192"/>
      <c r="M1559" s="568"/>
    </row>
    <row r="1560" spans="1:27" ht="12.75" hidden="1">
      <c r="A1560" s="2114"/>
      <c r="B1560" s="568" t="s">
        <v>741</v>
      </c>
      <c r="C1560" s="568"/>
      <c r="D1560" s="568"/>
      <c r="E1560" s="188"/>
      <c r="F1560" s="188"/>
      <c r="G1560" s="2122"/>
      <c r="H1560" s="568"/>
      <c r="I1560" s="2118"/>
      <c r="J1560" s="2123"/>
      <c r="K1560" s="2123">
        <f>ROUND(K1553/9.3*1*5%,2)</f>
        <v>4.17</v>
      </c>
      <c r="L1560" s="192"/>
      <c r="M1560" s="568"/>
    </row>
    <row r="1561" spans="1:27" ht="12.75" hidden="1">
      <c r="A1561" s="2114"/>
      <c r="B1561" s="568"/>
      <c r="C1561" s="568"/>
      <c r="D1561" s="568"/>
      <c r="E1561" s="188"/>
      <c r="F1561" s="188"/>
      <c r="G1561" s="2122"/>
      <c r="H1561" s="568"/>
      <c r="I1561" s="2118"/>
      <c r="J1561" s="2114" t="s">
        <v>718</v>
      </c>
      <c r="K1561" s="2124">
        <f>SUM(K1559:K1560)</f>
        <v>89.31</v>
      </c>
      <c r="L1561" s="192" t="s">
        <v>730</v>
      </c>
      <c r="M1561" s="568"/>
      <c r="Y1561" s="1705" t="s">
        <v>92</v>
      </c>
      <c r="Z1561" s="1709">
        <f>Z1557+K1560</f>
        <v>87.64</v>
      </c>
      <c r="AA1561" s="1709">
        <f>K1561-Z1561</f>
        <v>1.6700000000000017</v>
      </c>
    </row>
    <row r="1562" spans="1:27" ht="12.75" hidden="1">
      <c r="A1562" s="2114" t="str">
        <f>A1540</f>
        <v>(iii)</v>
      </c>
      <c r="B1562" s="192" t="str">
        <f>B1540</f>
        <v>Second Floor</v>
      </c>
      <c r="C1562" s="568"/>
      <c r="D1562" s="568"/>
      <c r="E1562" s="188" t="str">
        <f>E1558</f>
        <v>Each Sqm</v>
      </c>
      <c r="F1562" s="188"/>
      <c r="G1562" s="2122"/>
      <c r="H1562" s="568"/>
      <c r="I1562" s="2118"/>
      <c r="J1562" s="2123"/>
      <c r="K1562" s="2123"/>
      <c r="L1562" s="192"/>
      <c r="M1562" s="568"/>
    </row>
    <row r="1563" spans="1:27" ht="12.75" hidden="1">
      <c r="A1563" s="2114"/>
      <c r="B1563" s="568" t="str">
        <f>B1541</f>
        <v>Basic Rate in First Floor.</v>
      </c>
      <c r="C1563" s="568"/>
      <c r="D1563" s="568"/>
      <c r="E1563" s="188"/>
      <c r="F1563" s="188"/>
      <c r="G1563" s="2122"/>
      <c r="H1563" s="568"/>
      <c r="I1563" s="2118"/>
      <c r="J1563" s="2123"/>
      <c r="K1563" s="2123">
        <f>K1561</f>
        <v>89.31</v>
      </c>
      <c r="L1563" s="192"/>
      <c r="M1563" s="568"/>
    </row>
    <row r="1564" spans="1:27" ht="12.75" hidden="1">
      <c r="A1564" s="2114"/>
      <c r="B1564" s="568" t="s">
        <v>741</v>
      </c>
      <c r="C1564" s="568"/>
      <c r="D1564" s="568"/>
      <c r="E1564" s="188"/>
      <c r="F1564" s="188"/>
      <c r="G1564" s="2122"/>
      <c r="H1564" s="568"/>
      <c r="I1564" s="2118"/>
      <c r="J1564" s="2123"/>
      <c r="K1564" s="2123">
        <f>K1560+(K1560*5%)</f>
        <v>4.3784999999999998</v>
      </c>
      <c r="L1564" s="192"/>
      <c r="M1564" s="568"/>
    </row>
    <row r="1565" spans="1:27" ht="12.75" hidden="1">
      <c r="A1565" s="2114"/>
      <c r="B1565" s="568"/>
      <c r="C1565" s="568"/>
      <c r="D1565" s="568"/>
      <c r="E1565" s="188"/>
      <c r="F1565" s="188"/>
      <c r="G1565" s="2122"/>
      <c r="H1565" s="568"/>
      <c r="I1565" s="2118"/>
      <c r="J1565" s="2114" t="s">
        <v>718</v>
      </c>
      <c r="K1565" s="2124">
        <f>SUM(K1563:K1564)</f>
        <v>93.688500000000005</v>
      </c>
      <c r="L1565" s="192" t="s">
        <v>730</v>
      </c>
      <c r="M1565" s="568"/>
      <c r="Y1565" s="1705" t="s">
        <v>92</v>
      </c>
      <c r="Z1565" s="1709">
        <f>Z1561+K1564</f>
        <v>92.018500000000003</v>
      </c>
      <c r="AA1565" s="1709">
        <f>K1565-Z1565</f>
        <v>1.6700000000000017</v>
      </c>
    </row>
    <row r="1566" spans="1:27" ht="12.75" hidden="1">
      <c r="A1566" s="2114" t="str">
        <f>A1544</f>
        <v>(iv)</v>
      </c>
      <c r="B1566" s="192" t="str">
        <f>B1544</f>
        <v>Third Floor</v>
      </c>
      <c r="C1566" s="568"/>
      <c r="D1566" s="568"/>
      <c r="E1566" s="188" t="str">
        <f>E1562</f>
        <v>Each Sqm</v>
      </c>
      <c r="F1566" s="188"/>
      <c r="G1566" s="2122"/>
      <c r="H1566" s="568"/>
      <c r="I1566" s="2118"/>
      <c r="J1566" s="2123"/>
      <c r="K1566" s="2123"/>
      <c r="L1566" s="192"/>
      <c r="M1566" s="568"/>
    </row>
    <row r="1567" spans="1:27" ht="12.75" hidden="1">
      <c r="A1567" s="2114"/>
      <c r="B1567" s="568" t="str">
        <f>B1545</f>
        <v>Basic Rate in First Floor.</v>
      </c>
      <c r="C1567" s="568"/>
      <c r="D1567" s="568"/>
      <c r="E1567" s="188"/>
      <c r="F1567" s="188"/>
      <c r="G1567" s="2122"/>
      <c r="H1567" s="568"/>
      <c r="I1567" s="2118"/>
      <c r="J1567" s="2123"/>
      <c r="K1567" s="2123">
        <f>K1565</f>
        <v>93.688500000000005</v>
      </c>
      <c r="L1567" s="192"/>
      <c r="M1567" s="568"/>
    </row>
    <row r="1568" spans="1:27" ht="12.75" hidden="1">
      <c r="A1568" s="2114"/>
      <c r="B1568" s="568" t="s">
        <v>741</v>
      </c>
      <c r="C1568" s="568"/>
      <c r="D1568" s="568"/>
      <c r="E1568" s="188"/>
      <c r="F1568" s="188"/>
      <c r="G1568" s="2122"/>
      <c r="H1568" s="568"/>
      <c r="I1568" s="2118"/>
      <c r="J1568" s="2123"/>
      <c r="K1568" s="2123">
        <f>K1564+(K1564*5%)</f>
        <v>4.5974249999999994</v>
      </c>
      <c r="L1568" s="192"/>
      <c r="M1568" s="568"/>
    </row>
    <row r="1569" spans="1:27" ht="12.75" hidden="1">
      <c r="A1569" s="2114"/>
      <c r="B1569" s="568"/>
      <c r="C1569" s="568"/>
      <c r="D1569" s="568"/>
      <c r="E1569" s="188"/>
      <c r="F1569" s="188"/>
      <c r="G1569" s="2122"/>
      <c r="H1569" s="568"/>
      <c r="I1569" s="2118"/>
      <c r="J1569" s="2114" t="s">
        <v>718</v>
      </c>
      <c r="K1569" s="2124">
        <f>SUM(K1567:K1568)</f>
        <v>98.285925000000006</v>
      </c>
      <c r="L1569" s="192" t="s">
        <v>730</v>
      </c>
      <c r="M1569" s="568"/>
      <c r="Y1569" s="1705" t="s">
        <v>92</v>
      </c>
      <c r="Z1569" s="1709">
        <f>Z1565+K1568</f>
        <v>96.615925000000004</v>
      </c>
      <c r="AA1569" s="1709">
        <f>K1569-Z1569</f>
        <v>1.6700000000000017</v>
      </c>
    </row>
    <row r="1570" spans="1:27" ht="44.45" hidden="1" customHeight="1">
      <c r="A1570" s="2114">
        <f>A330</f>
        <v>13</v>
      </c>
      <c r="B1570" s="3017" t="str">
        <f>B330</f>
        <v>Dismantling &amp; Removing marble chips dadoos &amp; skirting including stacking the useful materials for reuse and removing the debris within 50m lead  with  cost  of  all labour etc. complete.</v>
      </c>
      <c r="C1570" s="3017"/>
      <c r="D1570" s="3017"/>
      <c r="E1570" s="2116" t="str">
        <f>G330</f>
        <v>Each Sqm</v>
      </c>
      <c r="F1570" s="2116"/>
      <c r="G1570" s="2117"/>
      <c r="H1570" s="2117"/>
      <c r="I1570" s="2118"/>
      <c r="J1570" s="2117"/>
      <c r="K1570" s="2117"/>
      <c r="L1570" s="2119"/>
      <c r="M1570" s="2117"/>
      <c r="N1570" s="2111"/>
      <c r="O1570" s="2111"/>
      <c r="P1570" s="2111"/>
    </row>
    <row r="1571" spans="1:27" ht="12.75" hidden="1">
      <c r="A1571" s="2114" t="str">
        <f>A331</f>
        <v>(i)</v>
      </c>
      <c r="B1571" s="192" t="str">
        <f>B331</f>
        <v>Ground Floor</v>
      </c>
      <c r="C1571" s="675"/>
      <c r="D1571" s="675"/>
      <c r="E1571" s="188" t="str">
        <f>E1570</f>
        <v>Each Sqm</v>
      </c>
      <c r="F1571" s="188"/>
      <c r="G1571" s="2117"/>
      <c r="H1571" s="2117"/>
      <c r="I1571" s="2118"/>
      <c r="J1571" s="2117"/>
      <c r="K1571" s="2117"/>
      <c r="L1571" s="2119"/>
      <c r="M1571" s="2117"/>
      <c r="N1571" s="2111"/>
      <c r="O1571" s="2111"/>
      <c r="P1571" s="2111"/>
    </row>
    <row r="1572" spans="1:27" ht="12.75" hidden="1">
      <c r="A1572" s="2114"/>
      <c r="B1572" s="192" t="s">
        <v>727</v>
      </c>
      <c r="C1572" s="568"/>
      <c r="D1572" s="568"/>
      <c r="E1572" s="2121"/>
      <c r="F1572" s="2121"/>
      <c r="G1572" s="568"/>
      <c r="H1572" s="2117"/>
      <c r="I1572" s="2118"/>
      <c r="J1572" s="568"/>
      <c r="K1572" s="568"/>
      <c r="L1572" s="2119"/>
      <c r="M1572" s="2117"/>
      <c r="N1572" s="2111"/>
      <c r="O1572" s="2111"/>
      <c r="P1572" s="2111"/>
    </row>
    <row r="1573" spans="1:27" ht="12.75" hidden="1">
      <c r="A1573" s="2114"/>
      <c r="B1573" s="192" t="s">
        <v>715</v>
      </c>
      <c r="C1573" s="192"/>
      <c r="D1573" s="568"/>
      <c r="E1573" s="2121"/>
      <c r="F1573" s="2121"/>
      <c r="G1573" s="568"/>
      <c r="H1573" s="2117"/>
      <c r="I1573" s="2118"/>
      <c r="J1573" s="568"/>
      <c r="K1573" s="568"/>
      <c r="L1573" s="2119"/>
      <c r="M1573" s="2117"/>
      <c r="N1573" s="2111"/>
      <c r="O1573" s="2111"/>
      <c r="P1573" s="2111"/>
    </row>
    <row r="1574" spans="1:27" ht="12.75" hidden="1">
      <c r="A1574" s="2114"/>
      <c r="B1574" s="568" t="s">
        <v>717</v>
      </c>
      <c r="C1574" s="568"/>
      <c r="D1574" s="568"/>
      <c r="E1574" s="2121"/>
      <c r="F1574" s="2121"/>
      <c r="G1574" s="2122">
        <v>1.1000000000000001</v>
      </c>
      <c r="H1574" s="2117" t="s">
        <v>262</v>
      </c>
      <c r="I1574" s="2118" t="s">
        <v>38</v>
      </c>
      <c r="J1574" s="2123">
        <f>L134</f>
        <v>345</v>
      </c>
      <c r="K1574" s="2123">
        <f>ROUND(G1574*J1574,2)</f>
        <v>379.5</v>
      </c>
      <c r="L1574" s="2119"/>
      <c r="M1574" s="2117"/>
      <c r="N1574" s="2111"/>
      <c r="O1574" s="2111"/>
      <c r="P1574" s="2111"/>
    </row>
    <row r="1575" spans="1:27" ht="12.75" hidden="1">
      <c r="A1575" s="2114"/>
      <c r="B1575" s="568"/>
      <c r="C1575" s="568"/>
      <c r="D1575" s="568"/>
      <c r="E1575" s="2121"/>
      <c r="F1575" s="2121"/>
      <c r="G1575" s="2122"/>
      <c r="H1575" s="2117"/>
      <c r="I1575" s="2118"/>
      <c r="J1575" s="2114" t="s">
        <v>718</v>
      </c>
      <c r="K1575" s="2124">
        <f>K1574</f>
        <v>379.5</v>
      </c>
      <c r="L1575" s="2119"/>
      <c r="M1575" s="2117"/>
      <c r="N1575" s="2111"/>
      <c r="O1575" s="2111"/>
      <c r="P1575" s="2111"/>
    </row>
    <row r="1576" spans="1:27" ht="12.75" hidden="1">
      <c r="A1576" s="2114"/>
      <c r="B1576" s="192"/>
      <c r="C1576" s="568"/>
      <c r="D1576" s="568"/>
      <c r="E1576" s="2121"/>
      <c r="F1576" s="2121"/>
      <c r="G1576" s="568"/>
      <c r="H1576" s="2117"/>
      <c r="I1576" s="2118"/>
      <c r="J1576" s="568"/>
      <c r="K1576" s="2124"/>
      <c r="L1576" s="2119"/>
      <c r="M1576" s="2117"/>
      <c r="N1576" s="2111"/>
      <c r="O1576" s="2111"/>
      <c r="P1576" s="2111"/>
    </row>
    <row r="1577" spans="1:27" ht="12.75" hidden="1">
      <c r="A1577" s="2114"/>
      <c r="B1577" s="192" t="s">
        <v>719</v>
      </c>
      <c r="C1577" s="568"/>
      <c r="D1577" s="568"/>
      <c r="E1577" s="2121"/>
      <c r="F1577" s="2121"/>
      <c r="G1577" s="568"/>
      <c r="H1577" s="2117"/>
      <c r="I1577" s="2125">
        <v>0.02</v>
      </c>
      <c r="J1577" s="568"/>
      <c r="K1577" s="2124">
        <f>ROUND(K1575*I1577,2)</f>
        <v>7.59</v>
      </c>
      <c r="L1577" s="2119"/>
      <c r="M1577" s="2117"/>
      <c r="N1577" s="2111"/>
      <c r="O1577" s="2111"/>
      <c r="P1577" s="2111"/>
    </row>
    <row r="1578" spans="1:27" ht="12.75" hidden="1">
      <c r="A1578" s="2114"/>
      <c r="B1578" s="568" t="s">
        <v>728</v>
      </c>
      <c r="C1578" s="568"/>
      <c r="D1578" s="568"/>
      <c r="E1578" s="2121"/>
      <c r="F1578" s="2121"/>
      <c r="G1578" s="568"/>
      <c r="H1578" s="2117"/>
      <c r="I1578" s="2118"/>
      <c r="J1578" s="568"/>
      <c r="K1578" s="2124">
        <f>SUM(K1575:K1577)</f>
        <v>387.09</v>
      </c>
      <c r="L1578" s="2119"/>
      <c r="M1578" s="2117"/>
      <c r="N1578" s="2111"/>
      <c r="O1578" s="2111"/>
      <c r="P1578" s="2111"/>
    </row>
    <row r="1579" spans="1:27" ht="12.75" hidden="1">
      <c r="A1579" s="2114"/>
      <c r="B1579" s="568" t="s">
        <v>729</v>
      </c>
      <c r="C1579" s="568"/>
      <c r="D1579" s="568"/>
      <c r="E1579" s="2121"/>
      <c r="F1579" s="2121"/>
      <c r="G1579" s="568"/>
      <c r="H1579" s="2117"/>
      <c r="I1579" s="2118"/>
      <c r="J1579" s="2114" t="s">
        <v>718</v>
      </c>
      <c r="K1579" s="2124">
        <f>ROUND(K1578/9.3,2)</f>
        <v>41.62</v>
      </c>
      <c r="L1579" s="192" t="s">
        <v>730</v>
      </c>
      <c r="M1579" s="2117"/>
      <c r="N1579" s="2111"/>
      <c r="O1579" s="2111"/>
      <c r="P1579" s="2111"/>
      <c r="Y1579" s="1705" t="s">
        <v>92</v>
      </c>
      <c r="Z1579" s="1709">
        <f>ROUND(K1575/9.3,2)</f>
        <v>40.81</v>
      </c>
      <c r="AA1579" s="1709">
        <f>K1579-Z1579</f>
        <v>0.80999999999999517</v>
      </c>
    </row>
    <row r="1580" spans="1:27" ht="12.75" hidden="1">
      <c r="A1580" s="2114" t="str">
        <f>A332</f>
        <v>(ii)</v>
      </c>
      <c r="B1580" s="192" t="str">
        <f>B1558</f>
        <v>First Floor</v>
      </c>
      <c r="C1580" s="568"/>
      <c r="D1580" s="568"/>
      <c r="E1580" s="188" t="str">
        <f>E1571</f>
        <v>Each Sqm</v>
      </c>
      <c r="F1580" s="188"/>
      <c r="G1580" s="2122"/>
      <c r="H1580" s="568"/>
      <c r="I1580" s="2118"/>
      <c r="J1580" s="2123"/>
      <c r="K1580" s="2123"/>
      <c r="L1580" s="192"/>
      <c r="M1580" s="568"/>
    </row>
    <row r="1581" spans="1:27" ht="12.75" hidden="1">
      <c r="A1581" s="2114"/>
      <c r="B1581" s="568" t="s">
        <v>722</v>
      </c>
      <c r="C1581" s="568"/>
      <c r="D1581" s="568"/>
      <c r="E1581" s="188"/>
      <c r="F1581" s="188"/>
      <c r="G1581" s="2122"/>
      <c r="H1581" s="568"/>
      <c r="I1581" s="2118"/>
      <c r="J1581" s="2123"/>
      <c r="K1581" s="2123">
        <f>K1579</f>
        <v>41.62</v>
      </c>
      <c r="L1581" s="192"/>
      <c r="M1581" s="568"/>
    </row>
    <row r="1582" spans="1:27" ht="12.75" hidden="1">
      <c r="A1582" s="2114"/>
      <c r="B1582" s="568" t="s">
        <v>741</v>
      </c>
      <c r="C1582" s="568"/>
      <c r="D1582" s="568"/>
      <c r="E1582" s="188"/>
      <c r="F1582" s="188"/>
      <c r="G1582" s="2122"/>
      <c r="H1582" s="568"/>
      <c r="I1582" s="2118"/>
      <c r="J1582" s="2123"/>
      <c r="K1582" s="2123">
        <f>ROUND(K1575/9.3*1*5%,2)</f>
        <v>2.04</v>
      </c>
      <c r="L1582" s="192"/>
      <c r="M1582" s="568"/>
    </row>
    <row r="1583" spans="1:27" ht="12.75" hidden="1">
      <c r="A1583" s="2114"/>
      <c r="B1583" s="568"/>
      <c r="C1583" s="568"/>
      <c r="D1583" s="568"/>
      <c r="E1583" s="188"/>
      <c r="F1583" s="188"/>
      <c r="G1583" s="2122"/>
      <c r="H1583" s="568"/>
      <c r="I1583" s="2118"/>
      <c r="J1583" s="2114" t="s">
        <v>718</v>
      </c>
      <c r="K1583" s="2124">
        <f>SUM(K1581:K1582)</f>
        <v>43.66</v>
      </c>
      <c r="L1583" s="192" t="s">
        <v>730</v>
      </c>
      <c r="M1583" s="568"/>
      <c r="Y1583" s="1705" t="s">
        <v>92</v>
      </c>
      <c r="Z1583" s="1709">
        <f>Z1579+K1582</f>
        <v>42.85</v>
      </c>
      <c r="AA1583" s="1709">
        <f>K1583-Z1583</f>
        <v>0.80999999999999517</v>
      </c>
    </row>
    <row r="1584" spans="1:27" ht="12.75" hidden="1">
      <c r="A1584" s="2114" t="str">
        <f>A1562</f>
        <v>(iii)</v>
      </c>
      <c r="B1584" s="192" t="str">
        <f>B1562</f>
        <v>Second Floor</v>
      </c>
      <c r="C1584" s="568"/>
      <c r="D1584" s="568"/>
      <c r="E1584" s="188" t="str">
        <f>E1580</f>
        <v>Each Sqm</v>
      </c>
      <c r="F1584" s="188"/>
      <c r="G1584" s="2122"/>
      <c r="H1584" s="568"/>
      <c r="I1584" s="2118"/>
      <c r="J1584" s="2123"/>
      <c r="K1584" s="2123"/>
      <c r="L1584" s="192"/>
      <c r="M1584" s="568"/>
    </row>
    <row r="1585" spans="1:27" ht="12.75" hidden="1">
      <c r="A1585" s="2114"/>
      <c r="B1585" s="568" t="str">
        <f>B1563</f>
        <v>Basic Rate in First Floor.</v>
      </c>
      <c r="C1585" s="568"/>
      <c r="D1585" s="568"/>
      <c r="E1585" s="188"/>
      <c r="F1585" s="188"/>
      <c r="G1585" s="2122"/>
      <c r="H1585" s="568"/>
      <c r="I1585" s="2118"/>
      <c r="J1585" s="2123"/>
      <c r="K1585" s="2123">
        <f>K1583</f>
        <v>43.66</v>
      </c>
      <c r="L1585" s="192"/>
      <c r="M1585" s="568"/>
    </row>
    <row r="1586" spans="1:27" ht="12.75" hidden="1">
      <c r="A1586" s="2114"/>
      <c r="B1586" s="568" t="s">
        <v>741</v>
      </c>
      <c r="C1586" s="568"/>
      <c r="D1586" s="568"/>
      <c r="E1586" s="188"/>
      <c r="F1586" s="188"/>
      <c r="G1586" s="2122"/>
      <c r="H1586" s="568"/>
      <c r="I1586" s="2118"/>
      <c r="J1586" s="2123"/>
      <c r="K1586" s="2123">
        <f>K1582+(K1582*5%)</f>
        <v>2.1419999999999999</v>
      </c>
      <c r="L1586" s="192"/>
      <c r="M1586" s="568"/>
    </row>
    <row r="1587" spans="1:27" ht="12.75" hidden="1">
      <c r="A1587" s="2114"/>
      <c r="B1587" s="568"/>
      <c r="C1587" s="568"/>
      <c r="D1587" s="568"/>
      <c r="E1587" s="188"/>
      <c r="F1587" s="188"/>
      <c r="G1587" s="2122"/>
      <c r="H1587" s="568"/>
      <c r="I1587" s="2118"/>
      <c r="J1587" s="2114" t="s">
        <v>718</v>
      </c>
      <c r="K1587" s="2124">
        <f>SUM(K1585:K1586)</f>
        <v>45.802</v>
      </c>
      <c r="L1587" s="192" t="s">
        <v>730</v>
      </c>
      <c r="M1587" s="568"/>
      <c r="Y1587" s="1705" t="s">
        <v>92</v>
      </c>
      <c r="Z1587" s="1709">
        <f>Z1583+K1586</f>
        <v>44.992000000000004</v>
      </c>
      <c r="AA1587" s="1709">
        <f>K1587-Z1587</f>
        <v>0.80999999999999517</v>
      </c>
    </row>
    <row r="1588" spans="1:27" ht="12.75" hidden="1">
      <c r="A1588" s="2114" t="str">
        <f>A1566</f>
        <v>(iv)</v>
      </c>
      <c r="B1588" s="192" t="str">
        <f>B1566</f>
        <v>Third Floor</v>
      </c>
      <c r="C1588" s="568"/>
      <c r="D1588" s="568"/>
      <c r="E1588" s="188" t="str">
        <f>E1584</f>
        <v>Each Sqm</v>
      </c>
      <c r="F1588" s="188"/>
      <c r="G1588" s="2122"/>
      <c r="H1588" s="568"/>
      <c r="I1588" s="2118"/>
      <c r="J1588" s="2123"/>
      <c r="K1588" s="2123"/>
      <c r="L1588" s="192"/>
      <c r="M1588" s="568"/>
    </row>
    <row r="1589" spans="1:27" ht="12.75" hidden="1">
      <c r="A1589" s="2114"/>
      <c r="B1589" s="568" t="str">
        <f>B1567</f>
        <v>Basic Rate in First Floor.</v>
      </c>
      <c r="C1589" s="568"/>
      <c r="D1589" s="568"/>
      <c r="E1589" s="188"/>
      <c r="F1589" s="188"/>
      <c r="G1589" s="2122"/>
      <c r="H1589" s="568"/>
      <c r="I1589" s="2118"/>
      <c r="J1589" s="2123"/>
      <c r="K1589" s="2123">
        <f>K1587</f>
        <v>45.802</v>
      </c>
      <c r="L1589" s="192"/>
      <c r="M1589" s="568"/>
    </row>
    <row r="1590" spans="1:27" ht="12.75" hidden="1">
      <c r="A1590" s="2114"/>
      <c r="B1590" s="568" t="s">
        <v>741</v>
      </c>
      <c r="C1590" s="568"/>
      <c r="D1590" s="568"/>
      <c r="E1590" s="188"/>
      <c r="F1590" s="188"/>
      <c r="G1590" s="2122"/>
      <c r="H1590" s="568"/>
      <c r="I1590" s="2118"/>
      <c r="J1590" s="2123"/>
      <c r="K1590" s="2123">
        <f>K1586+(K1586*5%)</f>
        <v>2.2490999999999999</v>
      </c>
      <c r="L1590" s="192"/>
      <c r="M1590" s="568"/>
    </row>
    <row r="1591" spans="1:27" ht="12.75" hidden="1">
      <c r="A1591" s="2114"/>
      <c r="B1591" s="568"/>
      <c r="C1591" s="568"/>
      <c r="D1591" s="568"/>
      <c r="E1591" s="188"/>
      <c r="F1591" s="188"/>
      <c r="G1591" s="2122"/>
      <c r="H1591" s="568"/>
      <c r="I1591" s="2118"/>
      <c r="J1591" s="2114" t="s">
        <v>718</v>
      </c>
      <c r="K1591" s="2124">
        <f>SUM(K1589:K1590)</f>
        <v>48.051099999999998</v>
      </c>
      <c r="L1591" s="192" t="s">
        <v>730</v>
      </c>
      <c r="M1591" s="568"/>
      <c r="Y1591" s="1705" t="s">
        <v>92</v>
      </c>
      <c r="Z1591" s="1709">
        <f>Z1587+K1590</f>
        <v>47.241100000000003</v>
      </c>
      <c r="AA1591" s="1709">
        <f>K1591-Z1591</f>
        <v>0.80999999999999517</v>
      </c>
    </row>
    <row r="1592" spans="1:27" ht="49.5" hidden="1" customHeight="1">
      <c r="A1592" s="2114">
        <f>A335</f>
        <v>14</v>
      </c>
      <c r="B1592" s="3017" t="str">
        <f>B335</f>
        <v>Dismantling &amp; Removing old tile flooring including stacking the useful materials for reuse and removing the debris within 50m lead  with  cost  of  all labour etc. complete.</v>
      </c>
      <c r="C1592" s="3017"/>
      <c r="D1592" s="3017"/>
      <c r="E1592" s="2116" t="str">
        <f>G335</f>
        <v>Each Sqm</v>
      </c>
      <c r="F1592" s="2116"/>
      <c r="G1592" s="2117"/>
      <c r="H1592" s="2117"/>
      <c r="I1592" s="2118"/>
      <c r="J1592" s="2117"/>
      <c r="K1592" s="2117"/>
      <c r="L1592" s="2119"/>
      <c r="M1592" s="2117"/>
      <c r="N1592" s="2111"/>
      <c r="O1592" s="2111"/>
      <c r="P1592" s="2111"/>
    </row>
    <row r="1593" spans="1:27" ht="12.75" hidden="1">
      <c r="A1593" s="2114" t="str">
        <f>A336</f>
        <v>(i)</v>
      </c>
      <c r="B1593" s="192" t="str">
        <f>B336</f>
        <v>Ground Floor</v>
      </c>
      <c r="C1593" s="675"/>
      <c r="D1593" s="675"/>
      <c r="E1593" s="188" t="str">
        <f>E1592</f>
        <v>Each Sqm</v>
      </c>
      <c r="F1593" s="188"/>
      <c r="G1593" s="2117"/>
      <c r="H1593" s="2117"/>
      <c r="I1593" s="2118"/>
      <c r="J1593" s="2117"/>
      <c r="K1593" s="2117"/>
      <c r="L1593" s="2119"/>
      <c r="M1593" s="2117"/>
      <c r="N1593" s="2111"/>
      <c r="O1593" s="2111"/>
      <c r="P1593" s="2111"/>
    </row>
    <row r="1594" spans="1:27" ht="12.75" hidden="1">
      <c r="A1594" s="2114"/>
      <c r="B1594" s="568" t="s">
        <v>727</v>
      </c>
      <c r="C1594" s="568"/>
      <c r="D1594" s="568"/>
      <c r="E1594" s="2121"/>
      <c r="F1594" s="2121"/>
      <c r="G1594" s="568"/>
      <c r="H1594" s="2117"/>
      <c r="I1594" s="2118"/>
      <c r="J1594" s="568"/>
      <c r="K1594" s="568"/>
      <c r="L1594" s="2119"/>
      <c r="M1594" s="2117"/>
      <c r="N1594" s="2111"/>
      <c r="O1594" s="2111"/>
      <c r="P1594" s="2111"/>
    </row>
    <row r="1595" spans="1:27" ht="12.75" hidden="1">
      <c r="A1595" s="2114"/>
      <c r="B1595" s="192" t="s">
        <v>715</v>
      </c>
      <c r="C1595" s="192"/>
      <c r="D1595" s="568"/>
      <c r="E1595" s="2121"/>
      <c r="F1595" s="2121"/>
      <c r="G1595" s="568"/>
      <c r="H1595" s="2117"/>
      <c r="I1595" s="2118"/>
      <c r="J1595" s="568"/>
      <c r="K1595" s="568"/>
      <c r="L1595" s="2119"/>
      <c r="M1595" s="2117"/>
      <c r="N1595" s="2111"/>
      <c r="O1595" s="2111"/>
      <c r="P1595" s="2111"/>
    </row>
    <row r="1596" spans="1:27" ht="12.75" hidden="1">
      <c r="A1596" s="2114"/>
      <c r="B1596" s="568" t="s">
        <v>717</v>
      </c>
      <c r="C1596" s="568"/>
      <c r="D1596" s="568"/>
      <c r="E1596" s="2121"/>
      <c r="F1596" s="2121"/>
      <c r="G1596" s="2122">
        <v>2.5</v>
      </c>
      <c r="H1596" s="2117" t="s">
        <v>262</v>
      </c>
      <c r="I1596" s="2118" t="s">
        <v>38</v>
      </c>
      <c r="J1596" s="2123">
        <f>L134</f>
        <v>345</v>
      </c>
      <c r="K1596" s="2123">
        <f>ROUND(G1596*J1596,2)</f>
        <v>862.5</v>
      </c>
      <c r="L1596" s="2119"/>
      <c r="M1596" s="2117"/>
      <c r="N1596" s="2111"/>
      <c r="O1596" s="2111"/>
      <c r="P1596" s="2111"/>
    </row>
    <row r="1597" spans="1:27" ht="12.75" hidden="1">
      <c r="A1597" s="2114"/>
      <c r="B1597" s="568"/>
      <c r="C1597" s="568"/>
      <c r="D1597" s="568"/>
      <c r="E1597" s="2121"/>
      <c r="F1597" s="2121"/>
      <c r="G1597" s="2122"/>
      <c r="H1597" s="2117"/>
      <c r="I1597" s="2118"/>
      <c r="J1597" s="2114" t="s">
        <v>718</v>
      </c>
      <c r="K1597" s="2124">
        <f>K1596</f>
        <v>862.5</v>
      </c>
      <c r="L1597" s="2119"/>
      <c r="M1597" s="2117"/>
      <c r="N1597" s="2111"/>
      <c r="O1597" s="2111"/>
      <c r="P1597" s="2111"/>
    </row>
    <row r="1598" spans="1:27" ht="12.75" hidden="1">
      <c r="A1598" s="2114"/>
      <c r="B1598" s="192"/>
      <c r="C1598" s="568"/>
      <c r="D1598" s="568"/>
      <c r="E1598" s="2121"/>
      <c r="F1598" s="2121"/>
      <c r="G1598" s="568"/>
      <c r="H1598" s="2117"/>
      <c r="I1598" s="2118"/>
      <c r="J1598" s="568"/>
      <c r="K1598" s="2124"/>
      <c r="L1598" s="2119"/>
      <c r="M1598" s="2117"/>
      <c r="N1598" s="2111"/>
      <c r="O1598" s="2111"/>
      <c r="P1598" s="2111"/>
    </row>
    <row r="1599" spans="1:27" ht="12.75" hidden="1">
      <c r="A1599" s="2114"/>
      <c r="B1599" s="192" t="s">
        <v>719</v>
      </c>
      <c r="C1599" s="568"/>
      <c r="D1599" s="568"/>
      <c r="E1599" s="2121"/>
      <c r="F1599" s="2121"/>
      <c r="G1599" s="568"/>
      <c r="H1599" s="2117"/>
      <c r="I1599" s="2125">
        <v>0.02</v>
      </c>
      <c r="J1599" s="568"/>
      <c r="K1599" s="2124">
        <f>ROUND(K1597*I1599,2)</f>
        <v>17.25</v>
      </c>
      <c r="L1599" s="2119"/>
      <c r="M1599" s="2117"/>
      <c r="N1599" s="2111"/>
      <c r="O1599" s="2111"/>
      <c r="P1599" s="2111"/>
    </row>
    <row r="1600" spans="1:27" ht="12.75" hidden="1">
      <c r="A1600" s="2114"/>
      <c r="B1600" s="568" t="s">
        <v>728</v>
      </c>
      <c r="C1600" s="568"/>
      <c r="D1600" s="568"/>
      <c r="E1600" s="2121"/>
      <c r="F1600" s="2121"/>
      <c r="G1600" s="568"/>
      <c r="H1600" s="2117"/>
      <c r="I1600" s="2118"/>
      <c r="J1600" s="568"/>
      <c r="K1600" s="2124">
        <f>SUM(K1597:K1599)</f>
        <v>879.75</v>
      </c>
      <c r="L1600" s="2119"/>
      <c r="M1600" s="2117"/>
      <c r="N1600" s="2111"/>
      <c r="O1600" s="2111"/>
      <c r="P1600" s="2111"/>
    </row>
    <row r="1601" spans="1:27" ht="12.75" hidden="1">
      <c r="A1601" s="2114"/>
      <c r="B1601" s="568" t="s">
        <v>729</v>
      </c>
      <c r="C1601" s="568"/>
      <c r="D1601" s="568"/>
      <c r="E1601" s="2121"/>
      <c r="F1601" s="2121"/>
      <c r="G1601" s="568"/>
      <c r="H1601" s="2117"/>
      <c r="I1601" s="2118"/>
      <c r="J1601" s="2114" t="s">
        <v>718</v>
      </c>
      <c r="K1601" s="2124">
        <f>ROUND(K1600/9.3,2)</f>
        <v>94.6</v>
      </c>
      <c r="L1601" s="192" t="s">
        <v>730</v>
      </c>
      <c r="M1601" s="2117"/>
      <c r="N1601" s="2111"/>
      <c r="O1601" s="2111"/>
      <c r="P1601" s="2111"/>
      <c r="Y1601" s="1705" t="s">
        <v>92</v>
      </c>
      <c r="Z1601" s="1709">
        <f>ROUND(K1597/9.3,2)</f>
        <v>92.74</v>
      </c>
      <c r="AA1601" s="1709">
        <f>K1601-Z1601</f>
        <v>1.8599999999999994</v>
      </c>
    </row>
    <row r="1602" spans="1:27" ht="12.75" hidden="1">
      <c r="A1602" s="2114" t="str">
        <f>A337</f>
        <v>(ii)</v>
      </c>
      <c r="B1602" s="192" t="str">
        <f>B337</f>
        <v>First Floor</v>
      </c>
      <c r="C1602" s="568"/>
      <c r="D1602" s="568"/>
      <c r="E1602" s="188" t="str">
        <f>E1593</f>
        <v>Each Sqm</v>
      </c>
      <c r="F1602" s="188"/>
      <c r="G1602" s="2122"/>
      <c r="H1602" s="568"/>
      <c r="I1602" s="2118"/>
      <c r="J1602" s="2123"/>
      <c r="K1602" s="2123"/>
      <c r="L1602" s="192"/>
      <c r="M1602" s="568"/>
    </row>
    <row r="1603" spans="1:27" ht="12.75" hidden="1">
      <c r="A1603" s="2114"/>
      <c r="B1603" s="568" t="s">
        <v>722</v>
      </c>
      <c r="C1603" s="568"/>
      <c r="D1603" s="568"/>
      <c r="E1603" s="188"/>
      <c r="F1603" s="188"/>
      <c r="G1603" s="2122"/>
      <c r="H1603" s="568"/>
      <c r="I1603" s="2118"/>
      <c r="J1603" s="2123"/>
      <c r="K1603" s="2123">
        <f>K1601</f>
        <v>94.6</v>
      </c>
      <c r="L1603" s="192"/>
      <c r="M1603" s="568"/>
    </row>
    <row r="1604" spans="1:27" ht="12.75" hidden="1">
      <c r="A1604" s="2114"/>
      <c r="B1604" s="568" t="s">
        <v>741</v>
      </c>
      <c r="C1604" s="568"/>
      <c r="D1604" s="568"/>
      <c r="E1604" s="188"/>
      <c r="F1604" s="188"/>
      <c r="G1604" s="2122"/>
      <c r="H1604" s="568"/>
      <c r="I1604" s="2118"/>
      <c r="J1604" s="2123"/>
      <c r="K1604" s="2123">
        <f>ROUND(K1597/9.3*1*5%,2)</f>
        <v>4.6399999999999997</v>
      </c>
      <c r="L1604" s="192"/>
      <c r="M1604" s="568"/>
    </row>
    <row r="1605" spans="1:27" ht="12.75" hidden="1">
      <c r="A1605" s="2114"/>
      <c r="B1605" s="568"/>
      <c r="C1605" s="568"/>
      <c r="D1605" s="568"/>
      <c r="E1605" s="188"/>
      <c r="F1605" s="188"/>
      <c r="G1605" s="2122"/>
      <c r="H1605" s="568"/>
      <c r="I1605" s="2118"/>
      <c r="J1605" s="2114" t="s">
        <v>718</v>
      </c>
      <c r="K1605" s="2124">
        <f>SUM(K1603:K1604)</f>
        <v>99.24</v>
      </c>
      <c r="L1605" s="192" t="s">
        <v>730</v>
      </c>
      <c r="M1605" s="568"/>
      <c r="Y1605" s="1705" t="s">
        <v>92</v>
      </c>
      <c r="Z1605" s="1709">
        <f>Z1601+K1604</f>
        <v>97.38</v>
      </c>
      <c r="AA1605" s="1709">
        <f>K1605-Z1605</f>
        <v>1.8599999999999994</v>
      </c>
    </row>
    <row r="1606" spans="1:27" ht="12.75" hidden="1">
      <c r="A1606" s="2114" t="str">
        <f>A1584</f>
        <v>(iii)</v>
      </c>
      <c r="B1606" s="192" t="str">
        <f>B1584</f>
        <v>Second Floor</v>
      </c>
      <c r="C1606" s="568"/>
      <c r="D1606" s="568"/>
      <c r="E1606" s="188" t="str">
        <f>E1602</f>
        <v>Each Sqm</v>
      </c>
      <c r="F1606" s="188"/>
      <c r="G1606" s="2122"/>
      <c r="H1606" s="568"/>
      <c r="I1606" s="2118"/>
      <c r="J1606" s="2123"/>
      <c r="K1606" s="2123"/>
      <c r="L1606" s="192"/>
      <c r="M1606" s="568"/>
    </row>
    <row r="1607" spans="1:27" ht="12.75" hidden="1">
      <c r="A1607" s="2114"/>
      <c r="B1607" s="568" t="str">
        <f>B1585</f>
        <v>Basic Rate in First Floor.</v>
      </c>
      <c r="C1607" s="568"/>
      <c r="D1607" s="568"/>
      <c r="E1607" s="188"/>
      <c r="F1607" s="188"/>
      <c r="G1607" s="2122"/>
      <c r="H1607" s="568"/>
      <c r="I1607" s="2118"/>
      <c r="J1607" s="2123"/>
      <c r="K1607" s="2123">
        <f>K1605</f>
        <v>99.24</v>
      </c>
      <c r="L1607" s="192"/>
      <c r="M1607" s="568"/>
    </row>
    <row r="1608" spans="1:27" ht="12.75" hidden="1">
      <c r="A1608" s="2114"/>
      <c r="B1608" s="568" t="s">
        <v>741</v>
      </c>
      <c r="C1608" s="568"/>
      <c r="D1608" s="568"/>
      <c r="E1608" s="188"/>
      <c r="F1608" s="188"/>
      <c r="G1608" s="2122"/>
      <c r="H1608" s="568"/>
      <c r="I1608" s="2118"/>
      <c r="J1608" s="2123"/>
      <c r="K1608" s="2123">
        <f>K1604+(K1604*5%)</f>
        <v>4.8719999999999999</v>
      </c>
      <c r="L1608" s="192"/>
      <c r="M1608" s="568"/>
    </row>
    <row r="1609" spans="1:27" ht="12.75" hidden="1">
      <c r="A1609" s="2114"/>
      <c r="B1609" s="568"/>
      <c r="C1609" s="568"/>
      <c r="D1609" s="568"/>
      <c r="E1609" s="188"/>
      <c r="F1609" s="188"/>
      <c r="G1609" s="2122"/>
      <c r="H1609" s="568"/>
      <c r="I1609" s="2118"/>
      <c r="J1609" s="2114" t="s">
        <v>718</v>
      </c>
      <c r="K1609" s="2124">
        <f>SUM(K1607:K1608)</f>
        <v>104.11199999999999</v>
      </c>
      <c r="L1609" s="192" t="s">
        <v>730</v>
      </c>
      <c r="M1609" s="568"/>
      <c r="Y1609" s="1705" t="s">
        <v>92</v>
      </c>
      <c r="Z1609" s="1709">
        <f>Z1605+K1608</f>
        <v>102.252</v>
      </c>
      <c r="AA1609" s="1709">
        <f>K1609-Z1609</f>
        <v>1.8599999999999994</v>
      </c>
    </row>
    <row r="1610" spans="1:27" ht="12.75" hidden="1">
      <c r="A1610" s="2114" t="str">
        <f>A1588</f>
        <v>(iv)</v>
      </c>
      <c r="B1610" s="192" t="str">
        <f>B1588</f>
        <v>Third Floor</v>
      </c>
      <c r="C1610" s="568"/>
      <c r="D1610" s="568"/>
      <c r="E1610" s="188" t="str">
        <f>E1606</f>
        <v>Each Sqm</v>
      </c>
      <c r="F1610" s="188"/>
      <c r="G1610" s="2122"/>
      <c r="H1610" s="568"/>
      <c r="I1610" s="2118"/>
      <c r="J1610" s="2123"/>
      <c r="K1610" s="2123"/>
      <c r="L1610" s="192"/>
      <c r="M1610" s="568"/>
    </row>
    <row r="1611" spans="1:27" ht="12.75" hidden="1">
      <c r="A1611" s="2114"/>
      <c r="B1611" s="568" t="str">
        <f>B1589</f>
        <v>Basic Rate in First Floor.</v>
      </c>
      <c r="C1611" s="568"/>
      <c r="D1611" s="568"/>
      <c r="E1611" s="188"/>
      <c r="F1611" s="188"/>
      <c r="G1611" s="2122"/>
      <c r="H1611" s="568"/>
      <c r="I1611" s="2118"/>
      <c r="J1611" s="2123"/>
      <c r="K1611" s="2123">
        <f>K1609</f>
        <v>104.11199999999999</v>
      </c>
      <c r="L1611" s="192"/>
      <c r="M1611" s="568"/>
    </row>
    <row r="1612" spans="1:27" ht="12.75" hidden="1">
      <c r="A1612" s="2114"/>
      <c r="B1612" s="568" t="s">
        <v>741</v>
      </c>
      <c r="C1612" s="568"/>
      <c r="D1612" s="568"/>
      <c r="E1612" s="188"/>
      <c r="F1612" s="188"/>
      <c r="G1612" s="2122"/>
      <c r="H1612" s="568"/>
      <c r="I1612" s="2118"/>
      <c r="J1612" s="2123"/>
      <c r="K1612" s="2123">
        <f>K1608+(K1608*5%)</f>
        <v>5.1155999999999997</v>
      </c>
      <c r="L1612" s="192"/>
      <c r="M1612" s="568"/>
    </row>
    <row r="1613" spans="1:27" ht="12.75" hidden="1">
      <c r="A1613" s="2114"/>
      <c r="B1613" s="568"/>
      <c r="C1613" s="568"/>
      <c r="D1613" s="568"/>
      <c r="E1613" s="188"/>
      <c r="F1613" s="188"/>
      <c r="G1613" s="2122"/>
      <c r="H1613" s="568"/>
      <c r="I1613" s="2118"/>
      <c r="J1613" s="2114" t="s">
        <v>718</v>
      </c>
      <c r="K1613" s="2124">
        <f>SUM(K1611:K1612)</f>
        <v>109.2276</v>
      </c>
      <c r="L1613" s="192" t="s">
        <v>730</v>
      </c>
      <c r="M1613" s="568"/>
      <c r="Y1613" s="1705" t="s">
        <v>92</v>
      </c>
      <c r="Z1613" s="1709">
        <f>Z1609+K1612</f>
        <v>107.3676</v>
      </c>
      <c r="AA1613" s="1709">
        <f>K1613-Z1613</f>
        <v>1.8599999999999994</v>
      </c>
    </row>
    <row r="1614" spans="1:27" ht="42.6" hidden="1" customHeight="1">
      <c r="A1614" s="2114">
        <f>A340</f>
        <v>15</v>
      </c>
      <c r="B1614" s="3017" t="str">
        <f>B340</f>
        <v>Dismantling &amp; Removing old tile cladding from walls including stacking the useful materials for reuse and removing the debris within 50m lead  with  cost  of  all labour etc. complete.</v>
      </c>
      <c r="C1614" s="3017"/>
      <c r="D1614" s="3017"/>
      <c r="E1614" s="2116" t="str">
        <f>G340</f>
        <v>Each Sqm</v>
      </c>
      <c r="F1614" s="2116"/>
      <c r="G1614" s="2117"/>
      <c r="H1614" s="2117"/>
      <c r="I1614" s="2118"/>
      <c r="J1614" s="2117"/>
      <c r="K1614" s="2117"/>
      <c r="L1614" s="2119"/>
      <c r="M1614" s="2117"/>
      <c r="N1614" s="2111"/>
      <c r="O1614" s="2111"/>
      <c r="P1614" s="2111"/>
    </row>
    <row r="1615" spans="1:27" ht="12.75" hidden="1">
      <c r="A1615" s="2114" t="str">
        <f>A341</f>
        <v>(i)</v>
      </c>
      <c r="B1615" s="192" t="str">
        <f>B341</f>
        <v>Ground Floor</v>
      </c>
      <c r="C1615" s="675"/>
      <c r="D1615" s="675"/>
      <c r="E1615" s="188" t="str">
        <f>E1614</f>
        <v>Each Sqm</v>
      </c>
      <c r="F1615" s="188"/>
      <c r="G1615" s="2117"/>
      <c r="H1615" s="2117"/>
      <c r="I1615" s="2118"/>
      <c r="J1615" s="2117"/>
      <c r="K1615" s="2117"/>
      <c r="L1615" s="2119"/>
      <c r="M1615" s="2117"/>
      <c r="N1615" s="2111"/>
      <c r="O1615" s="2111"/>
      <c r="P1615" s="2111"/>
    </row>
    <row r="1616" spans="1:27" ht="12.75" hidden="1">
      <c r="A1616" s="2114"/>
      <c r="B1616" s="568" t="s">
        <v>727</v>
      </c>
      <c r="C1616" s="568"/>
      <c r="D1616" s="568"/>
      <c r="E1616" s="2121"/>
      <c r="F1616" s="2121"/>
      <c r="G1616" s="568"/>
      <c r="H1616" s="2117"/>
      <c r="I1616" s="2118"/>
      <c r="J1616" s="568"/>
      <c r="K1616" s="568"/>
      <c r="L1616" s="2119"/>
      <c r="M1616" s="2117"/>
      <c r="N1616" s="2111"/>
      <c r="O1616" s="2111"/>
      <c r="P1616" s="2111"/>
    </row>
    <row r="1617" spans="1:27" ht="12.75" hidden="1">
      <c r="A1617" s="2114"/>
      <c r="B1617" s="192" t="s">
        <v>715</v>
      </c>
      <c r="C1617" s="192"/>
      <c r="D1617" s="568"/>
      <c r="E1617" s="2121"/>
      <c r="F1617" s="2121"/>
      <c r="G1617" s="568"/>
      <c r="H1617" s="2117"/>
      <c r="I1617" s="2118"/>
      <c r="J1617" s="568"/>
      <c r="K1617" s="568"/>
      <c r="L1617" s="2119"/>
      <c r="M1617" s="2117"/>
      <c r="N1617" s="2111"/>
      <c r="O1617" s="2111"/>
      <c r="P1617" s="2111"/>
    </row>
    <row r="1618" spans="1:27" ht="12.75" hidden="1">
      <c r="A1618" s="2114"/>
      <c r="B1618" s="568" t="s">
        <v>717</v>
      </c>
      <c r="C1618" s="568"/>
      <c r="D1618" s="568"/>
      <c r="E1618" s="2121"/>
      <c r="F1618" s="2121"/>
      <c r="G1618" s="2122">
        <v>1.3</v>
      </c>
      <c r="H1618" s="2117" t="s">
        <v>262</v>
      </c>
      <c r="I1618" s="2118" t="s">
        <v>38</v>
      </c>
      <c r="J1618" s="2123">
        <f>L134</f>
        <v>345</v>
      </c>
      <c r="K1618" s="2123">
        <f>ROUND(G1618*J1618,2)</f>
        <v>448.5</v>
      </c>
      <c r="L1618" s="2119"/>
      <c r="M1618" s="2117"/>
      <c r="N1618" s="2111"/>
      <c r="O1618" s="2111"/>
      <c r="P1618" s="2111"/>
    </row>
    <row r="1619" spans="1:27" ht="12.75" hidden="1">
      <c r="A1619" s="2114"/>
      <c r="B1619" s="568"/>
      <c r="C1619" s="568"/>
      <c r="D1619" s="568"/>
      <c r="E1619" s="2121"/>
      <c r="F1619" s="2121"/>
      <c r="G1619" s="2122"/>
      <c r="H1619" s="2117"/>
      <c r="I1619" s="2118"/>
      <c r="J1619" s="2114" t="s">
        <v>718</v>
      </c>
      <c r="K1619" s="2124">
        <f>K1618</f>
        <v>448.5</v>
      </c>
      <c r="L1619" s="2119"/>
      <c r="M1619" s="2117"/>
      <c r="N1619" s="2111"/>
      <c r="O1619" s="2111"/>
      <c r="P1619" s="2111"/>
    </row>
    <row r="1620" spans="1:27" ht="12.75" hidden="1">
      <c r="A1620" s="2114"/>
      <c r="B1620" s="192"/>
      <c r="C1620" s="568"/>
      <c r="D1620" s="568"/>
      <c r="E1620" s="2121"/>
      <c r="F1620" s="2121"/>
      <c r="G1620" s="568"/>
      <c r="H1620" s="2117"/>
      <c r="I1620" s="2118"/>
      <c r="J1620" s="568"/>
      <c r="K1620" s="2124"/>
      <c r="L1620" s="2119"/>
      <c r="M1620" s="2117"/>
      <c r="N1620" s="2111"/>
      <c r="O1620" s="2111"/>
      <c r="P1620" s="2111"/>
    </row>
    <row r="1621" spans="1:27" ht="12.75" hidden="1">
      <c r="A1621" s="2114"/>
      <c r="B1621" s="192" t="s">
        <v>719</v>
      </c>
      <c r="C1621" s="568"/>
      <c r="D1621" s="568"/>
      <c r="E1621" s="2121"/>
      <c r="F1621" s="2121"/>
      <c r="G1621" s="568"/>
      <c r="H1621" s="2117"/>
      <c r="I1621" s="2125">
        <v>0.02</v>
      </c>
      <c r="J1621" s="568"/>
      <c r="K1621" s="2124">
        <f>ROUND(K1619*I1621,2)</f>
        <v>8.9700000000000006</v>
      </c>
      <c r="L1621" s="2119"/>
      <c r="M1621" s="2117"/>
      <c r="N1621" s="2111"/>
      <c r="O1621" s="2111"/>
      <c r="P1621" s="2111"/>
    </row>
    <row r="1622" spans="1:27" ht="12.75" hidden="1">
      <c r="A1622" s="2114"/>
      <c r="B1622" s="568" t="s">
        <v>728</v>
      </c>
      <c r="C1622" s="568"/>
      <c r="D1622" s="568"/>
      <c r="E1622" s="2121"/>
      <c r="F1622" s="2121"/>
      <c r="G1622" s="568"/>
      <c r="H1622" s="2117"/>
      <c r="I1622" s="2118"/>
      <c r="J1622" s="568"/>
      <c r="K1622" s="2124">
        <f>SUM(K1619:K1621)</f>
        <v>457.47</v>
      </c>
      <c r="L1622" s="2119"/>
      <c r="M1622" s="2117"/>
      <c r="N1622" s="2111"/>
      <c r="O1622" s="2111"/>
      <c r="P1622" s="2111"/>
    </row>
    <row r="1623" spans="1:27" ht="12.75" hidden="1">
      <c r="A1623" s="2114"/>
      <c r="B1623" s="568" t="s">
        <v>729</v>
      </c>
      <c r="C1623" s="568"/>
      <c r="D1623" s="568"/>
      <c r="E1623" s="2121"/>
      <c r="F1623" s="2121"/>
      <c r="G1623" s="568"/>
      <c r="H1623" s="2117"/>
      <c r="I1623" s="2118"/>
      <c r="J1623" s="2114" t="s">
        <v>718</v>
      </c>
      <c r="K1623" s="2124">
        <f>ROUND(K1622/9.3,2)</f>
        <v>49.19</v>
      </c>
      <c r="L1623" s="192" t="s">
        <v>730</v>
      </c>
      <c r="M1623" s="2117"/>
      <c r="N1623" s="2111"/>
      <c r="O1623" s="2111"/>
      <c r="P1623" s="2111"/>
      <c r="Y1623" s="1705" t="s">
        <v>92</v>
      </c>
      <c r="Z1623" s="1709">
        <f>ROUND(K1619/9.3,2)</f>
        <v>48.23</v>
      </c>
      <c r="AA1623" s="1709">
        <f>K1623-Z1623</f>
        <v>0.96000000000000085</v>
      </c>
    </row>
    <row r="1624" spans="1:27" ht="12.75" hidden="1">
      <c r="A1624" s="2114" t="str">
        <f>A342</f>
        <v>(ii)</v>
      </c>
      <c r="B1624" s="192" t="str">
        <f>B342</f>
        <v>First Floor</v>
      </c>
      <c r="C1624" s="568"/>
      <c r="D1624" s="568"/>
      <c r="E1624" s="188" t="str">
        <f>E1615</f>
        <v>Each Sqm</v>
      </c>
      <c r="F1624" s="188"/>
      <c r="G1624" s="2122"/>
      <c r="H1624" s="568"/>
      <c r="I1624" s="2118"/>
      <c r="J1624" s="2123"/>
      <c r="K1624" s="2123"/>
      <c r="L1624" s="192"/>
      <c r="M1624" s="568"/>
    </row>
    <row r="1625" spans="1:27" ht="12.75" hidden="1">
      <c r="A1625" s="2114"/>
      <c r="B1625" s="568" t="s">
        <v>722</v>
      </c>
      <c r="C1625" s="568"/>
      <c r="D1625" s="568"/>
      <c r="E1625" s="188"/>
      <c r="F1625" s="188"/>
      <c r="G1625" s="2122"/>
      <c r="H1625" s="568"/>
      <c r="I1625" s="2118"/>
      <c r="J1625" s="2123"/>
      <c r="K1625" s="2123">
        <f>K1623</f>
        <v>49.19</v>
      </c>
      <c r="L1625" s="192"/>
      <c r="M1625" s="568"/>
    </row>
    <row r="1626" spans="1:27" ht="12.75" hidden="1">
      <c r="A1626" s="2114"/>
      <c r="B1626" s="568" t="s">
        <v>741</v>
      </c>
      <c r="C1626" s="568"/>
      <c r="D1626" s="568"/>
      <c r="E1626" s="188"/>
      <c r="F1626" s="188"/>
      <c r="G1626" s="2122"/>
      <c r="H1626" s="568"/>
      <c r="I1626" s="2118"/>
      <c r="J1626" s="2123"/>
      <c r="K1626" s="2123">
        <f>ROUND(K1619/9.3*1*5%,2)</f>
        <v>2.41</v>
      </c>
      <c r="L1626" s="192"/>
      <c r="M1626" s="568"/>
    </row>
    <row r="1627" spans="1:27" ht="12.75" hidden="1">
      <c r="A1627" s="2114"/>
      <c r="B1627" s="568"/>
      <c r="C1627" s="568"/>
      <c r="D1627" s="568"/>
      <c r="E1627" s="188"/>
      <c r="F1627" s="188"/>
      <c r="G1627" s="2122"/>
      <c r="H1627" s="568"/>
      <c r="I1627" s="2118"/>
      <c r="J1627" s="2114" t="s">
        <v>718</v>
      </c>
      <c r="K1627" s="2124">
        <f>SUM(K1625:K1626)</f>
        <v>51.599999999999994</v>
      </c>
      <c r="L1627" s="192" t="s">
        <v>730</v>
      </c>
      <c r="M1627" s="568"/>
      <c r="Y1627" s="1705" t="s">
        <v>92</v>
      </c>
      <c r="Z1627" s="1709">
        <f>Z1623+K1626</f>
        <v>50.64</v>
      </c>
      <c r="AA1627" s="1709">
        <f>K1627-Z1627</f>
        <v>0.95999999999999375</v>
      </c>
    </row>
    <row r="1628" spans="1:27" ht="12.75" hidden="1">
      <c r="A1628" s="2114" t="str">
        <f>A1606</f>
        <v>(iii)</v>
      </c>
      <c r="B1628" s="192" t="str">
        <f>B1606</f>
        <v>Second Floor</v>
      </c>
      <c r="C1628" s="568"/>
      <c r="D1628" s="568"/>
      <c r="E1628" s="188" t="str">
        <f>E1624</f>
        <v>Each Sqm</v>
      </c>
      <c r="F1628" s="188"/>
      <c r="G1628" s="2122"/>
      <c r="H1628" s="568"/>
      <c r="I1628" s="2118"/>
      <c r="J1628" s="2123"/>
      <c r="K1628" s="2123"/>
      <c r="L1628" s="192"/>
      <c r="M1628" s="568"/>
    </row>
    <row r="1629" spans="1:27" ht="12.75" hidden="1">
      <c r="A1629" s="2114"/>
      <c r="B1629" s="568" t="str">
        <f>B1607</f>
        <v>Basic Rate in First Floor.</v>
      </c>
      <c r="C1629" s="568"/>
      <c r="D1629" s="568"/>
      <c r="E1629" s="188"/>
      <c r="F1629" s="188"/>
      <c r="G1629" s="2122"/>
      <c r="H1629" s="568"/>
      <c r="I1629" s="2118"/>
      <c r="J1629" s="2123"/>
      <c r="K1629" s="2123">
        <f>K1627</f>
        <v>51.599999999999994</v>
      </c>
      <c r="L1629" s="192"/>
      <c r="M1629" s="568"/>
    </row>
    <row r="1630" spans="1:27" ht="12.75" hidden="1">
      <c r="A1630" s="2114"/>
      <c r="B1630" s="568" t="s">
        <v>741</v>
      </c>
      <c r="C1630" s="568"/>
      <c r="D1630" s="568"/>
      <c r="E1630" s="188"/>
      <c r="F1630" s="188"/>
      <c r="G1630" s="2122"/>
      <c r="H1630" s="568"/>
      <c r="I1630" s="2118"/>
      <c r="J1630" s="2123"/>
      <c r="K1630" s="2123">
        <f>K1626+(K1626*5%)</f>
        <v>2.5305</v>
      </c>
      <c r="L1630" s="192"/>
      <c r="M1630" s="568"/>
    </row>
    <row r="1631" spans="1:27" ht="12.75" hidden="1">
      <c r="A1631" s="2114"/>
      <c r="B1631" s="568"/>
      <c r="C1631" s="568"/>
      <c r="D1631" s="568"/>
      <c r="E1631" s="188"/>
      <c r="F1631" s="188"/>
      <c r="G1631" s="2122"/>
      <c r="H1631" s="568"/>
      <c r="I1631" s="2118"/>
      <c r="J1631" s="2114" t="s">
        <v>718</v>
      </c>
      <c r="K1631" s="2124">
        <f>SUM(K1629:K1630)</f>
        <v>54.130499999999998</v>
      </c>
      <c r="L1631" s="192" t="s">
        <v>730</v>
      </c>
      <c r="M1631" s="568"/>
      <c r="Y1631" s="1705" t="s">
        <v>92</v>
      </c>
      <c r="Z1631" s="1709">
        <f>Z1627+K1630</f>
        <v>53.170500000000004</v>
      </c>
      <c r="AA1631" s="1709">
        <f>K1631-Z1631</f>
        <v>0.95999999999999375</v>
      </c>
    </row>
    <row r="1632" spans="1:27" ht="12.75" hidden="1">
      <c r="A1632" s="2114" t="str">
        <f>A1610</f>
        <v>(iv)</v>
      </c>
      <c r="B1632" s="192" t="str">
        <f>B1610</f>
        <v>Third Floor</v>
      </c>
      <c r="C1632" s="568"/>
      <c r="D1632" s="568"/>
      <c r="E1632" s="188" t="str">
        <f>E1628</f>
        <v>Each Sqm</v>
      </c>
      <c r="F1632" s="188"/>
      <c r="G1632" s="2122"/>
      <c r="H1632" s="568"/>
      <c r="I1632" s="2118"/>
      <c r="J1632" s="2123"/>
      <c r="K1632" s="2123"/>
      <c r="L1632" s="192"/>
      <c r="M1632" s="568"/>
    </row>
    <row r="1633" spans="1:27" ht="12.75" hidden="1">
      <c r="A1633" s="2114"/>
      <c r="B1633" s="568" t="str">
        <f>B1611</f>
        <v>Basic Rate in First Floor.</v>
      </c>
      <c r="C1633" s="568"/>
      <c r="D1633" s="568"/>
      <c r="E1633" s="188"/>
      <c r="F1633" s="188"/>
      <c r="G1633" s="2122"/>
      <c r="H1633" s="568"/>
      <c r="I1633" s="2118"/>
      <c r="J1633" s="2123"/>
      <c r="K1633" s="2123">
        <f>K1631</f>
        <v>54.130499999999998</v>
      </c>
      <c r="L1633" s="192"/>
      <c r="M1633" s="568"/>
    </row>
    <row r="1634" spans="1:27" ht="12.75" hidden="1">
      <c r="A1634" s="2114"/>
      <c r="B1634" s="568" t="s">
        <v>741</v>
      </c>
      <c r="C1634" s="568"/>
      <c r="D1634" s="568"/>
      <c r="E1634" s="188"/>
      <c r="F1634" s="188"/>
      <c r="G1634" s="2122"/>
      <c r="H1634" s="568"/>
      <c r="I1634" s="2118"/>
      <c r="J1634" s="2123"/>
      <c r="K1634" s="2123">
        <f>K1630+(K1630*5%)</f>
        <v>2.657025</v>
      </c>
      <c r="L1634" s="192"/>
      <c r="M1634" s="568"/>
    </row>
    <row r="1635" spans="1:27" ht="12.75" hidden="1">
      <c r="A1635" s="2114"/>
      <c r="B1635" s="568"/>
      <c r="C1635" s="568"/>
      <c r="D1635" s="568"/>
      <c r="E1635" s="188"/>
      <c r="F1635" s="188"/>
      <c r="G1635" s="2122"/>
      <c r="H1635" s="568"/>
      <c r="I1635" s="2118"/>
      <c r="J1635" s="2114" t="s">
        <v>718</v>
      </c>
      <c r="K1635" s="2124">
        <f>SUM(K1633:K1634)</f>
        <v>56.787524999999995</v>
      </c>
      <c r="L1635" s="192" t="s">
        <v>730</v>
      </c>
      <c r="M1635" s="568"/>
      <c r="Y1635" s="1705" t="s">
        <v>92</v>
      </c>
      <c r="Z1635" s="1709">
        <f>Z1631+K1634</f>
        <v>55.827525000000001</v>
      </c>
      <c r="AA1635" s="1709">
        <f>K1635-Z1635</f>
        <v>0.95999999999999375</v>
      </c>
    </row>
    <row r="1636" spans="1:27" ht="60" hidden="1" customHeight="1">
      <c r="A1636" s="2114">
        <f>A345</f>
        <v>16</v>
      </c>
      <c r="B1636" s="3017" t="str">
        <f>B345</f>
        <v>Dismantling &amp; Removing pan or single nuria or Mangalore tile roofing (Tiles only)  including stacking the useful materials for reuse and removing the debris within 50m lead  with  cost  of  all labour etc. complete.</v>
      </c>
      <c r="C1636" s="3017"/>
      <c r="D1636" s="3017"/>
      <c r="E1636" s="2116" t="str">
        <f>G381</f>
        <v>Each Cum</v>
      </c>
      <c r="F1636" s="2116"/>
      <c r="G1636" s="2117"/>
      <c r="H1636" s="2117"/>
      <c r="I1636" s="2118"/>
      <c r="J1636" s="2117"/>
      <c r="K1636" s="2117"/>
      <c r="L1636" s="2119"/>
      <c r="M1636" s="2117"/>
      <c r="N1636" s="2111"/>
      <c r="O1636" s="2111"/>
      <c r="P1636" s="2111"/>
    </row>
    <row r="1637" spans="1:27" ht="12.75" hidden="1">
      <c r="A1637" s="2114" t="str">
        <f>A346</f>
        <v>(i)</v>
      </c>
      <c r="B1637" s="192" t="str">
        <f>B346</f>
        <v>Ground Floor</v>
      </c>
      <c r="C1637" s="675"/>
      <c r="D1637" s="675"/>
      <c r="E1637" s="188" t="str">
        <f>E1636</f>
        <v>Each Cum</v>
      </c>
      <c r="F1637" s="188"/>
      <c r="G1637" s="2117"/>
      <c r="H1637" s="2117"/>
      <c r="I1637" s="2118"/>
      <c r="J1637" s="2117"/>
      <c r="K1637" s="2117"/>
      <c r="L1637" s="2119"/>
      <c r="M1637" s="2117"/>
      <c r="N1637" s="2111"/>
      <c r="O1637" s="2111"/>
      <c r="P1637" s="2111"/>
    </row>
    <row r="1638" spans="1:27" ht="12.75" hidden="1">
      <c r="A1638" s="2114"/>
      <c r="B1638" s="192" t="s">
        <v>727</v>
      </c>
      <c r="C1638" s="568"/>
      <c r="D1638" s="568"/>
      <c r="E1638" s="2121"/>
      <c r="F1638" s="2121"/>
      <c r="G1638" s="568"/>
      <c r="H1638" s="2117"/>
      <c r="I1638" s="2118"/>
      <c r="J1638" s="568"/>
      <c r="K1638" s="568"/>
      <c r="L1638" s="2119"/>
      <c r="M1638" s="2117"/>
      <c r="N1638" s="2111"/>
      <c r="O1638" s="2111"/>
      <c r="P1638" s="2111"/>
    </row>
    <row r="1639" spans="1:27" ht="12.75" hidden="1">
      <c r="A1639" s="2114"/>
      <c r="B1639" s="192" t="s">
        <v>715</v>
      </c>
      <c r="C1639" s="192"/>
      <c r="D1639" s="568"/>
      <c r="E1639" s="2121"/>
      <c r="F1639" s="2121"/>
      <c r="G1639" s="568"/>
      <c r="H1639" s="2117"/>
      <c r="I1639" s="2118"/>
      <c r="J1639" s="568"/>
      <c r="K1639" s="568"/>
      <c r="L1639" s="2119"/>
      <c r="M1639" s="2117"/>
      <c r="N1639" s="2111"/>
      <c r="O1639" s="2111"/>
      <c r="P1639" s="2111"/>
    </row>
    <row r="1640" spans="1:27" ht="12.75" hidden="1">
      <c r="A1640" s="2114"/>
      <c r="B1640" s="568" t="s">
        <v>717</v>
      </c>
      <c r="C1640" s="568"/>
      <c r="D1640" s="568"/>
      <c r="E1640" s="2121"/>
      <c r="F1640" s="2121"/>
      <c r="G1640" s="2122">
        <v>2.75</v>
      </c>
      <c r="H1640" s="2117" t="s">
        <v>262</v>
      </c>
      <c r="I1640" s="2118" t="s">
        <v>38</v>
      </c>
      <c r="J1640" s="2123">
        <f>L134</f>
        <v>345</v>
      </c>
      <c r="K1640" s="2123">
        <f>ROUND(G1640*J1640,2)</f>
        <v>948.75</v>
      </c>
      <c r="L1640" s="2119"/>
      <c r="M1640" s="2117"/>
      <c r="N1640" s="2111"/>
      <c r="O1640" s="2111"/>
      <c r="P1640" s="2111"/>
    </row>
    <row r="1641" spans="1:27" ht="12.75" hidden="1">
      <c r="A1641" s="2114"/>
      <c r="B1641" s="568"/>
      <c r="C1641" s="568"/>
      <c r="D1641" s="568"/>
      <c r="E1641" s="2121"/>
      <c r="F1641" s="2121"/>
      <c r="G1641" s="2122"/>
      <c r="H1641" s="2117"/>
      <c r="I1641" s="2118"/>
      <c r="J1641" s="2114" t="s">
        <v>718</v>
      </c>
      <c r="K1641" s="2124">
        <f>SUM(K1640:K1640)</f>
        <v>948.75</v>
      </c>
      <c r="L1641" s="2119"/>
      <c r="M1641" s="2117"/>
      <c r="N1641" s="2111"/>
      <c r="O1641" s="2111"/>
      <c r="P1641" s="2111"/>
    </row>
    <row r="1642" spans="1:27" ht="12.75" hidden="1">
      <c r="A1642" s="2114"/>
      <c r="B1642" s="192"/>
      <c r="C1642" s="568"/>
      <c r="D1642" s="568"/>
      <c r="E1642" s="2121"/>
      <c r="F1642" s="2121"/>
      <c r="G1642" s="568"/>
      <c r="H1642" s="2117"/>
      <c r="I1642" s="2118"/>
      <c r="J1642" s="568"/>
      <c r="K1642" s="2124"/>
      <c r="L1642" s="2119"/>
      <c r="M1642" s="2117"/>
      <c r="N1642" s="2111"/>
      <c r="O1642" s="2111"/>
      <c r="P1642" s="2111"/>
    </row>
    <row r="1643" spans="1:27" ht="12.75" hidden="1">
      <c r="A1643" s="2114"/>
      <c r="B1643" s="192" t="s">
        <v>719</v>
      </c>
      <c r="C1643" s="568"/>
      <c r="D1643" s="568"/>
      <c r="E1643" s="2121"/>
      <c r="F1643" s="2121"/>
      <c r="G1643" s="568"/>
      <c r="H1643" s="2117"/>
      <c r="I1643" s="2125">
        <v>0.02</v>
      </c>
      <c r="J1643" s="568"/>
      <c r="K1643" s="2124">
        <f>ROUND(K1641*I1643,2)</f>
        <v>18.98</v>
      </c>
      <c r="L1643" s="2119"/>
      <c r="M1643" s="2117"/>
      <c r="N1643" s="2111"/>
      <c r="O1643" s="2111"/>
      <c r="P1643" s="2111"/>
    </row>
    <row r="1644" spans="1:27" ht="12.75" hidden="1">
      <c r="A1644" s="2114"/>
      <c r="B1644" s="568" t="s">
        <v>728</v>
      </c>
      <c r="C1644" s="568"/>
      <c r="D1644" s="568"/>
      <c r="E1644" s="2121"/>
      <c r="F1644" s="2121"/>
      <c r="G1644" s="568"/>
      <c r="H1644" s="2117"/>
      <c r="I1644" s="2118"/>
      <c r="J1644" s="568"/>
      <c r="K1644" s="2124">
        <f>SUM(K1641:K1643)</f>
        <v>967.73</v>
      </c>
      <c r="L1644" s="2119"/>
      <c r="M1644" s="2117"/>
      <c r="N1644" s="2111"/>
      <c r="O1644" s="2111"/>
      <c r="P1644" s="2111"/>
    </row>
    <row r="1645" spans="1:27" ht="12.75" hidden="1">
      <c r="A1645" s="2114"/>
      <c r="B1645" s="568" t="s">
        <v>729</v>
      </c>
      <c r="C1645" s="568"/>
      <c r="D1645" s="568"/>
      <c r="E1645" s="2121"/>
      <c r="F1645" s="2121"/>
      <c r="G1645" s="568"/>
      <c r="H1645" s="2117"/>
      <c r="I1645" s="2118"/>
      <c r="J1645" s="2114" t="s">
        <v>718</v>
      </c>
      <c r="K1645" s="2124">
        <f>ROUND(K1644/9.3,2)</f>
        <v>104.06</v>
      </c>
      <c r="L1645" s="192" t="s">
        <v>730</v>
      </c>
      <c r="M1645" s="2117"/>
      <c r="N1645" s="2111"/>
      <c r="O1645" s="2111"/>
      <c r="P1645" s="2111"/>
      <c r="Y1645" s="1705" t="s">
        <v>92</v>
      </c>
      <c r="Z1645" s="1709">
        <f>ROUND(K1641/9.3,2)</f>
        <v>102.02</v>
      </c>
      <c r="AA1645" s="1709">
        <f>K1645-Z1645</f>
        <v>2.0400000000000063</v>
      </c>
    </row>
    <row r="1646" spans="1:27" ht="12.75" hidden="1">
      <c r="A1646" s="2114" t="str">
        <f>A347</f>
        <v>(ii)</v>
      </c>
      <c r="B1646" s="192" t="str">
        <f>B347</f>
        <v>First Floor</v>
      </c>
      <c r="C1646" s="568"/>
      <c r="D1646" s="568"/>
      <c r="E1646" s="188" t="str">
        <f>E1637</f>
        <v>Each Cum</v>
      </c>
      <c r="F1646" s="188"/>
      <c r="G1646" s="2122"/>
      <c r="H1646" s="568"/>
      <c r="I1646" s="2118"/>
      <c r="J1646" s="2123"/>
      <c r="K1646" s="2123"/>
      <c r="L1646" s="192"/>
      <c r="M1646" s="568"/>
    </row>
    <row r="1647" spans="1:27" ht="12.75" hidden="1">
      <c r="A1647" s="2114"/>
      <c r="B1647" s="568" t="s">
        <v>722</v>
      </c>
      <c r="C1647" s="568"/>
      <c r="D1647" s="568"/>
      <c r="E1647" s="188"/>
      <c r="F1647" s="188"/>
      <c r="G1647" s="2122"/>
      <c r="H1647" s="568"/>
      <c r="I1647" s="2118"/>
      <c r="J1647" s="2123"/>
      <c r="K1647" s="2123">
        <f>K1645</f>
        <v>104.06</v>
      </c>
      <c r="L1647" s="192"/>
      <c r="M1647" s="568"/>
    </row>
    <row r="1648" spans="1:27" ht="12.75" hidden="1">
      <c r="A1648" s="2114"/>
      <c r="B1648" s="568" t="s">
        <v>741</v>
      </c>
      <c r="C1648" s="568"/>
      <c r="D1648" s="568"/>
      <c r="E1648" s="188"/>
      <c r="F1648" s="188"/>
      <c r="G1648" s="2122"/>
      <c r="H1648" s="568"/>
      <c r="I1648" s="2118"/>
      <c r="J1648" s="2123"/>
      <c r="K1648" s="2123">
        <f>ROUND(K1641/9.3*1*5%,2)</f>
        <v>5.0999999999999996</v>
      </c>
      <c r="L1648" s="192"/>
      <c r="M1648" s="568"/>
    </row>
    <row r="1649" spans="1:27" ht="12.75" hidden="1">
      <c r="A1649" s="2114"/>
      <c r="B1649" s="568"/>
      <c r="C1649" s="568"/>
      <c r="D1649" s="568"/>
      <c r="E1649" s="188"/>
      <c r="F1649" s="188"/>
      <c r="G1649" s="2122"/>
      <c r="H1649" s="568"/>
      <c r="I1649" s="2118"/>
      <c r="J1649" s="2114" t="s">
        <v>718</v>
      </c>
      <c r="K1649" s="2124">
        <f>SUM(K1647:K1648)</f>
        <v>109.16</v>
      </c>
      <c r="L1649" s="192" t="s">
        <v>730</v>
      </c>
      <c r="M1649" s="568"/>
      <c r="Y1649" s="1705" t="s">
        <v>92</v>
      </c>
      <c r="Z1649" s="1709">
        <f>Z1645+K1648</f>
        <v>107.11999999999999</v>
      </c>
      <c r="AA1649" s="1709">
        <f>K1649-Z1649</f>
        <v>2.0400000000000063</v>
      </c>
    </row>
    <row r="1650" spans="1:27" ht="12.75" hidden="1">
      <c r="A1650" s="2114" t="str">
        <f>A1628</f>
        <v>(iii)</v>
      </c>
      <c r="B1650" s="192" t="str">
        <f>B1628</f>
        <v>Second Floor</v>
      </c>
      <c r="C1650" s="568"/>
      <c r="D1650" s="568"/>
      <c r="E1650" s="188" t="str">
        <f>E1646</f>
        <v>Each Cum</v>
      </c>
      <c r="F1650" s="188"/>
      <c r="G1650" s="2122"/>
      <c r="H1650" s="568"/>
      <c r="I1650" s="2118"/>
      <c r="J1650" s="2123"/>
      <c r="K1650" s="2123"/>
      <c r="L1650" s="192"/>
      <c r="M1650" s="568"/>
    </row>
    <row r="1651" spans="1:27" ht="12.75" hidden="1">
      <c r="A1651" s="2114"/>
      <c r="B1651" s="568" t="str">
        <f>B1629</f>
        <v>Basic Rate in First Floor.</v>
      </c>
      <c r="C1651" s="568"/>
      <c r="D1651" s="568"/>
      <c r="E1651" s="188"/>
      <c r="F1651" s="188"/>
      <c r="G1651" s="2122"/>
      <c r="H1651" s="568"/>
      <c r="I1651" s="2118"/>
      <c r="J1651" s="2123"/>
      <c r="K1651" s="2123">
        <f>K1649</f>
        <v>109.16</v>
      </c>
      <c r="L1651" s="192"/>
      <c r="M1651" s="568"/>
    </row>
    <row r="1652" spans="1:27" ht="12.75" hidden="1">
      <c r="A1652" s="2114"/>
      <c r="B1652" s="568" t="s">
        <v>741</v>
      </c>
      <c r="C1652" s="568"/>
      <c r="D1652" s="568"/>
      <c r="E1652" s="188"/>
      <c r="F1652" s="188"/>
      <c r="G1652" s="2122"/>
      <c r="H1652" s="568"/>
      <c r="I1652" s="2118"/>
      <c r="J1652" s="2123"/>
      <c r="K1652" s="2123">
        <f>K1648+(K1648*5%)</f>
        <v>5.3549999999999995</v>
      </c>
      <c r="L1652" s="192"/>
      <c r="M1652" s="568"/>
    </row>
    <row r="1653" spans="1:27" ht="12.75" hidden="1">
      <c r="A1653" s="2114"/>
      <c r="B1653" s="568"/>
      <c r="C1653" s="568"/>
      <c r="D1653" s="568"/>
      <c r="E1653" s="188"/>
      <c r="F1653" s="188"/>
      <c r="G1653" s="2122"/>
      <c r="H1653" s="568"/>
      <c r="I1653" s="2118"/>
      <c r="J1653" s="2114" t="s">
        <v>718</v>
      </c>
      <c r="K1653" s="2124">
        <f>SUM(K1651:K1652)</f>
        <v>114.515</v>
      </c>
      <c r="L1653" s="192" t="s">
        <v>730</v>
      </c>
      <c r="M1653" s="568"/>
      <c r="Y1653" s="1705" t="s">
        <v>92</v>
      </c>
      <c r="Z1653" s="1709">
        <f>Z1649+K1652</f>
        <v>112.47499999999999</v>
      </c>
      <c r="AA1653" s="1709">
        <f>K1653-Z1653</f>
        <v>2.0400000000000063</v>
      </c>
    </row>
    <row r="1654" spans="1:27" ht="12.75" hidden="1">
      <c r="A1654" s="2114" t="str">
        <f>A1632</f>
        <v>(iv)</v>
      </c>
      <c r="B1654" s="192" t="str">
        <f>B1632</f>
        <v>Third Floor</v>
      </c>
      <c r="C1654" s="568"/>
      <c r="D1654" s="568"/>
      <c r="E1654" s="188" t="str">
        <f>E1650</f>
        <v>Each Cum</v>
      </c>
      <c r="F1654" s="188"/>
      <c r="G1654" s="2122"/>
      <c r="H1654" s="568"/>
      <c r="I1654" s="2118"/>
      <c r="J1654" s="2123"/>
      <c r="K1654" s="2123"/>
      <c r="L1654" s="192"/>
      <c r="M1654" s="568"/>
    </row>
    <row r="1655" spans="1:27" ht="12.75" hidden="1">
      <c r="A1655" s="2114"/>
      <c r="B1655" s="568" t="str">
        <f>B1633</f>
        <v>Basic Rate in First Floor.</v>
      </c>
      <c r="C1655" s="568"/>
      <c r="D1655" s="568"/>
      <c r="E1655" s="188"/>
      <c r="F1655" s="188"/>
      <c r="G1655" s="2122"/>
      <c r="H1655" s="568"/>
      <c r="I1655" s="2118"/>
      <c r="J1655" s="2123"/>
      <c r="K1655" s="2123">
        <f>K1653</f>
        <v>114.515</v>
      </c>
      <c r="L1655" s="192"/>
      <c r="M1655" s="568"/>
    </row>
    <row r="1656" spans="1:27" ht="12.75" hidden="1">
      <c r="A1656" s="2114"/>
      <c r="B1656" s="568" t="s">
        <v>741</v>
      </c>
      <c r="C1656" s="568"/>
      <c r="D1656" s="568"/>
      <c r="E1656" s="188"/>
      <c r="F1656" s="188"/>
      <c r="G1656" s="2122"/>
      <c r="H1656" s="568"/>
      <c r="I1656" s="2118"/>
      <c r="J1656" s="2123"/>
      <c r="K1656" s="2123">
        <f>K1652+(K1652*5%)</f>
        <v>5.6227499999999999</v>
      </c>
      <c r="L1656" s="192"/>
      <c r="M1656" s="568"/>
    </row>
    <row r="1657" spans="1:27" ht="12.75" hidden="1">
      <c r="A1657" s="2114"/>
      <c r="B1657" s="568"/>
      <c r="C1657" s="568"/>
      <c r="D1657" s="568"/>
      <c r="E1657" s="188"/>
      <c r="F1657" s="188"/>
      <c r="G1657" s="2122"/>
      <c r="H1657" s="568"/>
      <c r="I1657" s="2118"/>
      <c r="J1657" s="2114" t="s">
        <v>718</v>
      </c>
      <c r="K1657" s="2124">
        <f>SUM(K1655:K1656)</f>
        <v>120.13775</v>
      </c>
      <c r="L1657" s="192" t="s">
        <v>730</v>
      </c>
      <c r="M1657" s="568"/>
      <c r="Y1657" s="1705" t="s">
        <v>92</v>
      </c>
      <c r="Z1657" s="1709">
        <f>Z1653+K1656</f>
        <v>118.09774999999999</v>
      </c>
      <c r="AA1657" s="1709">
        <f>K1657-Z1657</f>
        <v>2.0400000000000063</v>
      </c>
    </row>
    <row r="1658" spans="1:27" ht="43.9" hidden="1" customHeight="1">
      <c r="A1658" s="2114">
        <f>A350</f>
        <v>17</v>
      </c>
      <c r="B1658" s="3017" t="str">
        <f>B350</f>
        <v>Dismantling &amp; Removing flat and pan tile roofing (Tiles only)  including stacking the useful materials for reuse and removing the debris within 50m lead  with  cost  of  all labour etc. complete.</v>
      </c>
      <c r="C1658" s="3017"/>
      <c r="D1658" s="3017"/>
      <c r="E1658" s="2116" t="str">
        <f>G420</f>
        <v>Each Cum</v>
      </c>
      <c r="F1658" s="2116"/>
      <c r="G1658" s="2117"/>
      <c r="H1658" s="2117"/>
      <c r="I1658" s="2118"/>
      <c r="J1658" s="2117"/>
      <c r="K1658" s="2117"/>
      <c r="L1658" s="2119"/>
      <c r="M1658" s="2117"/>
      <c r="N1658" s="2111"/>
      <c r="O1658" s="2111"/>
      <c r="P1658" s="2111"/>
    </row>
    <row r="1659" spans="1:27" ht="12.75" hidden="1">
      <c r="A1659" s="2114" t="str">
        <f>A351</f>
        <v>(i)</v>
      </c>
      <c r="B1659" s="192" t="str">
        <f>B351</f>
        <v>Ground Floor</v>
      </c>
      <c r="C1659" s="675"/>
      <c r="D1659" s="675"/>
      <c r="E1659" s="188" t="str">
        <f>E1658</f>
        <v>Each Cum</v>
      </c>
      <c r="F1659" s="188"/>
      <c r="G1659" s="2117"/>
      <c r="H1659" s="2117"/>
      <c r="I1659" s="2118"/>
      <c r="J1659" s="2117"/>
      <c r="K1659" s="2117"/>
      <c r="L1659" s="2119"/>
      <c r="M1659" s="2117"/>
      <c r="N1659" s="2111"/>
      <c r="O1659" s="2111"/>
      <c r="P1659" s="2111"/>
    </row>
    <row r="1660" spans="1:27" ht="12.75" hidden="1">
      <c r="A1660" s="2114"/>
      <c r="B1660" s="192" t="s">
        <v>727</v>
      </c>
      <c r="C1660" s="568"/>
      <c r="D1660" s="568"/>
      <c r="E1660" s="2121"/>
      <c r="F1660" s="2121"/>
      <c r="G1660" s="568"/>
      <c r="H1660" s="2117"/>
      <c r="I1660" s="2118"/>
      <c r="J1660" s="568"/>
      <c r="K1660" s="568"/>
      <c r="L1660" s="2119"/>
      <c r="M1660" s="2117"/>
      <c r="N1660" s="2111"/>
      <c r="O1660" s="2111"/>
      <c r="P1660" s="2111"/>
    </row>
    <row r="1661" spans="1:27" ht="12.75" hidden="1">
      <c r="A1661" s="2114"/>
      <c r="B1661" s="192" t="s">
        <v>715</v>
      </c>
      <c r="C1661" s="192"/>
      <c r="D1661" s="568"/>
      <c r="E1661" s="2121"/>
      <c r="F1661" s="2121"/>
      <c r="G1661" s="568"/>
      <c r="H1661" s="2117"/>
      <c r="I1661" s="2118"/>
      <c r="J1661" s="568"/>
      <c r="K1661" s="568"/>
      <c r="L1661" s="2119"/>
      <c r="M1661" s="2117"/>
      <c r="N1661" s="2111"/>
      <c r="O1661" s="2111"/>
      <c r="P1661" s="2111"/>
    </row>
    <row r="1662" spans="1:27" ht="12.75" hidden="1">
      <c r="A1662" s="2114"/>
      <c r="B1662" s="568" t="s">
        <v>717</v>
      </c>
      <c r="C1662" s="568"/>
      <c r="D1662" s="568"/>
      <c r="E1662" s="2121"/>
      <c r="F1662" s="2121"/>
      <c r="G1662" s="2122">
        <v>5.25</v>
      </c>
      <c r="H1662" s="2117" t="s">
        <v>262</v>
      </c>
      <c r="I1662" s="2118" t="s">
        <v>38</v>
      </c>
      <c r="J1662" s="2123">
        <f>L134</f>
        <v>345</v>
      </c>
      <c r="K1662" s="2123">
        <f>ROUND(G1662*J1662,2)</f>
        <v>1811.25</v>
      </c>
      <c r="L1662" s="2119"/>
      <c r="M1662" s="2117"/>
      <c r="N1662" s="2111"/>
      <c r="O1662" s="2111"/>
      <c r="P1662" s="2111"/>
    </row>
    <row r="1663" spans="1:27" ht="12.75" hidden="1">
      <c r="A1663" s="2114"/>
      <c r="B1663" s="568"/>
      <c r="C1663" s="568"/>
      <c r="D1663" s="568"/>
      <c r="E1663" s="2121"/>
      <c r="F1663" s="2121"/>
      <c r="G1663" s="2122"/>
      <c r="H1663" s="2117"/>
      <c r="I1663" s="2118"/>
      <c r="J1663" s="2114" t="s">
        <v>718</v>
      </c>
      <c r="K1663" s="2124">
        <f>K1662</f>
        <v>1811.25</v>
      </c>
      <c r="L1663" s="2119"/>
      <c r="M1663" s="2117"/>
      <c r="N1663" s="2111"/>
      <c r="O1663" s="2111"/>
      <c r="P1663" s="2111"/>
    </row>
    <row r="1664" spans="1:27" ht="12.75" hidden="1">
      <c r="A1664" s="2114"/>
      <c r="B1664" s="192"/>
      <c r="C1664" s="568"/>
      <c r="D1664" s="568"/>
      <c r="E1664" s="2121"/>
      <c r="F1664" s="2121"/>
      <c r="G1664" s="568"/>
      <c r="H1664" s="2117"/>
      <c r="I1664" s="2118"/>
      <c r="J1664" s="568"/>
      <c r="K1664" s="2124"/>
      <c r="L1664" s="2119"/>
      <c r="M1664" s="2117"/>
      <c r="N1664" s="2111"/>
      <c r="O1664" s="2111"/>
      <c r="P1664" s="2111"/>
    </row>
    <row r="1665" spans="1:27" ht="12.75" hidden="1">
      <c r="A1665" s="2114"/>
      <c r="B1665" s="192" t="s">
        <v>719</v>
      </c>
      <c r="C1665" s="568"/>
      <c r="D1665" s="568"/>
      <c r="E1665" s="2121"/>
      <c r="F1665" s="2121"/>
      <c r="G1665" s="568"/>
      <c r="H1665" s="2117"/>
      <c r="I1665" s="2125">
        <v>0.02</v>
      </c>
      <c r="J1665" s="568"/>
      <c r="K1665" s="2124">
        <f>ROUND(K1663*I1665,2)</f>
        <v>36.229999999999997</v>
      </c>
      <c r="L1665" s="2119"/>
      <c r="M1665" s="2117"/>
      <c r="N1665" s="2111"/>
      <c r="O1665" s="2111"/>
      <c r="P1665" s="2111"/>
    </row>
    <row r="1666" spans="1:27" ht="12.75" hidden="1">
      <c r="A1666" s="2114"/>
      <c r="B1666" s="568" t="s">
        <v>728</v>
      </c>
      <c r="C1666" s="568"/>
      <c r="D1666" s="568"/>
      <c r="E1666" s="2121"/>
      <c r="F1666" s="2121"/>
      <c r="G1666" s="568"/>
      <c r="H1666" s="2117"/>
      <c r="I1666" s="2118"/>
      <c r="J1666" s="568"/>
      <c r="K1666" s="2124">
        <f>SUM(K1663:K1665)</f>
        <v>1847.48</v>
      </c>
      <c r="L1666" s="2119"/>
      <c r="M1666" s="2117"/>
      <c r="N1666" s="2111"/>
      <c r="O1666" s="2111"/>
      <c r="P1666" s="2111"/>
    </row>
    <row r="1667" spans="1:27" ht="12.75" hidden="1">
      <c r="A1667" s="2114"/>
      <c r="B1667" s="568" t="s">
        <v>729</v>
      </c>
      <c r="C1667" s="568"/>
      <c r="D1667" s="568"/>
      <c r="E1667" s="2121"/>
      <c r="F1667" s="2121"/>
      <c r="G1667" s="568"/>
      <c r="H1667" s="2117"/>
      <c r="I1667" s="2118"/>
      <c r="J1667" s="2114" t="s">
        <v>718</v>
      </c>
      <c r="K1667" s="2124">
        <f>ROUND(K1666/9.3,2)</f>
        <v>198.65</v>
      </c>
      <c r="L1667" s="192" t="s">
        <v>730</v>
      </c>
      <c r="M1667" s="2117"/>
      <c r="N1667" s="2111"/>
      <c r="O1667" s="2111"/>
      <c r="P1667" s="2111"/>
      <c r="Y1667" s="1705" t="s">
        <v>92</v>
      </c>
      <c r="Z1667" s="1709">
        <f>ROUND(K1663/9.3,2)</f>
        <v>194.76</v>
      </c>
      <c r="AA1667" s="1709">
        <f>K1667-Z1667</f>
        <v>3.8900000000000148</v>
      </c>
    </row>
    <row r="1668" spans="1:27" ht="12.75" hidden="1">
      <c r="A1668" s="2114" t="str">
        <f>A352</f>
        <v>(ii)</v>
      </c>
      <c r="B1668" s="192" t="str">
        <f>B352</f>
        <v>First Floor</v>
      </c>
      <c r="C1668" s="568"/>
      <c r="D1668" s="568"/>
      <c r="E1668" s="188" t="str">
        <f>E1659</f>
        <v>Each Cum</v>
      </c>
      <c r="F1668" s="188"/>
      <c r="G1668" s="2122"/>
      <c r="H1668" s="568"/>
      <c r="I1668" s="2118"/>
      <c r="J1668" s="2123"/>
      <c r="K1668" s="2123"/>
      <c r="L1668" s="192"/>
      <c r="M1668" s="568"/>
    </row>
    <row r="1669" spans="1:27" ht="12.75" hidden="1">
      <c r="A1669" s="2114"/>
      <c r="B1669" s="568" t="s">
        <v>722</v>
      </c>
      <c r="C1669" s="568"/>
      <c r="D1669" s="568"/>
      <c r="E1669" s="188"/>
      <c r="F1669" s="188"/>
      <c r="G1669" s="2122"/>
      <c r="H1669" s="568"/>
      <c r="I1669" s="2118"/>
      <c r="J1669" s="2123"/>
      <c r="K1669" s="2123">
        <f>K1667</f>
        <v>198.65</v>
      </c>
      <c r="L1669" s="192"/>
      <c r="M1669" s="568"/>
    </row>
    <row r="1670" spans="1:27" ht="12.75" hidden="1">
      <c r="A1670" s="2114"/>
      <c r="B1670" s="568" t="s">
        <v>741</v>
      </c>
      <c r="C1670" s="568"/>
      <c r="D1670" s="568"/>
      <c r="E1670" s="188"/>
      <c r="F1670" s="188"/>
      <c r="G1670" s="2122"/>
      <c r="H1670" s="568"/>
      <c r="I1670" s="2118"/>
      <c r="J1670" s="2123"/>
      <c r="K1670" s="2123">
        <f>ROUND(K1663/9.3*1*5%,2)</f>
        <v>9.74</v>
      </c>
      <c r="L1670" s="192"/>
      <c r="M1670" s="568"/>
    </row>
    <row r="1671" spans="1:27" ht="12.75" hidden="1">
      <c r="A1671" s="2114"/>
      <c r="B1671" s="568"/>
      <c r="C1671" s="568"/>
      <c r="D1671" s="568"/>
      <c r="E1671" s="188"/>
      <c r="F1671" s="188"/>
      <c r="G1671" s="2122"/>
      <c r="H1671" s="568"/>
      <c r="I1671" s="2118"/>
      <c r="J1671" s="2114" t="s">
        <v>718</v>
      </c>
      <c r="K1671" s="2124">
        <f>SUM(K1669:K1670)</f>
        <v>208.39000000000001</v>
      </c>
      <c r="L1671" s="192" t="s">
        <v>730</v>
      </c>
      <c r="M1671" s="568"/>
      <c r="Y1671" s="1705" t="s">
        <v>92</v>
      </c>
      <c r="Z1671" s="1709">
        <f>Z1667+K1670</f>
        <v>204.5</v>
      </c>
      <c r="AA1671" s="1709">
        <f>K1671-Z1671</f>
        <v>3.8900000000000148</v>
      </c>
    </row>
    <row r="1672" spans="1:27" ht="12.75" hidden="1">
      <c r="A1672" s="2114" t="str">
        <f>A1650</f>
        <v>(iii)</v>
      </c>
      <c r="B1672" s="192" t="str">
        <f>B1650</f>
        <v>Second Floor</v>
      </c>
      <c r="C1672" s="568"/>
      <c r="D1672" s="568"/>
      <c r="E1672" s="188" t="str">
        <f>E1668</f>
        <v>Each Cum</v>
      </c>
      <c r="F1672" s="188"/>
      <c r="G1672" s="2122"/>
      <c r="H1672" s="568"/>
      <c r="I1672" s="2118"/>
      <c r="J1672" s="2123"/>
      <c r="K1672" s="2123"/>
      <c r="L1672" s="192"/>
      <c r="M1672" s="568"/>
    </row>
    <row r="1673" spans="1:27" ht="12.75" hidden="1">
      <c r="A1673" s="2114"/>
      <c r="B1673" s="568" t="str">
        <f>B1651</f>
        <v>Basic Rate in First Floor.</v>
      </c>
      <c r="C1673" s="568"/>
      <c r="D1673" s="568"/>
      <c r="E1673" s="188"/>
      <c r="F1673" s="188"/>
      <c r="G1673" s="2122"/>
      <c r="H1673" s="568"/>
      <c r="I1673" s="2118"/>
      <c r="J1673" s="2123"/>
      <c r="K1673" s="2123">
        <f>K1671</f>
        <v>208.39000000000001</v>
      </c>
      <c r="L1673" s="192"/>
      <c r="M1673" s="568"/>
    </row>
    <row r="1674" spans="1:27" ht="12.75" hidden="1">
      <c r="A1674" s="2114"/>
      <c r="B1674" s="568" t="s">
        <v>741</v>
      </c>
      <c r="C1674" s="568"/>
      <c r="D1674" s="568"/>
      <c r="E1674" s="188"/>
      <c r="F1674" s="188"/>
      <c r="G1674" s="2122"/>
      <c r="H1674" s="568"/>
      <c r="I1674" s="2118"/>
      <c r="J1674" s="2123"/>
      <c r="K1674" s="2123">
        <f>K1670+(K1670*5%)</f>
        <v>10.227</v>
      </c>
      <c r="L1674" s="192"/>
      <c r="M1674" s="568"/>
    </row>
    <row r="1675" spans="1:27" ht="12.75" hidden="1">
      <c r="A1675" s="2114"/>
      <c r="B1675" s="568"/>
      <c r="C1675" s="568"/>
      <c r="D1675" s="568"/>
      <c r="E1675" s="188"/>
      <c r="F1675" s="188"/>
      <c r="G1675" s="2122"/>
      <c r="H1675" s="568"/>
      <c r="I1675" s="2118"/>
      <c r="J1675" s="2114" t="s">
        <v>718</v>
      </c>
      <c r="K1675" s="2124">
        <f>SUM(K1673:K1674)</f>
        <v>218.61700000000002</v>
      </c>
      <c r="L1675" s="192" t="s">
        <v>730</v>
      </c>
      <c r="M1675" s="568"/>
      <c r="Y1675" s="1705" t="s">
        <v>92</v>
      </c>
      <c r="Z1675" s="1709">
        <f>Z1671+K1674</f>
        <v>214.727</v>
      </c>
      <c r="AA1675" s="1709">
        <f>K1675-Z1675</f>
        <v>3.8900000000000148</v>
      </c>
    </row>
    <row r="1676" spans="1:27" ht="12.75" hidden="1">
      <c r="A1676" s="2114" t="str">
        <f>A1654</f>
        <v>(iv)</v>
      </c>
      <c r="B1676" s="192" t="str">
        <f>B1654</f>
        <v>Third Floor</v>
      </c>
      <c r="C1676" s="568"/>
      <c r="D1676" s="568"/>
      <c r="E1676" s="188" t="str">
        <f>E1672</f>
        <v>Each Cum</v>
      </c>
      <c r="F1676" s="188"/>
      <c r="G1676" s="2122"/>
      <c r="H1676" s="568"/>
      <c r="I1676" s="2118"/>
      <c r="J1676" s="2123"/>
      <c r="K1676" s="2123"/>
      <c r="L1676" s="192"/>
      <c r="M1676" s="568"/>
    </row>
    <row r="1677" spans="1:27" ht="12.75" hidden="1">
      <c r="A1677" s="2114"/>
      <c r="B1677" s="568" t="str">
        <f>B1655</f>
        <v>Basic Rate in First Floor.</v>
      </c>
      <c r="C1677" s="568"/>
      <c r="D1677" s="568"/>
      <c r="E1677" s="188"/>
      <c r="F1677" s="188"/>
      <c r="G1677" s="2122"/>
      <c r="H1677" s="568"/>
      <c r="I1677" s="2118"/>
      <c r="J1677" s="2123"/>
      <c r="K1677" s="2123">
        <f>K1675</f>
        <v>218.61700000000002</v>
      </c>
      <c r="L1677" s="192"/>
      <c r="M1677" s="568"/>
    </row>
    <row r="1678" spans="1:27" ht="12.75" hidden="1">
      <c r="A1678" s="2114"/>
      <c r="B1678" s="568" t="s">
        <v>741</v>
      </c>
      <c r="C1678" s="568"/>
      <c r="D1678" s="568"/>
      <c r="E1678" s="188"/>
      <c r="F1678" s="188"/>
      <c r="G1678" s="2122"/>
      <c r="H1678" s="568"/>
      <c r="I1678" s="2118"/>
      <c r="J1678" s="2123"/>
      <c r="K1678" s="2123">
        <f>K1674+(K1674*5%)</f>
        <v>10.738350000000001</v>
      </c>
      <c r="L1678" s="192"/>
      <c r="M1678" s="568"/>
    </row>
    <row r="1679" spans="1:27" ht="12.75" hidden="1">
      <c r="A1679" s="2114"/>
      <c r="B1679" s="568"/>
      <c r="C1679" s="568"/>
      <c r="D1679" s="568"/>
      <c r="E1679" s="188"/>
      <c r="F1679" s="188"/>
      <c r="G1679" s="2122"/>
      <c r="H1679" s="568"/>
      <c r="I1679" s="2118"/>
      <c r="J1679" s="2114" t="s">
        <v>718</v>
      </c>
      <c r="K1679" s="2124">
        <f>SUM(K1677:K1678)</f>
        <v>229.35535000000002</v>
      </c>
      <c r="L1679" s="192" t="s">
        <v>730</v>
      </c>
      <c r="M1679" s="568"/>
      <c r="Y1679" s="1705" t="s">
        <v>92</v>
      </c>
      <c r="Z1679" s="1709">
        <f>Z1675+K1678</f>
        <v>225.46535</v>
      </c>
      <c r="AA1679" s="1709">
        <f>K1679-Z1679</f>
        <v>3.8900000000000148</v>
      </c>
    </row>
    <row r="1680" spans="1:27" ht="58.15" hidden="1" customHeight="1">
      <c r="A1680" s="2114">
        <f>A355</f>
        <v>18</v>
      </c>
      <c r="B1680" s="3017" t="str">
        <f>B355</f>
        <v>Dismantling reepers under tiled roof ( Pan, flat or nuria tiles after careful removal of nails including stacking the useful materials for reuse and removing the debris within 50m lead  with  cost  of  all labour etc. complete.</v>
      </c>
      <c r="C1680" s="3017"/>
      <c r="D1680" s="3017"/>
      <c r="E1680" s="2116" t="str">
        <f>G447</f>
        <v>Each Cum</v>
      </c>
      <c r="F1680" s="2116"/>
      <c r="G1680" s="2117"/>
      <c r="H1680" s="2117"/>
      <c r="I1680" s="2118"/>
      <c r="J1680" s="2117"/>
      <c r="K1680" s="2117"/>
      <c r="L1680" s="2119"/>
      <c r="M1680" s="2117"/>
      <c r="N1680" s="2111"/>
      <c r="O1680" s="2111"/>
      <c r="P1680" s="2111"/>
    </row>
    <row r="1681" spans="1:27" ht="12.75" hidden="1">
      <c r="A1681" s="2114" t="str">
        <f>A356</f>
        <v>(i)</v>
      </c>
      <c r="B1681" s="192" t="str">
        <f>B356</f>
        <v>Ground Floor</v>
      </c>
      <c r="C1681" s="675"/>
      <c r="D1681" s="675"/>
      <c r="E1681" s="188" t="str">
        <f>E1680</f>
        <v>Each Cum</v>
      </c>
      <c r="F1681" s="188"/>
      <c r="G1681" s="2117"/>
      <c r="H1681" s="2117"/>
      <c r="I1681" s="2118"/>
      <c r="J1681" s="2117"/>
      <c r="K1681" s="2117"/>
      <c r="L1681" s="2119"/>
      <c r="M1681" s="2117"/>
      <c r="N1681" s="2111"/>
      <c r="O1681" s="2111"/>
      <c r="P1681" s="2111"/>
    </row>
    <row r="1682" spans="1:27" ht="12.75" hidden="1">
      <c r="A1682" s="2114"/>
      <c r="B1682" s="568" t="s">
        <v>727</v>
      </c>
      <c r="C1682" s="568"/>
      <c r="D1682" s="568"/>
      <c r="E1682" s="2121"/>
      <c r="F1682" s="2121"/>
      <c r="G1682" s="568"/>
      <c r="H1682" s="2117"/>
      <c r="I1682" s="2118"/>
      <c r="J1682" s="568"/>
      <c r="K1682" s="568"/>
      <c r="L1682" s="2119"/>
      <c r="M1682" s="2117"/>
      <c r="N1682" s="2111"/>
      <c r="O1682" s="2111"/>
      <c r="P1682" s="2111"/>
    </row>
    <row r="1683" spans="1:27" ht="12.75" hidden="1">
      <c r="A1683" s="2114"/>
      <c r="B1683" s="192" t="s">
        <v>715</v>
      </c>
      <c r="C1683" s="192"/>
      <c r="D1683" s="568"/>
      <c r="E1683" s="2121"/>
      <c r="F1683" s="2121"/>
      <c r="G1683" s="568"/>
      <c r="H1683" s="2117"/>
      <c r="I1683" s="2118"/>
      <c r="J1683" s="568"/>
      <c r="K1683" s="568"/>
      <c r="L1683" s="2119"/>
      <c r="M1683" s="2117"/>
      <c r="N1683" s="2111"/>
      <c r="O1683" s="2111"/>
      <c r="P1683" s="2111"/>
    </row>
    <row r="1684" spans="1:27" ht="12.75" hidden="1">
      <c r="A1684" s="2114"/>
      <c r="B1684" s="568" t="s">
        <v>717</v>
      </c>
      <c r="C1684" s="568"/>
      <c r="D1684" s="568"/>
      <c r="E1684" s="2121"/>
      <c r="F1684" s="2121"/>
      <c r="G1684" s="2122">
        <v>1.25</v>
      </c>
      <c r="H1684" s="2117" t="s">
        <v>262</v>
      </c>
      <c r="I1684" s="2118" t="s">
        <v>38</v>
      </c>
      <c r="J1684" s="2123">
        <f>L134</f>
        <v>345</v>
      </c>
      <c r="K1684" s="2123">
        <f>ROUND(G1684*J1684,2)</f>
        <v>431.25</v>
      </c>
      <c r="L1684" s="2119"/>
      <c r="M1684" s="2117"/>
      <c r="N1684" s="2111"/>
      <c r="O1684" s="2111"/>
      <c r="P1684" s="2111"/>
    </row>
    <row r="1685" spans="1:27" ht="12.75" hidden="1">
      <c r="A1685" s="2114"/>
      <c r="B1685" s="568" t="s">
        <v>742</v>
      </c>
      <c r="C1685" s="568"/>
      <c r="D1685" s="568"/>
      <c r="E1685" s="2121"/>
      <c r="F1685" s="2121"/>
      <c r="G1685" s="2122">
        <v>0.33</v>
      </c>
      <c r="H1685" s="2117" t="s">
        <v>262</v>
      </c>
      <c r="I1685" s="2118" t="s">
        <v>38</v>
      </c>
      <c r="J1685" s="2123">
        <f>L136</f>
        <v>435</v>
      </c>
      <c r="K1685" s="2123">
        <f>ROUND(G1685*J1685,2)</f>
        <v>143.55000000000001</v>
      </c>
      <c r="L1685" s="2119"/>
      <c r="M1685" s="2117"/>
      <c r="N1685" s="2111"/>
      <c r="O1685" s="2111"/>
      <c r="P1685" s="2111"/>
    </row>
    <row r="1686" spans="1:27" ht="12.75" hidden="1">
      <c r="A1686" s="2114"/>
      <c r="B1686" s="568"/>
      <c r="C1686" s="568"/>
      <c r="D1686" s="568"/>
      <c r="E1686" s="2121"/>
      <c r="F1686" s="2121"/>
      <c r="G1686" s="2122"/>
      <c r="H1686" s="2117"/>
      <c r="I1686" s="2118"/>
      <c r="J1686" s="2114" t="s">
        <v>718</v>
      </c>
      <c r="K1686" s="2124">
        <f>SUM(K1684:K1685)</f>
        <v>574.79999999999995</v>
      </c>
      <c r="L1686" s="2119"/>
      <c r="M1686" s="2117"/>
      <c r="N1686" s="2111"/>
      <c r="O1686" s="2111"/>
      <c r="P1686" s="2111"/>
    </row>
    <row r="1687" spans="1:27" ht="12.75" hidden="1">
      <c r="A1687" s="2114"/>
      <c r="B1687" s="192"/>
      <c r="C1687" s="568"/>
      <c r="D1687" s="568"/>
      <c r="E1687" s="2121"/>
      <c r="F1687" s="2121"/>
      <c r="G1687" s="568"/>
      <c r="H1687" s="2117"/>
      <c r="I1687" s="2118"/>
      <c r="J1687" s="568"/>
      <c r="K1687" s="2124"/>
      <c r="L1687" s="2119"/>
      <c r="M1687" s="2117"/>
      <c r="N1687" s="2111"/>
      <c r="O1687" s="2111"/>
      <c r="P1687" s="2111"/>
    </row>
    <row r="1688" spans="1:27" ht="12.75" hidden="1">
      <c r="A1688" s="2114"/>
      <c r="B1688" s="192" t="s">
        <v>719</v>
      </c>
      <c r="C1688" s="568"/>
      <c r="D1688" s="568"/>
      <c r="E1688" s="2121"/>
      <c r="F1688" s="2121"/>
      <c r="G1688" s="568"/>
      <c r="H1688" s="2117"/>
      <c r="I1688" s="2125">
        <v>0.02</v>
      </c>
      <c r="J1688" s="568"/>
      <c r="K1688" s="2124">
        <f>ROUND(K1686*I1688,2)</f>
        <v>11.5</v>
      </c>
      <c r="L1688" s="2119"/>
      <c r="M1688" s="2117"/>
      <c r="N1688" s="2111"/>
      <c r="O1688" s="2111"/>
      <c r="P1688" s="2111"/>
    </row>
    <row r="1689" spans="1:27" ht="12.75" hidden="1">
      <c r="A1689" s="2114"/>
      <c r="B1689" s="568" t="s">
        <v>728</v>
      </c>
      <c r="C1689" s="568"/>
      <c r="D1689" s="568"/>
      <c r="E1689" s="2121"/>
      <c r="F1689" s="2121"/>
      <c r="G1689" s="568"/>
      <c r="H1689" s="2117"/>
      <c r="I1689" s="2118"/>
      <c r="J1689" s="568"/>
      <c r="K1689" s="2124">
        <f>SUM(K1686:K1688)</f>
        <v>586.29999999999995</v>
      </c>
      <c r="L1689" s="2119"/>
      <c r="M1689" s="2117"/>
      <c r="N1689" s="2111"/>
      <c r="O1689" s="2111"/>
      <c r="P1689" s="2111"/>
    </row>
    <row r="1690" spans="1:27" ht="12.75" hidden="1">
      <c r="A1690" s="2114"/>
      <c r="B1690" s="568" t="s">
        <v>729</v>
      </c>
      <c r="C1690" s="568"/>
      <c r="D1690" s="568"/>
      <c r="E1690" s="2121"/>
      <c r="F1690" s="2121"/>
      <c r="G1690" s="568"/>
      <c r="H1690" s="2117"/>
      <c r="I1690" s="2118"/>
      <c r="J1690" s="2114" t="s">
        <v>718</v>
      </c>
      <c r="K1690" s="2124">
        <f>ROUND(K1689/9.3,2)</f>
        <v>63.04</v>
      </c>
      <c r="L1690" s="192" t="s">
        <v>730</v>
      </c>
      <c r="M1690" s="2117"/>
      <c r="N1690" s="2111"/>
      <c r="O1690" s="2111"/>
      <c r="P1690" s="2111"/>
      <c r="Y1690" s="1705" t="s">
        <v>92</v>
      </c>
      <c r="Z1690" s="1709">
        <f>ROUND(K1686/9.3,2)</f>
        <v>61.81</v>
      </c>
      <c r="AA1690" s="1709">
        <f>K1690-Z1690</f>
        <v>1.2299999999999969</v>
      </c>
    </row>
    <row r="1691" spans="1:27" ht="12.75" hidden="1">
      <c r="A1691" s="2114" t="str">
        <f>A357</f>
        <v>(ii)</v>
      </c>
      <c r="B1691" s="192" t="str">
        <f>B357</f>
        <v>First Floor</v>
      </c>
      <c r="C1691" s="568"/>
      <c r="D1691" s="568"/>
      <c r="E1691" s="188" t="str">
        <f>E1681</f>
        <v>Each Cum</v>
      </c>
      <c r="F1691" s="188"/>
      <c r="G1691" s="2122"/>
      <c r="H1691" s="568"/>
      <c r="I1691" s="2118"/>
      <c r="J1691" s="2123"/>
      <c r="K1691" s="2123"/>
      <c r="L1691" s="192"/>
      <c r="M1691" s="568"/>
    </row>
    <row r="1692" spans="1:27" ht="12.75" hidden="1">
      <c r="A1692" s="2114"/>
      <c r="B1692" s="568" t="s">
        <v>722</v>
      </c>
      <c r="C1692" s="568"/>
      <c r="D1692" s="568"/>
      <c r="E1692" s="188"/>
      <c r="F1692" s="188"/>
      <c r="G1692" s="2122"/>
      <c r="H1692" s="568"/>
      <c r="I1692" s="2118"/>
      <c r="J1692" s="2123"/>
      <c r="K1692" s="2123">
        <f>K1690</f>
        <v>63.04</v>
      </c>
      <c r="L1692" s="192"/>
      <c r="M1692" s="568"/>
    </row>
    <row r="1693" spans="1:27" ht="12.75" hidden="1">
      <c r="A1693" s="2114"/>
      <c r="B1693" s="568" t="s">
        <v>741</v>
      </c>
      <c r="C1693" s="568"/>
      <c r="D1693" s="568"/>
      <c r="E1693" s="188"/>
      <c r="F1693" s="188"/>
      <c r="G1693" s="2122"/>
      <c r="H1693" s="568"/>
      <c r="I1693" s="2118"/>
      <c r="J1693" s="2123"/>
      <c r="K1693" s="2123">
        <f>ROUND(K1686/9.3*1*5%,2)</f>
        <v>3.09</v>
      </c>
      <c r="L1693" s="192"/>
      <c r="M1693" s="568"/>
    </row>
    <row r="1694" spans="1:27" ht="12.75" hidden="1">
      <c r="A1694" s="2114"/>
      <c r="B1694" s="568"/>
      <c r="C1694" s="568"/>
      <c r="D1694" s="568"/>
      <c r="E1694" s="188"/>
      <c r="F1694" s="188"/>
      <c r="G1694" s="2122"/>
      <c r="H1694" s="568"/>
      <c r="I1694" s="2118"/>
      <c r="J1694" s="2114" t="s">
        <v>718</v>
      </c>
      <c r="K1694" s="2124">
        <f>SUM(K1692:K1693)</f>
        <v>66.13</v>
      </c>
      <c r="L1694" s="192" t="s">
        <v>730</v>
      </c>
      <c r="M1694" s="568"/>
      <c r="Y1694" s="1705" t="s">
        <v>92</v>
      </c>
      <c r="Z1694" s="1709">
        <f>Z1690+K1693</f>
        <v>64.900000000000006</v>
      </c>
      <c r="AA1694" s="1709">
        <f>K1694-Z1694</f>
        <v>1.2299999999999898</v>
      </c>
    </row>
    <row r="1695" spans="1:27" ht="12.75" hidden="1">
      <c r="A1695" s="2114" t="str">
        <f>A1672</f>
        <v>(iii)</v>
      </c>
      <c r="B1695" s="192" t="str">
        <f>B1672</f>
        <v>Second Floor</v>
      </c>
      <c r="C1695" s="568"/>
      <c r="D1695" s="568"/>
      <c r="E1695" s="188" t="str">
        <f>E1691</f>
        <v>Each Cum</v>
      </c>
      <c r="F1695" s="188"/>
      <c r="G1695" s="2122"/>
      <c r="H1695" s="568"/>
      <c r="I1695" s="2118"/>
      <c r="J1695" s="2123"/>
      <c r="K1695" s="2123"/>
      <c r="L1695" s="192"/>
      <c r="M1695" s="568"/>
    </row>
    <row r="1696" spans="1:27" ht="12.75" hidden="1">
      <c r="A1696" s="2114"/>
      <c r="B1696" s="568" t="str">
        <f>B1673</f>
        <v>Basic Rate in First Floor.</v>
      </c>
      <c r="C1696" s="568"/>
      <c r="D1696" s="568"/>
      <c r="E1696" s="188"/>
      <c r="F1696" s="188"/>
      <c r="G1696" s="2122"/>
      <c r="H1696" s="568"/>
      <c r="I1696" s="2118"/>
      <c r="J1696" s="2123"/>
      <c r="K1696" s="2123">
        <f>K1694</f>
        <v>66.13</v>
      </c>
      <c r="L1696" s="192"/>
      <c r="M1696" s="568"/>
    </row>
    <row r="1697" spans="1:27" ht="12.75" hidden="1">
      <c r="A1697" s="2114"/>
      <c r="B1697" s="568" t="s">
        <v>741</v>
      </c>
      <c r="C1697" s="568"/>
      <c r="D1697" s="568"/>
      <c r="E1697" s="188"/>
      <c r="F1697" s="188"/>
      <c r="G1697" s="2122"/>
      <c r="H1697" s="568"/>
      <c r="I1697" s="2118"/>
      <c r="J1697" s="2123"/>
      <c r="K1697" s="2123">
        <f>K1693+(K1693*5%)</f>
        <v>3.2444999999999999</v>
      </c>
      <c r="L1697" s="192"/>
      <c r="M1697" s="568"/>
    </row>
    <row r="1698" spans="1:27" ht="12.75" hidden="1">
      <c r="A1698" s="2114"/>
      <c r="B1698" s="568"/>
      <c r="C1698" s="568"/>
      <c r="D1698" s="568"/>
      <c r="E1698" s="188"/>
      <c r="F1698" s="188"/>
      <c r="G1698" s="2122"/>
      <c r="H1698" s="568"/>
      <c r="I1698" s="2118"/>
      <c r="J1698" s="2114" t="s">
        <v>718</v>
      </c>
      <c r="K1698" s="2124">
        <f>SUM(K1696:K1697)</f>
        <v>69.374499999999998</v>
      </c>
      <c r="L1698" s="192" t="s">
        <v>730</v>
      </c>
      <c r="M1698" s="568"/>
      <c r="Y1698" s="1705" t="s">
        <v>92</v>
      </c>
      <c r="Z1698" s="1709">
        <f>Z1694+K1697</f>
        <v>68.144500000000008</v>
      </c>
      <c r="AA1698" s="1709">
        <f>K1698-Z1698</f>
        <v>1.2299999999999898</v>
      </c>
    </row>
    <row r="1699" spans="1:27" ht="12.75" hidden="1">
      <c r="A1699" s="2114" t="str">
        <f>A1676</f>
        <v>(iv)</v>
      </c>
      <c r="B1699" s="192" t="str">
        <f>B1676</f>
        <v>Third Floor</v>
      </c>
      <c r="C1699" s="568"/>
      <c r="D1699" s="568"/>
      <c r="E1699" s="188" t="str">
        <f>E1695</f>
        <v>Each Cum</v>
      </c>
      <c r="F1699" s="188"/>
      <c r="G1699" s="2122"/>
      <c r="H1699" s="568"/>
      <c r="I1699" s="2118"/>
      <c r="J1699" s="2123"/>
      <c r="K1699" s="2123"/>
      <c r="L1699" s="192"/>
      <c r="M1699" s="568"/>
    </row>
    <row r="1700" spans="1:27" ht="12.75" hidden="1">
      <c r="A1700" s="2114"/>
      <c r="B1700" s="568" t="str">
        <f>B1677</f>
        <v>Basic Rate in First Floor.</v>
      </c>
      <c r="C1700" s="568"/>
      <c r="D1700" s="568"/>
      <c r="E1700" s="188"/>
      <c r="F1700" s="188"/>
      <c r="G1700" s="2122"/>
      <c r="H1700" s="568"/>
      <c r="I1700" s="2118"/>
      <c r="J1700" s="2123"/>
      <c r="K1700" s="2123">
        <f>K1698</f>
        <v>69.374499999999998</v>
      </c>
      <c r="L1700" s="192"/>
      <c r="M1700" s="568"/>
    </row>
    <row r="1701" spans="1:27" ht="12.75" hidden="1">
      <c r="A1701" s="2114"/>
      <c r="B1701" s="568" t="s">
        <v>741</v>
      </c>
      <c r="C1701" s="568"/>
      <c r="D1701" s="568"/>
      <c r="E1701" s="188"/>
      <c r="F1701" s="188"/>
      <c r="G1701" s="2122"/>
      <c r="H1701" s="568"/>
      <c r="I1701" s="2118"/>
      <c r="J1701" s="2123"/>
      <c r="K1701" s="2123">
        <f>K1697+(K1697*5%)</f>
        <v>3.4067249999999998</v>
      </c>
      <c r="L1701" s="192"/>
      <c r="M1701" s="568"/>
    </row>
    <row r="1702" spans="1:27" ht="12.75" hidden="1">
      <c r="A1702" s="2114"/>
      <c r="B1702" s="568"/>
      <c r="C1702" s="568"/>
      <c r="D1702" s="568"/>
      <c r="E1702" s="188"/>
      <c r="F1702" s="188"/>
      <c r="G1702" s="2122"/>
      <c r="H1702" s="568"/>
      <c r="I1702" s="2118"/>
      <c r="J1702" s="2114" t="s">
        <v>718</v>
      </c>
      <c r="K1702" s="2124">
        <f>SUM(K1700:K1701)</f>
        <v>72.781224999999992</v>
      </c>
      <c r="L1702" s="192" t="s">
        <v>730</v>
      </c>
      <c r="M1702" s="568"/>
      <c r="Y1702" s="1705" t="s">
        <v>92</v>
      </c>
      <c r="Z1702" s="1709">
        <f>Z1698+K1701</f>
        <v>71.551225000000002</v>
      </c>
      <c r="AA1702" s="1709">
        <f>K1702-Z1702</f>
        <v>1.2299999999999898</v>
      </c>
    </row>
    <row r="1703" spans="1:27" ht="43.15" hidden="1" customHeight="1">
      <c r="A1703" s="2114">
        <f>A360</f>
        <v>19</v>
      </c>
      <c r="B1703" s="3017" t="str">
        <f>B360</f>
        <v>Dismantling and removing old tarfelt from roof slab, cleaning the surface,lowering and removing the debris within 50m lead etc complete as per specification and direction of Engineer-in-Charge.</v>
      </c>
      <c r="C1703" s="3017"/>
      <c r="D1703" s="3017"/>
      <c r="E1703" s="2116" t="str">
        <f>G482</f>
        <v>Each Sqm</v>
      </c>
      <c r="F1703" s="2116"/>
      <c r="G1703" s="2117"/>
      <c r="H1703" s="2117"/>
      <c r="I1703" s="2118"/>
      <c r="J1703" s="2117"/>
      <c r="K1703" s="2117"/>
      <c r="L1703" s="2119"/>
      <c r="M1703" s="2117"/>
      <c r="N1703" s="2111"/>
      <c r="O1703" s="2111"/>
      <c r="P1703" s="2111"/>
    </row>
    <row r="1704" spans="1:27" ht="12.75" hidden="1">
      <c r="A1704" s="2114" t="str">
        <f>A418</f>
        <v>(i)</v>
      </c>
      <c r="B1704" s="192" t="str">
        <f>B361</f>
        <v>Ground Floor</v>
      </c>
      <c r="C1704" s="675"/>
      <c r="D1704" s="675"/>
      <c r="E1704" s="188" t="str">
        <f>E1703</f>
        <v>Each Sqm</v>
      </c>
      <c r="F1704" s="188"/>
      <c r="G1704" s="2117"/>
      <c r="H1704" s="2117"/>
      <c r="I1704" s="2118"/>
      <c r="J1704" s="2117"/>
      <c r="K1704" s="2117"/>
      <c r="L1704" s="2119"/>
      <c r="M1704" s="2117"/>
      <c r="N1704" s="2111"/>
      <c r="O1704" s="2111"/>
      <c r="P1704" s="2111"/>
    </row>
    <row r="1705" spans="1:27" ht="12.75" hidden="1">
      <c r="A1705" s="2114"/>
      <c r="B1705" s="568" t="s">
        <v>727</v>
      </c>
      <c r="C1705" s="568"/>
      <c r="D1705" s="568"/>
      <c r="E1705" s="2121"/>
      <c r="F1705" s="2121"/>
      <c r="G1705" s="568"/>
      <c r="H1705" s="2117"/>
      <c r="I1705" s="2118"/>
      <c r="J1705" s="568"/>
      <c r="K1705" s="568"/>
      <c r="L1705" s="2119"/>
      <c r="M1705" s="2117"/>
      <c r="N1705" s="2111"/>
      <c r="O1705" s="2111"/>
      <c r="P1705" s="2111"/>
    </row>
    <row r="1706" spans="1:27" ht="12.75" hidden="1">
      <c r="A1706" s="2114"/>
      <c r="B1706" s="192" t="s">
        <v>715</v>
      </c>
      <c r="C1706" s="192"/>
      <c r="D1706" s="568"/>
      <c r="E1706" s="2121"/>
      <c r="F1706" s="2121"/>
      <c r="G1706" s="568"/>
      <c r="H1706" s="2117"/>
      <c r="I1706" s="2118"/>
      <c r="J1706" s="568"/>
      <c r="K1706" s="568"/>
      <c r="L1706" s="2119"/>
      <c r="M1706" s="2117"/>
      <c r="N1706" s="2111"/>
      <c r="O1706" s="2111"/>
      <c r="P1706" s="2111"/>
    </row>
    <row r="1707" spans="1:27" ht="12.75" hidden="1">
      <c r="A1707" s="2114"/>
      <c r="B1707" s="568" t="s">
        <v>717</v>
      </c>
      <c r="C1707" s="568"/>
      <c r="D1707" s="568"/>
      <c r="E1707" s="2121"/>
      <c r="F1707" s="2121"/>
      <c r="G1707" s="2122">
        <v>1.75</v>
      </c>
      <c r="H1707" s="2117" t="s">
        <v>262</v>
      </c>
      <c r="I1707" s="2118" t="s">
        <v>38</v>
      </c>
      <c r="J1707" s="2123">
        <f>L134</f>
        <v>345</v>
      </c>
      <c r="K1707" s="2123">
        <f>ROUND(G1707*J1707,2)</f>
        <v>603.75</v>
      </c>
      <c r="L1707" s="2119"/>
      <c r="M1707" s="2117"/>
      <c r="N1707" s="2111"/>
      <c r="O1707" s="2111"/>
      <c r="P1707" s="2111"/>
    </row>
    <row r="1708" spans="1:27" ht="12.75" hidden="1">
      <c r="A1708" s="2114"/>
      <c r="B1708" s="568"/>
      <c r="C1708" s="568"/>
      <c r="D1708" s="568"/>
      <c r="E1708" s="2121"/>
      <c r="F1708" s="2121"/>
      <c r="G1708" s="2122"/>
      <c r="H1708" s="2117"/>
      <c r="I1708" s="2118"/>
      <c r="J1708" s="2114" t="s">
        <v>718</v>
      </c>
      <c r="K1708" s="2124">
        <f>SUM(K1707:K1707)</f>
        <v>603.75</v>
      </c>
      <c r="L1708" s="2119"/>
      <c r="M1708" s="2117"/>
      <c r="N1708" s="2111"/>
      <c r="O1708" s="2111"/>
      <c r="P1708" s="2111"/>
    </row>
    <row r="1709" spans="1:27" ht="12.75" hidden="1">
      <c r="A1709" s="2114"/>
      <c r="B1709" s="192"/>
      <c r="C1709" s="568"/>
      <c r="D1709" s="568"/>
      <c r="E1709" s="2121"/>
      <c r="F1709" s="2121"/>
      <c r="G1709" s="568"/>
      <c r="H1709" s="2117"/>
      <c r="I1709" s="2118"/>
      <c r="J1709" s="568"/>
      <c r="K1709" s="2124"/>
      <c r="L1709" s="2119"/>
      <c r="M1709" s="2117"/>
      <c r="N1709" s="2111"/>
      <c r="O1709" s="2111"/>
      <c r="P1709" s="2111"/>
    </row>
    <row r="1710" spans="1:27" ht="12.75" hidden="1">
      <c r="A1710" s="2114"/>
      <c r="B1710" s="192" t="s">
        <v>719</v>
      </c>
      <c r="C1710" s="568"/>
      <c r="D1710" s="568"/>
      <c r="E1710" s="2121"/>
      <c r="F1710" s="2121"/>
      <c r="G1710" s="568"/>
      <c r="H1710" s="2117"/>
      <c r="I1710" s="2125">
        <v>0.02</v>
      </c>
      <c r="J1710" s="568"/>
      <c r="K1710" s="2124">
        <f>ROUND(K1708*I1710,2)</f>
        <v>12.08</v>
      </c>
      <c r="L1710" s="2119"/>
      <c r="M1710" s="2117"/>
      <c r="N1710" s="2111"/>
      <c r="O1710" s="2111"/>
      <c r="P1710" s="2111"/>
    </row>
    <row r="1711" spans="1:27" ht="12.75" hidden="1">
      <c r="A1711" s="2114"/>
      <c r="B1711" s="568" t="s">
        <v>728</v>
      </c>
      <c r="C1711" s="568"/>
      <c r="D1711" s="568"/>
      <c r="E1711" s="2121"/>
      <c r="F1711" s="2121"/>
      <c r="G1711" s="568"/>
      <c r="H1711" s="2117"/>
      <c r="I1711" s="2118"/>
      <c r="J1711" s="568"/>
      <c r="K1711" s="2124">
        <f>SUM(K1708:K1710)</f>
        <v>615.83000000000004</v>
      </c>
      <c r="L1711" s="2119"/>
      <c r="M1711" s="2117"/>
      <c r="N1711" s="2111"/>
      <c r="O1711" s="2111"/>
      <c r="P1711" s="2111"/>
    </row>
    <row r="1712" spans="1:27" ht="12.75" hidden="1">
      <c r="A1712" s="2114"/>
      <c r="B1712" s="568" t="s">
        <v>729</v>
      </c>
      <c r="C1712" s="568"/>
      <c r="D1712" s="568"/>
      <c r="E1712" s="2121"/>
      <c r="F1712" s="2121"/>
      <c r="G1712" s="568"/>
      <c r="H1712" s="2117"/>
      <c r="I1712" s="2118"/>
      <c r="J1712" s="2114" t="s">
        <v>718</v>
      </c>
      <c r="K1712" s="2124">
        <f>ROUND(K1711/9.3,2)</f>
        <v>66.22</v>
      </c>
      <c r="L1712" s="192" t="s">
        <v>730</v>
      </c>
      <c r="M1712" s="2117"/>
      <c r="N1712" s="2111"/>
      <c r="O1712" s="2111"/>
      <c r="P1712" s="2111"/>
      <c r="Y1712" s="1705" t="s">
        <v>92</v>
      </c>
      <c r="Z1712" s="1709">
        <f>ROUND(K1708/9.3,2)</f>
        <v>64.92</v>
      </c>
      <c r="AA1712" s="1709">
        <f>K1712-Z1712</f>
        <v>1.2999999999999972</v>
      </c>
    </row>
    <row r="1713" spans="1:27" ht="12.75" hidden="1">
      <c r="A1713" s="2114" t="str">
        <f>A419</f>
        <v>(ii)</v>
      </c>
      <c r="B1713" s="192" t="str">
        <f>B362</f>
        <v>First Floor</v>
      </c>
      <c r="C1713" s="568"/>
      <c r="D1713" s="568"/>
      <c r="E1713" s="188" t="str">
        <f>E1704</f>
        <v>Each Sqm</v>
      </c>
      <c r="F1713" s="188"/>
      <c r="G1713" s="2122"/>
      <c r="H1713" s="568"/>
      <c r="I1713" s="2118"/>
      <c r="J1713" s="2123"/>
      <c r="K1713" s="2123"/>
      <c r="L1713" s="192"/>
      <c r="M1713" s="568"/>
    </row>
    <row r="1714" spans="1:27" ht="12.75" hidden="1">
      <c r="A1714" s="2114"/>
      <c r="B1714" s="568" t="s">
        <v>722</v>
      </c>
      <c r="C1714" s="568"/>
      <c r="D1714" s="568"/>
      <c r="E1714" s="188"/>
      <c r="F1714" s="188"/>
      <c r="G1714" s="2122"/>
      <c r="H1714" s="568"/>
      <c r="I1714" s="2118"/>
      <c r="J1714" s="2123"/>
      <c r="K1714" s="2123">
        <f>K1712</f>
        <v>66.22</v>
      </c>
      <c r="L1714" s="192"/>
      <c r="M1714" s="568"/>
    </row>
    <row r="1715" spans="1:27" ht="12.75" hidden="1">
      <c r="A1715" s="2114"/>
      <c r="B1715" s="568" t="s">
        <v>741</v>
      </c>
      <c r="C1715" s="568"/>
      <c r="D1715" s="568"/>
      <c r="E1715" s="188"/>
      <c r="F1715" s="188"/>
      <c r="G1715" s="2122"/>
      <c r="H1715" s="568"/>
      <c r="I1715" s="2118"/>
      <c r="J1715" s="2123"/>
      <c r="K1715" s="2123">
        <f>ROUND(K1708/9.3*1*5%,2)</f>
        <v>3.25</v>
      </c>
      <c r="L1715" s="192"/>
      <c r="M1715" s="568"/>
    </row>
    <row r="1716" spans="1:27" ht="12.75" hidden="1">
      <c r="A1716" s="2114"/>
      <c r="B1716" s="568"/>
      <c r="C1716" s="568"/>
      <c r="D1716" s="568"/>
      <c r="E1716" s="188"/>
      <c r="F1716" s="188"/>
      <c r="G1716" s="2122"/>
      <c r="H1716" s="568"/>
      <c r="I1716" s="2118"/>
      <c r="J1716" s="2114" t="s">
        <v>718</v>
      </c>
      <c r="K1716" s="2124">
        <f>SUM(K1714:K1715)</f>
        <v>69.47</v>
      </c>
      <c r="L1716" s="192" t="s">
        <v>730</v>
      </c>
      <c r="M1716" s="568"/>
      <c r="Y1716" s="1705" t="s">
        <v>92</v>
      </c>
      <c r="Z1716" s="1709">
        <f>Z1712+K1715</f>
        <v>68.17</v>
      </c>
      <c r="AA1716" s="1709">
        <f>K1716-Z1716</f>
        <v>1.2999999999999972</v>
      </c>
    </row>
    <row r="1717" spans="1:27" ht="12.75" hidden="1">
      <c r="A1717" s="2114" t="str">
        <f>A1695</f>
        <v>(iii)</v>
      </c>
      <c r="B1717" s="192" t="str">
        <f>B1695</f>
        <v>Second Floor</v>
      </c>
      <c r="C1717" s="568"/>
      <c r="D1717" s="568"/>
      <c r="E1717" s="188" t="str">
        <f>E1713</f>
        <v>Each Sqm</v>
      </c>
      <c r="F1717" s="188"/>
      <c r="G1717" s="2122"/>
      <c r="H1717" s="568"/>
      <c r="I1717" s="2118"/>
      <c r="J1717" s="2123"/>
      <c r="K1717" s="2123"/>
      <c r="L1717" s="192"/>
      <c r="M1717" s="568"/>
    </row>
    <row r="1718" spans="1:27" ht="12.75" hidden="1">
      <c r="A1718" s="2114"/>
      <c r="B1718" s="568" t="str">
        <f>B1696</f>
        <v>Basic Rate in First Floor.</v>
      </c>
      <c r="C1718" s="568"/>
      <c r="D1718" s="568"/>
      <c r="E1718" s="188"/>
      <c r="F1718" s="188"/>
      <c r="G1718" s="2122"/>
      <c r="H1718" s="568"/>
      <c r="I1718" s="2118"/>
      <c r="J1718" s="2123"/>
      <c r="K1718" s="2123">
        <f>K1716</f>
        <v>69.47</v>
      </c>
      <c r="L1718" s="192"/>
      <c r="M1718" s="568"/>
    </row>
    <row r="1719" spans="1:27" ht="12.75" hidden="1">
      <c r="A1719" s="2114"/>
      <c r="B1719" s="568" t="s">
        <v>741</v>
      </c>
      <c r="C1719" s="568"/>
      <c r="D1719" s="568"/>
      <c r="E1719" s="188"/>
      <c r="F1719" s="188"/>
      <c r="G1719" s="2122"/>
      <c r="H1719" s="568"/>
      <c r="I1719" s="2118"/>
      <c r="J1719" s="2123"/>
      <c r="K1719" s="2123">
        <f>K1715+(K1715*5%)</f>
        <v>3.4125000000000001</v>
      </c>
      <c r="L1719" s="192"/>
      <c r="M1719" s="568"/>
    </row>
    <row r="1720" spans="1:27" ht="12.75" hidden="1">
      <c r="A1720" s="2114"/>
      <c r="B1720" s="568"/>
      <c r="C1720" s="568"/>
      <c r="D1720" s="568"/>
      <c r="E1720" s="188"/>
      <c r="F1720" s="188"/>
      <c r="G1720" s="2122"/>
      <c r="H1720" s="568"/>
      <c r="I1720" s="2118"/>
      <c r="J1720" s="2114" t="s">
        <v>718</v>
      </c>
      <c r="K1720" s="2124">
        <f>SUM(K1718:K1719)</f>
        <v>72.882499999999993</v>
      </c>
      <c r="L1720" s="192" t="s">
        <v>730</v>
      </c>
      <c r="M1720" s="568"/>
      <c r="Y1720" s="1705" t="s">
        <v>92</v>
      </c>
      <c r="Z1720" s="1709">
        <f>Z1716+K1719</f>
        <v>71.582499999999996</v>
      </c>
      <c r="AA1720" s="1709">
        <f>K1720-Z1720</f>
        <v>1.2999999999999972</v>
      </c>
    </row>
    <row r="1721" spans="1:27" ht="12.75" hidden="1">
      <c r="A1721" s="2114" t="str">
        <f>A1699</f>
        <v>(iv)</v>
      </c>
      <c r="B1721" s="192" t="str">
        <f>B1699</f>
        <v>Third Floor</v>
      </c>
      <c r="C1721" s="568"/>
      <c r="D1721" s="568"/>
      <c r="E1721" s="188" t="str">
        <f>E1717</f>
        <v>Each Sqm</v>
      </c>
      <c r="F1721" s="188"/>
      <c r="G1721" s="2122"/>
      <c r="H1721" s="568"/>
      <c r="I1721" s="2118"/>
      <c r="J1721" s="2123"/>
      <c r="K1721" s="2123"/>
      <c r="L1721" s="192"/>
      <c r="M1721" s="568"/>
    </row>
    <row r="1722" spans="1:27" ht="12.75" hidden="1">
      <c r="A1722" s="2114"/>
      <c r="B1722" s="568" t="str">
        <f>B1700</f>
        <v>Basic Rate in First Floor.</v>
      </c>
      <c r="C1722" s="568"/>
      <c r="D1722" s="568"/>
      <c r="E1722" s="188"/>
      <c r="F1722" s="188"/>
      <c r="G1722" s="2122"/>
      <c r="H1722" s="568"/>
      <c r="I1722" s="2118"/>
      <c r="J1722" s="2123"/>
      <c r="K1722" s="2123">
        <f>K1720</f>
        <v>72.882499999999993</v>
      </c>
      <c r="L1722" s="192"/>
      <c r="M1722" s="568"/>
    </row>
    <row r="1723" spans="1:27" ht="12.75" hidden="1">
      <c r="A1723" s="2114"/>
      <c r="B1723" s="568" t="s">
        <v>741</v>
      </c>
      <c r="C1723" s="568"/>
      <c r="D1723" s="568"/>
      <c r="E1723" s="188"/>
      <c r="F1723" s="188"/>
      <c r="G1723" s="2122"/>
      <c r="H1723" s="568"/>
      <c r="I1723" s="2118"/>
      <c r="J1723" s="2123"/>
      <c r="K1723" s="2123">
        <f>K1719+(K1719*5%)</f>
        <v>3.5831249999999999</v>
      </c>
      <c r="L1723" s="192"/>
      <c r="M1723" s="568"/>
    </row>
    <row r="1724" spans="1:27" ht="12.75" hidden="1">
      <c r="A1724" s="2114"/>
      <c r="B1724" s="568"/>
      <c r="C1724" s="568"/>
      <c r="D1724" s="568"/>
      <c r="E1724" s="188"/>
      <c r="F1724" s="188"/>
      <c r="G1724" s="2122"/>
      <c r="H1724" s="568"/>
      <c r="I1724" s="2118"/>
      <c r="J1724" s="2114" t="s">
        <v>718</v>
      </c>
      <c r="K1724" s="2124">
        <f>SUM(K1722:K1723)</f>
        <v>76.465624999999989</v>
      </c>
      <c r="L1724" s="192" t="s">
        <v>730</v>
      </c>
      <c r="M1724" s="568"/>
      <c r="Y1724" s="1705" t="s">
        <v>92</v>
      </c>
      <c r="Z1724" s="1709">
        <f>Z1720+K1723</f>
        <v>75.165624999999991</v>
      </c>
      <c r="AA1724" s="1709">
        <f>K1724-Z1724</f>
        <v>1.2999999999999972</v>
      </c>
    </row>
    <row r="1725" spans="1:27" ht="71.25" hidden="1" customHeight="1">
      <c r="A1725" s="2114">
        <f>A365</f>
        <v>20</v>
      </c>
      <c r="B1725" s="3017" t="str">
        <f>B365</f>
        <v>Scarping Plaster in Lime or Cement Mortar from Brick/ Stone Masonry including T&amp;P, sorting the dismantled material, disposal of unserviceable material and stacking the serviceable material with all lifts and lead of 1000 metres etc complete as per specification and direction of Engineer-in-Charge.</v>
      </c>
      <c r="C1725" s="3017"/>
      <c r="D1725" s="3017"/>
      <c r="E1725" s="2116" t="str">
        <f>G365</f>
        <v>Each Sqm</v>
      </c>
      <c r="F1725" s="2116"/>
      <c r="G1725" s="2117"/>
      <c r="H1725" s="2117"/>
      <c r="I1725" s="2118"/>
      <c r="J1725" s="2117"/>
      <c r="K1725" s="2117"/>
      <c r="L1725" s="2119"/>
      <c r="M1725" s="2117"/>
      <c r="N1725" s="2111"/>
      <c r="O1725" s="2111"/>
      <c r="P1725" s="2111"/>
    </row>
    <row r="1726" spans="1:27" ht="12.75" hidden="1">
      <c r="A1726" s="2114" t="str">
        <f>A366</f>
        <v>(i)</v>
      </c>
      <c r="B1726" s="192" t="str">
        <f>B366</f>
        <v>Ground Floor</v>
      </c>
      <c r="C1726" s="675"/>
      <c r="D1726" s="675"/>
      <c r="E1726" s="188" t="str">
        <f>E1725</f>
        <v>Each Sqm</v>
      </c>
      <c r="F1726" s="188"/>
      <c r="G1726" s="2117"/>
      <c r="H1726" s="2117"/>
      <c r="I1726" s="2118"/>
      <c r="J1726" s="2117"/>
      <c r="K1726" s="2117"/>
      <c r="L1726" s="2119"/>
      <c r="M1726" s="2117"/>
      <c r="N1726" s="2111"/>
      <c r="O1726" s="2111"/>
      <c r="P1726" s="2111"/>
    </row>
    <row r="1727" spans="1:27" ht="12.75" hidden="1">
      <c r="A1727" s="2114"/>
      <c r="B1727" s="568" t="s">
        <v>743</v>
      </c>
      <c r="C1727" s="568"/>
      <c r="D1727" s="568"/>
      <c r="E1727" s="2121"/>
      <c r="F1727" s="2121"/>
      <c r="G1727" s="568"/>
      <c r="H1727" s="2117"/>
      <c r="I1727" s="2118"/>
      <c r="J1727" s="568"/>
      <c r="K1727" s="568"/>
      <c r="L1727" s="2119"/>
      <c r="M1727" s="2117"/>
      <c r="N1727" s="2111"/>
      <c r="O1727" s="2111"/>
      <c r="P1727" s="2111"/>
    </row>
    <row r="1728" spans="1:27" ht="12.75" hidden="1">
      <c r="A1728" s="2114"/>
      <c r="B1728" s="192" t="s">
        <v>715</v>
      </c>
      <c r="C1728" s="192"/>
      <c r="D1728" s="568"/>
      <c r="E1728" s="2121"/>
      <c r="F1728" s="2121"/>
      <c r="G1728" s="568"/>
      <c r="H1728" s="2117"/>
      <c r="I1728" s="2118"/>
      <c r="J1728" s="568"/>
      <c r="K1728" s="568"/>
      <c r="L1728" s="2119"/>
      <c r="M1728" s="2117"/>
      <c r="N1728" s="2111"/>
      <c r="O1728" s="2111"/>
      <c r="P1728" s="2111"/>
    </row>
    <row r="1729" spans="1:27" ht="12.75" hidden="1">
      <c r="A1729" s="2114"/>
      <c r="B1729" s="568" t="s">
        <v>744</v>
      </c>
      <c r="C1729" s="568"/>
      <c r="D1729" s="568"/>
      <c r="E1729" s="2121"/>
      <c r="F1729" s="2121"/>
      <c r="G1729" s="2122">
        <v>0.16</v>
      </c>
      <c r="H1729" s="2117" t="s">
        <v>262</v>
      </c>
      <c r="I1729" s="2118" t="s">
        <v>38</v>
      </c>
      <c r="J1729" s="2123">
        <f>L135</f>
        <v>385</v>
      </c>
      <c r="K1729" s="2123">
        <f>ROUND(G1729*J1729,2)</f>
        <v>61.6</v>
      </c>
      <c r="L1729" s="2119"/>
      <c r="M1729" s="2117"/>
      <c r="N1729" s="2111"/>
      <c r="O1729" s="2111"/>
      <c r="P1729" s="2111"/>
    </row>
    <row r="1730" spans="1:27" ht="12.75" hidden="1">
      <c r="A1730" s="2114"/>
      <c r="B1730" s="568" t="s">
        <v>717</v>
      </c>
      <c r="C1730" s="568"/>
      <c r="D1730" s="568"/>
      <c r="E1730" s="2121"/>
      <c r="F1730" s="2121"/>
      <c r="G1730" s="2122">
        <v>4</v>
      </c>
      <c r="H1730" s="2117" t="s">
        <v>262</v>
      </c>
      <c r="I1730" s="2118" t="s">
        <v>38</v>
      </c>
      <c r="J1730" s="2123">
        <f>L134</f>
        <v>345</v>
      </c>
      <c r="K1730" s="2123">
        <f>ROUND(G1730*J1730,2)</f>
        <v>1380</v>
      </c>
      <c r="L1730" s="2119"/>
      <c r="M1730" s="2117"/>
      <c r="N1730" s="2111"/>
      <c r="O1730" s="2111"/>
      <c r="P1730" s="2111"/>
    </row>
    <row r="1731" spans="1:27" ht="12.75" hidden="1">
      <c r="A1731" s="2114"/>
      <c r="B1731" s="568"/>
      <c r="C1731" s="568"/>
      <c r="D1731" s="568"/>
      <c r="E1731" s="2121"/>
      <c r="F1731" s="2121"/>
      <c r="G1731" s="2122"/>
      <c r="H1731" s="2117"/>
      <c r="I1731" s="2118"/>
      <c r="J1731" s="2114" t="s">
        <v>718</v>
      </c>
      <c r="K1731" s="2124">
        <f>SUM(K1729:K1730)</f>
        <v>1441.6</v>
      </c>
      <c r="L1731" s="2119"/>
      <c r="M1731" s="2117"/>
      <c r="N1731" s="2111"/>
      <c r="O1731" s="2111"/>
      <c r="P1731" s="2111"/>
    </row>
    <row r="1732" spans="1:27" ht="12.75" hidden="1">
      <c r="A1732" s="2114"/>
      <c r="B1732" s="192"/>
      <c r="C1732" s="568"/>
      <c r="D1732" s="568"/>
      <c r="E1732" s="2121"/>
      <c r="F1732" s="2121"/>
      <c r="G1732" s="568"/>
      <c r="H1732" s="2117"/>
      <c r="I1732" s="2118"/>
      <c r="J1732" s="568"/>
      <c r="K1732" s="2124"/>
      <c r="L1732" s="2119"/>
      <c r="M1732" s="2117"/>
      <c r="N1732" s="2111"/>
      <c r="O1732" s="2111"/>
      <c r="P1732" s="2111"/>
    </row>
    <row r="1733" spans="1:27" ht="12.75" hidden="1">
      <c r="A1733" s="2114"/>
      <c r="B1733" s="192" t="s">
        <v>745</v>
      </c>
      <c r="C1733" s="568"/>
      <c r="D1733" s="568"/>
      <c r="E1733" s="2121"/>
      <c r="F1733" s="2121"/>
      <c r="G1733" s="568"/>
      <c r="H1733" s="2117"/>
      <c r="I1733" s="2118"/>
      <c r="J1733" s="568"/>
      <c r="K1733" s="2124"/>
      <c r="L1733" s="2119"/>
      <c r="M1733" s="2117"/>
      <c r="N1733" s="2111"/>
      <c r="O1733" s="2111"/>
      <c r="P1733" s="2111"/>
    </row>
    <row r="1734" spans="1:27" ht="12.75" hidden="1">
      <c r="A1734" s="2114"/>
      <c r="B1734" s="192" t="s">
        <v>746</v>
      </c>
      <c r="C1734" s="568"/>
      <c r="D1734" s="568"/>
      <c r="E1734" s="2121"/>
      <c r="F1734" s="2121"/>
      <c r="G1734" s="2122">
        <v>0.32</v>
      </c>
      <c r="H1734" s="2117" t="s">
        <v>747</v>
      </c>
      <c r="I1734" s="2118" t="s">
        <v>747</v>
      </c>
      <c r="J1734" s="2123">
        <f>G237</f>
        <v>357.55</v>
      </c>
      <c r="K1734" s="2123">
        <f>ROUND(G1734*J1734,2)</f>
        <v>114.42</v>
      </c>
      <c r="L1734" s="2119"/>
      <c r="M1734" s="2117"/>
      <c r="N1734" s="2111"/>
      <c r="O1734" s="2111"/>
      <c r="P1734" s="2111"/>
    </row>
    <row r="1735" spans="1:27" ht="12.75" hidden="1">
      <c r="A1735" s="2114"/>
      <c r="B1735" s="192"/>
      <c r="C1735" s="568"/>
      <c r="D1735" s="568"/>
      <c r="E1735" s="2121"/>
      <c r="F1735" s="2121"/>
      <c r="G1735" s="568"/>
      <c r="H1735" s="2117"/>
      <c r="I1735" s="2118"/>
      <c r="J1735" s="568"/>
      <c r="K1735" s="2124"/>
      <c r="L1735" s="2119"/>
      <c r="M1735" s="2117"/>
      <c r="N1735" s="2111"/>
      <c r="O1735" s="2111"/>
      <c r="P1735" s="2111"/>
    </row>
    <row r="1736" spans="1:27" ht="12.75" hidden="1">
      <c r="A1736" s="2114"/>
      <c r="B1736" s="568" t="s">
        <v>748</v>
      </c>
      <c r="C1736" s="568"/>
      <c r="D1736" s="568"/>
      <c r="E1736" s="2121"/>
      <c r="F1736" s="2121"/>
      <c r="G1736" s="568"/>
      <c r="H1736" s="2117"/>
      <c r="I1736" s="2118"/>
      <c r="J1736" s="568"/>
      <c r="K1736" s="2124">
        <f>SUM(K1731:K1734)</f>
        <v>1556.02</v>
      </c>
      <c r="L1736" s="2119"/>
      <c r="M1736" s="2117"/>
      <c r="N1736" s="2111"/>
      <c r="O1736" s="2111"/>
      <c r="P1736" s="2111"/>
    </row>
    <row r="1737" spans="1:27" ht="12.75" hidden="1">
      <c r="A1737" s="2114"/>
      <c r="B1737" s="568" t="s">
        <v>749</v>
      </c>
      <c r="C1737" s="568"/>
      <c r="D1737" s="568"/>
      <c r="E1737" s="2121"/>
      <c r="F1737" s="2121"/>
      <c r="G1737" s="568"/>
      <c r="H1737" s="2117"/>
      <c r="I1737" s="2118"/>
      <c r="J1737" s="2114" t="s">
        <v>718</v>
      </c>
      <c r="K1737" s="2124">
        <f>ROUND(K1736/100,2)</f>
        <v>15.56</v>
      </c>
      <c r="L1737" s="192" t="s">
        <v>730</v>
      </c>
      <c r="M1737" s="2117"/>
      <c r="N1737" s="2111"/>
      <c r="O1737" s="2111"/>
      <c r="P1737" s="2111"/>
      <c r="Y1737" s="1705" t="s">
        <v>92</v>
      </c>
      <c r="Z1737" s="1709">
        <f>ROUND(K1731/9.3,2)</f>
        <v>155.01</v>
      </c>
      <c r="AA1737" s="1709">
        <f>K1737-Z1737</f>
        <v>-139.44999999999999</v>
      </c>
    </row>
    <row r="1738" spans="1:27" ht="12.75" hidden="1">
      <c r="A1738" s="2114" t="str">
        <f>A367</f>
        <v>(ii)</v>
      </c>
      <c r="B1738" s="192" t="str">
        <f>B367</f>
        <v>First Floor</v>
      </c>
      <c r="C1738" s="568"/>
      <c r="D1738" s="568"/>
      <c r="E1738" s="188" t="str">
        <f>E1726</f>
        <v>Each Sqm</v>
      </c>
      <c r="F1738" s="188"/>
      <c r="G1738" s="2122"/>
      <c r="H1738" s="568"/>
      <c r="I1738" s="2118"/>
      <c r="J1738" s="2123"/>
      <c r="K1738" s="2123"/>
      <c r="L1738" s="192"/>
      <c r="M1738" s="568"/>
    </row>
    <row r="1739" spans="1:27" ht="12.75" hidden="1">
      <c r="A1739" s="2114"/>
      <c r="B1739" s="568" t="s">
        <v>722</v>
      </c>
      <c r="C1739" s="568"/>
      <c r="D1739" s="568"/>
      <c r="E1739" s="188"/>
      <c r="F1739" s="188"/>
      <c r="G1739" s="2122"/>
      <c r="H1739" s="568"/>
      <c r="I1739" s="2118"/>
      <c r="J1739" s="2123"/>
      <c r="K1739" s="2123">
        <f>K1737</f>
        <v>15.56</v>
      </c>
      <c r="L1739" s="192"/>
      <c r="M1739" s="568"/>
    </row>
    <row r="1740" spans="1:27" ht="12.75" hidden="1">
      <c r="A1740" s="2114"/>
      <c r="B1740" s="568" t="s">
        <v>741</v>
      </c>
      <c r="C1740" s="568"/>
      <c r="D1740" s="568"/>
      <c r="E1740" s="188"/>
      <c r="F1740" s="188"/>
      <c r="G1740" s="2122"/>
      <c r="H1740" s="568"/>
      <c r="I1740" s="2118"/>
      <c r="J1740" s="2123"/>
      <c r="K1740" s="2123">
        <f>ROUND(K1731/100*1*5%,2)</f>
        <v>0.72</v>
      </c>
      <c r="L1740" s="192"/>
      <c r="M1740" s="568"/>
    </row>
    <row r="1741" spans="1:27" ht="12.75" hidden="1">
      <c r="A1741" s="2114"/>
      <c r="B1741" s="568"/>
      <c r="C1741" s="568"/>
      <c r="D1741" s="568"/>
      <c r="E1741" s="188"/>
      <c r="F1741" s="188"/>
      <c r="G1741" s="2122"/>
      <c r="H1741" s="568"/>
      <c r="I1741" s="2118"/>
      <c r="J1741" s="2114" t="s">
        <v>718</v>
      </c>
      <c r="K1741" s="2124">
        <f>SUM(K1739:K1740)</f>
        <v>16.28</v>
      </c>
      <c r="L1741" s="192" t="s">
        <v>730</v>
      </c>
      <c r="M1741" s="568"/>
      <c r="Y1741" s="1705" t="s">
        <v>92</v>
      </c>
      <c r="Z1741" s="1709">
        <f>Z1737+K1740</f>
        <v>155.72999999999999</v>
      </c>
      <c r="AA1741" s="1709">
        <f>K1741-Z1741</f>
        <v>-139.44999999999999</v>
      </c>
    </row>
    <row r="1742" spans="1:27" ht="12.75" hidden="1">
      <c r="A1742" s="2114" t="str">
        <f>A1717</f>
        <v>(iii)</v>
      </c>
      <c r="B1742" s="192" t="str">
        <f>B1717</f>
        <v>Second Floor</v>
      </c>
      <c r="C1742" s="568"/>
      <c r="D1742" s="568"/>
      <c r="E1742" s="188" t="str">
        <f>E1738</f>
        <v>Each Sqm</v>
      </c>
      <c r="F1742" s="188"/>
      <c r="G1742" s="2122"/>
      <c r="H1742" s="568"/>
      <c r="I1742" s="2118"/>
      <c r="J1742" s="2123"/>
      <c r="K1742" s="2123"/>
      <c r="L1742" s="192"/>
      <c r="M1742" s="568"/>
    </row>
    <row r="1743" spans="1:27" ht="12.75" hidden="1">
      <c r="A1743" s="2114"/>
      <c r="B1743" s="568" t="str">
        <f>B1718</f>
        <v>Basic Rate in First Floor.</v>
      </c>
      <c r="C1743" s="568"/>
      <c r="D1743" s="568"/>
      <c r="E1743" s="188"/>
      <c r="F1743" s="188"/>
      <c r="G1743" s="2122"/>
      <c r="H1743" s="568"/>
      <c r="I1743" s="2118"/>
      <c r="J1743" s="2123"/>
      <c r="K1743" s="2123">
        <f>K1741</f>
        <v>16.28</v>
      </c>
      <c r="L1743" s="192"/>
      <c r="M1743" s="568"/>
    </row>
    <row r="1744" spans="1:27" ht="12.75" hidden="1">
      <c r="A1744" s="2114"/>
      <c r="B1744" s="568" t="s">
        <v>741</v>
      </c>
      <c r="C1744" s="568"/>
      <c r="D1744" s="568"/>
      <c r="E1744" s="188"/>
      <c r="F1744" s="188"/>
      <c r="G1744" s="2122"/>
      <c r="H1744" s="568"/>
      <c r="I1744" s="2118"/>
      <c r="J1744" s="2123"/>
      <c r="K1744" s="2123">
        <f>K1740+(K1740*5%)</f>
        <v>0.75600000000000001</v>
      </c>
      <c r="L1744" s="192"/>
      <c r="M1744" s="568"/>
    </row>
    <row r="1745" spans="1:27" ht="12.75" hidden="1">
      <c r="A1745" s="2114"/>
      <c r="B1745" s="568"/>
      <c r="C1745" s="568"/>
      <c r="D1745" s="568"/>
      <c r="E1745" s="188"/>
      <c r="F1745" s="188"/>
      <c r="G1745" s="2122"/>
      <c r="H1745" s="568"/>
      <c r="I1745" s="2118"/>
      <c r="J1745" s="2114" t="s">
        <v>718</v>
      </c>
      <c r="K1745" s="2124">
        <f>SUM(K1743:K1744)</f>
        <v>17.036000000000001</v>
      </c>
      <c r="L1745" s="192" t="s">
        <v>730</v>
      </c>
      <c r="M1745" s="568"/>
      <c r="Y1745" s="1705" t="s">
        <v>92</v>
      </c>
      <c r="Z1745" s="1709">
        <f>Z1741+K1744</f>
        <v>156.48599999999999</v>
      </c>
      <c r="AA1745" s="1709">
        <f>K1745-Z1745</f>
        <v>-139.44999999999999</v>
      </c>
    </row>
    <row r="1746" spans="1:27" ht="12.75" hidden="1">
      <c r="A1746" s="2114" t="str">
        <f>A1721</f>
        <v>(iv)</v>
      </c>
      <c r="B1746" s="192" t="str">
        <f>B1721</f>
        <v>Third Floor</v>
      </c>
      <c r="C1746" s="568"/>
      <c r="D1746" s="568"/>
      <c r="E1746" s="188" t="str">
        <f>E1742</f>
        <v>Each Sqm</v>
      </c>
      <c r="F1746" s="188"/>
      <c r="G1746" s="2122"/>
      <c r="H1746" s="568"/>
      <c r="I1746" s="2118"/>
      <c r="J1746" s="2123"/>
      <c r="K1746" s="2123"/>
      <c r="L1746" s="192"/>
      <c r="M1746" s="568"/>
    </row>
    <row r="1747" spans="1:27" ht="12.75" hidden="1">
      <c r="A1747" s="2114"/>
      <c r="B1747" s="568" t="str">
        <f>B1722</f>
        <v>Basic Rate in First Floor.</v>
      </c>
      <c r="C1747" s="568"/>
      <c r="D1747" s="568"/>
      <c r="E1747" s="188"/>
      <c r="F1747" s="188"/>
      <c r="G1747" s="2122"/>
      <c r="H1747" s="568"/>
      <c r="I1747" s="2118"/>
      <c r="J1747" s="2123"/>
      <c r="K1747" s="2123">
        <f>K1745</f>
        <v>17.036000000000001</v>
      </c>
      <c r="L1747" s="192"/>
      <c r="M1747" s="568"/>
    </row>
    <row r="1748" spans="1:27" ht="12.75" hidden="1">
      <c r="A1748" s="2114"/>
      <c r="B1748" s="568" t="s">
        <v>741</v>
      </c>
      <c r="C1748" s="568"/>
      <c r="D1748" s="568"/>
      <c r="E1748" s="188"/>
      <c r="F1748" s="188"/>
      <c r="G1748" s="2122"/>
      <c r="H1748" s="568"/>
      <c r="I1748" s="2118"/>
      <c r="J1748" s="2123"/>
      <c r="K1748" s="2123">
        <f>K1744+(K1744*5%)</f>
        <v>0.79380000000000006</v>
      </c>
      <c r="L1748" s="192"/>
      <c r="M1748" s="568"/>
    </row>
    <row r="1749" spans="1:27" ht="12.75" hidden="1">
      <c r="A1749" s="2114"/>
      <c r="B1749" s="568"/>
      <c r="C1749" s="568"/>
      <c r="D1749" s="568"/>
      <c r="E1749" s="188"/>
      <c r="F1749" s="188"/>
      <c r="G1749" s="2122"/>
      <c r="H1749" s="568"/>
      <c r="I1749" s="2118"/>
      <c r="J1749" s="2114" t="s">
        <v>718</v>
      </c>
      <c r="K1749" s="2124">
        <f>SUM(K1747:K1748)</f>
        <v>17.829800000000002</v>
      </c>
      <c r="L1749" s="192" t="s">
        <v>730</v>
      </c>
      <c r="M1749" s="568"/>
      <c r="Y1749" s="1705" t="s">
        <v>92</v>
      </c>
      <c r="Z1749" s="1709">
        <f>Z1745+K1748</f>
        <v>157.27979999999999</v>
      </c>
      <c r="AA1749" s="1709">
        <f>K1749-Z1749</f>
        <v>-139.44999999999999</v>
      </c>
    </row>
    <row r="1750" spans="1:27" ht="68.45" hidden="1" customHeight="1">
      <c r="A1750" s="2114">
        <f>A370</f>
        <v>21</v>
      </c>
      <c r="B1750" s="3017" t="str">
        <f>B370</f>
        <v>Scraping of Bricks dismantled from Brick Work in lime or cement mortar including T&amp;P, sorting the dismantled material, disposal of unserviceable material and stacking the serviceable material with all lifts and lead of 1000 metres etc complete as per specification and direction of Engineer-in-Charge.</v>
      </c>
      <c r="C1750" s="3017"/>
      <c r="D1750" s="3017"/>
      <c r="E1750" s="2116" t="str">
        <f>G370</f>
        <v>Each Sqm</v>
      </c>
      <c r="F1750" s="2116"/>
      <c r="G1750" s="2117"/>
      <c r="H1750" s="2117"/>
      <c r="I1750" s="2118"/>
      <c r="J1750" s="2117"/>
      <c r="K1750" s="2117"/>
      <c r="L1750" s="2119"/>
      <c r="M1750" s="2117"/>
      <c r="N1750" s="2111"/>
      <c r="O1750" s="2111"/>
      <c r="P1750" s="2111"/>
    </row>
    <row r="1751" spans="1:27" ht="12.75" hidden="1">
      <c r="A1751" s="2114" t="str">
        <f>A371</f>
        <v>(i)</v>
      </c>
      <c r="B1751" s="192" t="str">
        <f>B371</f>
        <v>Ground Floor</v>
      </c>
      <c r="C1751" s="675"/>
      <c r="D1751" s="675"/>
      <c r="E1751" s="188" t="str">
        <f>E1750</f>
        <v>Each Sqm</v>
      </c>
      <c r="F1751" s="188"/>
      <c r="G1751" s="2117"/>
      <c r="H1751" s="2117"/>
      <c r="I1751" s="2118"/>
      <c r="J1751" s="2117"/>
      <c r="K1751" s="2117"/>
      <c r="L1751" s="2119"/>
      <c r="M1751" s="2117"/>
      <c r="N1751" s="2111"/>
      <c r="O1751" s="2111"/>
      <c r="P1751" s="2111"/>
    </row>
    <row r="1752" spans="1:27" ht="12.75" hidden="1">
      <c r="A1752" s="2114"/>
      <c r="B1752" s="568" t="s">
        <v>750</v>
      </c>
      <c r="C1752" s="568"/>
      <c r="D1752" s="568"/>
      <c r="E1752" s="2121"/>
      <c r="F1752" s="2121"/>
      <c r="G1752" s="568"/>
      <c r="H1752" s="2117"/>
      <c r="I1752" s="2118"/>
      <c r="J1752" s="568"/>
      <c r="K1752" s="568"/>
      <c r="L1752" s="2119"/>
      <c r="M1752" s="2117"/>
      <c r="N1752" s="2111"/>
      <c r="O1752" s="2111"/>
      <c r="P1752" s="2111"/>
    </row>
    <row r="1753" spans="1:27" ht="12.75" hidden="1">
      <c r="A1753" s="2114"/>
      <c r="B1753" s="192" t="s">
        <v>715</v>
      </c>
      <c r="C1753" s="192"/>
      <c r="D1753" s="568"/>
      <c r="E1753" s="2121"/>
      <c r="F1753" s="2121"/>
      <c r="G1753" s="568"/>
      <c r="H1753" s="2117"/>
      <c r="I1753" s="2118"/>
      <c r="J1753" s="568"/>
      <c r="K1753" s="568"/>
      <c r="L1753" s="2119"/>
      <c r="M1753" s="2117"/>
      <c r="N1753" s="2111"/>
      <c r="O1753" s="2111"/>
      <c r="P1753" s="2111"/>
    </row>
    <row r="1754" spans="1:27" ht="12.75" hidden="1">
      <c r="A1754" s="2114"/>
      <c r="B1754" s="568" t="s">
        <v>744</v>
      </c>
      <c r="C1754" s="568"/>
      <c r="D1754" s="568"/>
      <c r="E1754" s="2121"/>
      <c r="F1754" s="2121"/>
      <c r="G1754" s="2122">
        <v>0.14000000000000001</v>
      </c>
      <c r="H1754" s="2117" t="s">
        <v>262</v>
      </c>
      <c r="I1754" s="2118" t="s">
        <v>38</v>
      </c>
      <c r="J1754" s="2123">
        <f>L135</f>
        <v>385</v>
      </c>
      <c r="K1754" s="2123">
        <f>ROUND(G1754*J1754,2)</f>
        <v>53.9</v>
      </c>
      <c r="L1754" s="2119"/>
      <c r="M1754" s="2117"/>
      <c r="N1754" s="2111"/>
      <c r="O1754" s="2111"/>
      <c r="P1754" s="2111"/>
    </row>
    <row r="1755" spans="1:27" ht="12.75" hidden="1">
      <c r="A1755" s="2114"/>
      <c r="B1755" s="568" t="s">
        <v>717</v>
      </c>
      <c r="C1755" s="568"/>
      <c r="D1755" s="568"/>
      <c r="E1755" s="2121"/>
      <c r="F1755" s="2121"/>
      <c r="G1755" s="2122">
        <v>3.5</v>
      </c>
      <c r="H1755" s="2117" t="s">
        <v>262</v>
      </c>
      <c r="I1755" s="2118" t="s">
        <v>38</v>
      </c>
      <c r="J1755" s="2123">
        <f>L134</f>
        <v>345</v>
      </c>
      <c r="K1755" s="2123">
        <f>ROUND(G1755*J1755,2)</f>
        <v>1207.5</v>
      </c>
      <c r="L1755" s="2119"/>
      <c r="M1755" s="2117"/>
      <c r="N1755" s="2111"/>
      <c r="O1755" s="2111"/>
      <c r="P1755" s="2111"/>
    </row>
    <row r="1756" spans="1:27" ht="12.75" hidden="1">
      <c r="A1756" s="2114"/>
      <c r="B1756" s="568"/>
      <c r="C1756" s="568"/>
      <c r="D1756" s="568"/>
      <c r="E1756" s="2121"/>
      <c r="F1756" s="2121"/>
      <c r="G1756" s="2122"/>
      <c r="H1756" s="2117"/>
      <c r="I1756" s="2118"/>
      <c r="J1756" s="2114" t="s">
        <v>718</v>
      </c>
      <c r="K1756" s="2124">
        <f>SUM(K1754:K1755)</f>
        <v>1261.4000000000001</v>
      </c>
      <c r="L1756" s="2119"/>
      <c r="M1756" s="2117"/>
      <c r="N1756" s="2111"/>
      <c r="O1756" s="2111"/>
      <c r="P1756" s="2111"/>
    </row>
    <row r="1757" spans="1:27" ht="12.75" hidden="1">
      <c r="A1757" s="2114"/>
      <c r="B1757" s="192"/>
      <c r="C1757" s="568"/>
      <c r="D1757" s="568"/>
      <c r="E1757" s="2121"/>
      <c r="F1757" s="2121"/>
      <c r="G1757" s="568"/>
      <c r="H1757" s="2117"/>
      <c r="I1757" s="2118"/>
      <c r="J1757" s="568"/>
      <c r="K1757" s="2124"/>
      <c r="L1757" s="2119"/>
      <c r="M1757" s="2117"/>
      <c r="N1757" s="2111"/>
      <c r="O1757" s="2111"/>
      <c r="P1757" s="2111"/>
    </row>
    <row r="1758" spans="1:27" ht="12.75" hidden="1">
      <c r="A1758" s="2114"/>
      <c r="B1758" s="568" t="s">
        <v>751</v>
      </c>
      <c r="C1758" s="568"/>
      <c r="D1758" s="568"/>
      <c r="E1758" s="2121"/>
      <c r="F1758" s="2121"/>
      <c r="G1758" s="568"/>
      <c r="H1758" s="2117"/>
      <c r="I1758" s="2118"/>
      <c r="J1758" s="568"/>
      <c r="K1758" s="2124">
        <f>SUM(K1756:K1756)</f>
        <v>1261.4000000000001</v>
      </c>
      <c r="L1758" s="2119"/>
      <c r="M1758" s="2117"/>
      <c r="N1758" s="2111"/>
      <c r="O1758" s="2111"/>
      <c r="P1758" s="2111"/>
    </row>
    <row r="1759" spans="1:27" ht="12.75" hidden="1">
      <c r="A1759" s="2114"/>
      <c r="B1759" s="568" t="s">
        <v>752</v>
      </c>
      <c r="C1759" s="568"/>
      <c r="D1759" s="568"/>
      <c r="E1759" s="2121"/>
      <c r="F1759" s="2121"/>
      <c r="G1759" s="568"/>
      <c r="H1759" s="2117"/>
      <c r="I1759" s="2118"/>
      <c r="J1759" s="2114" t="s">
        <v>718</v>
      </c>
      <c r="K1759" s="2124">
        <f>ROUND(K1758/1000,2)</f>
        <v>1.26</v>
      </c>
      <c r="L1759" s="192" t="s">
        <v>753</v>
      </c>
      <c r="M1759" s="2117"/>
      <c r="N1759" s="2111"/>
      <c r="O1759" s="2111"/>
      <c r="P1759" s="2111"/>
      <c r="Y1759" s="1705" t="s">
        <v>92</v>
      </c>
      <c r="Z1759" s="1709">
        <f>ROUND(K1756/9.3,2)</f>
        <v>135.63</v>
      </c>
      <c r="AA1759" s="1709">
        <f>K1759-Z1759</f>
        <v>-134.37</v>
      </c>
    </row>
    <row r="1760" spans="1:27" ht="12.75" hidden="1">
      <c r="A1760" s="2114" t="str">
        <f>A372</f>
        <v>(ii)</v>
      </c>
      <c r="B1760" s="192" t="str">
        <f>B372</f>
        <v>First Floor</v>
      </c>
      <c r="C1760" s="568"/>
      <c r="D1760" s="568"/>
      <c r="E1760" s="188" t="str">
        <f>E1751</f>
        <v>Each Sqm</v>
      </c>
      <c r="F1760" s="188"/>
      <c r="G1760" s="2122"/>
      <c r="H1760" s="568"/>
      <c r="I1760" s="2118"/>
      <c r="J1760" s="2123"/>
      <c r="K1760" s="2123"/>
      <c r="L1760" s="192"/>
      <c r="M1760" s="568"/>
    </row>
    <row r="1761" spans="1:27" ht="12.75" hidden="1">
      <c r="A1761" s="2114"/>
      <c r="B1761" s="568" t="s">
        <v>722</v>
      </c>
      <c r="C1761" s="568"/>
      <c r="D1761" s="568"/>
      <c r="E1761" s="188"/>
      <c r="F1761" s="188"/>
      <c r="G1761" s="2122"/>
      <c r="H1761" s="568"/>
      <c r="I1761" s="2118"/>
      <c r="J1761" s="2123"/>
      <c r="K1761" s="2123">
        <f>K1759</f>
        <v>1.26</v>
      </c>
      <c r="L1761" s="192"/>
      <c r="M1761" s="568"/>
    </row>
    <row r="1762" spans="1:27" ht="12.75" hidden="1">
      <c r="A1762" s="2114"/>
      <c r="B1762" s="568" t="s">
        <v>741</v>
      </c>
      <c r="C1762" s="568"/>
      <c r="D1762" s="568"/>
      <c r="E1762" s="188"/>
      <c r="F1762" s="188"/>
      <c r="G1762" s="2122"/>
      <c r="H1762" s="568"/>
      <c r="I1762" s="2118"/>
      <c r="J1762" s="2123"/>
      <c r="K1762" s="2123">
        <f>ROUND(K1756/1000*1*5%,2)</f>
        <v>0.06</v>
      </c>
      <c r="L1762" s="192"/>
      <c r="M1762" s="568"/>
    </row>
    <row r="1763" spans="1:27" ht="12.75" hidden="1">
      <c r="A1763" s="2114"/>
      <c r="B1763" s="568"/>
      <c r="C1763" s="568"/>
      <c r="D1763" s="568"/>
      <c r="E1763" s="188"/>
      <c r="F1763" s="188"/>
      <c r="G1763" s="2122"/>
      <c r="H1763" s="568"/>
      <c r="I1763" s="2118"/>
      <c r="J1763" s="2114" t="s">
        <v>718</v>
      </c>
      <c r="K1763" s="2124">
        <f>SUM(K1761:K1762)</f>
        <v>1.32</v>
      </c>
      <c r="L1763" s="192" t="s">
        <v>753</v>
      </c>
      <c r="M1763" s="568"/>
      <c r="Y1763" s="1705" t="s">
        <v>92</v>
      </c>
      <c r="Z1763" s="1709">
        <f>Z1759+K1762</f>
        <v>135.69</v>
      </c>
      <c r="AA1763" s="1709">
        <f>K1763-Z1763</f>
        <v>-134.37</v>
      </c>
    </row>
    <row r="1764" spans="1:27" ht="12.75" hidden="1">
      <c r="A1764" s="2114" t="str">
        <f>A1742</f>
        <v>(iii)</v>
      </c>
      <c r="B1764" s="192" t="str">
        <f>B1742</f>
        <v>Second Floor</v>
      </c>
      <c r="C1764" s="568"/>
      <c r="D1764" s="568"/>
      <c r="E1764" s="188" t="str">
        <f>E1760</f>
        <v>Each Sqm</v>
      </c>
      <c r="F1764" s="188"/>
      <c r="G1764" s="2122"/>
      <c r="H1764" s="568"/>
      <c r="I1764" s="2118"/>
      <c r="J1764" s="2123"/>
      <c r="K1764" s="2123"/>
      <c r="L1764" s="192"/>
      <c r="M1764" s="568"/>
    </row>
    <row r="1765" spans="1:27" ht="12.75" hidden="1">
      <c r="A1765" s="2114"/>
      <c r="B1765" s="568" t="str">
        <f>B1743</f>
        <v>Basic Rate in First Floor.</v>
      </c>
      <c r="C1765" s="568"/>
      <c r="D1765" s="568"/>
      <c r="E1765" s="188"/>
      <c r="F1765" s="188"/>
      <c r="G1765" s="2122"/>
      <c r="H1765" s="568"/>
      <c r="I1765" s="2118"/>
      <c r="J1765" s="2123"/>
      <c r="K1765" s="2123">
        <f>K1763</f>
        <v>1.32</v>
      </c>
      <c r="L1765" s="192"/>
      <c r="M1765" s="568"/>
    </row>
    <row r="1766" spans="1:27" ht="12.75" hidden="1">
      <c r="A1766" s="2114"/>
      <c r="B1766" s="568" t="s">
        <v>741</v>
      </c>
      <c r="C1766" s="568"/>
      <c r="D1766" s="568"/>
      <c r="E1766" s="188"/>
      <c r="F1766" s="188"/>
      <c r="G1766" s="2122"/>
      <c r="H1766" s="568"/>
      <c r="I1766" s="2118"/>
      <c r="J1766" s="2123"/>
      <c r="K1766" s="2123">
        <f>K1762+(K1762*5%)</f>
        <v>6.3E-2</v>
      </c>
      <c r="L1766" s="192"/>
      <c r="M1766" s="568"/>
    </row>
    <row r="1767" spans="1:27" ht="12.75" hidden="1">
      <c r="A1767" s="2114"/>
      <c r="B1767" s="568"/>
      <c r="C1767" s="568"/>
      <c r="D1767" s="568"/>
      <c r="E1767" s="188"/>
      <c r="F1767" s="188"/>
      <c r="G1767" s="2122"/>
      <c r="H1767" s="568"/>
      <c r="I1767" s="2118"/>
      <c r="J1767" s="2114" t="s">
        <v>718</v>
      </c>
      <c r="K1767" s="2124">
        <f>SUM(K1765:K1766)</f>
        <v>1.383</v>
      </c>
      <c r="L1767" s="192" t="s">
        <v>753</v>
      </c>
      <c r="M1767" s="568"/>
      <c r="Y1767" s="1705" t="s">
        <v>92</v>
      </c>
      <c r="Z1767" s="1709">
        <f>Z1763+K1766</f>
        <v>135.75299999999999</v>
      </c>
      <c r="AA1767" s="1709">
        <f>K1767-Z1767</f>
        <v>-134.36999999999998</v>
      </c>
    </row>
    <row r="1768" spans="1:27" ht="12.75" hidden="1">
      <c r="A1768" s="2114" t="str">
        <f>A1746</f>
        <v>(iv)</v>
      </c>
      <c r="B1768" s="192" t="str">
        <f>B1746</f>
        <v>Third Floor</v>
      </c>
      <c r="C1768" s="568"/>
      <c r="D1768" s="568"/>
      <c r="E1768" s="188" t="str">
        <f>E1764</f>
        <v>Each Sqm</v>
      </c>
      <c r="F1768" s="188"/>
      <c r="G1768" s="2122"/>
      <c r="H1768" s="568"/>
      <c r="I1768" s="2118"/>
      <c r="J1768" s="2123"/>
      <c r="K1768" s="2123"/>
      <c r="L1768" s="192"/>
      <c r="M1768" s="568"/>
    </row>
    <row r="1769" spans="1:27" ht="12.75" hidden="1">
      <c r="A1769" s="2114"/>
      <c r="B1769" s="568" t="str">
        <f>B1747</f>
        <v>Basic Rate in First Floor.</v>
      </c>
      <c r="C1769" s="568"/>
      <c r="D1769" s="568"/>
      <c r="E1769" s="188"/>
      <c r="F1769" s="188"/>
      <c r="G1769" s="2122"/>
      <c r="H1769" s="568"/>
      <c r="I1769" s="2118"/>
      <c r="J1769" s="2123"/>
      <c r="K1769" s="2123">
        <f>K1767</f>
        <v>1.383</v>
      </c>
      <c r="L1769" s="192"/>
      <c r="M1769" s="568"/>
    </row>
    <row r="1770" spans="1:27" ht="12.75" hidden="1">
      <c r="A1770" s="2114"/>
      <c r="B1770" s="568" t="s">
        <v>741</v>
      </c>
      <c r="C1770" s="568"/>
      <c r="D1770" s="568"/>
      <c r="E1770" s="188"/>
      <c r="F1770" s="188"/>
      <c r="G1770" s="2122"/>
      <c r="H1770" s="568"/>
      <c r="I1770" s="2118"/>
      <c r="J1770" s="2123"/>
      <c r="K1770" s="2123">
        <f>K1766+(K1766*5%)</f>
        <v>6.615E-2</v>
      </c>
      <c r="L1770" s="192"/>
      <c r="M1770" s="568"/>
    </row>
    <row r="1771" spans="1:27" ht="12.75" hidden="1">
      <c r="A1771" s="2114"/>
      <c r="B1771" s="568"/>
      <c r="C1771" s="568"/>
      <c r="D1771" s="568"/>
      <c r="E1771" s="188"/>
      <c r="F1771" s="188"/>
      <c r="G1771" s="2122"/>
      <c r="H1771" s="568"/>
      <c r="I1771" s="2118"/>
      <c r="J1771" s="2114" t="s">
        <v>718</v>
      </c>
      <c r="K1771" s="2124">
        <f>SUM(K1769:K1770)</f>
        <v>1.4491499999999999</v>
      </c>
      <c r="L1771" s="192" t="s">
        <v>753</v>
      </c>
      <c r="M1771" s="568"/>
      <c r="Y1771" s="1705" t="s">
        <v>92</v>
      </c>
      <c r="Z1771" s="1709">
        <f>Z1767+K1770</f>
        <v>135.81914999999998</v>
      </c>
      <c r="AA1771" s="1709">
        <f>K1771-Z1771</f>
        <v>-134.36999999999998</v>
      </c>
    </row>
    <row r="1772" spans="1:27" ht="82.9" hidden="1" customHeight="1">
      <c r="A1772" s="2114">
        <f>A375</f>
        <v>22</v>
      </c>
      <c r="B1772" s="3017" t="str">
        <f>B375</f>
        <v>Dismantling Wood Work wrought framed and fixed in frames of trusses upto a height of 5 m above plinth level including T&amp;P and scaffolding wherever necessary, sorting the dismantled material, disposal of unserviceable material and stacking the serviceable material with all lifts and lead of 1000 metres etc complete as per specification and direction of Engineer-in-Charge.</v>
      </c>
      <c r="C1772" s="3017"/>
      <c r="D1772" s="3017"/>
      <c r="E1772" s="2116" t="str">
        <f>G408</f>
        <v>Each Cum</v>
      </c>
      <c r="F1772" s="2116"/>
      <c r="G1772" s="2117"/>
      <c r="H1772" s="2117"/>
      <c r="I1772" s="2118"/>
      <c r="J1772" s="2117"/>
      <c r="K1772" s="2117"/>
      <c r="L1772" s="2119"/>
      <c r="M1772" s="2117"/>
      <c r="N1772" s="2111"/>
      <c r="O1772" s="2111"/>
      <c r="P1772" s="2111"/>
    </row>
    <row r="1773" spans="1:27" ht="12.75" hidden="1">
      <c r="A1773" s="2114" t="str">
        <f>A376</f>
        <v>(i)</v>
      </c>
      <c r="B1773" s="192" t="str">
        <f>B376</f>
        <v>Ground Floor</v>
      </c>
      <c r="C1773" s="675"/>
      <c r="D1773" s="675"/>
      <c r="E1773" s="188" t="str">
        <f>E1772</f>
        <v>Each Cum</v>
      </c>
      <c r="F1773" s="188"/>
      <c r="G1773" s="2117"/>
      <c r="H1773" s="2117"/>
      <c r="I1773" s="2118"/>
      <c r="J1773" s="2117"/>
      <c r="K1773" s="2117"/>
      <c r="L1773" s="2119"/>
      <c r="M1773" s="2117"/>
      <c r="N1773" s="2111"/>
      <c r="O1773" s="2111"/>
      <c r="P1773" s="2111"/>
    </row>
    <row r="1774" spans="1:27" ht="12.75" hidden="1">
      <c r="A1774" s="2114"/>
      <c r="B1774" s="568" t="s">
        <v>754</v>
      </c>
      <c r="C1774" s="568"/>
      <c r="D1774" s="568"/>
      <c r="E1774" s="2121"/>
      <c r="F1774" s="2121"/>
      <c r="G1774" s="568"/>
      <c r="H1774" s="2117"/>
      <c r="I1774" s="2118"/>
      <c r="J1774" s="568"/>
      <c r="K1774" s="568"/>
      <c r="L1774" s="2119"/>
      <c r="M1774" s="2117"/>
      <c r="N1774" s="2111"/>
      <c r="O1774" s="2111"/>
      <c r="P1774" s="2111"/>
    </row>
    <row r="1775" spans="1:27" ht="12.75" hidden="1">
      <c r="A1775" s="2114"/>
      <c r="B1775" s="192" t="s">
        <v>715</v>
      </c>
      <c r="C1775" s="192"/>
      <c r="D1775" s="568"/>
      <c r="E1775" s="2121"/>
      <c r="F1775" s="2121"/>
      <c r="G1775" s="568"/>
      <c r="H1775" s="2117"/>
      <c r="I1775" s="2118"/>
      <c r="J1775" s="568"/>
      <c r="K1775" s="568"/>
      <c r="L1775" s="2119"/>
      <c r="M1775" s="2117"/>
      <c r="N1775" s="2111"/>
      <c r="O1775" s="2111"/>
      <c r="P1775" s="2111"/>
    </row>
    <row r="1776" spans="1:27" ht="12.75" hidden="1">
      <c r="A1776" s="2114"/>
      <c r="B1776" s="568" t="s">
        <v>744</v>
      </c>
      <c r="C1776" s="568"/>
      <c r="D1776" s="568"/>
      <c r="E1776" s="2121"/>
      <c r="F1776" s="2121"/>
      <c r="G1776" s="2122">
        <v>0.06</v>
      </c>
      <c r="H1776" s="2117" t="s">
        <v>262</v>
      </c>
      <c r="I1776" s="2118" t="s">
        <v>38</v>
      </c>
      <c r="J1776" s="2123">
        <f>L135</f>
        <v>385</v>
      </c>
      <c r="K1776" s="2123">
        <f>ROUND(G1776*J1776,2)</f>
        <v>23.1</v>
      </c>
      <c r="L1776" s="2119"/>
      <c r="M1776" s="2117"/>
      <c r="N1776" s="2111"/>
      <c r="O1776" s="2111"/>
      <c r="P1776" s="2111"/>
    </row>
    <row r="1777" spans="1:27" ht="12.75" hidden="1">
      <c r="A1777" s="2114"/>
      <c r="B1777" s="568" t="s">
        <v>733</v>
      </c>
      <c r="C1777" s="568"/>
      <c r="D1777" s="568"/>
      <c r="E1777" s="2121"/>
      <c r="F1777" s="2121"/>
      <c r="G1777" s="2122">
        <v>0.5</v>
      </c>
      <c r="H1777" s="2117" t="s">
        <v>262</v>
      </c>
      <c r="I1777" s="2118" t="s">
        <v>38</v>
      </c>
      <c r="J1777" s="2123">
        <f>L136</f>
        <v>435</v>
      </c>
      <c r="K1777" s="2123">
        <f>ROUND(G1777*J1777,2)</f>
        <v>217.5</v>
      </c>
      <c r="L1777" s="2119"/>
      <c r="M1777" s="2117"/>
      <c r="N1777" s="2111"/>
      <c r="O1777" s="2111"/>
      <c r="P1777" s="2111"/>
    </row>
    <row r="1778" spans="1:27" ht="12.75" hidden="1">
      <c r="A1778" s="2114"/>
      <c r="B1778" s="568" t="s">
        <v>717</v>
      </c>
      <c r="C1778" s="568"/>
      <c r="D1778" s="568"/>
      <c r="E1778" s="2121"/>
      <c r="F1778" s="2121"/>
      <c r="G1778" s="2122">
        <v>1</v>
      </c>
      <c r="H1778" s="2117" t="s">
        <v>262</v>
      </c>
      <c r="I1778" s="2118" t="s">
        <v>38</v>
      </c>
      <c r="J1778" s="2123">
        <f>L134</f>
        <v>345</v>
      </c>
      <c r="K1778" s="2123">
        <f>ROUND(G1778*J1778,2)</f>
        <v>345</v>
      </c>
      <c r="L1778" s="2119"/>
      <c r="M1778" s="2117"/>
      <c r="N1778" s="2111"/>
      <c r="O1778" s="2111"/>
      <c r="P1778" s="2111"/>
    </row>
    <row r="1779" spans="1:27" ht="12.75" hidden="1">
      <c r="A1779" s="2114"/>
      <c r="B1779" s="568"/>
      <c r="C1779" s="568"/>
      <c r="D1779" s="568"/>
      <c r="E1779" s="2121"/>
      <c r="F1779" s="2121"/>
      <c r="G1779" s="2122"/>
      <c r="H1779" s="2117"/>
      <c r="I1779" s="2118"/>
      <c r="J1779" s="2114" t="s">
        <v>718</v>
      </c>
      <c r="K1779" s="2124">
        <f>SUM(K1776:K1778)</f>
        <v>585.6</v>
      </c>
      <c r="L1779" s="2119"/>
      <c r="M1779" s="2117"/>
      <c r="N1779" s="2111"/>
      <c r="O1779" s="2111"/>
      <c r="P1779" s="2111"/>
    </row>
    <row r="1780" spans="1:27" ht="12.75" hidden="1">
      <c r="A1780" s="2114"/>
      <c r="B1780" s="192"/>
      <c r="C1780" s="568"/>
      <c r="D1780" s="568"/>
      <c r="E1780" s="2121"/>
      <c r="F1780" s="2121"/>
      <c r="G1780" s="568"/>
      <c r="H1780" s="2117"/>
      <c r="I1780" s="2118"/>
      <c r="J1780" s="568"/>
      <c r="K1780" s="2124"/>
      <c r="L1780" s="2119"/>
      <c r="M1780" s="2117"/>
      <c r="N1780" s="2111"/>
      <c r="O1780" s="2111"/>
      <c r="P1780" s="2111"/>
    </row>
    <row r="1781" spans="1:27" ht="12.75" hidden="1">
      <c r="A1781" s="2114"/>
      <c r="B1781" s="192" t="s">
        <v>745</v>
      </c>
      <c r="C1781" s="568"/>
      <c r="D1781" s="568"/>
      <c r="E1781" s="2121"/>
      <c r="F1781" s="2121"/>
      <c r="G1781" s="568"/>
      <c r="H1781" s="2117"/>
      <c r="I1781" s="2118"/>
      <c r="J1781" s="568"/>
      <c r="K1781" s="2124"/>
      <c r="L1781" s="2119"/>
      <c r="M1781" s="2117"/>
      <c r="N1781" s="2111"/>
      <c r="O1781" s="2111"/>
      <c r="P1781" s="2111"/>
    </row>
    <row r="1782" spans="1:27" ht="12.75" hidden="1">
      <c r="A1782" s="2114"/>
      <c r="B1782" s="192" t="s">
        <v>746</v>
      </c>
      <c r="C1782" s="568"/>
      <c r="D1782" s="568"/>
      <c r="E1782" s="2121"/>
      <c r="F1782" s="2121"/>
      <c r="G1782" s="2122">
        <v>0.27</v>
      </c>
      <c r="H1782" s="2117" t="s">
        <v>747</v>
      </c>
      <c r="I1782" s="2118" t="s">
        <v>747</v>
      </c>
      <c r="J1782" s="2123">
        <f>G237</f>
        <v>357.55</v>
      </c>
      <c r="K1782" s="2123">
        <f>ROUND(G1782*J1782,2)</f>
        <v>96.54</v>
      </c>
      <c r="L1782" s="2119"/>
      <c r="M1782" s="2117"/>
      <c r="N1782" s="2111"/>
      <c r="O1782" s="2111"/>
      <c r="P1782" s="2111"/>
    </row>
    <row r="1783" spans="1:27" ht="12.75" hidden="1">
      <c r="A1783" s="2114"/>
      <c r="B1783" s="192"/>
      <c r="C1783" s="568"/>
      <c r="D1783" s="568"/>
      <c r="E1783" s="2121"/>
      <c r="F1783" s="2121"/>
      <c r="G1783" s="568"/>
      <c r="H1783" s="2117"/>
      <c r="I1783" s="2118"/>
      <c r="J1783" s="568"/>
      <c r="K1783" s="2124"/>
      <c r="L1783" s="2119"/>
      <c r="M1783" s="2117"/>
      <c r="N1783" s="2111"/>
      <c r="O1783" s="2111"/>
      <c r="P1783" s="2111"/>
    </row>
    <row r="1784" spans="1:27" ht="12.75" hidden="1">
      <c r="A1784" s="2114"/>
      <c r="B1784" s="568" t="s">
        <v>755</v>
      </c>
      <c r="C1784" s="568"/>
      <c r="D1784" s="568"/>
      <c r="E1784" s="2121"/>
      <c r="F1784" s="2121"/>
      <c r="G1784" s="568"/>
      <c r="H1784" s="2117"/>
      <c r="I1784" s="2118"/>
      <c r="J1784" s="568"/>
      <c r="K1784" s="2124">
        <f>SUM(K1779:K1782)</f>
        <v>682.14</v>
      </c>
      <c r="L1784" s="2119"/>
      <c r="M1784" s="2117"/>
      <c r="N1784" s="2111"/>
      <c r="O1784" s="2111"/>
      <c r="P1784" s="2111"/>
    </row>
    <row r="1785" spans="1:27" ht="12.75" hidden="1">
      <c r="A1785" s="2114"/>
      <c r="B1785" s="568" t="s">
        <v>756</v>
      </c>
      <c r="C1785" s="568"/>
      <c r="D1785" s="568"/>
      <c r="E1785" s="2121"/>
      <c r="F1785" s="2121"/>
      <c r="G1785" s="568"/>
      <c r="H1785" s="2117"/>
      <c r="I1785" s="2118"/>
      <c r="J1785" s="2114" t="s">
        <v>718</v>
      </c>
      <c r="K1785" s="2124">
        <f>ROUND(K1784/1.25,2)</f>
        <v>545.71</v>
      </c>
      <c r="L1785" s="192" t="s">
        <v>730</v>
      </c>
      <c r="M1785" s="2117"/>
      <c r="N1785" s="2111"/>
      <c r="O1785" s="2111"/>
      <c r="P1785" s="2111"/>
      <c r="Y1785" s="1705" t="s">
        <v>92</v>
      </c>
      <c r="Z1785" s="1709">
        <f>ROUND(K1779/9.3,2)</f>
        <v>62.97</v>
      </c>
      <c r="AA1785" s="1709">
        <f>K1785-Z1785</f>
        <v>482.74</v>
      </c>
    </row>
    <row r="1786" spans="1:27" ht="12.75" hidden="1">
      <c r="A1786" s="2114" t="str">
        <f>A377</f>
        <v>(ii)</v>
      </c>
      <c r="B1786" s="192" t="str">
        <f>B377</f>
        <v>First Floor</v>
      </c>
      <c r="C1786" s="568"/>
      <c r="D1786" s="568"/>
      <c r="E1786" s="188" t="str">
        <f>E1773</f>
        <v>Each Cum</v>
      </c>
      <c r="F1786" s="188"/>
      <c r="G1786" s="2122"/>
      <c r="H1786" s="568"/>
      <c r="I1786" s="2118"/>
      <c r="J1786" s="2123"/>
      <c r="K1786" s="2123"/>
      <c r="L1786" s="192"/>
      <c r="M1786" s="568"/>
    </row>
    <row r="1787" spans="1:27" ht="12.75" hidden="1">
      <c r="A1787" s="2114"/>
      <c r="B1787" s="568" t="s">
        <v>722</v>
      </c>
      <c r="C1787" s="568"/>
      <c r="D1787" s="568"/>
      <c r="E1787" s="188"/>
      <c r="F1787" s="188"/>
      <c r="G1787" s="2122"/>
      <c r="H1787" s="568"/>
      <c r="I1787" s="2118"/>
      <c r="J1787" s="2123"/>
      <c r="K1787" s="2123">
        <f>K1785</f>
        <v>545.71</v>
      </c>
      <c r="L1787" s="192"/>
      <c r="M1787" s="568"/>
    </row>
    <row r="1788" spans="1:27" ht="12.75" hidden="1">
      <c r="A1788" s="2114"/>
      <c r="B1788" s="568" t="s">
        <v>741</v>
      </c>
      <c r="C1788" s="568"/>
      <c r="D1788" s="568"/>
      <c r="E1788" s="188"/>
      <c r="F1788" s="188"/>
      <c r="G1788" s="2122"/>
      <c r="H1788" s="568"/>
      <c r="I1788" s="2118"/>
      <c r="J1788" s="2123"/>
      <c r="K1788" s="2123">
        <f>ROUND(K1779/1.25*1*5%,2)</f>
        <v>23.42</v>
      </c>
      <c r="L1788" s="192"/>
      <c r="M1788" s="568"/>
    </row>
    <row r="1789" spans="1:27" ht="12.75" hidden="1">
      <c r="A1789" s="2114"/>
      <c r="B1789" s="568"/>
      <c r="C1789" s="568"/>
      <c r="D1789" s="568"/>
      <c r="E1789" s="188"/>
      <c r="F1789" s="188"/>
      <c r="G1789" s="2122"/>
      <c r="H1789" s="568"/>
      <c r="I1789" s="2118"/>
      <c r="J1789" s="2114" t="s">
        <v>718</v>
      </c>
      <c r="K1789" s="2124">
        <f>SUM(K1787:K1788)</f>
        <v>569.13</v>
      </c>
      <c r="L1789" s="192" t="s">
        <v>730</v>
      </c>
      <c r="M1789" s="568"/>
      <c r="Y1789" s="1705" t="s">
        <v>92</v>
      </c>
      <c r="Z1789" s="1709">
        <f>Z1785+K1788</f>
        <v>86.39</v>
      </c>
      <c r="AA1789" s="1709">
        <f>K1789-Z1789</f>
        <v>482.74</v>
      </c>
    </row>
    <row r="1790" spans="1:27" ht="12.75" hidden="1">
      <c r="A1790" s="2114" t="str">
        <f>A1764</f>
        <v>(iii)</v>
      </c>
      <c r="B1790" s="192" t="str">
        <f>B1764</f>
        <v>Second Floor</v>
      </c>
      <c r="C1790" s="568"/>
      <c r="D1790" s="568"/>
      <c r="E1790" s="188" t="str">
        <f>E1786</f>
        <v>Each Cum</v>
      </c>
      <c r="F1790" s="188"/>
      <c r="G1790" s="2122"/>
      <c r="H1790" s="568"/>
      <c r="I1790" s="2118"/>
      <c r="J1790" s="2123"/>
      <c r="K1790" s="2123"/>
      <c r="L1790" s="192"/>
      <c r="M1790" s="568"/>
    </row>
    <row r="1791" spans="1:27" ht="12.75" hidden="1">
      <c r="A1791" s="2114"/>
      <c r="B1791" s="568" t="str">
        <f>B1765</f>
        <v>Basic Rate in First Floor.</v>
      </c>
      <c r="C1791" s="568"/>
      <c r="D1791" s="568"/>
      <c r="E1791" s="188"/>
      <c r="F1791" s="188"/>
      <c r="G1791" s="2122"/>
      <c r="H1791" s="568"/>
      <c r="I1791" s="2118"/>
      <c r="J1791" s="2123"/>
      <c r="K1791" s="2123">
        <f>K1789</f>
        <v>569.13</v>
      </c>
      <c r="L1791" s="192"/>
      <c r="M1791" s="568"/>
    </row>
    <row r="1792" spans="1:27" ht="12.75" hidden="1">
      <c r="A1792" s="2114"/>
      <c r="B1792" s="568" t="s">
        <v>741</v>
      </c>
      <c r="C1792" s="568"/>
      <c r="D1792" s="568"/>
      <c r="E1792" s="188"/>
      <c r="F1792" s="188"/>
      <c r="G1792" s="2122"/>
      <c r="H1792" s="568"/>
      <c r="I1792" s="2118"/>
      <c r="J1792" s="2123"/>
      <c r="K1792" s="2123">
        <f>K1788+(K1788*5%)</f>
        <v>24.591000000000001</v>
      </c>
      <c r="L1792" s="192"/>
      <c r="M1792" s="568"/>
    </row>
    <row r="1793" spans="1:27" ht="12.75" hidden="1">
      <c r="A1793" s="2114"/>
      <c r="B1793" s="568"/>
      <c r="C1793" s="568"/>
      <c r="D1793" s="568"/>
      <c r="E1793" s="188"/>
      <c r="F1793" s="188"/>
      <c r="G1793" s="2122"/>
      <c r="H1793" s="568"/>
      <c r="I1793" s="2118"/>
      <c r="J1793" s="2114" t="s">
        <v>718</v>
      </c>
      <c r="K1793" s="2124">
        <f>SUM(K1791:K1792)</f>
        <v>593.721</v>
      </c>
      <c r="L1793" s="192" t="s">
        <v>730</v>
      </c>
      <c r="M1793" s="568"/>
      <c r="Y1793" s="1705" t="s">
        <v>92</v>
      </c>
      <c r="Z1793" s="1709">
        <f>Z1789+K1792</f>
        <v>110.98099999999999</v>
      </c>
      <c r="AA1793" s="1709">
        <f>K1793-Z1793</f>
        <v>482.74</v>
      </c>
    </row>
    <row r="1794" spans="1:27" ht="12.75" hidden="1">
      <c r="A1794" s="2114" t="str">
        <f>A1768</f>
        <v>(iv)</v>
      </c>
      <c r="B1794" s="192" t="str">
        <f>B1768</f>
        <v>Third Floor</v>
      </c>
      <c r="C1794" s="568"/>
      <c r="D1794" s="568"/>
      <c r="E1794" s="188" t="str">
        <f>E1790</f>
        <v>Each Cum</v>
      </c>
      <c r="F1794" s="188"/>
      <c r="G1794" s="2122"/>
      <c r="H1794" s="568"/>
      <c r="I1794" s="2118"/>
      <c r="J1794" s="2123"/>
      <c r="K1794" s="2123"/>
      <c r="L1794" s="192"/>
      <c r="M1794" s="568"/>
    </row>
    <row r="1795" spans="1:27" ht="12.75" hidden="1">
      <c r="A1795" s="2114"/>
      <c r="B1795" s="568" t="str">
        <f>B1769</f>
        <v>Basic Rate in First Floor.</v>
      </c>
      <c r="C1795" s="568"/>
      <c r="D1795" s="568"/>
      <c r="E1795" s="188"/>
      <c r="F1795" s="188"/>
      <c r="G1795" s="2122"/>
      <c r="H1795" s="568"/>
      <c r="I1795" s="2118"/>
      <c r="J1795" s="2123"/>
      <c r="K1795" s="2123">
        <f>K1793</f>
        <v>593.721</v>
      </c>
      <c r="L1795" s="192"/>
      <c r="M1795" s="568"/>
    </row>
    <row r="1796" spans="1:27" ht="12.75" hidden="1">
      <c r="A1796" s="2114"/>
      <c r="B1796" s="568" t="s">
        <v>741</v>
      </c>
      <c r="C1796" s="568"/>
      <c r="D1796" s="568"/>
      <c r="E1796" s="188"/>
      <c r="F1796" s="188"/>
      <c r="G1796" s="2122"/>
      <c r="H1796" s="568"/>
      <c r="I1796" s="2118"/>
      <c r="J1796" s="2123"/>
      <c r="K1796" s="2123">
        <f>K1792+(K1792*5%)</f>
        <v>25.820550000000001</v>
      </c>
      <c r="L1796" s="192"/>
      <c r="M1796" s="568"/>
    </row>
    <row r="1797" spans="1:27" ht="12.75" hidden="1">
      <c r="A1797" s="2114"/>
      <c r="B1797" s="568"/>
      <c r="C1797" s="568"/>
      <c r="D1797" s="568"/>
      <c r="E1797" s="188"/>
      <c r="F1797" s="188"/>
      <c r="G1797" s="2122"/>
      <c r="H1797" s="568"/>
      <c r="I1797" s="2118"/>
      <c r="J1797" s="2114" t="s">
        <v>718</v>
      </c>
      <c r="K1797" s="2124">
        <f>SUM(K1795:K1796)</f>
        <v>619.54155000000003</v>
      </c>
      <c r="L1797" s="192" t="s">
        <v>730</v>
      </c>
      <c r="M1797" s="568"/>
      <c r="Y1797" s="1705" t="s">
        <v>92</v>
      </c>
      <c r="Z1797" s="1709">
        <f>Z1793+K1796</f>
        <v>136.80154999999999</v>
      </c>
      <c r="AA1797" s="1709">
        <f>K1797-Z1797</f>
        <v>482.74</v>
      </c>
    </row>
    <row r="1798" spans="1:27" ht="12.75" hidden="1">
      <c r="A1798" s="3021" t="s">
        <v>757</v>
      </c>
      <c r="B1798" s="3021"/>
      <c r="C1798" s="3021"/>
      <c r="D1798" s="3021"/>
      <c r="E1798" s="188"/>
      <c r="F1798" s="188"/>
      <c r="G1798" s="2122"/>
      <c r="H1798" s="568"/>
      <c r="I1798" s="2118"/>
      <c r="J1798" s="2124"/>
      <c r="K1798" s="2124"/>
      <c r="L1798" s="192"/>
      <c r="M1798" s="568"/>
    </row>
    <row r="1799" spans="1:27" ht="12.75" hidden="1">
      <c r="A1799" s="2114" t="s">
        <v>468</v>
      </c>
      <c r="B1799" s="2119" t="s">
        <v>758</v>
      </c>
      <c r="C1799" s="2131"/>
      <c r="D1799" s="2131"/>
      <c r="E1799" s="188"/>
      <c r="F1799" s="188"/>
      <c r="G1799" s="2122"/>
      <c r="H1799" s="568"/>
      <c r="I1799" s="2118"/>
      <c r="J1799" s="2124"/>
      <c r="K1799" s="2124"/>
      <c r="L1799" s="192"/>
      <c r="M1799" s="568"/>
      <c r="Q1799" s="196" t="s">
        <v>468</v>
      </c>
      <c r="R1799" s="2132" t="s">
        <v>758</v>
      </c>
    </row>
    <row r="1800" spans="1:27" ht="30.95" customHeight="1">
      <c r="A1800" s="2114">
        <f>A381</f>
        <v>23</v>
      </c>
      <c r="B1800" s="3025" t="str">
        <f>B381</f>
        <v>E/W in excavation of foundation trenches in hard soil including dressing of sides and levelling the bed complete as directed by the Engineer in charge.</v>
      </c>
      <c r="C1800" s="3025"/>
      <c r="D1800" s="3025"/>
      <c r="E1800" s="3025"/>
      <c r="F1800" s="3025"/>
      <c r="G1800" s="3025"/>
      <c r="H1800" s="568"/>
      <c r="I1800" s="2118"/>
      <c r="J1800" s="568"/>
      <c r="K1800" s="568"/>
      <c r="L1800" s="192"/>
      <c r="M1800" s="568"/>
      <c r="Q1800" s="1706"/>
    </row>
    <row r="1801" spans="1:27" ht="12.75">
      <c r="A1801" s="2114"/>
      <c r="B1801" s="192" t="s">
        <v>759</v>
      </c>
      <c r="C1801" s="568"/>
      <c r="D1801" s="568"/>
      <c r="E1801" s="188"/>
      <c r="F1801" s="188"/>
      <c r="G1801" s="568"/>
      <c r="H1801" s="568"/>
      <c r="I1801" s="2118"/>
      <c r="J1801" s="568"/>
      <c r="K1801" s="568"/>
      <c r="L1801" s="192"/>
      <c r="M1801" s="568"/>
    </row>
    <row r="1802" spans="1:27" s="1706" customFormat="1" ht="12.75">
      <c r="A1802" s="2114"/>
      <c r="B1802" s="192" t="s">
        <v>715</v>
      </c>
      <c r="C1802" s="192"/>
      <c r="D1802" s="192"/>
      <c r="E1802" s="188"/>
      <c r="F1802" s="188"/>
      <c r="G1802" s="192"/>
      <c r="H1802" s="192"/>
      <c r="I1802" s="2114"/>
      <c r="J1802" s="192"/>
      <c r="K1802" s="192"/>
      <c r="L1802" s="192"/>
      <c r="M1802" s="192"/>
    </row>
    <row r="1803" spans="1:27" ht="12.75">
      <c r="A1803" s="2114"/>
      <c r="B1803" s="568" t="s">
        <v>717</v>
      </c>
      <c r="C1803" s="568"/>
      <c r="D1803" s="568"/>
      <c r="E1803" s="188"/>
      <c r="F1803" s="188"/>
      <c r="G1803" s="2122">
        <v>43</v>
      </c>
      <c r="H1803" s="568" t="s">
        <v>262</v>
      </c>
      <c r="I1803" s="2118" t="s">
        <v>38</v>
      </c>
      <c r="J1803" s="2123">
        <f>L134</f>
        <v>345</v>
      </c>
      <c r="K1803" s="2123">
        <f>ROUND(G1803*J1803,2)</f>
        <v>14835</v>
      </c>
      <c r="L1803" s="192"/>
      <c r="M1803" s="568"/>
    </row>
    <row r="1804" spans="1:27" ht="12.75">
      <c r="A1804" s="2114"/>
      <c r="B1804" s="568"/>
      <c r="C1804" s="568"/>
      <c r="D1804" s="568"/>
      <c r="E1804" s="188"/>
      <c r="F1804" s="188"/>
      <c r="G1804" s="2122"/>
      <c r="H1804" s="568"/>
      <c r="I1804" s="2118"/>
      <c r="J1804" s="2123"/>
      <c r="K1804" s="2123"/>
      <c r="L1804" s="192"/>
      <c r="M1804" s="568"/>
    </row>
    <row r="1805" spans="1:27" ht="12.75">
      <c r="A1805" s="2114"/>
      <c r="B1805" s="192" t="s">
        <v>719</v>
      </c>
      <c r="C1805" s="568"/>
      <c r="D1805" s="568"/>
      <c r="E1805" s="188"/>
      <c r="F1805" s="188"/>
      <c r="G1805" s="2122"/>
      <c r="I1805" s="2125">
        <v>0</v>
      </c>
      <c r="J1805" s="2123"/>
      <c r="K1805" s="2123">
        <f>ROUND(K1803*I1805,2)</f>
        <v>0</v>
      </c>
      <c r="L1805" s="192"/>
      <c r="M1805" s="568"/>
    </row>
    <row r="1806" spans="1:27" ht="12.75">
      <c r="A1806" s="2114"/>
      <c r="B1806" s="192"/>
      <c r="C1806" s="568"/>
      <c r="D1806" s="568"/>
      <c r="E1806" s="188"/>
      <c r="F1806" s="188"/>
      <c r="G1806" s="2122"/>
      <c r="H1806" s="568"/>
      <c r="I1806" s="2118"/>
      <c r="J1806" s="2126" t="s">
        <v>718</v>
      </c>
      <c r="K1806" s="2124">
        <f>SUM(K1803:K1805)</f>
        <v>14835</v>
      </c>
      <c r="L1806" s="192" t="s">
        <v>458</v>
      </c>
      <c r="M1806" s="568"/>
    </row>
    <row r="1807" spans="1:27" ht="12.75">
      <c r="A1807" s="2114"/>
      <c r="B1807" s="192" t="s">
        <v>3726</v>
      </c>
      <c r="C1807" s="568"/>
      <c r="D1807" s="568"/>
      <c r="E1807" s="188"/>
      <c r="F1807" s="188"/>
      <c r="G1807" s="2122"/>
      <c r="H1807" s="2133">
        <v>7.4999999999999997E-2</v>
      </c>
      <c r="I1807" s="2134">
        <f>K1806</f>
        <v>14835</v>
      </c>
      <c r="J1807" s="2134"/>
      <c r="K1807" s="2123">
        <f>ROUND(I1807*H1807,2)</f>
        <v>1112.6300000000001</v>
      </c>
      <c r="L1807" s="192"/>
      <c r="M1807" s="568"/>
    </row>
    <row r="1808" spans="1:27" ht="12.75">
      <c r="A1808" s="2114"/>
      <c r="B1808" s="192" t="s">
        <v>3727</v>
      </c>
      <c r="C1808" s="568"/>
      <c r="D1808" s="568"/>
      <c r="E1808" s="188"/>
      <c r="F1808" s="188"/>
      <c r="G1808" s="2122"/>
      <c r="H1808" s="2133">
        <f>H1807</f>
        <v>7.4999999999999997E-2</v>
      </c>
      <c r="I1808" s="2134">
        <f>I1807</f>
        <v>14835</v>
      </c>
      <c r="J1808" s="2134"/>
      <c r="K1808" s="2123">
        <f>ROUND(I1808*H1808,2)</f>
        <v>1112.6300000000001</v>
      </c>
      <c r="L1808" s="192"/>
      <c r="M1808" s="568"/>
    </row>
    <row r="1809" spans="1:25" ht="12.75">
      <c r="A1809" s="2114"/>
      <c r="B1809" s="192" t="s">
        <v>835</v>
      </c>
      <c r="C1809" s="568"/>
      <c r="D1809" s="568"/>
      <c r="E1809" s="188"/>
      <c r="F1809" s="188"/>
      <c r="G1809" s="2122"/>
      <c r="H1809" s="2135"/>
      <c r="I1809" s="2134"/>
      <c r="J1809" s="2126" t="s">
        <v>718</v>
      </c>
      <c r="K1809" s="2124">
        <f>SUM(K1806:K1808)</f>
        <v>17060.260000000002</v>
      </c>
      <c r="L1809" s="192"/>
      <c r="M1809" s="568"/>
    </row>
    <row r="1810" spans="1:25" ht="12.75">
      <c r="A1810" s="2114"/>
      <c r="B1810" s="192" t="s">
        <v>3728</v>
      </c>
      <c r="C1810" s="568"/>
      <c r="D1810" s="568"/>
      <c r="E1810" s="188"/>
      <c r="F1810" s="188"/>
      <c r="G1810" s="2122"/>
      <c r="H1810" s="568"/>
      <c r="I1810" s="2118"/>
      <c r="J1810" s="2134"/>
      <c r="K1810" s="2123">
        <f>ROUND((K1809)*20%,2)</f>
        <v>3412.05</v>
      </c>
      <c r="L1810" s="192"/>
      <c r="M1810" s="568"/>
    </row>
    <row r="1811" spans="1:25" ht="12.75">
      <c r="A1811" s="2114"/>
      <c r="B1811" s="192" t="s">
        <v>3730</v>
      </c>
      <c r="C1811" s="568"/>
      <c r="D1811" s="568"/>
      <c r="E1811" s="188"/>
      <c r="F1811" s="188"/>
      <c r="G1811" s="2122"/>
      <c r="H1811" s="568"/>
      <c r="I1811" s="2118"/>
      <c r="J1811" s="2134" t="s">
        <v>718</v>
      </c>
      <c r="K1811" s="2123">
        <f>SUM(K1809:K1810)</f>
        <v>20472.310000000001</v>
      </c>
      <c r="L1811" s="192"/>
      <c r="M1811" s="568"/>
    </row>
    <row r="1812" spans="1:25" ht="12.75">
      <c r="A1812" s="2114"/>
      <c r="B1812" s="192" t="s">
        <v>3729</v>
      </c>
      <c r="C1812" s="568"/>
      <c r="D1812" s="568"/>
      <c r="E1812" s="188"/>
      <c r="F1812" s="188"/>
      <c r="G1812" s="2122"/>
      <c r="H1812" s="2135">
        <v>0.01</v>
      </c>
      <c r="I1812" s="2134">
        <f>K1811</f>
        <v>20472.310000000001</v>
      </c>
      <c r="J1812" s="2134"/>
      <c r="K1812" s="2123">
        <f>ROUND(I1812*H1812,2)</f>
        <v>204.72</v>
      </c>
      <c r="L1812" s="192"/>
      <c r="M1812" s="568"/>
    </row>
    <row r="1813" spans="1:25" ht="12.75">
      <c r="A1813" s="2114"/>
      <c r="B1813" s="192" t="s">
        <v>3731</v>
      </c>
      <c r="C1813" s="568"/>
      <c r="D1813" s="568"/>
      <c r="E1813" s="188"/>
      <c r="F1813" s="188"/>
      <c r="G1813" s="2122"/>
      <c r="H1813" s="2135"/>
      <c r="I1813" s="2134"/>
      <c r="J1813" s="2134"/>
      <c r="K1813" s="2123">
        <f>SUM(K1811:K1812)</f>
        <v>20677.030000000002</v>
      </c>
      <c r="L1813" s="192"/>
      <c r="M1813" s="568"/>
    </row>
    <row r="1814" spans="1:25" ht="12.75">
      <c r="A1814" s="2114"/>
      <c r="B1814" s="192" t="s">
        <v>763</v>
      </c>
      <c r="C1814" s="568"/>
      <c r="D1814" s="568"/>
      <c r="E1814" s="188"/>
      <c r="F1814" s="188"/>
      <c r="G1814" s="2122"/>
      <c r="H1814" s="568"/>
      <c r="I1814" s="2118"/>
      <c r="J1814" s="2136" t="s">
        <v>718</v>
      </c>
      <c r="K1814" s="2137">
        <f>K1813/100</f>
        <v>206.77030000000002</v>
      </c>
      <c r="L1814" s="2138" t="s">
        <v>721</v>
      </c>
      <c r="M1814" s="2139"/>
      <c r="Y1814" s="1705" t="s">
        <v>49</v>
      </c>
    </row>
    <row r="1815" spans="1:25" ht="43.9" hidden="1" customHeight="1">
      <c r="A1815" s="2114">
        <f>A382</f>
        <v>24</v>
      </c>
      <c r="B1815" s="3017" t="str">
        <f>B382</f>
        <v>E/W in excavation of foundation trenches in hard soil including dressing of sides and levelling the bed complete as directed by the Engineer in charge.</v>
      </c>
      <c r="C1815" s="3017"/>
      <c r="D1815" s="3017"/>
      <c r="E1815" s="2116" t="str">
        <f>G405</f>
        <v>Each Cum</v>
      </c>
      <c r="F1815" s="2116"/>
      <c r="G1815" s="568"/>
      <c r="H1815" s="568"/>
      <c r="I1815" s="2118"/>
      <c r="J1815" s="568"/>
      <c r="K1815" s="568"/>
      <c r="L1815" s="192"/>
      <c r="M1815" s="568"/>
      <c r="Q1815" s="1816" t="s">
        <v>411</v>
      </c>
    </row>
    <row r="1816" spans="1:25" ht="12.75" hidden="1">
      <c r="A1816" s="2114"/>
      <c r="B1816" s="192" t="s">
        <v>764</v>
      </c>
      <c r="C1816" s="568"/>
      <c r="D1816" s="568"/>
      <c r="E1816" s="188"/>
      <c r="F1816" s="188"/>
      <c r="G1816" s="568"/>
      <c r="H1816" s="568"/>
      <c r="I1816" s="2118"/>
      <c r="J1816" s="568"/>
      <c r="K1816" s="568"/>
      <c r="L1816" s="192"/>
      <c r="M1816" s="568"/>
    </row>
    <row r="1817" spans="1:25" s="1706" customFormat="1" ht="12.75" hidden="1">
      <c r="A1817" s="2114"/>
      <c r="B1817" s="192" t="s">
        <v>715</v>
      </c>
      <c r="C1817" s="192"/>
      <c r="D1817" s="192"/>
      <c r="E1817" s="188"/>
      <c r="F1817" s="188"/>
      <c r="G1817" s="192"/>
      <c r="H1817" s="192"/>
      <c r="I1817" s="2114"/>
      <c r="J1817" s="192"/>
      <c r="K1817" s="192"/>
      <c r="L1817" s="192"/>
      <c r="M1817" s="192"/>
    </row>
    <row r="1818" spans="1:25" ht="12.75" hidden="1">
      <c r="A1818" s="2114"/>
      <c r="B1818" s="568" t="s">
        <v>717</v>
      </c>
      <c r="C1818" s="568"/>
      <c r="D1818" s="568"/>
      <c r="E1818" s="188"/>
      <c r="F1818" s="188"/>
      <c r="G1818" s="2122">
        <v>70.67</v>
      </c>
      <c r="H1818" s="568" t="s">
        <v>262</v>
      </c>
      <c r="I1818" s="2118" t="s">
        <v>38</v>
      </c>
      <c r="J1818" s="2123">
        <f>L134</f>
        <v>345</v>
      </c>
      <c r="K1818" s="2123">
        <f>ROUND(G1818*J1818,2)</f>
        <v>24381.15</v>
      </c>
      <c r="L1818" s="192"/>
      <c r="M1818" s="568"/>
    </row>
    <row r="1819" spans="1:25" ht="12.75" hidden="1">
      <c r="A1819" s="2114"/>
      <c r="B1819" s="568"/>
      <c r="C1819" s="568"/>
      <c r="D1819" s="568"/>
      <c r="E1819" s="188"/>
      <c r="F1819" s="188"/>
      <c r="G1819" s="2122"/>
      <c r="H1819" s="568"/>
      <c r="I1819" s="2118"/>
      <c r="J1819" s="2123"/>
      <c r="K1819" s="2123"/>
      <c r="L1819" s="192"/>
      <c r="M1819" s="568"/>
    </row>
    <row r="1820" spans="1:25" ht="12.75" hidden="1">
      <c r="A1820" s="2114"/>
      <c r="B1820" s="192" t="s">
        <v>719</v>
      </c>
      <c r="C1820" s="568"/>
      <c r="D1820" s="568"/>
      <c r="E1820" s="188"/>
      <c r="F1820" s="188"/>
      <c r="G1820" s="2122"/>
      <c r="H1820" s="568"/>
      <c r="I1820" s="2125">
        <v>0.02</v>
      </c>
      <c r="J1820" s="2123"/>
      <c r="K1820" s="2123">
        <f>ROUND(K1818*I1820,2)</f>
        <v>487.62</v>
      </c>
      <c r="L1820" s="192"/>
      <c r="M1820" s="568"/>
    </row>
    <row r="1821" spans="1:25" ht="12.75" hidden="1">
      <c r="A1821" s="2114"/>
      <c r="B1821" s="192" t="s">
        <v>760</v>
      </c>
      <c r="C1821" s="568"/>
      <c r="D1821" s="568"/>
      <c r="E1821" s="188"/>
      <c r="F1821" s="188"/>
      <c r="G1821" s="2122"/>
      <c r="H1821" s="568"/>
      <c r="I1821" s="2118"/>
      <c r="J1821" s="2134" t="s">
        <v>718</v>
      </c>
      <c r="K1821" s="2123">
        <f>SUM(K1818:K1820)</f>
        <v>24868.77</v>
      </c>
      <c r="L1821" s="192" t="s">
        <v>458</v>
      </c>
      <c r="M1821" s="568"/>
    </row>
    <row r="1822" spans="1:25" ht="12.75" hidden="1">
      <c r="A1822" s="2114"/>
      <c r="B1822" s="568"/>
      <c r="C1822" s="568"/>
      <c r="D1822" s="568"/>
      <c r="E1822" s="188"/>
      <c r="F1822" s="188"/>
      <c r="G1822" s="2122"/>
      <c r="H1822" s="568"/>
      <c r="I1822" s="2118"/>
      <c r="J1822" s="2134"/>
      <c r="K1822" s="2124">
        <f>ROUND(K1821/100,2)</f>
        <v>248.69</v>
      </c>
      <c r="L1822" s="192" t="s">
        <v>721</v>
      </c>
      <c r="M1822" s="568"/>
      <c r="Q1822" s="1706" t="s">
        <v>765</v>
      </c>
    </row>
    <row r="1823" spans="1:25" ht="12.75" hidden="1">
      <c r="A1823" s="2114"/>
      <c r="B1823" s="192" t="s">
        <v>761</v>
      </c>
      <c r="C1823" s="568"/>
      <c r="D1823" s="568"/>
      <c r="E1823" s="188"/>
      <c r="F1823" s="188"/>
      <c r="G1823" s="2122"/>
      <c r="H1823" s="568"/>
      <c r="I1823" s="2118"/>
      <c r="J1823" s="2134"/>
      <c r="K1823" s="2123">
        <f>ROUND(K1822*20%,2)</f>
        <v>49.74</v>
      </c>
      <c r="L1823" s="192"/>
      <c r="M1823" s="568"/>
    </row>
    <row r="1824" spans="1:25" ht="12.75" hidden="1">
      <c r="A1824" s="2114"/>
      <c r="B1824" s="192" t="s">
        <v>766</v>
      </c>
      <c r="C1824" s="568"/>
      <c r="D1824" s="568"/>
      <c r="E1824" s="188"/>
      <c r="F1824" s="188"/>
      <c r="G1824" s="2122"/>
      <c r="H1824" s="568"/>
      <c r="I1824" s="2118"/>
      <c r="J1824" s="2134" t="s">
        <v>718</v>
      </c>
      <c r="K1824" s="2123">
        <f>SUM(K1822:K1823)</f>
        <v>298.43</v>
      </c>
      <c r="L1824" s="192"/>
      <c r="M1824" s="568"/>
    </row>
    <row r="1825" spans="1:25" ht="12.75" hidden="1">
      <c r="A1825" s="2114"/>
      <c r="B1825" s="192" t="s">
        <v>763</v>
      </c>
      <c r="C1825" s="568"/>
      <c r="D1825" s="568"/>
      <c r="E1825" s="188"/>
      <c r="F1825" s="188"/>
      <c r="G1825" s="2122"/>
      <c r="H1825" s="568"/>
      <c r="I1825" s="2118"/>
      <c r="J1825" s="2126" t="s">
        <v>718</v>
      </c>
      <c r="K1825" s="2124">
        <f>K1824</f>
        <v>298.43</v>
      </c>
      <c r="L1825" s="192" t="s">
        <v>721</v>
      </c>
      <c r="M1825" s="568"/>
      <c r="Q1825" s="1706" t="s">
        <v>767</v>
      </c>
      <c r="Y1825" s="1705" t="s">
        <v>49</v>
      </c>
    </row>
    <row r="1826" spans="1:25" ht="41.25" hidden="1" customHeight="1">
      <c r="A1826" s="2114">
        <f>A385</f>
        <v>25</v>
      </c>
      <c r="B1826" s="3017" t="str">
        <f>B385</f>
        <v>E/W in excavation of foundation trenches in ordinary soil including dressing of sides and levelling the bed complete as directed by the Engineer in charge.</v>
      </c>
      <c r="C1826" s="3017"/>
      <c r="D1826" s="3017"/>
      <c r="E1826" s="2116" t="str">
        <f>G420</f>
        <v>Each Cum</v>
      </c>
      <c r="F1826" s="2116"/>
      <c r="G1826" s="568"/>
      <c r="H1826" s="568"/>
      <c r="I1826" s="2118"/>
      <c r="J1826" s="568"/>
      <c r="K1826" s="568"/>
      <c r="L1826" s="192"/>
      <c r="M1826" s="568"/>
    </row>
    <row r="1827" spans="1:25" ht="12.75" hidden="1">
      <c r="A1827" s="2114"/>
      <c r="B1827" s="192" t="s">
        <v>764</v>
      </c>
      <c r="C1827" s="568"/>
      <c r="D1827" s="568"/>
      <c r="E1827" s="188"/>
      <c r="F1827" s="188"/>
      <c r="G1827" s="568"/>
      <c r="H1827" s="568"/>
      <c r="I1827" s="2118"/>
      <c r="J1827" s="568"/>
      <c r="K1827" s="568"/>
      <c r="L1827" s="192"/>
      <c r="M1827" s="568"/>
    </row>
    <row r="1828" spans="1:25" s="1706" customFormat="1" ht="12.75" hidden="1">
      <c r="A1828" s="2114"/>
      <c r="B1828" s="192" t="s">
        <v>715</v>
      </c>
      <c r="C1828" s="192"/>
      <c r="D1828" s="192"/>
      <c r="E1828" s="188"/>
      <c r="F1828" s="188"/>
      <c r="G1828" s="192"/>
      <c r="H1828" s="192"/>
      <c r="I1828" s="2114"/>
      <c r="J1828" s="192"/>
      <c r="K1828" s="192"/>
      <c r="L1828" s="192"/>
      <c r="M1828" s="192"/>
    </row>
    <row r="1829" spans="1:25" ht="12.75" hidden="1">
      <c r="A1829" s="2114"/>
      <c r="B1829" s="568" t="s">
        <v>717</v>
      </c>
      <c r="C1829" s="568"/>
      <c r="D1829" s="568"/>
      <c r="E1829" s="188"/>
      <c r="F1829" s="188"/>
      <c r="G1829" s="2122">
        <v>32</v>
      </c>
      <c r="H1829" s="568" t="s">
        <v>262</v>
      </c>
      <c r="I1829" s="2118" t="s">
        <v>38</v>
      </c>
      <c r="J1829" s="2123">
        <f>L134</f>
        <v>345</v>
      </c>
      <c r="K1829" s="2123">
        <f>ROUND(G1829*J1829,2)</f>
        <v>11040</v>
      </c>
      <c r="L1829" s="192"/>
      <c r="M1829" s="568"/>
    </row>
    <row r="1830" spans="1:25" ht="12.75" hidden="1">
      <c r="A1830" s="2114"/>
      <c r="B1830" s="568"/>
      <c r="C1830" s="568"/>
      <c r="D1830" s="568"/>
      <c r="E1830" s="188"/>
      <c r="F1830" s="188"/>
      <c r="G1830" s="2122"/>
      <c r="H1830" s="568"/>
      <c r="I1830" s="2118"/>
      <c r="J1830" s="2123"/>
      <c r="K1830" s="2123"/>
      <c r="L1830" s="192"/>
      <c r="M1830" s="568"/>
    </row>
    <row r="1831" spans="1:25" ht="12.75" hidden="1">
      <c r="A1831" s="2114"/>
      <c r="B1831" s="192" t="s">
        <v>719</v>
      </c>
      <c r="C1831" s="568"/>
      <c r="D1831" s="568"/>
      <c r="E1831" s="188"/>
      <c r="F1831" s="188"/>
      <c r="G1831" s="2122"/>
      <c r="H1831" s="568"/>
      <c r="I1831" s="2125">
        <v>0.02</v>
      </c>
      <c r="J1831" s="2123"/>
      <c r="K1831" s="2123">
        <f>ROUND(K1829*I1831,2)</f>
        <v>220.8</v>
      </c>
      <c r="L1831" s="192"/>
      <c r="M1831" s="568"/>
    </row>
    <row r="1832" spans="1:25" ht="12.75" hidden="1">
      <c r="A1832" s="2114"/>
      <c r="B1832" s="568" t="s">
        <v>760</v>
      </c>
      <c r="C1832" s="568"/>
      <c r="D1832" s="568"/>
      <c r="E1832" s="188"/>
      <c r="F1832" s="188"/>
      <c r="G1832" s="2122"/>
      <c r="H1832" s="568"/>
      <c r="I1832" s="2118"/>
      <c r="J1832" s="2134" t="s">
        <v>718</v>
      </c>
      <c r="K1832" s="2123">
        <f>SUM(K1829:K1831)</f>
        <v>11260.8</v>
      </c>
      <c r="L1832" s="192" t="s">
        <v>458</v>
      </c>
      <c r="M1832" s="568"/>
    </row>
    <row r="1833" spans="1:25" ht="12.75" hidden="1">
      <c r="A1833" s="2114"/>
      <c r="B1833" s="192" t="s">
        <v>761</v>
      </c>
      <c r="C1833" s="568"/>
      <c r="D1833" s="568"/>
      <c r="E1833" s="188"/>
      <c r="F1833" s="188"/>
      <c r="G1833" s="2122"/>
      <c r="H1833" s="568"/>
      <c r="I1833" s="2118"/>
      <c r="J1833" s="2134"/>
      <c r="K1833" s="2123">
        <f>ROUND(K1832*20%,2)</f>
        <v>2252.16</v>
      </c>
      <c r="L1833" s="192"/>
      <c r="M1833" s="568"/>
    </row>
    <row r="1834" spans="1:25" ht="12.75" hidden="1">
      <c r="A1834" s="2114"/>
      <c r="B1834" s="192" t="s">
        <v>762</v>
      </c>
      <c r="C1834" s="568"/>
      <c r="D1834" s="568"/>
      <c r="E1834" s="188"/>
      <c r="F1834" s="188"/>
      <c r="G1834" s="2122"/>
      <c r="H1834" s="568"/>
      <c r="I1834" s="2118"/>
      <c r="J1834" s="2134" t="s">
        <v>718</v>
      </c>
      <c r="K1834" s="2123">
        <f>SUM(K1832:K1833)</f>
        <v>13512.96</v>
      </c>
      <c r="L1834" s="192"/>
      <c r="M1834" s="568"/>
    </row>
    <row r="1835" spans="1:25" ht="12.75" hidden="1">
      <c r="A1835" s="2114"/>
      <c r="B1835" s="192" t="s">
        <v>763</v>
      </c>
      <c r="C1835" s="568"/>
      <c r="D1835" s="568"/>
      <c r="E1835" s="188"/>
      <c r="F1835" s="188"/>
      <c r="G1835" s="2122"/>
      <c r="H1835" s="568"/>
      <c r="I1835" s="2118"/>
      <c r="J1835" s="2126" t="s">
        <v>718</v>
      </c>
      <c r="K1835" s="2124">
        <f>K1834/100</f>
        <v>135.12959999999998</v>
      </c>
      <c r="L1835" s="192" t="s">
        <v>721</v>
      </c>
      <c r="M1835" s="568"/>
    </row>
    <row r="1836" spans="1:25" ht="43.15" hidden="1" customHeight="1">
      <c r="A1836" s="2114">
        <f>A386</f>
        <v>26</v>
      </c>
      <c r="B1836" s="3017" t="str">
        <f>B386</f>
        <v>E/W in excavation of foundation trenches in ordinary soil including dressing of sides and levelling the bed complete as directed by the Engineer in charge.</v>
      </c>
      <c r="C1836" s="3017"/>
      <c r="D1836" s="3017"/>
      <c r="E1836" s="2116" t="str">
        <f>G442</f>
        <v>Each Cum</v>
      </c>
      <c r="F1836" s="2116"/>
      <c r="G1836" s="568"/>
      <c r="H1836" s="568"/>
      <c r="I1836" s="2118"/>
      <c r="J1836" s="568"/>
      <c r="K1836" s="568"/>
      <c r="L1836" s="192"/>
      <c r="M1836" s="568"/>
      <c r="Q1836" s="1706" t="s">
        <v>411</v>
      </c>
    </row>
    <row r="1837" spans="1:25" ht="12.75" hidden="1">
      <c r="A1837" s="2114"/>
      <c r="B1837" s="192" t="s">
        <v>764</v>
      </c>
      <c r="C1837" s="568"/>
      <c r="D1837" s="568"/>
      <c r="E1837" s="188"/>
      <c r="F1837" s="188"/>
      <c r="G1837" s="568"/>
      <c r="H1837" s="568"/>
      <c r="I1837" s="2118"/>
      <c r="J1837" s="568"/>
      <c r="K1837" s="568"/>
      <c r="L1837" s="192"/>
      <c r="M1837" s="568"/>
    </row>
    <row r="1838" spans="1:25" s="1706" customFormat="1" ht="12.75" hidden="1">
      <c r="A1838" s="2114"/>
      <c r="B1838" s="192" t="s">
        <v>715</v>
      </c>
      <c r="C1838" s="192"/>
      <c r="D1838" s="192"/>
      <c r="E1838" s="188"/>
      <c r="F1838" s="188"/>
      <c r="G1838" s="192"/>
      <c r="H1838" s="192"/>
      <c r="I1838" s="2114"/>
      <c r="J1838" s="192"/>
      <c r="K1838" s="192"/>
      <c r="L1838" s="192"/>
      <c r="M1838" s="192"/>
    </row>
    <row r="1839" spans="1:25" ht="12.75" hidden="1">
      <c r="A1839" s="2114"/>
      <c r="B1839" s="568" t="s">
        <v>717</v>
      </c>
      <c r="C1839" s="568"/>
      <c r="D1839" s="568"/>
      <c r="E1839" s="188"/>
      <c r="F1839" s="188"/>
      <c r="G1839" s="2122">
        <v>56.88</v>
      </c>
      <c r="H1839" s="568" t="s">
        <v>262</v>
      </c>
      <c r="I1839" s="2118" t="s">
        <v>38</v>
      </c>
      <c r="J1839" s="2123">
        <f>L134</f>
        <v>345</v>
      </c>
      <c r="K1839" s="2123">
        <f>ROUND(G1839*J1839,2)</f>
        <v>19623.599999999999</v>
      </c>
      <c r="L1839" s="192"/>
      <c r="M1839" s="568"/>
    </row>
    <row r="1840" spans="1:25" ht="12.75" hidden="1">
      <c r="A1840" s="2114"/>
      <c r="B1840" s="568"/>
      <c r="C1840" s="568"/>
      <c r="D1840" s="568"/>
      <c r="E1840" s="188"/>
      <c r="F1840" s="188"/>
      <c r="G1840" s="2122"/>
      <c r="H1840" s="568"/>
      <c r="I1840" s="2118"/>
      <c r="J1840" s="2123"/>
      <c r="K1840" s="2123"/>
      <c r="L1840" s="192"/>
      <c r="M1840" s="568"/>
    </row>
    <row r="1841" spans="1:17" ht="12.75" hidden="1">
      <c r="A1841" s="2114"/>
      <c r="B1841" s="192" t="s">
        <v>719</v>
      </c>
      <c r="C1841" s="568"/>
      <c r="D1841" s="568"/>
      <c r="E1841" s="188"/>
      <c r="F1841" s="188"/>
      <c r="G1841" s="2122"/>
      <c r="H1841" s="568"/>
      <c r="I1841" s="2125">
        <v>0.02</v>
      </c>
      <c r="J1841" s="2123"/>
      <c r="K1841" s="2123">
        <f>ROUND(K1839*I1841,2)</f>
        <v>392.47</v>
      </c>
      <c r="L1841" s="192"/>
      <c r="M1841" s="568"/>
    </row>
    <row r="1842" spans="1:17" ht="12.75" hidden="1">
      <c r="A1842" s="2114"/>
      <c r="B1842" s="568" t="s">
        <v>760</v>
      </c>
      <c r="C1842" s="568"/>
      <c r="D1842" s="568"/>
      <c r="E1842" s="188"/>
      <c r="F1842" s="188"/>
      <c r="G1842" s="2122"/>
      <c r="H1842" s="568"/>
      <c r="I1842" s="2118"/>
      <c r="J1842" s="2134" t="s">
        <v>718</v>
      </c>
      <c r="K1842" s="2123">
        <f>SUM(K1839:K1841)</f>
        <v>20016.07</v>
      </c>
      <c r="L1842" s="192" t="s">
        <v>458</v>
      </c>
      <c r="M1842" s="568"/>
    </row>
    <row r="1843" spans="1:17" ht="12.75" hidden="1">
      <c r="A1843" s="2114"/>
      <c r="B1843" s="568"/>
      <c r="C1843" s="568"/>
      <c r="D1843" s="568"/>
      <c r="E1843" s="188"/>
      <c r="F1843" s="188"/>
      <c r="G1843" s="2122"/>
      <c r="H1843" s="568"/>
      <c r="I1843" s="2118"/>
      <c r="J1843" s="2134"/>
      <c r="K1843" s="2124">
        <f>ROUND(K1842/100,2)</f>
        <v>200.16</v>
      </c>
      <c r="L1843" s="192" t="s">
        <v>721</v>
      </c>
      <c r="M1843" s="568"/>
      <c r="Q1843" s="1706" t="s">
        <v>765</v>
      </c>
    </row>
    <row r="1844" spans="1:17" ht="12.75" hidden="1">
      <c r="A1844" s="2114"/>
      <c r="B1844" s="192" t="s">
        <v>761</v>
      </c>
      <c r="C1844" s="568"/>
      <c r="D1844" s="568"/>
      <c r="E1844" s="188"/>
      <c r="F1844" s="188"/>
      <c r="G1844" s="2122"/>
      <c r="H1844" s="568"/>
      <c r="I1844" s="2118"/>
      <c r="J1844" s="2134"/>
      <c r="K1844" s="2123">
        <f>ROUND(K1843*20%,2)</f>
        <v>40.03</v>
      </c>
      <c r="L1844" s="192"/>
      <c r="M1844" s="568"/>
    </row>
    <row r="1845" spans="1:17" ht="12.75" hidden="1">
      <c r="A1845" s="2114"/>
      <c r="B1845" s="192" t="s">
        <v>762</v>
      </c>
      <c r="C1845" s="568"/>
      <c r="D1845" s="568"/>
      <c r="E1845" s="188"/>
      <c r="F1845" s="188"/>
      <c r="G1845" s="2122"/>
      <c r="H1845" s="568"/>
      <c r="I1845" s="2118"/>
      <c r="J1845" s="2134" t="s">
        <v>718</v>
      </c>
      <c r="K1845" s="2123">
        <f>SUM(K1843:K1844)</f>
        <v>240.19</v>
      </c>
      <c r="L1845" s="192"/>
      <c r="M1845" s="568"/>
    </row>
    <row r="1846" spans="1:17" ht="12.75" hidden="1">
      <c r="A1846" s="2114"/>
      <c r="B1846" s="192" t="s">
        <v>763</v>
      </c>
      <c r="C1846" s="568"/>
      <c r="D1846" s="568"/>
      <c r="E1846" s="188"/>
      <c r="F1846" s="188"/>
      <c r="G1846" s="2122"/>
      <c r="H1846" s="568"/>
      <c r="I1846" s="2118"/>
      <c r="J1846" s="2126" t="s">
        <v>718</v>
      </c>
      <c r="K1846" s="2124">
        <f>K1845</f>
        <v>240.19</v>
      </c>
      <c r="L1846" s="192" t="s">
        <v>721</v>
      </c>
      <c r="M1846" s="568"/>
      <c r="Q1846" s="1706" t="s">
        <v>767</v>
      </c>
    </row>
    <row r="1847" spans="1:17" ht="45" hidden="1" customHeight="1">
      <c r="A1847" s="2114">
        <f>A389</f>
        <v>27</v>
      </c>
      <c r="B1847" s="3017" t="str">
        <f>B389</f>
        <v>E/W in excavation of foundation trenches in slushy  soil including dressing of sides and levelling the bed complete as directed by the Engineer in charge.</v>
      </c>
      <c r="C1847" s="3017"/>
      <c r="D1847" s="3017"/>
      <c r="E1847" s="2116" t="str">
        <f>G442</f>
        <v>Each Cum</v>
      </c>
      <c r="F1847" s="2116"/>
      <c r="G1847" s="568"/>
      <c r="H1847" s="568"/>
      <c r="I1847" s="2118"/>
      <c r="J1847" s="568"/>
      <c r="K1847" s="568"/>
      <c r="L1847" s="192"/>
      <c r="M1847" s="568"/>
    </row>
    <row r="1848" spans="1:17" ht="12.75" hidden="1">
      <c r="A1848" s="2114"/>
      <c r="B1848" s="192" t="s">
        <v>764</v>
      </c>
      <c r="C1848" s="568"/>
      <c r="D1848" s="568"/>
      <c r="E1848" s="188"/>
      <c r="F1848" s="188"/>
      <c r="G1848" s="568"/>
      <c r="H1848" s="568"/>
      <c r="I1848" s="2118"/>
      <c r="J1848" s="568"/>
      <c r="K1848" s="568"/>
      <c r="L1848" s="192"/>
      <c r="M1848" s="568"/>
    </row>
    <row r="1849" spans="1:17" s="1706" customFormat="1" ht="12.75" hidden="1">
      <c r="A1849" s="2114"/>
      <c r="B1849" s="192" t="s">
        <v>715</v>
      </c>
      <c r="C1849" s="192"/>
      <c r="D1849" s="192"/>
      <c r="E1849" s="188"/>
      <c r="F1849" s="188"/>
      <c r="G1849" s="192"/>
      <c r="H1849" s="192"/>
      <c r="I1849" s="2114"/>
      <c r="J1849" s="192"/>
      <c r="K1849" s="192"/>
      <c r="L1849" s="192"/>
      <c r="M1849" s="192"/>
    </row>
    <row r="1850" spans="1:17" ht="12.75" hidden="1">
      <c r="A1850" s="2114"/>
      <c r="B1850" s="568" t="s">
        <v>717</v>
      </c>
      <c r="C1850" s="568"/>
      <c r="D1850" s="568"/>
      <c r="E1850" s="188"/>
      <c r="F1850" s="188"/>
      <c r="G1850" s="2122">
        <v>44</v>
      </c>
      <c r="H1850" s="568" t="s">
        <v>262</v>
      </c>
      <c r="I1850" s="2118" t="s">
        <v>38</v>
      </c>
      <c r="J1850" s="2123">
        <f>L134</f>
        <v>345</v>
      </c>
      <c r="K1850" s="2123">
        <f>ROUND(G1850*J1850,2)</f>
        <v>15180</v>
      </c>
      <c r="L1850" s="192"/>
      <c r="M1850" s="568"/>
    </row>
    <row r="1851" spans="1:17" ht="12.75" hidden="1">
      <c r="A1851" s="2114"/>
      <c r="B1851" s="568"/>
      <c r="C1851" s="568"/>
      <c r="D1851" s="568"/>
      <c r="E1851" s="188"/>
      <c r="F1851" s="188"/>
      <c r="G1851" s="2122"/>
      <c r="H1851" s="568"/>
      <c r="I1851" s="2118"/>
      <c r="J1851" s="2123"/>
      <c r="K1851" s="2123"/>
      <c r="L1851" s="192"/>
      <c r="M1851" s="568"/>
    </row>
    <row r="1852" spans="1:17" ht="12.75" hidden="1">
      <c r="A1852" s="2114"/>
      <c r="B1852" s="192" t="s">
        <v>719</v>
      </c>
      <c r="C1852" s="568"/>
      <c r="D1852" s="568"/>
      <c r="E1852" s="188"/>
      <c r="F1852" s="188"/>
      <c r="G1852" s="2122"/>
      <c r="H1852" s="568"/>
      <c r="I1852" s="2125">
        <v>0.02</v>
      </c>
      <c r="J1852" s="2123"/>
      <c r="K1852" s="2123">
        <f>ROUND(K1850*I1852,2)</f>
        <v>303.60000000000002</v>
      </c>
      <c r="L1852" s="192"/>
      <c r="M1852" s="568"/>
    </row>
    <row r="1853" spans="1:17" ht="12.75" hidden="1">
      <c r="A1853" s="2114"/>
      <c r="B1853" s="568" t="s">
        <v>760</v>
      </c>
      <c r="C1853" s="568"/>
      <c r="D1853" s="568"/>
      <c r="E1853" s="188"/>
      <c r="F1853" s="188"/>
      <c r="G1853" s="2122"/>
      <c r="H1853" s="568"/>
      <c r="I1853" s="2118"/>
      <c r="J1853" s="2134" t="s">
        <v>718</v>
      </c>
      <c r="K1853" s="2123">
        <f>SUM(K1850:K1852)</f>
        <v>15483.6</v>
      </c>
      <c r="L1853" s="192" t="s">
        <v>458</v>
      </c>
      <c r="M1853" s="568"/>
    </row>
    <row r="1854" spans="1:17" ht="12.75" hidden="1">
      <c r="A1854" s="2114"/>
      <c r="B1854" s="192" t="s">
        <v>761</v>
      </c>
      <c r="C1854" s="568"/>
      <c r="D1854" s="568"/>
      <c r="E1854" s="188"/>
      <c r="F1854" s="188"/>
      <c r="G1854" s="2122"/>
      <c r="H1854" s="568"/>
      <c r="I1854" s="2118"/>
      <c r="J1854" s="2134"/>
      <c r="K1854" s="2123">
        <f>ROUND(K1853*20%,2)</f>
        <v>3096.72</v>
      </c>
      <c r="L1854" s="192"/>
      <c r="M1854" s="568"/>
    </row>
    <row r="1855" spans="1:17" ht="12.75" hidden="1">
      <c r="A1855" s="2114"/>
      <c r="B1855" s="192" t="s">
        <v>762</v>
      </c>
      <c r="C1855" s="568"/>
      <c r="D1855" s="568"/>
      <c r="E1855" s="188"/>
      <c r="F1855" s="188"/>
      <c r="G1855" s="2122"/>
      <c r="H1855" s="568"/>
      <c r="I1855" s="2118"/>
      <c r="J1855" s="2134" t="s">
        <v>718</v>
      </c>
      <c r="K1855" s="2123">
        <f>SUM(K1853:K1854)</f>
        <v>18580.32</v>
      </c>
      <c r="L1855" s="192"/>
      <c r="M1855" s="568"/>
    </row>
    <row r="1856" spans="1:17" ht="12.75" hidden="1">
      <c r="A1856" s="2114"/>
      <c r="B1856" s="192" t="s">
        <v>763</v>
      </c>
      <c r="C1856" s="568"/>
      <c r="D1856" s="568"/>
      <c r="E1856" s="188"/>
      <c r="F1856" s="188"/>
      <c r="G1856" s="2122"/>
      <c r="H1856" s="568"/>
      <c r="I1856" s="2118"/>
      <c r="J1856" s="2126" t="s">
        <v>718</v>
      </c>
      <c r="K1856" s="2124">
        <f>K1855/100</f>
        <v>185.8032</v>
      </c>
      <c r="L1856" s="192" t="s">
        <v>721</v>
      </c>
      <c r="M1856" s="568"/>
    </row>
    <row r="1857" spans="1:17" ht="45.6" hidden="1" customHeight="1">
      <c r="A1857" s="2114">
        <f>A390</f>
        <v>28</v>
      </c>
      <c r="B1857" s="3017" t="str">
        <f>B390</f>
        <v>E/W in excavation of foundation trenches in slushy  soil including dressing of sides and levelling the bed complete as directed by the Engineer in charge.</v>
      </c>
      <c r="C1857" s="3017"/>
      <c r="D1857" s="3017"/>
      <c r="E1857" s="2116" t="str">
        <f>G442</f>
        <v>Each Cum</v>
      </c>
      <c r="F1857" s="2116"/>
      <c r="G1857" s="568"/>
      <c r="H1857" s="568"/>
      <c r="I1857" s="2118"/>
      <c r="J1857" s="568"/>
      <c r="K1857" s="568"/>
      <c r="L1857" s="192"/>
      <c r="M1857" s="568"/>
      <c r="Q1857" s="1706" t="s">
        <v>411</v>
      </c>
    </row>
    <row r="1858" spans="1:17" ht="12.75" hidden="1">
      <c r="A1858" s="2114"/>
      <c r="B1858" s="192" t="s">
        <v>764</v>
      </c>
      <c r="C1858" s="568"/>
      <c r="D1858" s="568"/>
      <c r="E1858" s="188"/>
      <c r="F1858" s="188"/>
      <c r="G1858" s="568"/>
      <c r="H1858" s="568"/>
      <c r="I1858" s="2118"/>
      <c r="J1858" s="568"/>
      <c r="K1858" s="568"/>
      <c r="L1858" s="192"/>
      <c r="M1858" s="568"/>
    </row>
    <row r="1859" spans="1:17" s="1706" customFormat="1" ht="12.75" hidden="1">
      <c r="A1859" s="2114"/>
      <c r="B1859" s="192" t="s">
        <v>715</v>
      </c>
      <c r="C1859" s="192"/>
      <c r="D1859" s="192"/>
      <c r="E1859" s="188"/>
      <c r="F1859" s="188"/>
      <c r="G1859" s="192"/>
      <c r="H1859" s="192"/>
      <c r="I1859" s="2114"/>
      <c r="J1859" s="192"/>
      <c r="K1859" s="192"/>
      <c r="L1859" s="192"/>
      <c r="M1859" s="192"/>
    </row>
    <row r="1860" spans="1:17" ht="12.75" hidden="1">
      <c r="A1860" s="2114"/>
      <c r="B1860" s="568" t="s">
        <v>717</v>
      </c>
      <c r="C1860" s="568"/>
      <c r="D1860" s="568"/>
      <c r="E1860" s="188"/>
      <c r="F1860" s="188"/>
      <c r="G1860" s="2122">
        <f>(G1818+G1839+G1881)/3</f>
        <v>75.193333333333342</v>
      </c>
      <c r="H1860" s="568" t="s">
        <v>262</v>
      </c>
      <c r="I1860" s="2118" t="s">
        <v>38</v>
      </c>
      <c r="J1860" s="2123">
        <f>L134</f>
        <v>345</v>
      </c>
      <c r="K1860" s="2123">
        <f>ROUND(G1860*J1860,2)</f>
        <v>25941.7</v>
      </c>
      <c r="L1860" s="192"/>
      <c r="M1860" s="568"/>
    </row>
    <row r="1861" spans="1:17" ht="12.75" hidden="1">
      <c r="A1861" s="2114"/>
      <c r="B1861" s="568"/>
      <c r="C1861" s="568"/>
      <c r="D1861" s="568"/>
      <c r="E1861" s="188"/>
      <c r="F1861" s="188"/>
      <c r="G1861" s="2122"/>
      <c r="H1861" s="568"/>
      <c r="I1861" s="2118"/>
      <c r="J1861" s="2123"/>
      <c r="K1861" s="2123"/>
      <c r="L1861" s="192"/>
      <c r="M1861" s="568"/>
    </row>
    <row r="1862" spans="1:17" ht="12.75" hidden="1">
      <c r="A1862" s="2114"/>
      <c r="B1862" s="192" t="s">
        <v>719</v>
      </c>
      <c r="C1862" s="568"/>
      <c r="D1862" s="568"/>
      <c r="E1862" s="188"/>
      <c r="F1862" s="188"/>
      <c r="G1862" s="2122"/>
      <c r="H1862" s="568"/>
      <c r="I1862" s="2125">
        <v>0.02</v>
      </c>
      <c r="J1862" s="2123"/>
      <c r="K1862" s="2123">
        <f>ROUND(K1860*I1862,2)</f>
        <v>518.83000000000004</v>
      </c>
      <c r="L1862" s="192"/>
      <c r="M1862" s="568"/>
    </row>
    <row r="1863" spans="1:17" ht="12.75" hidden="1">
      <c r="A1863" s="2114"/>
      <c r="B1863" s="568" t="s">
        <v>760</v>
      </c>
      <c r="C1863" s="568"/>
      <c r="D1863" s="568"/>
      <c r="E1863" s="188"/>
      <c r="F1863" s="188"/>
      <c r="G1863" s="2122"/>
      <c r="H1863" s="568"/>
      <c r="I1863" s="2118"/>
      <c r="J1863" s="2134" t="s">
        <v>718</v>
      </c>
      <c r="K1863" s="2123">
        <f>SUM(K1860:K1862)</f>
        <v>26460.530000000002</v>
      </c>
      <c r="L1863" s="192" t="s">
        <v>458</v>
      </c>
      <c r="M1863" s="568"/>
    </row>
    <row r="1864" spans="1:17" ht="12.75" hidden="1">
      <c r="A1864" s="2114"/>
      <c r="B1864" s="568"/>
      <c r="C1864" s="568"/>
      <c r="D1864" s="568"/>
      <c r="E1864" s="188"/>
      <c r="F1864" s="188"/>
      <c r="G1864" s="2122"/>
      <c r="H1864" s="568"/>
      <c r="I1864" s="2118"/>
      <c r="J1864" s="2134"/>
      <c r="K1864" s="2124">
        <f>ROUND(K1863/100,2)</f>
        <v>264.61</v>
      </c>
      <c r="L1864" s="192" t="s">
        <v>721</v>
      </c>
      <c r="M1864" s="568"/>
      <c r="Q1864" s="1706" t="s">
        <v>765</v>
      </c>
    </row>
    <row r="1865" spans="1:17" ht="12.75" hidden="1">
      <c r="A1865" s="2114"/>
      <c r="B1865" s="192" t="s">
        <v>761</v>
      </c>
      <c r="C1865" s="568"/>
      <c r="D1865" s="568"/>
      <c r="E1865" s="188"/>
      <c r="F1865" s="188"/>
      <c r="G1865" s="2122"/>
      <c r="H1865" s="568"/>
      <c r="I1865" s="2118"/>
      <c r="J1865" s="2134"/>
      <c r="K1865" s="2123">
        <f>ROUND(K1864*20%,2)</f>
        <v>52.92</v>
      </c>
      <c r="L1865" s="192"/>
      <c r="M1865" s="568"/>
    </row>
    <row r="1866" spans="1:17" ht="12.75" hidden="1">
      <c r="A1866" s="2114"/>
      <c r="B1866" s="192" t="s">
        <v>762</v>
      </c>
      <c r="C1866" s="568"/>
      <c r="D1866" s="568"/>
      <c r="E1866" s="188"/>
      <c r="F1866" s="188"/>
      <c r="G1866" s="2122"/>
      <c r="H1866" s="568"/>
      <c r="I1866" s="2118"/>
      <c r="J1866" s="2134" t="s">
        <v>718</v>
      </c>
      <c r="K1866" s="2123">
        <f>SUM(K1864:K1865)</f>
        <v>317.53000000000003</v>
      </c>
      <c r="L1866" s="192"/>
      <c r="M1866" s="568"/>
    </row>
    <row r="1867" spans="1:17" ht="12.75" hidden="1">
      <c r="A1867" s="2114"/>
      <c r="B1867" s="192" t="s">
        <v>763</v>
      </c>
      <c r="C1867" s="568"/>
      <c r="D1867" s="568"/>
      <c r="E1867" s="188"/>
      <c r="F1867" s="188"/>
      <c r="G1867" s="2122"/>
      <c r="H1867" s="568"/>
      <c r="I1867" s="2118"/>
      <c r="J1867" s="2126" t="s">
        <v>718</v>
      </c>
      <c r="K1867" s="2124">
        <f>K1866</f>
        <v>317.53000000000003</v>
      </c>
      <c r="L1867" s="192" t="s">
        <v>721</v>
      </c>
      <c r="M1867" s="568"/>
      <c r="Q1867" s="1706" t="s">
        <v>767</v>
      </c>
    </row>
    <row r="1868" spans="1:17" ht="44.45" hidden="1" customHeight="1">
      <c r="A1868" s="2114">
        <f>A393</f>
        <v>29</v>
      </c>
      <c r="B1868" s="3017" t="str">
        <f>B393</f>
        <v>E/W in excavation of foundation trenches in stoney earth including dressing of sides and levelling the bed complete as directed by the Engineer in charge.</v>
      </c>
      <c r="C1868" s="3017"/>
      <c r="D1868" s="3017"/>
      <c r="E1868" s="2116" t="str">
        <f>G461</f>
        <v>Each Cum</v>
      </c>
      <c r="F1868" s="2116"/>
      <c r="G1868" s="568"/>
      <c r="H1868" s="568"/>
      <c r="I1868" s="2118"/>
      <c r="J1868" s="568"/>
      <c r="K1868" s="568"/>
      <c r="L1868" s="192"/>
      <c r="M1868" s="568"/>
    </row>
    <row r="1869" spans="1:17" ht="12.75" hidden="1">
      <c r="A1869" s="2114"/>
      <c r="B1869" s="192" t="s">
        <v>764</v>
      </c>
      <c r="C1869" s="568"/>
      <c r="D1869" s="568"/>
      <c r="E1869" s="188"/>
      <c r="F1869" s="188"/>
      <c r="G1869" s="568"/>
      <c r="H1869" s="568"/>
      <c r="I1869" s="2118"/>
      <c r="J1869" s="568"/>
      <c r="K1869" s="568"/>
      <c r="L1869" s="192"/>
      <c r="M1869" s="568"/>
    </row>
    <row r="1870" spans="1:17" s="1706" customFormat="1" ht="12.75" hidden="1">
      <c r="A1870" s="2114"/>
      <c r="B1870" s="192" t="s">
        <v>715</v>
      </c>
      <c r="C1870" s="192"/>
      <c r="D1870" s="192"/>
      <c r="E1870" s="188"/>
      <c r="F1870" s="188"/>
      <c r="G1870" s="192"/>
      <c r="H1870" s="192"/>
      <c r="I1870" s="2114"/>
      <c r="J1870" s="192"/>
      <c r="K1870" s="192"/>
      <c r="L1870" s="192"/>
      <c r="M1870" s="192"/>
    </row>
    <row r="1871" spans="1:17" ht="12.75" hidden="1">
      <c r="A1871" s="2114"/>
      <c r="B1871" s="568" t="s">
        <v>717</v>
      </c>
      <c r="C1871" s="568"/>
      <c r="D1871" s="568"/>
      <c r="E1871" s="188"/>
      <c r="F1871" s="188"/>
      <c r="G1871" s="2122">
        <v>67.06</v>
      </c>
      <c r="H1871" s="568" t="s">
        <v>262</v>
      </c>
      <c r="I1871" s="2118" t="s">
        <v>38</v>
      </c>
      <c r="J1871" s="2123">
        <f>L134</f>
        <v>345</v>
      </c>
      <c r="K1871" s="2123">
        <f>ROUND(G1871*J1871,2)</f>
        <v>23135.7</v>
      </c>
      <c r="L1871" s="192"/>
      <c r="M1871" s="568"/>
    </row>
    <row r="1872" spans="1:17" ht="12.75" hidden="1">
      <c r="A1872" s="2114"/>
      <c r="B1872" s="568"/>
      <c r="C1872" s="568"/>
      <c r="D1872" s="568"/>
      <c r="E1872" s="188"/>
      <c r="F1872" s="188"/>
      <c r="G1872" s="2122"/>
      <c r="H1872" s="568"/>
      <c r="I1872" s="2118"/>
      <c r="J1872" s="2123"/>
      <c r="K1872" s="2123"/>
      <c r="L1872" s="192"/>
      <c r="M1872" s="568"/>
    </row>
    <row r="1873" spans="1:17" ht="12.75" hidden="1">
      <c r="A1873" s="2114"/>
      <c r="B1873" s="192" t="s">
        <v>719</v>
      </c>
      <c r="C1873" s="568"/>
      <c r="D1873" s="568"/>
      <c r="E1873" s="188"/>
      <c r="F1873" s="188"/>
      <c r="G1873" s="2122"/>
      <c r="H1873" s="568"/>
      <c r="I1873" s="2125">
        <v>0.02</v>
      </c>
      <c r="J1873" s="2123"/>
      <c r="K1873" s="2123">
        <f>ROUND(K1871*I1873,2)</f>
        <v>462.71</v>
      </c>
      <c r="L1873" s="192"/>
      <c r="M1873" s="568"/>
    </row>
    <row r="1874" spans="1:17" ht="12.75" hidden="1">
      <c r="A1874" s="2114"/>
      <c r="B1874" s="568" t="s">
        <v>760</v>
      </c>
      <c r="C1874" s="568"/>
      <c r="D1874" s="568"/>
      <c r="E1874" s="188"/>
      <c r="F1874" s="188"/>
      <c r="G1874" s="2122"/>
      <c r="H1874" s="568"/>
      <c r="I1874" s="2118"/>
      <c r="J1874" s="2134" t="s">
        <v>718</v>
      </c>
      <c r="K1874" s="2123">
        <f>SUM(K1871:K1873)</f>
        <v>23598.41</v>
      </c>
      <c r="L1874" s="192" t="s">
        <v>458</v>
      </c>
      <c r="M1874" s="568"/>
    </row>
    <row r="1875" spans="1:17" ht="12.75" hidden="1">
      <c r="A1875" s="2114"/>
      <c r="B1875" s="192" t="s">
        <v>761</v>
      </c>
      <c r="C1875" s="568"/>
      <c r="D1875" s="568"/>
      <c r="E1875" s="188"/>
      <c r="F1875" s="188"/>
      <c r="G1875" s="2122"/>
      <c r="H1875" s="568"/>
      <c r="I1875" s="2118"/>
      <c r="J1875" s="2134"/>
      <c r="K1875" s="2123">
        <f>ROUND(K1874*20%,2)</f>
        <v>4719.68</v>
      </c>
      <c r="L1875" s="192"/>
      <c r="M1875" s="568"/>
    </row>
    <row r="1876" spans="1:17" ht="12.75" hidden="1">
      <c r="A1876" s="2114"/>
      <c r="B1876" s="192" t="s">
        <v>762</v>
      </c>
      <c r="C1876" s="568"/>
      <c r="D1876" s="568"/>
      <c r="E1876" s="188"/>
      <c r="F1876" s="188"/>
      <c r="G1876" s="2122"/>
      <c r="H1876" s="568"/>
      <c r="I1876" s="2118"/>
      <c r="J1876" s="2134" t="s">
        <v>718</v>
      </c>
      <c r="K1876" s="2123">
        <f>SUM(K1874:K1875)</f>
        <v>28318.09</v>
      </c>
      <c r="L1876" s="192"/>
      <c r="M1876" s="568"/>
    </row>
    <row r="1877" spans="1:17" ht="12.75" hidden="1">
      <c r="A1877" s="2114"/>
      <c r="B1877" s="192" t="s">
        <v>763</v>
      </c>
      <c r="C1877" s="568"/>
      <c r="D1877" s="568"/>
      <c r="E1877" s="188"/>
      <c r="F1877" s="188"/>
      <c r="G1877" s="2122"/>
      <c r="H1877" s="568"/>
      <c r="I1877" s="2118"/>
      <c r="J1877" s="2126" t="s">
        <v>718</v>
      </c>
      <c r="K1877" s="2124">
        <f>K1876/100</f>
        <v>283.18090000000001</v>
      </c>
      <c r="L1877" s="192" t="s">
        <v>721</v>
      </c>
      <c r="M1877" s="568"/>
    </row>
    <row r="1878" spans="1:17" ht="44.45" hidden="1" customHeight="1">
      <c r="A1878" s="2114">
        <f>A394</f>
        <v>30</v>
      </c>
      <c r="B1878" s="3017" t="str">
        <f>B394</f>
        <v>E/W in excavation of foundation trenches in stoney earth including dressing of sides and levelling the bed complete as directed by the Engineer in charge.</v>
      </c>
      <c r="C1878" s="3017"/>
      <c r="D1878" s="3017"/>
      <c r="E1878" s="2116" t="str">
        <f>G477</f>
        <v>Each Cum</v>
      </c>
      <c r="F1878" s="2116"/>
      <c r="G1878" s="568"/>
      <c r="H1878" s="568"/>
      <c r="I1878" s="2118"/>
      <c r="J1878" s="568"/>
      <c r="K1878" s="568"/>
      <c r="L1878" s="192"/>
      <c r="M1878" s="568"/>
      <c r="Q1878" s="1706" t="s">
        <v>411</v>
      </c>
    </row>
    <row r="1879" spans="1:17" ht="12.75" hidden="1">
      <c r="A1879" s="2114"/>
      <c r="B1879" s="192" t="s">
        <v>764</v>
      </c>
      <c r="C1879" s="568"/>
      <c r="D1879" s="568"/>
      <c r="E1879" s="188"/>
      <c r="F1879" s="188"/>
      <c r="G1879" s="568"/>
      <c r="H1879" s="568"/>
      <c r="I1879" s="2118"/>
      <c r="J1879" s="568"/>
      <c r="K1879" s="568"/>
      <c r="L1879" s="192"/>
      <c r="M1879" s="568"/>
    </row>
    <row r="1880" spans="1:17" s="1706" customFormat="1" ht="12.75" hidden="1">
      <c r="A1880" s="2114"/>
      <c r="B1880" s="192" t="s">
        <v>715</v>
      </c>
      <c r="C1880" s="192"/>
      <c r="D1880" s="192"/>
      <c r="E1880" s="188"/>
      <c r="F1880" s="188"/>
      <c r="G1880" s="192"/>
      <c r="H1880" s="192"/>
      <c r="I1880" s="2114"/>
      <c r="J1880" s="192"/>
      <c r="K1880" s="192"/>
      <c r="L1880" s="192"/>
      <c r="M1880" s="192"/>
    </row>
    <row r="1881" spans="1:17" ht="12.75" hidden="1">
      <c r="A1881" s="2114"/>
      <c r="B1881" s="568" t="s">
        <v>717</v>
      </c>
      <c r="C1881" s="568"/>
      <c r="D1881" s="568"/>
      <c r="E1881" s="188"/>
      <c r="F1881" s="188"/>
      <c r="G1881" s="2122">
        <v>98.03</v>
      </c>
      <c r="H1881" s="568" t="s">
        <v>262</v>
      </c>
      <c r="I1881" s="2118" t="s">
        <v>38</v>
      </c>
      <c r="J1881" s="2123">
        <f>L134</f>
        <v>345</v>
      </c>
      <c r="K1881" s="2123">
        <f>ROUND(G1881*J1881,2)</f>
        <v>33820.35</v>
      </c>
      <c r="L1881" s="192"/>
      <c r="M1881" s="568"/>
    </row>
    <row r="1882" spans="1:17" ht="12.75" hidden="1">
      <c r="A1882" s="2114"/>
      <c r="B1882" s="568"/>
      <c r="C1882" s="568"/>
      <c r="D1882" s="568"/>
      <c r="E1882" s="188"/>
      <c r="F1882" s="188"/>
      <c r="G1882" s="2122"/>
      <c r="H1882" s="568"/>
      <c r="I1882" s="2118"/>
      <c r="J1882" s="2123"/>
      <c r="K1882" s="2123"/>
      <c r="L1882" s="192"/>
      <c r="M1882" s="568"/>
    </row>
    <row r="1883" spans="1:17" ht="12.75" hidden="1">
      <c r="A1883" s="2114"/>
      <c r="B1883" s="192" t="s">
        <v>719</v>
      </c>
      <c r="C1883" s="568"/>
      <c r="D1883" s="568"/>
      <c r="E1883" s="188"/>
      <c r="F1883" s="188"/>
      <c r="G1883" s="2122"/>
      <c r="H1883" s="568"/>
      <c r="I1883" s="2125">
        <v>0.02</v>
      </c>
      <c r="J1883" s="2123"/>
      <c r="K1883" s="2123">
        <f>ROUND(K1881*I1883,2)</f>
        <v>676.41</v>
      </c>
      <c r="L1883" s="192"/>
      <c r="M1883" s="568"/>
    </row>
    <row r="1884" spans="1:17" ht="12.75" hidden="1">
      <c r="A1884" s="2114"/>
      <c r="B1884" s="568" t="s">
        <v>760</v>
      </c>
      <c r="C1884" s="568"/>
      <c r="D1884" s="568"/>
      <c r="E1884" s="188"/>
      <c r="F1884" s="188"/>
      <c r="G1884" s="2122"/>
      <c r="H1884" s="568"/>
      <c r="I1884" s="2118"/>
      <c r="J1884" s="2134" t="s">
        <v>718</v>
      </c>
      <c r="K1884" s="2123">
        <f>SUM(K1881:K1883)</f>
        <v>34496.76</v>
      </c>
      <c r="L1884" s="192" t="s">
        <v>458</v>
      </c>
      <c r="M1884" s="568"/>
    </row>
    <row r="1885" spans="1:17" ht="12.75" hidden="1">
      <c r="A1885" s="2114"/>
      <c r="B1885" s="568"/>
      <c r="C1885" s="568"/>
      <c r="D1885" s="568"/>
      <c r="E1885" s="188"/>
      <c r="F1885" s="188"/>
      <c r="G1885" s="2122"/>
      <c r="H1885" s="568"/>
      <c r="I1885" s="2118"/>
      <c r="J1885" s="2134"/>
      <c r="K1885" s="2124">
        <f>ROUND(K1884/100,2)</f>
        <v>344.97</v>
      </c>
      <c r="L1885" s="192" t="s">
        <v>721</v>
      </c>
      <c r="M1885" s="568"/>
      <c r="Q1885" s="1706" t="s">
        <v>765</v>
      </c>
    </row>
    <row r="1886" spans="1:17" ht="12.75" hidden="1">
      <c r="A1886" s="2114"/>
      <c r="B1886" s="192" t="s">
        <v>761</v>
      </c>
      <c r="C1886" s="568"/>
      <c r="D1886" s="568"/>
      <c r="E1886" s="188"/>
      <c r="F1886" s="188"/>
      <c r="G1886" s="2122"/>
      <c r="H1886" s="568"/>
      <c r="I1886" s="2118"/>
      <c r="J1886" s="2134"/>
      <c r="K1886" s="2123">
        <f>ROUND(K1885*20%,2)</f>
        <v>68.989999999999995</v>
      </c>
      <c r="L1886" s="192"/>
      <c r="M1886" s="568"/>
    </row>
    <row r="1887" spans="1:17" ht="12.75" hidden="1">
      <c r="A1887" s="2114"/>
      <c r="B1887" s="192" t="s">
        <v>762</v>
      </c>
      <c r="C1887" s="568"/>
      <c r="D1887" s="568"/>
      <c r="E1887" s="188"/>
      <c r="F1887" s="188"/>
      <c r="G1887" s="2122"/>
      <c r="H1887" s="568"/>
      <c r="I1887" s="2118"/>
      <c r="J1887" s="2134" t="s">
        <v>718</v>
      </c>
      <c r="K1887" s="2123">
        <f>SUM(K1885:K1886)</f>
        <v>413.96000000000004</v>
      </c>
      <c r="L1887" s="192"/>
      <c r="M1887" s="568"/>
    </row>
    <row r="1888" spans="1:17" ht="12.75" hidden="1">
      <c r="A1888" s="2114"/>
      <c r="B1888" s="192" t="s">
        <v>763</v>
      </c>
      <c r="C1888" s="568"/>
      <c r="D1888" s="568"/>
      <c r="E1888" s="188"/>
      <c r="F1888" s="188"/>
      <c r="G1888" s="2122"/>
      <c r="H1888" s="568"/>
      <c r="I1888" s="2118"/>
      <c r="J1888" s="2126" t="s">
        <v>718</v>
      </c>
      <c r="K1888" s="2124">
        <f>K1887</f>
        <v>413.96000000000004</v>
      </c>
      <c r="L1888" s="192" t="s">
        <v>721</v>
      </c>
      <c r="M1888" s="568"/>
      <c r="Q1888" s="1706" t="s">
        <v>767</v>
      </c>
    </row>
    <row r="1889" spans="1:13" ht="75" hidden="1" customHeight="1">
      <c r="A1889" s="2114">
        <f>A397</f>
        <v>31</v>
      </c>
      <c r="B1889" s="3017" t="str">
        <f>B397</f>
        <v>E/W in excavation of foundation trenches in Laterite rock or any hard rock other than granite removed by  chiselling including dressing of sides and levelling the bed not exceeding 1.5m in depth and depositing the soil within initial lead of 50m  complete as directed by the Engineer in charge.</v>
      </c>
      <c r="C1889" s="3017"/>
      <c r="D1889" s="3017"/>
      <c r="E1889" s="2116" t="str">
        <f>G477</f>
        <v>Each Cum</v>
      </c>
      <c r="F1889" s="2116"/>
      <c r="G1889" s="568"/>
      <c r="H1889" s="568"/>
      <c r="I1889" s="2118"/>
      <c r="J1889" s="568"/>
      <c r="K1889" s="568"/>
      <c r="L1889" s="192"/>
      <c r="M1889" s="568"/>
    </row>
    <row r="1890" spans="1:13" ht="12.75" hidden="1">
      <c r="A1890" s="2114"/>
      <c r="B1890" s="192" t="s">
        <v>714</v>
      </c>
      <c r="C1890" s="568"/>
      <c r="D1890" s="568"/>
      <c r="E1890" s="188"/>
      <c r="F1890" s="188"/>
      <c r="G1890" s="568"/>
      <c r="H1890" s="568"/>
      <c r="I1890" s="2118"/>
      <c r="J1890" s="568"/>
      <c r="K1890" s="568"/>
      <c r="L1890" s="192"/>
      <c r="M1890" s="568"/>
    </row>
    <row r="1891" spans="1:13" s="1706" customFormat="1" ht="12.75" hidden="1">
      <c r="A1891" s="2114"/>
      <c r="B1891" s="192" t="s">
        <v>715</v>
      </c>
      <c r="C1891" s="192"/>
      <c r="D1891" s="192"/>
      <c r="E1891" s="188"/>
      <c r="F1891" s="188"/>
      <c r="G1891" s="192"/>
      <c r="H1891" s="192"/>
      <c r="I1891" s="2114"/>
      <c r="J1891" s="192"/>
      <c r="K1891" s="192"/>
      <c r="L1891" s="192"/>
      <c r="M1891" s="192"/>
    </row>
    <row r="1892" spans="1:13" ht="12.75" hidden="1">
      <c r="A1892" s="2114"/>
      <c r="B1892" s="568" t="s">
        <v>768</v>
      </c>
      <c r="C1892" s="568"/>
      <c r="D1892" s="568"/>
      <c r="E1892" s="188"/>
      <c r="F1892" s="188"/>
      <c r="G1892" s="2122">
        <v>3.74</v>
      </c>
      <c r="H1892" s="568" t="s">
        <v>262</v>
      </c>
      <c r="I1892" s="2118" t="s">
        <v>38</v>
      </c>
      <c r="J1892" s="2123">
        <f>L134</f>
        <v>345</v>
      </c>
      <c r="K1892" s="2123">
        <f>ROUND(G1892*J1892,2)</f>
        <v>1290.3</v>
      </c>
      <c r="L1892" s="192"/>
      <c r="M1892" s="568"/>
    </row>
    <row r="1893" spans="1:13" ht="12.75" hidden="1">
      <c r="A1893" s="2114"/>
      <c r="B1893" s="568"/>
      <c r="C1893" s="568"/>
      <c r="D1893" s="568"/>
      <c r="E1893" s="188"/>
      <c r="F1893" s="188"/>
      <c r="G1893" s="2122"/>
      <c r="H1893" s="568"/>
      <c r="I1893" s="2118"/>
      <c r="J1893" s="2123"/>
      <c r="K1893" s="2123"/>
      <c r="L1893" s="192"/>
      <c r="M1893" s="568"/>
    </row>
    <row r="1894" spans="1:13" ht="12.75" hidden="1">
      <c r="A1894" s="2114"/>
      <c r="B1894" s="192" t="s">
        <v>719</v>
      </c>
      <c r="C1894" s="568"/>
      <c r="D1894" s="568"/>
      <c r="E1894" s="188"/>
      <c r="F1894" s="188"/>
      <c r="G1894" s="2122"/>
      <c r="H1894" s="568"/>
      <c r="I1894" s="2125">
        <v>0.02</v>
      </c>
      <c r="J1894" s="2123"/>
      <c r="K1894" s="2123">
        <f>ROUND(K1892*I1894,2)</f>
        <v>25.81</v>
      </c>
      <c r="L1894" s="192"/>
      <c r="M1894" s="568"/>
    </row>
    <row r="1895" spans="1:13" ht="12.75" hidden="1">
      <c r="A1895" s="2114"/>
      <c r="B1895" s="192" t="s">
        <v>760</v>
      </c>
      <c r="C1895" s="568"/>
      <c r="D1895" s="568"/>
      <c r="E1895" s="188"/>
      <c r="F1895" s="188"/>
      <c r="G1895" s="2122"/>
      <c r="H1895" s="568"/>
      <c r="I1895" s="2118"/>
      <c r="J1895" s="2134" t="s">
        <v>718</v>
      </c>
      <c r="K1895" s="2123">
        <f>SUM(K1892:K1894)</f>
        <v>1316.11</v>
      </c>
      <c r="L1895" s="192" t="s">
        <v>458</v>
      </c>
      <c r="M1895" s="568"/>
    </row>
    <row r="1896" spans="1:13" ht="12.75" hidden="1">
      <c r="A1896" s="2114"/>
      <c r="B1896" s="192" t="s">
        <v>763</v>
      </c>
      <c r="C1896" s="568"/>
      <c r="D1896" s="568"/>
      <c r="E1896" s="188"/>
      <c r="F1896" s="188"/>
      <c r="G1896" s="2122"/>
      <c r="H1896" s="568"/>
      <c r="I1896" s="2118"/>
      <c r="J1896" s="2126" t="s">
        <v>718</v>
      </c>
      <c r="K1896" s="2124">
        <f>K1895</f>
        <v>1316.11</v>
      </c>
      <c r="L1896" s="192" t="s">
        <v>721</v>
      </c>
      <c r="M1896" s="568"/>
    </row>
    <row r="1897" spans="1:13" ht="71.45" hidden="1" customHeight="1">
      <c r="A1897" s="2114">
        <f>A398</f>
        <v>32</v>
      </c>
      <c r="B1897" s="3020" t="str">
        <f>B398</f>
        <v>Cutting in disintegrated rock not requiring blasting to be removed by pick axes and crow bars and depositing materials within 50m initial lead and 1.5m initial lift including rough dressing as per direction and specification of the department including stacking the useful materials separately as ordered.</v>
      </c>
      <c r="C1897" s="3020"/>
      <c r="D1897" s="3020"/>
      <c r="E1897" s="2116">
        <f>G491</f>
        <v>0</v>
      </c>
      <c r="F1897" s="2116"/>
      <c r="G1897" s="568"/>
      <c r="H1897" s="568"/>
      <c r="I1897" s="2118"/>
      <c r="J1897" s="568"/>
      <c r="K1897" s="568"/>
      <c r="L1897" s="192"/>
      <c r="M1897" s="568"/>
    </row>
    <row r="1898" spans="1:13" ht="12.75" hidden="1">
      <c r="A1898" s="2114"/>
      <c r="B1898" s="192" t="s">
        <v>769</v>
      </c>
      <c r="C1898" s="568"/>
      <c r="D1898" s="568"/>
      <c r="E1898" s="188"/>
      <c r="F1898" s="188"/>
      <c r="G1898" s="568"/>
      <c r="H1898" s="568"/>
      <c r="I1898" s="2118"/>
      <c r="J1898" s="568"/>
      <c r="K1898" s="568"/>
      <c r="L1898" s="192"/>
      <c r="M1898" s="568"/>
    </row>
    <row r="1899" spans="1:13" s="1706" customFormat="1" ht="12.75" hidden="1">
      <c r="A1899" s="2114"/>
      <c r="B1899" s="192" t="s">
        <v>715</v>
      </c>
      <c r="C1899" s="192"/>
      <c r="D1899" s="192"/>
      <c r="E1899" s="188"/>
      <c r="F1899" s="188"/>
      <c r="G1899" s="192"/>
      <c r="H1899" s="192"/>
      <c r="I1899" s="2114"/>
      <c r="J1899" s="192"/>
      <c r="K1899" s="192"/>
      <c r="L1899" s="192"/>
      <c r="M1899" s="192"/>
    </row>
    <row r="1900" spans="1:13" ht="12.75" hidden="1">
      <c r="A1900" s="2114"/>
      <c r="B1900" s="568" t="s">
        <v>768</v>
      </c>
      <c r="C1900" s="568"/>
      <c r="D1900" s="568"/>
      <c r="E1900" s="188"/>
      <c r="F1900" s="188"/>
      <c r="G1900" s="2122">
        <v>55</v>
      </c>
      <c r="H1900" s="568" t="s">
        <v>262</v>
      </c>
      <c r="I1900" s="2118" t="s">
        <v>38</v>
      </c>
      <c r="J1900" s="2123">
        <f>L134</f>
        <v>345</v>
      </c>
      <c r="K1900" s="2123">
        <f>ROUND(G1900*J1900,2)</f>
        <v>18975</v>
      </c>
      <c r="L1900" s="192"/>
      <c r="M1900" s="568"/>
    </row>
    <row r="1901" spans="1:13" ht="12.75" hidden="1">
      <c r="A1901" s="2114"/>
      <c r="B1901" s="568" t="s">
        <v>770</v>
      </c>
      <c r="C1901" s="568"/>
      <c r="D1901" s="568"/>
      <c r="E1901" s="188"/>
      <c r="F1901" s="188"/>
      <c r="G1901" s="2122">
        <v>54</v>
      </c>
      <c r="H1901" s="568" t="s">
        <v>262</v>
      </c>
      <c r="I1901" s="2118" t="s">
        <v>38</v>
      </c>
      <c r="J1901" s="2123">
        <f>L134</f>
        <v>345</v>
      </c>
      <c r="K1901" s="2140">
        <f>ROUND(G1901*J1901,2)</f>
        <v>18630</v>
      </c>
      <c r="L1901" s="192"/>
      <c r="M1901" s="568"/>
    </row>
    <row r="1902" spans="1:13" ht="12.75" hidden="1">
      <c r="A1902" s="2114"/>
      <c r="B1902" s="568"/>
      <c r="C1902" s="568"/>
      <c r="D1902" s="568"/>
      <c r="E1902" s="188"/>
      <c r="F1902" s="188"/>
      <c r="G1902" s="2122"/>
      <c r="H1902" s="568"/>
      <c r="I1902" s="2118"/>
      <c r="J1902" s="2123"/>
      <c r="K1902" s="2124">
        <f>SUM(K1900:K1901)</f>
        <v>37605</v>
      </c>
      <c r="L1902" s="192"/>
      <c r="M1902" s="568"/>
    </row>
    <row r="1903" spans="1:13" ht="12.75" hidden="1">
      <c r="A1903" s="2114"/>
      <c r="B1903" s="568"/>
      <c r="C1903" s="568"/>
      <c r="D1903" s="568"/>
      <c r="E1903" s="188"/>
      <c r="F1903" s="188"/>
      <c r="G1903" s="2122"/>
      <c r="H1903" s="568"/>
      <c r="I1903" s="2118"/>
      <c r="J1903" s="2123"/>
      <c r="K1903" s="2123"/>
      <c r="L1903" s="192"/>
      <c r="M1903" s="568"/>
    </row>
    <row r="1904" spans="1:13" ht="12.75" hidden="1">
      <c r="A1904" s="2114"/>
      <c r="B1904" s="192" t="s">
        <v>719</v>
      </c>
      <c r="C1904" s="568"/>
      <c r="D1904" s="568"/>
      <c r="E1904" s="188"/>
      <c r="F1904" s="188"/>
      <c r="G1904" s="2122"/>
      <c r="H1904" s="568"/>
      <c r="I1904" s="2125">
        <v>0.02</v>
      </c>
      <c r="J1904" s="2123"/>
      <c r="K1904" s="2123">
        <f>ROUND(K1902*I1904,2)</f>
        <v>752.1</v>
      </c>
      <c r="L1904" s="192"/>
      <c r="M1904" s="568"/>
    </row>
    <row r="1905" spans="1:13" ht="12.75" hidden="1">
      <c r="A1905" s="2114"/>
      <c r="B1905" s="192" t="s">
        <v>771</v>
      </c>
      <c r="C1905" s="568"/>
      <c r="D1905" s="568"/>
      <c r="E1905" s="188"/>
      <c r="F1905" s="188"/>
      <c r="G1905" s="2122"/>
      <c r="H1905" s="568"/>
      <c r="I1905" s="2118"/>
      <c r="J1905" s="2134" t="s">
        <v>718</v>
      </c>
      <c r="K1905" s="2123">
        <f>SUM(K1902:K1904)</f>
        <v>38357.1</v>
      </c>
      <c r="L1905" s="192" t="s">
        <v>772</v>
      </c>
      <c r="M1905" s="568"/>
    </row>
    <row r="1906" spans="1:13" ht="12.75" hidden="1">
      <c r="A1906" s="2114"/>
      <c r="B1906" s="192" t="s">
        <v>763</v>
      </c>
      <c r="C1906" s="568"/>
      <c r="D1906" s="568"/>
      <c r="E1906" s="188"/>
      <c r="F1906" s="188"/>
      <c r="G1906" s="2122"/>
      <c r="H1906" s="568"/>
      <c r="I1906" s="2118"/>
      <c r="J1906" s="2126" t="s">
        <v>718</v>
      </c>
      <c r="K1906" s="2124">
        <f>ROUND(K1905/100,2)</f>
        <v>383.57</v>
      </c>
      <c r="L1906" s="192" t="s">
        <v>721</v>
      </c>
      <c r="M1906" s="568"/>
    </row>
    <row r="1907" spans="1:13" ht="29.65" customHeight="1">
      <c r="A1907" s="2114">
        <f>A399</f>
        <v>33</v>
      </c>
      <c r="B1907" s="3025" t="str">
        <f>B399</f>
        <v>Supplying and filling in foundation trenches and plinth, ditches with sand well watered and rammed  etc. complete in all respect as per direction by the Engineer in charge.</v>
      </c>
      <c r="C1907" s="3025"/>
      <c r="D1907" s="3025"/>
      <c r="E1907" s="3025"/>
      <c r="F1907" s="3025"/>
      <c r="G1907" s="3025"/>
      <c r="H1907" s="3025"/>
      <c r="I1907" s="2118"/>
      <c r="J1907" s="2124"/>
      <c r="K1907" s="2124"/>
      <c r="L1907" s="192"/>
      <c r="M1907" s="568"/>
    </row>
    <row r="1908" spans="1:13" ht="12.75">
      <c r="A1908" s="2114"/>
      <c r="B1908" s="192" t="s">
        <v>764</v>
      </c>
      <c r="C1908" s="568"/>
      <c r="D1908" s="568"/>
      <c r="E1908" s="188"/>
      <c r="F1908" s="188"/>
      <c r="G1908" s="2122"/>
      <c r="H1908" s="568"/>
      <c r="I1908" s="2118"/>
      <c r="J1908" s="2123"/>
      <c r="K1908" s="2123"/>
      <c r="L1908" s="192"/>
      <c r="M1908" s="568"/>
    </row>
    <row r="1909" spans="1:13" s="1706" customFormat="1" ht="12.75">
      <c r="A1909" s="2114"/>
      <c r="B1909" s="192" t="s">
        <v>715</v>
      </c>
      <c r="C1909" s="192"/>
      <c r="D1909" s="192"/>
      <c r="E1909" s="188"/>
      <c r="F1909" s="188"/>
      <c r="G1909" s="2141"/>
      <c r="H1909" s="192"/>
      <c r="I1909" s="2114"/>
      <c r="J1909" s="2124"/>
      <c r="K1909" s="2124"/>
      <c r="L1909" s="192"/>
      <c r="M1909" s="192"/>
    </row>
    <row r="1910" spans="1:13" ht="12.75">
      <c r="A1910" s="2114"/>
      <c r="B1910" s="568" t="s">
        <v>717</v>
      </c>
      <c r="C1910" s="568"/>
      <c r="D1910" s="568"/>
      <c r="E1910" s="188"/>
      <c r="F1910" s="188"/>
      <c r="G1910" s="2122">
        <v>12.36</v>
      </c>
      <c r="H1910" s="568" t="s">
        <v>262</v>
      </c>
      <c r="I1910" s="2118" t="s">
        <v>38</v>
      </c>
      <c r="J1910" s="2123">
        <f>L134</f>
        <v>345</v>
      </c>
      <c r="K1910" s="2123">
        <f>ROUND(G1910*J1910,2)</f>
        <v>4264.2</v>
      </c>
      <c r="L1910" s="192"/>
      <c r="M1910" s="568"/>
    </row>
    <row r="1911" spans="1:13" s="1706" customFormat="1" ht="12.75">
      <c r="A1911" s="2114"/>
      <c r="B1911" s="192" t="s">
        <v>3732</v>
      </c>
      <c r="C1911" s="192"/>
      <c r="D1911" s="192"/>
      <c r="E1911" s="188"/>
      <c r="F1911" s="188"/>
      <c r="G1911" s="2141"/>
      <c r="H1911" s="192"/>
      <c r="I1911" s="2114"/>
      <c r="J1911" s="2124"/>
      <c r="K1911" s="2124"/>
      <c r="L1911" s="192"/>
      <c r="M1911" s="192"/>
    </row>
    <row r="1912" spans="1:13" ht="12.75">
      <c r="A1912" s="2114"/>
      <c r="B1912" s="568" t="s">
        <v>775</v>
      </c>
      <c r="C1912" s="568"/>
      <c r="D1912" s="568"/>
      <c r="E1912" s="188"/>
      <c r="F1912" s="188"/>
      <c r="G1912" s="2123">
        <v>100</v>
      </c>
      <c r="H1912" s="568" t="s">
        <v>49</v>
      </c>
      <c r="I1912" s="2118" t="s">
        <v>49</v>
      </c>
      <c r="J1912" s="2123">
        <f>G45</f>
        <v>71.94</v>
      </c>
      <c r="K1912" s="2123">
        <f>ROUND(G1912*J1912,2)</f>
        <v>7194</v>
      </c>
      <c r="L1912" s="192"/>
      <c r="M1912" s="568"/>
    </row>
    <row r="1913" spans="1:13" ht="12.75">
      <c r="A1913" s="2114"/>
      <c r="B1913" s="568"/>
      <c r="C1913" s="568"/>
      <c r="D1913" s="568"/>
      <c r="E1913" s="188"/>
      <c r="F1913" s="188"/>
      <c r="G1913" s="2122"/>
      <c r="H1913" s="568"/>
      <c r="I1913" s="2118"/>
      <c r="J1913" s="2123"/>
      <c r="K1913" s="2123"/>
      <c r="L1913" s="192"/>
      <c r="M1913" s="568"/>
    </row>
    <row r="1914" spans="1:13" ht="12.75">
      <c r="A1914" s="2114"/>
      <c r="B1914" s="568"/>
      <c r="C1914" s="568"/>
      <c r="D1914" s="568"/>
      <c r="E1914" s="188"/>
      <c r="F1914" s="188"/>
      <c r="G1914" s="2122"/>
      <c r="H1914" s="568"/>
      <c r="I1914" s="2118"/>
      <c r="J1914" s="2123"/>
      <c r="K1914" s="2123"/>
      <c r="L1914" s="192"/>
      <c r="M1914" s="568"/>
    </row>
    <row r="1915" spans="1:13" ht="12.75">
      <c r="A1915" s="2114"/>
      <c r="B1915" s="192" t="s">
        <v>719</v>
      </c>
      <c r="C1915" s="568"/>
      <c r="D1915" s="568"/>
      <c r="E1915" s="188"/>
      <c r="F1915" s="188"/>
      <c r="G1915" s="2122"/>
      <c r="I1915" s="2125">
        <v>0</v>
      </c>
      <c r="J1915" s="2123"/>
      <c r="K1915" s="2123">
        <f>ROUND(K1910*I1915,2)</f>
        <v>0</v>
      </c>
      <c r="L1915" s="192"/>
      <c r="M1915" s="568"/>
    </row>
    <row r="1916" spans="1:13" ht="12.75">
      <c r="A1916" s="2114"/>
      <c r="B1916" s="568"/>
      <c r="C1916" s="568"/>
      <c r="D1916" s="568"/>
      <c r="E1916" s="188"/>
      <c r="F1916" s="188"/>
      <c r="G1916" s="2122"/>
      <c r="H1916" s="568"/>
      <c r="I1916" s="2118" t="s">
        <v>773</v>
      </c>
      <c r="J1916" s="2134" t="s">
        <v>718</v>
      </c>
      <c r="K1916" s="2123">
        <f>SUM(K1910:K1915)</f>
        <v>11458.2</v>
      </c>
      <c r="L1916" s="192"/>
      <c r="M1916" s="568"/>
    </row>
    <row r="1917" spans="1:13" ht="12.75">
      <c r="A1917" s="2114"/>
      <c r="B1917" s="568" t="s">
        <v>3662</v>
      </c>
      <c r="C1917" s="568"/>
      <c r="D1917" s="568"/>
      <c r="E1917" s="188"/>
      <c r="F1917" s="188"/>
      <c r="G1917" s="2122"/>
      <c r="H1917" s="2135">
        <f>H1808</f>
        <v>7.4999999999999997E-2</v>
      </c>
      <c r="I1917" s="2134">
        <f>K1916</f>
        <v>11458.2</v>
      </c>
      <c r="J1917" s="2134"/>
      <c r="K1917" s="2123">
        <f>ROUND(I1917*H1917,2)</f>
        <v>859.37</v>
      </c>
      <c r="L1917" s="192"/>
      <c r="M1917" s="568"/>
    </row>
    <row r="1918" spans="1:13" ht="12.75">
      <c r="A1918" s="2114"/>
      <c r="B1918" s="568" t="s">
        <v>3661</v>
      </c>
      <c r="C1918" s="568"/>
      <c r="D1918" s="568"/>
      <c r="E1918" s="188"/>
      <c r="F1918" s="188"/>
      <c r="G1918" s="2122"/>
      <c r="H1918" s="2135">
        <f>H1917</f>
        <v>7.4999999999999997E-2</v>
      </c>
      <c r="I1918" s="2134">
        <f>I1917</f>
        <v>11458.2</v>
      </c>
      <c r="J1918" s="2134"/>
      <c r="K1918" s="2123">
        <f>ROUND(I1918*H1918,2)</f>
        <v>859.37</v>
      </c>
      <c r="L1918" s="192"/>
      <c r="M1918" s="568"/>
    </row>
    <row r="1919" spans="1:13" s="1706" customFormat="1" ht="12.75">
      <c r="A1919" s="2114"/>
      <c r="B1919" s="192" t="s">
        <v>3733</v>
      </c>
      <c r="C1919" s="192"/>
      <c r="D1919" s="192"/>
      <c r="E1919" s="188"/>
      <c r="F1919" s="188"/>
      <c r="G1919" s="2141"/>
      <c r="H1919" s="192"/>
      <c r="I1919" s="2114"/>
      <c r="J1919" s="2124"/>
      <c r="K1919" s="2124"/>
      <c r="L1919" s="192"/>
      <c r="M1919" s="192"/>
    </row>
    <row r="1920" spans="1:13" ht="12.75">
      <c r="A1920" s="2114"/>
      <c r="B1920" s="568" t="s">
        <v>775</v>
      </c>
      <c r="C1920" s="568"/>
      <c r="D1920" s="568"/>
      <c r="E1920" s="188"/>
      <c r="F1920" s="188"/>
      <c r="G1920" s="2123">
        <v>100</v>
      </c>
      <c r="H1920" s="568" t="s">
        <v>49</v>
      </c>
      <c r="I1920" s="2118" t="s">
        <v>49</v>
      </c>
      <c r="J1920" s="2123">
        <f>K45</f>
        <v>587.26</v>
      </c>
      <c r="K1920" s="2123">
        <f>ROUND(G1920*J1920,2)</f>
        <v>58726</v>
      </c>
      <c r="L1920" s="192"/>
      <c r="M1920" s="568"/>
    </row>
    <row r="1921" spans="1:16" ht="12.75">
      <c r="A1921" s="2114"/>
      <c r="B1921" s="192" t="s">
        <v>3734</v>
      </c>
      <c r="C1921" s="568"/>
      <c r="D1921" s="568"/>
      <c r="E1921" s="188"/>
      <c r="F1921" s="188"/>
      <c r="G1921" s="2122"/>
      <c r="H1921" s="568"/>
      <c r="I1921" s="2118"/>
      <c r="J1921" s="2134" t="s">
        <v>718</v>
      </c>
      <c r="K1921" s="2124">
        <f>SUM(K1916:K1920)</f>
        <v>71902.94</v>
      </c>
      <c r="L1921" s="192"/>
      <c r="M1921" s="568"/>
      <c r="O1921" s="1706">
        <f>ROUND(K1916/100,2)</f>
        <v>114.58</v>
      </c>
      <c r="P1921" s="1706" t="s">
        <v>3149</v>
      </c>
    </row>
    <row r="1922" spans="1:16" ht="12.75">
      <c r="A1922" s="2114"/>
      <c r="B1922" s="192" t="s">
        <v>3736</v>
      </c>
      <c r="C1922" s="2142">
        <v>0.01</v>
      </c>
      <c r="D1922" s="568"/>
      <c r="E1922" s="188"/>
      <c r="F1922" s="188"/>
      <c r="G1922" s="2122"/>
      <c r="H1922" s="568"/>
      <c r="I1922" s="2118"/>
      <c r="J1922" s="2134"/>
      <c r="K1922" s="2123">
        <f>ROUND(K1921*C1922,2)</f>
        <v>719.03</v>
      </c>
      <c r="L1922" s="192"/>
      <c r="M1922" s="568"/>
    </row>
    <row r="1923" spans="1:16" ht="12.75">
      <c r="A1923" s="2114"/>
      <c r="B1923" s="192" t="s">
        <v>3737</v>
      </c>
      <c r="C1923" s="2142"/>
      <c r="D1923" s="568"/>
      <c r="E1923" s="188"/>
      <c r="F1923" s="188"/>
      <c r="G1923" s="2122"/>
      <c r="H1923" s="568"/>
      <c r="I1923" s="2118"/>
      <c r="J1923" s="2134" t="s">
        <v>718</v>
      </c>
      <c r="K1923" s="2123">
        <f>SUM(K1921:K1922)</f>
        <v>72621.97</v>
      </c>
      <c r="L1923" s="192"/>
      <c r="M1923" s="568"/>
    </row>
    <row r="1924" spans="1:16" ht="12.75">
      <c r="A1924" s="2114"/>
      <c r="B1924" s="192" t="s">
        <v>763</v>
      </c>
      <c r="C1924" s="568"/>
      <c r="D1924" s="568"/>
      <c r="E1924" s="188"/>
      <c r="F1924" s="188"/>
      <c r="G1924" s="2122"/>
      <c r="H1924" s="568"/>
      <c r="I1924" s="2118"/>
      <c r="J1924" s="2143" t="s">
        <v>718</v>
      </c>
      <c r="K1924" s="2137">
        <f>K1923/100</f>
        <v>726.21969999999999</v>
      </c>
      <c r="L1924" s="2138" t="s">
        <v>721</v>
      </c>
      <c r="M1924" s="2139"/>
      <c r="O1924" s="1991">
        <f>K1924-O1921</f>
        <v>611.63969999999995</v>
      </c>
      <c r="P1924" s="1706" t="s">
        <v>26</v>
      </c>
    </row>
    <row r="1925" spans="1:16" ht="61.5" hidden="1" customHeight="1">
      <c r="A1925" s="2114">
        <f>A400</f>
        <v>34</v>
      </c>
      <c r="B1925" s="3017" t="str">
        <f>B400</f>
        <v>Providing and laying P.C.C. (1:4:8) in foundation and floors using 4 cm. size black hard Hand broken granite stone metal and screened and washed sharp sand for mortar  etc complete as per the direction of the Engineer -in –charge.</v>
      </c>
      <c r="C1925" s="3017"/>
      <c r="D1925" s="3017"/>
      <c r="E1925" s="2116" t="str">
        <f>G401</f>
        <v>Each Cum</v>
      </c>
      <c r="F1925" s="2116"/>
      <c r="G1925" s="2122"/>
      <c r="H1925" s="568"/>
      <c r="I1925" s="2118"/>
      <c r="J1925" s="2124"/>
      <c r="K1925" s="2124"/>
      <c r="L1925" s="192"/>
      <c r="M1925" s="568"/>
    </row>
    <row r="1926" spans="1:16" ht="12.75" hidden="1">
      <c r="A1926" s="2114"/>
      <c r="B1926" s="192" t="s">
        <v>777</v>
      </c>
      <c r="C1926" s="568"/>
      <c r="D1926" s="568"/>
      <c r="E1926" s="188"/>
      <c r="F1926" s="188"/>
      <c r="G1926" s="2122"/>
      <c r="H1926" s="568"/>
      <c r="I1926" s="2118"/>
      <c r="J1926" s="2123"/>
      <c r="K1926" s="2123"/>
      <c r="L1926" s="192"/>
      <c r="M1926" s="568"/>
    </row>
    <row r="1927" spans="1:16" ht="12.75" hidden="1">
      <c r="A1927" s="2114" t="s">
        <v>201</v>
      </c>
      <c r="B1927" s="192" t="s">
        <v>778</v>
      </c>
      <c r="C1927" s="568"/>
      <c r="D1927" s="568"/>
      <c r="E1927" s="188"/>
      <c r="F1927" s="188"/>
      <c r="G1927" s="2122"/>
      <c r="H1927" s="568"/>
      <c r="I1927" s="2118"/>
      <c r="J1927" s="2123"/>
      <c r="K1927" s="2123"/>
      <c r="L1927" s="192"/>
      <c r="M1927" s="568"/>
    </row>
    <row r="1928" spans="1:16" ht="12.75" hidden="1">
      <c r="A1928" s="2114"/>
      <c r="B1928" s="192" t="s">
        <v>779</v>
      </c>
      <c r="C1928" s="192"/>
      <c r="D1928" s="192"/>
      <c r="E1928" s="188"/>
      <c r="F1928" s="188"/>
      <c r="G1928" s="2141"/>
      <c r="H1928" s="192"/>
      <c r="I1928" s="2114"/>
      <c r="J1928" s="2124"/>
      <c r="K1928" s="2124"/>
      <c r="L1928" s="192"/>
      <c r="M1928" s="568"/>
    </row>
    <row r="1929" spans="1:16" ht="12.75" hidden="1">
      <c r="A1929" s="2114"/>
      <c r="B1929" s="568" t="s">
        <v>780</v>
      </c>
      <c r="C1929" s="568"/>
      <c r="D1929" s="568"/>
      <c r="E1929" s="188"/>
      <c r="F1929" s="188"/>
      <c r="G1929" s="2122">
        <v>0.96</v>
      </c>
      <c r="H1929" s="568" t="s">
        <v>49</v>
      </c>
      <c r="I1929" s="2118" t="s">
        <v>49</v>
      </c>
      <c r="J1929" s="2123">
        <f>G9</f>
        <v>787.36</v>
      </c>
      <c r="K1929" s="2123">
        <f>ROUND(G1929*J1929,2)</f>
        <v>755.87</v>
      </c>
      <c r="L1929" s="192"/>
      <c r="M1929" s="568"/>
    </row>
    <row r="1930" spans="1:16" ht="12.75" hidden="1">
      <c r="A1930" s="2114"/>
      <c r="B1930" s="568" t="s">
        <v>775</v>
      </c>
      <c r="C1930" s="568"/>
      <c r="D1930" s="568"/>
      <c r="E1930" s="188"/>
      <c r="F1930" s="188"/>
      <c r="G1930" s="2122">
        <v>0.48</v>
      </c>
      <c r="H1930" s="568" t="s">
        <v>49</v>
      </c>
      <c r="I1930" s="2118" t="s">
        <v>49</v>
      </c>
      <c r="J1930" s="2123">
        <f>G46</f>
        <v>76.88</v>
      </c>
      <c r="K1930" s="2123">
        <f>ROUND(G1930*J1930,2)</f>
        <v>36.9</v>
      </c>
      <c r="L1930" s="192"/>
      <c r="M1930" s="568"/>
    </row>
    <row r="1931" spans="1:16" ht="12.75" hidden="1">
      <c r="A1931" s="2114"/>
      <c r="B1931" s="568" t="s">
        <v>8</v>
      </c>
      <c r="C1931" s="568"/>
      <c r="D1931" s="568"/>
      <c r="E1931" s="188"/>
      <c r="F1931" s="188"/>
      <c r="G1931" s="2122">
        <v>1.72</v>
      </c>
      <c r="H1931" s="568" t="s">
        <v>247</v>
      </c>
      <c r="I1931" s="2118" t="s">
        <v>247</v>
      </c>
      <c r="J1931" s="2123">
        <f>G50/10</f>
        <v>570.23400000000004</v>
      </c>
      <c r="K1931" s="2123">
        <f>ROUND(G1931*J1931,2)</f>
        <v>980.8</v>
      </c>
      <c r="L1931" s="192"/>
      <c r="M1931" s="568"/>
    </row>
    <row r="1932" spans="1:16" ht="12.75" hidden="1">
      <c r="A1932" s="2114"/>
      <c r="B1932" s="568"/>
      <c r="C1932" s="568"/>
      <c r="D1932" s="568"/>
      <c r="E1932" s="188"/>
      <c r="F1932" s="188"/>
      <c r="G1932" s="2122"/>
      <c r="H1932" s="568"/>
      <c r="I1932" s="2118"/>
      <c r="J1932" s="2126" t="s">
        <v>718</v>
      </c>
      <c r="K1932" s="2124">
        <f>SUM(K1929:K1931)</f>
        <v>1773.57</v>
      </c>
      <c r="L1932" s="192"/>
      <c r="M1932" s="568"/>
    </row>
    <row r="1933" spans="1:16" ht="12.75" hidden="1">
      <c r="A1933" s="2114"/>
      <c r="B1933" s="192" t="s">
        <v>781</v>
      </c>
      <c r="C1933" s="192"/>
      <c r="D1933" s="192"/>
      <c r="E1933" s="188"/>
      <c r="F1933" s="188"/>
      <c r="G1933" s="2141"/>
      <c r="H1933" s="192"/>
      <c r="I1933" s="2114"/>
      <c r="J1933" s="2124"/>
      <c r="K1933" s="2124"/>
      <c r="L1933" s="192"/>
      <c r="M1933" s="568"/>
    </row>
    <row r="1934" spans="1:16" ht="12.75" hidden="1">
      <c r="A1934" s="2114"/>
      <c r="B1934" s="568" t="s">
        <v>782</v>
      </c>
      <c r="C1934" s="568"/>
      <c r="D1934" s="568"/>
      <c r="E1934" s="188"/>
      <c r="F1934" s="188"/>
      <c r="G1934" s="2122">
        <v>0.18</v>
      </c>
      <c r="H1934" s="568" t="s">
        <v>262</v>
      </c>
      <c r="I1934" s="2118" t="s">
        <v>38</v>
      </c>
      <c r="J1934" s="2123">
        <f>L136</f>
        <v>435</v>
      </c>
      <c r="K1934" s="2123">
        <f>ROUND(G1934*J1934,2)</f>
        <v>78.3</v>
      </c>
      <c r="L1934" s="192"/>
      <c r="M1934" s="568"/>
    </row>
    <row r="1935" spans="1:16" ht="12.75" hidden="1">
      <c r="A1935" s="2114"/>
      <c r="B1935" s="568" t="s">
        <v>717</v>
      </c>
      <c r="C1935" s="568"/>
      <c r="D1935" s="568"/>
      <c r="E1935" s="188"/>
      <c r="F1935" s="188"/>
      <c r="G1935" s="2122">
        <v>3.9</v>
      </c>
      <c r="H1935" s="568" t="s">
        <v>262</v>
      </c>
      <c r="I1935" s="2118" t="s">
        <v>38</v>
      </c>
      <c r="J1935" s="2123">
        <f>L134</f>
        <v>345</v>
      </c>
      <c r="K1935" s="2123">
        <f>ROUND(G1935*J1935,2)</f>
        <v>1345.5</v>
      </c>
      <c r="L1935" s="192"/>
      <c r="M1935" s="568"/>
    </row>
    <row r="1936" spans="1:16" ht="12.75" hidden="1">
      <c r="A1936" s="2114"/>
      <c r="B1936" s="568"/>
      <c r="C1936" s="568"/>
      <c r="D1936" s="568"/>
      <c r="E1936" s="188"/>
      <c r="F1936" s="188"/>
      <c r="G1936" s="2122"/>
      <c r="H1936" s="568"/>
      <c r="I1936" s="2118"/>
      <c r="J1936" s="2126" t="s">
        <v>718</v>
      </c>
      <c r="K1936" s="2124">
        <f>SUM(K1934:K1935)</f>
        <v>1423.8</v>
      </c>
      <c r="L1936" s="192"/>
      <c r="M1936" s="568"/>
    </row>
    <row r="1937" spans="1:28" ht="12.75" hidden="1">
      <c r="A1937" s="2114"/>
      <c r="B1937" s="568" t="s">
        <v>3662</v>
      </c>
      <c r="C1937" s="568"/>
      <c r="D1937" s="568"/>
      <c r="E1937" s="188"/>
      <c r="F1937" s="188"/>
      <c r="G1937" s="2122"/>
      <c r="H1937" s="2135">
        <f>H1918</f>
        <v>7.4999999999999997E-2</v>
      </c>
      <c r="I1937" s="2134">
        <f>K1932+K1936</f>
        <v>3197.37</v>
      </c>
      <c r="J1937" s="2134"/>
      <c r="K1937" s="2123">
        <f>ROUND(I1937*H1937,2)</f>
        <v>239.8</v>
      </c>
      <c r="L1937" s="192"/>
      <c r="M1937" s="568"/>
    </row>
    <row r="1938" spans="1:28" ht="12.75" hidden="1">
      <c r="A1938" s="2114"/>
      <c r="B1938" s="568" t="s">
        <v>3661</v>
      </c>
      <c r="C1938" s="568"/>
      <c r="D1938" s="568"/>
      <c r="E1938" s="188"/>
      <c r="F1938" s="188"/>
      <c r="G1938" s="2122"/>
      <c r="H1938" s="2135">
        <f>H1937</f>
        <v>7.4999999999999997E-2</v>
      </c>
      <c r="I1938" s="2134">
        <f>I1937</f>
        <v>3197.37</v>
      </c>
      <c r="J1938" s="2134"/>
      <c r="K1938" s="2123">
        <f>ROUND(I1938*H1938,2)</f>
        <v>239.8</v>
      </c>
      <c r="L1938" s="192"/>
      <c r="M1938" s="568"/>
    </row>
    <row r="1939" spans="1:28" ht="12.75" hidden="1">
      <c r="A1939" s="2114"/>
      <c r="B1939" s="192" t="s">
        <v>3663</v>
      </c>
      <c r="C1939" s="192"/>
      <c r="D1939" s="192"/>
      <c r="E1939" s="188"/>
      <c r="F1939" s="188"/>
      <c r="G1939" s="2141"/>
      <c r="H1939" s="192"/>
      <c r="I1939" s="2114"/>
      <c r="J1939" s="2124"/>
      <c r="K1939" s="2124"/>
      <c r="L1939" s="192"/>
      <c r="M1939" s="568"/>
    </row>
    <row r="1940" spans="1:28" ht="12.75" hidden="1">
      <c r="A1940" s="2114"/>
      <c r="B1940" s="568" t="s">
        <v>784</v>
      </c>
      <c r="C1940" s="568"/>
      <c r="D1940" s="568"/>
      <c r="E1940" s="188"/>
      <c r="F1940" s="188"/>
      <c r="G1940" s="2122">
        <v>0.96</v>
      </c>
      <c r="H1940" s="568" t="s">
        <v>49</v>
      </c>
      <c r="I1940" s="2118" t="s">
        <v>49</v>
      </c>
      <c r="J1940" s="2123">
        <f>K9</f>
        <v>1308.4099999999999</v>
      </c>
      <c r="K1940" s="2123">
        <f>ROUND(G1940*J1940,2)</f>
        <v>1256.07</v>
      </c>
      <c r="L1940" s="192"/>
      <c r="M1940" s="568"/>
    </row>
    <row r="1941" spans="1:28" ht="12.75" hidden="1">
      <c r="A1941" s="2114"/>
      <c r="B1941" s="568" t="s">
        <v>775</v>
      </c>
      <c r="C1941" s="568"/>
      <c r="D1941" s="568"/>
      <c r="E1941" s="188"/>
      <c r="F1941" s="188"/>
      <c r="G1941" s="2122">
        <v>0.48</v>
      </c>
      <c r="H1941" s="568" t="s">
        <v>49</v>
      </c>
      <c r="I1941" s="2118" t="s">
        <v>49</v>
      </c>
      <c r="J1941" s="2123">
        <f>K46</f>
        <v>717.46</v>
      </c>
      <c r="K1941" s="2123">
        <f>ROUND(G1941*J1941,2)</f>
        <v>344.38</v>
      </c>
      <c r="L1941" s="192"/>
      <c r="M1941" s="568"/>
    </row>
    <row r="1942" spans="1:28" ht="12.75" hidden="1">
      <c r="A1942" s="2114"/>
      <c r="B1942" s="568" t="s">
        <v>8</v>
      </c>
      <c r="C1942" s="568"/>
      <c r="D1942" s="568"/>
      <c r="E1942" s="188"/>
      <c r="F1942" s="188"/>
      <c r="G1942" s="2122">
        <v>1.72</v>
      </c>
      <c r="H1942" s="568" t="s">
        <v>247</v>
      </c>
      <c r="I1942" s="2118" t="s">
        <v>247</v>
      </c>
      <c r="J1942" s="2123">
        <f>K50/10</f>
        <v>42.622</v>
      </c>
      <c r="K1942" s="2123">
        <f>ROUND(G1942*J1942,2)</f>
        <v>73.31</v>
      </c>
      <c r="L1942" s="192"/>
      <c r="M1942" s="568"/>
    </row>
    <row r="1943" spans="1:28" ht="12.75" hidden="1">
      <c r="A1943" s="2114"/>
      <c r="B1943" s="568"/>
      <c r="C1943" s="568"/>
      <c r="D1943" s="568"/>
      <c r="E1943" s="188"/>
      <c r="F1943" s="188"/>
      <c r="G1943" s="2122"/>
      <c r="H1943" s="568"/>
      <c r="I1943" s="2118"/>
      <c r="J1943" s="2126" t="s">
        <v>718</v>
      </c>
      <c r="K1943" s="2124">
        <f>SUM(K1940:K1942)</f>
        <v>1673.7599999999998</v>
      </c>
      <c r="L1943" s="192"/>
      <c r="M1943" s="568"/>
      <c r="O1943" s="1991">
        <f>K1936</f>
        <v>1423.8</v>
      </c>
      <c r="P1943" s="1706" t="s">
        <v>3149</v>
      </c>
    </row>
    <row r="1944" spans="1:28" ht="12.75" hidden="1">
      <c r="A1944" s="2114"/>
      <c r="B1944" s="192" t="s">
        <v>785</v>
      </c>
      <c r="C1944" s="568"/>
      <c r="D1944" s="568"/>
      <c r="E1944" s="188"/>
      <c r="F1944" s="188"/>
      <c r="G1944" s="2122"/>
      <c r="H1944" s="568"/>
      <c r="I1944" s="2118"/>
      <c r="J1944" s="2123"/>
      <c r="K1944" s="2124">
        <f>K1932+K1936+K1937+K1938+K1943</f>
        <v>5350.73</v>
      </c>
      <c r="L1944" s="192" t="s">
        <v>721</v>
      </c>
      <c r="M1944" s="568"/>
      <c r="O1944" s="1991">
        <f>K1944-O1943</f>
        <v>3926.9299999999994</v>
      </c>
      <c r="P1944" s="1706" t="s">
        <v>26</v>
      </c>
    </row>
    <row r="1945" spans="1:28" ht="12.75" hidden="1">
      <c r="A1945" s="2114" t="s">
        <v>220</v>
      </c>
      <c r="B1945" s="192" t="s">
        <v>786</v>
      </c>
      <c r="C1945" s="568"/>
      <c r="D1945" s="568"/>
      <c r="E1945" s="188"/>
      <c r="F1945" s="188"/>
      <c r="G1945" s="2122"/>
      <c r="H1945" s="568"/>
      <c r="I1945" s="2118"/>
      <c r="J1945" s="2123"/>
      <c r="K1945" s="2124"/>
      <c r="L1945" s="192"/>
      <c r="M1945" s="568"/>
    </row>
    <row r="1946" spans="1:28" ht="12.75" hidden="1">
      <c r="A1946" s="2114"/>
      <c r="B1946" s="568" t="s">
        <v>787</v>
      </c>
      <c r="C1946" s="568"/>
      <c r="D1946" s="568"/>
      <c r="E1946" s="188"/>
      <c r="F1946" s="188"/>
      <c r="G1946" s="2122"/>
      <c r="H1946" s="568"/>
      <c r="I1946" s="2118"/>
      <c r="J1946" s="2123"/>
      <c r="K1946" s="2124">
        <f>K1944</f>
        <v>5350.73</v>
      </c>
      <c r="L1946" s="192"/>
      <c r="M1946" s="568"/>
    </row>
    <row r="1947" spans="1:28" ht="12.75" hidden="1">
      <c r="A1947" s="2114"/>
      <c r="B1947" s="568" t="s">
        <v>788</v>
      </c>
      <c r="C1947" s="568"/>
      <c r="D1947" s="568"/>
      <c r="E1947" s="188"/>
      <c r="F1947" s="188"/>
      <c r="G1947" s="2122">
        <v>0.96</v>
      </c>
      <c r="H1947" s="568" t="s">
        <v>49</v>
      </c>
      <c r="I1947" s="2118" t="s">
        <v>49</v>
      </c>
      <c r="J1947" s="2123">
        <f>G8-G9</f>
        <v>207.89</v>
      </c>
      <c r="K1947" s="2123">
        <f>ROUND(G1947*J1947,2)</f>
        <v>199.57</v>
      </c>
      <c r="L1947" s="192"/>
      <c r="M1947" s="568"/>
      <c r="O1947" s="1991">
        <f>O1943</f>
        <v>1423.8</v>
      </c>
      <c r="P1947" s="1706" t="s">
        <v>3149</v>
      </c>
    </row>
    <row r="1948" spans="1:28" ht="12.75" hidden="1">
      <c r="A1948" s="2114"/>
      <c r="B1948" s="568" t="s">
        <v>3664</v>
      </c>
      <c r="C1948" s="568"/>
      <c r="D1948" s="568"/>
      <c r="E1948" s="188"/>
      <c r="F1948" s="188"/>
      <c r="G1948" s="2122"/>
      <c r="H1948" s="2135">
        <f>H1938</f>
        <v>7.4999999999999997E-2</v>
      </c>
      <c r="I1948" s="2134">
        <f>K1947</f>
        <v>199.57</v>
      </c>
      <c r="J1948" s="2134"/>
      <c r="K1948" s="2123">
        <f>ROUND(I1948*H1948,2)</f>
        <v>14.97</v>
      </c>
      <c r="L1948" s="192"/>
      <c r="M1948" s="568"/>
    </row>
    <row r="1949" spans="1:28" ht="12.75" hidden="1">
      <c r="A1949" s="2114"/>
      <c r="B1949" s="568" t="s">
        <v>3665</v>
      </c>
      <c r="C1949" s="568"/>
      <c r="D1949" s="568"/>
      <c r="E1949" s="188"/>
      <c r="F1949" s="188"/>
      <c r="G1949" s="2122"/>
      <c r="H1949" s="2135">
        <f>H1948</f>
        <v>7.4999999999999997E-2</v>
      </c>
      <c r="I1949" s="2134">
        <f>I1948</f>
        <v>199.57</v>
      </c>
      <c r="J1949" s="2134"/>
      <c r="K1949" s="2123">
        <f>ROUND(I1949*H1949,2)</f>
        <v>14.97</v>
      </c>
      <c r="L1949" s="192"/>
      <c r="M1949" s="568"/>
    </row>
    <row r="1950" spans="1:28" ht="12.75" hidden="1">
      <c r="A1950" s="2114"/>
      <c r="B1950" s="568"/>
      <c r="C1950" s="568"/>
      <c r="D1950" s="568"/>
      <c r="E1950" s="188"/>
      <c r="F1950" s="188"/>
      <c r="G1950" s="2122"/>
      <c r="H1950" s="568"/>
      <c r="I1950" s="2118"/>
      <c r="J1950" s="2123"/>
      <c r="K1950" s="2124">
        <f>SUM(K1946:K1949)</f>
        <v>5580.24</v>
      </c>
      <c r="L1950" s="192" t="s">
        <v>721</v>
      </c>
      <c r="M1950" s="568"/>
      <c r="O1950" s="1991">
        <f>K1950-O1947</f>
        <v>4156.4399999999996</v>
      </c>
      <c r="P1950" s="1706" t="s">
        <v>26</v>
      </c>
    </row>
    <row r="1951" spans="1:28" ht="41.1" customHeight="1">
      <c r="A1951" s="2114">
        <f>A403</f>
        <v>35</v>
      </c>
      <c r="B1951" s="3025" t="str">
        <f>B403</f>
        <v>Providing and laying P.C.C. (1:3:6) in foundation and floors using 4 cm. size black hard crusher broken granite stone metal and screened and washed sharp sand for mortar  etc complete as per the direction of the Engineer -in –charge.</v>
      </c>
      <c r="C1951" s="3025"/>
      <c r="D1951" s="3025"/>
      <c r="E1951" s="3025"/>
      <c r="F1951" s="3025"/>
      <c r="G1951" s="3025"/>
      <c r="H1951" s="3025"/>
      <c r="I1951" s="2118"/>
      <c r="J1951" s="2124"/>
      <c r="K1951" s="2124"/>
      <c r="L1951" s="192"/>
      <c r="M1951" s="568"/>
    </row>
    <row r="1952" spans="1:28" s="1706" customFormat="1" ht="12.75">
      <c r="A1952" s="2114"/>
      <c r="B1952" s="192" t="s">
        <v>777</v>
      </c>
      <c r="C1952" s="568"/>
      <c r="D1952" s="568"/>
      <c r="E1952" s="188"/>
      <c r="F1952" s="188"/>
      <c r="G1952" s="2122"/>
      <c r="H1952" s="568"/>
      <c r="I1952" s="2118"/>
      <c r="J1952" s="2123"/>
      <c r="K1952" s="2123"/>
      <c r="L1952" s="192"/>
      <c r="M1952" s="568"/>
      <c r="N1952" s="1705"/>
      <c r="O1952" s="1705"/>
      <c r="P1952" s="1705"/>
      <c r="Q1952" s="1705"/>
      <c r="R1952" s="1705"/>
      <c r="S1952" s="1705"/>
      <c r="U1952" s="1705"/>
      <c r="V1952" s="1705"/>
      <c r="W1952" s="1705"/>
      <c r="X1952" s="1705"/>
      <c r="Y1952" s="1705"/>
      <c r="Z1952" s="1705"/>
      <c r="AA1952" s="1705"/>
      <c r="AB1952" s="1705"/>
    </row>
    <row r="1953" spans="1:28" s="1706" customFormat="1" ht="12.75">
      <c r="A1953" s="2114" t="s">
        <v>201</v>
      </c>
      <c r="B1953" s="192" t="s">
        <v>778</v>
      </c>
      <c r="C1953" s="568"/>
      <c r="D1953" s="568"/>
      <c r="E1953" s="188"/>
      <c r="F1953" s="188"/>
      <c r="G1953" s="2122"/>
      <c r="H1953" s="568"/>
      <c r="I1953" s="2118"/>
      <c r="J1953" s="2123"/>
      <c r="K1953" s="2123"/>
      <c r="L1953" s="192"/>
      <c r="M1953" s="568"/>
      <c r="N1953" s="1705"/>
      <c r="O1953" s="1705"/>
      <c r="P1953" s="1705"/>
      <c r="Q1953" s="1705"/>
      <c r="R1953" s="1705"/>
      <c r="S1953" s="1705"/>
      <c r="U1953" s="1705"/>
      <c r="V1953" s="1705"/>
      <c r="W1953" s="1705"/>
      <c r="X1953" s="1705"/>
      <c r="Y1953" s="1705"/>
      <c r="Z1953" s="1705"/>
      <c r="AA1953" s="1705"/>
      <c r="AB1953" s="1705"/>
    </row>
    <row r="1954" spans="1:28" s="1706" customFormat="1" ht="12.75">
      <c r="A1954" s="2114"/>
      <c r="B1954" s="192" t="s">
        <v>779</v>
      </c>
      <c r="C1954" s="192"/>
      <c r="D1954" s="192"/>
      <c r="E1954" s="188"/>
      <c r="F1954" s="188"/>
      <c r="G1954" s="2141"/>
      <c r="H1954" s="192"/>
      <c r="I1954" s="2114"/>
      <c r="J1954" s="2124"/>
      <c r="K1954" s="2124"/>
      <c r="L1954" s="192"/>
      <c r="M1954" s="568"/>
      <c r="N1954" s="1705"/>
      <c r="O1954" s="1705"/>
      <c r="P1954" s="1705"/>
      <c r="Q1954" s="1705"/>
      <c r="R1954" s="1705"/>
      <c r="S1954" s="1705"/>
      <c r="U1954" s="1705"/>
      <c r="V1954" s="1705"/>
      <c r="W1954" s="1705"/>
      <c r="X1954" s="1705"/>
      <c r="Y1954" s="1705"/>
      <c r="Z1954" s="1705"/>
      <c r="AA1954" s="1705"/>
      <c r="AB1954" s="1705"/>
    </row>
    <row r="1955" spans="1:28" s="1706" customFormat="1" ht="12.75">
      <c r="A1955" s="2114"/>
      <c r="B1955" s="568" t="s">
        <v>789</v>
      </c>
      <c r="C1955" s="568"/>
      <c r="D1955" s="568"/>
      <c r="E1955" s="188"/>
      <c r="F1955" s="188"/>
      <c r="G1955" s="2122">
        <v>0.96</v>
      </c>
      <c r="H1955" s="568" t="s">
        <v>49</v>
      </c>
      <c r="I1955" s="2118" t="s">
        <v>49</v>
      </c>
      <c r="J1955" s="2123">
        <f>G9</f>
        <v>787.36</v>
      </c>
      <c r="K1955" s="2123">
        <f>ROUND(G1955*J1955,2)</f>
        <v>755.87</v>
      </c>
      <c r="L1955" s="192"/>
      <c r="M1955" s="568"/>
      <c r="N1955" s="1705"/>
      <c r="O1955" s="1705"/>
      <c r="P1955" s="1705"/>
      <c r="Q1955" s="1705"/>
      <c r="R1955" s="1705"/>
      <c r="S1955" s="1705"/>
      <c r="U1955" s="1705"/>
      <c r="V1955" s="1705"/>
      <c r="W1955" s="1705"/>
      <c r="X1955" s="1705"/>
      <c r="Y1955" s="1705"/>
      <c r="Z1955" s="1705"/>
      <c r="AA1955" s="1705"/>
      <c r="AB1955" s="1705"/>
    </row>
    <row r="1956" spans="1:28" s="1706" customFormat="1" ht="12.75">
      <c r="A1956" s="2114"/>
      <c r="B1956" s="568" t="s">
        <v>775</v>
      </c>
      <c r="C1956" s="568"/>
      <c r="D1956" s="568"/>
      <c r="E1956" s="188"/>
      <c r="F1956" s="188"/>
      <c r="G1956" s="2122">
        <v>0.48</v>
      </c>
      <c r="H1956" s="568" t="s">
        <v>49</v>
      </c>
      <c r="I1956" s="2118" t="s">
        <v>49</v>
      </c>
      <c r="J1956" s="2123">
        <f>G46</f>
        <v>76.88</v>
      </c>
      <c r="K1956" s="2123">
        <f>ROUND(G1956*J1956,2)</f>
        <v>36.9</v>
      </c>
      <c r="L1956" s="192"/>
      <c r="M1956" s="568"/>
      <c r="N1956" s="1705"/>
      <c r="O1956" s="1705"/>
      <c r="P1956" s="1705"/>
      <c r="Q1956" s="1705"/>
      <c r="R1956" s="1705"/>
      <c r="S1956" s="1705"/>
      <c r="U1956" s="1705"/>
      <c r="V1956" s="1705"/>
      <c r="W1956" s="1705"/>
      <c r="X1956" s="1705"/>
      <c r="Y1956" s="1705"/>
      <c r="Z1956" s="1705"/>
      <c r="AA1956" s="1705"/>
      <c r="AB1956" s="1705"/>
    </row>
    <row r="1957" spans="1:28" s="1706" customFormat="1" ht="12.75">
      <c r="A1957" s="2114"/>
      <c r="B1957" s="568" t="s">
        <v>8</v>
      </c>
      <c r="C1957" s="568"/>
      <c r="D1957" s="568"/>
      <c r="E1957" s="188"/>
      <c r="F1957" s="188"/>
      <c r="G1957" s="2122">
        <v>2.29</v>
      </c>
      <c r="H1957" s="568" t="s">
        <v>247</v>
      </c>
      <c r="I1957" s="2118" t="s">
        <v>247</v>
      </c>
      <c r="J1957" s="2123">
        <f>G50/10</f>
        <v>570.23400000000004</v>
      </c>
      <c r="K1957" s="2123">
        <f>ROUND(G1957*J1957,2)</f>
        <v>1305.8399999999999</v>
      </c>
      <c r="L1957" s="192"/>
      <c r="M1957" s="568"/>
      <c r="N1957" s="1705"/>
      <c r="O1957" s="1705"/>
      <c r="P1957" s="1705"/>
      <c r="Q1957" s="1705"/>
      <c r="R1957" s="1705"/>
      <c r="S1957" s="1705"/>
      <c r="U1957" s="1705"/>
      <c r="V1957" s="1705"/>
      <c r="W1957" s="1705"/>
      <c r="X1957" s="1705"/>
      <c r="Y1957" s="1705"/>
      <c r="Z1957" s="1705"/>
      <c r="AA1957" s="1705"/>
      <c r="AB1957" s="1705"/>
    </row>
    <row r="1958" spans="1:28" s="1706" customFormat="1" ht="12.75">
      <c r="A1958" s="2114"/>
      <c r="B1958" s="568"/>
      <c r="C1958" s="568"/>
      <c r="D1958" s="568"/>
      <c r="E1958" s="188"/>
      <c r="F1958" s="188"/>
      <c r="G1958" s="2122"/>
      <c r="H1958" s="568"/>
      <c r="I1958" s="2118"/>
      <c r="J1958" s="2126" t="s">
        <v>718</v>
      </c>
      <c r="K1958" s="2124">
        <f>SUM(K1955:K1957)</f>
        <v>2098.6099999999997</v>
      </c>
      <c r="L1958" s="192"/>
      <c r="M1958" s="568"/>
      <c r="N1958" s="1705"/>
      <c r="O1958" s="1705"/>
      <c r="P1958" s="1705"/>
      <c r="Q1958" s="1705"/>
      <c r="R1958" s="1705"/>
      <c r="S1958" s="1705"/>
      <c r="U1958" s="1705"/>
      <c r="V1958" s="1705"/>
      <c r="W1958" s="1705"/>
      <c r="X1958" s="1705"/>
      <c r="Y1958" s="1705"/>
      <c r="Z1958" s="1705"/>
      <c r="AA1958" s="1705"/>
      <c r="AB1958" s="1705"/>
    </row>
    <row r="1959" spans="1:28" s="1706" customFormat="1" ht="12.75">
      <c r="A1959" s="2114"/>
      <c r="B1959" s="192" t="s">
        <v>781</v>
      </c>
      <c r="C1959" s="192"/>
      <c r="D1959" s="192"/>
      <c r="E1959" s="188"/>
      <c r="F1959" s="188"/>
      <c r="G1959" s="2141"/>
      <c r="H1959" s="192"/>
      <c r="I1959" s="2114"/>
      <c r="J1959" s="2124"/>
      <c r="K1959" s="2124"/>
      <c r="L1959" s="192"/>
      <c r="M1959" s="568"/>
      <c r="N1959" s="1705"/>
      <c r="O1959" s="1705"/>
      <c r="P1959" s="1705"/>
      <c r="Q1959" s="1705"/>
      <c r="R1959" s="1705"/>
      <c r="S1959" s="1705"/>
      <c r="U1959" s="1705"/>
      <c r="V1959" s="1705"/>
      <c r="W1959" s="1705"/>
      <c r="X1959" s="1705"/>
      <c r="Y1959" s="1705"/>
      <c r="Z1959" s="1705"/>
      <c r="AA1959" s="1705"/>
      <c r="AB1959" s="1705"/>
    </row>
    <row r="1960" spans="1:28" s="1706" customFormat="1" ht="12.75">
      <c r="A1960" s="2114"/>
      <c r="B1960" s="568" t="s">
        <v>782</v>
      </c>
      <c r="C1960" s="568"/>
      <c r="D1960" s="568"/>
      <c r="E1960" s="188"/>
      <c r="F1960" s="188"/>
      <c r="G1960" s="2122">
        <v>0.18</v>
      </c>
      <c r="H1960" s="568" t="s">
        <v>262</v>
      </c>
      <c r="I1960" s="2118" t="s">
        <v>38</v>
      </c>
      <c r="J1960" s="2123">
        <f>L136</f>
        <v>435</v>
      </c>
      <c r="K1960" s="2123">
        <f>ROUND(G1960*J1960,2)</f>
        <v>78.3</v>
      </c>
      <c r="L1960" s="192"/>
      <c r="M1960" s="568"/>
      <c r="N1960" s="1705"/>
      <c r="O1960" s="1705"/>
      <c r="P1960" s="1705"/>
      <c r="Q1960" s="1705"/>
      <c r="R1960" s="1705"/>
      <c r="S1960" s="1705"/>
      <c r="U1960" s="1705"/>
      <c r="V1960" s="1705"/>
      <c r="W1960" s="1705"/>
      <c r="X1960" s="1705"/>
      <c r="Y1960" s="1705"/>
      <c r="Z1960" s="1705"/>
      <c r="AA1960" s="1705"/>
      <c r="AB1960" s="1705"/>
    </row>
    <row r="1961" spans="1:28" s="1706" customFormat="1" ht="12.75">
      <c r="A1961" s="2114"/>
      <c r="B1961" s="568" t="s">
        <v>717</v>
      </c>
      <c r="C1961" s="568"/>
      <c r="D1961" s="568"/>
      <c r="E1961" s="188"/>
      <c r="F1961" s="188"/>
      <c r="G1961" s="2122">
        <v>3.9</v>
      </c>
      <c r="H1961" s="568" t="s">
        <v>262</v>
      </c>
      <c r="I1961" s="2118" t="s">
        <v>38</v>
      </c>
      <c r="J1961" s="2123">
        <f>L134</f>
        <v>345</v>
      </c>
      <c r="K1961" s="2123">
        <f>ROUND(G1961*J1961,2)</f>
        <v>1345.5</v>
      </c>
      <c r="L1961" s="192"/>
      <c r="M1961" s="568"/>
      <c r="N1961" s="1705"/>
      <c r="O1961" s="1705"/>
      <c r="P1961" s="1705"/>
      <c r="Q1961" s="1705"/>
      <c r="R1961" s="1705"/>
      <c r="S1961" s="1705"/>
      <c r="U1961" s="1705"/>
      <c r="V1961" s="1705"/>
      <c r="W1961" s="1705"/>
      <c r="X1961" s="1705"/>
      <c r="Y1961" s="1705"/>
      <c r="Z1961" s="1705"/>
      <c r="AA1961" s="1705"/>
      <c r="AB1961" s="1705"/>
    </row>
    <row r="1962" spans="1:28" s="1706" customFormat="1" ht="12.75">
      <c r="A1962" s="2114"/>
      <c r="B1962" s="568"/>
      <c r="C1962" s="568"/>
      <c r="D1962" s="568"/>
      <c r="E1962" s="188"/>
      <c r="F1962" s="188"/>
      <c r="G1962" s="2122"/>
      <c r="H1962" s="568"/>
      <c r="I1962" s="2118"/>
      <c r="J1962" s="2126" t="s">
        <v>718</v>
      </c>
      <c r="K1962" s="2124">
        <f>SUM(K1960:K1961)</f>
        <v>1423.8</v>
      </c>
      <c r="L1962" s="192"/>
      <c r="M1962" s="568"/>
      <c r="N1962" s="1705"/>
      <c r="O1962" s="1705"/>
      <c r="P1962" s="1705"/>
      <c r="Q1962" s="1705"/>
      <c r="R1962" s="1705"/>
      <c r="S1962" s="1705"/>
      <c r="U1962" s="1705"/>
      <c r="V1962" s="1705"/>
      <c r="W1962" s="1705"/>
      <c r="X1962" s="1705"/>
      <c r="Y1962" s="1705"/>
      <c r="Z1962" s="1705"/>
      <c r="AA1962" s="1705"/>
      <c r="AB1962" s="1705"/>
    </row>
    <row r="1963" spans="1:28" ht="12.75">
      <c r="A1963" s="2114"/>
      <c r="B1963" s="568" t="s">
        <v>3662</v>
      </c>
      <c r="C1963" s="568"/>
      <c r="D1963" s="568"/>
      <c r="E1963" s="188"/>
      <c r="F1963" s="188"/>
      <c r="G1963" s="2122"/>
      <c r="H1963" s="2135">
        <f>H1949</f>
        <v>7.4999999999999997E-2</v>
      </c>
      <c r="I1963" s="2134">
        <f>K1958+K1962</f>
        <v>3522.41</v>
      </c>
      <c r="J1963" s="2134"/>
      <c r="K1963" s="2123">
        <f>ROUND(I1963*H1963,2)</f>
        <v>264.18</v>
      </c>
      <c r="L1963" s="192"/>
      <c r="M1963" s="568"/>
    </row>
    <row r="1964" spans="1:28" ht="12.75">
      <c r="A1964" s="2114"/>
      <c r="B1964" s="568" t="s">
        <v>3661</v>
      </c>
      <c r="C1964" s="568"/>
      <c r="D1964" s="568"/>
      <c r="E1964" s="188"/>
      <c r="F1964" s="188"/>
      <c r="G1964" s="2122"/>
      <c r="H1964" s="2135">
        <f>H1963</f>
        <v>7.4999999999999997E-2</v>
      </c>
      <c r="I1964" s="2134">
        <f>I1963</f>
        <v>3522.41</v>
      </c>
      <c r="J1964" s="2134"/>
      <c r="K1964" s="2123">
        <f>ROUND(I1964*H1964,2)</f>
        <v>264.18</v>
      </c>
      <c r="L1964" s="192"/>
      <c r="M1964" s="568"/>
    </row>
    <row r="1965" spans="1:28" s="1706" customFormat="1" ht="12.75">
      <c r="A1965" s="2114"/>
      <c r="B1965" s="192" t="s">
        <v>3663</v>
      </c>
      <c r="C1965" s="192"/>
      <c r="D1965" s="192"/>
      <c r="E1965" s="188"/>
      <c r="F1965" s="188"/>
      <c r="G1965" s="2141"/>
      <c r="H1965" s="192"/>
      <c r="I1965" s="2114"/>
      <c r="J1965" s="2124"/>
      <c r="K1965" s="2124"/>
      <c r="L1965" s="192"/>
      <c r="M1965" s="568"/>
      <c r="N1965" s="1705"/>
      <c r="O1965" s="1705"/>
      <c r="P1965" s="1705"/>
      <c r="Q1965" s="1705"/>
      <c r="R1965" s="1705"/>
      <c r="S1965" s="1705"/>
      <c r="U1965" s="1705"/>
      <c r="V1965" s="1705"/>
      <c r="W1965" s="1705"/>
      <c r="X1965" s="1705"/>
      <c r="Y1965" s="1705"/>
      <c r="Z1965" s="1705"/>
      <c r="AA1965" s="1705"/>
      <c r="AB1965" s="1705"/>
    </row>
    <row r="1966" spans="1:28" s="1706" customFormat="1" ht="12.75">
      <c r="A1966" s="2114"/>
      <c r="B1966" s="568" t="s">
        <v>784</v>
      </c>
      <c r="C1966" s="568"/>
      <c r="D1966" s="568"/>
      <c r="E1966" s="188"/>
      <c r="F1966" s="188"/>
      <c r="G1966" s="2122">
        <v>0.96</v>
      </c>
      <c r="H1966" s="568" t="s">
        <v>49</v>
      </c>
      <c r="I1966" s="2118" t="s">
        <v>49</v>
      </c>
      <c r="J1966" s="2123">
        <f>K9</f>
        <v>1308.4099999999999</v>
      </c>
      <c r="K1966" s="2123">
        <f>ROUND(G1966*J1966,2)</f>
        <v>1256.07</v>
      </c>
      <c r="L1966" s="192"/>
      <c r="M1966" s="568"/>
      <c r="N1966" s="1705"/>
      <c r="O1966" s="1705"/>
      <c r="P1966" s="1705"/>
      <c r="Q1966" s="1705"/>
      <c r="R1966" s="1705"/>
      <c r="S1966" s="1705"/>
      <c r="U1966" s="1705"/>
      <c r="V1966" s="1705"/>
      <c r="W1966" s="1705"/>
      <c r="X1966" s="1705"/>
      <c r="Y1966" s="1705"/>
      <c r="Z1966" s="1705"/>
      <c r="AA1966" s="1705"/>
      <c r="AB1966" s="1705"/>
    </row>
    <row r="1967" spans="1:28" s="1706" customFormat="1" ht="12.75">
      <c r="A1967" s="2114"/>
      <c r="B1967" s="568" t="s">
        <v>775</v>
      </c>
      <c r="C1967" s="568"/>
      <c r="D1967" s="568"/>
      <c r="E1967" s="188"/>
      <c r="F1967" s="188"/>
      <c r="G1967" s="2122">
        <v>0.48</v>
      </c>
      <c r="H1967" s="568" t="s">
        <v>49</v>
      </c>
      <c r="I1967" s="2118" t="s">
        <v>49</v>
      </c>
      <c r="J1967" s="2123">
        <f>K46</f>
        <v>717.46</v>
      </c>
      <c r="K1967" s="2123">
        <f>ROUND(G1967*J1967,2)</f>
        <v>344.38</v>
      </c>
      <c r="L1967" s="192"/>
      <c r="M1967" s="568"/>
      <c r="N1967" s="1705"/>
      <c r="O1967" s="1705"/>
      <c r="P1967" s="1705"/>
      <c r="Q1967" s="1705"/>
      <c r="R1967" s="1705"/>
      <c r="S1967" s="1705"/>
      <c r="U1967" s="1705"/>
      <c r="V1967" s="1705"/>
      <c r="W1967" s="1705"/>
      <c r="X1967" s="1705"/>
      <c r="Y1967" s="1705"/>
      <c r="Z1967" s="1705"/>
      <c r="AA1967" s="1705"/>
      <c r="AB1967" s="1705"/>
    </row>
    <row r="1968" spans="1:28" s="1706" customFormat="1" ht="12.75">
      <c r="A1968" s="2114"/>
      <c r="B1968" s="568" t="s">
        <v>8</v>
      </c>
      <c r="C1968" s="568"/>
      <c r="D1968" s="568"/>
      <c r="E1968" s="188"/>
      <c r="F1968" s="188"/>
      <c r="G1968" s="2122">
        <v>2.29</v>
      </c>
      <c r="H1968" s="568" t="s">
        <v>247</v>
      </c>
      <c r="I1968" s="2118" t="s">
        <v>247</v>
      </c>
      <c r="J1968" s="2123">
        <f>K50/10</f>
        <v>42.622</v>
      </c>
      <c r="K1968" s="2123">
        <f>ROUND(G1968*J1968,2)</f>
        <v>97.6</v>
      </c>
      <c r="L1968" s="192"/>
      <c r="M1968" s="568"/>
      <c r="N1968" s="1705"/>
      <c r="O1968" s="1705"/>
      <c r="P1968" s="1705"/>
      <c r="Q1968" s="1705"/>
      <c r="R1968" s="1705"/>
      <c r="S1968" s="1705"/>
      <c r="U1968" s="1705"/>
      <c r="V1968" s="1705"/>
      <c r="W1968" s="1705"/>
      <c r="X1968" s="1705"/>
      <c r="Y1968" s="1705"/>
      <c r="Z1968" s="1705"/>
      <c r="AA1968" s="1705"/>
      <c r="AB1968" s="1705"/>
    </row>
    <row r="1969" spans="1:28" s="1706" customFormat="1" ht="12.75">
      <c r="A1969" s="2114"/>
      <c r="B1969" s="568"/>
      <c r="C1969" s="568"/>
      <c r="D1969" s="568"/>
      <c r="E1969" s="188"/>
      <c r="F1969" s="188"/>
      <c r="G1969" s="2122"/>
      <c r="H1969" s="568"/>
      <c r="I1969" s="2118"/>
      <c r="J1969" s="2126" t="s">
        <v>718</v>
      </c>
      <c r="K1969" s="2124">
        <f>SUM(K1966:K1968)</f>
        <v>1698.0499999999997</v>
      </c>
      <c r="L1969" s="192"/>
      <c r="M1969" s="568"/>
      <c r="N1969" s="1705"/>
      <c r="O1969" s="1991">
        <f>K1962</f>
        <v>1423.8</v>
      </c>
      <c r="P1969" s="1706" t="s">
        <v>3149</v>
      </c>
      <c r="Q1969" s="1705"/>
      <c r="R1969" s="1705"/>
      <c r="S1969" s="1705"/>
      <c r="U1969" s="1705"/>
      <c r="V1969" s="1705"/>
      <c r="W1969" s="1705"/>
      <c r="X1969" s="1705"/>
      <c r="Y1969" s="1705"/>
      <c r="Z1969" s="1705"/>
      <c r="AA1969" s="1705"/>
      <c r="AB1969" s="1705"/>
    </row>
    <row r="1970" spans="1:28" s="1706" customFormat="1" ht="12.75">
      <c r="A1970" s="2114"/>
      <c r="B1970" s="568"/>
      <c r="C1970" s="568"/>
      <c r="D1970" s="568"/>
      <c r="E1970" s="188"/>
      <c r="F1970" s="188"/>
      <c r="G1970" s="2122"/>
      <c r="H1970" s="568"/>
      <c r="I1970" s="2118"/>
      <c r="J1970" s="2126" t="s">
        <v>718</v>
      </c>
      <c r="K1970" s="2124">
        <f>K1958+K1962+K1963+K1964+K1969</f>
        <v>5748.82</v>
      </c>
      <c r="L1970" s="192"/>
      <c r="M1970" s="568"/>
      <c r="N1970" s="1705"/>
      <c r="O1970" s="1991"/>
      <c r="Q1970" s="1705"/>
      <c r="R1970" s="1705"/>
      <c r="S1970" s="1705"/>
      <c r="U1970" s="1705"/>
      <c r="V1970" s="1705"/>
      <c r="W1970" s="1705"/>
      <c r="X1970" s="1705"/>
      <c r="Y1970" s="1705"/>
      <c r="Z1970" s="1705"/>
      <c r="AA1970" s="1705"/>
      <c r="AB1970" s="1705"/>
    </row>
    <row r="1971" spans="1:28" ht="12.75">
      <c r="A1971" s="2114"/>
      <c r="B1971" s="192" t="s">
        <v>3735</v>
      </c>
      <c r="C1971" s="2142">
        <v>0.01</v>
      </c>
      <c r="D1971" s="568"/>
      <c r="E1971" s="188"/>
      <c r="F1971" s="188"/>
      <c r="G1971" s="2122"/>
      <c r="H1971" s="568"/>
      <c r="I1971" s="2118"/>
      <c r="J1971" s="2134"/>
      <c r="K1971" s="2123">
        <f>ROUND(K1970*C1971,2)</f>
        <v>57.49</v>
      </c>
      <c r="L1971" s="192"/>
      <c r="M1971" s="568"/>
    </row>
    <row r="1972" spans="1:28" ht="12.75">
      <c r="A1972" s="2114"/>
      <c r="B1972" s="192" t="s">
        <v>785</v>
      </c>
      <c r="C1972" s="568"/>
      <c r="D1972" s="568"/>
      <c r="E1972" s="188"/>
      <c r="F1972" s="188"/>
      <c r="G1972" s="2122"/>
      <c r="H1972" s="568"/>
      <c r="I1972" s="2118"/>
      <c r="J1972" s="2126" t="s">
        <v>718</v>
      </c>
      <c r="K1972" s="2124">
        <f>SUM(K1970:K1971)</f>
        <v>5806.3099999999995</v>
      </c>
      <c r="L1972" s="192" t="s">
        <v>721</v>
      </c>
      <c r="M1972" s="568"/>
      <c r="O1972" s="1991">
        <f>K1972-O1969</f>
        <v>4382.5099999999993</v>
      </c>
      <c r="P1972" s="1706" t="s">
        <v>26</v>
      </c>
    </row>
    <row r="1973" spans="1:28" ht="12.75">
      <c r="A1973" s="2114" t="s">
        <v>220</v>
      </c>
      <c r="B1973" s="192" t="s">
        <v>786</v>
      </c>
      <c r="C1973" s="568"/>
      <c r="D1973" s="568"/>
      <c r="E1973" s="188"/>
      <c r="F1973" s="188"/>
      <c r="G1973" s="2122"/>
      <c r="H1973" s="568"/>
      <c r="I1973" s="2118"/>
      <c r="J1973" s="2123"/>
      <c r="K1973" s="2124"/>
      <c r="L1973" s="192"/>
      <c r="M1973" s="568"/>
    </row>
    <row r="1974" spans="1:28" ht="12.75">
      <c r="A1974" s="2114"/>
      <c r="B1974" s="568" t="s">
        <v>787</v>
      </c>
      <c r="C1974" s="568"/>
      <c r="D1974" s="568"/>
      <c r="E1974" s="188"/>
      <c r="F1974" s="188"/>
      <c r="G1974" s="2122"/>
      <c r="H1974" s="568"/>
      <c r="I1974" s="2118"/>
      <c r="J1974" s="2123"/>
      <c r="K1974" s="2124">
        <f>K1970</f>
        <v>5748.82</v>
      </c>
      <c r="L1974" s="192"/>
      <c r="M1974" s="568"/>
    </row>
    <row r="1975" spans="1:28" ht="12.75">
      <c r="A1975" s="2114"/>
      <c r="B1975" s="568" t="s">
        <v>788</v>
      </c>
      <c r="C1975" s="568"/>
      <c r="D1975" s="568"/>
      <c r="E1975" s="188"/>
      <c r="F1975" s="188"/>
      <c r="G1975" s="2122">
        <v>0.96</v>
      </c>
      <c r="H1975" s="568" t="s">
        <v>49</v>
      </c>
      <c r="I1975" s="2118" t="s">
        <v>49</v>
      </c>
      <c r="J1975" s="2123">
        <f>G8-G9</f>
        <v>207.89</v>
      </c>
      <c r="K1975" s="2123">
        <f>ROUND(G1975*J1975,2)</f>
        <v>199.57</v>
      </c>
      <c r="L1975" s="192"/>
      <c r="M1975" s="568"/>
      <c r="O1975" s="1991">
        <f>O1969</f>
        <v>1423.8</v>
      </c>
      <c r="P1975" s="1706" t="s">
        <v>3149</v>
      </c>
    </row>
    <row r="1976" spans="1:28" ht="12.75">
      <c r="A1976" s="2114"/>
      <c r="B1976" s="568" t="s">
        <v>3664</v>
      </c>
      <c r="C1976" s="568"/>
      <c r="D1976" s="568"/>
      <c r="E1976" s="188"/>
      <c r="F1976" s="188"/>
      <c r="G1976" s="2122"/>
      <c r="H1976" s="2135">
        <f>H1964</f>
        <v>7.4999999999999997E-2</v>
      </c>
      <c r="I1976" s="2134">
        <f>K1975</f>
        <v>199.57</v>
      </c>
      <c r="J1976" s="2134"/>
      <c r="K1976" s="2123">
        <f>ROUND(I1976*H1976,2)</f>
        <v>14.97</v>
      </c>
      <c r="L1976" s="192"/>
      <c r="M1976" s="568"/>
    </row>
    <row r="1977" spans="1:28" ht="12.75">
      <c r="A1977" s="2114"/>
      <c r="B1977" s="568" t="s">
        <v>3665</v>
      </c>
      <c r="C1977" s="568"/>
      <c r="D1977" s="568"/>
      <c r="E1977" s="188"/>
      <c r="F1977" s="188"/>
      <c r="G1977" s="2122"/>
      <c r="H1977" s="2135">
        <f>H1976</f>
        <v>7.4999999999999997E-2</v>
      </c>
      <c r="I1977" s="2134">
        <f>I1976</f>
        <v>199.57</v>
      </c>
      <c r="J1977" s="2134"/>
      <c r="K1977" s="2123">
        <f>ROUND(I1977*H1977,2)</f>
        <v>14.97</v>
      </c>
      <c r="L1977" s="192"/>
      <c r="M1977" s="568"/>
    </row>
    <row r="1978" spans="1:28" ht="12.75">
      <c r="A1978" s="2114"/>
      <c r="B1978" s="568"/>
      <c r="C1978" s="568"/>
      <c r="D1978" s="568"/>
      <c r="E1978" s="188"/>
      <c r="F1978" s="188"/>
      <c r="G1978" s="2122"/>
      <c r="H1978" s="2135"/>
      <c r="I1978" s="2134"/>
      <c r="J1978" s="2126" t="s">
        <v>718</v>
      </c>
      <c r="K1978" s="2123">
        <f>SUM(K1974:K1977)</f>
        <v>5978.33</v>
      </c>
      <c r="L1978" s="192"/>
      <c r="M1978" s="568"/>
    </row>
    <row r="1979" spans="1:28" ht="12.75">
      <c r="A1979" s="2114"/>
      <c r="B1979" s="192" t="s">
        <v>3735</v>
      </c>
      <c r="C1979" s="2142">
        <v>0.01</v>
      </c>
      <c r="D1979" s="568"/>
      <c r="E1979" s="188"/>
      <c r="F1979" s="188"/>
      <c r="G1979" s="2122"/>
      <c r="H1979" s="568"/>
      <c r="I1979" s="2118"/>
      <c r="J1979" s="2134"/>
      <c r="K1979" s="2123">
        <f>ROUND(K1978*C1979,2)</f>
        <v>59.78</v>
      </c>
      <c r="L1979" s="192"/>
      <c r="M1979" s="568"/>
    </row>
    <row r="1980" spans="1:28" ht="12.75">
      <c r="A1980" s="2114"/>
      <c r="B1980" s="568"/>
      <c r="C1980" s="568"/>
      <c r="D1980" s="568"/>
      <c r="E1980" s="188"/>
      <c r="F1980" s="188"/>
      <c r="G1980" s="2122"/>
      <c r="H1980" s="568"/>
      <c r="I1980" s="2118"/>
      <c r="J1980" s="2123"/>
      <c r="K1980" s="2124">
        <f>SUM(K1978:K1979)</f>
        <v>6038.11</v>
      </c>
      <c r="L1980" s="192" t="s">
        <v>721</v>
      </c>
      <c r="M1980" s="568"/>
      <c r="O1980" s="1991">
        <f>K1980-O1975</f>
        <v>4614.3099999999995</v>
      </c>
      <c r="P1980" s="1706" t="s">
        <v>26</v>
      </c>
    </row>
    <row r="1981" spans="1:28" ht="61.5" hidden="1" customHeight="1">
      <c r="A1981" s="2114">
        <f>A406</f>
        <v>36</v>
      </c>
      <c r="B1981" s="3017" t="str">
        <f>B406</f>
        <v>Providing and laying P.C.C. (1:2:4) in foundation and floors using 12 mm. size black hard crusher broken granite stone chips and screened and washed sharp sand for mortar  etc complete as per the direction of the Engineer -in –charge.</v>
      </c>
      <c r="C1981" s="3017"/>
      <c r="D1981" s="3017"/>
      <c r="E1981" s="2116" t="str">
        <f>G408</f>
        <v>Each Cum</v>
      </c>
      <c r="F1981" s="2116"/>
      <c r="G1981" s="2122"/>
      <c r="H1981" s="568"/>
      <c r="I1981" s="2118"/>
      <c r="J1981" s="2124"/>
      <c r="K1981" s="2124"/>
      <c r="L1981" s="192"/>
      <c r="M1981" s="568"/>
    </row>
    <row r="1982" spans="1:28" ht="14.25" hidden="1" customHeight="1">
      <c r="A1982" s="2114" t="s">
        <v>201</v>
      </c>
      <c r="B1982" s="6" t="s">
        <v>790</v>
      </c>
      <c r="C1982" s="675"/>
      <c r="D1982" s="675"/>
      <c r="E1982" s="2116"/>
      <c r="F1982" s="2116"/>
      <c r="G1982" s="2122"/>
      <c r="H1982" s="568"/>
      <c r="I1982" s="2118"/>
      <c r="J1982" s="2124"/>
      <c r="K1982" s="2124"/>
      <c r="L1982" s="192"/>
      <c r="M1982" s="568"/>
    </row>
    <row r="1983" spans="1:28" ht="14.25" hidden="1" customHeight="1">
      <c r="A1983" s="2114" t="str">
        <f>A301</f>
        <v>(i)</v>
      </c>
      <c r="B1983" s="195" t="s">
        <v>384</v>
      </c>
      <c r="C1983" s="675"/>
      <c r="D1983" s="675"/>
      <c r="E1983" s="2116"/>
      <c r="F1983" s="2116"/>
      <c r="G1983" s="2122"/>
      <c r="H1983" s="568"/>
      <c r="I1983" s="2118"/>
      <c r="J1983" s="2124"/>
      <c r="K1983" s="2124"/>
      <c r="L1983" s="192"/>
      <c r="M1983" s="568"/>
    </row>
    <row r="1984" spans="1:28" s="140" customFormat="1" ht="12.75" hidden="1">
      <c r="A1984" s="2144"/>
      <c r="B1984" s="2145" t="s">
        <v>777</v>
      </c>
      <c r="C1984" s="2146"/>
      <c r="D1984" s="2146"/>
      <c r="E1984" s="2121"/>
      <c r="F1984" s="2121"/>
      <c r="G1984" s="2146"/>
      <c r="H1984" s="2147"/>
      <c r="I1984" s="1703"/>
      <c r="J1984" s="2146"/>
      <c r="K1984" s="2146"/>
      <c r="L1984" s="2148"/>
      <c r="M1984" s="13"/>
      <c r="T1984" s="1994"/>
    </row>
    <row r="1985" spans="1:20" s="140" customFormat="1" ht="12.75" hidden="1">
      <c r="A1985" s="2144"/>
      <c r="B1985" s="2145" t="s">
        <v>779</v>
      </c>
      <c r="C1985" s="2146"/>
      <c r="D1985" s="2146"/>
      <c r="E1985" s="2121"/>
      <c r="F1985" s="2121"/>
      <c r="G1985" s="2149"/>
      <c r="H1985" s="2147"/>
      <c r="I1985" s="1703"/>
      <c r="J1985" s="2150"/>
      <c r="K1985" s="2150"/>
      <c r="L1985" s="2148"/>
      <c r="M1985" s="13"/>
      <c r="T1985" s="1994"/>
    </row>
    <row r="1986" spans="1:20" s="140" customFormat="1" ht="12.75" hidden="1">
      <c r="A1986" s="2144"/>
      <c r="B1986" s="2147" t="s">
        <v>791</v>
      </c>
      <c r="C1986" s="2146"/>
      <c r="D1986" s="2146"/>
      <c r="E1986" s="2121"/>
      <c r="F1986" s="2121"/>
      <c r="G1986" s="2149">
        <v>0.9</v>
      </c>
      <c r="H1986" s="2147" t="s">
        <v>49</v>
      </c>
      <c r="I1986" s="1703" t="s">
        <v>49</v>
      </c>
      <c r="J1986" s="2150">
        <f>G13</f>
        <v>1085.19</v>
      </c>
      <c r="K1986" s="2123">
        <f>ROUND(G1986*J1986,2)</f>
        <v>976.67</v>
      </c>
      <c r="L1986" s="2148"/>
      <c r="M1986" s="13"/>
      <c r="N1986" s="2946">
        <f>J1986+J2026</f>
        <v>1396.62</v>
      </c>
      <c r="O1986" s="2946"/>
      <c r="P1986" s="1741"/>
      <c r="Q1986" s="1709">
        <f>ROUND(G1986*N1986,2)</f>
        <v>1256.96</v>
      </c>
      <c r="T1986" s="1994"/>
    </row>
    <row r="1987" spans="1:20" s="140" customFormat="1" ht="12.75" hidden="1">
      <c r="A1987" s="2144"/>
      <c r="B1987" s="2146" t="s">
        <v>775</v>
      </c>
      <c r="C1987" s="2146"/>
      <c r="D1987" s="2146"/>
      <c r="E1987" s="2121"/>
      <c r="F1987" s="2121"/>
      <c r="G1987" s="2149">
        <v>0.45</v>
      </c>
      <c r="H1987" s="2147" t="s">
        <v>49</v>
      </c>
      <c r="I1987" s="1703" t="s">
        <v>49</v>
      </c>
      <c r="J1987" s="2150">
        <f>G46</f>
        <v>76.88</v>
      </c>
      <c r="K1987" s="2123">
        <f>ROUND(G1987*J1987,2)</f>
        <v>34.6</v>
      </c>
      <c r="L1987" s="2148"/>
      <c r="M1987" s="13"/>
      <c r="Q1987" s="1741">
        <f>K1987</f>
        <v>34.6</v>
      </c>
      <c r="T1987" s="1994"/>
    </row>
    <row r="1988" spans="1:20" s="140" customFormat="1" ht="12.75" hidden="1">
      <c r="A1988" s="2144"/>
      <c r="B1988" s="2146" t="s">
        <v>8</v>
      </c>
      <c r="C1988" s="2146"/>
      <c r="D1988" s="2146"/>
      <c r="E1988" s="2121"/>
      <c r="F1988" s="2121"/>
      <c r="G1988" s="2149">
        <v>3.23</v>
      </c>
      <c r="H1988" s="2147" t="s">
        <v>247</v>
      </c>
      <c r="I1988" s="1703" t="s">
        <v>247</v>
      </c>
      <c r="J1988" s="2150">
        <f>G50/10</f>
        <v>570.23400000000004</v>
      </c>
      <c r="K1988" s="2123">
        <f>ROUND(G1988*J1988,2)</f>
        <v>1841.86</v>
      </c>
      <c r="L1988" s="2148"/>
      <c r="M1988" s="13"/>
      <c r="Q1988" s="1741">
        <f>K1988</f>
        <v>1841.86</v>
      </c>
      <c r="T1988" s="1994"/>
    </row>
    <row r="1989" spans="1:20" s="140" customFormat="1" ht="12.75" hidden="1">
      <c r="A1989" s="2144"/>
      <c r="B1989" s="2146"/>
      <c r="C1989" s="2146"/>
      <c r="D1989" s="2146"/>
      <c r="E1989" s="2121"/>
      <c r="F1989" s="2121"/>
      <c r="G1989" s="2149"/>
      <c r="H1989" s="2147"/>
      <c r="I1989" s="1703"/>
      <c r="J1989" s="2151" t="s">
        <v>718</v>
      </c>
      <c r="K1989" s="2152">
        <f>SUM(K1986:K1988)</f>
        <v>2853.13</v>
      </c>
      <c r="L1989" s="2148"/>
      <c r="M1989" s="13"/>
      <c r="Q1989" s="1741">
        <f>SUM(Q1986:Q1988)</f>
        <v>3133.42</v>
      </c>
      <c r="T1989" s="1994"/>
    </row>
    <row r="1990" spans="1:20" s="140" customFormat="1" ht="12.75" hidden="1">
      <c r="A1990" s="2144"/>
      <c r="B1990" s="2145" t="s">
        <v>781</v>
      </c>
      <c r="C1990" s="2146"/>
      <c r="D1990" s="2146"/>
      <c r="E1990" s="2121"/>
      <c r="F1990" s="2121"/>
      <c r="G1990" s="2149"/>
      <c r="H1990" s="2147"/>
      <c r="I1990" s="1703"/>
      <c r="J1990" s="2150"/>
      <c r="K1990" s="2150"/>
      <c r="L1990" s="2148"/>
      <c r="M1990" s="13"/>
      <c r="T1990" s="1994"/>
    </row>
    <row r="1991" spans="1:20" s="140" customFormat="1" ht="12.75" hidden="1">
      <c r="A1991" s="2144"/>
      <c r="B1991" s="2146" t="s">
        <v>782</v>
      </c>
      <c r="C1991" s="2146"/>
      <c r="D1991" s="2146"/>
      <c r="E1991" s="2121"/>
      <c r="F1991" s="2121"/>
      <c r="G1991" s="2149">
        <v>0.68</v>
      </c>
      <c r="H1991" s="2147" t="s">
        <v>262</v>
      </c>
      <c r="I1991" s="1703" t="s">
        <v>38</v>
      </c>
      <c r="J1991" s="2150">
        <f>L136</f>
        <v>435</v>
      </c>
      <c r="K1991" s="2123">
        <f>ROUND(G1991*J1991,2)</f>
        <v>295.8</v>
      </c>
      <c r="L1991" s="2148"/>
      <c r="M1991" s="13"/>
      <c r="T1991" s="1994"/>
    </row>
    <row r="1992" spans="1:20" s="140" customFormat="1" ht="12.75" hidden="1">
      <c r="A1992" s="2144"/>
      <c r="B1992" s="2146" t="s">
        <v>717</v>
      </c>
      <c r="C1992" s="2146"/>
      <c r="D1992" s="2146"/>
      <c r="E1992" s="2121"/>
      <c r="F1992" s="2121"/>
      <c r="G1992" s="2149">
        <v>4.5999999999999996</v>
      </c>
      <c r="H1992" s="2147" t="s">
        <v>262</v>
      </c>
      <c r="I1992" s="1703" t="s">
        <v>38</v>
      </c>
      <c r="J1992" s="2150">
        <f>L134</f>
        <v>345</v>
      </c>
      <c r="K1992" s="2123">
        <f>ROUND(G1992*J1992,2)</f>
        <v>1587</v>
      </c>
      <c r="L1992" s="2148"/>
      <c r="M1992" s="13"/>
      <c r="Q1992" s="1741">
        <f>K1993</f>
        <v>1882.8</v>
      </c>
      <c r="T1992" s="1994"/>
    </row>
    <row r="1993" spans="1:20" s="140" customFormat="1" ht="12.75" hidden="1">
      <c r="A1993" s="2144"/>
      <c r="B1993" s="2146"/>
      <c r="C1993" s="2146"/>
      <c r="D1993" s="2146"/>
      <c r="E1993" s="2121"/>
      <c r="F1993" s="2121"/>
      <c r="G1993" s="2149"/>
      <c r="H1993" s="2147"/>
      <c r="I1993" s="1703"/>
      <c r="J1993" s="2151" t="s">
        <v>718</v>
      </c>
      <c r="K1993" s="2152">
        <f>SUM(K1991:K1992)</f>
        <v>1882.8</v>
      </c>
      <c r="L1993" s="2148"/>
      <c r="M1993" s="13"/>
      <c r="T1993" s="1994"/>
    </row>
    <row r="1994" spans="1:20" ht="12.75" hidden="1">
      <c r="A1994" s="2114"/>
      <c r="B1994" s="568" t="s">
        <v>3662</v>
      </c>
      <c r="C1994" s="568"/>
      <c r="D1994" s="568"/>
      <c r="E1994" s="188"/>
      <c r="F1994" s="188"/>
      <c r="G1994" s="2122"/>
      <c r="H1994" s="2135">
        <f>H1977</f>
        <v>7.4999999999999997E-2</v>
      </c>
      <c r="I1994" s="2134">
        <f>K1989+K1993</f>
        <v>4735.93</v>
      </c>
      <c r="J1994" s="2134"/>
      <c r="K1994" s="2123">
        <f>ROUND(I1994*H1994,2)</f>
        <v>355.19</v>
      </c>
      <c r="L1994" s="192"/>
      <c r="M1994" s="568"/>
    </row>
    <row r="1995" spans="1:20" ht="12.75" hidden="1">
      <c r="A1995" s="2114"/>
      <c r="B1995" s="568" t="s">
        <v>3661</v>
      </c>
      <c r="C1995" s="568"/>
      <c r="D1995" s="568"/>
      <c r="E1995" s="188"/>
      <c r="F1995" s="188"/>
      <c r="G1995" s="2122"/>
      <c r="H1995" s="2135">
        <f>H1994</f>
        <v>7.4999999999999997E-2</v>
      </c>
      <c r="I1995" s="2134">
        <f>I1994</f>
        <v>4735.93</v>
      </c>
      <c r="J1995" s="2134"/>
      <c r="K1995" s="2123">
        <f>ROUND(I1995*H1995,2)</f>
        <v>355.19</v>
      </c>
      <c r="L1995" s="192"/>
      <c r="M1995" s="568"/>
    </row>
    <row r="1996" spans="1:20" s="140" customFormat="1" ht="12.75" hidden="1">
      <c r="A1996" s="2144"/>
      <c r="B1996" s="2145" t="s">
        <v>3663</v>
      </c>
      <c r="C1996" s="2146"/>
      <c r="D1996" s="2146"/>
      <c r="E1996" s="2121"/>
      <c r="F1996" s="2121"/>
      <c r="G1996" s="2149"/>
      <c r="H1996" s="2147"/>
      <c r="I1996" s="1703"/>
      <c r="J1996" s="2150"/>
      <c r="K1996" s="2150"/>
      <c r="L1996" s="2148"/>
      <c r="M1996" s="13"/>
      <c r="T1996" s="1994"/>
    </row>
    <row r="1997" spans="1:20" s="140" customFormat="1" ht="12.75" hidden="1">
      <c r="A1997" s="2144"/>
      <c r="B1997" s="2147" t="str">
        <f>B1986</f>
        <v>B.h.g.c.b. Chips</v>
      </c>
      <c r="C1997" s="2146"/>
      <c r="D1997" s="2146"/>
      <c r="E1997" s="2121"/>
      <c r="F1997" s="2121"/>
      <c r="G1997" s="2149">
        <f>G1986</f>
        <v>0.9</v>
      </c>
      <c r="H1997" s="2147" t="s">
        <v>49</v>
      </c>
      <c r="I1997" s="1703" t="s">
        <v>49</v>
      </c>
      <c r="J1997" s="2150">
        <f>K13</f>
        <v>1308.4099999999999</v>
      </c>
      <c r="K1997" s="2123">
        <f>ROUND(G1997*J1997,2)</f>
        <v>1177.57</v>
      </c>
      <c r="L1997" s="2148"/>
      <c r="M1997" s="13"/>
      <c r="N1997" s="2153">
        <f>K12</f>
        <v>1308.4099999999999</v>
      </c>
      <c r="T1997" s="1994"/>
    </row>
    <row r="1998" spans="1:20" s="140" customFormat="1" ht="12.75" hidden="1">
      <c r="A1998" s="2144"/>
      <c r="B1998" s="2146" t="s">
        <v>775</v>
      </c>
      <c r="C1998" s="2146"/>
      <c r="D1998" s="2146"/>
      <c r="E1998" s="2121"/>
      <c r="F1998" s="2121"/>
      <c r="G1998" s="2149">
        <f>G1987</f>
        <v>0.45</v>
      </c>
      <c r="H1998" s="2147" t="s">
        <v>49</v>
      </c>
      <c r="I1998" s="1703" t="s">
        <v>49</v>
      </c>
      <c r="J1998" s="2150">
        <f>K46</f>
        <v>717.46</v>
      </c>
      <c r="K1998" s="2123">
        <f>ROUND(G1998*J1998,2)</f>
        <v>322.86</v>
      </c>
      <c r="L1998" s="2148"/>
      <c r="M1998" s="13"/>
      <c r="T1998" s="1994"/>
    </row>
    <row r="1999" spans="1:20" s="140" customFormat="1" ht="12.75" hidden="1">
      <c r="A1999" s="2144"/>
      <c r="B1999" s="2146" t="s">
        <v>8</v>
      </c>
      <c r="C1999" s="2146"/>
      <c r="D1999" s="2146"/>
      <c r="E1999" s="2121"/>
      <c r="F1999" s="2121"/>
      <c r="G1999" s="2149">
        <f>G1988</f>
        <v>3.23</v>
      </c>
      <c r="H1999" s="2147" t="s">
        <v>247</v>
      </c>
      <c r="I1999" s="1703" t="s">
        <v>247</v>
      </c>
      <c r="J1999" s="2150">
        <f>K50/10</f>
        <v>42.622</v>
      </c>
      <c r="K1999" s="2123">
        <f>ROUND(G1999*J1999,2)</f>
        <v>137.66999999999999</v>
      </c>
      <c r="L1999" s="2148"/>
      <c r="M1999" s="13"/>
      <c r="T1999" s="1994"/>
    </row>
    <row r="2000" spans="1:20" s="140" customFormat="1" ht="12.75" hidden="1">
      <c r="A2000" s="2144"/>
      <c r="B2000" s="2146"/>
      <c r="C2000" s="2146"/>
      <c r="D2000" s="2146"/>
      <c r="E2000" s="2121"/>
      <c r="F2000" s="2121"/>
      <c r="G2000" s="2149"/>
      <c r="H2000" s="2147"/>
      <c r="I2000" s="1703"/>
      <c r="J2000" s="2151" t="s">
        <v>718</v>
      </c>
      <c r="K2000" s="2152">
        <f>SUM(K1997:K1999)</f>
        <v>1638.1</v>
      </c>
      <c r="L2000" s="2148"/>
      <c r="M2000" s="13"/>
      <c r="O2000" s="1991">
        <f>K1993</f>
        <v>1882.8</v>
      </c>
      <c r="P2000" s="1706" t="s">
        <v>3149</v>
      </c>
      <c r="Q2000" s="1709">
        <f>'Detail Estimate'!H922</f>
        <v>0</v>
      </c>
      <c r="R2000" s="1705">
        <f>O2000*Q2000</f>
        <v>0</v>
      </c>
      <c r="T2000" s="1994"/>
    </row>
    <row r="2001" spans="1:20" s="140" customFormat="1" ht="12.75" hidden="1">
      <c r="A2001" s="2144"/>
      <c r="B2001" s="2146"/>
      <c r="C2001" s="2146"/>
      <c r="D2001" s="2146"/>
      <c r="E2001" s="2121"/>
      <c r="F2001" s="2121"/>
      <c r="G2001" s="2149"/>
      <c r="H2001" s="2147"/>
      <c r="I2001" s="1703"/>
      <c r="J2001" s="2151"/>
      <c r="K2001" s="2152">
        <f>K1989+K1993+K1994+K1995+K2000</f>
        <v>7084.41</v>
      </c>
      <c r="L2001" s="2148"/>
      <c r="M2001" s="13"/>
      <c r="O2001" s="1991"/>
      <c r="P2001" s="1706"/>
      <c r="Q2001" s="1709"/>
      <c r="R2001" s="1705"/>
      <c r="T2001" s="1994"/>
    </row>
    <row r="2002" spans="1:20" s="140" customFormat="1" ht="12.75" hidden="1">
      <c r="A2002" s="2144"/>
      <c r="B2002" s="192" t="s">
        <v>3735</v>
      </c>
      <c r="C2002" s="2142">
        <v>0.01</v>
      </c>
      <c r="D2002" s="568"/>
      <c r="E2002" s="188"/>
      <c r="F2002" s="188"/>
      <c r="G2002" s="2122"/>
      <c r="H2002" s="568"/>
      <c r="I2002" s="2118"/>
      <c r="J2002" s="2134"/>
      <c r="K2002" s="2123">
        <f>ROUND(K2001*C2002,2)</f>
        <v>70.84</v>
      </c>
      <c r="L2002" s="2148"/>
      <c r="M2002" s="13"/>
      <c r="O2002" s="1991"/>
      <c r="P2002" s="1706"/>
      <c r="Q2002" s="1709"/>
      <c r="R2002" s="1705"/>
      <c r="T2002" s="1994"/>
    </row>
    <row r="2003" spans="1:20" s="1994" customFormat="1" ht="12.75" hidden="1">
      <c r="A2003" s="2154"/>
      <c r="B2003" s="2145" t="s">
        <v>793</v>
      </c>
      <c r="C2003" s="2145"/>
      <c r="D2003" s="2145"/>
      <c r="E2003" s="2155"/>
      <c r="F2003" s="2155"/>
      <c r="G2003" s="2156"/>
      <c r="H2003" s="2148"/>
      <c r="I2003" s="1702"/>
      <c r="J2003" s="2152"/>
      <c r="K2003" s="2152">
        <f>SUM(K2001:K2002)</f>
        <v>7155.25</v>
      </c>
      <c r="L2003" s="2148" t="s">
        <v>721</v>
      </c>
      <c r="M2003" s="13"/>
      <c r="N2003" s="140"/>
      <c r="O2003" s="1991">
        <f>K2003-O2000</f>
        <v>5272.45</v>
      </c>
      <c r="P2003" s="1706" t="s">
        <v>26</v>
      </c>
    </row>
    <row r="2004" spans="1:20" s="1706" customFormat="1" ht="12.75" hidden="1">
      <c r="A2004" s="2114" t="str">
        <f>A302</f>
        <v>(ii)</v>
      </c>
      <c r="B2004" s="192" t="str">
        <f>B302</f>
        <v>First Floor</v>
      </c>
      <c r="C2004" s="192"/>
      <c r="D2004" s="192"/>
      <c r="E2004" s="2120" t="str">
        <f>G302</f>
        <v>Each Sqm</v>
      </c>
      <c r="F2004" s="2120"/>
      <c r="G2004" s="2141"/>
      <c r="H2004" s="192"/>
      <c r="I2004" s="2114"/>
      <c r="J2004" s="2124"/>
      <c r="K2004" s="2124"/>
      <c r="L2004" s="192"/>
      <c r="M2004" s="192"/>
    </row>
    <row r="2005" spans="1:20" ht="12.75" hidden="1">
      <c r="A2005" s="2114"/>
      <c r="B2005" s="568" t="s">
        <v>794</v>
      </c>
      <c r="C2005" s="568"/>
      <c r="D2005" s="568"/>
      <c r="E2005" s="188"/>
      <c r="F2005" s="188"/>
      <c r="G2005" s="2122"/>
      <c r="H2005" s="568"/>
      <c r="I2005" s="2118"/>
      <c r="J2005" s="2123"/>
      <c r="K2005" s="2123">
        <f>K2001</f>
        <v>7084.41</v>
      </c>
      <c r="L2005" s="192"/>
      <c r="M2005" s="568"/>
    </row>
    <row r="2006" spans="1:20" ht="12.75" hidden="1">
      <c r="A2006" s="2114"/>
      <c r="B2006" s="568" t="s">
        <v>795</v>
      </c>
      <c r="C2006" s="568"/>
      <c r="D2006" s="568"/>
      <c r="E2006" s="188"/>
      <c r="F2006" s="188"/>
      <c r="G2006" s="2122"/>
      <c r="H2006" s="568"/>
      <c r="I2006" s="2118"/>
      <c r="J2006" s="2123"/>
      <c r="K2006" s="2123">
        <f>ROUND(K1993*15%,2)</f>
        <v>282.42</v>
      </c>
      <c r="L2006" s="192"/>
      <c r="M2006" s="568"/>
      <c r="O2006" s="1991">
        <f>O2000+K2006</f>
        <v>2165.2199999999998</v>
      </c>
      <c r="P2006" s="1706" t="s">
        <v>3149</v>
      </c>
      <c r="Q2006" s="1709">
        <f>'Detail Estimate'!H930</f>
        <v>0</v>
      </c>
      <c r="R2006" s="1705">
        <f>O2006*Q2006</f>
        <v>0</v>
      </c>
      <c r="S2006" s="1705">
        <v>4193</v>
      </c>
    </row>
    <row r="2007" spans="1:20" ht="12.75" hidden="1">
      <c r="A2007" s="2114"/>
      <c r="B2007" s="568"/>
      <c r="C2007" s="568"/>
      <c r="D2007" s="568"/>
      <c r="E2007" s="188"/>
      <c r="F2007" s="188"/>
      <c r="G2007" s="2122"/>
      <c r="H2007" s="568"/>
      <c r="I2007" s="2118"/>
      <c r="J2007" s="2123"/>
      <c r="K2007" s="2123">
        <f>SUM(K2005:K2006)</f>
        <v>7366.83</v>
      </c>
      <c r="L2007" s="192"/>
      <c r="M2007" s="568"/>
      <c r="O2007" s="1991"/>
      <c r="P2007" s="1706"/>
      <c r="Q2007" s="1709"/>
    </row>
    <row r="2008" spans="1:20" ht="12.75" hidden="1">
      <c r="A2008" s="2114"/>
      <c r="B2008" s="192" t="s">
        <v>3738</v>
      </c>
      <c r="C2008" s="2142">
        <v>0.01</v>
      </c>
      <c r="D2008" s="568"/>
      <c r="E2008" s="188"/>
      <c r="F2008" s="188"/>
      <c r="G2008" s="2122"/>
      <c r="H2008" s="568"/>
      <c r="I2008" s="2118"/>
      <c r="J2008" s="2134"/>
      <c r="K2008" s="2123">
        <f>ROUND(K2007*C2008,2)</f>
        <v>73.67</v>
      </c>
      <c r="L2008" s="192"/>
      <c r="M2008" s="568"/>
      <c r="O2008" s="1991"/>
      <c r="P2008" s="1706"/>
      <c r="Q2008" s="1709"/>
    </row>
    <row r="2009" spans="1:20" ht="12.75" hidden="1">
      <c r="A2009" s="2114"/>
      <c r="B2009" s="568"/>
      <c r="C2009" s="568"/>
      <c r="D2009" s="568"/>
      <c r="E2009" s="188"/>
      <c r="F2009" s="188"/>
      <c r="G2009" s="2122"/>
      <c r="H2009" s="568"/>
      <c r="I2009" s="2118"/>
      <c r="J2009" s="2126" t="s">
        <v>718</v>
      </c>
      <c r="K2009" s="2124">
        <f>SUM(K2007:K2008)</f>
        <v>7440.5</v>
      </c>
      <c r="L2009" s="192" t="s">
        <v>721</v>
      </c>
      <c r="M2009" s="568"/>
      <c r="O2009" s="1991">
        <f>K2009-O2006</f>
        <v>5275.2800000000007</v>
      </c>
      <c r="P2009" s="1706" t="s">
        <v>26</v>
      </c>
    </row>
    <row r="2010" spans="1:20" s="1706" customFormat="1" ht="12.75" hidden="1">
      <c r="A2010" s="2114" t="s">
        <v>432</v>
      </c>
      <c r="B2010" s="192" t="s">
        <v>3613</v>
      </c>
      <c r="C2010" s="192"/>
      <c r="D2010" s="192"/>
      <c r="E2010" s="2120" t="str">
        <f>G307</f>
        <v>Each Sqm</v>
      </c>
      <c r="F2010" s="2120"/>
      <c r="G2010" s="2141"/>
      <c r="H2010" s="192"/>
      <c r="I2010" s="2114"/>
      <c r="J2010" s="2124"/>
      <c r="K2010" s="2124"/>
      <c r="L2010" s="192"/>
      <c r="M2010" s="192"/>
    </row>
    <row r="2011" spans="1:20" ht="12.75" hidden="1">
      <c r="A2011" s="2114"/>
      <c r="B2011" s="568" t="s">
        <v>3615</v>
      </c>
      <c r="C2011" s="568"/>
      <c r="D2011" s="568"/>
      <c r="E2011" s="188"/>
      <c r="F2011" s="188"/>
      <c r="G2011" s="2122"/>
      <c r="H2011" s="568"/>
      <c r="I2011" s="2118"/>
      <c r="J2011" s="2123"/>
      <c r="K2011" s="2123">
        <f>K2007</f>
        <v>7366.83</v>
      </c>
      <c r="L2011" s="192"/>
      <c r="M2011" s="568"/>
    </row>
    <row r="2012" spans="1:20" ht="12.75" hidden="1">
      <c r="A2012" s="2114"/>
      <c r="B2012" s="568" t="s">
        <v>795</v>
      </c>
      <c r="C2012" s="568"/>
      <c r="D2012" s="568"/>
      <c r="E2012" s="188"/>
      <c r="F2012" s="188"/>
      <c r="G2012" s="2122"/>
      <c r="H2012" s="568"/>
      <c r="I2012" s="2134"/>
      <c r="J2012" s="2123"/>
      <c r="K2012" s="2123">
        <f>K2006+ROUND(K2006*15%,2)</f>
        <v>324.78000000000003</v>
      </c>
      <c r="L2012" s="192"/>
      <c r="M2012" s="568"/>
      <c r="O2012" s="1991">
        <f>O2006+K2012</f>
        <v>2490</v>
      </c>
      <c r="P2012" s="1706" t="s">
        <v>3149</v>
      </c>
      <c r="Q2012" s="1709">
        <f>'Detail Estimate'!H938</f>
        <v>0</v>
      </c>
      <c r="R2012" s="1705">
        <f>O2012*Q2012</f>
        <v>0</v>
      </c>
    </row>
    <row r="2013" spans="1:20" ht="12.75" hidden="1">
      <c r="A2013" s="2114"/>
      <c r="B2013" s="568"/>
      <c r="C2013" s="568"/>
      <c r="D2013" s="568"/>
      <c r="E2013" s="188"/>
      <c r="F2013" s="188"/>
      <c r="G2013" s="2122"/>
      <c r="H2013" s="568"/>
      <c r="I2013" s="2134"/>
      <c r="J2013" s="2123"/>
      <c r="K2013" s="2123">
        <f>SUM(K2011:K2012)</f>
        <v>7691.61</v>
      </c>
      <c r="L2013" s="192"/>
      <c r="M2013" s="568"/>
      <c r="O2013" s="1991"/>
      <c r="P2013" s="1706"/>
      <c r="Q2013" s="1709"/>
    </row>
    <row r="2014" spans="1:20" ht="12.75" hidden="1">
      <c r="A2014" s="2114"/>
      <c r="B2014" s="192" t="s">
        <v>3738</v>
      </c>
      <c r="C2014" s="2142">
        <v>0.01</v>
      </c>
      <c r="D2014" s="568"/>
      <c r="E2014" s="188"/>
      <c r="F2014" s="188"/>
      <c r="G2014" s="2122"/>
      <c r="H2014" s="568"/>
      <c r="I2014" s="2118"/>
      <c r="J2014" s="2134"/>
      <c r="K2014" s="2123">
        <f>ROUND(K2013*C2014,2)</f>
        <v>76.92</v>
      </c>
      <c r="L2014" s="192"/>
      <c r="M2014" s="568"/>
      <c r="O2014" s="1991"/>
      <c r="P2014" s="1706"/>
      <c r="Q2014" s="1709"/>
    </row>
    <row r="2015" spans="1:20" ht="12.75" hidden="1">
      <c r="A2015" s="2114"/>
      <c r="B2015" s="568"/>
      <c r="C2015" s="568"/>
      <c r="D2015" s="568"/>
      <c r="E2015" s="188"/>
      <c r="F2015" s="188"/>
      <c r="G2015" s="2122"/>
      <c r="H2015" s="568"/>
      <c r="I2015" s="2118"/>
      <c r="J2015" s="2126" t="s">
        <v>718</v>
      </c>
      <c r="K2015" s="2124">
        <f>SUM(K2013:K2014)</f>
        <v>7768.53</v>
      </c>
      <c r="L2015" s="192" t="s">
        <v>721</v>
      </c>
      <c r="M2015" s="568"/>
      <c r="O2015" s="1991">
        <f>K2015-O2012</f>
        <v>5278.53</v>
      </c>
      <c r="P2015" s="1706" t="s">
        <v>26</v>
      </c>
    </row>
    <row r="2016" spans="1:20" s="1706" customFormat="1" ht="12.75" hidden="1">
      <c r="A2016" s="2114" t="s">
        <v>443</v>
      </c>
      <c r="B2016" s="192" t="s">
        <v>3632</v>
      </c>
      <c r="C2016" s="192"/>
      <c r="D2016" s="192"/>
      <c r="E2016" s="2120" t="str">
        <f>G311</f>
        <v>Each Sqm</v>
      </c>
      <c r="F2016" s="2120"/>
      <c r="G2016" s="2141"/>
      <c r="H2016" s="192"/>
      <c r="I2016" s="2114"/>
      <c r="J2016" s="2124"/>
      <c r="K2016" s="2124"/>
      <c r="L2016" s="192"/>
      <c r="M2016" s="192"/>
    </row>
    <row r="2017" spans="1:18" ht="12.75" hidden="1">
      <c r="A2017" s="2114"/>
      <c r="B2017" s="568" t="s">
        <v>3666</v>
      </c>
      <c r="C2017" s="568"/>
      <c r="D2017" s="568"/>
      <c r="E2017" s="188"/>
      <c r="F2017" s="188"/>
      <c r="G2017" s="2122"/>
      <c r="H2017" s="568"/>
      <c r="I2017" s="2118"/>
      <c r="J2017" s="2123"/>
      <c r="K2017" s="2123">
        <f>K2013</f>
        <v>7691.61</v>
      </c>
      <c r="L2017" s="192"/>
      <c r="M2017" s="568"/>
    </row>
    <row r="2018" spans="1:18" ht="12.75" hidden="1">
      <c r="A2018" s="2114"/>
      <c r="B2018" s="568" t="s">
        <v>795</v>
      </c>
      <c r="C2018" s="568"/>
      <c r="D2018" s="568"/>
      <c r="E2018" s="188"/>
      <c r="F2018" s="188"/>
      <c r="G2018" s="2122"/>
      <c r="H2018" s="568"/>
      <c r="I2018" s="2118"/>
      <c r="J2018" s="2123"/>
      <c r="K2018" s="2123">
        <f>K2012+ROUND(K2012*15%,2)</f>
        <v>373.5</v>
      </c>
      <c r="L2018" s="192"/>
      <c r="M2018" s="568"/>
      <c r="O2018" s="1991">
        <f>O2012+K2018</f>
        <v>2863.5</v>
      </c>
      <c r="P2018" s="1706" t="s">
        <v>3149</v>
      </c>
      <c r="Q2018" s="1709">
        <f>'Detail Estimate'!H946</f>
        <v>0</v>
      </c>
      <c r="R2018" s="1705">
        <f>O2018*Q2018</f>
        <v>0</v>
      </c>
    </row>
    <row r="2019" spans="1:18" ht="12.75" hidden="1">
      <c r="A2019" s="2114"/>
      <c r="B2019" s="568"/>
      <c r="C2019" s="568"/>
      <c r="D2019" s="568"/>
      <c r="E2019" s="188"/>
      <c r="F2019" s="188"/>
      <c r="G2019" s="2122"/>
      <c r="H2019" s="568"/>
      <c r="I2019" s="2118"/>
      <c r="J2019" s="2123"/>
      <c r="K2019" s="2123">
        <f>SUM(K2017:K2018)</f>
        <v>8065.11</v>
      </c>
      <c r="L2019" s="192"/>
      <c r="M2019" s="568"/>
      <c r="O2019" s="1991"/>
      <c r="P2019" s="1706"/>
      <c r="Q2019" s="1709"/>
    </row>
    <row r="2020" spans="1:18" ht="12.75" hidden="1">
      <c r="A2020" s="2114"/>
      <c r="B2020" s="192" t="s">
        <v>3738</v>
      </c>
      <c r="C2020" s="2142">
        <v>0.01</v>
      </c>
      <c r="D2020" s="568"/>
      <c r="E2020" s="188"/>
      <c r="F2020" s="188"/>
      <c r="G2020" s="2122"/>
      <c r="H2020" s="568"/>
      <c r="I2020" s="2118"/>
      <c r="J2020" s="2134"/>
      <c r="K2020" s="2123">
        <f>ROUND(K2019*C2020,2)</f>
        <v>80.650000000000006</v>
      </c>
      <c r="L2020" s="192"/>
      <c r="M2020" s="568"/>
      <c r="O2020" s="1991"/>
      <c r="P2020" s="1706"/>
      <c r="Q2020" s="1709"/>
    </row>
    <row r="2021" spans="1:18" ht="12.75" hidden="1">
      <c r="A2021" s="2114"/>
      <c r="B2021" s="568"/>
      <c r="C2021" s="568"/>
      <c r="D2021" s="568"/>
      <c r="E2021" s="188"/>
      <c r="F2021" s="188"/>
      <c r="G2021" s="2122"/>
      <c r="H2021" s="568"/>
      <c r="I2021" s="2118"/>
      <c r="J2021" s="2126" t="s">
        <v>718</v>
      </c>
      <c r="K2021" s="2124">
        <f>SUM(K2019:K2020)</f>
        <v>8145.7599999999993</v>
      </c>
      <c r="L2021" s="192" t="s">
        <v>721</v>
      </c>
      <c r="M2021" s="568"/>
      <c r="O2021" s="1991">
        <f>K2021-O2018</f>
        <v>5282.2599999999993</v>
      </c>
      <c r="P2021" s="1706" t="s">
        <v>26</v>
      </c>
    </row>
    <row r="2022" spans="1:18" ht="12.75" hidden="1">
      <c r="A2022" s="2114"/>
      <c r="B2022" s="568"/>
      <c r="C2022" s="568"/>
      <c r="D2022" s="568"/>
      <c r="E2022" s="188"/>
      <c r="F2022" s="188"/>
      <c r="G2022" s="2122"/>
      <c r="H2022" s="568"/>
      <c r="I2022" s="2118"/>
      <c r="J2022" s="2126"/>
      <c r="K2022" s="2124"/>
      <c r="L2022" s="192"/>
      <c r="M2022" s="568"/>
    </row>
    <row r="2023" spans="1:18" ht="12.75" hidden="1">
      <c r="A2023" s="2" t="s">
        <v>220</v>
      </c>
      <c r="B2023" s="2" t="s">
        <v>3739</v>
      </c>
      <c r="C2023" s="6"/>
      <c r="D2023" s="6"/>
      <c r="E2023" s="6"/>
      <c r="F2023" s="6"/>
      <c r="G2023" s="6"/>
      <c r="H2023" s="6"/>
      <c r="I2023" s="6"/>
      <c r="J2023" s="6"/>
      <c r="K2023" s="6"/>
      <c r="L2023" s="6"/>
      <c r="M2023" s="6"/>
      <c r="N2023" s="1741"/>
      <c r="O2023" s="1741"/>
      <c r="P2023" s="1741"/>
    </row>
    <row r="2024" spans="1:18" ht="14.25" hidden="1" customHeight="1">
      <c r="A2024" s="10" t="str">
        <f>A341</f>
        <v>(i)</v>
      </c>
      <c r="B2024" s="2" t="s">
        <v>384</v>
      </c>
      <c r="C2024" s="6"/>
      <c r="D2024" s="6"/>
      <c r="E2024" s="10" t="str">
        <f>G313</f>
        <v>Each Sqm</v>
      </c>
      <c r="F2024" s="6"/>
      <c r="G2024" s="6"/>
      <c r="H2024" s="6"/>
      <c r="I2024" s="6"/>
      <c r="J2024" s="6"/>
      <c r="K2024" s="6"/>
      <c r="L2024" s="6"/>
      <c r="M2024" s="6"/>
      <c r="N2024" s="1741"/>
      <c r="O2024" s="1741"/>
      <c r="P2024" s="1741"/>
    </row>
    <row r="2025" spans="1:18" ht="12.75" hidden="1">
      <c r="A2025" s="2157"/>
      <c r="B2025" s="6" t="s">
        <v>787</v>
      </c>
      <c r="C2025" s="6"/>
      <c r="D2025" s="6"/>
      <c r="E2025" s="10"/>
      <c r="F2025" s="6"/>
      <c r="G2025" s="6"/>
      <c r="H2025" s="6"/>
      <c r="I2025" s="6"/>
      <c r="J2025" s="6"/>
      <c r="K2025" s="2158">
        <f>K2001</f>
        <v>7084.41</v>
      </c>
      <c r="L2025" s="6"/>
      <c r="M2025" s="6"/>
      <c r="N2025" s="1741"/>
      <c r="O2025" s="1741"/>
      <c r="P2025" s="1741"/>
    </row>
    <row r="2026" spans="1:18" ht="12.75" hidden="1">
      <c r="A2026" s="2157"/>
      <c r="B2026" s="6" t="s">
        <v>788</v>
      </c>
      <c r="C2026" s="6"/>
      <c r="D2026" s="6"/>
      <c r="E2026" s="10"/>
      <c r="F2026" s="6"/>
      <c r="G2026" s="2158">
        <f>G1997</f>
        <v>0.9</v>
      </c>
      <c r="H2026" s="6" t="s">
        <v>49</v>
      </c>
      <c r="I2026" s="6" t="s">
        <v>49</v>
      </c>
      <c r="J2026" s="2158">
        <f>G12-G13</f>
        <v>311.42999999999984</v>
      </c>
      <c r="K2026" s="6">
        <f>ROUND(G2026*J2026,2)</f>
        <v>280.29000000000002</v>
      </c>
      <c r="L2026" s="6"/>
      <c r="M2026" s="6"/>
      <c r="N2026" s="1741"/>
      <c r="O2026" s="1991">
        <f>O2000</f>
        <v>1882.8</v>
      </c>
      <c r="P2026" s="1706" t="s">
        <v>3149</v>
      </c>
    </row>
    <row r="2027" spans="1:18" ht="12.75" hidden="1">
      <c r="A2027" s="2114"/>
      <c r="B2027" s="568" t="s">
        <v>3664</v>
      </c>
      <c r="C2027" s="568"/>
      <c r="D2027" s="568"/>
      <c r="E2027" s="188"/>
      <c r="F2027" s="188"/>
      <c r="G2027" s="2122"/>
      <c r="H2027" s="2135">
        <f>H1995</f>
        <v>7.4999999999999997E-2</v>
      </c>
      <c r="I2027" s="2134">
        <f>K2026</f>
        <v>280.29000000000002</v>
      </c>
      <c r="J2027" s="2134"/>
      <c r="K2027" s="2123">
        <f>ROUND(I2027*H2027,2)</f>
        <v>21.02</v>
      </c>
      <c r="L2027" s="192"/>
      <c r="M2027" s="568"/>
    </row>
    <row r="2028" spans="1:18" ht="12.75" hidden="1">
      <c r="A2028" s="2114"/>
      <c r="B2028" s="568" t="s">
        <v>3665</v>
      </c>
      <c r="C2028" s="568"/>
      <c r="D2028" s="568"/>
      <c r="E2028" s="188"/>
      <c r="F2028" s="188"/>
      <c r="G2028" s="2122"/>
      <c r="H2028" s="2135">
        <f>H2027</f>
        <v>7.4999999999999997E-2</v>
      </c>
      <c r="I2028" s="2134">
        <f>I2027</f>
        <v>280.29000000000002</v>
      </c>
      <c r="J2028" s="2134"/>
      <c r="K2028" s="2123">
        <f>ROUND(I2028*H2028,2)</f>
        <v>21.02</v>
      </c>
      <c r="L2028" s="192"/>
      <c r="M2028" s="568"/>
    </row>
    <row r="2029" spans="1:18" ht="12.75" hidden="1">
      <c r="A2029" s="2114"/>
      <c r="B2029" s="568"/>
      <c r="C2029" s="568"/>
      <c r="D2029" s="568"/>
      <c r="E2029" s="188"/>
      <c r="F2029" s="188"/>
      <c r="G2029" s="2122"/>
      <c r="H2029" s="2135"/>
      <c r="I2029" s="2134"/>
      <c r="J2029" s="2134"/>
      <c r="K2029" s="2123">
        <f>SUM(K2025:K2028)</f>
        <v>7406.7400000000007</v>
      </c>
      <c r="L2029" s="192"/>
      <c r="M2029" s="568"/>
    </row>
    <row r="2030" spans="1:18" ht="12.75" hidden="1">
      <c r="A2030" s="2114"/>
      <c r="B2030" s="192" t="s">
        <v>3738</v>
      </c>
      <c r="C2030" s="2142">
        <v>0.01</v>
      </c>
      <c r="D2030" s="568"/>
      <c r="E2030" s="188"/>
      <c r="F2030" s="188"/>
      <c r="G2030" s="2122"/>
      <c r="H2030" s="568"/>
      <c r="I2030" s="2118"/>
      <c r="J2030" s="2134"/>
      <c r="K2030" s="2123">
        <f>ROUND(K2029*C2030,2)</f>
        <v>74.069999999999993</v>
      </c>
      <c r="L2030" s="192"/>
      <c r="M2030" s="568"/>
    </row>
    <row r="2031" spans="1:18" ht="12.75" hidden="1">
      <c r="A2031" s="2157"/>
      <c r="B2031" s="6"/>
      <c r="C2031" s="6"/>
      <c r="D2031" s="6"/>
      <c r="E2031" s="10"/>
      <c r="F2031" s="6"/>
      <c r="G2031" s="6"/>
      <c r="H2031" s="6"/>
      <c r="I2031" s="6"/>
      <c r="J2031" s="6"/>
      <c r="K2031" s="571">
        <f>SUM(K2029:K2030)</f>
        <v>7480.81</v>
      </c>
      <c r="L2031" s="2" t="s">
        <v>721</v>
      </c>
      <c r="M2031" s="6"/>
      <c r="N2031" s="1741"/>
      <c r="O2031" s="1991">
        <f>K2031-O2026</f>
        <v>5598.01</v>
      </c>
      <c r="P2031" s="1706" t="s">
        <v>26</v>
      </c>
    </row>
    <row r="2032" spans="1:18" s="1706" customFormat="1" ht="12.75" hidden="1">
      <c r="A2032" s="10" t="str">
        <f>A317</f>
        <v>(ii)</v>
      </c>
      <c r="B2032" s="2" t="str">
        <f>B317</f>
        <v>First Floor</v>
      </c>
      <c r="C2032" s="6"/>
      <c r="D2032" s="6"/>
      <c r="E2032" s="10" t="str">
        <f>G317</f>
        <v>Each Cum</v>
      </c>
      <c r="F2032" s="6"/>
      <c r="G2032" s="6"/>
      <c r="H2032" s="6"/>
      <c r="I2032" s="6"/>
      <c r="J2032" s="6"/>
      <c r="K2032" s="6"/>
      <c r="L2032" s="6"/>
      <c r="M2032" s="6"/>
      <c r="N2032" s="1741"/>
      <c r="O2032" s="1741"/>
      <c r="P2032" s="1741"/>
    </row>
    <row r="2033" spans="1:16" ht="12.75" hidden="1">
      <c r="A2033" s="2157"/>
      <c r="B2033" s="6" t="s">
        <v>794</v>
      </c>
      <c r="C2033" s="6"/>
      <c r="D2033" s="6"/>
      <c r="E2033" s="10"/>
      <c r="F2033" s="6"/>
      <c r="G2033" s="6"/>
      <c r="H2033" s="6"/>
      <c r="I2033" s="6"/>
      <c r="J2033" s="6"/>
      <c r="K2033" s="2158">
        <f>K2029</f>
        <v>7406.7400000000007</v>
      </c>
      <c r="L2033" s="6"/>
      <c r="M2033" s="6"/>
      <c r="N2033" s="1741"/>
      <c r="O2033" s="1741"/>
      <c r="P2033" s="1741"/>
    </row>
    <row r="2034" spans="1:16" ht="12.75" hidden="1">
      <c r="A2034" s="2157"/>
      <c r="B2034" s="6" t="s">
        <v>795</v>
      </c>
      <c r="C2034" s="6"/>
      <c r="D2034" s="6"/>
      <c r="E2034" s="10"/>
      <c r="F2034" s="6"/>
      <c r="G2034" s="6"/>
      <c r="H2034" s="6"/>
      <c r="I2034" s="6"/>
      <c r="J2034" s="6"/>
      <c r="K2034" s="6">
        <f>ROUND(K1993*15%,2)</f>
        <v>282.42</v>
      </c>
      <c r="L2034" s="6"/>
      <c r="M2034" s="6"/>
      <c r="N2034" s="1741"/>
      <c r="O2034" s="1991">
        <f>O2026+K2034</f>
        <v>2165.2199999999998</v>
      </c>
      <c r="P2034" s="1706" t="s">
        <v>3149</v>
      </c>
    </row>
    <row r="2035" spans="1:16" ht="12.75" hidden="1">
      <c r="A2035" s="2157"/>
      <c r="B2035" s="6"/>
      <c r="C2035" s="6"/>
      <c r="D2035" s="6"/>
      <c r="E2035" s="10"/>
      <c r="F2035" s="6"/>
      <c r="G2035" s="6"/>
      <c r="H2035" s="6"/>
      <c r="I2035" s="6"/>
      <c r="J2035" s="6"/>
      <c r="K2035" s="2158">
        <f>SUM(K2033:K2034)</f>
        <v>7689.1600000000008</v>
      </c>
      <c r="L2035" s="6"/>
      <c r="M2035" s="6"/>
      <c r="N2035" s="1741"/>
      <c r="O2035" s="1991"/>
      <c r="P2035" s="1706"/>
    </row>
    <row r="2036" spans="1:16" ht="12.75" hidden="1">
      <c r="A2036" s="2157"/>
      <c r="B2036" s="192" t="s">
        <v>3738</v>
      </c>
      <c r="C2036" s="2142">
        <v>0.01</v>
      </c>
      <c r="D2036" s="568"/>
      <c r="E2036" s="188"/>
      <c r="F2036" s="188"/>
      <c r="G2036" s="2122"/>
      <c r="H2036" s="568"/>
      <c r="I2036" s="2118"/>
      <c r="J2036" s="2134"/>
      <c r="K2036" s="2123">
        <f>ROUND(K2035*C2036,2)</f>
        <v>76.89</v>
      </c>
      <c r="L2036" s="6"/>
      <c r="M2036" s="6"/>
      <c r="N2036" s="1741"/>
      <c r="O2036" s="1991"/>
      <c r="P2036" s="1706"/>
    </row>
    <row r="2037" spans="1:16" ht="12.75" hidden="1">
      <c r="A2037" s="2157"/>
      <c r="B2037" s="6"/>
      <c r="C2037" s="6"/>
      <c r="D2037" s="6"/>
      <c r="E2037" s="10"/>
      <c r="F2037" s="6"/>
      <c r="G2037" s="6"/>
      <c r="H2037" s="6"/>
      <c r="I2037" s="6"/>
      <c r="J2037" s="2157" t="s">
        <v>718</v>
      </c>
      <c r="K2037" s="571">
        <f>SUM(K2035:K2036)</f>
        <v>7766.0500000000011</v>
      </c>
      <c r="L2037" s="2" t="s">
        <v>721</v>
      </c>
      <c r="M2037" s="6"/>
      <c r="N2037" s="1741"/>
      <c r="O2037" s="1991">
        <f>K2037-O2034</f>
        <v>5600.8300000000017</v>
      </c>
      <c r="P2037" s="1706" t="s">
        <v>26</v>
      </c>
    </row>
    <row r="2038" spans="1:16" s="1706" customFormat="1" ht="12.75" hidden="1">
      <c r="A2038" s="10" t="str">
        <f>A2010</f>
        <v>(iii)</v>
      </c>
      <c r="B2038" s="2" t="str">
        <f>B2010</f>
        <v>Second Floor</v>
      </c>
      <c r="C2038" s="6"/>
      <c r="D2038" s="6"/>
      <c r="E2038" s="10" t="str">
        <f>G322</f>
        <v>Each Sqm</v>
      </c>
      <c r="F2038" s="6"/>
      <c r="G2038" s="6"/>
      <c r="H2038" s="6"/>
      <c r="I2038" s="6"/>
      <c r="J2038" s="2157"/>
      <c r="K2038" s="6"/>
      <c r="L2038" s="6"/>
      <c r="M2038" s="6"/>
      <c r="N2038" s="1741"/>
      <c r="O2038" s="1741"/>
      <c r="P2038" s="1741"/>
    </row>
    <row r="2039" spans="1:16" ht="12.75" hidden="1">
      <c r="A2039" s="2157"/>
      <c r="B2039" s="6" t="str">
        <f>B2011</f>
        <v>Rate In  First Floor.</v>
      </c>
      <c r="C2039" s="6"/>
      <c r="D2039" s="6"/>
      <c r="E2039" s="10"/>
      <c r="F2039" s="6"/>
      <c r="G2039" s="6"/>
      <c r="H2039" s="6"/>
      <c r="I2039" s="6"/>
      <c r="J2039" s="2157"/>
      <c r="K2039" s="2158">
        <f>K2035</f>
        <v>7689.1600000000008</v>
      </c>
      <c r="L2039" s="6"/>
      <c r="M2039" s="6"/>
      <c r="N2039" s="1741"/>
      <c r="O2039" s="1741"/>
      <c r="P2039" s="1741"/>
    </row>
    <row r="2040" spans="1:16" ht="12.75" hidden="1">
      <c r="A2040" s="2157"/>
      <c r="B2040" s="6" t="s">
        <v>795</v>
      </c>
      <c r="C2040" s="6"/>
      <c r="D2040" s="6"/>
      <c r="E2040" s="10"/>
      <c r="F2040" s="6"/>
      <c r="G2040" s="6"/>
      <c r="H2040" s="6"/>
      <c r="I2040" s="6"/>
      <c r="J2040" s="2157"/>
      <c r="K2040" s="2123">
        <f>K2034+ROUND(K2034*15%,2)</f>
        <v>324.78000000000003</v>
      </c>
      <c r="L2040" s="6"/>
      <c r="M2040" s="6"/>
      <c r="N2040" s="1741"/>
      <c r="O2040" s="1991">
        <f>O2034+K2040</f>
        <v>2490</v>
      </c>
      <c r="P2040" s="1706" t="s">
        <v>3149</v>
      </c>
    </row>
    <row r="2041" spans="1:16" ht="12.75" hidden="1">
      <c r="A2041" s="2157"/>
      <c r="B2041" s="6"/>
      <c r="C2041" s="6"/>
      <c r="D2041" s="6"/>
      <c r="E2041" s="10"/>
      <c r="F2041" s="6"/>
      <c r="G2041" s="6"/>
      <c r="H2041" s="6"/>
      <c r="I2041" s="6"/>
      <c r="J2041" s="2157"/>
      <c r="K2041" s="2123">
        <f>SUM(K2039:K2040)</f>
        <v>8013.9400000000005</v>
      </c>
      <c r="L2041" s="6"/>
      <c r="M2041" s="6"/>
      <c r="N2041" s="1741"/>
      <c r="O2041" s="1991"/>
      <c r="P2041" s="1706"/>
    </row>
    <row r="2042" spans="1:16" ht="12.75" hidden="1">
      <c r="A2042" s="2157"/>
      <c r="B2042" s="192" t="s">
        <v>3738</v>
      </c>
      <c r="C2042" s="2142">
        <v>0.01</v>
      </c>
      <c r="D2042" s="568"/>
      <c r="E2042" s="188"/>
      <c r="F2042" s="188"/>
      <c r="G2042" s="2122"/>
      <c r="H2042" s="568"/>
      <c r="I2042" s="2118"/>
      <c r="J2042" s="2134"/>
      <c r="K2042" s="2123">
        <f>ROUND(K2041*C2042,2)</f>
        <v>80.14</v>
      </c>
      <c r="L2042" s="6"/>
      <c r="M2042" s="6"/>
      <c r="N2042" s="1741"/>
      <c r="O2042" s="1991"/>
      <c r="P2042" s="1706"/>
    </row>
    <row r="2043" spans="1:16" ht="12.75" hidden="1">
      <c r="A2043" s="2157"/>
      <c r="B2043" s="6"/>
      <c r="C2043" s="6"/>
      <c r="D2043" s="6"/>
      <c r="E2043" s="10"/>
      <c r="F2043" s="6"/>
      <c r="G2043" s="6"/>
      <c r="H2043" s="6"/>
      <c r="I2043" s="6"/>
      <c r="J2043" s="2157" t="s">
        <v>718</v>
      </c>
      <c r="K2043" s="571">
        <f>SUM(K2041:K2042)</f>
        <v>8094.0800000000008</v>
      </c>
      <c r="L2043" s="2" t="s">
        <v>721</v>
      </c>
      <c r="M2043" s="6"/>
      <c r="N2043" s="1741"/>
      <c r="O2043" s="1991">
        <f>K2043-O2040</f>
        <v>5604.0800000000008</v>
      </c>
      <c r="P2043" s="1706" t="s">
        <v>26</v>
      </c>
    </row>
    <row r="2044" spans="1:16" s="1706" customFormat="1" ht="12.75" hidden="1">
      <c r="A2044" s="10" t="str">
        <f>A2016</f>
        <v>(iv)</v>
      </c>
      <c r="B2044" s="2" t="str">
        <f>B2016</f>
        <v>Third Floor</v>
      </c>
      <c r="C2044" s="6"/>
      <c r="D2044" s="6"/>
      <c r="E2044" s="10" t="str">
        <f>G326</f>
        <v>Each Sqm</v>
      </c>
      <c r="F2044" s="6"/>
      <c r="G2044" s="6"/>
      <c r="H2044" s="6"/>
      <c r="I2044" s="6"/>
      <c r="J2044" s="2157"/>
      <c r="K2044" s="6"/>
      <c r="L2044" s="6"/>
      <c r="M2044" s="6"/>
      <c r="N2044" s="1741"/>
      <c r="O2044" s="1741"/>
      <c r="P2044" s="1741"/>
    </row>
    <row r="2045" spans="1:16" ht="12.75" hidden="1">
      <c r="A2045" s="6"/>
      <c r="B2045" s="6" t="str">
        <f>B2017</f>
        <v>Rate In Second Floor</v>
      </c>
      <c r="C2045" s="6"/>
      <c r="D2045" s="6"/>
      <c r="E2045" s="2157"/>
      <c r="F2045" s="6"/>
      <c r="G2045" s="6"/>
      <c r="H2045" s="6"/>
      <c r="I2045" s="6"/>
      <c r="J2045" s="2157"/>
      <c r="K2045" s="2158">
        <f>K2041</f>
        <v>8013.9400000000005</v>
      </c>
      <c r="L2045" s="6"/>
      <c r="M2045" s="6"/>
      <c r="N2045" s="1741"/>
      <c r="O2045" s="1741"/>
      <c r="P2045" s="1741"/>
    </row>
    <row r="2046" spans="1:16" ht="12.75" hidden="1">
      <c r="A2046" s="6"/>
      <c r="B2046" s="6" t="s">
        <v>795</v>
      </c>
      <c r="C2046" s="6"/>
      <c r="D2046" s="6"/>
      <c r="E2046" s="6"/>
      <c r="F2046" s="6"/>
      <c r="G2046" s="6"/>
      <c r="H2046" s="6"/>
      <c r="I2046" s="6"/>
      <c r="J2046" s="2157"/>
      <c r="K2046" s="2123">
        <f>K2040+ROUND(K2040*15%,2)</f>
        <v>373.5</v>
      </c>
      <c r="L2046" s="6"/>
      <c r="M2046" s="6"/>
      <c r="N2046" s="1741"/>
      <c r="O2046" s="1991">
        <f>O2040+K2046</f>
        <v>2863.5</v>
      </c>
      <c r="P2046" s="1706" t="s">
        <v>3149</v>
      </c>
    </row>
    <row r="2047" spans="1:16" ht="12.75" hidden="1">
      <c r="A2047" s="6"/>
      <c r="B2047" s="6"/>
      <c r="C2047" s="6"/>
      <c r="D2047" s="6"/>
      <c r="E2047" s="6"/>
      <c r="F2047" s="6"/>
      <c r="G2047" s="6"/>
      <c r="H2047" s="6"/>
      <c r="I2047" s="6"/>
      <c r="J2047" s="2157"/>
      <c r="K2047" s="2123">
        <f>SUM(K2045:K2046)</f>
        <v>8387.44</v>
      </c>
      <c r="L2047" s="6"/>
      <c r="M2047" s="6"/>
      <c r="N2047" s="1741"/>
      <c r="O2047" s="1991"/>
      <c r="P2047" s="1706"/>
    </row>
    <row r="2048" spans="1:16" ht="12.75" hidden="1">
      <c r="A2048" s="6"/>
      <c r="B2048" s="192" t="s">
        <v>3738</v>
      </c>
      <c r="C2048" s="2142">
        <v>0.01</v>
      </c>
      <c r="D2048" s="568"/>
      <c r="E2048" s="188"/>
      <c r="F2048" s="188"/>
      <c r="G2048" s="2122"/>
      <c r="H2048" s="568"/>
      <c r="I2048" s="2118"/>
      <c r="J2048" s="2134"/>
      <c r="K2048" s="2123">
        <f>ROUND(K2047*C2048,2)</f>
        <v>83.87</v>
      </c>
      <c r="L2048" s="6"/>
      <c r="M2048" s="6"/>
      <c r="N2048" s="1741"/>
      <c r="O2048" s="1991"/>
      <c r="P2048" s="1706"/>
    </row>
    <row r="2049" spans="1:16" ht="12.75" hidden="1">
      <c r="A2049" s="6"/>
      <c r="B2049" s="6"/>
      <c r="C2049" s="6"/>
      <c r="D2049" s="6"/>
      <c r="E2049" s="6"/>
      <c r="F2049" s="6"/>
      <c r="G2049" s="6"/>
      <c r="H2049" s="6"/>
      <c r="I2049" s="6"/>
      <c r="J2049" s="2157" t="s">
        <v>718</v>
      </c>
      <c r="K2049" s="571">
        <f>SUM(K2047:K2048)</f>
        <v>8471.3100000000013</v>
      </c>
      <c r="L2049" s="2" t="s">
        <v>721</v>
      </c>
      <c r="M2049" s="6"/>
      <c r="N2049" s="1741"/>
      <c r="O2049" s="1991">
        <f>K2049-O2046</f>
        <v>5607.8100000000013</v>
      </c>
      <c r="P2049" s="1706" t="s">
        <v>26</v>
      </c>
    </row>
    <row r="2050" spans="1:16" ht="43.15" hidden="1" customHeight="1">
      <c r="A2050" s="2114">
        <f>A417</f>
        <v>37</v>
      </c>
      <c r="B2050" s="3017" t="str">
        <f>B417</f>
        <v>W.B.K.B brick masonry in cement mortar (1:4) using kiln Burnt bricks of 10” size etc. complete in all respect as directed by the Engineer-in-charge.</v>
      </c>
      <c r="C2050" s="3017"/>
      <c r="D2050" s="3017"/>
      <c r="E2050" s="2116" t="str">
        <f>G417</f>
        <v>Each Cum</v>
      </c>
      <c r="F2050" s="2116"/>
      <c r="G2050" s="2122"/>
      <c r="H2050" s="568"/>
      <c r="I2050" s="2118"/>
      <c r="J2050" s="2124"/>
      <c r="K2050" s="2124"/>
      <c r="L2050" s="192"/>
      <c r="M2050" s="568"/>
    </row>
    <row r="2051" spans="1:16" ht="12.75" hidden="1">
      <c r="A2051" s="2114"/>
      <c r="B2051" s="192" t="s">
        <v>777</v>
      </c>
      <c r="C2051" s="192"/>
      <c r="D2051" s="192"/>
      <c r="E2051" s="188"/>
      <c r="F2051" s="188"/>
      <c r="G2051" s="2141"/>
      <c r="H2051" s="192"/>
      <c r="I2051" s="2114"/>
      <c r="J2051" s="2124"/>
      <c r="K2051" s="2124"/>
      <c r="L2051" s="192"/>
      <c r="M2051" s="2123"/>
    </row>
    <row r="2052" spans="1:16" ht="12.75" hidden="1">
      <c r="A2052" s="2114" t="str">
        <f>A418</f>
        <v>(i)</v>
      </c>
      <c r="B2052" s="192" t="str">
        <f>B418</f>
        <v>Foundation &amp; Plinth</v>
      </c>
      <c r="C2052" s="568"/>
      <c r="D2052" s="568"/>
      <c r="E2052" s="2120" t="str">
        <f>G418</f>
        <v>Each Cum</v>
      </c>
      <c r="F2052" s="2120"/>
      <c r="G2052" s="2122"/>
      <c r="H2052" s="568"/>
      <c r="I2052" s="2118"/>
      <c r="J2052" s="2123"/>
      <c r="K2052" s="2123"/>
      <c r="L2052" s="192"/>
      <c r="M2052" s="568"/>
    </row>
    <row r="2053" spans="1:16" ht="12.75" hidden="1">
      <c r="A2053" s="2114"/>
      <c r="B2053" s="192" t="s">
        <v>779</v>
      </c>
      <c r="C2053" s="568"/>
      <c r="D2053" s="568"/>
      <c r="E2053" s="188"/>
      <c r="F2053" s="188"/>
      <c r="G2053" s="2122"/>
      <c r="H2053" s="568"/>
      <c r="I2053" s="2118"/>
      <c r="J2053" s="2123"/>
      <c r="K2053" s="2123"/>
      <c r="L2053" s="192"/>
      <c r="M2053" s="568"/>
    </row>
    <row r="2054" spans="1:16" ht="12.75" hidden="1">
      <c r="A2054" s="2114"/>
      <c r="B2054" s="568" t="s">
        <v>796</v>
      </c>
      <c r="C2054" s="568"/>
      <c r="D2054" s="568"/>
      <c r="E2054" s="188"/>
      <c r="F2054" s="188"/>
      <c r="G2054" s="2123">
        <v>350</v>
      </c>
      <c r="H2054" s="568" t="s">
        <v>262</v>
      </c>
      <c r="I2054" s="2118" t="s">
        <v>262</v>
      </c>
      <c r="J2054" s="2122">
        <f>G25/1000</f>
        <v>6.1056699999999999</v>
      </c>
      <c r="K2054" s="2123">
        <f>ROUND(G2054*J2054,2)</f>
        <v>2136.98</v>
      </c>
      <c r="L2054" s="192"/>
      <c r="M2054" s="568"/>
    </row>
    <row r="2055" spans="1:16" ht="12.75" hidden="1">
      <c r="A2055" s="2114"/>
      <c r="B2055" s="568" t="s">
        <v>775</v>
      </c>
      <c r="C2055" s="568"/>
      <c r="D2055" s="568"/>
      <c r="E2055" s="188"/>
      <c r="F2055" s="188"/>
      <c r="G2055" s="2122">
        <v>0.28000000000000003</v>
      </c>
      <c r="H2055" s="568" t="s">
        <v>49</v>
      </c>
      <c r="I2055" s="2118" t="s">
        <v>49</v>
      </c>
      <c r="J2055" s="2123">
        <f>G46</f>
        <v>76.88</v>
      </c>
      <c r="K2055" s="2123">
        <f>ROUND(G2055*J2055,2)</f>
        <v>21.53</v>
      </c>
      <c r="L2055" s="192"/>
      <c r="M2055" s="568"/>
    </row>
    <row r="2056" spans="1:16" ht="12.75" hidden="1">
      <c r="A2056" s="2114"/>
      <c r="B2056" s="568" t="s">
        <v>8</v>
      </c>
      <c r="C2056" s="568"/>
      <c r="D2056" s="568"/>
      <c r="E2056" s="188"/>
      <c r="F2056" s="188"/>
      <c r="G2056" s="2122">
        <v>1</v>
      </c>
      <c r="H2056" s="568" t="s">
        <v>247</v>
      </c>
      <c r="I2056" s="2118" t="s">
        <v>247</v>
      </c>
      <c r="J2056" s="2123">
        <f>G50/10</f>
        <v>570.23400000000004</v>
      </c>
      <c r="K2056" s="2123">
        <f>ROUND(G2056*J2056,2)</f>
        <v>570.23</v>
      </c>
      <c r="L2056" s="192"/>
      <c r="M2056" s="568"/>
    </row>
    <row r="2057" spans="1:16" ht="12.75" hidden="1">
      <c r="A2057" s="2114"/>
      <c r="B2057" s="568"/>
      <c r="C2057" s="568"/>
      <c r="D2057" s="568"/>
      <c r="E2057" s="188"/>
      <c r="F2057" s="188"/>
      <c r="G2057" s="2122"/>
      <c r="H2057" s="568"/>
      <c r="I2057" s="2118"/>
      <c r="J2057" s="2126" t="s">
        <v>718</v>
      </c>
      <c r="K2057" s="2124">
        <f>SUM(K2054:K2056)</f>
        <v>2728.7400000000002</v>
      </c>
      <c r="L2057" s="192"/>
      <c r="M2057" s="568"/>
    </row>
    <row r="2058" spans="1:16" ht="12.75" hidden="1">
      <c r="A2058" s="2114"/>
      <c r="B2058" s="192" t="s">
        <v>781</v>
      </c>
      <c r="C2058" s="568"/>
      <c r="D2058" s="568"/>
      <c r="E2058" s="188"/>
      <c r="F2058" s="188"/>
      <c r="G2058" s="2122"/>
      <c r="H2058" s="568"/>
      <c r="I2058" s="2118"/>
      <c r="J2058" s="2123"/>
      <c r="K2058" s="2123"/>
      <c r="L2058" s="192"/>
      <c r="M2058" s="568"/>
    </row>
    <row r="2059" spans="1:16" ht="12.75" hidden="1">
      <c r="A2059" s="2114"/>
      <c r="B2059" s="568" t="s">
        <v>797</v>
      </c>
      <c r="C2059" s="568"/>
      <c r="D2059" s="568"/>
      <c r="E2059" s="188"/>
      <c r="F2059" s="188"/>
      <c r="G2059" s="2122">
        <v>0.35</v>
      </c>
      <c r="H2059" s="568" t="s">
        <v>262</v>
      </c>
      <c r="I2059" s="2118" t="s">
        <v>38</v>
      </c>
      <c r="J2059" s="2123">
        <f>L137</f>
        <v>495</v>
      </c>
      <c r="K2059" s="2123">
        <f>ROUND(G2059*J2059,2)</f>
        <v>173.25</v>
      </c>
      <c r="L2059" s="192"/>
      <c r="M2059" s="568"/>
    </row>
    <row r="2060" spans="1:16" ht="12.75" hidden="1">
      <c r="A2060" s="2114"/>
      <c r="B2060" s="568" t="s">
        <v>782</v>
      </c>
      <c r="C2060" s="568"/>
      <c r="D2060" s="568"/>
      <c r="E2060" s="188"/>
      <c r="F2060" s="188"/>
      <c r="G2060" s="2122">
        <v>1.05</v>
      </c>
      <c r="H2060" s="568" t="s">
        <v>262</v>
      </c>
      <c r="I2060" s="2118" t="s">
        <v>38</v>
      </c>
      <c r="J2060" s="2123">
        <f>L136</f>
        <v>435</v>
      </c>
      <c r="K2060" s="2123">
        <f>ROUND(G2060*J2060,2)</f>
        <v>456.75</v>
      </c>
      <c r="L2060" s="192"/>
      <c r="M2060" s="568"/>
    </row>
    <row r="2061" spans="1:16" ht="12.75" hidden="1">
      <c r="A2061" s="2114"/>
      <c r="B2061" s="568" t="s">
        <v>717</v>
      </c>
      <c r="C2061" s="568"/>
      <c r="D2061" s="568"/>
      <c r="E2061" s="188"/>
      <c r="F2061" s="188"/>
      <c r="G2061" s="2122">
        <v>2.96</v>
      </c>
      <c r="H2061" s="568" t="s">
        <v>262</v>
      </c>
      <c r="I2061" s="2118" t="s">
        <v>38</v>
      </c>
      <c r="J2061" s="2123">
        <f>L134</f>
        <v>345</v>
      </c>
      <c r="K2061" s="2123">
        <f>ROUND(G2061*J2061,2)</f>
        <v>1021.2</v>
      </c>
      <c r="L2061" s="192"/>
      <c r="M2061" s="568"/>
    </row>
    <row r="2062" spans="1:16" ht="12.75" hidden="1">
      <c r="A2062" s="2114"/>
      <c r="B2062" s="568"/>
      <c r="C2062" s="568"/>
      <c r="D2062" s="568"/>
      <c r="E2062" s="188"/>
      <c r="F2062" s="188"/>
      <c r="G2062" s="2122"/>
      <c r="H2062" s="568"/>
      <c r="I2062" s="2118"/>
      <c r="J2062" s="2134" t="s">
        <v>718</v>
      </c>
      <c r="K2062" s="2124">
        <f>SUM(K2059:K2061)</f>
        <v>1651.2</v>
      </c>
      <c r="L2062" s="192"/>
      <c r="M2062" s="568"/>
    </row>
    <row r="2063" spans="1:16" ht="12.75" hidden="1">
      <c r="A2063" s="2114"/>
      <c r="B2063" s="568" t="s">
        <v>3662</v>
      </c>
      <c r="C2063" s="568"/>
      <c r="D2063" s="568"/>
      <c r="E2063" s="188"/>
      <c r="F2063" s="188"/>
      <c r="G2063" s="2122"/>
      <c r="H2063" s="2135">
        <f>H2028</f>
        <v>7.4999999999999997E-2</v>
      </c>
      <c r="I2063" s="2134">
        <f>K2057+K2062</f>
        <v>4379.9400000000005</v>
      </c>
      <c r="J2063" s="2134"/>
      <c r="K2063" s="2123">
        <f>ROUND(I2063*H2063,2)</f>
        <v>328.5</v>
      </c>
      <c r="L2063" s="192"/>
      <c r="M2063" s="568"/>
    </row>
    <row r="2064" spans="1:16" ht="12.75" hidden="1">
      <c r="A2064" s="2114"/>
      <c r="B2064" s="568" t="s">
        <v>3661</v>
      </c>
      <c r="C2064" s="568"/>
      <c r="D2064" s="568"/>
      <c r="E2064" s="188"/>
      <c r="F2064" s="188"/>
      <c r="G2064" s="2122"/>
      <c r="H2064" s="2135">
        <f>H2063</f>
        <v>7.4999999999999997E-2</v>
      </c>
      <c r="I2064" s="2134">
        <f>I2063</f>
        <v>4379.9400000000005</v>
      </c>
      <c r="J2064" s="2134"/>
      <c r="K2064" s="2123">
        <f>ROUND(I2064*H2064,2)</f>
        <v>328.5</v>
      </c>
      <c r="L2064" s="192"/>
      <c r="M2064" s="568"/>
    </row>
    <row r="2065" spans="1:16" ht="12.75" hidden="1">
      <c r="A2065" s="2114"/>
      <c r="B2065" s="192" t="s">
        <v>3667</v>
      </c>
      <c r="C2065" s="568"/>
      <c r="D2065" s="568"/>
      <c r="E2065" s="188"/>
      <c r="F2065" s="188"/>
      <c r="G2065" s="2122"/>
      <c r="H2065" s="568"/>
      <c r="I2065" s="2118"/>
      <c r="J2065" s="2123"/>
      <c r="K2065" s="2123"/>
      <c r="L2065" s="192"/>
      <c r="M2065" s="568"/>
    </row>
    <row r="2066" spans="1:16" ht="12.75" hidden="1">
      <c r="A2066" s="2114"/>
      <c r="B2066" s="568" t="str">
        <f>B2054</f>
        <v>W.B.K.B. brick 25cm x 12cm x 8cm size</v>
      </c>
      <c r="C2066" s="568"/>
      <c r="D2066" s="568"/>
      <c r="E2066" s="188"/>
      <c r="F2066" s="188"/>
      <c r="G2066" s="2123">
        <f>G2054</f>
        <v>350</v>
      </c>
      <c r="H2066" s="568" t="s">
        <v>262</v>
      </c>
      <c r="I2066" s="2118" t="s">
        <v>262</v>
      </c>
      <c r="J2066" s="2122">
        <f>K25/1000</f>
        <v>1.0113749999999999</v>
      </c>
      <c r="K2066" s="2123">
        <f>ROUND(G2066*J2066,2)</f>
        <v>353.98</v>
      </c>
      <c r="L2066" s="192"/>
      <c r="M2066" s="568"/>
    </row>
    <row r="2067" spans="1:16" ht="12.75" hidden="1">
      <c r="A2067" s="2114"/>
      <c r="B2067" s="568" t="s">
        <v>775</v>
      </c>
      <c r="C2067" s="568"/>
      <c r="D2067" s="568"/>
      <c r="E2067" s="188"/>
      <c r="F2067" s="188"/>
      <c r="G2067" s="2122">
        <f>G2055</f>
        <v>0.28000000000000003</v>
      </c>
      <c r="H2067" s="568" t="s">
        <v>49</v>
      </c>
      <c r="I2067" s="2118" t="s">
        <v>49</v>
      </c>
      <c r="J2067" s="2123">
        <f>K46</f>
        <v>717.46</v>
      </c>
      <c r="K2067" s="2123">
        <f>ROUND(G2067*J2067,2)</f>
        <v>200.89</v>
      </c>
      <c r="L2067" s="192"/>
      <c r="M2067" s="568"/>
    </row>
    <row r="2068" spans="1:16" ht="12.75" hidden="1">
      <c r="A2068" s="2114"/>
      <c r="B2068" s="568" t="s">
        <v>8</v>
      </c>
      <c r="C2068" s="568"/>
      <c r="D2068" s="568"/>
      <c r="E2068" s="188"/>
      <c r="F2068" s="188"/>
      <c r="G2068" s="2122">
        <f>G2056</f>
        <v>1</v>
      </c>
      <c r="H2068" s="568" t="s">
        <v>247</v>
      </c>
      <c r="I2068" s="2118" t="s">
        <v>247</v>
      </c>
      <c r="J2068" s="2123">
        <f>K50/10</f>
        <v>42.622</v>
      </c>
      <c r="K2068" s="2123">
        <f>ROUND(G2068*J2068,2)</f>
        <v>42.62</v>
      </c>
      <c r="L2068" s="192"/>
      <c r="M2068" s="568"/>
    </row>
    <row r="2069" spans="1:16" ht="12.75" hidden="1">
      <c r="A2069" s="2114"/>
      <c r="B2069" s="568"/>
      <c r="C2069" s="568"/>
      <c r="D2069" s="568"/>
      <c r="E2069" s="188"/>
      <c r="F2069" s="188"/>
      <c r="G2069" s="2122"/>
      <c r="H2069" s="568"/>
      <c r="I2069" s="2118"/>
      <c r="J2069" s="2134" t="s">
        <v>718</v>
      </c>
      <c r="K2069" s="2123">
        <f>SUM(K2066:K2068)</f>
        <v>597.49</v>
      </c>
      <c r="L2069" s="192"/>
      <c r="M2069" s="568"/>
      <c r="O2069" s="1991">
        <f>K2062</f>
        <v>1651.2</v>
      </c>
      <c r="P2069" s="1706" t="s">
        <v>3149</v>
      </c>
    </row>
    <row r="2070" spans="1:16" ht="12.75" hidden="1">
      <c r="A2070" s="2114"/>
      <c r="B2070" s="192" t="s">
        <v>3668</v>
      </c>
      <c r="C2070" s="568"/>
      <c r="D2070" s="568"/>
      <c r="E2070" s="188"/>
      <c r="F2070" s="188"/>
      <c r="G2070" s="2122"/>
      <c r="H2070" s="568"/>
      <c r="I2070" s="2118"/>
      <c r="J2070" s="2123"/>
      <c r="K2070" s="2124">
        <f>K2057+K2062+K2063+K2064+K2069</f>
        <v>5634.43</v>
      </c>
      <c r="L2070" s="192" t="s">
        <v>721</v>
      </c>
      <c r="M2070" s="568"/>
      <c r="O2070" s="1991">
        <f>K2070-O2069</f>
        <v>3983.2300000000005</v>
      </c>
      <c r="P2070" s="1706" t="s">
        <v>26</v>
      </c>
    </row>
    <row r="2071" spans="1:16" s="1706" customFormat="1" ht="12.75" hidden="1">
      <c r="A2071" s="2114" t="str">
        <f>A419</f>
        <v>(ii)</v>
      </c>
      <c r="B2071" s="192" t="str">
        <f>B419</f>
        <v>Superstructure of Ground Floor</v>
      </c>
      <c r="C2071" s="192"/>
      <c r="D2071" s="192"/>
      <c r="E2071" s="2120" t="str">
        <f>G419</f>
        <v>Each Cum</v>
      </c>
      <c r="F2071" s="2120"/>
      <c r="G2071" s="2141"/>
      <c r="H2071" s="192"/>
      <c r="I2071" s="2114"/>
      <c r="J2071" s="2124"/>
      <c r="K2071" s="2124"/>
      <c r="L2071" s="192"/>
      <c r="M2071" s="192"/>
    </row>
    <row r="2072" spans="1:16" ht="12.75" hidden="1">
      <c r="A2072" s="2114"/>
      <c r="B2072" s="568" t="s">
        <v>799</v>
      </c>
      <c r="C2072" s="568"/>
      <c r="D2072" s="568"/>
      <c r="E2072" s="188"/>
      <c r="F2072" s="188"/>
      <c r="G2072" s="2122"/>
      <c r="H2072" s="568"/>
      <c r="I2072" s="2118"/>
      <c r="J2072" s="2123"/>
      <c r="K2072" s="2123">
        <f>K2070</f>
        <v>5634.43</v>
      </c>
      <c r="L2072" s="192"/>
      <c r="M2072" s="568"/>
    </row>
    <row r="2073" spans="1:16" ht="12.75" hidden="1">
      <c r="A2073" s="2114"/>
      <c r="B2073" s="568" t="s">
        <v>800</v>
      </c>
      <c r="C2073" s="568"/>
      <c r="D2073" s="568"/>
      <c r="E2073" s="188"/>
      <c r="F2073" s="188"/>
      <c r="G2073" s="2122"/>
      <c r="H2073" s="568"/>
      <c r="I2073" s="2118"/>
      <c r="J2073" s="2123"/>
      <c r="K2073" s="2159">
        <f>M226</f>
        <v>33</v>
      </c>
      <c r="L2073" s="192"/>
      <c r="M2073" s="568"/>
      <c r="O2073" s="1991">
        <f>O2069+K2073</f>
        <v>1684.2</v>
      </c>
      <c r="P2073" s="1706" t="s">
        <v>3149</v>
      </c>
    </row>
    <row r="2074" spans="1:16" ht="12.75" hidden="1">
      <c r="A2074" s="2114"/>
      <c r="B2074" s="568"/>
      <c r="C2074" s="568"/>
      <c r="D2074" s="568"/>
      <c r="E2074" s="188"/>
      <c r="F2074" s="188"/>
      <c r="G2074" s="2122"/>
      <c r="H2074" s="568"/>
      <c r="I2074" s="2118"/>
      <c r="J2074" s="2126" t="s">
        <v>718</v>
      </c>
      <c r="K2074" s="2124">
        <f>SUM(K2072:K2073)</f>
        <v>5667.43</v>
      </c>
      <c r="L2074" s="192" t="s">
        <v>721</v>
      </c>
      <c r="M2074" s="568"/>
      <c r="O2074" s="1991">
        <f>K2074-O2073</f>
        <v>3983.2300000000005</v>
      </c>
      <c r="P2074" s="1706" t="s">
        <v>26</v>
      </c>
    </row>
    <row r="2075" spans="1:16" s="1706" customFormat="1" ht="12.75" hidden="1">
      <c r="A2075" s="2114" t="str">
        <f>A420</f>
        <v>(iii)</v>
      </c>
      <c r="B2075" s="192" t="str">
        <f>B420</f>
        <v>Superstructure of First Floor</v>
      </c>
      <c r="C2075" s="192"/>
      <c r="D2075" s="192"/>
      <c r="E2075" s="2120" t="str">
        <f>G420</f>
        <v>Each Cum</v>
      </c>
      <c r="F2075" s="2120"/>
      <c r="G2075" s="2141"/>
      <c r="H2075" s="192"/>
      <c r="I2075" s="2114"/>
      <c r="J2075" s="2124"/>
      <c r="K2075" s="2124"/>
      <c r="L2075" s="192"/>
      <c r="M2075" s="192"/>
    </row>
    <row r="2076" spans="1:16" ht="12.75" hidden="1">
      <c r="A2076" s="2114"/>
      <c r="B2076" s="568" t="s">
        <v>801</v>
      </c>
      <c r="C2076" s="568"/>
      <c r="D2076" s="568"/>
      <c r="E2076" s="188"/>
      <c r="F2076" s="188"/>
      <c r="G2076" s="2122"/>
      <c r="H2076" s="568"/>
      <c r="I2076" s="2118"/>
      <c r="J2076" s="2123"/>
      <c r="K2076" s="2123">
        <f>K2074</f>
        <v>5667.43</v>
      </c>
      <c r="L2076" s="192"/>
      <c r="M2076" s="568"/>
    </row>
    <row r="2077" spans="1:16" ht="12.75" hidden="1">
      <c r="A2077" s="2114"/>
      <c r="B2077" s="568" t="s">
        <v>795</v>
      </c>
      <c r="C2077" s="568"/>
      <c r="D2077" s="568"/>
      <c r="E2077" s="188"/>
      <c r="F2077" s="188"/>
      <c r="G2077" s="2122"/>
      <c r="H2077" s="2135">
        <v>0.15</v>
      </c>
      <c r="I2077" s="2134">
        <f>K2062+K2073</f>
        <v>1684.2</v>
      </c>
      <c r="J2077" s="2134"/>
      <c r="K2077" s="2123">
        <f>ROUND(I2077*H2077,2)</f>
        <v>252.63</v>
      </c>
      <c r="L2077" s="192"/>
      <c r="M2077" s="568"/>
      <c r="O2077" s="1991">
        <f>O2073+K2077</f>
        <v>1936.83</v>
      </c>
      <c r="P2077" s="1706" t="s">
        <v>3149</v>
      </c>
    </row>
    <row r="2078" spans="1:16" ht="12.75" hidden="1">
      <c r="A2078" s="2114"/>
      <c r="B2078" s="568" t="s">
        <v>3664</v>
      </c>
      <c r="C2078" s="568"/>
      <c r="D2078" s="568"/>
      <c r="E2078" s="188"/>
      <c r="F2078" s="188"/>
      <c r="G2078" s="2122"/>
      <c r="H2078" s="2135">
        <f>H2064</f>
        <v>7.4999999999999997E-2</v>
      </c>
      <c r="I2078" s="2134">
        <f>K2077</f>
        <v>252.63</v>
      </c>
      <c r="J2078" s="2134"/>
      <c r="K2078" s="2123">
        <f>ROUND(I2078*H2078,2)</f>
        <v>18.95</v>
      </c>
      <c r="L2078" s="192"/>
      <c r="M2078" s="568"/>
      <c r="O2078" s="1991"/>
      <c r="P2078" s="1706"/>
    </row>
    <row r="2079" spans="1:16" ht="12.75" hidden="1">
      <c r="A2079" s="2114"/>
      <c r="B2079" s="568" t="s">
        <v>3665</v>
      </c>
      <c r="C2079" s="568"/>
      <c r="D2079" s="568"/>
      <c r="E2079" s="188"/>
      <c r="F2079" s="188"/>
      <c r="G2079" s="2122"/>
      <c r="H2079" s="2135">
        <f>H2078</f>
        <v>7.4999999999999997E-2</v>
      </c>
      <c r="I2079" s="2134">
        <f>I2078</f>
        <v>252.63</v>
      </c>
      <c r="J2079" s="2134"/>
      <c r="K2079" s="2123">
        <f>ROUND(I2079*H2079,2)</f>
        <v>18.95</v>
      </c>
      <c r="L2079" s="192"/>
      <c r="M2079" s="568"/>
      <c r="O2079" s="1991"/>
      <c r="P2079" s="1706"/>
    </row>
    <row r="2080" spans="1:16" ht="12.75" hidden="1">
      <c r="A2080" s="2114"/>
      <c r="B2080" s="568"/>
      <c r="C2080" s="568"/>
      <c r="D2080" s="568"/>
      <c r="E2080" s="188"/>
      <c r="F2080" s="188"/>
      <c r="G2080" s="2122"/>
      <c r="H2080" s="568"/>
      <c r="I2080" s="2118"/>
      <c r="J2080" s="2126" t="s">
        <v>718</v>
      </c>
      <c r="K2080" s="2124">
        <f>SUM(K2076:K2079)</f>
        <v>5957.96</v>
      </c>
      <c r="L2080" s="192" t="s">
        <v>721</v>
      </c>
      <c r="M2080" s="568"/>
      <c r="O2080" s="1991">
        <f>K2080-O2077</f>
        <v>4021.13</v>
      </c>
      <c r="P2080" s="1706" t="s">
        <v>26</v>
      </c>
    </row>
    <row r="2081" spans="1:18" s="1706" customFormat="1" ht="12.75" hidden="1">
      <c r="A2081" s="2114" t="str">
        <f>A421</f>
        <v>(iv)</v>
      </c>
      <c r="B2081" s="192" t="str">
        <f>B421</f>
        <v>Superstructure of Second Floor</v>
      </c>
      <c r="C2081" s="192"/>
      <c r="D2081" s="192"/>
      <c r="E2081" s="2120" t="str">
        <f>G425</f>
        <v>Each Cum</v>
      </c>
      <c r="F2081" s="2120"/>
      <c r="G2081" s="2141"/>
      <c r="H2081" s="192"/>
      <c r="I2081" s="2114"/>
      <c r="J2081" s="2124"/>
      <c r="K2081" s="2124"/>
      <c r="L2081" s="192"/>
      <c r="M2081" s="192"/>
    </row>
    <row r="2082" spans="1:18" ht="12.75" hidden="1">
      <c r="A2082" s="2114"/>
      <c r="B2082" s="568" t="s">
        <v>3616</v>
      </c>
      <c r="C2082" s="568"/>
      <c r="D2082" s="568"/>
      <c r="E2082" s="188"/>
      <c r="F2082" s="188"/>
      <c r="G2082" s="2122"/>
      <c r="H2082" s="568"/>
      <c r="I2082" s="2118"/>
      <c r="J2082" s="2123"/>
      <c r="K2082" s="2123">
        <f>K2080</f>
        <v>5957.96</v>
      </c>
      <c r="L2082" s="192"/>
      <c r="M2082" s="568"/>
    </row>
    <row r="2083" spans="1:18" ht="12.75" hidden="1">
      <c r="A2083" s="2114"/>
      <c r="B2083" s="568" t="s">
        <v>795</v>
      </c>
      <c r="C2083" s="568"/>
      <c r="D2083" s="568"/>
      <c r="E2083" s="188"/>
      <c r="F2083" s="188"/>
      <c r="G2083" s="2122"/>
      <c r="H2083" s="2160">
        <f>H2077</f>
        <v>0.15</v>
      </c>
      <c r="I2083" s="2134">
        <f>I2077+K2077</f>
        <v>1936.83</v>
      </c>
      <c r="J2083" s="2123"/>
      <c r="K2083" s="2123">
        <f>K2077+ROUND(K2077*15%,2)</f>
        <v>290.52</v>
      </c>
      <c r="L2083" s="192"/>
      <c r="M2083" s="568"/>
      <c r="O2083" s="1991">
        <f>O2077+K2083</f>
        <v>2227.35</v>
      </c>
      <c r="P2083" s="1706" t="s">
        <v>3149</v>
      </c>
    </row>
    <row r="2084" spans="1:18" ht="12.75" hidden="1">
      <c r="A2084" s="2114"/>
      <c r="B2084" s="568" t="s">
        <v>3664</v>
      </c>
      <c r="C2084" s="568"/>
      <c r="D2084" s="568"/>
      <c r="E2084" s="188"/>
      <c r="F2084" s="188"/>
      <c r="G2084" s="2122"/>
      <c r="H2084" s="2135">
        <f>H2079</f>
        <v>7.4999999999999997E-2</v>
      </c>
      <c r="I2084" s="2134">
        <f>K2083</f>
        <v>290.52</v>
      </c>
      <c r="J2084" s="2134"/>
      <c r="K2084" s="2123">
        <f>ROUND(I2084*H2084,2)</f>
        <v>21.79</v>
      </c>
      <c r="L2084" s="192"/>
      <c r="M2084" s="568"/>
      <c r="O2084" s="1991"/>
      <c r="P2084" s="1706"/>
    </row>
    <row r="2085" spans="1:18" ht="12.75" hidden="1">
      <c r="A2085" s="2114"/>
      <c r="B2085" s="568" t="s">
        <v>3665</v>
      </c>
      <c r="C2085" s="568"/>
      <c r="D2085" s="568"/>
      <c r="E2085" s="188"/>
      <c r="F2085" s="188"/>
      <c r="G2085" s="2122"/>
      <c r="H2085" s="2135">
        <f>H2084</f>
        <v>7.4999999999999997E-2</v>
      </c>
      <c r="I2085" s="2134">
        <f>I2084</f>
        <v>290.52</v>
      </c>
      <c r="J2085" s="2134"/>
      <c r="K2085" s="2123">
        <f>ROUND(I2085*H2085,2)</f>
        <v>21.79</v>
      </c>
      <c r="L2085" s="192"/>
      <c r="M2085" s="568"/>
      <c r="O2085" s="1991"/>
      <c r="P2085" s="1706"/>
    </row>
    <row r="2086" spans="1:18" ht="12.75" hidden="1">
      <c r="A2086" s="2114"/>
      <c r="B2086" s="568"/>
      <c r="C2086" s="568"/>
      <c r="D2086" s="568"/>
      <c r="E2086" s="188"/>
      <c r="F2086" s="188"/>
      <c r="G2086" s="2122"/>
      <c r="H2086" s="568"/>
      <c r="I2086" s="2118"/>
      <c r="J2086" s="2126" t="s">
        <v>718</v>
      </c>
      <c r="K2086" s="2124">
        <f>SUM(K2082:K2085)</f>
        <v>6292.0599999999995</v>
      </c>
      <c r="L2086" s="192" t="s">
        <v>721</v>
      </c>
      <c r="M2086" s="568"/>
      <c r="O2086" s="1991">
        <f>K2086-O2083</f>
        <v>4064.7099999999996</v>
      </c>
      <c r="P2086" s="1706" t="s">
        <v>26</v>
      </c>
    </row>
    <row r="2087" spans="1:18" s="1706" customFormat="1" ht="12.75" hidden="1">
      <c r="A2087" s="2114" t="str">
        <f>A422</f>
        <v>(v)</v>
      </c>
      <c r="B2087" s="192" t="str">
        <f>B422</f>
        <v>Superstructure of Third Floor</v>
      </c>
      <c r="C2087" s="192"/>
      <c r="D2087" s="192"/>
      <c r="E2087" s="2120" t="str">
        <f>G429</f>
        <v>Each Cum</v>
      </c>
      <c r="F2087" s="2120"/>
      <c r="G2087" s="2141"/>
      <c r="H2087" s="192"/>
      <c r="I2087" s="2114"/>
      <c r="J2087" s="2124"/>
      <c r="K2087" s="2124"/>
      <c r="L2087" s="192"/>
      <c r="M2087" s="192"/>
    </row>
    <row r="2088" spans="1:18" ht="12.75" hidden="1">
      <c r="A2088" s="2114"/>
      <c r="B2088" s="568" t="s">
        <v>3616</v>
      </c>
      <c r="C2088" s="568"/>
      <c r="D2088" s="568"/>
      <c r="E2088" s="188"/>
      <c r="F2088" s="188"/>
      <c r="G2088" s="2122"/>
      <c r="H2088" s="568"/>
      <c r="I2088" s="2118"/>
      <c r="J2088" s="2123"/>
      <c r="K2088" s="2123">
        <f>K2086</f>
        <v>6292.0599999999995</v>
      </c>
      <c r="L2088" s="192"/>
      <c r="M2088" s="568"/>
    </row>
    <row r="2089" spans="1:18" ht="12.75" hidden="1">
      <c r="A2089" s="2114"/>
      <c r="B2089" s="568" t="s">
        <v>795</v>
      </c>
      <c r="C2089" s="568"/>
      <c r="D2089" s="568"/>
      <c r="E2089" s="188"/>
      <c r="F2089" s="188"/>
      <c r="G2089" s="2122"/>
      <c r="H2089" s="2160">
        <f>H2083</f>
        <v>0.15</v>
      </c>
      <c r="I2089" s="2134">
        <f>I2083+K2083</f>
        <v>2227.35</v>
      </c>
      <c r="J2089" s="2123"/>
      <c r="K2089" s="2123">
        <f>K2083+ROUND(K2083*15%,2)</f>
        <v>334.09999999999997</v>
      </c>
      <c r="L2089" s="192"/>
      <c r="M2089" s="568"/>
      <c r="O2089" s="1991">
        <f>O2083+K2089</f>
        <v>2561.4499999999998</v>
      </c>
      <c r="P2089" s="1706" t="s">
        <v>3149</v>
      </c>
    </row>
    <row r="2090" spans="1:18" ht="12.75" hidden="1">
      <c r="A2090" s="2114"/>
      <c r="B2090" s="568" t="s">
        <v>3664</v>
      </c>
      <c r="C2090" s="568"/>
      <c r="D2090" s="568"/>
      <c r="E2090" s="188"/>
      <c r="F2090" s="188"/>
      <c r="G2090" s="2122"/>
      <c r="H2090" s="2135">
        <f>H2085</f>
        <v>7.4999999999999997E-2</v>
      </c>
      <c r="I2090" s="2134">
        <f>K2089</f>
        <v>334.09999999999997</v>
      </c>
      <c r="J2090" s="2134"/>
      <c r="K2090" s="2123">
        <f>ROUND(I2090*H2090,2)</f>
        <v>25.06</v>
      </c>
      <c r="L2090" s="192"/>
      <c r="M2090" s="568"/>
      <c r="O2090" s="1991"/>
      <c r="P2090" s="1706"/>
    </row>
    <row r="2091" spans="1:18" ht="12.75" hidden="1">
      <c r="A2091" s="2114"/>
      <c r="B2091" s="568" t="s">
        <v>3665</v>
      </c>
      <c r="C2091" s="568"/>
      <c r="D2091" s="568"/>
      <c r="E2091" s="188"/>
      <c r="F2091" s="188"/>
      <c r="G2091" s="2122"/>
      <c r="H2091" s="2135">
        <f>H2090</f>
        <v>7.4999999999999997E-2</v>
      </c>
      <c r="I2091" s="2134">
        <f>I2090</f>
        <v>334.09999999999997</v>
      </c>
      <c r="J2091" s="2134"/>
      <c r="K2091" s="2123">
        <f>ROUND(I2091*H2091,2)</f>
        <v>25.06</v>
      </c>
      <c r="L2091" s="192"/>
      <c r="M2091" s="568"/>
      <c r="O2091" s="1991"/>
      <c r="P2091" s="1706"/>
    </row>
    <row r="2092" spans="1:18" ht="12.75" hidden="1">
      <c r="A2092" s="2114"/>
      <c r="B2092" s="568"/>
      <c r="C2092" s="568"/>
      <c r="D2092" s="568"/>
      <c r="E2092" s="188"/>
      <c r="F2092" s="188"/>
      <c r="G2092" s="2122"/>
      <c r="H2092" s="568"/>
      <c r="I2092" s="2118"/>
      <c r="J2092" s="2126" t="s">
        <v>718</v>
      </c>
      <c r="K2092" s="2124">
        <f>SUM(K2088:K2091)</f>
        <v>6676.2800000000007</v>
      </c>
      <c r="L2092" s="192" t="s">
        <v>721</v>
      </c>
      <c r="M2092" s="568"/>
      <c r="O2092" s="1991">
        <f>K2092-O2089</f>
        <v>4114.8300000000008</v>
      </c>
      <c r="P2092" s="1706" t="s">
        <v>26</v>
      </c>
    </row>
    <row r="2093" spans="1:18" ht="42.6" hidden="1" customHeight="1">
      <c r="A2093" s="2114">
        <f>A423</f>
        <v>38</v>
      </c>
      <c r="B2093" s="3017" t="str">
        <f>B423</f>
        <v>W.B.K.B brick masonry in cement mortar (1:6) using kiln Burnt bricks of 10”  etc. complete in all respect as directed by the Engineer-in-charge.</v>
      </c>
      <c r="C2093" s="3017"/>
      <c r="D2093" s="3017"/>
      <c r="E2093" s="2116" t="str">
        <f>G423</f>
        <v>Each Cum</v>
      </c>
      <c r="F2093" s="2116"/>
      <c r="G2093" s="2122"/>
      <c r="H2093" s="568"/>
      <c r="I2093" s="2118"/>
      <c r="J2093" s="2124"/>
      <c r="K2093" s="2124"/>
      <c r="L2093" s="192"/>
      <c r="M2093" s="2123"/>
    </row>
    <row r="2094" spans="1:18" ht="12.75" hidden="1">
      <c r="A2094" s="2114"/>
      <c r="B2094" s="192" t="s">
        <v>777</v>
      </c>
      <c r="C2094" s="568"/>
      <c r="D2094" s="568"/>
      <c r="E2094" s="188"/>
      <c r="F2094" s="188"/>
      <c r="G2094" s="2122"/>
      <c r="H2094" s="568"/>
      <c r="I2094" s="2118"/>
      <c r="J2094" s="2123"/>
      <c r="K2094" s="2123"/>
      <c r="L2094" s="192"/>
      <c r="M2094" s="568"/>
    </row>
    <row r="2095" spans="1:18" s="1706" customFormat="1" ht="12.75" hidden="1">
      <c r="A2095" s="2114" t="str">
        <f>A424</f>
        <v>(i)</v>
      </c>
      <c r="B2095" s="192" t="str">
        <f>B424</f>
        <v>Foundation &amp; Plinth</v>
      </c>
      <c r="C2095" s="192"/>
      <c r="D2095" s="192"/>
      <c r="E2095" s="2120" t="str">
        <f>G424</f>
        <v>Each Cum</v>
      </c>
      <c r="F2095" s="2120"/>
      <c r="G2095" s="2141"/>
      <c r="H2095" s="192"/>
      <c r="I2095" s="2114"/>
      <c r="J2095" s="2124"/>
      <c r="K2095" s="2124"/>
      <c r="L2095" s="192"/>
      <c r="M2095" s="568"/>
      <c r="N2095" s="1705"/>
      <c r="O2095" s="1705"/>
      <c r="P2095" s="1705"/>
      <c r="Q2095" s="1705"/>
      <c r="R2095" s="1705"/>
    </row>
    <row r="2096" spans="1:18" ht="12.75" hidden="1">
      <c r="A2096" s="2114"/>
      <c r="B2096" s="192" t="s">
        <v>779</v>
      </c>
      <c r="C2096" s="568"/>
      <c r="D2096" s="568"/>
      <c r="E2096" s="188"/>
      <c r="F2096" s="188"/>
      <c r="G2096" s="2122"/>
      <c r="H2096" s="568"/>
      <c r="I2096" s="2118"/>
      <c r="J2096" s="2123"/>
      <c r="K2096" s="2123"/>
      <c r="L2096" s="192"/>
      <c r="M2096" s="568"/>
    </row>
    <row r="2097" spans="1:16" ht="12.75" hidden="1">
      <c r="A2097" s="2114"/>
      <c r="B2097" s="568" t="s">
        <v>796</v>
      </c>
      <c r="C2097" s="568"/>
      <c r="D2097" s="568"/>
      <c r="E2097" s="188"/>
      <c r="F2097" s="188"/>
      <c r="G2097" s="2123">
        <v>350</v>
      </c>
      <c r="H2097" s="568" t="s">
        <v>262</v>
      </c>
      <c r="I2097" s="2118" t="s">
        <v>262</v>
      </c>
      <c r="J2097" s="2122">
        <f>G25/1000</f>
        <v>6.1056699999999999</v>
      </c>
      <c r="K2097" s="2123">
        <f>ROUND(G2097*J2097,2)</f>
        <v>2136.98</v>
      </c>
      <c r="L2097" s="192"/>
      <c r="M2097" s="568"/>
    </row>
    <row r="2098" spans="1:16" ht="12.75" hidden="1">
      <c r="A2098" s="2114"/>
      <c r="B2098" s="568" t="s">
        <v>775</v>
      </c>
      <c r="C2098" s="568"/>
      <c r="D2098" s="568"/>
      <c r="E2098" s="188"/>
      <c r="F2098" s="188"/>
      <c r="G2098" s="2122">
        <v>0.28000000000000003</v>
      </c>
      <c r="H2098" s="568" t="s">
        <v>49</v>
      </c>
      <c r="I2098" s="2118" t="s">
        <v>49</v>
      </c>
      <c r="J2098" s="2123">
        <f>G46</f>
        <v>76.88</v>
      </c>
      <c r="K2098" s="2123">
        <f>ROUND(G2098*J2098,2)</f>
        <v>21.53</v>
      </c>
      <c r="L2098" s="192"/>
      <c r="M2098" s="568"/>
    </row>
    <row r="2099" spans="1:16" ht="12.75" hidden="1">
      <c r="A2099" s="2114"/>
      <c r="B2099" s="568" t="s">
        <v>8</v>
      </c>
      <c r="C2099" s="568"/>
      <c r="D2099" s="568"/>
      <c r="E2099" s="188"/>
      <c r="F2099" s="188"/>
      <c r="G2099" s="2122">
        <v>0.67200000000000004</v>
      </c>
      <c r="H2099" s="568" t="s">
        <v>247</v>
      </c>
      <c r="I2099" s="2118" t="s">
        <v>247</v>
      </c>
      <c r="J2099" s="2123">
        <f>G50/10</f>
        <v>570.23400000000004</v>
      </c>
      <c r="K2099" s="2123">
        <f>ROUND(G2099*J2099,2)</f>
        <v>383.2</v>
      </c>
      <c r="L2099" s="192"/>
      <c r="M2099" s="568"/>
    </row>
    <row r="2100" spans="1:16" ht="12.75" hidden="1">
      <c r="A2100" s="2114"/>
      <c r="B2100" s="568"/>
      <c r="C2100" s="568"/>
      <c r="D2100" s="568"/>
      <c r="E2100" s="188"/>
      <c r="F2100" s="188"/>
      <c r="G2100" s="2122"/>
      <c r="H2100" s="568"/>
      <c r="I2100" s="2118"/>
      <c r="J2100" s="2126" t="s">
        <v>718</v>
      </c>
      <c r="K2100" s="2123">
        <f>SUM(K2097:K2099)</f>
        <v>2541.71</v>
      </c>
      <c r="L2100" s="192"/>
      <c r="M2100" s="568"/>
    </row>
    <row r="2101" spans="1:16" ht="12.75" hidden="1">
      <c r="A2101" s="2114"/>
      <c r="B2101" s="192" t="s">
        <v>781</v>
      </c>
      <c r="C2101" s="568"/>
      <c r="D2101" s="568"/>
      <c r="E2101" s="188"/>
      <c r="F2101" s="188"/>
      <c r="G2101" s="2122"/>
      <c r="H2101" s="568"/>
      <c r="I2101" s="2118"/>
      <c r="J2101" s="2123"/>
      <c r="K2101" s="2123"/>
      <c r="L2101" s="192"/>
      <c r="M2101" s="568"/>
    </row>
    <row r="2102" spans="1:16" ht="12.75" hidden="1">
      <c r="A2102" s="2114"/>
      <c r="B2102" s="568" t="s">
        <v>797</v>
      </c>
      <c r="C2102" s="568"/>
      <c r="D2102" s="568"/>
      <c r="E2102" s="188"/>
      <c r="F2102" s="188"/>
      <c r="G2102" s="2122">
        <v>0.35</v>
      </c>
      <c r="H2102" s="568" t="s">
        <v>262</v>
      </c>
      <c r="I2102" s="2118" t="s">
        <v>38</v>
      </c>
      <c r="J2102" s="2123">
        <f>L137</f>
        <v>495</v>
      </c>
      <c r="K2102" s="2123">
        <f>ROUND(G2102*J2102,2)</f>
        <v>173.25</v>
      </c>
      <c r="L2102" s="192"/>
      <c r="M2102" s="568"/>
    </row>
    <row r="2103" spans="1:16" ht="12.75" hidden="1">
      <c r="A2103" s="2114"/>
      <c r="B2103" s="568" t="s">
        <v>782</v>
      </c>
      <c r="C2103" s="568"/>
      <c r="D2103" s="568"/>
      <c r="E2103" s="188"/>
      <c r="F2103" s="188"/>
      <c r="G2103" s="2122">
        <v>1.05</v>
      </c>
      <c r="H2103" s="568" t="s">
        <v>262</v>
      </c>
      <c r="I2103" s="2118" t="s">
        <v>38</v>
      </c>
      <c r="J2103" s="2123">
        <f>L136</f>
        <v>435</v>
      </c>
      <c r="K2103" s="2123">
        <f>ROUND(G2103*J2103,2)</f>
        <v>456.75</v>
      </c>
      <c r="L2103" s="192"/>
      <c r="M2103" s="568"/>
    </row>
    <row r="2104" spans="1:16" ht="12.75" hidden="1">
      <c r="A2104" s="2114"/>
      <c r="B2104" s="568" t="s">
        <v>717</v>
      </c>
      <c r="C2104" s="568"/>
      <c r="D2104" s="568"/>
      <c r="E2104" s="188"/>
      <c r="F2104" s="188"/>
      <c r="G2104" s="2122">
        <v>2.96</v>
      </c>
      <c r="H2104" s="568" t="s">
        <v>262</v>
      </c>
      <c r="I2104" s="2118" t="s">
        <v>38</v>
      </c>
      <c r="J2104" s="2123">
        <f>L134</f>
        <v>345</v>
      </c>
      <c r="K2104" s="2123">
        <f>ROUND(G2104*J2104,2)</f>
        <v>1021.2</v>
      </c>
      <c r="L2104" s="192"/>
      <c r="M2104" s="568"/>
    </row>
    <row r="2105" spans="1:16" ht="12.75" hidden="1">
      <c r="A2105" s="2114"/>
      <c r="B2105" s="568"/>
      <c r="C2105" s="568"/>
      <c r="D2105" s="568"/>
      <c r="E2105" s="188"/>
      <c r="F2105" s="188"/>
      <c r="G2105" s="2122"/>
      <c r="H2105" s="568"/>
      <c r="I2105" s="2118"/>
      <c r="J2105" s="2126" t="s">
        <v>718</v>
      </c>
      <c r="K2105" s="2123">
        <f>SUM(K2102:K2104)</f>
        <v>1651.2</v>
      </c>
      <c r="L2105" s="192"/>
      <c r="M2105" s="568"/>
    </row>
    <row r="2106" spans="1:16" ht="12.75" hidden="1">
      <c r="A2106" s="2114"/>
      <c r="B2106" s="568" t="s">
        <v>3662</v>
      </c>
      <c r="C2106" s="568"/>
      <c r="D2106" s="568"/>
      <c r="E2106" s="188"/>
      <c r="F2106" s="188"/>
      <c r="G2106" s="2122"/>
      <c r="H2106" s="2135">
        <f>H2091</f>
        <v>7.4999999999999997E-2</v>
      </c>
      <c r="I2106" s="2134">
        <f>K2100+K2105</f>
        <v>4192.91</v>
      </c>
      <c r="J2106" s="2134"/>
      <c r="K2106" s="2123">
        <f>ROUND(I2106*H2106,2)</f>
        <v>314.47000000000003</v>
      </c>
      <c r="L2106" s="192"/>
      <c r="M2106" s="568"/>
    </row>
    <row r="2107" spans="1:16" ht="12.75" hidden="1">
      <c r="A2107" s="2114"/>
      <c r="B2107" s="568" t="s">
        <v>3661</v>
      </c>
      <c r="C2107" s="568"/>
      <c r="D2107" s="568"/>
      <c r="E2107" s="188"/>
      <c r="F2107" s="188"/>
      <c r="G2107" s="2122"/>
      <c r="H2107" s="2135">
        <f>H2106</f>
        <v>7.4999999999999997E-2</v>
      </c>
      <c r="I2107" s="2134">
        <f>I2106</f>
        <v>4192.91</v>
      </c>
      <c r="J2107" s="2134"/>
      <c r="K2107" s="2123">
        <f>ROUND(I2107*H2107,2)</f>
        <v>314.47000000000003</v>
      </c>
      <c r="L2107" s="192"/>
      <c r="M2107" s="568"/>
    </row>
    <row r="2108" spans="1:16" ht="12.75" hidden="1">
      <c r="A2108" s="2114"/>
      <c r="B2108" s="192" t="s">
        <v>3663</v>
      </c>
      <c r="C2108" s="568"/>
      <c r="D2108" s="568"/>
      <c r="E2108" s="188"/>
      <c r="F2108" s="188"/>
      <c r="G2108" s="2122"/>
      <c r="H2108" s="568"/>
      <c r="I2108" s="2118"/>
      <c r="J2108" s="2123"/>
      <c r="K2108" s="2123"/>
      <c r="L2108" s="192"/>
      <c r="M2108" s="568"/>
    </row>
    <row r="2109" spans="1:16" ht="12.75" hidden="1">
      <c r="A2109" s="2114"/>
      <c r="B2109" s="568" t="str">
        <f>B2097</f>
        <v>W.B.K.B. brick 25cm x 12cm x 8cm size</v>
      </c>
      <c r="C2109" s="568"/>
      <c r="D2109" s="568"/>
      <c r="E2109" s="188"/>
      <c r="F2109" s="188"/>
      <c r="G2109" s="2123">
        <f>G2097</f>
        <v>350</v>
      </c>
      <c r="H2109" s="568" t="s">
        <v>262</v>
      </c>
      <c r="I2109" s="2118" t="s">
        <v>262</v>
      </c>
      <c r="J2109" s="2122">
        <f>K25/1000</f>
        <v>1.0113749999999999</v>
      </c>
      <c r="K2109" s="2123">
        <f>ROUND(G2109*J2109,2)</f>
        <v>353.98</v>
      </c>
      <c r="L2109" s="192"/>
      <c r="M2109" s="568"/>
    </row>
    <row r="2110" spans="1:16" ht="12.75" hidden="1">
      <c r="A2110" s="2114"/>
      <c r="B2110" s="568" t="s">
        <v>775</v>
      </c>
      <c r="C2110" s="568"/>
      <c r="D2110" s="568"/>
      <c r="E2110" s="188"/>
      <c r="F2110" s="188"/>
      <c r="G2110" s="2122">
        <f>G2098</f>
        <v>0.28000000000000003</v>
      </c>
      <c r="H2110" s="568" t="s">
        <v>49</v>
      </c>
      <c r="I2110" s="2118" t="s">
        <v>49</v>
      </c>
      <c r="J2110" s="2123">
        <f>K46</f>
        <v>717.46</v>
      </c>
      <c r="K2110" s="2123">
        <f>ROUND(G2110*J2110,2)</f>
        <v>200.89</v>
      </c>
      <c r="L2110" s="192"/>
      <c r="M2110" s="568"/>
    </row>
    <row r="2111" spans="1:16" ht="12.75" hidden="1">
      <c r="A2111" s="2114"/>
      <c r="B2111" s="568" t="s">
        <v>8</v>
      </c>
      <c r="C2111" s="568"/>
      <c r="D2111" s="568"/>
      <c r="E2111" s="188"/>
      <c r="F2111" s="188"/>
      <c r="G2111" s="2122">
        <f>G2099</f>
        <v>0.67200000000000004</v>
      </c>
      <c r="H2111" s="568" t="s">
        <v>247</v>
      </c>
      <c r="I2111" s="2118" t="s">
        <v>247</v>
      </c>
      <c r="J2111" s="2123">
        <f>K50/10</f>
        <v>42.622</v>
      </c>
      <c r="K2111" s="2123">
        <f>ROUND(G2111*J2111,2)</f>
        <v>28.64</v>
      </c>
      <c r="L2111" s="192"/>
      <c r="M2111" s="568"/>
    </row>
    <row r="2112" spans="1:16" ht="12.75" hidden="1">
      <c r="A2112" s="2114"/>
      <c r="B2112" s="568"/>
      <c r="C2112" s="568"/>
      <c r="D2112" s="568"/>
      <c r="E2112" s="188"/>
      <c r="F2112" s="188"/>
      <c r="G2112" s="2122"/>
      <c r="H2112" s="568"/>
      <c r="I2112" s="2118"/>
      <c r="J2112" s="2126" t="s">
        <v>718</v>
      </c>
      <c r="K2112" s="2123">
        <f>SUM(K2109:K2111)</f>
        <v>583.51</v>
      </c>
      <c r="L2112" s="192"/>
      <c r="M2112" s="568"/>
      <c r="O2112" s="1991">
        <f>K2105</f>
        <v>1651.2</v>
      </c>
      <c r="P2112" s="1706" t="s">
        <v>3149</v>
      </c>
    </row>
    <row r="2113" spans="1:16" ht="12.75" hidden="1">
      <c r="A2113" s="2114"/>
      <c r="B2113" s="192" t="s">
        <v>3668</v>
      </c>
      <c r="C2113" s="568"/>
      <c r="D2113" s="568"/>
      <c r="E2113" s="188"/>
      <c r="F2113" s="188"/>
      <c r="G2113" s="2122"/>
      <c r="H2113" s="568"/>
      <c r="I2113" s="2118"/>
      <c r="J2113" s="2123"/>
      <c r="K2113" s="2124">
        <f>K2100+K2105+K2106+K2107+K2112</f>
        <v>5405.3600000000006</v>
      </c>
      <c r="L2113" s="192" t="s">
        <v>721</v>
      </c>
      <c r="M2113" s="568"/>
      <c r="O2113" s="1991">
        <f>K2113-O2112</f>
        <v>3754.1600000000008</v>
      </c>
      <c r="P2113" s="1706" t="s">
        <v>26</v>
      </c>
    </row>
    <row r="2114" spans="1:16" s="1706" customFormat="1" ht="12.75" hidden="1">
      <c r="A2114" s="2114" t="str">
        <f>A425</f>
        <v>(ii)</v>
      </c>
      <c r="B2114" s="192" t="str">
        <f>B425</f>
        <v>Superstructure of Ground Floor</v>
      </c>
      <c r="C2114" s="192"/>
      <c r="D2114" s="192"/>
      <c r="E2114" s="2120" t="str">
        <f>G425</f>
        <v>Each Cum</v>
      </c>
      <c r="F2114" s="2120"/>
      <c r="G2114" s="2141"/>
      <c r="H2114" s="192"/>
      <c r="I2114" s="2114"/>
      <c r="J2114" s="2124"/>
      <c r="K2114" s="2124"/>
      <c r="L2114" s="192"/>
      <c r="M2114" s="192"/>
    </row>
    <row r="2115" spans="1:16" ht="12.75" hidden="1">
      <c r="A2115" s="2114"/>
      <c r="B2115" s="568" t="s">
        <v>799</v>
      </c>
      <c r="C2115" s="568"/>
      <c r="D2115" s="568"/>
      <c r="E2115" s="188"/>
      <c r="F2115" s="188"/>
      <c r="G2115" s="2122"/>
      <c r="H2115" s="568"/>
      <c r="I2115" s="2118"/>
      <c r="J2115" s="2123"/>
      <c r="K2115" s="2123">
        <f>K2113</f>
        <v>5405.3600000000006</v>
      </c>
      <c r="L2115" s="192"/>
      <c r="M2115" s="568"/>
    </row>
    <row r="2116" spans="1:16" ht="12.75" hidden="1">
      <c r="A2116" s="2114"/>
      <c r="B2116" s="568" t="s">
        <v>800</v>
      </c>
      <c r="C2116" s="568"/>
      <c r="D2116" s="568"/>
      <c r="E2116" s="188"/>
      <c r="F2116" s="188"/>
      <c r="G2116" s="2122"/>
      <c r="H2116" s="568"/>
      <c r="I2116" s="2118"/>
      <c r="J2116" s="2123"/>
      <c r="K2116" s="2123">
        <f>M226</f>
        <v>33</v>
      </c>
      <c r="L2116" s="192"/>
      <c r="M2116" s="568"/>
      <c r="O2116" s="1991">
        <f>O2112+K2116</f>
        <v>1684.2</v>
      </c>
      <c r="P2116" s="1706" t="s">
        <v>3149</v>
      </c>
    </row>
    <row r="2117" spans="1:16" ht="12.75" hidden="1">
      <c r="A2117" s="2114"/>
      <c r="B2117" s="568"/>
      <c r="C2117" s="568"/>
      <c r="D2117" s="568"/>
      <c r="E2117" s="188"/>
      <c r="F2117" s="188"/>
      <c r="G2117" s="2122"/>
      <c r="H2117" s="568"/>
      <c r="I2117" s="2118"/>
      <c r="J2117" s="2126" t="s">
        <v>718</v>
      </c>
      <c r="K2117" s="2124">
        <f>SUM(K2115:K2116)</f>
        <v>5438.3600000000006</v>
      </c>
      <c r="L2117" s="192" t="s">
        <v>721</v>
      </c>
      <c r="M2117" s="568"/>
      <c r="O2117" s="1991">
        <f>K2117-O2116</f>
        <v>3754.1600000000008</v>
      </c>
      <c r="P2117" s="1706" t="s">
        <v>26</v>
      </c>
    </row>
    <row r="2118" spans="1:16" s="1706" customFormat="1" ht="12.75" hidden="1">
      <c r="A2118" s="2114" t="str">
        <f>A426</f>
        <v>(iii)</v>
      </c>
      <c r="B2118" s="192" t="str">
        <f>B426</f>
        <v>Superstructure of First Floor</v>
      </c>
      <c r="C2118" s="192"/>
      <c r="D2118" s="192"/>
      <c r="E2118" s="2120" t="str">
        <f>G426</f>
        <v>Each Cum</v>
      </c>
      <c r="F2118" s="2120"/>
      <c r="G2118" s="2141"/>
      <c r="H2118" s="192"/>
      <c r="I2118" s="2114"/>
      <c r="J2118" s="2124"/>
      <c r="K2118" s="2124"/>
      <c r="L2118" s="192"/>
      <c r="M2118" s="192"/>
    </row>
    <row r="2119" spans="1:16" ht="12.75" hidden="1">
      <c r="A2119" s="2114"/>
      <c r="B2119" s="568" t="s">
        <v>801</v>
      </c>
      <c r="C2119" s="568"/>
      <c r="D2119" s="568"/>
      <c r="E2119" s="188"/>
      <c r="F2119" s="188"/>
      <c r="G2119" s="2122"/>
      <c r="H2119" s="568"/>
      <c r="I2119" s="2118"/>
      <c r="J2119" s="2123"/>
      <c r="K2119" s="2123">
        <f>K2117</f>
        <v>5438.3600000000006</v>
      </c>
      <c r="L2119" s="192"/>
      <c r="M2119" s="568"/>
    </row>
    <row r="2120" spans="1:16" ht="12.75" hidden="1">
      <c r="A2120" s="2114"/>
      <c r="B2120" s="568" t="s">
        <v>795</v>
      </c>
      <c r="C2120" s="568"/>
      <c r="D2120" s="568"/>
      <c r="E2120" s="188"/>
      <c r="F2120" s="188"/>
      <c r="G2120" s="2122"/>
      <c r="H2120" s="2135">
        <v>0.15</v>
      </c>
      <c r="I2120" s="2134">
        <f>K2105+K2116</f>
        <v>1684.2</v>
      </c>
      <c r="J2120" s="2134"/>
      <c r="K2120" s="2123">
        <f>ROUND(I2120*H2120,2)</f>
        <v>252.63</v>
      </c>
      <c r="L2120" s="192"/>
      <c r="M2120" s="568"/>
      <c r="O2120" s="1991">
        <f>O2116+K2120</f>
        <v>1936.83</v>
      </c>
      <c r="P2120" s="1706" t="s">
        <v>3149</v>
      </c>
    </row>
    <row r="2121" spans="1:16" ht="12.75" hidden="1">
      <c r="A2121" s="2114"/>
      <c r="B2121" s="568" t="s">
        <v>3664</v>
      </c>
      <c r="C2121" s="568"/>
      <c r="D2121" s="568"/>
      <c r="E2121" s="188"/>
      <c r="F2121" s="188"/>
      <c r="G2121" s="2122"/>
      <c r="H2121" s="2135">
        <f>H2107</f>
        <v>7.4999999999999997E-2</v>
      </c>
      <c r="I2121" s="2134">
        <f>K2120</f>
        <v>252.63</v>
      </c>
      <c r="J2121" s="2134"/>
      <c r="K2121" s="2123">
        <f>ROUND(I2121*H2121,2)</f>
        <v>18.95</v>
      </c>
      <c r="L2121" s="192"/>
      <c r="M2121" s="568"/>
      <c r="O2121" s="1991"/>
      <c r="P2121" s="1706"/>
    </row>
    <row r="2122" spans="1:16" ht="12.75" hidden="1">
      <c r="A2122" s="2114"/>
      <c r="B2122" s="568" t="s">
        <v>3665</v>
      </c>
      <c r="C2122" s="568"/>
      <c r="D2122" s="568"/>
      <c r="E2122" s="188"/>
      <c r="F2122" s="188"/>
      <c r="G2122" s="2122"/>
      <c r="H2122" s="2135">
        <f>H2121</f>
        <v>7.4999999999999997E-2</v>
      </c>
      <c r="I2122" s="2134">
        <f>I2121</f>
        <v>252.63</v>
      </c>
      <c r="J2122" s="2134"/>
      <c r="K2122" s="2123">
        <f>ROUND(I2122*H2122,2)</f>
        <v>18.95</v>
      </c>
      <c r="L2122" s="192"/>
      <c r="M2122" s="568"/>
      <c r="O2122" s="1991"/>
      <c r="P2122" s="1706"/>
    </row>
    <row r="2123" spans="1:16" ht="12.75" hidden="1">
      <c r="A2123" s="2114"/>
      <c r="B2123" s="568"/>
      <c r="C2123" s="568"/>
      <c r="D2123" s="568"/>
      <c r="E2123" s="188"/>
      <c r="F2123" s="188"/>
      <c r="G2123" s="2122"/>
      <c r="H2123" s="568"/>
      <c r="I2123" s="2118"/>
      <c r="J2123" s="2126" t="s">
        <v>718</v>
      </c>
      <c r="K2123" s="2124">
        <f>SUM(K2119:K2122)</f>
        <v>5728.89</v>
      </c>
      <c r="L2123" s="192" t="s">
        <v>721</v>
      </c>
      <c r="M2123" s="568"/>
      <c r="O2123" s="1991">
        <f>K2123-O2120</f>
        <v>3792.0600000000004</v>
      </c>
      <c r="P2123" s="1706" t="s">
        <v>26</v>
      </c>
    </row>
    <row r="2124" spans="1:16" s="1706" customFormat="1" ht="12.75" hidden="1">
      <c r="A2124" s="2114" t="str">
        <f>A427</f>
        <v>(iv)</v>
      </c>
      <c r="B2124" s="192" t="str">
        <f>B427</f>
        <v>Superstructure of Second Floor</v>
      </c>
      <c r="C2124" s="192"/>
      <c r="D2124" s="192"/>
      <c r="E2124" s="2120" t="str">
        <f>G431</f>
        <v>Each Cum</v>
      </c>
      <c r="F2124" s="2120"/>
      <c r="G2124" s="2141"/>
      <c r="H2124" s="192"/>
      <c r="I2124" s="2114"/>
      <c r="J2124" s="2124"/>
      <c r="K2124" s="2124"/>
      <c r="L2124" s="192"/>
      <c r="M2124" s="192"/>
    </row>
    <row r="2125" spans="1:16" ht="12.75" hidden="1">
      <c r="A2125" s="2114"/>
      <c r="B2125" s="568" t="str">
        <f>B2082</f>
        <v>Rate In Superstructure of First Floor.</v>
      </c>
      <c r="C2125" s="568"/>
      <c r="D2125" s="568"/>
      <c r="E2125" s="188"/>
      <c r="F2125" s="188"/>
      <c r="G2125" s="2122"/>
      <c r="H2125" s="568"/>
      <c r="I2125" s="2118"/>
      <c r="J2125" s="2123"/>
      <c r="K2125" s="2123">
        <f>K2123</f>
        <v>5728.89</v>
      </c>
      <c r="L2125" s="192"/>
      <c r="M2125" s="568"/>
    </row>
    <row r="2126" spans="1:16" ht="12.75" hidden="1">
      <c r="A2126" s="2114"/>
      <c r="B2126" s="568" t="s">
        <v>795</v>
      </c>
      <c r="C2126" s="568"/>
      <c r="D2126" s="568"/>
      <c r="E2126" s="188"/>
      <c r="F2126" s="188"/>
      <c r="G2126" s="2122"/>
      <c r="H2126" s="2135">
        <v>0.15</v>
      </c>
      <c r="I2126" s="2134">
        <f>I2120+K2120</f>
        <v>1936.83</v>
      </c>
      <c r="J2126" s="2123"/>
      <c r="K2126" s="2123">
        <f>K2120+ROUND(K2120*15%,2)</f>
        <v>290.52</v>
      </c>
      <c r="L2126" s="192"/>
      <c r="M2126" s="568"/>
      <c r="O2126" s="1991">
        <f>O2120+K2126</f>
        <v>2227.35</v>
      </c>
      <c r="P2126" s="1706" t="s">
        <v>3149</v>
      </c>
    </row>
    <row r="2127" spans="1:16" ht="12.75" hidden="1">
      <c r="A2127" s="2114"/>
      <c r="B2127" s="568" t="s">
        <v>3664</v>
      </c>
      <c r="C2127" s="568"/>
      <c r="D2127" s="568"/>
      <c r="E2127" s="188"/>
      <c r="F2127" s="188"/>
      <c r="G2127" s="2122"/>
      <c r="H2127" s="2135">
        <f>H2122</f>
        <v>7.4999999999999997E-2</v>
      </c>
      <c r="I2127" s="2134">
        <f>K2126</f>
        <v>290.52</v>
      </c>
      <c r="J2127" s="2134"/>
      <c r="K2127" s="2123">
        <f>ROUND(I2127*H2127,2)</f>
        <v>21.79</v>
      </c>
      <c r="L2127" s="192"/>
      <c r="M2127" s="568"/>
      <c r="O2127" s="1991"/>
      <c r="P2127" s="1706"/>
    </row>
    <row r="2128" spans="1:16" ht="12.75" hidden="1">
      <c r="A2128" s="2114"/>
      <c r="B2128" s="568" t="s">
        <v>3665</v>
      </c>
      <c r="C2128" s="568"/>
      <c r="D2128" s="568"/>
      <c r="E2128" s="188"/>
      <c r="F2128" s="188"/>
      <c r="G2128" s="2122"/>
      <c r="H2128" s="2135">
        <f>H2127</f>
        <v>7.4999999999999997E-2</v>
      </c>
      <c r="I2128" s="2134">
        <f>I2127</f>
        <v>290.52</v>
      </c>
      <c r="J2128" s="2134"/>
      <c r="K2128" s="2123">
        <f>ROUND(I2128*H2128,2)</f>
        <v>21.79</v>
      </c>
      <c r="L2128" s="192"/>
      <c r="M2128" s="568"/>
      <c r="O2128" s="1991"/>
      <c r="P2128" s="1706"/>
    </row>
    <row r="2129" spans="1:18" ht="12.75" hidden="1">
      <c r="A2129" s="2114"/>
      <c r="B2129" s="568"/>
      <c r="C2129" s="568"/>
      <c r="D2129" s="568"/>
      <c r="E2129" s="188"/>
      <c r="F2129" s="188"/>
      <c r="G2129" s="2122"/>
      <c r="H2129" s="568"/>
      <c r="I2129" s="2118"/>
      <c r="J2129" s="2126" t="s">
        <v>718</v>
      </c>
      <c r="K2129" s="2124">
        <f>SUM(K2125:K2128)</f>
        <v>6062.99</v>
      </c>
      <c r="L2129" s="192" t="s">
        <v>721</v>
      </c>
      <c r="M2129" s="568"/>
      <c r="O2129" s="1991">
        <f>K2129-O2126</f>
        <v>3835.64</v>
      </c>
      <c r="P2129" s="1706" t="s">
        <v>26</v>
      </c>
    </row>
    <row r="2130" spans="1:18" s="1706" customFormat="1" ht="12.75" hidden="1">
      <c r="A2130" s="2114" t="str">
        <f>A428</f>
        <v>(v)</v>
      </c>
      <c r="B2130" s="192" t="str">
        <f>B428</f>
        <v>Superstructure of Third Floor</v>
      </c>
      <c r="C2130" s="192"/>
      <c r="D2130" s="192"/>
      <c r="E2130" s="2120" t="str">
        <f>G435</f>
        <v>Each Cum</v>
      </c>
      <c r="F2130" s="2120"/>
      <c r="G2130" s="2141"/>
      <c r="H2130" s="192"/>
      <c r="I2130" s="2114"/>
      <c r="J2130" s="2124"/>
      <c r="K2130" s="2124"/>
      <c r="L2130" s="192"/>
      <c r="M2130" s="192"/>
    </row>
    <row r="2131" spans="1:18" ht="12.75" hidden="1">
      <c r="A2131" s="2114"/>
      <c r="B2131" s="568" t="str">
        <f>B2088</f>
        <v>Rate In Superstructure of First Floor.</v>
      </c>
      <c r="C2131" s="568"/>
      <c r="D2131" s="568"/>
      <c r="E2131" s="188"/>
      <c r="F2131" s="188"/>
      <c r="G2131" s="2122"/>
      <c r="H2131" s="568"/>
      <c r="I2131" s="2118"/>
      <c r="J2131" s="2123"/>
      <c r="K2131" s="2123">
        <f>K2129</f>
        <v>6062.99</v>
      </c>
      <c r="L2131" s="192"/>
      <c r="M2131" s="568"/>
    </row>
    <row r="2132" spans="1:18" ht="12.75" hidden="1">
      <c r="A2132" s="2114"/>
      <c r="B2132" s="568" t="s">
        <v>795</v>
      </c>
      <c r="C2132" s="568"/>
      <c r="D2132" s="568"/>
      <c r="E2132" s="188"/>
      <c r="F2132" s="188"/>
      <c r="G2132" s="2122"/>
      <c r="H2132" s="2160">
        <f>H2126</f>
        <v>0.15</v>
      </c>
      <c r="I2132" s="2134">
        <f>I2126+K2126</f>
        <v>2227.35</v>
      </c>
      <c r="J2132" s="2123"/>
      <c r="K2132" s="2123">
        <f>K2126+ROUND(K2126*15%,2)</f>
        <v>334.09999999999997</v>
      </c>
      <c r="L2132" s="192"/>
      <c r="M2132" s="568"/>
      <c r="O2132" s="1991">
        <f>O2126+K2132</f>
        <v>2561.4499999999998</v>
      </c>
      <c r="P2132" s="1706" t="s">
        <v>3149</v>
      </c>
    </row>
    <row r="2133" spans="1:18" ht="12.75" hidden="1">
      <c r="A2133" s="2114"/>
      <c r="B2133" s="568" t="s">
        <v>3664</v>
      </c>
      <c r="C2133" s="568"/>
      <c r="D2133" s="568"/>
      <c r="E2133" s="188"/>
      <c r="F2133" s="188"/>
      <c r="G2133" s="2122"/>
      <c r="H2133" s="2135">
        <f>H2128</f>
        <v>7.4999999999999997E-2</v>
      </c>
      <c r="I2133" s="2134">
        <f>K2132</f>
        <v>334.09999999999997</v>
      </c>
      <c r="J2133" s="2134"/>
      <c r="K2133" s="2123">
        <f>ROUND(I2133*H2133,2)</f>
        <v>25.06</v>
      </c>
      <c r="L2133" s="192"/>
      <c r="M2133" s="568"/>
      <c r="O2133" s="1991"/>
      <c r="P2133" s="1706"/>
    </row>
    <row r="2134" spans="1:18" ht="12.75" hidden="1">
      <c r="A2134" s="2114"/>
      <c r="B2134" s="568" t="s">
        <v>3665</v>
      </c>
      <c r="C2134" s="568"/>
      <c r="D2134" s="568"/>
      <c r="E2134" s="188"/>
      <c r="F2134" s="188"/>
      <c r="G2134" s="2122"/>
      <c r="H2134" s="2135">
        <f>H2133</f>
        <v>7.4999999999999997E-2</v>
      </c>
      <c r="I2134" s="2134">
        <f>I2133</f>
        <v>334.09999999999997</v>
      </c>
      <c r="J2134" s="2134"/>
      <c r="K2134" s="2123">
        <f>ROUND(I2134*H2134,2)</f>
        <v>25.06</v>
      </c>
      <c r="L2134" s="192"/>
      <c r="M2134" s="568"/>
      <c r="O2134" s="1991"/>
      <c r="P2134" s="1706"/>
    </row>
    <row r="2135" spans="1:18" ht="12.75" hidden="1">
      <c r="A2135" s="2114"/>
      <c r="B2135" s="568"/>
      <c r="C2135" s="568"/>
      <c r="D2135" s="568"/>
      <c r="E2135" s="188"/>
      <c r="F2135" s="188"/>
      <c r="G2135" s="2122"/>
      <c r="H2135" s="568"/>
      <c r="I2135" s="2118"/>
      <c r="J2135" s="2126" t="s">
        <v>718</v>
      </c>
      <c r="K2135" s="2124">
        <f>SUM(K2131:K2134)</f>
        <v>6447.2100000000009</v>
      </c>
      <c r="L2135" s="192" t="s">
        <v>721</v>
      </c>
      <c r="M2135" s="568"/>
      <c r="O2135" s="1991">
        <f>K2135-O2132</f>
        <v>3885.7600000000011</v>
      </c>
      <c r="P2135" s="1706" t="s">
        <v>26</v>
      </c>
    </row>
    <row r="2136" spans="1:18" ht="43.15" hidden="1" customHeight="1">
      <c r="A2136" s="2114">
        <f>A429</f>
        <v>39</v>
      </c>
      <c r="B2136" s="3017" t="str">
        <f>B429</f>
        <v>W.B.C.B brick masonry in cement mortar (1:6) using kiln Burnt bricks of 10”  etc. complete in all respect as directed by the Engineer-in-charge.</v>
      </c>
      <c r="C2136" s="3017"/>
      <c r="D2136" s="3017"/>
      <c r="E2136" s="2116" t="str">
        <f>G564</f>
        <v>Each Cum</v>
      </c>
      <c r="F2136" s="2116"/>
      <c r="G2136" s="2122"/>
      <c r="H2136" s="568"/>
      <c r="I2136" s="2118"/>
      <c r="J2136" s="2124"/>
      <c r="K2136" s="2124"/>
      <c r="L2136" s="192"/>
      <c r="M2136" s="568"/>
    </row>
    <row r="2137" spans="1:18" ht="12.75" hidden="1">
      <c r="A2137" s="2114"/>
      <c r="B2137" s="568" t="s">
        <v>777</v>
      </c>
      <c r="C2137" s="568"/>
      <c r="D2137" s="568"/>
      <c r="E2137" s="188"/>
      <c r="F2137" s="188"/>
      <c r="G2137" s="2122"/>
      <c r="H2137" s="568"/>
      <c r="I2137" s="2118"/>
      <c r="J2137" s="2123"/>
      <c r="K2137" s="2123"/>
      <c r="L2137" s="192"/>
      <c r="M2137" s="568"/>
    </row>
    <row r="2138" spans="1:18" s="1706" customFormat="1" ht="12.75" hidden="1">
      <c r="A2138" s="2114" t="str">
        <f>A565</f>
        <v>(i)</v>
      </c>
      <c r="B2138" s="192" t="str">
        <f>B565</f>
        <v>Ground Floor</v>
      </c>
      <c r="C2138" s="192"/>
      <c r="D2138" s="192"/>
      <c r="E2138" s="2120" t="str">
        <f>G566</f>
        <v>Each Cum</v>
      </c>
      <c r="F2138" s="2120"/>
      <c r="G2138" s="2141"/>
      <c r="H2138" s="192"/>
      <c r="I2138" s="2114"/>
      <c r="J2138" s="2124"/>
      <c r="K2138" s="2124"/>
      <c r="L2138" s="192"/>
      <c r="M2138" s="568"/>
      <c r="N2138" s="1705"/>
      <c r="O2138" s="1705"/>
      <c r="P2138" s="1705"/>
      <c r="Q2138" s="1705"/>
      <c r="R2138" s="1705"/>
    </row>
    <row r="2139" spans="1:18" ht="12.75" hidden="1">
      <c r="A2139" s="2114"/>
      <c r="B2139" s="192" t="s">
        <v>779</v>
      </c>
      <c r="C2139" s="568"/>
      <c r="D2139" s="568"/>
      <c r="E2139" s="188"/>
      <c r="F2139" s="188"/>
      <c r="G2139" s="2122"/>
      <c r="H2139" s="568"/>
      <c r="I2139" s="2118"/>
      <c r="J2139" s="2123"/>
      <c r="K2139" s="2123"/>
      <c r="L2139" s="192"/>
      <c r="M2139" s="568"/>
    </row>
    <row r="2140" spans="1:18" ht="12.75" hidden="1">
      <c r="A2140" s="2114"/>
      <c r="B2140" s="568" t="s">
        <v>802</v>
      </c>
      <c r="C2140" s="568"/>
      <c r="D2140" s="568"/>
      <c r="E2140" s="188"/>
      <c r="F2140" s="188"/>
      <c r="G2140" s="2123">
        <v>350</v>
      </c>
      <c r="H2140" s="568" t="s">
        <v>262</v>
      </c>
      <c r="I2140" s="2118" t="s">
        <v>262</v>
      </c>
      <c r="J2140" s="2122">
        <f>G26/1000</f>
        <v>4.2319599999999999</v>
      </c>
      <c r="K2140" s="2123">
        <f>ROUND(G2140*J2140,2)</f>
        <v>1481.19</v>
      </c>
      <c r="L2140" s="192"/>
      <c r="M2140" s="568"/>
    </row>
    <row r="2141" spans="1:18" ht="12.75" hidden="1">
      <c r="A2141" s="2114"/>
      <c r="B2141" s="568" t="s">
        <v>775</v>
      </c>
      <c r="C2141" s="568"/>
      <c r="D2141" s="568"/>
      <c r="E2141" s="188"/>
      <c r="F2141" s="188"/>
      <c r="G2141" s="2122">
        <v>0.28000000000000003</v>
      </c>
      <c r="H2141" s="568" t="s">
        <v>49</v>
      </c>
      <c r="I2141" s="2118" t="s">
        <v>49</v>
      </c>
      <c r="J2141" s="2123">
        <f>G46</f>
        <v>76.88</v>
      </c>
      <c r="K2141" s="2123">
        <f>ROUND(G2141*J2141,2)</f>
        <v>21.53</v>
      </c>
      <c r="L2141" s="192"/>
      <c r="M2141" s="568"/>
    </row>
    <row r="2142" spans="1:18" ht="12.75" hidden="1">
      <c r="A2142" s="2114"/>
      <c r="B2142" s="568" t="s">
        <v>8</v>
      </c>
      <c r="C2142" s="568"/>
      <c r="D2142" s="568"/>
      <c r="E2142" s="188"/>
      <c r="F2142" s="188"/>
      <c r="G2142" s="2122">
        <v>0.67200000000000004</v>
      </c>
      <c r="H2142" s="568" t="s">
        <v>247</v>
      </c>
      <c r="I2142" s="2118" t="s">
        <v>247</v>
      </c>
      <c r="J2142" s="2123">
        <f>G50/10</f>
        <v>570.23400000000004</v>
      </c>
      <c r="K2142" s="2123">
        <f>ROUND(G2142*J2142,2)</f>
        <v>383.2</v>
      </c>
      <c r="L2142" s="192"/>
      <c r="M2142" s="568"/>
    </row>
    <row r="2143" spans="1:18" ht="12.75" hidden="1">
      <c r="A2143" s="2114"/>
      <c r="B2143" s="568"/>
      <c r="C2143" s="568"/>
      <c r="D2143" s="568"/>
      <c r="E2143" s="188"/>
      <c r="F2143" s="188"/>
      <c r="G2143" s="2122"/>
      <c r="H2143" s="568"/>
      <c r="I2143" s="2118"/>
      <c r="J2143" s="2126" t="s">
        <v>718</v>
      </c>
      <c r="K2143" s="2123">
        <f>SUM(K2140:K2142)</f>
        <v>1885.92</v>
      </c>
      <c r="L2143" s="192"/>
      <c r="M2143" s="568"/>
    </row>
    <row r="2144" spans="1:18" ht="12.75" hidden="1">
      <c r="A2144" s="2114"/>
      <c r="B2144" s="192" t="s">
        <v>781</v>
      </c>
      <c r="C2144" s="568"/>
      <c r="D2144" s="568"/>
      <c r="E2144" s="188"/>
      <c r="F2144" s="188"/>
      <c r="G2144" s="2122"/>
      <c r="H2144" s="568"/>
      <c r="I2144" s="2118"/>
      <c r="J2144" s="2123"/>
      <c r="K2144" s="2123"/>
      <c r="L2144" s="192"/>
      <c r="M2144" s="568"/>
    </row>
    <row r="2145" spans="1:16" ht="12.75" hidden="1">
      <c r="A2145" s="2114"/>
      <c r="B2145" s="568" t="s">
        <v>797</v>
      </c>
      <c r="C2145" s="568"/>
      <c r="D2145" s="568"/>
      <c r="E2145" s="188"/>
      <c r="F2145" s="188"/>
      <c r="G2145" s="2122">
        <v>0.35</v>
      </c>
      <c r="H2145" s="568" t="s">
        <v>262</v>
      </c>
      <c r="I2145" s="2118" t="s">
        <v>38</v>
      </c>
      <c r="J2145" s="2123">
        <f>L137</f>
        <v>495</v>
      </c>
      <c r="K2145" s="2123">
        <f>ROUND(G2145*J2145,2)</f>
        <v>173.25</v>
      </c>
      <c r="L2145" s="192"/>
      <c r="M2145" s="568"/>
    </row>
    <row r="2146" spans="1:16" ht="12.75" hidden="1">
      <c r="A2146" s="2114"/>
      <c r="B2146" s="568" t="s">
        <v>782</v>
      </c>
      <c r="C2146" s="568"/>
      <c r="D2146" s="568"/>
      <c r="E2146" s="188"/>
      <c r="F2146" s="188"/>
      <c r="G2146" s="2122">
        <v>1.05</v>
      </c>
      <c r="H2146" s="568" t="s">
        <v>262</v>
      </c>
      <c r="I2146" s="2118" t="s">
        <v>38</v>
      </c>
      <c r="J2146" s="2123">
        <f>L136</f>
        <v>435</v>
      </c>
      <c r="K2146" s="2123">
        <f>ROUND(G2146*J2146,2)</f>
        <v>456.75</v>
      </c>
      <c r="L2146" s="192"/>
      <c r="M2146" s="568"/>
    </row>
    <row r="2147" spans="1:16" ht="12.75" hidden="1">
      <c r="A2147" s="2114"/>
      <c r="B2147" s="568" t="s">
        <v>717</v>
      </c>
      <c r="C2147" s="568"/>
      <c r="D2147" s="568"/>
      <c r="E2147" s="188"/>
      <c r="F2147" s="188"/>
      <c r="G2147" s="2122">
        <v>2.96</v>
      </c>
      <c r="H2147" s="568" t="s">
        <v>262</v>
      </c>
      <c r="I2147" s="2118" t="s">
        <v>38</v>
      </c>
      <c r="J2147" s="2123">
        <f>L134</f>
        <v>345</v>
      </c>
      <c r="K2147" s="2123">
        <f>ROUND(G2147*J2147,2)</f>
        <v>1021.2</v>
      </c>
      <c r="L2147" s="192"/>
      <c r="M2147" s="568"/>
    </row>
    <row r="2148" spans="1:16" ht="12.75" hidden="1">
      <c r="A2148" s="2114"/>
      <c r="B2148" s="568"/>
      <c r="C2148" s="568"/>
      <c r="D2148" s="568"/>
      <c r="E2148" s="188"/>
      <c r="F2148" s="188"/>
      <c r="G2148" s="2122"/>
      <c r="H2148" s="568"/>
      <c r="I2148" s="2118"/>
      <c r="J2148" s="2126" t="s">
        <v>718</v>
      </c>
      <c r="K2148" s="2123">
        <f>SUM(K2145:K2147)</f>
        <v>1651.2</v>
      </c>
      <c r="L2148" s="192"/>
      <c r="M2148" s="568"/>
    </row>
    <row r="2149" spans="1:16" ht="12.75" hidden="1">
      <c r="A2149" s="2114"/>
      <c r="B2149" s="568" t="s">
        <v>3662</v>
      </c>
      <c r="C2149" s="568"/>
      <c r="D2149" s="568"/>
      <c r="E2149" s="188"/>
      <c r="F2149" s="188"/>
      <c r="G2149" s="2122"/>
      <c r="H2149" s="2135">
        <f>H2134</f>
        <v>7.4999999999999997E-2</v>
      </c>
      <c r="I2149" s="2134">
        <f>K2143+K2148</f>
        <v>3537.12</v>
      </c>
      <c r="J2149" s="2134"/>
      <c r="K2149" s="2123">
        <f>ROUND(I2149*H2149,2)</f>
        <v>265.27999999999997</v>
      </c>
      <c r="L2149" s="192"/>
      <c r="M2149" s="568"/>
    </row>
    <row r="2150" spans="1:16" ht="12.75" hidden="1">
      <c r="A2150" s="2114"/>
      <c r="B2150" s="568" t="s">
        <v>3661</v>
      </c>
      <c r="C2150" s="568"/>
      <c r="D2150" s="568"/>
      <c r="E2150" s="188"/>
      <c r="F2150" s="188"/>
      <c r="G2150" s="2122"/>
      <c r="H2150" s="2135">
        <f>H2149</f>
        <v>7.4999999999999997E-2</v>
      </c>
      <c r="I2150" s="2134">
        <f>I2149</f>
        <v>3537.12</v>
      </c>
      <c r="J2150" s="2134"/>
      <c r="K2150" s="2123">
        <f>ROUND(I2150*H2150,2)</f>
        <v>265.27999999999997</v>
      </c>
      <c r="L2150" s="192"/>
      <c r="M2150" s="568"/>
    </row>
    <row r="2151" spans="1:16" ht="12.75" hidden="1">
      <c r="A2151" s="2114"/>
      <c r="B2151" s="192" t="s">
        <v>783</v>
      </c>
      <c r="C2151" s="568"/>
      <c r="D2151" s="568"/>
      <c r="E2151" s="188"/>
      <c r="F2151" s="188"/>
      <c r="G2151" s="2122"/>
      <c r="H2151" s="568"/>
      <c r="I2151" s="2118"/>
      <c r="J2151" s="2123"/>
      <c r="K2151" s="2123"/>
      <c r="L2151" s="192"/>
      <c r="M2151" s="568"/>
    </row>
    <row r="2152" spans="1:16" ht="12.75" hidden="1">
      <c r="A2152" s="2114"/>
      <c r="B2152" s="568" t="str">
        <f>B2140</f>
        <v>W.B.C.B. brick 25cm x 12cm x 8cm size</v>
      </c>
      <c r="C2152" s="568"/>
      <c r="D2152" s="568"/>
      <c r="E2152" s="188"/>
      <c r="F2152" s="188"/>
      <c r="G2152" s="2123">
        <f>G2140</f>
        <v>350</v>
      </c>
      <c r="H2152" s="568" t="s">
        <v>262</v>
      </c>
      <c r="I2152" s="2118" t="s">
        <v>262</v>
      </c>
      <c r="J2152" s="2122">
        <f>K26/1000</f>
        <v>1.0113749999999999</v>
      </c>
      <c r="K2152" s="2123">
        <f>ROUND(G2152*J2152,2)</f>
        <v>353.98</v>
      </c>
      <c r="L2152" s="192"/>
      <c r="M2152" s="568"/>
    </row>
    <row r="2153" spans="1:16" ht="12.75" hidden="1">
      <c r="A2153" s="2114"/>
      <c r="B2153" s="568" t="s">
        <v>775</v>
      </c>
      <c r="C2153" s="568"/>
      <c r="D2153" s="568"/>
      <c r="E2153" s="188"/>
      <c r="F2153" s="188"/>
      <c r="G2153" s="2122">
        <f>G2141</f>
        <v>0.28000000000000003</v>
      </c>
      <c r="H2153" s="568" t="s">
        <v>49</v>
      </c>
      <c r="I2153" s="2118" t="s">
        <v>49</v>
      </c>
      <c r="J2153" s="2123">
        <f>K46</f>
        <v>717.46</v>
      </c>
      <c r="K2153" s="2123">
        <f>ROUND(G2153*J2153,2)</f>
        <v>200.89</v>
      </c>
      <c r="L2153" s="192"/>
      <c r="M2153" s="568"/>
    </row>
    <row r="2154" spans="1:16" ht="12.75" hidden="1">
      <c r="A2154" s="2114"/>
      <c r="B2154" s="568" t="s">
        <v>8</v>
      </c>
      <c r="C2154" s="568"/>
      <c r="D2154" s="568"/>
      <c r="E2154" s="188"/>
      <c r="F2154" s="188"/>
      <c r="G2154" s="2122">
        <f>G2142</f>
        <v>0.67200000000000004</v>
      </c>
      <c r="H2154" s="568" t="s">
        <v>247</v>
      </c>
      <c r="I2154" s="2118" t="s">
        <v>247</v>
      </c>
      <c r="J2154" s="2123">
        <f>K50/10</f>
        <v>42.622</v>
      </c>
      <c r="K2154" s="2123">
        <f>ROUND(G2154*J2154,2)</f>
        <v>28.64</v>
      </c>
      <c r="L2154" s="192"/>
      <c r="M2154" s="568"/>
    </row>
    <row r="2155" spans="1:16" ht="12.75" hidden="1">
      <c r="A2155" s="2114"/>
      <c r="B2155" s="568"/>
      <c r="C2155" s="568"/>
      <c r="D2155" s="568"/>
      <c r="E2155" s="188"/>
      <c r="F2155" s="188"/>
      <c r="G2155" s="2122"/>
      <c r="H2155" s="568"/>
      <c r="I2155" s="2118"/>
      <c r="J2155" s="2126" t="s">
        <v>718</v>
      </c>
      <c r="K2155" s="2123">
        <f>SUM(K2152:K2154)</f>
        <v>583.51</v>
      </c>
      <c r="L2155" s="192"/>
      <c r="M2155" s="568"/>
      <c r="O2155" s="1991">
        <f>K2148</f>
        <v>1651.2</v>
      </c>
      <c r="P2155" s="1706" t="s">
        <v>3149</v>
      </c>
    </row>
    <row r="2156" spans="1:16" ht="12.75" hidden="1">
      <c r="A2156" s="2114"/>
      <c r="B2156" s="568" t="s">
        <v>785</v>
      </c>
      <c r="C2156" s="568"/>
      <c r="D2156" s="568"/>
      <c r="E2156" s="188"/>
      <c r="F2156" s="188"/>
      <c r="G2156" s="2122"/>
      <c r="H2156" s="568"/>
      <c r="I2156" s="2118"/>
      <c r="J2156" s="2124"/>
      <c r="K2156" s="2124">
        <f>K2143+K2148+K2149+K2150+K2155</f>
        <v>4651.1899999999996</v>
      </c>
      <c r="L2156" s="192" t="s">
        <v>721</v>
      </c>
      <c r="M2156" s="568"/>
      <c r="O2156" s="1991">
        <f>K2156-O2155</f>
        <v>2999.99</v>
      </c>
      <c r="P2156" s="1706" t="s">
        <v>26</v>
      </c>
    </row>
    <row r="2157" spans="1:16" s="1706" customFormat="1" ht="12.75" hidden="1">
      <c r="A2157" s="2114" t="str">
        <f>A2114</f>
        <v>(ii)</v>
      </c>
      <c r="B2157" s="192" t="str">
        <f>B2114</f>
        <v>Superstructure of Ground Floor</v>
      </c>
      <c r="C2157" s="192"/>
      <c r="D2157" s="192"/>
      <c r="E2157" s="2120" t="str">
        <f>E2138</f>
        <v>Each Cum</v>
      </c>
      <c r="F2157" s="2120"/>
      <c r="G2157" s="2141"/>
      <c r="H2157" s="192"/>
      <c r="I2157" s="2114"/>
      <c r="J2157" s="2124"/>
      <c r="K2157" s="2124"/>
      <c r="L2157" s="192"/>
      <c r="M2157" s="192"/>
    </row>
    <row r="2158" spans="1:16" ht="12.75" hidden="1">
      <c r="A2158" s="2114"/>
      <c r="B2158" s="568" t="s">
        <v>799</v>
      </c>
      <c r="C2158" s="568"/>
      <c r="D2158" s="568"/>
      <c r="E2158" s="188"/>
      <c r="F2158" s="188"/>
      <c r="G2158" s="2122"/>
      <c r="H2158" s="568"/>
      <c r="I2158" s="2118"/>
      <c r="J2158" s="2123"/>
      <c r="K2158" s="2123">
        <f>K2156</f>
        <v>4651.1899999999996</v>
      </c>
      <c r="L2158" s="192"/>
      <c r="M2158" s="568"/>
    </row>
    <row r="2159" spans="1:16" ht="12.75" hidden="1">
      <c r="A2159" s="2114"/>
      <c r="B2159" s="568" t="s">
        <v>800</v>
      </c>
      <c r="C2159" s="568"/>
      <c r="D2159" s="568"/>
      <c r="E2159" s="188"/>
      <c r="F2159" s="188"/>
      <c r="G2159" s="2122"/>
      <c r="H2159" s="568"/>
      <c r="I2159" s="2118"/>
      <c r="J2159" s="2123"/>
      <c r="K2159" s="2123">
        <f>K2116</f>
        <v>33</v>
      </c>
      <c r="L2159" s="192"/>
      <c r="M2159" s="568"/>
      <c r="O2159" s="1991">
        <f>O2155+K2159</f>
        <v>1684.2</v>
      </c>
      <c r="P2159" s="1706" t="s">
        <v>3149</v>
      </c>
    </row>
    <row r="2160" spans="1:16" ht="12.75" hidden="1">
      <c r="A2160" s="2114"/>
      <c r="B2160" s="568"/>
      <c r="C2160" s="568"/>
      <c r="D2160" s="568"/>
      <c r="E2160" s="188"/>
      <c r="F2160" s="188"/>
      <c r="G2160" s="2122"/>
      <c r="H2160" s="568"/>
      <c r="I2160" s="2118"/>
      <c r="J2160" s="2126" t="s">
        <v>718</v>
      </c>
      <c r="K2160" s="2124">
        <f>SUM(K2158:K2159)</f>
        <v>4684.1899999999996</v>
      </c>
      <c r="L2160" s="192" t="s">
        <v>721</v>
      </c>
      <c r="M2160" s="568"/>
      <c r="O2160" s="1991">
        <f>K2160-O2159</f>
        <v>2999.99</v>
      </c>
      <c r="P2160" s="1706" t="s">
        <v>26</v>
      </c>
    </row>
    <row r="2161" spans="1:16" s="1706" customFormat="1" ht="12.75" hidden="1">
      <c r="A2161" s="2114" t="str">
        <f>A2118</f>
        <v>(iii)</v>
      </c>
      <c r="B2161" s="192" t="str">
        <f>B2118</f>
        <v>Superstructure of First Floor</v>
      </c>
      <c r="C2161" s="192"/>
      <c r="D2161" s="192"/>
      <c r="E2161" s="2120" t="str">
        <f>E2157</f>
        <v>Each Cum</v>
      </c>
      <c r="F2161" s="2120"/>
      <c r="G2161" s="2141"/>
      <c r="H2161" s="192"/>
      <c r="I2161" s="2114"/>
      <c r="J2161" s="2124"/>
      <c r="K2161" s="2124"/>
      <c r="L2161" s="192"/>
      <c r="M2161" s="192"/>
    </row>
    <row r="2162" spans="1:16" ht="12.75" hidden="1">
      <c r="A2162" s="2114"/>
      <c r="B2162" s="568" t="s">
        <v>801</v>
      </c>
      <c r="C2162" s="568"/>
      <c r="D2162" s="568"/>
      <c r="E2162" s="188"/>
      <c r="F2162" s="188"/>
      <c r="G2162" s="2122"/>
      <c r="H2162" s="568"/>
      <c r="I2162" s="2118"/>
      <c r="J2162" s="2123"/>
      <c r="K2162" s="2123">
        <f>K2160</f>
        <v>4684.1899999999996</v>
      </c>
      <c r="L2162" s="192"/>
      <c r="M2162" s="568"/>
    </row>
    <row r="2163" spans="1:16" ht="12.75" hidden="1">
      <c r="A2163" s="2114"/>
      <c r="B2163" s="568" t="s">
        <v>795</v>
      </c>
      <c r="C2163" s="568"/>
      <c r="D2163" s="568"/>
      <c r="E2163" s="188"/>
      <c r="F2163" s="188"/>
      <c r="G2163" s="2122"/>
      <c r="H2163" s="2135">
        <v>0.15</v>
      </c>
      <c r="I2163" s="2134">
        <f>K2148+K2159</f>
        <v>1684.2</v>
      </c>
      <c r="J2163" s="2123"/>
      <c r="K2163" s="2123">
        <f>ROUND((K2148+K2159)*15%,2)</f>
        <v>252.63</v>
      </c>
      <c r="L2163" s="192"/>
      <c r="M2163" s="568"/>
      <c r="O2163" s="1991">
        <f>O2159+K2163</f>
        <v>1936.83</v>
      </c>
      <c r="P2163" s="1706" t="s">
        <v>3149</v>
      </c>
    </row>
    <row r="2164" spans="1:16" ht="12.75" hidden="1">
      <c r="A2164" s="2114"/>
      <c r="B2164" s="568" t="s">
        <v>3664</v>
      </c>
      <c r="C2164" s="568"/>
      <c r="D2164" s="568"/>
      <c r="E2164" s="188"/>
      <c r="F2164" s="188"/>
      <c r="G2164" s="2122"/>
      <c r="H2164" s="2135">
        <f>H2150</f>
        <v>7.4999999999999997E-2</v>
      </c>
      <c r="I2164" s="2134">
        <f>K2163</f>
        <v>252.63</v>
      </c>
      <c r="J2164" s="2134"/>
      <c r="K2164" s="2123">
        <f>ROUND(I2164*H2164,2)</f>
        <v>18.95</v>
      </c>
      <c r="L2164" s="192"/>
      <c r="M2164" s="568"/>
      <c r="O2164" s="1991"/>
      <c r="P2164" s="1706"/>
    </row>
    <row r="2165" spans="1:16" ht="12.75" hidden="1">
      <c r="A2165" s="2114"/>
      <c r="B2165" s="568" t="s">
        <v>3665</v>
      </c>
      <c r="C2165" s="568"/>
      <c r="D2165" s="568"/>
      <c r="E2165" s="188"/>
      <c r="F2165" s="188"/>
      <c r="G2165" s="2122"/>
      <c r="H2165" s="2135">
        <f>H2164</f>
        <v>7.4999999999999997E-2</v>
      </c>
      <c r="I2165" s="2134">
        <f>I2164</f>
        <v>252.63</v>
      </c>
      <c r="J2165" s="2134"/>
      <c r="K2165" s="2123">
        <f>ROUND(I2165*H2165,2)</f>
        <v>18.95</v>
      </c>
      <c r="L2165" s="192"/>
      <c r="M2165" s="568"/>
      <c r="O2165" s="1991"/>
      <c r="P2165" s="1706"/>
    </row>
    <row r="2166" spans="1:16" ht="12.75" hidden="1">
      <c r="A2166" s="2114"/>
      <c r="B2166" s="568"/>
      <c r="C2166" s="568"/>
      <c r="D2166" s="568"/>
      <c r="E2166" s="188"/>
      <c r="F2166" s="188"/>
      <c r="G2166" s="2122"/>
      <c r="H2166" s="568"/>
      <c r="I2166" s="2118"/>
      <c r="J2166" s="2126" t="s">
        <v>718</v>
      </c>
      <c r="K2166" s="2124">
        <f>SUM(K2162:K2165)</f>
        <v>4974.7199999999993</v>
      </c>
      <c r="L2166" s="192" t="s">
        <v>721</v>
      </c>
      <c r="M2166" s="568"/>
      <c r="O2166" s="1991">
        <f>K2166-O2163</f>
        <v>3037.8899999999994</v>
      </c>
      <c r="P2166" s="1706" t="s">
        <v>26</v>
      </c>
    </row>
    <row r="2167" spans="1:16" s="1706" customFormat="1" ht="12.75" hidden="1">
      <c r="A2167" s="2114" t="str">
        <f>A2124</f>
        <v>(iv)</v>
      </c>
      <c r="B2167" s="192" t="str">
        <f>B2124</f>
        <v>Superstructure of Second Floor</v>
      </c>
      <c r="C2167" s="192"/>
      <c r="D2167" s="192"/>
      <c r="E2167" s="2120" t="str">
        <f>E2161</f>
        <v>Each Cum</v>
      </c>
      <c r="F2167" s="2120"/>
      <c r="G2167" s="2141"/>
      <c r="H2167" s="192"/>
      <c r="I2167" s="2114"/>
      <c r="J2167" s="2124"/>
      <c r="K2167" s="2124"/>
      <c r="L2167" s="192"/>
      <c r="M2167" s="192"/>
    </row>
    <row r="2168" spans="1:16" ht="12.75" hidden="1">
      <c r="A2168" s="2114"/>
      <c r="B2168" s="568" t="s">
        <v>3616</v>
      </c>
      <c r="C2168" s="568"/>
      <c r="D2168" s="568"/>
      <c r="E2168" s="188"/>
      <c r="F2168" s="188"/>
      <c r="G2168" s="2122"/>
      <c r="H2168" s="568"/>
      <c r="I2168" s="2118"/>
      <c r="J2168" s="2123"/>
      <c r="K2168" s="2123">
        <f>K2166</f>
        <v>4974.7199999999993</v>
      </c>
      <c r="L2168" s="192"/>
      <c r="M2168" s="568"/>
    </row>
    <row r="2169" spans="1:16" ht="12.75" hidden="1">
      <c r="A2169" s="2114"/>
      <c r="B2169" s="568" t="s">
        <v>795</v>
      </c>
      <c r="C2169" s="568"/>
      <c r="D2169" s="568"/>
      <c r="E2169" s="188"/>
      <c r="F2169" s="188"/>
      <c r="G2169" s="2122"/>
      <c r="H2169" s="2135">
        <v>0.15</v>
      </c>
      <c r="I2169" s="2134">
        <f>I2163+K2163</f>
        <v>1936.83</v>
      </c>
      <c r="J2169" s="2123"/>
      <c r="K2169" s="2123">
        <f>K2163+ROUND(K2163*15%,2)</f>
        <v>290.52</v>
      </c>
      <c r="L2169" s="192"/>
      <c r="M2169" s="568"/>
      <c r="O2169" s="1991">
        <f>O2163+K2169</f>
        <v>2227.35</v>
      </c>
      <c r="P2169" s="1706" t="s">
        <v>3149</v>
      </c>
    </row>
    <row r="2170" spans="1:16" ht="12.75" hidden="1">
      <c r="A2170" s="2114"/>
      <c r="B2170" s="568" t="s">
        <v>3664</v>
      </c>
      <c r="C2170" s="568"/>
      <c r="D2170" s="568"/>
      <c r="E2170" s="188"/>
      <c r="F2170" s="188"/>
      <c r="G2170" s="2122"/>
      <c r="H2170" s="2135">
        <f>H2165</f>
        <v>7.4999999999999997E-2</v>
      </c>
      <c r="I2170" s="2134">
        <f>K2169</f>
        <v>290.52</v>
      </c>
      <c r="J2170" s="2134"/>
      <c r="K2170" s="2123">
        <f>ROUND(I2170*H2170,2)</f>
        <v>21.79</v>
      </c>
      <c r="L2170" s="192"/>
      <c r="M2170" s="568"/>
      <c r="O2170" s="1991"/>
      <c r="P2170" s="1706"/>
    </row>
    <row r="2171" spans="1:16" ht="12.75" hidden="1">
      <c r="A2171" s="2114"/>
      <c r="B2171" s="568" t="s">
        <v>3665</v>
      </c>
      <c r="C2171" s="568"/>
      <c r="D2171" s="568"/>
      <c r="E2171" s="188"/>
      <c r="F2171" s="188"/>
      <c r="G2171" s="2122"/>
      <c r="H2171" s="2135">
        <f>H2170</f>
        <v>7.4999999999999997E-2</v>
      </c>
      <c r="I2171" s="2134">
        <f>I2170</f>
        <v>290.52</v>
      </c>
      <c r="J2171" s="2134"/>
      <c r="K2171" s="2123">
        <f>ROUND(I2171*H2171,2)</f>
        <v>21.79</v>
      </c>
      <c r="L2171" s="192"/>
      <c r="M2171" s="568"/>
      <c r="O2171" s="1991"/>
      <c r="P2171" s="1706"/>
    </row>
    <row r="2172" spans="1:16" ht="12.75" hidden="1">
      <c r="A2172" s="2114"/>
      <c r="B2172" s="568"/>
      <c r="C2172" s="568"/>
      <c r="D2172" s="568"/>
      <c r="E2172" s="188"/>
      <c r="F2172" s="188"/>
      <c r="G2172" s="2122"/>
      <c r="H2172" s="568"/>
      <c r="I2172" s="2118"/>
      <c r="J2172" s="2126" t="s">
        <v>718</v>
      </c>
      <c r="K2172" s="2124">
        <f>SUM(K2168:K2171)</f>
        <v>5308.82</v>
      </c>
      <c r="L2172" s="192" t="s">
        <v>721</v>
      </c>
      <c r="M2172" s="568"/>
      <c r="O2172" s="1991">
        <f>K2172-O2169</f>
        <v>3081.47</v>
      </c>
      <c r="P2172" s="1706" t="s">
        <v>26</v>
      </c>
    </row>
    <row r="2173" spans="1:16" s="1706" customFormat="1" ht="12.75" hidden="1">
      <c r="A2173" s="2114" t="str">
        <f>A2130</f>
        <v>(v)</v>
      </c>
      <c r="B2173" s="192" t="str">
        <f>B2130</f>
        <v>Superstructure of Third Floor</v>
      </c>
      <c r="C2173" s="192"/>
      <c r="D2173" s="192"/>
      <c r="E2173" s="2120" t="str">
        <f>E2167</f>
        <v>Each Cum</v>
      </c>
      <c r="F2173" s="2120"/>
      <c r="G2173" s="2141"/>
      <c r="H2173" s="192"/>
      <c r="I2173" s="2114"/>
      <c r="J2173" s="2124"/>
      <c r="K2173" s="2124"/>
      <c r="L2173" s="192"/>
      <c r="M2173" s="192"/>
    </row>
    <row r="2174" spans="1:16" ht="12.75" hidden="1">
      <c r="A2174" s="2114"/>
      <c r="B2174" s="568" t="s">
        <v>3616</v>
      </c>
      <c r="C2174" s="568"/>
      <c r="D2174" s="568"/>
      <c r="E2174" s="188"/>
      <c r="F2174" s="188"/>
      <c r="G2174" s="2122"/>
      <c r="H2174" s="568"/>
      <c r="I2174" s="2118"/>
      <c r="J2174" s="2123"/>
      <c r="K2174" s="2123">
        <f>K2172</f>
        <v>5308.82</v>
      </c>
      <c r="L2174" s="192"/>
      <c r="M2174" s="568"/>
    </row>
    <row r="2175" spans="1:16" ht="12.75" hidden="1">
      <c r="A2175" s="2114"/>
      <c r="B2175" s="568" t="s">
        <v>795</v>
      </c>
      <c r="C2175" s="568"/>
      <c r="D2175" s="568"/>
      <c r="E2175" s="188"/>
      <c r="F2175" s="188"/>
      <c r="G2175" s="2122"/>
      <c r="H2175" s="2135">
        <v>0.15</v>
      </c>
      <c r="I2175" s="2134">
        <f>I2169+K2169</f>
        <v>2227.35</v>
      </c>
      <c r="J2175" s="2123"/>
      <c r="K2175" s="2123">
        <f>K2169+ROUND(K2169*15%,2)</f>
        <v>334.09999999999997</v>
      </c>
      <c r="L2175" s="192"/>
      <c r="M2175" s="568"/>
      <c r="O2175" s="1991">
        <f>O2169+K2175</f>
        <v>2561.4499999999998</v>
      </c>
      <c r="P2175" s="1706" t="s">
        <v>3149</v>
      </c>
    </row>
    <row r="2176" spans="1:16" ht="12.75" hidden="1">
      <c r="A2176" s="2114"/>
      <c r="B2176" s="568" t="s">
        <v>3664</v>
      </c>
      <c r="C2176" s="568"/>
      <c r="D2176" s="568"/>
      <c r="E2176" s="188"/>
      <c r="F2176" s="188"/>
      <c r="G2176" s="2122"/>
      <c r="H2176" s="2135">
        <f>H2171</f>
        <v>7.4999999999999997E-2</v>
      </c>
      <c r="I2176" s="2134">
        <f>K2175</f>
        <v>334.09999999999997</v>
      </c>
      <c r="J2176" s="2134"/>
      <c r="K2176" s="2123">
        <f>ROUND(I2176*H2176,2)</f>
        <v>25.06</v>
      </c>
      <c r="L2176" s="192"/>
      <c r="M2176" s="568"/>
      <c r="O2176" s="1991"/>
      <c r="P2176" s="1706"/>
    </row>
    <row r="2177" spans="1:18" ht="12.75" hidden="1">
      <c r="A2177" s="2114"/>
      <c r="B2177" s="568" t="s">
        <v>3665</v>
      </c>
      <c r="C2177" s="568"/>
      <c r="D2177" s="568"/>
      <c r="E2177" s="188"/>
      <c r="F2177" s="188"/>
      <c r="G2177" s="2122"/>
      <c r="H2177" s="2135">
        <f>H2176</f>
        <v>7.4999999999999997E-2</v>
      </c>
      <c r="I2177" s="2134">
        <f>I2176</f>
        <v>334.09999999999997</v>
      </c>
      <c r="J2177" s="2134"/>
      <c r="K2177" s="2123">
        <f>ROUND(I2177*H2177,2)</f>
        <v>25.06</v>
      </c>
      <c r="L2177" s="192"/>
      <c r="M2177" s="568"/>
      <c r="O2177" s="1991"/>
      <c r="P2177" s="1706"/>
    </row>
    <row r="2178" spans="1:18" ht="12.75" hidden="1">
      <c r="A2178" s="2114"/>
      <c r="B2178" s="568"/>
      <c r="C2178" s="568"/>
      <c r="D2178" s="568"/>
      <c r="E2178" s="188"/>
      <c r="F2178" s="188"/>
      <c r="G2178" s="2122"/>
      <c r="H2178" s="568"/>
      <c r="I2178" s="2118"/>
      <c r="J2178" s="2126" t="s">
        <v>718</v>
      </c>
      <c r="K2178" s="2124">
        <f>SUM(K2174:K2177)</f>
        <v>5693.0400000000009</v>
      </c>
      <c r="L2178" s="192" t="s">
        <v>721</v>
      </c>
      <c r="M2178" s="568"/>
      <c r="O2178" s="1991">
        <f>K2178-O2175</f>
        <v>3131.5900000000011</v>
      </c>
      <c r="P2178" s="1706" t="s">
        <v>26</v>
      </c>
    </row>
    <row r="2179" spans="1:18" ht="42.6" hidden="1" customHeight="1">
      <c r="A2179" s="2114">
        <f>A435</f>
        <v>40</v>
      </c>
      <c r="B2179" s="3017" t="str">
        <f>B435</f>
        <v>W.B.C.B brick masonry in cement mortar (1:4) using kiln Burnt bricks of 10”  etc. complete in all respect as directed by the Engineer-in-charge.</v>
      </c>
      <c r="C2179" s="3017"/>
      <c r="D2179" s="3017"/>
      <c r="E2179" s="2116" t="str">
        <f>E2136</f>
        <v>Each Cum</v>
      </c>
      <c r="F2179" s="2116"/>
      <c r="G2179" s="2122"/>
      <c r="H2179" s="568"/>
      <c r="I2179" s="2118"/>
      <c r="J2179" s="2124"/>
      <c r="K2179" s="2124"/>
      <c r="L2179" s="192"/>
      <c r="M2179" s="568"/>
    </row>
    <row r="2180" spans="1:18" ht="12.75" hidden="1">
      <c r="A2180" s="2114"/>
      <c r="B2180" s="568" t="s">
        <v>777</v>
      </c>
      <c r="C2180" s="568"/>
      <c r="D2180" s="568"/>
      <c r="E2180" s="188"/>
      <c r="F2180" s="188"/>
      <c r="G2180" s="2122"/>
      <c r="H2180" s="568"/>
      <c r="I2180" s="2118"/>
      <c r="J2180" s="2123"/>
      <c r="K2180" s="2123"/>
      <c r="L2180" s="192"/>
      <c r="M2180" s="568"/>
    </row>
    <row r="2181" spans="1:18" s="1706" customFormat="1" ht="12.75" hidden="1">
      <c r="A2181" s="2114" t="str">
        <f>A639</f>
        <v>(i)</v>
      </c>
      <c r="B2181" s="192" t="str">
        <f>B2095</f>
        <v>Foundation &amp; Plinth</v>
      </c>
      <c r="C2181" s="192"/>
      <c r="D2181" s="192"/>
      <c r="E2181" s="2120" t="str">
        <f>E2179</f>
        <v>Each Cum</v>
      </c>
      <c r="F2181" s="2120"/>
      <c r="G2181" s="2141"/>
      <c r="H2181" s="192"/>
      <c r="I2181" s="2114"/>
      <c r="J2181" s="2124"/>
      <c r="K2181" s="2124"/>
      <c r="L2181" s="192"/>
      <c r="M2181" s="568"/>
      <c r="N2181" s="1705"/>
      <c r="O2181" s="1705"/>
      <c r="P2181" s="1705"/>
      <c r="Q2181" s="1705"/>
      <c r="R2181" s="1705"/>
    </row>
    <row r="2182" spans="1:18" ht="12.75" hidden="1">
      <c r="A2182" s="2114"/>
      <c r="B2182" s="192" t="s">
        <v>779</v>
      </c>
      <c r="C2182" s="568"/>
      <c r="D2182" s="568"/>
      <c r="E2182" s="188"/>
      <c r="F2182" s="188"/>
      <c r="G2182" s="2122"/>
      <c r="H2182" s="568"/>
      <c r="I2182" s="2118"/>
      <c r="J2182" s="2123"/>
      <c r="K2182" s="2123"/>
      <c r="L2182" s="192"/>
      <c r="M2182" s="568"/>
    </row>
    <row r="2183" spans="1:18" ht="12.75" hidden="1">
      <c r="A2183" s="2114"/>
      <c r="B2183" s="568" t="s">
        <v>802</v>
      </c>
      <c r="C2183" s="568"/>
      <c r="D2183" s="568"/>
      <c r="E2183" s="188"/>
      <c r="F2183" s="188"/>
      <c r="G2183" s="2123">
        <v>350</v>
      </c>
      <c r="H2183" s="568" t="s">
        <v>262</v>
      </c>
      <c r="I2183" s="2118" t="s">
        <v>262</v>
      </c>
      <c r="J2183" s="2122">
        <f>G26/1000</f>
        <v>4.2319599999999999</v>
      </c>
      <c r="K2183" s="2123">
        <f>ROUND(G2183*J2183,2)</f>
        <v>1481.19</v>
      </c>
      <c r="L2183" s="192"/>
      <c r="M2183" s="568"/>
    </row>
    <row r="2184" spans="1:18" ht="12.75" hidden="1">
      <c r="A2184" s="2114"/>
      <c r="B2184" s="568" t="s">
        <v>775</v>
      </c>
      <c r="C2184" s="568"/>
      <c r="D2184" s="568"/>
      <c r="E2184" s="188"/>
      <c r="F2184" s="188"/>
      <c r="G2184" s="2122">
        <v>0.28000000000000003</v>
      </c>
      <c r="H2184" s="568" t="s">
        <v>49</v>
      </c>
      <c r="I2184" s="2118" t="s">
        <v>49</v>
      </c>
      <c r="J2184" s="2123">
        <f>G46</f>
        <v>76.88</v>
      </c>
      <c r="K2184" s="2123">
        <f>ROUND(G2184*J2184,2)</f>
        <v>21.53</v>
      </c>
      <c r="L2184" s="192"/>
      <c r="M2184" s="568"/>
    </row>
    <row r="2185" spans="1:18" ht="12.75" hidden="1">
      <c r="A2185" s="2114"/>
      <c r="B2185" s="568" t="s">
        <v>8</v>
      </c>
      <c r="C2185" s="568"/>
      <c r="D2185" s="568"/>
      <c r="E2185" s="188"/>
      <c r="F2185" s="188"/>
      <c r="G2185" s="2122">
        <v>1</v>
      </c>
      <c r="H2185" s="568" t="s">
        <v>247</v>
      </c>
      <c r="I2185" s="2118" t="s">
        <v>247</v>
      </c>
      <c r="J2185" s="2123">
        <f>G50/10</f>
        <v>570.23400000000004</v>
      </c>
      <c r="K2185" s="2123">
        <f>ROUND(G2185*J2185,2)</f>
        <v>570.23</v>
      </c>
      <c r="L2185" s="192"/>
      <c r="M2185" s="568"/>
    </row>
    <row r="2186" spans="1:18" ht="12.75" hidden="1">
      <c r="A2186" s="2114"/>
      <c r="B2186" s="568"/>
      <c r="C2186" s="568"/>
      <c r="D2186" s="568"/>
      <c r="E2186" s="188"/>
      <c r="F2186" s="188"/>
      <c r="G2186" s="2122"/>
      <c r="H2186" s="568"/>
      <c r="I2186" s="2118"/>
      <c r="J2186" s="2134" t="s">
        <v>718</v>
      </c>
      <c r="K2186" s="2123">
        <f>SUM(K2183:K2185)</f>
        <v>2072.9499999999998</v>
      </c>
      <c r="L2186" s="192"/>
      <c r="M2186" s="568"/>
    </row>
    <row r="2187" spans="1:18" ht="12.75" hidden="1">
      <c r="A2187" s="2114"/>
      <c r="B2187" s="192" t="s">
        <v>781</v>
      </c>
      <c r="C2187" s="568"/>
      <c r="D2187" s="568"/>
      <c r="E2187" s="188"/>
      <c r="F2187" s="188"/>
      <c r="G2187" s="2122"/>
      <c r="H2187" s="568"/>
      <c r="I2187" s="2118"/>
      <c r="J2187" s="2123"/>
      <c r="K2187" s="2123"/>
      <c r="L2187" s="192"/>
      <c r="M2187" s="568"/>
    </row>
    <row r="2188" spans="1:18" ht="12.75" hidden="1">
      <c r="A2188" s="2114"/>
      <c r="B2188" s="568" t="s">
        <v>797</v>
      </c>
      <c r="C2188" s="568"/>
      <c r="D2188" s="568"/>
      <c r="E2188" s="188"/>
      <c r="F2188" s="188"/>
      <c r="G2188" s="2122">
        <v>0.35</v>
      </c>
      <c r="H2188" s="568" t="s">
        <v>262</v>
      </c>
      <c r="I2188" s="2118" t="s">
        <v>38</v>
      </c>
      <c r="J2188" s="2123">
        <f>L137</f>
        <v>495</v>
      </c>
      <c r="K2188" s="2123">
        <f>ROUND(G2188*J2188,2)</f>
        <v>173.25</v>
      </c>
      <c r="L2188" s="192"/>
      <c r="M2188" s="568"/>
    </row>
    <row r="2189" spans="1:18" ht="12.75" hidden="1">
      <c r="A2189" s="2114"/>
      <c r="B2189" s="568" t="s">
        <v>782</v>
      </c>
      <c r="C2189" s="568"/>
      <c r="D2189" s="568"/>
      <c r="E2189" s="188"/>
      <c r="F2189" s="188"/>
      <c r="G2189" s="2122">
        <v>1.05</v>
      </c>
      <c r="H2189" s="568" t="s">
        <v>262</v>
      </c>
      <c r="I2189" s="2118" t="s">
        <v>38</v>
      </c>
      <c r="J2189" s="2123">
        <f>L136</f>
        <v>435</v>
      </c>
      <c r="K2189" s="2123">
        <f>ROUND(G2189*J2189,2)</f>
        <v>456.75</v>
      </c>
      <c r="L2189" s="192"/>
      <c r="M2189" s="568"/>
    </row>
    <row r="2190" spans="1:18" ht="12.75" hidden="1">
      <c r="A2190" s="2114"/>
      <c r="B2190" s="568" t="s">
        <v>717</v>
      </c>
      <c r="C2190" s="568"/>
      <c r="D2190" s="568"/>
      <c r="E2190" s="188"/>
      <c r="F2190" s="188"/>
      <c r="G2190" s="2122">
        <v>2.96</v>
      </c>
      <c r="H2190" s="568" t="s">
        <v>262</v>
      </c>
      <c r="I2190" s="2118" t="s">
        <v>38</v>
      </c>
      <c r="J2190" s="2123">
        <f>L134</f>
        <v>345</v>
      </c>
      <c r="K2190" s="2123">
        <f>ROUND(G2190*J2190,2)</f>
        <v>1021.2</v>
      </c>
      <c r="L2190" s="192"/>
      <c r="M2190" s="568"/>
    </row>
    <row r="2191" spans="1:18" ht="12.75" hidden="1">
      <c r="A2191" s="2114"/>
      <c r="B2191" s="568"/>
      <c r="C2191" s="568"/>
      <c r="D2191" s="568"/>
      <c r="E2191" s="188"/>
      <c r="F2191" s="188"/>
      <c r="G2191" s="2122"/>
      <c r="H2191" s="568"/>
      <c r="I2191" s="2118"/>
      <c r="J2191" s="2134" t="s">
        <v>718</v>
      </c>
      <c r="K2191" s="2123">
        <f>SUM(K2188:K2190)</f>
        <v>1651.2</v>
      </c>
      <c r="L2191" s="192"/>
      <c r="M2191" s="568"/>
    </row>
    <row r="2192" spans="1:18" ht="12.75" hidden="1">
      <c r="A2192" s="2114"/>
      <c r="B2192" s="568" t="s">
        <v>3662</v>
      </c>
      <c r="C2192" s="568"/>
      <c r="D2192" s="568"/>
      <c r="E2192" s="188"/>
      <c r="F2192" s="188"/>
      <c r="G2192" s="2122"/>
      <c r="H2192" s="2135">
        <f>H2177</f>
        <v>7.4999999999999997E-2</v>
      </c>
      <c r="I2192" s="2134">
        <f>K2186+K2191</f>
        <v>3724.1499999999996</v>
      </c>
      <c r="J2192" s="2134"/>
      <c r="K2192" s="2123">
        <f>ROUND(I2192*H2192,2)</f>
        <v>279.31</v>
      </c>
      <c r="L2192" s="192"/>
      <c r="M2192" s="568"/>
    </row>
    <row r="2193" spans="1:16" ht="12.75" hidden="1">
      <c r="A2193" s="2114"/>
      <c r="B2193" s="568" t="s">
        <v>3661</v>
      </c>
      <c r="C2193" s="568"/>
      <c r="D2193" s="568"/>
      <c r="E2193" s="188"/>
      <c r="F2193" s="188"/>
      <c r="G2193" s="2122"/>
      <c r="H2193" s="2135">
        <f>H2192</f>
        <v>7.4999999999999997E-2</v>
      </c>
      <c r="I2193" s="2134">
        <f>I2192</f>
        <v>3724.1499999999996</v>
      </c>
      <c r="J2193" s="2134"/>
      <c r="K2193" s="2123">
        <f>ROUND(I2193*H2193,2)</f>
        <v>279.31</v>
      </c>
      <c r="L2193" s="192"/>
      <c r="M2193" s="568"/>
    </row>
    <row r="2194" spans="1:16" ht="12.75" hidden="1">
      <c r="A2194" s="2114"/>
      <c r="B2194" s="192" t="s">
        <v>783</v>
      </c>
      <c r="C2194" s="568"/>
      <c r="D2194" s="568"/>
      <c r="E2194" s="188"/>
      <c r="F2194" s="188"/>
      <c r="G2194" s="2122"/>
      <c r="H2194" s="568"/>
      <c r="I2194" s="2118"/>
      <c r="J2194" s="2123"/>
      <c r="K2194" s="2123"/>
      <c r="L2194" s="192"/>
      <c r="M2194" s="568"/>
    </row>
    <row r="2195" spans="1:16" ht="12.75" hidden="1">
      <c r="A2195" s="2114"/>
      <c r="B2195" s="568" t="str">
        <f>B2183</f>
        <v>W.B.C.B. brick 25cm x 12cm x 8cm size</v>
      </c>
      <c r="C2195" s="568"/>
      <c r="D2195" s="568"/>
      <c r="E2195" s="188"/>
      <c r="F2195" s="188"/>
      <c r="G2195" s="2123">
        <f>G2183</f>
        <v>350</v>
      </c>
      <c r="H2195" s="568" t="s">
        <v>262</v>
      </c>
      <c r="I2195" s="2118" t="s">
        <v>262</v>
      </c>
      <c r="J2195" s="2122">
        <f>K26/1000</f>
        <v>1.0113749999999999</v>
      </c>
      <c r="K2195" s="2123">
        <f>ROUND(G2195*J2195,2)</f>
        <v>353.98</v>
      </c>
      <c r="L2195" s="192"/>
      <c r="M2195" s="568"/>
    </row>
    <row r="2196" spans="1:16" ht="12.75" hidden="1">
      <c r="A2196" s="2114"/>
      <c r="B2196" s="568" t="s">
        <v>775</v>
      </c>
      <c r="C2196" s="568"/>
      <c r="D2196" s="568"/>
      <c r="E2196" s="188"/>
      <c r="F2196" s="188"/>
      <c r="G2196" s="2122">
        <f>G2184</f>
        <v>0.28000000000000003</v>
      </c>
      <c r="H2196" s="568" t="s">
        <v>49</v>
      </c>
      <c r="I2196" s="2118" t="s">
        <v>49</v>
      </c>
      <c r="J2196" s="2123">
        <f>K46</f>
        <v>717.46</v>
      </c>
      <c r="K2196" s="2123">
        <f>ROUND(G2196*J2196,2)</f>
        <v>200.89</v>
      </c>
      <c r="L2196" s="192"/>
      <c r="M2196" s="568"/>
    </row>
    <row r="2197" spans="1:16" ht="12.75" hidden="1">
      <c r="A2197" s="2114"/>
      <c r="B2197" s="568" t="s">
        <v>8</v>
      </c>
      <c r="C2197" s="568"/>
      <c r="D2197" s="568"/>
      <c r="E2197" s="188"/>
      <c r="F2197" s="188"/>
      <c r="G2197" s="2122">
        <f>G2185</f>
        <v>1</v>
      </c>
      <c r="H2197" s="568" t="s">
        <v>247</v>
      </c>
      <c r="I2197" s="2118" t="s">
        <v>247</v>
      </c>
      <c r="J2197" s="2123">
        <f>K50/10</f>
        <v>42.622</v>
      </c>
      <c r="K2197" s="2123">
        <f>ROUND(G2197*J2197,2)</f>
        <v>42.62</v>
      </c>
      <c r="L2197" s="192"/>
      <c r="M2197" s="568"/>
    </row>
    <row r="2198" spans="1:16" ht="12.75" hidden="1">
      <c r="A2198" s="2114"/>
      <c r="B2198" s="568"/>
      <c r="C2198" s="568"/>
      <c r="D2198" s="568"/>
      <c r="E2198" s="188"/>
      <c r="F2198" s="188"/>
      <c r="G2198" s="2122"/>
      <c r="H2198" s="568"/>
      <c r="I2198" s="2118"/>
      <c r="J2198" s="2134" t="s">
        <v>718</v>
      </c>
      <c r="K2198" s="2123">
        <f>SUM(K2195:K2197)</f>
        <v>597.49</v>
      </c>
      <c r="L2198" s="192"/>
      <c r="M2198" s="568"/>
      <c r="O2198" s="1991">
        <f>K2191</f>
        <v>1651.2</v>
      </c>
      <c r="P2198" s="1706" t="s">
        <v>3149</v>
      </c>
    </row>
    <row r="2199" spans="1:16" ht="12.75" hidden="1">
      <c r="A2199" s="2114"/>
      <c r="B2199" s="568" t="s">
        <v>785</v>
      </c>
      <c r="C2199" s="568"/>
      <c r="D2199" s="568"/>
      <c r="E2199" s="188"/>
      <c r="F2199" s="188"/>
      <c r="G2199" s="2122"/>
      <c r="H2199" s="568"/>
      <c r="I2199" s="2118"/>
      <c r="J2199" s="2123"/>
      <c r="K2199" s="2124">
        <f>K2186+K2191+K2192+K2193+K2198</f>
        <v>4880.2599999999993</v>
      </c>
      <c r="L2199" s="192" t="s">
        <v>721</v>
      </c>
      <c r="M2199" s="568"/>
      <c r="O2199" s="1991">
        <f>K2199-O2198</f>
        <v>3229.0599999999995</v>
      </c>
      <c r="P2199" s="1706" t="s">
        <v>26</v>
      </c>
    </row>
    <row r="2200" spans="1:16" s="1706" customFormat="1" ht="12.75" hidden="1">
      <c r="A2200" s="2114" t="str">
        <f>A2157</f>
        <v>(ii)</v>
      </c>
      <c r="B2200" s="192" t="str">
        <f>B2157</f>
        <v>Superstructure of Ground Floor</v>
      </c>
      <c r="C2200" s="192"/>
      <c r="D2200" s="192"/>
      <c r="E2200" s="2120" t="str">
        <f>E2181</f>
        <v>Each Cum</v>
      </c>
      <c r="F2200" s="2120"/>
      <c r="G2200" s="2141"/>
      <c r="H2200" s="192"/>
      <c r="I2200" s="2114"/>
      <c r="J2200" s="2124"/>
      <c r="K2200" s="2124"/>
      <c r="L2200" s="192"/>
      <c r="M2200" s="192"/>
    </row>
    <row r="2201" spans="1:16" ht="12.75" hidden="1">
      <c r="A2201" s="2114"/>
      <c r="B2201" s="568" t="s">
        <v>799</v>
      </c>
      <c r="C2201" s="568"/>
      <c r="D2201" s="568"/>
      <c r="E2201" s="188"/>
      <c r="F2201" s="188"/>
      <c r="G2201" s="2122"/>
      <c r="H2201" s="568"/>
      <c r="I2201" s="2118"/>
      <c r="J2201" s="2123"/>
      <c r="K2201" s="2123">
        <f>K2199</f>
        <v>4880.2599999999993</v>
      </c>
      <c r="L2201" s="192"/>
      <c r="M2201" s="568"/>
    </row>
    <row r="2202" spans="1:16" ht="12.75" hidden="1">
      <c r="A2202" s="2114"/>
      <c r="B2202" s="568" t="s">
        <v>800</v>
      </c>
      <c r="C2202" s="568"/>
      <c r="D2202" s="568"/>
      <c r="E2202" s="188"/>
      <c r="F2202" s="188"/>
      <c r="G2202" s="2122"/>
      <c r="H2202" s="568"/>
      <c r="I2202" s="2118"/>
      <c r="J2202" s="2123"/>
      <c r="K2202" s="2123">
        <f>K2159</f>
        <v>33</v>
      </c>
      <c r="L2202" s="192"/>
      <c r="M2202" s="568"/>
      <c r="O2202" s="1991">
        <f>O2198+K2202</f>
        <v>1684.2</v>
      </c>
      <c r="P2202" s="1706" t="s">
        <v>3149</v>
      </c>
    </row>
    <row r="2203" spans="1:16" ht="12.75" hidden="1">
      <c r="A2203" s="2114"/>
      <c r="B2203" s="568"/>
      <c r="C2203" s="568"/>
      <c r="D2203" s="568"/>
      <c r="E2203" s="188"/>
      <c r="F2203" s="188"/>
      <c r="G2203" s="2122"/>
      <c r="H2203" s="568"/>
      <c r="I2203" s="2118"/>
      <c r="J2203" s="2126" t="s">
        <v>718</v>
      </c>
      <c r="K2203" s="2124">
        <f>SUM(K2201:K2202)</f>
        <v>4913.2599999999993</v>
      </c>
      <c r="L2203" s="192" t="s">
        <v>721</v>
      </c>
      <c r="M2203" s="568"/>
      <c r="O2203" s="1991">
        <f>K2203-O2202</f>
        <v>3229.0599999999995</v>
      </c>
      <c r="P2203" s="1706" t="s">
        <v>26</v>
      </c>
    </row>
    <row r="2204" spans="1:16" s="1706" customFormat="1" ht="12.75" hidden="1">
      <c r="A2204" s="2114" t="str">
        <f>A2161</f>
        <v>(iii)</v>
      </c>
      <c r="B2204" s="192" t="str">
        <f>B2161</f>
        <v>Superstructure of First Floor</v>
      </c>
      <c r="C2204" s="192"/>
      <c r="D2204" s="192"/>
      <c r="E2204" s="2120" t="str">
        <f>E2200</f>
        <v>Each Cum</v>
      </c>
      <c r="F2204" s="2120"/>
      <c r="G2204" s="2141"/>
      <c r="H2204" s="192"/>
      <c r="I2204" s="2114"/>
      <c r="J2204" s="2124"/>
      <c r="K2204" s="2124"/>
      <c r="L2204" s="192"/>
      <c r="M2204" s="192"/>
    </row>
    <row r="2205" spans="1:16" ht="12.75" hidden="1">
      <c r="A2205" s="2114"/>
      <c r="B2205" s="568" t="s">
        <v>801</v>
      </c>
      <c r="C2205" s="568"/>
      <c r="D2205" s="568"/>
      <c r="E2205" s="188"/>
      <c r="F2205" s="188"/>
      <c r="G2205" s="2122"/>
      <c r="H2205" s="568"/>
      <c r="I2205" s="2118"/>
      <c r="J2205" s="2123"/>
      <c r="K2205" s="2123">
        <f>K2203</f>
        <v>4913.2599999999993</v>
      </c>
      <c r="L2205" s="192"/>
      <c r="M2205" s="568"/>
    </row>
    <row r="2206" spans="1:16" ht="12.75" hidden="1">
      <c r="A2206" s="2114"/>
      <c r="B2206" s="568" t="s">
        <v>795</v>
      </c>
      <c r="C2206" s="568"/>
      <c r="D2206" s="568"/>
      <c r="E2206" s="188"/>
      <c r="F2206" s="188"/>
      <c r="G2206" s="2122"/>
      <c r="H2206" s="2135">
        <v>0.15</v>
      </c>
      <c r="I2206" s="2134">
        <f>K2191+K2202</f>
        <v>1684.2</v>
      </c>
      <c r="J2206" s="2123"/>
      <c r="K2206" s="2123">
        <f>ROUND((K2191+K2202)*15%,2)</f>
        <v>252.63</v>
      </c>
      <c r="L2206" s="192"/>
      <c r="M2206" s="568"/>
      <c r="O2206" s="1991">
        <f>O2202+K2206</f>
        <v>1936.83</v>
      </c>
      <c r="P2206" s="1706" t="s">
        <v>3149</v>
      </c>
    </row>
    <row r="2207" spans="1:16" ht="12.75" hidden="1">
      <c r="A2207" s="2114"/>
      <c r="B2207" s="568" t="s">
        <v>3664</v>
      </c>
      <c r="C2207" s="568"/>
      <c r="D2207" s="568"/>
      <c r="E2207" s="188"/>
      <c r="F2207" s="188"/>
      <c r="G2207" s="2122"/>
      <c r="H2207" s="2135">
        <f>H2193</f>
        <v>7.4999999999999997E-2</v>
      </c>
      <c r="I2207" s="2134">
        <f>K2206</f>
        <v>252.63</v>
      </c>
      <c r="J2207" s="2134"/>
      <c r="K2207" s="2123">
        <f>ROUND(I2207*H2207,2)</f>
        <v>18.95</v>
      </c>
      <c r="L2207" s="192"/>
      <c r="M2207" s="568"/>
      <c r="O2207" s="1991"/>
      <c r="P2207" s="1706"/>
    </row>
    <row r="2208" spans="1:16" ht="12.75" hidden="1">
      <c r="A2208" s="2114"/>
      <c r="B2208" s="568" t="s">
        <v>3665</v>
      </c>
      <c r="C2208" s="568"/>
      <c r="D2208" s="568"/>
      <c r="E2208" s="188"/>
      <c r="F2208" s="188"/>
      <c r="G2208" s="2122"/>
      <c r="H2208" s="2135">
        <f>H2207</f>
        <v>7.4999999999999997E-2</v>
      </c>
      <c r="I2208" s="2134">
        <f>I2207</f>
        <v>252.63</v>
      </c>
      <c r="J2208" s="2134"/>
      <c r="K2208" s="2123">
        <f>ROUND(I2208*H2208,2)</f>
        <v>18.95</v>
      </c>
      <c r="L2208" s="192"/>
      <c r="M2208" s="568"/>
      <c r="O2208" s="1991"/>
      <c r="P2208" s="1706"/>
    </row>
    <row r="2209" spans="1:18" ht="12.75" hidden="1">
      <c r="A2209" s="2114"/>
      <c r="B2209" s="568"/>
      <c r="C2209" s="568"/>
      <c r="D2209" s="568"/>
      <c r="E2209" s="188"/>
      <c r="F2209" s="188"/>
      <c r="G2209" s="2122"/>
      <c r="H2209" s="568"/>
      <c r="I2209" s="2118"/>
      <c r="J2209" s="2126" t="s">
        <v>718</v>
      </c>
      <c r="K2209" s="2124">
        <f>SUM(K2205:K2208)</f>
        <v>5203.7899999999991</v>
      </c>
      <c r="L2209" s="192" t="s">
        <v>721</v>
      </c>
      <c r="M2209" s="568"/>
      <c r="O2209" s="1991">
        <f>K2209-O2206</f>
        <v>3266.9599999999991</v>
      </c>
      <c r="P2209" s="1706" t="s">
        <v>26</v>
      </c>
    </row>
    <row r="2210" spans="1:18" s="1706" customFormat="1" ht="12.75" hidden="1">
      <c r="A2210" s="2114" t="str">
        <f>A2167</f>
        <v>(iv)</v>
      </c>
      <c r="B2210" s="192" t="str">
        <f>B2167</f>
        <v>Superstructure of Second Floor</v>
      </c>
      <c r="C2210" s="192"/>
      <c r="D2210" s="192"/>
      <c r="E2210" s="2120" t="str">
        <f>E2204</f>
        <v>Each Cum</v>
      </c>
      <c r="F2210" s="2120"/>
      <c r="G2210" s="2141"/>
      <c r="H2210" s="192"/>
      <c r="I2210" s="2114"/>
      <c r="J2210" s="2124"/>
      <c r="K2210" s="2124"/>
      <c r="L2210" s="192"/>
      <c r="M2210" s="192"/>
    </row>
    <row r="2211" spans="1:18" ht="12.75" hidden="1">
      <c r="A2211" s="2114"/>
      <c r="B2211" s="568" t="str">
        <f>B2168</f>
        <v>Rate In Superstructure of First Floor.</v>
      </c>
      <c r="C2211" s="568"/>
      <c r="D2211" s="568"/>
      <c r="E2211" s="188"/>
      <c r="F2211" s="188"/>
      <c r="G2211" s="2122"/>
      <c r="H2211" s="568"/>
      <c r="I2211" s="2118"/>
      <c r="J2211" s="2123"/>
      <c r="K2211" s="2123">
        <f>K2209</f>
        <v>5203.7899999999991</v>
      </c>
      <c r="L2211" s="192"/>
      <c r="M2211" s="568"/>
    </row>
    <row r="2212" spans="1:18" ht="12.75" hidden="1">
      <c r="A2212" s="2114"/>
      <c r="B2212" s="568" t="s">
        <v>795</v>
      </c>
      <c r="C2212" s="568"/>
      <c r="D2212" s="568"/>
      <c r="E2212" s="188"/>
      <c r="F2212" s="188"/>
      <c r="G2212" s="2122"/>
      <c r="H2212" s="2135">
        <v>0.15</v>
      </c>
      <c r="I2212" s="2134">
        <f>I2206+K2206</f>
        <v>1936.83</v>
      </c>
      <c r="J2212" s="2123"/>
      <c r="K2212" s="2123">
        <f>K2206+ROUND(K2206*15%,2)</f>
        <v>290.52</v>
      </c>
      <c r="L2212" s="192"/>
      <c r="M2212" s="568"/>
      <c r="O2212" s="1991">
        <f>O2206+K2212</f>
        <v>2227.35</v>
      </c>
      <c r="P2212" s="1706" t="s">
        <v>3149</v>
      </c>
    </row>
    <row r="2213" spans="1:18" ht="12.75" hidden="1">
      <c r="A2213" s="2114"/>
      <c r="B2213" s="568" t="s">
        <v>3664</v>
      </c>
      <c r="C2213" s="568"/>
      <c r="D2213" s="568"/>
      <c r="E2213" s="188"/>
      <c r="F2213" s="188"/>
      <c r="G2213" s="2122"/>
      <c r="H2213" s="2135">
        <f>H2208</f>
        <v>7.4999999999999997E-2</v>
      </c>
      <c r="I2213" s="2134">
        <f>K2212</f>
        <v>290.52</v>
      </c>
      <c r="J2213" s="2134"/>
      <c r="K2213" s="2123">
        <f>ROUND(I2213*H2213,2)</f>
        <v>21.79</v>
      </c>
      <c r="L2213" s="192"/>
      <c r="M2213" s="568"/>
      <c r="O2213" s="1991"/>
      <c r="P2213" s="1706"/>
    </row>
    <row r="2214" spans="1:18" ht="12.75" hidden="1">
      <c r="A2214" s="2114"/>
      <c r="B2214" s="568" t="s">
        <v>3665</v>
      </c>
      <c r="C2214" s="568"/>
      <c r="D2214" s="568"/>
      <c r="E2214" s="188"/>
      <c r="F2214" s="188"/>
      <c r="G2214" s="2122"/>
      <c r="H2214" s="2135">
        <f>H2213</f>
        <v>7.4999999999999997E-2</v>
      </c>
      <c r="I2214" s="2134">
        <f>I2213</f>
        <v>290.52</v>
      </c>
      <c r="J2214" s="2134"/>
      <c r="K2214" s="2123">
        <f>ROUND(I2214*H2214,2)</f>
        <v>21.79</v>
      </c>
      <c r="L2214" s="192"/>
      <c r="M2214" s="568"/>
      <c r="O2214" s="1991"/>
      <c r="P2214" s="1706"/>
    </row>
    <row r="2215" spans="1:18" ht="12.75" hidden="1">
      <c r="A2215" s="2114"/>
      <c r="B2215" s="568"/>
      <c r="C2215" s="568"/>
      <c r="D2215" s="568"/>
      <c r="E2215" s="188"/>
      <c r="F2215" s="188"/>
      <c r="G2215" s="2122"/>
      <c r="H2215" s="568"/>
      <c r="I2215" s="2118"/>
      <c r="J2215" s="2126" t="s">
        <v>718</v>
      </c>
      <c r="K2215" s="2124">
        <f>SUM(K2211:K2214)</f>
        <v>5537.8899999999994</v>
      </c>
      <c r="L2215" s="192" t="s">
        <v>721</v>
      </c>
      <c r="M2215" s="568"/>
      <c r="O2215" s="1991">
        <f>K2215-O2212</f>
        <v>3310.5399999999995</v>
      </c>
      <c r="P2215" s="1706" t="s">
        <v>26</v>
      </c>
    </row>
    <row r="2216" spans="1:18" s="1706" customFormat="1" ht="12.75" hidden="1">
      <c r="A2216" s="2114" t="str">
        <f>A2173</f>
        <v>(v)</v>
      </c>
      <c r="B2216" s="192" t="str">
        <f>B2173</f>
        <v>Superstructure of Third Floor</v>
      </c>
      <c r="C2216" s="192"/>
      <c r="D2216" s="192"/>
      <c r="E2216" s="2120" t="str">
        <f>E2210</f>
        <v>Each Cum</v>
      </c>
      <c r="F2216" s="2120"/>
      <c r="G2216" s="2141"/>
      <c r="H2216" s="192"/>
      <c r="I2216" s="2114"/>
      <c r="J2216" s="2124"/>
      <c r="K2216" s="2124"/>
      <c r="L2216" s="192"/>
      <c r="M2216" s="192"/>
    </row>
    <row r="2217" spans="1:18" ht="12.75" hidden="1">
      <c r="A2217" s="2114"/>
      <c r="B2217" s="568" t="str">
        <f>B2174</f>
        <v>Rate In Superstructure of First Floor.</v>
      </c>
      <c r="C2217" s="568"/>
      <c r="D2217" s="568"/>
      <c r="E2217" s="188"/>
      <c r="F2217" s="188"/>
      <c r="G2217" s="2122"/>
      <c r="H2217" s="568"/>
      <c r="I2217" s="2118"/>
      <c r="J2217" s="2123"/>
      <c r="K2217" s="2123">
        <f>K2215</f>
        <v>5537.8899999999994</v>
      </c>
      <c r="L2217" s="192"/>
      <c r="M2217" s="568"/>
    </row>
    <row r="2218" spans="1:18" ht="12.75" hidden="1">
      <c r="A2218" s="2114"/>
      <c r="B2218" s="568" t="s">
        <v>795</v>
      </c>
      <c r="C2218" s="568"/>
      <c r="D2218" s="568"/>
      <c r="E2218" s="188"/>
      <c r="F2218" s="188"/>
      <c r="G2218" s="2122"/>
      <c r="H2218" s="2135">
        <v>0.15</v>
      </c>
      <c r="I2218" s="2134">
        <f>I2212+K2212</f>
        <v>2227.35</v>
      </c>
      <c r="J2218" s="2123"/>
      <c r="K2218" s="2123">
        <f>K2212+ROUND(K2212*15%,2)</f>
        <v>334.09999999999997</v>
      </c>
      <c r="L2218" s="192"/>
      <c r="M2218" s="568"/>
      <c r="O2218" s="1991">
        <f>O2212+K2218</f>
        <v>2561.4499999999998</v>
      </c>
      <c r="P2218" s="1706" t="s">
        <v>3149</v>
      </c>
    </row>
    <row r="2219" spans="1:18" ht="12.75" hidden="1">
      <c r="A2219" s="2114"/>
      <c r="B2219" s="568" t="s">
        <v>3664</v>
      </c>
      <c r="C2219" s="568"/>
      <c r="D2219" s="568"/>
      <c r="E2219" s="188"/>
      <c r="F2219" s="188"/>
      <c r="G2219" s="2122"/>
      <c r="H2219" s="2135">
        <f>H2214</f>
        <v>7.4999999999999997E-2</v>
      </c>
      <c r="I2219" s="2134">
        <f>K2218</f>
        <v>334.09999999999997</v>
      </c>
      <c r="J2219" s="2134"/>
      <c r="K2219" s="2123">
        <f>ROUND(I2219*H2219,2)</f>
        <v>25.06</v>
      </c>
      <c r="L2219" s="192"/>
      <c r="M2219" s="568"/>
      <c r="O2219" s="1991"/>
      <c r="P2219" s="1706"/>
    </row>
    <row r="2220" spans="1:18" ht="12.75" hidden="1">
      <c r="A2220" s="2114"/>
      <c r="B2220" s="568" t="s">
        <v>3665</v>
      </c>
      <c r="C2220" s="568"/>
      <c r="D2220" s="568"/>
      <c r="E2220" s="188"/>
      <c r="F2220" s="188"/>
      <c r="G2220" s="2122"/>
      <c r="H2220" s="2135">
        <f>H2219</f>
        <v>7.4999999999999997E-2</v>
      </c>
      <c r="I2220" s="2134">
        <f>I2219</f>
        <v>334.09999999999997</v>
      </c>
      <c r="J2220" s="2134"/>
      <c r="K2220" s="2123">
        <f>ROUND(I2220*H2220,2)</f>
        <v>25.06</v>
      </c>
      <c r="L2220" s="192"/>
      <c r="M2220" s="568"/>
      <c r="O2220" s="1991"/>
      <c r="P2220" s="1706"/>
    </row>
    <row r="2221" spans="1:18" ht="12.75" hidden="1">
      <c r="A2221" s="2114"/>
      <c r="B2221" s="568"/>
      <c r="C2221" s="568"/>
      <c r="D2221" s="568"/>
      <c r="E2221" s="188"/>
      <c r="F2221" s="188"/>
      <c r="G2221" s="2122"/>
      <c r="H2221" s="568"/>
      <c r="I2221" s="2118"/>
      <c r="J2221" s="2126" t="s">
        <v>718</v>
      </c>
      <c r="K2221" s="2124">
        <f>SUM(K2217:K2220)</f>
        <v>5922.1100000000006</v>
      </c>
      <c r="L2221" s="192" t="s">
        <v>721</v>
      </c>
      <c r="M2221" s="568"/>
      <c r="O2221" s="1991">
        <f>K2221-O2218</f>
        <v>3360.6600000000008</v>
      </c>
      <c r="P2221" s="1706" t="s">
        <v>26</v>
      </c>
    </row>
    <row r="2222" spans="1:18" ht="30" customHeight="1">
      <c r="A2222" s="2114">
        <f>A441</f>
        <v>41</v>
      </c>
      <c r="B2222" s="3025" t="str">
        <f>B441</f>
        <v>Fly Ash brick masonry in cement mortar (1:6) using kiln Burnt bricks of 10”  etc. complete in all respect as directed by the Engineer-in-charge.</v>
      </c>
      <c r="C2222" s="3025"/>
      <c r="D2222" s="3025"/>
      <c r="E2222" s="3025"/>
      <c r="F2222" s="3025"/>
      <c r="G2222" s="3025"/>
      <c r="H2222" s="3025"/>
      <c r="I2222" s="2118"/>
      <c r="J2222" s="2124"/>
      <c r="K2222" s="2124"/>
      <c r="L2222" s="192"/>
      <c r="M2222" s="568"/>
    </row>
    <row r="2223" spans="1:18" ht="12.75">
      <c r="A2223" s="2114"/>
      <c r="B2223" s="568" t="s">
        <v>777</v>
      </c>
      <c r="C2223" s="568"/>
      <c r="D2223" s="568"/>
      <c r="E2223" s="188"/>
      <c r="F2223" s="188"/>
      <c r="G2223" s="2122"/>
      <c r="H2223" s="568"/>
      <c r="I2223" s="2118"/>
      <c r="J2223" s="2123"/>
      <c r="K2223" s="2123"/>
      <c r="L2223" s="192"/>
      <c r="M2223" s="568"/>
    </row>
    <row r="2224" spans="1:18" s="1706" customFormat="1" ht="12.75">
      <c r="A2224" s="2114" t="str">
        <f>A2095</f>
        <v>(i)</v>
      </c>
      <c r="B2224" s="192" t="str">
        <f>B2095</f>
        <v>Foundation &amp; Plinth</v>
      </c>
      <c r="C2224" s="192"/>
      <c r="D2224" s="192"/>
      <c r="E2224" s="2120" t="str">
        <f>G621</f>
        <v>Each No</v>
      </c>
      <c r="F2224" s="2120"/>
      <c r="G2224" s="2141"/>
      <c r="H2224" s="192"/>
      <c r="I2224" s="2114"/>
      <c r="J2224" s="2124"/>
      <c r="K2224" s="2124"/>
      <c r="L2224" s="192"/>
      <c r="M2224" s="568"/>
      <c r="N2224" s="1705"/>
      <c r="O2224" s="1705"/>
      <c r="P2224" s="1705"/>
      <c r="Q2224" s="1705"/>
      <c r="R2224" s="1705"/>
    </row>
    <row r="2225" spans="1:13" ht="12.75">
      <c r="A2225" s="2114"/>
      <c r="B2225" s="192" t="s">
        <v>779</v>
      </c>
      <c r="C2225" s="568"/>
      <c r="D2225" s="568"/>
      <c r="E2225" s="188"/>
      <c r="F2225" s="188"/>
      <c r="G2225" s="2122"/>
      <c r="H2225" s="568"/>
      <c r="I2225" s="2118"/>
      <c r="J2225" s="2123"/>
      <c r="K2225" s="2123"/>
      <c r="L2225" s="192"/>
      <c r="M2225" s="568"/>
    </row>
    <row r="2226" spans="1:13" ht="12.75">
      <c r="A2226" s="2114"/>
      <c r="B2226" s="568" t="s">
        <v>803</v>
      </c>
      <c r="C2226" s="568"/>
      <c r="D2226" s="568"/>
      <c r="E2226" s="188"/>
      <c r="F2226" s="188"/>
      <c r="G2226" s="2123">
        <v>350</v>
      </c>
      <c r="H2226" s="568" t="s">
        <v>262</v>
      </c>
      <c r="I2226" s="2118" t="s">
        <v>262</v>
      </c>
      <c r="J2226" s="2122">
        <f>G24/1000</f>
        <v>5.1242000000000001</v>
      </c>
      <c r="K2226" s="2123">
        <f>ROUND(G2226*J2226,2)</f>
        <v>1793.47</v>
      </c>
      <c r="L2226" s="192"/>
      <c r="M2226" s="568"/>
    </row>
    <row r="2227" spans="1:13" ht="12.75">
      <c r="A2227" s="2114"/>
      <c r="B2227" s="568" t="s">
        <v>775</v>
      </c>
      <c r="C2227" s="568"/>
      <c r="D2227" s="568"/>
      <c r="E2227" s="188"/>
      <c r="F2227" s="188"/>
      <c r="G2227" s="2122">
        <v>0.28000000000000003</v>
      </c>
      <c r="H2227" s="568" t="s">
        <v>49</v>
      </c>
      <c r="I2227" s="2118" t="s">
        <v>49</v>
      </c>
      <c r="J2227" s="2123">
        <f>G46</f>
        <v>76.88</v>
      </c>
      <c r="K2227" s="2123">
        <f>ROUND(G2227*J2227,2)</f>
        <v>21.53</v>
      </c>
      <c r="L2227" s="192"/>
      <c r="M2227" s="568"/>
    </row>
    <row r="2228" spans="1:13" ht="12.75">
      <c r="A2228" s="2114"/>
      <c r="B2228" s="568" t="s">
        <v>8</v>
      </c>
      <c r="C2228" s="568"/>
      <c r="D2228" s="568"/>
      <c r="E2228" s="188"/>
      <c r="F2228" s="188"/>
      <c r="G2228" s="2122">
        <v>0.67200000000000004</v>
      </c>
      <c r="H2228" s="568" t="s">
        <v>247</v>
      </c>
      <c r="I2228" s="2118" t="s">
        <v>247</v>
      </c>
      <c r="J2228" s="2123">
        <f>G50/10</f>
        <v>570.23400000000004</v>
      </c>
      <c r="K2228" s="2123">
        <f>ROUND(G2228*J2228,2)</f>
        <v>383.2</v>
      </c>
      <c r="L2228" s="192"/>
      <c r="M2228" s="568"/>
    </row>
    <row r="2229" spans="1:13" ht="12.75">
      <c r="A2229" s="2114"/>
      <c r="B2229" s="568"/>
      <c r="C2229" s="568"/>
      <c r="D2229" s="568"/>
      <c r="E2229" s="188"/>
      <c r="F2229" s="188"/>
      <c r="G2229" s="2122"/>
      <c r="H2229" s="568"/>
      <c r="I2229" s="2118"/>
      <c r="J2229" s="2134" t="s">
        <v>718</v>
      </c>
      <c r="K2229" s="2124">
        <f>SUM(K2226:K2228)</f>
        <v>2198.1999999999998</v>
      </c>
      <c r="L2229" s="192"/>
      <c r="M2229" s="568"/>
    </row>
    <row r="2230" spans="1:13" ht="12.75">
      <c r="A2230" s="2114"/>
      <c r="B2230" s="192" t="s">
        <v>781</v>
      </c>
      <c r="C2230" s="568"/>
      <c r="D2230" s="568"/>
      <c r="E2230" s="188"/>
      <c r="F2230" s="188"/>
      <c r="G2230" s="2122"/>
      <c r="H2230" s="568"/>
      <c r="I2230" s="2118"/>
      <c r="J2230" s="2123"/>
      <c r="K2230" s="2123"/>
      <c r="L2230" s="192"/>
      <c r="M2230" s="568"/>
    </row>
    <row r="2231" spans="1:13" ht="12.75">
      <c r="A2231" s="2114"/>
      <c r="B2231" s="568" t="s">
        <v>804</v>
      </c>
      <c r="C2231" s="568"/>
      <c r="D2231" s="568"/>
      <c r="E2231" s="188"/>
      <c r="F2231" s="188"/>
      <c r="G2231" s="2122">
        <v>0.35</v>
      </c>
      <c r="H2231" s="568" t="s">
        <v>262</v>
      </c>
      <c r="I2231" s="2118" t="s">
        <v>38</v>
      </c>
      <c r="J2231" s="2123">
        <f>L137</f>
        <v>495</v>
      </c>
      <c r="K2231" s="2123">
        <f>ROUND(G2231*J2231,2)</f>
        <v>173.25</v>
      </c>
      <c r="L2231" s="192"/>
      <c r="M2231" s="568"/>
    </row>
    <row r="2232" spans="1:13" ht="12.75">
      <c r="A2232" s="2114"/>
      <c r="B2232" s="568" t="s">
        <v>782</v>
      </c>
      <c r="C2232" s="568"/>
      <c r="D2232" s="568"/>
      <c r="E2232" s="188"/>
      <c r="F2232" s="188"/>
      <c r="G2232" s="2122">
        <v>1.05</v>
      </c>
      <c r="H2232" s="568" t="s">
        <v>262</v>
      </c>
      <c r="I2232" s="2118" t="s">
        <v>38</v>
      </c>
      <c r="J2232" s="2123">
        <f>L136</f>
        <v>435</v>
      </c>
      <c r="K2232" s="2123">
        <f>ROUND(G2232*J2232,2)</f>
        <v>456.75</v>
      </c>
      <c r="L2232" s="192"/>
      <c r="M2232" s="568"/>
    </row>
    <row r="2233" spans="1:13" ht="12.75">
      <c r="A2233" s="2114"/>
      <c r="B2233" s="568" t="s">
        <v>717</v>
      </c>
      <c r="C2233" s="568"/>
      <c r="D2233" s="568"/>
      <c r="E2233" s="188"/>
      <c r="F2233" s="188"/>
      <c r="G2233" s="2122">
        <v>2.96</v>
      </c>
      <c r="H2233" s="568" t="s">
        <v>262</v>
      </c>
      <c r="I2233" s="2118" t="s">
        <v>38</v>
      </c>
      <c r="J2233" s="2123">
        <f>L134</f>
        <v>345</v>
      </c>
      <c r="K2233" s="2123">
        <f>ROUND(G2233*J2233,2)</f>
        <v>1021.2</v>
      </c>
      <c r="L2233" s="192"/>
      <c r="M2233" s="568"/>
    </row>
    <row r="2234" spans="1:13" ht="12.75">
      <c r="A2234" s="2114"/>
      <c r="B2234" s="568"/>
      <c r="C2234" s="568"/>
      <c r="D2234" s="568"/>
      <c r="E2234" s="188"/>
      <c r="F2234" s="188"/>
      <c r="G2234" s="2122"/>
      <c r="H2234" s="568"/>
      <c r="I2234" s="2118"/>
      <c r="J2234" s="2134" t="s">
        <v>718</v>
      </c>
      <c r="K2234" s="2124">
        <f>SUM(K2231:K2233)</f>
        <v>1651.2</v>
      </c>
      <c r="L2234" s="192"/>
      <c r="M2234" s="568"/>
    </row>
    <row r="2235" spans="1:13" ht="12.75">
      <c r="A2235" s="2114"/>
      <c r="B2235" s="568" t="s">
        <v>3662</v>
      </c>
      <c r="C2235" s="568"/>
      <c r="D2235" s="568"/>
      <c r="E2235" s="188"/>
      <c r="F2235" s="188"/>
      <c r="G2235" s="2122"/>
      <c r="H2235" s="2135">
        <f>H2220</f>
        <v>7.4999999999999997E-2</v>
      </c>
      <c r="I2235" s="2134">
        <f>K2229+K2234</f>
        <v>3849.3999999999996</v>
      </c>
      <c r="J2235" s="2134"/>
      <c r="K2235" s="2123">
        <f>ROUND(I2235*H2235,2)</f>
        <v>288.70999999999998</v>
      </c>
      <c r="L2235" s="192"/>
      <c r="M2235" s="568"/>
    </row>
    <row r="2236" spans="1:13" ht="12.75">
      <c r="A2236" s="2114"/>
      <c r="B2236" s="568" t="s">
        <v>3661</v>
      </c>
      <c r="C2236" s="568"/>
      <c r="D2236" s="568"/>
      <c r="E2236" s="188"/>
      <c r="F2236" s="188"/>
      <c r="G2236" s="2122"/>
      <c r="H2236" s="2135">
        <f>H2235</f>
        <v>7.4999999999999997E-2</v>
      </c>
      <c r="I2236" s="2134">
        <f>I2235</f>
        <v>3849.3999999999996</v>
      </c>
      <c r="J2236" s="2134"/>
      <c r="K2236" s="2123">
        <f>ROUND(I2236*H2236,2)</f>
        <v>288.70999999999998</v>
      </c>
      <c r="L2236" s="192"/>
      <c r="M2236" s="568"/>
    </row>
    <row r="2237" spans="1:13" ht="12.75">
      <c r="A2237" s="2114"/>
      <c r="B2237" s="192" t="s">
        <v>783</v>
      </c>
      <c r="C2237" s="568"/>
      <c r="D2237" s="568"/>
      <c r="E2237" s="188"/>
      <c r="F2237" s="188"/>
      <c r="G2237" s="2122"/>
      <c r="H2237" s="568"/>
      <c r="I2237" s="2118"/>
      <c r="J2237" s="2123"/>
      <c r="K2237" s="2123"/>
      <c r="L2237" s="192"/>
      <c r="M2237" s="568"/>
    </row>
    <row r="2238" spans="1:13" ht="12.75">
      <c r="A2238" s="2114"/>
      <c r="B2238" s="568" t="str">
        <f>B2226</f>
        <v>Fly Ash  brick 25cm x 12cm x 8cm size</v>
      </c>
      <c r="C2238" s="568"/>
      <c r="D2238" s="568"/>
      <c r="E2238" s="188"/>
      <c r="F2238" s="188"/>
      <c r="G2238" s="2123">
        <f>G2226</f>
        <v>350</v>
      </c>
      <c r="H2238" s="568" t="s">
        <v>262</v>
      </c>
      <c r="I2238" s="2118" t="s">
        <v>262</v>
      </c>
      <c r="J2238" s="2122">
        <f>K24/1000</f>
        <v>1.0113749999999999</v>
      </c>
      <c r="K2238" s="2123">
        <f>ROUND(G2238*J2238,2)</f>
        <v>353.98</v>
      </c>
      <c r="L2238" s="192"/>
      <c r="M2238" s="568"/>
    </row>
    <row r="2239" spans="1:13" ht="12.75">
      <c r="A2239" s="2114"/>
      <c r="B2239" s="568" t="s">
        <v>775</v>
      </c>
      <c r="C2239" s="568"/>
      <c r="D2239" s="568"/>
      <c r="E2239" s="188"/>
      <c r="F2239" s="188"/>
      <c r="G2239" s="2122">
        <f>G2227</f>
        <v>0.28000000000000003</v>
      </c>
      <c r="H2239" s="568" t="s">
        <v>49</v>
      </c>
      <c r="I2239" s="2118" t="s">
        <v>49</v>
      </c>
      <c r="J2239" s="2123">
        <f>K46</f>
        <v>717.46</v>
      </c>
      <c r="K2239" s="2123">
        <f>ROUND(G2239*J2239,2)</f>
        <v>200.89</v>
      </c>
      <c r="L2239" s="192"/>
      <c r="M2239" s="568"/>
    </row>
    <row r="2240" spans="1:13" ht="12.75">
      <c r="A2240" s="2114"/>
      <c r="B2240" s="568" t="s">
        <v>8</v>
      </c>
      <c r="C2240" s="568"/>
      <c r="D2240" s="568"/>
      <c r="E2240" s="188"/>
      <c r="F2240" s="188"/>
      <c r="G2240" s="2122">
        <f>G2228</f>
        <v>0.67200000000000004</v>
      </c>
      <c r="H2240" s="568" t="s">
        <v>247</v>
      </c>
      <c r="I2240" s="2118" t="s">
        <v>247</v>
      </c>
      <c r="J2240" s="2123">
        <f>K50/10</f>
        <v>42.622</v>
      </c>
      <c r="K2240" s="2123">
        <f>ROUND(G2240*J2240,2)</f>
        <v>28.64</v>
      </c>
      <c r="L2240" s="192"/>
      <c r="M2240" s="568"/>
    </row>
    <row r="2241" spans="1:18" ht="12.75">
      <c r="A2241" s="2114"/>
      <c r="B2241" s="568"/>
      <c r="C2241" s="568"/>
      <c r="D2241" s="568"/>
      <c r="E2241" s="188"/>
      <c r="F2241" s="188"/>
      <c r="G2241" s="2122"/>
      <c r="H2241" s="568"/>
      <c r="I2241" s="2118"/>
      <c r="J2241" s="2134" t="s">
        <v>718</v>
      </c>
      <c r="K2241" s="2123">
        <f>SUM(K2238:K2240)</f>
        <v>583.51</v>
      </c>
      <c r="L2241" s="192"/>
      <c r="M2241" s="568"/>
      <c r="O2241" s="1991">
        <f>K2234</f>
        <v>1651.2</v>
      </c>
      <c r="P2241" s="1706" t="s">
        <v>3149</v>
      </c>
      <c r="Q2241" s="1705">
        <v>1.88</v>
      </c>
      <c r="R2241" s="1705">
        <f>O2241*Q2241</f>
        <v>3104.2559999999999</v>
      </c>
    </row>
    <row r="2242" spans="1:18" ht="12.75">
      <c r="A2242" s="2114"/>
      <c r="B2242" s="568"/>
      <c r="C2242" s="568"/>
      <c r="D2242" s="568"/>
      <c r="E2242" s="188"/>
      <c r="F2242" s="188"/>
      <c r="G2242" s="2122"/>
      <c r="H2242" s="568"/>
      <c r="I2242" s="2118"/>
      <c r="J2242" s="2134"/>
      <c r="K2242" s="2123">
        <f>I2236+K2236+K2235+K2241</f>
        <v>5010.33</v>
      </c>
      <c r="L2242" s="192"/>
      <c r="M2242" s="568"/>
      <c r="O2242" s="1991"/>
      <c r="P2242" s="1706"/>
    </row>
    <row r="2243" spans="1:18" ht="12.75">
      <c r="A2243" s="2114"/>
      <c r="B2243" s="192" t="s">
        <v>3738</v>
      </c>
      <c r="C2243" s="2142">
        <v>0.01</v>
      </c>
      <c r="D2243" s="568"/>
      <c r="E2243" s="188"/>
      <c r="F2243" s="188"/>
      <c r="G2243" s="2122"/>
      <c r="H2243" s="568"/>
      <c r="I2243" s="2118"/>
      <c r="J2243" s="2134"/>
      <c r="K2243" s="2123">
        <f>ROUND(K2242*C2243,2)</f>
        <v>50.1</v>
      </c>
      <c r="L2243" s="192"/>
      <c r="M2243" s="568"/>
      <c r="O2243" s="1991"/>
      <c r="P2243" s="1706"/>
    </row>
    <row r="2244" spans="1:18" ht="12.75">
      <c r="A2244" s="2114"/>
      <c r="B2244" s="568" t="s">
        <v>785</v>
      </c>
      <c r="C2244" s="568"/>
      <c r="D2244" s="568"/>
      <c r="E2244" s="188"/>
      <c r="F2244" s="188"/>
      <c r="G2244" s="2122"/>
      <c r="H2244" s="568"/>
      <c r="I2244" s="2118"/>
      <c r="J2244" s="2134" t="s">
        <v>718</v>
      </c>
      <c r="K2244" s="2124">
        <f>K2242+K2243</f>
        <v>5060.43</v>
      </c>
      <c r="L2244" s="192" t="s">
        <v>721</v>
      </c>
      <c r="M2244" s="568"/>
      <c r="O2244" s="1991">
        <f>K2244-O2241</f>
        <v>3409.2300000000005</v>
      </c>
      <c r="P2244" s="1706" t="s">
        <v>26</v>
      </c>
    </row>
    <row r="2245" spans="1:18" s="1706" customFormat="1" ht="12.75">
      <c r="A2245" s="2114" t="str">
        <f>A2114</f>
        <v>(ii)</v>
      </c>
      <c r="B2245" s="192" t="str">
        <f>B2114</f>
        <v>Superstructure of Ground Floor</v>
      </c>
      <c r="C2245" s="192"/>
      <c r="D2245" s="192"/>
      <c r="E2245" s="2120" t="str">
        <f>G622</f>
        <v>Each No</v>
      </c>
      <c r="F2245" s="2120"/>
      <c r="G2245" s="2141"/>
      <c r="H2245" s="192"/>
      <c r="I2245" s="2114"/>
      <c r="J2245" s="2124"/>
      <c r="K2245" s="2124"/>
      <c r="L2245" s="192"/>
      <c r="M2245" s="192"/>
    </row>
    <row r="2246" spans="1:18" ht="12.75">
      <c r="A2246" s="2114"/>
      <c r="B2246" s="568" t="s">
        <v>799</v>
      </c>
      <c r="C2246" s="568"/>
      <c r="D2246" s="568"/>
      <c r="E2246" s="188"/>
      <c r="F2246" s="188"/>
      <c r="G2246" s="2122"/>
      <c r="H2246" s="568"/>
      <c r="I2246" s="2118"/>
      <c r="J2246" s="2123"/>
      <c r="K2246" s="2123">
        <f>K2242</f>
        <v>5010.33</v>
      </c>
      <c r="L2246" s="192"/>
      <c r="M2246" s="568"/>
    </row>
    <row r="2247" spans="1:18" ht="12.75">
      <c r="A2247" s="2114"/>
      <c r="B2247" s="568" t="s">
        <v>800</v>
      </c>
      <c r="C2247" s="568"/>
      <c r="D2247" s="568"/>
      <c r="E2247" s="188"/>
      <c r="F2247" s="188"/>
      <c r="G2247" s="2122"/>
      <c r="H2247" s="568"/>
      <c r="I2247" s="2118"/>
      <c r="J2247" s="2123"/>
      <c r="K2247" s="2123">
        <f>K2116</f>
        <v>33</v>
      </c>
      <c r="L2247" s="192"/>
      <c r="M2247" s="568"/>
      <c r="O2247" s="1991">
        <f>O2241+K2247</f>
        <v>1684.2</v>
      </c>
      <c r="P2247" s="1706" t="s">
        <v>3149</v>
      </c>
      <c r="Q2247" s="1705">
        <v>1.88</v>
      </c>
      <c r="R2247" s="1705">
        <f>O2247*Q2247</f>
        <v>3166.2959999999998</v>
      </c>
    </row>
    <row r="2248" spans="1:18" ht="12.75">
      <c r="A2248" s="2114"/>
      <c r="B2248" s="568"/>
      <c r="C2248" s="568"/>
      <c r="D2248" s="568"/>
      <c r="E2248" s="188"/>
      <c r="F2248" s="188"/>
      <c r="G2248" s="2122"/>
      <c r="H2248" s="568"/>
      <c r="I2248" s="2118"/>
      <c r="J2248" s="2123"/>
      <c r="K2248" s="2123">
        <f>SUM(K2246:K2247)</f>
        <v>5043.33</v>
      </c>
      <c r="L2248" s="192"/>
      <c r="M2248" s="568"/>
      <c r="O2248" s="1991"/>
      <c r="P2248" s="1706"/>
    </row>
    <row r="2249" spans="1:18" ht="12.75">
      <c r="A2249" s="2114"/>
      <c r="B2249" s="192" t="s">
        <v>3738</v>
      </c>
      <c r="C2249" s="2142">
        <v>0.01</v>
      </c>
      <c r="D2249" s="568"/>
      <c r="E2249" s="188"/>
      <c r="F2249" s="188"/>
      <c r="G2249" s="2122"/>
      <c r="H2249" s="568"/>
      <c r="I2249" s="2118"/>
      <c r="J2249" s="2134"/>
      <c r="K2249" s="2123">
        <f>ROUND(K2248*C2249,2)</f>
        <v>50.43</v>
      </c>
      <c r="L2249" s="192"/>
      <c r="M2249" s="568"/>
      <c r="O2249" s="1991"/>
      <c r="P2249" s="1706"/>
    </row>
    <row r="2250" spans="1:18" ht="12.75">
      <c r="A2250" s="2114"/>
      <c r="B2250" s="568"/>
      <c r="C2250" s="568"/>
      <c r="D2250" s="568"/>
      <c r="E2250" s="188"/>
      <c r="F2250" s="188"/>
      <c r="G2250" s="2122"/>
      <c r="H2250" s="568"/>
      <c r="I2250" s="2118"/>
      <c r="J2250" s="2126" t="s">
        <v>718</v>
      </c>
      <c r="K2250" s="2124">
        <f>SUM(K2248:K2249)</f>
        <v>5093.76</v>
      </c>
      <c r="L2250" s="192" t="s">
        <v>721</v>
      </c>
      <c r="M2250" s="568"/>
      <c r="O2250" s="1991">
        <f>K2250-O2247</f>
        <v>3409.5600000000004</v>
      </c>
      <c r="P2250" s="1706" t="s">
        <v>26</v>
      </c>
    </row>
    <row r="2251" spans="1:18" s="1706" customFormat="1" ht="12.75" hidden="1">
      <c r="A2251" s="2114" t="str">
        <f>A2118</f>
        <v>(iii)</v>
      </c>
      <c r="B2251" s="192" t="str">
        <f>B2118</f>
        <v>Superstructure of First Floor</v>
      </c>
      <c r="C2251" s="192"/>
      <c r="D2251" s="192"/>
      <c r="E2251" s="2120" t="str">
        <f>G623</f>
        <v>Each No</v>
      </c>
      <c r="F2251" s="2120"/>
      <c r="G2251" s="2141"/>
      <c r="H2251" s="192"/>
      <c r="I2251" s="2114"/>
      <c r="J2251" s="2124"/>
      <c r="K2251" s="2124"/>
      <c r="L2251" s="192"/>
      <c r="M2251" s="192"/>
    </row>
    <row r="2252" spans="1:18" ht="12.75" hidden="1">
      <c r="A2252" s="2114"/>
      <c r="B2252" s="568" t="s">
        <v>801</v>
      </c>
      <c r="C2252" s="568"/>
      <c r="D2252" s="568"/>
      <c r="E2252" s="188"/>
      <c r="F2252" s="188"/>
      <c r="G2252" s="2122"/>
      <c r="H2252" s="568"/>
      <c r="I2252" s="2118"/>
      <c r="J2252" s="2123"/>
      <c r="K2252" s="2123">
        <f>K2248</f>
        <v>5043.33</v>
      </c>
      <c r="L2252" s="192"/>
      <c r="M2252" s="568"/>
      <c r="N2252" s="2134" t="s">
        <v>718</v>
      </c>
    </row>
    <row r="2253" spans="1:18" ht="12.75" hidden="1">
      <c r="A2253" s="2114"/>
      <c r="B2253" s="568" t="s">
        <v>795</v>
      </c>
      <c r="C2253" s="568"/>
      <c r="D2253" s="568"/>
      <c r="E2253" s="188"/>
      <c r="F2253" s="188"/>
      <c r="G2253" s="2122"/>
      <c r="H2253" s="2135">
        <v>0.15</v>
      </c>
      <c r="I2253" s="2134">
        <f>K2234+K2247</f>
        <v>1684.2</v>
      </c>
      <c r="J2253" s="2123"/>
      <c r="K2253" s="2123">
        <f>ROUND((K2234+K2247)*15%,2)</f>
        <v>252.63</v>
      </c>
      <c r="L2253" s="192"/>
      <c r="M2253" s="568"/>
      <c r="O2253" s="1991">
        <f>O2247+K2253</f>
        <v>1936.83</v>
      </c>
      <c r="P2253" s="1706" t="s">
        <v>3149</v>
      </c>
      <c r="Q2253" s="1705">
        <v>1.88</v>
      </c>
      <c r="R2253" s="1705">
        <f>O2253*Q2253</f>
        <v>3641.2403999999997</v>
      </c>
    </row>
    <row r="2254" spans="1:18" ht="12.75" hidden="1">
      <c r="A2254" s="2114"/>
      <c r="B2254" s="568" t="s">
        <v>3664</v>
      </c>
      <c r="C2254" s="568"/>
      <c r="D2254" s="568"/>
      <c r="E2254" s="188"/>
      <c r="F2254" s="188"/>
      <c r="G2254" s="2122"/>
      <c r="H2254" s="2135">
        <f>H2236</f>
        <v>7.4999999999999997E-2</v>
      </c>
      <c r="I2254" s="2134">
        <f>K2253</f>
        <v>252.63</v>
      </c>
      <c r="J2254" s="2134"/>
      <c r="K2254" s="2123">
        <f>ROUND(I2254*H2254,2)</f>
        <v>18.95</v>
      </c>
      <c r="L2254" s="192"/>
      <c r="M2254" s="568"/>
      <c r="O2254" s="1991"/>
      <c r="P2254" s="1706"/>
    </row>
    <row r="2255" spans="1:18" ht="12.75" hidden="1">
      <c r="A2255" s="2114"/>
      <c r="B2255" s="568" t="s">
        <v>3665</v>
      </c>
      <c r="C2255" s="568"/>
      <c r="D2255" s="568"/>
      <c r="E2255" s="188"/>
      <c r="F2255" s="188"/>
      <c r="G2255" s="2122"/>
      <c r="H2255" s="2135">
        <f>H2254</f>
        <v>7.4999999999999997E-2</v>
      </c>
      <c r="I2255" s="2134">
        <f>I2254</f>
        <v>252.63</v>
      </c>
      <c r="J2255" s="2134"/>
      <c r="K2255" s="2123">
        <f>ROUND(I2255*H2255,2)</f>
        <v>18.95</v>
      </c>
      <c r="L2255" s="192"/>
      <c r="M2255" s="568"/>
      <c r="O2255" s="1991"/>
      <c r="P2255" s="1706"/>
    </row>
    <row r="2256" spans="1:18" ht="12.75" hidden="1">
      <c r="A2256" s="2114"/>
      <c r="B2256" s="568"/>
      <c r="C2256" s="568"/>
      <c r="D2256" s="568"/>
      <c r="E2256" s="188"/>
      <c r="F2256" s="188"/>
      <c r="G2256" s="2122"/>
      <c r="H2256" s="2135"/>
      <c r="I2256" s="2134"/>
      <c r="J2256" s="2134"/>
      <c r="K2256" s="2123">
        <f>SUM(K2252:K2255)</f>
        <v>5333.86</v>
      </c>
      <c r="L2256" s="192"/>
      <c r="M2256" s="568"/>
      <c r="O2256" s="1991"/>
      <c r="P2256" s="1706"/>
    </row>
    <row r="2257" spans="1:18" ht="12.75" hidden="1">
      <c r="A2257" s="2114"/>
      <c r="B2257" s="192" t="s">
        <v>3738</v>
      </c>
      <c r="C2257" s="2142">
        <v>0.01</v>
      </c>
      <c r="D2257" s="568"/>
      <c r="E2257" s="188"/>
      <c r="F2257" s="188"/>
      <c r="G2257" s="2122"/>
      <c r="H2257" s="568"/>
      <c r="I2257" s="2118"/>
      <c r="J2257" s="2134"/>
      <c r="K2257" s="2123">
        <f>ROUND(K2256*C2257,2)</f>
        <v>53.34</v>
      </c>
      <c r="L2257" s="192"/>
      <c r="M2257" s="568"/>
      <c r="O2257" s="1991"/>
      <c r="P2257" s="1706"/>
    </row>
    <row r="2258" spans="1:18" ht="12.75" hidden="1">
      <c r="A2258" s="2114"/>
      <c r="B2258" s="568"/>
      <c r="C2258" s="568"/>
      <c r="D2258" s="568"/>
      <c r="E2258" s="188"/>
      <c r="F2258" s="188"/>
      <c r="G2258" s="2122"/>
      <c r="H2258" s="568"/>
      <c r="I2258" s="2118"/>
      <c r="J2258" s="2126" t="s">
        <v>718</v>
      </c>
      <c r="K2258" s="2124">
        <f>SUM(K2256:K2257)</f>
        <v>5387.2</v>
      </c>
      <c r="L2258" s="192" t="s">
        <v>721</v>
      </c>
      <c r="M2258" s="568"/>
      <c r="O2258" s="1991">
        <f>K2258-O2253</f>
        <v>3450.37</v>
      </c>
      <c r="P2258" s="1706" t="s">
        <v>26</v>
      </c>
    </row>
    <row r="2259" spans="1:18" s="1706" customFormat="1" ht="12.75" hidden="1">
      <c r="A2259" s="2114" t="str">
        <f>A2124</f>
        <v>(iv)</v>
      </c>
      <c r="B2259" s="192" t="str">
        <f>B2124</f>
        <v>Superstructure of Second Floor</v>
      </c>
      <c r="C2259" s="192"/>
      <c r="D2259" s="192"/>
      <c r="E2259" s="2120" t="str">
        <f>G627</f>
        <v>Each Mtr</v>
      </c>
      <c r="F2259" s="2120"/>
      <c r="G2259" s="2141"/>
      <c r="H2259" s="192"/>
      <c r="I2259" s="2114"/>
      <c r="J2259" s="2124"/>
      <c r="K2259" s="2124"/>
      <c r="L2259" s="192"/>
      <c r="M2259" s="192"/>
    </row>
    <row r="2260" spans="1:18" ht="12.75" hidden="1">
      <c r="A2260" s="2114"/>
      <c r="B2260" s="568" t="str">
        <f>B2211</f>
        <v>Rate In Superstructure of First Floor.</v>
      </c>
      <c r="C2260" s="568"/>
      <c r="D2260" s="568"/>
      <c r="E2260" s="188"/>
      <c r="F2260" s="188"/>
      <c r="G2260" s="2122"/>
      <c r="H2260" s="568"/>
      <c r="I2260" s="2118"/>
      <c r="J2260" s="2123"/>
      <c r="K2260" s="2123">
        <f>K2256</f>
        <v>5333.86</v>
      </c>
      <c r="L2260" s="192"/>
      <c r="M2260" s="568"/>
    </row>
    <row r="2261" spans="1:18" ht="12.75" hidden="1">
      <c r="A2261" s="2114"/>
      <c r="B2261" s="568" t="s">
        <v>795</v>
      </c>
      <c r="C2261" s="568"/>
      <c r="D2261" s="568"/>
      <c r="E2261" s="188"/>
      <c r="F2261" s="188"/>
      <c r="G2261" s="2122"/>
      <c r="H2261" s="2135">
        <v>0.15</v>
      </c>
      <c r="I2261" s="2134">
        <f>I2253+K2253</f>
        <v>1936.83</v>
      </c>
      <c r="J2261" s="2123"/>
      <c r="K2261" s="2123">
        <f>K2253+ROUND(K2253*15%,2)</f>
        <v>290.52</v>
      </c>
      <c r="L2261" s="192"/>
      <c r="M2261" s="568"/>
      <c r="O2261" s="1991">
        <f>O2253+K2261</f>
        <v>2227.35</v>
      </c>
      <c r="P2261" s="1706" t="s">
        <v>3149</v>
      </c>
      <c r="Q2261" s="1705">
        <v>1.88</v>
      </c>
      <c r="R2261" s="1705">
        <f>O2261*Q2261</f>
        <v>4187.4179999999997</v>
      </c>
    </row>
    <row r="2262" spans="1:18" ht="12.75" hidden="1">
      <c r="A2262" s="2114"/>
      <c r="B2262" s="568" t="s">
        <v>3664</v>
      </c>
      <c r="C2262" s="568"/>
      <c r="D2262" s="568"/>
      <c r="E2262" s="188"/>
      <c r="F2262" s="188"/>
      <c r="G2262" s="2122"/>
      <c r="H2262" s="2135">
        <f>H2255</f>
        <v>7.4999999999999997E-2</v>
      </c>
      <c r="I2262" s="2134">
        <f>K2261</f>
        <v>290.52</v>
      </c>
      <c r="J2262" s="2134"/>
      <c r="K2262" s="2123">
        <f>ROUND(I2262*H2262,2)</f>
        <v>21.79</v>
      </c>
      <c r="L2262" s="192"/>
      <c r="M2262" s="568"/>
      <c r="O2262" s="1991"/>
      <c r="P2262" s="1706"/>
    </row>
    <row r="2263" spans="1:18" ht="12.75" hidden="1">
      <c r="A2263" s="2114"/>
      <c r="B2263" s="568" t="s">
        <v>3665</v>
      </c>
      <c r="C2263" s="568"/>
      <c r="D2263" s="568"/>
      <c r="E2263" s="188"/>
      <c r="F2263" s="188"/>
      <c r="G2263" s="2122"/>
      <c r="H2263" s="2135">
        <f>H2262</f>
        <v>7.4999999999999997E-2</v>
      </c>
      <c r="I2263" s="2134">
        <f>I2262</f>
        <v>290.52</v>
      </c>
      <c r="J2263" s="2134"/>
      <c r="K2263" s="2123">
        <f>ROUND(I2263*H2263,2)</f>
        <v>21.79</v>
      </c>
      <c r="L2263" s="192"/>
      <c r="M2263" s="568"/>
      <c r="O2263" s="1991"/>
      <c r="P2263" s="1706"/>
    </row>
    <row r="2264" spans="1:18" ht="12.75" hidden="1">
      <c r="A2264" s="2114"/>
      <c r="B2264" s="568"/>
      <c r="C2264" s="568"/>
      <c r="D2264" s="568"/>
      <c r="E2264" s="188"/>
      <c r="F2264" s="188"/>
      <c r="G2264" s="2122"/>
      <c r="H2264" s="2135"/>
      <c r="I2264" s="2134"/>
      <c r="J2264" s="2134"/>
      <c r="K2264" s="2123">
        <f>SUM(K2260:K2263)</f>
        <v>5667.9599999999991</v>
      </c>
      <c r="L2264" s="192"/>
      <c r="M2264" s="568"/>
      <c r="O2264" s="1991"/>
      <c r="P2264" s="1706"/>
    </row>
    <row r="2265" spans="1:18" ht="12.75" hidden="1">
      <c r="A2265" s="2114"/>
      <c r="B2265" s="192" t="s">
        <v>3738</v>
      </c>
      <c r="C2265" s="2142">
        <v>0.01</v>
      </c>
      <c r="D2265" s="568"/>
      <c r="E2265" s="188"/>
      <c r="F2265" s="188"/>
      <c r="G2265" s="2122"/>
      <c r="H2265" s="568"/>
      <c r="I2265" s="2118"/>
      <c r="J2265" s="2134"/>
      <c r="K2265" s="2123">
        <f>ROUND(K2264*C2265,2)</f>
        <v>56.68</v>
      </c>
      <c r="L2265" s="192"/>
      <c r="M2265" s="568"/>
      <c r="O2265" s="1991"/>
      <c r="P2265" s="1706"/>
    </row>
    <row r="2266" spans="1:18" ht="12.75" hidden="1">
      <c r="A2266" s="2114"/>
      <c r="B2266" s="568"/>
      <c r="C2266" s="568"/>
      <c r="D2266" s="568"/>
      <c r="E2266" s="188"/>
      <c r="F2266" s="188"/>
      <c r="G2266" s="2122"/>
      <c r="H2266" s="568"/>
      <c r="I2266" s="2118"/>
      <c r="J2266" s="2126" t="s">
        <v>718</v>
      </c>
      <c r="K2266" s="2124">
        <f>SUM(K2264:K2265)</f>
        <v>5724.6399999999994</v>
      </c>
      <c r="L2266" s="192" t="s">
        <v>721</v>
      </c>
      <c r="M2266" s="568"/>
      <c r="O2266" s="1991">
        <f>K2266-O2261</f>
        <v>3497.2899999999995</v>
      </c>
      <c r="P2266" s="1706" t="s">
        <v>26</v>
      </c>
    </row>
    <row r="2267" spans="1:18" s="1706" customFormat="1" ht="12.75" hidden="1">
      <c r="A2267" s="2114" t="str">
        <f>A2130</f>
        <v>(v)</v>
      </c>
      <c r="B2267" s="192" t="str">
        <f>B2130</f>
        <v>Superstructure of Third Floor</v>
      </c>
      <c r="C2267" s="192"/>
      <c r="D2267" s="192"/>
      <c r="E2267" s="2120" t="str">
        <f>G631</f>
        <v>Each No</v>
      </c>
      <c r="F2267" s="2120"/>
      <c r="G2267" s="2141"/>
      <c r="H2267" s="192"/>
      <c r="I2267" s="2114"/>
      <c r="J2267" s="2124"/>
      <c r="K2267" s="2124"/>
      <c r="L2267" s="192"/>
      <c r="M2267" s="192"/>
    </row>
    <row r="2268" spans="1:18" ht="12.75" hidden="1">
      <c r="A2268" s="2114"/>
      <c r="B2268" s="568" t="str">
        <f>B2217</f>
        <v>Rate In Superstructure of First Floor.</v>
      </c>
      <c r="C2268" s="568"/>
      <c r="D2268" s="568"/>
      <c r="E2268" s="188"/>
      <c r="F2268" s="188"/>
      <c r="G2268" s="2122"/>
      <c r="H2268" s="568"/>
      <c r="I2268" s="2118"/>
      <c r="J2268" s="2123"/>
      <c r="K2268" s="2123">
        <f>K2264</f>
        <v>5667.9599999999991</v>
      </c>
      <c r="L2268" s="192"/>
      <c r="M2268" s="568"/>
    </row>
    <row r="2269" spans="1:18" ht="12.75" hidden="1">
      <c r="A2269" s="2114"/>
      <c r="B2269" s="568" t="s">
        <v>795</v>
      </c>
      <c r="C2269" s="568"/>
      <c r="D2269" s="568"/>
      <c r="E2269" s="188"/>
      <c r="F2269" s="188"/>
      <c r="G2269" s="2122"/>
      <c r="H2269" s="2135">
        <v>0.15</v>
      </c>
      <c r="I2269" s="2134">
        <f>I2261+K2261</f>
        <v>2227.35</v>
      </c>
      <c r="J2269" s="2123"/>
      <c r="K2269" s="2123">
        <f>K2261+ROUND(K2261*15%,2)</f>
        <v>334.09999999999997</v>
      </c>
      <c r="L2269" s="192"/>
      <c r="M2269" s="568"/>
      <c r="O2269" s="1991">
        <f>O2261+K2269</f>
        <v>2561.4499999999998</v>
      </c>
      <c r="P2269" s="1706" t="s">
        <v>3149</v>
      </c>
      <c r="Q2269" s="1705">
        <v>1.88</v>
      </c>
      <c r="R2269" s="1705">
        <f>O2269*Q2269</f>
        <v>4815.5259999999998</v>
      </c>
    </row>
    <row r="2270" spans="1:18" ht="12.75" hidden="1">
      <c r="A2270" s="2114"/>
      <c r="B2270" s="568" t="s">
        <v>3664</v>
      </c>
      <c r="C2270" s="568"/>
      <c r="D2270" s="568"/>
      <c r="E2270" s="188"/>
      <c r="F2270" s="188"/>
      <c r="G2270" s="2122"/>
      <c r="H2270" s="2135">
        <f>H2263</f>
        <v>7.4999999999999997E-2</v>
      </c>
      <c r="I2270" s="2134">
        <f>K2269</f>
        <v>334.09999999999997</v>
      </c>
      <c r="J2270" s="2134"/>
      <c r="K2270" s="2123">
        <f>ROUND(I2270*H2270,2)</f>
        <v>25.06</v>
      </c>
      <c r="L2270" s="192"/>
      <c r="M2270" s="568"/>
      <c r="O2270" s="1991"/>
      <c r="P2270" s="1706"/>
    </row>
    <row r="2271" spans="1:18" ht="12.75" hidden="1">
      <c r="A2271" s="2114"/>
      <c r="B2271" s="568" t="s">
        <v>3665</v>
      </c>
      <c r="C2271" s="568"/>
      <c r="D2271" s="568"/>
      <c r="E2271" s="188"/>
      <c r="F2271" s="188"/>
      <c r="G2271" s="2122"/>
      <c r="H2271" s="2135">
        <f>H2270</f>
        <v>7.4999999999999997E-2</v>
      </c>
      <c r="I2271" s="2134">
        <f>I2270</f>
        <v>334.09999999999997</v>
      </c>
      <c r="J2271" s="2134"/>
      <c r="K2271" s="2123">
        <f>ROUND(I2271*H2271,2)</f>
        <v>25.06</v>
      </c>
      <c r="L2271" s="192"/>
      <c r="M2271" s="568"/>
      <c r="O2271" s="1991"/>
      <c r="P2271" s="1706"/>
    </row>
    <row r="2272" spans="1:18" ht="12.75" hidden="1">
      <c r="A2272" s="2114"/>
      <c r="B2272" s="568"/>
      <c r="C2272" s="568"/>
      <c r="D2272" s="568"/>
      <c r="E2272" s="188"/>
      <c r="F2272" s="188"/>
      <c r="G2272" s="2122"/>
      <c r="H2272" s="2135"/>
      <c r="I2272" s="2134"/>
      <c r="J2272" s="2134"/>
      <c r="K2272" s="2123">
        <f>SUM(K2268:K2271)</f>
        <v>6052.18</v>
      </c>
      <c r="L2272" s="192"/>
      <c r="M2272" s="568"/>
      <c r="O2272" s="1991"/>
      <c r="P2272" s="1706"/>
    </row>
    <row r="2273" spans="1:16" ht="12.75" hidden="1">
      <c r="A2273" s="2114"/>
      <c r="B2273" s="192" t="s">
        <v>3738</v>
      </c>
      <c r="C2273" s="2142">
        <v>0.01</v>
      </c>
      <c r="D2273" s="568"/>
      <c r="E2273" s="188"/>
      <c r="F2273" s="188"/>
      <c r="G2273" s="2122"/>
      <c r="H2273" s="568"/>
      <c r="I2273" s="2118"/>
      <c r="J2273" s="2134"/>
      <c r="K2273" s="2123">
        <f>ROUND(K2272*C2273,2)</f>
        <v>60.52</v>
      </c>
      <c r="L2273" s="192"/>
      <c r="M2273" s="568"/>
      <c r="O2273" s="1991"/>
      <c r="P2273" s="1706"/>
    </row>
    <row r="2274" spans="1:16" ht="12.75" hidden="1">
      <c r="A2274" s="2114"/>
      <c r="B2274" s="568"/>
      <c r="C2274" s="568"/>
      <c r="D2274" s="568"/>
      <c r="E2274" s="188"/>
      <c r="F2274" s="188"/>
      <c r="G2274" s="2122"/>
      <c r="H2274" s="568"/>
      <c r="I2274" s="2118"/>
      <c r="J2274" s="2126" t="s">
        <v>718</v>
      </c>
      <c r="K2274" s="2124">
        <f>SUM(K2272:K2273)</f>
        <v>6112.7000000000007</v>
      </c>
      <c r="L2274" s="192" t="s">
        <v>721</v>
      </c>
      <c r="M2274" s="568"/>
      <c r="O2274" s="1991">
        <f>K2274-O2269</f>
        <v>3551.2500000000009</v>
      </c>
      <c r="P2274" s="1706" t="s">
        <v>26</v>
      </c>
    </row>
    <row r="2275" spans="1:16" ht="40.35" customHeight="1">
      <c r="A2275" s="2114">
        <f>A447</f>
        <v>42</v>
      </c>
      <c r="B2275" s="3025" t="str">
        <f>B447</f>
        <v>Laterite stone masonry in cement mortar (1:6) using laterite stone of approved quality from approved quarry  etc. complete in all respect as directed by the Engineer-in-charge.</v>
      </c>
      <c r="C2275" s="3025"/>
      <c r="D2275" s="3025"/>
      <c r="E2275" s="3025"/>
      <c r="F2275" s="3025"/>
      <c r="G2275" s="3025"/>
      <c r="H2275" s="3025"/>
      <c r="I2275" s="2118"/>
      <c r="J2275" s="2124"/>
      <c r="K2275" s="2124"/>
      <c r="L2275" s="192"/>
      <c r="M2275" s="568"/>
    </row>
    <row r="2276" spans="1:16" ht="12.75">
      <c r="A2276" s="192" t="str">
        <f>A448</f>
        <v>(i)</v>
      </c>
      <c r="B2276" s="192" t="str">
        <f>B448</f>
        <v>Foundation &amp; Plinth</v>
      </c>
      <c r="C2276" s="568"/>
      <c r="D2276" s="568"/>
      <c r="E2276" s="2120" t="str">
        <f>G448</f>
        <v>Each Cum</v>
      </c>
      <c r="F2276" s="2120"/>
      <c r="G2276" s="568"/>
      <c r="H2276" s="2117"/>
      <c r="I2276" s="2118"/>
      <c r="J2276" s="2114"/>
      <c r="K2276" s="2124"/>
      <c r="L2276" s="2119"/>
      <c r="M2276" s="2118"/>
      <c r="N2276" s="1707"/>
      <c r="O2276" s="1707"/>
      <c r="P2276" s="1707"/>
    </row>
    <row r="2277" spans="1:16" ht="12.75">
      <c r="A2277" s="568"/>
      <c r="B2277" s="568" t="s">
        <v>777</v>
      </c>
      <c r="C2277" s="568"/>
      <c r="D2277" s="568"/>
      <c r="E2277" s="188"/>
      <c r="F2277" s="188"/>
      <c r="G2277" s="568"/>
      <c r="H2277" s="2117"/>
      <c r="I2277" s="2118"/>
      <c r="J2277" s="568"/>
      <c r="K2277" s="568"/>
      <c r="L2277" s="2119"/>
      <c r="M2277" s="2118"/>
      <c r="N2277" s="1707"/>
      <c r="O2277" s="1707"/>
      <c r="P2277" s="1707"/>
    </row>
    <row r="2278" spans="1:16" ht="12.75">
      <c r="A2278" s="568"/>
      <c r="B2278" s="192" t="s">
        <v>779</v>
      </c>
      <c r="C2278" s="568"/>
      <c r="D2278" s="568"/>
      <c r="E2278" s="188"/>
      <c r="F2278" s="188"/>
      <c r="G2278" s="2122"/>
      <c r="H2278" s="2117"/>
      <c r="I2278" s="2118"/>
      <c r="J2278" s="2123"/>
      <c r="K2278" s="2123"/>
      <c r="L2278" s="2119"/>
      <c r="M2278" s="2118"/>
      <c r="N2278" s="1707"/>
      <c r="O2278" s="1707"/>
      <c r="P2278" s="1707"/>
    </row>
    <row r="2279" spans="1:16" ht="12.75">
      <c r="A2279" s="568"/>
      <c r="B2279" s="2117" t="s">
        <v>805</v>
      </c>
      <c r="C2279" s="568"/>
      <c r="D2279" s="568"/>
      <c r="E2279" s="188"/>
      <c r="F2279" s="188"/>
      <c r="G2279" s="2123">
        <v>1</v>
      </c>
      <c r="H2279" s="2117" t="s">
        <v>49</v>
      </c>
      <c r="I2279" s="2118" t="s">
        <v>49</v>
      </c>
      <c r="J2279" s="2123">
        <f>G47</f>
        <v>749.2</v>
      </c>
      <c r="K2279" s="2123">
        <f>ROUND(G2279*J2279,2)</f>
        <v>749.2</v>
      </c>
      <c r="L2279" s="2119"/>
      <c r="M2279" s="2118"/>
      <c r="N2279" s="1707"/>
      <c r="O2279" s="1707"/>
      <c r="P2279" s="1707"/>
    </row>
    <row r="2280" spans="1:16" ht="12.75">
      <c r="A2280" s="568"/>
      <c r="B2280" s="568" t="s">
        <v>775</v>
      </c>
      <c r="C2280" s="568"/>
      <c r="D2280" s="568"/>
      <c r="E2280" s="188"/>
      <c r="F2280" s="188"/>
      <c r="G2280" s="2122">
        <v>0.24</v>
      </c>
      <c r="H2280" s="2117" t="s">
        <v>49</v>
      </c>
      <c r="I2280" s="2118" t="s">
        <v>49</v>
      </c>
      <c r="J2280" s="2123">
        <f>G46</f>
        <v>76.88</v>
      </c>
      <c r="K2280" s="2123">
        <f>ROUND(G2280*J2280,2)</f>
        <v>18.45</v>
      </c>
      <c r="L2280" s="2119"/>
      <c r="M2280" s="2118"/>
      <c r="N2280" s="1707"/>
      <c r="O2280" s="1707"/>
      <c r="P2280" s="1707"/>
    </row>
    <row r="2281" spans="1:16" ht="12.75">
      <c r="A2281" s="568"/>
      <c r="B2281" s="568" t="s">
        <v>8</v>
      </c>
      <c r="C2281" s="568"/>
      <c r="D2281" s="568"/>
      <c r="E2281" s="188"/>
      <c r="F2281" s="188"/>
      <c r="G2281" s="2122">
        <v>0.57199999999999995</v>
      </c>
      <c r="H2281" s="2117" t="s">
        <v>247</v>
      </c>
      <c r="I2281" s="2118" t="s">
        <v>247</v>
      </c>
      <c r="J2281" s="2123">
        <f>G50/10</f>
        <v>570.23400000000004</v>
      </c>
      <c r="K2281" s="2123">
        <f>ROUND(G2281*J2281,2)</f>
        <v>326.17</v>
      </c>
      <c r="L2281" s="2119"/>
      <c r="M2281" s="2118"/>
      <c r="N2281" s="1707"/>
      <c r="O2281" s="1707"/>
      <c r="P2281" s="1707"/>
    </row>
    <row r="2282" spans="1:16" ht="12.75">
      <c r="A2282" s="568"/>
      <c r="B2282" s="568"/>
      <c r="C2282" s="568"/>
      <c r="D2282" s="568"/>
      <c r="E2282" s="188"/>
      <c r="F2282" s="188"/>
      <c r="G2282" s="2122"/>
      <c r="H2282" s="2117"/>
      <c r="I2282" s="2118"/>
      <c r="J2282" s="2126" t="s">
        <v>718</v>
      </c>
      <c r="K2282" s="2124">
        <f>SUM(K2279:K2281)</f>
        <v>1093.8200000000002</v>
      </c>
      <c r="L2282" s="2119"/>
      <c r="M2282" s="2118"/>
      <c r="N2282" s="1707"/>
      <c r="O2282" s="1707"/>
      <c r="P2282" s="1707"/>
    </row>
    <row r="2283" spans="1:16" ht="12.75">
      <c r="A2283" s="568"/>
      <c r="B2283" s="192" t="s">
        <v>781</v>
      </c>
      <c r="C2283" s="568"/>
      <c r="D2283" s="568"/>
      <c r="E2283" s="188"/>
      <c r="F2283" s="188"/>
      <c r="G2283" s="2122"/>
      <c r="H2283" s="2117"/>
      <c r="I2283" s="2118"/>
      <c r="J2283" s="2123"/>
      <c r="K2283" s="2123"/>
      <c r="L2283" s="2119"/>
      <c r="M2283" s="2118"/>
      <c r="N2283" s="1707"/>
      <c r="O2283" s="1707"/>
      <c r="P2283" s="1707"/>
    </row>
    <row r="2284" spans="1:16" ht="12.75">
      <c r="A2284" s="568"/>
      <c r="B2284" s="568" t="s">
        <v>806</v>
      </c>
      <c r="C2284" s="568"/>
      <c r="D2284" s="568"/>
      <c r="E2284" s="188"/>
      <c r="F2284" s="188"/>
      <c r="G2284" s="2122">
        <v>2.12</v>
      </c>
      <c r="H2284" s="2117" t="s">
        <v>262</v>
      </c>
      <c r="I2284" s="2118" t="s">
        <v>38</v>
      </c>
      <c r="J2284" s="2123">
        <f>L137</f>
        <v>495</v>
      </c>
      <c r="K2284" s="2123">
        <f>ROUND(G2284*J2284,2)</f>
        <v>1049.4000000000001</v>
      </c>
      <c r="L2284" s="2119"/>
      <c r="M2284" s="2118"/>
      <c r="N2284" s="1707"/>
      <c r="O2284" s="1707"/>
      <c r="P2284" s="1707"/>
    </row>
    <row r="2285" spans="1:16" ht="12.75">
      <c r="A2285" s="568"/>
      <c r="B2285" s="568" t="s">
        <v>807</v>
      </c>
      <c r="C2285" s="568"/>
      <c r="D2285" s="568"/>
      <c r="E2285" s="188"/>
      <c r="F2285" s="188"/>
      <c r="G2285" s="2122">
        <v>1.41</v>
      </c>
      <c r="H2285" s="2117" t="s">
        <v>262</v>
      </c>
      <c r="I2285" s="2118" t="s">
        <v>38</v>
      </c>
      <c r="J2285" s="2123">
        <f>L135</f>
        <v>385</v>
      </c>
      <c r="K2285" s="2123">
        <f>ROUND(G2285*J2285,2)</f>
        <v>542.85</v>
      </c>
      <c r="L2285" s="2119"/>
      <c r="M2285" s="2118"/>
      <c r="N2285" s="1707"/>
      <c r="O2285" s="1707"/>
      <c r="P2285" s="1707"/>
    </row>
    <row r="2286" spans="1:16" ht="12.75">
      <c r="A2286" s="568"/>
      <c r="B2286" s="568" t="s">
        <v>797</v>
      </c>
      <c r="C2286" s="568"/>
      <c r="D2286" s="568"/>
      <c r="E2286" s="188"/>
      <c r="F2286" s="188"/>
      <c r="G2286" s="2122">
        <v>0.17499999999999999</v>
      </c>
      <c r="H2286" s="2117" t="s">
        <v>262</v>
      </c>
      <c r="I2286" s="2118" t="s">
        <v>38</v>
      </c>
      <c r="J2286" s="2123">
        <f>L137</f>
        <v>495</v>
      </c>
      <c r="K2286" s="2123">
        <f>ROUND(G2286*J2286,2)</f>
        <v>86.63</v>
      </c>
      <c r="L2286" s="2119"/>
      <c r="M2286" s="2118"/>
      <c r="N2286" s="1707"/>
      <c r="O2286" s="1707"/>
      <c r="P2286" s="1707"/>
    </row>
    <row r="2287" spans="1:16" ht="12.75">
      <c r="A2287" s="568"/>
      <c r="B2287" s="568" t="s">
        <v>782</v>
      </c>
      <c r="C2287" s="568"/>
      <c r="D2287" s="568"/>
      <c r="E2287" s="188"/>
      <c r="F2287" s="188"/>
      <c r="G2287" s="2122">
        <v>1.05</v>
      </c>
      <c r="H2287" s="2117" t="s">
        <v>262</v>
      </c>
      <c r="I2287" s="2118" t="s">
        <v>38</v>
      </c>
      <c r="J2287" s="2123">
        <f>L136</f>
        <v>435</v>
      </c>
      <c r="K2287" s="2123">
        <f>ROUND(G2287*J2287,2)</f>
        <v>456.75</v>
      </c>
      <c r="L2287" s="2119"/>
      <c r="M2287" s="2118"/>
      <c r="N2287" s="1707"/>
      <c r="O2287" s="1707"/>
      <c r="P2287" s="1707"/>
    </row>
    <row r="2288" spans="1:16" ht="12.75">
      <c r="A2288" s="568"/>
      <c r="B2288" s="568" t="s">
        <v>717</v>
      </c>
      <c r="C2288" s="568"/>
      <c r="D2288" s="568"/>
      <c r="E2288" s="188"/>
      <c r="F2288" s="188"/>
      <c r="G2288" s="2122">
        <v>1.21</v>
      </c>
      <c r="H2288" s="2117" t="s">
        <v>262</v>
      </c>
      <c r="I2288" s="2118" t="s">
        <v>38</v>
      </c>
      <c r="J2288" s="2123">
        <f>L134</f>
        <v>345</v>
      </c>
      <c r="K2288" s="2123">
        <f>ROUND(G2288*J2288,2)</f>
        <v>417.45</v>
      </c>
      <c r="L2288" s="2119"/>
      <c r="M2288" s="2118"/>
      <c r="N2288" s="1707"/>
      <c r="O2288" s="1707"/>
      <c r="P2288" s="1707"/>
    </row>
    <row r="2289" spans="1:16" ht="12.75">
      <c r="A2289" s="568"/>
      <c r="B2289" s="568"/>
      <c r="C2289" s="568"/>
      <c r="D2289" s="568"/>
      <c r="E2289" s="188"/>
      <c r="F2289" s="188"/>
      <c r="G2289" s="2122"/>
      <c r="H2289" s="2117"/>
      <c r="I2289" s="2118"/>
      <c r="J2289" s="2126" t="s">
        <v>718</v>
      </c>
      <c r="K2289" s="2124">
        <f>SUM(K2284:K2288)</f>
        <v>2553.08</v>
      </c>
      <c r="L2289" s="2119"/>
      <c r="M2289" s="2118"/>
      <c r="N2289" s="1707"/>
      <c r="O2289" s="1707"/>
      <c r="P2289" s="1707"/>
    </row>
    <row r="2290" spans="1:16" ht="12.75">
      <c r="A2290" s="2114"/>
      <c r="B2290" s="568" t="s">
        <v>3662</v>
      </c>
      <c r="C2290" s="568"/>
      <c r="D2290" s="568"/>
      <c r="E2290" s="188"/>
      <c r="F2290" s="188"/>
      <c r="G2290" s="2122"/>
      <c r="H2290" s="2135">
        <f>H2271</f>
        <v>7.4999999999999997E-2</v>
      </c>
      <c r="I2290" s="2134">
        <f>K2282+K2289</f>
        <v>3646.9</v>
      </c>
      <c r="J2290" s="2134"/>
      <c r="K2290" s="2123">
        <f>ROUND(I2290*H2290,2)</f>
        <v>273.52</v>
      </c>
      <c r="L2290" s="192"/>
      <c r="M2290" s="568"/>
    </row>
    <row r="2291" spans="1:16" ht="12.75">
      <c r="A2291" s="2114"/>
      <c r="B2291" s="568" t="s">
        <v>3661</v>
      </c>
      <c r="C2291" s="568"/>
      <c r="D2291" s="568"/>
      <c r="E2291" s="188"/>
      <c r="F2291" s="188"/>
      <c r="G2291" s="2122"/>
      <c r="H2291" s="2135">
        <f>H2290</f>
        <v>7.4999999999999997E-2</v>
      </c>
      <c r="I2291" s="2134">
        <f>I2290</f>
        <v>3646.9</v>
      </c>
      <c r="J2291" s="2134"/>
      <c r="K2291" s="2123">
        <f>ROUND(I2291*H2291,2)</f>
        <v>273.52</v>
      </c>
      <c r="L2291" s="192"/>
      <c r="M2291" s="568"/>
    </row>
    <row r="2292" spans="1:16" ht="12.75">
      <c r="A2292" s="568"/>
      <c r="B2292" s="192" t="s">
        <v>783</v>
      </c>
      <c r="C2292" s="568"/>
      <c r="D2292" s="568"/>
      <c r="E2292" s="188"/>
      <c r="F2292" s="188"/>
      <c r="G2292" s="2122"/>
      <c r="H2292" s="2117"/>
      <c r="I2292" s="2118"/>
      <c r="J2292" s="2123"/>
      <c r="K2292" s="2123"/>
      <c r="L2292" s="2119"/>
      <c r="M2292" s="2118"/>
      <c r="N2292" s="1707"/>
      <c r="O2292" s="1707"/>
      <c r="P2292" s="1707"/>
    </row>
    <row r="2293" spans="1:16" ht="12.75">
      <c r="A2293" s="568"/>
      <c r="B2293" s="2117" t="str">
        <f>B2279</f>
        <v>Laterite stone</v>
      </c>
      <c r="C2293" s="568"/>
      <c r="D2293" s="568"/>
      <c r="E2293" s="188"/>
      <c r="F2293" s="188"/>
      <c r="G2293" s="2123">
        <f>G2279</f>
        <v>1</v>
      </c>
      <c r="H2293" s="2117" t="s">
        <v>262</v>
      </c>
      <c r="I2293" s="2118" t="s">
        <v>262</v>
      </c>
      <c r="J2293" s="2123">
        <f>K47</f>
        <v>845.11</v>
      </c>
      <c r="K2293" s="2123">
        <f>ROUND(G2293*J2293,2)</f>
        <v>845.11</v>
      </c>
      <c r="L2293" s="2119"/>
      <c r="M2293" s="2118"/>
      <c r="N2293" s="1707"/>
      <c r="O2293" s="1707"/>
      <c r="P2293" s="1707"/>
    </row>
    <row r="2294" spans="1:16" ht="12.75">
      <c r="A2294" s="568"/>
      <c r="B2294" s="568" t="s">
        <v>775</v>
      </c>
      <c r="C2294" s="568"/>
      <c r="D2294" s="568"/>
      <c r="E2294" s="188"/>
      <c r="F2294" s="188"/>
      <c r="G2294" s="2122">
        <f>G2280</f>
        <v>0.24</v>
      </c>
      <c r="H2294" s="2117" t="s">
        <v>49</v>
      </c>
      <c r="I2294" s="2118" t="s">
        <v>49</v>
      </c>
      <c r="J2294" s="2123">
        <f>K46</f>
        <v>717.46</v>
      </c>
      <c r="K2294" s="2123">
        <f>ROUND(G2294*J2294,2)</f>
        <v>172.19</v>
      </c>
      <c r="L2294" s="2119"/>
      <c r="M2294" s="2118"/>
      <c r="N2294" s="1707"/>
      <c r="O2294" s="1707"/>
      <c r="P2294" s="1707"/>
    </row>
    <row r="2295" spans="1:16" ht="12.75">
      <c r="A2295" s="568"/>
      <c r="B2295" s="568" t="s">
        <v>8</v>
      </c>
      <c r="C2295" s="568"/>
      <c r="D2295" s="568"/>
      <c r="E2295" s="188"/>
      <c r="F2295" s="188"/>
      <c r="G2295" s="2122">
        <f>G2281</f>
        <v>0.57199999999999995</v>
      </c>
      <c r="H2295" s="2117" t="s">
        <v>247</v>
      </c>
      <c r="I2295" s="2118" t="s">
        <v>247</v>
      </c>
      <c r="J2295" s="2123">
        <f>K50/10</f>
        <v>42.622</v>
      </c>
      <c r="K2295" s="2123">
        <f>ROUND(G2295*J2295,2)</f>
        <v>24.38</v>
      </c>
      <c r="L2295" s="2119"/>
      <c r="M2295" s="2118"/>
      <c r="N2295" s="1707"/>
      <c r="O2295" s="1707"/>
      <c r="P2295" s="1707"/>
    </row>
    <row r="2296" spans="1:16" ht="12.75">
      <c r="A2296" s="568"/>
      <c r="B2296" s="568"/>
      <c r="C2296" s="568"/>
      <c r="D2296" s="568"/>
      <c r="E2296" s="188"/>
      <c r="F2296" s="188"/>
      <c r="G2296" s="2122"/>
      <c r="H2296" s="2117"/>
      <c r="I2296" s="2118"/>
      <c r="J2296" s="2126" t="s">
        <v>718</v>
      </c>
      <c r="K2296" s="2124">
        <f>SUM(K2293:K2295)</f>
        <v>1041.68</v>
      </c>
      <c r="L2296" s="2119"/>
      <c r="M2296" s="2118"/>
      <c r="N2296" s="1707"/>
      <c r="O2296" s="1991">
        <f>K2289</f>
        <v>2553.08</v>
      </c>
      <c r="P2296" s="1706" t="s">
        <v>3149</v>
      </c>
    </row>
    <row r="2297" spans="1:16" ht="12.75">
      <c r="A2297" s="568"/>
      <c r="B2297" s="192" t="s">
        <v>785</v>
      </c>
      <c r="C2297" s="568"/>
      <c r="D2297" s="568"/>
      <c r="E2297" s="188"/>
      <c r="F2297" s="188"/>
      <c r="G2297" s="2161"/>
      <c r="H2297" s="2117"/>
      <c r="I2297" s="2118"/>
      <c r="J2297" s="2123"/>
      <c r="K2297" s="2124">
        <f>K2282+K2289+K2290+K2291+K2296</f>
        <v>5235.6200000000008</v>
      </c>
      <c r="L2297" s="2119"/>
      <c r="M2297" s="2118"/>
      <c r="N2297" s="1707"/>
      <c r="O2297" s="1991">
        <f>K2297-O2296</f>
        <v>2682.5400000000009</v>
      </c>
      <c r="P2297" s="1706" t="s">
        <v>26</v>
      </c>
    </row>
    <row r="2298" spans="1:16" ht="12.75">
      <c r="A2298" s="568"/>
      <c r="B2298" s="192"/>
      <c r="C2298" s="568"/>
      <c r="D2298" s="568"/>
      <c r="E2298" s="188"/>
      <c r="F2298" s="188"/>
      <c r="G2298" s="2161"/>
      <c r="H2298" s="2117"/>
      <c r="I2298" s="2118"/>
      <c r="J2298" s="192" t="s">
        <v>379</v>
      </c>
      <c r="K2298" s="2124">
        <f>ROUND(K2297,1)</f>
        <v>5235.6000000000004</v>
      </c>
      <c r="L2298" s="2119" t="s">
        <v>721</v>
      </c>
      <c r="M2298" s="2118"/>
      <c r="N2298" s="1707"/>
    </row>
    <row r="2299" spans="1:16" ht="12.75">
      <c r="A2299" s="192" t="str">
        <f>A449</f>
        <v>(ii)</v>
      </c>
      <c r="B2299" s="192" t="str">
        <f>B449</f>
        <v>Superstructure of Ground Floor</v>
      </c>
      <c r="C2299" s="568"/>
      <c r="D2299" s="568"/>
      <c r="E2299" s="2120" t="str">
        <f>G449</f>
        <v>Each Cum</v>
      </c>
      <c r="F2299" s="2120"/>
      <c r="G2299" s="568"/>
      <c r="H2299" s="2117"/>
      <c r="I2299" s="2118"/>
      <c r="J2299" s="2114"/>
      <c r="K2299" s="2124"/>
      <c r="L2299" s="2119"/>
      <c r="M2299" s="2118"/>
      <c r="N2299" s="1707"/>
      <c r="O2299" s="1706"/>
      <c r="P2299" s="1706"/>
    </row>
    <row r="2300" spans="1:16" ht="12.75">
      <c r="A2300" s="568"/>
      <c r="B2300" s="568" t="s">
        <v>799</v>
      </c>
      <c r="C2300" s="568"/>
      <c r="D2300" s="568"/>
      <c r="E2300" s="188"/>
      <c r="F2300" s="188"/>
      <c r="G2300" s="568"/>
      <c r="H2300" s="2117"/>
      <c r="I2300" s="2118"/>
      <c r="J2300" s="2114"/>
      <c r="K2300" s="2124">
        <f>K2297</f>
        <v>5235.6200000000008</v>
      </c>
      <c r="L2300" s="2119"/>
      <c r="M2300" s="2118"/>
      <c r="N2300" s="1707"/>
    </row>
    <row r="2301" spans="1:16" ht="12.75">
      <c r="A2301" s="568"/>
      <c r="B2301" s="568" t="s">
        <v>800</v>
      </c>
      <c r="C2301" s="568"/>
      <c r="D2301" s="568"/>
      <c r="E2301" s="188"/>
      <c r="F2301" s="188"/>
      <c r="G2301" s="568"/>
      <c r="H2301" s="2117"/>
      <c r="I2301" s="2118"/>
      <c r="J2301" s="2114"/>
      <c r="K2301" s="2124">
        <f>G227</f>
        <v>41.9</v>
      </c>
      <c r="L2301" s="2119"/>
      <c r="M2301" s="2118"/>
      <c r="N2301" s="1707"/>
      <c r="O2301" s="1991">
        <f>O2296+K2301</f>
        <v>2594.98</v>
      </c>
      <c r="P2301" s="1706" t="s">
        <v>3149</v>
      </c>
    </row>
    <row r="2302" spans="1:16" ht="12.75">
      <c r="A2302" s="568"/>
      <c r="B2302" s="568"/>
      <c r="C2302" s="568"/>
      <c r="D2302" s="568"/>
      <c r="E2302" s="188"/>
      <c r="F2302" s="188"/>
      <c r="G2302" s="568"/>
      <c r="H2302" s="2117"/>
      <c r="I2302" s="2118"/>
      <c r="J2302" s="2126" t="s">
        <v>718</v>
      </c>
      <c r="K2302" s="2124">
        <f>SUM(K2300:K2301)</f>
        <v>5277.52</v>
      </c>
      <c r="L2302" s="2119"/>
      <c r="M2302" s="2118"/>
      <c r="N2302" s="1707"/>
      <c r="O2302" s="1991">
        <f>K2302-O2301</f>
        <v>2682.5400000000004</v>
      </c>
      <c r="P2302" s="1706" t="s">
        <v>26</v>
      </c>
    </row>
    <row r="2303" spans="1:16" ht="12.75">
      <c r="A2303" s="568"/>
      <c r="B2303" s="568"/>
      <c r="C2303" s="568"/>
      <c r="D2303" s="568"/>
      <c r="E2303" s="188"/>
      <c r="F2303" s="188"/>
      <c r="G2303" s="568"/>
      <c r="H2303" s="2117"/>
      <c r="I2303" s="2118"/>
      <c r="J2303" s="192" t="s">
        <v>379</v>
      </c>
      <c r="K2303" s="2124">
        <f>ROUND(K2302,1)</f>
        <v>5277.5</v>
      </c>
      <c r="L2303" s="2119" t="s">
        <v>721</v>
      </c>
      <c r="M2303" s="2118"/>
      <c r="N2303" s="1707"/>
      <c r="O2303" s="1706"/>
      <c r="P2303" s="1706"/>
    </row>
    <row r="2304" spans="1:16" s="1706" customFormat="1" ht="12.75" hidden="1">
      <c r="A2304" s="2114" t="s">
        <v>373</v>
      </c>
      <c r="B2304" s="192" t="str">
        <f>B2251</f>
        <v>Superstructure of First Floor</v>
      </c>
      <c r="C2304" s="192"/>
      <c r="D2304" s="192"/>
      <c r="E2304" s="2120" t="str">
        <f>G663</f>
        <v>Each Sqm</v>
      </c>
      <c r="F2304" s="2120"/>
      <c r="G2304" s="2141"/>
      <c r="H2304" s="192"/>
      <c r="I2304" s="2114"/>
      <c r="J2304" s="2124"/>
      <c r="K2304" s="2124"/>
      <c r="L2304" s="192"/>
      <c r="M2304" s="192"/>
      <c r="O2304" s="1705"/>
      <c r="P2304" s="1705"/>
    </row>
    <row r="2305" spans="1:16" ht="12.75" hidden="1">
      <c r="A2305" s="2114"/>
      <c r="B2305" s="568" t="s">
        <v>801</v>
      </c>
      <c r="C2305" s="568"/>
      <c r="D2305" s="568"/>
      <c r="E2305" s="188"/>
      <c r="F2305" s="188"/>
      <c r="G2305" s="2122"/>
      <c r="H2305" s="568"/>
      <c r="I2305" s="2118"/>
      <c r="J2305" s="2123"/>
      <c r="K2305" s="2123">
        <f>K2303</f>
        <v>5277.5</v>
      </c>
      <c r="L2305" s="192"/>
      <c r="M2305" s="568"/>
    </row>
    <row r="2306" spans="1:16" ht="12.75" hidden="1">
      <c r="A2306" s="2114"/>
      <c r="B2306" s="568" t="s">
        <v>795</v>
      </c>
      <c r="C2306" s="568"/>
      <c r="D2306" s="568"/>
      <c r="E2306" s="188"/>
      <c r="F2306" s="188"/>
      <c r="G2306" s="2122"/>
      <c r="H2306" s="2160">
        <f>H2269</f>
        <v>0.15</v>
      </c>
      <c r="I2306" s="2134">
        <f>K2289+K2301</f>
        <v>2594.98</v>
      </c>
      <c r="J2306" s="2123"/>
      <c r="K2306" s="2123">
        <f>ROUND((K2289+K2301)*15%,2)</f>
        <v>389.25</v>
      </c>
      <c r="L2306" s="192"/>
      <c r="M2306" s="568"/>
      <c r="O2306" s="1991">
        <f>O2301+K2306</f>
        <v>2984.23</v>
      </c>
      <c r="P2306" s="1706" t="s">
        <v>3149</v>
      </c>
    </row>
    <row r="2307" spans="1:16" ht="12.75" hidden="1">
      <c r="A2307" s="2114"/>
      <c r="B2307" s="568" t="s">
        <v>3664</v>
      </c>
      <c r="C2307" s="568"/>
      <c r="D2307" s="568"/>
      <c r="E2307" s="188"/>
      <c r="F2307" s="188"/>
      <c r="G2307" s="2122"/>
      <c r="H2307" s="2135">
        <f>H2291</f>
        <v>7.4999999999999997E-2</v>
      </c>
      <c r="I2307" s="2134">
        <f>K2306</f>
        <v>389.25</v>
      </c>
      <c r="J2307" s="2134"/>
      <c r="K2307" s="2123">
        <f>ROUND(I2307*H2307,2)</f>
        <v>29.19</v>
      </c>
      <c r="L2307" s="192"/>
      <c r="M2307" s="568"/>
      <c r="O2307" s="1991"/>
      <c r="P2307" s="1706"/>
    </row>
    <row r="2308" spans="1:16" ht="12.75" hidden="1">
      <c r="A2308" s="2114"/>
      <c r="B2308" s="568" t="s">
        <v>3665</v>
      </c>
      <c r="C2308" s="568"/>
      <c r="D2308" s="568"/>
      <c r="E2308" s="188"/>
      <c r="F2308" s="188"/>
      <c r="G2308" s="2122"/>
      <c r="H2308" s="2135">
        <f>H2307</f>
        <v>7.4999999999999997E-2</v>
      </c>
      <c r="I2308" s="2134">
        <f>I2307</f>
        <v>389.25</v>
      </c>
      <c r="J2308" s="2134"/>
      <c r="K2308" s="2123">
        <f>ROUND(I2308*H2308,2)</f>
        <v>29.19</v>
      </c>
      <c r="L2308" s="192"/>
      <c r="M2308" s="568"/>
      <c r="O2308" s="1991"/>
      <c r="P2308" s="1706"/>
    </row>
    <row r="2309" spans="1:16" ht="12.75" hidden="1">
      <c r="A2309" s="2114"/>
      <c r="B2309" s="568"/>
      <c r="C2309" s="568"/>
      <c r="D2309" s="568"/>
      <c r="E2309" s="188"/>
      <c r="F2309" s="188"/>
      <c r="G2309" s="2122"/>
      <c r="H2309" s="568"/>
      <c r="I2309" s="2118"/>
      <c r="J2309" s="2126" t="s">
        <v>718</v>
      </c>
      <c r="K2309" s="2124">
        <f>SUM(K2305:K2308)</f>
        <v>5725.1299999999992</v>
      </c>
      <c r="L2309" s="192" t="s">
        <v>721</v>
      </c>
      <c r="M2309" s="568"/>
      <c r="O2309" s="1991">
        <f>K2309-O2306</f>
        <v>2740.8999999999992</v>
      </c>
      <c r="P2309" s="1706" t="s">
        <v>26</v>
      </c>
    </row>
    <row r="2310" spans="1:16" s="1706" customFormat="1" ht="12.75" hidden="1">
      <c r="A2310" s="2114" t="str">
        <f>A451</f>
        <v>(iv)</v>
      </c>
      <c r="B2310" s="192" t="str">
        <f>B451</f>
        <v>Superstructure of Second Floor</v>
      </c>
      <c r="C2310" s="192"/>
      <c r="D2310" s="192"/>
      <c r="E2310" s="2120" t="str">
        <f>G668</f>
        <v>Each Sqm</v>
      </c>
      <c r="F2310" s="2120"/>
      <c r="G2310" s="2141"/>
      <c r="H2310" s="192"/>
      <c r="I2310" s="2114"/>
      <c r="J2310" s="2124"/>
      <c r="K2310" s="2124"/>
      <c r="L2310" s="192"/>
      <c r="M2310" s="192"/>
      <c r="O2310" s="1705"/>
      <c r="P2310" s="1705"/>
    </row>
    <row r="2311" spans="1:16" ht="12.75" hidden="1">
      <c r="A2311" s="2114"/>
      <c r="B2311" s="568" t="str">
        <f>B2260</f>
        <v>Rate In Superstructure of First Floor.</v>
      </c>
      <c r="C2311" s="568"/>
      <c r="D2311" s="568"/>
      <c r="E2311" s="188"/>
      <c r="F2311" s="188"/>
      <c r="G2311" s="2122"/>
      <c r="H2311" s="568"/>
      <c r="I2311" s="2118"/>
      <c r="J2311" s="2123"/>
      <c r="K2311" s="2123">
        <f>K2309</f>
        <v>5725.1299999999992</v>
      </c>
      <c r="L2311" s="192"/>
      <c r="M2311" s="568"/>
    </row>
    <row r="2312" spans="1:16" ht="12.75" hidden="1">
      <c r="A2312" s="2114"/>
      <c r="B2312" s="568" t="s">
        <v>795</v>
      </c>
      <c r="C2312" s="568"/>
      <c r="D2312" s="568"/>
      <c r="E2312" s="188"/>
      <c r="F2312" s="188"/>
      <c r="G2312" s="2122"/>
      <c r="H2312" s="2160">
        <f>H2306</f>
        <v>0.15</v>
      </c>
      <c r="I2312" s="2134">
        <f>I2306+K2306</f>
        <v>2984.23</v>
      </c>
      <c r="J2312" s="2123"/>
      <c r="K2312" s="2123">
        <f>K2306+ROUND(K2306*15%,2)</f>
        <v>447.64</v>
      </c>
      <c r="L2312" s="192"/>
      <c r="M2312" s="568"/>
      <c r="O2312" s="1991">
        <f>O2305+K2312</f>
        <v>447.64</v>
      </c>
      <c r="P2312" s="1706" t="s">
        <v>3149</v>
      </c>
    </row>
    <row r="2313" spans="1:16" ht="12.75" hidden="1">
      <c r="A2313" s="2114"/>
      <c r="B2313" s="568" t="s">
        <v>3664</v>
      </c>
      <c r="C2313" s="568"/>
      <c r="D2313" s="568"/>
      <c r="E2313" s="188"/>
      <c r="F2313" s="188"/>
      <c r="G2313" s="2122"/>
      <c r="H2313" s="2135">
        <f>H2308</f>
        <v>7.4999999999999997E-2</v>
      </c>
      <c r="I2313" s="2134">
        <f>K2312</f>
        <v>447.64</v>
      </c>
      <c r="J2313" s="2134"/>
      <c r="K2313" s="2123">
        <f>ROUND(I2313*H2313,2)</f>
        <v>33.57</v>
      </c>
      <c r="L2313" s="192"/>
      <c r="M2313" s="568"/>
      <c r="O2313" s="1991"/>
      <c r="P2313" s="1706"/>
    </row>
    <row r="2314" spans="1:16" ht="12.75" hidden="1">
      <c r="A2314" s="2114"/>
      <c r="B2314" s="568" t="s">
        <v>3665</v>
      </c>
      <c r="C2314" s="568"/>
      <c r="D2314" s="568"/>
      <c r="E2314" s="188"/>
      <c r="F2314" s="188"/>
      <c r="G2314" s="2122"/>
      <c r="H2314" s="2135">
        <f>H2313</f>
        <v>7.4999999999999997E-2</v>
      </c>
      <c r="I2314" s="2134">
        <f>I2313</f>
        <v>447.64</v>
      </c>
      <c r="J2314" s="2134"/>
      <c r="K2314" s="2123">
        <f>ROUND(I2314*H2314,2)</f>
        <v>33.57</v>
      </c>
      <c r="L2314" s="192"/>
      <c r="M2314" s="568"/>
      <c r="O2314" s="1991"/>
      <c r="P2314" s="1706"/>
    </row>
    <row r="2315" spans="1:16" ht="12.75" hidden="1">
      <c r="A2315" s="2114"/>
      <c r="B2315" s="568"/>
      <c r="C2315" s="568"/>
      <c r="D2315" s="568"/>
      <c r="E2315" s="188"/>
      <c r="F2315" s="188"/>
      <c r="G2315" s="2122"/>
      <c r="H2315" s="568"/>
      <c r="I2315" s="2118"/>
      <c r="J2315" s="2126" t="s">
        <v>718</v>
      </c>
      <c r="K2315" s="2124">
        <f>SUM(K2311:K2314)</f>
        <v>6239.9099999999989</v>
      </c>
      <c r="L2315" s="192" t="s">
        <v>721</v>
      </c>
      <c r="M2315" s="568"/>
      <c r="O2315" s="1991">
        <f>K2315-O2312</f>
        <v>5792.2699999999986</v>
      </c>
      <c r="P2315" s="1706" t="s">
        <v>26</v>
      </c>
    </row>
    <row r="2316" spans="1:16" s="1706" customFormat="1" ht="12.75" hidden="1">
      <c r="A2316" s="2114" t="str">
        <f>A452</f>
        <v>(v)</v>
      </c>
      <c r="B2316" s="192" t="str">
        <f>B452</f>
        <v>Superstructure of Third Floor</v>
      </c>
      <c r="C2316" s="192"/>
      <c r="D2316" s="192"/>
      <c r="E2316" s="2120" t="str">
        <f>G672</f>
        <v>Each Sqm</v>
      </c>
      <c r="F2316" s="2120"/>
      <c r="G2316" s="2141"/>
      <c r="H2316" s="192"/>
      <c r="I2316" s="2114"/>
      <c r="J2316" s="2124"/>
      <c r="K2316" s="2124"/>
      <c r="L2316" s="192"/>
      <c r="M2316" s="192"/>
      <c r="O2316" s="1705"/>
      <c r="P2316" s="1705"/>
    </row>
    <row r="2317" spans="1:16" ht="12.75" hidden="1">
      <c r="A2317" s="2114"/>
      <c r="B2317" s="568" t="str">
        <f>B2268</f>
        <v>Rate In Superstructure of First Floor.</v>
      </c>
      <c r="C2317" s="568"/>
      <c r="D2317" s="568"/>
      <c r="E2317" s="188"/>
      <c r="F2317" s="188"/>
      <c r="G2317" s="2122"/>
      <c r="H2317" s="568"/>
      <c r="I2317" s="2118"/>
      <c r="J2317" s="2123"/>
      <c r="K2317" s="2123">
        <f>K2315</f>
        <v>6239.9099999999989</v>
      </c>
      <c r="L2317" s="192"/>
      <c r="M2317" s="568"/>
    </row>
    <row r="2318" spans="1:16" ht="12.75" hidden="1">
      <c r="A2318" s="2114"/>
      <c r="B2318" s="568" t="s">
        <v>795</v>
      </c>
      <c r="C2318" s="568"/>
      <c r="D2318" s="568"/>
      <c r="E2318" s="188"/>
      <c r="F2318" s="188"/>
      <c r="G2318" s="2122"/>
      <c r="H2318" s="2160">
        <f>H2312</f>
        <v>0.15</v>
      </c>
      <c r="I2318" s="2134">
        <f>I2312+K2312</f>
        <v>3431.87</v>
      </c>
      <c r="J2318" s="2123"/>
      <c r="K2318" s="2123">
        <f>K2312+ROUND(K2312*15%,2)</f>
        <v>514.79</v>
      </c>
      <c r="L2318" s="192"/>
      <c r="M2318" s="568"/>
      <c r="O2318" s="1991">
        <f>O2311+K2318</f>
        <v>514.79</v>
      </c>
      <c r="P2318" s="1706" t="s">
        <v>3149</v>
      </c>
    </row>
    <row r="2319" spans="1:16" ht="12.75" hidden="1">
      <c r="A2319" s="2114"/>
      <c r="B2319" s="568" t="s">
        <v>3664</v>
      </c>
      <c r="C2319" s="568"/>
      <c r="D2319" s="568"/>
      <c r="E2319" s="188"/>
      <c r="F2319" s="188"/>
      <c r="G2319" s="2122"/>
      <c r="H2319" s="2135">
        <f>H2314</f>
        <v>7.4999999999999997E-2</v>
      </c>
      <c r="I2319" s="2134">
        <f>K2318</f>
        <v>514.79</v>
      </c>
      <c r="J2319" s="2134"/>
      <c r="K2319" s="2123">
        <f>ROUND(I2319*H2319,2)</f>
        <v>38.61</v>
      </c>
      <c r="L2319" s="192"/>
      <c r="M2319" s="568"/>
      <c r="O2319" s="1991"/>
      <c r="P2319" s="1706"/>
    </row>
    <row r="2320" spans="1:16" ht="12.75" hidden="1">
      <c r="A2320" s="2114"/>
      <c r="B2320" s="568" t="s">
        <v>3665</v>
      </c>
      <c r="C2320" s="568"/>
      <c r="D2320" s="568"/>
      <c r="E2320" s="188"/>
      <c r="F2320" s="188"/>
      <c r="G2320" s="2122"/>
      <c r="H2320" s="2135">
        <f>H2319</f>
        <v>7.4999999999999997E-2</v>
      </c>
      <c r="I2320" s="2134">
        <f>I2319</f>
        <v>514.79</v>
      </c>
      <c r="J2320" s="2134"/>
      <c r="K2320" s="2123">
        <f>ROUND(I2320*H2320,2)</f>
        <v>38.61</v>
      </c>
      <c r="L2320" s="192"/>
      <c r="M2320" s="568"/>
      <c r="O2320" s="1991"/>
      <c r="P2320" s="1706"/>
    </row>
    <row r="2321" spans="1:16" ht="12.75" hidden="1">
      <c r="A2321" s="2114"/>
      <c r="B2321" s="568"/>
      <c r="C2321" s="568"/>
      <c r="D2321" s="568"/>
      <c r="E2321" s="188"/>
      <c r="F2321" s="188"/>
      <c r="G2321" s="2122"/>
      <c r="H2321" s="568"/>
      <c r="I2321" s="2118"/>
      <c r="J2321" s="2126" t="s">
        <v>718</v>
      </c>
      <c r="K2321" s="2124">
        <f>SUM(K2317:K2320)</f>
        <v>6831.9199999999983</v>
      </c>
      <c r="L2321" s="192" t="s">
        <v>721</v>
      </c>
      <c r="M2321" s="568"/>
      <c r="O2321" s="1991">
        <f>K2321-O2318</f>
        <v>6317.1299999999983</v>
      </c>
      <c r="P2321" s="1706" t="s">
        <v>26</v>
      </c>
    </row>
    <row r="2322" spans="1:16" s="1706" customFormat="1" ht="12.75" hidden="1">
      <c r="A2322" s="2114" t="str">
        <f>A453</f>
        <v>(vi)</v>
      </c>
      <c r="B2322" s="192" t="s">
        <v>808</v>
      </c>
      <c r="C2322" s="192"/>
      <c r="D2322" s="192"/>
      <c r="E2322" s="2120" t="str">
        <f>G669</f>
        <v>Each Sqm</v>
      </c>
      <c r="F2322" s="2120"/>
      <c r="G2322" s="2141"/>
      <c r="H2322" s="192"/>
      <c r="I2322" s="2114"/>
      <c r="J2322" s="2124"/>
      <c r="K2322" s="2124"/>
      <c r="L2322" s="192"/>
      <c r="M2322" s="192"/>
    </row>
    <row r="2323" spans="1:16" ht="12.75" hidden="1">
      <c r="A2323" s="2114"/>
      <c r="B2323" s="568" t="s">
        <v>799</v>
      </c>
      <c r="C2323" s="568"/>
      <c r="D2323" s="568"/>
      <c r="E2323" s="188"/>
      <c r="F2323" s="188"/>
      <c r="G2323" s="2122"/>
      <c r="H2323" s="568"/>
      <c r="I2323" s="2118"/>
      <c r="J2323" s="2123"/>
      <c r="K2323" s="2123">
        <f>K2297</f>
        <v>5235.6200000000008</v>
      </c>
      <c r="L2323" s="192"/>
      <c r="M2323" s="568"/>
    </row>
    <row r="2324" spans="1:16" ht="12.75" hidden="1">
      <c r="A2324" s="2114"/>
      <c r="B2324" s="568" t="s">
        <v>809</v>
      </c>
      <c r="C2324" s="568"/>
      <c r="D2324" s="568"/>
      <c r="E2324" s="188"/>
      <c r="F2324" s="188"/>
      <c r="G2324" s="2122"/>
      <c r="H2324" s="568"/>
      <c r="I2324" s="2118"/>
      <c r="J2324" s="2123"/>
      <c r="K2324" s="2123">
        <v>71.7</v>
      </c>
      <c r="L2324" s="192"/>
      <c r="M2324" s="568"/>
      <c r="O2324" s="1991">
        <f>O2296+K2324</f>
        <v>2624.7799999999997</v>
      </c>
      <c r="P2324" s="1706" t="s">
        <v>3149</v>
      </c>
    </row>
    <row r="2325" spans="1:16" ht="12.75" hidden="1">
      <c r="A2325" s="2114"/>
      <c r="B2325" s="568"/>
      <c r="C2325" s="568"/>
      <c r="D2325" s="568"/>
      <c r="E2325" s="188"/>
      <c r="F2325" s="188"/>
      <c r="G2325" s="2122"/>
      <c r="H2325" s="568"/>
      <c r="I2325" s="2118"/>
      <c r="J2325" s="2126" t="s">
        <v>718</v>
      </c>
      <c r="K2325" s="2124">
        <f>SUM(K2323:K2324)</f>
        <v>5307.3200000000006</v>
      </c>
      <c r="L2325" s="192" t="s">
        <v>721</v>
      </c>
      <c r="M2325" s="568"/>
      <c r="O2325" s="1991">
        <f>K2325-O2324</f>
        <v>2682.5400000000009</v>
      </c>
      <c r="P2325" s="1706" t="s">
        <v>26</v>
      </c>
    </row>
    <row r="2326" spans="1:16" s="1706" customFormat="1" ht="12.75" hidden="1">
      <c r="A2326" s="2114" t="str">
        <f>A454</f>
        <v>(vii)</v>
      </c>
      <c r="B2326" s="192" t="s">
        <v>810</v>
      </c>
      <c r="C2326" s="192"/>
      <c r="D2326" s="192"/>
      <c r="E2326" s="2120" t="str">
        <f>G675</f>
        <v>Each Sqm</v>
      </c>
      <c r="F2326" s="2120"/>
      <c r="G2326" s="2141"/>
      <c r="H2326" s="192"/>
      <c r="I2326" s="2114"/>
      <c r="J2326" s="2124"/>
      <c r="K2326" s="2124"/>
      <c r="L2326" s="192"/>
      <c r="M2326" s="192"/>
    </row>
    <row r="2327" spans="1:16" ht="12.75" hidden="1">
      <c r="A2327" s="2114"/>
      <c r="B2327" s="568" t="s">
        <v>799</v>
      </c>
      <c r="C2327" s="568"/>
      <c r="D2327" s="568"/>
      <c r="E2327" s="188"/>
      <c r="F2327" s="188"/>
      <c r="G2327" s="2122"/>
      <c r="H2327" s="568"/>
      <c r="I2327" s="2118"/>
      <c r="J2327" s="2123"/>
      <c r="K2327" s="2123">
        <f>K2325</f>
        <v>5307.3200000000006</v>
      </c>
      <c r="L2327" s="192"/>
      <c r="M2327" s="568"/>
    </row>
    <row r="2328" spans="1:16" ht="12.75" hidden="1">
      <c r="A2328" s="2114"/>
      <c r="B2328" s="568" t="s">
        <v>795</v>
      </c>
      <c r="C2328" s="568"/>
      <c r="D2328" s="568"/>
      <c r="E2328" s="188"/>
      <c r="F2328" s="188"/>
      <c r="G2328" s="2122"/>
      <c r="H2328" s="2135">
        <f>H2318</f>
        <v>0.15</v>
      </c>
      <c r="I2328" s="2134">
        <f>K2289+K2324</f>
        <v>2624.7799999999997</v>
      </c>
      <c r="J2328" s="2123"/>
      <c r="K2328" s="2123">
        <f>ROUND((K2289+K2324)*15%,2)</f>
        <v>393.72</v>
      </c>
      <c r="L2328" s="192"/>
      <c r="M2328" s="568"/>
      <c r="O2328" s="1991">
        <f>O2324+K2328</f>
        <v>3018.5</v>
      </c>
      <c r="P2328" s="1706" t="s">
        <v>3149</v>
      </c>
    </row>
    <row r="2329" spans="1:16" ht="12.75" hidden="1">
      <c r="A2329" s="2114"/>
      <c r="B2329" s="568" t="s">
        <v>3664</v>
      </c>
      <c r="C2329" s="568"/>
      <c r="D2329" s="568"/>
      <c r="E2329" s="188"/>
      <c r="F2329" s="188"/>
      <c r="G2329" s="2122"/>
      <c r="H2329" s="2135">
        <f>H2320</f>
        <v>7.4999999999999997E-2</v>
      </c>
      <c r="I2329" s="2134">
        <f>K2328</f>
        <v>393.72</v>
      </c>
      <c r="J2329" s="2134"/>
      <c r="K2329" s="2123">
        <f>ROUND(I2329*H2329,2)</f>
        <v>29.53</v>
      </c>
      <c r="L2329" s="192"/>
      <c r="M2329" s="568"/>
      <c r="O2329" s="1991"/>
      <c r="P2329" s="1706"/>
    </row>
    <row r="2330" spans="1:16" ht="12.75" hidden="1">
      <c r="A2330" s="2114"/>
      <c r="B2330" s="568" t="s">
        <v>3665</v>
      </c>
      <c r="C2330" s="568"/>
      <c r="D2330" s="568"/>
      <c r="E2330" s="188"/>
      <c r="F2330" s="188"/>
      <c r="G2330" s="2122"/>
      <c r="H2330" s="2135">
        <f>H2329</f>
        <v>7.4999999999999997E-2</v>
      </c>
      <c r="I2330" s="2134">
        <f>I2329</f>
        <v>393.72</v>
      </c>
      <c r="J2330" s="2134"/>
      <c r="K2330" s="2123">
        <f>ROUND(I2330*H2330,2)</f>
        <v>29.53</v>
      </c>
      <c r="L2330" s="192"/>
      <c r="M2330" s="568"/>
      <c r="O2330" s="1991"/>
      <c r="P2330" s="1706"/>
    </row>
    <row r="2331" spans="1:16" ht="12.75" hidden="1">
      <c r="A2331" s="2114"/>
      <c r="B2331" s="568"/>
      <c r="C2331" s="568"/>
      <c r="D2331" s="568"/>
      <c r="E2331" s="188"/>
      <c r="F2331" s="188"/>
      <c r="G2331" s="2122"/>
      <c r="H2331" s="568"/>
      <c r="I2331" s="2118"/>
      <c r="J2331" s="2126" t="s">
        <v>718</v>
      </c>
      <c r="K2331" s="2124">
        <f>SUM(K2327:K2330)</f>
        <v>5760.1</v>
      </c>
      <c r="L2331" s="192" t="s">
        <v>721</v>
      </c>
      <c r="M2331" s="568"/>
      <c r="O2331" s="1991">
        <f>K2331-O2328</f>
        <v>2741.6000000000004</v>
      </c>
      <c r="P2331" s="1706" t="s">
        <v>26</v>
      </c>
    </row>
    <row r="2332" spans="1:16" s="1706" customFormat="1" ht="12.75" hidden="1">
      <c r="A2332" s="2114" t="str">
        <f>A455</f>
        <v>(viii)</v>
      </c>
      <c r="B2332" s="192" t="s">
        <v>811</v>
      </c>
      <c r="C2332" s="192"/>
      <c r="D2332" s="192"/>
      <c r="E2332" s="2120" t="str">
        <f>G683</f>
        <v>Each Sqm</v>
      </c>
      <c r="F2332" s="2120"/>
      <c r="G2332" s="2141"/>
      <c r="H2332" s="192"/>
      <c r="I2332" s="2114"/>
      <c r="J2332" s="2124"/>
      <c r="K2332" s="2124"/>
      <c r="L2332" s="192"/>
      <c r="M2332" s="192"/>
    </row>
    <row r="2333" spans="1:16" ht="12.75" hidden="1">
      <c r="A2333" s="2114"/>
      <c r="B2333" s="568" t="s">
        <v>799</v>
      </c>
      <c r="C2333" s="568"/>
      <c r="D2333" s="568"/>
      <c r="E2333" s="188"/>
      <c r="F2333" s="188"/>
      <c r="G2333" s="2122"/>
      <c r="H2333" s="568"/>
      <c r="I2333" s="2118"/>
      <c r="J2333" s="2123"/>
      <c r="K2333" s="2123">
        <f>K2327</f>
        <v>5307.3200000000006</v>
      </c>
      <c r="L2333" s="192"/>
      <c r="M2333" s="568"/>
    </row>
    <row r="2334" spans="1:16" ht="12.75" hidden="1">
      <c r="A2334" s="2114"/>
      <c r="B2334" s="568" t="s">
        <v>812</v>
      </c>
      <c r="C2334" s="568"/>
      <c r="D2334" s="568"/>
      <c r="E2334" s="188"/>
      <c r="F2334" s="188"/>
      <c r="G2334" s="2122"/>
      <c r="H2334" s="2135">
        <v>0.2</v>
      </c>
      <c r="I2334" s="2134">
        <f>I2328+K2328</f>
        <v>3018.5</v>
      </c>
      <c r="J2334" s="2123"/>
      <c r="K2334" s="2123">
        <f>ROUND(H2334*I2334,2)</f>
        <v>603.70000000000005</v>
      </c>
      <c r="L2334" s="192"/>
      <c r="M2334" s="568"/>
      <c r="O2334" s="1991">
        <f>O2324+K2334</f>
        <v>3228.4799999999996</v>
      </c>
      <c r="P2334" s="1706" t="s">
        <v>3149</v>
      </c>
    </row>
    <row r="2335" spans="1:16" ht="12.75" hidden="1">
      <c r="A2335" s="2114"/>
      <c r="B2335" s="568" t="s">
        <v>3664</v>
      </c>
      <c r="C2335" s="568"/>
      <c r="D2335" s="568"/>
      <c r="E2335" s="188"/>
      <c r="F2335" s="188"/>
      <c r="G2335" s="2122"/>
      <c r="H2335" s="2135">
        <f>H2329</f>
        <v>7.4999999999999997E-2</v>
      </c>
      <c r="I2335" s="2134">
        <f>K2334</f>
        <v>603.70000000000005</v>
      </c>
      <c r="J2335" s="2134"/>
      <c r="K2335" s="2123">
        <f>ROUND(I2335*H2335,2)</f>
        <v>45.28</v>
      </c>
      <c r="L2335" s="192"/>
      <c r="M2335" s="568"/>
      <c r="O2335" s="1991"/>
      <c r="P2335" s="1706"/>
    </row>
    <row r="2336" spans="1:16" ht="12.75" hidden="1">
      <c r="A2336" s="2114"/>
      <c r="B2336" s="568" t="s">
        <v>3665</v>
      </c>
      <c r="C2336" s="568"/>
      <c r="D2336" s="568"/>
      <c r="E2336" s="188"/>
      <c r="F2336" s="188"/>
      <c r="G2336" s="2122"/>
      <c r="H2336" s="2135">
        <f>H2335</f>
        <v>7.4999999999999997E-2</v>
      </c>
      <c r="I2336" s="2134">
        <f>I2335</f>
        <v>603.70000000000005</v>
      </c>
      <c r="J2336" s="2134"/>
      <c r="K2336" s="2123">
        <f>ROUND(I2336*H2336,2)</f>
        <v>45.28</v>
      </c>
      <c r="L2336" s="192"/>
      <c r="M2336" s="568"/>
      <c r="O2336" s="1991"/>
      <c r="P2336" s="1706"/>
    </row>
    <row r="2337" spans="1:20" ht="12.75" hidden="1">
      <c r="A2337" s="2114"/>
      <c r="B2337" s="568"/>
      <c r="C2337" s="568"/>
      <c r="D2337" s="568"/>
      <c r="E2337" s="188"/>
      <c r="F2337" s="188"/>
      <c r="G2337" s="2122"/>
      <c r="H2337" s="568"/>
      <c r="I2337" s="2118"/>
      <c r="J2337" s="2126" t="s">
        <v>718</v>
      </c>
      <c r="K2337" s="2124">
        <f>SUM(K2333:K2336)</f>
        <v>6001.58</v>
      </c>
      <c r="L2337" s="192" t="s">
        <v>721</v>
      </c>
      <c r="M2337" s="568"/>
      <c r="O2337" s="1991">
        <f>K2337-O2334</f>
        <v>2773.1000000000004</v>
      </c>
      <c r="P2337" s="1706" t="s">
        <v>26</v>
      </c>
    </row>
    <row r="2338" spans="1:20" s="140" customFormat="1" ht="59.25" hidden="1" customHeight="1">
      <c r="A2338" s="2162">
        <f>A456</f>
        <v>43</v>
      </c>
      <c r="B2338" s="3017" t="str">
        <f>B456</f>
        <v>R.R.H.G. Stone Masonry in cement mortar (1:4) in foundation &amp; plinth including cost,conveyance &amp; royality of all materials and labour charges etc. complete. in all respect as directed by the Engineer-in-charge.</v>
      </c>
      <c r="C2338" s="3017"/>
      <c r="D2338" s="3017"/>
      <c r="E2338" s="2116" t="str">
        <f>G456</f>
        <v>Each Cum</v>
      </c>
      <c r="F2338" s="2116"/>
      <c r="G2338" s="2146"/>
      <c r="H2338" s="2147"/>
      <c r="I2338" s="1703"/>
      <c r="J2338" s="2146"/>
      <c r="K2338" s="2146"/>
      <c r="L2338" s="2148"/>
      <c r="M2338" s="139"/>
      <c r="T2338" s="1994"/>
    </row>
    <row r="2339" spans="1:20" s="140" customFormat="1" ht="12.75" hidden="1">
      <c r="A2339" s="2144"/>
      <c r="B2339" s="2145" t="s">
        <v>813</v>
      </c>
      <c r="C2339" s="2145"/>
      <c r="D2339" s="2146"/>
      <c r="E2339" s="2121"/>
      <c r="F2339" s="2121"/>
      <c r="G2339" s="2146"/>
      <c r="H2339" s="2147"/>
      <c r="I2339" s="1703"/>
      <c r="J2339" s="2146"/>
      <c r="K2339" s="2146"/>
      <c r="L2339" s="2148"/>
      <c r="M2339" s="13"/>
      <c r="T2339" s="1994"/>
    </row>
    <row r="2340" spans="1:20" s="140" customFormat="1" ht="12.75" hidden="1">
      <c r="A2340" s="2144"/>
      <c r="B2340" s="2146" t="s">
        <v>814</v>
      </c>
      <c r="C2340" s="2146"/>
      <c r="D2340" s="2146"/>
      <c r="E2340" s="2121"/>
      <c r="F2340" s="2121"/>
      <c r="G2340" s="2149">
        <v>1</v>
      </c>
      <c r="H2340" s="2147" t="s">
        <v>49</v>
      </c>
      <c r="I2340" s="1703" t="s">
        <v>49</v>
      </c>
      <c r="J2340" s="2150">
        <f>G17</f>
        <v>291.95999999999998</v>
      </c>
      <c r="K2340" s="2123">
        <f>ROUND(G2340*J2340,2)</f>
        <v>291.95999999999998</v>
      </c>
      <c r="L2340" s="2148"/>
      <c r="M2340" s="13"/>
      <c r="T2340" s="1994"/>
    </row>
    <row r="2341" spans="1:20" s="140" customFormat="1" ht="12.75" hidden="1">
      <c r="A2341" s="2144"/>
      <c r="B2341" s="2146" t="s">
        <v>775</v>
      </c>
      <c r="C2341" s="2146"/>
      <c r="D2341" s="2146"/>
      <c r="E2341" s="2121"/>
      <c r="F2341" s="2121"/>
      <c r="G2341" s="2149">
        <v>0.34</v>
      </c>
      <c r="H2341" s="2147" t="s">
        <v>49</v>
      </c>
      <c r="I2341" s="1703" t="s">
        <v>49</v>
      </c>
      <c r="J2341" s="2150">
        <f>G46</f>
        <v>76.88</v>
      </c>
      <c r="K2341" s="2123">
        <f>ROUND(G2341*J2341,2)</f>
        <v>26.14</v>
      </c>
      <c r="L2341" s="2148"/>
      <c r="M2341" s="13"/>
      <c r="T2341" s="1994"/>
    </row>
    <row r="2342" spans="1:20" s="140" customFormat="1" ht="12.75" hidden="1">
      <c r="A2342" s="2144"/>
      <c r="B2342" s="2146" t="s">
        <v>815</v>
      </c>
      <c r="C2342" s="2146"/>
      <c r="D2342" s="2146"/>
      <c r="E2342" s="2121"/>
      <c r="F2342" s="2121"/>
      <c r="G2342" s="2163">
        <v>0.12156</v>
      </c>
      <c r="H2342" s="2147" t="s">
        <v>91</v>
      </c>
      <c r="I2342" s="1703" t="s">
        <v>91</v>
      </c>
      <c r="J2342" s="2150">
        <f>G50</f>
        <v>5702.34</v>
      </c>
      <c r="K2342" s="2123">
        <f>ROUND(G2342*J2342,2)</f>
        <v>693.18</v>
      </c>
      <c r="L2342" s="2148"/>
      <c r="M2342" s="13"/>
      <c r="T2342" s="1994"/>
    </row>
    <row r="2343" spans="1:20" s="140" customFormat="1" ht="12.75" hidden="1">
      <c r="A2343" s="2144"/>
      <c r="B2343" s="2146"/>
      <c r="C2343" s="2146"/>
      <c r="D2343" s="2146"/>
      <c r="E2343" s="2121"/>
      <c r="F2343" s="2121"/>
      <c r="G2343" s="2163"/>
      <c r="H2343" s="2147"/>
      <c r="I2343" s="1703"/>
      <c r="J2343" s="2151" t="s">
        <v>718</v>
      </c>
      <c r="K2343" s="2152">
        <f>SUM(K2340:K2342)</f>
        <v>1011.28</v>
      </c>
      <c r="L2343" s="2148"/>
      <c r="M2343" s="13"/>
      <c r="T2343" s="1994"/>
    </row>
    <row r="2344" spans="1:20" s="140" customFormat="1" ht="12.75" hidden="1">
      <c r="A2344" s="2144"/>
      <c r="B2344" s="2145" t="s">
        <v>816</v>
      </c>
      <c r="C2344" s="2146"/>
      <c r="D2344" s="2146"/>
      <c r="E2344" s="2121"/>
      <c r="F2344" s="2121"/>
      <c r="G2344" s="2163"/>
      <c r="H2344" s="2147"/>
      <c r="I2344" s="1703"/>
      <c r="J2344" s="2150"/>
      <c r="K2344" s="2150"/>
      <c r="L2344" s="2148"/>
      <c r="M2344" s="13"/>
      <c r="T2344" s="1994"/>
    </row>
    <row r="2345" spans="1:20" s="140" customFormat="1" ht="12.75" hidden="1">
      <c r="A2345" s="2144"/>
      <c r="B2345" s="2146" t="s">
        <v>817</v>
      </c>
      <c r="C2345" s="2146"/>
      <c r="D2345" s="2146"/>
      <c r="E2345" s="2121"/>
      <c r="F2345" s="2121"/>
      <c r="G2345" s="2149">
        <v>0.35</v>
      </c>
      <c r="H2345" s="2147" t="s">
        <v>262</v>
      </c>
      <c r="I2345" s="1703" t="s">
        <v>38</v>
      </c>
      <c r="J2345" s="2150">
        <f>L137</f>
        <v>495</v>
      </c>
      <c r="K2345" s="2123">
        <f>ROUND(G2345*J2345,2)</f>
        <v>173.25</v>
      </c>
      <c r="L2345" s="2148"/>
      <c r="M2345" s="13"/>
      <c r="T2345" s="1994"/>
    </row>
    <row r="2346" spans="1:20" s="140" customFormat="1" ht="12.75" hidden="1">
      <c r="A2346" s="2144"/>
      <c r="B2346" s="2146" t="s">
        <v>818</v>
      </c>
      <c r="C2346" s="2146"/>
      <c r="D2346" s="2146"/>
      <c r="E2346" s="2121"/>
      <c r="F2346" s="2121"/>
      <c r="G2346" s="2149">
        <v>1.41</v>
      </c>
      <c r="H2346" s="2147" t="s">
        <v>262</v>
      </c>
      <c r="I2346" s="1703" t="s">
        <v>38</v>
      </c>
      <c r="J2346" s="2150">
        <f>L136</f>
        <v>435</v>
      </c>
      <c r="K2346" s="2123">
        <f>ROUND(G2346*J2346,2)</f>
        <v>613.35</v>
      </c>
      <c r="L2346" s="2148"/>
      <c r="M2346" s="13"/>
      <c r="T2346" s="1994"/>
    </row>
    <row r="2347" spans="1:20" s="140" customFormat="1" ht="12.75" hidden="1">
      <c r="A2347" s="2144"/>
      <c r="B2347" s="2146" t="s">
        <v>717</v>
      </c>
      <c r="C2347" s="2146"/>
      <c r="D2347" s="2146"/>
      <c r="E2347" s="2121"/>
      <c r="F2347" s="2121"/>
      <c r="G2347" s="2149">
        <v>3.17</v>
      </c>
      <c r="H2347" s="2147" t="s">
        <v>262</v>
      </c>
      <c r="I2347" s="1703" t="s">
        <v>38</v>
      </c>
      <c r="J2347" s="2150">
        <f>L134</f>
        <v>345</v>
      </c>
      <c r="K2347" s="2123">
        <f>ROUND(G2347*J2347,2)</f>
        <v>1093.6500000000001</v>
      </c>
      <c r="L2347" s="2148"/>
      <c r="M2347" s="13"/>
      <c r="T2347" s="1994"/>
    </row>
    <row r="2348" spans="1:20" s="140" customFormat="1" ht="12.75" hidden="1">
      <c r="A2348" s="2144"/>
      <c r="B2348" s="2146"/>
      <c r="C2348" s="2146"/>
      <c r="D2348" s="2146"/>
      <c r="E2348" s="2121"/>
      <c r="F2348" s="2121"/>
      <c r="G2348" s="2149"/>
      <c r="H2348" s="2147"/>
      <c r="I2348" s="1703"/>
      <c r="J2348" s="2151" t="s">
        <v>718</v>
      </c>
      <c r="K2348" s="2152">
        <f>SUM(K2345:K2347)</f>
        <v>1880.25</v>
      </c>
      <c r="L2348" s="2148"/>
      <c r="M2348" s="13"/>
      <c r="T2348" s="1994"/>
    </row>
    <row r="2349" spans="1:20" s="140" customFormat="1" ht="12.75" hidden="1">
      <c r="A2349" s="2144"/>
      <c r="B2349" s="2146"/>
      <c r="C2349" s="2146"/>
      <c r="D2349" s="2146"/>
      <c r="E2349" s="2121"/>
      <c r="F2349" s="2121"/>
      <c r="G2349" s="2146"/>
      <c r="H2349" s="2147"/>
      <c r="I2349" s="1702" t="s">
        <v>773</v>
      </c>
      <c r="J2349" s="2151" t="s">
        <v>718</v>
      </c>
      <c r="K2349" s="2152">
        <f>K2343+K2348</f>
        <v>2891.5299999999997</v>
      </c>
      <c r="L2349" s="2148"/>
      <c r="M2349" s="13"/>
      <c r="T2349" s="1994"/>
    </row>
    <row r="2350" spans="1:20" s="140" customFormat="1" ht="12.75" hidden="1">
      <c r="A2350" s="2144"/>
      <c r="B2350" s="192" t="s">
        <v>3662</v>
      </c>
      <c r="C2350" s="568"/>
      <c r="D2350" s="568"/>
      <c r="E2350" s="188"/>
      <c r="F2350" s="188"/>
      <c r="G2350" s="2122"/>
      <c r="H2350" s="2135">
        <f>H2336</f>
        <v>7.4999999999999997E-2</v>
      </c>
      <c r="I2350" s="2134">
        <f>K2343+K2348</f>
        <v>2891.5299999999997</v>
      </c>
      <c r="J2350" s="2134"/>
      <c r="K2350" s="2123">
        <f>ROUND(I2350*H2350,2)</f>
        <v>216.86</v>
      </c>
      <c r="L2350" s="2148"/>
      <c r="M2350" s="13"/>
      <c r="T2350" s="1994"/>
    </row>
    <row r="2351" spans="1:20" s="140" customFormat="1" ht="12.75" hidden="1">
      <c r="A2351" s="2144"/>
      <c r="B2351" s="192" t="s">
        <v>3661</v>
      </c>
      <c r="C2351" s="568"/>
      <c r="D2351" s="568"/>
      <c r="E2351" s="188"/>
      <c r="F2351" s="188"/>
      <c r="G2351" s="2122"/>
      <c r="H2351" s="2135">
        <f>H2350</f>
        <v>7.4999999999999997E-2</v>
      </c>
      <c r="I2351" s="2134">
        <f>I2350</f>
        <v>2891.5299999999997</v>
      </c>
      <c r="J2351" s="2134"/>
      <c r="K2351" s="2123">
        <f>ROUND(I2351*H2351,2)</f>
        <v>216.86</v>
      </c>
      <c r="L2351" s="2148"/>
      <c r="M2351" s="13"/>
      <c r="T2351" s="1994"/>
    </row>
    <row r="2352" spans="1:20" s="140" customFormat="1" ht="12.75" hidden="1">
      <c r="A2352" s="2144"/>
      <c r="B2352" s="2146"/>
      <c r="C2352" s="2146"/>
      <c r="D2352" s="2146"/>
      <c r="E2352" s="2121"/>
      <c r="F2352" s="2121"/>
      <c r="G2352" s="2146"/>
      <c r="H2352" s="2147"/>
      <c r="I2352" s="1703"/>
      <c r="J2352" s="2151" t="s">
        <v>718</v>
      </c>
      <c r="K2352" s="2152">
        <f>SUM(K2349:K2351)</f>
        <v>3325.25</v>
      </c>
      <c r="L2352" s="2148"/>
      <c r="M2352" s="13"/>
      <c r="T2352" s="1994"/>
    </row>
    <row r="2353" spans="1:20" s="140" customFormat="1" ht="12.75" hidden="1">
      <c r="A2353" s="2144"/>
      <c r="B2353" s="2145" t="s">
        <v>3669</v>
      </c>
      <c r="C2353" s="2145"/>
      <c r="D2353" s="2146"/>
      <c r="E2353" s="2121"/>
      <c r="F2353" s="2121"/>
      <c r="G2353" s="2146"/>
      <c r="H2353" s="2147"/>
      <c r="I2353" s="1703"/>
      <c r="J2353" s="2146"/>
      <c r="K2353" s="2146"/>
      <c r="L2353" s="2148"/>
      <c r="M2353" s="13"/>
      <c r="T2353" s="1994"/>
    </row>
    <row r="2354" spans="1:20" s="140" customFormat="1" ht="12.75" hidden="1">
      <c r="A2354" s="2144"/>
      <c r="B2354" s="2146" t="str">
        <f>B2340</f>
        <v>H.G. stone</v>
      </c>
      <c r="C2354" s="2146"/>
      <c r="D2354" s="2146"/>
      <c r="E2354" s="2121"/>
      <c r="F2354" s="2121"/>
      <c r="G2354" s="2149">
        <v>1</v>
      </c>
      <c r="H2354" s="2147" t="s">
        <v>49</v>
      </c>
      <c r="I2354" s="1703" t="s">
        <v>49</v>
      </c>
      <c r="J2354" s="2150">
        <f>K17</f>
        <v>1308.4099999999999</v>
      </c>
      <c r="K2354" s="2123">
        <f>ROUND(G2354*J2354,2)</f>
        <v>1308.4100000000001</v>
      </c>
      <c r="L2354" s="2148"/>
      <c r="M2354" s="13"/>
      <c r="T2354" s="1994"/>
    </row>
    <row r="2355" spans="1:20" s="140" customFormat="1" ht="12.75" hidden="1">
      <c r="A2355" s="2144"/>
      <c r="B2355" s="2146" t="str">
        <f>B2341</f>
        <v>Sand</v>
      </c>
      <c r="C2355" s="2146"/>
      <c r="D2355" s="2146"/>
      <c r="E2355" s="2121"/>
      <c r="F2355" s="2121"/>
      <c r="G2355" s="2149">
        <v>0.34</v>
      </c>
      <c r="H2355" s="2147" t="s">
        <v>49</v>
      </c>
      <c r="I2355" s="1703" t="s">
        <v>49</v>
      </c>
      <c r="J2355" s="2150">
        <f>K46</f>
        <v>717.46</v>
      </c>
      <c r="K2355" s="2123">
        <f>ROUND(G2355*J2355,2)</f>
        <v>243.94</v>
      </c>
      <c r="L2355" s="2148"/>
      <c r="M2355" s="13"/>
      <c r="T2355" s="1994"/>
    </row>
    <row r="2356" spans="1:20" s="140" customFormat="1" ht="12.75" hidden="1">
      <c r="A2356" s="2144"/>
      <c r="B2356" s="2146" t="str">
        <f>B2342</f>
        <v>cement</v>
      </c>
      <c r="C2356" s="2146"/>
      <c r="D2356" s="2146"/>
      <c r="E2356" s="2121"/>
      <c r="F2356" s="2121"/>
      <c r="G2356" s="2163">
        <v>0.12156</v>
      </c>
      <c r="H2356" s="2147" t="s">
        <v>91</v>
      </c>
      <c r="I2356" s="1703" t="s">
        <v>91</v>
      </c>
      <c r="J2356" s="2150">
        <f>K50</f>
        <v>426.22</v>
      </c>
      <c r="K2356" s="2123">
        <f>ROUND(G2356*J2356,2)</f>
        <v>51.81</v>
      </c>
      <c r="L2356" s="2148"/>
      <c r="M2356" s="13"/>
      <c r="T2356" s="1994"/>
    </row>
    <row r="2357" spans="1:20" s="140" customFormat="1" ht="12.75" hidden="1">
      <c r="A2357" s="2144"/>
      <c r="B2357" s="2146"/>
      <c r="C2357" s="2146"/>
      <c r="D2357" s="2146"/>
      <c r="E2357" s="2121"/>
      <c r="F2357" s="2121"/>
      <c r="G2357" s="2146"/>
      <c r="H2357" s="2147"/>
      <c r="I2357" s="1703"/>
      <c r="J2357" s="2151" t="s">
        <v>718</v>
      </c>
      <c r="K2357" s="2152">
        <f>SUM(K2354:K2356)</f>
        <v>1604.16</v>
      </c>
      <c r="L2357" s="2148"/>
      <c r="M2357" s="13"/>
      <c r="O2357" s="1991">
        <f>K2348</f>
        <v>1880.25</v>
      </c>
      <c r="P2357" s="1706" t="s">
        <v>3149</v>
      </c>
      <c r="T2357" s="1994"/>
    </row>
    <row r="2358" spans="1:20" s="1994" customFormat="1" ht="12.75" hidden="1">
      <c r="A2358" s="2154"/>
      <c r="B2358" s="2145" t="s">
        <v>820</v>
      </c>
      <c r="C2358" s="2145"/>
      <c r="D2358" s="2145"/>
      <c r="E2358" s="2155"/>
      <c r="F2358" s="2155"/>
      <c r="G2358" s="2145"/>
      <c r="H2358" s="2148"/>
      <c r="I2358" s="1702"/>
      <c r="J2358" s="2145"/>
      <c r="K2358" s="2152">
        <f>K2352+K2357</f>
        <v>4929.41</v>
      </c>
      <c r="L2358" s="2148" t="s">
        <v>721</v>
      </c>
      <c r="M2358" s="13"/>
      <c r="N2358" s="140"/>
      <c r="O2358" s="1991">
        <f>K2358-O2357</f>
        <v>3049.16</v>
      </c>
      <c r="P2358" s="1706" t="s">
        <v>26</v>
      </c>
    </row>
    <row r="2359" spans="1:20" s="140" customFormat="1" ht="59.25" hidden="1" customHeight="1">
      <c r="A2359" s="2162">
        <f>A457</f>
        <v>44</v>
      </c>
      <c r="B2359" s="3017" t="str">
        <f>B457</f>
        <v>R.R.H.G. Stone Masonry in cement mortar (1:6) in foundation &amp; plinth including cost,conveyance &amp; royality of all materials and labour charges etc. complete. in all respect as directed by the Engineer-in-charge.</v>
      </c>
      <c r="C2359" s="3017"/>
      <c r="D2359" s="3017"/>
      <c r="E2359" s="2116" t="str">
        <f>G487</f>
        <v>Each Sqm</v>
      </c>
      <c r="F2359" s="2116"/>
      <c r="G2359" s="2146"/>
      <c r="H2359" s="2147"/>
      <c r="I2359" s="1703"/>
      <c r="J2359" s="2146"/>
      <c r="K2359" s="2146"/>
      <c r="L2359" s="2148"/>
      <c r="M2359" s="13"/>
      <c r="T2359" s="1994"/>
    </row>
    <row r="2360" spans="1:20" s="140" customFormat="1" ht="12.75" hidden="1">
      <c r="A2360" s="2144"/>
      <c r="B2360" s="2145" t="s">
        <v>813</v>
      </c>
      <c r="C2360" s="2145"/>
      <c r="D2360" s="2146"/>
      <c r="E2360" s="2121"/>
      <c r="F2360" s="2121"/>
      <c r="G2360" s="2146"/>
      <c r="H2360" s="2147"/>
      <c r="I2360" s="1703"/>
      <c r="J2360" s="2146"/>
      <c r="K2360" s="2146"/>
      <c r="L2360" s="2148"/>
      <c r="M2360" s="13"/>
      <c r="T2360" s="1994"/>
    </row>
    <row r="2361" spans="1:20" s="140" customFormat="1" ht="12.75" hidden="1">
      <c r="A2361" s="2144"/>
      <c r="B2361" s="2146" t="s">
        <v>814</v>
      </c>
      <c r="C2361" s="2146"/>
      <c r="D2361" s="2146"/>
      <c r="E2361" s="2121"/>
      <c r="F2361" s="2121"/>
      <c r="G2361" s="2149">
        <v>1</v>
      </c>
      <c r="H2361" s="2147" t="s">
        <v>49</v>
      </c>
      <c r="I2361" s="1703" t="s">
        <v>49</v>
      </c>
      <c r="J2361" s="2150">
        <f>G17</f>
        <v>291.95999999999998</v>
      </c>
      <c r="K2361" s="2123">
        <f>ROUND(G2361*J2361,2)</f>
        <v>291.95999999999998</v>
      </c>
      <c r="L2361" s="2148"/>
      <c r="M2361" s="13"/>
      <c r="T2361" s="1994"/>
    </row>
    <row r="2362" spans="1:20" s="140" customFormat="1" ht="12.75" hidden="1">
      <c r="A2362" s="2144"/>
      <c r="B2362" s="2146" t="s">
        <v>775</v>
      </c>
      <c r="C2362" s="2146"/>
      <c r="D2362" s="2146"/>
      <c r="E2362" s="2121"/>
      <c r="F2362" s="2121"/>
      <c r="G2362" s="2149">
        <v>0.34</v>
      </c>
      <c r="H2362" s="2147" t="s">
        <v>49</v>
      </c>
      <c r="I2362" s="1703" t="s">
        <v>49</v>
      </c>
      <c r="J2362" s="2150">
        <f>G46</f>
        <v>76.88</v>
      </c>
      <c r="K2362" s="2123">
        <f>ROUND(G2362*J2362,2)</f>
        <v>26.14</v>
      </c>
      <c r="L2362" s="2148"/>
      <c r="M2362" s="13"/>
      <c r="T2362" s="1994"/>
    </row>
    <row r="2363" spans="1:20" s="140" customFormat="1" ht="12.75" hidden="1">
      <c r="A2363" s="2144"/>
      <c r="B2363" s="2146" t="s">
        <v>815</v>
      </c>
      <c r="C2363" s="2146"/>
      <c r="D2363" s="2146"/>
      <c r="E2363" s="2121"/>
      <c r="F2363" s="2121"/>
      <c r="G2363" s="2163">
        <v>8.1509999999999999E-2</v>
      </c>
      <c r="H2363" s="2147" t="s">
        <v>91</v>
      </c>
      <c r="I2363" s="1703" t="s">
        <v>91</v>
      </c>
      <c r="J2363" s="2150">
        <f>G50</f>
        <v>5702.34</v>
      </c>
      <c r="K2363" s="2123">
        <f>ROUND(G2363*J2363,2)</f>
        <v>464.8</v>
      </c>
      <c r="L2363" s="2148"/>
      <c r="M2363" s="13"/>
      <c r="T2363" s="1994"/>
    </row>
    <row r="2364" spans="1:20" s="140" customFormat="1" ht="12.75" hidden="1">
      <c r="A2364" s="2144"/>
      <c r="B2364" s="2146"/>
      <c r="C2364" s="2146"/>
      <c r="D2364" s="2146"/>
      <c r="E2364" s="2121"/>
      <c r="F2364" s="2121"/>
      <c r="G2364" s="2163"/>
      <c r="H2364" s="2147"/>
      <c r="I2364" s="1703"/>
      <c r="J2364" s="2151" t="s">
        <v>718</v>
      </c>
      <c r="K2364" s="2152">
        <f>SUM(K2361:K2363)</f>
        <v>782.9</v>
      </c>
      <c r="L2364" s="2148"/>
      <c r="M2364" s="13"/>
      <c r="T2364" s="1994"/>
    </row>
    <row r="2365" spans="1:20" s="140" customFormat="1" ht="12.75" hidden="1">
      <c r="A2365" s="2144"/>
      <c r="B2365" s="2145" t="s">
        <v>816</v>
      </c>
      <c r="C2365" s="2146"/>
      <c r="D2365" s="2146"/>
      <c r="E2365" s="2121"/>
      <c r="F2365" s="2121"/>
      <c r="G2365" s="2163"/>
      <c r="H2365" s="2147"/>
      <c r="I2365" s="1703"/>
      <c r="J2365" s="2150"/>
      <c r="K2365" s="2150"/>
      <c r="L2365" s="2148"/>
      <c r="M2365" s="13"/>
      <c r="T2365" s="1994"/>
    </row>
    <row r="2366" spans="1:20" s="140" customFormat="1" ht="12.75" hidden="1">
      <c r="A2366" s="2144"/>
      <c r="B2366" s="2146" t="s">
        <v>817</v>
      </c>
      <c r="C2366" s="2146"/>
      <c r="D2366" s="2146"/>
      <c r="E2366" s="2121"/>
      <c r="F2366" s="2121"/>
      <c r="G2366" s="2149">
        <v>0.35</v>
      </c>
      <c r="H2366" s="2147" t="s">
        <v>262</v>
      </c>
      <c r="I2366" s="1703" t="s">
        <v>38</v>
      </c>
      <c r="J2366" s="2150">
        <f>L137</f>
        <v>495</v>
      </c>
      <c r="K2366" s="2123">
        <f>ROUND(G2366*J2366,2)</f>
        <v>173.25</v>
      </c>
      <c r="L2366" s="2148"/>
      <c r="M2366" s="13"/>
      <c r="T2366" s="1994"/>
    </row>
    <row r="2367" spans="1:20" s="140" customFormat="1" ht="12.75" hidden="1">
      <c r="A2367" s="2144"/>
      <c r="B2367" s="2146" t="s">
        <v>818</v>
      </c>
      <c r="C2367" s="2146"/>
      <c r="D2367" s="2146"/>
      <c r="E2367" s="2121"/>
      <c r="F2367" s="2121"/>
      <c r="G2367" s="2149">
        <v>1.41</v>
      </c>
      <c r="H2367" s="2147" t="s">
        <v>262</v>
      </c>
      <c r="I2367" s="1703" t="s">
        <v>38</v>
      </c>
      <c r="J2367" s="2150">
        <f>L136</f>
        <v>435</v>
      </c>
      <c r="K2367" s="2123">
        <f>ROUND(G2367*J2367,2)</f>
        <v>613.35</v>
      </c>
      <c r="L2367" s="2148"/>
      <c r="M2367" s="13"/>
      <c r="T2367" s="1994"/>
    </row>
    <row r="2368" spans="1:20" s="140" customFormat="1" ht="12.75" hidden="1">
      <c r="A2368" s="2144"/>
      <c r="B2368" s="2146" t="s">
        <v>717</v>
      </c>
      <c r="C2368" s="2146"/>
      <c r="D2368" s="2146"/>
      <c r="E2368" s="2121"/>
      <c r="F2368" s="2121"/>
      <c r="G2368" s="2149">
        <v>3.17</v>
      </c>
      <c r="H2368" s="2147" t="s">
        <v>262</v>
      </c>
      <c r="I2368" s="1703" t="s">
        <v>38</v>
      </c>
      <c r="J2368" s="2150">
        <f>L134</f>
        <v>345</v>
      </c>
      <c r="K2368" s="2123">
        <f>ROUND(G2368*J2368,2)</f>
        <v>1093.6500000000001</v>
      </c>
      <c r="L2368" s="2148"/>
      <c r="M2368" s="13"/>
      <c r="T2368" s="1994"/>
    </row>
    <row r="2369" spans="1:20" s="140" customFormat="1" ht="12.75" hidden="1">
      <c r="A2369" s="2144"/>
      <c r="B2369" s="2146"/>
      <c r="C2369" s="2146"/>
      <c r="D2369" s="2146"/>
      <c r="E2369" s="2121"/>
      <c r="F2369" s="2121"/>
      <c r="G2369" s="2149"/>
      <c r="H2369" s="2147"/>
      <c r="I2369" s="1703"/>
      <c r="J2369" s="2151" t="s">
        <v>718</v>
      </c>
      <c r="K2369" s="2152">
        <f>SUM(K2366:K2368)</f>
        <v>1880.25</v>
      </c>
      <c r="L2369" s="2148"/>
      <c r="M2369" s="13"/>
      <c r="T2369" s="1994"/>
    </row>
    <row r="2370" spans="1:20" s="140" customFormat="1" ht="12.75" hidden="1">
      <c r="A2370" s="2144"/>
      <c r="B2370" s="2146"/>
      <c r="C2370" s="2146"/>
      <c r="D2370" s="2146"/>
      <c r="E2370" s="2121"/>
      <c r="F2370" s="2121"/>
      <c r="G2370" s="2146"/>
      <c r="H2370" s="2147"/>
      <c r="I2370" s="1702" t="s">
        <v>773</v>
      </c>
      <c r="J2370" s="2151" t="s">
        <v>718</v>
      </c>
      <c r="K2370" s="2152">
        <f>K2364+K2369</f>
        <v>2663.15</v>
      </c>
      <c r="L2370" s="2148"/>
      <c r="M2370" s="13"/>
      <c r="T2370" s="1994"/>
    </row>
    <row r="2371" spans="1:20" s="140" customFormat="1" ht="12.75" hidden="1">
      <c r="A2371" s="2144"/>
      <c r="B2371" s="192" t="s">
        <v>3662</v>
      </c>
      <c r="C2371" s="568"/>
      <c r="D2371" s="568"/>
      <c r="E2371" s="188"/>
      <c r="F2371" s="188"/>
      <c r="G2371" s="2122"/>
      <c r="H2371" s="2135">
        <f>H2351</f>
        <v>7.4999999999999997E-2</v>
      </c>
      <c r="I2371" s="2134">
        <f>K2364+K2369</f>
        <v>2663.15</v>
      </c>
      <c r="J2371" s="2134"/>
      <c r="K2371" s="2123">
        <f>ROUND(I2371*H2371,2)</f>
        <v>199.74</v>
      </c>
      <c r="L2371" s="2148"/>
      <c r="M2371" s="13"/>
      <c r="T2371" s="1994"/>
    </row>
    <row r="2372" spans="1:20" s="140" customFormat="1" ht="12.75" hidden="1">
      <c r="A2372" s="2144"/>
      <c r="B2372" s="192" t="s">
        <v>3661</v>
      </c>
      <c r="C2372" s="568"/>
      <c r="D2372" s="568"/>
      <c r="E2372" s="188"/>
      <c r="F2372" s="188"/>
      <c r="G2372" s="2122"/>
      <c r="H2372" s="2135">
        <f>H2371</f>
        <v>7.4999999999999997E-2</v>
      </c>
      <c r="I2372" s="2134">
        <f>I2371</f>
        <v>2663.15</v>
      </c>
      <c r="J2372" s="2134"/>
      <c r="K2372" s="2123">
        <f>ROUND(I2372*H2372,2)</f>
        <v>199.74</v>
      </c>
      <c r="L2372" s="2148"/>
      <c r="M2372" s="13"/>
      <c r="T2372" s="1994"/>
    </row>
    <row r="2373" spans="1:20" s="140" customFormat="1" ht="12.75" hidden="1">
      <c r="A2373" s="2144"/>
      <c r="B2373" s="2146"/>
      <c r="C2373" s="2146"/>
      <c r="D2373" s="2146"/>
      <c r="E2373" s="2121"/>
      <c r="F2373" s="2121"/>
      <c r="G2373" s="2146"/>
      <c r="H2373" s="2147"/>
      <c r="I2373" s="1703"/>
      <c r="J2373" s="2151" t="s">
        <v>718</v>
      </c>
      <c r="K2373" s="2152">
        <f>SUM(K2370:K2372)</f>
        <v>3062.63</v>
      </c>
      <c r="L2373" s="2148"/>
      <c r="M2373" s="13"/>
      <c r="T2373" s="1994"/>
    </row>
    <row r="2374" spans="1:20" s="140" customFormat="1" ht="12.75" hidden="1">
      <c r="A2374" s="2144"/>
      <c r="B2374" s="2145" t="s">
        <v>819</v>
      </c>
      <c r="C2374" s="2145"/>
      <c r="D2374" s="2146"/>
      <c r="E2374" s="2121"/>
      <c r="F2374" s="2121"/>
      <c r="G2374" s="2146"/>
      <c r="H2374" s="2147"/>
      <c r="I2374" s="1703"/>
      <c r="J2374" s="2146"/>
      <c r="K2374" s="2146"/>
      <c r="L2374" s="2148"/>
      <c r="M2374" s="13"/>
      <c r="T2374" s="1994"/>
    </row>
    <row r="2375" spans="1:20" s="140" customFormat="1" ht="12.75" hidden="1">
      <c r="A2375" s="2144"/>
      <c r="B2375" s="2146" t="str">
        <f>B2361</f>
        <v>H.G. stone</v>
      </c>
      <c r="C2375" s="2146"/>
      <c r="D2375" s="2146"/>
      <c r="E2375" s="2121"/>
      <c r="F2375" s="2121"/>
      <c r="G2375" s="2149">
        <f>G2361</f>
        <v>1</v>
      </c>
      <c r="H2375" s="2147" t="s">
        <v>49</v>
      </c>
      <c r="I2375" s="1703" t="s">
        <v>49</v>
      </c>
      <c r="J2375" s="2150">
        <f>K17</f>
        <v>1308.4099999999999</v>
      </c>
      <c r="K2375" s="2123">
        <f>ROUND(G2375*J2375,2)</f>
        <v>1308.4100000000001</v>
      </c>
      <c r="L2375" s="2148"/>
      <c r="M2375" s="13"/>
      <c r="T2375" s="1994"/>
    </row>
    <row r="2376" spans="1:20" s="140" customFormat="1" ht="12.75" hidden="1">
      <c r="A2376" s="2144"/>
      <c r="B2376" s="2146" t="str">
        <f>B2362</f>
        <v>Sand</v>
      </c>
      <c r="C2376" s="2146"/>
      <c r="D2376" s="2146"/>
      <c r="E2376" s="2121"/>
      <c r="F2376" s="2121"/>
      <c r="G2376" s="2149">
        <f>G2362</f>
        <v>0.34</v>
      </c>
      <c r="H2376" s="2147" t="s">
        <v>49</v>
      </c>
      <c r="I2376" s="1703" t="s">
        <v>49</v>
      </c>
      <c r="J2376" s="2150">
        <f>K46</f>
        <v>717.46</v>
      </c>
      <c r="K2376" s="2123">
        <f>ROUND(G2376*J2376,2)</f>
        <v>243.94</v>
      </c>
      <c r="L2376" s="2148"/>
      <c r="M2376" s="13"/>
      <c r="T2376" s="1994"/>
    </row>
    <row r="2377" spans="1:20" s="140" customFormat="1" ht="12.75" hidden="1">
      <c r="A2377" s="2144"/>
      <c r="B2377" s="2146" t="str">
        <f>B2363</f>
        <v>cement</v>
      </c>
      <c r="C2377" s="2146"/>
      <c r="D2377" s="2146"/>
      <c r="E2377" s="2121"/>
      <c r="F2377" s="2121"/>
      <c r="G2377" s="2163">
        <f>G2363</f>
        <v>8.1509999999999999E-2</v>
      </c>
      <c r="H2377" s="2147" t="s">
        <v>91</v>
      </c>
      <c r="I2377" s="1703" t="s">
        <v>91</v>
      </c>
      <c r="J2377" s="2150">
        <f>K50</f>
        <v>426.22</v>
      </c>
      <c r="K2377" s="2123">
        <f>ROUND(G2377*J2377,2)</f>
        <v>34.74</v>
      </c>
      <c r="L2377" s="2148"/>
      <c r="M2377" s="13"/>
      <c r="T2377" s="1994"/>
    </row>
    <row r="2378" spans="1:20" s="140" customFormat="1" ht="12.75" hidden="1">
      <c r="A2378" s="2144"/>
      <c r="B2378" s="2146"/>
      <c r="C2378" s="2146"/>
      <c r="D2378" s="2146"/>
      <c r="E2378" s="2121"/>
      <c r="F2378" s="2121"/>
      <c r="G2378" s="2146"/>
      <c r="H2378" s="2147"/>
      <c r="I2378" s="1703"/>
      <c r="J2378" s="2151" t="s">
        <v>718</v>
      </c>
      <c r="K2378" s="2152">
        <f>SUM(K2375:K2377)</f>
        <v>1587.0900000000001</v>
      </c>
      <c r="L2378" s="2148"/>
      <c r="M2378" s="13"/>
      <c r="O2378" s="1991">
        <f>K2369</f>
        <v>1880.25</v>
      </c>
      <c r="P2378" s="1706" t="s">
        <v>3149</v>
      </c>
      <c r="T2378" s="1994"/>
    </row>
    <row r="2379" spans="1:20" s="1994" customFormat="1" ht="12.75" hidden="1">
      <c r="A2379" s="2154"/>
      <c r="B2379" s="2145" t="s">
        <v>820</v>
      </c>
      <c r="C2379" s="2145"/>
      <c r="D2379" s="2145"/>
      <c r="E2379" s="2155"/>
      <c r="F2379" s="2155"/>
      <c r="G2379" s="2145"/>
      <c r="H2379" s="2148"/>
      <c r="I2379" s="1702"/>
      <c r="J2379" s="2145"/>
      <c r="K2379" s="2152">
        <f>K2373+K2378</f>
        <v>4649.72</v>
      </c>
      <c r="L2379" s="2148" t="s">
        <v>721</v>
      </c>
      <c r="M2379" s="13"/>
      <c r="N2379" s="140"/>
      <c r="O2379" s="1991">
        <f>K2379-O2378</f>
        <v>2769.4700000000003</v>
      </c>
      <c r="P2379" s="1706" t="s">
        <v>26</v>
      </c>
    </row>
    <row r="2380" spans="1:20" ht="57.6" hidden="1" customHeight="1">
      <c r="A2380" s="2114">
        <f>A458</f>
        <v>45</v>
      </c>
      <c r="B2380" s="3017" t="str">
        <f>B458</f>
        <v>Providing 2.5cm thick Damp Proof Course with cement concrete (1:2:4) using 12mm size black hard granite crusher broken chips and screened &amp; washed sharp sand for mortar  etc. complete in all respect as directed by the Engineer in charge.</v>
      </c>
      <c r="C2380" s="3017"/>
      <c r="D2380" s="3017"/>
      <c r="E2380" s="2116" t="str">
        <f>G458</f>
        <v>Each Sqm</v>
      </c>
      <c r="F2380" s="2116"/>
      <c r="G2380" s="2161"/>
      <c r="H2380" s="2117"/>
      <c r="I2380" s="2118"/>
      <c r="J2380" s="2123"/>
      <c r="K2380" s="2124"/>
      <c r="L2380" s="2119"/>
      <c r="M2380" s="568"/>
    </row>
    <row r="2381" spans="1:20" ht="12.75" hidden="1">
      <c r="A2381" s="568"/>
      <c r="B2381" s="568" t="s">
        <v>821</v>
      </c>
      <c r="C2381" s="568"/>
      <c r="D2381" s="568"/>
      <c r="E2381" s="188"/>
      <c r="F2381" s="188"/>
      <c r="G2381" s="2122"/>
      <c r="H2381" s="2117"/>
      <c r="I2381" s="2118"/>
      <c r="J2381" s="2123"/>
      <c r="K2381" s="2123"/>
      <c r="L2381" s="2119"/>
      <c r="M2381" s="568"/>
    </row>
    <row r="2382" spans="1:20" ht="12.75" hidden="1">
      <c r="A2382" s="568"/>
      <c r="B2382" s="192" t="s">
        <v>822</v>
      </c>
      <c r="C2382" s="568"/>
      <c r="D2382" s="568"/>
      <c r="E2382" s="188"/>
      <c r="F2382" s="188"/>
      <c r="G2382" s="568"/>
      <c r="H2382" s="2117"/>
      <c r="I2382" s="2118"/>
      <c r="J2382" s="568"/>
      <c r="K2382" s="568"/>
      <c r="L2382" s="2119"/>
      <c r="M2382" s="568"/>
    </row>
    <row r="2383" spans="1:20" ht="12.75" hidden="1">
      <c r="A2383" s="568"/>
      <c r="B2383" s="2117" t="s">
        <v>823</v>
      </c>
      <c r="C2383" s="568"/>
      <c r="D2383" s="568"/>
      <c r="E2383" s="188"/>
      <c r="F2383" s="188"/>
      <c r="G2383" s="2164">
        <v>2.3E-2</v>
      </c>
      <c r="H2383" s="2117" t="s">
        <v>49</v>
      </c>
      <c r="I2383" s="2118" t="s">
        <v>49</v>
      </c>
      <c r="J2383" s="2123">
        <f>G12</f>
        <v>1396.62</v>
      </c>
      <c r="K2383" s="2123">
        <f>ROUND(G2383*J2383,2)</f>
        <v>32.119999999999997</v>
      </c>
      <c r="L2383" s="2119"/>
      <c r="M2383" s="568"/>
    </row>
    <row r="2384" spans="1:20" ht="12.75" hidden="1">
      <c r="A2384" s="568"/>
      <c r="B2384" s="568" t="s">
        <v>775</v>
      </c>
      <c r="C2384" s="568"/>
      <c r="D2384" s="568"/>
      <c r="E2384" s="188"/>
      <c r="F2384" s="188"/>
      <c r="G2384" s="2164">
        <v>1.2E-2</v>
      </c>
      <c r="H2384" s="2117" t="s">
        <v>49</v>
      </c>
      <c r="I2384" s="2118" t="s">
        <v>49</v>
      </c>
      <c r="J2384" s="2123">
        <f>G46</f>
        <v>76.88</v>
      </c>
      <c r="K2384" s="2123">
        <f>ROUND(G2384*J2384,2)</f>
        <v>0.92</v>
      </c>
      <c r="L2384" s="2119"/>
      <c r="M2384" s="568"/>
    </row>
    <row r="2385" spans="1:16" ht="12.75" hidden="1">
      <c r="A2385" s="568"/>
      <c r="B2385" s="568" t="s">
        <v>8</v>
      </c>
      <c r="C2385" s="568"/>
      <c r="D2385" s="568"/>
      <c r="E2385" s="188"/>
      <c r="F2385" s="188"/>
      <c r="G2385" s="2164">
        <v>7.5399999999999995E-2</v>
      </c>
      <c r="H2385" s="2117" t="s">
        <v>247</v>
      </c>
      <c r="I2385" s="2118" t="s">
        <v>247</v>
      </c>
      <c r="J2385" s="2123">
        <f>G50/10</f>
        <v>570.23400000000004</v>
      </c>
      <c r="K2385" s="2123">
        <f>ROUND(G2385*J2385,2)</f>
        <v>43</v>
      </c>
      <c r="L2385" s="2119"/>
      <c r="M2385" s="568"/>
    </row>
    <row r="2386" spans="1:16" ht="12.75" hidden="1">
      <c r="A2386" s="568"/>
      <c r="B2386" s="568"/>
      <c r="C2386" s="568"/>
      <c r="D2386" s="568"/>
      <c r="E2386" s="188"/>
      <c r="F2386" s="188"/>
      <c r="G2386" s="2122"/>
      <c r="H2386" s="2117"/>
      <c r="I2386" s="2118"/>
      <c r="J2386" s="2126" t="s">
        <v>718</v>
      </c>
      <c r="K2386" s="2124">
        <f>SUM(K2383:K2385)</f>
        <v>76.039999999999992</v>
      </c>
      <c r="L2386" s="2119"/>
      <c r="M2386" s="568"/>
    </row>
    <row r="2387" spans="1:16" ht="12.75" hidden="1">
      <c r="A2387" s="568"/>
      <c r="B2387" s="192" t="s">
        <v>781</v>
      </c>
      <c r="C2387" s="568"/>
      <c r="D2387" s="568"/>
      <c r="E2387" s="188"/>
      <c r="F2387" s="188"/>
      <c r="G2387" s="2122"/>
      <c r="H2387" s="2117"/>
      <c r="I2387" s="2118"/>
      <c r="J2387" s="2123"/>
      <c r="K2387" s="2123"/>
      <c r="L2387" s="2119"/>
      <c r="M2387" s="568"/>
    </row>
    <row r="2388" spans="1:16" ht="12.75" hidden="1">
      <c r="A2388" s="568"/>
      <c r="B2388" s="568" t="s">
        <v>824</v>
      </c>
      <c r="C2388" s="568"/>
      <c r="D2388" s="568"/>
      <c r="E2388" s="188"/>
      <c r="F2388" s="188"/>
      <c r="G2388" s="2122">
        <v>0.10299999999999999</v>
      </c>
      <c r="H2388" s="2117" t="s">
        <v>262</v>
      </c>
      <c r="I2388" s="2118" t="s">
        <v>38</v>
      </c>
      <c r="J2388" s="2123">
        <f>L137</f>
        <v>495</v>
      </c>
      <c r="K2388" s="2123">
        <f>ROUND(G2388*J2388,2)</f>
        <v>50.99</v>
      </c>
      <c r="L2388" s="2119"/>
      <c r="M2388" s="568"/>
    </row>
    <row r="2389" spans="1:16" ht="12.75" hidden="1">
      <c r="A2389" s="568"/>
      <c r="B2389" s="568" t="s">
        <v>717</v>
      </c>
      <c r="C2389" s="568"/>
      <c r="D2389" s="568"/>
      <c r="E2389" s="188"/>
      <c r="F2389" s="188"/>
      <c r="G2389" s="2122">
        <v>0.36</v>
      </c>
      <c r="H2389" s="2117" t="s">
        <v>262</v>
      </c>
      <c r="I2389" s="2118" t="s">
        <v>38</v>
      </c>
      <c r="J2389" s="2123">
        <f>L134</f>
        <v>345</v>
      </c>
      <c r="K2389" s="2123">
        <f>ROUND(G2389*J2389,2)</f>
        <v>124.2</v>
      </c>
      <c r="L2389" s="2119"/>
      <c r="M2389" s="568"/>
    </row>
    <row r="2390" spans="1:16" ht="12.75" hidden="1">
      <c r="A2390" s="568"/>
      <c r="B2390" s="568"/>
      <c r="C2390" s="568"/>
      <c r="D2390" s="568"/>
      <c r="E2390" s="188"/>
      <c r="F2390" s="188"/>
      <c r="G2390" s="2122"/>
      <c r="H2390" s="2117"/>
      <c r="I2390" s="2118"/>
      <c r="J2390" s="2126" t="s">
        <v>718</v>
      </c>
      <c r="K2390" s="2124">
        <f>SUM(K2388:K2389)</f>
        <v>175.19</v>
      </c>
      <c r="L2390" s="2119"/>
      <c r="M2390" s="568"/>
    </row>
    <row r="2391" spans="1:16" ht="12.75" hidden="1">
      <c r="A2391" s="568"/>
      <c r="B2391" s="192" t="s">
        <v>3662</v>
      </c>
      <c r="C2391" s="568"/>
      <c r="D2391" s="568"/>
      <c r="E2391" s="188"/>
      <c r="F2391" s="188"/>
      <c r="G2391" s="2122"/>
      <c r="H2391" s="2135">
        <f>H2371</f>
        <v>7.4999999999999997E-2</v>
      </c>
      <c r="I2391" s="2134">
        <f>K2386+K2390</f>
        <v>251.23</v>
      </c>
      <c r="J2391" s="2134"/>
      <c r="K2391" s="2123">
        <f>ROUND(I2391*H2391,2)</f>
        <v>18.84</v>
      </c>
      <c r="L2391" s="2119"/>
      <c r="M2391" s="568"/>
    </row>
    <row r="2392" spans="1:16" ht="12.75" hidden="1">
      <c r="A2392" s="568"/>
      <c r="B2392" s="192" t="s">
        <v>3661</v>
      </c>
      <c r="C2392" s="568"/>
      <c r="D2392" s="568"/>
      <c r="E2392" s="188"/>
      <c r="F2392" s="188"/>
      <c r="G2392" s="2122"/>
      <c r="H2392" s="2135">
        <f>H2391</f>
        <v>7.4999999999999997E-2</v>
      </c>
      <c r="I2392" s="2134">
        <f>I2391</f>
        <v>251.23</v>
      </c>
      <c r="J2392" s="2134"/>
      <c r="K2392" s="2123">
        <f>ROUND(I2392*H2392,2)</f>
        <v>18.84</v>
      </c>
      <c r="L2392" s="2119"/>
      <c r="M2392" s="568"/>
    </row>
    <row r="2393" spans="1:16" ht="12.75" hidden="1">
      <c r="A2393" s="568"/>
      <c r="B2393" s="192" t="s">
        <v>783</v>
      </c>
      <c r="C2393" s="568"/>
      <c r="D2393" s="568"/>
      <c r="E2393" s="188"/>
      <c r="F2393" s="188"/>
      <c r="G2393" s="2122"/>
      <c r="H2393" s="2117"/>
      <c r="I2393" s="2118"/>
      <c r="J2393" s="2134"/>
      <c r="K2393" s="2123"/>
      <c r="L2393" s="2119"/>
      <c r="M2393" s="568"/>
    </row>
    <row r="2394" spans="1:16" ht="12.75" hidden="1">
      <c r="A2394" s="568"/>
      <c r="B2394" s="2117" t="str">
        <f>B2383</f>
        <v>B.h.g.c.b. chips</v>
      </c>
      <c r="C2394" s="568"/>
      <c r="D2394" s="568"/>
      <c r="E2394" s="188"/>
      <c r="F2394" s="188"/>
      <c r="G2394" s="2164">
        <f>G2383</f>
        <v>2.3E-2</v>
      </c>
      <c r="H2394" s="2117" t="s">
        <v>49</v>
      </c>
      <c r="I2394" s="2118" t="s">
        <v>49</v>
      </c>
      <c r="J2394" s="2123">
        <f>K12</f>
        <v>1308.4099999999999</v>
      </c>
      <c r="K2394" s="2123">
        <f>ROUND(G2394*J2394,2)</f>
        <v>30.09</v>
      </c>
      <c r="L2394" s="2119"/>
      <c r="M2394" s="568"/>
    </row>
    <row r="2395" spans="1:16" ht="12.75" hidden="1">
      <c r="A2395" s="568"/>
      <c r="B2395" s="568" t="s">
        <v>775</v>
      </c>
      <c r="C2395" s="568"/>
      <c r="D2395" s="568"/>
      <c r="E2395" s="188"/>
      <c r="F2395" s="188"/>
      <c r="G2395" s="2164">
        <f>G2384</f>
        <v>1.2E-2</v>
      </c>
      <c r="H2395" s="2117" t="s">
        <v>49</v>
      </c>
      <c r="I2395" s="2118" t="s">
        <v>49</v>
      </c>
      <c r="J2395" s="2123">
        <f>K46</f>
        <v>717.46</v>
      </c>
      <c r="K2395" s="2123">
        <f>ROUND(G2395*J2395,2)</f>
        <v>8.61</v>
      </c>
      <c r="L2395" s="2119"/>
      <c r="M2395" s="568"/>
    </row>
    <row r="2396" spans="1:16" ht="12.75" hidden="1">
      <c r="A2396" s="568"/>
      <c r="B2396" s="568" t="s">
        <v>8</v>
      </c>
      <c r="C2396" s="568"/>
      <c r="D2396" s="568"/>
      <c r="E2396" s="188"/>
      <c r="F2396" s="188"/>
      <c r="G2396" s="2164">
        <f>G2385</f>
        <v>7.5399999999999995E-2</v>
      </c>
      <c r="H2396" s="2117" t="s">
        <v>247</v>
      </c>
      <c r="I2396" s="2118" t="s">
        <v>247</v>
      </c>
      <c r="J2396" s="2123">
        <f>K50/10</f>
        <v>42.622</v>
      </c>
      <c r="K2396" s="2123">
        <f>ROUND(G2396*J2396,2)</f>
        <v>3.21</v>
      </c>
      <c r="L2396" s="2119"/>
      <c r="M2396" s="568"/>
    </row>
    <row r="2397" spans="1:16" ht="12.75" hidden="1">
      <c r="A2397" s="568"/>
      <c r="B2397" s="568"/>
      <c r="C2397" s="568"/>
      <c r="D2397" s="568"/>
      <c r="E2397" s="188"/>
      <c r="F2397" s="188"/>
      <c r="G2397" s="2122"/>
      <c r="H2397" s="2117"/>
      <c r="I2397" s="2118"/>
      <c r="J2397" s="2126" t="s">
        <v>718</v>
      </c>
      <c r="K2397" s="2124">
        <f>SUM(K2394:K2396)</f>
        <v>41.910000000000004</v>
      </c>
      <c r="L2397" s="2119"/>
      <c r="M2397" s="568"/>
      <c r="O2397" s="1991">
        <f>K2390</f>
        <v>175.19</v>
      </c>
      <c r="P2397" s="1706" t="s">
        <v>3149</v>
      </c>
    </row>
    <row r="2398" spans="1:16" ht="12.75" hidden="1">
      <c r="A2398" s="568"/>
      <c r="B2398" s="192" t="s">
        <v>825</v>
      </c>
      <c r="C2398" s="568"/>
      <c r="D2398" s="568"/>
      <c r="E2398" s="188"/>
      <c r="F2398" s="188"/>
      <c r="G2398" s="2161"/>
      <c r="H2398" s="2117"/>
      <c r="I2398" s="2118"/>
      <c r="J2398" s="2123"/>
      <c r="K2398" s="2124">
        <f>K2386+K2390+K2392+K2391+K2397</f>
        <v>330.82</v>
      </c>
      <c r="L2398" s="2119" t="s">
        <v>730</v>
      </c>
      <c r="M2398" s="568"/>
      <c r="O2398" s="1991">
        <f>K2398-O2397</f>
        <v>155.63</v>
      </c>
      <c r="P2398" s="1706" t="s">
        <v>26</v>
      </c>
    </row>
    <row r="2399" spans="1:16" ht="43.35" customHeight="1">
      <c r="A2399" s="2114">
        <f>A459</f>
        <v>46</v>
      </c>
      <c r="B2399" s="3025" t="str">
        <f>B459</f>
        <v>Back Filling of surplus excavated earth at work site by initial lead of 50.00mtr and initial lift of 1.50mtr including cost of all labour T&amp;P required for the work etc. complete as directed by Engineer-In-Charge</v>
      </c>
      <c r="C2399" s="3025"/>
      <c r="D2399" s="3025"/>
      <c r="E2399" s="3025"/>
      <c r="F2399" s="3025"/>
      <c r="G2399" s="3025"/>
      <c r="H2399" s="3025"/>
      <c r="I2399" s="2118"/>
      <c r="J2399" s="2124"/>
      <c r="K2399" s="2124"/>
      <c r="L2399" s="192"/>
      <c r="M2399" s="568"/>
    </row>
    <row r="2400" spans="1:16" ht="12.75">
      <c r="A2400" s="2114"/>
      <c r="B2400" s="568" t="s">
        <v>826</v>
      </c>
      <c r="C2400" s="568"/>
      <c r="D2400" s="568"/>
      <c r="E2400" s="188"/>
      <c r="F2400" s="188"/>
      <c r="G2400" s="2122" t="s">
        <v>827</v>
      </c>
      <c r="H2400" s="568"/>
      <c r="I2400" s="2118"/>
      <c r="J2400" s="2123"/>
      <c r="K2400" s="2124">
        <f>ROUND(K1806/300*2,2)</f>
        <v>98.9</v>
      </c>
      <c r="L2400" s="192" t="s">
        <v>721</v>
      </c>
      <c r="M2400" s="568"/>
    </row>
    <row r="2401" spans="1:28" ht="43.15" customHeight="1">
      <c r="A2401" s="2114">
        <f>A460</f>
        <v>47</v>
      </c>
      <c r="B2401" s="3017" t="str">
        <f>B460</f>
        <v>R.C.C. M20  using  20 mm to 10mm  size black hard crusher broken granite stone chips of approved quality and from approved quarry  etc. complete in all respect .</v>
      </c>
      <c r="C2401" s="3017"/>
      <c r="D2401" s="3017"/>
      <c r="E2401" s="2116" t="str">
        <f>G340</f>
        <v>Each Sqm</v>
      </c>
      <c r="F2401" s="2116"/>
      <c r="G2401" s="2122"/>
      <c r="H2401" s="568"/>
      <c r="I2401" s="2118"/>
      <c r="J2401" s="2124"/>
      <c r="K2401" s="2124"/>
      <c r="L2401" s="192"/>
      <c r="M2401" s="568"/>
    </row>
    <row r="2402" spans="1:28" s="1706" customFormat="1" ht="12.75">
      <c r="A2402" s="2114" t="str">
        <f>A461</f>
        <v>(i)</v>
      </c>
      <c r="B2402" s="192" t="s">
        <v>384</v>
      </c>
      <c r="C2402" s="192"/>
      <c r="D2402" s="192"/>
      <c r="E2402" s="188"/>
      <c r="F2402" s="188"/>
      <c r="G2402" s="2141"/>
      <c r="H2402" s="192"/>
      <c r="I2402" s="2114"/>
      <c r="J2402" s="2124"/>
      <c r="K2402" s="2124"/>
      <c r="L2402" s="192"/>
      <c r="M2402" s="568"/>
    </row>
    <row r="2403" spans="1:28" ht="12.75">
      <c r="A2403" s="2114"/>
      <c r="B2403" s="192" t="s">
        <v>828</v>
      </c>
      <c r="C2403" s="568"/>
      <c r="D2403" s="568"/>
      <c r="E2403" s="188"/>
      <c r="F2403" s="188"/>
      <c r="G2403" s="2122"/>
      <c r="H2403" s="568"/>
      <c r="I2403" s="2118"/>
      <c r="J2403" s="2123"/>
      <c r="K2403" s="2123"/>
      <c r="L2403" s="192"/>
      <c r="M2403" s="568"/>
    </row>
    <row r="2404" spans="1:28" ht="12.75">
      <c r="A2404" s="2114"/>
      <c r="B2404" s="192" t="s">
        <v>829</v>
      </c>
      <c r="C2404" s="568"/>
      <c r="D2404" s="568"/>
      <c r="E2404" s="188"/>
      <c r="F2404" s="188"/>
      <c r="G2404" s="2122"/>
      <c r="H2404" s="568"/>
      <c r="I2404" s="2118"/>
      <c r="J2404" s="2123"/>
      <c r="K2404" s="2123"/>
      <c r="L2404" s="192"/>
      <c r="M2404" s="568"/>
    </row>
    <row r="2405" spans="1:28" ht="12.75">
      <c r="A2405" s="2114"/>
      <c r="B2405" s="568" t="s">
        <v>830</v>
      </c>
      <c r="C2405" s="568"/>
      <c r="D2405" s="568"/>
      <c r="E2405" s="188"/>
      <c r="F2405" s="188"/>
      <c r="G2405" s="2122">
        <v>8.1</v>
      </c>
      <c r="H2405" s="568" t="s">
        <v>49</v>
      </c>
      <c r="I2405" s="2118" t="s">
        <v>49</v>
      </c>
      <c r="J2405" s="2123">
        <f>G11</f>
        <v>1382.29</v>
      </c>
      <c r="K2405" s="2123">
        <f>ROUND(G2405*J2405,2)</f>
        <v>11196.55</v>
      </c>
      <c r="L2405" s="192"/>
      <c r="M2405" s="568"/>
    </row>
    <row r="2406" spans="1:28" ht="12.75">
      <c r="A2406" s="2114"/>
      <c r="B2406" s="568" t="s">
        <v>831</v>
      </c>
      <c r="C2406" s="568"/>
      <c r="D2406" s="568"/>
      <c r="E2406" s="188"/>
      <c r="F2406" s="188"/>
      <c r="G2406" s="2122">
        <v>5.4</v>
      </c>
      <c r="H2406" s="568" t="s">
        <v>49</v>
      </c>
      <c r="I2406" s="2118" t="s">
        <v>49</v>
      </c>
      <c r="J2406" s="2123">
        <f>G14</f>
        <v>1402</v>
      </c>
      <c r="K2406" s="2123">
        <f>ROUND(G2406*J2406,2)</f>
        <v>7570.8</v>
      </c>
      <c r="L2406" s="192"/>
      <c r="M2406" s="568"/>
    </row>
    <row r="2407" spans="1:28" ht="12.75">
      <c r="A2407" s="2114"/>
      <c r="B2407" s="568" t="s">
        <v>832</v>
      </c>
      <c r="C2407" s="568"/>
      <c r="D2407" s="568"/>
      <c r="E2407" s="188"/>
      <c r="F2407" s="188"/>
      <c r="G2407" s="2122">
        <v>6.75</v>
      </c>
      <c r="H2407" s="568" t="s">
        <v>49</v>
      </c>
      <c r="I2407" s="2118" t="s">
        <v>49</v>
      </c>
      <c r="J2407" s="2123">
        <f>G46</f>
        <v>76.88</v>
      </c>
      <c r="K2407" s="2123">
        <f>ROUND(G2407*J2407,2)</f>
        <v>518.94000000000005</v>
      </c>
      <c r="L2407" s="192"/>
      <c r="M2407" s="568"/>
    </row>
    <row r="2408" spans="1:28" s="1706" customFormat="1" ht="12.75">
      <c r="A2408" s="2114"/>
      <c r="B2408" s="568" t="s">
        <v>8</v>
      </c>
      <c r="C2408" s="568"/>
      <c r="D2408" s="568"/>
      <c r="E2408" s="188"/>
      <c r="F2408" s="188"/>
      <c r="G2408" s="2122">
        <v>5.21</v>
      </c>
      <c r="H2408" s="568" t="s">
        <v>91</v>
      </c>
      <c r="I2408" s="2118" t="s">
        <v>91</v>
      </c>
      <c r="J2408" s="2123">
        <f>G50</f>
        <v>5702.34</v>
      </c>
      <c r="K2408" s="2123">
        <f>ROUND(G2408*J2408,2)</f>
        <v>29709.19</v>
      </c>
      <c r="L2408" s="192"/>
      <c r="M2408" s="568"/>
      <c r="N2408" s="1705"/>
      <c r="O2408" s="1705"/>
      <c r="P2408" s="1705"/>
      <c r="Q2408" s="1705"/>
      <c r="R2408" s="1705"/>
      <c r="S2408" s="1705"/>
      <c r="U2408" s="1705"/>
      <c r="V2408" s="1705"/>
      <c r="W2408" s="1705"/>
      <c r="X2408" s="1705"/>
      <c r="Y2408" s="1705"/>
      <c r="Z2408" s="1705"/>
      <c r="AA2408" s="1705"/>
      <c r="AB2408" s="1705"/>
    </row>
    <row r="2409" spans="1:28" s="1706" customFormat="1" ht="12.75">
      <c r="A2409" s="2114"/>
      <c r="B2409" s="568"/>
      <c r="C2409" s="568"/>
      <c r="D2409" s="568"/>
      <c r="E2409" s="188"/>
      <c r="F2409" s="188"/>
      <c r="G2409" s="2122"/>
      <c r="H2409" s="568"/>
      <c r="I2409" s="2118"/>
      <c r="J2409" s="2134" t="s">
        <v>718</v>
      </c>
      <c r="K2409" s="2123">
        <f>SUM(K2405:K2408)</f>
        <v>48995.479999999996</v>
      </c>
      <c r="L2409" s="192"/>
      <c r="M2409" s="568"/>
      <c r="N2409" s="1705"/>
      <c r="O2409" s="1705"/>
      <c r="P2409" s="1705"/>
      <c r="Q2409" s="1705"/>
      <c r="R2409" s="1705"/>
      <c r="S2409" s="1705"/>
      <c r="U2409" s="1705"/>
      <c r="V2409" s="1705"/>
      <c r="W2409" s="1705"/>
      <c r="X2409" s="1705"/>
      <c r="Y2409" s="1705"/>
      <c r="Z2409" s="1705"/>
      <c r="AA2409" s="1705"/>
      <c r="AB2409" s="1705"/>
    </row>
    <row r="2410" spans="1:28" s="1706" customFormat="1" ht="12.75">
      <c r="A2410" s="2114"/>
      <c r="B2410" s="192" t="s">
        <v>816</v>
      </c>
      <c r="C2410" s="568"/>
      <c r="D2410" s="568"/>
      <c r="E2410" s="188"/>
      <c r="F2410" s="188"/>
      <c r="G2410" s="2122"/>
      <c r="H2410" s="568"/>
      <c r="I2410" s="2118"/>
      <c r="J2410" s="2123"/>
      <c r="K2410" s="2123"/>
      <c r="L2410" s="192"/>
      <c r="M2410" s="568"/>
      <c r="N2410" s="1705"/>
      <c r="O2410" s="1705"/>
      <c r="P2410" s="1705"/>
      <c r="Q2410" s="1705"/>
      <c r="R2410" s="1705"/>
      <c r="S2410" s="1705"/>
      <c r="U2410" s="1705"/>
      <c r="V2410" s="1705"/>
      <c r="W2410" s="1705"/>
      <c r="X2410" s="1705"/>
      <c r="Y2410" s="1705"/>
      <c r="Z2410" s="1705"/>
      <c r="AA2410" s="1705"/>
      <c r="AB2410" s="1705"/>
    </row>
    <row r="2411" spans="1:28" s="1706" customFormat="1" ht="12.75">
      <c r="A2411" s="2114"/>
      <c r="B2411" s="568" t="s">
        <v>744</v>
      </c>
      <c r="C2411" s="568"/>
      <c r="D2411" s="568"/>
      <c r="E2411" s="188"/>
      <c r="F2411" s="188"/>
      <c r="G2411" s="2122">
        <v>0.86</v>
      </c>
      <c r="H2411" s="568" t="s">
        <v>262</v>
      </c>
      <c r="I2411" s="2118" t="s">
        <v>315</v>
      </c>
      <c r="J2411" s="2123">
        <f>L135</f>
        <v>385</v>
      </c>
      <c r="K2411" s="2123">
        <f>ROUND(G2411*J2411,2)</f>
        <v>331.1</v>
      </c>
      <c r="L2411" s="192"/>
      <c r="M2411" s="568"/>
      <c r="N2411" s="1705"/>
      <c r="O2411" s="1705"/>
      <c r="P2411" s="1705"/>
      <c r="Q2411" s="1705"/>
      <c r="R2411" s="1705"/>
      <c r="S2411" s="1705"/>
      <c r="U2411" s="1705"/>
      <c r="V2411" s="1705"/>
      <c r="W2411" s="1705"/>
      <c r="X2411" s="1705"/>
      <c r="Y2411" s="1705"/>
      <c r="Z2411" s="1705"/>
      <c r="AA2411" s="1705"/>
      <c r="AB2411" s="1705"/>
    </row>
    <row r="2412" spans="1:28" s="1706" customFormat="1" ht="12.75">
      <c r="A2412" s="2114"/>
      <c r="B2412" s="568" t="s">
        <v>818</v>
      </c>
      <c r="C2412" s="568"/>
      <c r="D2412" s="568"/>
      <c r="E2412" s="188"/>
      <c r="F2412" s="188"/>
      <c r="G2412" s="2122">
        <v>1.5</v>
      </c>
      <c r="H2412" s="568" t="s">
        <v>262</v>
      </c>
      <c r="I2412" s="2118" t="s">
        <v>315</v>
      </c>
      <c r="J2412" s="2123">
        <f>L136</f>
        <v>435</v>
      </c>
      <c r="K2412" s="2123">
        <f>ROUND(G2412*J2412,2)</f>
        <v>652.5</v>
      </c>
      <c r="L2412" s="192"/>
      <c r="M2412" s="568"/>
      <c r="N2412" s="1705"/>
      <c r="O2412" s="1705"/>
      <c r="P2412" s="1705"/>
      <c r="Q2412" s="1705"/>
      <c r="R2412" s="1705"/>
      <c r="S2412" s="1705"/>
      <c r="U2412" s="1705"/>
      <c r="V2412" s="1705"/>
      <c r="W2412" s="1705"/>
      <c r="X2412" s="1705"/>
      <c r="Y2412" s="1705"/>
      <c r="Z2412" s="1705"/>
      <c r="AA2412" s="1705"/>
      <c r="AB2412" s="1705"/>
    </row>
    <row r="2413" spans="1:28" s="1706" customFormat="1" ht="12.75">
      <c r="A2413" s="2114"/>
      <c r="B2413" s="568" t="s">
        <v>717</v>
      </c>
      <c r="C2413" s="568"/>
      <c r="D2413" s="568"/>
      <c r="E2413" s="188"/>
      <c r="F2413" s="188"/>
      <c r="G2413" s="2122">
        <v>20</v>
      </c>
      <c r="H2413" s="568" t="s">
        <v>262</v>
      </c>
      <c r="I2413" s="2118" t="s">
        <v>315</v>
      </c>
      <c r="J2413" s="2123">
        <f>L134</f>
        <v>345</v>
      </c>
      <c r="K2413" s="2123">
        <f>ROUND(G2413*J2413,2)</f>
        <v>6900</v>
      </c>
      <c r="L2413" s="192"/>
      <c r="M2413" s="568"/>
      <c r="N2413" s="1705"/>
      <c r="O2413" s="1705"/>
      <c r="P2413" s="1705"/>
      <c r="Q2413" s="1705"/>
      <c r="R2413" s="1705"/>
      <c r="S2413" s="1705"/>
      <c r="U2413" s="1705"/>
      <c r="V2413" s="1705"/>
      <c r="W2413" s="1705"/>
      <c r="X2413" s="1705"/>
      <c r="Y2413" s="1705"/>
      <c r="Z2413" s="1705"/>
      <c r="AA2413" s="1705"/>
      <c r="AB2413" s="1705"/>
    </row>
    <row r="2414" spans="1:28" s="1706" customFormat="1" ht="12.75">
      <c r="A2414" s="2114"/>
      <c r="B2414" s="568"/>
      <c r="C2414" s="568"/>
      <c r="D2414" s="568"/>
      <c r="E2414" s="188"/>
      <c r="F2414" s="188"/>
      <c r="G2414" s="2122"/>
      <c r="H2414" s="568"/>
      <c r="I2414" s="2118"/>
      <c r="J2414" s="2134" t="s">
        <v>718</v>
      </c>
      <c r="K2414" s="2123">
        <f>SUM(K2411:K2413)</f>
        <v>7883.6</v>
      </c>
      <c r="L2414" s="192"/>
      <c r="M2414" s="568"/>
      <c r="N2414" s="1705"/>
      <c r="O2414" s="1705"/>
      <c r="P2414" s="1705"/>
      <c r="Q2414" s="1705"/>
      <c r="R2414" s="1705"/>
      <c r="S2414" s="1705"/>
      <c r="U2414" s="1705"/>
      <c r="V2414" s="1705"/>
      <c r="W2414" s="1705"/>
      <c r="X2414" s="1705"/>
      <c r="Y2414" s="1705"/>
      <c r="Z2414" s="1705"/>
      <c r="AA2414" s="1705"/>
      <c r="AB2414" s="1705"/>
    </row>
    <row r="2415" spans="1:28" s="1706" customFormat="1" ht="12.75">
      <c r="A2415" s="2114"/>
      <c r="B2415" s="192" t="s">
        <v>833</v>
      </c>
      <c r="C2415" s="568"/>
      <c r="D2415" s="568"/>
      <c r="E2415" s="188"/>
      <c r="F2415" s="188"/>
      <c r="G2415" s="2122"/>
      <c r="H2415" s="568"/>
      <c r="I2415" s="2118"/>
      <c r="J2415" s="2123"/>
      <c r="K2415" s="2123"/>
      <c r="L2415" s="192"/>
      <c r="M2415" s="568"/>
      <c r="N2415" s="1705"/>
      <c r="O2415" s="1705"/>
      <c r="P2415" s="1705"/>
      <c r="Q2415" s="1705"/>
      <c r="R2415" s="1705"/>
      <c r="S2415" s="1705"/>
      <c r="U2415" s="1705"/>
      <c r="V2415" s="1705"/>
      <c r="W2415" s="1705"/>
      <c r="X2415" s="1705"/>
      <c r="Y2415" s="1705"/>
      <c r="Z2415" s="1705"/>
      <c r="AA2415" s="1705"/>
      <c r="AB2415" s="1705"/>
    </row>
    <row r="2416" spans="1:28" s="1706" customFormat="1" ht="12.75">
      <c r="A2416" s="2114"/>
      <c r="B2416" s="568" t="s">
        <v>834</v>
      </c>
      <c r="C2416" s="568"/>
      <c r="D2416" s="568"/>
      <c r="E2416" s="188"/>
      <c r="F2416" s="188"/>
      <c r="G2416" s="2122">
        <v>6</v>
      </c>
      <c r="H2416" s="568" t="s">
        <v>312</v>
      </c>
      <c r="I2416" s="2118" t="s">
        <v>312</v>
      </c>
      <c r="J2416" s="2123">
        <f>G223</f>
        <v>229.55</v>
      </c>
      <c r="K2416" s="2123">
        <f>ROUND(G2416*J2416,2)</f>
        <v>1377.3</v>
      </c>
      <c r="L2416" s="192"/>
      <c r="M2416" s="568"/>
      <c r="N2416" s="1705"/>
      <c r="O2416" s="1705"/>
      <c r="P2416" s="1705"/>
      <c r="Q2416" s="1705"/>
      <c r="R2416" s="1705"/>
      <c r="S2416" s="1705"/>
      <c r="U2416" s="1705"/>
      <c r="V2416" s="1705"/>
      <c r="W2416" s="1705"/>
      <c r="X2416" s="1705"/>
      <c r="Y2416" s="1705"/>
      <c r="Z2416" s="1705"/>
      <c r="AA2416" s="1705"/>
      <c r="AB2416" s="1705"/>
    </row>
    <row r="2417" spans="1:28" s="1706" customFormat="1" ht="12.75">
      <c r="A2417" s="2114"/>
      <c r="B2417" s="568" t="s">
        <v>313</v>
      </c>
      <c r="C2417" s="568"/>
      <c r="D2417" s="568"/>
      <c r="E2417" s="188"/>
      <c r="F2417" s="188"/>
      <c r="G2417" s="2122">
        <v>6</v>
      </c>
      <c r="H2417" s="568" t="s">
        <v>312</v>
      </c>
      <c r="I2417" s="2118" t="s">
        <v>312</v>
      </c>
      <c r="J2417" s="2123">
        <f>M239</f>
        <v>700</v>
      </c>
      <c r="K2417" s="2123">
        <f>ROUND(G2417*J2417,2)</f>
        <v>4200</v>
      </c>
      <c r="L2417" s="192"/>
      <c r="M2417" s="568"/>
      <c r="N2417" s="1705"/>
      <c r="O2417" s="1705"/>
      <c r="P2417" s="1705"/>
      <c r="Q2417" s="1705"/>
      <c r="R2417" s="1705"/>
      <c r="S2417" s="1705"/>
      <c r="U2417" s="1705"/>
      <c r="V2417" s="1705"/>
      <c r="W2417" s="1705"/>
      <c r="X2417" s="1705"/>
      <c r="Y2417" s="1705"/>
      <c r="Z2417" s="1705"/>
      <c r="AA2417" s="1705"/>
      <c r="AB2417" s="1705"/>
    </row>
    <row r="2418" spans="1:28" s="1706" customFormat="1" ht="12.75">
      <c r="A2418" s="2114"/>
      <c r="B2418" s="568"/>
      <c r="C2418" s="568"/>
      <c r="D2418" s="568"/>
      <c r="E2418" s="188"/>
      <c r="F2418" s="188"/>
      <c r="G2418" s="2122"/>
      <c r="H2418" s="568"/>
      <c r="I2418" s="2118"/>
      <c r="J2418" s="2134" t="s">
        <v>718</v>
      </c>
      <c r="K2418" s="2123">
        <f>K2417+K2416</f>
        <v>5577.3</v>
      </c>
      <c r="L2418" s="192"/>
      <c r="M2418" s="568"/>
      <c r="N2418" s="1705"/>
      <c r="O2418" s="1705"/>
      <c r="P2418" s="1705"/>
      <c r="Q2418" s="1705"/>
      <c r="R2418" s="1705"/>
      <c r="S2418" s="1705"/>
      <c r="U2418" s="1705"/>
      <c r="V2418" s="1705"/>
      <c r="W2418" s="1705"/>
      <c r="X2418" s="1705"/>
      <c r="Y2418" s="1705"/>
      <c r="Z2418" s="1705"/>
      <c r="AA2418" s="1705"/>
      <c r="AB2418" s="1705"/>
    </row>
    <row r="2419" spans="1:28" ht="12.75">
      <c r="A2419" s="568"/>
      <c r="B2419" s="192" t="s">
        <v>3662</v>
      </c>
      <c r="C2419" s="568"/>
      <c r="D2419" s="568"/>
      <c r="E2419" s="188"/>
      <c r="F2419" s="188"/>
      <c r="G2419" s="2122"/>
      <c r="H2419" s="2135">
        <f>H2392</f>
        <v>7.4999999999999997E-2</v>
      </c>
      <c r="I2419" s="2134">
        <f>K2409+K2414+K2418</f>
        <v>62456.38</v>
      </c>
      <c r="J2419" s="2134"/>
      <c r="K2419" s="2123">
        <f>ROUND(I2419*H2419,2)</f>
        <v>4684.2299999999996</v>
      </c>
      <c r="L2419" s="2119"/>
      <c r="M2419" s="568"/>
    </row>
    <row r="2420" spans="1:28" ht="12.75">
      <c r="A2420" s="568"/>
      <c r="B2420" s="192" t="s">
        <v>3661</v>
      </c>
      <c r="C2420" s="568"/>
      <c r="D2420" s="568"/>
      <c r="E2420" s="188"/>
      <c r="F2420" s="188"/>
      <c r="G2420" s="2122"/>
      <c r="H2420" s="2135">
        <f>H2419</f>
        <v>7.4999999999999997E-2</v>
      </c>
      <c r="I2420" s="2134">
        <f>I2419</f>
        <v>62456.38</v>
      </c>
      <c r="J2420" s="2134"/>
      <c r="K2420" s="2123">
        <f>ROUND(I2420*H2420,2)</f>
        <v>4684.2299999999996</v>
      </c>
      <c r="L2420" s="2119"/>
      <c r="M2420" s="568"/>
    </row>
    <row r="2421" spans="1:28" s="1706" customFormat="1" ht="12.75">
      <c r="A2421" s="2114"/>
      <c r="B2421" s="192" t="s">
        <v>835</v>
      </c>
      <c r="C2421" s="568"/>
      <c r="D2421" s="568"/>
      <c r="E2421" s="188"/>
      <c r="F2421" s="188"/>
      <c r="G2421" s="2122"/>
      <c r="H2421" s="568"/>
      <c r="I2421" s="2118"/>
      <c r="J2421" s="2134" t="s">
        <v>718</v>
      </c>
      <c r="K2421" s="2123">
        <f>K2409+K2414+K2418+K2419+K2420</f>
        <v>71824.84</v>
      </c>
      <c r="L2421" s="192"/>
      <c r="M2421" s="568"/>
      <c r="N2421" s="1705"/>
      <c r="O2421" s="1705"/>
      <c r="P2421" s="1705"/>
      <c r="Q2421" s="1705"/>
      <c r="R2421" s="1705"/>
      <c r="S2421" s="1705"/>
      <c r="U2421" s="1705"/>
      <c r="V2421" s="1705"/>
      <c r="W2421" s="1705"/>
      <c r="X2421" s="1705"/>
      <c r="Y2421" s="1705"/>
      <c r="Z2421" s="1705"/>
      <c r="AA2421" s="1705"/>
      <c r="AB2421" s="1705"/>
    </row>
    <row r="2422" spans="1:28" s="1706" customFormat="1" ht="12.75">
      <c r="A2422" s="2114"/>
      <c r="B2422" s="192" t="s">
        <v>836</v>
      </c>
      <c r="C2422" s="568"/>
      <c r="D2422" s="568"/>
      <c r="E2422" s="188"/>
      <c r="F2422" s="188"/>
      <c r="G2422" s="2122"/>
      <c r="H2422" s="568"/>
      <c r="I2422" s="2118"/>
      <c r="J2422" s="2123"/>
      <c r="K2422" s="2123"/>
      <c r="L2422" s="192"/>
      <c r="M2422" s="568"/>
      <c r="N2422" s="1705"/>
      <c r="O2422" s="1705"/>
      <c r="P2422" s="1705"/>
      <c r="Q2422" s="1705"/>
      <c r="R2422" s="1705"/>
      <c r="S2422" s="1705"/>
      <c r="U2422" s="1705"/>
      <c r="V2422" s="1705"/>
      <c r="W2422" s="1705"/>
      <c r="X2422" s="1705"/>
      <c r="Y2422" s="1705"/>
      <c r="Z2422" s="1705"/>
      <c r="AA2422" s="1705"/>
      <c r="AB2422" s="1705"/>
    </row>
    <row r="2423" spans="1:28" s="1706" customFormat="1" ht="12.75">
      <c r="A2423" s="2114"/>
      <c r="B2423" s="568" t="s">
        <v>830</v>
      </c>
      <c r="C2423" s="568"/>
      <c r="D2423" s="568"/>
      <c r="E2423" s="188"/>
      <c r="F2423" s="188"/>
      <c r="G2423" s="2122">
        <f>G2405</f>
        <v>8.1</v>
      </c>
      <c r="H2423" s="568" t="s">
        <v>49</v>
      </c>
      <c r="I2423" s="2118" t="s">
        <v>49</v>
      </c>
      <c r="J2423" s="2123">
        <f>K11</f>
        <v>1308.4099999999999</v>
      </c>
      <c r="K2423" s="2123">
        <f>ROUND(G2423*J2423,2)</f>
        <v>10598.12</v>
      </c>
      <c r="L2423" s="192"/>
      <c r="M2423" s="568"/>
      <c r="N2423" s="1705"/>
      <c r="O2423" s="1705"/>
      <c r="P2423" s="1705"/>
      <c r="Q2423" s="1705"/>
      <c r="R2423" s="1705"/>
      <c r="S2423" s="1705"/>
      <c r="U2423" s="1705"/>
      <c r="V2423" s="1705"/>
      <c r="W2423" s="1705"/>
      <c r="X2423" s="1705"/>
      <c r="Y2423" s="1705"/>
      <c r="Z2423" s="1705"/>
      <c r="AA2423" s="1705"/>
      <c r="AB2423" s="1705"/>
    </row>
    <row r="2424" spans="1:28" s="1706" customFormat="1" ht="12.75">
      <c r="A2424" s="2114"/>
      <c r="B2424" s="568" t="s">
        <v>831</v>
      </c>
      <c r="C2424" s="568"/>
      <c r="D2424" s="568"/>
      <c r="E2424" s="188"/>
      <c r="F2424" s="188"/>
      <c r="G2424" s="2122">
        <f>G2406</f>
        <v>5.4</v>
      </c>
      <c r="H2424" s="568" t="s">
        <v>49</v>
      </c>
      <c r="I2424" s="2118" t="s">
        <v>49</v>
      </c>
      <c r="J2424" s="2123">
        <f>J2423</f>
        <v>1308.4099999999999</v>
      </c>
      <c r="K2424" s="2123">
        <f>ROUND(G2424*J2424,2)</f>
        <v>7065.41</v>
      </c>
      <c r="L2424" s="192"/>
      <c r="M2424" s="568"/>
      <c r="N2424" s="1705"/>
      <c r="O2424" s="1705"/>
      <c r="P2424" s="1705"/>
      <c r="Q2424" s="1705"/>
      <c r="R2424" s="1705"/>
      <c r="S2424" s="1705"/>
      <c r="U2424" s="1705"/>
      <c r="V2424" s="1705"/>
      <c r="W2424" s="1705"/>
      <c r="X2424" s="1705"/>
      <c r="Y2424" s="1705"/>
      <c r="Z2424" s="1705"/>
      <c r="AA2424" s="1705"/>
      <c r="AB2424" s="1705"/>
    </row>
    <row r="2425" spans="1:28" ht="12.75">
      <c r="A2425" s="2114"/>
      <c r="B2425" s="568" t="s">
        <v>832</v>
      </c>
      <c r="C2425" s="568"/>
      <c r="D2425" s="568"/>
      <c r="E2425" s="188"/>
      <c r="F2425" s="188"/>
      <c r="G2425" s="2122">
        <f>G2407</f>
        <v>6.75</v>
      </c>
      <c r="H2425" s="568" t="s">
        <v>49</v>
      </c>
      <c r="I2425" s="2118" t="s">
        <v>49</v>
      </c>
      <c r="J2425" s="2123">
        <f>K46</f>
        <v>717.46</v>
      </c>
      <c r="K2425" s="2123">
        <f>ROUND(G2425*J2425,2)</f>
        <v>4842.8599999999997</v>
      </c>
      <c r="L2425" s="192"/>
      <c r="M2425" s="568"/>
    </row>
    <row r="2426" spans="1:28" ht="12.75">
      <c r="A2426" s="2114"/>
      <c r="B2426" s="568" t="s">
        <v>8</v>
      </c>
      <c r="C2426" s="568"/>
      <c r="D2426" s="568"/>
      <c r="E2426" s="188"/>
      <c r="F2426" s="188"/>
      <c r="G2426" s="2122">
        <f>G2408</f>
        <v>5.21</v>
      </c>
      <c r="H2426" s="568" t="s">
        <v>91</v>
      </c>
      <c r="I2426" s="2118" t="s">
        <v>91</v>
      </c>
      <c r="J2426" s="2123">
        <f>K50</f>
        <v>426.22</v>
      </c>
      <c r="K2426" s="2123">
        <f>ROUND(G2426*J2426,2)</f>
        <v>2220.61</v>
      </c>
      <c r="L2426" s="192"/>
      <c r="M2426" s="568"/>
    </row>
    <row r="2427" spans="1:28" ht="12.75">
      <c r="A2427" s="2114"/>
      <c r="B2427" s="568"/>
      <c r="C2427" s="568"/>
      <c r="D2427" s="568"/>
      <c r="E2427" s="188"/>
      <c r="F2427" s="188"/>
      <c r="G2427" s="2122"/>
      <c r="H2427" s="568"/>
      <c r="I2427" s="2118"/>
      <c r="J2427" s="2134" t="s">
        <v>718</v>
      </c>
      <c r="K2427" s="2123">
        <f>SUM(K2423:K2426)</f>
        <v>24727</v>
      </c>
      <c r="L2427" s="192"/>
      <c r="M2427" s="568"/>
    </row>
    <row r="2428" spans="1:28" ht="12.75">
      <c r="A2428" s="2114"/>
      <c r="B2428" s="192" t="s">
        <v>837</v>
      </c>
      <c r="C2428" s="568"/>
      <c r="D2428" s="568"/>
      <c r="E2428" s="188"/>
      <c r="F2428" s="188"/>
      <c r="G2428" s="2122"/>
      <c r="H2428" s="568"/>
      <c r="I2428" s="2118"/>
      <c r="J2428" s="2123"/>
      <c r="K2428" s="2123">
        <f>K2421+K2427</f>
        <v>96551.84</v>
      </c>
      <c r="L2428" s="192"/>
      <c r="M2428" s="568"/>
    </row>
    <row r="2429" spans="1:28" ht="12.75">
      <c r="A2429" s="2114"/>
      <c r="B2429" s="192" t="s">
        <v>838</v>
      </c>
      <c r="C2429" s="568"/>
      <c r="D2429" s="568"/>
      <c r="E2429" s="188"/>
      <c r="F2429" s="188"/>
      <c r="G2429" s="2122"/>
      <c r="H2429" s="568"/>
      <c r="I2429" s="2118"/>
      <c r="J2429" s="2123"/>
      <c r="K2429" s="2124">
        <f>ROUND(K2428/15,2)</f>
        <v>6436.79</v>
      </c>
      <c r="L2429" s="192"/>
      <c r="M2429" s="568"/>
      <c r="O2429" s="1991">
        <f>ROUND(K2414/15,2)</f>
        <v>525.57000000000005</v>
      </c>
      <c r="P2429" s="1706" t="s">
        <v>3149</v>
      </c>
    </row>
    <row r="2430" spans="1:28" ht="12.75">
      <c r="A2430" s="2114"/>
      <c r="B2430" s="192" t="s">
        <v>3738</v>
      </c>
      <c r="C2430" s="2142">
        <v>0.01</v>
      </c>
      <c r="D2430" s="568"/>
      <c r="E2430" s="188"/>
      <c r="F2430" s="188"/>
      <c r="G2430" s="2122"/>
      <c r="H2430" s="568"/>
      <c r="I2430" s="2118"/>
      <c r="J2430" s="2134"/>
      <c r="K2430" s="2123">
        <f>ROUND(K2429*C2430,2)</f>
        <v>64.37</v>
      </c>
      <c r="L2430" s="192"/>
      <c r="M2430" s="568"/>
      <c r="O2430" s="1991"/>
      <c r="P2430" s="1706"/>
    </row>
    <row r="2431" spans="1:28" ht="12.75">
      <c r="A2431" s="2114"/>
      <c r="B2431" s="568"/>
      <c r="C2431" s="568"/>
      <c r="D2431" s="568"/>
      <c r="E2431" s="188"/>
      <c r="F2431" s="188"/>
      <c r="G2431" s="2122"/>
      <c r="H2431" s="568"/>
      <c r="I2431" s="2118"/>
      <c r="J2431" s="2124" t="s">
        <v>839</v>
      </c>
      <c r="K2431" s="2124">
        <f>SUM(K2429:K2430)</f>
        <v>6501.16</v>
      </c>
      <c r="L2431" s="192" t="s">
        <v>721</v>
      </c>
      <c r="M2431" s="568"/>
      <c r="O2431" s="1991">
        <f>K2431-O2429</f>
        <v>5975.59</v>
      </c>
      <c r="P2431" s="1706" t="s">
        <v>26</v>
      </c>
    </row>
    <row r="2432" spans="1:28" ht="12.75" hidden="1">
      <c r="A2432" s="2114" t="str">
        <f>A462</f>
        <v>(ii)</v>
      </c>
      <c r="B2432" s="192" t="str">
        <f>B462</f>
        <v>First Floor</v>
      </c>
      <c r="C2432" s="568"/>
      <c r="D2432" s="568"/>
      <c r="E2432" s="188"/>
      <c r="F2432" s="2120" t="str">
        <f>E2401</f>
        <v>Each Sqm</v>
      </c>
      <c r="G2432" s="2122"/>
      <c r="H2432" s="568"/>
      <c r="I2432" s="2118"/>
      <c r="J2432" s="2124"/>
      <c r="K2432" s="2124"/>
      <c r="L2432" s="192"/>
      <c r="M2432" s="568"/>
    </row>
    <row r="2433" spans="1:17" ht="12.75" hidden="1">
      <c r="A2433" s="2114"/>
      <c r="B2433" s="568" t="s">
        <v>840</v>
      </c>
      <c r="C2433" s="568"/>
      <c r="D2433" s="568"/>
      <c r="E2433" s="188"/>
      <c r="F2433" s="188"/>
      <c r="G2433" s="2122"/>
      <c r="H2433" s="568"/>
      <c r="I2433" s="2118"/>
      <c r="J2433" s="2124"/>
      <c r="K2433" s="2124">
        <f>K2429</f>
        <v>6436.79</v>
      </c>
      <c r="L2433" s="568"/>
      <c r="M2433" s="568"/>
    </row>
    <row r="2434" spans="1:17" ht="12.75" hidden="1">
      <c r="A2434" s="2114"/>
      <c r="B2434" s="568" t="s">
        <v>841</v>
      </c>
      <c r="C2434" s="568"/>
      <c r="D2434" s="568"/>
      <c r="E2434" s="188"/>
      <c r="F2434" s="188"/>
      <c r="G2434" s="2122"/>
      <c r="H2434" s="2125">
        <v>0.15</v>
      </c>
      <c r="I2434" s="2118">
        <f>ROUND(K2414/15,2)</f>
        <v>525.57000000000005</v>
      </c>
      <c r="J2434" s="2124"/>
      <c r="K2434" s="2124">
        <f>ROUND(K2414*15%/15,2)</f>
        <v>78.84</v>
      </c>
      <c r="L2434" s="192"/>
      <c r="M2434" s="568"/>
      <c r="O2434" s="1991">
        <f>O2429+K2434</f>
        <v>604.41000000000008</v>
      </c>
      <c r="P2434" s="1706" t="s">
        <v>3149</v>
      </c>
    </row>
    <row r="2435" spans="1:17" ht="12.75" hidden="1">
      <c r="A2435" s="2114"/>
      <c r="B2435" s="568" t="s">
        <v>3664</v>
      </c>
      <c r="C2435" s="568"/>
      <c r="D2435" s="568"/>
      <c r="E2435" s="188"/>
      <c r="F2435" s="188"/>
      <c r="G2435" s="2122"/>
      <c r="H2435" s="2135">
        <f>H2420</f>
        <v>7.4999999999999997E-2</v>
      </c>
      <c r="I2435" s="2134">
        <f>K2434</f>
        <v>78.84</v>
      </c>
      <c r="J2435" s="2134"/>
      <c r="K2435" s="2123">
        <f>ROUND(I2435*H2435,2)</f>
        <v>5.91</v>
      </c>
      <c r="L2435" s="192"/>
      <c r="M2435" s="568"/>
      <c r="O2435" s="1991"/>
      <c r="P2435" s="1706"/>
    </row>
    <row r="2436" spans="1:17" ht="12.75" hidden="1">
      <c r="A2436" s="2114"/>
      <c r="B2436" s="568" t="s">
        <v>3665</v>
      </c>
      <c r="C2436" s="568"/>
      <c r="D2436" s="568"/>
      <c r="E2436" s="188"/>
      <c r="F2436" s="188"/>
      <c r="G2436" s="2122"/>
      <c r="H2436" s="2135">
        <f>H2435</f>
        <v>7.4999999999999997E-2</v>
      </c>
      <c r="I2436" s="2134">
        <f>I2435</f>
        <v>78.84</v>
      </c>
      <c r="J2436" s="2134"/>
      <c r="K2436" s="2123">
        <f>ROUND(I2436*H2436,2)</f>
        <v>5.91</v>
      </c>
      <c r="L2436" s="192"/>
      <c r="M2436" s="568"/>
      <c r="O2436" s="1991"/>
      <c r="P2436" s="1706"/>
    </row>
    <row r="2437" spans="1:17" ht="12.75" hidden="1">
      <c r="A2437" s="2114"/>
      <c r="B2437" s="568"/>
      <c r="C2437" s="568"/>
      <c r="D2437" s="568"/>
      <c r="E2437" s="188"/>
      <c r="F2437" s="188"/>
      <c r="G2437" s="2122"/>
      <c r="H2437" s="568"/>
      <c r="I2437" s="2118"/>
      <c r="J2437" s="2124"/>
      <c r="K2437" s="2124">
        <f>SUM(K2433:K2436)</f>
        <v>6527.45</v>
      </c>
      <c r="L2437" s="192" t="s">
        <v>721</v>
      </c>
      <c r="M2437" s="568"/>
      <c r="O2437" s="1991">
        <f>K2437-O2434</f>
        <v>5923.04</v>
      </c>
      <c r="P2437" s="1706" t="s">
        <v>26</v>
      </c>
    </row>
    <row r="2438" spans="1:17" ht="12.75" hidden="1">
      <c r="A2438" s="2114"/>
      <c r="B2438" s="192" t="s">
        <v>3738</v>
      </c>
      <c r="C2438" s="2142">
        <v>0.01</v>
      </c>
      <c r="D2438" s="568"/>
      <c r="E2438" s="188"/>
      <c r="F2438" s="188"/>
      <c r="G2438" s="2122"/>
      <c r="H2438" s="568"/>
      <c r="I2438" s="2118"/>
      <c r="J2438" s="2134"/>
      <c r="K2438" s="2123">
        <f>ROUND(K2437*C2438,2)</f>
        <v>65.27</v>
      </c>
      <c r="L2438" s="192"/>
      <c r="M2438" s="568"/>
      <c r="O2438" s="1991"/>
      <c r="P2438" s="1706"/>
    </row>
    <row r="2439" spans="1:17" ht="12.75" hidden="1">
      <c r="A2439" s="2114"/>
      <c r="B2439" s="568"/>
      <c r="C2439" s="568"/>
      <c r="D2439" s="568"/>
      <c r="E2439" s="188"/>
      <c r="F2439" s="188"/>
      <c r="G2439" s="2122"/>
      <c r="H2439" s="568"/>
      <c r="I2439" s="2118"/>
      <c r="J2439" s="2124" t="s">
        <v>839</v>
      </c>
      <c r="K2439" s="2124">
        <f>SUM(K2437:K2438)</f>
        <v>6592.72</v>
      </c>
      <c r="L2439" s="192" t="s">
        <v>721</v>
      </c>
      <c r="M2439" s="568"/>
    </row>
    <row r="2440" spans="1:17" ht="12.75" hidden="1">
      <c r="A2440" s="2114" t="str">
        <f>A463</f>
        <v>(iii)</v>
      </c>
      <c r="B2440" s="192" t="str">
        <f>B463</f>
        <v>Second Floor</v>
      </c>
      <c r="C2440" s="568"/>
      <c r="D2440" s="568"/>
      <c r="E2440" s="188"/>
      <c r="F2440" s="2120" t="str">
        <f>F2432</f>
        <v>Each Sqm</v>
      </c>
      <c r="G2440" s="2122"/>
      <c r="H2440" s="568"/>
      <c r="I2440" s="2118"/>
      <c r="J2440" s="2124"/>
      <c r="K2440" s="2124"/>
      <c r="L2440" s="192"/>
      <c r="M2440" s="568"/>
    </row>
    <row r="2441" spans="1:17" ht="12.75" hidden="1">
      <c r="A2441" s="2114"/>
      <c r="B2441" s="568" t="s">
        <v>3617</v>
      </c>
      <c r="C2441" s="568"/>
      <c r="D2441" s="568"/>
      <c r="E2441" s="188"/>
      <c r="F2441" s="188"/>
      <c r="G2441" s="2122"/>
      <c r="H2441" s="568"/>
      <c r="I2441" s="2118"/>
      <c r="J2441" s="2124"/>
      <c r="K2441" s="2124">
        <f>K2437</f>
        <v>6527.45</v>
      </c>
      <c r="L2441" s="568"/>
      <c r="M2441" s="568"/>
    </row>
    <row r="2442" spans="1:17" ht="12.75" hidden="1">
      <c r="A2442" s="2114"/>
      <c r="B2442" s="568" t="s">
        <v>3618</v>
      </c>
      <c r="C2442" s="568"/>
      <c r="D2442" s="568"/>
      <c r="E2442" s="188"/>
      <c r="F2442" s="188"/>
      <c r="G2442" s="2122"/>
      <c r="H2442" s="2125">
        <f>H2434</f>
        <v>0.15</v>
      </c>
      <c r="I2442" s="2134">
        <f>I2434+K2434</f>
        <v>604.41000000000008</v>
      </c>
      <c r="J2442" s="2124"/>
      <c r="K2442" s="2124">
        <f>K2434+ROUND(K2434*15%,2)</f>
        <v>90.67</v>
      </c>
      <c r="L2442" s="192"/>
      <c r="M2442" s="568"/>
      <c r="O2442" s="1991">
        <f>O2437+K2442</f>
        <v>6013.71</v>
      </c>
      <c r="P2442" s="1706" t="s">
        <v>3149</v>
      </c>
      <c r="Q2442" s="1705">
        <f>I2442*H2442</f>
        <v>90.661500000000004</v>
      </c>
    </row>
    <row r="2443" spans="1:17" ht="12.75" hidden="1">
      <c r="A2443" s="2114"/>
      <c r="B2443" s="568" t="s">
        <v>3664</v>
      </c>
      <c r="C2443" s="568"/>
      <c r="D2443" s="568"/>
      <c r="E2443" s="188"/>
      <c r="F2443" s="188"/>
      <c r="G2443" s="2122"/>
      <c r="H2443" s="2135">
        <f>H2435</f>
        <v>7.4999999999999997E-2</v>
      </c>
      <c r="I2443" s="2134">
        <f>K2442</f>
        <v>90.67</v>
      </c>
      <c r="J2443" s="2134"/>
      <c r="K2443" s="2123">
        <f>ROUND(I2443*H2443,2)</f>
        <v>6.8</v>
      </c>
      <c r="L2443" s="192"/>
      <c r="M2443" s="568"/>
      <c r="O2443" s="1991"/>
      <c r="P2443" s="1706"/>
    </row>
    <row r="2444" spans="1:17" ht="12.75" hidden="1">
      <c r="A2444" s="2114"/>
      <c r="B2444" s="568" t="s">
        <v>3665</v>
      </c>
      <c r="C2444" s="568"/>
      <c r="D2444" s="568"/>
      <c r="E2444" s="188"/>
      <c r="F2444" s="188"/>
      <c r="G2444" s="2122"/>
      <c r="H2444" s="2135">
        <f>H2443</f>
        <v>7.4999999999999997E-2</v>
      </c>
      <c r="I2444" s="2134">
        <f>I2443</f>
        <v>90.67</v>
      </c>
      <c r="J2444" s="2134"/>
      <c r="K2444" s="2123">
        <f>ROUND(I2444*H2444,2)</f>
        <v>6.8</v>
      </c>
      <c r="L2444" s="192"/>
      <c r="M2444" s="568"/>
      <c r="O2444" s="1991"/>
      <c r="P2444" s="1706"/>
    </row>
    <row r="2445" spans="1:17" ht="12.75" hidden="1">
      <c r="A2445" s="2114"/>
      <c r="B2445" s="568"/>
      <c r="C2445" s="568"/>
      <c r="D2445" s="568"/>
      <c r="E2445" s="188"/>
      <c r="F2445" s="188"/>
      <c r="G2445" s="2122"/>
      <c r="H2445" s="568"/>
      <c r="I2445" s="2118"/>
      <c r="J2445" s="2124"/>
      <c r="K2445" s="2124">
        <f>SUM(K2441:K2444)</f>
        <v>6631.72</v>
      </c>
      <c r="L2445" s="192" t="s">
        <v>721</v>
      </c>
      <c r="M2445" s="568"/>
      <c r="O2445" s="1991">
        <f>K2445-O2442</f>
        <v>618.01000000000022</v>
      </c>
      <c r="P2445" s="1706" t="s">
        <v>26</v>
      </c>
    </row>
    <row r="2446" spans="1:17" ht="12.75" hidden="1">
      <c r="A2446" s="2114"/>
      <c r="B2446" s="192" t="s">
        <v>3738</v>
      </c>
      <c r="C2446" s="2142">
        <v>0.01</v>
      </c>
      <c r="D2446" s="568"/>
      <c r="E2446" s="188"/>
      <c r="F2446" s="188"/>
      <c r="G2446" s="2122"/>
      <c r="H2446" s="568"/>
      <c r="I2446" s="2118"/>
      <c r="J2446" s="2134"/>
      <c r="K2446" s="2123">
        <f>ROUND(K2445*C2446,2)</f>
        <v>66.319999999999993</v>
      </c>
      <c r="L2446" s="192"/>
      <c r="M2446" s="568"/>
      <c r="O2446" s="1991"/>
      <c r="P2446" s="1706"/>
    </row>
    <row r="2447" spans="1:17" ht="12.75" hidden="1">
      <c r="A2447" s="2114"/>
      <c r="B2447" s="568"/>
      <c r="C2447" s="568"/>
      <c r="D2447" s="568"/>
      <c r="E2447" s="188"/>
      <c r="F2447" s="188"/>
      <c r="G2447" s="2122"/>
      <c r="H2447" s="568"/>
      <c r="I2447" s="2118"/>
      <c r="J2447" s="2124" t="s">
        <v>839</v>
      </c>
      <c r="K2447" s="2124">
        <f>SUM(K2445:K2446)</f>
        <v>6698.04</v>
      </c>
      <c r="L2447" s="192" t="s">
        <v>721</v>
      </c>
      <c r="M2447" s="568"/>
    </row>
    <row r="2448" spans="1:17" ht="12.75" hidden="1">
      <c r="A2448" s="2114" t="str">
        <f>A464</f>
        <v>(iv)</v>
      </c>
      <c r="B2448" s="192" t="str">
        <f>B464</f>
        <v>Third Floor</v>
      </c>
      <c r="C2448" s="568"/>
      <c r="D2448" s="568"/>
      <c r="E2448" s="188"/>
      <c r="F2448" s="2120" t="str">
        <f>F2440</f>
        <v>Each Sqm</v>
      </c>
      <c r="G2448" s="2122"/>
      <c r="H2448" s="568"/>
      <c r="I2448" s="2118"/>
      <c r="J2448" s="2124"/>
      <c r="K2448" s="2124"/>
      <c r="L2448" s="192"/>
      <c r="M2448" s="568"/>
    </row>
    <row r="2449" spans="1:28" ht="12.75" hidden="1">
      <c r="A2449" s="2114"/>
      <c r="B2449" s="568" t="s">
        <v>3617</v>
      </c>
      <c r="C2449" s="568"/>
      <c r="D2449" s="568"/>
      <c r="E2449" s="188"/>
      <c r="F2449" s="188"/>
      <c r="G2449" s="2122"/>
      <c r="H2449" s="568"/>
      <c r="I2449" s="2118"/>
      <c r="J2449" s="2124"/>
      <c r="K2449" s="2124">
        <f>K2445</f>
        <v>6631.72</v>
      </c>
      <c r="L2449" s="568"/>
      <c r="M2449" s="568"/>
    </row>
    <row r="2450" spans="1:28" ht="12.75" hidden="1">
      <c r="A2450" s="2114"/>
      <c r="B2450" s="568" t="s">
        <v>3618</v>
      </c>
      <c r="C2450" s="568"/>
      <c r="D2450" s="568"/>
      <c r="E2450" s="188"/>
      <c r="F2450" s="188"/>
      <c r="G2450" s="2122"/>
      <c r="H2450" s="2125">
        <f>H2442</f>
        <v>0.15</v>
      </c>
      <c r="I2450" s="2134">
        <f>I2442+K2442</f>
        <v>695.08</v>
      </c>
      <c r="J2450" s="2124"/>
      <c r="K2450" s="2124">
        <f>K2442+ROUND(K2442*15%,2)</f>
        <v>104.27</v>
      </c>
      <c r="L2450" s="192"/>
      <c r="M2450" s="568"/>
      <c r="O2450" s="1991">
        <f>O2445+K2450</f>
        <v>722.2800000000002</v>
      </c>
      <c r="P2450" s="1706" t="s">
        <v>3149</v>
      </c>
    </row>
    <row r="2451" spans="1:28" ht="12.75" hidden="1">
      <c r="A2451" s="2114"/>
      <c r="B2451" s="568" t="s">
        <v>3664</v>
      </c>
      <c r="C2451" s="568"/>
      <c r="D2451" s="568"/>
      <c r="E2451" s="188"/>
      <c r="F2451" s="188"/>
      <c r="G2451" s="2122"/>
      <c r="H2451" s="2135">
        <f>H2435</f>
        <v>7.4999999999999997E-2</v>
      </c>
      <c r="I2451" s="2134">
        <f>K2450</f>
        <v>104.27</v>
      </c>
      <c r="J2451" s="2134"/>
      <c r="K2451" s="2123">
        <f>ROUND(I2451*H2451,2)</f>
        <v>7.82</v>
      </c>
      <c r="L2451" s="192"/>
      <c r="M2451" s="568"/>
      <c r="O2451" s="1991"/>
      <c r="P2451" s="1706"/>
    </row>
    <row r="2452" spans="1:28" ht="12.75" hidden="1">
      <c r="A2452" s="2114"/>
      <c r="B2452" s="568" t="s">
        <v>3665</v>
      </c>
      <c r="C2452" s="568"/>
      <c r="D2452" s="568"/>
      <c r="E2452" s="188"/>
      <c r="F2452" s="188"/>
      <c r="G2452" s="2122"/>
      <c r="H2452" s="2135">
        <f>H2451</f>
        <v>7.4999999999999997E-2</v>
      </c>
      <c r="I2452" s="2134">
        <f>I2451</f>
        <v>104.27</v>
      </c>
      <c r="J2452" s="2134"/>
      <c r="K2452" s="2123">
        <f>ROUND(I2452*H2452,2)</f>
        <v>7.82</v>
      </c>
      <c r="L2452" s="192"/>
      <c r="M2452" s="568"/>
      <c r="O2452" s="1991"/>
      <c r="P2452" s="1706"/>
    </row>
    <row r="2453" spans="1:28" ht="12.75" hidden="1">
      <c r="A2453" s="2114"/>
      <c r="B2453" s="568"/>
      <c r="C2453" s="568"/>
      <c r="D2453" s="568"/>
      <c r="E2453" s="188"/>
      <c r="F2453" s="188"/>
      <c r="G2453" s="2122"/>
      <c r="H2453" s="568"/>
      <c r="I2453" s="2118"/>
      <c r="J2453" s="2124"/>
      <c r="K2453" s="2124">
        <f>SUM(K2449:K2452)</f>
        <v>6751.63</v>
      </c>
      <c r="L2453" s="192" t="s">
        <v>721</v>
      </c>
      <c r="M2453" s="568"/>
      <c r="O2453" s="1991">
        <f>K2453-O2450</f>
        <v>6029.35</v>
      </c>
      <c r="P2453" s="1706" t="s">
        <v>26</v>
      </c>
    </row>
    <row r="2454" spans="1:28" ht="12.75" hidden="1">
      <c r="A2454" s="2114"/>
      <c r="B2454" s="192" t="s">
        <v>3738</v>
      </c>
      <c r="C2454" s="2142">
        <v>0.01</v>
      </c>
      <c r="D2454" s="568"/>
      <c r="E2454" s="188"/>
      <c r="F2454" s="188"/>
      <c r="G2454" s="2122"/>
      <c r="H2454" s="568"/>
      <c r="I2454" s="2118"/>
      <c r="J2454" s="2134"/>
      <c r="K2454" s="2123">
        <f>ROUND(K2453*C2454,2)</f>
        <v>67.52</v>
      </c>
      <c r="L2454" s="192"/>
      <c r="M2454" s="568"/>
      <c r="O2454" s="1991"/>
      <c r="P2454" s="1706"/>
    </row>
    <row r="2455" spans="1:28" ht="12.75" hidden="1">
      <c r="A2455" s="2114"/>
      <c r="B2455" s="568"/>
      <c r="C2455" s="568"/>
      <c r="D2455" s="568"/>
      <c r="E2455" s="188"/>
      <c r="F2455" s="188"/>
      <c r="G2455" s="2122"/>
      <c r="H2455" s="568"/>
      <c r="I2455" s="2118"/>
      <c r="J2455" s="2124" t="s">
        <v>839</v>
      </c>
      <c r="K2455" s="2124">
        <f>SUM(K2453:K2454)</f>
        <v>6819.1500000000005</v>
      </c>
      <c r="L2455" s="192" t="s">
        <v>721</v>
      </c>
      <c r="M2455" s="568"/>
    </row>
    <row r="2456" spans="1:28" ht="43.9" hidden="1" customHeight="1">
      <c r="A2456" s="2114">
        <f>A465</f>
        <v>48</v>
      </c>
      <c r="B2456" s="3017" t="str">
        <f>B465</f>
        <v>R.C.C. M15  using   20 mm to 10mm  size black hard crusher broken granite stone chips of approved quality and from approved quarry  etc. complete in all respect .</v>
      </c>
      <c r="C2456" s="3017"/>
      <c r="D2456" s="3017"/>
      <c r="E2456" s="2116" t="str">
        <f>G465</f>
        <v>Each Cum</v>
      </c>
      <c r="F2456" s="2116"/>
      <c r="G2456" s="2122"/>
      <c r="H2456" s="568"/>
      <c r="I2456" s="2118"/>
      <c r="J2456" s="2124"/>
      <c r="K2456" s="2124"/>
      <c r="L2456" s="192"/>
      <c r="M2456" s="568"/>
    </row>
    <row r="2457" spans="1:28" s="1706" customFormat="1" ht="12.75" hidden="1">
      <c r="A2457" s="2114" t="str">
        <f>A466</f>
        <v>(i)</v>
      </c>
      <c r="B2457" s="192" t="s">
        <v>384</v>
      </c>
      <c r="C2457" s="192"/>
      <c r="D2457" s="192"/>
      <c r="E2457" s="188"/>
      <c r="F2457" s="188"/>
      <c r="G2457" s="2141"/>
      <c r="H2457" s="192"/>
      <c r="I2457" s="2114"/>
      <c r="J2457" s="2124"/>
      <c r="K2457" s="2124"/>
      <c r="L2457" s="192"/>
      <c r="M2457" s="568"/>
    </row>
    <row r="2458" spans="1:28" ht="12.75" hidden="1">
      <c r="A2458" s="2114"/>
      <c r="B2458" s="192" t="s">
        <v>842</v>
      </c>
      <c r="C2458" s="568"/>
      <c r="D2458" s="568"/>
      <c r="E2458" s="188"/>
      <c r="F2458" s="188"/>
      <c r="G2458" s="2122"/>
      <c r="H2458" s="568"/>
      <c r="I2458" s="2118"/>
      <c r="J2458" s="2123"/>
      <c r="K2458" s="2123"/>
      <c r="L2458" s="192"/>
      <c r="M2458" s="568"/>
    </row>
    <row r="2459" spans="1:28" ht="12.75" hidden="1">
      <c r="A2459" s="2114"/>
      <c r="B2459" s="192" t="s">
        <v>829</v>
      </c>
      <c r="C2459" s="568"/>
      <c r="D2459" s="568"/>
      <c r="E2459" s="188"/>
      <c r="F2459" s="188"/>
      <c r="G2459" s="2122"/>
      <c r="H2459" s="568"/>
      <c r="I2459" s="2118"/>
      <c r="J2459" s="2123"/>
      <c r="K2459" s="2123"/>
      <c r="L2459" s="192"/>
      <c r="M2459" s="568"/>
    </row>
    <row r="2460" spans="1:28" ht="12.75" hidden="1">
      <c r="A2460" s="2114"/>
      <c r="B2460" s="568" t="s">
        <v>830</v>
      </c>
      <c r="C2460" s="568"/>
      <c r="D2460" s="568"/>
      <c r="E2460" s="188"/>
      <c r="F2460" s="188"/>
      <c r="G2460" s="2122">
        <v>0.54</v>
      </c>
      <c r="H2460" s="568" t="s">
        <v>49</v>
      </c>
      <c r="I2460" s="2118" t="s">
        <v>49</v>
      </c>
      <c r="J2460" s="2123">
        <f>G11</f>
        <v>1382.29</v>
      </c>
      <c r="K2460" s="2123">
        <f>ROUND(G2460*J2460,2)</f>
        <v>746.44</v>
      </c>
      <c r="L2460" s="192"/>
      <c r="M2460" s="568"/>
    </row>
    <row r="2461" spans="1:28" ht="12.75" hidden="1">
      <c r="A2461" s="2114"/>
      <c r="B2461" s="568" t="s">
        <v>831</v>
      </c>
      <c r="C2461" s="568"/>
      <c r="D2461" s="568"/>
      <c r="E2461" s="188"/>
      <c r="F2461" s="188"/>
      <c r="G2461" s="2122">
        <v>0.36</v>
      </c>
      <c r="H2461" s="568" t="s">
        <v>49</v>
      </c>
      <c r="I2461" s="2118" t="s">
        <v>49</v>
      </c>
      <c r="J2461" s="2123">
        <f>G14</f>
        <v>1402</v>
      </c>
      <c r="K2461" s="2123">
        <f>ROUND(G2461*J2461,2)</f>
        <v>504.72</v>
      </c>
      <c r="L2461" s="192"/>
      <c r="M2461" s="568"/>
    </row>
    <row r="2462" spans="1:28" ht="12.75" hidden="1">
      <c r="A2462" s="2114"/>
      <c r="B2462" s="568" t="s">
        <v>832</v>
      </c>
      <c r="C2462" s="568"/>
      <c r="D2462" s="568"/>
      <c r="E2462" s="188"/>
      <c r="F2462" s="188"/>
      <c r="G2462" s="2122">
        <v>0.45</v>
      </c>
      <c r="H2462" s="568" t="s">
        <v>49</v>
      </c>
      <c r="I2462" s="2118" t="s">
        <v>49</v>
      </c>
      <c r="J2462" s="2123">
        <f>G46</f>
        <v>76.88</v>
      </c>
      <c r="K2462" s="2123">
        <f>ROUND(G2462*J2462,2)</f>
        <v>34.6</v>
      </c>
      <c r="L2462" s="192"/>
      <c r="M2462" s="568"/>
    </row>
    <row r="2463" spans="1:28" s="1706" customFormat="1" ht="12.75" hidden="1">
      <c r="A2463" s="2114"/>
      <c r="B2463" s="568" t="s">
        <v>8</v>
      </c>
      <c r="C2463" s="568"/>
      <c r="D2463" s="568"/>
      <c r="E2463" s="188"/>
      <c r="F2463" s="188"/>
      <c r="G2463" s="2122">
        <v>2.8</v>
      </c>
      <c r="H2463" s="568" t="s">
        <v>125</v>
      </c>
      <c r="I2463" s="2118" t="s">
        <v>125</v>
      </c>
      <c r="J2463" s="2123">
        <f>G50/10</f>
        <v>570.23400000000004</v>
      </c>
      <c r="K2463" s="2123">
        <f>ROUND(G2463*J2463,2)</f>
        <v>1596.66</v>
      </c>
      <c r="L2463" s="192"/>
      <c r="M2463" s="568"/>
      <c r="N2463" s="1705"/>
      <c r="O2463" s="1705"/>
      <c r="P2463" s="1705"/>
      <c r="Q2463" s="1705"/>
      <c r="R2463" s="1705"/>
      <c r="S2463" s="1705"/>
      <c r="U2463" s="1705"/>
      <c r="V2463" s="1705"/>
      <c r="W2463" s="1705"/>
      <c r="X2463" s="1705"/>
      <c r="Y2463" s="1705"/>
      <c r="Z2463" s="1705"/>
      <c r="AA2463" s="1705"/>
      <c r="AB2463" s="1705"/>
    </row>
    <row r="2464" spans="1:28" s="1706" customFormat="1" ht="12.75" hidden="1">
      <c r="A2464" s="2114"/>
      <c r="B2464" s="568"/>
      <c r="C2464" s="568"/>
      <c r="D2464" s="568"/>
      <c r="E2464" s="188"/>
      <c r="F2464" s="188"/>
      <c r="G2464" s="2122"/>
      <c r="H2464" s="568"/>
      <c r="I2464" s="2118"/>
      <c r="J2464" s="2126" t="s">
        <v>718</v>
      </c>
      <c r="K2464" s="2124">
        <f>SUM(K2460:K2463)</f>
        <v>2882.42</v>
      </c>
      <c r="L2464" s="192"/>
      <c r="M2464" s="568"/>
      <c r="N2464" s="1705"/>
      <c r="O2464" s="1705"/>
      <c r="P2464" s="1705"/>
      <c r="Q2464" s="1705"/>
      <c r="R2464" s="1705"/>
      <c r="S2464" s="1705"/>
      <c r="U2464" s="1705"/>
      <c r="V2464" s="1705"/>
      <c r="W2464" s="1705"/>
      <c r="X2464" s="1705"/>
      <c r="Y2464" s="1705"/>
      <c r="Z2464" s="1705"/>
      <c r="AA2464" s="1705"/>
      <c r="AB2464" s="1705"/>
    </row>
    <row r="2465" spans="1:28" s="1706" customFormat="1" ht="12.75" hidden="1">
      <c r="A2465" s="2114"/>
      <c r="B2465" s="192" t="s">
        <v>816</v>
      </c>
      <c r="C2465" s="568"/>
      <c r="D2465" s="568"/>
      <c r="E2465" s="188"/>
      <c r="F2465" s="188"/>
      <c r="G2465" s="2122"/>
      <c r="H2465" s="568"/>
      <c r="I2465" s="2118"/>
      <c r="J2465" s="2123"/>
      <c r="K2465" s="2123"/>
      <c r="L2465" s="192"/>
      <c r="M2465" s="568"/>
      <c r="N2465" s="1705"/>
      <c r="O2465" s="1705"/>
      <c r="P2465" s="1705"/>
      <c r="Q2465" s="1705"/>
      <c r="R2465" s="1705"/>
      <c r="S2465" s="1705"/>
      <c r="U2465" s="1705"/>
      <c r="V2465" s="1705"/>
      <c r="W2465" s="1705"/>
      <c r="X2465" s="1705"/>
      <c r="Y2465" s="1705"/>
      <c r="Z2465" s="1705"/>
      <c r="AA2465" s="1705"/>
      <c r="AB2465" s="1705"/>
    </row>
    <row r="2466" spans="1:28" s="1706" customFormat="1" ht="12.75" hidden="1">
      <c r="A2466" s="2114"/>
      <c r="B2466" s="568" t="s">
        <v>744</v>
      </c>
      <c r="C2466" s="568"/>
      <c r="D2466" s="568"/>
      <c r="E2466" s="188"/>
      <c r="F2466" s="188"/>
      <c r="G2466" s="2122">
        <v>0.06</v>
      </c>
      <c r="H2466" s="568" t="s">
        <v>262</v>
      </c>
      <c r="I2466" s="2118" t="s">
        <v>315</v>
      </c>
      <c r="J2466" s="2123">
        <f>L135</f>
        <v>385</v>
      </c>
      <c r="K2466" s="2123">
        <f>ROUND(G2466*J2466,2)</f>
        <v>23.1</v>
      </c>
      <c r="L2466" s="192"/>
      <c r="M2466" s="568"/>
      <c r="N2466" s="1705"/>
      <c r="O2466" s="1705"/>
      <c r="P2466" s="1705"/>
      <c r="Q2466" s="1705"/>
      <c r="R2466" s="1705"/>
      <c r="S2466" s="1705"/>
      <c r="U2466" s="1705"/>
      <c r="V2466" s="1705"/>
      <c r="W2466" s="1705"/>
      <c r="X2466" s="1705"/>
      <c r="Y2466" s="1705"/>
      <c r="Z2466" s="1705"/>
      <c r="AA2466" s="1705"/>
      <c r="AB2466" s="1705"/>
    </row>
    <row r="2467" spans="1:28" s="1706" customFormat="1" ht="12.75" hidden="1">
      <c r="A2467" s="2114"/>
      <c r="B2467" s="568" t="s">
        <v>818</v>
      </c>
      <c r="C2467" s="568"/>
      <c r="D2467" s="568"/>
      <c r="E2467" s="188"/>
      <c r="F2467" s="188"/>
      <c r="G2467" s="2122">
        <v>0.1</v>
      </c>
      <c r="H2467" s="568" t="s">
        <v>262</v>
      </c>
      <c r="I2467" s="2118" t="s">
        <v>315</v>
      </c>
      <c r="J2467" s="2123">
        <f>L136</f>
        <v>435</v>
      </c>
      <c r="K2467" s="2123">
        <f>ROUND(G2467*J2467,2)</f>
        <v>43.5</v>
      </c>
      <c r="L2467" s="192"/>
      <c r="M2467" s="568"/>
      <c r="N2467" s="1705"/>
      <c r="O2467" s="1705"/>
      <c r="P2467" s="1705"/>
      <c r="Q2467" s="1705"/>
      <c r="R2467" s="1705"/>
      <c r="S2467" s="1705"/>
      <c r="U2467" s="1705"/>
      <c r="V2467" s="1705"/>
      <c r="W2467" s="1705"/>
      <c r="X2467" s="1705"/>
      <c r="Y2467" s="1705"/>
      <c r="Z2467" s="1705"/>
      <c r="AA2467" s="1705"/>
      <c r="AB2467" s="1705"/>
    </row>
    <row r="2468" spans="1:28" s="1706" customFormat="1" ht="12.75" hidden="1">
      <c r="A2468" s="2114"/>
      <c r="B2468" s="568" t="s">
        <v>717</v>
      </c>
      <c r="C2468" s="568"/>
      <c r="D2468" s="568"/>
      <c r="E2468" s="188"/>
      <c r="F2468" s="188"/>
      <c r="G2468" s="2122">
        <v>1.33</v>
      </c>
      <c r="H2468" s="568" t="s">
        <v>262</v>
      </c>
      <c r="I2468" s="2118" t="s">
        <v>315</v>
      </c>
      <c r="J2468" s="2123">
        <f>L134</f>
        <v>345</v>
      </c>
      <c r="K2468" s="2123">
        <f>ROUND(G2468*J2468,2)</f>
        <v>458.85</v>
      </c>
      <c r="L2468" s="192"/>
      <c r="M2468" s="568"/>
      <c r="N2468" s="1705"/>
      <c r="O2468" s="1705"/>
      <c r="P2468" s="1705"/>
      <c r="Q2468" s="1705"/>
      <c r="R2468" s="1705"/>
      <c r="S2468" s="1705"/>
      <c r="U2468" s="1705"/>
      <c r="V2468" s="1705"/>
      <c r="W2468" s="1705"/>
      <c r="X2468" s="1705"/>
      <c r="Y2468" s="1705"/>
      <c r="Z2468" s="1705"/>
      <c r="AA2468" s="1705"/>
      <c r="AB2468" s="1705"/>
    </row>
    <row r="2469" spans="1:28" s="1706" customFormat="1" ht="12.75" hidden="1">
      <c r="A2469" s="2114"/>
      <c r="B2469" s="568"/>
      <c r="C2469" s="568"/>
      <c r="D2469" s="568"/>
      <c r="E2469" s="188"/>
      <c r="F2469" s="188"/>
      <c r="G2469" s="2122"/>
      <c r="H2469" s="568"/>
      <c r="I2469" s="2118"/>
      <c r="J2469" s="2126" t="s">
        <v>718</v>
      </c>
      <c r="K2469" s="2124">
        <f>SUM(K2466:K2468)</f>
        <v>525.45000000000005</v>
      </c>
      <c r="L2469" s="192"/>
      <c r="M2469" s="568"/>
      <c r="N2469" s="1705"/>
      <c r="O2469" s="1705"/>
      <c r="P2469" s="1705"/>
      <c r="Q2469" s="1705"/>
      <c r="R2469" s="1705"/>
      <c r="S2469" s="1705"/>
      <c r="U2469" s="1705"/>
      <c r="V2469" s="1705"/>
      <c r="W2469" s="1705"/>
      <c r="X2469" s="1705"/>
      <c r="Y2469" s="1705"/>
      <c r="Z2469" s="1705"/>
      <c r="AA2469" s="1705"/>
      <c r="AB2469" s="1705"/>
    </row>
    <row r="2470" spans="1:28" s="1706" customFormat="1" ht="12.75" hidden="1">
      <c r="A2470" s="2114"/>
      <c r="B2470" s="192" t="s">
        <v>833</v>
      </c>
      <c r="C2470" s="568"/>
      <c r="D2470" s="568"/>
      <c r="E2470" s="188"/>
      <c r="F2470" s="188"/>
      <c r="G2470" s="2122"/>
      <c r="H2470" s="568"/>
      <c r="I2470" s="2118"/>
      <c r="J2470" s="2123"/>
      <c r="K2470" s="2123"/>
      <c r="L2470" s="192"/>
      <c r="M2470" s="568"/>
      <c r="N2470" s="1705"/>
      <c r="O2470" s="1705"/>
      <c r="P2470" s="1705"/>
      <c r="Q2470" s="1705"/>
      <c r="R2470" s="1705"/>
      <c r="S2470" s="1705"/>
      <c r="U2470" s="1705"/>
      <c r="V2470" s="1705"/>
      <c r="W2470" s="1705"/>
      <c r="X2470" s="1705"/>
      <c r="Y2470" s="1705"/>
      <c r="Z2470" s="1705"/>
      <c r="AA2470" s="1705"/>
      <c r="AB2470" s="1705"/>
    </row>
    <row r="2471" spans="1:28" s="1706" customFormat="1" ht="12.75" hidden="1">
      <c r="A2471" s="2114"/>
      <c r="B2471" s="568" t="s">
        <v>834</v>
      </c>
      <c r="C2471" s="568"/>
      <c r="D2471" s="568"/>
      <c r="E2471" s="188"/>
      <c r="F2471" s="188"/>
      <c r="G2471" s="2122">
        <v>0.4</v>
      </c>
      <c r="H2471" s="568" t="s">
        <v>312</v>
      </c>
      <c r="I2471" s="2118" t="s">
        <v>312</v>
      </c>
      <c r="J2471" s="2123">
        <f>G223</f>
        <v>229.55</v>
      </c>
      <c r="K2471" s="2123">
        <f>ROUND(G2471*J2471,2)</f>
        <v>91.82</v>
      </c>
      <c r="L2471" s="192"/>
      <c r="M2471" s="568"/>
      <c r="N2471" s="1705"/>
      <c r="O2471" s="1705"/>
      <c r="P2471" s="1705"/>
      <c r="Q2471" s="1705"/>
      <c r="R2471" s="1705"/>
      <c r="S2471" s="1705"/>
      <c r="U2471" s="1705"/>
      <c r="V2471" s="1705"/>
      <c r="W2471" s="1705"/>
      <c r="X2471" s="1705"/>
      <c r="Y2471" s="1705"/>
      <c r="Z2471" s="1705"/>
      <c r="AA2471" s="1705"/>
      <c r="AB2471" s="1705"/>
    </row>
    <row r="2472" spans="1:28" s="1706" customFormat="1" ht="12.75" hidden="1">
      <c r="A2472" s="2114"/>
      <c r="B2472" s="568" t="s">
        <v>313</v>
      </c>
      <c r="C2472" s="568"/>
      <c r="D2472" s="568"/>
      <c r="E2472" s="188"/>
      <c r="F2472" s="188"/>
      <c r="G2472" s="2122">
        <v>0.4</v>
      </c>
      <c r="H2472" s="568" t="s">
        <v>312</v>
      </c>
      <c r="I2472" s="2118" t="s">
        <v>312</v>
      </c>
      <c r="J2472" s="2123">
        <f>M239</f>
        <v>700</v>
      </c>
      <c r="K2472" s="2123">
        <f>ROUND(G2472*J2472,2)</f>
        <v>280</v>
      </c>
      <c r="L2472" s="192"/>
      <c r="M2472" s="568"/>
      <c r="N2472" s="1705"/>
      <c r="O2472" s="1705"/>
      <c r="P2472" s="1705"/>
      <c r="Q2472" s="1705"/>
      <c r="R2472" s="1705"/>
      <c r="S2472" s="1705"/>
      <c r="U2472" s="1705"/>
      <c r="V2472" s="1705"/>
      <c r="W2472" s="1705"/>
      <c r="X2472" s="1705"/>
      <c r="Y2472" s="1705"/>
      <c r="Z2472" s="1705"/>
      <c r="AA2472" s="1705"/>
      <c r="AB2472" s="1705"/>
    </row>
    <row r="2473" spans="1:28" s="1706" customFormat="1" ht="12.75" hidden="1">
      <c r="A2473" s="2114"/>
      <c r="B2473" s="568"/>
      <c r="C2473" s="568"/>
      <c r="D2473" s="568"/>
      <c r="E2473" s="188"/>
      <c r="F2473" s="188"/>
      <c r="G2473" s="2122"/>
      <c r="H2473" s="568"/>
      <c r="I2473" s="2118"/>
      <c r="J2473" s="2126" t="s">
        <v>718</v>
      </c>
      <c r="K2473" s="2124">
        <f>K2472+K2471</f>
        <v>371.82</v>
      </c>
      <c r="L2473" s="192"/>
      <c r="M2473" s="568"/>
      <c r="N2473" s="1705"/>
      <c r="O2473" s="1705"/>
      <c r="P2473" s="1705"/>
      <c r="Q2473" s="1705"/>
      <c r="R2473" s="1705"/>
      <c r="S2473" s="1705"/>
      <c r="U2473" s="1705"/>
      <c r="V2473" s="1705"/>
      <c r="W2473" s="1705"/>
      <c r="X2473" s="1705"/>
      <c r="Y2473" s="1705"/>
      <c r="Z2473" s="1705"/>
      <c r="AA2473" s="1705"/>
      <c r="AB2473" s="1705"/>
    </row>
    <row r="2474" spans="1:28" ht="12.75" hidden="1">
      <c r="A2474" s="568"/>
      <c r="B2474" s="192" t="s">
        <v>3662</v>
      </c>
      <c r="C2474" s="568"/>
      <c r="D2474" s="568"/>
      <c r="E2474" s="188"/>
      <c r="F2474" s="188"/>
      <c r="G2474" s="2122"/>
      <c r="H2474" s="2135">
        <f>H2451</f>
        <v>7.4999999999999997E-2</v>
      </c>
      <c r="I2474" s="2134">
        <f>K2464+K2469+K2473</f>
        <v>3779.69</v>
      </c>
      <c r="J2474" s="2134"/>
      <c r="K2474" s="2123">
        <f>ROUND(I2474*H2474,2)</f>
        <v>283.48</v>
      </c>
      <c r="L2474" s="2119"/>
      <c r="M2474" s="568"/>
    </row>
    <row r="2475" spans="1:28" ht="12.75" hidden="1">
      <c r="A2475" s="568"/>
      <c r="B2475" s="192" t="s">
        <v>3661</v>
      </c>
      <c r="C2475" s="568"/>
      <c r="D2475" s="568"/>
      <c r="E2475" s="188"/>
      <c r="F2475" s="188"/>
      <c r="G2475" s="2122"/>
      <c r="H2475" s="2135">
        <f>H2474</f>
        <v>7.4999999999999997E-2</v>
      </c>
      <c r="I2475" s="2134">
        <f>I2474</f>
        <v>3779.69</v>
      </c>
      <c r="J2475" s="2134"/>
      <c r="K2475" s="2123">
        <f>ROUND(I2475*H2475,2)</f>
        <v>283.48</v>
      </c>
      <c r="L2475" s="2119"/>
      <c r="M2475" s="568"/>
    </row>
    <row r="2476" spans="1:28" s="1706" customFormat="1" ht="12.75" hidden="1">
      <c r="A2476" s="2114"/>
      <c r="B2476" s="192" t="s">
        <v>835</v>
      </c>
      <c r="C2476" s="568"/>
      <c r="D2476" s="568"/>
      <c r="E2476" s="188"/>
      <c r="F2476" s="188"/>
      <c r="G2476" s="2122"/>
      <c r="H2476" s="568"/>
      <c r="I2476" s="2118"/>
      <c r="J2476" s="2126" t="s">
        <v>718</v>
      </c>
      <c r="K2476" s="2124">
        <f>K2464+K2469+K2473+K2474+K2475</f>
        <v>4346.6499999999996</v>
      </c>
      <c r="L2476" s="192"/>
      <c r="M2476" s="568"/>
      <c r="N2476" s="1705"/>
      <c r="O2476" s="1705"/>
      <c r="P2476" s="1705"/>
      <c r="Q2476" s="1705"/>
      <c r="R2476" s="1705"/>
      <c r="S2476" s="1705"/>
      <c r="U2476" s="1705"/>
      <c r="V2476" s="1705"/>
      <c r="W2476" s="1705"/>
      <c r="X2476" s="1705"/>
      <c r="Y2476" s="1705"/>
      <c r="Z2476" s="1705"/>
      <c r="AA2476" s="1705"/>
      <c r="AB2476" s="1705"/>
    </row>
    <row r="2477" spans="1:28" s="1706" customFormat="1" ht="12.75" hidden="1">
      <c r="A2477" s="2114"/>
      <c r="B2477" s="192" t="s">
        <v>836</v>
      </c>
      <c r="C2477" s="568"/>
      <c r="D2477" s="568"/>
      <c r="E2477" s="188"/>
      <c r="F2477" s="188"/>
      <c r="G2477" s="2122"/>
      <c r="H2477" s="568"/>
      <c r="I2477" s="2118"/>
      <c r="J2477" s="2123"/>
      <c r="K2477" s="2123"/>
      <c r="L2477" s="192"/>
      <c r="M2477" s="568"/>
      <c r="N2477" s="1705"/>
      <c r="O2477" s="1705"/>
      <c r="P2477" s="1705"/>
      <c r="Q2477" s="1705"/>
      <c r="R2477" s="1705"/>
      <c r="S2477" s="1705"/>
      <c r="U2477" s="1705"/>
      <c r="V2477" s="1705"/>
      <c r="W2477" s="1705"/>
      <c r="X2477" s="1705"/>
      <c r="Y2477" s="1705"/>
      <c r="Z2477" s="1705"/>
      <c r="AA2477" s="1705"/>
      <c r="AB2477" s="1705"/>
    </row>
    <row r="2478" spans="1:28" s="1706" customFormat="1" ht="12.75" hidden="1">
      <c r="A2478" s="2114"/>
      <c r="B2478" s="568" t="s">
        <v>830</v>
      </c>
      <c r="C2478" s="568"/>
      <c r="D2478" s="568"/>
      <c r="E2478" s="188"/>
      <c r="F2478" s="188"/>
      <c r="G2478" s="2122">
        <f>G2460</f>
        <v>0.54</v>
      </c>
      <c r="H2478" s="568" t="s">
        <v>49</v>
      </c>
      <c r="I2478" s="2118" t="s">
        <v>49</v>
      </c>
      <c r="J2478" s="2123">
        <f>K11</f>
        <v>1308.4099999999999</v>
      </c>
      <c r="K2478" s="2123">
        <f>ROUND(G2478*J2478,2)</f>
        <v>706.54</v>
      </c>
      <c r="L2478" s="192"/>
      <c r="M2478" s="568"/>
      <c r="N2478" s="1705"/>
      <c r="O2478" s="1705"/>
      <c r="P2478" s="1705"/>
      <c r="Q2478" s="1705"/>
      <c r="R2478" s="1705"/>
      <c r="S2478" s="1705"/>
      <c r="U2478" s="1705"/>
      <c r="V2478" s="1705"/>
      <c r="W2478" s="1705"/>
      <c r="X2478" s="1705"/>
      <c r="Y2478" s="1705"/>
      <c r="Z2478" s="1705"/>
      <c r="AA2478" s="1705"/>
      <c r="AB2478" s="1705"/>
    </row>
    <row r="2479" spans="1:28" s="1706" customFormat="1" ht="12.75" hidden="1">
      <c r="A2479" s="2114"/>
      <c r="B2479" s="568" t="s">
        <v>831</v>
      </c>
      <c r="C2479" s="568"/>
      <c r="D2479" s="568"/>
      <c r="E2479" s="188"/>
      <c r="F2479" s="188"/>
      <c r="G2479" s="2122">
        <f>G2461</f>
        <v>0.36</v>
      </c>
      <c r="H2479" s="568" t="s">
        <v>49</v>
      </c>
      <c r="I2479" s="2118" t="s">
        <v>49</v>
      </c>
      <c r="J2479" s="2123">
        <f>K14</f>
        <v>1308.4099999999999</v>
      </c>
      <c r="K2479" s="2123">
        <f>ROUND(G2479*J2479,2)</f>
        <v>471.03</v>
      </c>
      <c r="L2479" s="192"/>
      <c r="M2479" s="568"/>
      <c r="N2479" s="1705"/>
      <c r="O2479" s="1705"/>
      <c r="P2479" s="1705"/>
      <c r="Q2479" s="1705"/>
      <c r="R2479" s="1705"/>
      <c r="S2479" s="1705"/>
      <c r="U2479" s="1705"/>
      <c r="V2479" s="1705"/>
      <c r="W2479" s="1705"/>
      <c r="X2479" s="1705"/>
      <c r="Y2479" s="1705"/>
      <c r="Z2479" s="1705"/>
      <c r="AA2479" s="1705"/>
      <c r="AB2479" s="1705"/>
    </row>
    <row r="2480" spans="1:28" ht="12.75" hidden="1">
      <c r="A2480" s="2114"/>
      <c r="B2480" s="568" t="s">
        <v>832</v>
      </c>
      <c r="C2480" s="568"/>
      <c r="D2480" s="568"/>
      <c r="E2480" s="188"/>
      <c r="F2480" s="188"/>
      <c r="G2480" s="2122">
        <f>G2462</f>
        <v>0.45</v>
      </c>
      <c r="H2480" s="568" t="s">
        <v>49</v>
      </c>
      <c r="I2480" s="2118" t="s">
        <v>49</v>
      </c>
      <c r="J2480" s="2123">
        <f>K46</f>
        <v>717.46</v>
      </c>
      <c r="K2480" s="2123">
        <f>ROUND(G2480*J2480,2)</f>
        <v>322.86</v>
      </c>
      <c r="L2480" s="192"/>
      <c r="M2480" s="568"/>
    </row>
    <row r="2481" spans="1:16" ht="12.75" hidden="1">
      <c r="A2481" s="2114"/>
      <c r="B2481" s="568" t="s">
        <v>8</v>
      </c>
      <c r="C2481" s="568"/>
      <c r="D2481" s="568"/>
      <c r="E2481" s="188"/>
      <c r="F2481" s="188"/>
      <c r="G2481" s="2122">
        <f>G2463</f>
        <v>2.8</v>
      </c>
      <c r="H2481" s="568" t="s">
        <v>125</v>
      </c>
      <c r="I2481" s="2118" t="s">
        <v>125</v>
      </c>
      <c r="J2481" s="2123">
        <f>K50/10</f>
        <v>42.622</v>
      </c>
      <c r="K2481" s="2123">
        <f>ROUND(G2481*J2481,2)</f>
        <v>119.34</v>
      </c>
      <c r="L2481" s="192"/>
      <c r="M2481" s="568"/>
    </row>
    <row r="2482" spans="1:16" ht="12.75" hidden="1">
      <c r="A2482" s="2114"/>
      <c r="B2482" s="568"/>
      <c r="C2482" s="568"/>
      <c r="D2482" s="568"/>
      <c r="E2482" s="188"/>
      <c r="F2482" s="188"/>
      <c r="G2482" s="2122"/>
      <c r="H2482" s="568"/>
      <c r="I2482" s="2118"/>
      <c r="J2482" s="2126" t="s">
        <v>718</v>
      </c>
      <c r="K2482" s="2124">
        <f>SUM(K2478:K2481)</f>
        <v>1619.7699999999998</v>
      </c>
      <c r="L2482" s="192"/>
      <c r="M2482" s="568"/>
      <c r="O2482" s="1991">
        <f>ROUND(K2469,2)</f>
        <v>525.45000000000005</v>
      </c>
      <c r="P2482" s="1706" t="s">
        <v>3149</v>
      </c>
    </row>
    <row r="2483" spans="1:16" ht="12.75" hidden="1">
      <c r="A2483" s="2114"/>
      <c r="B2483" s="568" t="s">
        <v>843</v>
      </c>
      <c r="C2483" s="568"/>
      <c r="D2483" s="568"/>
      <c r="E2483" s="188"/>
      <c r="F2483" s="188"/>
      <c r="G2483" s="2122"/>
      <c r="H2483" s="568"/>
      <c r="I2483" s="2118"/>
      <c r="J2483" s="2123"/>
      <c r="K2483" s="2124">
        <f>K2476+K2482</f>
        <v>5966.4199999999992</v>
      </c>
      <c r="L2483" s="192"/>
      <c r="M2483" s="568"/>
      <c r="O2483" s="1991">
        <f>K2483-O2482</f>
        <v>5440.9699999999993</v>
      </c>
      <c r="P2483" s="1706" t="s">
        <v>26</v>
      </c>
    </row>
    <row r="2484" spans="1:16" ht="12.75" hidden="1">
      <c r="A2484" s="2114"/>
      <c r="B2484" s="568" t="s">
        <v>844</v>
      </c>
      <c r="C2484" s="568"/>
      <c r="D2484" s="568"/>
      <c r="E2484" s="188"/>
      <c r="F2484" s="188"/>
      <c r="G2484" s="2122"/>
      <c r="H2484" s="568"/>
      <c r="I2484" s="2118"/>
      <c r="J2484" s="2123"/>
      <c r="K2484" s="2124">
        <f>K2483</f>
        <v>5966.4199999999992</v>
      </c>
      <c r="L2484" s="192"/>
      <c r="M2484" s="568"/>
    </row>
    <row r="2485" spans="1:16" ht="12.75" hidden="1">
      <c r="A2485" s="2114"/>
      <c r="B2485" s="192" t="s">
        <v>3738</v>
      </c>
      <c r="C2485" s="2142">
        <v>0.01</v>
      </c>
      <c r="D2485" s="568"/>
      <c r="E2485" s="188"/>
      <c r="F2485" s="188"/>
      <c r="G2485" s="2122"/>
      <c r="H2485" s="568"/>
      <c r="I2485" s="2118"/>
      <c r="J2485" s="2134"/>
      <c r="K2485" s="2123">
        <f>ROUND(K2484*C2485,2)</f>
        <v>59.66</v>
      </c>
      <c r="L2485" s="192"/>
      <c r="M2485" s="568"/>
    </row>
    <row r="2486" spans="1:16" ht="12.75" hidden="1">
      <c r="A2486" s="2114"/>
      <c r="B2486" s="568"/>
      <c r="C2486" s="568"/>
      <c r="D2486" s="568"/>
      <c r="E2486" s="188"/>
      <c r="F2486" s="188"/>
      <c r="G2486" s="2122"/>
      <c r="H2486" s="568"/>
      <c r="I2486" s="2118"/>
      <c r="J2486" s="2124" t="s">
        <v>839</v>
      </c>
      <c r="K2486" s="2124">
        <f>SUM(K2484:K2485)</f>
        <v>6026.079999999999</v>
      </c>
      <c r="L2486" s="192" t="s">
        <v>721</v>
      </c>
      <c r="M2486" s="568"/>
    </row>
    <row r="2487" spans="1:16" ht="12.75" hidden="1">
      <c r="A2487" s="2114" t="str">
        <f>A467</f>
        <v>(ii)</v>
      </c>
      <c r="B2487" s="192" t="s">
        <v>387</v>
      </c>
      <c r="C2487" s="568"/>
      <c r="D2487" s="568"/>
      <c r="E2487" s="188"/>
      <c r="F2487" s="188"/>
      <c r="G2487" s="2122"/>
      <c r="H2487" s="568"/>
      <c r="I2487" s="2118"/>
      <c r="J2487" s="2124"/>
      <c r="K2487" s="2124"/>
      <c r="L2487" s="192"/>
      <c r="M2487" s="568"/>
    </row>
    <row r="2488" spans="1:16" ht="12.75" hidden="1">
      <c r="A2488" s="2114"/>
      <c r="B2488" s="568" t="s">
        <v>840</v>
      </c>
      <c r="C2488" s="568"/>
      <c r="D2488" s="568"/>
      <c r="E2488" s="188"/>
      <c r="F2488" s="188"/>
      <c r="G2488" s="2122"/>
      <c r="H2488" s="568"/>
      <c r="I2488" s="2118"/>
      <c r="J2488" s="2124"/>
      <c r="K2488" s="2124">
        <f>K2484</f>
        <v>5966.4199999999992</v>
      </c>
      <c r="L2488" s="568"/>
      <c r="M2488" s="568"/>
    </row>
    <row r="2489" spans="1:16" ht="12.75" hidden="1">
      <c r="A2489" s="2114"/>
      <c r="B2489" s="568" t="s">
        <v>841</v>
      </c>
      <c r="C2489" s="568"/>
      <c r="D2489" s="568"/>
      <c r="E2489" s="188"/>
      <c r="F2489" s="188"/>
      <c r="G2489" s="2122"/>
      <c r="H2489" s="2125">
        <v>0.15</v>
      </c>
      <c r="I2489" s="2134">
        <f>K2469</f>
        <v>525.45000000000005</v>
      </c>
      <c r="J2489" s="2124"/>
      <c r="K2489" s="2124">
        <f>ROUND(I2489*H2489,2)</f>
        <v>78.819999999999993</v>
      </c>
      <c r="L2489" s="192"/>
      <c r="M2489" s="568"/>
      <c r="O2489" s="1991">
        <f>O2482+K2489</f>
        <v>604.27</v>
      </c>
      <c r="P2489" s="1706" t="s">
        <v>3149</v>
      </c>
    </row>
    <row r="2490" spans="1:16" ht="12.75" hidden="1">
      <c r="A2490" s="2114"/>
      <c r="B2490" s="568" t="s">
        <v>3664</v>
      </c>
      <c r="C2490" s="568"/>
      <c r="D2490" s="568"/>
      <c r="E2490" s="188"/>
      <c r="F2490" s="188"/>
      <c r="G2490" s="2122"/>
      <c r="H2490" s="2135">
        <f>H2475</f>
        <v>7.4999999999999997E-2</v>
      </c>
      <c r="I2490" s="2134">
        <f>K2489</f>
        <v>78.819999999999993</v>
      </c>
      <c r="J2490" s="2134"/>
      <c r="K2490" s="2123">
        <f>ROUND(I2490*H2490,2)</f>
        <v>5.91</v>
      </c>
      <c r="L2490" s="192"/>
      <c r="M2490" s="568"/>
      <c r="O2490" s="1991"/>
      <c r="P2490" s="1706"/>
    </row>
    <row r="2491" spans="1:16" ht="12.75" hidden="1">
      <c r="A2491" s="2114"/>
      <c r="B2491" s="568" t="s">
        <v>3665</v>
      </c>
      <c r="C2491" s="568"/>
      <c r="D2491" s="568"/>
      <c r="E2491" s="188"/>
      <c r="F2491" s="188"/>
      <c r="G2491" s="2122"/>
      <c r="H2491" s="2135">
        <f>H2490</f>
        <v>7.4999999999999997E-2</v>
      </c>
      <c r="I2491" s="2134">
        <f>I2490</f>
        <v>78.819999999999993</v>
      </c>
      <c r="J2491" s="2134"/>
      <c r="K2491" s="2123">
        <f>ROUND(I2491*H2491,2)</f>
        <v>5.91</v>
      </c>
      <c r="L2491" s="192"/>
      <c r="M2491" s="568"/>
      <c r="O2491" s="1991"/>
      <c r="P2491" s="1706"/>
    </row>
    <row r="2492" spans="1:16" ht="12.75" hidden="1">
      <c r="A2492" s="2114"/>
      <c r="B2492" s="568"/>
      <c r="C2492" s="568"/>
      <c r="D2492" s="568"/>
      <c r="E2492" s="188"/>
      <c r="F2492" s="188"/>
      <c r="G2492" s="2122"/>
      <c r="H2492" s="568"/>
      <c r="I2492" s="2118"/>
      <c r="J2492" s="2124"/>
      <c r="K2492" s="2124">
        <f>SUM(K2488:K2491)</f>
        <v>6057.0599999999986</v>
      </c>
      <c r="L2492" s="192" t="s">
        <v>721</v>
      </c>
      <c r="M2492" s="568"/>
      <c r="O2492" s="1991">
        <f>K2488-O2489</f>
        <v>5362.15</v>
      </c>
      <c r="P2492" s="1706" t="s">
        <v>26</v>
      </c>
    </row>
    <row r="2493" spans="1:16" ht="12.75" hidden="1">
      <c r="A2493" s="2114"/>
      <c r="B2493" s="192" t="s">
        <v>3738</v>
      </c>
      <c r="C2493" s="2142">
        <v>0.01</v>
      </c>
      <c r="D2493" s="568"/>
      <c r="E2493" s="188"/>
      <c r="F2493" s="188"/>
      <c r="G2493" s="2122"/>
      <c r="H2493" s="568"/>
      <c r="I2493" s="2118"/>
      <c r="J2493" s="2134"/>
      <c r="K2493" s="2123">
        <f>ROUND(K2492*C2493,2)</f>
        <v>60.57</v>
      </c>
      <c r="L2493" s="192"/>
      <c r="M2493" s="568"/>
      <c r="O2493" s="1991"/>
      <c r="P2493" s="1706"/>
    </row>
    <row r="2494" spans="1:16" ht="12.75" hidden="1">
      <c r="A2494" s="2114"/>
      <c r="B2494" s="568"/>
      <c r="C2494" s="568"/>
      <c r="D2494" s="568"/>
      <c r="E2494" s="188"/>
      <c r="F2494" s="188"/>
      <c r="G2494" s="2122"/>
      <c r="H2494" s="568"/>
      <c r="I2494" s="2118"/>
      <c r="J2494" s="2124" t="s">
        <v>839</v>
      </c>
      <c r="K2494" s="2124">
        <f>SUM(K2492:K2493)</f>
        <v>6117.6299999999983</v>
      </c>
      <c r="L2494" s="192" t="s">
        <v>721</v>
      </c>
      <c r="M2494" s="568"/>
    </row>
    <row r="2495" spans="1:16" ht="12.75" hidden="1">
      <c r="A2495" s="2114" t="str">
        <f>A468</f>
        <v>(iii)</v>
      </c>
      <c r="B2495" s="192" t="str">
        <f>B468</f>
        <v>Second Floor</v>
      </c>
      <c r="C2495" s="568"/>
      <c r="D2495" s="568"/>
      <c r="E2495" s="188"/>
      <c r="F2495" s="188"/>
      <c r="G2495" s="2122"/>
      <c r="H2495" s="568"/>
      <c r="I2495" s="2118"/>
      <c r="J2495" s="2124"/>
      <c r="K2495" s="2124"/>
      <c r="L2495" s="192"/>
      <c r="M2495" s="568"/>
    </row>
    <row r="2496" spans="1:16" ht="12.75" hidden="1">
      <c r="A2496" s="2114"/>
      <c r="B2496" s="568" t="str">
        <f>B2441</f>
        <v>Rate of First floor</v>
      </c>
      <c r="C2496" s="568"/>
      <c r="D2496" s="568"/>
      <c r="E2496" s="188"/>
      <c r="F2496" s="188"/>
      <c r="G2496" s="2122"/>
      <c r="H2496" s="568"/>
      <c r="I2496" s="2118"/>
      <c r="J2496" s="2124"/>
      <c r="K2496" s="2124">
        <f>K2492</f>
        <v>6057.0599999999986</v>
      </c>
      <c r="L2496" s="568"/>
      <c r="M2496" s="568"/>
    </row>
    <row r="2497" spans="1:16" ht="12.75" hidden="1">
      <c r="A2497" s="2114"/>
      <c r="B2497" s="568" t="str">
        <f>B2442</f>
        <v>Add extra for 2nd floor @ 15% over labour for lifting of concrete.</v>
      </c>
      <c r="C2497" s="568"/>
      <c r="D2497" s="568"/>
      <c r="E2497" s="188"/>
      <c r="F2497" s="188"/>
      <c r="G2497" s="2122"/>
      <c r="H2497" s="2125">
        <v>0.15</v>
      </c>
      <c r="I2497" s="2134">
        <f>I2489+K2489</f>
        <v>604.27</v>
      </c>
      <c r="J2497" s="2124"/>
      <c r="K2497" s="2124">
        <f>ROUND(I2497*H2497,2)</f>
        <v>90.64</v>
      </c>
      <c r="L2497" s="192"/>
      <c r="M2497" s="568"/>
      <c r="O2497" s="1991">
        <f>O2488+K2497</f>
        <v>90.64</v>
      </c>
      <c r="P2497" s="1706" t="s">
        <v>3149</v>
      </c>
    </row>
    <row r="2498" spans="1:16" ht="12.75" hidden="1">
      <c r="A2498" s="2114"/>
      <c r="B2498" s="568" t="s">
        <v>3664</v>
      </c>
      <c r="C2498" s="568"/>
      <c r="D2498" s="568"/>
      <c r="E2498" s="188"/>
      <c r="F2498" s="188"/>
      <c r="G2498" s="2122"/>
      <c r="H2498" s="2135">
        <f>H2490</f>
        <v>7.4999999999999997E-2</v>
      </c>
      <c r="I2498" s="2134">
        <f>K2497</f>
        <v>90.64</v>
      </c>
      <c r="J2498" s="2134"/>
      <c r="K2498" s="2123">
        <f>ROUND(I2498*H2498,2)</f>
        <v>6.8</v>
      </c>
      <c r="L2498" s="192"/>
      <c r="M2498" s="568"/>
      <c r="O2498" s="1991"/>
      <c r="P2498" s="1706"/>
    </row>
    <row r="2499" spans="1:16" ht="12.75" hidden="1">
      <c r="A2499" s="2114"/>
      <c r="B2499" s="568" t="s">
        <v>3665</v>
      </c>
      <c r="C2499" s="568"/>
      <c r="D2499" s="568"/>
      <c r="E2499" s="188"/>
      <c r="F2499" s="188"/>
      <c r="G2499" s="2122"/>
      <c r="H2499" s="2135">
        <f>H2498</f>
        <v>7.4999999999999997E-2</v>
      </c>
      <c r="I2499" s="2134">
        <f>I2498</f>
        <v>90.64</v>
      </c>
      <c r="J2499" s="2134"/>
      <c r="K2499" s="2123">
        <f>ROUND(I2499*H2499,2)</f>
        <v>6.8</v>
      </c>
      <c r="L2499" s="192"/>
      <c r="M2499" s="568"/>
      <c r="O2499" s="1991"/>
      <c r="P2499" s="1706"/>
    </row>
    <row r="2500" spans="1:16" ht="12.75" hidden="1">
      <c r="A2500" s="2114"/>
      <c r="B2500" s="568"/>
      <c r="C2500" s="568"/>
      <c r="D2500" s="568"/>
      <c r="E2500" s="188"/>
      <c r="F2500" s="188"/>
      <c r="G2500" s="2122"/>
      <c r="H2500" s="568"/>
      <c r="I2500" s="2118"/>
      <c r="J2500" s="2124"/>
      <c r="K2500" s="2124">
        <f>SUM(K2496:K2499)</f>
        <v>6161.2999999999993</v>
      </c>
      <c r="L2500" s="192" t="s">
        <v>721</v>
      </c>
      <c r="M2500" s="568"/>
      <c r="O2500" s="1991">
        <f>K2496-O2497</f>
        <v>5966.4199999999983</v>
      </c>
      <c r="P2500" s="1706" t="s">
        <v>26</v>
      </c>
    </row>
    <row r="2501" spans="1:16" ht="12.75" hidden="1">
      <c r="A2501" s="2114"/>
      <c r="B2501" s="192" t="s">
        <v>3738</v>
      </c>
      <c r="C2501" s="2142">
        <v>0.01</v>
      </c>
      <c r="D2501" s="568"/>
      <c r="E2501" s="188"/>
      <c r="F2501" s="188"/>
      <c r="G2501" s="2122"/>
      <c r="H2501" s="568"/>
      <c r="I2501" s="2118"/>
      <c r="J2501" s="2134"/>
      <c r="K2501" s="2123">
        <f>ROUND(K2500*C2501,2)</f>
        <v>61.61</v>
      </c>
      <c r="L2501" s="192"/>
      <c r="M2501" s="568"/>
      <c r="O2501" s="1991"/>
      <c r="P2501" s="1706"/>
    </row>
    <row r="2502" spans="1:16" ht="12.75" hidden="1">
      <c r="A2502" s="2114"/>
      <c r="B2502" s="568"/>
      <c r="C2502" s="568"/>
      <c r="D2502" s="568"/>
      <c r="E2502" s="188"/>
      <c r="F2502" s="188"/>
      <c r="G2502" s="2122"/>
      <c r="H2502" s="568"/>
      <c r="I2502" s="2118"/>
      <c r="J2502" s="2124" t="s">
        <v>839</v>
      </c>
      <c r="K2502" s="2124">
        <f>SUM(K2500:K2501)</f>
        <v>6222.9099999999989</v>
      </c>
      <c r="L2502" s="192" t="s">
        <v>721</v>
      </c>
      <c r="M2502" s="568"/>
    </row>
    <row r="2503" spans="1:16" ht="12.75" hidden="1">
      <c r="A2503" s="2114" t="str">
        <f>A469</f>
        <v>(iv)</v>
      </c>
      <c r="B2503" s="192" t="str">
        <f>B469</f>
        <v>Third Floor</v>
      </c>
      <c r="C2503" s="568"/>
      <c r="D2503" s="568"/>
      <c r="E2503" s="188"/>
      <c r="F2503" s="188"/>
      <c r="G2503" s="2122"/>
      <c r="H2503" s="568"/>
      <c r="I2503" s="2118"/>
      <c r="J2503" s="2124"/>
      <c r="K2503" s="2124"/>
      <c r="L2503" s="192"/>
      <c r="M2503" s="568"/>
    </row>
    <row r="2504" spans="1:16" ht="12.75" hidden="1">
      <c r="A2504" s="2114"/>
      <c r="B2504" s="568" t="str">
        <f>B2449</f>
        <v>Rate of First floor</v>
      </c>
      <c r="C2504" s="568"/>
      <c r="D2504" s="568"/>
      <c r="E2504" s="188"/>
      <c r="F2504" s="188"/>
      <c r="G2504" s="2122"/>
      <c r="H2504" s="568"/>
      <c r="I2504" s="2118"/>
      <c r="J2504" s="2124"/>
      <c r="K2504" s="2124">
        <f>K2500</f>
        <v>6161.2999999999993</v>
      </c>
      <c r="L2504" s="568"/>
      <c r="M2504" s="568"/>
    </row>
    <row r="2505" spans="1:16" ht="12.75" hidden="1">
      <c r="A2505" s="2114"/>
      <c r="B2505" s="568" t="str">
        <f>B2450</f>
        <v>Add extra for 2nd floor @ 15% over labour for lifting of concrete.</v>
      </c>
      <c r="C2505" s="568"/>
      <c r="D2505" s="568"/>
      <c r="E2505" s="188"/>
      <c r="F2505" s="188"/>
      <c r="G2505" s="2122"/>
      <c r="H2505" s="2125">
        <v>0.15</v>
      </c>
      <c r="I2505" s="2134">
        <f>I2497+K2497</f>
        <v>694.91</v>
      </c>
      <c r="J2505" s="2124"/>
      <c r="K2505" s="2124">
        <f>ROUND(I2505*H2505,2)</f>
        <v>104.24</v>
      </c>
      <c r="L2505" s="192"/>
      <c r="M2505" s="568"/>
      <c r="O2505" s="1991">
        <f>O2496+K2505</f>
        <v>104.24</v>
      </c>
      <c r="P2505" s="1706" t="s">
        <v>3149</v>
      </c>
    </row>
    <row r="2506" spans="1:16" ht="12.75" hidden="1">
      <c r="A2506" s="2114"/>
      <c r="B2506" s="568" t="s">
        <v>3664</v>
      </c>
      <c r="C2506" s="568"/>
      <c r="D2506" s="568"/>
      <c r="E2506" s="188"/>
      <c r="F2506" s="188"/>
      <c r="G2506" s="2122"/>
      <c r="H2506" s="2135">
        <f>H2498</f>
        <v>7.4999999999999997E-2</v>
      </c>
      <c r="I2506" s="2134">
        <f>K2505</f>
        <v>104.24</v>
      </c>
      <c r="J2506" s="2134"/>
      <c r="K2506" s="2123">
        <f>ROUND(I2506*H2506,2)</f>
        <v>7.82</v>
      </c>
      <c r="L2506" s="192"/>
      <c r="M2506" s="568"/>
      <c r="O2506" s="1991"/>
      <c r="P2506" s="1706"/>
    </row>
    <row r="2507" spans="1:16" ht="12.75" hidden="1">
      <c r="A2507" s="2114"/>
      <c r="B2507" s="568" t="s">
        <v>3665</v>
      </c>
      <c r="C2507" s="568"/>
      <c r="D2507" s="568"/>
      <c r="E2507" s="188"/>
      <c r="F2507" s="188"/>
      <c r="G2507" s="2122"/>
      <c r="H2507" s="2135">
        <f>H2506</f>
        <v>7.4999999999999997E-2</v>
      </c>
      <c r="I2507" s="2134">
        <f>I2506</f>
        <v>104.24</v>
      </c>
      <c r="J2507" s="2134"/>
      <c r="K2507" s="2123">
        <f>ROUND(I2507*H2507,2)</f>
        <v>7.82</v>
      </c>
      <c r="L2507" s="192"/>
      <c r="M2507" s="568"/>
      <c r="O2507" s="1991"/>
      <c r="P2507" s="1706"/>
    </row>
    <row r="2508" spans="1:16" ht="12.75" hidden="1">
      <c r="A2508" s="2114"/>
      <c r="B2508" s="568"/>
      <c r="C2508" s="568"/>
      <c r="D2508" s="568"/>
      <c r="E2508" s="188"/>
      <c r="F2508" s="188"/>
      <c r="G2508" s="2122"/>
      <c r="H2508" s="568"/>
      <c r="I2508" s="2118"/>
      <c r="J2508" s="2124"/>
      <c r="K2508" s="2124">
        <f>SUM(K2504:K2507)</f>
        <v>6281.1799999999985</v>
      </c>
      <c r="L2508" s="192" t="s">
        <v>721</v>
      </c>
      <c r="M2508" s="568"/>
      <c r="O2508" s="1991">
        <f>K2504-O2505</f>
        <v>6057.0599999999995</v>
      </c>
      <c r="P2508" s="1706" t="s">
        <v>26</v>
      </c>
    </row>
    <row r="2509" spans="1:16" ht="12.75" hidden="1">
      <c r="A2509" s="2114"/>
      <c r="B2509" s="192" t="s">
        <v>3738</v>
      </c>
      <c r="C2509" s="2142">
        <v>0.01</v>
      </c>
      <c r="D2509" s="568"/>
      <c r="E2509" s="188"/>
      <c r="F2509" s="188"/>
      <c r="G2509" s="2122"/>
      <c r="H2509" s="568"/>
      <c r="I2509" s="2118"/>
      <c r="J2509" s="2134"/>
      <c r="K2509" s="2123">
        <f>ROUND(K2508*C2509,2)</f>
        <v>62.81</v>
      </c>
      <c r="L2509" s="192"/>
      <c r="M2509" s="568"/>
      <c r="O2509" s="1991"/>
      <c r="P2509" s="1706"/>
    </row>
    <row r="2510" spans="1:16" ht="12.75" hidden="1">
      <c r="A2510" s="2114"/>
      <c r="B2510" s="568"/>
      <c r="C2510" s="568"/>
      <c r="D2510" s="568"/>
      <c r="E2510" s="188"/>
      <c r="F2510" s="188"/>
      <c r="G2510" s="2122"/>
      <c r="H2510" s="568"/>
      <c r="I2510" s="2118"/>
      <c r="J2510" s="2124" t="s">
        <v>839</v>
      </c>
      <c r="K2510" s="2124">
        <f>SUM(K2508:K2509)</f>
        <v>6343.9899999999989</v>
      </c>
      <c r="L2510" s="192" t="s">
        <v>721</v>
      </c>
      <c r="M2510" s="568"/>
    </row>
    <row r="2511" spans="1:16" ht="43.15" hidden="1" customHeight="1">
      <c r="A2511" s="2114">
        <f>A470</f>
        <v>49</v>
      </c>
      <c r="B2511" s="3017" t="str">
        <f>B470</f>
        <v>R.C.C. M25  using   20 mm to 10mm  size black hard crusher broken granite stone chips of approved quality and from approved quarry  etc. complete in all respect .</v>
      </c>
      <c r="C2511" s="3017"/>
      <c r="D2511" s="3017"/>
      <c r="E2511" s="2116" t="str">
        <f>G470</f>
        <v>Each Cum</v>
      </c>
      <c r="F2511" s="2116"/>
      <c r="G2511" s="2122"/>
      <c r="H2511" s="568"/>
      <c r="I2511" s="2118"/>
      <c r="J2511" s="2124"/>
      <c r="K2511" s="2124"/>
      <c r="L2511" s="192"/>
      <c r="M2511" s="568"/>
    </row>
    <row r="2512" spans="1:16" s="1706" customFormat="1" ht="12.75" hidden="1">
      <c r="A2512" s="2114" t="str">
        <f>A471</f>
        <v>(i)</v>
      </c>
      <c r="B2512" s="192" t="s">
        <v>384</v>
      </c>
      <c r="C2512" s="192"/>
      <c r="D2512" s="192"/>
      <c r="E2512" s="188"/>
      <c r="F2512" s="188"/>
      <c r="G2512" s="2141"/>
      <c r="H2512" s="192"/>
      <c r="I2512" s="2114"/>
      <c r="J2512" s="2124"/>
      <c r="K2512" s="2124"/>
      <c r="L2512" s="192"/>
      <c r="M2512" s="568"/>
    </row>
    <row r="2513" spans="1:28" ht="12.75" hidden="1">
      <c r="A2513" s="2114"/>
      <c r="B2513" s="568" t="s">
        <v>828</v>
      </c>
      <c r="C2513" s="568"/>
      <c r="D2513" s="568"/>
      <c r="E2513" s="188"/>
      <c r="F2513" s="188"/>
      <c r="G2513" s="2122"/>
      <c r="H2513" s="568"/>
      <c r="I2513" s="2118"/>
      <c r="J2513" s="2123"/>
      <c r="K2513" s="2123"/>
      <c r="L2513" s="192"/>
      <c r="M2513" s="568"/>
    </row>
    <row r="2514" spans="1:28" ht="12.75" hidden="1">
      <c r="A2514" s="2114"/>
      <c r="B2514" s="192" t="s">
        <v>829</v>
      </c>
      <c r="C2514" s="568"/>
      <c r="D2514" s="568"/>
      <c r="E2514" s="188"/>
      <c r="F2514" s="188"/>
      <c r="G2514" s="2122"/>
      <c r="H2514" s="568"/>
      <c r="I2514" s="2118"/>
      <c r="J2514" s="2123"/>
      <c r="K2514" s="2123"/>
      <c r="L2514" s="192"/>
      <c r="M2514" s="568"/>
    </row>
    <row r="2515" spans="1:28" ht="12.75" hidden="1">
      <c r="A2515" s="2114"/>
      <c r="B2515" s="568" t="s">
        <v>830</v>
      </c>
      <c r="C2515" s="568"/>
      <c r="D2515" s="568"/>
      <c r="E2515" s="188"/>
      <c r="F2515" s="188"/>
      <c r="G2515" s="2122">
        <v>8.1</v>
      </c>
      <c r="H2515" s="568" t="s">
        <v>49</v>
      </c>
      <c r="I2515" s="2118" t="s">
        <v>49</v>
      </c>
      <c r="J2515" s="2123">
        <f>G11</f>
        <v>1382.29</v>
      </c>
      <c r="K2515" s="2123">
        <f>ROUND(G2515*J2515,2)</f>
        <v>11196.55</v>
      </c>
      <c r="L2515" s="192"/>
      <c r="M2515" s="568"/>
    </row>
    <row r="2516" spans="1:28" ht="12.75" hidden="1">
      <c r="A2516" s="2114"/>
      <c r="B2516" s="568" t="s">
        <v>831</v>
      </c>
      <c r="C2516" s="568"/>
      <c r="D2516" s="568"/>
      <c r="E2516" s="188"/>
      <c r="F2516" s="188"/>
      <c r="G2516" s="2122">
        <v>5.4</v>
      </c>
      <c r="H2516" s="568" t="s">
        <v>49</v>
      </c>
      <c r="I2516" s="2118" t="s">
        <v>49</v>
      </c>
      <c r="J2516" s="2123">
        <f>G14</f>
        <v>1402</v>
      </c>
      <c r="K2516" s="2123">
        <f>ROUND(G2516*J2516,2)</f>
        <v>7570.8</v>
      </c>
      <c r="L2516" s="192"/>
      <c r="M2516" s="568"/>
    </row>
    <row r="2517" spans="1:28" ht="12.75" hidden="1">
      <c r="A2517" s="2114"/>
      <c r="B2517" s="568" t="s">
        <v>832</v>
      </c>
      <c r="C2517" s="568"/>
      <c r="D2517" s="568"/>
      <c r="E2517" s="188"/>
      <c r="F2517" s="188"/>
      <c r="G2517" s="2122">
        <v>6.75</v>
      </c>
      <c r="H2517" s="568" t="s">
        <v>49</v>
      </c>
      <c r="I2517" s="2118" t="s">
        <v>49</v>
      </c>
      <c r="J2517" s="2123">
        <f>G46</f>
        <v>76.88</v>
      </c>
      <c r="K2517" s="2123">
        <f>ROUND(G2517*J2517,2)</f>
        <v>518.94000000000005</v>
      </c>
      <c r="L2517" s="192"/>
      <c r="M2517" s="568"/>
    </row>
    <row r="2518" spans="1:28" s="1706" customFormat="1" ht="12.75" hidden="1">
      <c r="A2518" s="2114"/>
      <c r="B2518" s="568" t="s">
        <v>8</v>
      </c>
      <c r="C2518" s="568"/>
      <c r="D2518" s="568"/>
      <c r="E2518" s="188"/>
      <c r="F2518" s="188"/>
      <c r="G2518" s="2122">
        <v>5.21</v>
      </c>
      <c r="H2518" s="568" t="s">
        <v>91</v>
      </c>
      <c r="I2518" s="2118" t="s">
        <v>91</v>
      </c>
      <c r="J2518" s="2123">
        <f>G50</f>
        <v>5702.34</v>
      </c>
      <c r="K2518" s="2123">
        <f>ROUND(G2518*J2518,2)</f>
        <v>29709.19</v>
      </c>
      <c r="L2518" s="192"/>
      <c r="M2518" s="568"/>
      <c r="N2518" s="1705"/>
      <c r="O2518" s="1705"/>
      <c r="P2518" s="1705"/>
      <c r="Q2518" s="1705"/>
      <c r="R2518" s="1705"/>
      <c r="S2518" s="1705"/>
      <c r="U2518" s="1705"/>
      <c r="V2518" s="1705"/>
      <c r="W2518" s="1705"/>
      <c r="X2518" s="1705"/>
      <c r="Y2518" s="1705"/>
      <c r="Z2518" s="1705"/>
      <c r="AA2518" s="1705"/>
      <c r="AB2518" s="1705"/>
    </row>
    <row r="2519" spans="1:28" s="1706" customFormat="1" ht="12.75" hidden="1">
      <c r="A2519" s="2114"/>
      <c r="B2519" s="568"/>
      <c r="C2519" s="568"/>
      <c r="D2519" s="568"/>
      <c r="E2519" s="188"/>
      <c r="F2519" s="188"/>
      <c r="G2519" s="2122"/>
      <c r="H2519" s="568"/>
      <c r="I2519" s="2118"/>
      <c r="J2519" s="2134" t="s">
        <v>718</v>
      </c>
      <c r="K2519" s="2123">
        <f>SUM(K2515:K2518)</f>
        <v>48995.479999999996</v>
      </c>
      <c r="L2519" s="192"/>
      <c r="M2519" s="568"/>
      <c r="N2519" s="1705"/>
      <c r="O2519" s="1705"/>
      <c r="P2519" s="1705"/>
      <c r="Q2519" s="1705"/>
      <c r="R2519" s="1705"/>
      <c r="S2519" s="1705"/>
      <c r="U2519" s="1705"/>
      <c r="V2519" s="1705"/>
      <c r="W2519" s="1705"/>
      <c r="X2519" s="1705"/>
      <c r="Y2519" s="1705"/>
      <c r="Z2519" s="1705"/>
      <c r="AA2519" s="1705"/>
      <c r="AB2519" s="1705"/>
    </row>
    <row r="2520" spans="1:28" s="1706" customFormat="1" ht="12.75" hidden="1">
      <c r="A2520" s="2114"/>
      <c r="B2520" s="192" t="s">
        <v>816</v>
      </c>
      <c r="C2520" s="568"/>
      <c r="D2520" s="568"/>
      <c r="E2520" s="188"/>
      <c r="F2520" s="188"/>
      <c r="G2520" s="2122"/>
      <c r="H2520" s="568"/>
      <c r="I2520" s="2118"/>
      <c r="J2520" s="2123"/>
      <c r="K2520" s="2123"/>
      <c r="L2520" s="192"/>
      <c r="M2520" s="568"/>
      <c r="N2520" s="1705"/>
      <c r="O2520" s="1705"/>
      <c r="P2520" s="1705"/>
      <c r="Q2520" s="1705"/>
      <c r="R2520" s="1705"/>
      <c r="S2520" s="1705"/>
      <c r="U2520" s="1705"/>
      <c r="V2520" s="1705"/>
      <c r="W2520" s="1705"/>
      <c r="X2520" s="1705"/>
      <c r="Y2520" s="1705"/>
      <c r="Z2520" s="1705"/>
      <c r="AA2520" s="1705"/>
      <c r="AB2520" s="1705"/>
    </row>
    <row r="2521" spans="1:28" s="1706" customFormat="1" ht="12.75" hidden="1">
      <c r="A2521" s="2114"/>
      <c r="B2521" s="568" t="s">
        <v>744</v>
      </c>
      <c r="C2521" s="568"/>
      <c r="D2521" s="568"/>
      <c r="E2521" s="188"/>
      <c r="F2521" s="188"/>
      <c r="G2521" s="2122">
        <v>0.86</v>
      </c>
      <c r="H2521" s="568" t="s">
        <v>262</v>
      </c>
      <c r="I2521" s="2118" t="s">
        <v>315</v>
      </c>
      <c r="J2521" s="2123">
        <f>L135</f>
        <v>385</v>
      </c>
      <c r="K2521" s="2123">
        <f>ROUND(G2521*J2521,2)</f>
        <v>331.1</v>
      </c>
      <c r="L2521" s="192"/>
      <c r="M2521" s="568"/>
      <c r="N2521" s="1705"/>
      <c r="O2521" s="1705"/>
      <c r="P2521" s="1705"/>
      <c r="Q2521" s="1705"/>
      <c r="R2521" s="1705"/>
      <c r="S2521" s="1705"/>
      <c r="U2521" s="1705"/>
      <c r="V2521" s="1705"/>
      <c r="W2521" s="1705"/>
      <c r="X2521" s="1705"/>
      <c r="Y2521" s="1705"/>
      <c r="Z2521" s="1705"/>
      <c r="AA2521" s="1705"/>
      <c r="AB2521" s="1705"/>
    </row>
    <row r="2522" spans="1:28" s="1706" customFormat="1" ht="12.75" hidden="1">
      <c r="A2522" s="2114"/>
      <c r="B2522" s="568" t="s">
        <v>818</v>
      </c>
      <c r="C2522" s="568"/>
      <c r="D2522" s="568"/>
      <c r="E2522" s="188"/>
      <c r="F2522" s="188"/>
      <c r="G2522" s="2122">
        <v>1.5</v>
      </c>
      <c r="H2522" s="568" t="s">
        <v>262</v>
      </c>
      <c r="I2522" s="2118" t="s">
        <v>315</v>
      </c>
      <c r="J2522" s="2123">
        <f>L136</f>
        <v>435</v>
      </c>
      <c r="K2522" s="2123">
        <f>ROUND(G2522*J2522,2)</f>
        <v>652.5</v>
      </c>
      <c r="L2522" s="192"/>
      <c r="M2522" s="568"/>
      <c r="N2522" s="1705"/>
      <c r="O2522" s="1705"/>
      <c r="P2522" s="1705"/>
      <c r="Q2522" s="1705"/>
      <c r="R2522" s="1705"/>
      <c r="S2522" s="1705"/>
      <c r="U2522" s="1705"/>
      <c r="V2522" s="1705"/>
      <c r="W2522" s="1705"/>
      <c r="X2522" s="1705"/>
      <c r="Y2522" s="1705"/>
      <c r="Z2522" s="1705"/>
      <c r="AA2522" s="1705"/>
      <c r="AB2522" s="1705"/>
    </row>
    <row r="2523" spans="1:28" s="1706" customFormat="1" ht="12.75" hidden="1">
      <c r="A2523" s="2114"/>
      <c r="B2523" s="568" t="s">
        <v>717</v>
      </c>
      <c r="C2523" s="568"/>
      <c r="D2523" s="568"/>
      <c r="E2523" s="188"/>
      <c r="F2523" s="188"/>
      <c r="G2523" s="2122">
        <v>20</v>
      </c>
      <c r="H2523" s="568" t="s">
        <v>262</v>
      </c>
      <c r="I2523" s="2118" t="s">
        <v>315</v>
      </c>
      <c r="J2523" s="2123">
        <f>L134</f>
        <v>345</v>
      </c>
      <c r="K2523" s="2123">
        <f>ROUND(G2523*J2523,2)</f>
        <v>6900</v>
      </c>
      <c r="L2523" s="192"/>
      <c r="M2523" s="568"/>
      <c r="N2523" s="1705"/>
      <c r="O2523" s="1705"/>
      <c r="P2523" s="1705"/>
      <c r="Q2523" s="1705"/>
      <c r="R2523" s="1705"/>
      <c r="S2523" s="1705"/>
      <c r="U2523" s="1705"/>
      <c r="V2523" s="1705"/>
      <c r="W2523" s="1705"/>
      <c r="X2523" s="1705"/>
      <c r="Y2523" s="1705"/>
      <c r="Z2523" s="1705"/>
      <c r="AA2523" s="1705"/>
      <c r="AB2523" s="1705"/>
    </row>
    <row r="2524" spans="1:28" s="1706" customFormat="1" ht="12.75" hidden="1">
      <c r="A2524" s="2114"/>
      <c r="B2524" s="568"/>
      <c r="C2524" s="568"/>
      <c r="D2524" s="568"/>
      <c r="E2524" s="188"/>
      <c r="F2524" s="188"/>
      <c r="G2524" s="2122"/>
      <c r="H2524" s="568"/>
      <c r="I2524" s="2118"/>
      <c r="J2524" s="2134" t="s">
        <v>718</v>
      </c>
      <c r="K2524" s="2123">
        <f>SUM(K2521:K2523)</f>
        <v>7883.6</v>
      </c>
      <c r="L2524" s="192"/>
      <c r="M2524" s="568"/>
      <c r="N2524" s="1705"/>
      <c r="O2524" s="1705">
        <f>K2524/15</f>
        <v>525.57333333333338</v>
      </c>
      <c r="P2524" s="1705"/>
      <c r="Q2524" s="1705"/>
      <c r="R2524" s="1705"/>
      <c r="S2524" s="1705"/>
      <c r="U2524" s="1705"/>
      <c r="V2524" s="1705"/>
      <c r="W2524" s="1705"/>
      <c r="X2524" s="1705"/>
      <c r="Y2524" s="1705"/>
      <c r="Z2524" s="1705"/>
      <c r="AA2524" s="1705"/>
      <c r="AB2524" s="1705"/>
    </row>
    <row r="2525" spans="1:28" s="1706" customFormat="1" ht="12.75" hidden="1">
      <c r="A2525" s="2114"/>
      <c r="B2525" s="192" t="s">
        <v>833</v>
      </c>
      <c r="C2525" s="568"/>
      <c r="D2525" s="568"/>
      <c r="E2525" s="188"/>
      <c r="F2525" s="188"/>
      <c r="G2525" s="2122"/>
      <c r="H2525" s="568"/>
      <c r="I2525" s="2118"/>
      <c r="J2525" s="2123"/>
      <c r="K2525" s="2123"/>
      <c r="L2525" s="192"/>
      <c r="M2525" s="568"/>
      <c r="N2525" s="1705"/>
      <c r="O2525" s="1709">
        <f>O2524+K2546</f>
        <v>604.41333333333341</v>
      </c>
      <c r="P2525" s="1705"/>
      <c r="Q2525" s="1705"/>
      <c r="R2525" s="1705"/>
      <c r="S2525" s="1705"/>
      <c r="U2525" s="1705"/>
      <c r="V2525" s="1705"/>
      <c r="W2525" s="1705"/>
      <c r="X2525" s="1705"/>
      <c r="Y2525" s="1705"/>
      <c r="Z2525" s="1705"/>
      <c r="AA2525" s="1705"/>
      <c r="AB2525" s="1705"/>
    </row>
    <row r="2526" spans="1:28" s="1706" customFormat="1" ht="12.75" hidden="1">
      <c r="A2526" s="2114"/>
      <c r="B2526" s="568" t="s">
        <v>834</v>
      </c>
      <c r="C2526" s="568"/>
      <c r="D2526" s="568"/>
      <c r="E2526" s="188"/>
      <c r="F2526" s="188"/>
      <c r="G2526" s="2122">
        <v>6</v>
      </c>
      <c r="H2526" s="568" t="s">
        <v>312</v>
      </c>
      <c r="I2526" s="2118" t="s">
        <v>312</v>
      </c>
      <c r="J2526" s="2123">
        <f>G223</f>
        <v>229.55</v>
      </c>
      <c r="K2526" s="2123">
        <f>ROUND(G2526*J2526,2)</f>
        <v>1377.3</v>
      </c>
      <c r="L2526" s="192"/>
      <c r="M2526" s="568"/>
      <c r="N2526" s="1705"/>
      <c r="O2526" s="1705">
        <f>O2525*15%</f>
        <v>90.662000000000006</v>
      </c>
      <c r="P2526" s="1705"/>
      <c r="Q2526" s="1705"/>
      <c r="R2526" s="1705"/>
      <c r="S2526" s="1705"/>
      <c r="U2526" s="1705"/>
      <c r="V2526" s="1705"/>
      <c r="W2526" s="1705"/>
      <c r="X2526" s="1705"/>
      <c r="Y2526" s="1705"/>
      <c r="Z2526" s="1705"/>
      <c r="AA2526" s="1705"/>
      <c r="AB2526" s="1705"/>
    </row>
    <row r="2527" spans="1:28" s="1706" customFormat="1" ht="12.75" hidden="1">
      <c r="A2527" s="2114"/>
      <c r="B2527" s="568" t="s">
        <v>313</v>
      </c>
      <c r="C2527" s="568"/>
      <c r="D2527" s="568"/>
      <c r="E2527" s="188"/>
      <c r="F2527" s="188"/>
      <c r="G2527" s="2122">
        <v>6</v>
      </c>
      <c r="H2527" s="568" t="s">
        <v>312</v>
      </c>
      <c r="I2527" s="2118" t="s">
        <v>312</v>
      </c>
      <c r="J2527" s="2123">
        <f>M239</f>
        <v>700</v>
      </c>
      <c r="K2527" s="2123">
        <f>ROUND(G2527*J2527,2)</f>
        <v>4200</v>
      </c>
      <c r="L2527" s="192"/>
      <c r="M2527" s="568"/>
      <c r="N2527" s="1705"/>
      <c r="O2527" s="1705"/>
      <c r="P2527" s="1705"/>
      <c r="Q2527" s="1705"/>
      <c r="R2527" s="1705"/>
      <c r="S2527" s="1705"/>
      <c r="U2527" s="1705"/>
      <c r="V2527" s="1705"/>
      <c r="W2527" s="1705"/>
      <c r="X2527" s="1705"/>
      <c r="Y2527" s="1705"/>
      <c r="Z2527" s="1705"/>
      <c r="AA2527" s="1705"/>
      <c r="AB2527" s="1705"/>
    </row>
    <row r="2528" spans="1:28" s="1706" customFormat="1" ht="12.75" hidden="1">
      <c r="A2528" s="2114"/>
      <c r="B2528" s="568"/>
      <c r="C2528" s="568"/>
      <c r="D2528" s="568"/>
      <c r="E2528" s="188"/>
      <c r="F2528" s="188"/>
      <c r="G2528" s="2122"/>
      <c r="H2528" s="568"/>
      <c r="I2528" s="2118"/>
      <c r="J2528" s="2134" t="s">
        <v>718</v>
      </c>
      <c r="K2528" s="2123">
        <f>K2527+K2526</f>
        <v>5577.3</v>
      </c>
      <c r="L2528" s="192"/>
      <c r="M2528" s="568"/>
      <c r="N2528" s="1705"/>
      <c r="O2528" s="1705"/>
      <c r="P2528" s="1705"/>
      <c r="Q2528" s="1705"/>
      <c r="R2528" s="1705"/>
      <c r="S2528" s="1705"/>
      <c r="U2528" s="1705"/>
      <c r="V2528" s="1705"/>
      <c r="W2528" s="1705"/>
      <c r="X2528" s="1705"/>
      <c r="Y2528" s="1705"/>
      <c r="Z2528" s="1705"/>
      <c r="AA2528" s="1705"/>
      <c r="AB2528" s="1705"/>
    </row>
    <row r="2529" spans="1:28" s="1706" customFormat="1" ht="12.75" hidden="1">
      <c r="A2529" s="2114"/>
      <c r="B2529" s="192"/>
      <c r="C2529" s="568"/>
      <c r="D2529" s="568"/>
      <c r="E2529" s="188"/>
      <c r="F2529" s="188"/>
      <c r="G2529" s="2122"/>
      <c r="H2529" s="568"/>
      <c r="I2529" s="2118"/>
      <c r="J2529" s="2134"/>
      <c r="K2529" s="2123"/>
      <c r="L2529" s="192"/>
      <c r="M2529" s="568"/>
      <c r="N2529" s="1705"/>
      <c r="O2529" s="1705"/>
      <c r="P2529" s="1705"/>
      <c r="Q2529" s="1705"/>
      <c r="R2529" s="1705"/>
      <c r="S2529" s="1705"/>
      <c r="U2529" s="1705"/>
      <c r="V2529" s="1705"/>
      <c r="W2529" s="1705"/>
      <c r="X2529" s="1705"/>
      <c r="Y2529" s="1705"/>
      <c r="Z2529" s="1705"/>
      <c r="AA2529" s="1705"/>
      <c r="AB2529" s="1705"/>
    </row>
    <row r="2530" spans="1:28" s="1706" customFormat="1" ht="12.75" hidden="1">
      <c r="A2530" s="2114"/>
      <c r="B2530" s="568" t="s">
        <v>835</v>
      </c>
      <c r="C2530" s="568"/>
      <c r="D2530" s="568"/>
      <c r="E2530" s="188"/>
      <c r="F2530" s="188"/>
      <c r="G2530" s="2122"/>
      <c r="H2530" s="568"/>
      <c r="I2530" s="2118"/>
      <c r="J2530" s="2134" t="s">
        <v>718</v>
      </c>
      <c r="K2530" s="2123">
        <f>K2519+K2524+K2528+K2529</f>
        <v>62456.38</v>
      </c>
      <c r="L2530" s="192"/>
      <c r="M2530" s="568"/>
      <c r="N2530" s="1705"/>
      <c r="O2530" s="1705"/>
      <c r="P2530" s="1705"/>
      <c r="Q2530" s="1705"/>
      <c r="R2530" s="1705"/>
      <c r="S2530" s="1705"/>
      <c r="U2530" s="1705"/>
      <c r="V2530" s="1705"/>
      <c r="W2530" s="1705"/>
      <c r="X2530" s="1705"/>
      <c r="Y2530" s="1705"/>
      <c r="Z2530" s="1705"/>
      <c r="AA2530" s="1705"/>
      <c r="AB2530" s="1705"/>
    </row>
    <row r="2531" spans="1:28" ht="12.75" hidden="1">
      <c r="A2531" s="568"/>
      <c r="B2531" s="192" t="s">
        <v>3662</v>
      </c>
      <c r="C2531" s="568"/>
      <c r="D2531" s="568"/>
      <c r="E2531" s="188"/>
      <c r="F2531" s="188"/>
      <c r="G2531" s="2122"/>
      <c r="H2531" s="2135">
        <f>H2507</f>
        <v>7.4999999999999997E-2</v>
      </c>
      <c r="I2531" s="2134">
        <f>K2530</f>
        <v>62456.38</v>
      </c>
      <c r="J2531" s="2134"/>
      <c r="K2531" s="2123">
        <f>ROUND(I2531*H2531,2)</f>
        <v>4684.2299999999996</v>
      </c>
      <c r="L2531" s="2119"/>
      <c r="M2531" s="568"/>
    </row>
    <row r="2532" spans="1:28" ht="12.75" hidden="1">
      <c r="A2532" s="568"/>
      <c r="B2532" s="192" t="s">
        <v>3661</v>
      </c>
      <c r="C2532" s="568"/>
      <c r="D2532" s="568"/>
      <c r="E2532" s="188"/>
      <c r="F2532" s="188"/>
      <c r="G2532" s="2122"/>
      <c r="H2532" s="2135">
        <f>H2531</f>
        <v>7.4999999999999997E-2</v>
      </c>
      <c r="I2532" s="2134">
        <f>I2531</f>
        <v>62456.38</v>
      </c>
      <c r="J2532" s="2134"/>
      <c r="K2532" s="2123">
        <f>ROUND(I2532*H2532,2)</f>
        <v>4684.2299999999996</v>
      </c>
      <c r="L2532" s="2119"/>
      <c r="M2532" s="568"/>
    </row>
    <row r="2533" spans="1:28" ht="12.75" hidden="1">
      <c r="A2533" s="568"/>
      <c r="B2533" s="568" t="s">
        <v>835</v>
      </c>
      <c r="C2533" s="568"/>
      <c r="D2533" s="568"/>
      <c r="E2533" s="188"/>
      <c r="F2533" s="188"/>
      <c r="G2533" s="2122"/>
      <c r="H2533" s="2135"/>
      <c r="I2533" s="2134"/>
      <c r="J2533" s="2134" t="s">
        <v>718</v>
      </c>
      <c r="K2533" s="2123">
        <f>SUM(K2530:K2532)</f>
        <v>71824.84</v>
      </c>
      <c r="L2533" s="2119"/>
      <c r="M2533" s="568"/>
    </row>
    <row r="2534" spans="1:28" s="1706" customFormat="1" ht="12.75" hidden="1">
      <c r="A2534" s="2114"/>
      <c r="B2534" s="192" t="s">
        <v>836</v>
      </c>
      <c r="C2534" s="568"/>
      <c r="D2534" s="568"/>
      <c r="E2534" s="188"/>
      <c r="F2534" s="188"/>
      <c r="G2534" s="2122"/>
      <c r="H2534" s="568"/>
      <c r="I2534" s="2118"/>
      <c r="J2534" s="2123"/>
      <c r="K2534" s="2123"/>
      <c r="L2534" s="192"/>
      <c r="M2534" s="568"/>
      <c r="N2534" s="1705"/>
      <c r="O2534" s="1705"/>
      <c r="P2534" s="1705"/>
      <c r="Q2534" s="1705"/>
      <c r="R2534" s="1705"/>
      <c r="S2534" s="1705"/>
      <c r="U2534" s="1705"/>
      <c r="V2534" s="1705"/>
      <c r="W2534" s="1705"/>
      <c r="X2534" s="1705"/>
      <c r="Y2534" s="1705"/>
      <c r="Z2534" s="1705"/>
      <c r="AA2534" s="1705"/>
      <c r="AB2534" s="1705"/>
    </row>
    <row r="2535" spans="1:28" s="1706" customFormat="1" ht="12.75" hidden="1">
      <c r="A2535" s="2114"/>
      <c r="B2535" s="568" t="s">
        <v>830</v>
      </c>
      <c r="C2535" s="568"/>
      <c r="D2535" s="568"/>
      <c r="E2535" s="188"/>
      <c r="F2535" s="188"/>
      <c r="G2535" s="2122">
        <f>G2515</f>
        <v>8.1</v>
      </c>
      <c r="H2535" s="568" t="s">
        <v>49</v>
      </c>
      <c r="I2535" s="2118" t="s">
        <v>49</v>
      </c>
      <c r="J2535" s="2123">
        <f>K11</f>
        <v>1308.4099999999999</v>
      </c>
      <c r="K2535" s="2123">
        <f>ROUND(G2535*J2535,2)</f>
        <v>10598.12</v>
      </c>
      <c r="L2535" s="192"/>
      <c r="M2535" s="568"/>
      <c r="N2535" s="1705"/>
      <c r="O2535" s="1705"/>
      <c r="P2535" s="1705"/>
      <c r="Q2535" s="1705"/>
      <c r="R2535" s="1705"/>
      <c r="S2535" s="1705"/>
      <c r="U2535" s="1705"/>
      <c r="V2535" s="1705"/>
      <c r="W2535" s="1705"/>
      <c r="X2535" s="1705"/>
      <c r="Y2535" s="1705"/>
      <c r="Z2535" s="1705"/>
      <c r="AA2535" s="1705"/>
      <c r="AB2535" s="1705"/>
    </row>
    <row r="2536" spans="1:28" s="1706" customFormat="1" ht="12.75" hidden="1">
      <c r="A2536" s="2114"/>
      <c r="B2536" s="568" t="s">
        <v>831</v>
      </c>
      <c r="C2536" s="568"/>
      <c r="D2536" s="568"/>
      <c r="E2536" s="188"/>
      <c r="F2536" s="188"/>
      <c r="G2536" s="2122">
        <f>G2516</f>
        <v>5.4</v>
      </c>
      <c r="H2536" s="568" t="s">
        <v>49</v>
      </c>
      <c r="I2536" s="2118" t="s">
        <v>49</v>
      </c>
      <c r="J2536" s="2123">
        <f>K14</f>
        <v>1308.4099999999999</v>
      </c>
      <c r="K2536" s="2123">
        <f>ROUND(G2536*J2536,2)</f>
        <v>7065.41</v>
      </c>
      <c r="L2536" s="192"/>
      <c r="M2536" s="568"/>
      <c r="N2536" s="1705"/>
      <c r="O2536" s="1705"/>
      <c r="P2536" s="1705"/>
      <c r="Q2536" s="1705"/>
      <c r="R2536" s="1705"/>
      <c r="S2536" s="1705"/>
      <c r="U2536" s="1705"/>
      <c r="V2536" s="1705"/>
      <c r="W2536" s="1705"/>
      <c r="X2536" s="1705"/>
      <c r="Y2536" s="1705"/>
      <c r="Z2536" s="1705"/>
      <c r="AA2536" s="1705"/>
      <c r="AB2536" s="1705"/>
    </row>
    <row r="2537" spans="1:28" ht="12.75" hidden="1">
      <c r="A2537" s="2114"/>
      <c r="B2537" s="568" t="s">
        <v>832</v>
      </c>
      <c r="C2537" s="568"/>
      <c r="D2537" s="568"/>
      <c r="E2537" s="188"/>
      <c r="F2537" s="188"/>
      <c r="G2537" s="2122">
        <f>G2517</f>
        <v>6.75</v>
      </c>
      <c r="H2537" s="568" t="s">
        <v>49</v>
      </c>
      <c r="I2537" s="2118" t="s">
        <v>49</v>
      </c>
      <c r="J2537" s="2123">
        <f>K46</f>
        <v>717.46</v>
      </c>
      <c r="K2537" s="2123">
        <f>ROUND(G2537*J2537,2)</f>
        <v>4842.8599999999997</v>
      </c>
      <c r="L2537" s="192"/>
      <c r="M2537" s="568"/>
    </row>
    <row r="2538" spans="1:28" ht="12.75" hidden="1">
      <c r="A2538" s="2114"/>
      <c r="B2538" s="568" t="s">
        <v>8</v>
      </c>
      <c r="C2538" s="568"/>
      <c r="D2538" s="568"/>
      <c r="E2538" s="188"/>
      <c r="F2538" s="188"/>
      <c r="G2538" s="2122">
        <f>G2518</f>
        <v>5.21</v>
      </c>
      <c r="H2538" s="568" t="s">
        <v>91</v>
      </c>
      <c r="I2538" s="2118" t="s">
        <v>91</v>
      </c>
      <c r="J2538" s="2123">
        <f>K50</f>
        <v>426.22</v>
      </c>
      <c r="K2538" s="2123">
        <f>ROUND(G2538*J2538,2)</f>
        <v>2220.61</v>
      </c>
      <c r="L2538" s="192"/>
      <c r="M2538" s="568"/>
    </row>
    <row r="2539" spans="1:28" ht="12.75" hidden="1">
      <c r="A2539" s="2114"/>
      <c r="B2539" s="568"/>
      <c r="C2539" s="568"/>
      <c r="D2539" s="568"/>
      <c r="E2539" s="188"/>
      <c r="F2539" s="188"/>
      <c r="G2539" s="2122"/>
      <c r="H2539" s="568"/>
      <c r="I2539" s="2118"/>
      <c r="J2539" s="2134" t="s">
        <v>718</v>
      </c>
      <c r="K2539" s="2123">
        <f>SUM(K2535:K2538)</f>
        <v>24727</v>
      </c>
      <c r="L2539" s="192"/>
      <c r="M2539" s="568"/>
    </row>
    <row r="2540" spans="1:28" ht="12.75" hidden="1">
      <c r="A2540" s="2114"/>
      <c r="B2540" s="568" t="s">
        <v>837</v>
      </c>
      <c r="C2540" s="568"/>
      <c r="D2540" s="568"/>
      <c r="E2540" s="188"/>
      <c r="F2540" s="188"/>
      <c r="G2540" s="2122"/>
      <c r="H2540" s="568"/>
      <c r="I2540" s="2118"/>
      <c r="J2540" s="2123"/>
      <c r="K2540" s="2123">
        <f>K2533+K2539</f>
        <v>96551.84</v>
      </c>
      <c r="L2540" s="192"/>
      <c r="M2540" s="568"/>
      <c r="O2540" s="1991">
        <f>ROUND(K2524/15,2)</f>
        <v>525.57000000000005</v>
      </c>
      <c r="P2540" s="1706" t="s">
        <v>3149</v>
      </c>
    </row>
    <row r="2541" spans="1:28" ht="12.75" hidden="1">
      <c r="A2541" s="2114"/>
      <c r="B2541" s="568" t="s">
        <v>838</v>
      </c>
      <c r="C2541" s="568"/>
      <c r="D2541" s="568"/>
      <c r="E2541" s="188"/>
      <c r="F2541" s="188"/>
      <c r="G2541" s="2122"/>
      <c r="H2541" s="568"/>
      <c r="I2541" s="2118"/>
      <c r="J2541" s="2123"/>
      <c r="K2541" s="2123">
        <f>K2540/15</f>
        <v>6436.7893333333332</v>
      </c>
      <c r="L2541" s="192"/>
      <c r="M2541" s="568"/>
      <c r="O2541" s="1991">
        <f>K2541-O2540</f>
        <v>5911.2193333333335</v>
      </c>
      <c r="P2541" s="1706" t="s">
        <v>26</v>
      </c>
    </row>
    <row r="2542" spans="1:28" ht="12.75" hidden="1">
      <c r="A2542" s="2114"/>
      <c r="B2542" s="192" t="s">
        <v>3738</v>
      </c>
      <c r="C2542" s="2142">
        <v>0.01</v>
      </c>
      <c r="D2542" s="568"/>
      <c r="E2542" s="188"/>
      <c r="F2542" s="188"/>
      <c r="G2542" s="2122"/>
      <c r="H2542" s="568"/>
      <c r="I2542" s="2118"/>
      <c r="J2542" s="2134"/>
      <c r="K2542" s="2123">
        <f>ROUND(K2541*C2542,2)</f>
        <v>64.37</v>
      </c>
      <c r="L2542" s="192"/>
      <c r="M2542" s="568"/>
      <c r="O2542" s="1991"/>
      <c r="P2542" s="1706"/>
    </row>
    <row r="2543" spans="1:28" ht="12.75" hidden="1">
      <c r="A2543" s="2114"/>
      <c r="B2543" s="568"/>
      <c r="C2543" s="568"/>
      <c r="D2543" s="568"/>
      <c r="E2543" s="188"/>
      <c r="F2543" s="188"/>
      <c r="G2543" s="2122"/>
      <c r="H2543" s="568"/>
      <c r="I2543" s="2118"/>
      <c r="J2543" s="2124" t="s">
        <v>839</v>
      </c>
      <c r="K2543" s="2124">
        <f>SUM(K2541:K2542)</f>
        <v>6501.1593333333331</v>
      </c>
      <c r="L2543" s="192" t="s">
        <v>721</v>
      </c>
      <c r="M2543" s="568"/>
    </row>
    <row r="2544" spans="1:28" ht="12.75" hidden="1">
      <c r="A2544" s="2114" t="str">
        <f>A472</f>
        <v>(ii)</v>
      </c>
      <c r="B2544" s="192" t="str">
        <f>B472</f>
        <v>First Floor</v>
      </c>
      <c r="C2544" s="568"/>
      <c r="D2544" s="568"/>
      <c r="E2544" s="188"/>
      <c r="F2544" s="188"/>
      <c r="G2544" s="2122"/>
      <c r="H2544" s="568"/>
      <c r="I2544" s="2118"/>
      <c r="J2544" s="2124"/>
      <c r="K2544" s="2124"/>
      <c r="L2544" s="192"/>
      <c r="M2544" s="568"/>
    </row>
    <row r="2545" spans="1:16" ht="12.75" hidden="1">
      <c r="A2545" s="2114"/>
      <c r="B2545" s="568" t="s">
        <v>840</v>
      </c>
      <c r="C2545" s="568"/>
      <c r="D2545" s="568"/>
      <c r="E2545" s="188"/>
      <c r="F2545" s="188"/>
      <c r="G2545" s="2122"/>
      <c r="H2545" s="568"/>
      <c r="I2545" s="2118"/>
      <c r="J2545" s="2124"/>
      <c r="K2545" s="2124">
        <f>K2541</f>
        <v>6436.7893333333332</v>
      </c>
      <c r="L2545" s="568"/>
      <c r="M2545" s="568"/>
    </row>
    <row r="2546" spans="1:16" ht="12.75" hidden="1">
      <c r="A2546" s="2114"/>
      <c r="B2546" s="568" t="s">
        <v>841</v>
      </c>
      <c r="C2546" s="568"/>
      <c r="D2546" s="568"/>
      <c r="E2546" s="188"/>
      <c r="F2546" s="188"/>
      <c r="G2546" s="2122"/>
      <c r="H2546" s="2125">
        <v>0.15</v>
      </c>
      <c r="I2546" s="2134">
        <f>K2524/15</f>
        <v>525.57333333333338</v>
      </c>
      <c r="J2546" s="2124"/>
      <c r="K2546" s="2124">
        <f>ROUND(I2546*H2546,2)</f>
        <v>78.84</v>
      </c>
      <c r="L2546" s="192"/>
      <c r="M2546" s="568"/>
      <c r="O2546" s="1991">
        <f>O2540+K2546</f>
        <v>604.41000000000008</v>
      </c>
      <c r="P2546" s="1706" t="s">
        <v>3149</v>
      </c>
    </row>
    <row r="2547" spans="1:16" ht="12.75" hidden="1">
      <c r="A2547" s="2114"/>
      <c r="B2547" s="568" t="s">
        <v>3664</v>
      </c>
      <c r="C2547" s="568"/>
      <c r="D2547" s="568"/>
      <c r="E2547" s="188"/>
      <c r="F2547" s="188"/>
      <c r="G2547" s="2122"/>
      <c r="H2547" s="2135">
        <f>H2532</f>
        <v>7.4999999999999997E-2</v>
      </c>
      <c r="I2547" s="2134">
        <f>K2546</f>
        <v>78.84</v>
      </c>
      <c r="J2547" s="2134"/>
      <c r="K2547" s="2123">
        <f>ROUND(I2547*H2547,2)</f>
        <v>5.91</v>
      </c>
      <c r="L2547" s="192"/>
      <c r="M2547" s="568"/>
      <c r="O2547" s="1991"/>
      <c r="P2547" s="1706"/>
    </row>
    <row r="2548" spans="1:16" ht="12.75" hidden="1">
      <c r="A2548" s="2114"/>
      <c r="B2548" s="568" t="s">
        <v>3665</v>
      </c>
      <c r="C2548" s="568"/>
      <c r="D2548" s="568"/>
      <c r="E2548" s="188"/>
      <c r="F2548" s="188"/>
      <c r="G2548" s="2122"/>
      <c r="H2548" s="2135">
        <f>H2547</f>
        <v>7.4999999999999997E-2</v>
      </c>
      <c r="I2548" s="2134">
        <f>I2547</f>
        <v>78.84</v>
      </c>
      <c r="J2548" s="2134"/>
      <c r="K2548" s="2123">
        <f>ROUND(I2548*H2548,2)</f>
        <v>5.91</v>
      </c>
      <c r="L2548" s="192"/>
      <c r="M2548" s="568"/>
      <c r="O2548" s="1991"/>
      <c r="P2548" s="1706"/>
    </row>
    <row r="2549" spans="1:16" ht="12.75" hidden="1">
      <c r="A2549" s="2114"/>
      <c r="B2549" s="568"/>
      <c r="C2549" s="568"/>
      <c r="D2549" s="568"/>
      <c r="E2549" s="188"/>
      <c r="F2549" s="188"/>
      <c r="G2549" s="2122"/>
      <c r="H2549" s="568"/>
      <c r="I2549" s="2118"/>
      <c r="J2549" s="2124"/>
      <c r="K2549" s="2124">
        <f>SUM(K2545:K2548)</f>
        <v>6527.449333333333</v>
      </c>
      <c r="L2549" s="192" t="s">
        <v>721</v>
      </c>
      <c r="M2549" s="568"/>
      <c r="O2549" s="1991">
        <f>K2549-O2546</f>
        <v>5923.0393333333332</v>
      </c>
      <c r="P2549" s="1706" t="s">
        <v>26</v>
      </c>
    </row>
    <row r="2550" spans="1:16" ht="12.75" hidden="1">
      <c r="A2550" s="2114"/>
      <c r="B2550" s="192" t="s">
        <v>3738</v>
      </c>
      <c r="C2550" s="2142">
        <v>0.01</v>
      </c>
      <c r="D2550" s="568"/>
      <c r="E2550" s="188"/>
      <c r="F2550" s="188"/>
      <c r="G2550" s="2122"/>
      <c r="H2550" s="568"/>
      <c r="I2550" s="2118"/>
      <c r="J2550" s="2134"/>
      <c r="K2550" s="2123">
        <f>ROUND(K2549*C2550,2)</f>
        <v>65.27</v>
      </c>
      <c r="L2550" s="192"/>
      <c r="M2550" s="568"/>
      <c r="O2550" s="1991"/>
      <c r="P2550" s="1706"/>
    </row>
    <row r="2551" spans="1:16" ht="12.75" hidden="1">
      <c r="A2551" s="2114"/>
      <c r="B2551" s="568"/>
      <c r="C2551" s="568"/>
      <c r="D2551" s="568"/>
      <c r="E2551" s="188"/>
      <c r="F2551" s="188"/>
      <c r="G2551" s="2122"/>
      <c r="H2551" s="568"/>
      <c r="I2551" s="2118"/>
      <c r="J2551" s="2124" t="s">
        <v>839</v>
      </c>
      <c r="K2551" s="2124">
        <f>SUM(K2549:K2550)</f>
        <v>6592.7193333333335</v>
      </c>
      <c r="L2551" s="192" t="s">
        <v>721</v>
      </c>
      <c r="M2551" s="568"/>
    </row>
    <row r="2552" spans="1:16" ht="12.75" hidden="1">
      <c r="A2552" s="2114" t="str">
        <f>A473</f>
        <v>(iii)</v>
      </c>
      <c r="B2552" s="192" t="str">
        <f>B473</f>
        <v>Second Floor</v>
      </c>
      <c r="C2552" s="568"/>
      <c r="D2552" s="568"/>
      <c r="E2552" s="188"/>
      <c r="F2552" s="188"/>
      <c r="G2552" s="2122"/>
      <c r="H2552" s="568"/>
      <c r="I2552" s="2118"/>
      <c r="J2552" s="2124"/>
      <c r="K2552" s="2124"/>
      <c r="L2552" s="192"/>
      <c r="M2552" s="568"/>
    </row>
    <row r="2553" spans="1:16" ht="12.75" hidden="1">
      <c r="A2553" s="2114"/>
      <c r="B2553" s="568" t="str">
        <f>B2496</f>
        <v>Rate of First floor</v>
      </c>
      <c r="C2553" s="568"/>
      <c r="D2553" s="568"/>
      <c r="E2553" s="188"/>
      <c r="F2553" s="188"/>
      <c r="G2553" s="2122"/>
      <c r="H2553" s="568"/>
      <c r="I2553" s="2118"/>
      <c r="J2553" s="2124"/>
      <c r="K2553" s="2124">
        <f>K2549</f>
        <v>6527.449333333333</v>
      </c>
      <c r="L2553" s="568"/>
      <c r="M2553" s="568"/>
    </row>
    <row r="2554" spans="1:16" ht="12.75" hidden="1">
      <c r="A2554" s="2114"/>
      <c r="B2554" s="568" t="str">
        <f>B2497</f>
        <v>Add extra for 2nd floor @ 15% over labour for lifting of concrete.</v>
      </c>
      <c r="C2554" s="568"/>
      <c r="D2554" s="568"/>
      <c r="E2554" s="188"/>
      <c r="F2554" s="188"/>
      <c r="G2554" s="2122"/>
      <c r="H2554" s="2125">
        <v>0.15</v>
      </c>
      <c r="I2554" s="2134">
        <f>I2546+K2546</f>
        <v>604.41333333333341</v>
      </c>
      <c r="J2554" s="2124"/>
      <c r="K2554" s="2124">
        <f>ROUND(I2554*H2554,2)</f>
        <v>90.66</v>
      </c>
      <c r="L2554" s="192"/>
      <c r="M2554" s="568"/>
      <c r="O2554" s="1991">
        <f>O2546+K2554</f>
        <v>695.07</v>
      </c>
      <c r="P2554" s="1706" t="s">
        <v>3149</v>
      </c>
    </row>
    <row r="2555" spans="1:16" ht="12.75" hidden="1">
      <c r="A2555" s="2114"/>
      <c r="B2555" s="568" t="s">
        <v>3664</v>
      </c>
      <c r="C2555" s="568"/>
      <c r="D2555" s="568"/>
      <c r="E2555" s="188"/>
      <c r="F2555" s="188"/>
      <c r="G2555" s="2122"/>
      <c r="H2555" s="2135">
        <f>H2547</f>
        <v>7.4999999999999997E-2</v>
      </c>
      <c r="I2555" s="2134">
        <f>K2554</f>
        <v>90.66</v>
      </c>
      <c r="J2555" s="2134"/>
      <c r="K2555" s="2123">
        <f>ROUND(I2555*H2555,2)</f>
        <v>6.8</v>
      </c>
      <c r="L2555" s="192"/>
      <c r="M2555" s="568"/>
      <c r="O2555" s="1991"/>
      <c r="P2555" s="1706"/>
    </row>
    <row r="2556" spans="1:16" ht="12.75" hidden="1">
      <c r="A2556" s="2114"/>
      <c r="B2556" s="568" t="s">
        <v>3665</v>
      </c>
      <c r="C2556" s="568"/>
      <c r="D2556" s="568"/>
      <c r="E2556" s="188"/>
      <c r="F2556" s="188"/>
      <c r="G2556" s="2122"/>
      <c r="H2556" s="2135">
        <f>H2555</f>
        <v>7.4999999999999997E-2</v>
      </c>
      <c r="I2556" s="2134">
        <f>I2555</f>
        <v>90.66</v>
      </c>
      <c r="J2556" s="2134"/>
      <c r="K2556" s="2123">
        <f>ROUND(I2556*H2556,2)</f>
        <v>6.8</v>
      </c>
      <c r="L2556" s="192"/>
      <c r="M2556" s="568"/>
      <c r="O2556" s="1991"/>
      <c r="P2556" s="1706"/>
    </row>
    <row r="2557" spans="1:16" ht="12.75" hidden="1">
      <c r="A2557" s="2114"/>
      <c r="B2557" s="568"/>
      <c r="C2557" s="568"/>
      <c r="D2557" s="568"/>
      <c r="E2557" s="188"/>
      <c r="F2557" s="188"/>
      <c r="G2557" s="2122"/>
      <c r="H2557" s="568"/>
      <c r="I2557" s="2118"/>
      <c r="J2557" s="2124"/>
      <c r="K2557" s="2124">
        <f>SUM(K2553:K2556)</f>
        <v>6631.7093333333332</v>
      </c>
      <c r="L2557" s="192" t="s">
        <v>721</v>
      </c>
      <c r="M2557" s="568"/>
      <c r="O2557" s="1991">
        <f>K2557-O2554</f>
        <v>5936.6393333333335</v>
      </c>
      <c r="P2557" s="1706" t="s">
        <v>26</v>
      </c>
    </row>
    <row r="2558" spans="1:16" ht="12.75" hidden="1">
      <c r="A2558" s="2114"/>
      <c r="B2558" s="192" t="s">
        <v>3738</v>
      </c>
      <c r="C2558" s="2142">
        <v>0.01</v>
      </c>
      <c r="D2558" s="568"/>
      <c r="E2558" s="188"/>
      <c r="F2558" s="188"/>
      <c r="G2558" s="2122"/>
      <c r="H2558" s="568"/>
      <c r="I2558" s="2118"/>
      <c r="J2558" s="2134"/>
      <c r="K2558" s="2123">
        <f>ROUND(K2557*C2558,2)</f>
        <v>66.319999999999993</v>
      </c>
      <c r="L2558" s="192"/>
      <c r="M2558" s="568"/>
      <c r="O2558" s="1991"/>
      <c r="P2558" s="1706"/>
    </row>
    <row r="2559" spans="1:16" ht="12.75" hidden="1">
      <c r="A2559" s="2114"/>
      <c r="B2559" s="568"/>
      <c r="C2559" s="568"/>
      <c r="D2559" s="568"/>
      <c r="E2559" s="188"/>
      <c r="F2559" s="188"/>
      <c r="G2559" s="2122"/>
      <c r="H2559" s="568"/>
      <c r="I2559" s="2118"/>
      <c r="J2559" s="2124" t="s">
        <v>839</v>
      </c>
      <c r="K2559" s="2124">
        <f>SUM(K2557:K2558)</f>
        <v>6698.0293333333329</v>
      </c>
      <c r="L2559" s="192" t="s">
        <v>721</v>
      </c>
      <c r="M2559" s="568"/>
    </row>
    <row r="2560" spans="1:16" ht="12.75" hidden="1">
      <c r="A2560" s="2114" t="str">
        <f>A474</f>
        <v>(iv)</v>
      </c>
      <c r="B2560" s="192" t="str">
        <f>B474</f>
        <v>Third Floor</v>
      </c>
      <c r="C2560" s="568"/>
      <c r="D2560" s="568"/>
      <c r="E2560" s="188"/>
      <c r="F2560" s="188"/>
      <c r="G2560" s="2122"/>
      <c r="H2560" s="568"/>
      <c r="I2560" s="2118"/>
      <c r="J2560" s="2124"/>
      <c r="K2560" s="2124"/>
      <c r="L2560" s="192"/>
      <c r="M2560" s="568"/>
    </row>
    <row r="2561" spans="1:28" ht="12.75" hidden="1">
      <c r="A2561" s="2114"/>
      <c r="B2561" s="568" t="str">
        <f>B2504</f>
        <v>Rate of First floor</v>
      </c>
      <c r="C2561" s="568"/>
      <c r="D2561" s="568"/>
      <c r="E2561" s="188"/>
      <c r="F2561" s="188"/>
      <c r="G2561" s="2122"/>
      <c r="H2561" s="568"/>
      <c r="I2561" s="2118"/>
      <c r="J2561" s="2124"/>
      <c r="K2561" s="2124">
        <f>K2557</f>
        <v>6631.7093333333332</v>
      </c>
      <c r="L2561" s="568"/>
      <c r="M2561" s="568"/>
    </row>
    <row r="2562" spans="1:28" ht="12.75" hidden="1">
      <c r="A2562" s="2114"/>
      <c r="B2562" s="568" t="str">
        <f>B2505</f>
        <v>Add extra for 2nd floor @ 15% over labour for lifting of concrete.</v>
      </c>
      <c r="C2562" s="568"/>
      <c r="D2562" s="568"/>
      <c r="E2562" s="188"/>
      <c r="F2562" s="188"/>
      <c r="G2562" s="2122"/>
      <c r="H2562" s="2125">
        <v>0.15</v>
      </c>
      <c r="I2562" s="2134">
        <f>I2554+K2554</f>
        <v>695.07333333333338</v>
      </c>
      <c r="J2562" s="2124"/>
      <c r="K2562" s="2124">
        <f>ROUND(I2562*H2562,2)</f>
        <v>104.26</v>
      </c>
      <c r="L2562" s="192"/>
      <c r="M2562" s="568"/>
      <c r="O2562" s="1991">
        <f>O2554+K2562</f>
        <v>799.33</v>
      </c>
      <c r="P2562" s="1706" t="s">
        <v>3149</v>
      </c>
    </row>
    <row r="2563" spans="1:28" ht="12.75" hidden="1">
      <c r="A2563" s="2114"/>
      <c r="B2563" s="568" t="s">
        <v>3664</v>
      </c>
      <c r="C2563" s="568"/>
      <c r="D2563" s="568"/>
      <c r="E2563" s="188"/>
      <c r="F2563" s="188"/>
      <c r="G2563" s="2122"/>
      <c r="H2563" s="2135">
        <f>H2555</f>
        <v>7.4999999999999997E-2</v>
      </c>
      <c r="I2563" s="2134">
        <f>K2562</f>
        <v>104.26</v>
      </c>
      <c r="J2563" s="2134"/>
      <c r="K2563" s="2123">
        <f>ROUND(I2563*H2563,2)</f>
        <v>7.82</v>
      </c>
      <c r="L2563" s="192"/>
      <c r="M2563" s="568"/>
      <c r="O2563" s="1991"/>
      <c r="P2563" s="1706"/>
    </row>
    <row r="2564" spans="1:28" ht="12.75" hidden="1">
      <c r="A2564" s="2114"/>
      <c r="B2564" s="568" t="s">
        <v>3665</v>
      </c>
      <c r="C2564" s="568"/>
      <c r="D2564" s="568"/>
      <c r="E2564" s="188"/>
      <c r="F2564" s="188"/>
      <c r="G2564" s="2122"/>
      <c r="H2564" s="2135">
        <f>H2563</f>
        <v>7.4999999999999997E-2</v>
      </c>
      <c r="I2564" s="2134">
        <f>I2563</f>
        <v>104.26</v>
      </c>
      <c r="J2564" s="2134"/>
      <c r="K2564" s="2123">
        <f>ROUND(I2564*H2564,2)</f>
        <v>7.82</v>
      </c>
      <c r="L2564" s="192"/>
      <c r="M2564" s="568"/>
      <c r="O2564" s="1991"/>
      <c r="P2564" s="1706"/>
    </row>
    <row r="2565" spans="1:28" ht="12.75" hidden="1">
      <c r="A2565" s="2114"/>
      <c r="B2565" s="568"/>
      <c r="C2565" s="568"/>
      <c r="D2565" s="568"/>
      <c r="E2565" s="188"/>
      <c r="F2565" s="188"/>
      <c r="G2565" s="2122"/>
      <c r="H2565" s="568"/>
      <c r="I2565" s="2118"/>
      <c r="J2565" s="2124"/>
      <c r="K2565" s="2124">
        <f>SUM(K2561:K2564)</f>
        <v>6751.6093333333329</v>
      </c>
      <c r="L2565" s="192" t="s">
        <v>721</v>
      </c>
      <c r="M2565" s="568"/>
      <c r="O2565" s="1991">
        <f>K2565-O2562</f>
        <v>5952.2793333333329</v>
      </c>
      <c r="P2565" s="1706" t="s">
        <v>26</v>
      </c>
    </row>
    <row r="2566" spans="1:28" ht="12.75" hidden="1">
      <c r="A2566" s="2114"/>
      <c r="B2566" s="192" t="s">
        <v>3738</v>
      </c>
      <c r="C2566" s="2142">
        <v>0.01</v>
      </c>
      <c r="D2566" s="568"/>
      <c r="E2566" s="188"/>
      <c r="F2566" s="188"/>
      <c r="G2566" s="2122"/>
      <c r="H2566" s="568"/>
      <c r="I2566" s="2118"/>
      <c r="J2566" s="2134"/>
      <c r="K2566" s="2123">
        <f>ROUND(K2565*C2566,2)</f>
        <v>67.52</v>
      </c>
      <c r="L2566" s="192"/>
      <c r="M2566" s="568"/>
      <c r="O2566" s="1991"/>
      <c r="P2566" s="1706"/>
    </row>
    <row r="2567" spans="1:28" ht="12.75" hidden="1">
      <c r="A2567" s="2114"/>
      <c r="B2567" s="568"/>
      <c r="C2567" s="568"/>
      <c r="D2567" s="568"/>
      <c r="E2567" s="188"/>
      <c r="F2567" s="188"/>
      <c r="G2567" s="2122"/>
      <c r="H2567" s="568"/>
      <c r="I2567" s="2118"/>
      <c r="J2567" s="2124" t="s">
        <v>839</v>
      </c>
      <c r="K2567" s="2124">
        <f>SUM(K2565:K2566)</f>
        <v>6819.1293333333333</v>
      </c>
      <c r="L2567" s="192" t="s">
        <v>721</v>
      </c>
      <c r="M2567" s="568"/>
    </row>
    <row r="2568" spans="1:28" ht="48.75" hidden="1" customHeight="1">
      <c r="A2568" s="2114">
        <f>A475</f>
        <v>50</v>
      </c>
      <c r="B2568" s="3017" t="str">
        <f>B475</f>
        <v>R.C.C. work of (1:1.5:3)  using  12 mm  size black hard crusher broken granite stone chips of approved quality and from approved quarry  etc. complete in all respect .</v>
      </c>
      <c r="C2568" s="3017"/>
      <c r="D2568" s="3017"/>
      <c r="E2568" s="2116" t="str">
        <f>G475</f>
        <v>Each Cum</v>
      </c>
      <c r="F2568" s="2116"/>
      <c r="G2568" s="2122"/>
      <c r="H2568" s="568"/>
      <c r="I2568" s="2118"/>
      <c r="J2568" s="2124"/>
      <c r="K2568" s="2124"/>
      <c r="L2568" s="192"/>
      <c r="M2568" s="568"/>
    </row>
    <row r="2569" spans="1:28" s="1706" customFormat="1" ht="12.75" hidden="1">
      <c r="A2569" s="2114" t="s">
        <v>845</v>
      </c>
      <c r="B2569" s="192" t="s">
        <v>846</v>
      </c>
      <c r="C2569" s="192"/>
      <c r="D2569" s="192"/>
      <c r="E2569" s="188"/>
      <c r="F2569" s="188"/>
      <c r="G2569" s="2141"/>
      <c r="H2569" s="192"/>
      <c r="I2569" s="2114"/>
      <c r="J2569" s="2124"/>
      <c r="K2569" s="2124"/>
      <c r="L2569" s="192"/>
      <c r="M2569" s="192"/>
    </row>
    <row r="2570" spans="1:28" ht="12.75" hidden="1">
      <c r="A2570" s="2114" t="str">
        <f>A476</f>
        <v>(i)</v>
      </c>
      <c r="B2570" s="192" t="s">
        <v>384</v>
      </c>
      <c r="C2570" s="192"/>
      <c r="D2570" s="192"/>
      <c r="E2570" s="188"/>
      <c r="F2570" s="188"/>
      <c r="G2570" s="2141"/>
      <c r="H2570" s="192"/>
      <c r="I2570" s="2114"/>
      <c r="J2570" s="2124"/>
      <c r="K2570" s="2124"/>
      <c r="L2570" s="192"/>
      <c r="M2570" s="568"/>
    </row>
    <row r="2571" spans="1:28" ht="12.75" hidden="1">
      <c r="A2571" s="2114"/>
      <c r="B2571" s="192" t="s">
        <v>842</v>
      </c>
      <c r="C2571" s="568"/>
      <c r="D2571" s="568"/>
      <c r="E2571" s="188"/>
      <c r="F2571" s="188"/>
      <c r="G2571" s="2122"/>
      <c r="H2571" s="568"/>
      <c r="I2571" s="2118"/>
      <c r="J2571" s="2123"/>
      <c r="K2571" s="2123"/>
      <c r="L2571" s="192"/>
      <c r="M2571" s="568"/>
    </row>
    <row r="2572" spans="1:28" ht="12.75" hidden="1">
      <c r="A2572" s="2114"/>
      <c r="B2572" s="192" t="s">
        <v>829</v>
      </c>
      <c r="C2572" s="568"/>
      <c r="D2572" s="568"/>
      <c r="E2572" s="188"/>
      <c r="F2572" s="188"/>
      <c r="G2572" s="2122"/>
      <c r="H2572" s="568"/>
      <c r="I2572" s="2118"/>
      <c r="J2572" s="2123"/>
      <c r="K2572" s="2123"/>
      <c r="L2572" s="192"/>
      <c r="M2572" s="568"/>
    </row>
    <row r="2573" spans="1:28" s="1706" customFormat="1" ht="12.75" hidden="1">
      <c r="A2573" s="2114"/>
      <c r="B2573" s="568" t="s">
        <v>847</v>
      </c>
      <c r="C2573" s="568"/>
      <c r="D2573" s="568"/>
      <c r="E2573" s="188"/>
      <c r="F2573" s="188"/>
      <c r="G2573" s="2122">
        <v>0.9</v>
      </c>
      <c r="H2573" s="568" t="s">
        <v>49</v>
      </c>
      <c r="I2573" s="2118" t="s">
        <v>49</v>
      </c>
      <c r="J2573" s="2123">
        <f>G12</f>
        <v>1396.62</v>
      </c>
      <c r="K2573" s="2123">
        <f>ROUND(G2573*J2573,2)</f>
        <v>1256.96</v>
      </c>
      <c r="L2573" s="192"/>
      <c r="M2573" s="568"/>
      <c r="N2573" s="1705"/>
      <c r="O2573" s="1705"/>
      <c r="P2573" s="1705"/>
      <c r="Q2573" s="1705"/>
      <c r="R2573" s="1705"/>
      <c r="S2573" s="1705"/>
      <c r="U2573" s="1705"/>
      <c r="V2573" s="1705"/>
      <c r="W2573" s="1705"/>
      <c r="X2573" s="1705"/>
      <c r="Y2573" s="1705"/>
      <c r="Z2573" s="1705"/>
      <c r="AA2573" s="1705"/>
      <c r="AB2573" s="1705"/>
    </row>
    <row r="2574" spans="1:28" s="1706" customFormat="1" ht="12.75" hidden="1">
      <c r="A2574" s="2114"/>
      <c r="B2574" s="568" t="s">
        <v>832</v>
      </c>
      <c r="C2574" s="568"/>
      <c r="D2574" s="568"/>
      <c r="E2574" s="188"/>
      <c r="F2574" s="188"/>
      <c r="G2574" s="2122">
        <v>0.45</v>
      </c>
      <c r="H2574" s="568" t="s">
        <v>49</v>
      </c>
      <c r="I2574" s="2118" t="s">
        <v>49</v>
      </c>
      <c r="J2574" s="2123">
        <f>G46</f>
        <v>76.88</v>
      </c>
      <c r="K2574" s="2123">
        <f>ROUND(G2574*J2574,2)</f>
        <v>34.6</v>
      </c>
      <c r="L2574" s="192"/>
      <c r="M2574" s="568"/>
      <c r="N2574" s="1705"/>
      <c r="O2574" s="1705"/>
      <c r="P2574" s="1705"/>
      <c r="Q2574" s="1705"/>
      <c r="R2574" s="1705"/>
      <c r="S2574" s="1705"/>
      <c r="U2574" s="1705"/>
      <c r="V2574" s="1705"/>
      <c r="W2574" s="1705"/>
      <c r="X2574" s="1705"/>
      <c r="Y2574" s="1705"/>
      <c r="Z2574" s="1705"/>
      <c r="AA2574" s="1705"/>
      <c r="AB2574" s="1705"/>
    </row>
    <row r="2575" spans="1:28" s="1706" customFormat="1" ht="12.75" hidden="1">
      <c r="A2575" s="2114"/>
      <c r="B2575" s="568" t="s">
        <v>8</v>
      </c>
      <c r="C2575" s="568"/>
      <c r="D2575" s="568"/>
      <c r="E2575" s="188"/>
      <c r="F2575" s="188"/>
      <c r="G2575" s="2122">
        <v>4.29</v>
      </c>
      <c r="H2575" s="568" t="s">
        <v>247</v>
      </c>
      <c r="I2575" s="2118" t="s">
        <v>247</v>
      </c>
      <c r="J2575" s="2123">
        <f>G50/10</f>
        <v>570.23400000000004</v>
      </c>
      <c r="K2575" s="2123">
        <f>ROUND(G2575*J2575,2)</f>
        <v>2446.3000000000002</v>
      </c>
      <c r="L2575" s="192"/>
      <c r="M2575" s="568"/>
      <c r="N2575" s="1705"/>
      <c r="O2575" s="1705"/>
      <c r="P2575" s="1705"/>
      <c r="Q2575" s="1705"/>
      <c r="R2575" s="1705"/>
      <c r="S2575" s="1705"/>
      <c r="U2575" s="1705"/>
      <c r="V2575" s="1705"/>
      <c r="W2575" s="1705"/>
      <c r="X2575" s="1705"/>
      <c r="Y2575" s="1705"/>
      <c r="Z2575" s="1705"/>
      <c r="AA2575" s="1705"/>
      <c r="AB2575" s="1705"/>
    </row>
    <row r="2576" spans="1:28" s="1706" customFormat="1" ht="12.75" hidden="1">
      <c r="A2576" s="2114"/>
      <c r="B2576" s="568"/>
      <c r="C2576" s="568"/>
      <c r="D2576" s="568"/>
      <c r="E2576" s="188"/>
      <c r="F2576" s="188"/>
      <c r="G2576" s="2122"/>
      <c r="H2576" s="568"/>
      <c r="I2576" s="2118"/>
      <c r="J2576" s="2134" t="s">
        <v>718</v>
      </c>
      <c r="K2576" s="2123">
        <f>SUM(K2573:K2575)</f>
        <v>3737.86</v>
      </c>
      <c r="L2576" s="192"/>
      <c r="M2576" s="568"/>
      <c r="N2576" s="1705"/>
      <c r="O2576" s="1705"/>
      <c r="P2576" s="1705"/>
      <c r="Q2576" s="1705"/>
      <c r="R2576" s="1705"/>
      <c r="S2576" s="1705"/>
      <c r="U2576" s="1705"/>
      <c r="V2576" s="1705"/>
      <c r="W2576" s="1705"/>
      <c r="X2576" s="1705"/>
      <c r="Y2576" s="1705"/>
      <c r="Z2576" s="1705"/>
      <c r="AA2576" s="1705"/>
      <c r="AB2576" s="1705"/>
    </row>
    <row r="2577" spans="1:28" s="1706" customFormat="1" ht="12.75" hidden="1">
      <c r="A2577" s="2114"/>
      <c r="B2577" s="192" t="s">
        <v>816</v>
      </c>
      <c r="C2577" s="568"/>
      <c r="D2577" s="568"/>
      <c r="E2577" s="188"/>
      <c r="F2577" s="188"/>
      <c r="G2577" s="2122"/>
      <c r="H2577" s="568"/>
      <c r="I2577" s="2118"/>
      <c r="J2577" s="2123"/>
      <c r="K2577" s="2123"/>
      <c r="L2577" s="192"/>
      <c r="M2577" s="568"/>
      <c r="N2577" s="1705"/>
      <c r="O2577" s="1705"/>
      <c r="P2577" s="1705"/>
      <c r="Q2577" s="1705"/>
      <c r="R2577" s="1705"/>
      <c r="S2577" s="1705"/>
      <c r="U2577" s="1705"/>
      <c r="V2577" s="1705"/>
      <c r="W2577" s="1705"/>
      <c r="X2577" s="1705"/>
      <c r="Y2577" s="1705"/>
      <c r="Z2577" s="1705"/>
      <c r="AA2577" s="1705"/>
      <c r="AB2577" s="1705"/>
    </row>
    <row r="2578" spans="1:28" s="1706" customFormat="1" ht="12.75" hidden="1">
      <c r="A2578" s="2114"/>
      <c r="B2578" s="568" t="s">
        <v>818</v>
      </c>
      <c r="C2578" s="568"/>
      <c r="D2578" s="568"/>
      <c r="E2578" s="188"/>
      <c r="F2578" s="188"/>
      <c r="G2578" s="2122">
        <v>0.68</v>
      </c>
      <c r="H2578" s="568" t="s">
        <v>262</v>
      </c>
      <c r="I2578" s="2118" t="s">
        <v>315</v>
      </c>
      <c r="J2578" s="2123">
        <f>L136</f>
        <v>435</v>
      </c>
      <c r="K2578" s="2123">
        <f>ROUND(G2578*J2578,2)</f>
        <v>295.8</v>
      </c>
      <c r="L2578" s="192"/>
      <c r="M2578" s="568"/>
      <c r="N2578" s="1705"/>
      <c r="O2578" s="1705"/>
      <c r="P2578" s="1705"/>
      <c r="Q2578" s="1705"/>
      <c r="R2578" s="1705"/>
      <c r="S2578" s="1705"/>
      <c r="U2578" s="1705"/>
      <c r="V2578" s="1705"/>
      <c r="W2578" s="1705"/>
      <c r="X2578" s="1705"/>
      <c r="Y2578" s="1705"/>
      <c r="Z2578" s="1705"/>
      <c r="AA2578" s="1705"/>
      <c r="AB2578" s="1705"/>
    </row>
    <row r="2579" spans="1:28" s="1706" customFormat="1" ht="12.75" hidden="1">
      <c r="A2579" s="2114"/>
      <c r="B2579" s="568" t="s">
        <v>717</v>
      </c>
      <c r="C2579" s="568"/>
      <c r="D2579" s="568"/>
      <c r="E2579" s="188"/>
      <c r="F2579" s="188"/>
      <c r="G2579" s="2122">
        <v>4.5999999999999996</v>
      </c>
      <c r="H2579" s="568" t="s">
        <v>262</v>
      </c>
      <c r="I2579" s="2118" t="s">
        <v>315</v>
      </c>
      <c r="J2579" s="2123">
        <f>L134</f>
        <v>345</v>
      </c>
      <c r="K2579" s="2123">
        <f>ROUND(G2579*J2579,2)</f>
        <v>1587</v>
      </c>
      <c r="L2579" s="192"/>
      <c r="M2579" s="568"/>
      <c r="N2579" s="1705"/>
      <c r="O2579" s="1705"/>
      <c r="P2579" s="1705"/>
      <c r="Q2579" s="1705"/>
      <c r="R2579" s="1705"/>
      <c r="S2579" s="1705"/>
      <c r="U2579" s="1705"/>
      <c r="V2579" s="1705"/>
      <c r="W2579" s="1705"/>
      <c r="X2579" s="1705"/>
      <c r="Y2579" s="1705"/>
      <c r="Z2579" s="1705"/>
      <c r="AA2579" s="1705"/>
      <c r="AB2579" s="1705"/>
    </row>
    <row r="2580" spans="1:28" s="1706" customFormat="1" ht="12.75" hidden="1">
      <c r="A2580" s="2114"/>
      <c r="B2580" s="568"/>
      <c r="C2580" s="568"/>
      <c r="D2580" s="568"/>
      <c r="E2580" s="188"/>
      <c r="F2580" s="188"/>
      <c r="G2580" s="2122"/>
      <c r="H2580" s="568"/>
      <c r="I2580" s="2118"/>
      <c r="J2580" s="2134" t="s">
        <v>718</v>
      </c>
      <c r="K2580" s="2123">
        <f>SUM(K2578:K2579)</f>
        <v>1882.8</v>
      </c>
      <c r="L2580" s="192"/>
      <c r="M2580" s="568"/>
      <c r="N2580" s="1705"/>
      <c r="O2580" s="1705"/>
      <c r="P2580" s="1705"/>
      <c r="Q2580" s="1705"/>
      <c r="R2580" s="1705"/>
      <c r="S2580" s="1705"/>
      <c r="U2580" s="1705"/>
      <c r="V2580" s="1705"/>
      <c r="W2580" s="1705"/>
      <c r="X2580" s="1705"/>
      <c r="Y2580" s="1705"/>
      <c r="Z2580" s="1705"/>
      <c r="AA2580" s="1705"/>
      <c r="AB2580" s="1705"/>
    </row>
    <row r="2581" spans="1:28" s="1706" customFormat="1" ht="12.75" hidden="1">
      <c r="A2581" s="2114"/>
      <c r="B2581" s="192"/>
      <c r="C2581" s="568"/>
      <c r="D2581" s="568"/>
      <c r="E2581" s="188"/>
      <c r="F2581" s="188"/>
      <c r="G2581" s="2122"/>
      <c r="H2581" s="568"/>
      <c r="I2581" s="2118"/>
      <c r="J2581" s="2134"/>
      <c r="K2581" s="2123">
        <f>K2576+K2580</f>
        <v>5620.66</v>
      </c>
      <c r="L2581" s="192"/>
      <c r="M2581" s="568"/>
      <c r="N2581" s="1705"/>
      <c r="O2581" s="1705"/>
      <c r="P2581" s="1705"/>
      <c r="Q2581" s="1705"/>
      <c r="R2581" s="1705"/>
      <c r="S2581" s="1705"/>
      <c r="U2581" s="1705"/>
      <c r="V2581" s="1705"/>
      <c r="W2581" s="1705"/>
      <c r="X2581" s="1705"/>
      <c r="Y2581" s="1705"/>
      <c r="Z2581" s="1705"/>
      <c r="AA2581" s="1705"/>
      <c r="AB2581" s="1705"/>
    </row>
    <row r="2582" spans="1:28" s="1706" customFormat="1" ht="12.75" hidden="1">
      <c r="A2582" s="2114"/>
      <c r="B2582" s="192" t="s">
        <v>3662</v>
      </c>
      <c r="C2582" s="568"/>
      <c r="D2582" s="568"/>
      <c r="E2582" s="188"/>
      <c r="F2582" s="188"/>
      <c r="G2582" s="2122"/>
      <c r="H2582" s="2135">
        <f>H2564</f>
        <v>7.4999999999999997E-2</v>
      </c>
      <c r="I2582" s="2134">
        <f>K2581</f>
        <v>5620.66</v>
      </c>
      <c r="J2582" s="2134"/>
      <c r="K2582" s="2123">
        <f>ROUND(I2582*H2582,2)</f>
        <v>421.55</v>
      </c>
      <c r="L2582" s="192"/>
      <c r="M2582" s="568"/>
      <c r="N2582" s="1705"/>
      <c r="O2582" s="1705"/>
      <c r="P2582" s="1705"/>
      <c r="Q2582" s="1705"/>
      <c r="R2582" s="1705"/>
      <c r="S2582" s="1705"/>
      <c r="U2582" s="1705"/>
      <c r="V2582" s="1705"/>
      <c r="W2582" s="1705"/>
      <c r="X2582" s="1705"/>
      <c r="Y2582" s="1705"/>
      <c r="Z2582" s="1705"/>
      <c r="AA2582" s="1705"/>
      <c r="AB2582" s="1705"/>
    </row>
    <row r="2583" spans="1:28" s="1706" customFormat="1" ht="12.75" hidden="1">
      <c r="A2583" s="2114"/>
      <c r="B2583" s="192" t="s">
        <v>3661</v>
      </c>
      <c r="C2583" s="568"/>
      <c r="D2583" s="568"/>
      <c r="E2583" s="188"/>
      <c r="F2583" s="188"/>
      <c r="G2583" s="2122"/>
      <c r="H2583" s="2135">
        <f>H2582</f>
        <v>7.4999999999999997E-2</v>
      </c>
      <c r="I2583" s="2134">
        <f>I2582</f>
        <v>5620.66</v>
      </c>
      <c r="J2583" s="2134"/>
      <c r="K2583" s="2123">
        <f>ROUND(I2583*H2583,2)</f>
        <v>421.55</v>
      </c>
      <c r="L2583" s="192"/>
      <c r="M2583" s="568"/>
      <c r="N2583" s="1705"/>
      <c r="O2583" s="1705"/>
      <c r="P2583" s="1705"/>
      <c r="Q2583" s="1705"/>
      <c r="R2583" s="1705"/>
      <c r="S2583" s="1705"/>
      <c r="U2583" s="1705"/>
      <c r="V2583" s="1705"/>
      <c r="W2583" s="1705"/>
      <c r="X2583" s="1705"/>
      <c r="Y2583" s="1705"/>
      <c r="Z2583" s="1705"/>
      <c r="AA2583" s="1705"/>
      <c r="AB2583" s="1705"/>
    </row>
    <row r="2584" spans="1:28" s="1706" customFormat="1" ht="12.75" hidden="1">
      <c r="A2584" s="2114"/>
      <c r="B2584" s="568" t="s">
        <v>835</v>
      </c>
      <c r="C2584" s="568"/>
      <c r="D2584" s="568"/>
      <c r="E2584" s="188"/>
      <c r="F2584" s="188"/>
      <c r="G2584" s="2122"/>
      <c r="H2584" s="568"/>
      <c r="I2584" s="2118"/>
      <c r="J2584" s="2134" t="s">
        <v>718</v>
      </c>
      <c r="K2584" s="2123">
        <f>SUM(K2581:K2583)</f>
        <v>6463.76</v>
      </c>
      <c r="L2584" s="192"/>
      <c r="M2584" s="568"/>
      <c r="N2584" s="1705"/>
      <c r="O2584" s="1705"/>
      <c r="P2584" s="1705"/>
      <c r="Q2584" s="1705"/>
      <c r="R2584" s="1705"/>
      <c r="S2584" s="1705"/>
      <c r="U2584" s="1705"/>
      <c r="V2584" s="1705"/>
      <c r="W2584" s="1705"/>
      <c r="X2584" s="1705"/>
      <c r="Y2584" s="1705"/>
      <c r="Z2584" s="1705"/>
      <c r="AA2584" s="1705"/>
      <c r="AB2584" s="1705"/>
    </row>
    <row r="2585" spans="1:28" s="1706" customFormat="1" ht="12.75" hidden="1">
      <c r="A2585" s="2114"/>
      <c r="B2585" s="192" t="s">
        <v>836</v>
      </c>
      <c r="C2585" s="568"/>
      <c r="D2585" s="568"/>
      <c r="E2585" s="188"/>
      <c r="F2585" s="188"/>
      <c r="G2585" s="2122"/>
      <c r="H2585" s="568"/>
      <c r="I2585" s="2118"/>
      <c r="J2585" s="2123"/>
      <c r="K2585" s="2123"/>
      <c r="L2585" s="192"/>
      <c r="M2585" s="568"/>
      <c r="N2585" s="1705"/>
      <c r="O2585" s="1705"/>
      <c r="P2585" s="1705"/>
      <c r="Q2585" s="1705"/>
      <c r="R2585" s="1705"/>
      <c r="S2585" s="1705"/>
      <c r="U2585" s="1705"/>
      <c r="V2585" s="1705"/>
      <c r="W2585" s="1705"/>
      <c r="X2585" s="1705"/>
      <c r="Y2585" s="1705"/>
      <c r="Z2585" s="1705"/>
      <c r="AA2585" s="1705"/>
      <c r="AB2585" s="1705"/>
    </row>
    <row r="2586" spans="1:28" s="1706" customFormat="1" ht="12.75" hidden="1">
      <c r="A2586" s="2114"/>
      <c r="B2586" s="568" t="s">
        <v>847</v>
      </c>
      <c r="C2586" s="568"/>
      <c r="D2586" s="568"/>
      <c r="E2586" s="188"/>
      <c r="F2586" s="188"/>
      <c r="G2586" s="2122">
        <f>G2573</f>
        <v>0.9</v>
      </c>
      <c r="H2586" s="568" t="s">
        <v>49</v>
      </c>
      <c r="I2586" s="2118" t="s">
        <v>49</v>
      </c>
      <c r="J2586" s="2123">
        <f>K12</f>
        <v>1308.4099999999999</v>
      </c>
      <c r="K2586" s="2123">
        <f>ROUND(G2586*J2586,2)</f>
        <v>1177.57</v>
      </c>
      <c r="L2586" s="192"/>
      <c r="M2586" s="568"/>
      <c r="N2586" s="1705"/>
      <c r="O2586" s="1705"/>
      <c r="P2586" s="1705"/>
      <c r="Q2586" s="1705"/>
      <c r="R2586" s="1705"/>
      <c r="S2586" s="1705"/>
      <c r="U2586" s="1705"/>
      <c r="V2586" s="1705"/>
      <c r="W2586" s="1705"/>
      <c r="X2586" s="1705"/>
      <c r="Y2586" s="1705"/>
      <c r="Z2586" s="1705"/>
      <c r="AA2586" s="1705"/>
      <c r="AB2586" s="1705"/>
    </row>
    <row r="2587" spans="1:28" s="1706" customFormat="1" ht="12.75" hidden="1">
      <c r="A2587" s="2114"/>
      <c r="B2587" s="568"/>
      <c r="C2587" s="568"/>
      <c r="D2587" s="568"/>
      <c r="E2587" s="188"/>
      <c r="F2587" s="188"/>
      <c r="G2587" s="2122"/>
      <c r="H2587" s="568"/>
      <c r="I2587" s="2118"/>
      <c r="J2587" s="2123"/>
      <c r="K2587" s="2123"/>
      <c r="L2587" s="192"/>
      <c r="M2587" s="568"/>
      <c r="N2587" s="1705"/>
      <c r="O2587" s="1705"/>
      <c r="P2587" s="1705"/>
      <c r="Q2587" s="1705"/>
      <c r="R2587" s="1705"/>
      <c r="S2587" s="1705"/>
      <c r="U2587" s="1705"/>
      <c r="V2587" s="1705"/>
      <c r="W2587" s="1705"/>
      <c r="X2587" s="1705"/>
      <c r="Y2587" s="1705"/>
      <c r="Z2587" s="1705"/>
      <c r="AA2587" s="1705"/>
      <c r="AB2587" s="1705"/>
    </row>
    <row r="2588" spans="1:28" s="1706" customFormat="1" ht="12.75" hidden="1">
      <c r="A2588" s="2114"/>
      <c r="B2588" s="568" t="s">
        <v>832</v>
      </c>
      <c r="C2588" s="568"/>
      <c r="D2588" s="568"/>
      <c r="E2588" s="188"/>
      <c r="F2588" s="188"/>
      <c r="G2588" s="2122">
        <f>G2574</f>
        <v>0.45</v>
      </c>
      <c r="H2588" s="568" t="s">
        <v>49</v>
      </c>
      <c r="I2588" s="2118" t="s">
        <v>49</v>
      </c>
      <c r="J2588" s="2123">
        <f>K46</f>
        <v>717.46</v>
      </c>
      <c r="K2588" s="2123">
        <f>ROUND(G2588*J2588,2)</f>
        <v>322.86</v>
      </c>
      <c r="L2588" s="192"/>
      <c r="M2588" s="568"/>
      <c r="N2588" s="1705"/>
      <c r="O2588" s="1705"/>
      <c r="P2588" s="1705"/>
      <c r="Q2588" s="1705"/>
      <c r="R2588" s="1705"/>
      <c r="S2588" s="1705"/>
      <c r="U2588" s="1705"/>
      <c r="V2588" s="1705"/>
      <c r="W2588" s="1705"/>
      <c r="X2588" s="1705"/>
      <c r="Y2588" s="1705"/>
      <c r="Z2588" s="1705"/>
      <c r="AA2588" s="1705"/>
      <c r="AB2588" s="1705"/>
    </row>
    <row r="2589" spans="1:28" s="1706" customFormat="1" ht="12.75" hidden="1">
      <c r="A2589" s="2114"/>
      <c r="B2589" s="568" t="s">
        <v>8</v>
      </c>
      <c r="C2589" s="568"/>
      <c r="D2589" s="568"/>
      <c r="E2589" s="188"/>
      <c r="F2589" s="188"/>
      <c r="G2589" s="2122">
        <f>G2575</f>
        <v>4.29</v>
      </c>
      <c r="H2589" s="568" t="s">
        <v>91</v>
      </c>
      <c r="I2589" s="2118" t="s">
        <v>91</v>
      </c>
      <c r="J2589" s="2123">
        <f>K50/10</f>
        <v>42.622</v>
      </c>
      <c r="K2589" s="2123">
        <f>ROUND(G2589*J2589,2)</f>
        <v>182.85</v>
      </c>
      <c r="L2589" s="192"/>
      <c r="M2589" s="568"/>
      <c r="N2589" s="1705"/>
      <c r="O2589" s="1705"/>
      <c r="P2589" s="1705"/>
      <c r="Q2589" s="1705"/>
      <c r="R2589" s="1705"/>
      <c r="S2589" s="1705"/>
      <c r="U2589" s="1705"/>
      <c r="V2589" s="1705"/>
      <c r="W2589" s="1705"/>
      <c r="X2589" s="1705"/>
      <c r="Y2589" s="1705"/>
      <c r="Z2589" s="1705"/>
      <c r="AA2589" s="1705"/>
      <c r="AB2589" s="1705"/>
    </row>
    <row r="2590" spans="1:28" s="1706" customFormat="1" ht="12.75" hidden="1">
      <c r="A2590" s="2114"/>
      <c r="B2590" s="568"/>
      <c r="C2590" s="568"/>
      <c r="D2590" s="568"/>
      <c r="E2590" s="188"/>
      <c r="F2590" s="188"/>
      <c r="G2590" s="2122"/>
      <c r="H2590" s="568"/>
      <c r="I2590" s="2118"/>
      <c r="J2590" s="2134" t="s">
        <v>718</v>
      </c>
      <c r="K2590" s="2123">
        <f>SUM(K2586:K2589)</f>
        <v>1683.2799999999997</v>
      </c>
      <c r="L2590" s="192"/>
      <c r="M2590" s="568"/>
      <c r="N2590" s="1705"/>
      <c r="O2590" s="1705"/>
      <c r="P2590" s="1705"/>
      <c r="Q2590" s="1705"/>
      <c r="R2590" s="1705"/>
      <c r="S2590" s="1705"/>
      <c r="U2590" s="1705"/>
      <c r="V2590" s="1705"/>
      <c r="W2590" s="1705"/>
      <c r="X2590" s="1705"/>
      <c r="Y2590" s="1705"/>
      <c r="Z2590" s="1705"/>
      <c r="AA2590" s="1705"/>
      <c r="AB2590" s="1705"/>
    </row>
    <row r="2591" spans="1:28" ht="12.75" hidden="1">
      <c r="A2591" s="2114"/>
      <c r="B2591" s="568" t="s">
        <v>843</v>
      </c>
      <c r="C2591" s="568"/>
      <c r="D2591" s="568"/>
      <c r="E2591" s="188"/>
      <c r="F2591" s="188"/>
      <c r="G2591" s="2122"/>
      <c r="H2591" s="568"/>
      <c r="I2591" s="2118"/>
      <c r="J2591" s="2123"/>
      <c r="K2591" s="2123">
        <f>K2584+K2590</f>
        <v>8147.04</v>
      </c>
      <c r="L2591" s="192"/>
      <c r="M2591" s="568"/>
      <c r="O2591" s="1991">
        <f>ROUND(K2580,2)</f>
        <v>1882.8</v>
      </c>
      <c r="P2591" s="1706" t="s">
        <v>3149</v>
      </c>
    </row>
    <row r="2592" spans="1:28" ht="12.75" hidden="1">
      <c r="A2592" s="2114"/>
      <c r="B2592" s="568" t="s">
        <v>843</v>
      </c>
      <c r="C2592" s="568"/>
      <c r="D2592" s="568"/>
      <c r="E2592" s="188"/>
      <c r="F2592" s="188"/>
      <c r="G2592" s="2122"/>
      <c r="H2592" s="568"/>
      <c r="I2592" s="2118"/>
      <c r="J2592" s="2123"/>
      <c r="K2592" s="2123">
        <f>K2591</f>
        <v>8147.04</v>
      </c>
      <c r="L2592" s="192"/>
      <c r="M2592" s="568"/>
      <c r="O2592" s="1991">
        <f>K2592-O2591</f>
        <v>6264.24</v>
      </c>
      <c r="P2592" s="1706" t="s">
        <v>26</v>
      </c>
    </row>
    <row r="2593" spans="1:16" ht="12.75" hidden="1">
      <c r="A2593" s="2114"/>
      <c r="B2593" s="192" t="s">
        <v>3738</v>
      </c>
      <c r="C2593" s="2142">
        <v>0.01</v>
      </c>
      <c r="D2593" s="568"/>
      <c r="E2593" s="188"/>
      <c r="F2593" s="188"/>
      <c r="G2593" s="2122"/>
      <c r="H2593" s="568"/>
      <c r="I2593" s="2118"/>
      <c r="J2593" s="2134"/>
      <c r="K2593" s="2123">
        <f>ROUND(K2592*C2593,2)</f>
        <v>81.47</v>
      </c>
      <c r="L2593" s="192"/>
      <c r="M2593" s="568"/>
      <c r="O2593" s="1991"/>
      <c r="P2593" s="1706"/>
    </row>
    <row r="2594" spans="1:16" ht="12.75" hidden="1">
      <c r="A2594" s="2114"/>
      <c r="B2594" s="568"/>
      <c r="C2594" s="568"/>
      <c r="D2594" s="568"/>
      <c r="E2594" s="188"/>
      <c r="F2594" s="188"/>
      <c r="G2594" s="2122"/>
      <c r="H2594" s="568"/>
      <c r="I2594" s="2118"/>
      <c r="J2594" s="2124" t="s">
        <v>839</v>
      </c>
      <c r="K2594" s="2124">
        <f>SUM(K2592:K2593)</f>
        <v>8228.51</v>
      </c>
      <c r="L2594" s="192" t="s">
        <v>721</v>
      </c>
      <c r="M2594" s="568"/>
    </row>
    <row r="2595" spans="1:16" ht="12.75" hidden="1">
      <c r="A2595" s="2114" t="str">
        <f>A477</f>
        <v>(ii)</v>
      </c>
      <c r="B2595" s="192" t="s">
        <v>387</v>
      </c>
      <c r="C2595" s="568"/>
      <c r="D2595" s="568"/>
      <c r="E2595" s="188"/>
      <c r="F2595" s="188"/>
      <c r="G2595" s="2122"/>
      <c r="H2595" s="568"/>
      <c r="I2595" s="2118"/>
      <c r="J2595" s="2124"/>
      <c r="K2595" s="2124"/>
      <c r="L2595" s="192"/>
      <c r="M2595" s="568"/>
    </row>
    <row r="2596" spans="1:16" ht="12.75" hidden="1">
      <c r="A2596" s="2114"/>
      <c r="B2596" s="568" t="s">
        <v>840</v>
      </c>
      <c r="C2596" s="568"/>
      <c r="D2596" s="568"/>
      <c r="E2596" s="188"/>
      <c r="F2596" s="188"/>
      <c r="G2596" s="2122"/>
      <c r="H2596" s="568"/>
      <c r="I2596" s="2118"/>
      <c r="J2596" s="2124"/>
      <c r="K2596" s="2124">
        <f>K2592</f>
        <v>8147.04</v>
      </c>
      <c r="L2596" s="192" t="s">
        <v>721</v>
      </c>
      <c r="M2596" s="568"/>
    </row>
    <row r="2597" spans="1:16" ht="12.75" hidden="1">
      <c r="A2597" s="2114"/>
      <c r="B2597" s="568" t="s">
        <v>841</v>
      </c>
      <c r="C2597" s="568"/>
      <c r="D2597" s="568"/>
      <c r="E2597" s="188"/>
      <c r="F2597" s="188"/>
      <c r="G2597" s="2122"/>
      <c r="H2597" s="2125">
        <v>0.15</v>
      </c>
      <c r="I2597" s="2134">
        <f>K2580</f>
        <v>1882.8</v>
      </c>
      <c r="J2597" s="2124"/>
      <c r="K2597" s="2124">
        <f>ROUND(I2597*H2597,2)</f>
        <v>282.42</v>
      </c>
      <c r="L2597" s="192" t="s">
        <v>721</v>
      </c>
      <c r="M2597" s="568"/>
      <c r="O2597" s="1991">
        <f>O2591+K2597</f>
        <v>2165.2199999999998</v>
      </c>
      <c r="P2597" s="1706" t="s">
        <v>3149</v>
      </c>
    </row>
    <row r="2598" spans="1:16" ht="12.75" hidden="1">
      <c r="A2598" s="2114"/>
      <c r="B2598" s="192" t="s">
        <v>3662</v>
      </c>
      <c r="C2598" s="568"/>
      <c r="D2598" s="568"/>
      <c r="E2598" s="188"/>
      <c r="F2598" s="188"/>
      <c r="G2598" s="2122"/>
      <c r="H2598" s="2135">
        <f>H2583</f>
        <v>7.4999999999999997E-2</v>
      </c>
      <c r="I2598" s="2134">
        <f>K2597</f>
        <v>282.42</v>
      </c>
      <c r="J2598" s="2134"/>
      <c r="K2598" s="2123">
        <f>ROUND(I2598*H2598,2)</f>
        <v>21.18</v>
      </c>
      <c r="L2598" s="192"/>
      <c r="M2598" s="568"/>
      <c r="O2598" s="1991"/>
      <c r="P2598" s="1706"/>
    </row>
    <row r="2599" spans="1:16" ht="12.75" hidden="1">
      <c r="A2599" s="2114"/>
      <c r="B2599" s="192" t="s">
        <v>3661</v>
      </c>
      <c r="C2599" s="568"/>
      <c r="D2599" s="568"/>
      <c r="E2599" s="188"/>
      <c r="F2599" s="188"/>
      <c r="G2599" s="2122"/>
      <c r="H2599" s="2135">
        <f>H2598</f>
        <v>7.4999999999999997E-2</v>
      </c>
      <c r="I2599" s="2134">
        <f>I2598</f>
        <v>282.42</v>
      </c>
      <c r="J2599" s="2134"/>
      <c r="K2599" s="2123">
        <f>ROUND(I2599*H2599,2)</f>
        <v>21.18</v>
      </c>
      <c r="L2599" s="192"/>
      <c r="M2599" s="568"/>
      <c r="O2599" s="1991"/>
      <c r="P2599" s="1706"/>
    </row>
    <row r="2600" spans="1:16" ht="12.75" hidden="1">
      <c r="A2600" s="2114"/>
      <c r="B2600" s="568"/>
      <c r="C2600" s="568"/>
      <c r="D2600" s="568"/>
      <c r="E2600" s="188"/>
      <c r="F2600" s="188"/>
      <c r="G2600" s="2122"/>
      <c r="H2600" s="568"/>
      <c r="I2600" s="2118"/>
      <c r="J2600" s="2124"/>
      <c r="K2600" s="2124">
        <f>SUM(K2596:K2599)</f>
        <v>8471.82</v>
      </c>
      <c r="L2600" s="192" t="s">
        <v>721</v>
      </c>
      <c r="M2600" s="568"/>
      <c r="O2600" s="1991">
        <f>K2600-O2597</f>
        <v>6306.6</v>
      </c>
      <c r="P2600" s="1706" t="s">
        <v>26</v>
      </c>
    </row>
    <row r="2601" spans="1:16" ht="12.75" hidden="1">
      <c r="A2601" s="2114"/>
      <c r="B2601" s="192" t="s">
        <v>3738</v>
      </c>
      <c r="C2601" s="2142">
        <v>0.01</v>
      </c>
      <c r="D2601" s="568"/>
      <c r="E2601" s="188"/>
      <c r="F2601" s="188"/>
      <c r="G2601" s="2122"/>
      <c r="H2601" s="568"/>
      <c r="I2601" s="2118"/>
      <c r="J2601" s="2134"/>
      <c r="K2601" s="2123">
        <f>ROUND(K2600*C2601,2)</f>
        <v>84.72</v>
      </c>
      <c r="L2601" s="192"/>
      <c r="M2601" s="568"/>
      <c r="O2601" s="1991"/>
      <c r="P2601" s="1706"/>
    </row>
    <row r="2602" spans="1:16" ht="12.75" hidden="1">
      <c r="A2602" s="2114"/>
      <c r="B2602" s="568"/>
      <c r="C2602" s="568"/>
      <c r="D2602" s="568"/>
      <c r="E2602" s="188"/>
      <c r="F2602" s="188"/>
      <c r="G2602" s="2122"/>
      <c r="H2602" s="568"/>
      <c r="I2602" s="2118"/>
      <c r="J2602" s="2124" t="s">
        <v>839</v>
      </c>
      <c r="K2602" s="2124">
        <f>SUM(K2600:K2601)</f>
        <v>8556.5399999999991</v>
      </c>
      <c r="L2602" s="192" t="s">
        <v>721</v>
      </c>
      <c r="M2602" s="568"/>
    </row>
    <row r="2603" spans="1:16" ht="12.75" hidden="1">
      <c r="A2603" s="2114" t="str">
        <f>A478</f>
        <v>(iii)</v>
      </c>
      <c r="B2603" s="192" t="str">
        <f>B478</f>
        <v>Second Floor</v>
      </c>
      <c r="C2603" s="568"/>
      <c r="D2603" s="568"/>
      <c r="E2603" s="188"/>
      <c r="F2603" s="188"/>
      <c r="G2603" s="2122"/>
      <c r="H2603" s="568"/>
      <c r="I2603" s="2118"/>
      <c r="J2603" s="2124"/>
      <c r="K2603" s="2124"/>
      <c r="L2603" s="192"/>
      <c r="M2603" s="568"/>
    </row>
    <row r="2604" spans="1:16" ht="12.75" hidden="1">
      <c r="A2604" s="2114"/>
      <c r="B2604" s="568" t="str">
        <f>B2553</f>
        <v>Rate of First floor</v>
      </c>
      <c r="C2604" s="568"/>
      <c r="D2604" s="568"/>
      <c r="E2604" s="188"/>
      <c r="F2604" s="188"/>
      <c r="G2604" s="2122"/>
      <c r="H2604" s="568"/>
      <c r="I2604" s="2118"/>
      <c r="J2604" s="2124"/>
      <c r="K2604" s="2124">
        <f>K2602</f>
        <v>8556.5399999999991</v>
      </c>
      <c r="L2604" s="192" t="s">
        <v>721</v>
      </c>
      <c r="M2604" s="568"/>
    </row>
    <row r="2605" spans="1:16" ht="12.75" hidden="1">
      <c r="A2605" s="2114"/>
      <c r="B2605" s="568" t="str">
        <f>B2554</f>
        <v>Add extra for 2nd floor @ 15% over labour for lifting of concrete.</v>
      </c>
      <c r="C2605" s="568"/>
      <c r="D2605" s="568"/>
      <c r="E2605" s="188"/>
      <c r="F2605" s="188"/>
      <c r="G2605" s="2122"/>
      <c r="H2605" s="2125">
        <v>0.15</v>
      </c>
      <c r="I2605" s="2134">
        <f>I2597+K2597</f>
        <v>2165.2199999999998</v>
      </c>
      <c r="J2605" s="2124"/>
      <c r="K2605" s="2124">
        <f>ROUND(I2605*H2605,2)</f>
        <v>324.77999999999997</v>
      </c>
      <c r="L2605" s="192" t="s">
        <v>721</v>
      </c>
      <c r="M2605" s="568"/>
      <c r="O2605" s="1991">
        <f>O2597+K2605</f>
        <v>2490</v>
      </c>
      <c r="P2605" s="1706" t="s">
        <v>3149</v>
      </c>
    </row>
    <row r="2606" spans="1:16" ht="12.75" hidden="1">
      <c r="A2606" s="2114"/>
      <c r="B2606" s="192" t="s">
        <v>3662</v>
      </c>
      <c r="C2606" s="568"/>
      <c r="D2606" s="568"/>
      <c r="E2606" s="188"/>
      <c r="F2606" s="188"/>
      <c r="G2606" s="2122"/>
      <c r="H2606" s="2135">
        <f>H2598</f>
        <v>7.4999999999999997E-2</v>
      </c>
      <c r="I2606" s="2134">
        <f>K2605</f>
        <v>324.77999999999997</v>
      </c>
      <c r="J2606" s="2134"/>
      <c r="K2606" s="2123">
        <f>ROUND(I2606*H2606,2)</f>
        <v>24.36</v>
      </c>
      <c r="L2606" s="192"/>
      <c r="M2606" s="568"/>
      <c r="O2606" s="1991"/>
      <c r="P2606" s="1706"/>
    </row>
    <row r="2607" spans="1:16" ht="12.75" hidden="1">
      <c r="A2607" s="2114"/>
      <c r="B2607" s="192" t="s">
        <v>3661</v>
      </c>
      <c r="C2607" s="568"/>
      <c r="D2607" s="568"/>
      <c r="E2607" s="188"/>
      <c r="F2607" s="188"/>
      <c r="G2607" s="2122"/>
      <c r="H2607" s="2135">
        <f>H2606</f>
        <v>7.4999999999999997E-2</v>
      </c>
      <c r="I2607" s="2134">
        <f>I2606</f>
        <v>324.77999999999997</v>
      </c>
      <c r="J2607" s="2134"/>
      <c r="K2607" s="2123">
        <f>ROUND(I2607*H2607,2)</f>
        <v>24.36</v>
      </c>
      <c r="L2607" s="192"/>
      <c r="M2607" s="568"/>
      <c r="O2607" s="1991"/>
      <c r="P2607" s="1706"/>
    </row>
    <row r="2608" spans="1:16" ht="12.75" hidden="1">
      <c r="A2608" s="2114"/>
      <c r="B2608" s="568"/>
      <c r="C2608" s="568"/>
      <c r="D2608" s="568"/>
      <c r="E2608" s="188"/>
      <c r="F2608" s="188"/>
      <c r="G2608" s="2122"/>
      <c r="H2608" s="568"/>
      <c r="I2608" s="2118"/>
      <c r="J2608" s="2124"/>
      <c r="K2608" s="2124">
        <f>SUM(K2604:K2607)</f>
        <v>8930.0400000000009</v>
      </c>
      <c r="L2608" s="192" t="s">
        <v>721</v>
      </c>
      <c r="M2608" s="568"/>
      <c r="O2608" s="1991">
        <f>K2608-O2605</f>
        <v>6440.0400000000009</v>
      </c>
      <c r="P2608" s="1706" t="s">
        <v>26</v>
      </c>
    </row>
    <row r="2609" spans="1:18" ht="12.75" hidden="1">
      <c r="A2609" s="2114"/>
      <c r="B2609" s="192" t="s">
        <v>3738</v>
      </c>
      <c r="C2609" s="2142">
        <v>0.01</v>
      </c>
      <c r="D2609" s="568"/>
      <c r="E2609" s="188"/>
      <c r="F2609" s="188"/>
      <c r="G2609" s="2122"/>
      <c r="H2609" s="568"/>
      <c r="I2609" s="2118"/>
      <c r="J2609" s="2134"/>
      <c r="K2609" s="2123">
        <f>ROUND(K2608*C2609,2)</f>
        <v>89.3</v>
      </c>
      <c r="L2609" s="192"/>
      <c r="M2609" s="568"/>
      <c r="O2609" s="1991"/>
      <c r="P2609" s="1706"/>
    </row>
    <row r="2610" spans="1:18" ht="12.75" hidden="1">
      <c r="A2610" s="2114"/>
      <c r="B2610" s="568"/>
      <c r="C2610" s="568"/>
      <c r="D2610" s="568"/>
      <c r="E2610" s="188"/>
      <c r="F2610" s="188"/>
      <c r="G2610" s="2122"/>
      <c r="H2610" s="568"/>
      <c r="I2610" s="2118"/>
      <c r="J2610" s="2124" t="s">
        <v>839</v>
      </c>
      <c r="K2610" s="2124">
        <f>SUM(K2608:K2609)</f>
        <v>9019.34</v>
      </c>
      <c r="L2610" s="192" t="s">
        <v>721</v>
      </c>
      <c r="M2610" s="568"/>
    </row>
    <row r="2611" spans="1:18" ht="12.75" hidden="1">
      <c r="A2611" s="2114" t="str">
        <f>A479</f>
        <v>(iv)</v>
      </c>
      <c r="B2611" s="192" t="str">
        <f>B479</f>
        <v>Third Floor</v>
      </c>
      <c r="C2611" s="568"/>
      <c r="D2611" s="568"/>
      <c r="E2611" s="188"/>
      <c r="F2611" s="188"/>
      <c r="G2611" s="2122"/>
      <c r="H2611" s="568"/>
      <c r="I2611" s="2118"/>
      <c r="J2611" s="2124"/>
      <c r="K2611" s="2124"/>
      <c r="L2611" s="192"/>
      <c r="M2611" s="568"/>
    </row>
    <row r="2612" spans="1:18" ht="12.75" hidden="1">
      <c r="A2612" s="2114"/>
      <c r="B2612" s="568" t="str">
        <f>B2561</f>
        <v>Rate of First floor</v>
      </c>
      <c r="C2612" s="568"/>
      <c r="D2612" s="568"/>
      <c r="E2612" s="188"/>
      <c r="F2612" s="188"/>
      <c r="G2612" s="2122"/>
      <c r="H2612" s="568"/>
      <c r="I2612" s="2118"/>
      <c r="J2612" s="2124"/>
      <c r="K2612" s="2124">
        <f>K2610</f>
        <v>9019.34</v>
      </c>
      <c r="L2612" s="192" t="s">
        <v>721</v>
      </c>
      <c r="M2612" s="568"/>
    </row>
    <row r="2613" spans="1:18" ht="12.75" hidden="1">
      <c r="A2613" s="2114"/>
      <c r="B2613" s="568" t="str">
        <f>B2562</f>
        <v>Add extra for 2nd floor @ 15% over labour for lifting of concrete.</v>
      </c>
      <c r="C2613" s="568"/>
      <c r="D2613" s="568"/>
      <c r="E2613" s="188"/>
      <c r="F2613" s="188"/>
      <c r="G2613" s="2122"/>
      <c r="H2613" s="2125">
        <v>0.15</v>
      </c>
      <c r="I2613" s="2134">
        <f>I2605+K2605</f>
        <v>2490</v>
      </c>
      <c r="J2613" s="2124"/>
      <c r="K2613" s="2124">
        <f>ROUND(I2613*H2613,2)</f>
        <v>373.5</v>
      </c>
      <c r="L2613" s="192" t="s">
        <v>721</v>
      </c>
      <c r="M2613" s="568"/>
      <c r="O2613" s="1991">
        <f>O2605+K2613</f>
        <v>2863.5</v>
      </c>
      <c r="P2613" s="1706" t="s">
        <v>3149</v>
      </c>
    </row>
    <row r="2614" spans="1:18" ht="12.75" hidden="1">
      <c r="A2614" s="2114"/>
      <c r="B2614" s="192" t="s">
        <v>3662</v>
      </c>
      <c r="C2614" s="568"/>
      <c r="D2614" s="568"/>
      <c r="E2614" s="188"/>
      <c r="F2614" s="188"/>
      <c r="G2614" s="2122"/>
      <c r="H2614" s="2135">
        <f>H2606</f>
        <v>7.4999999999999997E-2</v>
      </c>
      <c r="I2614" s="2134">
        <f>K2613</f>
        <v>373.5</v>
      </c>
      <c r="J2614" s="2134"/>
      <c r="K2614" s="2123">
        <f>ROUND(I2614*H2614,2)</f>
        <v>28.01</v>
      </c>
      <c r="L2614" s="192"/>
      <c r="M2614" s="568"/>
      <c r="O2614" s="1991"/>
      <c r="P2614" s="1706"/>
    </row>
    <row r="2615" spans="1:18" ht="12.75" hidden="1">
      <c r="A2615" s="2114"/>
      <c r="B2615" s="192" t="s">
        <v>3661</v>
      </c>
      <c r="C2615" s="568"/>
      <c r="D2615" s="568"/>
      <c r="E2615" s="188"/>
      <c r="F2615" s="188"/>
      <c r="G2615" s="2122"/>
      <c r="H2615" s="2135">
        <f>H2614</f>
        <v>7.4999999999999997E-2</v>
      </c>
      <c r="I2615" s="2134">
        <f>I2614</f>
        <v>373.5</v>
      </c>
      <c r="J2615" s="2134"/>
      <c r="K2615" s="2123">
        <f>ROUND(I2615*H2615,2)</f>
        <v>28.01</v>
      </c>
      <c r="L2615" s="192"/>
      <c r="M2615" s="568"/>
      <c r="O2615" s="1991"/>
      <c r="P2615" s="1706"/>
    </row>
    <row r="2616" spans="1:18" ht="12.75" hidden="1">
      <c r="A2616" s="2114"/>
      <c r="B2616" s="568"/>
      <c r="C2616" s="568"/>
      <c r="D2616" s="568"/>
      <c r="E2616" s="188"/>
      <c r="F2616" s="188"/>
      <c r="G2616" s="2122"/>
      <c r="H2616" s="568"/>
      <c r="I2616" s="2118"/>
      <c r="J2616" s="2124"/>
      <c r="K2616" s="2124">
        <f>SUM(K2612:K2615)</f>
        <v>9448.86</v>
      </c>
      <c r="L2616" s="192" t="s">
        <v>721</v>
      </c>
      <c r="M2616" s="568"/>
      <c r="O2616" s="1991">
        <f>K2616-O2613</f>
        <v>6585.3600000000006</v>
      </c>
      <c r="P2616" s="1706" t="s">
        <v>26</v>
      </c>
    </row>
    <row r="2617" spans="1:18" ht="12.75" hidden="1">
      <c r="A2617" s="2114"/>
      <c r="B2617" s="192" t="s">
        <v>3738</v>
      </c>
      <c r="C2617" s="2142">
        <v>0.01</v>
      </c>
      <c r="D2617" s="568"/>
      <c r="E2617" s="188"/>
      <c r="F2617" s="188"/>
      <c r="G2617" s="2122"/>
      <c r="H2617" s="568"/>
      <c r="I2617" s="2118"/>
      <c r="J2617" s="2134"/>
      <c r="K2617" s="2123">
        <f>ROUND(K2616*C2617,2)</f>
        <v>94.49</v>
      </c>
      <c r="L2617" s="192"/>
      <c r="M2617" s="568"/>
      <c r="O2617" s="1991"/>
      <c r="P2617" s="1706"/>
    </row>
    <row r="2618" spans="1:18" ht="12.75" hidden="1">
      <c r="A2618" s="2114"/>
      <c r="B2618" s="568"/>
      <c r="C2618" s="568"/>
      <c r="D2618" s="568"/>
      <c r="E2618" s="188"/>
      <c r="F2618" s="188"/>
      <c r="G2618" s="2122"/>
      <c r="H2618" s="568"/>
      <c r="I2618" s="2118"/>
      <c r="J2618" s="2124" t="s">
        <v>839</v>
      </c>
      <c r="K2618" s="2124">
        <f>SUM(K2616:K2617)</f>
        <v>9543.35</v>
      </c>
      <c r="L2618" s="192" t="s">
        <v>721</v>
      </c>
      <c r="M2618" s="568"/>
    </row>
    <row r="2619" spans="1:18" s="1706" customFormat="1" ht="12.75">
      <c r="A2619" s="2114">
        <f>A480</f>
        <v>51</v>
      </c>
      <c r="B2619" s="192" t="s">
        <v>848</v>
      </c>
      <c r="C2619" s="192"/>
      <c r="D2619" s="192"/>
      <c r="E2619" s="188" t="s">
        <v>38</v>
      </c>
      <c r="F2619" s="188"/>
      <c r="G2619" s="2141"/>
      <c r="H2619" s="192"/>
      <c r="I2619" s="2114"/>
      <c r="J2619" s="2124"/>
      <c r="K2619" s="2124"/>
      <c r="L2619" s="192"/>
      <c r="M2619" s="568"/>
      <c r="N2619" s="1705"/>
      <c r="O2619" s="1705"/>
      <c r="P2619" s="1705"/>
      <c r="Q2619" s="1705"/>
      <c r="R2619" s="1705"/>
    </row>
    <row r="2620" spans="1:18" ht="12.75">
      <c r="A2620" s="2114"/>
      <c r="B2620" s="568" t="s">
        <v>849</v>
      </c>
      <c r="C2620" s="568"/>
      <c r="D2620" s="568"/>
      <c r="E2620" s="188" t="s">
        <v>92</v>
      </c>
      <c r="F2620" s="188"/>
      <c r="G2620" s="2122"/>
      <c r="H2620" s="568"/>
      <c r="I2620" s="2118"/>
      <c r="J2620" s="2123"/>
      <c r="K2620" s="2123"/>
      <c r="L2620" s="192"/>
      <c r="M2620" s="568"/>
    </row>
    <row r="2621" spans="1:18" ht="12.75">
      <c r="A2621" s="2114" t="str">
        <f>A481</f>
        <v>a</v>
      </c>
      <c r="B2621" s="3033" t="s">
        <v>850</v>
      </c>
      <c r="C2621" s="3033"/>
      <c r="D2621" s="568"/>
      <c r="E2621" s="188"/>
      <c r="F2621" s="188"/>
      <c r="G2621" s="2122"/>
      <c r="H2621" s="568"/>
      <c r="I2621" s="2118"/>
      <c r="J2621" s="2123"/>
      <c r="K2621" s="2123"/>
      <c r="L2621" s="192"/>
      <c r="M2621" s="568"/>
    </row>
    <row r="2622" spans="1:18" ht="12.75">
      <c r="A2622" s="2114"/>
      <c r="B2622" s="3033"/>
      <c r="C2622" s="3033"/>
      <c r="D2622" s="568"/>
      <c r="E2622" s="188"/>
      <c r="F2622" s="188"/>
      <c r="G2622" s="2122"/>
      <c r="H2622" s="568"/>
      <c r="I2622" s="2118"/>
      <c r="J2622" s="2123"/>
      <c r="K2622" s="2123"/>
      <c r="L2622" s="192"/>
      <c r="M2622" s="568"/>
    </row>
    <row r="2623" spans="1:18" ht="12.75">
      <c r="A2623" s="2114"/>
      <c r="B2623" s="192" t="s">
        <v>851</v>
      </c>
      <c r="C2623" s="568"/>
      <c r="D2623" s="568"/>
      <c r="E2623" s="188"/>
      <c r="F2623" s="188"/>
      <c r="G2623" s="2122"/>
      <c r="H2623" s="568"/>
      <c r="I2623" s="2118"/>
      <c r="J2623" s="2123"/>
      <c r="K2623" s="2123"/>
      <c r="L2623" s="192"/>
      <c r="M2623" s="568"/>
    </row>
    <row r="2624" spans="1:18" ht="12.75">
      <c r="A2624" s="2114" t="str">
        <f>A482</f>
        <v>(i)</v>
      </c>
      <c r="B2624" s="192" t="s">
        <v>852</v>
      </c>
      <c r="C2624" s="568"/>
      <c r="D2624" s="568"/>
      <c r="E2624" s="188"/>
      <c r="F2624" s="188"/>
      <c r="G2624" s="2122"/>
      <c r="H2624" s="568"/>
      <c r="I2624" s="2118"/>
      <c r="J2624" s="2123"/>
      <c r="K2624" s="2123"/>
      <c r="L2624" s="192"/>
      <c r="M2624" s="568"/>
    </row>
    <row r="2625" spans="1:16" ht="12.75">
      <c r="A2625" s="2114"/>
      <c r="B2625" s="192" t="s">
        <v>853</v>
      </c>
      <c r="C2625" s="568"/>
      <c r="D2625" s="568"/>
      <c r="E2625" s="188"/>
      <c r="F2625" s="188"/>
      <c r="G2625" s="2122"/>
      <c r="H2625" s="568"/>
      <c r="I2625" s="2118"/>
      <c r="J2625" s="2123"/>
      <c r="K2625" s="2123"/>
      <c r="L2625" s="192"/>
      <c r="M2625" s="568"/>
    </row>
    <row r="2626" spans="1:16" ht="12.75">
      <c r="A2626" s="2114"/>
      <c r="B2626" s="568" t="s">
        <v>854</v>
      </c>
      <c r="C2626" s="568"/>
      <c r="D2626" s="568"/>
      <c r="E2626" s="188"/>
      <c r="F2626" s="188"/>
      <c r="G2626" s="2122">
        <v>0.26700000000000002</v>
      </c>
      <c r="H2626" s="568" t="s">
        <v>49</v>
      </c>
      <c r="I2626" s="2118" t="s">
        <v>49</v>
      </c>
      <c r="J2626" s="2123">
        <f>G69</f>
        <v>58374.79</v>
      </c>
      <c r="K2626" s="2123">
        <f>ROUND(G2626*J2626,2)</f>
        <v>15586.07</v>
      </c>
      <c r="L2626" s="192"/>
      <c r="M2626" s="568"/>
    </row>
    <row r="2627" spans="1:16" ht="12.75">
      <c r="A2627" s="2114"/>
      <c r="B2627" s="568" t="s">
        <v>207</v>
      </c>
      <c r="C2627" s="568"/>
      <c r="D2627" s="568"/>
      <c r="E2627" s="188"/>
      <c r="F2627" s="188"/>
      <c r="G2627" s="2122">
        <v>12.6</v>
      </c>
      <c r="H2627" s="568" t="s">
        <v>136</v>
      </c>
      <c r="I2627" s="2118" t="s">
        <v>136</v>
      </c>
      <c r="J2627" s="2123">
        <f>G73</f>
        <v>30.81</v>
      </c>
      <c r="K2627" s="2123">
        <f>ROUND(G2627*J2627,2)</f>
        <v>388.21</v>
      </c>
      <c r="L2627" s="192"/>
      <c r="M2627" s="568"/>
    </row>
    <row r="2628" spans="1:16" ht="12.75">
      <c r="A2628" s="2114"/>
      <c r="B2628" s="568" t="s">
        <v>855</v>
      </c>
      <c r="C2628" s="568"/>
      <c r="D2628" s="568"/>
      <c r="E2628" s="188"/>
      <c r="F2628" s="188"/>
      <c r="G2628" s="2122">
        <v>0.32840000000000003</v>
      </c>
      <c r="H2628" s="568" t="s">
        <v>49</v>
      </c>
      <c r="I2628" s="2118" t="s">
        <v>49</v>
      </c>
      <c r="J2628" s="2123">
        <f>I77</f>
        <v>340.976</v>
      </c>
      <c r="K2628" s="2123">
        <f>ROUND(G2628*J2628,2)</f>
        <v>111.98</v>
      </c>
      <c r="L2628" s="192"/>
      <c r="M2628" s="568"/>
    </row>
    <row r="2629" spans="1:16" ht="12.75">
      <c r="A2629" s="2114"/>
      <c r="B2629" s="568"/>
      <c r="C2629" s="568"/>
      <c r="D2629" s="568"/>
      <c r="E2629" s="188"/>
      <c r="F2629" s="188"/>
      <c r="G2629" s="2122"/>
      <c r="H2629" s="568"/>
      <c r="I2629" s="2118"/>
      <c r="J2629" s="2134" t="s">
        <v>718</v>
      </c>
      <c r="K2629" s="2123">
        <f>SUM(K2626:K2628)</f>
        <v>16086.259999999998</v>
      </c>
      <c r="L2629" s="192"/>
      <c r="M2629" s="568"/>
    </row>
    <row r="2630" spans="1:16" ht="12.75">
      <c r="A2630" s="2114"/>
      <c r="B2630" s="568" t="s">
        <v>856</v>
      </c>
      <c r="C2630" s="568"/>
      <c r="D2630" s="568"/>
      <c r="E2630" s="188"/>
      <c r="F2630" s="188"/>
      <c r="G2630" s="2122"/>
      <c r="H2630" s="568"/>
      <c r="I2630" s="2118"/>
      <c r="J2630" s="2123"/>
      <c r="K2630" s="2123">
        <f>K2629/10</f>
        <v>1608.6259999999997</v>
      </c>
      <c r="L2630" s="192"/>
      <c r="M2630" s="568"/>
    </row>
    <row r="2631" spans="1:16" ht="12.75">
      <c r="A2631" s="2114"/>
      <c r="B2631" s="192" t="s">
        <v>857</v>
      </c>
      <c r="C2631" s="568"/>
      <c r="D2631" s="568"/>
      <c r="E2631" s="188"/>
      <c r="F2631" s="188"/>
      <c r="G2631" s="2122"/>
      <c r="H2631" s="568"/>
      <c r="I2631" s="2118"/>
      <c r="J2631" s="2123"/>
      <c r="K2631" s="2123"/>
      <c r="L2631" s="192"/>
      <c r="M2631" s="568"/>
    </row>
    <row r="2632" spans="1:16" ht="12.75">
      <c r="A2632" s="2114"/>
      <c r="B2632" s="568" t="s">
        <v>742</v>
      </c>
      <c r="C2632" s="568"/>
      <c r="D2632" s="568"/>
      <c r="E2632" s="188"/>
      <c r="F2632" s="188"/>
      <c r="G2632" s="2122">
        <v>0.5</v>
      </c>
      <c r="H2632" s="568" t="s">
        <v>262</v>
      </c>
      <c r="I2632" s="2118" t="s">
        <v>38</v>
      </c>
      <c r="J2632" s="2123">
        <f>L136</f>
        <v>435</v>
      </c>
      <c r="K2632" s="2123">
        <f>ROUND(G2632*J2632,2)</f>
        <v>217.5</v>
      </c>
      <c r="L2632" s="192"/>
      <c r="M2632" s="568"/>
    </row>
    <row r="2633" spans="1:16" ht="12.75">
      <c r="A2633" s="2114"/>
      <c r="B2633" s="568" t="s">
        <v>858</v>
      </c>
      <c r="C2633" s="568"/>
      <c r="D2633" s="568"/>
      <c r="E2633" s="188"/>
      <c r="F2633" s="188"/>
      <c r="G2633" s="2122">
        <v>0.5</v>
      </c>
      <c r="H2633" s="568" t="s">
        <v>262</v>
      </c>
      <c r="I2633" s="2118" t="s">
        <v>38</v>
      </c>
      <c r="J2633" s="2123">
        <f>L135</f>
        <v>385</v>
      </c>
      <c r="K2633" s="2123">
        <f>ROUND(G2633*J2633,2)</f>
        <v>192.5</v>
      </c>
      <c r="L2633" s="192"/>
      <c r="M2633" s="568"/>
    </row>
    <row r="2634" spans="1:16" ht="12.75">
      <c r="A2634" s="2114"/>
      <c r="B2634" s="568"/>
      <c r="C2634" s="568"/>
      <c r="D2634" s="568"/>
      <c r="E2634" s="188"/>
      <c r="F2634" s="188"/>
      <c r="G2634" s="2122"/>
      <c r="H2634" s="568"/>
      <c r="I2634" s="2118"/>
      <c r="J2634" s="2134" t="s">
        <v>718</v>
      </c>
      <c r="K2634" s="2123">
        <f>SUM(K2632:K2633)</f>
        <v>410</v>
      </c>
      <c r="L2634" s="192"/>
      <c r="M2634" s="568"/>
    </row>
    <row r="2635" spans="1:16" ht="12.75">
      <c r="A2635" s="2114"/>
      <c r="B2635" s="568"/>
      <c r="C2635" s="568"/>
      <c r="D2635" s="568"/>
      <c r="E2635" s="188"/>
      <c r="F2635" s="188"/>
      <c r="G2635" s="2122"/>
      <c r="H2635" s="568"/>
      <c r="I2635" s="2118"/>
      <c r="J2635" s="2134"/>
      <c r="K2635" s="2123"/>
      <c r="L2635" s="192"/>
      <c r="M2635" s="568"/>
    </row>
    <row r="2636" spans="1:16" ht="12.75">
      <c r="A2636" s="2114"/>
      <c r="B2636" s="568"/>
      <c r="C2636" s="568"/>
      <c r="D2636" s="568"/>
      <c r="E2636" s="188"/>
      <c r="F2636" s="188"/>
      <c r="G2636" s="2122"/>
      <c r="H2636" s="568"/>
      <c r="I2636" s="2118"/>
      <c r="J2636" s="2134" t="s">
        <v>718</v>
      </c>
      <c r="K2636" s="2123">
        <f>K2630+K2634</f>
        <v>2018.6259999999997</v>
      </c>
      <c r="L2636" s="192"/>
      <c r="M2636" s="568"/>
      <c r="O2636" s="1991">
        <f>ROUND(K2634/10,2)</f>
        <v>41</v>
      </c>
      <c r="P2636" s="1706" t="s">
        <v>3149</v>
      </c>
    </row>
    <row r="2637" spans="1:16" ht="12.75">
      <c r="A2637" s="2114"/>
      <c r="B2637" s="568" t="s">
        <v>3664</v>
      </c>
      <c r="C2637" s="568"/>
      <c r="D2637" s="568"/>
      <c r="E2637" s="188"/>
      <c r="F2637" s="188"/>
      <c r="G2637" s="2122"/>
      <c r="H2637" s="2135">
        <f>H2564</f>
        <v>7.4999999999999997E-2</v>
      </c>
      <c r="I2637" s="2134">
        <f>K2636</f>
        <v>2018.6259999999997</v>
      </c>
      <c r="J2637" s="2134"/>
      <c r="K2637" s="2123">
        <f>ROUND(I2637*H2637,2)</f>
        <v>151.4</v>
      </c>
      <c r="L2637" s="192"/>
      <c r="M2637" s="568"/>
      <c r="O2637" s="1991"/>
      <c r="P2637" s="1706"/>
    </row>
    <row r="2638" spans="1:16" ht="12.75">
      <c r="A2638" s="2114"/>
      <c r="B2638" s="568" t="s">
        <v>3665</v>
      </c>
      <c r="C2638" s="568"/>
      <c r="D2638" s="568"/>
      <c r="E2638" s="188"/>
      <c r="F2638" s="188"/>
      <c r="G2638" s="2122"/>
      <c r="H2638" s="2135">
        <f>H2637</f>
        <v>7.4999999999999997E-2</v>
      </c>
      <c r="I2638" s="2134">
        <f>I2637</f>
        <v>2018.6259999999997</v>
      </c>
      <c r="J2638" s="2134"/>
      <c r="K2638" s="2123">
        <f>ROUND(I2638*H2638,2)</f>
        <v>151.4</v>
      </c>
      <c r="L2638" s="192"/>
      <c r="M2638" s="568"/>
      <c r="O2638" s="1991"/>
      <c r="P2638" s="1706"/>
    </row>
    <row r="2639" spans="1:16" ht="12.75">
      <c r="A2639" s="2114"/>
      <c r="B2639" s="568"/>
      <c r="C2639" s="568"/>
      <c r="D2639" s="568"/>
      <c r="E2639" s="188"/>
      <c r="F2639" s="188"/>
      <c r="G2639" s="2122"/>
      <c r="H2639" s="568"/>
      <c r="I2639" s="2118"/>
      <c r="J2639" s="2134" t="s">
        <v>718</v>
      </c>
      <c r="K2639" s="2123">
        <f>SUM(K2636:K2638)</f>
        <v>2321.4259999999999</v>
      </c>
      <c r="L2639" s="192"/>
      <c r="M2639" s="568"/>
      <c r="O2639" s="1991"/>
      <c r="P2639" s="1706"/>
    </row>
    <row r="2640" spans="1:16" ht="12.75">
      <c r="A2640" s="2114"/>
      <c r="B2640" s="568" t="s">
        <v>859</v>
      </c>
      <c r="C2640" s="568"/>
      <c r="D2640" s="568"/>
      <c r="E2640" s="188"/>
      <c r="F2640" s="188"/>
      <c r="G2640" s="2122"/>
      <c r="H2640" s="568"/>
      <c r="I2640" s="2118"/>
      <c r="J2640" s="2123"/>
      <c r="K2640" s="2123">
        <f>ROUND(K2639/10,2)</f>
        <v>232.14</v>
      </c>
      <c r="L2640" s="192"/>
      <c r="M2640" s="568"/>
      <c r="O2640" s="1991">
        <f>K2640-O2636</f>
        <v>191.14</v>
      </c>
      <c r="P2640" s="1706" t="s">
        <v>26</v>
      </c>
    </row>
    <row r="2641" spans="1:19" ht="12.75">
      <c r="A2641" s="2114"/>
      <c r="B2641" s="192" t="s">
        <v>3738</v>
      </c>
      <c r="C2641" s="2142">
        <v>0.01</v>
      </c>
      <c r="D2641" s="568"/>
      <c r="E2641" s="188"/>
      <c r="F2641" s="188"/>
      <c r="G2641" s="2122"/>
      <c r="H2641" s="568"/>
      <c r="I2641" s="2118"/>
      <c r="J2641" s="2134"/>
      <c r="K2641" s="2123">
        <f>ROUND(K2640*C2641,2)</f>
        <v>2.3199999999999998</v>
      </c>
      <c r="L2641" s="192"/>
      <c r="M2641" s="568"/>
      <c r="O2641" s="1991"/>
      <c r="P2641" s="1706"/>
    </row>
    <row r="2642" spans="1:19" ht="12.75">
      <c r="A2642" s="2114"/>
      <c r="B2642" s="568"/>
      <c r="C2642" s="568"/>
      <c r="D2642" s="568"/>
      <c r="E2642" s="188"/>
      <c r="F2642" s="188"/>
      <c r="G2642" s="2122"/>
      <c r="H2642" s="568"/>
      <c r="I2642" s="2118"/>
      <c r="J2642" s="2126" t="s">
        <v>839</v>
      </c>
      <c r="K2642" s="2124">
        <f>SUM(K2640:K2641)</f>
        <v>234.45999999999998</v>
      </c>
      <c r="L2642" s="192" t="s">
        <v>730</v>
      </c>
      <c r="M2642" s="568"/>
      <c r="R2642" s="1706">
        <f>K2640/1.1</f>
        <v>211.0363636363636</v>
      </c>
      <c r="S2642" s="1705">
        <f>R2642*1.2</f>
        <v>253.24363636363631</v>
      </c>
    </row>
    <row r="2643" spans="1:19" ht="12.75" hidden="1">
      <c r="A2643" s="2114" t="str">
        <f>A483</f>
        <v>(ii)</v>
      </c>
      <c r="B2643" s="192" t="s">
        <v>860</v>
      </c>
      <c r="C2643" s="568"/>
      <c r="D2643" s="568"/>
      <c r="E2643" s="188"/>
      <c r="F2643" s="188"/>
      <c r="G2643" s="2122"/>
      <c r="H2643" s="568"/>
      <c r="I2643" s="2118"/>
      <c r="J2643" s="2134"/>
      <c r="K2643" s="2123"/>
      <c r="L2643" s="192"/>
      <c r="M2643" s="568"/>
    </row>
    <row r="2644" spans="1:19" ht="12.75" hidden="1">
      <c r="A2644" s="2114"/>
      <c r="B2644" s="568" t="s">
        <v>861</v>
      </c>
      <c r="C2644" s="568"/>
      <c r="D2644" s="568"/>
      <c r="E2644" s="188"/>
      <c r="F2644" s="188"/>
      <c r="G2644" s="2122"/>
      <c r="H2644" s="568"/>
      <c r="I2644" s="2118"/>
      <c r="J2644" s="2126"/>
      <c r="K2644" s="2123">
        <f>K2640</f>
        <v>232.14</v>
      </c>
      <c r="L2644" s="192" t="str">
        <f>L2642</f>
        <v>Per Sqm</v>
      </c>
      <c r="M2644" s="568"/>
      <c r="R2644" s="1706"/>
    </row>
    <row r="2645" spans="1:19" ht="12.75" hidden="1">
      <c r="A2645" s="2114"/>
      <c r="B2645" s="568" t="s">
        <v>862</v>
      </c>
      <c r="C2645" s="568"/>
      <c r="D2645" s="568"/>
      <c r="E2645" s="188"/>
      <c r="F2645" s="188"/>
      <c r="G2645" s="2122"/>
      <c r="H2645" s="2125">
        <v>0.15</v>
      </c>
      <c r="I2645" s="2134">
        <f>K2644</f>
        <v>232.14</v>
      </c>
      <c r="J2645" s="2124"/>
      <c r="K2645" s="2124">
        <f>ROUND(I2645*H2645,2)</f>
        <v>34.82</v>
      </c>
      <c r="L2645" s="192" t="str">
        <f>L2644</f>
        <v>Per Sqm</v>
      </c>
      <c r="M2645" s="568"/>
      <c r="O2645" s="1991">
        <f>O2636+K2645</f>
        <v>75.819999999999993</v>
      </c>
      <c r="P2645" s="1706" t="s">
        <v>3149</v>
      </c>
      <c r="R2645" s="1706"/>
    </row>
    <row r="2646" spans="1:19" ht="12.75" hidden="1">
      <c r="A2646" s="2114"/>
      <c r="B2646" s="568"/>
      <c r="C2646" s="568"/>
      <c r="D2646" s="568"/>
      <c r="E2646" s="188"/>
      <c r="F2646" s="188"/>
      <c r="G2646" s="2122"/>
      <c r="H2646" s="568"/>
      <c r="I2646" s="2118"/>
      <c r="J2646" s="2126"/>
      <c r="K2646" s="2123">
        <f>SUM(K2644:K2645)</f>
        <v>266.95999999999998</v>
      </c>
      <c r="L2646" s="192" t="str">
        <f>L2644</f>
        <v>Per Sqm</v>
      </c>
      <c r="M2646" s="568"/>
      <c r="O2646" s="1991">
        <f>K2646-O2645</f>
        <v>191.14</v>
      </c>
      <c r="P2646" s="1706" t="s">
        <v>26</v>
      </c>
      <c r="R2646" s="1706"/>
    </row>
    <row r="2647" spans="1:19" ht="12.75" hidden="1">
      <c r="A2647" s="2114"/>
      <c r="B2647" s="568"/>
      <c r="C2647" s="568"/>
      <c r="D2647" s="568"/>
      <c r="E2647" s="188"/>
      <c r="F2647" s="188"/>
      <c r="G2647" s="2122"/>
      <c r="H2647" s="568"/>
      <c r="I2647" s="2118"/>
      <c r="J2647" s="2126" t="s">
        <v>839</v>
      </c>
      <c r="K2647" s="2124">
        <f>ROUND(K2646,1)</f>
        <v>267</v>
      </c>
      <c r="L2647" s="192" t="s">
        <v>730</v>
      </c>
      <c r="M2647" s="568"/>
      <c r="R2647" s="1706"/>
    </row>
    <row r="2648" spans="1:19" ht="12.75" hidden="1">
      <c r="A2648" s="2114" t="str">
        <f>A484</f>
        <v>(iii)</v>
      </c>
      <c r="B2648" s="192" t="str">
        <f>B484</f>
        <v>Second Floor</v>
      </c>
      <c r="C2648" s="568"/>
      <c r="D2648" s="568"/>
      <c r="E2648" s="188"/>
      <c r="F2648" s="188"/>
      <c r="G2648" s="2122"/>
      <c r="H2648" s="568"/>
      <c r="I2648" s="2118"/>
      <c r="J2648" s="2134"/>
      <c r="K2648" s="2123"/>
      <c r="L2648" s="192"/>
      <c r="M2648" s="568"/>
    </row>
    <row r="2649" spans="1:19" ht="12.75" hidden="1">
      <c r="A2649" s="2114"/>
      <c r="B2649" s="568" t="s">
        <v>3619</v>
      </c>
      <c r="C2649" s="568"/>
      <c r="D2649" s="568"/>
      <c r="E2649" s="188"/>
      <c r="F2649" s="188"/>
      <c r="G2649" s="2122"/>
      <c r="H2649" s="568"/>
      <c r="I2649" s="2118"/>
      <c r="J2649" s="2126"/>
      <c r="K2649" s="2123">
        <f>K2647</f>
        <v>267</v>
      </c>
      <c r="L2649" s="192" t="str">
        <f>L2647</f>
        <v>Per Sqm</v>
      </c>
      <c r="M2649" s="568"/>
      <c r="R2649" s="1706"/>
    </row>
    <row r="2650" spans="1:19" ht="12.75" hidden="1">
      <c r="A2650" s="2114"/>
      <c r="B2650" s="568" t="s">
        <v>3620</v>
      </c>
      <c r="C2650" s="568"/>
      <c r="D2650" s="568"/>
      <c r="E2650" s="188"/>
      <c r="F2650" s="188"/>
      <c r="G2650" s="2122"/>
      <c r="H2650" s="568"/>
      <c r="I2650" s="2118"/>
      <c r="J2650" s="2126"/>
      <c r="K2650" s="2123">
        <f>K2645+ROUND(K2645*20%,2)</f>
        <v>41.78</v>
      </c>
      <c r="L2650" s="192" t="str">
        <f>L2649</f>
        <v>Per Sqm</v>
      </c>
      <c r="M2650" s="568"/>
      <c r="O2650" s="1991">
        <f>O2645+K2650</f>
        <v>117.6</v>
      </c>
      <c r="P2650" s="1706" t="s">
        <v>3149</v>
      </c>
      <c r="R2650" s="1706"/>
    </row>
    <row r="2651" spans="1:19" ht="12.75" hidden="1">
      <c r="A2651" s="2114"/>
      <c r="B2651" s="568"/>
      <c r="C2651" s="568"/>
      <c r="D2651" s="568"/>
      <c r="E2651" s="188"/>
      <c r="F2651" s="188"/>
      <c r="G2651" s="2122"/>
      <c r="H2651" s="568"/>
      <c r="I2651" s="2118"/>
      <c r="J2651" s="2126"/>
      <c r="K2651" s="2123">
        <f>SUM(K2649:K2650)</f>
        <v>308.77999999999997</v>
      </c>
      <c r="L2651" s="192" t="str">
        <f>L2649</f>
        <v>Per Sqm</v>
      </c>
      <c r="M2651" s="568"/>
      <c r="O2651" s="1991">
        <f>K2651-O2650</f>
        <v>191.17999999999998</v>
      </c>
      <c r="P2651" s="1706" t="s">
        <v>26</v>
      </c>
      <c r="R2651" s="1706"/>
    </row>
    <row r="2652" spans="1:19" ht="12.75" hidden="1">
      <c r="A2652" s="2114"/>
      <c r="B2652" s="568"/>
      <c r="C2652" s="568"/>
      <c r="D2652" s="568"/>
      <c r="E2652" s="188"/>
      <c r="F2652" s="188"/>
      <c r="G2652" s="2122"/>
      <c r="H2652" s="568"/>
      <c r="I2652" s="2118"/>
      <c r="J2652" s="2126" t="s">
        <v>839</v>
      </c>
      <c r="K2652" s="2124">
        <f>ROUND(K2651,1)</f>
        <v>308.8</v>
      </c>
      <c r="L2652" s="192" t="s">
        <v>730</v>
      </c>
      <c r="M2652" s="568"/>
      <c r="R2652" s="1706"/>
    </row>
    <row r="2653" spans="1:19" ht="12.75" hidden="1">
      <c r="A2653" s="2114" t="str">
        <f>A485</f>
        <v>(iv)</v>
      </c>
      <c r="B2653" s="192" t="str">
        <f>B485</f>
        <v>Third Floor</v>
      </c>
      <c r="C2653" s="568"/>
      <c r="D2653" s="568"/>
      <c r="E2653" s="188"/>
      <c r="F2653" s="188"/>
      <c r="G2653" s="2122"/>
      <c r="H2653" s="568"/>
      <c r="I2653" s="2118"/>
      <c r="J2653" s="2134"/>
      <c r="K2653" s="2123"/>
      <c r="L2653" s="192"/>
      <c r="M2653" s="568"/>
    </row>
    <row r="2654" spans="1:19" ht="12.75" hidden="1">
      <c r="A2654" s="2114"/>
      <c r="B2654" s="568" t="s">
        <v>3619</v>
      </c>
      <c r="C2654" s="568"/>
      <c r="D2654" s="568"/>
      <c r="E2654" s="188"/>
      <c r="F2654" s="188"/>
      <c r="G2654" s="2122"/>
      <c r="H2654" s="568"/>
      <c r="I2654" s="2118"/>
      <c r="J2654" s="2126"/>
      <c r="K2654" s="2123">
        <f>K2652</f>
        <v>308.8</v>
      </c>
      <c r="L2654" s="192" t="str">
        <f>L2652</f>
        <v>Per Sqm</v>
      </c>
      <c r="M2654" s="568"/>
      <c r="R2654" s="1706"/>
    </row>
    <row r="2655" spans="1:19" ht="12.75" hidden="1">
      <c r="A2655" s="2114"/>
      <c r="B2655" s="568" t="s">
        <v>3620</v>
      </c>
      <c r="C2655" s="568"/>
      <c r="D2655" s="568"/>
      <c r="E2655" s="188"/>
      <c r="F2655" s="188"/>
      <c r="G2655" s="2122"/>
      <c r="H2655" s="568"/>
      <c r="I2655" s="2118"/>
      <c r="J2655" s="2126"/>
      <c r="K2655" s="2123">
        <f>K2650+ROUND(K2650*20%,2)</f>
        <v>50.14</v>
      </c>
      <c r="L2655" s="192" t="str">
        <f>L2654</f>
        <v>Per Sqm</v>
      </c>
      <c r="M2655" s="568"/>
      <c r="O2655" s="1991">
        <f>O2650+K2655</f>
        <v>167.74</v>
      </c>
      <c r="P2655" s="1706" t="s">
        <v>3149</v>
      </c>
      <c r="R2655" s="1706"/>
    </row>
    <row r="2656" spans="1:19" ht="12.75" hidden="1">
      <c r="A2656" s="2114"/>
      <c r="B2656" s="568"/>
      <c r="C2656" s="568"/>
      <c r="D2656" s="568"/>
      <c r="E2656" s="188"/>
      <c r="F2656" s="188"/>
      <c r="G2656" s="2122"/>
      <c r="H2656" s="568"/>
      <c r="I2656" s="2118"/>
      <c r="J2656" s="2126"/>
      <c r="K2656" s="2123">
        <f>SUM(K2654:K2655)</f>
        <v>358.94</v>
      </c>
      <c r="L2656" s="192" t="str">
        <f>L2654</f>
        <v>Per Sqm</v>
      </c>
      <c r="M2656" s="568"/>
      <c r="O2656" s="1991">
        <f>K2656-O2655</f>
        <v>191.2</v>
      </c>
      <c r="P2656" s="1706" t="s">
        <v>26</v>
      </c>
      <c r="R2656" s="1706"/>
    </row>
    <row r="2657" spans="1:18" ht="12.75" hidden="1">
      <c r="A2657" s="2114"/>
      <c r="B2657" s="568"/>
      <c r="C2657" s="568"/>
      <c r="D2657" s="568"/>
      <c r="E2657" s="188"/>
      <c r="F2657" s="188"/>
      <c r="G2657" s="2122"/>
      <c r="H2657" s="568"/>
      <c r="I2657" s="2118"/>
      <c r="J2657" s="2126" t="s">
        <v>839</v>
      </c>
      <c r="K2657" s="2124">
        <f>ROUND(K2656,1)</f>
        <v>358.9</v>
      </c>
      <c r="L2657" s="192" t="s">
        <v>730</v>
      </c>
      <c r="M2657" s="568"/>
      <c r="R2657" s="1706"/>
    </row>
    <row r="2658" spans="1:18" ht="12.75">
      <c r="A2658" s="2114" t="str">
        <f>A486</f>
        <v>b</v>
      </c>
      <c r="B2658" s="3033" t="s">
        <v>863</v>
      </c>
      <c r="C2658" s="3033"/>
      <c r="D2658" s="3033"/>
      <c r="E2658" s="188" t="s">
        <v>38</v>
      </c>
      <c r="F2658" s="188"/>
      <c r="G2658" s="2122"/>
      <c r="H2658" s="568"/>
      <c r="I2658" s="2118"/>
      <c r="J2658" s="2123"/>
      <c r="K2658" s="2123"/>
      <c r="L2658" s="192"/>
      <c r="M2658" s="568"/>
    </row>
    <row r="2659" spans="1:18" ht="12.75">
      <c r="A2659" s="2114"/>
      <c r="B2659" s="3033"/>
      <c r="C2659" s="3033"/>
      <c r="D2659" s="3033"/>
      <c r="E2659" s="188" t="s">
        <v>92</v>
      </c>
      <c r="F2659" s="188"/>
      <c r="G2659" s="2122"/>
      <c r="H2659" s="568"/>
      <c r="I2659" s="2118"/>
      <c r="J2659" s="2123"/>
      <c r="K2659" s="2123"/>
      <c r="L2659" s="192"/>
      <c r="M2659" s="568"/>
    </row>
    <row r="2660" spans="1:18" ht="12.75">
      <c r="A2660" s="2114" t="str">
        <f>A487</f>
        <v>(i)</v>
      </c>
      <c r="B2660" s="192" t="s">
        <v>864</v>
      </c>
      <c r="C2660" s="568"/>
      <c r="D2660" s="568"/>
      <c r="E2660" s="188"/>
      <c r="F2660" s="188"/>
      <c r="G2660" s="2122"/>
      <c r="H2660" s="568"/>
      <c r="I2660" s="2118"/>
      <c r="J2660" s="2123"/>
      <c r="K2660" s="2123"/>
      <c r="L2660" s="192"/>
      <c r="M2660" s="568"/>
    </row>
    <row r="2661" spans="1:18" ht="12.75">
      <c r="A2661" s="2114" t="s">
        <v>201</v>
      </c>
      <c r="B2661" s="192" t="s">
        <v>26</v>
      </c>
      <c r="C2661" s="568"/>
      <c r="D2661" s="568"/>
      <c r="E2661" s="188"/>
      <c r="F2661" s="188"/>
      <c r="G2661" s="2122"/>
      <c r="H2661" s="568"/>
      <c r="I2661" s="2118"/>
      <c r="J2661" s="2123"/>
      <c r="K2661" s="2123"/>
      <c r="L2661" s="192"/>
      <c r="M2661" s="568"/>
    </row>
    <row r="2662" spans="1:18" ht="12.75">
      <c r="A2662" s="2114"/>
      <c r="B2662" s="568" t="s">
        <v>865</v>
      </c>
      <c r="C2662" s="568"/>
      <c r="D2662" s="568"/>
      <c r="E2662" s="188"/>
      <c r="F2662" s="188"/>
      <c r="G2662" s="2122">
        <v>0.112</v>
      </c>
      <c r="H2662" s="568" t="s">
        <v>49</v>
      </c>
      <c r="I2662" s="2118" t="s">
        <v>49</v>
      </c>
      <c r="J2662" s="2123">
        <f>G77</f>
        <v>58374.79</v>
      </c>
      <c r="K2662" s="2123">
        <f>ROUND(G2662*J2662,2)</f>
        <v>6537.98</v>
      </c>
      <c r="L2662" s="192"/>
      <c r="M2662" s="568"/>
    </row>
    <row r="2663" spans="1:18" ht="12.75">
      <c r="A2663" s="2114"/>
      <c r="B2663" s="568" t="s">
        <v>866</v>
      </c>
      <c r="C2663" s="568"/>
      <c r="D2663" s="568"/>
      <c r="E2663" s="188"/>
      <c r="F2663" s="188"/>
      <c r="G2663" s="2122">
        <v>0.34</v>
      </c>
      <c r="H2663" s="568" t="s">
        <v>49</v>
      </c>
      <c r="I2663" s="2118" t="s">
        <v>49</v>
      </c>
      <c r="J2663" s="2123">
        <f>G70</f>
        <v>58374.79</v>
      </c>
      <c r="K2663" s="2123">
        <f>ROUND(G2663*J2663,2)</f>
        <v>19847.43</v>
      </c>
      <c r="L2663" s="192"/>
      <c r="M2663" s="568"/>
    </row>
    <row r="2664" spans="1:18" ht="12.75">
      <c r="A2664" s="2114"/>
      <c r="B2664" s="568" t="s">
        <v>204</v>
      </c>
      <c r="C2664" s="568"/>
      <c r="D2664" s="568"/>
      <c r="E2664" s="188"/>
      <c r="F2664" s="188"/>
      <c r="G2664" s="2122">
        <v>56</v>
      </c>
      <c r="H2664" s="568" t="s">
        <v>136</v>
      </c>
      <c r="I2664" s="2118" t="s">
        <v>136</v>
      </c>
      <c r="J2664" s="2123">
        <f>G76</f>
        <v>51.87</v>
      </c>
      <c r="K2664" s="2123">
        <f>ROUND(G2664*J2664,2)</f>
        <v>2904.72</v>
      </c>
      <c r="L2664" s="192"/>
      <c r="M2664" s="568"/>
    </row>
    <row r="2665" spans="1:18" ht="12.75">
      <c r="A2665" s="2114"/>
      <c r="B2665" s="568" t="s">
        <v>855</v>
      </c>
      <c r="C2665" s="568"/>
      <c r="D2665" s="568"/>
      <c r="E2665" s="188"/>
      <c r="F2665" s="188"/>
      <c r="G2665" s="2122">
        <v>1.1419999999999999</v>
      </c>
      <c r="H2665" s="568" t="s">
        <v>49</v>
      </c>
      <c r="I2665" s="2118" t="s">
        <v>49</v>
      </c>
      <c r="J2665" s="2123">
        <f>J2628</f>
        <v>340.976</v>
      </c>
      <c r="K2665" s="2123">
        <f>ROUND(G2665*J2665,2)</f>
        <v>389.39</v>
      </c>
      <c r="L2665" s="192"/>
      <c r="M2665" s="568"/>
    </row>
    <row r="2666" spans="1:18" ht="12.75">
      <c r="A2666" s="2114"/>
      <c r="B2666" s="568"/>
      <c r="C2666" s="568"/>
      <c r="D2666" s="568"/>
      <c r="E2666" s="188"/>
      <c r="F2666" s="188"/>
      <c r="G2666" s="2122"/>
      <c r="H2666" s="568"/>
      <c r="I2666" s="2118"/>
      <c r="J2666" s="2134" t="s">
        <v>718</v>
      </c>
      <c r="K2666" s="2123">
        <f>SUM(K2662:K2665)</f>
        <v>29679.52</v>
      </c>
      <c r="L2666" s="192"/>
      <c r="M2666" s="568"/>
    </row>
    <row r="2667" spans="1:18" ht="12.75">
      <c r="A2667" s="2114"/>
      <c r="B2667" s="568" t="s">
        <v>856</v>
      </c>
      <c r="C2667" s="568"/>
      <c r="D2667" s="568"/>
      <c r="E2667" s="188"/>
      <c r="F2667" s="188"/>
      <c r="G2667" s="2122"/>
      <c r="H2667" s="568"/>
      <c r="I2667" s="2118"/>
      <c r="J2667" s="2123"/>
      <c r="K2667" s="2123">
        <f>K2666/10</f>
        <v>2967.9520000000002</v>
      </c>
      <c r="L2667" s="192"/>
      <c r="M2667" s="568"/>
    </row>
    <row r="2668" spans="1:18" ht="12.75">
      <c r="A2668" s="2114" t="s">
        <v>220</v>
      </c>
      <c r="B2668" s="192" t="s">
        <v>2</v>
      </c>
      <c r="C2668" s="568"/>
      <c r="D2668" s="568"/>
      <c r="E2668" s="188"/>
      <c r="F2668" s="188"/>
      <c r="G2668" s="2122"/>
      <c r="H2668" s="568"/>
      <c r="I2668" s="2118"/>
      <c r="J2668" s="2123"/>
      <c r="K2668" s="2123"/>
      <c r="L2668" s="192"/>
      <c r="M2668" s="568"/>
    </row>
    <row r="2669" spans="1:18" ht="12.75">
      <c r="A2669" s="2114"/>
      <c r="B2669" s="568" t="s">
        <v>742</v>
      </c>
      <c r="C2669" s="568"/>
      <c r="D2669" s="568"/>
      <c r="E2669" s="188"/>
      <c r="F2669" s="188"/>
      <c r="G2669" s="2122">
        <v>2.75</v>
      </c>
      <c r="H2669" s="568" t="s">
        <v>262</v>
      </c>
      <c r="I2669" s="2118" t="s">
        <v>38</v>
      </c>
      <c r="J2669" s="2123">
        <f>L136</f>
        <v>435</v>
      </c>
      <c r="K2669" s="2123">
        <f>ROUND(G2669*J2669,2)</f>
        <v>1196.25</v>
      </c>
      <c r="L2669" s="192"/>
      <c r="M2669" s="568"/>
    </row>
    <row r="2670" spans="1:18" ht="12.75">
      <c r="A2670" s="2114"/>
      <c r="B2670" s="568" t="s">
        <v>858</v>
      </c>
      <c r="C2670" s="568"/>
      <c r="D2670" s="568"/>
      <c r="E2670" s="188"/>
      <c r="F2670" s="188"/>
      <c r="G2670" s="2122">
        <v>2.75</v>
      </c>
      <c r="H2670" s="568" t="s">
        <v>262</v>
      </c>
      <c r="I2670" s="2118" t="s">
        <v>38</v>
      </c>
      <c r="J2670" s="2123">
        <f>L135</f>
        <v>385</v>
      </c>
      <c r="K2670" s="2123">
        <f>ROUND(G2670*J2670,2)</f>
        <v>1058.75</v>
      </c>
      <c r="L2670" s="192"/>
      <c r="M2670" s="568"/>
    </row>
    <row r="2671" spans="1:18" ht="12.75">
      <c r="A2671" s="2114"/>
      <c r="B2671" s="568"/>
      <c r="C2671" s="568"/>
      <c r="D2671" s="568"/>
      <c r="E2671" s="188"/>
      <c r="F2671" s="188"/>
      <c r="G2671" s="2122"/>
      <c r="H2671" s="568"/>
      <c r="I2671" s="2118"/>
      <c r="J2671" s="2134" t="s">
        <v>718</v>
      </c>
      <c r="K2671" s="2123">
        <f>SUM(K2667:K2670)</f>
        <v>5222.9520000000002</v>
      </c>
      <c r="L2671" s="192"/>
      <c r="M2671" s="568"/>
    </row>
    <row r="2672" spans="1:18" ht="12.75">
      <c r="A2672" s="2114"/>
      <c r="B2672" s="568" t="s">
        <v>3664</v>
      </c>
      <c r="C2672" s="568"/>
      <c r="D2672" s="568"/>
      <c r="E2672" s="188"/>
      <c r="F2672" s="188"/>
      <c r="G2672" s="2122"/>
      <c r="H2672" s="2135">
        <f>H2638</f>
        <v>7.4999999999999997E-2</v>
      </c>
      <c r="I2672" s="2134">
        <f>K2671</f>
        <v>5222.9520000000002</v>
      </c>
      <c r="J2672" s="2134"/>
      <c r="K2672" s="2123">
        <f>ROUND(I2672*H2672,2)</f>
        <v>391.72</v>
      </c>
      <c r="L2672" s="192"/>
      <c r="M2672" s="568"/>
    </row>
    <row r="2673" spans="1:19" ht="12.75">
      <c r="A2673" s="2114"/>
      <c r="B2673" s="568" t="s">
        <v>3665</v>
      </c>
      <c r="C2673" s="568"/>
      <c r="D2673" s="568"/>
      <c r="E2673" s="188"/>
      <c r="F2673" s="188"/>
      <c r="G2673" s="2122"/>
      <c r="H2673" s="2135">
        <f>H2672</f>
        <v>7.4999999999999997E-2</v>
      </c>
      <c r="I2673" s="2134">
        <f>I2672</f>
        <v>5222.9520000000002</v>
      </c>
      <c r="J2673" s="2134"/>
      <c r="K2673" s="2123">
        <f>ROUND(I2673*H2673,2)</f>
        <v>391.72</v>
      </c>
      <c r="L2673" s="192"/>
      <c r="M2673" s="568"/>
    </row>
    <row r="2674" spans="1:19" ht="12.75">
      <c r="A2674" s="2114"/>
      <c r="B2674" s="568"/>
      <c r="C2674" s="568"/>
      <c r="D2674" s="568"/>
      <c r="E2674" s="188"/>
      <c r="F2674" s="188"/>
      <c r="G2674" s="2122"/>
      <c r="H2674" s="568"/>
      <c r="I2674" s="2118"/>
      <c r="J2674" s="2134"/>
      <c r="K2674" s="2123"/>
      <c r="L2674" s="192"/>
      <c r="M2674" s="568"/>
    </row>
    <row r="2675" spans="1:19" ht="12.75">
      <c r="A2675" s="2114"/>
      <c r="B2675" s="568"/>
      <c r="C2675" s="568"/>
      <c r="D2675" s="568"/>
      <c r="E2675" s="188"/>
      <c r="F2675" s="188"/>
      <c r="G2675" s="2122"/>
      <c r="H2675" s="568"/>
      <c r="I2675" s="2118"/>
      <c r="J2675" s="2134" t="s">
        <v>718</v>
      </c>
      <c r="K2675" s="2123">
        <f>SUM(K2671:K2673)</f>
        <v>6006.3920000000007</v>
      </c>
      <c r="L2675" s="192"/>
      <c r="M2675" s="568"/>
      <c r="O2675" s="1991">
        <f>ROUND(K2667/10,2)</f>
        <v>296.8</v>
      </c>
      <c r="P2675" s="1706" t="s">
        <v>3149</v>
      </c>
    </row>
    <row r="2676" spans="1:19" ht="12.75">
      <c r="A2676" s="2114"/>
      <c r="B2676" s="568" t="s">
        <v>859</v>
      </c>
      <c r="C2676" s="568"/>
      <c r="D2676" s="568"/>
      <c r="E2676" s="188"/>
      <c r="F2676" s="188"/>
      <c r="G2676" s="2122"/>
      <c r="H2676" s="568"/>
      <c r="I2676" s="2118"/>
      <c r="J2676" s="2123"/>
      <c r="K2676" s="2123">
        <f>ROUND(K2675/9,2)</f>
        <v>667.38</v>
      </c>
      <c r="L2676" s="192"/>
      <c r="M2676" s="568"/>
      <c r="O2676" s="1991">
        <f>K2676-O2675</f>
        <v>370.58</v>
      </c>
      <c r="P2676" s="1706" t="s">
        <v>26</v>
      </c>
    </row>
    <row r="2677" spans="1:19" ht="12.75">
      <c r="A2677" s="2114"/>
      <c r="B2677" s="192" t="s">
        <v>3738</v>
      </c>
      <c r="C2677" s="2142">
        <v>0.01</v>
      </c>
      <c r="D2677" s="568"/>
      <c r="E2677" s="188"/>
      <c r="F2677" s="188"/>
      <c r="G2677" s="2122"/>
      <c r="H2677" s="568"/>
      <c r="I2677" s="2118"/>
      <c r="J2677" s="2134"/>
      <c r="K2677" s="2123">
        <f>ROUND(K2676*C2677,2)</f>
        <v>6.67</v>
      </c>
      <c r="L2677" s="192"/>
      <c r="M2677" s="568"/>
      <c r="O2677" s="1991"/>
      <c r="P2677" s="1706"/>
    </row>
    <row r="2678" spans="1:19" ht="12.75">
      <c r="A2678" s="2114"/>
      <c r="B2678" s="568"/>
      <c r="C2678" s="568"/>
      <c r="D2678" s="568"/>
      <c r="E2678" s="188"/>
      <c r="F2678" s="188"/>
      <c r="G2678" s="2122"/>
      <c r="H2678" s="568"/>
      <c r="I2678" s="2118"/>
      <c r="J2678" s="2124" t="s">
        <v>839</v>
      </c>
      <c r="K2678" s="2124">
        <f>SUM(K2676:K2677)</f>
        <v>674.05</v>
      </c>
      <c r="L2678" s="192" t="s">
        <v>730</v>
      </c>
      <c r="M2678" s="568"/>
      <c r="R2678" s="1706">
        <f>K2676/1.1</f>
        <v>606.70909090909083</v>
      </c>
      <c r="S2678" s="1705">
        <f>R2678*1.2</f>
        <v>728.05090909090893</v>
      </c>
    </row>
    <row r="2679" spans="1:19" ht="12.75" hidden="1">
      <c r="A2679" s="2114" t="str">
        <f>A488</f>
        <v>(ii)</v>
      </c>
      <c r="B2679" s="192" t="s">
        <v>860</v>
      </c>
      <c r="C2679" s="568"/>
      <c r="D2679" s="568"/>
      <c r="E2679" s="188"/>
      <c r="F2679" s="188"/>
      <c r="G2679" s="2122"/>
      <c r="H2679" s="568"/>
      <c r="I2679" s="2118"/>
      <c r="J2679" s="2123"/>
      <c r="K2679" s="2123"/>
      <c r="L2679" s="192"/>
      <c r="M2679" s="568"/>
    </row>
    <row r="2680" spans="1:19" ht="12.75" hidden="1">
      <c r="A2680" s="2114"/>
      <c r="B2680" s="568" t="s">
        <v>861</v>
      </c>
      <c r="C2680" s="568"/>
      <c r="D2680" s="568"/>
      <c r="E2680" s="188"/>
      <c r="F2680" s="188"/>
      <c r="G2680" s="2122"/>
      <c r="H2680" s="568"/>
      <c r="I2680" s="2118"/>
      <c r="J2680" s="2124"/>
      <c r="K2680" s="2123">
        <f>K2678</f>
        <v>674.05</v>
      </c>
      <c r="L2680" s="568" t="str">
        <f>L2678</f>
        <v>Per Sqm</v>
      </c>
      <c r="M2680" s="568"/>
      <c r="R2680" s="1706"/>
    </row>
    <row r="2681" spans="1:19" ht="12.75" hidden="1">
      <c r="A2681" s="2114"/>
      <c r="B2681" s="568" t="s">
        <v>862</v>
      </c>
      <c r="C2681" s="568"/>
      <c r="D2681" s="568"/>
      <c r="E2681" s="188"/>
      <c r="F2681" s="188"/>
      <c r="G2681" s="2122"/>
      <c r="H2681" s="2125">
        <v>0.2</v>
      </c>
      <c r="I2681" s="2134">
        <f>(K2669+K2670)/9</f>
        <v>250.55555555555554</v>
      </c>
      <c r="J2681" s="2124"/>
      <c r="K2681" s="2124">
        <f>ROUND(I2681*H2681,2)</f>
        <v>50.11</v>
      </c>
      <c r="L2681" s="568" t="str">
        <f>L2680</f>
        <v>Per Sqm</v>
      </c>
      <c r="M2681" s="568"/>
      <c r="O2681" s="1991">
        <f>O2675+K2681</f>
        <v>346.91</v>
      </c>
      <c r="P2681" s="1706" t="s">
        <v>3149</v>
      </c>
      <c r="R2681" s="1706"/>
    </row>
    <row r="2682" spans="1:19" ht="12.75" hidden="1">
      <c r="A2682" s="2114"/>
      <c r="B2682" s="568" t="s">
        <v>3664</v>
      </c>
      <c r="C2682" s="568"/>
      <c r="D2682" s="568"/>
      <c r="E2682" s="188"/>
      <c r="F2682" s="188"/>
      <c r="G2682" s="2122"/>
      <c r="H2682" s="2135">
        <f>H2672</f>
        <v>7.4999999999999997E-2</v>
      </c>
      <c r="I2682" s="2134">
        <f>K2681</f>
        <v>50.11</v>
      </c>
      <c r="J2682" s="2134"/>
      <c r="K2682" s="2123">
        <f>ROUND(I2682*H2682,2)</f>
        <v>3.76</v>
      </c>
      <c r="L2682" s="568"/>
      <c r="M2682" s="568"/>
      <c r="O2682" s="1991"/>
      <c r="P2682" s="1706"/>
      <c r="R2682" s="1706"/>
    </row>
    <row r="2683" spans="1:19" ht="12.75" hidden="1">
      <c r="A2683" s="2114"/>
      <c r="B2683" s="568" t="s">
        <v>3665</v>
      </c>
      <c r="C2683" s="568"/>
      <c r="D2683" s="568"/>
      <c r="E2683" s="188"/>
      <c r="F2683" s="188"/>
      <c r="G2683" s="2122"/>
      <c r="H2683" s="2135">
        <f>H2682</f>
        <v>7.4999999999999997E-2</v>
      </c>
      <c r="I2683" s="2134">
        <f>I2682</f>
        <v>50.11</v>
      </c>
      <c r="J2683" s="2134"/>
      <c r="K2683" s="2123">
        <f>ROUND(I2683*H2683,2)</f>
        <v>3.76</v>
      </c>
      <c r="L2683" s="568"/>
      <c r="M2683" s="568"/>
      <c r="O2683" s="1991"/>
      <c r="P2683" s="1706"/>
      <c r="R2683" s="1706"/>
    </row>
    <row r="2684" spans="1:19" ht="12.75" hidden="1">
      <c r="A2684" s="2114"/>
      <c r="B2684" s="568"/>
      <c r="C2684" s="568"/>
      <c r="D2684" s="568"/>
      <c r="E2684" s="188"/>
      <c r="F2684" s="188"/>
      <c r="G2684" s="2122"/>
      <c r="H2684" s="568"/>
      <c r="I2684" s="2118"/>
      <c r="J2684" s="2124"/>
      <c r="K2684" s="2123">
        <f>SUM(K2680:K2683)</f>
        <v>731.68</v>
      </c>
      <c r="L2684" s="568" t="str">
        <f>L2680</f>
        <v>Per Sqm</v>
      </c>
      <c r="M2684" s="568"/>
      <c r="O2684" s="1991">
        <f>K2684-O2681</f>
        <v>384.76999999999992</v>
      </c>
      <c r="P2684" s="1706" t="s">
        <v>26</v>
      </c>
      <c r="R2684" s="1706"/>
    </row>
    <row r="2685" spans="1:19" ht="12.75" hidden="1">
      <c r="A2685" s="2114"/>
      <c r="B2685" s="192" t="s">
        <v>3738</v>
      </c>
      <c r="C2685" s="2142">
        <v>0.01</v>
      </c>
      <c r="D2685" s="568"/>
      <c r="E2685" s="188"/>
      <c r="F2685" s="188"/>
      <c r="G2685" s="2122"/>
      <c r="H2685" s="568"/>
      <c r="I2685" s="2118"/>
      <c r="J2685" s="2134"/>
      <c r="K2685" s="2123">
        <f>ROUND(K2684*C2685,2)</f>
        <v>7.32</v>
      </c>
      <c r="L2685" s="568"/>
      <c r="M2685" s="568"/>
      <c r="O2685" s="1991"/>
      <c r="P2685" s="1706"/>
      <c r="R2685" s="1706"/>
    </row>
    <row r="2686" spans="1:19" ht="12.75" hidden="1">
      <c r="A2686" s="2114"/>
      <c r="B2686" s="568"/>
      <c r="C2686" s="568"/>
      <c r="D2686" s="568"/>
      <c r="E2686" s="188"/>
      <c r="F2686" s="188"/>
      <c r="G2686" s="2122"/>
      <c r="H2686" s="568"/>
      <c r="I2686" s="2118"/>
      <c r="J2686" s="2124" t="s">
        <v>839</v>
      </c>
      <c r="K2686" s="2124">
        <f>SUM(K2684:K2685)</f>
        <v>739</v>
      </c>
      <c r="L2686" s="192" t="s">
        <v>730</v>
      </c>
      <c r="M2686" s="568"/>
      <c r="R2686" s="1706"/>
    </row>
    <row r="2687" spans="1:19" ht="12.75" hidden="1">
      <c r="A2687" s="2114" t="str">
        <f>A489</f>
        <v>(iii)</v>
      </c>
      <c r="B2687" s="192" t="str">
        <f>B489</f>
        <v>Second Floor</v>
      </c>
      <c r="C2687" s="568"/>
      <c r="D2687" s="568"/>
      <c r="E2687" s="188"/>
      <c r="F2687" s="188"/>
      <c r="G2687" s="2122"/>
      <c r="H2687" s="568"/>
      <c r="I2687" s="2118"/>
      <c r="J2687" s="2123"/>
      <c r="K2687" s="2123"/>
      <c r="L2687" s="192"/>
      <c r="M2687" s="568"/>
    </row>
    <row r="2688" spans="1:19" ht="12.75" hidden="1">
      <c r="A2688" s="2114"/>
      <c r="B2688" s="568" t="str">
        <f>B2649</f>
        <v>Rtae as 1st floor</v>
      </c>
      <c r="C2688" s="568"/>
      <c r="D2688" s="568"/>
      <c r="E2688" s="188"/>
      <c r="F2688" s="188"/>
      <c r="G2688" s="2122"/>
      <c r="H2688" s="568"/>
      <c r="I2688" s="2118"/>
      <c r="J2688" s="2124"/>
      <c r="K2688" s="2123">
        <f>K2684</f>
        <v>731.68</v>
      </c>
      <c r="L2688" s="568" t="str">
        <f>L2686</f>
        <v>Per Sqm</v>
      </c>
      <c r="M2688" s="568"/>
      <c r="R2688" s="1706"/>
    </row>
    <row r="2689" spans="1:18" ht="12.75" hidden="1">
      <c r="A2689" s="2114"/>
      <c r="B2689" s="568" t="str">
        <f>B2650</f>
        <v>Add @ 20% extra for 2nd floor</v>
      </c>
      <c r="C2689" s="568"/>
      <c r="D2689" s="568"/>
      <c r="E2689" s="188"/>
      <c r="F2689" s="188"/>
      <c r="G2689" s="2122"/>
      <c r="H2689" s="2125">
        <v>0.2</v>
      </c>
      <c r="I2689" s="2134">
        <f>I2681+K2681</f>
        <v>300.66555555555556</v>
      </c>
      <c r="J2689" s="2124"/>
      <c r="K2689" s="2124">
        <f>ROUND(I2689*H2689,2)</f>
        <v>60.13</v>
      </c>
      <c r="L2689" s="568" t="str">
        <f>L2688</f>
        <v>Per Sqm</v>
      </c>
      <c r="M2689" s="568"/>
      <c r="O2689" s="1991">
        <f>O2681+K2689</f>
        <v>407.04</v>
      </c>
      <c r="P2689" s="1706" t="s">
        <v>3149</v>
      </c>
      <c r="R2689" s="1706"/>
    </row>
    <row r="2690" spans="1:18" ht="12.75" hidden="1">
      <c r="A2690" s="2114"/>
      <c r="B2690" s="568" t="s">
        <v>3664</v>
      </c>
      <c r="C2690" s="568"/>
      <c r="D2690" s="568"/>
      <c r="E2690" s="188"/>
      <c r="F2690" s="188"/>
      <c r="G2690" s="2122"/>
      <c r="H2690" s="2135">
        <f>H2682</f>
        <v>7.4999999999999997E-2</v>
      </c>
      <c r="I2690" s="2134">
        <f>K2689</f>
        <v>60.13</v>
      </c>
      <c r="J2690" s="2134"/>
      <c r="K2690" s="2123">
        <f>ROUND(I2690*H2690,2)</f>
        <v>4.51</v>
      </c>
      <c r="L2690" s="568"/>
      <c r="M2690" s="568"/>
      <c r="O2690" s="1991"/>
      <c r="P2690" s="1706"/>
      <c r="R2690" s="1706"/>
    </row>
    <row r="2691" spans="1:18" ht="12.75" hidden="1">
      <c r="A2691" s="2114"/>
      <c r="B2691" s="568" t="s">
        <v>3665</v>
      </c>
      <c r="C2691" s="568"/>
      <c r="D2691" s="568"/>
      <c r="E2691" s="188"/>
      <c r="F2691" s="188"/>
      <c r="G2691" s="2122"/>
      <c r="H2691" s="2135">
        <f>H2690</f>
        <v>7.4999999999999997E-2</v>
      </c>
      <c r="I2691" s="2134">
        <f>I2690</f>
        <v>60.13</v>
      </c>
      <c r="J2691" s="2134"/>
      <c r="K2691" s="2123">
        <f>ROUND(I2691*H2691,2)</f>
        <v>4.51</v>
      </c>
      <c r="L2691" s="568"/>
      <c r="M2691" s="568"/>
      <c r="O2691" s="1991"/>
      <c r="P2691" s="1706"/>
      <c r="R2691" s="1706"/>
    </row>
    <row r="2692" spans="1:18" ht="12.75" hidden="1">
      <c r="A2692" s="2114"/>
      <c r="B2692" s="568"/>
      <c r="C2692" s="568"/>
      <c r="D2692" s="568"/>
      <c r="E2692" s="188"/>
      <c r="F2692" s="188"/>
      <c r="G2692" s="2122"/>
      <c r="H2692" s="568"/>
      <c r="I2692" s="2118"/>
      <c r="J2692" s="2124"/>
      <c r="K2692" s="2123">
        <f>SUM(K2688:K2691)</f>
        <v>800.82999999999993</v>
      </c>
      <c r="L2692" s="568" t="str">
        <f>L2688</f>
        <v>Per Sqm</v>
      </c>
      <c r="M2692" s="568"/>
      <c r="O2692" s="1991">
        <f>K2692-O2689</f>
        <v>393.78999999999991</v>
      </c>
      <c r="P2692" s="1706" t="s">
        <v>26</v>
      </c>
      <c r="R2692" s="1706"/>
    </row>
    <row r="2693" spans="1:18" ht="12.75" hidden="1">
      <c r="A2693" s="2114"/>
      <c r="B2693" s="192" t="s">
        <v>3738</v>
      </c>
      <c r="C2693" s="2142">
        <v>0.01</v>
      </c>
      <c r="D2693" s="568"/>
      <c r="E2693" s="188"/>
      <c r="F2693" s="188"/>
      <c r="G2693" s="2122"/>
      <c r="H2693" s="568"/>
      <c r="I2693" s="2118"/>
      <c r="J2693" s="2134"/>
      <c r="K2693" s="2123">
        <f>ROUND(K2692*C2693,2)</f>
        <v>8.01</v>
      </c>
      <c r="L2693" s="568"/>
      <c r="M2693" s="568"/>
      <c r="O2693" s="1991"/>
      <c r="P2693" s="1706"/>
      <c r="R2693" s="1706"/>
    </row>
    <row r="2694" spans="1:18" ht="12.75" hidden="1">
      <c r="A2694" s="2114"/>
      <c r="B2694" s="568"/>
      <c r="C2694" s="568"/>
      <c r="D2694" s="568"/>
      <c r="E2694" s="188"/>
      <c r="F2694" s="188"/>
      <c r="G2694" s="2122"/>
      <c r="H2694" s="568"/>
      <c r="I2694" s="2118"/>
      <c r="J2694" s="2124" t="s">
        <v>839</v>
      </c>
      <c r="K2694" s="2124">
        <f>SUM(K2692:K2693)</f>
        <v>808.83999999999992</v>
      </c>
      <c r="L2694" s="192" t="s">
        <v>730</v>
      </c>
      <c r="M2694" s="568"/>
      <c r="R2694" s="1706"/>
    </row>
    <row r="2695" spans="1:18" ht="12.75" hidden="1">
      <c r="A2695" s="2114" t="str">
        <f>A490</f>
        <v>(iv)</v>
      </c>
      <c r="B2695" s="192" t="str">
        <f>B490</f>
        <v>Third Floor</v>
      </c>
      <c r="C2695" s="568"/>
      <c r="D2695" s="568"/>
      <c r="E2695" s="188"/>
      <c r="F2695" s="188"/>
      <c r="G2695" s="2122"/>
      <c r="H2695" s="568"/>
      <c r="I2695" s="2118"/>
      <c r="J2695" s="2123"/>
      <c r="K2695" s="2123"/>
      <c r="L2695" s="192"/>
      <c r="M2695" s="568"/>
    </row>
    <row r="2696" spans="1:18" ht="12.75" hidden="1">
      <c r="A2696" s="2114"/>
      <c r="B2696" s="568" t="str">
        <f>B2654</f>
        <v>Rtae as 1st floor</v>
      </c>
      <c r="C2696" s="568"/>
      <c r="D2696" s="568"/>
      <c r="E2696" s="188"/>
      <c r="F2696" s="188"/>
      <c r="G2696" s="2122"/>
      <c r="H2696" s="568"/>
      <c r="I2696" s="2118"/>
      <c r="J2696" s="2124"/>
      <c r="K2696" s="2123">
        <f>K2692</f>
        <v>800.82999999999993</v>
      </c>
      <c r="L2696" s="568" t="str">
        <f>L2694</f>
        <v>Per Sqm</v>
      </c>
      <c r="M2696" s="568"/>
      <c r="R2696" s="1706"/>
    </row>
    <row r="2697" spans="1:18" ht="12.75" hidden="1">
      <c r="A2697" s="2114"/>
      <c r="B2697" s="568" t="str">
        <f>B2655</f>
        <v>Add @ 20% extra for 2nd floor</v>
      </c>
      <c r="C2697" s="568"/>
      <c r="D2697" s="568"/>
      <c r="E2697" s="188"/>
      <c r="F2697" s="188"/>
      <c r="G2697" s="2122"/>
      <c r="H2697" s="2125">
        <v>0.2</v>
      </c>
      <c r="I2697" s="2134">
        <f>I2689+K2689</f>
        <v>360.79555555555555</v>
      </c>
      <c r="J2697" s="2124"/>
      <c r="K2697" s="2124">
        <f>ROUND(I2697*H2697,2)</f>
        <v>72.16</v>
      </c>
      <c r="L2697" s="568" t="str">
        <f>L2696</f>
        <v>Per Sqm</v>
      </c>
      <c r="M2697" s="568"/>
      <c r="O2697" s="1991">
        <f>O2689+K2697</f>
        <v>479.20000000000005</v>
      </c>
      <c r="P2697" s="1706" t="s">
        <v>3149</v>
      </c>
      <c r="R2697" s="1706"/>
    </row>
    <row r="2698" spans="1:18" ht="12.75" hidden="1">
      <c r="A2698" s="2114"/>
      <c r="B2698" s="568" t="s">
        <v>3664</v>
      </c>
      <c r="C2698" s="568"/>
      <c r="D2698" s="568"/>
      <c r="E2698" s="188"/>
      <c r="F2698" s="188"/>
      <c r="G2698" s="2122"/>
      <c r="H2698" s="2135">
        <f>H2690</f>
        <v>7.4999999999999997E-2</v>
      </c>
      <c r="I2698" s="2134">
        <f>K2697</f>
        <v>72.16</v>
      </c>
      <c r="J2698" s="2134"/>
      <c r="K2698" s="2123">
        <f>ROUND(I2698*H2698,2)</f>
        <v>5.41</v>
      </c>
      <c r="L2698" s="568"/>
      <c r="M2698" s="568"/>
      <c r="O2698" s="1991"/>
      <c r="P2698" s="1706"/>
      <c r="R2698" s="1706"/>
    </row>
    <row r="2699" spans="1:18" ht="12.75" hidden="1">
      <c r="A2699" s="2114"/>
      <c r="B2699" s="568" t="s">
        <v>3665</v>
      </c>
      <c r="C2699" s="568"/>
      <c r="D2699" s="568"/>
      <c r="E2699" s="188"/>
      <c r="F2699" s="188"/>
      <c r="G2699" s="2122"/>
      <c r="H2699" s="2135">
        <f>H2698</f>
        <v>7.4999999999999997E-2</v>
      </c>
      <c r="I2699" s="2134">
        <f>I2698</f>
        <v>72.16</v>
      </c>
      <c r="J2699" s="2134"/>
      <c r="K2699" s="2123">
        <f>ROUND(I2699*H2699,2)</f>
        <v>5.41</v>
      </c>
      <c r="L2699" s="568"/>
      <c r="M2699" s="568"/>
      <c r="O2699" s="1991"/>
      <c r="P2699" s="1706"/>
      <c r="R2699" s="1706"/>
    </row>
    <row r="2700" spans="1:18" ht="12.75" hidden="1">
      <c r="A2700" s="2114"/>
      <c r="B2700" s="568"/>
      <c r="C2700" s="568"/>
      <c r="D2700" s="568"/>
      <c r="E2700" s="188"/>
      <c r="F2700" s="188"/>
      <c r="G2700" s="2122"/>
      <c r="H2700" s="568"/>
      <c r="I2700" s="2118"/>
      <c r="J2700" s="2124"/>
      <c r="K2700" s="2123">
        <f>SUM(K2696:K2699)</f>
        <v>883.80999999999983</v>
      </c>
      <c r="L2700" s="568" t="str">
        <f>L2696</f>
        <v>Per Sqm</v>
      </c>
      <c r="M2700" s="568"/>
      <c r="O2700" s="1991">
        <f>K2700-O2697</f>
        <v>404.60999999999979</v>
      </c>
      <c r="P2700" s="1706" t="s">
        <v>26</v>
      </c>
      <c r="R2700" s="1706"/>
    </row>
    <row r="2701" spans="1:18" ht="12.75" hidden="1">
      <c r="A2701" s="2114"/>
      <c r="B2701" s="192" t="s">
        <v>3738</v>
      </c>
      <c r="C2701" s="2142">
        <v>0.01</v>
      </c>
      <c r="D2701" s="568"/>
      <c r="E2701" s="188"/>
      <c r="F2701" s="188"/>
      <c r="G2701" s="2122"/>
      <c r="H2701" s="568"/>
      <c r="I2701" s="2118"/>
      <c r="J2701" s="2134"/>
      <c r="K2701" s="2123">
        <f>ROUND(K2700*C2701,2)</f>
        <v>8.84</v>
      </c>
      <c r="L2701" s="568"/>
      <c r="M2701" s="568"/>
      <c r="O2701" s="1991"/>
      <c r="P2701" s="1706"/>
      <c r="R2701" s="1706"/>
    </row>
    <row r="2702" spans="1:18" ht="12.75" hidden="1">
      <c r="A2702" s="2114"/>
      <c r="B2702" s="568"/>
      <c r="C2702" s="568"/>
      <c r="D2702" s="568"/>
      <c r="E2702" s="188"/>
      <c r="F2702" s="188"/>
      <c r="G2702" s="2122"/>
      <c r="H2702" s="568"/>
      <c r="I2702" s="2118"/>
      <c r="J2702" s="2124" t="s">
        <v>839</v>
      </c>
      <c r="K2702" s="2124">
        <f>SUM(K2700:K2701)</f>
        <v>892.64999999999986</v>
      </c>
      <c r="L2702" s="192" t="s">
        <v>730</v>
      </c>
      <c r="M2702" s="568"/>
      <c r="R2702" s="1706"/>
    </row>
    <row r="2703" spans="1:18" ht="12.75">
      <c r="A2703" s="2114" t="s">
        <v>867</v>
      </c>
      <c r="B2703" s="192" t="s">
        <v>868</v>
      </c>
      <c r="C2703" s="568"/>
      <c r="D2703" s="568"/>
      <c r="E2703" s="188" t="s">
        <v>38</v>
      </c>
      <c r="F2703" s="188"/>
      <c r="G2703" s="2122"/>
      <c r="H2703" s="568"/>
      <c r="I2703" s="2118"/>
      <c r="J2703" s="2123"/>
      <c r="K2703" s="2123"/>
      <c r="L2703" s="192"/>
      <c r="M2703" s="568"/>
    </row>
    <row r="2704" spans="1:18" ht="12.75">
      <c r="A2704" s="2114"/>
      <c r="B2704" s="568"/>
      <c r="C2704" s="568"/>
      <c r="D2704" s="568"/>
      <c r="E2704" s="188" t="s">
        <v>92</v>
      </c>
      <c r="F2704" s="188"/>
      <c r="G2704" s="2122"/>
      <c r="H2704" s="568"/>
      <c r="I2704" s="2118"/>
      <c r="J2704" s="2123"/>
      <c r="K2704" s="2123"/>
      <c r="L2704" s="192"/>
      <c r="M2704" s="568"/>
    </row>
    <row r="2705" spans="1:13" ht="12.75">
      <c r="A2705" s="2114"/>
      <c r="B2705" s="192" t="s">
        <v>869</v>
      </c>
      <c r="C2705" s="568"/>
      <c r="D2705" s="568"/>
      <c r="E2705" s="188"/>
      <c r="F2705" s="188"/>
      <c r="G2705" s="2122"/>
      <c r="H2705" s="568"/>
      <c r="I2705" s="2118"/>
      <c r="J2705" s="2123"/>
      <c r="K2705" s="2123"/>
      <c r="L2705" s="192"/>
      <c r="M2705" s="568"/>
    </row>
    <row r="2706" spans="1:13" ht="12.75">
      <c r="A2706" s="2114" t="s">
        <v>201</v>
      </c>
      <c r="B2706" s="192" t="s">
        <v>26</v>
      </c>
      <c r="C2706" s="568"/>
      <c r="D2706" s="568"/>
      <c r="E2706" s="188"/>
      <c r="F2706" s="188"/>
      <c r="G2706" s="2122"/>
      <c r="H2706" s="568"/>
      <c r="I2706" s="2118"/>
      <c r="J2706" s="2123"/>
      <c r="K2706" s="2123"/>
      <c r="L2706" s="192"/>
      <c r="M2706" s="568"/>
    </row>
    <row r="2707" spans="1:13" ht="12.75">
      <c r="A2707" s="2114"/>
      <c r="B2707" s="568" t="s">
        <v>865</v>
      </c>
      <c r="C2707" s="568"/>
      <c r="D2707" s="568"/>
      <c r="E2707" s="188"/>
      <c r="F2707" s="188"/>
      <c r="G2707" s="2122">
        <v>3.9E-2</v>
      </c>
      <c r="H2707" s="568" t="s">
        <v>49</v>
      </c>
      <c r="I2707" s="2118" t="s">
        <v>49</v>
      </c>
      <c r="J2707" s="2123">
        <f>G77</f>
        <v>58374.79</v>
      </c>
      <c r="K2707" s="2123">
        <f>ROUND(G2707*J2707,2)</f>
        <v>2276.62</v>
      </c>
      <c r="L2707" s="192"/>
      <c r="M2707" s="568"/>
    </row>
    <row r="2708" spans="1:13" ht="12.75">
      <c r="A2708" s="2114"/>
      <c r="B2708" s="568" t="s">
        <v>866</v>
      </c>
      <c r="C2708" s="568"/>
      <c r="D2708" s="568"/>
      <c r="E2708" s="188"/>
      <c r="F2708" s="188"/>
      <c r="G2708" s="2122">
        <v>0.22800000000000001</v>
      </c>
      <c r="H2708" s="568" t="s">
        <v>49</v>
      </c>
      <c r="I2708" s="2118" t="s">
        <v>49</v>
      </c>
      <c r="J2708" s="2123">
        <f>G70</f>
        <v>58374.79</v>
      </c>
      <c r="K2708" s="2123">
        <f>ROUND(G2708*J2708,2)</f>
        <v>13309.45</v>
      </c>
      <c r="L2708" s="192"/>
      <c r="M2708" s="568"/>
    </row>
    <row r="2709" spans="1:13" ht="12.75">
      <c r="A2709" s="2114"/>
      <c r="B2709" s="568" t="s">
        <v>870</v>
      </c>
      <c r="C2709" s="568"/>
      <c r="D2709" s="568"/>
      <c r="E2709" s="188"/>
      <c r="F2709" s="188"/>
      <c r="G2709" s="2122">
        <v>6.5</v>
      </c>
      <c r="H2709" s="568" t="s">
        <v>136</v>
      </c>
      <c r="I2709" s="2118" t="s">
        <v>136</v>
      </c>
      <c r="J2709" s="2123">
        <f>G74</f>
        <v>41.81</v>
      </c>
      <c r="K2709" s="2123">
        <f>ROUND(G2709*J2709,2)</f>
        <v>271.77</v>
      </c>
      <c r="L2709" s="192"/>
      <c r="M2709" s="568"/>
    </row>
    <row r="2710" spans="1:13" ht="12.75">
      <c r="A2710" s="2114"/>
      <c r="B2710" s="568" t="s">
        <v>855</v>
      </c>
      <c r="C2710" s="568"/>
      <c r="D2710" s="568"/>
      <c r="E2710" s="188"/>
      <c r="F2710" s="188"/>
      <c r="G2710" s="2122">
        <v>0.35</v>
      </c>
      <c r="H2710" s="568" t="s">
        <v>49</v>
      </c>
      <c r="I2710" s="2118" t="s">
        <v>49</v>
      </c>
      <c r="J2710" s="2123">
        <f>J2665</f>
        <v>340.976</v>
      </c>
      <c r="K2710" s="2123">
        <f>ROUND(G2710*J2710,2)</f>
        <v>119.34</v>
      </c>
      <c r="L2710" s="192"/>
      <c r="M2710" s="568"/>
    </row>
    <row r="2711" spans="1:13" ht="12.75">
      <c r="A2711" s="2114"/>
      <c r="B2711" s="568"/>
      <c r="C2711" s="568"/>
      <c r="D2711" s="568"/>
      <c r="E2711" s="188"/>
      <c r="F2711" s="188"/>
      <c r="G2711" s="2122"/>
      <c r="H2711" s="568"/>
      <c r="I2711" s="2118"/>
      <c r="J2711" s="2134" t="s">
        <v>718</v>
      </c>
      <c r="K2711" s="2123">
        <f>SUM(K2707:K2710)</f>
        <v>15977.18</v>
      </c>
      <c r="L2711" s="192"/>
      <c r="M2711" s="568"/>
    </row>
    <row r="2712" spans="1:13" ht="12.75">
      <c r="A2712" s="2114"/>
      <c r="B2712" s="568" t="s">
        <v>856</v>
      </c>
      <c r="C2712" s="568"/>
      <c r="D2712" s="568"/>
      <c r="E2712" s="188"/>
      <c r="F2712" s="188"/>
      <c r="G2712" s="2122"/>
      <c r="H2712" s="568"/>
      <c r="I2712" s="2118"/>
      <c r="J2712" s="2123"/>
      <c r="K2712" s="2123">
        <f>K2711/10</f>
        <v>1597.7180000000001</v>
      </c>
      <c r="L2712" s="192"/>
      <c r="M2712" s="568"/>
    </row>
    <row r="2713" spans="1:13" ht="12.75">
      <c r="A2713" s="2114" t="s">
        <v>220</v>
      </c>
      <c r="B2713" s="192" t="s">
        <v>2</v>
      </c>
      <c r="C2713" s="568"/>
      <c r="D2713" s="568"/>
      <c r="E2713" s="188"/>
      <c r="F2713" s="188"/>
      <c r="G2713" s="2122"/>
      <c r="H2713" s="568"/>
      <c r="I2713" s="2118"/>
      <c r="J2713" s="2123"/>
      <c r="K2713" s="2123"/>
      <c r="L2713" s="192"/>
      <c r="M2713" s="568"/>
    </row>
    <row r="2714" spans="1:13" ht="12.75">
      <c r="A2714" s="2114"/>
      <c r="B2714" s="568" t="s">
        <v>742</v>
      </c>
      <c r="C2714" s="568"/>
      <c r="D2714" s="568"/>
      <c r="E2714" s="188"/>
      <c r="F2714" s="188"/>
      <c r="G2714" s="2122">
        <v>2.75</v>
      </c>
      <c r="H2714" s="568" t="s">
        <v>262</v>
      </c>
      <c r="I2714" s="2118" t="s">
        <v>38</v>
      </c>
      <c r="J2714" s="2123">
        <f>L136</f>
        <v>435</v>
      </c>
      <c r="K2714" s="2123">
        <f>ROUND(G2714*J2714,2)</f>
        <v>1196.25</v>
      </c>
      <c r="L2714" s="192"/>
      <c r="M2714" s="568"/>
    </row>
    <row r="2715" spans="1:13" ht="12.75">
      <c r="A2715" s="2114"/>
      <c r="B2715" s="568" t="s">
        <v>858</v>
      </c>
      <c r="C2715" s="568"/>
      <c r="D2715" s="568"/>
      <c r="E2715" s="188"/>
      <c r="F2715" s="188"/>
      <c r="G2715" s="2122">
        <v>2.75</v>
      </c>
      <c r="H2715" s="568" t="s">
        <v>262</v>
      </c>
      <c r="I2715" s="2118" t="s">
        <v>38</v>
      </c>
      <c r="J2715" s="2123">
        <f>L135</f>
        <v>385</v>
      </c>
      <c r="K2715" s="2123">
        <f>ROUND(G2715*J2715,2)</f>
        <v>1058.75</v>
      </c>
      <c r="L2715" s="192"/>
      <c r="M2715" s="568"/>
    </row>
    <row r="2716" spans="1:13" ht="12.75">
      <c r="A2716" s="2114"/>
      <c r="B2716" s="568"/>
      <c r="C2716" s="568"/>
      <c r="D2716" s="568"/>
      <c r="E2716" s="188"/>
      <c r="F2716" s="188"/>
      <c r="G2716" s="2122"/>
      <c r="H2716" s="568"/>
      <c r="I2716" s="2118"/>
      <c r="J2716" s="2134" t="s">
        <v>718</v>
      </c>
      <c r="K2716" s="2123">
        <f>SUM(K2714:K2715)</f>
        <v>2255</v>
      </c>
      <c r="L2716" s="192"/>
      <c r="M2716" s="568"/>
    </row>
    <row r="2717" spans="1:13" ht="12.75">
      <c r="A2717" s="2114"/>
      <c r="B2717" s="568"/>
      <c r="C2717" s="568"/>
      <c r="D2717" s="568"/>
      <c r="E2717" s="188"/>
      <c r="F2717" s="188"/>
      <c r="G2717" s="2122"/>
      <c r="H2717" s="568"/>
      <c r="I2717" s="2118"/>
      <c r="J2717" s="2134"/>
      <c r="K2717" s="2123">
        <f>K2716+K2712</f>
        <v>3852.7179999999998</v>
      </c>
      <c r="L2717" s="192"/>
      <c r="M2717" s="568"/>
    </row>
    <row r="2718" spans="1:13" ht="12.75">
      <c r="A2718" s="2114"/>
      <c r="B2718" s="568" t="s">
        <v>3664</v>
      </c>
      <c r="C2718" s="568"/>
      <c r="D2718" s="568"/>
      <c r="E2718" s="188"/>
      <c r="F2718" s="188"/>
      <c r="G2718" s="2122"/>
      <c r="H2718" s="2135">
        <f>H2699</f>
        <v>7.4999999999999997E-2</v>
      </c>
      <c r="I2718" s="2134">
        <f>K2717</f>
        <v>3852.7179999999998</v>
      </c>
      <c r="J2718" s="2134"/>
      <c r="K2718" s="2123">
        <f>ROUND(I2718*H2718,2)</f>
        <v>288.95</v>
      </c>
      <c r="L2718" s="192"/>
      <c r="M2718" s="568"/>
    </row>
    <row r="2719" spans="1:13" ht="12.75">
      <c r="A2719" s="2114"/>
      <c r="B2719" s="568" t="s">
        <v>3665</v>
      </c>
      <c r="C2719" s="568"/>
      <c r="D2719" s="568"/>
      <c r="E2719" s="188"/>
      <c r="F2719" s="188"/>
      <c r="G2719" s="2122"/>
      <c r="H2719" s="2135">
        <f>H2718</f>
        <v>7.4999999999999997E-2</v>
      </c>
      <c r="I2719" s="2134">
        <f>I2718</f>
        <v>3852.7179999999998</v>
      </c>
      <c r="J2719" s="2134"/>
      <c r="K2719" s="2123">
        <f>ROUND(I2719*H2719,2)</f>
        <v>288.95</v>
      </c>
      <c r="L2719" s="192"/>
      <c r="M2719" s="568"/>
    </row>
    <row r="2720" spans="1:13" ht="12.75">
      <c r="A2720" s="2114"/>
      <c r="B2720" s="568"/>
      <c r="C2720" s="568"/>
      <c r="D2720" s="568"/>
      <c r="E2720" s="188"/>
      <c r="F2720" s="188"/>
      <c r="G2720" s="2122"/>
      <c r="H2720" s="568"/>
      <c r="I2720" s="2118"/>
      <c r="J2720" s="2134"/>
      <c r="K2720" s="2123"/>
      <c r="L2720" s="192"/>
      <c r="M2720" s="568"/>
    </row>
    <row r="2721" spans="1:19" ht="12.75">
      <c r="A2721" s="2114"/>
      <c r="B2721" s="568"/>
      <c r="C2721" s="568"/>
      <c r="D2721" s="568"/>
      <c r="E2721" s="188"/>
      <c r="F2721" s="188"/>
      <c r="G2721" s="2122"/>
      <c r="H2721" s="568"/>
      <c r="I2721" s="2118"/>
      <c r="J2721" s="2134" t="s">
        <v>718</v>
      </c>
      <c r="K2721" s="2123">
        <f>SUM(K2717:K2720)</f>
        <v>4430.6179999999995</v>
      </c>
      <c r="L2721" s="192"/>
      <c r="M2721" s="568"/>
      <c r="O2721" s="1991">
        <f>ROUND(K2716/5,2)</f>
        <v>451</v>
      </c>
      <c r="P2721" s="1706" t="s">
        <v>3149</v>
      </c>
    </row>
    <row r="2722" spans="1:19" ht="12.75">
      <c r="A2722" s="2114"/>
      <c r="B2722" s="568" t="s">
        <v>859</v>
      </c>
      <c r="C2722" s="568"/>
      <c r="D2722" s="568"/>
      <c r="E2722" s="188"/>
      <c r="F2722" s="188"/>
      <c r="G2722" s="2122"/>
      <c r="H2722" s="568"/>
      <c r="I2722" s="2118"/>
      <c r="J2722" s="2123"/>
      <c r="K2722" s="2123">
        <f>ROUND(K2721/5,2)</f>
        <v>886.12</v>
      </c>
      <c r="L2722" s="192"/>
      <c r="M2722" s="568"/>
      <c r="O2722" s="1991">
        <f>K2722-O2721</f>
        <v>435.12</v>
      </c>
      <c r="P2722" s="1706" t="s">
        <v>26</v>
      </c>
    </row>
    <row r="2723" spans="1:19" ht="12.75">
      <c r="A2723" s="2114"/>
      <c r="B2723" s="192" t="s">
        <v>3738</v>
      </c>
      <c r="C2723" s="2142">
        <v>0.01</v>
      </c>
      <c r="D2723" s="568"/>
      <c r="E2723" s="188"/>
      <c r="F2723" s="188"/>
      <c r="G2723" s="2122"/>
      <c r="H2723" s="568"/>
      <c r="I2723" s="2118"/>
      <c r="J2723" s="2134"/>
      <c r="K2723" s="2123">
        <f>ROUND(K2722*C2723,2)</f>
        <v>8.86</v>
      </c>
      <c r="L2723" s="192"/>
      <c r="M2723" s="568"/>
      <c r="O2723" s="1991"/>
      <c r="P2723" s="1706"/>
    </row>
    <row r="2724" spans="1:19" ht="12.75">
      <c r="A2724" s="2114"/>
      <c r="B2724" s="568"/>
      <c r="C2724" s="568"/>
      <c r="D2724" s="568"/>
      <c r="E2724" s="188"/>
      <c r="F2724" s="188"/>
      <c r="G2724" s="2122"/>
      <c r="H2724" s="568"/>
      <c r="I2724" s="2118"/>
      <c r="J2724" s="2124" t="s">
        <v>839</v>
      </c>
      <c r="K2724" s="2124">
        <f>SUM(K2722:K2723)</f>
        <v>894.98</v>
      </c>
      <c r="L2724" s="192" t="s">
        <v>730</v>
      </c>
      <c r="M2724" s="568"/>
      <c r="R2724" s="1706">
        <f>K2722/1.1</f>
        <v>805.56363636363631</v>
      </c>
      <c r="S2724" s="1705">
        <f>R2724*1.2</f>
        <v>966.67636363636348</v>
      </c>
    </row>
    <row r="2725" spans="1:19" ht="12.75" hidden="1">
      <c r="A2725" s="2114" t="str">
        <f>A493</f>
        <v>(ii)</v>
      </c>
      <c r="B2725" s="192" t="str">
        <f>B493</f>
        <v>First Floor</v>
      </c>
      <c r="C2725" s="568"/>
      <c r="D2725" s="568"/>
      <c r="E2725" s="188"/>
      <c r="F2725" s="188"/>
      <c r="G2725" s="2122"/>
      <c r="H2725" s="568"/>
      <c r="I2725" s="2118"/>
      <c r="J2725" s="2123"/>
      <c r="K2725" s="2123"/>
      <c r="L2725" s="192"/>
      <c r="M2725" s="568"/>
    </row>
    <row r="2726" spans="1:19" ht="12.75" hidden="1">
      <c r="A2726" s="2114"/>
      <c r="B2726" s="568" t="s">
        <v>861</v>
      </c>
      <c r="C2726" s="568"/>
      <c r="D2726" s="568"/>
      <c r="E2726" s="188"/>
      <c r="F2726" s="188"/>
      <c r="G2726" s="2122"/>
      <c r="H2726" s="568"/>
      <c r="I2726" s="2118"/>
      <c r="J2726" s="2124"/>
      <c r="K2726" s="2123">
        <f>K2722</f>
        <v>886.12</v>
      </c>
      <c r="L2726" s="568" t="str">
        <f>L2724</f>
        <v>Per Sqm</v>
      </c>
      <c r="M2726" s="568"/>
      <c r="R2726" s="1706"/>
    </row>
    <row r="2727" spans="1:19" ht="12.75" hidden="1">
      <c r="A2727" s="2114"/>
      <c r="B2727" s="568" t="s">
        <v>862</v>
      </c>
      <c r="C2727" s="568"/>
      <c r="D2727" s="568"/>
      <c r="E2727" s="188"/>
      <c r="F2727" s="188"/>
      <c r="G2727" s="2122"/>
      <c r="H2727" s="2125">
        <v>0.2</v>
      </c>
      <c r="I2727" s="2134">
        <f>K2716/5</f>
        <v>451</v>
      </c>
      <c r="J2727" s="2124"/>
      <c r="K2727" s="2124">
        <f>ROUND(I2727*H2727,2)</f>
        <v>90.2</v>
      </c>
      <c r="L2727" s="568" t="str">
        <f>L2726</f>
        <v>Per Sqm</v>
      </c>
      <c r="M2727" s="568"/>
      <c r="O2727" s="1991">
        <f>O2721+K2727</f>
        <v>541.20000000000005</v>
      </c>
      <c r="P2727" s="1706" t="s">
        <v>3149</v>
      </c>
      <c r="R2727" s="1706"/>
    </row>
    <row r="2728" spans="1:19" ht="12.75" hidden="1">
      <c r="A2728" s="2114"/>
      <c r="B2728" s="568" t="s">
        <v>3664</v>
      </c>
      <c r="C2728" s="568"/>
      <c r="D2728" s="568"/>
      <c r="E2728" s="188"/>
      <c r="F2728" s="188"/>
      <c r="G2728" s="2122"/>
      <c r="H2728" s="2135">
        <f>H2719</f>
        <v>7.4999999999999997E-2</v>
      </c>
      <c r="I2728" s="2134">
        <f>K2727</f>
        <v>90.2</v>
      </c>
      <c r="J2728" s="2134"/>
      <c r="K2728" s="2123">
        <f>ROUND(I2728*H2728,2)</f>
        <v>6.77</v>
      </c>
      <c r="L2728" s="568"/>
      <c r="M2728" s="568"/>
      <c r="O2728" s="1991"/>
      <c r="P2728" s="1706"/>
      <c r="R2728" s="1706"/>
    </row>
    <row r="2729" spans="1:19" ht="12.75" hidden="1">
      <c r="A2729" s="2114"/>
      <c r="B2729" s="568" t="s">
        <v>3665</v>
      </c>
      <c r="C2729" s="568"/>
      <c r="D2729" s="568"/>
      <c r="E2729" s="188"/>
      <c r="F2729" s="188"/>
      <c r="G2729" s="2122"/>
      <c r="H2729" s="2135">
        <f>H2728</f>
        <v>7.4999999999999997E-2</v>
      </c>
      <c r="I2729" s="2134">
        <f>I2728</f>
        <v>90.2</v>
      </c>
      <c r="J2729" s="2134"/>
      <c r="K2729" s="2123">
        <f>ROUND(I2729*H2729,2)</f>
        <v>6.77</v>
      </c>
      <c r="L2729" s="568"/>
      <c r="M2729" s="568"/>
      <c r="O2729" s="1991"/>
      <c r="P2729" s="1706"/>
      <c r="R2729" s="1706"/>
    </row>
    <row r="2730" spans="1:19" ht="12.75" hidden="1">
      <c r="A2730" s="2114"/>
      <c r="B2730" s="568"/>
      <c r="C2730" s="568"/>
      <c r="D2730" s="568"/>
      <c r="E2730" s="188"/>
      <c r="F2730" s="188"/>
      <c r="G2730" s="2122"/>
      <c r="H2730" s="568"/>
      <c r="I2730" s="2118"/>
      <c r="J2730" s="2124"/>
      <c r="K2730" s="2123">
        <f>SUM(K2726:K2729)</f>
        <v>989.86</v>
      </c>
      <c r="L2730" s="568" t="str">
        <f>L2726</f>
        <v>Per Sqm</v>
      </c>
      <c r="M2730" s="568"/>
      <c r="O2730" s="1991">
        <f>K2730-O2727</f>
        <v>448.65999999999997</v>
      </c>
      <c r="P2730" s="1706" t="s">
        <v>26</v>
      </c>
      <c r="R2730" s="1706"/>
    </row>
    <row r="2731" spans="1:19" ht="12.75" hidden="1">
      <c r="A2731" s="2114"/>
      <c r="B2731" s="192" t="s">
        <v>3738</v>
      </c>
      <c r="C2731" s="2142">
        <v>0.01</v>
      </c>
      <c r="D2731" s="568"/>
      <c r="E2731" s="188"/>
      <c r="F2731" s="188"/>
      <c r="G2731" s="2122"/>
      <c r="H2731" s="568"/>
      <c r="I2731" s="2118"/>
      <c r="J2731" s="2134"/>
      <c r="K2731" s="2123">
        <f>ROUND(K2730*C2731,2)</f>
        <v>9.9</v>
      </c>
      <c r="L2731" s="568"/>
      <c r="M2731" s="568"/>
      <c r="O2731" s="1991"/>
      <c r="P2731" s="1706"/>
      <c r="R2731" s="1706"/>
    </row>
    <row r="2732" spans="1:19" ht="12.75" hidden="1">
      <c r="A2732" s="2114"/>
      <c r="B2732" s="568"/>
      <c r="C2732" s="568"/>
      <c r="D2732" s="568"/>
      <c r="E2732" s="188"/>
      <c r="F2732" s="188"/>
      <c r="G2732" s="2122"/>
      <c r="H2732" s="568"/>
      <c r="I2732" s="2118"/>
      <c r="J2732" s="2124" t="s">
        <v>839</v>
      </c>
      <c r="K2732" s="2124">
        <f>SUM(K2730:K2731)</f>
        <v>999.76</v>
      </c>
      <c r="L2732" s="192" t="s">
        <v>730</v>
      </c>
      <c r="M2732" s="568"/>
      <c r="R2732" s="1706"/>
    </row>
    <row r="2733" spans="1:19" ht="12.75" hidden="1">
      <c r="A2733" s="2114" t="str">
        <f>A494</f>
        <v>(iii)</v>
      </c>
      <c r="B2733" s="192" t="str">
        <f>B494</f>
        <v>Second Floor</v>
      </c>
      <c r="C2733" s="568"/>
      <c r="D2733" s="568"/>
      <c r="E2733" s="188"/>
      <c r="F2733" s="188"/>
      <c r="G2733" s="2122"/>
      <c r="H2733" s="568"/>
      <c r="I2733" s="2118"/>
      <c r="J2733" s="2123"/>
      <c r="K2733" s="2123"/>
      <c r="L2733" s="192"/>
      <c r="M2733" s="568"/>
    </row>
    <row r="2734" spans="1:19" ht="12.75" hidden="1">
      <c r="A2734" s="2114"/>
      <c r="B2734" s="568" t="str">
        <f>B2688</f>
        <v>Rtae as 1st floor</v>
      </c>
      <c r="C2734" s="568"/>
      <c r="D2734" s="568"/>
      <c r="E2734" s="188"/>
      <c r="F2734" s="188"/>
      <c r="G2734" s="2122"/>
      <c r="H2734" s="568"/>
      <c r="I2734" s="2118"/>
      <c r="J2734" s="2124"/>
      <c r="K2734" s="2123">
        <f>K2730</f>
        <v>989.86</v>
      </c>
      <c r="L2734" s="568" t="str">
        <f>L2732</f>
        <v>Per Sqm</v>
      </c>
      <c r="M2734" s="568"/>
      <c r="R2734" s="1706"/>
    </row>
    <row r="2735" spans="1:19" ht="12.75" hidden="1">
      <c r="A2735" s="2114"/>
      <c r="B2735" s="568" t="str">
        <f>B2689</f>
        <v>Add @ 20% extra for 2nd floor</v>
      </c>
      <c r="C2735" s="568"/>
      <c r="D2735" s="568"/>
      <c r="E2735" s="188"/>
      <c r="F2735" s="188"/>
      <c r="G2735" s="2122"/>
      <c r="H2735" s="2125">
        <v>0.2</v>
      </c>
      <c r="I2735" s="2134">
        <f>I2727+K2727</f>
        <v>541.20000000000005</v>
      </c>
      <c r="J2735" s="2124"/>
      <c r="K2735" s="2124">
        <f>ROUND(I2735*H2735,2)</f>
        <v>108.24</v>
      </c>
      <c r="L2735" s="568" t="str">
        <f>L2734</f>
        <v>Per Sqm</v>
      </c>
      <c r="M2735" s="568"/>
      <c r="O2735" s="1991">
        <f>O2727+K2735</f>
        <v>649.44000000000005</v>
      </c>
      <c r="P2735" s="1706" t="s">
        <v>3149</v>
      </c>
      <c r="R2735" s="1706"/>
    </row>
    <row r="2736" spans="1:19" ht="12.75" hidden="1">
      <c r="A2736" s="2114"/>
      <c r="B2736" s="568" t="s">
        <v>3664</v>
      </c>
      <c r="C2736" s="568"/>
      <c r="D2736" s="568"/>
      <c r="E2736" s="188"/>
      <c r="F2736" s="188"/>
      <c r="G2736" s="2122"/>
      <c r="H2736" s="2135">
        <f>H2728</f>
        <v>7.4999999999999997E-2</v>
      </c>
      <c r="I2736" s="2134">
        <f>K2735</f>
        <v>108.24</v>
      </c>
      <c r="J2736" s="2134"/>
      <c r="K2736" s="2123">
        <f>ROUND(I2736*H2736,2)</f>
        <v>8.1199999999999992</v>
      </c>
      <c r="L2736" s="568"/>
      <c r="M2736" s="568"/>
      <c r="O2736" s="1991"/>
      <c r="P2736" s="1706"/>
      <c r="R2736" s="1706"/>
    </row>
    <row r="2737" spans="1:18" ht="12.75" hidden="1">
      <c r="A2737" s="2114"/>
      <c r="B2737" s="568" t="s">
        <v>3665</v>
      </c>
      <c r="C2737" s="568"/>
      <c r="D2737" s="568"/>
      <c r="E2737" s="188"/>
      <c r="F2737" s="188"/>
      <c r="G2737" s="2122"/>
      <c r="H2737" s="2135">
        <f>H2736</f>
        <v>7.4999999999999997E-2</v>
      </c>
      <c r="I2737" s="2134">
        <f>I2736</f>
        <v>108.24</v>
      </c>
      <c r="J2737" s="2134"/>
      <c r="K2737" s="2123">
        <f>ROUND(I2737*H2737,2)</f>
        <v>8.1199999999999992</v>
      </c>
      <c r="L2737" s="568"/>
      <c r="M2737" s="568"/>
      <c r="O2737" s="1991"/>
      <c r="P2737" s="1706"/>
      <c r="R2737" s="1706"/>
    </row>
    <row r="2738" spans="1:18" ht="12.75" hidden="1">
      <c r="A2738" s="2114"/>
      <c r="B2738" s="568"/>
      <c r="C2738" s="568"/>
      <c r="D2738" s="568"/>
      <c r="E2738" s="188"/>
      <c r="F2738" s="188"/>
      <c r="G2738" s="2122"/>
      <c r="H2738" s="568"/>
      <c r="I2738" s="2118"/>
      <c r="J2738" s="2124"/>
      <c r="K2738" s="2123">
        <f>SUM(K2734:K2737)</f>
        <v>1114.3399999999997</v>
      </c>
      <c r="L2738" s="568" t="str">
        <f>L2734</f>
        <v>Per Sqm</v>
      </c>
      <c r="M2738" s="568"/>
      <c r="O2738" s="1991">
        <f>K2738-O2735</f>
        <v>464.89999999999964</v>
      </c>
      <c r="P2738" s="1706" t="s">
        <v>26</v>
      </c>
      <c r="R2738" s="1706"/>
    </row>
    <row r="2739" spans="1:18" ht="12.75" hidden="1">
      <c r="A2739" s="2114"/>
      <c r="B2739" s="192" t="s">
        <v>3738</v>
      </c>
      <c r="C2739" s="2142">
        <v>0.01</v>
      </c>
      <c r="D2739" s="568"/>
      <c r="E2739" s="188"/>
      <c r="F2739" s="188"/>
      <c r="G2739" s="2122"/>
      <c r="H2739" s="568"/>
      <c r="I2739" s="2118"/>
      <c r="J2739" s="2134"/>
      <c r="K2739" s="2123">
        <f>ROUND(K2738*C2739,2)</f>
        <v>11.14</v>
      </c>
      <c r="L2739" s="568"/>
      <c r="M2739" s="568"/>
      <c r="O2739" s="1991"/>
      <c r="P2739" s="1706"/>
      <c r="R2739" s="1706"/>
    </row>
    <row r="2740" spans="1:18" ht="12.75" hidden="1">
      <c r="A2740" s="2114"/>
      <c r="B2740" s="568"/>
      <c r="C2740" s="568"/>
      <c r="D2740" s="568"/>
      <c r="E2740" s="188"/>
      <c r="F2740" s="188"/>
      <c r="G2740" s="2122"/>
      <c r="H2740" s="568"/>
      <c r="I2740" s="2118"/>
      <c r="J2740" s="2124" t="s">
        <v>839</v>
      </c>
      <c r="K2740" s="2124">
        <f>SUM(K2738:K2739)</f>
        <v>1125.4799999999998</v>
      </c>
      <c r="L2740" s="192" t="s">
        <v>730</v>
      </c>
      <c r="M2740" s="568"/>
      <c r="R2740" s="1706"/>
    </row>
    <row r="2741" spans="1:18" ht="12.75" hidden="1">
      <c r="A2741" s="2114" t="str">
        <f>A495</f>
        <v>(iv)</v>
      </c>
      <c r="B2741" s="192" t="str">
        <f>B495</f>
        <v>Third Floor</v>
      </c>
      <c r="C2741" s="568"/>
      <c r="D2741" s="568"/>
      <c r="E2741" s="188"/>
      <c r="F2741" s="188"/>
      <c r="G2741" s="2122"/>
      <c r="H2741" s="568"/>
      <c r="I2741" s="2118"/>
      <c r="J2741" s="2123"/>
      <c r="K2741" s="2123"/>
      <c r="L2741" s="192"/>
      <c r="M2741" s="568"/>
    </row>
    <row r="2742" spans="1:18" ht="12.75" hidden="1">
      <c r="A2742" s="2114"/>
      <c r="B2742" s="568" t="str">
        <f>B2696</f>
        <v>Rtae as 1st floor</v>
      </c>
      <c r="C2742" s="568"/>
      <c r="D2742" s="568"/>
      <c r="E2742" s="188"/>
      <c r="F2742" s="188"/>
      <c r="G2742" s="2122"/>
      <c r="H2742" s="568"/>
      <c r="I2742" s="2118"/>
      <c r="J2742" s="2124"/>
      <c r="K2742" s="2123">
        <f>K2738</f>
        <v>1114.3399999999997</v>
      </c>
      <c r="L2742" s="568" t="str">
        <f>L2740</f>
        <v>Per Sqm</v>
      </c>
      <c r="M2742" s="568"/>
      <c r="R2742" s="1706"/>
    </row>
    <row r="2743" spans="1:18" ht="12.75" hidden="1">
      <c r="A2743" s="2114"/>
      <c r="B2743" s="568" t="str">
        <f>B2697</f>
        <v>Add @ 20% extra for 2nd floor</v>
      </c>
      <c r="C2743" s="568"/>
      <c r="D2743" s="568"/>
      <c r="E2743" s="188"/>
      <c r="F2743" s="188"/>
      <c r="G2743" s="2122"/>
      <c r="H2743" s="2125">
        <v>0.2</v>
      </c>
      <c r="I2743" s="2134">
        <f>I2735+K2735</f>
        <v>649.44000000000005</v>
      </c>
      <c r="J2743" s="2124"/>
      <c r="K2743" s="2124">
        <f>ROUND(I2743*H2743,2)</f>
        <v>129.88999999999999</v>
      </c>
      <c r="L2743" s="568" t="str">
        <f>L2742</f>
        <v>Per Sqm</v>
      </c>
      <c r="M2743" s="568"/>
      <c r="O2743" s="1991">
        <f>O2735+K2743</f>
        <v>779.33</v>
      </c>
      <c r="P2743" s="1706" t="s">
        <v>3149</v>
      </c>
      <c r="R2743" s="1706"/>
    </row>
    <row r="2744" spans="1:18" ht="12.75" hidden="1">
      <c r="A2744" s="2114"/>
      <c r="B2744" s="568" t="s">
        <v>3664</v>
      </c>
      <c r="C2744" s="568"/>
      <c r="D2744" s="568"/>
      <c r="E2744" s="188"/>
      <c r="F2744" s="188"/>
      <c r="G2744" s="2122"/>
      <c r="H2744" s="2135">
        <f>H2736</f>
        <v>7.4999999999999997E-2</v>
      </c>
      <c r="I2744" s="2134">
        <f>K2743</f>
        <v>129.88999999999999</v>
      </c>
      <c r="J2744" s="2134"/>
      <c r="K2744" s="2123">
        <f>ROUND(I2744*H2744,2)</f>
        <v>9.74</v>
      </c>
      <c r="L2744" s="568"/>
      <c r="M2744" s="568"/>
      <c r="O2744" s="1991"/>
      <c r="P2744" s="1706"/>
      <c r="R2744" s="1706"/>
    </row>
    <row r="2745" spans="1:18" ht="12.75" hidden="1">
      <c r="A2745" s="2114"/>
      <c r="B2745" s="568" t="s">
        <v>3665</v>
      </c>
      <c r="C2745" s="568"/>
      <c r="D2745" s="568"/>
      <c r="E2745" s="188"/>
      <c r="F2745" s="188"/>
      <c r="G2745" s="2122"/>
      <c r="H2745" s="2135">
        <f>H2744</f>
        <v>7.4999999999999997E-2</v>
      </c>
      <c r="I2745" s="2134">
        <f>I2744</f>
        <v>129.88999999999999</v>
      </c>
      <c r="J2745" s="2134"/>
      <c r="K2745" s="2123">
        <f>ROUND(I2745*H2745,2)</f>
        <v>9.74</v>
      </c>
      <c r="L2745" s="568"/>
      <c r="M2745" s="568"/>
      <c r="O2745" s="1991"/>
      <c r="P2745" s="1706"/>
      <c r="R2745" s="1706"/>
    </row>
    <row r="2746" spans="1:18" ht="12.75" hidden="1">
      <c r="A2746" s="2114"/>
      <c r="B2746" s="568"/>
      <c r="C2746" s="568"/>
      <c r="D2746" s="568"/>
      <c r="E2746" s="188"/>
      <c r="F2746" s="188"/>
      <c r="G2746" s="2122"/>
      <c r="H2746" s="568"/>
      <c r="I2746" s="2118"/>
      <c r="J2746" s="2124"/>
      <c r="K2746" s="2123">
        <f>SUM(K2742:K2745)</f>
        <v>1263.7099999999996</v>
      </c>
      <c r="L2746" s="568" t="str">
        <f>L2742</f>
        <v>Per Sqm</v>
      </c>
      <c r="M2746" s="568"/>
      <c r="O2746" s="1991">
        <f>K2746-O2743</f>
        <v>484.37999999999954</v>
      </c>
      <c r="P2746" s="1706" t="s">
        <v>26</v>
      </c>
      <c r="R2746" s="1706"/>
    </row>
    <row r="2747" spans="1:18" ht="12.75" hidden="1">
      <c r="A2747" s="2114"/>
      <c r="B2747" s="192" t="s">
        <v>3738</v>
      </c>
      <c r="C2747" s="2142">
        <v>0.01</v>
      </c>
      <c r="D2747" s="568"/>
      <c r="E2747" s="188"/>
      <c r="F2747" s="188"/>
      <c r="G2747" s="2122"/>
      <c r="H2747" s="568"/>
      <c r="I2747" s="2118"/>
      <c r="J2747" s="2134"/>
      <c r="K2747" s="2123">
        <f>ROUND(K2746*C2747,2)</f>
        <v>12.64</v>
      </c>
      <c r="L2747" s="568"/>
      <c r="M2747" s="568"/>
      <c r="O2747" s="1991"/>
      <c r="P2747" s="1706"/>
      <c r="R2747" s="1706"/>
    </row>
    <row r="2748" spans="1:18" ht="12.75" hidden="1">
      <c r="A2748" s="2114"/>
      <c r="B2748" s="568"/>
      <c r="C2748" s="568"/>
      <c r="D2748" s="568"/>
      <c r="E2748" s="188"/>
      <c r="F2748" s="188"/>
      <c r="G2748" s="2122"/>
      <c r="H2748" s="568"/>
      <c r="I2748" s="2118"/>
      <c r="J2748" s="2124" t="s">
        <v>839</v>
      </c>
      <c r="K2748" s="2124">
        <f>SUM(K2746:K2747)</f>
        <v>1276.3499999999997</v>
      </c>
      <c r="L2748" s="192" t="s">
        <v>730</v>
      </c>
      <c r="M2748" s="568"/>
      <c r="R2748" s="1706"/>
    </row>
    <row r="2749" spans="1:18" ht="12.75">
      <c r="A2749" s="2114" t="s">
        <v>871</v>
      </c>
      <c r="B2749" s="192" t="s">
        <v>872</v>
      </c>
      <c r="C2749" s="192"/>
      <c r="D2749" s="192"/>
      <c r="E2749" s="188" t="s">
        <v>38</v>
      </c>
      <c r="F2749" s="188"/>
      <c r="G2749" s="2122"/>
      <c r="H2749" s="568"/>
      <c r="I2749" s="2118"/>
      <c r="J2749" s="2123"/>
      <c r="K2749" s="2123"/>
      <c r="L2749" s="192"/>
      <c r="M2749" s="568"/>
    </row>
    <row r="2750" spans="1:18" ht="12.75">
      <c r="A2750" s="2114"/>
      <c r="B2750" s="192"/>
      <c r="C2750" s="192"/>
      <c r="D2750" s="192"/>
      <c r="E2750" s="188" t="s">
        <v>92</v>
      </c>
      <c r="F2750" s="188"/>
      <c r="G2750" s="2122"/>
      <c r="H2750" s="568"/>
      <c r="I2750" s="2118"/>
      <c r="J2750" s="2123"/>
      <c r="K2750" s="2123"/>
      <c r="L2750" s="192"/>
      <c r="M2750" s="568"/>
    </row>
    <row r="2751" spans="1:18" ht="12.75">
      <c r="A2751" s="2114"/>
      <c r="B2751" s="568" t="s">
        <v>873</v>
      </c>
      <c r="C2751" s="568"/>
      <c r="D2751" s="568"/>
      <c r="E2751" s="188"/>
      <c r="F2751" s="188"/>
      <c r="G2751" s="2122"/>
      <c r="H2751" s="568"/>
      <c r="I2751" s="2118"/>
      <c r="J2751" s="2123"/>
      <c r="K2751" s="2123"/>
      <c r="L2751" s="192"/>
      <c r="M2751" s="568"/>
    </row>
    <row r="2752" spans="1:18" ht="12.75">
      <c r="A2752" s="2114" t="s">
        <v>201</v>
      </c>
      <c r="B2752" s="192" t="s">
        <v>26</v>
      </c>
      <c r="C2752" s="568"/>
      <c r="D2752" s="568"/>
      <c r="E2752" s="188"/>
      <c r="F2752" s="188"/>
      <c r="G2752" s="2122"/>
      <c r="H2752" s="568"/>
      <c r="I2752" s="2118"/>
      <c r="J2752" s="2123"/>
      <c r="K2752" s="2123"/>
      <c r="L2752" s="192"/>
      <c r="M2752" s="568"/>
    </row>
    <row r="2753" spans="1:16" ht="12.75">
      <c r="A2753" s="2114"/>
      <c r="B2753" s="568" t="s">
        <v>866</v>
      </c>
      <c r="C2753" s="568"/>
      <c r="D2753" s="568"/>
      <c r="E2753" s="188"/>
      <c r="F2753" s="188"/>
      <c r="G2753" s="2122">
        <v>0.218</v>
      </c>
      <c r="H2753" s="568" t="s">
        <v>49</v>
      </c>
      <c r="I2753" s="2118" t="s">
        <v>49</v>
      </c>
      <c r="J2753" s="2123">
        <f>G70</f>
        <v>58374.79</v>
      </c>
      <c r="K2753" s="2123">
        <f>ROUND(G2753*J2753,2)</f>
        <v>12725.7</v>
      </c>
      <c r="L2753" s="192"/>
      <c r="M2753" s="568"/>
    </row>
    <row r="2754" spans="1:16" ht="12.75">
      <c r="A2754" s="2114"/>
      <c r="B2754" s="568" t="s">
        <v>204</v>
      </c>
      <c r="C2754" s="568"/>
      <c r="D2754" s="568"/>
      <c r="E2754" s="188"/>
      <c r="F2754" s="188"/>
      <c r="G2754" s="2122">
        <v>15.2</v>
      </c>
      <c r="H2754" s="568" t="s">
        <v>136</v>
      </c>
      <c r="I2754" s="2118" t="s">
        <v>136</v>
      </c>
      <c r="J2754" s="2123">
        <f>G76</f>
        <v>51.87</v>
      </c>
      <c r="K2754" s="2123">
        <f>ROUND(G2754*J2754,2)</f>
        <v>788.42</v>
      </c>
      <c r="L2754" s="192"/>
      <c r="M2754" s="568"/>
    </row>
    <row r="2755" spans="1:16" ht="12.75">
      <c r="A2755" s="2114"/>
      <c r="B2755" s="568" t="s">
        <v>874</v>
      </c>
      <c r="C2755" s="568"/>
      <c r="D2755" s="568"/>
      <c r="E2755" s="188"/>
      <c r="F2755" s="188"/>
      <c r="G2755" s="2122">
        <v>8</v>
      </c>
      <c r="H2755" s="568" t="s">
        <v>136</v>
      </c>
      <c r="I2755" s="2118" t="s">
        <v>136</v>
      </c>
      <c r="J2755" s="2123">
        <f>G75</f>
        <v>51.87</v>
      </c>
      <c r="K2755" s="2123">
        <f>ROUND(G2755*J2755,2)</f>
        <v>414.96</v>
      </c>
      <c r="L2755" s="192"/>
      <c r="M2755" s="568"/>
    </row>
    <row r="2756" spans="1:16" ht="12.75">
      <c r="A2756" s="2114"/>
      <c r="B2756" s="568" t="s">
        <v>855</v>
      </c>
      <c r="C2756" s="568"/>
      <c r="D2756" s="568"/>
      <c r="E2756" s="188"/>
      <c r="F2756" s="188"/>
      <c r="G2756" s="2122">
        <v>0.45600000000000002</v>
      </c>
      <c r="H2756" s="568" t="s">
        <v>49</v>
      </c>
      <c r="I2756" s="2118" t="s">
        <v>49</v>
      </c>
      <c r="J2756" s="2123">
        <f>J2710</f>
        <v>340.976</v>
      </c>
      <c r="K2756" s="2123">
        <f>ROUND(G2756*J2756,2)</f>
        <v>155.49</v>
      </c>
      <c r="L2756" s="192"/>
      <c r="M2756" s="568"/>
    </row>
    <row r="2757" spans="1:16" ht="12.75">
      <c r="A2757" s="2114"/>
      <c r="B2757" s="568"/>
      <c r="C2757" s="568"/>
      <c r="D2757" s="568"/>
      <c r="E2757" s="188"/>
      <c r="F2757" s="188"/>
      <c r="G2757" s="2122"/>
      <c r="H2757" s="568"/>
      <c r="I2757" s="2118"/>
      <c r="J2757" s="2134" t="s">
        <v>718</v>
      </c>
      <c r="K2757" s="2123">
        <f>SUM(K2753:K2756)</f>
        <v>14084.57</v>
      </c>
      <c r="L2757" s="192"/>
      <c r="M2757" s="568"/>
    </row>
    <row r="2758" spans="1:16" ht="12.75">
      <c r="A2758" s="2114"/>
      <c r="B2758" s="568" t="s">
        <v>856</v>
      </c>
      <c r="C2758" s="568"/>
      <c r="D2758" s="568"/>
      <c r="E2758" s="188"/>
      <c r="F2758" s="188"/>
      <c r="G2758" s="2122"/>
      <c r="H2758" s="568"/>
      <c r="I2758" s="2118"/>
      <c r="J2758" s="2123"/>
      <c r="K2758" s="2123">
        <f>K2757/10</f>
        <v>1408.4569999999999</v>
      </c>
      <c r="L2758" s="192"/>
      <c r="M2758" s="568"/>
    </row>
    <row r="2759" spans="1:16" ht="12.75">
      <c r="A2759" s="2114" t="s">
        <v>220</v>
      </c>
      <c r="B2759" s="192" t="s">
        <v>2</v>
      </c>
      <c r="C2759" s="568"/>
      <c r="D2759" s="568"/>
      <c r="E2759" s="188"/>
      <c r="F2759" s="188"/>
      <c r="G2759" s="2122"/>
      <c r="H2759" s="568"/>
      <c r="I2759" s="2118"/>
      <c r="J2759" s="2123"/>
      <c r="K2759" s="2123"/>
      <c r="L2759" s="192"/>
      <c r="M2759" s="568"/>
    </row>
    <row r="2760" spans="1:16" ht="12.75">
      <c r="A2760" s="2114"/>
      <c r="B2760" s="568" t="s">
        <v>742</v>
      </c>
      <c r="C2760" s="568"/>
      <c r="D2760" s="568"/>
      <c r="E2760" s="188"/>
      <c r="F2760" s="188"/>
      <c r="G2760" s="2122">
        <v>2.75</v>
      </c>
      <c r="H2760" s="568" t="s">
        <v>262</v>
      </c>
      <c r="I2760" s="2118" t="s">
        <v>38</v>
      </c>
      <c r="J2760" s="2123">
        <f>L136</f>
        <v>435</v>
      </c>
      <c r="K2760" s="2123">
        <f>ROUND(G2760*J2760,2)</f>
        <v>1196.25</v>
      </c>
      <c r="L2760" s="192"/>
      <c r="M2760" s="568"/>
    </row>
    <row r="2761" spans="1:16" ht="12.75">
      <c r="A2761" s="2114"/>
      <c r="B2761" s="568" t="s">
        <v>858</v>
      </c>
      <c r="C2761" s="568"/>
      <c r="D2761" s="568"/>
      <c r="E2761" s="188"/>
      <c r="F2761" s="188"/>
      <c r="G2761" s="2122">
        <v>2.75</v>
      </c>
      <c r="H2761" s="568" t="s">
        <v>262</v>
      </c>
      <c r="I2761" s="2118" t="s">
        <v>38</v>
      </c>
      <c r="J2761" s="2123">
        <f>L135</f>
        <v>385</v>
      </c>
      <c r="K2761" s="2123">
        <f>ROUND(G2761*J2761,2)</f>
        <v>1058.75</v>
      </c>
      <c r="L2761" s="192"/>
      <c r="M2761" s="568"/>
    </row>
    <row r="2762" spans="1:16" ht="12.75">
      <c r="A2762" s="2114"/>
      <c r="B2762" s="568"/>
      <c r="C2762" s="568"/>
      <c r="D2762" s="568"/>
      <c r="E2762" s="188"/>
      <c r="F2762" s="188"/>
      <c r="G2762" s="2122"/>
      <c r="H2762" s="568"/>
      <c r="I2762" s="2118"/>
      <c r="J2762" s="2134" t="s">
        <v>718</v>
      </c>
      <c r="K2762" s="2123">
        <f>SUM(K2760:K2761)</f>
        <v>2255</v>
      </c>
      <c r="L2762" s="192"/>
      <c r="M2762" s="568"/>
    </row>
    <row r="2763" spans="1:16" ht="12.75">
      <c r="A2763" s="2114"/>
      <c r="B2763" s="568"/>
      <c r="C2763" s="568"/>
      <c r="D2763" s="568"/>
      <c r="E2763" s="188"/>
      <c r="F2763" s="188"/>
      <c r="G2763" s="2122"/>
      <c r="H2763" s="568"/>
      <c r="I2763" s="2118"/>
      <c r="J2763" s="2134"/>
      <c r="K2763" s="2123">
        <f>K2758+K2762</f>
        <v>3663.4569999999999</v>
      </c>
      <c r="L2763" s="192"/>
      <c r="M2763" s="568"/>
    </row>
    <row r="2764" spans="1:16" ht="12.75">
      <c r="A2764" s="2114"/>
      <c r="B2764" s="568" t="s">
        <v>3664</v>
      </c>
      <c r="C2764" s="568"/>
      <c r="D2764" s="568"/>
      <c r="E2764" s="188"/>
      <c r="F2764" s="188"/>
      <c r="G2764" s="2122"/>
      <c r="H2764" s="2135">
        <f>H2745</f>
        <v>7.4999999999999997E-2</v>
      </c>
      <c r="I2764" s="2134">
        <f>K2763</f>
        <v>3663.4569999999999</v>
      </c>
      <c r="J2764" s="2134"/>
      <c r="K2764" s="2123">
        <f>ROUND(I2764*H2764,2)</f>
        <v>274.76</v>
      </c>
      <c r="L2764" s="192"/>
      <c r="M2764" s="568"/>
    </row>
    <row r="2765" spans="1:16" ht="12.75">
      <c r="A2765" s="2114"/>
      <c r="B2765" s="568" t="s">
        <v>3665</v>
      </c>
      <c r="C2765" s="568"/>
      <c r="D2765" s="568"/>
      <c r="E2765" s="188"/>
      <c r="F2765" s="188"/>
      <c r="G2765" s="2122"/>
      <c r="H2765" s="2135">
        <f>H2764</f>
        <v>7.4999999999999997E-2</v>
      </c>
      <c r="I2765" s="2134">
        <f>I2764</f>
        <v>3663.4569999999999</v>
      </c>
      <c r="J2765" s="2134"/>
      <c r="K2765" s="2123">
        <f>ROUND(I2765*H2765,2)</f>
        <v>274.76</v>
      </c>
      <c r="L2765" s="192"/>
      <c r="M2765" s="568"/>
    </row>
    <row r="2766" spans="1:16" ht="12.75">
      <c r="A2766" s="2114"/>
      <c r="B2766" s="568"/>
      <c r="C2766" s="568"/>
      <c r="D2766" s="568"/>
      <c r="E2766" s="188"/>
      <c r="F2766" s="188"/>
      <c r="G2766" s="2122"/>
      <c r="H2766" s="568"/>
      <c r="I2766" s="2118"/>
      <c r="J2766" s="2134" t="s">
        <v>718</v>
      </c>
      <c r="K2766" s="2123">
        <f>SUM(K2763:K2765)</f>
        <v>4212.9769999999999</v>
      </c>
      <c r="L2766" s="192"/>
      <c r="M2766" s="568"/>
      <c r="O2766" s="1991">
        <f>ROUND(K2762/4.2,2)</f>
        <v>536.9</v>
      </c>
      <c r="P2766" s="1706" t="s">
        <v>3149</v>
      </c>
    </row>
    <row r="2767" spans="1:16" ht="12.75">
      <c r="A2767" s="2114"/>
      <c r="B2767" s="568" t="s">
        <v>859</v>
      </c>
      <c r="C2767" s="568"/>
      <c r="D2767" s="568"/>
      <c r="E2767" s="188"/>
      <c r="F2767" s="188"/>
      <c r="G2767" s="2122"/>
      <c r="H2767" s="568"/>
      <c r="I2767" s="2118"/>
      <c r="J2767" s="2123"/>
      <c r="K2767" s="2123">
        <f>ROUND(K2766/4.2,2)</f>
        <v>1003.09</v>
      </c>
      <c r="L2767" s="192"/>
      <c r="M2767" s="568"/>
      <c r="O2767" s="1991">
        <f>K2767-O2766</f>
        <v>466.19000000000005</v>
      </c>
      <c r="P2767" s="1706" t="s">
        <v>26</v>
      </c>
    </row>
    <row r="2768" spans="1:16" ht="12.75">
      <c r="A2768" s="2114"/>
      <c r="B2768" s="192" t="s">
        <v>3738</v>
      </c>
      <c r="C2768" s="2142">
        <v>0.01</v>
      </c>
      <c r="D2768" s="568"/>
      <c r="E2768" s="188"/>
      <c r="F2768" s="188"/>
      <c r="G2768" s="2122"/>
      <c r="H2768" s="568"/>
      <c r="I2768" s="2118"/>
      <c r="J2768" s="2134"/>
      <c r="K2768" s="2123">
        <f>ROUND(K2767*C2768,2)</f>
        <v>10.029999999999999</v>
      </c>
      <c r="L2768" s="192"/>
      <c r="M2768" s="568"/>
      <c r="O2768" s="1991"/>
      <c r="P2768" s="1706"/>
    </row>
    <row r="2769" spans="1:19" ht="12.75">
      <c r="A2769" s="2114"/>
      <c r="B2769" s="568"/>
      <c r="C2769" s="568"/>
      <c r="D2769" s="568"/>
      <c r="E2769" s="188"/>
      <c r="F2769" s="188"/>
      <c r="G2769" s="2122"/>
      <c r="H2769" s="568"/>
      <c r="I2769" s="2118"/>
      <c r="J2769" s="2124" t="s">
        <v>839</v>
      </c>
      <c r="K2769" s="2124">
        <f>SUM(K2767:K2768)</f>
        <v>1013.12</v>
      </c>
      <c r="L2769" s="192" t="s">
        <v>730</v>
      </c>
      <c r="M2769" s="568"/>
      <c r="R2769" s="1706">
        <f>K2767/1.1</f>
        <v>911.9</v>
      </c>
      <c r="S2769" s="1705">
        <f>R2769*1.2</f>
        <v>1094.28</v>
      </c>
    </row>
    <row r="2770" spans="1:19" ht="12.75" hidden="1">
      <c r="A2770" s="2114" t="str">
        <f>A498</f>
        <v>(ii)</v>
      </c>
      <c r="B2770" s="192" t="str">
        <f>B498</f>
        <v>First Floor</v>
      </c>
      <c r="C2770" s="568"/>
      <c r="D2770" s="568"/>
      <c r="E2770" s="188"/>
      <c r="F2770" s="188"/>
      <c r="G2770" s="2122"/>
      <c r="H2770" s="568"/>
      <c r="I2770" s="2118"/>
      <c r="J2770" s="2123"/>
      <c r="K2770" s="2123"/>
      <c r="L2770" s="192"/>
      <c r="M2770" s="568"/>
    </row>
    <row r="2771" spans="1:19" ht="12.75" hidden="1">
      <c r="A2771" s="2114"/>
      <c r="B2771" s="568" t="s">
        <v>861</v>
      </c>
      <c r="C2771" s="568"/>
      <c r="D2771" s="568"/>
      <c r="E2771" s="188"/>
      <c r="F2771" s="188"/>
      <c r="G2771" s="2122"/>
      <c r="H2771" s="568"/>
      <c r="I2771" s="2118"/>
      <c r="J2771" s="2124"/>
      <c r="K2771" s="2123">
        <f>K2769</f>
        <v>1013.12</v>
      </c>
      <c r="L2771" s="568" t="str">
        <f>L2769</f>
        <v>Per Sqm</v>
      </c>
      <c r="M2771" s="568"/>
      <c r="R2771" s="1706"/>
    </row>
    <row r="2772" spans="1:19" ht="12.75" hidden="1">
      <c r="A2772" s="2114"/>
      <c r="B2772" s="568" t="s">
        <v>862</v>
      </c>
      <c r="C2772" s="568"/>
      <c r="D2772" s="568"/>
      <c r="E2772" s="188"/>
      <c r="F2772" s="188"/>
      <c r="G2772" s="2122"/>
      <c r="H2772" s="2125">
        <v>0.2</v>
      </c>
      <c r="I2772" s="2134">
        <f>K2762/4.2</f>
        <v>536.90476190476193</v>
      </c>
      <c r="J2772" s="2124"/>
      <c r="K2772" s="2124">
        <f>ROUND(I2772*H2772,2)</f>
        <v>107.38</v>
      </c>
      <c r="L2772" s="568" t="str">
        <f>L2771</f>
        <v>Per Sqm</v>
      </c>
      <c r="M2772" s="568"/>
      <c r="O2772" s="1991">
        <f>O2766+K2772</f>
        <v>644.28</v>
      </c>
      <c r="P2772" s="1706" t="s">
        <v>3149</v>
      </c>
      <c r="R2772" s="1706"/>
    </row>
    <row r="2773" spans="1:19" ht="12.75" hidden="1">
      <c r="A2773" s="2114"/>
      <c r="B2773" s="568"/>
      <c r="C2773" s="568"/>
      <c r="D2773" s="568"/>
      <c r="E2773" s="188"/>
      <c r="F2773" s="188"/>
      <c r="G2773" s="2122"/>
      <c r="H2773" s="2135">
        <f>H2764</f>
        <v>7.4999999999999997E-2</v>
      </c>
      <c r="I2773" s="2134">
        <f>K2772</f>
        <v>107.38</v>
      </c>
      <c r="J2773" s="2134"/>
      <c r="K2773" s="2123">
        <f>ROUND(I2773*H2773,2)</f>
        <v>8.0500000000000007</v>
      </c>
      <c r="L2773" s="568"/>
      <c r="M2773" s="568"/>
      <c r="O2773" s="1991"/>
      <c r="P2773" s="1706"/>
      <c r="R2773" s="1706"/>
    </row>
    <row r="2774" spans="1:19" ht="12.75" hidden="1">
      <c r="A2774" s="2114"/>
      <c r="B2774" s="568"/>
      <c r="C2774" s="568"/>
      <c r="D2774" s="568"/>
      <c r="E2774" s="188"/>
      <c r="F2774" s="188"/>
      <c r="G2774" s="2122"/>
      <c r="H2774" s="2135">
        <f>H2773</f>
        <v>7.4999999999999997E-2</v>
      </c>
      <c r="I2774" s="2134">
        <f>I2773</f>
        <v>107.38</v>
      </c>
      <c r="J2774" s="2134"/>
      <c r="K2774" s="2123">
        <f>ROUND(I2774*H2774,2)</f>
        <v>8.0500000000000007</v>
      </c>
      <c r="L2774" s="568"/>
      <c r="M2774" s="568"/>
      <c r="O2774" s="1991"/>
      <c r="P2774" s="1706"/>
      <c r="R2774" s="1706"/>
    </row>
    <row r="2775" spans="1:19" ht="12.75" hidden="1">
      <c r="A2775" s="2114"/>
      <c r="B2775" s="568"/>
      <c r="C2775" s="568"/>
      <c r="D2775" s="568"/>
      <c r="E2775" s="188"/>
      <c r="F2775" s="188"/>
      <c r="G2775" s="2122"/>
      <c r="H2775" s="568"/>
      <c r="I2775" s="2118"/>
      <c r="J2775" s="2124"/>
      <c r="K2775" s="2123">
        <f>SUM(K2771:K2774)</f>
        <v>1136.5999999999999</v>
      </c>
      <c r="L2775" s="568" t="str">
        <f>L2771</f>
        <v>Per Sqm</v>
      </c>
      <c r="M2775" s="568"/>
      <c r="O2775" s="1991">
        <f>K2775-O2772</f>
        <v>492.31999999999994</v>
      </c>
      <c r="P2775" s="1706" t="s">
        <v>26</v>
      </c>
      <c r="R2775" s="1706"/>
    </row>
    <row r="2776" spans="1:19" ht="12.75" hidden="1">
      <c r="A2776" s="2114"/>
      <c r="B2776" s="192" t="s">
        <v>3738</v>
      </c>
      <c r="C2776" s="2142">
        <v>0.01</v>
      </c>
      <c r="D2776" s="568"/>
      <c r="E2776" s="188"/>
      <c r="F2776" s="188"/>
      <c r="G2776" s="2122"/>
      <c r="H2776" s="568"/>
      <c r="I2776" s="2118"/>
      <c r="J2776" s="2134"/>
      <c r="K2776" s="2123">
        <f>ROUND(K2775*C2776,2)</f>
        <v>11.37</v>
      </c>
      <c r="L2776" s="568"/>
      <c r="M2776" s="568"/>
      <c r="O2776" s="1991"/>
      <c r="P2776" s="1706"/>
      <c r="R2776" s="1706"/>
    </row>
    <row r="2777" spans="1:19" ht="12.75" hidden="1">
      <c r="A2777" s="2114"/>
      <c r="B2777" s="568"/>
      <c r="C2777" s="568"/>
      <c r="D2777" s="568"/>
      <c r="E2777" s="188"/>
      <c r="F2777" s="188"/>
      <c r="G2777" s="2122"/>
      <c r="H2777" s="568"/>
      <c r="I2777" s="2118"/>
      <c r="J2777" s="2124" t="s">
        <v>839</v>
      </c>
      <c r="K2777" s="2124">
        <f>SUM(K2775:K2776)</f>
        <v>1147.9699999999998</v>
      </c>
      <c r="L2777" s="192" t="s">
        <v>730</v>
      </c>
      <c r="M2777" s="568"/>
      <c r="R2777" s="1706"/>
    </row>
    <row r="2778" spans="1:19" ht="12.75" hidden="1">
      <c r="A2778" s="2114" t="str">
        <f>A499</f>
        <v>(iii)</v>
      </c>
      <c r="B2778" s="192" t="str">
        <f>B499</f>
        <v>Second Floor</v>
      </c>
      <c r="C2778" s="568"/>
      <c r="D2778" s="568"/>
      <c r="E2778" s="188"/>
      <c r="F2778" s="188"/>
      <c r="G2778" s="2122"/>
      <c r="H2778" s="568"/>
      <c r="I2778" s="2118"/>
      <c r="J2778" s="2123"/>
      <c r="K2778" s="2123"/>
      <c r="L2778" s="192"/>
      <c r="M2778" s="568"/>
    </row>
    <row r="2779" spans="1:19" ht="12.75" hidden="1">
      <c r="A2779" s="2114"/>
      <c r="B2779" s="568" t="str">
        <f>B2734</f>
        <v>Rtae as 1st floor</v>
      </c>
      <c r="C2779" s="568"/>
      <c r="D2779" s="568"/>
      <c r="E2779" s="188"/>
      <c r="F2779" s="188"/>
      <c r="G2779" s="2122"/>
      <c r="H2779" s="568"/>
      <c r="I2779" s="2118"/>
      <c r="J2779" s="2124"/>
      <c r="K2779" s="2123">
        <f>K2777</f>
        <v>1147.9699999999998</v>
      </c>
      <c r="L2779" s="568" t="str">
        <f>L2777</f>
        <v>Per Sqm</v>
      </c>
      <c r="M2779" s="568"/>
      <c r="R2779" s="1706"/>
    </row>
    <row r="2780" spans="1:19" ht="12.75" hidden="1">
      <c r="A2780" s="2114"/>
      <c r="B2780" s="568" t="str">
        <f>B2735</f>
        <v>Add @ 20% extra for 2nd floor</v>
      </c>
      <c r="C2780" s="568"/>
      <c r="D2780" s="568"/>
      <c r="E2780" s="188"/>
      <c r="F2780" s="188"/>
      <c r="G2780" s="2122"/>
      <c r="H2780" s="2125">
        <v>0.2</v>
      </c>
      <c r="I2780" s="2134">
        <f>I2772+K2772</f>
        <v>644.28476190476192</v>
      </c>
      <c r="J2780" s="2124"/>
      <c r="K2780" s="2124">
        <f>ROUND(I2780*H2780,2)</f>
        <v>128.86000000000001</v>
      </c>
      <c r="L2780" s="568" t="str">
        <f>L2779</f>
        <v>Per Sqm</v>
      </c>
      <c r="M2780" s="568"/>
      <c r="O2780" s="1991">
        <f>O2772+K2780</f>
        <v>773.14</v>
      </c>
      <c r="P2780" s="1706" t="s">
        <v>3149</v>
      </c>
      <c r="R2780" s="1706"/>
    </row>
    <row r="2781" spans="1:19" ht="12.75" hidden="1">
      <c r="A2781" s="2114"/>
      <c r="B2781" s="568"/>
      <c r="C2781" s="568"/>
      <c r="D2781" s="568"/>
      <c r="E2781" s="188"/>
      <c r="F2781" s="188"/>
      <c r="G2781" s="2122"/>
      <c r="H2781" s="2135">
        <f>H2773</f>
        <v>7.4999999999999997E-2</v>
      </c>
      <c r="I2781" s="2134">
        <f>K2780</f>
        <v>128.86000000000001</v>
      </c>
      <c r="J2781" s="2134"/>
      <c r="K2781" s="2123">
        <f>ROUND(I2781*H2781,2)</f>
        <v>9.66</v>
      </c>
      <c r="L2781" s="568"/>
      <c r="M2781" s="568"/>
      <c r="O2781" s="1991"/>
      <c r="P2781" s="1706"/>
      <c r="R2781" s="1706"/>
    </row>
    <row r="2782" spans="1:19" ht="12.75" hidden="1">
      <c r="A2782" s="2114"/>
      <c r="B2782" s="568"/>
      <c r="C2782" s="568"/>
      <c r="D2782" s="568"/>
      <c r="E2782" s="188"/>
      <c r="F2782" s="188"/>
      <c r="G2782" s="2122"/>
      <c r="H2782" s="2135">
        <f>H2781</f>
        <v>7.4999999999999997E-2</v>
      </c>
      <c r="I2782" s="2134">
        <f>I2781</f>
        <v>128.86000000000001</v>
      </c>
      <c r="J2782" s="2134"/>
      <c r="K2782" s="2123">
        <f>ROUND(I2782*H2782,2)</f>
        <v>9.66</v>
      </c>
      <c r="L2782" s="568"/>
      <c r="M2782" s="568"/>
      <c r="O2782" s="1991"/>
      <c r="P2782" s="1706"/>
      <c r="R2782" s="1706"/>
    </row>
    <row r="2783" spans="1:19" ht="12.75" hidden="1">
      <c r="A2783" s="2114"/>
      <c r="B2783" s="568"/>
      <c r="C2783" s="568"/>
      <c r="D2783" s="568"/>
      <c r="E2783" s="188"/>
      <c r="F2783" s="188"/>
      <c r="G2783" s="2122"/>
      <c r="H2783" s="568"/>
      <c r="I2783" s="2118"/>
      <c r="J2783" s="2124"/>
      <c r="K2783" s="2123">
        <f>SUM(K2779:K2782)</f>
        <v>1296.1500000000001</v>
      </c>
      <c r="L2783" s="568" t="str">
        <f>L2779</f>
        <v>Per Sqm</v>
      </c>
      <c r="M2783" s="568"/>
      <c r="O2783" s="1991">
        <f>K2783-O2780</f>
        <v>523.0100000000001</v>
      </c>
      <c r="P2783" s="1706" t="s">
        <v>26</v>
      </c>
      <c r="R2783" s="1706"/>
    </row>
    <row r="2784" spans="1:19" ht="12.75" hidden="1">
      <c r="A2784" s="2114"/>
      <c r="B2784" s="192" t="s">
        <v>3738</v>
      </c>
      <c r="C2784" s="2142">
        <v>0.01</v>
      </c>
      <c r="D2784" s="568"/>
      <c r="E2784" s="188"/>
      <c r="F2784" s="188"/>
      <c r="G2784" s="2122"/>
      <c r="H2784" s="568"/>
      <c r="I2784" s="2118"/>
      <c r="J2784" s="2134"/>
      <c r="K2784" s="2123">
        <f>ROUND(K2783*C2784,2)</f>
        <v>12.96</v>
      </c>
      <c r="L2784" s="568"/>
      <c r="M2784" s="568"/>
      <c r="O2784" s="1991"/>
      <c r="P2784" s="1706"/>
      <c r="R2784" s="1706"/>
    </row>
    <row r="2785" spans="1:18" ht="12.75" hidden="1">
      <c r="A2785" s="2114"/>
      <c r="B2785" s="568"/>
      <c r="C2785" s="568"/>
      <c r="D2785" s="568"/>
      <c r="E2785" s="188"/>
      <c r="F2785" s="188"/>
      <c r="G2785" s="2122"/>
      <c r="H2785" s="568"/>
      <c r="I2785" s="2118"/>
      <c r="J2785" s="2124" t="s">
        <v>839</v>
      </c>
      <c r="K2785" s="2124">
        <f>SUM(K2783:K2784)</f>
        <v>1309.1100000000001</v>
      </c>
      <c r="L2785" s="192" t="s">
        <v>730</v>
      </c>
      <c r="M2785" s="568"/>
      <c r="R2785" s="1706"/>
    </row>
    <row r="2786" spans="1:18" ht="12.75" hidden="1">
      <c r="A2786" s="2114" t="str">
        <f>A500</f>
        <v>(iv)</v>
      </c>
      <c r="B2786" s="192" t="str">
        <f>B500</f>
        <v>Third Floor</v>
      </c>
      <c r="C2786" s="568"/>
      <c r="D2786" s="568"/>
      <c r="E2786" s="188"/>
      <c r="F2786" s="188"/>
      <c r="G2786" s="2122"/>
      <c r="H2786" s="568"/>
      <c r="I2786" s="2118"/>
      <c r="J2786" s="2123"/>
      <c r="K2786" s="2123"/>
      <c r="L2786" s="192"/>
      <c r="M2786" s="568"/>
    </row>
    <row r="2787" spans="1:18" ht="12.75" hidden="1">
      <c r="A2787" s="2114"/>
      <c r="B2787" s="568" t="str">
        <f>B2742</f>
        <v>Rtae as 1st floor</v>
      </c>
      <c r="C2787" s="568"/>
      <c r="D2787" s="568"/>
      <c r="E2787" s="188"/>
      <c r="F2787" s="188"/>
      <c r="G2787" s="2122"/>
      <c r="H2787" s="568"/>
      <c r="I2787" s="2118"/>
      <c r="J2787" s="2124"/>
      <c r="K2787" s="2123">
        <f>K2785</f>
        <v>1309.1100000000001</v>
      </c>
      <c r="L2787" s="568" t="str">
        <f>L2785</f>
        <v>Per Sqm</v>
      </c>
      <c r="M2787" s="568"/>
      <c r="R2787" s="1706"/>
    </row>
    <row r="2788" spans="1:18" ht="12.75" hidden="1">
      <c r="A2788" s="2114"/>
      <c r="B2788" s="568" t="str">
        <f>B2743</f>
        <v>Add @ 20% extra for 2nd floor</v>
      </c>
      <c r="C2788" s="568"/>
      <c r="D2788" s="568"/>
      <c r="E2788" s="188"/>
      <c r="F2788" s="188"/>
      <c r="G2788" s="2122"/>
      <c r="H2788" s="2125">
        <v>0.2</v>
      </c>
      <c r="I2788" s="2134">
        <f>I2780+K2780</f>
        <v>773.14476190476194</v>
      </c>
      <c r="J2788" s="2124"/>
      <c r="K2788" s="2124">
        <f>ROUND(I2788*H2788,2)</f>
        <v>154.63</v>
      </c>
      <c r="L2788" s="568" t="str">
        <f>L2787</f>
        <v>Per Sqm</v>
      </c>
      <c r="M2788" s="568"/>
      <c r="O2788" s="1991">
        <f>O2780+K2788</f>
        <v>927.77</v>
      </c>
      <c r="P2788" s="1706" t="s">
        <v>3149</v>
      </c>
      <c r="R2788" s="1706"/>
    </row>
    <row r="2789" spans="1:18" ht="12.75" hidden="1">
      <c r="A2789" s="2114"/>
      <c r="B2789" s="568"/>
      <c r="C2789" s="568"/>
      <c r="D2789" s="568"/>
      <c r="E2789" s="188"/>
      <c r="F2789" s="188"/>
      <c r="G2789" s="2122"/>
      <c r="H2789" s="2135">
        <f>H2781</f>
        <v>7.4999999999999997E-2</v>
      </c>
      <c r="I2789" s="2134">
        <f>K2788</f>
        <v>154.63</v>
      </c>
      <c r="J2789" s="2134"/>
      <c r="K2789" s="2123">
        <f>ROUND(I2789*H2789,2)</f>
        <v>11.6</v>
      </c>
      <c r="L2789" s="568"/>
      <c r="M2789" s="568"/>
      <c r="O2789" s="1991"/>
      <c r="P2789" s="1706"/>
      <c r="R2789" s="1706"/>
    </row>
    <row r="2790" spans="1:18" ht="12.75" hidden="1">
      <c r="A2790" s="2114"/>
      <c r="B2790" s="568"/>
      <c r="C2790" s="568"/>
      <c r="D2790" s="568"/>
      <c r="E2790" s="188"/>
      <c r="F2790" s="188"/>
      <c r="G2790" s="2122"/>
      <c r="H2790" s="2135">
        <f>H2789</f>
        <v>7.4999999999999997E-2</v>
      </c>
      <c r="I2790" s="2134">
        <f>I2789</f>
        <v>154.63</v>
      </c>
      <c r="J2790" s="2134"/>
      <c r="K2790" s="2123">
        <f>ROUND(I2790*H2790,2)</f>
        <v>11.6</v>
      </c>
      <c r="L2790" s="568"/>
      <c r="M2790" s="568"/>
      <c r="O2790" s="1991"/>
      <c r="P2790" s="1706"/>
      <c r="R2790" s="1706"/>
    </row>
    <row r="2791" spans="1:18" ht="12.75" hidden="1">
      <c r="A2791" s="2114"/>
      <c r="B2791" s="568"/>
      <c r="C2791" s="568"/>
      <c r="D2791" s="568"/>
      <c r="E2791" s="188"/>
      <c r="F2791" s="188"/>
      <c r="G2791" s="2122"/>
      <c r="H2791" s="568"/>
      <c r="I2791" s="2118"/>
      <c r="J2791" s="2124"/>
      <c r="K2791" s="2123">
        <f>SUM(K2787:K2790)</f>
        <v>1486.94</v>
      </c>
      <c r="L2791" s="568" t="str">
        <f>L2787</f>
        <v>Per Sqm</v>
      </c>
      <c r="M2791" s="568"/>
      <c r="O2791" s="1991">
        <f>K2791-O2788</f>
        <v>559.17000000000007</v>
      </c>
      <c r="P2791" s="1706" t="s">
        <v>26</v>
      </c>
      <c r="R2791" s="1706"/>
    </row>
    <row r="2792" spans="1:18" ht="12.75" hidden="1">
      <c r="A2792" s="2114"/>
      <c r="B2792" s="192" t="s">
        <v>3738</v>
      </c>
      <c r="C2792" s="2142">
        <v>0.01</v>
      </c>
      <c r="D2792" s="568"/>
      <c r="E2792" s="188"/>
      <c r="F2792" s="188"/>
      <c r="G2792" s="2122"/>
      <c r="H2792" s="568"/>
      <c r="I2792" s="2118"/>
      <c r="J2792" s="2134"/>
      <c r="K2792" s="2123">
        <f>ROUND(K2791*C2792,2)</f>
        <v>14.87</v>
      </c>
      <c r="L2792" s="568"/>
      <c r="M2792" s="568"/>
      <c r="O2792" s="1991"/>
      <c r="P2792" s="1706"/>
      <c r="R2792" s="1706"/>
    </row>
    <row r="2793" spans="1:18" ht="12.75" hidden="1">
      <c r="A2793" s="2114"/>
      <c r="B2793" s="568"/>
      <c r="C2793" s="568"/>
      <c r="D2793" s="568"/>
      <c r="E2793" s="188"/>
      <c r="F2793" s="188"/>
      <c r="G2793" s="2122"/>
      <c r="H2793" s="568"/>
      <c r="I2793" s="2118"/>
      <c r="J2793" s="2124" t="s">
        <v>839</v>
      </c>
      <c r="K2793" s="2124">
        <f>SUM(K2791:K2792)</f>
        <v>1501.81</v>
      </c>
      <c r="L2793" s="192" t="s">
        <v>730</v>
      </c>
      <c r="M2793" s="568"/>
      <c r="R2793" s="1706"/>
    </row>
    <row r="2794" spans="1:18" ht="12.75" hidden="1">
      <c r="A2794" s="2114" t="s">
        <v>875</v>
      </c>
      <c r="B2794" s="192" t="s">
        <v>876</v>
      </c>
      <c r="C2794" s="568"/>
      <c r="D2794" s="568"/>
      <c r="E2794" s="188" t="s">
        <v>38</v>
      </c>
      <c r="F2794" s="188"/>
      <c r="G2794" s="2122"/>
      <c r="H2794" s="568"/>
      <c r="I2794" s="2118"/>
      <c r="J2794" s="2123"/>
      <c r="K2794" s="2123"/>
      <c r="L2794" s="192"/>
      <c r="M2794" s="568"/>
    </row>
    <row r="2795" spans="1:18" ht="12.75" hidden="1">
      <c r="A2795" s="2114"/>
      <c r="B2795" s="568" t="s">
        <v>877</v>
      </c>
      <c r="C2795" s="568"/>
      <c r="D2795" s="568"/>
      <c r="E2795" s="188" t="s">
        <v>92</v>
      </c>
      <c r="F2795" s="188"/>
      <c r="G2795" s="2122"/>
      <c r="H2795" s="568"/>
      <c r="I2795" s="2118"/>
      <c r="J2795" s="2123"/>
      <c r="K2795" s="2123"/>
      <c r="L2795" s="192"/>
      <c r="M2795" s="568"/>
    </row>
    <row r="2796" spans="1:18" ht="12.75" hidden="1">
      <c r="A2796" s="2114" t="s">
        <v>201</v>
      </c>
      <c r="B2796" s="192" t="s">
        <v>26</v>
      </c>
      <c r="C2796" s="568"/>
      <c r="D2796" s="568"/>
      <c r="E2796" s="188"/>
      <c r="F2796" s="188"/>
      <c r="G2796" s="2122"/>
      <c r="H2796" s="568"/>
      <c r="I2796" s="2118"/>
      <c r="J2796" s="2123"/>
      <c r="K2796" s="2123"/>
      <c r="L2796" s="192"/>
      <c r="M2796" s="568"/>
    </row>
    <row r="2797" spans="1:18" ht="12.75" hidden="1">
      <c r="A2797" s="2114"/>
      <c r="B2797" s="568" t="s">
        <v>865</v>
      </c>
      <c r="C2797" s="568"/>
      <c r="D2797" s="568"/>
      <c r="E2797" s="188"/>
      <c r="F2797" s="188"/>
      <c r="G2797" s="2122">
        <v>0.95399999999999996</v>
      </c>
      <c r="H2797" s="568" t="s">
        <v>49</v>
      </c>
      <c r="I2797" s="2118" t="s">
        <v>49</v>
      </c>
      <c r="J2797" s="2123">
        <f>G77</f>
        <v>58374.79</v>
      </c>
      <c r="K2797" s="2123">
        <f>ROUND(G2797*J2797,2)</f>
        <v>55689.55</v>
      </c>
      <c r="L2797" s="192"/>
      <c r="M2797" s="568"/>
    </row>
    <row r="2798" spans="1:18" ht="12.75" hidden="1">
      <c r="A2798" s="2114"/>
      <c r="B2798" s="568" t="s">
        <v>866</v>
      </c>
      <c r="C2798" s="568"/>
      <c r="D2798" s="568"/>
      <c r="E2798" s="188"/>
      <c r="F2798" s="188"/>
      <c r="G2798" s="2122">
        <v>0.26900000000000002</v>
      </c>
      <c r="H2798" s="568" t="s">
        <v>49</v>
      </c>
      <c r="I2798" s="2118" t="s">
        <v>49</v>
      </c>
      <c r="J2798" s="2123">
        <f>G70</f>
        <v>58374.79</v>
      </c>
      <c r="K2798" s="2123">
        <f>ROUND(G2798*J2798,2)</f>
        <v>15702.82</v>
      </c>
      <c r="L2798" s="192"/>
      <c r="M2798" s="568"/>
    </row>
    <row r="2799" spans="1:18" ht="12.75" hidden="1">
      <c r="A2799" s="2114"/>
      <c r="B2799" s="568" t="s">
        <v>209</v>
      </c>
      <c r="C2799" s="568"/>
      <c r="D2799" s="568"/>
      <c r="E2799" s="188"/>
      <c r="F2799" s="188"/>
      <c r="G2799" s="2123">
        <v>100.8</v>
      </c>
      <c r="H2799" s="568" t="s">
        <v>136</v>
      </c>
      <c r="I2799" s="2118" t="s">
        <v>136</v>
      </c>
      <c r="J2799" s="2159">
        <f>G74</f>
        <v>41.81</v>
      </c>
      <c r="K2799" s="2123">
        <f>ROUND(G2799*J2799,2)</f>
        <v>4214.45</v>
      </c>
      <c r="L2799" s="192"/>
      <c r="M2799" s="568"/>
    </row>
    <row r="2800" spans="1:18" ht="12.75" hidden="1">
      <c r="A2800" s="2114"/>
      <c r="B2800" s="568" t="s">
        <v>855</v>
      </c>
      <c r="C2800" s="568"/>
      <c r="D2800" s="568"/>
      <c r="E2800" s="188"/>
      <c r="F2800" s="188"/>
      <c r="G2800" s="2122">
        <v>2.4609999999999999</v>
      </c>
      <c r="H2800" s="568" t="s">
        <v>49</v>
      </c>
      <c r="I2800" s="2118" t="s">
        <v>49</v>
      </c>
      <c r="J2800" s="2123">
        <f>J2756</f>
        <v>340.976</v>
      </c>
      <c r="K2800" s="2123">
        <f>ROUND(G2800*J2800,2)</f>
        <v>839.14</v>
      </c>
      <c r="L2800" s="192"/>
      <c r="M2800" s="568"/>
    </row>
    <row r="2801" spans="1:19" ht="12.75" hidden="1">
      <c r="A2801" s="2114"/>
      <c r="B2801" s="568"/>
      <c r="C2801" s="568"/>
      <c r="D2801" s="568"/>
      <c r="E2801" s="188"/>
      <c r="F2801" s="188"/>
      <c r="G2801" s="2122"/>
      <c r="H2801" s="568"/>
      <c r="I2801" s="2118"/>
      <c r="J2801" s="2134" t="s">
        <v>718</v>
      </c>
      <c r="K2801" s="2123">
        <f>SUM(K2797:K2800)</f>
        <v>76445.959999999992</v>
      </c>
      <c r="L2801" s="192"/>
      <c r="M2801" s="568"/>
    </row>
    <row r="2802" spans="1:19" ht="12.75" hidden="1">
      <c r="A2802" s="2114"/>
      <c r="B2802" s="568" t="s">
        <v>856</v>
      </c>
      <c r="C2802" s="568"/>
      <c r="D2802" s="568"/>
      <c r="E2802" s="188"/>
      <c r="F2802" s="188"/>
      <c r="G2802" s="2122"/>
      <c r="H2802" s="568"/>
      <c r="I2802" s="2118"/>
      <c r="J2802" s="2134"/>
      <c r="K2802" s="2123">
        <f>K2801/10</f>
        <v>7644.5959999999995</v>
      </c>
      <c r="L2802" s="192"/>
      <c r="M2802" s="568"/>
    </row>
    <row r="2803" spans="1:19" ht="12.75" hidden="1">
      <c r="A2803" s="2114" t="s">
        <v>220</v>
      </c>
      <c r="B2803" s="192" t="s">
        <v>2</v>
      </c>
      <c r="C2803" s="568"/>
      <c r="D2803" s="568"/>
      <c r="E2803" s="188"/>
      <c r="F2803" s="188"/>
      <c r="G2803" s="2122"/>
      <c r="H2803" s="568"/>
      <c r="I2803" s="2118"/>
      <c r="J2803" s="2134"/>
      <c r="K2803" s="2123"/>
      <c r="L2803" s="192"/>
      <c r="M2803" s="568"/>
    </row>
    <row r="2804" spans="1:19" ht="12.75" hidden="1">
      <c r="A2804" s="2114"/>
      <c r="B2804" s="568" t="s">
        <v>742</v>
      </c>
      <c r="C2804" s="568"/>
      <c r="D2804" s="568"/>
      <c r="E2804" s="188"/>
      <c r="F2804" s="188"/>
      <c r="G2804" s="2122">
        <v>13.5</v>
      </c>
      <c r="H2804" s="568" t="s">
        <v>262</v>
      </c>
      <c r="I2804" s="2118" t="s">
        <v>38</v>
      </c>
      <c r="J2804" s="2123">
        <f>L136</f>
        <v>435</v>
      </c>
      <c r="K2804" s="2123">
        <f>ROUND(G2804*J2804,2)</f>
        <v>5872.5</v>
      </c>
      <c r="L2804" s="192"/>
      <c r="M2804" s="568"/>
    </row>
    <row r="2805" spans="1:19" ht="12.75" hidden="1">
      <c r="A2805" s="2114"/>
      <c r="B2805" s="568" t="s">
        <v>858</v>
      </c>
      <c r="C2805" s="568"/>
      <c r="D2805" s="568"/>
      <c r="E2805" s="188"/>
      <c r="F2805" s="188"/>
      <c r="G2805" s="2122">
        <v>13.5</v>
      </c>
      <c r="H2805" s="568" t="s">
        <v>262</v>
      </c>
      <c r="I2805" s="2118" t="s">
        <v>38</v>
      </c>
      <c r="J2805" s="2123">
        <f>L135</f>
        <v>385</v>
      </c>
      <c r="K2805" s="2123">
        <f>ROUND(G2805*J2805,2)</f>
        <v>5197.5</v>
      </c>
      <c r="L2805" s="192"/>
      <c r="M2805" s="568"/>
    </row>
    <row r="2806" spans="1:19" ht="12.75" hidden="1">
      <c r="A2806" s="2114"/>
      <c r="B2806" s="568"/>
      <c r="C2806" s="568"/>
      <c r="D2806" s="568"/>
      <c r="E2806" s="188"/>
      <c r="F2806" s="188"/>
      <c r="G2806" s="2122"/>
      <c r="H2806" s="568"/>
      <c r="I2806" s="2118"/>
      <c r="J2806" s="2134" t="s">
        <v>718</v>
      </c>
      <c r="K2806" s="2123">
        <f>SUM(K2804:K2805)</f>
        <v>11070</v>
      </c>
      <c r="L2806" s="192"/>
      <c r="M2806" s="568"/>
    </row>
    <row r="2807" spans="1:19" ht="12.75" hidden="1">
      <c r="A2807" s="2114"/>
      <c r="B2807" s="568"/>
      <c r="C2807" s="568"/>
      <c r="D2807" s="568"/>
      <c r="E2807" s="188"/>
      <c r="F2807" s="188"/>
      <c r="G2807" s="2122"/>
      <c r="H2807" s="568"/>
      <c r="I2807" s="2118"/>
      <c r="J2807" s="2134"/>
      <c r="K2807" s="2123">
        <f>K2806+K2802</f>
        <v>18714.595999999998</v>
      </c>
      <c r="L2807" s="192"/>
      <c r="M2807" s="568"/>
    </row>
    <row r="2808" spans="1:19" ht="12.75" hidden="1">
      <c r="A2808" s="2114"/>
      <c r="B2808" s="568" t="s">
        <v>3664</v>
      </c>
      <c r="C2808" s="568"/>
      <c r="D2808" s="568"/>
      <c r="E2808" s="188"/>
      <c r="F2808" s="188"/>
      <c r="G2808" s="2122"/>
      <c r="H2808" s="2135">
        <f>H2789</f>
        <v>7.4999999999999997E-2</v>
      </c>
      <c r="I2808" s="2134">
        <f>K2807</f>
        <v>18714.595999999998</v>
      </c>
      <c r="J2808" s="2134"/>
      <c r="K2808" s="2123">
        <f>ROUND(I2808*H2808,2)</f>
        <v>1403.59</v>
      </c>
      <c r="L2808" s="192"/>
      <c r="M2808" s="568"/>
    </row>
    <row r="2809" spans="1:19" ht="12.75" hidden="1">
      <c r="A2809" s="2114"/>
      <c r="B2809" s="568" t="s">
        <v>3665</v>
      </c>
      <c r="C2809" s="568"/>
      <c r="D2809" s="568"/>
      <c r="E2809" s="188"/>
      <c r="F2809" s="188"/>
      <c r="G2809" s="2122"/>
      <c r="H2809" s="2135">
        <f>H2808</f>
        <v>7.4999999999999997E-2</v>
      </c>
      <c r="I2809" s="2134">
        <f>I2808</f>
        <v>18714.595999999998</v>
      </c>
      <c r="J2809" s="2134"/>
      <c r="K2809" s="2123">
        <f>ROUND(I2809*H2809,2)</f>
        <v>1403.59</v>
      </c>
      <c r="L2809" s="192"/>
      <c r="M2809" s="568"/>
    </row>
    <row r="2810" spans="1:19" ht="12.75" hidden="1">
      <c r="A2810" s="2114"/>
      <c r="B2810" s="568"/>
      <c r="C2810" s="568"/>
      <c r="D2810" s="568"/>
      <c r="E2810" s="188"/>
      <c r="F2810" s="188"/>
      <c r="G2810" s="2122"/>
      <c r="H2810" s="568"/>
      <c r="I2810" s="2118"/>
      <c r="J2810" s="2134" t="s">
        <v>718</v>
      </c>
      <c r="K2810" s="2123">
        <f>K2802+K2806</f>
        <v>18714.595999999998</v>
      </c>
      <c r="L2810" s="192"/>
      <c r="M2810" s="568"/>
      <c r="O2810" s="1991">
        <f>ROUND(K2806/23.9,2)</f>
        <v>463.18</v>
      </c>
      <c r="P2810" s="1706" t="s">
        <v>3149</v>
      </c>
    </row>
    <row r="2811" spans="1:19" ht="12.75" hidden="1">
      <c r="A2811" s="2114"/>
      <c r="B2811" s="568" t="s">
        <v>859</v>
      </c>
      <c r="C2811" s="568"/>
      <c r="D2811" s="568"/>
      <c r="E2811" s="188"/>
      <c r="F2811" s="188"/>
      <c r="G2811" s="2122"/>
      <c r="H2811" s="568"/>
      <c r="I2811" s="2118"/>
      <c r="J2811" s="2123"/>
      <c r="K2811" s="2123">
        <f>ROUND(K2810/23.9,2)</f>
        <v>783.04</v>
      </c>
      <c r="L2811" s="192"/>
      <c r="M2811" s="568"/>
      <c r="O2811" s="1991">
        <f>K2811-O2810</f>
        <v>319.85999999999996</v>
      </c>
      <c r="P2811" s="1706" t="s">
        <v>26</v>
      </c>
    </row>
    <row r="2812" spans="1:19" ht="12.75" hidden="1">
      <c r="A2812" s="2114"/>
      <c r="B2812" s="192" t="s">
        <v>3738</v>
      </c>
      <c r="C2812" s="2142">
        <v>0.01</v>
      </c>
      <c r="D2812" s="568"/>
      <c r="E2812" s="188"/>
      <c r="F2812" s="188"/>
      <c r="G2812" s="2122"/>
      <c r="H2812" s="568"/>
      <c r="I2812" s="2118"/>
      <c r="J2812" s="2134"/>
      <c r="K2812" s="2123">
        <f>ROUND(K2811*C2812,2)</f>
        <v>7.83</v>
      </c>
      <c r="L2812" s="192"/>
      <c r="M2812" s="568"/>
      <c r="O2812" s="1991"/>
      <c r="P2812" s="1706"/>
    </row>
    <row r="2813" spans="1:19" ht="12.75" hidden="1">
      <c r="A2813" s="2114"/>
      <c r="B2813" s="568"/>
      <c r="C2813" s="568"/>
      <c r="D2813" s="568"/>
      <c r="E2813" s="188"/>
      <c r="F2813" s="188"/>
      <c r="G2813" s="2122"/>
      <c r="H2813" s="568"/>
      <c r="I2813" s="2118"/>
      <c r="J2813" s="2124" t="s">
        <v>839</v>
      </c>
      <c r="K2813" s="2124">
        <f>SUM(K2811:K2812)</f>
        <v>790.87</v>
      </c>
      <c r="L2813" s="192" t="s">
        <v>730</v>
      </c>
      <c r="M2813" s="568"/>
      <c r="R2813" s="1706">
        <f>K2811/1.1</f>
        <v>711.85454545454536</v>
      </c>
      <c r="S2813" s="1705">
        <f>R2813*1.2</f>
        <v>854.22545454545445</v>
      </c>
    </row>
    <row r="2814" spans="1:19" ht="12.75" hidden="1">
      <c r="A2814" s="2114" t="str">
        <f>A503</f>
        <v>(ii)</v>
      </c>
      <c r="B2814" s="192" t="str">
        <f>B503</f>
        <v>First Floor</v>
      </c>
      <c r="C2814" s="568"/>
      <c r="D2814" s="568"/>
      <c r="E2814" s="188"/>
      <c r="F2814" s="188"/>
      <c r="G2814" s="2122"/>
      <c r="H2814" s="568"/>
      <c r="I2814" s="2118"/>
      <c r="J2814" s="2123"/>
      <c r="K2814" s="2123"/>
      <c r="L2814" s="192"/>
      <c r="M2814" s="568"/>
    </row>
    <row r="2815" spans="1:19" ht="12.75" hidden="1">
      <c r="A2815" s="2114"/>
      <c r="B2815" s="568" t="s">
        <v>861</v>
      </c>
      <c r="C2815" s="568"/>
      <c r="D2815" s="568"/>
      <c r="E2815" s="188"/>
      <c r="F2815" s="188"/>
      <c r="G2815" s="2122"/>
      <c r="H2815" s="568"/>
      <c r="I2815" s="2118"/>
      <c r="J2815" s="2124"/>
      <c r="K2815" s="2123">
        <f>K2811</f>
        <v>783.04</v>
      </c>
      <c r="L2815" s="568" t="str">
        <f>L2813</f>
        <v>Per Sqm</v>
      </c>
      <c r="M2815" s="568"/>
      <c r="R2815" s="1706"/>
    </row>
    <row r="2816" spans="1:19" ht="12.75" hidden="1">
      <c r="A2816" s="2114"/>
      <c r="B2816" s="568" t="s">
        <v>862</v>
      </c>
      <c r="C2816" s="568"/>
      <c r="D2816" s="568"/>
      <c r="E2816" s="188"/>
      <c r="F2816" s="188"/>
      <c r="G2816" s="2122"/>
      <c r="H2816" s="2125">
        <v>0.2</v>
      </c>
      <c r="I2816" s="2134">
        <f>K2806/23.9</f>
        <v>463.17991631799168</v>
      </c>
      <c r="J2816" s="2124"/>
      <c r="K2816" s="2124">
        <f>ROUND(I2816*H2816,2)</f>
        <v>92.64</v>
      </c>
      <c r="L2816" s="568" t="str">
        <f>L2815</f>
        <v>Per Sqm</v>
      </c>
      <c r="M2816" s="568"/>
      <c r="O2816" s="1991">
        <f>O2810+K2816</f>
        <v>555.82000000000005</v>
      </c>
      <c r="P2816" s="1706" t="s">
        <v>3149</v>
      </c>
      <c r="R2816" s="1706"/>
    </row>
    <row r="2817" spans="1:18" ht="12.75" hidden="1">
      <c r="A2817" s="2114"/>
      <c r="B2817" s="568" t="s">
        <v>3664</v>
      </c>
      <c r="C2817" s="568"/>
      <c r="D2817" s="568"/>
      <c r="E2817" s="188"/>
      <c r="F2817" s="188"/>
      <c r="G2817" s="2122"/>
      <c r="H2817" s="2135">
        <f>H2808</f>
        <v>7.4999999999999997E-2</v>
      </c>
      <c r="I2817" s="2134">
        <f>K2816</f>
        <v>92.64</v>
      </c>
      <c r="J2817" s="2134"/>
      <c r="K2817" s="2123">
        <f>ROUND(I2817*H2817,2)</f>
        <v>6.95</v>
      </c>
      <c r="L2817" s="568"/>
      <c r="M2817" s="568"/>
      <c r="O2817" s="1991"/>
      <c r="P2817" s="1706"/>
      <c r="R2817" s="1706"/>
    </row>
    <row r="2818" spans="1:18" ht="12.75" hidden="1">
      <c r="A2818" s="2114"/>
      <c r="B2818" s="568" t="s">
        <v>3665</v>
      </c>
      <c r="C2818" s="568"/>
      <c r="D2818" s="568"/>
      <c r="E2818" s="188"/>
      <c r="F2818" s="188"/>
      <c r="G2818" s="2122"/>
      <c r="H2818" s="2135">
        <f>H2817</f>
        <v>7.4999999999999997E-2</v>
      </c>
      <c r="I2818" s="2134">
        <f>I2817</f>
        <v>92.64</v>
      </c>
      <c r="J2818" s="2134"/>
      <c r="K2818" s="2123">
        <f>ROUND(I2818*H2818,2)</f>
        <v>6.95</v>
      </c>
      <c r="L2818" s="568"/>
      <c r="M2818" s="568"/>
      <c r="O2818" s="1991"/>
      <c r="P2818" s="1706"/>
      <c r="R2818" s="1706"/>
    </row>
    <row r="2819" spans="1:18" ht="14.45" hidden="1" customHeight="1">
      <c r="A2819" s="2114"/>
      <c r="B2819" s="568"/>
      <c r="C2819" s="568"/>
      <c r="D2819" s="568"/>
      <c r="E2819" s="188"/>
      <c r="F2819" s="188"/>
      <c r="G2819" s="2122"/>
      <c r="H2819" s="568"/>
      <c r="I2819" s="2118"/>
      <c r="J2819" s="2124"/>
      <c r="K2819" s="2123">
        <f>SUM(K2815:K2816)</f>
        <v>875.68</v>
      </c>
      <c r="L2819" s="568" t="str">
        <f>L2815</f>
        <v>Per Sqm</v>
      </c>
      <c r="M2819" s="568"/>
      <c r="O2819" s="1991">
        <f>K2819-O2816</f>
        <v>319.8599999999999</v>
      </c>
      <c r="P2819" s="1706" t="s">
        <v>26</v>
      </c>
      <c r="R2819" s="1706"/>
    </row>
    <row r="2820" spans="1:18" ht="14.45" hidden="1" customHeight="1">
      <c r="A2820" s="2114"/>
      <c r="B2820" s="192" t="s">
        <v>3738</v>
      </c>
      <c r="C2820" s="2142">
        <v>0.01</v>
      </c>
      <c r="D2820" s="568"/>
      <c r="E2820" s="188"/>
      <c r="F2820" s="188"/>
      <c r="G2820" s="2122"/>
      <c r="H2820" s="568"/>
      <c r="I2820" s="2118"/>
      <c r="J2820" s="2134"/>
      <c r="K2820" s="2123">
        <f>ROUND(K2819*C2820,2)</f>
        <v>8.76</v>
      </c>
      <c r="L2820" s="568"/>
      <c r="M2820" s="568"/>
      <c r="O2820" s="1991"/>
      <c r="P2820" s="1706"/>
      <c r="R2820" s="1706"/>
    </row>
    <row r="2821" spans="1:18" ht="12.75" hidden="1">
      <c r="A2821" s="2114"/>
      <c r="B2821" s="568"/>
      <c r="C2821" s="568"/>
      <c r="D2821" s="568"/>
      <c r="E2821" s="188"/>
      <c r="F2821" s="188"/>
      <c r="G2821" s="2122"/>
      <c r="H2821" s="568"/>
      <c r="I2821" s="2118"/>
      <c r="J2821" s="2124" t="s">
        <v>839</v>
      </c>
      <c r="K2821" s="2124">
        <f>SUM(K2819:K2820)</f>
        <v>884.43999999999994</v>
      </c>
      <c r="L2821" s="192" t="s">
        <v>730</v>
      </c>
      <c r="M2821" s="568"/>
      <c r="R2821" s="1706"/>
    </row>
    <row r="2822" spans="1:18" ht="12.75" hidden="1">
      <c r="A2822" s="2114" t="str">
        <f>A504</f>
        <v>(iii)</v>
      </c>
      <c r="B2822" s="192" t="str">
        <f>B504</f>
        <v>Second Floor</v>
      </c>
      <c r="C2822" s="568"/>
      <c r="D2822" s="568"/>
      <c r="E2822" s="188"/>
      <c r="F2822" s="188"/>
      <c r="G2822" s="2122"/>
      <c r="H2822" s="568"/>
      <c r="I2822" s="2118"/>
      <c r="J2822" s="2123"/>
      <c r="K2822" s="2123"/>
      <c r="L2822" s="192"/>
      <c r="M2822" s="568"/>
    </row>
    <row r="2823" spans="1:18" ht="12.75" hidden="1">
      <c r="A2823" s="2114"/>
      <c r="B2823" s="568" t="str">
        <f>B2779</f>
        <v>Rtae as 1st floor</v>
      </c>
      <c r="C2823" s="568"/>
      <c r="D2823" s="568"/>
      <c r="E2823" s="188"/>
      <c r="F2823" s="188"/>
      <c r="G2823" s="2122"/>
      <c r="H2823" s="568"/>
      <c r="I2823" s="2118"/>
      <c r="J2823" s="2124"/>
      <c r="K2823" s="2123">
        <f>K2819</f>
        <v>875.68</v>
      </c>
      <c r="L2823" s="568" t="str">
        <f>L2821</f>
        <v>Per Sqm</v>
      </c>
      <c r="M2823" s="568"/>
      <c r="R2823" s="1706"/>
    </row>
    <row r="2824" spans="1:18" ht="12.75" hidden="1">
      <c r="A2824" s="2114"/>
      <c r="B2824" s="568" t="str">
        <f>B2780</f>
        <v>Add @ 20% extra for 2nd floor</v>
      </c>
      <c r="C2824" s="568"/>
      <c r="D2824" s="568"/>
      <c r="E2824" s="188"/>
      <c r="F2824" s="188"/>
      <c r="G2824" s="2122"/>
      <c r="H2824" s="2125">
        <v>0.2</v>
      </c>
      <c r="I2824" s="2134">
        <f>I2816+K2816</f>
        <v>555.81991631799167</v>
      </c>
      <c r="J2824" s="2124"/>
      <c r="K2824" s="2124">
        <f>ROUND(I2824*H2824,2)</f>
        <v>111.16</v>
      </c>
      <c r="L2824" s="568" t="str">
        <f>L2823</f>
        <v>Per Sqm</v>
      </c>
      <c r="M2824" s="568"/>
      <c r="O2824" s="1991">
        <f>O2816+K2824</f>
        <v>666.98</v>
      </c>
      <c r="P2824" s="1706" t="s">
        <v>3149</v>
      </c>
      <c r="R2824" s="1706"/>
    </row>
    <row r="2825" spans="1:18" ht="12.75" hidden="1">
      <c r="A2825" s="2114"/>
      <c r="B2825" s="568" t="s">
        <v>3664</v>
      </c>
      <c r="C2825" s="568"/>
      <c r="D2825" s="568"/>
      <c r="E2825" s="188"/>
      <c r="F2825" s="188"/>
      <c r="G2825" s="2122"/>
      <c r="H2825" s="2135">
        <f>H2817</f>
        <v>7.4999999999999997E-2</v>
      </c>
      <c r="I2825" s="2134">
        <f>K2824</f>
        <v>111.16</v>
      </c>
      <c r="J2825" s="2134"/>
      <c r="K2825" s="2123">
        <f>ROUND(I2825*H2825,2)</f>
        <v>8.34</v>
      </c>
      <c r="L2825" s="568"/>
      <c r="M2825" s="568"/>
      <c r="O2825" s="1991"/>
      <c r="P2825" s="1706"/>
      <c r="R2825" s="1706"/>
    </row>
    <row r="2826" spans="1:18" ht="12.75" hidden="1">
      <c r="A2826" s="2114"/>
      <c r="B2826" s="568" t="s">
        <v>3665</v>
      </c>
      <c r="C2826" s="568"/>
      <c r="D2826" s="568"/>
      <c r="E2826" s="188"/>
      <c r="F2826" s="188"/>
      <c r="G2826" s="2122"/>
      <c r="H2826" s="2135">
        <f>H2825</f>
        <v>7.4999999999999997E-2</v>
      </c>
      <c r="I2826" s="2134">
        <f>I2825</f>
        <v>111.16</v>
      </c>
      <c r="J2826" s="2134"/>
      <c r="K2826" s="2123">
        <f>ROUND(I2826*H2826,2)</f>
        <v>8.34</v>
      </c>
      <c r="L2826" s="568"/>
      <c r="M2826" s="568"/>
      <c r="O2826" s="1991"/>
      <c r="P2826" s="1706"/>
      <c r="R2826" s="1706"/>
    </row>
    <row r="2827" spans="1:18" ht="12.75" hidden="1">
      <c r="A2827" s="2114"/>
      <c r="B2827" s="568"/>
      <c r="C2827" s="568"/>
      <c r="D2827" s="568"/>
      <c r="E2827" s="188"/>
      <c r="F2827" s="188"/>
      <c r="G2827" s="2122"/>
      <c r="H2827" s="568"/>
      <c r="I2827" s="2118"/>
      <c r="J2827" s="2124"/>
      <c r="K2827" s="2123">
        <f>SUM(K2823:K2824)</f>
        <v>986.83999999999992</v>
      </c>
      <c r="L2827" s="568" t="str">
        <f>L2823</f>
        <v>Per Sqm</v>
      </c>
      <c r="M2827" s="568"/>
      <c r="O2827" s="1991">
        <f>K2827-O2824</f>
        <v>319.8599999999999</v>
      </c>
      <c r="P2827" s="1706" t="s">
        <v>26</v>
      </c>
      <c r="R2827" s="1706"/>
    </row>
    <row r="2828" spans="1:18" ht="12.75" hidden="1">
      <c r="A2828" s="2114"/>
      <c r="B2828" s="192" t="s">
        <v>3738</v>
      </c>
      <c r="C2828" s="2142">
        <v>0.01</v>
      </c>
      <c r="D2828" s="568"/>
      <c r="E2828" s="188"/>
      <c r="F2828" s="188"/>
      <c r="G2828" s="2122"/>
      <c r="H2828" s="568"/>
      <c r="I2828" s="2118"/>
      <c r="J2828" s="2134"/>
      <c r="K2828" s="2123">
        <f>ROUND(K2827*C2828,2)</f>
        <v>9.8699999999999992</v>
      </c>
      <c r="L2828" s="568"/>
      <c r="M2828" s="568"/>
      <c r="O2828" s="1991"/>
      <c r="P2828" s="1706"/>
      <c r="R2828" s="1706"/>
    </row>
    <row r="2829" spans="1:18" ht="12.75" hidden="1">
      <c r="A2829" s="2114"/>
      <c r="B2829" s="568"/>
      <c r="C2829" s="568"/>
      <c r="D2829" s="568"/>
      <c r="E2829" s="188"/>
      <c r="F2829" s="188"/>
      <c r="G2829" s="2122"/>
      <c r="H2829" s="568"/>
      <c r="I2829" s="2118"/>
      <c r="J2829" s="2124" t="s">
        <v>839</v>
      </c>
      <c r="K2829" s="2124">
        <f>SUM(K2827:K2828)</f>
        <v>996.70999999999992</v>
      </c>
      <c r="L2829" s="192" t="s">
        <v>730</v>
      </c>
      <c r="M2829" s="568"/>
      <c r="R2829" s="1706"/>
    </row>
    <row r="2830" spans="1:18" ht="12.75" hidden="1">
      <c r="A2830" s="2114" t="str">
        <f>A505</f>
        <v>(iv)</v>
      </c>
      <c r="B2830" s="192" t="str">
        <f>B505</f>
        <v>Third Floor</v>
      </c>
      <c r="C2830" s="568"/>
      <c r="D2830" s="568"/>
      <c r="E2830" s="188"/>
      <c r="F2830" s="188"/>
      <c r="G2830" s="2122"/>
      <c r="H2830" s="568"/>
      <c r="I2830" s="2118"/>
      <c r="J2830" s="2123"/>
      <c r="K2830" s="2123"/>
      <c r="L2830" s="192"/>
      <c r="M2830" s="568"/>
    </row>
    <row r="2831" spans="1:18" ht="12.75" hidden="1">
      <c r="A2831" s="2114"/>
      <c r="B2831" s="568" t="str">
        <f>B2787</f>
        <v>Rtae as 1st floor</v>
      </c>
      <c r="C2831" s="568"/>
      <c r="D2831" s="568"/>
      <c r="E2831" s="188"/>
      <c r="F2831" s="188"/>
      <c r="G2831" s="2122"/>
      <c r="H2831" s="568"/>
      <c r="I2831" s="2118"/>
      <c r="J2831" s="2124"/>
      <c r="K2831" s="2123">
        <f>K2827</f>
        <v>986.83999999999992</v>
      </c>
      <c r="L2831" s="568" t="str">
        <f>L2829</f>
        <v>Per Sqm</v>
      </c>
      <c r="M2831" s="568"/>
      <c r="R2831" s="1706"/>
    </row>
    <row r="2832" spans="1:18" ht="12.75" hidden="1">
      <c r="A2832" s="2114"/>
      <c r="B2832" s="568" t="str">
        <f>B2788</f>
        <v>Add @ 20% extra for 2nd floor</v>
      </c>
      <c r="C2832" s="568"/>
      <c r="D2832" s="568"/>
      <c r="E2832" s="188"/>
      <c r="F2832" s="188"/>
      <c r="G2832" s="2122"/>
      <c r="H2832" s="2125">
        <v>0.2</v>
      </c>
      <c r="I2832" s="2134">
        <f>I2824+K2824</f>
        <v>666.97991631799164</v>
      </c>
      <c r="J2832" s="2124"/>
      <c r="K2832" s="2124">
        <f>ROUND(I2832*H2832,2)</f>
        <v>133.4</v>
      </c>
      <c r="L2832" s="568" t="str">
        <f>L2831</f>
        <v>Per Sqm</v>
      </c>
      <c r="M2832" s="568"/>
      <c r="O2832" s="1991">
        <f>O2824+K2832</f>
        <v>800.38</v>
      </c>
      <c r="P2832" s="1706" t="s">
        <v>3149</v>
      </c>
      <c r="R2832" s="1706"/>
    </row>
    <row r="2833" spans="1:18" ht="12.75" hidden="1">
      <c r="A2833" s="2114"/>
      <c r="B2833" s="568" t="s">
        <v>3664</v>
      </c>
      <c r="C2833" s="568"/>
      <c r="D2833" s="568"/>
      <c r="E2833" s="188"/>
      <c r="F2833" s="188"/>
      <c r="G2833" s="2122"/>
      <c r="H2833" s="2135">
        <f>H2825</f>
        <v>7.4999999999999997E-2</v>
      </c>
      <c r="I2833" s="2134">
        <f>K2832</f>
        <v>133.4</v>
      </c>
      <c r="J2833" s="2134"/>
      <c r="K2833" s="2123">
        <f>ROUND(I2833*H2833,2)</f>
        <v>10.01</v>
      </c>
      <c r="L2833" s="568"/>
      <c r="M2833" s="568"/>
      <c r="O2833" s="1991"/>
      <c r="P2833" s="1706"/>
      <c r="R2833" s="1706"/>
    </row>
    <row r="2834" spans="1:18" ht="12.75" hidden="1">
      <c r="A2834" s="2114"/>
      <c r="B2834" s="568" t="s">
        <v>3665</v>
      </c>
      <c r="C2834" s="568"/>
      <c r="D2834" s="568"/>
      <c r="E2834" s="188"/>
      <c r="F2834" s="188"/>
      <c r="G2834" s="2122"/>
      <c r="H2834" s="2135">
        <f>H2833</f>
        <v>7.4999999999999997E-2</v>
      </c>
      <c r="I2834" s="2134">
        <f>I2833</f>
        <v>133.4</v>
      </c>
      <c r="J2834" s="2134"/>
      <c r="K2834" s="2123">
        <f>ROUND(I2834*H2834,2)</f>
        <v>10.01</v>
      </c>
      <c r="L2834" s="568"/>
      <c r="M2834" s="568"/>
      <c r="O2834" s="1991"/>
      <c r="P2834" s="1706"/>
      <c r="R2834" s="1706"/>
    </row>
    <row r="2835" spans="1:18" ht="12.75" hidden="1">
      <c r="A2835" s="2114"/>
      <c r="B2835" s="568"/>
      <c r="C2835" s="568"/>
      <c r="D2835" s="568"/>
      <c r="E2835" s="188"/>
      <c r="F2835" s="188"/>
      <c r="G2835" s="2122"/>
      <c r="H2835" s="568"/>
      <c r="I2835" s="2118"/>
      <c r="J2835" s="2124"/>
      <c r="K2835" s="2123">
        <f>SUM(K2831:K2832)</f>
        <v>1120.24</v>
      </c>
      <c r="L2835" s="568" t="str">
        <f>L2831</f>
        <v>Per Sqm</v>
      </c>
      <c r="M2835" s="568"/>
      <c r="O2835" s="1991">
        <f>K2835-O2832</f>
        <v>319.86</v>
      </c>
      <c r="P2835" s="1706" t="s">
        <v>26</v>
      </c>
      <c r="R2835" s="1706"/>
    </row>
    <row r="2836" spans="1:18" ht="12.75" hidden="1">
      <c r="A2836" s="2114"/>
      <c r="B2836" s="192" t="s">
        <v>3738</v>
      </c>
      <c r="C2836" s="2142">
        <v>0.01</v>
      </c>
      <c r="D2836" s="568"/>
      <c r="E2836" s="188"/>
      <c r="F2836" s="188"/>
      <c r="G2836" s="2122"/>
      <c r="H2836" s="568"/>
      <c r="I2836" s="2118"/>
      <c r="J2836" s="2134"/>
      <c r="K2836" s="2123">
        <f>ROUND(K2835*C2836,2)</f>
        <v>11.2</v>
      </c>
      <c r="L2836" s="568"/>
      <c r="M2836" s="568"/>
      <c r="O2836" s="1991"/>
      <c r="P2836" s="1706"/>
      <c r="R2836" s="1706"/>
    </row>
    <row r="2837" spans="1:18" ht="12.75" hidden="1">
      <c r="A2837" s="2114"/>
      <c r="B2837" s="568"/>
      <c r="C2837" s="568"/>
      <c r="D2837" s="568"/>
      <c r="E2837" s="188"/>
      <c r="F2837" s="188"/>
      <c r="G2837" s="2122"/>
      <c r="H2837" s="568"/>
      <c r="I2837" s="2118"/>
      <c r="J2837" s="2124" t="s">
        <v>839</v>
      </c>
      <c r="K2837" s="2124">
        <f>SUM(K2835:K2836)</f>
        <v>1131.44</v>
      </c>
      <c r="L2837" s="192" t="s">
        <v>730</v>
      </c>
      <c r="M2837" s="568"/>
      <c r="R2837" s="1706"/>
    </row>
    <row r="2838" spans="1:18" ht="12.75">
      <c r="A2838" s="2114" t="s">
        <v>878</v>
      </c>
      <c r="B2838" s="192" t="s">
        <v>879</v>
      </c>
      <c r="C2838" s="568"/>
      <c r="D2838" s="568"/>
      <c r="E2838" s="188" t="s">
        <v>38</v>
      </c>
      <c r="F2838" s="188"/>
      <c r="G2838" s="2122"/>
      <c r="H2838" s="568"/>
      <c r="I2838" s="2118"/>
      <c r="J2838" s="2123"/>
      <c r="K2838" s="2123"/>
      <c r="L2838" s="192"/>
      <c r="M2838" s="568"/>
    </row>
    <row r="2839" spans="1:18" ht="12.75">
      <c r="A2839" s="2114"/>
      <c r="B2839" s="568" t="s">
        <v>880</v>
      </c>
      <c r="C2839" s="568"/>
      <c r="D2839" s="568"/>
      <c r="E2839" s="188" t="s">
        <v>92</v>
      </c>
      <c r="F2839" s="188"/>
      <c r="G2839" s="2122"/>
      <c r="H2839" s="568"/>
      <c r="I2839" s="2118"/>
      <c r="J2839" s="2123"/>
      <c r="K2839" s="2123"/>
      <c r="L2839" s="192"/>
      <c r="M2839" s="568"/>
    </row>
    <row r="2840" spans="1:18" ht="12.75">
      <c r="A2840" s="2114" t="s">
        <v>201</v>
      </c>
      <c r="B2840" s="192" t="s">
        <v>26</v>
      </c>
      <c r="C2840" s="568"/>
      <c r="D2840" s="568"/>
      <c r="E2840" s="188"/>
      <c r="F2840" s="188"/>
      <c r="G2840" s="2122"/>
      <c r="H2840" s="568"/>
      <c r="I2840" s="2118"/>
      <c r="J2840" s="2123"/>
      <c r="K2840" s="2123"/>
      <c r="L2840" s="192"/>
      <c r="M2840" s="568"/>
    </row>
    <row r="2841" spans="1:18" ht="12.75">
      <c r="A2841" s="2114"/>
      <c r="B2841" s="568" t="s">
        <v>866</v>
      </c>
      <c r="C2841" s="568"/>
      <c r="D2841" s="568"/>
      <c r="E2841" s="188"/>
      <c r="F2841" s="188"/>
      <c r="G2841" s="2122">
        <v>0.41299999999999998</v>
      </c>
      <c r="H2841" s="568" t="s">
        <v>49</v>
      </c>
      <c r="I2841" s="2118" t="s">
        <v>49</v>
      </c>
      <c r="J2841" s="2123">
        <f>G70</f>
        <v>58374.79</v>
      </c>
      <c r="K2841" s="2123">
        <f>ROUND(G2841*J2841,2)</f>
        <v>24108.79</v>
      </c>
      <c r="L2841" s="192"/>
      <c r="M2841" s="568"/>
    </row>
    <row r="2842" spans="1:18" ht="12.75">
      <c r="A2842" s="2114"/>
      <c r="B2842" s="568" t="s">
        <v>209</v>
      </c>
      <c r="C2842" s="568"/>
      <c r="D2842" s="568"/>
      <c r="E2842" s="188"/>
      <c r="F2842" s="188"/>
      <c r="G2842" s="2122">
        <v>21</v>
      </c>
      <c r="H2842" s="568" t="s">
        <v>136</v>
      </c>
      <c r="I2842" s="2118" t="s">
        <v>136</v>
      </c>
      <c r="J2842" s="2123">
        <f>G74</f>
        <v>41.81</v>
      </c>
      <c r="K2842" s="2123">
        <f>ROUND(G2842*J2842,2)</f>
        <v>878.01</v>
      </c>
      <c r="L2842" s="192"/>
      <c r="M2842" s="568"/>
    </row>
    <row r="2843" spans="1:18" ht="12.75">
      <c r="A2843" s="2114"/>
      <c r="B2843" s="568" t="s">
        <v>855</v>
      </c>
      <c r="C2843" s="568"/>
      <c r="D2843" s="568"/>
      <c r="E2843" s="188"/>
      <c r="F2843" s="188"/>
      <c r="G2843" s="2122">
        <v>0.68899999999999995</v>
      </c>
      <c r="H2843" s="568" t="s">
        <v>49</v>
      </c>
      <c r="I2843" s="2118" t="s">
        <v>49</v>
      </c>
      <c r="J2843" s="2123">
        <f>J2800</f>
        <v>340.976</v>
      </c>
      <c r="K2843" s="2123">
        <f>ROUND(G2843*J2843,2)</f>
        <v>234.93</v>
      </c>
      <c r="L2843" s="192"/>
      <c r="M2843" s="568"/>
    </row>
    <row r="2844" spans="1:18" ht="12.75">
      <c r="A2844" s="2114"/>
      <c r="B2844" s="568"/>
      <c r="C2844" s="568"/>
      <c r="D2844" s="568"/>
      <c r="E2844" s="188"/>
      <c r="F2844" s="188"/>
      <c r="G2844" s="2122"/>
      <c r="H2844" s="568"/>
      <c r="I2844" s="2118"/>
      <c r="J2844" s="2134" t="s">
        <v>718</v>
      </c>
      <c r="K2844" s="2123">
        <f>SUM(K2841:K2843)</f>
        <v>25221.73</v>
      </c>
      <c r="L2844" s="192"/>
      <c r="M2844" s="568"/>
    </row>
    <row r="2845" spans="1:18" ht="12.75">
      <c r="A2845" s="2114"/>
      <c r="B2845" s="568" t="s">
        <v>856</v>
      </c>
      <c r="C2845" s="568"/>
      <c r="D2845" s="568"/>
      <c r="E2845" s="188"/>
      <c r="F2845" s="188"/>
      <c r="G2845" s="2122"/>
      <c r="H2845" s="568"/>
      <c r="I2845" s="2118"/>
      <c r="J2845" s="2123"/>
      <c r="K2845" s="2123">
        <f>K2844/10</f>
        <v>2522.1729999999998</v>
      </c>
      <c r="L2845" s="192"/>
      <c r="M2845" s="568"/>
    </row>
    <row r="2846" spans="1:18" ht="12.75">
      <c r="A2846" s="2114" t="s">
        <v>220</v>
      </c>
      <c r="B2846" s="192" t="s">
        <v>2</v>
      </c>
      <c r="C2846" s="568"/>
      <c r="D2846" s="568"/>
      <c r="E2846" s="188"/>
      <c r="F2846" s="188"/>
      <c r="G2846" s="2122"/>
      <c r="H2846" s="568"/>
      <c r="I2846" s="2118"/>
      <c r="J2846" s="2123"/>
      <c r="K2846" s="2123"/>
      <c r="L2846" s="192"/>
      <c r="M2846" s="568"/>
    </row>
    <row r="2847" spans="1:18" ht="12.75">
      <c r="A2847" s="2114"/>
      <c r="B2847" s="568" t="s">
        <v>742</v>
      </c>
      <c r="C2847" s="568"/>
      <c r="D2847" s="568"/>
      <c r="E2847" s="188"/>
      <c r="F2847" s="188"/>
      <c r="G2847" s="2122">
        <v>1.25</v>
      </c>
      <c r="H2847" s="568" t="s">
        <v>262</v>
      </c>
      <c r="I2847" s="2118" t="s">
        <v>38</v>
      </c>
      <c r="J2847" s="2123">
        <f>L136</f>
        <v>435</v>
      </c>
      <c r="K2847" s="2123">
        <f>ROUND(G2847*J2847,2)</f>
        <v>543.75</v>
      </c>
      <c r="L2847" s="192"/>
      <c r="M2847" s="568"/>
    </row>
    <row r="2848" spans="1:18" ht="12.75">
      <c r="A2848" s="2114"/>
      <c r="B2848" s="568" t="s">
        <v>858</v>
      </c>
      <c r="C2848" s="568"/>
      <c r="D2848" s="568"/>
      <c r="E2848" s="188"/>
      <c r="F2848" s="188"/>
      <c r="G2848" s="2122">
        <v>1.25</v>
      </c>
      <c r="H2848" s="568" t="s">
        <v>262</v>
      </c>
      <c r="I2848" s="2118" t="s">
        <v>38</v>
      </c>
      <c r="J2848" s="2123">
        <f>L135</f>
        <v>385</v>
      </c>
      <c r="K2848" s="2123">
        <f>ROUND(G2848*J2848,2)</f>
        <v>481.25</v>
      </c>
      <c r="L2848" s="192"/>
      <c r="M2848" s="568"/>
    </row>
    <row r="2849" spans="1:19" ht="12.75">
      <c r="A2849" s="2114"/>
      <c r="B2849" s="568"/>
      <c r="C2849" s="568"/>
      <c r="D2849" s="568"/>
      <c r="E2849" s="188"/>
      <c r="F2849" s="188"/>
      <c r="G2849" s="2122"/>
      <c r="H2849" s="568"/>
      <c r="I2849" s="2118"/>
      <c r="J2849" s="2134" t="s">
        <v>718</v>
      </c>
      <c r="K2849" s="2123">
        <f>SUM(K2847:K2848)</f>
        <v>1025</v>
      </c>
      <c r="L2849" s="192"/>
      <c r="M2849" s="568"/>
    </row>
    <row r="2850" spans="1:19" ht="12.75">
      <c r="A2850" s="2114"/>
      <c r="B2850" s="568"/>
      <c r="C2850" s="568"/>
      <c r="D2850" s="568"/>
      <c r="E2850" s="188"/>
      <c r="F2850" s="188"/>
      <c r="G2850" s="2122"/>
      <c r="H2850" s="568"/>
      <c r="I2850" s="2118"/>
      <c r="J2850" s="2134"/>
      <c r="K2850" s="2123">
        <f>K2845+K2849</f>
        <v>3547.1729999999998</v>
      </c>
      <c r="L2850" s="192"/>
      <c r="M2850" s="568"/>
    </row>
    <row r="2851" spans="1:19" ht="12.75">
      <c r="A2851" s="2114"/>
      <c r="B2851" s="568" t="s">
        <v>3664</v>
      </c>
      <c r="C2851" s="568"/>
      <c r="D2851" s="568"/>
      <c r="E2851" s="188"/>
      <c r="F2851" s="188"/>
      <c r="G2851" s="2122"/>
      <c r="H2851" s="2135">
        <f>H2834</f>
        <v>7.4999999999999997E-2</v>
      </c>
      <c r="I2851" s="2134">
        <f>K2850</f>
        <v>3547.1729999999998</v>
      </c>
      <c r="J2851" s="2134"/>
      <c r="K2851" s="2123">
        <f>ROUND(I2851*H2851,2)</f>
        <v>266.04000000000002</v>
      </c>
      <c r="L2851" s="192"/>
      <c r="M2851" s="568"/>
    </row>
    <row r="2852" spans="1:19" ht="12.75">
      <c r="A2852" s="2114"/>
      <c r="B2852" s="568" t="s">
        <v>3665</v>
      </c>
      <c r="C2852" s="568"/>
      <c r="D2852" s="568"/>
      <c r="E2852" s="188"/>
      <c r="F2852" s="188"/>
      <c r="G2852" s="2122"/>
      <c r="H2852" s="2135">
        <f>H2851</f>
        <v>7.4999999999999997E-2</v>
      </c>
      <c r="I2852" s="2134">
        <f>I2851</f>
        <v>3547.1729999999998</v>
      </c>
      <c r="J2852" s="2134"/>
      <c r="K2852" s="2123">
        <f>ROUND(I2852*H2852,2)</f>
        <v>266.04000000000002</v>
      </c>
      <c r="L2852" s="192"/>
      <c r="M2852" s="568"/>
    </row>
    <row r="2853" spans="1:19" ht="12.75">
      <c r="A2853" s="2114"/>
      <c r="B2853" s="568"/>
      <c r="C2853" s="568"/>
      <c r="D2853" s="568"/>
      <c r="E2853" s="188"/>
      <c r="F2853" s="188"/>
      <c r="G2853" s="2122"/>
      <c r="H2853" s="568"/>
      <c r="I2853" s="2118"/>
      <c r="J2853" s="2134" t="s">
        <v>718</v>
      </c>
      <c r="K2853" s="2123">
        <f>SUM(K2850:K2852)</f>
        <v>4079.2529999999997</v>
      </c>
      <c r="L2853" s="192"/>
      <c r="M2853" s="568"/>
      <c r="O2853" s="1991">
        <f>ROUND(K2849/7.8,2)</f>
        <v>131.41</v>
      </c>
      <c r="P2853" s="1706" t="s">
        <v>3149</v>
      </c>
    </row>
    <row r="2854" spans="1:19" ht="12.75">
      <c r="A2854" s="2114"/>
      <c r="B2854" s="568" t="s">
        <v>859</v>
      </c>
      <c r="C2854" s="568"/>
      <c r="D2854" s="568"/>
      <c r="E2854" s="188"/>
      <c r="F2854" s="188"/>
      <c r="G2854" s="2122"/>
      <c r="H2854" s="568"/>
      <c r="I2854" s="2118"/>
      <c r="J2854" s="2123"/>
      <c r="K2854" s="2123">
        <f>ROUND(K2853/7.8,2)</f>
        <v>522.98</v>
      </c>
      <c r="L2854" s="192"/>
      <c r="M2854" s="568"/>
      <c r="O2854" s="1991">
        <f>K2854-O2853</f>
        <v>391.57000000000005</v>
      </c>
      <c r="P2854" s="1706" t="s">
        <v>26</v>
      </c>
    </row>
    <row r="2855" spans="1:19" ht="12.75">
      <c r="A2855" s="2114"/>
      <c r="B2855" s="192" t="s">
        <v>3738</v>
      </c>
      <c r="C2855" s="2142">
        <v>0.01</v>
      </c>
      <c r="D2855" s="568"/>
      <c r="E2855" s="188"/>
      <c r="F2855" s="188"/>
      <c r="G2855" s="2122"/>
      <c r="H2855" s="568"/>
      <c r="I2855" s="2118"/>
      <c r="J2855" s="2134"/>
      <c r="K2855" s="2123">
        <f>ROUND(K2854*C2855,2)</f>
        <v>5.23</v>
      </c>
      <c r="L2855" s="192"/>
      <c r="M2855" s="568"/>
      <c r="O2855" s="1991"/>
      <c r="P2855" s="1706"/>
    </row>
    <row r="2856" spans="1:19" ht="12.75">
      <c r="A2856" s="2114"/>
      <c r="B2856" s="568"/>
      <c r="C2856" s="568"/>
      <c r="D2856" s="568"/>
      <c r="E2856" s="188"/>
      <c r="F2856" s="188"/>
      <c r="G2856" s="2122"/>
      <c r="H2856" s="568"/>
      <c r="I2856" s="2118"/>
      <c r="J2856" s="2124" t="s">
        <v>839</v>
      </c>
      <c r="K2856" s="2124">
        <f>SUM(K2854:K2855)</f>
        <v>528.21</v>
      </c>
      <c r="L2856" s="192" t="s">
        <v>730</v>
      </c>
      <c r="M2856" s="568"/>
      <c r="R2856" s="1706">
        <f>K2854/1.1</f>
        <v>475.43636363636364</v>
      </c>
      <c r="S2856" s="1705">
        <f>R2856*1.2</f>
        <v>570.52363636363634</v>
      </c>
    </row>
    <row r="2857" spans="1:19" ht="12.75" hidden="1">
      <c r="A2857" s="2114" t="str">
        <f>A508</f>
        <v>(ii)</v>
      </c>
      <c r="B2857" s="192" t="str">
        <f>B508</f>
        <v>First Floor</v>
      </c>
      <c r="C2857" s="568"/>
      <c r="D2857" s="568"/>
      <c r="E2857" s="188"/>
      <c r="F2857" s="188"/>
      <c r="G2857" s="2122"/>
      <c r="H2857" s="568"/>
      <c r="I2857" s="2118"/>
      <c r="J2857" s="2123"/>
      <c r="K2857" s="2123"/>
      <c r="L2857" s="192"/>
      <c r="M2857" s="568"/>
    </row>
    <row r="2858" spans="1:19" ht="12.75" hidden="1">
      <c r="A2858" s="2114"/>
      <c r="B2858" s="568" t="s">
        <v>3631</v>
      </c>
      <c r="C2858" s="568"/>
      <c r="D2858" s="568"/>
      <c r="E2858" s="188"/>
      <c r="F2858" s="188"/>
      <c r="G2858" s="2122"/>
      <c r="H2858" s="568"/>
      <c r="I2858" s="2118"/>
      <c r="J2858" s="2124"/>
      <c r="K2858" s="2123">
        <f>K2854</f>
        <v>522.98</v>
      </c>
      <c r="L2858" s="568" t="str">
        <f>L2856</f>
        <v>Per Sqm</v>
      </c>
      <c r="M2858" s="568"/>
      <c r="R2858" s="1706"/>
    </row>
    <row r="2859" spans="1:19" ht="12.75" hidden="1">
      <c r="A2859" s="2114"/>
      <c r="B2859" s="568" t="s">
        <v>3630</v>
      </c>
      <c r="C2859" s="568"/>
      <c r="D2859" s="568"/>
      <c r="E2859" s="188"/>
      <c r="F2859" s="188"/>
      <c r="G2859" s="2122"/>
      <c r="H2859" s="2125">
        <v>0.2</v>
      </c>
      <c r="I2859" s="2134">
        <f>K2849/7.8</f>
        <v>131.41025641025641</v>
      </c>
      <c r="J2859" s="2124"/>
      <c r="K2859" s="2124">
        <f>ROUND(I2859*H2859,2)</f>
        <v>26.28</v>
      </c>
      <c r="L2859" s="568" t="str">
        <f>L2858</f>
        <v>Per Sqm</v>
      </c>
      <c r="M2859" s="568"/>
      <c r="O2859" s="1991">
        <f>O2853+K2859</f>
        <v>157.69</v>
      </c>
      <c r="P2859" s="1706" t="s">
        <v>3149</v>
      </c>
      <c r="R2859" s="1706"/>
    </row>
    <row r="2860" spans="1:19" ht="12.75" hidden="1">
      <c r="A2860" s="2114"/>
      <c r="B2860" s="568" t="s">
        <v>3664</v>
      </c>
      <c r="C2860" s="568"/>
      <c r="D2860" s="568"/>
      <c r="E2860" s="188"/>
      <c r="F2860" s="188"/>
      <c r="G2860" s="2122"/>
      <c r="H2860" s="2135">
        <f>H2851</f>
        <v>7.4999999999999997E-2</v>
      </c>
      <c r="I2860" s="2134">
        <f>K2859</f>
        <v>26.28</v>
      </c>
      <c r="J2860" s="2134"/>
      <c r="K2860" s="2123">
        <f>ROUND(I2860*H2860,2)</f>
        <v>1.97</v>
      </c>
      <c r="L2860" s="568"/>
      <c r="M2860" s="568"/>
      <c r="O2860" s="1991"/>
      <c r="P2860" s="1706"/>
      <c r="R2860" s="1706"/>
    </row>
    <row r="2861" spans="1:19" ht="12.75" hidden="1">
      <c r="A2861" s="2114"/>
      <c r="B2861" s="568" t="s">
        <v>3665</v>
      </c>
      <c r="C2861" s="568"/>
      <c r="D2861" s="568"/>
      <c r="E2861" s="188"/>
      <c r="F2861" s="188"/>
      <c r="G2861" s="2122"/>
      <c r="H2861" s="2135">
        <f>H2860</f>
        <v>7.4999999999999997E-2</v>
      </c>
      <c r="I2861" s="2134">
        <f>I2860</f>
        <v>26.28</v>
      </c>
      <c r="J2861" s="2134"/>
      <c r="K2861" s="2123">
        <f>ROUND(I2861*H2861,2)</f>
        <v>1.97</v>
      </c>
      <c r="L2861" s="568"/>
      <c r="M2861" s="568"/>
      <c r="O2861" s="1991"/>
      <c r="P2861" s="1706"/>
      <c r="R2861" s="1706"/>
    </row>
    <row r="2862" spans="1:19" ht="12.75" hidden="1">
      <c r="A2862" s="2114"/>
      <c r="B2862" s="568"/>
      <c r="C2862" s="568"/>
      <c r="D2862" s="568"/>
      <c r="E2862" s="188"/>
      <c r="F2862" s="188"/>
      <c r="G2862" s="2122"/>
      <c r="H2862" s="568"/>
      <c r="I2862" s="2118"/>
      <c r="J2862" s="2124"/>
      <c r="K2862" s="2123">
        <f>SUM(K2858:K2861)</f>
        <v>553.20000000000005</v>
      </c>
      <c r="L2862" s="568" t="str">
        <f>L2858</f>
        <v>Per Sqm</v>
      </c>
      <c r="M2862" s="568"/>
      <c r="O2862" s="1991">
        <f>K2862-O2859</f>
        <v>395.51000000000005</v>
      </c>
      <c r="P2862" s="1706" t="s">
        <v>26</v>
      </c>
      <c r="R2862" s="1706"/>
    </row>
    <row r="2863" spans="1:19" ht="12.75" hidden="1">
      <c r="A2863" s="2114"/>
      <c r="B2863" s="192" t="s">
        <v>3738</v>
      </c>
      <c r="C2863" s="2142">
        <v>0.01</v>
      </c>
      <c r="D2863" s="568"/>
      <c r="E2863" s="188"/>
      <c r="F2863" s="188"/>
      <c r="G2863" s="2122"/>
      <c r="H2863" s="568"/>
      <c r="I2863" s="2118"/>
      <c r="J2863" s="2134"/>
      <c r="K2863" s="2123">
        <f>ROUND(K2862*C2863,2)</f>
        <v>5.53</v>
      </c>
      <c r="L2863" s="568"/>
      <c r="M2863" s="568"/>
      <c r="O2863" s="1991"/>
      <c r="P2863" s="1706"/>
      <c r="R2863" s="1706"/>
    </row>
    <row r="2864" spans="1:19" ht="12.75" hidden="1">
      <c r="A2864" s="2114"/>
      <c r="B2864" s="568"/>
      <c r="C2864" s="568"/>
      <c r="D2864" s="568"/>
      <c r="E2864" s="188"/>
      <c r="F2864" s="188"/>
      <c r="G2864" s="2122"/>
      <c r="H2864" s="568"/>
      <c r="I2864" s="2118"/>
      <c r="J2864" s="2124" t="s">
        <v>839</v>
      </c>
      <c r="K2864" s="2124">
        <f>SUM(K2862:K2863)</f>
        <v>558.73</v>
      </c>
      <c r="L2864" s="192" t="s">
        <v>730</v>
      </c>
      <c r="M2864" s="568"/>
      <c r="Q2864" s="1705" t="s">
        <v>881</v>
      </c>
      <c r="R2864" s="1706"/>
    </row>
    <row r="2865" spans="1:18" ht="12.75" hidden="1">
      <c r="A2865" s="2114" t="str">
        <f>A509</f>
        <v>(iii)</v>
      </c>
      <c r="B2865" s="192" t="str">
        <f>B509</f>
        <v>Second Floor</v>
      </c>
      <c r="C2865" s="568"/>
      <c r="D2865" s="568"/>
      <c r="E2865" s="188"/>
      <c r="F2865" s="188"/>
      <c r="G2865" s="2122"/>
      <c r="H2865" s="568"/>
      <c r="I2865" s="2118"/>
      <c r="J2865" s="2123"/>
      <c r="K2865" s="2123"/>
      <c r="L2865" s="192"/>
      <c r="M2865" s="568"/>
    </row>
    <row r="2866" spans="1:18" ht="12.75" hidden="1">
      <c r="A2866" s="2114"/>
      <c r="B2866" s="568" t="str">
        <f>B2823</f>
        <v>Rtae as 1st floor</v>
      </c>
      <c r="C2866" s="568"/>
      <c r="D2866" s="568"/>
      <c r="E2866" s="188"/>
      <c r="F2866" s="188"/>
      <c r="G2866" s="2122"/>
      <c r="H2866" s="568"/>
      <c r="I2866" s="2118"/>
      <c r="J2866" s="2124"/>
      <c r="K2866" s="2123">
        <f>K2862</f>
        <v>553.20000000000005</v>
      </c>
      <c r="L2866" s="568" t="str">
        <f>L2864</f>
        <v>Per Sqm</v>
      </c>
      <c r="M2866" s="568"/>
      <c r="R2866" s="1706"/>
    </row>
    <row r="2867" spans="1:18" ht="12.75" hidden="1">
      <c r="A2867" s="2114"/>
      <c r="B2867" s="568" t="str">
        <f>B2824</f>
        <v>Add @ 20% extra for 2nd floor</v>
      </c>
      <c r="C2867" s="568"/>
      <c r="D2867" s="568"/>
      <c r="E2867" s="188"/>
      <c r="F2867" s="188"/>
      <c r="G2867" s="2122"/>
      <c r="H2867" s="2125">
        <v>0.2</v>
      </c>
      <c r="I2867" s="2134">
        <f>I2859+K2859</f>
        <v>157.69025641025641</v>
      </c>
      <c r="J2867" s="2124"/>
      <c r="K2867" s="2124">
        <f>ROUND(I2867*H2867,2)</f>
        <v>31.54</v>
      </c>
      <c r="L2867" s="568" t="str">
        <f>L2866</f>
        <v>Per Sqm</v>
      </c>
      <c r="M2867" s="568"/>
      <c r="O2867" s="1991">
        <f>O2859+K2867</f>
        <v>189.23</v>
      </c>
      <c r="P2867" s="1706" t="s">
        <v>3149</v>
      </c>
      <c r="R2867" s="1706"/>
    </row>
    <row r="2868" spans="1:18" ht="12.75" hidden="1">
      <c r="A2868" s="2114"/>
      <c r="B2868" s="568" t="s">
        <v>3664</v>
      </c>
      <c r="C2868" s="568"/>
      <c r="D2868" s="568"/>
      <c r="E2868" s="188"/>
      <c r="F2868" s="188"/>
      <c r="G2868" s="2122"/>
      <c r="H2868" s="2135">
        <f>H2860</f>
        <v>7.4999999999999997E-2</v>
      </c>
      <c r="I2868" s="2134">
        <f>K2867</f>
        <v>31.54</v>
      </c>
      <c r="J2868" s="2134"/>
      <c r="K2868" s="2123">
        <f>ROUND(I2868*H2868,2)</f>
        <v>2.37</v>
      </c>
      <c r="L2868" s="568"/>
      <c r="M2868" s="568"/>
      <c r="O2868" s="1991"/>
      <c r="P2868" s="1706"/>
      <c r="R2868" s="1706"/>
    </row>
    <row r="2869" spans="1:18" ht="12.75" hidden="1">
      <c r="A2869" s="2114"/>
      <c r="B2869" s="568" t="s">
        <v>3665</v>
      </c>
      <c r="C2869" s="568"/>
      <c r="D2869" s="568"/>
      <c r="E2869" s="188"/>
      <c r="F2869" s="188"/>
      <c r="G2869" s="2122"/>
      <c r="H2869" s="2135">
        <f>H2868</f>
        <v>7.4999999999999997E-2</v>
      </c>
      <c r="I2869" s="2134">
        <f>I2868</f>
        <v>31.54</v>
      </c>
      <c r="J2869" s="2134"/>
      <c r="K2869" s="2123">
        <f>ROUND(I2869*H2869,2)</f>
        <v>2.37</v>
      </c>
      <c r="L2869" s="568"/>
      <c r="M2869" s="568"/>
      <c r="O2869" s="1991"/>
      <c r="P2869" s="1706"/>
      <c r="R2869" s="1706"/>
    </row>
    <row r="2870" spans="1:18" ht="12.75" hidden="1">
      <c r="A2870" s="2114"/>
      <c r="B2870" s="568"/>
      <c r="C2870" s="568"/>
      <c r="D2870" s="568"/>
      <c r="E2870" s="188"/>
      <c r="F2870" s="188"/>
      <c r="G2870" s="2122"/>
      <c r="H2870" s="568"/>
      <c r="I2870" s="2118"/>
      <c r="J2870" s="2124"/>
      <c r="K2870" s="2123">
        <f>SUM(K2866:K2869)</f>
        <v>589.48</v>
      </c>
      <c r="L2870" s="568" t="str">
        <f>L2866</f>
        <v>Per Sqm</v>
      </c>
      <c r="M2870" s="568"/>
      <c r="O2870" s="1991">
        <f>K2870-O2867</f>
        <v>400.25</v>
      </c>
      <c r="P2870" s="1706" t="s">
        <v>26</v>
      </c>
      <c r="R2870" s="1706"/>
    </row>
    <row r="2871" spans="1:18" ht="12.75" hidden="1">
      <c r="A2871" s="2114"/>
      <c r="B2871" s="192" t="s">
        <v>3738</v>
      </c>
      <c r="C2871" s="2142">
        <v>0.01</v>
      </c>
      <c r="D2871" s="568"/>
      <c r="E2871" s="188"/>
      <c r="F2871" s="188"/>
      <c r="G2871" s="2122"/>
      <c r="H2871" s="568"/>
      <c r="I2871" s="2118"/>
      <c r="J2871" s="2134"/>
      <c r="K2871" s="2123">
        <f>ROUND(K2870*C2871,2)</f>
        <v>5.89</v>
      </c>
      <c r="L2871" s="568"/>
      <c r="M2871" s="568"/>
      <c r="O2871" s="1991"/>
      <c r="P2871" s="1706"/>
      <c r="R2871" s="1706"/>
    </row>
    <row r="2872" spans="1:18" ht="12.75" hidden="1">
      <c r="A2872" s="2114"/>
      <c r="B2872" s="568"/>
      <c r="C2872" s="568"/>
      <c r="D2872" s="568"/>
      <c r="E2872" s="188"/>
      <c r="F2872" s="188"/>
      <c r="G2872" s="2122"/>
      <c r="H2872" s="568"/>
      <c r="I2872" s="2118"/>
      <c r="J2872" s="2124" t="s">
        <v>839</v>
      </c>
      <c r="K2872" s="2124">
        <f>SUM(K2870:K2871)</f>
        <v>595.37</v>
      </c>
      <c r="L2872" s="192" t="s">
        <v>730</v>
      </c>
      <c r="M2872" s="568"/>
      <c r="Q2872" s="1705" t="s">
        <v>881</v>
      </c>
      <c r="R2872" s="1706"/>
    </row>
    <row r="2873" spans="1:18" ht="12.75" hidden="1">
      <c r="A2873" s="2114" t="str">
        <f>A510</f>
        <v>(iv)</v>
      </c>
      <c r="B2873" s="192" t="str">
        <f>B510</f>
        <v>Third Floor</v>
      </c>
      <c r="C2873" s="568"/>
      <c r="D2873" s="568"/>
      <c r="E2873" s="188"/>
      <c r="F2873" s="188"/>
      <c r="G2873" s="2122"/>
      <c r="H2873" s="568"/>
      <c r="I2873" s="2118"/>
      <c r="J2873" s="2123"/>
      <c r="K2873" s="2123"/>
      <c r="L2873" s="192"/>
      <c r="M2873" s="568"/>
    </row>
    <row r="2874" spans="1:18" ht="12.75" hidden="1">
      <c r="A2874" s="2114"/>
      <c r="B2874" s="568" t="str">
        <f>B2831</f>
        <v>Rtae as 1st floor</v>
      </c>
      <c r="C2874" s="568"/>
      <c r="D2874" s="568"/>
      <c r="E2874" s="188"/>
      <c r="F2874" s="188"/>
      <c r="G2874" s="2122"/>
      <c r="H2874" s="568"/>
      <c r="I2874" s="2118"/>
      <c r="J2874" s="2124"/>
      <c r="K2874" s="2123">
        <f>K2870</f>
        <v>589.48</v>
      </c>
      <c r="L2874" s="568" t="str">
        <f>L2872</f>
        <v>Per Sqm</v>
      </c>
      <c r="M2874" s="568"/>
      <c r="R2874" s="1706"/>
    </row>
    <row r="2875" spans="1:18" ht="12.75" hidden="1">
      <c r="A2875" s="2114"/>
      <c r="B2875" s="568" t="str">
        <f>B2832</f>
        <v>Add @ 20% extra for 2nd floor</v>
      </c>
      <c r="C2875" s="568"/>
      <c r="D2875" s="568"/>
      <c r="E2875" s="188"/>
      <c r="F2875" s="188"/>
      <c r="G2875" s="2122"/>
      <c r="H2875" s="2125">
        <v>0.2</v>
      </c>
      <c r="I2875" s="2134">
        <f>I2867+K2867</f>
        <v>189.2302564102564</v>
      </c>
      <c r="J2875" s="2124"/>
      <c r="K2875" s="2124">
        <f>ROUND(I2875*H2875,2)</f>
        <v>37.85</v>
      </c>
      <c r="L2875" s="568" t="str">
        <f>L2874</f>
        <v>Per Sqm</v>
      </c>
      <c r="M2875" s="568"/>
      <c r="O2875" s="1991">
        <f>O2867+K2875</f>
        <v>227.07999999999998</v>
      </c>
      <c r="P2875" s="1706" t="s">
        <v>3149</v>
      </c>
      <c r="R2875" s="1706"/>
    </row>
    <row r="2876" spans="1:18" ht="12.75" hidden="1">
      <c r="A2876" s="2114"/>
      <c r="B2876" s="568" t="s">
        <v>3664</v>
      </c>
      <c r="C2876" s="568"/>
      <c r="D2876" s="568"/>
      <c r="E2876" s="188"/>
      <c r="F2876" s="188"/>
      <c r="G2876" s="2122"/>
      <c r="H2876" s="2135">
        <f>H2868</f>
        <v>7.4999999999999997E-2</v>
      </c>
      <c r="I2876" s="2134">
        <f>K2875</f>
        <v>37.85</v>
      </c>
      <c r="J2876" s="2134"/>
      <c r="K2876" s="2123">
        <f>ROUND(I2876*H2876,2)</f>
        <v>2.84</v>
      </c>
      <c r="L2876" s="568"/>
      <c r="M2876" s="568"/>
      <c r="O2876" s="1991"/>
      <c r="P2876" s="1706"/>
      <c r="R2876" s="1706"/>
    </row>
    <row r="2877" spans="1:18" ht="12.75" hidden="1">
      <c r="A2877" s="2114"/>
      <c r="B2877" s="568" t="s">
        <v>3665</v>
      </c>
      <c r="C2877" s="568"/>
      <c r="D2877" s="568"/>
      <c r="E2877" s="188"/>
      <c r="F2877" s="188"/>
      <c r="G2877" s="2122"/>
      <c r="H2877" s="2135">
        <f>H2876</f>
        <v>7.4999999999999997E-2</v>
      </c>
      <c r="I2877" s="2134">
        <f>I2876</f>
        <v>37.85</v>
      </c>
      <c r="J2877" s="2134"/>
      <c r="K2877" s="2123">
        <f>ROUND(I2877*H2877,2)</f>
        <v>2.84</v>
      </c>
      <c r="L2877" s="568"/>
      <c r="M2877" s="568"/>
      <c r="O2877" s="1991"/>
      <c r="P2877" s="1706"/>
      <c r="R2877" s="1706"/>
    </row>
    <row r="2878" spans="1:18" ht="12.75" hidden="1">
      <c r="A2878" s="2114"/>
      <c r="B2878" s="568"/>
      <c r="C2878" s="568"/>
      <c r="D2878" s="568"/>
      <c r="E2878" s="188"/>
      <c r="F2878" s="188"/>
      <c r="G2878" s="2122"/>
      <c r="H2878" s="568"/>
      <c r="I2878" s="2118"/>
      <c r="J2878" s="2124"/>
      <c r="K2878" s="2123">
        <f>SUM(K2874:K2877)</f>
        <v>633.0100000000001</v>
      </c>
      <c r="L2878" s="568" t="str">
        <f>L2874</f>
        <v>Per Sqm</v>
      </c>
      <c r="M2878" s="568"/>
      <c r="O2878" s="1991">
        <f>K2878-O2875</f>
        <v>405.93000000000012</v>
      </c>
      <c r="P2878" s="1706" t="s">
        <v>26</v>
      </c>
      <c r="R2878" s="1706"/>
    </row>
    <row r="2879" spans="1:18" ht="12.75" hidden="1">
      <c r="A2879" s="2114"/>
      <c r="B2879" s="192" t="s">
        <v>3738</v>
      </c>
      <c r="C2879" s="2142">
        <v>0.01</v>
      </c>
      <c r="D2879" s="568"/>
      <c r="E2879" s="188"/>
      <c r="F2879" s="188"/>
      <c r="G2879" s="2122"/>
      <c r="H2879" s="568"/>
      <c r="I2879" s="2118"/>
      <c r="J2879" s="2134"/>
      <c r="K2879" s="2123">
        <f>ROUND(K2878*C2879,2)</f>
        <v>6.33</v>
      </c>
      <c r="L2879" s="568"/>
      <c r="M2879" s="568"/>
      <c r="O2879" s="1991"/>
      <c r="P2879" s="1706"/>
      <c r="R2879" s="1706"/>
    </row>
    <row r="2880" spans="1:18" ht="12.75" hidden="1">
      <c r="A2880" s="2114"/>
      <c r="B2880" s="568"/>
      <c r="C2880" s="568"/>
      <c r="D2880" s="568"/>
      <c r="E2880" s="188"/>
      <c r="F2880" s="188"/>
      <c r="G2880" s="2122"/>
      <c r="H2880" s="568"/>
      <c r="I2880" s="2118"/>
      <c r="J2880" s="2124" t="s">
        <v>839</v>
      </c>
      <c r="K2880" s="2124">
        <f>SUM(K2878:K2879)</f>
        <v>639.34000000000015</v>
      </c>
      <c r="L2880" s="192" t="s">
        <v>730</v>
      </c>
      <c r="M2880" s="568"/>
      <c r="Q2880" s="1705" t="s">
        <v>881</v>
      </c>
      <c r="R2880" s="1706"/>
    </row>
    <row r="2881" spans="1:16" ht="12.75" hidden="1">
      <c r="A2881" s="2114" t="s">
        <v>882</v>
      </c>
      <c r="B2881" s="192" t="s">
        <v>883</v>
      </c>
      <c r="C2881" s="568"/>
      <c r="D2881" s="568"/>
      <c r="E2881" s="188" t="s">
        <v>38</v>
      </c>
      <c r="F2881" s="188"/>
      <c r="G2881" s="2122"/>
      <c r="H2881" s="568"/>
      <c r="I2881" s="2118"/>
      <c r="J2881" s="2123"/>
      <c r="K2881" s="2123"/>
      <c r="L2881" s="192"/>
      <c r="M2881" s="568"/>
    </row>
    <row r="2882" spans="1:16" ht="12.75" hidden="1">
      <c r="A2882" s="2114"/>
      <c r="B2882" s="568" t="s">
        <v>884</v>
      </c>
      <c r="C2882" s="568"/>
      <c r="D2882" s="568"/>
      <c r="E2882" s="188" t="s">
        <v>92</v>
      </c>
      <c r="F2882" s="188"/>
      <c r="G2882" s="2122"/>
      <c r="H2882" s="568"/>
      <c r="I2882" s="2118"/>
      <c r="J2882" s="2123"/>
      <c r="K2882" s="2123"/>
      <c r="L2882" s="192"/>
      <c r="M2882" s="568"/>
    </row>
    <row r="2883" spans="1:16" ht="12.75" hidden="1">
      <c r="A2883" s="2114" t="s">
        <v>201</v>
      </c>
      <c r="B2883" s="192" t="s">
        <v>26</v>
      </c>
      <c r="C2883" s="568"/>
      <c r="D2883" s="568"/>
      <c r="E2883" s="188"/>
      <c r="F2883" s="188"/>
      <c r="G2883" s="2122"/>
      <c r="H2883" s="568"/>
      <c r="I2883" s="2118"/>
      <c r="J2883" s="2123"/>
      <c r="K2883" s="2123"/>
      <c r="L2883" s="192"/>
      <c r="M2883" s="568"/>
    </row>
    <row r="2884" spans="1:16" ht="12.75" hidden="1">
      <c r="A2884" s="2114"/>
      <c r="B2884" s="568" t="s">
        <v>866</v>
      </c>
      <c r="C2884" s="568"/>
      <c r="D2884" s="568"/>
      <c r="E2884" s="188"/>
      <c r="F2884" s="188"/>
      <c r="G2884" s="2122">
        <v>0.39400000000000002</v>
      </c>
      <c r="H2884" s="568" t="s">
        <v>49</v>
      </c>
      <c r="I2884" s="2118" t="s">
        <v>49</v>
      </c>
      <c r="J2884" s="2123">
        <f>G70</f>
        <v>58374.79</v>
      </c>
      <c r="K2884" s="2123">
        <f>ROUND(G2884*J2884,2)</f>
        <v>22999.67</v>
      </c>
      <c r="L2884" s="192"/>
      <c r="M2884" s="568"/>
    </row>
    <row r="2885" spans="1:16" ht="12.75" hidden="1">
      <c r="A2885" s="2114"/>
      <c r="B2885" s="568" t="s">
        <v>885</v>
      </c>
      <c r="C2885" s="568"/>
      <c r="D2885" s="568"/>
      <c r="E2885" s="188"/>
      <c r="F2885" s="188"/>
      <c r="G2885" s="2122">
        <v>73.17</v>
      </c>
      <c r="H2885" s="568" t="s">
        <v>136</v>
      </c>
      <c r="I2885" s="2118" t="s">
        <v>136</v>
      </c>
      <c r="J2885" s="2123">
        <f>G74</f>
        <v>41.81</v>
      </c>
      <c r="K2885" s="2123">
        <f>ROUND(G2885*J2885,2)</f>
        <v>3059.24</v>
      </c>
      <c r="L2885" s="192"/>
      <c r="M2885" s="568"/>
    </row>
    <row r="2886" spans="1:16" ht="12.75" hidden="1">
      <c r="A2886" s="2114"/>
      <c r="B2886" s="568" t="s">
        <v>886</v>
      </c>
      <c r="C2886" s="568"/>
      <c r="D2886" s="568"/>
      <c r="E2886" s="188"/>
      <c r="F2886" s="188"/>
      <c r="G2886" s="2122">
        <v>14.02</v>
      </c>
      <c r="H2886" s="568" t="s">
        <v>136</v>
      </c>
      <c r="I2886" s="2118" t="s">
        <v>136</v>
      </c>
      <c r="J2886" s="2123">
        <f>G73</f>
        <v>30.81</v>
      </c>
      <c r="K2886" s="2123">
        <f>ROUND(G2886*J2886,2)</f>
        <v>431.96</v>
      </c>
      <c r="L2886" s="192"/>
      <c r="M2886" s="568"/>
    </row>
    <row r="2887" spans="1:16" ht="12.75" hidden="1">
      <c r="A2887" s="2114"/>
      <c r="B2887" s="568" t="s">
        <v>887</v>
      </c>
      <c r="C2887" s="568"/>
      <c r="D2887" s="568"/>
      <c r="E2887" s="188"/>
      <c r="F2887" s="188"/>
      <c r="G2887" s="2164">
        <v>7.0099999999999996E-2</v>
      </c>
      <c r="H2887" s="568" t="s">
        <v>49</v>
      </c>
      <c r="I2887" s="2118" t="s">
        <v>49</v>
      </c>
      <c r="J2887" s="2123">
        <f>G69</f>
        <v>58374.79</v>
      </c>
      <c r="K2887" s="2123">
        <f>ROUND(G2887*J2887,2)</f>
        <v>4092.07</v>
      </c>
      <c r="L2887" s="192"/>
      <c r="M2887" s="568"/>
    </row>
    <row r="2888" spans="1:16" ht="12.75" hidden="1">
      <c r="A2888" s="2114"/>
      <c r="B2888" s="568" t="s">
        <v>855</v>
      </c>
      <c r="C2888" s="568"/>
      <c r="D2888" s="568"/>
      <c r="E2888" s="188"/>
      <c r="F2888" s="188"/>
      <c r="G2888" s="2164">
        <v>1.3612</v>
      </c>
      <c r="H2888" s="568" t="s">
        <v>49</v>
      </c>
      <c r="I2888" s="2118" t="s">
        <v>49</v>
      </c>
      <c r="J2888" s="2123">
        <f>J2843</f>
        <v>340.976</v>
      </c>
      <c r="K2888" s="2123">
        <f>ROUND(G2888*J2888,2)</f>
        <v>464.14</v>
      </c>
      <c r="L2888" s="192"/>
      <c r="M2888" s="568"/>
    </row>
    <row r="2889" spans="1:16" ht="12.75" hidden="1">
      <c r="A2889" s="2114"/>
      <c r="B2889" s="568"/>
      <c r="C2889" s="568"/>
      <c r="D2889" s="568"/>
      <c r="E2889" s="188"/>
      <c r="F2889" s="188"/>
      <c r="G2889" s="2122"/>
      <c r="H2889" s="568"/>
      <c r="I2889" s="2118"/>
      <c r="J2889" s="2134" t="s">
        <v>718</v>
      </c>
      <c r="K2889" s="2123">
        <f>SUM(K2884:K2888)</f>
        <v>31047.079999999994</v>
      </c>
      <c r="L2889" s="192"/>
      <c r="M2889" s="568"/>
    </row>
    <row r="2890" spans="1:16" ht="12.75" hidden="1">
      <c r="A2890" s="2114"/>
      <c r="B2890" s="568" t="s">
        <v>856</v>
      </c>
      <c r="C2890" s="568"/>
      <c r="D2890" s="568"/>
      <c r="E2890" s="188"/>
      <c r="F2890" s="188"/>
      <c r="G2890" s="2122"/>
      <c r="H2890" s="568"/>
      <c r="I2890" s="2118"/>
      <c r="J2890" s="2134"/>
      <c r="K2890" s="2123">
        <f>K2889/10</f>
        <v>3104.7079999999996</v>
      </c>
      <c r="L2890" s="192"/>
      <c r="M2890" s="568"/>
    </row>
    <row r="2891" spans="1:16" ht="12.75" hidden="1">
      <c r="A2891" s="2114" t="s">
        <v>220</v>
      </c>
      <c r="B2891" s="192" t="s">
        <v>2</v>
      </c>
      <c r="C2891" s="568"/>
      <c r="D2891" s="568"/>
      <c r="E2891" s="188"/>
      <c r="F2891" s="188"/>
      <c r="G2891" s="2122"/>
      <c r="H2891" s="568"/>
      <c r="I2891" s="2118"/>
      <c r="J2891" s="2134"/>
      <c r="K2891" s="2123"/>
      <c r="L2891" s="192"/>
      <c r="M2891" s="568"/>
    </row>
    <row r="2892" spans="1:16" ht="12.75" hidden="1">
      <c r="A2892" s="2114"/>
      <c r="B2892" s="568" t="s">
        <v>742</v>
      </c>
      <c r="C2892" s="568"/>
      <c r="D2892" s="568"/>
      <c r="E2892" s="188"/>
      <c r="F2892" s="188"/>
      <c r="G2892" s="2122">
        <v>3.43</v>
      </c>
      <c r="H2892" s="568" t="s">
        <v>262</v>
      </c>
      <c r="I2892" s="2118" t="s">
        <v>38</v>
      </c>
      <c r="J2892" s="2123">
        <f>L136</f>
        <v>435</v>
      </c>
      <c r="K2892" s="2123">
        <f>ROUND(G2892*J2892,2)</f>
        <v>1492.05</v>
      </c>
      <c r="L2892" s="192"/>
      <c r="M2892" s="568"/>
    </row>
    <row r="2893" spans="1:16" ht="12.75" hidden="1">
      <c r="A2893" s="2114"/>
      <c r="B2893" s="568" t="s">
        <v>858</v>
      </c>
      <c r="C2893" s="568"/>
      <c r="D2893" s="568"/>
      <c r="E2893" s="188"/>
      <c r="F2893" s="188"/>
      <c r="G2893" s="2122">
        <v>3.43</v>
      </c>
      <c r="H2893" s="568" t="s">
        <v>262</v>
      </c>
      <c r="I2893" s="2118" t="s">
        <v>38</v>
      </c>
      <c r="J2893" s="2123">
        <f>L135</f>
        <v>385</v>
      </c>
      <c r="K2893" s="2123">
        <f>ROUND(G2893*J2893,2)</f>
        <v>1320.55</v>
      </c>
      <c r="L2893" s="192"/>
      <c r="M2893" s="568"/>
    </row>
    <row r="2894" spans="1:16" ht="12.75" hidden="1">
      <c r="A2894" s="2114"/>
      <c r="B2894" s="568"/>
      <c r="C2894" s="568"/>
      <c r="D2894" s="568"/>
      <c r="E2894" s="188"/>
      <c r="F2894" s="188"/>
      <c r="G2894" s="2122"/>
      <c r="H2894" s="568"/>
      <c r="I2894" s="2118"/>
      <c r="J2894" s="2134" t="s">
        <v>718</v>
      </c>
      <c r="K2894" s="2123">
        <f>SUM(K2892:K2893)</f>
        <v>2812.6</v>
      </c>
      <c r="L2894" s="192"/>
      <c r="M2894" s="568"/>
    </row>
    <row r="2895" spans="1:16" ht="12.75" hidden="1">
      <c r="A2895" s="2114"/>
      <c r="B2895" s="568"/>
      <c r="C2895" s="568"/>
      <c r="D2895" s="568"/>
      <c r="E2895" s="188"/>
      <c r="F2895" s="188"/>
      <c r="G2895" s="2122"/>
      <c r="H2895" s="568"/>
      <c r="I2895" s="2118"/>
      <c r="J2895" s="2134"/>
      <c r="K2895" s="2123"/>
      <c r="L2895" s="192"/>
      <c r="M2895" s="568"/>
    </row>
    <row r="2896" spans="1:16" ht="12.75" hidden="1">
      <c r="A2896" s="2114"/>
      <c r="B2896" s="568"/>
      <c r="C2896" s="568"/>
      <c r="D2896" s="568"/>
      <c r="E2896" s="188"/>
      <c r="F2896" s="188"/>
      <c r="G2896" s="2122"/>
      <c r="H2896" s="568"/>
      <c r="I2896" s="2118"/>
      <c r="J2896" s="2134" t="s">
        <v>718</v>
      </c>
      <c r="K2896" s="2123">
        <f>K2890+K2894</f>
        <v>5917.3079999999991</v>
      </c>
      <c r="L2896" s="192"/>
      <c r="M2896" s="568"/>
      <c r="O2896" s="1991">
        <f>ROUND(K2894/9.3,2)</f>
        <v>302.43</v>
      </c>
      <c r="P2896" s="1706" t="s">
        <v>3149</v>
      </c>
    </row>
    <row r="2897" spans="1:19" ht="12.75" hidden="1">
      <c r="A2897" s="2114"/>
      <c r="B2897" s="568" t="s">
        <v>859</v>
      </c>
      <c r="C2897" s="568"/>
      <c r="D2897" s="568"/>
      <c r="E2897" s="188"/>
      <c r="F2897" s="188"/>
      <c r="G2897" s="2122"/>
      <c r="H2897" s="568"/>
      <c r="I2897" s="2118"/>
      <c r="J2897" s="2123"/>
      <c r="K2897" s="2123">
        <f>ROUND(K2896/9.3,2)</f>
        <v>636.27</v>
      </c>
      <c r="L2897" s="192"/>
      <c r="M2897" s="568"/>
      <c r="O2897" s="1991">
        <f>K2897-O2896</f>
        <v>333.84</v>
      </c>
      <c r="P2897" s="1706" t="s">
        <v>26</v>
      </c>
    </row>
    <row r="2898" spans="1:19" ht="12.75" hidden="1">
      <c r="A2898" s="2114"/>
      <c r="B2898" s="568"/>
      <c r="C2898" s="568"/>
      <c r="D2898" s="568"/>
      <c r="E2898" s="188"/>
      <c r="F2898" s="188"/>
      <c r="G2898" s="2122"/>
      <c r="H2898" s="568"/>
      <c r="I2898" s="2118"/>
      <c r="J2898" s="2124" t="s">
        <v>839</v>
      </c>
      <c r="K2898" s="2124">
        <f>ROUND(K2897,1)</f>
        <v>636.29999999999995</v>
      </c>
      <c r="L2898" s="192" t="s">
        <v>730</v>
      </c>
      <c r="M2898" s="568"/>
      <c r="R2898" s="1706">
        <f>K2897/1.1</f>
        <v>578.42727272727268</v>
      </c>
      <c r="S2898" s="1705">
        <f>R2898*1.2</f>
        <v>694.11272727272717</v>
      </c>
    </row>
    <row r="2899" spans="1:19" ht="12.75" hidden="1">
      <c r="A2899" s="2114" t="str">
        <f>A513</f>
        <v>(ii)</v>
      </c>
      <c r="B2899" s="192" t="str">
        <f>B513</f>
        <v>First Floor</v>
      </c>
      <c r="C2899" s="568"/>
      <c r="D2899" s="568"/>
      <c r="E2899" s="188"/>
      <c r="F2899" s="188"/>
      <c r="G2899" s="2122"/>
      <c r="H2899" s="568"/>
      <c r="I2899" s="2118"/>
      <c r="J2899" s="2123"/>
      <c r="K2899" s="2123"/>
      <c r="L2899" s="192"/>
      <c r="M2899" s="568"/>
    </row>
    <row r="2900" spans="1:19" ht="12.75" hidden="1">
      <c r="A2900" s="2114"/>
      <c r="B2900" s="568" t="s">
        <v>861</v>
      </c>
      <c r="C2900" s="568"/>
      <c r="D2900" s="568"/>
      <c r="E2900" s="188"/>
      <c r="F2900" s="188"/>
      <c r="G2900" s="2122"/>
      <c r="H2900" s="568"/>
      <c r="I2900" s="2118"/>
      <c r="J2900" s="2124"/>
      <c r="K2900" s="2123">
        <f>K2898</f>
        <v>636.29999999999995</v>
      </c>
      <c r="L2900" s="568" t="str">
        <f>L2898</f>
        <v>Per Sqm</v>
      </c>
      <c r="M2900" s="568"/>
      <c r="R2900" s="1706"/>
    </row>
    <row r="2901" spans="1:19" ht="12.75" hidden="1">
      <c r="A2901" s="2114"/>
      <c r="B2901" s="568" t="s">
        <v>862</v>
      </c>
      <c r="C2901" s="568"/>
      <c r="D2901" s="568"/>
      <c r="E2901" s="188"/>
      <c r="F2901" s="188"/>
      <c r="G2901" s="2122"/>
      <c r="H2901" s="568"/>
      <c r="I2901" s="2118"/>
      <c r="J2901" s="2124"/>
      <c r="K2901" s="2123">
        <f>ROUND(K2900*20%,2)</f>
        <v>127.26</v>
      </c>
      <c r="L2901" s="568" t="str">
        <f>L2900</f>
        <v>Per Sqm</v>
      </c>
      <c r="M2901" s="568"/>
      <c r="O2901" s="1991">
        <f>O2896+K2901</f>
        <v>429.69</v>
      </c>
      <c r="P2901" s="1706" t="s">
        <v>3149</v>
      </c>
      <c r="R2901" s="1706"/>
    </row>
    <row r="2902" spans="1:19" ht="12.75" hidden="1">
      <c r="A2902" s="2114"/>
      <c r="B2902" s="568"/>
      <c r="C2902" s="568"/>
      <c r="D2902" s="568"/>
      <c r="E2902" s="188"/>
      <c r="F2902" s="188"/>
      <c r="G2902" s="2122"/>
      <c r="H2902" s="568"/>
      <c r="I2902" s="2118"/>
      <c r="J2902" s="2124"/>
      <c r="K2902" s="2123">
        <f>SUM(K2900:K2901)</f>
        <v>763.56</v>
      </c>
      <c r="L2902" s="568" t="str">
        <f>L2900</f>
        <v>Per Sqm</v>
      </c>
      <c r="M2902" s="568"/>
      <c r="O2902" s="1991">
        <f>K2902-O2901</f>
        <v>333.86999999999995</v>
      </c>
      <c r="P2902" s="1706" t="s">
        <v>26</v>
      </c>
      <c r="R2902" s="1706"/>
    </row>
    <row r="2903" spans="1:19" ht="12.75" hidden="1">
      <c r="A2903" s="2114"/>
      <c r="B2903" s="568"/>
      <c r="C2903" s="568"/>
      <c r="D2903" s="568"/>
      <c r="E2903" s="188"/>
      <c r="F2903" s="188"/>
      <c r="G2903" s="2122"/>
      <c r="H2903" s="568"/>
      <c r="I2903" s="2118"/>
      <c r="J2903" s="2124" t="s">
        <v>839</v>
      </c>
      <c r="K2903" s="2124">
        <f>ROUND(K2902,1)</f>
        <v>763.6</v>
      </c>
      <c r="L2903" s="192" t="s">
        <v>730</v>
      </c>
      <c r="M2903" s="568"/>
      <c r="Q2903" s="1705" t="s">
        <v>881</v>
      </c>
      <c r="R2903" s="1706"/>
    </row>
    <row r="2904" spans="1:19" ht="12.75" hidden="1">
      <c r="A2904" s="2114" t="str">
        <f>A514</f>
        <v>(iii)</v>
      </c>
      <c r="B2904" s="192" t="str">
        <f>B514</f>
        <v>Second Floor</v>
      </c>
      <c r="C2904" s="568"/>
      <c r="D2904" s="568"/>
      <c r="E2904" s="188"/>
      <c r="F2904" s="188"/>
      <c r="G2904" s="2122"/>
      <c r="H2904" s="568"/>
      <c r="I2904" s="2118"/>
      <c r="J2904" s="2123"/>
      <c r="K2904" s="2123"/>
      <c r="L2904" s="192"/>
      <c r="M2904" s="568"/>
    </row>
    <row r="2905" spans="1:19" ht="12.75" hidden="1">
      <c r="A2905" s="2114"/>
      <c r="B2905" s="568" t="str">
        <f>B2866</f>
        <v>Rtae as 1st floor</v>
      </c>
      <c r="C2905" s="568"/>
      <c r="D2905" s="568"/>
      <c r="E2905" s="188"/>
      <c r="F2905" s="188"/>
      <c r="G2905" s="2122"/>
      <c r="H2905" s="568"/>
      <c r="I2905" s="2118"/>
      <c r="J2905" s="2124"/>
      <c r="K2905" s="2123">
        <f>K2903</f>
        <v>763.6</v>
      </c>
      <c r="L2905" s="568" t="str">
        <f>L2903</f>
        <v>Per Sqm</v>
      </c>
      <c r="M2905" s="568"/>
      <c r="R2905" s="1706"/>
    </row>
    <row r="2906" spans="1:19" ht="12.75" hidden="1">
      <c r="A2906" s="2114"/>
      <c r="B2906" s="568" t="str">
        <f>B2867</f>
        <v>Add @ 20% extra for 2nd floor</v>
      </c>
      <c r="C2906" s="568"/>
      <c r="D2906" s="568"/>
      <c r="E2906" s="188"/>
      <c r="F2906" s="188"/>
      <c r="G2906" s="2122"/>
      <c r="H2906" s="568"/>
      <c r="I2906" s="2118"/>
      <c r="J2906" s="2124"/>
      <c r="K2906" s="2123">
        <f>K2901+ROUND(K2901*20%,2)</f>
        <v>152.71</v>
      </c>
      <c r="L2906" s="568" t="str">
        <f>L2905</f>
        <v>Per Sqm</v>
      </c>
      <c r="M2906" s="568"/>
      <c r="O2906" s="1991">
        <f>O2901+K2906</f>
        <v>582.4</v>
      </c>
      <c r="P2906" s="1706" t="s">
        <v>3149</v>
      </c>
      <c r="R2906" s="1706"/>
    </row>
    <row r="2907" spans="1:19" ht="12.75" hidden="1">
      <c r="A2907" s="2114"/>
      <c r="B2907" s="568"/>
      <c r="C2907" s="568"/>
      <c r="D2907" s="568"/>
      <c r="E2907" s="188"/>
      <c r="F2907" s="188"/>
      <c r="G2907" s="2122"/>
      <c r="H2907" s="568"/>
      <c r="I2907" s="2118"/>
      <c r="J2907" s="2124"/>
      <c r="K2907" s="2123">
        <f>SUM(K2905:K2906)</f>
        <v>916.31000000000006</v>
      </c>
      <c r="L2907" s="568" t="str">
        <f>L2905</f>
        <v>Per Sqm</v>
      </c>
      <c r="M2907" s="568"/>
      <c r="O2907" s="1991">
        <f>K2907-O2906</f>
        <v>333.91000000000008</v>
      </c>
      <c r="P2907" s="1706" t="s">
        <v>26</v>
      </c>
      <c r="R2907" s="1706"/>
    </row>
    <row r="2908" spans="1:19" ht="12.75" hidden="1">
      <c r="A2908" s="2114"/>
      <c r="B2908" s="568"/>
      <c r="C2908" s="568"/>
      <c r="D2908" s="568"/>
      <c r="E2908" s="188"/>
      <c r="F2908" s="188"/>
      <c r="G2908" s="2122"/>
      <c r="H2908" s="568"/>
      <c r="I2908" s="2118"/>
      <c r="J2908" s="2124" t="s">
        <v>839</v>
      </c>
      <c r="K2908" s="2124">
        <f>ROUND(K2907,1)</f>
        <v>916.3</v>
      </c>
      <c r="L2908" s="192" t="s">
        <v>730</v>
      </c>
      <c r="M2908" s="568"/>
      <c r="Q2908" s="1705" t="s">
        <v>881</v>
      </c>
      <c r="R2908" s="1706"/>
    </row>
    <row r="2909" spans="1:19" ht="12.75" hidden="1">
      <c r="A2909" s="2114" t="str">
        <f>A515</f>
        <v>(iv)</v>
      </c>
      <c r="B2909" s="192" t="str">
        <f>B515</f>
        <v>Third Floor</v>
      </c>
      <c r="C2909" s="568"/>
      <c r="D2909" s="568"/>
      <c r="E2909" s="188"/>
      <c r="F2909" s="188"/>
      <c r="G2909" s="2122"/>
      <c r="H2909" s="568"/>
      <c r="I2909" s="2118"/>
      <c r="J2909" s="2123"/>
      <c r="K2909" s="2123"/>
      <c r="L2909" s="192"/>
      <c r="M2909" s="568"/>
    </row>
    <row r="2910" spans="1:19" ht="12.75" hidden="1">
      <c r="A2910" s="2114"/>
      <c r="B2910" s="568" t="str">
        <f>B2874</f>
        <v>Rtae as 1st floor</v>
      </c>
      <c r="C2910" s="568"/>
      <c r="D2910" s="568"/>
      <c r="E2910" s="188"/>
      <c r="F2910" s="188"/>
      <c r="G2910" s="2122"/>
      <c r="H2910" s="568"/>
      <c r="I2910" s="2118"/>
      <c r="J2910" s="2124"/>
      <c r="K2910" s="2123">
        <f>K2908</f>
        <v>916.3</v>
      </c>
      <c r="L2910" s="568" t="str">
        <f>L2908</f>
        <v>Per Sqm</v>
      </c>
      <c r="M2910" s="568"/>
      <c r="R2910" s="1706"/>
    </row>
    <row r="2911" spans="1:19" ht="12.75" hidden="1">
      <c r="A2911" s="2114"/>
      <c r="B2911" s="568" t="str">
        <f>B2875</f>
        <v>Add @ 20% extra for 2nd floor</v>
      </c>
      <c r="C2911" s="568"/>
      <c r="D2911" s="568"/>
      <c r="E2911" s="188"/>
      <c r="F2911" s="188"/>
      <c r="G2911" s="2122"/>
      <c r="H2911" s="568"/>
      <c r="I2911" s="2118"/>
      <c r="J2911" s="2124"/>
      <c r="K2911" s="2123">
        <f>K2906+ROUND(K2906*20%,2)</f>
        <v>183.25</v>
      </c>
      <c r="L2911" s="568" t="str">
        <f>L2910</f>
        <v>Per Sqm</v>
      </c>
      <c r="M2911" s="568"/>
      <c r="O2911" s="1991">
        <f>O2906+K2911</f>
        <v>765.65</v>
      </c>
      <c r="P2911" s="1706" t="s">
        <v>3149</v>
      </c>
      <c r="R2911" s="1706"/>
    </row>
    <row r="2912" spans="1:19" ht="12.75" hidden="1">
      <c r="A2912" s="2114"/>
      <c r="B2912" s="568"/>
      <c r="C2912" s="568"/>
      <c r="D2912" s="568"/>
      <c r="E2912" s="188"/>
      <c r="F2912" s="188"/>
      <c r="G2912" s="2122"/>
      <c r="H2912" s="568"/>
      <c r="I2912" s="2118"/>
      <c r="J2912" s="2124"/>
      <c r="K2912" s="2123">
        <f>SUM(K2910:K2911)</f>
        <v>1099.55</v>
      </c>
      <c r="L2912" s="568" t="str">
        <f>L2910</f>
        <v>Per Sqm</v>
      </c>
      <c r="M2912" s="568"/>
      <c r="O2912" s="1991">
        <f>K2912-O2911</f>
        <v>333.9</v>
      </c>
      <c r="P2912" s="1706" t="s">
        <v>26</v>
      </c>
      <c r="R2912" s="1706"/>
    </row>
    <row r="2913" spans="1:18" ht="12.75" hidden="1">
      <c r="A2913" s="2114"/>
      <c r="B2913" s="568"/>
      <c r="C2913" s="568"/>
      <c r="D2913" s="568"/>
      <c r="E2913" s="188"/>
      <c r="F2913" s="188"/>
      <c r="G2913" s="2122"/>
      <c r="H2913" s="568"/>
      <c r="I2913" s="2118"/>
      <c r="J2913" s="2124" t="s">
        <v>839</v>
      </c>
      <c r="K2913" s="2124">
        <f>ROUND(K2912,1)</f>
        <v>1099.5999999999999</v>
      </c>
      <c r="L2913" s="192" t="s">
        <v>730</v>
      </c>
      <c r="M2913" s="568"/>
      <c r="Q2913" s="1705" t="s">
        <v>881</v>
      </c>
      <c r="R2913" s="1706"/>
    </row>
    <row r="2914" spans="1:18" ht="12.75" hidden="1">
      <c r="A2914" s="2114" t="s">
        <v>888</v>
      </c>
      <c r="B2914" s="3033" t="s">
        <v>889</v>
      </c>
      <c r="C2914" s="3033"/>
      <c r="D2914" s="3033"/>
      <c r="E2914" s="188" t="s">
        <v>38</v>
      </c>
      <c r="F2914" s="188"/>
      <c r="G2914" s="568"/>
      <c r="H2914" s="568"/>
      <c r="I2914" s="2118"/>
      <c r="J2914" s="2123"/>
      <c r="K2914" s="2123"/>
      <c r="L2914" s="192"/>
      <c r="M2914" s="568"/>
    </row>
    <row r="2915" spans="1:18" ht="12.75" hidden="1">
      <c r="A2915" s="2114"/>
      <c r="B2915" s="3033"/>
      <c r="C2915" s="3033"/>
      <c r="D2915" s="3033"/>
      <c r="E2915" s="188"/>
      <c r="F2915" s="188"/>
      <c r="G2915" s="2122"/>
      <c r="H2915" s="568"/>
      <c r="I2915" s="2118"/>
      <c r="J2915" s="2123"/>
      <c r="K2915" s="2123"/>
      <c r="L2915" s="192"/>
      <c r="M2915" s="568"/>
    </row>
    <row r="2916" spans="1:18" ht="12.75" hidden="1">
      <c r="A2916" s="2114"/>
      <c r="B2916" s="568" t="s">
        <v>890</v>
      </c>
      <c r="C2916" s="568"/>
      <c r="D2916" s="568"/>
      <c r="E2916" s="188"/>
      <c r="F2916" s="188"/>
      <c r="G2916" s="2122"/>
      <c r="H2916" s="568"/>
      <c r="I2916" s="2118"/>
      <c r="J2916" s="2124"/>
      <c r="K2916" s="2124">
        <f>K2676</f>
        <v>667.38</v>
      </c>
      <c r="L2916" s="192" t="str">
        <f>L2900</f>
        <v>Per Sqm</v>
      </c>
      <c r="M2916" s="568"/>
      <c r="R2916" s="1706"/>
    </row>
    <row r="2917" spans="1:18" ht="12.75" hidden="1">
      <c r="A2917" s="2114"/>
      <c r="B2917" s="568" t="s">
        <v>891</v>
      </c>
      <c r="C2917" s="568"/>
      <c r="D2917" s="568"/>
      <c r="E2917" s="188"/>
      <c r="F2917" s="188"/>
      <c r="G2917" s="2122"/>
      <c r="H2917" s="568"/>
      <c r="I2917" s="2118"/>
      <c r="J2917" s="2124"/>
      <c r="K2917" s="2123">
        <f>ROUND(K2916*20%,2)</f>
        <v>133.47999999999999</v>
      </c>
      <c r="L2917" s="568" t="str">
        <f>L2916</f>
        <v>Per Sqm</v>
      </c>
      <c r="M2917" s="568"/>
      <c r="R2917" s="1706"/>
    </row>
    <row r="2918" spans="1:18" ht="12.75" hidden="1">
      <c r="A2918" s="2114"/>
      <c r="B2918" s="568"/>
      <c r="C2918" s="568"/>
      <c r="D2918" s="568"/>
      <c r="E2918" s="188"/>
      <c r="F2918" s="188"/>
      <c r="G2918" s="2122"/>
      <c r="H2918" s="568"/>
      <c r="I2918" s="2118"/>
      <c r="J2918" s="2124"/>
      <c r="K2918" s="2123">
        <f>SUM(K2916:K2917)</f>
        <v>800.86</v>
      </c>
      <c r="L2918" s="568" t="str">
        <f>L2916</f>
        <v>Per Sqm</v>
      </c>
      <c r="M2918" s="568"/>
      <c r="R2918" s="1706"/>
    </row>
    <row r="2919" spans="1:18" ht="12.75" hidden="1">
      <c r="A2919" s="2114"/>
      <c r="B2919" s="568"/>
      <c r="C2919" s="568"/>
      <c r="D2919" s="568"/>
      <c r="E2919" s="188"/>
      <c r="F2919" s="188"/>
      <c r="G2919" s="2122"/>
      <c r="H2919" s="568"/>
      <c r="I2919" s="2118"/>
      <c r="J2919" s="2124" t="s">
        <v>839</v>
      </c>
      <c r="K2919" s="2124">
        <f>ROUND(K2918,1)</f>
        <v>800.9</v>
      </c>
      <c r="L2919" s="192" t="s">
        <v>730</v>
      </c>
      <c r="M2919" s="568"/>
      <c r="Q2919" s="1705" t="s">
        <v>881</v>
      </c>
      <c r="R2919" s="1706"/>
    </row>
    <row r="2920" spans="1:18" ht="12.75">
      <c r="A2920" s="2114" t="str">
        <f>A519</f>
        <v>A)</v>
      </c>
      <c r="B2920" s="192" t="str">
        <f>B519</f>
        <v>FOUNDATION RAFT COLUMN BASE AND PILE CAPS</v>
      </c>
      <c r="C2920" s="192"/>
      <c r="D2920" s="568"/>
      <c r="E2920" s="2120" t="str">
        <f>G520</f>
        <v>Each Cum</v>
      </c>
      <c r="F2920" s="2120"/>
      <c r="G2920" s="2122"/>
      <c r="H2920" s="568"/>
      <c r="I2920" s="2118"/>
      <c r="J2920" s="2123"/>
      <c r="K2920" s="2123"/>
      <c r="L2920" s="192"/>
      <c r="M2920" s="568"/>
    </row>
    <row r="2921" spans="1:18" ht="12.75">
      <c r="A2921" s="2114" t="s">
        <v>413</v>
      </c>
      <c r="B2921" s="192" t="s">
        <v>1943</v>
      </c>
      <c r="C2921" s="192"/>
      <c r="D2921" s="568"/>
      <c r="E2921" s="2120"/>
      <c r="F2921" s="2120"/>
      <c r="G2921" s="2122"/>
      <c r="H2921" s="568"/>
      <c r="I2921" s="2118"/>
      <c r="J2921" s="2123"/>
      <c r="K2921" s="2123"/>
      <c r="L2921" s="192"/>
      <c r="M2921" s="568"/>
    </row>
    <row r="2922" spans="1:18" ht="12.75">
      <c r="A2922" s="2114"/>
      <c r="B2922" s="568" t="s">
        <v>892</v>
      </c>
      <c r="C2922" s="568"/>
      <c r="D2922" s="568"/>
      <c r="E2922" s="188"/>
      <c r="F2922" s="188"/>
      <c r="G2922" s="2122"/>
      <c r="H2922" s="568"/>
      <c r="I2922" s="2118"/>
      <c r="J2922" s="2123"/>
      <c r="K2922" s="2123">
        <f>K2594</f>
        <v>8228.51</v>
      </c>
      <c r="L2922" s="192"/>
      <c r="M2922" s="568"/>
    </row>
    <row r="2923" spans="1:18" ht="12.75">
      <c r="A2923" s="2114"/>
      <c r="B2923" s="568" t="s">
        <v>893</v>
      </c>
      <c r="C2923" s="568"/>
      <c r="D2923" s="568"/>
      <c r="E2923" s="188"/>
      <c r="F2923" s="188"/>
      <c r="G2923" s="2122">
        <v>1.5</v>
      </c>
      <c r="H2923" s="568" t="s">
        <v>894</v>
      </c>
      <c r="I2923" s="2118"/>
      <c r="J2923" s="2123">
        <f>K2642</f>
        <v>234.45999999999998</v>
      </c>
      <c r="K2923" s="2123">
        <f>G2923*J2923</f>
        <v>351.68999999999994</v>
      </c>
      <c r="L2923" s="192"/>
      <c r="M2923" s="568"/>
    </row>
    <row r="2924" spans="1:18" ht="12.75">
      <c r="A2924" s="2114"/>
      <c r="B2924" s="568"/>
      <c r="C2924" s="568"/>
      <c r="D2924" s="568"/>
      <c r="E2924" s="188"/>
      <c r="F2924" s="188"/>
      <c r="G2924" s="2122"/>
      <c r="H2924" s="568"/>
      <c r="I2924" s="2118"/>
      <c r="J2924" s="2126" t="s">
        <v>718</v>
      </c>
      <c r="K2924" s="2124">
        <f>SUM(K2922:K2923)</f>
        <v>8580.2000000000007</v>
      </c>
      <c r="L2924" s="192" t="s">
        <v>721</v>
      </c>
      <c r="M2924" s="568"/>
    </row>
    <row r="2925" spans="1:18" ht="12.75">
      <c r="A2925" s="2114" t="s">
        <v>415</v>
      </c>
      <c r="B2925" s="192" t="s">
        <v>3588</v>
      </c>
      <c r="C2925" s="192"/>
      <c r="D2925" s="568"/>
      <c r="E2925" s="2120"/>
      <c r="F2925" s="2120"/>
      <c r="G2925" s="2122"/>
      <c r="H2925" s="568"/>
      <c r="I2925" s="2118"/>
      <c r="J2925" s="2123"/>
      <c r="K2925" s="2123"/>
      <c r="L2925" s="192"/>
      <c r="M2925" s="568"/>
    </row>
    <row r="2926" spans="1:18" ht="12.75">
      <c r="A2926" s="2114"/>
      <c r="B2926" s="568" t="s">
        <v>892</v>
      </c>
      <c r="C2926" s="568"/>
      <c r="D2926" s="568"/>
      <c r="E2926" s="188"/>
      <c r="F2926" s="188"/>
      <c r="G2926" s="2122"/>
      <c r="H2926" s="568"/>
      <c r="I2926" s="2118"/>
      <c r="J2926" s="2123"/>
      <c r="K2926" s="2123">
        <f>K2429</f>
        <v>6436.79</v>
      </c>
      <c r="L2926" s="192"/>
      <c r="M2926" s="568"/>
    </row>
    <row r="2927" spans="1:18" ht="12.75">
      <c r="A2927" s="2114"/>
      <c r="B2927" s="568" t="s">
        <v>893</v>
      </c>
      <c r="C2927" s="568"/>
      <c r="D2927" s="568"/>
      <c r="E2927" s="188"/>
      <c r="F2927" s="188"/>
      <c r="G2927" s="2122">
        <v>1.5</v>
      </c>
      <c r="H2927" s="568" t="s">
        <v>894</v>
      </c>
      <c r="I2927" s="2118"/>
      <c r="J2927" s="2123">
        <f>K2642</f>
        <v>234.45999999999998</v>
      </c>
      <c r="K2927" s="2123">
        <f>G2927*J2927</f>
        <v>351.68999999999994</v>
      </c>
      <c r="L2927" s="192"/>
      <c r="M2927" s="568"/>
    </row>
    <row r="2928" spans="1:18" ht="12.75">
      <c r="A2928" s="2114"/>
      <c r="B2928" s="568"/>
      <c r="C2928" s="568"/>
      <c r="D2928" s="568"/>
      <c r="E2928" s="188"/>
      <c r="F2928" s="188"/>
      <c r="G2928" s="2122"/>
      <c r="H2928" s="568"/>
      <c r="I2928" s="2118"/>
      <c r="J2928" s="2126" t="s">
        <v>718</v>
      </c>
      <c r="K2928" s="2124">
        <f>SUM(K2926:K2927)</f>
        <v>6788.48</v>
      </c>
      <c r="L2928" s="192" t="s">
        <v>721</v>
      </c>
      <c r="M2928" s="568"/>
    </row>
    <row r="2929" spans="1:13" ht="12.75">
      <c r="A2929" s="2114" t="str">
        <f>A522</f>
        <v>B)</v>
      </c>
      <c r="B2929" s="2165" t="str">
        <f>B522</f>
        <v>PLINTH BAND</v>
      </c>
      <c r="C2929" s="568"/>
      <c r="D2929" s="568"/>
      <c r="E2929" s="2120" t="str">
        <f>G523</f>
        <v>Each Cum</v>
      </c>
      <c r="F2929" s="2120"/>
      <c r="G2929" s="2122"/>
      <c r="H2929" s="568"/>
      <c r="I2929" s="2118"/>
      <c r="J2929" s="2123"/>
      <c r="K2929" s="2123"/>
      <c r="L2929" s="192"/>
      <c r="M2929" s="568"/>
    </row>
    <row r="2930" spans="1:13" ht="12.75">
      <c r="A2930" s="2114" t="s">
        <v>413</v>
      </c>
      <c r="B2930" s="192" t="s">
        <v>1943</v>
      </c>
      <c r="C2930" s="568"/>
      <c r="D2930" s="568"/>
      <c r="E2930" s="2120"/>
      <c r="F2930" s="2120"/>
      <c r="G2930" s="2122"/>
      <c r="H2930" s="568"/>
      <c r="I2930" s="2118"/>
      <c r="J2930" s="2123"/>
      <c r="K2930" s="2123"/>
      <c r="L2930" s="192"/>
      <c r="M2930" s="568"/>
    </row>
    <row r="2931" spans="1:13" ht="12.75">
      <c r="A2931" s="2114"/>
      <c r="B2931" s="568" t="s">
        <v>892</v>
      </c>
      <c r="C2931" s="568"/>
      <c r="D2931" s="568"/>
      <c r="E2931" s="188"/>
      <c r="F2931" s="188"/>
      <c r="G2931" s="2122"/>
      <c r="H2931" s="568"/>
      <c r="I2931" s="2118"/>
      <c r="J2931" s="2123"/>
      <c r="K2931" s="2123">
        <f>K2594</f>
        <v>8228.51</v>
      </c>
      <c r="L2931" s="192"/>
      <c r="M2931" s="568"/>
    </row>
    <row r="2932" spans="1:13" ht="12.75">
      <c r="A2932" s="2114"/>
      <c r="B2932" s="568" t="s">
        <v>893</v>
      </c>
      <c r="C2932" s="568"/>
      <c r="D2932" s="568"/>
      <c r="E2932" s="188"/>
      <c r="F2932" s="188"/>
      <c r="G2932" s="2122">
        <v>5</v>
      </c>
      <c r="H2932" s="568" t="s">
        <v>895</v>
      </c>
      <c r="I2932" s="2118"/>
      <c r="J2932" s="2123">
        <f>K2642</f>
        <v>234.45999999999998</v>
      </c>
      <c r="K2932" s="2123">
        <f>G2932*J2932</f>
        <v>1172.3</v>
      </c>
      <c r="L2932" s="192"/>
      <c r="M2932" s="568"/>
    </row>
    <row r="2933" spans="1:13" ht="12.75">
      <c r="A2933" s="2114"/>
      <c r="B2933" s="568"/>
      <c r="C2933" s="568"/>
      <c r="D2933" s="568"/>
      <c r="E2933" s="188"/>
      <c r="F2933" s="188"/>
      <c r="G2933" s="2122"/>
      <c r="H2933" s="568"/>
      <c r="I2933" s="2118"/>
      <c r="J2933" s="2126" t="s">
        <v>718</v>
      </c>
      <c r="K2933" s="2124">
        <f>SUM(K2931:K2932)</f>
        <v>9400.81</v>
      </c>
      <c r="L2933" s="192" t="s">
        <v>721</v>
      </c>
      <c r="M2933" s="568"/>
    </row>
    <row r="2934" spans="1:13" ht="12.75">
      <c r="A2934" s="2114" t="s">
        <v>415</v>
      </c>
      <c r="B2934" s="192" t="s">
        <v>3588</v>
      </c>
      <c r="C2934" s="568"/>
      <c r="D2934" s="568"/>
      <c r="E2934" s="2120"/>
      <c r="F2934" s="2120"/>
      <c r="G2934" s="2122"/>
      <c r="H2934" s="568"/>
      <c r="I2934" s="2118"/>
      <c r="J2934" s="2123"/>
      <c r="K2934" s="2123"/>
      <c r="L2934" s="192"/>
      <c r="M2934" s="568"/>
    </row>
    <row r="2935" spans="1:13" ht="12.75">
      <c r="A2935" s="2114"/>
      <c r="B2935" s="568" t="s">
        <v>892</v>
      </c>
      <c r="C2935" s="568"/>
      <c r="D2935" s="568"/>
      <c r="E2935" s="188"/>
      <c r="F2935" s="188"/>
      <c r="G2935" s="2122"/>
      <c r="H2935" s="568"/>
      <c r="I2935" s="2118"/>
      <c r="J2935" s="2123"/>
      <c r="K2935" s="2123">
        <f>K2926</f>
        <v>6436.79</v>
      </c>
      <c r="L2935" s="192"/>
      <c r="M2935" s="568"/>
    </row>
    <row r="2936" spans="1:13" ht="12.75">
      <c r="A2936" s="2114"/>
      <c r="B2936" s="568" t="s">
        <v>893</v>
      </c>
      <c r="C2936" s="568"/>
      <c r="D2936" s="568"/>
      <c r="E2936" s="188"/>
      <c r="F2936" s="188"/>
      <c r="G2936" s="2122">
        <v>5</v>
      </c>
      <c r="H2936" s="568" t="s">
        <v>895</v>
      </c>
      <c r="I2936" s="2118"/>
      <c r="J2936" s="2123">
        <f>K2642</f>
        <v>234.45999999999998</v>
      </c>
      <c r="K2936" s="2123">
        <f>G2936*J2936</f>
        <v>1172.3</v>
      </c>
      <c r="L2936" s="192"/>
      <c r="M2936" s="568"/>
    </row>
    <row r="2937" spans="1:13" ht="12.75">
      <c r="A2937" s="2114"/>
      <c r="B2937" s="568"/>
      <c r="C2937" s="568"/>
      <c r="D2937" s="568"/>
      <c r="E2937" s="188"/>
      <c r="F2937" s="188"/>
      <c r="G2937" s="2122"/>
      <c r="H2937" s="568"/>
      <c r="I2937" s="2118"/>
      <c r="J2937" s="2126" t="s">
        <v>718</v>
      </c>
      <c r="K2937" s="2124">
        <f>SUM(K2935:K2936)</f>
        <v>7609.09</v>
      </c>
      <c r="L2937" s="192" t="s">
        <v>721</v>
      </c>
      <c r="M2937" s="568"/>
    </row>
    <row r="2938" spans="1:13" ht="12.75">
      <c r="A2938" s="2114" t="str">
        <f>A525</f>
        <v>C)</v>
      </c>
      <c r="B2938" s="2165" t="str">
        <f>B525</f>
        <v>LINTEL</v>
      </c>
      <c r="C2938" s="568"/>
      <c r="D2938" s="568"/>
      <c r="E2938" s="2120" t="str">
        <f>E2929</f>
        <v>Each Cum</v>
      </c>
      <c r="F2938" s="2120"/>
      <c r="G2938" s="2122"/>
      <c r="H2938" s="568"/>
      <c r="I2938" s="2118"/>
      <c r="J2938" s="2123"/>
      <c r="K2938" s="2123"/>
      <c r="L2938" s="192"/>
      <c r="M2938" s="568"/>
    </row>
    <row r="2939" spans="1:13" ht="12.75">
      <c r="A2939" s="2114" t="str">
        <f>A526</f>
        <v>(i)</v>
      </c>
      <c r="B2939" s="192" t="str">
        <f>B526</f>
        <v>Ground Floor</v>
      </c>
      <c r="C2939" s="568"/>
      <c r="D2939" s="568"/>
      <c r="E2939" s="2120" t="str">
        <f>G527</f>
        <v>Each Cum</v>
      </c>
      <c r="F2939" s="2120"/>
      <c r="G2939" s="2122"/>
      <c r="H2939" s="568"/>
      <c r="I2939" s="2118"/>
      <c r="J2939" s="2123"/>
      <c r="K2939" s="2123"/>
      <c r="L2939" s="192"/>
      <c r="M2939" s="568"/>
    </row>
    <row r="2940" spans="1:13" ht="12.75">
      <c r="A2940" s="2114" t="s">
        <v>413</v>
      </c>
      <c r="B2940" s="192" t="s">
        <v>1943</v>
      </c>
      <c r="C2940" s="568"/>
      <c r="D2940" s="568"/>
      <c r="E2940" s="2120"/>
      <c r="F2940" s="2120"/>
      <c r="G2940" s="2122"/>
      <c r="H2940" s="568"/>
      <c r="I2940" s="2118"/>
      <c r="J2940" s="2123"/>
      <c r="K2940" s="2123"/>
      <c r="L2940" s="192"/>
      <c r="M2940" s="568"/>
    </row>
    <row r="2941" spans="1:13" ht="12.75">
      <c r="A2941" s="2114"/>
      <c r="B2941" s="568" t="s">
        <v>892</v>
      </c>
      <c r="C2941" s="568"/>
      <c r="D2941" s="568"/>
      <c r="E2941" s="188"/>
      <c r="F2941" s="188"/>
      <c r="G2941" s="2122"/>
      <c r="H2941" s="568"/>
      <c r="I2941" s="2118"/>
      <c r="J2941" s="2123"/>
      <c r="K2941" s="2123">
        <f>K2594</f>
        <v>8228.51</v>
      </c>
      <c r="L2941" s="192"/>
      <c r="M2941" s="568"/>
    </row>
    <row r="2942" spans="1:13" ht="12.75">
      <c r="A2942" s="2114"/>
      <c r="B2942" s="568" t="s">
        <v>893</v>
      </c>
      <c r="C2942" s="568"/>
      <c r="D2942" s="568"/>
      <c r="E2942" s="188"/>
      <c r="F2942" s="188"/>
      <c r="G2942" s="2122">
        <v>14</v>
      </c>
      <c r="H2942" s="568" t="s">
        <v>894</v>
      </c>
      <c r="I2942" s="2118"/>
      <c r="J2942" s="2123">
        <f>K2856</f>
        <v>528.21</v>
      </c>
      <c r="K2942" s="2123">
        <f>G2942*J2942</f>
        <v>7394.9400000000005</v>
      </c>
      <c r="L2942" s="192"/>
      <c r="M2942" s="568"/>
    </row>
    <row r="2943" spans="1:13" ht="12.75">
      <c r="A2943" s="2114"/>
      <c r="B2943" s="568"/>
      <c r="C2943" s="568"/>
      <c r="D2943" s="568"/>
      <c r="E2943" s="188"/>
      <c r="F2943" s="188"/>
      <c r="G2943" s="2122"/>
      <c r="H2943" s="568"/>
      <c r="I2943" s="2118"/>
      <c r="J2943" s="2126" t="s">
        <v>718</v>
      </c>
      <c r="K2943" s="2124">
        <f>SUM(K2941:K2942)</f>
        <v>15623.45</v>
      </c>
      <c r="L2943" s="192" t="s">
        <v>721</v>
      </c>
      <c r="M2943" s="568"/>
    </row>
    <row r="2944" spans="1:13" ht="12.75">
      <c r="A2944" s="2114" t="s">
        <v>415</v>
      </c>
      <c r="B2944" s="192" t="s">
        <v>3588</v>
      </c>
      <c r="C2944" s="568"/>
      <c r="D2944" s="568"/>
      <c r="E2944" s="2120"/>
      <c r="F2944" s="2120"/>
      <c r="G2944" s="2122"/>
      <c r="H2944" s="568"/>
      <c r="I2944" s="2118"/>
      <c r="J2944" s="2123"/>
      <c r="K2944" s="2123"/>
      <c r="L2944" s="192"/>
      <c r="M2944" s="568"/>
    </row>
    <row r="2945" spans="1:20" ht="12.75">
      <c r="A2945" s="2114"/>
      <c r="B2945" s="568" t="s">
        <v>892</v>
      </c>
      <c r="C2945" s="568"/>
      <c r="D2945" s="568"/>
      <c r="E2945" s="188"/>
      <c r="F2945" s="188"/>
      <c r="G2945" s="2122"/>
      <c r="H2945" s="568"/>
      <c r="I2945" s="2118"/>
      <c r="J2945" s="2123"/>
      <c r="K2945" s="2123">
        <f>K2935</f>
        <v>6436.79</v>
      </c>
      <c r="L2945" s="192"/>
      <c r="M2945" s="568"/>
    </row>
    <row r="2946" spans="1:20" ht="12.75">
      <c r="A2946" s="2114"/>
      <c r="B2946" s="568" t="s">
        <v>893</v>
      </c>
      <c r="C2946" s="568"/>
      <c r="D2946" s="568"/>
      <c r="E2946" s="188"/>
      <c r="F2946" s="188"/>
      <c r="G2946" s="2122">
        <v>14</v>
      </c>
      <c r="H2946" s="568" t="s">
        <v>894</v>
      </c>
      <c r="I2946" s="2118"/>
      <c r="J2946" s="2123">
        <f>K2856</f>
        <v>528.21</v>
      </c>
      <c r="K2946" s="2123">
        <f>G2946*J2946</f>
        <v>7394.9400000000005</v>
      </c>
      <c r="L2946" s="192"/>
      <c r="M2946" s="568"/>
    </row>
    <row r="2947" spans="1:20" ht="12.75">
      <c r="A2947" s="2114"/>
      <c r="B2947" s="568"/>
      <c r="C2947" s="568"/>
      <c r="D2947" s="568"/>
      <c r="E2947" s="188"/>
      <c r="F2947" s="188"/>
      <c r="G2947" s="2122"/>
      <c r="H2947" s="568"/>
      <c r="I2947" s="2118"/>
      <c r="J2947" s="2126" t="s">
        <v>718</v>
      </c>
      <c r="K2947" s="2124">
        <f>SUM(K2945:K2946)</f>
        <v>13831.73</v>
      </c>
      <c r="L2947" s="192" t="s">
        <v>721</v>
      </c>
      <c r="M2947" s="568"/>
    </row>
    <row r="2948" spans="1:20" s="2166" customFormat="1" ht="12.75" hidden="1">
      <c r="A2948" s="2114" t="str">
        <f>A529</f>
        <v>(ii)</v>
      </c>
      <c r="B2948" s="192" t="str">
        <f>B529</f>
        <v>First Floor</v>
      </c>
      <c r="C2948" s="192"/>
      <c r="D2948" s="192"/>
      <c r="E2948" s="2120" t="str">
        <f>G530</f>
        <v>Each Cum</v>
      </c>
      <c r="F2948" s="2120"/>
      <c r="G2948" s="2141"/>
      <c r="H2948" s="192"/>
      <c r="I2948" s="2114"/>
      <c r="J2948" s="2124"/>
      <c r="K2948" s="2124"/>
      <c r="L2948" s="192"/>
      <c r="M2948" s="192"/>
      <c r="N2948" s="1706"/>
    </row>
    <row r="2949" spans="1:20" s="2166" customFormat="1" ht="12.75" hidden="1">
      <c r="A2949" s="2114" t="s">
        <v>413</v>
      </c>
      <c r="B2949" s="192" t="s">
        <v>1943</v>
      </c>
      <c r="C2949" s="192"/>
      <c r="D2949" s="192"/>
      <c r="E2949" s="2120"/>
      <c r="F2949" s="2120"/>
      <c r="G2949" s="2141"/>
      <c r="H2949" s="192"/>
      <c r="I2949" s="2114"/>
      <c r="J2949" s="2124"/>
      <c r="K2949" s="2124"/>
      <c r="L2949" s="192"/>
      <c r="M2949" s="192"/>
      <c r="N2949" s="1706"/>
    </row>
    <row r="2950" spans="1:20" s="2168" customFormat="1" ht="12.75" hidden="1">
      <c r="A2950" s="2114"/>
      <c r="B2950" s="568" t="s">
        <v>896</v>
      </c>
      <c r="C2950" s="568"/>
      <c r="D2950" s="568"/>
      <c r="E2950" s="188"/>
      <c r="F2950" s="188"/>
      <c r="G2950" s="2122"/>
      <c r="H2950" s="568"/>
      <c r="I2950" s="2118"/>
      <c r="J2950" s="2123"/>
      <c r="K2950" s="2123">
        <f>K2943</f>
        <v>15623.45</v>
      </c>
      <c r="L2950" s="192"/>
      <c r="M2950" s="568"/>
      <c r="N2950" s="1705"/>
      <c r="O2950" s="2167">
        <f>K2602</f>
        <v>8556.5399999999991</v>
      </c>
      <c r="T2950" s="2166"/>
    </row>
    <row r="2951" spans="1:20" s="2168" customFormat="1" ht="12.75" hidden="1">
      <c r="A2951" s="2114"/>
      <c r="B2951" s="568" t="s">
        <v>897</v>
      </c>
      <c r="C2951" s="568"/>
      <c r="D2951" s="568"/>
      <c r="E2951" s="188"/>
      <c r="F2951" s="188"/>
      <c r="G2951" s="2122"/>
      <c r="H2951" s="568"/>
      <c r="I2951" s="2118"/>
      <c r="J2951" s="2123"/>
      <c r="K2951" s="2123">
        <f>ROUND(K2942*20%,2)</f>
        <v>1478.99</v>
      </c>
      <c r="L2951" s="192"/>
      <c r="M2951" s="568"/>
      <c r="N2951" s="1705"/>
      <c r="O2951" s="2168">
        <f>G2946*J2946</f>
        <v>7394.9400000000005</v>
      </c>
      <c r="T2951" s="2166"/>
    </row>
    <row r="2952" spans="1:20" s="2168" customFormat="1" ht="12.75" hidden="1">
      <c r="A2952" s="2114"/>
      <c r="B2952" s="568" t="s">
        <v>898</v>
      </c>
      <c r="C2952" s="568"/>
      <c r="D2952" s="568"/>
      <c r="E2952" s="188"/>
      <c r="F2952" s="188"/>
      <c r="G2952" s="2122"/>
      <c r="H2952" s="568"/>
      <c r="I2952" s="2118"/>
      <c r="J2952" s="2123"/>
      <c r="K2952" s="2123">
        <f>ROUND(K2580*15%,2)</f>
        <v>282.42</v>
      </c>
      <c r="L2952" s="192"/>
      <c r="M2952" s="568"/>
      <c r="N2952" s="1705"/>
      <c r="O2952" s="2168">
        <f>O2951*20%</f>
        <v>1478.9880000000003</v>
      </c>
      <c r="T2952" s="2166"/>
    </row>
    <row r="2953" spans="1:20" s="2168" customFormat="1" ht="12.75" hidden="1">
      <c r="A2953" s="2114"/>
      <c r="B2953" s="568"/>
      <c r="C2953" s="568"/>
      <c r="D2953" s="568"/>
      <c r="E2953" s="188"/>
      <c r="F2953" s="188"/>
      <c r="G2953" s="2122"/>
      <c r="H2953" s="568"/>
      <c r="I2953" s="2118"/>
      <c r="J2953" s="2126" t="s">
        <v>718</v>
      </c>
      <c r="K2953" s="2124">
        <f>SUM(K2950:K2952)</f>
        <v>17384.86</v>
      </c>
      <c r="L2953" s="192" t="s">
        <v>721</v>
      </c>
      <c r="M2953" s="568"/>
      <c r="N2953" s="1705"/>
      <c r="O2953" s="2169">
        <f>SUM(O2950:O2952)</f>
        <v>17430.468000000001</v>
      </c>
      <c r="T2953" s="2166"/>
    </row>
    <row r="2954" spans="1:20" s="2166" customFormat="1" ht="12.75" hidden="1">
      <c r="A2954" s="2114" t="s">
        <v>415</v>
      </c>
      <c r="B2954" s="192" t="s">
        <v>3588</v>
      </c>
      <c r="C2954" s="192"/>
      <c r="D2954" s="192"/>
      <c r="E2954" s="2120" t="str">
        <f>E2948</f>
        <v>Each Cum</v>
      </c>
      <c r="F2954" s="2120"/>
      <c r="G2954" s="2141"/>
      <c r="H2954" s="192"/>
      <c r="I2954" s="2114"/>
      <c r="J2954" s="2124"/>
      <c r="K2954" s="2124"/>
      <c r="L2954" s="192"/>
      <c r="M2954" s="192"/>
      <c r="N2954" s="1706"/>
    </row>
    <row r="2955" spans="1:20" s="2168" customFormat="1" ht="12.75" hidden="1">
      <c r="A2955" s="2114"/>
      <c r="B2955" s="568" t="s">
        <v>896</v>
      </c>
      <c r="C2955" s="568"/>
      <c r="D2955" s="568"/>
      <c r="E2955" s="188"/>
      <c r="F2955" s="188"/>
      <c r="G2955" s="2122"/>
      <c r="H2955" s="568"/>
      <c r="I2955" s="2118"/>
      <c r="J2955" s="2123"/>
      <c r="K2955" s="2123">
        <f>K2947</f>
        <v>13831.73</v>
      </c>
      <c r="L2955" s="192"/>
      <c r="M2955" s="568"/>
      <c r="N2955" s="1705"/>
      <c r="O2955" s="2167">
        <f>K2551</f>
        <v>6592.7193333333335</v>
      </c>
      <c r="T2955" s="2166"/>
    </row>
    <row r="2956" spans="1:20" s="2168" customFormat="1" ht="12.75" hidden="1">
      <c r="A2956" s="2114"/>
      <c r="B2956" s="568" t="s">
        <v>897</v>
      </c>
      <c r="C2956" s="568"/>
      <c r="D2956" s="568"/>
      <c r="E2956" s="188"/>
      <c r="F2956" s="188"/>
      <c r="G2956" s="2122"/>
      <c r="H2956" s="568"/>
      <c r="I2956" s="2118"/>
      <c r="J2956" s="2123"/>
      <c r="K2956" s="2123">
        <f>ROUND(K2946*20%,2)</f>
        <v>1478.99</v>
      </c>
      <c r="L2956" s="192"/>
      <c r="M2956" s="568"/>
      <c r="N2956" s="1705"/>
      <c r="O2956" s="2168">
        <f>G2946*J2946</f>
        <v>7394.9400000000005</v>
      </c>
      <c r="T2956" s="2166"/>
    </row>
    <row r="2957" spans="1:20" s="2168" customFormat="1" ht="12.75" hidden="1">
      <c r="A2957" s="2114"/>
      <c r="B2957" s="568" t="s">
        <v>898</v>
      </c>
      <c r="C2957" s="568"/>
      <c r="D2957" s="568"/>
      <c r="E2957" s="188"/>
      <c r="F2957" s="188"/>
      <c r="G2957" s="2122"/>
      <c r="H2957" s="568"/>
      <c r="I2957" s="2118"/>
      <c r="J2957" s="2123"/>
      <c r="K2957" s="2123">
        <f>ROUND(K2414*15%/15,2)</f>
        <v>78.84</v>
      </c>
      <c r="L2957" s="192"/>
      <c r="M2957" s="568"/>
      <c r="N2957" s="1705"/>
      <c r="O2957" s="2168">
        <f>O2956*20%</f>
        <v>1478.9880000000003</v>
      </c>
      <c r="T2957" s="2166"/>
    </row>
    <row r="2958" spans="1:20" s="2168" customFormat="1" ht="12.75" hidden="1">
      <c r="A2958" s="2114"/>
      <c r="B2958" s="568"/>
      <c r="C2958" s="568"/>
      <c r="D2958" s="568"/>
      <c r="E2958" s="188"/>
      <c r="F2958" s="188"/>
      <c r="G2958" s="2122"/>
      <c r="H2958" s="568"/>
      <c r="I2958" s="2118"/>
      <c r="J2958" s="2126" t="s">
        <v>718</v>
      </c>
      <c r="K2958" s="2124">
        <f>SUM(K2955:K2957)</f>
        <v>15389.56</v>
      </c>
      <c r="L2958" s="192" t="s">
        <v>721</v>
      </c>
      <c r="M2958" s="568"/>
      <c r="N2958" s="1705"/>
      <c r="O2958" s="2169">
        <f>SUM(O2955:O2957)</f>
        <v>15466.647333333334</v>
      </c>
      <c r="T2958" s="2166"/>
    </row>
    <row r="2959" spans="1:20" s="2166" customFormat="1" ht="12.75" hidden="1">
      <c r="A2959" s="2114" t="str">
        <f>A571</f>
        <v>(iii)</v>
      </c>
      <c r="B2959" s="192" t="str">
        <f>B571</f>
        <v>Second Floor</v>
      </c>
      <c r="C2959" s="192"/>
      <c r="D2959" s="192"/>
      <c r="E2959" s="2120" t="str">
        <f>E2954</f>
        <v>Each Cum</v>
      </c>
      <c r="F2959" s="2120"/>
      <c r="G2959" s="2141"/>
      <c r="H2959" s="192"/>
      <c r="I2959" s="2114"/>
      <c r="J2959" s="2124"/>
      <c r="K2959" s="2124"/>
      <c r="L2959" s="192"/>
      <c r="M2959" s="192"/>
      <c r="N2959" s="1706"/>
    </row>
    <row r="2960" spans="1:20" s="2166" customFormat="1" ht="12.75" hidden="1">
      <c r="A2960" s="2114" t="s">
        <v>413</v>
      </c>
      <c r="B2960" s="192" t="s">
        <v>1943</v>
      </c>
      <c r="C2960" s="192"/>
      <c r="D2960" s="192"/>
      <c r="E2960" s="2120"/>
      <c r="F2960" s="2120"/>
      <c r="G2960" s="2141"/>
      <c r="H2960" s="192"/>
      <c r="I2960" s="2114"/>
      <c r="J2960" s="2124"/>
      <c r="K2960" s="2124"/>
      <c r="L2960" s="192"/>
      <c r="M2960" s="192"/>
      <c r="N2960" s="1706"/>
    </row>
    <row r="2961" spans="1:20" s="2168" customFormat="1" ht="12.75" hidden="1">
      <c r="A2961" s="2114"/>
      <c r="B2961" s="568" t="s">
        <v>3628</v>
      </c>
      <c r="C2961" s="568"/>
      <c r="D2961" s="568"/>
      <c r="E2961" s="188"/>
      <c r="F2961" s="188"/>
      <c r="G2961" s="2122"/>
      <c r="H2961" s="568"/>
      <c r="I2961" s="2118"/>
      <c r="J2961" s="2123"/>
      <c r="K2961" s="2123">
        <f>K2953</f>
        <v>17384.86</v>
      </c>
      <c r="L2961" s="192"/>
      <c r="M2961" s="568"/>
      <c r="N2961" s="1705"/>
      <c r="O2961" s="2167">
        <f>K2610</f>
        <v>9019.34</v>
      </c>
      <c r="Q2961" s="2170">
        <f>O2961</f>
        <v>9019.34</v>
      </c>
      <c r="R2961" s="2167">
        <f>K2961-Q2961</f>
        <v>8365.52</v>
      </c>
      <c r="T2961" s="2166"/>
    </row>
    <row r="2962" spans="1:20" s="2168" customFormat="1" ht="12.75" hidden="1">
      <c r="A2962" s="2114"/>
      <c r="B2962" s="568" t="s">
        <v>897</v>
      </c>
      <c r="C2962" s="568"/>
      <c r="D2962" s="568"/>
      <c r="E2962" s="188"/>
      <c r="F2962" s="188"/>
      <c r="G2962" s="2122"/>
      <c r="H2962" s="568"/>
      <c r="I2962" s="2118"/>
      <c r="J2962" s="2123"/>
      <c r="K2962" s="2123">
        <f>K2951+ROUND(K2951*20%,2)</f>
        <v>1774.79</v>
      </c>
      <c r="L2962" s="192"/>
      <c r="M2962" s="568"/>
      <c r="N2962" s="1705"/>
      <c r="O2962" s="2168">
        <f>G2942*J2942</f>
        <v>7394.9400000000005</v>
      </c>
      <c r="Q2962" s="2170">
        <f>14*J2942</f>
        <v>7394.9400000000005</v>
      </c>
      <c r="T2962" s="2166"/>
    </row>
    <row r="2963" spans="1:20" s="2168" customFormat="1" ht="12.75" hidden="1">
      <c r="A2963" s="2114"/>
      <c r="B2963" s="568" t="s">
        <v>898</v>
      </c>
      <c r="C2963" s="568"/>
      <c r="D2963" s="568"/>
      <c r="E2963" s="188"/>
      <c r="F2963" s="188"/>
      <c r="G2963" s="2122"/>
      <c r="H2963" s="568"/>
      <c r="I2963" s="2118"/>
      <c r="J2963" s="2123"/>
      <c r="K2963" s="2123">
        <f>K2952+ROUND(K2952*15%,2)</f>
        <v>324.78000000000003</v>
      </c>
      <c r="L2963" s="192"/>
      <c r="M2963" s="568"/>
      <c r="N2963" s="1705"/>
      <c r="O2963" s="2168">
        <f>O2962*20%</f>
        <v>1478.9880000000003</v>
      </c>
      <c r="Q2963" s="2171">
        <f>Q2962*20%</f>
        <v>1478.9880000000003</v>
      </c>
      <c r="T2963" s="2166"/>
    </row>
    <row r="2964" spans="1:20" s="2168" customFormat="1" ht="12.75" hidden="1">
      <c r="A2964" s="2114"/>
      <c r="B2964" s="568"/>
      <c r="C2964" s="568"/>
      <c r="D2964" s="568"/>
      <c r="E2964" s="188"/>
      <c r="F2964" s="188"/>
      <c r="G2964" s="2122"/>
      <c r="H2964" s="568"/>
      <c r="I2964" s="2118"/>
      <c r="J2964" s="2126" t="s">
        <v>718</v>
      </c>
      <c r="K2964" s="2124">
        <f>SUM(K2961:K2963)</f>
        <v>19484.43</v>
      </c>
      <c r="L2964" s="192" t="s">
        <v>721</v>
      </c>
      <c r="M2964" s="568"/>
      <c r="N2964" s="1705"/>
      <c r="O2964" s="2167">
        <f>SUM(O2961:O2963)</f>
        <v>17893.268</v>
      </c>
      <c r="Q2964" s="2170">
        <f>SUM(Q2961:Q2963)</f>
        <v>17893.268</v>
      </c>
      <c r="T2964" s="2166"/>
    </row>
    <row r="2965" spans="1:20" s="2166" customFormat="1" ht="12.75" hidden="1">
      <c r="A2965" s="2114" t="s">
        <v>415</v>
      </c>
      <c r="B2965" s="192" t="s">
        <v>3588</v>
      </c>
      <c r="C2965" s="192"/>
      <c r="D2965" s="192"/>
      <c r="E2965" s="2120" t="str">
        <f>E2959</f>
        <v>Each Cum</v>
      </c>
      <c r="F2965" s="2120"/>
      <c r="G2965" s="2141"/>
      <c r="H2965" s="192"/>
      <c r="I2965" s="2114"/>
      <c r="J2965" s="2124"/>
      <c r="K2965" s="2124"/>
      <c r="L2965" s="192"/>
      <c r="M2965" s="192"/>
      <c r="N2965" s="1706"/>
    </row>
    <row r="2966" spans="1:20" s="2168" customFormat="1" ht="12.75" hidden="1">
      <c r="A2966" s="2114"/>
      <c r="B2966" s="568" t="s">
        <v>3629</v>
      </c>
      <c r="C2966" s="568"/>
      <c r="D2966" s="568"/>
      <c r="E2966" s="188"/>
      <c r="F2966" s="188"/>
      <c r="G2966" s="2122"/>
      <c r="H2966" s="568"/>
      <c r="I2966" s="2118"/>
      <c r="J2966" s="2123"/>
      <c r="K2966" s="2123">
        <f>K2958</f>
        <v>15389.56</v>
      </c>
      <c r="L2966" s="192"/>
      <c r="M2966" s="568"/>
      <c r="N2966" s="1705"/>
      <c r="O2966" s="2167">
        <f>K2559</f>
        <v>6698.0293333333329</v>
      </c>
      <c r="T2966" s="2166"/>
    </row>
    <row r="2967" spans="1:20" s="2168" customFormat="1" ht="12.75" hidden="1">
      <c r="A2967" s="2114"/>
      <c r="B2967" s="568" t="s">
        <v>897</v>
      </c>
      <c r="C2967" s="568"/>
      <c r="D2967" s="568"/>
      <c r="E2967" s="188"/>
      <c r="F2967" s="188"/>
      <c r="G2967" s="2122"/>
      <c r="H2967" s="568"/>
      <c r="I2967" s="2118"/>
      <c r="J2967" s="2123"/>
      <c r="K2967" s="2123">
        <f>K2956+ROUND(K2956*20%,2)</f>
        <v>1774.79</v>
      </c>
      <c r="L2967" s="192"/>
      <c r="M2967" s="568"/>
      <c r="N2967" s="1705"/>
      <c r="O2967" s="2168">
        <f>G2946*J2946</f>
        <v>7394.9400000000005</v>
      </c>
      <c r="T2967" s="2166"/>
    </row>
    <row r="2968" spans="1:20" s="2168" customFormat="1" ht="12.75" hidden="1">
      <c r="A2968" s="2114"/>
      <c r="B2968" s="568" t="s">
        <v>898</v>
      </c>
      <c r="C2968" s="568"/>
      <c r="D2968" s="568"/>
      <c r="E2968" s="188"/>
      <c r="F2968" s="188"/>
      <c r="G2968" s="2122"/>
      <c r="H2968" s="568"/>
      <c r="I2968" s="2118"/>
      <c r="J2968" s="2123"/>
      <c r="K2968" s="2123">
        <f>K2957+ROUND(K2957*15%,2)</f>
        <v>90.67</v>
      </c>
      <c r="L2968" s="192"/>
      <c r="M2968" s="568"/>
      <c r="N2968" s="1705"/>
      <c r="O2968" s="2168">
        <f>O2967*20%</f>
        <v>1478.9880000000003</v>
      </c>
      <c r="T2968" s="2166"/>
    </row>
    <row r="2969" spans="1:20" s="2168" customFormat="1" ht="12.75" hidden="1">
      <c r="A2969" s="2114"/>
      <c r="B2969" s="568"/>
      <c r="C2969" s="568"/>
      <c r="D2969" s="568"/>
      <c r="E2969" s="188"/>
      <c r="F2969" s="188"/>
      <c r="G2969" s="2122"/>
      <c r="H2969" s="568"/>
      <c r="I2969" s="2118"/>
      <c r="J2969" s="2126" t="s">
        <v>718</v>
      </c>
      <c r="K2969" s="2124">
        <f>SUM(K2966:K2968)</f>
        <v>17255.019999999997</v>
      </c>
      <c r="L2969" s="192" t="s">
        <v>721</v>
      </c>
      <c r="M2969" s="568"/>
      <c r="N2969" s="1705"/>
      <c r="O2969" s="2167">
        <f>SUM(O2966:O2968)</f>
        <v>15571.957333333336</v>
      </c>
      <c r="T2969" s="2166"/>
    </row>
    <row r="2970" spans="1:20" s="2166" customFormat="1" ht="12.75" hidden="1">
      <c r="A2970" s="2114" t="str">
        <f>A574</f>
        <v>(iv)</v>
      </c>
      <c r="B2970" s="192" t="str">
        <f>B574</f>
        <v>Third Floor</v>
      </c>
      <c r="C2970" s="192"/>
      <c r="D2970" s="192"/>
      <c r="E2970" s="2120" t="str">
        <f>E2965</f>
        <v>Each Cum</v>
      </c>
      <c r="F2970" s="2120"/>
      <c r="G2970" s="2141"/>
      <c r="H2970" s="192"/>
      <c r="I2970" s="2114"/>
      <c r="J2970" s="2124"/>
      <c r="K2970" s="2124"/>
      <c r="L2970" s="192"/>
      <c r="M2970" s="192"/>
      <c r="N2970" s="1706"/>
    </row>
    <row r="2971" spans="1:20" s="2166" customFormat="1" ht="12.75" hidden="1">
      <c r="A2971" s="2114" t="s">
        <v>413</v>
      </c>
      <c r="B2971" s="192" t="s">
        <v>1943</v>
      </c>
      <c r="C2971" s="192"/>
      <c r="D2971" s="192"/>
      <c r="E2971" s="2120"/>
      <c r="F2971" s="2120"/>
      <c r="G2971" s="2141"/>
      <c r="H2971" s="192"/>
      <c r="I2971" s="2114"/>
      <c r="J2971" s="2124"/>
      <c r="K2971" s="2124"/>
      <c r="L2971" s="192"/>
      <c r="M2971" s="192"/>
      <c r="N2971" s="1706"/>
    </row>
    <row r="2972" spans="1:20" s="2168" customFormat="1" ht="12.75" hidden="1">
      <c r="A2972" s="2114"/>
      <c r="B2972" s="568" t="s">
        <v>3628</v>
      </c>
      <c r="C2972" s="568"/>
      <c r="D2972" s="568"/>
      <c r="E2972" s="188"/>
      <c r="F2972" s="188"/>
      <c r="G2972" s="2122"/>
      <c r="H2972" s="568"/>
      <c r="I2972" s="2118"/>
      <c r="J2972" s="2123"/>
      <c r="K2972" s="2123">
        <f>K2964</f>
        <v>19484.43</v>
      </c>
      <c r="L2972" s="192"/>
      <c r="M2972" s="568"/>
      <c r="N2972" s="1705"/>
      <c r="O2972" s="2167">
        <f>K2624</f>
        <v>0</v>
      </c>
      <c r="Q2972" s="2170">
        <f>O2972</f>
        <v>0</v>
      </c>
      <c r="R2972" s="2167">
        <f>K2972-Q2972</f>
        <v>19484.43</v>
      </c>
      <c r="T2972" s="2166"/>
    </row>
    <row r="2973" spans="1:20" s="2168" customFormat="1" ht="12.75" hidden="1">
      <c r="A2973" s="2114"/>
      <c r="B2973" s="568" t="s">
        <v>897</v>
      </c>
      <c r="C2973" s="568"/>
      <c r="D2973" s="568"/>
      <c r="E2973" s="188"/>
      <c r="F2973" s="188"/>
      <c r="G2973" s="2122"/>
      <c r="H2973" s="568"/>
      <c r="I2973" s="2118"/>
      <c r="J2973" s="2123"/>
      <c r="K2973" s="2123">
        <f>K2962+ROUND(K2962*20%,2)</f>
        <v>2129.75</v>
      </c>
      <c r="L2973" s="192"/>
      <c r="M2973" s="568"/>
      <c r="N2973" s="1705"/>
      <c r="O2973" s="2168" t="e">
        <f>G2953*J2953</f>
        <v>#VALUE!</v>
      </c>
      <c r="Q2973" s="2170" t="e">
        <f>14*J2953</f>
        <v>#VALUE!</v>
      </c>
      <c r="T2973" s="2166"/>
    </row>
    <row r="2974" spans="1:20" s="2168" customFormat="1" ht="12.75" hidden="1">
      <c r="A2974" s="2114"/>
      <c r="B2974" s="568" t="s">
        <v>898</v>
      </c>
      <c r="C2974" s="568"/>
      <c r="D2974" s="568"/>
      <c r="E2974" s="188"/>
      <c r="F2974" s="188"/>
      <c r="G2974" s="2122"/>
      <c r="H2974" s="568"/>
      <c r="I2974" s="2118"/>
      <c r="J2974" s="2123"/>
      <c r="K2974" s="2123">
        <f>K2963+ROUND(K2963*15%,2)</f>
        <v>373.5</v>
      </c>
      <c r="L2974" s="192"/>
      <c r="M2974" s="568"/>
      <c r="N2974" s="1705"/>
      <c r="O2974" s="2168" t="e">
        <f>O2973*20%</f>
        <v>#VALUE!</v>
      </c>
      <c r="Q2974" s="2171" t="e">
        <f>Q2973*20%</f>
        <v>#VALUE!</v>
      </c>
      <c r="T2974" s="2166"/>
    </row>
    <row r="2975" spans="1:20" s="2168" customFormat="1" ht="12.75" hidden="1">
      <c r="A2975" s="2114"/>
      <c r="B2975" s="568"/>
      <c r="C2975" s="568"/>
      <c r="D2975" s="568"/>
      <c r="E2975" s="188"/>
      <c r="F2975" s="188"/>
      <c r="G2975" s="2122"/>
      <c r="H2975" s="568"/>
      <c r="I2975" s="2118"/>
      <c r="J2975" s="2126" t="s">
        <v>718</v>
      </c>
      <c r="K2975" s="2124">
        <f>SUM(K2972:K2974)</f>
        <v>21987.68</v>
      </c>
      <c r="L2975" s="192" t="s">
        <v>721</v>
      </c>
      <c r="M2975" s="568"/>
      <c r="N2975" s="1705"/>
      <c r="O2975" s="2167" t="e">
        <f>SUM(O2972:O2974)</f>
        <v>#VALUE!</v>
      </c>
      <c r="Q2975" s="2170" t="e">
        <f>SUM(Q2972:Q2974)</f>
        <v>#VALUE!</v>
      </c>
      <c r="T2975" s="2166"/>
    </row>
    <row r="2976" spans="1:20" s="2166" customFormat="1" ht="12.75" hidden="1">
      <c r="A2976" s="2114" t="s">
        <v>415</v>
      </c>
      <c r="B2976" s="192" t="s">
        <v>3588</v>
      </c>
      <c r="C2976" s="192"/>
      <c r="D2976" s="192"/>
      <c r="E2976" s="2120" t="str">
        <f>E2970</f>
        <v>Each Cum</v>
      </c>
      <c r="F2976" s="2120"/>
      <c r="G2976" s="2141"/>
      <c r="H2976" s="192"/>
      <c r="I2976" s="2114"/>
      <c r="J2976" s="2124"/>
      <c r="K2976" s="2124"/>
      <c r="L2976" s="192"/>
      <c r="M2976" s="192"/>
      <c r="N2976" s="1706"/>
    </row>
    <row r="2977" spans="1:20" s="2168" customFormat="1" ht="12.75" hidden="1">
      <c r="A2977" s="2114"/>
      <c r="B2977" s="568" t="s">
        <v>3629</v>
      </c>
      <c r="C2977" s="568"/>
      <c r="D2977" s="568"/>
      <c r="E2977" s="188"/>
      <c r="F2977" s="188"/>
      <c r="G2977" s="2122"/>
      <c r="H2977" s="568"/>
      <c r="I2977" s="2118"/>
      <c r="J2977" s="2123"/>
      <c r="K2977" s="2123">
        <f>K2969</f>
        <v>17255.019999999997</v>
      </c>
      <c r="L2977" s="192"/>
      <c r="M2977" s="568"/>
      <c r="N2977" s="1705"/>
      <c r="O2977" s="2167">
        <f>K2573</f>
        <v>1256.96</v>
      </c>
      <c r="T2977" s="2166"/>
    </row>
    <row r="2978" spans="1:20" s="2168" customFormat="1" ht="12.75" hidden="1">
      <c r="A2978" s="2114"/>
      <c r="B2978" s="568" t="s">
        <v>897</v>
      </c>
      <c r="C2978" s="568"/>
      <c r="D2978" s="568"/>
      <c r="E2978" s="188"/>
      <c r="F2978" s="188"/>
      <c r="G2978" s="2122"/>
      <c r="H2978" s="568"/>
      <c r="I2978" s="2118"/>
      <c r="J2978" s="2123"/>
      <c r="K2978" s="2123">
        <f>K2967+ROUND(K2967*20%,2)</f>
        <v>2129.75</v>
      </c>
      <c r="L2978" s="192"/>
      <c r="M2978" s="568"/>
      <c r="N2978" s="1705"/>
      <c r="O2978" s="2168">
        <f>G2957*J2957</f>
        <v>0</v>
      </c>
      <c r="T2978" s="2166"/>
    </row>
    <row r="2979" spans="1:20" s="2168" customFormat="1" ht="12.75" hidden="1">
      <c r="A2979" s="2114"/>
      <c r="B2979" s="568" t="s">
        <v>898</v>
      </c>
      <c r="C2979" s="568"/>
      <c r="D2979" s="568"/>
      <c r="E2979" s="188"/>
      <c r="F2979" s="188"/>
      <c r="G2979" s="2122"/>
      <c r="H2979" s="568"/>
      <c r="I2979" s="2118"/>
      <c r="J2979" s="2123"/>
      <c r="K2979" s="2123">
        <f>K2968+ROUND(K2968*15%,2)</f>
        <v>104.27</v>
      </c>
      <c r="L2979" s="192"/>
      <c r="M2979" s="568"/>
      <c r="N2979" s="1705"/>
      <c r="O2979" s="2168">
        <f>O2978*20%</f>
        <v>0</v>
      </c>
      <c r="T2979" s="2166"/>
    </row>
    <row r="2980" spans="1:20" s="2168" customFormat="1" ht="12.75" hidden="1">
      <c r="A2980" s="2114"/>
      <c r="B2980" s="568"/>
      <c r="C2980" s="568"/>
      <c r="D2980" s="568"/>
      <c r="E2980" s="188"/>
      <c r="F2980" s="188"/>
      <c r="G2980" s="2122"/>
      <c r="H2980" s="568"/>
      <c r="I2980" s="2118"/>
      <c r="J2980" s="2126" t="s">
        <v>718</v>
      </c>
      <c r="K2980" s="2124">
        <f>SUM(K2977:K2979)</f>
        <v>19489.039999999997</v>
      </c>
      <c r="L2980" s="192" t="s">
        <v>721</v>
      </c>
      <c r="M2980" s="568"/>
      <c r="N2980" s="1705"/>
      <c r="O2980" s="2167">
        <f>SUM(O2977:O2979)</f>
        <v>1256.96</v>
      </c>
      <c r="T2980" s="2166"/>
    </row>
    <row r="2981" spans="1:20" ht="12.75">
      <c r="A2981" s="2114" t="str">
        <f>A538</f>
        <v>D)</v>
      </c>
      <c r="B2981" s="2165" t="str">
        <f>B538</f>
        <v>COLUMN AND BEAM</v>
      </c>
      <c r="C2981" s="568"/>
      <c r="D2981" s="568"/>
      <c r="E2981" s="2120" t="str">
        <f>G538</f>
        <v>Each Cum</v>
      </c>
      <c r="F2981" s="2120"/>
      <c r="G2981" s="2122"/>
      <c r="H2981" s="568"/>
      <c r="I2981" s="2118"/>
      <c r="J2981" s="2123"/>
      <c r="K2981" s="2123"/>
      <c r="L2981" s="192"/>
      <c r="M2981" s="568"/>
    </row>
    <row r="2982" spans="1:20" ht="12.75">
      <c r="A2982" s="2114" t="str">
        <f>A539</f>
        <v>(i)</v>
      </c>
      <c r="B2982" s="192" t="str">
        <f>B539</f>
        <v>Ground Floor</v>
      </c>
      <c r="C2982" s="568"/>
      <c r="D2982" s="568"/>
      <c r="E2982" s="2120" t="str">
        <f>G540</f>
        <v>Each Cum</v>
      </c>
      <c r="F2982" s="2120"/>
      <c r="G2982" s="2122"/>
      <c r="H2982" s="568"/>
      <c r="I2982" s="2118"/>
      <c r="J2982" s="2123"/>
      <c r="K2982" s="2123"/>
      <c r="L2982" s="192"/>
      <c r="M2982" s="568"/>
    </row>
    <row r="2983" spans="1:20" ht="12.75">
      <c r="A2983" s="2114" t="s">
        <v>413</v>
      </c>
      <c r="B2983" s="192" t="s">
        <v>1943</v>
      </c>
      <c r="C2983" s="568"/>
      <c r="D2983" s="568"/>
      <c r="E2983" s="2120"/>
      <c r="F2983" s="2120"/>
      <c r="G2983" s="2122"/>
      <c r="H2983" s="568"/>
      <c r="I2983" s="2118"/>
      <c r="J2983" s="2123"/>
      <c r="K2983" s="2123"/>
      <c r="L2983" s="192"/>
      <c r="M2983" s="568"/>
    </row>
    <row r="2984" spans="1:20" ht="12.75">
      <c r="A2984" s="2114"/>
      <c r="B2984" s="568" t="s">
        <v>892</v>
      </c>
      <c r="C2984" s="568"/>
      <c r="D2984" s="568"/>
      <c r="E2984" s="188"/>
      <c r="F2984" s="188"/>
      <c r="G2984" s="2122"/>
      <c r="H2984" s="568"/>
      <c r="I2984" s="2118"/>
      <c r="J2984" s="2123"/>
      <c r="K2984" s="2123">
        <f>K2594</f>
        <v>8228.51</v>
      </c>
      <c r="L2984" s="192"/>
      <c r="M2984" s="568"/>
    </row>
    <row r="2985" spans="1:20" ht="12.75">
      <c r="A2985" s="2114"/>
      <c r="B2985" s="568" t="s">
        <v>893</v>
      </c>
      <c r="C2985" s="568"/>
      <c r="D2985" s="568"/>
      <c r="E2985" s="188"/>
      <c r="F2985" s="188"/>
      <c r="G2985" s="2172">
        <v>8</v>
      </c>
      <c r="H2985" s="568" t="s">
        <v>894</v>
      </c>
      <c r="I2985" s="2118"/>
      <c r="J2985" s="2123">
        <f>K2769</f>
        <v>1013.12</v>
      </c>
      <c r="K2985" s="2123">
        <f>G2985*J2985</f>
        <v>8104.96</v>
      </c>
      <c r="L2985" s="192"/>
      <c r="M2985" s="568"/>
      <c r="P2985" s="1709" t="e">
        <f>#REF!</f>
        <v>#REF!</v>
      </c>
      <c r="Q2985" s="1705" t="e">
        <f>K2985*P2985</f>
        <v>#REF!</v>
      </c>
    </row>
    <row r="2986" spans="1:20" ht="12.75">
      <c r="A2986" s="2114"/>
      <c r="B2986" s="568"/>
      <c r="C2986" s="568"/>
      <c r="D2986" s="568"/>
      <c r="E2986" s="188"/>
      <c r="F2986" s="188"/>
      <c r="G2986" s="2122"/>
      <c r="H2986" s="568"/>
      <c r="I2986" s="2118"/>
      <c r="J2986" s="2126" t="s">
        <v>718</v>
      </c>
      <c r="K2986" s="2124">
        <f>SUM(K2984:K2985)</f>
        <v>16333.470000000001</v>
      </c>
      <c r="L2986" s="192" t="s">
        <v>721</v>
      </c>
      <c r="M2986" s="568"/>
    </row>
    <row r="2987" spans="1:20" ht="12.75">
      <c r="A2987" s="2114" t="s">
        <v>415</v>
      </c>
      <c r="B2987" s="192" t="s">
        <v>3588</v>
      </c>
      <c r="C2987" s="568"/>
      <c r="D2987" s="568"/>
      <c r="E2987" s="2120"/>
      <c r="F2987" s="2120"/>
      <c r="G2987" s="2122"/>
      <c r="H2987" s="568"/>
      <c r="I2987" s="2118"/>
      <c r="J2987" s="2123"/>
      <c r="K2987" s="2123"/>
      <c r="L2987" s="192"/>
      <c r="M2987" s="568"/>
    </row>
    <row r="2988" spans="1:20" ht="12.75">
      <c r="A2988" s="2114"/>
      <c r="B2988" s="568" t="s">
        <v>892</v>
      </c>
      <c r="C2988" s="568"/>
      <c r="D2988" s="568"/>
      <c r="E2988" s="188"/>
      <c r="F2988" s="188"/>
      <c r="G2988" s="2122"/>
      <c r="H2988" s="568"/>
      <c r="I2988" s="2118"/>
      <c r="J2988" s="2123"/>
      <c r="K2988" s="2123">
        <f>K2945</f>
        <v>6436.79</v>
      </c>
      <c r="L2988" s="192"/>
      <c r="M2988" s="568"/>
    </row>
    <row r="2989" spans="1:20" ht="12.75">
      <c r="A2989" s="2114"/>
      <c r="B2989" s="568" t="s">
        <v>893</v>
      </c>
      <c r="C2989" s="568"/>
      <c r="D2989" s="568"/>
      <c r="E2989" s="188"/>
      <c r="F2989" s="188"/>
      <c r="G2989" s="2122">
        <f>G2985</f>
        <v>8</v>
      </c>
      <c r="H2989" s="568" t="s">
        <v>894</v>
      </c>
      <c r="I2989" s="2118"/>
      <c r="J2989" s="2123">
        <f>K2769</f>
        <v>1013.12</v>
      </c>
      <c r="K2989" s="2123">
        <f>G2989*J2989</f>
        <v>8104.96</v>
      </c>
      <c r="L2989" s="192"/>
      <c r="M2989" s="568"/>
    </row>
    <row r="2990" spans="1:20" ht="12.75">
      <c r="A2990" s="2114"/>
      <c r="B2990" s="568"/>
      <c r="C2990" s="568"/>
      <c r="D2990" s="568"/>
      <c r="E2990" s="188"/>
      <c r="F2990" s="188"/>
      <c r="G2990" s="2122"/>
      <c r="H2990" s="568"/>
      <c r="I2990" s="2118"/>
      <c r="J2990" s="2126" t="s">
        <v>718</v>
      </c>
      <c r="K2990" s="2124">
        <f>SUM(K2988:K2989)</f>
        <v>14541.75</v>
      </c>
      <c r="L2990" s="192" t="s">
        <v>721</v>
      </c>
      <c r="M2990" s="568"/>
    </row>
    <row r="2991" spans="1:20" s="2168" customFormat="1" ht="12.75" hidden="1">
      <c r="A2991" s="2114" t="str">
        <f>A581</f>
        <v>(ii)</v>
      </c>
      <c r="B2991" s="192" t="str">
        <f>B581</f>
        <v>First Floor</v>
      </c>
      <c r="C2991" s="568"/>
      <c r="D2991" s="568"/>
      <c r="E2991" s="2120" t="str">
        <f>E2982</f>
        <v>Each Cum</v>
      </c>
      <c r="F2991" s="2120"/>
      <c r="G2991" s="2122"/>
      <c r="H2991" s="568"/>
      <c r="I2991" s="2118"/>
      <c r="J2991" s="2123"/>
      <c r="K2991" s="2123"/>
      <c r="L2991" s="192"/>
      <c r="M2991" s="568"/>
      <c r="N2991" s="1705"/>
      <c r="T2991" s="2166"/>
    </row>
    <row r="2992" spans="1:20" s="2168" customFormat="1" ht="12.75" hidden="1">
      <c r="A2992" s="2114"/>
      <c r="B2992" s="192" t="s">
        <v>1943</v>
      </c>
      <c r="C2992" s="568"/>
      <c r="D2992" s="568"/>
      <c r="E2992" s="2120"/>
      <c r="F2992" s="2120"/>
      <c r="G2992" s="2122"/>
      <c r="H2992" s="568"/>
      <c r="I2992" s="2118"/>
      <c r="J2992" s="2123"/>
      <c r="K2992" s="2123"/>
      <c r="L2992" s="192"/>
      <c r="M2992" s="568"/>
      <c r="N2992" s="1705"/>
      <c r="T2992" s="2166"/>
    </row>
    <row r="2993" spans="1:20" s="2168" customFormat="1" ht="12.75" hidden="1">
      <c r="A2993" s="2114"/>
      <c r="B2993" s="568" t="s">
        <v>896</v>
      </c>
      <c r="C2993" s="568"/>
      <c r="D2993" s="568"/>
      <c r="E2993" s="188"/>
      <c r="F2993" s="188"/>
      <c r="G2993" s="2122"/>
      <c r="H2993" s="568"/>
      <c r="I2993" s="2118"/>
      <c r="J2993" s="2123"/>
      <c r="K2993" s="2123">
        <f>K2986</f>
        <v>16333.470000000001</v>
      </c>
      <c r="L2993" s="192"/>
      <c r="M2993" s="568"/>
      <c r="N2993" s="1705"/>
      <c r="O2993" s="2167">
        <f>K2602</f>
        <v>8556.5399999999991</v>
      </c>
      <c r="T2993" s="2166"/>
    </row>
    <row r="2994" spans="1:20" s="2168" customFormat="1" ht="12.75" hidden="1">
      <c r="A2994" s="2114"/>
      <c r="B2994" s="568" t="s">
        <v>897</v>
      </c>
      <c r="C2994" s="568"/>
      <c r="D2994" s="568"/>
      <c r="E2994" s="188"/>
      <c r="F2994" s="188"/>
      <c r="G2994" s="2122"/>
      <c r="H2994" s="568"/>
      <c r="I2994" s="2118"/>
      <c r="J2994" s="2123"/>
      <c r="K2994" s="2123">
        <f>ROUND(K2985*20%,2)</f>
        <v>1620.99</v>
      </c>
      <c r="L2994" s="192"/>
      <c r="M2994" s="568"/>
      <c r="N2994" s="1705"/>
      <c r="O2994" s="2168">
        <f>G2985*J2985</f>
        <v>8104.96</v>
      </c>
      <c r="T2994" s="2166"/>
    </row>
    <row r="2995" spans="1:20" s="2168" customFormat="1" ht="12.75" hidden="1">
      <c r="A2995" s="2114"/>
      <c r="B2995" s="568" t="s">
        <v>899</v>
      </c>
      <c r="C2995" s="568"/>
      <c r="D2995" s="568"/>
      <c r="E2995" s="188"/>
      <c r="F2995" s="188"/>
      <c r="G2995" s="2122"/>
      <c r="H2995" s="568"/>
      <c r="I2995" s="2118"/>
      <c r="J2995" s="2123"/>
      <c r="K2995" s="2123">
        <f>ROUND(K2580*15%,2)</f>
        <v>282.42</v>
      </c>
      <c r="L2995" s="192"/>
      <c r="M2995" s="568"/>
      <c r="N2995" s="1705"/>
      <c r="O2995" s="2168">
        <f>O2994*20%</f>
        <v>1620.9920000000002</v>
      </c>
      <c r="T2995" s="2166"/>
    </row>
    <row r="2996" spans="1:20" s="2168" customFormat="1" ht="12.75" hidden="1">
      <c r="A2996" s="2114"/>
      <c r="B2996" s="568"/>
      <c r="C2996" s="568"/>
      <c r="D2996" s="568"/>
      <c r="E2996" s="188"/>
      <c r="F2996" s="188"/>
      <c r="G2996" s="2122"/>
      <c r="H2996" s="568"/>
      <c r="I2996" s="2118"/>
      <c r="J2996" s="2126" t="s">
        <v>718</v>
      </c>
      <c r="K2996" s="2124">
        <f>SUM(K2993:K2995)</f>
        <v>18236.88</v>
      </c>
      <c r="L2996" s="192" t="s">
        <v>721</v>
      </c>
      <c r="M2996" s="568"/>
      <c r="N2996" s="1705"/>
      <c r="O2996" s="2167">
        <f>SUM(O2993:O2995)</f>
        <v>18282.491999999998</v>
      </c>
      <c r="T2996" s="2166"/>
    </row>
    <row r="2997" spans="1:20" s="2168" customFormat="1" ht="12.75" hidden="1">
      <c r="A2997" s="2114"/>
      <c r="B2997" s="192" t="s">
        <v>3588</v>
      </c>
      <c r="C2997" s="568"/>
      <c r="D2997" s="568"/>
      <c r="E2997" s="2120"/>
      <c r="F2997" s="2120"/>
      <c r="G2997" s="2122"/>
      <c r="H2997" s="568"/>
      <c r="I2997" s="2118"/>
      <c r="J2997" s="2123"/>
      <c r="K2997" s="2123"/>
      <c r="L2997" s="192"/>
      <c r="M2997" s="568"/>
      <c r="N2997" s="1705"/>
      <c r="T2997" s="2166"/>
    </row>
    <row r="2998" spans="1:20" s="2168" customFormat="1" ht="12.75" hidden="1">
      <c r="A2998" s="2114"/>
      <c r="B2998" s="568" t="s">
        <v>896</v>
      </c>
      <c r="C2998" s="568"/>
      <c r="D2998" s="568"/>
      <c r="E2998" s="188"/>
      <c r="F2998" s="188"/>
      <c r="G2998" s="2122"/>
      <c r="H2998" s="568"/>
      <c r="I2998" s="2118"/>
      <c r="J2998" s="2123"/>
      <c r="K2998" s="2123">
        <f>K2990</f>
        <v>14541.75</v>
      </c>
      <c r="L2998" s="192"/>
      <c r="M2998" s="568"/>
      <c r="N2998" s="1705"/>
      <c r="O2998" s="2167">
        <f>K2494</f>
        <v>6117.6299999999983</v>
      </c>
      <c r="T2998" s="2166"/>
    </row>
    <row r="2999" spans="1:20" s="2168" customFormat="1" ht="12.75" hidden="1">
      <c r="A2999" s="2114"/>
      <c r="B2999" s="568" t="s">
        <v>897</v>
      </c>
      <c r="C2999" s="568"/>
      <c r="D2999" s="568"/>
      <c r="E2999" s="188"/>
      <c r="F2999" s="188"/>
      <c r="G2999" s="2122"/>
      <c r="H2999" s="568"/>
      <c r="I2999" s="2118"/>
      <c r="J2999" s="2123"/>
      <c r="K2999" s="2123">
        <f>ROUND(K2989*20%,2)</f>
        <v>1620.99</v>
      </c>
      <c r="L2999" s="192"/>
      <c r="M2999" s="568"/>
      <c r="N2999" s="1705"/>
      <c r="O2999" s="2168">
        <f>G2989*J2989</f>
        <v>8104.96</v>
      </c>
      <c r="T2999" s="2166"/>
    </row>
    <row r="3000" spans="1:20" s="2168" customFormat="1" ht="12.75" hidden="1">
      <c r="A3000" s="2114"/>
      <c r="B3000" s="568" t="s">
        <v>899</v>
      </c>
      <c r="C3000" s="568"/>
      <c r="D3000" s="568"/>
      <c r="E3000" s="188"/>
      <c r="F3000" s="188"/>
      <c r="G3000" s="2122"/>
      <c r="H3000" s="568"/>
      <c r="I3000" s="2118"/>
      <c r="J3000" s="2123"/>
      <c r="K3000" s="2123">
        <f>ROUND(K2414*15%/15,2)</f>
        <v>78.84</v>
      </c>
      <c r="L3000" s="192"/>
      <c r="M3000" s="568"/>
      <c r="N3000" s="1705"/>
      <c r="O3000" s="2168">
        <f>O2999*20%</f>
        <v>1620.9920000000002</v>
      </c>
      <c r="T3000" s="2166"/>
    </row>
    <row r="3001" spans="1:20" s="2168" customFormat="1" ht="12.75" hidden="1">
      <c r="A3001" s="2114"/>
      <c r="B3001" s="568"/>
      <c r="C3001" s="568"/>
      <c r="D3001" s="568"/>
      <c r="E3001" s="188"/>
      <c r="F3001" s="188"/>
      <c r="G3001" s="2122"/>
      <c r="H3001" s="568"/>
      <c r="I3001" s="2118"/>
      <c r="J3001" s="2126" t="s">
        <v>718</v>
      </c>
      <c r="K3001" s="2124">
        <f>SUM(K2998:K3000)</f>
        <v>16241.58</v>
      </c>
      <c r="L3001" s="192" t="s">
        <v>721</v>
      </c>
      <c r="M3001" s="568"/>
      <c r="N3001" s="1705"/>
      <c r="O3001" s="2167">
        <f>SUM(O2998:O3000)</f>
        <v>15843.581999999999</v>
      </c>
      <c r="T3001" s="2166"/>
    </row>
    <row r="3002" spans="1:20" s="2168" customFormat="1" ht="12.75" hidden="1">
      <c r="A3002" s="2114" t="str">
        <f>A584</f>
        <v>(iii)</v>
      </c>
      <c r="B3002" s="192" t="str">
        <f>B584</f>
        <v>Second Floor</v>
      </c>
      <c r="C3002" s="568"/>
      <c r="D3002" s="568"/>
      <c r="E3002" s="2120" t="str">
        <f>E2991</f>
        <v>Each Cum</v>
      </c>
      <c r="F3002" s="2120"/>
      <c r="G3002" s="2122"/>
      <c r="H3002" s="568"/>
      <c r="I3002" s="2118"/>
      <c r="J3002" s="2123"/>
      <c r="K3002" s="2123"/>
      <c r="L3002" s="192"/>
      <c r="M3002" s="568"/>
      <c r="N3002" s="1705"/>
      <c r="T3002" s="2166"/>
    </row>
    <row r="3003" spans="1:20" s="2168" customFormat="1" ht="12.75" hidden="1">
      <c r="A3003" s="2114"/>
      <c r="B3003" s="192" t="s">
        <v>1943</v>
      </c>
      <c r="C3003" s="568"/>
      <c r="D3003" s="568"/>
      <c r="E3003" s="2120"/>
      <c r="F3003" s="2120"/>
      <c r="G3003" s="2122"/>
      <c r="H3003" s="568"/>
      <c r="I3003" s="2118"/>
      <c r="J3003" s="2123"/>
      <c r="K3003" s="2123"/>
      <c r="L3003" s="192"/>
      <c r="M3003" s="568"/>
      <c r="N3003" s="1705"/>
      <c r="T3003" s="2166"/>
    </row>
    <row r="3004" spans="1:20" s="2168" customFormat="1" ht="12.75" hidden="1">
      <c r="A3004" s="2114"/>
      <c r="B3004" s="568" t="s">
        <v>896</v>
      </c>
      <c r="C3004" s="568"/>
      <c r="D3004" s="568"/>
      <c r="E3004" s="188"/>
      <c r="F3004" s="188"/>
      <c r="G3004" s="2122"/>
      <c r="H3004" s="568"/>
      <c r="I3004" s="2118"/>
      <c r="J3004" s="2123"/>
      <c r="K3004" s="2123">
        <f>K2996</f>
        <v>18236.88</v>
      </c>
      <c r="L3004" s="192"/>
      <c r="M3004" s="568"/>
      <c r="N3004" s="1705"/>
      <c r="T3004" s="2166"/>
    </row>
    <row r="3005" spans="1:20" s="2168" customFormat="1" ht="12.75" hidden="1">
      <c r="A3005" s="2114"/>
      <c r="B3005" s="568" t="s">
        <v>897</v>
      </c>
      <c r="C3005" s="568"/>
      <c r="D3005" s="568"/>
      <c r="E3005" s="188"/>
      <c r="F3005" s="188"/>
      <c r="G3005" s="2122"/>
      <c r="H3005" s="568"/>
      <c r="I3005" s="2118"/>
      <c r="J3005" s="2123"/>
      <c r="K3005" s="2123">
        <f>K2994+ROUND(K2994*20%,2)</f>
        <v>1945.19</v>
      </c>
      <c r="L3005" s="192"/>
      <c r="M3005" s="568"/>
      <c r="N3005" s="1705"/>
      <c r="T3005" s="2166"/>
    </row>
    <row r="3006" spans="1:20" s="2168" customFormat="1" ht="12.75" hidden="1">
      <c r="A3006" s="2114"/>
      <c r="B3006" s="568" t="s">
        <v>899</v>
      </c>
      <c r="C3006" s="568"/>
      <c r="D3006" s="568"/>
      <c r="E3006" s="188"/>
      <c r="F3006" s="188"/>
      <c r="G3006" s="2122"/>
      <c r="H3006" s="568"/>
      <c r="I3006" s="2118"/>
      <c r="J3006" s="2123"/>
      <c r="K3006" s="2123">
        <f>K2995+ROUND(K2995*15%,2)</f>
        <v>324.78000000000003</v>
      </c>
      <c r="L3006" s="192"/>
      <c r="M3006" s="568"/>
      <c r="N3006" s="1705"/>
      <c r="T3006" s="2166"/>
    </row>
    <row r="3007" spans="1:20" s="2168" customFormat="1" ht="12.75" hidden="1">
      <c r="A3007" s="2114"/>
      <c r="B3007" s="568"/>
      <c r="C3007" s="568"/>
      <c r="D3007" s="568"/>
      <c r="E3007" s="188"/>
      <c r="F3007" s="188"/>
      <c r="G3007" s="2122"/>
      <c r="H3007" s="568"/>
      <c r="I3007" s="2118"/>
      <c r="J3007" s="2126" t="s">
        <v>718</v>
      </c>
      <c r="K3007" s="2124">
        <f>SUM(K3004:K3006)</f>
        <v>20506.849999999999</v>
      </c>
      <c r="L3007" s="192" t="s">
        <v>721</v>
      </c>
      <c r="M3007" s="568"/>
      <c r="N3007" s="1705"/>
      <c r="T3007" s="2166"/>
    </row>
    <row r="3008" spans="1:20" s="2168" customFormat="1" ht="12.75" hidden="1">
      <c r="A3008" s="2114"/>
      <c r="B3008" s="192" t="s">
        <v>3588</v>
      </c>
      <c r="C3008" s="568"/>
      <c r="D3008" s="568"/>
      <c r="E3008" s="2120"/>
      <c r="F3008" s="2120"/>
      <c r="G3008" s="2122"/>
      <c r="H3008" s="568"/>
      <c r="I3008" s="2118"/>
      <c r="J3008" s="2123"/>
      <c r="K3008" s="2123"/>
      <c r="L3008" s="192"/>
      <c r="M3008" s="568"/>
      <c r="N3008" s="1705"/>
      <c r="T3008" s="2166"/>
    </row>
    <row r="3009" spans="1:20" s="2168" customFormat="1" ht="12.75" hidden="1">
      <c r="A3009" s="2114"/>
      <c r="B3009" s="568" t="s">
        <v>896</v>
      </c>
      <c r="C3009" s="568"/>
      <c r="D3009" s="568"/>
      <c r="E3009" s="188"/>
      <c r="F3009" s="188"/>
      <c r="G3009" s="2122"/>
      <c r="H3009" s="568"/>
      <c r="I3009" s="2118"/>
      <c r="J3009" s="2123"/>
      <c r="K3009" s="2123">
        <f>K3001</f>
        <v>16241.58</v>
      </c>
      <c r="L3009" s="192"/>
      <c r="M3009" s="568"/>
      <c r="N3009" s="1705"/>
      <c r="T3009" s="2166"/>
    </row>
    <row r="3010" spans="1:20" s="2168" customFormat="1" ht="12.75" hidden="1">
      <c r="A3010" s="2114"/>
      <c r="B3010" s="568" t="s">
        <v>897</v>
      </c>
      <c r="C3010" s="568"/>
      <c r="D3010" s="568"/>
      <c r="E3010" s="188"/>
      <c r="F3010" s="188"/>
      <c r="G3010" s="2122"/>
      <c r="H3010" s="568"/>
      <c r="I3010" s="2118"/>
      <c r="J3010" s="2123"/>
      <c r="K3010" s="2123">
        <f>K2999+ROUND(K2999*20%,2)</f>
        <v>1945.19</v>
      </c>
      <c r="L3010" s="192"/>
      <c r="M3010" s="568"/>
      <c r="N3010" s="1705"/>
      <c r="T3010" s="2166"/>
    </row>
    <row r="3011" spans="1:20" s="2168" customFormat="1" ht="12.75" hidden="1">
      <c r="A3011" s="2114"/>
      <c r="B3011" s="568" t="s">
        <v>899</v>
      </c>
      <c r="C3011" s="568"/>
      <c r="D3011" s="568"/>
      <c r="E3011" s="188"/>
      <c r="F3011" s="188"/>
      <c r="G3011" s="2122"/>
      <c r="H3011" s="568"/>
      <c r="I3011" s="2118"/>
      <c r="J3011" s="2123"/>
      <c r="K3011" s="2123">
        <f>K3000+ROUND(K3000*15%,2)</f>
        <v>90.67</v>
      </c>
      <c r="L3011" s="192"/>
      <c r="M3011" s="568"/>
      <c r="N3011" s="1705"/>
      <c r="T3011" s="2166"/>
    </row>
    <row r="3012" spans="1:20" s="2168" customFormat="1" ht="12.75" hidden="1">
      <c r="A3012" s="2114"/>
      <c r="B3012" s="568"/>
      <c r="C3012" s="568"/>
      <c r="D3012" s="568"/>
      <c r="E3012" s="188"/>
      <c r="F3012" s="188"/>
      <c r="G3012" s="2122"/>
      <c r="H3012" s="568"/>
      <c r="I3012" s="2118"/>
      <c r="J3012" s="2126" t="s">
        <v>718</v>
      </c>
      <c r="K3012" s="2124">
        <f>SUM(K3009:K3011)</f>
        <v>18277.439999999999</v>
      </c>
      <c r="L3012" s="192" t="s">
        <v>721</v>
      </c>
      <c r="M3012" s="568"/>
      <c r="N3012" s="1705"/>
      <c r="T3012" s="2166"/>
    </row>
    <row r="3013" spans="1:20" s="2168" customFormat="1" ht="12.75" hidden="1">
      <c r="A3013" s="2114" t="str">
        <f>A587</f>
        <v>(iv)</v>
      </c>
      <c r="B3013" s="192" t="str">
        <f>B587</f>
        <v>Third Floor</v>
      </c>
      <c r="C3013" s="568"/>
      <c r="D3013" s="568"/>
      <c r="E3013" s="2120" t="str">
        <f>E3002</f>
        <v>Each Cum</v>
      </c>
      <c r="F3013" s="2120"/>
      <c r="G3013" s="2122"/>
      <c r="H3013" s="568"/>
      <c r="I3013" s="2118"/>
      <c r="J3013" s="2123"/>
      <c r="K3013" s="2123"/>
      <c r="L3013" s="192"/>
      <c r="M3013" s="568"/>
      <c r="N3013" s="1705"/>
      <c r="T3013" s="2166"/>
    </row>
    <row r="3014" spans="1:20" s="2168" customFormat="1" ht="12.75" hidden="1">
      <c r="A3014" s="2114"/>
      <c r="B3014" s="192" t="s">
        <v>1943</v>
      </c>
      <c r="C3014" s="568"/>
      <c r="D3014" s="568"/>
      <c r="E3014" s="2120"/>
      <c r="F3014" s="2120"/>
      <c r="G3014" s="2122"/>
      <c r="H3014" s="568"/>
      <c r="I3014" s="2118"/>
      <c r="J3014" s="2123"/>
      <c r="K3014" s="2123"/>
      <c r="L3014" s="192"/>
      <c r="M3014" s="568"/>
      <c r="N3014" s="1705"/>
      <c r="T3014" s="2166"/>
    </row>
    <row r="3015" spans="1:20" s="2168" customFormat="1" ht="12.75" hidden="1">
      <c r="A3015" s="2114"/>
      <c r="B3015" s="568" t="s">
        <v>896</v>
      </c>
      <c r="C3015" s="568"/>
      <c r="D3015" s="568"/>
      <c r="E3015" s="188"/>
      <c r="F3015" s="188"/>
      <c r="G3015" s="2122"/>
      <c r="H3015" s="568"/>
      <c r="I3015" s="2118"/>
      <c r="J3015" s="2123"/>
      <c r="K3015" s="2123">
        <f>K3007</f>
        <v>20506.849999999999</v>
      </c>
      <c r="L3015" s="192"/>
      <c r="M3015" s="568"/>
      <c r="N3015" s="1705"/>
      <c r="T3015" s="2166"/>
    </row>
    <row r="3016" spans="1:20" s="2168" customFormat="1" ht="12.75" hidden="1">
      <c r="A3016" s="2114"/>
      <c r="B3016" s="568" t="s">
        <v>897</v>
      </c>
      <c r="C3016" s="568"/>
      <c r="D3016" s="568"/>
      <c r="E3016" s="188"/>
      <c r="F3016" s="188"/>
      <c r="G3016" s="2122"/>
      <c r="H3016" s="568"/>
      <c r="I3016" s="2118"/>
      <c r="J3016" s="2123"/>
      <c r="K3016" s="2123">
        <f>K3005+ROUND(K3005*20%,2)</f>
        <v>2334.23</v>
      </c>
      <c r="L3016" s="192"/>
      <c r="M3016" s="568"/>
      <c r="N3016" s="1705"/>
      <c r="T3016" s="2166"/>
    </row>
    <row r="3017" spans="1:20" s="2168" customFormat="1" ht="12.75" hidden="1">
      <c r="A3017" s="2114"/>
      <c r="B3017" s="568" t="s">
        <v>899</v>
      </c>
      <c r="C3017" s="568"/>
      <c r="D3017" s="568"/>
      <c r="E3017" s="188"/>
      <c r="F3017" s="188"/>
      <c r="G3017" s="2122"/>
      <c r="H3017" s="568"/>
      <c r="I3017" s="2118"/>
      <c r="J3017" s="2123"/>
      <c r="K3017" s="2123">
        <f>K3006+ROUND(K3006*15%,2)</f>
        <v>373.5</v>
      </c>
      <c r="L3017" s="192"/>
      <c r="M3017" s="568"/>
      <c r="N3017" s="1705"/>
      <c r="T3017" s="2166"/>
    </row>
    <row r="3018" spans="1:20" s="2168" customFormat="1" ht="12.75" hidden="1">
      <c r="A3018" s="2114"/>
      <c r="B3018" s="568"/>
      <c r="C3018" s="568"/>
      <c r="D3018" s="568"/>
      <c r="E3018" s="188"/>
      <c r="F3018" s="188"/>
      <c r="G3018" s="2122"/>
      <c r="H3018" s="568"/>
      <c r="I3018" s="2118"/>
      <c r="J3018" s="2126" t="s">
        <v>718</v>
      </c>
      <c r="K3018" s="2124">
        <f>SUM(K3015:K3017)</f>
        <v>23214.579999999998</v>
      </c>
      <c r="L3018" s="192" t="s">
        <v>721</v>
      </c>
      <c r="M3018" s="568"/>
      <c r="N3018" s="1705"/>
      <c r="T3018" s="2166"/>
    </row>
    <row r="3019" spans="1:20" s="2168" customFormat="1" ht="12.75" hidden="1">
      <c r="A3019" s="2114"/>
      <c r="B3019" s="192" t="s">
        <v>3588</v>
      </c>
      <c r="C3019" s="568"/>
      <c r="D3019" s="568"/>
      <c r="E3019" s="2120"/>
      <c r="F3019" s="2120"/>
      <c r="G3019" s="2122"/>
      <c r="H3019" s="568"/>
      <c r="I3019" s="2118"/>
      <c r="J3019" s="2123"/>
      <c r="K3019" s="2123"/>
      <c r="L3019" s="192"/>
      <c r="M3019" s="568"/>
      <c r="N3019" s="1705"/>
      <c r="T3019" s="2166"/>
    </row>
    <row r="3020" spans="1:20" s="2168" customFormat="1" ht="12.75" hidden="1">
      <c r="A3020" s="2114"/>
      <c r="B3020" s="568" t="s">
        <v>896</v>
      </c>
      <c r="C3020" s="568"/>
      <c r="D3020" s="568"/>
      <c r="E3020" s="188"/>
      <c r="F3020" s="188"/>
      <c r="G3020" s="2122"/>
      <c r="H3020" s="568"/>
      <c r="I3020" s="2118"/>
      <c r="J3020" s="2123"/>
      <c r="K3020" s="2123">
        <f>K3012</f>
        <v>18277.439999999999</v>
      </c>
      <c r="L3020" s="192"/>
      <c r="M3020" s="568"/>
      <c r="N3020" s="1705"/>
      <c r="T3020" s="2166"/>
    </row>
    <row r="3021" spans="1:20" s="2168" customFormat="1" ht="12.75" hidden="1">
      <c r="A3021" s="2114"/>
      <c r="B3021" s="568" t="s">
        <v>897</v>
      </c>
      <c r="C3021" s="568"/>
      <c r="D3021" s="568"/>
      <c r="E3021" s="188"/>
      <c r="F3021" s="188"/>
      <c r="G3021" s="2122"/>
      <c r="H3021" s="568"/>
      <c r="I3021" s="2118"/>
      <c r="J3021" s="2123"/>
      <c r="K3021" s="2123">
        <f>K3010+ROUND(K3010*20%,2)</f>
        <v>2334.23</v>
      </c>
      <c r="L3021" s="192"/>
      <c r="M3021" s="568"/>
      <c r="N3021" s="1705"/>
      <c r="T3021" s="2166"/>
    </row>
    <row r="3022" spans="1:20" s="2168" customFormat="1" ht="12.75" hidden="1">
      <c r="A3022" s="2114"/>
      <c r="B3022" s="568" t="s">
        <v>899</v>
      </c>
      <c r="C3022" s="568"/>
      <c r="D3022" s="568"/>
      <c r="E3022" s="188"/>
      <c r="F3022" s="188"/>
      <c r="G3022" s="2122"/>
      <c r="H3022" s="568"/>
      <c r="I3022" s="2118"/>
      <c r="J3022" s="2123"/>
      <c r="K3022" s="2123">
        <f>K3011+ROUND(K3011*15%,2)</f>
        <v>104.27</v>
      </c>
      <c r="L3022" s="192"/>
      <c r="M3022" s="568"/>
      <c r="N3022" s="1705"/>
      <c r="T3022" s="2166"/>
    </row>
    <row r="3023" spans="1:20" s="2168" customFormat="1" ht="12.75" hidden="1">
      <c r="A3023" s="2114"/>
      <c r="B3023" s="568"/>
      <c r="C3023" s="568"/>
      <c r="D3023" s="568"/>
      <c r="E3023" s="188"/>
      <c r="F3023" s="188"/>
      <c r="G3023" s="2122"/>
      <c r="H3023" s="568"/>
      <c r="I3023" s="2118"/>
      <c r="J3023" s="2126" t="s">
        <v>718</v>
      </c>
      <c r="K3023" s="2124">
        <f>SUM(K3020:K3022)</f>
        <v>20715.939999999999</v>
      </c>
      <c r="L3023" s="192" t="s">
        <v>721</v>
      </c>
      <c r="M3023" s="568"/>
      <c r="N3023" s="1705"/>
      <c r="T3023" s="2166"/>
    </row>
    <row r="3024" spans="1:20" ht="12.75">
      <c r="A3024" s="2114" t="str">
        <f>A551</f>
        <v>E)</v>
      </c>
      <c r="B3024" s="2165" t="str">
        <f>B551</f>
        <v>ROOF SLAB</v>
      </c>
      <c r="C3024" s="568"/>
      <c r="D3024" s="568"/>
      <c r="E3024" s="2120" t="str">
        <f>G551</f>
        <v>Each Cum</v>
      </c>
      <c r="F3024" s="2120"/>
      <c r="G3024" s="2122"/>
      <c r="H3024" s="568"/>
      <c r="I3024" s="2118"/>
      <c r="J3024" s="2123"/>
      <c r="K3024" s="2123"/>
      <c r="L3024" s="192"/>
      <c r="M3024" s="568"/>
    </row>
    <row r="3025" spans="1:20" ht="12.75">
      <c r="A3025" s="2114" t="str">
        <f>A552</f>
        <v>(i)</v>
      </c>
      <c r="B3025" s="192" t="str">
        <f>B552</f>
        <v>Ground Floor</v>
      </c>
      <c r="C3025" s="568"/>
      <c r="D3025" s="568"/>
      <c r="E3025" s="2120" t="str">
        <f>G553</f>
        <v>Each Cum</v>
      </c>
      <c r="F3025" s="2120"/>
      <c r="G3025" s="2122"/>
      <c r="H3025" s="568"/>
      <c r="I3025" s="2118"/>
      <c r="J3025" s="2123"/>
      <c r="K3025" s="2123"/>
      <c r="L3025" s="192"/>
      <c r="M3025" s="568"/>
    </row>
    <row r="3026" spans="1:20" ht="12.75">
      <c r="A3026" s="2114" t="s">
        <v>413</v>
      </c>
      <c r="B3026" s="192" t="s">
        <v>1943</v>
      </c>
      <c r="C3026" s="568"/>
      <c r="D3026" s="568"/>
      <c r="E3026" s="2120"/>
      <c r="F3026" s="2120"/>
      <c r="G3026" s="2122"/>
      <c r="H3026" s="568"/>
      <c r="I3026" s="2118"/>
      <c r="J3026" s="2123"/>
      <c r="K3026" s="2123"/>
      <c r="L3026" s="192"/>
      <c r="M3026" s="568"/>
    </row>
    <row r="3027" spans="1:20" ht="12.75">
      <c r="A3027" s="2114"/>
      <c r="B3027" s="568" t="s">
        <v>892</v>
      </c>
      <c r="C3027" s="568"/>
      <c r="D3027" s="568"/>
      <c r="E3027" s="188"/>
      <c r="F3027" s="188"/>
      <c r="G3027" s="2122"/>
      <c r="H3027" s="568"/>
      <c r="I3027" s="2118"/>
      <c r="J3027" s="2123"/>
      <c r="K3027" s="2123">
        <f>K2594</f>
        <v>8228.51</v>
      </c>
      <c r="L3027" s="192"/>
      <c r="M3027" s="568"/>
    </row>
    <row r="3028" spans="1:20" ht="12.75">
      <c r="A3028" s="2114"/>
      <c r="B3028" s="568" t="s">
        <v>893</v>
      </c>
      <c r="C3028" s="568"/>
      <c r="D3028" s="568"/>
      <c r="E3028" s="188"/>
      <c r="F3028" s="188"/>
      <c r="G3028" s="2122">
        <v>10</v>
      </c>
      <c r="H3028" s="568" t="s">
        <v>894</v>
      </c>
      <c r="I3028" s="2118"/>
      <c r="J3028" s="2123">
        <f>K2678</f>
        <v>674.05</v>
      </c>
      <c r="K3028" s="2123">
        <f>G3028*J3028</f>
        <v>6740.5</v>
      </c>
      <c r="L3028" s="192"/>
      <c r="M3028" s="568"/>
      <c r="P3028" s="1709" t="e">
        <f>#REF!</f>
        <v>#REF!</v>
      </c>
      <c r="Q3028" s="1705" t="e">
        <f>K3028*P3028</f>
        <v>#REF!</v>
      </c>
    </row>
    <row r="3029" spans="1:20" ht="12.75">
      <c r="A3029" s="2114"/>
      <c r="B3029" s="568"/>
      <c r="C3029" s="568"/>
      <c r="D3029" s="568"/>
      <c r="E3029" s="188"/>
      <c r="F3029" s="188"/>
      <c r="G3029" s="2122"/>
      <c r="H3029" s="568"/>
      <c r="I3029" s="2118"/>
      <c r="J3029" s="2126" t="s">
        <v>718</v>
      </c>
      <c r="K3029" s="2124">
        <f>SUM(K3027:K3028)</f>
        <v>14969.01</v>
      </c>
      <c r="L3029" s="192" t="s">
        <v>721</v>
      </c>
      <c r="M3029" s="568"/>
    </row>
    <row r="3030" spans="1:20" ht="12.75">
      <c r="A3030" s="2114" t="s">
        <v>415</v>
      </c>
      <c r="B3030" s="192" t="s">
        <v>3588</v>
      </c>
      <c r="C3030" s="568"/>
      <c r="D3030" s="568"/>
      <c r="E3030" s="2120"/>
      <c r="F3030" s="2120"/>
      <c r="G3030" s="2122"/>
      <c r="H3030" s="568"/>
      <c r="I3030" s="2118"/>
      <c r="J3030" s="2123"/>
      <c r="K3030" s="2123"/>
      <c r="L3030" s="192"/>
      <c r="M3030" s="568"/>
    </row>
    <row r="3031" spans="1:20" ht="12.75">
      <c r="A3031" s="2114"/>
      <c r="B3031" s="568" t="s">
        <v>892</v>
      </c>
      <c r="C3031" s="568"/>
      <c r="D3031" s="568"/>
      <c r="E3031" s="188"/>
      <c r="F3031" s="188"/>
      <c r="G3031" s="2122"/>
      <c r="H3031" s="568"/>
      <c r="I3031" s="2118"/>
      <c r="J3031" s="2123"/>
      <c r="K3031" s="2123">
        <f>K2988</f>
        <v>6436.79</v>
      </c>
      <c r="L3031" s="192"/>
      <c r="M3031" s="568"/>
    </row>
    <row r="3032" spans="1:20" ht="12.75">
      <c r="A3032" s="2114"/>
      <c r="B3032" s="568" t="s">
        <v>893</v>
      </c>
      <c r="C3032" s="568"/>
      <c r="D3032" s="568"/>
      <c r="E3032" s="188"/>
      <c r="F3032" s="188"/>
      <c r="G3032" s="2122">
        <v>10</v>
      </c>
      <c r="H3032" s="568" t="s">
        <v>894</v>
      </c>
      <c r="I3032" s="2118"/>
      <c r="J3032" s="2123">
        <f>K2678</f>
        <v>674.05</v>
      </c>
      <c r="K3032" s="2123">
        <f>G3032*J3032</f>
        <v>6740.5</v>
      </c>
      <c r="L3032" s="192"/>
      <c r="M3032" s="568"/>
      <c r="P3032" s="1709" t="e">
        <f>#REF!</f>
        <v>#REF!</v>
      </c>
      <c r="Q3032" s="1705" t="e">
        <f>K3032*P3032</f>
        <v>#REF!</v>
      </c>
    </row>
    <row r="3033" spans="1:20" ht="12.75">
      <c r="A3033" s="2114"/>
      <c r="B3033" s="568"/>
      <c r="C3033" s="568"/>
      <c r="D3033" s="568"/>
      <c r="E3033" s="188"/>
      <c r="F3033" s="188"/>
      <c r="G3033" s="2122"/>
      <c r="H3033" s="568"/>
      <c r="I3033" s="2118"/>
      <c r="J3033" s="2126" t="s">
        <v>718</v>
      </c>
      <c r="K3033" s="2124">
        <f>SUM(K3031:K3032)</f>
        <v>13177.29</v>
      </c>
      <c r="L3033" s="192" t="s">
        <v>721</v>
      </c>
      <c r="M3033" s="568"/>
    </row>
    <row r="3034" spans="1:20" s="2168" customFormat="1" ht="12.75" hidden="1">
      <c r="A3034" s="2114" t="str">
        <f>A2991</f>
        <v>(ii)</v>
      </c>
      <c r="B3034" s="192" t="str">
        <f>B2991</f>
        <v>First Floor</v>
      </c>
      <c r="C3034" s="568"/>
      <c r="D3034" s="568"/>
      <c r="E3034" s="2120" t="str">
        <f>E3025</f>
        <v>Each Cum</v>
      </c>
      <c r="F3034" s="2120"/>
      <c r="G3034" s="2122"/>
      <c r="H3034" s="568"/>
      <c r="I3034" s="2118"/>
      <c r="J3034" s="2123"/>
      <c r="K3034" s="2123"/>
      <c r="L3034" s="192"/>
      <c r="M3034" s="568"/>
      <c r="N3034" s="1705"/>
      <c r="T3034" s="2166"/>
    </row>
    <row r="3035" spans="1:20" s="2168" customFormat="1" ht="12.75" hidden="1">
      <c r="A3035" s="2114"/>
      <c r="B3035" s="192" t="s">
        <v>1943</v>
      </c>
      <c r="C3035" s="568"/>
      <c r="D3035" s="568"/>
      <c r="E3035" s="2120"/>
      <c r="F3035" s="2120"/>
      <c r="G3035" s="2122"/>
      <c r="H3035" s="568"/>
      <c r="I3035" s="2118"/>
      <c r="J3035" s="2123"/>
      <c r="K3035" s="2123"/>
      <c r="L3035" s="192"/>
      <c r="M3035" s="568"/>
      <c r="N3035" s="1705"/>
      <c r="T3035" s="2166"/>
    </row>
    <row r="3036" spans="1:20" s="2168" customFormat="1" ht="12.75" hidden="1">
      <c r="A3036" s="2114"/>
      <c r="B3036" s="568" t="s">
        <v>896</v>
      </c>
      <c r="C3036" s="568"/>
      <c r="D3036" s="568"/>
      <c r="E3036" s="188"/>
      <c r="F3036" s="188"/>
      <c r="G3036" s="2122"/>
      <c r="H3036" s="568"/>
      <c r="I3036" s="2118"/>
      <c r="J3036" s="2123"/>
      <c r="K3036" s="2123">
        <f>K3029</f>
        <v>14969.01</v>
      </c>
      <c r="L3036" s="192"/>
      <c r="M3036" s="568"/>
      <c r="N3036" s="1705"/>
      <c r="O3036" s="2167">
        <f>K2602</f>
        <v>8556.5399999999991</v>
      </c>
      <c r="T3036" s="2166"/>
    </row>
    <row r="3037" spans="1:20" s="2168" customFormat="1" ht="12.75" hidden="1">
      <c r="A3037" s="2114"/>
      <c r="B3037" s="568" t="s">
        <v>897</v>
      </c>
      <c r="C3037" s="568"/>
      <c r="D3037" s="568"/>
      <c r="E3037" s="188"/>
      <c r="F3037" s="188"/>
      <c r="G3037" s="2122"/>
      <c r="H3037" s="568"/>
      <c r="I3037" s="2118"/>
      <c r="J3037" s="2123"/>
      <c r="K3037" s="2123">
        <f>ROUND(K3028*20%,2)</f>
        <v>1348.1</v>
      </c>
      <c r="L3037" s="192"/>
      <c r="M3037" s="568"/>
      <c r="N3037" s="1705"/>
      <c r="O3037" s="2168">
        <f>G3032*J3032</f>
        <v>6740.5</v>
      </c>
      <c r="T3037" s="2166"/>
    </row>
    <row r="3038" spans="1:20" s="2168" customFormat="1" ht="12.75" hidden="1">
      <c r="A3038" s="2114"/>
      <c r="B3038" s="568" t="s">
        <v>900</v>
      </c>
      <c r="C3038" s="568"/>
      <c r="D3038" s="568"/>
      <c r="E3038" s="188"/>
      <c r="F3038" s="188"/>
      <c r="G3038" s="2122"/>
      <c r="H3038" s="568"/>
      <c r="I3038" s="2118"/>
      <c r="J3038" s="2123"/>
      <c r="K3038" s="2123">
        <f>ROUND(K2580*15%,2)</f>
        <v>282.42</v>
      </c>
      <c r="L3038" s="192"/>
      <c r="M3038" s="568"/>
      <c r="N3038" s="1705"/>
      <c r="O3038" s="2168">
        <f>O3037*20%</f>
        <v>1348.1000000000001</v>
      </c>
      <c r="T3038" s="2166"/>
    </row>
    <row r="3039" spans="1:20" s="2168" customFormat="1" ht="12.75" hidden="1">
      <c r="A3039" s="2114"/>
      <c r="B3039" s="568"/>
      <c r="C3039" s="568"/>
      <c r="D3039" s="568"/>
      <c r="E3039" s="188"/>
      <c r="F3039" s="188"/>
      <c r="G3039" s="2122"/>
      <c r="H3039" s="568"/>
      <c r="I3039" s="2118"/>
      <c r="J3039" s="2126" t="s">
        <v>718</v>
      </c>
      <c r="K3039" s="2124">
        <f>SUM(K3036:K3038)</f>
        <v>16599.53</v>
      </c>
      <c r="L3039" s="192" t="s">
        <v>721</v>
      </c>
      <c r="M3039" s="568"/>
      <c r="N3039" s="1705"/>
      <c r="O3039" s="2167">
        <f>SUM(O3036:O3038)</f>
        <v>16645.14</v>
      </c>
      <c r="T3039" s="2166"/>
    </row>
    <row r="3040" spans="1:20" s="2168" customFormat="1" ht="12.75" hidden="1">
      <c r="A3040" s="2114"/>
      <c r="B3040" s="192" t="s">
        <v>3588</v>
      </c>
      <c r="C3040" s="568"/>
      <c r="D3040" s="568"/>
      <c r="E3040" s="2120"/>
      <c r="F3040" s="2120"/>
      <c r="G3040" s="2122"/>
      <c r="H3040" s="568"/>
      <c r="I3040" s="2118"/>
      <c r="J3040" s="2123"/>
      <c r="K3040" s="2123"/>
      <c r="L3040" s="192"/>
      <c r="M3040" s="568"/>
      <c r="N3040" s="1705"/>
      <c r="T3040" s="2166"/>
    </row>
    <row r="3041" spans="1:20" s="2168" customFormat="1" ht="12.75" hidden="1">
      <c r="A3041" s="2114"/>
      <c r="B3041" s="568" t="s">
        <v>896</v>
      </c>
      <c r="C3041" s="568"/>
      <c r="D3041" s="568"/>
      <c r="E3041" s="188"/>
      <c r="F3041" s="188"/>
      <c r="G3041" s="2122"/>
      <c r="H3041" s="568"/>
      <c r="I3041" s="2118"/>
      <c r="J3041" s="2123"/>
      <c r="K3041" s="2123">
        <f>K3033</f>
        <v>13177.29</v>
      </c>
      <c r="L3041" s="192"/>
      <c r="M3041" s="568"/>
      <c r="N3041" s="1705"/>
      <c r="T3041" s="2166"/>
    </row>
    <row r="3042" spans="1:20" s="2168" customFormat="1" ht="12.75" hidden="1">
      <c r="A3042" s="2114"/>
      <c r="B3042" s="568" t="s">
        <v>897</v>
      </c>
      <c r="C3042" s="568"/>
      <c r="D3042" s="568"/>
      <c r="E3042" s="188"/>
      <c r="F3042" s="188"/>
      <c r="G3042" s="2122"/>
      <c r="H3042" s="568"/>
      <c r="I3042" s="2118"/>
      <c r="J3042" s="2123"/>
      <c r="K3042" s="2123">
        <f>ROUND(K3032*20%,2)</f>
        <v>1348.1</v>
      </c>
      <c r="L3042" s="192"/>
      <c r="M3042" s="568"/>
      <c r="N3042" s="1705"/>
      <c r="T3042" s="2166"/>
    </row>
    <row r="3043" spans="1:20" s="2168" customFormat="1" ht="12.75" hidden="1">
      <c r="A3043" s="2114"/>
      <c r="B3043" s="568" t="s">
        <v>899</v>
      </c>
      <c r="C3043" s="568"/>
      <c r="D3043" s="568"/>
      <c r="E3043" s="188"/>
      <c r="F3043" s="188"/>
      <c r="G3043" s="2122"/>
      <c r="H3043" s="568"/>
      <c r="I3043" s="2118"/>
      <c r="J3043" s="2123"/>
      <c r="K3043" s="2123">
        <f>ROUND(K2414*15%/15,2)</f>
        <v>78.84</v>
      </c>
      <c r="L3043" s="192"/>
      <c r="M3043" s="568"/>
      <c r="N3043" s="1705"/>
      <c r="T3043" s="2166"/>
    </row>
    <row r="3044" spans="1:20" s="2168" customFormat="1" ht="12.75" hidden="1">
      <c r="A3044" s="2114"/>
      <c r="B3044" s="568"/>
      <c r="C3044" s="568"/>
      <c r="D3044" s="568"/>
      <c r="E3044" s="188"/>
      <c r="F3044" s="188"/>
      <c r="G3044" s="2122"/>
      <c r="H3044" s="568"/>
      <c r="I3044" s="2118"/>
      <c r="J3044" s="2126" t="s">
        <v>718</v>
      </c>
      <c r="K3044" s="2124">
        <f>SUM(K3041:K3043)</f>
        <v>14604.230000000001</v>
      </c>
      <c r="L3044" s="192" t="s">
        <v>721</v>
      </c>
      <c r="M3044" s="568"/>
      <c r="N3044" s="1705"/>
      <c r="T3044" s="2166"/>
    </row>
    <row r="3045" spans="1:20" s="2168" customFormat="1" ht="12.75" hidden="1">
      <c r="A3045" s="2114" t="str">
        <f>A640</f>
        <v>(ii)</v>
      </c>
      <c r="B3045" s="192" t="str">
        <f>B3002</f>
        <v>Second Floor</v>
      </c>
      <c r="C3045" s="568"/>
      <c r="D3045" s="568"/>
      <c r="E3045" s="2120" t="str">
        <f>E3034</f>
        <v>Each Cum</v>
      </c>
      <c r="F3045" s="2120"/>
      <c r="G3045" s="2122"/>
      <c r="H3045" s="568"/>
      <c r="I3045" s="2118"/>
      <c r="J3045" s="2123"/>
      <c r="K3045" s="2123"/>
      <c r="L3045" s="192"/>
      <c r="M3045" s="568"/>
      <c r="N3045" s="1705"/>
      <c r="T3045" s="2166"/>
    </row>
    <row r="3046" spans="1:20" s="2168" customFormat="1" ht="12.75" hidden="1">
      <c r="A3046" s="2114"/>
      <c r="B3046" s="192" t="s">
        <v>1943</v>
      </c>
      <c r="C3046" s="568"/>
      <c r="D3046" s="568"/>
      <c r="E3046" s="2120"/>
      <c r="F3046" s="2120"/>
      <c r="G3046" s="2122"/>
      <c r="H3046" s="568"/>
      <c r="I3046" s="2118"/>
      <c r="J3046" s="2123"/>
      <c r="K3046" s="2123"/>
      <c r="L3046" s="192"/>
      <c r="M3046" s="568"/>
      <c r="N3046" s="1705"/>
      <c r="T3046" s="2166"/>
    </row>
    <row r="3047" spans="1:20" s="2168" customFormat="1" ht="12.75" hidden="1">
      <c r="A3047" s="2114"/>
      <c r="B3047" s="568" t="s">
        <v>896</v>
      </c>
      <c r="C3047" s="568"/>
      <c r="D3047" s="568"/>
      <c r="E3047" s="188"/>
      <c r="F3047" s="188"/>
      <c r="G3047" s="2122"/>
      <c r="H3047" s="568"/>
      <c r="I3047" s="2118"/>
      <c r="J3047" s="2123"/>
      <c r="K3047" s="2123">
        <f>K3039</f>
        <v>16599.53</v>
      </c>
      <c r="L3047" s="192"/>
      <c r="M3047" s="568"/>
      <c r="N3047" s="1705"/>
      <c r="T3047" s="2166"/>
    </row>
    <row r="3048" spans="1:20" s="2168" customFormat="1" ht="12.75" hidden="1">
      <c r="A3048" s="2114"/>
      <c r="B3048" s="568" t="s">
        <v>897</v>
      </c>
      <c r="C3048" s="568"/>
      <c r="D3048" s="568"/>
      <c r="E3048" s="188"/>
      <c r="F3048" s="188"/>
      <c r="G3048" s="2122"/>
      <c r="H3048" s="568"/>
      <c r="I3048" s="2118"/>
      <c r="J3048" s="2123"/>
      <c r="K3048" s="2123">
        <f>K3037+ROUND(K3037*20%,2)</f>
        <v>1617.7199999999998</v>
      </c>
      <c r="L3048" s="192"/>
      <c r="M3048" s="568"/>
      <c r="N3048" s="1705"/>
      <c r="T3048" s="2166"/>
    </row>
    <row r="3049" spans="1:20" s="2168" customFormat="1" ht="12.75" hidden="1">
      <c r="A3049" s="2114"/>
      <c r="B3049" s="568" t="s">
        <v>899</v>
      </c>
      <c r="C3049" s="568"/>
      <c r="D3049" s="568"/>
      <c r="E3049" s="188"/>
      <c r="F3049" s="188"/>
      <c r="G3049" s="2122"/>
      <c r="H3049" s="568"/>
      <c r="I3049" s="2118"/>
      <c r="J3049" s="2123"/>
      <c r="K3049" s="2123">
        <f>K3038+ROUND(K3038*15%,2)</f>
        <v>324.78000000000003</v>
      </c>
      <c r="L3049" s="192"/>
      <c r="M3049" s="568"/>
      <c r="N3049" s="1705"/>
      <c r="T3049" s="2166"/>
    </row>
    <row r="3050" spans="1:20" s="2168" customFormat="1" ht="12.75" hidden="1">
      <c r="A3050" s="2114"/>
      <c r="B3050" s="568"/>
      <c r="C3050" s="568"/>
      <c r="D3050" s="568"/>
      <c r="E3050" s="188"/>
      <c r="F3050" s="188"/>
      <c r="G3050" s="2122"/>
      <c r="H3050" s="568"/>
      <c r="I3050" s="2118"/>
      <c r="J3050" s="2126" t="s">
        <v>718</v>
      </c>
      <c r="K3050" s="2124">
        <f>SUM(K3047:K3049)</f>
        <v>18542.03</v>
      </c>
      <c r="L3050" s="192" t="s">
        <v>721</v>
      </c>
      <c r="M3050" s="568"/>
      <c r="N3050" s="1705"/>
      <c r="T3050" s="2166"/>
    </row>
    <row r="3051" spans="1:20" s="2168" customFormat="1" ht="12.75" hidden="1">
      <c r="A3051" s="2114"/>
      <c r="B3051" s="192" t="s">
        <v>3588</v>
      </c>
      <c r="C3051" s="568"/>
      <c r="D3051" s="568"/>
      <c r="E3051" s="2120"/>
      <c r="F3051" s="2120"/>
      <c r="G3051" s="2122"/>
      <c r="H3051" s="568"/>
      <c r="I3051" s="2118"/>
      <c r="J3051" s="2123"/>
      <c r="K3051" s="2123"/>
      <c r="L3051" s="192"/>
      <c r="M3051" s="568"/>
      <c r="N3051" s="1705"/>
      <c r="T3051" s="2166"/>
    </row>
    <row r="3052" spans="1:20" s="2168" customFormat="1" ht="12.75" hidden="1">
      <c r="A3052" s="2114"/>
      <c r="B3052" s="568" t="s">
        <v>896</v>
      </c>
      <c r="C3052" s="568"/>
      <c r="D3052" s="568"/>
      <c r="E3052" s="188"/>
      <c r="F3052" s="188"/>
      <c r="G3052" s="2122"/>
      <c r="H3052" s="568"/>
      <c r="I3052" s="2118"/>
      <c r="J3052" s="2123"/>
      <c r="K3052" s="2123">
        <f>K3044</f>
        <v>14604.230000000001</v>
      </c>
      <c r="L3052" s="192"/>
      <c r="M3052" s="568"/>
      <c r="N3052" s="1705"/>
      <c r="T3052" s="2166"/>
    </row>
    <row r="3053" spans="1:20" s="2168" customFormat="1" ht="12.75" hidden="1">
      <c r="A3053" s="2114"/>
      <c r="B3053" s="568" t="s">
        <v>897</v>
      </c>
      <c r="C3053" s="568"/>
      <c r="D3053" s="568"/>
      <c r="E3053" s="188"/>
      <c r="F3053" s="188"/>
      <c r="G3053" s="2122"/>
      <c r="H3053" s="568"/>
      <c r="I3053" s="2118"/>
      <c r="J3053" s="2123"/>
      <c r="K3053" s="2123">
        <f>K3042+ROUND(K3042*20%,2)</f>
        <v>1617.7199999999998</v>
      </c>
      <c r="L3053" s="192"/>
      <c r="M3053" s="568"/>
      <c r="N3053" s="1705"/>
      <c r="T3053" s="2166"/>
    </row>
    <row r="3054" spans="1:20" s="2168" customFormat="1" ht="12.75" hidden="1">
      <c r="A3054" s="2114"/>
      <c r="B3054" s="568" t="s">
        <v>899</v>
      </c>
      <c r="C3054" s="568"/>
      <c r="D3054" s="568"/>
      <c r="E3054" s="188"/>
      <c r="F3054" s="188"/>
      <c r="G3054" s="2122"/>
      <c r="H3054" s="568"/>
      <c r="I3054" s="2118"/>
      <c r="J3054" s="2123"/>
      <c r="K3054" s="2123">
        <f>K3043+ROUND(K3043*15%,2)</f>
        <v>90.67</v>
      </c>
      <c r="L3054" s="192"/>
      <c r="M3054" s="568"/>
      <c r="N3054" s="1705"/>
      <c r="T3054" s="2166"/>
    </row>
    <row r="3055" spans="1:20" s="2168" customFormat="1" ht="12.75" hidden="1">
      <c r="A3055" s="2114"/>
      <c r="B3055" s="568"/>
      <c r="C3055" s="568"/>
      <c r="D3055" s="568"/>
      <c r="E3055" s="188"/>
      <c r="F3055" s="188"/>
      <c r="G3055" s="2122"/>
      <c r="H3055" s="568"/>
      <c r="I3055" s="2118"/>
      <c r="J3055" s="2126" t="s">
        <v>718</v>
      </c>
      <c r="K3055" s="2124">
        <f>SUM(K3052:K3054)</f>
        <v>16312.62</v>
      </c>
      <c r="L3055" s="192" t="s">
        <v>721</v>
      </c>
      <c r="M3055" s="568"/>
      <c r="N3055" s="1705"/>
      <c r="T3055" s="2166"/>
    </row>
    <row r="3056" spans="1:20" s="2168" customFormat="1" ht="12.75" hidden="1">
      <c r="A3056" s="2114" t="str">
        <f>A651</f>
        <v>(iii)</v>
      </c>
      <c r="B3056" s="192" t="str">
        <f>B3013</f>
        <v>Third Floor</v>
      </c>
      <c r="C3056" s="568"/>
      <c r="D3056" s="568"/>
      <c r="E3056" s="2120" t="str">
        <f>E3045</f>
        <v>Each Cum</v>
      </c>
      <c r="F3056" s="2120"/>
      <c r="G3056" s="2122"/>
      <c r="H3056" s="568"/>
      <c r="I3056" s="2118"/>
      <c r="J3056" s="2123"/>
      <c r="K3056" s="2123"/>
      <c r="L3056" s="192"/>
      <c r="M3056" s="568"/>
      <c r="N3056" s="1705"/>
      <c r="T3056" s="2166"/>
    </row>
    <row r="3057" spans="1:20" s="2168" customFormat="1" ht="12.75" hidden="1">
      <c r="A3057" s="2114"/>
      <c r="B3057" s="192" t="s">
        <v>1943</v>
      </c>
      <c r="C3057" s="568"/>
      <c r="D3057" s="568"/>
      <c r="E3057" s="2120"/>
      <c r="F3057" s="2120"/>
      <c r="G3057" s="2122"/>
      <c r="H3057" s="568"/>
      <c r="I3057" s="2118"/>
      <c r="J3057" s="2123"/>
      <c r="K3057" s="2123"/>
      <c r="L3057" s="192"/>
      <c r="M3057" s="568"/>
      <c r="N3057" s="1705"/>
      <c r="T3057" s="2166"/>
    </row>
    <row r="3058" spans="1:20" s="2168" customFormat="1" ht="12.75" hidden="1">
      <c r="A3058" s="2114"/>
      <c r="B3058" s="568" t="s">
        <v>896</v>
      </c>
      <c r="C3058" s="568"/>
      <c r="D3058" s="568"/>
      <c r="E3058" s="188"/>
      <c r="F3058" s="188"/>
      <c r="G3058" s="2122"/>
      <c r="H3058" s="568"/>
      <c r="I3058" s="2118"/>
      <c r="J3058" s="2123"/>
      <c r="K3058" s="2123">
        <f>K3050</f>
        <v>18542.03</v>
      </c>
      <c r="L3058" s="192"/>
      <c r="M3058" s="568"/>
      <c r="N3058" s="1705"/>
      <c r="T3058" s="2166"/>
    </row>
    <row r="3059" spans="1:20" s="2168" customFormat="1" ht="12.75" hidden="1">
      <c r="A3059" s="2114"/>
      <c r="B3059" s="568" t="s">
        <v>897</v>
      </c>
      <c r="C3059" s="568"/>
      <c r="D3059" s="568"/>
      <c r="E3059" s="188"/>
      <c r="F3059" s="188"/>
      <c r="G3059" s="2122"/>
      <c r="H3059" s="568"/>
      <c r="I3059" s="2118"/>
      <c r="J3059" s="2123"/>
      <c r="K3059" s="2123">
        <f>K3048+ROUND(K3048*20%,2)</f>
        <v>1941.2599999999998</v>
      </c>
      <c r="L3059" s="192"/>
      <c r="M3059" s="568"/>
      <c r="N3059" s="1705"/>
      <c r="T3059" s="2166"/>
    </row>
    <row r="3060" spans="1:20" s="2168" customFormat="1" ht="12.75" hidden="1">
      <c r="A3060" s="2114"/>
      <c r="B3060" s="568" t="s">
        <v>899</v>
      </c>
      <c r="C3060" s="568"/>
      <c r="D3060" s="568"/>
      <c r="E3060" s="188"/>
      <c r="F3060" s="188"/>
      <c r="G3060" s="2122"/>
      <c r="H3060" s="568"/>
      <c r="I3060" s="2118"/>
      <c r="J3060" s="2123"/>
      <c r="K3060" s="2123">
        <f>K3049+ROUND(K3049*15%,2)</f>
        <v>373.5</v>
      </c>
      <c r="L3060" s="192"/>
      <c r="M3060" s="568"/>
      <c r="N3060" s="1705"/>
      <c r="T3060" s="2166"/>
    </row>
    <row r="3061" spans="1:20" s="2168" customFormat="1" ht="12.75" hidden="1">
      <c r="A3061" s="2114"/>
      <c r="B3061" s="568"/>
      <c r="C3061" s="568"/>
      <c r="D3061" s="568"/>
      <c r="E3061" s="188"/>
      <c r="F3061" s="188"/>
      <c r="G3061" s="2122"/>
      <c r="H3061" s="568"/>
      <c r="I3061" s="2118"/>
      <c r="J3061" s="2126" t="s">
        <v>718</v>
      </c>
      <c r="K3061" s="2124">
        <f>SUM(K3058:K3060)</f>
        <v>20856.789999999997</v>
      </c>
      <c r="L3061" s="192" t="s">
        <v>721</v>
      </c>
      <c r="M3061" s="568"/>
      <c r="N3061" s="1705"/>
      <c r="T3061" s="2166"/>
    </row>
    <row r="3062" spans="1:20" s="2168" customFormat="1" ht="12.75" hidden="1">
      <c r="A3062" s="2114"/>
      <c r="B3062" s="192" t="s">
        <v>3588</v>
      </c>
      <c r="C3062" s="568"/>
      <c r="D3062" s="568"/>
      <c r="E3062" s="2120"/>
      <c r="F3062" s="2120"/>
      <c r="G3062" s="2122"/>
      <c r="H3062" s="568"/>
      <c r="I3062" s="2118"/>
      <c r="J3062" s="2123"/>
      <c r="K3062" s="2123"/>
      <c r="L3062" s="192"/>
      <c r="M3062" s="568"/>
      <c r="N3062" s="1705"/>
      <c r="T3062" s="2166"/>
    </row>
    <row r="3063" spans="1:20" s="2168" customFormat="1" ht="12.75" hidden="1">
      <c r="A3063" s="2114"/>
      <c r="B3063" s="568" t="s">
        <v>896</v>
      </c>
      <c r="C3063" s="568"/>
      <c r="D3063" s="568"/>
      <c r="E3063" s="188"/>
      <c r="F3063" s="188"/>
      <c r="G3063" s="2122"/>
      <c r="H3063" s="568"/>
      <c r="I3063" s="2118"/>
      <c r="J3063" s="2123"/>
      <c r="K3063" s="2123">
        <f>K3055</f>
        <v>16312.62</v>
      </c>
      <c r="L3063" s="192"/>
      <c r="M3063" s="568"/>
      <c r="N3063" s="1705"/>
      <c r="T3063" s="2166"/>
    </row>
    <row r="3064" spans="1:20" s="2168" customFormat="1" ht="12.75" hidden="1">
      <c r="A3064" s="2114"/>
      <c r="B3064" s="568" t="s">
        <v>897</v>
      </c>
      <c r="C3064" s="568"/>
      <c r="D3064" s="568"/>
      <c r="E3064" s="188"/>
      <c r="F3064" s="188"/>
      <c r="G3064" s="2122"/>
      <c r="H3064" s="568"/>
      <c r="I3064" s="2118"/>
      <c r="J3064" s="2123"/>
      <c r="K3064" s="2123">
        <f>K3053+ROUND(K3053*20%,2)</f>
        <v>1941.2599999999998</v>
      </c>
      <c r="L3064" s="192"/>
      <c r="M3064" s="568"/>
      <c r="N3064" s="1705"/>
      <c r="T3064" s="2166"/>
    </row>
    <row r="3065" spans="1:20" s="2168" customFormat="1" ht="12.75" hidden="1">
      <c r="A3065" s="2114"/>
      <c r="B3065" s="568" t="s">
        <v>899</v>
      </c>
      <c r="C3065" s="568"/>
      <c r="D3065" s="568"/>
      <c r="E3065" s="188"/>
      <c r="F3065" s="188"/>
      <c r="G3065" s="2122"/>
      <c r="H3065" s="568"/>
      <c r="I3065" s="2118"/>
      <c r="J3065" s="2123"/>
      <c r="K3065" s="2123">
        <f>K3054+ROUND(K3054*15%,2)</f>
        <v>104.27</v>
      </c>
      <c r="L3065" s="192"/>
      <c r="M3065" s="568"/>
      <c r="N3065" s="1705"/>
      <c r="T3065" s="2166"/>
    </row>
    <row r="3066" spans="1:20" s="2168" customFormat="1" ht="12.75" hidden="1">
      <c r="A3066" s="2114"/>
      <c r="B3066" s="568"/>
      <c r="C3066" s="568"/>
      <c r="D3066" s="568"/>
      <c r="E3066" s="188"/>
      <c r="F3066" s="188"/>
      <c r="G3066" s="2122"/>
      <c r="H3066" s="568"/>
      <c r="I3066" s="2118"/>
      <c r="J3066" s="2126" t="s">
        <v>718</v>
      </c>
      <c r="K3066" s="2124">
        <f>SUM(K3063:K3065)</f>
        <v>18358.150000000001</v>
      </c>
      <c r="L3066" s="192" t="s">
        <v>721</v>
      </c>
      <c r="M3066" s="568"/>
      <c r="N3066" s="1705"/>
      <c r="T3066" s="2166"/>
    </row>
    <row r="3067" spans="1:20" ht="12.75">
      <c r="A3067" s="2114" t="str">
        <f>A564</f>
        <v>F)</v>
      </c>
      <c r="B3067" s="2165" t="str">
        <f>B564</f>
        <v>STAIR CASE</v>
      </c>
      <c r="C3067" s="568"/>
      <c r="D3067" s="568"/>
      <c r="E3067" s="2120" t="str">
        <f>G564</f>
        <v>Each Cum</v>
      </c>
      <c r="F3067" s="2120"/>
      <c r="G3067" s="2122"/>
      <c r="H3067" s="568"/>
      <c r="I3067" s="2118"/>
      <c r="J3067" s="2123"/>
      <c r="K3067" s="2123"/>
      <c r="L3067" s="192"/>
      <c r="M3067" s="568"/>
    </row>
    <row r="3068" spans="1:20" ht="12.75">
      <c r="A3068" s="2114" t="str">
        <f>A565</f>
        <v>(i)</v>
      </c>
      <c r="B3068" s="192" t="str">
        <f>B565</f>
        <v>Ground Floor</v>
      </c>
      <c r="C3068" s="568"/>
      <c r="D3068" s="568"/>
      <c r="E3068" s="2120" t="str">
        <f>G566</f>
        <v>Each Cum</v>
      </c>
      <c r="F3068" s="2120"/>
      <c r="G3068" s="2122"/>
      <c r="H3068" s="568"/>
      <c r="I3068" s="2118"/>
      <c r="J3068" s="2123"/>
      <c r="K3068" s="2123"/>
      <c r="L3068" s="192"/>
      <c r="M3068" s="568"/>
    </row>
    <row r="3069" spans="1:20" ht="12.75">
      <c r="A3069" s="2114" t="s">
        <v>413</v>
      </c>
      <c r="B3069" s="192" t="s">
        <v>1943</v>
      </c>
      <c r="C3069" s="568"/>
      <c r="D3069" s="568"/>
      <c r="E3069" s="2120"/>
      <c r="F3069" s="2120"/>
      <c r="G3069" s="2122"/>
      <c r="H3069" s="568"/>
      <c r="I3069" s="2118"/>
      <c r="J3069" s="2123"/>
      <c r="K3069" s="2123"/>
      <c r="L3069" s="192"/>
      <c r="M3069" s="568"/>
    </row>
    <row r="3070" spans="1:20" ht="12.75">
      <c r="A3070" s="2114"/>
      <c r="B3070" s="568" t="s">
        <v>892</v>
      </c>
      <c r="C3070" s="568"/>
      <c r="D3070" s="568"/>
      <c r="E3070" s="188"/>
      <c r="F3070" s="188"/>
      <c r="G3070" s="2122"/>
      <c r="H3070" s="568"/>
      <c r="I3070" s="2118"/>
      <c r="J3070" s="2123"/>
      <c r="K3070" s="2123">
        <f>K2594</f>
        <v>8228.51</v>
      </c>
      <c r="L3070" s="192"/>
      <c r="M3070" s="568"/>
    </row>
    <row r="3071" spans="1:20" ht="12.75">
      <c r="A3071" s="2114"/>
      <c r="B3071" s="568" t="s">
        <v>893</v>
      </c>
      <c r="C3071" s="568"/>
      <c r="D3071" s="568"/>
      <c r="E3071" s="188"/>
      <c r="F3071" s="188"/>
      <c r="G3071" s="2122">
        <v>9</v>
      </c>
      <c r="H3071" s="568" t="s">
        <v>894</v>
      </c>
      <c r="I3071" s="2118"/>
      <c r="J3071" s="2123">
        <f>K2724</f>
        <v>894.98</v>
      </c>
      <c r="K3071" s="2123">
        <f>G3071*J3071</f>
        <v>8054.82</v>
      </c>
      <c r="L3071" s="192"/>
      <c r="M3071" s="568"/>
    </row>
    <row r="3072" spans="1:20" ht="12.75">
      <c r="A3072" s="2114"/>
      <c r="B3072" s="568"/>
      <c r="C3072" s="568"/>
      <c r="D3072" s="568"/>
      <c r="E3072" s="188"/>
      <c r="F3072" s="188"/>
      <c r="G3072" s="2122"/>
      <c r="H3072" s="568"/>
      <c r="I3072" s="2118"/>
      <c r="J3072" s="2126" t="s">
        <v>718</v>
      </c>
      <c r="K3072" s="2124">
        <f>SUM(K3070:K3071)</f>
        <v>16283.33</v>
      </c>
      <c r="L3072" s="192" t="s">
        <v>721</v>
      </c>
      <c r="M3072" s="568"/>
    </row>
    <row r="3073" spans="1:20" ht="12.75">
      <c r="A3073" s="2114" t="s">
        <v>415</v>
      </c>
      <c r="B3073" s="192" t="s">
        <v>3588</v>
      </c>
      <c r="C3073" s="568"/>
      <c r="D3073" s="568"/>
      <c r="E3073" s="2120"/>
      <c r="F3073" s="2120"/>
      <c r="G3073" s="2122"/>
      <c r="H3073" s="568"/>
      <c r="I3073" s="2118"/>
      <c r="J3073" s="2123"/>
      <c r="K3073" s="2123"/>
      <c r="L3073" s="192"/>
      <c r="M3073" s="568"/>
    </row>
    <row r="3074" spans="1:20" ht="12.75">
      <c r="A3074" s="2114"/>
      <c r="B3074" s="568" t="s">
        <v>892</v>
      </c>
      <c r="C3074" s="568"/>
      <c r="D3074" s="568"/>
      <c r="E3074" s="188"/>
      <c r="F3074" s="188"/>
      <c r="G3074" s="2122"/>
      <c r="H3074" s="568"/>
      <c r="I3074" s="2118"/>
      <c r="J3074" s="2123"/>
      <c r="K3074" s="2123">
        <f>K3031</f>
        <v>6436.79</v>
      </c>
      <c r="L3074" s="192"/>
      <c r="M3074" s="568"/>
    </row>
    <row r="3075" spans="1:20" ht="12.75">
      <c r="A3075" s="2114"/>
      <c r="B3075" s="568" t="s">
        <v>893</v>
      </c>
      <c r="C3075" s="568"/>
      <c r="D3075" s="568"/>
      <c r="E3075" s="188"/>
      <c r="F3075" s="188"/>
      <c r="G3075" s="2122">
        <v>9</v>
      </c>
      <c r="H3075" s="568" t="s">
        <v>894</v>
      </c>
      <c r="I3075" s="2118"/>
      <c r="J3075" s="2123">
        <f>K2724</f>
        <v>894.98</v>
      </c>
      <c r="K3075" s="2123">
        <f>G3075*J3075</f>
        <v>8054.82</v>
      </c>
      <c r="L3075" s="192"/>
      <c r="M3075" s="568"/>
    </row>
    <row r="3076" spans="1:20" ht="12.75">
      <c r="A3076" s="2114"/>
      <c r="B3076" s="568"/>
      <c r="C3076" s="568"/>
      <c r="D3076" s="568"/>
      <c r="E3076" s="188"/>
      <c r="F3076" s="188"/>
      <c r="G3076" s="2122"/>
      <c r="H3076" s="568"/>
      <c r="I3076" s="2118"/>
      <c r="J3076" s="2126" t="s">
        <v>718</v>
      </c>
      <c r="K3076" s="2124">
        <f>SUM(K3074:K3075)</f>
        <v>14491.61</v>
      </c>
      <c r="L3076" s="192" t="s">
        <v>721</v>
      </c>
      <c r="M3076" s="568"/>
    </row>
    <row r="3077" spans="1:20" s="2168" customFormat="1" ht="12.75" hidden="1">
      <c r="A3077" s="2114" t="str">
        <f>A3034</f>
        <v>(ii)</v>
      </c>
      <c r="B3077" s="192" t="str">
        <f>B3034</f>
        <v>First Floor</v>
      </c>
      <c r="C3077" s="568"/>
      <c r="D3077" s="568"/>
      <c r="E3077" s="2120" t="str">
        <f>G592</f>
        <v>Each Sqm</v>
      </c>
      <c r="F3077" s="2120"/>
      <c r="G3077" s="2122"/>
      <c r="H3077" s="568"/>
      <c r="I3077" s="2118"/>
      <c r="J3077" s="2123"/>
      <c r="K3077" s="2123"/>
      <c r="L3077" s="192"/>
      <c r="M3077" s="568"/>
      <c r="N3077" s="1705"/>
      <c r="T3077" s="2166"/>
    </row>
    <row r="3078" spans="1:20" s="2168" customFormat="1" ht="12.75" hidden="1">
      <c r="A3078" s="2114"/>
      <c r="B3078" s="192" t="s">
        <v>1943</v>
      </c>
      <c r="C3078" s="568"/>
      <c r="D3078" s="568"/>
      <c r="E3078" s="2120"/>
      <c r="F3078" s="2120"/>
      <c r="G3078" s="2122"/>
      <c r="H3078" s="568"/>
      <c r="I3078" s="2118"/>
      <c r="J3078" s="2123"/>
      <c r="K3078" s="2123"/>
      <c r="L3078" s="192"/>
      <c r="M3078" s="568"/>
      <c r="N3078" s="1705"/>
      <c r="T3078" s="2166"/>
    </row>
    <row r="3079" spans="1:20" s="2168" customFormat="1" ht="12.75" hidden="1">
      <c r="A3079" s="2114"/>
      <c r="B3079" s="568" t="s">
        <v>896</v>
      </c>
      <c r="C3079" s="568"/>
      <c r="D3079" s="568"/>
      <c r="E3079" s="188"/>
      <c r="F3079" s="188"/>
      <c r="G3079" s="2122"/>
      <c r="H3079" s="568"/>
      <c r="I3079" s="2118"/>
      <c r="J3079" s="2123"/>
      <c r="K3079" s="2123">
        <f>K3072</f>
        <v>16283.33</v>
      </c>
      <c r="L3079" s="192"/>
      <c r="M3079" s="568"/>
      <c r="N3079" s="1705"/>
      <c r="O3079" s="2167">
        <f>K2602</f>
        <v>8556.5399999999991</v>
      </c>
      <c r="T3079" s="2166"/>
    </row>
    <row r="3080" spans="1:20" s="2168" customFormat="1" ht="12.75" hidden="1">
      <c r="A3080" s="2114"/>
      <c r="B3080" s="568" t="s">
        <v>897</v>
      </c>
      <c r="C3080" s="568"/>
      <c r="D3080" s="568"/>
      <c r="E3080" s="188"/>
      <c r="F3080" s="188"/>
      <c r="G3080" s="2122"/>
      <c r="H3080" s="568"/>
      <c r="I3080" s="2118"/>
      <c r="J3080" s="2123"/>
      <c r="K3080" s="2123">
        <f>ROUND(K3071*20%,2)</f>
        <v>1610.96</v>
      </c>
      <c r="L3080" s="192"/>
      <c r="M3080" s="568"/>
      <c r="N3080" s="1705"/>
      <c r="O3080" s="2168">
        <f>G3075*J3075</f>
        <v>8054.82</v>
      </c>
      <c r="T3080" s="2166"/>
    </row>
    <row r="3081" spans="1:20" s="2168" customFormat="1" ht="12.75" hidden="1">
      <c r="A3081" s="2114"/>
      <c r="B3081" s="568" t="s">
        <v>900</v>
      </c>
      <c r="C3081" s="568"/>
      <c r="D3081" s="568"/>
      <c r="E3081" s="188"/>
      <c r="F3081" s="188"/>
      <c r="G3081" s="2122"/>
      <c r="H3081" s="568"/>
      <c r="I3081" s="2118"/>
      <c r="J3081" s="2123"/>
      <c r="K3081" s="2123">
        <f>ROUND(K2580*1*15%,2)</f>
        <v>282.42</v>
      </c>
      <c r="L3081" s="192"/>
      <c r="M3081" s="568"/>
      <c r="N3081" s="1705"/>
      <c r="O3081" s="2168">
        <f>O3080*20%</f>
        <v>1610.9639999999999</v>
      </c>
      <c r="T3081" s="2166"/>
    </row>
    <row r="3082" spans="1:20" s="2168" customFormat="1" ht="12.75" hidden="1">
      <c r="A3082" s="2114"/>
      <c r="B3082" s="568"/>
      <c r="C3082" s="568"/>
      <c r="D3082" s="568"/>
      <c r="E3082" s="188"/>
      <c r="F3082" s="188"/>
      <c r="G3082" s="2122"/>
      <c r="H3082" s="568"/>
      <c r="I3082" s="2118"/>
      <c r="J3082" s="2126" t="s">
        <v>718</v>
      </c>
      <c r="K3082" s="2124">
        <f>SUM(K3079:K3081)</f>
        <v>18176.71</v>
      </c>
      <c r="L3082" s="192" t="s">
        <v>721</v>
      </c>
      <c r="M3082" s="568"/>
      <c r="N3082" s="1705"/>
      <c r="O3082" s="2167">
        <f>SUM(O3079:O3081)</f>
        <v>18222.324000000001</v>
      </c>
      <c r="T3082" s="2166"/>
    </row>
    <row r="3083" spans="1:20" s="2168" customFormat="1" ht="12.75" hidden="1">
      <c r="A3083" s="2114"/>
      <c r="B3083" s="192" t="s">
        <v>3588</v>
      </c>
      <c r="C3083" s="568"/>
      <c r="D3083" s="568"/>
      <c r="E3083" s="2120"/>
      <c r="F3083" s="2120"/>
      <c r="G3083" s="2122"/>
      <c r="H3083" s="568"/>
      <c r="I3083" s="2118"/>
      <c r="J3083" s="2123"/>
      <c r="K3083" s="2123"/>
      <c r="L3083" s="192"/>
      <c r="M3083" s="568"/>
      <c r="N3083" s="1705"/>
      <c r="T3083" s="2166"/>
    </row>
    <row r="3084" spans="1:20" s="2168" customFormat="1" ht="12.75" hidden="1">
      <c r="A3084" s="2114"/>
      <c r="B3084" s="568" t="s">
        <v>896</v>
      </c>
      <c r="C3084" s="568"/>
      <c r="D3084" s="568"/>
      <c r="E3084" s="188"/>
      <c r="F3084" s="188"/>
      <c r="G3084" s="2122"/>
      <c r="H3084" s="568"/>
      <c r="I3084" s="2118"/>
      <c r="J3084" s="2123"/>
      <c r="K3084" s="2123">
        <f>K3076</f>
        <v>14491.61</v>
      </c>
      <c r="L3084" s="192"/>
      <c r="M3084" s="568"/>
      <c r="N3084" s="1705"/>
      <c r="T3084" s="2166"/>
    </row>
    <row r="3085" spans="1:20" s="2168" customFormat="1" ht="12.75" hidden="1">
      <c r="A3085" s="2114"/>
      <c r="B3085" s="568" t="s">
        <v>897</v>
      </c>
      <c r="C3085" s="568"/>
      <c r="D3085" s="568"/>
      <c r="E3085" s="188"/>
      <c r="F3085" s="188"/>
      <c r="G3085" s="2122"/>
      <c r="H3085" s="568"/>
      <c r="I3085" s="2118"/>
      <c r="J3085" s="2123"/>
      <c r="K3085" s="2123">
        <f>ROUND(K3075*20%,2)</f>
        <v>1610.96</v>
      </c>
      <c r="L3085" s="192"/>
      <c r="M3085" s="568"/>
      <c r="N3085" s="1705"/>
      <c r="T3085" s="2166"/>
    </row>
    <row r="3086" spans="1:20" s="2168" customFormat="1" ht="12.75" hidden="1">
      <c r="A3086" s="2114"/>
      <c r="B3086" s="568" t="s">
        <v>899</v>
      </c>
      <c r="C3086" s="568"/>
      <c r="D3086" s="568"/>
      <c r="E3086" s="188"/>
      <c r="F3086" s="188"/>
      <c r="G3086" s="2122"/>
      <c r="H3086" s="568"/>
      <c r="I3086" s="2118"/>
      <c r="J3086" s="2123"/>
      <c r="K3086" s="2123">
        <f>ROUND(K2414*15%/15,2)</f>
        <v>78.84</v>
      </c>
      <c r="L3086" s="192"/>
      <c r="M3086" s="568"/>
      <c r="N3086" s="1705"/>
      <c r="T3086" s="2166"/>
    </row>
    <row r="3087" spans="1:20" s="2168" customFormat="1" ht="12.75" hidden="1">
      <c r="A3087" s="2114"/>
      <c r="B3087" s="568"/>
      <c r="C3087" s="568"/>
      <c r="D3087" s="568"/>
      <c r="E3087" s="188"/>
      <c r="F3087" s="188"/>
      <c r="G3087" s="2122"/>
      <c r="H3087" s="568"/>
      <c r="I3087" s="2118"/>
      <c r="J3087" s="2126" t="s">
        <v>718</v>
      </c>
      <c r="K3087" s="2124">
        <f>SUM(K3084:K3086)</f>
        <v>16181.41</v>
      </c>
      <c r="L3087" s="192" t="s">
        <v>721</v>
      </c>
      <c r="M3087" s="568"/>
      <c r="N3087" s="1705"/>
      <c r="T3087" s="2166"/>
    </row>
    <row r="3088" spans="1:20" s="2168" customFormat="1" ht="12.75" hidden="1">
      <c r="A3088" s="2114" t="str">
        <f>A679</f>
        <v>(i)</v>
      </c>
      <c r="B3088" s="192" t="str">
        <f>B3045</f>
        <v>Second Floor</v>
      </c>
      <c r="C3088" s="568"/>
      <c r="D3088" s="568"/>
      <c r="E3088" s="2120" t="str">
        <f>E3077</f>
        <v>Each Sqm</v>
      </c>
      <c r="F3088" s="2120"/>
      <c r="G3088" s="2122"/>
      <c r="H3088" s="568"/>
      <c r="I3088" s="2118"/>
      <c r="J3088" s="2123"/>
      <c r="K3088" s="2123"/>
      <c r="L3088" s="192"/>
      <c r="M3088" s="568"/>
      <c r="N3088" s="1705"/>
      <c r="T3088" s="2166"/>
    </row>
    <row r="3089" spans="1:20" s="2168" customFormat="1" ht="12.75" hidden="1">
      <c r="A3089" s="2114"/>
      <c r="B3089" s="192" t="s">
        <v>1943</v>
      </c>
      <c r="C3089" s="568"/>
      <c r="D3089" s="568"/>
      <c r="E3089" s="2120"/>
      <c r="F3089" s="2120"/>
      <c r="G3089" s="2122"/>
      <c r="H3089" s="568"/>
      <c r="I3089" s="2118"/>
      <c r="J3089" s="2123"/>
      <c r="K3089" s="2123"/>
      <c r="L3089" s="192"/>
      <c r="M3089" s="568"/>
      <c r="N3089" s="1705"/>
      <c r="T3089" s="2166"/>
    </row>
    <row r="3090" spans="1:20" s="2168" customFormat="1" ht="12.75" hidden="1">
      <c r="A3090" s="2114"/>
      <c r="B3090" s="568" t="s">
        <v>896</v>
      </c>
      <c r="C3090" s="568"/>
      <c r="D3090" s="568"/>
      <c r="E3090" s="188"/>
      <c r="F3090" s="188"/>
      <c r="G3090" s="2122"/>
      <c r="H3090" s="568"/>
      <c r="I3090" s="2118"/>
      <c r="J3090" s="2123"/>
      <c r="K3090" s="2123">
        <f>K3082</f>
        <v>18176.71</v>
      </c>
      <c r="L3090" s="192"/>
      <c r="M3090" s="568"/>
      <c r="N3090" s="1705"/>
      <c r="T3090" s="2166"/>
    </row>
    <row r="3091" spans="1:20" s="2168" customFormat="1" ht="12.75" hidden="1">
      <c r="A3091" s="2114"/>
      <c r="B3091" s="568" t="s">
        <v>897</v>
      </c>
      <c r="C3091" s="568"/>
      <c r="D3091" s="568"/>
      <c r="E3091" s="188"/>
      <c r="F3091" s="188"/>
      <c r="G3091" s="2122"/>
      <c r="H3091" s="568"/>
      <c r="I3091" s="2118"/>
      <c r="J3091" s="2123"/>
      <c r="K3091" s="2123">
        <f>K3080+ROUND(K3080*20%,2)</f>
        <v>1933.15</v>
      </c>
      <c r="L3091" s="192"/>
      <c r="M3091" s="568"/>
      <c r="N3091" s="1705"/>
      <c r="T3091" s="2166"/>
    </row>
    <row r="3092" spans="1:20" s="2168" customFormat="1" ht="12.75" hidden="1">
      <c r="A3092" s="2114"/>
      <c r="B3092" s="568" t="s">
        <v>899</v>
      </c>
      <c r="C3092" s="568"/>
      <c r="D3092" s="568"/>
      <c r="E3092" s="188"/>
      <c r="F3092" s="188"/>
      <c r="G3092" s="2122"/>
      <c r="H3092" s="568"/>
      <c r="I3092" s="2118"/>
      <c r="J3092" s="2123"/>
      <c r="K3092" s="2123">
        <f>K3081+ROUND(K3081*15%,2)</f>
        <v>324.78000000000003</v>
      </c>
      <c r="L3092" s="192"/>
      <c r="M3092" s="568"/>
      <c r="N3092" s="1705"/>
      <c r="T3092" s="2166"/>
    </row>
    <row r="3093" spans="1:20" s="2168" customFormat="1" ht="12.75" hidden="1">
      <c r="A3093" s="2114"/>
      <c r="B3093" s="568"/>
      <c r="C3093" s="568"/>
      <c r="D3093" s="568"/>
      <c r="E3093" s="188"/>
      <c r="F3093" s="188"/>
      <c r="G3093" s="2122"/>
      <c r="H3093" s="568"/>
      <c r="I3093" s="2118"/>
      <c r="J3093" s="2126" t="s">
        <v>718</v>
      </c>
      <c r="K3093" s="2124">
        <f>SUM(K3090:K3092)</f>
        <v>20434.64</v>
      </c>
      <c r="L3093" s="192" t="s">
        <v>721</v>
      </c>
      <c r="M3093" s="568"/>
      <c r="N3093" s="1705"/>
      <c r="T3093" s="2166"/>
    </row>
    <row r="3094" spans="1:20" s="2168" customFormat="1" ht="12.75" hidden="1">
      <c r="A3094" s="2114"/>
      <c r="B3094" s="192" t="s">
        <v>3588</v>
      </c>
      <c r="C3094" s="568"/>
      <c r="D3094" s="568"/>
      <c r="E3094" s="2120"/>
      <c r="F3094" s="2120"/>
      <c r="G3094" s="2122"/>
      <c r="H3094" s="568"/>
      <c r="I3094" s="2118"/>
      <c r="J3094" s="2123"/>
      <c r="K3094" s="2123"/>
      <c r="L3094" s="192"/>
      <c r="M3094" s="568"/>
      <c r="N3094" s="1705"/>
      <c r="T3094" s="2166"/>
    </row>
    <row r="3095" spans="1:20" s="2168" customFormat="1" ht="12.75" hidden="1">
      <c r="A3095" s="2114"/>
      <c r="B3095" s="568" t="s">
        <v>896</v>
      </c>
      <c r="C3095" s="568"/>
      <c r="D3095" s="568"/>
      <c r="E3095" s="188"/>
      <c r="F3095" s="188"/>
      <c r="G3095" s="2122"/>
      <c r="H3095" s="568"/>
      <c r="I3095" s="2118"/>
      <c r="J3095" s="2123"/>
      <c r="K3095" s="2123">
        <f>K3087</f>
        <v>16181.41</v>
      </c>
      <c r="L3095" s="192"/>
      <c r="M3095" s="568"/>
      <c r="N3095" s="1705"/>
      <c r="T3095" s="2166"/>
    </row>
    <row r="3096" spans="1:20" s="2168" customFormat="1" ht="12.75" hidden="1">
      <c r="A3096" s="2114"/>
      <c r="B3096" s="568" t="s">
        <v>897</v>
      </c>
      <c r="C3096" s="568"/>
      <c r="D3096" s="568"/>
      <c r="E3096" s="188"/>
      <c r="F3096" s="188"/>
      <c r="G3096" s="2122"/>
      <c r="H3096" s="568"/>
      <c r="I3096" s="2118"/>
      <c r="J3096" s="2123"/>
      <c r="K3096" s="2123">
        <f>K3085+ROUND(K3085*20%,2)</f>
        <v>1933.15</v>
      </c>
      <c r="L3096" s="192"/>
      <c r="M3096" s="568"/>
      <c r="N3096" s="1705"/>
      <c r="T3096" s="2166"/>
    </row>
    <row r="3097" spans="1:20" s="2168" customFormat="1" ht="12.75" hidden="1">
      <c r="A3097" s="2114"/>
      <c r="B3097" s="568" t="s">
        <v>899</v>
      </c>
      <c r="C3097" s="568"/>
      <c r="D3097" s="568"/>
      <c r="E3097" s="188"/>
      <c r="F3097" s="188"/>
      <c r="G3097" s="2122"/>
      <c r="H3097" s="568"/>
      <c r="I3097" s="2118"/>
      <c r="J3097" s="2123"/>
      <c r="K3097" s="2123">
        <f>K3086+ROUND(K3086*15%,2)</f>
        <v>90.67</v>
      </c>
      <c r="L3097" s="192"/>
      <c r="M3097" s="568"/>
      <c r="N3097" s="1705"/>
      <c r="T3097" s="2166"/>
    </row>
    <row r="3098" spans="1:20" s="2173" customFormat="1" ht="12.75" hidden="1">
      <c r="A3098" s="2114"/>
      <c r="B3098" s="568"/>
      <c r="C3098" s="568"/>
      <c r="D3098" s="568"/>
      <c r="E3098" s="188"/>
      <c r="F3098" s="188"/>
      <c r="G3098" s="2122"/>
      <c r="H3098" s="568"/>
      <c r="I3098" s="2118"/>
      <c r="J3098" s="2126" t="s">
        <v>718</v>
      </c>
      <c r="K3098" s="2124">
        <f>SUM(K3095:K3097)</f>
        <v>18205.23</v>
      </c>
      <c r="L3098" s="192" t="s">
        <v>721</v>
      </c>
      <c r="M3098" s="568"/>
      <c r="N3098" s="1705"/>
      <c r="T3098" s="2174"/>
    </row>
    <row r="3099" spans="1:20" s="2168" customFormat="1" ht="12.75" hidden="1">
      <c r="A3099" s="2114" t="str">
        <f>A690</f>
        <v>(ii)</v>
      </c>
      <c r="B3099" s="192" t="str">
        <f>B3056</f>
        <v>Third Floor</v>
      </c>
      <c r="C3099" s="568"/>
      <c r="D3099" s="568"/>
      <c r="E3099" s="2120" t="str">
        <f>E3088</f>
        <v>Each Sqm</v>
      </c>
      <c r="F3099" s="2120"/>
      <c r="G3099" s="2122"/>
      <c r="H3099" s="568"/>
      <c r="I3099" s="2118"/>
      <c r="J3099" s="2123"/>
      <c r="K3099" s="2123"/>
      <c r="L3099" s="192"/>
      <c r="M3099" s="568"/>
      <c r="N3099" s="1705"/>
      <c r="T3099" s="2166"/>
    </row>
    <row r="3100" spans="1:20" s="2168" customFormat="1" ht="12.75" hidden="1">
      <c r="A3100" s="2114"/>
      <c r="B3100" s="192" t="s">
        <v>1943</v>
      </c>
      <c r="C3100" s="568"/>
      <c r="D3100" s="568"/>
      <c r="E3100" s="2120"/>
      <c r="F3100" s="2120"/>
      <c r="G3100" s="2122"/>
      <c r="H3100" s="568"/>
      <c r="I3100" s="2118"/>
      <c r="J3100" s="2123"/>
      <c r="K3100" s="2123"/>
      <c r="L3100" s="192"/>
      <c r="M3100" s="568"/>
      <c r="N3100" s="1705"/>
      <c r="T3100" s="2166"/>
    </row>
    <row r="3101" spans="1:20" s="2168" customFormat="1" ht="12.75" hidden="1">
      <c r="A3101" s="2114"/>
      <c r="B3101" s="568" t="s">
        <v>896</v>
      </c>
      <c r="C3101" s="568"/>
      <c r="D3101" s="568"/>
      <c r="E3101" s="188"/>
      <c r="F3101" s="188"/>
      <c r="G3101" s="2122"/>
      <c r="H3101" s="568"/>
      <c r="I3101" s="2118"/>
      <c r="J3101" s="2123"/>
      <c r="K3101" s="2123">
        <f>K3093</f>
        <v>20434.64</v>
      </c>
      <c r="L3101" s="192"/>
      <c r="M3101" s="568"/>
      <c r="N3101" s="1705"/>
      <c r="T3101" s="2166"/>
    </row>
    <row r="3102" spans="1:20" s="2168" customFormat="1" ht="12.75" hidden="1">
      <c r="A3102" s="2114"/>
      <c r="B3102" s="568" t="s">
        <v>897</v>
      </c>
      <c r="C3102" s="568"/>
      <c r="D3102" s="568"/>
      <c r="E3102" s="188"/>
      <c r="F3102" s="188"/>
      <c r="G3102" s="2122"/>
      <c r="H3102" s="568"/>
      <c r="I3102" s="2118"/>
      <c r="J3102" s="2123"/>
      <c r="K3102" s="2123">
        <f>K3091+ROUND(K3091*20%,2)</f>
        <v>2319.7800000000002</v>
      </c>
      <c r="L3102" s="192"/>
      <c r="M3102" s="568"/>
      <c r="N3102" s="1705"/>
      <c r="T3102" s="2166"/>
    </row>
    <row r="3103" spans="1:20" s="2168" customFormat="1" ht="12.75" hidden="1">
      <c r="A3103" s="2114"/>
      <c r="B3103" s="568" t="s">
        <v>899</v>
      </c>
      <c r="C3103" s="568"/>
      <c r="D3103" s="568"/>
      <c r="E3103" s="188"/>
      <c r="F3103" s="188"/>
      <c r="G3103" s="2122"/>
      <c r="H3103" s="568"/>
      <c r="I3103" s="2118"/>
      <c r="J3103" s="2123"/>
      <c r="K3103" s="2123">
        <f>K3092+ROUND(K3092*15%,2)</f>
        <v>373.5</v>
      </c>
      <c r="L3103" s="192"/>
      <c r="M3103" s="568"/>
      <c r="N3103" s="1705"/>
      <c r="T3103" s="2166"/>
    </row>
    <row r="3104" spans="1:20" s="2168" customFormat="1" ht="12.75" hidden="1">
      <c r="A3104" s="2114"/>
      <c r="B3104" s="568"/>
      <c r="C3104" s="568"/>
      <c r="D3104" s="568"/>
      <c r="E3104" s="188"/>
      <c r="F3104" s="188"/>
      <c r="G3104" s="2122"/>
      <c r="H3104" s="568"/>
      <c r="I3104" s="2118"/>
      <c r="J3104" s="2126" t="s">
        <v>718</v>
      </c>
      <c r="K3104" s="2124">
        <f>SUM(K3101:K3103)</f>
        <v>23127.919999999998</v>
      </c>
      <c r="L3104" s="192" t="s">
        <v>721</v>
      </c>
      <c r="M3104" s="568"/>
      <c r="N3104" s="1705"/>
      <c r="T3104" s="2166"/>
    </row>
    <row r="3105" spans="1:20" s="2168" customFormat="1" ht="12.75" hidden="1">
      <c r="A3105" s="2114"/>
      <c r="B3105" s="192" t="s">
        <v>3588</v>
      </c>
      <c r="C3105" s="568"/>
      <c r="D3105" s="568"/>
      <c r="E3105" s="2120"/>
      <c r="F3105" s="2120"/>
      <c r="G3105" s="2122"/>
      <c r="H3105" s="568"/>
      <c r="I3105" s="2118"/>
      <c r="J3105" s="2123"/>
      <c r="K3105" s="2123"/>
      <c r="L3105" s="192"/>
      <c r="M3105" s="568"/>
      <c r="N3105" s="1705"/>
      <c r="T3105" s="2166"/>
    </row>
    <row r="3106" spans="1:20" s="2168" customFormat="1" ht="12.75" hidden="1">
      <c r="A3106" s="2114"/>
      <c r="B3106" s="568" t="s">
        <v>896</v>
      </c>
      <c r="C3106" s="568"/>
      <c r="D3106" s="568"/>
      <c r="E3106" s="188"/>
      <c r="F3106" s="188"/>
      <c r="G3106" s="2122"/>
      <c r="H3106" s="568"/>
      <c r="I3106" s="2118"/>
      <c r="J3106" s="2123"/>
      <c r="K3106" s="2123">
        <f>K3098</f>
        <v>18205.23</v>
      </c>
      <c r="L3106" s="192"/>
      <c r="M3106" s="568"/>
      <c r="N3106" s="1705"/>
      <c r="T3106" s="2166"/>
    </row>
    <row r="3107" spans="1:20" s="2168" customFormat="1" ht="12.75" hidden="1">
      <c r="A3107" s="2114"/>
      <c r="B3107" s="568" t="s">
        <v>897</v>
      </c>
      <c r="C3107" s="568"/>
      <c r="D3107" s="568"/>
      <c r="E3107" s="188"/>
      <c r="F3107" s="188"/>
      <c r="G3107" s="2122"/>
      <c r="H3107" s="568"/>
      <c r="I3107" s="2118"/>
      <c r="J3107" s="2123"/>
      <c r="K3107" s="2123">
        <f>K3096+ROUND(K3096*20%,2)</f>
        <v>2319.7800000000002</v>
      </c>
      <c r="L3107" s="192"/>
      <c r="M3107" s="568"/>
      <c r="N3107" s="1705"/>
      <c r="T3107" s="2166"/>
    </row>
    <row r="3108" spans="1:20" s="2168" customFormat="1" ht="12.75" hidden="1">
      <c r="A3108" s="2114"/>
      <c r="B3108" s="568" t="s">
        <v>899</v>
      </c>
      <c r="C3108" s="568"/>
      <c r="D3108" s="568"/>
      <c r="E3108" s="188"/>
      <c r="F3108" s="188"/>
      <c r="G3108" s="2122"/>
      <c r="H3108" s="568"/>
      <c r="I3108" s="2118"/>
      <c r="J3108" s="2123"/>
      <c r="K3108" s="2123">
        <f>K3097+ROUND(K3097*15%,2)</f>
        <v>104.27</v>
      </c>
      <c r="L3108" s="192"/>
      <c r="M3108" s="568"/>
      <c r="N3108" s="1705"/>
      <c r="T3108" s="2166"/>
    </row>
    <row r="3109" spans="1:20" s="2173" customFormat="1" ht="12.75" hidden="1">
      <c r="A3109" s="2114"/>
      <c r="B3109" s="568"/>
      <c r="C3109" s="568"/>
      <c r="D3109" s="568"/>
      <c r="E3109" s="188"/>
      <c r="F3109" s="188"/>
      <c r="G3109" s="2122"/>
      <c r="H3109" s="568"/>
      <c r="I3109" s="2118"/>
      <c r="J3109" s="2126" t="s">
        <v>718</v>
      </c>
      <c r="K3109" s="2124">
        <f>SUM(K3106:K3108)</f>
        <v>20629.28</v>
      </c>
      <c r="L3109" s="192" t="s">
        <v>721</v>
      </c>
      <c r="M3109" s="568"/>
      <c r="N3109" s="1705"/>
      <c r="T3109" s="2174"/>
    </row>
    <row r="3110" spans="1:20" ht="12.75">
      <c r="A3110" s="2114" t="str">
        <f>A577</f>
        <v>G)</v>
      </c>
      <c r="B3110" s="2165" t="str">
        <f>B577</f>
        <v>CHAJJA</v>
      </c>
      <c r="C3110" s="568"/>
      <c r="D3110" s="568"/>
      <c r="E3110" s="2120" t="str">
        <f>G577</f>
        <v>Each Sqm</v>
      </c>
      <c r="F3110" s="2120"/>
      <c r="G3110" s="2122"/>
      <c r="H3110" s="568"/>
      <c r="I3110" s="2118"/>
      <c r="J3110" s="2123"/>
      <c r="K3110" s="2123"/>
      <c r="L3110" s="192"/>
      <c r="M3110" s="568"/>
    </row>
    <row r="3111" spans="1:20" ht="12.75">
      <c r="A3111" s="2114" t="str">
        <f>A578</f>
        <v>(i)</v>
      </c>
      <c r="B3111" s="192" t="str">
        <f>B578</f>
        <v>Ground Floor</v>
      </c>
      <c r="C3111" s="568"/>
      <c r="D3111" s="568"/>
      <c r="E3111" s="2120" t="str">
        <f>G579</f>
        <v>Each Sqm</v>
      </c>
      <c r="F3111" s="2120"/>
      <c r="G3111" s="2122"/>
      <c r="H3111" s="568"/>
      <c r="I3111" s="2118"/>
      <c r="J3111" s="2123"/>
      <c r="K3111" s="2123"/>
      <c r="L3111" s="192"/>
      <c r="M3111" s="568"/>
    </row>
    <row r="3112" spans="1:20" ht="12.75">
      <c r="A3112" s="2114" t="s">
        <v>413</v>
      </c>
      <c r="B3112" s="192" t="s">
        <v>1943</v>
      </c>
      <c r="C3112" s="568"/>
      <c r="D3112" s="568"/>
      <c r="E3112" s="2120"/>
      <c r="F3112" s="2120"/>
      <c r="G3112" s="2122"/>
      <c r="H3112" s="568"/>
      <c r="I3112" s="2118"/>
      <c r="J3112" s="2123"/>
      <c r="K3112" s="2123"/>
      <c r="L3112" s="192"/>
      <c r="M3112" s="568"/>
    </row>
    <row r="3113" spans="1:20" ht="12.75">
      <c r="A3113" s="2114"/>
      <c r="B3113" s="568" t="s">
        <v>892</v>
      </c>
      <c r="C3113" s="568"/>
      <c r="D3113" s="568"/>
      <c r="E3113" s="188"/>
      <c r="F3113" s="188"/>
      <c r="H3113" s="2123">
        <f>K2594</f>
        <v>8228.51</v>
      </c>
      <c r="I3113" s="2118" t="s">
        <v>901</v>
      </c>
      <c r="J3113" s="2122">
        <v>6.5000000000000002E-2</v>
      </c>
      <c r="K3113" s="2123">
        <f>H3113*J3113</f>
        <v>534.85315000000003</v>
      </c>
      <c r="L3113" s="192"/>
      <c r="M3113" s="568"/>
    </row>
    <row r="3114" spans="1:20" ht="12.75">
      <c r="A3114" s="2114"/>
      <c r="B3114" s="568" t="s">
        <v>893</v>
      </c>
      <c r="C3114" s="568"/>
      <c r="D3114" s="568"/>
      <c r="E3114" s="188"/>
      <c r="F3114" s="188"/>
      <c r="G3114" s="2122">
        <v>1.1000000000000001</v>
      </c>
      <c r="H3114" s="568" t="s">
        <v>894</v>
      </c>
      <c r="I3114" s="2118"/>
      <c r="J3114" s="2123">
        <f>K2678</f>
        <v>674.05</v>
      </c>
      <c r="K3114" s="2123">
        <f>G3114*J3114</f>
        <v>741.45500000000004</v>
      </c>
      <c r="L3114" s="192"/>
      <c r="M3114" s="568"/>
    </row>
    <row r="3115" spans="1:20" ht="12.75">
      <c r="A3115" s="2114"/>
      <c r="B3115" s="568"/>
      <c r="C3115" s="568"/>
      <c r="D3115" s="568"/>
      <c r="E3115" s="188"/>
      <c r="F3115" s="188"/>
      <c r="G3115" s="2122"/>
      <c r="H3115" s="568"/>
      <c r="I3115" s="2118"/>
      <c r="J3115" s="2126" t="s">
        <v>718</v>
      </c>
      <c r="K3115" s="2124">
        <f>SUM(K3113:K3114)</f>
        <v>1276.3081500000001</v>
      </c>
      <c r="L3115" s="192" t="s">
        <v>730</v>
      </c>
      <c r="M3115" s="568"/>
    </row>
    <row r="3116" spans="1:20" ht="12.75">
      <c r="A3116" s="2114" t="s">
        <v>415</v>
      </c>
      <c r="B3116" s="192" t="s">
        <v>3588</v>
      </c>
      <c r="C3116" s="568"/>
      <c r="D3116" s="568"/>
      <c r="E3116" s="2120"/>
      <c r="F3116" s="2120"/>
      <c r="G3116" s="2122"/>
      <c r="H3116" s="568"/>
      <c r="I3116" s="2118"/>
      <c r="J3116" s="2123"/>
      <c r="K3116" s="2123"/>
      <c r="L3116" s="192"/>
      <c r="M3116" s="568"/>
    </row>
    <row r="3117" spans="1:20" ht="12.75">
      <c r="A3117" s="2114"/>
      <c r="B3117" s="568" t="s">
        <v>892</v>
      </c>
      <c r="C3117" s="568"/>
      <c r="D3117" s="568"/>
      <c r="E3117" s="188"/>
      <c r="F3117" s="188"/>
      <c r="H3117" s="2123">
        <f>K3074</f>
        <v>6436.79</v>
      </c>
      <c r="I3117" s="2118" t="s">
        <v>901</v>
      </c>
      <c r="J3117" s="2122">
        <v>6.5000000000000002E-2</v>
      </c>
      <c r="K3117" s="2123">
        <f>H3117*J3117</f>
        <v>418.39134999999999</v>
      </c>
      <c r="L3117" s="192"/>
      <c r="M3117" s="568"/>
    </row>
    <row r="3118" spans="1:20" ht="12.75">
      <c r="A3118" s="2114"/>
      <c r="B3118" s="568" t="s">
        <v>893</v>
      </c>
      <c r="C3118" s="568"/>
      <c r="D3118" s="568"/>
      <c r="E3118" s="188"/>
      <c r="F3118" s="188"/>
      <c r="G3118" s="2122">
        <v>1.1000000000000001</v>
      </c>
      <c r="H3118" s="568" t="s">
        <v>894</v>
      </c>
      <c r="I3118" s="2118"/>
      <c r="J3118" s="2123">
        <f>K2678</f>
        <v>674.05</v>
      </c>
      <c r="K3118" s="2123">
        <f>G3118*J3118</f>
        <v>741.45500000000004</v>
      </c>
      <c r="L3118" s="192"/>
      <c r="M3118" s="568"/>
    </row>
    <row r="3119" spans="1:20" ht="12.75">
      <c r="A3119" s="2114"/>
      <c r="B3119" s="568"/>
      <c r="C3119" s="568"/>
      <c r="D3119" s="568"/>
      <c r="E3119" s="188"/>
      <c r="F3119" s="188"/>
      <c r="G3119" s="2122"/>
      <c r="H3119" s="568"/>
      <c r="I3119" s="2118"/>
      <c r="J3119" s="2126" t="s">
        <v>718</v>
      </c>
      <c r="K3119" s="2124">
        <f>SUM(K3117:K3118)</f>
        <v>1159.84635</v>
      </c>
      <c r="L3119" s="192" t="s">
        <v>730</v>
      </c>
      <c r="M3119" s="568"/>
    </row>
    <row r="3120" spans="1:20" s="2168" customFormat="1" ht="12.75" hidden="1">
      <c r="A3120" s="2114" t="str">
        <f>A3077</f>
        <v>(ii)</v>
      </c>
      <c r="B3120" s="192" t="str">
        <f>B3077</f>
        <v>First Floor</v>
      </c>
      <c r="C3120" s="568"/>
      <c r="D3120" s="568"/>
      <c r="E3120" s="2120" t="str">
        <f>E3111</f>
        <v>Each Sqm</v>
      </c>
      <c r="F3120" s="2120"/>
      <c r="G3120" s="2122"/>
      <c r="H3120" s="568"/>
      <c r="I3120" s="2118"/>
      <c r="J3120" s="2123"/>
      <c r="K3120" s="2123"/>
      <c r="L3120" s="192"/>
      <c r="M3120" s="568"/>
      <c r="N3120" s="1705"/>
      <c r="T3120" s="2166"/>
    </row>
    <row r="3121" spans="1:20" s="2168" customFormat="1" ht="12.75" hidden="1">
      <c r="A3121" s="2114"/>
      <c r="B3121" s="192" t="s">
        <v>1943</v>
      </c>
      <c r="C3121" s="568"/>
      <c r="D3121" s="568"/>
      <c r="E3121" s="2120"/>
      <c r="F3121" s="2120"/>
      <c r="G3121" s="2122"/>
      <c r="H3121" s="568"/>
      <c r="I3121" s="2118"/>
      <c r="J3121" s="2123"/>
      <c r="K3121" s="2123"/>
      <c r="L3121" s="192"/>
      <c r="M3121" s="568"/>
      <c r="N3121" s="1705"/>
      <c r="O3121" s="2167">
        <f>K2602</f>
        <v>8556.5399999999991</v>
      </c>
      <c r="T3121" s="2166"/>
    </row>
    <row r="3122" spans="1:20" s="2168" customFormat="1" ht="12.75" hidden="1">
      <c r="A3122" s="2114"/>
      <c r="B3122" s="568" t="s">
        <v>896</v>
      </c>
      <c r="C3122" s="568"/>
      <c r="D3122" s="568"/>
      <c r="E3122" s="188"/>
      <c r="F3122" s="188"/>
      <c r="G3122" s="2122"/>
      <c r="H3122" s="568"/>
      <c r="I3122" s="2118"/>
      <c r="J3122" s="2123"/>
      <c r="K3122" s="2123">
        <f>K3115</f>
        <v>1276.3081500000001</v>
      </c>
      <c r="L3122" s="192"/>
      <c r="M3122" s="568"/>
      <c r="N3122" s="1705"/>
      <c r="O3122" s="2168">
        <f>O3121*J3117</f>
        <v>556.17509999999993</v>
      </c>
      <c r="T3122" s="2166"/>
    </row>
    <row r="3123" spans="1:20" s="2168" customFormat="1" ht="12.75" hidden="1">
      <c r="A3123" s="2114"/>
      <c r="B3123" s="568" t="s">
        <v>897</v>
      </c>
      <c r="C3123" s="568"/>
      <c r="D3123" s="568"/>
      <c r="E3123" s="188"/>
      <c r="F3123" s="188"/>
      <c r="G3123" s="2122"/>
      <c r="H3123" s="568"/>
      <c r="I3123" s="2118"/>
      <c r="J3123" s="2123"/>
      <c r="K3123" s="2123">
        <f>ROUND(K3114*20%,2)</f>
        <v>148.29</v>
      </c>
      <c r="L3123" s="192"/>
      <c r="M3123" s="568"/>
      <c r="N3123" s="1705"/>
      <c r="O3123" s="2168">
        <f>G3118*J3118</f>
        <v>741.45500000000004</v>
      </c>
      <c r="T3123" s="2166"/>
    </row>
    <row r="3124" spans="1:20" s="2168" customFormat="1" ht="12.75" hidden="1">
      <c r="A3124" s="2114"/>
      <c r="B3124" s="568" t="s">
        <v>899</v>
      </c>
      <c r="C3124" s="568"/>
      <c r="D3124" s="568"/>
      <c r="E3124" s="188"/>
      <c r="F3124" s="188"/>
      <c r="G3124" s="2122"/>
      <c r="H3124" s="568"/>
      <c r="I3124" s="2118"/>
      <c r="J3124" s="2123"/>
      <c r="K3124" s="2123">
        <f>ROUND(K2580*15%,2)*0.065</f>
        <v>18.357300000000002</v>
      </c>
      <c r="L3124" s="192"/>
      <c r="M3124" s="568"/>
      <c r="N3124" s="1705"/>
      <c r="O3124" s="2168">
        <f>O3123*20%</f>
        <v>148.29100000000003</v>
      </c>
      <c r="T3124" s="2166"/>
    </row>
    <row r="3125" spans="1:20" s="2168" customFormat="1" ht="12.75" hidden="1">
      <c r="A3125" s="2114"/>
      <c r="B3125" s="568"/>
      <c r="C3125" s="568"/>
      <c r="D3125" s="568"/>
      <c r="E3125" s="188"/>
      <c r="F3125" s="188"/>
      <c r="G3125" s="2122"/>
      <c r="H3125" s="568"/>
      <c r="I3125" s="2118"/>
      <c r="J3125" s="2126" t="s">
        <v>718</v>
      </c>
      <c r="K3125" s="2124">
        <f>SUM(K3122:K3124)</f>
        <v>1442.9554499999999</v>
      </c>
      <c r="L3125" s="192" t="s">
        <v>730</v>
      </c>
      <c r="M3125" s="568"/>
      <c r="N3125" s="1705"/>
      <c r="O3125" s="2167">
        <f>SUM(O3122:O3124)</f>
        <v>1445.9210999999998</v>
      </c>
      <c r="T3125" s="2166"/>
    </row>
    <row r="3126" spans="1:20" s="2168" customFormat="1" ht="12.75" hidden="1">
      <c r="A3126" s="2114"/>
      <c r="B3126" s="192" t="s">
        <v>3588</v>
      </c>
      <c r="C3126" s="568"/>
      <c r="D3126" s="568"/>
      <c r="E3126" s="2120"/>
      <c r="F3126" s="2120"/>
      <c r="G3126" s="2122"/>
      <c r="H3126" s="568"/>
      <c r="I3126" s="2118"/>
      <c r="J3126" s="2123"/>
      <c r="K3126" s="2123"/>
      <c r="L3126" s="192"/>
      <c r="M3126" s="568"/>
      <c r="N3126" s="1705"/>
      <c r="O3126" s="2167">
        <f>K2610</f>
        <v>9019.34</v>
      </c>
      <c r="T3126" s="2166"/>
    </row>
    <row r="3127" spans="1:20" s="2168" customFormat="1" ht="12.75" hidden="1">
      <c r="A3127" s="2114"/>
      <c r="B3127" s="568" t="s">
        <v>896</v>
      </c>
      <c r="C3127" s="568"/>
      <c r="D3127" s="568"/>
      <c r="E3127" s="188"/>
      <c r="F3127" s="188"/>
      <c r="G3127" s="2122"/>
      <c r="H3127" s="568"/>
      <c r="I3127" s="2118"/>
      <c r="J3127" s="2123"/>
      <c r="K3127" s="2123">
        <f>K3119</f>
        <v>1159.84635</v>
      </c>
      <c r="L3127" s="192"/>
      <c r="M3127" s="568"/>
      <c r="N3127" s="1705"/>
      <c r="O3127" s="2168">
        <f>O3126*J3122</f>
        <v>0</v>
      </c>
      <c r="T3127" s="2166"/>
    </row>
    <row r="3128" spans="1:20" s="2168" customFormat="1" ht="12.75" hidden="1">
      <c r="A3128" s="2114"/>
      <c r="B3128" s="568" t="s">
        <v>897</v>
      </c>
      <c r="C3128" s="568"/>
      <c r="D3128" s="568"/>
      <c r="E3128" s="188"/>
      <c r="F3128" s="188"/>
      <c r="G3128" s="2122"/>
      <c r="H3128" s="568"/>
      <c r="I3128" s="2118"/>
      <c r="J3128" s="2123"/>
      <c r="K3128" s="2123">
        <f>ROUND(K3118*20%,2)</f>
        <v>148.29</v>
      </c>
      <c r="L3128" s="192"/>
      <c r="M3128" s="568"/>
      <c r="N3128" s="1705"/>
      <c r="O3128" s="2168">
        <f>G3123*J3123</f>
        <v>0</v>
      </c>
      <c r="T3128" s="2166"/>
    </row>
    <row r="3129" spans="1:20" s="2168" customFormat="1" ht="12.75" hidden="1">
      <c r="A3129" s="2114"/>
      <c r="B3129" s="568" t="s">
        <v>899</v>
      </c>
      <c r="C3129" s="568"/>
      <c r="D3129" s="568"/>
      <c r="E3129" s="188"/>
      <c r="F3129" s="188"/>
      <c r="G3129" s="2122"/>
      <c r="H3129" s="568"/>
      <c r="I3129" s="2118"/>
      <c r="J3129" s="2123"/>
      <c r="K3129" s="2123">
        <f>ROUND(K2414*15%/15,2)*0.065</f>
        <v>5.1246</v>
      </c>
      <c r="L3129" s="192"/>
      <c r="M3129" s="568"/>
      <c r="N3129" s="1705"/>
      <c r="O3129" s="2168">
        <f>O3128*20%</f>
        <v>0</v>
      </c>
      <c r="T3129" s="2166"/>
    </row>
    <row r="3130" spans="1:20" s="2168" customFormat="1" ht="12.75" hidden="1">
      <c r="A3130" s="2114"/>
      <c r="B3130" s="568"/>
      <c r="C3130" s="568"/>
      <c r="D3130" s="568"/>
      <c r="E3130" s="188"/>
      <c r="F3130" s="188"/>
      <c r="G3130" s="2122"/>
      <c r="H3130" s="568"/>
      <c r="I3130" s="2118"/>
      <c r="J3130" s="2126" t="s">
        <v>718</v>
      </c>
      <c r="K3130" s="2124">
        <f>SUM(K3127:K3129)</f>
        <v>1313.2609500000001</v>
      </c>
      <c r="L3130" s="192" t="s">
        <v>730</v>
      </c>
      <c r="M3130" s="568"/>
      <c r="N3130" s="1705"/>
      <c r="O3130" s="2167">
        <f>SUM(O3127:O3129)</f>
        <v>0</v>
      </c>
      <c r="T3130" s="2166"/>
    </row>
    <row r="3131" spans="1:20" s="2168" customFormat="1" ht="12.75" hidden="1">
      <c r="A3131" s="2114" t="str">
        <f>A717</f>
        <v>(i)</v>
      </c>
      <c r="B3131" s="192" t="str">
        <f>B3088</f>
        <v>Second Floor</v>
      </c>
      <c r="C3131" s="568"/>
      <c r="D3131" s="568"/>
      <c r="E3131" s="2120" t="str">
        <f>E3120</f>
        <v>Each Sqm</v>
      </c>
      <c r="F3131" s="2120"/>
      <c r="G3131" s="2122"/>
      <c r="H3131" s="568"/>
      <c r="I3131" s="2118"/>
      <c r="J3131" s="2123"/>
      <c r="K3131" s="2123"/>
      <c r="L3131" s="192"/>
      <c r="M3131" s="568"/>
      <c r="N3131" s="1705"/>
      <c r="T3131" s="2166"/>
    </row>
    <row r="3132" spans="1:20" s="2168" customFormat="1" ht="12.75" hidden="1">
      <c r="A3132" s="2114"/>
      <c r="B3132" s="192" t="s">
        <v>1943</v>
      </c>
      <c r="C3132" s="568"/>
      <c r="D3132" s="568"/>
      <c r="E3132" s="2120"/>
      <c r="F3132" s="2120"/>
      <c r="G3132" s="2122"/>
      <c r="H3132" s="568"/>
      <c r="I3132" s="2118"/>
      <c r="J3132" s="2123"/>
      <c r="K3132" s="2123"/>
      <c r="L3132" s="192"/>
      <c r="M3132" s="568"/>
      <c r="N3132" s="1705"/>
      <c r="T3132" s="2166"/>
    </row>
    <row r="3133" spans="1:20" s="2168" customFormat="1" ht="12.75" hidden="1">
      <c r="A3133" s="2114"/>
      <c r="B3133" s="568" t="s">
        <v>896</v>
      </c>
      <c r="C3133" s="568"/>
      <c r="D3133" s="568"/>
      <c r="E3133" s="188"/>
      <c r="F3133" s="188"/>
      <c r="G3133" s="2122"/>
      <c r="H3133" s="568"/>
      <c r="I3133" s="2118"/>
      <c r="J3133" s="2123"/>
      <c r="K3133" s="2123">
        <f>K3125</f>
        <v>1442.9554499999999</v>
      </c>
      <c r="L3133" s="192"/>
      <c r="M3133" s="568"/>
      <c r="N3133" s="1705"/>
      <c r="T3133" s="2166"/>
    </row>
    <row r="3134" spans="1:20" s="2168" customFormat="1" ht="12.75" hidden="1">
      <c r="A3134" s="2114"/>
      <c r="B3134" s="568" t="s">
        <v>897</v>
      </c>
      <c r="C3134" s="568"/>
      <c r="D3134" s="568"/>
      <c r="E3134" s="188"/>
      <c r="F3134" s="188"/>
      <c r="G3134" s="2122"/>
      <c r="H3134" s="568"/>
      <c r="I3134" s="2118"/>
      <c r="J3134" s="2123"/>
      <c r="K3134" s="2123">
        <f>K3123+ROUND(K3123*20%,2)</f>
        <v>177.95</v>
      </c>
      <c r="L3134" s="192"/>
      <c r="M3134" s="568"/>
      <c r="N3134" s="1705"/>
      <c r="T3134" s="2166"/>
    </row>
    <row r="3135" spans="1:20" s="2168" customFormat="1" ht="12.75" hidden="1">
      <c r="A3135" s="2114"/>
      <c r="B3135" s="568" t="s">
        <v>899</v>
      </c>
      <c r="C3135" s="568"/>
      <c r="D3135" s="568"/>
      <c r="E3135" s="188"/>
      <c r="F3135" s="188"/>
      <c r="G3135" s="2122"/>
      <c r="H3135" s="568"/>
      <c r="I3135" s="2118"/>
      <c r="J3135" s="2123"/>
      <c r="K3135" s="2123">
        <f>K3124+ROUND(K3124*15%,2)</f>
        <v>21.107300000000002</v>
      </c>
      <c r="L3135" s="192"/>
      <c r="M3135" s="568"/>
      <c r="N3135" s="1705"/>
      <c r="T3135" s="2166"/>
    </row>
    <row r="3136" spans="1:20" s="2168" customFormat="1" ht="12.75" hidden="1">
      <c r="A3136" s="2114"/>
      <c r="B3136" s="568"/>
      <c r="C3136" s="568"/>
      <c r="D3136" s="568"/>
      <c r="E3136" s="188"/>
      <c r="F3136" s="188"/>
      <c r="G3136" s="2122"/>
      <c r="H3136" s="568"/>
      <c r="I3136" s="2118"/>
      <c r="J3136" s="2126" t="s">
        <v>718</v>
      </c>
      <c r="K3136" s="2124">
        <f>SUM(K3133:K3135)</f>
        <v>1642.0127499999999</v>
      </c>
      <c r="L3136" s="192" t="s">
        <v>730</v>
      </c>
      <c r="M3136" s="568"/>
      <c r="N3136" s="1705"/>
      <c r="T3136" s="2166"/>
    </row>
    <row r="3137" spans="1:20" s="2168" customFormat="1" ht="12.75" hidden="1">
      <c r="A3137" s="2114"/>
      <c r="B3137" s="192" t="s">
        <v>3588</v>
      </c>
      <c r="C3137" s="568"/>
      <c r="D3137" s="568"/>
      <c r="E3137" s="2120"/>
      <c r="F3137" s="2120"/>
      <c r="G3137" s="2122"/>
      <c r="H3137" s="568"/>
      <c r="I3137" s="2118"/>
      <c r="J3137" s="2123"/>
      <c r="K3137" s="2123"/>
      <c r="L3137" s="192"/>
      <c r="M3137" s="568"/>
      <c r="N3137" s="1705"/>
      <c r="T3137" s="2166"/>
    </row>
    <row r="3138" spans="1:20" s="2168" customFormat="1" ht="12.75" hidden="1">
      <c r="A3138" s="2114"/>
      <c r="B3138" s="568" t="s">
        <v>896</v>
      </c>
      <c r="C3138" s="568"/>
      <c r="D3138" s="568"/>
      <c r="E3138" s="188"/>
      <c r="F3138" s="188"/>
      <c r="G3138" s="2122"/>
      <c r="H3138" s="568"/>
      <c r="I3138" s="2118"/>
      <c r="J3138" s="2123"/>
      <c r="K3138" s="2123">
        <f>K3130</f>
        <v>1313.2609500000001</v>
      </c>
      <c r="L3138" s="192"/>
      <c r="M3138" s="568"/>
      <c r="N3138" s="1705"/>
      <c r="T3138" s="2166"/>
    </row>
    <row r="3139" spans="1:20" s="2168" customFormat="1" ht="12.75" hidden="1">
      <c r="A3139" s="2114"/>
      <c r="B3139" s="568" t="s">
        <v>897</v>
      </c>
      <c r="C3139" s="568"/>
      <c r="D3139" s="568"/>
      <c r="E3139" s="188"/>
      <c r="F3139" s="188"/>
      <c r="G3139" s="2122"/>
      <c r="H3139" s="568"/>
      <c r="I3139" s="2118"/>
      <c r="J3139" s="2123"/>
      <c r="K3139" s="2123">
        <f>K3128+ROUND(K3128*20%,2)</f>
        <v>177.95</v>
      </c>
      <c r="L3139" s="192"/>
      <c r="M3139" s="568"/>
      <c r="N3139" s="1705"/>
      <c r="T3139" s="2166"/>
    </row>
    <row r="3140" spans="1:20" s="2168" customFormat="1" ht="12.75" hidden="1">
      <c r="A3140" s="2114"/>
      <c r="B3140" s="568" t="s">
        <v>899</v>
      </c>
      <c r="C3140" s="568"/>
      <c r="D3140" s="568"/>
      <c r="E3140" s="188"/>
      <c r="F3140" s="188"/>
      <c r="G3140" s="2122"/>
      <c r="H3140" s="568"/>
      <c r="I3140" s="2118"/>
      <c r="J3140" s="2123"/>
      <c r="K3140" s="2123">
        <f>K3129+ROUND(K3129*15%,2)</f>
        <v>5.8946000000000005</v>
      </c>
      <c r="L3140" s="192"/>
      <c r="M3140" s="568"/>
      <c r="N3140" s="1705"/>
      <c r="T3140" s="2166"/>
    </row>
    <row r="3141" spans="1:20" s="2168" customFormat="1" ht="12.75" hidden="1">
      <c r="A3141" s="2114"/>
      <c r="B3141" s="568"/>
      <c r="C3141" s="568"/>
      <c r="D3141" s="568"/>
      <c r="E3141" s="188"/>
      <c r="F3141" s="188"/>
      <c r="G3141" s="2122"/>
      <c r="H3141" s="568"/>
      <c r="I3141" s="2118"/>
      <c r="J3141" s="2126" t="s">
        <v>718</v>
      </c>
      <c r="K3141" s="2124">
        <f>SUM(K3138:K3140)</f>
        <v>1497.1055500000002</v>
      </c>
      <c r="L3141" s="192" t="s">
        <v>730</v>
      </c>
      <c r="M3141" s="568"/>
      <c r="N3141" s="1705"/>
      <c r="T3141" s="2166"/>
    </row>
    <row r="3142" spans="1:20" s="2168" customFormat="1" ht="12.75" hidden="1">
      <c r="A3142" s="2114" t="str">
        <f>A728</f>
        <v>(ii)</v>
      </c>
      <c r="B3142" s="192" t="str">
        <f>B3099</f>
        <v>Third Floor</v>
      </c>
      <c r="C3142" s="568"/>
      <c r="D3142" s="568"/>
      <c r="E3142" s="2120" t="str">
        <f>E3131</f>
        <v>Each Sqm</v>
      </c>
      <c r="F3142" s="2120"/>
      <c r="G3142" s="2122"/>
      <c r="H3142" s="568"/>
      <c r="I3142" s="2118"/>
      <c r="J3142" s="2123"/>
      <c r="K3142" s="2123"/>
      <c r="L3142" s="192"/>
      <c r="M3142" s="568"/>
      <c r="N3142" s="1705"/>
      <c r="T3142" s="2166"/>
    </row>
    <row r="3143" spans="1:20" s="2168" customFormat="1" ht="12.75" hidden="1">
      <c r="A3143" s="2114"/>
      <c r="B3143" s="192" t="s">
        <v>1943</v>
      </c>
      <c r="C3143" s="568"/>
      <c r="D3143" s="568"/>
      <c r="E3143" s="2120"/>
      <c r="F3143" s="2120"/>
      <c r="G3143" s="2122"/>
      <c r="H3143" s="568"/>
      <c r="I3143" s="2118"/>
      <c r="J3143" s="2123"/>
      <c r="K3143" s="2123"/>
      <c r="L3143" s="192"/>
      <c r="M3143" s="568"/>
      <c r="N3143" s="1705"/>
      <c r="T3143" s="2166"/>
    </row>
    <row r="3144" spans="1:20" s="2168" customFormat="1" ht="12.75" hidden="1">
      <c r="A3144" s="2114"/>
      <c r="B3144" s="568" t="s">
        <v>896</v>
      </c>
      <c r="C3144" s="568"/>
      <c r="D3144" s="568"/>
      <c r="E3144" s="188"/>
      <c r="F3144" s="188"/>
      <c r="G3144" s="2122"/>
      <c r="H3144" s="568"/>
      <c r="I3144" s="2118"/>
      <c r="J3144" s="2123"/>
      <c r="K3144" s="2123">
        <f>K3136</f>
        <v>1642.0127499999999</v>
      </c>
      <c r="L3144" s="192"/>
      <c r="M3144" s="568"/>
      <c r="N3144" s="1705"/>
      <c r="T3144" s="2166"/>
    </row>
    <row r="3145" spans="1:20" s="2168" customFormat="1" ht="12.75" hidden="1">
      <c r="A3145" s="2114"/>
      <c r="B3145" s="568" t="s">
        <v>897</v>
      </c>
      <c r="C3145" s="568"/>
      <c r="D3145" s="568"/>
      <c r="E3145" s="188"/>
      <c r="F3145" s="188"/>
      <c r="G3145" s="2122"/>
      <c r="H3145" s="568"/>
      <c r="I3145" s="2118"/>
      <c r="J3145" s="2123"/>
      <c r="K3145" s="2123">
        <f>K3134+ROUND(K3134*20%,2)</f>
        <v>213.54</v>
      </c>
      <c r="L3145" s="192"/>
      <c r="M3145" s="568"/>
      <c r="N3145" s="1705"/>
      <c r="T3145" s="2166"/>
    </row>
    <row r="3146" spans="1:20" s="2168" customFormat="1" ht="12.75" hidden="1">
      <c r="A3146" s="2114"/>
      <c r="B3146" s="568" t="s">
        <v>899</v>
      </c>
      <c r="C3146" s="568"/>
      <c r="D3146" s="568"/>
      <c r="E3146" s="188"/>
      <c r="F3146" s="188"/>
      <c r="G3146" s="2122"/>
      <c r="H3146" s="568"/>
      <c r="I3146" s="2118"/>
      <c r="J3146" s="2123"/>
      <c r="K3146" s="2123">
        <f>K3135+ROUND(K3135*15%,2)</f>
        <v>24.277300000000004</v>
      </c>
      <c r="L3146" s="192"/>
      <c r="M3146" s="568"/>
      <c r="N3146" s="1705"/>
      <c r="T3146" s="2166"/>
    </row>
    <row r="3147" spans="1:20" s="2168" customFormat="1" ht="12.75" hidden="1">
      <c r="A3147" s="2114"/>
      <c r="B3147" s="568"/>
      <c r="C3147" s="568"/>
      <c r="D3147" s="568"/>
      <c r="E3147" s="188"/>
      <c r="F3147" s="188"/>
      <c r="G3147" s="2122"/>
      <c r="H3147" s="568"/>
      <c r="I3147" s="2118"/>
      <c r="J3147" s="2126" t="s">
        <v>718</v>
      </c>
      <c r="K3147" s="2124">
        <f>SUM(K3144:K3146)</f>
        <v>1879.8300499999998</v>
      </c>
      <c r="L3147" s="192" t="s">
        <v>730</v>
      </c>
      <c r="M3147" s="568"/>
      <c r="N3147" s="1705"/>
      <c r="T3147" s="2166"/>
    </row>
    <row r="3148" spans="1:20" s="2168" customFormat="1" ht="12.75" hidden="1">
      <c r="A3148" s="2114"/>
      <c r="B3148" s="192" t="s">
        <v>3588</v>
      </c>
      <c r="C3148" s="568"/>
      <c r="D3148" s="568"/>
      <c r="E3148" s="2120"/>
      <c r="F3148" s="2120"/>
      <c r="G3148" s="2122"/>
      <c r="H3148" s="568"/>
      <c r="I3148" s="2118"/>
      <c r="J3148" s="2123"/>
      <c r="K3148" s="2123"/>
      <c r="L3148" s="192"/>
      <c r="M3148" s="568"/>
      <c r="N3148" s="1705"/>
      <c r="T3148" s="2166"/>
    </row>
    <row r="3149" spans="1:20" s="2168" customFormat="1" ht="12.75" hidden="1">
      <c r="A3149" s="2114"/>
      <c r="B3149" s="568" t="s">
        <v>896</v>
      </c>
      <c r="C3149" s="568"/>
      <c r="D3149" s="568"/>
      <c r="E3149" s="188"/>
      <c r="F3149" s="188"/>
      <c r="G3149" s="2122"/>
      <c r="H3149" s="568"/>
      <c r="I3149" s="2118"/>
      <c r="J3149" s="2123"/>
      <c r="K3149" s="2123">
        <f>K3141</f>
        <v>1497.1055500000002</v>
      </c>
      <c r="L3149" s="192"/>
      <c r="M3149" s="568"/>
      <c r="N3149" s="1705"/>
      <c r="T3149" s="2166"/>
    </row>
    <row r="3150" spans="1:20" s="2168" customFormat="1" ht="12.75" hidden="1">
      <c r="A3150" s="2114"/>
      <c r="B3150" s="568" t="s">
        <v>897</v>
      </c>
      <c r="C3150" s="568"/>
      <c r="D3150" s="568"/>
      <c r="E3150" s="188"/>
      <c r="F3150" s="188"/>
      <c r="G3150" s="2122"/>
      <c r="H3150" s="568"/>
      <c r="I3150" s="2118"/>
      <c r="J3150" s="2123"/>
      <c r="K3150" s="2123">
        <f>K3139+ROUND(K3139*20%,2)</f>
        <v>213.54</v>
      </c>
      <c r="L3150" s="192"/>
      <c r="M3150" s="568"/>
      <c r="N3150" s="1705"/>
      <c r="T3150" s="2166"/>
    </row>
    <row r="3151" spans="1:20" s="2168" customFormat="1" ht="12.75" hidden="1">
      <c r="A3151" s="2114"/>
      <c r="B3151" s="568" t="s">
        <v>899</v>
      </c>
      <c r="C3151" s="568"/>
      <c r="D3151" s="568"/>
      <c r="E3151" s="188"/>
      <c r="F3151" s="188"/>
      <c r="G3151" s="2122"/>
      <c r="H3151" s="568"/>
      <c r="I3151" s="2118"/>
      <c r="J3151" s="2123"/>
      <c r="K3151" s="2123">
        <f>K3140+ROUND(K3140*15%,2)</f>
        <v>6.7746000000000004</v>
      </c>
      <c r="L3151" s="192"/>
      <c r="M3151" s="568"/>
      <c r="N3151" s="1705"/>
      <c r="T3151" s="2166"/>
    </row>
    <row r="3152" spans="1:20" s="2168" customFormat="1" ht="12.75" hidden="1">
      <c r="A3152" s="2114"/>
      <c r="B3152" s="568"/>
      <c r="C3152" s="568"/>
      <c r="D3152" s="568"/>
      <c r="E3152" s="188"/>
      <c r="F3152" s="188"/>
      <c r="G3152" s="2122"/>
      <c r="H3152" s="568"/>
      <c r="I3152" s="2118"/>
      <c r="J3152" s="2126" t="s">
        <v>718</v>
      </c>
      <c r="K3152" s="2124">
        <f>SUM(K3149:K3151)</f>
        <v>1717.4201500000001</v>
      </c>
      <c r="L3152" s="192" t="s">
        <v>730</v>
      </c>
      <c r="M3152" s="568"/>
      <c r="N3152" s="1705"/>
      <c r="T3152" s="2166"/>
    </row>
    <row r="3153" spans="1:20" ht="12.75" hidden="1">
      <c r="A3153" s="2114" t="str">
        <f>A590</f>
        <v>H)</v>
      </c>
      <c r="B3153" s="2165" t="str">
        <f>B590</f>
        <v>SHELVES</v>
      </c>
      <c r="C3153" s="568"/>
      <c r="D3153" s="568"/>
      <c r="E3153" s="2120" t="str">
        <f>G590</f>
        <v>Each Sqm</v>
      </c>
      <c r="F3153" s="2120"/>
      <c r="G3153" s="2122"/>
      <c r="H3153" s="568"/>
      <c r="I3153" s="2118"/>
      <c r="J3153" s="2123"/>
      <c r="K3153" s="2123"/>
      <c r="L3153" s="192"/>
      <c r="M3153" s="568"/>
    </row>
    <row r="3154" spans="1:20" ht="12.75" hidden="1">
      <c r="A3154" s="2114" t="str">
        <f>A591</f>
        <v>(i)</v>
      </c>
      <c r="B3154" s="192" t="str">
        <f>B591</f>
        <v>Ground Floor</v>
      </c>
      <c r="C3154" s="568"/>
      <c r="D3154" s="568"/>
      <c r="E3154" s="2120" t="str">
        <f>G592</f>
        <v>Each Sqm</v>
      </c>
      <c r="F3154" s="2120"/>
      <c r="G3154" s="2122"/>
      <c r="H3154" s="568"/>
      <c r="I3154" s="2118"/>
      <c r="J3154" s="2123"/>
      <c r="K3154" s="2123"/>
      <c r="L3154" s="192"/>
      <c r="M3154" s="568"/>
    </row>
    <row r="3155" spans="1:20" ht="12.75" hidden="1">
      <c r="A3155" s="2114" t="s">
        <v>413</v>
      </c>
      <c r="B3155" s="192" t="s">
        <v>1943</v>
      </c>
      <c r="C3155" s="568"/>
      <c r="D3155" s="568"/>
      <c r="E3155" s="2120"/>
      <c r="F3155" s="2120"/>
      <c r="G3155" s="2122"/>
      <c r="H3155" s="568"/>
      <c r="I3155" s="2118"/>
      <c r="J3155" s="2123"/>
      <c r="K3155" s="2123"/>
      <c r="L3155" s="192"/>
      <c r="M3155" s="568"/>
    </row>
    <row r="3156" spans="1:20" ht="12.75" hidden="1">
      <c r="A3156" s="2114"/>
      <c r="B3156" s="568" t="s">
        <v>892</v>
      </c>
      <c r="C3156" s="568"/>
      <c r="D3156" s="568"/>
      <c r="E3156" s="188"/>
      <c r="F3156" s="188"/>
      <c r="H3156" s="2123">
        <f>K2594</f>
        <v>8228.51</v>
      </c>
      <c r="I3156" s="2118" t="s">
        <v>901</v>
      </c>
      <c r="J3156" s="2122">
        <v>0.05</v>
      </c>
      <c r="K3156" s="2123">
        <f>H3156*J3156</f>
        <v>411.42550000000006</v>
      </c>
      <c r="L3156" s="192"/>
      <c r="M3156" s="568"/>
    </row>
    <row r="3157" spans="1:20" ht="12.75" hidden="1">
      <c r="A3157" s="2114"/>
      <c r="B3157" s="568" t="s">
        <v>893</v>
      </c>
      <c r="C3157" s="568"/>
      <c r="D3157" s="568"/>
      <c r="E3157" s="188"/>
      <c r="F3157" s="188"/>
      <c r="G3157" s="2122">
        <v>1.1000000000000001</v>
      </c>
      <c r="H3157" s="568" t="s">
        <v>894</v>
      </c>
      <c r="I3157" s="2118"/>
      <c r="J3157" s="2123">
        <f>K2678</f>
        <v>674.05</v>
      </c>
      <c r="K3157" s="2123">
        <f>G3157*J3157</f>
        <v>741.45500000000004</v>
      </c>
      <c r="L3157" s="192"/>
      <c r="M3157" s="568"/>
    </row>
    <row r="3158" spans="1:20" ht="12.75" hidden="1">
      <c r="A3158" s="2114"/>
      <c r="B3158" s="568"/>
      <c r="C3158" s="568"/>
      <c r="D3158" s="568"/>
      <c r="E3158" s="188"/>
      <c r="F3158" s="188"/>
      <c r="G3158" s="2122"/>
      <c r="H3158" s="568"/>
      <c r="I3158" s="2118"/>
      <c r="J3158" s="2126" t="s">
        <v>718</v>
      </c>
      <c r="K3158" s="2124">
        <f>SUM(K3154:K3157)</f>
        <v>1152.8805000000002</v>
      </c>
      <c r="L3158" s="192" t="s">
        <v>730</v>
      </c>
      <c r="M3158" s="568"/>
    </row>
    <row r="3159" spans="1:20" ht="12.75" hidden="1">
      <c r="A3159" s="2114" t="s">
        <v>415</v>
      </c>
      <c r="B3159" s="192" t="s">
        <v>3588</v>
      </c>
      <c r="C3159" s="568"/>
      <c r="D3159" s="568"/>
      <c r="E3159" s="2120"/>
      <c r="F3159" s="2120"/>
      <c r="G3159" s="2122"/>
      <c r="H3159" s="568"/>
      <c r="I3159" s="2118"/>
      <c r="J3159" s="2123"/>
      <c r="K3159" s="2123"/>
      <c r="L3159" s="192"/>
      <c r="M3159" s="568"/>
    </row>
    <row r="3160" spans="1:20" ht="12.75" hidden="1">
      <c r="A3160" s="2114"/>
      <c r="B3160" s="568" t="s">
        <v>892</v>
      </c>
      <c r="C3160" s="568"/>
      <c r="D3160" s="568"/>
      <c r="E3160" s="188"/>
      <c r="F3160" s="188"/>
      <c r="H3160" s="2123">
        <f>H3117</f>
        <v>6436.79</v>
      </c>
      <c r="I3160" s="2118" t="s">
        <v>901</v>
      </c>
      <c r="J3160" s="2122">
        <v>0.05</v>
      </c>
      <c r="K3160" s="2123">
        <f>H3160*J3160</f>
        <v>321.83950000000004</v>
      </c>
      <c r="L3160" s="192"/>
      <c r="M3160" s="568"/>
    </row>
    <row r="3161" spans="1:20" ht="12.75" hidden="1">
      <c r="A3161" s="2114"/>
      <c r="B3161" s="568" t="s">
        <v>893</v>
      </c>
      <c r="C3161" s="568"/>
      <c r="D3161" s="568"/>
      <c r="E3161" s="188"/>
      <c r="F3161" s="188"/>
      <c r="G3161" s="2122">
        <v>1.1000000000000001</v>
      </c>
      <c r="H3161" s="568" t="s">
        <v>894</v>
      </c>
      <c r="I3161" s="2118"/>
      <c r="J3161" s="2123">
        <f>K2678</f>
        <v>674.05</v>
      </c>
      <c r="K3161" s="2123">
        <f>G3161*J3161</f>
        <v>741.45500000000004</v>
      </c>
      <c r="L3161" s="192"/>
      <c r="M3161" s="568"/>
    </row>
    <row r="3162" spans="1:20" ht="12.75" hidden="1">
      <c r="A3162" s="2114"/>
      <c r="B3162" s="568"/>
      <c r="C3162" s="568"/>
      <c r="D3162" s="568"/>
      <c r="E3162" s="188"/>
      <c r="F3162" s="188"/>
      <c r="G3162" s="2122"/>
      <c r="H3162" s="568"/>
      <c r="I3162" s="2118"/>
      <c r="J3162" s="2126" t="s">
        <v>718</v>
      </c>
      <c r="K3162" s="2124">
        <f>SUM(K3160:K3161)</f>
        <v>1063.2945</v>
      </c>
      <c r="L3162" s="192" t="s">
        <v>730</v>
      </c>
      <c r="M3162" s="568"/>
    </row>
    <row r="3163" spans="1:20" s="2168" customFormat="1" ht="12.75" hidden="1">
      <c r="A3163" s="2114" t="str">
        <f>A3120</f>
        <v>(ii)</v>
      </c>
      <c r="B3163" s="192" t="str">
        <f>B3120</f>
        <v>First Floor</v>
      </c>
      <c r="C3163" s="568"/>
      <c r="D3163" s="568"/>
      <c r="E3163" s="2120" t="str">
        <f>E3154</f>
        <v>Each Sqm</v>
      </c>
      <c r="F3163" s="2120"/>
      <c r="G3163" s="2122"/>
      <c r="H3163" s="568"/>
      <c r="I3163" s="2118"/>
      <c r="J3163" s="2123"/>
      <c r="K3163" s="2123"/>
      <c r="L3163" s="192"/>
      <c r="M3163" s="568"/>
      <c r="N3163" s="1705"/>
      <c r="T3163" s="2166"/>
    </row>
    <row r="3164" spans="1:20" s="2168" customFormat="1" ht="12.75" hidden="1">
      <c r="A3164" s="2114"/>
      <c r="B3164" s="192" t="s">
        <v>1943</v>
      </c>
      <c r="C3164" s="568"/>
      <c r="D3164" s="568"/>
      <c r="E3164" s="2120"/>
      <c r="F3164" s="2120"/>
      <c r="G3164" s="2122"/>
      <c r="H3164" s="568"/>
      <c r="I3164" s="2118"/>
      <c r="J3164" s="2123"/>
      <c r="K3164" s="2123"/>
      <c r="L3164" s="192"/>
      <c r="M3164" s="568"/>
      <c r="N3164" s="1705"/>
      <c r="O3164" s="2167">
        <f>K2602</f>
        <v>8556.5399999999991</v>
      </c>
      <c r="T3164" s="2166"/>
    </row>
    <row r="3165" spans="1:20" s="2168" customFormat="1" ht="12.75" hidden="1">
      <c r="A3165" s="2114"/>
      <c r="B3165" s="568" t="s">
        <v>896</v>
      </c>
      <c r="C3165" s="568"/>
      <c r="D3165" s="568"/>
      <c r="E3165" s="188"/>
      <c r="F3165" s="188"/>
      <c r="G3165" s="2122"/>
      <c r="H3165" s="568"/>
      <c r="I3165" s="2118"/>
      <c r="J3165" s="2123"/>
      <c r="K3165" s="2123">
        <f>K3158</f>
        <v>1152.8805000000002</v>
      </c>
      <c r="L3165" s="192"/>
      <c r="M3165" s="568"/>
      <c r="N3165" s="1705"/>
      <c r="O3165" s="2168">
        <f>O3164*J3156</f>
        <v>427.827</v>
      </c>
      <c r="T3165" s="2166"/>
    </row>
    <row r="3166" spans="1:20" s="2168" customFormat="1" ht="12.75" hidden="1">
      <c r="A3166" s="2114"/>
      <c r="B3166" s="568" t="s">
        <v>897</v>
      </c>
      <c r="C3166" s="568"/>
      <c r="D3166" s="568"/>
      <c r="E3166" s="188"/>
      <c r="F3166" s="188"/>
      <c r="G3166" s="2122"/>
      <c r="H3166" s="568"/>
      <c r="I3166" s="2118"/>
      <c r="J3166" s="2123"/>
      <c r="K3166" s="2123">
        <f>ROUND(K3157*20%,2)</f>
        <v>148.29</v>
      </c>
      <c r="L3166" s="192"/>
      <c r="M3166" s="568"/>
      <c r="N3166" s="1705"/>
      <c r="O3166" s="2168">
        <f>G3157*J3157</f>
        <v>741.45500000000004</v>
      </c>
      <c r="T3166" s="2166"/>
    </row>
    <row r="3167" spans="1:20" s="2168" customFormat="1" ht="12.75" hidden="1">
      <c r="A3167" s="2114"/>
      <c r="B3167" s="568" t="s">
        <v>900</v>
      </c>
      <c r="C3167" s="568"/>
      <c r="D3167" s="568"/>
      <c r="E3167" s="188"/>
      <c r="F3167" s="188"/>
      <c r="G3167" s="2122"/>
      <c r="H3167" s="568"/>
      <c r="I3167" s="2118"/>
      <c r="J3167" s="2123"/>
      <c r="K3167" s="2123">
        <f>ROUND(K3124*0.05/0.065,2)</f>
        <v>14.12</v>
      </c>
      <c r="L3167" s="192"/>
      <c r="M3167" s="568"/>
      <c r="N3167" s="1705"/>
      <c r="O3167" s="2168">
        <f>O3166*20%</f>
        <v>148.29100000000003</v>
      </c>
      <c r="T3167" s="2166"/>
    </row>
    <row r="3168" spans="1:20" s="2168" customFormat="1" ht="12.75" hidden="1" customHeight="1">
      <c r="A3168" s="2114"/>
      <c r="B3168" s="568"/>
      <c r="C3168" s="568"/>
      <c r="D3168" s="568"/>
      <c r="E3168" s="188"/>
      <c r="F3168" s="188"/>
      <c r="G3168" s="2122"/>
      <c r="H3168" s="568"/>
      <c r="I3168" s="2118"/>
      <c r="J3168" s="2126" t="s">
        <v>718</v>
      </c>
      <c r="K3168" s="2124">
        <f>SUM(K3165:K3167)</f>
        <v>1315.2905000000001</v>
      </c>
      <c r="L3168" s="192" t="s">
        <v>730</v>
      </c>
      <c r="M3168" s="568"/>
      <c r="N3168" s="1705"/>
      <c r="O3168" s="2167">
        <f>SUM(O3165:O3167)</f>
        <v>1317.5730000000001</v>
      </c>
      <c r="T3168" s="2166"/>
    </row>
    <row r="3169" spans="1:20" s="2168" customFormat="1" ht="12.75" hidden="1">
      <c r="A3169" s="2114"/>
      <c r="B3169" s="192" t="s">
        <v>3588</v>
      </c>
      <c r="C3169" s="568"/>
      <c r="D3169" s="568"/>
      <c r="E3169" s="2120"/>
      <c r="F3169" s="2120"/>
      <c r="G3169" s="2122"/>
      <c r="H3169" s="568"/>
      <c r="I3169" s="2118"/>
      <c r="J3169" s="2123"/>
      <c r="K3169" s="2123"/>
      <c r="L3169" s="192"/>
      <c r="M3169" s="568"/>
      <c r="N3169" s="1705"/>
      <c r="O3169" s="2167">
        <f>O3164</f>
        <v>8556.5399999999991</v>
      </c>
      <c r="T3169" s="2166"/>
    </row>
    <row r="3170" spans="1:20" s="2168" customFormat="1" ht="12.75" hidden="1">
      <c r="A3170" s="2114"/>
      <c r="B3170" s="568" t="s">
        <v>896</v>
      </c>
      <c r="C3170" s="568"/>
      <c r="D3170" s="568"/>
      <c r="E3170" s="188"/>
      <c r="F3170" s="188"/>
      <c r="G3170" s="2122"/>
      <c r="H3170" s="568"/>
      <c r="I3170" s="2118"/>
      <c r="J3170" s="2123"/>
      <c r="K3170" s="2123">
        <f>K3162</f>
        <v>1063.2945</v>
      </c>
      <c r="L3170" s="192"/>
      <c r="M3170" s="568"/>
      <c r="N3170" s="1705"/>
      <c r="O3170" s="2168">
        <f>O3169*J3160</f>
        <v>427.827</v>
      </c>
      <c r="T3170" s="2166"/>
    </row>
    <row r="3171" spans="1:20" s="2168" customFormat="1" ht="12.75" hidden="1">
      <c r="A3171" s="2114"/>
      <c r="B3171" s="568" t="s">
        <v>897</v>
      </c>
      <c r="C3171" s="568"/>
      <c r="D3171" s="568"/>
      <c r="E3171" s="188"/>
      <c r="F3171" s="188"/>
      <c r="G3171" s="2122"/>
      <c r="H3171" s="568"/>
      <c r="I3171" s="2118"/>
      <c r="J3171" s="2123"/>
      <c r="K3171" s="2123">
        <f>ROUND(K3161*20%,2)</f>
        <v>148.29</v>
      </c>
      <c r="L3171" s="192"/>
      <c r="M3171" s="568"/>
      <c r="N3171" s="1705"/>
      <c r="O3171" s="2168">
        <f>G3161*J3161</f>
        <v>741.45500000000004</v>
      </c>
      <c r="T3171" s="2166"/>
    </row>
    <row r="3172" spans="1:20" s="2168" customFormat="1" ht="12.75" hidden="1">
      <c r="A3172" s="2114"/>
      <c r="B3172" s="568" t="s">
        <v>899</v>
      </c>
      <c r="C3172" s="568"/>
      <c r="D3172" s="568"/>
      <c r="E3172" s="188"/>
      <c r="F3172" s="188"/>
      <c r="G3172" s="2122"/>
      <c r="H3172" s="568"/>
      <c r="I3172" s="2118"/>
      <c r="J3172" s="2123"/>
      <c r="K3172" s="2123">
        <f>ROUND(K3129*0.05/0.065,2)</f>
        <v>3.94</v>
      </c>
      <c r="L3172" s="192"/>
      <c r="M3172" s="568"/>
      <c r="N3172" s="1705"/>
      <c r="O3172" s="2168">
        <f>O3171*20%</f>
        <v>148.29100000000003</v>
      </c>
      <c r="T3172" s="2166"/>
    </row>
    <row r="3173" spans="1:20" s="2168" customFormat="1" ht="12.75" hidden="1">
      <c r="A3173" s="2114"/>
      <c r="B3173" s="568"/>
      <c r="C3173" s="568"/>
      <c r="D3173" s="568"/>
      <c r="E3173" s="188"/>
      <c r="F3173" s="188"/>
      <c r="G3173" s="2122"/>
      <c r="H3173" s="568"/>
      <c r="I3173" s="2118"/>
      <c r="J3173" s="2126" t="s">
        <v>718</v>
      </c>
      <c r="K3173" s="2124">
        <f>SUM(K3170:K3172)</f>
        <v>1215.5245</v>
      </c>
      <c r="L3173" s="192" t="s">
        <v>730</v>
      </c>
      <c r="M3173" s="568"/>
      <c r="N3173" s="1705"/>
      <c r="O3173" s="2167">
        <f>SUM(O3170:O3172)</f>
        <v>1317.5730000000001</v>
      </c>
      <c r="T3173" s="2166"/>
    </row>
    <row r="3174" spans="1:20" s="2168" customFormat="1" ht="12.75" hidden="1">
      <c r="A3174" s="2114" t="str">
        <f>A757</f>
        <v>B)</v>
      </c>
      <c r="B3174" s="192" t="str">
        <f>B3131</f>
        <v>Second Floor</v>
      </c>
      <c r="C3174" s="568"/>
      <c r="D3174" s="568"/>
      <c r="E3174" s="2120" t="str">
        <f>E3163</f>
        <v>Each Sqm</v>
      </c>
      <c r="F3174" s="2120"/>
      <c r="G3174" s="2122"/>
      <c r="H3174" s="568"/>
      <c r="I3174" s="2118"/>
      <c r="J3174" s="2123"/>
      <c r="K3174" s="2123"/>
      <c r="L3174" s="192"/>
      <c r="M3174" s="568"/>
      <c r="N3174" s="1705"/>
      <c r="T3174" s="2166"/>
    </row>
    <row r="3175" spans="1:20" s="2168" customFormat="1" ht="12.75" hidden="1">
      <c r="A3175" s="2114"/>
      <c r="B3175" s="192" t="s">
        <v>1943</v>
      </c>
      <c r="C3175" s="568"/>
      <c r="D3175" s="568"/>
      <c r="E3175" s="2120"/>
      <c r="F3175" s="2120"/>
      <c r="G3175" s="2122"/>
      <c r="H3175" s="568"/>
      <c r="I3175" s="2118"/>
      <c r="J3175" s="2123"/>
      <c r="K3175" s="2123"/>
      <c r="L3175" s="192"/>
      <c r="M3175" s="568"/>
      <c r="N3175" s="1705"/>
      <c r="T3175" s="2166"/>
    </row>
    <row r="3176" spans="1:20" s="2168" customFormat="1" ht="12.75" hidden="1">
      <c r="A3176" s="2114"/>
      <c r="B3176" s="568" t="s">
        <v>896</v>
      </c>
      <c r="C3176" s="568"/>
      <c r="D3176" s="568"/>
      <c r="E3176" s="188"/>
      <c r="F3176" s="188"/>
      <c r="G3176" s="2122"/>
      <c r="H3176" s="568"/>
      <c r="I3176" s="2118"/>
      <c r="J3176" s="2123"/>
      <c r="K3176" s="2123">
        <f>K3168</f>
        <v>1315.2905000000001</v>
      </c>
      <c r="L3176" s="192"/>
      <c r="M3176" s="568"/>
      <c r="N3176" s="1705"/>
      <c r="T3176" s="2166"/>
    </row>
    <row r="3177" spans="1:20" s="2168" customFormat="1" ht="12.75" hidden="1">
      <c r="A3177" s="2114"/>
      <c r="B3177" s="568" t="s">
        <v>897</v>
      </c>
      <c r="C3177" s="568"/>
      <c r="D3177" s="568"/>
      <c r="E3177" s="188"/>
      <c r="F3177" s="188"/>
      <c r="G3177" s="2122"/>
      <c r="H3177" s="568"/>
      <c r="I3177" s="2118"/>
      <c r="J3177" s="2123"/>
      <c r="K3177" s="2123">
        <f>K3166+(ROUND(K3166*20%,2))</f>
        <v>177.95</v>
      </c>
      <c r="L3177" s="192"/>
      <c r="M3177" s="568"/>
      <c r="N3177" s="1705"/>
      <c r="T3177" s="2166"/>
    </row>
    <row r="3178" spans="1:20" s="2168" customFormat="1" ht="12.75" hidden="1">
      <c r="A3178" s="2114"/>
      <c r="B3178" s="568" t="s">
        <v>899</v>
      </c>
      <c r="C3178" s="568"/>
      <c r="D3178" s="568"/>
      <c r="E3178" s="188"/>
      <c r="F3178" s="188"/>
      <c r="G3178" s="2122"/>
      <c r="H3178" s="568"/>
      <c r="I3178" s="2118"/>
      <c r="J3178" s="2123"/>
      <c r="K3178" s="2123">
        <f>K3167+ROUND(K3167*15%,2)</f>
        <v>16.239999999999998</v>
      </c>
      <c r="L3178" s="192"/>
      <c r="M3178" s="568"/>
      <c r="N3178" s="1705"/>
      <c r="T3178" s="2166"/>
    </row>
    <row r="3179" spans="1:20" s="2168" customFormat="1" ht="12.75" hidden="1">
      <c r="A3179" s="2114"/>
      <c r="B3179" s="568"/>
      <c r="C3179" s="568"/>
      <c r="D3179" s="568"/>
      <c r="E3179" s="188"/>
      <c r="F3179" s="188"/>
      <c r="G3179" s="2122"/>
      <c r="H3179" s="568"/>
      <c r="I3179" s="2118"/>
      <c r="J3179" s="2126" t="s">
        <v>718</v>
      </c>
      <c r="K3179" s="2124">
        <f>SUM(K3176:K3178)</f>
        <v>1509.4805000000001</v>
      </c>
      <c r="L3179" s="192" t="s">
        <v>730</v>
      </c>
      <c r="M3179" s="568"/>
      <c r="N3179" s="1705"/>
      <c r="T3179" s="2166"/>
    </row>
    <row r="3180" spans="1:20" s="2168" customFormat="1" ht="12.75" hidden="1">
      <c r="A3180" s="2114"/>
      <c r="B3180" s="192" t="s">
        <v>3588</v>
      </c>
      <c r="C3180" s="568"/>
      <c r="D3180" s="568"/>
      <c r="E3180" s="2120"/>
      <c r="F3180" s="2120"/>
      <c r="G3180" s="2122"/>
      <c r="H3180" s="568"/>
      <c r="I3180" s="2118"/>
      <c r="J3180" s="2123"/>
      <c r="K3180" s="2123"/>
      <c r="L3180" s="192"/>
      <c r="M3180" s="568"/>
      <c r="N3180" s="1705"/>
      <c r="T3180" s="2166"/>
    </row>
    <row r="3181" spans="1:20" s="2168" customFormat="1" ht="12.75" hidden="1">
      <c r="A3181" s="2114"/>
      <c r="B3181" s="568" t="s">
        <v>896</v>
      </c>
      <c r="C3181" s="568"/>
      <c r="D3181" s="568"/>
      <c r="E3181" s="188"/>
      <c r="F3181" s="188"/>
      <c r="G3181" s="2122"/>
      <c r="H3181" s="568"/>
      <c r="I3181" s="2118"/>
      <c r="J3181" s="2123"/>
      <c r="K3181" s="2123">
        <f>K3173</f>
        <v>1215.5245</v>
      </c>
      <c r="L3181" s="192"/>
      <c r="M3181" s="568"/>
      <c r="N3181" s="1705"/>
      <c r="T3181" s="2166"/>
    </row>
    <row r="3182" spans="1:20" s="2168" customFormat="1" ht="12.75" hidden="1">
      <c r="A3182" s="2114"/>
      <c r="B3182" s="568" t="s">
        <v>897</v>
      </c>
      <c r="C3182" s="568"/>
      <c r="D3182" s="568"/>
      <c r="E3182" s="188"/>
      <c r="F3182" s="188"/>
      <c r="G3182" s="2122"/>
      <c r="H3182" s="568"/>
      <c r="I3182" s="2118"/>
      <c r="J3182" s="2123"/>
      <c r="K3182" s="2123">
        <f>K3171+(ROUND(K3171*20%,2))</f>
        <v>177.95</v>
      </c>
      <c r="L3182" s="192"/>
      <c r="M3182" s="568"/>
      <c r="N3182" s="1705"/>
      <c r="T3182" s="2166"/>
    </row>
    <row r="3183" spans="1:20" s="2168" customFormat="1" ht="12.75" hidden="1">
      <c r="A3183" s="2114"/>
      <c r="B3183" s="568" t="s">
        <v>899</v>
      </c>
      <c r="C3183" s="568"/>
      <c r="D3183" s="568"/>
      <c r="E3183" s="188"/>
      <c r="F3183" s="188"/>
      <c r="G3183" s="2122"/>
      <c r="H3183" s="568"/>
      <c r="I3183" s="2118"/>
      <c r="J3183" s="2123"/>
      <c r="K3183" s="2123">
        <f>K3172+ROUND(K3172*15%,2)</f>
        <v>4.53</v>
      </c>
      <c r="L3183" s="192"/>
      <c r="M3183" s="568"/>
      <c r="N3183" s="1705"/>
      <c r="T3183" s="2166"/>
    </row>
    <row r="3184" spans="1:20" s="2168" customFormat="1" ht="12.75" hidden="1">
      <c r="A3184" s="2114"/>
      <c r="B3184" s="568"/>
      <c r="C3184" s="568"/>
      <c r="D3184" s="568"/>
      <c r="E3184" s="188"/>
      <c r="F3184" s="188"/>
      <c r="G3184" s="2122"/>
      <c r="H3184" s="568"/>
      <c r="I3184" s="2118"/>
      <c r="J3184" s="2126" t="s">
        <v>718</v>
      </c>
      <c r="K3184" s="2124">
        <f>SUM(K3181:K3183)</f>
        <v>1398.0045</v>
      </c>
      <c r="L3184" s="192" t="s">
        <v>730</v>
      </c>
      <c r="M3184" s="568"/>
      <c r="N3184" s="1705"/>
      <c r="T3184" s="2166"/>
    </row>
    <row r="3185" spans="1:20" s="2168" customFormat="1" ht="12.75" hidden="1">
      <c r="A3185" s="2114" t="str">
        <f>A768</f>
        <v>(i)</v>
      </c>
      <c r="B3185" s="192" t="str">
        <f>B3142</f>
        <v>Third Floor</v>
      </c>
      <c r="C3185" s="568"/>
      <c r="D3185" s="568"/>
      <c r="E3185" s="2120" t="str">
        <f>E3174</f>
        <v>Each Sqm</v>
      </c>
      <c r="F3185" s="2120"/>
      <c r="G3185" s="2122"/>
      <c r="H3185" s="568"/>
      <c r="I3185" s="2118"/>
      <c r="J3185" s="2123"/>
      <c r="K3185" s="2123"/>
      <c r="L3185" s="192"/>
      <c r="M3185" s="568"/>
      <c r="N3185" s="1705"/>
      <c r="T3185" s="2166"/>
    </row>
    <row r="3186" spans="1:20" s="2168" customFormat="1" ht="12.75" hidden="1">
      <c r="A3186" s="2114"/>
      <c r="B3186" s="192" t="s">
        <v>1943</v>
      </c>
      <c r="C3186" s="568"/>
      <c r="D3186" s="568"/>
      <c r="E3186" s="2120"/>
      <c r="F3186" s="2120"/>
      <c r="G3186" s="2122"/>
      <c r="H3186" s="568"/>
      <c r="I3186" s="2118"/>
      <c r="J3186" s="2123"/>
      <c r="K3186" s="2123"/>
      <c r="L3186" s="192"/>
      <c r="M3186" s="568"/>
      <c r="N3186" s="1705"/>
      <c r="T3186" s="2166"/>
    </row>
    <row r="3187" spans="1:20" s="2168" customFormat="1" ht="12.75" hidden="1">
      <c r="A3187" s="2114"/>
      <c r="B3187" s="568" t="s">
        <v>896</v>
      </c>
      <c r="C3187" s="568"/>
      <c r="D3187" s="568"/>
      <c r="E3187" s="188"/>
      <c r="F3187" s="188"/>
      <c r="G3187" s="2122"/>
      <c r="H3187" s="568"/>
      <c r="I3187" s="2118"/>
      <c r="J3187" s="2123"/>
      <c r="K3187" s="2123">
        <f>K3179</f>
        <v>1509.4805000000001</v>
      </c>
      <c r="L3187" s="192"/>
      <c r="M3187" s="568"/>
      <c r="N3187" s="1705"/>
      <c r="T3187" s="2166"/>
    </row>
    <row r="3188" spans="1:20" s="2168" customFormat="1" ht="12.75" hidden="1">
      <c r="A3188" s="2114"/>
      <c r="B3188" s="568" t="s">
        <v>897</v>
      </c>
      <c r="C3188" s="568"/>
      <c r="D3188" s="568"/>
      <c r="E3188" s="188"/>
      <c r="F3188" s="188"/>
      <c r="G3188" s="2122"/>
      <c r="H3188" s="568"/>
      <c r="I3188" s="2118"/>
      <c r="J3188" s="2123"/>
      <c r="K3188" s="2123">
        <f>K3177+(ROUND(K3177*20%,2))</f>
        <v>213.54</v>
      </c>
      <c r="L3188" s="192"/>
      <c r="M3188" s="568"/>
      <c r="N3188" s="1705"/>
      <c r="T3188" s="2166"/>
    </row>
    <row r="3189" spans="1:20" s="2168" customFormat="1" ht="12.75" hidden="1">
      <c r="A3189" s="2114"/>
      <c r="B3189" s="568" t="s">
        <v>899</v>
      </c>
      <c r="C3189" s="568"/>
      <c r="D3189" s="568"/>
      <c r="E3189" s="188"/>
      <c r="F3189" s="188"/>
      <c r="G3189" s="2122"/>
      <c r="H3189" s="568"/>
      <c r="I3189" s="2118"/>
      <c r="J3189" s="2123"/>
      <c r="K3189" s="2123">
        <f>K3178+ROUND(K3178*15%,2)</f>
        <v>18.68</v>
      </c>
      <c r="L3189" s="192"/>
      <c r="M3189" s="568"/>
      <c r="N3189" s="1705"/>
      <c r="T3189" s="2166"/>
    </row>
    <row r="3190" spans="1:20" s="2168" customFormat="1" ht="12.75" hidden="1">
      <c r="A3190" s="2114"/>
      <c r="B3190" s="568"/>
      <c r="C3190" s="568"/>
      <c r="D3190" s="568"/>
      <c r="E3190" s="188"/>
      <c r="F3190" s="188"/>
      <c r="G3190" s="2122"/>
      <c r="H3190" s="568"/>
      <c r="I3190" s="2118"/>
      <c r="J3190" s="2126" t="s">
        <v>718</v>
      </c>
      <c r="K3190" s="2124">
        <f>SUM(K3187:K3189)</f>
        <v>1741.7005000000001</v>
      </c>
      <c r="L3190" s="192" t="s">
        <v>730</v>
      </c>
      <c r="M3190" s="568"/>
      <c r="N3190" s="1705"/>
      <c r="T3190" s="2166"/>
    </row>
    <row r="3191" spans="1:20" s="2168" customFormat="1" ht="12.75" hidden="1">
      <c r="A3191" s="2114"/>
      <c r="B3191" s="192" t="s">
        <v>3588</v>
      </c>
      <c r="C3191" s="568"/>
      <c r="D3191" s="568"/>
      <c r="E3191" s="2120"/>
      <c r="F3191" s="2120"/>
      <c r="G3191" s="2122"/>
      <c r="H3191" s="568"/>
      <c r="I3191" s="2118"/>
      <c r="J3191" s="2123"/>
      <c r="K3191" s="2123"/>
      <c r="L3191" s="192"/>
      <c r="M3191" s="568"/>
      <c r="N3191" s="1705"/>
      <c r="T3191" s="2166"/>
    </row>
    <row r="3192" spans="1:20" s="2168" customFormat="1" ht="12.75" hidden="1">
      <c r="A3192" s="2114"/>
      <c r="B3192" s="568" t="s">
        <v>896</v>
      </c>
      <c r="C3192" s="568"/>
      <c r="D3192" s="568"/>
      <c r="E3192" s="188"/>
      <c r="F3192" s="188"/>
      <c r="G3192" s="2122"/>
      <c r="H3192" s="568"/>
      <c r="I3192" s="2118"/>
      <c r="J3192" s="2123"/>
      <c r="K3192" s="2123">
        <f>K3184</f>
        <v>1398.0045</v>
      </c>
      <c r="L3192" s="192"/>
      <c r="M3192" s="568"/>
      <c r="N3192" s="1705"/>
      <c r="T3192" s="2166"/>
    </row>
    <row r="3193" spans="1:20" s="2168" customFormat="1" ht="12.75" hidden="1">
      <c r="A3193" s="2114"/>
      <c r="B3193" s="568" t="s">
        <v>897</v>
      </c>
      <c r="C3193" s="568"/>
      <c r="D3193" s="568"/>
      <c r="E3193" s="188"/>
      <c r="F3193" s="188"/>
      <c r="G3193" s="2122"/>
      <c r="H3193" s="568"/>
      <c r="I3193" s="2118"/>
      <c r="J3193" s="2123"/>
      <c r="K3193" s="2123">
        <f>K3182+(ROUND(K3182*20%,2))</f>
        <v>213.54</v>
      </c>
      <c r="L3193" s="192"/>
      <c r="M3193" s="568"/>
      <c r="N3193" s="1705"/>
      <c r="T3193" s="2166"/>
    </row>
    <row r="3194" spans="1:20" s="2168" customFormat="1" ht="12.75" hidden="1">
      <c r="A3194" s="2114"/>
      <c r="B3194" s="568" t="s">
        <v>899</v>
      </c>
      <c r="C3194" s="568"/>
      <c r="D3194" s="568"/>
      <c r="E3194" s="188"/>
      <c r="F3194" s="188"/>
      <c r="G3194" s="2122"/>
      <c r="H3194" s="568"/>
      <c r="I3194" s="2118"/>
      <c r="J3194" s="2123"/>
      <c r="K3194" s="2123">
        <f>K3183+ROUND(K3183*15%,2)</f>
        <v>5.21</v>
      </c>
      <c r="L3194" s="192"/>
      <c r="M3194" s="568"/>
      <c r="N3194" s="1705"/>
      <c r="T3194" s="2166"/>
    </row>
    <row r="3195" spans="1:20" s="2168" customFormat="1" ht="12.75" hidden="1">
      <c r="A3195" s="2114"/>
      <c r="B3195" s="568"/>
      <c r="C3195" s="568"/>
      <c r="D3195" s="568"/>
      <c r="E3195" s="188"/>
      <c r="F3195" s="188"/>
      <c r="G3195" s="2122"/>
      <c r="H3195" s="568"/>
      <c r="I3195" s="2118"/>
      <c r="J3195" s="2126" t="s">
        <v>718</v>
      </c>
      <c r="K3195" s="2124">
        <f>SUM(K3192:K3194)</f>
        <v>1616.7545</v>
      </c>
      <c r="L3195" s="192" t="s">
        <v>730</v>
      </c>
      <c r="M3195" s="568"/>
      <c r="N3195" s="1705"/>
      <c r="T3195" s="2166"/>
    </row>
    <row r="3196" spans="1:20" ht="12.75" hidden="1" customHeight="1">
      <c r="A3196" s="2114" t="str">
        <f>A603</f>
        <v>I)</v>
      </c>
      <c r="B3196" s="3033" t="str">
        <f>B603</f>
        <v>FINS PARAPET AND HAND RAILS</v>
      </c>
      <c r="C3196" s="3033"/>
      <c r="D3196" s="568"/>
      <c r="E3196" s="2120" t="str">
        <f>G603</f>
        <v>Each Sqm</v>
      </c>
      <c r="F3196" s="2120"/>
      <c r="G3196" s="2122"/>
      <c r="H3196" s="568"/>
      <c r="I3196" s="2118"/>
      <c r="J3196" s="2123"/>
      <c r="K3196" s="2123"/>
      <c r="L3196" s="192"/>
      <c r="M3196" s="568"/>
    </row>
    <row r="3197" spans="1:20" ht="12.75" hidden="1">
      <c r="A3197" s="2114" t="str">
        <f>A604</f>
        <v>(i)</v>
      </c>
      <c r="B3197" s="192" t="str">
        <f>B604</f>
        <v>Ground Floor</v>
      </c>
      <c r="C3197" s="568"/>
      <c r="D3197" s="568"/>
      <c r="E3197" s="2120" t="str">
        <f>G605</f>
        <v>Each Sqm</v>
      </c>
      <c r="F3197" s="2120"/>
      <c r="G3197" s="2122"/>
      <c r="H3197" s="568"/>
      <c r="I3197" s="2118"/>
      <c r="J3197" s="2123"/>
      <c r="K3197" s="2123"/>
      <c r="L3197" s="192"/>
      <c r="M3197" s="568"/>
    </row>
    <row r="3198" spans="1:20" ht="12.75" hidden="1">
      <c r="A3198" s="2114" t="s">
        <v>413</v>
      </c>
      <c r="B3198" s="192" t="s">
        <v>1943</v>
      </c>
      <c r="C3198" s="568"/>
      <c r="D3198" s="568"/>
      <c r="E3198" s="2120"/>
      <c r="F3198" s="2120"/>
      <c r="G3198" s="2122"/>
      <c r="H3198" s="568"/>
      <c r="I3198" s="2118"/>
      <c r="J3198" s="2123"/>
      <c r="K3198" s="2123"/>
      <c r="L3198" s="192"/>
      <c r="M3198" s="568"/>
    </row>
    <row r="3199" spans="1:20" ht="12.75" hidden="1">
      <c r="A3199" s="2114"/>
      <c r="B3199" s="568" t="s">
        <v>892</v>
      </c>
      <c r="C3199" s="568"/>
      <c r="D3199" s="568"/>
      <c r="E3199" s="188"/>
      <c r="F3199" s="188"/>
      <c r="H3199" s="2123">
        <f>K2594</f>
        <v>8228.51</v>
      </c>
      <c r="I3199" s="2118" t="s">
        <v>901</v>
      </c>
      <c r="J3199" s="2122">
        <v>0.08</v>
      </c>
      <c r="K3199" s="2123">
        <f>H3199*J3199</f>
        <v>658.2808</v>
      </c>
      <c r="L3199" s="192"/>
      <c r="M3199" s="568"/>
    </row>
    <row r="3200" spans="1:20" ht="12.75" hidden="1">
      <c r="A3200" s="2114"/>
      <c r="B3200" s="568" t="s">
        <v>893</v>
      </c>
      <c r="C3200" s="568"/>
      <c r="D3200" s="568"/>
      <c r="E3200" s="188"/>
      <c r="F3200" s="188"/>
      <c r="G3200" s="2122">
        <v>2</v>
      </c>
      <c r="H3200" s="568" t="s">
        <v>894</v>
      </c>
      <c r="I3200" s="2118"/>
      <c r="J3200" s="2123">
        <f>K2813</f>
        <v>790.87</v>
      </c>
      <c r="K3200" s="2123">
        <f>G3200*J3200</f>
        <v>1581.74</v>
      </c>
      <c r="L3200" s="192"/>
      <c r="M3200" s="568"/>
    </row>
    <row r="3201" spans="1:20" ht="12.75" hidden="1">
      <c r="A3201" s="2114"/>
      <c r="B3201" s="568"/>
      <c r="C3201" s="568"/>
      <c r="D3201" s="568"/>
      <c r="E3201" s="188"/>
      <c r="F3201" s="188"/>
      <c r="G3201" s="2122"/>
      <c r="H3201" s="568"/>
      <c r="I3201" s="2118"/>
      <c r="J3201" s="2126" t="s">
        <v>718</v>
      </c>
      <c r="K3201" s="2124">
        <f>SUM(K3197:K3200)</f>
        <v>2240.0208000000002</v>
      </c>
      <c r="L3201" s="192" t="s">
        <v>730</v>
      </c>
      <c r="M3201" s="568"/>
    </row>
    <row r="3202" spans="1:20" ht="12.75" hidden="1">
      <c r="A3202" s="2114" t="s">
        <v>415</v>
      </c>
      <c r="B3202" s="192" t="s">
        <v>3588</v>
      </c>
      <c r="C3202" s="568"/>
      <c r="D3202" s="568"/>
      <c r="E3202" s="2120"/>
      <c r="F3202" s="2120"/>
      <c r="G3202" s="2122"/>
      <c r="H3202" s="568"/>
      <c r="I3202" s="2118"/>
      <c r="J3202" s="2123"/>
      <c r="K3202" s="2123"/>
      <c r="L3202" s="192"/>
      <c r="M3202" s="568"/>
    </row>
    <row r="3203" spans="1:20" ht="12.75" hidden="1">
      <c r="A3203" s="2114"/>
      <c r="B3203" s="568" t="s">
        <v>892</v>
      </c>
      <c r="C3203" s="568"/>
      <c r="D3203" s="568"/>
      <c r="E3203" s="188"/>
      <c r="F3203" s="188"/>
      <c r="H3203" s="2123">
        <f>H3160</f>
        <v>6436.79</v>
      </c>
      <c r="I3203" s="2118" t="s">
        <v>901</v>
      </c>
      <c r="J3203" s="2122">
        <v>0.08</v>
      </c>
      <c r="K3203" s="2123">
        <f>H3203*J3203</f>
        <v>514.94320000000005</v>
      </c>
      <c r="L3203" s="192"/>
      <c r="M3203" s="568"/>
    </row>
    <row r="3204" spans="1:20" ht="12.75" hidden="1">
      <c r="A3204" s="2114"/>
      <c r="B3204" s="568" t="s">
        <v>893</v>
      </c>
      <c r="C3204" s="568"/>
      <c r="D3204" s="568"/>
      <c r="E3204" s="188"/>
      <c r="F3204" s="188"/>
      <c r="G3204" s="2122">
        <v>2</v>
      </c>
      <c r="H3204" s="568" t="s">
        <v>894</v>
      </c>
      <c r="I3204" s="2118"/>
      <c r="J3204" s="2123">
        <f>K2813</f>
        <v>790.87</v>
      </c>
      <c r="K3204" s="2123">
        <f>G3204*J3204</f>
        <v>1581.74</v>
      </c>
      <c r="L3204" s="192"/>
      <c r="M3204" s="568"/>
    </row>
    <row r="3205" spans="1:20" ht="12.75" hidden="1">
      <c r="A3205" s="2114"/>
      <c r="B3205" s="568"/>
      <c r="C3205" s="568"/>
      <c r="D3205" s="568"/>
      <c r="E3205" s="188"/>
      <c r="F3205" s="188"/>
      <c r="G3205" s="2122"/>
      <c r="H3205" s="568"/>
      <c r="I3205" s="2118"/>
      <c r="J3205" s="2126" t="s">
        <v>718</v>
      </c>
      <c r="K3205" s="2124">
        <f>SUM(K3203:K3204)</f>
        <v>2096.6831999999999</v>
      </c>
      <c r="L3205" s="192" t="s">
        <v>730</v>
      </c>
      <c r="M3205" s="568"/>
    </row>
    <row r="3206" spans="1:20" s="2168" customFormat="1" ht="12.75" hidden="1">
      <c r="A3206" s="2114" t="str">
        <f>A3163</f>
        <v>(ii)</v>
      </c>
      <c r="B3206" s="192" t="str">
        <f>B3163</f>
        <v>First Floor</v>
      </c>
      <c r="C3206" s="568"/>
      <c r="D3206" s="568"/>
      <c r="E3206" s="2120" t="str">
        <f>E3197</f>
        <v>Each Sqm</v>
      </c>
      <c r="F3206" s="2120"/>
      <c r="G3206" s="2122"/>
      <c r="H3206" s="568"/>
      <c r="I3206" s="2118"/>
      <c r="J3206" s="2123"/>
      <c r="K3206" s="2123"/>
      <c r="L3206" s="192"/>
      <c r="M3206" s="568"/>
      <c r="N3206" s="1705"/>
      <c r="T3206" s="2166"/>
    </row>
    <row r="3207" spans="1:20" s="2168" customFormat="1" ht="12.75" hidden="1">
      <c r="A3207" s="2114"/>
      <c r="B3207" s="192" t="s">
        <v>1943</v>
      </c>
      <c r="C3207" s="568"/>
      <c r="D3207" s="568"/>
      <c r="E3207" s="2120"/>
      <c r="F3207" s="2120"/>
      <c r="G3207" s="2122"/>
      <c r="H3207" s="568"/>
      <c r="I3207" s="2118"/>
      <c r="J3207" s="2123"/>
      <c r="K3207" s="2123"/>
      <c r="L3207" s="192"/>
      <c r="M3207" s="568"/>
      <c r="N3207" s="1705"/>
      <c r="O3207" s="2167">
        <f>K2602</f>
        <v>8556.5399999999991</v>
      </c>
      <c r="T3207" s="2166"/>
    </row>
    <row r="3208" spans="1:20" s="2168" customFormat="1" ht="12.75" hidden="1">
      <c r="A3208" s="2114"/>
      <c r="B3208" s="568" t="s">
        <v>896</v>
      </c>
      <c r="C3208" s="568"/>
      <c r="D3208" s="568"/>
      <c r="E3208" s="188"/>
      <c r="F3208" s="188"/>
      <c r="G3208" s="2122"/>
      <c r="H3208" s="568"/>
      <c r="I3208" s="2118"/>
      <c r="J3208" s="2123"/>
      <c r="K3208" s="2123">
        <f>K3201</f>
        <v>2240.0208000000002</v>
      </c>
      <c r="L3208" s="192"/>
      <c r="M3208" s="568"/>
      <c r="N3208" s="1705"/>
      <c r="O3208" s="2168">
        <f>O3207*J3203</f>
        <v>684.52319999999997</v>
      </c>
      <c r="T3208" s="2166"/>
    </row>
    <row r="3209" spans="1:20" s="2168" customFormat="1" ht="12.75" hidden="1">
      <c r="A3209" s="2114"/>
      <c r="B3209" s="568" t="s">
        <v>897</v>
      </c>
      <c r="C3209" s="568"/>
      <c r="D3209" s="568"/>
      <c r="E3209" s="188"/>
      <c r="F3209" s="188"/>
      <c r="G3209" s="2122"/>
      <c r="H3209" s="568"/>
      <c r="I3209" s="2118"/>
      <c r="J3209" s="2123"/>
      <c r="K3209" s="2123">
        <f>ROUND(K3200*20%,2)</f>
        <v>316.35000000000002</v>
      </c>
      <c r="L3209" s="192"/>
      <c r="M3209" s="568"/>
      <c r="N3209" s="1705"/>
      <c r="O3209" s="2168">
        <f>G3204*J3204</f>
        <v>1581.74</v>
      </c>
      <c r="T3209" s="2166"/>
    </row>
    <row r="3210" spans="1:20" s="2168" customFormat="1" ht="12.75" hidden="1">
      <c r="A3210" s="2114"/>
      <c r="B3210" s="568" t="s">
        <v>899</v>
      </c>
      <c r="C3210" s="568"/>
      <c r="D3210" s="568"/>
      <c r="E3210" s="188"/>
      <c r="F3210" s="188"/>
      <c r="G3210" s="2122"/>
      <c r="H3210" s="568"/>
      <c r="I3210" s="2118"/>
      <c r="J3210" s="2123"/>
      <c r="K3210" s="2123">
        <f>ROUND(K3081*0.08,2)</f>
        <v>22.59</v>
      </c>
      <c r="L3210" s="192"/>
      <c r="M3210" s="568"/>
      <c r="N3210" s="1705"/>
      <c r="O3210" s="2168">
        <f>O3209*20%</f>
        <v>316.34800000000001</v>
      </c>
      <c r="T3210" s="2166"/>
    </row>
    <row r="3211" spans="1:20" s="2168" customFormat="1" ht="12.75" hidden="1">
      <c r="A3211" s="2114"/>
      <c r="B3211" s="568"/>
      <c r="C3211" s="568"/>
      <c r="D3211" s="568"/>
      <c r="E3211" s="188"/>
      <c r="F3211" s="188"/>
      <c r="G3211" s="2122"/>
      <c r="H3211" s="568"/>
      <c r="I3211" s="2118"/>
      <c r="J3211" s="2126" t="s">
        <v>718</v>
      </c>
      <c r="K3211" s="2124">
        <f>SUM(K3208:K3210)</f>
        <v>2578.9608000000003</v>
      </c>
      <c r="L3211" s="192" t="s">
        <v>730</v>
      </c>
      <c r="M3211" s="568"/>
      <c r="N3211" s="1705"/>
      <c r="O3211" s="2167">
        <f>SUM(O3208:O3210)</f>
        <v>2582.6111999999998</v>
      </c>
      <c r="T3211" s="2166"/>
    </row>
    <row r="3212" spans="1:20" s="2168" customFormat="1" ht="12.75" hidden="1">
      <c r="A3212" s="2114"/>
      <c r="B3212" s="192" t="s">
        <v>3588</v>
      </c>
      <c r="C3212" s="568"/>
      <c r="D3212" s="568"/>
      <c r="E3212" s="2120"/>
      <c r="F3212" s="2120"/>
      <c r="G3212" s="2122"/>
      <c r="H3212" s="568"/>
      <c r="I3212" s="2118"/>
      <c r="J3212" s="2123"/>
      <c r="K3212" s="2123"/>
      <c r="L3212" s="192"/>
      <c r="M3212" s="568"/>
      <c r="N3212" s="1705"/>
      <c r="T3212" s="2166"/>
    </row>
    <row r="3213" spans="1:20" s="2168" customFormat="1" ht="12.75" hidden="1">
      <c r="A3213" s="2114"/>
      <c r="B3213" s="568" t="s">
        <v>896</v>
      </c>
      <c r="C3213" s="568"/>
      <c r="D3213" s="568"/>
      <c r="E3213" s="188"/>
      <c r="F3213" s="188"/>
      <c r="G3213" s="2122"/>
      <c r="H3213" s="568"/>
      <c r="I3213" s="2118"/>
      <c r="J3213" s="2123"/>
      <c r="K3213" s="2123">
        <f>K3205</f>
        <v>2096.6831999999999</v>
      </c>
      <c r="L3213" s="192"/>
      <c r="M3213" s="568"/>
      <c r="N3213" s="1705"/>
      <c r="T3213" s="2166"/>
    </row>
    <row r="3214" spans="1:20" s="2168" customFormat="1" ht="12.75" hidden="1">
      <c r="A3214" s="2114"/>
      <c r="B3214" s="568" t="s">
        <v>897</v>
      </c>
      <c r="C3214" s="568"/>
      <c r="D3214" s="568"/>
      <c r="E3214" s="188"/>
      <c r="F3214" s="188"/>
      <c r="G3214" s="2122"/>
      <c r="H3214" s="568"/>
      <c r="I3214" s="2118"/>
      <c r="J3214" s="2123"/>
      <c r="K3214" s="2123">
        <f>ROUND(K3204*20%,2)</f>
        <v>316.35000000000002</v>
      </c>
      <c r="L3214" s="192"/>
      <c r="M3214" s="568"/>
      <c r="N3214" s="1705"/>
      <c r="T3214" s="2166"/>
    </row>
    <row r="3215" spans="1:20" s="2168" customFormat="1" ht="12.75" hidden="1">
      <c r="A3215" s="2114"/>
      <c r="B3215" s="568" t="s">
        <v>899</v>
      </c>
      <c r="C3215" s="568"/>
      <c r="D3215" s="568"/>
      <c r="E3215" s="188"/>
      <c r="F3215" s="188"/>
      <c r="G3215" s="2122"/>
      <c r="H3215" s="568"/>
      <c r="I3215" s="2118"/>
      <c r="J3215" s="2123"/>
      <c r="K3215" s="2123">
        <f>ROUND(K3086*0.08,2)</f>
        <v>6.31</v>
      </c>
      <c r="L3215" s="192"/>
      <c r="M3215" s="568"/>
      <c r="N3215" s="1705"/>
      <c r="T3215" s="2166"/>
    </row>
    <row r="3216" spans="1:20" s="2168" customFormat="1" ht="12.75" hidden="1">
      <c r="A3216" s="2114"/>
      <c r="B3216" s="568"/>
      <c r="C3216" s="568"/>
      <c r="D3216" s="568"/>
      <c r="E3216" s="188"/>
      <c r="F3216" s="188"/>
      <c r="G3216" s="2122"/>
      <c r="H3216" s="568"/>
      <c r="I3216" s="2118"/>
      <c r="J3216" s="2126" t="s">
        <v>718</v>
      </c>
      <c r="K3216" s="2124">
        <f>SUM(K3213:K3215)</f>
        <v>2419.3431999999998</v>
      </c>
      <c r="L3216" s="192" t="s">
        <v>730</v>
      </c>
      <c r="M3216" s="568"/>
      <c r="N3216" s="1705"/>
      <c r="T3216" s="2166"/>
    </row>
    <row r="3217" spans="1:20" s="2168" customFormat="1" ht="12.75" hidden="1">
      <c r="A3217" s="2114" t="str">
        <f>A796</f>
        <v>(iii)</v>
      </c>
      <c r="B3217" s="192" t="str">
        <f>B796</f>
        <v>2nd Floor</v>
      </c>
      <c r="C3217" s="568"/>
      <c r="D3217" s="568"/>
      <c r="E3217" s="2120" t="str">
        <f>E3206</f>
        <v>Each Sqm</v>
      </c>
      <c r="F3217" s="2120"/>
      <c r="G3217" s="2122"/>
      <c r="H3217" s="568"/>
      <c r="I3217" s="2118"/>
      <c r="J3217" s="2123"/>
      <c r="K3217" s="2123"/>
      <c r="L3217" s="192"/>
      <c r="M3217" s="568"/>
      <c r="N3217" s="1705"/>
      <c r="T3217" s="2166"/>
    </row>
    <row r="3218" spans="1:20" s="2168" customFormat="1" ht="12.75" hidden="1">
      <c r="A3218" s="2114"/>
      <c r="B3218" s="192" t="s">
        <v>1943</v>
      </c>
      <c r="C3218" s="568"/>
      <c r="D3218" s="568"/>
      <c r="E3218" s="2120"/>
      <c r="F3218" s="2120"/>
      <c r="G3218" s="2122"/>
      <c r="H3218" s="568"/>
      <c r="I3218" s="2118"/>
      <c r="J3218" s="2123"/>
      <c r="K3218" s="2123"/>
      <c r="L3218" s="192"/>
      <c r="M3218" s="568"/>
      <c r="N3218" s="1705"/>
      <c r="T3218" s="2166"/>
    </row>
    <row r="3219" spans="1:20" s="2168" customFormat="1" ht="12.75" hidden="1">
      <c r="A3219" s="2114"/>
      <c r="B3219" s="568" t="s">
        <v>896</v>
      </c>
      <c r="C3219" s="568"/>
      <c r="D3219" s="568"/>
      <c r="E3219" s="188"/>
      <c r="F3219" s="188"/>
      <c r="G3219" s="2122"/>
      <c r="H3219" s="568"/>
      <c r="I3219" s="2118"/>
      <c r="J3219" s="2123"/>
      <c r="K3219" s="2123">
        <f>K3211</f>
        <v>2578.9608000000003</v>
      </c>
      <c r="L3219" s="192"/>
      <c r="M3219" s="568"/>
      <c r="N3219" s="1705"/>
      <c r="T3219" s="2166"/>
    </row>
    <row r="3220" spans="1:20" s="2168" customFormat="1" ht="12.75" hidden="1">
      <c r="A3220" s="2114"/>
      <c r="B3220" s="568" t="s">
        <v>897</v>
      </c>
      <c r="C3220" s="568"/>
      <c r="D3220" s="568"/>
      <c r="E3220" s="188"/>
      <c r="F3220" s="188"/>
      <c r="G3220" s="2122"/>
      <c r="H3220" s="568"/>
      <c r="I3220" s="2118"/>
      <c r="J3220" s="2123"/>
      <c r="K3220" s="2123">
        <f>K3209+ROUND(K3209*20%,2)</f>
        <v>379.62</v>
      </c>
      <c r="L3220" s="192"/>
      <c r="M3220" s="568"/>
      <c r="N3220" s="1705"/>
      <c r="T3220" s="2166"/>
    </row>
    <row r="3221" spans="1:20" s="2168" customFormat="1" ht="12.75" hidden="1">
      <c r="A3221" s="2114"/>
      <c r="B3221" s="568" t="s">
        <v>899</v>
      </c>
      <c r="C3221" s="568"/>
      <c r="D3221" s="568"/>
      <c r="E3221" s="188"/>
      <c r="F3221" s="188"/>
      <c r="G3221" s="2122"/>
      <c r="H3221" s="568"/>
      <c r="I3221" s="2118"/>
      <c r="J3221" s="2123"/>
      <c r="K3221" s="2123">
        <f>K3210+ROUND(K3210*15%,2)</f>
        <v>25.98</v>
      </c>
      <c r="L3221" s="192"/>
      <c r="M3221" s="568"/>
      <c r="N3221" s="1705"/>
      <c r="T3221" s="2166"/>
    </row>
    <row r="3222" spans="1:20" s="2168" customFormat="1" ht="12.75" hidden="1">
      <c r="A3222" s="2114"/>
      <c r="B3222" s="568"/>
      <c r="C3222" s="568"/>
      <c r="D3222" s="568"/>
      <c r="E3222" s="188"/>
      <c r="F3222" s="188"/>
      <c r="G3222" s="2122"/>
      <c r="H3222" s="568"/>
      <c r="I3222" s="2118"/>
      <c r="J3222" s="2126" t="s">
        <v>718</v>
      </c>
      <c r="K3222" s="2124">
        <f>SUM(K3219:K3221)</f>
        <v>2984.5608000000002</v>
      </c>
      <c r="L3222" s="192" t="s">
        <v>730</v>
      </c>
      <c r="M3222" s="568"/>
      <c r="N3222" s="1705"/>
      <c r="T3222" s="2166"/>
    </row>
    <row r="3223" spans="1:20" s="2168" customFormat="1" ht="12.75" hidden="1">
      <c r="A3223" s="2114"/>
      <c r="B3223" s="192" t="s">
        <v>3588</v>
      </c>
      <c r="C3223" s="568"/>
      <c r="D3223" s="568"/>
      <c r="E3223" s="2120"/>
      <c r="F3223" s="2120"/>
      <c r="G3223" s="2122"/>
      <c r="H3223" s="568"/>
      <c r="I3223" s="2118"/>
      <c r="J3223" s="2123"/>
      <c r="K3223" s="2123"/>
      <c r="L3223" s="192"/>
      <c r="M3223" s="568"/>
      <c r="N3223" s="1705"/>
      <c r="T3223" s="2166"/>
    </row>
    <row r="3224" spans="1:20" s="2168" customFormat="1" ht="12.75" hidden="1">
      <c r="A3224" s="2114"/>
      <c r="B3224" s="568" t="s">
        <v>896</v>
      </c>
      <c r="C3224" s="568"/>
      <c r="D3224" s="568"/>
      <c r="E3224" s="188"/>
      <c r="F3224" s="188"/>
      <c r="G3224" s="2122"/>
      <c r="H3224" s="568"/>
      <c r="I3224" s="2118"/>
      <c r="J3224" s="2123"/>
      <c r="K3224" s="2123">
        <f>K3216</f>
        <v>2419.3431999999998</v>
      </c>
      <c r="L3224" s="192"/>
      <c r="M3224" s="568"/>
      <c r="N3224" s="1705"/>
      <c r="T3224" s="2166"/>
    </row>
    <row r="3225" spans="1:20" s="2168" customFormat="1" ht="12.75" hidden="1">
      <c r="A3225" s="2114"/>
      <c r="B3225" s="568" t="s">
        <v>897</v>
      </c>
      <c r="C3225" s="568"/>
      <c r="D3225" s="568"/>
      <c r="E3225" s="188"/>
      <c r="F3225" s="188"/>
      <c r="G3225" s="2122"/>
      <c r="H3225" s="568"/>
      <c r="I3225" s="2118"/>
      <c r="J3225" s="2123"/>
      <c r="K3225" s="2123">
        <f>K3214+ROUND(K3214*20%,2)</f>
        <v>379.62</v>
      </c>
      <c r="L3225" s="192"/>
      <c r="M3225" s="568"/>
      <c r="N3225" s="1705"/>
      <c r="T3225" s="2166"/>
    </row>
    <row r="3226" spans="1:20" s="2168" customFormat="1" ht="12.75" hidden="1">
      <c r="A3226" s="2114"/>
      <c r="B3226" s="568" t="s">
        <v>899</v>
      </c>
      <c r="C3226" s="568"/>
      <c r="D3226" s="568"/>
      <c r="E3226" s="188"/>
      <c r="F3226" s="188"/>
      <c r="G3226" s="2122"/>
      <c r="H3226" s="568"/>
      <c r="I3226" s="2118"/>
      <c r="J3226" s="2123"/>
      <c r="K3226" s="2123">
        <f>K3215+ROUND(K3215*15%,2)</f>
        <v>7.26</v>
      </c>
      <c r="L3226" s="192"/>
      <c r="M3226" s="568"/>
      <c r="N3226" s="1705"/>
      <c r="T3226" s="2166"/>
    </row>
    <row r="3227" spans="1:20" s="2168" customFormat="1" ht="12.75" hidden="1">
      <c r="A3227" s="2114"/>
      <c r="B3227" s="568"/>
      <c r="C3227" s="568"/>
      <c r="D3227" s="568"/>
      <c r="E3227" s="188"/>
      <c r="F3227" s="188"/>
      <c r="G3227" s="2122"/>
      <c r="H3227" s="568"/>
      <c r="I3227" s="2118"/>
      <c r="J3227" s="2126" t="s">
        <v>718</v>
      </c>
      <c r="K3227" s="2124">
        <f>SUM(K3224:K3226)</f>
        <v>2806.2231999999999</v>
      </c>
      <c r="L3227" s="192" t="s">
        <v>730</v>
      </c>
      <c r="M3227" s="568"/>
      <c r="N3227" s="1705"/>
      <c r="T3227" s="2166"/>
    </row>
    <row r="3228" spans="1:20" s="2168" customFormat="1" ht="12.75" hidden="1">
      <c r="A3228" s="2114" t="str">
        <f>A807</f>
        <v>(iv)</v>
      </c>
      <c r="B3228" s="192" t="str">
        <f>B807</f>
        <v>3rd Floor</v>
      </c>
      <c r="C3228" s="568"/>
      <c r="D3228" s="568"/>
      <c r="E3228" s="2120" t="str">
        <f>E3217</f>
        <v>Each Sqm</v>
      </c>
      <c r="F3228" s="2120"/>
      <c r="G3228" s="2122"/>
      <c r="H3228" s="568"/>
      <c r="I3228" s="2118"/>
      <c r="J3228" s="2123"/>
      <c r="K3228" s="2123"/>
      <c r="L3228" s="192"/>
      <c r="M3228" s="568"/>
      <c r="N3228" s="1705"/>
      <c r="T3228" s="2166"/>
    </row>
    <row r="3229" spans="1:20" s="2168" customFormat="1" ht="12.75" hidden="1">
      <c r="A3229" s="2114"/>
      <c r="B3229" s="192" t="s">
        <v>1943</v>
      </c>
      <c r="C3229" s="568"/>
      <c r="D3229" s="568"/>
      <c r="E3229" s="2120"/>
      <c r="F3229" s="2120"/>
      <c r="G3229" s="2122"/>
      <c r="H3229" s="568"/>
      <c r="I3229" s="2118"/>
      <c r="J3229" s="2123"/>
      <c r="K3229" s="2123"/>
      <c r="L3229" s="192"/>
      <c r="M3229" s="568"/>
      <c r="N3229" s="1705"/>
      <c r="T3229" s="2166"/>
    </row>
    <row r="3230" spans="1:20" s="2168" customFormat="1" ht="12.75" hidden="1">
      <c r="A3230" s="2114"/>
      <c r="B3230" s="568" t="s">
        <v>896</v>
      </c>
      <c r="C3230" s="568"/>
      <c r="D3230" s="568"/>
      <c r="E3230" s="188"/>
      <c r="F3230" s="188"/>
      <c r="G3230" s="2122"/>
      <c r="H3230" s="568"/>
      <c r="I3230" s="2118"/>
      <c r="J3230" s="2123"/>
      <c r="K3230" s="2123">
        <f>K3222</f>
        <v>2984.5608000000002</v>
      </c>
      <c r="L3230" s="192"/>
      <c r="M3230" s="568"/>
      <c r="N3230" s="1705"/>
      <c r="T3230" s="2166"/>
    </row>
    <row r="3231" spans="1:20" s="2168" customFormat="1" ht="12.75" hidden="1">
      <c r="A3231" s="2114"/>
      <c r="B3231" s="568" t="s">
        <v>897</v>
      </c>
      <c r="C3231" s="568"/>
      <c r="D3231" s="568"/>
      <c r="E3231" s="188"/>
      <c r="F3231" s="188"/>
      <c r="G3231" s="2122"/>
      <c r="H3231" s="568"/>
      <c r="I3231" s="2118"/>
      <c r="J3231" s="2123"/>
      <c r="K3231" s="2123">
        <f>K3220+ROUND(K3220*20%,2)</f>
        <v>455.54</v>
      </c>
      <c r="L3231" s="192"/>
      <c r="M3231" s="568"/>
      <c r="N3231" s="1705"/>
      <c r="T3231" s="2166"/>
    </row>
    <row r="3232" spans="1:20" s="2168" customFormat="1" ht="12.75" hidden="1">
      <c r="A3232" s="2114"/>
      <c r="B3232" s="568" t="s">
        <v>899</v>
      </c>
      <c r="C3232" s="568"/>
      <c r="D3232" s="568"/>
      <c r="E3232" s="188"/>
      <c r="F3232" s="188"/>
      <c r="G3232" s="2122"/>
      <c r="H3232" s="568"/>
      <c r="I3232" s="2118"/>
      <c r="J3232" s="2123"/>
      <c r="K3232" s="2123">
        <f>K3221+ROUND(K3221*15%,2)</f>
        <v>29.88</v>
      </c>
      <c r="L3232" s="192"/>
      <c r="M3232" s="568"/>
      <c r="N3232" s="1705"/>
      <c r="T3232" s="2166"/>
    </row>
    <row r="3233" spans="1:20" s="2168" customFormat="1" ht="12.75" hidden="1">
      <c r="A3233" s="2114"/>
      <c r="B3233" s="568"/>
      <c r="C3233" s="568"/>
      <c r="D3233" s="568"/>
      <c r="E3233" s="188"/>
      <c r="F3233" s="188"/>
      <c r="G3233" s="2122"/>
      <c r="H3233" s="568"/>
      <c r="I3233" s="2118"/>
      <c r="J3233" s="2126" t="s">
        <v>718</v>
      </c>
      <c r="K3233" s="2124">
        <f>SUM(K3230:K3232)</f>
        <v>3469.9808000000003</v>
      </c>
      <c r="L3233" s="192" t="s">
        <v>730</v>
      </c>
      <c r="M3233" s="568"/>
      <c r="N3233" s="1705"/>
      <c r="T3233" s="2166"/>
    </row>
    <row r="3234" spans="1:20" s="2168" customFormat="1" ht="12.75" hidden="1">
      <c r="A3234" s="2114"/>
      <c r="B3234" s="192" t="s">
        <v>3588</v>
      </c>
      <c r="C3234" s="568"/>
      <c r="D3234" s="568"/>
      <c r="E3234" s="2120"/>
      <c r="F3234" s="2120"/>
      <c r="G3234" s="2122"/>
      <c r="H3234" s="568"/>
      <c r="I3234" s="2118"/>
      <c r="J3234" s="2123"/>
      <c r="K3234" s="2123"/>
      <c r="L3234" s="192"/>
      <c r="M3234" s="568"/>
      <c r="N3234" s="1705"/>
      <c r="T3234" s="2166"/>
    </row>
    <row r="3235" spans="1:20" s="2168" customFormat="1" ht="12.75" hidden="1">
      <c r="A3235" s="2114"/>
      <c r="B3235" s="568" t="s">
        <v>896</v>
      </c>
      <c r="C3235" s="568"/>
      <c r="D3235" s="568"/>
      <c r="E3235" s="188"/>
      <c r="F3235" s="188"/>
      <c r="G3235" s="2122"/>
      <c r="H3235" s="568"/>
      <c r="I3235" s="2118"/>
      <c r="J3235" s="2123"/>
      <c r="K3235" s="2123">
        <f>K3227</f>
        <v>2806.2231999999999</v>
      </c>
      <c r="L3235" s="192"/>
      <c r="M3235" s="568"/>
      <c r="N3235" s="1705"/>
      <c r="T3235" s="2166"/>
    </row>
    <row r="3236" spans="1:20" s="2168" customFormat="1" ht="12.75" hidden="1">
      <c r="A3236" s="2114"/>
      <c r="B3236" s="568" t="s">
        <v>897</v>
      </c>
      <c r="C3236" s="568"/>
      <c r="D3236" s="568"/>
      <c r="E3236" s="188"/>
      <c r="F3236" s="188"/>
      <c r="G3236" s="2122"/>
      <c r="H3236" s="568"/>
      <c r="I3236" s="2118"/>
      <c r="J3236" s="2123"/>
      <c r="K3236" s="2123">
        <f>K3225+ROUND(K3225*20%,2)</f>
        <v>455.54</v>
      </c>
      <c r="L3236" s="192"/>
      <c r="M3236" s="568"/>
      <c r="N3236" s="1705"/>
      <c r="T3236" s="2166"/>
    </row>
    <row r="3237" spans="1:20" s="2168" customFormat="1" ht="12.75" hidden="1">
      <c r="A3237" s="2114"/>
      <c r="B3237" s="568" t="s">
        <v>899</v>
      </c>
      <c r="C3237" s="568"/>
      <c r="D3237" s="568"/>
      <c r="E3237" s="188"/>
      <c r="F3237" s="188"/>
      <c r="G3237" s="2122"/>
      <c r="H3237" s="568"/>
      <c r="I3237" s="2118"/>
      <c r="J3237" s="2123"/>
      <c r="K3237" s="2123">
        <f>K3226+ROUND(K3226*15%,2)</f>
        <v>8.35</v>
      </c>
      <c r="L3237" s="192"/>
      <c r="M3237" s="568"/>
      <c r="N3237" s="1705"/>
      <c r="T3237" s="2166"/>
    </row>
    <row r="3238" spans="1:20" s="2168" customFormat="1" ht="12.75" hidden="1">
      <c r="A3238" s="2114"/>
      <c r="B3238" s="568"/>
      <c r="C3238" s="568"/>
      <c r="D3238" s="568"/>
      <c r="E3238" s="188"/>
      <c r="F3238" s="188"/>
      <c r="G3238" s="2122"/>
      <c r="H3238" s="568"/>
      <c r="I3238" s="2118"/>
      <c r="J3238" s="2126" t="s">
        <v>718</v>
      </c>
      <c r="K3238" s="2124">
        <f>SUM(K3235:K3237)</f>
        <v>3270.1131999999998</v>
      </c>
      <c r="L3238" s="192" t="s">
        <v>730</v>
      </c>
      <c r="M3238" s="568"/>
      <c r="N3238" s="1705"/>
      <c r="T3238" s="2166"/>
    </row>
    <row r="3239" spans="1:20" ht="40.35" customHeight="1">
      <c r="A3239" s="2114">
        <f>A616</f>
        <v>53</v>
      </c>
      <c r="B3239" s="3025" t="str">
        <f>B616</f>
        <v>Straightening cutting, bending bent up or coiled rods, including cranking, hooking, welding or jointing the M.S. rodsetc. complete as directed by the Engineer- in-Charge.</v>
      </c>
      <c r="C3239" s="3025"/>
      <c r="D3239" s="3025"/>
      <c r="E3239" s="3025"/>
      <c r="F3239" s="3025"/>
      <c r="G3239" s="3025"/>
      <c r="H3239" s="3025"/>
      <c r="I3239" s="2118"/>
      <c r="J3239" s="2124"/>
      <c r="K3239" s="2124"/>
      <c r="L3239" s="192"/>
      <c r="M3239" s="568"/>
    </row>
    <row r="3240" spans="1:20" ht="12.75">
      <c r="A3240" s="2114"/>
      <c r="B3240" s="568" t="s">
        <v>902</v>
      </c>
      <c r="C3240" s="568"/>
      <c r="D3240" s="568"/>
      <c r="E3240" s="188"/>
      <c r="F3240" s="188"/>
      <c r="G3240" s="568"/>
      <c r="H3240" s="568"/>
      <c r="I3240" s="2118"/>
      <c r="J3240" s="568"/>
      <c r="K3240" s="568"/>
      <c r="L3240" s="192"/>
      <c r="M3240" s="568"/>
    </row>
    <row r="3241" spans="1:20" ht="12.75">
      <c r="A3241" s="2114" t="str">
        <f>A617</f>
        <v>(i)</v>
      </c>
      <c r="B3241" s="192" t="str">
        <f>B617</f>
        <v>Ground Floor</v>
      </c>
      <c r="C3241" s="192"/>
      <c r="D3241" s="192"/>
      <c r="E3241" s="2120" t="str">
        <f>G617</f>
        <v>Each Qtl</v>
      </c>
      <c r="F3241" s="2120"/>
      <c r="G3241" s="2141"/>
      <c r="H3241" s="192"/>
      <c r="I3241" s="2114"/>
      <c r="J3241" s="2124"/>
      <c r="K3241" s="2124"/>
      <c r="L3241" s="192"/>
      <c r="M3241" s="568"/>
    </row>
    <row r="3242" spans="1:20" ht="12.75">
      <c r="A3242" s="2114"/>
      <c r="B3242" s="192" t="s">
        <v>822</v>
      </c>
      <c r="C3242" s="568"/>
      <c r="D3242" s="568"/>
      <c r="E3242" s="188"/>
      <c r="F3242" s="188"/>
      <c r="G3242" s="2122"/>
      <c r="H3242" s="568"/>
      <c r="I3242" s="2118"/>
      <c r="J3242" s="2123"/>
      <c r="K3242" s="2123"/>
      <c r="L3242" s="192"/>
      <c r="M3242" s="568"/>
    </row>
    <row r="3243" spans="1:20" ht="12.75">
      <c r="A3243" s="2114"/>
      <c r="B3243" s="568" t="s">
        <v>903</v>
      </c>
      <c r="C3243" s="568"/>
      <c r="D3243" s="568"/>
      <c r="E3243" s="188"/>
      <c r="F3243" s="188"/>
      <c r="G3243" s="2122">
        <v>1.05</v>
      </c>
      <c r="H3243" s="568" t="s">
        <v>91</v>
      </c>
      <c r="I3243" s="2118" t="s">
        <v>91</v>
      </c>
      <c r="J3243" s="2123">
        <f>G51</f>
        <v>65168.049999999996</v>
      </c>
      <c r="K3243" s="2123">
        <f>ROUND(G3243*J3243,2)</f>
        <v>68426.45</v>
      </c>
      <c r="L3243" s="192"/>
      <c r="M3243" s="568"/>
    </row>
    <row r="3244" spans="1:20" ht="12.75">
      <c r="A3244" s="2114"/>
      <c r="B3244" s="568" t="s">
        <v>206</v>
      </c>
      <c r="C3244" s="568"/>
      <c r="D3244" s="568"/>
      <c r="E3244" s="188"/>
      <c r="F3244" s="188"/>
      <c r="G3244" s="2122">
        <v>8</v>
      </c>
      <c r="H3244" s="568" t="s">
        <v>95</v>
      </c>
      <c r="I3244" s="2118" t="s">
        <v>95</v>
      </c>
      <c r="J3244" s="2123">
        <f>G72</f>
        <v>90.1</v>
      </c>
      <c r="K3244" s="2123">
        <f>ROUND(G3244*J3244,2)</f>
        <v>720.8</v>
      </c>
      <c r="L3244" s="192"/>
      <c r="M3244" s="568"/>
    </row>
    <row r="3245" spans="1:20" ht="12.75">
      <c r="A3245" s="2114"/>
      <c r="B3245" s="568"/>
      <c r="C3245" s="568"/>
      <c r="D3245" s="568"/>
      <c r="E3245" s="188"/>
      <c r="F3245" s="188"/>
      <c r="G3245" s="2122"/>
      <c r="H3245" s="568"/>
      <c r="I3245" s="2118"/>
      <c r="J3245" s="2134" t="s">
        <v>718</v>
      </c>
      <c r="K3245" s="2124">
        <f>SUM(K3243:K3244)</f>
        <v>69147.25</v>
      </c>
      <c r="L3245" s="192"/>
      <c r="M3245" s="568"/>
    </row>
    <row r="3246" spans="1:20" ht="12.75">
      <c r="A3246" s="2114"/>
      <c r="B3246" s="192" t="s">
        <v>904</v>
      </c>
      <c r="C3246" s="568"/>
      <c r="D3246" s="568"/>
      <c r="E3246" s="188"/>
      <c r="F3246" s="188"/>
      <c r="G3246" s="2122"/>
      <c r="H3246" s="568"/>
      <c r="I3246" s="2118"/>
      <c r="J3246" s="2123"/>
      <c r="K3246" s="2123"/>
      <c r="L3246" s="192"/>
      <c r="M3246" s="568"/>
    </row>
    <row r="3247" spans="1:20" ht="12.75">
      <c r="A3247" s="2114"/>
      <c r="B3247" s="568" t="s">
        <v>744</v>
      </c>
      <c r="C3247" s="568"/>
      <c r="D3247" s="568"/>
      <c r="E3247" s="188"/>
      <c r="F3247" s="188"/>
      <c r="G3247" s="2122">
        <v>0.44</v>
      </c>
      <c r="H3247" s="568" t="s">
        <v>315</v>
      </c>
      <c r="I3247" s="2118" t="s">
        <v>315</v>
      </c>
      <c r="J3247" s="2123">
        <f>L135</f>
        <v>385</v>
      </c>
      <c r="K3247" s="2123">
        <f>ROUND(G3247*J3247,2)</f>
        <v>169.4</v>
      </c>
      <c r="L3247" s="192"/>
      <c r="M3247" s="568"/>
    </row>
    <row r="3248" spans="1:20" ht="12.75">
      <c r="A3248" s="2114"/>
      <c r="B3248" s="568" t="s">
        <v>905</v>
      </c>
      <c r="C3248" s="568"/>
      <c r="D3248" s="568"/>
      <c r="E3248" s="188"/>
      <c r="F3248" s="188"/>
      <c r="G3248" s="2122">
        <v>3</v>
      </c>
      <c r="H3248" s="568" t="s">
        <v>315</v>
      </c>
      <c r="I3248" s="2118" t="s">
        <v>315</v>
      </c>
      <c r="J3248" s="2123">
        <f>L137</f>
        <v>495</v>
      </c>
      <c r="K3248" s="2123">
        <f>ROUND(G3248*J3248,2)</f>
        <v>1485</v>
      </c>
      <c r="L3248" s="192"/>
      <c r="M3248" s="568"/>
    </row>
    <row r="3249" spans="1:16" ht="12.75">
      <c r="A3249" s="2114"/>
      <c r="B3249" s="568" t="s">
        <v>906</v>
      </c>
      <c r="C3249" s="568"/>
      <c r="D3249" s="568"/>
      <c r="E3249" s="188"/>
      <c r="F3249" s="188"/>
      <c r="G3249" s="2122">
        <v>8</v>
      </c>
      <c r="H3249" s="568" t="s">
        <v>315</v>
      </c>
      <c r="I3249" s="2118" t="s">
        <v>315</v>
      </c>
      <c r="J3249" s="2123">
        <f>L134</f>
        <v>345</v>
      </c>
      <c r="K3249" s="2123">
        <f>ROUND(G3249*J3249,2)</f>
        <v>2760</v>
      </c>
      <c r="L3249" s="192"/>
      <c r="M3249" s="568"/>
    </row>
    <row r="3250" spans="1:16" ht="12.75">
      <c r="A3250" s="2114"/>
      <c r="B3250" s="568"/>
      <c r="C3250" s="568"/>
      <c r="D3250" s="568"/>
      <c r="E3250" s="188"/>
      <c r="F3250" s="188"/>
      <c r="G3250" s="2122"/>
      <c r="H3250" s="568"/>
      <c r="I3250" s="2118"/>
      <c r="J3250" s="2134" t="s">
        <v>718</v>
      </c>
      <c r="K3250" s="2124">
        <f>SUM(K3247:K3249)</f>
        <v>4414.3999999999996</v>
      </c>
      <c r="L3250" s="192"/>
      <c r="M3250" s="568"/>
    </row>
    <row r="3251" spans="1:16" ht="12.75">
      <c r="A3251" s="2114"/>
      <c r="B3251" s="192" t="s">
        <v>907</v>
      </c>
      <c r="C3251" s="568"/>
      <c r="D3251" s="568"/>
      <c r="E3251" s="188"/>
      <c r="F3251" s="188"/>
      <c r="G3251" s="2122"/>
      <c r="H3251" s="568"/>
      <c r="I3251" s="2118"/>
      <c r="J3251" s="2123"/>
      <c r="K3251" s="2124">
        <f>K3245+K3250</f>
        <v>73561.649999999994</v>
      </c>
      <c r="L3251" s="192"/>
      <c r="M3251" s="568"/>
    </row>
    <row r="3252" spans="1:16" ht="12.75">
      <c r="A3252" s="2114"/>
      <c r="B3252" s="192" t="s">
        <v>3662</v>
      </c>
      <c r="C3252" s="568"/>
      <c r="D3252" s="568"/>
      <c r="E3252" s="188"/>
      <c r="F3252" s="188"/>
      <c r="G3252" s="2122"/>
      <c r="H3252" s="2135">
        <f>H2877</f>
        <v>7.4999999999999997E-2</v>
      </c>
      <c r="I3252" s="2134">
        <f>K3251</f>
        <v>73561.649999999994</v>
      </c>
      <c r="J3252" s="2134"/>
      <c r="K3252" s="2123">
        <f>ROUND(I3252*H3252,2)</f>
        <v>5517.12</v>
      </c>
      <c r="L3252" s="192"/>
      <c r="M3252" s="568"/>
    </row>
    <row r="3253" spans="1:16" ht="12.75">
      <c r="A3253" s="2114"/>
      <c r="B3253" s="192" t="s">
        <v>3661</v>
      </c>
      <c r="C3253" s="568"/>
      <c r="D3253" s="568"/>
      <c r="E3253" s="188"/>
      <c r="F3253" s="188"/>
      <c r="G3253" s="2122"/>
      <c r="H3253" s="2135">
        <f>H3252</f>
        <v>7.4999999999999997E-2</v>
      </c>
      <c r="I3253" s="2134">
        <f>I3252</f>
        <v>73561.649999999994</v>
      </c>
      <c r="J3253" s="2134"/>
      <c r="K3253" s="2123">
        <f>ROUND(I3253*H3253,2)</f>
        <v>5517.12</v>
      </c>
      <c r="L3253" s="192"/>
      <c r="M3253" s="568"/>
    </row>
    <row r="3254" spans="1:16" ht="12.75">
      <c r="A3254" s="2114"/>
      <c r="B3254" s="192"/>
      <c r="C3254" s="568"/>
      <c r="D3254" s="568"/>
      <c r="E3254" s="188"/>
      <c r="F3254" s="188"/>
      <c r="G3254" s="2122"/>
      <c r="H3254" s="568"/>
      <c r="I3254" s="2118"/>
      <c r="J3254" s="2123" t="s">
        <v>718</v>
      </c>
      <c r="K3254" s="2123">
        <f>SUM(K3251:K3253)</f>
        <v>84595.889999999985</v>
      </c>
      <c r="L3254" s="192"/>
      <c r="M3254" s="568"/>
    </row>
    <row r="3255" spans="1:16" ht="12.75">
      <c r="A3255" s="2114"/>
      <c r="B3255" s="192" t="s">
        <v>908</v>
      </c>
      <c r="C3255" s="568"/>
      <c r="D3255" s="568"/>
      <c r="E3255" s="188"/>
      <c r="F3255" s="188"/>
      <c r="G3255" s="2122"/>
      <c r="H3255" s="568"/>
      <c r="I3255" s="2118"/>
      <c r="J3255" s="2123"/>
      <c r="K3255" s="2123"/>
      <c r="L3255" s="192"/>
      <c r="M3255" s="568"/>
    </row>
    <row r="3256" spans="1:16" ht="12.75">
      <c r="A3256" s="2114"/>
      <c r="B3256" s="568" t="s">
        <v>903</v>
      </c>
      <c r="C3256" s="568"/>
      <c r="D3256" s="568"/>
      <c r="E3256" s="188"/>
      <c r="F3256" s="188"/>
      <c r="G3256" s="2122">
        <v>1.05</v>
      </c>
      <c r="H3256" s="568" t="s">
        <v>91</v>
      </c>
      <c r="I3256" s="2118" t="s">
        <v>91</v>
      </c>
      <c r="J3256" s="2123">
        <f>I51</f>
        <v>426.22</v>
      </c>
      <c r="K3256" s="2123">
        <f>ROUND(G3256*J3256,2)</f>
        <v>447.53</v>
      </c>
      <c r="L3256" s="192"/>
      <c r="M3256" s="568"/>
    </row>
    <row r="3257" spans="1:16" ht="12.75">
      <c r="A3257" s="2114"/>
      <c r="B3257" s="568" t="str">
        <f>B3244</f>
        <v xml:space="preserve">Binding Wire </v>
      </c>
      <c r="C3257" s="568"/>
      <c r="D3257" s="568"/>
      <c r="E3257" s="188"/>
      <c r="F3257" s="188"/>
      <c r="G3257" s="2122">
        <v>8</v>
      </c>
      <c r="H3257" s="568" t="s">
        <v>95</v>
      </c>
      <c r="I3257" s="2118" t="s">
        <v>95</v>
      </c>
      <c r="J3257" s="2123">
        <f>I72</f>
        <v>0.42622000000000004</v>
      </c>
      <c r="K3257" s="2123">
        <f>ROUND(G3257*J3257,2)</f>
        <v>3.41</v>
      </c>
      <c r="L3257" s="192"/>
      <c r="M3257" s="568"/>
    </row>
    <row r="3258" spans="1:16" ht="12.75">
      <c r="A3258" s="2114"/>
      <c r="B3258" s="192" t="s">
        <v>909</v>
      </c>
      <c r="C3258" s="568"/>
      <c r="D3258" s="568"/>
      <c r="E3258" s="188"/>
      <c r="F3258" s="188"/>
      <c r="G3258" s="2122"/>
      <c r="H3258" s="568"/>
      <c r="I3258" s="2118"/>
      <c r="J3258" s="2123"/>
      <c r="K3258" s="2123">
        <f>SUM(K3254:K3257)</f>
        <v>85046.829999999987</v>
      </c>
      <c r="L3258" s="192"/>
      <c r="M3258" s="568"/>
      <c r="O3258" s="1991">
        <f>ROUND(K3250/10,2)</f>
        <v>441.44</v>
      </c>
      <c r="P3258" s="1706" t="s">
        <v>3149</v>
      </c>
    </row>
    <row r="3259" spans="1:16" ht="12.75">
      <c r="A3259" s="2114"/>
      <c r="B3259" s="192" t="s">
        <v>910</v>
      </c>
      <c r="C3259" s="568"/>
      <c r="D3259" s="568"/>
      <c r="E3259" s="188"/>
      <c r="F3259" s="188"/>
      <c r="G3259" s="2122"/>
      <c r="H3259" s="568"/>
      <c r="I3259" s="2118"/>
      <c r="J3259" s="2123"/>
      <c r="K3259" s="2124">
        <f>K3258/10</f>
        <v>8504.6829999999991</v>
      </c>
      <c r="L3259" s="192"/>
      <c r="M3259" s="568"/>
      <c r="O3259" s="1991"/>
      <c r="P3259" s="1706"/>
    </row>
    <row r="3260" spans="1:16" ht="12.75">
      <c r="A3260" s="2114"/>
      <c r="B3260" s="192" t="s">
        <v>3738</v>
      </c>
      <c r="C3260" s="2142">
        <v>0.01</v>
      </c>
      <c r="D3260" s="568"/>
      <c r="E3260" s="188"/>
      <c r="F3260" s="188"/>
      <c r="G3260" s="2122"/>
      <c r="H3260" s="568"/>
      <c r="I3260" s="2118"/>
      <c r="J3260" s="2134"/>
      <c r="K3260" s="2123">
        <f>ROUND(K3259*C3260,2)</f>
        <v>85.05</v>
      </c>
      <c r="L3260" s="192"/>
      <c r="M3260" s="568"/>
      <c r="O3260" s="1991"/>
      <c r="P3260" s="1706"/>
    </row>
    <row r="3261" spans="1:16" ht="12.75">
      <c r="A3261" s="2114"/>
      <c r="B3261" s="568"/>
      <c r="C3261" s="568"/>
      <c r="D3261" s="568"/>
      <c r="E3261" s="188"/>
      <c r="F3261" s="188"/>
      <c r="G3261" s="2122"/>
      <c r="H3261" s="568"/>
      <c r="I3261" s="2118"/>
      <c r="J3261" s="2124" t="s">
        <v>839</v>
      </c>
      <c r="K3261" s="2124">
        <f>SUM(K3259:K3260)</f>
        <v>8589.7329999999984</v>
      </c>
      <c r="L3261" s="192" t="s">
        <v>911</v>
      </c>
      <c r="M3261" s="568"/>
      <c r="O3261" s="1991">
        <f>K3261-O3258</f>
        <v>8148.2929999999988</v>
      </c>
      <c r="P3261" s="1706" t="s">
        <v>26</v>
      </c>
    </row>
    <row r="3262" spans="1:16" ht="12.75" hidden="1">
      <c r="A3262" s="2114" t="str">
        <f>A618</f>
        <v>(ii)</v>
      </c>
      <c r="B3262" s="192" t="str">
        <f>B618</f>
        <v>First Floor</v>
      </c>
      <c r="C3262" s="568"/>
      <c r="D3262" s="568"/>
      <c r="E3262" s="2120" t="str">
        <f>E3241</f>
        <v>Each Qtl</v>
      </c>
      <c r="F3262" s="2120"/>
      <c r="G3262" s="2122"/>
      <c r="H3262" s="568"/>
      <c r="I3262" s="2118"/>
      <c r="J3262" s="2123"/>
      <c r="K3262" s="2123"/>
      <c r="L3262" s="192"/>
      <c r="M3262" s="568"/>
    </row>
    <row r="3263" spans="1:16" ht="12.75" hidden="1">
      <c r="A3263" s="2114"/>
      <c r="B3263" s="568" t="s">
        <v>912</v>
      </c>
      <c r="C3263" s="568"/>
      <c r="D3263" s="568"/>
      <c r="E3263" s="188"/>
      <c r="F3263" s="188"/>
      <c r="G3263" s="2122"/>
      <c r="H3263" s="568"/>
      <c r="I3263" s="2118"/>
      <c r="J3263" s="2123"/>
      <c r="K3263" s="2123">
        <f>K3259</f>
        <v>8504.6829999999991</v>
      </c>
      <c r="L3263" s="192"/>
      <c r="M3263" s="568"/>
    </row>
    <row r="3264" spans="1:16" ht="12.75" hidden="1">
      <c r="A3264" s="2114"/>
      <c r="B3264" s="568" t="s">
        <v>913</v>
      </c>
      <c r="C3264" s="568"/>
      <c r="D3264" s="568"/>
      <c r="E3264" s="188"/>
      <c r="F3264" s="188"/>
      <c r="G3264" s="2122"/>
      <c r="H3264" s="2125">
        <v>0.05</v>
      </c>
      <c r="I3264" s="2134">
        <f>K3254/10</f>
        <v>8459.5889999999981</v>
      </c>
      <c r="J3264" s="2124"/>
      <c r="K3264" s="2124">
        <f>ROUND(I3264*H3264,2)</f>
        <v>422.98</v>
      </c>
      <c r="L3264" s="192"/>
      <c r="M3264" s="568"/>
      <c r="O3264" s="1991">
        <f>O3258+K3264</f>
        <v>864.42000000000007</v>
      </c>
      <c r="P3264" s="1706" t="s">
        <v>3149</v>
      </c>
    </row>
    <row r="3265" spans="1:16" ht="12.75" hidden="1">
      <c r="A3265" s="2114"/>
      <c r="B3265" s="192" t="s">
        <v>3662</v>
      </c>
      <c r="C3265" s="568"/>
      <c r="D3265" s="568"/>
      <c r="E3265" s="188"/>
      <c r="F3265" s="188"/>
      <c r="G3265" s="2122"/>
      <c r="H3265" s="2135">
        <f>H3253</f>
        <v>7.4999999999999997E-2</v>
      </c>
      <c r="I3265" s="2134">
        <f>K3264</f>
        <v>422.98</v>
      </c>
      <c r="J3265" s="2134"/>
      <c r="K3265" s="2123">
        <f>ROUND(I3265*H3265,2)</f>
        <v>31.72</v>
      </c>
      <c r="L3265" s="192"/>
      <c r="M3265" s="568"/>
      <c r="O3265" s="1991"/>
      <c r="P3265" s="1706"/>
    </row>
    <row r="3266" spans="1:16" ht="12.75" hidden="1">
      <c r="A3266" s="2114"/>
      <c r="B3266" s="192" t="s">
        <v>3661</v>
      </c>
      <c r="C3266" s="568"/>
      <c r="D3266" s="568"/>
      <c r="E3266" s="188"/>
      <c r="F3266" s="188"/>
      <c r="G3266" s="2122"/>
      <c r="H3266" s="2135">
        <f>H3265</f>
        <v>7.4999999999999997E-2</v>
      </c>
      <c r="I3266" s="2134">
        <f>I3265</f>
        <v>422.98</v>
      </c>
      <c r="J3266" s="2134"/>
      <c r="K3266" s="2123">
        <f>ROUND(I3266*H3266,2)</f>
        <v>31.72</v>
      </c>
      <c r="L3266" s="192"/>
      <c r="M3266" s="568"/>
      <c r="O3266" s="1991"/>
      <c r="P3266" s="1706"/>
    </row>
    <row r="3267" spans="1:16" ht="12.75" hidden="1">
      <c r="A3267" s="2114"/>
      <c r="B3267" s="192"/>
      <c r="C3267" s="568"/>
      <c r="D3267" s="568"/>
      <c r="E3267" s="188"/>
      <c r="F3267" s="188"/>
      <c r="G3267" s="2122"/>
      <c r="H3267" s="568"/>
      <c r="I3267" s="2118"/>
      <c r="J3267" s="2124"/>
      <c r="K3267" s="2123">
        <f>SUM(K3263:K3264)</f>
        <v>8927.6629999999986</v>
      </c>
      <c r="L3267" s="192"/>
      <c r="M3267" s="568"/>
      <c r="O3267" s="1991"/>
      <c r="P3267" s="1706"/>
    </row>
    <row r="3268" spans="1:16" ht="12.75" hidden="1">
      <c r="A3268" s="2114"/>
      <c r="B3268" s="192" t="s">
        <v>3738</v>
      </c>
      <c r="C3268" s="2142">
        <v>0.01</v>
      </c>
      <c r="D3268" s="568"/>
      <c r="E3268" s="188"/>
      <c r="F3268" s="188"/>
      <c r="G3268" s="2122"/>
      <c r="H3268" s="568"/>
      <c r="I3268" s="2118"/>
      <c r="J3268" s="2134"/>
      <c r="K3268" s="2123">
        <f>ROUND(K3267*C3268,2)</f>
        <v>89.28</v>
      </c>
      <c r="L3268" s="192"/>
      <c r="M3268" s="568"/>
      <c r="O3268" s="1991"/>
      <c r="P3268" s="1706"/>
    </row>
    <row r="3269" spans="1:16" ht="12.75" hidden="1">
      <c r="A3269" s="2114"/>
      <c r="B3269" s="568"/>
      <c r="C3269" s="568"/>
      <c r="D3269" s="568"/>
      <c r="E3269" s="188"/>
      <c r="F3269" s="188"/>
      <c r="G3269" s="2122"/>
      <c r="H3269" s="568"/>
      <c r="I3269" s="2118"/>
      <c r="J3269" s="2124" t="s">
        <v>839</v>
      </c>
      <c r="K3269" s="2124">
        <f>SUM(K3267:K3268)</f>
        <v>9016.9429999999993</v>
      </c>
      <c r="L3269" s="192" t="s">
        <v>911</v>
      </c>
      <c r="M3269" s="568"/>
      <c r="O3269" s="1991">
        <f>K3269-O3264</f>
        <v>8152.5229999999992</v>
      </c>
      <c r="P3269" s="1706" t="s">
        <v>26</v>
      </c>
    </row>
    <row r="3270" spans="1:16" ht="12.75" hidden="1">
      <c r="A3270" s="2114" t="str">
        <f>A619</f>
        <v>(iii)</v>
      </c>
      <c r="B3270" s="192" t="str">
        <f>B619</f>
        <v>Second Floor</v>
      </c>
      <c r="C3270" s="568"/>
      <c r="D3270" s="568"/>
      <c r="E3270" s="2120" t="str">
        <f>E3262</f>
        <v>Each Qtl</v>
      </c>
      <c r="F3270" s="2120"/>
      <c r="G3270" s="2122"/>
      <c r="H3270" s="568"/>
      <c r="I3270" s="2118"/>
      <c r="J3270" s="2123"/>
      <c r="K3270" s="2123"/>
      <c r="L3270" s="192"/>
      <c r="M3270" s="568"/>
    </row>
    <row r="3271" spans="1:16" ht="12.75" hidden="1">
      <c r="A3271" s="2114"/>
      <c r="B3271" s="568" t="s">
        <v>3621</v>
      </c>
      <c r="C3271" s="568"/>
      <c r="D3271" s="568"/>
      <c r="E3271" s="188"/>
      <c r="F3271" s="188"/>
      <c r="G3271" s="2122"/>
      <c r="H3271" s="568"/>
      <c r="I3271" s="2118"/>
      <c r="J3271" s="2123"/>
      <c r="K3271" s="2123">
        <f>K3267</f>
        <v>8927.6629999999986</v>
      </c>
      <c r="L3271" s="192"/>
      <c r="M3271" s="568"/>
    </row>
    <row r="3272" spans="1:16" ht="12.75" hidden="1">
      <c r="A3272" s="2114"/>
      <c r="B3272" s="568" t="s">
        <v>913</v>
      </c>
      <c r="C3272" s="568"/>
      <c r="D3272" s="568"/>
      <c r="E3272" s="188"/>
      <c r="F3272" s="188"/>
      <c r="G3272" s="2122"/>
      <c r="H3272" s="2125">
        <f>H3264</f>
        <v>0.05</v>
      </c>
      <c r="I3272" s="2134">
        <f>I3264+K3264</f>
        <v>8882.5689999999977</v>
      </c>
      <c r="J3272" s="2124"/>
      <c r="K3272" s="2124">
        <f>ROUND(I3272*H3272,2)</f>
        <v>444.13</v>
      </c>
      <c r="L3272" s="192"/>
      <c r="M3272" s="568"/>
      <c r="O3272" s="1991">
        <f>O3264+K3272</f>
        <v>1308.5500000000002</v>
      </c>
      <c r="P3272" s="1706" t="s">
        <v>3149</v>
      </c>
    </row>
    <row r="3273" spans="1:16" ht="12.75" hidden="1">
      <c r="A3273" s="2114"/>
      <c r="B3273" s="192" t="s">
        <v>3662</v>
      </c>
      <c r="C3273" s="568"/>
      <c r="D3273" s="568"/>
      <c r="E3273" s="188"/>
      <c r="F3273" s="188"/>
      <c r="G3273" s="2122"/>
      <c r="H3273" s="2135">
        <f>H3265</f>
        <v>7.4999999999999997E-2</v>
      </c>
      <c r="I3273" s="2134">
        <f>K3272</f>
        <v>444.13</v>
      </c>
      <c r="J3273" s="2134"/>
      <c r="K3273" s="2123">
        <f>ROUND(I3273*H3273,2)</f>
        <v>33.31</v>
      </c>
      <c r="L3273" s="192"/>
      <c r="M3273" s="568"/>
      <c r="O3273" s="1991"/>
      <c r="P3273" s="1706"/>
    </row>
    <row r="3274" spans="1:16" ht="12.75" hidden="1">
      <c r="A3274" s="2114"/>
      <c r="B3274" s="192" t="s">
        <v>3661</v>
      </c>
      <c r="C3274" s="568"/>
      <c r="D3274" s="568"/>
      <c r="E3274" s="188"/>
      <c r="F3274" s="188"/>
      <c r="G3274" s="2122"/>
      <c r="H3274" s="2135">
        <f>H3273</f>
        <v>7.4999999999999997E-2</v>
      </c>
      <c r="I3274" s="2134">
        <f>I3273</f>
        <v>444.13</v>
      </c>
      <c r="J3274" s="2134"/>
      <c r="K3274" s="2123">
        <f>ROUND(I3274*H3274,2)</f>
        <v>33.31</v>
      </c>
      <c r="L3274" s="192"/>
      <c r="M3274" s="568"/>
      <c r="O3274" s="1991"/>
      <c r="P3274" s="1706"/>
    </row>
    <row r="3275" spans="1:16" ht="12.75" hidden="1">
      <c r="A3275" s="2114"/>
      <c r="B3275" s="192"/>
      <c r="C3275" s="568"/>
      <c r="D3275" s="568"/>
      <c r="E3275" s="188"/>
      <c r="F3275" s="188"/>
      <c r="G3275" s="2122"/>
      <c r="H3275" s="568"/>
      <c r="I3275" s="2118"/>
      <c r="J3275" s="2124"/>
      <c r="K3275" s="2123">
        <f>SUM(K3271:K3272)</f>
        <v>9371.7929999999978</v>
      </c>
      <c r="L3275" s="192"/>
      <c r="M3275" s="568"/>
      <c r="O3275" s="1991"/>
      <c r="P3275" s="1706"/>
    </row>
    <row r="3276" spans="1:16" ht="12.75" hidden="1">
      <c r="A3276" s="2114"/>
      <c r="B3276" s="192" t="s">
        <v>3738</v>
      </c>
      <c r="C3276" s="2142">
        <v>0.01</v>
      </c>
      <c r="D3276" s="568"/>
      <c r="E3276" s="188"/>
      <c r="F3276" s="188"/>
      <c r="G3276" s="2122"/>
      <c r="H3276" s="568"/>
      <c r="I3276" s="2118"/>
      <c r="J3276" s="2134"/>
      <c r="K3276" s="2123">
        <f>ROUND(K3275*C3276,2)</f>
        <v>93.72</v>
      </c>
      <c r="L3276" s="192"/>
      <c r="M3276" s="568"/>
      <c r="O3276" s="1991"/>
      <c r="P3276" s="1706"/>
    </row>
    <row r="3277" spans="1:16" ht="12.75" hidden="1">
      <c r="A3277" s="2114"/>
      <c r="B3277" s="568"/>
      <c r="C3277" s="568"/>
      <c r="D3277" s="568"/>
      <c r="E3277" s="188"/>
      <c r="F3277" s="188"/>
      <c r="G3277" s="2122"/>
      <c r="H3277" s="568"/>
      <c r="I3277" s="2118"/>
      <c r="J3277" s="2124" t="s">
        <v>839</v>
      </c>
      <c r="K3277" s="2124">
        <f>SUM(K3275:K3276)</f>
        <v>9465.5129999999972</v>
      </c>
      <c r="L3277" s="192" t="s">
        <v>911</v>
      </c>
      <c r="M3277" s="568"/>
      <c r="O3277" s="1991">
        <f>K3277-O3272</f>
        <v>8156.962999999997</v>
      </c>
      <c r="P3277" s="1706" t="s">
        <v>26</v>
      </c>
    </row>
    <row r="3278" spans="1:16" ht="12.75" hidden="1">
      <c r="A3278" s="2114" t="str">
        <f>A620</f>
        <v>(iv)</v>
      </c>
      <c r="B3278" s="192" t="str">
        <f>B620</f>
        <v>Third Floor</v>
      </c>
      <c r="C3278" s="568"/>
      <c r="D3278" s="568"/>
      <c r="E3278" s="2120" t="str">
        <f>E3270</f>
        <v>Each Qtl</v>
      </c>
      <c r="F3278" s="2120"/>
      <c r="G3278" s="2122"/>
      <c r="H3278" s="568"/>
      <c r="I3278" s="2118"/>
      <c r="J3278" s="2123"/>
      <c r="K3278" s="2123"/>
      <c r="L3278" s="192"/>
      <c r="M3278" s="568"/>
    </row>
    <row r="3279" spans="1:16" ht="12.75" hidden="1">
      <c r="A3279" s="2114"/>
      <c r="B3279" s="568" t="s">
        <v>3621</v>
      </c>
      <c r="C3279" s="568"/>
      <c r="D3279" s="568"/>
      <c r="E3279" s="188"/>
      <c r="F3279" s="188"/>
      <c r="G3279" s="2122"/>
      <c r="H3279" s="568"/>
      <c r="I3279" s="2118"/>
      <c r="J3279" s="2123"/>
      <c r="K3279" s="2123">
        <f>K3275</f>
        <v>9371.7929999999978</v>
      </c>
      <c r="L3279" s="192"/>
      <c r="M3279" s="568"/>
    </row>
    <row r="3280" spans="1:16" ht="12.75" hidden="1">
      <c r="A3280" s="2114"/>
      <c r="B3280" s="568" t="s">
        <v>913</v>
      </c>
      <c r="C3280" s="568"/>
      <c r="D3280" s="568"/>
      <c r="E3280" s="188"/>
      <c r="F3280" s="188"/>
      <c r="G3280" s="2122"/>
      <c r="H3280" s="2125">
        <f>H3272</f>
        <v>0.05</v>
      </c>
      <c r="I3280" s="2134">
        <f>I3272+K3272</f>
        <v>9326.6989999999969</v>
      </c>
      <c r="J3280" s="2124"/>
      <c r="K3280" s="2124">
        <f>ROUND(I3280*H3280,2)</f>
        <v>466.33</v>
      </c>
      <c r="L3280" s="192"/>
      <c r="M3280" s="568"/>
      <c r="O3280" s="1991">
        <f>O3272+K3280</f>
        <v>1774.88</v>
      </c>
      <c r="P3280" s="1706" t="s">
        <v>3149</v>
      </c>
    </row>
    <row r="3281" spans="1:20" ht="12.75" hidden="1">
      <c r="A3281" s="2114"/>
      <c r="B3281" s="192" t="s">
        <v>3662</v>
      </c>
      <c r="C3281" s="568"/>
      <c r="D3281" s="568"/>
      <c r="E3281" s="188"/>
      <c r="F3281" s="188"/>
      <c r="G3281" s="2122"/>
      <c r="H3281" s="2135">
        <f>H3273</f>
        <v>7.4999999999999997E-2</v>
      </c>
      <c r="I3281" s="2134">
        <f>K3280</f>
        <v>466.33</v>
      </c>
      <c r="J3281" s="2134"/>
      <c r="K3281" s="2123">
        <f>ROUND(I3281*H3281,2)</f>
        <v>34.97</v>
      </c>
      <c r="L3281" s="192"/>
      <c r="M3281" s="568"/>
      <c r="O3281" s="1991"/>
      <c r="P3281" s="1706"/>
    </row>
    <row r="3282" spans="1:20" ht="12.75" hidden="1">
      <c r="A3282" s="2114"/>
      <c r="B3282" s="192" t="s">
        <v>3661</v>
      </c>
      <c r="C3282" s="568"/>
      <c r="D3282" s="568"/>
      <c r="E3282" s="188"/>
      <c r="F3282" s="188"/>
      <c r="G3282" s="2122"/>
      <c r="H3282" s="2135">
        <f>H3281</f>
        <v>7.4999999999999997E-2</v>
      </c>
      <c r="I3282" s="2134">
        <f>I3281</f>
        <v>466.33</v>
      </c>
      <c r="J3282" s="2134"/>
      <c r="K3282" s="2123">
        <f>ROUND(I3282*H3282,2)</f>
        <v>34.97</v>
      </c>
      <c r="L3282" s="192"/>
      <c r="M3282" s="568"/>
      <c r="O3282" s="1991"/>
      <c r="P3282" s="1706"/>
    </row>
    <row r="3283" spans="1:20" ht="12.75" hidden="1">
      <c r="A3283" s="2114"/>
      <c r="B3283" s="192"/>
      <c r="C3283" s="568"/>
      <c r="D3283" s="568"/>
      <c r="E3283" s="188"/>
      <c r="F3283" s="188"/>
      <c r="G3283" s="2122"/>
      <c r="H3283" s="568"/>
      <c r="I3283" s="2118"/>
      <c r="J3283" s="2124"/>
      <c r="K3283" s="2123">
        <f>SUM(K3279:K3280)</f>
        <v>9838.1229999999978</v>
      </c>
      <c r="L3283" s="192"/>
      <c r="M3283" s="568"/>
      <c r="O3283" s="1991"/>
      <c r="P3283" s="1706"/>
    </row>
    <row r="3284" spans="1:20" ht="12.75" hidden="1">
      <c r="A3284" s="2114"/>
      <c r="B3284" s="192" t="s">
        <v>3738</v>
      </c>
      <c r="C3284" s="2142">
        <v>0.01</v>
      </c>
      <c r="D3284" s="568"/>
      <c r="E3284" s="188"/>
      <c r="F3284" s="188"/>
      <c r="G3284" s="2122"/>
      <c r="H3284" s="568"/>
      <c r="I3284" s="2118"/>
      <c r="J3284" s="2134"/>
      <c r="K3284" s="2123">
        <f>ROUND(K3283*C3284,2)</f>
        <v>98.38</v>
      </c>
      <c r="L3284" s="192"/>
      <c r="M3284" s="568"/>
      <c r="O3284" s="1991"/>
      <c r="P3284" s="1706"/>
    </row>
    <row r="3285" spans="1:20" ht="12.75" hidden="1">
      <c r="A3285" s="2114"/>
      <c r="B3285" s="568"/>
      <c r="C3285" s="568"/>
      <c r="D3285" s="568"/>
      <c r="E3285" s="188"/>
      <c r="F3285" s="188"/>
      <c r="G3285" s="2122"/>
      <c r="H3285" s="568"/>
      <c r="I3285" s="2118"/>
      <c r="J3285" s="2124" t="s">
        <v>839</v>
      </c>
      <c r="K3285" s="2124">
        <f>SUM(K3283:K3284)</f>
        <v>9936.502999999997</v>
      </c>
      <c r="L3285" s="192" t="s">
        <v>911</v>
      </c>
      <c r="M3285" s="568"/>
      <c r="O3285" s="1991">
        <f>K3285-O3280</f>
        <v>8161.6229999999969</v>
      </c>
      <c r="P3285" s="1706" t="s">
        <v>26</v>
      </c>
    </row>
    <row r="3286" spans="1:20" ht="55.9" hidden="1" customHeight="1">
      <c r="A3286" s="2114">
        <f t="shared" ref="A3286:B3288" si="274">A621</f>
        <v>54</v>
      </c>
      <c r="B3286" s="3017" t="str">
        <f t="shared" si="274"/>
        <v>Single Under reamed Bore Compacted Piles of different size in foundation with RCC M-20 including cost of boaring, all cost of RCC work excluding cost of steel with labour for bending binding etc.complete as per the instruction of Engineer-in-Charge .</v>
      </c>
      <c r="C3286" s="3017"/>
      <c r="D3286" s="3017"/>
      <c r="E3286" s="2116" t="str">
        <f>G621</f>
        <v>Each No</v>
      </c>
      <c r="F3286" s="2116"/>
      <c r="G3286" s="2122"/>
      <c r="H3286" s="568"/>
      <c r="I3286" s="2118"/>
      <c r="J3286" s="2124"/>
      <c r="K3286" s="2124"/>
      <c r="L3286" s="192"/>
      <c r="M3286" s="568"/>
    </row>
    <row r="3287" spans="1:20" ht="12.75" hidden="1">
      <c r="A3287" s="2114" t="str">
        <f t="shared" si="274"/>
        <v>A)</v>
      </c>
      <c r="B3287" s="192" t="str">
        <f t="shared" si="274"/>
        <v>375mm dia 10.00m long</v>
      </c>
      <c r="C3287" s="568"/>
      <c r="D3287" s="568"/>
      <c r="E3287" s="188" t="s">
        <v>488</v>
      </c>
      <c r="F3287" s="188"/>
      <c r="G3287" s="568"/>
      <c r="H3287" s="2117"/>
      <c r="I3287" s="2118"/>
      <c r="J3287" s="568"/>
      <c r="K3287" s="568"/>
      <c r="L3287" s="2119"/>
      <c r="M3287" s="2118"/>
      <c r="N3287" s="1707"/>
      <c r="O3287" s="1707"/>
      <c r="P3287" s="1707"/>
    </row>
    <row r="3288" spans="1:20" ht="12.75" hidden="1">
      <c r="A3288" s="2114" t="str">
        <f t="shared" si="274"/>
        <v>(i)</v>
      </c>
      <c r="B3288" s="192" t="str">
        <f t="shared" si="274"/>
        <v xml:space="preserve"> 375mm dia 6.00m long</v>
      </c>
      <c r="C3288" s="568"/>
      <c r="D3288" s="568"/>
      <c r="E3288" s="2120" t="str">
        <f>G623</f>
        <v>Each No</v>
      </c>
      <c r="F3288" s="2120"/>
      <c r="G3288" s="568"/>
      <c r="H3288" s="2117"/>
      <c r="I3288" s="2118"/>
      <c r="J3288" s="568"/>
      <c r="K3288" s="568"/>
      <c r="L3288" s="2119"/>
      <c r="M3288" s="2118"/>
      <c r="N3288" s="1707"/>
      <c r="O3288" s="1707"/>
      <c r="P3288" s="1707"/>
    </row>
    <row r="3289" spans="1:20" ht="12.75" hidden="1">
      <c r="A3289" s="2114"/>
      <c r="B3289" s="192" t="s">
        <v>914</v>
      </c>
      <c r="C3289" s="568"/>
      <c r="D3289" s="568"/>
      <c r="E3289" s="2120"/>
      <c r="F3289" s="2120"/>
      <c r="G3289" s="568"/>
      <c r="H3289" s="2117"/>
      <c r="I3289" s="2118"/>
      <c r="J3289" s="568"/>
      <c r="K3289" s="568"/>
      <c r="L3289" s="2119"/>
      <c r="M3289" s="2118"/>
      <c r="N3289" s="1707"/>
      <c r="O3289" s="1707"/>
      <c r="P3289" s="1707"/>
    </row>
    <row r="3290" spans="1:20" ht="12.75" hidden="1">
      <c r="A3290" s="2114"/>
      <c r="B3290" s="192" t="s">
        <v>915</v>
      </c>
      <c r="C3290" s="568"/>
      <c r="D3290" s="568"/>
      <c r="E3290" s="188"/>
      <c r="F3290" s="188"/>
      <c r="G3290" s="568"/>
      <c r="H3290" s="2117"/>
      <c r="I3290" s="2118"/>
      <c r="J3290" s="192"/>
      <c r="K3290" s="2124"/>
      <c r="L3290" s="2119"/>
      <c r="M3290" s="2118"/>
      <c r="N3290" s="1707"/>
      <c r="O3290" s="1707"/>
      <c r="P3290" s="1707"/>
    </row>
    <row r="3291" spans="1:20" ht="12.75" hidden="1">
      <c r="A3291" s="2114"/>
      <c r="B3291" s="568" t="s">
        <v>916</v>
      </c>
      <c r="C3291" s="568"/>
      <c r="D3291" s="568"/>
      <c r="E3291" s="188"/>
      <c r="F3291" s="188"/>
      <c r="G3291" s="2122">
        <v>2</v>
      </c>
      <c r="H3291" s="2117" t="s">
        <v>262</v>
      </c>
      <c r="I3291" s="2118" t="s">
        <v>38</v>
      </c>
      <c r="J3291" s="2123">
        <f>L137</f>
        <v>495</v>
      </c>
      <c r="K3291" s="2123">
        <f>ROUND(G3291*J3291,2)</f>
        <v>990</v>
      </c>
      <c r="L3291" s="2119"/>
      <c r="M3291" s="2118"/>
      <c r="N3291" s="1707"/>
      <c r="O3291" s="1707"/>
      <c r="P3291" s="1707"/>
    </row>
    <row r="3292" spans="1:20" ht="12.75" hidden="1">
      <c r="A3292" s="2114"/>
      <c r="B3292" s="568" t="s">
        <v>314</v>
      </c>
      <c r="C3292" s="568"/>
      <c r="D3292" s="568"/>
      <c r="E3292" s="188"/>
      <c r="F3292" s="188"/>
      <c r="G3292" s="2122">
        <v>0.5</v>
      </c>
      <c r="H3292" s="2117" t="s">
        <v>262</v>
      </c>
      <c r="I3292" s="2118" t="s">
        <v>38</v>
      </c>
      <c r="J3292" s="2123">
        <f>G224</f>
        <v>483</v>
      </c>
      <c r="K3292" s="2123">
        <f>ROUND(G3292*J3292,2)</f>
        <v>241.5</v>
      </c>
      <c r="L3292" s="2119"/>
      <c r="M3292" s="2118"/>
      <c r="N3292" s="1707"/>
      <c r="O3292" s="1707"/>
      <c r="P3292" s="1707"/>
      <c r="T3292" s="1991"/>
    </row>
    <row r="3293" spans="1:20" ht="12.75" hidden="1">
      <c r="A3293" s="2114"/>
      <c r="B3293" s="568" t="s">
        <v>317</v>
      </c>
      <c r="C3293" s="568"/>
      <c r="D3293" s="568"/>
      <c r="E3293" s="188"/>
      <c r="F3293" s="188"/>
      <c r="G3293" s="2122">
        <v>0.5</v>
      </c>
      <c r="H3293" s="2117" t="s">
        <v>319</v>
      </c>
      <c r="I3293" s="2118" t="s">
        <v>319</v>
      </c>
      <c r="J3293" s="2123">
        <f>G225</f>
        <v>450</v>
      </c>
      <c r="K3293" s="2123">
        <f>ROUND(G3293*J3293,2)</f>
        <v>225</v>
      </c>
      <c r="L3293" s="2119"/>
      <c r="M3293" s="2118"/>
      <c r="N3293" s="1707"/>
      <c r="O3293" s="1707"/>
      <c r="P3293" s="1707"/>
      <c r="T3293" s="1991"/>
    </row>
    <row r="3294" spans="1:20" ht="12.75" hidden="1">
      <c r="A3294" s="2114"/>
      <c r="B3294" s="568" t="s">
        <v>316</v>
      </c>
      <c r="C3294" s="568"/>
      <c r="D3294" s="568"/>
      <c r="E3294" s="188"/>
      <c r="F3294" s="188"/>
      <c r="G3294" s="2122">
        <v>4</v>
      </c>
      <c r="H3294" s="2117" t="s">
        <v>917</v>
      </c>
      <c r="I3294" s="2118" t="s">
        <v>917</v>
      </c>
      <c r="J3294" s="2123">
        <f>M224</f>
        <v>600</v>
      </c>
      <c r="K3294" s="2123">
        <f>ROUND(G3294*J3294,2)</f>
        <v>2400</v>
      </c>
      <c r="L3294" s="2119"/>
      <c r="M3294" s="2118"/>
      <c r="N3294" s="1707"/>
      <c r="O3294" s="1707"/>
      <c r="P3294" s="1707"/>
      <c r="T3294" s="1991"/>
    </row>
    <row r="3295" spans="1:20" ht="12.75" hidden="1">
      <c r="A3295" s="2114"/>
      <c r="B3295" s="568" t="s">
        <v>216</v>
      </c>
      <c r="C3295" s="568"/>
      <c r="D3295" s="568"/>
      <c r="E3295" s="188"/>
      <c r="F3295" s="188"/>
      <c r="G3295" s="2122">
        <v>2.5</v>
      </c>
      <c r="H3295" s="2117" t="s">
        <v>214</v>
      </c>
      <c r="I3295" s="2118" t="s">
        <v>214</v>
      </c>
      <c r="J3295" s="2123">
        <f>G157</f>
        <v>168.935</v>
      </c>
      <c r="K3295" s="2123">
        <f>ROUND(G3295*J3295,2)</f>
        <v>422.34</v>
      </c>
      <c r="L3295" s="2119"/>
      <c r="M3295" s="2118"/>
      <c r="N3295" s="1707"/>
      <c r="O3295" s="1707"/>
      <c r="P3295" s="1707"/>
      <c r="T3295" s="1991"/>
    </row>
    <row r="3296" spans="1:20" ht="12.75" hidden="1">
      <c r="A3296" s="2114"/>
      <c r="B3296" s="568"/>
      <c r="C3296" s="568"/>
      <c r="D3296" s="568"/>
      <c r="E3296" s="188"/>
      <c r="F3296" s="188"/>
      <c r="G3296" s="568"/>
      <c r="H3296" s="2117"/>
      <c r="I3296" s="2118"/>
      <c r="J3296" s="2126" t="s">
        <v>718</v>
      </c>
      <c r="K3296" s="2124">
        <f>SUM(K3291:K3295)</f>
        <v>4278.84</v>
      </c>
      <c r="L3296" s="2119"/>
      <c r="M3296" s="2118"/>
      <c r="N3296" s="1707"/>
      <c r="O3296" s="1707"/>
      <c r="P3296" s="1707"/>
    </row>
    <row r="3297" spans="1:18" ht="12.75" hidden="1">
      <c r="A3297" s="2114"/>
      <c r="B3297" s="192"/>
      <c r="C3297" s="568"/>
      <c r="D3297" s="568"/>
      <c r="E3297" s="188"/>
      <c r="F3297" s="188"/>
      <c r="G3297" s="2122"/>
      <c r="H3297" s="2117"/>
      <c r="I3297" s="2118"/>
      <c r="J3297" s="2123"/>
      <c r="K3297" s="2124"/>
      <c r="L3297" s="2119"/>
      <c r="M3297" s="2118"/>
      <c r="N3297" s="1707"/>
      <c r="O3297" s="1707"/>
      <c r="P3297" s="1707"/>
    </row>
    <row r="3298" spans="1:18" ht="12.75" hidden="1">
      <c r="A3298" s="2114"/>
      <c r="B3298" s="568"/>
      <c r="C3298" s="568"/>
      <c r="D3298" s="568"/>
      <c r="E3298" s="188"/>
      <c r="F3298" s="188"/>
      <c r="G3298" s="568"/>
      <c r="H3298" s="2117"/>
      <c r="I3298" s="2118"/>
      <c r="J3298" s="2126" t="s">
        <v>718</v>
      </c>
      <c r="K3298" s="2124">
        <f>SUM(K3296:K3297)</f>
        <v>4278.84</v>
      </c>
      <c r="L3298" s="2114" t="s">
        <v>918</v>
      </c>
      <c r="M3298" s="2118"/>
      <c r="N3298" s="1707"/>
      <c r="O3298" s="1707"/>
      <c r="P3298" s="1707"/>
    </row>
    <row r="3299" spans="1:18" ht="12.75" hidden="1">
      <c r="A3299" s="2114"/>
      <c r="B3299" s="192" t="s">
        <v>919</v>
      </c>
      <c r="C3299" s="568"/>
      <c r="D3299" s="568"/>
      <c r="E3299" s="188"/>
      <c r="F3299" s="188"/>
      <c r="G3299" s="568"/>
      <c r="H3299" s="2117"/>
      <c r="I3299" s="2118"/>
      <c r="J3299" s="192"/>
      <c r="K3299" s="2124"/>
      <c r="L3299" s="2119"/>
      <c r="M3299" s="2118"/>
      <c r="N3299" s="1707"/>
      <c r="O3299" s="1707"/>
      <c r="P3299" s="1707"/>
    </row>
    <row r="3300" spans="1:18" ht="12.75" hidden="1">
      <c r="A3300" s="2114"/>
      <c r="B3300" s="192" t="s">
        <v>920</v>
      </c>
      <c r="C3300" s="568"/>
      <c r="D3300" s="568"/>
      <c r="E3300" s="188"/>
      <c r="F3300" s="188"/>
      <c r="G3300" s="568"/>
      <c r="H3300" s="2117"/>
      <c r="I3300" s="2118"/>
      <c r="J3300" s="192"/>
      <c r="K3300" s="2124"/>
      <c r="L3300" s="2119"/>
      <c r="M3300" s="2118"/>
      <c r="N3300" s="1707"/>
      <c r="O3300" s="1707"/>
      <c r="P3300" s="1707"/>
    </row>
    <row r="3301" spans="1:18" ht="12.75" hidden="1">
      <c r="A3301" s="2114"/>
      <c r="B3301" s="568" t="s">
        <v>921</v>
      </c>
      <c r="C3301" s="568"/>
      <c r="D3301" s="568"/>
      <c r="E3301" s="188"/>
      <c r="F3301" s="188"/>
      <c r="G3301" s="568"/>
      <c r="H3301" s="2117"/>
      <c r="I3301" s="2118"/>
      <c r="J3301" s="192"/>
      <c r="K3301" s="2124">
        <f>K2437</f>
        <v>6527.45</v>
      </c>
      <c r="L3301" s="2119"/>
      <c r="M3301" s="2118"/>
      <c r="N3301" s="1707"/>
      <c r="O3301" s="1707"/>
      <c r="P3301" s="1707"/>
    </row>
    <row r="3302" spans="1:18" ht="12.75" hidden="1">
      <c r="A3302" s="2114"/>
      <c r="B3302" s="568" t="s">
        <v>922</v>
      </c>
      <c r="C3302" s="568"/>
      <c r="D3302" s="568"/>
      <c r="E3302" s="188"/>
      <c r="F3302" s="188"/>
      <c r="G3302" s="568">
        <v>0.34733000000000003</v>
      </c>
      <c r="H3302" s="2117" t="s">
        <v>247</v>
      </c>
      <c r="I3302" s="2118" t="s">
        <v>247</v>
      </c>
      <c r="J3302" s="2123">
        <f>L50/10</f>
        <v>612.85599999999999</v>
      </c>
      <c r="K3302" s="2123">
        <f>ROUND(G3302*J3302,2)</f>
        <v>212.86</v>
      </c>
      <c r="L3302" s="2119"/>
      <c r="M3302" s="2118"/>
      <c r="N3302" s="1707"/>
      <c r="O3302" s="1707"/>
      <c r="P3302" s="1707"/>
    </row>
    <row r="3303" spans="1:18" ht="12.75" hidden="1">
      <c r="A3303" s="2114"/>
      <c r="B3303" s="568"/>
      <c r="C3303" s="568"/>
      <c r="D3303" s="568"/>
      <c r="E3303" s="188"/>
      <c r="F3303" s="188"/>
      <c r="G3303" s="568"/>
      <c r="H3303" s="2117"/>
      <c r="I3303" s="2118"/>
      <c r="J3303" s="2126" t="s">
        <v>718</v>
      </c>
      <c r="K3303" s="2124">
        <f>SUM(K3301:K3302)</f>
        <v>6740.3099999999995</v>
      </c>
      <c r="L3303" s="2119"/>
      <c r="M3303" s="2118"/>
      <c r="N3303" s="1707"/>
      <c r="O3303" s="1707"/>
      <c r="P3303" s="1707"/>
    </row>
    <row r="3304" spans="1:18" ht="14.25" hidden="1">
      <c r="A3304" s="2114"/>
      <c r="B3304" s="192" t="s">
        <v>923</v>
      </c>
      <c r="C3304" s="568" t="s">
        <v>3957</v>
      </c>
      <c r="D3304" s="568"/>
      <c r="E3304" s="188"/>
      <c r="F3304" s="188"/>
      <c r="G3304" s="568"/>
      <c r="H3304" s="2117"/>
      <c r="I3304" s="2118"/>
      <c r="J3304" s="192"/>
      <c r="K3304" s="2124"/>
      <c r="L3304" s="2119"/>
      <c r="M3304" s="2118"/>
      <c r="N3304" s="1707"/>
      <c r="O3304" s="1707"/>
      <c r="P3304" s="1707"/>
      <c r="R3304" s="1990">
        <v>0.375</v>
      </c>
    </row>
    <row r="3305" spans="1:18" ht="12.75" hidden="1">
      <c r="A3305" s="2114"/>
      <c r="B3305" s="568"/>
      <c r="C3305" s="568" t="s">
        <v>924</v>
      </c>
      <c r="D3305" s="2122">
        <f>(R3304*R3304*3.14/4)*6</f>
        <v>0.66234375000000001</v>
      </c>
      <c r="E3305" s="685" t="s">
        <v>925</v>
      </c>
      <c r="F3305" s="685"/>
      <c r="G3305" s="2122">
        <f>(R3304*R3304*R3304*4.13)</f>
        <v>0.21779296874999998</v>
      </c>
      <c r="H3305" s="2117" t="s">
        <v>926</v>
      </c>
      <c r="I3305" s="2118"/>
      <c r="J3305" s="2141">
        <f>D3305+G3305</f>
        <v>0.88013671874999999</v>
      </c>
      <c r="K3305" s="2124" t="s">
        <v>49</v>
      </c>
      <c r="L3305" s="2119"/>
      <c r="M3305" s="2118"/>
      <c r="N3305" s="1707"/>
      <c r="O3305" s="1707"/>
      <c r="P3305" s="1707"/>
    </row>
    <row r="3306" spans="1:18" ht="12.75" hidden="1">
      <c r="A3306" s="2114"/>
      <c r="B3306" s="568" t="s">
        <v>927</v>
      </c>
      <c r="C3306" s="568"/>
      <c r="D3306" s="568"/>
      <c r="E3306" s="685"/>
      <c r="F3306" s="685"/>
      <c r="G3306" s="2122"/>
      <c r="H3306" s="568"/>
      <c r="I3306" s="2118"/>
      <c r="J3306" s="2122">
        <f>J3305*20%</f>
        <v>0.17602734375000001</v>
      </c>
      <c r="K3306" s="2123" t="s">
        <v>49</v>
      </c>
      <c r="L3306" s="2119"/>
      <c r="M3306" s="2118"/>
      <c r="N3306" s="1707"/>
      <c r="O3306" s="1707"/>
      <c r="P3306" s="1707"/>
    </row>
    <row r="3307" spans="1:18" ht="12.75" hidden="1">
      <c r="A3307" s="2114"/>
      <c r="B3307" s="568"/>
      <c r="C3307" s="568"/>
      <c r="D3307" s="568"/>
      <c r="E3307" s="685"/>
      <c r="F3307" s="685"/>
      <c r="G3307" s="2122"/>
      <c r="H3307" s="568"/>
      <c r="I3307" s="2118" t="s">
        <v>928</v>
      </c>
      <c r="J3307" s="2122">
        <f>SUM(J3305:J3306)</f>
        <v>1.0561640624999999</v>
      </c>
      <c r="K3307" s="2123" t="s">
        <v>49</v>
      </c>
      <c r="L3307" s="2119"/>
      <c r="M3307" s="2118"/>
      <c r="N3307" s="1707"/>
      <c r="O3307" s="1707"/>
      <c r="P3307" s="1707"/>
    </row>
    <row r="3308" spans="1:18" ht="12.75" hidden="1">
      <c r="A3308" s="2114"/>
      <c r="B3308" s="192" t="s">
        <v>929</v>
      </c>
      <c r="C3308" s="568"/>
      <c r="D3308" s="568"/>
      <c r="E3308" s="188"/>
      <c r="F3308" s="188"/>
      <c r="G3308" s="568"/>
      <c r="H3308" s="2117"/>
      <c r="I3308" s="2118"/>
      <c r="J3308" s="192"/>
      <c r="K3308" s="2124"/>
      <c r="L3308" s="2119"/>
      <c r="M3308" s="2118"/>
      <c r="N3308" s="1707"/>
      <c r="O3308" s="1707"/>
      <c r="P3308" s="1707"/>
    </row>
    <row r="3309" spans="1:18" ht="12.75" hidden="1">
      <c r="A3309" s="2114"/>
      <c r="B3309" s="568"/>
      <c r="C3309" s="568"/>
      <c r="D3309" s="2122">
        <f>ROUND(J3307,3)</f>
        <v>1.056</v>
      </c>
      <c r="E3309" s="568" t="s">
        <v>930</v>
      </c>
      <c r="F3309" s="568"/>
      <c r="G3309" s="2175"/>
      <c r="H3309" s="2123">
        <f>K3303</f>
        <v>6740.3099999999995</v>
      </c>
      <c r="I3309" s="2117" t="s">
        <v>931</v>
      </c>
      <c r="J3309" s="2176" t="s">
        <v>932</v>
      </c>
      <c r="K3309" s="2124">
        <f>D3309*H3309</f>
        <v>7117.7673599999998</v>
      </c>
      <c r="L3309" s="2119"/>
      <c r="M3309" s="2118"/>
      <c r="N3309" s="1707"/>
      <c r="O3309" s="1707"/>
      <c r="P3309" s="1707"/>
    </row>
    <row r="3310" spans="1:18" ht="12.75" hidden="1">
      <c r="A3310" s="2114"/>
      <c r="B3310" s="192" t="s">
        <v>933</v>
      </c>
      <c r="C3310" s="568"/>
      <c r="D3310" s="568"/>
      <c r="E3310" s="188"/>
      <c r="F3310" s="188"/>
      <c r="G3310" s="568"/>
      <c r="H3310" s="2117"/>
      <c r="I3310" s="2118"/>
      <c r="J3310" s="192"/>
      <c r="K3310" s="2124">
        <f>K3298+K3309</f>
        <v>11396.60736</v>
      </c>
      <c r="L3310" s="2119"/>
      <c r="M3310" s="2118"/>
      <c r="N3310" s="1707"/>
      <c r="O3310" s="1707"/>
      <c r="P3310" s="1707"/>
    </row>
    <row r="3311" spans="1:18" ht="12.75" hidden="1">
      <c r="A3311" s="2114"/>
      <c r="B3311" s="192"/>
      <c r="C3311" s="568"/>
      <c r="D3311" s="568"/>
      <c r="E3311" s="188"/>
      <c r="F3311" s="188"/>
      <c r="G3311" s="568"/>
      <c r="H3311" s="2117"/>
      <c r="I3311" s="2118"/>
      <c r="J3311" s="192" t="s">
        <v>379</v>
      </c>
      <c r="K3311" s="2124">
        <f>ROUND(K3310,1)</f>
        <v>11396.6</v>
      </c>
      <c r="L3311" s="2119" t="s">
        <v>934</v>
      </c>
      <c r="M3311" s="2118"/>
      <c r="N3311" s="1707"/>
      <c r="O3311" s="1707"/>
      <c r="P3311" s="1707"/>
    </row>
    <row r="3312" spans="1:18" ht="12.75" hidden="1">
      <c r="A3312" s="2114" t="str">
        <f>A624</f>
        <v>(ii)</v>
      </c>
      <c r="B3312" s="192" t="str">
        <f>B624</f>
        <v>For additional / less depth of 1.00m beyond initial depth</v>
      </c>
      <c r="C3312" s="568"/>
      <c r="D3312" s="568"/>
      <c r="E3312" s="188"/>
      <c r="F3312" s="188"/>
      <c r="G3312" s="568"/>
      <c r="H3312" s="2117"/>
      <c r="I3312" s="2118"/>
      <c r="J3312" s="192"/>
      <c r="K3312" s="2124"/>
      <c r="L3312" s="2119"/>
      <c r="M3312" s="2118"/>
      <c r="N3312" s="1707"/>
      <c r="O3312" s="1707"/>
      <c r="P3312" s="1707"/>
    </row>
    <row r="3313" spans="1:16" ht="12.75" hidden="1">
      <c r="A3313" s="2114"/>
      <c r="B3313" s="192" t="s">
        <v>915</v>
      </c>
      <c r="C3313" s="568"/>
      <c r="D3313" s="568"/>
      <c r="E3313" s="188"/>
      <c r="F3313" s="188"/>
      <c r="G3313" s="568"/>
      <c r="H3313" s="2117"/>
      <c r="I3313" s="2118"/>
      <c r="J3313" s="192"/>
      <c r="K3313" s="2124"/>
      <c r="L3313" s="2119"/>
      <c r="M3313" s="2118"/>
      <c r="N3313" s="1707"/>
      <c r="O3313" s="1707"/>
      <c r="P3313" s="1707"/>
    </row>
    <row r="3314" spans="1:16" ht="12.75" hidden="1">
      <c r="A3314" s="2114"/>
      <c r="B3314" s="568" t="s">
        <v>935</v>
      </c>
      <c r="C3314" s="568"/>
      <c r="D3314" s="568"/>
      <c r="E3314" s="188"/>
      <c r="F3314" s="188"/>
      <c r="G3314" s="568"/>
      <c r="H3314" s="2117"/>
      <c r="I3314" s="2118"/>
      <c r="J3314" s="192"/>
      <c r="K3314" s="2177">
        <f>K3298*12%</f>
        <v>513.46079999999995</v>
      </c>
      <c r="L3314" s="192"/>
      <c r="M3314" s="2118"/>
      <c r="N3314" s="1707"/>
      <c r="O3314" s="1707"/>
      <c r="P3314" s="1707"/>
    </row>
    <row r="3315" spans="1:16" ht="12.75" hidden="1">
      <c r="A3315" s="2114"/>
      <c r="B3315" s="192" t="s">
        <v>936</v>
      </c>
      <c r="C3315" s="568"/>
      <c r="D3315" s="2122">
        <f>(R3304*R3304*3.14/4)*1.2</f>
        <v>0.13246875</v>
      </c>
      <c r="E3315" s="568" t="s">
        <v>930</v>
      </c>
      <c r="F3315" s="568"/>
      <c r="G3315" s="2175"/>
      <c r="H3315" s="2123">
        <f>H3309</f>
        <v>6740.3099999999995</v>
      </c>
      <c r="I3315" s="2117" t="s">
        <v>931</v>
      </c>
      <c r="J3315" s="2176" t="s">
        <v>932</v>
      </c>
      <c r="K3315" s="2124">
        <f>D3315*H3315</f>
        <v>892.8804403124999</v>
      </c>
      <c r="L3315" s="2119"/>
      <c r="M3315" s="2118"/>
      <c r="N3315" s="1707"/>
      <c r="O3315" s="1707"/>
      <c r="P3315" s="1707"/>
    </row>
    <row r="3316" spans="1:16" ht="12.75" hidden="1">
      <c r="A3316" s="2114"/>
      <c r="B3316" s="568"/>
      <c r="C3316" s="568"/>
      <c r="D3316" s="568"/>
      <c r="E3316" s="188"/>
      <c r="F3316" s="188"/>
      <c r="G3316" s="568"/>
      <c r="H3316" s="2117"/>
      <c r="I3316" s="2118"/>
      <c r="J3316" s="2126" t="s">
        <v>718</v>
      </c>
      <c r="K3316" s="2124">
        <f>SUM(K3314:K3315)</f>
        <v>1406.3412403124998</v>
      </c>
      <c r="L3316" s="2119" t="s">
        <v>937</v>
      </c>
      <c r="M3316" s="2118"/>
      <c r="N3316" s="1707"/>
      <c r="O3316" s="1707"/>
      <c r="P3316" s="1707"/>
    </row>
    <row r="3317" spans="1:16" ht="12.75" hidden="1">
      <c r="A3317" s="2114"/>
      <c r="B3317" s="192" t="s">
        <v>938</v>
      </c>
      <c r="C3317" s="568"/>
      <c r="D3317" s="568"/>
      <c r="E3317" s="188"/>
      <c r="F3317" s="188"/>
      <c r="G3317" s="568"/>
      <c r="H3317" s="2114">
        <v>4</v>
      </c>
      <c r="I3317" s="2114" t="s">
        <v>901</v>
      </c>
      <c r="J3317" s="2124">
        <f>K3316</f>
        <v>1406.3412403124998</v>
      </c>
      <c r="K3317" s="2124">
        <f>J3317*H3317</f>
        <v>5625.3649612499994</v>
      </c>
      <c r="L3317" s="2119"/>
      <c r="M3317" s="2118"/>
      <c r="N3317" s="1707"/>
      <c r="O3317" s="1707"/>
      <c r="P3317" s="1707"/>
    </row>
    <row r="3318" spans="1:16" ht="12.75" hidden="1">
      <c r="A3318" s="2114"/>
      <c r="B3318" s="192" t="s">
        <v>939</v>
      </c>
      <c r="C3318" s="568"/>
      <c r="D3318" s="568"/>
      <c r="E3318" s="188"/>
      <c r="F3318" s="188"/>
      <c r="G3318" s="2114"/>
      <c r="H3318" s="2119"/>
      <c r="I3318" s="2114"/>
      <c r="J3318" s="2124"/>
      <c r="K3318" s="2124">
        <f>K3310+K3317</f>
        <v>17021.972321249999</v>
      </c>
      <c r="L3318" s="2119"/>
      <c r="M3318" s="2118"/>
      <c r="N3318" s="1707"/>
      <c r="O3318" s="1707"/>
      <c r="P3318" s="1707"/>
    </row>
    <row r="3319" spans="1:16" ht="12.75" hidden="1">
      <c r="A3319" s="2114"/>
      <c r="B3319" s="192"/>
      <c r="C3319" s="568"/>
      <c r="D3319" s="568"/>
      <c r="E3319" s="188"/>
      <c r="F3319" s="188"/>
      <c r="G3319" s="2114"/>
      <c r="H3319" s="2119"/>
      <c r="I3319" s="2114"/>
      <c r="J3319" s="192" t="s">
        <v>379</v>
      </c>
      <c r="K3319" s="2124">
        <f>ROUND(K3318,1)</f>
        <v>17022</v>
      </c>
      <c r="L3319" s="2119" t="s">
        <v>934</v>
      </c>
      <c r="M3319" s="2118"/>
      <c r="N3319" s="1707"/>
      <c r="O3319" s="1707"/>
      <c r="P3319" s="1707"/>
    </row>
    <row r="3320" spans="1:16" ht="12.75" hidden="1">
      <c r="A3320" s="2114" t="str">
        <f>A625</f>
        <v>B)</v>
      </c>
      <c r="B3320" s="192" t="str">
        <f>B625</f>
        <v>300mm dia 10.00m long</v>
      </c>
      <c r="C3320" s="568"/>
      <c r="D3320" s="568"/>
      <c r="E3320" s="2120" t="str">
        <f>G625</f>
        <v>Each No</v>
      </c>
      <c r="F3320" s="2120"/>
      <c r="G3320" s="568"/>
      <c r="H3320" s="2117"/>
      <c r="I3320" s="2118"/>
      <c r="J3320" s="568"/>
      <c r="K3320" s="568"/>
      <c r="L3320" s="2119"/>
      <c r="M3320" s="2118"/>
      <c r="N3320" s="1707"/>
      <c r="O3320" s="1707"/>
      <c r="P3320" s="1707"/>
    </row>
    <row r="3321" spans="1:16" ht="12.75" hidden="1">
      <c r="A3321" s="2114" t="str">
        <f>A626</f>
        <v>(i)</v>
      </c>
      <c r="B3321" s="192" t="str">
        <f>B626</f>
        <v xml:space="preserve"> 300mm dia 6.00m long</v>
      </c>
      <c r="C3321" s="568"/>
      <c r="D3321" s="568"/>
      <c r="E3321" s="2120" t="str">
        <f>G626</f>
        <v>Each No</v>
      </c>
      <c r="F3321" s="2120"/>
      <c r="G3321" s="568"/>
      <c r="H3321" s="2117"/>
      <c r="I3321" s="2118"/>
      <c r="J3321" s="568"/>
      <c r="K3321" s="568"/>
      <c r="L3321" s="2119"/>
      <c r="M3321" s="2118"/>
      <c r="N3321" s="1707"/>
      <c r="O3321" s="1707"/>
      <c r="P3321" s="1707"/>
    </row>
    <row r="3322" spans="1:16" ht="12.75" hidden="1">
      <c r="A3322" s="2114"/>
      <c r="B3322" s="192" t="s">
        <v>915</v>
      </c>
      <c r="C3322" s="568"/>
      <c r="D3322" s="568"/>
      <c r="E3322" s="188"/>
      <c r="F3322" s="188"/>
      <c r="G3322" s="568"/>
      <c r="H3322" s="2117"/>
      <c r="I3322" s="2118"/>
      <c r="J3322" s="192"/>
      <c r="K3322" s="2124">
        <f>K3298</f>
        <v>4278.84</v>
      </c>
      <c r="L3322" s="2119"/>
      <c r="M3322" s="2118"/>
      <c r="N3322" s="1707"/>
      <c r="O3322" s="1707"/>
      <c r="P3322" s="1707"/>
    </row>
    <row r="3323" spans="1:16" ht="12.75" hidden="1">
      <c r="A3323" s="2114"/>
      <c r="B3323" s="192" t="s">
        <v>940</v>
      </c>
      <c r="C3323" s="568"/>
      <c r="D3323" s="568"/>
      <c r="E3323" s="188"/>
      <c r="F3323" s="188"/>
      <c r="G3323" s="568"/>
      <c r="H3323" s="2117"/>
      <c r="I3323" s="2118"/>
      <c r="J3323" s="2126" t="s">
        <v>718</v>
      </c>
      <c r="K3323" s="2124">
        <f>K3322*0.9</f>
        <v>3850.9560000000001</v>
      </c>
      <c r="L3323" s="2114"/>
      <c r="M3323" s="2118"/>
      <c r="N3323" s="1707"/>
      <c r="O3323" s="1707"/>
      <c r="P3323" s="1707"/>
    </row>
    <row r="3324" spans="1:16" ht="12.75" hidden="1">
      <c r="A3324" s="2114"/>
      <c r="B3324" s="192" t="s">
        <v>919</v>
      </c>
      <c r="C3324" s="568"/>
      <c r="D3324" s="568"/>
      <c r="E3324" s="188"/>
      <c r="F3324" s="188"/>
      <c r="G3324" s="568"/>
      <c r="H3324" s="2117"/>
      <c r="I3324" s="2118"/>
      <c r="J3324" s="192"/>
      <c r="K3324" s="2124"/>
      <c r="L3324" s="2119"/>
      <c r="M3324" s="2118"/>
      <c r="N3324" s="1707"/>
      <c r="O3324" s="1707"/>
      <c r="P3324" s="1707"/>
    </row>
    <row r="3325" spans="1:16" ht="12.75" hidden="1">
      <c r="A3325" s="2114"/>
      <c r="B3325" s="192" t="s">
        <v>920</v>
      </c>
      <c r="C3325" s="568"/>
      <c r="D3325" s="568"/>
      <c r="E3325" s="188"/>
      <c r="F3325" s="188"/>
      <c r="G3325" s="568"/>
      <c r="H3325" s="2117"/>
      <c r="I3325" s="2118"/>
      <c r="J3325" s="192"/>
      <c r="K3325" s="2124"/>
      <c r="L3325" s="2119"/>
      <c r="M3325" s="2118"/>
      <c r="N3325" s="1707"/>
      <c r="O3325" s="1707"/>
      <c r="P3325" s="1707"/>
    </row>
    <row r="3326" spans="1:16" ht="12.75" hidden="1">
      <c r="A3326" s="2114"/>
      <c r="B3326" s="568" t="s">
        <v>921</v>
      </c>
      <c r="C3326" s="568"/>
      <c r="D3326" s="568"/>
      <c r="E3326" s="188"/>
      <c r="F3326" s="188"/>
      <c r="G3326" s="568"/>
      <c r="H3326" s="2117"/>
      <c r="I3326" s="2118"/>
      <c r="J3326" s="192"/>
      <c r="K3326" s="2124">
        <f>K2437</f>
        <v>6527.45</v>
      </c>
      <c r="L3326" s="2119"/>
      <c r="M3326" s="2118"/>
      <c r="N3326" s="1707"/>
      <c r="O3326" s="1707"/>
      <c r="P3326" s="1707"/>
    </row>
    <row r="3327" spans="1:16" ht="12.75" hidden="1">
      <c r="A3327" s="2114"/>
      <c r="B3327" s="568" t="s">
        <v>922</v>
      </c>
      <c r="C3327" s="568"/>
      <c r="D3327" s="568"/>
      <c r="E3327" s="188"/>
      <c r="F3327" s="188"/>
      <c r="G3327" s="568">
        <v>0.34733000000000003</v>
      </c>
      <c r="H3327" s="2117" t="s">
        <v>247</v>
      </c>
      <c r="I3327" s="2118" t="s">
        <v>247</v>
      </c>
      <c r="J3327" s="2123">
        <f>L50/10</f>
        <v>612.85599999999999</v>
      </c>
      <c r="K3327" s="2124">
        <f>G3327*J3327</f>
        <v>212.86327448</v>
      </c>
      <c r="L3327" s="2119"/>
      <c r="M3327" s="2118"/>
      <c r="N3327" s="1707"/>
      <c r="O3327" s="1707"/>
      <c r="P3327" s="1707"/>
    </row>
    <row r="3328" spans="1:16" ht="12.75" hidden="1">
      <c r="A3328" s="2114"/>
      <c r="B3328" s="568"/>
      <c r="C3328" s="568"/>
      <c r="D3328" s="568"/>
      <c r="E3328" s="188"/>
      <c r="F3328" s="188"/>
      <c r="G3328" s="568"/>
      <c r="H3328" s="2117"/>
      <c r="I3328" s="2118"/>
      <c r="J3328" s="2126" t="s">
        <v>718</v>
      </c>
      <c r="K3328" s="2124">
        <f>SUM(K3326:K3327)</f>
        <v>6740.3132744799996</v>
      </c>
      <c r="L3328" s="2119"/>
      <c r="M3328" s="2118"/>
      <c r="N3328" s="1707"/>
      <c r="O3328" s="1707"/>
      <c r="P3328" s="1707"/>
    </row>
    <row r="3329" spans="1:18" ht="14.25" hidden="1">
      <c r="A3329" s="2114"/>
      <c r="B3329" s="192" t="s">
        <v>923</v>
      </c>
      <c r="C3329" s="568" t="s">
        <v>3958</v>
      </c>
      <c r="D3329" s="568"/>
      <c r="E3329" s="188"/>
      <c r="F3329" s="188"/>
      <c r="G3329" s="568"/>
      <c r="H3329" s="2117"/>
      <c r="I3329" s="2118"/>
      <c r="J3329" s="192"/>
      <c r="K3329" s="2124"/>
      <c r="L3329" s="2119"/>
      <c r="M3329" s="2118"/>
      <c r="N3329" s="1707"/>
      <c r="O3329" s="1707"/>
      <c r="P3329" s="1707"/>
      <c r="R3329" s="1990">
        <v>0.3</v>
      </c>
    </row>
    <row r="3330" spans="1:18" ht="12.75" hidden="1">
      <c r="A3330" s="2114"/>
      <c r="B3330" s="568"/>
      <c r="C3330" s="568" t="s">
        <v>924</v>
      </c>
      <c r="D3330" s="2122">
        <f>(R3329*R3329*3.14/4)*6</f>
        <v>0.42390000000000005</v>
      </c>
      <c r="E3330" s="685" t="s">
        <v>925</v>
      </c>
      <c r="F3330" s="685"/>
      <c r="G3330" s="2122">
        <f>(R3329*R3329*R3329*4.13)</f>
        <v>0.11151</v>
      </c>
      <c r="H3330" s="2117" t="s">
        <v>926</v>
      </c>
      <c r="I3330" s="2118"/>
      <c r="J3330" s="2141">
        <f>D3330+G3330</f>
        <v>0.53541000000000005</v>
      </c>
      <c r="K3330" s="2124" t="s">
        <v>49</v>
      </c>
      <c r="L3330" s="2119"/>
      <c r="M3330" s="2118"/>
      <c r="N3330" s="1707"/>
      <c r="O3330" s="1707"/>
      <c r="P3330" s="1707"/>
    </row>
    <row r="3331" spans="1:18" ht="12.75" hidden="1">
      <c r="A3331" s="2114"/>
      <c r="B3331" s="568" t="s">
        <v>927</v>
      </c>
      <c r="C3331" s="568"/>
      <c r="D3331" s="568"/>
      <c r="E3331" s="685"/>
      <c r="F3331" s="685"/>
      <c r="G3331" s="2122"/>
      <c r="H3331" s="568"/>
      <c r="I3331" s="2118"/>
      <c r="J3331" s="2122">
        <f>J3330*20%</f>
        <v>0.10708200000000001</v>
      </c>
      <c r="K3331" s="2123" t="s">
        <v>49</v>
      </c>
      <c r="L3331" s="2119"/>
      <c r="M3331" s="2118"/>
      <c r="N3331" s="1707"/>
      <c r="O3331" s="1707"/>
      <c r="P3331" s="1707"/>
    </row>
    <row r="3332" spans="1:18" ht="12.75" hidden="1">
      <c r="A3332" s="2114"/>
      <c r="B3332" s="568"/>
      <c r="C3332" s="568"/>
      <c r="D3332" s="568"/>
      <c r="E3332" s="685"/>
      <c r="F3332" s="685"/>
      <c r="G3332" s="2122"/>
      <c r="H3332" s="568"/>
      <c r="I3332" s="2118" t="s">
        <v>928</v>
      </c>
      <c r="J3332" s="2122">
        <f>SUM(J3330:J3331)</f>
        <v>0.64249200000000006</v>
      </c>
      <c r="K3332" s="2123" t="s">
        <v>49</v>
      </c>
      <c r="L3332" s="2119"/>
      <c r="M3332" s="2118"/>
      <c r="N3332" s="1707"/>
      <c r="O3332" s="1707"/>
      <c r="P3332" s="1707"/>
    </row>
    <row r="3333" spans="1:18" ht="12.75" hidden="1">
      <c r="A3333" s="2114"/>
      <c r="B3333" s="192" t="s">
        <v>929</v>
      </c>
      <c r="C3333" s="568"/>
      <c r="D3333" s="568"/>
      <c r="E3333" s="188"/>
      <c r="F3333" s="188"/>
      <c r="G3333" s="568"/>
      <c r="H3333" s="2117"/>
      <c r="I3333" s="2118"/>
      <c r="J3333" s="192"/>
      <c r="K3333" s="2124"/>
      <c r="L3333" s="2119"/>
      <c r="M3333" s="2118"/>
      <c r="N3333" s="1707"/>
      <c r="O3333" s="1707"/>
      <c r="P3333" s="1707"/>
    </row>
    <row r="3334" spans="1:18" ht="12.75" hidden="1">
      <c r="A3334" s="2114"/>
      <c r="B3334" s="568"/>
      <c r="C3334" s="568"/>
      <c r="D3334" s="2122">
        <f>ROUND(J3332,3)</f>
        <v>0.64200000000000002</v>
      </c>
      <c r="E3334" s="568" t="s">
        <v>930</v>
      </c>
      <c r="F3334" s="568"/>
      <c r="G3334" s="568"/>
      <c r="H3334" s="2123">
        <f>K3328</f>
        <v>6740.3132744799996</v>
      </c>
      <c r="I3334" s="2117" t="s">
        <v>931</v>
      </c>
      <c r="J3334" s="2176" t="s">
        <v>932</v>
      </c>
      <c r="K3334" s="2124">
        <f>D3334*H3334</f>
        <v>4327.2811222161599</v>
      </c>
      <c r="L3334" s="2119"/>
      <c r="M3334" s="2118"/>
      <c r="N3334" s="1707"/>
      <c r="O3334" s="1707"/>
      <c r="P3334" s="1707"/>
    </row>
    <row r="3335" spans="1:18" ht="12.75" hidden="1">
      <c r="A3335" s="2114"/>
      <c r="B3335" s="192" t="s">
        <v>933</v>
      </c>
      <c r="C3335" s="568"/>
      <c r="D3335" s="568"/>
      <c r="E3335" s="188"/>
      <c r="F3335" s="188"/>
      <c r="G3335" s="568"/>
      <c r="H3335" s="2117"/>
      <c r="I3335" s="2118"/>
      <c r="J3335" s="192"/>
      <c r="K3335" s="2124">
        <f>K3323+K3334</f>
        <v>8178.2371222161601</v>
      </c>
      <c r="L3335" s="2119"/>
      <c r="M3335" s="2118"/>
      <c r="N3335" s="1707"/>
      <c r="O3335" s="1707"/>
      <c r="P3335" s="1707"/>
    </row>
    <row r="3336" spans="1:18" ht="12.75" hidden="1">
      <c r="A3336" s="2114"/>
      <c r="B3336" s="192"/>
      <c r="C3336" s="568"/>
      <c r="D3336" s="568"/>
      <c r="E3336" s="188"/>
      <c r="F3336" s="188"/>
      <c r="G3336" s="568"/>
      <c r="H3336" s="2117"/>
      <c r="I3336" s="2118"/>
      <c r="J3336" s="192" t="s">
        <v>379</v>
      </c>
      <c r="K3336" s="2124">
        <f>ROUND(K3335,1)</f>
        <v>8178.2</v>
      </c>
      <c r="L3336" s="2119" t="s">
        <v>934</v>
      </c>
      <c r="M3336" s="2118"/>
      <c r="N3336" s="1707"/>
      <c r="O3336" s="1707"/>
      <c r="P3336" s="1707"/>
    </row>
    <row r="3337" spans="1:18" ht="12.75" hidden="1">
      <c r="A3337" s="2114" t="str">
        <f>A627</f>
        <v>(ii)</v>
      </c>
      <c r="B3337" s="192" t="str">
        <f>B627</f>
        <v>For additional / less depth of 1.00m beyond initial depth</v>
      </c>
      <c r="C3337" s="568"/>
      <c r="D3337" s="568"/>
      <c r="E3337" s="188"/>
      <c r="F3337" s="188"/>
      <c r="G3337" s="568"/>
      <c r="H3337" s="2117"/>
      <c r="I3337" s="2118"/>
      <c r="J3337" s="192"/>
      <c r="K3337" s="2124"/>
      <c r="L3337" s="2119"/>
      <c r="M3337" s="2118"/>
      <c r="N3337" s="1707"/>
      <c r="O3337" s="1707"/>
      <c r="P3337" s="1707"/>
    </row>
    <row r="3338" spans="1:18" ht="12.75" hidden="1">
      <c r="A3338" s="2114"/>
      <c r="B3338" s="192" t="s">
        <v>915</v>
      </c>
      <c r="C3338" s="568"/>
      <c r="D3338" s="568"/>
      <c r="E3338" s="188"/>
      <c r="F3338" s="188"/>
      <c r="G3338" s="568"/>
      <c r="H3338" s="2117"/>
      <c r="I3338" s="2118"/>
      <c r="J3338" s="192"/>
      <c r="K3338" s="2124"/>
      <c r="L3338" s="2119"/>
      <c r="M3338" s="2118"/>
      <c r="N3338" s="1707"/>
      <c r="O3338" s="1707"/>
      <c r="P3338" s="1707"/>
    </row>
    <row r="3339" spans="1:18" ht="12.75" hidden="1">
      <c r="A3339" s="2114"/>
      <c r="B3339" s="568" t="s">
        <v>935</v>
      </c>
      <c r="C3339" s="568"/>
      <c r="D3339" s="568"/>
      <c r="E3339" s="188"/>
      <c r="F3339" s="188"/>
      <c r="G3339" s="568"/>
      <c r="H3339" s="2117"/>
      <c r="I3339" s="2118"/>
      <c r="J3339" s="192"/>
      <c r="K3339" s="2177">
        <f>K3298*12%</f>
        <v>513.46079999999995</v>
      </c>
      <c r="L3339" s="192"/>
      <c r="M3339" s="2118"/>
      <c r="N3339" s="1707"/>
      <c r="O3339" s="1707"/>
      <c r="P3339" s="1707"/>
    </row>
    <row r="3340" spans="1:18" ht="12.75" hidden="1">
      <c r="A3340" s="2114"/>
      <c r="B3340" s="192" t="s">
        <v>936</v>
      </c>
      <c r="C3340" s="568"/>
      <c r="D3340" s="2122">
        <f>(R3329*R3329*3.14/4)*1.2</f>
        <v>8.4780000000000008E-2</v>
      </c>
      <c r="E3340" s="568" t="s">
        <v>930</v>
      </c>
      <c r="F3340" s="568"/>
      <c r="G3340" s="2175"/>
      <c r="H3340" s="2123">
        <f>H3334</f>
        <v>6740.3132744799996</v>
      </c>
      <c r="I3340" s="2117" t="s">
        <v>931</v>
      </c>
      <c r="J3340" s="2176" t="s">
        <v>932</v>
      </c>
      <c r="K3340" s="2124">
        <f>D3340*H3340</f>
        <v>571.44375941041437</v>
      </c>
      <c r="L3340" s="2119"/>
      <c r="M3340" s="2118"/>
      <c r="N3340" s="1707"/>
      <c r="O3340" s="1707"/>
      <c r="P3340" s="1707"/>
    </row>
    <row r="3341" spans="1:18" ht="12.75" hidden="1">
      <c r="A3341" s="2114"/>
      <c r="B3341" s="568"/>
      <c r="C3341" s="568"/>
      <c r="D3341" s="568"/>
      <c r="E3341" s="188"/>
      <c r="F3341" s="188"/>
      <c r="G3341" s="568"/>
      <c r="H3341" s="2117"/>
      <c r="I3341" s="2118"/>
      <c r="J3341" s="2126" t="s">
        <v>718</v>
      </c>
      <c r="K3341" s="2124">
        <f>SUM(K3339:K3340)</f>
        <v>1084.9045594104143</v>
      </c>
      <c r="L3341" s="2119" t="s">
        <v>937</v>
      </c>
      <c r="M3341" s="2118"/>
      <c r="N3341" s="1707"/>
      <c r="O3341" s="1707"/>
      <c r="P3341" s="1707"/>
    </row>
    <row r="3342" spans="1:18" ht="12.75" hidden="1">
      <c r="A3342" s="2114"/>
      <c r="B3342" s="192" t="s">
        <v>938</v>
      </c>
      <c r="C3342" s="568"/>
      <c r="D3342" s="568"/>
      <c r="E3342" s="188"/>
      <c r="F3342" s="188"/>
      <c r="G3342" s="568"/>
      <c r="H3342" s="2114">
        <v>4</v>
      </c>
      <c r="I3342" s="2114" t="s">
        <v>901</v>
      </c>
      <c r="J3342" s="2124">
        <f>K3341</f>
        <v>1084.9045594104143</v>
      </c>
      <c r="K3342" s="2124">
        <f>J3342*H3342</f>
        <v>4339.6182376416573</v>
      </c>
      <c r="L3342" s="2119"/>
      <c r="M3342" s="2118"/>
      <c r="N3342" s="1707"/>
      <c r="O3342" s="1707"/>
      <c r="P3342" s="1707"/>
    </row>
    <row r="3343" spans="1:18" ht="12.75" hidden="1">
      <c r="A3343" s="2114"/>
      <c r="B3343" s="192" t="s">
        <v>939</v>
      </c>
      <c r="C3343" s="568"/>
      <c r="D3343" s="568"/>
      <c r="E3343" s="188"/>
      <c r="F3343" s="188"/>
      <c r="G3343" s="2114"/>
      <c r="H3343" s="2119"/>
      <c r="I3343" s="2114"/>
      <c r="J3343" s="2124"/>
      <c r="K3343" s="2124">
        <f>K3335+K3342</f>
        <v>12517.855359857818</v>
      </c>
      <c r="L3343" s="2119"/>
      <c r="M3343" s="2118"/>
      <c r="N3343" s="1707"/>
      <c r="O3343" s="1707"/>
      <c r="P3343" s="1707"/>
    </row>
    <row r="3344" spans="1:18" ht="12.75" hidden="1">
      <c r="A3344" s="2114"/>
      <c r="B3344" s="192"/>
      <c r="C3344" s="568"/>
      <c r="D3344" s="568"/>
      <c r="E3344" s="188"/>
      <c r="F3344" s="188"/>
      <c r="G3344" s="2114"/>
      <c r="H3344" s="2119"/>
      <c r="I3344" s="2114"/>
      <c r="J3344" s="192" t="s">
        <v>379</v>
      </c>
      <c r="K3344" s="2124">
        <f>ROUND(K3343,1)</f>
        <v>12517.9</v>
      </c>
      <c r="L3344" s="2119" t="s">
        <v>934</v>
      </c>
      <c r="M3344" s="2118"/>
      <c r="N3344" s="1707"/>
      <c r="O3344" s="1707"/>
      <c r="P3344" s="1707"/>
    </row>
    <row r="3345" spans="1:18" ht="12.75" hidden="1">
      <c r="A3345" s="2114" t="str">
        <f>A628</f>
        <v>C)</v>
      </c>
      <c r="B3345" s="192" t="str">
        <f>B628</f>
        <v>250mm dia 10.00m long</v>
      </c>
      <c r="C3345" s="568"/>
      <c r="D3345" s="568"/>
      <c r="E3345" s="2120" t="str">
        <f>G628</f>
        <v>Each No</v>
      </c>
      <c r="F3345" s="2120"/>
      <c r="G3345" s="568"/>
      <c r="H3345" s="2117"/>
      <c r="I3345" s="2118"/>
      <c r="J3345" s="568"/>
      <c r="K3345" s="568"/>
      <c r="L3345" s="2119"/>
      <c r="M3345" s="2118"/>
      <c r="N3345" s="1707"/>
      <c r="O3345" s="1707"/>
      <c r="P3345" s="1707"/>
    </row>
    <row r="3346" spans="1:18" ht="12.75" hidden="1">
      <c r="A3346" s="2114" t="str">
        <f>A629</f>
        <v>(i)</v>
      </c>
      <c r="B3346" s="192" t="str">
        <f>B629</f>
        <v xml:space="preserve"> 250mm dia 6.00m long</v>
      </c>
      <c r="C3346" s="568"/>
      <c r="D3346" s="568"/>
      <c r="E3346" s="188"/>
      <c r="F3346" s="188"/>
      <c r="G3346" s="568"/>
      <c r="H3346" s="2117"/>
      <c r="I3346" s="2118"/>
      <c r="J3346" s="568"/>
      <c r="K3346" s="568"/>
      <c r="L3346" s="2119"/>
      <c r="M3346" s="2118"/>
      <c r="N3346" s="1707"/>
      <c r="O3346" s="1707"/>
      <c r="P3346" s="1707"/>
    </row>
    <row r="3347" spans="1:18" ht="12.75" hidden="1">
      <c r="A3347" s="2114"/>
      <c r="B3347" s="192" t="s">
        <v>915</v>
      </c>
      <c r="C3347" s="568"/>
      <c r="D3347" s="568"/>
      <c r="E3347" s="188"/>
      <c r="F3347" s="188"/>
      <c r="G3347" s="568"/>
      <c r="H3347" s="2117"/>
      <c r="I3347" s="2118"/>
      <c r="J3347" s="192"/>
      <c r="K3347" s="2124">
        <f>K3298</f>
        <v>4278.84</v>
      </c>
      <c r="L3347" s="2119"/>
      <c r="M3347" s="2118"/>
      <c r="N3347" s="1707"/>
      <c r="O3347" s="1707"/>
      <c r="P3347" s="1707"/>
    </row>
    <row r="3348" spans="1:18" ht="12.75" hidden="1">
      <c r="A3348" s="2114"/>
      <c r="B3348" s="192" t="s">
        <v>941</v>
      </c>
      <c r="C3348" s="568"/>
      <c r="D3348" s="568"/>
      <c r="E3348" s="188"/>
      <c r="F3348" s="188"/>
      <c r="G3348" s="568"/>
      <c r="H3348" s="2117"/>
      <c r="I3348" s="2118"/>
      <c r="J3348" s="2126" t="s">
        <v>718</v>
      </c>
      <c r="K3348" s="2124">
        <f>K3347*0.83</f>
        <v>3551.4371999999998</v>
      </c>
      <c r="L3348" s="2114"/>
      <c r="M3348" s="2118"/>
      <c r="N3348" s="1707"/>
      <c r="O3348" s="1707"/>
      <c r="P3348" s="1707"/>
    </row>
    <row r="3349" spans="1:18" ht="12.75" hidden="1">
      <c r="A3349" s="2114"/>
      <c r="B3349" s="192" t="s">
        <v>919</v>
      </c>
      <c r="C3349" s="568"/>
      <c r="D3349" s="568"/>
      <c r="E3349" s="188"/>
      <c r="F3349" s="188"/>
      <c r="G3349" s="568"/>
      <c r="H3349" s="2117"/>
      <c r="I3349" s="2118"/>
      <c r="J3349" s="192"/>
      <c r="K3349" s="2124"/>
      <c r="L3349" s="2119"/>
      <c r="M3349" s="2118"/>
      <c r="N3349" s="1707"/>
      <c r="O3349" s="1707"/>
      <c r="P3349" s="1707"/>
    </row>
    <row r="3350" spans="1:18" ht="12.75" hidden="1">
      <c r="A3350" s="2114"/>
      <c r="B3350" s="192" t="s">
        <v>920</v>
      </c>
      <c r="C3350" s="568"/>
      <c r="D3350" s="568"/>
      <c r="E3350" s="188"/>
      <c r="F3350" s="188"/>
      <c r="G3350" s="568"/>
      <c r="H3350" s="2117"/>
      <c r="I3350" s="2118"/>
      <c r="J3350" s="192"/>
      <c r="K3350" s="2124"/>
      <c r="L3350" s="2119"/>
      <c r="M3350" s="2118"/>
      <c r="N3350" s="1707"/>
      <c r="O3350" s="1707"/>
      <c r="P3350" s="1707"/>
    </row>
    <row r="3351" spans="1:18" ht="12.75" hidden="1">
      <c r="A3351" s="2114"/>
      <c r="B3351" s="568" t="s">
        <v>921</v>
      </c>
      <c r="C3351" s="568"/>
      <c r="D3351" s="568"/>
      <c r="E3351" s="188"/>
      <c r="F3351" s="188"/>
      <c r="G3351" s="568"/>
      <c r="H3351" s="2117"/>
      <c r="I3351" s="2118"/>
      <c r="J3351" s="192"/>
      <c r="K3351" s="2124">
        <f>K2437</f>
        <v>6527.45</v>
      </c>
      <c r="L3351" s="2119"/>
      <c r="M3351" s="2118"/>
      <c r="N3351" s="1707"/>
      <c r="O3351" s="1707"/>
      <c r="P3351" s="1707"/>
    </row>
    <row r="3352" spans="1:18" ht="12.75" hidden="1">
      <c r="A3352" s="2114"/>
      <c r="B3352" s="568" t="s">
        <v>922</v>
      </c>
      <c r="C3352" s="568"/>
      <c r="D3352" s="568"/>
      <c r="E3352" s="188"/>
      <c r="F3352" s="188"/>
      <c r="G3352" s="568">
        <v>0.34733000000000003</v>
      </c>
      <c r="H3352" s="2117" t="s">
        <v>247</v>
      </c>
      <c r="I3352" s="2118" t="s">
        <v>247</v>
      </c>
      <c r="J3352" s="2123">
        <f>L50/10</f>
        <v>612.85599999999999</v>
      </c>
      <c r="K3352" s="2124">
        <f>G3352*J3352</f>
        <v>212.86327448</v>
      </c>
      <c r="L3352" s="2119"/>
      <c r="M3352" s="2118"/>
      <c r="N3352" s="1707"/>
      <c r="O3352" s="1707"/>
      <c r="P3352" s="1707"/>
    </row>
    <row r="3353" spans="1:18" ht="12.75" hidden="1">
      <c r="A3353" s="2114"/>
      <c r="B3353" s="568"/>
      <c r="C3353" s="568"/>
      <c r="D3353" s="568"/>
      <c r="E3353" s="188"/>
      <c r="F3353" s="188"/>
      <c r="G3353" s="568"/>
      <c r="H3353" s="2117"/>
      <c r="I3353" s="2118"/>
      <c r="J3353" s="2126" t="s">
        <v>718</v>
      </c>
      <c r="K3353" s="2124">
        <f>SUM(K3351:K3352)</f>
        <v>6740.3132744799996</v>
      </c>
      <c r="L3353" s="2119"/>
      <c r="M3353" s="2118"/>
      <c r="N3353" s="1707"/>
      <c r="O3353" s="1707"/>
      <c r="P3353" s="1707"/>
    </row>
    <row r="3354" spans="1:18" ht="14.25" hidden="1">
      <c r="A3354" s="2114"/>
      <c r="B3354" s="192" t="s">
        <v>923</v>
      </c>
      <c r="C3354" s="568" t="s">
        <v>3959</v>
      </c>
      <c r="D3354" s="568"/>
      <c r="E3354" s="188"/>
      <c r="F3354" s="188"/>
      <c r="G3354" s="568"/>
      <c r="H3354" s="2117"/>
      <c r="I3354" s="2118"/>
      <c r="J3354" s="192"/>
      <c r="K3354" s="2124"/>
      <c r="L3354" s="2119"/>
      <c r="M3354" s="2118"/>
      <c r="N3354" s="1707"/>
      <c r="O3354" s="1707"/>
      <c r="P3354" s="1707"/>
      <c r="R3354" s="1990">
        <v>0.25</v>
      </c>
    </row>
    <row r="3355" spans="1:18" ht="12.75" hidden="1">
      <c r="A3355" s="2114"/>
      <c r="B3355" s="568"/>
      <c r="C3355" s="568" t="s">
        <v>924</v>
      </c>
      <c r="D3355" s="2122">
        <f>(R3354*R3354*3.14/4)*6</f>
        <v>0.294375</v>
      </c>
      <c r="E3355" s="685" t="s">
        <v>925</v>
      </c>
      <c r="F3355" s="685"/>
      <c r="G3355" s="2122">
        <f>(R3354*R3354*R3354*4.13)</f>
        <v>6.4531249999999998E-2</v>
      </c>
      <c r="H3355" s="2117" t="s">
        <v>926</v>
      </c>
      <c r="I3355" s="2118"/>
      <c r="J3355" s="2141">
        <f>D3355+G3355</f>
        <v>0.35890624999999998</v>
      </c>
      <c r="K3355" s="2124" t="s">
        <v>49</v>
      </c>
      <c r="L3355" s="2119"/>
      <c r="M3355" s="2118"/>
      <c r="N3355" s="1707"/>
      <c r="O3355" s="1707"/>
      <c r="P3355" s="1707"/>
    </row>
    <row r="3356" spans="1:18" ht="12.75" hidden="1">
      <c r="A3356" s="2114"/>
      <c r="B3356" s="568" t="s">
        <v>927</v>
      </c>
      <c r="C3356" s="568"/>
      <c r="D3356" s="568"/>
      <c r="E3356" s="685"/>
      <c r="F3356" s="685"/>
      <c r="G3356" s="2122"/>
      <c r="H3356" s="568"/>
      <c r="I3356" s="2118"/>
      <c r="J3356" s="2122">
        <f>J3355*20%</f>
        <v>7.1781250000000005E-2</v>
      </c>
      <c r="K3356" s="2123" t="s">
        <v>49</v>
      </c>
      <c r="L3356" s="2119"/>
      <c r="M3356" s="2118"/>
      <c r="N3356" s="1707"/>
      <c r="O3356" s="1707"/>
      <c r="P3356" s="1707"/>
    </row>
    <row r="3357" spans="1:18" ht="12.75" hidden="1">
      <c r="A3357" s="2114"/>
      <c r="B3357" s="568"/>
      <c r="C3357" s="568"/>
      <c r="D3357" s="568"/>
      <c r="E3357" s="685"/>
      <c r="F3357" s="685"/>
      <c r="G3357" s="2122"/>
      <c r="H3357" s="568"/>
      <c r="I3357" s="2118" t="s">
        <v>928</v>
      </c>
      <c r="J3357" s="2122">
        <f>SUM(J3355:J3356)</f>
        <v>0.4306875</v>
      </c>
      <c r="K3357" s="2123" t="s">
        <v>49</v>
      </c>
      <c r="L3357" s="2119"/>
      <c r="M3357" s="2118"/>
      <c r="N3357" s="1707"/>
      <c r="O3357" s="1707"/>
      <c r="P3357" s="1707"/>
    </row>
    <row r="3358" spans="1:18" ht="12.75" hidden="1">
      <c r="A3358" s="2114"/>
      <c r="B3358" s="192" t="s">
        <v>929</v>
      </c>
      <c r="C3358" s="568"/>
      <c r="D3358" s="568"/>
      <c r="E3358" s="188"/>
      <c r="F3358" s="188"/>
      <c r="G3358" s="568"/>
      <c r="H3358" s="2117"/>
      <c r="I3358" s="2118"/>
      <c r="J3358" s="192"/>
      <c r="K3358" s="2124"/>
      <c r="L3358" s="2119"/>
      <c r="M3358" s="2118"/>
      <c r="N3358" s="1707"/>
      <c r="O3358" s="1707"/>
      <c r="P3358" s="1707"/>
    </row>
    <row r="3359" spans="1:18" ht="12.75" hidden="1">
      <c r="A3359" s="2114"/>
      <c r="B3359" s="568"/>
      <c r="C3359" s="568"/>
      <c r="D3359" s="2122">
        <f>ROUND(J3357,3)</f>
        <v>0.43099999999999999</v>
      </c>
      <c r="E3359" s="568" t="s">
        <v>930</v>
      </c>
      <c r="F3359" s="568"/>
      <c r="G3359" s="2175"/>
      <c r="H3359" s="2123">
        <f>K3353</f>
        <v>6740.3132744799996</v>
      </c>
      <c r="I3359" s="2117" t="s">
        <v>931</v>
      </c>
      <c r="J3359" s="2176" t="s">
        <v>932</v>
      </c>
      <c r="K3359" s="2124">
        <f>D3359*H3359</f>
        <v>2905.0750213008796</v>
      </c>
      <c r="L3359" s="2119"/>
      <c r="M3359" s="2118"/>
      <c r="N3359" s="1707"/>
      <c r="O3359" s="1707"/>
      <c r="P3359" s="1707"/>
    </row>
    <row r="3360" spans="1:18" ht="12.75" hidden="1">
      <c r="A3360" s="2114"/>
      <c r="B3360" s="192" t="s">
        <v>933</v>
      </c>
      <c r="C3360" s="568"/>
      <c r="D3360" s="568"/>
      <c r="E3360" s="188"/>
      <c r="F3360" s="188"/>
      <c r="G3360" s="568"/>
      <c r="H3360" s="2117"/>
      <c r="I3360" s="2118"/>
      <c r="J3360" s="192"/>
      <c r="K3360" s="2124">
        <f>K3348+K3359</f>
        <v>6456.5122213008799</v>
      </c>
      <c r="L3360" s="2119"/>
      <c r="M3360" s="2118"/>
      <c r="N3360" s="1707"/>
      <c r="O3360" s="1707"/>
      <c r="P3360" s="1707"/>
    </row>
    <row r="3361" spans="1:16" ht="12.75" hidden="1">
      <c r="A3361" s="2114"/>
      <c r="B3361" s="192"/>
      <c r="C3361" s="568"/>
      <c r="D3361" s="568"/>
      <c r="E3361" s="188"/>
      <c r="F3361" s="188"/>
      <c r="G3361" s="568"/>
      <c r="H3361" s="2117"/>
      <c r="I3361" s="2118"/>
      <c r="J3361" s="192" t="s">
        <v>379</v>
      </c>
      <c r="K3361" s="2124">
        <f>ROUND(K3360,1)</f>
        <v>6456.5</v>
      </c>
      <c r="L3361" s="2119" t="s">
        <v>934</v>
      </c>
      <c r="M3361" s="2118"/>
      <c r="N3361" s="1707"/>
      <c r="O3361" s="1707"/>
      <c r="P3361" s="1707"/>
    </row>
    <row r="3362" spans="1:16" ht="12.75" hidden="1">
      <c r="A3362" s="2114" t="str">
        <f>A630</f>
        <v>(ii)</v>
      </c>
      <c r="B3362" s="192" t="str">
        <f>B630</f>
        <v>For additional / less depth of 1.00m beyond initial depth</v>
      </c>
      <c r="C3362" s="568"/>
      <c r="D3362" s="568"/>
      <c r="E3362" s="188"/>
      <c r="F3362" s="188"/>
      <c r="G3362" s="568"/>
      <c r="H3362" s="2117"/>
      <c r="I3362" s="2118"/>
      <c r="J3362" s="192"/>
      <c r="K3362" s="2124"/>
      <c r="L3362" s="2119"/>
      <c r="M3362" s="2118"/>
      <c r="N3362" s="1707"/>
      <c r="O3362" s="1707"/>
      <c r="P3362" s="1707"/>
    </row>
    <row r="3363" spans="1:16" ht="12.75" hidden="1">
      <c r="A3363" s="2114"/>
      <c r="B3363" s="192" t="s">
        <v>915</v>
      </c>
      <c r="C3363" s="568"/>
      <c r="D3363" s="568"/>
      <c r="E3363" s="188"/>
      <c r="F3363" s="188"/>
      <c r="G3363" s="568"/>
      <c r="H3363" s="2117"/>
      <c r="I3363" s="2118"/>
      <c r="J3363" s="192"/>
      <c r="K3363" s="2124"/>
      <c r="L3363" s="2119"/>
      <c r="M3363" s="2118"/>
      <c r="N3363" s="1707"/>
      <c r="O3363" s="1707"/>
      <c r="P3363" s="1707"/>
    </row>
    <row r="3364" spans="1:16" ht="12.75" hidden="1">
      <c r="A3364" s="2114"/>
      <c r="B3364" s="568" t="s">
        <v>935</v>
      </c>
      <c r="C3364" s="568"/>
      <c r="D3364" s="568"/>
      <c r="E3364" s="188"/>
      <c r="F3364" s="188"/>
      <c r="G3364" s="568"/>
      <c r="H3364" s="2117"/>
      <c r="I3364" s="2118"/>
      <c r="J3364" s="192"/>
      <c r="K3364" s="2177">
        <f>K3298*12%</f>
        <v>513.46079999999995</v>
      </c>
      <c r="L3364" s="192"/>
      <c r="M3364" s="2118"/>
      <c r="N3364" s="1707"/>
      <c r="O3364" s="1707"/>
      <c r="P3364" s="1707"/>
    </row>
    <row r="3365" spans="1:16" ht="12.75" hidden="1">
      <c r="A3365" s="2114"/>
      <c r="B3365" s="192" t="s">
        <v>936</v>
      </c>
      <c r="C3365" s="568"/>
      <c r="D3365" s="2122">
        <f>(R3354*R3354*3.14/4)*1.2</f>
        <v>5.8874999999999997E-2</v>
      </c>
      <c r="E3365" s="568" t="s">
        <v>930</v>
      </c>
      <c r="F3365" s="568"/>
      <c r="G3365" s="2175"/>
      <c r="H3365" s="2123">
        <f>H3359</f>
        <v>6740.3132744799996</v>
      </c>
      <c r="I3365" s="2117" t="s">
        <v>931</v>
      </c>
      <c r="J3365" s="2176" t="s">
        <v>932</v>
      </c>
      <c r="K3365" s="2124">
        <f>D3365*H3365</f>
        <v>396.83594403500996</v>
      </c>
      <c r="L3365" s="2119"/>
      <c r="M3365" s="2118"/>
      <c r="N3365" s="1707"/>
      <c r="O3365" s="1707"/>
      <c r="P3365" s="1707"/>
    </row>
    <row r="3366" spans="1:16" ht="12.75" hidden="1">
      <c r="A3366" s="2114"/>
      <c r="B3366" s="568"/>
      <c r="C3366" s="568"/>
      <c r="D3366" s="568"/>
      <c r="E3366" s="188"/>
      <c r="F3366" s="188"/>
      <c r="G3366" s="568"/>
      <c r="H3366" s="2117"/>
      <c r="I3366" s="2118"/>
      <c r="J3366" s="2126" t="s">
        <v>718</v>
      </c>
      <c r="K3366" s="2124">
        <f>SUM(K3364:K3365)</f>
        <v>910.29674403500985</v>
      </c>
      <c r="L3366" s="2119" t="s">
        <v>937</v>
      </c>
      <c r="M3366" s="2118"/>
      <c r="N3366" s="1707"/>
      <c r="O3366" s="1707"/>
      <c r="P3366" s="1707"/>
    </row>
    <row r="3367" spans="1:16" ht="12.75" hidden="1">
      <c r="A3367" s="2114"/>
      <c r="B3367" s="192" t="s">
        <v>938</v>
      </c>
      <c r="C3367" s="568"/>
      <c r="D3367" s="568"/>
      <c r="E3367" s="188"/>
      <c r="F3367" s="188"/>
      <c r="G3367" s="568"/>
      <c r="H3367" s="2114">
        <v>4</v>
      </c>
      <c r="I3367" s="2114" t="s">
        <v>901</v>
      </c>
      <c r="J3367" s="2124">
        <f>K3366</f>
        <v>910.29674403500985</v>
      </c>
      <c r="K3367" s="2124">
        <f>J3367*H3367</f>
        <v>3641.1869761400394</v>
      </c>
      <c r="L3367" s="2119"/>
      <c r="M3367" s="2118"/>
      <c r="N3367" s="1707"/>
      <c r="O3367" s="1707"/>
      <c r="P3367" s="1707"/>
    </row>
    <row r="3368" spans="1:16" ht="12.75" hidden="1">
      <c r="A3368" s="2114"/>
      <c r="B3368" s="192" t="s">
        <v>939</v>
      </c>
      <c r="C3368" s="568"/>
      <c r="D3368" s="568"/>
      <c r="E3368" s="188"/>
      <c r="F3368" s="188"/>
      <c r="G3368" s="2114"/>
      <c r="H3368" s="2119"/>
      <c r="I3368" s="2114"/>
      <c r="J3368" s="2124"/>
      <c r="K3368" s="2124">
        <f>K3360+K3367</f>
        <v>10097.699197440919</v>
      </c>
      <c r="L3368" s="2119"/>
      <c r="M3368" s="2118"/>
      <c r="N3368" s="1707"/>
      <c r="O3368" s="1707"/>
      <c r="P3368" s="1707"/>
    </row>
    <row r="3369" spans="1:16" ht="12.75" hidden="1">
      <c r="A3369" s="2114"/>
      <c r="B3369" s="192"/>
      <c r="C3369" s="568"/>
      <c r="D3369" s="568"/>
      <c r="E3369" s="188"/>
      <c r="F3369" s="188"/>
      <c r="G3369" s="2114"/>
      <c r="H3369" s="2119"/>
      <c r="I3369" s="2114"/>
      <c r="J3369" s="192" t="s">
        <v>379</v>
      </c>
      <c r="K3369" s="2124">
        <f>ROUND(K3368,1)</f>
        <v>10097.700000000001</v>
      </c>
      <c r="L3369" s="2119" t="s">
        <v>934</v>
      </c>
      <c r="M3369" s="2118"/>
      <c r="N3369" s="1707"/>
      <c r="O3369" s="1707"/>
      <c r="P3369" s="1707"/>
    </row>
    <row r="3370" spans="1:16" ht="55.9" hidden="1" customHeight="1">
      <c r="A3370" s="2114">
        <f t="shared" ref="A3370:B3372" si="275">A631</f>
        <v>55</v>
      </c>
      <c r="B3370" s="3017" t="str">
        <f t="shared" si="275"/>
        <v>Double Under reamed Bore Compacted Piles of different size in foundation with RCC M-20 including cost of boaring, all cost of RCC work excluding cost of steel with labour for bending binding etc.complete as per the instruction of Engineer-in-Charge .</v>
      </c>
      <c r="C3370" s="3017"/>
      <c r="D3370" s="3017"/>
      <c r="E3370" s="2155" t="s">
        <v>942</v>
      </c>
      <c r="F3370" s="2155"/>
      <c r="G3370" s="2122"/>
      <c r="H3370" s="568"/>
      <c r="I3370" s="2118"/>
      <c r="J3370" s="2124"/>
      <c r="K3370" s="2124"/>
      <c r="L3370" s="192"/>
      <c r="M3370" s="568"/>
    </row>
    <row r="3371" spans="1:16" ht="12.75" hidden="1">
      <c r="A3371" s="2114" t="str">
        <f t="shared" si="275"/>
        <v>A)</v>
      </c>
      <c r="B3371" s="192" t="str">
        <f t="shared" si="275"/>
        <v>375mm dia 10.00m long</v>
      </c>
      <c r="C3371" s="568"/>
      <c r="D3371" s="568"/>
      <c r="E3371" s="188" t="s">
        <v>488</v>
      </c>
      <c r="F3371" s="188"/>
      <c r="G3371" s="568"/>
      <c r="H3371" s="2117"/>
      <c r="I3371" s="2118"/>
      <c r="J3371" s="568"/>
      <c r="K3371" s="568"/>
      <c r="L3371" s="2119"/>
      <c r="M3371" s="2118"/>
      <c r="N3371" s="1707"/>
      <c r="O3371" s="1707"/>
      <c r="P3371" s="1707"/>
    </row>
    <row r="3372" spans="1:16" ht="12.75" hidden="1">
      <c r="A3372" s="2114" t="str">
        <f t="shared" si="275"/>
        <v>(i)</v>
      </c>
      <c r="B3372" s="192" t="str">
        <f t="shared" si="275"/>
        <v xml:space="preserve"> 375mm dia 6.00m long</v>
      </c>
      <c r="C3372" s="568"/>
      <c r="D3372" s="568"/>
      <c r="E3372" s="188"/>
      <c r="F3372" s="188"/>
      <c r="G3372" s="568"/>
      <c r="H3372" s="2117"/>
      <c r="I3372" s="2118"/>
      <c r="J3372" s="568"/>
      <c r="K3372" s="568"/>
      <c r="L3372" s="2119"/>
      <c r="M3372" s="2118"/>
      <c r="N3372" s="1707"/>
      <c r="O3372" s="1707"/>
      <c r="P3372" s="1707"/>
    </row>
    <row r="3373" spans="1:16" ht="12.75" hidden="1">
      <c r="A3373" s="2114"/>
      <c r="B3373" s="192" t="s">
        <v>914</v>
      </c>
      <c r="C3373" s="568"/>
      <c r="D3373" s="568"/>
      <c r="E3373" s="188"/>
      <c r="F3373" s="188"/>
      <c r="G3373" s="568"/>
      <c r="H3373" s="2117"/>
      <c r="I3373" s="2118"/>
      <c r="J3373" s="568"/>
      <c r="K3373" s="568"/>
      <c r="L3373" s="2119"/>
      <c r="M3373" s="2118"/>
      <c r="N3373" s="1707"/>
      <c r="O3373" s="1707"/>
      <c r="P3373" s="1707"/>
    </row>
    <row r="3374" spans="1:16" ht="12.75" hidden="1">
      <c r="A3374" s="2114"/>
      <c r="B3374" s="192" t="s">
        <v>915</v>
      </c>
      <c r="C3374" s="568"/>
      <c r="D3374" s="568"/>
      <c r="E3374" s="188"/>
      <c r="F3374" s="188"/>
      <c r="G3374" s="568"/>
      <c r="H3374" s="2117"/>
      <c r="I3374" s="2118"/>
      <c r="J3374" s="192"/>
      <c r="K3374" s="2124"/>
      <c r="L3374" s="2119"/>
      <c r="M3374" s="2118"/>
      <c r="N3374" s="1707"/>
      <c r="O3374" s="1707"/>
      <c r="P3374" s="1707"/>
    </row>
    <row r="3375" spans="1:16" ht="12.75" hidden="1">
      <c r="A3375" s="2114"/>
      <c r="B3375" s="568" t="s">
        <v>916</v>
      </c>
      <c r="C3375" s="568"/>
      <c r="D3375" s="568"/>
      <c r="E3375" s="188"/>
      <c r="F3375" s="188"/>
      <c r="G3375" s="2122">
        <v>2</v>
      </c>
      <c r="H3375" s="2117" t="s">
        <v>262</v>
      </c>
      <c r="I3375" s="2118" t="s">
        <v>38</v>
      </c>
      <c r="J3375" s="2123">
        <f>L137</f>
        <v>495</v>
      </c>
      <c r="K3375" s="2123">
        <f>ROUND(G3375*J3375,2)</f>
        <v>990</v>
      </c>
      <c r="L3375" s="2119"/>
      <c r="M3375" s="2118"/>
      <c r="N3375" s="1707"/>
      <c r="O3375" s="1707"/>
      <c r="P3375" s="1707"/>
    </row>
    <row r="3376" spans="1:16" ht="12.75" hidden="1">
      <c r="A3376" s="2114"/>
      <c r="B3376" s="568" t="s">
        <v>314</v>
      </c>
      <c r="C3376" s="568"/>
      <c r="D3376" s="568"/>
      <c r="E3376" s="188"/>
      <c r="F3376" s="188"/>
      <c r="G3376" s="2122">
        <v>0.5</v>
      </c>
      <c r="H3376" s="2117" t="s">
        <v>262</v>
      </c>
      <c r="I3376" s="2118" t="s">
        <v>38</v>
      </c>
      <c r="J3376" s="2123">
        <f>G224</f>
        <v>483</v>
      </c>
      <c r="K3376" s="2123">
        <f>ROUND(G3376*J3376,2)</f>
        <v>241.5</v>
      </c>
      <c r="L3376" s="2119"/>
      <c r="M3376" s="2118"/>
      <c r="N3376" s="1707"/>
      <c r="O3376" s="1707"/>
      <c r="P3376" s="1707"/>
    </row>
    <row r="3377" spans="1:18" ht="12.75" hidden="1">
      <c r="A3377" s="2114"/>
      <c r="B3377" s="568" t="s">
        <v>317</v>
      </c>
      <c r="C3377" s="568"/>
      <c r="D3377" s="568"/>
      <c r="E3377" s="188"/>
      <c r="F3377" s="188"/>
      <c r="G3377" s="2122">
        <v>0.5</v>
      </c>
      <c r="H3377" s="2117" t="s">
        <v>319</v>
      </c>
      <c r="I3377" s="2118" t="s">
        <v>319</v>
      </c>
      <c r="J3377" s="2123">
        <f>G225</f>
        <v>450</v>
      </c>
      <c r="K3377" s="2123">
        <f>ROUND(G3377*J3377,2)</f>
        <v>225</v>
      </c>
      <c r="L3377" s="2119"/>
      <c r="M3377" s="2118"/>
      <c r="N3377" s="1707"/>
      <c r="O3377" s="1707"/>
      <c r="P3377" s="1707"/>
    </row>
    <row r="3378" spans="1:18" ht="12.75" hidden="1">
      <c r="A3378" s="2114"/>
      <c r="B3378" s="568" t="s">
        <v>316</v>
      </c>
      <c r="C3378" s="568"/>
      <c r="D3378" s="568"/>
      <c r="E3378" s="188"/>
      <c r="F3378" s="188"/>
      <c r="G3378" s="2122">
        <v>4</v>
      </c>
      <c r="H3378" s="2117" t="s">
        <v>917</v>
      </c>
      <c r="I3378" s="2118" t="s">
        <v>917</v>
      </c>
      <c r="J3378" s="2123">
        <f>M224</f>
        <v>600</v>
      </c>
      <c r="K3378" s="2123">
        <f>ROUND(G3378*J3378,2)</f>
        <v>2400</v>
      </c>
      <c r="L3378" s="2119"/>
      <c r="M3378" s="2118"/>
      <c r="N3378" s="1707"/>
      <c r="O3378" s="1707"/>
      <c r="P3378" s="1707"/>
    </row>
    <row r="3379" spans="1:18" ht="12.75" hidden="1">
      <c r="A3379" s="2114"/>
      <c r="B3379" s="568" t="s">
        <v>216</v>
      </c>
      <c r="C3379" s="568"/>
      <c r="D3379" s="568"/>
      <c r="E3379" s="188"/>
      <c r="F3379" s="188"/>
      <c r="G3379" s="2122">
        <v>2.5</v>
      </c>
      <c r="H3379" s="2117" t="s">
        <v>214</v>
      </c>
      <c r="I3379" s="2118" t="s">
        <v>214</v>
      </c>
      <c r="J3379" s="2123">
        <f>G157</f>
        <v>168.935</v>
      </c>
      <c r="K3379" s="2123">
        <f>ROUND(G3379*J3379,2)</f>
        <v>422.34</v>
      </c>
      <c r="L3379" s="2119"/>
      <c r="M3379" s="2118"/>
      <c r="N3379" s="1707"/>
      <c r="O3379" s="1707"/>
      <c r="P3379" s="1707"/>
    </row>
    <row r="3380" spans="1:18" ht="12.75" hidden="1">
      <c r="A3380" s="2114"/>
      <c r="B3380" s="568"/>
      <c r="C3380" s="568"/>
      <c r="D3380" s="568"/>
      <c r="E3380" s="188"/>
      <c r="F3380" s="188"/>
      <c r="G3380" s="568"/>
      <c r="H3380" s="2117"/>
      <c r="I3380" s="2118"/>
      <c r="J3380" s="2126" t="s">
        <v>718</v>
      </c>
      <c r="K3380" s="2124">
        <f>SUM(K3375:K3379)</f>
        <v>4278.84</v>
      </c>
      <c r="L3380" s="2119"/>
      <c r="M3380" s="2118"/>
      <c r="N3380" s="1707"/>
      <c r="O3380" s="1707"/>
      <c r="P3380" s="1707"/>
    </row>
    <row r="3381" spans="1:18" ht="12.75" hidden="1">
      <c r="A3381" s="2114"/>
      <c r="B3381" s="192"/>
      <c r="C3381" s="568"/>
      <c r="D3381" s="568"/>
      <c r="E3381" s="188"/>
      <c r="F3381" s="188"/>
      <c r="G3381" s="2122"/>
      <c r="H3381" s="2117"/>
      <c r="I3381" s="2118"/>
      <c r="J3381" s="2123"/>
      <c r="K3381" s="2124"/>
      <c r="L3381" s="2119"/>
      <c r="M3381" s="2118"/>
      <c r="N3381" s="1707"/>
      <c r="O3381" s="1707"/>
      <c r="P3381" s="1707"/>
    </row>
    <row r="3382" spans="1:18" ht="12.75" hidden="1">
      <c r="A3382" s="2114"/>
      <c r="B3382" s="568"/>
      <c r="C3382" s="568"/>
      <c r="D3382" s="568"/>
      <c r="E3382" s="188"/>
      <c r="F3382" s="188"/>
      <c r="G3382" s="568"/>
      <c r="H3382" s="2117"/>
      <c r="I3382" s="2118"/>
      <c r="J3382" s="2126" t="s">
        <v>718</v>
      </c>
      <c r="K3382" s="2124">
        <f>SUM(K3380:K3381)</f>
        <v>4278.84</v>
      </c>
      <c r="L3382" s="2114"/>
      <c r="M3382" s="2118"/>
      <c r="N3382" s="1707"/>
      <c r="O3382" s="1707"/>
      <c r="P3382" s="1707"/>
    </row>
    <row r="3383" spans="1:18" ht="12.75" hidden="1">
      <c r="A3383" s="2114"/>
      <c r="B3383" s="568" t="s">
        <v>943</v>
      </c>
      <c r="C3383" s="568"/>
      <c r="D3383" s="568"/>
      <c r="E3383" s="188"/>
      <c r="F3383" s="188"/>
      <c r="G3383" s="568"/>
      <c r="H3383" s="2117"/>
      <c r="I3383" s="2118"/>
      <c r="J3383" s="2126"/>
      <c r="K3383" s="2124">
        <f>K3382*25%</f>
        <v>1069.71</v>
      </c>
      <c r="L3383" s="2114"/>
      <c r="M3383" s="2118"/>
      <c r="N3383" s="1707"/>
      <c r="O3383" s="1707"/>
      <c r="P3383" s="1707"/>
    </row>
    <row r="3384" spans="1:18" ht="12.75" hidden="1">
      <c r="A3384" s="2114"/>
      <c r="B3384" s="568"/>
      <c r="C3384" s="568"/>
      <c r="D3384" s="568"/>
      <c r="E3384" s="188"/>
      <c r="F3384" s="188"/>
      <c r="G3384" s="568"/>
      <c r="H3384" s="2117"/>
      <c r="I3384" s="2118"/>
      <c r="J3384" s="2126" t="s">
        <v>718</v>
      </c>
      <c r="K3384" s="2124">
        <f>SUM(K3382:K3383)</f>
        <v>5348.55</v>
      </c>
      <c r="L3384" s="2114" t="s">
        <v>918</v>
      </c>
      <c r="M3384" s="2118"/>
      <c r="N3384" s="1707"/>
      <c r="O3384" s="1707"/>
      <c r="P3384" s="1707"/>
    </row>
    <row r="3385" spans="1:18" ht="12.75" hidden="1">
      <c r="A3385" s="2114"/>
      <c r="B3385" s="192" t="s">
        <v>919</v>
      </c>
      <c r="C3385" s="568"/>
      <c r="D3385" s="568"/>
      <c r="E3385" s="188"/>
      <c r="F3385" s="188"/>
      <c r="G3385" s="568"/>
      <c r="H3385" s="2117"/>
      <c r="I3385" s="2118"/>
      <c r="J3385" s="192"/>
      <c r="K3385" s="2124"/>
      <c r="L3385" s="2119"/>
      <c r="M3385" s="2118"/>
      <c r="N3385" s="1707"/>
      <c r="O3385" s="1707"/>
      <c r="P3385" s="1707"/>
    </row>
    <row r="3386" spans="1:18" ht="12.75" hidden="1">
      <c r="A3386" s="2114"/>
      <c r="B3386" s="192" t="s">
        <v>920</v>
      </c>
      <c r="C3386" s="568"/>
      <c r="D3386" s="568"/>
      <c r="E3386" s="188"/>
      <c r="F3386" s="188"/>
      <c r="G3386" s="568"/>
      <c r="H3386" s="2117"/>
      <c r="I3386" s="2118"/>
      <c r="J3386" s="192"/>
      <c r="K3386" s="2124"/>
      <c r="L3386" s="2119"/>
      <c r="M3386" s="2118"/>
      <c r="N3386" s="1707"/>
      <c r="O3386" s="1707"/>
      <c r="P3386" s="1707"/>
    </row>
    <row r="3387" spans="1:18" ht="12.75" hidden="1">
      <c r="A3387" s="2114"/>
      <c r="B3387" s="568" t="s">
        <v>921</v>
      </c>
      <c r="C3387" s="568"/>
      <c r="D3387" s="568"/>
      <c r="E3387" s="188"/>
      <c r="F3387" s="188"/>
      <c r="G3387" s="568"/>
      <c r="H3387" s="2117"/>
      <c r="I3387" s="2118"/>
      <c r="J3387" s="192"/>
      <c r="K3387" s="2124">
        <f>K2437</f>
        <v>6527.45</v>
      </c>
      <c r="L3387" s="2119"/>
      <c r="M3387" s="2118"/>
      <c r="N3387" s="1707"/>
      <c r="O3387" s="1707"/>
      <c r="P3387" s="1707"/>
    </row>
    <row r="3388" spans="1:18" ht="12.75" hidden="1">
      <c r="A3388" s="2114"/>
      <c r="B3388" s="568" t="s">
        <v>922</v>
      </c>
      <c r="C3388" s="568"/>
      <c r="D3388" s="568"/>
      <c r="E3388" s="188"/>
      <c r="F3388" s="188"/>
      <c r="G3388" s="568">
        <v>0.34733000000000003</v>
      </c>
      <c r="H3388" s="2117" t="s">
        <v>247</v>
      </c>
      <c r="I3388" s="2118" t="s">
        <v>247</v>
      </c>
      <c r="J3388" s="2123">
        <f>L50/10</f>
        <v>612.85599999999999</v>
      </c>
      <c r="K3388" s="2123">
        <f>ROUND(G3388*J3388,2)</f>
        <v>212.86</v>
      </c>
      <c r="L3388" s="2119"/>
      <c r="M3388" s="2118"/>
      <c r="N3388" s="1707"/>
      <c r="O3388" s="1707"/>
      <c r="P3388" s="1707"/>
    </row>
    <row r="3389" spans="1:18" ht="12.75" hidden="1">
      <c r="A3389" s="2114"/>
      <c r="B3389" s="568"/>
      <c r="C3389" s="568"/>
      <c r="D3389" s="568"/>
      <c r="E3389" s="188"/>
      <c r="F3389" s="188"/>
      <c r="G3389" s="568"/>
      <c r="H3389" s="2117"/>
      <c r="I3389" s="2118"/>
      <c r="J3389" s="2126" t="s">
        <v>718</v>
      </c>
      <c r="K3389" s="2124">
        <f>SUM(K3387:K3388)</f>
        <v>6740.3099999999995</v>
      </c>
      <c r="L3389" s="2119"/>
      <c r="M3389" s="2118"/>
      <c r="N3389" s="1707"/>
      <c r="O3389" s="1707"/>
      <c r="P3389" s="1707"/>
    </row>
    <row r="3390" spans="1:18" ht="14.25" hidden="1">
      <c r="A3390" s="2114"/>
      <c r="B3390" s="192" t="s">
        <v>923</v>
      </c>
      <c r="C3390" s="568" t="s">
        <v>3960</v>
      </c>
      <c r="D3390" s="568"/>
      <c r="E3390" s="188"/>
      <c r="F3390" s="188"/>
      <c r="G3390" s="568"/>
      <c r="H3390" s="2117"/>
      <c r="I3390" s="2118"/>
      <c r="J3390" s="192"/>
      <c r="K3390" s="2124"/>
      <c r="L3390" s="2119"/>
      <c r="M3390" s="2118"/>
      <c r="N3390" s="1707"/>
      <c r="O3390" s="1707"/>
      <c r="P3390" s="1707"/>
      <c r="R3390" s="1990">
        <v>0.375</v>
      </c>
    </row>
    <row r="3391" spans="1:18" ht="12.75" hidden="1">
      <c r="A3391" s="2114"/>
      <c r="B3391" s="568"/>
      <c r="C3391" s="568" t="s">
        <v>924</v>
      </c>
      <c r="D3391" s="2122">
        <f>(R3390*R3390*3.14/4)*6</f>
        <v>0.66234375000000001</v>
      </c>
      <c r="E3391" s="685" t="s">
        <v>925</v>
      </c>
      <c r="F3391" s="685"/>
      <c r="G3391" s="2122">
        <f>(R3390*R3390*R3390*8.26)</f>
        <v>0.43558593749999996</v>
      </c>
      <c r="H3391" s="2117" t="s">
        <v>926</v>
      </c>
      <c r="I3391" s="2118"/>
      <c r="J3391" s="2141">
        <f>D3391+G3391</f>
        <v>1.0979296875</v>
      </c>
      <c r="K3391" s="2124" t="s">
        <v>49</v>
      </c>
      <c r="L3391" s="2119"/>
      <c r="M3391" s="2118"/>
      <c r="N3391" s="1707"/>
      <c r="O3391" s="1707"/>
      <c r="P3391" s="1707"/>
    </row>
    <row r="3392" spans="1:18" ht="12.75" hidden="1">
      <c r="A3392" s="2114"/>
      <c r="B3392" s="568" t="s">
        <v>927</v>
      </c>
      <c r="C3392" s="568"/>
      <c r="D3392" s="568"/>
      <c r="E3392" s="685"/>
      <c r="F3392" s="685"/>
      <c r="G3392" s="2122"/>
      <c r="H3392" s="568"/>
      <c r="I3392" s="2118"/>
      <c r="J3392" s="2122">
        <f>J3391*20%</f>
        <v>0.21958593749999999</v>
      </c>
      <c r="K3392" s="2123" t="s">
        <v>49</v>
      </c>
      <c r="L3392" s="2119"/>
      <c r="M3392" s="2118"/>
      <c r="N3392" s="1707"/>
      <c r="O3392" s="1707"/>
      <c r="P3392" s="1707"/>
    </row>
    <row r="3393" spans="1:16" ht="12.75" hidden="1">
      <c r="A3393" s="2114"/>
      <c r="B3393" s="568"/>
      <c r="C3393" s="568"/>
      <c r="D3393" s="568"/>
      <c r="E3393" s="685"/>
      <c r="F3393" s="685"/>
      <c r="G3393" s="2122"/>
      <c r="H3393" s="568"/>
      <c r="I3393" s="2118" t="s">
        <v>928</v>
      </c>
      <c r="J3393" s="2122">
        <f>SUM(J3391:J3392)</f>
        <v>1.317515625</v>
      </c>
      <c r="K3393" s="2123" t="s">
        <v>49</v>
      </c>
      <c r="L3393" s="2119"/>
      <c r="M3393" s="2118"/>
      <c r="N3393" s="1707"/>
      <c r="O3393" s="1707"/>
      <c r="P3393" s="1707"/>
    </row>
    <row r="3394" spans="1:16" ht="12.75" hidden="1">
      <c r="A3394" s="2114"/>
      <c r="B3394" s="192" t="s">
        <v>929</v>
      </c>
      <c r="C3394" s="568"/>
      <c r="D3394" s="568"/>
      <c r="E3394" s="188"/>
      <c r="F3394" s="188"/>
      <c r="G3394" s="568"/>
      <c r="H3394" s="2117"/>
      <c r="I3394" s="2118"/>
      <c r="J3394" s="192"/>
      <c r="K3394" s="2124"/>
      <c r="L3394" s="2119"/>
      <c r="M3394" s="2118"/>
      <c r="N3394" s="1707"/>
      <c r="O3394" s="1707"/>
      <c r="P3394" s="1707"/>
    </row>
    <row r="3395" spans="1:16" ht="12.75" hidden="1">
      <c r="A3395" s="2114"/>
      <c r="B3395" s="568"/>
      <c r="C3395" s="568"/>
      <c r="D3395" s="2122">
        <f>ROUND(J3393,3)</f>
        <v>1.3180000000000001</v>
      </c>
      <c r="E3395" s="568" t="s">
        <v>930</v>
      </c>
      <c r="F3395" s="568"/>
      <c r="G3395" s="2175"/>
      <c r="H3395" s="2123">
        <f>K3389</f>
        <v>6740.3099999999995</v>
      </c>
      <c r="I3395" s="2117" t="s">
        <v>931</v>
      </c>
      <c r="J3395" s="2176" t="s">
        <v>932</v>
      </c>
      <c r="K3395" s="2124">
        <f>ROUND(D3395*H3395,2)</f>
        <v>8883.73</v>
      </c>
      <c r="L3395" s="2119"/>
      <c r="M3395" s="2118"/>
      <c r="N3395" s="1707"/>
      <c r="O3395" s="1707"/>
      <c r="P3395" s="1707"/>
    </row>
    <row r="3396" spans="1:16" ht="12.75" hidden="1">
      <c r="A3396" s="2114"/>
      <c r="B3396" s="192" t="s">
        <v>933</v>
      </c>
      <c r="C3396" s="568"/>
      <c r="D3396" s="568"/>
      <c r="E3396" s="188"/>
      <c r="F3396" s="188"/>
      <c r="G3396" s="568"/>
      <c r="H3396" s="2117"/>
      <c r="I3396" s="2118"/>
      <c r="J3396" s="192"/>
      <c r="K3396" s="2124">
        <f>K3382+K3395</f>
        <v>13162.57</v>
      </c>
      <c r="L3396" s="2119"/>
      <c r="M3396" s="2118"/>
      <c r="N3396" s="1707"/>
      <c r="O3396" s="1707"/>
      <c r="P3396" s="1707"/>
    </row>
    <row r="3397" spans="1:16" ht="12.75" hidden="1">
      <c r="A3397" s="2114"/>
      <c r="B3397" s="192"/>
      <c r="C3397" s="568"/>
      <c r="D3397" s="568"/>
      <c r="E3397" s="188"/>
      <c r="F3397" s="188"/>
      <c r="G3397" s="568"/>
      <c r="H3397" s="2117"/>
      <c r="I3397" s="2118"/>
      <c r="J3397" s="192" t="s">
        <v>379</v>
      </c>
      <c r="K3397" s="2124">
        <f>ROUND(K3396,1)</f>
        <v>13162.6</v>
      </c>
      <c r="L3397" s="2119" t="s">
        <v>934</v>
      </c>
      <c r="M3397" s="2118"/>
      <c r="N3397" s="1707"/>
      <c r="O3397" s="1707"/>
      <c r="P3397" s="1707"/>
    </row>
    <row r="3398" spans="1:16" ht="12.75" hidden="1">
      <c r="A3398" s="2114" t="str">
        <f>A634</f>
        <v>(ii)</v>
      </c>
      <c r="B3398" s="192" t="str">
        <f>B634</f>
        <v>For additional / less depth of 1.00m beyond initial depth</v>
      </c>
      <c r="C3398" s="568"/>
      <c r="D3398" s="568"/>
      <c r="E3398" s="188"/>
      <c r="F3398" s="188"/>
      <c r="G3398" s="568"/>
      <c r="H3398" s="2117"/>
      <c r="I3398" s="2118"/>
      <c r="J3398" s="192"/>
      <c r="K3398" s="2124"/>
      <c r="L3398" s="2119"/>
      <c r="M3398" s="2118"/>
      <c r="N3398" s="1707"/>
      <c r="O3398" s="1707"/>
      <c r="P3398" s="1707"/>
    </row>
    <row r="3399" spans="1:16" ht="12.75" hidden="1">
      <c r="A3399" s="2114"/>
      <c r="B3399" s="192" t="s">
        <v>915</v>
      </c>
      <c r="C3399" s="568"/>
      <c r="D3399" s="568"/>
      <c r="E3399" s="188"/>
      <c r="F3399" s="188"/>
      <c r="G3399" s="568"/>
      <c r="H3399" s="2117"/>
      <c r="I3399" s="2118"/>
      <c r="J3399" s="192"/>
      <c r="K3399" s="2124"/>
      <c r="L3399" s="2119"/>
      <c r="M3399" s="2118"/>
      <c r="N3399" s="1707"/>
      <c r="O3399" s="1707"/>
      <c r="P3399" s="1707"/>
    </row>
    <row r="3400" spans="1:16" ht="12.75" hidden="1">
      <c r="A3400" s="2114"/>
      <c r="B3400" s="568" t="s">
        <v>935</v>
      </c>
      <c r="C3400" s="568"/>
      <c r="D3400" s="568"/>
      <c r="E3400" s="188"/>
      <c r="F3400" s="188"/>
      <c r="G3400" s="568"/>
      <c r="H3400" s="2117"/>
      <c r="I3400" s="2118"/>
      <c r="J3400" s="192"/>
      <c r="K3400" s="2177">
        <f>K3382*12%</f>
        <v>513.46079999999995</v>
      </c>
      <c r="L3400" s="192"/>
      <c r="M3400" s="2118"/>
      <c r="N3400" s="1707"/>
      <c r="O3400" s="1707"/>
      <c r="P3400" s="1707"/>
    </row>
    <row r="3401" spans="1:16" ht="12.75" hidden="1">
      <c r="A3401" s="2114"/>
      <c r="B3401" s="192" t="s">
        <v>936</v>
      </c>
      <c r="C3401" s="568"/>
      <c r="D3401" s="2122">
        <f>(R3390*R3390*3.14/4)*1.2</f>
        <v>0.13246875</v>
      </c>
      <c r="E3401" s="568" t="s">
        <v>930</v>
      </c>
      <c r="F3401" s="568"/>
      <c r="G3401" s="2175"/>
      <c r="H3401" s="2123">
        <f>H3395</f>
        <v>6740.3099999999995</v>
      </c>
      <c r="I3401" s="2117" t="s">
        <v>931</v>
      </c>
      <c r="J3401" s="2176" t="s">
        <v>932</v>
      </c>
      <c r="K3401" s="2124">
        <f>ROUND(D3401*H3401,2)</f>
        <v>892.88</v>
      </c>
      <c r="L3401" s="2119"/>
      <c r="M3401" s="2118"/>
      <c r="N3401" s="1707"/>
      <c r="O3401" s="1707"/>
      <c r="P3401" s="1707"/>
    </row>
    <row r="3402" spans="1:16" ht="12.75" hidden="1">
      <c r="A3402" s="2114"/>
      <c r="B3402" s="568"/>
      <c r="C3402" s="568"/>
      <c r="D3402" s="568"/>
      <c r="E3402" s="188"/>
      <c r="F3402" s="188"/>
      <c r="G3402" s="568"/>
      <c r="H3402" s="2117"/>
      <c r="I3402" s="2118"/>
      <c r="J3402" s="2126" t="s">
        <v>718</v>
      </c>
      <c r="K3402" s="2124">
        <f>SUM(K3400:K3401)</f>
        <v>1406.3407999999999</v>
      </c>
      <c r="L3402" s="2119" t="s">
        <v>937</v>
      </c>
      <c r="M3402" s="2118"/>
      <c r="N3402" s="1707"/>
      <c r="O3402" s="1707"/>
      <c r="P3402" s="1707"/>
    </row>
    <row r="3403" spans="1:16" ht="12.75" hidden="1">
      <c r="A3403" s="2114"/>
      <c r="B3403" s="192" t="s">
        <v>938</v>
      </c>
      <c r="C3403" s="568"/>
      <c r="D3403" s="568"/>
      <c r="E3403" s="188"/>
      <c r="F3403" s="188"/>
      <c r="G3403" s="568"/>
      <c r="H3403" s="2114">
        <v>4</v>
      </c>
      <c r="I3403" s="2114" t="s">
        <v>901</v>
      </c>
      <c r="J3403" s="2124">
        <f>K3402</f>
        <v>1406.3407999999999</v>
      </c>
      <c r="K3403" s="2124">
        <f>J3403*H3403</f>
        <v>5625.3631999999998</v>
      </c>
      <c r="L3403" s="2119"/>
      <c r="M3403" s="2118"/>
      <c r="N3403" s="1707"/>
      <c r="O3403" s="1707"/>
      <c r="P3403" s="1707"/>
    </row>
    <row r="3404" spans="1:16" ht="12.75" hidden="1">
      <c r="A3404" s="2114"/>
      <c r="B3404" s="192" t="s">
        <v>939</v>
      </c>
      <c r="C3404" s="568"/>
      <c r="D3404" s="568"/>
      <c r="E3404" s="188"/>
      <c r="F3404" s="188"/>
      <c r="G3404" s="2114"/>
      <c r="H3404" s="2119"/>
      <c r="I3404" s="2114"/>
      <c r="J3404" s="2124"/>
      <c r="K3404" s="2124">
        <f>K3396+K3403</f>
        <v>18787.933199999999</v>
      </c>
      <c r="L3404" s="2119"/>
      <c r="M3404" s="2118"/>
      <c r="N3404" s="1707"/>
      <c r="O3404" s="1707"/>
      <c r="P3404" s="1707"/>
    </row>
    <row r="3405" spans="1:16" ht="12.75" hidden="1">
      <c r="A3405" s="2114"/>
      <c r="B3405" s="192"/>
      <c r="C3405" s="568"/>
      <c r="D3405" s="568"/>
      <c r="E3405" s="188"/>
      <c r="F3405" s="188"/>
      <c r="G3405" s="2114"/>
      <c r="H3405" s="2119"/>
      <c r="I3405" s="2114"/>
      <c r="J3405" s="192" t="s">
        <v>379</v>
      </c>
      <c r="K3405" s="2124">
        <f>ROUND(K3404,1)</f>
        <v>18787.900000000001</v>
      </c>
      <c r="L3405" s="2119" t="s">
        <v>934</v>
      </c>
      <c r="M3405" s="2118"/>
      <c r="N3405" s="1707"/>
      <c r="O3405" s="1707"/>
      <c r="P3405" s="1707"/>
    </row>
    <row r="3406" spans="1:16" ht="12.75" hidden="1">
      <c r="A3406" s="2114" t="str">
        <f>A635</f>
        <v>B)</v>
      </c>
      <c r="B3406" s="192" t="str">
        <f>B635</f>
        <v>300mm dia 10.00m long</v>
      </c>
      <c r="C3406" s="568"/>
      <c r="D3406" s="568"/>
      <c r="E3406" s="2120" t="str">
        <f>G635</f>
        <v>Each No</v>
      </c>
      <c r="F3406" s="2120"/>
      <c r="G3406" s="568"/>
      <c r="H3406" s="2117"/>
      <c r="I3406" s="2118"/>
      <c r="J3406" s="568"/>
      <c r="K3406" s="568"/>
      <c r="L3406" s="2119"/>
      <c r="M3406" s="2118"/>
      <c r="N3406" s="1707"/>
      <c r="O3406" s="1707"/>
      <c r="P3406" s="1707"/>
    </row>
    <row r="3407" spans="1:16" ht="12.75" hidden="1">
      <c r="A3407" s="2114" t="str">
        <f>A636</f>
        <v>(i)</v>
      </c>
      <c r="B3407" s="192" t="str">
        <f>B636</f>
        <v xml:space="preserve"> 300mm dia 6.00m long</v>
      </c>
      <c r="C3407" s="568"/>
      <c r="D3407" s="568"/>
      <c r="E3407" s="188"/>
      <c r="F3407" s="188"/>
      <c r="G3407" s="568"/>
      <c r="H3407" s="2117"/>
      <c r="I3407" s="2118"/>
      <c r="J3407" s="568"/>
      <c r="K3407" s="568"/>
      <c r="L3407" s="2119"/>
      <c r="M3407" s="2118"/>
      <c r="N3407" s="1707"/>
      <c r="O3407" s="1707"/>
      <c r="P3407" s="1707"/>
    </row>
    <row r="3408" spans="1:16" ht="12.75" hidden="1">
      <c r="A3408" s="2114"/>
      <c r="B3408" s="192" t="s">
        <v>914</v>
      </c>
      <c r="C3408" s="568"/>
      <c r="D3408" s="568"/>
      <c r="E3408" s="188"/>
      <c r="F3408" s="188"/>
      <c r="G3408" s="568"/>
      <c r="H3408" s="2117"/>
      <c r="I3408" s="2118"/>
      <c r="J3408" s="568"/>
      <c r="K3408" s="568"/>
      <c r="L3408" s="2119"/>
      <c r="M3408" s="2118"/>
      <c r="N3408" s="1707"/>
      <c r="O3408" s="1707"/>
      <c r="P3408" s="1707"/>
    </row>
    <row r="3409" spans="1:18" ht="12.75" hidden="1">
      <c r="A3409" s="2114"/>
      <c r="B3409" s="192" t="s">
        <v>915</v>
      </c>
      <c r="C3409" s="568"/>
      <c r="D3409" s="568"/>
      <c r="E3409" s="188"/>
      <c r="F3409" s="188"/>
      <c r="G3409" s="568"/>
      <c r="H3409" s="2117"/>
      <c r="I3409" s="2118"/>
      <c r="J3409" s="192"/>
      <c r="K3409" s="2124">
        <f>K3384</f>
        <v>5348.55</v>
      </c>
      <c r="L3409" s="2119"/>
      <c r="M3409" s="2118"/>
      <c r="N3409" s="1707"/>
      <c r="O3409" s="1707"/>
      <c r="P3409" s="1707"/>
    </row>
    <row r="3410" spans="1:18" ht="12.75" hidden="1">
      <c r="A3410" s="2114"/>
      <c r="B3410" s="192" t="s">
        <v>940</v>
      </c>
      <c r="C3410" s="568"/>
      <c r="D3410" s="568"/>
      <c r="E3410" s="188"/>
      <c r="F3410" s="188"/>
      <c r="G3410" s="568"/>
      <c r="H3410" s="2117"/>
      <c r="I3410" s="2118"/>
      <c r="J3410" s="2126" t="s">
        <v>718</v>
      </c>
      <c r="K3410" s="2124">
        <f>K3409*0.9</f>
        <v>4813.6950000000006</v>
      </c>
      <c r="L3410" s="2114"/>
      <c r="M3410" s="2118"/>
      <c r="N3410" s="1707"/>
      <c r="O3410" s="1707"/>
      <c r="P3410" s="1707"/>
    </row>
    <row r="3411" spans="1:18" ht="12.75" hidden="1">
      <c r="A3411" s="2114"/>
      <c r="B3411" s="192" t="s">
        <v>919</v>
      </c>
      <c r="C3411" s="568"/>
      <c r="D3411" s="568"/>
      <c r="E3411" s="188"/>
      <c r="F3411" s="188"/>
      <c r="G3411" s="568"/>
      <c r="H3411" s="2117"/>
      <c r="I3411" s="2118"/>
      <c r="J3411" s="192"/>
      <c r="K3411" s="2124"/>
      <c r="L3411" s="2119"/>
      <c r="M3411" s="2118"/>
      <c r="N3411" s="1707"/>
      <c r="O3411" s="1707"/>
      <c r="P3411" s="1707"/>
    </row>
    <row r="3412" spans="1:18" ht="12.75" hidden="1">
      <c r="A3412" s="2114"/>
      <c r="B3412" s="192" t="s">
        <v>920</v>
      </c>
      <c r="C3412" s="568"/>
      <c r="D3412" s="568"/>
      <c r="E3412" s="188"/>
      <c r="F3412" s="188"/>
      <c r="G3412" s="568"/>
      <c r="H3412" s="2117"/>
      <c r="I3412" s="2118"/>
      <c r="J3412" s="192"/>
      <c r="K3412" s="2124"/>
      <c r="L3412" s="2119"/>
      <c r="M3412" s="2118"/>
      <c r="N3412" s="1707"/>
      <c r="O3412" s="1707"/>
      <c r="P3412" s="1707"/>
    </row>
    <row r="3413" spans="1:18" ht="12.75" hidden="1">
      <c r="A3413" s="2114"/>
      <c r="B3413" s="568" t="s">
        <v>921</v>
      </c>
      <c r="C3413" s="568"/>
      <c r="D3413" s="568"/>
      <c r="E3413" s="188"/>
      <c r="F3413" s="188"/>
      <c r="G3413" s="568"/>
      <c r="H3413" s="2117"/>
      <c r="I3413" s="2118"/>
      <c r="J3413" s="192"/>
      <c r="K3413" s="2124">
        <f>K2437</f>
        <v>6527.45</v>
      </c>
      <c r="L3413" s="2119"/>
      <c r="M3413" s="2118"/>
      <c r="N3413" s="1707"/>
      <c r="O3413" s="1707"/>
      <c r="P3413" s="1707"/>
    </row>
    <row r="3414" spans="1:18" ht="12.75" hidden="1">
      <c r="A3414" s="2114"/>
      <c r="B3414" s="568" t="s">
        <v>922</v>
      </c>
      <c r="C3414" s="568"/>
      <c r="D3414" s="568"/>
      <c r="E3414" s="188"/>
      <c r="F3414" s="188"/>
      <c r="G3414" s="568">
        <v>0.34733000000000003</v>
      </c>
      <c r="H3414" s="2117" t="s">
        <v>247</v>
      </c>
      <c r="I3414" s="2118" t="s">
        <v>247</v>
      </c>
      <c r="J3414" s="2123">
        <f>L50/10</f>
        <v>612.85599999999999</v>
      </c>
      <c r="K3414" s="2124">
        <f>ROUND(G3414*J3414,2)</f>
        <v>212.86</v>
      </c>
      <c r="L3414" s="2119"/>
      <c r="M3414" s="2118"/>
      <c r="N3414" s="1707"/>
      <c r="O3414" s="1707"/>
      <c r="P3414" s="1707"/>
    </row>
    <row r="3415" spans="1:18" ht="12.75" hidden="1">
      <c r="A3415" s="2114"/>
      <c r="B3415" s="568"/>
      <c r="C3415" s="568"/>
      <c r="D3415" s="568"/>
      <c r="E3415" s="188"/>
      <c r="F3415" s="188"/>
      <c r="G3415" s="568"/>
      <c r="H3415" s="2117"/>
      <c r="I3415" s="2118"/>
      <c r="J3415" s="2126" t="s">
        <v>718</v>
      </c>
      <c r="K3415" s="2124">
        <f>SUM(K3413:K3414)</f>
        <v>6740.3099999999995</v>
      </c>
      <c r="L3415" s="2119"/>
      <c r="M3415" s="2118"/>
      <c r="N3415" s="1707"/>
      <c r="O3415" s="1707"/>
      <c r="P3415" s="1707"/>
    </row>
    <row r="3416" spans="1:18" ht="14.25" hidden="1">
      <c r="A3416" s="2114"/>
      <c r="B3416" s="192" t="s">
        <v>923</v>
      </c>
      <c r="C3416" s="568" t="s">
        <v>3961</v>
      </c>
      <c r="D3416" s="568"/>
      <c r="E3416" s="188"/>
      <c r="F3416" s="188"/>
      <c r="G3416" s="568"/>
      <c r="H3416" s="2117"/>
      <c r="I3416" s="2118"/>
      <c r="J3416" s="192"/>
      <c r="K3416" s="2124"/>
      <c r="L3416" s="2119"/>
      <c r="M3416" s="2118"/>
      <c r="N3416" s="1707"/>
      <c r="O3416" s="1707"/>
      <c r="P3416" s="1707"/>
      <c r="R3416" s="1990">
        <v>0.3</v>
      </c>
    </row>
    <row r="3417" spans="1:18" ht="12.75" hidden="1">
      <c r="A3417" s="2114"/>
      <c r="B3417" s="568"/>
      <c r="C3417" s="568" t="s">
        <v>924</v>
      </c>
      <c r="D3417" s="2122">
        <f>(R3416*R3416*3.14/4)*6</f>
        <v>0.42390000000000005</v>
      </c>
      <c r="E3417" s="685" t="s">
        <v>925</v>
      </c>
      <c r="F3417" s="685"/>
      <c r="G3417" s="2122">
        <f>(R3416*R3416*R3416*8.26)</f>
        <v>0.22302</v>
      </c>
      <c r="H3417" s="2117" t="s">
        <v>926</v>
      </c>
      <c r="I3417" s="2118"/>
      <c r="J3417" s="2141">
        <f>D3417+G3417</f>
        <v>0.64692000000000005</v>
      </c>
      <c r="K3417" s="2124" t="s">
        <v>49</v>
      </c>
      <c r="L3417" s="2119"/>
      <c r="M3417" s="2118"/>
      <c r="N3417" s="1707"/>
      <c r="O3417" s="1707"/>
      <c r="P3417" s="1707"/>
    </row>
    <row r="3418" spans="1:18" ht="12.75" hidden="1">
      <c r="A3418" s="2114"/>
      <c r="B3418" s="568" t="s">
        <v>927</v>
      </c>
      <c r="C3418" s="568"/>
      <c r="D3418" s="568"/>
      <c r="E3418" s="685"/>
      <c r="F3418" s="685"/>
      <c r="G3418" s="2122"/>
      <c r="H3418" s="568"/>
      <c r="I3418" s="2118"/>
      <c r="J3418" s="2122">
        <f>J3417*20%</f>
        <v>0.12938400000000003</v>
      </c>
      <c r="K3418" s="2123" t="s">
        <v>49</v>
      </c>
      <c r="L3418" s="2119"/>
      <c r="M3418" s="2118"/>
      <c r="N3418" s="1707"/>
      <c r="O3418" s="1707"/>
      <c r="P3418" s="1707"/>
    </row>
    <row r="3419" spans="1:18" ht="12.75" hidden="1">
      <c r="A3419" s="2114"/>
      <c r="B3419" s="568"/>
      <c r="C3419" s="568"/>
      <c r="D3419" s="568"/>
      <c r="E3419" s="685"/>
      <c r="F3419" s="685"/>
      <c r="G3419" s="2122"/>
      <c r="H3419" s="568"/>
      <c r="I3419" s="2118" t="s">
        <v>928</v>
      </c>
      <c r="J3419" s="2122">
        <f>SUM(J3417:J3418)</f>
        <v>0.77630400000000011</v>
      </c>
      <c r="K3419" s="2123" t="s">
        <v>49</v>
      </c>
      <c r="L3419" s="2119"/>
      <c r="M3419" s="2118"/>
      <c r="N3419" s="1707"/>
      <c r="O3419" s="1707"/>
      <c r="P3419" s="1707"/>
    </row>
    <row r="3420" spans="1:18" ht="12.75" hidden="1">
      <c r="A3420" s="2114"/>
      <c r="B3420" s="192" t="s">
        <v>929</v>
      </c>
      <c r="C3420" s="568"/>
      <c r="D3420" s="568"/>
      <c r="E3420" s="188"/>
      <c r="F3420" s="188"/>
      <c r="G3420" s="568"/>
      <c r="H3420" s="2117"/>
      <c r="I3420" s="2118"/>
      <c r="J3420" s="192"/>
      <c r="K3420" s="2124"/>
      <c r="L3420" s="2119"/>
      <c r="M3420" s="2118"/>
      <c r="N3420" s="1707"/>
      <c r="O3420" s="1707"/>
      <c r="P3420" s="1707"/>
    </row>
    <row r="3421" spans="1:18" ht="12.75" hidden="1">
      <c r="A3421" s="2114"/>
      <c r="B3421" s="568"/>
      <c r="C3421" s="568"/>
      <c r="D3421" s="2122">
        <f>ROUND(J3419,3)</f>
        <v>0.77600000000000002</v>
      </c>
      <c r="E3421" s="568" t="s">
        <v>930</v>
      </c>
      <c r="F3421" s="568"/>
      <c r="G3421" s="2175"/>
      <c r="H3421" s="2123">
        <f>K3415</f>
        <v>6740.3099999999995</v>
      </c>
      <c r="I3421" s="2117" t="s">
        <v>931</v>
      </c>
      <c r="J3421" s="2176" t="s">
        <v>932</v>
      </c>
      <c r="K3421" s="2124">
        <f>ROUND(D3421*H3421,2)</f>
        <v>5230.4799999999996</v>
      </c>
      <c r="L3421" s="2119"/>
      <c r="M3421" s="2118"/>
      <c r="N3421" s="1707"/>
      <c r="O3421" s="1707"/>
      <c r="P3421" s="1707"/>
    </row>
    <row r="3422" spans="1:18" ht="12.75" hidden="1">
      <c r="A3422" s="2114"/>
      <c r="B3422" s="192" t="s">
        <v>933</v>
      </c>
      <c r="C3422" s="568"/>
      <c r="D3422" s="568"/>
      <c r="E3422" s="188"/>
      <c r="F3422" s="188"/>
      <c r="G3422" s="568"/>
      <c r="H3422" s="2117"/>
      <c r="I3422" s="2118"/>
      <c r="J3422" s="192"/>
      <c r="K3422" s="2124">
        <f>K3410+K3421</f>
        <v>10044.174999999999</v>
      </c>
      <c r="L3422" s="2119"/>
      <c r="M3422" s="2118"/>
      <c r="N3422" s="1707"/>
      <c r="O3422" s="1707"/>
      <c r="P3422" s="1707"/>
    </row>
    <row r="3423" spans="1:18" ht="12.75" hidden="1">
      <c r="A3423" s="2114"/>
      <c r="B3423" s="192"/>
      <c r="C3423" s="568"/>
      <c r="D3423" s="568"/>
      <c r="E3423" s="188"/>
      <c r="F3423" s="188"/>
      <c r="G3423" s="568"/>
      <c r="H3423" s="2117"/>
      <c r="I3423" s="2118"/>
      <c r="J3423" s="192" t="s">
        <v>379</v>
      </c>
      <c r="K3423" s="2124">
        <f>ROUND(K3422,1)</f>
        <v>10044.200000000001</v>
      </c>
      <c r="L3423" s="2119" t="s">
        <v>934</v>
      </c>
      <c r="M3423" s="2118"/>
      <c r="N3423" s="1707"/>
      <c r="O3423" s="1707"/>
      <c r="P3423" s="1707"/>
    </row>
    <row r="3424" spans="1:18" ht="12.75" hidden="1">
      <c r="A3424" s="2114" t="str">
        <f>A637</f>
        <v>(ii)</v>
      </c>
      <c r="B3424" s="192" t="str">
        <f>B637</f>
        <v>For additional / less depth of 1.00m beyond initial depth</v>
      </c>
      <c r="C3424" s="568"/>
      <c r="D3424" s="568"/>
      <c r="E3424" s="188"/>
      <c r="F3424" s="188"/>
      <c r="G3424" s="568"/>
      <c r="H3424" s="2117"/>
      <c r="I3424" s="2118"/>
      <c r="J3424" s="192"/>
      <c r="K3424" s="2124"/>
      <c r="L3424" s="2119"/>
      <c r="M3424" s="2118"/>
      <c r="N3424" s="1707"/>
      <c r="O3424" s="1707"/>
      <c r="P3424" s="1707"/>
    </row>
    <row r="3425" spans="1:16" ht="12.75" hidden="1">
      <c r="A3425" s="2114"/>
      <c r="B3425" s="192" t="s">
        <v>915</v>
      </c>
      <c r="C3425" s="568"/>
      <c r="D3425" s="568"/>
      <c r="E3425" s="188"/>
      <c r="F3425" s="188"/>
      <c r="G3425" s="568"/>
      <c r="H3425" s="2117"/>
      <c r="I3425" s="2118"/>
      <c r="J3425" s="192"/>
      <c r="K3425" s="2124"/>
      <c r="L3425" s="2119"/>
      <c r="M3425" s="2118"/>
      <c r="N3425" s="1707"/>
      <c r="O3425" s="1707"/>
      <c r="P3425" s="1707"/>
    </row>
    <row r="3426" spans="1:16" ht="12.75" hidden="1">
      <c r="A3426" s="2114"/>
      <c r="B3426" s="568" t="s">
        <v>935</v>
      </c>
      <c r="C3426" s="568"/>
      <c r="D3426" s="568"/>
      <c r="E3426" s="188"/>
      <c r="F3426" s="188"/>
      <c r="G3426" s="568"/>
      <c r="H3426" s="2117"/>
      <c r="I3426" s="2118"/>
      <c r="J3426" s="192"/>
      <c r="K3426" s="2177">
        <f>K3382*12%</f>
        <v>513.46079999999995</v>
      </c>
      <c r="L3426" s="192"/>
      <c r="M3426" s="2118"/>
      <c r="N3426" s="1707"/>
      <c r="O3426" s="1707"/>
      <c r="P3426" s="1707"/>
    </row>
    <row r="3427" spans="1:16" ht="12.75" hidden="1">
      <c r="A3427" s="2114"/>
      <c r="B3427" s="192" t="s">
        <v>936</v>
      </c>
      <c r="C3427" s="568"/>
      <c r="D3427" s="2122">
        <f>(R3416*R3416*3.14/4)*1.2</f>
        <v>8.4780000000000008E-2</v>
      </c>
      <c r="E3427" s="568" t="s">
        <v>930</v>
      </c>
      <c r="F3427" s="568"/>
      <c r="G3427" s="2175"/>
      <c r="H3427" s="2123">
        <f>H3421</f>
        <v>6740.3099999999995</v>
      </c>
      <c r="I3427" s="2117" t="s">
        <v>931</v>
      </c>
      <c r="J3427" s="2176" t="s">
        <v>932</v>
      </c>
      <c r="K3427" s="2124">
        <f>ROUND(D3427*H3427,2)</f>
        <v>571.44000000000005</v>
      </c>
      <c r="L3427" s="2119"/>
      <c r="M3427" s="2118"/>
      <c r="N3427" s="1707"/>
      <c r="O3427" s="1707"/>
      <c r="P3427" s="1707"/>
    </row>
    <row r="3428" spans="1:16" ht="12.75" hidden="1">
      <c r="A3428" s="2114"/>
      <c r="B3428" s="568"/>
      <c r="C3428" s="568"/>
      <c r="D3428" s="568"/>
      <c r="E3428" s="188"/>
      <c r="F3428" s="188"/>
      <c r="G3428" s="568"/>
      <c r="H3428" s="2117"/>
      <c r="I3428" s="2118"/>
      <c r="J3428" s="2126" t="s">
        <v>718</v>
      </c>
      <c r="K3428" s="2124">
        <f>SUM(K3426:K3427)</f>
        <v>1084.9007999999999</v>
      </c>
      <c r="L3428" s="2119" t="s">
        <v>937</v>
      </c>
      <c r="M3428" s="2118"/>
      <c r="N3428" s="1707"/>
      <c r="O3428" s="1707"/>
      <c r="P3428" s="1707"/>
    </row>
    <row r="3429" spans="1:16" ht="12.75" hidden="1">
      <c r="A3429" s="2114"/>
      <c r="B3429" s="192" t="s">
        <v>938</v>
      </c>
      <c r="C3429" s="568"/>
      <c r="D3429" s="568"/>
      <c r="E3429" s="188"/>
      <c r="F3429" s="188"/>
      <c r="G3429" s="568"/>
      <c r="H3429" s="2114">
        <v>4</v>
      </c>
      <c r="I3429" s="2114" t="s">
        <v>901</v>
      </c>
      <c r="J3429" s="2124">
        <f>K3428</f>
        <v>1084.9007999999999</v>
      </c>
      <c r="K3429" s="2124">
        <f>J3429*H3429</f>
        <v>4339.6031999999996</v>
      </c>
      <c r="L3429" s="2119"/>
      <c r="M3429" s="2118"/>
      <c r="N3429" s="1707"/>
      <c r="O3429" s="1707"/>
      <c r="P3429" s="1707"/>
    </row>
    <row r="3430" spans="1:16" ht="12.75" hidden="1">
      <c r="A3430" s="2114"/>
      <c r="B3430" s="192" t="s">
        <v>939</v>
      </c>
      <c r="C3430" s="568"/>
      <c r="D3430" s="568"/>
      <c r="E3430" s="188"/>
      <c r="F3430" s="188"/>
      <c r="G3430" s="2114"/>
      <c r="H3430" s="2119"/>
      <c r="I3430" s="2114"/>
      <c r="J3430" s="2124"/>
      <c r="K3430" s="2124">
        <f>K3422+K3429</f>
        <v>14383.778199999999</v>
      </c>
      <c r="L3430" s="2119"/>
      <c r="M3430" s="2118"/>
      <c r="N3430" s="1707"/>
      <c r="O3430" s="1707"/>
      <c r="P3430" s="1707"/>
    </row>
    <row r="3431" spans="1:16" ht="12.75" hidden="1">
      <c r="A3431" s="2114"/>
      <c r="B3431" s="192"/>
      <c r="C3431" s="568"/>
      <c r="D3431" s="568"/>
      <c r="E3431" s="188"/>
      <c r="F3431" s="188"/>
      <c r="G3431" s="2114"/>
      <c r="H3431" s="2119"/>
      <c r="I3431" s="2114"/>
      <c r="J3431" s="192" t="s">
        <v>379</v>
      </c>
      <c r="K3431" s="2124">
        <f>ROUND(K3430,1)</f>
        <v>14383.8</v>
      </c>
      <c r="L3431" s="2119" t="s">
        <v>934</v>
      </c>
      <c r="M3431" s="2118"/>
      <c r="N3431" s="1707"/>
      <c r="O3431" s="1707"/>
      <c r="P3431" s="1707"/>
    </row>
    <row r="3432" spans="1:16" ht="12.75" hidden="1">
      <c r="A3432" s="2114" t="str">
        <f>A638</f>
        <v>C)</v>
      </c>
      <c r="B3432" s="192" t="str">
        <f>B638</f>
        <v>250mm dia 10.00m long</v>
      </c>
      <c r="C3432" s="568"/>
      <c r="D3432" s="568"/>
      <c r="E3432" s="2120" t="str">
        <f>G638</f>
        <v>Each No</v>
      </c>
      <c r="F3432" s="2120"/>
      <c r="G3432" s="568"/>
      <c r="H3432" s="2117"/>
      <c r="I3432" s="2118"/>
      <c r="J3432" s="568"/>
      <c r="K3432" s="568"/>
      <c r="L3432" s="2119"/>
      <c r="M3432" s="2118"/>
      <c r="N3432" s="1707"/>
      <c r="O3432" s="1707"/>
      <c r="P3432" s="1707"/>
    </row>
    <row r="3433" spans="1:16" ht="12.75" hidden="1">
      <c r="A3433" s="2114" t="str">
        <f>A639</f>
        <v>(i)</v>
      </c>
      <c r="B3433" s="192" t="str">
        <f>B639</f>
        <v xml:space="preserve"> 250mm dia 6.00m long</v>
      </c>
      <c r="C3433" s="568"/>
      <c r="D3433" s="568"/>
      <c r="E3433" s="2120" t="str">
        <f>G639</f>
        <v>Each No</v>
      </c>
      <c r="F3433" s="2120"/>
      <c r="G3433" s="568"/>
      <c r="H3433" s="2117"/>
      <c r="I3433" s="2118"/>
      <c r="J3433" s="568"/>
      <c r="K3433" s="568"/>
      <c r="L3433" s="2119"/>
      <c r="M3433" s="2118"/>
      <c r="N3433" s="1707"/>
      <c r="O3433" s="1707"/>
      <c r="P3433" s="1707"/>
    </row>
    <row r="3434" spans="1:16" ht="12.75" hidden="1">
      <c r="A3434" s="2114"/>
      <c r="B3434" s="192" t="s">
        <v>944</v>
      </c>
      <c r="C3434" s="568"/>
      <c r="D3434" s="568"/>
      <c r="E3434" s="188"/>
      <c r="F3434" s="188"/>
      <c r="G3434" s="568"/>
      <c r="H3434" s="2117"/>
      <c r="I3434" s="2118"/>
      <c r="J3434" s="568"/>
      <c r="K3434" s="568"/>
      <c r="L3434" s="2119"/>
      <c r="M3434" s="2118"/>
      <c r="N3434" s="1707"/>
      <c r="O3434" s="1707"/>
      <c r="P3434" s="1707"/>
    </row>
    <row r="3435" spans="1:16" ht="12.75" hidden="1">
      <c r="A3435" s="2114"/>
      <c r="B3435" s="192" t="s">
        <v>915</v>
      </c>
      <c r="C3435" s="568"/>
      <c r="D3435" s="568"/>
      <c r="E3435" s="188"/>
      <c r="F3435" s="188"/>
      <c r="G3435" s="568"/>
      <c r="H3435" s="2117"/>
      <c r="I3435" s="2118"/>
      <c r="J3435" s="192"/>
      <c r="K3435" s="2124">
        <f>K3384</f>
        <v>5348.55</v>
      </c>
      <c r="L3435" s="2119"/>
      <c r="M3435" s="2118"/>
      <c r="N3435" s="1707"/>
      <c r="O3435" s="1707"/>
      <c r="P3435" s="1707"/>
    </row>
    <row r="3436" spans="1:16" ht="12.75" hidden="1">
      <c r="A3436" s="2114"/>
      <c r="B3436" s="192" t="s">
        <v>941</v>
      </c>
      <c r="C3436" s="568"/>
      <c r="D3436" s="568"/>
      <c r="E3436" s="188"/>
      <c r="F3436" s="188"/>
      <c r="G3436" s="568"/>
      <c r="H3436" s="2117"/>
      <c r="I3436" s="2118"/>
      <c r="J3436" s="2126" t="s">
        <v>718</v>
      </c>
      <c r="K3436" s="2124">
        <f>K3435*0.83</f>
        <v>4439.2965000000004</v>
      </c>
      <c r="L3436" s="2114"/>
      <c r="M3436" s="2118"/>
      <c r="N3436" s="1707"/>
      <c r="O3436" s="1707"/>
      <c r="P3436" s="1707"/>
    </row>
    <row r="3437" spans="1:16" ht="12.75" hidden="1">
      <c r="A3437" s="2114"/>
      <c r="B3437" s="192" t="s">
        <v>919</v>
      </c>
      <c r="C3437" s="568"/>
      <c r="D3437" s="568"/>
      <c r="E3437" s="188"/>
      <c r="F3437" s="188"/>
      <c r="G3437" s="568"/>
      <c r="H3437" s="2117"/>
      <c r="I3437" s="2118"/>
      <c r="J3437" s="192"/>
      <c r="K3437" s="2124"/>
      <c r="L3437" s="2119"/>
      <c r="M3437" s="2118"/>
      <c r="N3437" s="1707"/>
      <c r="O3437" s="1707"/>
      <c r="P3437" s="1707"/>
    </row>
    <row r="3438" spans="1:16" ht="12.75" hidden="1">
      <c r="A3438" s="2114"/>
      <c r="B3438" s="192" t="s">
        <v>920</v>
      </c>
      <c r="C3438" s="568"/>
      <c r="D3438" s="568"/>
      <c r="E3438" s="188"/>
      <c r="F3438" s="188"/>
      <c r="G3438" s="568"/>
      <c r="H3438" s="2117"/>
      <c r="I3438" s="2118"/>
      <c r="J3438" s="192"/>
      <c r="K3438" s="2124"/>
      <c r="L3438" s="2119"/>
      <c r="M3438" s="2118"/>
      <c r="N3438" s="1707"/>
      <c r="O3438" s="1707"/>
      <c r="P3438" s="1707"/>
    </row>
    <row r="3439" spans="1:16" ht="12.75" hidden="1">
      <c r="A3439" s="2114"/>
      <c r="B3439" s="568" t="s">
        <v>921</v>
      </c>
      <c r="C3439" s="568"/>
      <c r="D3439" s="568"/>
      <c r="E3439" s="188"/>
      <c r="F3439" s="188"/>
      <c r="G3439" s="568"/>
      <c r="H3439" s="2117"/>
      <c r="I3439" s="2118"/>
      <c r="J3439" s="192"/>
      <c r="K3439" s="2124">
        <f>K2437</f>
        <v>6527.45</v>
      </c>
      <c r="L3439" s="2119"/>
      <c r="M3439" s="2118"/>
      <c r="N3439" s="1707"/>
      <c r="O3439" s="1707"/>
      <c r="P3439" s="1707"/>
    </row>
    <row r="3440" spans="1:16" ht="12.75" hidden="1">
      <c r="A3440" s="2114"/>
      <c r="B3440" s="568" t="s">
        <v>922</v>
      </c>
      <c r="C3440" s="568"/>
      <c r="D3440" s="568"/>
      <c r="E3440" s="188"/>
      <c r="F3440" s="188"/>
      <c r="G3440" s="568">
        <v>0.34733000000000003</v>
      </c>
      <c r="H3440" s="2117" t="s">
        <v>247</v>
      </c>
      <c r="I3440" s="2118" t="s">
        <v>247</v>
      </c>
      <c r="J3440" s="2123">
        <f>L50/10</f>
        <v>612.85599999999999</v>
      </c>
      <c r="K3440" s="2124">
        <f>ROUND(G3440*J3440,2)</f>
        <v>212.86</v>
      </c>
      <c r="L3440" s="2119"/>
      <c r="M3440" s="2118"/>
      <c r="N3440" s="1707"/>
      <c r="O3440" s="1707"/>
      <c r="P3440" s="1707"/>
    </row>
    <row r="3441" spans="1:18" ht="12.75" hidden="1">
      <c r="A3441" s="2114"/>
      <c r="B3441" s="568"/>
      <c r="C3441" s="568"/>
      <c r="D3441" s="568"/>
      <c r="E3441" s="188"/>
      <c r="F3441" s="188"/>
      <c r="G3441" s="568"/>
      <c r="H3441" s="2117"/>
      <c r="I3441" s="2118"/>
      <c r="J3441" s="2126" t="s">
        <v>718</v>
      </c>
      <c r="K3441" s="2124">
        <f>SUM(K3439:K3440)</f>
        <v>6740.3099999999995</v>
      </c>
      <c r="L3441" s="2119"/>
      <c r="M3441" s="2118"/>
      <c r="N3441" s="1707"/>
      <c r="O3441" s="1707"/>
      <c r="P3441" s="1707"/>
    </row>
    <row r="3442" spans="1:18" ht="14.25" hidden="1">
      <c r="A3442" s="2114"/>
      <c r="B3442" s="192" t="s">
        <v>923</v>
      </c>
      <c r="C3442" s="568" t="s">
        <v>3962</v>
      </c>
      <c r="D3442" s="568"/>
      <c r="E3442" s="188"/>
      <c r="F3442" s="188"/>
      <c r="G3442" s="568"/>
      <c r="H3442" s="2117"/>
      <c r="I3442" s="2118"/>
      <c r="J3442" s="192"/>
      <c r="K3442" s="2124"/>
      <c r="L3442" s="2119"/>
      <c r="M3442" s="2118"/>
      <c r="N3442" s="1707"/>
      <c r="O3442" s="1707"/>
      <c r="P3442" s="1707"/>
      <c r="R3442" s="1990">
        <v>0.25</v>
      </c>
    </row>
    <row r="3443" spans="1:18" ht="12.75" hidden="1">
      <c r="A3443" s="2114"/>
      <c r="B3443" s="568"/>
      <c r="C3443" s="568" t="s">
        <v>924</v>
      </c>
      <c r="D3443" s="2122">
        <f>(R3442*R3442*3.14/4)*6</f>
        <v>0.294375</v>
      </c>
      <c r="E3443" s="685" t="s">
        <v>925</v>
      </c>
      <c r="F3443" s="685"/>
      <c r="G3443" s="2122">
        <f>(R3442*R3442*R3442*8.26)</f>
        <v>0.1290625</v>
      </c>
      <c r="H3443" s="2117" t="s">
        <v>926</v>
      </c>
      <c r="I3443" s="2118"/>
      <c r="J3443" s="2141">
        <f>D3443+G3443</f>
        <v>0.42343750000000002</v>
      </c>
      <c r="K3443" s="2124" t="s">
        <v>49</v>
      </c>
      <c r="L3443" s="2119"/>
      <c r="M3443" s="2118"/>
      <c r="N3443" s="1707"/>
      <c r="O3443" s="1707"/>
      <c r="P3443" s="1707"/>
    </row>
    <row r="3444" spans="1:18" ht="12.75" hidden="1">
      <c r="A3444" s="2114"/>
      <c r="B3444" s="568" t="s">
        <v>927</v>
      </c>
      <c r="C3444" s="568"/>
      <c r="D3444" s="568"/>
      <c r="E3444" s="685"/>
      <c r="F3444" s="685"/>
      <c r="G3444" s="2122"/>
      <c r="H3444" s="568"/>
      <c r="I3444" s="2118"/>
      <c r="J3444" s="2122">
        <f>J3443*20%</f>
        <v>8.4687500000000013E-2</v>
      </c>
      <c r="K3444" s="2123" t="s">
        <v>49</v>
      </c>
      <c r="L3444" s="2119"/>
      <c r="M3444" s="2118"/>
      <c r="N3444" s="1707"/>
      <c r="O3444" s="1707"/>
      <c r="P3444" s="1707"/>
    </row>
    <row r="3445" spans="1:18" ht="12.75" hidden="1">
      <c r="A3445" s="2114"/>
      <c r="B3445" s="568"/>
      <c r="C3445" s="568"/>
      <c r="D3445" s="568"/>
      <c r="E3445" s="685"/>
      <c r="F3445" s="685"/>
      <c r="G3445" s="2122"/>
      <c r="H3445" s="568"/>
      <c r="I3445" s="2118" t="s">
        <v>928</v>
      </c>
      <c r="J3445" s="2122">
        <f>SUM(J3443:J3444)</f>
        <v>0.50812500000000005</v>
      </c>
      <c r="K3445" s="2123" t="s">
        <v>49</v>
      </c>
      <c r="L3445" s="2119"/>
      <c r="M3445" s="2118"/>
      <c r="N3445" s="1707"/>
      <c r="O3445" s="1707"/>
      <c r="P3445" s="1707"/>
    </row>
    <row r="3446" spans="1:18" ht="12.75" hidden="1">
      <c r="A3446" s="2114"/>
      <c r="B3446" s="192" t="s">
        <v>929</v>
      </c>
      <c r="C3446" s="568"/>
      <c r="D3446" s="568"/>
      <c r="E3446" s="188"/>
      <c r="F3446" s="188"/>
      <c r="G3446" s="568"/>
      <c r="H3446" s="2117"/>
      <c r="I3446" s="2118"/>
      <c r="J3446" s="192"/>
      <c r="K3446" s="2124"/>
      <c r="L3446" s="2119"/>
      <c r="M3446" s="2118"/>
      <c r="N3446" s="1707"/>
      <c r="O3446" s="1707"/>
      <c r="P3446" s="1707"/>
    </row>
    <row r="3447" spans="1:18" ht="12.75" hidden="1">
      <c r="A3447" s="2114"/>
      <c r="B3447" s="568"/>
      <c r="C3447" s="568"/>
      <c r="D3447" s="2122">
        <f>ROUND(J3445,3)</f>
        <v>0.50800000000000001</v>
      </c>
      <c r="E3447" s="568" t="s">
        <v>930</v>
      </c>
      <c r="F3447" s="568"/>
      <c r="G3447" s="2175"/>
      <c r="H3447" s="2123">
        <f>K3441</f>
        <v>6740.3099999999995</v>
      </c>
      <c r="I3447" s="2117" t="s">
        <v>931</v>
      </c>
      <c r="J3447" s="2176" t="s">
        <v>932</v>
      </c>
      <c r="K3447" s="2124">
        <f>ROUND(D3447*H3447,2)</f>
        <v>3424.08</v>
      </c>
      <c r="L3447" s="2119"/>
      <c r="M3447" s="2118"/>
      <c r="N3447" s="1707"/>
      <c r="O3447" s="1707"/>
      <c r="P3447" s="1707"/>
    </row>
    <row r="3448" spans="1:18" ht="12.75" hidden="1">
      <c r="A3448" s="2114"/>
      <c r="B3448" s="192" t="s">
        <v>933</v>
      </c>
      <c r="C3448" s="568"/>
      <c r="D3448" s="568"/>
      <c r="E3448" s="188"/>
      <c r="F3448" s="188"/>
      <c r="G3448" s="568"/>
      <c r="H3448" s="2117"/>
      <c r="I3448" s="2118"/>
      <c r="J3448" s="192"/>
      <c r="K3448" s="2124">
        <f>K3436+K3447</f>
        <v>7863.3765000000003</v>
      </c>
      <c r="L3448" s="2119"/>
      <c r="M3448" s="2118"/>
      <c r="N3448" s="1707"/>
      <c r="O3448" s="1707"/>
      <c r="P3448" s="1707"/>
    </row>
    <row r="3449" spans="1:18" ht="12.75" hidden="1">
      <c r="A3449" s="2114"/>
      <c r="B3449" s="192"/>
      <c r="C3449" s="568"/>
      <c r="D3449" s="568"/>
      <c r="E3449" s="188"/>
      <c r="F3449" s="188"/>
      <c r="G3449" s="568"/>
      <c r="H3449" s="2117"/>
      <c r="I3449" s="2118"/>
      <c r="J3449" s="192" t="s">
        <v>379</v>
      </c>
      <c r="K3449" s="2124">
        <f>ROUND(K3448,1)</f>
        <v>7863.4</v>
      </c>
      <c r="L3449" s="2119" t="s">
        <v>934</v>
      </c>
      <c r="M3449" s="2118"/>
      <c r="N3449" s="1707"/>
      <c r="O3449" s="1707"/>
      <c r="P3449" s="1707"/>
    </row>
    <row r="3450" spans="1:18" ht="12.75" hidden="1">
      <c r="A3450" s="2114" t="str">
        <f>A640</f>
        <v>(ii)</v>
      </c>
      <c r="B3450" s="192" t="str">
        <f>B640</f>
        <v>For additional / less depth of 1.00m beyond initial depth</v>
      </c>
      <c r="C3450" s="568"/>
      <c r="D3450" s="568"/>
      <c r="E3450" s="188"/>
      <c r="F3450" s="188"/>
      <c r="G3450" s="568"/>
      <c r="H3450" s="2117"/>
      <c r="I3450" s="2118"/>
      <c r="J3450" s="192"/>
      <c r="K3450" s="2124"/>
      <c r="L3450" s="2119"/>
      <c r="M3450" s="2118"/>
      <c r="N3450" s="1707"/>
      <c r="O3450" s="1707"/>
      <c r="P3450" s="1707"/>
    </row>
    <row r="3451" spans="1:18" ht="12.75" hidden="1">
      <c r="A3451" s="2114"/>
      <c r="B3451" s="192" t="s">
        <v>915</v>
      </c>
      <c r="C3451" s="568"/>
      <c r="D3451" s="568"/>
      <c r="E3451" s="188"/>
      <c r="F3451" s="188"/>
      <c r="G3451" s="568"/>
      <c r="H3451" s="2117"/>
      <c r="I3451" s="2118"/>
      <c r="J3451" s="192"/>
      <c r="K3451" s="2124"/>
      <c r="L3451" s="2119"/>
      <c r="M3451" s="2118"/>
      <c r="N3451" s="1707"/>
      <c r="O3451" s="1707"/>
      <c r="P3451" s="1707"/>
    </row>
    <row r="3452" spans="1:18" ht="12.75" hidden="1">
      <c r="A3452" s="2114"/>
      <c r="B3452" s="568" t="s">
        <v>935</v>
      </c>
      <c r="C3452" s="568"/>
      <c r="D3452" s="568"/>
      <c r="E3452" s="188"/>
      <c r="F3452" s="188"/>
      <c r="G3452" s="568"/>
      <c r="H3452" s="2117"/>
      <c r="I3452" s="2118"/>
      <c r="J3452" s="192"/>
      <c r="K3452" s="2177">
        <f>K3382*12%</f>
        <v>513.46079999999995</v>
      </c>
      <c r="L3452" s="192"/>
      <c r="M3452" s="2118"/>
      <c r="N3452" s="1707"/>
      <c r="O3452" s="1707"/>
      <c r="P3452" s="1707"/>
    </row>
    <row r="3453" spans="1:18" ht="12.75" hidden="1">
      <c r="A3453" s="2114"/>
      <c r="B3453" s="192" t="s">
        <v>936</v>
      </c>
      <c r="C3453" s="568"/>
      <c r="D3453" s="2122">
        <f>(R3442*R3442*3.14/4)*1.2</f>
        <v>5.8874999999999997E-2</v>
      </c>
      <c r="E3453" s="568" t="s">
        <v>930</v>
      </c>
      <c r="F3453" s="568"/>
      <c r="G3453" s="2175"/>
      <c r="H3453" s="2123">
        <f>H3447</f>
        <v>6740.3099999999995</v>
      </c>
      <c r="I3453" s="2117" t="s">
        <v>931</v>
      </c>
      <c r="J3453" s="2176" t="s">
        <v>932</v>
      </c>
      <c r="K3453" s="2124">
        <f>ROUND(D3453*H3453,2)</f>
        <v>396.84</v>
      </c>
      <c r="L3453" s="2119"/>
      <c r="M3453" s="2118"/>
      <c r="N3453" s="1707"/>
      <c r="O3453" s="1707"/>
      <c r="P3453" s="1707"/>
    </row>
    <row r="3454" spans="1:18" ht="12.75" hidden="1">
      <c r="A3454" s="2114"/>
      <c r="B3454" s="568"/>
      <c r="C3454" s="568"/>
      <c r="D3454" s="568"/>
      <c r="E3454" s="188"/>
      <c r="F3454" s="188"/>
      <c r="G3454" s="568"/>
      <c r="H3454" s="2117"/>
      <c r="I3454" s="2118"/>
      <c r="J3454" s="2126" t="s">
        <v>718</v>
      </c>
      <c r="K3454" s="2124">
        <f>SUM(K3452:K3453)</f>
        <v>910.30079999999998</v>
      </c>
      <c r="L3454" s="2119" t="s">
        <v>937</v>
      </c>
      <c r="M3454" s="2118"/>
      <c r="N3454" s="1707"/>
      <c r="O3454" s="1707"/>
      <c r="P3454" s="1707"/>
    </row>
    <row r="3455" spans="1:18" ht="12.75" hidden="1">
      <c r="A3455" s="2114"/>
      <c r="B3455" s="192" t="s">
        <v>938</v>
      </c>
      <c r="C3455" s="568"/>
      <c r="D3455" s="568"/>
      <c r="E3455" s="188"/>
      <c r="F3455" s="188"/>
      <c r="G3455" s="568"/>
      <c r="H3455" s="2114">
        <v>4</v>
      </c>
      <c r="I3455" s="2114" t="s">
        <v>901</v>
      </c>
      <c r="J3455" s="2124">
        <f>K3454</f>
        <v>910.30079999999998</v>
      </c>
      <c r="K3455" s="2124">
        <f>J3455*H3455</f>
        <v>3641.2031999999999</v>
      </c>
      <c r="L3455" s="2119"/>
      <c r="M3455" s="2118"/>
      <c r="N3455" s="1707"/>
      <c r="O3455" s="1707"/>
      <c r="P3455" s="1707"/>
    </row>
    <row r="3456" spans="1:18" ht="12.75" hidden="1">
      <c r="A3456" s="2114"/>
      <c r="B3456" s="192" t="s">
        <v>939</v>
      </c>
      <c r="C3456" s="568"/>
      <c r="D3456" s="568"/>
      <c r="E3456" s="188"/>
      <c r="F3456" s="188"/>
      <c r="G3456" s="2114"/>
      <c r="H3456" s="2119"/>
      <c r="I3456" s="2114"/>
      <c r="J3456" s="2124"/>
      <c r="K3456" s="2124">
        <f>K3448+K3455</f>
        <v>11504.5797</v>
      </c>
      <c r="L3456" s="2119"/>
      <c r="M3456" s="2118"/>
      <c r="N3456" s="1707"/>
      <c r="O3456" s="1707"/>
      <c r="P3456" s="1707"/>
    </row>
    <row r="3457" spans="1:17" ht="12.75" hidden="1">
      <c r="A3457" s="2114"/>
      <c r="B3457" s="192"/>
      <c r="C3457" s="568"/>
      <c r="D3457" s="568"/>
      <c r="E3457" s="188"/>
      <c r="F3457" s="188"/>
      <c r="G3457" s="2114"/>
      <c r="H3457" s="2119"/>
      <c r="I3457" s="2114"/>
      <c r="J3457" s="192" t="s">
        <v>379</v>
      </c>
      <c r="K3457" s="2124">
        <f>ROUND(K3456,1)</f>
        <v>11504.6</v>
      </c>
      <c r="L3457" s="2119" t="s">
        <v>934</v>
      </c>
      <c r="M3457" s="2118"/>
      <c r="N3457" s="1707"/>
      <c r="O3457" s="1707"/>
      <c r="P3457" s="1707"/>
    </row>
    <row r="3458" spans="1:17" ht="12.75" hidden="1">
      <c r="A3458" s="2114" t="s">
        <v>470</v>
      </c>
      <c r="B3458" s="192" t="s">
        <v>945</v>
      </c>
      <c r="C3458" s="568"/>
      <c r="D3458" s="568"/>
      <c r="E3458" s="188"/>
      <c r="F3458" s="188"/>
      <c r="G3458" s="2114"/>
      <c r="H3458" s="2119"/>
      <c r="I3458" s="2114"/>
      <c r="J3458" s="192"/>
      <c r="K3458" s="2124"/>
      <c r="L3458" s="2119"/>
      <c r="M3458" s="2118"/>
      <c r="N3458" s="1707"/>
      <c r="O3458" s="1707"/>
      <c r="P3458" s="1707"/>
    </row>
    <row r="3459" spans="1:17" ht="12.75" hidden="1">
      <c r="A3459" s="2114"/>
      <c r="B3459" s="192" t="s">
        <v>946</v>
      </c>
      <c r="C3459" s="568"/>
      <c r="D3459" s="568"/>
      <c r="E3459" s="188"/>
      <c r="F3459" s="188"/>
      <c r="G3459" s="2114"/>
      <c r="H3459" s="2119"/>
      <c r="I3459" s="2114"/>
      <c r="J3459" s="192"/>
      <c r="K3459" s="2124"/>
      <c r="L3459" s="2119"/>
      <c r="M3459" s="2118"/>
      <c r="N3459" s="1707"/>
      <c r="O3459" s="1707"/>
      <c r="P3459" s="1707"/>
      <c r="Q3459" s="1706" t="s">
        <v>947</v>
      </c>
    </row>
    <row r="3460" spans="1:17" ht="41.65" customHeight="1">
      <c r="A3460" s="2114">
        <f t="shared" ref="A3460:B3462" si="276">A642</f>
        <v>56</v>
      </c>
      <c r="B3460" s="3025" t="str">
        <f t="shared" si="276"/>
        <v>Providing 12 mm thick C.P. with C.M. (1:6) with screened and washed sharp sand for mortar and finished smooth to the rough surface of walls in all heights after racking out joints etc. complete in all respect as directed by the Engineer in charge.</v>
      </c>
      <c r="C3460" s="3025"/>
      <c r="D3460" s="3025"/>
      <c r="E3460" s="3025"/>
      <c r="F3460" s="3025"/>
      <c r="G3460" s="3025"/>
      <c r="H3460" s="3025"/>
      <c r="I3460" s="2118"/>
      <c r="J3460" s="2124"/>
      <c r="K3460" s="2124"/>
      <c r="L3460" s="192"/>
      <c r="M3460" s="568"/>
    </row>
    <row r="3461" spans="1:17" ht="12.75">
      <c r="A3461" s="2114" t="str">
        <f t="shared" si="276"/>
        <v>A)</v>
      </c>
      <c r="B3461" s="2165" t="str">
        <f t="shared" si="276"/>
        <v>Inside Plastering</v>
      </c>
      <c r="C3461" s="568"/>
      <c r="D3461" s="568"/>
      <c r="E3461" s="188"/>
      <c r="F3461" s="188"/>
      <c r="G3461" s="2122"/>
      <c r="H3461" s="568"/>
      <c r="I3461" s="2118"/>
      <c r="J3461" s="2123"/>
      <c r="K3461" s="2123"/>
      <c r="L3461" s="192"/>
      <c r="M3461" s="568"/>
    </row>
    <row r="3462" spans="1:17" ht="12.75">
      <c r="A3462" s="2114" t="str">
        <f t="shared" si="276"/>
        <v>(i)</v>
      </c>
      <c r="B3462" s="192" t="str">
        <f t="shared" si="276"/>
        <v>Ground Floor</v>
      </c>
      <c r="C3462" s="568"/>
      <c r="D3462" s="568"/>
      <c r="E3462" s="2120" t="str">
        <f>G644</f>
        <v>Each Sqm</v>
      </c>
      <c r="F3462" s="2120"/>
      <c r="G3462" s="2122"/>
      <c r="H3462" s="568"/>
      <c r="I3462" s="2118"/>
      <c r="J3462" s="2123"/>
      <c r="K3462" s="2123"/>
      <c r="L3462" s="192"/>
      <c r="M3462" s="568"/>
    </row>
    <row r="3463" spans="1:17" ht="12.75">
      <c r="A3463" s="2114"/>
      <c r="B3463" s="568" t="s">
        <v>821</v>
      </c>
      <c r="C3463" s="568"/>
      <c r="D3463" s="568"/>
      <c r="E3463" s="188"/>
      <c r="F3463" s="188"/>
      <c r="G3463" s="2122"/>
      <c r="H3463" s="568"/>
      <c r="I3463" s="2118"/>
      <c r="J3463" s="2123"/>
      <c r="K3463" s="2123"/>
      <c r="L3463" s="192"/>
      <c r="M3463" s="568"/>
    </row>
    <row r="3464" spans="1:17" ht="12.75">
      <c r="A3464" s="2114"/>
      <c r="B3464" s="192" t="s">
        <v>822</v>
      </c>
      <c r="C3464" s="568"/>
      <c r="D3464" s="568"/>
      <c r="E3464" s="188"/>
      <c r="F3464" s="188"/>
      <c r="G3464" s="2122"/>
      <c r="H3464" s="568"/>
      <c r="I3464" s="2118"/>
      <c r="J3464" s="2123"/>
      <c r="K3464" s="2123"/>
      <c r="L3464" s="192"/>
      <c r="M3464" s="568"/>
    </row>
    <row r="3465" spans="1:17" ht="12.75">
      <c r="A3465" s="2114"/>
      <c r="B3465" s="568" t="s">
        <v>775</v>
      </c>
      <c r="C3465" s="568"/>
      <c r="D3465" s="568"/>
      <c r="E3465" s="188"/>
      <c r="F3465" s="188"/>
      <c r="G3465" s="2122">
        <v>1.4999999999999999E-2</v>
      </c>
      <c r="H3465" s="568" t="s">
        <v>49</v>
      </c>
      <c r="I3465" s="2118" t="s">
        <v>49</v>
      </c>
      <c r="J3465" s="2123">
        <f>G46</f>
        <v>76.88</v>
      </c>
      <c r="K3465" s="2123">
        <f>ROUND(G3465*J3465,2)</f>
        <v>1.1499999999999999</v>
      </c>
      <c r="L3465" s="192"/>
      <c r="M3465" s="568"/>
    </row>
    <row r="3466" spans="1:17" ht="12.75">
      <c r="A3466" s="2114"/>
      <c r="B3466" s="568" t="s">
        <v>8</v>
      </c>
      <c r="C3466" s="568"/>
      <c r="D3466" s="568"/>
      <c r="E3466" s="188"/>
      <c r="F3466" s="188"/>
      <c r="G3466" s="2164">
        <v>3.5799999999999998E-2</v>
      </c>
      <c r="H3466" s="568" t="s">
        <v>247</v>
      </c>
      <c r="I3466" s="2118" t="s">
        <v>247</v>
      </c>
      <c r="J3466" s="2123">
        <f>G50/10</f>
        <v>570.23400000000004</v>
      </c>
      <c r="K3466" s="2123">
        <f>ROUND(G3466*J3466,2)</f>
        <v>20.41</v>
      </c>
      <c r="L3466" s="192"/>
      <c r="M3466" s="568"/>
    </row>
    <row r="3467" spans="1:17" ht="12.75">
      <c r="A3467" s="2114"/>
      <c r="B3467" s="568"/>
      <c r="C3467" s="568"/>
      <c r="D3467" s="568"/>
      <c r="E3467" s="188"/>
      <c r="F3467" s="188"/>
      <c r="G3467" s="2122"/>
      <c r="H3467" s="568"/>
      <c r="I3467" s="2118"/>
      <c r="J3467" s="2134" t="s">
        <v>718</v>
      </c>
      <c r="K3467" s="2123">
        <f>SUM(K3465:K3466)</f>
        <v>21.56</v>
      </c>
      <c r="L3467" s="192"/>
      <c r="M3467" s="568"/>
    </row>
    <row r="3468" spans="1:17" ht="12.75">
      <c r="A3468" s="2114"/>
      <c r="B3468" s="192" t="s">
        <v>781</v>
      </c>
      <c r="C3468" s="568"/>
      <c r="D3468" s="568"/>
      <c r="E3468" s="188"/>
      <c r="F3468" s="188"/>
      <c r="G3468" s="2122"/>
      <c r="H3468" s="568"/>
      <c r="I3468" s="2118"/>
      <c r="J3468" s="2123"/>
      <c r="K3468" s="2123"/>
      <c r="L3468" s="192"/>
      <c r="M3468" s="568"/>
    </row>
    <row r="3469" spans="1:17" ht="12.75">
      <c r="A3469" s="2114"/>
      <c r="B3469" s="568" t="s">
        <v>782</v>
      </c>
      <c r="C3469" s="568"/>
      <c r="D3469" s="568"/>
      <c r="E3469" s="188"/>
      <c r="F3469" s="188"/>
      <c r="G3469" s="2122">
        <v>0.14000000000000001</v>
      </c>
      <c r="H3469" s="568" t="s">
        <v>262</v>
      </c>
      <c r="I3469" s="2118" t="s">
        <v>38</v>
      </c>
      <c r="J3469" s="2123">
        <f>L136</f>
        <v>435</v>
      </c>
      <c r="K3469" s="2123">
        <f>ROUND(G3469*J3469,2)</f>
        <v>60.9</v>
      </c>
      <c r="L3469" s="192"/>
      <c r="M3469" s="568"/>
    </row>
    <row r="3470" spans="1:17" ht="12.75">
      <c r="A3470" s="2114"/>
      <c r="B3470" s="568" t="s">
        <v>717</v>
      </c>
      <c r="C3470" s="568"/>
      <c r="D3470" s="568"/>
      <c r="E3470" s="188"/>
      <c r="F3470" s="188"/>
      <c r="G3470" s="2122">
        <v>0.12</v>
      </c>
      <c r="H3470" s="568" t="s">
        <v>262</v>
      </c>
      <c r="I3470" s="2118" t="s">
        <v>38</v>
      </c>
      <c r="J3470" s="2123">
        <f>L134</f>
        <v>345</v>
      </c>
      <c r="K3470" s="2123">
        <f>ROUND(G3470*J3470,2)</f>
        <v>41.4</v>
      </c>
      <c r="L3470" s="192"/>
      <c r="M3470" s="568"/>
      <c r="P3470" s="1988">
        <f>G3469+G3470</f>
        <v>0.26</v>
      </c>
    </row>
    <row r="3471" spans="1:17" ht="12.75">
      <c r="A3471" s="2114"/>
      <c r="B3471" s="568"/>
      <c r="C3471" s="568"/>
      <c r="D3471" s="568"/>
      <c r="E3471" s="188"/>
      <c r="F3471" s="188"/>
      <c r="G3471" s="2122"/>
      <c r="H3471" s="568"/>
      <c r="I3471" s="2118"/>
      <c r="J3471" s="2134" t="s">
        <v>718</v>
      </c>
      <c r="K3471" s="2123">
        <f>SUM(K3469:K3470)</f>
        <v>102.3</v>
      </c>
      <c r="L3471" s="192"/>
      <c r="M3471" s="568"/>
      <c r="P3471" s="1705">
        <f>P3470+P3470*3%</f>
        <v>0.26779999999999998</v>
      </c>
    </row>
    <row r="3472" spans="1:17" ht="12.75">
      <c r="A3472" s="2114"/>
      <c r="B3472" s="192" t="s">
        <v>3662</v>
      </c>
      <c r="C3472" s="568"/>
      <c r="D3472" s="568"/>
      <c r="E3472" s="188"/>
      <c r="F3472" s="188"/>
      <c r="G3472" s="2122"/>
      <c r="H3472" s="2135">
        <f>H3282</f>
        <v>7.4999999999999997E-2</v>
      </c>
      <c r="I3472" s="2134">
        <f>K3471+K3467</f>
        <v>123.86</v>
      </c>
      <c r="J3472" s="2134"/>
      <c r="K3472" s="2123">
        <f>ROUND(I3472*H3472,2)</f>
        <v>9.2899999999999991</v>
      </c>
      <c r="L3472" s="192"/>
      <c r="M3472" s="568"/>
    </row>
    <row r="3473" spans="1:17" ht="12.75">
      <c r="A3473" s="2114"/>
      <c r="B3473" s="192" t="s">
        <v>3661</v>
      </c>
      <c r="C3473" s="568"/>
      <c r="D3473" s="568"/>
      <c r="E3473" s="188"/>
      <c r="F3473" s="188"/>
      <c r="G3473" s="2122"/>
      <c r="H3473" s="2135">
        <f>H3472</f>
        <v>7.4999999999999997E-2</v>
      </c>
      <c r="I3473" s="2134">
        <f>I3472</f>
        <v>123.86</v>
      </c>
      <c r="J3473" s="2134"/>
      <c r="K3473" s="2123">
        <f>ROUND(I3473*H3473,2)</f>
        <v>9.2899999999999991</v>
      </c>
      <c r="L3473" s="192"/>
      <c r="M3473" s="568"/>
    </row>
    <row r="3474" spans="1:17" ht="12.75">
      <c r="A3474" s="2114"/>
      <c r="B3474" s="192" t="s">
        <v>1497</v>
      </c>
      <c r="C3474" s="568"/>
      <c r="D3474" s="568"/>
      <c r="E3474" s="188"/>
      <c r="F3474" s="188"/>
      <c r="G3474" s="2122"/>
      <c r="H3474" s="2135"/>
      <c r="I3474" s="2134"/>
      <c r="J3474" s="2134" t="s">
        <v>718</v>
      </c>
      <c r="K3474" s="2123">
        <f>K3467+K3471+K3472+K3473</f>
        <v>142.44</v>
      </c>
      <c r="L3474" s="192"/>
      <c r="M3474" s="568"/>
    </row>
    <row r="3475" spans="1:17" ht="12.75">
      <c r="A3475" s="2114"/>
      <c r="B3475" s="192" t="s">
        <v>783</v>
      </c>
      <c r="C3475" s="568"/>
      <c r="D3475" s="568"/>
      <c r="E3475" s="188"/>
      <c r="F3475" s="188"/>
      <c r="G3475" s="2122"/>
      <c r="H3475" s="568"/>
      <c r="I3475" s="2118"/>
      <c r="J3475" s="2123"/>
      <c r="K3475" s="2123"/>
      <c r="L3475" s="192"/>
      <c r="M3475" s="568"/>
    </row>
    <row r="3476" spans="1:17" ht="12.75">
      <c r="A3476" s="2114"/>
      <c r="B3476" s="568" t="s">
        <v>775</v>
      </c>
      <c r="C3476" s="568"/>
      <c r="D3476" s="568"/>
      <c r="E3476" s="188"/>
      <c r="F3476" s="188"/>
      <c r="G3476" s="2122">
        <f>G3465</f>
        <v>1.4999999999999999E-2</v>
      </c>
      <c r="H3476" s="568" t="s">
        <v>49</v>
      </c>
      <c r="I3476" s="2118" t="s">
        <v>49</v>
      </c>
      <c r="J3476" s="2123">
        <f>K46</f>
        <v>717.46</v>
      </c>
      <c r="K3476" s="2123">
        <f>ROUND(G3476*J3476,2)</f>
        <v>10.76</v>
      </c>
      <c r="L3476" s="192"/>
      <c r="M3476" s="568"/>
    </row>
    <row r="3477" spans="1:17" ht="12.75">
      <c r="A3477" s="2114"/>
      <c r="B3477" s="568" t="s">
        <v>8</v>
      </c>
      <c r="C3477" s="568"/>
      <c r="D3477" s="568"/>
      <c r="E3477" s="188"/>
      <c r="F3477" s="188"/>
      <c r="G3477" s="2164">
        <f>G3466</f>
        <v>3.5799999999999998E-2</v>
      </c>
      <c r="H3477" s="568" t="s">
        <v>247</v>
      </c>
      <c r="I3477" s="2118" t="s">
        <v>247</v>
      </c>
      <c r="J3477" s="2123">
        <f>K50/10</f>
        <v>42.622</v>
      </c>
      <c r="K3477" s="2123">
        <f>ROUND(G3477*J3477,2)</f>
        <v>1.53</v>
      </c>
      <c r="L3477" s="192"/>
      <c r="M3477" s="568"/>
    </row>
    <row r="3478" spans="1:17" ht="12.75">
      <c r="A3478" s="2114"/>
      <c r="B3478" s="568"/>
      <c r="C3478" s="568"/>
      <c r="D3478" s="568"/>
      <c r="E3478" s="188"/>
      <c r="F3478" s="188"/>
      <c r="G3478" s="2122"/>
      <c r="H3478" s="568"/>
      <c r="I3478" s="2118"/>
      <c r="J3478" s="2134" t="s">
        <v>718</v>
      </c>
      <c r="K3478" s="2123">
        <f>SUM(K3476:K3477)</f>
        <v>12.29</v>
      </c>
      <c r="L3478" s="192"/>
      <c r="M3478" s="568"/>
      <c r="O3478" s="1991">
        <f>ROUND(K3471,2)</f>
        <v>102.3</v>
      </c>
      <c r="P3478" s="1706" t="s">
        <v>3149</v>
      </c>
      <c r="Q3478" s="1709">
        <f>O3478*10</f>
        <v>1023</v>
      </c>
    </row>
    <row r="3479" spans="1:17" ht="12.75">
      <c r="A3479" s="2114"/>
      <c r="B3479" s="568"/>
      <c r="C3479" s="568"/>
      <c r="D3479" s="568"/>
      <c r="E3479" s="188"/>
      <c r="F3479" s="188"/>
      <c r="G3479" s="2122"/>
      <c r="H3479" s="568"/>
      <c r="I3479" s="2118"/>
      <c r="J3479" s="2134"/>
      <c r="K3479" s="2123">
        <f>K3474+K3478</f>
        <v>154.72999999999999</v>
      </c>
      <c r="L3479" s="192"/>
      <c r="M3479" s="568"/>
      <c r="O3479" s="1991"/>
      <c r="P3479" s="1706"/>
      <c r="Q3479" s="1709"/>
    </row>
    <row r="3480" spans="1:17" ht="12.75">
      <c r="A3480" s="2114"/>
      <c r="B3480" s="192" t="s">
        <v>3738</v>
      </c>
      <c r="C3480" s="2142">
        <v>0.01</v>
      </c>
      <c r="D3480" s="568"/>
      <c r="E3480" s="188"/>
      <c r="F3480" s="188"/>
      <c r="G3480" s="2122"/>
      <c r="H3480" s="568"/>
      <c r="I3480" s="2118"/>
      <c r="J3480" s="2134"/>
      <c r="K3480" s="2123">
        <f>ROUND(K3479*C3480,2)</f>
        <v>1.55</v>
      </c>
      <c r="L3480" s="192"/>
      <c r="M3480" s="568"/>
      <c r="O3480" s="1991"/>
      <c r="P3480" s="1706"/>
      <c r="Q3480" s="1709"/>
    </row>
    <row r="3481" spans="1:17" ht="12.75">
      <c r="A3481" s="2114"/>
      <c r="B3481" s="568" t="s">
        <v>825</v>
      </c>
      <c r="C3481" s="568"/>
      <c r="D3481" s="568"/>
      <c r="E3481" s="188"/>
      <c r="F3481" s="188"/>
      <c r="G3481" s="2122"/>
      <c r="H3481" s="568"/>
      <c r="I3481" s="2118"/>
      <c r="J3481" s="2126" t="s">
        <v>718</v>
      </c>
      <c r="K3481" s="2124">
        <f>SUM(K3479:K3480)</f>
        <v>156.28</v>
      </c>
      <c r="L3481" s="192" t="s">
        <v>730</v>
      </c>
      <c r="M3481" s="568"/>
      <c r="O3481" s="1991">
        <f>K3481-O3478</f>
        <v>53.980000000000004</v>
      </c>
      <c r="P3481" s="1706" t="s">
        <v>26</v>
      </c>
      <c r="Q3481" s="1709"/>
    </row>
    <row r="3482" spans="1:17" ht="12.75" hidden="1">
      <c r="A3482" s="2114" t="str">
        <f>A645</f>
        <v>(ii)</v>
      </c>
      <c r="B3482" s="192" t="str">
        <f>B645</f>
        <v>First Floor</v>
      </c>
      <c r="C3482" s="568"/>
      <c r="D3482" s="568"/>
      <c r="E3482" s="2120" t="str">
        <f>G644</f>
        <v>Each Sqm</v>
      </c>
      <c r="F3482" s="2120"/>
      <c r="G3482" s="2122"/>
      <c r="H3482" s="568"/>
      <c r="I3482" s="2118"/>
      <c r="J3482" s="2123"/>
      <c r="K3482" s="2123"/>
      <c r="L3482" s="192"/>
      <c r="M3482" s="568"/>
      <c r="Q3482" s="1709"/>
    </row>
    <row r="3483" spans="1:17" ht="12.75" hidden="1">
      <c r="A3483" s="2114"/>
      <c r="B3483" s="568" t="s">
        <v>722</v>
      </c>
      <c r="C3483" s="568"/>
      <c r="D3483" s="568"/>
      <c r="E3483" s="188"/>
      <c r="F3483" s="188"/>
      <c r="G3483" s="2122"/>
      <c r="H3483" s="568"/>
      <c r="I3483" s="2118"/>
      <c r="J3483" s="2123"/>
      <c r="K3483" s="2123">
        <f>K3479</f>
        <v>154.72999999999999</v>
      </c>
      <c r="L3483" s="192"/>
      <c r="M3483" s="568"/>
      <c r="Q3483" s="1709"/>
    </row>
    <row r="3484" spans="1:17" ht="12.75" hidden="1">
      <c r="A3484" s="2114"/>
      <c r="B3484" s="568" t="s">
        <v>948</v>
      </c>
      <c r="C3484" s="568"/>
      <c r="D3484" s="568"/>
      <c r="E3484" s="188"/>
      <c r="F3484" s="188"/>
      <c r="G3484" s="2122"/>
      <c r="H3484" s="2125">
        <v>0.03</v>
      </c>
      <c r="I3484" s="2134">
        <f>K3471</f>
        <v>102.3</v>
      </c>
      <c r="J3484" s="2124"/>
      <c r="K3484" s="2124">
        <f>ROUND(I3484*H3484,2)</f>
        <v>3.07</v>
      </c>
      <c r="L3484" s="192"/>
      <c r="M3484" s="568"/>
      <c r="O3484" s="1991">
        <f>O3478+K3484</f>
        <v>105.36999999999999</v>
      </c>
      <c r="P3484" s="1706" t="s">
        <v>3149</v>
      </c>
      <c r="Q3484" s="1709">
        <f>O3484*10</f>
        <v>1053.6999999999998</v>
      </c>
    </row>
    <row r="3485" spans="1:17" ht="12.75" hidden="1">
      <c r="A3485" s="2114"/>
      <c r="B3485" s="192" t="s">
        <v>3662</v>
      </c>
      <c r="C3485" s="568"/>
      <c r="D3485" s="568"/>
      <c r="E3485" s="188"/>
      <c r="F3485" s="188"/>
      <c r="G3485" s="2122"/>
      <c r="H3485" s="2135">
        <f>H3473</f>
        <v>7.4999999999999997E-2</v>
      </c>
      <c r="I3485" s="2134">
        <f>K3484</f>
        <v>3.07</v>
      </c>
      <c r="J3485" s="2134"/>
      <c r="K3485" s="2123">
        <f>ROUND(I3485*H3485,2)</f>
        <v>0.23</v>
      </c>
      <c r="L3485" s="192"/>
      <c r="M3485" s="568"/>
      <c r="O3485" s="1991"/>
      <c r="P3485" s="1706"/>
      <c r="Q3485" s="1709"/>
    </row>
    <row r="3486" spans="1:17" ht="12.75" hidden="1">
      <c r="A3486" s="2114"/>
      <c r="B3486" s="192" t="s">
        <v>3661</v>
      </c>
      <c r="C3486" s="568"/>
      <c r="D3486" s="568"/>
      <c r="E3486" s="188"/>
      <c r="F3486" s="188"/>
      <c r="G3486" s="2122"/>
      <c r="H3486" s="2135">
        <f>H3485</f>
        <v>7.4999999999999997E-2</v>
      </c>
      <c r="I3486" s="2134">
        <f>I3485</f>
        <v>3.07</v>
      </c>
      <c r="J3486" s="2134"/>
      <c r="K3486" s="2123">
        <f>ROUND(I3486*H3486,2)</f>
        <v>0.23</v>
      </c>
      <c r="L3486" s="192"/>
      <c r="M3486" s="568"/>
      <c r="O3486" s="1991"/>
      <c r="P3486" s="1706"/>
      <c r="Q3486" s="1709"/>
    </row>
    <row r="3487" spans="1:17" ht="12.75" hidden="1">
      <c r="A3487" s="2114"/>
      <c r="B3487" s="192"/>
      <c r="C3487" s="568"/>
      <c r="D3487" s="568"/>
      <c r="E3487" s="188"/>
      <c r="F3487" s="188"/>
      <c r="G3487" s="2122"/>
      <c r="H3487" s="568"/>
      <c r="I3487" s="2118"/>
      <c r="J3487" s="2124"/>
      <c r="K3487" s="2123">
        <f>SUM(K3483:K3486)</f>
        <v>158.25999999999996</v>
      </c>
      <c r="L3487" s="192"/>
      <c r="M3487" s="568"/>
      <c r="O3487" s="1991"/>
      <c r="P3487" s="1706"/>
      <c r="Q3487" s="1709"/>
    </row>
    <row r="3488" spans="1:17" ht="12.75" hidden="1">
      <c r="A3488" s="2114"/>
      <c r="B3488" s="192" t="s">
        <v>3738</v>
      </c>
      <c r="C3488" s="2142">
        <v>0.01</v>
      </c>
      <c r="D3488" s="568"/>
      <c r="E3488" s="188"/>
      <c r="F3488" s="188"/>
      <c r="G3488" s="2122"/>
      <c r="H3488" s="568"/>
      <c r="I3488" s="2118"/>
      <c r="J3488" s="2134"/>
      <c r="K3488" s="2123">
        <f>ROUND(K3487*C3488,2)</f>
        <v>1.58</v>
      </c>
      <c r="L3488" s="192"/>
      <c r="M3488" s="568"/>
      <c r="O3488" s="1991"/>
      <c r="P3488" s="1706"/>
      <c r="Q3488" s="1709"/>
    </row>
    <row r="3489" spans="1:17" ht="12.75" hidden="1">
      <c r="A3489" s="2114"/>
      <c r="B3489" s="568"/>
      <c r="C3489" s="568"/>
      <c r="D3489" s="568"/>
      <c r="E3489" s="188"/>
      <c r="F3489" s="188"/>
      <c r="G3489" s="2122"/>
      <c r="H3489" s="568"/>
      <c r="I3489" s="2118"/>
      <c r="J3489" s="2126" t="s">
        <v>718</v>
      </c>
      <c r="K3489" s="2124">
        <f>SUM(K3487:K3488)</f>
        <v>159.83999999999997</v>
      </c>
      <c r="L3489" s="192" t="s">
        <v>730</v>
      </c>
      <c r="M3489" s="568"/>
      <c r="O3489" s="1991">
        <f>K3489-O3484</f>
        <v>54.469999999999985</v>
      </c>
      <c r="P3489" s="1706" t="s">
        <v>26</v>
      </c>
      <c r="Q3489" s="1709"/>
    </row>
    <row r="3490" spans="1:17" ht="12.75" hidden="1">
      <c r="A3490" s="2114" t="str">
        <f>A646</f>
        <v>(iii)</v>
      </c>
      <c r="B3490" s="192" t="str">
        <f>B646</f>
        <v>2nd Floor</v>
      </c>
      <c r="C3490" s="568"/>
      <c r="D3490" s="568"/>
      <c r="E3490" s="2120" t="str">
        <f>G645</f>
        <v>Each Sqm</v>
      </c>
      <c r="F3490" s="2120"/>
      <c r="G3490" s="2122"/>
      <c r="H3490" s="568"/>
      <c r="I3490" s="2118"/>
      <c r="J3490" s="2123"/>
      <c r="K3490" s="2123"/>
      <c r="L3490" s="192"/>
      <c r="M3490" s="568"/>
      <c r="Q3490" s="1709"/>
    </row>
    <row r="3491" spans="1:17" ht="12.75" hidden="1">
      <c r="A3491" s="2114"/>
      <c r="B3491" s="568" t="s">
        <v>950</v>
      </c>
      <c r="C3491" s="568"/>
      <c r="D3491" s="568"/>
      <c r="E3491" s="188"/>
      <c r="F3491" s="188"/>
      <c r="G3491" s="2122"/>
      <c r="H3491" s="568"/>
      <c r="I3491" s="2118"/>
      <c r="J3491" s="2123"/>
      <c r="K3491" s="2123">
        <f>K3487</f>
        <v>158.25999999999996</v>
      </c>
      <c r="L3491" s="192"/>
      <c r="M3491" s="568"/>
      <c r="Q3491" s="1709"/>
    </row>
    <row r="3492" spans="1:17" ht="12.75" hidden="1">
      <c r="A3492" s="2114"/>
      <c r="B3492" s="568" t="s">
        <v>948</v>
      </c>
      <c r="C3492" s="568"/>
      <c r="D3492" s="568"/>
      <c r="E3492" s="188"/>
      <c r="F3492" s="188"/>
      <c r="G3492" s="2122"/>
      <c r="H3492" s="2125">
        <v>0.03</v>
      </c>
      <c r="I3492" s="2134">
        <f>I3484+K3484</f>
        <v>105.36999999999999</v>
      </c>
      <c r="J3492" s="2124"/>
      <c r="K3492" s="2124">
        <f>ROUND(I3492*H3492,2)</f>
        <v>3.16</v>
      </c>
      <c r="L3492" s="192"/>
      <c r="M3492" s="568"/>
      <c r="O3492" s="1991">
        <f>O3484+K3492</f>
        <v>108.52999999999999</v>
      </c>
      <c r="P3492" s="1706" t="s">
        <v>3149</v>
      </c>
      <c r="Q3492" s="1709">
        <f>O3492*10</f>
        <v>1085.3</v>
      </c>
    </row>
    <row r="3493" spans="1:17" ht="12.75" hidden="1">
      <c r="A3493" s="2114"/>
      <c r="B3493" s="192" t="s">
        <v>3662</v>
      </c>
      <c r="C3493" s="568"/>
      <c r="D3493" s="568"/>
      <c r="E3493" s="188"/>
      <c r="F3493" s="188"/>
      <c r="G3493" s="2122"/>
      <c r="H3493" s="2135">
        <f>H3485</f>
        <v>7.4999999999999997E-2</v>
      </c>
      <c r="I3493" s="2134">
        <f>K3492</f>
        <v>3.16</v>
      </c>
      <c r="J3493" s="2134"/>
      <c r="K3493" s="2123">
        <f>ROUND(I3493*H3493,2)</f>
        <v>0.24</v>
      </c>
      <c r="L3493" s="192"/>
      <c r="M3493" s="568"/>
      <c r="O3493" s="1991"/>
      <c r="P3493" s="1706"/>
      <c r="Q3493" s="1709"/>
    </row>
    <row r="3494" spans="1:17" ht="12.75" hidden="1">
      <c r="A3494" s="2114"/>
      <c r="B3494" s="192" t="s">
        <v>3661</v>
      </c>
      <c r="C3494" s="568"/>
      <c r="D3494" s="568"/>
      <c r="E3494" s="188"/>
      <c r="F3494" s="188"/>
      <c r="G3494" s="2122"/>
      <c r="H3494" s="2135">
        <f>H3493</f>
        <v>7.4999999999999997E-2</v>
      </c>
      <c r="I3494" s="2134">
        <f>I3493</f>
        <v>3.16</v>
      </c>
      <c r="J3494" s="2134"/>
      <c r="K3494" s="2123">
        <f>ROUND(I3494*H3494,2)</f>
        <v>0.24</v>
      </c>
      <c r="L3494" s="192"/>
      <c r="M3494" s="568"/>
      <c r="O3494" s="1991"/>
      <c r="P3494" s="1706"/>
      <c r="Q3494" s="1709"/>
    </row>
    <row r="3495" spans="1:17" ht="12.75" hidden="1">
      <c r="A3495" s="2114"/>
      <c r="B3495" s="192"/>
      <c r="C3495" s="568"/>
      <c r="D3495" s="568"/>
      <c r="E3495" s="188"/>
      <c r="F3495" s="188"/>
      <c r="G3495" s="2122"/>
      <c r="H3495" s="568"/>
      <c r="I3495" s="2118"/>
      <c r="J3495" s="2124"/>
      <c r="K3495" s="2123">
        <f>SUM(K3491:K3494)</f>
        <v>161.89999999999998</v>
      </c>
      <c r="L3495" s="192"/>
      <c r="M3495" s="568"/>
      <c r="O3495" s="1991"/>
      <c r="P3495" s="1706"/>
      <c r="Q3495" s="1709"/>
    </row>
    <row r="3496" spans="1:17" ht="12.75" hidden="1">
      <c r="A3496" s="2114"/>
      <c r="B3496" s="192" t="s">
        <v>3738</v>
      </c>
      <c r="C3496" s="2142">
        <v>0.01</v>
      </c>
      <c r="D3496" s="568"/>
      <c r="E3496" s="188"/>
      <c r="F3496" s="188"/>
      <c r="G3496" s="2122"/>
      <c r="H3496" s="568"/>
      <c r="I3496" s="2118"/>
      <c r="J3496" s="2134"/>
      <c r="K3496" s="2123">
        <f>ROUND(K3495*C3496,2)</f>
        <v>1.62</v>
      </c>
      <c r="L3496" s="192"/>
      <c r="M3496" s="568"/>
      <c r="O3496" s="1991"/>
      <c r="P3496" s="1706"/>
      <c r="Q3496" s="1709"/>
    </row>
    <row r="3497" spans="1:17" ht="12.75" hidden="1">
      <c r="A3497" s="2114"/>
      <c r="B3497" s="568"/>
      <c r="C3497" s="568"/>
      <c r="D3497" s="568"/>
      <c r="E3497" s="188"/>
      <c r="F3497" s="188"/>
      <c r="G3497" s="2122"/>
      <c r="H3497" s="568"/>
      <c r="I3497" s="2118"/>
      <c r="J3497" s="2126" t="s">
        <v>718</v>
      </c>
      <c r="K3497" s="2124">
        <f>SUM(K3495:K3496)</f>
        <v>163.51999999999998</v>
      </c>
      <c r="L3497" s="192" t="s">
        <v>730</v>
      </c>
      <c r="M3497" s="568"/>
      <c r="O3497" s="1991">
        <f>K3497-O3492</f>
        <v>54.989999999999995</v>
      </c>
      <c r="P3497" s="1706" t="s">
        <v>26</v>
      </c>
      <c r="Q3497" s="1709"/>
    </row>
    <row r="3498" spans="1:17" ht="12.75" hidden="1">
      <c r="A3498" s="2114" t="str">
        <f>A647</f>
        <v>(iv)</v>
      </c>
      <c r="B3498" s="192" t="str">
        <f>B647</f>
        <v>3rd Floor</v>
      </c>
      <c r="C3498" s="568"/>
      <c r="D3498" s="568"/>
      <c r="E3498" s="2120" t="str">
        <f>G649</f>
        <v>Each Sqm</v>
      </c>
      <c r="F3498" s="2120"/>
      <c r="G3498" s="2122"/>
      <c r="H3498" s="568"/>
      <c r="I3498" s="2118"/>
      <c r="J3498" s="2123"/>
      <c r="K3498" s="2123"/>
      <c r="L3498" s="192"/>
      <c r="M3498" s="568"/>
      <c r="Q3498" s="1709"/>
    </row>
    <row r="3499" spans="1:17" ht="12.75" hidden="1">
      <c r="A3499" s="2114"/>
      <c r="B3499" s="568" t="s">
        <v>950</v>
      </c>
      <c r="C3499" s="568"/>
      <c r="D3499" s="568"/>
      <c r="E3499" s="188"/>
      <c r="F3499" s="188"/>
      <c r="G3499" s="2122"/>
      <c r="H3499" s="568"/>
      <c r="I3499" s="2118"/>
      <c r="J3499" s="2123"/>
      <c r="K3499" s="2123">
        <f>K3495</f>
        <v>161.89999999999998</v>
      </c>
      <c r="L3499" s="192"/>
      <c r="M3499" s="568"/>
      <c r="Q3499" s="1709"/>
    </row>
    <row r="3500" spans="1:17" ht="12.75" hidden="1">
      <c r="A3500" s="2114"/>
      <c r="B3500" s="568" t="s">
        <v>948</v>
      </c>
      <c r="C3500" s="568"/>
      <c r="D3500" s="568"/>
      <c r="E3500" s="188"/>
      <c r="F3500" s="188"/>
      <c r="G3500" s="2122"/>
      <c r="H3500" s="2125">
        <v>0.03</v>
      </c>
      <c r="I3500" s="2134">
        <f>I3492+K3492</f>
        <v>108.52999999999999</v>
      </c>
      <c r="J3500" s="2124"/>
      <c r="K3500" s="2124">
        <f>ROUND(I3500*H3500,2)</f>
        <v>3.26</v>
      </c>
      <c r="L3500" s="192"/>
      <c r="M3500" s="568"/>
      <c r="O3500" s="1991">
        <f>O3492+K3500</f>
        <v>111.78999999999999</v>
      </c>
      <c r="P3500" s="1706" t="s">
        <v>3149</v>
      </c>
      <c r="Q3500" s="1709">
        <f>O3500*10</f>
        <v>1117.8999999999999</v>
      </c>
    </row>
    <row r="3501" spans="1:17" ht="12.75" hidden="1">
      <c r="A3501" s="2114"/>
      <c r="B3501" s="192" t="s">
        <v>3662</v>
      </c>
      <c r="C3501" s="568"/>
      <c r="D3501" s="568"/>
      <c r="E3501" s="188"/>
      <c r="F3501" s="188"/>
      <c r="G3501" s="2122"/>
      <c r="H3501" s="2135">
        <f>H3494</f>
        <v>7.4999999999999997E-2</v>
      </c>
      <c r="I3501" s="2134">
        <f>K3500</f>
        <v>3.26</v>
      </c>
      <c r="J3501" s="2134"/>
      <c r="K3501" s="2123">
        <f>ROUND(I3501*H3501,2)</f>
        <v>0.24</v>
      </c>
      <c r="L3501" s="192"/>
      <c r="M3501" s="568"/>
      <c r="O3501" s="1991"/>
      <c r="P3501" s="1706"/>
      <c r="Q3501" s="1709"/>
    </row>
    <row r="3502" spans="1:17" ht="12.75" hidden="1">
      <c r="A3502" s="2114"/>
      <c r="B3502" s="192" t="s">
        <v>3661</v>
      </c>
      <c r="C3502" s="568"/>
      <c r="D3502" s="568"/>
      <c r="E3502" s="188"/>
      <c r="F3502" s="188"/>
      <c r="G3502" s="2122"/>
      <c r="H3502" s="2135">
        <f>H3501</f>
        <v>7.4999999999999997E-2</v>
      </c>
      <c r="I3502" s="2134">
        <f>I3501</f>
        <v>3.26</v>
      </c>
      <c r="J3502" s="2134"/>
      <c r="K3502" s="2123">
        <f>ROUND(I3502*H3502,2)</f>
        <v>0.24</v>
      </c>
      <c r="L3502" s="192"/>
      <c r="M3502" s="568"/>
      <c r="O3502" s="1991"/>
      <c r="P3502" s="1706"/>
      <c r="Q3502" s="1709"/>
    </row>
    <row r="3503" spans="1:17" ht="12.75" hidden="1">
      <c r="A3503" s="2114"/>
      <c r="B3503" s="192"/>
      <c r="C3503" s="568"/>
      <c r="D3503" s="568"/>
      <c r="E3503" s="188"/>
      <c r="F3503" s="188"/>
      <c r="G3503" s="2122"/>
      <c r="H3503" s="568"/>
      <c r="I3503" s="2118"/>
      <c r="J3503" s="2124"/>
      <c r="K3503" s="2123">
        <f>SUM(K3499:K3502)</f>
        <v>165.64</v>
      </c>
      <c r="L3503" s="192"/>
      <c r="M3503" s="568"/>
      <c r="O3503" s="1991"/>
      <c r="P3503" s="1706"/>
      <c r="Q3503" s="1709"/>
    </row>
    <row r="3504" spans="1:17" ht="12.75" hidden="1">
      <c r="A3504" s="2114"/>
      <c r="B3504" s="192" t="s">
        <v>3738</v>
      </c>
      <c r="C3504" s="2142">
        <v>0.01</v>
      </c>
      <c r="D3504" s="568"/>
      <c r="E3504" s="188"/>
      <c r="F3504" s="188"/>
      <c r="G3504" s="2122"/>
      <c r="H3504" s="568"/>
      <c r="I3504" s="2118"/>
      <c r="J3504" s="2134"/>
      <c r="K3504" s="2123">
        <f>ROUND(K3503*C3504,2)</f>
        <v>1.66</v>
      </c>
      <c r="L3504" s="192"/>
      <c r="M3504" s="568"/>
      <c r="O3504" s="1991"/>
      <c r="P3504" s="1706"/>
      <c r="Q3504" s="1709"/>
    </row>
    <row r="3505" spans="1:16" ht="12.75" hidden="1">
      <c r="A3505" s="2114"/>
      <c r="B3505" s="568"/>
      <c r="C3505" s="568"/>
      <c r="D3505" s="568"/>
      <c r="E3505" s="188"/>
      <c r="F3505" s="188"/>
      <c r="G3505" s="2122"/>
      <c r="H3505" s="568"/>
      <c r="I3505" s="2118"/>
      <c r="J3505" s="2126" t="s">
        <v>718</v>
      </c>
      <c r="K3505" s="2124">
        <f>SUM(K3503:K3504)</f>
        <v>167.29999999999998</v>
      </c>
      <c r="L3505" s="192" t="s">
        <v>730</v>
      </c>
      <c r="M3505" s="568"/>
      <c r="O3505" s="1991">
        <f>K3505-O3500</f>
        <v>55.509999999999991</v>
      </c>
      <c r="P3505" s="1706" t="s">
        <v>26</v>
      </c>
    </row>
    <row r="3506" spans="1:16" ht="12.75" hidden="1">
      <c r="A3506" s="2114" t="str">
        <f t="shared" ref="A3506:B3508" si="277">A648</f>
        <v>B)</v>
      </c>
      <c r="B3506" s="192" t="str">
        <f t="shared" si="277"/>
        <v>Outside Plastering</v>
      </c>
      <c r="C3506" s="568"/>
      <c r="D3506" s="568"/>
      <c r="E3506" s="2120" t="str">
        <f>G648</f>
        <v>Each Sqm</v>
      </c>
      <c r="F3506" s="2120"/>
      <c r="G3506" s="2122"/>
      <c r="H3506" s="568"/>
      <c r="I3506" s="2118"/>
      <c r="J3506" s="2123"/>
      <c r="K3506" s="2124"/>
      <c r="L3506" s="192"/>
      <c r="M3506" s="568"/>
      <c r="O3506" s="1991">
        <f>O3478</f>
        <v>102.3</v>
      </c>
      <c r="P3506" s="1706" t="s">
        <v>3149</v>
      </c>
    </row>
    <row r="3507" spans="1:16" ht="12.75" hidden="1">
      <c r="A3507" s="2114" t="str">
        <f t="shared" si="277"/>
        <v>(i)</v>
      </c>
      <c r="B3507" s="192" t="str">
        <f t="shared" si="277"/>
        <v>Ground Floor</v>
      </c>
      <c r="C3507" s="568"/>
      <c r="D3507" s="568"/>
      <c r="E3507" s="2120" t="str">
        <f>G649</f>
        <v>Each Sqm</v>
      </c>
      <c r="F3507" s="2120"/>
      <c r="G3507" s="2122"/>
      <c r="H3507" s="568"/>
      <c r="I3507" s="2118"/>
      <c r="J3507" s="2123"/>
      <c r="K3507" s="2124">
        <f>K3479</f>
        <v>154.72999999999999</v>
      </c>
      <c r="L3507" s="192" t="s">
        <v>730</v>
      </c>
      <c r="M3507" s="568"/>
      <c r="O3507" s="1991">
        <f>K3507-O3506</f>
        <v>52.429999999999993</v>
      </c>
      <c r="P3507" s="1706" t="s">
        <v>26</v>
      </c>
    </row>
    <row r="3508" spans="1:16" ht="12.75" hidden="1">
      <c r="A3508" s="2114" t="str">
        <f t="shared" si="277"/>
        <v>(ii)</v>
      </c>
      <c r="B3508" s="192" t="str">
        <f t="shared" si="277"/>
        <v>First Floor</v>
      </c>
      <c r="C3508" s="568"/>
      <c r="D3508" s="568"/>
      <c r="E3508" s="2120" t="str">
        <f>G650</f>
        <v>Each Sqm</v>
      </c>
      <c r="F3508" s="2120"/>
      <c r="G3508" s="2122"/>
      <c r="H3508" s="568"/>
      <c r="I3508" s="2118"/>
      <c r="J3508" s="2123"/>
      <c r="K3508" s="2123"/>
      <c r="L3508" s="192"/>
      <c r="M3508" s="568"/>
    </row>
    <row r="3509" spans="1:16" ht="12.75" hidden="1">
      <c r="A3509" s="2114"/>
      <c r="B3509" s="568" t="s">
        <v>722</v>
      </c>
      <c r="C3509" s="568"/>
      <c r="D3509" s="568"/>
      <c r="E3509" s="188"/>
      <c r="F3509" s="188"/>
      <c r="G3509" s="2122"/>
      <c r="H3509" s="568"/>
      <c r="I3509" s="2118"/>
      <c r="J3509" s="2123"/>
      <c r="K3509" s="2123">
        <f>K3479</f>
        <v>154.72999999999999</v>
      </c>
      <c r="L3509" s="192"/>
      <c r="M3509" s="568"/>
    </row>
    <row r="3510" spans="1:16" ht="12.75" hidden="1">
      <c r="A3510" s="2114"/>
      <c r="B3510" s="568" t="s">
        <v>723</v>
      </c>
      <c r="C3510" s="568"/>
      <c r="D3510" s="568"/>
      <c r="E3510" s="188"/>
      <c r="F3510" s="188"/>
      <c r="G3510" s="2122"/>
      <c r="H3510" s="2125">
        <v>0.05</v>
      </c>
      <c r="I3510" s="2134">
        <f>K3471</f>
        <v>102.3</v>
      </c>
      <c r="J3510" s="2124"/>
      <c r="K3510" s="2124">
        <f>ROUND(I3510*H3510,2)</f>
        <v>5.12</v>
      </c>
      <c r="L3510" s="192"/>
      <c r="M3510" s="568"/>
      <c r="O3510" s="1991">
        <f>O3478+K3510</f>
        <v>107.42</v>
      </c>
      <c r="P3510" s="1706" t="s">
        <v>3149</v>
      </c>
    </row>
    <row r="3511" spans="1:16" ht="12.75" hidden="1">
      <c r="A3511" s="2114"/>
      <c r="B3511" s="192" t="s">
        <v>3662</v>
      </c>
      <c r="C3511" s="568"/>
      <c r="D3511" s="568"/>
      <c r="E3511" s="188"/>
      <c r="F3511" s="188"/>
      <c r="G3511" s="2122"/>
      <c r="H3511" s="2135">
        <f>H3501</f>
        <v>7.4999999999999997E-2</v>
      </c>
      <c r="I3511" s="2134">
        <f>K3510</f>
        <v>5.12</v>
      </c>
      <c r="J3511" s="2134"/>
      <c r="K3511" s="2123">
        <f>ROUND(I3511*H3511,2)</f>
        <v>0.38</v>
      </c>
      <c r="L3511" s="192"/>
      <c r="M3511" s="568"/>
      <c r="O3511" s="1991"/>
      <c r="P3511" s="1706"/>
    </row>
    <row r="3512" spans="1:16" ht="12.75" hidden="1">
      <c r="A3512" s="2114"/>
      <c r="B3512" s="192" t="s">
        <v>3661</v>
      </c>
      <c r="C3512" s="568"/>
      <c r="D3512" s="568"/>
      <c r="E3512" s="188"/>
      <c r="F3512" s="188"/>
      <c r="G3512" s="2122"/>
      <c r="H3512" s="2135">
        <f>H3511</f>
        <v>7.4999999999999997E-2</v>
      </c>
      <c r="I3512" s="2134">
        <f>I3511</f>
        <v>5.12</v>
      </c>
      <c r="J3512" s="2134"/>
      <c r="K3512" s="2123">
        <f>ROUND(I3512*H3512,2)</f>
        <v>0.38</v>
      </c>
      <c r="L3512" s="192"/>
      <c r="M3512" s="568"/>
      <c r="O3512" s="1991"/>
      <c r="P3512" s="1706"/>
    </row>
    <row r="3513" spans="1:16" ht="12.75" hidden="1">
      <c r="A3513" s="2114"/>
      <c r="B3513" s="192"/>
      <c r="C3513" s="568"/>
      <c r="D3513" s="568"/>
      <c r="E3513" s="188"/>
      <c r="F3513" s="188"/>
      <c r="G3513" s="2122"/>
      <c r="H3513" s="568"/>
      <c r="I3513" s="2118"/>
      <c r="J3513" s="2124"/>
      <c r="K3513" s="2123">
        <f>SUM(K3509:K3512)</f>
        <v>160.60999999999999</v>
      </c>
      <c r="L3513" s="192"/>
      <c r="M3513" s="568"/>
      <c r="O3513" s="1991"/>
      <c r="P3513" s="1706"/>
    </row>
    <row r="3514" spans="1:16" ht="12.75" hidden="1">
      <c r="A3514" s="2114"/>
      <c r="B3514" s="192" t="s">
        <v>3738</v>
      </c>
      <c r="C3514" s="2142">
        <v>0.01</v>
      </c>
      <c r="D3514" s="568"/>
      <c r="E3514" s="188"/>
      <c r="F3514" s="188"/>
      <c r="G3514" s="2122"/>
      <c r="H3514" s="568"/>
      <c r="I3514" s="2118"/>
      <c r="J3514" s="2134"/>
      <c r="K3514" s="2123">
        <f>ROUND(K3513*C3514,2)</f>
        <v>1.61</v>
      </c>
      <c r="L3514" s="192"/>
      <c r="M3514" s="568"/>
      <c r="O3514" s="1991"/>
      <c r="P3514" s="1706"/>
    </row>
    <row r="3515" spans="1:16" ht="12.75" hidden="1">
      <c r="A3515" s="2114"/>
      <c r="B3515" s="568"/>
      <c r="C3515" s="568"/>
      <c r="D3515" s="568"/>
      <c r="E3515" s="188"/>
      <c r="F3515" s="188"/>
      <c r="G3515" s="2122"/>
      <c r="H3515" s="568"/>
      <c r="I3515" s="2118"/>
      <c r="J3515" s="2126" t="s">
        <v>718</v>
      </c>
      <c r="K3515" s="2124">
        <f>SUM(K3513:K3514)</f>
        <v>162.22</v>
      </c>
      <c r="L3515" s="192" t="s">
        <v>730</v>
      </c>
      <c r="M3515" s="568"/>
      <c r="O3515" s="1991">
        <f>K3515-O3510</f>
        <v>54.8</v>
      </c>
      <c r="P3515" s="1706" t="s">
        <v>26</v>
      </c>
    </row>
    <row r="3516" spans="1:16" ht="12.75" hidden="1">
      <c r="A3516" s="2114" t="str">
        <f>A651</f>
        <v>(iii)</v>
      </c>
      <c r="B3516" s="192" t="str">
        <f>B651</f>
        <v>2nd Floor</v>
      </c>
      <c r="C3516" s="568"/>
      <c r="D3516" s="568"/>
      <c r="E3516" s="2120" t="str">
        <f>G658</f>
        <v>Each Sqm</v>
      </c>
      <c r="F3516" s="2120"/>
      <c r="G3516" s="2122"/>
      <c r="H3516" s="568"/>
      <c r="I3516" s="2118"/>
      <c r="J3516" s="2123"/>
      <c r="K3516" s="2123"/>
      <c r="L3516" s="192"/>
      <c r="M3516" s="568"/>
    </row>
    <row r="3517" spans="1:16" ht="12.75" hidden="1">
      <c r="A3517" s="2114"/>
      <c r="B3517" s="568" t="s">
        <v>950</v>
      </c>
      <c r="C3517" s="568"/>
      <c r="D3517" s="568"/>
      <c r="E3517" s="188"/>
      <c r="F3517" s="188"/>
      <c r="G3517" s="2122"/>
      <c r="H3517" s="568"/>
      <c r="I3517" s="2118"/>
      <c r="J3517" s="2123"/>
      <c r="K3517" s="2123">
        <f>K3513</f>
        <v>160.60999999999999</v>
      </c>
      <c r="L3517" s="192"/>
      <c r="M3517" s="568"/>
    </row>
    <row r="3518" spans="1:16" ht="12.75" hidden="1">
      <c r="A3518" s="2114"/>
      <c r="B3518" s="568" t="s">
        <v>723</v>
      </c>
      <c r="C3518" s="568"/>
      <c r="D3518" s="568"/>
      <c r="E3518" s="188"/>
      <c r="F3518" s="188"/>
      <c r="G3518" s="2122"/>
      <c r="H3518" s="2125">
        <f>H3510</f>
        <v>0.05</v>
      </c>
      <c r="I3518" s="2134">
        <f>I3510+K3510</f>
        <v>107.42</v>
      </c>
      <c r="J3518" s="2124"/>
      <c r="K3518" s="2124">
        <f>ROUND(I3518*H3518,2)</f>
        <v>5.37</v>
      </c>
      <c r="L3518" s="192"/>
      <c r="M3518" s="568"/>
      <c r="O3518" s="1991">
        <f>O3510+K3518</f>
        <v>112.79</v>
      </c>
      <c r="P3518" s="1706" t="s">
        <v>3149</v>
      </c>
    </row>
    <row r="3519" spans="1:16" ht="12.75" hidden="1">
      <c r="A3519" s="2114"/>
      <c r="B3519" s="192" t="s">
        <v>3662</v>
      </c>
      <c r="C3519" s="568"/>
      <c r="D3519" s="568"/>
      <c r="E3519" s="188"/>
      <c r="F3519" s="188"/>
      <c r="G3519" s="2122"/>
      <c r="H3519" s="2135">
        <f>H3512</f>
        <v>7.4999999999999997E-2</v>
      </c>
      <c r="I3519" s="2134">
        <f>K3518</f>
        <v>5.37</v>
      </c>
      <c r="J3519" s="2134"/>
      <c r="K3519" s="2123">
        <f>ROUND(I3519*H3519,2)</f>
        <v>0.4</v>
      </c>
      <c r="L3519" s="192"/>
      <c r="M3519" s="568"/>
      <c r="O3519" s="1991"/>
      <c r="P3519" s="1706"/>
    </row>
    <row r="3520" spans="1:16" ht="12.75" hidden="1">
      <c r="A3520" s="2114"/>
      <c r="B3520" s="192" t="s">
        <v>3661</v>
      </c>
      <c r="C3520" s="568"/>
      <c r="D3520" s="568"/>
      <c r="E3520" s="188"/>
      <c r="F3520" s="188"/>
      <c r="G3520" s="2122"/>
      <c r="H3520" s="2135">
        <f>H3519</f>
        <v>7.4999999999999997E-2</v>
      </c>
      <c r="I3520" s="2134">
        <f>I3519</f>
        <v>5.37</v>
      </c>
      <c r="J3520" s="2134"/>
      <c r="K3520" s="2123">
        <f>ROUND(I3520*H3520,2)</f>
        <v>0.4</v>
      </c>
      <c r="L3520" s="192"/>
      <c r="M3520" s="568"/>
      <c r="O3520" s="1991"/>
      <c r="P3520" s="1706"/>
    </row>
    <row r="3521" spans="1:16" ht="12.75" hidden="1">
      <c r="A3521" s="2114"/>
      <c r="B3521" s="192"/>
      <c r="C3521" s="568"/>
      <c r="D3521" s="568"/>
      <c r="E3521" s="188"/>
      <c r="F3521" s="188"/>
      <c r="G3521" s="2122"/>
      <c r="H3521" s="568"/>
      <c r="I3521" s="2118"/>
      <c r="J3521" s="2124"/>
      <c r="K3521" s="2123">
        <f>SUM(K3517:K3520)</f>
        <v>166.78</v>
      </c>
      <c r="L3521" s="192"/>
      <c r="M3521" s="568"/>
      <c r="O3521" s="1991"/>
      <c r="P3521" s="1706"/>
    </row>
    <row r="3522" spans="1:16" ht="12.75" hidden="1">
      <c r="A3522" s="2114"/>
      <c r="B3522" s="192" t="s">
        <v>3738</v>
      </c>
      <c r="C3522" s="2142">
        <v>0.01</v>
      </c>
      <c r="D3522" s="568"/>
      <c r="E3522" s="188"/>
      <c r="F3522" s="188"/>
      <c r="G3522" s="2122"/>
      <c r="H3522" s="568"/>
      <c r="I3522" s="2118"/>
      <c r="J3522" s="2134"/>
      <c r="K3522" s="2123">
        <f>ROUND(K3521*C3522,2)</f>
        <v>1.67</v>
      </c>
      <c r="L3522" s="192"/>
      <c r="M3522" s="568"/>
      <c r="O3522" s="1991"/>
      <c r="P3522" s="1706"/>
    </row>
    <row r="3523" spans="1:16" ht="12.75" hidden="1">
      <c r="A3523" s="2114"/>
      <c r="B3523" s="568"/>
      <c r="C3523" s="568"/>
      <c r="D3523" s="568"/>
      <c r="E3523" s="188"/>
      <c r="F3523" s="188"/>
      <c r="G3523" s="2122"/>
      <c r="H3523" s="568"/>
      <c r="I3523" s="2118"/>
      <c r="J3523" s="2126" t="s">
        <v>718</v>
      </c>
      <c r="K3523" s="2124">
        <f>SUM(K3521:K3522)</f>
        <v>168.45</v>
      </c>
      <c r="L3523" s="192" t="s">
        <v>730</v>
      </c>
      <c r="M3523" s="568"/>
      <c r="O3523" s="1991">
        <f>K3523-O3518</f>
        <v>55.659999999999982</v>
      </c>
      <c r="P3523" s="1706" t="s">
        <v>26</v>
      </c>
    </row>
    <row r="3524" spans="1:16" ht="12.75" hidden="1">
      <c r="A3524" s="2114" t="str">
        <f>A652</f>
        <v>(iv)</v>
      </c>
      <c r="B3524" s="192" t="str">
        <f>B652</f>
        <v>3rd Floor</v>
      </c>
      <c r="C3524" s="568"/>
      <c r="D3524" s="568"/>
      <c r="E3524" s="2120" t="str">
        <f>G662</f>
        <v>Each Sqm</v>
      </c>
      <c r="F3524" s="2120"/>
      <c r="G3524" s="2122"/>
      <c r="H3524" s="568"/>
      <c r="I3524" s="2118"/>
      <c r="J3524" s="2123"/>
      <c r="K3524" s="2123"/>
      <c r="L3524" s="192"/>
      <c r="M3524" s="568"/>
    </row>
    <row r="3525" spans="1:16" ht="12.75" hidden="1">
      <c r="A3525" s="2114"/>
      <c r="B3525" s="568" t="s">
        <v>950</v>
      </c>
      <c r="C3525" s="568"/>
      <c r="D3525" s="568"/>
      <c r="E3525" s="188"/>
      <c r="F3525" s="188"/>
      <c r="G3525" s="2122"/>
      <c r="H3525" s="568"/>
      <c r="I3525" s="2118"/>
      <c r="J3525" s="2123"/>
      <c r="K3525" s="2123">
        <f>K3521</f>
        <v>166.78</v>
      </c>
      <c r="L3525" s="192"/>
      <c r="M3525" s="568"/>
    </row>
    <row r="3526" spans="1:16" ht="12.75" hidden="1">
      <c r="A3526" s="2114"/>
      <c r="B3526" s="568" t="s">
        <v>723</v>
      </c>
      <c r="C3526" s="568"/>
      <c r="D3526" s="568"/>
      <c r="E3526" s="188"/>
      <c r="F3526" s="188"/>
      <c r="G3526" s="2122"/>
      <c r="H3526" s="2125">
        <f>H3518</f>
        <v>0.05</v>
      </c>
      <c r="I3526" s="2134">
        <f>I3518+K3518</f>
        <v>112.79</v>
      </c>
      <c r="J3526" s="2124"/>
      <c r="K3526" s="2124">
        <f>ROUND(I3526*H3526,2)</f>
        <v>5.64</v>
      </c>
      <c r="L3526" s="192"/>
      <c r="M3526" s="568"/>
      <c r="O3526" s="1991">
        <f>O3518+K3526</f>
        <v>118.43</v>
      </c>
      <c r="P3526" s="1706" t="s">
        <v>3149</v>
      </c>
    </row>
    <row r="3527" spans="1:16" ht="12.75" hidden="1">
      <c r="A3527" s="2114"/>
      <c r="B3527" s="192" t="s">
        <v>3662</v>
      </c>
      <c r="C3527" s="568"/>
      <c r="D3527" s="568"/>
      <c r="E3527" s="188"/>
      <c r="F3527" s="188"/>
      <c r="G3527" s="2122"/>
      <c r="H3527" s="2135">
        <f>H3520</f>
        <v>7.4999999999999997E-2</v>
      </c>
      <c r="I3527" s="2134">
        <f>K3526</f>
        <v>5.64</v>
      </c>
      <c r="J3527" s="2134"/>
      <c r="K3527" s="2123">
        <f>ROUND(I3527*H3527,2)</f>
        <v>0.42</v>
      </c>
      <c r="L3527" s="192"/>
      <c r="M3527" s="568"/>
      <c r="O3527" s="1991"/>
      <c r="P3527" s="1706"/>
    </row>
    <row r="3528" spans="1:16" ht="12.75" hidden="1">
      <c r="A3528" s="2114"/>
      <c r="B3528" s="192" t="s">
        <v>3661</v>
      </c>
      <c r="C3528" s="568"/>
      <c r="D3528" s="568"/>
      <c r="E3528" s="188"/>
      <c r="F3528" s="188"/>
      <c r="G3528" s="2122"/>
      <c r="H3528" s="2135">
        <f>H3527</f>
        <v>7.4999999999999997E-2</v>
      </c>
      <c r="I3528" s="2134">
        <f>I3527</f>
        <v>5.64</v>
      </c>
      <c r="J3528" s="2134"/>
      <c r="K3528" s="2123">
        <f>ROUND(I3528*H3528,2)</f>
        <v>0.42</v>
      </c>
      <c r="L3528" s="192"/>
      <c r="M3528" s="568"/>
      <c r="O3528" s="1991"/>
      <c r="P3528" s="1706"/>
    </row>
    <row r="3529" spans="1:16" ht="12.75" hidden="1">
      <c r="A3529" s="2114"/>
      <c r="B3529" s="192"/>
      <c r="C3529" s="568"/>
      <c r="D3529" s="568"/>
      <c r="E3529" s="188"/>
      <c r="F3529" s="188"/>
      <c r="G3529" s="2122"/>
      <c r="H3529" s="568"/>
      <c r="I3529" s="2118"/>
      <c r="J3529" s="2124"/>
      <c r="K3529" s="2123">
        <f>SUM(K3525:K3528)</f>
        <v>173.25999999999996</v>
      </c>
      <c r="L3529" s="192"/>
      <c r="M3529" s="568"/>
      <c r="O3529" s="1991"/>
      <c r="P3529" s="1706"/>
    </row>
    <row r="3530" spans="1:16" ht="12.75" hidden="1">
      <c r="A3530" s="2114"/>
      <c r="B3530" s="192" t="s">
        <v>3738</v>
      </c>
      <c r="C3530" s="2142">
        <v>0.01</v>
      </c>
      <c r="D3530" s="568"/>
      <c r="E3530" s="188"/>
      <c r="F3530" s="188"/>
      <c r="G3530" s="2122"/>
      <c r="H3530" s="568"/>
      <c r="I3530" s="2118"/>
      <c r="J3530" s="2134"/>
      <c r="K3530" s="2123">
        <f>ROUND(K3529*C3530,2)</f>
        <v>1.73</v>
      </c>
      <c r="L3530" s="192"/>
      <c r="M3530" s="568"/>
      <c r="O3530" s="1991"/>
      <c r="P3530" s="1706"/>
    </row>
    <row r="3531" spans="1:16" ht="12.75" hidden="1">
      <c r="A3531" s="2114"/>
      <c r="B3531" s="568"/>
      <c r="C3531" s="568"/>
      <c r="D3531" s="568"/>
      <c r="E3531" s="188"/>
      <c r="F3531" s="188"/>
      <c r="G3531" s="2122"/>
      <c r="H3531" s="568"/>
      <c r="I3531" s="2118"/>
      <c r="J3531" s="2126" t="s">
        <v>718</v>
      </c>
      <c r="K3531" s="2124">
        <f>SUM(K3529:K3530)</f>
        <v>174.98999999999995</v>
      </c>
      <c r="L3531" s="192" t="s">
        <v>730</v>
      </c>
      <c r="M3531" s="568"/>
      <c r="O3531" s="1991">
        <f>K3531-O3526</f>
        <v>56.559999999999945</v>
      </c>
      <c r="P3531" s="1706" t="s">
        <v>26</v>
      </c>
    </row>
    <row r="3532" spans="1:16" ht="72.75" hidden="1" customHeight="1">
      <c r="A3532" s="2114">
        <f>A653</f>
        <v>57</v>
      </c>
      <c r="B3532" s="3017" t="str">
        <f>B653</f>
        <v>Providing 12 mm thick CP with CM (1:4) and punning  for skirting in walls for dadoo with screened and washed sharp sand for mortar and finished smooth to the rough surface of walls including watering and curing etc. complete in all respect as directed by the Engineer in charge.</v>
      </c>
      <c r="C3532" s="3017"/>
      <c r="D3532" s="3017"/>
      <c r="E3532" s="2116" t="str">
        <f>G653</f>
        <v>Each Sqm</v>
      </c>
      <c r="F3532" s="2116"/>
      <c r="G3532" s="2122"/>
      <c r="H3532" s="568"/>
      <c r="I3532" s="2118"/>
      <c r="J3532" s="2124"/>
      <c r="K3532" s="2124"/>
      <c r="L3532" s="192"/>
      <c r="M3532" s="568"/>
    </row>
    <row r="3533" spans="1:16" ht="12.75" hidden="1">
      <c r="A3533" s="2114" t="str">
        <f>A654</f>
        <v>(i)</v>
      </c>
      <c r="B3533" s="192" t="str">
        <f>B654</f>
        <v>Ground Floor</v>
      </c>
      <c r="C3533" s="568"/>
      <c r="D3533" s="568"/>
      <c r="E3533" s="2120" t="str">
        <f>G654</f>
        <v>Each Sqm</v>
      </c>
      <c r="F3533" s="2120"/>
      <c r="G3533" s="2122"/>
      <c r="H3533" s="568"/>
      <c r="I3533" s="2118"/>
      <c r="J3533" s="2123"/>
      <c r="K3533" s="2123"/>
      <c r="L3533" s="192"/>
      <c r="M3533" s="568"/>
    </row>
    <row r="3534" spans="1:16" ht="12.75" hidden="1">
      <c r="A3534" s="2114"/>
      <c r="B3534" s="568" t="s">
        <v>821</v>
      </c>
      <c r="C3534" s="568"/>
      <c r="D3534" s="568"/>
      <c r="E3534" s="188"/>
      <c r="F3534" s="188"/>
      <c r="G3534" s="2122"/>
      <c r="H3534" s="568"/>
      <c r="I3534" s="2118"/>
      <c r="J3534" s="2123"/>
      <c r="K3534" s="2123"/>
      <c r="L3534" s="192"/>
      <c r="M3534" s="568"/>
    </row>
    <row r="3535" spans="1:16" ht="12.75" hidden="1">
      <c r="A3535" s="2114"/>
      <c r="B3535" s="192" t="s">
        <v>822</v>
      </c>
      <c r="C3535" s="568"/>
      <c r="D3535" s="568"/>
      <c r="E3535" s="188"/>
      <c r="F3535" s="188"/>
      <c r="G3535" s="2122"/>
      <c r="H3535" s="568"/>
      <c r="I3535" s="2118"/>
      <c r="J3535" s="2123"/>
      <c r="K3535" s="2123"/>
      <c r="L3535" s="192"/>
      <c r="M3535" s="568"/>
    </row>
    <row r="3536" spans="1:16" ht="12.75" hidden="1">
      <c r="A3536" s="2114"/>
      <c r="B3536" s="568" t="s">
        <v>775</v>
      </c>
      <c r="C3536" s="568"/>
      <c r="D3536" s="568"/>
      <c r="E3536" s="188"/>
      <c r="F3536" s="188"/>
      <c r="G3536" s="2122">
        <v>1.4999999999999999E-2</v>
      </c>
      <c r="H3536" s="568" t="s">
        <v>49</v>
      </c>
      <c r="I3536" s="2118" t="s">
        <v>49</v>
      </c>
      <c r="J3536" s="2123">
        <f>G46</f>
        <v>76.88</v>
      </c>
      <c r="K3536" s="2123">
        <f>ROUND(G3536*J3536,2)</f>
        <v>1.1499999999999999</v>
      </c>
      <c r="L3536" s="192"/>
      <c r="M3536" s="568"/>
    </row>
    <row r="3537" spans="1:16" ht="12.75" hidden="1">
      <c r="A3537" s="2114"/>
      <c r="B3537" s="568" t="s">
        <v>8</v>
      </c>
      <c r="C3537" s="568"/>
      <c r="D3537" s="568"/>
      <c r="E3537" s="188"/>
      <c r="F3537" s="188"/>
      <c r="G3537" s="2164">
        <v>6.4399999999999999E-2</v>
      </c>
      <c r="H3537" s="568" t="s">
        <v>247</v>
      </c>
      <c r="I3537" s="2118" t="s">
        <v>247</v>
      </c>
      <c r="J3537" s="2123">
        <f>G50/10</f>
        <v>570.23400000000004</v>
      </c>
      <c r="K3537" s="2140">
        <f>ROUND(G3537*J3537,2)</f>
        <v>36.72</v>
      </c>
      <c r="L3537" s="192"/>
      <c r="M3537" s="568"/>
    </row>
    <row r="3538" spans="1:16" ht="12.75" hidden="1">
      <c r="A3538" s="2114"/>
      <c r="B3538" s="568"/>
      <c r="C3538" s="568"/>
      <c r="D3538" s="568"/>
      <c r="E3538" s="188"/>
      <c r="F3538" s="188"/>
      <c r="G3538" s="2122"/>
      <c r="H3538" s="568"/>
      <c r="I3538" s="2118"/>
      <c r="J3538" s="2134" t="s">
        <v>718</v>
      </c>
      <c r="K3538" s="2123">
        <f>SUM(K3536:K3537)</f>
        <v>37.869999999999997</v>
      </c>
      <c r="L3538" s="192"/>
      <c r="M3538" s="568"/>
    </row>
    <row r="3539" spans="1:16" ht="12.75" hidden="1">
      <c r="A3539" s="2114"/>
      <c r="B3539" s="192" t="s">
        <v>781</v>
      </c>
      <c r="C3539" s="568"/>
      <c r="D3539" s="568"/>
      <c r="E3539" s="188"/>
      <c r="F3539" s="188"/>
      <c r="G3539" s="2122"/>
      <c r="H3539" s="568"/>
      <c r="I3539" s="2118"/>
      <c r="J3539" s="2123"/>
      <c r="K3539" s="2123"/>
      <c r="L3539" s="192"/>
      <c r="M3539" s="568"/>
    </row>
    <row r="3540" spans="1:16" ht="12.75" hidden="1">
      <c r="A3540" s="2114"/>
      <c r="B3540" s="568" t="s">
        <v>782</v>
      </c>
      <c r="C3540" s="568"/>
      <c r="D3540" s="568"/>
      <c r="E3540" s="188"/>
      <c r="F3540" s="188"/>
      <c r="G3540" s="2122">
        <v>0.15</v>
      </c>
      <c r="H3540" s="568" t="s">
        <v>262</v>
      </c>
      <c r="I3540" s="2118" t="s">
        <v>38</v>
      </c>
      <c r="J3540" s="2123">
        <f>L136</f>
        <v>435</v>
      </c>
      <c r="K3540" s="2123">
        <f>ROUND(G3540*J3540,2)</f>
        <v>65.25</v>
      </c>
      <c r="L3540" s="192"/>
      <c r="M3540" s="568"/>
    </row>
    <row r="3541" spans="1:16" ht="12.75" hidden="1">
      <c r="A3541" s="2114"/>
      <c r="B3541" s="568" t="s">
        <v>717</v>
      </c>
      <c r="C3541" s="568"/>
      <c r="D3541" s="568"/>
      <c r="E3541" s="188"/>
      <c r="F3541" s="188"/>
      <c r="G3541" s="2122">
        <v>0.11</v>
      </c>
      <c r="H3541" s="568" t="s">
        <v>262</v>
      </c>
      <c r="I3541" s="2118" t="s">
        <v>38</v>
      </c>
      <c r="J3541" s="2123">
        <f>L134</f>
        <v>345</v>
      </c>
      <c r="K3541" s="2140">
        <f>ROUND(G3541*J3541,2)</f>
        <v>37.950000000000003</v>
      </c>
      <c r="L3541" s="192"/>
      <c r="M3541" s="568"/>
    </row>
    <row r="3542" spans="1:16" ht="12.75" hidden="1">
      <c r="A3542" s="2114"/>
      <c r="B3542" s="568"/>
      <c r="C3542" s="568"/>
      <c r="D3542" s="568"/>
      <c r="E3542" s="188"/>
      <c r="F3542" s="188"/>
      <c r="G3542" s="2122"/>
      <c r="H3542" s="568"/>
      <c r="I3542" s="2118"/>
      <c r="J3542" s="2134" t="s">
        <v>718</v>
      </c>
      <c r="K3542" s="2123">
        <f>SUM(K3540:K3541)</f>
        <v>103.2</v>
      </c>
      <c r="L3542" s="192"/>
      <c r="M3542" s="568"/>
    </row>
    <row r="3543" spans="1:16" ht="12.75" hidden="1">
      <c r="A3543" s="2114"/>
      <c r="B3543" s="192" t="s">
        <v>3662</v>
      </c>
      <c r="C3543" s="568"/>
      <c r="D3543" s="568"/>
      <c r="E3543" s="188"/>
      <c r="F3543" s="188"/>
      <c r="G3543" s="2122"/>
      <c r="H3543" s="2135">
        <f>H3528</f>
        <v>7.4999999999999997E-2</v>
      </c>
      <c r="I3543" s="2134">
        <f>K3542+K3538</f>
        <v>141.07</v>
      </c>
      <c r="J3543" s="2134"/>
      <c r="K3543" s="2123">
        <f>ROUND(I3543*H3543,2)</f>
        <v>10.58</v>
      </c>
      <c r="L3543" s="192"/>
      <c r="M3543" s="568"/>
    </row>
    <row r="3544" spans="1:16" ht="12.75" hidden="1">
      <c r="A3544" s="2114"/>
      <c r="B3544" s="192" t="s">
        <v>3661</v>
      </c>
      <c r="C3544" s="568"/>
      <c r="D3544" s="568"/>
      <c r="E3544" s="188"/>
      <c r="F3544" s="188"/>
      <c r="G3544" s="2122"/>
      <c r="H3544" s="2135">
        <f>H3543</f>
        <v>7.4999999999999997E-2</v>
      </c>
      <c r="I3544" s="2134">
        <f>I3543</f>
        <v>141.07</v>
      </c>
      <c r="J3544" s="2134"/>
      <c r="K3544" s="2140">
        <f>ROUND(I3544*H3544,2)</f>
        <v>10.58</v>
      </c>
      <c r="L3544" s="192"/>
      <c r="M3544" s="568"/>
    </row>
    <row r="3545" spans="1:16" ht="12.75" hidden="1">
      <c r="A3545" s="2114"/>
      <c r="B3545" s="192" t="s">
        <v>1497</v>
      </c>
      <c r="C3545" s="568"/>
      <c r="D3545" s="568"/>
      <c r="E3545" s="188"/>
      <c r="F3545" s="188"/>
      <c r="G3545" s="2122"/>
      <c r="H3545" s="568"/>
      <c r="I3545" s="2118"/>
      <c r="J3545" s="2123"/>
      <c r="K3545" s="2123">
        <f>SUM(K3542:K3544)</f>
        <v>124.36</v>
      </c>
      <c r="L3545" s="192"/>
      <c r="M3545" s="568"/>
    </row>
    <row r="3546" spans="1:16" ht="12.75" hidden="1">
      <c r="A3546" s="2114"/>
      <c r="B3546" s="192" t="s">
        <v>3663</v>
      </c>
      <c r="C3546" s="568"/>
      <c r="D3546" s="568"/>
      <c r="E3546" s="188"/>
      <c r="F3546" s="188"/>
      <c r="G3546" s="2122"/>
      <c r="H3546" s="568"/>
      <c r="I3546" s="2118"/>
      <c r="J3546" s="2123"/>
      <c r="K3546" s="2123"/>
      <c r="L3546" s="192"/>
      <c r="M3546" s="568"/>
    </row>
    <row r="3547" spans="1:16" ht="12.75" hidden="1">
      <c r="A3547" s="2114"/>
      <c r="B3547" s="568" t="s">
        <v>775</v>
      </c>
      <c r="C3547" s="568"/>
      <c r="D3547" s="568"/>
      <c r="E3547" s="188"/>
      <c r="F3547" s="188"/>
      <c r="G3547" s="2122">
        <f>G3536</f>
        <v>1.4999999999999999E-2</v>
      </c>
      <c r="H3547" s="568" t="s">
        <v>49</v>
      </c>
      <c r="I3547" s="2118" t="s">
        <v>49</v>
      </c>
      <c r="J3547" s="2123">
        <f>K46</f>
        <v>717.46</v>
      </c>
      <c r="K3547" s="2123">
        <f>ROUND(G3547*J3547,2)</f>
        <v>10.76</v>
      </c>
      <c r="L3547" s="192"/>
      <c r="M3547" s="568"/>
    </row>
    <row r="3548" spans="1:16" ht="12.75" hidden="1">
      <c r="A3548" s="2114"/>
      <c r="B3548" s="568" t="s">
        <v>8</v>
      </c>
      <c r="C3548" s="568"/>
      <c r="D3548" s="568"/>
      <c r="E3548" s="188"/>
      <c r="F3548" s="188"/>
      <c r="G3548" s="2164">
        <f>G3537</f>
        <v>6.4399999999999999E-2</v>
      </c>
      <c r="H3548" s="568" t="s">
        <v>247</v>
      </c>
      <c r="I3548" s="2118" t="s">
        <v>247</v>
      </c>
      <c r="J3548" s="2123">
        <f>K50/10</f>
        <v>42.622</v>
      </c>
      <c r="K3548" s="2123">
        <f>ROUND(G3548*J3548,2)</f>
        <v>2.74</v>
      </c>
      <c r="L3548" s="192"/>
      <c r="M3548" s="568"/>
    </row>
    <row r="3549" spans="1:16" ht="12.75" hidden="1">
      <c r="A3549" s="2114"/>
      <c r="B3549" s="568"/>
      <c r="C3549" s="568"/>
      <c r="D3549" s="568"/>
      <c r="E3549" s="188"/>
      <c r="F3549" s="188"/>
      <c r="G3549" s="2122"/>
      <c r="H3549" s="568"/>
      <c r="I3549" s="2118"/>
      <c r="J3549" s="2134" t="s">
        <v>718</v>
      </c>
      <c r="K3549" s="2123">
        <f>SUM(K3547:K3548)</f>
        <v>13.5</v>
      </c>
      <c r="L3549" s="192"/>
      <c r="M3549" s="568"/>
      <c r="O3549" s="1991">
        <f>K3542</f>
        <v>103.2</v>
      </c>
      <c r="P3549" s="1706" t="s">
        <v>3149</v>
      </c>
    </row>
    <row r="3550" spans="1:16" ht="12.75" hidden="1">
      <c r="A3550" s="2114"/>
      <c r="B3550" s="568"/>
      <c r="C3550" s="568"/>
      <c r="D3550" s="568"/>
      <c r="E3550" s="188"/>
      <c r="F3550" s="188"/>
      <c r="G3550" s="2122"/>
      <c r="H3550" s="568"/>
      <c r="I3550" s="2118"/>
      <c r="J3550" s="2134" t="s">
        <v>718</v>
      </c>
      <c r="K3550" s="2123">
        <f>K3545+K3549</f>
        <v>137.86000000000001</v>
      </c>
      <c r="L3550" s="192"/>
      <c r="M3550" s="568"/>
      <c r="O3550" s="1991"/>
      <c r="P3550" s="1706"/>
    </row>
    <row r="3551" spans="1:16" ht="12.75" hidden="1">
      <c r="A3551" s="2114"/>
      <c r="B3551" s="192" t="s">
        <v>3738</v>
      </c>
      <c r="C3551" s="2142">
        <v>0.01</v>
      </c>
      <c r="D3551" s="568"/>
      <c r="E3551" s="188"/>
      <c r="F3551" s="188"/>
      <c r="G3551" s="2122"/>
      <c r="H3551" s="568"/>
      <c r="I3551" s="2118"/>
      <c r="J3551" s="2134"/>
      <c r="K3551" s="2123">
        <f>ROUND(K3550*C3551,2)</f>
        <v>1.38</v>
      </c>
      <c r="L3551" s="192"/>
      <c r="M3551" s="568"/>
      <c r="O3551" s="1991"/>
      <c r="P3551" s="1706"/>
    </row>
    <row r="3552" spans="1:16" ht="12.75" hidden="1">
      <c r="A3552" s="2114"/>
      <c r="B3552" s="568" t="s">
        <v>825</v>
      </c>
      <c r="C3552" s="568"/>
      <c r="D3552" s="568"/>
      <c r="E3552" s="188"/>
      <c r="F3552" s="188"/>
      <c r="G3552" s="2122"/>
      <c r="H3552" s="568"/>
      <c r="I3552" s="2118"/>
      <c r="J3552" s="2126" t="s">
        <v>718</v>
      </c>
      <c r="K3552" s="2124">
        <f>SUM(K3550:K3551)</f>
        <v>139.24</v>
      </c>
      <c r="L3552" s="192" t="s">
        <v>730</v>
      </c>
      <c r="M3552" s="568"/>
      <c r="O3552" s="1991">
        <f>K3552-O3549</f>
        <v>36.040000000000006</v>
      </c>
      <c r="P3552" s="1706" t="s">
        <v>26</v>
      </c>
    </row>
    <row r="3553" spans="1:16" ht="12.75" hidden="1">
      <c r="A3553" s="2114" t="str">
        <f>A655</f>
        <v>(ii)</v>
      </c>
      <c r="B3553" s="192" t="str">
        <f>B655</f>
        <v>First Floor</v>
      </c>
      <c r="C3553" s="568"/>
      <c r="D3553" s="568"/>
      <c r="E3553" s="2120" t="str">
        <f>E3533</f>
        <v>Each Sqm</v>
      </c>
      <c r="F3553" s="2120"/>
      <c r="G3553" s="2122"/>
      <c r="H3553" s="568"/>
      <c r="I3553" s="2118"/>
      <c r="J3553" s="2123"/>
      <c r="K3553" s="2123"/>
      <c r="L3553" s="192"/>
      <c r="M3553" s="568"/>
    </row>
    <row r="3554" spans="1:16" ht="12.75" hidden="1">
      <c r="A3554" s="2114"/>
      <c r="B3554" s="568" t="s">
        <v>722</v>
      </c>
      <c r="C3554" s="568"/>
      <c r="D3554" s="568"/>
      <c r="E3554" s="188"/>
      <c r="F3554" s="188"/>
      <c r="G3554" s="2122"/>
      <c r="H3554" s="568"/>
      <c r="I3554" s="2118"/>
      <c r="J3554" s="2123"/>
      <c r="K3554" s="2123">
        <f>K3550</f>
        <v>137.86000000000001</v>
      </c>
      <c r="L3554" s="192"/>
      <c r="M3554" s="568"/>
    </row>
    <row r="3555" spans="1:16" ht="12.75" hidden="1">
      <c r="A3555" s="2114"/>
      <c r="B3555" s="568" t="s">
        <v>948</v>
      </c>
      <c r="C3555" s="568"/>
      <c r="D3555" s="568"/>
      <c r="E3555" s="188"/>
      <c r="F3555" s="188"/>
      <c r="G3555" s="2122"/>
      <c r="H3555" s="2125">
        <v>0.03</v>
      </c>
      <c r="I3555" s="2134">
        <f>K3542</f>
        <v>103.2</v>
      </c>
      <c r="J3555" s="2124"/>
      <c r="K3555" s="2123">
        <f>ROUND(I3555*H3555,2)</f>
        <v>3.1</v>
      </c>
      <c r="L3555" s="192"/>
      <c r="M3555" s="568"/>
      <c r="O3555" s="1991">
        <f>O3549+K3555</f>
        <v>106.3</v>
      </c>
      <c r="P3555" s="1706" t="s">
        <v>3149</v>
      </c>
    </row>
    <row r="3556" spans="1:16" ht="12.75" hidden="1">
      <c r="A3556" s="2114"/>
      <c r="B3556" s="192" t="s">
        <v>3662</v>
      </c>
      <c r="C3556" s="568"/>
      <c r="D3556" s="568"/>
      <c r="E3556" s="188"/>
      <c r="F3556" s="188"/>
      <c r="G3556" s="2122"/>
      <c r="H3556" s="2135">
        <f>H3544</f>
        <v>7.4999999999999997E-2</v>
      </c>
      <c r="I3556" s="2134">
        <f>K3555</f>
        <v>3.1</v>
      </c>
      <c r="J3556" s="2134"/>
      <c r="K3556" s="2123">
        <f>ROUND(I3556*H3556,2)</f>
        <v>0.23</v>
      </c>
      <c r="L3556" s="192"/>
      <c r="M3556" s="568"/>
      <c r="O3556" s="1991"/>
      <c r="P3556" s="1706"/>
    </row>
    <row r="3557" spans="1:16" ht="12.75" hidden="1">
      <c r="A3557" s="2114"/>
      <c r="B3557" s="192" t="s">
        <v>3661</v>
      </c>
      <c r="C3557" s="568"/>
      <c r="D3557" s="568"/>
      <c r="E3557" s="188"/>
      <c r="F3557" s="188"/>
      <c r="G3557" s="2122"/>
      <c r="H3557" s="2135">
        <f>H3556</f>
        <v>7.4999999999999997E-2</v>
      </c>
      <c r="I3557" s="2134">
        <f>I3556</f>
        <v>3.1</v>
      </c>
      <c r="J3557" s="2134"/>
      <c r="K3557" s="2140">
        <f>ROUND(I3557*H3557,2)</f>
        <v>0.23</v>
      </c>
      <c r="L3557" s="192"/>
      <c r="M3557" s="568"/>
      <c r="O3557" s="1991"/>
      <c r="P3557" s="1706"/>
    </row>
    <row r="3558" spans="1:16" ht="12.75" hidden="1">
      <c r="A3558" s="2114"/>
      <c r="B3558" s="192"/>
      <c r="C3558" s="568"/>
      <c r="D3558" s="568"/>
      <c r="E3558" s="188"/>
      <c r="F3558" s="188"/>
      <c r="G3558" s="2122"/>
      <c r="H3558" s="568"/>
      <c r="I3558" s="2118"/>
      <c r="J3558" s="2126" t="s">
        <v>718</v>
      </c>
      <c r="K3558" s="2123">
        <f>SUM(K3554:K3557)</f>
        <v>141.41999999999999</v>
      </c>
      <c r="L3558" s="192"/>
      <c r="M3558" s="568"/>
      <c r="O3558" s="1991"/>
      <c r="P3558" s="1706"/>
    </row>
    <row r="3559" spans="1:16" ht="12.75" hidden="1">
      <c r="A3559" s="2114"/>
      <c r="B3559" s="192" t="s">
        <v>3738</v>
      </c>
      <c r="C3559" s="2142">
        <v>0.01</v>
      </c>
      <c r="D3559" s="568"/>
      <c r="E3559" s="188"/>
      <c r="F3559" s="188"/>
      <c r="G3559" s="2122"/>
      <c r="H3559" s="568"/>
      <c r="I3559" s="2118"/>
      <c r="J3559" s="2134"/>
      <c r="K3559" s="2140">
        <f>ROUND(K3558*C3559,2)</f>
        <v>1.41</v>
      </c>
      <c r="L3559" s="192"/>
      <c r="M3559" s="568"/>
      <c r="O3559" s="1991"/>
      <c r="P3559" s="1706"/>
    </row>
    <row r="3560" spans="1:16" ht="12.75" hidden="1">
      <c r="A3560" s="2114"/>
      <c r="B3560" s="568"/>
      <c r="C3560" s="568"/>
      <c r="D3560" s="568"/>
      <c r="E3560" s="188"/>
      <c r="F3560" s="188"/>
      <c r="G3560" s="2122"/>
      <c r="H3560" s="568"/>
      <c r="I3560" s="2118"/>
      <c r="J3560" s="2126" t="s">
        <v>718</v>
      </c>
      <c r="K3560" s="2124">
        <f>SUM(K3558:K3559)</f>
        <v>142.82999999999998</v>
      </c>
      <c r="L3560" s="192" t="s">
        <v>730</v>
      </c>
      <c r="M3560" s="568"/>
      <c r="O3560" s="1991">
        <f>K3560-O3555</f>
        <v>36.529999999999987</v>
      </c>
      <c r="P3560" s="1706" t="s">
        <v>26</v>
      </c>
    </row>
    <row r="3561" spans="1:16" ht="12.75" hidden="1">
      <c r="A3561" s="2114" t="str">
        <f>A656</f>
        <v>(iii)</v>
      </c>
      <c r="B3561" s="192" t="str">
        <f>B656</f>
        <v>2nd Floor</v>
      </c>
      <c r="C3561" s="568"/>
      <c r="D3561" s="568"/>
      <c r="E3561" s="2120" t="str">
        <f>E3553</f>
        <v>Each Sqm</v>
      </c>
      <c r="F3561" s="2120"/>
      <c r="G3561" s="2122"/>
      <c r="H3561" s="568"/>
      <c r="I3561" s="2118"/>
      <c r="J3561" s="2123"/>
      <c r="K3561" s="2123"/>
      <c r="L3561" s="192"/>
      <c r="M3561" s="568"/>
    </row>
    <row r="3562" spans="1:16" ht="12.75" hidden="1">
      <c r="A3562" s="2114"/>
      <c r="B3562" s="568" t="s">
        <v>722</v>
      </c>
      <c r="C3562" s="568"/>
      <c r="D3562" s="568"/>
      <c r="E3562" s="188"/>
      <c r="F3562" s="188"/>
      <c r="G3562" s="2122"/>
      <c r="H3562" s="568"/>
      <c r="I3562" s="2118"/>
      <c r="J3562" s="2123"/>
      <c r="K3562" s="2123">
        <f>K3558</f>
        <v>141.41999999999999</v>
      </c>
      <c r="L3562" s="192"/>
      <c r="M3562" s="568"/>
    </row>
    <row r="3563" spans="1:16" ht="12.75" hidden="1">
      <c r="A3563" s="2114"/>
      <c r="B3563" s="568" t="s">
        <v>948</v>
      </c>
      <c r="C3563" s="568"/>
      <c r="D3563" s="568"/>
      <c r="E3563" s="188"/>
      <c r="F3563" s="188"/>
      <c r="G3563" s="2122"/>
      <c r="H3563" s="2125">
        <v>0.03</v>
      </c>
      <c r="I3563" s="2134">
        <f>I3555+K3555</f>
        <v>106.3</v>
      </c>
      <c r="J3563" s="2124"/>
      <c r="K3563" s="2123">
        <f>ROUND(I3563*H3563,2)</f>
        <v>3.19</v>
      </c>
      <c r="L3563" s="192"/>
      <c r="M3563" s="568"/>
      <c r="O3563" s="1991">
        <f>O3555+K3563</f>
        <v>109.49</v>
      </c>
      <c r="P3563" s="1706" t="s">
        <v>3149</v>
      </c>
    </row>
    <row r="3564" spans="1:16" ht="12.75" hidden="1">
      <c r="A3564" s="2114"/>
      <c r="B3564" s="192" t="s">
        <v>3662</v>
      </c>
      <c r="C3564" s="568"/>
      <c r="D3564" s="568"/>
      <c r="E3564" s="188"/>
      <c r="F3564" s="188"/>
      <c r="G3564" s="2122"/>
      <c r="H3564" s="2135">
        <f>H3556</f>
        <v>7.4999999999999997E-2</v>
      </c>
      <c r="I3564" s="2134">
        <f>K3563</f>
        <v>3.19</v>
      </c>
      <c r="J3564" s="2134"/>
      <c r="K3564" s="2123">
        <f>ROUND(I3564*H3564,2)</f>
        <v>0.24</v>
      </c>
      <c r="L3564" s="192" t="s">
        <v>730</v>
      </c>
      <c r="M3564" s="568"/>
      <c r="O3564" s="1991">
        <f>K3564-O3563</f>
        <v>-109.25</v>
      </c>
      <c r="P3564" s="1706" t="s">
        <v>26</v>
      </c>
    </row>
    <row r="3565" spans="1:16" ht="12.75" hidden="1">
      <c r="A3565" s="2114"/>
      <c r="B3565" s="192" t="s">
        <v>3661</v>
      </c>
      <c r="C3565" s="568"/>
      <c r="D3565" s="568"/>
      <c r="E3565" s="188"/>
      <c r="F3565" s="188"/>
      <c r="G3565" s="2122"/>
      <c r="H3565" s="2135">
        <f>H3564</f>
        <v>7.4999999999999997E-2</v>
      </c>
      <c r="I3565" s="2134">
        <f>I3564</f>
        <v>3.19</v>
      </c>
      <c r="J3565" s="2134"/>
      <c r="K3565" s="2140">
        <f>ROUND(I3565*H3565,2)</f>
        <v>0.24</v>
      </c>
      <c r="L3565" s="192"/>
      <c r="M3565" s="568"/>
      <c r="O3565" s="1991"/>
      <c r="P3565" s="1706"/>
    </row>
    <row r="3566" spans="1:16" ht="12.75" hidden="1">
      <c r="A3566" s="2114"/>
      <c r="B3566" s="192"/>
      <c r="C3566" s="568"/>
      <c r="D3566" s="568"/>
      <c r="E3566" s="188"/>
      <c r="F3566" s="188"/>
      <c r="G3566" s="2122"/>
      <c r="H3566" s="568"/>
      <c r="I3566" s="2118"/>
      <c r="J3566" s="2126" t="s">
        <v>718</v>
      </c>
      <c r="K3566" s="2123">
        <f>SUM(K3562:K3565)</f>
        <v>145.09</v>
      </c>
      <c r="L3566" s="192"/>
      <c r="M3566" s="568"/>
      <c r="O3566" s="1991"/>
      <c r="P3566" s="1706"/>
    </row>
    <row r="3567" spans="1:16" ht="12.75" hidden="1">
      <c r="A3567" s="2114"/>
      <c r="B3567" s="192" t="s">
        <v>3738</v>
      </c>
      <c r="C3567" s="2142">
        <v>0.01</v>
      </c>
      <c r="D3567" s="568"/>
      <c r="E3567" s="188"/>
      <c r="F3567" s="188"/>
      <c r="G3567" s="2122"/>
      <c r="H3567" s="568"/>
      <c r="I3567" s="2118"/>
      <c r="J3567" s="2134"/>
      <c r="K3567" s="2140">
        <f>ROUND(K3566*C3567,2)</f>
        <v>1.45</v>
      </c>
      <c r="L3567" s="192"/>
      <c r="M3567" s="568"/>
      <c r="O3567" s="1991"/>
      <c r="P3567" s="1706"/>
    </row>
    <row r="3568" spans="1:16" ht="12.75" hidden="1">
      <c r="A3568" s="2114"/>
      <c r="B3568" s="568"/>
      <c r="C3568" s="568"/>
      <c r="D3568" s="568"/>
      <c r="E3568" s="188"/>
      <c r="F3568" s="188"/>
      <c r="G3568" s="2122"/>
      <c r="H3568" s="568"/>
      <c r="I3568" s="2118"/>
      <c r="J3568" s="2126" t="s">
        <v>718</v>
      </c>
      <c r="K3568" s="2124">
        <f>SUM(K3566:K3567)</f>
        <v>146.54</v>
      </c>
      <c r="L3568" s="192" t="s">
        <v>730</v>
      </c>
      <c r="M3568" s="568"/>
      <c r="O3568" s="1991"/>
      <c r="P3568" s="1706"/>
    </row>
    <row r="3569" spans="1:16" ht="12.75" hidden="1">
      <c r="A3569" s="2114" t="str">
        <f>A657</f>
        <v>(iv)</v>
      </c>
      <c r="B3569" s="192" t="str">
        <f>B657</f>
        <v>3rd Floor</v>
      </c>
      <c r="C3569" s="568"/>
      <c r="D3569" s="568"/>
      <c r="E3569" s="2120" t="str">
        <f>E3561</f>
        <v>Each Sqm</v>
      </c>
      <c r="F3569" s="2120"/>
      <c r="G3569" s="2122"/>
      <c r="H3569" s="568"/>
      <c r="I3569" s="2118"/>
      <c r="J3569" s="2123"/>
      <c r="K3569" s="2123"/>
      <c r="L3569" s="192"/>
      <c r="M3569" s="568"/>
    </row>
    <row r="3570" spans="1:16" ht="12.75" hidden="1">
      <c r="A3570" s="2114"/>
      <c r="B3570" s="568" t="s">
        <v>722</v>
      </c>
      <c r="C3570" s="568"/>
      <c r="D3570" s="568"/>
      <c r="E3570" s="188"/>
      <c r="F3570" s="188"/>
      <c r="G3570" s="2122"/>
      <c r="H3570" s="568"/>
      <c r="I3570" s="2118"/>
      <c r="J3570" s="2123"/>
      <c r="K3570" s="2123">
        <f>K3566</f>
        <v>145.09</v>
      </c>
      <c r="L3570" s="192"/>
      <c r="M3570" s="568"/>
    </row>
    <row r="3571" spans="1:16" ht="12.75" hidden="1">
      <c r="A3571" s="2114"/>
      <c r="B3571" s="568" t="s">
        <v>948</v>
      </c>
      <c r="C3571" s="568"/>
      <c r="D3571" s="568"/>
      <c r="E3571" s="188"/>
      <c r="F3571" s="188"/>
      <c r="G3571" s="2122"/>
      <c r="H3571" s="2125">
        <v>0.03</v>
      </c>
      <c r="I3571" s="2134">
        <f>I3563+K3563</f>
        <v>109.49</v>
      </c>
      <c r="J3571" s="2124"/>
      <c r="K3571" s="2124">
        <f>ROUND(I3571*H3571,2)</f>
        <v>3.28</v>
      </c>
      <c r="L3571" s="192"/>
      <c r="M3571" s="568"/>
      <c r="O3571" s="1991">
        <f>O3563+K3571</f>
        <v>112.77</v>
      </c>
      <c r="P3571" s="1706" t="s">
        <v>3149</v>
      </c>
    </row>
    <row r="3572" spans="1:16" ht="12.75" hidden="1">
      <c r="A3572" s="2114"/>
      <c r="B3572" s="192" t="s">
        <v>3662</v>
      </c>
      <c r="C3572" s="568"/>
      <c r="D3572" s="568"/>
      <c r="E3572" s="188"/>
      <c r="F3572" s="188"/>
      <c r="G3572" s="2122"/>
      <c r="H3572" s="2135">
        <f>H3564</f>
        <v>7.4999999999999997E-2</v>
      </c>
      <c r="I3572" s="2134">
        <f>K3571</f>
        <v>3.28</v>
      </c>
      <c r="J3572" s="2134"/>
      <c r="K3572" s="2123">
        <f>ROUND(I3572*H3572,2)</f>
        <v>0.25</v>
      </c>
      <c r="L3572" s="192"/>
      <c r="M3572" s="568"/>
      <c r="O3572" s="1991"/>
      <c r="P3572" s="1706"/>
    </row>
    <row r="3573" spans="1:16" ht="12.75" hidden="1">
      <c r="A3573" s="2114"/>
      <c r="B3573" s="192" t="s">
        <v>3661</v>
      </c>
      <c r="C3573" s="568"/>
      <c r="D3573" s="568"/>
      <c r="E3573" s="188"/>
      <c r="F3573" s="188"/>
      <c r="G3573" s="2122"/>
      <c r="H3573" s="2135">
        <f>H3572</f>
        <v>7.4999999999999997E-2</v>
      </c>
      <c r="I3573" s="2134">
        <f>I3572</f>
        <v>3.28</v>
      </c>
      <c r="J3573" s="2134"/>
      <c r="K3573" s="2140">
        <f>ROUND(I3573*H3573,2)</f>
        <v>0.25</v>
      </c>
      <c r="L3573" s="192"/>
      <c r="M3573" s="568"/>
      <c r="O3573" s="1991"/>
      <c r="P3573" s="1706"/>
    </row>
    <row r="3574" spans="1:16" ht="12.75" hidden="1">
      <c r="A3574" s="2114"/>
      <c r="B3574" s="192"/>
      <c r="C3574" s="568"/>
      <c r="D3574" s="568"/>
      <c r="E3574" s="188"/>
      <c r="F3574" s="188"/>
      <c r="G3574" s="2122"/>
      <c r="H3574" s="568"/>
      <c r="I3574" s="2118"/>
      <c r="J3574" s="2126" t="s">
        <v>718</v>
      </c>
      <c r="K3574" s="2123">
        <f>SUM(K3570:K3573)</f>
        <v>148.87</v>
      </c>
      <c r="L3574" s="192"/>
      <c r="M3574" s="568"/>
      <c r="O3574" s="1991"/>
      <c r="P3574" s="1706"/>
    </row>
    <row r="3575" spans="1:16" ht="12.75" hidden="1">
      <c r="A3575" s="2114"/>
      <c r="B3575" s="192" t="s">
        <v>3738</v>
      </c>
      <c r="C3575" s="2142">
        <v>0.01</v>
      </c>
      <c r="D3575" s="568"/>
      <c r="E3575" s="188"/>
      <c r="F3575" s="188"/>
      <c r="G3575" s="2122"/>
      <c r="H3575" s="568"/>
      <c r="I3575" s="2118"/>
      <c r="J3575" s="2134"/>
      <c r="K3575" s="2140">
        <f>ROUND(K3574*C3575,2)</f>
        <v>1.49</v>
      </c>
      <c r="L3575" s="192"/>
      <c r="M3575" s="568"/>
      <c r="O3575" s="1991"/>
      <c r="P3575" s="1706"/>
    </row>
    <row r="3576" spans="1:16" ht="12.75" hidden="1">
      <c r="A3576" s="2114"/>
      <c r="B3576" s="568"/>
      <c r="C3576" s="568"/>
      <c r="D3576" s="568"/>
      <c r="E3576" s="188"/>
      <c r="F3576" s="188"/>
      <c r="G3576" s="2122"/>
      <c r="H3576" s="568"/>
      <c r="I3576" s="2118"/>
      <c r="J3576" s="2126" t="s">
        <v>718</v>
      </c>
      <c r="K3576" s="2124">
        <f>SUM(K3574:K3575)</f>
        <v>150.36000000000001</v>
      </c>
      <c r="L3576" s="192" t="s">
        <v>730</v>
      </c>
      <c r="M3576" s="568"/>
      <c r="O3576" s="1991">
        <f>K3576-O3571</f>
        <v>37.590000000000018</v>
      </c>
      <c r="P3576" s="1706" t="s">
        <v>26</v>
      </c>
    </row>
    <row r="3577" spans="1:16" ht="72.75" hidden="1" customHeight="1">
      <c r="A3577" s="2114">
        <f>A658</f>
        <v>58</v>
      </c>
      <c r="B3577" s="3017" t="str">
        <f>B658</f>
        <v>Providing 12 mm thick CP with CM (1:4)punning &amp; coaltaring onecoat on top of wall surface with screened and washed sharp sand for mortar and finished smooth to the rough surface of walls  including watering and curing  etc. complete in all respect as directed by the Engineer in charge.</v>
      </c>
      <c r="C3577" s="3017"/>
      <c r="D3577" s="3017"/>
      <c r="E3577" s="2116" t="str">
        <f>G658</f>
        <v>Each Sqm</v>
      </c>
      <c r="F3577" s="2116"/>
      <c r="G3577" s="2122"/>
      <c r="H3577" s="568"/>
      <c r="I3577" s="2118"/>
      <c r="J3577" s="2124"/>
      <c r="K3577" s="2124"/>
      <c r="L3577" s="192"/>
      <c r="M3577" s="568"/>
    </row>
    <row r="3578" spans="1:16" ht="12.75" hidden="1">
      <c r="A3578" s="2114" t="str">
        <f>A659</f>
        <v>(i)</v>
      </c>
      <c r="B3578" s="192" t="str">
        <f>B659</f>
        <v>Ground Floor</v>
      </c>
      <c r="C3578" s="568"/>
      <c r="D3578" s="568"/>
      <c r="E3578" s="2120" t="str">
        <f>G659</f>
        <v>Each Sqm</v>
      </c>
      <c r="F3578" s="2120"/>
      <c r="G3578" s="2122"/>
      <c r="H3578" s="568"/>
      <c r="I3578" s="2118"/>
      <c r="J3578" s="2123"/>
      <c r="K3578" s="2123"/>
      <c r="L3578" s="192"/>
      <c r="M3578" s="568"/>
    </row>
    <row r="3579" spans="1:16" ht="12.75" hidden="1">
      <c r="A3579" s="2114"/>
      <c r="B3579" s="568" t="s">
        <v>951</v>
      </c>
      <c r="C3579" s="568"/>
      <c r="D3579" s="568"/>
      <c r="E3579" s="685"/>
      <c r="F3579" s="685"/>
      <c r="G3579" s="2122"/>
      <c r="H3579" s="2117"/>
      <c r="I3579" s="2118"/>
      <c r="J3579" s="2178"/>
      <c r="K3579" s="2124">
        <f>K3552</f>
        <v>139.24</v>
      </c>
      <c r="L3579" s="192" t="s">
        <v>730</v>
      </c>
      <c r="M3579" s="2118"/>
      <c r="N3579" s="1707"/>
      <c r="O3579" s="1707"/>
      <c r="P3579" s="1707"/>
    </row>
    <row r="3580" spans="1:16" ht="12.75" hidden="1">
      <c r="A3580" s="2114"/>
      <c r="B3580" s="192" t="s">
        <v>952</v>
      </c>
      <c r="C3580" s="568"/>
      <c r="D3580" s="568"/>
      <c r="E3580" s="685"/>
      <c r="F3580" s="685"/>
      <c r="G3580" s="2122"/>
      <c r="H3580" s="2117"/>
      <c r="I3580" s="2118"/>
      <c r="J3580" s="2178"/>
      <c r="K3580" s="2123"/>
      <c r="L3580" s="2119"/>
      <c r="M3580" s="2118"/>
      <c r="N3580" s="1707"/>
      <c r="O3580" s="1707"/>
      <c r="P3580" s="1707"/>
    </row>
    <row r="3581" spans="1:16" ht="12.75" hidden="1">
      <c r="A3581" s="2114"/>
      <c r="B3581" s="192" t="s">
        <v>953</v>
      </c>
      <c r="C3581" s="568"/>
      <c r="D3581" s="568"/>
      <c r="E3581" s="685"/>
      <c r="F3581" s="685"/>
      <c r="G3581" s="2122"/>
      <c r="H3581" s="2117"/>
      <c r="I3581" s="2118"/>
      <c r="J3581" s="2178"/>
      <c r="K3581" s="2123"/>
      <c r="L3581" s="2119"/>
      <c r="M3581" s="2118"/>
      <c r="N3581" s="1707"/>
      <c r="O3581" s="1707"/>
      <c r="P3581" s="1707"/>
    </row>
    <row r="3582" spans="1:16" ht="12.75" hidden="1">
      <c r="A3582" s="2114"/>
      <c r="B3582" s="192" t="s">
        <v>954</v>
      </c>
      <c r="C3582" s="568"/>
      <c r="D3582" s="568"/>
      <c r="E3582" s="188"/>
      <c r="F3582" s="188"/>
      <c r="G3582" s="2122"/>
      <c r="H3582" s="568"/>
      <c r="I3582" s="2118"/>
      <c r="J3582" s="2123"/>
      <c r="K3582" s="2123"/>
      <c r="L3582" s="192"/>
      <c r="M3582" s="568"/>
    </row>
    <row r="3583" spans="1:16" ht="12.75" hidden="1">
      <c r="A3583" s="2114"/>
      <c r="B3583" s="568" t="s">
        <v>717</v>
      </c>
      <c r="C3583" s="568"/>
      <c r="D3583" s="568"/>
      <c r="E3583" s="188"/>
      <c r="F3583" s="188"/>
      <c r="G3583" s="2122">
        <v>1</v>
      </c>
      <c r="H3583" s="568" t="s">
        <v>262</v>
      </c>
      <c r="I3583" s="2118" t="s">
        <v>38</v>
      </c>
      <c r="J3583" s="2123">
        <f>L134</f>
        <v>345</v>
      </c>
      <c r="K3583" s="2123">
        <f>ROUND(G3583*J3583,2)</f>
        <v>345</v>
      </c>
      <c r="L3583" s="192"/>
      <c r="M3583" s="568"/>
    </row>
    <row r="3584" spans="1:16" ht="12.75" hidden="1">
      <c r="A3584" s="2114"/>
      <c r="B3584" s="192" t="s">
        <v>3740</v>
      </c>
      <c r="C3584" s="568"/>
      <c r="D3584" s="568"/>
      <c r="E3584" s="188"/>
      <c r="F3584" s="188"/>
      <c r="G3584" s="2122"/>
      <c r="H3584" s="568"/>
      <c r="I3584" s="2118"/>
      <c r="J3584" s="2123"/>
      <c r="K3584" s="2123"/>
      <c r="L3584" s="192"/>
      <c r="M3584" s="568"/>
    </row>
    <row r="3585" spans="1:16" ht="12.75" hidden="1">
      <c r="A3585" s="2114"/>
      <c r="B3585" s="192" t="s">
        <v>958</v>
      </c>
      <c r="C3585" s="568"/>
      <c r="D3585" s="568"/>
      <c r="E3585" s="685"/>
      <c r="F3585" s="685"/>
      <c r="G3585" s="2122">
        <v>0.18</v>
      </c>
      <c r="H3585" s="568" t="s">
        <v>294</v>
      </c>
      <c r="I3585" s="2118" t="s">
        <v>294</v>
      </c>
      <c r="J3585" s="2123">
        <f>L90</f>
        <v>49.636220000000002</v>
      </c>
      <c r="K3585" s="2140">
        <f>ROUND(G3585*J3585,2)</f>
        <v>8.93</v>
      </c>
      <c r="L3585" s="2119"/>
      <c r="M3585" s="2118"/>
      <c r="N3585" s="1707"/>
      <c r="O3585" s="1707"/>
      <c r="P3585" s="1707"/>
    </row>
    <row r="3586" spans="1:16" ht="12.75" hidden="1">
      <c r="A3586" s="2114"/>
      <c r="B3586" s="568"/>
      <c r="C3586" s="568"/>
      <c r="D3586" s="568"/>
      <c r="E3586" s="188"/>
      <c r="F3586" s="188"/>
      <c r="G3586" s="2122"/>
      <c r="H3586" s="568"/>
      <c r="I3586" s="2118"/>
      <c r="J3586" s="2126" t="s">
        <v>718</v>
      </c>
      <c r="K3586" s="2179">
        <f>SUM(K3583:K3585)</f>
        <v>353.93</v>
      </c>
      <c r="L3586" s="192"/>
      <c r="M3586" s="568"/>
    </row>
    <row r="3587" spans="1:16" ht="12.75" hidden="1">
      <c r="A3587" s="2114"/>
      <c r="B3587" s="192" t="s">
        <v>3662</v>
      </c>
      <c r="C3587" s="568"/>
      <c r="D3587" s="568"/>
      <c r="E3587" s="188"/>
      <c r="F3587" s="188"/>
      <c r="G3587" s="2122"/>
      <c r="H3587" s="2135">
        <f>H3573</f>
        <v>7.4999999999999997E-2</v>
      </c>
      <c r="I3587" s="2134">
        <f>K3586</f>
        <v>353.93</v>
      </c>
      <c r="J3587" s="2134"/>
      <c r="K3587" s="2123">
        <f>ROUND(I3587*H3587,2)</f>
        <v>26.54</v>
      </c>
      <c r="L3587" s="192"/>
      <c r="M3587" s="568"/>
    </row>
    <row r="3588" spans="1:16" ht="12.75" hidden="1">
      <c r="A3588" s="2114"/>
      <c r="B3588" s="192" t="s">
        <v>3661</v>
      </c>
      <c r="C3588" s="568"/>
      <c r="D3588" s="2180"/>
      <c r="E3588" s="685"/>
      <c r="F3588" s="685"/>
      <c r="G3588" s="2122"/>
      <c r="H3588" s="2135">
        <f>H3587</f>
        <v>7.4999999999999997E-2</v>
      </c>
      <c r="I3588" s="2134">
        <f>I3587</f>
        <v>353.93</v>
      </c>
      <c r="J3588" s="2134"/>
      <c r="K3588" s="2140">
        <f>ROUND(I3588*H3588,2)</f>
        <v>26.54</v>
      </c>
      <c r="L3588" s="2119"/>
      <c r="M3588" s="2118"/>
      <c r="N3588" s="1707"/>
      <c r="O3588" s="1707"/>
      <c r="P3588" s="1707"/>
    </row>
    <row r="3589" spans="1:16" ht="12.75" hidden="1">
      <c r="A3589" s="2114"/>
      <c r="B3589" s="192" t="s">
        <v>956</v>
      </c>
      <c r="C3589" s="568"/>
      <c r="D3589" s="568"/>
      <c r="E3589" s="685"/>
      <c r="F3589" s="685"/>
      <c r="G3589" s="2122"/>
      <c r="H3589" s="2117"/>
      <c r="I3589" s="2118"/>
      <c r="J3589" s="2126" t="s">
        <v>718</v>
      </c>
      <c r="K3589" s="2124">
        <f>SUM(K3586:K3588)</f>
        <v>407.01000000000005</v>
      </c>
      <c r="L3589" s="2119"/>
      <c r="M3589" s="2118"/>
      <c r="N3589" s="1707"/>
      <c r="O3589" s="1707"/>
      <c r="P3589" s="1707"/>
    </row>
    <row r="3590" spans="1:16" ht="12.75" hidden="1">
      <c r="A3590" s="2114"/>
      <c r="B3590" s="192" t="s">
        <v>957</v>
      </c>
      <c r="C3590" s="568"/>
      <c r="D3590" s="568"/>
      <c r="E3590" s="685"/>
      <c r="F3590" s="685"/>
      <c r="G3590" s="2122"/>
      <c r="H3590" s="2117"/>
      <c r="I3590" s="2118"/>
      <c r="J3590" s="2178"/>
      <c r="K3590" s="2123">
        <f>ROUND(K3589/9.3,2)</f>
        <v>43.76</v>
      </c>
      <c r="L3590" s="2119"/>
      <c r="M3590" s="2118"/>
      <c r="N3590" s="1707"/>
      <c r="O3590" s="1707"/>
      <c r="P3590" s="1707"/>
    </row>
    <row r="3591" spans="1:16" ht="12.75" hidden="1">
      <c r="A3591" s="2114"/>
      <c r="B3591" s="192" t="s">
        <v>3738</v>
      </c>
      <c r="C3591" s="2142">
        <v>0.01</v>
      </c>
      <c r="D3591" s="568"/>
      <c r="E3591" s="188"/>
      <c r="F3591" s="188"/>
      <c r="G3591" s="2122"/>
      <c r="H3591" s="568"/>
      <c r="I3591" s="2118"/>
      <c r="J3591" s="2134"/>
      <c r="K3591" s="2140">
        <f>ROUND(K3590*C3591,2)</f>
        <v>0.44</v>
      </c>
      <c r="L3591" s="2119"/>
      <c r="M3591" s="2118"/>
      <c r="N3591" s="1707"/>
      <c r="O3591" s="1707"/>
      <c r="P3591" s="1707"/>
    </row>
    <row r="3592" spans="1:16" ht="12.75" hidden="1">
      <c r="A3592" s="2114"/>
      <c r="B3592" s="568" t="s">
        <v>959</v>
      </c>
      <c r="C3592" s="568"/>
      <c r="D3592" s="568"/>
      <c r="E3592" s="685"/>
      <c r="F3592" s="685"/>
      <c r="G3592" s="2122"/>
      <c r="H3592" s="2117"/>
      <c r="I3592" s="2118"/>
      <c r="J3592" s="2178"/>
      <c r="K3592" s="2124">
        <f>SUM(K3590:K3591)</f>
        <v>44.199999999999996</v>
      </c>
      <c r="L3592" s="2119"/>
      <c r="M3592" s="2118"/>
      <c r="N3592" s="1707"/>
      <c r="O3592" s="1991">
        <f>O3549+K3590</f>
        <v>146.96</v>
      </c>
      <c r="P3592" s="1706" t="s">
        <v>3149</v>
      </c>
    </row>
    <row r="3593" spans="1:16" ht="12.75" hidden="1">
      <c r="A3593" s="2114"/>
      <c r="B3593" s="568"/>
      <c r="C3593" s="568"/>
      <c r="D3593" s="568"/>
      <c r="E3593" s="188"/>
      <c r="F3593" s="188"/>
      <c r="G3593" s="2122"/>
      <c r="H3593" s="2117"/>
      <c r="I3593" s="2118"/>
      <c r="J3593" s="2126" t="s">
        <v>718</v>
      </c>
      <c r="K3593" s="2124">
        <f>K3579+K3592</f>
        <v>183.44</v>
      </c>
      <c r="L3593" s="192" t="s">
        <v>730</v>
      </c>
      <c r="M3593" s="2118"/>
      <c r="N3593" s="1707"/>
      <c r="O3593" s="1991">
        <f>K3593-O3592</f>
        <v>36.47999999999999</v>
      </c>
      <c r="P3593" s="1706" t="s">
        <v>26</v>
      </c>
    </row>
    <row r="3594" spans="1:16" ht="12.75" hidden="1">
      <c r="A3594" s="2114" t="str">
        <f>A660</f>
        <v>(ii)</v>
      </c>
      <c r="B3594" s="192" t="str">
        <f>B660</f>
        <v>First Floor</v>
      </c>
      <c r="C3594" s="568"/>
      <c r="D3594" s="568"/>
      <c r="E3594" s="2120" t="str">
        <f>E3578</f>
        <v>Each Sqm</v>
      </c>
      <c r="F3594" s="2120"/>
      <c r="G3594" s="2122"/>
      <c r="H3594" s="568"/>
      <c r="I3594" s="2118"/>
      <c r="J3594" s="2123"/>
      <c r="K3594" s="2123"/>
      <c r="L3594" s="192"/>
      <c r="M3594" s="568"/>
    </row>
    <row r="3595" spans="1:16" ht="12.75" hidden="1">
      <c r="A3595" s="2114"/>
      <c r="B3595" s="568" t="s">
        <v>951</v>
      </c>
      <c r="C3595" s="568"/>
      <c r="D3595" s="568"/>
      <c r="E3595" s="188"/>
      <c r="F3595" s="188"/>
      <c r="G3595" s="2122"/>
      <c r="H3595" s="568"/>
      <c r="I3595" s="2118"/>
      <c r="J3595" s="2123"/>
      <c r="K3595" s="2123">
        <f>K3579</f>
        <v>139.24</v>
      </c>
      <c r="L3595" s="192"/>
      <c r="M3595" s="568"/>
    </row>
    <row r="3596" spans="1:16" ht="12.75" hidden="1">
      <c r="A3596" s="2114"/>
      <c r="B3596" s="568" t="s">
        <v>960</v>
      </c>
      <c r="C3596" s="568" t="s">
        <v>961</v>
      </c>
      <c r="D3596" s="568"/>
      <c r="E3596" s="188"/>
      <c r="F3596" s="188"/>
      <c r="G3596" s="2122"/>
      <c r="H3596" s="568"/>
      <c r="I3596" s="2118"/>
      <c r="J3596" s="2123"/>
      <c r="K3596" s="2140">
        <f>K3592</f>
        <v>44.199999999999996</v>
      </c>
      <c r="L3596" s="192"/>
      <c r="M3596" s="568"/>
    </row>
    <row r="3597" spans="1:16" ht="12.75" hidden="1">
      <c r="A3597" s="2114"/>
      <c r="B3597" s="568"/>
      <c r="C3597" s="568"/>
      <c r="D3597" s="568"/>
      <c r="E3597" s="188"/>
      <c r="F3597" s="188"/>
      <c r="G3597" s="2122"/>
      <c r="H3597" s="568"/>
      <c r="I3597" s="2118"/>
      <c r="J3597" s="2126" t="s">
        <v>718</v>
      </c>
      <c r="K3597" s="2123">
        <f>SUM(K3595:K3596)</f>
        <v>183.44</v>
      </c>
      <c r="L3597" s="192"/>
      <c r="M3597" s="568"/>
    </row>
    <row r="3598" spans="1:16" ht="12.75" hidden="1">
      <c r="A3598" s="2114"/>
      <c r="B3598" s="568" t="s">
        <v>948</v>
      </c>
      <c r="C3598" s="568"/>
      <c r="D3598" s="568"/>
      <c r="E3598" s="188"/>
      <c r="F3598" s="188"/>
      <c r="G3598" s="2122"/>
      <c r="H3598" s="2125">
        <v>0.03</v>
      </c>
      <c r="I3598" s="2134">
        <f>K3583+K3542</f>
        <v>448.2</v>
      </c>
      <c r="J3598" s="2124"/>
      <c r="K3598" s="2123">
        <f>ROUND(I3598*H3598,2)</f>
        <v>13.45</v>
      </c>
      <c r="L3598" s="192"/>
      <c r="M3598" s="568"/>
      <c r="O3598" s="1991">
        <f>O3592+K3598</f>
        <v>160.41</v>
      </c>
      <c r="P3598" s="1706" t="s">
        <v>3149</v>
      </c>
    </row>
    <row r="3599" spans="1:16" ht="12.75" hidden="1">
      <c r="A3599" s="2114"/>
      <c r="B3599" s="192" t="s">
        <v>3662</v>
      </c>
      <c r="C3599" s="568"/>
      <c r="D3599" s="568"/>
      <c r="E3599" s="188"/>
      <c r="F3599" s="188"/>
      <c r="G3599" s="2122"/>
      <c r="H3599" s="2135">
        <f>H3587</f>
        <v>7.4999999999999997E-2</v>
      </c>
      <c r="I3599" s="2134">
        <f>K3598</f>
        <v>13.45</v>
      </c>
      <c r="J3599" s="2134"/>
      <c r="K3599" s="2123">
        <f>ROUND(I3599*H3599,2)</f>
        <v>1.01</v>
      </c>
      <c r="L3599" s="192"/>
      <c r="M3599" s="568"/>
      <c r="O3599" s="1991"/>
      <c r="P3599" s="1706"/>
    </row>
    <row r="3600" spans="1:16" ht="12.75" hidden="1">
      <c r="A3600" s="2114"/>
      <c r="B3600" s="192" t="s">
        <v>3661</v>
      </c>
      <c r="C3600" s="568"/>
      <c r="D3600" s="568"/>
      <c r="E3600" s="188"/>
      <c r="F3600" s="188"/>
      <c r="G3600" s="2122"/>
      <c r="H3600" s="2135">
        <f>H3599</f>
        <v>7.4999999999999997E-2</v>
      </c>
      <c r="I3600" s="2134">
        <f>I3599</f>
        <v>13.45</v>
      </c>
      <c r="J3600" s="2134"/>
      <c r="K3600" s="2140">
        <f>ROUND(I3600*H3600,2)</f>
        <v>1.01</v>
      </c>
      <c r="L3600" s="192"/>
      <c r="M3600" s="568"/>
      <c r="O3600" s="1991"/>
      <c r="P3600" s="1706"/>
    </row>
    <row r="3601" spans="1:16" ht="12.75" hidden="1">
      <c r="A3601" s="2114"/>
      <c r="B3601" s="192"/>
      <c r="C3601" s="568"/>
      <c r="D3601" s="568"/>
      <c r="E3601" s="188"/>
      <c r="F3601" s="188"/>
      <c r="G3601" s="2122"/>
      <c r="H3601" s="568"/>
      <c r="I3601" s="2118"/>
      <c r="J3601" s="2126" t="s">
        <v>718</v>
      </c>
      <c r="K3601" s="2123">
        <f>SUM(K3598:K3600)</f>
        <v>15.469999999999999</v>
      </c>
      <c r="L3601" s="192"/>
      <c r="M3601" s="568"/>
      <c r="O3601" s="1991"/>
      <c r="P3601" s="1706"/>
    </row>
    <row r="3602" spans="1:16" ht="12.75" hidden="1">
      <c r="A3602" s="2114"/>
      <c r="B3602" s="192" t="s">
        <v>3738</v>
      </c>
      <c r="C3602" s="2142">
        <v>0.01</v>
      </c>
      <c r="D3602" s="568"/>
      <c r="E3602" s="188"/>
      <c r="F3602" s="188"/>
      <c r="G3602" s="2122"/>
      <c r="H3602" s="568"/>
      <c r="I3602" s="2118"/>
      <c r="J3602" s="2123"/>
      <c r="K3602" s="2140">
        <f>ROUND(K3601*C3602,2)</f>
        <v>0.15</v>
      </c>
      <c r="L3602" s="192"/>
      <c r="M3602" s="568"/>
      <c r="O3602" s="1991"/>
      <c r="P3602" s="1706"/>
    </row>
    <row r="3603" spans="1:16" ht="12.75" hidden="1">
      <c r="A3603" s="2114"/>
      <c r="E3603" s="188"/>
      <c r="F3603" s="188"/>
      <c r="G3603" s="2122"/>
      <c r="H3603" s="568"/>
      <c r="I3603" s="2118"/>
      <c r="J3603" s="2126" t="s">
        <v>718</v>
      </c>
      <c r="K3603" s="2124">
        <f>K3597+K3601+K3602</f>
        <v>199.06</v>
      </c>
      <c r="L3603" s="192" t="s">
        <v>730</v>
      </c>
      <c r="M3603" s="568"/>
      <c r="O3603" s="1991">
        <f>K3603-O3598</f>
        <v>38.650000000000006</v>
      </c>
      <c r="P3603" s="1706" t="s">
        <v>26</v>
      </c>
    </row>
    <row r="3604" spans="1:16" ht="12.75" hidden="1">
      <c r="A3604" s="2114" t="str">
        <f>A661</f>
        <v>(iii)</v>
      </c>
      <c r="B3604" s="192" t="str">
        <f>B661</f>
        <v>2nd Floor</v>
      </c>
      <c r="C3604" s="568"/>
      <c r="D3604" s="568"/>
      <c r="E3604" s="2120" t="str">
        <f>E3594</f>
        <v>Each Sqm</v>
      </c>
      <c r="F3604" s="2120"/>
      <c r="G3604" s="2122"/>
      <c r="H3604" s="568"/>
      <c r="I3604" s="2118"/>
      <c r="J3604" s="2123"/>
      <c r="K3604" s="2123"/>
      <c r="L3604" s="192"/>
      <c r="M3604" s="568"/>
    </row>
    <row r="3605" spans="1:16" ht="12.75" hidden="1">
      <c r="A3605" s="2114"/>
      <c r="B3605" s="568" t="s">
        <v>951</v>
      </c>
      <c r="C3605" s="568"/>
      <c r="D3605" s="568"/>
      <c r="E3605" s="188"/>
      <c r="F3605" s="188"/>
      <c r="G3605" s="2122"/>
      <c r="H3605" s="568"/>
      <c r="I3605" s="2118"/>
      <c r="J3605" s="2123"/>
      <c r="K3605" s="2123">
        <f>K3601+K3597</f>
        <v>198.91</v>
      </c>
      <c r="L3605" s="192"/>
      <c r="M3605" s="568"/>
    </row>
    <row r="3606" spans="1:16" ht="12.75" hidden="1">
      <c r="A3606" s="2114"/>
      <c r="B3606" s="568" t="s">
        <v>960</v>
      </c>
      <c r="C3606" s="568" t="s">
        <v>961</v>
      </c>
      <c r="D3606" s="568"/>
      <c r="E3606" s="188"/>
      <c r="F3606" s="188"/>
      <c r="G3606" s="2122"/>
      <c r="H3606" s="568"/>
      <c r="I3606" s="2118"/>
      <c r="J3606" s="2123"/>
      <c r="K3606" s="2123"/>
      <c r="L3606" s="192"/>
      <c r="M3606" s="568"/>
    </row>
    <row r="3607" spans="1:16" ht="12.75" hidden="1">
      <c r="A3607" s="2114"/>
      <c r="B3607" s="568" t="s">
        <v>948</v>
      </c>
      <c r="C3607" s="568"/>
      <c r="D3607" s="568"/>
      <c r="E3607" s="188"/>
      <c r="F3607" s="188"/>
      <c r="G3607" s="2122"/>
      <c r="H3607" s="2125">
        <v>0.03</v>
      </c>
      <c r="I3607" s="2134">
        <f>I3598+K3598</f>
        <v>461.65</v>
      </c>
      <c r="J3607" s="2124"/>
      <c r="K3607" s="2123">
        <f>ROUND(I3607*H3607,2)</f>
        <v>13.85</v>
      </c>
      <c r="L3607" s="192"/>
      <c r="M3607" s="568"/>
      <c r="O3607" s="1991">
        <f>O3598+K3607</f>
        <v>174.26</v>
      </c>
      <c r="P3607" s="1706" t="s">
        <v>3149</v>
      </c>
    </row>
    <row r="3608" spans="1:16" ht="12.75" hidden="1">
      <c r="A3608" s="2114"/>
      <c r="B3608" s="192" t="s">
        <v>3662</v>
      </c>
      <c r="C3608" s="568"/>
      <c r="D3608" s="568"/>
      <c r="E3608" s="188"/>
      <c r="F3608" s="188"/>
      <c r="G3608" s="2122"/>
      <c r="H3608" s="2135">
        <f>H3599</f>
        <v>7.4999999999999997E-2</v>
      </c>
      <c r="I3608" s="2134">
        <f>K3607</f>
        <v>13.85</v>
      </c>
      <c r="J3608" s="2134"/>
      <c r="K3608" s="2123">
        <f>ROUND(I3608*H3608,2)</f>
        <v>1.04</v>
      </c>
      <c r="L3608" s="192"/>
      <c r="M3608" s="568"/>
      <c r="O3608" s="1991"/>
      <c r="P3608" s="1706"/>
    </row>
    <row r="3609" spans="1:16" ht="12.75" hidden="1">
      <c r="A3609" s="2114"/>
      <c r="B3609" s="192" t="s">
        <v>3661</v>
      </c>
      <c r="C3609" s="568"/>
      <c r="D3609" s="568"/>
      <c r="E3609" s="188"/>
      <c r="F3609" s="188"/>
      <c r="G3609" s="2122"/>
      <c r="H3609" s="2135">
        <f>H3608</f>
        <v>7.4999999999999997E-2</v>
      </c>
      <c r="I3609" s="2134">
        <f>I3608</f>
        <v>13.85</v>
      </c>
      <c r="J3609" s="2134"/>
      <c r="K3609" s="2140">
        <f>ROUND(I3609*H3609,2)</f>
        <v>1.04</v>
      </c>
      <c r="L3609" s="192"/>
      <c r="M3609" s="568"/>
      <c r="O3609" s="1991"/>
      <c r="P3609" s="1706"/>
    </row>
    <row r="3610" spans="1:16" ht="12.75" hidden="1">
      <c r="A3610" s="2114"/>
      <c r="B3610" s="568"/>
      <c r="C3610" s="568"/>
      <c r="D3610" s="568"/>
      <c r="E3610" s="188"/>
      <c r="F3610" s="188"/>
      <c r="G3610" s="2122"/>
      <c r="H3610" s="568"/>
      <c r="I3610" s="2118"/>
      <c r="J3610" s="2123"/>
      <c r="K3610" s="2123">
        <f>SUM(K3607:K3609)</f>
        <v>15.93</v>
      </c>
      <c r="L3610" s="192"/>
      <c r="M3610" s="568"/>
      <c r="O3610" s="1991"/>
      <c r="P3610" s="1706"/>
    </row>
    <row r="3611" spans="1:16" ht="12.75" hidden="1">
      <c r="A3611" s="2114"/>
      <c r="B3611" s="192" t="s">
        <v>3738</v>
      </c>
      <c r="C3611" s="2142">
        <v>0.01</v>
      </c>
      <c r="D3611" s="568"/>
      <c r="E3611" s="188"/>
      <c r="F3611" s="188"/>
      <c r="G3611" s="2122"/>
      <c r="H3611" s="568"/>
      <c r="I3611" s="2118"/>
      <c r="J3611" s="2123"/>
      <c r="K3611" s="2140">
        <f>ROUND(K3610*C3611,2)</f>
        <v>0.16</v>
      </c>
      <c r="L3611" s="192"/>
      <c r="M3611" s="568"/>
      <c r="O3611" s="1991"/>
      <c r="P3611" s="1706"/>
    </row>
    <row r="3612" spans="1:16" ht="12.75" hidden="1">
      <c r="A3612" s="2114"/>
      <c r="B3612" s="568"/>
      <c r="C3612" s="568"/>
      <c r="D3612" s="568"/>
      <c r="E3612" s="188"/>
      <c r="F3612" s="188"/>
      <c r="G3612" s="2122"/>
      <c r="H3612" s="568"/>
      <c r="I3612" s="2118"/>
      <c r="J3612" s="2126" t="s">
        <v>718</v>
      </c>
      <c r="K3612" s="2124">
        <f>K3605+K3610+K3611</f>
        <v>215</v>
      </c>
      <c r="L3612" s="192" t="s">
        <v>730</v>
      </c>
      <c r="M3612" s="568"/>
      <c r="O3612" s="1991">
        <f>K3612-O3607</f>
        <v>40.740000000000009</v>
      </c>
      <c r="P3612" s="1706" t="s">
        <v>26</v>
      </c>
    </row>
    <row r="3613" spans="1:16" ht="12.75" hidden="1">
      <c r="A3613" s="2114" t="str">
        <f>A662</f>
        <v>(iv)</v>
      </c>
      <c r="B3613" s="192" t="str">
        <f>B662</f>
        <v>3rd Floor</v>
      </c>
      <c r="C3613" s="568"/>
      <c r="D3613" s="568"/>
      <c r="E3613" s="2120" t="str">
        <f>E3604</f>
        <v>Each Sqm</v>
      </c>
      <c r="F3613" s="2120"/>
      <c r="G3613" s="2122"/>
      <c r="H3613" s="568"/>
      <c r="I3613" s="2118"/>
      <c r="J3613" s="2123"/>
      <c r="K3613" s="2123"/>
      <c r="L3613" s="192"/>
      <c r="M3613" s="568"/>
    </row>
    <row r="3614" spans="1:16" ht="12.75" hidden="1">
      <c r="A3614" s="2114"/>
      <c r="B3614" s="568" t="s">
        <v>951</v>
      </c>
      <c r="C3614" s="568"/>
      <c r="D3614" s="568"/>
      <c r="E3614" s="188"/>
      <c r="F3614" s="188"/>
      <c r="G3614" s="2122"/>
      <c r="H3614" s="568"/>
      <c r="I3614" s="2118"/>
      <c r="J3614" s="2123"/>
      <c r="K3614" s="2123">
        <f>K3605+K3610</f>
        <v>214.84</v>
      </c>
      <c r="L3614" s="192"/>
      <c r="M3614" s="568"/>
    </row>
    <row r="3615" spans="1:16" ht="12.75" hidden="1">
      <c r="A3615" s="2114"/>
      <c r="B3615" s="568" t="s">
        <v>960</v>
      </c>
      <c r="C3615" s="568" t="s">
        <v>961</v>
      </c>
      <c r="D3615" s="568"/>
      <c r="E3615" s="188"/>
      <c r="F3615" s="188"/>
      <c r="G3615" s="2122"/>
      <c r="H3615" s="568"/>
      <c r="I3615" s="2118"/>
      <c r="J3615" s="2123"/>
      <c r="K3615" s="2123"/>
      <c r="L3615" s="192"/>
      <c r="M3615" s="568"/>
    </row>
    <row r="3616" spans="1:16" ht="12.75" hidden="1">
      <c r="A3616" s="2114"/>
      <c r="B3616" s="568" t="s">
        <v>948</v>
      </c>
      <c r="C3616" s="568"/>
      <c r="D3616" s="568"/>
      <c r="E3616" s="188"/>
      <c r="F3616" s="188"/>
      <c r="G3616" s="2122"/>
      <c r="H3616" s="2125">
        <v>0.03</v>
      </c>
      <c r="I3616" s="2134">
        <f>I3607+K3607</f>
        <v>475.5</v>
      </c>
      <c r="J3616" s="2124"/>
      <c r="K3616" s="2123">
        <f>ROUND(I3616*H3616,2)</f>
        <v>14.27</v>
      </c>
      <c r="L3616" s="192"/>
      <c r="M3616" s="568"/>
      <c r="O3616" s="1991">
        <f>O3607+K3616</f>
        <v>188.53</v>
      </c>
      <c r="P3616" s="1706" t="s">
        <v>3149</v>
      </c>
    </row>
    <row r="3617" spans="1:16" ht="12.75" hidden="1">
      <c r="A3617" s="2114"/>
      <c r="B3617" s="192" t="s">
        <v>3662</v>
      </c>
      <c r="C3617" s="568"/>
      <c r="D3617" s="568"/>
      <c r="E3617" s="188"/>
      <c r="F3617" s="188"/>
      <c r="G3617" s="2122"/>
      <c r="H3617" s="2135">
        <f>H3608</f>
        <v>7.4999999999999997E-2</v>
      </c>
      <c r="I3617" s="2134">
        <f>K3616</f>
        <v>14.27</v>
      </c>
      <c r="J3617" s="2134"/>
      <c r="K3617" s="2123">
        <f>ROUND(I3617*H3617,2)</f>
        <v>1.07</v>
      </c>
      <c r="L3617" s="192"/>
      <c r="M3617" s="568"/>
      <c r="O3617" s="1991"/>
      <c r="P3617" s="1706"/>
    </row>
    <row r="3618" spans="1:16" ht="12.75" hidden="1">
      <c r="A3618" s="2114"/>
      <c r="B3618" s="192" t="s">
        <v>3661</v>
      </c>
      <c r="C3618" s="568"/>
      <c r="D3618" s="568"/>
      <c r="E3618" s="188"/>
      <c r="F3618" s="188"/>
      <c r="G3618" s="2122"/>
      <c r="H3618" s="2135">
        <f>H3617</f>
        <v>7.4999999999999997E-2</v>
      </c>
      <c r="I3618" s="2134">
        <f>I3617</f>
        <v>14.27</v>
      </c>
      <c r="J3618" s="2134"/>
      <c r="K3618" s="2140">
        <f>ROUND(I3618*H3618,2)</f>
        <v>1.07</v>
      </c>
      <c r="L3618" s="192"/>
      <c r="M3618" s="568"/>
      <c r="O3618" s="1991"/>
      <c r="P3618" s="1706"/>
    </row>
    <row r="3619" spans="1:16" ht="12.75" hidden="1">
      <c r="A3619" s="2114"/>
      <c r="B3619" s="568"/>
      <c r="C3619" s="568"/>
      <c r="D3619" s="568"/>
      <c r="E3619" s="188"/>
      <c r="F3619" s="188"/>
      <c r="G3619" s="2122"/>
      <c r="H3619" s="568"/>
      <c r="I3619" s="2118"/>
      <c r="J3619" s="2123"/>
      <c r="K3619" s="2123">
        <f>SUM(K3616:K3618)</f>
        <v>16.41</v>
      </c>
      <c r="L3619" s="192"/>
      <c r="M3619" s="568"/>
      <c r="O3619" s="1991"/>
      <c r="P3619" s="1706"/>
    </row>
    <row r="3620" spans="1:16" ht="12.75" hidden="1">
      <c r="A3620" s="2114"/>
      <c r="B3620" s="192" t="s">
        <v>3738</v>
      </c>
      <c r="C3620" s="2142">
        <v>0.01</v>
      </c>
      <c r="D3620" s="568"/>
      <c r="E3620" s="188"/>
      <c r="F3620" s="188"/>
      <c r="G3620" s="2122"/>
      <c r="H3620" s="568"/>
      <c r="I3620" s="2118"/>
      <c r="J3620" s="2123"/>
      <c r="K3620" s="2140">
        <f>ROUND(K3619*C3620,2)</f>
        <v>0.16</v>
      </c>
      <c r="L3620" s="192"/>
      <c r="M3620" s="568"/>
      <c r="O3620" s="1991"/>
      <c r="P3620" s="1706"/>
    </row>
    <row r="3621" spans="1:16" ht="12.75" hidden="1">
      <c r="A3621" s="2114"/>
      <c r="B3621" s="568"/>
      <c r="C3621" s="568"/>
      <c r="D3621" s="568"/>
      <c r="E3621" s="188"/>
      <c r="F3621" s="188"/>
      <c r="G3621" s="2122"/>
      <c r="H3621" s="568"/>
      <c r="I3621" s="2118"/>
      <c r="J3621" s="2126" t="s">
        <v>718</v>
      </c>
      <c r="K3621" s="2124">
        <f>K3614+K3619+K3620</f>
        <v>231.41</v>
      </c>
      <c r="L3621" s="192" t="s">
        <v>730</v>
      </c>
      <c r="M3621" s="568"/>
      <c r="O3621" s="1991">
        <f>K3621-O3616</f>
        <v>42.879999999999995</v>
      </c>
      <c r="P3621" s="1706" t="s">
        <v>26</v>
      </c>
    </row>
    <row r="3622" spans="1:16" ht="43.7" customHeight="1">
      <c r="A3622" s="2114">
        <f>A663</f>
        <v>59</v>
      </c>
      <c r="B3622" s="3025" t="str">
        <f>B663</f>
        <v>Providing 16 mm thick C.P. with C.M. (1:6) with screened and washed sharp sand for mortar and finished smooth to the rough surface of walls in all heights after racking out joints  etc. complete in all respect as directed by the Engineer in charge.</v>
      </c>
      <c r="C3622" s="3025"/>
      <c r="D3622" s="3025"/>
      <c r="E3622" s="3025"/>
      <c r="F3622" s="3025"/>
      <c r="G3622" s="3025"/>
      <c r="H3622" s="3025"/>
      <c r="I3622" s="2118"/>
      <c r="J3622" s="2124"/>
      <c r="K3622" s="2124"/>
      <c r="L3622" s="192"/>
      <c r="M3622" s="568"/>
    </row>
    <row r="3623" spans="1:16" ht="12.75">
      <c r="A3623" s="2114" t="str">
        <f>A664</f>
        <v>(i)</v>
      </c>
      <c r="B3623" s="192" t="str">
        <f>B664</f>
        <v>Ground Floor</v>
      </c>
      <c r="C3623" s="192"/>
      <c r="D3623" s="192"/>
      <c r="E3623" s="2120" t="str">
        <f>G664</f>
        <v>Each Sqm</v>
      </c>
      <c r="F3623" s="2120"/>
      <c r="G3623" s="2141"/>
      <c r="H3623" s="192"/>
      <c r="I3623" s="2114"/>
      <c r="J3623" s="2124"/>
      <c r="K3623" s="2124"/>
      <c r="L3623" s="192"/>
      <c r="M3623" s="568"/>
    </row>
    <row r="3624" spans="1:16" ht="12.75">
      <c r="A3624" s="2114"/>
      <c r="B3624" s="568" t="s">
        <v>821</v>
      </c>
      <c r="C3624" s="568"/>
      <c r="D3624" s="568"/>
      <c r="E3624" s="188"/>
      <c r="F3624" s="188"/>
      <c r="G3624" s="2122"/>
      <c r="H3624" s="568"/>
      <c r="I3624" s="2118"/>
      <c r="J3624" s="2123"/>
      <c r="K3624" s="2123"/>
      <c r="L3624" s="192"/>
      <c r="M3624" s="568"/>
    </row>
    <row r="3625" spans="1:16" ht="12.75">
      <c r="A3625" s="2114"/>
      <c r="B3625" s="192" t="s">
        <v>822</v>
      </c>
      <c r="C3625" s="568"/>
      <c r="D3625" s="568"/>
      <c r="E3625" s="188"/>
      <c r="F3625" s="188"/>
      <c r="G3625" s="2122"/>
      <c r="H3625" s="568"/>
      <c r="I3625" s="2118"/>
      <c r="J3625" s="2123"/>
      <c r="K3625" s="2123"/>
      <c r="L3625" s="192"/>
      <c r="M3625" s="568"/>
    </row>
    <row r="3626" spans="1:16" ht="12.75">
      <c r="A3626" s="2114"/>
      <c r="B3626" s="568" t="s">
        <v>775</v>
      </c>
      <c r="C3626" s="568"/>
      <c r="D3626" s="568"/>
      <c r="E3626" s="188"/>
      <c r="F3626" s="188"/>
      <c r="G3626" s="2122">
        <v>1.7999999999999999E-2</v>
      </c>
      <c r="H3626" s="568" t="s">
        <v>49</v>
      </c>
      <c r="I3626" s="2118" t="s">
        <v>49</v>
      </c>
      <c r="J3626" s="2123">
        <f>G46</f>
        <v>76.88</v>
      </c>
      <c r="K3626" s="2123">
        <f>ROUND(G3626*J3626,2)</f>
        <v>1.38</v>
      </c>
      <c r="L3626" s="192"/>
      <c r="M3626" s="568"/>
    </row>
    <row r="3627" spans="1:16" ht="12.75">
      <c r="A3627" s="2114"/>
      <c r="B3627" s="568" t="s">
        <v>8</v>
      </c>
      <c r="C3627" s="568"/>
      <c r="D3627" s="568"/>
      <c r="E3627" s="188"/>
      <c r="F3627" s="188"/>
      <c r="G3627" s="2122">
        <v>4.2999999999999997E-2</v>
      </c>
      <c r="H3627" s="568" t="s">
        <v>247</v>
      </c>
      <c r="I3627" s="2118" t="s">
        <v>247</v>
      </c>
      <c r="J3627" s="2123">
        <f>G50/10</f>
        <v>570.23400000000004</v>
      </c>
      <c r="K3627" s="2123">
        <f>ROUND(G3627*J3627,2)</f>
        <v>24.52</v>
      </c>
      <c r="L3627" s="192"/>
      <c r="M3627" s="568"/>
    </row>
    <row r="3628" spans="1:16" ht="12.75">
      <c r="A3628" s="2114"/>
      <c r="B3628" s="568"/>
      <c r="C3628" s="568"/>
      <c r="D3628" s="568"/>
      <c r="E3628" s="188"/>
      <c r="F3628" s="188"/>
      <c r="G3628" s="2122"/>
      <c r="H3628" s="568"/>
      <c r="I3628" s="2118"/>
      <c r="J3628" s="2134" t="s">
        <v>718</v>
      </c>
      <c r="K3628" s="2123">
        <f>SUM(K3626:K3627)</f>
        <v>25.9</v>
      </c>
      <c r="L3628" s="192"/>
      <c r="M3628" s="568"/>
    </row>
    <row r="3629" spans="1:16" ht="12.75">
      <c r="A3629" s="2114"/>
      <c r="B3629" s="192" t="s">
        <v>781</v>
      </c>
      <c r="C3629" s="568"/>
      <c r="D3629" s="568"/>
      <c r="E3629" s="188"/>
      <c r="F3629" s="188"/>
      <c r="G3629" s="2122"/>
      <c r="H3629" s="568"/>
      <c r="I3629" s="2118"/>
      <c r="J3629" s="2123"/>
      <c r="K3629" s="2123"/>
      <c r="L3629" s="192"/>
      <c r="M3629" s="568"/>
    </row>
    <row r="3630" spans="1:16" ht="12.75">
      <c r="A3630" s="2114"/>
      <c r="B3630" s="568" t="s">
        <v>782</v>
      </c>
      <c r="C3630" s="568"/>
      <c r="D3630" s="568"/>
      <c r="E3630" s="188"/>
      <c r="F3630" s="188"/>
      <c r="G3630" s="2122">
        <v>0.16</v>
      </c>
      <c r="H3630" s="568" t="s">
        <v>262</v>
      </c>
      <c r="I3630" s="2118" t="s">
        <v>38</v>
      </c>
      <c r="J3630" s="2123">
        <f>L136</f>
        <v>435</v>
      </c>
      <c r="K3630" s="2123">
        <f>ROUND(G3630*J3630,2)</f>
        <v>69.599999999999994</v>
      </c>
      <c r="L3630" s="192"/>
      <c r="M3630" s="568"/>
    </row>
    <row r="3631" spans="1:16" ht="12.75">
      <c r="A3631" s="2114"/>
      <c r="B3631" s="568" t="s">
        <v>717</v>
      </c>
      <c r="C3631" s="568"/>
      <c r="D3631" s="568"/>
      <c r="E3631" s="188"/>
      <c r="F3631" s="188"/>
      <c r="G3631" s="2122">
        <v>0.24</v>
      </c>
      <c r="H3631" s="568" t="s">
        <v>262</v>
      </c>
      <c r="I3631" s="2118" t="s">
        <v>38</v>
      </c>
      <c r="J3631" s="2123">
        <f>L134</f>
        <v>345</v>
      </c>
      <c r="K3631" s="2123">
        <f>ROUND(G3631*J3631,2)</f>
        <v>82.8</v>
      </c>
      <c r="L3631" s="192"/>
      <c r="M3631" s="568"/>
    </row>
    <row r="3632" spans="1:16" ht="12.75">
      <c r="A3632" s="2114"/>
      <c r="B3632" s="568"/>
      <c r="C3632" s="568"/>
      <c r="D3632" s="568"/>
      <c r="E3632" s="188"/>
      <c r="F3632" s="188"/>
      <c r="G3632" s="2122"/>
      <c r="H3632" s="568"/>
      <c r="I3632" s="2118"/>
      <c r="J3632" s="2134" t="s">
        <v>718</v>
      </c>
      <c r="K3632" s="2123">
        <f>SUM(K3630:K3631)</f>
        <v>152.39999999999998</v>
      </c>
      <c r="L3632" s="192"/>
      <c r="M3632" s="568"/>
    </row>
    <row r="3633" spans="1:16" ht="12.75">
      <c r="A3633" s="2114"/>
      <c r="B3633" s="192" t="s">
        <v>3662</v>
      </c>
      <c r="C3633" s="568"/>
      <c r="D3633" s="568"/>
      <c r="E3633" s="188"/>
      <c r="F3633" s="188"/>
      <c r="G3633" s="2122"/>
      <c r="H3633" s="2135">
        <f>H3618</f>
        <v>7.4999999999999997E-2</v>
      </c>
      <c r="I3633" s="2134">
        <f>K3632+K3628</f>
        <v>178.29999999999998</v>
      </c>
      <c r="J3633" s="2134"/>
      <c r="K3633" s="2123">
        <f>ROUND(I3633*H3633,2)</f>
        <v>13.37</v>
      </c>
      <c r="L3633" s="192"/>
      <c r="M3633" s="568"/>
    </row>
    <row r="3634" spans="1:16" ht="12.75">
      <c r="A3634" s="2114"/>
      <c r="B3634" s="192" t="s">
        <v>3661</v>
      </c>
      <c r="C3634" s="568"/>
      <c r="D3634" s="568"/>
      <c r="E3634" s="188"/>
      <c r="F3634" s="188"/>
      <c r="G3634" s="2122"/>
      <c r="H3634" s="2135">
        <f>H3633</f>
        <v>7.4999999999999997E-2</v>
      </c>
      <c r="I3634" s="2134">
        <f>I3633</f>
        <v>178.29999999999998</v>
      </c>
      <c r="J3634" s="2134"/>
      <c r="K3634" s="2123">
        <f>ROUND(I3634*H3634,2)</f>
        <v>13.37</v>
      </c>
      <c r="L3634" s="192"/>
      <c r="M3634" s="568"/>
    </row>
    <row r="3635" spans="1:16" ht="12.75">
      <c r="A3635" s="2114"/>
      <c r="B3635" s="192" t="s">
        <v>1497</v>
      </c>
      <c r="C3635" s="568"/>
      <c r="D3635" s="568"/>
      <c r="E3635" s="188"/>
      <c r="F3635" s="188"/>
      <c r="G3635" s="2122"/>
      <c r="H3635" s="568"/>
      <c r="I3635" s="2118"/>
      <c r="J3635" s="2123" t="s">
        <v>718</v>
      </c>
      <c r="K3635" s="2123">
        <f>SUM(K3632:K3634)+K3628</f>
        <v>205.04</v>
      </c>
      <c r="L3635" s="192"/>
      <c r="M3635" s="568"/>
    </row>
    <row r="3636" spans="1:16" ht="12.75">
      <c r="A3636" s="2114"/>
      <c r="B3636" s="192" t="s">
        <v>783</v>
      </c>
      <c r="C3636" s="568"/>
      <c r="D3636" s="568"/>
      <c r="E3636" s="188"/>
      <c r="F3636" s="188"/>
      <c r="G3636" s="2122"/>
      <c r="H3636" s="568"/>
      <c r="I3636" s="2118"/>
      <c r="J3636" s="2123"/>
      <c r="K3636" s="2123"/>
      <c r="L3636" s="192"/>
      <c r="M3636" s="568"/>
    </row>
    <row r="3637" spans="1:16" ht="12.75">
      <c r="A3637" s="2114"/>
      <c r="B3637" s="568" t="s">
        <v>775</v>
      </c>
      <c r="C3637" s="568"/>
      <c r="D3637" s="568"/>
      <c r="E3637" s="188"/>
      <c r="F3637" s="188"/>
      <c r="G3637" s="2122">
        <f>G3626</f>
        <v>1.7999999999999999E-2</v>
      </c>
      <c r="H3637" s="568" t="s">
        <v>49</v>
      </c>
      <c r="I3637" s="2118" t="s">
        <v>49</v>
      </c>
      <c r="J3637" s="2123">
        <f>K46</f>
        <v>717.46</v>
      </c>
      <c r="K3637" s="2123">
        <f>ROUND(G3637*J3637,2)</f>
        <v>12.91</v>
      </c>
      <c r="L3637" s="192"/>
      <c r="M3637" s="568"/>
    </row>
    <row r="3638" spans="1:16" ht="12.75">
      <c r="A3638" s="2114"/>
      <c r="B3638" s="568" t="s">
        <v>8</v>
      </c>
      <c r="C3638" s="568"/>
      <c r="D3638" s="568"/>
      <c r="E3638" s="188"/>
      <c r="F3638" s="188"/>
      <c r="G3638" s="2122">
        <f>G3627</f>
        <v>4.2999999999999997E-2</v>
      </c>
      <c r="H3638" s="568" t="s">
        <v>247</v>
      </c>
      <c r="I3638" s="2118" t="s">
        <v>247</v>
      </c>
      <c r="J3638" s="2123">
        <f>K50/10</f>
        <v>42.622</v>
      </c>
      <c r="K3638" s="2123">
        <f>ROUND(G3638*J3638,2)</f>
        <v>1.83</v>
      </c>
      <c r="L3638" s="192"/>
      <c r="M3638" s="568"/>
    </row>
    <row r="3639" spans="1:16" ht="12.75">
      <c r="A3639" s="2114"/>
      <c r="B3639" s="568"/>
      <c r="C3639" s="568"/>
      <c r="D3639" s="568"/>
      <c r="E3639" s="188"/>
      <c r="F3639" s="188"/>
      <c r="G3639" s="2122"/>
      <c r="H3639" s="568"/>
      <c r="I3639" s="2118"/>
      <c r="J3639" s="2134" t="s">
        <v>718</v>
      </c>
      <c r="K3639" s="2140">
        <f>SUM(K3637:K3638)</f>
        <v>14.74</v>
      </c>
      <c r="L3639" s="192"/>
      <c r="M3639" s="568"/>
      <c r="O3639" s="1991">
        <f>K3632</f>
        <v>152.39999999999998</v>
      </c>
      <c r="P3639" s="1706" t="s">
        <v>3149</v>
      </c>
    </row>
    <row r="3640" spans="1:16" ht="12.75">
      <c r="A3640" s="2114"/>
      <c r="B3640" s="568"/>
      <c r="C3640" s="568"/>
      <c r="D3640" s="568"/>
      <c r="E3640" s="188"/>
      <c r="F3640" s="188"/>
      <c r="G3640" s="2122"/>
      <c r="H3640" s="568"/>
      <c r="I3640" s="2118"/>
      <c r="J3640" s="2134"/>
      <c r="K3640" s="2123">
        <f>K3635+K3639</f>
        <v>219.78</v>
      </c>
      <c r="L3640" s="192"/>
      <c r="M3640" s="568"/>
      <c r="O3640" s="1991"/>
      <c r="P3640" s="1706"/>
    </row>
    <row r="3641" spans="1:16" ht="12.75">
      <c r="A3641" s="2114"/>
      <c r="B3641" s="192" t="s">
        <v>3738</v>
      </c>
      <c r="C3641" s="2142">
        <v>0.01</v>
      </c>
      <c r="D3641" s="568"/>
      <c r="E3641" s="188"/>
      <c r="F3641" s="188"/>
      <c r="G3641" s="2122"/>
      <c r="H3641" s="568"/>
      <c r="I3641" s="2118"/>
      <c r="J3641" s="2123"/>
      <c r="K3641" s="2140">
        <f>ROUND(K3640*C3641,2)</f>
        <v>2.2000000000000002</v>
      </c>
      <c r="L3641" s="192"/>
      <c r="M3641" s="568"/>
      <c r="O3641" s="1991"/>
      <c r="P3641" s="1706"/>
    </row>
    <row r="3642" spans="1:16" ht="12.75">
      <c r="A3642" s="2114"/>
      <c r="B3642" s="568" t="s">
        <v>825</v>
      </c>
      <c r="C3642" s="568"/>
      <c r="D3642" s="568"/>
      <c r="E3642" s="188"/>
      <c r="F3642" s="188"/>
      <c r="G3642" s="2122"/>
      <c r="H3642" s="568"/>
      <c r="I3642" s="2118"/>
      <c r="J3642" s="2126" t="s">
        <v>718</v>
      </c>
      <c r="K3642" s="2124">
        <f>SUM(K3640:K3641)</f>
        <v>221.98</v>
      </c>
      <c r="L3642" s="192" t="s">
        <v>730</v>
      </c>
      <c r="M3642" s="568"/>
      <c r="O3642" s="1991">
        <f>K3642-O3639</f>
        <v>69.580000000000013</v>
      </c>
      <c r="P3642" s="1706" t="s">
        <v>26</v>
      </c>
    </row>
    <row r="3643" spans="1:16" ht="12.75" hidden="1">
      <c r="A3643" s="2114" t="str">
        <f>A665</f>
        <v>(ii)</v>
      </c>
      <c r="B3643" s="192" t="str">
        <f>B665</f>
        <v>First Floor</v>
      </c>
      <c r="C3643" s="568"/>
      <c r="D3643" s="568"/>
      <c r="E3643" s="2120" t="str">
        <f>G665</f>
        <v>Each Sqm</v>
      </c>
      <c r="F3643" s="2120"/>
      <c r="G3643" s="2122"/>
      <c r="H3643" s="568"/>
      <c r="I3643" s="2118"/>
      <c r="J3643" s="2123"/>
      <c r="K3643" s="2123"/>
      <c r="L3643" s="192"/>
      <c r="M3643" s="568"/>
    </row>
    <row r="3644" spans="1:16" ht="12.75" hidden="1">
      <c r="A3644" s="2114"/>
      <c r="B3644" s="568" t="s">
        <v>722</v>
      </c>
      <c r="C3644" s="568"/>
      <c r="D3644" s="568"/>
      <c r="E3644" s="188"/>
      <c r="F3644" s="188"/>
      <c r="G3644" s="2122"/>
      <c r="H3644" s="568"/>
      <c r="I3644" s="2118"/>
      <c r="J3644" s="2123"/>
      <c r="K3644" s="2123">
        <f>K3640</f>
        <v>219.78</v>
      </c>
      <c r="L3644" s="192"/>
      <c r="M3644" s="568"/>
    </row>
    <row r="3645" spans="1:16" ht="12.75" hidden="1">
      <c r="A3645" s="2114"/>
      <c r="B3645" s="568" t="s">
        <v>948</v>
      </c>
      <c r="C3645" s="568"/>
      <c r="D3645" s="568"/>
      <c r="E3645" s="188"/>
      <c r="F3645" s="188"/>
      <c r="G3645" s="2122"/>
      <c r="H3645" s="2125">
        <v>0.03</v>
      </c>
      <c r="I3645" s="2134">
        <f>K3632</f>
        <v>152.39999999999998</v>
      </c>
      <c r="J3645" s="2124"/>
      <c r="K3645" s="2123">
        <f>ROUND(I3645*H3645,2)</f>
        <v>4.57</v>
      </c>
      <c r="L3645" s="192"/>
      <c r="M3645" s="568"/>
      <c r="O3645" s="1991">
        <f>O3639+K3645</f>
        <v>156.96999999999997</v>
      </c>
      <c r="P3645" s="1706" t="s">
        <v>3149</v>
      </c>
    </row>
    <row r="3646" spans="1:16" ht="12.75" hidden="1">
      <c r="A3646" s="2114"/>
      <c r="B3646" s="192" t="s">
        <v>3662</v>
      </c>
      <c r="C3646" s="568"/>
      <c r="D3646" s="568"/>
      <c r="E3646" s="188"/>
      <c r="F3646" s="188"/>
      <c r="G3646" s="2122"/>
      <c r="H3646" s="2135">
        <f>H3634</f>
        <v>7.4999999999999997E-2</v>
      </c>
      <c r="I3646" s="2134">
        <f>K3645</f>
        <v>4.57</v>
      </c>
      <c r="J3646" s="2134"/>
      <c r="K3646" s="2123">
        <f>ROUND(I3646*H3646,2)</f>
        <v>0.34</v>
      </c>
      <c r="L3646" s="192"/>
      <c r="M3646" s="568"/>
      <c r="O3646" s="1991"/>
      <c r="P3646" s="1706"/>
    </row>
    <row r="3647" spans="1:16" ht="12.75" hidden="1">
      <c r="A3647" s="2114"/>
      <c r="B3647" s="192" t="s">
        <v>3661</v>
      </c>
      <c r="C3647" s="568"/>
      <c r="D3647" s="568"/>
      <c r="E3647" s="188"/>
      <c r="F3647" s="188"/>
      <c r="G3647" s="2122"/>
      <c r="H3647" s="2135">
        <f>H3646</f>
        <v>7.4999999999999997E-2</v>
      </c>
      <c r="I3647" s="2134">
        <f>I3646</f>
        <v>4.57</v>
      </c>
      <c r="J3647" s="2134"/>
      <c r="K3647" s="2140">
        <f>ROUND(I3647*H3647,2)</f>
        <v>0.34</v>
      </c>
      <c r="L3647" s="192"/>
      <c r="M3647" s="568"/>
      <c r="O3647" s="1991"/>
      <c r="P3647" s="1706"/>
    </row>
    <row r="3648" spans="1:16" ht="12.75" hidden="1">
      <c r="A3648" s="2114"/>
      <c r="B3648" s="568"/>
      <c r="C3648" s="568"/>
      <c r="D3648" s="568"/>
      <c r="E3648" s="188"/>
      <c r="F3648" s="188"/>
      <c r="G3648" s="2122"/>
      <c r="H3648" s="568"/>
      <c r="I3648" s="2118"/>
      <c r="J3648" s="2123"/>
      <c r="K3648" s="2123">
        <f>SUM(K3644:K3647)</f>
        <v>225.03</v>
      </c>
      <c r="L3648" s="192"/>
      <c r="M3648" s="568"/>
      <c r="O3648" s="1991"/>
      <c r="P3648" s="1706"/>
    </row>
    <row r="3649" spans="1:16" ht="12.75" hidden="1">
      <c r="A3649" s="2114"/>
      <c r="B3649" s="192" t="s">
        <v>3738</v>
      </c>
      <c r="C3649" s="2142">
        <v>0.01</v>
      </c>
      <c r="D3649" s="568"/>
      <c r="E3649" s="188"/>
      <c r="F3649" s="188"/>
      <c r="G3649" s="2122"/>
      <c r="H3649" s="568"/>
      <c r="I3649" s="2118"/>
      <c r="J3649" s="2123"/>
      <c r="K3649" s="2140">
        <f>ROUND(K3648*C3649,2)</f>
        <v>2.25</v>
      </c>
      <c r="L3649" s="192"/>
      <c r="M3649" s="568"/>
      <c r="O3649" s="1991"/>
      <c r="P3649" s="1706"/>
    </row>
    <row r="3650" spans="1:16" ht="12.75" hidden="1">
      <c r="A3650" s="2114"/>
      <c r="B3650" s="568"/>
      <c r="C3650" s="568"/>
      <c r="D3650" s="568"/>
      <c r="E3650" s="188"/>
      <c r="F3650" s="188"/>
      <c r="G3650" s="2122"/>
      <c r="H3650" s="568"/>
      <c r="I3650" s="2118"/>
      <c r="J3650" s="2126" t="s">
        <v>718</v>
      </c>
      <c r="K3650" s="2124">
        <f>SUM(K3648:K3649)</f>
        <v>227.28</v>
      </c>
      <c r="L3650" s="192" t="s">
        <v>730</v>
      </c>
      <c r="M3650" s="568"/>
      <c r="O3650" s="1991">
        <f>K3650-O3645</f>
        <v>70.310000000000031</v>
      </c>
      <c r="P3650" s="1706" t="s">
        <v>26</v>
      </c>
    </row>
    <row r="3651" spans="1:16" ht="12.75" hidden="1">
      <c r="A3651" s="2114" t="str">
        <f>A666</f>
        <v>(iii)</v>
      </c>
      <c r="B3651" s="192" t="str">
        <f>B666</f>
        <v>2nd Floor</v>
      </c>
      <c r="C3651" s="568"/>
      <c r="D3651" s="568"/>
      <c r="E3651" s="2120" t="str">
        <f>G670</f>
        <v>Each Sqm</v>
      </c>
      <c r="F3651" s="2120"/>
      <c r="G3651" s="2122"/>
      <c r="H3651" s="568"/>
      <c r="I3651" s="2118"/>
      <c r="J3651" s="2123"/>
      <c r="K3651" s="2123"/>
      <c r="L3651" s="192"/>
      <c r="M3651" s="568"/>
    </row>
    <row r="3652" spans="1:16" ht="12.75" hidden="1">
      <c r="A3652" s="2114"/>
      <c r="B3652" s="568" t="s">
        <v>950</v>
      </c>
      <c r="C3652" s="568"/>
      <c r="D3652" s="568"/>
      <c r="E3652" s="188"/>
      <c r="F3652" s="188"/>
      <c r="G3652" s="2122"/>
      <c r="H3652" s="568"/>
      <c r="I3652" s="2118"/>
      <c r="J3652" s="2123"/>
      <c r="K3652" s="2123">
        <f>K3648</f>
        <v>225.03</v>
      </c>
      <c r="L3652" s="192"/>
      <c r="M3652" s="568"/>
    </row>
    <row r="3653" spans="1:16" ht="12.75" hidden="1">
      <c r="A3653" s="2114"/>
      <c r="B3653" s="568" t="s">
        <v>948</v>
      </c>
      <c r="C3653" s="568"/>
      <c r="D3653" s="568"/>
      <c r="E3653" s="188"/>
      <c r="F3653" s="188"/>
      <c r="G3653" s="2122"/>
      <c r="H3653" s="2125">
        <v>0.03</v>
      </c>
      <c r="I3653" s="2134">
        <f>I3645+K3645</f>
        <v>156.96999999999997</v>
      </c>
      <c r="J3653" s="2124"/>
      <c r="K3653" s="2123">
        <f>ROUND(I3653*H3653,2)</f>
        <v>4.71</v>
      </c>
      <c r="L3653" s="192"/>
      <c r="M3653" s="568"/>
      <c r="O3653" s="1991">
        <f>O3645+K3653</f>
        <v>161.67999999999998</v>
      </c>
      <c r="P3653" s="1706" t="s">
        <v>3149</v>
      </c>
    </row>
    <row r="3654" spans="1:16" ht="12.75" hidden="1">
      <c r="A3654" s="2114"/>
      <c r="B3654" s="192" t="s">
        <v>3662</v>
      </c>
      <c r="C3654" s="568"/>
      <c r="D3654" s="568"/>
      <c r="E3654" s="188"/>
      <c r="F3654" s="188"/>
      <c r="G3654" s="2122"/>
      <c r="H3654" s="2135">
        <f>H3646</f>
        <v>7.4999999999999997E-2</v>
      </c>
      <c r="I3654" s="2134">
        <f>K3653</f>
        <v>4.71</v>
      </c>
      <c r="J3654" s="2134"/>
      <c r="K3654" s="2123">
        <f>ROUND(I3654*H3654,2)</f>
        <v>0.35</v>
      </c>
      <c r="L3654" s="192"/>
      <c r="M3654" s="568"/>
      <c r="O3654" s="1991"/>
      <c r="P3654" s="1706"/>
    </row>
    <row r="3655" spans="1:16" ht="12.75" hidden="1">
      <c r="A3655" s="2114"/>
      <c r="B3655" s="192" t="s">
        <v>3661</v>
      </c>
      <c r="C3655" s="568"/>
      <c r="D3655" s="568"/>
      <c r="E3655" s="188"/>
      <c r="F3655" s="188"/>
      <c r="G3655" s="2122"/>
      <c r="H3655" s="2135">
        <f>H3654</f>
        <v>7.4999999999999997E-2</v>
      </c>
      <c r="I3655" s="2134">
        <f>I3654</f>
        <v>4.71</v>
      </c>
      <c r="J3655" s="2134"/>
      <c r="K3655" s="2140">
        <f>ROUND(I3655*H3655,2)</f>
        <v>0.35</v>
      </c>
      <c r="L3655" s="192"/>
      <c r="M3655" s="568"/>
      <c r="O3655" s="1991"/>
      <c r="P3655" s="1706"/>
    </row>
    <row r="3656" spans="1:16" ht="12.75" hidden="1">
      <c r="A3656" s="2114"/>
      <c r="B3656" s="568"/>
      <c r="C3656" s="568"/>
      <c r="D3656" s="568"/>
      <c r="E3656" s="188"/>
      <c r="F3656" s="188"/>
      <c r="G3656" s="2122"/>
      <c r="H3656" s="568"/>
      <c r="I3656" s="2118"/>
      <c r="J3656" s="2123"/>
      <c r="K3656" s="2123">
        <f>SUM(K3652:K3655)</f>
        <v>230.44</v>
      </c>
      <c r="L3656" s="192"/>
      <c r="M3656" s="568"/>
      <c r="O3656" s="1991"/>
      <c r="P3656" s="1706"/>
    </row>
    <row r="3657" spans="1:16" ht="12.75" hidden="1">
      <c r="A3657" s="2114"/>
      <c r="B3657" s="192" t="s">
        <v>3738</v>
      </c>
      <c r="C3657" s="2142">
        <v>0.01</v>
      </c>
      <c r="D3657" s="568"/>
      <c r="E3657" s="188"/>
      <c r="F3657" s="188"/>
      <c r="G3657" s="2122"/>
      <c r="H3657" s="568"/>
      <c r="I3657" s="2118"/>
      <c r="J3657" s="2123"/>
      <c r="K3657" s="2140">
        <f>ROUND(K3656*C3657,2)</f>
        <v>2.2999999999999998</v>
      </c>
      <c r="L3657" s="192"/>
      <c r="M3657" s="568"/>
      <c r="O3657" s="1991"/>
      <c r="P3657" s="1706"/>
    </row>
    <row r="3658" spans="1:16" ht="12.75" hidden="1">
      <c r="A3658" s="2114"/>
      <c r="B3658" s="568"/>
      <c r="C3658" s="568"/>
      <c r="D3658" s="568"/>
      <c r="E3658" s="188"/>
      <c r="F3658" s="188"/>
      <c r="G3658" s="2122"/>
      <c r="H3658" s="568"/>
      <c r="I3658" s="2118"/>
      <c r="J3658" s="2126" t="s">
        <v>718</v>
      </c>
      <c r="K3658" s="2124">
        <f>SUM(K3656:K3657)</f>
        <v>232.74</v>
      </c>
      <c r="L3658" s="192" t="s">
        <v>730</v>
      </c>
      <c r="M3658" s="568"/>
      <c r="O3658" s="1991">
        <f>K3658-O3653</f>
        <v>71.060000000000031</v>
      </c>
      <c r="P3658" s="1706" t="s">
        <v>26</v>
      </c>
    </row>
    <row r="3659" spans="1:16" ht="12.75" hidden="1">
      <c r="A3659" s="2114" t="str">
        <f>A667</f>
        <v>(iv)</v>
      </c>
      <c r="B3659" s="192" t="str">
        <f>B667</f>
        <v>3rd Floor</v>
      </c>
      <c r="C3659" s="568"/>
      <c r="D3659" s="568"/>
      <c r="E3659" s="2120" t="str">
        <f>G674</f>
        <v>Each Sqm</v>
      </c>
      <c r="F3659" s="2120"/>
      <c r="G3659" s="2122"/>
      <c r="H3659" s="568"/>
      <c r="I3659" s="2118"/>
      <c r="J3659" s="2123"/>
      <c r="K3659" s="2123"/>
      <c r="L3659" s="192"/>
      <c r="M3659" s="568"/>
    </row>
    <row r="3660" spans="1:16" ht="12.75" hidden="1">
      <c r="A3660" s="2114"/>
      <c r="B3660" s="568" t="s">
        <v>950</v>
      </c>
      <c r="C3660" s="568"/>
      <c r="D3660" s="568"/>
      <c r="E3660" s="188"/>
      <c r="F3660" s="188"/>
      <c r="G3660" s="2122"/>
      <c r="H3660" s="568"/>
      <c r="I3660" s="2118"/>
      <c r="J3660" s="2123"/>
      <c r="K3660" s="2123">
        <f>K3658</f>
        <v>232.74</v>
      </c>
      <c r="L3660" s="192"/>
      <c r="M3660" s="568"/>
    </row>
    <row r="3661" spans="1:16" ht="12.75" hidden="1">
      <c r="A3661" s="2114"/>
      <c r="B3661" s="568" t="s">
        <v>948</v>
      </c>
      <c r="C3661" s="568"/>
      <c r="D3661" s="568"/>
      <c r="E3661" s="188"/>
      <c r="F3661" s="188"/>
      <c r="G3661" s="2122"/>
      <c r="H3661" s="2125">
        <v>0.03</v>
      </c>
      <c r="I3661" s="2134">
        <f>I3653+K3653</f>
        <v>161.67999999999998</v>
      </c>
      <c r="J3661" s="2124"/>
      <c r="K3661" s="2123">
        <f>ROUND(I3661*H3661,2)</f>
        <v>4.8499999999999996</v>
      </c>
      <c r="L3661" s="192"/>
      <c r="M3661" s="568"/>
      <c r="O3661" s="1991">
        <f>O3653+K3661</f>
        <v>166.52999999999997</v>
      </c>
      <c r="P3661" s="1706" t="s">
        <v>3149</v>
      </c>
    </row>
    <row r="3662" spans="1:16" ht="12.75" hidden="1">
      <c r="A3662" s="2114"/>
      <c r="B3662" s="192" t="s">
        <v>3662</v>
      </c>
      <c r="C3662" s="568"/>
      <c r="D3662" s="568"/>
      <c r="E3662" s="188"/>
      <c r="F3662" s="188"/>
      <c r="G3662" s="2122"/>
      <c r="H3662" s="2135">
        <f>H3654</f>
        <v>7.4999999999999997E-2</v>
      </c>
      <c r="I3662" s="2134">
        <f>K3661</f>
        <v>4.8499999999999996</v>
      </c>
      <c r="J3662" s="2134"/>
      <c r="K3662" s="2123">
        <f>ROUND(I3662*H3662,2)</f>
        <v>0.36</v>
      </c>
      <c r="L3662" s="192"/>
      <c r="M3662" s="568"/>
      <c r="O3662" s="1991"/>
      <c r="P3662" s="1706"/>
    </row>
    <row r="3663" spans="1:16" ht="12.75" hidden="1">
      <c r="A3663" s="2114"/>
      <c r="B3663" s="192" t="s">
        <v>3661</v>
      </c>
      <c r="C3663" s="568"/>
      <c r="D3663" s="568"/>
      <c r="E3663" s="188"/>
      <c r="F3663" s="188"/>
      <c r="G3663" s="2122"/>
      <c r="H3663" s="2135">
        <f>H3662</f>
        <v>7.4999999999999997E-2</v>
      </c>
      <c r="I3663" s="2134">
        <f>I3662</f>
        <v>4.8499999999999996</v>
      </c>
      <c r="J3663" s="2134"/>
      <c r="K3663" s="2140">
        <f>ROUND(I3663*H3663,2)</f>
        <v>0.36</v>
      </c>
      <c r="L3663" s="192"/>
      <c r="M3663" s="568"/>
      <c r="O3663" s="1991"/>
      <c r="P3663" s="1706"/>
    </row>
    <row r="3664" spans="1:16" ht="12.75" hidden="1">
      <c r="A3664" s="2114"/>
      <c r="B3664" s="568"/>
      <c r="C3664" s="568"/>
      <c r="D3664" s="568"/>
      <c r="E3664" s="188"/>
      <c r="F3664" s="188"/>
      <c r="G3664" s="2122"/>
      <c r="H3664" s="568"/>
      <c r="I3664" s="2118"/>
      <c r="J3664" s="2123"/>
      <c r="K3664" s="2123">
        <f>SUM(K3660:K3663)</f>
        <v>238.31000000000003</v>
      </c>
      <c r="L3664" s="192"/>
      <c r="M3664" s="568"/>
      <c r="O3664" s="1991"/>
      <c r="P3664" s="1706"/>
    </row>
    <row r="3665" spans="1:16" ht="12.75" hidden="1">
      <c r="A3665" s="2114"/>
      <c r="B3665" s="192" t="s">
        <v>3738</v>
      </c>
      <c r="C3665" s="2142">
        <v>0.01</v>
      </c>
      <c r="D3665" s="568"/>
      <c r="E3665" s="188"/>
      <c r="F3665" s="188"/>
      <c r="G3665" s="2122"/>
      <c r="H3665" s="568"/>
      <c r="I3665" s="2118"/>
      <c r="J3665" s="2123"/>
      <c r="K3665" s="2140">
        <f>ROUND(K3664*C3665,2)</f>
        <v>2.38</v>
      </c>
      <c r="L3665" s="192"/>
      <c r="M3665" s="568"/>
      <c r="O3665" s="1991"/>
      <c r="P3665" s="1706"/>
    </row>
    <row r="3666" spans="1:16" ht="12.75" hidden="1">
      <c r="A3666" s="2114"/>
      <c r="B3666" s="568"/>
      <c r="C3666" s="568"/>
      <c r="D3666" s="568"/>
      <c r="E3666" s="188"/>
      <c r="F3666" s="188"/>
      <c r="G3666" s="2122"/>
      <c r="H3666" s="568"/>
      <c r="I3666" s="2118"/>
      <c r="J3666" s="2126" t="s">
        <v>718</v>
      </c>
      <c r="K3666" s="2124">
        <f>SUM(K3664:K3665)</f>
        <v>240.69000000000003</v>
      </c>
      <c r="L3666" s="192" t="s">
        <v>730</v>
      </c>
      <c r="M3666" s="568"/>
      <c r="O3666" s="1991">
        <f>K3666-O3661</f>
        <v>74.160000000000053</v>
      </c>
      <c r="P3666" s="1706" t="s">
        <v>26</v>
      </c>
    </row>
    <row r="3667" spans="1:16" ht="56.45" customHeight="1">
      <c r="A3667" s="2114">
        <f>A668</f>
        <v>60</v>
      </c>
      <c r="B3667" s="3025" t="str">
        <f>B668</f>
        <v>Providing 16 mm thick C.P. with C.M. (1:6) with Punning with screened and washed sharp sand for mortar and finished smooth to the rough surface of walls in all heights after racking out joints  etc. complete in all respect as directed by the Engineer in charge.</v>
      </c>
      <c r="C3667" s="3025"/>
      <c r="D3667" s="3025"/>
      <c r="E3667" s="3025"/>
      <c r="F3667" s="3025"/>
      <c r="G3667" s="3025"/>
      <c r="H3667" s="3025"/>
      <c r="I3667" s="2118"/>
      <c r="J3667" s="2124"/>
      <c r="K3667" s="2124"/>
      <c r="L3667" s="192"/>
      <c r="M3667" s="568"/>
    </row>
    <row r="3668" spans="1:16" ht="12.75">
      <c r="A3668" s="2114" t="str">
        <f>A727</f>
        <v>(i)</v>
      </c>
      <c r="B3668" s="192" t="str">
        <f>B727</f>
        <v>Ground Floor</v>
      </c>
      <c r="C3668" s="192"/>
      <c r="D3668" s="192"/>
      <c r="E3668" s="2120" t="str">
        <f>G727</f>
        <v>Each Sqm</v>
      </c>
      <c r="F3668" s="2120"/>
      <c r="G3668" s="2141"/>
      <c r="H3668" s="192"/>
      <c r="I3668" s="2114"/>
      <c r="J3668" s="2124"/>
      <c r="K3668" s="2124"/>
      <c r="L3668" s="192"/>
      <c r="M3668" s="568"/>
    </row>
    <row r="3669" spans="1:16" ht="12.75">
      <c r="A3669" s="2114"/>
      <c r="B3669" s="568" t="s">
        <v>821</v>
      </c>
      <c r="C3669" s="568"/>
      <c r="D3669" s="568"/>
      <c r="E3669" s="188"/>
      <c r="F3669" s="188"/>
      <c r="G3669" s="2122"/>
      <c r="H3669" s="568"/>
      <c r="I3669" s="2118"/>
      <c r="J3669" s="2123"/>
      <c r="K3669" s="2123"/>
      <c r="L3669" s="192"/>
      <c r="M3669" s="568"/>
    </row>
    <row r="3670" spans="1:16" ht="12.75">
      <c r="A3670" s="2114"/>
      <c r="B3670" s="192" t="s">
        <v>822</v>
      </c>
      <c r="C3670" s="568"/>
      <c r="D3670" s="568"/>
      <c r="E3670" s="188"/>
      <c r="F3670" s="188"/>
      <c r="G3670" s="2122"/>
      <c r="H3670" s="568"/>
      <c r="I3670" s="2118"/>
      <c r="J3670" s="2123"/>
      <c r="K3670" s="2123"/>
      <c r="L3670" s="192"/>
      <c r="M3670" s="568"/>
    </row>
    <row r="3671" spans="1:16" ht="12.75">
      <c r="A3671" s="2114"/>
      <c r="B3671" s="568" t="s">
        <v>775</v>
      </c>
      <c r="C3671" s="568"/>
      <c r="D3671" s="568"/>
      <c r="E3671" s="188"/>
      <c r="F3671" s="188"/>
      <c r="G3671" s="2122">
        <v>1.7999999999999999E-2</v>
      </c>
      <c r="H3671" s="568" t="s">
        <v>49</v>
      </c>
      <c r="I3671" s="2118" t="s">
        <v>49</v>
      </c>
      <c r="J3671" s="2123">
        <f>G46</f>
        <v>76.88</v>
      </c>
      <c r="K3671" s="2123">
        <f>ROUND(G3671*J3671,2)</f>
        <v>1.38</v>
      </c>
      <c r="L3671" s="192"/>
      <c r="M3671" s="568"/>
    </row>
    <row r="3672" spans="1:16" ht="12.75">
      <c r="A3672" s="2114"/>
      <c r="B3672" s="568" t="s">
        <v>8</v>
      </c>
      <c r="C3672" s="568"/>
      <c r="D3672" s="568"/>
      <c r="E3672" s="188"/>
      <c r="F3672" s="188"/>
      <c r="G3672" s="2164">
        <v>5.4399999999999997E-2</v>
      </c>
      <c r="H3672" s="568" t="s">
        <v>247</v>
      </c>
      <c r="I3672" s="2118" t="s">
        <v>247</v>
      </c>
      <c r="J3672" s="2123">
        <f>G50/10</f>
        <v>570.23400000000004</v>
      </c>
      <c r="K3672" s="2123">
        <f>ROUND(G3672*J3672,2)</f>
        <v>31.02</v>
      </c>
      <c r="L3672" s="192"/>
      <c r="M3672" s="568"/>
    </row>
    <row r="3673" spans="1:16" ht="12.75">
      <c r="A3673" s="2114"/>
      <c r="B3673" s="568"/>
      <c r="C3673" s="568"/>
      <c r="D3673" s="568"/>
      <c r="E3673" s="188"/>
      <c r="F3673" s="188"/>
      <c r="G3673" s="2122"/>
      <c r="H3673" s="568"/>
      <c r="I3673" s="2118"/>
      <c r="J3673" s="2134" t="s">
        <v>718</v>
      </c>
      <c r="K3673" s="2123">
        <f>SUM(K3671:K3672)</f>
        <v>32.4</v>
      </c>
      <c r="L3673" s="192"/>
      <c r="M3673" s="568"/>
    </row>
    <row r="3674" spans="1:16" ht="12.75">
      <c r="A3674" s="2114"/>
      <c r="B3674" s="192" t="s">
        <v>781</v>
      </c>
      <c r="C3674" s="568"/>
      <c r="D3674" s="568"/>
      <c r="E3674" s="188"/>
      <c r="F3674" s="188"/>
      <c r="G3674" s="2122"/>
      <c r="H3674" s="568"/>
      <c r="I3674" s="2118"/>
      <c r="J3674" s="2123"/>
      <c r="K3674" s="2123"/>
      <c r="L3674" s="192"/>
      <c r="M3674" s="568"/>
    </row>
    <row r="3675" spans="1:16" ht="12.75">
      <c r="A3675" s="2114"/>
      <c r="B3675" s="568" t="s">
        <v>782</v>
      </c>
      <c r="C3675" s="568"/>
      <c r="D3675" s="568"/>
      <c r="E3675" s="188"/>
      <c r="F3675" s="188"/>
      <c r="G3675" s="2122">
        <v>0.187</v>
      </c>
      <c r="H3675" s="568" t="s">
        <v>262</v>
      </c>
      <c r="I3675" s="2118" t="s">
        <v>38</v>
      </c>
      <c r="J3675" s="2123">
        <f>L136</f>
        <v>435</v>
      </c>
      <c r="K3675" s="2123">
        <f>ROUND(G3675*J3675,2)</f>
        <v>81.349999999999994</v>
      </c>
      <c r="L3675" s="192"/>
      <c r="M3675" s="568"/>
    </row>
    <row r="3676" spans="1:16" ht="12.75">
      <c r="A3676" s="2114"/>
      <c r="B3676" s="568" t="s">
        <v>717</v>
      </c>
      <c r="C3676" s="568"/>
      <c r="D3676" s="568"/>
      <c r="E3676" s="188"/>
      <c r="F3676" s="188"/>
      <c r="G3676" s="2122">
        <v>0.26700000000000002</v>
      </c>
      <c r="H3676" s="568" t="s">
        <v>262</v>
      </c>
      <c r="I3676" s="2118" t="s">
        <v>38</v>
      </c>
      <c r="J3676" s="2123">
        <f>L134</f>
        <v>345</v>
      </c>
      <c r="K3676" s="2140">
        <f>ROUND(G3676*J3676,2)</f>
        <v>92.12</v>
      </c>
      <c r="L3676" s="192"/>
      <c r="M3676" s="568"/>
    </row>
    <row r="3677" spans="1:16" ht="12.75">
      <c r="A3677" s="2114"/>
      <c r="B3677" s="568"/>
      <c r="C3677" s="568"/>
      <c r="D3677" s="568"/>
      <c r="E3677" s="188"/>
      <c r="F3677" s="188"/>
      <c r="G3677" s="2122"/>
      <c r="H3677" s="568"/>
      <c r="I3677" s="2118"/>
      <c r="J3677" s="2134" t="s">
        <v>718</v>
      </c>
      <c r="K3677" s="2123">
        <f>SUM(K3675:K3676)</f>
        <v>173.47</v>
      </c>
      <c r="L3677" s="192"/>
      <c r="M3677" s="568"/>
    </row>
    <row r="3678" spans="1:16" ht="12.75">
      <c r="A3678" s="2114"/>
      <c r="B3678" s="568"/>
      <c r="C3678" s="568"/>
      <c r="D3678" s="568"/>
      <c r="E3678" s="188"/>
      <c r="F3678" s="188"/>
      <c r="G3678" s="2122"/>
      <c r="H3678" s="568"/>
      <c r="I3678" s="2118"/>
      <c r="J3678" s="2134" t="s">
        <v>3741</v>
      </c>
      <c r="K3678" s="2123">
        <f>K3673+K3677</f>
        <v>205.87</v>
      </c>
      <c r="L3678" s="192"/>
      <c r="M3678" s="568"/>
    </row>
    <row r="3679" spans="1:16" ht="12.75">
      <c r="A3679" s="2114"/>
      <c r="B3679" s="192" t="s">
        <v>3662</v>
      </c>
      <c r="C3679" s="568"/>
      <c r="D3679" s="568"/>
      <c r="E3679" s="188"/>
      <c r="F3679" s="188"/>
      <c r="G3679" s="2122"/>
      <c r="H3679" s="2135">
        <f>H3663</f>
        <v>7.4999999999999997E-2</v>
      </c>
      <c r="I3679" s="2134">
        <f>K3678+K3674</f>
        <v>205.87</v>
      </c>
      <c r="J3679" s="2134"/>
      <c r="K3679" s="2123">
        <f>ROUND(I3679*H3679,2)</f>
        <v>15.44</v>
      </c>
      <c r="L3679" s="192"/>
      <c r="M3679" s="568"/>
    </row>
    <row r="3680" spans="1:16" ht="12.75">
      <c r="A3680" s="2114"/>
      <c r="B3680" s="192" t="s">
        <v>3661</v>
      </c>
      <c r="C3680" s="568"/>
      <c r="D3680" s="568"/>
      <c r="E3680" s="188"/>
      <c r="F3680" s="188"/>
      <c r="G3680" s="2122"/>
      <c r="H3680" s="2135">
        <f>H3679</f>
        <v>7.4999999999999997E-2</v>
      </c>
      <c r="I3680" s="2134">
        <f>I3679</f>
        <v>205.87</v>
      </c>
      <c r="J3680" s="2134"/>
      <c r="K3680" s="2140">
        <f>ROUND(I3680*H3680,2)</f>
        <v>15.44</v>
      </c>
      <c r="L3680" s="192"/>
      <c r="M3680" s="568"/>
    </row>
    <row r="3681" spans="1:16" ht="12.75">
      <c r="A3681" s="2114"/>
      <c r="B3681" s="192" t="s">
        <v>1497</v>
      </c>
      <c r="C3681" s="568"/>
      <c r="D3681" s="568"/>
      <c r="E3681" s="188"/>
      <c r="F3681" s="188"/>
      <c r="G3681" s="2122"/>
      <c r="H3681" s="568"/>
      <c r="I3681" s="2118"/>
      <c r="J3681" s="2123" t="s">
        <v>718</v>
      </c>
      <c r="K3681" s="2123">
        <f>SUM(K3678:K3680)</f>
        <v>236.75</v>
      </c>
      <c r="L3681" s="192"/>
      <c r="M3681" s="568"/>
    </row>
    <row r="3682" spans="1:16" ht="12.75">
      <c r="A3682" s="2114"/>
      <c r="B3682" s="192" t="s">
        <v>3663</v>
      </c>
      <c r="C3682" s="568"/>
      <c r="D3682" s="568"/>
      <c r="E3682" s="188"/>
      <c r="F3682" s="188"/>
      <c r="G3682" s="2122"/>
      <c r="H3682" s="568"/>
      <c r="I3682" s="2118"/>
      <c r="J3682" s="2123"/>
      <c r="K3682" s="2123"/>
      <c r="L3682" s="192"/>
      <c r="M3682" s="568"/>
    </row>
    <row r="3683" spans="1:16" ht="12.75">
      <c r="A3683" s="2114"/>
      <c r="B3683" s="568" t="s">
        <v>775</v>
      </c>
      <c r="C3683" s="568"/>
      <c r="D3683" s="568"/>
      <c r="E3683" s="188"/>
      <c r="F3683" s="188"/>
      <c r="G3683" s="2122">
        <f>G3671</f>
        <v>1.7999999999999999E-2</v>
      </c>
      <c r="H3683" s="568" t="s">
        <v>49</v>
      </c>
      <c r="I3683" s="2118" t="s">
        <v>49</v>
      </c>
      <c r="J3683" s="2123">
        <f>K46</f>
        <v>717.46</v>
      </c>
      <c r="K3683" s="2123">
        <f>ROUND(G3683*J3683,2)</f>
        <v>12.91</v>
      </c>
      <c r="L3683" s="192"/>
      <c r="M3683" s="568"/>
    </row>
    <row r="3684" spans="1:16" ht="12.75">
      <c r="A3684" s="2114"/>
      <c r="B3684" s="568" t="s">
        <v>8</v>
      </c>
      <c r="C3684" s="568"/>
      <c r="D3684" s="568"/>
      <c r="E3684" s="188"/>
      <c r="F3684" s="188"/>
      <c r="G3684" s="2164">
        <f>G3672</f>
        <v>5.4399999999999997E-2</v>
      </c>
      <c r="H3684" s="568" t="s">
        <v>247</v>
      </c>
      <c r="I3684" s="2118" t="s">
        <v>247</v>
      </c>
      <c r="J3684" s="2123">
        <f>K50/10</f>
        <v>42.622</v>
      </c>
      <c r="K3684" s="2123">
        <f>ROUND(G3684*J3684,2)</f>
        <v>2.3199999999999998</v>
      </c>
      <c r="L3684" s="192"/>
      <c r="M3684" s="568"/>
    </row>
    <row r="3685" spans="1:16" ht="12.75">
      <c r="A3685" s="2114"/>
      <c r="B3685" s="568"/>
      <c r="C3685" s="568"/>
      <c r="D3685" s="568"/>
      <c r="E3685" s="188"/>
      <c r="F3685" s="188"/>
      <c r="G3685" s="2122"/>
      <c r="H3685" s="568"/>
      <c r="I3685" s="2118"/>
      <c r="J3685" s="2134" t="s">
        <v>718</v>
      </c>
      <c r="K3685" s="2123">
        <f>SUM(K3683:K3684)</f>
        <v>15.23</v>
      </c>
      <c r="L3685" s="192"/>
      <c r="M3685" s="568"/>
      <c r="O3685" s="1991">
        <f>K3677</f>
        <v>173.47</v>
      </c>
      <c r="P3685" s="1706" t="s">
        <v>3149</v>
      </c>
    </row>
    <row r="3686" spans="1:16" ht="12.75">
      <c r="A3686" s="2114"/>
      <c r="B3686" s="568" t="s">
        <v>3742</v>
      </c>
      <c r="C3686" s="568"/>
      <c r="D3686" s="568"/>
      <c r="E3686" s="188"/>
      <c r="F3686" s="188"/>
      <c r="G3686" s="2122"/>
      <c r="H3686" s="568"/>
      <c r="I3686" s="2118"/>
      <c r="J3686" s="2134"/>
      <c r="K3686" s="2123">
        <f>K3681+K3685</f>
        <v>251.98</v>
      </c>
      <c r="L3686" s="192"/>
      <c r="M3686" s="568"/>
      <c r="O3686" s="1991"/>
      <c r="P3686" s="1706"/>
    </row>
    <row r="3687" spans="1:16" ht="12.75">
      <c r="A3687" s="2114"/>
      <c r="B3687" s="192" t="s">
        <v>3738</v>
      </c>
      <c r="C3687" s="2142">
        <v>0.01</v>
      </c>
      <c r="D3687" s="568"/>
      <c r="E3687" s="188"/>
      <c r="F3687" s="188"/>
      <c r="G3687" s="2122"/>
      <c r="H3687" s="568"/>
      <c r="I3687" s="2118"/>
      <c r="J3687" s="2123"/>
      <c r="K3687" s="2140">
        <f>ROUND(K3686*C3687,2)</f>
        <v>2.52</v>
      </c>
      <c r="L3687" s="192"/>
      <c r="M3687" s="568"/>
      <c r="O3687" s="1991"/>
      <c r="P3687" s="1706"/>
    </row>
    <row r="3688" spans="1:16" ht="12.75">
      <c r="A3688" s="2114"/>
      <c r="B3688" s="568" t="s">
        <v>825</v>
      </c>
      <c r="C3688" s="568"/>
      <c r="D3688" s="568"/>
      <c r="E3688" s="188"/>
      <c r="F3688" s="188"/>
      <c r="G3688" s="2122"/>
      <c r="H3688" s="568"/>
      <c r="I3688" s="2118"/>
      <c r="J3688" s="2126" t="s">
        <v>718</v>
      </c>
      <c r="K3688" s="2124">
        <f>SUM(K3686:K3687)</f>
        <v>254.5</v>
      </c>
      <c r="L3688" s="192" t="s">
        <v>730</v>
      </c>
      <c r="M3688" s="568"/>
      <c r="O3688" s="1991">
        <f>K3688-O3685</f>
        <v>81.03</v>
      </c>
      <c r="P3688" s="1706" t="s">
        <v>26</v>
      </c>
    </row>
    <row r="3689" spans="1:16" ht="12.75" hidden="1">
      <c r="A3689" s="2114" t="str">
        <f>A670</f>
        <v>(ii)</v>
      </c>
      <c r="B3689" s="192" t="str">
        <f>B670</f>
        <v>First Floor</v>
      </c>
      <c r="C3689" s="568"/>
      <c r="D3689" s="568"/>
      <c r="E3689" s="2120" t="str">
        <f>G731</f>
        <v>Each Sqm</v>
      </c>
      <c r="F3689" s="2120"/>
      <c r="G3689" s="2122"/>
      <c r="H3689" s="568"/>
      <c r="I3689" s="2118"/>
      <c r="J3689" s="2123"/>
      <c r="K3689" s="2123"/>
      <c r="L3689" s="192"/>
      <c r="M3689" s="568"/>
    </row>
    <row r="3690" spans="1:16" ht="12.75" hidden="1">
      <c r="A3690" s="2114"/>
      <c r="B3690" s="568" t="s">
        <v>722</v>
      </c>
      <c r="C3690" s="568"/>
      <c r="D3690" s="568"/>
      <c r="E3690" s="188"/>
      <c r="F3690" s="188"/>
      <c r="G3690" s="2122"/>
      <c r="H3690" s="568"/>
      <c r="I3690" s="2118"/>
      <c r="J3690" s="2123"/>
      <c r="K3690" s="2123">
        <f>K3686</f>
        <v>251.98</v>
      </c>
      <c r="L3690" s="192"/>
      <c r="M3690" s="568"/>
    </row>
    <row r="3691" spans="1:16" ht="12.75" hidden="1">
      <c r="A3691" s="2114"/>
      <c r="B3691" s="568" t="s">
        <v>948</v>
      </c>
      <c r="C3691" s="568"/>
      <c r="D3691" s="568"/>
      <c r="E3691" s="188"/>
      <c r="F3691" s="188"/>
      <c r="G3691" s="2122"/>
      <c r="H3691" s="2125">
        <v>0.03</v>
      </c>
      <c r="I3691" s="2134">
        <f>K3677</f>
        <v>173.47</v>
      </c>
      <c r="J3691" s="2124"/>
      <c r="K3691" s="2123">
        <f>ROUND(I3691*H3691,2)</f>
        <v>5.2</v>
      </c>
      <c r="L3691" s="192"/>
      <c r="M3691" s="568"/>
      <c r="O3691" s="1991">
        <f>O3685+K3691</f>
        <v>178.67</v>
      </c>
      <c r="P3691" s="1706" t="s">
        <v>3149</v>
      </c>
    </row>
    <row r="3692" spans="1:16" ht="12.75" hidden="1">
      <c r="A3692" s="2114"/>
      <c r="B3692" s="192" t="s">
        <v>3662</v>
      </c>
      <c r="C3692" s="568"/>
      <c r="D3692" s="568"/>
      <c r="E3692" s="188"/>
      <c r="F3692" s="188"/>
      <c r="G3692" s="2122"/>
      <c r="H3692" s="2135">
        <f>H3680</f>
        <v>7.4999999999999997E-2</v>
      </c>
      <c r="I3692" s="2134">
        <f>K3691</f>
        <v>5.2</v>
      </c>
      <c r="J3692" s="2134"/>
      <c r="K3692" s="2123">
        <f>ROUND(I3692*H3692,2)</f>
        <v>0.39</v>
      </c>
      <c r="L3692" s="192"/>
      <c r="M3692" s="568"/>
      <c r="O3692" s="1991"/>
      <c r="P3692" s="1706"/>
    </row>
    <row r="3693" spans="1:16" ht="12.75" hidden="1">
      <c r="A3693" s="2114"/>
      <c r="B3693" s="192" t="s">
        <v>3661</v>
      </c>
      <c r="C3693" s="568"/>
      <c r="D3693" s="568"/>
      <c r="E3693" s="188"/>
      <c r="F3693" s="188"/>
      <c r="G3693" s="2122"/>
      <c r="H3693" s="2135">
        <f>H3692</f>
        <v>7.4999999999999997E-2</v>
      </c>
      <c r="I3693" s="2134">
        <f>I3692</f>
        <v>5.2</v>
      </c>
      <c r="J3693" s="2134"/>
      <c r="K3693" s="2140">
        <f>ROUND(I3693*H3693,2)</f>
        <v>0.39</v>
      </c>
      <c r="L3693" s="192"/>
      <c r="M3693" s="568"/>
      <c r="O3693" s="1991"/>
      <c r="P3693" s="1706"/>
    </row>
    <row r="3694" spans="1:16" ht="12.75" hidden="1">
      <c r="A3694" s="2114"/>
      <c r="B3694" s="568"/>
      <c r="C3694" s="568"/>
      <c r="D3694" s="568"/>
      <c r="E3694" s="188"/>
      <c r="F3694" s="188"/>
      <c r="G3694" s="2122"/>
      <c r="H3694" s="568"/>
      <c r="I3694" s="2118"/>
      <c r="J3694" s="2123"/>
      <c r="K3694" s="2123">
        <f>SUM(K3690:K3693)</f>
        <v>257.95999999999998</v>
      </c>
      <c r="L3694" s="192"/>
      <c r="M3694" s="568"/>
      <c r="O3694" s="1991"/>
      <c r="P3694" s="1706"/>
    </row>
    <row r="3695" spans="1:16" ht="12.75" hidden="1">
      <c r="A3695" s="2114"/>
      <c r="B3695" s="192" t="s">
        <v>3738</v>
      </c>
      <c r="C3695" s="2142">
        <v>0.01</v>
      </c>
      <c r="D3695" s="568"/>
      <c r="E3695" s="188"/>
      <c r="F3695" s="188"/>
      <c r="G3695" s="2122"/>
      <c r="H3695" s="568"/>
      <c r="I3695" s="2118"/>
      <c r="J3695" s="2123"/>
      <c r="K3695" s="2140">
        <f>ROUND(K3694*C3695,2)</f>
        <v>2.58</v>
      </c>
      <c r="L3695" s="192"/>
      <c r="M3695" s="568"/>
      <c r="O3695" s="1991"/>
      <c r="P3695" s="1706"/>
    </row>
    <row r="3696" spans="1:16" ht="12.75" hidden="1">
      <c r="A3696" s="2114"/>
      <c r="B3696" s="568"/>
      <c r="C3696" s="568"/>
      <c r="D3696" s="568"/>
      <c r="E3696" s="188"/>
      <c r="F3696" s="188"/>
      <c r="G3696" s="2122"/>
      <c r="H3696" s="568"/>
      <c r="I3696" s="2118"/>
      <c r="J3696" s="2126" t="s">
        <v>718</v>
      </c>
      <c r="K3696" s="2124">
        <f>SUM(K3694:K3695)</f>
        <v>260.53999999999996</v>
      </c>
      <c r="L3696" s="192" t="s">
        <v>730</v>
      </c>
      <c r="M3696" s="568"/>
      <c r="O3696" s="1991">
        <f>K3696-O3691</f>
        <v>81.869999999999976</v>
      </c>
      <c r="P3696" s="1706" t="s">
        <v>26</v>
      </c>
    </row>
    <row r="3697" spans="1:16" ht="12.75" hidden="1">
      <c r="A3697" s="2114" t="str">
        <f>A671</f>
        <v>(iii)</v>
      </c>
      <c r="B3697" s="192" t="str">
        <f>B671</f>
        <v>2nd Floor</v>
      </c>
      <c r="C3697" s="568"/>
      <c r="D3697" s="568"/>
      <c r="E3697" s="2120" t="str">
        <f>G736</f>
        <v>Each Sqm</v>
      </c>
      <c r="F3697" s="2120"/>
      <c r="G3697" s="2122"/>
      <c r="H3697" s="568"/>
      <c r="I3697" s="2118"/>
      <c r="J3697" s="2123"/>
      <c r="K3697" s="2123"/>
      <c r="L3697" s="192"/>
      <c r="M3697" s="568"/>
    </row>
    <row r="3698" spans="1:16" ht="12.75" hidden="1">
      <c r="A3698" s="2114"/>
      <c r="B3698" s="568" t="s">
        <v>3623</v>
      </c>
      <c r="C3698" s="568"/>
      <c r="D3698" s="568"/>
      <c r="E3698" s="188"/>
      <c r="F3698" s="188"/>
      <c r="G3698" s="2122"/>
      <c r="H3698" s="568"/>
      <c r="I3698" s="2118"/>
      <c r="J3698" s="2123"/>
      <c r="K3698" s="2123">
        <f>K3694</f>
        <v>257.95999999999998</v>
      </c>
      <c r="L3698" s="192"/>
      <c r="M3698" s="568"/>
    </row>
    <row r="3699" spans="1:16" ht="12.75" hidden="1">
      <c r="A3699" s="2114"/>
      <c r="B3699" s="568" t="s">
        <v>948</v>
      </c>
      <c r="C3699" s="568"/>
      <c r="D3699" s="568"/>
      <c r="E3699" s="188"/>
      <c r="F3699" s="188"/>
      <c r="G3699" s="2122"/>
      <c r="H3699" s="2125">
        <v>0.03</v>
      </c>
      <c r="I3699" s="2134">
        <f>I3691+K3691</f>
        <v>178.67</v>
      </c>
      <c r="J3699" s="2124"/>
      <c r="K3699" s="2123">
        <f>ROUND(I3699*H3699,2)</f>
        <v>5.36</v>
      </c>
      <c r="L3699" s="192"/>
      <c r="M3699" s="568"/>
      <c r="O3699" s="1991">
        <f>O3691+K3699</f>
        <v>184.03</v>
      </c>
      <c r="P3699" s="1706" t="s">
        <v>3149</v>
      </c>
    </row>
    <row r="3700" spans="1:16" ht="12.75" hidden="1">
      <c r="A3700" s="2114"/>
      <c r="B3700" s="192" t="s">
        <v>3662</v>
      </c>
      <c r="C3700" s="568"/>
      <c r="D3700" s="568"/>
      <c r="E3700" s="188"/>
      <c r="F3700" s="188"/>
      <c r="G3700" s="2122"/>
      <c r="H3700" s="2135">
        <f>H3692</f>
        <v>7.4999999999999997E-2</v>
      </c>
      <c r="I3700" s="2134">
        <f>K3699</f>
        <v>5.36</v>
      </c>
      <c r="J3700" s="2134"/>
      <c r="K3700" s="2123">
        <f>ROUND(I3700*H3700,2)</f>
        <v>0.4</v>
      </c>
      <c r="L3700" s="192"/>
      <c r="M3700" s="568"/>
      <c r="O3700" s="1991"/>
      <c r="P3700" s="1706"/>
    </row>
    <row r="3701" spans="1:16" ht="12.75" hidden="1">
      <c r="A3701" s="2114"/>
      <c r="B3701" s="192" t="s">
        <v>3661</v>
      </c>
      <c r="C3701" s="568"/>
      <c r="D3701" s="568"/>
      <c r="E3701" s="188"/>
      <c r="F3701" s="188"/>
      <c r="G3701" s="2122"/>
      <c r="H3701" s="2135">
        <f>H3700</f>
        <v>7.4999999999999997E-2</v>
      </c>
      <c r="I3701" s="2134">
        <f>I3700</f>
        <v>5.36</v>
      </c>
      <c r="J3701" s="2134"/>
      <c r="K3701" s="2140">
        <f>ROUND(I3701*H3701,2)</f>
        <v>0.4</v>
      </c>
      <c r="L3701" s="192"/>
      <c r="M3701" s="568"/>
      <c r="O3701" s="1991"/>
      <c r="P3701" s="1706"/>
    </row>
    <row r="3702" spans="1:16" ht="12.75" hidden="1">
      <c r="A3702" s="2114"/>
      <c r="B3702" s="568"/>
      <c r="C3702" s="568"/>
      <c r="D3702" s="568"/>
      <c r="E3702" s="188"/>
      <c r="F3702" s="188"/>
      <c r="G3702" s="2122"/>
      <c r="H3702" s="568"/>
      <c r="I3702" s="2118"/>
      <c r="J3702" s="2123"/>
      <c r="K3702" s="2123">
        <f>SUM(K3698:K3701)</f>
        <v>264.11999999999995</v>
      </c>
      <c r="L3702" s="192"/>
      <c r="M3702" s="568"/>
      <c r="O3702" s="1991"/>
      <c r="P3702" s="1706"/>
    </row>
    <row r="3703" spans="1:16" ht="12.75" hidden="1">
      <c r="A3703" s="2114"/>
      <c r="B3703" s="192" t="s">
        <v>3738</v>
      </c>
      <c r="C3703" s="2142">
        <v>0.01</v>
      </c>
      <c r="D3703" s="568"/>
      <c r="E3703" s="188"/>
      <c r="F3703" s="188"/>
      <c r="G3703" s="2122"/>
      <c r="H3703" s="568"/>
      <c r="I3703" s="2118"/>
      <c r="J3703" s="2123"/>
      <c r="K3703" s="2140">
        <f>ROUND(K3702*C3703,2)</f>
        <v>2.64</v>
      </c>
      <c r="L3703" s="192"/>
      <c r="M3703" s="568"/>
      <c r="O3703" s="1991"/>
      <c r="P3703" s="1706"/>
    </row>
    <row r="3704" spans="1:16" ht="12.75" hidden="1">
      <c r="A3704" s="2114"/>
      <c r="B3704" s="568"/>
      <c r="C3704" s="568"/>
      <c r="D3704" s="568"/>
      <c r="E3704" s="188"/>
      <c r="F3704" s="188"/>
      <c r="G3704" s="2122"/>
      <c r="H3704" s="568"/>
      <c r="I3704" s="2118"/>
      <c r="J3704" s="2126" t="s">
        <v>718</v>
      </c>
      <c r="K3704" s="2124">
        <f>SUM(K3702:K3703)</f>
        <v>266.75999999999993</v>
      </c>
      <c r="L3704" s="192" t="s">
        <v>730</v>
      </c>
      <c r="M3704" s="568"/>
      <c r="O3704" s="1991">
        <f>K3704-O3699</f>
        <v>82.729999999999933</v>
      </c>
      <c r="P3704" s="1706" t="s">
        <v>26</v>
      </c>
    </row>
    <row r="3705" spans="1:16" ht="12.75" hidden="1">
      <c r="A3705" s="2114" t="str">
        <f>A672</f>
        <v>(iv)</v>
      </c>
      <c r="B3705" s="192" t="str">
        <f>B672</f>
        <v>3rd Floor</v>
      </c>
      <c r="C3705" s="568"/>
      <c r="D3705" s="568"/>
      <c r="E3705" s="2120" t="str">
        <f>G740</f>
        <v>Each Sqm</v>
      </c>
      <c r="F3705" s="2120"/>
      <c r="G3705" s="2122"/>
      <c r="H3705" s="568"/>
      <c r="I3705" s="2118"/>
      <c r="J3705" s="2123"/>
      <c r="K3705" s="2123"/>
      <c r="L3705" s="192"/>
      <c r="M3705" s="568"/>
    </row>
    <row r="3706" spans="1:16" ht="12.75" hidden="1">
      <c r="A3706" s="2114"/>
      <c r="B3706" s="568" t="s">
        <v>3623</v>
      </c>
      <c r="C3706" s="568"/>
      <c r="D3706" s="568"/>
      <c r="E3706" s="188"/>
      <c r="F3706" s="188"/>
      <c r="G3706" s="2122"/>
      <c r="H3706" s="568"/>
      <c r="I3706" s="2118"/>
      <c r="J3706" s="2123"/>
      <c r="K3706" s="2123">
        <f>K3704</f>
        <v>266.75999999999993</v>
      </c>
      <c r="L3706" s="192"/>
      <c r="M3706" s="568"/>
    </row>
    <row r="3707" spans="1:16" ht="12.75" hidden="1">
      <c r="A3707" s="2114"/>
      <c r="B3707" s="568" t="s">
        <v>948</v>
      </c>
      <c r="C3707" s="568"/>
      <c r="D3707" s="568"/>
      <c r="E3707" s="188"/>
      <c r="F3707" s="188"/>
      <c r="G3707" s="2122"/>
      <c r="H3707" s="2125">
        <v>0.03</v>
      </c>
      <c r="I3707" s="2134">
        <f>I3699+K3699</f>
        <v>184.03</v>
      </c>
      <c r="J3707" s="2124"/>
      <c r="K3707" s="2123">
        <f>ROUND(I3707*H3707,2)</f>
        <v>5.52</v>
      </c>
      <c r="L3707" s="192"/>
      <c r="M3707" s="568"/>
      <c r="O3707" s="1991">
        <f>O3699+K3707</f>
        <v>189.55</v>
      </c>
      <c r="P3707" s="1706" t="s">
        <v>3149</v>
      </c>
    </row>
    <row r="3708" spans="1:16" ht="12.75" hidden="1">
      <c r="A3708" s="2114"/>
      <c r="B3708" s="192" t="s">
        <v>3662</v>
      </c>
      <c r="C3708" s="568"/>
      <c r="D3708" s="568"/>
      <c r="E3708" s="188"/>
      <c r="F3708" s="188"/>
      <c r="G3708" s="2122"/>
      <c r="H3708" s="2135">
        <f>H3700</f>
        <v>7.4999999999999997E-2</v>
      </c>
      <c r="I3708" s="2134">
        <f>K3707</f>
        <v>5.52</v>
      </c>
      <c r="J3708" s="2134"/>
      <c r="K3708" s="2123">
        <f>ROUND(I3708*H3708,2)</f>
        <v>0.41</v>
      </c>
      <c r="L3708" s="192"/>
      <c r="M3708" s="568"/>
      <c r="O3708" s="1991"/>
      <c r="P3708" s="1706"/>
    </row>
    <row r="3709" spans="1:16" ht="12.75" hidden="1">
      <c r="A3709" s="2114"/>
      <c r="B3709" s="192" t="s">
        <v>3661</v>
      </c>
      <c r="C3709" s="568"/>
      <c r="D3709" s="568"/>
      <c r="E3709" s="188"/>
      <c r="F3709" s="188"/>
      <c r="G3709" s="2122"/>
      <c r="H3709" s="2135">
        <f>H3708</f>
        <v>7.4999999999999997E-2</v>
      </c>
      <c r="I3709" s="2134">
        <f>I3708</f>
        <v>5.52</v>
      </c>
      <c r="J3709" s="2134"/>
      <c r="K3709" s="2140">
        <f>ROUND(I3709*H3709,2)</f>
        <v>0.41</v>
      </c>
      <c r="L3709" s="192"/>
      <c r="M3709" s="568"/>
      <c r="O3709" s="1991"/>
      <c r="P3709" s="1706"/>
    </row>
    <row r="3710" spans="1:16" ht="12.75" hidden="1">
      <c r="A3710" s="2114"/>
      <c r="B3710" s="568"/>
      <c r="C3710" s="568"/>
      <c r="D3710" s="568"/>
      <c r="E3710" s="188"/>
      <c r="F3710" s="188"/>
      <c r="G3710" s="2122"/>
      <c r="H3710" s="568"/>
      <c r="I3710" s="2118"/>
      <c r="J3710" s="2123"/>
      <c r="K3710" s="2123">
        <f>SUM(K3706:K3709)</f>
        <v>273.09999999999997</v>
      </c>
      <c r="L3710" s="192"/>
      <c r="M3710" s="568"/>
      <c r="O3710" s="1991"/>
      <c r="P3710" s="1706"/>
    </row>
    <row r="3711" spans="1:16" ht="12.75" hidden="1">
      <c r="A3711" s="2114"/>
      <c r="B3711" s="192" t="s">
        <v>3738</v>
      </c>
      <c r="C3711" s="2142">
        <v>0.01</v>
      </c>
      <c r="D3711" s="568"/>
      <c r="E3711" s="188"/>
      <c r="F3711" s="188"/>
      <c r="G3711" s="2122"/>
      <c r="H3711" s="568"/>
      <c r="I3711" s="2118"/>
      <c r="J3711" s="2123"/>
      <c r="K3711" s="2140">
        <f>ROUND(K3710*C3711,2)</f>
        <v>2.73</v>
      </c>
      <c r="L3711" s="192"/>
      <c r="M3711" s="568"/>
      <c r="O3711" s="1991"/>
      <c r="P3711" s="1706"/>
    </row>
    <row r="3712" spans="1:16" ht="12.75" hidden="1">
      <c r="A3712" s="2114"/>
      <c r="B3712" s="568"/>
      <c r="C3712" s="568"/>
      <c r="D3712" s="568"/>
      <c r="E3712" s="188"/>
      <c r="F3712" s="188"/>
      <c r="G3712" s="2122"/>
      <c r="H3712" s="568"/>
      <c r="I3712" s="2118"/>
      <c r="J3712" s="2126" t="s">
        <v>718</v>
      </c>
      <c r="K3712" s="2124">
        <f>SUM(K3710:K3711)</f>
        <v>275.83</v>
      </c>
      <c r="L3712" s="192" t="s">
        <v>730</v>
      </c>
      <c r="M3712" s="568"/>
      <c r="O3712" s="1991">
        <f>K3712-O3707</f>
        <v>86.279999999999973</v>
      </c>
      <c r="P3712" s="1706" t="s">
        <v>26</v>
      </c>
    </row>
    <row r="3713" spans="1:13" ht="71.45" hidden="1" customHeight="1">
      <c r="A3713" s="2114">
        <f>A673</f>
        <v>61</v>
      </c>
      <c r="B3713" s="3017" t="str">
        <f>B673</f>
        <v>Providing 6 mm thick C.P. with C.M. (1:4) with screened and washed sharp sand for mortar and finished smooth to R.C.C. work after closed deep chipping &amp; slurry treatment including watering and curing,  etc. complete in all respect as directed by the Engineer in charge.</v>
      </c>
      <c r="C3713" s="3017"/>
      <c r="D3713" s="3017"/>
      <c r="E3713" s="2116" t="str">
        <f>G673</f>
        <v>Each Sqm</v>
      </c>
      <c r="F3713" s="2116"/>
      <c r="G3713" s="2122"/>
      <c r="H3713" s="568"/>
      <c r="I3713" s="2118"/>
      <c r="J3713" s="2124"/>
      <c r="K3713" s="2124"/>
      <c r="L3713" s="192"/>
      <c r="M3713" s="568"/>
    </row>
    <row r="3714" spans="1:13" ht="12.75" hidden="1">
      <c r="A3714" s="2114" t="str">
        <f>A674</f>
        <v>(i)</v>
      </c>
      <c r="B3714" s="192" t="str">
        <f>B674</f>
        <v>Ground Floor</v>
      </c>
      <c r="C3714" s="568"/>
      <c r="D3714" s="568"/>
      <c r="E3714" s="2120" t="str">
        <f>G674</f>
        <v>Each Sqm</v>
      </c>
      <c r="F3714" s="2120"/>
      <c r="G3714" s="2122"/>
      <c r="H3714" s="568"/>
      <c r="I3714" s="2118"/>
      <c r="J3714" s="2123"/>
      <c r="K3714" s="2123"/>
      <c r="L3714" s="192"/>
      <c r="M3714" s="568"/>
    </row>
    <row r="3715" spans="1:13" ht="12.75" hidden="1">
      <c r="A3715" s="2114"/>
      <c r="B3715" s="568" t="s">
        <v>821</v>
      </c>
      <c r="C3715" s="568"/>
      <c r="D3715" s="568"/>
      <c r="E3715" s="188"/>
      <c r="F3715" s="188"/>
      <c r="G3715" s="2122"/>
      <c r="H3715" s="568"/>
      <c r="I3715" s="2118"/>
      <c r="J3715" s="2123"/>
      <c r="K3715" s="2123"/>
      <c r="L3715" s="192"/>
      <c r="M3715" s="568"/>
    </row>
    <row r="3716" spans="1:13" ht="12.75" hidden="1">
      <c r="A3716" s="2114"/>
      <c r="B3716" s="192" t="s">
        <v>822</v>
      </c>
      <c r="C3716" s="568"/>
      <c r="D3716" s="568"/>
      <c r="E3716" s="188"/>
      <c r="F3716" s="188"/>
      <c r="G3716" s="2122"/>
      <c r="H3716" s="568"/>
      <c r="I3716" s="2118"/>
      <c r="J3716" s="2123"/>
      <c r="K3716" s="2123"/>
      <c r="L3716" s="192"/>
      <c r="M3716" s="568"/>
    </row>
    <row r="3717" spans="1:13" ht="12.75" hidden="1">
      <c r="A3717" s="2114"/>
      <c r="B3717" s="568" t="s">
        <v>775</v>
      </c>
      <c r="C3717" s="568"/>
      <c r="D3717" s="568"/>
      <c r="E3717" s="188"/>
      <c r="F3717" s="188"/>
      <c r="G3717" s="2164">
        <v>7.4999999999999997E-3</v>
      </c>
      <c r="H3717" s="568" t="s">
        <v>49</v>
      </c>
      <c r="I3717" s="2118" t="s">
        <v>49</v>
      </c>
      <c r="J3717" s="2123">
        <f>G46</f>
        <v>76.88</v>
      </c>
      <c r="K3717" s="2123">
        <f>ROUND(G3717*J3717,2)</f>
        <v>0.57999999999999996</v>
      </c>
      <c r="L3717" s="192"/>
      <c r="M3717" s="568"/>
    </row>
    <row r="3718" spans="1:13" ht="12.75" hidden="1">
      <c r="A3718" s="2114"/>
      <c r="B3718" s="568" t="s">
        <v>8</v>
      </c>
      <c r="C3718" s="568"/>
      <c r="D3718" s="568"/>
      <c r="E3718" s="188"/>
      <c r="F3718" s="188"/>
      <c r="G3718" s="2164">
        <v>3.7199999999999997E-2</v>
      </c>
      <c r="H3718" s="568" t="s">
        <v>247</v>
      </c>
      <c r="I3718" s="2118" t="s">
        <v>247</v>
      </c>
      <c r="J3718" s="2123">
        <f>G50/10</f>
        <v>570.23400000000004</v>
      </c>
      <c r="K3718" s="2123">
        <f>ROUND(G3718*J3718,2)</f>
        <v>21.21</v>
      </c>
      <c r="L3718" s="192"/>
      <c r="M3718" s="568"/>
    </row>
    <row r="3719" spans="1:13" ht="12.75" hidden="1">
      <c r="A3719" s="2114"/>
      <c r="B3719" s="568"/>
      <c r="C3719" s="568"/>
      <c r="D3719" s="568"/>
      <c r="E3719" s="188"/>
      <c r="F3719" s="188"/>
      <c r="G3719" s="2122"/>
      <c r="H3719" s="568"/>
      <c r="I3719" s="2118"/>
      <c r="J3719" s="2134" t="s">
        <v>718</v>
      </c>
      <c r="K3719" s="2123">
        <f>SUM(K3717:K3718)</f>
        <v>21.79</v>
      </c>
      <c r="L3719" s="192"/>
      <c r="M3719" s="568"/>
    </row>
    <row r="3720" spans="1:13" ht="12.75" hidden="1">
      <c r="A3720" s="2114"/>
      <c r="B3720" s="192" t="s">
        <v>781</v>
      </c>
      <c r="C3720" s="568"/>
      <c r="D3720" s="568"/>
      <c r="E3720" s="188"/>
      <c r="F3720" s="188"/>
      <c r="G3720" s="2122"/>
      <c r="H3720" s="568"/>
      <c r="I3720" s="2118"/>
      <c r="J3720" s="2123"/>
      <c r="K3720" s="2123"/>
      <c r="L3720" s="192"/>
      <c r="M3720" s="568"/>
    </row>
    <row r="3721" spans="1:13" ht="12.75" hidden="1">
      <c r="A3721" s="2114"/>
      <c r="B3721" s="568" t="s">
        <v>782</v>
      </c>
      <c r="C3721" s="568"/>
      <c r="D3721" s="568"/>
      <c r="E3721" s="188"/>
      <c r="F3721" s="188"/>
      <c r="G3721" s="2122">
        <v>0.14000000000000001</v>
      </c>
      <c r="H3721" s="568" t="s">
        <v>262</v>
      </c>
      <c r="I3721" s="2118" t="s">
        <v>38</v>
      </c>
      <c r="J3721" s="2123">
        <f>L136</f>
        <v>435</v>
      </c>
      <c r="K3721" s="2123">
        <f>ROUND(G3721*J3721,2)</f>
        <v>60.9</v>
      </c>
      <c r="L3721" s="192"/>
      <c r="M3721" s="568"/>
    </row>
    <row r="3722" spans="1:13" ht="12.75" hidden="1">
      <c r="A3722" s="2114"/>
      <c r="B3722" s="568" t="s">
        <v>717</v>
      </c>
      <c r="C3722" s="568"/>
      <c r="D3722" s="568"/>
      <c r="E3722" s="188"/>
      <c r="F3722" s="188"/>
      <c r="G3722" s="2122">
        <v>0.17</v>
      </c>
      <c r="H3722" s="568" t="s">
        <v>262</v>
      </c>
      <c r="I3722" s="2118" t="s">
        <v>38</v>
      </c>
      <c r="J3722" s="2123">
        <f>L134</f>
        <v>345</v>
      </c>
      <c r="K3722" s="2123">
        <f>ROUND(G3722*J3722,2)</f>
        <v>58.65</v>
      </c>
      <c r="L3722" s="192"/>
      <c r="M3722" s="568"/>
    </row>
    <row r="3723" spans="1:13" ht="12.75" hidden="1">
      <c r="A3723" s="2114"/>
      <c r="B3723" s="568"/>
      <c r="C3723" s="568"/>
      <c r="D3723" s="568"/>
      <c r="E3723" s="188"/>
      <c r="F3723" s="188"/>
      <c r="G3723" s="2122"/>
      <c r="H3723" s="568"/>
      <c r="I3723" s="2118"/>
      <c r="J3723" s="2134" t="s">
        <v>718</v>
      </c>
      <c r="K3723" s="2123">
        <f>SUM(K3721:K3722)</f>
        <v>119.55</v>
      </c>
      <c r="L3723" s="192"/>
      <c r="M3723" s="568"/>
    </row>
    <row r="3724" spans="1:13" ht="12.75" hidden="1">
      <c r="A3724" s="2114"/>
      <c r="B3724" s="568"/>
      <c r="C3724" s="568"/>
      <c r="D3724" s="568"/>
      <c r="E3724" s="188"/>
      <c r="F3724" s="188"/>
      <c r="G3724" s="2122"/>
      <c r="H3724" s="568"/>
      <c r="I3724" s="2118"/>
      <c r="J3724" s="2134" t="s">
        <v>3743</v>
      </c>
      <c r="K3724" s="2123">
        <f>K3719+K3723</f>
        <v>141.34</v>
      </c>
      <c r="L3724" s="192"/>
      <c r="M3724" s="568"/>
    </row>
    <row r="3725" spans="1:13" ht="12.75" hidden="1">
      <c r="A3725" s="2114"/>
      <c r="B3725" s="192" t="s">
        <v>3662</v>
      </c>
      <c r="C3725" s="568"/>
      <c r="D3725" s="568"/>
      <c r="E3725" s="188"/>
      <c r="F3725" s="188"/>
      <c r="G3725" s="2122"/>
      <c r="H3725" s="2135">
        <f>H3709</f>
        <v>7.4999999999999997E-2</v>
      </c>
      <c r="I3725" s="2134">
        <f>K3724+K3720</f>
        <v>141.34</v>
      </c>
      <c r="J3725" s="2134"/>
      <c r="K3725" s="2123">
        <f>ROUND(I3725*H3725,2)</f>
        <v>10.6</v>
      </c>
      <c r="L3725" s="192"/>
      <c r="M3725" s="568"/>
    </row>
    <row r="3726" spans="1:13" ht="12.75" hidden="1">
      <c r="A3726" s="2114"/>
      <c r="B3726" s="192" t="s">
        <v>3661</v>
      </c>
      <c r="C3726" s="568"/>
      <c r="D3726" s="568"/>
      <c r="E3726" s="188"/>
      <c r="F3726" s="188"/>
      <c r="G3726" s="2122"/>
      <c r="H3726" s="2135">
        <f>H3725</f>
        <v>7.4999999999999997E-2</v>
      </c>
      <c r="I3726" s="2134">
        <f>I3725</f>
        <v>141.34</v>
      </c>
      <c r="J3726" s="2134"/>
      <c r="K3726" s="2140">
        <f>ROUND(I3726*H3726,2)</f>
        <v>10.6</v>
      </c>
      <c r="L3726" s="192"/>
      <c r="M3726" s="568"/>
    </row>
    <row r="3727" spans="1:13" ht="12.75" hidden="1">
      <c r="A3727" s="2114"/>
      <c r="B3727" s="192" t="s">
        <v>1497</v>
      </c>
      <c r="C3727" s="568"/>
      <c r="D3727" s="568"/>
      <c r="E3727" s="188"/>
      <c r="F3727" s="188"/>
      <c r="G3727" s="2122"/>
      <c r="H3727" s="568"/>
      <c r="I3727" s="2118"/>
      <c r="J3727" s="2123" t="s">
        <v>718</v>
      </c>
      <c r="K3727" s="2123">
        <f>SUM(K3724:K3726)</f>
        <v>162.54</v>
      </c>
      <c r="L3727" s="192"/>
      <c r="M3727" s="568"/>
    </row>
    <row r="3728" spans="1:13" ht="12.75" hidden="1">
      <c r="A3728" s="2114"/>
      <c r="B3728" s="192" t="s">
        <v>3744</v>
      </c>
      <c r="C3728" s="568"/>
      <c r="D3728" s="568"/>
      <c r="E3728" s="188"/>
      <c r="F3728" s="188"/>
      <c r="G3728" s="2122"/>
      <c r="H3728" s="568"/>
      <c r="I3728" s="2118"/>
      <c r="J3728" s="2123"/>
      <c r="K3728" s="2123"/>
      <c r="L3728" s="192"/>
      <c r="M3728" s="568"/>
    </row>
    <row r="3729" spans="1:16" ht="12.75" hidden="1">
      <c r="A3729" s="2114"/>
      <c r="B3729" s="568" t="s">
        <v>775</v>
      </c>
      <c r="C3729" s="568"/>
      <c r="D3729" s="568"/>
      <c r="E3729" s="188"/>
      <c r="F3729" s="188"/>
      <c r="G3729" s="2164">
        <f>G3717</f>
        <v>7.4999999999999997E-3</v>
      </c>
      <c r="H3729" s="568" t="s">
        <v>49</v>
      </c>
      <c r="I3729" s="2118" t="s">
        <v>49</v>
      </c>
      <c r="J3729" s="2123">
        <f>K46</f>
        <v>717.46</v>
      </c>
      <c r="K3729" s="2123">
        <f>ROUND(G3729*J3729,2)</f>
        <v>5.38</v>
      </c>
      <c r="L3729" s="192"/>
      <c r="M3729" s="568"/>
    </row>
    <row r="3730" spans="1:16" ht="12.75" hidden="1">
      <c r="A3730" s="2114"/>
      <c r="B3730" s="568" t="s">
        <v>8</v>
      </c>
      <c r="C3730" s="568"/>
      <c r="D3730" s="568"/>
      <c r="E3730" s="188"/>
      <c r="F3730" s="188"/>
      <c r="G3730" s="2164">
        <f>G3718</f>
        <v>3.7199999999999997E-2</v>
      </c>
      <c r="H3730" s="568" t="s">
        <v>247</v>
      </c>
      <c r="I3730" s="2118" t="s">
        <v>247</v>
      </c>
      <c r="J3730" s="2123">
        <f>K50/10</f>
        <v>42.622</v>
      </c>
      <c r="K3730" s="2123">
        <f>ROUND(G3730*J3730,2)</f>
        <v>1.59</v>
      </c>
      <c r="L3730" s="192"/>
      <c r="M3730" s="568"/>
    </row>
    <row r="3731" spans="1:16" ht="12.75" hidden="1">
      <c r="A3731" s="2114"/>
      <c r="B3731" s="568"/>
      <c r="C3731" s="568"/>
      <c r="D3731" s="568"/>
      <c r="E3731" s="188"/>
      <c r="F3731" s="188"/>
      <c r="G3731" s="2122"/>
      <c r="H3731" s="568"/>
      <c r="I3731" s="2118"/>
      <c r="J3731" s="2134" t="s">
        <v>718</v>
      </c>
      <c r="K3731" s="2123">
        <f>SUM(K3729:K3730)</f>
        <v>6.97</v>
      </c>
      <c r="L3731" s="192"/>
      <c r="M3731" s="568"/>
      <c r="O3731" s="1991">
        <f>K3723</f>
        <v>119.55</v>
      </c>
      <c r="P3731" s="1706" t="s">
        <v>3149</v>
      </c>
    </row>
    <row r="3732" spans="1:16" ht="12.75" hidden="1">
      <c r="A3732" s="2114"/>
      <c r="B3732" s="568" t="s">
        <v>3742</v>
      </c>
      <c r="C3732" s="568"/>
      <c r="D3732" s="568"/>
      <c r="E3732" s="188"/>
      <c r="F3732" s="188"/>
      <c r="G3732" s="2122"/>
      <c r="H3732" s="568"/>
      <c r="I3732" s="2118"/>
      <c r="J3732" s="2134"/>
      <c r="K3732" s="2123">
        <f>K3727+K3731</f>
        <v>169.51</v>
      </c>
      <c r="L3732" s="192"/>
      <c r="M3732" s="568"/>
      <c r="O3732" s="1991"/>
      <c r="P3732" s="1706"/>
    </row>
    <row r="3733" spans="1:16" ht="12.75" hidden="1">
      <c r="A3733" s="2114"/>
      <c r="B3733" s="192" t="s">
        <v>3738</v>
      </c>
      <c r="C3733" s="2142">
        <v>0.01</v>
      </c>
      <c r="D3733" s="568"/>
      <c r="E3733" s="188"/>
      <c r="F3733" s="188"/>
      <c r="G3733" s="2122"/>
      <c r="H3733" s="568"/>
      <c r="I3733" s="2118"/>
      <c r="J3733" s="2123"/>
      <c r="K3733" s="2140">
        <f>ROUND(K3732*C3733,2)</f>
        <v>1.7</v>
      </c>
      <c r="L3733" s="192"/>
      <c r="M3733" s="568"/>
      <c r="O3733" s="1991"/>
      <c r="P3733" s="1706"/>
    </row>
    <row r="3734" spans="1:16" ht="12.75" hidden="1">
      <c r="A3734" s="2114"/>
      <c r="B3734" s="568"/>
      <c r="C3734" s="568"/>
      <c r="D3734" s="568"/>
      <c r="E3734" s="188"/>
      <c r="F3734" s="188"/>
      <c r="G3734" s="2122"/>
      <c r="H3734" s="568"/>
      <c r="I3734" s="2118"/>
      <c r="J3734" s="2126" t="s">
        <v>718</v>
      </c>
      <c r="K3734" s="2124">
        <f>SUM(K3732:K3733)</f>
        <v>171.20999999999998</v>
      </c>
      <c r="L3734" s="192" t="s">
        <v>730</v>
      </c>
      <c r="M3734" s="568"/>
      <c r="O3734" s="1991">
        <f>K3734-O3731</f>
        <v>51.659999999999982</v>
      </c>
      <c r="P3734" s="1706" t="s">
        <v>26</v>
      </c>
    </row>
    <row r="3735" spans="1:16" ht="12.75" hidden="1">
      <c r="A3735" s="2114" t="str">
        <f>A675</f>
        <v>(ii)</v>
      </c>
      <c r="B3735" s="192" t="str">
        <f>B675</f>
        <v>First Floor</v>
      </c>
      <c r="C3735" s="568"/>
      <c r="D3735" s="568"/>
      <c r="E3735" s="2120" t="str">
        <f>G675</f>
        <v>Each Sqm</v>
      </c>
      <c r="F3735" s="2120"/>
      <c r="G3735" s="2122"/>
      <c r="H3735" s="568"/>
      <c r="I3735" s="2118"/>
      <c r="J3735" s="2123"/>
      <c r="K3735" s="2123"/>
      <c r="L3735" s="192"/>
      <c r="M3735" s="568"/>
    </row>
    <row r="3736" spans="1:16" ht="12.75" hidden="1">
      <c r="A3736" s="2114"/>
      <c r="B3736" s="568" t="s">
        <v>722</v>
      </c>
      <c r="C3736" s="568"/>
      <c r="D3736" s="568"/>
      <c r="E3736" s="188"/>
      <c r="F3736" s="188"/>
      <c r="G3736" s="2122"/>
      <c r="H3736" s="568"/>
      <c r="I3736" s="2118"/>
      <c r="J3736" s="2123"/>
      <c r="K3736" s="2123">
        <f>K3732</f>
        <v>169.51</v>
      </c>
      <c r="L3736" s="192"/>
      <c r="M3736" s="568"/>
    </row>
    <row r="3737" spans="1:16" ht="12.75" hidden="1">
      <c r="A3737" s="2114"/>
      <c r="B3737" s="568" t="s">
        <v>948</v>
      </c>
      <c r="C3737" s="568"/>
      <c r="D3737" s="568"/>
      <c r="E3737" s="188"/>
      <c r="F3737" s="188"/>
      <c r="G3737" s="2122"/>
      <c r="H3737" s="2125">
        <v>0.03</v>
      </c>
      <c r="I3737" s="2134">
        <f>K3723</f>
        <v>119.55</v>
      </c>
      <c r="J3737" s="2124"/>
      <c r="K3737" s="2123">
        <f>ROUND(I3737*H3737,2)</f>
        <v>3.59</v>
      </c>
      <c r="L3737" s="192"/>
      <c r="M3737" s="568"/>
      <c r="O3737" s="1991">
        <f>O3731+K3737</f>
        <v>123.14</v>
      </c>
      <c r="P3737" s="1706" t="s">
        <v>3149</v>
      </c>
    </row>
    <row r="3738" spans="1:16" ht="12.75" hidden="1">
      <c r="A3738" s="2114"/>
      <c r="B3738" s="192" t="s">
        <v>3662</v>
      </c>
      <c r="C3738" s="568"/>
      <c r="D3738" s="568"/>
      <c r="E3738" s="188"/>
      <c r="F3738" s="188"/>
      <c r="G3738" s="2122"/>
      <c r="H3738" s="2135">
        <f>H3726</f>
        <v>7.4999999999999997E-2</v>
      </c>
      <c r="I3738" s="2134">
        <f>K3737</f>
        <v>3.59</v>
      </c>
      <c r="J3738" s="2134"/>
      <c r="K3738" s="2123">
        <f>ROUND(I3738*H3738,2)</f>
        <v>0.27</v>
      </c>
      <c r="L3738" s="192"/>
      <c r="M3738" s="568"/>
      <c r="O3738" s="1991"/>
      <c r="P3738" s="1706"/>
    </row>
    <row r="3739" spans="1:16" ht="12.75" hidden="1">
      <c r="A3739" s="2114"/>
      <c r="B3739" s="192" t="s">
        <v>3661</v>
      </c>
      <c r="C3739" s="568"/>
      <c r="D3739" s="568"/>
      <c r="E3739" s="188"/>
      <c r="F3739" s="188"/>
      <c r="G3739" s="2122"/>
      <c r="H3739" s="2135">
        <f>H3738</f>
        <v>7.4999999999999997E-2</v>
      </c>
      <c r="I3739" s="2134">
        <f>I3738</f>
        <v>3.59</v>
      </c>
      <c r="J3739" s="2134"/>
      <c r="K3739" s="2140">
        <f>ROUND(I3739*H3739,2)</f>
        <v>0.27</v>
      </c>
      <c r="L3739" s="192"/>
      <c r="M3739" s="568"/>
      <c r="O3739" s="1991"/>
      <c r="P3739" s="1706"/>
    </row>
    <row r="3740" spans="1:16" ht="12.75" hidden="1">
      <c r="A3740" s="2114"/>
      <c r="B3740" s="568"/>
      <c r="C3740" s="568"/>
      <c r="D3740" s="568"/>
      <c r="E3740" s="188"/>
      <c r="F3740" s="188"/>
      <c r="G3740" s="2122"/>
      <c r="H3740" s="568"/>
      <c r="I3740" s="2118"/>
      <c r="J3740" s="2123"/>
      <c r="K3740" s="2123">
        <f>SUM(K3736:K3739)</f>
        <v>173.64000000000001</v>
      </c>
      <c r="L3740" s="192"/>
      <c r="M3740" s="568"/>
      <c r="O3740" s="1991"/>
      <c r="P3740" s="1706"/>
    </row>
    <row r="3741" spans="1:16" ht="12.75" hidden="1">
      <c r="A3741" s="2114"/>
      <c r="B3741" s="192" t="s">
        <v>3738</v>
      </c>
      <c r="C3741" s="2142">
        <v>0.01</v>
      </c>
      <c r="D3741" s="568"/>
      <c r="E3741" s="188"/>
      <c r="F3741" s="188"/>
      <c r="G3741" s="2122"/>
      <c r="H3741" s="568"/>
      <c r="I3741" s="2118"/>
      <c r="J3741" s="2123"/>
      <c r="K3741" s="2140">
        <f>ROUND(K3740*C3741,2)</f>
        <v>1.74</v>
      </c>
      <c r="L3741" s="192"/>
      <c r="M3741" s="568"/>
      <c r="O3741" s="1991"/>
      <c r="P3741" s="1706"/>
    </row>
    <row r="3742" spans="1:16" ht="12.75" hidden="1">
      <c r="A3742" s="2114"/>
      <c r="B3742" s="568"/>
      <c r="C3742" s="568"/>
      <c r="D3742" s="568"/>
      <c r="E3742" s="188"/>
      <c r="F3742" s="188"/>
      <c r="G3742" s="2122"/>
      <c r="H3742" s="568"/>
      <c r="I3742" s="2118"/>
      <c r="J3742" s="2126" t="s">
        <v>718</v>
      </c>
      <c r="K3742" s="2124">
        <f>SUM(K3740:K3741)</f>
        <v>175.38000000000002</v>
      </c>
      <c r="L3742" s="192" t="s">
        <v>730</v>
      </c>
      <c r="M3742" s="568"/>
      <c r="O3742" s="1991">
        <f>K3742-O3737</f>
        <v>52.240000000000023</v>
      </c>
      <c r="P3742" s="1706" t="s">
        <v>26</v>
      </c>
    </row>
    <row r="3743" spans="1:16" ht="12.75" hidden="1">
      <c r="A3743" s="2114" t="str">
        <f>A676</f>
        <v>(iii)</v>
      </c>
      <c r="B3743" s="192" t="str">
        <f>B676</f>
        <v>2nd Floor</v>
      </c>
      <c r="C3743" s="568"/>
      <c r="D3743" s="568"/>
      <c r="E3743" s="2120" t="str">
        <f>G680</f>
        <v>Each Sqm</v>
      </c>
      <c r="F3743" s="2120"/>
      <c r="G3743" s="2122"/>
      <c r="H3743" s="568"/>
      <c r="I3743" s="2118"/>
      <c r="J3743" s="2123"/>
      <c r="K3743" s="2123"/>
      <c r="L3743" s="192"/>
      <c r="M3743" s="568"/>
    </row>
    <row r="3744" spans="1:16" ht="12.75" hidden="1">
      <c r="A3744" s="2114"/>
      <c r="B3744" s="568" t="s">
        <v>3623</v>
      </c>
      <c r="C3744" s="568"/>
      <c r="D3744" s="568"/>
      <c r="E3744" s="188"/>
      <c r="F3744" s="188"/>
      <c r="G3744" s="2122"/>
      <c r="H3744" s="568"/>
      <c r="I3744" s="2118"/>
      <c r="J3744" s="2123"/>
      <c r="K3744" s="2123">
        <f>K3740</f>
        <v>173.64000000000001</v>
      </c>
      <c r="L3744" s="192"/>
      <c r="M3744" s="568"/>
    </row>
    <row r="3745" spans="1:28" ht="12.75" hidden="1">
      <c r="A3745" s="2114"/>
      <c r="B3745" s="568" t="s">
        <v>948</v>
      </c>
      <c r="C3745" s="568"/>
      <c r="D3745" s="568"/>
      <c r="E3745" s="188"/>
      <c r="F3745" s="188"/>
      <c r="G3745" s="2122"/>
      <c r="H3745" s="2125">
        <v>0.03</v>
      </c>
      <c r="I3745" s="2134">
        <f>I3737+K3737</f>
        <v>123.14</v>
      </c>
      <c r="J3745" s="2124"/>
      <c r="K3745" s="2123">
        <f>ROUND(I3745*H3745,2)</f>
        <v>3.69</v>
      </c>
      <c r="L3745" s="192"/>
      <c r="M3745" s="568"/>
      <c r="O3745" s="1991">
        <f>O3737+K3745</f>
        <v>126.83</v>
      </c>
      <c r="P3745" s="1706" t="s">
        <v>3149</v>
      </c>
    </row>
    <row r="3746" spans="1:28" ht="12.75" hidden="1">
      <c r="A3746" s="2114"/>
      <c r="B3746" s="192" t="s">
        <v>3662</v>
      </c>
      <c r="C3746" s="568"/>
      <c r="D3746" s="568"/>
      <c r="E3746" s="188"/>
      <c r="F3746" s="188"/>
      <c r="G3746" s="2122"/>
      <c r="H3746" s="2135">
        <f>H3738</f>
        <v>7.4999999999999997E-2</v>
      </c>
      <c r="I3746" s="2134">
        <f>K3745</f>
        <v>3.69</v>
      </c>
      <c r="J3746" s="2134"/>
      <c r="K3746" s="2123">
        <f>ROUND(I3746*H3746,2)</f>
        <v>0.28000000000000003</v>
      </c>
      <c r="L3746" s="192"/>
      <c r="M3746" s="568"/>
      <c r="O3746" s="1991"/>
      <c r="P3746" s="1706"/>
    </row>
    <row r="3747" spans="1:28" ht="12.75" hidden="1">
      <c r="A3747" s="2114"/>
      <c r="B3747" s="192" t="s">
        <v>3661</v>
      </c>
      <c r="C3747" s="568"/>
      <c r="D3747" s="568"/>
      <c r="E3747" s="188"/>
      <c r="F3747" s="188"/>
      <c r="G3747" s="2122"/>
      <c r="H3747" s="2135">
        <f>H3746</f>
        <v>7.4999999999999997E-2</v>
      </c>
      <c r="I3747" s="2134">
        <f>I3746</f>
        <v>3.69</v>
      </c>
      <c r="J3747" s="2134"/>
      <c r="K3747" s="2140">
        <f>ROUND(I3747*H3747,2)</f>
        <v>0.28000000000000003</v>
      </c>
      <c r="L3747" s="192"/>
      <c r="M3747" s="568"/>
      <c r="O3747" s="1991"/>
      <c r="P3747" s="1706"/>
    </row>
    <row r="3748" spans="1:28" ht="12.75" hidden="1">
      <c r="A3748" s="2114"/>
      <c r="B3748" s="568"/>
      <c r="C3748" s="568"/>
      <c r="D3748" s="568"/>
      <c r="E3748" s="188"/>
      <c r="F3748" s="188"/>
      <c r="G3748" s="2122"/>
      <c r="H3748" s="568"/>
      <c r="I3748" s="2118"/>
      <c r="J3748" s="2123"/>
      <c r="K3748" s="2123">
        <f>SUM(K3744:K3747)</f>
        <v>177.89000000000001</v>
      </c>
      <c r="L3748" s="192"/>
      <c r="M3748" s="568"/>
      <c r="O3748" s="1991"/>
      <c r="P3748" s="1706"/>
    </row>
    <row r="3749" spans="1:28" ht="12.75" hidden="1">
      <c r="A3749" s="2114"/>
      <c r="B3749" s="192" t="s">
        <v>3738</v>
      </c>
      <c r="C3749" s="2142">
        <v>0.01</v>
      </c>
      <c r="D3749" s="568"/>
      <c r="E3749" s="188"/>
      <c r="F3749" s="188"/>
      <c r="G3749" s="2122"/>
      <c r="H3749" s="568"/>
      <c r="I3749" s="2118"/>
      <c r="J3749" s="2123"/>
      <c r="K3749" s="2140">
        <f>ROUND(K3748*C3749,2)</f>
        <v>1.78</v>
      </c>
      <c r="L3749" s="192"/>
      <c r="M3749" s="568"/>
      <c r="O3749" s="1991"/>
      <c r="P3749" s="1706"/>
    </row>
    <row r="3750" spans="1:28" ht="12.75" hidden="1">
      <c r="A3750" s="2114"/>
      <c r="B3750" s="568"/>
      <c r="C3750" s="568"/>
      <c r="D3750" s="568"/>
      <c r="E3750" s="188"/>
      <c r="F3750" s="188"/>
      <c r="G3750" s="2122"/>
      <c r="H3750" s="568"/>
      <c r="I3750" s="2118"/>
      <c r="J3750" s="2126" t="s">
        <v>718</v>
      </c>
      <c r="K3750" s="2124">
        <f>SUM(K3748:K3749)</f>
        <v>179.67000000000002</v>
      </c>
      <c r="L3750" s="192" t="s">
        <v>730</v>
      </c>
      <c r="M3750" s="568"/>
      <c r="O3750" s="1991">
        <f>K3750-O3745</f>
        <v>52.840000000000018</v>
      </c>
      <c r="P3750" s="1706" t="s">
        <v>26</v>
      </c>
    </row>
    <row r="3751" spans="1:28" ht="12.75" hidden="1">
      <c r="A3751" s="2114" t="str">
        <f>A677</f>
        <v>(iv)</v>
      </c>
      <c r="B3751" s="192" t="str">
        <f>B677</f>
        <v>3rd Floor</v>
      </c>
      <c r="C3751" s="568"/>
      <c r="D3751" s="568"/>
      <c r="E3751" s="2120" t="str">
        <f>G684</f>
        <v>Each Sqm</v>
      </c>
      <c r="F3751" s="2120"/>
      <c r="G3751" s="2122"/>
      <c r="H3751" s="568"/>
      <c r="I3751" s="2118"/>
      <c r="J3751" s="2123"/>
      <c r="K3751" s="2123"/>
      <c r="L3751" s="192"/>
      <c r="M3751" s="568"/>
    </row>
    <row r="3752" spans="1:28" ht="12.75" hidden="1">
      <c r="A3752" s="2114"/>
      <c r="B3752" s="568" t="s">
        <v>3623</v>
      </c>
      <c r="C3752" s="568"/>
      <c r="D3752" s="568"/>
      <c r="E3752" s="188"/>
      <c r="F3752" s="188"/>
      <c r="G3752" s="2122"/>
      <c r="H3752" s="568"/>
      <c r="I3752" s="2118"/>
      <c r="J3752" s="2123"/>
      <c r="K3752" s="2123">
        <f>K3748</f>
        <v>177.89000000000001</v>
      </c>
      <c r="L3752" s="192"/>
      <c r="M3752" s="568"/>
    </row>
    <row r="3753" spans="1:28" ht="12.75" hidden="1">
      <c r="A3753" s="2114"/>
      <c r="B3753" s="568" t="s">
        <v>948</v>
      </c>
      <c r="C3753" s="568"/>
      <c r="D3753" s="568"/>
      <c r="E3753" s="188"/>
      <c r="F3753" s="188"/>
      <c r="G3753" s="2122"/>
      <c r="H3753" s="2125">
        <v>0.03</v>
      </c>
      <c r="I3753" s="2134">
        <f>I3745+K3745</f>
        <v>126.83</v>
      </c>
      <c r="J3753" s="2124"/>
      <c r="K3753" s="2123">
        <f>ROUND(I3753*H3753,2)</f>
        <v>3.8</v>
      </c>
      <c r="L3753" s="192"/>
      <c r="M3753" s="568"/>
      <c r="O3753" s="1991">
        <f>O3745+K3753</f>
        <v>130.63</v>
      </c>
      <c r="P3753" s="1706" t="s">
        <v>3149</v>
      </c>
    </row>
    <row r="3754" spans="1:28" ht="12.75" hidden="1">
      <c r="A3754" s="2114"/>
      <c r="B3754" s="192" t="s">
        <v>3662</v>
      </c>
      <c r="C3754" s="568"/>
      <c r="D3754" s="568"/>
      <c r="E3754" s="188"/>
      <c r="F3754" s="188"/>
      <c r="G3754" s="2122"/>
      <c r="H3754" s="2135">
        <f>H3747</f>
        <v>7.4999999999999997E-2</v>
      </c>
      <c r="I3754" s="2134">
        <f>K3753</f>
        <v>3.8</v>
      </c>
      <c r="J3754" s="2134"/>
      <c r="K3754" s="2123">
        <f>ROUND(I3754*H3754,2)</f>
        <v>0.28999999999999998</v>
      </c>
      <c r="L3754" s="192"/>
      <c r="M3754" s="568"/>
      <c r="O3754" s="1991"/>
      <c r="P3754" s="1706"/>
    </row>
    <row r="3755" spans="1:28" ht="12.75" hidden="1">
      <c r="A3755" s="2114"/>
      <c r="B3755" s="192" t="s">
        <v>3661</v>
      </c>
      <c r="C3755" s="568"/>
      <c r="D3755" s="568"/>
      <c r="E3755" s="188"/>
      <c r="F3755" s="188"/>
      <c r="G3755" s="2122"/>
      <c r="H3755" s="2135">
        <f>H3754</f>
        <v>7.4999999999999997E-2</v>
      </c>
      <c r="I3755" s="2134">
        <f>I3754</f>
        <v>3.8</v>
      </c>
      <c r="J3755" s="2134"/>
      <c r="K3755" s="2140">
        <f>ROUND(I3755*H3755,2)</f>
        <v>0.28999999999999998</v>
      </c>
      <c r="L3755" s="192"/>
      <c r="M3755" s="568"/>
      <c r="O3755" s="1991"/>
      <c r="P3755" s="1706"/>
    </row>
    <row r="3756" spans="1:28" ht="12.75" hidden="1">
      <c r="A3756" s="2114"/>
      <c r="B3756" s="568"/>
      <c r="C3756" s="568"/>
      <c r="D3756" s="568"/>
      <c r="E3756" s="188"/>
      <c r="F3756" s="188"/>
      <c r="G3756" s="2122"/>
      <c r="H3756" s="568"/>
      <c r="I3756" s="2118"/>
      <c r="J3756" s="2123"/>
      <c r="K3756" s="2123">
        <f>SUM(K3752:K3755)</f>
        <v>182.27</v>
      </c>
      <c r="L3756" s="192"/>
      <c r="M3756" s="568"/>
      <c r="O3756" s="1991"/>
      <c r="P3756" s="1706"/>
    </row>
    <row r="3757" spans="1:28" ht="12.75" hidden="1">
      <c r="A3757" s="2114"/>
      <c r="B3757" s="192" t="s">
        <v>3738</v>
      </c>
      <c r="C3757" s="2142">
        <v>0.01</v>
      </c>
      <c r="D3757" s="568"/>
      <c r="E3757" s="188"/>
      <c r="F3757" s="188"/>
      <c r="G3757" s="2122"/>
      <c r="H3757" s="568"/>
      <c r="I3757" s="2118"/>
      <c r="J3757" s="2123"/>
      <c r="K3757" s="2140">
        <f>ROUND(K3756*C3757,2)</f>
        <v>1.82</v>
      </c>
      <c r="L3757" s="192"/>
      <c r="M3757" s="568"/>
      <c r="O3757" s="1991"/>
      <c r="P3757" s="1706"/>
    </row>
    <row r="3758" spans="1:28" ht="12.75" hidden="1">
      <c r="A3758" s="2114"/>
      <c r="B3758" s="568"/>
      <c r="C3758" s="568"/>
      <c r="D3758" s="568"/>
      <c r="E3758" s="188"/>
      <c r="F3758" s="188"/>
      <c r="G3758" s="2122"/>
      <c r="H3758" s="568"/>
      <c r="I3758" s="2118"/>
      <c r="J3758" s="2126" t="s">
        <v>718</v>
      </c>
      <c r="K3758" s="2124">
        <f>SUM(K3756:K3757)</f>
        <v>184.09</v>
      </c>
      <c r="L3758" s="192" t="s">
        <v>730</v>
      </c>
      <c r="M3758" s="568"/>
      <c r="O3758" s="1991">
        <f>K3758-O3753</f>
        <v>53.460000000000008</v>
      </c>
      <c r="P3758" s="1706" t="s">
        <v>26</v>
      </c>
    </row>
    <row r="3759" spans="1:28" s="1706" customFormat="1" ht="39.4" customHeight="1">
      <c r="A3759" s="2114">
        <f>A678</f>
        <v>62</v>
      </c>
      <c r="B3759" s="3025" t="str">
        <f>B678</f>
        <v>Providing 20 mm thick C.P. with C.M. (1:4) with screened and washed sharp sand for mortar and finished smooth to the rough surface of walls in all heights after racking out joints  etc. complete in all respect as directed by the Engineer in charge.</v>
      </c>
      <c r="C3759" s="3025"/>
      <c r="D3759" s="3025"/>
      <c r="E3759" s="3025"/>
      <c r="F3759" s="3025"/>
      <c r="G3759" s="3025"/>
      <c r="H3759" s="3025"/>
      <c r="I3759" s="2118"/>
      <c r="J3759" s="2124"/>
      <c r="K3759" s="2124"/>
      <c r="L3759" s="192"/>
      <c r="M3759" s="568"/>
      <c r="N3759" s="1705"/>
      <c r="O3759" s="1705"/>
      <c r="P3759" s="1705"/>
      <c r="Q3759" s="1705"/>
      <c r="R3759" s="1705"/>
      <c r="S3759" s="1705"/>
      <c r="U3759" s="1705"/>
      <c r="V3759" s="1705"/>
      <c r="W3759" s="1705"/>
      <c r="X3759" s="1705"/>
      <c r="Y3759" s="1705"/>
      <c r="Z3759" s="1705"/>
      <c r="AA3759" s="1705"/>
      <c r="AB3759" s="1705"/>
    </row>
    <row r="3760" spans="1:28" s="1706" customFormat="1" ht="12.75">
      <c r="A3760" s="2114" t="str">
        <f>A679</f>
        <v>(i)</v>
      </c>
      <c r="B3760" s="192" t="str">
        <f>B679</f>
        <v>Ground Floor</v>
      </c>
      <c r="C3760" s="568"/>
      <c r="D3760" s="568"/>
      <c r="E3760" s="2120" t="str">
        <f>G679</f>
        <v>Each Sqm</v>
      </c>
      <c r="F3760" s="2120"/>
      <c r="G3760" s="2122"/>
      <c r="H3760" s="568"/>
      <c r="I3760" s="2118"/>
      <c r="J3760" s="2123"/>
      <c r="K3760" s="2123"/>
      <c r="L3760" s="192"/>
      <c r="M3760" s="568"/>
      <c r="N3760" s="1705"/>
      <c r="O3760" s="1705"/>
      <c r="P3760" s="1705"/>
      <c r="Q3760" s="1705"/>
      <c r="R3760" s="1705"/>
      <c r="S3760" s="1705"/>
      <c r="U3760" s="1705"/>
      <c r="V3760" s="1705"/>
      <c r="W3760" s="1705"/>
      <c r="X3760" s="1705"/>
      <c r="Y3760" s="1705"/>
      <c r="Z3760" s="1705"/>
      <c r="AA3760" s="1705"/>
      <c r="AB3760" s="1705"/>
    </row>
    <row r="3761" spans="1:28" s="1706" customFormat="1" ht="12.75">
      <c r="A3761" s="2114"/>
      <c r="B3761" s="568" t="s">
        <v>821</v>
      </c>
      <c r="C3761" s="568"/>
      <c r="D3761" s="568"/>
      <c r="E3761" s="188"/>
      <c r="F3761" s="188"/>
      <c r="G3761" s="2122"/>
      <c r="H3761" s="568"/>
      <c r="I3761" s="2118"/>
      <c r="J3761" s="2123"/>
      <c r="K3761" s="2123"/>
      <c r="L3761" s="192"/>
      <c r="M3761" s="568"/>
      <c r="N3761" s="1705"/>
      <c r="O3761" s="1705"/>
      <c r="P3761" s="1705"/>
      <c r="Q3761" s="1705"/>
      <c r="R3761" s="1705"/>
      <c r="S3761" s="1705"/>
      <c r="U3761" s="1705"/>
      <c r="V3761" s="1705"/>
      <c r="W3761" s="1705"/>
      <c r="X3761" s="1705"/>
      <c r="Y3761" s="1705"/>
      <c r="Z3761" s="1705"/>
      <c r="AA3761" s="1705"/>
      <c r="AB3761" s="1705"/>
    </row>
    <row r="3762" spans="1:28" s="1706" customFormat="1" ht="12.75">
      <c r="A3762" s="2114"/>
      <c r="B3762" s="192" t="s">
        <v>822</v>
      </c>
      <c r="C3762" s="568"/>
      <c r="D3762" s="568"/>
      <c r="E3762" s="188"/>
      <c r="F3762" s="188"/>
      <c r="G3762" s="2122"/>
      <c r="H3762" s="568"/>
      <c r="I3762" s="2118"/>
      <c r="J3762" s="2123"/>
      <c r="K3762" s="2123"/>
      <c r="L3762" s="192"/>
      <c r="M3762" s="568"/>
      <c r="N3762" s="1705"/>
      <c r="O3762" s="1705"/>
      <c r="P3762" s="1705"/>
      <c r="Q3762" s="1705"/>
      <c r="R3762" s="1705"/>
      <c r="S3762" s="1705"/>
      <c r="U3762" s="1705"/>
      <c r="V3762" s="1705"/>
      <c r="W3762" s="1705"/>
      <c r="X3762" s="1705"/>
      <c r="Y3762" s="1705"/>
      <c r="Z3762" s="1705"/>
      <c r="AA3762" s="1705"/>
      <c r="AB3762" s="1705"/>
    </row>
    <row r="3763" spans="1:28" s="1706" customFormat="1" ht="12.75">
      <c r="A3763" s="2114"/>
      <c r="B3763" s="568" t="s">
        <v>775</v>
      </c>
      <c r="C3763" s="568"/>
      <c r="D3763" s="568"/>
      <c r="E3763" s="188"/>
      <c r="F3763" s="188"/>
      <c r="G3763" s="2122">
        <v>2.1000000000000001E-2</v>
      </c>
      <c r="H3763" s="568" t="s">
        <v>49</v>
      </c>
      <c r="I3763" s="2118" t="s">
        <v>49</v>
      </c>
      <c r="J3763" s="2123">
        <f>G46</f>
        <v>76.88</v>
      </c>
      <c r="K3763" s="2123">
        <f>ROUND(G3763*J3763,2)</f>
        <v>1.61</v>
      </c>
      <c r="L3763" s="192"/>
      <c r="M3763" s="568"/>
      <c r="N3763" s="1705"/>
      <c r="O3763" s="1705"/>
      <c r="P3763" s="1705"/>
      <c r="Q3763" s="1705"/>
      <c r="R3763" s="1705"/>
      <c r="S3763" s="1705"/>
      <c r="U3763" s="1705"/>
      <c r="V3763" s="1705"/>
      <c r="W3763" s="1705"/>
      <c r="X3763" s="1705"/>
      <c r="Y3763" s="1705"/>
      <c r="Z3763" s="1705"/>
      <c r="AA3763" s="1705"/>
      <c r="AB3763" s="1705"/>
    </row>
    <row r="3764" spans="1:28" s="1706" customFormat="1" ht="12.75">
      <c r="A3764" s="2114"/>
      <c r="B3764" s="568" t="s">
        <v>8</v>
      </c>
      <c r="C3764" s="568"/>
      <c r="D3764" s="568"/>
      <c r="E3764" s="188"/>
      <c r="F3764" s="188"/>
      <c r="G3764" s="2164">
        <v>7.4399999999999994E-2</v>
      </c>
      <c r="H3764" s="568" t="s">
        <v>247</v>
      </c>
      <c r="I3764" s="2118" t="s">
        <v>247</v>
      </c>
      <c r="J3764" s="2123">
        <f>G50/10</f>
        <v>570.23400000000004</v>
      </c>
      <c r="K3764" s="2123">
        <f>ROUND(G3764*J3764,2)</f>
        <v>42.43</v>
      </c>
      <c r="L3764" s="192"/>
      <c r="M3764" s="568"/>
      <c r="N3764" s="1705"/>
      <c r="O3764" s="1705"/>
      <c r="P3764" s="1705"/>
      <c r="Q3764" s="1705"/>
      <c r="R3764" s="1705"/>
      <c r="S3764" s="1705"/>
      <c r="U3764" s="1705"/>
      <c r="V3764" s="1705"/>
      <c r="W3764" s="1705"/>
      <c r="X3764" s="1705"/>
      <c r="Y3764" s="1705"/>
      <c r="Z3764" s="1705"/>
      <c r="AA3764" s="1705"/>
      <c r="AB3764" s="1705"/>
    </row>
    <row r="3765" spans="1:28" s="1706" customFormat="1" ht="12.75">
      <c r="A3765" s="2114"/>
      <c r="B3765" s="568"/>
      <c r="C3765" s="568"/>
      <c r="D3765" s="568"/>
      <c r="E3765" s="188"/>
      <c r="F3765" s="188"/>
      <c r="G3765" s="2122"/>
      <c r="H3765" s="568"/>
      <c r="I3765" s="2118"/>
      <c r="J3765" s="2134" t="s">
        <v>718</v>
      </c>
      <c r="K3765" s="2123">
        <f>SUM(K3763:K3764)</f>
        <v>44.04</v>
      </c>
      <c r="L3765" s="192"/>
      <c r="M3765" s="568"/>
      <c r="N3765" s="1705"/>
      <c r="O3765" s="1705"/>
      <c r="P3765" s="1705"/>
      <c r="Q3765" s="1705"/>
      <c r="R3765" s="1705"/>
      <c r="S3765" s="1705"/>
      <c r="U3765" s="1705"/>
      <c r="V3765" s="1705"/>
      <c r="W3765" s="1705"/>
      <c r="X3765" s="1705"/>
      <c r="Y3765" s="1705"/>
      <c r="Z3765" s="1705"/>
      <c r="AA3765" s="1705"/>
      <c r="AB3765" s="1705"/>
    </row>
    <row r="3766" spans="1:28" s="1706" customFormat="1" ht="12.75">
      <c r="A3766" s="2114"/>
      <c r="B3766" s="192" t="s">
        <v>781</v>
      </c>
      <c r="C3766" s="568"/>
      <c r="D3766" s="568"/>
      <c r="E3766" s="188"/>
      <c r="F3766" s="188"/>
      <c r="G3766" s="2122"/>
      <c r="H3766" s="568"/>
      <c r="I3766" s="2118"/>
      <c r="J3766" s="2123"/>
      <c r="K3766" s="2123"/>
      <c r="L3766" s="192"/>
      <c r="M3766" s="568"/>
      <c r="N3766" s="1705"/>
      <c r="O3766" s="1705"/>
      <c r="P3766" s="1705"/>
      <c r="Q3766" s="1705"/>
      <c r="R3766" s="1705"/>
      <c r="S3766" s="1705"/>
      <c r="U3766" s="1705"/>
      <c r="V3766" s="1705"/>
      <c r="W3766" s="1705"/>
      <c r="X3766" s="1705"/>
      <c r="Y3766" s="1705"/>
      <c r="Z3766" s="1705"/>
      <c r="AA3766" s="1705"/>
      <c r="AB3766" s="1705"/>
    </row>
    <row r="3767" spans="1:28" s="1706" customFormat="1" ht="12.75">
      <c r="A3767" s="2114"/>
      <c r="B3767" s="568" t="s">
        <v>782</v>
      </c>
      <c r="C3767" s="568"/>
      <c r="D3767" s="568"/>
      <c r="E3767" s="188"/>
      <c r="F3767" s="188"/>
      <c r="G3767" s="2122">
        <v>0.16</v>
      </c>
      <c r="H3767" s="568" t="s">
        <v>262</v>
      </c>
      <c r="I3767" s="2118" t="s">
        <v>38</v>
      </c>
      <c r="J3767" s="2123">
        <f>L136</f>
        <v>435</v>
      </c>
      <c r="K3767" s="2123">
        <f>ROUND(G3767*J3767,2)</f>
        <v>69.599999999999994</v>
      </c>
      <c r="L3767" s="192"/>
      <c r="M3767" s="568"/>
      <c r="N3767" s="1705"/>
      <c r="O3767" s="1705"/>
      <c r="P3767" s="1705"/>
      <c r="Q3767" s="1705"/>
      <c r="R3767" s="1705"/>
      <c r="S3767" s="1705"/>
      <c r="U3767" s="1705"/>
      <c r="V3767" s="1705"/>
      <c r="W3767" s="1705"/>
      <c r="X3767" s="1705"/>
      <c r="Y3767" s="1705"/>
      <c r="Z3767" s="1705"/>
      <c r="AA3767" s="1705"/>
      <c r="AB3767" s="1705"/>
    </row>
    <row r="3768" spans="1:28" s="1706" customFormat="1" ht="12.75">
      <c r="A3768" s="2114"/>
      <c r="B3768" s="568" t="s">
        <v>717</v>
      </c>
      <c r="C3768" s="568"/>
      <c r="D3768" s="568"/>
      <c r="E3768" s="188"/>
      <c r="F3768" s="188"/>
      <c r="G3768" s="2122">
        <v>0.24</v>
      </c>
      <c r="H3768" s="568" t="s">
        <v>262</v>
      </c>
      <c r="I3768" s="2118" t="s">
        <v>38</v>
      </c>
      <c r="J3768" s="2123">
        <f>L134</f>
        <v>345</v>
      </c>
      <c r="K3768" s="2123">
        <f>ROUND(G3768*J3768,2)</f>
        <v>82.8</v>
      </c>
      <c r="L3768" s="192"/>
      <c r="M3768" s="568"/>
      <c r="N3768" s="1705"/>
      <c r="O3768" s="1705"/>
      <c r="P3768" s="1705"/>
      <c r="Q3768" s="1705"/>
      <c r="R3768" s="1705"/>
      <c r="S3768" s="1705"/>
      <c r="U3768" s="1705"/>
      <c r="V3768" s="1705"/>
      <c r="W3768" s="1705"/>
      <c r="X3768" s="1705"/>
      <c r="Y3768" s="1705"/>
      <c r="Z3768" s="1705"/>
      <c r="AA3768" s="1705"/>
      <c r="AB3768" s="1705"/>
    </row>
    <row r="3769" spans="1:28" s="1706" customFormat="1" ht="12.75">
      <c r="A3769" s="2114"/>
      <c r="B3769" s="568"/>
      <c r="C3769" s="568"/>
      <c r="D3769" s="568"/>
      <c r="E3769" s="188"/>
      <c r="F3769" s="188"/>
      <c r="G3769" s="2122"/>
      <c r="H3769" s="568"/>
      <c r="I3769" s="2118"/>
      <c r="J3769" s="2134" t="s">
        <v>718</v>
      </c>
      <c r="K3769" s="2123">
        <f>SUM(K3767:K3768)</f>
        <v>152.39999999999998</v>
      </c>
      <c r="L3769" s="192"/>
      <c r="M3769" s="568"/>
      <c r="N3769" s="1705"/>
      <c r="O3769" s="1705"/>
      <c r="P3769" s="1705"/>
      <c r="Q3769" s="1705"/>
      <c r="R3769" s="1705"/>
      <c r="S3769" s="1705"/>
      <c r="U3769" s="1705"/>
      <c r="V3769" s="1705"/>
      <c r="W3769" s="1705"/>
      <c r="X3769" s="1705"/>
      <c r="Y3769" s="1705"/>
      <c r="Z3769" s="1705"/>
      <c r="AA3769" s="1705"/>
      <c r="AB3769" s="1705"/>
    </row>
    <row r="3770" spans="1:28" s="1706" customFormat="1" ht="12.75">
      <c r="A3770" s="2114"/>
      <c r="B3770" s="192"/>
      <c r="C3770" s="568"/>
      <c r="D3770" s="568"/>
      <c r="E3770" s="188"/>
      <c r="F3770" s="188"/>
      <c r="G3770" s="2122"/>
      <c r="H3770" s="568"/>
      <c r="I3770" s="2118"/>
      <c r="J3770" s="2134" t="s">
        <v>3741</v>
      </c>
      <c r="K3770" s="2123">
        <f>K3765+K3769</f>
        <v>196.43999999999997</v>
      </c>
      <c r="L3770" s="192"/>
      <c r="M3770" s="568"/>
      <c r="N3770" s="1705"/>
      <c r="O3770" s="1705"/>
      <c r="P3770" s="1705"/>
      <c r="Q3770" s="1705"/>
      <c r="R3770" s="1705"/>
      <c r="S3770" s="1705"/>
      <c r="U3770" s="1705"/>
      <c r="V3770" s="1705"/>
      <c r="W3770" s="1705"/>
      <c r="X3770" s="1705"/>
      <c r="Y3770" s="1705"/>
      <c r="Z3770" s="1705"/>
      <c r="AA3770" s="1705"/>
      <c r="AB3770" s="1705"/>
    </row>
    <row r="3771" spans="1:28" s="1706" customFormat="1" ht="12.75">
      <c r="A3771" s="2114"/>
      <c r="B3771" s="192" t="s">
        <v>3662</v>
      </c>
      <c r="C3771" s="568"/>
      <c r="D3771" s="568"/>
      <c r="E3771" s="188"/>
      <c r="F3771" s="188"/>
      <c r="G3771" s="2122"/>
      <c r="H3771" s="2135">
        <f>H3755</f>
        <v>7.4999999999999997E-2</v>
      </c>
      <c r="I3771" s="2134">
        <f>K3770+K3766</f>
        <v>196.43999999999997</v>
      </c>
      <c r="J3771" s="2134"/>
      <c r="K3771" s="2123">
        <f>ROUND(I3771*H3771,2)</f>
        <v>14.73</v>
      </c>
      <c r="L3771" s="192"/>
      <c r="M3771" s="568"/>
      <c r="N3771" s="1705"/>
      <c r="O3771" s="1705"/>
      <c r="P3771" s="1705"/>
      <c r="Q3771" s="1705"/>
      <c r="R3771" s="1705"/>
      <c r="S3771" s="1705"/>
      <c r="U3771" s="1705"/>
      <c r="V3771" s="1705"/>
      <c r="W3771" s="1705"/>
      <c r="X3771" s="1705"/>
      <c r="Y3771" s="1705"/>
      <c r="Z3771" s="1705"/>
      <c r="AA3771" s="1705"/>
      <c r="AB3771" s="1705"/>
    </row>
    <row r="3772" spans="1:28" s="1706" customFormat="1" ht="12.75">
      <c r="A3772" s="2114"/>
      <c r="B3772" s="192" t="s">
        <v>3661</v>
      </c>
      <c r="C3772" s="568"/>
      <c r="D3772" s="568"/>
      <c r="E3772" s="188"/>
      <c r="F3772" s="188"/>
      <c r="G3772" s="2122"/>
      <c r="H3772" s="2135">
        <f>H3771</f>
        <v>7.4999999999999997E-2</v>
      </c>
      <c r="I3772" s="2134">
        <f>I3771</f>
        <v>196.43999999999997</v>
      </c>
      <c r="J3772" s="2134"/>
      <c r="K3772" s="2140">
        <f>ROUND(I3772*H3772,2)</f>
        <v>14.73</v>
      </c>
      <c r="L3772" s="192"/>
      <c r="M3772" s="568"/>
      <c r="N3772" s="1705"/>
      <c r="O3772" s="1705"/>
      <c r="P3772" s="1705"/>
      <c r="Q3772" s="1705"/>
      <c r="R3772" s="1705"/>
      <c r="S3772" s="1705"/>
      <c r="U3772" s="1705"/>
      <c r="V3772" s="1705"/>
      <c r="W3772" s="1705"/>
      <c r="X3772" s="1705"/>
      <c r="Y3772" s="1705"/>
      <c r="Z3772" s="1705"/>
      <c r="AA3772" s="1705"/>
      <c r="AB3772" s="1705"/>
    </row>
    <row r="3773" spans="1:28" s="1706" customFormat="1" ht="12.75">
      <c r="A3773" s="2114"/>
      <c r="B3773" s="192" t="s">
        <v>1497</v>
      </c>
      <c r="C3773" s="568"/>
      <c r="D3773" s="568"/>
      <c r="E3773" s="188"/>
      <c r="F3773" s="188"/>
      <c r="G3773" s="2122"/>
      <c r="H3773" s="568"/>
      <c r="I3773" s="2118"/>
      <c r="J3773" s="2123" t="s">
        <v>718</v>
      </c>
      <c r="K3773" s="2123">
        <f>SUM(K3770:K3772)</f>
        <v>225.89999999999995</v>
      </c>
      <c r="L3773" s="192"/>
      <c r="M3773" s="568"/>
      <c r="N3773" s="1705"/>
      <c r="O3773" s="1705"/>
      <c r="P3773" s="1705"/>
      <c r="Q3773" s="1705"/>
      <c r="R3773" s="1705"/>
      <c r="S3773" s="1705"/>
      <c r="U3773" s="1705"/>
      <c r="V3773" s="1705"/>
      <c r="W3773" s="1705"/>
      <c r="X3773" s="1705"/>
      <c r="Y3773" s="1705"/>
      <c r="Z3773" s="1705"/>
      <c r="AA3773" s="1705"/>
      <c r="AB3773" s="1705"/>
    </row>
    <row r="3774" spans="1:28" s="1706" customFormat="1" ht="12.75">
      <c r="A3774" s="2114"/>
      <c r="B3774" s="192" t="s">
        <v>3663</v>
      </c>
      <c r="C3774" s="568"/>
      <c r="D3774" s="568"/>
      <c r="E3774" s="188"/>
      <c r="F3774" s="188"/>
      <c r="G3774" s="2122"/>
      <c r="H3774" s="568"/>
      <c r="I3774" s="2118"/>
      <c r="J3774" s="2123"/>
      <c r="K3774" s="2123"/>
      <c r="L3774" s="192"/>
      <c r="M3774" s="568"/>
      <c r="N3774" s="1705"/>
      <c r="O3774" s="1705"/>
      <c r="P3774" s="1705"/>
      <c r="Q3774" s="1705"/>
      <c r="R3774" s="1705"/>
      <c r="S3774" s="1705"/>
      <c r="U3774" s="1705"/>
      <c r="V3774" s="1705"/>
      <c r="W3774" s="1705"/>
      <c r="X3774" s="1705"/>
      <c r="Y3774" s="1705"/>
      <c r="Z3774" s="1705"/>
      <c r="AA3774" s="1705"/>
      <c r="AB3774" s="1705"/>
    </row>
    <row r="3775" spans="1:28" s="1706" customFormat="1" ht="12.75">
      <c r="A3775" s="2114"/>
      <c r="B3775" s="568" t="s">
        <v>775</v>
      </c>
      <c r="C3775" s="568"/>
      <c r="D3775" s="568"/>
      <c r="E3775" s="188"/>
      <c r="F3775" s="188"/>
      <c r="G3775" s="2122">
        <f>G3763</f>
        <v>2.1000000000000001E-2</v>
      </c>
      <c r="H3775" s="568" t="s">
        <v>49</v>
      </c>
      <c r="I3775" s="2118" t="s">
        <v>49</v>
      </c>
      <c r="J3775" s="2123">
        <f>K46</f>
        <v>717.46</v>
      </c>
      <c r="K3775" s="2123">
        <f>ROUND(G3775*J3775,2)</f>
        <v>15.07</v>
      </c>
      <c r="L3775" s="192"/>
      <c r="M3775" s="568"/>
      <c r="N3775" s="1705"/>
      <c r="O3775" s="1705"/>
      <c r="P3775" s="1705"/>
      <c r="Q3775" s="1705"/>
      <c r="R3775" s="1705"/>
      <c r="S3775" s="1705"/>
      <c r="U3775" s="1705"/>
      <c r="V3775" s="1705"/>
      <c r="W3775" s="1705"/>
      <c r="X3775" s="1705"/>
      <c r="Y3775" s="1705"/>
      <c r="Z3775" s="1705"/>
      <c r="AA3775" s="1705"/>
      <c r="AB3775" s="1705"/>
    </row>
    <row r="3776" spans="1:28" s="1706" customFormat="1" ht="12.75">
      <c r="A3776" s="2114"/>
      <c r="B3776" s="568" t="s">
        <v>8</v>
      </c>
      <c r="C3776" s="568"/>
      <c r="D3776" s="568"/>
      <c r="E3776" s="188"/>
      <c r="F3776" s="188"/>
      <c r="G3776" s="2164">
        <f>G3764</f>
        <v>7.4399999999999994E-2</v>
      </c>
      <c r="H3776" s="568" t="s">
        <v>247</v>
      </c>
      <c r="I3776" s="2118" t="s">
        <v>247</v>
      </c>
      <c r="J3776" s="2123">
        <f>K50/10</f>
        <v>42.622</v>
      </c>
      <c r="K3776" s="2123">
        <f>ROUND(G3776*J3776,2)</f>
        <v>3.17</v>
      </c>
      <c r="L3776" s="192"/>
      <c r="M3776" s="568"/>
      <c r="N3776" s="1705"/>
      <c r="O3776" s="1705"/>
      <c r="P3776" s="1705"/>
      <c r="Q3776" s="1705"/>
      <c r="R3776" s="1705"/>
      <c r="S3776" s="1705"/>
      <c r="U3776" s="1705"/>
      <c r="V3776" s="1705"/>
      <c r="W3776" s="1705"/>
      <c r="X3776" s="1705"/>
      <c r="Y3776" s="1705"/>
      <c r="Z3776" s="1705"/>
      <c r="AA3776" s="1705"/>
      <c r="AB3776" s="1705"/>
    </row>
    <row r="3777" spans="1:28" s="1706" customFormat="1" ht="12.75">
      <c r="A3777" s="2114"/>
      <c r="B3777" s="568"/>
      <c r="C3777" s="568"/>
      <c r="D3777" s="568"/>
      <c r="E3777" s="188"/>
      <c r="F3777" s="188"/>
      <c r="G3777" s="2122"/>
      <c r="H3777" s="568"/>
      <c r="I3777" s="2118"/>
      <c r="J3777" s="2134" t="s">
        <v>718</v>
      </c>
      <c r="K3777" s="2123">
        <f>SUM(K3775:K3776)</f>
        <v>18.240000000000002</v>
      </c>
      <c r="L3777" s="192"/>
      <c r="M3777" s="568"/>
      <c r="N3777" s="1705"/>
      <c r="O3777" s="1991">
        <f>K3769</f>
        <v>152.39999999999998</v>
      </c>
      <c r="P3777" s="1706" t="s">
        <v>3149</v>
      </c>
      <c r="Q3777" s="1705"/>
      <c r="R3777" s="1705"/>
      <c r="S3777" s="1705"/>
      <c r="U3777" s="1705"/>
      <c r="V3777" s="1705"/>
      <c r="W3777" s="1705"/>
      <c r="X3777" s="1705"/>
      <c r="Y3777" s="1705"/>
      <c r="Z3777" s="1705"/>
      <c r="AA3777" s="1705"/>
      <c r="AB3777" s="1705"/>
    </row>
    <row r="3778" spans="1:28" s="1706" customFormat="1" ht="12.75">
      <c r="A3778" s="2114"/>
      <c r="B3778" s="568" t="s">
        <v>3742</v>
      </c>
      <c r="C3778" s="568"/>
      <c r="D3778" s="568"/>
      <c r="E3778" s="188"/>
      <c r="F3778" s="188"/>
      <c r="G3778" s="2122"/>
      <c r="H3778" s="568"/>
      <c r="I3778" s="2118"/>
      <c r="J3778" s="2134"/>
      <c r="K3778" s="2123">
        <f>K3773+K3777</f>
        <v>244.13999999999996</v>
      </c>
      <c r="L3778" s="192"/>
      <c r="M3778" s="568"/>
      <c r="N3778" s="1705"/>
      <c r="O3778" s="1991"/>
      <c r="Q3778" s="1705"/>
      <c r="R3778" s="1705"/>
      <c r="S3778" s="1705"/>
      <c r="U3778" s="1705"/>
      <c r="V3778" s="1705"/>
      <c r="W3778" s="1705"/>
      <c r="X3778" s="1705"/>
      <c r="Y3778" s="1705"/>
      <c r="Z3778" s="1705"/>
      <c r="AA3778" s="1705"/>
      <c r="AB3778" s="1705"/>
    </row>
    <row r="3779" spans="1:28" s="1706" customFormat="1" ht="12.75">
      <c r="A3779" s="2114"/>
      <c r="B3779" s="192" t="s">
        <v>3745</v>
      </c>
      <c r="C3779" s="2142">
        <v>0.01</v>
      </c>
      <c r="D3779" s="568"/>
      <c r="E3779" s="188"/>
      <c r="F3779" s="188"/>
      <c r="G3779" s="2122"/>
      <c r="H3779" s="568"/>
      <c r="I3779" s="2118"/>
      <c r="J3779" s="2123"/>
      <c r="K3779" s="2140">
        <f>ROUND(K3778*C3779,2)</f>
        <v>2.44</v>
      </c>
      <c r="L3779" s="192"/>
      <c r="M3779" s="568"/>
      <c r="N3779" s="1705"/>
      <c r="O3779" s="1991"/>
      <c r="Q3779" s="1705"/>
      <c r="R3779" s="1705"/>
      <c r="S3779" s="1705"/>
      <c r="U3779" s="1705"/>
      <c r="V3779" s="1705"/>
      <c r="W3779" s="1705"/>
      <c r="X3779" s="1705"/>
      <c r="Y3779" s="1705"/>
      <c r="Z3779" s="1705"/>
      <c r="AA3779" s="1705"/>
      <c r="AB3779" s="1705"/>
    </row>
    <row r="3780" spans="1:28" ht="12.75">
      <c r="A3780" s="2114"/>
      <c r="B3780" s="568" t="s">
        <v>3746</v>
      </c>
      <c r="C3780" s="568"/>
      <c r="D3780" s="568"/>
      <c r="E3780" s="188"/>
      <c r="F3780" s="188"/>
      <c r="G3780" s="2122"/>
      <c r="H3780" s="568"/>
      <c r="I3780" s="2118"/>
      <c r="J3780" s="2126" t="s">
        <v>718</v>
      </c>
      <c r="K3780" s="2124">
        <f>SUM(K3778:K3779)</f>
        <v>246.57999999999996</v>
      </c>
      <c r="L3780" s="192" t="s">
        <v>730</v>
      </c>
      <c r="M3780" s="568"/>
      <c r="O3780" s="1991">
        <f>K3780-O3777</f>
        <v>94.179999999999978</v>
      </c>
      <c r="P3780" s="1706" t="s">
        <v>26</v>
      </c>
    </row>
    <row r="3781" spans="1:28" ht="12.75" hidden="1">
      <c r="A3781" s="2114" t="str">
        <f>A680</f>
        <v>(ii)</v>
      </c>
      <c r="B3781" s="192" t="str">
        <f>B680</f>
        <v>First Floor</v>
      </c>
      <c r="C3781" s="568"/>
      <c r="D3781" s="568"/>
      <c r="E3781" s="2120" t="str">
        <f>G680</f>
        <v>Each Sqm</v>
      </c>
      <c r="F3781" s="2120"/>
      <c r="G3781" s="2122"/>
      <c r="H3781" s="568"/>
      <c r="I3781" s="2118"/>
      <c r="J3781" s="2123"/>
      <c r="K3781" s="2123"/>
      <c r="L3781" s="192"/>
      <c r="M3781" s="568"/>
    </row>
    <row r="3782" spans="1:28" ht="12.75" hidden="1">
      <c r="A3782" s="2114"/>
      <c r="B3782" s="568" t="s">
        <v>722</v>
      </c>
      <c r="C3782" s="568"/>
      <c r="D3782" s="568"/>
      <c r="E3782" s="188"/>
      <c r="F3782" s="188"/>
      <c r="G3782" s="2122"/>
      <c r="H3782" s="568"/>
      <c r="I3782" s="2118"/>
      <c r="J3782" s="2123"/>
      <c r="K3782" s="2123">
        <f>K3778</f>
        <v>244.13999999999996</v>
      </c>
      <c r="L3782" s="192"/>
      <c r="M3782" s="568"/>
    </row>
    <row r="3783" spans="1:28" ht="12.75" hidden="1">
      <c r="A3783" s="2114"/>
      <c r="B3783" s="568" t="s">
        <v>948</v>
      </c>
      <c r="C3783" s="568"/>
      <c r="D3783" s="568"/>
      <c r="E3783" s="188"/>
      <c r="F3783" s="188"/>
      <c r="G3783" s="2122"/>
      <c r="H3783" s="2125">
        <v>0.03</v>
      </c>
      <c r="I3783" s="2134">
        <f>K3769</f>
        <v>152.39999999999998</v>
      </c>
      <c r="J3783" s="2124"/>
      <c r="K3783" s="2123">
        <f>ROUND(I3783*H3783,2)</f>
        <v>4.57</v>
      </c>
      <c r="L3783" s="192"/>
      <c r="M3783" s="568"/>
      <c r="O3783" s="1991">
        <f>O3777+K3783</f>
        <v>156.96999999999997</v>
      </c>
      <c r="P3783" s="1706" t="s">
        <v>3149</v>
      </c>
    </row>
    <row r="3784" spans="1:28" ht="12.75" hidden="1">
      <c r="A3784" s="2114"/>
      <c r="B3784" s="192" t="s">
        <v>3662</v>
      </c>
      <c r="C3784" s="568"/>
      <c r="D3784" s="568"/>
      <c r="E3784" s="188"/>
      <c r="F3784" s="188"/>
      <c r="G3784" s="2122"/>
      <c r="H3784" s="2135">
        <f>H3772</f>
        <v>7.4999999999999997E-2</v>
      </c>
      <c r="I3784" s="2134">
        <f>K3783</f>
        <v>4.57</v>
      </c>
      <c r="J3784" s="2134"/>
      <c r="K3784" s="2123">
        <f>ROUND(I3784*H3784,2)</f>
        <v>0.34</v>
      </c>
      <c r="L3784" s="192"/>
      <c r="M3784" s="568"/>
      <c r="O3784" s="1991"/>
      <c r="P3784" s="1706"/>
    </row>
    <row r="3785" spans="1:28" ht="12.75" hidden="1">
      <c r="A3785" s="2114"/>
      <c r="B3785" s="192" t="s">
        <v>3661</v>
      </c>
      <c r="C3785" s="568"/>
      <c r="D3785" s="568"/>
      <c r="E3785" s="188"/>
      <c r="F3785" s="188"/>
      <c r="G3785" s="2122"/>
      <c r="H3785" s="2135">
        <f>H3784</f>
        <v>7.4999999999999997E-2</v>
      </c>
      <c r="I3785" s="2134">
        <f>I3784</f>
        <v>4.57</v>
      </c>
      <c r="J3785" s="2134"/>
      <c r="K3785" s="2140">
        <f>ROUND(I3785*H3785,2)</f>
        <v>0.34</v>
      </c>
      <c r="L3785" s="192"/>
      <c r="M3785" s="568"/>
      <c r="O3785" s="1991"/>
      <c r="P3785" s="1706"/>
    </row>
    <row r="3786" spans="1:28" ht="12.75" hidden="1">
      <c r="A3786" s="2114"/>
      <c r="B3786" s="568"/>
      <c r="C3786" s="568"/>
      <c r="D3786" s="568"/>
      <c r="E3786" s="188"/>
      <c r="F3786" s="188"/>
      <c r="G3786" s="2122"/>
      <c r="H3786" s="568"/>
      <c r="I3786" s="2118"/>
      <c r="J3786" s="2123"/>
      <c r="K3786" s="2123">
        <f>SUM(K3782:K3785)</f>
        <v>249.38999999999996</v>
      </c>
      <c r="L3786" s="192"/>
      <c r="M3786" s="568"/>
      <c r="O3786" s="1991"/>
      <c r="P3786" s="1706"/>
    </row>
    <row r="3787" spans="1:28" ht="12.75" hidden="1">
      <c r="A3787" s="2114"/>
      <c r="B3787" s="192" t="s">
        <v>3738</v>
      </c>
      <c r="C3787" s="2142">
        <v>0.01</v>
      </c>
      <c r="D3787" s="568"/>
      <c r="E3787" s="188"/>
      <c r="F3787" s="188"/>
      <c r="G3787" s="2122"/>
      <c r="H3787" s="568"/>
      <c r="I3787" s="2118"/>
      <c r="J3787" s="2123"/>
      <c r="K3787" s="2140">
        <f>ROUND(K3786*C3787,2)</f>
        <v>2.4900000000000002</v>
      </c>
      <c r="L3787" s="192"/>
      <c r="M3787" s="568"/>
      <c r="O3787" s="1991"/>
      <c r="P3787" s="1706"/>
    </row>
    <row r="3788" spans="1:28" ht="12.75" hidden="1">
      <c r="A3788" s="2114"/>
      <c r="B3788" s="568"/>
      <c r="C3788" s="568"/>
      <c r="D3788" s="568"/>
      <c r="E3788" s="188"/>
      <c r="F3788" s="188"/>
      <c r="G3788" s="2122"/>
      <c r="H3788" s="568"/>
      <c r="I3788" s="2118"/>
      <c r="J3788" s="2126" t="s">
        <v>718</v>
      </c>
      <c r="K3788" s="2124">
        <f>SUM(K3786:K3787)</f>
        <v>251.87999999999997</v>
      </c>
      <c r="L3788" s="192" t="s">
        <v>730</v>
      </c>
      <c r="M3788" s="568"/>
      <c r="O3788" s="1991">
        <f>K3788-O3783</f>
        <v>94.91</v>
      </c>
      <c r="P3788" s="1706" t="s">
        <v>26</v>
      </c>
    </row>
    <row r="3789" spans="1:28" ht="12.75" hidden="1">
      <c r="A3789" s="2114" t="str">
        <f>A681</f>
        <v>(iii)</v>
      </c>
      <c r="B3789" s="192" t="str">
        <f>B681</f>
        <v>2nd Floor</v>
      </c>
      <c r="C3789" s="568"/>
      <c r="D3789" s="568"/>
      <c r="E3789" s="2120" t="str">
        <f>G685</f>
        <v>Each Sqm</v>
      </c>
      <c r="F3789" s="2120"/>
      <c r="G3789" s="2122"/>
      <c r="H3789" s="568"/>
      <c r="I3789" s="2118"/>
      <c r="J3789" s="2123"/>
      <c r="K3789" s="2123"/>
      <c r="L3789" s="192"/>
      <c r="M3789" s="568"/>
    </row>
    <row r="3790" spans="1:28" ht="12.75" hidden="1">
      <c r="A3790" s="2114"/>
      <c r="B3790" s="568" t="s">
        <v>722</v>
      </c>
      <c r="C3790" s="568"/>
      <c r="D3790" s="568"/>
      <c r="E3790" s="188"/>
      <c r="F3790" s="188"/>
      <c r="G3790" s="2122"/>
      <c r="H3790" s="568"/>
      <c r="I3790" s="2118"/>
      <c r="J3790" s="2123"/>
      <c r="K3790" s="2123">
        <f>K3788</f>
        <v>251.87999999999997</v>
      </c>
      <c r="L3790" s="192"/>
      <c r="M3790" s="568"/>
    </row>
    <row r="3791" spans="1:28" ht="12.75" hidden="1">
      <c r="A3791" s="2114"/>
      <c r="B3791" s="568" t="s">
        <v>948</v>
      </c>
      <c r="C3791" s="568"/>
      <c r="D3791" s="568"/>
      <c r="E3791" s="188"/>
      <c r="F3791" s="188"/>
      <c r="G3791" s="2122"/>
      <c r="H3791" s="2125">
        <v>0.03</v>
      </c>
      <c r="I3791" s="2134">
        <f>I3783+K3783</f>
        <v>156.96999999999997</v>
      </c>
      <c r="J3791" s="2124"/>
      <c r="K3791" s="2123">
        <f>ROUND(I3791*H3791,2)</f>
        <v>4.71</v>
      </c>
      <c r="L3791" s="192"/>
      <c r="M3791" s="568"/>
      <c r="O3791" s="1991">
        <f>O3783+K3791</f>
        <v>161.67999999999998</v>
      </c>
      <c r="P3791" s="1706" t="s">
        <v>3149</v>
      </c>
    </row>
    <row r="3792" spans="1:28" ht="12.75" hidden="1">
      <c r="A3792" s="2114"/>
      <c r="B3792" s="192" t="s">
        <v>3662</v>
      </c>
      <c r="C3792" s="568"/>
      <c r="D3792" s="568"/>
      <c r="E3792" s="188"/>
      <c r="F3792" s="188"/>
      <c r="G3792" s="2122"/>
      <c r="H3792" s="2135">
        <f>H3785</f>
        <v>7.4999999999999997E-2</v>
      </c>
      <c r="I3792" s="2134">
        <f>K3791</f>
        <v>4.71</v>
      </c>
      <c r="J3792" s="2134"/>
      <c r="K3792" s="2123">
        <f>ROUND(I3792*H3792,2)</f>
        <v>0.35</v>
      </c>
      <c r="L3792" s="192"/>
      <c r="M3792" s="568"/>
      <c r="O3792" s="1991"/>
      <c r="P3792" s="1706"/>
    </row>
    <row r="3793" spans="1:28" ht="12.75" hidden="1">
      <c r="A3793" s="2114"/>
      <c r="B3793" s="192" t="s">
        <v>3661</v>
      </c>
      <c r="C3793" s="568"/>
      <c r="D3793" s="568"/>
      <c r="E3793" s="188"/>
      <c r="F3793" s="188"/>
      <c r="G3793" s="2122"/>
      <c r="H3793" s="2135">
        <f>H3792</f>
        <v>7.4999999999999997E-2</v>
      </c>
      <c r="I3793" s="2134">
        <f>I3792</f>
        <v>4.71</v>
      </c>
      <c r="J3793" s="2134"/>
      <c r="K3793" s="2140">
        <f>ROUND(I3793*H3793,2)</f>
        <v>0.35</v>
      </c>
      <c r="L3793" s="192"/>
      <c r="M3793" s="568"/>
      <c r="O3793" s="1991"/>
      <c r="P3793" s="1706"/>
    </row>
    <row r="3794" spans="1:28" ht="12.75" hidden="1">
      <c r="A3794" s="2114"/>
      <c r="B3794" s="568"/>
      <c r="C3794" s="568"/>
      <c r="D3794" s="568"/>
      <c r="E3794" s="188"/>
      <c r="F3794" s="188"/>
      <c r="G3794" s="2122"/>
      <c r="H3794" s="568"/>
      <c r="I3794" s="2118"/>
      <c r="J3794" s="2123"/>
      <c r="K3794" s="2123">
        <f>SUM(K3790:K3793)</f>
        <v>257.29000000000002</v>
      </c>
      <c r="L3794" s="192"/>
      <c r="M3794" s="568"/>
      <c r="O3794" s="1991"/>
      <c r="P3794" s="1706"/>
    </row>
    <row r="3795" spans="1:28" ht="12.75" hidden="1">
      <c r="A3795" s="2114"/>
      <c r="B3795" s="192" t="s">
        <v>3738</v>
      </c>
      <c r="C3795" s="2142">
        <v>0.01</v>
      </c>
      <c r="D3795" s="568"/>
      <c r="E3795" s="188"/>
      <c r="F3795" s="188"/>
      <c r="G3795" s="2122"/>
      <c r="H3795" s="568"/>
      <c r="I3795" s="2118"/>
      <c r="J3795" s="2123"/>
      <c r="K3795" s="2140">
        <f>ROUND(K3794*C3795,2)</f>
        <v>2.57</v>
      </c>
      <c r="L3795" s="192"/>
      <c r="M3795" s="568"/>
      <c r="O3795" s="1991"/>
      <c r="P3795" s="1706"/>
    </row>
    <row r="3796" spans="1:28" ht="12.75" hidden="1">
      <c r="A3796" s="2114"/>
      <c r="B3796" s="568"/>
      <c r="C3796" s="568"/>
      <c r="D3796" s="568"/>
      <c r="E3796" s="188"/>
      <c r="F3796" s="188"/>
      <c r="G3796" s="2122"/>
      <c r="H3796" s="568"/>
      <c r="I3796" s="2118"/>
      <c r="J3796" s="2126" t="s">
        <v>718</v>
      </c>
      <c r="K3796" s="2124">
        <f>SUM(K3794:K3795)</f>
        <v>259.86</v>
      </c>
      <c r="L3796" s="192" t="s">
        <v>730</v>
      </c>
      <c r="M3796" s="568"/>
      <c r="O3796" s="1991">
        <f>K3796-O3791</f>
        <v>98.180000000000035</v>
      </c>
      <c r="P3796" s="1706" t="s">
        <v>26</v>
      </c>
    </row>
    <row r="3797" spans="1:28" ht="12.75" hidden="1">
      <c r="A3797" s="2114" t="str">
        <f>A682</f>
        <v>(iv)</v>
      </c>
      <c r="B3797" s="192" t="str">
        <f>B682</f>
        <v>3rd Floor</v>
      </c>
      <c r="C3797" s="568"/>
      <c r="D3797" s="568"/>
      <c r="E3797" s="2120" t="str">
        <f>G689</f>
        <v>Each Sqm</v>
      </c>
      <c r="F3797" s="2120"/>
      <c r="G3797" s="2122"/>
      <c r="H3797" s="568"/>
      <c r="I3797" s="2118"/>
      <c r="J3797" s="2123"/>
      <c r="K3797" s="2123"/>
      <c r="L3797" s="192"/>
      <c r="M3797" s="568"/>
    </row>
    <row r="3798" spans="1:28" ht="12.75" hidden="1">
      <c r="A3798" s="2114"/>
      <c r="B3798" s="568" t="s">
        <v>722</v>
      </c>
      <c r="C3798" s="568"/>
      <c r="D3798" s="568"/>
      <c r="E3798" s="188"/>
      <c r="F3798" s="188"/>
      <c r="G3798" s="2122"/>
      <c r="H3798" s="568"/>
      <c r="I3798" s="2118"/>
      <c r="J3798" s="2123"/>
      <c r="K3798" s="2123">
        <f>K3796</f>
        <v>259.86</v>
      </c>
      <c r="L3798" s="192"/>
      <c r="M3798" s="568"/>
    </row>
    <row r="3799" spans="1:28" ht="12.75" hidden="1">
      <c r="A3799" s="2114"/>
      <c r="B3799" s="568" t="s">
        <v>948</v>
      </c>
      <c r="C3799" s="568"/>
      <c r="D3799" s="568"/>
      <c r="E3799" s="188"/>
      <c r="F3799" s="188"/>
      <c r="G3799" s="2122"/>
      <c r="H3799" s="2125">
        <v>0.03</v>
      </c>
      <c r="I3799" s="2134">
        <f>I3791+K3791</f>
        <v>161.67999999999998</v>
      </c>
      <c r="J3799" s="2124"/>
      <c r="K3799" s="2123">
        <f>ROUND(I3799*H3799,2)</f>
        <v>4.8499999999999996</v>
      </c>
      <c r="L3799" s="192"/>
      <c r="M3799" s="568"/>
      <c r="O3799" s="1991">
        <f>O3791+K3799</f>
        <v>166.52999999999997</v>
      </c>
      <c r="P3799" s="1706" t="s">
        <v>3149</v>
      </c>
    </row>
    <row r="3800" spans="1:28" ht="12.75" hidden="1">
      <c r="A3800" s="2114"/>
      <c r="B3800" s="192" t="s">
        <v>3662</v>
      </c>
      <c r="C3800" s="568"/>
      <c r="D3800" s="568"/>
      <c r="E3800" s="188"/>
      <c r="F3800" s="188"/>
      <c r="G3800" s="2122"/>
      <c r="H3800" s="2135">
        <f>H3793</f>
        <v>7.4999999999999997E-2</v>
      </c>
      <c r="I3800" s="2134">
        <f>K3799</f>
        <v>4.8499999999999996</v>
      </c>
      <c r="J3800" s="2134"/>
      <c r="K3800" s="2123">
        <f>ROUND(I3800*H3800,2)</f>
        <v>0.36</v>
      </c>
      <c r="L3800" s="192"/>
      <c r="M3800" s="568"/>
      <c r="O3800" s="1991"/>
      <c r="P3800" s="1706"/>
    </row>
    <row r="3801" spans="1:28" ht="12.75" hidden="1">
      <c r="A3801" s="2114"/>
      <c r="B3801" s="192" t="s">
        <v>3661</v>
      </c>
      <c r="C3801" s="568"/>
      <c r="D3801" s="568"/>
      <c r="E3801" s="188"/>
      <c r="F3801" s="188"/>
      <c r="G3801" s="2122"/>
      <c r="H3801" s="2135">
        <f>H3800</f>
        <v>7.4999999999999997E-2</v>
      </c>
      <c r="I3801" s="2134">
        <f>I3800</f>
        <v>4.8499999999999996</v>
      </c>
      <c r="J3801" s="2134"/>
      <c r="K3801" s="2140">
        <f>ROUND(I3801*H3801,2)</f>
        <v>0.36</v>
      </c>
      <c r="L3801" s="192"/>
      <c r="M3801" s="568"/>
      <c r="O3801" s="1991"/>
      <c r="P3801" s="1706"/>
    </row>
    <row r="3802" spans="1:28" ht="12.75" hidden="1">
      <c r="A3802" s="2114"/>
      <c r="B3802" s="568"/>
      <c r="C3802" s="568"/>
      <c r="D3802" s="568"/>
      <c r="E3802" s="188"/>
      <c r="F3802" s="188"/>
      <c r="G3802" s="2122"/>
      <c r="H3802" s="568"/>
      <c r="I3802" s="2118"/>
      <c r="J3802" s="2123"/>
      <c r="K3802" s="2123">
        <f>SUM(K3798:K3801)</f>
        <v>265.43000000000006</v>
      </c>
      <c r="L3802" s="192"/>
      <c r="M3802" s="568"/>
      <c r="O3802" s="1991"/>
      <c r="P3802" s="1706"/>
    </row>
    <row r="3803" spans="1:28" ht="12.75" hidden="1">
      <c r="A3803" s="2114"/>
      <c r="B3803" s="192" t="s">
        <v>3738</v>
      </c>
      <c r="C3803" s="2142">
        <v>0.01</v>
      </c>
      <c r="D3803" s="568"/>
      <c r="E3803" s="188"/>
      <c r="F3803" s="188"/>
      <c r="G3803" s="2122"/>
      <c r="H3803" s="568"/>
      <c r="I3803" s="2118"/>
      <c r="J3803" s="2123"/>
      <c r="K3803" s="2140">
        <f>ROUND(K3802*C3803,2)</f>
        <v>2.65</v>
      </c>
      <c r="L3803" s="192"/>
      <c r="M3803" s="568"/>
      <c r="O3803" s="1991"/>
      <c r="P3803" s="1706"/>
    </row>
    <row r="3804" spans="1:28" ht="12.75" hidden="1">
      <c r="A3804" s="2114"/>
      <c r="B3804" s="568"/>
      <c r="C3804" s="568"/>
      <c r="D3804" s="568"/>
      <c r="E3804" s="188"/>
      <c r="F3804" s="188"/>
      <c r="G3804" s="2122"/>
      <c r="H3804" s="568"/>
      <c r="I3804" s="2118"/>
      <c r="J3804" s="2126" t="s">
        <v>718</v>
      </c>
      <c r="K3804" s="2124">
        <f>SUM(K3802:K3803)</f>
        <v>268.08000000000004</v>
      </c>
      <c r="L3804" s="192" t="s">
        <v>730</v>
      </c>
      <c r="M3804" s="568"/>
      <c r="O3804" s="1991">
        <f>K3804-O3799</f>
        <v>101.55000000000007</v>
      </c>
      <c r="P3804" s="1706" t="s">
        <v>26</v>
      </c>
    </row>
    <row r="3805" spans="1:28" s="1706" customFormat="1" ht="51" customHeight="1">
      <c r="A3805" s="2114">
        <f>A683</f>
        <v>63</v>
      </c>
      <c r="B3805" s="3025" t="str">
        <f>B683</f>
        <v>Providing 20 mm thick C.P. with C.M. (1:6) with screened and washed sharp sand for mortar and finished smooth to the rough surface of walls in all heights after racking out joints  etc. complete in all respect as directed by the Engineer in charge.</v>
      </c>
      <c r="C3805" s="3025"/>
      <c r="D3805" s="3025"/>
      <c r="E3805" s="3025"/>
      <c r="F3805" s="3025"/>
      <c r="G3805" s="3025"/>
      <c r="H3805" s="568"/>
      <c r="I3805" s="2118"/>
      <c r="J3805" s="2124"/>
      <c r="K3805" s="2124"/>
      <c r="L3805" s="192"/>
      <c r="M3805" s="568"/>
      <c r="N3805" s="1705"/>
      <c r="O3805" s="1705"/>
      <c r="P3805" s="1705"/>
      <c r="Q3805" s="1705"/>
      <c r="R3805" s="1705"/>
      <c r="S3805" s="1705"/>
      <c r="U3805" s="1705"/>
      <c r="V3805" s="1705"/>
      <c r="W3805" s="1705"/>
      <c r="X3805" s="1705"/>
      <c r="Y3805" s="1705"/>
      <c r="Z3805" s="1705"/>
      <c r="AA3805" s="1705"/>
      <c r="AB3805" s="1705"/>
    </row>
    <row r="3806" spans="1:28" s="1706" customFormat="1" ht="12.75">
      <c r="A3806" s="2114" t="str">
        <f>A732</f>
        <v>(i)</v>
      </c>
      <c r="B3806" s="192" t="str">
        <f>B732</f>
        <v>Ground Floor</v>
      </c>
      <c r="C3806" s="568"/>
      <c r="D3806" s="568"/>
      <c r="E3806" s="2120" t="str">
        <f>G732</f>
        <v>Each Sqm</v>
      </c>
      <c r="F3806" s="2120"/>
      <c r="G3806" s="2122"/>
      <c r="H3806" s="568"/>
      <c r="I3806" s="2118"/>
      <c r="J3806" s="2123"/>
      <c r="K3806" s="2123"/>
      <c r="L3806" s="192"/>
      <c r="M3806" s="568"/>
      <c r="N3806" s="1705"/>
      <c r="O3806" s="1705"/>
      <c r="P3806" s="1705"/>
      <c r="Q3806" s="1705"/>
      <c r="R3806" s="1705"/>
      <c r="S3806" s="1705"/>
      <c r="U3806" s="1705"/>
      <c r="V3806" s="1705"/>
      <c r="W3806" s="1705"/>
      <c r="X3806" s="1705"/>
      <c r="Y3806" s="1705"/>
      <c r="Z3806" s="1705"/>
      <c r="AA3806" s="1705"/>
      <c r="AB3806" s="1705"/>
    </row>
    <row r="3807" spans="1:28" s="1706" customFormat="1" ht="12.75">
      <c r="A3807" s="2114"/>
      <c r="B3807" s="192" t="s">
        <v>821</v>
      </c>
      <c r="C3807" s="568"/>
      <c r="D3807" s="568"/>
      <c r="E3807" s="188"/>
      <c r="F3807" s="188"/>
      <c r="G3807" s="2122"/>
      <c r="H3807" s="568"/>
      <c r="I3807" s="2118"/>
      <c r="J3807" s="2123"/>
      <c r="K3807" s="2123"/>
      <c r="L3807" s="192"/>
      <c r="M3807" s="568"/>
      <c r="N3807" s="1705"/>
      <c r="O3807" s="1705"/>
      <c r="P3807" s="1705"/>
      <c r="Q3807" s="1705"/>
      <c r="R3807" s="1705"/>
      <c r="S3807" s="1705"/>
      <c r="U3807" s="1705"/>
      <c r="V3807" s="1705"/>
      <c r="W3807" s="1705"/>
      <c r="X3807" s="1705"/>
      <c r="Y3807" s="1705"/>
      <c r="Z3807" s="1705"/>
      <c r="AA3807" s="1705"/>
      <c r="AB3807" s="1705"/>
    </row>
    <row r="3808" spans="1:28" s="1706" customFormat="1" ht="12.75">
      <c r="A3808" s="2114"/>
      <c r="B3808" s="192" t="s">
        <v>822</v>
      </c>
      <c r="C3808" s="568"/>
      <c r="D3808" s="568"/>
      <c r="E3808" s="188"/>
      <c r="F3808" s="188"/>
      <c r="G3808" s="2122"/>
      <c r="H3808" s="568"/>
      <c r="I3808" s="2118"/>
      <c r="J3808" s="2123"/>
      <c r="K3808" s="2123"/>
      <c r="L3808" s="192"/>
      <c r="M3808" s="568"/>
      <c r="N3808" s="1705"/>
      <c r="O3808" s="1705"/>
      <c r="P3808" s="1705"/>
      <c r="Q3808" s="1705"/>
      <c r="R3808" s="1705"/>
      <c r="S3808" s="1705"/>
      <c r="U3808" s="1705"/>
      <c r="V3808" s="1705"/>
      <c r="W3808" s="1705"/>
      <c r="X3808" s="1705"/>
      <c r="Y3808" s="1705"/>
      <c r="Z3808" s="1705"/>
      <c r="AA3808" s="1705"/>
      <c r="AB3808" s="1705"/>
    </row>
    <row r="3809" spans="1:28" s="1706" customFormat="1" ht="12.75">
      <c r="A3809" s="2114"/>
      <c r="B3809" s="568" t="s">
        <v>775</v>
      </c>
      <c r="C3809" s="568"/>
      <c r="D3809" s="568"/>
      <c r="E3809" s="188"/>
      <c r="F3809" s="188"/>
      <c r="G3809" s="2122">
        <v>2.1000000000000001E-2</v>
      </c>
      <c r="H3809" s="568" t="s">
        <v>49</v>
      </c>
      <c r="I3809" s="2118" t="s">
        <v>49</v>
      </c>
      <c r="J3809" s="2123">
        <f>G46</f>
        <v>76.88</v>
      </c>
      <c r="K3809" s="2123">
        <f>ROUND(G3809*J3809,2)</f>
        <v>1.61</v>
      </c>
      <c r="L3809" s="192"/>
      <c r="M3809" s="568"/>
      <c r="N3809" s="1705"/>
      <c r="O3809" s="1705"/>
      <c r="P3809" s="1705"/>
      <c r="Q3809" s="1705"/>
      <c r="R3809" s="1705"/>
      <c r="S3809" s="1705"/>
      <c r="U3809" s="1705"/>
      <c r="V3809" s="1705"/>
      <c r="W3809" s="1705"/>
      <c r="X3809" s="1705"/>
      <c r="Y3809" s="1705"/>
      <c r="Z3809" s="1705"/>
      <c r="AA3809" s="1705"/>
      <c r="AB3809" s="1705"/>
    </row>
    <row r="3810" spans="1:28" s="1706" customFormat="1" ht="12.75">
      <c r="A3810" s="2114"/>
      <c r="B3810" s="568" t="s">
        <v>8</v>
      </c>
      <c r="C3810" s="568"/>
      <c r="D3810" s="568"/>
      <c r="E3810" s="188"/>
      <c r="F3810" s="188"/>
      <c r="G3810" s="2122">
        <v>5.7000000000000002E-2</v>
      </c>
      <c r="H3810" s="568" t="s">
        <v>247</v>
      </c>
      <c r="I3810" s="2118" t="s">
        <v>247</v>
      </c>
      <c r="J3810" s="2123">
        <f>G50/10</f>
        <v>570.23400000000004</v>
      </c>
      <c r="K3810" s="2123">
        <f>ROUND(G3810*J3810,2)</f>
        <v>32.5</v>
      </c>
      <c r="L3810" s="192"/>
      <c r="M3810" s="568"/>
      <c r="N3810" s="1705"/>
      <c r="O3810" s="1705"/>
      <c r="P3810" s="1705"/>
      <c r="Q3810" s="1705"/>
      <c r="R3810" s="1705"/>
      <c r="S3810" s="1705"/>
      <c r="U3810" s="1705"/>
      <c r="V3810" s="1705"/>
      <c r="W3810" s="1705"/>
      <c r="X3810" s="1705"/>
      <c r="Y3810" s="1705"/>
      <c r="Z3810" s="1705"/>
      <c r="AA3810" s="1705"/>
      <c r="AB3810" s="1705"/>
    </row>
    <row r="3811" spans="1:28" s="1706" customFormat="1" ht="12.75">
      <c r="A3811" s="2114"/>
      <c r="B3811" s="568"/>
      <c r="C3811" s="568"/>
      <c r="D3811" s="568"/>
      <c r="E3811" s="188"/>
      <c r="F3811" s="188"/>
      <c r="G3811" s="2122"/>
      <c r="H3811" s="568"/>
      <c r="I3811" s="2118"/>
      <c r="J3811" s="2126" t="s">
        <v>718</v>
      </c>
      <c r="K3811" s="2124">
        <f>SUM(K3809:K3810)</f>
        <v>34.11</v>
      </c>
      <c r="L3811" s="192"/>
      <c r="M3811" s="568"/>
      <c r="N3811" s="1705"/>
      <c r="O3811" s="1705"/>
      <c r="P3811" s="1705"/>
      <c r="Q3811" s="1705"/>
      <c r="R3811" s="1705"/>
      <c r="S3811" s="1705"/>
      <c r="U3811" s="1705"/>
      <c r="V3811" s="1705"/>
      <c r="W3811" s="1705"/>
      <c r="X3811" s="1705"/>
      <c r="Y3811" s="1705"/>
      <c r="Z3811" s="1705"/>
      <c r="AA3811" s="1705"/>
      <c r="AB3811" s="1705"/>
    </row>
    <row r="3812" spans="1:28" s="1706" customFormat="1" ht="12.75">
      <c r="A3812" s="2114"/>
      <c r="B3812" s="192" t="s">
        <v>781</v>
      </c>
      <c r="C3812" s="568"/>
      <c r="D3812" s="568"/>
      <c r="E3812" s="188"/>
      <c r="F3812" s="188"/>
      <c r="G3812" s="2122"/>
      <c r="H3812" s="568"/>
      <c r="I3812" s="2118"/>
      <c r="J3812" s="2123"/>
      <c r="K3812" s="2123"/>
      <c r="L3812" s="192"/>
      <c r="M3812" s="568"/>
      <c r="N3812" s="1705"/>
      <c r="O3812" s="1705"/>
      <c r="P3812" s="1705"/>
      <c r="Q3812" s="1705"/>
      <c r="R3812" s="1705"/>
      <c r="S3812" s="1705"/>
      <c r="U3812" s="1705"/>
      <c r="V3812" s="1705"/>
      <c r="W3812" s="1705"/>
      <c r="X3812" s="1705"/>
      <c r="Y3812" s="1705"/>
      <c r="Z3812" s="1705"/>
      <c r="AA3812" s="1705"/>
      <c r="AB3812" s="1705"/>
    </row>
    <row r="3813" spans="1:28" s="1706" customFormat="1" ht="12.75">
      <c r="A3813" s="2114"/>
      <c r="B3813" s="568" t="s">
        <v>782</v>
      </c>
      <c r="C3813" s="568"/>
      <c r="D3813" s="568"/>
      <c r="E3813" s="188"/>
      <c r="F3813" s="188"/>
      <c r="G3813" s="2122">
        <v>0.16</v>
      </c>
      <c r="H3813" s="568" t="s">
        <v>262</v>
      </c>
      <c r="I3813" s="2118" t="s">
        <v>38</v>
      </c>
      <c r="J3813" s="2123">
        <f>L136</f>
        <v>435</v>
      </c>
      <c r="K3813" s="2123">
        <f>ROUND(G3813*J3813,2)</f>
        <v>69.599999999999994</v>
      </c>
      <c r="L3813" s="192"/>
      <c r="M3813" s="568"/>
      <c r="N3813" s="1705"/>
      <c r="O3813" s="1705"/>
      <c r="P3813" s="1705"/>
      <c r="Q3813" s="1705"/>
      <c r="R3813" s="1705"/>
      <c r="S3813" s="1705"/>
      <c r="U3813" s="1705"/>
      <c r="V3813" s="1705"/>
      <c r="W3813" s="1705"/>
      <c r="X3813" s="1705"/>
      <c r="Y3813" s="1705"/>
      <c r="Z3813" s="1705"/>
      <c r="AA3813" s="1705"/>
      <c r="AB3813" s="1705"/>
    </row>
    <row r="3814" spans="1:28" s="1706" customFormat="1" ht="12.75">
      <c r="A3814" s="2114"/>
      <c r="B3814" s="568" t="s">
        <v>717</v>
      </c>
      <c r="C3814" s="568"/>
      <c r="D3814" s="568"/>
      <c r="E3814" s="188"/>
      <c r="F3814" s="188"/>
      <c r="G3814" s="2122">
        <v>0.24</v>
      </c>
      <c r="H3814" s="568" t="s">
        <v>262</v>
      </c>
      <c r="I3814" s="2118" t="s">
        <v>38</v>
      </c>
      <c r="J3814" s="2123">
        <f>L134</f>
        <v>345</v>
      </c>
      <c r="K3814" s="2123">
        <f>ROUND(G3814*J3814,2)</f>
        <v>82.8</v>
      </c>
      <c r="L3814" s="192"/>
      <c r="M3814" s="568"/>
      <c r="N3814" s="1705"/>
      <c r="O3814" s="1705"/>
      <c r="P3814" s="1705"/>
      <c r="Q3814" s="1705"/>
      <c r="R3814" s="1705"/>
      <c r="S3814" s="1705"/>
      <c r="U3814" s="1705"/>
      <c r="V3814" s="1705"/>
      <c r="W3814" s="1705"/>
      <c r="X3814" s="1705"/>
      <c r="Y3814" s="1705"/>
      <c r="Z3814" s="1705"/>
      <c r="AA3814" s="1705"/>
      <c r="AB3814" s="1705"/>
    </row>
    <row r="3815" spans="1:28" s="1706" customFormat="1" ht="12.75">
      <c r="A3815" s="2114"/>
      <c r="B3815" s="568"/>
      <c r="C3815" s="568"/>
      <c r="D3815" s="568"/>
      <c r="E3815" s="188"/>
      <c r="F3815" s="188"/>
      <c r="G3815" s="2122"/>
      <c r="H3815" s="568"/>
      <c r="I3815" s="2118"/>
      <c r="J3815" s="2126" t="s">
        <v>718</v>
      </c>
      <c r="K3815" s="2124">
        <f>SUM(K3813:K3814)</f>
        <v>152.39999999999998</v>
      </c>
      <c r="L3815" s="192"/>
      <c r="M3815" s="568"/>
      <c r="N3815" s="1705"/>
      <c r="O3815" s="1705"/>
      <c r="P3815" s="1705"/>
      <c r="Q3815" s="1705"/>
      <c r="R3815" s="1705"/>
      <c r="S3815" s="1705"/>
      <c r="U3815" s="1705"/>
      <c r="V3815" s="1705"/>
      <c r="W3815" s="1705"/>
      <c r="X3815" s="1705"/>
      <c r="Y3815" s="1705"/>
      <c r="Z3815" s="1705"/>
      <c r="AA3815" s="1705"/>
      <c r="AB3815" s="1705"/>
    </row>
    <row r="3816" spans="1:28" s="1706" customFormat="1" ht="12.75">
      <c r="A3816" s="2114"/>
      <c r="B3816" s="192"/>
      <c r="C3816" s="568"/>
      <c r="D3816" s="568"/>
      <c r="E3816" s="188"/>
      <c r="F3816" s="188"/>
      <c r="G3816" s="2122"/>
      <c r="H3816" s="568"/>
      <c r="I3816" s="2118"/>
      <c r="J3816" s="2123" t="s">
        <v>3741</v>
      </c>
      <c r="K3816" s="2123">
        <f>K3811+K3815</f>
        <v>186.51</v>
      </c>
      <c r="L3816" s="192"/>
      <c r="M3816" s="568"/>
      <c r="N3816" s="1705"/>
      <c r="O3816" s="1705"/>
      <c r="P3816" s="1705"/>
      <c r="Q3816" s="1705"/>
      <c r="R3816" s="1705"/>
      <c r="S3816" s="1705"/>
      <c r="U3816" s="1705"/>
      <c r="V3816" s="1705"/>
      <c r="W3816" s="1705"/>
      <c r="X3816" s="1705"/>
      <c r="Y3816" s="1705"/>
      <c r="Z3816" s="1705"/>
      <c r="AA3816" s="1705"/>
      <c r="AB3816" s="1705"/>
    </row>
    <row r="3817" spans="1:28" s="1706" customFormat="1" ht="12.75">
      <c r="A3817" s="2114"/>
      <c r="B3817" s="192" t="s">
        <v>3662</v>
      </c>
      <c r="C3817" s="568"/>
      <c r="D3817" s="568"/>
      <c r="E3817" s="188"/>
      <c r="F3817" s="188"/>
      <c r="G3817" s="2122"/>
      <c r="H3817" s="2135">
        <f>H3801</f>
        <v>7.4999999999999997E-2</v>
      </c>
      <c r="I3817" s="2134">
        <f>K3816+K3812</f>
        <v>186.51</v>
      </c>
      <c r="J3817" s="2134"/>
      <c r="K3817" s="2123">
        <f>ROUND(I3817*H3817,2)</f>
        <v>13.99</v>
      </c>
      <c r="L3817" s="192"/>
      <c r="M3817" s="568"/>
      <c r="N3817" s="1705"/>
      <c r="O3817" s="1705"/>
      <c r="P3817" s="1705"/>
      <c r="Q3817" s="1705"/>
      <c r="R3817" s="1705"/>
      <c r="S3817" s="1705"/>
      <c r="U3817" s="1705"/>
      <c r="V3817" s="1705"/>
      <c r="W3817" s="1705"/>
      <c r="X3817" s="1705"/>
      <c r="Y3817" s="1705"/>
      <c r="Z3817" s="1705"/>
      <c r="AA3817" s="1705"/>
      <c r="AB3817" s="1705"/>
    </row>
    <row r="3818" spans="1:28" s="1706" customFormat="1" ht="12.75">
      <c r="A3818" s="2114"/>
      <c r="B3818" s="192" t="s">
        <v>3661</v>
      </c>
      <c r="C3818" s="568"/>
      <c r="D3818" s="568"/>
      <c r="E3818" s="188"/>
      <c r="F3818" s="188"/>
      <c r="G3818" s="2122"/>
      <c r="H3818" s="2135">
        <f>H3817</f>
        <v>7.4999999999999997E-2</v>
      </c>
      <c r="I3818" s="2134">
        <f>I3817</f>
        <v>186.51</v>
      </c>
      <c r="J3818" s="2134"/>
      <c r="K3818" s="2140">
        <f>ROUND(I3818*H3818,2)</f>
        <v>13.99</v>
      </c>
      <c r="L3818" s="192"/>
      <c r="M3818" s="568"/>
      <c r="N3818" s="1705"/>
      <c r="O3818" s="1705"/>
      <c r="P3818" s="1705"/>
      <c r="Q3818" s="1705"/>
      <c r="R3818" s="1705"/>
      <c r="S3818" s="1705"/>
      <c r="U3818" s="1705"/>
      <c r="V3818" s="1705"/>
      <c r="W3818" s="1705"/>
      <c r="X3818" s="1705"/>
      <c r="Y3818" s="1705"/>
      <c r="Z3818" s="1705"/>
      <c r="AA3818" s="1705"/>
      <c r="AB3818" s="1705"/>
    </row>
    <row r="3819" spans="1:28" s="1706" customFormat="1" ht="12.75">
      <c r="A3819" s="2114"/>
      <c r="B3819" s="192" t="s">
        <v>1497</v>
      </c>
      <c r="C3819" s="568"/>
      <c r="D3819" s="568"/>
      <c r="E3819" s="188"/>
      <c r="F3819" s="188"/>
      <c r="G3819" s="2122"/>
      <c r="H3819" s="568"/>
      <c r="I3819" s="2118"/>
      <c r="J3819" s="2123" t="s">
        <v>718</v>
      </c>
      <c r="K3819" s="2123">
        <f>SUM(K3816:K3818)</f>
        <v>214.49</v>
      </c>
      <c r="L3819" s="192"/>
      <c r="M3819" s="568"/>
      <c r="N3819" s="1705"/>
      <c r="O3819" s="1705"/>
      <c r="P3819" s="1705"/>
      <c r="Q3819" s="1705"/>
      <c r="R3819" s="1705"/>
      <c r="S3819" s="1705"/>
      <c r="U3819" s="1705"/>
      <c r="V3819" s="1705"/>
      <c r="W3819" s="1705"/>
      <c r="X3819" s="1705"/>
      <c r="Y3819" s="1705"/>
      <c r="Z3819" s="1705"/>
      <c r="AA3819" s="1705"/>
      <c r="AB3819" s="1705"/>
    </row>
    <row r="3820" spans="1:28" s="1706" customFormat="1" ht="12.75">
      <c r="A3820" s="2114"/>
      <c r="B3820" s="192" t="s">
        <v>3663</v>
      </c>
      <c r="C3820" s="568"/>
      <c r="D3820" s="568"/>
      <c r="E3820" s="188"/>
      <c r="F3820" s="188"/>
      <c r="G3820" s="2122"/>
      <c r="H3820" s="568"/>
      <c r="I3820" s="2118"/>
      <c r="J3820" s="2123"/>
      <c r="K3820" s="2123"/>
      <c r="L3820" s="192"/>
      <c r="M3820" s="568"/>
      <c r="N3820" s="1705"/>
      <c r="O3820" s="1705"/>
      <c r="P3820" s="1705"/>
      <c r="Q3820" s="1705"/>
      <c r="R3820" s="1705"/>
      <c r="S3820" s="1705"/>
      <c r="U3820" s="1705"/>
      <c r="V3820" s="1705"/>
      <c r="W3820" s="1705"/>
      <c r="X3820" s="1705"/>
      <c r="Y3820" s="1705"/>
      <c r="Z3820" s="1705"/>
      <c r="AA3820" s="1705"/>
      <c r="AB3820" s="1705"/>
    </row>
    <row r="3821" spans="1:28" s="1706" customFormat="1" ht="12.75">
      <c r="A3821" s="2114"/>
      <c r="B3821" s="568" t="s">
        <v>775</v>
      </c>
      <c r="C3821" s="568"/>
      <c r="D3821" s="568"/>
      <c r="E3821" s="188"/>
      <c r="F3821" s="188"/>
      <c r="G3821" s="2122">
        <f>G3809</f>
        <v>2.1000000000000001E-2</v>
      </c>
      <c r="H3821" s="568" t="s">
        <v>49</v>
      </c>
      <c r="I3821" s="2118" t="s">
        <v>49</v>
      </c>
      <c r="J3821" s="2123">
        <f>K46</f>
        <v>717.46</v>
      </c>
      <c r="K3821" s="2123">
        <f>ROUND(G3821*J3821,2)</f>
        <v>15.07</v>
      </c>
      <c r="L3821" s="192"/>
      <c r="M3821" s="568"/>
      <c r="N3821" s="1705"/>
      <c r="O3821" s="1705"/>
      <c r="P3821" s="1705"/>
      <c r="Q3821" s="1705"/>
      <c r="R3821" s="1705"/>
      <c r="S3821" s="1705"/>
      <c r="U3821" s="1705"/>
      <c r="V3821" s="1705"/>
      <c r="W3821" s="1705"/>
      <c r="X3821" s="1705"/>
      <c r="Y3821" s="1705"/>
      <c r="Z3821" s="1705"/>
      <c r="AA3821" s="1705"/>
      <c r="AB3821" s="1705"/>
    </row>
    <row r="3822" spans="1:28" s="1706" customFormat="1" ht="12.75">
      <c r="A3822" s="2114"/>
      <c r="B3822" s="568" t="s">
        <v>8</v>
      </c>
      <c r="C3822" s="568"/>
      <c r="D3822" s="568"/>
      <c r="E3822" s="188"/>
      <c r="F3822" s="188"/>
      <c r="G3822" s="2122">
        <f>G3810</f>
        <v>5.7000000000000002E-2</v>
      </c>
      <c r="H3822" s="568" t="s">
        <v>247</v>
      </c>
      <c r="I3822" s="2118" t="s">
        <v>247</v>
      </c>
      <c r="J3822" s="2123">
        <f>K50/10</f>
        <v>42.622</v>
      </c>
      <c r="K3822" s="2123">
        <f>ROUND(G3822*J3822,2)</f>
        <v>2.4300000000000002</v>
      </c>
      <c r="L3822" s="192"/>
      <c r="M3822" s="568"/>
      <c r="N3822" s="1705"/>
      <c r="O3822" s="1705"/>
      <c r="P3822" s="1705"/>
      <c r="Q3822" s="1705"/>
      <c r="R3822" s="1705"/>
      <c r="S3822" s="1705"/>
      <c r="U3822" s="1705"/>
      <c r="V3822" s="1705"/>
      <c r="W3822" s="1705"/>
      <c r="X3822" s="1705"/>
      <c r="Y3822" s="1705"/>
      <c r="Z3822" s="1705"/>
      <c r="AA3822" s="1705"/>
      <c r="AB3822" s="1705"/>
    </row>
    <row r="3823" spans="1:28" s="1706" customFormat="1" ht="12.75">
      <c r="A3823" s="2114"/>
      <c r="B3823" s="568"/>
      <c r="C3823" s="568"/>
      <c r="D3823" s="568"/>
      <c r="E3823" s="188"/>
      <c r="F3823" s="188"/>
      <c r="G3823" s="2122"/>
      <c r="H3823" s="568"/>
      <c r="I3823" s="2118"/>
      <c r="J3823" s="2126" t="s">
        <v>718</v>
      </c>
      <c r="K3823" s="2124">
        <f>SUM(K3821:K3822)</f>
        <v>17.5</v>
      </c>
      <c r="L3823" s="192"/>
      <c r="M3823" s="568"/>
      <c r="N3823" s="1705"/>
      <c r="O3823" s="1991">
        <f>K3815</f>
        <v>152.39999999999998</v>
      </c>
      <c r="P3823" s="1706" t="s">
        <v>3149</v>
      </c>
      <c r="Q3823" s="1705"/>
      <c r="R3823" s="1705"/>
      <c r="S3823" s="1705"/>
      <c r="U3823" s="1705"/>
      <c r="V3823" s="1705"/>
      <c r="W3823" s="1705"/>
      <c r="X3823" s="1705"/>
      <c r="Y3823" s="1705"/>
      <c r="Z3823" s="1705"/>
      <c r="AA3823" s="1705"/>
      <c r="AB3823" s="1705"/>
    </row>
    <row r="3824" spans="1:28" s="1706" customFormat="1" ht="12.75">
      <c r="A3824" s="2114"/>
      <c r="B3824" s="568" t="s">
        <v>3742</v>
      </c>
      <c r="C3824" s="568"/>
      <c r="D3824" s="568"/>
      <c r="E3824" s="188"/>
      <c r="F3824" s="188"/>
      <c r="G3824" s="2122"/>
      <c r="H3824" s="568"/>
      <c r="I3824" s="2118"/>
      <c r="J3824" s="2126"/>
      <c r="K3824" s="2124">
        <f>K3819+K3823</f>
        <v>231.99</v>
      </c>
      <c r="L3824" s="192"/>
      <c r="M3824" s="568"/>
      <c r="N3824" s="1705"/>
      <c r="O3824" s="1991"/>
      <c r="Q3824" s="1705"/>
      <c r="R3824" s="1705"/>
      <c r="S3824" s="1705"/>
      <c r="U3824" s="1705"/>
      <c r="V3824" s="1705"/>
      <c r="W3824" s="1705"/>
      <c r="X3824" s="1705"/>
      <c r="Y3824" s="1705"/>
      <c r="Z3824" s="1705"/>
      <c r="AA3824" s="1705"/>
      <c r="AB3824" s="1705"/>
    </row>
    <row r="3825" spans="1:28" s="1706" customFormat="1" ht="12.75">
      <c r="A3825" s="2114"/>
      <c r="B3825" s="192" t="s">
        <v>3745</v>
      </c>
      <c r="C3825" s="2142">
        <v>0.01</v>
      </c>
      <c r="D3825" s="568"/>
      <c r="E3825" s="188"/>
      <c r="F3825" s="188"/>
      <c r="G3825" s="2122"/>
      <c r="H3825" s="568"/>
      <c r="I3825" s="2118"/>
      <c r="J3825" s="2123"/>
      <c r="K3825" s="2140">
        <f>ROUND(K3824*C3825,2)</f>
        <v>2.3199999999999998</v>
      </c>
      <c r="L3825" s="192"/>
      <c r="M3825" s="568"/>
      <c r="N3825" s="1705"/>
      <c r="O3825" s="1991"/>
      <c r="Q3825" s="1705"/>
      <c r="R3825" s="1705"/>
      <c r="S3825" s="1705"/>
      <c r="U3825" s="1705"/>
      <c r="V3825" s="1705"/>
      <c r="W3825" s="1705"/>
      <c r="X3825" s="1705"/>
      <c r="Y3825" s="1705"/>
      <c r="Z3825" s="1705"/>
      <c r="AA3825" s="1705"/>
      <c r="AB3825" s="1705"/>
    </row>
    <row r="3826" spans="1:28" ht="12.75">
      <c r="A3826" s="2114"/>
      <c r="B3826" s="568" t="s">
        <v>3746</v>
      </c>
      <c r="C3826" s="568"/>
      <c r="D3826" s="568"/>
      <c r="E3826" s="188"/>
      <c r="F3826" s="188"/>
      <c r="G3826" s="2122"/>
      <c r="H3826" s="568"/>
      <c r="I3826" s="2118"/>
      <c r="J3826" s="2126" t="s">
        <v>718</v>
      </c>
      <c r="K3826" s="2124">
        <f>SUM(K3824:K3825)</f>
        <v>234.31</v>
      </c>
      <c r="L3826" s="192" t="s">
        <v>730</v>
      </c>
      <c r="M3826" s="568"/>
      <c r="O3826" s="1991">
        <f>K3826-O3823</f>
        <v>81.910000000000025</v>
      </c>
      <c r="P3826" s="1706" t="s">
        <v>26</v>
      </c>
    </row>
    <row r="3827" spans="1:28" ht="12.75" hidden="1">
      <c r="A3827" s="2114" t="str">
        <f>A685</f>
        <v>(ii)</v>
      </c>
      <c r="B3827" s="192" t="str">
        <f>B685</f>
        <v>First Floor</v>
      </c>
      <c r="C3827" s="568"/>
      <c r="D3827" s="568"/>
      <c r="E3827" s="2120" t="str">
        <f>G733</f>
        <v>Each Sqm</v>
      </c>
      <c r="F3827" s="2120"/>
      <c r="G3827" s="2122"/>
      <c r="H3827" s="568"/>
      <c r="I3827" s="2118"/>
      <c r="J3827" s="2123"/>
      <c r="K3827" s="2123"/>
      <c r="L3827" s="192"/>
      <c r="M3827" s="568"/>
    </row>
    <row r="3828" spans="1:28" ht="12.75" hidden="1">
      <c r="A3828" s="2114"/>
      <c r="B3828" s="568" t="s">
        <v>722</v>
      </c>
      <c r="C3828" s="568"/>
      <c r="D3828" s="568"/>
      <c r="E3828" s="188"/>
      <c r="F3828" s="188"/>
      <c r="G3828" s="2122"/>
      <c r="H3828" s="568"/>
      <c r="I3828" s="2118"/>
      <c r="J3828" s="2123"/>
      <c r="K3828" s="2123">
        <f>K3824</f>
        <v>231.99</v>
      </c>
      <c r="L3828" s="192"/>
      <c r="M3828" s="568"/>
    </row>
    <row r="3829" spans="1:28" ht="12.75" hidden="1">
      <c r="A3829" s="2114"/>
      <c r="B3829" s="568" t="s">
        <v>948</v>
      </c>
      <c r="C3829" s="568"/>
      <c r="D3829" s="568"/>
      <c r="E3829" s="188"/>
      <c r="F3829" s="188"/>
      <c r="G3829" s="2122"/>
      <c r="H3829" s="2125">
        <v>0.03</v>
      </c>
      <c r="I3829" s="2134">
        <f>K3815</f>
        <v>152.39999999999998</v>
      </c>
      <c r="J3829" s="2124"/>
      <c r="K3829" s="2123">
        <f>ROUND(I3829*H3829,2)</f>
        <v>4.57</v>
      </c>
      <c r="L3829" s="192"/>
      <c r="M3829" s="568"/>
      <c r="O3829" s="1991">
        <f>O3823+K3829</f>
        <v>156.96999999999997</v>
      </c>
      <c r="P3829" s="1706" t="s">
        <v>3149</v>
      </c>
    </row>
    <row r="3830" spans="1:28" ht="12.75" hidden="1">
      <c r="A3830" s="2114"/>
      <c r="B3830" s="192" t="s">
        <v>3662</v>
      </c>
      <c r="C3830" s="568"/>
      <c r="D3830" s="568"/>
      <c r="E3830" s="188"/>
      <c r="F3830" s="188"/>
      <c r="G3830" s="2122"/>
      <c r="H3830" s="2135">
        <f>H3818</f>
        <v>7.4999999999999997E-2</v>
      </c>
      <c r="I3830" s="2134">
        <f>K3829</f>
        <v>4.57</v>
      </c>
      <c r="J3830" s="2134"/>
      <c r="K3830" s="2123">
        <f>ROUND(I3830*H3830,2)</f>
        <v>0.34</v>
      </c>
      <c r="L3830" s="192"/>
      <c r="M3830" s="568"/>
      <c r="O3830" s="1991"/>
      <c r="P3830" s="1706"/>
    </row>
    <row r="3831" spans="1:28" ht="12.75" hidden="1">
      <c r="A3831" s="2114"/>
      <c r="B3831" s="192" t="s">
        <v>3661</v>
      </c>
      <c r="C3831" s="568"/>
      <c r="D3831" s="568"/>
      <c r="E3831" s="188"/>
      <c r="F3831" s="188"/>
      <c r="G3831" s="2122"/>
      <c r="H3831" s="2135">
        <f>H3830</f>
        <v>7.4999999999999997E-2</v>
      </c>
      <c r="I3831" s="2134">
        <f>I3830</f>
        <v>4.57</v>
      </c>
      <c r="J3831" s="2134"/>
      <c r="K3831" s="2140">
        <f>ROUND(I3831*H3831,2)</f>
        <v>0.34</v>
      </c>
      <c r="L3831" s="192"/>
      <c r="M3831" s="568"/>
      <c r="O3831" s="1991"/>
      <c r="P3831" s="1706"/>
    </row>
    <row r="3832" spans="1:28" ht="12.75" hidden="1">
      <c r="A3832" s="2114"/>
      <c r="B3832" s="568"/>
      <c r="C3832" s="568"/>
      <c r="D3832" s="568"/>
      <c r="E3832" s="188"/>
      <c r="F3832" s="188"/>
      <c r="G3832" s="2122"/>
      <c r="H3832" s="568"/>
      <c r="I3832" s="2118"/>
      <c r="J3832" s="2123"/>
      <c r="K3832" s="2123">
        <f>SUM(K3828:K3831)</f>
        <v>237.24</v>
      </c>
      <c r="L3832" s="192"/>
      <c r="M3832" s="568"/>
      <c r="O3832" s="1991"/>
      <c r="P3832" s="1706"/>
    </row>
    <row r="3833" spans="1:28" ht="12.75" hidden="1">
      <c r="A3833" s="2114"/>
      <c r="B3833" s="192" t="s">
        <v>3738</v>
      </c>
      <c r="C3833" s="2142">
        <v>0.01</v>
      </c>
      <c r="D3833" s="568"/>
      <c r="E3833" s="188"/>
      <c r="F3833" s="188"/>
      <c r="G3833" s="2122"/>
      <c r="H3833" s="568"/>
      <c r="I3833" s="2118"/>
      <c r="J3833" s="2123"/>
      <c r="K3833" s="2140">
        <f>ROUND(K3832*C3833,2)</f>
        <v>2.37</v>
      </c>
      <c r="L3833" s="192"/>
      <c r="M3833" s="568"/>
      <c r="O3833" s="1991"/>
      <c r="P3833" s="1706"/>
    </row>
    <row r="3834" spans="1:28" ht="12.75" hidden="1">
      <c r="A3834" s="2114"/>
      <c r="B3834" s="568"/>
      <c r="C3834" s="568"/>
      <c r="D3834" s="568"/>
      <c r="E3834" s="188"/>
      <c r="F3834" s="188"/>
      <c r="G3834" s="2122"/>
      <c r="H3834" s="568"/>
      <c r="I3834" s="2118"/>
      <c r="J3834" s="2126" t="s">
        <v>718</v>
      </c>
      <c r="K3834" s="2124">
        <f>SUM(K3832:K3833)</f>
        <v>239.61</v>
      </c>
      <c r="L3834" s="192" t="s">
        <v>730</v>
      </c>
      <c r="M3834" s="568"/>
      <c r="O3834" s="1991">
        <f>K3834-O3829</f>
        <v>82.640000000000043</v>
      </c>
      <c r="P3834" s="1706" t="s">
        <v>26</v>
      </c>
    </row>
    <row r="3835" spans="1:28" ht="12.75" hidden="1">
      <c r="A3835" s="2114" t="str">
        <f>A686</f>
        <v>(iii)</v>
      </c>
      <c r="B3835" s="192" t="str">
        <f>B686</f>
        <v>2nd Floor</v>
      </c>
      <c r="C3835" s="568"/>
      <c r="D3835" s="568"/>
      <c r="E3835" s="2120" t="str">
        <f>G738</f>
        <v>Each Sqm</v>
      </c>
      <c r="F3835" s="2120"/>
      <c r="G3835" s="2122"/>
      <c r="H3835" s="568"/>
      <c r="I3835" s="2118"/>
      <c r="J3835" s="2123"/>
      <c r="K3835" s="2123"/>
      <c r="L3835" s="192"/>
      <c r="M3835" s="568"/>
    </row>
    <row r="3836" spans="1:28" ht="12.75" hidden="1">
      <c r="A3836" s="2114"/>
      <c r="B3836" s="568" t="s">
        <v>3623</v>
      </c>
      <c r="C3836" s="568"/>
      <c r="D3836" s="568"/>
      <c r="E3836" s="188"/>
      <c r="F3836" s="188"/>
      <c r="G3836" s="2122"/>
      <c r="H3836" s="568"/>
      <c r="I3836" s="2118"/>
      <c r="J3836" s="2123"/>
      <c r="K3836" s="2123">
        <f>K3832</f>
        <v>237.24</v>
      </c>
      <c r="L3836" s="192"/>
      <c r="M3836" s="568"/>
    </row>
    <row r="3837" spans="1:28" ht="12.75" hidden="1">
      <c r="A3837" s="2114"/>
      <c r="B3837" s="568" t="s">
        <v>948</v>
      </c>
      <c r="C3837" s="568"/>
      <c r="D3837" s="568"/>
      <c r="E3837" s="188"/>
      <c r="F3837" s="188"/>
      <c r="G3837" s="2122"/>
      <c r="H3837" s="2125">
        <v>0.03</v>
      </c>
      <c r="I3837" s="2134">
        <f>I3829+K3829</f>
        <v>156.96999999999997</v>
      </c>
      <c r="J3837" s="2124"/>
      <c r="K3837" s="2123">
        <f>ROUND(I3837*H3837,2)</f>
        <v>4.71</v>
      </c>
      <c r="L3837" s="192"/>
      <c r="M3837" s="568"/>
      <c r="O3837" s="1991">
        <f>O3829+K3837</f>
        <v>161.67999999999998</v>
      </c>
      <c r="P3837" s="1706" t="s">
        <v>3149</v>
      </c>
    </row>
    <row r="3838" spans="1:28" ht="12.75" hidden="1">
      <c r="A3838" s="2114"/>
      <c r="B3838" s="192" t="s">
        <v>3662</v>
      </c>
      <c r="C3838" s="568"/>
      <c r="D3838" s="568"/>
      <c r="E3838" s="188"/>
      <c r="F3838" s="188"/>
      <c r="G3838" s="2122"/>
      <c r="H3838" s="2135">
        <f>H3830</f>
        <v>7.4999999999999997E-2</v>
      </c>
      <c r="I3838" s="2134">
        <f>K3837</f>
        <v>4.71</v>
      </c>
      <c r="J3838" s="2134"/>
      <c r="K3838" s="2123">
        <f>ROUND(I3838*H3838,2)</f>
        <v>0.35</v>
      </c>
      <c r="L3838" s="192"/>
      <c r="M3838" s="568"/>
      <c r="O3838" s="1991"/>
      <c r="P3838" s="1706"/>
    </row>
    <row r="3839" spans="1:28" ht="12.75" hidden="1">
      <c r="A3839" s="2114"/>
      <c r="B3839" s="192" t="s">
        <v>3661</v>
      </c>
      <c r="C3839" s="568"/>
      <c r="D3839" s="568"/>
      <c r="E3839" s="188"/>
      <c r="F3839" s="188"/>
      <c r="G3839" s="2122"/>
      <c r="H3839" s="2135">
        <f>H3838</f>
        <v>7.4999999999999997E-2</v>
      </c>
      <c r="I3839" s="2134">
        <f>I3838</f>
        <v>4.71</v>
      </c>
      <c r="J3839" s="2134"/>
      <c r="K3839" s="2140">
        <f>ROUND(I3839*H3839,2)</f>
        <v>0.35</v>
      </c>
      <c r="L3839" s="192"/>
      <c r="M3839" s="568"/>
      <c r="O3839" s="1991"/>
      <c r="P3839" s="1706"/>
    </row>
    <row r="3840" spans="1:28" ht="12.75" hidden="1">
      <c r="A3840" s="2114"/>
      <c r="B3840" s="568"/>
      <c r="C3840" s="568"/>
      <c r="D3840" s="568"/>
      <c r="E3840" s="188"/>
      <c r="F3840" s="188"/>
      <c r="G3840" s="2122"/>
      <c r="H3840" s="568"/>
      <c r="I3840" s="2118"/>
      <c r="J3840" s="2123"/>
      <c r="K3840" s="2123">
        <f>SUM(K3836:K3839)</f>
        <v>242.65</v>
      </c>
      <c r="L3840" s="192"/>
      <c r="M3840" s="568"/>
      <c r="O3840" s="1991"/>
      <c r="P3840" s="1706"/>
    </row>
    <row r="3841" spans="1:28" ht="12.75" hidden="1">
      <c r="A3841" s="2114"/>
      <c r="B3841" s="192" t="s">
        <v>3738</v>
      </c>
      <c r="C3841" s="2142">
        <v>0.01</v>
      </c>
      <c r="D3841" s="568"/>
      <c r="E3841" s="188"/>
      <c r="F3841" s="188"/>
      <c r="G3841" s="2122"/>
      <c r="H3841" s="568"/>
      <c r="I3841" s="2118"/>
      <c r="J3841" s="2123"/>
      <c r="K3841" s="2140">
        <f>ROUND(K3840*C3841,2)</f>
        <v>2.4300000000000002</v>
      </c>
      <c r="L3841" s="192"/>
      <c r="M3841" s="568"/>
      <c r="O3841" s="1991"/>
      <c r="P3841" s="1706"/>
    </row>
    <row r="3842" spans="1:28" ht="12.75" hidden="1">
      <c r="A3842" s="2114"/>
      <c r="B3842" s="568"/>
      <c r="C3842" s="568"/>
      <c r="D3842" s="568"/>
      <c r="E3842" s="188"/>
      <c r="F3842" s="188"/>
      <c r="G3842" s="2122"/>
      <c r="H3842" s="568"/>
      <c r="I3842" s="2118"/>
      <c r="J3842" s="2126" t="s">
        <v>718</v>
      </c>
      <c r="K3842" s="2124">
        <f>SUM(K3840:K3841)</f>
        <v>245.08</v>
      </c>
      <c r="L3842" s="192" t="s">
        <v>730</v>
      </c>
      <c r="M3842" s="568"/>
      <c r="O3842" s="1991">
        <f>K3842-O3837</f>
        <v>83.400000000000034</v>
      </c>
      <c r="P3842" s="1706" t="s">
        <v>26</v>
      </c>
    </row>
    <row r="3843" spans="1:28" ht="12.75" hidden="1">
      <c r="A3843" s="2114" t="str">
        <f>A687</f>
        <v>(iv)</v>
      </c>
      <c r="B3843" s="192" t="str">
        <f>B687</f>
        <v>3rd Floor</v>
      </c>
      <c r="C3843" s="568"/>
      <c r="D3843" s="568"/>
      <c r="E3843" s="2120" t="str">
        <f>G742</f>
        <v>Each Sqm</v>
      </c>
      <c r="F3843" s="2120"/>
      <c r="G3843" s="2122"/>
      <c r="H3843" s="568"/>
      <c r="I3843" s="2118"/>
      <c r="J3843" s="2123"/>
      <c r="K3843" s="2123"/>
      <c r="L3843" s="192"/>
      <c r="M3843" s="568"/>
    </row>
    <row r="3844" spans="1:28" ht="12.75" hidden="1">
      <c r="A3844" s="2114"/>
      <c r="B3844" s="568" t="s">
        <v>3623</v>
      </c>
      <c r="C3844" s="568"/>
      <c r="D3844" s="568"/>
      <c r="E3844" s="188"/>
      <c r="F3844" s="188"/>
      <c r="G3844" s="2122"/>
      <c r="H3844" s="568"/>
      <c r="I3844" s="2118"/>
      <c r="J3844" s="2123"/>
      <c r="K3844" s="2123">
        <f>K3842</f>
        <v>245.08</v>
      </c>
      <c r="L3844" s="192"/>
      <c r="M3844" s="568"/>
    </row>
    <row r="3845" spans="1:28" ht="12.75" hidden="1">
      <c r="A3845" s="2114"/>
      <c r="B3845" s="568" t="s">
        <v>948</v>
      </c>
      <c r="C3845" s="568"/>
      <c r="D3845" s="568"/>
      <c r="E3845" s="188"/>
      <c r="F3845" s="188"/>
      <c r="G3845" s="2122"/>
      <c r="H3845" s="2125">
        <v>0.03</v>
      </c>
      <c r="I3845" s="2134">
        <f>I3837+K3837</f>
        <v>161.67999999999998</v>
      </c>
      <c r="J3845" s="2124"/>
      <c r="K3845" s="2123">
        <f>ROUND(I3845*H3845,2)</f>
        <v>4.8499999999999996</v>
      </c>
      <c r="L3845" s="192"/>
      <c r="M3845" s="568"/>
      <c r="O3845" s="1991">
        <f>O3837+K3845</f>
        <v>166.52999999999997</v>
      </c>
      <c r="P3845" s="1706" t="s">
        <v>3149</v>
      </c>
    </row>
    <row r="3846" spans="1:28" ht="12.75" hidden="1">
      <c r="A3846" s="2114"/>
      <c r="B3846" s="192" t="s">
        <v>3662</v>
      </c>
      <c r="C3846" s="568"/>
      <c r="D3846" s="568"/>
      <c r="E3846" s="188"/>
      <c r="F3846" s="188"/>
      <c r="G3846" s="2122"/>
      <c r="H3846" s="2135">
        <f>H3838</f>
        <v>7.4999999999999997E-2</v>
      </c>
      <c r="I3846" s="2134">
        <f>K3845</f>
        <v>4.8499999999999996</v>
      </c>
      <c r="J3846" s="2134"/>
      <c r="K3846" s="2123">
        <f>ROUND(I3846*H3846,2)</f>
        <v>0.36</v>
      </c>
      <c r="L3846" s="192"/>
      <c r="M3846" s="568"/>
      <c r="O3846" s="1991"/>
      <c r="P3846" s="1706"/>
    </row>
    <row r="3847" spans="1:28" ht="12.75" hidden="1">
      <c r="A3847" s="2114"/>
      <c r="B3847" s="192" t="s">
        <v>3661</v>
      </c>
      <c r="C3847" s="568"/>
      <c r="D3847" s="568"/>
      <c r="E3847" s="188"/>
      <c r="F3847" s="188"/>
      <c r="G3847" s="2122"/>
      <c r="H3847" s="2135">
        <f>H3846</f>
        <v>7.4999999999999997E-2</v>
      </c>
      <c r="I3847" s="2134">
        <f>I3846</f>
        <v>4.8499999999999996</v>
      </c>
      <c r="J3847" s="2134"/>
      <c r="K3847" s="2140">
        <f>ROUND(I3847*H3847,2)</f>
        <v>0.36</v>
      </c>
      <c r="L3847" s="192"/>
      <c r="M3847" s="568"/>
      <c r="O3847" s="1991"/>
      <c r="P3847" s="1706"/>
    </row>
    <row r="3848" spans="1:28" ht="12.75" hidden="1">
      <c r="A3848" s="2114"/>
      <c r="B3848" s="568"/>
      <c r="C3848" s="568"/>
      <c r="D3848" s="568"/>
      <c r="E3848" s="188"/>
      <c r="F3848" s="188"/>
      <c r="G3848" s="2122"/>
      <c r="H3848" s="568"/>
      <c r="I3848" s="2118"/>
      <c r="J3848" s="2123"/>
      <c r="K3848" s="2123">
        <f>SUM(K3844:K3847)</f>
        <v>250.65000000000003</v>
      </c>
      <c r="L3848" s="192"/>
      <c r="M3848" s="568"/>
      <c r="O3848" s="1991"/>
      <c r="P3848" s="1706"/>
    </row>
    <row r="3849" spans="1:28" ht="12.75" hidden="1">
      <c r="A3849" s="2114"/>
      <c r="B3849" s="192" t="s">
        <v>3738</v>
      </c>
      <c r="C3849" s="2142">
        <v>0.01</v>
      </c>
      <c r="D3849" s="568"/>
      <c r="E3849" s="188"/>
      <c r="F3849" s="188"/>
      <c r="G3849" s="2122"/>
      <c r="H3849" s="568"/>
      <c r="I3849" s="2118"/>
      <c r="J3849" s="2123"/>
      <c r="K3849" s="2140">
        <f>ROUND(K3848*C3849,2)</f>
        <v>2.5099999999999998</v>
      </c>
      <c r="L3849" s="192"/>
      <c r="M3849" s="568"/>
      <c r="O3849" s="1991"/>
      <c r="P3849" s="1706"/>
    </row>
    <row r="3850" spans="1:28" ht="12.75" hidden="1">
      <c r="A3850" s="2114"/>
      <c r="B3850" s="568"/>
      <c r="C3850" s="568"/>
      <c r="D3850" s="568"/>
      <c r="E3850" s="188"/>
      <c r="F3850" s="188"/>
      <c r="G3850" s="2122"/>
      <c r="H3850" s="568"/>
      <c r="I3850" s="2118"/>
      <c r="J3850" s="2126" t="s">
        <v>718</v>
      </c>
      <c r="K3850" s="2124">
        <f>SUM(K3848:K3849)</f>
        <v>253.16000000000003</v>
      </c>
      <c r="L3850" s="192" t="s">
        <v>730</v>
      </c>
      <c r="M3850" s="568"/>
      <c r="O3850" s="1991">
        <f>K3850-O3845</f>
        <v>86.630000000000052</v>
      </c>
      <c r="P3850" s="1706" t="s">
        <v>26</v>
      </c>
    </row>
    <row r="3851" spans="1:28" s="1706" customFormat="1" ht="29.25" hidden="1" customHeight="1">
      <c r="A3851" s="2114">
        <f>A688</f>
        <v>64</v>
      </c>
      <c r="B3851" s="3017" t="str">
        <f>B688</f>
        <v>Closed deep chipping and cleaning to R.C.C surface for receiving cement plaster per 1</v>
      </c>
      <c r="C3851" s="3017"/>
      <c r="D3851" s="3017"/>
      <c r="E3851" s="2116" t="str">
        <f>G769</f>
        <v>Each Sqm</v>
      </c>
      <c r="F3851" s="2116"/>
      <c r="G3851" s="2122"/>
      <c r="H3851" s="568"/>
      <c r="I3851" s="2118"/>
      <c r="J3851" s="2124"/>
      <c r="K3851" s="2124"/>
      <c r="L3851" s="192"/>
      <c r="M3851" s="568"/>
      <c r="N3851" s="1705"/>
      <c r="O3851" s="1705"/>
      <c r="P3851" s="1705"/>
      <c r="Q3851" s="1705"/>
      <c r="R3851" s="1705"/>
      <c r="S3851" s="1705"/>
      <c r="U3851" s="1705"/>
      <c r="V3851" s="1705"/>
      <c r="W3851" s="1705"/>
      <c r="X3851" s="1705"/>
      <c r="Y3851" s="1705"/>
      <c r="Z3851" s="1705"/>
      <c r="AA3851" s="1705"/>
      <c r="AB3851" s="1705"/>
    </row>
    <row r="3852" spans="1:28" s="1706" customFormat="1" ht="12.75" hidden="1">
      <c r="A3852" s="2114"/>
      <c r="B3852" s="192" t="s">
        <v>964</v>
      </c>
      <c r="C3852" s="568"/>
      <c r="D3852" s="568"/>
      <c r="E3852" s="188"/>
      <c r="F3852" s="188"/>
      <c r="G3852" s="2122"/>
      <c r="H3852" s="568"/>
      <c r="I3852" s="2118"/>
      <c r="J3852" s="2123"/>
      <c r="K3852" s="2123"/>
      <c r="L3852" s="192"/>
      <c r="M3852" s="568"/>
      <c r="N3852" s="1705"/>
      <c r="O3852" s="1705"/>
      <c r="P3852" s="1705"/>
      <c r="Q3852" s="1705"/>
      <c r="R3852" s="1705"/>
      <c r="S3852" s="1705"/>
      <c r="U3852" s="1705"/>
      <c r="V3852" s="1705"/>
      <c r="W3852" s="1705"/>
      <c r="X3852" s="1705"/>
      <c r="Y3852" s="1705"/>
      <c r="Z3852" s="1705"/>
      <c r="AA3852" s="1705"/>
      <c r="AB3852" s="1705"/>
    </row>
    <row r="3853" spans="1:28" s="1706" customFormat="1" ht="12.75" hidden="1">
      <c r="A3853" s="2114" t="str">
        <f>A3806</f>
        <v>(i)</v>
      </c>
      <c r="B3853" s="192" t="str">
        <f>B3806</f>
        <v>Ground Floor</v>
      </c>
      <c r="C3853" s="568"/>
      <c r="D3853" s="568"/>
      <c r="E3853" s="188"/>
      <c r="F3853" s="188"/>
      <c r="G3853" s="2122"/>
      <c r="H3853" s="568"/>
      <c r="I3853" s="2118"/>
      <c r="J3853" s="2123"/>
      <c r="K3853" s="2123"/>
      <c r="L3853" s="192"/>
      <c r="M3853" s="568"/>
      <c r="N3853" s="1705"/>
      <c r="O3853" s="1705"/>
      <c r="P3853" s="1705"/>
      <c r="Q3853" s="1705"/>
      <c r="R3853" s="1705"/>
      <c r="S3853" s="1705"/>
      <c r="U3853" s="1705"/>
      <c r="V3853" s="1705"/>
      <c r="W3853" s="1705"/>
      <c r="X3853" s="1705"/>
      <c r="Y3853" s="1705"/>
      <c r="Z3853" s="1705"/>
      <c r="AA3853" s="1705"/>
      <c r="AB3853" s="1705"/>
    </row>
    <row r="3854" spans="1:28" s="1706" customFormat="1" ht="12.75" hidden="1">
      <c r="A3854" s="2114"/>
      <c r="B3854" s="192" t="s">
        <v>965</v>
      </c>
      <c r="C3854" s="568"/>
      <c r="D3854" s="568"/>
      <c r="E3854" s="188"/>
      <c r="F3854" s="188"/>
      <c r="G3854" s="2122"/>
      <c r="H3854" s="568"/>
      <c r="I3854" s="2118"/>
      <c r="J3854" s="2123"/>
      <c r="K3854" s="2123"/>
      <c r="L3854" s="192"/>
      <c r="M3854" s="568"/>
      <c r="N3854" s="1705"/>
      <c r="O3854" s="1705"/>
      <c r="P3854" s="1705"/>
      <c r="Q3854" s="1705"/>
      <c r="R3854" s="1705"/>
      <c r="S3854" s="1705"/>
      <c r="U3854" s="1705"/>
      <c r="V3854" s="1705"/>
      <c r="W3854" s="1705"/>
      <c r="X3854" s="1705"/>
      <c r="Y3854" s="1705"/>
      <c r="Z3854" s="1705"/>
      <c r="AA3854" s="1705"/>
      <c r="AB3854" s="1705"/>
    </row>
    <row r="3855" spans="1:28" s="1706" customFormat="1" ht="12.75" hidden="1">
      <c r="A3855" s="2114"/>
      <c r="B3855" s="568" t="s">
        <v>717</v>
      </c>
      <c r="C3855" s="568"/>
      <c r="D3855" s="568"/>
      <c r="E3855" s="188"/>
      <c r="F3855" s="188"/>
      <c r="G3855" s="2122">
        <v>0.5</v>
      </c>
      <c r="H3855" s="568" t="s">
        <v>262</v>
      </c>
      <c r="I3855" s="2118" t="s">
        <v>38</v>
      </c>
      <c r="J3855" s="2123">
        <f>L134</f>
        <v>345</v>
      </c>
      <c r="K3855" s="2123">
        <f>ROUND(G3855*J3855,2)</f>
        <v>172.5</v>
      </c>
      <c r="L3855" s="192"/>
      <c r="M3855" s="568"/>
      <c r="N3855" s="1705"/>
      <c r="O3855" s="1705"/>
      <c r="P3855" s="1705"/>
      <c r="Q3855" s="1705"/>
      <c r="R3855" s="1705"/>
      <c r="S3855" s="1705"/>
      <c r="U3855" s="1705"/>
      <c r="V3855" s="1705"/>
      <c r="W3855" s="1705"/>
      <c r="X3855" s="1705"/>
      <c r="Y3855" s="1705"/>
      <c r="Z3855" s="1705"/>
      <c r="AA3855" s="1705"/>
      <c r="AB3855" s="1705"/>
    </row>
    <row r="3856" spans="1:28" s="1706" customFormat="1" ht="12.75" hidden="1">
      <c r="A3856" s="2114"/>
      <c r="B3856" s="568"/>
      <c r="C3856" s="568"/>
      <c r="D3856" s="568"/>
      <c r="E3856" s="188"/>
      <c r="F3856" s="188"/>
      <c r="G3856" s="2122"/>
      <c r="H3856" s="568"/>
      <c r="I3856" s="2118"/>
      <c r="J3856" s="2134" t="s">
        <v>718</v>
      </c>
      <c r="K3856" s="2123">
        <f>SUM(K3855:K3855)</f>
        <v>172.5</v>
      </c>
      <c r="L3856" s="192"/>
      <c r="M3856" s="568"/>
      <c r="N3856" s="1705"/>
      <c r="O3856" s="1705"/>
      <c r="P3856" s="1705"/>
      <c r="Q3856" s="1705"/>
      <c r="R3856" s="1705"/>
      <c r="S3856" s="1705"/>
      <c r="U3856" s="1705"/>
      <c r="V3856" s="1705"/>
      <c r="W3856" s="1705"/>
      <c r="X3856" s="1705"/>
      <c r="Y3856" s="1705"/>
      <c r="Z3856" s="1705"/>
      <c r="AA3856" s="1705"/>
      <c r="AB3856" s="1705"/>
    </row>
    <row r="3857" spans="1:28" s="1706" customFormat="1" ht="12.75" hidden="1">
      <c r="A3857" s="2114"/>
      <c r="B3857" s="192" t="s">
        <v>966</v>
      </c>
      <c r="C3857" s="568"/>
      <c r="D3857" s="568"/>
      <c r="E3857" s="188"/>
      <c r="F3857" s="188"/>
      <c r="G3857" s="2122"/>
      <c r="H3857" s="568"/>
      <c r="I3857" s="2118"/>
      <c r="J3857" s="2123"/>
      <c r="K3857" s="2123">
        <f>ROUND(K3856*2%,2)</f>
        <v>3.45</v>
      </c>
      <c r="L3857" s="192"/>
      <c r="M3857" s="568"/>
      <c r="N3857" s="1705"/>
      <c r="O3857" s="1705"/>
      <c r="P3857" s="1705"/>
      <c r="Q3857" s="1705"/>
      <c r="R3857" s="1705"/>
      <c r="S3857" s="1705"/>
      <c r="U3857" s="1705"/>
      <c r="V3857" s="1705"/>
      <c r="W3857" s="1705"/>
      <c r="X3857" s="1705"/>
      <c r="Y3857" s="1705"/>
      <c r="Z3857" s="1705"/>
      <c r="AA3857" s="1705"/>
      <c r="AB3857" s="1705"/>
    </row>
    <row r="3858" spans="1:28" ht="12.75" hidden="1">
      <c r="A3858" s="2114"/>
      <c r="B3858" s="568" t="s">
        <v>967</v>
      </c>
      <c r="C3858" s="568"/>
      <c r="D3858" s="568"/>
      <c r="E3858" s="188"/>
      <c r="F3858" s="188"/>
      <c r="G3858" s="2122"/>
      <c r="H3858" s="568"/>
      <c r="I3858" s="2118"/>
      <c r="J3858" s="2126" t="s">
        <v>718</v>
      </c>
      <c r="K3858" s="2124">
        <f>SUM(K3856:K3857)</f>
        <v>175.95</v>
      </c>
      <c r="L3858" s="192" t="s">
        <v>730</v>
      </c>
      <c r="M3858" s="568"/>
      <c r="O3858" s="1991">
        <f>K3859</f>
        <v>17.594999999999999</v>
      </c>
      <c r="P3858" s="1706" t="s">
        <v>3149</v>
      </c>
    </row>
    <row r="3859" spans="1:28" ht="12.75" hidden="1">
      <c r="A3859" s="2114"/>
      <c r="B3859" s="568" t="s">
        <v>968</v>
      </c>
      <c r="C3859" s="568"/>
      <c r="D3859" s="568"/>
      <c r="E3859" s="188"/>
      <c r="F3859" s="188"/>
      <c r="G3859" s="2122"/>
      <c r="H3859" s="568"/>
      <c r="I3859" s="2118"/>
      <c r="J3859" s="2126"/>
      <c r="K3859" s="2124">
        <f>K3858/10</f>
        <v>17.594999999999999</v>
      </c>
      <c r="L3859" s="192" t="s">
        <v>730</v>
      </c>
      <c r="M3859" s="568"/>
      <c r="O3859" s="1991">
        <f>K3859-O3858</f>
        <v>0</v>
      </c>
      <c r="P3859" s="1706" t="s">
        <v>26</v>
      </c>
    </row>
    <row r="3860" spans="1:28" ht="12.75" hidden="1">
      <c r="A3860" s="2114" t="str">
        <f>A690</f>
        <v>(ii)</v>
      </c>
      <c r="B3860" s="192" t="str">
        <f>B690</f>
        <v>First Floor</v>
      </c>
      <c r="C3860" s="568"/>
      <c r="D3860" s="568"/>
      <c r="E3860" s="2120" t="str">
        <f>G773</f>
        <v>Each Sqm</v>
      </c>
      <c r="F3860" s="2120"/>
      <c r="G3860" s="2122"/>
      <c r="H3860" s="568"/>
      <c r="I3860" s="2118"/>
      <c r="J3860" s="2123"/>
      <c r="K3860" s="2123"/>
      <c r="L3860" s="192"/>
      <c r="M3860" s="568"/>
    </row>
    <row r="3861" spans="1:28" ht="12.75" hidden="1">
      <c r="A3861" s="2114"/>
      <c r="B3861" s="568" t="s">
        <v>722</v>
      </c>
      <c r="C3861" s="568"/>
      <c r="D3861" s="568"/>
      <c r="E3861" s="188"/>
      <c r="F3861" s="188"/>
      <c r="G3861" s="2122"/>
      <c r="H3861" s="568"/>
      <c r="I3861" s="2118"/>
      <c r="J3861" s="2123"/>
      <c r="K3861" s="2123">
        <f>K3859</f>
        <v>17.594999999999999</v>
      </c>
      <c r="L3861" s="192"/>
      <c r="M3861" s="568"/>
    </row>
    <row r="3862" spans="1:28" ht="12.75" hidden="1">
      <c r="A3862" s="2114"/>
      <c r="B3862" s="568" t="s">
        <v>948</v>
      </c>
      <c r="C3862" s="568"/>
      <c r="D3862" s="568"/>
      <c r="E3862" s="188"/>
      <c r="F3862" s="188"/>
      <c r="G3862" s="2122"/>
      <c r="H3862" s="568"/>
      <c r="I3862" s="2118"/>
      <c r="J3862" s="2123"/>
      <c r="K3862" s="2123">
        <f>ROUND(K3856*3%,2)</f>
        <v>5.18</v>
      </c>
      <c r="L3862" s="192"/>
      <c r="M3862" s="568"/>
      <c r="O3862" s="1991">
        <f>O3858+K3862</f>
        <v>22.774999999999999</v>
      </c>
      <c r="P3862" s="1706" t="s">
        <v>3149</v>
      </c>
    </row>
    <row r="3863" spans="1:28" ht="12.75" hidden="1">
      <c r="A3863" s="2114"/>
      <c r="B3863" s="568"/>
      <c r="C3863" s="568"/>
      <c r="D3863" s="568"/>
      <c r="E3863" s="188"/>
      <c r="F3863" s="188"/>
      <c r="G3863" s="2122"/>
      <c r="H3863" s="568"/>
      <c r="I3863" s="2118"/>
      <c r="J3863" s="2126" t="s">
        <v>718</v>
      </c>
      <c r="K3863" s="2124">
        <f>SUM(K3861:K3862)</f>
        <v>22.774999999999999</v>
      </c>
      <c r="L3863" s="192" t="s">
        <v>730</v>
      </c>
      <c r="M3863" s="568"/>
      <c r="O3863" s="1991">
        <f>K3863-O3862</f>
        <v>0</v>
      </c>
      <c r="P3863" s="1706" t="s">
        <v>26</v>
      </c>
    </row>
    <row r="3864" spans="1:28" ht="12.75" hidden="1">
      <c r="A3864" s="2114" t="str">
        <f>A691</f>
        <v>(iii)</v>
      </c>
      <c r="B3864" s="192" t="str">
        <f>B691</f>
        <v>2nd Floor</v>
      </c>
      <c r="C3864" s="568"/>
      <c r="D3864" s="568"/>
      <c r="E3864" s="2120" t="str">
        <f>G778</f>
        <v>Each Sqm</v>
      </c>
      <c r="F3864" s="2120"/>
      <c r="G3864" s="2122"/>
      <c r="H3864" s="568"/>
      <c r="I3864" s="2118"/>
      <c r="J3864" s="2123"/>
      <c r="K3864" s="2123"/>
      <c r="L3864" s="192"/>
      <c r="M3864" s="568"/>
    </row>
    <row r="3865" spans="1:28" ht="12.75" hidden="1">
      <c r="A3865" s="2114"/>
      <c r="B3865" s="568" t="s">
        <v>722</v>
      </c>
      <c r="C3865" s="568"/>
      <c r="D3865" s="568"/>
      <c r="E3865" s="188"/>
      <c r="F3865" s="188"/>
      <c r="G3865" s="2122"/>
      <c r="H3865" s="568"/>
      <c r="I3865" s="2118"/>
      <c r="J3865" s="2123"/>
      <c r="K3865" s="2123">
        <f>K3863</f>
        <v>22.774999999999999</v>
      </c>
      <c r="L3865" s="192"/>
      <c r="M3865" s="568"/>
    </row>
    <row r="3866" spans="1:28" ht="12.75" hidden="1">
      <c r="A3866" s="2114"/>
      <c r="B3866" s="568" t="s">
        <v>948</v>
      </c>
      <c r="C3866" s="568"/>
      <c r="D3866" s="568"/>
      <c r="E3866" s="188"/>
      <c r="F3866" s="188"/>
      <c r="G3866" s="2122"/>
      <c r="H3866" s="568"/>
      <c r="I3866" s="2118"/>
      <c r="J3866" s="2123"/>
      <c r="K3866" s="2123">
        <f>ROUND(K3862+K3862*3%,2)</f>
        <v>5.34</v>
      </c>
      <c r="L3866" s="192"/>
      <c r="M3866" s="568"/>
      <c r="O3866" s="1991">
        <f>O3862+K3866</f>
        <v>28.114999999999998</v>
      </c>
      <c r="P3866" s="1706" t="s">
        <v>3149</v>
      </c>
    </row>
    <row r="3867" spans="1:28" ht="12.75" hidden="1">
      <c r="A3867" s="2114"/>
      <c r="B3867" s="568"/>
      <c r="C3867" s="568"/>
      <c r="D3867" s="568"/>
      <c r="E3867" s="188"/>
      <c r="F3867" s="188"/>
      <c r="G3867" s="2122"/>
      <c r="H3867" s="568"/>
      <c r="I3867" s="2118"/>
      <c r="J3867" s="2126" t="s">
        <v>718</v>
      </c>
      <c r="K3867" s="2124">
        <f>SUM(K3865:K3866)</f>
        <v>28.114999999999998</v>
      </c>
      <c r="L3867" s="192" t="s">
        <v>730</v>
      </c>
      <c r="M3867" s="568"/>
      <c r="O3867" s="1991">
        <f>K3867-O3866</f>
        <v>0</v>
      </c>
      <c r="P3867" s="1706" t="s">
        <v>26</v>
      </c>
    </row>
    <row r="3868" spans="1:28" ht="12.75" hidden="1">
      <c r="A3868" s="2114" t="str">
        <f>A692</f>
        <v>(iv)</v>
      </c>
      <c r="B3868" s="192" t="str">
        <f>B692</f>
        <v>3rd Floor</v>
      </c>
      <c r="C3868" s="568"/>
      <c r="D3868" s="568"/>
      <c r="E3868" s="2120" t="str">
        <f>G782</f>
        <v>Each Sqm</v>
      </c>
      <c r="F3868" s="2120"/>
      <c r="G3868" s="2122"/>
      <c r="H3868" s="568"/>
      <c r="I3868" s="2118"/>
      <c r="J3868" s="2123"/>
      <c r="K3868" s="2123"/>
      <c r="L3868" s="192"/>
      <c r="M3868" s="568"/>
    </row>
    <row r="3869" spans="1:28" ht="12.75" hidden="1">
      <c r="A3869" s="2114"/>
      <c r="B3869" s="568" t="s">
        <v>722</v>
      </c>
      <c r="C3869" s="568"/>
      <c r="D3869" s="568"/>
      <c r="E3869" s="188"/>
      <c r="F3869" s="188"/>
      <c r="G3869" s="2122"/>
      <c r="H3869" s="568"/>
      <c r="I3869" s="2118"/>
      <c r="J3869" s="2123"/>
      <c r="K3869" s="2123">
        <f>K3867</f>
        <v>28.114999999999998</v>
      </c>
      <c r="L3869" s="192"/>
      <c r="M3869" s="568"/>
    </row>
    <row r="3870" spans="1:28" ht="12.75" hidden="1">
      <c r="A3870" s="2114"/>
      <c r="B3870" s="568" t="s">
        <v>948</v>
      </c>
      <c r="C3870" s="568"/>
      <c r="D3870" s="568"/>
      <c r="E3870" s="188"/>
      <c r="F3870" s="188"/>
      <c r="G3870" s="2122"/>
      <c r="H3870" s="568"/>
      <c r="I3870" s="2118"/>
      <c r="J3870" s="2123"/>
      <c r="K3870" s="2123">
        <f>ROUND(K3866+K3866*3%,2)</f>
        <v>5.5</v>
      </c>
      <c r="L3870" s="192"/>
      <c r="M3870" s="568"/>
      <c r="O3870" s="1991">
        <f>O3866+K3870</f>
        <v>33.614999999999995</v>
      </c>
      <c r="P3870" s="1706" t="s">
        <v>3149</v>
      </c>
    </row>
    <row r="3871" spans="1:28" ht="12.75" hidden="1">
      <c r="A3871" s="2114"/>
      <c r="B3871" s="568"/>
      <c r="C3871" s="568"/>
      <c r="D3871" s="568"/>
      <c r="E3871" s="188"/>
      <c r="F3871" s="188"/>
      <c r="G3871" s="2122"/>
      <c r="H3871" s="568"/>
      <c r="I3871" s="2118"/>
      <c r="J3871" s="2126" t="s">
        <v>718</v>
      </c>
      <c r="K3871" s="2124">
        <f>SUM(K3869:K3870)</f>
        <v>33.614999999999995</v>
      </c>
      <c r="L3871" s="192" t="s">
        <v>730</v>
      </c>
      <c r="M3871" s="568"/>
      <c r="O3871" s="1991">
        <f>K3871-O3870</f>
        <v>0</v>
      </c>
      <c r="P3871" s="1706" t="s">
        <v>26</v>
      </c>
    </row>
    <row r="3872" spans="1:28" ht="31.9" hidden="1" customHeight="1">
      <c r="A3872" s="2114">
        <f>A693</f>
        <v>65</v>
      </c>
      <c r="B3872" s="3017" t="str">
        <f>B693</f>
        <v>Providing Cement Punning to the plastered surface of wall etc complete.</v>
      </c>
      <c r="C3872" s="3017"/>
      <c r="D3872" s="3017"/>
      <c r="E3872" s="659" t="str">
        <f>G737</f>
        <v>Each Sqm</v>
      </c>
      <c r="F3872" s="659"/>
      <c r="G3872" s="2122"/>
      <c r="H3872" s="568"/>
      <c r="I3872" s="2118"/>
      <c r="J3872" s="2124"/>
      <c r="K3872" s="2124"/>
      <c r="L3872" s="192"/>
      <c r="M3872" s="568"/>
    </row>
    <row r="3873" spans="1:16" ht="12.75" hidden="1">
      <c r="A3873" s="2114"/>
      <c r="B3873" s="568" t="s">
        <v>821</v>
      </c>
      <c r="C3873" s="568"/>
      <c r="D3873" s="568"/>
      <c r="E3873" s="188"/>
      <c r="F3873" s="188"/>
      <c r="G3873" s="2122"/>
      <c r="H3873" s="568"/>
      <c r="I3873" s="2118"/>
      <c r="J3873" s="2123"/>
      <c r="K3873" s="2123"/>
      <c r="L3873" s="192"/>
      <c r="M3873" s="568"/>
    </row>
    <row r="3874" spans="1:16" ht="12.75" hidden="1">
      <c r="A3874" s="2114"/>
      <c r="B3874" s="192" t="s">
        <v>822</v>
      </c>
      <c r="C3874" s="568"/>
      <c r="D3874" s="568"/>
      <c r="E3874" s="188"/>
      <c r="F3874" s="188"/>
      <c r="G3874" s="2122"/>
      <c r="H3874" s="568"/>
      <c r="I3874" s="2118"/>
      <c r="J3874" s="2123"/>
      <c r="K3874" s="2123"/>
      <c r="L3874" s="192"/>
      <c r="M3874" s="568"/>
    </row>
    <row r="3875" spans="1:16" ht="12.75" hidden="1">
      <c r="A3875" s="2114"/>
      <c r="B3875" s="568" t="s">
        <v>8</v>
      </c>
      <c r="C3875" s="568"/>
      <c r="D3875" s="568"/>
      <c r="E3875" s="188"/>
      <c r="F3875" s="188"/>
      <c r="G3875" s="2164">
        <v>1.14E-2</v>
      </c>
      <c r="H3875" s="568" t="s">
        <v>247</v>
      </c>
      <c r="I3875" s="2118" t="s">
        <v>247</v>
      </c>
      <c r="J3875" s="2123">
        <f>G50/10</f>
        <v>570.23400000000004</v>
      </c>
      <c r="K3875" s="2123">
        <f>ROUND(G3875*J3875,2)</f>
        <v>6.5</v>
      </c>
      <c r="L3875" s="192"/>
      <c r="M3875" s="568"/>
    </row>
    <row r="3876" spans="1:16" ht="12.75" hidden="1">
      <c r="A3876" s="2114"/>
      <c r="B3876" s="568"/>
      <c r="C3876" s="568"/>
      <c r="D3876" s="568"/>
      <c r="E3876" s="188"/>
      <c r="F3876" s="188"/>
      <c r="G3876" s="2122"/>
      <c r="H3876" s="568"/>
      <c r="I3876" s="2118"/>
      <c r="J3876" s="2126" t="s">
        <v>718</v>
      </c>
      <c r="K3876" s="2124">
        <f>SUM(K3875:K3875)</f>
        <v>6.5</v>
      </c>
      <c r="L3876" s="192"/>
      <c r="M3876" s="568"/>
    </row>
    <row r="3877" spans="1:16" ht="12.75" hidden="1">
      <c r="A3877" s="2114"/>
      <c r="B3877" s="192" t="s">
        <v>781</v>
      </c>
      <c r="C3877" s="568"/>
      <c r="D3877" s="568"/>
      <c r="E3877" s="188"/>
      <c r="F3877" s="188"/>
      <c r="G3877" s="2122"/>
      <c r="H3877" s="568"/>
      <c r="I3877" s="2118"/>
      <c r="J3877" s="2123"/>
      <c r="K3877" s="2123"/>
      <c r="L3877" s="192"/>
      <c r="M3877" s="568"/>
    </row>
    <row r="3878" spans="1:16" ht="12.75" hidden="1">
      <c r="A3878" s="2114"/>
      <c r="B3878" s="568" t="s">
        <v>969</v>
      </c>
      <c r="C3878" s="568"/>
      <c r="D3878" s="568"/>
      <c r="E3878" s="188"/>
      <c r="F3878" s="188"/>
      <c r="G3878" s="2122">
        <v>2.7E-2</v>
      </c>
      <c r="H3878" s="568" t="s">
        <v>262</v>
      </c>
      <c r="I3878" s="2118" t="s">
        <v>38</v>
      </c>
      <c r="J3878" s="2123">
        <f>L137</f>
        <v>495</v>
      </c>
      <c r="K3878" s="2123">
        <f>ROUND(G3878*J3878,2)</f>
        <v>13.37</v>
      </c>
      <c r="L3878" s="192"/>
      <c r="M3878" s="568"/>
    </row>
    <row r="3879" spans="1:16" ht="12.75" hidden="1">
      <c r="A3879" s="2114"/>
      <c r="B3879" s="568" t="s">
        <v>717</v>
      </c>
      <c r="C3879" s="568"/>
      <c r="D3879" s="568"/>
      <c r="E3879" s="188"/>
      <c r="F3879" s="188"/>
      <c r="G3879" s="2122">
        <v>2.7E-2</v>
      </c>
      <c r="H3879" s="568" t="s">
        <v>262</v>
      </c>
      <c r="I3879" s="2118" t="s">
        <v>38</v>
      </c>
      <c r="J3879" s="2123">
        <f>L134</f>
        <v>345</v>
      </c>
      <c r="K3879" s="2123">
        <f>ROUND(G3879*J3879,2)</f>
        <v>9.32</v>
      </c>
      <c r="L3879" s="192"/>
      <c r="M3879" s="568"/>
    </row>
    <row r="3880" spans="1:16" ht="12.75" hidden="1">
      <c r="A3880" s="2114"/>
      <c r="B3880" s="568"/>
      <c r="C3880" s="568"/>
      <c r="D3880" s="568"/>
      <c r="E3880" s="188"/>
      <c r="F3880" s="188"/>
      <c r="G3880" s="2122"/>
      <c r="H3880" s="568"/>
      <c r="I3880" s="2118"/>
      <c r="J3880" s="2126" t="s">
        <v>718</v>
      </c>
      <c r="K3880" s="2124">
        <f>SUM(K3878:K3879)</f>
        <v>22.689999999999998</v>
      </c>
      <c r="L3880" s="192"/>
      <c r="M3880" s="568"/>
    </row>
    <row r="3881" spans="1:16" ht="12.75" hidden="1">
      <c r="A3881" s="2114"/>
      <c r="B3881" s="192"/>
      <c r="C3881" s="568"/>
      <c r="D3881" s="568"/>
      <c r="E3881" s="188"/>
      <c r="F3881" s="188"/>
      <c r="G3881" s="2122"/>
      <c r="H3881" s="568"/>
      <c r="I3881" s="2118"/>
      <c r="J3881" s="2123"/>
      <c r="K3881" s="2123"/>
      <c r="L3881" s="192"/>
      <c r="M3881" s="568"/>
    </row>
    <row r="3882" spans="1:16" ht="12.75" hidden="1">
      <c r="A3882" s="2114"/>
      <c r="B3882" s="192" t="s">
        <v>783</v>
      </c>
      <c r="C3882" s="568"/>
      <c r="D3882" s="568"/>
      <c r="E3882" s="188"/>
      <c r="F3882" s="188"/>
      <c r="G3882" s="2122"/>
      <c r="H3882" s="568"/>
      <c r="I3882" s="2118"/>
      <c r="J3882" s="2123"/>
      <c r="K3882" s="2123"/>
      <c r="L3882" s="192"/>
      <c r="M3882" s="568"/>
    </row>
    <row r="3883" spans="1:16" ht="12.75" hidden="1">
      <c r="A3883" s="2114"/>
      <c r="B3883" s="568" t="s">
        <v>8</v>
      </c>
      <c r="C3883" s="568"/>
      <c r="D3883" s="568"/>
      <c r="E3883" s="188"/>
      <c r="F3883" s="188"/>
      <c r="G3883" s="2164">
        <f>G3875</f>
        <v>1.14E-2</v>
      </c>
      <c r="H3883" s="568" t="s">
        <v>247</v>
      </c>
      <c r="I3883" s="2118" t="s">
        <v>247</v>
      </c>
      <c r="J3883" s="2123">
        <f>J3776</f>
        <v>42.622</v>
      </c>
      <c r="K3883" s="2123">
        <f>ROUND(G3883*J3883,2)</f>
        <v>0.49</v>
      </c>
      <c r="L3883" s="192"/>
      <c r="M3883" s="568"/>
    </row>
    <row r="3884" spans="1:16" ht="12.75" hidden="1">
      <c r="A3884" s="2114"/>
      <c r="B3884" s="568"/>
      <c r="C3884" s="568"/>
      <c r="D3884" s="568"/>
      <c r="E3884" s="188"/>
      <c r="F3884" s="188"/>
      <c r="G3884" s="2122"/>
      <c r="H3884" s="568"/>
      <c r="I3884" s="2118"/>
      <c r="J3884" s="2126" t="s">
        <v>718</v>
      </c>
      <c r="K3884" s="2124">
        <f>SUM(K3883:K3883)</f>
        <v>0.49</v>
      </c>
      <c r="L3884" s="192"/>
      <c r="M3884" s="568"/>
      <c r="O3884" s="1991">
        <f>K3880</f>
        <v>22.689999999999998</v>
      </c>
      <c r="P3884" s="1706" t="s">
        <v>3149</v>
      </c>
    </row>
    <row r="3885" spans="1:16" ht="12.75" hidden="1">
      <c r="A3885" s="2114"/>
      <c r="B3885" s="568" t="s">
        <v>825</v>
      </c>
      <c r="C3885" s="568"/>
      <c r="D3885" s="568"/>
      <c r="E3885" s="188"/>
      <c r="F3885" s="188"/>
      <c r="G3885" s="2122"/>
      <c r="H3885" s="568"/>
      <c r="I3885" s="2118"/>
      <c r="J3885" s="2126" t="s">
        <v>718</v>
      </c>
      <c r="K3885" s="2124">
        <f>K3876+K3880+K3881+K3884</f>
        <v>29.679999999999996</v>
      </c>
      <c r="L3885" s="192" t="s">
        <v>730</v>
      </c>
      <c r="M3885" s="568"/>
      <c r="O3885" s="1991">
        <f>K3885-O3884</f>
        <v>6.9899999999999984</v>
      </c>
      <c r="P3885" s="1706" t="s">
        <v>26</v>
      </c>
    </row>
    <row r="3886" spans="1:16" ht="61.5" hidden="1" customHeight="1">
      <c r="A3886" s="2114">
        <f>A694</f>
        <v>66</v>
      </c>
      <c r="B3886" s="3017" t="str">
        <f>B694</f>
        <v xml:space="preserve">10cm  thick  dry  brick  khoa  using 4cm size including well watered  &amp; rammed to receive A.S. Flooring with cost, conveyance of  brick khoa and cost of labour etc. complete as per the direction of the Engineer-in-charge. </v>
      </c>
      <c r="C3886" s="3017"/>
      <c r="D3886" s="3017"/>
      <c r="E3886" s="2116" t="str">
        <f>G694</f>
        <v>Each Cum</v>
      </c>
      <c r="F3886" s="2116"/>
      <c r="G3886" s="568"/>
      <c r="H3886" s="2117"/>
      <c r="I3886" s="2118"/>
      <c r="J3886" s="2179"/>
      <c r="K3886" s="2124"/>
      <c r="L3886" s="2119"/>
      <c r="M3886" s="2118"/>
      <c r="N3886" s="1707"/>
      <c r="O3886" s="1707"/>
      <c r="P3886" s="1707"/>
    </row>
    <row r="3887" spans="1:16" ht="12.75" hidden="1">
      <c r="A3887" s="2114"/>
      <c r="B3887" s="192" t="s">
        <v>821</v>
      </c>
      <c r="C3887" s="568"/>
      <c r="D3887" s="568"/>
      <c r="E3887" s="188"/>
      <c r="F3887" s="188"/>
      <c r="G3887" s="2122"/>
      <c r="H3887" s="2117"/>
      <c r="I3887" s="2118"/>
      <c r="J3887" s="2123"/>
      <c r="K3887" s="2123"/>
      <c r="L3887" s="2119"/>
      <c r="M3887" s="2118"/>
      <c r="N3887" s="1707"/>
      <c r="O3887" s="1707"/>
      <c r="P3887" s="1707"/>
    </row>
    <row r="3888" spans="1:16" ht="12.75" hidden="1">
      <c r="A3888" s="2114"/>
      <c r="B3888" s="192" t="s">
        <v>822</v>
      </c>
      <c r="C3888" s="568"/>
      <c r="D3888" s="568"/>
      <c r="E3888" s="188"/>
      <c r="F3888" s="188"/>
      <c r="G3888" s="568"/>
      <c r="H3888" s="2117"/>
      <c r="I3888" s="2118"/>
      <c r="J3888" s="568"/>
      <c r="K3888" s="568"/>
      <c r="L3888" s="2119"/>
      <c r="M3888" s="2118"/>
      <c r="N3888" s="1707"/>
      <c r="O3888" s="1707"/>
      <c r="P3888" s="1707"/>
    </row>
    <row r="3889" spans="1:16" ht="12.75" hidden="1">
      <c r="A3889" s="2114"/>
      <c r="B3889" s="568" t="s">
        <v>82</v>
      </c>
      <c r="C3889" s="568"/>
      <c r="D3889" s="568"/>
      <c r="E3889" s="188"/>
      <c r="F3889" s="188"/>
      <c r="G3889" s="2122">
        <v>0.14000000000000001</v>
      </c>
      <c r="H3889" s="2117" t="s">
        <v>49</v>
      </c>
      <c r="I3889" s="2118" t="s">
        <v>49</v>
      </c>
      <c r="J3889" s="2123">
        <f>G44</f>
        <v>388.26</v>
      </c>
      <c r="K3889" s="2123">
        <f>ROUND(G3889*J3889,2)</f>
        <v>54.36</v>
      </c>
      <c r="L3889" s="2119"/>
      <c r="M3889" s="2118"/>
      <c r="N3889" s="1707"/>
      <c r="O3889" s="1707"/>
      <c r="P3889" s="1707"/>
    </row>
    <row r="3890" spans="1:16" ht="12.75" hidden="1">
      <c r="A3890" s="2114"/>
      <c r="B3890" s="568"/>
      <c r="C3890" s="568"/>
      <c r="D3890" s="568"/>
      <c r="E3890" s="188"/>
      <c r="F3890" s="188"/>
      <c r="G3890" s="2122"/>
      <c r="H3890" s="2117"/>
      <c r="I3890" s="2118"/>
      <c r="J3890" s="2126" t="s">
        <v>718</v>
      </c>
      <c r="K3890" s="2124">
        <f>SUM(K3889:K3889)</f>
        <v>54.36</v>
      </c>
      <c r="L3890" s="2119"/>
      <c r="M3890" s="2118"/>
      <c r="N3890" s="1707"/>
      <c r="O3890" s="1707"/>
      <c r="P3890" s="1707"/>
    </row>
    <row r="3891" spans="1:16" ht="12.75" hidden="1">
      <c r="A3891" s="2114"/>
      <c r="B3891" s="192" t="s">
        <v>781</v>
      </c>
      <c r="C3891" s="568"/>
      <c r="D3891" s="568"/>
      <c r="E3891" s="188"/>
      <c r="F3891" s="188"/>
      <c r="G3891" s="2122"/>
      <c r="H3891" s="2117"/>
      <c r="I3891" s="2118"/>
      <c r="J3891" s="2123"/>
      <c r="K3891" s="2123"/>
      <c r="L3891" s="2119"/>
      <c r="M3891" s="2118"/>
      <c r="N3891" s="1707"/>
      <c r="O3891" s="1707"/>
      <c r="P3891" s="1707"/>
    </row>
    <row r="3892" spans="1:16" ht="12.75" hidden="1">
      <c r="A3892" s="2114"/>
      <c r="B3892" s="568" t="s">
        <v>782</v>
      </c>
      <c r="C3892" s="568"/>
      <c r="D3892" s="568"/>
      <c r="E3892" s="188"/>
      <c r="F3892" s="188"/>
      <c r="G3892" s="2122">
        <v>0.05</v>
      </c>
      <c r="H3892" s="2117" t="s">
        <v>262</v>
      </c>
      <c r="I3892" s="2118" t="s">
        <v>38</v>
      </c>
      <c r="J3892" s="2123">
        <f>L136</f>
        <v>435</v>
      </c>
      <c r="K3892" s="2123">
        <f>ROUND(G3892*J3892,2)</f>
        <v>21.75</v>
      </c>
      <c r="L3892" s="2119"/>
      <c r="M3892" s="2118"/>
      <c r="N3892" s="1707"/>
      <c r="O3892" s="1707"/>
      <c r="P3892" s="1707"/>
    </row>
    <row r="3893" spans="1:16" ht="12.75" hidden="1">
      <c r="A3893" s="2114"/>
      <c r="B3893" s="568" t="s">
        <v>717</v>
      </c>
      <c r="C3893" s="568"/>
      <c r="D3893" s="568"/>
      <c r="E3893" s="188"/>
      <c r="F3893" s="188"/>
      <c r="G3893" s="2122">
        <v>0.28000000000000003</v>
      </c>
      <c r="H3893" s="2117" t="s">
        <v>262</v>
      </c>
      <c r="I3893" s="2118" t="s">
        <v>38</v>
      </c>
      <c r="J3893" s="2123">
        <f>L134</f>
        <v>345</v>
      </c>
      <c r="K3893" s="2123">
        <f>ROUND(G3893*J3893,2)</f>
        <v>96.6</v>
      </c>
      <c r="L3893" s="2119"/>
      <c r="M3893" s="2118"/>
      <c r="N3893" s="1707"/>
      <c r="O3893" s="1707"/>
      <c r="P3893" s="1707"/>
    </row>
    <row r="3894" spans="1:16" ht="12.75" hidden="1">
      <c r="A3894" s="2114"/>
      <c r="B3894" s="568"/>
      <c r="C3894" s="568"/>
      <c r="D3894" s="568"/>
      <c r="E3894" s="188"/>
      <c r="F3894" s="188"/>
      <c r="G3894" s="2122"/>
      <c r="H3894" s="2117"/>
      <c r="I3894" s="2118"/>
      <c r="J3894" s="2126" t="s">
        <v>718</v>
      </c>
      <c r="K3894" s="2124">
        <f>SUM(K3892:K3893)</f>
        <v>118.35</v>
      </c>
      <c r="L3894" s="2119"/>
      <c r="M3894" s="2118"/>
      <c r="N3894" s="1707"/>
      <c r="O3894" s="1707"/>
      <c r="P3894" s="1707"/>
    </row>
    <row r="3895" spans="1:16" ht="12.75" hidden="1">
      <c r="A3895" s="2114"/>
      <c r="B3895" s="192"/>
      <c r="C3895" s="568"/>
      <c r="D3895" s="568"/>
      <c r="E3895" s="188"/>
      <c r="F3895" s="188"/>
      <c r="G3895" s="2122"/>
      <c r="H3895" s="2117"/>
      <c r="I3895" s="2118"/>
      <c r="J3895" s="2123"/>
      <c r="K3895" s="2124"/>
      <c r="L3895" s="2119"/>
      <c r="M3895" s="2118"/>
      <c r="N3895" s="1707"/>
      <c r="O3895" s="1707"/>
      <c r="P3895" s="1707"/>
    </row>
    <row r="3896" spans="1:16" ht="12.75" hidden="1">
      <c r="A3896" s="2114"/>
      <c r="B3896" s="192" t="s">
        <v>783</v>
      </c>
      <c r="C3896" s="568"/>
      <c r="D3896" s="568"/>
      <c r="E3896" s="188"/>
      <c r="F3896" s="188"/>
      <c r="G3896" s="2122"/>
      <c r="H3896" s="2117"/>
      <c r="I3896" s="2118"/>
      <c r="J3896" s="2134"/>
      <c r="K3896" s="2123"/>
      <c r="L3896" s="2119"/>
      <c r="M3896" s="2118"/>
      <c r="N3896" s="1707"/>
      <c r="O3896" s="1707"/>
      <c r="P3896" s="1707"/>
    </row>
    <row r="3897" spans="1:16" ht="12.75" hidden="1">
      <c r="A3897" s="2114"/>
      <c r="B3897" s="568" t="str">
        <f>B3889</f>
        <v>K.B. Brick Khoa</v>
      </c>
      <c r="C3897" s="568"/>
      <c r="D3897" s="568"/>
      <c r="E3897" s="188"/>
      <c r="F3897" s="188"/>
      <c r="G3897" s="2122">
        <f>G3889</f>
        <v>0.14000000000000001</v>
      </c>
      <c r="H3897" s="2117" t="s">
        <v>49</v>
      </c>
      <c r="I3897" s="2118" t="s">
        <v>49</v>
      </c>
      <c r="J3897" s="2123">
        <f>K44</f>
        <v>341.11</v>
      </c>
      <c r="K3897" s="2123">
        <f>ROUND(G3897*J3897,2)</f>
        <v>47.76</v>
      </c>
      <c r="L3897" s="2119"/>
      <c r="M3897" s="2118"/>
      <c r="N3897" s="1707"/>
      <c r="O3897" s="1707"/>
      <c r="P3897" s="1707"/>
    </row>
    <row r="3898" spans="1:16" ht="12.75" hidden="1">
      <c r="A3898" s="2114"/>
      <c r="B3898" s="568"/>
      <c r="C3898" s="568"/>
      <c r="D3898" s="568"/>
      <c r="E3898" s="188"/>
      <c r="F3898" s="188"/>
      <c r="G3898" s="2122"/>
      <c r="H3898" s="2117"/>
      <c r="I3898" s="2118"/>
      <c r="J3898" s="2126" t="s">
        <v>718</v>
      </c>
      <c r="K3898" s="2124">
        <f>SUM(K3897:K3897)</f>
        <v>47.76</v>
      </c>
      <c r="L3898" s="2119"/>
      <c r="M3898" s="2118"/>
      <c r="N3898" s="1707"/>
      <c r="O3898" s="1991">
        <f>K3894</f>
        <v>118.35</v>
      </c>
      <c r="P3898" s="1706" t="s">
        <v>3149</v>
      </c>
    </row>
    <row r="3899" spans="1:16" ht="12.75" hidden="1">
      <c r="A3899" s="2114"/>
      <c r="B3899" s="192" t="s">
        <v>970</v>
      </c>
      <c r="C3899" s="568"/>
      <c r="D3899" s="568"/>
      <c r="E3899" s="188"/>
      <c r="F3899" s="188"/>
      <c r="G3899" s="2161"/>
      <c r="H3899" s="2117"/>
      <c r="I3899" s="2118"/>
      <c r="J3899" s="2126" t="s">
        <v>718</v>
      </c>
      <c r="K3899" s="2124">
        <f>K3890+K3894+K3895+K3898</f>
        <v>220.46999999999997</v>
      </c>
      <c r="L3899" s="2119" t="s">
        <v>730</v>
      </c>
      <c r="M3899" s="2118"/>
      <c r="N3899" s="1707"/>
      <c r="O3899" s="1991">
        <f>K3899-O3898</f>
        <v>102.11999999999998</v>
      </c>
      <c r="P3899" s="1706" t="s">
        <v>26</v>
      </c>
    </row>
    <row r="3900" spans="1:16" ht="70.900000000000006" hidden="1" customHeight="1">
      <c r="A3900" s="2114">
        <f>A695</f>
        <v>67</v>
      </c>
      <c r="B3900" s="3017" t="str">
        <f>B695</f>
        <v xml:space="preserve">10cm  thick  dry  epidorite metal or any other hard metal using 4cm size including well watered  &amp; rammed to receive A.S. Flooring with cost, conveyance of epidorite metal/any hard metal and cost of labour etc. complete as per the direction of the Engineer-in-charge. </v>
      </c>
      <c r="C3900" s="3017"/>
      <c r="D3900" s="3017"/>
      <c r="E3900" s="2116" t="str">
        <f>G718</f>
        <v>Each Sqm</v>
      </c>
      <c r="F3900" s="2116"/>
      <c r="G3900" s="568"/>
      <c r="H3900" s="2117"/>
      <c r="I3900" s="2118"/>
      <c r="J3900" s="2179"/>
      <c r="K3900" s="2124"/>
      <c r="L3900" s="2119"/>
      <c r="M3900" s="2118"/>
      <c r="N3900" s="1707"/>
      <c r="O3900" s="1707"/>
      <c r="P3900" s="1707"/>
    </row>
    <row r="3901" spans="1:16" ht="12.75" hidden="1">
      <c r="A3901" s="2114"/>
      <c r="B3901" s="192" t="s">
        <v>821</v>
      </c>
      <c r="C3901" s="568"/>
      <c r="D3901" s="568"/>
      <c r="E3901" s="188"/>
      <c r="F3901" s="188"/>
      <c r="G3901" s="2122"/>
      <c r="H3901" s="2117"/>
      <c r="I3901" s="2118"/>
      <c r="J3901" s="2123"/>
      <c r="K3901" s="2123"/>
      <c r="L3901" s="2119"/>
      <c r="M3901" s="2118"/>
      <c r="N3901" s="1707"/>
      <c r="O3901" s="1707"/>
      <c r="P3901" s="1707"/>
    </row>
    <row r="3902" spans="1:16" ht="12.75" hidden="1">
      <c r="A3902" s="2114"/>
      <c r="B3902" s="192" t="s">
        <v>822</v>
      </c>
      <c r="C3902" s="568"/>
      <c r="D3902" s="568"/>
      <c r="E3902" s="188"/>
      <c r="F3902" s="188"/>
      <c r="G3902" s="568"/>
      <c r="H3902" s="2117"/>
      <c r="I3902" s="2118"/>
      <c r="J3902" s="568"/>
      <c r="K3902" s="568"/>
      <c r="L3902" s="2119"/>
      <c r="M3902" s="2118"/>
      <c r="N3902" s="1707"/>
      <c r="O3902" s="1707"/>
      <c r="P3902" s="1707"/>
    </row>
    <row r="3903" spans="1:16" ht="12.75" hidden="1">
      <c r="A3903" s="2114"/>
      <c r="B3903" s="568" t="s">
        <v>971</v>
      </c>
      <c r="C3903" s="568"/>
      <c r="D3903" s="568"/>
      <c r="E3903" s="188"/>
      <c r="F3903" s="188"/>
      <c r="G3903" s="2122">
        <v>0.14000000000000001</v>
      </c>
      <c r="H3903" s="2117" t="s">
        <v>49</v>
      </c>
      <c r="I3903" s="2118" t="s">
        <v>49</v>
      </c>
      <c r="J3903" s="2123">
        <f>G22</f>
        <v>353.65</v>
      </c>
      <c r="K3903" s="2123">
        <f>ROUND(G3903*J3903,2)</f>
        <v>49.51</v>
      </c>
      <c r="L3903" s="2119"/>
      <c r="M3903" s="2118"/>
      <c r="N3903" s="1707"/>
      <c r="O3903" s="1707"/>
      <c r="P3903" s="1707"/>
    </row>
    <row r="3904" spans="1:16" ht="12.75" hidden="1">
      <c r="A3904" s="2114"/>
      <c r="B3904" s="568"/>
      <c r="C3904" s="568"/>
      <c r="D3904" s="568"/>
      <c r="E3904" s="188"/>
      <c r="F3904" s="188"/>
      <c r="G3904" s="2122"/>
      <c r="H3904" s="2117"/>
      <c r="I3904" s="2118"/>
      <c r="J3904" s="2126" t="s">
        <v>718</v>
      </c>
      <c r="K3904" s="2124">
        <f>SUM(K3903:K3903)</f>
        <v>49.51</v>
      </c>
      <c r="L3904" s="2119"/>
      <c r="M3904" s="2118"/>
      <c r="N3904" s="1707"/>
      <c r="O3904" s="1707"/>
      <c r="P3904" s="1707"/>
    </row>
    <row r="3905" spans="1:16" ht="12.75" hidden="1">
      <c r="A3905" s="2114"/>
      <c r="B3905" s="192" t="s">
        <v>781</v>
      </c>
      <c r="C3905" s="568"/>
      <c r="D3905" s="568"/>
      <c r="E3905" s="188"/>
      <c r="F3905" s="188"/>
      <c r="G3905" s="2122"/>
      <c r="H3905" s="2117"/>
      <c r="I3905" s="2118"/>
      <c r="J3905" s="2123"/>
      <c r="K3905" s="2123"/>
      <c r="L3905" s="2119"/>
      <c r="M3905" s="2118"/>
      <c r="N3905" s="1707"/>
      <c r="O3905" s="1707"/>
      <c r="P3905" s="1707"/>
    </row>
    <row r="3906" spans="1:16" ht="12.75" hidden="1">
      <c r="A3906" s="2114"/>
      <c r="B3906" s="568" t="s">
        <v>782</v>
      </c>
      <c r="C3906" s="568"/>
      <c r="D3906" s="568"/>
      <c r="E3906" s="188"/>
      <c r="F3906" s="188"/>
      <c r="G3906" s="2122">
        <v>0.05</v>
      </c>
      <c r="H3906" s="2117" t="s">
        <v>262</v>
      </c>
      <c r="I3906" s="2118" t="s">
        <v>38</v>
      </c>
      <c r="J3906" s="2123">
        <f>L136</f>
        <v>435</v>
      </c>
      <c r="K3906" s="2123">
        <f>ROUND(G3906*J3906,2)</f>
        <v>21.75</v>
      </c>
      <c r="L3906" s="2119"/>
      <c r="M3906" s="2118"/>
      <c r="N3906" s="1707"/>
      <c r="O3906" s="1707"/>
      <c r="P3906" s="1707"/>
    </row>
    <row r="3907" spans="1:16" ht="12.75" hidden="1">
      <c r="A3907" s="2114"/>
      <c r="B3907" s="568" t="s">
        <v>717</v>
      </c>
      <c r="C3907" s="568"/>
      <c r="D3907" s="568"/>
      <c r="E3907" s="188"/>
      <c r="F3907" s="188"/>
      <c r="G3907" s="2122">
        <v>0.28000000000000003</v>
      </c>
      <c r="H3907" s="2117" t="s">
        <v>262</v>
      </c>
      <c r="I3907" s="2118" t="s">
        <v>38</v>
      </c>
      <c r="J3907" s="2123">
        <f>L134</f>
        <v>345</v>
      </c>
      <c r="K3907" s="2123">
        <f>ROUND(G3907*J3907,2)</f>
        <v>96.6</v>
      </c>
      <c r="L3907" s="2119"/>
      <c r="M3907" s="2118"/>
      <c r="N3907" s="1707"/>
      <c r="O3907" s="1707"/>
      <c r="P3907" s="1707"/>
    </row>
    <row r="3908" spans="1:16" ht="12.75" hidden="1">
      <c r="A3908" s="2114"/>
      <c r="B3908" s="568"/>
      <c r="C3908" s="568"/>
      <c r="D3908" s="568"/>
      <c r="E3908" s="188"/>
      <c r="F3908" s="188"/>
      <c r="G3908" s="2122"/>
      <c r="H3908" s="2117"/>
      <c r="I3908" s="2118"/>
      <c r="J3908" s="2126" t="s">
        <v>718</v>
      </c>
      <c r="K3908" s="2124">
        <f>SUM(K3906:K3907)</f>
        <v>118.35</v>
      </c>
      <c r="L3908" s="2119"/>
      <c r="M3908" s="2118"/>
      <c r="N3908" s="1707"/>
      <c r="O3908" s="1707"/>
      <c r="P3908" s="1707"/>
    </row>
    <row r="3909" spans="1:16" ht="12.75" hidden="1">
      <c r="A3909" s="2114"/>
      <c r="B3909" s="192"/>
      <c r="C3909" s="568"/>
      <c r="D3909" s="568"/>
      <c r="E3909" s="188"/>
      <c r="F3909" s="188"/>
      <c r="G3909" s="2122"/>
      <c r="H3909" s="2117"/>
      <c r="I3909" s="2118"/>
      <c r="J3909" s="2123"/>
      <c r="K3909" s="2124"/>
      <c r="L3909" s="2119"/>
      <c r="M3909" s="2118"/>
      <c r="N3909" s="1707"/>
      <c r="O3909" s="1707"/>
      <c r="P3909" s="1707"/>
    </row>
    <row r="3910" spans="1:16" ht="12.75" hidden="1">
      <c r="A3910" s="2114"/>
      <c r="B3910" s="192" t="s">
        <v>783</v>
      </c>
      <c r="C3910" s="568"/>
      <c r="D3910" s="568"/>
      <c r="E3910" s="188"/>
      <c r="F3910" s="188"/>
      <c r="G3910" s="2122"/>
      <c r="H3910" s="2117"/>
      <c r="I3910" s="2118"/>
      <c r="J3910" s="2134"/>
      <c r="K3910" s="2123"/>
      <c r="L3910" s="2119"/>
      <c r="M3910" s="2118"/>
      <c r="N3910" s="1707"/>
      <c r="O3910" s="1707"/>
      <c r="P3910" s="1707"/>
    </row>
    <row r="3911" spans="1:16" ht="12.75" hidden="1">
      <c r="A3911" s="2114"/>
      <c r="B3911" s="568" t="str">
        <f>B3903</f>
        <v>Epidorite metal/Hard metal</v>
      </c>
      <c r="C3911" s="568"/>
      <c r="D3911" s="568"/>
      <c r="E3911" s="188"/>
      <c r="F3911" s="188"/>
      <c r="G3911" s="2122">
        <f>G3903</f>
        <v>0.14000000000000001</v>
      </c>
      <c r="H3911" s="2117" t="s">
        <v>49</v>
      </c>
      <c r="I3911" s="2118" t="s">
        <v>49</v>
      </c>
      <c r="J3911" s="2123">
        <f>K22</f>
        <v>1308.4099999999999</v>
      </c>
      <c r="K3911" s="2123">
        <f>ROUND(G3911*J3911,2)</f>
        <v>183.18</v>
      </c>
      <c r="L3911" s="2119"/>
      <c r="M3911" s="2118"/>
      <c r="N3911" s="1707"/>
      <c r="O3911" s="1707"/>
      <c r="P3911" s="1707"/>
    </row>
    <row r="3912" spans="1:16" ht="12.75" hidden="1">
      <c r="A3912" s="2114"/>
      <c r="B3912" s="568"/>
      <c r="C3912" s="568"/>
      <c r="D3912" s="568"/>
      <c r="E3912" s="188"/>
      <c r="F3912" s="188"/>
      <c r="G3912" s="2122"/>
      <c r="H3912" s="2117"/>
      <c r="I3912" s="2118"/>
      <c r="J3912" s="2126" t="s">
        <v>718</v>
      </c>
      <c r="K3912" s="2124">
        <f>SUM(K3911:K3911)</f>
        <v>183.18</v>
      </c>
      <c r="L3912" s="2119"/>
      <c r="M3912" s="2118"/>
      <c r="N3912" s="1707"/>
      <c r="O3912" s="1991">
        <f>K3908</f>
        <v>118.35</v>
      </c>
      <c r="P3912" s="1706" t="s">
        <v>3149</v>
      </c>
    </row>
    <row r="3913" spans="1:16" ht="12.75" hidden="1">
      <c r="A3913" s="2114"/>
      <c r="B3913" s="192" t="s">
        <v>970</v>
      </c>
      <c r="C3913" s="568"/>
      <c r="D3913" s="568"/>
      <c r="E3913" s="188"/>
      <c r="F3913" s="188"/>
      <c r="G3913" s="2161"/>
      <c r="H3913" s="2117"/>
      <c r="I3913" s="2118"/>
      <c r="J3913" s="2126" t="s">
        <v>718</v>
      </c>
      <c r="K3913" s="2124">
        <f>K3904+K3908+K3909+K3912</f>
        <v>351.03999999999996</v>
      </c>
      <c r="L3913" s="2119" t="s">
        <v>730</v>
      </c>
      <c r="M3913" s="2118"/>
      <c r="N3913" s="1707"/>
      <c r="O3913" s="1991">
        <f>K3913-O3912</f>
        <v>232.68999999999997</v>
      </c>
      <c r="P3913" s="1706" t="s">
        <v>26</v>
      </c>
    </row>
    <row r="3914" spans="1:16" ht="85.9" hidden="1" customHeight="1">
      <c r="A3914" s="2114">
        <f>A696</f>
        <v>68</v>
      </c>
      <c r="B3914" s="3017" t="str">
        <f>B696</f>
        <v>Providing 2.5cm thick A.S. Flooring with cement concrete (1:2:4) using 12mm size black hard granite crusher broken chips and screened &amp; washed sharp sand for mortar and finished smooth to the rough surface of floor and punning including watering and curing  etc. complete in all respect as directed by the Engineer in charge.</v>
      </c>
      <c r="C3914" s="3017"/>
      <c r="D3914" s="3017"/>
      <c r="E3914" s="2116" t="str">
        <f>G696</f>
        <v>Each Sqm</v>
      </c>
      <c r="F3914" s="2116"/>
      <c r="G3914" s="2122"/>
      <c r="H3914" s="568"/>
      <c r="I3914" s="2118"/>
      <c r="J3914" s="2124"/>
      <c r="K3914" s="2124"/>
      <c r="L3914" s="192"/>
      <c r="M3914" s="568"/>
    </row>
    <row r="3915" spans="1:16" ht="12.75" hidden="1">
      <c r="A3915" s="2114" t="str">
        <f>A697</f>
        <v>(i)</v>
      </c>
      <c r="B3915" s="192" t="str">
        <f>B697</f>
        <v>Ground Floor</v>
      </c>
      <c r="C3915" s="675"/>
      <c r="D3915" s="675"/>
      <c r="E3915" s="2120" t="str">
        <f>G697</f>
        <v>Each Sqm</v>
      </c>
      <c r="F3915" s="2120"/>
      <c r="G3915" s="2122"/>
      <c r="H3915" s="568"/>
      <c r="I3915" s="2118"/>
      <c r="J3915" s="2124"/>
      <c r="K3915" s="2124"/>
      <c r="L3915" s="192"/>
      <c r="M3915" s="568"/>
    </row>
    <row r="3916" spans="1:16" ht="12.75" hidden="1">
      <c r="A3916" s="568"/>
      <c r="B3916" s="192" t="s">
        <v>821</v>
      </c>
      <c r="C3916" s="568"/>
      <c r="D3916" s="568"/>
      <c r="E3916" s="188"/>
      <c r="F3916" s="188"/>
      <c r="G3916" s="2122"/>
      <c r="H3916" s="2117"/>
      <c r="I3916" s="2118"/>
      <c r="J3916" s="2123"/>
      <c r="K3916" s="2123"/>
      <c r="L3916" s="2119"/>
      <c r="M3916" s="568"/>
    </row>
    <row r="3917" spans="1:16" ht="12.75" hidden="1">
      <c r="A3917" s="568"/>
      <c r="B3917" s="192" t="s">
        <v>822</v>
      </c>
      <c r="C3917" s="568"/>
      <c r="D3917" s="568"/>
      <c r="E3917" s="188"/>
      <c r="F3917" s="188"/>
      <c r="G3917" s="568"/>
      <c r="H3917" s="2117"/>
      <c r="I3917" s="2118"/>
      <c r="J3917" s="568"/>
      <c r="K3917" s="568"/>
      <c r="L3917" s="2119"/>
      <c r="M3917" s="568"/>
    </row>
    <row r="3918" spans="1:16" ht="12.75" hidden="1">
      <c r="A3918" s="568"/>
      <c r="B3918" s="2117" t="s">
        <v>823</v>
      </c>
      <c r="C3918" s="568"/>
      <c r="D3918" s="568"/>
      <c r="E3918" s="188"/>
      <c r="F3918" s="188"/>
      <c r="G3918" s="2122">
        <v>2.3E-2</v>
      </c>
      <c r="H3918" s="2117" t="s">
        <v>49</v>
      </c>
      <c r="I3918" s="2118" t="s">
        <v>49</v>
      </c>
      <c r="J3918" s="2123">
        <f>G12</f>
        <v>1396.62</v>
      </c>
      <c r="K3918" s="2123">
        <f>ROUND(G3918*J3918,2)</f>
        <v>32.119999999999997</v>
      </c>
      <c r="L3918" s="2119"/>
      <c r="M3918" s="568"/>
    </row>
    <row r="3919" spans="1:16" ht="12.75" hidden="1">
      <c r="A3919" s="568"/>
      <c r="B3919" s="568" t="s">
        <v>775</v>
      </c>
      <c r="C3919" s="568"/>
      <c r="D3919" s="568"/>
      <c r="E3919" s="188"/>
      <c r="F3919" s="188"/>
      <c r="G3919" s="2122">
        <v>1.2E-2</v>
      </c>
      <c r="H3919" s="2117" t="s">
        <v>49</v>
      </c>
      <c r="I3919" s="2118" t="s">
        <v>49</v>
      </c>
      <c r="J3919" s="2123">
        <f>G46</f>
        <v>76.88</v>
      </c>
      <c r="K3919" s="2123">
        <f>ROUND(G3919*J3919,2)</f>
        <v>0.92</v>
      </c>
      <c r="L3919" s="2119"/>
      <c r="M3919" s="568"/>
    </row>
    <row r="3920" spans="1:16" ht="12.75" hidden="1">
      <c r="A3920" s="568"/>
      <c r="B3920" s="568" t="s">
        <v>8</v>
      </c>
      <c r="C3920" s="568"/>
      <c r="D3920" s="568"/>
      <c r="E3920" s="188"/>
      <c r="F3920" s="188"/>
      <c r="G3920" s="2164">
        <v>8.5800000000000001E-2</v>
      </c>
      <c r="H3920" s="2117" t="s">
        <v>247</v>
      </c>
      <c r="I3920" s="2118" t="s">
        <v>247</v>
      </c>
      <c r="J3920" s="2123">
        <f>G50/10</f>
        <v>570.23400000000004</v>
      </c>
      <c r="K3920" s="2123">
        <f>ROUND(G3920*J3920,2)</f>
        <v>48.93</v>
      </c>
      <c r="L3920" s="2119"/>
      <c r="M3920" s="568"/>
    </row>
    <row r="3921" spans="1:16" ht="12.75" hidden="1">
      <c r="A3921" s="568"/>
      <c r="B3921" s="568"/>
      <c r="C3921" s="568"/>
      <c r="D3921" s="568"/>
      <c r="E3921" s="188"/>
      <c r="F3921" s="188"/>
      <c r="G3921" s="2122"/>
      <c r="H3921" s="2117"/>
      <c r="I3921" s="2118"/>
      <c r="J3921" s="2126" t="s">
        <v>718</v>
      </c>
      <c r="K3921" s="2124">
        <f>SUM(K3918:K3920)</f>
        <v>81.97</v>
      </c>
      <c r="L3921" s="2119"/>
      <c r="M3921" s="568"/>
    </row>
    <row r="3922" spans="1:16" ht="12.75" hidden="1">
      <c r="A3922" s="568"/>
      <c r="B3922" s="192" t="s">
        <v>781</v>
      </c>
      <c r="C3922" s="568"/>
      <c r="D3922" s="568"/>
      <c r="E3922" s="188"/>
      <c r="F3922" s="188"/>
      <c r="G3922" s="2122"/>
      <c r="H3922" s="2117"/>
      <c r="I3922" s="2118"/>
      <c r="J3922" s="2123"/>
      <c r="K3922" s="2123"/>
      <c r="L3922" s="2119"/>
      <c r="M3922" s="568"/>
    </row>
    <row r="3923" spans="1:16" ht="12.75" hidden="1">
      <c r="A3923" s="568"/>
      <c r="B3923" s="568" t="s">
        <v>824</v>
      </c>
      <c r="C3923" s="568"/>
      <c r="D3923" s="568"/>
      <c r="E3923" s="188"/>
      <c r="F3923" s="188"/>
      <c r="G3923" s="2122">
        <v>0.13</v>
      </c>
      <c r="H3923" s="2117" t="s">
        <v>262</v>
      </c>
      <c r="I3923" s="2118" t="s">
        <v>38</v>
      </c>
      <c r="J3923" s="2123">
        <f>L137</f>
        <v>495</v>
      </c>
      <c r="K3923" s="2123">
        <f>ROUND(G3923*J3923,2)</f>
        <v>64.349999999999994</v>
      </c>
      <c r="L3923" s="2119"/>
      <c r="M3923" s="568"/>
    </row>
    <row r="3924" spans="1:16" ht="12.75" hidden="1">
      <c r="A3924" s="568"/>
      <c r="B3924" s="568" t="s">
        <v>717</v>
      </c>
      <c r="C3924" s="568"/>
      <c r="D3924" s="568"/>
      <c r="E3924" s="188"/>
      <c r="F3924" s="188"/>
      <c r="G3924" s="2122">
        <v>0.36</v>
      </c>
      <c r="H3924" s="2117" t="s">
        <v>262</v>
      </c>
      <c r="I3924" s="2118" t="s">
        <v>38</v>
      </c>
      <c r="J3924" s="2123">
        <f>L134</f>
        <v>345</v>
      </c>
      <c r="K3924" s="2123">
        <f>ROUND(G3924*J3924,2)</f>
        <v>124.2</v>
      </c>
      <c r="L3924" s="2119"/>
      <c r="M3924" s="568"/>
    </row>
    <row r="3925" spans="1:16" ht="12.75" hidden="1">
      <c r="A3925" s="568"/>
      <c r="B3925" s="568"/>
      <c r="C3925" s="568"/>
      <c r="D3925" s="568"/>
      <c r="E3925" s="188"/>
      <c r="F3925" s="188"/>
      <c r="G3925" s="2122"/>
      <c r="H3925" s="2117"/>
      <c r="I3925" s="2118"/>
      <c r="J3925" s="2126" t="s">
        <v>718</v>
      </c>
      <c r="K3925" s="2124">
        <f>SUM(K3923:K3924)</f>
        <v>188.55</v>
      </c>
      <c r="L3925" s="2119"/>
      <c r="M3925" s="568"/>
    </row>
    <row r="3926" spans="1:16" ht="12.75" hidden="1">
      <c r="A3926" s="568"/>
      <c r="B3926" s="192"/>
      <c r="C3926" s="568"/>
      <c r="D3926" s="568"/>
      <c r="E3926" s="188"/>
      <c r="F3926" s="188"/>
      <c r="G3926" s="2122"/>
      <c r="H3926" s="2117"/>
      <c r="I3926" s="2118"/>
      <c r="J3926" s="2123"/>
      <c r="K3926" s="2124"/>
      <c r="L3926" s="2119"/>
      <c r="M3926" s="568"/>
    </row>
    <row r="3927" spans="1:16" ht="12.75" hidden="1">
      <c r="A3927" s="568"/>
      <c r="B3927" s="192" t="s">
        <v>783</v>
      </c>
      <c r="C3927" s="568"/>
      <c r="D3927" s="568"/>
      <c r="E3927" s="188"/>
      <c r="F3927" s="188"/>
      <c r="G3927" s="2122"/>
      <c r="H3927" s="2117"/>
      <c r="I3927" s="2118"/>
      <c r="J3927" s="2134"/>
      <c r="K3927" s="2123"/>
      <c r="L3927" s="2119"/>
      <c r="M3927" s="568"/>
    </row>
    <row r="3928" spans="1:16" ht="12.75" hidden="1">
      <c r="A3928" s="568"/>
      <c r="B3928" s="2117" t="str">
        <f>B3918</f>
        <v>B.h.g.c.b. chips</v>
      </c>
      <c r="C3928" s="568"/>
      <c r="D3928" s="568"/>
      <c r="E3928" s="188"/>
      <c r="F3928" s="188"/>
      <c r="G3928" s="2122">
        <v>2.3E-2</v>
      </c>
      <c r="H3928" s="2117" t="s">
        <v>49</v>
      </c>
      <c r="I3928" s="2118" t="s">
        <v>49</v>
      </c>
      <c r="J3928" s="2123">
        <f>K12</f>
        <v>1308.4099999999999</v>
      </c>
      <c r="K3928" s="2123">
        <f>ROUND(G3928*J3928,2)</f>
        <v>30.09</v>
      </c>
      <c r="L3928" s="2119"/>
      <c r="M3928" s="568"/>
    </row>
    <row r="3929" spans="1:16" ht="12.75" hidden="1">
      <c r="A3929" s="568"/>
      <c r="B3929" s="568" t="s">
        <v>775</v>
      </c>
      <c r="C3929" s="568"/>
      <c r="D3929" s="568"/>
      <c r="E3929" s="188"/>
      <c r="F3929" s="188"/>
      <c r="G3929" s="2122">
        <v>1.2E-2</v>
      </c>
      <c r="H3929" s="2117" t="s">
        <v>49</v>
      </c>
      <c r="I3929" s="2118" t="s">
        <v>49</v>
      </c>
      <c r="J3929" s="2123">
        <f>K46</f>
        <v>717.46</v>
      </c>
      <c r="K3929" s="2123">
        <f>ROUND(G3929*J3929,2)</f>
        <v>8.61</v>
      </c>
      <c r="L3929" s="2119"/>
      <c r="M3929" s="568"/>
    </row>
    <row r="3930" spans="1:16" ht="12.75" hidden="1">
      <c r="A3930" s="568"/>
      <c r="B3930" s="568" t="s">
        <v>8</v>
      </c>
      <c r="C3930" s="568"/>
      <c r="D3930" s="568"/>
      <c r="E3930" s="188"/>
      <c r="F3930" s="188"/>
      <c r="G3930" s="2164">
        <v>8.5800000000000001E-2</v>
      </c>
      <c r="H3930" s="2117" t="s">
        <v>247</v>
      </c>
      <c r="I3930" s="2118" t="s">
        <v>247</v>
      </c>
      <c r="J3930" s="2123">
        <f>K50/10</f>
        <v>42.622</v>
      </c>
      <c r="K3930" s="2123">
        <f>ROUND(G3930*J3930,2)</f>
        <v>3.66</v>
      </c>
      <c r="L3930" s="2119"/>
      <c r="M3930" s="568"/>
    </row>
    <row r="3931" spans="1:16" ht="12.75" hidden="1">
      <c r="A3931" s="568"/>
      <c r="B3931" s="568"/>
      <c r="C3931" s="568"/>
      <c r="D3931" s="568"/>
      <c r="E3931" s="188"/>
      <c r="F3931" s="188"/>
      <c r="G3931" s="2122"/>
      <c r="H3931" s="2117"/>
      <c r="I3931" s="2118"/>
      <c r="J3931" s="2126" t="s">
        <v>718</v>
      </c>
      <c r="K3931" s="2124">
        <f>SUM(K3928:K3930)</f>
        <v>42.36</v>
      </c>
      <c r="L3931" s="2119"/>
      <c r="M3931" s="568"/>
      <c r="O3931" s="1991">
        <f>K3925</f>
        <v>188.55</v>
      </c>
      <c r="P3931" s="1706" t="s">
        <v>3149</v>
      </c>
    </row>
    <row r="3932" spans="1:16" ht="12.75" hidden="1">
      <c r="A3932" s="568"/>
      <c r="B3932" s="192" t="s">
        <v>825</v>
      </c>
      <c r="C3932" s="568"/>
      <c r="D3932" s="568"/>
      <c r="E3932" s="188"/>
      <c r="F3932" s="188"/>
      <c r="G3932" s="2161"/>
      <c r="H3932" s="2117"/>
      <c r="I3932" s="2118"/>
      <c r="J3932" s="2126" t="s">
        <v>718</v>
      </c>
      <c r="K3932" s="2124">
        <f>K3921+K3925+K3926+K3931</f>
        <v>312.88</v>
      </c>
      <c r="L3932" s="2119" t="s">
        <v>730</v>
      </c>
      <c r="M3932" s="568"/>
      <c r="O3932" s="1991">
        <f>K3932-O3931</f>
        <v>124.32999999999998</v>
      </c>
      <c r="P3932" s="1706" t="s">
        <v>26</v>
      </c>
    </row>
    <row r="3933" spans="1:16" ht="12.75" hidden="1">
      <c r="A3933" s="2114" t="str">
        <f>A698</f>
        <v>(ii)</v>
      </c>
      <c r="B3933" s="192" t="str">
        <f>B698</f>
        <v>First Floor</v>
      </c>
      <c r="C3933" s="568"/>
      <c r="D3933" s="568"/>
      <c r="E3933" s="2120" t="str">
        <f>E3915</f>
        <v>Each Sqm</v>
      </c>
      <c r="F3933" s="2120"/>
      <c r="G3933" s="2122"/>
      <c r="H3933" s="568"/>
      <c r="I3933" s="2118"/>
      <c r="J3933" s="2123"/>
      <c r="K3933" s="2123"/>
      <c r="L3933" s="192"/>
      <c r="M3933" s="568"/>
    </row>
    <row r="3934" spans="1:16" ht="12.75" hidden="1">
      <c r="A3934" s="2114"/>
      <c r="B3934" s="568" t="s">
        <v>722</v>
      </c>
      <c r="C3934" s="568"/>
      <c r="D3934" s="568"/>
      <c r="E3934" s="188"/>
      <c r="F3934" s="188"/>
      <c r="G3934" s="2122"/>
      <c r="H3934" s="568"/>
      <c r="I3934" s="2118"/>
      <c r="J3934" s="2123"/>
      <c r="K3934" s="2123">
        <f>K3932</f>
        <v>312.88</v>
      </c>
      <c r="L3934" s="192"/>
      <c r="M3934" s="568"/>
    </row>
    <row r="3935" spans="1:16" ht="12.75" hidden="1">
      <c r="A3935" s="2114"/>
      <c r="B3935" s="568" t="s">
        <v>723</v>
      </c>
      <c r="C3935" s="568"/>
      <c r="D3935" s="568"/>
      <c r="E3935" s="188"/>
      <c r="F3935" s="188"/>
      <c r="G3935" s="2122"/>
      <c r="H3935" s="568"/>
      <c r="I3935" s="2118"/>
      <c r="J3935" s="2123"/>
      <c r="K3935" s="2123">
        <f>ROUND(K3925*5%,2)</f>
        <v>9.43</v>
      </c>
      <c r="L3935" s="192"/>
      <c r="M3935" s="568"/>
      <c r="O3935" s="1991">
        <f>O3931+K3935</f>
        <v>197.98000000000002</v>
      </c>
      <c r="P3935" s="1706" t="s">
        <v>3149</v>
      </c>
    </row>
    <row r="3936" spans="1:16" ht="12.75" hidden="1">
      <c r="A3936" s="2114"/>
      <c r="B3936" s="568"/>
      <c r="C3936" s="568"/>
      <c r="D3936" s="568"/>
      <c r="E3936" s="188"/>
      <c r="F3936" s="188"/>
      <c r="G3936" s="2122"/>
      <c r="H3936" s="568"/>
      <c r="I3936" s="2118"/>
      <c r="J3936" s="2126" t="s">
        <v>718</v>
      </c>
      <c r="K3936" s="2124">
        <f>SUM(K3934:K3935)</f>
        <v>322.31</v>
      </c>
      <c r="L3936" s="192" t="s">
        <v>730</v>
      </c>
      <c r="M3936" s="568"/>
      <c r="O3936" s="1991">
        <f>K3936-O3935</f>
        <v>124.32999999999998</v>
      </c>
      <c r="P3936" s="1706" t="s">
        <v>26</v>
      </c>
    </row>
    <row r="3937" spans="1:16" ht="12.75" hidden="1">
      <c r="A3937" s="2114" t="str">
        <f>A699</f>
        <v>(iii)</v>
      </c>
      <c r="B3937" s="192" t="str">
        <f>B699</f>
        <v>2nd Floor</v>
      </c>
      <c r="C3937" s="568"/>
      <c r="D3937" s="568"/>
      <c r="E3937" s="2120" t="str">
        <f>E3933</f>
        <v>Each Sqm</v>
      </c>
      <c r="F3937" s="2120"/>
      <c r="G3937" s="2122"/>
      <c r="H3937" s="568"/>
      <c r="I3937" s="2118"/>
      <c r="J3937" s="2123"/>
      <c r="K3937" s="2123"/>
      <c r="L3937" s="192"/>
      <c r="M3937" s="568"/>
    </row>
    <row r="3938" spans="1:16" ht="12.75" hidden="1">
      <c r="A3938" s="2114"/>
      <c r="B3938" s="568" t="s">
        <v>722</v>
      </c>
      <c r="C3938" s="568"/>
      <c r="D3938" s="568"/>
      <c r="E3938" s="188"/>
      <c r="F3938" s="188"/>
      <c r="G3938" s="2122"/>
      <c r="H3938" s="568"/>
      <c r="I3938" s="2118"/>
      <c r="J3938" s="2123"/>
      <c r="K3938" s="2123">
        <f>K3936</f>
        <v>322.31</v>
      </c>
      <c r="L3938" s="192"/>
      <c r="M3938" s="568"/>
    </row>
    <row r="3939" spans="1:16" ht="12.75" hidden="1">
      <c r="A3939" s="2114"/>
      <c r="B3939" s="568" t="s">
        <v>723</v>
      </c>
      <c r="C3939" s="568"/>
      <c r="D3939" s="568"/>
      <c r="E3939" s="188"/>
      <c r="F3939" s="188"/>
      <c r="G3939" s="2122"/>
      <c r="H3939" s="568"/>
      <c r="I3939" s="2118"/>
      <c r="J3939" s="2123"/>
      <c r="K3939" s="2123">
        <f>K3935+ROUND(K3929*5%,2)</f>
        <v>9.86</v>
      </c>
      <c r="L3939" s="192"/>
      <c r="M3939" s="568"/>
      <c r="O3939" s="1991">
        <f>O3935+K3939</f>
        <v>207.84000000000003</v>
      </c>
      <c r="P3939" s="1706" t="s">
        <v>3149</v>
      </c>
    </row>
    <row r="3940" spans="1:16" ht="12.75" hidden="1">
      <c r="A3940" s="2114"/>
      <c r="B3940" s="568"/>
      <c r="C3940" s="568"/>
      <c r="D3940" s="568"/>
      <c r="E3940" s="188"/>
      <c r="F3940" s="188"/>
      <c r="G3940" s="2122"/>
      <c r="H3940" s="568"/>
      <c r="I3940" s="2118"/>
      <c r="J3940" s="2126" t="s">
        <v>718</v>
      </c>
      <c r="K3940" s="2124">
        <f>SUM(K3938:K3939)</f>
        <v>332.17</v>
      </c>
      <c r="L3940" s="192" t="s">
        <v>730</v>
      </c>
      <c r="M3940" s="568"/>
      <c r="O3940" s="1991">
        <f>K3940-O3939</f>
        <v>124.32999999999998</v>
      </c>
      <c r="P3940" s="1706" t="s">
        <v>26</v>
      </c>
    </row>
    <row r="3941" spans="1:16" ht="12.75" hidden="1">
      <c r="A3941" s="2114" t="str">
        <f>A700</f>
        <v>(iv)</v>
      </c>
      <c r="B3941" s="192" t="str">
        <f>B700</f>
        <v>3rd Floor</v>
      </c>
      <c r="C3941" s="568"/>
      <c r="D3941" s="568"/>
      <c r="E3941" s="2120" t="str">
        <f>E3937</f>
        <v>Each Sqm</v>
      </c>
      <c r="F3941" s="2120"/>
      <c r="G3941" s="2122"/>
      <c r="H3941" s="568"/>
      <c r="I3941" s="2118"/>
      <c r="J3941" s="2123"/>
      <c r="K3941" s="2123"/>
      <c r="L3941" s="192"/>
      <c r="M3941" s="568"/>
    </row>
    <row r="3942" spans="1:16" ht="12.75" hidden="1">
      <c r="A3942" s="2114"/>
      <c r="B3942" s="568" t="s">
        <v>722</v>
      </c>
      <c r="C3942" s="568"/>
      <c r="D3942" s="568"/>
      <c r="E3942" s="188"/>
      <c r="F3942" s="188"/>
      <c r="G3942" s="2122"/>
      <c r="H3942" s="568"/>
      <c r="I3942" s="2118"/>
      <c r="J3942" s="2123"/>
      <c r="K3942" s="2123">
        <f>K3940</f>
        <v>332.17</v>
      </c>
      <c r="L3942" s="192"/>
      <c r="M3942" s="568"/>
    </row>
    <row r="3943" spans="1:16" ht="12.75" hidden="1">
      <c r="A3943" s="2114"/>
      <c r="B3943" s="568" t="s">
        <v>723</v>
      </c>
      <c r="C3943" s="568"/>
      <c r="D3943" s="568"/>
      <c r="E3943" s="188"/>
      <c r="F3943" s="188"/>
      <c r="G3943" s="2122"/>
      <c r="H3943" s="568"/>
      <c r="I3943" s="2118"/>
      <c r="J3943" s="2123"/>
      <c r="K3943" s="2123">
        <f>K3939+ROUND(K3933*5%,2)</f>
        <v>9.86</v>
      </c>
      <c r="L3943" s="192"/>
      <c r="M3943" s="568"/>
      <c r="O3943" s="1991">
        <f>O3939+K3943</f>
        <v>217.70000000000005</v>
      </c>
      <c r="P3943" s="1706" t="s">
        <v>3149</v>
      </c>
    </row>
    <row r="3944" spans="1:16" ht="12.75" hidden="1">
      <c r="A3944" s="2114"/>
      <c r="B3944" s="568"/>
      <c r="C3944" s="568"/>
      <c r="D3944" s="568"/>
      <c r="E3944" s="188"/>
      <c r="F3944" s="188"/>
      <c r="G3944" s="2122"/>
      <c r="H3944" s="568"/>
      <c r="I3944" s="2118"/>
      <c r="J3944" s="2126" t="s">
        <v>718</v>
      </c>
      <c r="K3944" s="2124">
        <f>SUM(K3942:K3943)</f>
        <v>342.03000000000003</v>
      </c>
      <c r="L3944" s="192" t="s">
        <v>730</v>
      </c>
      <c r="M3944" s="568"/>
      <c r="O3944" s="1991">
        <f>K3944-O3943</f>
        <v>124.32999999999998</v>
      </c>
      <c r="P3944" s="1706" t="s">
        <v>26</v>
      </c>
    </row>
    <row r="3945" spans="1:16" ht="111" hidden="1" customHeight="1">
      <c r="A3945" s="2114">
        <f>A701</f>
        <v>69</v>
      </c>
      <c r="B3945" s="3017" t="str">
        <f>B701</f>
        <v>Providing laying  of 60mm thick factory made cement concrete Paver Block of M35 grade of concrete and of approved veriety in colour and size made by block making mechine with strong vibratory compaction of approved design &amp; shape laid in required colour and pattern over 50mm thick compacted bed of course sand filling the joints with fine sand etc all complete including cost of all materials all labour T&amp;P etc required for the work complete in all respectas per the direction of the Engineer-in- Charge.</v>
      </c>
      <c r="C3945" s="3017"/>
      <c r="D3945" s="3017"/>
      <c r="E3945" s="2116" t="str">
        <f>G737</f>
        <v>Each Sqm</v>
      </c>
      <c r="F3945" s="2116"/>
      <c r="G3945" s="2122"/>
      <c r="H3945" s="568"/>
      <c r="I3945" s="2118"/>
      <c r="J3945" s="2124"/>
      <c r="K3945" s="2124"/>
      <c r="L3945" s="192"/>
      <c r="M3945" s="568"/>
    </row>
    <row r="3946" spans="1:16" ht="12.75" hidden="1">
      <c r="A3946" s="2114" t="str">
        <f>A738</f>
        <v>(ii)</v>
      </c>
      <c r="B3946" s="192" t="str">
        <f>B3915</f>
        <v>Ground Floor</v>
      </c>
      <c r="C3946" s="675"/>
      <c r="D3946" s="675"/>
      <c r="E3946" s="2120" t="str">
        <f>G738</f>
        <v>Each Sqm</v>
      </c>
      <c r="F3946" s="2120"/>
      <c r="G3946" s="2122"/>
      <c r="H3946" s="568"/>
      <c r="I3946" s="2118"/>
      <c r="J3946" s="2124"/>
      <c r="K3946" s="2124"/>
      <c r="L3946" s="192"/>
      <c r="M3946" s="568"/>
    </row>
    <row r="3947" spans="1:16" ht="12.75" hidden="1">
      <c r="A3947" s="568"/>
      <c r="B3947" s="192" t="s">
        <v>964</v>
      </c>
      <c r="C3947" s="568"/>
      <c r="D3947" s="568"/>
      <c r="E3947" s="188"/>
      <c r="F3947" s="188"/>
      <c r="G3947" s="2122"/>
      <c r="H3947" s="2117"/>
      <c r="I3947" s="2118"/>
      <c r="J3947" s="2123"/>
      <c r="K3947" s="2123"/>
      <c r="L3947" s="2119"/>
      <c r="M3947" s="568"/>
    </row>
    <row r="3948" spans="1:16" ht="12.75" hidden="1">
      <c r="A3948" s="568"/>
      <c r="B3948" s="192" t="s">
        <v>822</v>
      </c>
      <c r="C3948" s="568"/>
      <c r="D3948" s="568"/>
      <c r="E3948" s="188"/>
      <c r="F3948" s="188"/>
      <c r="G3948" s="568"/>
      <c r="H3948" s="2117"/>
      <c r="I3948" s="2118"/>
      <c r="J3948" s="568"/>
      <c r="K3948" s="568"/>
      <c r="L3948" s="2119"/>
      <c r="M3948" s="568"/>
    </row>
    <row r="3949" spans="1:16" ht="12.75" hidden="1">
      <c r="A3949" s="568"/>
      <c r="B3949" s="2117" t="s">
        <v>3502</v>
      </c>
      <c r="C3949" s="568"/>
      <c r="D3949" s="568"/>
      <c r="E3949" s="188"/>
      <c r="F3949" s="188"/>
      <c r="G3949" s="2122">
        <v>0.5</v>
      </c>
      <c r="H3949" s="2117" t="s">
        <v>49</v>
      </c>
      <c r="I3949" s="2118" t="s">
        <v>49</v>
      </c>
      <c r="J3949" s="2123">
        <f>G45</f>
        <v>71.94</v>
      </c>
      <c r="K3949" s="2123">
        <f>ROUND(G3949*J3949,2)</f>
        <v>35.97</v>
      </c>
      <c r="L3949" s="2119"/>
      <c r="M3949" s="568"/>
    </row>
    <row r="3950" spans="1:16" ht="12.75" hidden="1">
      <c r="A3950" s="568"/>
      <c r="B3950" s="568" t="s">
        <v>3503</v>
      </c>
      <c r="C3950" s="568"/>
      <c r="D3950" s="568"/>
      <c r="E3950" s="188"/>
      <c r="F3950" s="188"/>
      <c r="G3950" s="2122">
        <v>0.15</v>
      </c>
      <c r="H3950" s="2117" t="s">
        <v>49</v>
      </c>
      <c r="I3950" s="2118" t="s">
        <v>49</v>
      </c>
      <c r="J3950" s="2123">
        <f>G46</f>
        <v>76.88</v>
      </c>
      <c r="K3950" s="2123">
        <f>ROUND(G3950*J3950,2)</f>
        <v>11.53</v>
      </c>
      <c r="L3950" s="2119"/>
      <c r="M3950" s="568"/>
    </row>
    <row r="3951" spans="1:16" ht="12.75" hidden="1">
      <c r="A3951" s="568"/>
      <c r="B3951" s="568" t="s">
        <v>3510</v>
      </c>
      <c r="C3951" s="568"/>
      <c r="D3951" s="568"/>
      <c r="E3951" s="188"/>
      <c r="F3951" s="188"/>
      <c r="G3951" s="2122">
        <v>10</v>
      </c>
      <c r="H3951" s="2117" t="s">
        <v>92</v>
      </c>
      <c r="I3951" s="2118" t="s">
        <v>92</v>
      </c>
      <c r="J3951" s="2181">
        <f>G42</f>
        <v>462.86</v>
      </c>
      <c r="K3951" s="2123">
        <f>ROUND(G3951*J3951,2)</f>
        <v>4628.6000000000004</v>
      </c>
      <c r="L3951" s="2119"/>
      <c r="M3951" s="568"/>
    </row>
    <row r="3952" spans="1:16" ht="12.75" hidden="1">
      <c r="A3952" s="568"/>
      <c r="B3952" s="568" t="s">
        <v>3509</v>
      </c>
      <c r="C3952" s="568"/>
      <c r="D3952" s="568"/>
      <c r="E3952" s="188"/>
      <c r="F3952" s="188"/>
      <c r="G3952" s="2122"/>
      <c r="H3952" s="2117"/>
      <c r="I3952" s="2118"/>
      <c r="J3952" s="2126" t="s">
        <v>718</v>
      </c>
      <c r="K3952" s="2124">
        <f>SUM(K3949:K3951)</f>
        <v>4676.1000000000004</v>
      </c>
      <c r="L3952" s="2119"/>
      <c r="M3952" s="568"/>
    </row>
    <row r="3953" spans="1:16" ht="12.75" hidden="1">
      <c r="A3953" s="568"/>
      <c r="B3953" s="192" t="s">
        <v>781</v>
      </c>
      <c r="C3953" s="568"/>
      <c r="D3953" s="568"/>
      <c r="E3953" s="188"/>
      <c r="F3953" s="188"/>
      <c r="G3953" s="2122"/>
      <c r="H3953" s="2117"/>
      <c r="I3953" s="2118"/>
      <c r="J3953" s="2123"/>
      <c r="K3953" s="2123"/>
      <c r="L3953" s="2119"/>
      <c r="M3953" s="568"/>
    </row>
    <row r="3954" spans="1:16" ht="12.75" hidden="1">
      <c r="A3954" s="568"/>
      <c r="B3954" s="568" t="s">
        <v>824</v>
      </c>
      <c r="C3954" s="568"/>
      <c r="D3954" s="568"/>
      <c r="E3954" s="188"/>
      <c r="F3954" s="188"/>
      <c r="G3954" s="2122">
        <v>0.5</v>
      </c>
      <c r="H3954" s="2117" t="s">
        <v>262</v>
      </c>
      <c r="I3954" s="2118" t="s">
        <v>38</v>
      </c>
      <c r="J3954" s="2123">
        <f>L137</f>
        <v>495</v>
      </c>
      <c r="K3954" s="2123">
        <f>ROUND(G3954*J3954,2)</f>
        <v>247.5</v>
      </c>
      <c r="L3954" s="2119"/>
      <c r="M3954" s="568"/>
    </row>
    <row r="3955" spans="1:16" ht="12.75" hidden="1">
      <c r="A3955" s="568"/>
      <c r="B3955" s="568" t="s">
        <v>782</v>
      </c>
      <c r="C3955" s="568"/>
      <c r="D3955" s="568"/>
      <c r="E3955" s="188"/>
      <c r="F3955" s="188"/>
      <c r="G3955" s="2122">
        <v>0.5</v>
      </c>
      <c r="H3955" s="2117" t="s">
        <v>262</v>
      </c>
      <c r="I3955" s="2118" t="s">
        <v>38</v>
      </c>
      <c r="J3955" s="2123">
        <f>L136</f>
        <v>435</v>
      </c>
      <c r="K3955" s="2123">
        <f>ROUND(G3955*J3955,2)</f>
        <v>217.5</v>
      </c>
      <c r="L3955" s="2119"/>
      <c r="M3955" s="568"/>
    </row>
    <row r="3956" spans="1:16" ht="12.75" hidden="1">
      <c r="A3956" s="568"/>
      <c r="B3956" s="568" t="s">
        <v>717</v>
      </c>
      <c r="C3956" s="568"/>
      <c r="D3956" s="568"/>
      <c r="E3956" s="188"/>
      <c r="F3956" s="188"/>
      <c r="G3956" s="2122">
        <v>1.5</v>
      </c>
      <c r="H3956" s="2117" t="s">
        <v>262</v>
      </c>
      <c r="I3956" s="2118" t="s">
        <v>38</v>
      </c>
      <c r="J3956" s="2123">
        <f>L134</f>
        <v>345</v>
      </c>
      <c r="K3956" s="2123">
        <f>ROUND(G3956*J3956,2)</f>
        <v>517.5</v>
      </c>
      <c r="L3956" s="2119"/>
      <c r="M3956" s="568"/>
    </row>
    <row r="3957" spans="1:16" ht="12.75" hidden="1">
      <c r="A3957" s="568"/>
      <c r="B3957" s="568"/>
      <c r="C3957" s="568"/>
      <c r="D3957" s="568"/>
      <c r="E3957" s="188"/>
      <c r="F3957" s="188"/>
      <c r="G3957" s="2122"/>
      <c r="H3957" s="2117"/>
      <c r="I3957" s="2118"/>
      <c r="J3957" s="2126" t="s">
        <v>718</v>
      </c>
      <c r="K3957" s="2124">
        <f>SUM(K3954:K3956)</f>
        <v>982.5</v>
      </c>
      <c r="L3957" s="2119"/>
      <c r="M3957" s="568"/>
    </row>
    <row r="3958" spans="1:16" ht="12.75" hidden="1">
      <c r="A3958" s="568"/>
      <c r="B3958" s="192" t="s">
        <v>3506</v>
      </c>
      <c r="C3958" s="568"/>
      <c r="D3958" s="568"/>
      <c r="E3958" s="188"/>
      <c r="F3958" s="188"/>
      <c r="G3958" s="2122">
        <v>0.01</v>
      </c>
      <c r="H3958" s="2117" t="s">
        <v>262</v>
      </c>
      <c r="I3958" s="2118" t="s">
        <v>38</v>
      </c>
      <c r="J3958" s="2123">
        <f>K3952+K3957</f>
        <v>5658.6</v>
      </c>
      <c r="K3958" s="2123">
        <f>ROUND(G3958*J3958,2)</f>
        <v>56.59</v>
      </c>
      <c r="L3958" s="2119"/>
      <c r="M3958" s="568"/>
    </row>
    <row r="3959" spans="1:16" ht="12.75" hidden="1">
      <c r="A3959" s="568"/>
      <c r="B3959" s="192" t="s">
        <v>783</v>
      </c>
      <c r="C3959" s="568"/>
      <c r="D3959" s="568"/>
      <c r="E3959" s="188"/>
      <c r="F3959" s="188"/>
      <c r="G3959" s="2122"/>
      <c r="H3959" s="2117"/>
      <c r="I3959" s="2118"/>
      <c r="J3959" s="2134"/>
      <c r="K3959" s="2123"/>
      <c r="L3959" s="2119"/>
      <c r="M3959" s="568"/>
    </row>
    <row r="3960" spans="1:16" ht="12.75" hidden="1">
      <c r="A3960" s="568"/>
      <c r="B3960" s="2117" t="str">
        <f>B3949</f>
        <v>Sand Bed</v>
      </c>
      <c r="C3960" s="568"/>
      <c r="D3960" s="568"/>
      <c r="E3960" s="188"/>
      <c r="F3960" s="188"/>
      <c r="G3960" s="2122">
        <f>G3949</f>
        <v>0.5</v>
      </c>
      <c r="H3960" s="2117" t="s">
        <v>49</v>
      </c>
      <c r="I3960" s="2118" t="s">
        <v>49</v>
      </c>
      <c r="J3960" s="2123">
        <f>K45</f>
        <v>587.26</v>
      </c>
      <c r="K3960" s="2123">
        <f>ROUND(G3960*J3960,2)</f>
        <v>293.63</v>
      </c>
      <c r="L3960" s="2119"/>
      <c r="M3960" s="568"/>
    </row>
    <row r="3961" spans="1:16" ht="12.75" hidden="1">
      <c r="A3961" s="568"/>
      <c r="B3961" s="568" t="s">
        <v>775</v>
      </c>
      <c r="C3961" s="568"/>
      <c r="D3961" s="568"/>
      <c r="E3961" s="188"/>
      <c r="F3961" s="188"/>
      <c r="G3961" s="2122">
        <f>G3950</f>
        <v>0.15</v>
      </c>
      <c r="H3961" s="2117" t="s">
        <v>49</v>
      </c>
      <c r="I3961" s="2118" t="s">
        <v>49</v>
      </c>
      <c r="J3961" s="2123">
        <f>K46</f>
        <v>717.46</v>
      </c>
      <c r="K3961" s="2123">
        <f>ROUND(G3961*J3961,2)</f>
        <v>107.62</v>
      </c>
      <c r="L3961" s="2119"/>
      <c r="M3961" s="568"/>
    </row>
    <row r="3962" spans="1:16" ht="12.75" hidden="1">
      <c r="A3962" s="568"/>
      <c r="B3962" s="568" t="str">
        <f>B3951</f>
        <v>Paver Block 250mm x 60mm</v>
      </c>
      <c r="C3962" s="568"/>
      <c r="D3962" s="568"/>
      <c r="E3962" s="188"/>
      <c r="F3962" s="188"/>
      <c r="G3962" s="2122">
        <f>G3951</f>
        <v>10</v>
      </c>
      <c r="H3962" s="2117" t="s">
        <v>92</v>
      </c>
      <c r="I3962" s="2118" t="s">
        <v>92</v>
      </c>
      <c r="J3962" s="2123">
        <f>K42</f>
        <v>19.419444444444444</v>
      </c>
      <c r="K3962" s="2123">
        <f>ROUND(G3962*J3962,2)</f>
        <v>194.19</v>
      </c>
      <c r="L3962" s="2119"/>
      <c r="M3962" s="568"/>
    </row>
    <row r="3963" spans="1:16" ht="12.75" hidden="1">
      <c r="A3963" s="568"/>
      <c r="B3963" s="568"/>
      <c r="C3963" s="568"/>
      <c r="D3963" s="568"/>
      <c r="E3963" s="188"/>
      <c r="F3963" s="188"/>
      <c r="G3963" s="2122"/>
      <c r="H3963" s="2117"/>
      <c r="I3963" s="2118"/>
      <c r="J3963" s="2126" t="s">
        <v>718</v>
      </c>
      <c r="K3963" s="2124">
        <f>SUM(K3960:K3962)</f>
        <v>595.44000000000005</v>
      </c>
      <c r="L3963" s="2119"/>
      <c r="M3963" s="568"/>
      <c r="O3963" s="1991">
        <f>K3957/10</f>
        <v>98.25</v>
      </c>
      <c r="P3963" s="1706" t="s">
        <v>3149</v>
      </c>
    </row>
    <row r="3964" spans="1:16" ht="12.75" hidden="1">
      <c r="A3964" s="568"/>
      <c r="B3964" s="192" t="s">
        <v>825</v>
      </c>
      <c r="C3964" s="568"/>
      <c r="D3964" s="568"/>
      <c r="E3964" s="188"/>
      <c r="F3964" s="188"/>
      <c r="G3964" s="2161"/>
      <c r="H3964" s="2117"/>
      <c r="I3964" s="2118"/>
      <c r="J3964" s="2126" t="s">
        <v>718</v>
      </c>
      <c r="K3964" s="2124">
        <f>(K3952+K3957+K3958+K3963)/10</f>
        <v>631.0630000000001</v>
      </c>
      <c r="L3964" s="2119" t="s">
        <v>730</v>
      </c>
      <c r="M3964" s="568"/>
      <c r="O3964" s="1991">
        <f>K3964-O3963</f>
        <v>532.8130000000001</v>
      </c>
      <c r="P3964" s="1706" t="s">
        <v>26</v>
      </c>
    </row>
    <row r="3965" spans="1:16" ht="113.45" hidden="1" customHeight="1">
      <c r="A3965" s="2114">
        <f>A703</f>
        <v>70</v>
      </c>
      <c r="B3965" s="3017" t="str">
        <f>B703</f>
        <v>Providing laying  of 80mm thick factory made cement concrete Paver Block of M35 grade of concrete and of approved veriety in colour and size made by block making mechine with strong vibratory compaction of approved design &amp; shape laid in required colour and pattern over 50mm thick compacted bed of course sand filling the joints with fine sand etc all complete including cost of all materials all labour T&amp;P etc required for the work complete in all respectas per the direction of the Engineer-in- Charge.</v>
      </c>
      <c r="C3965" s="3017"/>
      <c r="D3965" s="3017"/>
      <c r="E3965" s="2116" t="str">
        <f>G769</f>
        <v>Each Sqm</v>
      </c>
      <c r="F3965" s="2116"/>
      <c r="G3965" s="2122"/>
      <c r="H3965" s="568"/>
      <c r="I3965" s="2118"/>
      <c r="J3965" s="2124"/>
      <c r="K3965" s="2124"/>
      <c r="L3965" s="192"/>
      <c r="M3965" s="568"/>
    </row>
    <row r="3966" spans="1:16" ht="12.75" hidden="1">
      <c r="A3966" s="2114" t="str">
        <f>A772</f>
        <v>E)</v>
      </c>
      <c r="B3966" s="192" t="str">
        <f>B3935</f>
        <v xml:space="preserve">Add 5% extra labour </v>
      </c>
      <c r="C3966" s="675"/>
      <c r="D3966" s="675"/>
      <c r="E3966" s="2120" t="str">
        <f>G772</f>
        <v>Each Sqm</v>
      </c>
      <c r="F3966" s="2120"/>
      <c r="G3966" s="2122"/>
      <c r="H3966" s="568"/>
      <c r="I3966" s="2118"/>
      <c r="J3966" s="2124"/>
      <c r="K3966" s="2124"/>
      <c r="L3966" s="192"/>
      <c r="M3966" s="568"/>
    </row>
    <row r="3967" spans="1:16" ht="12.75" hidden="1">
      <c r="A3967" s="568"/>
      <c r="B3967" s="192" t="s">
        <v>964</v>
      </c>
      <c r="C3967" s="568"/>
      <c r="D3967" s="568"/>
      <c r="E3967" s="188"/>
      <c r="F3967" s="188"/>
      <c r="G3967" s="2122"/>
      <c r="H3967" s="2117"/>
      <c r="I3967" s="2118"/>
      <c r="J3967" s="2123"/>
      <c r="K3967" s="2123"/>
      <c r="L3967" s="2119"/>
      <c r="M3967" s="568"/>
    </row>
    <row r="3968" spans="1:16" ht="12.75" hidden="1">
      <c r="A3968" s="568"/>
      <c r="B3968" s="192" t="s">
        <v>822</v>
      </c>
      <c r="C3968" s="568"/>
      <c r="D3968" s="568"/>
      <c r="E3968" s="188"/>
      <c r="F3968" s="188"/>
      <c r="G3968" s="568"/>
      <c r="H3968" s="2117"/>
      <c r="I3968" s="2118"/>
      <c r="J3968" s="568"/>
      <c r="K3968" s="568"/>
      <c r="L3968" s="2119"/>
      <c r="M3968" s="568"/>
    </row>
    <row r="3969" spans="1:16" ht="12.75" hidden="1">
      <c r="A3969" s="568"/>
      <c r="B3969" s="2117" t="s">
        <v>3502</v>
      </c>
      <c r="C3969" s="568"/>
      <c r="D3969" s="568"/>
      <c r="E3969" s="188"/>
      <c r="F3969" s="188"/>
      <c r="G3969" s="2122">
        <v>0.5</v>
      </c>
      <c r="H3969" s="2117" t="s">
        <v>49</v>
      </c>
      <c r="I3969" s="2118" t="s">
        <v>49</v>
      </c>
      <c r="J3969" s="2123">
        <f>G45</f>
        <v>71.94</v>
      </c>
      <c r="K3969" s="2123">
        <f>ROUND(G3969*J3969,2)</f>
        <v>35.97</v>
      </c>
      <c r="L3969" s="2119"/>
      <c r="M3969" s="568"/>
    </row>
    <row r="3970" spans="1:16" ht="12.75" hidden="1">
      <c r="A3970" s="568"/>
      <c r="B3970" s="568" t="s">
        <v>3503</v>
      </c>
      <c r="C3970" s="568"/>
      <c r="D3970" s="568"/>
      <c r="E3970" s="188"/>
      <c r="F3970" s="188"/>
      <c r="G3970" s="2122">
        <v>0.15</v>
      </c>
      <c r="H3970" s="2117" t="s">
        <v>49</v>
      </c>
      <c r="I3970" s="2118" t="s">
        <v>49</v>
      </c>
      <c r="J3970" s="2123">
        <f>G46</f>
        <v>76.88</v>
      </c>
      <c r="K3970" s="2123">
        <f>ROUND(G3970*J3970,2)</f>
        <v>11.53</v>
      </c>
      <c r="L3970" s="2119"/>
      <c r="M3970" s="568"/>
    </row>
    <row r="3971" spans="1:16" ht="12.75" hidden="1">
      <c r="A3971" s="568"/>
      <c r="B3971" s="568" t="s">
        <v>3504</v>
      </c>
      <c r="C3971" s="568"/>
      <c r="D3971" s="568"/>
      <c r="E3971" s="188"/>
      <c r="F3971" s="188"/>
      <c r="G3971" s="2122">
        <v>10</v>
      </c>
      <c r="H3971" s="2117" t="s">
        <v>92</v>
      </c>
      <c r="I3971" s="2118" t="s">
        <v>92</v>
      </c>
      <c r="J3971" s="2181">
        <f>G43</f>
        <v>548.98</v>
      </c>
      <c r="K3971" s="2123">
        <f>ROUND(G3971*J3971,2)</f>
        <v>5489.8</v>
      </c>
      <c r="L3971" s="2119"/>
      <c r="M3971" s="568"/>
    </row>
    <row r="3972" spans="1:16" ht="12.75" hidden="1">
      <c r="A3972" s="568"/>
      <c r="B3972" s="568" t="s">
        <v>3505</v>
      </c>
      <c r="C3972" s="568"/>
      <c r="D3972" s="568"/>
      <c r="E3972" s="188"/>
      <c r="F3972" s="188"/>
      <c r="G3972" s="2122"/>
      <c r="H3972" s="2117"/>
      <c r="I3972" s="2118"/>
      <c r="J3972" s="2126" t="s">
        <v>718</v>
      </c>
      <c r="K3972" s="2124">
        <f>SUM(K3969:K3971)</f>
        <v>5537.3</v>
      </c>
      <c r="L3972" s="2119"/>
      <c r="M3972" s="568"/>
    </row>
    <row r="3973" spans="1:16" ht="12.75" hidden="1">
      <c r="A3973" s="568"/>
      <c r="B3973" s="192" t="s">
        <v>781</v>
      </c>
      <c r="C3973" s="568"/>
      <c r="D3973" s="568"/>
      <c r="E3973" s="188"/>
      <c r="F3973" s="188"/>
      <c r="G3973" s="2122"/>
      <c r="H3973" s="2117"/>
      <c r="I3973" s="2118"/>
      <c r="J3973" s="2123"/>
      <c r="K3973" s="2123"/>
      <c r="L3973" s="2119"/>
      <c r="M3973" s="568"/>
    </row>
    <row r="3974" spans="1:16" ht="12.75" hidden="1">
      <c r="A3974" s="568"/>
      <c r="B3974" s="568" t="s">
        <v>824</v>
      </c>
      <c r="C3974" s="568"/>
      <c r="D3974" s="568"/>
      <c r="E3974" s="188"/>
      <c r="F3974" s="188"/>
      <c r="G3974" s="2122">
        <v>0.5</v>
      </c>
      <c r="H3974" s="2117" t="s">
        <v>262</v>
      </c>
      <c r="I3974" s="2118" t="s">
        <v>38</v>
      </c>
      <c r="J3974" s="2123">
        <f>L137</f>
        <v>495</v>
      </c>
      <c r="K3974" s="2123">
        <f>ROUND(G3974*J3974,2)</f>
        <v>247.5</v>
      </c>
      <c r="L3974" s="2119"/>
      <c r="M3974" s="568"/>
    </row>
    <row r="3975" spans="1:16" ht="12.75" hidden="1">
      <c r="A3975" s="568"/>
      <c r="B3975" s="568" t="s">
        <v>782</v>
      </c>
      <c r="C3975" s="568"/>
      <c r="D3975" s="568"/>
      <c r="E3975" s="188"/>
      <c r="F3975" s="188"/>
      <c r="G3975" s="2122">
        <v>0.5</v>
      </c>
      <c r="H3975" s="2117" t="s">
        <v>262</v>
      </c>
      <c r="I3975" s="2118" t="s">
        <v>38</v>
      </c>
      <c r="J3975" s="2123">
        <f>L136</f>
        <v>435</v>
      </c>
      <c r="K3975" s="2123">
        <f>ROUND(G3975*J3975,2)</f>
        <v>217.5</v>
      </c>
      <c r="L3975" s="2119"/>
      <c r="M3975" s="568"/>
    </row>
    <row r="3976" spans="1:16" ht="12.75" hidden="1">
      <c r="A3976" s="568"/>
      <c r="B3976" s="568" t="s">
        <v>717</v>
      </c>
      <c r="C3976" s="568"/>
      <c r="D3976" s="568"/>
      <c r="E3976" s="188"/>
      <c r="F3976" s="188"/>
      <c r="G3976" s="2122">
        <v>1.5</v>
      </c>
      <c r="H3976" s="2117" t="s">
        <v>262</v>
      </c>
      <c r="I3976" s="2118" t="s">
        <v>38</v>
      </c>
      <c r="J3976" s="2123">
        <f>L134</f>
        <v>345</v>
      </c>
      <c r="K3976" s="2123">
        <f>ROUND(G3976*J3976,2)</f>
        <v>517.5</v>
      </c>
      <c r="L3976" s="2119"/>
      <c r="M3976" s="568"/>
    </row>
    <row r="3977" spans="1:16" ht="12.75" hidden="1">
      <c r="A3977" s="568"/>
      <c r="B3977" s="568"/>
      <c r="C3977" s="568"/>
      <c r="D3977" s="568"/>
      <c r="E3977" s="188"/>
      <c r="F3977" s="188"/>
      <c r="G3977" s="2122"/>
      <c r="H3977" s="2117"/>
      <c r="I3977" s="2118"/>
      <c r="J3977" s="2126" t="s">
        <v>718</v>
      </c>
      <c r="K3977" s="2124">
        <f>SUM(K3974:K3976)</f>
        <v>982.5</v>
      </c>
      <c r="L3977" s="2119"/>
      <c r="M3977" s="568"/>
    </row>
    <row r="3978" spans="1:16" ht="12.75" hidden="1">
      <c r="A3978" s="568"/>
      <c r="B3978" s="192" t="s">
        <v>3506</v>
      </c>
      <c r="C3978" s="568"/>
      <c r="D3978" s="568"/>
      <c r="E3978" s="188"/>
      <c r="F3978" s="188"/>
      <c r="G3978" s="2122">
        <v>0.01</v>
      </c>
      <c r="H3978" s="2117" t="s">
        <v>262</v>
      </c>
      <c r="I3978" s="2118" t="s">
        <v>38</v>
      </c>
      <c r="J3978" s="2123">
        <f>K3972+K3977</f>
        <v>6519.8</v>
      </c>
      <c r="K3978" s="2123">
        <f>ROUND(G3978*J3978,2)</f>
        <v>65.2</v>
      </c>
      <c r="L3978" s="2119"/>
      <c r="M3978" s="568"/>
    </row>
    <row r="3979" spans="1:16" ht="12.75" hidden="1">
      <c r="A3979" s="568"/>
      <c r="B3979" s="192" t="s">
        <v>783</v>
      </c>
      <c r="C3979" s="568"/>
      <c r="D3979" s="568"/>
      <c r="E3979" s="188"/>
      <c r="F3979" s="188"/>
      <c r="G3979" s="2122"/>
      <c r="H3979" s="2117"/>
      <c r="I3979" s="2118"/>
      <c r="J3979" s="2134"/>
      <c r="K3979" s="2123"/>
      <c r="L3979" s="2119"/>
      <c r="M3979" s="568"/>
    </row>
    <row r="3980" spans="1:16" ht="12.75" hidden="1">
      <c r="A3980" s="568"/>
      <c r="B3980" s="2117" t="str">
        <f>B3969</f>
        <v>Sand Bed</v>
      </c>
      <c r="C3980" s="568"/>
      <c r="D3980" s="568"/>
      <c r="E3980" s="188"/>
      <c r="F3980" s="188"/>
      <c r="G3980" s="2122">
        <f>G3969</f>
        <v>0.5</v>
      </c>
      <c r="H3980" s="2117" t="s">
        <v>49</v>
      </c>
      <c r="I3980" s="2118" t="s">
        <v>49</v>
      </c>
      <c r="J3980" s="2123">
        <f>K45</f>
        <v>587.26</v>
      </c>
      <c r="K3980" s="2123">
        <f>ROUND(G3980*J3980,2)</f>
        <v>293.63</v>
      </c>
      <c r="L3980" s="2119"/>
      <c r="M3980" s="568"/>
    </row>
    <row r="3981" spans="1:16" ht="12.75" hidden="1">
      <c r="A3981" s="568"/>
      <c r="B3981" s="568" t="s">
        <v>775</v>
      </c>
      <c r="C3981" s="568"/>
      <c r="D3981" s="568"/>
      <c r="E3981" s="188"/>
      <c r="F3981" s="188"/>
      <c r="G3981" s="2122">
        <f>G3970</f>
        <v>0.15</v>
      </c>
      <c r="H3981" s="2117" t="s">
        <v>49</v>
      </c>
      <c r="I3981" s="2118" t="s">
        <v>49</v>
      </c>
      <c r="J3981" s="2123">
        <f>K46</f>
        <v>717.46</v>
      </c>
      <c r="K3981" s="2123">
        <f>ROUND(G3981*J3981,2)</f>
        <v>107.62</v>
      </c>
      <c r="L3981" s="2119"/>
      <c r="M3981" s="568"/>
    </row>
    <row r="3982" spans="1:16" ht="12.75" hidden="1">
      <c r="A3982" s="568"/>
      <c r="B3982" s="568" t="str">
        <f>B3971</f>
        <v>Paver Block 250mmx80mm</v>
      </c>
      <c r="C3982" s="568"/>
      <c r="D3982" s="568"/>
      <c r="E3982" s="188"/>
      <c r="F3982" s="188"/>
      <c r="G3982" s="2122">
        <f>G3971</f>
        <v>10</v>
      </c>
      <c r="H3982" s="2117" t="s">
        <v>92</v>
      </c>
      <c r="I3982" s="2118" t="s">
        <v>92</v>
      </c>
      <c r="J3982" s="2123">
        <f>K43</f>
        <v>19.419444444444444</v>
      </c>
      <c r="K3982" s="2123">
        <f>ROUND(G3982*J3982,2)</f>
        <v>194.19</v>
      </c>
      <c r="L3982" s="2119"/>
      <c r="M3982" s="568"/>
    </row>
    <row r="3983" spans="1:16" ht="12.75" hidden="1">
      <c r="A3983" s="568"/>
      <c r="B3983" s="568"/>
      <c r="C3983" s="568"/>
      <c r="D3983" s="568"/>
      <c r="E3983" s="188"/>
      <c r="F3983" s="188"/>
      <c r="G3983" s="2122"/>
      <c r="H3983" s="2117"/>
      <c r="I3983" s="2118"/>
      <c r="J3983" s="2126" t="s">
        <v>718</v>
      </c>
      <c r="K3983" s="2124">
        <f>SUM(K3980:K3982)</f>
        <v>595.44000000000005</v>
      </c>
      <c r="L3983" s="2119"/>
      <c r="M3983" s="568"/>
      <c r="O3983" s="1991">
        <f>K3977/10</f>
        <v>98.25</v>
      </c>
      <c r="P3983" s="1706" t="s">
        <v>3149</v>
      </c>
    </row>
    <row r="3984" spans="1:16" ht="12.75" hidden="1">
      <c r="A3984" s="568"/>
      <c r="B3984" s="192" t="s">
        <v>825</v>
      </c>
      <c r="C3984" s="568"/>
      <c r="D3984" s="568"/>
      <c r="E3984" s="188"/>
      <c r="F3984" s="188"/>
      <c r="G3984" s="2161"/>
      <c r="H3984" s="2117"/>
      <c r="I3984" s="2118"/>
      <c r="J3984" s="2126" t="s">
        <v>718</v>
      </c>
      <c r="K3984" s="2124">
        <f>(K3972+K3977+K3978+K3983)/10</f>
        <v>718.0440000000001</v>
      </c>
      <c r="L3984" s="2119" t="s">
        <v>730</v>
      </c>
      <c r="M3984" s="568"/>
      <c r="O3984" s="1991">
        <f>K3984-O3983</f>
        <v>619.7940000000001</v>
      </c>
      <c r="P3984" s="1706" t="s">
        <v>26</v>
      </c>
    </row>
    <row r="3985" spans="1:13" ht="84" hidden="1" customHeight="1">
      <c r="A3985" s="2114">
        <f>A705</f>
        <v>71</v>
      </c>
      <c r="B3985" s="3017" t="str">
        <f>B705</f>
        <v>Providing 2.5cm thick Grading Concrete over roof slab with cement concrete (1:2:2) using 6mm size black hard granite crusher broken chips and screened &amp; washed sharp sand for mortar and finished smooth to the rough surface of slab including watering and curing  etc. complete in all respect as directed by the Engineer in charge.</v>
      </c>
      <c r="C3985" s="3017"/>
      <c r="D3985" s="3017"/>
      <c r="E3985" s="2116" t="str">
        <f>G705</f>
        <v>Each Sqm</v>
      </c>
      <c r="F3985" s="2116"/>
      <c r="G3985" s="2161"/>
      <c r="H3985" s="2117"/>
      <c r="I3985" s="2118"/>
      <c r="J3985" s="2123"/>
      <c r="K3985" s="2124"/>
      <c r="L3985" s="2119"/>
      <c r="M3985" s="568"/>
    </row>
    <row r="3986" spans="1:13" ht="12.75" hidden="1">
      <c r="A3986" s="2114" t="str">
        <f>A706</f>
        <v>(i)</v>
      </c>
      <c r="B3986" s="192" t="str">
        <f>B706</f>
        <v>Ground Floor</v>
      </c>
      <c r="C3986" s="675"/>
      <c r="D3986" s="675"/>
      <c r="E3986" s="2120" t="str">
        <f>G706</f>
        <v>Each Sqm</v>
      </c>
      <c r="F3986" s="2120"/>
      <c r="G3986" s="2122"/>
      <c r="H3986" s="568"/>
      <c r="I3986" s="2118"/>
      <c r="J3986" s="2124"/>
      <c r="K3986" s="2124"/>
      <c r="L3986" s="192"/>
      <c r="M3986" s="568"/>
    </row>
    <row r="3987" spans="1:13" ht="12.75" hidden="1">
      <c r="A3987" s="568"/>
      <c r="B3987" s="192" t="s">
        <v>821</v>
      </c>
      <c r="C3987" s="568"/>
      <c r="D3987" s="568"/>
      <c r="E3987" s="188"/>
      <c r="F3987" s="188"/>
      <c r="G3987" s="2122"/>
      <c r="H3987" s="2117"/>
      <c r="I3987" s="2118"/>
      <c r="J3987" s="2123"/>
      <c r="K3987" s="2123"/>
      <c r="L3987" s="2119"/>
      <c r="M3987" s="568"/>
    </row>
    <row r="3988" spans="1:13" ht="12.75" hidden="1">
      <c r="A3988" s="568"/>
      <c r="B3988" s="192" t="s">
        <v>822</v>
      </c>
      <c r="C3988" s="568"/>
      <c r="D3988" s="568"/>
      <c r="E3988" s="188"/>
      <c r="F3988" s="188"/>
      <c r="G3988" s="568"/>
      <c r="H3988" s="2117"/>
      <c r="I3988" s="2118"/>
      <c r="J3988" s="568"/>
      <c r="K3988" s="568"/>
      <c r="L3988" s="2119"/>
      <c r="M3988" s="568"/>
    </row>
    <row r="3989" spans="1:13" ht="12.75" hidden="1">
      <c r="A3989" s="568"/>
      <c r="B3989" s="2117" t="s">
        <v>972</v>
      </c>
      <c r="C3989" s="568"/>
      <c r="D3989" s="568"/>
      <c r="E3989" s="188"/>
      <c r="F3989" s="188"/>
      <c r="G3989" s="2164">
        <v>1.6899999999999998E-2</v>
      </c>
      <c r="H3989" s="2117" t="s">
        <v>49</v>
      </c>
      <c r="I3989" s="2118" t="s">
        <v>49</v>
      </c>
      <c r="J3989" s="2123">
        <f>G16</f>
        <v>792.8</v>
      </c>
      <c r="K3989" s="2123">
        <f>ROUND(G3989*J3989,2)</f>
        <v>13.4</v>
      </c>
      <c r="L3989" s="2119"/>
      <c r="M3989" s="568"/>
    </row>
    <row r="3990" spans="1:13" ht="12.75" hidden="1">
      <c r="A3990" s="568"/>
      <c r="B3990" s="568" t="s">
        <v>775</v>
      </c>
      <c r="C3990" s="568"/>
      <c r="D3990" s="568"/>
      <c r="E3990" s="188"/>
      <c r="F3990" s="188"/>
      <c r="G3990" s="2164">
        <f>G3989</f>
        <v>1.6899999999999998E-2</v>
      </c>
      <c r="H3990" s="2117" t="s">
        <v>49</v>
      </c>
      <c r="I3990" s="2118" t="s">
        <v>49</v>
      </c>
      <c r="J3990" s="2123">
        <f>G46</f>
        <v>76.88</v>
      </c>
      <c r="K3990" s="2123">
        <f>ROUND(G3990*J3990,2)</f>
        <v>1.3</v>
      </c>
      <c r="L3990" s="2119"/>
      <c r="M3990" s="568"/>
    </row>
    <row r="3991" spans="1:13" ht="12.75" hidden="1">
      <c r="A3991" s="568"/>
      <c r="B3991" s="568" t="s">
        <v>8</v>
      </c>
      <c r="C3991" s="568"/>
      <c r="D3991" s="568"/>
      <c r="E3991" s="188"/>
      <c r="F3991" s="188"/>
      <c r="G3991" s="2164">
        <v>0.1208</v>
      </c>
      <c r="H3991" s="2117" t="s">
        <v>247</v>
      </c>
      <c r="I3991" s="2118" t="s">
        <v>247</v>
      </c>
      <c r="J3991" s="2123">
        <f>G50/10</f>
        <v>570.23400000000004</v>
      </c>
      <c r="K3991" s="2123">
        <f>ROUND(G3991*J3991,2)</f>
        <v>68.88</v>
      </c>
      <c r="L3991" s="2119"/>
      <c r="M3991" s="568"/>
    </row>
    <row r="3992" spans="1:13" ht="12.75" hidden="1">
      <c r="A3992" s="568"/>
      <c r="B3992" s="568"/>
      <c r="C3992" s="568"/>
      <c r="D3992" s="568"/>
      <c r="E3992" s="188"/>
      <c r="F3992" s="188"/>
      <c r="G3992" s="2122"/>
      <c r="H3992" s="2117"/>
      <c r="I3992" s="2118"/>
      <c r="J3992" s="2126" t="s">
        <v>718</v>
      </c>
      <c r="K3992" s="2124">
        <f>SUM(K3989:K3991)</f>
        <v>83.58</v>
      </c>
      <c r="L3992" s="2119"/>
      <c r="M3992" s="568"/>
    </row>
    <row r="3993" spans="1:13" ht="12.75" hidden="1">
      <c r="A3993" s="568"/>
      <c r="B3993" s="192" t="s">
        <v>781</v>
      </c>
      <c r="C3993" s="568"/>
      <c r="D3993" s="568"/>
      <c r="E3993" s="188"/>
      <c r="F3993" s="188"/>
      <c r="G3993" s="2122"/>
      <c r="H3993" s="2117"/>
      <c r="I3993" s="2118"/>
      <c r="J3993" s="2123"/>
      <c r="K3993" s="2123"/>
      <c r="L3993" s="2119"/>
      <c r="M3993" s="568"/>
    </row>
    <row r="3994" spans="1:13" ht="12.75" hidden="1">
      <c r="A3994" s="568"/>
      <c r="B3994" s="568" t="s">
        <v>824</v>
      </c>
      <c r="C3994" s="568"/>
      <c r="D3994" s="568"/>
      <c r="E3994" s="188"/>
      <c r="F3994" s="188"/>
      <c r="G3994" s="2122">
        <v>0.1</v>
      </c>
      <c r="H3994" s="2117" t="s">
        <v>262</v>
      </c>
      <c r="I3994" s="2118" t="s">
        <v>38</v>
      </c>
      <c r="J3994" s="2123">
        <f>L137</f>
        <v>495</v>
      </c>
      <c r="K3994" s="2123">
        <f>ROUND(G3994*J3994,2)</f>
        <v>49.5</v>
      </c>
      <c r="L3994" s="2119"/>
      <c r="M3994" s="568"/>
    </row>
    <row r="3995" spans="1:13" ht="12.75" hidden="1">
      <c r="A3995" s="568"/>
      <c r="B3995" s="568" t="s">
        <v>717</v>
      </c>
      <c r="C3995" s="568"/>
      <c r="D3995" s="568"/>
      <c r="E3995" s="188"/>
      <c r="F3995" s="188"/>
      <c r="G3995" s="2122">
        <v>0.36</v>
      </c>
      <c r="H3995" s="2117" t="s">
        <v>262</v>
      </c>
      <c r="I3995" s="2118" t="s">
        <v>38</v>
      </c>
      <c r="J3995" s="2123">
        <f>L134</f>
        <v>345</v>
      </c>
      <c r="K3995" s="2123">
        <f>ROUND(G3995*J3995,2)</f>
        <v>124.2</v>
      </c>
      <c r="L3995" s="2119"/>
      <c r="M3995" s="568"/>
    </row>
    <row r="3996" spans="1:13" ht="12.75" hidden="1">
      <c r="A3996" s="568"/>
      <c r="B3996" s="568"/>
      <c r="C3996" s="568"/>
      <c r="D3996" s="568"/>
      <c r="E3996" s="188"/>
      <c r="F3996" s="188"/>
      <c r="G3996" s="2122"/>
      <c r="H3996" s="2117"/>
      <c r="I3996" s="2118"/>
      <c r="J3996" s="2126" t="s">
        <v>718</v>
      </c>
      <c r="K3996" s="2124">
        <f>SUM(K3994:K3995)</f>
        <v>173.7</v>
      </c>
      <c r="L3996" s="2119"/>
      <c r="M3996" s="568"/>
    </row>
    <row r="3997" spans="1:13" ht="12.75" hidden="1">
      <c r="A3997" s="568"/>
      <c r="B3997" s="192"/>
      <c r="C3997" s="568"/>
      <c r="D3997" s="568"/>
      <c r="E3997" s="188"/>
      <c r="F3997" s="188"/>
      <c r="G3997" s="2122"/>
      <c r="H3997" s="2117"/>
      <c r="I3997" s="2118"/>
      <c r="J3997" s="2123" t="s">
        <v>3743</v>
      </c>
      <c r="K3997" s="2124">
        <f>K3992+K3996</f>
        <v>257.27999999999997</v>
      </c>
      <c r="L3997" s="2119"/>
      <c r="M3997" s="568"/>
    </row>
    <row r="3998" spans="1:13" ht="12.75" hidden="1">
      <c r="A3998" s="568"/>
      <c r="B3998" s="192" t="s">
        <v>3662</v>
      </c>
      <c r="C3998" s="568"/>
      <c r="D3998" s="568"/>
      <c r="E3998" s="188"/>
      <c r="F3998" s="188"/>
      <c r="G3998" s="2122"/>
      <c r="H3998" s="2135">
        <f>H3847</f>
        <v>7.4999999999999997E-2</v>
      </c>
      <c r="I3998" s="2134">
        <f>K3997+K3993</f>
        <v>257.27999999999997</v>
      </c>
      <c r="J3998" s="2134"/>
      <c r="K3998" s="2123">
        <f>ROUND(I3998*H3998,2)</f>
        <v>19.3</v>
      </c>
      <c r="L3998" s="2119"/>
      <c r="M3998" s="568"/>
    </row>
    <row r="3999" spans="1:13" ht="12.75" hidden="1">
      <c r="A3999" s="568"/>
      <c r="B3999" s="192" t="s">
        <v>3661</v>
      </c>
      <c r="C3999" s="568"/>
      <c r="D3999" s="568"/>
      <c r="E3999" s="188"/>
      <c r="F3999" s="188"/>
      <c r="G3999" s="2122"/>
      <c r="H3999" s="2135">
        <f>H3998</f>
        <v>7.4999999999999997E-2</v>
      </c>
      <c r="I3999" s="2134">
        <f>I3998</f>
        <v>257.27999999999997</v>
      </c>
      <c r="J3999" s="2134"/>
      <c r="K3999" s="2140">
        <f>ROUND(I3999*H3999,2)</f>
        <v>19.3</v>
      </c>
      <c r="L3999" s="2119"/>
      <c r="M3999" s="568"/>
    </row>
    <row r="4000" spans="1:13" ht="12.75" hidden="1">
      <c r="A4000" s="568"/>
      <c r="B4000" s="192" t="s">
        <v>1497</v>
      </c>
      <c r="C4000" s="568"/>
      <c r="D4000" s="568"/>
      <c r="E4000" s="188"/>
      <c r="F4000" s="188"/>
      <c r="G4000" s="2122"/>
      <c r="H4000" s="568"/>
      <c r="I4000" s="2118"/>
      <c r="J4000" s="2123" t="s">
        <v>718</v>
      </c>
      <c r="K4000" s="2123">
        <f>SUM(K3997:K3999)</f>
        <v>295.88</v>
      </c>
      <c r="L4000" s="2119"/>
      <c r="M4000" s="568"/>
    </row>
    <row r="4001" spans="1:16" ht="12.75" hidden="1">
      <c r="A4001" s="568"/>
      <c r="B4001" s="192" t="s">
        <v>3663</v>
      </c>
      <c r="C4001" s="568"/>
      <c r="D4001" s="568"/>
      <c r="E4001" s="188"/>
      <c r="F4001" s="188"/>
      <c r="G4001" s="2122"/>
      <c r="H4001" s="2117"/>
      <c r="I4001" s="2118"/>
      <c r="J4001" s="2134"/>
      <c r="K4001" s="2123"/>
      <c r="L4001" s="2119"/>
      <c r="M4001" s="568"/>
    </row>
    <row r="4002" spans="1:16" ht="12.75" hidden="1">
      <c r="A4002" s="568"/>
      <c r="B4002" s="2117" t="str">
        <f>B3989</f>
        <v>B.h.g.c.b. chips 4.7mm size</v>
      </c>
      <c r="C4002" s="568"/>
      <c r="D4002" s="568"/>
      <c r="E4002" s="188"/>
      <c r="F4002" s="188"/>
      <c r="G4002" s="2164">
        <f>G3989</f>
        <v>1.6899999999999998E-2</v>
      </c>
      <c r="H4002" s="2117" t="s">
        <v>49</v>
      </c>
      <c r="I4002" s="2118" t="s">
        <v>49</v>
      </c>
      <c r="J4002" s="2123">
        <f>K16</f>
        <v>1308.4099999999999</v>
      </c>
      <c r="K4002" s="2123">
        <f>ROUND(G4002*J4002,2)</f>
        <v>22.11</v>
      </c>
      <c r="L4002" s="2119"/>
      <c r="M4002" s="568"/>
    </row>
    <row r="4003" spans="1:16" ht="12.75" hidden="1">
      <c r="A4003" s="568"/>
      <c r="B4003" s="568" t="s">
        <v>775</v>
      </c>
      <c r="C4003" s="568"/>
      <c r="D4003" s="568"/>
      <c r="E4003" s="188"/>
      <c r="F4003" s="188"/>
      <c r="G4003" s="2164">
        <f>G4002</f>
        <v>1.6899999999999998E-2</v>
      </c>
      <c r="H4003" s="2117" t="s">
        <v>49</v>
      </c>
      <c r="I4003" s="2118" t="s">
        <v>49</v>
      </c>
      <c r="J4003" s="2123">
        <f>K46</f>
        <v>717.46</v>
      </c>
      <c r="K4003" s="2123">
        <f>ROUND(G4003*J4003,2)</f>
        <v>12.13</v>
      </c>
      <c r="L4003" s="2119"/>
      <c r="M4003" s="568"/>
    </row>
    <row r="4004" spans="1:16" ht="12.75" hidden="1">
      <c r="A4004" s="568"/>
      <c r="B4004" s="568" t="s">
        <v>8</v>
      </c>
      <c r="C4004" s="568"/>
      <c r="D4004" s="568"/>
      <c r="E4004" s="188"/>
      <c r="F4004" s="188"/>
      <c r="G4004" s="2164">
        <f>G3991</f>
        <v>0.1208</v>
      </c>
      <c r="H4004" s="2117" t="s">
        <v>247</v>
      </c>
      <c r="I4004" s="2118" t="s">
        <v>247</v>
      </c>
      <c r="J4004" s="2123">
        <f>K50/10</f>
        <v>42.622</v>
      </c>
      <c r="K4004" s="2123">
        <f>ROUND(G4004*J4004,2)</f>
        <v>5.15</v>
      </c>
      <c r="L4004" s="2119"/>
      <c r="M4004" s="568"/>
    </row>
    <row r="4005" spans="1:16" ht="12.75" hidden="1">
      <c r="A4005" s="568"/>
      <c r="B4005" s="568"/>
      <c r="C4005" s="568"/>
      <c r="D4005" s="568"/>
      <c r="E4005" s="188"/>
      <c r="F4005" s="188"/>
      <c r="G4005" s="2122"/>
      <c r="H4005" s="2117"/>
      <c r="I4005" s="2118"/>
      <c r="J4005" s="2126" t="s">
        <v>718</v>
      </c>
      <c r="K4005" s="2124">
        <f>SUM(K4002:K4004)</f>
        <v>39.39</v>
      </c>
      <c r="L4005" s="2119"/>
      <c r="M4005" s="568"/>
      <c r="O4005" s="1991">
        <f>K3996</f>
        <v>173.7</v>
      </c>
      <c r="P4005" s="1706" t="s">
        <v>3149</v>
      </c>
    </row>
    <row r="4006" spans="1:16" ht="12.75" hidden="1">
      <c r="A4006" s="568"/>
      <c r="B4006" s="568" t="s">
        <v>3742</v>
      </c>
      <c r="C4006" s="568"/>
      <c r="D4006" s="568"/>
      <c r="E4006" s="188"/>
      <c r="F4006" s="188"/>
      <c r="G4006" s="2122"/>
      <c r="H4006" s="2117"/>
      <c r="I4006" s="2118"/>
      <c r="J4006" s="2126"/>
      <c r="K4006" s="2124">
        <f>K4000+K4005</f>
        <v>335.27</v>
      </c>
      <c r="L4006" s="2119"/>
      <c r="M4006" s="568"/>
      <c r="O4006" s="1991"/>
      <c r="P4006" s="1706"/>
    </row>
    <row r="4007" spans="1:16" ht="12.75" hidden="1">
      <c r="A4007" s="568"/>
      <c r="B4007" s="192" t="s">
        <v>3738</v>
      </c>
      <c r="C4007" s="2142">
        <v>0.01</v>
      </c>
      <c r="D4007" s="568"/>
      <c r="E4007" s="188"/>
      <c r="F4007" s="188"/>
      <c r="G4007" s="2122"/>
      <c r="H4007" s="568"/>
      <c r="I4007" s="2118"/>
      <c r="J4007" s="2123"/>
      <c r="K4007" s="2140">
        <f>ROUND(K4006*C4007,2)</f>
        <v>3.35</v>
      </c>
      <c r="L4007" s="2119"/>
      <c r="M4007" s="568"/>
      <c r="O4007" s="1991"/>
      <c r="P4007" s="1706"/>
    </row>
    <row r="4008" spans="1:16" ht="12.75" hidden="1">
      <c r="A4008" s="568"/>
      <c r="B4008" s="192" t="s">
        <v>825</v>
      </c>
      <c r="C4008" s="568"/>
      <c r="D4008" s="568"/>
      <c r="E4008" s="188"/>
      <c r="F4008" s="188"/>
      <c r="G4008" s="2161"/>
      <c r="H4008" s="2117"/>
      <c r="I4008" s="2118"/>
      <c r="J4008" s="2126" t="s">
        <v>718</v>
      </c>
      <c r="K4008" s="2124">
        <f>SUM(K4006:K4007)</f>
        <v>338.62</v>
      </c>
      <c r="L4008" s="2119" t="s">
        <v>730</v>
      </c>
      <c r="M4008" s="568"/>
      <c r="O4008" s="1991">
        <f>K4008-O4005</f>
        <v>164.92000000000002</v>
      </c>
      <c r="P4008" s="1706" t="s">
        <v>26</v>
      </c>
    </row>
    <row r="4009" spans="1:16" ht="12.75" hidden="1">
      <c r="A4009" s="2114" t="str">
        <f>A707</f>
        <v>(ii)</v>
      </c>
      <c r="B4009" s="192" t="str">
        <f>B707</f>
        <v>First Floor</v>
      </c>
      <c r="C4009" s="568"/>
      <c r="D4009" s="568"/>
      <c r="E4009" s="2120" t="str">
        <f>E3986</f>
        <v>Each Sqm</v>
      </c>
      <c r="F4009" s="2120"/>
      <c r="G4009" s="2122"/>
      <c r="H4009" s="568"/>
      <c r="I4009" s="2118"/>
      <c r="J4009" s="2123"/>
      <c r="K4009" s="2123"/>
      <c r="L4009" s="192"/>
      <c r="M4009" s="568"/>
    </row>
    <row r="4010" spans="1:16" ht="12.75" hidden="1">
      <c r="A4010" s="2114"/>
      <c r="B4010" s="568" t="s">
        <v>722</v>
      </c>
      <c r="C4010" s="568"/>
      <c r="D4010" s="568"/>
      <c r="E4010" s="188"/>
      <c r="F4010" s="188"/>
      <c r="G4010" s="2122"/>
      <c r="H4010" s="568"/>
      <c r="I4010" s="2118"/>
      <c r="J4010" s="2123"/>
      <c r="K4010" s="2123">
        <f>K4006</f>
        <v>335.27</v>
      </c>
      <c r="L4010" s="192"/>
      <c r="M4010" s="568"/>
    </row>
    <row r="4011" spans="1:16" ht="12.75" hidden="1">
      <c r="A4011" s="2114"/>
      <c r="B4011" s="568" t="s">
        <v>723</v>
      </c>
      <c r="C4011" s="568"/>
      <c r="D4011" s="568"/>
      <c r="E4011" s="188"/>
      <c r="F4011" s="188"/>
      <c r="G4011" s="2122"/>
      <c r="H4011" s="2125">
        <v>0.05</v>
      </c>
      <c r="I4011" s="2134">
        <f>K3996</f>
        <v>173.7</v>
      </c>
      <c r="J4011" s="2124"/>
      <c r="K4011" s="2123">
        <f>ROUND(I4011*H4011,2)</f>
        <v>8.69</v>
      </c>
      <c r="L4011" s="192"/>
      <c r="M4011" s="568"/>
      <c r="O4011" s="1991">
        <f>O4005+K4011</f>
        <v>182.39</v>
      </c>
      <c r="P4011" s="1706" t="s">
        <v>3149</v>
      </c>
    </row>
    <row r="4012" spans="1:16" ht="12.75" hidden="1">
      <c r="A4012" s="2114"/>
      <c r="B4012" s="192" t="s">
        <v>3662</v>
      </c>
      <c r="C4012" s="568"/>
      <c r="D4012" s="568"/>
      <c r="E4012" s="188"/>
      <c r="F4012" s="188"/>
      <c r="G4012" s="2122"/>
      <c r="H4012" s="2135">
        <f>H3999</f>
        <v>7.4999999999999997E-2</v>
      </c>
      <c r="I4012" s="2134">
        <f>K4011</f>
        <v>8.69</v>
      </c>
      <c r="J4012" s="2134"/>
      <c r="K4012" s="2123">
        <f>ROUND(I4012*H4012,2)</f>
        <v>0.65</v>
      </c>
      <c r="L4012" s="192"/>
      <c r="M4012" s="568"/>
      <c r="O4012" s="1991"/>
      <c r="P4012" s="1706"/>
    </row>
    <row r="4013" spans="1:16" ht="12.75" hidden="1">
      <c r="A4013" s="2114"/>
      <c r="B4013" s="192" t="s">
        <v>3661</v>
      </c>
      <c r="C4013" s="568"/>
      <c r="D4013" s="568"/>
      <c r="E4013" s="188"/>
      <c r="F4013" s="188"/>
      <c r="G4013" s="2122"/>
      <c r="H4013" s="2135">
        <f>H4012</f>
        <v>7.4999999999999997E-2</v>
      </c>
      <c r="I4013" s="2134">
        <f>I4012</f>
        <v>8.69</v>
      </c>
      <c r="J4013" s="2134"/>
      <c r="K4013" s="2140">
        <f>ROUND(I4013*H4013,2)</f>
        <v>0.65</v>
      </c>
      <c r="L4013" s="192"/>
      <c r="M4013" s="568"/>
      <c r="O4013" s="1991"/>
      <c r="P4013" s="1706"/>
    </row>
    <row r="4014" spans="1:16" ht="12.75" hidden="1">
      <c r="A4014" s="2114"/>
      <c r="B4014" s="568"/>
      <c r="C4014" s="568"/>
      <c r="D4014" s="568"/>
      <c r="E4014" s="188"/>
      <c r="F4014" s="188"/>
      <c r="G4014" s="2122"/>
      <c r="H4014" s="568"/>
      <c r="I4014" s="2118"/>
      <c r="J4014" s="2123"/>
      <c r="K4014" s="2123">
        <f>SUM(K4010:K4013)</f>
        <v>345.25999999999993</v>
      </c>
      <c r="L4014" s="192"/>
      <c r="M4014" s="568"/>
      <c r="O4014" s="1991"/>
      <c r="P4014" s="1706"/>
    </row>
    <row r="4015" spans="1:16" ht="12.75" hidden="1">
      <c r="A4015" s="2114"/>
      <c r="B4015" s="192" t="s">
        <v>3738</v>
      </c>
      <c r="C4015" s="2142">
        <v>0.01</v>
      </c>
      <c r="D4015" s="568"/>
      <c r="E4015" s="188"/>
      <c r="F4015" s="188"/>
      <c r="G4015" s="2122"/>
      <c r="H4015" s="568"/>
      <c r="I4015" s="2118"/>
      <c r="J4015" s="2123"/>
      <c r="K4015" s="2140">
        <f>ROUND(K4014*C4015,2)</f>
        <v>3.45</v>
      </c>
      <c r="L4015" s="192"/>
      <c r="M4015" s="568"/>
      <c r="O4015" s="1991"/>
      <c r="P4015" s="1706"/>
    </row>
    <row r="4016" spans="1:16" ht="12.75" hidden="1">
      <c r="A4016" s="2114"/>
      <c r="B4016" s="568"/>
      <c r="C4016" s="568"/>
      <c r="D4016" s="568"/>
      <c r="E4016" s="188"/>
      <c r="F4016" s="188"/>
      <c r="G4016" s="2122"/>
      <c r="H4016" s="568"/>
      <c r="I4016" s="2118"/>
      <c r="J4016" s="2126" t="s">
        <v>718</v>
      </c>
      <c r="K4016" s="2124">
        <f>SUM(K4014:K4015)</f>
        <v>348.70999999999992</v>
      </c>
      <c r="L4016" s="192" t="s">
        <v>730</v>
      </c>
      <c r="M4016" s="568"/>
      <c r="O4016" s="1991">
        <f>K4016-O4011</f>
        <v>166.31999999999994</v>
      </c>
      <c r="P4016" s="1706" t="s">
        <v>26</v>
      </c>
    </row>
    <row r="4017" spans="1:16" ht="12.75" hidden="1">
      <c r="A4017" s="2114" t="str">
        <f>A708</f>
        <v>(iii)</v>
      </c>
      <c r="B4017" s="192" t="str">
        <f>B708</f>
        <v>2nd Floor</v>
      </c>
      <c r="C4017" s="568"/>
      <c r="D4017" s="568"/>
      <c r="E4017" s="2120" t="str">
        <f>E4009</f>
        <v>Each Sqm</v>
      </c>
      <c r="F4017" s="2120"/>
      <c r="G4017" s="2122"/>
      <c r="H4017" s="568"/>
      <c r="I4017" s="2118"/>
      <c r="J4017" s="2123"/>
      <c r="K4017" s="2123"/>
      <c r="L4017" s="192"/>
      <c r="M4017" s="568"/>
    </row>
    <row r="4018" spans="1:16" ht="12.75" hidden="1">
      <c r="A4018" s="2114"/>
      <c r="B4018" s="568" t="s">
        <v>722</v>
      </c>
      <c r="C4018" s="568"/>
      <c r="D4018" s="568"/>
      <c r="E4018" s="188"/>
      <c r="F4018" s="188"/>
      <c r="G4018" s="2122"/>
      <c r="H4018" s="568"/>
      <c r="I4018" s="2118"/>
      <c r="J4018" s="2123"/>
      <c r="K4018" s="2123">
        <f>K4014</f>
        <v>345.25999999999993</v>
      </c>
      <c r="L4018" s="192"/>
      <c r="M4018" s="568"/>
    </row>
    <row r="4019" spans="1:16" ht="12.75" hidden="1">
      <c r="A4019" s="2114"/>
      <c r="B4019" s="568" t="s">
        <v>723</v>
      </c>
      <c r="C4019" s="568"/>
      <c r="D4019" s="568"/>
      <c r="E4019" s="188"/>
      <c r="F4019" s="188"/>
      <c r="G4019" s="2122"/>
      <c r="H4019" s="2125">
        <f>H4011</f>
        <v>0.05</v>
      </c>
      <c r="I4019" s="2134">
        <f>I4011+K4011</f>
        <v>182.39</v>
      </c>
      <c r="J4019" s="2124"/>
      <c r="K4019" s="2123">
        <f>ROUND(I4019*H4019,2)</f>
        <v>9.1199999999999992</v>
      </c>
      <c r="L4019" s="192"/>
      <c r="M4019" s="568"/>
      <c r="O4019" s="1991">
        <f>O4011+K4019</f>
        <v>191.51</v>
      </c>
      <c r="P4019" s="1706" t="s">
        <v>3149</v>
      </c>
    </row>
    <row r="4020" spans="1:16" ht="12.75" hidden="1">
      <c r="A4020" s="2114"/>
      <c r="B4020" s="192" t="s">
        <v>3662</v>
      </c>
      <c r="C4020" s="568"/>
      <c r="D4020" s="568"/>
      <c r="E4020" s="188"/>
      <c r="F4020" s="188"/>
      <c r="G4020" s="2122"/>
      <c r="H4020" s="2135">
        <f>H4013</f>
        <v>7.4999999999999997E-2</v>
      </c>
      <c r="I4020" s="2134">
        <f>K4019</f>
        <v>9.1199999999999992</v>
      </c>
      <c r="J4020" s="2134"/>
      <c r="K4020" s="2123">
        <f>ROUND(I4020*H4020,2)</f>
        <v>0.68</v>
      </c>
      <c r="L4020" s="192"/>
      <c r="M4020" s="568"/>
      <c r="O4020" s="1991"/>
      <c r="P4020" s="1706"/>
    </row>
    <row r="4021" spans="1:16" ht="12.75" hidden="1">
      <c r="A4021" s="2114"/>
      <c r="B4021" s="192" t="s">
        <v>3661</v>
      </c>
      <c r="C4021" s="568"/>
      <c r="D4021" s="568"/>
      <c r="E4021" s="188"/>
      <c r="F4021" s="188"/>
      <c r="G4021" s="2122"/>
      <c r="H4021" s="2135">
        <f>H4020</f>
        <v>7.4999999999999997E-2</v>
      </c>
      <c r="I4021" s="2134">
        <f>I4020</f>
        <v>9.1199999999999992</v>
      </c>
      <c r="J4021" s="2134"/>
      <c r="K4021" s="2140">
        <f>ROUND(I4021*H4021,2)</f>
        <v>0.68</v>
      </c>
      <c r="L4021" s="192"/>
      <c r="M4021" s="568"/>
      <c r="O4021" s="1991"/>
      <c r="P4021" s="1706"/>
    </row>
    <row r="4022" spans="1:16" ht="12.75" hidden="1">
      <c r="A4022" s="2114"/>
      <c r="B4022" s="568"/>
      <c r="C4022" s="568"/>
      <c r="D4022" s="568"/>
      <c r="E4022" s="188"/>
      <c r="F4022" s="188"/>
      <c r="G4022" s="2122"/>
      <c r="H4022" s="568"/>
      <c r="I4022" s="2118"/>
      <c r="J4022" s="2123"/>
      <c r="K4022" s="2123">
        <f>SUM(K4018:K4021)</f>
        <v>355.73999999999995</v>
      </c>
      <c r="L4022" s="192"/>
      <c r="M4022" s="568"/>
      <c r="O4022" s="1991"/>
      <c r="P4022" s="1706"/>
    </row>
    <row r="4023" spans="1:16" ht="12.75" hidden="1">
      <c r="A4023" s="2114"/>
      <c r="B4023" s="192" t="s">
        <v>3738</v>
      </c>
      <c r="C4023" s="2142">
        <v>0.01</v>
      </c>
      <c r="D4023" s="568"/>
      <c r="E4023" s="188"/>
      <c r="F4023" s="188"/>
      <c r="G4023" s="2122"/>
      <c r="H4023" s="568"/>
      <c r="I4023" s="2118"/>
      <c r="J4023" s="2123"/>
      <c r="K4023" s="2140">
        <f>ROUND(K4022*C4023,2)</f>
        <v>3.56</v>
      </c>
      <c r="L4023" s="192"/>
      <c r="M4023" s="568"/>
      <c r="O4023" s="1991"/>
      <c r="P4023" s="1706"/>
    </row>
    <row r="4024" spans="1:16" ht="12.75" hidden="1">
      <c r="A4024" s="2114"/>
      <c r="B4024" s="568"/>
      <c r="C4024" s="568"/>
      <c r="D4024" s="568"/>
      <c r="E4024" s="188"/>
      <c r="F4024" s="188"/>
      <c r="G4024" s="2122"/>
      <c r="H4024" s="568"/>
      <c r="I4024" s="2118"/>
      <c r="J4024" s="2126" t="s">
        <v>718</v>
      </c>
      <c r="K4024" s="2124">
        <f>SUM(K4022:K4023)</f>
        <v>359.29999999999995</v>
      </c>
      <c r="L4024" s="192" t="s">
        <v>730</v>
      </c>
      <c r="M4024" s="568"/>
      <c r="O4024" s="1991">
        <f>K4024-O4019</f>
        <v>167.78999999999996</v>
      </c>
      <c r="P4024" s="1706" t="s">
        <v>26</v>
      </c>
    </row>
    <row r="4025" spans="1:16" ht="12.75" hidden="1">
      <c r="A4025" s="2114" t="str">
        <f>A709</f>
        <v>(iv)</v>
      </c>
      <c r="B4025" s="192" t="str">
        <f>B709</f>
        <v>3rd Floor</v>
      </c>
      <c r="C4025" s="568"/>
      <c r="D4025" s="568"/>
      <c r="E4025" s="2120" t="str">
        <f>E4017</f>
        <v>Each Sqm</v>
      </c>
      <c r="F4025" s="2120"/>
      <c r="G4025" s="2122"/>
      <c r="H4025" s="568"/>
      <c r="I4025" s="2118"/>
      <c r="J4025" s="2123"/>
      <c r="K4025" s="2123"/>
      <c r="L4025" s="192"/>
      <c r="M4025" s="568"/>
    </row>
    <row r="4026" spans="1:16" ht="12.75" hidden="1">
      <c r="A4026" s="2114"/>
      <c r="B4026" s="568" t="s">
        <v>722</v>
      </c>
      <c r="C4026" s="568"/>
      <c r="D4026" s="568"/>
      <c r="E4026" s="188"/>
      <c r="F4026" s="188"/>
      <c r="G4026" s="2122"/>
      <c r="H4026" s="568"/>
      <c r="I4026" s="2118"/>
      <c r="J4026" s="2123"/>
      <c r="K4026" s="2123">
        <f>K4022</f>
        <v>355.73999999999995</v>
      </c>
      <c r="L4026" s="192"/>
      <c r="M4026" s="568"/>
    </row>
    <row r="4027" spans="1:16" ht="12.75" hidden="1">
      <c r="A4027" s="2114"/>
      <c r="B4027" s="568" t="s">
        <v>723</v>
      </c>
      <c r="C4027" s="568"/>
      <c r="D4027" s="568"/>
      <c r="E4027" s="188"/>
      <c r="F4027" s="188"/>
      <c r="G4027" s="2122"/>
      <c r="H4027" s="2125">
        <f>H4019</f>
        <v>0.05</v>
      </c>
      <c r="I4027" s="2134">
        <f>I4019+K4019</f>
        <v>191.51</v>
      </c>
      <c r="J4027" s="2124"/>
      <c r="K4027" s="2123">
        <f>ROUND(I4027*H4027,2)</f>
        <v>9.58</v>
      </c>
      <c r="L4027" s="192"/>
      <c r="M4027" s="568"/>
      <c r="O4027" s="1991">
        <f>O4019+K4027</f>
        <v>201.09</v>
      </c>
      <c r="P4027" s="1706" t="s">
        <v>3149</v>
      </c>
    </row>
    <row r="4028" spans="1:16" ht="12.75" hidden="1">
      <c r="A4028" s="2114"/>
      <c r="B4028" s="192" t="s">
        <v>3662</v>
      </c>
      <c r="C4028" s="568"/>
      <c r="D4028" s="568"/>
      <c r="E4028" s="188"/>
      <c r="F4028" s="188"/>
      <c r="G4028" s="2122"/>
      <c r="H4028" s="2135">
        <f>H4021</f>
        <v>7.4999999999999997E-2</v>
      </c>
      <c r="I4028" s="2134">
        <f>K4027</f>
        <v>9.58</v>
      </c>
      <c r="J4028" s="2134"/>
      <c r="K4028" s="2123">
        <f>ROUND(I4028*H4028,2)</f>
        <v>0.72</v>
      </c>
      <c r="L4028" s="192"/>
      <c r="M4028" s="568"/>
      <c r="O4028" s="1991"/>
      <c r="P4028" s="1706"/>
    </row>
    <row r="4029" spans="1:16" ht="12.75" hidden="1">
      <c r="A4029" s="2114"/>
      <c r="B4029" s="192" t="s">
        <v>3661</v>
      </c>
      <c r="C4029" s="568"/>
      <c r="D4029" s="568"/>
      <c r="E4029" s="188"/>
      <c r="F4029" s="188"/>
      <c r="G4029" s="2122"/>
      <c r="H4029" s="2135">
        <f>H4028</f>
        <v>7.4999999999999997E-2</v>
      </c>
      <c r="I4029" s="2134">
        <f>I4028</f>
        <v>9.58</v>
      </c>
      <c r="J4029" s="2134"/>
      <c r="K4029" s="2140">
        <f>ROUND(I4029*H4029,2)</f>
        <v>0.72</v>
      </c>
      <c r="L4029" s="192"/>
      <c r="M4029" s="568"/>
      <c r="O4029" s="1991"/>
      <c r="P4029" s="1706"/>
    </row>
    <row r="4030" spans="1:16" ht="12.75" hidden="1">
      <c r="A4030" s="2114"/>
      <c r="B4030" s="568"/>
      <c r="C4030" s="568"/>
      <c r="D4030" s="568"/>
      <c r="E4030" s="188"/>
      <c r="F4030" s="188"/>
      <c r="G4030" s="2122"/>
      <c r="H4030" s="568"/>
      <c r="I4030" s="2118"/>
      <c r="J4030" s="2123"/>
      <c r="K4030" s="2123">
        <f>SUM(K4026:K4029)</f>
        <v>366.76</v>
      </c>
      <c r="L4030" s="192"/>
      <c r="M4030" s="568"/>
      <c r="O4030" s="1991"/>
      <c r="P4030" s="1706"/>
    </row>
    <row r="4031" spans="1:16" ht="12.75" hidden="1">
      <c r="A4031" s="2114"/>
      <c r="B4031" s="192" t="s">
        <v>3738</v>
      </c>
      <c r="C4031" s="2142">
        <v>0.01</v>
      </c>
      <c r="D4031" s="568"/>
      <c r="E4031" s="188"/>
      <c r="F4031" s="188"/>
      <c r="G4031" s="2122"/>
      <c r="H4031" s="568"/>
      <c r="I4031" s="2118"/>
      <c r="J4031" s="2123"/>
      <c r="K4031" s="2140">
        <f>ROUND(K4030*C4031,2)</f>
        <v>3.67</v>
      </c>
      <c r="L4031" s="192"/>
      <c r="M4031" s="568"/>
      <c r="O4031" s="1991"/>
      <c r="P4031" s="1706"/>
    </row>
    <row r="4032" spans="1:16" ht="12.75" hidden="1">
      <c r="A4032" s="2114"/>
      <c r="B4032" s="568"/>
      <c r="C4032" s="568"/>
      <c r="D4032" s="568"/>
      <c r="E4032" s="188"/>
      <c r="F4032" s="188"/>
      <c r="G4032" s="2122"/>
      <c r="H4032" s="568"/>
      <c r="I4032" s="2118"/>
      <c r="J4032" s="2126" t="s">
        <v>718</v>
      </c>
      <c r="K4032" s="2124">
        <f>SUM(K4030:K4031)</f>
        <v>370.43</v>
      </c>
      <c r="L4032" s="192" t="s">
        <v>730</v>
      </c>
      <c r="M4032" s="568"/>
      <c r="O4032" s="1991">
        <f>K4032-O4027</f>
        <v>169.34</v>
      </c>
      <c r="P4032" s="1706" t="s">
        <v>26</v>
      </c>
    </row>
    <row r="4033" spans="1:13" ht="96.6" hidden="1" customHeight="1">
      <c r="A4033" s="2114">
        <f>A710</f>
        <v>72</v>
      </c>
      <c r="B4033" s="3017" t="str">
        <f>B710</f>
        <v>Providing 4cm thick Grading Concrete over roof slab with cement concrete (1:2:4) using 12mm size black hard granite crusher broken chips and screened &amp; washed sharp sand for mortar and finished smooth to the rough surface of slab including watering and curing with cost, conveyance, royalties and taxes of all materials with cost of all labour, and T&amp;P required for the work etc. complete in all respect as directed by the Engineer in charge.</v>
      </c>
      <c r="C4033" s="3017"/>
      <c r="D4033" s="3017"/>
      <c r="E4033" s="2116" t="str">
        <f>G710</f>
        <v>Each Sqm</v>
      </c>
      <c r="F4033" s="2116"/>
      <c r="G4033" s="2161"/>
      <c r="H4033" s="2117"/>
      <c r="I4033" s="2118"/>
      <c r="J4033" s="2123"/>
      <c r="K4033" s="2124"/>
      <c r="L4033" s="2119"/>
      <c r="M4033" s="568"/>
    </row>
    <row r="4034" spans="1:13" ht="12.75" hidden="1">
      <c r="A4034" s="2114" t="str">
        <f>A711</f>
        <v>(i)</v>
      </c>
      <c r="B4034" s="192" t="str">
        <f>B711</f>
        <v>Ground Floor</v>
      </c>
      <c r="C4034" s="675"/>
      <c r="D4034" s="675"/>
      <c r="E4034" s="2120" t="str">
        <f>G711</f>
        <v>Each Sqm</v>
      </c>
      <c r="F4034" s="2120"/>
      <c r="G4034" s="2122"/>
      <c r="H4034" s="568"/>
      <c r="I4034" s="2118"/>
      <c r="J4034" s="2124"/>
      <c r="K4034" s="2124"/>
      <c r="L4034" s="192"/>
      <c r="M4034" s="568"/>
    </row>
    <row r="4035" spans="1:13" ht="12.75" hidden="1">
      <c r="A4035" s="568"/>
      <c r="B4035" s="192" t="s">
        <v>821</v>
      </c>
      <c r="C4035" s="568"/>
      <c r="D4035" s="568"/>
      <c r="E4035" s="188"/>
      <c r="F4035" s="188"/>
      <c r="G4035" s="2122"/>
      <c r="H4035" s="2117"/>
      <c r="I4035" s="2118"/>
      <c r="J4035" s="2123"/>
      <c r="K4035" s="2123"/>
      <c r="L4035" s="2119"/>
      <c r="M4035" s="568"/>
    </row>
    <row r="4036" spans="1:13" ht="12.75" hidden="1">
      <c r="A4036" s="568"/>
      <c r="B4036" s="192" t="s">
        <v>822</v>
      </c>
      <c r="C4036" s="568"/>
      <c r="D4036" s="568"/>
      <c r="E4036" s="188"/>
      <c r="F4036" s="188"/>
      <c r="G4036" s="568"/>
      <c r="H4036" s="2117"/>
      <c r="I4036" s="2118"/>
      <c r="J4036" s="568"/>
      <c r="K4036" s="568"/>
      <c r="L4036" s="2119"/>
      <c r="M4036" s="568"/>
    </row>
    <row r="4037" spans="1:13" ht="12.75" hidden="1">
      <c r="A4037" s="568"/>
      <c r="B4037" s="2117" t="s">
        <v>973</v>
      </c>
      <c r="C4037" s="568"/>
      <c r="D4037" s="568"/>
      <c r="E4037" s="188"/>
      <c r="F4037" s="188"/>
      <c r="G4037" s="2164">
        <v>1.7999999999999999E-2</v>
      </c>
      <c r="H4037" s="2117" t="s">
        <v>49</v>
      </c>
      <c r="I4037" s="2118" t="s">
        <v>49</v>
      </c>
      <c r="J4037" s="2123">
        <f>G12</f>
        <v>1396.62</v>
      </c>
      <c r="K4037" s="2123">
        <f>ROUND(G4037*J4037,2)</f>
        <v>25.14</v>
      </c>
      <c r="L4037" s="2119"/>
      <c r="M4037" s="568"/>
    </row>
    <row r="4038" spans="1:13" ht="12.75" hidden="1">
      <c r="A4038" s="568"/>
      <c r="B4038" s="2117" t="s">
        <v>972</v>
      </c>
      <c r="C4038" s="568"/>
      <c r="D4038" s="568"/>
      <c r="E4038" s="188"/>
      <c r="F4038" s="188"/>
      <c r="G4038" s="2164">
        <v>1.7999999999999999E-2</v>
      </c>
      <c r="H4038" s="2117" t="s">
        <v>49</v>
      </c>
      <c r="I4038" s="2118" t="s">
        <v>49</v>
      </c>
      <c r="J4038" s="2123">
        <f>G16</f>
        <v>792.8</v>
      </c>
      <c r="K4038" s="2123">
        <f>ROUND(G4038*J4038,2)</f>
        <v>14.27</v>
      </c>
      <c r="L4038" s="2119"/>
      <c r="M4038" s="568"/>
    </row>
    <row r="4039" spans="1:13" ht="12.75" hidden="1">
      <c r="A4039" s="568"/>
      <c r="B4039" s="568" t="s">
        <v>775</v>
      </c>
      <c r="C4039" s="568"/>
      <c r="D4039" s="568"/>
      <c r="E4039" s="188"/>
      <c r="F4039" s="188"/>
      <c r="G4039" s="2164">
        <f>G4037</f>
        <v>1.7999999999999999E-2</v>
      </c>
      <c r="H4039" s="2117" t="s">
        <v>49</v>
      </c>
      <c r="I4039" s="2118" t="s">
        <v>49</v>
      </c>
      <c r="J4039" s="2123">
        <f>G46</f>
        <v>76.88</v>
      </c>
      <c r="K4039" s="2123">
        <f>ROUND(G4039*J4039,2)</f>
        <v>1.38</v>
      </c>
      <c r="L4039" s="2119"/>
      <c r="M4039" s="568"/>
    </row>
    <row r="4040" spans="1:13" ht="12.75" hidden="1">
      <c r="A4040" s="568"/>
      <c r="B4040" s="568" t="s">
        <v>8</v>
      </c>
      <c r="C4040" s="568"/>
      <c r="D4040" s="568"/>
      <c r="E4040" s="188"/>
      <c r="F4040" s="188"/>
      <c r="G4040" s="2164">
        <v>0.12870000000000001</v>
      </c>
      <c r="H4040" s="2117" t="s">
        <v>247</v>
      </c>
      <c r="I4040" s="2118" t="s">
        <v>247</v>
      </c>
      <c r="J4040" s="2123">
        <f>G50/10</f>
        <v>570.23400000000004</v>
      </c>
      <c r="K4040" s="2123">
        <f>ROUND(G4040*J4040,2)</f>
        <v>73.39</v>
      </c>
      <c r="L4040" s="2119"/>
      <c r="M4040" s="568"/>
    </row>
    <row r="4041" spans="1:13" ht="12.75" hidden="1">
      <c r="A4041" s="568"/>
      <c r="B4041" s="568"/>
      <c r="C4041" s="568"/>
      <c r="D4041" s="568"/>
      <c r="E4041" s="188"/>
      <c r="F4041" s="188"/>
      <c r="G4041" s="2122"/>
      <c r="H4041" s="2117"/>
      <c r="I4041" s="2118"/>
      <c r="J4041" s="2126" t="s">
        <v>718</v>
      </c>
      <c r="K4041" s="2124">
        <f>SUM(K4037:K4040)</f>
        <v>114.18</v>
      </c>
      <c r="L4041" s="2119"/>
      <c r="M4041" s="568"/>
    </row>
    <row r="4042" spans="1:13" ht="12.75" hidden="1">
      <c r="A4042" s="568"/>
      <c r="B4042" s="192" t="s">
        <v>781</v>
      </c>
      <c r="C4042" s="568"/>
      <c r="D4042" s="568"/>
      <c r="E4042" s="188"/>
      <c r="F4042" s="188"/>
      <c r="G4042" s="2122"/>
      <c r="H4042" s="2117"/>
      <c r="I4042" s="2118"/>
      <c r="J4042" s="2123"/>
      <c r="K4042" s="2123"/>
      <c r="L4042" s="2119"/>
      <c r="M4042" s="568"/>
    </row>
    <row r="4043" spans="1:13" ht="12.75" hidden="1">
      <c r="A4043" s="568"/>
      <c r="B4043" s="568" t="s">
        <v>824</v>
      </c>
      <c r="C4043" s="568"/>
      <c r="D4043" s="568"/>
      <c r="E4043" s="188"/>
      <c r="F4043" s="188"/>
      <c r="G4043" s="2122">
        <v>0.16500000000000001</v>
      </c>
      <c r="H4043" s="2117" t="s">
        <v>262</v>
      </c>
      <c r="I4043" s="2118" t="s">
        <v>38</v>
      </c>
      <c r="J4043" s="2123">
        <f>L137</f>
        <v>495</v>
      </c>
      <c r="K4043" s="2123">
        <f>ROUND(G4043*J4043,2)</f>
        <v>81.680000000000007</v>
      </c>
      <c r="L4043" s="2119"/>
      <c r="M4043" s="568"/>
    </row>
    <row r="4044" spans="1:13" ht="12.75" hidden="1">
      <c r="A4044" s="568"/>
      <c r="B4044" s="568" t="s">
        <v>717</v>
      </c>
      <c r="C4044" s="568"/>
      <c r="D4044" s="568"/>
      <c r="E4044" s="188"/>
      <c r="F4044" s="188"/>
      <c r="G4044" s="2122">
        <v>1.008</v>
      </c>
      <c r="H4044" s="2117" t="s">
        <v>262</v>
      </c>
      <c r="I4044" s="2118" t="s">
        <v>38</v>
      </c>
      <c r="J4044" s="2123">
        <f>L134</f>
        <v>345</v>
      </c>
      <c r="K4044" s="2123">
        <f>ROUND(G4044*J4044,2)</f>
        <v>347.76</v>
      </c>
      <c r="L4044" s="2119"/>
      <c r="M4044" s="568"/>
    </row>
    <row r="4045" spans="1:13" ht="12.75" hidden="1">
      <c r="A4045" s="568"/>
      <c r="B4045" s="568"/>
      <c r="C4045" s="568"/>
      <c r="D4045" s="568"/>
      <c r="E4045" s="188"/>
      <c r="F4045" s="188"/>
      <c r="G4045" s="2122"/>
      <c r="H4045" s="2117"/>
      <c r="I4045" s="2118"/>
      <c r="J4045" s="2126" t="s">
        <v>718</v>
      </c>
      <c r="K4045" s="2124">
        <f>SUM(K4043:K4044)</f>
        <v>429.44</v>
      </c>
      <c r="L4045" s="2119"/>
      <c r="M4045" s="568"/>
    </row>
    <row r="4046" spans="1:13" ht="12.75" hidden="1">
      <c r="A4046" s="568"/>
      <c r="B4046" s="192"/>
      <c r="C4046" s="568"/>
      <c r="D4046" s="568"/>
      <c r="E4046" s="188"/>
      <c r="F4046" s="188"/>
      <c r="G4046" s="2122"/>
      <c r="H4046" s="2117"/>
      <c r="I4046" s="2118"/>
      <c r="J4046" s="2123"/>
      <c r="K4046" s="2124"/>
      <c r="L4046" s="2119"/>
      <c r="M4046" s="568"/>
    </row>
    <row r="4047" spans="1:13" ht="12.75" hidden="1">
      <c r="A4047" s="568"/>
      <c r="B4047" s="192" t="s">
        <v>783</v>
      </c>
      <c r="C4047" s="568"/>
      <c r="D4047" s="568"/>
      <c r="E4047" s="188"/>
      <c r="F4047" s="188"/>
      <c r="G4047" s="2122"/>
      <c r="H4047" s="2117"/>
      <c r="I4047" s="2118"/>
      <c r="J4047" s="2134"/>
      <c r="K4047" s="2123"/>
      <c r="L4047" s="2119"/>
      <c r="M4047" s="568"/>
    </row>
    <row r="4048" spans="1:13" ht="12.75" hidden="1">
      <c r="A4048" s="568"/>
      <c r="B4048" s="2117" t="s">
        <v>973</v>
      </c>
      <c r="C4048" s="568"/>
      <c r="D4048" s="568"/>
      <c r="E4048" s="188"/>
      <c r="F4048" s="188"/>
      <c r="G4048" s="2164">
        <f>G4037</f>
        <v>1.7999999999999999E-2</v>
      </c>
      <c r="H4048" s="2117" t="s">
        <v>49</v>
      </c>
      <c r="I4048" s="2118" t="s">
        <v>49</v>
      </c>
      <c r="J4048" s="2123">
        <f>K12</f>
        <v>1308.4099999999999</v>
      </c>
      <c r="K4048" s="2123">
        <f>ROUND(G4048*J4048,2)</f>
        <v>23.55</v>
      </c>
      <c r="L4048" s="2119"/>
      <c r="M4048" s="568"/>
    </row>
    <row r="4049" spans="1:16" ht="12.75" hidden="1">
      <c r="A4049" s="568"/>
      <c r="B4049" s="2117" t="s">
        <v>972</v>
      </c>
      <c r="C4049" s="568"/>
      <c r="D4049" s="568"/>
      <c r="E4049" s="188"/>
      <c r="F4049" s="188"/>
      <c r="G4049" s="2164">
        <f>G4038</f>
        <v>1.7999999999999999E-2</v>
      </c>
      <c r="H4049" s="2117" t="s">
        <v>49</v>
      </c>
      <c r="I4049" s="2118" t="s">
        <v>49</v>
      </c>
      <c r="J4049" s="2123">
        <f>K16</f>
        <v>1308.4099999999999</v>
      </c>
      <c r="K4049" s="2123">
        <f>ROUND(G4049*J4049,2)</f>
        <v>23.55</v>
      </c>
      <c r="L4049" s="2119"/>
      <c r="M4049" s="568"/>
    </row>
    <row r="4050" spans="1:16" ht="12.75" hidden="1">
      <c r="A4050" s="568"/>
      <c r="B4050" s="568" t="s">
        <v>775</v>
      </c>
      <c r="C4050" s="568"/>
      <c r="D4050" s="568"/>
      <c r="E4050" s="188"/>
      <c r="F4050" s="188"/>
      <c r="G4050" s="2164">
        <f>G4048</f>
        <v>1.7999999999999999E-2</v>
      </c>
      <c r="H4050" s="2117" t="s">
        <v>49</v>
      </c>
      <c r="I4050" s="2118" t="s">
        <v>49</v>
      </c>
      <c r="J4050" s="2123">
        <f>K46</f>
        <v>717.46</v>
      </c>
      <c r="K4050" s="2123">
        <f>ROUND(G4050*J4050,2)</f>
        <v>12.91</v>
      </c>
      <c r="L4050" s="2119"/>
      <c r="M4050" s="568"/>
    </row>
    <row r="4051" spans="1:16" ht="12.75" hidden="1">
      <c r="A4051" s="568"/>
      <c r="B4051" s="568" t="s">
        <v>8</v>
      </c>
      <c r="C4051" s="568"/>
      <c r="D4051" s="568"/>
      <c r="E4051" s="188"/>
      <c r="F4051" s="188"/>
      <c r="G4051" s="2164">
        <f>G4040</f>
        <v>0.12870000000000001</v>
      </c>
      <c r="H4051" s="2117" t="s">
        <v>247</v>
      </c>
      <c r="I4051" s="2118" t="s">
        <v>247</v>
      </c>
      <c r="J4051" s="2123">
        <f>K50/10</f>
        <v>42.622</v>
      </c>
      <c r="K4051" s="2123">
        <f>ROUND(G4051*J4051,2)</f>
        <v>5.49</v>
      </c>
      <c r="L4051" s="2119"/>
      <c r="M4051" s="568"/>
    </row>
    <row r="4052" spans="1:16" ht="12.75" hidden="1">
      <c r="A4052" s="568"/>
      <c r="B4052" s="568"/>
      <c r="C4052" s="568"/>
      <c r="D4052" s="568"/>
      <c r="E4052" s="188"/>
      <c r="F4052" s="188"/>
      <c r="G4052" s="2122"/>
      <c r="H4052" s="2117"/>
      <c r="I4052" s="2118"/>
      <c r="J4052" s="2126" t="s">
        <v>718</v>
      </c>
      <c r="K4052" s="2124">
        <f>SUM(K4048:K4051)</f>
        <v>65.5</v>
      </c>
      <c r="L4052" s="2119"/>
      <c r="M4052" s="568"/>
      <c r="O4052" s="1991">
        <f>K4045</f>
        <v>429.44</v>
      </c>
      <c r="P4052" s="1706" t="s">
        <v>3149</v>
      </c>
    </row>
    <row r="4053" spans="1:16" ht="12.75" hidden="1">
      <c r="A4053" s="568"/>
      <c r="B4053" s="192" t="s">
        <v>825</v>
      </c>
      <c r="C4053" s="568"/>
      <c r="D4053" s="568"/>
      <c r="E4053" s="188"/>
      <c r="F4053" s="188"/>
      <c r="G4053" s="2161"/>
      <c r="H4053" s="2117"/>
      <c r="I4053" s="2118"/>
      <c r="J4053" s="2126" t="s">
        <v>718</v>
      </c>
      <c r="K4053" s="2124">
        <f>K4041+K4045+K4046+K4052</f>
        <v>609.12</v>
      </c>
      <c r="L4053" s="2119" t="s">
        <v>730</v>
      </c>
      <c r="M4053" s="568"/>
      <c r="O4053" s="1991">
        <f>K4053-O4052</f>
        <v>179.68</v>
      </c>
      <c r="P4053" s="1706" t="s">
        <v>26</v>
      </c>
    </row>
    <row r="4054" spans="1:16" ht="12.75" hidden="1">
      <c r="A4054" s="2114" t="str">
        <f>A712</f>
        <v>(ii)</v>
      </c>
      <c r="B4054" s="192" t="str">
        <f>B712</f>
        <v>First Floor</v>
      </c>
      <c r="C4054" s="568"/>
      <c r="D4054" s="568"/>
      <c r="E4054" s="2120" t="str">
        <f>G712</f>
        <v>Each Sqm</v>
      </c>
      <c r="F4054" s="2120"/>
      <c r="G4054" s="2122"/>
      <c r="H4054" s="568"/>
      <c r="I4054" s="2118"/>
      <c r="J4054" s="2123"/>
      <c r="K4054" s="2123"/>
      <c r="L4054" s="192"/>
      <c r="M4054" s="568"/>
    </row>
    <row r="4055" spans="1:16" ht="12.75" hidden="1">
      <c r="A4055" s="2114"/>
      <c r="B4055" s="568" t="s">
        <v>722</v>
      </c>
      <c r="C4055" s="568"/>
      <c r="D4055" s="568"/>
      <c r="E4055" s="188"/>
      <c r="F4055" s="188"/>
      <c r="G4055" s="2122"/>
      <c r="H4055" s="568"/>
      <c r="I4055" s="2118"/>
      <c r="J4055" s="2123"/>
      <c r="K4055" s="2123">
        <f>K4053</f>
        <v>609.12</v>
      </c>
      <c r="L4055" s="192"/>
      <c r="M4055" s="568"/>
    </row>
    <row r="4056" spans="1:16" ht="12.75" hidden="1">
      <c r="A4056" s="2114"/>
      <c r="B4056" s="568" t="s">
        <v>723</v>
      </c>
      <c r="C4056" s="568"/>
      <c r="D4056" s="568"/>
      <c r="E4056" s="188"/>
      <c r="F4056" s="188"/>
      <c r="G4056" s="2122"/>
      <c r="H4056" s="568"/>
      <c r="I4056" s="2118"/>
      <c r="J4056" s="2123"/>
      <c r="K4056" s="2123">
        <f>ROUND(K4045*5%,2)</f>
        <v>21.47</v>
      </c>
      <c r="L4056" s="192"/>
      <c r="M4056" s="568"/>
      <c r="O4056" s="1991">
        <f>O4052+K4056</f>
        <v>450.90999999999997</v>
      </c>
      <c r="P4056" s="1706" t="s">
        <v>3149</v>
      </c>
    </row>
    <row r="4057" spans="1:16" ht="12.75" hidden="1">
      <c r="A4057" s="2114"/>
      <c r="B4057" s="568"/>
      <c r="C4057" s="568"/>
      <c r="D4057" s="568"/>
      <c r="E4057" s="188"/>
      <c r="F4057" s="188"/>
      <c r="G4057" s="2122"/>
      <c r="H4057" s="568"/>
      <c r="I4057" s="2118"/>
      <c r="J4057" s="2126" t="s">
        <v>718</v>
      </c>
      <c r="K4057" s="2124">
        <f>SUM(K4055:K4056)</f>
        <v>630.59</v>
      </c>
      <c r="L4057" s="192" t="s">
        <v>730</v>
      </c>
      <c r="M4057" s="568"/>
      <c r="O4057" s="1991">
        <f>K4057-O4056</f>
        <v>179.68000000000006</v>
      </c>
      <c r="P4057" s="1706" t="s">
        <v>26</v>
      </c>
    </row>
    <row r="4058" spans="1:16" ht="12.75" hidden="1">
      <c r="A4058" s="2114" t="str">
        <f>A713</f>
        <v>(iii)</v>
      </c>
      <c r="B4058" s="192" t="str">
        <f>B713</f>
        <v>2nd Floor</v>
      </c>
      <c r="C4058" s="568"/>
      <c r="D4058" s="568"/>
      <c r="E4058" s="2120" t="str">
        <f>G717</f>
        <v>Each Sqm</v>
      </c>
      <c r="F4058" s="2120"/>
      <c r="G4058" s="2122"/>
      <c r="H4058" s="568"/>
      <c r="I4058" s="2118"/>
      <c r="J4058" s="2123"/>
      <c r="K4058" s="2123"/>
      <c r="L4058" s="192"/>
      <c r="M4058" s="568"/>
    </row>
    <row r="4059" spans="1:16" ht="12.75" hidden="1">
      <c r="A4059" s="2114"/>
      <c r="B4059" s="568" t="s">
        <v>722</v>
      </c>
      <c r="C4059" s="568"/>
      <c r="D4059" s="568"/>
      <c r="E4059" s="188"/>
      <c r="F4059" s="188"/>
      <c r="G4059" s="2122"/>
      <c r="H4059" s="568"/>
      <c r="I4059" s="2118"/>
      <c r="J4059" s="2123"/>
      <c r="K4059" s="2123">
        <f>K4057</f>
        <v>630.59</v>
      </c>
      <c r="L4059" s="192"/>
      <c r="M4059" s="568"/>
    </row>
    <row r="4060" spans="1:16" ht="12.75" hidden="1">
      <c r="A4060" s="2114"/>
      <c r="B4060" s="568" t="s">
        <v>723</v>
      </c>
      <c r="C4060" s="568"/>
      <c r="D4060" s="568"/>
      <c r="E4060" s="188"/>
      <c r="F4060" s="188"/>
      <c r="G4060" s="2122"/>
      <c r="H4060" s="568"/>
      <c r="I4060" s="2118"/>
      <c r="J4060" s="2123"/>
      <c r="K4060" s="2123">
        <f>K4056+ROUND(K4056*5%,2)</f>
        <v>22.54</v>
      </c>
      <c r="L4060" s="192"/>
      <c r="M4060" s="568"/>
      <c r="O4060" s="1991">
        <f>O4056+K4060</f>
        <v>473.45</v>
      </c>
      <c r="P4060" s="1706" t="s">
        <v>3149</v>
      </c>
    </row>
    <row r="4061" spans="1:16" ht="12.75" hidden="1">
      <c r="A4061" s="2114"/>
      <c r="B4061" s="568"/>
      <c r="C4061" s="568"/>
      <c r="D4061" s="568"/>
      <c r="E4061" s="188"/>
      <c r="F4061" s="188"/>
      <c r="G4061" s="2122"/>
      <c r="H4061" s="568"/>
      <c r="I4061" s="2118"/>
      <c r="J4061" s="2126" t="s">
        <v>718</v>
      </c>
      <c r="K4061" s="2124">
        <f>SUM(K4059:K4060)</f>
        <v>653.13</v>
      </c>
      <c r="L4061" s="192" t="s">
        <v>730</v>
      </c>
      <c r="M4061" s="568"/>
      <c r="O4061" s="1991">
        <f>K4061-O4060</f>
        <v>179.68</v>
      </c>
      <c r="P4061" s="1706" t="s">
        <v>26</v>
      </c>
    </row>
    <row r="4062" spans="1:16" ht="12.75" hidden="1">
      <c r="A4062" s="2114" t="str">
        <f>A714</f>
        <v>(iv)</v>
      </c>
      <c r="B4062" s="192" t="str">
        <f>B714</f>
        <v>3rd Floor</v>
      </c>
      <c r="C4062" s="568"/>
      <c r="D4062" s="568"/>
      <c r="E4062" s="2120" t="str">
        <f>G721</f>
        <v>Each Sqm</v>
      </c>
      <c r="F4062" s="2120"/>
      <c r="G4062" s="2122"/>
      <c r="H4062" s="568"/>
      <c r="I4062" s="2118"/>
      <c r="J4062" s="2123"/>
      <c r="K4062" s="2123"/>
      <c r="L4062" s="192"/>
      <c r="M4062" s="568"/>
    </row>
    <row r="4063" spans="1:16" ht="12.75" hidden="1">
      <c r="A4063" s="2114"/>
      <c r="B4063" s="568" t="s">
        <v>722</v>
      </c>
      <c r="C4063" s="568"/>
      <c r="D4063" s="568"/>
      <c r="E4063" s="188"/>
      <c r="F4063" s="188"/>
      <c r="G4063" s="2122"/>
      <c r="H4063" s="568"/>
      <c r="I4063" s="2118"/>
      <c r="J4063" s="2123"/>
      <c r="K4063" s="2123">
        <f>K4061</f>
        <v>653.13</v>
      </c>
      <c r="L4063" s="192"/>
      <c r="M4063" s="568"/>
    </row>
    <row r="4064" spans="1:16" ht="12.75" hidden="1">
      <c r="A4064" s="2114"/>
      <c r="B4064" s="568" t="s">
        <v>723</v>
      </c>
      <c r="C4064" s="568"/>
      <c r="D4064" s="568"/>
      <c r="E4064" s="188"/>
      <c r="F4064" s="188"/>
      <c r="G4064" s="2122"/>
      <c r="H4064" s="568"/>
      <c r="I4064" s="2118"/>
      <c r="J4064" s="2123"/>
      <c r="K4064" s="2123">
        <f>K4060+ROUND(K4060*5%,2)</f>
        <v>23.669999999999998</v>
      </c>
      <c r="L4064" s="192"/>
      <c r="M4064" s="568"/>
      <c r="O4064" s="1991">
        <f>O4060+K4064</f>
        <v>497.12</v>
      </c>
      <c r="P4064" s="1706" t="s">
        <v>3149</v>
      </c>
    </row>
    <row r="4065" spans="1:20" ht="12.75" hidden="1">
      <c r="A4065" s="2114"/>
      <c r="B4065" s="568"/>
      <c r="C4065" s="568"/>
      <c r="D4065" s="568"/>
      <c r="E4065" s="188"/>
      <c r="F4065" s="188"/>
      <c r="G4065" s="2122"/>
      <c r="H4065" s="568"/>
      <c r="I4065" s="2118"/>
      <c r="J4065" s="2126" t="s">
        <v>718</v>
      </c>
      <c r="K4065" s="2124">
        <f>SUM(K4063:K4064)</f>
        <v>676.8</v>
      </c>
      <c r="L4065" s="192" t="s">
        <v>730</v>
      </c>
      <c r="M4065" s="568"/>
      <c r="O4065" s="1991">
        <f>K4065-O4064</f>
        <v>179.67999999999995</v>
      </c>
      <c r="P4065" s="1706" t="s">
        <v>26</v>
      </c>
    </row>
    <row r="4066" spans="1:20" ht="53.1" customHeight="1">
      <c r="A4066" s="2114">
        <f t="shared" ref="A4066:B4068" si="278">A715</f>
        <v>73</v>
      </c>
      <c r="B4066" s="3025" t="str">
        <f t="shared" si="278"/>
        <v xml:space="preserve">Supplying, fitting, fixing of tile in floors marbonite or equivalent make in all floors over 25mm thick bed of cement mortar (1:1) jointed with neat cement slurry mixed with pigment to match the shades of the tiles  etc. complete as per the direction of the Engineer-in-charge. </v>
      </c>
      <c r="C4066" s="3025"/>
      <c r="D4066" s="3025"/>
      <c r="E4066" s="3025"/>
      <c r="F4066" s="3025"/>
      <c r="G4066" s="3025"/>
      <c r="H4066" s="3025"/>
      <c r="I4066" s="2118"/>
      <c r="J4066" s="2124"/>
      <c r="K4066" s="2124"/>
      <c r="L4066" s="192"/>
      <c r="M4066" s="568"/>
      <c r="O4066" s="1759" t="s">
        <v>3703</v>
      </c>
      <c r="Q4066" s="1706"/>
    </row>
    <row r="4067" spans="1:20" s="175" customFormat="1" ht="12.75">
      <c r="A4067" s="1702" t="str">
        <f t="shared" si="278"/>
        <v>A)</v>
      </c>
      <c r="B4067" s="2182" t="str">
        <f t="shared" si="278"/>
        <v>Vertified tile ( 600x 600)Printed</v>
      </c>
      <c r="C4067" s="2146"/>
      <c r="D4067" s="2146"/>
      <c r="E4067" s="1702"/>
      <c r="F4067" s="1702"/>
      <c r="G4067" s="2149"/>
      <c r="H4067" s="2146"/>
      <c r="I4067" s="1703"/>
      <c r="J4067" s="2150"/>
      <c r="K4067" s="2150"/>
      <c r="L4067" s="2145"/>
      <c r="M4067" s="2146"/>
      <c r="T4067" s="1759"/>
    </row>
    <row r="4068" spans="1:20" ht="12.75">
      <c r="A4068" s="2114" t="str">
        <f t="shared" si="278"/>
        <v>(i)</v>
      </c>
      <c r="B4068" s="192" t="str">
        <f t="shared" si="278"/>
        <v>Ground Floor</v>
      </c>
      <c r="C4068" s="568"/>
      <c r="D4068" s="568"/>
      <c r="E4068" s="2120" t="str">
        <f>G717</f>
        <v>Each Sqm</v>
      </c>
      <c r="F4068" s="2120"/>
      <c r="G4068" s="2122"/>
      <c r="H4068" s="568"/>
      <c r="I4068" s="2118"/>
      <c r="J4068" s="2123"/>
      <c r="K4068" s="2123"/>
      <c r="L4068" s="192"/>
      <c r="M4068" s="568"/>
    </row>
    <row r="4069" spans="1:20" ht="12.75">
      <c r="A4069" s="2114"/>
      <c r="B4069" s="568" t="s">
        <v>964</v>
      </c>
      <c r="C4069" s="568"/>
      <c r="D4069" s="568"/>
      <c r="E4069" s="188"/>
      <c r="F4069" s="188"/>
      <c r="G4069" s="2122"/>
      <c r="H4069" s="568"/>
      <c r="I4069" s="2118"/>
      <c r="J4069" s="2123"/>
      <c r="K4069" s="2123"/>
      <c r="L4069" s="192"/>
      <c r="M4069" s="568"/>
    </row>
    <row r="4070" spans="1:20" ht="12.75">
      <c r="A4070" s="2114"/>
      <c r="B4070" s="192" t="s">
        <v>822</v>
      </c>
      <c r="C4070" s="568"/>
      <c r="D4070" s="568"/>
      <c r="E4070" s="188"/>
      <c r="F4070" s="188"/>
      <c r="G4070" s="2122"/>
      <c r="H4070" s="568"/>
      <c r="I4070" s="2118"/>
      <c r="J4070" s="2123"/>
      <c r="K4070" s="2123"/>
      <c r="L4070" s="192"/>
      <c r="M4070" s="568"/>
    </row>
    <row r="4071" spans="1:20" ht="12.75">
      <c r="A4071" s="2114"/>
      <c r="B4071" s="568" t="s">
        <v>775</v>
      </c>
      <c r="C4071" s="568"/>
      <c r="D4071" s="568"/>
      <c r="E4071" s="188"/>
      <c r="F4071" s="188"/>
      <c r="G4071" s="2122">
        <v>0.13</v>
      </c>
      <c r="H4071" s="568" t="s">
        <v>49</v>
      </c>
      <c r="I4071" s="2118" t="s">
        <v>49</v>
      </c>
      <c r="J4071" s="2123">
        <f>G46</f>
        <v>76.88</v>
      </c>
      <c r="K4071" s="2123">
        <f>ROUND(G4071*J4071,2)</f>
        <v>9.99</v>
      </c>
      <c r="L4071" s="192"/>
      <c r="M4071" s="568"/>
    </row>
    <row r="4072" spans="1:20" ht="12.75">
      <c r="A4072" s="2114"/>
      <c r="B4072" s="568" t="s">
        <v>8</v>
      </c>
      <c r="C4072" s="568"/>
      <c r="D4072" s="568"/>
      <c r="E4072" s="188"/>
      <c r="F4072" s="188"/>
      <c r="G4072" s="2122">
        <v>2.7370000000000001</v>
      </c>
      <c r="H4072" s="568" t="s">
        <v>247</v>
      </c>
      <c r="I4072" s="2118" t="s">
        <v>247</v>
      </c>
      <c r="J4072" s="2123">
        <f>G50/10</f>
        <v>570.23400000000004</v>
      </c>
      <c r="K4072" s="2123">
        <f>ROUND(G4072*J4072,2)</f>
        <v>1560.73</v>
      </c>
      <c r="L4072" s="192"/>
      <c r="M4072" s="568"/>
    </row>
    <row r="4073" spans="1:20" ht="12.75">
      <c r="A4073" s="2114"/>
      <c r="B4073" s="568"/>
      <c r="C4073" s="568"/>
      <c r="D4073" s="568"/>
      <c r="E4073" s="188"/>
      <c r="F4073" s="188"/>
      <c r="G4073" s="2122"/>
      <c r="H4073" s="568"/>
      <c r="I4073" s="2118"/>
      <c r="J4073" s="2134" t="s">
        <v>718</v>
      </c>
      <c r="K4073" s="2123">
        <f>SUM(K4071:K4072)</f>
        <v>1570.72</v>
      </c>
      <c r="L4073" s="192"/>
      <c r="M4073" s="568"/>
    </row>
    <row r="4074" spans="1:20" ht="12.75">
      <c r="A4074" s="2114"/>
      <c r="B4074" s="192" t="s">
        <v>781</v>
      </c>
      <c r="C4074" s="568"/>
      <c r="D4074" s="568"/>
      <c r="E4074" s="188"/>
      <c r="F4074" s="188"/>
      <c r="G4074" s="2122"/>
      <c r="H4074" s="568"/>
      <c r="I4074" s="2118"/>
      <c r="J4074" s="2123"/>
      <c r="K4074" s="2123"/>
      <c r="L4074" s="192"/>
      <c r="M4074" s="568"/>
    </row>
    <row r="4075" spans="1:20" ht="12.75">
      <c r="A4075" s="2114"/>
      <c r="B4075" s="568" t="s">
        <v>975</v>
      </c>
      <c r="C4075" s="568"/>
      <c r="D4075" s="568"/>
      <c r="E4075" s="188"/>
      <c r="F4075" s="188"/>
      <c r="G4075" s="2122">
        <v>2.16</v>
      </c>
      <c r="H4075" s="568" t="s">
        <v>262</v>
      </c>
      <c r="I4075" s="2118" t="s">
        <v>38</v>
      </c>
      <c r="J4075" s="2123">
        <f>L137</f>
        <v>495</v>
      </c>
      <c r="K4075" s="2123">
        <f>ROUND(G4075*J4075,2)</f>
        <v>1069.2</v>
      </c>
      <c r="L4075" s="192"/>
      <c r="M4075" s="568"/>
    </row>
    <row r="4076" spans="1:20" ht="12.75">
      <c r="A4076" s="2114"/>
      <c r="B4076" s="568" t="s">
        <v>976</v>
      </c>
      <c r="C4076" s="568"/>
      <c r="D4076" s="568"/>
      <c r="E4076" s="188"/>
      <c r="F4076" s="188"/>
      <c r="G4076" s="2122">
        <v>5.5</v>
      </c>
      <c r="H4076" s="568" t="s">
        <v>262</v>
      </c>
      <c r="I4076" s="2118" t="s">
        <v>38</v>
      </c>
      <c r="J4076" s="2123">
        <f>L135</f>
        <v>385</v>
      </c>
      <c r="K4076" s="2123">
        <f>ROUND(G4076*J4076,2)</f>
        <v>2117.5</v>
      </c>
      <c r="L4076" s="192"/>
      <c r="M4076" s="568"/>
    </row>
    <row r="4077" spans="1:20" ht="12.75">
      <c r="A4077" s="2114"/>
      <c r="B4077" s="568" t="s">
        <v>717</v>
      </c>
      <c r="C4077" s="568"/>
      <c r="D4077" s="568"/>
      <c r="E4077" s="188"/>
      <c r="F4077" s="188"/>
      <c r="G4077" s="2122">
        <v>2.16</v>
      </c>
      <c r="H4077" s="568" t="s">
        <v>262</v>
      </c>
      <c r="I4077" s="2118" t="s">
        <v>38</v>
      </c>
      <c r="J4077" s="2123">
        <f>L134</f>
        <v>345</v>
      </c>
      <c r="K4077" s="2123">
        <f>ROUND(G4077*J4077,2)</f>
        <v>745.2</v>
      </c>
      <c r="L4077" s="192"/>
      <c r="M4077" s="568"/>
    </row>
    <row r="4078" spans="1:20" ht="12.75">
      <c r="A4078" s="2114"/>
      <c r="B4078" s="568"/>
      <c r="C4078" s="568"/>
      <c r="D4078" s="568"/>
      <c r="E4078" s="188"/>
      <c r="F4078" s="188"/>
      <c r="G4078" s="2122"/>
      <c r="H4078" s="568"/>
      <c r="I4078" s="2118"/>
      <c r="J4078" s="2134" t="s">
        <v>718</v>
      </c>
      <c r="K4078" s="2123">
        <f>SUM(K4075:K4077)</f>
        <v>3931.8999999999996</v>
      </c>
      <c r="L4078" s="192"/>
      <c r="M4078" s="568"/>
    </row>
    <row r="4079" spans="1:20" ht="12.75">
      <c r="A4079" s="2114"/>
      <c r="B4079" s="192"/>
      <c r="C4079" s="568"/>
      <c r="D4079" s="568"/>
      <c r="E4079" s="188"/>
      <c r="F4079" s="188"/>
      <c r="G4079" s="2122"/>
      <c r="H4079" s="568"/>
      <c r="I4079" s="2118"/>
      <c r="J4079" s="2123"/>
      <c r="K4079" s="2123"/>
      <c r="L4079" s="192"/>
      <c r="M4079" s="568"/>
    </row>
    <row r="4080" spans="1:20" ht="12.75">
      <c r="A4080" s="2114"/>
      <c r="B4080" s="192" t="s">
        <v>783</v>
      </c>
      <c r="C4080" s="568"/>
      <c r="D4080" s="568"/>
      <c r="E4080" s="188"/>
      <c r="F4080" s="188"/>
      <c r="G4080" s="2122"/>
      <c r="H4080" s="568"/>
      <c r="I4080" s="2118"/>
      <c r="J4080" s="2123"/>
      <c r="K4080" s="2123"/>
      <c r="L4080" s="192"/>
      <c r="M4080" s="568"/>
    </row>
    <row r="4081" spans="1:16" ht="12.75">
      <c r="A4081" s="2114"/>
      <c r="B4081" s="568" t="s">
        <v>775</v>
      </c>
      <c r="C4081" s="568"/>
      <c r="D4081" s="568"/>
      <c r="E4081" s="188"/>
      <c r="F4081" s="188"/>
      <c r="G4081" s="2122">
        <f>G4071</f>
        <v>0.13</v>
      </c>
      <c r="H4081" s="568" t="s">
        <v>49</v>
      </c>
      <c r="I4081" s="2118" t="s">
        <v>49</v>
      </c>
      <c r="J4081" s="2123">
        <f>K46</f>
        <v>717.46</v>
      </c>
      <c r="K4081" s="2123">
        <f>ROUND(G4081*J4081,2)</f>
        <v>93.27</v>
      </c>
      <c r="L4081" s="192"/>
      <c r="M4081" s="568"/>
    </row>
    <row r="4082" spans="1:16" ht="12.75">
      <c r="A4082" s="2114"/>
      <c r="B4082" s="568" t="s">
        <v>8</v>
      </c>
      <c r="C4082" s="568"/>
      <c r="D4082" s="568"/>
      <c r="E4082" s="188"/>
      <c r="F4082" s="188"/>
      <c r="G4082" s="2122">
        <f>G4072</f>
        <v>2.7370000000000001</v>
      </c>
      <c r="H4082" s="568" t="s">
        <v>247</v>
      </c>
      <c r="I4082" s="2118" t="s">
        <v>247</v>
      </c>
      <c r="J4082" s="2123">
        <f>K50/10</f>
        <v>42.622</v>
      </c>
      <c r="K4082" s="2123">
        <f>ROUND(G4082*J4082,2)</f>
        <v>116.66</v>
      </c>
      <c r="L4082" s="192"/>
      <c r="M4082" s="568"/>
    </row>
    <row r="4083" spans="1:16" ht="12.75">
      <c r="A4083" s="2114"/>
      <c r="B4083" s="568" t="s">
        <v>13</v>
      </c>
      <c r="C4083" s="568"/>
      <c r="D4083" s="568"/>
      <c r="E4083" s="188"/>
      <c r="F4083" s="188"/>
      <c r="G4083" s="2122">
        <v>10</v>
      </c>
      <c r="H4083" s="568" t="s">
        <v>92</v>
      </c>
      <c r="I4083" s="2118" t="s">
        <v>92</v>
      </c>
      <c r="J4083" s="2123">
        <f>K52</f>
        <v>14.510277777777777</v>
      </c>
      <c r="K4083" s="2123">
        <f>ROUND(G4083*J4083,2)</f>
        <v>145.1</v>
      </c>
      <c r="L4083" s="192"/>
      <c r="M4083" s="568"/>
    </row>
    <row r="4084" spans="1:16" ht="12.75">
      <c r="A4084" s="2114"/>
      <c r="B4084" s="568"/>
      <c r="C4084" s="568"/>
      <c r="D4084" s="568"/>
      <c r="E4084" s="188"/>
      <c r="F4084" s="188"/>
      <c r="G4084" s="2122"/>
      <c r="H4084" s="568"/>
      <c r="I4084" s="2118"/>
      <c r="J4084" s="2134" t="s">
        <v>718</v>
      </c>
      <c r="K4084" s="2123">
        <f>SUM(K4081:K4083)</f>
        <v>355.03</v>
      </c>
      <c r="L4084" s="192"/>
      <c r="M4084" s="568"/>
    </row>
    <row r="4085" spans="1:16" ht="12.75">
      <c r="A4085" s="2114"/>
      <c r="B4085" s="568" t="s">
        <v>977</v>
      </c>
      <c r="C4085" s="568"/>
      <c r="D4085" s="568"/>
      <c r="E4085" s="188"/>
      <c r="F4085" s="188"/>
      <c r="G4085" s="2122"/>
      <c r="H4085" s="568"/>
      <c r="I4085" s="2118"/>
      <c r="J4085" s="2123"/>
      <c r="K4085" s="2123">
        <f>K4073+K4078+K4079+K4084</f>
        <v>5857.65</v>
      </c>
      <c r="L4085" s="192"/>
      <c r="M4085" s="568"/>
    </row>
    <row r="4086" spans="1:16" ht="12.75">
      <c r="A4086" s="2114"/>
      <c r="B4086" s="568" t="s">
        <v>978</v>
      </c>
      <c r="C4086" s="568"/>
      <c r="D4086" s="568"/>
      <c r="E4086" s="188"/>
      <c r="F4086" s="188"/>
      <c r="G4086" s="2122"/>
      <c r="H4086" s="568"/>
      <c r="I4086" s="2118"/>
      <c r="J4086" s="2126" t="s">
        <v>718</v>
      </c>
      <c r="K4086" s="2124">
        <f>ROUND(K4085/10,2)</f>
        <v>585.77</v>
      </c>
      <c r="L4086" s="192" t="s">
        <v>730</v>
      </c>
      <c r="M4086" s="568"/>
    </row>
    <row r="4087" spans="1:16" ht="12.75">
      <c r="A4087" s="2114"/>
      <c r="B4087" s="568" t="s">
        <v>979</v>
      </c>
      <c r="C4087" s="568"/>
      <c r="D4087" s="568"/>
      <c r="E4087" s="188"/>
      <c r="F4087" s="188"/>
      <c r="G4087" s="2172">
        <f>G4083/10</f>
        <v>1</v>
      </c>
      <c r="H4087" s="568" t="s">
        <v>92</v>
      </c>
      <c r="I4087" s="2118" t="s">
        <v>92</v>
      </c>
      <c r="J4087" s="2123">
        <f>G52</f>
        <v>695.76</v>
      </c>
      <c r="K4087" s="2123">
        <f>ROUND(G4087*J4087,2)</f>
        <v>695.76</v>
      </c>
      <c r="L4087" s="192"/>
      <c r="M4087" s="568"/>
    </row>
    <row r="4088" spans="1:16" ht="12.75">
      <c r="A4088" s="2114"/>
      <c r="B4088" s="568"/>
      <c r="C4088" s="568"/>
      <c r="D4088" s="568"/>
      <c r="E4088" s="188"/>
      <c r="F4088" s="188"/>
      <c r="G4088" s="2122"/>
      <c r="H4088" s="568"/>
      <c r="I4088" s="2118"/>
      <c r="J4088" s="2123"/>
      <c r="K4088" s="2123"/>
      <c r="L4088" s="192"/>
      <c r="M4088" s="568"/>
      <c r="O4088" s="1991">
        <f>ROUND(K4078/10,2)</f>
        <v>393.19</v>
      </c>
      <c r="P4088" s="1706" t="s">
        <v>3149</v>
      </c>
    </row>
    <row r="4089" spans="1:16" ht="12.75">
      <c r="A4089" s="2114"/>
      <c r="B4089" s="568"/>
      <c r="C4089" s="568"/>
      <c r="D4089" s="568"/>
      <c r="E4089" s="188"/>
      <c r="F4089" s="188"/>
      <c r="G4089" s="2122"/>
      <c r="H4089" s="568"/>
      <c r="I4089" s="2118"/>
      <c r="J4089" s="2126" t="s">
        <v>718</v>
      </c>
      <c r="K4089" s="2124">
        <f>SUM(K4086:K4088)</f>
        <v>1281.53</v>
      </c>
      <c r="L4089" s="192" t="s">
        <v>730</v>
      </c>
      <c r="M4089" s="568"/>
      <c r="O4089" s="1991">
        <f>K4089-O4088</f>
        <v>888.33999999999992</v>
      </c>
      <c r="P4089" s="1706" t="s">
        <v>26</v>
      </c>
    </row>
    <row r="4090" spans="1:16" ht="12.75" hidden="1">
      <c r="A4090" s="2114" t="str">
        <f>A718</f>
        <v>(ii)</v>
      </c>
      <c r="B4090" s="192" t="str">
        <f>B718</f>
        <v>First Floor</v>
      </c>
      <c r="C4090" s="568"/>
      <c r="D4090" s="568"/>
      <c r="E4090" s="2120" t="str">
        <f>G718</f>
        <v>Each Sqm</v>
      </c>
      <c r="F4090" s="2120"/>
      <c r="G4090" s="2122"/>
      <c r="H4090" s="568"/>
      <c r="I4090" s="2118"/>
      <c r="J4090" s="2123"/>
      <c r="K4090" s="2123"/>
      <c r="L4090" s="192"/>
      <c r="M4090" s="568"/>
    </row>
    <row r="4091" spans="1:16" ht="12.75" hidden="1">
      <c r="A4091" s="2114"/>
      <c r="B4091" s="568" t="s">
        <v>722</v>
      </c>
      <c r="C4091" s="568"/>
      <c r="D4091" s="568"/>
      <c r="E4091" s="188"/>
      <c r="F4091" s="188"/>
      <c r="G4091" s="2122"/>
      <c r="H4091" s="568"/>
      <c r="I4091" s="2118"/>
      <c r="J4091" s="2123"/>
      <c r="K4091" s="2123">
        <f>K4089</f>
        <v>1281.53</v>
      </c>
      <c r="L4091" s="192"/>
      <c r="M4091" s="568"/>
    </row>
    <row r="4092" spans="1:16" ht="12.75" hidden="1">
      <c r="A4092" s="2114"/>
      <c r="B4092" s="568" t="s">
        <v>723</v>
      </c>
      <c r="C4092" s="568"/>
      <c r="D4092" s="568"/>
      <c r="E4092" s="188"/>
      <c r="F4092" s="188"/>
      <c r="G4092" s="2122"/>
      <c r="H4092" s="568"/>
      <c r="I4092" s="2118"/>
      <c r="J4092" s="2123"/>
      <c r="K4092" s="2123">
        <f>ROUND(K4078/10*5%,2)</f>
        <v>19.66</v>
      </c>
      <c r="L4092" s="192"/>
      <c r="M4092" s="568"/>
      <c r="O4092" s="1991">
        <f>O4088+K4092</f>
        <v>412.85</v>
      </c>
      <c r="P4092" s="1706" t="s">
        <v>3149</v>
      </c>
    </row>
    <row r="4093" spans="1:16" ht="12.75" hidden="1">
      <c r="A4093" s="2114"/>
      <c r="B4093" s="568"/>
      <c r="C4093" s="568"/>
      <c r="D4093" s="568"/>
      <c r="E4093" s="188"/>
      <c r="F4093" s="188"/>
      <c r="G4093" s="2122"/>
      <c r="H4093" s="568"/>
      <c r="I4093" s="2118"/>
      <c r="J4093" s="2126" t="s">
        <v>718</v>
      </c>
      <c r="K4093" s="2124">
        <f>SUM(K4091:K4092)</f>
        <v>1301.19</v>
      </c>
      <c r="L4093" s="192" t="s">
        <v>730</v>
      </c>
      <c r="M4093" s="568"/>
      <c r="O4093" s="1991">
        <f>K4093-O4092</f>
        <v>888.34</v>
      </c>
      <c r="P4093" s="1706" t="s">
        <v>26</v>
      </c>
    </row>
    <row r="4094" spans="1:16" ht="12.75" hidden="1">
      <c r="A4094" s="2114" t="str">
        <f>A719</f>
        <v>(iii)</v>
      </c>
      <c r="B4094" s="192" t="str">
        <f>B719</f>
        <v>2nd Floor</v>
      </c>
      <c r="C4094" s="568"/>
      <c r="D4094" s="568"/>
      <c r="E4094" s="2120" t="str">
        <f>G723</f>
        <v>Each Sqm</v>
      </c>
      <c r="F4094" s="2120"/>
      <c r="G4094" s="2122"/>
      <c r="H4094" s="568"/>
      <c r="I4094" s="2118"/>
      <c r="J4094" s="2123"/>
      <c r="K4094" s="2123"/>
      <c r="L4094" s="192"/>
      <c r="M4094" s="568"/>
    </row>
    <row r="4095" spans="1:16" ht="12.75" hidden="1">
      <c r="A4095" s="2114"/>
      <c r="B4095" s="568" t="s">
        <v>722</v>
      </c>
      <c r="C4095" s="568"/>
      <c r="D4095" s="568"/>
      <c r="E4095" s="188"/>
      <c r="F4095" s="188"/>
      <c r="G4095" s="2122"/>
      <c r="H4095" s="568"/>
      <c r="I4095" s="2118"/>
      <c r="J4095" s="2123"/>
      <c r="K4095" s="2123">
        <f>K4093</f>
        <v>1301.19</v>
      </c>
      <c r="L4095" s="192"/>
      <c r="M4095" s="568"/>
    </row>
    <row r="4096" spans="1:16" ht="12.75" hidden="1">
      <c r="A4096" s="2114"/>
      <c r="B4096" s="568" t="s">
        <v>723</v>
      </c>
      <c r="C4096" s="568"/>
      <c r="D4096" s="568"/>
      <c r="E4096" s="188"/>
      <c r="F4096" s="188"/>
      <c r="G4096" s="2122"/>
      <c r="H4096" s="568"/>
      <c r="I4096" s="2118"/>
      <c r="J4096" s="2123"/>
      <c r="K4096" s="2123">
        <f>ROUND(K4092+K4092*5%,2)</f>
        <v>20.64</v>
      </c>
      <c r="L4096" s="192"/>
      <c r="M4096" s="568"/>
      <c r="O4096" s="1991">
        <f>O4092+K4096</f>
        <v>433.49</v>
      </c>
      <c r="P4096" s="1706" t="s">
        <v>3149</v>
      </c>
    </row>
    <row r="4097" spans="1:20" ht="12.75" hidden="1">
      <c r="A4097" s="2114"/>
      <c r="B4097" s="568"/>
      <c r="C4097" s="568"/>
      <c r="D4097" s="568"/>
      <c r="E4097" s="188"/>
      <c r="F4097" s="188"/>
      <c r="G4097" s="2122"/>
      <c r="H4097" s="568"/>
      <c r="I4097" s="2118"/>
      <c r="J4097" s="2126" t="s">
        <v>718</v>
      </c>
      <c r="K4097" s="2124">
        <f>SUM(K4095:K4096)</f>
        <v>1321.8300000000002</v>
      </c>
      <c r="L4097" s="192" t="s">
        <v>730</v>
      </c>
      <c r="M4097" s="568"/>
      <c r="O4097" s="1991">
        <f>K4097-O4096</f>
        <v>888.34000000000015</v>
      </c>
      <c r="P4097" s="1706" t="s">
        <v>26</v>
      </c>
    </row>
    <row r="4098" spans="1:20" ht="12.75" hidden="1">
      <c r="A4098" s="2114" t="str">
        <f>A720</f>
        <v>(iv)</v>
      </c>
      <c r="B4098" s="192" t="str">
        <f>B720</f>
        <v>3rd Floor</v>
      </c>
      <c r="C4098" s="568"/>
      <c r="D4098" s="568"/>
      <c r="E4098" s="2120" t="str">
        <f>G727</f>
        <v>Each Sqm</v>
      </c>
      <c r="F4098" s="2120"/>
      <c r="G4098" s="2122"/>
      <c r="H4098" s="568"/>
      <c r="I4098" s="2118"/>
      <c r="J4098" s="2123"/>
      <c r="K4098" s="2123"/>
      <c r="L4098" s="192"/>
      <c r="M4098" s="568"/>
    </row>
    <row r="4099" spans="1:20" ht="12.75" hidden="1">
      <c r="A4099" s="2114"/>
      <c r="B4099" s="568" t="s">
        <v>722</v>
      </c>
      <c r="C4099" s="568"/>
      <c r="D4099" s="568"/>
      <c r="E4099" s="188"/>
      <c r="F4099" s="188"/>
      <c r="G4099" s="2122"/>
      <c r="H4099" s="568"/>
      <c r="I4099" s="2118"/>
      <c r="J4099" s="2123"/>
      <c r="K4099" s="2123">
        <f>K4097</f>
        <v>1321.8300000000002</v>
      </c>
      <c r="L4099" s="192"/>
      <c r="M4099" s="568"/>
    </row>
    <row r="4100" spans="1:20" ht="12.75" hidden="1">
      <c r="A4100" s="2114"/>
      <c r="B4100" s="568" t="s">
        <v>723</v>
      </c>
      <c r="C4100" s="568"/>
      <c r="D4100" s="568"/>
      <c r="E4100" s="188"/>
      <c r="F4100" s="188"/>
      <c r="G4100" s="2122"/>
      <c r="H4100" s="568"/>
      <c r="I4100" s="2118"/>
      <c r="J4100" s="2123"/>
      <c r="K4100" s="2123">
        <f>ROUND(K4096+K4096*5%,2)</f>
        <v>21.67</v>
      </c>
      <c r="L4100" s="192"/>
      <c r="M4100" s="568"/>
      <c r="O4100" s="1991">
        <f>O4096+K4100</f>
        <v>455.16</v>
      </c>
      <c r="P4100" s="1706" t="s">
        <v>3149</v>
      </c>
    </row>
    <row r="4101" spans="1:20" ht="12.75" hidden="1">
      <c r="A4101" s="2114"/>
      <c r="B4101" s="568"/>
      <c r="C4101" s="568"/>
      <c r="D4101" s="568"/>
      <c r="E4101" s="188"/>
      <c r="F4101" s="188"/>
      <c r="G4101" s="2122"/>
      <c r="H4101" s="568"/>
      <c r="I4101" s="2118"/>
      <c r="J4101" s="2126" t="s">
        <v>718</v>
      </c>
      <c r="K4101" s="2124">
        <f>SUM(K4099:K4100)</f>
        <v>1343.5000000000002</v>
      </c>
      <c r="L4101" s="192" t="s">
        <v>730</v>
      </c>
      <c r="M4101" s="568"/>
      <c r="O4101" s="1991">
        <f>K4101-O4100</f>
        <v>888.34000000000015</v>
      </c>
      <c r="P4101" s="1706" t="s">
        <v>26</v>
      </c>
    </row>
    <row r="4102" spans="1:20" s="175" customFormat="1" ht="12.75">
      <c r="A4102" s="1702" t="str">
        <f>A721</f>
        <v>B)</v>
      </c>
      <c r="B4102" s="2182" t="str">
        <f>B721</f>
        <v>Vertified tile ( 600x 600)Plain</v>
      </c>
      <c r="C4102" s="2146"/>
      <c r="D4102" s="2146"/>
      <c r="E4102" s="1702"/>
      <c r="F4102" s="1702"/>
      <c r="G4102" s="2149"/>
      <c r="H4102" s="2146"/>
      <c r="I4102" s="1703"/>
      <c r="J4102" s="2150"/>
      <c r="K4102" s="2150"/>
      <c r="L4102" s="2145"/>
      <c r="M4102" s="2146"/>
      <c r="T4102" s="1759"/>
    </row>
    <row r="4103" spans="1:20" ht="12.75">
      <c r="A4103" s="2114" t="str">
        <f>A722</f>
        <v>(i)</v>
      </c>
      <c r="B4103" s="192" t="str">
        <f>B722</f>
        <v>Ground Floor</v>
      </c>
      <c r="C4103" s="568"/>
      <c r="D4103" s="568"/>
      <c r="E4103" s="2120" t="str">
        <f>G698</f>
        <v>Each Sqm</v>
      </c>
      <c r="F4103" s="2120"/>
      <c r="G4103" s="2122"/>
      <c r="H4103" s="568"/>
      <c r="I4103" s="2118"/>
      <c r="J4103" s="2123"/>
      <c r="K4103" s="2123"/>
      <c r="L4103" s="192"/>
      <c r="M4103" s="568"/>
    </row>
    <row r="4104" spans="1:20" ht="12.75">
      <c r="A4104" s="2114"/>
      <c r="B4104" s="568" t="s">
        <v>980</v>
      </c>
      <c r="C4104" s="568"/>
      <c r="D4104" s="568"/>
      <c r="E4104" s="188"/>
      <c r="F4104" s="188"/>
      <c r="G4104" s="2122"/>
      <c r="H4104" s="568"/>
      <c r="I4104" s="2118"/>
      <c r="J4104" s="2123"/>
      <c r="K4104" s="2123">
        <f>K4086</f>
        <v>585.77</v>
      </c>
      <c r="L4104" s="568" t="s">
        <v>730</v>
      </c>
      <c r="M4104" s="568"/>
    </row>
    <row r="4105" spans="1:20" ht="12.75">
      <c r="A4105" s="2114"/>
      <c r="B4105" s="568" t="s">
        <v>979</v>
      </c>
      <c r="C4105" s="568"/>
      <c r="D4105" s="568"/>
      <c r="E4105" s="188"/>
      <c r="F4105" s="188"/>
      <c r="G4105" s="2122">
        <f>G4087</f>
        <v>1</v>
      </c>
      <c r="H4105" s="568" t="s">
        <v>92</v>
      </c>
      <c r="I4105" s="2118" t="s">
        <v>92</v>
      </c>
      <c r="J4105" s="2123">
        <f>G53</f>
        <v>651.08000000000004</v>
      </c>
      <c r="K4105" s="2123">
        <f>ROUND(G4105*J4105,2)</f>
        <v>651.08000000000004</v>
      </c>
      <c r="L4105" s="192"/>
      <c r="M4105" s="568"/>
    </row>
    <row r="4106" spans="1:20" ht="12.75">
      <c r="A4106" s="2114"/>
      <c r="B4106" s="568"/>
      <c r="C4106" s="568"/>
      <c r="D4106" s="568"/>
      <c r="E4106" s="188"/>
      <c r="F4106" s="188"/>
      <c r="G4106" s="2122"/>
      <c r="H4106" s="568"/>
      <c r="I4106" s="2118"/>
      <c r="J4106" s="2123"/>
      <c r="K4106" s="2123"/>
      <c r="L4106" s="192"/>
      <c r="M4106" s="568"/>
      <c r="O4106" s="1991">
        <f>O4088</f>
        <v>393.19</v>
      </c>
      <c r="P4106" s="1706" t="s">
        <v>3149</v>
      </c>
    </row>
    <row r="4107" spans="1:20" ht="12.75">
      <c r="A4107" s="2114"/>
      <c r="B4107" s="568"/>
      <c r="C4107" s="568"/>
      <c r="D4107" s="568"/>
      <c r="E4107" s="188"/>
      <c r="F4107" s="188"/>
      <c r="G4107" s="2122"/>
      <c r="H4107" s="568"/>
      <c r="I4107" s="2118"/>
      <c r="J4107" s="2126" t="s">
        <v>718</v>
      </c>
      <c r="K4107" s="2124">
        <f>SUM(K4104:K4106)</f>
        <v>1236.8499999999999</v>
      </c>
      <c r="L4107" s="192" t="s">
        <v>730</v>
      </c>
      <c r="M4107" s="568"/>
      <c r="O4107" s="1991">
        <f>K4107-O4106</f>
        <v>843.65999999999985</v>
      </c>
      <c r="P4107" s="1706" t="s">
        <v>26</v>
      </c>
    </row>
    <row r="4108" spans="1:20" ht="12.75" hidden="1">
      <c r="A4108" s="2114" t="str">
        <f>A723</f>
        <v>(ii)</v>
      </c>
      <c r="B4108" s="192" t="str">
        <f>B723</f>
        <v>First Floor</v>
      </c>
      <c r="C4108" s="568"/>
      <c r="D4108" s="568"/>
      <c r="E4108" s="2120" t="str">
        <f>E4103</f>
        <v>Each Sqm</v>
      </c>
      <c r="F4108" s="2120"/>
      <c r="G4108" s="2122"/>
      <c r="H4108" s="568"/>
      <c r="I4108" s="2118"/>
      <c r="J4108" s="2123"/>
      <c r="K4108" s="2123"/>
      <c r="L4108" s="192"/>
      <c r="M4108" s="568"/>
    </row>
    <row r="4109" spans="1:20" ht="12.75" hidden="1">
      <c r="A4109" s="2114"/>
      <c r="B4109" s="568" t="s">
        <v>722</v>
      </c>
      <c r="C4109" s="568"/>
      <c r="D4109" s="568"/>
      <c r="E4109" s="188"/>
      <c r="F4109" s="188"/>
      <c r="G4109" s="2122"/>
      <c r="H4109" s="568"/>
      <c r="I4109" s="2118"/>
      <c r="J4109" s="2123"/>
      <c r="K4109" s="2123">
        <f>K4107</f>
        <v>1236.8499999999999</v>
      </c>
      <c r="L4109" s="192"/>
      <c r="M4109" s="568"/>
    </row>
    <row r="4110" spans="1:20" ht="12.75" hidden="1">
      <c r="A4110" s="2114"/>
      <c r="B4110" s="568" t="s">
        <v>723</v>
      </c>
      <c r="C4110" s="568"/>
      <c r="D4110" s="568"/>
      <c r="E4110" s="188"/>
      <c r="F4110" s="188"/>
      <c r="G4110" s="2122"/>
      <c r="H4110" s="568"/>
      <c r="I4110" s="2118"/>
      <c r="J4110" s="2123"/>
      <c r="K4110" s="2123">
        <f>ROUND(K4078/10*5%,2)</f>
        <v>19.66</v>
      </c>
      <c r="L4110" s="192"/>
      <c r="M4110" s="568"/>
      <c r="O4110" s="1991">
        <f>O4106+K4110</f>
        <v>412.85</v>
      </c>
      <c r="P4110" s="1706" t="s">
        <v>3149</v>
      </c>
    </row>
    <row r="4111" spans="1:20" ht="12.75" hidden="1">
      <c r="A4111" s="2114"/>
      <c r="B4111" s="568"/>
      <c r="C4111" s="568"/>
      <c r="D4111" s="568"/>
      <c r="E4111" s="188"/>
      <c r="F4111" s="188"/>
      <c r="G4111" s="2122"/>
      <c r="H4111" s="568"/>
      <c r="I4111" s="2118"/>
      <c r="J4111" s="2126" t="s">
        <v>718</v>
      </c>
      <c r="K4111" s="2124">
        <f>SUM(K4109:K4110)</f>
        <v>1256.51</v>
      </c>
      <c r="L4111" s="192" t="s">
        <v>730</v>
      </c>
      <c r="M4111" s="568"/>
      <c r="O4111" s="1991">
        <f>K4111-O4110</f>
        <v>843.66</v>
      </c>
      <c r="P4111" s="1706" t="s">
        <v>26</v>
      </c>
    </row>
    <row r="4112" spans="1:20" ht="12.75" hidden="1">
      <c r="A4112" s="2114" t="str">
        <f>A724</f>
        <v>(iii)</v>
      </c>
      <c r="B4112" s="192" t="str">
        <f>B724</f>
        <v>2nd Floor</v>
      </c>
      <c r="C4112" s="568"/>
      <c r="D4112" s="568"/>
      <c r="E4112" s="2120" t="str">
        <f>E4108</f>
        <v>Each Sqm</v>
      </c>
      <c r="F4112" s="2120"/>
      <c r="G4112" s="2122"/>
      <c r="H4112" s="568"/>
      <c r="I4112" s="2118"/>
      <c r="J4112" s="2123"/>
      <c r="K4112" s="2123"/>
      <c r="L4112" s="192"/>
      <c r="M4112" s="568"/>
    </row>
    <row r="4113" spans="1:20" ht="12.75" hidden="1">
      <c r="A4113" s="2114"/>
      <c r="B4113" s="568" t="s">
        <v>3623</v>
      </c>
      <c r="C4113" s="568"/>
      <c r="D4113" s="568"/>
      <c r="E4113" s="188"/>
      <c r="F4113" s="188"/>
      <c r="G4113" s="2122"/>
      <c r="H4113" s="568"/>
      <c r="I4113" s="2118"/>
      <c r="J4113" s="2123"/>
      <c r="K4113" s="2123">
        <f>K4111</f>
        <v>1256.51</v>
      </c>
      <c r="L4113" s="192"/>
      <c r="M4113" s="568"/>
    </row>
    <row r="4114" spans="1:20" ht="12.75" hidden="1">
      <c r="A4114" s="2114"/>
      <c r="B4114" s="568" t="s">
        <v>723</v>
      </c>
      <c r="C4114" s="568"/>
      <c r="D4114" s="568"/>
      <c r="E4114" s="188"/>
      <c r="F4114" s="188"/>
      <c r="G4114" s="2122"/>
      <c r="H4114" s="568"/>
      <c r="I4114" s="2118"/>
      <c r="J4114" s="2123"/>
      <c r="K4114" s="2123">
        <f>ROUND(K4110+K4110*5%,2)</f>
        <v>20.64</v>
      </c>
      <c r="L4114" s="192"/>
      <c r="M4114" s="568"/>
      <c r="O4114" s="1991">
        <f>O4110+K4114</f>
        <v>433.49</v>
      </c>
      <c r="P4114" s="1706" t="s">
        <v>3149</v>
      </c>
    </row>
    <row r="4115" spans="1:20" ht="12.75" hidden="1">
      <c r="A4115" s="2114"/>
      <c r="B4115" s="568"/>
      <c r="C4115" s="568"/>
      <c r="D4115" s="568"/>
      <c r="E4115" s="188"/>
      <c r="F4115" s="188"/>
      <c r="G4115" s="2122"/>
      <c r="H4115" s="568"/>
      <c r="I4115" s="2118"/>
      <c r="J4115" s="2126" t="s">
        <v>718</v>
      </c>
      <c r="K4115" s="2124">
        <f>SUM(K4113:K4114)</f>
        <v>1277.1500000000001</v>
      </c>
      <c r="L4115" s="192" t="s">
        <v>730</v>
      </c>
      <c r="M4115" s="568"/>
      <c r="O4115" s="1991">
        <f>K4115-O4114</f>
        <v>843.66000000000008</v>
      </c>
      <c r="P4115" s="1706" t="s">
        <v>26</v>
      </c>
    </row>
    <row r="4116" spans="1:20" ht="12.75" hidden="1">
      <c r="A4116" s="2114" t="str">
        <f>A725</f>
        <v>(iv)</v>
      </c>
      <c r="B4116" s="192" t="str">
        <f>B725</f>
        <v>3rd Floor</v>
      </c>
      <c r="C4116" s="568"/>
      <c r="D4116" s="568"/>
      <c r="E4116" s="2120" t="str">
        <f>E4112</f>
        <v>Each Sqm</v>
      </c>
      <c r="F4116" s="2120"/>
      <c r="G4116" s="2122"/>
      <c r="H4116" s="568"/>
      <c r="I4116" s="2118"/>
      <c r="J4116" s="2123"/>
      <c r="K4116" s="2123"/>
      <c r="L4116" s="192"/>
      <c r="M4116" s="568"/>
    </row>
    <row r="4117" spans="1:20" ht="12.75" hidden="1">
      <c r="A4117" s="2114"/>
      <c r="B4117" s="568" t="s">
        <v>3623</v>
      </c>
      <c r="C4117" s="568"/>
      <c r="D4117" s="568"/>
      <c r="E4117" s="188"/>
      <c r="F4117" s="188"/>
      <c r="G4117" s="2122"/>
      <c r="H4117" s="568"/>
      <c r="I4117" s="2118"/>
      <c r="J4117" s="2123"/>
      <c r="K4117" s="2123">
        <f>K4115</f>
        <v>1277.1500000000001</v>
      </c>
      <c r="L4117" s="192"/>
      <c r="M4117" s="568"/>
    </row>
    <row r="4118" spans="1:20" ht="12.75" hidden="1">
      <c r="A4118" s="2114"/>
      <c r="B4118" s="568" t="s">
        <v>723</v>
      </c>
      <c r="C4118" s="568"/>
      <c r="D4118" s="568"/>
      <c r="E4118" s="188"/>
      <c r="F4118" s="188"/>
      <c r="G4118" s="2122"/>
      <c r="H4118" s="568"/>
      <c r="I4118" s="2118"/>
      <c r="J4118" s="2123"/>
      <c r="K4118" s="2123">
        <f>ROUND(K4114+K4114*5%,2)</f>
        <v>21.67</v>
      </c>
      <c r="L4118" s="192"/>
      <c r="M4118" s="568"/>
      <c r="O4118" s="1991">
        <f>O4114+K4118</f>
        <v>455.16</v>
      </c>
      <c r="P4118" s="1706" t="s">
        <v>3149</v>
      </c>
    </row>
    <row r="4119" spans="1:20" ht="12.75" hidden="1">
      <c r="A4119" s="2114"/>
      <c r="B4119" s="568"/>
      <c r="C4119" s="568"/>
      <c r="D4119" s="568"/>
      <c r="E4119" s="188"/>
      <c r="F4119" s="188"/>
      <c r="G4119" s="2122"/>
      <c r="H4119" s="568"/>
      <c r="I4119" s="2118"/>
      <c r="J4119" s="2126" t="s">
        <v>718</v>
      </c>
      <c r="K4119" s="2124">
        <f>SUM(K4117:K4118)</f>
        <v>1298.8200000000002</v>
      </c>
      <c r="L4119" s="192" t="s">
        <v>730</v>
      </c>
      <c r="M4119" s="568"/>
      <c r="O4119" s="1991">
        <f>K4119-O4118</f>
        <v>843.66000000000008</v>
      </c>
      <c r="P4119" s="1706" t="s">
        <v>26</v>
      </c>
    </row>
    <row r="4120" spans="1:20" s="175" customFormat="1" ht="12.75" hidden="1">
      <c r="A4120" s="1702" t="str">
        <f>A726</f>
        <v>C)</v>
      </c>
      <c r="B4120" s="2183" t="str">
        <f>B726</f>
        <v>Vertified industrial tile (300 x300)</v>
      </c>
      <c r="C4120" s="2146"/>
      <c r="D4120" s="2146"/>
      <c r="E4120" s="1702"/>
      <c r="F4120" s="1702"/>
      <c r="G4120" s="2149"/>
      <c r="H4120" s="2146"/>
      <c r="I4120" s="1703"/>
      <c r="J4120" s="2150"/>
      <c r="K4120" s="2150"/>
      <c r="L4120" s="2145"/>
      <c r="M4120" s="2146"/>
      <c r="T4120" s="1759"/>
    </row>
    <row r="4121" spans="1:20" ht="12.75" hidden="1">
      <c r="A4121" s="2114" t="str">
        <f>A727</f>
        <v>(i)</v>
      </c>
      <c r="B4121" s="192" t="str">
        <f>B727</f>
        <v>Ground Floor</v>
      </c>
      <c r="C4121" s="568"/>
      <c r="D4121" s="568"/>
      <c r="E4121" s="2120" t="str">
        <f>G727</f>
        <v>Each Sqm</v>
      </c>
      <c r="F4121" s="2120"/>
      <c r="G4121" s="2122"/>
      <c r="H4121" s="568"/>
      <c r="I4121" s="2118"/>
      <c r="J4121" s="2123"/>
      <c r="K4121" s="2123"/>
      <c r="L4121" s="192"/>
      <c r="M4121" s="568"/>
    </row>
    <row r="4122" spans="1:20" ht="12.75" hidden="1">
      <c r="A4122" s="2114"/>
      <c r="B4122" s="568" t="s">
        <v>980</v>
      </c>
      <c r="C4122" s="568"/>
      <c r="D4122" s="568"/>
      <c r="E4122" s="188"/>
      <c r="F4122" s="188"/>
      <c r="G4122" s="2122"/>
      <c r="H4122" s="568"/>
      <c r="I4122" s="2118"/>
      <c r="J4122" s="2123"/>
      <c r="K4122" s="2123">
        <f>K4086</f>
        <v>585.77</v>
      </c>
      <c r="L4122" s="568" t="s">
        <v>730</v>
      </c>
      <c r="M4122" s="568"/>
    </row>
    <row r="4123" spans="1:20" ht="12.75" hidden="1">
      <c r="A4123" s="2114"/>
      <c r="B4123" s="568" t="s">
        <v>979</v>
      </c>
      <c r="C4123" s="568"/>
      <c r="D4123" s="568"/>
      <c r="E4123" s="188"/>
      <c r="F4123" s="188"/>
      <c r="G4123" s="2122">
        <f>G4105</f>
        <v>1</v>
      </c>
      <c r="H4123" s="568" t="s">
        <v>92</v>
      </c>
      <c r="I4123" s="2118" t="s">
        <v>92</v>
      </c>
      <c r="J4123" s="2123">
        <f>G54</f>
        <v>578.35</v>
      </c>
      <c r="K4123" s="2123">
        <f>ROUND(G4123*J4123,2)</f>
        <v>578.35</v>
      </c>
      <c r="L4123" s="192"/>
      <c r="M4123" s="568"/>
    </row>
    <row r="4124" spans="1:20" ht="12.75" hidden="1">
      <c r="A4124" s="2114"/>
      <c r="B4124" s="568"/>
      <c r="C4124" s="568"/>
      <c r="D4124" s="568"/>
      <c r="E4124" s="188"/>
      <c r="F4124" s="188"/>
      <c r="G4124" s="2122"/>
      <c r="H4124" s="568"/>
      <c r="I4124" s="2118"/>
      <c r="J4124" s="2123"/>
      <c r="K4124" s="2123"/>
      <c r="L4124" s="192"/>
      <c r="M4124" s="568"/>
      <c r="O4124" s="1991">
        <f>O4106</f>
        <v>393.19</v>
      </c>
      <c r="P4124" s="1706" t="s">
        <v>3149</v>
      </c>
    </row>
    <row r="4125" spans="1:20" ht="12.75" hidden="1">
      <c r="A4125" s="2114"/>
      <c r="B4125" s="568"/>
      <c r="C4125" s="568"/>
      <c r="D4125" s="568"/>
      <c r="E4125" s="188"/>
      <c r="F4125" s="188"/>
      <c r="G4125" s="2122"/>
      <c r="H4125" s="568"/>
      <c r="I4125" s="2118"/>
      <c r="J4125" s="2126" t="s">
        <v>718</v>
      </c>
      <c r="K4125" s="2124">
        <f>SUM(K4122:K4124)</f>
        <v>1164.1199999999999</v>
      </c>
      <c r="L4125" s="192" t="s">
        <v>730</v>
      </c>
      <c r="M4125" s="568"/>
      <c r="O4125" s="1991">
        <f>K4125-O4124</f>
        <v>770.92999999999984</v>
      </c>
      <c r="P4125" s="1706" t="s">
        <v>26</v>
      </c>
    </row>
    <row r="4126" spans="1:20" ht="12.75" hidden="1">
      <c r="A4126" s="2114" t="str">
        <f>A728</f>
        <v>(ii)</v>
      </c>
      <c r="B4126" s="192" t="str">
        <f>B728</f>
        <v>First Floor</v>
      </c>
      <c r="C4126" s="568"/>
      <c r="D4126" s="568"/>
      <c r="E4126" s="2120" t="str">
        <f>E4121</f>
        <v>Each Sqm</v>
      </c>
      <c r="F4126" s="2120"/>
      <c r="G4126" s="2122"/>
      <c r="H4126" s="568"/>
      <c r="I4126" s="2118"/>
      <c r="J4126" s="2123"/>
      <c r="K4126" s="2123"/>
      <c r="L4126" s="192"/>
      <c r="M4126" s="568"/>
    </row>
    <row r="4127" spans="1:20" ht="12.75" hidden="1">
      <c r="A4127" s="2114"/>
      <c r="B4127" s="568" t="s">
        <v>722</v>
      </c>
      <c r="C4127" s="568"/>
      <c r="D4127" s="568"/>
      <c r="E4127" s="188"/>
      <c r="F4127" s="188"/>
      <c r="G4127" s="2122"/>
      <c r="H4127" s="568"/>
      <c r="I4127" s="2118"/>
      <c r="J4127" s="2123"/>
      <c r="K4127" s="2123">
        <f>K4125</f>
        <v>1164.1199999999999</v>
      </c>
      <c r="L4127" s="192"/>
      <c r="M4127" s="568"/>
    </row>
    <row r="4128" spans="1:20" ht="12.75" hidden="1">
      <c r="A4128" s="2114"/>
      <c r="B4128" s="568" t="s">
        <v>723</v>
      </c>
      <c r="C4128" s="568"/>
      <c r="D4128" s="568"/>
      <c r="E4128" s="188"/>
      <c r="F4128" s="188"/>
      <c r="G4128" s="2122"/>
      <c r="H4128" s="568"/>
      <c r="I4128" s="2118"/>
      <c r="J4128" s="2123"/>
      <c r="K4128" s="2123">
        <f>ROUND(K4078/10*5%,2)</f>
        <v>19.66</v>
      </c>
      <c r="L4128" s="192"/>
      <c r="M4128" s="568"/>
      <c r="O4128" s="1991">
        <f>O4124+K4128</f>
        <v>412.85</v>
      </c>
      <c r="P4128" s="1706" t="s">
        <v>3149</v>
      </c>
    </row>
    <row r="4129" spans="1:20" ht="12.75" hidden="1">
      <c r="A4129" s="2114"/>
      <c r="B4129" s="568"/>
      <c r="C4129" s="568"/>
      <c r="D4129" s="568"/>
      <c r="E4129" s="188"/>
      <c r="F4129" s="188"/>
      <c r="G4129" s="2122"/>
      <c r="H4129" s="568"/>
      <c r="I4129" s="2118"/>
      <c r="J4129" s="2126" t="s">
        <v>718</v>
      </c>
      <c r="K4129" s="2124">
        <f>SUM(K4127:K4128)</f>
        <v>1183.78</v>
      </c>
      <c r="L4129" s="192" t="s">
        <v>730</v>
      </c>
      <c r="M4129" s="568"/>
      <c r="O4129" s="1991">
        <f>K4129-O4128</f>
        <v>770.93</v>
      </c>
      <c r="P4129" s="1706" t="s">
        <v>26</v>
      </c>
    </row>
    <row r="4130" spans="1:20" ht="12.75" hidden="1">
      <c r="A4130" s="2114" t="str">
        <f>A729</f>
        <v>(iii)</v>
      </c>
      <c r="B4130" s="192" t="str">
        <f>B729</f>
        <v>2nd Floor</v>
      </c>
      <c r="C4130" s="568"/>
      <c r="D4130" s="568"/>
      <c r="E4130" s="2120" t="str">
        <f>E4126</f>
        <v>Each Sqm</v>
      </c>
      <c r="F4130" s="2120"/>
      <c r="G4130" s="2122"/>
      <c r="H4130" s="568"/>
      <c r="I4130" s="2118"/>
      <c r="J4130" s="2123"/>
      <c r="K4130" s="2123"/>
      <c r="L4130" s="192"/>
      <c r="M4130" s="568"/>
    </row>
    <row r="4131" spans="1:20" ht="12.75" hidden="1">
      <c r="A4131" s="2114"/>
      <c r="B4131" s="568" t="s">
        <v>3623</v>
      </c>
      <c r="C4131" s="568"/>
      <c r="D4131" s="568"/>
      <c r="E4131" s="188"/>
      <c r="F4131" s="188"/>
      <c r="G4131" s="2122"/>
      <c r="H4131" s="568"/>
      <c r="I4131" s="2118"/>
      <c r="J4131" s="2123"/>
      <c r="K4131" s="2123">
        <f>K4129</f>
        <v>1183.78</v>
      </c>
      <c r="L4131" s="192"/>
      <c r="M4131" s="568"/>
    </row>
    <row r="4132" spans="1:20" ht="12.75" hidden="1">
      <c r="A4132" s="2114"/>
      <c r="B4132" s="568" t="s">
        <v>723</v>
      </c>
      <c r="C4132" s="568"/>
      <c r="D4132" s="568"/>
      <c r="E4132" s="188"/>
      <c r="F4132" s="188"/>
      <c r="G4132" s="2122"/>
      <c r="H4132" s="568"/>
      <c r="I4132" s="2118"/>
      <c r="J4132" s="2123"/>
      <c r="K4132" s="2123">
        <f>ROUND(K4128+K4128*5%,2)</f>
        <v>20.64</v>
      </c>
      <c r="L4132" s="192"/>
      <c r="M4132" s="568"/>
      <c r="O4132" s="1991">
        <f>O4128+K4132</f>
        <v>433.49</v>
      </c>
      <c r="P4132" s="1706" t="s">
        <v>3149</v>
      </c>
    </row>
    <row r="4133" spans="1:20" ht="12.75" hidden="1">
      <c r="A4133" s="2114"/>
      <c r="B4133" s="568"/>
      <c r="C4133" s="568"/>
      <c r="D4133" s="568"/>
      <c r="E4133" s="188"/>
      <c r="F4133" s="188"/>
      <c r="G4133" s="2122"/>
      <c r="H4133" s="568"/>
      <c r="I4133" s="2118"/>
      <c r="J4133" s="2126" t="s">
        <v>718</v>
      </c>
      <c r="K4133" s="2124">
        <f>SUM(K4131:K4132)</f>
        <v>1204.42</v>
      </c>
      <c r="L4133" s="192" t="s">
        <v>730</v>
      </c>
      <c r="M4133" s="568"/>
      <c r="O4133" s="1991">
        <f>K4133-O4132</f>
        <v>770.93000000000006</v>
      </c>
      <c r="P4133" s="1706" t="s">
        <v>26</v>
      </c>
    </row>
    <row r="4134" spans="1:20" ht="12.75" hidden="1">
      <c r="A4134" s="2114" t="str">
        <f>A730</f>
        <v>(iv)</v>
      </c>
      <c r="B4134" s="192" t="str">
        <f>B730</f>
        <v>3rd Floor</v>
      </c>
      <c r="C4134" s="568"/>
      <c r="D4134" s="568"/>
      <c r="E4134" s="2120" t="str">
        <f>E4130</f>
        <v>Each Sqm</v>
      </c>
      <c r="F4134" s="2120"/>
      <c r="G4134" s="2122"/>
      <c r="H4134" s="568"/>
      <c r="I4134" s="2118"/>
      <c r="J4134" s="2123"/>
      <c r="K4134" s="2123"/>
      <c r="L4134" s="192"/>
      <c r="M4134" s="568"/>
    </row>
    <row r="4135" spans="1:20" ht="12.75" hidden="1">
      <c r="A4135" s="2114"/>
      <c r="B4135" s="568" t="s">
        <v>3623</v>
      </c>
      <c r="C4135" s="568"/>
      <c r="D4135" s="568"/>
      <c r="E4135" s="188"/>
      <c r="F4135" s="188"/>
      <c r="G4135" s="2122"/>
      <c r="H4135" s="568"/>
      <c r="I4135" s="2118"/>
      <c r="J4135" s="2123"/>
      <c r="K4135" s="2123">
        <f>K4133</f>
        <v>1204.42</v>
      </c>
      <c r="L4135" s="192"/>
      <c r="M4135" s="568"/>
    </row>
    <row r="4136" spans="1:20" ht="12.75" hidden="1">
      <c r="A4136" s="2114"/>
      <c r="B4136" s="568" t="s">
        <v>723</v>
      </c>
      <c r="C4136" s="568"/>
      <c r="D4136" s="568"/>
      <c r="E4136" s="188"/>
      <c r="F4136" s="188"/>
      <c r="G4136" s="2122"/>
      <c r="H4136" s="568"/>
      <c r="I4136" s="2118"/>
      <c r="J4136" s="2123"/>
      <c r="K4136" s="2123">
        <f>ROUND(K4132+K4132*5%,2)</f>
        <v>21.67</v>
      </c>
      <c r="L4136" s="192"/>
      <c r="M4136" s="568"/>
      <c r="O4136" s="1991">
        <f>O4132+K4136</f>
        <v>455.16</v>
      </c>
      <c r="P4136" s="1706" t="s">
        <v>3149</v>
      </c>
    </row>
    <row r="4137" spans="1:20" ht="12.75" hidden="1">
      <c r="A4137" s="2114"/>
      <c r="B4137" s="568"/>
      <c r="C4137" s="568"/>
      <c r="D4137" s="568"/>
      <c r="E4137" s="188"/>
      <c r="F4137" s="188"/>
      <c r="G4137" s="2122"/>
      <c r="H4137" s="568"/>
      <c r="I4137" s="2118"/>
      <c r="J4137" s="2126" t="s">
        <v>718</v>
      </c>
      <c r="K4137" s="2124">
        <f>SUM(K4135:K4136)</f>
        <v>1226.0900000000001</v>
      </c>
      <c r="L4137" s="192" t="s">
        <v>730</v>
      </c>
      <c r="M4137" s="568"/>
      <c r="O4137" s="1991">
        <f>K4137-O4136</f>
        <v>770.93000000000006</v>
      </c>
      <c r="P4137" s="1706" t="s">
        <v>26</v>
      </c>
    </row>
    <row r="4138" spans="1:20" s="175" customFormat="1" ht="12.75" hidden="1">
      <c r="A4138" s="1702" t="str">
        <f>A731</f>
        <v>D)</v>
      </c>
      <c r="B4138" s="2183" t="str">
        <f>B731</f>
        <v>Chequred tile</v>
      </c>
      <c r="C4138" s="2146"/>
      <c r="D4138" s="2146"/>
      <c r="E4138" s="1702"/>
      <c r="F4138" s="1702"/>
      <c r="G4138" s="2149"/>
      <c r="H4138" s="2146"/>
      <c r="I4138" s="1703"/>
      <c r="J4138" s="2150"/>
      <c r="K4138" s="2150"/>
      <c r="L4138" s="2145"/>
      <c r="M4138" s="2146"/>
      <c r="T4138" s="1759"/>
    </row>
    <row r="4139" spans="1:20" ht="12.75" hidden="1">
      <c r="A4139" s="2114" t="str">
        <f>A732</f>
        <v>(i)</v>
      </c>
      <c r="B4139" s="192" t="str">
        <f>B732</f>
        <v>Ground Floor</v>
      </c>
      <c r="C4139" s="568"/>
      <c r="D4139" s="568"/>
      <c r="E4139" s="2120" t="str">
        <f>G732</f>
        <v>Each Sqm</v>
      </c>
      <c r="F4139" s="2120"/>
      <c r="G4139" s="2122"/>
      <c r="H4139" s="568"/>
      <c r="I4139" s="2118"/>
      <c r="J4139" s="2123"/>
      <c r="K4139" s="2123"/>
      <c r="L4139" s="192"/>
      <c r="M4139" s="568"/>
    </row>
    <row r="4140" spans="1:20" ht="12.75" hidden="1">
      <c r="A4140" s="2114"/>
      <c r="B4140" s="568" t="s">
        <v>980</v>
      </c>
      <c r="C4140" s="568"/>
      <c r="D4140" s="568"/>
      <c r="E4140" s="188"/>
      <c r="F4140" s="188"/>
      <c r="G4140" s="2122"/>
      <c r="H4140" s="568"/>
      <c r="I4140" s="2118"/>
      <c r="J4140" s="2123"/>
      <c r="K4140" s="2123">
        <f>K4122</f>
        <v>585.77</v>
      </c>
      <c r="L4140" s="568" t="s">
        <v>730</v>
      </c>
      <c r="M4140" s="568"/>
    </row>
    <row r="4141" spans="1:20" ht="12.75" hidden="1">
      <c r="A4141" s="2114"/>
      <c r="B4141" s="568" t="s">
        <v>979</v>
      </c>
      <c r="C4141" s="568"/>
      <c r="D4141" s="568"/>
      <c r="E4141" s="188"/>
      <c r="F4141" s="188"/>
      <c r="G4141" s="2122">
        <f>G4123</f>
        <v>1</v>
      </c>
      <c r="H4141" s="568" t="s">
        <v>92</v>
      </c>
      <c r="I4141" s="2118" t="s">
        <v>92</v>
      </c>
      <c r="J4141" s="2123">
        <f>G55</f>
        <v>254.75</v>
      </c>
      <c r="K4141" s="2123">
        <f>ROUND(G4141*J4141,2)</f>
        <v>254.75</v>
      </c>
      <c r="L4141" s="192"/>
      <c r="M4141" s="568"/>
    </row>
    <row r="4142" spans="1:20" ht="12.75" hidden="1">
      <c r="A4142" s="2114"/>
      <c r="B4142" s="568"/>
      <c r="C4142" s="568"/>
      <c r="D4142" s="568"/>
      <c r="E4142" s="188"/>
      <c r="F4142" s="188"/>
      <c r="G4142" s="2122"/>
      <c r="H4142" s="568"/>
      <c r="I4142" s="2118"/>
      <c r="J4142" s="2123"/>
      <c r="K4142" s="2123"/>
      <c r="L4142" s="192"/>
      <c r="M4142" s="568"/>
      <c r="O4142" s="1991">
        <f>O4124</f>
        <v>393.19</v>
      </c>
      <c r="P4142" s="1706" t="s">
        <v>3149</v>
      </c>
    </row>
    <row r="4143" spans="1:20" ht="12.75" hidden="1">
      <c r="A4143" s="2114"/>
      <c r="B4143" s="568"/>
      <c r="C4143" s="568"/>
      <c r="D4143" s="568"/>
      <c r="E4143" s="188"/>
      <c r="F4143" s="188"/>
      <c r="G4143" s="2122"/>
      <c r="H4143" s="568"/>
      <c r="I4143" s="2118"/>
      <c r="J4143" s="2126" t="s">
        <v>718</v>
      </c>
      <c r="K4143" s="2124">
        <f>SUM(K4140:K4142)</f>
        <v>840.52</v>
      </c>
      <c r="L4143" s="192" t="s">
        <v>730</v>
      </c>
      <c r="M4143" s="568"/>
      <c r="O4143" s="1991">
        <f>K4143-O4142</f>
        <v>447.33</v>
      </c>
      <c r="P4143" s="1706" t="s">
        <v>26</v>
      </c>
    </row>
    <row r="4144" spans="1:20" ht="12.75" hidden="1">
      <c r="A4144" s="2114" t="str">
        <f>A733</f>
        <v>(ii)</v>
      </c>
      <c r="B4144" s="192" t="str">
        <f>B733</f>
        <v>First Floor</v>
      </c>
      <c r="C4144" s="568"/>
      <c r="D4144" s="568"/>
      <c r="E4144" s="2120" t="str">
        <f>E4139</f>
        <v>Each Sqm</v>
      </c>
      <c r="F4144" s="2120"/>
      <c r="G4144" s="2122"/>
      <c r="H4144" s="568"/>
      <c r="I4144" s="2118"/>
      <c r="J4144" s="2123"/>
      <c r="K4144" s="2123"/>
      <c r="L4144" s="192"/>
      <c r="M4144" s="568"/>
    </row>
    <row r="4145" spans="1:20" ht="12.75" hidden="1">
      <c r="A4145" s="2114"/>
      <c r="B4145" s="568" t="s">
        <v>722</v>
      </c>
      <c r="C4145" s="568"/>
      <c r="D4145" s="568"/>
      <c r="E4145" s="188"/>
      <c r="F4145" s="188"/>
      <c r="G4145" s="2122"/>
      <c r="H4145" s="568"/>
      <c r="I4145" s="2118"/>
      <c r="J4145" s="2123"/>
      <c r="K4145" s="2123">
        <f>K4143</f>
        <v>840.52</v>
      </c>
      <c r="L4145" s="192"/>
      <c r="M4145" s="568"/>
    </row>
    <row r="4146" spans="1:20" ht="12.75" hidden="1">
      <c r="A4146" s="2114"/>
      <c r="B4146" s="568" t="s">
        <v>723</v>
      </c>
      <c r="C4146" s="568"/>
      <c r="D4146" s="568"/>
      <c r="E4146" s="188"/>
      <c r="F4146" s="188"/>
      <c r="G4146" s="2122"/>
      <c r="H4146" s="568"/>
      <c r="I4146" s="2118"/>
      <c r="J4146" s="2123"/>
      <c r="K4146" s="2123">
        <f>ROUND(K4078/10*5%,2)</f>
        <v>19.66</v>
      </c>
      <c r="L4146" s="192"/>
      <c r="M4146" s="568"/>
      <c r="O4146" s="1991">
        <f>O4142+K4146</f>
        <v>412.85</v>
      </c>
      <c r="P4146" s="1706" t="s">
        <v>3149</v>
      </c>
    </row>
    <row r="4147" spans="1:20" ht="12.75" hidden="1">
      <c r="A4147" s="2114"/>
      <c r="B4147" s="568"/>
      <c r="C4147" s="568"/>
      <c r="D4147" s="568"/>
      <c r="E4147" s="188"/>
      <c r="F4147" s="188"/>
      <c r="G4147" s="2122"/>
      <c r="H4147" s="568"/>
      <c r="I4147" s="2118"/>
      <c r="J4147" s="2126" t="s">
        <v>718</v>
      </c>
      <c r="K4147" s="2124">
        <f>SUM(K4145:K4146)</f>
        <v>860.18</v>
      </c>
      <c r="L4147" s="192" t="s">
        <v>730</v>
      </c>
      <c r="M4147" s="568"/>
      <c r="O4147" s="1991">
        <f>K4147-O4146</f>
        <v>447.32999999999993</v>
      </c>
      <c r="P4147" s="1706" t="s">
        <v>26</v>
      </c>
    </row>
    <row r="4148" spans="1:20" ht="12.75" hidden="1">
      <c r="A4148" s="2114" t="str">
        <f>A734</f>
        <v>(iii)</v>
      </c>
      <c r="B4148" s="192" t="str">
        <f>B734</f>
        <v>2nd Floor</v>
      </c>
      <c r="C4148" s="568"/>
      <c r="D4148" s="568"/>
      <c r="E4148" s="2120" t="str">
        <f>E4144</f>
        <v>Each Sqm</v>
      </c>
      <c r="F4148" s="2120"/>
      <c r="G4148" s="2122"/>
      <c r="H4148" s="568"/>
      <c r="I4148" s="2118"/>
      <c r="J4148" s="2123"/>
      <c r="K4148" s="2123"/>
      <c r="L4148" s="192"/>
      <c r="M4148" s="568"/>
    </row>
    <row r="4149" spans="1:20" ht="12.75" hidden="1">
      <c r="A4149" s="2114"/>
      <c r="B4149" s="568" t="s">
        <v>3623</v>
      </c>
      <c r="C4149" s="568"/>
      <c r="D4149" s="568"/>
      <c r="E4149" s="188"/>
      <c r="F4149" s="188"/>
      <c r="G4149" s="2122"/>
      <c r="H4149" s="568"/>
      <c r="I4149" s="2118"/>
      <c r="J4149" s="2123"/>
      <c r="K4149" s="2123">
        <f>K4147</f>
        <v>860.18</v>
      </c>
      <c r="L4149" s="192"/>
      <c r="M4149" s="568"/>
    </row>
    <row r="4150" spans="1:20" ht="12.75" hidden="1">
      <c r="A4150" s="2114"/>
      <c r="B4150" s="568" t="s">
        <v>723</v>
      </c>
      <c r="C4150" s="568"/>
      <c r="D4150" s="568"/>
      <c r="E4150" s="188"/>
      <c r="F4150" s="188"/>
      <c r="G4150" s="2122"/>
      <c r="H4150" s="568"/>
      <c r="I4150" s="2118"/>
      <c r="J4150" s="2123"/>
      <c r="K4150" s="2123">
        <f>ROUND(K4146+K4146*5%,2)</f>
        <v>20.64</v>
      </c>
      <c r="L4150" s="192"/>
      <c r="M4150" s="568"/>
      <c r="O4150" s="1991">
        <f>O4146+K4150</f>
        <v>433.49</v>
      </c>
      <c r="P4150" s="1706" t="s">
        <v>3149</v>
      </c>
    </row>
    <row r="4151" spans="1:20" ht="12.75" hidden="1">
      <c r="A4151" s="2114"/>
      <c r="B4151" s="568"/>
      <c r="C4151" s="568"/>
      <c r="D4151" s="568"/>
      <c r="E4151" s="188"/>
      <c r="F4151" s="188"/>
      <c r="G4151" s="2122"/>
      <c r="H4151" s="568"/>
      <c r="I4151" s="2118"/>
      <c r="J4151" s="2126" t="s">
        <v>718</v>
      </c>
      <c r="K4151" s="2124">
        <f>SUM(K4149:K4150)</f>
        <v>880.81999999999994</v>
      </c>
      <c r="L4151" s="192" t="s">
        <v>730</v>
      </c>
      <c r="M4151" s="568"/>
      <c r="O4151" s="1991">
        <f>K4151-O4150</f>
        <v>447.32999999999993</v>
      </c>
      <c r="P4151" s="1706" t="s">
        <v>26</v>
      </c>
    </row>
    <row r="4152" spans="1:20" ht="12.75" hidden="1">
      <c r="A4152" s="2114" t="str">
        <f>A735</f>
        <v>(iv)</v>
      </c>
      <c r="B4152" s="192" t="str">
        <f>B735</f>
        <v>3rd Floor</v>
      </c>
      <c r="C4152" s="568"/>
      <c r="D4152" s="568"/>
      <c r="E4152" s="2120" t="str">
        <f>E4148</f>
        <v>Each Sqm</v>
      </c>
      <c r="F4152" s="2120"/>
      <c r="G4152" s="2122"/>
      <c r="H4152" s="568"/>
      <c r="I4152" s="2118"/>
      <c r="J4152" s="2123"/>
      <c r="K4152" s="2123"/>
      <c r="L4152" s="192"/>
      <c r="M4152" s="568"/>
    </row>
    <row r="4153" spans="1:20" ht="12.75" hidden="1">
      <c r="A4153" s="2114"/>
      <c r="B4153" s="568" t="s">
        <v>3623</v>
      </c>
      <c r="C4153" s="568"/>
      <c r="D4153" s="568"/>
      <c r="E4153" s="188"/>
      <c r="F4153" s="188"/>
      <c r="G4153" s="2122"/>
      <c r="H4153" s="568"/>
      <c r="I4153" s="2118"/>
      <c r="J4153" s="2123"/>
      <c r="K4153" s="2123">
        <f>K4151</f>
        <v>880.81999999999994</v>
      </c>
      <c r="L4153" s="192"/>
      <c r="M4153" s="568"/>
    </row>
    <row r="4154" spans="1:20" ht="12.75" hidden="1">
      <c r="A4154" s="2114"/>
      <c r="B4154" s="568" t="s">
        <v>723</v>
      </c>
      <c r="C4154" s="568"/>
      <c r="D4154" s="568"/>
      <c r="E4154" s="188"/>
      <c r="F4154" s="188"/>
      <c r="G4154" s="2122"/>
      <c r="H4154" s="568"/>
      <c r="I4154" s="2118"/>
      <c r="J4154" s="2123"/>
      <c r="K4154" s="2123">
        <f>ROUND(K4150+K4150*5%,2)</f>
        <v>21.67</v>
      </c>
      <c r="L4154" s="192"/>
      <c r="M4154" s="568"/>
      <c r="O4154" s="1991">
        <f>O4150+K4154</f>
        <v>455.16</v>
      </c>
      <c r="P4154" s="1706" t="s">
        <v>3149</v>
      </c>
    </row>
    <row r="4155" spans="1:20" ht="12.75" hidden="1">
      <c r="A4155" s="2114"/>
      <c r="B4155" s="568"/>
      <c r="C4155" s="568"/>
      <c r="D4155" s="568"/>
      <c r="E4155" s="188"/>
      <c r="F4155" s="188"/>
      <c r="G4155" s="2122"/>
      <c r="H4155" s="568"/>
      <c r="I4155" s="2118"/>
      <c r="J4155" s="2126" t="s">
        <v>718</v>
      </c>
      <c r="K4155" s="2124">
        <f>SUM(K4153:K4154)</f>
        <v>902.4899999999999</v>
      </c>
      <c r="L4155" s="192" t="s">
        <v>730</v>
      </c>
      <c r="M4155" s="568"/>
      <c r="O4155" s="1991">
        <f>K4155-O4154</f>
        <v>447.32999999999987</v>
      </c>
      <c r="P4155" s="1706" t="s">
        <v>26</v>
      </c>
    </row>
    <row r="4156" spans="1:20" s="175" customFormat="1" ht="12.75" hidden="1">
      <c r="A4156" s="1702" t="str">
        <f>A736</f>
        <v>E)</v>
      </c>
      <c r="B4156" s="2183" t="str">
        <f>B736</f>
        <v>Ceramic floor tile</v>
      </c>
      <c r="C4156" s="2146"/>
      <c r="D4156" s="2146"/>
      <c r="E4156" s="1702"/>
      <c r="F4156" s="1702"/>
      <c r="G4156" s="2149"/>
      <c r="H4156" s="2146"/>
      <c r="I4156" s="1703"/>
      <c r="J4156" s="2150"/>
      <c r="K4156" s="2150"/>
      <c r="L4156" s="2145"/>
      <c r="M4156" s="2146"/>
      <c r="T4156" s="1759"/>
    </row>
    <row r="4157" spans="1:20" ht="12.75" hidden="1">
      <c r="A4157" s="2114" t="str">
        <f>A737</f>
        <v>(i)</v>
      </c>
      <c r="B4157" s="192" t="str">
        <f>B737</f>
        <v>Ground Floor</v>
      </c>
      <c r="C4157" s="568"/>
      <c r="D4157" s="568"/>
      <c r="E4157" s="2120" t="str">
        <f>G803</f>
        <v>Each Sqm</v>
      </c>
      <c r="F4157" s="2120"/>
      <c r="G4157" s="2122"/>
      <c r="H4157" s="568"/>
      <c r="I4157" s="2118"/>
      <c r="J4157" s="2123"/>
      <c r="K4157" s="2123"/>
      <c r="L4157" s="192"/>
      <c r="M4157" s="568"/>
    </row>
    <row r="4158" spans="1:20" ht="12.75" hidden="1">
      <c r="A4158" s="2114"/>
      <c r="B4158" s="568" t="s">
        <v>980</v>
      </c>
      <c r="C4158" s="568"/>
      <c r="D4158" s="568"/>
      <c r="E4158" s="188"/>
      <c r="F4158" s="188"/>
      <c r="G4158" s="2122"/>
      <c r="H4158" s="568"/>
      <c r="I4158" s="2118"/>
      <c r="J4158" s="2123"/>
      <c r="K4158" s="2123">
        <f>K4140</f>
        <v>585.77</v>
      </c>
      <c r="L4158" s="568" t="s">
        <v>730</v>
      </c>
      <c r="M4158" s="568"/>
    </row>
    <row r="4159" spans="1:20" ht="12.75" hidden="1">
      <c r="A4159" s="2114"/>
      <c r="B4159" s="568" t="s">
        <v>979</v>
      </c>
      <c r="C4159" s="568"/>
      <c r="D4159" s="568"/>
      <c r="E4159" s="188"/>
      <c r="F4159" s="188"/>
      <c r="G4159" s="2122">
        <f>G4141</f>
        <v>1</v>
      </c>
      <c r="H4159" s="568" t="s">
        <v>92</v>
      </c>
      <c r="I4159" s="2118" t="s">
        <v>92</v>
      </c>
      <c r="J4159" s="2123">
        <f>G56</f>
        <v>440</v>
      </c>
      <c r="K4159" s="2123">
        <f>ROUND(G4159*J4159,2)</f>
        <v>440</v>
      </c>
      <c r="L4159" s="192"/>
      <c r="M4159" s="568"/>
    </row>
    <row r="4160" spans="1:20" ht="12.75" hidden="1">
      <c r="A4160" s="2114"/>
      <c r="B4160" s="568"/>
      <c r="C4160" s="568"/>
      <c r="D4160" s="568"/>
      <c r="E4160" s="188"/>
      <c r="F4160" s="188"/>
      <c r="G4160" s="2122"/>
      <c r="H4160" s="568"/>
      <c r="I4160" s="2118"/>
      <c r="J4160" s="2123"/>
      <c r="K4160" s="2123"/>
      <c r="L4160" s="192"/>
      <c r="M4160" s="568"/>
      <c r="O4160" s="1991">
        <f>O4142</f>
        <v>393.19</v>
      </c>
      <c r="P4160" s="1706" t="s">
        <v>3149</v>
      </c>
    </row>
    <row r="4161" spans="1:20" ht="12.75" hidden="1">
      <c r="A4161" s="2114"/>
      <c r="B4161" s="568"/>
      <c r="C4161" s="568"/>
      <c r="D4161" s="568"/>
      <c r="E4161" s="188"/>
      <c r="F4161" s="188"/>
      <c r="G4161" s="2122"/>
      <c r="H4161" s="568"/>
      <c r="I4161" s="2118"/>
      <c r="J4161" s="2126" t="s">
        <v>718</v>
      </c>
      <c r="K4161" s="2124">
        <f>SUM(K4158:K4160)</f>
        <v>1025.77</v>
      </c>
      <c r="L4161" s="192" t="s">
        <v>730</v>
      </c>
      <c r="M4161" s="568"/>
      <c r="O4161" s="1991">
        <f>K4161-O4160</f>
        <v>632.57999999999993</v>
      </c>
      <c r="P4161" s="1706" t="s">
        <v>26</v>
      </c>
    </row>
    <row r="4162" spans="1:20" ht="12.75" hidden="1">
      <c r="A4162" s="2114" t="str">
        <f>A738</f>
        <v>(ii)</v>
      </c>
      <c r="B4162" s="192" t="str">
        <f>B738</f>
        <v>First Floor</v>
      </c>
      <c r="C4162" s="568"/>
      <c r="D4162" s="568"/>
      <c r="E4162" s="2120" t="str">
        <f>E4157</f>
        <v>Each Sqm</v>
      </c>
      <c r="F4162" s="2120"/>
      <c r="G4162" s="2122"/>
      <c r="H4162" s="568"/>
      <c r="I4162" s="2118"/>
      <c r="J4162" s="2123"/>
      <c r="K4162" s="2123"/>
      <c r="L4162" s="192"/>
      <c r="M4162" s="568"/>
    </row>
    <row r="4163" spans="1:20" ht="12.75" hidden="1">
      <c r="A4163" s="2114"/>
      <c r="B4163" s="568" t="s">
        <v>722</v>
      </c>
      <c r="C4163" s="568"/>
      <c r="D4163" s="568"/>
      <c r="E4163" s="188"/>
      <c r="F4163" s="188"/>
      <c r="G4163" s="2122"/>
      <c r="H4163" s="568"/>
      <c r="I4163" s="2118"/>
      <c r="J4163" s="2123"/>
      <c r="K4163" s="2123">
        <f>K4161</f>
        <v>1025.77</v>
      </c>
      <c r="L4163" s="192"/>
      <c r="M4163" s="568"/>
    </row>
    <row r="4164" spans="1:20" ht="12.75" hidden="1">
      <c r="A4164" s="2114"/>
      <c r="B4164" s="568" t="s">
        <v>723</v>
      </c>
      <c r="C4164" s="568"/>
      <c r="D4164" s="568"/>
      <c r="E4164" s="188"/>
      <c r="F4164" s="188"/>
      <c r="G4164" s="2122"/>
      <c r="H4164" s="568"/>
      <c r="I4164" s="2118"/>
      <c r="J4164" s="2123"/>
      <c r="K4164" s="2123">
        <f>ROUND(K4078/10*5%,2)</f>
        <v>19.66</v>
      </c>
      <c r="L4164" s="192"/>
      <c r="M4164" s="568"/>
      <c r="O4164" s="1991">
        <f>O4160+K4164</f>
        <v>412.85</v>
      </c>
      <c r="P4164" s="1706" t="s">
        <v>3149</v>
      </c>
    </row>
    <row r="4165" spans="1:20" ht="12.75" hidden="1">
      <c r="A4165" s="2114"/>
      <c r="B4165" s="568"/>
      <c r="C4165" s="568"/>
      <c r="D4165" s="568"/>
      <c r="E4165" s="188"/>
      <c r="F4165" s="188"/>
      <c r="G4165" s="2122"/>
      <c r="H4165" s="568"/>
      <c r="I4165" s="2118"/>
      <c r="J4165" s="2126" t="s">
        <v>718</v>
      </c>
      <c r="K4165" s="2124">
        <f>SUM(K4163:K4164)</f>
        <v>1045.43</v>
      </c>
      <c r="L4165" s="192" t="s">
        <v>730</v>
      </c>
      <c r="M4165" s="568"/>
      <c r="O4165" s="1991">
        <f>K4165-O4164</f>
        <v>632.58000000000004</v>
      </c>
      <c r="P4165" s="1706" t="s">
        <v>26</v>
      </c>
    </row>
    <row r="4166" spans="1:20" ht="12.75" hidden="1">
      <c r="A4166" s="2114" t="str">
        <f>A739</f>
        <v>(iii)</v>
      </c>
      <c r="B4166" s="192" t="str">
        <f>B739</f>
        <v>2nd Floor</v>
      </c>
      <c r="C4166" s="568"/>
      <c r="D4166" s="568"/>
      <c r="E4166" s="2120" t="str">
        <f>E4162</f>
        <v>Each Sqm</v>
      </c>
      <c r="F4166" s="2120"/>
      <c r="G4166" s="2122"/>
      <c r="H4166" s="568"/>
      <c r="I4166" s="2118"/>
      <c r="J4166" s="2123"/>
      <c r="K4166" s="2123"/>
      <c r="L4166" s="192"/>
      <c r="M4166" s="568"/>
    </row>
    <row r="4167" spans="1:20" ht="12.75" hidden="1">
      <c r="A4167" s="2114"/>
      <c r="B4167" s="568" t="s">
        <v>722</v>
      </c>
      <c r="C4167" s="568"/>
      <c r="D4167" s="568"/>
      <c r="E4167" s="188"/>
      <c r="F4167" s="188"/>
      <c r="G4167" s="2122"/>
      <c r="H4167" s="568"/>
      <c r="I4167" s="2118"/>
      <c r="J4167" s="2123"/>
      <c r="K4167" s="2123">
        <f>K4165</f>
        <v>1045.43</v>
      </c>
      <c r="L4167" s="192"/>
      <c r="M4167" s="568"/>
    </row>
    <row r="4168" spans="1:20" ht="12.75" hidden="1">
      <c r="A4168" s="2114"/>
      <c r="B4168" s="568" t="s">
        <v>723</v>
      </c>
      <c r="C4168" s="568"/>
      <c r="D4168" s="568"/>
      <c r="E4168" s="188"/>
      <c r="F4168" s="188"/>
      <c r="G4168" s="2122"/>
      <c r="H4168" s="568"/>
      <c r="I4168" s="2118"/>
      <c r="J4168" s="2123"/>
      <c r="K4168" s="2123">
        <f>ROUND(K4164+K4164*5%,2)</f>
        <v>20.64</v>
      </c>
      <c r="L4168" s="192"/>
      <c r="M4168" s="568"/>
      <c r="O4168" s="1991">
        <f>O4164+K4168</f>
        <v>433.49</v>
      </c>
      <c r="P4168" s="1706" t="s">
        <v>3149</v>
      </c>
    </row>
    <row r="4169" spans="1:20" ht="12.75" hidden="1">
      <c r="A4169" s="2114"/>
      <c r="B4169" s="568"/>
      <c r="C4169" s="568"/>
      <c r="D4169" s="568"/>
      <c r="E4169" s="188"/>
      <c r="F4169" s="188"/>
      <c r="G4169" s="2122"/>
      <c r="H4169" s="568"/>
      <c r="I4169" s="2118"/>
      <c r="J4169" s="2126" t="s">
        <v>718</v>
      </c>
      <c r="K4169" s="2124">
        <f>SUM(K4167:K4168)</f>
        <v>1066.0700000000002</v>
      </c>
      <c r="L4169" s="192" t="s">
        <v>730</v>
      </c>
      <c r="M4169" s="568"/>
      <c r="O4169" s="1991">
        <f>K4169-O4168</f>
        <v>632.58000000000015</v>
      </c>
      <c r="P4169" s="1706" t="s">
        <v>26</v>
      </c>
    </row>
    <row r="4170" spans="1:20" ht="12.75" hidden="1">
      <c r="A4170" s="2114" t="str">
        <f>A740</f>
        <v>(iv)</v>
      </c>
      <c r="B4170" s="192" t="str">
        <f>B740</f>
        <v>3rd Floor</v>
      </c>
      <c r="C4170" s="568"/>
      <c r="D4170" s="568"/>
      <c r="E4170" s="2120" t="str">
        <f>E4166</f>
        <v>Each Sqm</v>
      </c>
      <c r="F4170" s="2120"/>
      <c r="G4170" s="2122"/>
      <c r="H4170" s="568"/>
      <c r="I4170" s="2118"/>
      <c r="J4170" s="2123"/>
      <c r="K4170" s="2123"/>
      <c r="L4170" s="192"/>
      <c r="M4170" s="568"/>
    </row>
    <row r="4171" spans="1:20" ht="12.75" hidden="1">
      <c r="A4171" s="2114"/>
      <c r="B4171" s="568" t="s">
        <v>722</v>
      </c>
      <c r="C4171" s="568"/>
      <c r="D4171" s="568"/>
      <c r="E4171" s="188"/>
      <c r="F4171" s="188"/>
      <c r="G4171" s="2122"/>
      <c r="H4171" s="568"/>
      <c r="I4171" s="2118"/>
      <c r="J4171" s="2123"/>
      <c r="K4171" s="2123">
        <f>K4169</f>
        <v>1066.0700000000002</v>
      </c>
      <c r="L4171" s="192"/>
      <c r="M4171" s="568"/>
    </row>
    <row r="4172" spans="1:20" ht="12.75" hidden="1">
      <c r="A4172" s="2114"/>
      <c r="B4172" s="568" t="s">
        <v>723</v>
      </c>
      <c r="C4172" s="568"/>
      <c r="D4172" s="568"/>
      <c r="E4172" s="188"/>
      <c r="F4172" s="188"/>
      <c r="G4172" s="2122"/>
      <c r="H4172" s="568"/>
      <c r="I4172" s="2118"/>
      <c r="J4172" s="2123"/>
      <c r="K4172" s="2123">
        <f>ROUND(K4168+K4168*5%,2)</f>
        <v>21.67</v>
      </c>
      <c r="L4172" s="192"/>
      <c r="M4172" s="568"/>
      <c r="O4172" s="1991">
        <f>O4168+K4172</f>
        <v>455.16</v>
      </c>
      <c r="P4172" s="1706" t="s">
        <v>3149</v>
      </c>
    </row>
    <row r="4173" spans="1:20" ht="12.75" hidden="1">
      <c r="A4173" s="2114"/>
      <c r="B4173" s="568"/>
      <c r="C4173" s="568"/>
      <c r="D4173" s="568"/>
      <c r="E4173" s="188"/>
      <c r="F4173" s="188"/>
      <c r="G4173" s="2122"/>
      <c r="H4173" s="568"/>
      <c r="I4173" s="2118"/>
      <c r="J4173" s="2126" t="s">
        <v>718</v>
      </c>
      <c r="K4173" s="2124">
        <f>SUM(K4171:K4172)</f>
        <v>1087.7400000000002</v>
      </c>
      <c r="L4173" s="192" t="s">
        <v>730</v>
      </c>
      <c r="M4173" s="568"/>
      <c r="O4173" s="1991">
        <f>K4173-O4172</f>
        <v>632.58000000000015</v>
      </c>
      <c r="P4173" s="1706" t="s">
        <v>26</v>
      </c>
    </row>
    <row r="4174" spans="1:20" s="175" customFormat="1" ht="12.75" hidden="1">
      <c r="A4174" s="1702" t="str">
        <f>A741</f>
        <v>F)</v>
      </c>
      <c r="B4174" s="2183" t="str">
        <f>B741</f>
        <v>Kota tile (size above 0.10sqm)</v>
      </c>
      <c r="C4174" s="2146"/>
      <c r="D4174" s="2146"/>
      <c r="E4174" s="1702"/>
      <c r="F4174" s="1702"/>
      <c r="G4174" s="2149"/>
      <c r="H4174" s="2146"/>
      <c r="I4174" s="1703"/>
      <c r="J4174" s="2150"/>
      <c r="K4174" s="2150"/>
      <c r="L4174" s="2145"/>
      <c r="M4174" s="2146"/>
      <c r="T4174" s="1759"/>
    </row>
    <row r="4175" spans="1:20" ht="12.75" hidden="1">
      <c r="A4175" s="2114" t="str">
        <f>A742</f>
        <v>(i)</v>
      </c>
      <c r="B4175" s="192" t="str">
        <f>B742</f>
        <v>Ground Floor</v>
      </c>
      <c r="C4175" s="568"/>
      <c r="D4175" s="568"/>
      <c r="E4175" s="2120" t="str">
        <f>G742</f>
        <v>Each Sqm</v>
      </c>
      <c r="F4175" s="2120"/>
      <c r="G4175" s="2122"/>
      <c r="H4175" s="568"/>
      <c r="I4175" s="2118"/>
      <c r="J4175" s="2123"/>
      <c r="K4175" s="2123"/>
      <c r="L4175" s="192"/>
      <c r="M4175" s="568"/>
    </row>
    <row r="4176" spans="1:20" ht="12.75" hidden="1">
      <c r="A4176" s="2114"/>
      <c r="B4176" s="568" t="s">
        <v>980</v>
      </c>
      <c r="C4176" s="568"/>
      <c r="D4176" s="568"/>
      <c r="E4176" s="188"/>
      <c r="F4176" s="188"/>
      <c r="G4176" s="2122"/>
      <c r="H4176" s="568"/>
      <c r="I4176" s="2118"/>
      <c r="J4176" s="2123"/>
      <c r="K4176" s="2123">
        <f>K4086</f>
        <v>585.77</v>
      </c>
      <c r="L4176" s="568" t="s">
        <v>730</v>
      </c>
      <c r="M4176" s="568"/>
    </row>
    <row r="4177" spans="1:16" ht="12.75" hidden="1">
      <c r="A4177" s="2114"/>
      <c r="B4177" s="568" t="s">
        <v>981</v>
      </c>
      <c r="C4177" s="568"/>
      <c r="D4177" s="568"/>
      <c r="E4177" s="188"/>
      <c r="F4177" s="188"/>
      <c r="G4177" s="2122"/>
      <c r="H4177" s="568"/>
      <c r="I4177" s="2118"/>
      <c r="J4177" s="2123"/>
      <c r="K4177" s="2184">
        <v>48</v>
      </c>
      <c r="L4177" s="568" t="s">
        <v>730</v>
      </c>
      <c r="M4177" s="568"/>
      <c r="O4177" s="1709">
        <v>8.5</v>
      </c>
    </row>
    <row r="4178" spans="1:16" ht="12.75" hidden="1">
      <c r="A4178" s="2114"/>
      <c r="B4178" s="568" t="s">
        <v>716</v>
      </c>
      <c r="C4178" s="568"/>
      <c r="D4178" s="568"/>
      <c r="E4178" s="188"/>
      <c r="F4178" s="188"/>
      <c r="G4178" s="2122">
        <v>0.55000000000000004</v>
      </c>
      <c r="H4178" s="568" t="s">
        <v>262</v>
      </c>
      <c r="I4178" s="2118" t="s">
        <v>38</v>
      </c>
      <c r="J4178" s="2123">
        <f>L135</f>
        <v>385</v>
      </c>
      <c r="K4178" s="2123">
        <f>G4178*J4178</f>
        <v>211.75000000000003</v>
      </c>
      <c r="L4178" s="568" t="s">
        <v>730</v>
      </c>
      <c r="M4178" s="568"/>
    </row>
    <row r="4179" spans="1:16" ht="12.75" hidden="1">
      <c r="A4179" s="2114"/>
      <c r="B4179" s="568"/>
      <c r="C4179" s="568"/>
      <c r="D4179" s="568"/>
      <c r="E4179" s="188"/>
      <c r="F4179" s="188"/>
      <c r="G4179" s="2122"/>
      <c r="H4179" s="568"/>
      <c r="I4179" s="2118"/>
      <c r="J4179" s="2123"/>
      <c r="K4179" s="2123"/>
      <c r="L4179" s="568"/>
      <c r="M4179" s="568"/>
    </row>
    <row r="4180" spans="1:16" ht="12.75" hidden="1">
      <c r="A4180" s="2114"/>
      <c r="B4180" s="568" t="s">
        <v>979</v>
      </c>
      <c r="C4180" s="568"/>
      <c r="D4180" s="568"/>
      <c r="E4180" s="188"/>
      <c r="F4180" s="188"/>
      <c r="G4180" s="2122">
        <f>G4159</f>
        <v>1</v>
      </c>
      <c r="H4180" s="568" t="s">
        <v>92</v>
      </c>
      <c r="I4180" s="2118" t="s">
        <v>92</v>
      </c>
      <c r="J4180" s="2123">
        <f>G58</f>
        <v>500.2</v>
      </c>
      <c r="K4180" s="2123">
        <f>ROUND(G4180*J4180,2)</f>
        <v>500.2</v>
      </c>
      <c r="L4180" s="568" t="s">
        <v>730</v>
      </c>
      <c r="M4180" s="568"/>
    </row>
    <row r="4181" spans="1:16" ht="12.75" hidden="1">
      <c r="A4181" s="2114"/>
      <c r="B4181" s="568"/>
      <c r="C4181" s="568"/>
      <c r="D4181" s="568"/>
      <c r="E4181" s="188"/>
      <c r="F4181" s="188"/>
      <c r="G4181" s="2122"/>
      <c r="H4181" s="568"/>
      <c r="I4181" s="2118"/>
      <c r="J4181" s="2123"/>
      <c r="K4181" s="2123"/>
      <c r="L4181" s="192"/>
      <c r="M4181" s="568"/>
      <c r="O4181" s="1991">
        <f>O4163</f>
        <v>0</v>
      </c>
      <c r="P4181" s="1706" t="s">
        <v>3149</v>
      </c>
    </row>
    <row r="4182" spans="1:16" ht="12.75" hidden="1">
      <c r="A4182" s="2114"/>
      <c r="B4182" s="568"/>
      <c r="C4182" s="568"/>
      <c r="D4182" s="568"/>
      <c r="E4182" s="188"/>
      <c r="F4182" s="188"/>
      <c r="G4182" s="2122"/>
      <c r="H4182" s="568"/>
      <c r="I4182" s="2118"/>
      <c r="J4182" s="2126" t="s">
        <v>718</v>
      </c>
      <c r="K4182" s="2124">
        <f>SUM(K4176:K4181)</f>
        <v>1345.72</v>
      </c>
      <c r="L4182" s="192" t="s">
        <v>730</v>
      </c>
      <c r="M4182" s="568"/>
      <c r="O4182" s="1991">
        <f>K4182-O4181</f>
        <v>1345.72</v>
      </c>
      <c r="P4182" s="1706" t="s">
        <v>26</v>
      </c>
    </row>
    <row r="4183" spans="1:16" ht="12.75" hidden="1">
      <c r="A4183" s="2114" t="str">
        <f>A743</f>
        <v>(ii)</v>
      </c>
      <c r="B4183" s="192" t="str">
        <f>B743</f>
        <v>First Floor</v>
      </c>
      <c r="C4183" s="568"/>
      <c r="D4183" s="568"/>
      <c r="E4183" s="2120" t="str">
        <f>E4175</f>
        <v>Each Sqm</v>
      </c>
      <c r="F4183" s="2120"/>
      <c r="G4183" s="2122"/>
      <c r="H4183" s="568"/>
      <c r="I4183" s="2118"/>
      <c r="J4183" s="2123"/>
      <c r="K4183" s="2123"/>
      <c r="L4183" s="192"/>
      <c r="M4183" s="568"/>
    </row>
    <row r="4184" spans="1:16" ht="12.75" hidden="1">
      <c r="A4184" s="2114"/>
      <c r="B4184" s="568" t="s">
        <v>722</v>
      </c>
      <c r="C4184" s="568"/>
      <c r="D4184" s="568"/>
      <c r="E4184" s="188"/>
      <c r="F4184" s="188"/>
      <c r="G4184" s="2122"/>
      <c r="H4184" s="568"/>
      <c r="I4184" s="2118"/>
      <c r="J4184" s="2123"/>
      <c r="K4184" s="2123">
        <f>K4182</f>
        <v>1345.72</v>
      </c>
      <c r="L4184" s="192"/>
      <c r="M4184" s="568"/>
    </row>
    <row r="4185" spans="1:16" ht="12.75" hidden="1">
      <c r="A4185" s="2114"/>
      <c r="B4185" s="568" t="s">
        <v>723</v>
      </c>
      <c r="C4185" s="568"/>
      <c r="D4185" s="568"/>
      <c r="E4185" s="188"/>
      <c r="F4185" s="188"/>
      <c r="G4185" s="2122"/>
      <c r="H4185" s="568"/>
      <c r="I4185" s="2118"/>
      <c r="J4185" s="2123"/>
      <c r="K4185" s="2123">
        <f>ROUND((K4078/10+K4178)*5%,2)</f>
        <v>30.25</v>
      </c>
      <c r="L4185" s="192"/>
      <c r="M4185" s="568"/>
      <c r="O4185" s="1991">
        <f>O4181+K4185</f>
        <v>30.25</v>
      </c>
      <c r="P4185" s="1706" t="s">
        <v>3149</v>
      </c>
    </row>
    <row r="4186" spans="1:16" ht="12.75" hidden="1">
      <c r="A4186" s="2114"/>
      <c r="B4186" s="568"/>
      <c r="C4186" s="568"/>
      <c r="D4186" s="568"/>
      <c r="E4186" s="188"/>
      <c r="F4186" s="188"/>
      <c r="G4186" s="2122"/>
      <c r="H4186" s="568"/>
      <c r="I4186" s="2118"/>
      <c r="J4186" s="2126" t="s">
        <v>718</v>
      </c>
      <c r="K4186" s="2124">
        <f>SUM(K4184:K4185)</f>
        <v>1375.97</v>
      </c>
      <c r="L4186" s="192" t="s">
        <v>730</v>
      </c>
      <c r="M4186" s="568"/>
      <c r="O4186" s="1991">
        <f>K4186-O4185</f>
        <v>1345.72</v>
      </c>
      <c r="P4186" s="1706" t="s">
        <v>26</v>
      </c>
    </row>
    <row r="4187" spans="1:16" ht="12.75" hidden="1">
      <c r="A4187" s="2114" t="str">
        <f>A744</f>
        <v>(iii)</v>
      </c>
      <c r="B4187" s="192" t="str">
        <f>B744</f>
        <v>2nd Floor</v>
      </c>
      <c r="C4187" s="568"/>
      <c r="D4187" s="568"/>
      <c r="E4187" s="2120" t="str">
        <f>E4183</f>
        <v>Each Sqm</v>
      </c>
      <c r="F4187" s="2120"/>
      <c r="G4187" s="2122"/>
      <c r="H4187" s="568"/>
      <c r="I4187" s="2118"/>
      <c r="J4187" s="2123"/>
      <c r="K4187" s="2123"/>
      <c r="L4187" s="192"/>
      <c r="M4187" s="568"/>
    </row>
    <row r="4188" spans="1:16" ht="12.75" hidden="1">
      <c r="A4188" s="2114"/>
      <c r="B4188" s="568" t="s">
        <v>722</v>
      </c>
      <c r="C4188" s="568"/>
      <c r="D4188" s="568"/>
      <c r="E4188" s="188"/>
      <c r="F4188" s="188"/>
      <c r="G4188" s="2122"/>
      <c r="H4188" s="568"/>
      <c r="I4188" s="2118"/>
      <c r="J4188" s="2123"/>
      <c r="K4188" s="2123">
        <f>K4186</f>
        <v>1375.97</v>
      </c>
      <c r="L4188" s="192"/>
      <c r="M4188" s="568"/>
    </row>
    <row r="4189" spans="1:16" ht="12.75" hidden="1">
      <c r="A4189" s="2114"/>
      <c r="B4189" s="568" t="s">
        <v>723</v>
      </c>
      <c r="C4189" s="568"/>
      <c r="D4189" s="568"/>
      <c r="E4189" s="188"/>
      <c r="F4189" s="188"/>
      <c r="G4189" s="2122"/>
      <c r="H4189" s="568"/>
      <c r="I4189" s="2118"/>
      <c r="J4189" s="2123"/>
      <c r="K4189" s="2123">
        <f>ROUND(K4185+K4185*5%,2)</f>
        <v>31.76</v>
      </c>
      <c r="L4189" s="192"/>
      <c r="M4189" s="568"/>
      <c r="O4189" s="1991">
        <f>O4185+K4189</f>
        <v>62.010000000000005</v>
      </c>
      <c r="P4189" s="1706" t="s">
        <v>3149</v>
      </c>
    </row>
    <row r="4190" spans="1:16" ht="12.75" hidden="1">
      <c r="A4190" s="2114"/>
      <c r="B4190" s="568"/>
      <c r="C4190" s="568"/>
      <c r="D4190" s="568"/>
      <c r="E4190" s="188"/>
      <c r="F4190" s="188"/>
      <c r="G4190" s="2122"/>
      <c r="H4190" s="568"/>
      <c r="I4190" s="2118"/>
      <c r="J4190" s="2126" t="s">
        <v>718</v>
      </c>
      <c r="K4190" s="2124">
        <f>SUM(K4188:K4189)</f>
        <v>1407.73</v>
      </c>
      <c r="L4190" s="192" t="s">
        <v>730</v>
      </c>
      <c r="M4190" s="568"/>
      <c r="O4190" s="1991">
        <f>K4190-O4189</f>
        <v>1345.72</v>
      </c>
      <c r="P4190" s="1706" t="s">
        <v>26</v>
      </c>
    </row>
    <row r="4191" spans="1:16" ht="12.75" hidden="1">
      <c r="A4191" s="2114" t="str">
        <f>A745</f>
        <v>(iv)</v>
      </c>
      <c r="B4191" s="192" t="str">
        <f>B745</f>
        <v>3rd Floor</v>
      </c>
      <c r="C4191" s="568"/>
      <c r="D4191" s="568"/>
      <c r="E4191" s="2120" t="str">
        <f>E4187</f>
        <v>Each Sqm</v>
      </c>
      <c r="F4191" s="2120"/>
      <c r="G4191" s="2122"/>
      <c r="H4191" s="568"/>
      <c r="I4191" s="2118"/>
      <c r="J4191" s="2123"/>
      <c r="K4191" s="2123"/>
      <c r="L4191" s="192"/>
      <c r="M4191" s="568"/>
    </row>
    <row r="4192" spans="1:16" ht="12.75" hidden="1">
      <c r="A4192" s="2114"/>
      <c r="B4192" s="568" t="s">
        <v>722</v>
      </c>
      <c r="C4192" s="568"/>
      <c r="D4192" s="568"/>
      <c r="E4192" s="188"/>
      <c r="F4192" s="188"/>
      <c r="G4192" s="2122"/>
      <c r="H4192" s="568"/>
      <c r="I4192" s="2118"/>
      <c r="J4192" s="2123"/>
      <c r="K4192" s="2123">
        <f>K4190</f>
        <v>1407.73</v>
      </c>
      <c r="L4192" s="192"/>
      <c r="M4192" s="568"/>
    </row>
    <row r="4193" spans="1:20" ht="12.75" hidden="1">
      <c r="A4193" s="2114"/>
      <c r="B4193" s="568" t="s">
        <v>723</v>
      </c>
      <c r="C4193" s="568"/>
      <c r="D4193" s="568"/>
      <c r="E4193" s="188"/>
      <c r="F4193" s="188"/>
      <c r="G4193" s="2122"/>
      <c r="H4193" s="568"/>
      <c r="I4193" s="2118"/>
      <c r="J4193" s="2123"/>
      <c r="K4193" s="2123">
        <f>ROUND(K4189+K4189*5%,2)</f>
        <v>33.35</v>
      </c>
      <c r="L4193" s="192"/>
      <c r="M4193" s="568"/>
      <c r="O4193" s="1991">
        <f>O4189+K4193</f>
        <v>95.360000000000014</v>
      </c>
      <c r="P4193" s="1706" t="s">
        <v>3149</v>
      </c>
    </row>
    <row r="4194" spans="1:20" ht="12.75" hidden="1">
      <c r="A4194" s="2114"/>
      <c r="B4194" s="568"/>
      <c r="C4194" s="568"/>
      <c r="D4194" s="568"/>
      <c r="E4194" s="188"/>
      <c r="F4194" s="188"/>
      <c r="G4194" s="2122"/>
      <c r="H4194" s="568"/>
      <c r="I4194" s="2118"/>
      <c r="J4194" s="2126" t="s">
        <v>718</v>
      </c>
      <c r="K4194" s="2124">
        <f>SUM(K4192:K4193)</f>
        <v>1441.08</v>
      </c>
      <c r="L4194" s="192" t="s">
        <v>730</v>
      </c>
      <c r="M4194" s="568"/>
      <c r="O4194" s="1991">
        <f>K4194-O4193</f>
        <v>1345.7199999999998</v>
      </c>
      <c r="P4194" s="1706" t="s">
        <v>26</v>
      </c>
    </row>
    <row r="4195" spans="1:20" s="175" customFormat="1" ht="12.75" hidden="1">
      <c r="A4195" s="1702" t="str">
        <f>A746</f>
        <v>G)</v>
      </c>
      <c r="B4195" s="2183" t="str">
        <f>B746</f>
        <v>Marble tile (size0.10-0.40sqm)</v>
      </c>
      <c r="C4195" s="2146"/>
      <c r="D4195" s="2146"/>
      <c r="E4195" s="1702"/>
      <c r="F4195" s="1702"/>
      <c r="G4195" s="2149"/>
      <c r="H4195" s="2146"/>
      <c r="I4195" s="1703"/>
      <c r="J4195" s="2150"/>
      <c r="K4195" s="2150"/>
      <c r="L4195" s="2145"/>
      <c r="M4195" s="2146"/>
      <c r="T4195" s="1759"/>
    </row>
    <row r="4196" spans="1:20" ht="12.75" hidden="1">
      <c r="A4196" s="2114" t="str">
        <f>A747</f>
        <v>(i)</v>
      </c>
      <c r="B4196" s="192" t="str">
        <f>B747</f>
        <v>Ground Floor</v>
      </c>
      <c r="C4196" s="568"/>
      <c r="D4196" s="568"/>
      <c r="E4196" s="2120" t="str">
        <f>G763</f>
        <v>Each Sqm</v>
      </c>
      <c r="F4196" s="2120"/>
      <c r="G4196" s="2122"/>
      <c r="H4196" s="568"/>
      <c r="I4196" s="2118"/>
      <c r="J4196" s="2123"/>
      <c r="K4196" s="2123"/>
      <c r="L4196" s="192"/>
      <c r="M4196" s="568"/>
    </row>
    <row r="4197" spans="1:20" ht="12.75" hidden="1">
      <c r="A4197" s="2114"/>
      <c r="B4197" s="568" t="s">
        <v>980</v>
      </c>
      <c r="C4197" s="568"/>
      <c r="D4197" s="568"/>
      <c r="E4197" s="188"/>
      <c r="F4197" s="188"/>
      <c r="G4197" s="2122"/>
      <c r="H4197" s="568"/>
      <c r="I4197" s="2118"/>
      <c r="J4197" s="2123"/>
      <c r="K4197" s="2123">
        <f>K4086</f>
        <v>585.77</v>
      </c>
      <c r="L4197" s="568" t="s">
        <v>730</v>
      </c>
      <c r="M4197" s="568"/>
    </row>
    <row r="4198" spans="1:20" ht="12.75" hidden="1">
      <c r="A4198" s="2114"/>
      <c r="B4198" s="568" t="s">
        <v>981</v>
      </c>
      <c r="C4198" s="568"/>
      <c r="D4198" s="568"/>
      <c r="E4198" s="188"/>
      <c r="F4198" s="188"/>
      <c r="G4198" s="2122"/>
      <c r="H4198" s="568"/>
      <c r="I4198" s="2118"/>
      <c r="J4198" s="2123"/>
      <c r="K4198" s="2184">
        <v>48</v>
      </c>
      <c r="L4198" s="568" t="s">
        <v>730</v>
      </c>
      <c r="M4198" s="568"/>
    </row>
    <row r="4199" spans="1:20" ht="12.75" hidden="1">
      <c r="A4199" s="2114"/>
      <c r="B4199" s="568" t="s">
        <v>716</v>
      </c>
      <c r="C4199" s="568"/>
      <c r="D4199" s="568"/>
      <c r="E4199" s="188"/>
      <c r="F4199" s="188"/>
      <c r="G4199" s="2122">
        <v>0.55000000000000004</v>
      </c>
      <c r="H4199" s="568" t="s">
        <v>262</v>
      </c>
      <c r="I4199" s="2118" t="s">
        <v>38</v>
      </c>
      <c r="J4199" s="2123">
        <f>L135</f>
        <v>385</v>
      </c>
      <c r="K4199" s="2123">
        <f>G4199*J4199</f>
        <v>211.75000000000003</v>
      </c>
      <c r="L4199" s="568" t="s">
        <v>730</v>
      </c>
      <c r="M4199" s="568"/>
    </row>
    <row r="4200" spans="1:20" ht="12.75" hidden="1">
      <c r="A4200" s="2114"/>
      <c r="B4200" s="568"/>
      <c r="C4200" s="568"/>
      <c r="D4200" s="568"/>
      <c r="E4200" s="188"/>
      <c r="F4200" s="188"/>
      <c r="G4200" s="2122"/>
      <c r="H4200" s="568"/>
      <c r="I4200" s="2118"/>
      <c r="J4200" s="2123"/>
      <c r="K4200" s="2123"/>
      <c r="L4200" s="568"/>
      <c r="M4200" s="568"/>
    </row>
    <row r="4201" spans="1:20" ht="12.75" hidden="1">
      <c r="A4201" s="2114"/>
      <c r="B4201" s="568" t="s">
        <v>979</v>
      </c>
      <c r="C4201" s="568"/>
      <c r="D4201" s="568"/>
      <c r="E4201" s="188"/>
      <c r="F4201" s="188"/>
      <c r="G4201" s="2122">
        <f>G4180</f>
        <v>1</v>
      </c>
      <c r="H4201" s="568" t="s">
        <v>92</v>
      </c>
      <c r="I4201" s="2118" t="s">
        <v>92</v>
      </c>
      <c r="J4201" s="2123">
        <f>G59</f>
        <v>677.95</v>
      </c>
      <c r="K4201" s="2123">
        <f>ROUND(G4201*J4201,2)</f>
        <v>677.95</v>
      </c>
      <c r="L4201" s="568" t="s">
        <v>730</v>
      </c>
      <c r="M4201" s="568"/>
    </row>
    <row r="4202" spans="1:20" ht="12.75" hidden="1">
      <c r="A4202" s="2114"/>
      <c r="B4202" s="568"/>
      <c r="C4202" s="568"/>
      <c r="D4202" s="568"/>
      <c r="E4202" s="188"/>
      <c r="F4202" s="188"/>
      <c r="G4202" s="2122"/>
      <c r="H4202" s="568"/>
      <c r="I4202" s="2118"/>
      <c r="J4202" s="2123"/>
      <c r="K4202" s="2123"/>
      <c r="L4202" s="192"/>
      <c r="M4202" s="568"/>
      <c r="O4202" s="1991">
        <f>O4184</f>
        <v>0</v>
      </c>
      <c r="P4202" s="1706" t="s">
        <v>3149</v>
      </c>
    </row>
    <row r="4203" spans="1:20" ht="12.75" hidden="1">
      <c r="A4203" s="2114"/>
      <c r="B4203" s="568"/>
      <c r="C4203" s="568"/>
      <c r="D4203" s="568"/>
      <c r="E4203" s="188"/>
      <c r="F4203" s="188"/>
      <c r="G4203" s="2122"/>
      <c r="H4203" s="568"/>
      <c r="I4203" s="2118"/>
      <c r="J4203" s="2126" t="s">
        <v>718</v>
      </c>
      <c r="K4203" s="2124">
        <f>SUM(K4197:K4202)</f>
        <v>1523.47</v>
      </c>
      <c r="L4203" s="192" t="s">
        <v>730</v>
      </c>
      <c r="M4203" s="568"/>
      <c r="O4203" s="1991">
        <f>K4203-O4202</f>
        <v>1523.47</v>
      </c>
      <c r="P4203" s="1706" t="s">
        <v>26</v>
      </c>
    </row>
    <row r="4204" spans="1:20" ht="12.75" hidden="1">
      <c r="A4204" s="2114" t="str">
        <f>A748</f>
        <v>(ii)</v>
      </c>
      <c r="B4204" s="192" t="str">
        <f>B748</f>
        <v>First Floor</v>
      </c>
      <c r="C4204" s="568"/>
      <c r="D4204" s="568"/>
      <c r="E4204" s="2120" t="str">
        <f>E4196</f>
        <v>Each Sqm</v>
      </c>
      <c r="F4204" s="2120"/>
      <c r="G4204" s="2122"/>
      <c r="H4204" s="568"/>
      <c r="I4204" s="2118"/>
      <c r="J4204" s="2123"/>
      <c r="K4204" s="2123"/>
      <c r="L4204" s="192"/>
      <c r="M4204" s="568"/>
    </row>
    <row r="4205" spans="1:20" ht="12.75" hidden="1">
      <c r="A4205" s="2114"/>
      <c r="B4205" s="568" t="s">
        <v>722</v>
      </c>
      <c r="C4205" s="568"/>
      <c r="D4205" s="568"/>
      <c r="E4205" s="188"/>
      <c r="F4205" s="188"/>
      <c r="G4205" s="2122"/>
      <c r="H4205" s="568"/>
      <c r="I4205" s="2118"/>
      <c r="J4205" s="2123"/>
      <c r="K4205" s="2123">
        <f>K4203</f>
        <v>1523.47</v>
      </c>
      <c r="L4205" s="192"/>
      <c r="M4205" s="568"/>
    </row>
    <row r="4206" spans="1:20" ht="12.75" hidden="1">
      <c r="A4206" s="2114"/>
      <c r="B4206" s="568" t="s">
        <v>723</v>
      </c>
      <c r="C4206" s="568"/>
      <c r="D4206" s="568"/>
      <c r="E4206" s="188"/>
      <c r="F4206" s="188"/>
      <c r="G4206" s="2122"/>
      <c r="H4206" s="568"/>
      <c r="I4206" s="2118"/>
      <c r="J4206" s="2123"/>
      <c r="K4206" s="2123">
        <f>ROUND((K4078/10+K4199)*5%,2)</f>
        <v>30.25</v>
      </c>
      <c r="L4206" s="192"/>
      <c r="M4206" s="568"/>
      <c r="O4206" s="1991">
        <f>O4202+K4206</f>
        <v>30.25</v>
      </c>
      <c r="P4206" s="1706" t="s">
        <v>3149</v>
      </c>
    </row>
    <row r="4207" spans="1:20" ht="12.75" hidden="1">
      <c r="A4207" s="2114"/>
      <c r="B4207" s="568"/>
      <c r="C4207" s="568"/>
      <c r="D4207" s="568"/>
      <c r="E4207" s="188"/>
      <c r="F4207" s="188"/>
      <c r="G4207" s="2122"/>
      <c r="H4207" s="568"/>
      <c r="I4207" s="2118"/>
      <c r="J4207" s="2126" t="s">
        <v>718</v>
      </c>
      <c r="K4207" s="2124">
        <f>SUM(K4205:K4206)</f>
        <v>1553.72</v>
      </c>
      <c r="L4207" s="192" t="s">
        <v>730</v>
      </c>
      <c r="M4207" s="568"/>
      <c r="O4207" s="1991">
        <f>K4207-O4206</f>
        <v>1523.47</v>
      </c>
      <c r="P4207" s="1706" t="s">
        <v>26</v>
      </c>
    </row>
    <row r="4208" spans="1:20" ht="12.75" hidden="1">
      <c r="A4208" s="2114" t="str">
        <f>A749</f>
        <v>(iii)</v>
      </c>
      <c r="B4208" s="192" t="str">
        <f>B749</f>
        <v>2nd Floor</v>
      </c>
      <c r="C4208" s="568"/>
      <c r="D4208" s="568"/>
      <c r="E4208" s="2120" t="str">
        <f>E4204</f>
        <v>Each Sqm</v>
      </c>
      <c r="F4208" s="2120"/>
      <c r="G4208" s="2122"/>
      <c r="H4208" s="568"/>
      <c r="I4208" s="2118"/>
      <c r="J4208" s="2123"/>
      <c r="K4208" s="2123"/>
      <c r="L4208" s="192"/>
      <c r="M4208" s="568"/>
    </row>
    <row r="4209" spans="1:20" ht="12.75" hidden="1">
      <c r="A4209" s="2114"/>
      <c r="B4209" s="568" t="s">
        <v>722</v>
      </c>
      <c r="C4209" s="568"/>
      <c r="D4209" s="568"/>
      <c r="E4209" s="188"/>
      <c r="F4209" s="188"/>
      <c r="G4209" s="2122"/>
      <c r="H4209" s="568"/>
      <c r="I4209" s="2118"/>
      <c r="J4209" s="2123"/>
      <c r="K4209" s="2123">
        <f>K4207</f>
        <v>1553.72</v>
      </c>
      <c r="L4209" s="192"/>
      <c r="M4209" s="568"/>
    </row>
    <row r="4210" spans="1:20" ht="12.75" hidden="1">
      <c r="A4210" s="2114"/>
      <c r="B4210" s="568" t="s">
        <v>723</v>
      </c>
      <c r="C4210" s="568"/>
      <c r="D4210" s="568"/>
      <c r="E4210" s="188"/>
      <c r="F4210" s="188"/>
      <c r="G4210" s="2122"/>
      <c r="H4210" s="568"/>
      <c r="I4210" s="2118"/>
      <c r="J4210" s="2123"/>
      <c r="K4210" s="2123">
        <f>ROUND(K4206+K4206*5%,2)</f>
        <v>31.76</v>
      </c>
      <c r="L4210" s="192"/>
      <c r="M4210" s="568"/>
      <c r="O4210" s="1991">
        <f>O4206+K4210</f>
        <v>62.010000000000005</v>
      </c>
      <c r="P4210" s="1706" t="s">
        <v>3149</v>
      </c>
    </row>
    <row r="4211" spans="1:20" ht="12.75" hidden="1">
      <c r="A4211" s="2114"/>
      <c r="B4211" s="568"/>
      <c r="C4211" s="568"/>
      <c r="D4211" s="568"/>
      <c r="E4211" s="188"/>
      <c r="F4211" s="188"/>
      <c r="G4211" s="2122"/>
      <c r="H4211" s="568"/>
      <c r="I4211" s="2118"/>
      <c r="J4211" s="2126" t="s">
        <v>718</v>
      </c>
      <c r="K4211" s="2124">
        <f>SUM(K4209:K4210)</f>
        <v>1585.48</v>
      </c>
      <c r="L4211" s="192" t="s">
        <v>730</v>
      </c>
      <c r="M4211" s="568"/>
      <c r="O4211" s="1991">
        <f>K4211-O4210</f>
        <v>1523.47</v>
      </c>
      <c r="P4211" s="1706" t="s">
        <v>26</v>
      </c>
    </row>
    <row r="4212" spans="1:20" ht="12.75" hidden="1">
      <c r="A4212" s="2114" t="str">
        <f>A750</f>
        <v>(iv)</v>
      </c>
      <c r="B4212" s="192" t="str">
        <f>B750</f>
        <v>3rd Floor</v>
      </c>
      <c r="C4212" s="568"/>
      <c r="D4212" s="568"/>
      <c r="E4212" s="2120" t="str">
        <f>E4208</f>
        <v>Each Sqm</v>
      </c>
      <c r="F4212" s="2120"/>
      <c r="G4212" s="2122"/>
      <c r="H4212" s="568"/>
      <c r="I4212" s="2118"/>
      <c r="J4212" s="2123"/>
      <c r="K4212" s="2123"/>
      <c r="L4212" s="192"/>
      <c r="M4212" s="568"/>
    </row>
    <row r="4213" spans="1:20" ht="12.75" hidden="1">
      <c r="A4213" s="2114"/>
      <c r="B4213" s="568" t="s">
        <v>722</v>
      </c>
      <c r="C4213" s="568"/>
      <c r="D4213" s="568"/>
      <c r="E4213" s="188"/>
      <c r="F4213" s="188"/>
      <c r="G4213" s="2122"/>
      <c r="H4213" s="568"/>
      <c r="I4213" s="2118"/>
      <c r="J4213" s="2123"/>
      <c r="K4213" s="2123">
        <f>K4211</f>
        <v>1585.48</v>
      </c>
      <c r="L4213" s="192"/>
      <c r="M4213" s="568"/>
    </row>
    <row r="4214" spans="1:20" ht="12.75" hidden="1">
      <c r="A4214" s="2114"/>
      <c r="B4214" s="568" t="s">
        <v>723</v>
      </c>
      <c r="C4214" s="568"/>
      <c r="D4214" s="568"/>
      <c r="E4214" s="188"/>
      <c r="F4214" s="188"/>
      <c r="G4214" s="2122"/>
      <c r="H4214" s="568"/>
      <c r="I4214" s="2118"/>
      <c r="J4214" s="2123"/>
      <c r="K4214" s="2123">
        <f>ROUND(K4210+K4210*5%,2)</f>
        <v>33.35</v>
      </c>
      <c r="L4214" s="192"/>
      <c r="M4214" s="568"/>
      <c r="O4214" s="1991">
        <f>O4210+K4214</f>
        <v>95.360000000000014</v>
      </c>
      <c r="P4214" s="1706" t="s">
        <v>3149</v>
      </c>
    </row>
    <row r="4215" spans="1:20" ht="12.75" hidden="1">
      <c r="A4215" s="2114"/>
      <c r="B4215" s="568"/>
      <c r="C4215" s="568"/>
      <c r="D4215" s="568"/>
      <c r="E4215" s="188"/>
      <c r="F4215" s="188"/>
      <c r="G4215" s="2122"/>
      <c r="H4215" s="568"/>
      <c r="I4215" s="2118"/>
      <c r="J4215" s="2126" t="s">
        <v>718</v>
      </c>
      <c r="K4215" s="2124">
        <f>SUM(K4213:K4214)</f>
        <v>1618.83</v>
      </c>
      <c r="L4215" s="192" t="s">
        <v>730</v>
      </c>
      <c r="M4215" s="568"/>
      <c r="O4215" s="1991">
        <f>K4215-O4214</f>
        <v>1523.4699999999998</v>
      </c>
      <c r="P4215" s="1706" t="s">
        <v>26</v>
      </c>
    </row>
    <row r="4216" spans="1:20" ht="53.65" customHeight="1">
      <c r="A4216" s="2114">
        <f t="shared" ref="A4216:B4218" si="279">A751</f>
        <v>74</v>
      </c>
      <c r="B4216" s="3025" t="str">
        <f t="shared" si="279"/>
        <v xml:space="preserve">Supplying, fitting, fixing of tile in floors marbonite or equivalent make in all floors over 25mm thick bed of cement mortar (1:4) jointed with neat cement slurry mixed with pigment to match the shades of the tiles  etc. complete as per the direction of the Engineer-in-charge. </v>
      </c>
      <c r="C4216" s="3025"/>
      <c r="D4216" s="3025"/>
      <c r="E4216" s="3025"/>
      <c r="F4216" s="3025"/>
      <c r="G4216" s="3025"/>
      <c r="H4216" s="3025"/>
      <c r="I4216" s="2118"/>
      <c r="J4216" s="2124"/>
      <c r="K4216" s="2124"/>
      <c r="L4216" s="192"/>
      <c r="M4216" s="568"/>
      <c r="O4216" s="1759" t="s">
        <v>982</v>
      </c>
    </row>
    <row r="4217" spans="1:20" s="175" customFormat="1" ht="12.75" hidden="1">
      <c r="A4217" s="1702" t="str">
        <f t="shared" si="279"/>
        <v>A)</v>
      </c>
      <c r="B4217" s="2182" t="str">
        <f t="shared" si="279"/>
        <v>Vertified tile ( 600x 600)Printed</v>
      </c>
      <c r="C4217" s="2146"/>
      <c r="D4217" s="2146"/>
      <c r="E4217" s="1702"/>
      <c r="F4217" s="1702"/>
      <c r="G4217" s="2149"/>
      <c r="H4217" s="2146"/>
      <c r="I4217" s="1703"/>
      <c r="J4217" s="2150"/>
      <c r="K4217" s="2150"/>
      <c r="L4217" s="2145"/>
      <c r="M4217" s="2146"/>
      <c r="T4217" s="1759"/>
    </row>
    <row r="4218" spans="1:20" ht="12.75" hidden="1">
      <c r="A4218" s="2114" t="str">
        <f t="shared" si="279"/>
        <v>(i)</v>
      </c>
      <c r="B4218" s="192" t="str">
        <f t="shared" si="279"/>
        <v>Ground Floor</v>
      </c>
      <c r="C4218" s="568"/>
      <c r="D4218" s="568"/>
      <c r="E4218" s="2120" t="str">
        <f>G893</f>
        <v>Each Sqm</v>
      </c>
      <c r="F4218" s="2120"/>
      <c r="G4218" s="2122"/>
      <c r="H4218" s="568"/>
      <c r="I4218" s="2118"/>
      <c r="J4218" s="2123"/>
      <c r="K4218" s="2123"/>
      <c r="L4218" s="192"/>
      <c r="M4218" s="568"/>
    </row>
    <row r="4219" spans="1:20" ht="12.75" hidden="1">
      <c r="A4219" s="2114"/>
      <c r="B4219" s="568" t="s">
        <v>964</v>
      </c>
      <c r="C4219" s="568"/>
      <c r="D4219" s="568"/>
      <c r="E4219" s="188"/>
      <c r="F4219" s="188"/>
      <c r="G4219" s="2122"/>
      <c r="H4219" s="568"/>
      <c r="I4219" s="2118"/>
      <c r="J4219" s="2123"/>
      <c r="K4219" s="2123"/>
      <c r="L4219" s="192"/>
      <c r="M4219" s="568"/>
    </row>
    <row r="4220" spans="1:20" ht="12.75" hidden="1">
      <c r="A4220" s="2114"/>
      <c r="B4220" s="192" t="s">
        <v>822</v>
      </c>
      <c r="C4220" s="568"/>
      <c r="D4220" s="568"/>
      <c r="E4220" s="188"/>
      <c r="F4220" s="188"/>
      <c r="G4220" s="2122"/>
      <c r="H4220" s="568"/>
      <c r="I4220" s="2118"/>
      <c r="J4220" s="2123"/>
      <c r="K4220" s="2123"/>
      <c r="L4220" s="192"/>
      <c r="M4220" s="568"/>
    </row>
    <row r="4221" spans="1:20" ht="12.75" hidden="1">
      <c r="A4221" s="2114"/>
      <c r="B4221" s="568" t="s">
        <v>775</v>
      </c>
      <c r="C4221" s="568"/>
      <c r="D4221" s="568"/>
      <c r="E4221" s="188"/>
      <c r="F4221" s="188"/>
      <c r="G4221" s="2122">
        <v>0.21</v>
      </c>
      <c r="H4221" s="568" t="s">
        <v>49</v>
      </c>
      <c r="I4221" s="2118" t="s">
        <v>49</v>
      </c>
      <c r="J4221" s="2123">
        <f>G46</f>
        <v>76.88</v>
      </c>
      <c r="K4221" s="2123">
        <f>ROUND(G4221*J4221,2)</f>
        <v>16.14</v>
      </c>
      <c r="L4221" s="192"/>
      <c r="M4221" s="568"/>
    </row>
    <row r="4222" spans="1:20" ht="12.75" hidden="1">
      <c r="A4222" s="2114"/>
      <c r="B4222" s="568" t="s">
        <v>8</v>
      </c>
      <c r="C4222" s="568"/>
      <c r="D4222" s="568"/>
      <c r="E4222" s="188"/>
      <c r="F4222" s="188"/>
      <c r="G4222" s="2122">
        <v>1.0740000000000001</v>
      </c>
      <c r="H4222" s="568" t="s">
        <v>247</v>
      </c>
      <c r="I4222" s="2118" t="s">
        <v>247</v>
      </c>
      <c r="J4222" s="2123">
        <f>G50/10</f>
        <v>570.23400000000004</v>
      </c>
      <c r="K4222" s="2123">
        <f>ROUND(G4222*J4222,2)</f>
        <v>612.42999999999995</v>
      </c>
      <c r="L4222" s="192"/>
      <c r="M4222" s="568"/>
    </row>
    <row r="4223" spans="1:20" ht="12.75" hidden="1">
      <c r="A4223" s="2114"/>
      <c r="B4223" s="568" t="s">
        <v>124</v>
      </c>
      <c r="C4223" s="568"/>
      <c r="D4223" s="568"/>
      <c r="E4223" s="188"/>
      <c r="F4223" s="188"/>
      <c r="G4223" s="2122">
        <v>7.5999999999999998E-2</v>
      </c>
      <c r="H4223" s="568" t="s">
        <v>247</v>
      </c>
      <c r="I4223" s="2118" t="s">
        <v>247</v>
      </c>
      <c r="J4223" s="2123">
        <f>G97</f>
        <v>2017.18</v>
      </c>
      <c r="K4223" s="2123">
        <f>ROUND(G4223*J4223,2)</f>
        <v>153.31</v>
      </c>
      <c r="L4223" s="192"/>
      <c r="M4223" s="568"/>
    </row>
    <row r="4224" spans="1:20" ht="12.75" hidden="1">
      <c r="A4224" s="2114"/>
      <c r="B4224" s="568"/>
      <c r="C4224" s="568"/>
      <c r="D4224" s="568"/>
      <c r="E4224" s="188"/>
      <c r="F4224" s="188"/>
      <c r="G4224" s="2122"/>
      <c r="H4224" s="568"/>
      <c r="I4224" s="2118"/>
      <c r="J4224" s="2126" t="s">
        <v>718</v>
      </c>
      <c r="K4224" s="2124">
        <f>SUM(K4221:K4223)</f>
        <v>781.87999999999988</v>
      </c>
      <c r="L4224" s="192"/>
      <c r="M4224" s="568"/>
    </row>
    <row r="4225" spans="1:16" ht="12.75" hidden="1">
      <c r="A4225" s="2114"/>
      <c r="B4225" s="192" t="s">
        <v>781</v>
      </c>
      <c r="C4225" s="568"/>
      <c r="D4225" s="568"/>
      <c r="E4225" s="188"/>
      <c r="F4225" s="188"/>
      <c r="G4225" s="2122"/>
      <c r="H4225" s="568"/>
      <c r="I4225" s="2118"/>
      <c r="J4225" s="2123"/>
      <c r="K4225" s="2123"/>
      <c r="L4225" s="192"/>
      <c r="M4225" s="568"/>
    </row>
    <row r="4226" spans="1:16" ht="12.75" hidden="1">
      <c r="A4226" s="2114"/>
      <c r="B4226" s="568" t="s">
        <v>975</v>
      </c>
      <c r="C4226" s="568"/>
      <c r="D4226" s="568"/>
      <c r="E4226" s="188"/>
      <c r="F4226" s="188"/>
      <c r="G4226" s="2122">
        <v>2.16</v>
      </c>
      <c r="H4226" s="568" t="s">
        <v>262</v>
      </c>
      <c r="I4226" s="2118" t="s">
        <v>38</v>
      </c>
      <c r="J4226" s="2123">
        <f>L137</f>
        <v>495</v>
      </c>
      <c r="K4226" s="2123">
        <f>ROUND(G4226*J4226,2)</f>
        <v>1069.2</v>
      </c>
      <c r="L4226" s="192"/>
      <c r="M4226" s="568"/>
      <c r="P4226" s="1709">
        <f>G52</f>
        <v>695.76</v>
      </c>
    </row>
    <row r="4227" spans="1:16" ht="12.75" hidden="1">
      <c r="A4227" s="2114"/>
      <c r="B4227" s="568" t="s">
        <v>717</v>
      </c>
      <c r="C4227" s="568"/>
      <c r="D4227" s="568"/>
      <c r="E4227" s="188"/>
      <c r="F4227" s="188"/>
      <c r="G4227" s="2122">
        <v>2.16</v>
      </c>
      <c r="H4227" s="568" t="s">
        <v>262</v>
      </c>
      <c r="I4227" s="2118" t="s">
        <v>38</v>
      </c>
      <c r="J4227" s="2123">
        <f>L134</f>
        <v>345</v>
      </c>
      <c r="K4227" s="2123">
        <f>ROUND(G4227*J4227,2)</f>
        <v>745.2</v>
      </c>
      <c r="L4227" s="192"/>
      <c r="M4227" s="568"/>
    </row>
    <row r="4228" spans="1:16" ht="12.75" hidden="1">
      <c r="A4228" s="2114"/>
      <c r="B4228" s="568"/>
      <c r="C4228" s="568"/>
      <c r="D4228" s="568"/>
      <c r="E4228" s="188"/>
      <c r="F4228" s="188"/>
      <c r="G4228" s="2122"/>
      <c r="H4228" s="568"/>
      <c r="I4228" s="2118"/>
      <c r="J4228" s="2126" t="s">
        <v>718</v>
      </c>
      <c r="K4228" s="2124">
        <f>SUM(K4226:K4227)</f>
        <v>1814.4</v>
      </c>
      <c r="L4228" s="192"/>
      <c r="M4228" s="568"/>
    </row>
    <row r="4229" spans="1:16" ht="12.75" hidden="1">
      <c r="A4229" s="2114"/>
      <c r="B4229" s="192"/>
      <c r="C4229" s="568"/>
      <c r="D4229" s="568"/>
      <c r="E4229" s="188"/>
      <c r="F4229" s="188"/>
      <c r="G4229" s="2122"/>
      <c r="H4229" s="568"/>
      <c r="I4229" s="2118"/>
      <c r="J4229" s="2124" t="s">
        <v>3741</v>
      </c>
      <c r="K4229" s="2124">
        <f>K4224+K4228</f>
        <v>2596.2799999999997</v>
      </c>
      <c r="L4229" s="192"/>
      <c r="M4229" s="568"/>
    </row>
    <row r="4230" spans="1:16" ht="12.75" hidden="1">
      <c r="A4230" s="2114"/>
      <c r="B4230" s="192" t="s">
        <v>3662</v>
      </c>
      <c r="C4230" s="568"/>
      <c r="D4230" s="568"/>
      <c r="E4230" s="188"/>
      <c r="F4230" s="188"/>
      <c r="G4230" s="2122"/>
      <c r="H4230" s="2135">
        <f>H4029</f>
        <v>7.4999999999999997E-2</v>
      </c>
      <c r="I4230" s="2134">
        <f>K4229+K4225</f>
        <v>2596.2799999999997</v>
      </c>
      <c r="J4230" s="2134"/>
      <c r="K4230" s="2123">
        <f>ROUND(I4230*H4230,2)</f>
        <v>194.72</v>
      </c>
      <c r="L4230" s="192"/>
      <c r="M4230" s="568"/>
    </row>
    <row r="4231" spans="1:16" ht="12.75" hidden="1">
      <c r="A4231" s="2114"/>
      <c r="B4231" s="192" t="s">
        <v>3661</v>
      </c>
      <c r="C4231" s="568"/>
      <c r="D4231" s="568"/>
      <c r="E4231" s="188"/>
      <c r="F4231" s="188"/>
      <c r="G4231" s="2122"/>
      <c r="H4231" s="2135">
        <f>H4230</f>
        <v>7.4999999999999997E-2</v>
      </c>
      <c r="I4231" s="2134">
        <f>I4230</f>
        <v>2596.2799999999997</v>
      </c>
      <c r="J4231" s="2134"/>
      <c r="K4231" s="2140">
        <f>ROUND(I4231*H4231,2)</f>
        <v>194.72</v>
      </c>
      <c r="L4231" s="192"/>
      <c r="M4231" s="568"/>
    </row>
    <row r="4232" spans="1:16" ht="12.75" hidden="1">
      <c r="A4232" s="2114"/>
      <c r="B4232" s="192" t="s">
        <v>1497</v>
      </c>
      <c r="C4232" s="568"/>
      <c r="D4232" s="568"/>
      <c r="E4232" s="188"/>
      <c r="F4232" s="188"/>
      <c r="G4232" s="2122"/>
      <c r="H4232" s="568"/>
      <c r="I4232" s="2118"/>
      <c r="J4232" s="2123" t="s">
        <v>718</v>
      </c>
      <c r="K4232" s="2123">
        <f>SUM(K4229:K4231)</f>
        <v>2985.7199999999993</v>
      </c>
      <c r="L4232" s="192"/>
      <c r="M4232" s="568"/>
    </row>
    <row r="4233" spans="1:16" ht="12.75" hidden="1">
      <c r="A4233" s="2114"/>
      <c r="B4233" s="192" t="s">
        <v>3663</v>
      </c>
      <c r="C4233" s="568"/>
      <c r="D4233" s="568"/>
      <c r="E4233" s="188"/>
      <c r="F4233" s="188"/>
      <c r="G4233" s="2122"/>
      <c r="H4233" s="568"/>
      <c r="I4233" s="2118"/>
      <c r="J4233" s="2123"/>
      <c r="K4233" s="2123"/>
      <c r="L4233" s="192"/>
      <c r="M4233" s="568"/>
    </row>
    <row r="4234" spans="1:16" ht="12.75" hidden="1">
      <c r="A4234" s="2114"/>
      <c r="B4234" s="568" t="s">
        <v>775</v>
      </c>
      <c r="C4234" s="568"/>
      <c r="D4234" s="568"/>
      <c r="E4234" s="188"/>
      <c r="F4234" s="188"/>
      <c r="G4234" s="2122">
        <f>G4221</f>
        <v>0.21</v>
      </c>
      <c r="H4234" s="568" t="s">
        <v>49</v>
      </c>
      <c r="I4234" s="2118" t="s">
        <v>49</v>
      </c>
      <c r="J4234" s="2123">
        <f>K46</f>
        <v>717.46</v>
      </c>
      <c r="K4234" s="2123">
        <f>ROUND(G4234*J4234,2)</f>
        <v>150.66999999999999</v>
      </c>
      <c r="L4234" s="192"/>
      <c r="M4234" s="568"/>
    </row>
    <row r="4235" spans="1:16" ht="12.75" hidden="1">
      <c r="A4235" s="2114"/>
      <c r="B4235" s="568" t="s">
        <v>8</v>
      </c>
      <c r="C4235" s="568"/>
      <c r="D4235" s="568"/>
      <c r="E4235" s="188"/>
      <c r="F4235" s="188"/>
      <c r="G4235" s="2122">
        <f>G4222</f>
        <v>1.0740000000000001</v>
      </c>
      <c r="H4235" s="568" t="s">
        <v>247</v>
      </c>
      <c r="I4235" s="2118" t="s">
        <v>247</v>
      </c>
      <c r="J4235" s="2123">
        <f>K50/10</f>
        <v>42.622</v>
      </c>
      <c r="K4235" s="2123">
        <f>ROUND(G4235*J4235,2)</f>
        <v>45.78</v>
      </c>
      <c r="L4235" s="192"/>
      <c r="M4235" s="568"/>
    </row>
    <row r="4236" spans="1:16" ht="12.75" hidden="1">
      <c r="A4236" s="2114"/>
      <c r="B4236" s="568" t="s">
        <v>124</v>
      </c>
      <c r="C4236" s="568"/>
      <c r="D4236" s="568"/>
      <c r="E4236" s="188"/>
      <c r="F4236" s="188"/>
      <c r="G4236" s="2122">
        <f>G4223</f>
        <v>7.5999999999999998E-2</v>
      </c>
      <c r="H4236" s="568" t="s">
        <v>247</v>
      </c>
      <c r="I4236" s="2118" t="s">
        <v>247</v>
      </c>
      <c r="J4236" s="2123">
        <f>K97</f>
        <v>42.622</v>
      </c>
      <c r="K4236" s="2123">
        <f>ROUND(G4236*J4236,2)</f>
        <v>3.24</v>
      </c>
      <c r="L4236" s="192"/>
      <c r="M4236" s="568"/>
    </row>
    <row r="4237" spans="1:16" ht="12.75" hidden="1">
      <c r="A4237" s="2114"/>
      <c r="B4237" s="568" t="s">
        <v>13</v>
      </c>
      <c r="C4237" s="568"/>
      <c r="D4237" s="568"/>
      <c r="E4237" s="188"/>
      <c r="F4237" s="188"/>
      <c r="G4237" s="2122">
        <v>10</v>
      </c>
      <c r="H4237" s="568" t="s">
        <v>92</v>
      </c>
      <c r="I4237" s="2118" t="s">
        <v>92</v>
      </c>
      <c r="J4237" s="2123">
        <f>K52</f>
        <v>14.510277777777777</v>
      </c>
      <c r="K4237" s="2123">
        <f>ROUND(G4237*J4237,2)</f>
        <v>145.1</v>
      </c>
      <c r="L4237" s="192"/>
      <c r="M4237" s="568"/>
    </row>
    <row r="4238" spans="1:16" ht="12.75" hidden="1">
      <c r="A4238" s="2114"/>
      <c r="B4238" s="568"/>
      <c r="C4238" s="568"/>
      <c r="D4238" s="568"/>
      <c r="E4238" s="188"/>
      <c r="F4238" s="188"/>
      <c r="G4238" s="2122"/>
      <c r="H4238" s="568"/>
      <c r="I4238" s="2118"/>
      <c r="J4238" s="2126" t="s">
        <v>718</v>
      </c>
      <c r="K4238" s="2124">
        <f>SUM(K4234:K4237)</f>
        <v>344.78999999999996</v>
      </c>
      <c r="L4238" s="192"/>
      <c r="M4238" s="568"/>
    </row>
    <row r="4239" spans="1:16" ht="12.75" hidden="1">
      <c r="A4239" s="2114"/>
      <c r="B4239" s="568" t="s">
        <v>977</v>
      </c>
      <c r="C4239" s="568"/>
      <c r="D4239" s="568"/>
      <c r="E4239" s="188"/>
      <c r="F4239" s="188"/>
      <c r="G4239" s="2122"/>
      <c r="H4239" s="568"/>
      <c r="I4239" s="2118"/>
      <c r="J4239" s="2123"/>
      <c r="K4239" s="2123">
        <f>K4232+K4238</f>
        <v>3330.5099999999993</v>
      </c>
      <c r="L4239" s="192"/>
      <c r="M4239" s="568"/>
    </row>
    <row r="4240" spans="1:16" ht="12.75" hidden="1">
      <c r="A4240" s="2114"/>
      <c r="B4240" s="568" t="s">
        <v>978</v>
      </c>
      <c r="C4240" s="568"/>
      <c r="D4240" s="568"/>
      <c r="E4240" s="188"/>
      <c r="F4240" s="188"/>
      <c r="G4240" s="2122"/>
      <c r="H4240" s="568"/>
      <c r="I4240" s="2118"/>
      <c r="J4240" s="2126" t="s">
        <v>718</v>
      </c>
      <c r="K4240" s="2124">
        <f>ROUND(K4239/10,2)</f>
        <v>333.05</v>
      </c>
      <c r="L4240" s="192" t="s">
        <v>730</v>
      </c>
      <c r="M4240" s="568"/>
    </row>
    <row r="4241" spans="1:20" ht="12.75" hidden="1">
      <c r="A4241" s="2114"/>
      <c r="B4241" s="192" t="s">
        <v>3738</v>
      </c>
      <c r="C4241" s="2142">
        <v>0.01</v>
      </c>
      <c r="D4241" s="568"/>
      <c r="E4241" s="188"/>
      <c r="F4241" s="188"/>
      <c r="G4241" s="2122"/>
      <c r="H4241" s="568"/>
      <c r="I4241" s="2118"/>
      <c r="J4241" s="2123"/>
      <c r="K4241" s="2140">
        <f>ROUND(K4240*C4241,2)</f>
        <v>3.33</v>
      </c>
      <c r="L4241" s="192"/>
      <c r="M4241" s="568"/>
    </row>
    <row r="4242" spans="1:20" ht="12.75" hidden="1">
      <c r="A4242" s="2114"/>
      <c r="B4242" s="568"/>
      <c r="C4242" s="568"/>
      <c r="D4242" s="568"/>
      <c r="E4242" s="188"/>
      <c r="F4242" s="188"/>
      <c r="G4242" s="2122"/>
      <c r="H4242" s="568"/>
      <c r="I4242" s="2118"/>
      <c r="J4242" s="2126" t="s">
        <v>718</v>
      </c>
      <c r="K4242" s="2124">
        <f>SUM(K4240:K4241)</f>
        <v>336.38</v>
      </c>
      <c r="L4242" s="192" t="s">
        <v>730</v>
      </c>
      <c r="M4242" s="568"/>
    </row>
    <row r="4243" spans="1:20" s="175" customFormat="1" ht="12.75" hidden="1">
      <c r="A4243" s="1702" t="s">
        <v>201</v>
      </c>
      <c r="B4243" s="2182" t="s">
        <v>3749</v>
      </c>
      <c r="C4243" s="2146"/>
      <c r="D4243" s="2146"/>
      <c r="E4243" s="1702"/>
      <c r="F4243" s="1702"/>
      <c r="G4243" s="2149"/>
      <c r="H4243" s="2146"/>
      <c r="I4243" s="1703"/>
      <c r="J4243" s="2150"/>
      <c r="K4243" s="2150"/>
      <c r="L4243" s="2145"/>
      <c r="M4243" s="2146"/>
      <c r="T4243" s="1759"/>
    </row>
    <row r="4244" spans="1:20" ht="12.75" hidden="1">
      <c r="A4244" s="2114" t="str">
        <f>A728</f>
        <v>(ii)</v>
      </c>
      <c r="B4244" s="192" t="s">
        <v>384</v>
      </c>
      <c r="C4244" s="568"/>
      <c r="D4244" s="568"/>
      <c r="E4244" s="2120" t="str">
        <f>G834</f>
        <v>Each Sqm</v>
      </c>
      <c r="F4244" s="2120"/>
      <c r="G4244" s="2122"/>
      <c r="H4244" s="568"/>
      <c r="I4244" s="2118"/>
      <c r="J4244" s="2123"/>
      <c r="K4244" s="2123"/>
      <c r="L4244" s="192"/>
      <c r="M4244" s="568"/>
    </row>
    <row r="4245" spans="1:20" ht="12.75" hidden="1">
      <c r="A4245" s="2114"/>
      <c r="B4245" s="568" t="s">
        <v>980</v>
      </c>
      <c r="C4245" s="568"/>
      <c r="D4245" s="568"/>
      <c r="E4245" s="188"/>
      <c r="F4245" s="188"/>
      <c r="G4245" s="2122"/>
      <c r="H4245" s="568"/>
      <c r="I4245" s="2118"/>
      <c r="J4245" s="2123"/>
      <c r="K4245" s="2123">
        <f>K4240</f>
        <v>333.05</v>
      </c>
      <c r="L4245" s="568" t="s">
        <v>730</v>
      </c>
      <c r="M4245" s="568"/>
    </row>
    <row r="4246" spans="1:20" ht="12.75" hidden="1">
      <c r="A4246" s="2114"/>
      <c r="B4246" s="568" t="s">
        <v>979</v>
      </c>
      <c r="C4246" s="568"/>
      <c r="D4246" s="568"/>
      <c r="E4246" s="188"/>
      <c r="F4246" s="188"/>
      <c r="G4246" s="2122">
        <v>1</v>
      </c>
      <c r="H4246" s="568" t="s">
        <v>92</v>
      </c>
      <c r="I4246" s="2118" t="s">
        <v>92</v>
      </c>
      <c r="J4246" s="2123">
        <f>G52</f>
        <v>695.76</v>
      </c>
      <c r="K4246" s="2123">
        <f>ROUND(G4246*J4246,2)</f>
        <v>695.76</v>
      </c>
      <c r="L4246" s="192"/>
      <c r="M4246" s="568"/>
    </row>
    <row r="4247" spans="1:20" ht="12.75" hidden="1">
      <c r="A4247" s="2114"/>
      <c r="B4247" s="192" t="s">
        <v>3662</v>
      </c>
      <c r="C4247" s="568"/>
      <c r="D4247" s="568"/>
      <c r="E4247" s="188"/>
      <c r="F4247" s="188"/>
      <c r="G4247" s="2122"/>
      <c r="H4247" s="2135">
        <f>H4231</f>
        <v>7.4999999999999997E-2</v>
      </c>
      <c r="I4247" s="2134">
        <f>K4246</f>
        <v>695.76</v>
      </c>
      <c r="J4247" s="2134"/>
      <c r="K4247" s="2123">
        <f>ROUND(I4247*H4247,2)</f>
        <v>52.18</v>
      </c>
      <c r="L4247" s="192"/>
      <c r="M4247" s="568"/>
    </row>
    <row r="4248" spans="1:20" ht="12.75" hidden="1">
      <c r="A4248" s="2114"/>
      <c r="B4248" s="192" t="s">
        <v>3661</v>
      </c>
      <c r="C4248" s="568"/>
      <c r="D4248" s="568"/>
      <c r="E4248" s="188"/>
      <c r="F4248" s="188"/>
      <c r="G4248" s="2122"/>
      <c r="H4248" s="2135">
        <f>H4247</f>
        <v>7.4999999999999997E-2</v>
      </c>
      <c r="I4248" s="2134">
        <f>I4247</f>
        <v>695.76</v>
      </c>
      <c r="J4248" s="2134"/>
      <c r="K4248" s="2140">
        <f>ROUND(I4248*H4248,2)</f>
        <v>52.18</v>
      </c>
      <c r="L4248" s="192"/>
      <c r="M4248" s="568"/>
    </row>
    <row r="4249" spans="1:20" ht="12.75" hidden="1">
      <c r="A4249" s="2114"/>
      <c r="B4249" s="568"/>
      <c r="C4249" s="568"/>
      <c r="D4249" s="568"/>
      <c r="E4249" s="188"/>
      <c r="F4249" s="188"/>
      <c r="G4249" s="2122"/>
      <c r="H4249" s="568"/>
      <c r="I4249" s="2118"/>
      <c r="J4249" s="2123"/>
      <c r="K4249" s="2123">
        <f>SUM(K4245:K4248)</f>
        <v>1133.17</v>
      </c>
      <c r="L4249" s="192"/>
      <c r="M4249" s="568"/>
    </row>
    <row r="4250" spans="1:20" ht="12.75" hidden="1">
      <c r="A4250" s="2114"/>
      <c r="B4250" s="192" t="s">
        <v>3738</v>
      </c>
      <c r="C4250" s="2142">
        <v>0.01</v>
      </c>
      <c r="D4250" s="568"/>
      <c r="E4250" s="188"/>
      <c r="F4250" s="188"/>
      <c r="G4250" s="2122"/>
      <c r="H4250" s="568"/>
      <c r="I4250" s="2118"/>
      <c r="J4250" s="2123"/>
      <c r="K4250" s="2140">
        <f>ROUND(K4249*C4250,2)</f>
        <v>11.33</v>
      </c>
      <c r="L4250" s="192"/>
      <c r="M4250" s="568"/>
    </row>
    <row r="4251" spans="1:20" ht="12.75" hidden="1">
      <c r="A4251" s="2114"/>
      <c r="B4251" s="568"/>
      <c r="C4251" s="568"/>
      <c r="D4251" s="568"/>
      <c r="E4251" s="188"/>
      <c r="F4251" s="188"/>
      <c r="G4251" s="2122"/>
      <c r="H4251" s="568"/>
      <c r="I4251" s="2118"/>
      <c r="J4251" s="2126" t="s">
        <v>718</v>
      </c>
      <c r="K4251" s="2124">
        <f>SUM(K4249:K4250)</f>
        <v>1144.5</v>
      </c>
      <c r="L4251" s="192" t="s">
        <v>730</v>
      </c>
      <c r="M4251" s="568"/>
    </row>
    <row r="4252" spans="1:20" ht="12.75" hidden="1">
      <c r="A4252" s="2114" t="str">
        <f>A754</f>
        <v>(ii)</v>
      </c>
      <c r="B4252" s="192" t="str">
        <f>B754</f>
        <v>First Floor</v>
      </c>
      <c r="C4252" s="568"/>
      <c r="D4252" s="568"/>
      <c r="E4252" s="2120" t="str">
        <f>G896</f>
        <v>Each Sqm</v>
      </c>
      <c r="F4252" s="2120"/>
      <c r="G4252" s="2122"/>
      <c r="H4252" s="568"/>
      <c r="I4252" s="2118"/>
      <c r="J4252" s="2123"/>
      <c r="K4252" s="2123"/>
      <c r="L4252" s="192"/>
      <c r="M4252" s="568"/>
    </row>
    <row r="4253" spans="1:20" ht="12.75" hidden="1">
      <c r="A4253" s="2114"/>
      <c r="B4253" s="568" t="s">
        <v>722</v>
      </c>
      <c r="C4253" s="568"/>
      <c r="D4253" s="568"/>
      <c r="E4253" s="188"/>
      <c r="F4253" s="188"/>
      <c r="G4253" s="2122"/>
      <c r="H4253" s="568"/>
      <c r="I4253" s="2118"/>
      <c r="J4253" s="2123"/>
      <c r="K4253" s="2123">
        <f>K4249</f>
        <v>1133.17</v>
      </c>
      <c r="L4253" s="192"/>
      <c r="M4253" s="568"/>
    </row>
    <row r="4254" spans="1:20" ht="12.75" hidden="1">
      <c r="A4254" s="2114"/>
      <c r="B4254" s="568" t="s">
        <v>723</v>
      </c>
      <c r="C4254" s="568"/>
      <c r="D4254" s="568"/>
      <c r="E4254" s="188"/>
      <c r="F4254" s="188"/>
      <c r="G4254" s="2122"/>
      <c r="H4254" s="2125">
        <v>0.05</v>
      </c>
      <c r="I4254" s="2134">
        <f>K4228/10</f>
        <v>181.44</v>
      </c>
      <c r="J4254" s="2124"/>
      <c r="K4254" s="2123">
        <f>ROUND(I4254*H4254,2)</f>
        <v>9.07</v>
      </c>
      <c r="L4254" s="192"/>
      <c r="M4254" s="568"/>
    </row>
    <row r="4255" spans="1:20" ht="12.75" hidden="1">
      <c r="A4255" s="2114"/>
      <c r="B4255" s="192" t="s">
        <v>3662</v>
      </c>
      <c r="C4255" s="568"/>
      <c r="D4255" s="568"/>
      <c r="E4255" s="188"/>
      <c r="F4255" s="188"/>
      <c r="G4255" s="2122"/>
      <c r="H4255" s="2135">
        <f>H4231</f>
        <v>7.4999999999999997E-2</v>
      </c>
      <c r="I4255" s="2134">
        <f>K4254</f>
        <v>9.07</v>
      </c>
      <c r="J4255" s="2134"/>
      <c r="K4255" s="2123">
        <f>ROUND(I4255*H4255,2)</f>
        <v>0.68</v>
      </c>
      <c r="L4255" s="192"/>
      <c r="M4255" s="568"/>
    </row>
    <row r="4256" spans="1:20" ht="12.75" hidden="1">
      <c r="A4256" s="2114"/>
      <c r="B4256" s="192" t="s">
        <v>3661</v>
      </c>
      <c r="C4256" s="568"/>
      <c r="D4256" s="568"/>
      <c r="E4256" s="188"/>
      <c r="F4256" s="188"/>
      <c r="G4256" s="2122"/>
      <c r="H4256" s="2135">
        <f>H4255</f>
        <v>7.4999999999999997E-2</v>
      </c>
      <c r="I4256" s="2134">
        <f>I4255</f>
        <v>9.07</v>
      </c>
      <c r="J4256" s="2134"/>
      <c r="K4256" s="2140">
        <f>ROUND(I4256*H4256,2)</f>
        <v>0.68</v>
      </c>
      <c r="L4256" s="192"/>
      <c r="M4256" s="568"/>
    </row>
    <row r="4257" spans="1:13" ht="12.75" hidden="1">
      <c r="A4257" s="2114"/>
      <c r="B4257" s="568"/>
      <c r="C4257" s="568"/>
      <c r="D4257" s="568"/>
      <c r="E4257" s="188"/>
      <c r="F4257" s="188"/>
      <c r="G4257" s="2122"/>
      <c r="H4257" s="568"/>
      <c r="I4257" s="2118"/>
      <c r="J4257" s="2123"/>
      <c r="K4257" s="2123">
        <f>SUM(K4253:K4256)</f>
        <v>1143.6000000000001</v>
      </c>
      <c r="L4257" s="192"/>
      <c r="M4257" s="568"/>
    </row>
    <row r="4258" spans="1:13" ht="12.75" hidden="1">
      <c r="A4258" s="2114"/>
      <c r="B4258" s="192" t="s">
        <v>3738</v>
      </c>
      <c r="C4258" s="2142">
        <v>0.01</v>
      </c>
      <c r="D4258" s="568"/>
      <c r="E4258" s="188"/>
      <c r="F4258" s="188"/>
      <c r="G4258" s="2122"/>
      <c r="H4258" s="568"/>
      <c r="I4258" s="2118"/>
      <c r="J4258" s="2123"/>
      <c r="K4258" s="2140">
        <f>ROUND(K4257*C4258,2)</f>
        <v>11.44</v>
      </c>
      <c r="L4258" s="192"/>
      <c r="M4258" s="568"/>
    </row>
    <row r="4259" spans="1:13" ht="12.75" hidden="1">
      <c r="A4259" s="2114"/>
      <c r="B4259" s="568"/>
      <c r="C4259" s="568"/>
      <c r="D4259" s="568"/>
      <c r="E4259" s="188"/>
      <c r="F4259" s="188"/>
      <c r="G4259" s="2122"/>
      <c r="H4259" s="568"/>
      <c r="I4259" s="2118"/>
      <c r="J4259" s="2126" t="s">
        <v>718</v>
      </c>
      <c r="K4259" s="2124">
        <f>SUM(K4257:K4258)</f>
        <v>1155.0400000000002</v>
      </c>
      <c r="L4259" s="192" t="s">
        <v>730</v>
      </c>
      <c r="M4259" s="568"/>
    </row>
    <row r="4260" spans="1:13" ht="12.75" hidden="1">
      <c r="A4260" s="2114" t="str">
        <f>A755</f>
        <v>(iii)</v>
      </c>
      <c r="B4260" s="192" t="str">
        <f>B755</f>
        <v>2nd Floor</v>
      </c>
      <c r="C4260" s="568"/>
      <c r="D4260" s="568"/>
      <c r="E4260" s="2120" t="str">
        <f>G901</f>
        <v>Each Sqm</v>
      </c>
      <c r="F4260" s="2120"/>
      <c r="G4260" s="2122"/>
      <c r="H4260" s="568"/>
      <c r="I4260" s="2118"/>
      <c r="J4260" s="2123"/>
      <c r="K4260" s="2123"/>
      <c r="L4260" s="192"/>
      <c r="M4260" s="568"/>
    </row>
    <row r="4261" spans="1:13" ht="12.75" hidden="1">
      <c r="A4261" s="2114"/>
      <c r="B4261" s="568" t="s">
        <v>722</v>
      </c>
      <c r="C4261" s="568"/>
      <c r="D4261" s="568"/>
      <c r="E4261" s="188"/>
      <c r="F4261" s="188"/>
      <c r="G4261" s="2122"/>
      <c r="H4261" s="568"/>
      <c r="I4261" s="2118"/>
      <c r="J4261" s="2123"/>
      <c r="K4261" s="2123">
        <f>K4257</f>
        <v>1143.6000000000001</v>
      </c>
      <c r="L4261" s="192"/>
      <c r="M4261" s="568"/>
    </row>
    <row r="4262" spans="1:13" ht="12.75" hidden="1">
      <c r="A4262" s="2114"/>
      <c r="B4262" s="568" t="s">
        <v>723</v>
      </c>
      <c r="C4262" s="568"/>
      <c r="D4262" s="568"/>
      <c r="E4262" s="188"/>
      <c r="F4262" s="188"/>
      <c r="G4262" s="2122"/>
      <c r="H4262" s="2125">
        <v>0.05</v>
      </c>
      <c r="I4262" s="2134">
        <f>I4254+K4254</f>
        <v>190.51</v>
      </c>
      <c r="J4262" s="2124"/>
      <c r="K4262" s="2123">
        <f>ROUND(I4262*H4262,2)</f>
        <v>9.5299999999999994</v>
      </c>
      <c r="L4262" s="192"/>
      <c r="M4262" s="568"/>
    </row>
    <row r="4263" spans="1:13" ht="12.75" hidden="1">
      <c r="A4263" s="2114"/>
      <c r="B4263" s="192" t="s">
        <v>3662</v>
      </c>
      <c r="C4263" s="568"/>
      <c r="D4263" s="568"/>
      <c r="E4263" s="188"/>
      <c r="F4263" s="188"/>
      <c r="G4263" s="2122"/>
      <c r="H4263" s="2135">
        <f>H4256</f>
        <v>7.4999999999999997E-2</v>
      </c>
      <c r="I4263" s="2134">
        <f>K4262</f>
        <v>9.5299999999999994</v>
      </c>
      <c r="J4263" s="2134"/>
      <c r="K4263" s="2123">
        <f>ROUND(I4263*H4263,2)</f>
        <v>0.71</v>
      </c>
      <c r="L4263" s="192"/>
      <c r="M4263" s="568"/>
    </row>
    <row r="4264" spans="1:13" ht="12.75" hidden="1">
      <c r="A4264" s="2114"/>
      <c r="B4264" s="192" t="s">
        <v>3661</v>
      </c>
      <c r="C4264" s="568"/>
      <c r="D4264" s="568"/>
      <c r="E4264" s="188"/>
      <c r="F4264" s="188"/>
      <c r="G4264" s="2122"/>
      <c r="H4264" s="2135">
        <f>H4263</f>
        <v>7.4999999999999997E-2</v>
      </c>
      <c r="I4264" s="2134">
        <f>I4263</f>
        <v>9.5299999999999994</v>
      </c>
      <c r="J4264" s="2134"/>
      <c r="K4264" s="2140">
        <f>ROUND(I4264*H4264,2)</f>
        <v>0.71</v>
      </c>
      <c r="L4264" s="192"/>
      <c r="M4264" s="568"/>
    </row>
    <row r="4265" spans="1:13" ht="12.75" hidden="1">
      <c r="A4265" s="2114"/>
      <c r="B4265" s="568"/>
      <c r="C4265" s="568"/>
      <c r="D4265" s="568"/>
      <c r="E4265" s="188"/>
      <c r="F4265" s="188"/>
      <c r="G4265" s="2122"/>
      <c r="H4265" s="568"/>
      <c r="I4265" s="2118"/>
      <c r="J4265" s="2123"/>
      <c r="K4265" s="2123">
        <f>SUM(K4261:K4264)</f>
        <v>1154.5500000000002</v>
      </c>
      <c r="L4265" s="192"/>
      <c r="M4265" s="568"/>
    </row>
    <row r="4266" spans="1:13" ht="12.75" hidden="1">
      <c r="A4266" s="2114"/>
      <c r="B4266" s="192" t="s">
        <v>3738</v>
      </c>
      <c r="C4266" s="2142">
        <v>0.01</v>
      </c>
      <c r="D4266" s="568"/>
      <c r="E4266" s="188"/>
      <c r="F4266" s="188"/>
      <c r="G4266" s="2122"/>
      <c r="H4266" s="568"/>
      <c r="I4266" s="2118"/>
      <c r="J4266" s="2123"/>
      <c r="K4266" s="2140">
        <f>ROUND(K4265*C4266,2)</f>
        <v>11.55</v>
      </c>
      <c r="L4266" s="192"/>
      <c r="M4266" s="568"/>
    </row>
    <row r="4267" spans="1:13" ht="12.75" hidden="1">
      <c r="A4267" s="2114"/>
      <c r="B4267" s="568"/>
      <c r="C4267" s="568"/>
      <c r="D4267" s="568"/>
      <c r="E4267" s="188"/>
      <c r="F4267" s="188"/>
      <c r="G4267" s="2122"/>
      <c r="H4267" s="568"/>
      <c r="I4267" s="2118"/>
      <c r="J4267" s="2126" t="s">
        <v>718</v>
      </c>
      <c r="K4267" s="2124">
        <f>SUM(K4265:K4266)</f>
        <v>1166.1000000000001</v>
      </c>
      <c r="L4267" s="192" t="s">
        <v>730</v>
      </c>
      <c r="M4267" s="568"/>
    </row>
    <row r="4268" spans="1:13" ht="12.75" hidden="1">
      <c r="A4268" s="2114" t="str">
        <f>A756</f>
        <v>(iv)</v>
      </c>
      <c r="B4268" s="192" t="str">
        <f>B756</f>
        <v>3rd Floor</v>
      </c>
      <c r="C4268" s="568"/>
      <c r="D4268" s="568"/>
      <c r="E4268" s="2120" t="str">
        <f>G905</f>
        <v>Each Sqm</v>
      </c>
      <c r="F4268" s="2120"/>
      <c r="G4268" s="2122"/>
      <c r="H4268" s="568"/>
      <c r="I4268" s="2118"/>
      <c r="J4268" s="2123"/>
      <c r="K4268" s="2123"/>
      <c r="L4268" s="192"/>
      <c r="M4268" s="568"/>
    </row>
    <row r="4269" spans="1:13" ht="12.75" hidden="1">
      <c r="A4269" s="2114"/>
      <c r="B4269" s="568" t="s">
        <v>722</v>
      </c>
      <c r="C4269" s="568"/>
      <c r="D4269" s="568"/>
      <c r="E4269" s="188"/>
      <c r="F4269" s="188"/>
      <c r="G4269" s="2122"/>
      <c r="H4269" s="568"/>
      <c r="I4269" s="2118"/>
      <c r="J4269" s="2123"/>
      <c r="K4269" s="2123">
        <f>K4265</f>
        <v>1154.5500000000002</v>
      </c>
      <c r="L4269" s="192"/>
      <c r="M4269" s="568"/>
    </row>
    <row r="4270" spans="1:13" ht="12.75" hidden="1">
      <c r="A4270" s="2114"/>
      <c r="B4270" s="568" t="s">
        <v>723</v>
      </c>
      <c r="C4270" s="568"/>
      <c r="D4270" s="568"/>
      <c r="E4270" s="188"/>
      <c r="F4270" s="188"/>
      <c r="G4270" s="2122"/>
      <c r="H4270" s="2125">
        <v>0.05</v>
      </c>
      <c r="I4270" s="2134">
        <f>I4262+K4262</f>
        <v>200.04</v>
      </c>
      <c r="J4270" s="2124"/>
      <c r="K4270" s="2123">
        <f>ROUND(I4270*H4270,2)</f>
        <v>10</v>
      </c>
      <c r="L4270" s="192"/>
      <c r="M4270" s="568"/>
    </row>
    <row r="4271" spans="1:13" ht="12.75" hidden="1">
      <c r="A4271" s="2114"/>
      <c r="B4271" s="192" t="s">
        <v>3662</v>
      </c>
      <c r="C4271" s="568"/>
      <c r="D4271" s="568"/>
      <c r="E4271" s="188"/>
      <c r="F4271" s="188"/>
      <c r="G4271" s="2122"/>
      <c r="H4271" s="2135">
        <f>H4264</f>
        <v>7.4999999999999997E-2</v>
      </c>
      <c r="I4271" s="2134">
        <f>K4270</f>
        <v>10</v>
      </c>
      <c r="J4271" s="2134"/>
      <c r="K4271" s="2123">
        <f>ROUND(I4271*H4271,2)</f>
        <v>0.75</v>
      </c>
      <c r="L4271" s="192"/>
      <c r="M4271" s="568"/>
    </row>
    <row r="4272" spans="1:13" ht="12.75" hidden="1">
      <c r="A4272" s="2114"/>
      <c r="B4272" s="192" t="s">
        <v>3661</v>
      </c>
      <c r="C4272" s="568"/>
      <c r="D4272" s="568"/>
      <c r="E4272" s="188"/>
      <c r="F4272" s="188"/>
      <c r="G4272" s="2122"/>
      <c r="H4272" s="2135">
        <f>H4271</f>
        <v>7.4999999999999997E-2</v>
      </c>
      <c r="I4272" s="2134">
        <f>I4271</f>
        <v>10</v>
      </c>
      <c r="J4272" s="2134"/>
      <c r="K4272" s="2140">
        <f>ROUND(I4272*H4272,2)</f>
        <v>0.75</v>
      </c>
      <c r="L4272" s="192"/>
      <c r="M4272" s="568"/>
    </row>
    <row r="4273" spans="1:20" ht="12.75" hidden="1">
      <c r="A4273" s="2114"/>
      <c r="B4273" s="568"/>
      <c r="C4273" s="568"/>
      <c r="D4273" s="568"/>
      <c r="E4273" s="188"/>
      <c r="F4273" s="188"/>
      <c r="G4273" s="2122"/>
      <c r="H4273" s="568"/>
      <c r="I4273" s="2118"/>
      <c r="J4273" s="2123"/>
      <c r="K4273" s="2123">
        <f>SUM(K4269:K4272)</f>
        <v>1166.0500000000002</v>
      </c>
      <c r="L4273" s="192"/>
      <c r="M4273" s="568"/>
    </row>
    <row r="4274" spans="1:20" ht="12.75" hidden="1">
      <c r="A4274" s="2114"/>
      <c r="B4274" s="192" t="s">
        <v>3738</v>
      </c>
      <c r="C4274" s="2142">
        <v>0.01</v>
      </c>
      <c r="D4274" s="568"/>
      <c r="E4274" s="188"/>
      <c r="F4274" s="188"/>
      <c r="G4274" s="2122"/>
      <c r="H4274" s="568"/>
      <c r="I4274" s="2118"/>
      <c r="J4274" s="2123"/>
      <c r="K4274" s="2140">
        <f>ROUND(K4273*C4274,2)</f>
        <v>11.66</v>
      </c>
      <c r="L4274" s="192"/>
      <c r="M4274" s="568"/>
    </row>
    <row r="4275" spans="1:20" ht="12.75" hidden="1">
      <c r="A4275" s="2114"/>
      <c r="B4275" s="568"/>
      <c r="C4275" s="568"/>
      <c r="D4275" s="568"/>
      <c r="E4275" s="188"/>
      <c r="F4275" s="188"/>
      <c r="G4275" s="2122"/>
      <c r="H4275" s="568"/>
      <c r="I4275" s="2118"/>
      <c r="J4275" s="2126" t="s">
        <v>718</v>
      </c>
      <c r="K4275" s="2124">
        <f>SUM(K4273:K4274)</f>
        <v>1177.7100000000003</v>
      </c>
      <c r="L4275" s="192" t="s">
        <v>730</v>
      </c>
      <c r="M4275" s="568"/>
    </row>
    <row r="4276" spans="1:20" s="175" customFormat="1" ht="12.75">
      <c r="A4276" s="1702" t="str">
        <f>A757</f>
        <v>B)</v>
      </c>
      <c r="B4276" s="2182" t="str">
        <f>B4102</f>
        <v>Vertified tile ( 600x 600)Plain</v>
      </c>
      <c r="C4276" s="2146"/>
      <c r="D4276" s="2146"/>
      <c r="E4276" s="1702"/>
      <c r="F4276" s="1702"/>
      <c r="G4276" s="2149"/>
      <c r="H4276" s="2146"/>
      <c r="I4276" s="1703"/>
      <c r="J4276" s="2150"/>
      <c r="K4276" s="2150"/>
      <c r="L4276" s="2145"/>
      <c r="M4276" s="2146"/>
      <c r="T4276" s="1759"/>
    </row>
    <row r="4277" spans="1:20" ht="12.75">
      <c r="A4277" s="2114" t="str">
        <f>A758</f>
        <v>(i)</v>
      </c>
      <c r="B4277" s="192" t="str">
        <f>B758</f>
        <v>Ground Floor</v>
      </c>
      <c r="C4277" s="568"/>
      <c r="D4277" s="568"/>
      <c r="E4277" s="2120" t="str">
        <f>G864</f>
        <v>Each Mtr</v>
      </c>
      <c r="F4277" s="2120"/>
      <c r="G4277" s="2122"/>
      <c r="H4277" s="568"/>
      <c r="I4277" s="2118"/>
      <c r="J4277" s="2123"/>
      <c r="K4277" s="2123"/>
      <c r="L4277" s="192"/>
      <c r="M4277" s="568"/>
    </row>
    <row r="4278" spans="1:20" ht="12.75">
      <c r="A4278" s="2114"/>
      <c r="B4278" s="568" t="s">
        <v>980</v>
      </c>
      <c r="C4278" s="568"/>
      <c r="D4278" s="568"/>
      <c r="E4278" s="188"/>
      <c r="F4278" s="188"/>
      <c r="G4278" s="2122"/>
      <c r="H4278" s="568"/>
      <c r="I4278" s="2118"/>
      <c r="J4278" s="2123"/>
      <c r="K4278" s="2123">
        <f>K4240</f>
        <v>333.05</v>
      </c>
      <c r="L4278" s="568" t="s">
        <v>730</v>
      </c>
      <c r="M4278" s="568"/>
    </row>
    <row r="4279" spans="1:20" ht="12.75">
      <c r="A4279" s="2114"/>
      <c r="B4279" s="568" t="s">
        <v>979</v>
      </c>
      <c r="C4279" s="568"/>
      <c r="D4279" s="568"/>
      <c r="E4279" s="188"/>
      <c r="F4279" s="188"/>
      <c r="G4279" s="2122">
        <v>1</v>
      </c>
      <c r="H4279" s="568" t="s">
        <v>92</v>
      </c>
      <c r="I4279" s="2118" t="s">
        <v>92</v>
      </c>
      <c r="J4279" s="2123">
        <f>G53</f>
        <v>651.08000000000004</v>
      </c>
      <c r="K4279" s="2123">
        <f>ROUND(G4279*J4279,2)</f>
        <v>651.08000000000004</v>
      </c>
      <c r="L4279" s="192"/>
      <c r="M4279" s="568"/>
    </row>
    <row r="4280" spans="1:20" ht="12.75">
      <c r="A4280" s="2114"/>
      <c r="B4280" s="192" t="s">
        <v>3662</v>
      </c>
      <c r="C4280" s="568"/>
      <c r="D4280" s="568"/>
      <c r="E4280" s="188"/>
      <c r="F4280" s="188"/>
      <c r="G4280" s="2122"/>
      <c r="H4280" s="2135">
        <f>H4264</f>
        <v>7.4999999999999997E-2</v>
      </c>
      <c r="I4280" s="2134">
        <f>K4279</f>
        <v>651.08000000000004</v>
      </c>
      <c r="J4280" s="2134"/>
      <c r="K4280" s="2123">
        <f>ROUND(I4280*H4280,2)</f>
        <v>48.83</v>
      </c>
      <c r="L4280" s="192"/>
      <c r="M4280" s="568"/>
    </row>
    <row r="4281" spans="1:20" ht="12.75">
      <c r="A4281" s="2114"/>
      <c r="B4281" s="192" t="s">
        <v>3661</v>
      </c>
      <c r="C4281" s="568"/>
      <c r="D4281" s="568"/>
      <c r="E4281" s="188"/>
      <c r="F4281" s="188"/>
      <c r="G4281" s="2122"/>
      <c r="H4281" s="2135">
        <f>H4280</f>
        <v>7.4999999999999997E-2</v>
      </c>
      <c r="I4281" s="2134">
        <f>I4280</f>
        <v>651.08000000000004</v>
      </c>
      <c r="J4281" s="2134"/>
      <c r="K4281" s="2140">
        <f>ROUND(I4281*H4281,2)</f>
        <v>48.83</v>
      </c>
      <c r="L4281" s="192"/>
      <c r="M4281" s="568"/>
    </row>
    <row r="4282" spans="1:20" ht="12.75">
      <c r="A4282" s="2114"/>
      <c r="B4282" s="568"/>
      <c r="C4282" s="568"/>
      <c r="D4282" s="568"/>
      <c r="E4282" s="188"/>
      <c r="F4282" s="188"/>
      <c r="G4282" s="2122"/>
      <c r="H4282" s="568"/>
      <c r="I4282" s="2118"/>
      <c r="J4282" s="2123"/>
      <c r="K4282" s="2123">
        <f>SUM(K4278:K4281)</f>
        <v>1081.79</v>
      </c>
      <c r="L4282" s="192"/>
      <c r="M4282" s="568"/>
    </row>
    <row r="4283" spans="1:20" ht="12.75">
      <c r="A4283" s="2114"/>
      <c r="B4283" s="192" t="s">
        <v>3738</v>
      </c>
      <c r="C4283" s="2142">
        <v>0.01</v>
      </c>
      <c r="D4283" s="568"/>
      <c r="E4283" s="188"/>
      <c r="F4283" s="188"/>
      <c r="G4283" s="2122"/>
      <c r="H4283" s="568"/>
      <c r="I4283" s="2118"/>
      <c r="J4283" s="2123"/>
      <c r="K4283" s="2140">
        <f>ROUND(K4282*C4283,2)</f>
        <v>10.82</v>
      </c>
      <c r="L4283" s="192"/>
      <c r="M4283" s="568"/>
    </row>
    <row r="4284" spans="1:20" ht="12.75">
      <c r="A4284" s="2114"/>
      <c r="B4284" s="568"/>
      <c r="C4284" s="568"/>
      <c r="D4284" s="568"/>
      <c r="E4284" s="188"/>
      <c r="F4284" s="188"/>
      <c r="G4284" s="2122"/>
      <c r="H4284" s="568"/>
      <c r="I4284" s="2118"/>
      <c r="J4284" s="2126" t="s">
        <v>718</v>
      </c>
      <c r="K4284" s="2124">
        <f>SUM(K4282:K4283)</f>
        <v>1092.6099999999999</v>
      </c>
      <c r="L4284" s="192" t="s">
        <v>730</v>
      </c>
      <c r="M4284" s="568"/>
    </row>
    <row r="4285" spans="1:20" ht="12.75" hidden="1">
      <c r="A4285" s="2114" t="str">
        <f>A759</f>
        <v>(ii)</v>
      </c>
      <c r="B4285" s="192" t="str">
        <f>B759</f>
        <v>First Floor</v>
      </c>
      <c r="C4285" s="568"/>
      <c r="D4285" s="568"/>
      <c r="E4285" s="2120" t="str">
        <f>E4277</f>
        <v>Each Mtr</v>
      </c>
      <c r="F4285" s="2120"/>
      <c r="G4285" s="2122"/>
      <c r="H4285" s="568"/>
      <c r="I4285" s="2118"/>
      <c r="J4285" s="2123"/>
      <c r="K4285" s="2123"/>
      <c r="L4285" s="192"/>
      <c r="M4285" s="568"/>
    </row>
    <row r="4286" spans="1:20" ht="12.75" hidden="1">
      <c r="A4286" s="2114"/>
      <c r="B4286" s="568" t="s">
        <v>722</v>
      </c>
      <c r="C4286" s="568"/>
      <c r="D4286" s="568"/>
      <c r="E4286" s="188"/>
      <c r="F4286" s="188"/>
      <c r="G4286" s="2122"/>
      <c r="H4286" s="568"/>
      <c r="I4286" s="2118"/>
      <c r="J4286" s="2123"/>
      <c r="K4286" s="2123">
        <f>K4282</f>
        <v>1081.79</v>
      </c>
      <c r="L4286" s="192"/>
      <c r="M4286" s="568"/>
    </row>
    <row r="4287" spans="1:20" ht="12.75" hidden="1">
      <c r="A4287" s="2114"/>
      <c r="B4287" s="568" t="s">
        <v>723</v>
      </c>
      <c r="C4287" s="568"/>
      <c r="D4287" s="568"/>
      <c r="E4287" s="188"/>
      <c r="F4287" s="188"/>
      <c r="G4287" s="2122"/>
      <c r="H4287" s="2125">
        <v>0.05</v>
      </c>
      <c r="I4287" s="2134">
        <f>I4254</f>
        <v>181.44</v>
      </c>
      <c r="J4287" s="2124"/>
      <c r="K4287" s="2123">
        <f>ROUND(I4287*H4287,2)</f>
        <v>9.07</v>
      </c>
      <c r="L4287" s="192"/>
      <c r="M4287" s="568"/>
    </row>
    <row r="4288" spans="1:20" ht="12.75" hidden="1">
      <c r="A4288" s="2114"/>
      <c r="B4288" s="192" t="s">
        <v>3662</v>
      </c>
      <c r="C4288" s="568"/>
      <c r="D4288" s="568"/>
      <c r="E4288" s="188"/>
      <c r="F4288" s="188"/>
      <c r="G4288" s="2122"/>
      <c r="H4288" s="2135">
        <f>H4281</f>
        <v>7.4999999999999997E-2</v>
      </c>
      <c r="I4288" s="2134">
        <f>K4287</f>
        <v>9.07</v>
      </c>
      <c r="J4288" s="2134"/>
      <c r="K4288" s="2123">
        <f>ROUND(I4288*H4288,2)</f>
        <v>0.68</v>
      </c>
      <c r="L4288" s="192"/>
      <c r="M4288" s="568"/>
    </row>
    <row r="4289" spans="1:13" ht="12.75" hidden="1">
      <c r="A4289" s="2114"/>
      <c r="B4289" s="192" t="s">
        <v>3661</v>
      </c>
      <c r="C4289" s="568"/>
      <c r="D4289" s="568"/>
      <c r="E4289" s="188"/>
      <c r="F4289" s="188"/>
      <c r="G4289" s="2122"/>
      <c r="H4289" s="2135">
        <f>H4288</f>
        <v>7.4999999999999997E-2</v>
      </c>
      <c r="I4289" s="2134">
        <f>I4288</f>
        <v>9.07</v>
      </c>
      <c r="J4289" s="2134"/>
      <c r="K4289" s="2140">
        <f>ROUND(I4289*H4289,2)</f>
        <v>0.68</v>
      </c>
      <c r="L4289" s="192"/>
      <c r="M4289" s="568"/>
    </row>
    <row r="4290" spans="1:13" ht="12.75" hidden="1">
      <c r="A4290" s="2114"/>
      <c r="B4290" s="568"/>
      <c r="C4290" s="568"/>
      <c r="D4290" s="568"/>
      <c r="E4290" s="188"/>
      <c r="F4290" s="188"/>
      <c r="G4290" s="2122"/>
      <c r="H4290" s="568"/>
      <c r="I4290" s="2118"/>
      <c r="J4290" s="2123"/>
      <c r="K4290" s="2123">
        <f>SUM(K4286:K4289)</f>
        <v>1092.22</v>
      </c>
      <c r="L4290" s="192"/>
      <c r="M4290" s="568"/>
    </row>
    <row r="4291" spans="1:13" ht="12.75" hidden="1">
      <c r="A4291" s="2114"/>
      <c r="B4291" s="192" t="s">
        <v>3738</v>
      </c>
      <c r="C4291" s="2142">
        <v>0.01</v>
      </c>
      <c r="D4291" s="568"/>
      <c r="E4291" s="188"/>
      <c r="F4291" s="188"/>
      <c r="G4291" s="2122"/>
      <c r="H4291" s="568"/>
      <c r="I4291" s="2118"/>
      <c r="J4291" s="2123"/>
      <c r="K4291" s="2140">
        <f>ROUND(K4290*C4291,2)</f>
        <v>10.92</v>
      </c>
      <c r="L4291" s="192"/>
      <c r="M4291" s="568"/>
    </row>
    <row r="4292" spans="1:13" ht="12.75" hidden="1">
      <c r="A4292" s="2114"/>
      <c r="B4292" s="568"/>
      <c r="C4292" s="568"/>
      <c r="D4292" s="568"/>
      <c r="E4292" s="188"/>
      <c r="F4292" s="188"/>
      <c r="G4292" s="2122"/>
      <c r="H4292" s="568"/>
      <c r="I4292" s="2118"/>
      <c r="J4292" s="2126" t="s">
        <v>718</v>
      </c>
      <c r="K4292" s="2124">
        <f>SUM(K4290:K4291)</f>
        <v>1103.1400000000001</v>
      </c>
      <c r="L4292" s="192" t="s">
        <v>730</v>
      </c>
      <c r="M4292" s="568"/>
    </row>
    <row r="4293" spans="1:13" ht="12.75" hidden="1">
      <c r="A4293" s="2114" t="str">
        <f>A760</f>
        <v>(iii)</v>
      </c>
      <c r="B4293" s="192" t="str">
        <f>B760</f>
        <v>2nd Floor</v>
      </c>
      <c r="C4293" s="568"/>
      <c r="D4293" s="568"/>
      <c r="E4293" s="2120" t="str">
        <f>E4285</f>
        <v>Each Mtr</v>
      </c>
      <c r="F4293" s="2120"/>
      <c r="G4293" s="2122"/>
      <c r="H4293" s="568"/>
      <c r="I4293" s="2118"/>
      <c r="J4293" s="2123"/>
      <c r="K4293" s="2123"/>
      <c r="L4293" s="192"/>
      <c r="M4293" s="568"/>
    </row>
    <row r="4294" spans="1:13" ht="12.75" hidden="1">
      <c r="A4294" s="2114"/>
      <c r="B4294" s="568" t="s">
        <v>722</v>
      </c>
      <c r="C4294" s="568"/>
      <c r="D4294" s="568"/>
      <c r="E4294" s="188"/>
      <c r="F4294" s="188"/>
      <c r="G4294" s="2122"/>
      <c r="H4294" s="568"/>
      <c r="I4294" s="2118"/>
      <c r="J4294" s="2123"/>
      <c r="K4294" s="2123">
        <f>K4290</f>
        <v>1092.22</v>
      </c>
      <c r="L4294" s="192"/>
      <c r="M4294" s="568"/>
    </row>
    <row r="4295" spans="1:13" ht="12.75" hidden="1">
      <c r="A4295" s="2114"/>
      <c r="B4295" s="568" t="s">
        <v>723</v>
      </c>
      <c r="C4295" s="568"/>
      <c r="D4295" s="568"/>
      <c r="E4295" s="188"/>
      <c r="F4295" s="188"/>
      <c r="G4295" s="2122"/>
      <c r="H4295" s="2125">
        <v>0.05</v>
      </c>
      <c r="I4295" s="2134">
        <f>I4287+K4287</f>
        <v>190.51</v>
      </c>
      <c r="J4295" s="2124"/>
      <c r="K4295" s="2123">
        <f>ROUND(I4295*H4295,2)</f>
        <v>9.5299999999999994</v>
      </c>
      <c r="L4295" s="192"/>
      <c r="M4295" s="568"/>
    </row>
    <row r="4296" spans="1:13" ht="12.75" hidden="1">
      <c r="A4296" s="2114"/>
      <c r="B4296" s="192" t="s">
        <v>3662</v>
      </c>
      <c r="C4296" s="568"/>
      <c r="D4296" s="568"/>
      <c r="E4296" s="188"/>
      <c r="F4296" s="188"/>
      <c r="G4296" s="2122"/>
      <c r="H4296" s="2135">
        <f>H4289</f>
        <v>7.4999999999999997E-2</v>
      </c>
      <c r="I4296" s="2134">
        <f>K4295</f>
        <v>9.5299999999999994</v>
      </c>
      <c r="J4296" s="2134"/>
      <c r="K4296" s="2123">
        <f>ROUND(I4296*H4296,2)</f>
        <v>0.71</v>
      </c>
      <c r="L4296" s="192"/>
      <c r="M4296" s="568"/>
    </row>
    <row r="4297" spans="1:13" ht="12.75" hidden="1">
      <c r="A4297" s="2114"/>
      <c r="B4297" s="192" t="s">
        <v>3661</v>
      </c>
      <c r="C4297" s="568"/>
      <c r="D4297" s="568"/>
      <c r="E4297" s="188"/>
      <c r="F4297" s="188"/>
      <c r="G4297" s="2122"/>
      <c r="H4297" s="2135">
        <f>H4296</f>
        <v>7.4999999999999997E-2</v>
      </c>
      <c r="I4297" s="2134">
        <f>I4296</f>
        <v>9.5299999999999994</v>
      </c>
      <c r="J4297" s="2134"/>
      <c r="K4297" s="2140">
        <f>ROUND(I4297*H4297,2)</f>
        <v>0.71</v>
      </c>
      <c r="L4297" s="192"/>
      <c r="M4297" s="568"/>
    </row>
    <row r="4298" spans="1:13" ht="12.75" hidden="1">
      <c r="A4298" s="2114"/>
      <c r="B4298" s="568"/>
      <c r="C4298" s="568"/>
      <c r="D4298" s="568"/>
      <c r="E4298" s="188"/>
      <c r="F4298" s="188"/>
      <c r="G4298" s="2122"/>
      <c r="H4298" s="568"/>
      <c r="I4298" s="2118"/>
      <c r="J4298" s="2123"/>
      <c r="K4298" s="2123">
        <f>SUM(K4294:K4297)</f>
        <v>1103.17</v>
      </c>
      <c r="L4298" s="192"/>
      <c r="M4298" s="568"/>
    </row>
    <row r="4299" spans="1:13" ht="12.75" hidden="1">
      <c r="A4299" s="2114"/>
      <c r="B4299" s="192" t="s">
        <v>3738</v>
      </c>
      <c r="C4299" s="2142">
        <v>0.01</v>
      </c>
      <c r="D4299" s="568"/>
      <c r="E4299" s="188"/>
      <c r="F4299" s="188"/>
      <c r="G4299" s="2122"/>
      <c r="H4299" s="568"/>
      <c r="I4299" s="2118"/>
      <c r="J4299" s="2123"/>
      <c r="K4299" s="2140">
        <f>ROUND(K4298*C4299,2)</f>
        <v>11.03</v>
      </c>
      <c r="L4299" s="192"/>
      <c r="M4299" s="568"/>
    </row>
    <row r="4300" spans="1:13" ht="12.75" hidden="1">
      <c r="A4300" s="2114"/>
      <c r="B4300" s="568"/>
      <c r="C4300" s="568"/>
      <c r="D4300" s="568"/>
      <c r="E4300" s="188"/>
      <c r="F4300" s="188"/>
      <c r="G4300" s="2122"/>
      <c r="H4300" s="568"/>
      <c r="I4300" s="2118"/>
      <c r="J4300" s="2126" t="s">
        <v>718</v>
      </c>
      <c r="K4300" s="2124">
        <f>SUM(K4298:K4299)</f>
        <v>1114.2</v>
      </c>
      <c r="L4300" s="192" t="s">
        <v>730</v>
      </c>
      <c r="M4300" s="568"/>
    </row>
    <row r="4301" spans="1:13" ht="12.75" hidden="1">
      <c r="A4301" s="2114" t="str">
        <f>A761</f>
        <v>(iv)</v>
      </c>
      <c r="B4301" s="192" t="str">
        <f>B761</f>
        <v>3rd Floor</v>
      </c>
      <c r="C4301" s="568"/>
      <c r="D4301" s="568"/>
      <c r="E4301" s="2120" t="str">
        <f>E4293</f>
        <v>Each Mtr</v>
      </c>
      <c r="F4301" s="2120"/>
      <c r="G4301" s="2122"/>
      <c r="H4301" s="568"/>
      <c r="I4301" s="2118"/>
      <c r="J4301" s="2123"/>
      <c r="K4301" s="2123"/>
      <c r="L4301" s="192"/>
      <c r="M4301" s="568"/>
    </row>
    <row r="4302" spans="1:13" ht="12.75" hidden="1">
      <c r="A4302" s="2114"/>
      <c r="B4302" s="568" t="s">
        <v>722</v>
      </c>
      <c r="C4302" s="568"/>
      <c r="D4302" s="568"/>
      <c r="E4302" s="188"/>
      <c r="F4302" s="188"/>
      <c r="G4302" s="2122"/>
      <c r="H4302" s="568"/>
      <c r="I4302" s="2118"/>
      <c r="J4302" s="2123"/>
      <c r="K4302" s="2123">
        <f>K4298</f>
        <v>1103.17</v>
      </c>
      <c r="L4302" s="192"/>
      <c r="M4302" s="568"/>
    </row>
    <row r="4303" spans="1:13" ht="12.75" hidden="1">
      <c r="A4303" s="2114"/>
      <c r="B4303" s="568" t="s">
        <v>723</v>
      </c>
      <c r="C4303" s="568"/>
      <c r="D4303" s="568"/>
      <c r="E4303" s="188"/>
      <c r="F4303" s="188"/>
      <c r="G4303" s="2122"/>
      <c r="H4303" s="2125">
        <v>0.05</v>
      </c>
      <c r="I4303" s="2134">
        <f>I4295+K4295</f>
        <v>200.04</v>
      </c>
      <c r="J4303" s="2124"/>
      <c r="K4303" s="2123">
        <f>ROUND(I4303*H4303,2)</f>
        <v>10</v>
      </c>
      <c r="L4303" s="192"/>
      <c r="M4303" s="568"/>
    </row>
    <row r="4304" spans="1:13" ht="12.75" hidden="1">
      <c r="A4304" s="2114"/>
      <c r="B4304" s="192" t="s">
        <v>3662</v>
      </c>
      <c r="C4304" s="568"/>
      <c r="D4304" s="568"/>
      <c r="E4304" s="188"/>
      <c r="F4304" s="188"/>
      <c r="G4304" s="2122"/>
      <c r="H4304" s="2135">
        <f>H4297</f>
        <v>7.4999999999999997E-2</v>
      </c>
      <c r="I4304" s="2134">
        <f>K4303</f>
        <v>10</v>
      </c>
      <c r="J4304" s="2134"/>
      <c r="K4304" s="2123">
        <f>ROUND(I4304*H4304,2)</f>
        <v>0.75</v>
      </c>
      <c r="L4304" s="192"/>
      <c r="M4304" s="568"/>
    </row>
    <row r="4305" spans="1:20" ht="12.75" hidden="1">
      <c r="A4305" s="2114"/>
      <c r="B4305" s="192" t="s">
        <v>3661</v>
      </c>
      <c r="C4305" s="568"/>
      <c r="D4305" s="568"/>
      <c r="E4305" s="188"/>
      <c r="F4305" s="188"/>
      <c r="G4305" s="2122"/>
      <c r="H4305" s="2135">
        <f>H4304</f>
        <v>7.4999999999999997E-2</v>
      </c>
      <c r="I4305" s="2134">
        <f>I4304</f>
        <v>10</v>
      </c>
      <c r="J4305" s="2134"/>
      <c r="K4305" s="2140">
        <f>ROUND(I4305*H4305,2)</f>
        <v>0.75</v>
      </c>
      <c r="L4305" s="192"/>
      <c r="M4305" s="568"/>
    </row>
    <row r="4306" spans="1:20" ht="12.75" hidden="1">
      <c r="A4306" s="2114"/>
      <c r="B4306" s="568"/>
      <c r="C4306" s="568"/>
      <c r="D4306" s="568"/>
      <c r="E4306" s="188"/>
      <c r="F4306" s="188"/>
      <c r="G4306" s="2122"/>
      <c r="H4306" s="568"/>
      <c r="I4306" s="2118"/>
      <c r="J4306" s="2123"/>
      <c r="K4306" s="2123">
        <f>SUM(K4302:K4305)</f>
        <v>1114.67</v>
      </c>
      <c r="L4306" s="192"/>
      <c r="M4306" s="568"/>
    </row>
    <row r="4307" spans="1:20" ht="12.75" hidden="1">
      <c r="A4307" s="2114"/>
      <c r="B4307" s="192" t="s">
        <v>3738</v>
      </c>
      <c r="C4307" s="2142">
        <v>0.01</v>
      </c>
      <c r="D4307" s="568"/>
      <c r="E4307" s="188"/>
      <c r="F4307" s="188"/>
      <c r="G4307" s="2122"/>
      <c r="H4307" s="568"/>
      <c r="I4307" s="2118"/>
      <c r="J4307" s="2123"/>
      <c r="K4307" s="2140">
        <f>ROUND(K4306*C4307,2)</f>
        <v>11.15</v>
      </c>
      <c r="L4307" s="192"/>
      <c r="M4307" s="568"/>
    </row>
    <row r="4308" spans="1:20" ht="12.75" hidden="1">
      <c r="A4308" s="2114"/>
      <c r="B4308" s="568"/>
      <c r="C4308" s="568"/>
      <c r="D4308" s="568"/>
      <c r="E4308" s="188"/>
      <c r="F4308" s="188"/>
      <c r="G4308" s="2122"/>
      <c r="H4308" s="568"/>
      <c r="I4308" s="2118"/>
      <c r="J4308" s="2126" t="s">
        <v>718</v>
      </c>
      <c r="K4308" s="2124">
        <f>SUM(K4306:K4307)</f>
        <v>1125.8200000000002</v>
      </c>
      <c r="L4308" s="192" t="s">
        <v>730</v>
      </c>
      <c r="M4308" s="568"/>
    </row>
    <row r="4309" spans="1:20" s="175" customFormat="1" ht="12.75" hidden="1">
      <c r="A4309" s="1702" t="str">
        <f>A762</f>
        <v>C)</v>
      </c>
      <c r="B4309" s="2183" t="str">
        <f>B762</f>
        <v>Vertified industrial tile (300 x300)</v>
      </c>
      <c r="C4309" s="2146"/>
      <c r="D4309" s="2146"/>
      <c r="E4309" s="1702"/>
      <c r="F4309" s="1702"/>
      <c r="G4309" s="2149"/>
      <c r="H4309" s="2146"/>
      <c r="I4309" s="1703"/>
      <c r="J4309" s="2150"/>
      <c r="K4309" s="2150"/>
      <c r="L4309" s="2145"/>
      <c r="M4309" s="2146"/>
      <c r="T4309" s="1759"/>
    </row>
    <row r="4310" spans="1:20" ht="12.75" hidden="1">
      <c r="A4310" s="2114" t="str">
        <f>A763</f>
        <v>(i)</v>
      </c>
      <c r="B4310" s="192" t="str">
        <f>B763</f>
        <v>Ground Floor</v>
      </c>
      <c r="C4310" s="568"/>
      <c r="D4310" s="568"/>
      <c r="E4310" s="2120" t="str">
        <f>G898</f>
        <v>Each Sqm</v>
      </c>
      <c r="F4310" s="2120"/>
      <c r="G4310" s="2122"/>
      <c r="H4310" s="568"/>
      <c r="I4310" s="2118"/>
      <c r="J4310" s="2123"/>
      <c r="K4310" s="2123"/>
      <c r="L4310" s="192"/>
      <c r="M4310" s="568"/>
    </row>
    <row r="4311" spans="1:20" ht="12.75" hidden="1">
      <c r="A4311" s="2114"/>
      <c r="B4311" s="568" t="s">
        <v>980</v>
      </c>
      <c r="C4311" s="568"/>
      <c r="D4311" s="568"/>
      <c r="E4311" s="188"/>
      <c r="F4311" s="188"/>
      <c r="G4311" s="2122"/>
      <c r="H4311" s="568"/>
      <c r="I4311" s="2118"/>
      <c r="J4311" s="2123"/>
      <c r="K4311" s="2123">
        <f>K4240</f>
        <v>333.05</v>
      </c>
      <c r="L4311" s="568" t="s">
        <v>730</v>
      </c>
      <c r="M4311" s="568"/>
    </row>
    <row r="4312" spans="1:20" ht="12.75" hidden="1">
      <c r="A4312" s="2114"/>
      <c r="B4312" s="568" t="s">
        <v>979</v>
      </c>
      <c r="C4312" s="568"/>
      <c r="D4312" s="568"/>
      <c r="E4312" s="188"/>
      <c r="F4312" s="188"/>
      <c r="G4312" s="2122">
        <f>G4279</f>
        <v>1</v>
      </c>
      <c r="H4312" s="568" t="s">
        <v>92</v>
      </c>
      <c r="I4312" s="2118" t="s">
        <v>92</v>
      </c>
      <c r="J4312" s="2123">
        <f>G54</f>
        <v>578.35</v>
      </c>
      <c r="K4312" s="2123">
        <f>ROUND(G4312*J4312,2)</f>
        <v>578.35</v>
      </c>
      <c r="L4312" s="192"/>
      <c r="M4312" s="568"/>
    </row>
    <row r="4313" spans="1:20" ht="12.75" hidden="1">
      <c r="A4313" s="2114"/>
      <c r="B4313" s="192" t="s">
        <v>3662</v>
      </c>
      <c r="C4313" s="568"/>
      <c r="D4313" s="568"/>
      <c r="E4313" s="188"/>
      <c r="F4313" s="188"/>
      <c r="G4313" s="2122"/>
      <c r="H4313" s="2135">
        <f>H4297</f>
        <v>7.4999999999999997E-2</v>
      </c>
      <c r="I4313" s="2134">
        <f>K4312</f>
        <v>578.35</v>
      </c>
      <c r="J4313" s="2134"/>
      <c r="K4313" s="2123">
        <f>ROUND(I4313*H4313,2)</f>
        <v>43.38</v>
      </c>
      <c r="L4313" s="192"/>
      <c r="M4313" s="568"/>
    </row>
    <row r="4314" spans="1:20" ht="12.75" hidden="1">
      <c r="A4314" s="2114"/>
      <c r="B4314" s="192" t="s">
        <v>3661</v>
      </c>
      <c r="C4314" s="568"/>
      <c r="D4314" s="568"/>
      <c r="E4314" s="188"/>
      <c r="F4314" s="188"/>
      <c r="G4314" s="2122"/>
      <c r="H4314" s="2135">
        <f>H4313</f>
        <v>7.4999999999999997E-2</v>
      </c>
      <c r="I4314" s="2134">
        <f>I4313</f>
        <v>578.35</v>
      </c>
      <c r="J4314" s="2134"/>
      <c r="K4314" s="2140">
        <f>ROUND(I4314*H4314,2)</f>
        <v>43.38</v>
      </c>
      <c r="L4314" s="192"/>
      <c r="M4314" s="568"/>
    </row>
    <row r="4315" spans="1:20" ht="12.75" hidden="1">
      <c r="A4315" s="2114"/>
      <c r="B4315" s="568"/>
      <c r="C4315" s="568"/>
      <c r="D4315" s="568"/>
      <c r="E4315" s="188"/>
      <c r="F4315" s="188"/>
      <c r="G4315" s="2122"/>
      <c r="H4315" s="568"/>
      <c r="I4315" s="2118"/>
      <c r="J4315" s="2123"/>
      <c r="K4315" s="2123">
        <f>SUM(K4311:K4314)</f>
        <v>998.16000000000008</v>
      </c>
      <c r="L4315" s="192"/>
      <c r="M4315" s="568"/>
    </row>
    <row r="4316" spans="1:20" ht="12.75" hidden="1">
      <c r="A4316" s="2114"/>
      <c r="B4316" s="192" t="s">
        <v>3738</v>
      </c>
      <c r="C4316" s="2142">
        <v>0.01</v>
      </c>
      <c r="D4316" s="568"/>
      <c r="E4316" s="188"/>
      <c r="F4316" s="188"/>
      <c r="G4316" s="2122"/>
      <c r="H4316" s="568"/>
      <c r="I4316" s="2118"/>
      <c r="J4316" s="2123"/>
      <c r="K4316" s="2140">
        <f>ROUND(K4315*C4316,2)</f>
        <v>9.98</v>
      </c>
      <c r="L4316" s="192"/>
      <c r="M4316" s="568"/>
    </row>
    <row r="4317" spans="1:20" ht="12.75" hidden="1">
      <c r="A4317" s="2114"/>
      <c r="B4317" s="568"/>
      <c r="C4317" s="568"/>
      <c r="D4317" s="568"/>
      <c r="E4317" s="188"/>
      <c r="F4317" s="188"/>
      <c r="G4317" s="2122"/>
      <c r="H4317" s="568"/>
      <c r="I4317" s="2118"/>
      <c r="J4317" s="2126" t="s">
        <v>718</v>
      </c>
      <c r="K4317" s="2124">
        <f>SUM(K4315:K4316)</f>
        <v>1008.1400000000001</v>
      </c>
      <c r="L4317" s="192" t="s">
        <v>730</v>
      </c>
      <c r="M4317" s="568"/>
    </row>
    <row r="4318" spans="1:20" ht="12.75" hidden="1">
      <c r="A4318" s="2114" t="str">
        <f>A764</f>
        <v>(ii)</v>
      </c>
      <c r="B4318" s="192" t="str">
        <f>B764</f>
        <v>First Floor</v>
      </c>
      <c r="C4318" s="568"/>
      <c r="D4318" s="568"/>
      <c r="E4318" s="2120" t="str">
        <f>E4310</f>
        <v>Each Sqm</v>
      </c>
      <c r="F4318" s="2120"/>
      <c r="G4318" s="2122"/>
      <c r="H4318" s="568"/>
      <c r="I4318" s="2118"/>
      <c r="J4318" s="2123"/>
      <c r="K4318" s="2123"/>
      <c r="L4318" s="192"/>
      <c r="M4318" s="568"/>
    </row>
    <row r="4319" spans="1:20" ht="12.75" hidden="1">
      <c r="A4319" s="2114"/>
      <c r="B4319" s="568" t="s">
        <v>722</v>
      </c>
      <c r="C4319" s="568"/>
      <c r="D4319" s="568"/>
      <c r="E4319" s="188"/>
      <c r="F4319" s="188"/>
      <c r="G4319" s="2122"/>
      <c r="H4319" s="568"/>
      <c r="I4319" s="2118"/>
      <c r="J4319" s="2123"/>
      <c r="K4319" s="2123">
        <f>K4315</f>
        <v>998.16000000000008</v>
      </c>
      <c r="L4319" s="192"/>
      <c r="M4319" s="568"/>
    </row>
    <row r="4320" spans="1:20" ht="12.75" hidden="1">
      <c r="A4320" s="2114"/>
      <c r="B4320" s="568" t="s">
        <v>723</v>
      </c>
      <c r="C4320" s="568"/>
      <c r="D4320" s="568"/>
      <c r="E4320" s="188"/>
      <c r="F4320" s="188"/>
      <c r="G4320" s="2122"/>
      <c r="H4320" s="2125">
        <v>0.05</v>
      </c>
      <c r="I4320" s="2134">
        <f>I4287</f>
        <v>181.44</v>
      </c>
      <c r="J4320" s="2124"/>
      <c r="K4320" s="2123">
        <f>ROUND(I4320*H4320,2)</f>
        <v>9.07</v>
      </c>
      <c r="L4320" s="192"/>
      <c r="M4320" s="568"/>
    </row>
    <row r="4321" spans="1:13" ht="12.75" hidden="1">
      <c r="A4321" s="2114"/>
      <c r="B4321" s="192" t="s">
        <v>3662</v>
      </c>
      <c r="C4321" s="568"/>
      <c r="D4321" s="568"/>
      <c r="E4321" s="188"/>
      <c r="F4321" s="188"/>
      <c r="G4321" s="2122"/>
      <c r="H4321" s="2135">
        <f>H4314</f>
        <v>7.4999999999999997E-2</v>
      </c>
      <c r="I4321" s="2134">
        <f>K4320</f>
        <v>9.07</v>
      </c>
      <c r="J4321" s="2134"/>
      <c r="K4321" s="2123">
        <f>ROUND(I4321*H4321,2)</f>
        <v>0.68</v>
      </c>
      <c r="L4321" s="192"/>
      <c r="M4321" s="568"/>
    </row>
    <row r="4322" spans="1:13" ht="12.75" hidden="1">
      <c r="A4322" s="2114"/>
      <c r="B4322" s="192" t="s">
        <v>3661</v>
      </c>
      <c r="C4322" s="568"/>
      <c r="D4322" s="568"/>
      <c r="E4322" s="188"/>
      <c r="F4322" s="188"/>
      <c r="G4322" s="2122"/>
      <c r="H4322" s="2135">
        <f>H4321</f>
        <v>7.4999999999999997E-2</v>
      </c>
      <c r="I4322" s="2134">
        <f>I4321</f>
        <v>9.07</v>
      </c>
      <c r="J4322" s="2134"/>
      <c r="K4322" s="2140">
        <f>ROUND(I4322*H4322,2)</f>
        <v>0.68</v>
      </c>
      <c r="L4322" s="192"/>
      <c r="M4322" s="568"/>
    </row>
    <row r="4323" spans="1:13" ht="12.75" hidden="1">
      <c r="A4323" s="2114"/>
      <c r="B4323" s="568"/>
      <c r="C4323" s="568"/>
      <c r="D4323" s="568"/>
      <c r="E4323" s="188"/>
      <c r="F4323" s="188"/>
      <c r="G4323" s="2122"/>
      <c r="H4323" s="568"/>
      <c r="I4323" s="2118"/>
      <c r="J4323" s="2123"/>
      <c r="K4323" s="2123">
        <f>SUM(K4319:K4322)</f>
        <v>1008.59</v>
      </c>
      <c r="L4323" s="192"/>
      <c r="M4323" s="568"/>
    </row>
    <row r="4324" spans="1:13" ht="12.75" hidden="1">
      <c r="A4324" s="2114"/>
      <c r="B4324" s="192" t="s">
        <v>3738</v>
      </c>
      <c r="C4324" s="2142">
        <v>0.01</v>
      </c>
      <c r="D4324" s="568"/>
      <c r="E4324" s="188"/>
      <c r="F4324" s="188"/>
      <c r="G4324" s="2122"/>
      <c r="H4324" s="568"/>
      <c r="I4324" s="2118"/>
      <c r="J4324" s="2123"/>
      <c r="K4324" s="2140">
        <f>ROUND(K4323*C4324,2)</f>
        <v>10.09</v>
      </c>
      <c r="L4324" s="192"/>
      <c r="M4324" s="568"/>
    </row>
    <row r="4325" spans="1:13" ht="12.75" hidden="1">
      <c r="A4325" s="2114"/>
      <c r="B4325" s="568"/>
      <c r="C4325" s="568"/>
      <c r="D4325" s="568"/>
      <c r="E4325" s="188"/>
      <c r="F4325" s="188"/>
      <c r="G4325" s="2122"/>
      <c r="H4325" s="568"/>
      <c r="I4325" s="2118"/>
      <c r="J4325" s="2126" t="s">
        <v>718</v>
      </c>
      <c r="K4325" s="2124">
        <f>SUM(K4323:K4324)</f>
        <v>1018.6800000000001</v>
      </c>
      <c r="L4325" s="192" t="s">
        <v>730</v>
      </c>
      <c r="M4325" s="568"/>
    </row>
    <row r="4326" spans="1:13" ht="12.75" hidden="1">
      <c r="A4326" s="2114" t="str">
        <f>A765</f>
        <v>(iii)</v>
      </c>
      <c r="B4326" s="192" t="str">
        <f>B765</f>
        <v>2nd Floor</v>
      </c>
      <c r="C4326" s="568"/>
      <c r="D4326" s="568"/>
      <c r="E4326" s="2120" t="str">
        <f>E4318</f>
        <v>Each Sqm</v>
      </c>
      <c r="F4326" s="2120"/>
      <c r="G4326" s="2122"/>
      <c r="H4326" s="568"/>
      <c r="I4326" s="2118"/>
      <c r="J4326" s="2123"/>
      <c r="K4326" s="2123"/>
      <c r="L4326" s="192"/>
      <c r="M4326" s="568"/>
    </row>
    <row r="4327" spans="1:13" ht="12.75" hidden="1">
      <c r="A4327" s="2114"/>
      <c r="B4327" s="568" t="s">
        <v>722</v>
      </c>
      <c r="C4327" s="568"/>
      <c r="D4327" s="568"/>
      <c r="E4327" s="188"/>
      <c r="F4327" s="188"/>
      <c r="G4327" s="2122"/>
      <c r="H4327" s="568"/>
      <c r="I4327" s="2118"/>
      <c r="J4327" s="2123"/>
      <c r="K4327" s="2123">
        <f>K4325</f>
        <v>1018.6800000000001</v>
      </c>
      <c r="L4327" s="192"/>
      <c r="M4327" s="568"/>
    </row>
    <row r="4328" spans="1:13" ht="12.75" hidden="1">
      <c r="A4328" s="2114"/>
      <c r="B4328" s="568" t="s">
        <v>723</v>
      </c>
      <c r="C4328" s="568"/>
      <c r="D4328" s="568"/>
      <c r="E4328" s="188"/>
      <c r="F4328" s="188"/>
      <c r="G4328" s="2122"/>
      <c r="H4328" s="2125">
        <v>0.05</v>
      </c>
      <c r="I4328" s="2134">
        <f>I4320+K4320</f>
        <v>190.51</v>
      </c>
      <c r="J4328" s="2124"/>
      <c r="K4328" s="2123">
        <f>ROUND(I4328*H4328,2)</f>
        <v>9.5299999999999994</v>
      </c>
      <c r="L4328" s="192"/>
      <c r="M4328" s="568"/>
    </row>
    <row r="4329" spans="1:13" ht="12.75" hidden="1">
      <c r="A4329" s="2114"/>
      <c r="B4329" s="192" t="s">
        <v>3662</v>
      </c>
      <c r="C4329" s="568"/>
      <c r="D4329" s="568"/>
      <c r="E4329" s="188"/>
      <c r="F4329" s="188"/>
      <c r="G4329" s="2122"/>
      <c r="H4329" s="2135">
        <f>H4322</f>
        <v>7.4999999999999997E-2</v>
      </c>
      <c r="I4329" s="2134">
        <f>K4328</f>
        <v>9.5299999999999994</v>
      </c>
      <c r="J4329" s="2134"/>
      <c r="K4329" s="2123">
        <f>ROUND(I4329*H4329,2)</f>
        <v>0.71</v>
      </c>
      <c r="L4329" s="192"/>
      <c r="M4329" s="568"/>
    </row>
    <row r="4330" spans="1:13" ht="12.75" hidden="1">
      <c r="A4330" s="2114"/>
      <c r="B4330" s="192" t="s">
        <v>3661</v>
      </c>
      <c r="C4330" s="568"/>
      <c r="D4330" s="568"/>
      <c r="E4330" s="188"/>
      <c r="F4330" s="188"/>
      <c r="G4330" s="2122"/>
      <c r="H4330" s="2135">
        <f>H4329</f>
        <v>7.4999999999999997E-2</v>
      </c>
      <c r="I4330" s="2134">
        <f>I4329</f>
        <v>9.5299999999999994</v>
      </c>
      <c r="J4330" s="2134"/>
      <c r="K4330" s="2140">
        <f>ROUND(I4330*H4330,2)</f>
        <v>0.71</v>
      </c>
      <c r="L4330" s="192"/>
      <c r="M4330" s="568"/>
    </row>
    <row r="4331" spans="1:13" ht="12.75" hidden="1">
      <c r="A4331" s="2114"/>
      <c r="B4331" s="568"/>
      <c r="C4331" s="568"/>
      <c r="D4331" s="568"/>
      <c r="E4331" s="188"/>
      <c r="F4331" s="188"/>
      <c r="G4331" s="2122"/>
      <c r="H4331" s="568"/>
      <c r="I4331" s="2118"/>
      <c r="J4331" s="2123"/>
      <c r="K4331" s="2123">
        <f>SUM(K4327:K4330)</f>
        <v>1029.6300000000001</v>
      </c>
      <c r="L4331" s="192"/>
      <c r="M4331" s="568"/>
    </row>
    <row r="4332" spans="1:13" ht="12.75" hidden="1">
      <c r="A4332" s="2114"/>
      <c r="B4332" s="192" t="s">
        <v>3738</v>
      </c>
      <c r="C4332" s="2142">
        <v>0.01</v>
      </c>
      <c r="D4332" s="568"/>
      <c r="E4332" s="188"/>
      <c r="F4332" s="188"/>
      <c r="G4332" s="2122"/>
      <c r="H4332" s="568"/>
      <c r="I4332" s="2118"/>
      <c r="J4332" s="2123"/>
      <c r="K4332" s="2140">
        <f>ROUND(K4331*C4332,2)</f>
        <v>10.3</v>
      </c>
      <c r="L4332" s="192"/>
      <c r="M4332" s="568"/>
    </row>
    <row r="4333" spans="1:13" ht="12.75" hidden="1">
      <c r="A4333" s="2114"/>
      <c r="B4333" s="568"/>
      <c r="C4333" s="568"/>
      <c r="D4333" s="568"/>
      <c r="E4333" s="188"/>
      <c r="F4333" s="188"/>
      <c r="G4333" s="2122"/>
      <c r="H4333" s="568"/>
      <c r="I4333" s="2118"/>
      <c r="J4333" s="2126" t="s">
        <v>718</v>
      </c>
      <c r="K4333" s="2124">
        <f>SUM(K4331:K4332)</f>
        <v>1039.93</v>
      </c>
      <c r="L4333" s="192" t="s">
        <v>730</v>
      </c>
      <c r="M4333" s="568"/>
    </row>
    <row r="4334" spans="1:13" ht="12.75" hidden="1">
      <c r="A4334" s="2114" t="str">
        <f>A766</f>
        <v>(iv)</v>
      </c>
      <c r="B4334" s="192" t="str">
        <f>B766</f>
        <v>3rd Floor</v>
      </c>
      <c r="C4334" s="568"/>
      <c r="D4334" s="568"/>
      <c r="E4334" s="2120" t="str">
        <f>E4326</f>
        <v>Each Sqm</v>
      </c>
      <c r="F4334" s="2120"/>
      <c r="G4334" s="2122"/>
      <c r="H4334" s="568"/>
      <c r="I4334" s="2118"/>
      <c r="J4334" s="2123"/>
      <c r="K4334" s="2123"/>
      <c r="L4334" s="192"/>
      <c r="M4334" s="568"/>
    </row>
    <row r="4335" spans="1:13" ht="12.75" hidden="1">
      <c r="A4335" s="2114"/>
      <c r="B4335" s="568" t="s">
        <v>722</v>
      </c>
      <c r="C4335" s="568"/>
      <c r="D4335" s="568"/>
      <c r="E4335" s="188"/>
      <c r="F4335" s="188"/>
      <c r="G4335" s="2122"/>
      <c r="H4335" s="568"/>
      <c r="I4335" s="2118"/>
      <c r="J4335" s="2123"/>
      <c r="K4335" s="2123">
        <f>K4333</f>
        <v>1039.93</v>
      </c>
      <c r="L4335" s="192"/>
      <c r="M4335" s="568"/>
    </row>
    <row r="4336" spans="1:13" ht="12.75" hidden="1">
      <c r="A4336" s="2114"/>
      <c r="B4336" s="568" t="s">
        <v>723</v>
      </c>
      <c r="C4336" s="568"/>
      <c r="D4336" s="568"/>
      <c r="E4336" s="188"/>
      <c r="F4336" s="188"/>
      <c r="G4336" s="2122"/>
      <c r="H4336" s="2125">
        <v>0.05</v>
      </c>
      <c r="I4336" s="2134">
        <f>I4328+K4328</f>
        <v>200.04</v>
      </c>
      <c r="J4336" s="2124"/>
      <c r="K4336" s="2123">
        <f>ROUND(I4336*H4336,2)</f>
        <v>10</v>
      </c>
      <c r="L4336" s="192"/>
      <c r="M4336" s="568"/>
    </row>
    <row r="4337" spans="1:20" ht="12.75" hidden="1">
      <c r="A4337" s="2114"/>
      <c r="B4337" s="192" t="s">
        <v>3662</v>
      </c>
      <c r="C4337" s="568"/>
      <c r="D4337" s="568"/>
      <c r="E4337" s="188"/>
      <c r="F4337" s="188"/>
      <c r="G4337" s="2122"/>
      <c r="H4337" s="2135">
        <f>H4330</f>
        <v>7.4999999999999997E-2</v>
      </c>
      <c r="I4337" s="2134">
        <f>K4336</f>
        <v>10</v>
      </c>
      <c r="J4337" s="2134"/>
      <c r="K4337" s="2123">
        <f>ROUND(I4337*H4337,2)</f>
        <v>0.75</v>
      </c>
      <c r="L4337" s="192"/>
      <c r="M4337" s="568"/>
    </row>
    <row r="4338" spans="1:20" ht="12.75" hidden="1">
      <c r="A4338" s="2114"/>
      <c r="B4338" s="192" t="s">
        <v>3661</v>
      </c>
      <c r="C4338" s="568"/>
      <c r="D4338" s="568"/>
      <c r="E4338" s="188"/>
      <c r="F4338" s="188"/>
      <c r="G4338" s="2122"/>
      <c r="H4338" s="2135">
        <f>H4337</f>
        <v>7.4999999999999997E-2</v>
      </c>
      <c r="I4338" s="2134">
        <f>I4337</f>
        <v>10</v>
      </c>
      <c r="J4338" s="2134"/>
      <c r="K4338" s="2140">
        <f>ROUND(I4338*H4338,2)</f>
        <v>0.75</v>
      </c>
      <c r="L4338" s="192"/>
      <c r="M4338" s="568"/>
    </row>
    <row r="4339" spans="1:20" ht="12.75" hidden="1">
      <c r="A4339" s="2114"/>
      <c r="B4339" s="568"/>
      <c r="C4339" s="568"/>
      <c r="D4339" s="568"/>
      <c r="E4339" s="188"/>
      <c r="F4339" s="188"/>
      <c r="G4339" s="2122"/>
      <c r="H4339" s="568"/>
      <c r="I4339" s="2118"/>
      <c r="J4339" s="2123"/>
      <c r="K4339" s="2123">
        <f>SUM(K4335:K4338)</f>
        <v>1051.43</v>
      </c>
      <c r="L4339" s="192"/>
      <c r="M4339" s="568"/>
    </row>
    <row r="4340" spans="1:20" ht="12.75" hidden="1">
      <c r="A4340" s="2114"/>
      <c r="B4340" s="192" t="s">
        <v>3738</v>
      </c>
      <c r="C4340" s="2142">
        <v>0.01</v>
      </c>
      <c r="D4340" s="568"/>
      <c r="E4340" s="188"/>
      <c r="F4340" s="188"/>
      <c r="G4340" s="2122"/>
      <c r="H4340" s="568"/>
      <c r="I4340" s="2118"/>
      <c r="J4340" s="2123"/>
      <c r="K4340" s="2140">
        <f>ROUND(K4339*C4340,2)</f>
        <v>10.51</v>
      </c>
      <c r="L4340" s="192"/>
      <c r="M4340" s="568"/>
    </row>
    <row r="4341" spans="1:20" ht="12.75" hidden="1">
      <c r="A4341" s="2114"/>
      <c r="B4341" s="568"/>
      <c r="C4341" s="568"/>
      <c r="D4341" s="568"/>
      <c r="E4341" s="188"/>
      <c r="F4341" s="188"/>
      <c r="G4341" s="2122"/>
      <c r="H4341" s="568"/>
      <c r="I4341" s="2118"/>
      <c r="J4341" s="2126" t="s">
        <v>718</v>
      </c>
      <c r="K4341" s="2124">
        <f>SUM(K4339:K4340)</f>
        <v>1061.94</v>
      </c>
      <c r="L4341" s="192" t="s">
        <v>730</v>
      </c>
      <c r="M4341" s="568"/>
    </row>
    <row r="4342" spans="1:20" s="175" customFormat="1" ht="12.75" hidden="1">
      <c r="A4342" s="1702" t="str">
        <f>A767</f>
        <v>D)</v>
      </c>
      <c r="B4342" s="2183" t="str">
        <f>B767</f>
        <v>Chequred tile</v>
      </c>
      <c r="C4342" s="2146"/>
      <c r="D4342" s="2146"/>
      <c r="E4342" s="1702"/>
      <c r="F4342" s="1702"/>
      <c r="G4342" s="2149"/>
      <c r="H4342" s="2146"/>
      <c r="I4342" s="1703"/>
      <c r="J4342" s="2150"/>
      <c r="K4342" s="2150"/>
      <c r="L4342" s="2145"/>
      <c r="M4342" s="2146"/>
      <c r="T4342" s="1759"/>
    </row>
    <row r="4343" spans="1:20" ht="12.75" hidden="1">
      <c r="A4343" s="2114" t="str">
        <f>A768</f>
        <v>(i)</v>
      </c>
      <c r="B4343" s="192" t="str">
        <f>B768</f>
        <v>Ground Floor</v>
      </c>
      <c r="C4343" s="568"/>
      <c r="D4343" s="568"/>
      <c r="E4343" s="2120" t="str">
        <f>G903</f>
        <v>Each Sqm</v>
      </c>
      <c r="F4343" s="2120"/>
      <c r="G4343" s="2122"/>
      <c r="H4343" s="568"/>
      <c r="I4343" s="2118"/>
      <c r="J4343" s="2123"/>
      <c r="K4343" s="2123"/>
      <c r="L4343" s="192"/>
      <c r="M4343" s="568"/>
    </row>
    <row r="4344" spans="1:20" ht="12.75" hidden="1">
      <c r="A4344" s="2114"/>
      <c r="B4344" s="568" t="s">
        <v>980</v>
      </c>
      <c r="C4344" s="568"/>
      <c r="D4344" s="568"/>
      <c r="E4344" s="188"/>
      <c r="F4344" s="188"/>
      <c r="G4344" s="2122"/>
      <c r="H4344" s="568"/>
      <c r="I4344" s="2118"/>
      <c r="J4344" s="2123"/>
      <c r="K4344" s="2123">
        <f>K4311</f>
        <v>333.05</v>
      </c>
      <c r="L4344" s="568" t="s">
        <v>730</v>
      </c>
      <c r="M4344" s="568"/>
    </row>
    <row r="4345" spans="1:20" ht="12.75" hidden="1">
      <c r="A4345" s="2114"/>
      <c r="B4345" s="568" t="s">
        <v>979</v>
      </c>
      <c r="C4345" s="568"/>
      <c r="D4345" s="568"/>
      <c r="E4345" s="188"/>
      <c r="F4345" s="188"/>
      <c r="G4345" s="2122">
        <f>G4312</f>
        <v>1</v>
      </c>
      <c r="H4345" s="568" t="s">
        <v>92</v>
      </c>
      <c r="I4345" s="2118" t="s">
        <v>92</v>
      </c>
      <c r="J4345" s="2123">
        <f>G55</f>
        <v>254.75</v>
      </c>
      <c r="K4345" s="2123">
        <f>ROUND(G4345*J4345,2)</f>
        <v>254.75</v>
      </c>
      <c r="L4345" s="192"/>
      <c r="M4345" s="568"/>
    </row>
    <row r="4346" spans="1:20" ht="12.75" hidden="1">
      <c r="A4346" s="2114"/>
      <c r="B4346" s="192" t="s">
        <v>3662</v>
      </c>
      <c r="C4346" s="568"/>
      <c r="D4346" s="568"/>
      <c r="E4346" s="188"/>
      <c r="F4346" s="188"/>
      <c r="G4346" s="2122"/>
      <c r="H4346" s="2135">
        <f>H4330</f>
        <v>7.4999999999999997E-2</v>
      </c>
      <c r="I4346" s="2134">
        <f>K4345</f>
        <v>254.75</v>
      </c>
      <c r="J4346" s="2134"/>
      <c r="K4346" s="2123">
        <f>ROUND(I4346*H4346,2)</f>
        <v>19.11</v>
      </c>
      <c r="L4346" s="192"/>
      <c r="M4346" s="568"/>
    </row>
    <row r="4347" spans="1:20" ht="12.75" hidden="1">
      <c r="A4347" s="2114"/>
      <c r="B4347" s="192" t="s">
        <v>3661</v>
      </c>
      <c r="C4347" s="568"/>
      <c r="D4347" s="568"/>
      <c r="E4347" s="188"/>
      <c r="F4347" s="188"/>
      <c r="G4347" s="2122"/>
      <c r="H4347" s="2135">
        <f>H4346</f>
        <v>7.4999999999999997E-2</v>
      </c>
      <c r="I4347" s="2134">
        <f>I4346</f>
        <v>254.75</v>
      </c>
      <c r="J4347" s="2134"/>
      <c r="K4347" s="2140">
        <f>ROUND(I4347*H4347,2)</f>
        <v>19.11</v>
      </c>
      <c r="L4347" s="192"/>
      <c r="M4347" s="568"/>
    </row>
    <row r="4348" spans="1:20" ht="12.75" hidden="1">
      <c r="A4348" s="2114"/>
      <c r="B4348" s="568"/>
      <c r="C4348" s="568"/>
      <c r="D4348" s="568"/>
      <c r="E4348" s="188"/>
      <c r="F4348" s="188"/>
      <c r="G4348" s="2122"/>
      <c r="H4348" s="568"/>
      <c r="I4348" s="2118"/>
      <c r="J4348" s="2123"/>
      <c r="K4348" s="2123">
        <f>SUM(K4344:K4347)</f>
        <v>626.02</v>
      </c>
      <c r="L4348" s="192"/>
      <c r="M4348" s="568"/>
    </row>
    <row r="4349" spans="1:20" ht="12.75" hidden="1">
      <c r="A4349" s="2114"/>
      <c r="B4349" s="192" t="s">
        <v>3738</v>
      </c>
      <c r="C4349" s="2142">
        <v>0.01</v>
      </c>
      <c r="D4349" s="568"/>
      <c r="E4349" s="188"/>
      <c r="F4349" s="188"/>
      <c r="G4349" s="2122"/>
      <c r="H4349" s="568"/>
      <c r="I4349" s="2118"/>
      <c r="J4349" s="2123"/>
      <c r="K4349" s="2140">
        <f>ROUND(K4348*C4349,2)</f>
        <v>6.26</v>
      </c>
      <c r="L4349" s="192"/>
      <c r="M4349" s="568"/>
    </row>
    <row r="4350" spans="1:20" ht="12.75" hidden="1">
      <c r="A4350" s="2114"/>
      <c r="B4350" s="568"/>
      <c r="C4350" s="568"/>
      <c r="D4350" s="568"/>
      <c r="E4350" s="188"/>
      <c r="F4350" s="188"/>
      <c r="G4350" s="2122"/>
      <c r="H4350" s="568"/>
      <c r="I4350" s="2118"/>
      <c r="J4350" s="2126" t="s">
        <v>718</v>
      </c>
      <c r="K4350" s="2124">
        <f>SUM(K4348:K4349)</f>
        <v>632.28</v>
      </c>
      <c r="L4350" s="192" t="s">
        <v>730</v>
      </c>
      <c r="M4350" s="568"/>
    </row>
    <row r="4351" spans="1:20" ht="12.75" hidden="1">
      <c r="A4351" s="2114" t="str">
        <f>A769</f>
        <v>(ii)</v>
      </c>
      <c r="B4351" s="192" t="str">
        <f>B769</f>
        <v>First Floor</v>
      </c>
      <c r="C4351" s="568"/>
      <c r="D4351" s="568"/>
      <c r="E4351" s="2120" t="str">
        <f>E4343</f>
        <v>Each Sqm</v>
      </c>
      <c r="F4351" s="2120"/>
      <c r="G4351" s="2122"/>
      <c r="H4351" s="568"/>
      <c r="I4351" s="2118"/>
      <c r="J4351" s="2123"/>
      <c r="K4351" s="2123"/>
      <c r="L4351" s="192"/>
      <c r="M4351" s="568"/>
    </row>
    <row r="4352" spans="1:20" ht="12.75" hidden="1">
      <c r="A4352" s="2114"/>
      <c r="B4352" s="568" t="s">
        <v>722</v>
      </c>
      <c r="C4352" s="568"/>
      <c r="D4352" s="568"/>
      <c r="E4352" s="188"/>
      <c r="F4352" s="188"/>
      <c r="G4352" s="2122"/>
      <c r="H4352" s="568"/>
      <c r="I4352" s="2118"/>
      <c r="J4352" s="2123"/>
      <c r="K4352" s="2123">
        <f>K4348</f>
        <v>626.02</v>
      </c>
      <c r="L4352" s="192"/>
      <c r="M4352" s="568"/>
    </row>
    <row r="4353" spans="1:13" ht="12.75" hidden="1">
      <c r="A4353" s="2114"/>
      <c r="B4353" s="568" t="s">
        <v>723</v>
      </c>
      <c r="C4353" s="568"/>
      <c r="D4353" s="568"/>
      <c r="E4353" s="188"/>
      <c r="F4353" s="188"/>
      <c r="G4353" s="2122"/>
      <c r="H4353" s="2125">
        <v>0.05</v>
      </c>
      <c r="I4353" s="2134">
        <f>I4320</f>
        <v>181.44</v>
      </c>
      <c r="J4353" s="2124"/>
      <c r="K4353" s="2123">
        <f>ROUND(I4353*H4353,2)</f>
        <v>9.07</v>
      </c>
      <c r="L4353" s="192"/>
      <c r="M4353" s="568"/>
    </row>
    <row r="4354" spans="1:13" ht="12.75" hidden="1">
      <c r="A4354" s="2114"/>
      <c r="B4354" s="192" t="s">
        <v>3662</v>
      </c>
      <c r="C4354" s="568"/>
      <c r="D4354" s="568"/>
      <c r="E4354" s="188"/>
      <c r="F4354" s="188"/>
      <c r="G4354" s="2122"/>
      <c r="H4354" s="2135">
        <f>H4347</f>
        <v>7.4999999999999997E-2</v>
      </c>
      <c r="I4354" s="2134">
        <f>K4353</f>
        <v>9.07</v>
      </c>
      <c r="J4354" s="2134"/>
      <c r="K4354" s="2123">
        <f>ROUND(I4354*H4354,2)</f>
        <v>0.68</v>
      </c>
      <c r="L4354" s="192"/>
      <c r="M4354" s="568"/>
    </row>
    <row r="4355" spans="1:13" ht="12.75" hidden="1">
      <c r="A4355" s="2114"/>
      <c r="B4355" s="192" t="s">
        <v>3661</v>
      </c>
      <c r="C4355" s="568"/>
      <c r="D4355" s="568"/>
      <c r="E4355" s="188"/>
      <c r="F4355" s="188"/>
      <c r="G4355" s="2122"/>
      <c r="H4355" s="2135">
        <f>H4354</f>
        <v>7.4999999999999997E-2</v>
      </c>
      <c r="I4355" s="2134">
        <f>I4354</f>
        <v>9.07</v>
      </c>
      <c r="J4355" s="2134"/>
      <c r="K4355" s="2140">
        <f>ROUND(I4355*H4355,2)</f>
        <v>0.68</v>
      </c>
      <c r="L4355" s="192"/>
      <c r="M4355" s="568"/>
    </row>
    <row r="4356" spans="1:13" ht="12.75" hidden="1">
      <c r="A4356" s="2114"/>
      <c r="B4356" s="568"/>
      <c r="C4356" s="568"/>
      <c r="D4356" s="568"/>
      <c r="E4356" s="188"/>
      <c r="F4356" s="188"/>
      <c r="G4356" s="2122"/>
      <c r="H4356" s="568"/>
      <c r="I4356" s="2118"/>
      <c r="J4356" s="2123"/>
      <c r="K4356" s="2123">
        <f>SUM(K4352:K4355)</f>
        <v>636.44999999999993</v>
      </c>
      <c r="L4356" s="192"/>
      <c r="M4356" s="568"/>
    </row>
    <row r="4357" spans="1:13" ht="12.75" hidden="1">
      <c r="A4357" s="2114"/>
      <c r="B4357" s="192" t="s">
        <v>3738</v>
      </c>
      <c r="C4357" s="2142">
        <v>0.01</v>
      </c>
      <c r="D4357" s="568"/>
      <c r="E4357" s="188"/>
      <c r="F4357" s="188"/>
      <c r="G4357" s="2122"/>
      <c r="H4357" s="568"/>
      <c r="I4357" s="2118"/>
      <c r="J4357" s="2123"/>
      <c r="K4357" s="2140">
        <f>ROUND(K4356*C4357,2)</f>
        <v>6.36</v>
      </c>
      <c r="L4357" s="192"/>
      <c r="M4357" s="568"/>
    </row>
    <row r="4358" spans="1:13" ht="12.75" hidden="1">
      <c r="A4358" s="2114"/>
      <c r="B4358" s="568"/>
      <c r="C4358" s="568"/>
      <c r="D4358" s="568"/>
      <c r="E4358" s="188"/>
      <c r="F4358" s="188"/>
      <c r="G4358" s="2122"/>
      <c r="H4358" s="568"/>
      <c r="I4358" s="2118"/>
      <c r="J4358" s="2126" t="s">
        <v>718</v>
      </c>
      <c r="K4358" s="2124">
        <f>SUM(K4356:K4357)</f>
        <v>642.80999999999995</v>
      </c>
      <c r="L4358" s="192" t="s">
        <v>730</v>
      </c>
      <c r="M4358" s="568"/>
    </row>
    <row r="4359" spans="1:13" ht="12.75" hidden="1">
      <c r="A4359" s="2114" t="str">
        <f>A770</f>
        <v>(iii)</v>
      </c>
      <c r="B4359" s="192" t="str">
        <f>B770</f>
        <v>2nd Floor</v>
      </c>
      <c r="C4359" s="568"/>
      <c r="D4359" s="568"/>
      <c r="E4359" s="2120" t="str">
        <f>E4351</f>
        <v>Each Sqm</v>
      </c>
      <c r="F4359" s="2120"/>
      <c r="G4359" s="2122"/>
      <c r="H4359" s="568"/>
      <c r="I4359" s="2118"/>
      <c r="J4359" s="2123"/>
      <c r="K4359" s="2123"/>
      <c r="L4359" s="192"/>
      <c r="M4359" s="568"/>
    </row>
    <row r="4360" spans="1:13" ht="12.75" hidden="1">
      <c r="A4360" s="2114"/>
      <c r="B4360" s="568" t="s">
        <v>722</v>
      </c>
      <c r="C4360" s="568"/>
      <c r="D4360" s="568"/>
      <c r="E4360" s="188"/>
      <c r="F4360" s="188"/>
      <c r="G4360" s="2122"/>
      <c r="H4360" s="568"/>
      <c r="I4360" s="2118"/>
      <c r="J4360" s="2123"/>
      <c r="K4360" s="2123">
        <f>K4356</f>
        <v>636.44999999999993</v>
      </c>
      <c r="L4360" s="192"/>
      <c r="M4360" s="568"/>
    </row>
    <row r="4361" spans="1:13" ht="12.75" hidden="1">
      <c r="A4361" s="2114"/>
      <c r="B4361" s="568" t="s">
        <v>723</v>
      </c>
      <c r="C4361" s="568"/>
      <c r="D4361" s="568"/>
      <c r="E4361" s="188"/>
      <c r="F4361" s="188"/>
      <c r="G4361" s="2122"/>
      <c r="H4361" s="2125">
        <v>0.05</v>
      </c>
      <c r="I4361" s="2134">
        <f>I4353+K4353</f>
        <v>190.51</v>
      </c>
      <c r="J4361" s="2124"/>
      <c r="K4361" s="2123">
        <f>ROUND(I4361*H4361,2)</f>
        <v>9.5299999999999994</v>
      </c>
      <c r="L4361" s="192"/>
      <c r="M4361" s="568"/>
    </row>
    <row r="4362" spans="1:13" ht="12.75" hidden="1">
      <c r="A4362" s="2114"/>
      <c r="B4362" s="192" t="s">
        <v>3662</v>
      </c>
      <c r="C4362" s="568"/>
      <c r="D4362" s="568"/>
      <c r="E4362" s="188"/>
      <c r="F4362" s="188"/>
      <c r="G4362" s="2122"/>
      <c r="H4362" s="2135">
        <f>H4355</f>
        <v>7.4999999999999997E-2</v>
      </c>
      <c r="I4362" s="2134">
        <f>K4361</f>
        <v>9.5299999999999994</v>
      </c>
      <c r="J4362" s="2134"/>
      <c r="K4362" s="2123">
        <f>ROUND(I4362*H4362,2)</f>
        <v>0.71</v>
      </c>
      <c r="L4362" s="192"/>
      <c r="M4362" s="568"/>
    </row>
    <row r="4363" spans="1:13" ht="12.75" hidden="1">
      <c r="A4363" s="2114"/>
      <c r="B4363" s="192" t="s">
        <v>3661</v>
      </c>
      <c r="C4363" s="568"/>
      <c r="D4363" s="568"/>
      <c r="E4363" s="188"/>
      <c r="F4363" s="188"/>
      <c r="G4363" s="2122"/>
      <c r="H4363" s="2135">
        <f>H4362</f>
        <v>7.4999999999999997E-2</v>
      </c>
      <c r="I4363" s="2134">
        <f>I4362</f>
        <v>9.5299999999999994</v>
      </c>
      <c r="J4363" s="2134"/>
      <c r="K4363" s="2140">
        <f>ROUND(I4363*H4363,2)</f>
        <v>0.71</v>
      </c>
      <c r="L4363" s="192"/>
      <c r="M4363" s="568"/>
    </row>
    <row r="4364" spans="1:13" ht="12.75" hidden="1">
      <c r="A4364" s="2114"/>
      <c r="B4364" s="568"/>
      <c r="C4364" s="568"/>
      <c r="D4364" s="568"/>
      <c r="E4364" s="188"/>
      <c r="F4364" s="188"/>
      <c r="G4364" s="2122"/>
      <c r="H4364" s="568"/>
      <c r="I4364" s="2118"/>
      <c r="J4364" s="2123"/>
      <c r="K4364" s="2123">
        <f>SUM(K4360:K4363)</f>
        <v>647.4</v>
      </c>
      <c r="L4364" s="192"/>
      <c r="M4364" s="568"/>
    </row>
    <row r="4365" spans="1:13" ht="12.75" hidden="1">
      <c r="A4365" s="2114"/>
      <c r="B4365" s="192" t="s">
        <v>3738</v>
      </c>
      <c r="C4365" s="2142">
        <v>0.01</v>
      </c>
      <c r="D4365" s="568"/>
      <c r="E4365" s="188"/>
      <c r="F4365" s="188"/>
      <c r="G4365" s="2122"/>
      <c r="H4365" s="568"/>
      <c r="I4365" s="2118"/>
      <c r="J4365" s="2123"/>
      <c r="K4365" s="2140">
        <f>ROUND(K4364*C4365,2)</f>
        <v>6.47</v>
      </c>
      <c r="L4365" s="192"/>
      <c r="M4365" s="568"/>
    </row>
    <row r="4366" spans="1:13" ht="12.75" hidden="1">
      <c r="A4366" s="2114"/>
      <c r="B4366" s="568"/>
      <c r="C4366" s="568"/>
      <c r="D4366" s="568"/>
      <c r="E4366" s="188"/>
      <c r="F4366" s="188"/>
      <c r="G4366" s="2122"/>
      <c r="H4366" s="568"/>
      <c r="I4366" s="2118"/>
      <c r="J4366" s="2126" t="s">
        <v>718</v>
      </c>
      <c r="K4366" s="2124">
        <f>SUM(K4364:K4365)</f>
        <v>653.87</v>
      </c>
      <c r="L4366" s="192" t="s">
        <v>730</v>
      </c>
      <c r="M4366" s="568"/>
    </row>
    <row r="4367" spans="1:13" ht="12.75" hidden="1">
      <c r="A4367" s="2114" t="str">
        <f>A771</f>
        <v>(iv)</v>
      </c>
      <c r="B4367" s="192" t="str">
        <f>B771</f>
        <v>3rd Floor</v>
      </c>
      <c r="C4367" s="568"/>
      <c r="D4367" s="568"/>
      <c r="E4367" s="2120" t="str">
        <f>E4359</f>
        <v>Each Sqm</v>
      </c>
      <c r="F4367" s="2120"/>
      <c r="G4367" s="2122"/>
      <c r="H4367" s="568"/>
      <c r="I4367" s="2118"/>
      <c r="J4367" s="2123"/>
      <c r="K4367" s="2123"/>
      <c r="L4367" s="192"/>
      <c r="M4367" s="568"/>
    </row>
    <row r="4368" spans="1:13" ht="12.75" hidden="1">
      <c r="A4368" s="2114"/>
      <c r="B4368" s="568" t="s">
        <v>722</v>
      </c>
      <c r="C4368" s="568"/>
      <c r="D4368" s="568"/>
      <c r="E4368" s="188"/>
      <c r="F4368" s="188"/>
      <c r="G4368" s="2122"/>
      <c r="H4368" s="568"/>
      <c r="I4368" s="2118"/>
      <c r="J4368" s="2123"/>
      <c r="K4368" s="2123">
        <f>K4364</f>
        <v>647.4</v>
      </c>
      <c r="L4368" s="192"/>
      <c r="M4368" s="568"/>
    </row>
    <row r="4369" spans="1:20" ht="12.75" hidden="1">
      <c r="A4369" s="2114"/>
      <c r="B4369" s="568" t="s">
        <v>723</v>
      </c>
      <c r="C4369" s="568"/>
      <c r="D4369" s="568"/>
      <c r="E4369" s="188"/>
      <c r="F4369" s="188"/>
      <c r="G4369" s="2122"/>
      <c r="H4369" s="2125">
        <v>0.05</v>
      </c>
      <c r="I4369" s="2134">
        <f>I4361+K4361</f>
        <v>200.04</v>
      </c>
      <c r="J4369" s="2124"/>
      <c r="K4369" s="2123">
        <f>ROUND(I4369*H4369,2)</f>
        <v>10</v>
      </c>
      <c r="L4369" s="192"/>
      <c r="M4369" s="568"/>
    </row>
    <row r="4370" spans="1:20" ht="12.75" hidden="1">
      <c r="A4370" s="2114"/>
      <c r="B4370" s="192" t="s">
        <v>3662</v>
      </c>
      <c r="C4370" s="568"/>
      <c r="D4370" s="568"/>
      <c r="E4370" s="188"/>
      <c r="F4370" s="188"/>
      <c r="G4370" s="2122"/>
      <c r="H4370" s="2135">
        <f>H4363</f>
        <v>7.4999999999999997E-2</v>
      </c>
      <c r="I4370" s="2134">
        <f>K4369</f>
        <v>10</v>
      </c>
      <c r="J4370" s="2134"/>
      <c r="K4370" s="2123">
        <f>ROUND(I4370*H4370,2)</f>
        <v>0.75</v>
      </c>
      <c r="L4370" s="192"/>
      <c r="M4370" s="568"/>
    </row>
    <row r="4371" spans="1:20" ht="12.75" hidden="1">
      <c r="A4371" s="2114"/>
      <c r="B4371" s="192" t="s">
        <v>3661</v>
      </c>
      <c r="C4371" s="568"/>
      <c r="D4371" s="568"/>
      <c r="E4371" s="188"/>
      <c r="F4371" s="188"/>
      <c r="G4371" s="2122"/>
      <c r="H4371" s="2135">
        <f>H4370</f>
        <v>7.4999999999999997E-2</v>
      </c>
      <c r="I4371" s="2134">
        <f>I4370</f>
        <v>10</v>
      </c>
      <c r="J4371" s="2134"/>
      <c r="K4371" s="2140">
        <f>ROUND(I4371*H4371,2)</f>
        <v>0.75</v>
      </c>
      <c r="L4371" s="192"/>
      <c r="M4371" s="568"/>
    </row>
    <row r="4372" spans="1:20" ht="12.75" hidden="1">
      <c r="A4372" s="2114"/>
      <c r="B4372" s="568"/>
      <c r="C4372" s="568"/>
      <c r="D4372" s="568"/>
      <c r="E4372" s="188"/>
      <c r="F4372" s="188"/>
      <c r="G4372" s="2122"/>
      <c r="H4372" s="568"/>
      <c r="I4372" s="2118"/>
      <c r="J4372" s="2123"/>
      <c r="K4372" s="2123">
        <f>SUM(K4368:K4371)</f>
        <v>658.9</v>
      </c>
      <c r="L4372" s="192"/>
      <c r="M4372" s="568"/>
    </row>
    <row r="4373" spans="1:20" ht="12.75" hidden="1">
      <c r="A4373" s="2114"/>
      <c r="B4373" s="192" t="s">
        <v>3738</v>
      </c>
      <c r="C4373" s="2142">
        <v>0.01</v>
      </c>
      <c r="D4373" s="568"/>
      <c r="E4373" s="188"/>
      <c r="F4373" s="188"/>
      <c r="G4373" s="2122"/>
      <c r="H4373" s="568"/>
      <c r="I4373" s="2118"/>
      <c r="J4373" s="2123"/>
      <c r="K4373" s="2140">
        <f>ROUND(K4372*C4373,2)</f>
        <v>6.59</v>
      </c>
      <c r="L4373" s="192"/>
      <c r="M4373" s="568"/>
    </row>
    <row r="4374" spans="1:20" ht="12.75" hidden="1">
      <c r="A4374" s="2114"/>
      <c r="B4374" s="568"/>
      <c r="C4374" s="568"/>
      <c r="D4374" s="568"/>
      <c r="E4374" s="188"/>
      <c r="F4374" s="188"/>
      <c r="G4374" s="2122"/>
      <c r="H4374" s="568"/>
      <c r="I4374" s="2118"/>
      <c r="J4374" s="2126" t="s">
        <v>718</v>
      </c>
      <c r="K4374" s="2124">
        <f>SUM(K4372:K4373)</f>
        <v>665.49</v>
      </c>
      <c r="L4374" s="192" t="s">
        <v>730</v>
      </c>
      <c r="M4374" s="568"/>
    </row>
    <row r="4375" spans="1:20" s="175" customFormat="1" ht="12.75" hidden="1">
      <c r="A4375" s="1702" t="str">
        <f>A772</f>
        <v>E)</v>
      </c>
      <c r="B4375" s="2183" t="str">
        <f>B772</f>
        <v>Ceramic floor tile</v>
      </c>
      <c r="C4375" s="2146"/>
      <c r="D4375" s="2146"/>
      <c r="E4375" s="1702"/>
      <c r="F4375" s="1702"/>
      <c r="G4375" s="2149"/>
      <c r="H4375" s="2146"/>
      <c r="I4375" s="1703"/>
      <c r="J4375" s="2150"/>
      <c r="K4375" s="2150"/>
      <c r="L4375" s="2145"/>
      <c r="M4375" s="2146"/>
      <c r="T4375" s="1759"/>
    </row>
    <row r="4376" spans="1:20" ht="12.75" hidden="1">
      <c r="A4376" s="2114" t="str">
        <f>A773</f>
        <v>(i)</v>
      </c>
      <c r="B4376" s="192" t="str">
        <f>B773</f>
        <v>Ground Floor</v>
      </c>
      <c r="C4376" s="568"/>
      <c r="D4376" s="568"/>
      <c r="E4376" s="2120" t="str">
        <f>G949</f>
        <v>Each Sqm</v>
      </c>
      <c r="F4376" s="2120"/>
      <c r="G4376" s="2122"/>
      <c r="H4376" s="568"/>
      <c r="I4376" s="2118"/>
      <c r="J4376" s="2123"/>
      <c r="K4376" s="2123"/>
      <c r="L4376" s="192"/>
      <c r="M4376" s="568"/>
    </row>
    <row r="4377" spans="1:20" ht="12.75" hidden="1">
      <c r="A4377" s="2114"/>
      <c r="B4377" s="568" t="s">
        <v>980</v>
      </c>
      <c r="C4377" s="568"/>
      <c r="D4377" s="568"/>
      <c r="E4377" s="188"/>
      <c r="F4377" s="188"/>
      <c r="G4377" s="2122"/>
      <c r="H4377" s="568"/>
      <c r="I4377" s="2118"/>
      <c r="J4377" s="2123"/>
      <c r="K4377" s="2123">
        <f>K4344</f>
        <v>333.05</v>
      </c>
      <c r="L4377" s="568" t="s">
        <v>730</v>
      </c>
      <c r="M4377" s="568"/>
    </row>
    <row r="4378" spans="1:20" ht="12.75" hidden="1">
      <c r="A4378" s="2114"/>
      <c r="B4378" s="568" t="s">
        <v>979</v>
      </c>
      <c r="C4378" s="568"/>
      <c r="D4378" s="568"/>
      <c r="E4378" s="188"/>
      <c r="F4378" s="188"/>
      <c r="G4378" s="2122">
        <f>G4345</f>
        <v>1</v>
      </c>
      <c r="H4378" s="568" t="s">
        <v>92</v>
      </c>
      <c r="I4378" s="2118" t="s">
        <v>92</v>
      </c>
      <c r="J4378" s="2123">
        <f>G56</f>
        <v>440</v>
      </c>
      <c r="K4378" s="2123">
        <f>ROUND(G4378*J4378,2)</f>
        <v>440</v>
      </c>
      <c r="L4378" s="568" t="s">
        <v>730</v>
      </c>
      <c r="M4378" s="568"/>
    </row>
    <row r="4379" spans="1:20" ht="12.75" hidden="1">
      <c r="A4379" s="2114"/>
      <c r="B4379" s="192" t="s">
        <v>3662</v>
      </c>
      <c r="C4379" s="568"/>
      <c r="D4379" s="568"/>
      <c r="E4379" s="188"/>
      <c r="F4379" s="188"/>
      <c r="G4379" s="2122"/>
      <c r="H4379" s="2135">
        <f>H4363</f>
        <v>7.4999999999999997E-2</v>
      </c>
      <c r="I4379" s="2134">
        <f>K4378</f>
        <v>440</v>
      </c>
      <c r="J4379" s="2134"/>
      <c r="K4379" s="2123">
        <f>ROUND(I4379*H4379,2)</f>
        <v>33</v>
      </c>
      <c r="L4379" s="568"/>
      <c r="M4379" s="568"/>
    </row>
    <row r="4380" spans="1:20" ht="12.75" hidden="1">
      <c r="A4380" s="2114"/>
      <c r="B4380" s="192" t="s">
        <v>3661</v>
      </c>
      <c r="C4380" s="568"/>
      <c r="D4380" s="568"/>
      <c r="E4380" s="188"/>
      <c r="F4380" s="188"/>
      <c r="G4380" s="2122"/>
      <c r="H4380" s="2135">
        <f>H4379</f>
        <v>7.4999999999999997E-2</v>
      </c>
      <c r="I4380" s="2134">
        <f>I4379</f>
        <v>440</v>
      </c>
      <c r="J4380" s="2134"/>
      <c r="K4380" s="2140">
        <f>ROUND(I4380*H4380,2)</f>
        <v>33</v>
      </c>
      <c r="L4380" s="568"/>
      <c r="M4380" s="568"/>
    </row>
    <row r="4381" spans="1:20" ht="12.75" hidden="1">
      <c r="A4381" s="2114"/>
      <c r="B4381" s="568"/>
      <c r="C4381" s="568"/>
      <c r="D4381" s="568"/>
      <c r="E4381" s="188"/>
      <c r="F4381" s="188"/>
      <c r="G4381" s="2122"/>
      <c r="H4381" s="568"/>
      <c r="I4381" s="2118"/>
      <c r="J4381" s="2123"/>
      <c r="K4381" s="2123">
        <f>SUM(K4377:K4380)</f>
        <v>839.05</v>
      </c>
      <c r="L4381" s="568"/>
      <c r="M4381" s="568"/>
    </row>
    <row r="4382" spans="1:20" ht="12.75" hidden="1">
      <c r="A4382" s="2114"/>
      <c r="B4382" s="192" t="s">
        <v>3738</v>
      </c>
      <c r="C4382" s="2142">
        <v>0.01</v>
      </c>
      <c r="D4382" s="568"/>
      <c r="E4382" s="188"/>
      <c r="F4382" s="188"/>
      <c r="G4382" s="2122"/>
      <c r="H4382" s="568"/>
      <c r="I4382" s="2118"/>
      <c r="J4382" s="2123"/>
      <c r="K4382" s="2140">
        <f>ROUND(K4381*C4382,2)</f>
        <v>8.39</v>
      </c>
      <c r="L4382" s="192"/>
      <c r="M4382" s="568"/>
    </row>
    <row r="4383" spans="1:20" ht="12.75" hidden="1">
      <c r="A4383" s="2114"/>
      <c r="B4383" s="568"/>
      <c r="C4383" s="568"/>
      <c r="D4383" s="568"/>
      <c r="E4383" s="188"/>
      <c r="F4383" s="188"/>
      <c r="G4383" s="2122"/>
      <c r="H4383" s="568"/>
      <c r="I4383" s="2118"/>
      <c r="J4383" s="2126" t="s">
        <v>718</v>
      </c>
      <c r="K4383" s="2124">
        <f>SUM(K4381:K4382)</f>
        <v>847.43999999999994</v>
      </c>
      <c r="L4383" s="192" t="s">
        <v>730</v>
      </c>
      <c r="M4383" s="568"/>
    </row>
    <row r="4384" spans="1:20" ht="12.75" hidden="1">
      <c r="A4384" s="2114" t="str">
        <f>A774</f>
        <v>(ii)</v>
      </c>
      <c r="B4384" s="192" t="str">
        <f>B774</f>
        <v>First Floor</v>
      </c>
      <c r="C4384" s="568"/>
      <c r="D4384" s="568"/>
      <c r="E4384" s="2120" t="str">
        <f>E4376</f>
        <v>Each Sqm</v>
      </c>
      <c r="F4384" s="2120"/>
      <c r="G4384" s="2122"/>
      <c r="H4384" s="568"/>
      <c r="I4384" s="2118"/>
      <c r="J4384" s="2123"/>
      <c r="K4384" s="2123"/>
      <c r="L4384" s="192"/>
      <c r="M4384" s="568"/>
    </row>
    <row r="4385" spans="1:13" ht="12.75" hidden="1">
      <c r="A4385" s="2114"/>
      <c r="B4385" s="568" t="s">
        <v>722</v>
      </c>
      <c r="C4385" s="568"/>
      <c r="D4385" s="568"/>
      <c r="E4385" s="188"/>
      <c r="F4385" s="188"/>
      <c r="G4385" s="2122"/>
      <c r="H4385" s="568"/>
      <c r="I4385" s="2118"/>
      <c r="J4385" s="2123"/>
      <c r="K4385" s="2123">
        <f>K4381</f>
        <v>839.05</v>
      </c>
      <c r="L4385" s="192"/>
      <c r="M4385" s="568"/>
    </row>
    <row r="4386" spans="1:13" ht="12.75" hidden="1">
      <c r="A4386" s="2114"/>
      <c r="B4386" s="568" t="s">
        <v>723</v>
      </c>
      <c r="C4386" s="568"/>
      <c r="D4386" s="568"/>
      <c r="E4386" s="188"/>
      <c r="F4386" s="188"/>
      <c r="G4386" s="2122"/>
      <c r="H4386" s="2125">
        <v>0.05</v>
      </c>
      <c r="I4386" s="2134">
        <f>I4353</f>
        <v>181.44</v>
      </c>
      <c r="J4386" s="2124"/>
      <c r="K4386" s="2123">
        <f>ROUND(I4386*H4386,2)</f>
        <v>9.07</v>
      </c>
      <c r="L4386" s="192"/>
      <c r="M4386" s="568"/>
    </row>
    <row r="4387" spans="1:13" ht="12.75" hidden="1">
      <c r="A4387" s="2114"/>
      <c r="B4387" s="192" t="s">
        <v>3662</v>
      </c>
      <c r="C4387" s="568"/>
      <c r="D4387" s="568"/>
      <c r="E4387" s="188"/>
      <c r="F4387" s="188"/>
      <c r="G4387" s="2122"/>
      <c r="H4387" s="2135">
        <f>H4380</f>
        <v>7.4999999999999997E-2</v>
      </c>
      <c r="I4387" s="2134">
        <f>K4386</f>
        <v>9.07</v>
      </c>
      <c r="J4387" s="2134"/>
      <c r="K4387" s="2123">
        <f>ROUND(I4387*H4387,2)</f>
        <v>0.68</v>
      </c>
      <c r="L4387" s="192"/>
      <c r="M4387" s="568"/>
    </row>
    <row r="4388" spans="1:13" ht="12.75" hidden="1">
      <c r="A4388" s="2114"/>
      <c r="B4388" s="192" t="s">
        <v>3661</v>
      </c>
      <c r="C4388" s="568"/>
      <c r="D4388" s="568"/>
      <c r="E4388" s="188"/>
      <c r="F4388" s="188"/>
      <c r="G4388" s="2122"/>
      <c r="H4388" s="2135">
        <f>H4387</f>
        <v>7.4999999999999997E-2</v>
      </c>
      <c r="I4388" s="2134">
        <f>I4387</f>
        <v>9.07</v>
      </c>
      <c r="J4388" s="2134"/>
      <c r="K4388" s="2140">
        <f>ROUND(I4388*H4388,2)</f>
        <v>0.68</v>
      </c>
      <c r="L4388" s="192"/>
      <c r="M4388" s="568"/>
    </row>
    <row r="4389" spans="1:13" ht="12.75" hidden="1">
      <c r="A4389" s="2114"/>
      <c r="B4389" s="568"/>
      <c r="C4389" s="568"/>
      <c r="D4389" s="568"/>
      <c r="E4389" s="188"/>
      <c r="F4389" s="188"/>
      <c r="G4389" s="2122"/>
      <c r="H4389" s="568"/>
      <c r="I4389" s="2118"/>
      <c r="J4389" s="2123"/>
      <c r="K4389" s="2123">
        <f>SUM(K4385:K4388)</f>
        <v>849.4799999999999</v>
      </c>
      <c r="L4389" s="192"/>
      <c r="M4389" s="568"/>
    </row>
    <row r="4390" spans="1:13" ht="12.75" hidden="1">
      <c r="A4390" s="2114"/>
      <c r="B4390" s="192" t="s">
        <v>3738</v>
      </c>
      <c r="C4390" s="2142">
        <v>0.01</v>
      </c>
      <c r="D4390" s="568"/>
      <c r="E4390" s="188"/>
      <c r="F4390" s="188"/>
      <c r="G4390" s="2122"/>
      <c r="H4390" s="568"/>
      <c r="I4390" s="2118"/>
      <c r="J4390" s="2123"/>
      <c r="K4390" s="2140">
        <f>ROUND(K4389*C4390,2)</f>
        <v>8.49</v>
      </c>
      <c r="L4390" s="192"/>
      <c r="M4390" s="568"/>
    </row>
    <row r="4391" spans="1:13" ht="12.75" hidden="1">
      <c r="A4391" s="2114"/>
      <c r="B4391" s="568"/>
      <c r="C4391" s="568"/>
      <c r="D4391" s="568"/>
      <c r="E4391" s="188"/>
      <c r="F4391" s="188"/>
      <c r="G4391" s="2122"/>
      <c r="H4391" s="568"/>
      <c r="I4391" s="2118"/>
      <c r="J4391" s="2126" t="s">
        <v>718</v>
      </c>
      <c r="K4391" s="2124">
        <f>SUM(K4389:K4390)</f>
        <v>857.96999999999991</v>
      </c>
      <c r="L4391" s="192" t="s">
        <v>730</v>
      </c>
      <c r="M4391" s="568"/>
    </row>
    <row r="4392" spans="1:13" ht="12.75" hidden="1">
      <c r="A4392" s="2114" t="str">
        <f>A775</f>
        <v>(iii)</v>
      </c>
      <c r="B4392" s="192" t="str">
        <f>B775</f>
        <v>2nd Floor</v>
      </c>
      <c r="C4392" s="568"/>
      <c r="D4392" s="568"/>
      <c r="E4392" s="2120" t="str">
        <f>E4384</f>
        <v>Each Sqm</v>
      </c>
      <c r="F4392" s="2120"/>
      <c r="G4392" s="2122"/>
      <c r="H4392" s="568"/>
      <c r="I4392" s="2118"/>
      <c r="J4392" s="2123"/>
      <c r="K4392" s="2123"/>
      <c r="L4392" s="192"/>
      <c r="M4392" s="568"/>
    </row>
    <row r="4393" spans="1:13" ht="12.75" hidden="1">
      <c r="A4393" s="2114"/>
      <c r="B4393" s="568" t="s">
        <v>722</v>
      </c>
      <c r="C4393" s="568"/>
      <c r="D4393" s="568"/>
      <c r="E4393" s="188"/>
      <c r="F4393" s="188"/>
      <c r="G4393" s="2122"/>
      <c r="H4393" s="568"/>
      <c r="I4393" s="2118"/>
      <c r="J4393" s="2123"/>
      <c r="K4393" s="2123">
        <f>K4389</f>
        <v>849.4799999999999</v>
      </c>
      <c r="L4393" s="192"/>
      <c r="M4393" s="568"/>
    </row>
    <row r="4394" spans="1:13" ht="12.75" hidden="1">
      <c r="A4394" s="2114"/>
      <c r="B4394" s="568" t="s">
        <v>723</v>
      </c>
      <c r="C4394" s="568"/>
      <c r="D4394" s="568"/>
      <c r="E4394" s="188"/>
      <c r="F4394" s="188"/>
      <c r="G4394" s="2122"/>
      <c r="H4394" s="2125">
        <v>0.05</v>
      </c>
      <c r="I4394" s="2134">
        <f>I4386+K4386</f>
        <v>190.51</v>
      </c>
      <c r="J4394" s="2124"/>
      <c r="K4394" s="2123">
        <f>ROUND(I4394*H4394,2)</f>
        <v>9.5299999999999994</v>
      </c>
      <c r="L4394" s="192"/>
      <c r="M4394" s="568"/>
    </row>
    <row r="4395" spans="1:13" ht="12.75" hidden="1">
      <c r="A4395" s="2114"/>
      <c r="B4395" s="192" t="s">
        <v>3662</v>
      </c>
      <c r="C4395" s="568"/>
      <c r="D4395" s="568"/>
      <c r="E4395" s="188"/>
      <c r="F4395" s="188"/>
      <c r="G4395" s="2122"/>
      <c r="H4395" s="2135">
        <f>H4388</f>
        <v>7.4999999999999997E-2</v>
      </c>
      <c r="I4395" s="2134">
        <f>K4394</f>
        <v>9.5299999999999994</v>
      </c>
      <c r="J4395" s="2134"/>
      <c r="K4395" s="2123">
        <f>ROUND(I4395*H4395,2)</f>
        <v>0.71</v>
      </c>
      <c r="L4395" s="192"/>
      <c r="M4395" s="568"/>
    </row>
    <row r="4396" spans="1:13" ht="12.75" hidden="1">
      <c r="A4396" s="2114"/>
      <c r="B4396" s="192" t="s">
        <v>3661</v>
      </c>
      <c r="C4396" s="568"/>
      <c r="D4396" s="568"/>
      <c r="E4396" s="188"/>
      <c r="F4396" s="188"/>
      <c r="G4396" s="2122"/>
      <c r="H4396" s="2135">
        <f>H4395</f>
        <v>7.4999999999999997E-2</v>
      </c>
      <c r="I4396" s="2134">
        <f>I4395</f>
        <v>9.5299999999999994</v>
      </c>
      <c r="J4396" s="2134"/>
      <c r="K4396" s="2140">
        <f>ROUND(I4396*H4396,2)</f>
        <v>0.71</v>
      </c>
      <c r="L4396" s="192"/>
      <c r="M4396" s="568"/>
    </row>
    <row r="4397" spans="1:13" ht="12.75" hidden="1">
      <c r="A4397" s="2114"/>
      <c r="B4397" s="568"/>
      <c r="C4397" s="568"/>
      <c r="D4397" s="568"/>
      <c r="E4397" s="188"/>
      <c r="F4397" s="188"/>
      <c r="G4397" s="2122"/>
      <c r="H4397" s="568"/>
      <c r="I4397" s="2118"/>
      <c r="J4397" s="2123"/>
      <c r="K4397" s="2123">
        <f>SUM(K4393:K4396)</f>
        <v>860.43</v>
      </c>
      <c r="L4397" s="192"/>
      <c r="M4397" s="568"/>
    </row>
    <row r="4398" spans="1:13" ht="12.75" hidden="1">
      <c r="A4398" s="2114"/>
      <c r="B4398" s="192" t="s">
        <v>3738</v>
      </c>
      <c r="C4398" s="2142">
        <v>0.01</v>
      </c>
      <c r="D4398" s="568"/>
      <c r="E4398" s="188"/>
      <c r="F4398" s="188"/>
      <c r="G4398" s="2122"/>
      <c r="H4398" s="568"/>
      <c r="I4398" s="2118"/>
      <c r="J4398" s="2123"/>
      <c r="K4398" s="2140">
        <f>ROUND(K4397*C4398,2)</f>
        <v>8.6</v>
      </c>
      <c r="L4398" s="192"/>
      <c r="M4398" s="568"/>
    </row>
    <row r="4399" spans="1:13" ht="12.75" hidden="1">
      <c r="A4399" s="2114"/>
      <c r="B4399" s="568"/>
      <c r="C4399" s="568"/>
      <c r="D4399" s="568"/>
      <c r="E4399" s="188"/>
      <c r="F4399" s="188"/>
      <c r="G4399" s="2122"/>
      <c r="H4399" s="568"/>
      <c r="I4399" s="2118"/>
      <c r="J4399" s="2126" t="s">
        <v>718</v>
      </c>
      <c r="K4399" s="2124">
        <f>SUM(K4397:K4398)</f>
        <v>869.03</v>
      </c>
      <c r="L4399" s="192" t="s">
        <v>730</v>
      </c>
      <c r="M4399" s="568"/>
    </row>
    <row r="4400" spans="1:13" ht="12.75" hidden="1">
      <c r="A4400" s="2114" t="str">
        <f>A776</f>
        <v>(iv)</v>
      </c>
      <c r="B4400" s="192" t="str">
        <f>B776</f>
        <v>3rd Floor</v>
      </c>
      <c r="C4400" s="568"/>
      <c r="D4400" s="568"/>
      <c r="E4400" s="2120" t="str">
        <f>E4392</f>
        <v>Each Sqm</v>
      </c>
      <c r="F4400" s="2120"/>
      <c r="G4400" s="2122"/>
      <c r="H4400" s="568"/>
      <c r="I4400" s="2118"/>
      <c r="J4400" s="2123"/>
      <c r="K4400" s="2123"/>
      <c r="L4400" s="192"/>
      <c r="M4400" s="568"/>
    </row>
    <row r="4401" spans="1:20" ht="12.75" hidden="1">
      <c r="A4401" s="2114"/>
      <c r="B4401" s="568" t="s">
        <v>722</v>
      </c>
      <c r="C4401" s="568"/>
      <c r="D4401" s="568"/>
      <c r="E4401" s="188"/>
      <c r="F4401" s="188"/>
      <c r="G4401" s="2122"/>
      <c r="H4401" s="568"/>
      <c r="I4401" s="2118"/>
      <c r="J4401" s="2123"/>
      <c r="K4401" s="2123">
        <f>K4397</f>
        <v>860.43</v>
      </c>
      <c r="L4401" s="192"/>
      <c r="M4401" s="568"/>
    </row>
    <row r="4402" spans="1:20" ht="12.75" hidden="1">
      <c r="A4402" s="2114"/>
      <c r="B4402" s="568" t="s">
        <v>723</v>
      </c>
      <c r="C4402" s="568"/>
      <c r="D4402" s="568"/>
      <c r="E4402" s="188"/>
      <c r="F4402" s="188"/>
      <c r="G4402" s="2122"/>
      <c r="H4402" s="2125">
        <v>0.05</v>
      </c>
      <c r="I4402" s="2134">
        <f>I4394+K4394</f>
        <v>200.04</v>
      </c>
      <c r="J4402" s="2124"/>
      <c r="K4402" s="2123">
        <f>ROUND(I4402*H4402,2)</f>
        <v>10</v>
      </c>
      <c r="L4402" s="192"/>
      <c r="M4402" s="568"/>
    </row>
    <row r="4403" spans="1:20" ht="12.75" hidden="1">
      <c r="A4403" s="2114"/>
      <c r="B4403" s="192" t="s">
        <v>3662</v>
      </c>
      <c r="C4403" s="568"/>
      <c r="D4403" s="568"/>
      <c r="E4403" s="188"/>
      <c r="F4403" s="188"/>
      <c r="G4403" s="2122"/>
      <c r="H4403" s="2135">
        <f>H4396</f>
        <v>7.4999999999999997E-2</v>
      </c>
      <c r="I4403" s="2134">
        <f>K4402</f>
        <v>10</v>
      </c>
      <c r="J4403" s="2134"/>
      <c r="K4403" s="2123">
        <f>ROUND(I4403*H4403,2)</f>
        <v>0.75</v>
      </c>
      <c r="L4403" s="192"/>
      <c r="M4403" s="568"/>
    </row>
    <row r="4404" spans="1:20" ht="12.75" hidden="1">
      <c r="A4404" s="2114"/>
      <c r="B4404" s="192" t="s">
        <v>3661</v>
      </c>
      <c r="C4404" s="568"/>
      <c r="D4404" s="568"/>
      <c r="E4404" s="188"/>
      <c r="F4404" s="188"/>
      <c r="G4404" s="2122"/>
      <c r="H4404" s="2135">
        <f>H4403</f>
        <v>7.4999999999999997E-2</v>
      </c>
      <c r="I4404" s="2134">
        <f>I4403</f>
        <v>10</v>
      </c>
      <c r="J4404" s="2134"/>
      <c r="K4404" s="2140">
        <f>ROUND(I4404*H4404,2)</f>
        <v>0.75</v>
      </c>
      <c r="L4404" s="192"/>
      <c r="M4404" s="568"/>
    </row>
    <row r="4405" spans="1:20" ht="12.75" hidden="1">
      <c r="A4405" s="2114"/>
      <c r="B4405" s="568"/>
      <c r="C4405" s="568"/>
      <c r="D4405" s="568"/>
      <c r="E4405" s="188"/>
      <c r="F4405" s="188"/>
      <c r="G4405" s="2122"/>
      <c r="H4405" s="568"/>
      <c r="I4405" s="2118"/>
      <c r="J4405" s="2123"/>
      <c r="K4405" s="2123">
        <f>SUM(K4401:K4404)</f>
        <v>871.93</v>
      </c>
      <c r="L4405" s="192"/>
      <c r="M4405" s="568"/>
    </row>
    <row r="4406" spans="1:20" ht="12.75" hidden="1">
      <c r="A4406" s="2114"/>
      <c r="B4406" s="192" t="s">
        <v>3738</v>
      </c>
      <c r="C4406" s="2142">
        <v>0.01</v>
      </c>
      <c r="D4406" s="568"/>
      <c r="E4406" s="188"/>
      <c r="F4406" s="188"/>
      <c r="G4406" s="2122"/>
      <c r="H4406" s="568"/>
      <c r="I4406" s="2118"/>
      <c r="J4406" s="2123"/>
      <c r="K4406" s="2140">
        <f>ROUND(K4405*C4406,2)</f>
        <v>8.7200000000000006</v>
      </c>
      <c r="L4406" s="192"/>
      <c r="M4406" s="568"/>
    </row>
    <row r="4407" spans="1:20" ht="12.75" hidden="1">
      <c r="A4407" s="2114"/>
      <c r="B4407" s="568"/>
      <c r="C4407" s="568"/>
      <c r="D4407" s="568"/>
      <c r="E4407" s="188"/>
      <c r="F4407" s="188"/>
      <c r="G4407" s="2122"/>
      <c r="H4407" s="568"/>
      <c r="I4407" s="2118"/>
      <c r="J4407" s="2126" t="s">
        <v>718</v>
      </c>
      <c r="K4407" s="2124">
        <f>SUM(K4405:K4406)</f>
        <v>880.65</v>
      </c>
      <c r="L4407" s="192" t="s">
        <v>730</v>
      </c>
      <c r="M4407" s="568"/>
    </row>
    <row r="4408" spans="1:20" s="175" customFormat="1" ht="12.75" hidden="1">
      <c r="A4408" s="1702" t="str">
        <f>A777</f>
        <v>F)</v>
      </c>
      <c r="B4408" s="2183" t="str">
        <f>B777</f>
        <v>Kota tile (size above 0.10sqm)</v>
      </c>
      <c r="C4408" s="2146"/>
      <c r="D4408" s="2146"/>
      <c r="E4408" s="1702"/>
      <c r="F4408" s="1702"/>
      <c r="G4408" s="2149"/>
      <c r="H4408" s="2146"/>
      <c r="I4408" s="1703"/>
      <c r="J4408" s="2150"/>
      <c r="K4408" s="2150"/>
      <c r="L4408" s="2145"/>
      <c r="M4408" s="2146"/>
      <c r="T4408" s="1759"/>
    </row>
    <row r="4409" spans="1:20" ht="12.75" hidden="1">
      <c r="A4409" s="2114" t="str">
        <f>A778</f>
        <v>(i)</v>
      </c>
      <c r="B4409" s="192" t="str">
        <f>B778</f>
        <v>Ground Floor</v>
      </c>
      <c r="C4409" s="568"/>
      <c r="D4409" s="568"/>
      <c r="E4409" s="2120" t="str">
        <f>G924</f>
        <v>Each Sqm</v>
      </c>
      <c r="F4409" s="2120"/>
      <c r="G4409" s="2122"/>
      <c r="H4409" s="568"/>
      <c r="I4409" s="2118"/>
      <c r="J4409" s="2123"/>
      <c r="K4409" s="2123"/>
      <c r="L4409" s="192"/>
      <c r="M4409" s="568"/>
    </row>
    <row r="4410" spans="1:20" ht="12.75" hidden="1">
      <c r="A4410" s="2114"/>
      <c r="B4410" s="568" t="s">
        <v>980</v>
      </c>
      <c r="C4410" s="568"/>
      <c r="D4410" s="568"/>
      <c r="E4410" s="188"/>
      <c r="F4410" s="188"/>
      <c r="G4410" s="2122"/>
      <c r="H4410" s="568"/>
      <c r="I4410" s="2118"/>
      <c r="J4410" s="2123"/>
      <c r="K4410" s="2123">
        <f>K4240</f>
        <v>333.05</v>
      </c>
      <c r="L4410" s="568" t="s">
        <v>730</v>
      </c>
      <c r="M4410" s="568"/>
    </row>
    <row r="4411" spans="1:20" ht="12.75" hidden="1">
      <c r="A4411" s="2114"/>
      <c r="B4411" s="568" t="s">
        <v>983</v>
      </c>
      <c r="C4411" s="568"/>
      <c r="D4411" s="568"/>
      <c r="E4411" s="188"/>
      <c r="F4411" s="188"/>
      <c r="G4411" s="2122"/>
      <c r="H4411" s="568"/>
      <c r="I4411" s="2118"/>
      <c r="J4411" s="2123"/>
      <c r="K4411" s="2123">
        <v>8.5</v>
      </c>
      <c r="L4411" s="192"/>
      <c r="M4411" s="568"/>
    </row>
    <row r="4412" spans="1:20" ht="12.75" hidden="1">
      <c r="A4412" s="2114"/>
      <c r="B4412" s="568" t="s">
        <v>716</v>
      </c>
      <c r="C4412" s="568"/>
      <c r="D4412" s="568"/>
      <c r="E4412" s="188"/>
      <c r="F4412" s="188"/>
      <c r="G4412" s="2122"/>
      <c r="H4412" s="568" t="s">
        <v>262</v>
      </c>
      <c r="I4412" s="2118" t="s">
        <v>38</v>
      </c>
      <c r="J4412" s="2123">
        <f>L135</f>
        <v>385</v>
      </c>
      <c r="K4412" s="2123">
        <f>G4412*J4412</f>
        <v>0</v>
      </c>
      <c r="L4412" s="192"/>
      <c r="M4412" s="568"/>
    </row>
    <row r="4413" spans="1:20" ht="12.75" hidden="1">
      <c r="A4413" s="2114"/>
      <c r="B4413" s="568"/>
      <c r="C4413" s="568"/>
      <c r="D4413" s="568"/>
      <c r="E4413" s="188"/>
      <c r="F4413" s="188"/>
      <c r="G4413" s="2122"/>
      <c r="H4413" s="568"/>
      <c r="I4413" s="2118"/>
      <c r="J4413" s="2123"/>
      <c r="K4413" s="2123"/>
      <c r="L4413" s="192"/>
      <c r="M4413" s="568"/>
    </row>
    <row r="4414" spans="1:20" ht="12.75" hidden="1">
      <c r="A4414" s="2114"/>
      <c r="B4414" s="568" t="s">
        <v>979</v>
      </c>
      <c r="C4414" s="568"/>
      <c r="D4414" s="568"/>
      <c r="E4414" s="188"/>
      <c r="F4414" s="188"/>
      <c r="G4414" s="2122">
        <f>G4378</f>
        <v>1</v>
      </c>
      <c r="H4414" s="568" t="s">
        <v>92</v>
      </c>
      <c r="I4414" s="2118" t="s">
        <v>92</v>
      </c>
      <c r="J4414" s="2123">
        <f>G58</f>
        <v>500.2</v>
      </c>
      <c r="K4414" s="2123">
        <f>ROUND(G4414*J4414,2)</f>
        <v>500.2</v>
      </c>
      <c r="L4414" s="192"/>
      <c r="M4414" s="568"/>
    </row>
    <row r="4415" spans="1:20" ht="12.75" hidden="1">
      <c r="A4415" s="2114"/>
      <c r="B4415" s="568"/>
      <c r="C4415" s="568"/>
      <c r="D4415" s="568"/>
      <c r="E4415" s="188"/>
      <c r="F4415" s="188"/>
      <c r="G4415" s="2122"/>
      <c r="H4415" s="568"/>
      <c r="I4415" s="2118"/>
      <c r="J4415" s="2123"/>
      <c r="K4415" s="2123"/>
      <c r="L4415" s="192"/>
      <c r="M4415" s="568"/>
    </row>
    <row r="4416" spans="1:20" ht="12.75" hidden="1">
      <c r="A4416" s="2114"/>
      <c r="B4416" s="568"/>
      <c r="C4416" s="568"/>
      <c r="D4416" s="568"/>
      <c r="E4416" s="188"/>
      <c r="F4416" s="188"/>
      <c r="G4416" s="2122"/>
      <c r="H4416" s="568"/>
      <c r="I4416" s="2118"/>
      <c r="J4416" s="2126" t="s">
        <v>718</v>
      </c>
      <c r="K4416" s="2124">
        <f>SUM(K4410:K4415)</f>
        <v>841.75</v>
      </c>
      <c r="L4416" s="192" t="s">
        <v>730</v>
      </c>
      <c r="M4416" s="568"/>
    </row>
    <row r="4417" spans="1:20" ht="12.75" hidden="1">
      <c r="A4417" s="2114" t="str">
        <f>A779</f>
        <v>(ii)</v>
      </c>
      <c r="B4417" s="192" t="str">
        <f>B779</f>
        <v>First Floor</v>
      </c>
      <c r="C4417" s="568"/>
      <c r="D4417" s="568"/>
      <c r="E4417" s="2120" t="str">
        <f>E4409</f>
        <v>Each Sqm</v>
      </c>
      <c r="F4417" s="2120"/>
      <c r="G4417" s="2122"/>
      <c r="H4417" s="568"/>
      <c r="I4417" s="2118"/>
      <c r="J4417" s="2123"/>
      <c r="K4417" s="2123"/>
      <c r="L4417" s="192"/>
      <c r="M4417" s="568"/>
    </row>
    <row r="4418" spans="1:20" ht="12.75" hidden="1">
      <c r="A4418" s="2114"/>
      <c r="B4418" s="568" t="s">
        <v>722</v>
      </c>
      <c r="C4418" s="568"/>
      <c r="D4418" s="568"/>
      <c r="E4418" s="188"/>
      <c r="F4418" s="188"/>
      <c r="G4418" s="2122"/>
      <c r="H4418" s="568"/>
      <c r="I4418" s="2118"/>
      <c r="J4418" s="2123"/>
      <c r="K4418" s="2123">
        <f>K4416</f>
        <v>841.75</v>
      </c>
      <c r="L4418" s="192"/>
      <c r="M4418" s="568"/>
    </row>
    <row r="4419" spans="1:20" ht="12.75" hidden="1">
      <c r="A4419" s="2114"/>
      <c r="B4419" s="568" t="s">
        <v>723</v>
      </c>
      <c r="C4419" s="568"/>
      <c r="D4419" s="568"/>
      <c r="E4419" s="188"/>
      <c r="F4419" s="188"/>
      <c r="G4419" s="2122"/>
      <c r="H4419" s="568"/>
      <c r="I4419" s="2118"/>
      <c r="J4419" s="2123"/>
      <c r="K4419" s="2123">
        <f>ROUND((K4228/10+K4412)*5%,2)</f>
        <v>9.07</v>
      </c>
      <c r="L4419" s="192"/>
      <c r="M4419" s="568"/>
    </row>
    <row r="4420" spans="1:20" ht="12.75" hidden="1">
      <c r="A4420" s="2114"/>
      <c r="B4420" s="568"/>
      <c r="C4420" s="568"/>
      <c r="D4420" s="568"/>
      <c r="E4420" s="188"/>
      <c r="F4420" s="188"/>
      <c r="G4420" s="2122"/>
      <c r="H4420" s="568"/>
      <c r="I4420" s="2118"/>
      <c r="J4420" s="2126" t="s">
        <v>718</v>
      </c>
      <c r="K4420" s="2124">
        <f>SUM(K4418:K4419)</f>
        <v>850.82</v>
      </c>
      <c r="L4420" s="192" t="s">
        <v>730</v>
      </c>
      <c r="M4420" s="568"/>
    </row>
    <row r="4421" spans="1:20" ht="12.75" hidden="1">
      <c r="A4421" s="2114" t="str">
        <f>A780</f>
        <v>(iii)</v>
      </c>
      <c r="B4421" s="192" t="str">
        <f>B780</f>
        <v>2nd Floor</v>
      </c>
      <c r="C4421" s="568"/>
      <c r="D4421" s="568"/>
      <c r="E4421" s="2120" t="str">
        <f>E4417</f>
        <v>Each Sqm</v>
      </c>
      <c r="F4421" s="2120"/>
      <c r="G4421" s="2122"/>
      <c r="H4421" s="568"/>
      <c r="I4421" s="2118"/>
      <c r="J4421" s="2123"/>
      <c r="K4421" s="2123"/>
      <c r="L4421" s="192"/>
      <c r="M4421" s="568"/>
    </row>
    <row r="4422" spans="1:20" ht="12.75" hidden="1">
      <c r="A4422" s="2114"/>
      <c r="B4422" s="568" t="s">
        <v>722</v>
      </c>
      <c r="C4422" s="568"/>
      <c r="D4422" s="568"/>
      <c r="E4422" s="188"/>
      <c r="F4422" s="188"/>
      <c r="G4422" s="2122"/>
      <c r="H4422" s="568"/>
      <c r="I4422" s="2118"/>
      <c r="J4422" s="2123"/>
      <c r="K4422" s="2123">
        <f>K4420</f>
        <v>850.82</v>
      </c>
      <c r="L4422" s="192"/>
      <c r="M4422" s="568"/>
    </row>
    <row r="4423" spans="1:20" ht="12.75" hidden="1">
      <c r="A4423" s="2114"/>
      <c r="B4423" s="568" t="s">
        <v>723</v>
      </c>
      <c r="C4423" s="568"/>
      <c r="D4423" s="568"/>
      <c r="E4423" s="188"/>
      <c r="F4423" s="188"/>
      <c r="G4423" s="2122"/>
      <c r="H4423" s="568"/>
      <c r="I4423" s="2118"/>
      <c r="J4423" s="2123"/>
      <c r="K4423" s="2123">
        <f>ROUND((K4235/10+K4416)*5%,2)</f>
        <v>42.32</v>
      </c>
      <c r="L4423" s="192"/>
      <c r="M4423" s="568"/>
    </row>
    <row r="4424" spans="1:20" ht="12.75" hidden="1">
      <c r="A4424" s="2114"/>
      <c r="B4424" s="568"/>
      <c r="C4424" s="568"/>
      <c r="D4424" s="568"/>
      <c r="E4424" s="188"/>
      <c r="F4424" s="188"/>
      <c r="G4424" s="2122"/>
      <c r="H4424" s="568"/>
      <c r="I4424" s="2118"/>
      <c r="J4424" s="2126" t="s">
        <v>718</v>
      </c>
      <c r="K4424" s="2124">
        <f>SUM(K4422:K4423)</f>
        <v>893.1400000000001</v>
      </c>
      <c r="L4424" s="192" t="s">
        <v>730</v>
      </c>
      <c r="M4424" s="568"/>
    </row>
    <row r="4425" spans="1:20" ht="12.75" hidden="1">
      <c r="A4425" s="2114" t="str">
        <f>A781</f>
        <v>(iv)</v>
      </c>
      <c r="B4425" s="192" t="str">
        <f>B781</f>
        <v>3rd Floor</v>
      </c>
      <c r="C4425" s="568"/>
      <c r="D4425" s="568"/>
      <c r="E4425" s="2120" t="str">
        <f>E4421</f>
        <v>Each Sqm</v>
      </c>
      <c r="F4425" s="2120"/>
      <c r="G4425" s="2122"/>
      <c r="H4425" s="568"/>
      <c r="I4425" s="2118"/>
      <c r="J4425" s="2123"/>
      <c r="K4425" s="2123"/>
      <c r="L4425" s="192"/>
      <c r="M4425" s="568"/>
    </row>
    <row r="4426" spans="1:20" ht="12.75" hidden="1">
      <c r="A4426" s="2114"/>
      <c r="B4426" s="568" t="s">
        <v>722</v>
      </c>
      <c r="C4426" s="568"/>
      <c r="D4426" s="568"/>
      <c r="E4426" s="188"/>
      <c r="F4426" s="188"/>
      <c r="G4426" s="2122"/>
      <c r="H4426" s="568"/>
      <c r="I4426" s="2118"/>
      <c r="J4426" s="2123"/>
      <c r="K4426" s="2123">
        <f>K4424</f>
        <v>893.1400000000001</v>
      </c>
      <c r="L4426" s="192"/>
      <c r="M4426" s="568"/>
    </row>
    <row r="4427" spans="1:20" ht="12.75" hidden="1">
      <c r="A4427" s="2114"/>
      <c r="B4427" s="568" t="s">
        <v>723</v>
      </c>
      <c r="C4427" s="568"/>
      <c r="D4427" s="568"/>
      <c r="E4427" s="188"/>
      <c r="F4427" s="188"/>
      <c r="G4427" s="2122"/>
      <c r="H4427" s="568"/>
      <c r="I4427" s="2118"/>
      <c r="J4427" s="2123"/>
      <c r="K4427" s="2123">
        <f>ROUND((K4239/10+K4420)*5%,2)</f>
        <v>59.19</v>
      </c>
      <c r="L4427" s="192"/>
      <c r="M4427" s="568"/>
    </row>
    <row r="4428" spans="1:20" ht="12.75" hidden="1">
      <c r="A4428" s="2114"/>
      <c r="B4428" s="568"/>
      <c r="C4428" s="568"/>
      <c r="D4428" s="568"/>
      <c r="E4428" s="188"/>
      <c r="F4428" s="188"/>
      <c r="G4428" s="2122"/>
      <c r="H4428" s="568"/>
      <c r="I4428" s="2118"/>
      <c r="J4428" s="2126" t="s">
        <v>718</v>
      </c>
      <c r="K4428" s="2124">
        <f>SUM(K4426:K4427)</f>
        <v>952.33000000000015</v>
      </c>
      <c r="L4428" s="192" t="s">
        <v>730</v>
      </c>
      <c r="M4428" s="568"/>
    </row>
    <row r="4429" spans="1:20" s="175" customFormat="1" ht="12.75" hidden="1">
      <c r="A4429" s="1702" t="str">
        <f>A798</f>
        <v>B)</v>
      </c>
      <c r="B4429" s="2183" t="str">
        <f>B782</f>
        <v>Marble tile (size0.10-0.40sqm)</v>
      </c>
      <c r="C4429" s="2146"/>
      <c r="D4429" s="2146"/>
      <c r="E4429" s="1702"/>
      <c r="F4429" s="1702"/>
      <c r="G4429" s="2149"/>
      <c r="H4429" s="2146"/>
      <c r="I4429" s="1703"/>
      <c r="J4429" s="2150"/>
      <c r="K4429" s="2150"/>
      <c r="L4429" s="2145"/>
      <c r="M4429" s="2146"/>
      <c r="T4429" s="1759"/>
    </row>
    <row r="4430" spans="1:20" ht="12.75" hidden="1">
      <c r="A4430" s="2114" t="str">
        <f>A783</f>
        <v>(i)</v>
      </c>
      <c r="B4430" s="192" t="str">
        <f>B783</f>
        <v>Ground Floor</v>
      </c>
      <c r="C4430" s="568"/>
      <c r="D4430" s="568"/>
      <c r="E4430" s="2120" t="str">
        <f>G945</f>
        <v>Each Sqm</v>
      </c>
      <c r="F4430" s="2120"/>
      <c r="G4430" s="2122"/>
      <c r="H4430" s="568"/>
      <c r="I4430" s="2118"/>
      <c r="J4430" s="2123"/>
      <c r="K4430" s="2123"/>
      <c r="L4430" s="192"/>
      <c r="M4430" s="568"/>
    </row>
    <row r="4431" spans="1:20" ht="12.75" hidden="1">
      <c r="A4431" s="2114"/>
      <c r="B4431" s="568" t="s">
        <v>980</v>
      </c>
      <c r="C4431" s="568"/>
      <c r="D4431" s="568"/>
      <c r="E4431" s="188"/>
      <c r="F4431" s="188"/>
      <c r="G4431" s="2122"/>
      <c r="H4431" s="568"/>
      <c r="I4431" s="2118"/>
      <c r="J4431" s="2123"/>
      <c r="K4431" s="2123">
        <f>K4410</f>
        <v>333.05</v>
      </c>
      <c r="L4431" s="568" t="s">
        <v>730</v>
      </c>
      <c r="M4431" s="568"/>
    </row>
    <row r="4432" spans="1:20" ht="12.75" hidden="1">
      <c r="A4432" s="2114"/>
      <c r="B4432" s="568" t="s">
        <v>983</v>
      </c>
      <c r="C4432" s="568"/>
      <c r="D4432" s="568"/>
      <c r="E4432" s="188"/>
      <c r="F4432" s="188"/>
      <c r="G4432" s="2122"/>
      <c r="H4432" s="568"/>
      <c r="I4432" s="2118"/>
      <c r="J4432" s="2123"/>
      <c r="K4432" s="2123">
        <v>8.5</v>
      </c>
      <c r="L4432" s="192"/>
      <c r="M4432" s="568"/>
    </row>
    <row r="4433" spans="1:13" ht="12.75" hidden="1">
      <c r="A4433" s="2114"/>
      <c r="B4433" s="568" t="s">
        <v>716</v>
      </c>
      <c r="C4433" s="568"/>
      <c r="D4433" s="568"/>
      <c r="E4433" s="188"/>
      <c r="F4433" s="188"/>
      <c r="G4433" s="2122"/>
      <c r="H4433" s="568" t="s">
        <v>262</v>
      </c>
      <c r="I4433" s="2118" t="s">
        <v>38</v>
      </c>
      <c r="J4433" s="2123">
        <f>L135</f>
        <v>385</v>
      </c>
      <c r="K4433" s="2123">
        <f>G4433*J4433</f>
        <v>0</v>
      </c>
      <c r="L4433" s="192"/>
      <c r="M4433" s="568"/>
    </row>
    <row r="4434" spans="1:13" ht="12.75" hidden="1">
      <c r="A4434" s="2114"/>
      <c r="B4434" s="568"/>
      <c r="C4434" s="568"/>
      <c r="D4434" s="568"/>
      <c r="E4434" s="188"/>
      <c r="F4434" s="188"/>
      <c r="G4434" s="2122"/>
      <c r="H4434" s="568"/>
      <c r="I4434" s="2118"/>
      <c r="J4434" s="2123"/>
      <c r="K4434" s="2123"/>
      <c r="L4434" s="192"/>
      <c r="M4434" s="568"/>
    </row>
    <row r="4435" spans="1:13" ht="12.75" hidden="1">
      <c r="A4435" s="2114"/>
      <c r="B4435" s="568" t="s">
        <v>979</v>
      </c>
      <c r="C4435" s="568"/>
      <c r="D4435" s="568"/>
      <c r="E4435" s="188"/>
      <c r="F4435" s="188"/>
      <c r="G4435" s="2122">
        <f>G4414</f>
        <v>1</v>
      </c>
      <c r="H4435" s="568" t="s">
        <v>92</v>
      </c>
      <c r="I4435" s="2118" t="s">
        <v>92</v>
      </c>
      <c r="J4435" s="2123">
        <f>G59</f>
        <v>677.95</v>
      </c>
      <c r="K4435" s="2123">
        <f>ROUND(G4435*J4435,2)</f>
        <v>677.95</v>
      </c>
      <c r="L4435" s="192"/>
      <c r="M4435" s="568"/>
    </row>
    <row r="4436" spans="1:13" ht="12.75" hidden="1">
      <c r="A4436" s="2114"/>
      <c r="B4436" s="568"/>
      <c r="C4436" s="568"/>
      <c r="D4436" s="568"/>
      <c r="E4436" s="188"/>
      <c r="F4436" s="188"/>
      <c r="G4436" s="2122"/>
      <c r="H4436" s="568"/>
      <c r="I4436" s="2118"/>
      <c r="J4436" s="2123"/>
      <c r="K4436" s="2123"/>
      <c r="L4436" s="192"/>
      <c r="M4436" s="568"/>
    </row>
    <row r="4437" spans="1:13" ht="12.75" hidden="1">
      <c r="A4437" s="2114"/>
      <c r="B4437" s="568"/>
      <c r="C4437" s="568"/>
      <c r="D4437" s="568"/>
      <c r="E4437" s="188"/>
      <c r="F4437" s="188"/>
      <c r="G4437" s="2122"/>
      <c r="H4437" s="568"/>
      <c r="I4437" s="2118"/>
      <c r="J4437" s="2126" t="s">
        <v>718</v>
      </c>
      <c r="K4437" s="2124">
        <f>SUM(K4431:K4436)</f>
        <v>1019.5</v>
      </c>
      <c r="L4437" s="192" t="s">
        <v>730</v>
      </c>
      <c r="M4437" s="568"/>
    </row>
    <row r="4438" spans="1:13" ht="12.75" hidden="1">
      <c r="A4438" s="2114" t="str">
        <f>A784</f>
        <v>(ii)</v>
      </c>
      <c r="B4438" s="192" t="str">
        <f>B784</f>
        <v>First Floor</v>
      </c>
      <c r="C4438" s="568"/>
      <c r="D4438" s="568"/>
      <c r="E4438" s="2120" t="str">
        <f>E4430</f>
        <v>Each Sqm</v>
      </c>
      <c r="F4438" s="2120"/>
      <c r="G4438" s="2122"/>
      <c r="H4438" s="568"/>
      <c r="I4438" s="2118"/>
      <c r="J4438" s="2123"/>
      <c r="K4438" s="2123"/>
      <c r="L4438" s="192"/>
      <c r="M4438" s="568"/>
    </row>
    <row r="4439" spans="1:13" ht="12.75" hidden="1">
      <c r="A4439" s="2114"/>
      <c r="B4439" s="568" t="s">
        <v>722</v>
      </c>
      <c r="C4439" s="568"/>
      <c r="D4439" s="568"/>
      <c r="E4439" s="188"/>
      <c r="F4439" s="188"/>
      <c r="G4439" s="2122"/>
      <c r="H4439" s="568"/>
      <c r="I4439" s="2118"/>
      <c r="J4439" s="2123"/>
      <c r="K4439" s="2123">
        <f>K4437</f>
        <v>1019.5</v>
      </c>
      <c r="L4439" s="192"/>
      <c r="M4439" s="568"/>
    </row>
    <row r="4440" spans="1:13" ht="12.75" hidden="1">
      <c r="A4440" s="2114"/>
      <c r="B4440" s="568" t="s">
        <v>723</v>
      </c>
      <c r="C4440" s="568"/>
      <c r="D4440" s="568"/>
      <c r="E4440" s="188"/>
      <c r="F4440" s="188"/>
      <c r="G4440" s="2122"/>
      <c r="H4440" s="568"/>
      <c r="I4440" s="2118"/>
      <c r="J4440" s="2123"/>
      <c r="K4440" s="2123">
        <f>ROUND((K4228/10+K4433)*5%,2)</f>
        <v>9.07</v>
      </c>
      <c r="L4440" s="192"/>
      <c r="M4440" s="568"/>
    </row>
    <row r="4441" spans="1:13" ht="12.75" hidden="1">
      <c r="A4441" s="2114"/>
      <c r="B4441" s="568"/>
      <c r="C4441" s="568"/>
      <c r="D4441" s="568"/>
      <c r="E4441" s="188"/>
      <c r="F4441" s="188"/>
      <c r="G4441" s="2122"/>
      <c r="H4441" s="568"/>
      <c r="I4441" s="2118"/>
      <c r="J4441" s="2126" t="s">
        <v>718</v>
      </c>
      <c r="K4441" s="2124">
        <f>SUM(K4439:K4440)</f>
        <v>1028.57</v>
      </c>
      <c r="L4441" s="192" t="s">
        <v>730</v>
      </c>
      <c r="M4441" s="568"/>
    </row>
    <row r="4442" spans="1:13" ht="12.75" hidden="1">
      <c r="A4442" s="2114" t="str">
        <f>A785</f>
        <v>(iii)</v>
      </c>
      <c r="B4442" s="192" t="str">
        <f>B785</f>
        <v>2nd Floor</v>
      </c>
      <c r="C4442" s="568"/>
      <c r="D4442" s="568"/>
      <c r="E4442" s="2120" t="str">
        <f>E4438</f>
        <v>Each Sqm</v>
      </c>
      <c r="F4442" s="2120"/>
      <c r="G4442" s="2122"/>
      <c r="H4442" s="568"/>
      <c r="I4442" s="2118"/>
      <c r="J4442" s="2123"/>
      <c r="K4442" s="2123"/>
      <c r="L4442" s="192"/>
      <c r="M4442" s="568"/>
    </row>
    <row r="4443" spans="1:13" ht="12.75" hidden="1">
      <c r="A4443" s="2114"/>
      <c r="B4443" s="568" t="s">
        <v>722</v>
      </c>
      <c r="C4443" s="568"/>
      <c r="D4443" s="568"/>
      <c r="E4443" s="188"/>
      <c r="F4443" s="188"/>
      <c r="G4443" s="2122"/>
      <c r="H4443" s="568"/>
      <c r="I4443" s="2118"/>
      <c r="J4443" s="2123"/>
      <c r="K4443" s="2123">
        <f>K4441</f>
        <v>1028.57</v>
      </c>
      <c r="L4443" s="192"/>
      <c r="M4443" s="568"/>
    </row>
    <row r="4444" spans="1:13" ht="12.75" hidden="1">
      <c r="A4444" s="2114"/>
      <c r="B4444" s="568" t="s">
        <v>723</v>
      </c>
      <c r="C4444" s="568"/>
      <c r="D4444" s="568"/>
      <c r="E4444" s="188"/>
      <c r="F4444" s="188"/>
      <c r="G4444" s="2122"/>
      <c r="H4444" s="568"/>
      <c r="I4444" s="2118"/>
      <c r="J4444" s="2123"/>
      <c r="K4444" s="2123">
        <f>ROUND((K4235/10+K4437)*5%,2)</f>
        <v>51.2</v>
      </c>
      <c r="L4444" s="192"/>
      <c r="M4444" s="568"/>
    </row>
    <row r="4445" spans="1:13" ht="12.75" hidden="1">
      <c r="A4445" s="2114"/>
      <c r="B4445" s="568"/>
      <c r="C4445" s="568"/>
      <c r="D4445" s="568"/>
      <c r="E4445" s="188"/>
      <c r="F4445" s="188"/>
      <c r="G4445" s="2122"/>
      <c r="H4445" s="568"/>
      <c r="I4445" s="2118"/>
      <c r="J4445" s="2126" t="s">
        <v>718</v>
      </c>
      <c r="K4445" s="2124">
        <f>SUM(K4443:K4444)</f>
        <v>1079.77</v>
      </c>
      <c r="L4445" s="192" t="s">
        <v>730</v>
      </c>
      <c r="M4445" s="568"/>
    </row>
    <row r="4446" spans="1:13" ht="12.75" hidden="1">
      <c r="A4446" s="2114" t="str">
        <f>A786</f>
        <v>(iv)</v>
      </c>
      <c r="B4446" s="192" t="str">
        <f>B786</f>
        <v>3rd Floor</v>
      </c>
      <c r="C4446" s="568"/>
      <c r="D4446" s="568"/>
      <c r="E4446" s="2120" t="str">
        <f>E4442</f>
        <v>Each Sqm</v>
      </c>
      <c r="F4446" s="2120"/>
      <c r="G4446" s="2122"/>
      <c r="H4446" s="568"/>
      <c r="I4446" s="2118"/>
      <c r="J4446" s="2123"/>
      <c r="K4446" s="2123"/>
      <c r="L4446" s="192"/>
      <c r="M4446" s="568"/>
    </row>
    <row r="4447" spans="1:13" ht="12.75" hidden="1">
      <c r="A4447" s="2114"/>
      <c r="B4447" s="568" t="s">
        <v>722</v>
      </c>
      <c r="C4447" s="568"/>
      <c r="D4447" s="568"/>
      <c r="E4447" s="188"/>
      <c r="F4447" s="188"/>
      <c r="G4447" s="2122"/>
      <c r="H4447" s="568"/>
      <c r="I4447" s="2118"/>
      <c r="J4447" s="2123"/>
      <c r="K4447" s="2123">
        <f>K4445</f>
        <v>1079.77</v>
      </c>
      <c r="L4447" s="192"/>
      <c r="M4447" s="568"/>
    </row>
    <row r="4448" spans="1:13" ht="12.75" hidden="1">
      <c r="A4448" s="2114"/>
      <c r="B4448" s="568" t="s">
        <v>723</v>
      </c>
      <c r="C4448" s="568"/>
      <c r="D4448" s="568"/>
      <c r="E4448" s="188"/>
      <c r="F4448" s="188"/>
      <c r="G4448" s="2122"/>
      <c r="H4448" s="568"/>
      <c r="I4448" s="2118"/>
      <c r="J4448" s="2123"/>
      <c r="K4448" s="2123">
        <f>ROUND((K4239/10+K4441)*5%,2)</f>
        <v>68.08</v>
      </c>
      <c r="L4448" s="192"/>
      <c r="M4448" s="568"/>
    </row>
    <row r="4449" spans="1:17" ht="12.75" hidden="1">
      <c r="A4449" s="2114"/>
      <c r="B4449" s="568"/>
      <c r="C4449" s="568"/>
      <c r="D4449" s="568"/>
      <c r="E4449" s="188"/>
      <c r="F4449" s="188"/>
      <c r="G4449" s="2122"/>
      <c r="H4449" s="568"/>
      <c r="I4449" s="2118"/>
      <c r="J4449" s="2126" t="s">
        <v>718</v>
      </c>
      <c r="K4449" s="2124">
        <f>SUM(K4447:K4448)</f>
        <v>1147.8499999999999</v>
      </c>
      <c r="L4449" s="192" t="s">
        <v>730</v>
      </c>
      <c r="M4449" s="568"/>
    </row>
    <row r="4450" spans="1:17" ht="50.65" customHeight="1">
      <c r="A4450" s="2114">
        <f>A787</f>
        <v>75</v>
      </c>
      <c r="B4450" s="3025" t="str">
        <f>B787</f>
        <v xml:space="preserve">Supplying, fitting, fixing of tile in dadoo marbonite or equivalent make in all floors over 12mm thick cement plaster (1:3) jointed with neat cement slurry mixed with pigment to match the shades of the tiles  etc. complete as per the direction of the Engineer-in-charge. </v>
      </c>
      <c r="C4450" s="3025"/>
      <c r="D4450" s="3025"/>
      <c r="E4450" s="3025"/>
      <c r="F4450" s="3025"/>
      <c r="G4450" s="3025"/>
      <c r="H4450" s="3025"/>
      <c r="I4450" s="2118"/>
      <c r="J4450" s="2124"/>
      <c r="K4450" s="2124"/>
      <c r="L4450" s="192"/>
      <c r="M4450" s="568"/>
      <c r="Q4450" s="1706" t="s">
        <v>974</v>
      </c>
    </row>
    <row r="4451" spans="1:17" ht="12.75">
      <c r="A4451" s="2114" t="str">
        <f>A789</f>
        <v>(i)</v>
      </c>
      <c r="B4451" s="192" t="str">
        <f>B789</f>
        <v>Ground Floor</v>
      </c>
      <c r="C4451" s="568"/>
      <c r="D4451" s="568"/>
      <c r="E4451" s="2120" t="str">
        <f>G789</f>
        <v>Each Sqm</v>
      </c>
      <c r="F4451" s="2120"/>
      <c r="G4451" s="2122"/>
      <c r="H4451" s="568"/>
      <c r="I4451" s="2118"/>
      <c r="J4451" s="2123"/>
      <c r="K4451" s="2123"/>
      <c r="L4451" s="192"/>
      <c r="M4451" s="568"/>
    </row>
    <row r="4452" spans="1:17" ht="12.75">
      <c r="A4452" s="2114"/>
      <c r="B4452" s="568" t="s">
        <v>964</v>
      </c>
      <c r="C4452" s="568"/>
      <c r="D4452" s="568"/>
      <c r="E4452" s="188"/>
      <c r="F4452" s="188"/>
      <c r="G4452" s="2122"/>
      <c r="H4452" s="568"/>
      <c r="I4452" s="2118"/>
      <c r="J4452" s="2123"/>
      <c r="K4452" s="2123"/>
      <c r="L4452" s="192"/>
      <c r="M4452" s="568"/>
    </row>
    <row r="4453" spans="1:17" ht="12.75">
      <c r="A4453" s="2114"/>
      <c r="B4453" s="192" t="s">
        <v>822</v>
      </c>
      <c r="C4453" s="568"/>
      <c r="D4453" s="568"/>
      <c r="E4453" s="188"/>
      <c r="F4453" s="188"/>
      <c r="G4453" s="2122"/>
      <c r="H4453" s="568"/>
      <c r="I4453" s="2118"/>
      <c r="J4453" s="2123"/>
      <c r="K4453" s="2123"/>
      <c r="L4453" s="192"/>
      <c r="M4453" s="568"/>
    </row>
    <row r="4454" spans="1:17" ht="12.75">
      <c r="A4454" s="2114"/>
      <c r="B4454" s="568" t="s">
        <v>775</v>
      </c>
      <c r="C4454" s="568"/>
      <c r="D4454" s="568"/>
      <c r="E4454" s="188"/>
      <c r="F4454" s="188"/>
      <c r="G4454" s="2122">
        <v>0.15</v>
      </c>
      <c r="H4454" s="568" t="s">
        <v>49</v>
      </c>
      <c r="I4454" s="2118" t="s">
        <v>49</v>
      </c>
      <c r="J4454" s="2123">
        <f>G46</f>
        <v>76.88</v>
      </c>
      <c r="K4454" s="2123">
        <f>ROUND(G4454*J4454,2)</f>
        <v>11.53</v>
      </c>
      <c r="L4454" s="192"/>
      <c r="M4454" s="568"/>
    </row>
    <row r="4455" spans="1:17" ht="12.75">
      <c r="A4455" s="2114"/>
      <c r="B4455" s="568" t="s">
        <v>8</v>
      </c>
      <c r="C4455" s="568"/>
      <c r="D4455" s="568"/>
      <c r="E4455" s="188"/>
      <c r="F4455" s="188"/>
      <c r="G4455" s="2122">
        <v>1.375</v>
      </c>
      <c r="H4455" s="568" t="s">
        <v>247</v>
      </c>
      <c r="I4455" s="2118" t="s">
        <v>247</v>
      </c>
      <c r="J4455" s="2123">
        <f>G50/10</f>
        <v>570.23400000000004</v>
      </c>
      <c r="K4455" s="2123">
        <f>ROUND(G4455*J4455,2)</f>
        <v>784.07</v>
      </c>
      <c r="L4455" s="192"/>
      <c r="M4455" s="568"/>
    </row>
    <row r="4456" spans="1:17" ht="12.75">
      <c r="A4456" s="2114"/>
      <c r="B4456" s="568"/>
      <c r="C4456" s="568"/>
      <c r="D4456" s="568"/>
      <c r="E4456" s="188"/>
      <c r="F4456" s="188"/>
      <c r="G4456" s="2122"/>
      <c r="H4456" s="568"/>
      <c r="I4456" s="2118"/>
      <c r="J4456" s="2134" t="s">
        <v>718</v>
      </c>
      <c r="K4456" s="2123">
        <f>SUM(K4454:K4455)</f>
        <v>795.6</v>
      </c>
      <c r="L4456" s="192"/>
      <c r="M4456" s="568"/>
    </row>
    <row r="4457" spans="1:17" ht="12.75">
      <c r="A4457" s="2114"/>
      <c r="B4457" s="192" t="s">
        <v>781</v>
      </c>
      <c r="C4457" s="568"/>
      <c r="D4457" s="568"/>
      <c r="E4457" s="188"/>
      <c r="F4457" s="188"/>
      <c r="G4457" s="2122"/>
      <c r="H4457" s="568"/>
      <c r="I4457" s="2118"/>
      <c r="J4457" s="2123"/>
      <c r="K4457" s="2123"/>
      <c r="L4457" s="192"/>
      <c r="M4457" s="568"/>
    </row>
    <row r="4458" spans="1:17" ht="12.75">
      <c r="A4458" s="2114"/>
      <c r="B4458" s="568" t="s">
        <v>975</v>
      </c>
      <c r="C4458" s="568"/>
      <c r="D4458" s="568"/>
      <c r="E4458" s="188"/>
      <c r="F4458" s="188"/>
      <c r="G4458" s="2122">
        <v>3.25</v>
      </c>
      <c r="H4458" s="568" t="s">
        <v>262</v>
      </c>
      <c r="I4458" s="2118" t="s">
        <v>38</v>
      </c>
      <c r="J4458" s="2123">
        <f>L137</f>
        <v>495</v>
      </c>
      <c r="K4458" s="2123">
        <f>ROUND(G4458*J4458,2)</f>
        <v>1608.75</v>
      </c>
      <c r="L4458" s="192"/>
      <c r="M4458" s="568"/>
    </row>
    <row r="4459" spans="1:17" ht="12.75">
      <c r="A4459" s="2114"/>
      <c r="B4459" s="568" t="s">
        <v>976</v>
      </c>
      <c r="C4459" s="568"/>
      <c r="D4459" s="568"/>
      <c r="E4459" s="188"/>
      <c r="F4459" s="188"/>
      <c r="G4459" s="2122">
        <v>7.6</v>
      </c>
      <c r="H4459" s="568" t="s">
        <v>262</v>
      </c>
      <c r="I4459" s="2118" t="s">
        <v>38</v>
      </c>
      <c r="J4459" s="2123">
        <f>L135</f>
        <v>385</v>
      </c>
      <c r="K4459" s="2123">
        <f>ROUND(G4459*J4459,2)</f>
        <v>2926</v>
      </c>
      <c r="L4459" s="192"/>
      <c r="M4459" s="568"/>
    </row>
    <row r="4460" spans="1:17" ht="12.75">
      <c r="A4460" s="2114"/>
      <c r="B4460" s="568" t="s">
        <v>717</v>
      </c>
      <c r="C4460" s="568"/>
      <c r="D4460" s="568"/>
      <c r="E4460" s="188"/>
      <c r="F4460" s="188"/>
      <c r="G4460" s="2122">
        <v>3.25</v>
      </c>
      <c r="H4460" s="568" t="s">
        <v>262</v>
      </c>
      <c r="I4460" s="2118" t="s">
        <v>38</v>
      </c>
      <c r="J4460" s="2123">
        <f>L134</f>
        <v>345</v>
      </c>
      <c r="K4460" s="2123">
        <f>ROUND(G4460*J4460,2)</f>
        <v>1121.25</v>
      </c>
      <c r="L4460" s="192"/>
      <c r="M4460" s="568"/>
    </row>
    <row r="4461" spans="1:17" ht="12.75">
      <c r="A4461" s="2114"/>
      <c r="B4461" s="568"/>
      <c r="C4461" s="568"/>
      <c r="D4461" s="568"/>
      <c r="E4461" s="188"/>
      <c r="F4461" s="188"/>
      <c r="G4461" s="2122"/>
      <c r="H4461" s="568"/>
      <c r="I4461" s="2118"/>
      <c r="J4461" s="2134" t="s">
        <v>718</v>
      </c>
      <c r="K4461" s="2123">
        <f>SUM(K4458:K4460)</f>
        <v>5656</v>
      </c>
      <c r="L4461" s="192"/>
      <c r="M4461" s="568"/>
    </row>
    <row r="4462" spans="1:17" ht="12.75">
      <c r="A4462" s="2114"/>
      <c r="B4462" s="192"/>
      <c r="C4462" s="568"/>
      <c r="D4462" s="568"/>
      <c r="E4462" s="188"/>
      <c r="F4462" s="188"/>
      <c r="G4462" s="2122"/>
      <c r="H4462" s="568"/>
      <c r="I4462" s="2118"/>
      <c r="J4462" s="2123"/>
      <c r="K4462" s="2123">
        <f>K4456+K4461</f>
        <v>6451.6</v>
      </c>
      <c r="L4462" s="192"/>
      <c r="M4462" s="568"/>
    </row>
    <row r="4463" spans="1:17" ht="12.75">
      <c r="A4463" s="2114"/>
      <c r="B4463" s="192" t="s">
        <v>3662</v>
      </c>
      <c r="C4463" s="568"/>
      <c r="D4463" s="568"/>
      <c r="E4463" s="188"/>
      <c r="F4463" s="188"/>
      <c r="G4463" s="2122"/>
      <c r="H4463" s="2135">
        <f>H4404</f>
        <v>7.4999999999999997E-2</v>
      </c>
      <c r="I4463" s="2134">
        <f>K4462</f>
        <v>6451.6</v>
      </c>
      <c r="J4463" s="2134"/>
      <c r="K4463" s="2123">
        <f>ROUND(I4463*H4463,2)</f>
        <v>483.87</v>
      </c>
      <c r="L4463" s="192"/>
      <c r="M4463" s="568"/>
    </row>
    <row r="4464" spans="1:17" ht="12.75">
      <c r="A4464" s="2114"/>
      <c r="B4464" s="192" t="s">
        <v>3661</v>
      </c>
      <c r="C4464" s="568"/>
      <c r="D4464" s="568"/>
      <c r="E4464" s="188"/>
      <c r="F4464" s="188"/>
      <c r="G4464" s="2122"/>
      <c r="H4464" s="2135">
        <f>H4463</f>
        <v>7.4999999999999997E-2</v>
      </c>
      <c r="I4464" s="2134">
        <f>I4463</f>
        <v>6451.6</v>
      </c>
      <c r="J4464" s="2134"/>
      <c r="K4464" s="2140">
        <f>ROUND(I4464*H4464,2)</f>
        <v>483.87</v>
      </c>
      <c r="L4464" s="192"/>
      <c r="M4464" s="568"/>
    </row>
    <row r="4465" spans="1:13" ht="12.75">
      <c r="A4465" s="2114"/>
      <c r="B4465" s="192" t="s">
        <v>1497</v>
      </c>
      <c r="C4465" s="568"/>
      <c r="D4465" s="568"/>
      <c r="E4465" s="188"/>
      <c r="F4465" s="188"/>
      <c r="G4465" s="2122"/>
      <c r="H4465" s="568"/>
      <c r="I4465" s="2118"/>
      <c r="J4465" s="2123" t="s">
        <v>718</v>
      </c>
      <c r="K4465" s="2123">
        <f>SUM(K4462:K4464)</f>
        <v>7419.34</v>
      </c>
      <c r="L4465" s="192"/>
      <c r="M4465" s="568"/>
    </row>
    <row r="4466" spans="1:13" ht="12.75">
      <c r="A4466" s="2114"/>
      <c r="B4466" s="192" t="s">
        <v>783</v>
      </c>
      <c r="C4466" s="568"/>
      <c r="D4466" s="568"/>
      <c r="E4466" s="188"/>
      <c r="F4466" s="188"/>
      <c r="G4466" s="2122"/>
      <c r="H4466" s="568"/>
      <c r="I4466" s="2118"/>
      <c r="J4466" s="2123"/>
      <c r="K4466" s="2123"/>
      <c r="L4466" s="192"/>
      <c r="M4466" s="568"/>
    </row>
    <row r="4467" spans="1:13" ht="12.75">
      <c r="A4467" s="2114"/>
      <c r="B4467" s="568" t="s">
        <v>775</v>
      </c>
      <c r="C4467" s="568"/>
      <c r="D4467" s="568"/>
      <c r="E4467" s="188"/>
      <c r="F4467" s="188"/>
      <c r="G4467" s="2122">
        <f>G4454</f>
        <v>0.15</v>
      </c>
      <c r="H4467" s="568" t="s">
        <v>49</v>
      </c>
      <c r="I4467" s="2118" t="s">
        <v>49</v>
      </c>
      <c r="J4467" s="2123">
        <f>K46</f>
        <v>717.46</v>
      </c>
      <c r="K4467" s="2123">
        <f>ROUND(G4467*J4467,2)</f>
        <v>107.62</v>
      </c>
      <c r="L4467" s="192"/>
      <c r="M4467" s="568"/>
    </row>
    <row r="4468" spans="1:13" ht="12.75">
      <c r="A4468" s="2114"/>
      <c r="B4468" s="568" t="s">
        <v>8</v>
      </c>
      <c r="C4468" s="568"/>
      <c r="D4468" s="568"/>
      <c r="E4468" s="188"/>
      <c r="F4468" s="188"/>
      <c r="G4468" s="2122">
        <f>G4455</f>
        <v>1.375</v>
      </c>
      <c r="H4468" s="568" t="s">
        <v>247</v>
      </c>
      <c r="I4468" s="2118" t="s">
        <v>247</v>
      </c>
      <c r="J4468" s="2123">
        <f>K50/10</f>
        <v>42.622</v>
      </c>
      <c r="K4468" s="2123">
        <f>ROUND(G4468*J4468,2)</f>
        <v>58.61</v>
      </c>
      <c r="L4468" s="192"/>
      <c r="M4468" s="568"/>
    </row>
    <row r="4469" spans="1:13" ht="12.75">
      <c r="A4469" s="2114"/>
      <c r="B4469" s="568" t="s">
        <v>13</v>
      </c>
      <c r="C4469" s="568"/>
      <c r="D4469" s="568"/>
      <c r="E4469" s="188"/>
      <c r="F4469" s="188"/>
      <c r="G4469" s="2122">
        <v>10</v>
      </c>
      <c r="H4469" s="568" t="s">
        <v>92</v>
      </c>
      <c r="I4469" s="2118" t="s">
        <v>92</v>
      </c>
      <c r="J4469" s="2123">
        <f>K52</f>
        <v>14.510277777777777</v>
      </c>
      <c r="K4469" s="2123">
        <f>ROUND(G4469*J4469,2)</f>
        <v>145.1</v>
      </c>
      <c r="L4469" s="192"/>
      <c r="M4469" s="568"/>
    </row>
    <row r="4470" spans="1:13" ht="12.75">
      <c r="A4470" s="2114"/>
      <c r="B4470" s="568"/>
      <c r="C4470" s="568"/>
      <c r="D4470" s="568"/>
      <c r="E4470" s="188"/>
      <c r="F4470" s="188"/>
      <c r="G4470" s="2122"/>
      <c r="H4470" s="568"/>
      <c r="I4470" s="2118"/>
      <c r="J4470" s="2134" t="s">
        <v>718</v>
      </c>
      <c r="K4470" s="2123">
        <f>SUM(K4467:K4469)</f>
        <v>311.33000000000004</v>
      </c>
      <c r="L4470" s="192"/>
      <c r="M4470" s="568"/>
    </row>
    <row r="4471" spans="1:13" ht="12.75">
      <c r="A4471" s="2114"/>
      <c r="B4471" s="568" t="s">
        <v>984</v>
      </c>
      <c r="C4471" s="568"/>
      <c r="D4471" s="568"/>
      <c r="E4471" s="188"/>
      <c r="F4471" s="188"/>
      <c r="G4471" s="2122"/>
      <c r="H4471" s="568"/>
      <c r="I4471" s="2118"/>
      <c r="J4471" s="2123"/>
      <c r="K4471" s="2123">
        <f>K4465+K4470</f>
        <v>7730.67</v>
      </c>
      <c r="L4471" s="192"/>
      <c r="M4471" s="568"/>
    </row>
    <row r="4472" spans="1:13" ht="12.75">
      <c r="A4472" s="2114"/>
      <c r="B4472" s="568" t="s">
        <v>985</v>
      </c>
      <c r="C4472" s="568"/>
      <c r="D4472" s="568"/>
      <c r="E4472" s="188"/>
      <c r="F4472" s="188"/>
      <c r="G4472" s="2122"/>
      <c r="H4472" s="568"/>
      <c r="I4472" s="2118"/>
      <c r="J4472" s="2126" t="s">
        <v>718</v>
      </c>
      <c r="K4472" s="2124">
        <f>ROUND(K4471/10,2)</f>
        <v>773.07</v>
      </c>
      <c r="L4472" s="192" t="s">
        <v>730</v>
      </c>
      <c r="M4472" s="568"/>
    </row>
    <row r="4473" spans="1:13" ht="12.75">
      <c r="A4473" s="2114"/>
      <c r="B4473" s="192" t="s">
        <v>3738</v>
      </c>
      <c r="C4473" s="2142">
        <v>0.01</v>
      </c>
      <c r="D4473" s="568"/>
      <c r="E4473" s="188"/>
      <c r="F4473" s="188"/>
      <c r="G4473" s="2122"/>
      <c r="H4473" s="568"/>
      <c r="I4473" s="2118"/>
      <c r="J4473" s="2123"/>
      <c r="K4473" s="2140">
        <f>ROUND(K4472*C4473,2)</f>
        <v>7.73</v>
      </c>
      <c r="L4473" s="192"/>
      <c r="M4473" s="568"/>
    </row>
    <row r="4474" spans="1:13" ht="12.75">
      <c r="A4474" s="2114"/>
      <c r="B4474" s="568"/>
      <c r="C4474" s="568"/>
      <c r="D4474" s="568"/>
      <c r="E4474" s="188"/>
      <c r="F4474" s="188"/>
      <c r="G4474" s="2122"/>
      <c r="H4474" s="568"/>
      <c r="I4474" s="2118"/>
      <c r="J4474" s="2126" t="s">
        <v>718</v>
      </c>
      <c r="K4474" s="2124">
        <f>SUM(K4472:K4473)</f>
        <v>780.80000000000007</v>
      </c>
      <c r="L4474" s="192" t="s">
        <v>730</v>
      </c>
      <c r="M4474" s="568"/>
    </row>
    <row r="4475" spans="1:13" ht="12.75" hidden="1">
      <c r="A4475" s="2114" t="s">
        <v>201</v>
      </c>
      <c r="B4475" s="2182" t="s">
        <v>3749</v>
      </c>
      <c r="C4475" s="568"/>
      <c r="D4475" s="568"/>
      <c r="E4475" s="188"/>
      <c r="F4475" s="188"/>
      <c r="G4475" s="2122"/>
      <c r="H4475" s="568"/>
      <c r="I4475" s="2118"/>
      <c r="J4475" s="2123"/>
      <c r="K4475" s="2123"/>
      <c r="L4475" s="192"/>
      <c r="M4475" s="568"/>
    </row>
    <row r="4476" spans="1:13" ht="12.75" hidden="1">
      <c r="A4476" s="2114" t="str">
        <f>A776</f>
        <v>(iv)</v>
      </c>
      <c r="B4476" s="192" t="s">
        <v>384</v>
      </c>
      <c r="C4476" s="568"/>
      <c r="D4476" s="568"/>
      <c r="E4476" s="2120" t="str">
        <f>G755</f>
        <v>Each Sqm</v>
      </c>
      <c r="F4476" s="2120"/>
      <c r="G4476" s="2122"/>
      <c r="H4476" s="568"/>
      <c r="I4476" s="2118"/>
      <c r="J4476" s="2123"/>
      <c r="K4476" s="2123"/>
      <c r="L4476" s="192"/>
      <c r="M4476" s="568"/>
    </row>
    <row r="4477" spans="1:13" ht="12.75" hidden="1">
      <c r="A4477" s="2114"/>
      <c r="B4477" s="568" t="s">
        <v>980</v>
      </c>
      <c r="C4477" s="568"/>
      <c r="D4477" s="568"/>
      <c r="E4477" s="188"/>
      <c r="F4477" s="188"/>
      <c r="G4477" s="2122"/>
      <c r="H4477" s="568"/>
      <c r="I4477" s="2118"/>
      <c r="J4477" s="2134" t="s">
        <v>718</v>
      </c>
      <c r="K4477" s="2123">
        <f>K4472</f>
        <v>773.07</v>
      </c>
      <c r="L4477" s="192" t="s">
        <v>730</v>
      </c>
      <c r="M4477" s="568"/>
    </row>
    <row r="4478" spans="1:13" ht="12.75" hidden="1">
      <c r="A4478" s="2114"/>
      <c r="B4478" s="568" t="s">
        <v>979</v>
      </c>
      <c r="C4478" s="568"/>
      <c r="D4478" s="568"/>
      <c r="E4478" s="188"/>
      <c r="F4478" s="188"/>
      <c r="G4478" s="2122">
        <v>1</v>
      </c>
      <c r="H4478" s="568" t="s">
        <v>92</v>
      </c>
      <c r="I4478" s="2118" t="s">
        <v>92</v>
      </c>
      <c r="J4478" s="2123">
        <f>G52</f>
        <v>695.76</v>
      </c>
      <c r="K4478" s="2123">
        <f>ROUND(G4478*J4478,2)</f>
        <v>695.76</v>
      </c>
      <c r="L4478" s="192"/>
      <c r="M4478" s="568"/>
    </row>
    <row r="4479" spans="1:13" ht="12.75" hidden="1">
      <c r="A4479" s="2114"/>
      <c r="B4479" s="192" t="s">
        <v>3662</v>
      </c>
      <c r="C4479" s="568"/>
      <c r="D4479" s="568"/>
      <c r="E4479" s="188"/>
      <c r="F4479" s="188"/>
      <c r="G4479" s="2122"/>
      <c r="H4479" s="2135">
        <f>H4463</f>
        <v>7.4999999999999997E-2</v>
      </c>
      <c r="I4479" s="2134">
        <f>K4478</f>
        <v>695.76</v>
      </c>
      <c r="J4479" s="2134"/>
      <c r="K4479" s="2123">
        <f>ROUND(I4479*H4479,2)</f>
        <v>52.18</v>
      </c>
      <c r="L4479" s="192"/>
      <c r="M4479" s="568"/>
    </row>
    <row r="4480" spans="1:13" ht="12.75" hidden="1">
      <c r="A4480" s="2114"/>
      <c r="B4480" s="192" t="s">
        <v>3661</v>
      </c>
      <c r="C4480" s="568"/>
      <c r="D4480" s="568"/>
      <c r="E4480" s="188"/>
      <c r="F4480" s="188"/>
      <c r="G4480" s="2122"/>
      <c r="H4480" s="2135">
        <f>H4479</f>
        <v>7.4999999999999997E-2</v>
      </c>
      <c r="I4480" s="2134">
        <f>I4479</f>
        <v>695.76</v>
      </c>
      <c r="J4480" s="2134"/>
      <c r="K4480" s="2140">
        <f>ROUND(I4480*H4480,2)</f>
        <v>52.18</v>
      </c>
      <c r="L4480" s="192"/>
      <c r="M4480" s="568"/>
    </row>
    <row r="4481" spans="1:15" ht="12.75" hidden="1">
      <c r="A4481" s="2114"/>
      <c r="B4481" s="568"/>
      <c r="C4481" s="568"/>
      <c r="D4481" s="568"/>
      <c r="E4481" s="188"/>
      <c r="F4481" s="188"/>
      <c r="G4481" s="2122"/>
      <c r="H4481" s="568"/>
      <c r="I4481" s="2118"/>
      <c r="J4481" s="2123"/>
      <c r="K4481" s="2123">
        <f>SUM(K4477:K4480)</f>
        <v>1573.19</v>
      </c>
      <c r="L4481" s="192"/>
      <c r="M4481" s="568"/>
    </row>
    <row r="4482" spans="1:15" ht="12.75" hidden="1">
      <c r="A4482" s="2114"/>
      <c r="B4482" s="192" t="s">
        <v>3738</v>
      </c>
      <c r="C4482" s="2142">
        <v>0.01</v>
      </c>
      <c r="D4482" s="568"/>
      <c r="E4482" s="188"/>
      <c r="F4482" s="188"/>
      <c r="G4482" s="2122"/>
      <c r="H4482" s="568"/>
      <c r="I4482" s="2118"/>
      <c r="J4482" s="2123"/>
      <c r="K4482" s="2140">
        <f>ROUND(K4481*C4482,2)</f>
        <v>15.73</v>
      </c>
      <c r="L4482" s="192"/>
      <c r="M4482" s="568"/>
    </row>
    <row r="4483" spans="1:15" ht="12.75" hidden="1">
      <c r="A4483" s="2114"/>
      <c r="B4483" s="568"/>
      <c r="C4483" s="568"/>
      <c r="D4483" s="568"/>
      <c r="E4483" s="188"/>
      <c r="F4483" s="188"/>
      <c r="G4483" s="2122"/>
      <c r="H4483" s="568"/>
      <c r="I4483" s="2118"/>
      <c r="J4483" s="2126" t="s">
        <v>718</v>
      </c>
      <c r="K4483" s="2124">
        <f>SUM(K4481:K4482)</f>
        <v>1588.92</v>
      </c>
      <c r="L4483" s="192" t="s">
        <v>730</v>
      </c>
      <c r="M4483" s="568"/>
    </row>
    <row r="4484" spans="1:15" ht="12.75" hidden="1">
      <c r="A4484" s="2114" t="str">
        <f>A790</f>
        <v>(ii)</v>
      </c>
      <c r="B4484" s="192" t="str">
        <f>B790</f>
        <v>First Floor</v>
      </c>
      <c r="C4484" s="568"/>
      <c r="D4484" s="568"/>
      <c r="E4484" s="2120" t="str">
        <f>E4451</f>
        <v>Each Sqm</v>
      </c>
      <c r="F4484" s="2120"/>
      <c r="G4484" s="2122"/>
      <c r="H4484" s="568"/>
      <c r="I4484" s="2118"/>
      <c r="J4484" s="2123"/>
      <c r="K4484" s="2123"/>
      <c r="L4484" s="192"/>
      <c r="M4484" s="568"/>
    </row>
    <row r="4485" spans="1:15" ht="12.75" hidden="1">
      <c r="A4485" s="2114"/>
      <c r="B4485" s="568" t="s">
        <v>722</v>
      </c>
      <c r="C4485" s="568"/>
      <c r="D4485" s="568"/>
      <c r="E4485" s="188"/>
      <c r="F4485" s="188"/>
      <c r="G4485" s="2122"/>
      <c r="H4485" s="568"/>
      <c r="I4485" s="2118"/>
      <c r="J4485" s="2123"/>
      <c r="K4485" s="2123">
        <f>K4481</f>
        <v>1573.19</v>
      </c>
      <c r="L4485" s="192"/>
      <c r="M4485" s="568"/>
    </row>
    <row r="4486" spans="1:15" ht="12.75" hidden="1">
      <c r="A4486" s="2114"/>
      <c r="B4486" s="568" t="s">
        <v>723</v>
      </c>
      <c r="C4486" s="568"/>
      <c r="D4486" s="568"/>
      <c r="E4486" s="188"/>
      <c r="F4486" s="188"/>
      <c r="G4486" s="2122"/>
      <c r="H4486" s="2125">
        <v>0.05</v>
      </c>
      <c r="I4486" s="2134">
        <f>K4461/10</f>
        <v>565.6</v>
      </c>
      <c r="J4486" s="2124"/>
      <c r="K4486" s="2123">
        <f>ROUND(I4486*H4486,2)</f>
        <v>28.28</v>
      </c>
      <c r="L4486" s="192"/>
      <c r="M4486" s="568"/>
      <c r="O4486" s="1705">
        <v>28.28</v>
      </c>
    </row>
    <row r="4487" spans="1:15" ht="12.75" hidden="1">
      <c r="A4487" s="2114"/>
      <c r="B4487" s="192" t="s">
        <v>3662</v>
      </c>
      <c r="C4487" s="568"/>
      <c r="D4487" s="568"/>
      <c r="E4487" s="188"/>
      <c r="F4487" s="188"/>
      <c r="G4487" s="2122"/>
      <c r="H4487" s="2135">
        <f>H4480</f>
        <v>7.4999999999999997E-2</v>
      </c>
      <c r="I4487" s="2134">
        <f>K4486</f>
        <v>28.28</v>
      </c>
      <c r="J4487" s="2134"/>
      <c r="K4487" s="2123">
        <f>ROUND(I4487*H4487,2)</f>
        <v>2.12</v>
      </c>
      <c r="L4487" s="192"/>
      <c r="M4487" s="568"/>
    </row>
    <row r="4488" spans="1:15" ht="12.75" hidden="1">
      <c r="A4488" s="2114"/>
      <c r="B4488" s="192" t="s">
        <v>3661</v>
      </c>
      <c r="C4488" s="568"/>
      <c r="D4488" s="568"/>
      <c r="E4488" s="188"/>
      <c r="F4488" s="188"/>
      <c r="G4488" s="2122"/>
      <c r="H4488" s="2135">
        <f>H4487</f>
        <v>7.4999999999999997E-2</v>
      </c>
      <c r="I4488" s="2134">
        <f>I4487</f>
        <v>28.28</v>
      </c>
      <c r="J4488" s="2134"/>
      <c r="K4488" s="2140">
        <f>ROUND(I4488*H4488,2)</f>
        <v>2.12</v>
      </c>
      <c r="L4488" s="192"/>
      <c r="M4488" s="568"/>
    </row>
    <row r="4489" spans="1:15" ht="12.75" hidden="1">
      <c r="A4489" s="2114"/>
      <c r="B4489" s="568"/>
      <c r="C4489" s="568"/>
      <c r="D4489" s="568"/>
      <c r="E4489" s="188"/>
      <c r="F4489" s="188"/>
      <c r="G4489" s="2122"/>
      <c r="H4489" s="568"/>
      <c r="I4489" s="2118"/>
      <c r="J4489" s="2123"/>
      <c r="K4489" s="2123">
        <f>SUM(K4485:K4488)</f>
        <v>1605.7099999999998</v>
      </c>
      <c r="L4489" s="192"/>
      <c r="M4489" s="568"/>
    </row>
    <row r="4490" spans="1:15" ht="12.75" hidden="1">
      <c r="A4490" s="2114"/>
      <c r="B4490" s="192" t="s">
        <v>3738</v>
      </c>
      <c r="C4490" s="2142">
        <v>0.01</v>
      </c>
      <c r="D4490" s="568"/>
      <c r="E4490" s="188"/>
      <c r="F4490" s="188"/>
      <c r="G4490" s="2122"/>
      <c r="H4490" s="568"/>
      <c r="I4490" s="2118"/>
      <c r="J4490" s="2123"/>
      <c r="K4490" s="2140">
        <f>ROUND(K4489*C4490,2)</f>
        <v>16.059999999999999</v>
      </c>
      <c r="L4490" s="192"/>
      <c r="M4490" s="568"/>
    </row>
    <row r="4491" spans="1:15" ht="12.75" hidden="1">
      <c r="A4491" s="2114"/>
      <c r="B4491" s="568"/>
      <c r="C4491" s="568"/>
      <c r="D4491" s="568"/>
      <c r="E4491" s="188"/>
      <c r="F4491" s="188"/>
      <c r="G4491" s="2122"/>
      <c r="H4491" s="568"/>
      <c r="I4491" s="2118"/>
      <c r="J4491" s="2126" t="s">
        <v>718</v>
      </c>
      <c r="K4491" s="2124">
        <f>SUM(K4489:K4490)</f>
        <v>1621.7699999999998</v>
      </c>
      <c r="L4491" s="192" t="s">
        <v>730</v>
      </c>
      <c r="M4491" s="568"/>
    </row>
    <row r="4492" spans="1:15" ht="12.75" hidden="1">
      <c r="A4492" s="2114" t="str">
        <f>A791</f>
        <v>(iii)</v>
      </c>
      <c r="B4492" s="192" t="str">
        <f>B791</f>
        <v>2nd Floor</v>
      </c>
      <c r="C4492" s="568"/>
      <c r="D4492" s="568"/>
      <c r="E4492" s="2120" t="str">
        <f>E4484</f>
        <v>Each Sqm</v>
      </c>
      <c r="F4492" s="2120"/>
      <c r="G4492" s="2122"/>
      <c r="H4492" s="568"/>
      <c r="I4492" s="2118"/>
      <c r="J4492" s="2123"/>
      <c r="K4492" s="2123"/>
      <c r="L4492" s="192"/>
      <c r="M4492" s="568"/>
    </row>
    <row r="4493" spans="1:15" ht="12.75" hidden="1">
      <c r="A4493" s="2114"/>
      <c r="B4493" s="568" t="s">
        <v>722</v>
      </c>
      <c r="C4493" s="568"/>
      <c r="D4493" s="568"/>
      <c r="E4493" s="188"/>
      <c r="F4493" s="188"/>
      <c r="G4493" s="2122"/>
      <c r="H4493" s="568"/>
      <c r="I4493" s="2118"/>
      <c r="J4493" s="2123"/>
      <c r="K4493" s="2123">
        <f>K4489</f>
        <v>1605.7099999999998</v>
      </c>
      <c r="L4493" s="192"/>
      <c r="M4493" s="568"/>
    </row>
    <row r="4494" spans="1:15" ht="12.75" hidden="1">
      <c r="A4494" s="2114"/>
      <c r="B4494" s="568" t="s">
        <v>723</v>
      </c>
      <c r="C4494" s="568"/>
      <c r="D4494" s="568"/>
      <c r="E4494" s="188"/>
      <c r="F4494" s="188"/>
      <c r="G4494" s="2122"/>
      <c r="H4494" s="2125">
        <v>0.05</v>
      </c>
      <c r="I4494" s="2134">
        <f>I4486+K4486</f>
        <v>593.88</v>
      </c>
      <c r="J4494" s="2124"/>
      <c r="K4494" s="2123">
        <f>ROUND(I4494*H4494,2)</f>
        <v>29.69</v>
      </c>
      <c r="L4494" s="192"/>
      <c r="M4494" s="568"/>
      <c r="O4494" s="1705">
        <v>29.29</v>
      </c>
    </row>
    <row r="4495" spans="1:15" ht="12.75" hidden="1">
      <c r="A4495" s="2114"/>
      <c r="B4495" s="192" t="s">
        <v>3662</v>
      </c>
      <c r="C4495" s="568"/>
      <c r="D4495" s="568"/>
      <c r="E4495" s="188"/>
      <c r="F4495" s="188"/>
      <c r="G4495" s="2122"/>
      <c r="H4495" s="2135">
        <f>H4488</f>
        <v>7.4999999999999997E-2</v>
      </c>
      <c r="I4495" s="2134">
        <f>K4494</f>
        <v>29.69</v>
      </c>
      <c r="J4495" s="2134"/>
      <c r="K4495" s="2123">
        <f>ROUND(I4495*H4495,2)</f>
        <v>2.23</v>
      </c>
      <c r="L4495" s="192"/>
      <c r="M4495" s="568"/>
    </row>
    <row r="4496" spans="1:15" ht="12.75" hidden="1">
      <c r="A4496" s="2114"/>
      <c r="B4496" s="192" t="s">
        <v>3661</v>
      </c>
      <c r="C4496" s="568"/>
      <c r="D4496" s="568"/>
      <c r="E4496" s="188"/>
      <c r="F4496" s="188"/>
      <c r="G4496" s="2122"/>
      <c r="H4496" s="2135">
        <f>H4495</f>
        <v>7.4999999999999997E-2</v>
      </c>
      <c r="I4496" s="2134">
        <f>I4495</f>
        <v>29.69</v>
      </c>
      <c r="J4496" s="2134"/>
      <c r="K4496" s="2140">
        <f>ROUND(I4496*H4496,2)</f>
        <v>2.23</v>
      </c>
      <c r="L4496" s="192"/>
      <c r="M4496" s="568"/>
    </row>
    <row r="4497" spans="1:15" ht="12.75" hidden="1">
      <c r="A4497" s="2114"/>
      <c r="B4497" s="568"/>
      <c r="C4497" s="568"/>
      <c r="D4497" s="568"/>
      <c r="E4497" s="188"/>
      <c r="F4497" s="188"/>
      <c r="G4497" s="2122"/>
      <c r="H4497" s="568"/>
      <c r="I4497" s="2118"/>
      <c r="J4497" s="2123"/>
      <c r="K4497" s="2123">
        <f>SUM(K4493:K4496)</f>
        <v>1639.86</v>
      </c>
      <c r="L4497" s="192"/>
      <c r="M4497" s="568"/>
    </row>
    <row r="4498" spans="1:15" ht="12.75" hidden="1">
      <c r="A4498" s="2114"/>
      <c r="B4498" s="192" t="s">
        <v>3738</v>
      </c>
      <c r="C4498" s="2142">
        <v>0.01</v>
      </c>
      <c r="D4498" s="568"/>
      <c r="E4498" s="188"/>
      <c r="F4498" s="188"/>
      <c r="G4498" s="2122"/>
      <c r="H4498" s="568"/>
      <c r="I4498" s="2118"/>
      <c r="J4498" s="2123"/>
      <c r="K4498" s="2140">
        <f>ROUND(K4497*C4498,2)</f>
        <v>16.399999999999999</v>
      </c>
      <c r="L4498" s="192"/>
      <c r="M4498" s="568"/>
    </row>
    <row r="4499" spans="1:15" ht="12.75" hidden="1">
      <c r="A4499" s="2114"/>
      <c r="B4499" s="568"/>
      <c r="C4499" s="568"/>
      <c r="D4499" s="568"/>
      <c r="E4499" s="188"/>
      <c r="F4499" s="188"/>
      <c r="G4499" s="2122"/>
      <c r="H4499" s="568"/>
      <c r="I4499" s="2118"/>
      <c r="J4499" s="2126" t="s">
        <v>718</v>
      </c>
      <c r="K4499" s="2124">
        <f>SUM(K4497:K4498)</f>
        <v>1656.26</v>
      </c>
      <c r="L4499" s="192" t="s">
        <v>730</v>
      </c>
      <c r="M4499" s="568"/>
    </row>
    <row r="4500" spans="1:15" ht="12.75" hidden="1">
      <c r="A4500" s="2114" t="str">
        <f>A792</f>
        <v>(iv)</v>
      </c>
      <c r="B4500" s="192" t="str">
        <f>B792</f>
        <v>3rd Floor</v>
      </c>
      <c r="C4500" s="568"/>
      <c r="D4500" s="568"/>
      <c r="E4500" s="2120" t="str">
        <f>E4492</f>
        <v>Each Sqm</v>
      </c>
      <c r="F4500" s="2120"/>
      <c r="G4500" s="2122"/>
      <c r="H4500" s="568"/>
      <c r="I4500" s="2118"/>
      <c r="J4500" s="2123"/>
      <c r="K4500" s="2123"/>
      <c r="L4500" s="192"/>
      <c r="M4500" s="568"/>
    </row>
    <row r="4501" spans="1:15" ht="12.75" hidden="1">
      <c r="A4501" s="2114"/>
      <c r="B4501" s="568" t="s">
        <v>722</v>
      </c>
      <c r="C4501" s="568"/>
      <c r="D4501" s="568"/>
      <c r="E4501" s="188"/>
      <c r="F4501" s="188"/>
      <c r="G4501" s="2122"/>
      <c r="H4501" s="568"/>
      <c r="I4501" s="2118"/>
      <c r="J4501" s="2123"/>
      <c r="K4501" s="2123">
        <f>K4497</f>
        <v>1639.86</v>
      </c>
      <c r="L4501" s="192"/>
      <c r="M4501" s="568"/>
    </row>
    <row r="4502" spans="1:15" ht="12.75" hidden="1">
      <c r="A4502" s="2114"/>
      <c r="B4502" s="568" t="s">
        <v>723</v>
      </c>
      <c r="C4502" s="568"/>
      <c r="D4502" s="568"/>
      <c r="E4502" s="188"/>
      <c r="F4502" s="188"/>
      <c r="G4502" s="2122"/>
      <c r="H4502" s="2125">
        <v>0.05</v>
      </c>
      <c r="I4502" s="2134">
        <f>I4494+K4494</f>
        <v>623.57000000000005</v>
      </c>
      <c r="J4502" s="2124"/>
      <c r="K4502" s="2123">
        <f>ROUND(I4502*H4502,2)</f>
        <v>31.18</v>
      </c>
      <c r="L4502" s="192"/>
      <c r="M4502" s="568"/>
      <c r="O4502" s="1705">
        <v>31.17</v>
      </c>
    </row>
    <row r="4503" spans="1:15" ht="12.75" hidden="1">
      <c r="A4503" s="2114"/>
      <c r="B4503" s="192" t="s">
        <v>3662</v>
      </c>
      <c r="C4503" s="568"/>
      <c r="D4503" s="568"/>
      <c r="E4503" s="188"/>
      <c r="F4503" s="188"/>
      <c r="G4503" s="2122"/>
      <c r="H4503" s="2135">
        <f>H4496</f>
        <v>7.4999999999999997E-2</v>
      </c>
      <c r="I4503" s="2134">
        <f>K4502</f>
        <v>31.18</v>
      </c>
      <c r="J4503" s="2134"/>
      <c r="K4503" s="2123">
        <f>ROUND(I4503*H4503,2)</f>
        <v>2.34</v>
      </c>
      <c r="L4503" s="192"/>
      <c r="M4503" s="568"/>
    </row>
    <row r="4504" spans="1:15" ht="12.75" hidden="1">
      <c r="A4504" s="2114"/>
      <c r="B4504" s="192" t="s">
        <v>3661</v>
      </c>
      <c r="C4504" s="568"/>
      <c r="D4504" s="568"/>
      <c r="E4504" s="188"/>
      <c r="F4504" s="188"/>
      <c r="G4504" s="2122"/>
      <c r="H4504" s="2135">
        <f>H4503</f>
        <v>7.4999999999999997E-2</v>
      </c>
      <c r="I4504" s="2134">
        <f>I4503</f>
        <v>31.18</v>
      </c>
      <c r="J4504" s="2134"/>
      <c r="K4504" s="2140">
        <f>ROUND(I4504*H4504,2)</f>
        <v>2.34</v>
      </c>
      <c r="L4504" s="192"/>
      <c r="M4504" s="568"/>
    </row>
    <row r="4505" spans="1:15" ht="12.75" hidden="1">
      <c r="A4505" s="2114"/>
      <c r="B4505" s="568"/>
      <c r="C4505" s="568"/>
      <c r="D4505" s="568"/>
      <c r="E4505" s="188"/>
      <c r="F4505" s="188"/>
      <c r="G4505" s="2122"/>
      <c r="H4505" s="568"/>
      <c r="I4505" s="2118"/>
      <c r="J4505" s="2123"/>
      <c r="K4505" s="2123">
        <f>SUM(K4501:K4504)</f>
        <v>1675.7199999999998</v>
      </c>
      <c r="L4505" s="192"/>
      <c r="M4505" s="568"/>
    </row>
    <row r="4506" spans="1:15" ht="12.75" hidden="1">
      <c r="A4506" s="2114"/>
      <c r="B4506" s="192" t="s">
        <v>3738</v>
      </c>
      <c r="C4506" s="2142">
        <v>0.01</v>
      </c>
      <c r="D4506" s="568"/>
      <c r="E4506" s="188"/>
      <c r="F4506" s="188"/>
      <c r="G4506" s="2122"/>
      <c r="H4506" s="568"/>
      <c r="I4506" s="2118"/>
      <c r="J4506" s="2123"/>
      <c r="K4506" s="2140">
        <f>ROUND(K4505*C4506,2)</f>
        <v>16.760000000000002</v>
      </c>
      <c r="L4506" s="192"/>
      <c r="M4506" s="568"/>
    </row>
    <row r="4507" spans="1:15" ht="12.75" hidden="1">
      <c r="A4507" s="2114"/>
      <c r="B4507" s="568"/>
      <c r="C4507" s="568"/>
      <c r="D4507" s="568"/>
      <c r="E4507" s="188"/>
      <c r="F4507" s="188"/>
      <c r="G4507" s="2122"/>
      <c r="H4507" s="568"/>
      <c r="I4507" s="2118"/>
      <c r="J4507" s="2126" t="s">
        <v>718</v>
      </c>
      <c r="K4507" s="2124">
        <f>SUM(K4505:K4506)</f>
        <v>1692.4799999999998</v>
      </c>
      <c r="L4507" s="192" t="s">
        <v>730</v>
      </c>
      <c r="M4507" s="568"/>
    </row>
    <row r="4508" spans="1:15" ht="12.75" hidden="1">
      <c r="A4508" s="2114" t="str">
        <f>A793</f>
        <v>B)</v>
      </c>
      <c r="B4508" s="2165" t="str">
        <f>B4276</f>
        <v>Vertified tile ( 600x 600)Plain</v>
      </c>
      <c r="C4508" s="568"/>
      <c r="D4508" s="568"/>
      <c r="E4508" s="188"/>
      <c r="F4508" s="188"/>
      <c r="G4508" s="2122"/>
      <c r="H4508" s="568"/>
      <c r="I4508" s="2118"/>
      <c r="J4508" s="2123"/>
      <c r="K4508" s="2123"/>
      <c r="L4508" s="192"/>
      <c r="M4508" s="568"/>
    </row>
    <row r="4509" spans="1:15" ht="12.75" hidden="1">
      <c r="A4509" s="2114" t="str">
        <f>A794</f>
        <v>(i)</v>
      </c>
      <c r="B4509" s="192" t="str">
        <f>B794</f>
        <v>Ground Floor</v>
      </c>
      <c r="C4509" s="568"/>
      <c r="D4509" s="568"/>
      <c r="E4509" s="2120" t="str">
        <f>G773</f>
        <v>Each Sqm</v>
      </c>
      <c r="F4509" s="2120"/>
      <c r="G4509" s="2122"/>
      <c r="H4509" s="568"/>
      <c r="I4509" s="2118"/>
      <c r="J4509" s="2123"/>
      <c r="K4509" s="2123"/>
      <c r="L4509" s="192"/>
      <c r="M4509" s="568"/>
    </row>
    <row r="4510" spans="1:15" ht="12.75" hidden="1">
      <c r="A4510" s="2114"/>
      <c r="B4510" s="568" t="s">
        <v>980</v>
      </c>
      <c r="C4510" s="568"/>
      <c r="D4510" s="568"/>
      <c r="E4510" s="188"/>
      <c r="F4510" s="188"/>
      <c r="G4510" s="2122"/>
      <c r="H4510" s="568"/>
      <c r="I4510" s="2118"/>
      <c r="J4510" s="2134" t="s">
        <v>718</v>
      </c>
      <c r="K4510" s="2123">
        <f>K4472</f>
        <v>773.07</v>
      </c>
      <c r="L4510" s="192" t="s">
        <v>730</v>
      </c>
      <c r="M4510" s="568"/>
    </row>
    <row r="4511" spans="1:15" ht="12.75" hidden="1">
      <c r="A4511" s="2114"/>
      <c r="B4511" s="568" t="s">
        <v>979</v>
      </c>
      <c r="C4511" s="568"/>
      <c r="D4511" s="568"/>
      <c r="E4511" s="188"/>
      <c r="F4511" s="188"/>
      <c r="G4511" s="2122">
        <f>G4478</f>
        <v>1</v>
      </c>
      <c r="H4511" s="568" t="s">
        <v>92</v>
      </c>
      <c r="I4511" s="2118" t="s">
        <v>92</v>
      </c>
      <c r="J4511" s="2123">
        <f>G53</f>
        <v>651.08000000000004</v>
      </c>
      <c r="K4511" s="2123">
        <f>ROUND(G4511*J4511,2)</f>
        <v>651.08000000000004</v>
      </c>
      <c r="L4511" s="192"/>
      <c r="M4511" s="568"/>
    </row>
    <row r="4512" spans="1:15" ht="12.75" hidden="1">
      <c r="A4512" s="2114"/>
      <c r="B4512" s="192" t="s">
        <v>3662</v>
      </c>
      <c r="C4512" s="568"/>
      <c r="D4512" s="568"/>
      <c r="E4512" s="188"/>
      <c r="F4512" s="188"/>
      <c r="G4512" s="2122"/>
      <c r="H4512" s="2135">
        <f>H4496</f>
        <v>7.4999999999999997E-2</v>
      </c>
      <c r="I4512" s="2134">
        <f>K4511</f>
        <v>651.08000000000004</v>
      </c>
      <c r="J4512" s="2134"/>
      <c r="K4512" s="2123">
        <f>ROUND(I4512*H4512,2)</f>
        <v>48.83</v>
      </c>
      <c r="L4512" s="192"/>
      <c r="M4512" s="568"/>
    </row>
    <row r="4513" spans="1:13" ht="12.75" hidden="1">
      <c r="A4513" s="2114"/>
      <c r="B4513" s="192" t="s">
        <v>3661</v>
      </c>
      <c r="C4513" s="568"/>
      <c r="D4513" s="568"/>
      <c r="E4513" s="188"/>
      <c r="F4513" s="188"/>
      <c r="G4513" s="2122"/>
      <c r="H4513" s="2135">
        <f>H4512</f>
        <v>7.4999999999999997E-2</v>
      </c>
      <c r="I4513" s="2134">
        <f>I4512</f>
        <v>651.08000000000004</v>
      </c>
      <c r="J4513" s="2134"/>
      <c r="K4513" s="2140">
        <f>ROUND(I4513*H4513,2)</f>
        <v>48.83</v>
      </c>
      <c r="L4513" s="192"/>
      <c r="M4513" s="568"/>
    </row>
    <row r="4514" spans="1:13" ht="12.75" hidden="1">
      <c r="A4514" s="2114"/>
      <c r="B4514" s="568"/>
      <c r="C4514" s="568"/>
      <c r="D4514" s="568"/>
      <c r="E4514" s="188"/>
      <c r="F4514" s="188"/>
      <c r="G4514" s="2122"/>
      <c r="H4514" s="568"/>
      <c r="I4514" s="2118"/>
      <c r="J4514" s="2123"/>
      <c r="K4514" s="2123">
        <f>SUM(K4510:K4513)</f>
        <v>1521.81</v>
      </c>
      <c r="L4514" s="192"/>
      <c r="M4514" s="568"/>
    </row>
    <row r="4515" spans="1:13" ht="12.75" hidden="1">
      <c r="A4515" s="2114"/>
      <c r="B4515" s="192" t="s">
        <v>3738</v>
      </c>
      <c r="C4515" s="2142">
        <v>0.01</v>
      </c>
      <c r="D4515" s="568"/>
      <c r="E4515" s="188"/>
      <c r="F4515" s="188"/>
      <c r="G4515" s="2122"/>
      <c r="H4515" s="568"/>
      <c r="I4515" s="2118"/>
      <c r="J4515" s="2123"/>
      <c r="K4515" s="2140">
        <f>ROUND(K4514*C4515,2)</f>
        <v>15.22</v>
      </c>
      <c r="L4515" s="192"/>
      <c r="M4515" s="568"/>
    </row>
    <row r="4516" spans="1:13" ht="12.75" hidden="1">
      <c r="A4516" s="2114"/>
      <c r="B4516" s="568"/>
      <c r="C4516" s="568"/>
      <c r="D4516" s="568"/>
      <c r="E4516" s="188"/>
      <c r="F4516" s="188"/>
      <c r="G4516" s="2122"/>
      <c r="H4516" s="568"/>
      <c r="I4516" s="2118"/>
      <c r="J4516" s="2126" t="s">
        <v>718</v>
      </c>
      <c r="K4516" s="2124">
        <f>SUM(K4514:K4515)</f>
        <v>1537.03</v>
      </c>
      <c r="L4516" s="192" t="s">
        <v>730</v>
      </c>
      <c r="M4516" s="568"/>
    </row>
    <row r="4517" spans="1:13" ht="12.75" hidden="1">
      <c r="A4517" s="2114" t="str">
        <f>A795</f>
        <v>(ii)</v>
      </c>
      <c r="B4517" s="192" t="str">
        <f>B795</f>
        <v>First Floor</v>
      </c>
      <c r="C4517" s="568"/>
      <c r="D4517" s="568"/>
      <c r="E4517" s="2120" t="str">
        <f>E4509</f>
        <v>Each Sqm</v>
      </c>
      <c r="F4517" s="2120"/>
      <c r="G4517" s="2122"/>
      <c r="H4517" s="568"/>
      <c r="I4517" s="2118"/>
      <c r="J4517" s="2123"/>
      <c r="K4517" s="2123"/>
      <c r="L4517" s="192"/>
      <c r="M4517" s="568"/>
    </row>
    <row r="4518" spans="1:13" ht="12.75" hidden="1">
      <c r="A4518" s="2114"/>
      <c r="B4518" s="568" t="s">
        <v>722</v>
      </c>
      <c r="C4518" s="568"/>
      <c r="D4518" s="568"/>
      <c r="E4518" s="188"/>
      <c r="F4518" s="188"/>
      <c r="G4518" s="2122"/>
      <c r="H4518" s="568"/>
      <c r="I4518" s="2118"/>
      <c r="J4518" s="2123"/>
      <c r="K4518" s="2123">
        <f>K4514</f>
        <v>1521.81</v>
      </c>
      <c r="L4518" s="192"/>
      <c r="M4518" s="568"/>
    </row>
    <row r="4519" spans="1:13" ht="12.75" hidden="1">
      <c r="A4519" s="2114"/>
      <c r="B4519" s="568" t="s">
        <v>723</v>
      </c>
      <c r="C4519" s="568"/>
      <c r="D4519" s="568"/>
      <c r="E4519" s="188"/>
      <c r="F4519" s="188"/>
      <c r="G4519" s="2122"/>
      <c r="H4519" s="2125">
        <v>0.05</v>
      </c>
      <c r="I4519" s="2134">
        <f>I4486</f>
        <v>565.6</v>
      </c>
      <c r="J4519" s="2124"/>
      <c r="K4519" s="2123">
        <f>ROUND(I4519*H4519,2)</f>
        <v>28.28</v>
      </c>
      <c r="L4519" s="192"/>
      <c r="M4519" s="568"/>
    </row>
    <row r="4520" spans="1:13" ht="12.75" hidden="1">
      <c r="A4520" s="2114"/>
      <c r="B4520" s="192" t="s">
        <v>3662</v>
      </c>
      <c r="C4520" s="568"/>
      <c r="D4520" s="568"/>
      <c r="E4520" s="188"/>
      <c r="F4520" s="188"/>
      <c r="G4520" s="2122"/>
      <c r="H4520" s="2135">
        <f>H4513</f>
        <v>7.4999999999999997E-2</v>
      </c>
      <c r="I4520" s="2134">
        <f>K4519</f>
        <v>28.28</v>
      </c>
      <c r="J4520" s="2134"/>
      <c r="K4520" s="2123">
        <f>ROUND(I4520*H4520,2)</f>
        <v>2.12</v>
      </c>
      <c r="L4520" s="192"/>
      <c r="M4520" s="568"/>
    </row>
    <row r="4521" spans="1:13" ht="12.75" hidden="1">
      <c r="A4521" s="2114"/>
      <c r="B4521" s="192" t="s">
        <v>3661</v>
      </c>
      <c r="C4521" s="568"/>
      <c r="D4521" s="568"/>
      <c r="E4521" s="188"/>
      <c r="F4521" s="188"/>
      <c r="G4521" s="2122"/>
      <c r="H4521" s="2135">
        <f>H4520</f>
        <v>7.4999999999999997E-2</v>
      </c>
      <c r="I4521" s="2134">
        <f>I4520</f>
        <v>28.28</v>
      </c>
      <c r="J4521" s="2134"/>
      <c r="K4521" s="2140">
        <f>ROUND(I4521*H4521,2)</f>
        <v>2.12</v>
      </c>
      <c r="L4521" s="192"/>
      <c r="M4521" s="568"/>
    </row>
    <row r="4522" spans="1:13" ht="12.75" hidden="1">
      <c r="A4522" s="2114"/>
      <c r="B4522" s="568"/>
      <c r="C4522" s="568"/>
      <c r="D4522" s="568"/>
      <c r="E4522" s="188"/>
      <c r="F4522" s="188"/>
      <c r="G4522" s="2122"/>
      <c r="H4522" s="568"/>
      <c r="I4522" s="2118"/>
      <c r="J4522" s="2123"/>
      <c r="K4522" s="2123">
        <f>SUM(K4518:K4521)</f>
        <v>1554.3299999999997</v>
      </c>
      <c r="L4522" s="192"/>
      <c r="M4522" s="568"/>
    </row>
    <row r="4523" spans="1:13" ht="12.75" hidden="1">
      <c r="A4523" s="2114"/>
      <c r="B4523" s="192" t="s">
        <v>3738</v>
      </c>
      <c r="C4523" s="2142">
        <v>0.01</v>
      </c>
      <c r="D4523" s="568"/>
      <c r="E4523" s="188"/>
      <c r="F4523" s="188"/>
      <c r="G4523" s="2122"/>
      <c r="H4523" s="568"/>
      <c r="I4523" s="2118"/>
      <c r="J4523" s="2123"/>
      <c r="K4523" s="2140">
        <f>ROUND(K4522*C4523,2)</f>
        <v>15.54</v>
      </c>
      <c r="L4523" s="192"/>
      <c r="M4523" s="568"/>
    </row>
    <row r="4524" spans="1:13" ht="12.75" hidden="1">
      <c r="A4524" s="2114"/>
      <c r="B4524" s="568"/>
      <c r="C4524" s="568"/>
      <c r="D4524" s="568"/>
      <c r="E4524" s="188"/>
      <c r="F4524" s="188"/>
      <c r="G4524" s="2122"/>
      <c r="H4524" s="568"/>
      <c r="I4524" s="2118"/>
      <c r="J4524" s="2126" t="s">
        <v>718</v>
      </c>
      <c r="K4524" s="2124">
        <f>SUM(K4522:K4523)</f>
        <v>1569.8699999999997</v>
      </c>
      <c r="L4524" s="192" t="s">
        <v>730</v>
      </c>
      <c r="M4524" s="568"/>
    </row>
    <row r="4525" spans="1:13" ht="12.75" hidden="1">
      <c r="A4525" s="2114" t="str">
        <f>A796</f>
        <v>(iii)</v>
      </c>
      <c r="B4525" s="192" t="str">
        <f>B796</f>
        <v>2nd Floor</v>
      </c>
      <c r="C4525" s="568"/>
      <c r="D4525" s="568"/>
      <c r="E4525" s="2120" t="str">
        <f>E4517</f>
        <v>Each Sqm</v>
      </c>
      <c r="F4525" s="2120"/>
      <c r="G4525" s="2122"/>
      <c r="H4525" s="568"/>
      <c r="I4525" s="2118"/>
      <c r="J4525" s="2123"/>
      <c r="K4525" s="2123"/>
      <c r="L4525" s="192"/>
      <c r="M4525" s="568"/>
    </row>
    <row r="4526" spans="1:13" ht="12.75" hidden="1">
      <c r="A4526" s="2114"/>
      <c r="B4526" s="568" t="s">
        <v>722</v>
      </c>
      <c r="C4526" s="568"/>
      <c r="D4526" s="568"/>
      <c r="E4526" s="188"/>
      <c r="F4526" s="188"/>
      <c r="G4526" s="2122"/>
      <c r="H4526" s="568"/>
      <c r="I4526" s="2118"/>
      <c r="J4526" s="2123"/>
      <c r="K4526" s="2123">
        <f>K4522</f>
        <v>1554.3299999999997</v>
      </c>
      <c r="L4526" s="192"/>
      <c r="M4526" s="568"/>
    </row>
    <row r="4527" spans="1:13" ht="12.75" hidden="1">
      <c r="A4527" s="2114"/>
      <c r="B4527" s="568" t="s">
        <v>723</v>
      </c>
      <c r="C4527" s="568"/>
      <c r="D4527" s="568"/>
      <c r="E4527" s="188"/>
      <c r="F4527" s="188"/>
      <c r="G4527" s="2122"/>
      <c r="H4527" s="2125">
        <v>0.05</v>
      </c>
      <c r="I4527" s="2134">
        <f>I4519+K4519</f>
        <v>593.88</v>
      </c>
      <c r="J4527" s="2124"/>
      <c r="K4527" s="2123">
        <f>ROUND(I4527*H4527,2)</f>
        <v>29.69</v>
      </c>
      <c r="L4527" s="192"/>
      <c r="M4527" s="568"/>
    </row>
    <row r="4528" spans="1:13" ht="12.75" hidden="1">
      <c r="A4528" s="2114"/>
      <c r="B4528" s="192" t="s">
        <v>3662</v>
      </c>
      <c r="C4528" s="568"/>
      <c r="D4528" s="568"/>
      <c r="E4528" s="188"/>
      <c r="F4528" s="188"/>
      <c r="G4528" s="2122"/>
      <c r="H4528" s="2135">
        <f>H4521</f>
        <v>7.4999999999999997E-2</v>
      </c>
      <c r="I4528" s="2134">
        <f>K4527</f>
        <v>29.69</v>
      </c>
      <c r="J4528" s="2134"/>
      <c r="K4528" s="2123">
        <f>ROUND(I4528*H4528,2)</f>
        <v>2.23</v>
      </c>
      <c r="L4528" s="192"/>
      <c r="M4528" s="568"/>
    </row>
    <row r="4529" spans="1:13" ht="12.75" hidden="1">
      <c r="A4529" s="2114"/>
      <c r="B4529" s="192" t="s">
        <v>3661</v>
      </c>
      <c r="C4529" s="568"/>
      <c r="D4529" s="568"/>
      <c r="E4529" s="188"/>
      <c r="F4529" s="188"/>
      <c r="G4529" s="2122"/>
      <c r="H4529" s="2135">
        <f>H4528</f>
        <v>7.4999999999999997E-2</v>
      </c>
      <c r="I4529" s="2134">
        <f>I4528</f>
        <v>29.69</v>
      </c>
      <c r="J4529" s="2134"/>
      <c r="K4529" s="2140">
        <f>ROUND(I4529*H4529,2)</f>
        <v>2.23</v>
      </c>
      <c r="L4529" s="192"/>
      <c r="M4529" s="568"/>
    </row>
    <row r="4530" spans="1:13" ht="12.75" hidden="1">
      <c r="A4530" s="2114"/>
      <c r="B4530" s="568"/>
      <c r="C4530" s="568"/>
      <c r="D4530" s="568"/>
      <c r="E4530" s="188"/>
      <c r="F4530" s="188"/>
      <c r="G4530" s="2122"/>
      <c r="H4530" s="568"/>
      <c r="I4530" s="2118"/>
      <c r="J4530" s="2123"/>
      <c r="K4530" s="2123">
        <f>SUM(K4526:K4529)</f>
        <v>1588.4799999999998</v>
      </c>
      <c r="L4530" s="192"/>
      <c r="M4530" s="568"/>
    </row>
    <row r="4531" spans="1:13" ht="12.75" hidden="1">
      <c r="A4531" s="2114"/>
      <c r="B4531" s="192" t="s">
        <v>3738</v>
      </c>
      <c r="C4531" s="2142">
        <v>0.01</v>
      </c>
      <c r="D4531" s="568"/>
      <c r="E4531" s="188"/>
      <c r="F4531" s="188"/>
      <c r="G4531" s="2122"/>
      <c r="H4531" s="568"/>
      <c r="I4531" s="2118"/>
      <c r="J4531" s="2123"/>
      <c r="K4531" s="2140">
        <f>ROUND(K4530*C4531,2)</f>
        <v>15.88</v>
      </c>
      <c r="L4531" s="192"/>
      <c r="M4531" s="568"/>
    </row>
    <row r="4532" spans="1:13" ht="12.75" hidden="1">
      <c r="A4532" s="2114"/>
      <c r="B4532" s="568"/>
      <c r="C4532" s="568"/>
      <c r="D4532" s="568"/>
      <c r="E4532" s="188"/>
      <c r="F4532" s="188"/>
      <c r="G4532" s="2122"/>
      <c r="H4532" s="568"/>
      <c r="I4532" s="2118"/>
      <c r="J4532" s="2126" t="s">
        <v>718</v>
      </c>
      <c r="K4532" s="2124">
        <f>SUM(K4530:K4531)</f>
        <v>1604.36</v>
      </c>
      <c r="L4532" s="192" t="s">
        <v>730</v>
      </c>
      <c r="M4532" s="568"/>
    </row>
    <row r="4533" spans="1:13" ht="12.75" hidden="1">
      <c r="A4533" s="2114" t="str">
        <f>A797</f>
        <v>(iv)</v>
      </c>
      <c r="B4533" s="192" t="str">
        <f>B797</f>
        <v>3rd Floor</v>
      </c>
      <c r="C4533" s="568"/>
      <c r="D4533" s="568"/>
      <c r="E4533" s="2120" t="str">
        <f>E4525</f>
        <v>Each Sqm</v>
      </c>
      <c r="F4533" s="2120"/>
      <c r="G4533" s="2122"/>
      <c r="H4533" s="568"/>
      <c r="I4533" s="2118"/>
      <c r="J4533" s="2123"/>
      <c r="K4533" s="2123"/>
      <c r="L4533" s="192"/>
      <c r="M4533" s="568"/>
    </row>
    <row r="4534" spans="1:13" ht="12.75" hidden="1">
      <c r="A4534" s="2114"/>
      <c r="B4534" s="568" t="s">
        <v>722</v>
      </c>
      <c r="C4534" s="568"/>
      <c r="D4534" s="568"/>
      <c r="E4534" s="188"/>
      <c r="F4534" s="188"/>
      <c r="G4534" s="2122"/>
      <c r="H4534" s="568"/>
      <c r="I4534" s="2118"/>
      <c r="J4534" s="2123"/>
      <c r="K4534" s="2123">
        <f>K4530</f>
        <v>1588.4799999999998</v>
      </c>
      <c r="L4534" s="192"/>
      <c r="M4534" s="568"/>
    </row>
    <row r="4535" spans="1:13" ht="12.75" hidden="1">
      <c r="A4535" s="2114"/>
      <c r="B4535" s="568" t="s">
        <v>723</v>
      </c>
      <c r="C4535" s="568"/>
      <c r="D4535" s="568"/>
      <c r="E4535" s="188"/>
      <c r="F4535" s="188"/>
      <c r="G4535" s="2122"/>
      <c r="H4535" s="2125">
        <v>0.05</v>
      </c>
      <c r="I4535" s="2134">
        <f>I4527+K4527</f>
        <v>623.57000000000005</v>
      </c>
      <c r="J4535" s="2124"/>
      <c r="K4535" s="2123">
        <f>ROUND(I4535*H4535,2)</f>
        <v>31.18</v>
      </c>
      <c r="L4535" s="192"/>
      <c r="M4535" s="568"/>
    </row>
    <row r="4536" spans="1:13" ht="12.75" hidden="1">
      <c r="A4536" s="2114"/>
      <c r="B4536" s="192" t="s">
        <v>3662</v>
      </c>
      <c r="C4536" s="568"/>
      <c r="D4536" s="568"/>
      <c r="E4536" s="188"/>
      <c r="F4536" s="188"/>
      <c r="G4536" s="2122"/>
      <c r="H4536" s="2135">
        <f>H4529</f>
        <v>7.4999999999999997E-2</v>
      </c>
      <c r="I4536" s="2134">
        <f>K4535</f>
        <v>31.18</v>
      </c>
      <c r="J4536" s="2134"/>
      <c r="K4536" s="2123">
        <f>ROUND(I4536*H4536,2)</f>
        <v>2.34</v>
      </c>
      <c r="L4536" s="192"/>
      <c r="M4536" s="568"/>
    </row>
    <row r="4537" spans="1:13" ht="12.75" hidden="1">
      <c r="A4537" s="2114"/>
      <c r="B4537" s="192" t="s">
        <v>3661</v>
      </c>
      <c r="C4537" s="568"/>
      <c r="D4537" s="568"/>
      <c r="E4537" s="188"/>
      <c r="F4537" s="188"/>
      <c r="G4537" s="2122"/>
      <c r="H4537" s="2135">
        <f>H4536</f>
        <v>7.4999999999999997E-2</v>
      </c>
      <c r="I4537" s="2134">
        <f>I4536</f>
        <v>31.18</v>
      </c>
      <c r="J4537" s="2134"/>
      <c r="K4537" s="2140">
        <f>ROUND(I4537*H4537,2)</f>
        <v>2.34</v>
      </c>
      <c r="L4537" s="192"/>
      <c r="M4537" s="568"/>
    </row>
    <row r="4538" spans="1:13" ht="12.75" hidden="1">
      <c r="A4538" s="2114"/>
      <c r="B4538" s="568"/>
      <c r="C4538" s="568"/>
      <c r="D4538" s="568"/>
      <c r="E4538" s="188"/>
      <c r="F4538" s="188"/>
      <c r="G4538" s="2122"/>
      <c r="H4538" s="568"/>
      <c r="I4538" s="2118"/>
      <c r="J4538" s="2123"/>
      <c r="K4538" s="2123">
        <f>SUM(K4534:K4537)</f>
        <v>1624.3399999999997</v>
      </c>
      <c r="L4538" s="192"/>
      <c r="M4538" s="568"/>
    </row>
    <row r="4539" spans="1:13" ht="12.75" hidden="1">
      <c r="A4539" s="2114"/>
      <c r="B4539" s="192" t="s">
        <v>3738</v>
      </c>
      <c r="C4539" s="2142">
        <v>0.01</v>
      </c>
      <c r="D4539" s="568"/>
      <c r="E4539" s="188"/>
      <c r="F4539" s="188"/>
      <c r="G4539" s="2122"/>
      <c r="H4539" s="568"/>
      <c r="I4539" s="2118"/>
      <c r="J4539" s="2123"/>
      <c r="K4539" s="2140">
        <f>ROUND(K4538*C4539,2)</f>
        <v>16.239999999999998</v>
      </c>
      <c r="L4539" s="192"/>
      <c r="M4539" s="568"/>
    </row>
    <row r="4540" spans="1:13" ht="12.75" hidden="1">
      <c r="A4540" s="2114"/>
      <c r="B4540" s="568"/>
      <c r="C4540" s="568"/>
      <c r="D4540" s="568"/>
      <c r="E4540" s="188"/>
      <c r="F4540" s="188"/>
      <c r="G4540" s="2122"/>
      <c r="H4540" s="568"/>
      <c r="I4540" s="2118"/>
      <c r="J4540" s="2126" t="s">
        <v>718</v>
      </c>
      <c r="K4540" s="2124">
        <f>SUM(K4538:K4539)</f>
        <v>1640.5799999999997</v>
      </c>
      <c r="L4540" s="192" t="s">
        <v>730</v>
      </c>
      <c r="M4540" s="568"/>
    </row>
    <row r="4541" spans="1:13" ht="12.75" hidden="1">
      <c r="A4541" s="2114" t="str">
        <f>A798</f>
        <v>B)</v>
      </c>
      <c r="B4541" s="2165" t="str">
        <f>B798</f>
        <v>Vertified industrial tile (300 x300)</v>
      </c>
      <c r="C4541" s="568"/>
      <c r="D4541" s="568"/>
      <c r="E4541" s="188"/>
      <c r="F4541" s="188"/>
      <c r="G4541" s="2122"/>
      <c r="H4541" s="568"/>
      <c r="I4541" s="2118"/>
      <c r="J4541" s="2123"/>
      <c r="K4541" s="2123"/>
      <c r="L4541" s="192"/>
      <c r="M4541" s="568"/>
    </row>
    <row r="4542" spans="1:13" ht="12.75" hidden="1">
      <c r="A4542" s="2114" t="str">
        <f>A799</f>
        <v>(i)</v>
      </c>
      <c r="B4542" s="192" t="str">
        <f>B799</f>
        <v>Ground Floor</v>
      </c>
      <c r="C4542" s="568"/>
      <c r="D4542" s="568"/>
      <c r="E4542" s="2120" t="str">
        <f>G799</f>
        <v>Each Sqm</v>
      </c>
      <c r="F4542" s="2120"/>
      <c r="G4542" s="2122"/>
      <c r="H4542" s="568"/>
      <c r="I4542" s="2118"/>
      <c r="J4542" s="2123"/>
      <c r="K4542" s="2123"/>
      <c r="L4542" s="192"/>
      <c r="M4542" s="568"/>
    </row>
    <row r="4543" spans="1:13" ht="12.75" hidden="1">
      <c r="A4543" s="2114"/>
      <c r="B4543" s="568" t="s">
        <v>980</v>
      </c>
      <c r="C4543" s="568"/>
      <c r="D4543" s="568"/>
      <c r="E4543" s="188"/>
      <c r="F4543" s="188"/>
      <c r="G4543" s="2122"/>
      <c r="H4543" s="568"/>
      <c r="I4543" s="2118"/>
      <c r="J4543" s="2134" t="s">
        <v>718</v>
      </c>
      <c r="K4543" s="2123">
        <f>K4472</f>
        <v>773.07</v>
      </c>
      <c r="L4543" s="192" t="s">
        <v>730</v>
      </c>
      <c r="M4543" s="568"/>
    </row>
    <row r="4544" spans="1:13" ht="12.75" hidden="1">
      <c r="A4544" s="2114"/>
      <c r="B4544" s="568" t="s">
        <v>979</v>
      </c>
      <c r="C4544" s="568"/>
      <c r="D4544" s="568"/>
      <c r="E4544" s="188"/>
      <c r="F4544" s="188"/>
      <c r="G4544" s="2122">
        <f>G4511</f>
        <v>1</v>
      </c>
      <c r="H4544" s="568" t="s">
        <v>92</v>
      </c>
      <c r="I4544" s="2118" t="s">
        <v>92</v>
      </c>
      <c r="J4544" s="2123">
        <f>G54</f>
        <v>578.35</v>
      </c>
      <c r="K4544" s="2123">
        <f>ROUND(G4544*J4544,2)</f>
        <v>578.35</v>
      </c>
      <c r="L4544" s="192"/>
      <c r="M4544" s="568"/>
    </row>
    <row r="4545" spans="1:13" ht="12.75" hidden="1">
      <c r="A4545" s="2114"/>
      <c r="B4545" s="192" t="s">
        <v>3662</v>
      </c>
      <c r="C4545" s="568"/>
      <c r="D4545" s="568"/>
      <c r="E4545" s="188"/>
      <c r="F4545" s="188"/>
      <c r="G4545" s="2122"/>
      <c r="H4545" s="2135">
        <f>H4529</f>
        <v>7.4999999999999997E-2</v>
      </c>
      <c r="I4545" s="2134">
        <f>K4544</f>
        <v>578.35</v>
      </c>
      <c r="J4545" s="2134"/>
      <c r="K4545" s="2123">
        <f>ROUND(I4545*H4545,2)</f>
        <v>43.38</v>
      </c>
      <c r="L4545" s="192"/>
      <c r="M4545" s="568"/>
    </row>
    <row r="4546" spans="1:13" ht="12.75" hidden="1">
      <c r="A4546" s="2114"/>
      <c r="B4546" s="192" t="s">
        <v>3661</v>
      </c>
      <c r="C4546" s="568"/>
      <c r="D4546" s="568"/>
      <c r="E4546" s="188"/>
      <c r="F4546" s="188"/>
      <c r="G4546" s="2122"/>
      <c r="H4546" s="2135">
        <f>H4545</f>
        <v>7.4999999999999997E-2</v>
      </c>
      <c r="I4546" s="2134">
        <f>I4545</f>
        <v>578.35</v>
      </c>
      <c r="J4546" s="2134"/>
      <c r="K4546" s="2140">
        <f>ROUND(I4546*H4546,2)</f>
        <v>43.38</v>
      </c>
      <c r="L4546" s="192"/>
      <c r="M4546" s="568"/>
    </row>
    <row r="4547" spans="1:13" ht="12.75" hidden="1">
      <c r="A4547" s="2114"/>
      <c r="B4547" s="568"/>
      <c r="C4547" s="568"/>
      <c r="D4547" s="568"/>
      <c r="E4547" s="188"/>
      <c r="F4547" s="188"/>
      <c r="G4547" s="2122"/>
      <c r="H4547" s="568"/>
      <c r="I4547" s="2118"/>
      <c r="J4547" s="2123"/>
      <c r="K4547" s="2123">
        <f>SUM(K4543:K4546)</f>
        <v>1438.1800000000003</v>
      </c>
      <c r="L4547" s="192"/>
      <c r="M4547" s="568"/>
    </row>
    <row r="4548" spans="1:13" ht="12.75" hidden="1">
      <c r="A4548" s="2114"/>
      <c r="B4548" s="192" t="s">
        <v>3738</v>
      </c>
      <c r="C4548" s="2142">
        <v>0.01</v>
      </c>
      <c r="D4548" s="568"/>
      <c r="E4548" s="188"/>
      <c r="F4548" s="188"/>
      <c r="G4548" s="2122"/>
      <c r="H4548" s="568"/>
      <c r="I4548" s="2118"/>
      <c r="J4548" s="2123"/>
      <c r="K4548" s="2140">
        <f>ROUND(K4547*C4548,2)</f>
        <v>14.38</v>
      </c>
      <c r="L4548" s="192"/>
      <c r="M4548" s="568"/>
    </row>
    <row r="4549" spans="1:13" ht="12.75" hidden="1">
      <c r="A4549" s="2114"/>
      <c r="B4549" s="568"/>
      <c r="C4549" s="568"/>
      <c r="D4549" s="568"/>
      <c r="E4549" s="188"/>
      <c r="F4549" s="188"/>
      <c r="G4549" s="2122"/>
      <c r="H4549" s="568"/>
      <c r="I4549" s="2118"/>
      <c r="J4549" s="2126" t="s">
        <v>718</v>
      </c>
      <c r="K4549" s="2124">
        <f>SUM(K4547:K4548)</f>
        <v>1452.5600000000004</v>
      </c>
      <c r="L4549" s="192" t="s">
        <v>730</v>
      </c>
      <c r="M4549" s="568"/>
    </row>
    <row r="4550" spans="1:13" ht="12.75" hidden="1">
      <c r="A4550" s="2114" t="str">
        <f>A800</f>
        <v>(ii)</v>
      </c>
      <c r="B4550" s="192" t="str">
        <f>B800</f>
        <v>First Floor</v>
      </c>
      <c r="C4550" s="568"/>
      <c r="D4550" s="568"/>
      <c r="E4550" s="2120" t="str">
        <f>E4542</f>
        <v>Each Sqm</v>
      </c>
      <c r="F4550" s="2120"/>
      <c r="G4550" s="2122"/>
      <c r="H4550" s="568"/>
      <c r="I4550" s="2118"/>
      <c r="J4550" s="2123"/>
      <c r="K4550" s="2123"/>
      <c r="L4550" s="192"/>
      <c r="M4550" s="568"/>
    </row>
    <row r="4551" spans="1:13" ht="12.75" hidden="1">
      <c r="A4551" s="2114"/>
      <c r="B4551" s="568" t="s">
        <v>722</v>
      </c>
      <c r="C4551" s="568"/>
      <c r="D4551" s="568"/>
      <c r="E4551" s="188"/>
      <c r="F4551" s="188"/>
      <c r="G4551" s="2122"/>
      <c r="H4551" s="568"/>
      <c r="I4551" s="2118"/>
      <c r="J4551" s="2123"/>
      <c r="K4551" s="2123">
        <f>K4547</f>
        <v>1438.1800000000003</v>
      </c>
      <c r="L4551" s="192"/>
      <c r="M4551" s="568"/>
    </row>
    <row r="4552" spans="1:13" ht="12.75" hidden="1">
      <c r="A4552" s="2114"/>
      <c r="B4552" s="568" t="s">
        <v>723</v>
      </c>
      <c r="C4552" s="568"/>
      <c r="D4552" s="568"/>
      <c r="E4552" s="188"/>
      <c r="F4552" s="188"/>
      <c r="G4552" s="2122"/>
      <c r="H4552" s="2125">
        <v>0.05</v>
      </c>
      <c r="I4552" s="2134">
        <f>I4519</f>
        <v>565.6</v>
      </c>
      <c r="J4552" s="2124"/>
      <c r="K4552" s="2123">
        <f>ROUND(I4552*H4552,2)</f>
        <v>28.28</v>
      </c>
      <c r="L4552" s="192"/>
      <c r="M4552" s="568"/>
    </row>
    <row r="4553" spans="1:13" ht="12.75" hidden="1">
      <c r="A4553" s="2114"/>
      <c r="B4553" s="192" t="s">
        <v>3662</v>
      </c>
      <c r="C4553" s="568"/>
      <c r="D4553" s="568"/>
      <c r="E4553" s="188"/>
      <c r="F4553" s="188"/>
      <c r="G4553" s="2122"/>
      <c r="H4553" s="2135">
        <f>H4546</f>
        <v>7.4999999999999997E-2</v>
      </c>
      <c r="I4553" s="2134">
        <f>K4552</f>
        <v>28.28</v>
      </c>
      <c r="J4553" s="2134"/>
      <c r="K4553" s="2123">
        <f>ROUND(I4553*H4553,2)</f>
        <v>2.12</v>
      </c>
      <c r="L4553" s="192"/>
      <c r="M4553" s="568"/>
    </row>
    <row r="4554" spans="1:13" ht="12.75" hidden="1">
      <c r="A4554" s="2114"/>
      <c r="B4554" s="192" t="s">
        <v>3661</v>
      </c>
      <c r="C4554" s="568"/>
      <c r="D4554" s="568"/>
      <c r="E4554" s="188"/>
      <c r="F4554" s="188"/>
      <c r="G4554" s="2122"/>
      <c r="H4554" s="2135">
        <f>H4553</f>
        <v>7.4999999999999997E-2</v>
      </c>
      <c r="I4554" s="2134">
        <f>I4553</f>
        <v>28.28</v>
      </c>
      <c r="J4554" s="2134"/>
      <c r="K4554" s="2140">
        <f>ROUND(I4554*H4554,2)</f>
        <v>2.12</v>
      </c>
      <c r="L4554" s="192"/>
      <c r="M4554" s="568"/>
    </row>
    <row r="4555" spans="1:13" ht="12.75" hidden="1">
      <c r="A4555" s="2114"/>
      <c r="B4555" s="568"/>
      <c r="C4555" s="568"/>
      <c r="D4555" s="568"/>
      <c r="E4555" s="188"/>
      <c r="F4555" s="188"/>
      <c r="G4555" s="2122"/>
      <c r="H4555" s="568"/>
      <c r="I4555" s="2118"/>
      <c r="J4555" s="2123"/>
      <c r="K4555" s="2123">
        <f>SUM(K4551:K4554)</f>
        <v>1470.7</v>
      </c>
      <c r="L4555" s="192"/>
      <c r="M4555" s="568"/>
    </row>
    <row r="4556" spans="1:13" ht="12.75" hidden="1">
      <c r="A4556" s="2114"/>
      <c r="B4556" s="192" t="s">
        <v>3738</v>
      </c>
      <c r="C4556" s="2142">
        <v>0.01</v>
      </c>
      <c r="D4556" s="568"/>
      <c r="E4556" s="188"/>
      <c r="F4556" s="188"/>
      <c r="G4556" s="2122"/>
      <c r="H4556" s="568"/>
      <c r="I4556" s="2118"/>
      <c r="J4556" s="2123"/>
      <c r="K4556" s="2140">
        <f>ROUND(K4555*C4556,2)</f>
        <v>14.71</v>
      </c>
      <c r="L4556" s="192"/>
      <c r="M4556" s="568"/>
    </row>
    <row r="4557" spans="1:13" ht="12.75" hidden="1">
      <c r="A4557" s="2114"/>
      <c r="B4557" s="568"/>
      <c r="C4557" s="568"/>
      <c r="D4557" s="568"/>
      <c r="E4557" s="188"/>
      <c r="F4557" s="188"/>
      <c r="G4557" s="2122"/>
      <c r="H4557" s="568"/>
      <c r="I4557" s="2118"/>
      <c r="J4557" s="2126" t="s">
        <v>718</v>
      </c>
      <c r="K4557" s="2124">
        <f>SUM(K4555:K4556)</f>
        <v>1485.41</v>
      </c>
      <c r="L4557" s="192" t="s">
        <v>730</v>
      </c>
      <c r="M4557" s="568"/>
    </row>
    <row r="4558" spans="1:13" ht="12.75" hidden="1">
      <c r="A4558" s="2114" t="str">
        <f>A801</f>
        <v>(iii)</v>
      </c>
      <c r="B4558" s="192" t="str">
        <f>B801</f>
        <v>2nd Floor</v>
      </c>
      <c r="C4558" s="568"/>
      <c r="D4558" s="568"/>
      <c r="E4558" s="2120" t="str">
        <f>E4550</f>
        <v>Each Sqm</v>
      </c>
      <c r="F4558" s="2120"/>
      <c r="G4558" s="2122"/>
      <c r="H4558" s="568"/>
      <c r="I4558" s="2118"/>
      <c r="J4558" s="2123"/>
      <c r="K4558" s="2123"/>
      <c r="L4558" s="192"/>
      <c r="M4558" s="568"/>
    </row>
    <row r="4559" spans="1:13" ht="12.75" hidden="1">
      <c r="A4559" s="2114"/>
      <c r="B4559" s="568" t="s">
        <v>722</v>
      </c>
      <c r="C4559" s="568"/>
      <c r="D4559" s="568"/>
      <c r="E4559" s="188"/>
      <c r="F4559" s="188"/>
      <c r="G4559" s="2122"/>
      <c r="H4559" s="568"/>
      <c r="I4559" s="2118"/>
      <c r="J4559" s="2123"/>
      <c r="K4559" s="2123">
        <f>K4555</f>
        <v>1470.7</v>
      </c>
      <c r="L4559" s="192"/>
      <c r="M4559" s="568"/>
    </row>
    <row r="4560" spans="1:13" ht="12.75" hidden="1">
      <c r="A4560" s="2114"/>
      <c r="B4560" s="568" t="s">
        <v>723</v>
      </c>
      <c r="C4560" s="568"/>
      <c r="D4560" s="568"/>
      <c r="E4560" s="188"/>
      <c r="F4560" s="188"/>
      <c r="G4560" s="2122"/>
      <c r="H4560" s="2125">
        <v>0.05</v>
      </c>
      <c r="I4560" s="2134">
        <f>I4552+K4552</f>
        <v>593.88</v>
      </c>
      <c r="J4560" s="2124"/>
      <c r="K4560" s="2123">
        <f>ROUND(I4560*H4560,2)</f>
        <v>29.69</v>
      </c>
      <c r="L4560" s="192"/>
      <c r="M4560" s="568"/>
    </row>
    <row r="4561" spans="1:13" ht="12.75" hidden="1">
      <c r="A4561" s="2114"/>
      <c r="B4561" s="192" t="s">
        <v>3662</v>
      </c>
      <c r="C4561" s="568"/>
      <c r="D4561" s="568"/>
      <c r="E4561" s="188"/>
      <c r="F4561" s="188"/>
      <c r="G4561" s="2122"/>
      <c r="H4561" s="2135">
        <f>H4554</f>
        <v>7.4999999999999997E-2</v>
      </c>
      <c r="I4561" s="2134">
        <f>K4560</f>
        <v>29.69</v>
      </c>
      <c r="J4561" s="2134"/>
      <c r="K4561" s="2123">
        <f>ROUND(I4561*H4561,2)</f>
        <v>2.23</v>
      </c>
      <c r="L4561" s="192"/>
      <c r="M4561" s="568"/>
    </row>
    <row r="4562" spans="1:13" ht="12.75" hidden="1">
      <c r="A4562" s="2114"/>
      <c r="B4562" s="192" t="s">
        <v>3661</v>
      </c>
      <c r="C4562" s="568"/>
      <c r="D4562" s="568"/>
      <c r="E4562" s="188"/>
      <c r="F4562" s="188"/>
      <c r="G4562" s="2122"/>
      <c r="H4562" s="2135">
        <f>H4561</f>
        <v>7.4999999999999997E-2</v>
      </c>
      <c r="I4562" s="2134">
        <f>I4561</f>
        <v>29.69</v>
      </c>
      <c r="J4562" s="2134"/>
      <c r="K4562" s="2140">
        <f>ROUND(I4562*H4562,2)</f>
        <v>2.23</v>
      </c>
      <c r="L4562" s="192"/>
      <c r="M4562" s="568"/>
    </row>
    <row r="4563" spans="1:13" ht="12.75" hidden="1">
      <c r="A4563" s="2114"/>
      <c r="B4563" s="568"/>
      <c r="C4563" s="568"/>
      <c r="D4563" s="568"/>
      <c r="E4563" s="188"/>
      <c r="F4563" s="188"/>
      <c r="G4563" s="2122"/>
      <c r="H4563" s="568"/>
      <c r="I4563" s="2118"/>
      <c r="J4563" s="2123"/>
      <c r="K4563" s="2123">
        <f>SUM(K4559:K4562)</f>
        <v>1504.8500000000001</v>
      </c>
      <c r="L4563" s="192"/>
      <c r="M4563" s="568"/>
    </row>
    <row r="4564" spans="1:13" ht="12.75" hidden="1">
      <c r="A4564" s="2114"/>
      <c r="B4564" s="192" t="s">
        <v>3738</v>
      </c>
      <c r="C4564" s="2142">
        <v>0.01</v>
      </c>
      <c r="D4564" s="568"/>
      <c r="E4564" s="188"/>
      <c r="F4564" s="188"/>
      <c r="G4564" s="2122"/>
      <c r="H4564" s="568"/>
      <c r="I4564" s="2118"/>
      <c r="J4564" s="2123"/>
      <c r="K4564" s="2140">
        <f>ROUND(K4563*C4564,2)</f>
        <v>15.05</v>
      </c>
      <c r="L4564" s="192"/>
      <c r="M4564" s="568"/>
    </row>
    <row r="4565" spans="1:13" ht="12.75" hidden="1">
      <c r="A4565" s="2114"/>
      <c r="B4565" s="568"/>
      <c r="C4565" s="568"/>
      <c r="D4565" s="568"/>
      <c r="E4565" s="188"/>
      <c r="F4565" s="188"/>
      <c r="G4565" s="2122"/>
      <c r="H4565" s="568"/>
      <c r="I4565" s="2118"/>
      <c r="J4565" s="2126" t="s">
        <v>718</v>
      </c>
      <c r="K4565" s="2124">
        <f>SUM(K4563:K4564)</f>
        <v>1519.9</v>
      </c>
      <c r="L4565" s="192" t="s">
        <v>730</v>
      </c>
      <c r="M4565" s="568"/>
    </row>
    <row r="4566" spans="1:13" ht="12.75" hidden="1">
      <c r="A4566" s="2114" t="str">
        <f>A802</f>
        <v>(iv)</v>
      </c>
      <c r="B4566" s="192" t="str">
        <f>B802</f>
        <v>3rd Floor</v>
      </c>
      <c r="C4566" s="568"/>
      <c r="D4566" s="568"/>
      <c r="E4566" s="2120" t="str">
        <f>E4558</f>
        <v>Each Sqm</v>
      </c>
      <c r="F4566" s="2120"/>
      <c r="G4566" s="2122"/>
      <c r="H4566" s="568"/>
      <c r="I4566" s="2118"/>
      <c r="J4566" s="2123"/>
      <c r="K4566" s="2123"/>
      <c r="L4566" s="192"/>
      <c r="M4566" s="568"/>
    </row>
    <row r="4567" spans="1:13" ht="12.75" hidden="1">
      <c r="A4567" s="2114"/>
      <c r="B4567" s="568" t="s">
        <v>722</v>
      </c>
      <c r="C4567" s="568"/>
      <c r="D4567" s="568"/>
      <c r="E4567" s="188"/>
      <c r="F4567" s="188"/>
      <c r="G4567" s="2122"/>
      <c r="H4567" s="568"/>
      <c r="I4567" s="2118"/>
      <c r="J4567" s="2123"/>
      <c r="K4567" s="2123">
        <f>K4563</f>
        <v>1504.8500000000001</v>
      </c>
      <c r="L4567" s="192"/>
      <c r="M4567" s="568"/>
    </row>
    <row r="4568" spans="1:13" ht="12.75" hidden="1">
      <c r="A4568" s="2114"/>
      <c r="B4568" s="568" t="s">
        <v>723</v>
      </c>
      <c r="C4568" s="568"/>
      <c r="D4568" s="568"/>
      <c r="E4568" s="188"/>
      <c r="F4568" s="188"/>
      <c r="G4568" s="2122"/>
      <c r="H4568" s="2125">
        <v>0.05</v>
      </c>
      <c r="I4568" s="2134">
        <f>I4560+K4560</f>
        <v>623.57000000000005</v>
      </c>
      <c r="J4568" s="2124"/>
      <c r="K4568" s="2123">
        <f>ROUND(I4568*H4568,2)</f>
        <v>31.18</v>
      </c>
      <c r="L4568" s="192"/>
      <c r="M4568" s="568"/>
    </row>
    <row r="4569" spans="1:13" ht="12.75" hidden="1">
      <c r="A4569" s="2114"/>
      <c r="B4569" s="192" t="s">
        <v>3662</v>
      </c>
      <c r="C4569" s="568"/>
      <c r="D4569" s="568"/>
      <c r="E4569" s="188"/>
      <c r="F4569" s="188"/>
      <c r="G4569" s="2122"/>
      <c r="H4569" s="2135">
        <f>H4562</f>
        <v>7.4999999999999997E-2</v>
      </c>
      <c r="I4569" s="2134">
        <f>K4568</f>
        <v>31.18</v>
      </c>
      <c r="J4569" s="2134"/>
      <c r="K4569" s="2123">
        <f>ROUND(I4569*H4569,2)</f>
        <v>2.34</v>
      </c>
      <c r="L4569" s="192"/>
      <c r="M4569" s="568"/>
    </row>
    <row r="4570" spans="1:13" ht="12.75" hidden="1">
      <c r="A4570" s="2114"/>
      <c r="B4570" s="192" t="s">
        <v>3661</v>
      </c>
      <c r="C4570" s="568"/>
      <c r="D4570" s="568"/>
      <c r="E4570" s="188"/>
      <c r="F4570" s="188"/>
      <c r="G4570" s="2122"/>
      <c r="H4570" s="2135">
        <f>H4569</f>
        <v>7.4999999999999997E-2</v>
      </c>
      <c r="I4570" s="2134">
        <f>I4569</f>
        <v>31.18</v>
      </c>
      <c r="J4570" s="2134"/>
      <c r="K4570" s="2140">
        <f>ROUND(I4570*H4570,2)</f>
        <v>2.34</v>
      </c>
      <c r="L4570" s="192"/>
      <c r="M4570" s="568"/>
    </row>
    <row r="4571" spans="1:13" ht="12.75" hidden="1">
      <c r="A4571" s="2114"/>
      <c r="B4571" s="568"/>
      <c r="C4571" s="568"/>
      <c r="D4571" s="568"/>
      <c r="E4571" s="188"/>
      <c r="F4571" s="188"/>
      <c r="G4571" s="2122"/>
      <c r="H4571" s="568"/>
      <c r="I4571" s="2118"/>
      <c r="J4571" s="2123"/>
      <c r="K4571" s="2123">
        <f>SUM(K4567:K4570)</f>
        <v>1540.71</v>
      </c>
      <c r="L4571" s="192"/>
      <c r="M4571" s="568"/>
    </row>
    <row r="4572" spans="1:13" ht="12.75" hidden="1">
      <c r="A4572" s="2114"/>
      <c r="B4572" s="192" t="s">
        <v>3738</v>
      </c>
      <c r="C4572" s="2142">
        <v>0.01</v>
      </c>
      <c r="D4572" s="568"/>
      <c r="E4572" s="188"/>
      <c r="F4572" s="188"/>
      <c r="G4572" s="2122"/>
      <c r="H4572" s="568"/>
      <c r="I4572" s="2118"/>
      <c r="J4572" s="2123"/>
      <c r="K4572" s="2140">
        <f>ROUND(K4571*C4572,2)</f>
        <v>15.41</v>
      </c>
      <c r="L4572" s="192"/>
      <c r="M4572" s="568"/>
    </row>
    <row r="4573" spans="1:13" ht="12.75" hidden="1">
      <c r="A4573" s="2114"/>
      <c r="B4573" s="568"/>
      <c r="C4573" s="568"/>
      <c r="D4573" s="568"/>
      <c r="E4573" s="188"/>
      <c r="F4573" s="188"/>
      <c r="G4573" s="2122"/>
      <c r="H4573" s="568"/>
      <c r="I4573" s="2118"/>
      <c r="J4573" s="2126" t="s">
        <v>718</v>
      </c>
      <c r="K4573" s="2124">
        <f>SUM(K4571:K4572)</f>
        <v>1556.1200000000001</v>
      </c>
      <c r="L4573" s="192" t="s">
        <v>730</v>
      </c>
      <c r="M4573" s="568"/>
    </row>
    <row r="4574" spans="1:13" ht="12.75" hidden="1">
      <c r="A4574" s="2114" t="str">
        <f>A803</f>
        <v>C)</v>
      </c>
      <c r="B4574" s="2165" t="str">
        <f>B4156</f>
        <v>Ceramic floor tile</v>
      </c>
      <c r="C4574" s="568"/>
      <c r="D4574" s="568"/>
      <c r="E4574" s="188"/>
      <c r="F4574" s="188"/>
      <c r="G4574" s="2122"/>
      <c r="H4574" s="568"/>
      <c r="I4574" s="2118"/>
      <c r="J4574" s="2123"/>
      <c r="K4574" s="2123"/>
      <c r="L4574" s="192"/>
      <c r="M4574" s="568"/>
    </row>
    <row r="4575" spans="1:13" ht="12.75" hidden="1">
      <c r="A4575" s="2114" t="str">
        <f>A804</f>
        <v>(i)</v>
      </c>
      <c r="B4575" s="192" t="str">
        <f>B804</f>
        <v>Ground Floor</v>
      </c>
      <c r="C4575" s="568"/>
      <c r="D4575" s="568"/>
      <c r="E4575" s="2120" t="str">
        <f>E4566</f>
        <v>Each Sqm</v>
      </c>
      <c r="F4575" s="2120"/>
      <c r="G4575" s="2122"/>
      <c r="H4575" s="568"/>
      <c r="I4575" s="2118"/>
      <c r="J4575" s="2123"/>
      <c r="K4575" s="2123"/>
      <c r="L4575" s="192"/>
      <c r="M4575" s="568"/>
    </row>
    <row r="4576" spans="1:13" ht="12.75" hidden="1">
      <c r="A4576" s="2114"/>
      <c r="B4576" s="568" t="s">
        <v>980</v>
      </c>
      <c r="C4576" s="568"/>
      <c r="D4576" s="568"/>
      <c r="E4576" s="188"/>
      <c r="F4576" s="188"/>
      <c r="G4576" s="2122"/>
      <c r="H4576" s="568"/>
      <c r="I4576" s="2118"/>
      <c r="J4576" s="2134" t="s">
        <v>718</v>
      </c>
      <c r="K4576" s="2123">
        <f>K4543</f>
        <v>773.07</v>
      </c>
      <c r="L4576" s="192" t="s">
        <v>730</v>
      </c>
      <c r="M4576" s="568"/>
    </row>
    <row r="4577" spans="1:13" ht="12.75" hidden="1">
      <c r="A4577" s="2114"/>
      <c r="B4577" s="568" t="s">
        <v>979</v>
      </c>
      <c r="C4577" s="568"/>
      <c r="D4577" s="568"/>
      <c r="E4577" s="188"/>
      <c r="F4577" s="188"/>
      <c r="G4577" s="2122">
        <f>G4544</f>
        <v>1</v>
      </c>
      <c r="H4577" s="568" t="s">
        <v>92</v>
      </c>
      <c r="I4577" s="2118" t="s">
        <v>92</v>
      </c>
      <c r="J4577" s="2123">
        <f>G56</f>
        <v>440</v>
      </c>
      <c r="K4577" s="2123">
        <f>ROUND(G4577*J4577,2)</f>
        <v>440</v>
      </c>
      <c r="L4577" s="192"/>
      <c r="M4577" s="568"/>
    </row>
    <row r="4578" spans="1:13" ht="12.75" hidden="1">
      <c r="A4578" s="2114"/>
      <c r="B4578" s="192" t="s">
        <v>3662</v>
      </c>
      <c r="C4578" s="568"/>
      <c r="D4578" s="568"/>
      <c r="E4578" s="188"/>
      <c r="F4578" s="188"/>
      <c r="G4578" s="2122"/>
      <c r="H4578" s="2135">
        <f>H4562</f>
        <v>7.4999999999999997E-2</v>
      </c>
      <c r="I4578" s="2134">
        <f>K4577</f>
        <v>440</v>
      </c>
      <c r="J4578" s="2134"/>
      <c r="K4578" s="2123">
        <f>ROUND(I4578*H4578,2)</f>
        <v>33</v>
      </c>
      <c r="L4578" s="192"/>
      <c r="M4578" s="568"/>
    </row>
    <row r="4579" spans="1:13" ht="12.75" hidden="1">
      <c r="A4579" s="2114"/>
      <c r="B4579" s="192" t="s">
        <v>3661</v>
      </c>
      <c r="C4579" s="568"/>
      <c r="D4579" s="568"/>
      <c r="E4579" s="188"/>
      <c r="F4579" s="188"/>
      <c r="G4579" s="2122"/>
      <c r="H4579" s="2135">
        <f>H4578</f>
        <v>7.4999999999999997E-2</v>
      </c>
      <c r="I4579" s="2134">
        <f>I4578</f>
        <v>440</v>
      </c>
      <c r="J4579" s="2134"/>
      <c r="K4579" s="2140">
        <f>ROUND(I4579*H4579,2)</f>
        <v>33</v>
      </c>
      <c r="L4579" s="192"/>
      <c r="M4579" s="568"/>
    </row>
    <row r="4580" spans="1:13" ht="12.75" hidden="1">
      <c r="A4580" s="2114"/>
      <c r="B4580" s="568"/>
      <c r="C4580" s="568"/>
      <c r="D4580" s="568"/>
      <c r="E4580" s="188"/>
      <c r="F4580" s="188"/>
      <c r="G4580" s="2122"/>
      <c r="H4580" s="568"/>
      <c r="I4580" s="2118"/>
      <c r="J4580" s="2123"/>
      <c r="K4580" s="2123">
        <f>SUM(K4576:K4579)</f>
        <v>1279.0700000000002</v>
      </c>
      <c r="L4580" s="192"/>
      <c r="M4580" s="568"/>
    </row>
    <row r="4581" spans="1:13" ht="12.75" hidden="1">
      <c r="A4581" s="2114"/>
      <c r="B4581" s="192" t="s">
        <v>3738</v>
      </c>
      <c r="C4581" s="2142">
        <v>0.01</v>
      </c>
      <c r="D4581" s="568"/>
      <c r="E4581" s="188"/>
      <c r="F4581" s="188"/>
      <c r="G4581" s="2122"/>
      <c r="H4581" s="568"/>
      <c r="I4581" s="2118"/>
      <c r="J4581" s="2123"/>
      <c r="K4581" s="2140">
        <f>ROUND(K4580*C4581,2)</f>
        <v>12.79</v>
      </c>
      <c r="L4581" s="192"/>
      <c r="M4581" s="568"/>
    </row>
    <row r="4582" spans="1:13" ht="12.75" hidden="1">
      <c r="A4582" s="2114"/>
      <c r="B4582" s="568"/>
      <c r="C4582" s="568"/>
      <c r="D4582" s="568"/>
      <c r="E4582" s="188"/>
      <c r="F4582" s="188"/>
      <c r="G4582" s="2122"/>
      <c r="H4582" s="568"/>
      <c r="I4582" s="2118"/>
      <c r="J4582" s="2126" t="s">
        <v>718</v>
      </c>
      <c r="K4582" s="2124">
        <f>SUM(K4580:K4581)</f>
        <v>1291.8600000000001</v>
      </c>
      <c r="L4582" s="192" t="s">
        <v>730</v>
      </c>
      <c r="M4582" s="568"/>
    </row>
    <row r="4583" spans="1:13" ht="12.75" hidden="1">
      <c r="A4583" s="2114" t="str">
        <f>A805</f>
        <v>(ii)</v>
      </c>
      <c r="B4583" s="192" t="str">
        <f>B805</f>
        <v>First Floor</v>
      </c>
      <c r="C4583" s="568"/>
      <c r="D4583" s="568"/>
      <c r="E4583" s="2120" t="str">
        <f>E4575</f>
        <v>Each Sqm</v>
      </c>
      <c r="F4583" s="2120"/>
      <c r="G4583" s="2122"/>
      <c r="H4583" s="568"/>
      <c r="I4583" s="2118"/>
      <c r="J4583" s="2134"/>
      <c r="K4583" s="2123"/>
      <c r="L4583" s="192"/>
      <c r="M4583" s="568"/>
    </row>
    <row r="4584" spans="1:13" ht="12.75" hidden="1">
      <c r="A4584" s="2114"/>
      <c r="B4584" s="568" t="s">
        <v>722</v>
      </c>
      <c r="C4584" s="568"/>
      <c r="D4584" s="568"/>
      <c r="E4584" s="188"/>
      <c r="F4584" s="188"/>
      <c r="G4584" s="2122"/>
      <c r="H4584" s="568"/>
      <c r="I4584" s="2118"/>
      <c r="J4584" s="2134"/>
      <c r="K4584" s="2123">
        <f>K4580</f>
        <v>1279.0700000000002</v>
      </c>
      <c r="L4584" s="192"/>
      <c r="M4584" s="568"/>
    </row>
    <row r="4585" spans="1:13" ht="12.75" hidden="1">
      <c r="A4585" s="2114"/>
      <c r="B4585" s="568" t="s">
        <v>723</v>
      </c>
      <c r="C4585" s="568"/>
      <c r="D4585" s="568"/>
      <c r="E4585" s="188"/>
      <c r="F4585" s="188"/>
      <c r="G4585" s="2122"/>
      <c r="H4585" s="2125">
        <v>0.05</v>
      </c>
      <c r="I4585" s="2134">
        <f>I4552</f>
        <v>565.6</v>
      </c>
      <c r="J4585" s="2124"/>
      <c r="K4585" s="2123">
        <f>ROUND(I4585*H4585,2)</f>
        <v>28.28</v>
      </c>
      <c r="L4585" s="192"/>
      <c r="M4585" s="568"/>
    </row>
    <row r="4586" spans="1:13" ht="12.75" hidden="1">
      <c r="A4586" s="2114"/>
      <c r="B4586" s="192" t="s">
        <v>3662</v>
      </c>
      <c r="C4586" s="568"/>
      <c r="D4586" s="568"/>
      <c r="E4586" s="188"/>
      <c r="F4586" s="188"/>
      <c r="G4586" s="2122"/>
      <c r="H4586" s="2135">
        <f>H4579</f>
        <v>7.4999999999999997E-2</v>
      </c>
      <c r="I4586" s="2134">
        <f>K4585</f>
        <v>28.28</v>
      </c>
      <c r="J4586" s="2134"/>
      <c r="K4586" s="2123">
        <f>ROUND(I4586*H4586,2)</f>
        <v>2.12</v>
      </c>
      <c r="L4586" s="192"/>
      <c r="M4586" s="568"/>
    </row>
    <row r="4587" spans="1:13" ht="12.75" hidden="1">
      <c r="A4587" s="2114"/>
      <c r="B4587" s="192" t="s">
        <v>3661</v>
      </c>
      <c r="C4587" s="568"/>
      <c r="D4587" s="568"/>
      <c r="E4587" s="188"/>
      <c r="F4587" s="188"/>
      <c r="G4587" s="2122"/>
      <c r="H4587" s="2135">
        <f>H4586</f>
        <v>7.4999999999999997E-2</v>
      </c>
      <c r="I4587" s="2134">
        <f>I4586</f>
        <v>28.28</v>
      </c>
      <c r="J4587" s="2134"/>
      <c r="K4587" s="2140">
        <f>ROUND(I4587*H4587,2)</f>
        <v>2.12</v>
      </c>
      <c r="L4587" s="192"/>
      <c r="M4587" s="568"/>
    </row>
    <row r="4588" spans="1:13" ht="12.75" hidden="1">
      <c r="A4588" s="2114"/>
      <c r="B4588" s="568"/>
      <c r="C4588" s="568"/>
      <c r="D4588" s="568"/>
      <c r="E4588" s="188"/>
      <c r="F4588" s="188"/>
      <c r="G4588" s="2122"/>
      <c r="H4588" s="568"/>
      <c r="I4588" s="2118"/>
      <c r="J4588" s="2123"/>
      <c r="K4588" s="2123">
        <f>SUM(K4584:K4587)</f>
        <v>1311.59</v>
      </c>
      <c r="L4588" s="192"/>
      <c r="M4588" s="568"/>
    </row>
    <row r="4589" spans="1:13" ht="12.75" hidden="1">
      <c r="A4589" s="2114"/>
      <c r="B4589" s="192" t="s">
        <v>3738</v>
      </c>
      <c r="C4589" s="2142">
        <v>0.01</v>
      </c>
      <c r="D4589" s="568"/>
      <c r="E4589" s="188"/>
      <c r="F4589" s="188"/>
      <c r="G4589" s="2122"/>
      <c r="H4589" s="568"/>
      <c r="I4589" s="2118"/>
      <c r="J4589" s="2123"/>
      <c r="K4589" s="2140">
        <f>ROUND(K4588*C4589,2)</f>
        <v>13.12</v>
      </c>
      <c r="L4589" s="192"/>
      <c r="M4589" s="568"/>
    </row>
    <row r="4590" spans="1:13" ht="12.75" hidden="1">
      <c r="A4590" s="2114"/>
      <c r="B4590" s="568"/>
      <c r="C4590" s="568"/>
      <c r="D4590" s="568"/>
      <c r="E4590" s="188"/>
      <c r="F4590" s="188"/>
      <c r="G4590" s="2122"/>
      <c r="H4590" s="568"/>
      <c r="I4590" s="2118"/>
      <c r="J4590" s="2126" t="s">
        <v>718</v>
      </c>
      <c r="K4590" s="2124">
        <f>SUM(K4588:K4589)</f>
        <v>1324.7099999999998</v>
      </c>
      <c r="L4590" s="192" t="s">
        <v>730</v>
      </c>
      <c r="M4590" s="568"/>
    </row>
    <row r="4591" spans="1:13" ht="12.75" hidden="1">
      <c r="A4591" s="2114" t="str">
        <f>A806</f>
        <v>(iii)</v>
      </c>
      <c r="B4591" s="192" t="str">
        <f>B806</f>
        <v>2nd Floor</v>
      </c>
      <c r="C4591" s="568"/>
      <c r="D4591" s="568"/>
      <c r="E4591" s="2120" t="str">
        <f>E4583</f>
        <v>Each Sqm</v>
      </c>
      <c r="F4591" s="2120"/>
      <c r="G4591" s="2122"/>
      <c r="H4591" s="568"/>
      <c r="I4591" s="2118"/>
      <c r="J4591" s="2134"/>
      <c r="K4591" s="2123"/>
      <c r="L4591" s="192"/>
      <c r="M4591" s="568"/>
    </row>
    <row r="4592" spans="1:13" ht="12.75" hidden="1">
      <c r="A4592" s="2114"/>
      <c r="B4592" s="568" t="s">
        <v>722</v>
      </c>
      <c r="C4592" s="568"/>
      <c r="D4592" s="568"/>
      <c r="E4592" s="188"/>
      <c r="F4592" s="188"/>
      <c r="G4592" s="2122"/>
      <c r="H4592" s="568"/>
      <c r="I4592" s="2118"/>
      <c r="J4592" s="2134"/>
      <c r="K4592" s="2123">
        <f>K4588</f>
        <v>1311.59</v>
      </c>
      <c r="L4592" s="192"/>
      <c r="M4592" s="568"/>
    </row>
    <row r="4593" spans="1:13" ht="12.75" hidden="1">
      <c r="A4593" s="2114"/>
      <c r="B4593" s="568" t="s">
        <v>723</v>
      </c>
      <c r="C4593" s="568"/>
      <c r="D4593" s="568"/>
      <c r="E4593" s="188"/>
      <c r="F4593" s="188"/>
      <c r="G4593" s="2122"/>
      <c r="H4593" s="2125">
        <v>0.05</v>
      </c>
      <c r="I4593" s="2134">
        <f>I4585+K4585</f>
        <v>593.88</v>
      </c>
      <c r="J4593" s="2124"/>
      <c r="K4593" s="2123">
        <f>ROUND(I4593*H4593,2)</f>
        <v>29.69</v>
      </c>
      <c r="L4593" s="192"/>
      <c r="M4593" s="568"/>
    </row>
    <row r="4594" spans="1:13" ht="12.75" hidden="1">
      <c r="A4594" s="2114"/>
      <c r="B4594" s="192" t="s">
        <v>3662</v>
      </c>
      <c r="C4594" s="568"/>
      <c r="D4594" s="568"/>
      <c r="E4594" s="188"/>
      <c r="F4594" s="188"/>
      <c r="G4594" s="2122"/>
      <c r="H4594" s="2135">
        <f>H4587</f>
        <v>7.4999999999999997E-2</v>
      </c>
      <c r="I4594" s="2134">
        <f>K4593</f>
        <v>29.69</v>
      </c>
      <c r="J4594" s="2134"/>
      <c r="K4594" s="2123">
        <f>ROUND(I4594*H4594,2)</f>
        <v>2.23</v>
      </c>
      <c r="L4594" s="192"/>
      <c r="M4594" s="568"/>
    </row>
    <row r="4595" spans="1:13" ht="12.75" hidden="1">
      <c r="A4595" s="2114"/>
      <c r="B4595" s="192" t="s">
        <v>3661</v>
      </c>
      <c r="C4595" s="568"/>
      <c r="D4595" s="568"/>
      <c r="E4595" s="188"/>
      <c r="F4595" s="188"/>
      <c r="G4595" s="2122"/>
      <c r="H4595" s="2135">
        <f>H4594</f>
        <v>7.4999999999999997E-2</v>
      </c>
      <c r="I4595" s="2134">
        <f>I4594</f>
        <v>29.69</v>
      </c>
      <c r="J4595" s="2134"/>
      <c r="K4595" s="2140">
        <f>ROUND(I4595*H4595,2)</f>
        <v>2.23</v>
      </c>
      <c r="L4595" s="192"/>
      <c r="M4595" s="568"/>
    </row>
    <row r="4596" spans="1:13" ht="12.75" hidden="1">
      <c r="A4596" s="2114"/>
      <c r="B4596" s="568"/>
      <c r="C4596" s="568"/>
      <c r="D4596" s="568"/>
      <c r="E4596" s="188"/>
      <c r="F4596" s="188"/>
      <c r="G4596" s="2122"/>
      <c r="H4596" s="568"/>
      <c r="I4596" s="2118"/>
      <c r="J4596" s="2123"/>
      <c r="K4596" s="2123">
        <f>SUM(K4592:K4595)</f>
        <v>1345.74</v>
      </c>
      <c r="L4596" s="192"/>
      <c r="M4596" s="568"/>
    </row>
    <row r="4597" spans="1:13" ht="12.75" hidden="1">
      <c r="A4597" s="2114"/>
      <c r="B4597" s="192" t="s">
        <v>3738</v>
      </c>
      <c r="C4597" s="2142">
        <v>0.01</v>
      </c>
      <c r="D4597" s="568"/>
      <c r="E4597" s="188"/>
      <c r="F4597" s="188"/>
      <c r="G4597" s="2122"/>
      <c r="H4597" s="568"/>
      <c r="I4597" s="2118"/>
      <c r="J4597" s="2123"/>
      <c r="K4597" s="2140">
        <f>ROUND(K4596*C4597,2)</f>
        <v>13.46</v>
      </c>
      <c r="L4597" s="192"/>
      <c r="M4597" s="568"/>
    </row>
    <row r="4598" spans="1:13" ht="12.75" hidden="1">
      <c r="A4598" s="2114"/>
      <c r="B4598" s="568"/>
      <c r="C4598" s="568"/>
      <c r="D4598" s="568"/>
      <c r="E4598" s="188"/>
      <c r="F4598" s="188"/>
      <c r="G4598" s="2122"/>
      <c r="H4598" s="568"/>
      <c r="I4598" s="2118"/>
      <c r="J4598" s="2126" t="s">
        <v>718</v>
      </c>
      <c r="K4598" s="2124">
        <f>SUM(K4596:K4597)</f>
        <v>1359.2</v>
      </c>
      <c r="L4598" s="192" t="s">
        <v>730</v>
      </c>
      <c r="M4598" s="568"/>
    </row>
    <row r="4599" spans="1:13" ht="12.75" hidden="1">
      <c r="A4599" s="2114" t="str">
        <f>A807</f>
        <v>(iv)</v>
      </c>
      <c r="B4599" s="192" t="str">
        <f>B807</f>
        <v>3rd Floor</v>
      </c>
      <c r="C4599" s="568"/>
      <c r="D4599" s="568"/>
      <c r="E4599" s="2120" t="str">
        <f>E4583</f>
        <v>Each Sqm</v>
      </c>
      <c r="F4599" s="2120"/>
      <c r="G4599" s="2122"/>
      <c r="H4599" s="568"/>
      <c r="I4599" s="2118"/>
      <c r="J4599" s="2134"/>
      <c r="K4599" s="2123"/>
      <c r="L4599" s="192"/>
      <c r="M4599" s="568"/>
    </row>
    <row r="4600" spans="1:13" ht="12.75" hidden="1">
      <c r="A4600" s="2114"/>
      <c r="B4600" s="568" t="s">
        <v>722</v>
      </c>
      <c r="C4600" s="568"/>
      <c r="D4600" s="568"/>
      <c r="E4600" s="188"/>
      <c r="F4600" s="188"/>
      <c r="G4600" s="2122"/>
      <c r="H4600" s="568"/>
      <c r="I4600" s="2118"/>
      <c r="J4600" s="2134"/>
      <c r="K4600" s="2123">
        <f>K4596</f>
        <v>1345.74</v>
      </c>
      <c r="L4600" s="192"/>
      <c r="M4600" s="568"/>
    </row>
    <row r="4601" spans="1:13" ht="12.75" hidden="1">
      <c r="A4601" s="2114"/>
      <c r="B4601" s="568" t="s">
        <v>723</v>
      </c>
      <c r="C4601" s="568"/>
      <c r="D4601" s="568"/>
      <c r="E4601" s="188"/>
      <c r="F4601" s="188"/>
      <c r="G4601" s="2122"/>
      <c r="H4601" s="2125">
        <v>0.05</v>
      </c>
      <c r="I4601" s="2134">
        <f>I4593+K4593</f>
        <v>623.57000000000005</v>
      </c>
      <c r="J4601" s="2124"/>
      <c r="K4601" s="2123">
        <f>ROUND(I4601*H4601,2)</f>
        <v>31.18</v>
      </c>
      <c r="L4601" s="192"/>
      <c r="M4601" s="568"/>
    </row>
    <row r="4602" spans="1:13" ht="12.75" hidden="1">
      <c r="A4602" s="2114"/>
      <c r="B4602" s="192" t="s">
        <v>3662</v>
      </c>
      <c r="C4602" s="568"/>
      <c r="D4602" s="568"/>
      <c r="E4602" s="188"/>
      <c r="F4602" s="188"/>
      <c r="G4602" s="2122"/>
      <c r="H4602" s="2135">
        <f>H4595</f>
        <v>7.4999999999999997E-2</v>
      </c>
      <c r="I4602" s="2134">
        <f>K4601</f>
        <v>31.18</v>
      </c>
      <c r="J4602" s="2134"/>
      <c r="K4602" s="2123">
        <f>ROUND(I4602*H4602,2)</f>
        <v>2.34</v>
      </c>
      <c r="L4602" s="192"/>
      <c r="M4602" s="568"/>
    </row>
    <row r="4603" spans="1:13" ht="12.75" hidden="1">
      <c r="A4603" s="2114"/>
      <c r="B4603" s="192" t="s">
        <v>3661</v>
      </c>
      <c r="C4603" s="568"/>
      <c r="D4603" s="568"/>
      <c r="E4603" s="188"/>
      <c r="F4603" s="188"/>
      <c r="G4603" s="2122"/>
      <c r="H4603" s="2135">
        <f>H4602</f>
        <v>7.4999999999999997E-2</v>
      </c>
      <c r="I4603" s="2134">
        <f>I4602</f>
        <v>31.18</v>
      </c>
      <c r="J4603" s="2134"/>
      <c r="K4603" s="2140">
        <f>ROUND(I4603*H4603,2)</f>
        <v>2.34</v>
      </c>
      <c r="L4603" s="192"/>
      <c r="M4603" s="568"/>
    </row>
    <row r="4604" spans="1:13" ht="12.75" hidden="1">
      <c r="A4604" s="2114"/>
      <c r="B4604" s="568"/>
      <c r="C4604" s="568"/>
      <c r="D4604" s="568"/>
      <c r="E4604" s="188"/>
      <c r="F4604" s="188"/>
      <c r="G4604" s="2122"/>
      <c r="H4604" s="568"/>
      <c r="I4604" s="2118"/>
      <c r="J4604" s="2123"/>
      <c r="K4604" s="2123">
        <f>SUM(K4600:K4603)</f>
        <v>1381.6</v>
      </c>
      <c r="L4604" s="192"/>
      <c r="M4604" s="568"/>
    </row>
    <row r="4605" spans="1:13" ht="12.75" hidden="1">
      <c r="A4605" s="2114"/>
      <c r="B4605" s="192" t="s">
        <v>3738</v>
      </c>
      <c r="C4605" s="2142">
        <v>0.01</v>
      </c>
      <c r="D4605" s="568"/>
      <c r="E4605" s="188"/>
      <c r="F4605" s="188"/>
      <c r="G4605" s="2122"/>
      <c r="H4605" s="568"/>
      <c r="I4605" s="2118"/>
      <c r="J4605" s="2123"/>
      <c r="K4605" s="2140">
        <f>ROUND(K4604*C4605,2)</f>
        <v>13.82</v>
      </c>
      <c r="L4605" s="192"/>
      <c r="M4605" s="568"/>
    </row>
    <row r="4606" spans="1:13" ht="12.75" hidden="1">
      <c r="A4606" s="2114"/>
      <c r="B4606" s="568"/>
      <c r="C4606" s="568"/>
      <c r="D4606" s="568"/>
      <c r="E4606" s="188"/>
      <c r="F4606" s="188"/>
      <c r="G4606" s="2122"/>
      <c r="H4606" s="568"/>
      <c r="I4606" s="2118"/>
      <c r="J4606" s="2126" t="s">
        <v>718</v>
      </c>
      <c r="K4606" s="2124">
        <f>SUM(K4604:K4605)</f>
        <v>1395.4199999999998</v>
      </c>
      <c r="L4606" s="192" t="s">
        <v>730</v>
      </c>
      <c r="M4606" s="568"/>
    </row>
    <row r="4607" spans="1:13" ht="12.75" hidden="1">
      <c r="A4607" s="2114" t="str">
        <f>A808</f>
        <v>D)</v>
      </c>
      <c r="B4607" s="2165" t="s">
        <v>229</v>
      </c>
      <c r="C4607" s="568"/>
      <c r="D4607" s="568"/>
      <c r="E4607" s="188"/>
      <c r="F4607" s="188"/>
      <c r="G4607" s="2122"/>
      <c r="H4607" s="568"/>
      <c r="I4607" s="2118"/>
      <c r="J4607" s="2134"/>
      <c r="K4607" s="2123"/>
      <c r="L4607" s="192"/>
      <c r="M4607" s="568"/>
    </row>
    <row r="4608" spans="1:13" ht="12.75" hidden="1">
      <c r="A4608" s="2114" t="str">
        <f>A809</f>
        <v>(i)</v>
      </c>
      <c r="B4608" s="192" t="str">
        <f>B809</f>
        <v>Ground Floor</v>
      </c>
      <c r="C4608" s="568"/>
      <c r="D4608" s="568"/>
      <c r="E4608" s="2120" t="str">
        <f>G860</f>
        <v>Each Sqm</v>
      </c>
      <c r="F4608" s="2120"/>
      <c r="G4608" s="2122"/>
      <c r="H4608" s="568"/>
      <c r="I4608" s="2118"/>
      <c r="J4608" s="2134"/>
      <c r="K4608" s="2123"/>
      <c r="L4608" s="192"/>
      <c r="M4608" s="568"/>
    </row>
    <row r="4609" spans="1:13" ht="12.75" hidden="1">
      <c r="A4609" s="2114"/>
      <c r="B4609" s="568" t="s">
        <v>980</v>
      </c>
      <c r="C4609" s="568"/>
      <c r="D4609" s="568"/>
      <c r="E4609" s="188"/>
      <c r="F4609" s="188"/>
      <c r="G4609" s="2122"/>
      <c r="H4609" s="568"/>
      <c r="I4609" s="2118"/>
      <c r="J4609" s="2134" t="s">
        <v>718</v>
      </c>
      <c r="K4609" s="2123">
        <f>K4576</f>
        <v>773.07</v>
      </c>
      <c r="L4609" s="192" t="s">
        <v>730</v>
      </c>
      <c r="M4609" s="568"/>
    </row>
    <row r="4610" spans="1:13" ht="12.75" hidden="1">
      <c r="A4610" s="2114"/>
      <c r="B4610" s="568" t="s">
        <v>979</v>
      </c>
      <c r="C4610" s="568"/>
      <c r="D4610" s="568"/>
      <c r="E4610" s="188"/>
      <c r="F4610" s="188"/>
      <c r="G4610" s="2122">
        <f>G4577</f>
        <v>1</v>
      </c>
      <c r="H4610" s="568" t="s">
        <v>92</v>
      </c>
      <c r="I4610" s="2118" t="s">
        <v>92</v>
      </c>
      <c r="J4610" s="2123">
        <f>G57</f>
        <v>405.2</v>
      </c>
      <c r="K4610" s="2123">
        <f>ROUND(G4610*J4610,2)</f>
        <v>405.2</v>
      </c>
      <c r="L4610" s="192"/>
      <c r="M4610" s="568"/>
    </row>
    <row r="4611" spans="1:13" ht="12.75" hidden="1">
      <c r="A4611" s="2114"/>
      <c r="B4611" s="192" t="s">
        <v>3662</v>
      </c>
      <c r="C4611" s="568"/>
      <c r="D4611" s="568"/>
      <c r="E4611" s="188"/>
      <c r="F4611" s="188"/>
      <c r="G4611" s="2122"/>
      <c r="H4611" s="2135">
        <f>H4595</f>
        <v>7.4999999999999997E-2</v>
      </c>
      <c r="I4611" s="2134">
        <f>K4610</f>
        <v>405.2</v>
      </c>
      <c r="J4611" s="2134"/>
      <c r="K4611" s="2123">
        <f>ROUND(I4611*H4611,2)</f>
        <v>30.39</v>
      </c>
      <c r="L4611" s="192"/>
      <c r="M4611" s="568"/>
    </row>
    <row r="4612" spans="1:13" ht="12.75" hidden="1">
      <c r="A4612" s="2114"/>
      <c r="B4612" s="192" t="s">
        <v>3661</v>
      </c>
      <c r="C4612" s="568"/>
      <c r="D4612" s="568"/>
      <c r="E4612" s="188"/>
      <c r="F4612" s="188"/>
      <c r="G4612" s="2122"/>
      <c r="H4612" s="2135">
        <f>H4611</f>
        <v>7.4999999999999997E-2</v>
      </c>
      <c r="I4612" s="2134">
        <f>I4611</f>
        <v>405.2</v>
      </c>
      <c r="J4612" s="2134"/>
      <c r="K4612" s="2140">
        <f>ROUND(I4612*H4612,2)</f>
        <v>30.39</v>
      </c>
      <c r="L4612" s="192"/>
      <c r="M4612" s="568"/>
    </row>
    <row r="4613" spans="1:13" ht="12.75" hidden="1">
      <c r="A4613" s="2114"/>
      <c r="B4613" s="568"/>
      <c r="C4613" s="568"/>
      <c r="D4613" s="568"/>
      <c r="E4613" s="188"/>
      <c r="F4613" s="188"/>
      <c r="G4613" s="2122"/>
      <c r="H4613" s="568"/>
      <c r="I4613" s="2118"/>
      <c r="J4613" s="2123"/>
      <c r="K4613" s="2123">
        <f>SUM(K4609:K4612)</f>
        <v>1239.0500000000002</v>
      </c>
      <c r="L4613" s="192"/>
      <c r="M4613" s="568"/>
    </row>
    <row r="4614" spans="1:13" ht="12.75" hidden="1">
      <c r="A4614" s="2114"/>
      <c r="B4614" s="192" t="s">
        <v>3738</v>
      </c>
      <c r="C4614" s="2142">
        <v>0.01</v>
      </c>
      <c r="D4614" s="568"/>
      <c r="E4614" s="188"/>
      <c r="F4614" s="188"/>
      <c r="G4614" s="2122"/>
      <c r="H4614" s="568"/>
      <c r="I4614" s="2118"/>
      <c r="J4614" s="2123"/>
      <c r="K4614" s="2140">
        <f>ROUND(K4613*C4614,2)</f>
        <v>12.39</v>
      </c>
      <c r="L4614" s="192"/>
      <c r="M4614" s="568"/>
    </row>
    <row r="4615" spans="1:13" ht="12.75" hidden="1">
      <c r="A4615" s="2114"/>
      <c r="B4615" s="568"/>
      <c r="C4615" s="568"/>
      <c r="D4615" s="568"/>
      <c r="E4615" s="188"/>
      <c r="F4615" s="188"/>
      <c r="G4615" s="2122"/>
      <c r="H4615" s="568"/>
      <c r="I4615" s="2118"/>
      <c r="J4615" s="2126" t="s">
        <v>718</v>
      </c>
      <c r="K4615" s="2124">
        <f>SUM(K4613:K4614)</f>
        <v>1251.4400000000003</v>
      </c>
      <c r="L4615" s="192" t="s">
        <v>730</v>
      </c>
      <c r="M4615" s="568"/>
    </row>
    <row r="4616" spans="1:13" ht="12.75" hidden="1">
      <c r="A4616" s="2114" t="str">
        <f>A810</f>
        <v>(ii)</v>
      </c>
      <c r="B4616" s="192" t="str">
        <f>B810</f>
        <v>First Floor</v>
      </c>
      <c r="C4616" s="568"/>
      <c r="D4616" s="568"/>
      <c r="E4616" s="2120" t="str">
        <f>E4608</f>
        <v>Each Sqm</v>
      </c>
      <c r="F4616" s="2120"/>
      <c r="G4616" s="2122"/>
      <c r="H4616" s="568"/>
      <c r="I4616" s="2118"/>
      <c r="J4616" s="2123"/>
      <c r="K4616" s="2123"/>
      <c r="L4616" s="192"/>
      <c r="M4616" s="568"/>
    </row>
    <row r="4617" spans="1:13" ht="12.75" hidden="1">
      <c r="A4617" s="2114"/>
      <c r="B4617" s="568" t="s">
        <v>722</v>
      </c>
      <c r="C4617" s="568"/>
      <c r="D4617" s="568"/>
      <c r="E4617" s="188"/>
      <c r="F4617" s="188"/>
      <c r="G4617" s="2122"/>
      <c r="H4617" s="568"/>
      <c r="I4617" s="2118"/>
      <c r="J4617" s="2123"/>
      <c r="K4617" s="2123">
        <f>K4613</f>
        <v>1239.0500000000002</v>
      </c>
      <c r="L4617" s="192"/>
      <c r="M4617" s="568"/>
    </row>
    <row r="4618" spans="1:13" ht="12.75" hidden="1">
      <c r="A4618" s="2114"/>
      <c r="B4618" s="568" t="s">
        <v>723</v>
      </c>
      <c r="C4618" s="568"/>
      <c r="D4618" s="568"/>
      <c r="E4618" s="188"/>
      <c r="F4618" s="188"/>
      <c r="G4618" s="2122"/>
      <c r="H4618" s="2125">
        <v>0.05</v>
      </c>
      <c r="I4618" s="2134">
        <f>I4585</f>
        <v>565.6</v>
      </c>
      <c r="J4618" s="2124"/>
      <c r="K4618" s="2123">
        <f>ROUND(I4618*H4618,2)</f>
        <v>28.28</v>
      </c>
      <c r="L4618" s="192"/>
      <c r="M4618" s="568"/>
    </row>
    <row r="4619" spans="1:13" ht="12.75" hidden="1">
      <c r="A4619" s="2114"/>
      <c r="B4619" s="192" t="s">
        <v>3662</v>
      </c>
      <c r="C4619" s="568"/>
      <c r="D4619" s="568"/>
      <c r="E4619" s="188"/>
      <c r="F4619" s="188"/>
      <c r="G4619" s="2122"/>
      <c r="H4619" s="2135">
        <f>H4612</f>
        <v>7.4999999999999997E-2</v>
      </c>
      <c r="I4619" s="2134">
        <f>K4618</f>
        <v>28.28</v>
      </c>
      <c r="J4619" s="2134"/>
      <c r="K4619" s="2123">
        <f>ROUND(I4619*H4619,2)</f>
        <v>2.12</v>
      </c>
      <c r="L4619" s="192"/>
      <c r="M4619" s="568"/>
    </row>
    <row r="4620" spans="1:13" ht="12.75" hidden="1">
      <c r="A4620" s="2114"/>
      <c r="B4620" s="192" t="s">
        <v>3661</v>
      </c>
      <c r="C4620" s="568"/>
      <c r="D4620" s="568"/>
      <c r="E4620" s="188"/>
      <c r="F4620" s="188"/>
      <c r="G4620" s="2122"/>
      <c r="H4620" s="2135">
        <f>H4619</f>
        <v>7.4999999999999997E-2</v>
      </c>
      <c r="I4620" s="2134">
        <f>I4619</f>
        <v>28.28</v>
      </c>
      <c r="J4620" s="2134"/>
      <c r="K4620" s="2140">
        <f>ROUND(I4620*H4620,2)</f>
        <v>2.12</v>
      </c>
      <c r="L4620" s="192"/>
      <c r="M4620" s="568"/>
    </row>
    <row r="4621" spans="1:13" ht="12.75" hidden="1">
      <c r="A4621" s="2114"/>
      <c r="B4621" s="568"/>
      <c r="C4621" s="568"/>
      <c r="D4621" s="568"/>
      <c r="E4621" s="188"/>
      <c r="F4621" s="188"/>
      <c r="G4621" s="2122"/>
      <c r="H4621" s="568"/>
      <c r="I4621" s="2118"/>
      <c r="J4621" s="2123"/>
      <c r="K4621" s="2123">
        <f>SUM(K4617:K4620)</f>
        <v>1271.57</v>
      </c>
      <c r="L4621" s="192"/>
      <c r="M4621" s="568"/>
    </row>
    <row r="4622" spans="1:13" ht="12.75" hidden="1">
      <c r="A4622" s="2114"/>
      <c r="B4622" s="192" t="s">
        <v>3738</v>
      </c>
      <c r="C4622" s="2142">
        <v>0.01</v>
      </c>
      <c r="D4622" s="568"/>
      <c r="E4622" s="188"/>
      <c r="F4622" s="188"/>
      <c r="G4622" s="2122"/>
      <c r="H4622" s="568"/>
      <c r="I4622" s="2118"/>
      <c r="J4622" s="2123"/>
      <c r="K4622" s="2140">
        <f>ROUND(K4621*C4622,2)</f>
        <v>12.72</v>
      </c>
      <c r="L4622" s="192"/>
      <c r="M4622" s="568"/>
    </row>
    <row r="4623" spans="1:13" ht="12.75" hidden="1">
      <c r="A4623" s="2114"/>
      <c r="B4623" s="568"/>
      <c r="C4623" s="568"/>
      <c r="D4623" s="568"/>
      <c r="E4623" s="188"/>
      <c r="F4623" s="188"/>
      <c r="G4623" s="2122"/>
      <c r="H4623" s="568"/>
      <c r="I4623" s="2118"/>
      <c r="J4623" s="2126" t="s">
        <v>718</v>
      </c>
      <c r="K4623" s="2124">
        <f>SUM(K4621:K4622)</f>
        <v>1284.29</v>
      </c>
      <c r="L4623" s="192" t="s">
        <v>730</v>
      </c>
      <c r="M4623" s="568"/>
    </row>
    <row r="4624" spans="1:13" ht="12.75" hidden="1">
      <c r="A4624" s="2114" t="str">
        <f>A811</f>
        <v>(iii)</v>
      </c>
      <c r="B4624" s="192" t="str">
        <f>B811</f>
        <v>2nd Floor</v>
      </c>
      <c r="C4624" s="568"/>
      <c r="D4624" s="568"/>
      <c r="E4624" s="2120" t="str">
        <f>E4616</f>
        <v>Each Sqm</v>
      </c>
      <c r="F4624" s="2120"/>
      <c r="G4624" s="2122"/>
      <c r="H4624" s="568"/>
      <c r="I4624" s="2118"/>
      <c r="J4624" s="2123"/>
      <c r="K4624" s="2123"/>
      <c r="L4624" s="192"/>
      <c r="M4624" s="568"/>
    </row>
    <row r="4625" spans="1:13" ht="12.75" hidden="1">
      <c r="A4625" s="2114"/>
      <c r="B4625" s="568" t="s">
        <v>722</v>
      </c>
      <c r="C4625" s="568"/>
      <c r="D4625" s="568"/>
      <c r="E4625" s="188"/>
      <c r="F4625" s="188"/>
      <c r="G4625" s="2122"/>
      <c r="H4625" s="568"/>
      <c r="I4625" s="2118"/>
      <c r="J4625" s="2123"/>
      <c r="K4625" s="2123">
        <f>K4621</f>
        <v>1271.57</v>
      </c>
      <c r="L4625" s="192"/>
      <c r="M4625" s="568"/>
    </row>
    <row r="4626" spans="1:13" ht="12.75" hidden="1">
      <c r="A4626" s="2114"/>
      <c r="B4626" s="568" t="s">
        <v>723</v>
      </c>
      <c r="C4626" s="568"/>
      <c r="D4626" s="568"/>
      <c r="E4626" s="188"/>
      <c r="F4626" s="188"/>
      <c r="G4626" s="2122"/>
      <c r="H4626" s="2125">
        <v>0.05</v>
      </c>
      <c r="I4626" s="2134">
        <f>I4618+K4618</f>
        <v>593.88</v>
      </c>
      <c r="J4626" s="2124"/>
      <c r="K4626" s="2123">
        <f>ROUND(I4626*H4626,2)</f>
        <v>29.69</v>
      </c>
      <c r="L4626" s="192"/>
      <c r="M4626" s="568"/>
    </row>
    <row r="4627" spans="1:13" ht="12.75" hidden="1">
      <c r="A4627" s="2114"/>
      <c r="B4627" s="192" t="s">
        <v>3662</v>
      </c>
      <c r="C4627" s="568"/>
      <c r="D4627" s="568"/>
      <c r="E4627" s="188"/>
      <c r="F4627" s="188"/>
      <c r="G4627" s="2122"/>
      <c r="H4627" s="2135">
        <f>H4620</f>
        <v>7.4999999999999997E-2</v>
      </c>
      <c r="I4627" s="2134">
        <f>K4626</f>
        <v>29.69</v>
      </c>
      <c r="J4627" s="2134"/>
      <c r="K4627" s="2123">
        <f>ROUND(I4627*H4627,2)</f>
        <v>2.23</v>
      </c>
      <c r="L4627" s="192"/>
      <c r="M4627" s="568"/>
    </row>
    <row r="4628" spans="1:13" ht="12.75" hidden="1">
      <c r="A4628" s="2114"/>
      <c r="B4628" s="192" t="s">
        <v>3661</v>
      </c>
      <c r="C4628" s="568"/>
      <c r="D4628" s="568"/>
      <c r="E4628" s="188"/>
      <c r="F4628" s="188"/>
      <c r="G4628" s="2122"/>
      <c r="H4628" s="2135">
        <f>H4627</f>
        <v>7.4999999999999997E-2</v>
      </c>
      <c r="I4628" s="2134">
        <f>I4627</f>
        <v>29.69</v>
      </c>
      <c r="J4628" s="2134"/>
      <c r="K4628" s="2140">
        <f>ROUND(I4628*H4628,2)</f>
        <v>2.23</v>
      </c>
      <c r="L4628" s="192"/>
      <c r="M4628" s="568"/>
    </row>
    <row r="4629" spans="1:13" ht="12.75" hidden="1">
      <c r="A4629" s="2114"/>
      <c r="B4629" s="568"/>
      <c r="C4629" s="568"/>
      <c r="D4629" s="568"/>
      <c r="E4629" s="188"/>
      <c r="F4629" s="188"/>
      <c r="G4629" s="2122"/>
      <c r="H4629" s="568"/>
      <c r="I4629" s="2118"/>
      <c r="J4629" s="2123"/>
      <c r="K4629" s="2123">
        <f>SUM(K4625:K4628)</f>
        <v>1305.72</v>
      </c>
      <c r="L4629" s="192"/>
      <c r="M4629" s="568"/>
    </row>
    <row r="4630" spans="1:13" ht="12.75" hidden="1">
      <c r="A4630" s="2114"/>
      <c r="B4630" s="192" t="s">
        <v>3738</v>
      </c>
      <c r="C4630" s="2142">
        <v>0.01</v>
      </c>
      <c r="D4630" s="568"/>
      <c r="E4630" s="188"/>
      <c r="F4630" s="188"/>
      <c r="G4630" s="2122"/>
      <c r="H4630" s="568"/>
      <c r="I4630" s="2118"/>
      <c r="J4630" s="2123"/>
      <c r="K4630" s="2140">
        <f>ROUND(K4629*C4630,2)</f>
        <v>13.06</v>
      </c>
      <c r="L4630" s="192"/>
      <c r="M4630" s="568"/>
    </row>
    <row r="4631" spans="1:13" ht="12.75" hidden="1">
      <c r="A4631" s="2114"/>
      <c r="B4631" s="568"/>
      <c r="C4631" s="568"/>
      <c r="D4631" s="568"/>
      <c r="E4631" s="188"/>
      <c r="F4631" s="188"/>
      <c r="G4631" s="2122"/>
      <c r="H4631" s="568"/>
      <c r="I4631" s="2118"/>
      <c r="J4631" s="2126" t="s">
        <v>718</v>
      </c>
      <c r="K4631" s="2124">
        <f>SUM(K4629:K4630)</f>
        <v>1318.78</v>
      </c>
      <c r="L4631" s="192" t="s">
        <v>730</v>
      </c>
      <c r="M4631" s="568"/>
    </row>
    <row r="4632" spans="1:13" ht="12.75" hidden="1">
      <c r="A4632" s="2114" t="str">
        <f>A812</f>
        <v>(iv)</v>
      </c>
      <c r="B4632" s="192" t="str">
        <f>B812</f>
        <v>3rd Floor</v>
      </c>
      <c r="C4632" s="568"/>
      <c r="D4632" s="568"/>
      <c r="E4632" s="2120" t="str">
        <f>E4624</f>
        <v>Each Sqm</v>
      </c>
      <c r="F4632" s="2120"/>
      <c r="G4632" s="2122"/>
      <c r="H4632" s="568"/>
      <c r="I4632" s="2118"/>
      <c r="J4632" s="2123"/>
      <c r="K4632" s="2123"/>
      <c r="L4632" s="192"/>
      <c r="M4632" s="568"/>
    </row>
    <row r="4633" spans="1:13" ht="12.75" hidden="1">
      <c r="A4633" s="2114"/>
      <c r="B4633" s="568" t="s">
        <v>722</v>
      </c>
      <c r="C4633" s="568"/>
      <c r="D4633" s="568"/>
      <c r="E4633" s="188"/>
      <c r="F4633" s="188"/>
      <c r="G4633" s="2122"/>
      <c r="H4633" s="568"/>
      <c r="I4633" s="2118"/>
      <c r="J4633" s="2123"/>
      <c r="K4633" s="2123">
        <f>K4629</f>
        <v>1305.72</v>
      </c>
      <c r="L4633" s="192"/>
      <c r="M4633" s="568"/>
    </row>
    <row r="4634" spans="1:13" ht="12.75" hidden="1">
      <c r="A4634" s="2114"/>
      <c r="B4634" s="568" t="s">
        <v>723</v>
      </c>
      <c r="C4634" s="568"/>
      <c r="D4634" s="568"/>
      <c r="E4634" s="188"/>
      <c r="F4634" s="188"/>
      <c r="G4634" s="2122"/>
      <c r="H4634" s="2125">
        <v>0.05</v>
      </c>
      <c r="I4634" s="2134">
        <f>I4626+K4626</f>
        <v>623.57000000000005</v>
      </c>
      <c r="J4634" s="2124"/>
      <c r="K4634" s="2123">
        <f>ROUND(I4634*H4634,2)</f>
        <v>31.18</v>
      </c>
      <c r="L4634" s="192"/>
      <c r="M4634" s="568"/>
    </row>
    <row r="4635" spans="1:13" ht="12.75" hidden="1">
      <c r="A4635" s="2114"/>
      <c r="B4635" s="192" t="s">
        <v>3662</v>
      </c>
      <c r="C4635" s="568"/>
      <c r="D4635" s="568"/>
      <c r="E4635" s="188"/>
      <c r="F4635" s="188"/>
      <c r="G4635" s="2122"/>
      <c r="H4635" s="2135">
        <f>H4628</f>
        <v>7.4999999999999997E-2</v>
      </c>
      <c r="I4635" s="2134">
        <f>K4634</f>
        <v>31.18</v>
      </c>
      <c r="J4635" s="2134"/>
      <c r="K4635" s="2123">
        <f>ROUND(I4635*H4635,2)</f>
        <v>2.34</v>
      </c>
      <c r="L4635" s="192"/>
      <c r="M4635" s="568"/>
    </row>
    <row r="4636" spans="1:13" ht="12.75" hidden="1">
      <c r="A4636" s="2114"/>
      <c r="B4636" s="192" t="s">
        <v>3661</v>
      </c>
      <c r="C4636" s="568"/>
      <c r="D4636" s="568"/>
      <c r="E4636" s="188"/>
      <c r="F4636" s="188"/>
      <c r="G4636" s="2122"/>
      <c r="H4636" s="2135">
        <f>H4635</f>
        <v>7.4999999999999997E-2</v>
      </c>
      <c r="I4636" s="2134">
        <f>I4635</f>
        <v>31.18</v>
      </c>
      <c r="J4636" s="2134"/>
      <c r="K4636" s="2140">
        <f>ROUND(I4636*H4636,2)</f>
        <v>2.34</v>
      </c>
      <c r="L4636" s="192"/>
      <c r="M4636" s="568"/>
    </row>
    <row r="4637" spans="1:13" ht="12.75" hidden="1">
      <c r="A4637" s="2114"/>
      <c r="B4637" s="568"/>
      <c r="C4637" s="568"/>
      <c r="D4637" s="568"/>
      <c r="E4637" s="188"/>
      <c r="F4637" s="188"/>
      <c r="G4637" s="2122"/>
      <c r="H4637" s="568"/>
      <c r="I4637" s="2118"/>
      <c r="J4637" s="2123"/>
      <c r="K4637" s="2123">
        <f>SUM(K4633:K4636)</f>
        <v>1341.58</v>
      </c>
      <c r="L4637" s="192"/>
      <c r="M4637" s="568"/>
    </row>
    <row r="4638" spans="1:13" ht="12.75" hidden="1">
      <c r="A4638" s="2114"/>
      <c r="B4638" s="192" t="s">
        <v>3738</v>
      </c>
      <c r="C4638" s="2142">
        <v>0.01</v>
      </c>
      <c r="D4638" s="568"/>
      <c r="E4638" s="188"/>
      <c r="F4638" s="188"/>
      <c r="G4638" s="2122"/>
      <c r="H4638" s="568"/>
      <c r="I4638" s="2118"/>
      <c r="J4638" s="2123"/>
      <c r="K4638" s="2140">
        <f>ROUND(K4637*C4638,2)</f>
        <v>13.42</v>
      </c>
      <c r="L4638" s="192"/>
      <c r="M4638" s="568"/>
    </row>
    <row r="4639" spans="1:13" ht="12.75" hidden="1">
      <c r="A4639" s="2114"/>
      <c r="B4639" s="568"/>
      <c r="C4639" s="568"/>
      <c r="D4639" s="568"/>
      <c r="E4639" s="188"/>
      <c r="F4639" s="188"/>
      <c r="G4639" s="2122"/>
      <c r="H4639" s="568"/>
      <c r="I4639" s="2118"/>
      <c r="J4639" s="2126" t="s">
        <v>718</v>
      </c>
      <c r="K4639" s="2124">
        <f>SUM(K4637:K4638)</f>
        <v>1355</v>
      </c>
      <c r="L4639" s="192" t="s">
        <v>730</v>
      </c>
      <c r="M4639" s="568"/>
    </row>
    <row r="4640" spans="1:13" ht="12.75" hidden="1">
      <c r="A4640" s="2114" t="str">
        <f>A813</f>
        <v>E)</v>
      </c>
      <c r="B4640" s="2165" t="str">
        <f>B803</f>
        <v>Kota tile (size above 0.10sqm)</v>
      </c>
      <c r="C4640" s="568"/>
      <c r="D4640" s="568"/>
      <c r="E4640" s="188"/>
      <c r="F4640" s="188"/>
      <c r="G4640" s="2122"/>
      <c r="H4640" s="568"/>
      <c r="I4640" s="2118"/>
      <c r="J4640" s="2123"/>
      <c r="K4640" s="2123"/>
      <c r="L4640" s="192"/>
      <c r="M4640" s="568"/>
    </row>
    <row r="4641" spans="1:13" ht="12.75" hidden="1">
      <c r="A4641" s="2114" t="str">
        <f>A814</f>
        <v>(i)</v>
      </c>
      <c r="B4641" s="192" t="str">
        <f>B814</f>
        <v>Ground Floor</v>
      </c>
      <c r="C4641" s="568"/>
      <c r="D4641" s="568"/>
      <c r="E4641" s="2120" t="str">
        <f>G804</f>
        <v>Each Sqm</v>
      </c>
      <c r="F4641" s="2120"/>
      <c r="G4641" s="2122"/>
      <c r="H4641" s="568"/>
      <c r="I4641" s="2118"/>
      <c r="J4641" s="2123"/>
      <c r="K4641" s="2123"/>
      <c r="L4641" s="192"/>
      <c r="M4641" s="568"/>
    </row>
    <row r="4642" spans="1:13" ht="12.75" hidden="1">
      <c r="A4642" s="2114"/>
      <c r="B4642" s="568" t="s">
        <v>980</v>
      </c>
      <c r="C4642" s="568"/>
      <c r="D4642" s="568"/>
      <c r="E4642" s="188"/>
      <c r="F4642" s="188"/>
      <c r="G4642" s="2122"/>
      <c r="H4642" s="568"/>
      <c r="I4642" s="2118"/>
      <c r="J4642" s="2134" t="s">
        <v>718</v>
      </c>
      <c r="K4642" s="2123">
        <f>K4472</f>
        <v>773.07</v>
      </c>
      <c r="L4642" s="192" t="s">
        <v>730</v>
      </c>
      <c r="M4642" s="568"/>
    </row>
    <row r="4643" spans="1:13" ht="12.75" hidden="1">
      <c r="A4643" s="2114"/>
      <c r="B4643" s="568" t="s">
        <v>983</v>
      </c>
      <c r="C4643" s="568"/>
      <c r="D4643" s="568"/>
      <c r="E4643" s="188"/>
      <c r="F4643" s="188"/>
      <c r="G4643" s="2122"/>
      <c r="H4643" s="568"/>
      <c r="I4643" s="2118"/>
      <c r="J4643" s="2123"/>
      <c r="K4643" s="2123">
        <v>8.5</v>
      </c>
      <c r="L4643" s="192"/>
      <c r="M4643" s="568"/>
    </row>
    <row r="4644" spans="1:13" ht="12.75" hidden="1">
      <c r="A4644" s="2114"/>
      <c r="B4644" s="568" t="s">
        <v>716</v>
      </c>
      <c r="C4644" s="568"/>
      <c r="D4644" s="568"/>
      <c r="E4644" s="188"/>
      <c r="F4644" s="188"/>
      <c r="G4644" s="2122"/>
      <c r="H4644" s="568" t="s">
        <v>262</v>
      </c>
      <c r="I4644" s="2118" t="s">
        <v>38</v>
      </c>
      <c r="J4644" s="2123">
        <f>L135</f>
        <v>385</v>
      </c>
      <c r="K4644" s="2123">
        <f>G4644*J4644</f>
        <v>0</v>
      </c>
      <c r="L4644" s="192"/>
      <c r="M4644" s="568"/>
    </row>
    <row r="4645" spans="1:13" ht="12.75" hidden="1">
      <c r="A4645" s="2114"/>
      <c r="B4645" s="568"/>
      <c r="C4645" s="568"/>
      <c r="D4645" s="568"/>
      <c r="E4645" s="188"/>
      <c r="F4645" s="188"/>
      <c r="G4645" s="2122"/>
      <c r="H4645" s="568"/>
      <c r="I4645" s="2118"/>
      <c r="J4645" s="2123"/>
      <c r="K4645" s="2123"/>
      <c r="L4645" s="192"/>
      <c r="M4645" s="568"/>
    </row>
    <row r="4646" spans="1:13" ht="12.75" hidden="1">
      <c r="A4646" s="2114"/>
      <c r="B4646" s="568" t="s">
        <v>979</v>
      </c>
      <c r="C4646" s="568"/>
      <c r="D4646" s="568"/>
      <c r="E4646" s="188"/>
      <c r="F4646" s="188"/>
      <c r="G4646" s="2122">
        <f>G4610</f>
        <v>1</v>
      </c>
      <c r="H4646" s="568" t="s">
        <v>92</v>
      </c>
      <c r="I4646" s="2118" t="s">
        <v>92</v>
      </c>
      <c r="J4646" s="2123">
        <f>G58</f>
        <v>500.2</v>
      </c>
      <c r="K4646" s="2123">
        <f>ROUND(G4646*J4646,2)</f>
        <v>500.2</v>
      </c>
      <c r="L4646" s="192"/>
      <c r="M4646" s="568"/>
    </row>
    <row r="4647" spans="1:13" ht="12.75" hidden="1">
      <c r="A4647" s="2114"/>
      <c r="B4647" s="568"/>
      <c r="C4647" s="568"/>
      <c r="D4647" s="568"/>
      <c r="E4647" s="188"/>
      <c r="F4647" s="188"/>
      <c r="G4647" s="2122"/>
      <c r="H4647" s="568"/>
      <c r="I4647" s="2118"/>
      <c r="J4647" s="2123"/>
      <c r="K4647" s="2123"/>
      <c r="L4647" s="192"/>
      <c r="M4647" s="568"/>
    </row>
    <row r="4648" spans="1:13" ht="12.75" hidden="1">
      <c r="A4648" s="2114"/>
      <c r="B4648" s="568"/>
      <c r="C4648" s="568"/>
      <c r="D4648" s="568"/>
      <c r="E4648" s="188"/>
      <c r="F4648" s="188"/>
      <c r="G4648" s="2122"/>
      <c r="H4648" s="568"/>
      <c r="I4648" s="2118"/>
      <c r="J4648" s="2126" t="s">
        <v>718</v>
      </c>
      <c r="K4648" s="2124">
        <f>SUM(K4642:K4647)</f>
        <v>1281.77</v>
      </c>
      <c r="L4648" s="192" t="s">
        <v>730</v>
      </c>
      <c r="M4648" s="568"/>
    </row>
    <row r="4649" spans="1:13" ht="12.75" hidden="1">
      <c r="A4649" s="2114" t="str">
        <f>A815</f>
        <v>(ii)</v>
      </c>
      <c r="B4649" s="192" t="str">
        <f>B815</f>
        <v>First Floor</v>
      </c>
      <c r="C4649" s="568"/>
      <c r="D4649" s="568"/>
      <c r="E4649" s="2120" t="str">
        <f>E4641</f>
        <v>Each Sqm</v>
      </c>
      <c r="F4649" s="2120"/>
      <c r="G4649" s="2122"/>
      <c r="H4649" s="568"/>
      <c r="I4649" s="2118"/>
      <c r="J4649" s="2123"/>
      <c r="K4649" s="2123"/>
      <c r="L4649" s="192"/>
      <c r="M4649" s="568"/>
    </row>
    <row r="4650" spans="1:13" ht="12.75" hidden="1">
      <c r="A4650" s="2114"/>
      <c r="B4650" s="568" t="s">
        <v>722</v>
      </c>
      <c r="C4650" s="568"/>
      <c r="D4650" s="568"/>
      <c r="E4650" s="188"/>
      <c r="F4650" s="188"/>
      <c r="G4650" s="2122"/>
      <c r="H4650" s="568"/>
      <c r="I4650" s="2118"/>
      <c r="J4650" s="2123"/>
      <c r="K4650" s="2123">
        <f>K4648</f>
        <v>1281.77</v>
      </c>
      <c r="L4650" s="192"/>
      <c r="M4650" s="568"/>
    </row>
    <row r="4651" spans="1:13" ht="12.75" hidden="1">
      <c r="A4651" s="2114"/>
      <c r="B4651" s="568" t="s">
        <v>723</v>
      </c>
      <c r="C4651" s="568"/>
      <c r="D4651" s="568"/>
      <c r="E4651" s="188"/>
      <c r="F4651" s="188"/>
      <c r="G4651" s="2122"/>
      <c r="H4651" s="568"/>
      <c r="I4651" s="2118"/>
      <c r="J4651" s="2123"/>
      <c r="K4651" s="2123">
        <f>ROUND((K4461/10+K4644)*5%,2)</f>
        <v>28.28</v>
      </c>
      <c r="L4651" s="192"/>
      <c r="M4651" s="568"/>
    </row>
    <row r="4652" spans="1:13" ht="12.75" hidden="1">
      <c r="A4652" s="2114"/>
      <c r="B4652" s="568"/>
      <c r="C4652" s="568"/>
      <c r="D4652" s="568"/>
      <c r="E4652" s="188"/>
      <c r="F4652" s="188"/>
      <c r="G4652" s="2122"/>
      <c r="H4652" s="568"/>
      <c r="I4652" s="2118"/>
      <c r="J4652" s="2126" t="s">
        <v>718</v>
      </c>
      <c r="K4652" s="2124">
        <f>SUM(K4650:K4651)</f>
        <v>1310.05</v>
      </c>
      <c r="L4652" s="192" t="s">
        <v>730</v>
      </c>
      <c r="M4652" s="568"/>
    </row>
    <row r="4653" spans="1:13" ht="12.75" hidden="1">
      <c r="A4653" s="2114" t="str">
        <f>A816</f>
        <v>(iii)</v>
      </c>
      <c r="B4653" s="192" t="str">
        <f>B816</f>
        <v>2nd Floor</v>
      </c>
      <c r="C4653" s="568"/>
      <c r="D4653" s="568"/>
      <c r="E4653" s="2120" t="str">
        <f>E4649</f>
        <v>Each Sqm</v>
      </c>
      <c r="F4653" s="2120"/>
      <c r="G4653" s="2122"/>
      <c r="H4653" s="568"/>
      <c r="I4653" s="2118"/>
      <c r="J4653" s="2123"/>
      <c r="K4653" s="2123"/>
      <c r="L4653" s="192"/>
      <c r="M4653" s="568"/>
    </row>
    <row r="4654" spans="1:13" ht="12.75" hidden="1">
      <c r="A4654" s="2114"/>
      <c r="B4654" s="568" t="s">
        <v>722</v>
      </c>
      <c r="C4654" s="568"/>
      <c r="D4654" s="568"/>
      <c r="E4654" s="188"/>
      <c r="F4654" s="188"/>
      <c r="G4654" s="2122"/>
      <c r="H4654" s="568"/>
      <c r="I4654" s="2118"/>
      <c r="J4654" s="2123"/>
      <c r="K4654" s="2123">
        <f>K4652</f>
        <v>1310.05</v>
      </c>
      <c r="L4654" s="192"/>
      <c r="M4654" s="568"/>
    </row>
    <row r="4655" spans="1:13" ht="12.75" hidden="1">
      <c r="A4655" s="2114"/>
      <c r="B4655" s="568" t="s">
        <v>723</v>
      </c>
      <c r="C4655" s="568"/>
      <c r="D4655" s="568"/>
      <c r="E4655" s="188"/>
      <c r="F4655" s="188"/>
      <c r="G4655" s="2122"/>
      <c r="H4655" s="568"/>
      <c r="I4655" s="2118"/>
      <c r="J4655" s="2123"/>
      <c r="K4655" s="2123">
        <f>ROUND((K4468/10+K4648)*5%,2)</f>
        <v>64.38</v>
      </c>
      <c r="L4655" s="192"/>
      <c r="M4655" s="568"/>
    </row>
    <row r="4656" spans="1:13" ht="12.75" hidden="1">
      <c r="A4656" s="2114"/>
      <c r="B4656" s="568"/>
      <c r="C4656" s="568"/>
      <c r="D4656" s="568"/>
      <c r="E4656" s="188"/>
      <c r="F4656" s="188"/>
      <c r="G4656" s="2122"/>
      <c r="H4656" s="568"/>
      <c r="I4656" s="2118"/>
      <c r="J4656" s="2126" t="s">
        <v>718</v>
      </c>
      <c r="K4656" s="2124">
        <f>SUM(K4654:K4655)</f>
        <v>1374.4299999999998</v>
      </c>
      <c r="L4656" s="192" t="s">
        <v>730</v>
      </c>
      <c r="M4656" s="568"/>
    </row>
    <row r="4657" spans="1:17" ht="12.75" hidden="1">
      <c r="A4657" s="2114" t="str">
        <f>A817</f>
        <v>(iv)</v>
      </c>
      <c r="B4657" s="192" t="str">
        <f>B817</f>
        <v>3rd Floor</v>
      </c>
      <c r="C4657" s="568"/>
      <c r="D4657" s="568"/>
      <c r="E4657" s="2120" t="str">
        <f>E4653</f>
        <v>Each Sqm</v>
      </c>
      <c r="F4657" s="2120"/>
      <c r="G4657" s="2122"/>
      <c r="H4657" s="568"/>
      <c r="I4657" s="2118"/>
      <c r="J4657" s="2123"/>
      <c r="K4657" s="2123"/>
      <c r="L4657" s="192"/>
      <c r="M4657" s="568"/>
    </row>
    <row r="4658" spans="1:17" ht="12.75" hidden="1">
      <c r="A4658" s="2114"/>
      <c r="B4658" s="568" t="s">
        <v>722</v>
      </c>
      <c r="C4658" s="568"/>
      <c r="D4658" s="568"/>
      <c r="E4658" s="188"/>
      <c r="F4658" s="188"/>
      <c r="G4658" s="2122"/>
      <c r="H4658" s="568"/>
      <c r="I4658" s="2118"/>
      <c r="J4658" s="2123"/>
      <c r="K4658" s="2123">
        <f>K4656</f>
        <v>1374.4299999999998</v>
      </c>
      <c r="L4658" s="192"/>
      <c r="M4658" s="568"/>
    </row>
    <row r="4659" spans="1:17" ht="12.75" hidden="1">
      <c r="A4659" s="2114"/>
      <c r="B4659" s="568" t="s">
        <v>723</v>
      </c>
      <c r="C4659" s="568"/>
      <c r="D4659" s="568"/>
      <c r="E4659" s="188"/>
      <c r="F4659" s="188"/>
      <c r="G4659" s="2122"/>
      <c r="H4659" s="568"/>
      <c r="I4659" s="2118"/>
      <c r="J4659" s="2123"/>
      <c r="K4659" s="2123">
        <f>ROUND((K4472/10+K4652)*5%,2)</f>
        <v>69.37</v>
      </c>
      <c r="L4659" s="192"/>
      <c r="M4659" s="568"/>
    </row>
    <row r="4660" spans="1:17" ht="12.75" hidden="1">
      <c r="A4660" s="2114"/>
      <c r="B4660" s="568"/>
      <c r="C4660" s="568"/>
      <c r="D4660" s="568"/>
      <c r="E4660" s="188"/>
      <c r="F4660" s="188"/>
      <c r="G4660" s="2122"/>
      <c r="H4660" s="568"/>
      <c r="I4660" s="2118"/>
      <c r="J4660" s="2126" t="s">
        <v>718</v>
      </c>
      <c r="K4660" s="2124">
        <f>SUM(K4658:K4659)</f>
        <v>1443.7999999999997</v>
      </c>
      <c r="L4660" s="192" t="s">
        <v>730</v>
      </c>
      <c r="M4660" s="568"/>
    </row>
    <row r="4661" spans="1:17" ht="100.15" hidden="1" customHeight="1">
      <c r="A4661" s="2114">
        <f>A818</f>
        <v>76</v>
      </c>
      <c r="B4661" s="3017" t="str">
        <f>B818</f>
        <v xml:space="preserve">Supplying, fitting, fixing of vertified tile in floors of size 600mm x 600mm of approved make Confirming to IS-13755 with application of polymer modified cement based water resistant adhesive bed of required thickness of 3mm and filling joints with epoxy grout of approved quality including cost, conveyance and taxes of all materials, cost of all labour, T&amp;P etc. complete as per the direction of the Engineer-in-charge. </v>
      </c>
      <c r="C4661" s="3017"/>
      <c r="D4661" s="3017"/>
      <c r="E4661" s="2116" t="str">
        <f>G818</f>
        <v>Each Sqm</v>
      </c>
      <c r="F4661" s="2116"/>
      <c r="G4661" s="2122"/>
      <c r="H4661" s="568"/>
      <c r="I4661" s="2118"/>
      <c r="J4661" s="2126"/>
      <c r="K4661" s="2124"/>
      <c r="L4661" s="192"/>
      <c r="M4661" s="568"/>
      <c r="Q4661" s="1816" t="s">
        <v>987</v>
      </c>
    </row>
    <row r="4662" spans="1:17" ht="12" hidden="1" customHeight="1">
      <c r="A4662" s="2114" t="s">
        <v>468</v>
      </c>
      <c r="B4662" s="2165" t="e">
        <f>#REF!</f>
        <v>#REF!</v>
      </c>
      <c r="C4662" s="568"/>
      <c r="D4662" s="192" t="s">
        <v>988</v>
      </c>
      <c r="E4662" s="2116"/>
      <c r="F4662" s="2116"/>
      <c r="G4662" s="2122"/>
      <c r="H4662" s="568"/>
      <c r="I4662" s="2118"/>
      <c r="J4662" s="2126"/>
      <c r="K4662" s="2124"/>
      <c r="L4662" s="192"/>
      <c r="M4662" s="568"/>
      <c r="Q4662" s="1762"/>
    </row>
    <row r="4663" spans="1:17" ht="12.75" hidden="1">
      <c r="A4663" s="2114" t="str">
        <f>A819</f>
        <v>(i)</v>
      </c>
      <c r="B4663" s="192" t="str">
        <f>B819</f>
        <v>Ground Floor</v>
      </c>
      <c r="C4663" s="568"/>
      <c r="D4663" s="568"/>
      <c r="E4663" s="2120" t="str">
        <f>G819</f>
        <v>Each Sqm</v>
      </c>
      <c r="F4663" s="2120"/>
      <c r="G4663" s="2122"/>
      <c r="H4663" s="568"/>
      <c r="I4663" s="2118"/>
      <c r="J4663" s="2126"/>
      <c r="K4663" s="2124"/>
      <c r="L4663" s="192"/>
      <c r="M4663" s="568"/>
    </row>
    <row r="4664" spans="1:17" ht="12.75" hidden="1">
      <c r="A4664" s="2114"/>
      <c r="B4664" s="192" t="s">
        <v>964</v>
      </c>
      <c r="C4664" s="568"/>
      <c r="D4664" s="568"/>
      <c r="E4664" s="188"/>
      <c r="F4664" s="188"/>
      <c r="G4664" s="2122"/>
      <c r="H4664" s="568"/>
      <c r="I4664" s="2118"/>
      <c r="J4664" s="2123"/>
      <c r="K4664" s="2123"/>
      <c r="L4664" s="192"/>
      <c r="M4664" s="568"/>
    </row>
    <row r="4665" spans="1:17" ht="12.75" hidden="1">
      <c r="A4665" s="2114"/>
      <c r="B4665" s="192" t="s">
        <v>822</v>
      </c>
      <c r="C4665" s="568"/>
      <c r="D4665" s="568"/>
      <c r="E4665" s="188"/>
      <c r="F4665" s="188"/>
      <c r="G4665" s="2122"/>
      <c r="H4665" s="568"/>
      <c r="I4665" s="2118"/>
      <c r="J4665" s="2123"/>
      <c r="K4665" s="2123"/>
      <c r="L4665" s="192"/>
      <c r="M4665" s="568"/>
    </row>
    <row r="4666" spans="1:17" ht="12.75" hidden="1">
      <c r="A4666" s="2114"/>
      <c r="B4666" s="568" t="s">
        <v>13</v>
      </c>
      <c r="C4666" s="568"/>
      <c r="D4666" s="568"/>
      <c r="E4666" s="188"/>
      <c r="F4666" s="188"/>
      <c r="G4666" s="2122">
        <v>10</v>
      </c>
      <c r="H4666" s="568" t="s">
        <v>92</v>
      </c>
      <c r="I4666" s="2118" t="s">
        <v>92</v>
      </c>
      <c r="J4666" s="2123">
        <f>G52</f>
        <v>695.76</v>
      </c>
      <c r="K4666" s="2123">
        <f>ROUND(G4666*J4666,2)</f>
        <v>6957.6</v>
      </c>
      <c r="L4666" s="192"/>
      <c r="M4666" s="568"/>
    </row>
    <row r="4667" spans="1:17" ht="12.75" hidden="1">
      <c r="A4667" s="2114"/>
      <c r="B4667" s="568" t="s">
        <v>303</v>
      </c>
      <c r="C4667" s="568"/>
      <c r="D4667" s="568"/>
      <c r="E4667" s="188"/>
      <c r="F4667" s="188"/>
      <c r="G4667" s="2122">
        <v>54</v>
      </c>
      <c r="H4667" s="568" t="s">
        <v>284</v>
      </c>
      <c r="I4667" s="2118" t="s">
        <v>95</v>
      </c>
      <c r="J4667" s="2123">
        <f>M197/10</f>
        <v>21.740000000000002</v>
      </c>
      <c r="K4667" s="2123">
        <f>ROUND(G4667*J4667,2)</f>
        <v>1173.96</v>
      </c>
      <c r="L4667" s="192"/>
      <c r="M4667" s="568"/>
    </row>
    <row r="4668" spans="1:17" ht="12.75" hidden="1">
      <c r="A4668" s="2114"/>
      <c r="B4668" s="568" t="s">
        <v>989</v>
      </c>
      <c r="C4668" s="568"/>
      <c r="D4668" s="568"/>
      <c r="E4668" s="188"/>
      <c r="F4668" s="188"/>
      <c r="G4668" s="2122">
        <v>7.5999999999999998E-2</v>
      </c>
      <c r="H4668" s="568" t="s">
        <v>247</v>
      </c>
      <c r="I4668" s="2118" t="s">
        <v>247</v>
      </c>
      <c r="J4668" s="2123">
        <f>G97</f>
        <v>2017.18</v>
      </c>
      <c r="K4668" s="2123">
        <f>ROUND(G4668*J4668,2)</f>
        <v>153.31</v>
      </c>
      <c r="L4668" s="192"/>
      <c r="M4668" s="568"/>
    </row>
    <row r="4669" spans="1:17" ht="12.75" hidden="1">
      <c r="A4669" s="2114"/>
      <c r="B4669" s="568"/>
      <c r="C4669" s="568"/>
      <c r="D4669" s="568"/>
      <c r="E4669" s="188"/>
      <c r="F4669" s="188"/>
      <c r="G4669" s="2122"/>
      <c r="H4669" s="568"/>
      <c r="I4669" s="2118"/>
      <c r="J4669" s="2134" t="s">
        <v>718</v>
      </c>
      <c r="K4669" s="2123">
        <f>SUM(K4666:K4668)</f>
        <v>8284.8700000000008</v>
      </c>
      <c r="L4669" s="192"/>
      <c r="M4669" s="568"/>
    </row>
    <row r="4670" spans="1:17" ht="12.75" hidden="1">
      <c r="A4670" s="2114"/>
      <c r="B4670" s="192" t="s">
        <v>781</v>
      </c>
      <c r="C4670" s="568"/>
      <c r="D4670" s="568"/>
      <c r="E4670" s="188"/>
      <c r="F4670" s="188"/>
      <c r="G4670" s="2122"/>
      <c r="H4670" s="568"/>
      <c r="I4670" s="2118"/>
      <c r="J4670" s="2123"/>
      <c r="K4670" s="2123"/>
      <c r="L4670" s="192"/>
      <c r="M4670" s="568"/>
    </row>
    <row r="4671" spans="1:17" ht="12.75" hidden="1">
      <c r="A4671" s="2114"/>
      <c r="B4671" s="568" t="s">
        <v>975</v>
      </c>
      <c r="C4671" s="568"/>
      <c r="D4671" s="568"/>
      <c r="E4671" s="188"/>
      <c r="F4671" s="188"/>
      <c r="G4671" s="2122">
        <v>2.16</v>
      </c>
      <c r="H4671" s="568" t="s">
        <v>262</v>
      </c>
      <c r="I4671" s="2118" t="s">
        <v>38</v>
      </c>
      <c r="J4671" s="2123">
        <f>L137</f>
        <v>495</v>
      </c>
      <c r="K4671" s="2123">
        <f>ROUND(G4671*J4671,2)</f>
        <v>1069.2</v>
      </c>
      <c r="L4671" s="192"/>
      <c r="M4671" s="568"/>
    </row>
    <row r="4672" spans="1:17" ht="12.75" hidden="1">
      <c r="A4672" s="2114"/>
      <c r="B4672" s="568" t="s">
        <v>717</v>
      </c>
      <c r="C4672" s="568"/>
      <c r="D4672" s="568"/>
      <c r="E4672" s="188"/>
      <c r="F4672" s="188"/>
      <c r="G4672" s="2122">
        <v>2.16</v>
      </c>
      <c r="H4672" s="568" t="s">
        <v>262</v>
      </c>
      <c r="I4672" s="2118" t="s">
        <v>38</v>
      </c>
      <c r="J4672" s="2123">
        <f>L134</f>
        <v>345</v>
      </c>
      <c r="K4672" s="2123">
        <f>ROUND(G4672*J4672,2)</f>
        <v>745.2</v>
      </c>
      <c r="L4672" s="192"/>
      <c r="M4672" s="568"/>
    </row>
    <row r="4673" spans="1:13" ht="12.75" hidden="1">
      <c r="A4673" s="2114"/>
      <c r="B4673" s="568"/>
      <c r="C4673" s="568"/>
      <c r="D4673" s="568"/>
      <c r="E4673" s="188"/>
      <c r="F4673" s="188"/>
      <c r="G4673" s="2122"/>
      <c r="H4673" s="568"/>
      <c r="I4673" s="2118"/>
      <c r="J4673" s="2134" t="s">
        <v>718</v>
      </c>
      <c r="K4673" s="2123">
        <f>SUM(K4671:K4672)</f>
        <v>1814.4</v>
      </c>
      <c r="L4673" s="192"/>
      <c r="M4673" s="568"/>
    </row>
    <row r="4674" spans="1:13" ht="12.75" hidden="1">
      <c r="A4674" s="2114"/>
      <c r="B4674" s="192"/>
      <c r="C4674" s="568"/>
      <c r="D4674" s="568"/>
      <c r="E4674" s="188"/>
      <c r="F4674" s="188"/>
      <c r="G4674" s="2122"/>
      <c r="H4674" s="568"/>
      <c r="I4674" s="2118"/>
      <c r="J4674" s="2123"/>
      <c r="K4674" s="2123"/>
      <c r="L4674" s="192"/>
      <c r="M4674" s="568"/>
    </row>
    <row r="4675" spans="1:13" ht="12.75" hidden="1">
      <c r="A4675" s="2114"/>
      <c r="B4675" s="192" t="s">
        <v>783</v>
      </c>
      <c r="C4675" s="568"/>
      <c r="D4675" s="568"/>
      <c r="E4675" s="188"/>
      <c r="F4675" s="188"/>
      <c r="G4675" s="2122"/>
      <c r="H4675" s="568"/>
      <c r="I4675" s="2118"/>
      <c r="J4675" s="2123"/>
      <c r="K4675" s="2123"/>
      <c r="L4675" s="192"/>
      <c r="M4675" s="568"/>
    </row>
    <row r="4676" spans="1:13" ht="12.75" hidden="1">
      <c r="A4676" s="2114"/>
      <c r="B4676" s="568" t="s">
        <v>13</v>
      </c>
      <c r="C4676" s="568"/>
      <c r="D4676" s="568"/>
      <c r="E4676" s="188"/>
      <c r="F4676" s="188"/>
      <c r="G4676" s="2122">
        <v>10</v>
      </c>
      <c r="H4676" s="568" t="s">
        <v>92</v>
      </c>
      <c r="I4676" s="2118" t="s">
        <v>92</v>
      </c>
      <c r="J4676" s="2123">
        <f>K52</f>
        <v>14.510277777777777</v>
      </c>
      <c r="K4676" s="2123">
        <f>ROUND(G4676*J4676,2)</f>
        <v>145.1</v>
      </c>
      <c r="L4676" s="192"/>
      <c r="M4676" s="568"/>
    </row>
    <row r="4677" spans="1:13" ht="12.75" hidden="1">
      <c r="A4677" s="2114"/>
      <c r="B4677" s="568" t="s">
        <v>124</v>
      </c>
      <c r="C4677" s="568"/>
      <c r="D4677" s="568"/>
      <c r="E4677" s="188"/>
      <c r="F4677" s="188"/>
      <c r="G4677" s="2122">
        <f>G4668</f>
        <v>7.5999999999999998E-2</v>
      </c>
      <c r="H4677" s="568" t="s">
        <v>247</v>
      </c>
      <c r="I4677" s="2118" t="str">
        <f>I4668</f>
        <v>Qtl</v>
      </c>
      <c r="J4677" s="2123">
        <f>K97</f>
        <v>42.622</v>
      </c>
      <c r="K4677" s="2123">
        <f>ROUND(G4677*J4677,2)</f>
        <v>3.24</v>
      </c>
      <c r="L4677" s="192"/>
      <c r="M4677" s="568"/>
    </row>
    <row r="4678" spans="1:13" ht="12.75" hidden="1">
      <c r="A4678" s="2114"/>
      <c r="B4678" s="568"/>
      <c r="C4678" s="568"/>
      <c r="D4678" s="568"/>
      <c r="E4678" s="188"/>
      <c r="F4678" s="188"/>
      <c r="G4678" s="2122"/>
      <c r="H4678" s="568"/>
      <c r="I4678" s="2118"/>
      <c r="J4678" s="2185" t="s">
        <v>718</v>
      </c>
      <c r="K4678" s="2123">
        <f>SUM(K4676:K4677)</f>
        <v>148.34</v>
      </c>
      <c r="L4678" s="192"/>
      <c r="M4678" s="568"/>
    </row>
    <row r="4679" spans="1:13" ht="12.75" hidden="1">
      <c r="A4679" s="2114"/>
      <c r="B4679" s="192" t="s">
        <v>977</v>
      </c>
      <c r="C4679" s="568"/>
      <c r="D4679" s="568"/>
      <c r="E4679" s="188"/>
      <c r="F4679" s="188"/>
      <c r="G4679" s="2122"/>
      <c r="H4679" s="568"/>
      <c r="I4679" s="2118"/>
      <c r="J4679" s="2123"/>
      <c r="K4679" s="2123">
        <f>K4669+K4673+K4674+K4678</f>
        <v>10247.61</v>
      </c>
      <c r="L4679" s="192"/>
      <c r="M4679" s="568"/>
    </row>
    <row r="4680" spans="1:13" ht="12.75" hidden="1">
      <c r="A4680" s="2114"/>
      <c r="B4680" s="192" t="s">
        <v>978</v>
      </c>
      <c r="C4680" s="568"/>
      <c r="D4680" s="568"/>
      <c r="E4680" s="188"/>
      <c r="F4680" s="188"/>
      <c r="G4680" s="2122"/>
      <c r="H4680" s="568"/>
      <c r="I4680" s="2118"/>
      <c r="J4680" s="2126" t="s">
        <v>718</v>
      </c>
      <c r="K4680" s="2124">
        <f>K4679/10</f>
        <v>1024.761</v>
      </c>
      <c r="L4680" s="192" t="s">
        <v>730</v>
      </c>
      <c r="M4680" s="568"/>
    </row>
    <row r="4681" spans="1:13" ht="12.75" hidden="1">
      <c r="A4681" s="2114" t="str">
        <f>A821</f>
        <v>(ii)</v>
      </c>
      <c r="B4681" s="192" t="str">
        <f>B821</f>
        <v>First Floor</v>
      </c>
      <c r="C4681" s="568"/>
      <c r="D4681" s="568"/>
      <c r="E4681" s="2120" t="str">
        <f>E4663</f>
        <v>Each Sqm</v>
      </c>
      <c r="F4681" s="2120"/>
      <c r="G4681" s="2122"/>
      <c r="H4681" s="568"/>
      <c r="I4681" s="2118"/>
      <c r="J4681" s="2126"/>
      <c r="K4681" s="2124"/>
      <c r="L4681" s="192"/>
      <c r="M4681" s="568"/>
    </row>
    <row r="4682" spans="1:13" ht="12.75" hidden="1">
      <c r="A4682" s="2114"/>
      <c r="B4682" s="568" t="s">
        <v>722</v>
      </c>
      <c r="C4682" s="568"/>
      <c r="D4682" s="568"/>
      <c r="E4682" s="188"/>
      <c r="F4682" s="188"/>
      <c r="G4682" s="2122"/>
      <c r="H4682" s="568"/>
      <c r="I4682" s="2118"/>
      <c r="J4682" s="2123"/>
      <c r="K4682" s="2123">
        <f>K4680</f>
        <v>1024.761</v>
      </c>
      <c r="L4682" s="192"/>
      <c r="M4682" s="568"/>
    </row>
    <row r="4683" spans="1:13" ht="12.75" hidden="1">
      <c r="A4683" s="2114"/>
      <c r="B4683" s="568" t="s">
        <v>723</v>
      </c>
      <c r="C4683" s="568"/>
      <c r="D4683" s="568"/>
      <c r="E4683" s="188"/>
      <c r="F4683" s="188"/>
      <c r="G4683" s="2122"/>
      <c r="H4683" s="568"/>
      <c r="I4683" s="2118"/>
      <c r="J4683" s="2123"/>
      <c r="K4683" s="2123">
        <f>ROUND((K4673/10)*5%,2)</f>
        <v>9.07</v>
      </c>
      <c r="L4683" s="192"/>
      <c r="M4683" s="568"/>
    </row>
    <row r="4684" spans="1:13" ht="12.75" hidden="1">
      <c r="A4684" s="2114"/>
      <c r="B4684" s="568"/>
      <c r="C4684" s="568"/>
      <c r="D4684" s="568"/>
      <c r="E4684" s="188"/>
      <c r="F4684" s="188"/>
      <c r="G4684" s="2122"/>
      <c r="H4684" s="568"/>
      <c r="I4684" s="2118"/>
      <c r="J4684" s="2126" t="s">
        <v>718</v>
      </c>
      <c r="K4684" s="2124">
        <f>SUM(K4682:K4683)</f>
        <v>1033.8309999999999</v>
      </c>
      <c r="L4684" s="192" t="s">
        <v>730</v>
      </c>
      <c r="M4684" s="568"/>
    </row>
    <row r="4685" spans="1:13" ht="12.75" hidden="1">
      <c r="A4685" s="2114" t="str">
        <f>A823</f>
        <v>(iii)</v>
      </c>
      <c r="B4685" s="192" t="str">
        <f>B823</f>
        <v>2nd Floor</v>
      </c>
      <c r="C4685" s="568"/>
      <c r="D4685" s="568"/>
      <c r="E4685" s="2120" t="str">
        <f>E4681</f>
        <v>Each Sqm</v>
      </c>
      <c r="F4685" s="2120"/>
      <c r="G4685" s="2122"/>
      <c r="H4685" s="568"/>
      <c r="I4685" s="2118"/>
      <c r="J4685" s="2126"/>
      <c r="K4685" s="2124"/>
      <c r="L4685" s="192"/>
      <c r="M4685" s="568"/>
    </row>
    <row r="4686" spans="1:13" ht="12.75" hidden="1">
      <c r="A4686" s="2114"/>
      <c r="B4686" s="568" t="s">
        <v>722</v>
      </c>
      <c r="C4686" s="568"/>
      <c r="D4686" s="568"/>
      <c r="E4686" s="188"/>
      <c r="F4686" s="188"/>
      <c r="G4686" s="2122"/>
      <c r="H4686" s="568"/>
      <c r="I4686" s="2118"/>
      <c r="J4686" s="2123"/>
      <c r="K4686" s="2123">
        <f>K4684</f>
        <v>1033.8309999999999</v>
      </c>
      <c r="L4686" s="192"/>
      <c r="M4686" s="568"/>
    </row>
    <row r="4687" spans="1:13" ht="12.75" hidden="1">
      <c r="A4687" s="2114"/>
      <c r="B4687" s="568" t="s">
        <v>723</v>
      </c>
      <c r="C4687" s="568"/>
      <c r="D4687" s="568"/>
      <c r="E4687" s="188"/>
      <c r="F4687" s="188"/>
      <c r="G4687" s="2122"/>
      <c r="H4687" s="568"/>
      <c r="I4687" s="2118"/>
      <c r="J4687" s="2123"/>
      <c r="K4687" s="2123">
        <f>K4683+ROUND(K4683*5%,2)</f>
        <v>9.52</v>
      </c>
      <c r="L4687" s="192"/>
      <c r="M4687" s="568"/>
    </row>
    <row r="4688" spans="1:13" ht="12.75" hidden="1">
      <c r="A4688" s="2114"/>
      <c r="B4688" s="568"/>
      <c r="C4688" s="568"/>
      <c r="D4688" s="568"/>
      <c r="E4688" s="188"/>
      <c r="F4688" s="188"/>
      <c r="G4688" s="2122"/>
      <c r="H4688" s="568"/>
      <c r="I4688" s="2118"/>
      <c r="J4688" s="2126" t="s">
        <v>718</v>
      </c>
      <c r="K4688" s="2124">
        <f>SUM(K4686:K4687)</f>
        <v>1043.3509999999999</v>
      </c>
      <c r="L4688" s="192" t="s">
        <v>730</v>
      </c>
      <c r="M4688" s="568"/>
    </row>
    <row r="4689" spans="1:13" ht="12.75" hidden="1">
      <c r="A4689" s="2114" t="str">
        <f>A825</f>
        <v>(iv)</v>
      </c>
      <c r="B4689" s="192" t="str">
        <f>B825</f>
        <v>3rd Floor</v>
      </c>
      <c r="C4689" s="568"/>
      <c r="D4689" s="568"/>
      <c r="E4689" s="2120" t="str">
        <f>E4685</f>
        <v>Each Sqm</v>
      </c>
      <c r="F4689" s="2120"/>
      <c r="G4689" s="2122"/>
      <c r="H4689" s="568"/>
      <c r="I4689" s="2118"/>
      <c r="J4689" s="2126"/>
      <c r="K4689" s="2124"/>
      <c r="L4689" s="192"/>
      <c r="M4689" s="568"/>
    </row>
    <row r="4690" spans="1:13" ht="12.75" hidden="1">
      <c r="A4690" s="2114"/>
      <c r="B4690" s="568" t="s">
        <v>722</v>
      </c>
      <c r="C4690" s="568"/>
      <c r="D4690" s="568"/>
      <c r="E4690" s="188"/>
      <c r="F4690" s="188"/>
      <c r="G4690" s="2122"/>
      <c r="H4690" s="568"/>
      <c r="I4690" s="2118"/>
      <c r="J4690" s="2123"/>
      <c r="K4690" s="2123">
        <f>K4688</f>
        <v>1043.3509999999999</v>
      </c>
      <c r="L4690" s="192"/>
      <c r="M4690" s="568"/>
    </row>
    <row r="4691" spans="1:13" ht="12.75" hidden="1">
      <c r="A4691" s="2114"/>
      <c r="B4691" s="568" t="s">
        <v>723</v>
      </c>
      <c r="C4691" s="568"/>
      <c r="D4691" s="568"/>
      <c r="E4691" s="188"/>
      <c r="F4691" s="188"/>
      <c r="G4691" s="2122"/>
      <c r="H4691" s="568"/>
      <c r="I4691" s="2118"/>
      <c r="J4691" s="2123"/>
      <c r="K4691" s="2123">
        <f>K4687+ROUND(K4687*5%,2)</f>
        <v>10</v>
      </c>
      <c r="L4691" s="192"/>
      <c r="M4691" s="568"/>
    </row>
    <row r="4692" spans="1:13" ht="12.75" hidden="1">
      <c r="A4692" s="2114"/>
      <c r="B4692" s="568"/>
      <c r="C4692" s="568"/>
      <c r="D4692" s="568"/>
      <c r="E4692" s="188"/>
      <c r="F4692" s="188"/>
      <c r="G4692" s="2122"/>
      <c r="H4692" s="568"/>
      <c r="I4692" s="2118"/>
      <c r="J4692" s="2126" t="s">
        <v>718</v>
      </c>
      <c r="K4692" s="2124">
        <f>SUM(K4690:K4691)</f>
        <v>1053.3509999999999</v>
      </c>
      <c r="L4692" s="192" t="s">
        <v>730</v>
      </c>
      <c r="M4692" s="568"/>
    </row>
    <row r="4693" spans="1:13" ht="12.75" hidden="1">
      <c r="A4693" s="2114" t="s">
        <v>470</v>
      </c>
      <c r="B4693" s="2165" t="str">
        <f>B4508</f>
        <v>Vertified tile ( 600x 600)Plain</v>
      </c>
      <c r="C4693" s="568"/>
      <c r="D4693" s="568"/>
      <c r="E4693" s="188"/>
      <c r="F4693" s="188"/>
      <c r="G4693" s="2122"/>
      <c r="H4693" s="568"/>
      <c r="I4693" s="2118"/>
      <c r="J4693" s="2134"/>
      <c r="K4693" s="2123"/>
      <c r="L4693" s="192"/>
      <c r="M4693" s="568"/>
    </row>
    <row r="4694" spans="1:13" ht="12.75" hidden="1">
      <c r="A4694" s="2114" t="str">
        <f>A4663</f>
        <v>(i)</v>
      </c>
      <c r="B4694" s="192" t="str">
        <f>B4663</f>
        <v>Ground Floor</v>
      </c>
      <c r="C4694" s="568"/>
      <c r="D4694" s="568"/>
      <c r="E4694" s="2120" t="str">
        <f>G929</f>
        <v>Each Sqm</v>
      </c>
      <c r="F4694" s="2120"/>
      <c r="G4694" s="2122"/>
      <c r="H4694" s="568"/>
      <c r="I4694" s="2118"/>
      <c r="J4694" s="2134"/>
      <c r="K4694" s="2123"/>
      <c r="L4694" s="192"/>
      <c r="M4694" s="568"/>
    </row>
    <row r="4695" spans="1:13" ht="12.75" hidden="1">
      <c r="A4695" s="2114"/>
      <c r="B4695" s="568" t="s">
        <v>990</v>
      </c>
      <c r="C4695" s="568"/>
      <c r="D4695" s="568"/>
      <c r="E4695" s="188"/>
      <c r="F4695" s="188"/>
      <c r="G4695" s="2122"/>
      <c r="H4695" s="568"/>
      <c r="I4695" s="2118"/>
      <c r="J4695" s="2134" t="s">
        <v>718</v>
      </c>
      <c r="K4695" s="2123">
        <f>K4680</f>
        <v>1024.761</v>
      </c>
      <c r="L4695" s="192" t="s">
        <v>730</v>
      </c>
      <c r="M4695" s="568"/>
    </row>
    <row r="4696" spans="1:13" ht="12.75" hidden="1">
      <c r="A4696" s="2114"/>
      <c r="B4696" s="568" t="s">
        <v>991</v>
      </c>
      <c r="C4696" s="568"/>
      <c r="D4696" s="568"/>
      <c r="E4696" s="188"/>
      <c r="F4696" s="179" t="s">
        <v>3372</v>
      </c>
      <c r="G4696" s="2122">
        <f>G52</f>
        <v>695.76</v>
      </c>
      <c r="H4696" s="2118" t="s">
        <v>2884</v>
      </c>
      <c r="I4696" s="2134">
        <f>G53</f>
        <v>651.08000000000004</v>
      </c>
      <c r="J4696" s="2123" t="s">
        <v>3373</v>
      </c>
      <c r="K4696" s="2123">
        <f>-(G52-G53)</f>
        <v>-44.67999999999995</v>
      </c>
      <c r="L4696" s="192" t="s">
        <v>730</v>
      </c>
      <c r="M4696" s="568"/>
    </row>
    <row r="4697" spans="1:13" ht="12.75" hidden="1">
      <c r="A4697" s="2114"/>
      <c r="B4697" s="568"/>
      <c r="C4697" s="568"/>
      <c r="D4697" s="568"/>
      <c r="E4697" s="188"/>
      <c r="F4697" s="188"/>
      <c r="G4697" s="2122"/>
      <c r="H4697" s="568"/>
      <c r="I4697" s="2118"/>
      <c r="J4697" s="2123"/>
      <c r="K4697" s="2123"/>
      <c r="L4697" s="192"/>
      <c r="M4697" s="568"/>
    </row>
    <row r="4698" spans="1:13" ht="12.75" hidden="1">
      <c r="A4698" s="2114"/>
      <c r="B4698" s="568"/>
      <c r="C4698" s="568"/>
      <c r="D4698" s="568"/>
      <c r="E4698" s="188"/>
      <c r="F4698" s="188"/>
      <c r="G4698" s="2122"/>
      <c r="H4698" s="568"/>
      <c r="I4698" s="2118"/>
      <c r="J4698" s="2126" t="s">
        <v>718</v>
      </c>
      <c r="K4698" s="2124">
        <f>SUM(K4695:K4697)</f>
        <v>980.08100000000002</v>
      </c>
      <c r="L4698" s="192" t="s">
        <v>730</v>
      </c>
      <c r="M4698" s="568"/>
    </row>
    <row r="4699" spans="1:13" ht="12.75" hidden="1">
      <c r="A4699" s="2114" t="str">
        <f>A4681</f>
        <v>(ii)</v>
      </c>
      <c r="B4699" s="192" t="str">
        <f>B4681</f>
        <v>First Floor</v>
      </c>
      <c r="C4699" s="568"/>
      <c r="D4699" s="568"/>
      <c r="E4699" s="2120" t="str">
        <f>E4694</f>
        <v>Each Sqm</v>
      </c>
      <c r="F4699" s="2120"/>
      <c r="G4699" s="2122"/>
      <c r="H4699" s="568"/>
      <c r="I4699" s="2118"/>
      <c r="J4699" s="2123"/>
      <c r="K4699" s="2123"/>
      <c r="L4699" s="192"/>
      <c r="M4699" s="568"/>
    </row>
    <row r="4700" spans="1:13" ht="12.75" hidden="1">
      <c r="A4700" s="2114"/>
      <c r="B4700" s="568" t="s">
        <v>722</v>
      </c>
      <c r="C4700" s="568"/>
      <c r="D4700" s="568"/>
      <c r="E4700" s="188"/>
      <c r="F4700" s="188"/>
      <c r="G4700" s="2122"/>
      <c r="H4700" s="568"/>
      <c r="I4700" s="2118"/>
      <c r="J4700" s="2123"/>
      <c r="K4700" s="2123">
        <f>K4698</f>
        <v>980.08100000000002</v>
      </c>
      <c r="L4700" s="192"/>
      <c r="M4700" s="568"/>
    </row>
    <row r="4701" spans="1:13" ht="12.75" hidden="1">
      <c r="A4701" s="2114"/>
      <c r="B4701" s="568" t="s">
        <v>723</v>
      </c>
      <c r="C4701" s="568"/>
      <c r="D4701" s="568"/>
      <c r="E4701" s="188"/>
      <c r="F4701" s="188"/>
      <c r="G4701" s="2122"/>
      <c r="H4701" s="568"/>
      <c r="I4701" s="2118"/>
      <c r="J4701" s="2123"/>
      <c r="K4701" s="2123">
        <f>ROUND(K4673/10*5%,2)</f>
        <v>9.07</v>
      </c>
      <c r="L4701" s="192"/>
      <c r="M4701" s="568"/>
    </row>
    <row r="4702" spans="1:13" ht="12.75" hidden="1">
      <c r="A4702" s="2114"/>
      <c r="B4702" s="568"/>
      <c r="C4702" s="568"/>
      <c r="D4702" s="568"/>
      <c r="E4702" s="188"/>
      <c r="F4702" s="188"/>
      <c r="G4702" s="2122"/>
      <c r="H4702" s="568"/>
      <c r="I4702" s="2118"/>
      <c r="J4702" s="2126" t="s">
        <v>718</v>
      </c>
      <c r="K4702" s="2124">
        <f>SUM(K4700:K4701)</f>
        <v>989.15100000000007</v>
      </c>
      <c r="L4702" s="192" t="s">
        <v>730</v>
      </c>
      <c r="M4702" s="568"/>
    </row>
    <row r="4703" spans="1:13" ht="12.75" hidden="1">
      <c r="A4703" s="2114" t="str">
        <f>A4685</f>
        <v>(iii)</v>
      </c>
      <c r="B4703" s="192" t="str">
        <f>B4685</f>
        <v>2nd Floor</v>
      </c>
      <c r="C4703" s="568"/>
      <c r="D4703" s="568"/>
      <c r="E4703" s="2120" t="str">
        <f>E4699</f>
        <v>Each Sqm</v>
      </c>
      <c r="F4703" s="2120"/>
      <c r="G4703" s="2122"/>
      <c r="H4703" s="568"/>
      <c r="I4703" s="2118"/>
      <c r="J4703" s="2123"/>
      <c r="K4703" s="2123"/>
      <c r="L4703" s="192"/>
      <c r="M4703" s="568"/>
    </row>
    <row r="4704" spans="1:13" ht="12.75" hidden="1">
      <c r="A4704" s="2114"/>
      <c r="B4704" s="568" t="s">
        <v>722</v>
      </c>
      <c r="C4704" s="568"/>
      <c r="D4704" s="568"/>
      <c r="E4704" s="188"/>
      <c r="F4704" s="188"/>
      <c r="G4704" s="2122"/>
      <c r="H4704" s="568"/>
      <c r="I4704" s="2118"/>
      <c r="J4704" s="2123"/>
      <c r="K4704" s="2123">
        <f>K4702</f>
        <v>989.15100000000007</v>
      </c>
      <c r="L4704" s="192"/>
      <c r="M4704" s="568"/>
    </row>
    <row r="4705" spans="1:17" ht="12.75" hidden="1">
      <c r="A4705" s="2114"/>
      <c r="B4705" s="568" t="s">
        <v>723</v>
      </c>
      <c r="C4705" s="568"/>
      <c r="D4705" s="568"/>
      <c r="E4705" s="188"/>
      <c r="F4705" s="188"/>
      <c r="G4705" s="2122"/>
      <c r="H4705" s="568"/>
      <c r="I4705" s="2118"/>
      <c r="J4705" s="2123"/>
      <c r="K4705" s="2123">
        <f>K4701+ROUND(K4701*5%,2)</f>
        <v>9.52</v>
      </c>
      <c r="L4705" s="192"/>
      <c r="M4705" s="568"/>
    </row>
    <row r="4706" spans="1:17" ht="12.75" hidden="1">
      <c r="A4706" s="2114"/>
      <c r="B4706" s="568"/>
      <c r="C4706" s="568"/>
      <c r="D4706" s="568"/>
      <c r="E4706" s="188"/>
      <c r="F4706" s="188"/>
      <c r="G4706" s="2122"/>
      <c r="H4706" s="568"/>
      <c r="I4706" s="2118"/>
      <c r="J4706" s="2126" t="s">
        <v>718</v>
      </c>
      <c r="K4706" s="2124">
        <f>SUM(K4704:K4705)</f>
        <v>998.67100000000005</v>
      </c>
      <c r="L4706" s="192" t="s">
        <v>730</v>
      </c>
      <c r="M4706" s="568"/>
    </row>
    <row r="4707" spans="1:17" ht="12.75" hidden="1">
      <c r="A4707" s="2114" t="str">
        <f>A4689</f>
        <v>(iv)</v>
      </c>
      <c r="B4707" s="192" t="str">
        <f>B4689</f>
        <v>3rd Floor</v>
      </c>
      <c r="C4707" s="568"/>
      <c r="D4707" s="568"/>
      <c r="E4707" s="2120" t="str">
        <f>E4703</f>
        <v>Each Sqm</v>
      </c>
      <c r="F4707" s="2120"/>
      <c r="G4707" s="2122"/>
      <c r="H4707" s="568"/>
      <c r="I4707" s="2118"/>
      <c r="J4707" s="2123"/>
      <c r="K4707" s="2123"/>
      <c r="L4707" s="192"/>
      <c r="M4707" s="568"/>
    </row>
    <row r="4708" spans="1:17" ht="12.75" hidden="1">
      <c r="A4708" s="2114"/>
      <c r="B4708" s="568" t="s">
        <v>722</v>
      </c>
      <c r="C4708" s="568"/>
      <c r="D4708" s="568"/>
      <c r="E4708" s="188"/>
      <c r="F4708" s="188"/>
      <c r="G4708" s="2122"/>
      <c r="H4708" s="568"/>
      <c r="I4708" s="2118"/>
      <c r="J4708" s="2123"/>
      <c r="K4708" s="2123">
        <f>K4706</f>
        <v>998.67100000000005</v>
      </c>
      <c r="L4708" s="192"/>
      <c r="M4708" s="568"/>
    </row>
    <row r="4709" spans="1:17" ht="12.75" hidden="1">
      <c r="A4709" s="2114"/>
      <c r="B4709" s="568" t="s">
        <v>723</v>
      </c>
      <c r="C4709" s="568"/>
      <c r="D4709" s="568"/>
      <c r="E4709" s="188"/>
      <c r="F4709" s="188"/>
      <c r="G4709" s="2122"/>
      <c r="H4709" s="568"/>
      <c r="I4709" s="2118"/>
      <c r="J4709" s="2123"/>
      <c r="K4709" s="2123">
        <f>K4705+ROUND(K4705*5%,2)</f>
        <v>10</v>
      </c>
      <c r="L4709" s="192"/>
      <c r="M4709" s="568"/>
    </row>
    <row r="4710" spans="1:17" ht="12.75" hidden="1">
      <c r="A4710" s="2114"/>
      <c r="B4710" s="568"/>
      <c r="C4710" s="568"/>
      <c r="D4710" s="568"/>
      <c r="E4710" s="188"/>
      <c r="F4710" s="188"/>
      <c r="G4710" s="2122"/>
      <c r="H4710" s="568"/>
      <c r="I4710" s="2118"/>
      <c r="J4710" s="2126" t="s">
        <v>718</v>
      </c>
      <c r="K4710" s="2124">
        <f>SUM(K4708:K4709)</f>
        <v>1008.671</v>
      </c>
      <c r="L4710" s="192" t="s">
        <v>730</v>
      </c>
      <c r="M4710" s="568"/>
    </row>
    <row r="4711" spans="1:17" ht="88.15" hidden="1" customHeight="1">
      <c r="A4711" s="2114">
        <f>A827</f>
        <v>77</v>
      </c>
      <c r="B4711" s="3017" t="str">
        <f>B827</f>
        <v xml:space="preserve">Supplying, fitting, fixing of vertified tile in floors of size 600mm x 600mm of approved make conforming to IS-13755 laid on 20mm thick  bed of cement mortar (1:4) and filling joints with white cementt of approved quality including cost, conveyance and taxes of all materials, cost of all labour, T&amp;P etc. complete as per the direction of the Engineer-in-charge. </v>
      </c>
      <c r="C4711" s="3017"/>
      <c r="D4711" s="3017"/>
      <c r="E4711" s="2116" t="str">
        <f>E4661</f>
        <v>Each Sqm</v>
      </c>
      <c r="F4711" s="2116"/>
      <c r="G4711" s="2122"/>
      <c r="H4711" s="568"/>
      <c r="I4711" s="2118"/>
      <c r="J4711" s="2126"/>
      <c r="K4711" s="2124"/>
      <c r="L4711" s="192"/>
      <c r="M4711" s="568"/>
      <c r="Q4711" s="1766" t="s">
        <v>992</v>
      </c>
    </row>
    <row r="4712" spans="1:17" ht="13.5" hidden="1" customHeight="1">
      <c r="A4712" s="2114" t="s">
        <v>468</v>
      </c>
      <c r="B4712" s="2165" t="e">
        <f>B4662</f>
        <v>#REF!</v>
      </c>
      <c r="C4712" s="568"/>
      <c r="D4712" s="192" t="s">
        <v>993</v>
      </c>
      <c r="E4712" s="2116"/>
      <c r="F4712" s="2116"/>
      <c r="G4712" s="2122"/>
      <c r="H4712" s="568"/>
      <c r="I4712" s="2118"/>
      <c r="J4712" s="2126"/>
      <c r="K4712" s="2124"/>
      <c r="L4712" s="192"/>
      <c r="M4712" s="568"/>
      <c r="Q4712" s="1766"/>
    </row>
    <row r="4713" spans="1:17" ht="12.75" hidden="1">
      <c r="A4713" s="2114" t="str">
        <f>A828</f>
        <v>(i)</v>
      </c>
      <c r="B4713" s="2119" t="str">
        <f>B828</f>
        <v>Ground Floor</v>
      </c>
      <c r="C4713" s="568"/>
      <c r="D4713" s="568"/>
      <c r="E4713" s="2120" t="str">
        <f>G867</f>
        <v>Each Sqm</v>
      </c>
      <c r="F4713" s="2120"/>
      <c r="G4713" s="2122"/>
      <c r="H4713" s="568"/>
      <c r="I4713" s="2118"/>
      <c r="J4713" s="2126"/>
      <c r="K4713" s="2124"/>
      <c r="L4713" s="192"/>
      <c r="M4713" s="568"/>
    </row>
    <row r="4714" spans="1:17" ht="12.75" hidden="1">
      <c r="A4714" s="2114"/>
      <c r="B4714" s="192" t="s">
        <v>964</v>
      </c>
      <c r="C4714" s="568"/>
      <c r="D4714" s="568"/>
      <c r="E4714" s="188"/>
      <c r="F4714" s="188"/>
      <c r="G4714" s="2122"/>
      <c r="H4714" s="568"/>
      <c r="I4714" s="2118"/>
      <c r="J4714" s="2123"/>
      <c r="K4714" s="2123"/>
      <c r="L4714" s="192"/>
      <c r="M4714" s="568"/>
    </row>
    <row r="4715" spans="1:17" ht="12.75" hidden="1">
      <c r="A4715" s="2114"/>
      <c r="B4715" s="192" t="s">
        <v>822</v>
      </c>
      <c r="C4715" s="568"/>
      <c r="D4715" s="568"/>
      <c r="E4715" s="188"/>
      <c r="F4715" s="188"/>
      <c r="G4715" s="2122"/>
      <c r="H4715" s="568"/>
      <c r="I4715" s="2118"/>
      <c r="J4715" s="2123"/>
      <c r="K4715" s="2123"/>
      <c r="L4715" s="192"/>
      <c r="M4715" s="568"/>
    </row>
    <row r="4716" spans="1:17" ht="12.75" hidden="1">
      <c r="A4716" s="2114"/>
      <c r="B4716" s="568" t="s">
        <v>13</v>
      </c>
      <c r="C4716" s="568"/>
      <c r="D4716" s="568"/>
      <c r="E4716" s="188"/>
      <c r="F4716" s="188"/>
      <c r="G4716" s="2122">
        <v>10</v>
      </c>
      <c r="H4716" s="568" t="s">
        <v>92</v>
      </c>
      <c r="I4716" s="2118" t="s">
        <v>92</v>
      </c>
      <c r="J4716" s="2123">
        <f>G52</f>
        <v>695.76</v>
      </c>
      <c r="K4716" s="2123">
        <f>ROUND(G4716*J4716,2)</f>
        <v>6957.6</v>
      </c>
      <c r="L4716" s="192"/>
      <c r="M4716" s="568"/>
    </row>
    <row r="4717" spans="1:17" ht="12.75" hidden="1">
      <c r="A4717" s="2114"/>
      <c r="B4717" s="568" t="s">
        <v>775</v>
      </c>
      <c r="C4717" s="568"/>
      <c r="D4717" s="568"/>
      <c r="E4717" s="188"/>
      <c r="F4717" s="188"/>
      <c r="G4717" s="2122">
        <v>0.21</v>
      </c>
      <c r="H4717" s="568" t="s">
        <v>49</v>
      </c>
      <c r="I4717" s="2118" t="s">
        <v>49</v>
      </c>
      <c r="J4717" s="2123">
        <f>G46</f>
        <v>76.88</v>
      </c>
      <c r="K4717" s="2123">
        <f>ROUND(G4717*J4717,2)</f>
        <v>16.14</v>
      </c>
      <c r="L4717" s="192"/>
      <c r="M4717" s="568"/>
    </row>
    <row r="4718" spans="1:17" ht="12.75" hidden="1">
      <c r="A4718" s="2114"/>
      <c r="B4718" s="568" t="s">
        <v>8</v>
      </c>
      <c r="C4718" s="568"/>
      <c r="D4718" s="568"/>
      <c r="E4718" s="188"/>
      <c r="F4718" s="188"/>
      <c r="G4718" s="2122">
        <v>0.74399999999999999</v>
      </c>
      <c r="H4718" s="568" t="s">
        <v>247</v>
      </c>
      <c r="I4718" s="2118" t="s">
        <v>247</v>
      </c>
      <c r="J4718" s="2123">
        <f>G50/10</f>
        <v>570.23400000000004</v>
      </c>
      <c r="K4718" s="2123">
        <f>ROUND(G4718*J4718,2)</f>
        <v>424.25</v>
      </c>
      <c r="L4718" s="192"/>
      <c r="M4718" s="568"/>
    </row>
    <row r="4719" spans="1:17" ht="12.75" hidden="1">
      <c r="A4719" s="2114"/>
      <c r="B4719" s="568" t="s">
        <v>994</v>
      </c>
      <c r="C4719" s="568"/>
      <c r="D4719" s="568"/>
      <c r="E4719" s="188"/>
      <c r="F4719" s="188"/>
      <c r="G4719" s="2122">
        <v>0.33</v>
      </c>
      <c r="H4719" s="568" t="s">
        <v>247</v>
      </c>
      <c r="I4719" s="2118" t="s">
        <v>247</v>
      </c>
      <c r="J4719" s="2123">
        <f>J4718</f>
        <v>570.23400000000004</v>
      </c>
      <c r="K4719" s="2123">
        <f>ROUND(G4719*J4719,2)</f>
        <v>188.18</v>
      </c>
      <c r="L4719" s="192"/>
      <c r="M4719" s="568"/>
    </row>
    <row r="4720" spans="1:17" ht="12.75" hidden="1">
      <c r="A4720" s="2114"/>
      <c r="B4720" s="568" t="s">
        <v>989</v>
      </c>
      <c r="C4720" s="568"/>
      <c r="D4720" s="568"/>
      <c r="E4720" s="188"/>
      <c r="F4720" s="188"/>
      <c r="G4720" s="2122">
        <v>7.5999999999999998E-2</v>
      </c>
      <c r="H4720" s="568" t="s">
        <v>247</v>
      </c>
      <c r="I4720" s="2118" t="s">
        <v>247</v>
      </c>
      <c r="J4720" s="2123">
        <f>G97</f>
        <v>2017.18</v>
      </c>
      <c r="K4720" s="2123">
        <f>ROUND(G4720*J4720,2)</f>
        <v>153.31</v>
      </c>
      <c r="L4720" s="192"/>
      <c r="M4720" s="568"/>
    </row>
    <row r="4721" spans="1:13" ht="12.75" hidden="1">
      <c r="A4721" s="2114"/>
      <c r="B4721" s="568"/>
      <c r="C4721" s="568"/>
      <c r="D4721" s="568"/>
      <c r="E4721" s="188"/>
      <c r="F4721" s="188"/>
      <c r="G4721" s="2122"/>
      <c r="H4721" s="568"/>
      <c r="I4721" s="2118"/>
      <c r="J4721" s="2134" t="s">
        <v>718</v>
      </c>
      <c r="K4721" s="2123">
        <f>SUM(K4716:K4720)</f>
        <v>7739.4800000000014</v>
      </c>
      <c r="L4721" s="192"/>
      <c r="M4721" s="568"/>
    </row>
    <row r="4722" spans="1:13" ht="12.75" hidden="1">
      <c r="A4722" s="2114"/>
      <c r="B4722" s="192" t="s">
        <v>781</v>
      </c>
      <c r="C4722" s="568"/>
      <c r="D4722" s="568"/>
      <c r="E4722" s="188"/>
      <c r="F4722" s="188"/>
      <c r="G4722" s="2122"/>
      <c r="H4722" s="568"/>
      <c r="I4722" s="2118"/>
      <c r="J4722" s="2123"/>
      <c r="K4722" s="2123"/>
      <c r="L4722" s="192"/>
      <c r="M4722" s="568"/>
    </row>
    <row r="4723" spans="1:13" ht="12.75" hidden="1">
      <c r="A4723" s="2114"/>
      <c r="B4723" s="568" t="s">
        <v>975</v>
      </c>
      <c r="C4723" s="568"/>
      <c r="D4723" s="568"/>
      <c r="E4723" s="188"/>
      <c r="F4723" s="188"/>
      <c r="G4723" s="2122">
        <v>2.16</v>
      </c>
      <c r="H4723" s="568" t="s">
        <v>262</v>
      </c>
      <c r="I4723" s="2118" t="s">
        <v>38</v>
      </c>
      <c r="J4723" s="2123">
        <f>L137</f>
        <v>495</v>
      </c>
      <c r="K4723" s="2123">
        <f>ROUND(G4723*J4723,2)</f>
        <v>1069.2</v>
      </c>
      <c r="L4723" s="192"/>
      <c r="M4723" s="568"/>
    </row>
    <row r="4724" spans="1:13" ht="12.75" hidden="1">
      <c r="A4724" s="2114"/>
      <c r="B4724" s="568" t="s">
        <v>717</v>
      </c>
      <c r="C4724" s="568"/>
      <c r="D4724" s="568"/>
      <c r="E4724" s="188"/>
      <c r="F4724" s="188"/>
      <c r="G4724" s="2122">
        <v>2.16</v>
      </c>
      <c r="H4724" s="568" t="s">
        <v>262</v>
      </c>
      <c r="I4724" s="2118" t="s">
        <v>38</v>
      </c>
      <c r="J4724" s="2123">
        <f>L134</f>
        <v>345</v>
      </c>
      <c r="K4724" s="2123">
        <f>ROUND(G4724*J4724,2)</f>
        <v>745.2</v>
      </c>
      <c r="L4724" s="192"/>
      <c r="M4724" s="568"/>
    </row>
    <row r="4725" spans="1:13" ht="12.75" hidden="1">
      <c r="A4725" s="2114"/>
      <c r="B4725" s="568"/>
      <c r="C4725" s="568"/>
      <c r="D4725" s="568"/>
      <c r="E4725" s="188"/>
      <c r="F4725" s="188"/>
      <c r="G4725" s="2122"/>
      <c r="H4725" s="568"/>
      <c r="I4725" s="2118"/>
      <c r="J4725" s="2134" t="s">
        <v>718</v>
      </c>
      <c r="K4725" s="2123">
        <f>SUM(K4723:K4724)</f>
        <v>1814.4</v>
      </c>
      <c r="L4725" s="192"/>
      <c r="M4725" s="568"/>
    </row>
    <row r="4726" spans="1:13" ht="12.75" hidden="1">
      <c r="A4726" s="2114"/>
      <c r="B4726" s="192"/>
      <c r="C4726" s="568"/>
      <c r="D4726" s="568"/>
      <c r="E4726" s="188"/>
      <c r="F4726" s="188"/>
      <c r="G4726" s="2122"/>
      <c r="H4726" s="568"/>
      <c r="I4726" s="2118"/>
      <c r="J4726" s="2123"/>
      <c r="K4726" s="2123"/>
      <c r="L4726" s="192"/>
      <c r="M4726" s="568"/>
    </row>
    <row r="4727" spans="1:13" ht="12.75" hidden="1">
      <c r="A4727" s="2114"/>
      <c r="B4727" s="192" t="s">
        <v>783</v>
      </c>
      <c r="C4727" s="568"/>
      <c r="D4727" s="568"/>
      <c r="E4727" s="188"/>
      <c r="F4727" s="188"/>
      <c r="G4727" s="2122"/>
      <c r="H4727" s="568"/>
      <c r="I4727" s="2118"/>
      <c r="J4727" s="2123"/>
      <c r="K4727" s="2123"/>
      <c r="L4727" s="192"/>
      <c r="M4727" s="568"/>
    </row>
    <row r="4728" spans="1:13" ht="12.75" hidden="1">
      <c r="A4728" s="2114"/>
      <c r="B4728" s="568" t="str">
        <f>B4716</f>
        <v>Tile</v>
      </c>
      <c r="C4728" s="568"/>
      <c r="D4728" s="568"/>
      <c r="E4728" s="188"/>
      <c r="F4728" s="188"/>
      <c r="G4728" s="2122">
        <f>G4716</f>
        <v>10</v>
      </c>
      <c r="H4728" s="568" t="s">
        <v>92</v>
      </c>
      <c r="I4728" s="568" t="s">
        <v>92</v>
      </c>
      <c r="J4728" s="2123">
        <f>K53</f>
        <v>14.510277777777777</v>
      </c>
      <c r="K4728" s="2123">
        <f>ROUND(G4728*J4728,2)</f>
        <v>145.1</v>
      </c>
      <c r="L4728" s="192"/>
      <c r="M4728" s="568"/>
    </row>
    <row r="4729" spans="1:13" ht="12.75" hidden="1">
      <c r="A4729" s="2114"/>
      <c r="B4729" s="568" t="str">
        <f>B4717</f>
        <v>Sand</v>
      </c>
      <c r="C4729" s="568"/>
      <c r="D4729" s="568"/>
      <c r="E4729" s="188"/>
      <c r="F4729" s="188"/>
      <c r="G4729" s="2122">
        <f>G4717</f>
        <v>0.21</v>
      </c>
      <c r="H4729" s="568" t="s">
        <v>49</v>
      </c>
      <c r="I4729" s="568" t="s">
        <v>49</v>
      </c>
      <c r="J4729" s="2123">
        <f>K46</f>
        <v>717.46</v>
      </c>
      <c r="K4729" s="2123">
        <f>ROUND(G4729*J4729,2)</f>
        <v>150.66999999999999</v>
      </c>
      <c r="L4729" s="192"/>
      <c r="M4729" s="568"/>
    </row>
    <row r="4730" spans="1:13" ht="12.75" hidden="1">
      <c r="A4730" s="2114"/>
      <c r="B4730" s="568" t="str">
        <f>B4718</f>
        <v>Cement</v>
      </c>
      <c r="C4730" s="568"/>
      <c r="D4730" s="568"/>
      <c r="E4730" s="188"/>
      <c r="F4730" s="188"/>
      <c r="G4730" s="2122">
        <f>G4718+G4719</f>
        <v>1.0740000000000001</v>
      </c>
      <c r="H4730" s="568" t="s">
        <v>247</v>
      </c>
      <c r="I4730" s="568" t="s">
        <v>247</v>
      </c>
      <c r="J4730" s="2123">
        <f>K50/10</f>
        <v>42.622</v>
      </c>
      <c r="K4730" s="2123">
        <f>ROUND(G4730*J4730,2)</f>
        <v>45.78</v>
      </c>
      <c r="L4730" s="192"/>
      <c r="M4730" s="568"/>
    </row>
    <row r="4731" spans="1:13" ht="12.75" hidden="1">
      <c r="A4731" s="2114"/>
      <c r="B4731" s="568" t="s">
        <v>124</v>
      </c>
      <c r="C4731" s="568"/>
      <c r="D4731" s="568"/>
      <c r="E4731" s="188"/>
      <c r="F4731" s="188"/>
      <c r="G4731" s="2122">
        <f>G4720</f>
        <v>7.5999999999999998E-2</v>
      </c>
      <c r="H4731" s="568" t="s">
        <v>247</v>
      </c>
      <c r="I4731" s="568" t="s">
        <v>247</v>
      </c>
      <c r="J4731" s="2123">
        <f>K97</f>
        <v>42.622</v>
      </c>
      <c r="K4731" s="2123">
        <f>ROUND(G4731*J4731,2)</f>
        <v>3.24</v>
      </c>
      <c r="L4731" s="192"/>
      <c r="M4731" s="568"/>
    </row>
    <row r="4732" spans="1:13" ht="12.75" hidden="1">
      <c r="A4732" s="2114"/>
      <c r="B4732" s="568"/>
      <c r="C4732" s="568"/>
      <c r="D4732" s="568"/>
      <c r="E4732" s="188"/>
      <c r="F4732" s="188"/>
      <c r="G4732" s="2122"/>
      <c r="H4732" s="568"/>
      <c r="I4732" s="2118"/>
      <c r="J4732" s="2185" t="s">
        <v>718</v>
      </c>
      <c r="K4732" s="2123">
        <f>SUM(K4728:K4731)</f>
        <v>344.78999999999996</v>
      </c>
      <c r="L4732" s="192"/>
      <c r="M4732" s="568"/>
    </row>
    <row r="4733" spans="1:13" ht="12.75" hidden="1">
      <c r="A4733" s="2114"/>
      <c r="B4733" s="192" t="s">
        <v>977</v>
      </c>
      <c r="C4733" s="568"/>
      <c r="D4733" s="568"/>
      <c r="E4733" s="188"/>
      <c r="F4733" s="188"/>
      <c r="G4733" s="2122"/>
      <c r="H4733" s="568"/>
      <c r="I4733" s="2118"/>
      <c r="J4733" s="2123"/>
      <c r="K4733" s="2124">
        <f>K4721+K4725+K4726+K4732</f>
        <v>9898.6700000000019</v>
      </c>
      <c r="L4733" s="192"/>
      <c r="M4733" s="568"/>
    </row>
    <row r="4734" spans="1:13" ht="12.75" hidden="1">
      <c r="A4734" s="2114"/>
      <c r="B4734" s="192" t="s">
        <v>978</v>
      </c>
      <c r="C4734" s="568"/>
      <c r="D4734" s="568"/>
      <c r="E4734" s="188"/>
      <c r="F4734" s="188"/>
      <c r="G4734" s="2122"/>
      <c r="H4734" s="568"/>
      <c r="I4734" s="2118"/>
      <c r="J4734" s="2126" t="s">
        <v>718</v>
      </c>
      <c r="K4734" s="2124">
        <f>ROUND(K4733/10,2)</f>
        <v>989.87</v>
      </c>
      <c r="L4734" s="192" t="s">
        <v>730</v>
      </c>
      <c r="M4734" s="568"/>
    </row>
    <row r="4735" spans="1:13" ht="12.75" hidden="1">
      <c r="A4735" s="2114" t="str">
        <f>A830</f>
        <v>(ii)</v>
      </c>
      <c r="B4735" s="192" t="str">
        <f>B830</f>
        <v>First Floor</v>
      </c>
      <c r="C4735" s="568"/>
      <c r="D4735" s="568"/>
      <c r="E4735" s="2120" t="str">
        <f>E4713</f>
        <v>Each Sqm</v>
      </c>
      <c r="F4735" s="2120"/>
      <c r="G4735" s="2122"/>
      <c r="H4735" s="568"/>
      <c r="I4735" s="2118"/>
      <c r="J4735" s="2126"/>
      <c r="K4735" s="2124"/>
      <c r="L4735" s="192"/>
      <c r="M4735" s="568"/>
    </row>
    <row r="4736" spans="1:13" ht="12.75" hidden="1">
      <c r="A4736" s="2114"/>
      <c r="B4736" s="568" t="s">
        <v>722</v>
      </c>
      <c r="C4736" s="568"/>
      <c r="D4736" s="568"/>
      <c r="E4736" s="188"/>
      <c r="F4736" s="188"/>
      <c r="G4736" s="2122"/>
      <c r="H4736" s="568"/>
      <c r="I4736" s="2118"/>
      <c r="J4736" s="2123"/>
      <c r="K4736" s="2123">
        <f>K4734</f>
        <v>989.87</v>
      </c>
      <c r="L4736" s="192"/>
      <c r="M4736" s="568"/>
    </row>
    <row r="4737" spans="1:13" ht="12.75" hidden="1">
      <c r="A4737" s="2114"/>
      <c r="B4737" s="568" t="s">
        <v>723</v>
      </c>
      <c r="C4737" s="568"/>
      <c r="D4737" s="568"/>
      <c r="E4737" s="188"/>
      <c r="F4737" s="188"/>
      <c r="G4737" s="2122"/>
      <c r="H4737" s="568"/>
      <c r="I4737" s="2118"/>
      <c r="J4737" s="2123"/>
      <c r="K4737" s="2123">
        <f>ROUND((K4725/10)*5%,2)</f>
        <v>9.07</v>
      </c>
      <c r="L4737" s="192"/>
      <c r="M4737" s="568"/>
    </row>
    <row r="4738" spans="1:13" ht="12.75" hidden="1">
      <c r="A4738" s="2114"/>
      <c r="B4738" s="568"/>
      <c r="C4738" s="568"/>
      <c r="D4738" s="568"/>
      <c r="E4738" s="188"/>
      <c r="F4738" s="188"/>
      <c r="G4738" s="2122"/>
      <c r="H4738" s="568"/>
      <c r="I4738" s="2118"/>
      <c r="J4738" s="2126" t="s">
        <v>718</v>
      </c>
      <c r="K4738" s="2124">
        <f>SUM(K4736:K4737)</f>
        <v>998.94</v>
      </c>
      <c r="L4738" s="192" t="s">
        <v>730</v>
      </c>
      <c r="M4738" s="568"/>
    </row>
    <row r="4739" spans="1:13" ht="12.75" hidden="1">
      <c r="A4739" s="2114" t="str">
        <f>A832</f>
        <v>(iii)</v>
      </c>
      <c r="B4739" s="192" t="str">
        <f>B832</f>
        <v>2nd Floor</v>
      </c>
      <c r="C4739" s="568"/>
      <c r="D4739" s="568"/>
      <c r="E4739" s="2120" t="str">
        <f>E4735</f>
        <v>Each Sqm</v>
      </c>
      <c r="F4739" s="2120"/>
      <c r="G4739" s="2122"/>
      <c r="H4739" s="568"/>
      <c r="I4739" s="2118"/>
      <c r="J4739" s="2126"/>
      <c r="K4739" s="2124"/>
      <c r="L4739" s="192"/>
      <c r="M4739" s="568"/>
    </row>
    <row r="4740" spans="1:13" ht="12.75" hidden="1">
      <c r="A4740" s="2114"/>
      <c r="B4740" s="568" t="s">
        <v>722</v>
      </c>
      <c r="C4740" s="568"/>
      <c r="D4740" s="568"/>
      <c r="E4740" s="188"/>
      <c r="F4740" s="188"/>
      <c r="G4740" s="2122"/>
      <c r="H4740" s="568"/>
      <c r="I4740" s="2118"/>
      <c r="J4740" s="2123"/>
      <c r="K4740" s="2123">
        <f>K4738</f>
        <v>998.94</v>
      </c>
      <c r="L4740" s="192"/>
      <c r="M4740" s="568"/>
    </row>
    <row r="4741" spans="1:13" ht="12.75" hidden="1">
      <c r="A4741" s="2114"/>
      <c r="B4741" s="568" t="s">
        <v>723</v>
      </c>
      <c r="C4741" s="568"/>
      <c r="D4741" s="568"/>
      <c r="E4741" s="188"/>
      <c r="F4741" s="188"/>
      <c r="G4741" s="2122"/>
      <c r="H4741" s="568"/>
      <c r="I4741" s="2118"/>
      <c r="J4741" s="2123"/>
      <c r="K4741" s="2123">
        <f>K4737+ROUND(K4737*5%,2)</f>
        <v>9.52</v>
      </c>
      <c r="L4741" s="192"/>
      <c r="M4741" s="568"/>
    </row>
    <row r="4742" spans="1:13" ht="12.75" hidden="1">
      <c r="A4742" s="2114"/>
      <c r="B4742" s="568"/>
      <c r="C4742" s="568"/>
      <c r="D4742" s="568"/>
      <c r="E4742" s="188"/>
      <c r="F4742" s="188"/>
      <c r="G4742" s="2122"/>
      <c r="H4742" s="568"/>
      <c r="I4742" s="2118"/>
      <c r="J4742" s="2126" t="s">
        <v>718</v>
      </c>
      <c r="K4742" s="2124">
        <f>SUM(K4740:K4741)</f>
        <v>1008.46</v>
      </c>
      <c r="L4742" s="192" t="s">
        <v>730</v>
      </c>
      <c r="M4742" s="568"/>
    </row>
    <row r="4743" spans="1:13" ht="12.75" hidden="1">
      <c r="A4743" s="2114" t="str">
        <f>A834</f>
        <v>(iv)</v>
      </c>
      <c r="B4743" s="192" t="str">
        <f>B834</f>
        <v>3rd Floor</v>
      </c>
      <c r="C4743" s="568"/>
      <c r="D4743" s="568"/>
      <c r="E4743" s="2120" t="str">
        <f>E4739</f>
        <v>Each Sqm</v>
      </c>
      <c r="F4743" s="2120"/>
      <c r="G4743" s="2122"/>
      <c r="H4743" s="568"/>
      <c r="I4743" s="2118"/>
      <c r="J4743" s="2126"/>
      <c r="K4743" s="2124"/>
      <c r="L4743" s="192"/>
      <c r="M4743" s="568"/>
    </row>
    <row r="4744" spans="1:13" ht="12.75" hidden="1">
      <c r="A4744" s="2114"/>
      <c r="B4744" s="568" t="s">
        <v>722</v>
      </c>
      <c r="C4744" s="568"/>
      <c r="D4744" s="568"/>
      <c r="E4744" s="188"/>
      <c r="F4744" s="188"/>
      <c r="G4744" s="2122"/>
      <c r="H4744" s="568"/>
      <c r="I4744" s="2118"/>
      <c r="J4744" s="2123"/>
      <c r="K4744" s="2123">
        <f>K4742</f>
        <v>1008.46</v>
      </c>
      <c r="L4744" s="192"/>
      <c r="M4744" s="568"/>
    </row>
    <row r="4745" spans="1:13" ht="12.75" hidden="1">
      <c r="A4745" s="2114"/>
      <c r="B4745" s="568" t="s">
        <v>723</v>
      </c>
      <c r="C4745" s="568"/>
      <c r="D4745" s="568"/>
      <c r="E4745" s="188"/>
      <c r="F4745" s="188"/>
      <c r="G4745" s="2122"/>
      <c r="H4745" s="568"/>
      <c r="I4745" s="2118"/>
      <c r="J4745" s="2123"/>
      <c r="K4745" s="2123">
        <f>K4741+ROUND(K4741*5%,2)</f>
        <v>10</v>
      </c>
      <c r="L4745" s="192"/>
      <c r="M4745" s="568"/>
    </row>
    <row r="4746" spans="1:13" ht="12.75" hidden="1">
      <c r="A4746" s="2114"/>
      <c r="B4746" s="568"/>
      <c r="C4746" s="568"/>
      <c r="D4746" s="568"/>
      <c r="E4746" s="188"/>
      <c r="F4746" s="188"/>
      <c r="G4746" s="2122"/>
      <c r="H4746" s="568"/>
      <c r="I4746" s="2118"/>
      <c r="J4746" s="2126" t="s">
        <v>718</v>
      </c>
      <c r="K4746" s="2124">
        <f>SUM(K4744:K4745)</f>
        <v>1018.46</v>
      </c>
      <c r="L4746" s="192" t="s">
        <v>730</v>
      </c>
      <c r="M4746" s="568"/>
    </row>
    <row r="4747" spans="1:13" ht="12.75" hidden="1">
      <c r="A4747" s="2114" t="s">
        <v>470</v>
      </c>
      <c r="B4747" s="2165" t="str">
        <f>B4693</f>
        <v>Vertified tile ( 600x 600)Plain</v>
      </c>
      <c r="C4747" s="568"/>
      <c r="D4747" s="568"/>
      <c r="E4747" s="188"/>
      <c r="F4747" s="188"/>
      <c r="G4747" s="2122"/>
      <c r="H4747" s="568"/>
      <c r="I4747" s="2118"/>
      <c r="J4747" s="2134"/>
      <c r="K4747" s="2123"/>
      <c r="L4747" s="192"/>
      <c r="M4747" s="568"/>
    </row>
    <row r="4748" spans="1:13" ht="12.75" hidden="1">
      <c r="A4748" s="2114" t="str">
        <f>A4694</f>
        <v>(i)</v>
      </c>
      <c r="B4748" s="192" t="str">
        <f>B4694</f>
        <v>Ground Floor</v>
      </c>
      <c r="C4748" s="568"/>
      <c r="D4748" s="568"/>
      <c r="E4748" s="2120" t="str">
        <f>G990</f>
        <v>Each Sqm</v>
      </c>
      <c r="F4748" s="2120"/>
      <c r="G4748" s="2122"/>
      <c r="H4748" s="568"/>
      <c r="I4748" s="2118"/>
      <c r="J4748" s="2134"/>
      <c r="K4748" s="2123"/>
      <c r="L4748" s="192"/>
      <c r="M4748" s="568"/>
    </row>
    <row r="4749" spans="1:13" ht="12.75" hidden="1">
      <c r="A4749" s="2114"/>
      <c r="B4749" s="568" t="s">
        <v>990</v>
      </c>
      <c r="C4749" s="568"/>
      <c r="D4749" s="568"/>
      <c r="E4749" s="188"/>
      <c r="F4749" s="188"/>
      <c r="G4749" s="2122"/>
      <c r="H4749" s="568"/>
      <c r="I4749" s="2118"/>
      <c r="J4749" s="2134" t="s">
        <v>718</v>
      </c>
      <c r="K4749" s="2123">
        <f>K4734</f>
        <v>989.87</v>
      </c>
      <c r="L4749" s="192" t="s">
        <v>730</v>
      </c>
      <c r="M4749" s="568"/>
    </row>
    <row r="4750" spans="1:13" ht="12.75" hidden="1">
      <c r="A4750" s="2114"/>
      <c r="B4750" s="568" t="s">
        <v>991</v>
      </c>
      <c r="C4750" s="568"/>
      <c r="D4750" s="568"/>
      <c r="E4750" s="188"/>
      <c r="F4750" s="179" t="s">
        <v>3372</v>
      </c>
      <c r="G4750" s="2122">
        <f>G52</f>
        <v>695.76</v>
      </c>
      <c r="H4750" s="2118" t="s">
        <v>2884</v>
      </c>
      <c r="I4750" s="2134">
        <f>G53</f>
        <v>651.08000000000004</v>
      </c>
      <c r="J4750" s="2123" t="s">
        <v>3373</v>
      </c>
      <c r="K4750" s="2123">
        <f>-(G52-G53)</f>
        <v>-44.67999999999995</v>
      </c>
      <c r="L4750" s="192" t="s">
        <v>730</v>
      </c>
      <c r="M4750" s="568"/>
    </row>
    <row r="4751" spans="1:13" ht="12.75" hidden="1">
      <c r="A4751" s="2114"/>
      <c r="B4751" s="568"/>
      <c r="C4751" s="568"/>
      <c r="D4751" s="568"/>
      <c r="E4751" s="188"/>
      <c r="F4751" s="188"/>
      <c r="G4751" s="2122"/>
      <c r="H4751" s="568"/>
      <c r="I4751" s="2118"/>
      <c r="J4751" s="2123"/>
      <c r="K4751" s="2123"/>
      <c r="L4751" s="192"/>
      <c r="M4751" s="568"/>
    </row>
    <row r="4752" spans="1:13" ht="12.75" hidden="1">
      <c r="A4752" s="2114"/>
      <c r="B4752" s="568"/>
      <c r="C4752" s="568"/>
      <c r="D4752" s="568"/>
      <c r="E4752" s="188"/>
      <c r="F4752" s="188"/>
      <c r="G4752" s="2122"/>
      <c r="H4752" s="568"/>
      <c r="I4752" s="2118"/>
      <c r="J4752" s="2126" t="s">
        <v>718</v>
      </c>
      <c r="K4752" s="2124">
        <f>SUM(K4749:K4751)</f>
        <v>945.19</v>
      </c>
      <c r="L4752" s="192" t="s">
        <v>730</v>
      </c>
      <c r="M4752" s="568"/>
    </row>
    <row r="4753" spans="1:17" ht="12.75" hidden="1">
      <c r="A4753" s="2114" t="str">
        <f>A4735</f>
        <v>(ii)</v>
      </c>
      <c r="B4753" s="192" t="str">
        <f>B4735</f>
        <v>First Floor</v>
      </c>
      <c r="C4753" s="568"/>
      <c r="D4753" s="568"/>
      <c r="E4753" s="2120" t="str">
        <f>E4748</f>
        <v>Each Sqm</v>
      </c>
      <c r="F4753" s="2120"/>
      <c r="G4753" s="2122"/>
      <c r="H4753" s="568"/>
      <c r="I4753" s="2118"/>
      <c r="J4753" s="2123"/>
      <c r="K4753" s="2123"/>
      <c r="L4753" s="192"/>
      <c r="M4753" s="568"/>
    </row>
    <row r="4754" spans="1:17" ht="12.75" hidden="1">
      <c r="A4754" s="2114"/>
      <c r="B4754" s="568" t="s">
        <v>722</v>
      </c>
      <c r="C4754" s="568"/>
      <c r="D4754" s="568"/>
      <c r="E4754" s="188"/>
      <c r="F4754" s="188"/>
      <c r="G4754" s="2122"/>
      <c r="H4754" s="568"/>
      <c r="I4754" s="2118"/>
      <c r="J4754" s="2123"/>
      <c r="K4754" s="2123">
        <f>K4752</f>
        <v>945.19</v>
      </c>
      <c r="L4754" s="192"/>
      <c r="M4754" s="568"/>
    </row>
    <row r="4755" spans="1:17" ht="12.75" hidden="1">
      <c r="A4755" s="2114"/>
      <c r="B4755" s="568" t="s">
        <v>723</v>
      </c>
      <c r="C4755" s="568"/>
      <c r="D4755" s="568"/>
      <c r="E4755" s="188"/>
      <c r="F4755" s="188"/>
      <c r="G4755" s="2122"/>
      <c r="H4755" s="568"/>
      <c r="I4755" s="2118"/>
      <c r="J4755" s="2123"/>
      <c r="K4755" s="2123">
        <f>ROUND(K4725/10*5%,2)</f>
        <v>9.07</v>
      </c>
      <c r="L4755" s="192"/>
      <c r="M4755" s="568"/>
    </row>
    <row r="4756" spans="1:17" ht="12.75" hidden="1">
      <c r="A4756" s="2114"/>
      <c r="B4756" s="568"/>
      <c r="C4756" s="568"/>
      <c r="D4756" s="568"/>
      <c r="E4756" s="188"/>
      <c r="F4756" s="188"/>
      <c r="G4756" s="2122"/>
      <c r="H4756" s="568"/>
      <c r="I4756" s="2118"/>
      <c r="J4756" s="2126" t="s">
        <v>718</v>
      </c>
      <c r="K4756" s="2124">
        <f>SUM(K4754:K4755)</f>
        <v>954.2600000000001</v>
      </c>
      <c r="L4756" s="192" t="s">
        <v>730</v>
      </c>
      <c r="M4756" s="568"/>
    </row>
    <row r="4757" spans="1:17" ht="12.75" hidden="1">
      <c r="A4757" s="2114" t="str">
        <f>A4703</f>
        <v>(iii)</v>
      </c>
      <c r="B4757" s="192" t="str">
        <f>B4703</f>
        <v>2nd Floor</v>
      </c>
      <c r="C4757" s="568"/>
      <c r="D4757" s="568"/>
      <c r="E4757" s="2120" t="str">
        <f>E4753</f>
        <v>Each Sqm</v>
      </c>
      <c r="F4757" s="2120"/>
      <c r="G4757" s="2122"/>
      <c r="H4757" s="568"/>
      <c r="I4757" s="2118"/>
      <c r="J4757" s="2126"/>
      <c r="K4757" s="2124"/>
      <c r="L4757" s="192"/>
      <c r="M4757" s="568"/>
    </row>
    <row r="4758" spans="1:17" ht="12.75" hidden="1">
      <c r="A4758" s="2114"/>
      <c r="B4758" s="568" t="s">
        <v>722</v>
      </c>
      <c r="C4758" s="568"/>
      <c r="D4758" s="568"/>
      <c r="E4758" s="188"/>
      <c r="F4758" s="188"/>
      <c r="G4758" s="2122"/>
      <c r="H4758" s="568"/>
      <c r="I4758" s="2118"/>
      <c r="J4758" s="2123"/>
      <c r="K4758" s="2123">
        <f>K4756</f>
        <v>954.2600000000001</v>
      </c>
      <c r="L4758" s="192"/>
      <c r="M4758" s="568"/>
    </row>
    <row r="4759" spans="1:17" ht="12.75" hidden="1">
      <c r="A4759" s="2114"/>
      <c r="B4759" s="568" t="s">
        <v>723</v>
      </c>
      <c r="C4759" s="568"/>
      <c r="D4759" s="568"/>
      <c r="E4759" s="188"/>
      <c r="F4759" s="188"/>
      <c r="G4759" s="2122"/>
      <c r="H4759" s="568"/>
      <c r="I4759" s="2118"/>
      <c r="J4759" s="2123"/>
      <c r="K4759" s="2123">
        <f>K4755+ROUND(K4755*5%,2)</f>
        <v>9.52</v>
      </c>
      <c r="L4759" s="192"/>
      <c r="M4759" s="568"/>
    </row>
    <row r="4760" spans="1:17" ht="12.75" hidden="1">
      <c r="A4760" s="2114"/>
      <c r="B4760" s="568"/>
      <c r="C4760" s="568"/>
      <c r="D4760" s="568"/>
      <c r="E4760" s="188"/>
      <c r="F4760" s="188"/>
      <c r="G4760" s="2122"/>
      <c r="H4760" s="568"/>
      <c r="I4760" s="2118"/>
      <c r="J4760" s="2126" t="s">
        <v>718</v>
      </c>
      <c r="K4760" s="2124">
        <f>SUM(K4758:K4759)</f>
        <v>963.78000000000009</v>
      </c>
      <c r="L4760" s="192" t="s">
        <v>730</v>
      </c>
      <c r="M4760" s="568"/>
    </row>
    <row r="4761" spans="1:17" ht="12.75" hidden="1">
      <c r="A4761" s="2114" t="str">
        <f>A4707</f>
        <v>(iv)</v>
      </c>
      <c r="B4761" s="192" t="str">
        <f>B4707</f>
        <v>3rd Floor</v>
      </c>
      <c r="C4761" s="568"/>
      <c r="D4761" s="568"/>
      <c r="E4761" s="2120" t="str">
        <f>E4757</f>
        <v>Each Sqm</v>
      </c>
      <c r="F4761" s="2120"/>
      <c r="G4761" s="2122"/>
      <c r="H4761" s="568"/>
      <c r="I4761" s="2118"/>
      <c r="J4761" s="2126"/>
      <c r="K4761" s="2124"/>
      <c r="L4761" s="192"/>
      <c r="M4761" s="568"/>
    </row>
    <row r="4762" spans="1:17" ht="12.75" hidden="1">
      <c r="A4762" s="2114"/>
      <c r="B4762" s="568" t="s">
        <v>722</v>
      </c>
      <c r="C4762" s="568"/>
      <c r="D4762" s="568"/>
      <c r="E4762" s="188"/>
      <c r="F4762" s="188"/>
      <c r="G4762" s="2122"/>
      <c r="H4762" s="568"/>
      <c r="I4762" s="2118"/>
      <c r="J4762" s="2123"/>
      <c r="K4762" s="2123">
        <f>K4760</f>
        <v>963.78000000000009</v>
      </c>
      <c r="L4762" s="192"/>
      <c r="M4762" s="568"/>
    </row>
    <row r="4763" spans="1:17" ht="12.75" hidden="1">
      <c r="A4763" s="2114"/>
      <c r="B4763" s="568" t="s">
        <v>723</v>
      </c>
      <c r="C4763" s="568"/>
      <c r="D4763" s="568"/>
      <c r="E4763" s="188"/>
      <c r="F4763" s="188"/>
      <c r="G4763" s="2122"/>
      <c r="H4763" s="568"/>
      <c r="I4763" s="2118"/>
      <c r="J4763" s="2123"/>
      <c r="K4763" s="2123">
        <f>K4759+ROUND(K4759*5%,2)</f>
        <v>10</v>
      </c>
      <c r="L4763" s="192"/>
      <c r="M4763" s="568"/>
    </row>
    <row r="4764" spans="1:17" ht="12.75" hidden="1">
      <c r="A4764" s="2114"/>
      <c r="B4764" s="568"/>
      <c r="C4764" s="568"/>
      <c r="D4764" s="568"/>
      <c r="E4764" s="188"/>
      <c r="F4764" s="188"/>
      <c r="G4764" s="2122"/>
      <c r="H4764" s="568"/>
      <c r="I4764" s="2118"/>
      <c r="J4764" s="2126" t="s">
        <v>718</v>
      </c>
      <c r="K4764" s="2124">
        <f>SUM(K4762:K4763)</f>
        <v>973.78000000000009</v>
      </c>
      <c r="L4764" s="192" t="s">
        <v>730</v>
      </c>
      <c r="M4764" s="568"/>
    </row>
    <row r="4765" spans="1:17" ht="12.75" hidden="1">
      <c r="A4765" s="2114" t="s">
        <v>472</v>
      </c>
      <c r="B4765" s="192" t="s">
        <v>995</v>
      </c>
      <c r="C4765" s="568"/>
      <c r="D4765" s="568"/>
      <c r="E4765" s="188"/>
      <c r="F4765" s="188"/>
      <c r="G4765" s="2114"/>
      <c r="H4765" s="2119"/>
      <c r="I4765" s="2114"/>
      <c r="J4765" s="192"/>
      <c r="K4765" s="2124"/>
      <c r="L4765" s="2119"/>
      <c r="M4765" s="2118"/>
      <c r="N4765" s="1707"/>
      <c r="O4765" s="1707"/>
      <c r="P4765" s="1707"/>
      <c r="Q4765" s="1706" t="s">
        <v>996</v>
      </c>
    </row>
    <row r="4766" spans="1:17" ht="55.9" hidden="1" customHeight="1">
      <c r="A4766" s="2114">
        <f>A837</f>
        <v>78</v>
      </c>
      <c r="B4766" s="3017" t="str">
        <f>B837</f>
        <v>Dressed seasoned sal wood work framed &amp; fixed in frames of doors &amp; windows including cost,conveyance of all materials and cost of labour for fitting, fixing etc.complete as per the instruction of Engineer-in-Charge .</v>
      </c>
      <c r="C4766" s="3017"/>
      <c r="D4766" s="3017"/>
      <c r="E4766" s="2186" t="str">
        <f>G837</f>
        <v>Each Cum</v>
      </c>
      <c r="F4766" s="2116"/>
      <c r="G4766" s="2122"/>
      <c r="H4766" s="568"/>
      <c r="I4766" s="2118"/>
      <c r="J4766" s="2124"/>
      <c r="K4766" s="2124"/>
      <c r="L4766" s="192"/>
      <c r="M4766" s="568"/>
    </row>
    <row r="4767" spans="1:17" ht="12.75" hidden="1">
      <c r="A4767" s="2114"/>
      <c r="B4767" s="192" t="s">
        <v>997</v>
      </c>
      <c r="C4767" s="568"/>
      <c r="D4767" s="568"/>
      <c r="E4767" s="2187"/>
      <c r="F4767" s="188"/>
      <c r="G4767" s="2114"/>
      <c r="H4767" s="2119"/>
      <c r="I4767" s="2114"/>
      <c r="J4767" s="2124"/>
      <c r="K4767" s="2124"/>
      <c r="L4767" s="2119"/>
      <c r="M4767" s="2118"/>
      <c r="N4767" s="1707"/>
      <c r="O4767" s="1707"/>
      <c r="P4767" s="1707"/>
    </row>
    <row r="4768" spans="1:17" ht="12.75" hidden="1">
      <c r="A4768" s="2114"/>
      <c r="B4768" s="192" t="s">
        <v>822</v>
      </c>
      <c r="C4768" s="568"/>
      <c r="D4768" s="568"/>
      <c r="E4768" s="2187"/>
      <c r="F4768" s="188"/>
      <c r="G4768" s="2114"/>
      <c r="H4768" s="2119"/>
      <c r="I4768" s="2114"/>
      <c r="J4768" s="2124"/>
      <c r="K4768" s="2124"/>
      <c r="L4768" s="2119"/>
      <c r="M4768" s="2118"/>
      <c r="N4768" s="1707"/>
      <c r="O4768" s="1707"/>
      <c r="P4768" s="1707"/>
    </row>
    <row r="4769" spans="1:19" ht="12.75" hidden="1">
      <c r="A4769" s="2114"/>
      <c r="B4769" s="568" t="s">
        <v>998</v>
      </c>
      <c r="C4769" s="568"/>
      <c r="D4769" s="568"/>
      <c r="E4769" s="2187"/>
      <c r="F4769" s="188"/>
      <c r="G4769" s="2122">
        <v>2.8000000000000001E-2</v>
      </c>
      <c r="H4769" s="2117" t="s">
        <v>49</v>
      </c>
      <c r="I4769" s="2118" t="s">
        <v>49</v>
      </c>
      <c r="J4769" s="2123">
        <f>G171</f>
        <v>71150.5</v>
      </c>
      <c r="K4769" s="2123">
        <f>ROUND(G4769*J4769,2)</f>
        <v>1992.21</v>
      </c>
      <c r="L4769" s="2119"/>
      <c r="M4769" s="2118"/>
      <c r="N4769" s="1707"/>
      <c r="O4769" s="1707"/>
      <c r="P4769" s="1707"/>
      <c r="S4769" s="1709"/>
    </row>
    <row r="4770" spans="1:19" ht="12.75" hidden="1">
      <c r="A4770" s="2114"/>
      <c r="B4770" s="568"/>
      <c r="C4770" s="568"/>
      <c r="D4770" s="568"/>
      <c r="E4770" s="2187"/>
      <c r="F4770" s="188"/>
      <c r="G4770" s="2122"/>
      <c r="H4770" s="2117"/>
      <c r="I4770" s="2118"/>
      <c r="J4770" s="2126" t="s">
        <v>718</v>
      </c>
      <c r="K4770" s="2124">
        <f>SUM(K4769:K4769)</f>
        <v>1992.21</v>
      </c>
      <c r="L4770" s="2119"/>
      <c r="M4770" s="2118"/>
      <c r="N4770" s="1707"/>
      <c r="O4770" s="1707"/>
      <c r="P4770" s="1707"/>
      <c r="S4770" s="1709"/>
    </row>
    <row r="4771" spans="1:19" ht="12.75" hidden="1">
      <c r="A4771" s="2114"/>
      <c r="B4771" s="192" t="s">
        <v>954</v>
      </c>
      <c r="C4771" s="568"/>
      <c r="D4771" s="568"/>
      <c r="E4771" s="2187"/>
      <c r="F4771" s="188"/>
      <c r="G4771" s="2122"/>
      <c r="H4771" s="2117"/>
      <c r="I4771" s="2118"/>
      <c r="J4771" s="2123"/>
      <c r="K4771" s="2123"/>
      <c r="L4771" s="2119"/>
      <c r="M4771" s="2118"/>
      <c r="N4771" s="1707"/>
      <c r="O4771" s="1707"/>
      <c r="P4771" s="1707"/>
      <c r="S4771" s="1758"/>
    </row>
    <row r="4772" spans="1:19" ht="12.75" hidden="1">
      <c r="A4772" s="2114"/>
      <c r="B4772" s="568" t="s">
        <v>999</v>
      </c>
      <c r="C4772" s="568"/>
      <c r="D4772" s="568"/>
      <c r="E4772" s="2187"/>
      <c r="F4772" s="188"/>
      <c r="G4772" s="2122">
        <v>0.5</v>
      </c>
      <c r="H4772" s="2117" t="s">
        <v>262</v>
      </c>
      <c r="I4772" s="2118" t="s">
        <v>38</v>
      </c>
      <c r="J4772" s="2123">
        <f>L137</f>
        <v>495</v>
      </c>
      <c r="K4772" s="2123">
        <f>ROUND(G4772*J4772,2)</f>
        <v>247.5</v>
      </c>
      <c r="L4772" s="2119"/>
      <c r="M4772" s="2118"/>
      <c r="N4772" s="1707"/>
      <c r="O4772" s="1707"/>
      <c r="P4772" s="1707"/>
      <c r="S4772" s="1709"/>
    </row>
    <row r="4773" spans="1:19" ht="12.75" hidden="1">
      <c r="A4773" s="2114"/>
      <c r="B4773" s="568" t="s">
        <v>717</v>
      </c>
      <c r="C4773" s="568"/>
      <c r="D4773" s="568"/>
      <c r="E4773" s="2187"/>
      <c r="F4773" s="188"/>
      <c r="G4773" s="2122">
        <v>0.5</v>
      </c>
      <c r="H4773" s="2117" t="s">
        <v>262</v>
      </c>
      <c r="I4773" s="2118" t="s">
        <v>38</v>
      </c>
      <c r="J4773" s="2123">
        <f>L134</f>
        <v>345</v>
      </c>
      <c r="K4773" s="2123">
        <f>ROUND(G4773*J4773,2)</f>
        <v>172.5</v>
      </c>
      <c r="L4773" s="2119"/>
      <c r="M4773" s="2118"/>
      <c r="N4773" s="1707"/>
      <c r="O4773" s="1707"/>
      <c r="P4773" s="1707"/>
      <c r="S4773" s="1709"/>
    </row>
    <row r="4774" spans="1:19" ht="12.75" hidden="1">
      <c r="A4774" s="2114"/>
      <c r="B4774" s="568"/>
      <c r="C4774" s="568"/>
      <c r="D4774" s="568"/>
      <c r="E4774" s="2187"/>
      <c r="F4774" s="188"/>
      <c r="G4774" s="2122"/>
      <c r="H4774" s="2117"/>
      <c r="I4774" s="2118"/>
      <c r="J4774" s="2126" t="s">
        <v>718</v>
      </c>
      <c r="K4774" s="2124">
        <f>SUM(K4772:K4773)</f>
        <v>420</v>
      </c>
      <c r="L4774" s="2119"/>
      <c r="M4774" s="2118"/>
      <c r="N4774" s="1707"/>
      <c r="O4774" s="1707"/>
      <c r="P4774" s="1707"/>
    </row>
    <row r="4775" spans="1:19" ht="12.75" hidden="1">
      <c r="A4775" s="568"/>
      <c r="B4775" s="192"/>
      <c r="C4775" s="568"/>
      <c r="D4775" s="568"/>
      <c r="E4775" s="2187"/>
      <c r="F4775" s="188"/>
      <c r="G4775" s="2114"/>
      <c r="H4775" s="2119"/>
      <c r="I4775" s="2114"/>
      <c r="J4775" s="2124"/>
      <c r="K4775" s="2124"/>
      <c r="L4775" s="2119"/>
      <c r="M4775" s="2118"/>
      <c r="N4775" s="1707"/>
      <c r="O4775" s="1707"/>
      <c r="P4775" s="1707"/>
    </row>
    <row r="4776" spans="1:19" ht="12.75" hidden="1">
      <c r="A4776" s="568"/>
      <c r="B4776" s="192" t="s">
        <v>835</v>
      </c>
      <c r="C4776" s="568"/>
      <c r="D4776" s="568"/>
      <c r="E4776" s="2187"/>
      <c r="F4776" s="188"/>
      <c r="G4776" s="2114"/>
      <c r="H4776" s="2119"/>
      <c r="I4776" s="2114"/>
      <c r="J4776" s="2124"/>
      <c r="K4776" s="2124">
        <f>K4770+K4774+K4775</f>
        <v>2412.21</v>
      </c>
      <c r="L4776" s="2119"/>
      <c r="M4776" s="2118"/>
      <c r="N4776" s="1707"/>
      <c r="O4776" s="1707"/>
      <c r="P4776" s="1707"/>
    </row>
    <row r="4777" spans="1:19" ht="12.75" hidden="1">
      <c r="A4777" s="568"/>
      <c r="B4777" s="192" t="s">
        <v>1000</v>
      </c>
      <c r="C4777" s="568"/>
      <c r="D4777" s="568"/>
      <c r="E4777" s="2187"/>
      <c r="F4777" s="188"/>
      <c r="G4777" s="2114"/>
      <c r="H4777" s="2119"/>
      <c r="I4777" s="2114"/>
      <c r="J4777" s="2124"/>
      <c r="K4777" s="2124">
        <f>K4776/0.028</f>
        <v>86150.357142857145</v>
      </c>
      <c r="L4777" s="2119" t="s">
        <v>721</v>
      </c>
      <c r="M4777" s="2118"/>
      <c r="N4777" s="1707"/>
      <c r="O4777" s="1707"/>
      <c r="P4777" s="1707"/>
    </row>
    <row r="4778" spans="1:19" ht="60" hidden="1" customHeight="1">
      <c r="A4778" s="2114">
        <f>A838</f>
        <v>79</v>
      </c>
      <c r="B4778" s="3017" t="str">
        <f>B838</f>
        <v>32mm piasal wood panelled shutters (of 32mm style  with  18mm panel) including cost conveyance of all materials and labour for fitting, fixing excluding  cost  of  iron fittings  etc.complete as per the instruction of Engineer-in-Charge .</v>
      </c>
      <c r="C4778" s="3017"/>
      <c r="D4778" s="3017"/>
      <c r="E4778" s="2186" t="str">
        <f>G838</f>
        <v>Each Sqm</v>
      </c>
      <c r="F4778" s="2116"/>
      <c r="G4778" s="2122"/>
      <c r="H4778" s="568"/>
      <c r="I4778" s="2118"/>
      <c r="J4778" s="2124"/>
      <c r="K4778" s="2124"/>
      <c r="L4778" s="192"/>
      <c r="M4778" s="568"/>
    </row>
    <row r="4779" spans="1:19" ht="12.75" hidden="1">
      <c r="A4779" s="2114"/>
      <c r="B4779" s="192" t="s">
        <v>1001</v>
      </c>
      <c r="C4779" s="568"/>
      <c r="D4779" s="568"/>
      <c r="E4779" s="188"/>
      <c r="F4779" s="188"/>
      <c r="G4779" s="2114"/>
      <c r="H4779" s="2119"/>
      <c r="I4779" s="2114"/>
      <c r="J4779" s="2124"/>
      <c r="K4779" s="2124"/>
      <c r="L4779" s="2119"/>
      <c r="M4779" s="2118"/>
      <c r="N4779" s="1707"/>
      <c r="O4779" s="1707"/>
      <c r="P4779" s="1707"/>
    </row>
    <row r="4780" spans="1:19" ht="12.75" hidden="1">
      <c r="A4780" s="2114"/>
      <c r="B4780" s="192" t="s">
        <v>822</v>
      </c>
      <c r="C4780" s="568"/>
      <c r="D4780" s="568"/>
      <c r="E4780" s="188"/>
      <c r="F4780" s="188"/>
      <c r="G4780" s="2114"/>
      <c r="H4780" s="2119"/>
      <c r="I4780" s="2114"/>
      <c r="J4780" s="2124"/>
      <c r="K4780" s="2124"/>
      <c r="L4780" s="2119"/>
      <c r="M4780" s="2118"/>
      <c r="N4780" s="1707"/>
      <c r="O4780" s="1707"/>
      <c r="P4780" s="1707"/>
    </row>
    <row r="4781" spans="1:19" ht="12.75" hidden="1">
      <c r="A4781" s="2114"/>
      <c r="B4781" s="568" t="s">
        <v>3660</v>
      </c>
      <c r="C4781" s="568"/>
      <c r="D4781" s="568"/>
      <c r="E4781" s="188"/>
      <c r="F4781" s="188"/>
      <c r="G4781" s="2188">
        <v>6.6559999999999994E-2</v>
      </c>
      <c r="H4781" s="2117" t="s">
        <v>49</v>
      </c>
      <c r="I4781" s="2118" t="s">
        <v>49</v>
      </c>
      <c r="J4781" s="2123">
        <f>G82</f>
        <v>74369.67</v>
      </c>
      <c r="K4781" s="2123">
        <f>ROUND(G4781*J4781,2)</f>
        <v>4950.05</v>
      </c>
      <c r="L4781" s="2119"/>
      <c r="M4781" s="2118"/>
      <c r="N4781" s="1707"/>
      <c r="O4781" s="1707"/>
      <c r="P4781" s="1707"/>
    </row>
    <row r="4782" spans="1:19" ht="12.75" hidden="1">
      <c r="A4782" s="2114"/>
      <c r="B4782" s="568" t="s">
        <v>1002</v>
      </c>
      <c r="C4782" s="568"/>
      <c r="D4782" s="568"/>
      <c r="E4782" s="188"/>
      <c r="F4782" s="188"/>
      <c r="G4782" s="2122">
        <v>2</v>
      </c>
      <c r="H4782" s="2117" t="s">
        <v>262</v>
      </c>
      <c r="I4782" s="2118" t="s">
        <v>37</v>
      </c>
      <c r="J4782" s="2184">
        <v>12.5</v>
      </c>
      <c r="K4782" s="2123">
        <f>ROUND(G4782*J4782,2)</f>
        <v>25</v>
      </c>
      <c r="L4782" s="2119"/>
      <c r="M4782" s="2118"/>
      <c r="N4782" s="1707"/>
      <c r="O4782" s="1707"/>
      <c r="P4782" s="1707"/>
    </row>
    <row r="4783" spans="1:19" ht="12.75" hidden="1">
      <c r="A4783" s="2114"/>
      <c r="B4783" s="568"/>
      <c r="C4783" s="568"/>
      <c r="D4783" s="568"/>
      <c r="E4783" s="188"/>
      <c r="F4783" s="188"/>
      <c r="G4783" s="2122"/>
      <c r="H4783" s="2117"/>
      <c r="I4783" s="2118"/>
      <c r="J4783" s="2126" t="s">
        <v>718</v>
      </c>
      <c r="K4783" s="2124">
        <f>SUM(K4781:K4782)</f>
        <v>4975.05</v>
      </c>
      <c r="L4783" s="2119"/>
      <c r="M4783" s="2118"/>
      <c r="N4783" s="1707"/>
      <c r="O4783" s="1707"/>
      <c r="P4783" s="1707"/>
    </row>
    <row r="4784" spans="1:19" ht="12.75" hidden="1">
      <c r="A4784" s="2114"/>
      <c r="B4784" s="192" t="s">
        <v>781</v>
      </c>
      <c r="C4784" s="568"/>
      <c r="D4784" s="568"/>
      <c r="E4784" s="188"/>
      <c r="F4784" s="188"/>
      <c r="G4784" s="2122"/>
      <c r="H4784" s="2117"/>
      <c r="I4784" s="2118"/>
      <c r="J4784" s="2123"/>
      <c r="K4784" s="2123"/>
      <c r="L4784" s="2119"/>
      <c r="M4784" s="2118"/>
      <c r="N4784" s="1707"/>
      <c r="O4784" s="1707"/>
      <c r="P4784" s="1707"/>
    </row>
    <row r="4785" spans="1:16" ht="12.75" hidden="1">
      <c r="A4785" s="2114"/>
      <c r="B4785" s="568" t="s">
        <v>999</v>
      </c>
      <c r="C4785" s="568"/>
      <c r="D4785" s="568"/>
      <c r="E4785" s="188"/>
      <c r="F4785" s="188"/>
      <c r="G4785" s="2122">
        <v>3.76</v>
      </c>
      <c r="H4785" s="2117" t="s">
        <v>262</v>
      </c>
      <c r="I4785" s="2118" t="s">
        <v>38</v>
      </c>
      <c r="J4785" s="2123">
        <f>L137</f>
        <v>495</v>
      </c>
      <c r="K4785" s="2123">
        <f>ROUND(G4785*J4785,2)</f>
        <v>1861.2</v>
      </c>
      <c r="L4785" s="2119"/>
      <c r="M4785" s="2118"/>
      <c r="N4785" s="1707"/>
      <c r="O4785" s="1707"/>
      <c r="P4785" s="1707"/>
    </row>
    <row r="4786" spans="1:16" ht="12.75" hidden="1">
      <c r="A4786" s="2114"/>
      <c r="B4786" s="568" t="s">
        <v>1003</v>
      </c>
      <c r="C4786" s="568"/>
      <c r="D4786" s="568"/>
      <c r="E4786" s="188"/>
      <c r="F4786" s="188"/>
      <c r="G4786" s="2122">
        <v>3.76</v>
      </c>
      <c r="H4786" s="2117" t="s">
        <v>262</v>
      </c>
      <c r="I4786" s="2118" t="s">
        <v>38</v>
      </c>
      <c r="J4786" s="2123">
        <f>L135</f>
        <v>385</v>
      </c>
      <c r="K4786" s="2123">
        <f>ROUND(G4786*J4786,2)</f>
        <v>1447.6</v>
      </c>
      <c r="L4786" s="2119"/>
      <c r="M4786" s="2118"/>
      <c r="N4786" s="1707"/>
      <c r="O4786" s="1707"/>
      <c r="P4786" s="1707"/>
    </row>
    <row r="4787" spans="1:16" ht="12.75" hidden="1">
      <c r="A4787" s="2114"/>
      <c r="B4787" s="568" t="s">
        <v>733</v>
      </c>
      <c r="C4787" s="568"/>
      <c r="D4787" s="568"/>
      <c r="E4787" s="188"/>
      <c r="F4787" s="188"/>
      <c r="G4787" s="2122">
        <v>1</v>
      </c>
      <c r="H4787" s="2117" t="s">
        <v>262</v>
      </c>
      <c r="I4787" s="2118" t="s">
        <v>38</v>
      </c>
      <c r="J4787" s="2123">
        <f>L136</f>
        <v>435</v>
      </c>
      <c r="K4787" s="2123">
        <f>ROUND(G4787*J4787,2)</f>
        <v>435</v>
      </c>
      <c r="L4787" s="2119"/>
      <c r="M4787" s="2118"/>
      <c r="N4787" s="1707"/>
      <c r="O4787" s="1707"/>
      <c r="P4787" s="1707"/>
    </row>
    <row r="4788" spans="1:16" ht="12.75" hidden="1">
      <c r="A4788" s="2114"/>
      <c r="B4788" s="568" t="s">
        <v>717</v>
      </c>
      <c r="C4788" s="568"/>
      <c r="D4788" s="568"/>
      <c r="E4788" s="188"/>
      <c r="F4788" s="188"/>
      <c r="G4788" s="2122">
        <v>1</v>
      </c>
      <c r="H4788" s="2117" t="s">
        <v>262</v>
      </c>
      <c r="I4788" s="2118" t="s">
        <v>38</v>
      </c>
      <c r="J4788" s="2123">
        <f>L134</f>
        <v>345</v>
      </c>
      <c r="K4788" s="2123">
        <f>ROUND(G4788*J4788,2)</f>
        <v>345</v>
      </c>
      <c r="L4788" s="2119"/>
      <c r="M4788" s="2118"/>
      <c r="N4788" s="1707"/>
      <c r="O4788" s="1707"/>
      <c r="P4788" s="1707"/>
    </row>
    <row r="4789" spans="1:16" ht="12.75" hidden="1">
      <c r="A4789" s="2114"/>
      <c r="B4789" s="568"/>
      <c r="C4789" s="568"/>
      <c r="D4789" s="568"/>
      <c r="E4789" s="188"/>
      <c r="F4789" s="188"/>
      <c r="G4789" s="2122"/>
      <c r="H4789" s="2117"/>
      <c r="I4789" s="2118"/>
      <c r="J4789" s="2126" t="s">
        <v>718</v>
      </c>
      <c r="K4789" s="2124">
        <f>SUM(K4785:K4788)</f>
        <v>4088.8</v>
      </c>
      <c r="L4789" s="2119"/>
      <c r="M4789" s="2118"/>
      <c r="N4789" s="1707"/>
      <c r="O4789" s="1707"/>
      <c r="P4789" s="1707"/>
    </row>
    <row r="4790" spans="1:16" ht="12.75" hidden="1">
      <c r="A4790" s="2114"/>
      <c r="B4790" s="192"/>
      <c r="C4790" s="568"/>
      <c r="D4790" s="568"/>
      <c r="E4790" s="188"/>
      <c r="F4790" s="188"/>
      <c r="G4790" s="2114"/>
      <c r="H4790" s="2119"/>
      <c r="I4790" s="2114"/>
      <c r="J4790" s="2124"/>
      <c r="K4790" s="2124"/>
      <c r="L4790" s="2119"/>
      <c r="M4790" s="2118"/>
      <c r="N4790" s="1707"/>
      <c r="O4790" s="1707"/>
      <c r="P4790" s="1707"/>
    </row>
    <row r="4791" spans="1:16" ht="12.75" hidden="1">
      <c r="A4791" s="2114"/>
      <c r="B4791" s="192" t="s">
        <v>760</v>
      </c>
      <c r="C4791" s="568"/>
      <c r="D4791" s="568"/>
      <c r="E4791" s="188"/>
      <c r="F4791" s="188"/>
      <c r="G4791" s="2114"/>
      <c r="H4791" s="2119"/>
      <c r="I4791" s="2114"/>
      <c r="J4791" s="2124"/>
      <c r="K4791" s="2124">
        <f>K4783+K4789+K4790</f>
        <v>9063.85</v>
      </c>
      <c r="L4791" s="2119"/>
      <c r="M4791" s="2118"/>
      <c r="N4791" s="1707"/>
      <c r="O4791" s="1707"/>
      <c r="P4791" s="1707"/>
    </row>
    <row r="4792" spans="1:16" ht="12.75" hidden="1">
      <c r="A4792" s="2114"/>
      <c r="B4792" s="192" t="s">
        <v>1004</v>
      </c>
      <c r="C4792" s="568"/>
      <c r="D4792" s="568"/>
      <c r="E4792" s="188"/>
      <c r="F4792" s="188"/>
      <c r="G4792" s="2114"/>
      <c r="H4792" s="2119"/>
      <c r="I4792" s="2114"/>
      <c r="J4792" s="2124"/>
      <c r="K4792" s="2124">
        <f>K4791/1.88</f>
        <v>4821.1968085106391</v>
      </c>
      <c r="L4792" s="2119" t="s">
        <v>730</v>
      </c>
      <c r="M4792" s="2118"/>
      <c r="N4792" s="1707"/>
      <c r="O4792" s="1707"/>
      <c r="P4792" s="1707"/>
    </row>
    <row r="4793" spans="1:16" ht="57" hidden="1" customHeight="1">
      <c r="A4793" s="2114">
        <f>A839</f>
        <v>80</v>
      </c>
      <c r="B4793" s="3017" t="str">
        <f>B839</f>
        <v>Dressed seasoned sal wood work framed &amp; fixed in frames of doors &amp; windows including cost,conveyance of all materials and cost of labour for fitting, fixing etc.complete as per the instruction of Engineer-in-Charge .</v>
      </c>
      <c r="C4793" s="3017"/>
      <c r="D4793" s="3017"/>
      <c r="E4793" s="2189" t="str">
        <f>G839</f>
        <v>Each Cum</v>
      </c>
      <c r="F4793" s="2116"/>
      <c r="G4793" s="2122"/>
      <c r="H4793" s="568"/>
      <c r="I4793" s="2118"/>
      <c r="J4793" s="2124"/>
      <c r="K4793" s="2124"/>
      <c r="L4793" s="192"/>
      <c r="M4793" s="568"/>
    </row>
    <row r="4794" spans="1:16" ht="12.75" hidden="1">
      <c r="A4794" s="2114" t="s">
        <v>468</v>
      </c>
      <c r="B4794" s="192" t="s">
        <v>1005</v>
      </c>
      <c r="C4794" s="568"/>
      <c r="D4794" s="568"/>
      <c r="E4794" s="188"/>
      <c r="F4794" s="188"/>
      <c r="G4794" s="2177"/>
      <c r="H4794" s="2190">
        <f>G173</f>
        <v>1108</v>
      </c>
      <c r="I4794" s="192" t="s">
        <v>1006</v>
      </c>
      <c r="J4794" s="192"/>
      <c r="K4794" s="2124"/>
      <c r="L4794" s="2119"/>
      <c r="M4794" s="2118"/>
      <c r="N4794" s="1707"/>
      <c r="O4794" s="1707"/>
      <c r="P4794" s="1707"/>
    </row>
    <row r="4795" spans="1:16" ht="12.75" hidden="1">
      <c r="A4795" s="568"/>
      <c r="B4795" s="192" t="s">
        <v>1007</v>
      </c>
      <c r="C4795" s="568"/>
      <c r="D4795" s="568"/>
      <c r="E4795" s="188"/>
      <c r="F4795" s="188"/>
      <c r="G4795" s="568"/>
      <c r="H4795" s="2117"/>
      <c r="I4795" s="2118"/>
      <c r="J4795" s="192"/>
      <c r="K4795" s="2124">
        <f>H4794/0.0283</f>
        <v>39151.943462897529</v>
      </c>
      <c r="L4795" s="2119"/>
      <c r="M4795" s="2118"/>
      <c r="N4795" s="1707"/>
      <c r="O4795" s="1707"/>
      <c r="P4795" s="1707"/>
    </row>
    <row r="4796" spans="1:16" ht="12.75" hidden="1">
      <c r="A4796" s="568"/>
      <c r="B4796" s="192" t="s">
        <v>1008</v>
      </c>
      <c r="C4796" s="568"/>
      <c r="D4796" s="568"/>
      <c r="E4796" s="188"/>
      <c r="F4796" s="188"/>
      <c r="G4796" s="568"/>
      <c r="H4796" s="2117"/>
      <c r="I4796" s="2118"/>
      <c r="J4796" s="192"/>
      <c r="K4796" s="2124">
        <f>K4795*12%</f>
        <v>4698.2332155477034</v>
      </c>
      <c r="L4796" s="2119"/>
      <c r="M4796" s="2118"/>
      <c r="N4796" s="1707"/>
      <c r="O4796" s="1707"/>
      <c r="P4796" s="1707"/>
    </row>
    <row r="4797" spans="1:16" ht="12.75" hidden="1">
      <c r="A4797" s="568"/>
      <c r="B4797" s="568"/>
      <c r="C4797" s="568"/>
      <c r="D4797" s="568"/>
      <c r="E4797" s="188"/>
      <c r="F4797" s="188"/>
      <c r="G4797" s="568"/>
      <c r="H4797" s="2117"/>
      <c r="I4797" s="2118"/>
      <c r="J4797" s="2126" t="s">
        <v>718</v>
      </c>
      <c r="K4797" s="2124">
        <f>SUM(K4795:K4796)</f>
        <v>43850.176678445234</v>
      </c>
      <c r="L4797" s="2119"/>
      <c r="M4797" s="2118"/>
      <c r="N4797" s="1707"/>
      <c r="O4797" s="1707"/>
      <c r="P4797" s="1707"/>
    </row>
    <row r="4798" spans="1:16" ht="12.75" hidden="1">
      <c r="A4798" s="2114" t="s">
        <v>470</v>
      </c>
      <c r="B4798" s="192" t="s">
        <v>1009</v>
      </c>
      <c r="C4798" s="568"/>
      <c r="D4798" s="568"/>
      <c r="E4798" s="188"/>
      <c r="F4798" s="188"/>
      <c r="G4798" s="568"/>
      <c r="H4798" s="2117"/>
      <c r="I4798" s="2118"/>
      <c r="J4798" s="192"/>
      <c r="K4798" s="2124"/>
      <c r="L4798" s="2119"/>
      <c r="M4798" s="2118"/>
      <c r="N4798" s="1707"/>
      <c r="O4798" s="1707"/>
      <c r="P4798" s="1707"/>
    </row>
    <row r="4799" spans="1:16" ht="12.75" hidden="1">
      <c r="A4799" s="568"/>
      <c r="B4799" s="192" t="s">
        <v>997</v>
      </c>
      <c r="C4799" s="192"/>
      <c r="D4799" s="2118"/>
      <c r="E4799" s="2191"/>
      <c r="F4799" s="2191"/>
      <c r="G4799" s="2118"/>
      <c r="H4799" s="2192"/>
      <c r="I4799" s="2134"/>
      <c r="J4799" s="2123"/>
      <c r="K4799" s="2123"/>
      <c r="L4799" s="192"/>
      <c r="M4799" s="2118"/>
      <c r="N4799" s="1707"/>
      <c r="O4799" s="1707"/>
      <c r="P4799" s="1707"/>
    </row>
    <row r="4800" spans="1:16" ht="12.75" hidden="1">
      <c r="A4800" s="568"/>
      <c r="B4800" s="192" t="s">
        <v>1010</v>
      </c>
      <c r="C4800" s="192"/>
      <c r="D4800" s="2118"/>
      <c r="E4800" s="2191"/>
      <c r="F4800" s="2191"/>
      <c r="G4800" s="2118"/>
      <c r="H4800" s="2192"/>
      <c r="I4800" s="2134"/>
      <c r="J4800" s="2123"/>
      <c r="K4800" s="2123"/>
      <c r="L4800" s="192"/>
      <c r="M4800" s="2118"/>
      <c r="N4800" s="1707"/>
      <c r="O4800" s="1707"/>
      <c r="P4800" s="1707"/>
    </row>
    <row r="4801" spans="1:16" ht="12.75" hidden="1">
      <c r="A4801" s="568"/>
      <c r="B4801" s="568" t="s">
        <v>1011</v>
      </c>
      <c r="C4801" s="568"/>
      <c r="D4801" s="568"/>
      <c r="E4801" s="188"/>
      <c r="F4801" s="188"/>
      <c r="G4801" s="2122">
        <v>0.5</v>
      </c>
      <c r="H4801" s="2117" t="s">
        <v>262</v>
      </c>
      <c r="I4801" s="2118" t="s">
        <v>38</v>
      </c>
      <c r="J4801" s="2123">
        <f>L137</f>
        <v>495</v>
      </c>
      <c r="K4801" s="2123">
        <f>ROUND(G4801*J4801,2)</f>
        <v>247.5</v>
      </c>
      <c r="L4801" s="192"/>
      <c r="M4801" s="2118"/>
      <c r="N4801" s="1707"/>
      <c r="O4801" s="1707"/>
      <c r="P4801" s="1707"/>
    </row>
    <row r="4802" spans="1:16" ht="12.75" hidden="1">
      <c r="A4802" s="568"/>
      <c r="B4802" s="568" t="s">
        <v>717</v>
      </c>
      <c r="C4802" s="568"/>
      <c r="D4802" s="568"/>
      <c r="E4802" s="188"/>
      <c r="F4802" s="188"/>
      <c r="G4802" s="2122">
        <v>0.5</v>
      </c>
      <c r="H4802" s="2117" t="s">
        <v>262</v>
      </c>
      <c r="I4802" s="2118" t="s">
        <v>38</v>
      </c>
      <c r="J4802" s="2123">
        <f>L134</f>
        <v>345</v>
      </c>
      <c r="K4802" s="2123">
        <f>ROUND(G4802*J4802,2)</f>
        <v>172.5</v>
      </c>
      <c r="L4802" s="192"/>
      <c r="M4802" s="2118"/>
      <c r="N4802" s="1707"/>
      <c r="O4802" s="1707"/>
      <c r="P4802" s="1707"/>
    </row>
    <row r="4803" spans="1:16" ht="12.75" hidden="1">
      <c r="A4803" s="568"/>
      <c r="B4803" s="568"/>
      <c r="C4803" s="568"/>
      <c r="D4803" s="568"/>
      <c r="E4803" s="188"/>
      <c r="F4803" s="188"/>
      <c r="G4803" s="2122"/>
      <c r="H4803" s="2117"/>
      <c r="I4803" s="2118"/>
      <c r="J4803" s="2126" t="s">
        <v>718</v>
      </c>
      <c r="K4803" s="2124">
        <f>SUM(K4801:K4802)</f>
        <v>420</v>
      </c>
      <c r="L4803" s="192"/>
      <c r="M4803" s="2118"/>
      <c r="N4803" s="1707"/>
      <c r="O4803" s="1707"/>
      <c r="P4803" s="1707"/>
    </row>
    <row r="4804" spans="1:16" ht="12.75" hidden="1">
      <c r="A4804" s="568"/>
      <c r="B4804" s="192" t="s">
        <v>1012</v>
      </c>
      <c r="C4804" s="568"/>
      <c r="D4804" s="568"/>
      <c r="E4804" s="188"/>
      <c r="F4804" s="188"/>
      <c r="G4804" s="2122"/>
      <c r="H4804" s="2117"/>
      <c r="I4804" s="2118"/>
      <c r="J4804" s="2126"/>
      <c r="K4804" s="2124">
        <f>K4803*1*30%</f>
        <v>126</v>
      </c>
      <c r="L4804" s="192"/>
      <c r="M4804" s="2118"/>
      <c r="N4804" s="1707"/>
      <c r="O4804" s="1707"/>
      <c r="P4804" s="1707"/>
    </row>
    <row r="4805" spans="1:16" ht="12.75" hidden="1">
      <c r="A4805" s="568"/>
      <c r="B4805" s="192"/>
      <c r="C4805" s="192"/>
      <c r="D4805" s="568"/>
      <c r="E4805" s="188"/>
      <c r="F4805" s="188"/>
      <c r="G4805" s="2122"/>
      <c r="H4805" s="2117"/>
      <c r="I4805" s="2118"/>
      <c r="J4805" s="2123"/>
      <c r="K4805" s="2124"/>
      <c r="L4805" s="192"/>
      <c r="M4805" s="2118"/>
      <c r="N4805" s="1707"/>
      <c r="O4805" s="1707"/>
      <c r="P4805" s="1707"/>
    </row>
    <row r="4806" spans="1:16" ht="12.75" hidden="1">
      <c r="A4806" s="568"/>
      <c r="B4806" s="192" t="s">
        <v>1013</v>
      </c>
      <c r="C4806" s="192"/>
      <c r="D4806" s="568"/>
      <c r="E4806" s="188"/>
      <c r="F4806" s="188"/>
      <c r="G4806" s="568">
        <v>2.8000000000000001E-2</v>
      </c>
      <c r="H4806" s="2117" t="s">
        <v>49</v>
      </c>
      <c r="I4806" s="2118" t="s">
        <v>49</v>
      </c>
      <c r="J4806" s="2123">
        <f>I83</f>
        <v>340.976</v>
      </c>
      <c r="K4806" s="2123">
        <f>ROUND(G4806*J4806,2)</f>
        <v>9.5500000000000007</v>
      </c>
      <c r="L4806" s="192"/>
      <c r="M4806" s="2118"/>
      <c r="N4806" s="1707"/>
      <c r="O4806" s="1707"/>
      <c r="P4806" s="1707"/>
    </row>
    <row r="4807" spans="1:16" ht="12.75" hidden="1">
      <c r="A4807" s="568"/>
      <c r="B4807" s="192" t="s">
        <v>1014</v>
      </c>
      <c r="C4807" s="192"/>
      <c r="D4807" s="568"/>
      <c r="E4807" s="188"/>
      <c r="F4807" s="188"/>
      <c r="G4807" s="568"/>
      <c r="H4807" s="2117"/>
      <c r="I4807" s="2118"/>
      <c r="J4807" s="2123"/>
      <c r="K4807" s="2124">
        <f>K4804+K4805+K4806</f>
        <v>135.55000000000001</v>
      </c>
      <c r="L4807" s="192"/>
      <c r="M4807" s="2118"/>
      <c r="N4807" s="1707"/>
      <c r="O4807" s="1707"/>
      <c r="P4807" s="1707"/>
    </row>
    <row r="4808" spans="1:16" ht="12.75" hidden="1">
      <c r="A4808" s="568"/>
      <c r="B4808" s="192" t="s">
        <v>1015</v>
      </c>
      <c r="C4808" s="192"/>
      <c r="D4808" s="568"/>
      <c r="E4808" s="188"/>
      <c r="F4808" s="188"/>
      <c r="G4808" s="2178">
        <f>K4807</f>
        <v>135.55000000000001</v>
      </c>
      <c r="H4808" s="2117" t="s">
        <v>1016</v>
      </c>
      <c r="I4808" s="2118" t="s">
        <v>1016</v>
      </c>
      <c r="J4808" s="568">
        <v>2.8000000000000001E-2</v>
      </c>
      <c r="K4808" s="2124">
        <f>G4808/J4808</f>
        <v>4841.0714285714284</v>
      </c>
      <c r="L4808" s="192"/>
      <c r="M4808" s="2118"/>
      <c r="N4808" s="1707"/>
      <c r="O4808" s="1707"/>
      <c r="P4808" s="1707"/>
    </row>
    <row r="4809" spans="1:16" ht="12.75" hidden="1">
      <c r="A4809" s="568"/>
      <c r="B4809" s="192" t="s">
        <v>1017</v>
      </c>
      <c r="C4809" s="192"/>
      <c r="D4809" s="568"/>
      <c r="E4809" s="188"/>
      <c r="F4809" s="188"/>
      <c r="G4809" s="2178"/>
      <c r="H4809" s="2117"/>
      <c r="I4809" s="2118"/>
      <c r="J4809" s="2126" t="s">
        <v>718</v>
      </c>
      <c r="K4809" s="2124">
        <f>K4797+K4808</f>
        <v>48691.248107016661</v>
      </c>
      <c r="L4809" s="2119" t="s">
        <v>721</v>
      </c>
      <c r="M4809" s="2118"/>
      <c r="N4809" s="1707"/>
      <c r="O4809" s="1707"/>
      <c r="P4809" s="1707"/>
    </row>
    <row r="4810" spans="1:16" ht="61.15" hidden="1" customHeight="1">
      <c r="A4810" s="2114">
        <f>A840</f>
        <v>81</v>
      </c>
      <c r="B4810" s="3017" t="str">
        <f>B840</f>
        <v>32mm piasal wood panelled shutters (of 32mm style  with  18mm panel) including cost conveyance of all materials and labour for fitting, fixing excluding  cost  of  iron fittings  etc.complete as per the instruction of Engineer-in-Charge .</v>
      </c>
      <c r="C4810" s="3017"/>
      <c r="D4810" s="3017"/>
      <c r="E4810" s="2116" t="str">
        <f>G840</f>
        <v>Each Sqm</v>
      </c>
      <c r="F4810" s="2116"/>
      <c r="G4810" s="2122"/>
      <c r="H4810" s="568"/>
      <c r="I4810" s="2118"/>
      <c r="J4810" s="2124"/>
      <c r="K4810" s="2124"/>
      <c r="L4810" s="192"/>
      <c r="M4810" s="568"/>
    </row>
    <row r="4811" spans="1:16" ht="12.75" hidden="1">
      <c r="A4811" s="2114" t="s">
        <v>468</v>
      </c>
      <c r="B4811" s="192" t="s">
        <v>1018</v>
      </c>
      <c r="C4811" s="568"/>
      <c r="D4811" s="568"/>
      <c r="E4811" s="188"/>
      <c r="F4811" s="188"/>
      <c r="G4811" s="2177"/>
      <c r="H4811" s="2193">
        <f>M173</f>
        <v>5100</v>
      </c>
      <c r="I4811" s="2114" t="s">
        <v>1019</v>
      </c>
      <c r="J4811" s="192"/>
      <c r="K4811" s="2124"/>
      <c r="L4811" s="2119"/>
      <c r="M4811" s="2118"/>
      <c r="N4811" s="1707"/>
      <c r="O4811" s="1707"/>
      <c r="P4811" s="1707"/>
    </row>
    <row r="4812" spans="1:16" ht="12.75" hidden="1">
      <c r="A4812" s="568"/>
      <c r="B4812" s="568" t="s">
        <v>1020</v>
      </c>
      <c r="C4812" s="568"/>
      <c r="D4812" s="568"/>
      <c r="E4812" s="188"/>
      <c r="F4812" s="188"/>
      <c r="G4812" s="568"/>
      <c r="H4812" s="2117"/>
      <c r="I4812" s="2118"/>
      <c r="J4812" s="192"/>
      <c r="K4812" s="2124">
        <f>H4811/0.0929</f>
        <v>54897.739504843921</v>
      </c>
      <c r="L4812" s="2119"/>
      <c r="M4812" s="2118"/>
      <c r="N4812" s="1707"/>
      <c r="O4812" s="1707"/>
      <c r="P4812" s="1707"/>
    </row>
    <row r="4813" spans="1:16" ht="12.75" hidden="1">
      <c r="A4813" s="568"/>
      <c r="B4813" s="568" t="s">
        <v>1008</v>
      </c>
      <c r="C4813" s="568"/>
      <c r="D4813" s="568"/>
      <c r="E4813" s="188"/>
      <c r="F4813" s="188"/>
      <c r="G4813" s="568"/>
      <c r="H4813" s="2117"/>
      <c r="I4813" s="2118"/>
      <c r="J4813" s="192"/>
      <c r="K4813" s="2124">
        <f>K4812*12%</f>
        <v>6587.7287405812704</v>
      </c>
      <c r="L4813" s="2119"/>
      <c r="M4813" s="2118"/>
      <c r="N4813" s="1707"/>
      <c r="O4813" s="1707"/>
      <c r="P4813" s="1707"/>
    </row>
    <row r="4814" spans="1:16" ht="12.75" hidden="1">
      <c r="A4814" s="568"/>
      <c r="B4814" s="568"/>
      <c r="C4814" s="568"/>
      <c r="D4814" s="568"/>
      <c r="E4814" s="188"/>
      <c r="F4814" s="188"/>
      <c r="G4814" s="568"/>
      <c r="H4814" s="2117"/>
      <c r="I4814" s="2118"/>
      <c r="J4814" s="2126" t="s">
        <v>718</v>
      </c>
      <c r="K4814" s="2124">
        <f>SUM(K4812:K4813)</f>
        <v>61485.468245425189</v>
      </c>
      <c r="L4814" s="2119"/>
      <c r="M4814" s="2118"/>
      <c r="N4814" s="1707"/>
      <c r="O4814" s="1707"/>
      <c r="P4814" s="1707"/>
    </row>
    <row r="4815" spans="1:16" ht="12.75" hidden="1">
      <c r="A4815" s="2114" t="s">
        <v>470</v>
      </c>
      <c r="B4815" s="192" t="s">
        <v>1009</v>
      </c>
      <c r="C4815" s="568"/>
      <c r="D4815" s="568"/>
      <c r="E4815" s="188"/>
      <c r="F4815" s="188"/>
      <c r="G4815" s="568"/>
      <c r="H4815" s="2117"/>
      <c r="I4815" s="2118"/>
      <c r="J4815" s="2126"/>
      <c r="K4815" s="2124"/>
      <c r="L4815" s="2119"/>
      <c r="M4815" s="2118"/>
      <c r="N4815" s="1707"/>
      <c r="O4815" s="1707"/>
      <c r="P4815" s="1707"/>
    </row>
    <row r="4816" spans="1:16" ht="12.75" hidden="1">
      <c r="A4816" s="2114"/>
      <c r="B4816" s="192" t="s">
        <v>1021</v>
      </c>
      <c r="C4816" s="192"/>
      <c r="D4816" s="2118"/>
      <c r="E4816" s="2191"/>
      <c r="F4816" s="2191"/>
      <c r="G4816" s="2118"/>
      <c r="H4816" s="2192"/>
      <c r="I4816" s="2134"/>
      <c r="J4816" s="2123"/>
      <c r="K4816" s="2123"/>
      <c r="L4816" s="192"/>
      <c r="M4816" s="2118"/>
      <c r="N4816" s="1707"/>
      <c r="O4816" s="1707"/>
      <c r="P4816" s="1707"/>
    </row>
    <row r="4817" spans="1:16" ht="12.75" hidden="1">
      <c r="A4817" s="2114"/>
      <c r="B4817" s="192" t="s">
        <v>954</v>
      </c>
      <c r="C4817" s="192"/>
      <c r="D4817" s="2118"/>
      <c r="E4817" s="2191"/>
      <c r="F4817" s="2191"/>
      <c r="G4817" s="2118"/>
      <c r="H4817" s="2192"/>
      <c r="I4817" s="2134"/>
      <c r="J4817" s="2123"/>
      <c r="K4817" s="2123"/>
      <c r="L4817" s="192"/>
      <c r="M4817" s="2118"/>
      <c r="N4817" s="1707"/>
      <c r="O4817" s="1707"/>
      <c r="P4817" s="1707"/>
    </row>
    <row r="4818" spans="1:16" ht="12.75" hidden="1">
      <c r="A4818" s="2114"/>
      <c r="B4818" s="568" t="s">
        <v>733</v>
      </c>
      <c r="C4818" s="568"/>
      <c r="D4818" s="568"/>
      <c r="E4818" s="188"/>
      <c r="F4818" s="188"/>
      <c r="G4818" s="2122">
        <v>1</v>
      </c>
      <c r="H4818" s="2117" t="s">
        <v>262</v>
      </c>
      <c r="I4818" s="2118" t="s">
        <v>38</v>
      </c>
      <c r="J4818" s="2123">
        <f>L136</f>
        <v>435</v>
      </c>
      <c r="K4818" s="2123">
        <f>ROUND(G4818*J4818,2)</f>
        <v>435</v>
      </c>
      <c r="L4818" s="192"/>
      <c r="M4818" s="2118"/>
      <c r="N4818" s="1707"/>
      <c r="O4818" s="1707"/>
      <c r="P4818" s="1707"/>
    </row>
    <row r="4819" spans="1:16" ht="12.75" hidden="1">
      <c r="A4819" s="2114"/>
      <c r="B4819" s="568" t="s">
        <v>717</v>
      </c>
      <c r="C4819" s="568"/>
      <c r="D4819" s="568"/>
      <c r="E4819" s="188"/>
      <c r="F4819" s="188"/>
      <c r="G4819" s="2122">
        <v>1</v>
      </c>
      <c r="H4819" s="2117" t="s">
        <v>262</v>
      </c>
      <c r="I4819" s="2118" t="s">
        <v>38</v>
      </c>
      <c r="J4819" s="2123">
        <f>L134</f>
        <v>345</v>
      </c>
      <c r="K4819" s="2123">
        <f>ROUND(G4819*J4819,2)</f>
        <v>345</v>
      </c>
      <c r="L4819" s="192"/>
      <c r="M4819" s="2118"/>
      <c r="N4819" s="1707"/>
      <c r="O4819" s="1707"/>
      <c r="P4819" s="1707"/>
    </row>
    <row r="4820" spans="1:16" ht="12.75" hidden="1">
      <c r="A4820" s="2114"/>
      <c r="B4820" s="568"/>
      <c r="C4820" s="568"/>
      <c r="D4820" s="568"/>
      <c r="E4820" s="188"/>
      <c r="F4820" s="188"/>
      <c r="G4820" s="2122"/>
      <c r="H4820" s="2117"/>
      <c r="I4820" s="2118"/>
      <c r="J4820" s="2126" t="s">
        <v>718</v>
      </c>
      <c r="K4820" s="2124">
        <f>SUM(K4818:K4819)</f>
        <v>780</v>
      </c>
      <c r="L4820" s="192"/>
      <c r="M4820" s="2118"/>
      <c r="N4820" s="1707"/>
      <c r="O4820" s="1707"/>
      <c r="P4820" s="1707"/>
    </row>
    <row r="4821" spans="1:16" ht="12.75" hidden="1">
      <c r="A4821" s="568"/>
      <c r="B4821" s="192"/>
      <c r="C4821" s="192"/>
      <c r="D4821" s="568"/>
      <c r="E4821" s="188"/>
      <c r="F4821" s="188"/>
      <c r="G4821" s="2122"/>
      <c r="H4821" s="2117"/>
      <c r="I4821" s="2118"/>
      <c r="J4821" s="2123"/>
      <c r="K4821" s="2124"/>
      <c r="L4821" s="192"/>
      <c r="M4821" s="2118"/>
      <c r="N4821" s="1707"/>
      <c r="O4821" s="1707"/>
      <c r="P4821" s="1707"/>
    </row>
    <row r="4822" spans="1:16" ht="12.75" hidden="1">
      <c r="A4822" s="568"/>
      <c r="B4822" s="192" t="s">
        <v>1013</v>
      </c>
      <c r="C4822" s="192"/>
      <c r="D4822" s="568"/>
      <c r="E4822" s="188"/>
      <c r="F4822" s="188"/>
      <c r="G4822" s="568">
        <v>6.6559999999999994E-2</v>
      </c>
      <c r="H4822" s="2117" t="s">
        <v>49</v>
      </c>
      <c r="I4822" s="2118" t="s">
        <v>49</v>
      </c>
      <c r="J4822" s="2123">
        <f>I83</f>
        <v>340.976</v>
      </c>
      <c r="K4822" s="2123">
        <f>ROUND(G4822*J4822,2)</f>
        <v>22.7</v>
      </c>
      <c r="L4822" s="192"/>
      <c r="M4822" s="2118"/>
      <c r="N4822" s="1707"/>
      <c r="O4822" s="1707"/>
      <c r="P4822" s="1707"/>
    </row>
    <row r="4823" spans="1:16" ht="12.75" hidden="1">
      <c r="A4823" s="568"/>
      <c r="B4823" s="192" t="s">
        <v>1022</v>
      </c>
      <c r="C4823" s="568"/>
      <c r="D4823" s="568"/>
      <c r="E4823" s="188"/>
      <c r="F4823" s="188"/>
      <c r="G4823" s="2122">
        <v>2</v>
      </c>
      <c r="H4823" s="2117" t="s">
        <v>262</v>
      </c>
      <c r="I4823" s="2118" t="s">
        <v>262</v>
      </c>
      <c r="J4823" s="2184">
        <v>12.5</v>
      </c>
      <c r="K4823" s="2123">
        <f>ROUND(G4823*J4823,2)</f>
        <v>25</v>
      </c>
      <c r="L4823" s="192"/>
      <c r="M4823" s="2118"/>
      <c r="N4823" s="1707"/>
      <c r="O4823" s="1707"/>
      <c r="P4823" s="1707"/>
    </row>
    <row r="4824" spans="1:16" ht="12.75" hidden="1">
      <c r="A4824" s="568"/>
      <c r="B4824" s="192" t="s">
        <v>1023</v>
      </c>
      <c r="C4824" s="192"/>
      <c r="D4824" s="568"/>
      <c r="E4824" s="188"/>
      <c r="F4824" s="188"/>
      <c r="G4824" s="568"/>
      <c r="H4824" s="2117"/>
      <c r="I4824" s="2118"/>
      <c r="J4824" s="2123"/>
      <c r="K4824" s="2124">
        <f>K4820+K4821+K4822+K4823</f>
        <v>827.7</v>
      </c>
      <c r="L4824" s="192"/>
      <c r="M4824" s="2118"/>
      <c r="N4824" s="1707"/>
      <c r="O4824" s="1707"/>
      <c r="P4824" s="1707"/>
    </row>
    <row r="4825" spans="1:16" ht="12.75" hidden="1">
      <c r="A4825" s="568"/>
      <c r="B4825" s="192" t="s">
        <v>1024</v>
      </c>
      <c r="C4825" s="192"/>
      <c r="D4825" s="568"/>
      <c r="E4825" s="188"/>
      <c r="F4825" s="188"/>
      <c r="G4825" s="2178">
        <f>K4824</f>
        <v>827.7</v>
      </c>
      <c r="H4825" s="2117" t="s">
        <v>1016</v>
      </c>
      <c r="I4825" s="2118" t="s">
        <v>1016</v>
      </c>
      <c r="J4825" s="568">
        <v>1.88</v>
      </c>
      <c r="K4825" s="2124">
        <f>G4825/J4825</f>
        <v>440.26595744680856</v>
      </c>
      <c r="L4825" s="192"/>
      <c r="M4825" s="2118"/>
      <c r="N4825" s="1707"/>
      <c r="O4825" s="1707"/>
      <c r="P4825" s="1707"/>
    </row>
    <row r="4826" spans="1:16" ht="12.75" hidden="1">
      <c r="A4826" s="568"/>
      <c r="B4826" s="192" t="s">
        <v>1017</v>
      </c>
      <c r="C4826" s="192"/>
      <c r="D4826" s="568"/>
      <c r="E4826" s="188"/>
      <c r="F4826" s="188"/>
      <c r="G4826" s="2178"/>
      <c r="H4826" s="2117"/>
      <c r="I4826" s="2118"/>
      <c r="J4826" s="2126" t="s">
        <v>718</v>
      </c>
      <c r="K4826" s="2124">
        <f>K4812+K4825</f>
        <v>55338.005462290726</v>
      </c>
      <c r="L4826" s="2119" t="s">
        <v>730</v>
      </c>
      <c r="M4826" s="2118"/>
      <c r="N4826" s="1707"/>
      <c r="O4826" s="1707"/>
      <c r="P4826" s="1707"/>
    </row>
    <row r="4827" spans="1:16" ht="44.45" hidden="1" customHeight="1">
      <c r="A4827" s="2114">
        <f>A841</f>
        <v>82</v>
      </c>
      <c r="B4827" s="3017" t="str">
        <f>B841</f>
        <v>Supplying of M.S. Grills etc including cost,conveyance of all materials etc.complete as per the instruction of Engineer-in-Charge .</v>
      </c>
      <c r="C4827" s="3017"/>
      <c r="D4827" s="3017"/>
      <c r="E4827" s="2116" t="str">
        <f>G841</f>
        <v>Each Qtl</v>
      </c>
      <c r="F4827" s="2116"/>
      <c r="G4827" s="2122"/>
      <c r="H4827" s="568"/>
      <c r="I4827" s="2118"/>
      <c r="J4827" s="2124"/>
      <c r="K4827" s="2124"/>
      <c r="L4827" s="192"/>
      <c r="M4827" s="568"/>
    </row>
    <row r="4828" spans="1:16" ht="12.75" hidden="1">
      <c r="A4828" s="568"/>
      <c r="B4828" s="192" t="s">
        <v>1025</v>
      </c>
      <c r="C4828" s="192"/>
      <c r="D4828" s="568"/>
      <c r="E4828" s="188"/>
      <c r="F4828" s="188"/>
      <c r="G4828" s="2118"/>
      <c r="H4828" s="2117"/>
      <c r="I4828" s="2118"/>
      <c r="J4828" s="568"/>
      <c r="K4828" s="568"/>
      <c r="L4828" s="192"/>
      <c r="M4828" s="568"/>
    </row>
    <row r="4829" spans="1:16" ht="12.75" hidden="1">
      <c r="A4829" s="568"/>
      <c r="B4829" s="192" t="s">
        <v>1026</v>
      </c>
      <c r="C4829" s="568"/>
      <c r="D4829" s="568"/>
      <c r="E4829" s="2191"/>
      <c r="F4829" s="2191"/>
      <c r="G4829" s="2176">
        <v>1</v>
      </c>
      <c r="H4829" s="2192" t="s">
        <v>247</v>
      </c>
      <c r="I4829" s="2118" t="s">
        <v>247</v>
      </c>
      <c r="J4829" s="2184">
        <v>7500</v>
      </c>
      <c r="K4829" s="2123">
        <f>ROUND(G4829*J4829,2)</f>
        <v>7500</v>
      </c>
      <c r="L4829" s="192"/>
      <c r="M4829" s="568"/>
    </row>
    <row r="4830" spans="1:16" ht="12.75" hidden="1">
      <c r="A4830" s="568"/>
      <c r="B4830" s="192" t="s">
        <v>1027</v>
      </c>
      <c r="C4830" s="568"/>
      <c r="D4830" s="568"/>
      <c r="E4830" s="2191"/>
      <c r="F4830" s="2191"/>
      <c r="G4830" s="2176"/>
      <c r="H4830" s="2192"/>
      <c r="I4830" s="2118"/>
      <c r="J4830" s="2123"/>
      <c r="K4830" s="2123">
        <f>K4829*14.5%</f>
        <v>1087.5</v>
      </c>
      <c r="L4830" s="192"/>
      <c r="M4830" s="568"/>
    </row>
    <row r="4831" spans="1:16" ht="12.75" hidden="1">
      <c r="A4831" s="568"/>
      <c r="B4831" s="192" t="s">
        <v>1028</v>
      </c>
      <c r="C4831" s="568"/>
      <c r="D4831" s="568"/>
      <c r="E4831" s="2191"/>
      <c r="F4831" s="2191"/>
      <c r="G4831" s="2176">
        <f>G4829</f>
        <v>1</v>
      </c>
      <c r="H4831" s="2192" t="s">
        <v>247</v>
      </c>
      <c r="I4831" s="2118" t="s">
        <v>247</v>
      </c>
      <c r="J4831" s="2123">
        <f>I51/10</f>
        <v>42.622</v>
      </c>
      <c r="K4831" s="2123">
        <f>ROUND(G4831*J4831,2)</f>
        <v>42.62</v>
      </c>
      <c r="L4831" s="192"/>
      <c r="M4831" s="568"/>
    </row>
    <row r="4832" spans="1:16" ht="12.75" hidden="1">
      <c r="A4832" s="568"/>
      <c r="B4832" s="192" t="s">
        <v>1029</v>
      </c>
      <c r="C4832" s="568"/>
      <c r="D4832" s="568"/>
      <c r="E4832" s="2191"/>
      <c r="F4832" s="2191"/>
      <c r="G4832" s="2118"/>
      <c r="H4832" s="2194"/>
      <c r="I4832" s="2126"/>
      <c r="J4832" s="2114"/>
      <c r="K4832" s="2124"/>
      <c r="L4832" s="192"/>
      <c r="M4832" s="568"/>
    </row>
    <row r="4833" spans="1:20" ht="12.75" hidden="1">
      <c r="A4833" s="568"/>
      <c r="B4833" s="568" t="s">
        <v>1030</v>
      </c>
      <c r="C4833" s="192"/>
      <c r="D4833" s="568"/>
      <c r="E4833" s="2191"/>
      <c r="F4833" s="2191"/>
      <c r="G4833" s="2118"/>
      <c r="H4833" s="2192"/>
      <c r="I4833" s="2195">
        <f>T4835</f>
        <v>37.011764705882349</v>
      </c>
      <c r="J4833" s="2123"/>
      <c r="K4833" s="2124"/>
      <c r="L4833" s="192"/>
      <c r="M4833" s="568"/>
      <c r="Q4833" s="1705">
        <v>85</v>
      </c>
      <c r="T4833" s="1991">
        <v>12.1</v>
      </c>
    </row>
    <row r="4834" spans="1:20" ht="12.75" hidden="1">
      <c r="A4834" s="568"/>
      <c r="B4834" s="192" t="s">
        <v>910</v>
      </c>
      <c r="C4834" s="192"/>
      <c r="D4834" s="568"/>
      <c r="E4834" s="188"/>
      <c r="F4834" s="188"/>
      <c r="G4834" s="2134">
        <f>I4833</f>
        <v>37.011764705882349</v>
      </c>
      <c r="H4834" s="2134" t="s">
        <v>1016</v>
      </c>
      <c r="I4834" s="2134"/>
      <c r="J4834" s="2123">
        <v>0.25</v>
      </c>
      <c r="K4834" s="2123">
        <f>G4834/J4834</f>
        <v>148.0470588235294</v>
      </c>
      <c r="L4834" s="192"/>
      <c r="M4834" s="568"/>
      <c r="Q4834" s="1705">
        <v>1</v>
      </c>
      <c r="T4834" s="1706">
        <f>T4833/Q4833</f>
        <v>0.14235294117647057</v>
      </c>
    </row>
    <row r="4835" spans="1:20" ht="12.75" hidden="1">
      <c r="A4835" s="568"/>
      <c r="B4835" s="192" t="s">
        <v>1031</v>
      </c>
      <c r="C4835" s="192"/>
      <c r="D4835" s="568"/>
      <c r="E4835" s="188"/>
      <c r="F4835" s="188"/>
      <c r="G4835" s="2134"/>
      <c r="H4835" s="2192"/>
      <c r="I4835" s="2134"/>
      <c r="J4835" s="2126" t="s">
        <v>718</v>
      </c>
      <c r="K4835" s="2124">
        <f>SUM(K4829:K4834)</f>
        <v>8778.1670588235302</v>
      </c>
      <c r="L4835" s="2119" t="s">
        <v>911</v>
      </c>
      <c r="M4835" s="568"/>
      <c r="Q4835" s="1705">
        <v>260</v>
      </c>
      <c r="T4835" s="1991">
        <f>T4834*Q4835</f>
        <v>37.011764705882349</v>
      </c>
    </row>
    <row r="4836" spans="1:20" ht="36.75" hidden="1" customHeight="1">
      <c r="A4836" s="2114">
        <f>A842</f>
        <v>83</v>
      </c>
      <c r="B4836" s="3017" t="str">
        <f>B842</f>
        <v>Supplying of M.S.Doors, M.S. Gate etc including cost, conveyance of all materials etc.complete as per the instruction of Engineer-in-Charge .</v>
      </c>
      <c r="C4836" s="3017"/>
      <c r="D4836" s="3017"/>
      <c r="E4836" s="2116" t="str">
        <f>G842</f>
        <v>Each Qtl</v>
      </c>
      <c r="F4836" s="2116"/>
      <c r="G4836" s="2122"/>
      <c r="H4836" s="568"/>
      <c r="I4836" s="2118"/>
      <c r="J4836" s="2124"/>
      <c r="K4836" s="2124"/>
      <c r="L4836" s="192"/>
      <c r="M4836" s="568"/>
    </row>
    <row r="4837" spans="1:20" ht="12.75" hidden="1">
      <c r="A4837" s="568"/>
      <c r="B4837" s="192" t="s">
        <v>1025</v>
      </c>
      <c r="C4837" s="192"/>
      <c r="D4837" s="568"/>
      <c r="E4837" s="188"/>
      <c r="F4837" s="188"/>
      <c r="G4837" s="2118"/>
      <c r="H4837" s="2117"/>
      <c r="I4837" s="2118"/>
      <c r="J4837" s="568"/>
      <c r="K4837" s="568"/>
      <c r="L4837" s="192"/>
      <c r="M4837" s="568"/>
    </row>
    <row r="4838" spans="1:20" ht="12.75" hidden="1">
      <c r="A4838" s="568"/>
      <c r="B4838" s="192" t="s">
        <v>1026</v>
      </c>
      <c r="C4838" s="568"/>
      <c r="D4838" s="568"/>
      <c r="E4838" s="2191"/>
      <c r="F4838" s="2191"/>
      <c r="G4838" s="2176">
        <v>1</v>
      </c>
      <c r="H4838" s="2192" t="s">
        <v>247</v>
      </c>
      <c r="I4838" s="2118" t="s">
        <v>247</v>
      </c>
      <c r="J4838" s="2184">
        <f>J4829</f>
        <v>7500</v>
      </c>
      <c r="K4838" s="2123">
        <f>ROUND(G4838*J4838,2)</f>
        <v>7500</v>
      </c>
      <c r="L4838" s="192"/>
      <c r="M4838" s="568"/>
    </row>
    <row r="4839" spans="1:20" ht="12.75" hidden="1">
      <c r="A4839" s="568"/>
      <c r="B4839" s="192" t="s">
        <v>1027</v>
      </c>
      <c r="C4839" s="568"/>
      <c r="D4839" s="568"/>
      <c r="E4839" s="2191"/>
      <c r="F4839" s="2191"/>
      <c r="G4839" s="2176"/>
      <c r="H4839" s="2192"/>
      <c r="I4839" s="2118"/>
      <c r="J4839" s="2123"/>
      <c r="K4839" s="2123">
        <f>K4838*14.5%</f>
        <v>1087.5</v>
      </c>
      <c r="L4839" s="192"/>
      <c r="M4839" s="568"/>
    </row>
    <row r="4840" spans="1:20" ht="12.75" hidden="1">
      <c r="A4840" s="568"/>
      <c r="B4840" s="192" t="s">
        <v>1032</v>
      </c>
      <c r="C4840" s="568"/>
      <c r="D4840" s="568"/>
      <c r="E4840" s="2191"/>
      <c r="F4840" s="2191"/>
      <c r="G4840" s="2176">
        <f>G4838</f>
        <v>1</v>
      </c>
      <c r="H4840" s="2192" t="s">
        <v>247</v>
      </c>
      <c r="I4840" s="2118" t="s">
        <v>247</v>
      </c>
      <c r="J4840" s="2123">
        <f>J4831</f>
        <v>42.622</v>
      </c>
      <c r="K4840" s="2123">
        <f>ROUND(G4840*J4840,2)</f>
        <v>42.62</v>
      </c>
      <c r="L4840" s="192"/>
      <c r="M4840" s="568"/>
    </row>
    <row r="4841" spans="1:20" ht="12.75" hidden="1">
      <c r="A4841" s="568"/>
      <c r="B4841" s="192" t="s">
        <v>1029</v>
      </c>
      <c r="C4841" s="568"/>
      <c r="D4841" s="568"/>
      <c r="E4841" s="2191"/>
      <c r="F4841" s="2191"/>
      <c r="G4841" s="2118"/>
      <c r="H4841" s="2194"/>
      <c r="I4841" s="2126"/>
      <c r="J4841" s="2114"/>
      <c r="K4841" s="2124"/>
      <c r="L4841" s="192"/>
      <c r="M4841" s="568"/>
    </row>
    <row r="4842" spans="1:20" ht="12.75" hidden="1">
      <c r="A4842" s="568"/>
      <c r="B4842" s="568" t="s">
        <v>1033</v>
      </c>
      <c r="C4842" s="192"/>
      <c r="D4842" s="568"/>
      <c r="E4842" s="2191"/>
      <c r="F4842" s="2191"/>
      <c r="G4842" s="2118"/>
      <c r="H4842" s="2192"/>
      <c r="I4842" s="2195">
        <f>I4833</f>
        <v>37.011764705882349</v>
      </c>
      <c r="J4842" s="2123"/>
      <c r="K4842" s="2124"/>
      <c r="L4842" s="192"/>
      <c r="M4842" s="568"/>
    </row>
    <row r="4843" spans="1:20" ht="12.75" hidden="1">
      <c r="A4843" s="568"/>
      <c r="B4843" s="192" t="s">
        <v>910</v>
      </c>
      <c r="C4843" s="192"/>
      <c r="D4843" s="568"/>
      <c r="E4843" s="188"/>
      <c r="F4843" s="188"/>
      <c r="G4843" s="2134">
        <f>I4842</f>
        <v>37.011764705882349</v>
      </c>
      <c r="H4843" s="2134" t="s">
        <v>1016</v>
      </c>
      <c r="I4843" s="2134"/>
      <c r="J4843" s="2123">
        <v>0.35</v>
      </c>
      <c r="K4843" s="2123">
        <f>G4843/J4843</f>
        <v>105.74789915966386</v>
      </c>
      <c r="L4843" s="192"/>
      <c r="M4843" s="568"/>
    </row>
    <row r="4844" spans="1:20" ht="12.75" hidden="1">
      <c r="A4844" s="568"/>
      <c r="B4844" s="192" t="s">
        <v>1031</v>
      </c>
      <c r="C4844" s="192"/>
      <c r="D4844" s="568"/>
      <c r="E4844" s="188"/>
      <c r="F4844" s="188"/>
      <c r="G4844" s="2134"/>
      <c r="H4844" s="2192"/>
      <c r="I4844" s="2134"/>
      <c r="J4844" s="2126" t="s">
        <v>718</v>
      </c>
      <c r="K4844" s="2124">
        <f>SUM(K4838:K4843)</f>
        <v>8735.8678991596644</v>
      </c>
      <c r="L4844" s="2119" t="s">
        <v>911</v>
      </c>
      <c r="M4844" s="568"/>
    </row>
    <row r="4845" spans="1:20" ht="59.25" hidden="1" customHeight="1">
      <c r="A4845" s="2114">
        <f>A843</f>
        <v>84</v>
      </c>
      <c r="B4845" s="3017" t="str">
        <f>B843</f>
        <v>Supplying of M.S.Windows/ Ventilator of fully glazed etc including cost, conveyance of all materials etc.complete as per the instruction of Engineer-in-Charge (Weight taken for measurement without glass)</v>
      </c>
      <c r="C4845" s="3017"/>
      <c r="D4845" s="3017"/>
      <c r="E4845" s="2116" t="str">
        <f>G843</f>
        <v>Each Qtl</v>
      </c>
      <c r="F4845" s="2116"/>
      <c r="G4845" s="2122"/>
      <c r="H4845" s="568"/>
      <c r="I4845" s="2118"/>
      <c r="J4845" s="2124"/>
      <c r="K4845" s="2124"/>
      <c r="L4845" s="192"/>
      <c r="M4845" s="568"/>
    </row>
    <row r="4846" spans="1:20" ht="12.75" hidden="1">
      <c r="A4846" s="568"/>
      <c r="B4846" s="192" t="s">
        <v>1025</v>
      </c>
      <c r="C4846" s="192"/>
      <c r="D4846" s="568"/>
      <c r="E4846" s="188"/>
      <c r="F4846" s="188"/>
      <c r="G4846" s="2118"/>
      <c r="H4846" s="2117"/>
      <c r="I4846" s="2118"/>
      <c r="J4846" s="568"/>
      <c r="K4846" s="568"/>
      <c r="L4846" s="192"/>
      <c r="M4846" s="568"/>
    </row>
    <row r="4847" spans="1:20" ht="12.75" hidden="1">
      <c r="A4847" s="568"/>
      <c r="B4847" s="192" t="s">
        <v>1026</v>
      </c>
      <c r="C4847" s="568"/>
      <c r="D4847" s="568"/>
      <c r="E4847" s="2191"/>
      <c r="F4847" s="2191"/>
      <c r="G4847" s="2176">
        <v>1</v>
      </c>
      <c r="H4847" s="2192" t="s">
        <v>247</v>
      </c>
      <c r="I4847" s="2118" t="s">
        <v>247</v>
      </c>
      <c r="J4847" s="2184">
        <f>J4838</f>
        <v>7500</v>
      </c>
      <c r="K4847" s="2123">
        <f>ROUND(G4847*J4847,2)</f>
        <v>7500</v>
      </c>
      <c r="L4847" s="192"/>
      <c r="M4847" s="568"/>
    </row>
    <row r="4848" spans="1:20" ht="12.75" hidden="1">
      <c r="A4848" s="568"/>
      <c r="B4848" s="192" t="s">
        <v>1027</v>
      </c>
      <c r="C4848" s="568"/>
      <c r="D4848" s="568"/>
      <c r="E4848" s="2191"/>
      <c r="F4848" s="2191"/>
      <c r="G4848" s="2176"/>
      <c r="H4848" s="2192"/>
      <c r="I4848" s="2118"/>
      <c r="J4848" s="2123"/>
      <c r="K4848" s="2123">
        <f>K4847*14.5%</f>
        <v>1087.5</v>
      </c>
      <c r="L4848" s="192"/>
      <c r="M4848" s="568"/>
    </row>
    <row r="4849" spans="1:13" ht="12.75" hidden="1">
      <c r="A4849" s="568"/>
      <c r="B4849" s="192" t="s">
        <v>1032</v>
      </c>
      <c r="C4849" s="568"/>
      <c r="D4849" s="568"/>
      <c r="E4849" s="2191"/>
      <c r="F4849" s="2191"/>
      <c r="G4849" s="2176">
        <f>G4847</f>
        <v>1</v>
      </c>
      <c r="H4849" s="2192" t="s">
        <v>247</v>
      </c>
      <c r="I4849" s="2118" t="s">
        <v>247</v>
      </c>
      <c r="J4849" s="2123">
        <f>J4840</f>
        <v>42.622</v>
      </c>
      <c r="K4849" s="2123">
        <f>ROUND(G4849*J4849,2)</f>
        <v>42.62</v>
      </c>
      <c r="L4849" s="192"/>
      <c r="M4849" s="568"/>
    </row>
    <row r="4850" spans="1:13" ht="12.75" hidden="1">
      <c r="A4850" s="568"/>
      <c r="B4850" s="192" t="s">
        <v>1029</v>
      </c>
      <c r="C4850" s="568"/>
      <c r="D4850" s="568"/>
      <c r="E4850" s="2191"/>
      <c r="F4850" s="2191"/>
      <c r="G4850" s="2118"/>
      <c r="H4850" s="2194"/>
      <c r="I4850" s="2126"/>
      <c r="J4850" s="2114"/>
      <c r="K4850" s="2124"/>
      <c r="L4850" s="192"/>
      <c r="M4850" s="568"/>
    </row>
    <row r="4851" spans="1:13" ht="12.75" hidden="1">
      <c r="A4851" s="568"/>
      <c r="B4851" s="568" t="s">
        <v>1034</v>
      </c>
      <c r="C4851" s="192"/>
      <c r="D4851" s="568"/>
      <c r="E4851" s="2191"/>
      <c r="F4851" s="2191"/>
      <c r="G4851" s="2118"/>
      <c r="H4851" s="2192"/>
      <c r="I4851" s="2195">
        <f>I4842</f>
        <v>37.011764705882349</v>
      </c>
      <c r="J4851" s="2123"/>
      <c r="K4851" s="2124"/>
      <c r="L4851" s="192"/>
      <c r="M4851" s="568"/>
    </row>
    <row r="4852" spans="1:13" ht="12.75" hidden="1">
      <c r="A4852" s="568"/>
      <c r="B4852" s="192" t="s">
        <v>910</v>
      </c>
      <c r="C4852" s="192"/>
      <c r="D4852" s="568"/>
      <c r="E4852" s="188"/>
      <c r="F4852" s="188"/>
      <c r="G4852" s="2134">
        <f>I4851</f>
        <v>37.011764705882349</v>
      </c>
      <c r="H4852" s="2134" t="s">
        <v>1016</v>
      </c>
      <c r="I4852" s="2134"/>
      <c r="J4852" s="2123">
        <v>0.3</v>
      </c>
      <c r="K4852" s="2123">
        <f>G4852/J4852</f>
        <v>123.37254901960783</v>
      </c>
      <c r="L4852" s="192"/>
      <c r="M4852" s="568"/>
    </row>
    <row r="4853" spans="1:13" ht="12.75" hidden="1">
      <c r="A4853" s="568"/>
      <c r="B4853" s="192" t="s">
        <v>1035</v>
      </c>
      <c r="C4853" s="192"/>
      <c r="D4853" s="568"/>
      <c r="E4853" s="188"/>
      <c r="F4853" s="188"/>
      <c r="G4853" s="2134">
        <f>G197</f>
        <v>437.36</v>
      </c>
      <c r="H4853" s="2134" t="s">
        <v>1016</v>
      </c>
      <c r="I4853" s="2134"/>
      <c r="J4853" s="2123">
        <v>0.3</v>
      </c>
      <c r="K4853" s="2123">
        <f>G4853/J4853</f>
        <v>1457.8666666666668</v>
      </c>
      <c r="L4853" s="192"/>
      <c r="M4853" s="568"/>
    </row>
    <row r="4854" spans="1:13" ht="12.75" hidden="1">
      <c r="A4854" s="568"/>
      <c r="B4854" s="192"/>
      <c r="C4854" s="192"/>
      <c r="D4854" s="568"/>
      <c r="E4854" s="188"/>
      <c r="F4854" s="188"/>
      <c r="G4854" s="2134">
        <v>52</v>
      </c>
      <c r="H4854" s="2134" t="s">
        <v>1016</v>
      </c>
      <c r="I4854" s="2134"/>
      <c r="J4854" s="2123">
        <v>0.3</v>
      </c>
      <c r="K4854" s="2123">
        <f>G4854/J4854</f>
        <v>173.33333333333334</v>
      </c>
      <c r="L4854" s="192"/>
      <c r="M4854" s="568"/>
    </row>
    <row r="4855" spans="1:13" ht="12.75" hidden="1">
      <c r="A4855" s="568"/>
      <c r="B4855" s="192" t="s">
        <v>1031</v>
      </c>
      <c r="C4855" s="192"/>
      <c r="D4855" s="568"/>
      <c r="E4855" s="188"/>
      <c r="F4855" s="188"/>
      <c r="G4855" s="2134"/>
      <c r="H4855" s="2192"/>
      <c r="I4855" s="2134"/>
      <c r="J4855" s="2126" t="s">
        <v>718</v>
      </c>
      <c r="K4855" s="2124">
        <f>SUM(K4847:K4854)</f>
        <v>10384.69254901961</v>
      </c>
      <c r="L4855" s="2119" t="s">
        <v>911</v>
      </c>
      <c r="M4855" s="568"/>
    </row>
    <row r="4856" spans="1:13" ht="99.6" hidden="1" customHeight="1">
      <c r="A4856" s="2114">
        <f>A844</f>
        <v>85</v>
      </c>
      <c r="B4856" s="3032" t="str">
        <f>B844</f>
        <v>Providing fitting, fixing of partition walling OEL anodized Al. section of 9210 and 9207 as single groove and double groove respectively as horizontal and vertical member and OEL section 4660 as tapered clip for fixing of 12mm thick pre-laminated board and jointing angle no 1855 etc. including all cost of labour, T&amp;P, hire charges of drilling machine, labour charges etc. complete as per direction of Engineer-in-charge.</v>
      </c>
      <c r="C4856" s="3032"/>
      <c r="D4856" s="3032"/>
      <c r="E4856" s="2116" t="str">
        <f>G844</f>
        <v>Each Sqm</v>
      </c>
      <c r="F4856" s="2116"/>
      <c r="G4856" s="2122"/>
      <c r="H4856" s="568"/>
      <c r="I4856" s="2118"/>
      <c r="J4856" s="2124"/>
      <c r="K4856" s="2124"/>
      <c r="L4856" s="192"/>
      <c r="M4856" s="568"/>
    </row>
    <row r="4857" spans="1:13" ht="12.75" hidden="1">
      <c r="A4857" s="568"/>
      <c r="B4857" s="192" t="s">
        <v>1036</v>
      </c>
      <c r="C4857" s="568"/>
      <c r="D4857" s="192">
        <v>24.39</v>
      </c>
      <c r="E4857" s="192" t="s">
        <v>95</v>
      </c>
      <c r="F4857" s="192"/>
      <c r="G4857" s="2134"/>
      <c r="H4857" s="2192"/>
      <c r="I4857" s="2134"/>
      <c r="J4857" s="2126"/>
      <c r="K4857" s="2124"/>
      <c r="L4857" s="192"/>
      <c r="M4857" s="568"/>
    </row>
    <row r="4858" spans="1:13" ht="12.75" hidden="1">
      <c r="A4858" s="568"/>
      <c r="B4858" s="192" t="s">
        <v>822</v>
      </c>
      <c r="C4858" s="192"/>
      <c r="D4858" s="568"/>
      <c r="E4858" s="188"/>
      <c r="F4858" s="188"/>
      <c r="G4858" s="2134"/>
      <c r="H4858" s="2192"/>
      <c r="I4858" s="2134"/>
      <c r="J4858" s="2123"/>
      <c r="K4858" s="2123"/>
      <c r="L4858" s="192"/>
      <c r="M4858" s="568"/>
    </row>
    <row r="4859" spans="1:13" ht="12.75" hidden="1">
      <c r="A4859" s="568"/>
      <c r="B4859" s="192" t="s">
        <v>1037</v>
      </c>
      <c r="C4859" s="192"/>
      <c r="D4859" s="568"/>
      <c r="E4859" s="188"/>
      <c r="F4859" s="188"/>
      <c r="G4859" s="2134"/>
      <c r="H4859" s="2192"/>
      <c r="I4859" s="2134"/>
      <c r="J4859" s="2123"/>
      <c r="K4859" s="2123"/>
      <c r="L4859" s="192"/>
      <c r="M4859" s="568"/>
    </row>
    <row r="4860" spans="1:13" ht="12.75" hidden="1">
      <c r="A4860" s="568"/>
      <c r="B4860" s="192" t="s">
        <v>1038</v>
      </c>
      <c r="C4860" s="192"/>
      <c r="D4860" s="568"/>
      <c r="E4860" s="188" t="s">
        <v>1039</v>
      </c>
      <c r="F4860" s="188"/>
      <c r="G4860" s="2178">
        <v>11.97</v>
      </c>
      <c r="H4860" s="2192" t="s">
        <v>95</v>
      </c>
      <c r="I4860" s="2134"/>
      <c r="J4860" s="2123"/>
      <c r="K4860" s="2123"/>
      <c r="L4860" s="192"/>
      <c r="M4860" s="568"/>
    </row>
    <row r="4861" spans="1:13" ht="12.75" hidden="1">
      <c r="A4861" s="568"/>
      <c r="B4861" s="192" t="s">
        <v>1040</v>
      </c>
      <c r="C4861" s="192"/>
      <c r="D4861" s="568"/>
      <c r="E4861" s="188"/>
      <c r="F4861" s="188"/>
      <c r="G4861" s="2134"/>
      <c r="H4861" s="2192"/>
      <c r="I4861" s="2134"/>
      <c r="J4861" s="2123"/>
      <c r="K4861" s="2123"/>
      <c r="L4861" s="192"/>
      <c r="M4861" s="568"/>
    </row>
    <row r="4862" spans="1:13" ht="12.75" hidden="1">
      <c r="A4862" s="568"/>
      <c r="B4862" s="192" t="s">
        <v>1041</v>
      </c>
      <c r="C4862" s="192"/>
      <c r="D4862" s="568"/>
      <c r="E4862" s="188" t="s">
        <v>1039</v>
      </c>
      <c r="F4862" s="188"/>
      <c r="G4862" s="2178">
        <v>6.21</v>
      </c>
      <c r="H4862" s="2192" t="s">
        <v>95</v>
      </c>
      <c r="I4862" s="2134"/>
      <c r="J4862" s="2123"/>
      <c r="K4862" s="2123"/>
      <c r="L4862" s="192"/>
      <c r="M4862" s="568"/>
    </row>
    <row r="4863" spans="1:13" ht="12.75" hidden="1">
      <c r="A4863" s="568"/>
      <c r="B4863" s="192" t="s">
        <v>1042</v>
      </c>
      <c r="C4863" s="192"/>
      <c r="D4863" s="568"/>
      <c r="E4863" s="188" t="s">
        <v>1039</v>
      </c>
      <c r="F4863" s="188"/>
      <c r="G4863" s="2178">
        <v>5.9</v>
      </c>
      <c r="H4863" s="2192" t="s">
        <v>95</v>
      </c>
      <c r="I4863" s="2134"/>
      <c r="J4863" s="2123"/>
      <c r="K4863" s="2123"/>
      <c r="L4863" s="192"/>
      <c r="M4863" s="568"/>
    </row>
    <row r="4864" spans="1:13" ht="12.75" hidden="1">
      <c r="A4864" s="568"/>
      <c r="B4864" s="192" t="s">
        <v>1043</v>
      </c>
      <c r="C4864" s="192"/>
      <c r="D4864" s="568"/>
      <c r="E4864" s="188" t="s">
        <v>1039</v>
      </c>
      <c r="F4864" s="188"/>
      <c r="G4864" s="2178">
        <v>0.31</v>
      </c>
      <c r="H4864" s="2192" t="s">
        <v>95</v>
      </c>
      <c r="I4864" s="2134"/>
      <c r="J4864" s="2123"/>
      <c r="K4864" s="2123"/>
      <c r="L4864" s="192"/>
      <c r="M4864" s="568"/>
    </row>
    <row r="4865" spans="1:16" ht="12.75" hidden="1">
      <c r="A4865" s="568"/>
      <c r="B4865" s="192" t="s">
        <v>928</v>
      </c>
      <c r="C4865" s="192"/>
      <c r="D4865" s="568"/>
      <c r="E4865" s="188" t="s">
        <v>1039</v>
      </c>
      <c r="F4865" s="188"/>
      <c r="G4865" s="2178">
        <f>SUM(G4860:G4864)</f>
        <v>24.389999999999997</v>
      </c>
      <c r="H4865" s="2192" t="s">
        <v>95</v>
      </c>
      <c r="I4865" s="2134"/>
      <c r="J4865" s="2123"/>
      <c r="K4865" s="2123"/>
      <c r="L4865" s="192"/>
      <c r="M4865" s="568"/>
    </row>
    <row r="4866" spans="1:16" ht="12.75" hidden="1">
      <c r="A4866" s="568"/>
      <c r="B4866" s="192" t="s">
        <v>1044</v>
      </c>
      <c r="C4866" s="192"/>
      <c r="D4866" s="568"/>
      <c r="E4866" s="188" t="s">
        <v>1039</v>
      </c>
      <c r="F4866" s="188"/>
      <c r="G4866" s="2178">
        <f>ROUND(G4865*5%,2)</f>
        <v>1.22</v>
      </c>
      <c r="H4866" s="2192" t="s">
        <v>95</v>
      </c>
      <c r="I4866" s="2134"/>
      <c r="J4866" s="2123"/>
      <c r="K4866" s="2123"/>
      <c r="L4866" s="192"/>
      <c r="M4866" s="568"/>
    </row>
    <row r="4867" spans="1:16" ht="12.75" hidden="1">
      <c r="A4867" s="568"/>
      <c r="B4867" s="192"/>
      <c r="C4867" s="192"/>
      <c r="D4867" s="568"/>
      <c r="E4867" s="188"/>
      <c r="F4867" s="188"/>
      <c r="G4867" s="2179">
        <f>SUM(G4865:G4866)</f>
        <v>25.609999999999996</v>
      </c>
      <c r="H4867" s="2194" t="s">
        <v>95</v>
      </c>
      <c r="I4867" s="2134"/>
      <c r="J4867" s="2123"/>
      <c r="K4867" s="2123"/>
      <c r="L4867" s="192"/>
      <c r="M4867" s="568"/>
    </row>
    <row r="4868" spans="1:16" ht="12.75" hidden="1">
      <c r="A4868" s="568"/>
      <c r="B4868" s="568" t="s">
        <v>280</v>
      </c>
      <c r="C4868" s="192"/>
      <c r="D4868" s="568"/>
      <c r="E4868" s="188"/>
      <c r="F4868" s="188"/>
      <c r="G4868" s="2122">
        <v>25.61</v>
      </c>
      <c r="H4868" s="2117" t="s">
        <v>95</v>
      </c>
      <c r="I4868" s="2118" t="s">
        <v>95</v>
      </c>
      <c r="J4868" s="2123">
        <f>G186</f>
        <v>297.97000000000003</v>
      </c>
      <c r="K4868" s="2123">
        <f t="shared" ref="K4868:K4879" si="280">ROUND(G4868*J4868,2)</f>
        <v>7631.01</v>
      </c>
      <c r="L4868" s="192"/>
      <c r="M4868" s="568"/>
    </row>
    <row r="4869" spans="1:16" ht="12.75" hidden="1">
      <c r="A4869" s="568"/>
      <c r="B4869" s="568" t="s">
        <v>1045</v>
      </c>
      <c r="C4869" s="192"/>
      <c r="D4869" s="568"/>
      <c r="E4869" s="188"/>
      <c r="F4869" s="188"/>
      <c r="G4869" s="2122">
        <v>5.24</v>
      </c>
      <c r="H4869" s="2117" t="s">
        <v>92</v>
      </c>
      <c r="I4869" s="2118" t="s">
        <v>92</v>
      </c>
      <c r="J4869" s="2123">
        <f>G175</f>
        <v>710.82</v>
      </c>
      <c r="K4869" s="2123">
        <f t="shared" si="280"/>
        <v>3724.7</v>
      </c>
      <c r="L4869" s="192"/>
      <c r="M4869" s="568"/>
    </row>
    <row r="4870" spans="1:16" ht="12.75" hidden="1">
      <c r="A4870" s="568"/>
      <c r="B4870" s="568" t="s">
        <v>1046</v>
      </c>
      <c r="C4870" s="192"/>
      <c r="D4870" s="568"/>
      <c r="E4870" s="188"/>
      <c r="F4870" s="188"/>
      <c r="G4870" s="2122">
        <v>34.94</v>
      </c>
      <c r="H4870" s="2117" t="s">
        <v>136</v>
      </c>
      <c r="I4870" s="2118" t="s">
        <v>136</v>
      </c>
      <c r="J4870" s="2123">
        <v>10</v>
      </c>
      <c r="K4870" s="2123">
        <f t="shared" si="280"/>
        <v>349.4</v>
      </c>
      <c r="L4870" s="192"/>
      <c r="M4870" s="568"/>
    </row>
    <row r="4871" spans="1:16" ht="12.75" hidden="1">
      <c r="A4871" s="2114"/>
      <c r="B4871" s="568" t="s">
        <v>259</v>
      </c>
      <c r="C4871" s="568"/>
      <c r="D4871" s="568"/>
      <c r="E4871" s="188"/>
      <c r="F4871" s="188"/>
      <c r="G4871" s="2196">
        <v>40</v>
      </c>
      <c r="H4871" s="568" t="s">
        <v>262</v>
      </c>
      <c r="I4871" s="2118" t="s">
        <v>37</v>
      </c>
      <c r="J4871" s="2123">
        <f>G176</f>
        <v>7</v>
      </c>
      <c r="K4871" s="2123">
        <f t="shared" si="280"/>
        <v>280</v>
      </c>
      <c r="L4871" s="192"/>
      <c r="M4871" s="568"/>
    </row>
    <row r="4872" spans="1:16" ht="12.75" hidden="1">
      <c r="A4872" s="568"/>
      <c r="B4872" s="568" t="s">
        <v>261</v>
      </c>
      <c r="C4872" s="568"/>
      <c r="D4872" s="568"/>
      <c r="E4872" s="188"/>
      <c r="F4872" s="188"/>
      <c r="G4872" s="2118">
        <v>10</v>
      </c>
      <c r="H4872" s="2192" t="s">
        <v>262</v>
      </c>
      <c r="I4872" s="2134" t="s">
        <v>262</v>
      </c>
      <c r="J4872" s="2123">
        <f>G177</f>
        <v>2</v>
      </c>
      <c r="K4872" s="2123">
        <f t="shared" si="280"/>
        <v>20</v>
      </c>
      <c r="L4872" s="192"/>
      <c r="M4872" s="568"/>
    </row>
    <row r="4873" spans="1:16" ht="12.75" hidden="1">
      <c r="A4873" s="2114"/>
      <c r="B4873" s="568" t="s">
        <v>264</v>
      </c>
      <c r="C4873" s="568"/>
      <c r="D4873" s="568"/>
      <c r="E4873" s="188"/>
      <c r="F4873" s="188"/>
      <c r="G4873" s="2196">
        <v>30</v>
      </c>
      <c r="H4873" s="2117" t="s">
        <v>262</v>
      </c>
      <c r="I4873" s="2118" t="s">
        <v>37</v>
      </c>
      <c r="J4873" s="2123">
        <f>G178</f>
        <v>0.875</v>
      </c>
      <c r="K4873" s="2123">
        <f t="shared" si="280"/>
        <v>26.25</v>
      </c>
      <c r="L4873" s="2119"/>
      <c r="M4873" s="2118"/>
      <c r="N4873" s="1707"/>
      <c r="O4873" s="1707"/>
      <c r="P4873" s="1707"/>
    </row>
    <row r="4874" spans="1:16" ht="12.75" hidden="1">
      <c r="A4874" s="568"/>
      <c r="B4874" s="568" t="s">
        <v>318</v>
      </c>
      <c r="C4874" s="192"/>
      <c r="D4874" s="568"/>
      <c r="E4874" s="188"/>
      <c r="F4874" s="188"/>
      <c r="G4874" s="2196">
        <v>2</v>
      </c>
      <c r="H4874" s="2117" t="s">
        <v>319</v>
      </c>
      <c r="I4874" s="2118" t="s">
        <v>319</v>
      </c>
      <c r="J4874" s="2123">
        <f>M225</f>
        <v>100</v>
      </c>
      <c r="K4874" s="2123">
        <f t="shared" si="280"/>
        <v>200</v>
      </c>
      <c r="L4874" s="192"/>
      <c r="M4874" s="568"/>
    </row>
    <row r="4875" spans="1:16" ht="12.75" hidden="1">
      <c r="A4875" s="568"/>
      <c r="B4875" s="192" t="s">
        <v>904</v>
      </c>
      <c r="C4875" s="192"/>
      <c r="D4875" s="568"/>
      <c r="E4875" s="188"/>
      <c r="F4875" s="188"/>
      <c r="G4875" s="2122"/>
      <c r="H4875" s="2117"/>
      <c r="I4875" s="2118"/>
      <c r="J4875" s="2123"/>
      <c r="K4875" s="2123"/>
      <c r="L4875" s="192"/>
      <c r="M4875" s="568"/>
    </row>
    <row r="4876" spans="1:16" ht="12.75" hidden="1">
      <c r="A4876" s="568"/>
      <c r="B4876" s="568" t="s">
        <v>1047</v>
      </c>
      <c r="C4876" s="192"/>
      <c r="D4876" s="568"/>
      <c r="E4876" s="188"/>
      <c r="F4876" s="188"/>
      <c r="G4876" s="2134">
        <v>1.5</v>
      </c>
      <c r="H4876" s="2117" t="s">
        <v>262</v>
      </c>
      <c r="I4876" s="2118" t="s">
        <v>38</v>
      </c>
      <c r="J4876" s="2123">
        <f>L137</f>
        <v>495</v>
      </c>
      <c r="K4876" s="2123">
        <f t="shared" si="280"/>
        <v>742.5</v>
      </c>
      <c r="L4876" s="192"/>
      <c r="M4876" s="568"/>
    </row>
    <row r="4877" spans="1:16" ht="12.75" hidden="1">
      <c r="A4877" s="568"/>
      <c r="B4877" s="568" t="s">
        <v>1048</v>
      </c>
      <c r="C4877" s="192"/>
      <c r="D4877" s="568"/>
      <c r="E4877" s="188"/>
      <c r="F4877" s="188"/>
      <c r="G4877" s="2134">
        <v>1.5</v>
      </c>
      <c r="H4877" s="2117" t="s">
        <v>262</v>
      </c>
      <c r="I4877" s="2118" t="s">
        <v>38</v>
      </c>
      <c r="J4877" s="2123">
        <f>L136</f>
        <v>435</v>
      </c>
      <c r="K4877" s="2123">
        <f t="shared" si="280"/>
        <v>652.5</v>
      </c>
      <c r="L4877" s="192"/>
      <c r="M4877" s="568"/>
    </row>
    <row r="4878" spans="1:16" ht="12.75" hidden="1">
      <c r="A4878" s="568"/>
      <c r="B4878" s="568" t="s">
        <v>1049</v>
      </c>
      <c r="C4878" s="192"/>
      <c r="D4878" s="568"/>
      <c r="E4878" s="188"/>
      <c r="F4878" s="188"/>
      <c r="G4878" s="2134">
        <v>3.3</v>
      </c>
      <c r="H4878" s="2117" t="s">
        <v>262</v>
      </c>
      <c r="I4878" s="2118" t="s">
        <v>38</v>
      </c>
      <c r="J4878" s="2123">
        <f>L135</f>
        <v>385</v>
      </c>
      <c r="K4878" s="2123">
        <f t="shared" si="280"/>
        <v>1270.5</v>
      </c>
      <c r="L4878" s="192"/>
      <c r="M4878" s="568"/>
    </row>
    <row r="4879" spans="1:16" ht="12.75" hidden="1">
      <c r="A4879" s="568"/>
      <c r="B4879" s="568" t="s">
        <v>717</v>
      </c>
      <c r="C4879" s="192"/>
      <c r="D4879" s="568"/>
      <c r="E4879" s="188"/>
      <c r="F4879" s="188"/>
      <c r="G4879" s="2134">
        <v>3.3</v>
      </c>
      <c r="H4879" s="2117" t="s">
        <v>262</v>
      </c>
      <c r="I4879" s="2118" t="s">
        <v>38</v>
      </c>
      <c r="J4879" s="2123">
        <f>L134</f>
        <v>345</v>
      </c>
      <c r="K4879" s="2123">
        <f t="shared" si="280"/>
        <v>1138.5</v>
      </c>
      <c r="L4879" s="192"/>
      <c r="M4879" s="568"/>
    </row>
    <row r="4880" spans="1:16" ht="12.75" hidden="1">
      <c r="A4880" s="568"/>
      <c r="B4880" s="568"/>
      <c r="C4880" s="192"/>
      <c r="D4880" s="568"/>
      <c r="E4880" s="188"/>
      <c r="F4880" s="188"/>
      <c r="G4880" s="2122"/>
      <c r="H4880" s="2117"/>
      <c r="I4880" s="2118"/>
      <c r="J4880" s="2123"/>
      <c r="K4880" s="2123">
        <f>SUM(K4868:K4879)</f>
        <v>16035.359999999999</v>
      </c>
      <c r="L4880" s="192"/>
      <c r="M4880" s="568"/>
    </row>
    <row r="4881" spans="1:17" ht="12.75" hidden="1">
      <c r="A4881" s="568"/>
      <c r="B4881" s="192"/>
      <c r="C4881" s="192"/>
      <c r="D4881" s="568"/>
      <c r="E4881" s="188"/>
      <c r="F4881" s="188"/>
      <c r="G4881" s="2134"/>
      <c r="H4881" s="2192"/>
      <c r="I4881" s="2134"/>
      <c r="J4881" s="2123"/>
      <c r="K4881" s="2123"/>
      <c r="L4881" s="192"/>
      <c r="M4881" s="568"/>
    </row>
    <row r="4882" spans="1:17" ht="12.75" hidden="1">
      <c r="A4882" s="568"/>
      <c r="B4882" s="192" t="s">
        <v>1050</v>
      </c>
      <c r="C4882" s="192"/>
      <c r="D4882" s="568"/>
      <c r="E4882" s="188"/>
      <c r="F4882" s="188"/>
      <c r="G4882" s="2134"/>
      <c r="H4882" s="2192"/>
      <c r="I4882" s="2134"/>
      <c r="J4882" s="2123"/>
      <c r="K4882" s="2123">
        <f>K4880+K4881</f>
        <v>16035.359999999999</v>
      </c>
      <c r="L4882" s="192"/>
      <c r="M4882" s="568"/>
    </row>
    <row r="4883" spans="1:17" ht="12.75" hidden="1">
      <c r="A4883" s="568"/>
      <c r="B4883" s="192" t="s">
        <v>1051</v>
      </c>
      <c r="C4883" s="192"/>
      <c r="D4883" s="568"/>
      <c r="E4883" s="188"/>
      <c r="F4883" s="188"/>
      <c r="G4883" s="2134"/>
      <c r="H4883" s="2192"/>
      <c r="I4883" s="2134"/>
      <c r="J4883" s="2123"/>
      <c r="K4883" s="2124">
        <f>ROUND(K4882/4.76,2)</f>
        <v>3368.77</v>
      </c>
      <c r="L4883" s="2119" t="s">
        <v>730</v>
      </c>
      <c r="M4883" s="568"/>
      <c r="Q4883" s="2197" t="s">
        <v>1052</v>
      </c>
    </row>
    <row r="4884" spans="1:17" ht="12.75" hidden="1">
      <c r="A4884" s="568"/>
      <c r="B4884" s="192" t="s">
        <v>1053</v>
      </c>
      <c r="C4884" s="192"/>
      <c r="D4884" s="568"/>
      <c r="E4884" s="188"/>
      <c r="F4884" s="188"/>
      <c r="G4884" s="2134"/>
      <c r="H4884" s="2192"/>
      <c r="I4884" s="2134"/>
      <c r="J4884" s="2123"/>
      <c r="K4884" s="2124">
        <f>K4882/24.39</f>
        <v>657.45633456334554</v>
      </c>
      <c r="L4884" s="2119" t="s">
        <v>1054</v>
      </c>
      <c r="M4884" s="568"/>
      <c r="Q4884" s="2197" t="s">
        <v>1052</v>
      </c>
    </row>
    <row r="4885" spans="1:17" ht="99.6" hidden="1" customHeight="1">
      <c r="A4885" s="2114">
        <f>A846</f>
        <v>86</v>
      </c>
      <c r="B4885" s="3032" t="str">
        <f>B846</f>
        <v>Providing fitting, fixing of partition walling OEL anodized Al. section of 9210 and 9207 as single groove and double groove respectively as horizontal and vertical member and OEL section 4660 as tapered clip for fixing of 12mm thick pre-laminated board and jointing angle no 1855 etc. including all cost of labour, T&amp;P, hire charges of drilling machine, labour charges etc. complete as per direction of Engineer-in-charge.</v>
      </c>
      <c r="C4885" s="3032"/>
      <c r="D4885" s="3032"/>
      <c r="E4885" s="2198" t="str">
        <f>G886</f>
        <v>Each No</v>
      </c>
      <c r="F4885" s="2116"/>
      <c r="G4885" s="2122"/>
      <c r="H4885" s="568"/>
      <c r="I4885" s="2118"/>
      <c r="J4885" s="2124"/>
      <c r="K4885" s="2124"/>
      <c r="L4885" s="192"/>
      <c r="M4885" s="568"/>
    </row>
    <row r="4886" spans="1:17" ht="12.75" hidden="1">
      <c r="A4886" s="568"/>
      <c r="B4886" s="192" t="s">
        <v>1036</v>
      </c>
      <c r="C4886" s="568"/>
      <c r="D4886" s="192"/>
      <c r="E4886" s="192"/>
      <c r="F4886" s="192"/>
      <c r="G4886" s="2134"/>
      <c r="H4886" s="2192"/>
      <c r="I4886" s="2134"/>
      <c r="J4886" s="2126"/>
      <c r="K4886" s="2124"/>
      <c r="L4886" s="192"/>
      <c r="M4886" s="568"/>
    </row>
    <row r="4887" spans="1:17" ht="12.75" hidden="1">
      <c r="A4887" s="568"/>
      <c r="B4887" s="192" t="s">
        <v>822</v>
      </c>
      <c r="C4887" s="192"/>
      <c r="D4887" s="568"/>
      <c r="E4887" s="188"/>
      <c r="F4887" s="188"/>
      <c r="G4887" s="2134"/>
      <c r="H4887" s="2192"/>
      <c r="I4887" s="2134"/>
      <c r="J4887" s="2123"/>
      <c r="K4887" s="2123"/>
      <c r="L4887" s="192"/>
      <c r="M4887" s="568"/>
    </row>
    <row r="4888" spans="1:17" ht="12.75" hidden="1">
      <c r="A4888" s="568"/>
      <c r="B4888" s="192" t="s">
        <v>1055</v>
      </c>
      <c r="C4888" s="192"/>
      <c r="D4888" s="568"/>
      <c r="E4888" s="188" t="s">
        <v>1039</v>
      </c>
      <c r="F4888" s="188"/>
      <c r="G4888" s="2178">
        <v>12.03</v>
      </c>
      <c r="H4888" s="2192" t="s">
        <v>95</v>
      </c>
      <c r="I4888" s="2134"/>
      <c r="J4888" s="2123"/>
      <c r="K4888" s="2123"/>
      <c r="L4888" s="192"/>
      <c r="M4888" s="568"/>
    </row>
    <row r="4889" spans="1:17" ht="12.75" hidden="1">
      <c r="A4889" s="568"/>
      <c r="B4889" s="192" t="s">
        <v>1056</v>
      </c>
      <c r="C4889" s="192"/>
      <c r="D4889" s="568"/>
      <c r="E4889" s="188" t="s">
        <v>1039</v>
      </c>
      <c r="F4889" s="188"/>
      <c r="G4889" s="2178">
        <v>6.22</v>
      </c>
      <c r="H4889" s="2192" t="s">
        <v>95</v>
      </c>
      <c r="I4889" s="2134"/>
      <c r="J4889" s="2123"/>
      <c r="K4889" s="2123"/>
      <c r="L4889" s="192"/>
      <c r="M4889" s="568"/>
    </row>
    <row r="4890" spans="1:17" ht="12.75" hidden="1">
      <c r="A4890" s="568"/>
      <c r="B4890" s="192" t="s">
        <v>1042</v>
      </c>
      <c r="C4890" s="192"/>
      <c r="D4890" s="568"/>
      <c r="E4890" s="188" t="s">
        <v>1039</v>
      </c>
      <c r="F4890" s="188"/>
      <c r="G4890" s="2178">
        <v>5.9</v>
      </c>
      <c r="H4890" s="2192" t="s">
        <v>95</v>
      </c>
      <c r="I4890" s="2134"/>
      <c r="J4890" s="2123"/>
      <c r="K4890" s="2123"/>
      <c r="L4890" s="192"/>
      <c r="M4890" s="568"/>
    </row>
    <row r="4891" spans="1:17" ht="12.75" hidden="1">
      <c r="A4891" s="568"/>
      <c r="B4891" s="192" t="s">
        <v>1057</v>
      </c>
      <c r="C4891" s="192"/>
      <c r="D4891" s="568"/>
      <c r="E4891" s="188" t="s">
        <v>1039</v>
      </c>
      <c r="F4891" s="188"/>
      <c r="G4891" s="2199">
        <v>2.5299999999999998</v>
      </c>
      <c r="H4891" s="2192" t="s">
        <v>95</v>
      </c>
      <c r="I4891" s="2134"/>
      <c r="J4891" s="2123"/>
      <c r="K4891" s="2123"/>
      <c r="L4891" s="192"/>
      <c r="M4891" s="568"/>
    </row>
    <row r="4892" spans="1:17" ht="12.75" hidden="1">
      <c r="A4892" s="568"/>
      <c r="B4892" s="192" t="s">
        <v>928</v>
      </c>
      <c r="C4892" s="192"/>
      <c r="D4892" s="568"/>
      <c r="E4892" s="188" t="s">
        <v>1039</v>
      </c>
      <c r="F4892" s="188"/>
      <c r="G4892" s="2178">
        <f>SUM(G4888:G4891)</f>
        <v>26.68</v>
      </c>
      <c r="H4892" s="2192" t="s">
        <v>95</v>
      </c>
      <c r="I4892" s="2134"/>
      <c r="J4892" s="2123"/>
      <c r="K4892" s="2123"/>
      <c r="L4892" s="192"/>
      <c r="M4892" s="568"/>
    </row>
    <row r="4893" spans="1:17" ht="12.75" hidden="1">
      <c r="A4893" s="568"/>
      <c r="B4893" s="192"/>
      <c r="C4893" s="192"/>
      <c r="D4893" s="568"/>
      <c r="E4893" s="188"/>
      <c r="F4893" s="188"/>
      <c r="G4893" s="2199"/>
      <c r="H4893" s="2192"/>
      <c r="I4893" s="2134"/>
      <c r="J4893" s="2123"/>
      <c r="K4893" s="2123"/>
      <c r="L4893" s="192"/>
      <c r="M4893" s="568"/>
    </row>
    <row r="4894" spans="1:17" ht="12.75" hidden="1">
      <c r="A4894" s="568"/>
      <c r="B4894" s="192" t="s">
        <v>1058</v>
      </c>
      <c r="C4894" s="192"/>
      <c r="D4894" s="568"/>
      <c r="E4894" s="188"/>
      <c r="F4894" s="188"/>
      <c r="G4894" s="2126">
        <f>SUM(G4892:G4893)</f>
        <v>26.68</v>
      </c>
      <c r="H4894" s="2194" t="s">
        <v>95</v>
      </c>
      <c r="I4894" s="2134"/>
      <c r="J4894" s="2123"/>
      <c r="K4894" s="2123"/>
      <c r="L4894" s="192"/>
      <c r="M4894" s="568"/>
    </row>
    <row r="4895" spans="1:17" ht="12.75" hidden="1">
      <c r="A4895" s="568"/>
      <c r="B4895" s="568" t="s">
        <v>280</v>
      </c>
      <c r="C4895" s="192"/>
      <c r="D4895" s="568"/>
      <c r="E4895" s="188"/>
      <c r="F4895" s="188"/>
      <c r="G4895" s="2122">
        <f>G4894</f>
        <v>26.68</v>
      </c>
      <c r="H4895" s="2117" t="s">
        <v>95</v>
      </c>
      <c r="I4895" s="2118" t="s">
        <v>95</v>
      </c>
      <c r="J4895" s="2123">
        <f>G186</f>
        <v>297.97000000000003</v>
      </c>
      <c r="K4895" s="2123">
        <f t="shared" ref="K4895:K4901" si="281">G4895*J4895</f>
        <v>7949.8396000000002</v>
      </c>
      <c r="L4895" s="192"/>
      <c r="M4895" s="568"/>
    </row>
    <row r="4896" spans="1:17" ht="12.75" hidden="1">
      <c r="A4896" s="568"/>
      <c r="B4896" s="568" t="s">
        <v>1045</v>
      </c>
      <c r="C4896" s="192"/>
      <c r="D4896" s="568"/>
      <c r="E4896" s="188"/>
      <c r="F4896" s="188"/>
      <c r="G4896" s="2122">
        <v>5.24</v>
      </c>
      <c r="H4896" s="2117" t="s">
        <v>92</v>
      </c>
      <c r="I4896" s="2118" t="s">
        <v>92</v>
      </c>
      <c r="J4896" s="2123">
        <f>G175</f>
        <v>710.82</v>
      </c>
      <c r="K4896" s="2123">
        <f t="shared" si="281"/>
        <v>3724.6968000000006</v>
      </c>
      <c r="L4896" s="192"/>
      <c r="M4896" s="568"/>
    </row>
    <row r="4897" spans="1:16" ht="12.75" hidden="1">
      <c r="A4897" s="568"/>
      <c r="B4897" s="568" t="s">
        <v>1059</v>
      </c>
      <c r="C4897" s="192"/>
      <c r="D4897" s="568"/>
      <c r="E4897" s="188"/>
      <c r="F4897" s="188"/>
      <c r="G4897" s="2122">
        <v>34.94</v>
      </c>
      <c r="H4897" s="2117" t="s">
        <v>136</v>
      </c>
      <c r="I4897" s="2118" t="s">
        <v>136</v>
      </c>
      <c r="J4897" s="2123">
        <f>J4870</f>
        <v>10</v>
      </c>
      <c r="K4897" s="2123">
        <f t="shared" si="281"/>
        <v>349.4</v>
      </c>
      <c r="L4897" s="192"/>
      <c r="M4897" s="568"/>
    </row>
    <row r="4898" spans="1:16" ht="12.75" hidden="1">
      <c r="A4898" s="2114"/>
      <c r="B4898" s="568" t="s">
        <v>259</v>
      </c>
      <c r="C4898" s="568"/>
      <c r="D4898" s="568"/>
      <c r="E4898" s="188"/>
      <c r="F4898" s="188"/>
      <c r="G4898" s="2196">
        <v>10</v>
      </c>
      <c r="H4898" s="568" t="s">
        <v>262</v>
      </c>
      <c r="I4898" s="2118" t="s">
        <v>37</v>
      </c>
      <c r="J4898" s="2123">
        <f>J4871</f>
        <v>7</v>
      </c>
      <c r="K4898" s="2123">
        <f t="shared" si="281"/>
        <v>70</v>
      </c>
      <c r="L4898" s="192"/>
      <c r="M4898" s="568"/>
    </row>
    <row r="4899" spans="1:16" ht="12.75" hidden="1">
      <c r="A4899" s="568"/>
      <c r="B4899" s="568" t="s">
        <v>261</v>
      </c>
      <c r="C4899" s="568"/>
      <c r="D4899" s="568"/>
      <c r="E4899" s="188"/>
      <c r="F4899" s="188"/>
      <c r="G4899" s="2118">
        <v>10</v>
      </c>
      <c r="H4899" s="2192" t="s">
        <v>262</v>
      </c>
      <c r="I4899" s="2134" t="s">
        <v>262</v>
      </c>
      <c r="J4899" s="2123">
        <f>G177</f>
        <v>2</v>
      </c>
      <c r="K4899" s="2123">
        <f t="shared" si="281"/>
        <v>20</v>
      </c>
      <c r="L4899" s="192"/>
      <c r="M4899" s="568"/>
    </row>
    <row r="4900" spans="1:16" ht="12.75" hidden="1">
      <c r="A4900" s="2114"/>
      <c r="B4900" s="568" t="s">
        <v>264</v>
      </c>
      <c r="C4900" s="568"/>
      <c r="D4900" s="568"/>
      <c r="E4900" s="188"/>
      <c r="F4900" s="188"/>
      <c r="G4900" s="2196">
        <v>15</v>
      </c>
      <c r="H4900" s="2117" t="s">
        <v>262</v>
      </c>
      <c r="I4900" s="2118" t="s">
        <v>37</v>
      </c>
      <c r="J4900" s="2123">
        <f>G178</f>
        <v>0.875</v>
      </c>
      <c r="K4900" s="2123">
        <f t="shared" si="281"/>
        <v>13.125</v>
      </c>
      <c r="L4900" s="2119"/>
      <c r="M4900" s="2118"/>
      <c r="N4900" s="1707"/>
      <c r="O4900" s="1707"/>
      <c r="P4900" s="1707"/>
    </row>
    <row r="4901" spans="1:16" ht="12.75" hidden="1">
      <c r="A4901" s="568"/>
      <c r="B4901" s="568" t="s">
        <v>318</v>
      </c>
      <c r="C4901" s="192"/>
      <c r="D4901" s="568"/>
      <c r="E4901" s="188"/>
      <c r="F4901" s="188"/>
      <c r="G4901" s="2196">
        <v>2</v>
      </c>
      <c r="H4901" s="2117" t="s">
        <v>319</v>
      </c>
      <c r="I4901" s="2118" t="s">
        <v>319</v>
      </c>
      <c r="J4901" s="2123">
        <f>M225</f>
        <v>100</v>
      </c>
      <c r="K4901" s="2123">
        <f t="shared" si="281"/>
        <v>200</v>
      </c>
      <c r="L4901" s="192"/>
      <c r="M4901" s="568"/>
    </row>
    <row r="4902" spans="1:16" ht="12.75" hidden="1">
      <c r="A4902" s="568"/>
      <c r="B4902" s="568"/>
      <c r="C4902" s="192"/>
      <c r="D4902" s="568"/>
      <c r="E4902" s="188"/>
      <c r="F4902" s="188"/>
      <c r="G4902" s="2196"/>
      <c r="H4902" s="2117"/>
      <c r="I4902" s="2118"/>
      <c r="J4902" s="2126" t="s">
        <v>1060</v>
      </c>
      <c r="K4902" s="2124">
        <f>SUM(K4895:K4901)</f>
        <v>12327.061400000001</v>
      </c>
      <c r="L4902" s="192"/>
      <c r="M4902" s="568"/>
    </row>
    <row r="4903" spans="1:16" ht="12.75" hidden="1">
      <c r="A4903" s="568"/>
      <c r="B4903" s="192" t="s">
        <v>904</v>
      </c>
      <c r="C4903" s="192"/>
      <c r="D4903" s="568"/>
      <c r="E4903" s="188"/>
      <c r="F4903" s="188"/>
      <c r="G4903" s="2122"/>
      <c r="H4903" s="2117"/>
      <c r="I4903" s="2118"/>
      <c r="J4903" s="2123"/>
      <c r="K4903" s="2123"/>
      <c r="L4903" s="192"/>
      <c r="M4903" s="568"/>
    </row>
    <row r="4904" spans="1:16" ht="12.75" hidden="1">
      <c r="A4904" s="568"/>
      <c r="B4904" s="568" t="s">
        <v>1047</v>
      </c>
      <c r="C4904" s="192"/>
      <c r="D4904" s="568"/>
      <c r="E4904" s="188"/>
      <c r="F4904" s="188"/>
      <c r="G4904" s="2134">
        <v>17</v>
      </c>
      <c r="H4904" s="2117" t="s">
        <v>262</v>
      </c>
      <c r="I4904" s="2118" t="s">
        <v>38</v>
      </c>
      <c r="J4904" s="2123">
        <f>L137</f>
        <v>495</v>
      </c>
      <c r="K4904" s="2123">
        <f>G4904*J4904</f>
        <v>8415</v>
      </c>
      <c r="L4904" s="192"/>
      <c r="M4904" s="568"/>
    </row>
    <row r="4905" spans="1:16" ht="12.75" hidden="1">
      <c r="A4905" s="568"/>
      <c r="B4905" s="568" t="s">
        <v>717</v>
      </c>
      <c r="C4905" s="192"/>
      <c r="D4905" s="568"/>
      <c r="E4905" s="188"/>
      <c r="F4905" s="188"/>
      <c r="G4905" s="2134">
        <v>17</v>
      </c>
      <c r="H4905" s="2117" t="s">
        <v>262</v>
      </c>
      <c r="I4905" s="2118" t="s">
        <v>38</v>
      </c>
      <c r="J4905" s="2123">
        <f>L134</f>
        <v>345</v>
      </c>
      <c r="K4905" s="2123">
        <f>G4905*J4905</f>
        <v>5865</v>
      </c>
      <c r="L4905" s="192"/>
      <c r="M4905" s="568"/>
    </row>
    <row r="4906" spans="1:16" ht="12.75" hidden="1">
      <c r="A4906" s="568"/>
      <c r="B4906" s="568"/>
      <c r="C4906" s="192"/>
      <c r="D4906" s="568"/>
      <c r="E4906" s="188"/>
      <c r="F4906" s="188"/>
      <c r="G4906" s="2134"/>
      <c r="H4906" s="2117"/>
      <c r="I4906" s="2118"/>
      <c r="J4906" s="2134" t="s">
        <v>1061</v>
      </c>
      <c r="K4906" s="2123">
        <f>SUM(K4904:K4905)</f>
        <v>14280</v>
      </c>
      <c r="L4906" s="192"/>
      <c r="M4906" s="568"/>
    </row>
    <row r="4907" spans="1:16" ht="12.75" hidden="1">
      <c r="A4907" s="568"/>
      <c r="B4907" s="568"/>
      <c r="C4907" s="192"/>
      <c r="D4907" s="568"/>
      <c r="E4907" s="188"/>
      <c r="F4907" s="188"/>
      <c r="G4907" s="2122"/>
      <c r="H4907" s="2117"/>
      <c r="I4907" s="2118"/>
      <c r="J4907" s="2123"/>
      <c r="K4907" s="2124">
        <f>K4902+K4906</f>
        <v>26607.061399999999</v>
      </c>
      <c r="L4907" s="192"/>
      <c r="M4907" s="568"/>
    </row>
    <row r="4908" spans="1:16" ht="12.75" hidden="1">
      <c r="A4908" s="568"/>
      <c r="B4908" s="192"/>
      <c r="C4908" s="192"/>
      <c r="D4908" s="568"/>
      <c r="E4908" s="188"/>
      <c r="F4908" s="188"/>
      <c r="G4908" s="2134"/>
      <c r="H4908" s="2192"/>
      <c r="I4908" s="2134"/>
      <c r="J4908" s="2123"/>
      <c r="K4908" s="2124"/>
      <c r="L4908" s="192"/>
      <c r="M4908" s="568"/>
    </row>
    <row r="4909" spans="1:16" ht="12.75" hidden="1">
      <c r="A4909" s="568"/>
      <c r="B4909" s="192" t="s">
        <v>1062</v>
      </c>
      <c r="C4909" s="192"/>
      <c r="D4909" s="568"/>
      <c r="E4909" s="188"/>
      <c r="F4909" s="188"/>
      <c r="G4909" s="2134"/>
      <c r="H4909" s="2192"/>
      <c r="I4909" s="2134"/>
      <c r="J4909" s="2123"/>
      <c r="K4909" s="2124">
        <f>K4907+K4908</f>
        <v>26607.061399999999</v>
      </c>
      <c r="L4909" s="192"/>
      <c r="M4909" s="568"/>
    </row>
    <row r="4910" spans="1:16" ht="12.75" hidden="1">
      <c r="A4910" s="568"/>
      <c r="B4910" s="192" t="s">
        <v>1063</v>
      </c>
      <c r="C4910" s="192"/>
      <c r="D4910" s="568"/>
      <c r="E4910" s="188"/>
      <c r="F4910" s="188"/>
      <c r="G4910" s="2134"/>
      <c r="H4910" s="2192"/>
      <c r="I4910" s="2134"/>
      <c r="J4910" s="2123"/>
      <c r="K4910" s="2124">
        <f>K4909/4.76</f>
        <v>5589.7187815126053</v>
      </c>
      <c r="L4910" s="2119" t="s">
        <v>730</v>
      </c>
      <c r="M4910" s="568"/>
    </row>
    <row r="4911" spans="1:16" ht="125.45" hidden="1" customHeight="1">
      <c r="A4911" s="2114">
        <f>A847</f>
        <v>87</v>
      </c>
      <c r="B4911" s="3032" t="str">
        <f>B847</f>
        <v>Providing fitting, fixing of Aluminium Door with OEL anodized Al. door section of 9202 as vertical member, 9200 as top  and   bottom  member.  9232 as middle member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4911" s="3032"/>
      <c r="D4911" s="3032"/>
      <c r="E4911" s="2116" t="str">
        <f>G847</f>
        <v>Each Sqm</v>
      </c>
      <c r="F4911" s="2116"/>
      <c r="G4911" s="2122"/>
      <c r="H4911" s="568"/>
      <c r="I4911" s="2118"/>
      <c r="J4911" s="2124"/>
      <c r="K4911" s="2124"/>
      <c r="L4911" s="192"/>
      <c r="M4911" s="568"/>
    </row>
    <row r="4912" spans="1:16" ht="12.75" hidden="1">
      <c r="A4912" s="568"/>
      <c r="B4912" s="192" t="s">
        <v>1064</v>
      </c>
      <c r="C4912" s="192"/>
      <c r="D4912" s="2123">
        <f>G4919</f>
        <v>27.133010000000002</v>
      </c>
      <c r="E4912" s="188" t="s">
        <v>95</v>
      </c>
      <c r="F4912" s="188"/>
      <c r="G4912" s="2134"/>
      <c r="H4912" s="2192"/>
      <c r="I4912" s="2134"/>
      <c r="J4912" s="2126"/>
      <c r="K4912" s="2124"/>
      <c r="L4912" s="192"/>
      <c r="M4912" s="568"/>
    </row>
    <row r="4913" spans="1:13" ht="12.75" hidden="1">
      <c r="A4913" s="568"/>
      <c r="B4913" s="568" t="s">
        <v>1065</v>
      </c>
      <c r="C4913" s="192"/>
      <c r="D4913" s="568"/>
      <c r="E4913" s="188" t="s">
        <v>1039</v>
      </c>
      <c r="F4913" s="188"/>
      <c r="G4913" s="2134">
        <f>4.06*1.201</f>
        <v>4.8760599999999998</v>
      </c>
      <c r="H4913" s="2192" t="s">
        <v>95</v>
      </c>
      <c r="I4913" s="2134"/>
      <c r="J4913" s="2126"/>
      <c r="K4913" s="2124"/>
      <c r="L4913" s="192"/>
      <c r="M4913" s="568"/>
    </row>
    <row r="4914" spans="1:13" ht="12.75" hidden="1">
      <c r="A4914" s="568"/>
      <c r="B4914" s="568" t="s">
        <v>1066</v>
      </c>
      <c r="C4914" s="192"/>
      <c r="D4914" s="568"/>
      <c r="E4914" s="188" t="s">
        <v>1039</v>
      </c>
      <c r="F4914" s="188"/>
      <c r="G4914" s="2134">
        <f>2.14*1.97</f>
        <v>4.2157999999999998</v>
      </c>
      <c r="H4914" s="2192" t="s">
        <v>95</v>
      </c>
      <c r="I4914" s="2134"/>
      <c r="J4914" s="2126"/>
      <c r="K4914" s="2124"/>
      <c r="L4914" s="192"/>
      <c r="M4914" s="568"/>
    </row>
    <row r="4915" spans="1:13" ht="12.75" hidden="1">
      <c r="A4915" s="568"/>
      <c r="B4915" s="568" t="s">
        <v>1067</v>
      </c>
      <c r="C4915" s="192"/>
      <c r="D4915" s="568"/>
      <c r="E4915" s="188" t="s">
        <v>1039</v>
      </c>
      <c r="F4915" s="188"/>
      <c r="G4915" s="2134">
        <f>2.13*1.298</f>
        <v>2.7647399999999998</v>
      </c>
      <c r="H4915" s="2192" t="s">
        <v>95</v>
      </c>
      <c r="I4915" s="2134"/>
      <c r="J4915" s="2126"/>
      <c r="K4915" s="2124"/>
      <c r="L4915" s="192"/>
      <c r="M4915" s="568"/>
    </row>
    <row r="4916" spans="1:13" ht="12.75" hidden="1">
      <c r="A4916" s="568"/>
      <c r="B4916" s="568" t="s">
        <v>1068</v>
      </c>
      <c r="C4916" s="192"/>
      <c r="D4916" s="568"/>
      <c r="E4916" s="188" t="s">
        <v>1039</v>
      </c>
      <c r="F4916" s="188"/>
      <c r="G4916" s="2134">
        <f>16.65*0.169</f>
        <v>2.81385</v>
      </c>
      <c r="H4916" s="2192" t="s">
        <v>95</v>
      </c>
      <c r="I4916" s="2134"/>
      <c r="J4916" s="2126"/>
      <c r="K4916" s="2124"/>
      <c r="L4916" s="192"/>
      <c r="M4916" s="568"/>
    </row>
    <row r="4917" spans="1:13" ht="12.75" hidden="1">
      <c r="A4917" s="568"/>
      <c r="B4917" s="568" t="s">
        <v>1069</v>
      </c>
      <c r="C4917" s="192"/>
      <c r="D4917" s="568"/>
      <c r="E4917" s="188" t="s">
        <v>1039</v>
      </c>
      <c r="F4917" s="188"/>
      <c r="G4917" s="2134">
        <f>0.42*0.518</f>
        <v>0.21756</v>
      </c>
      <c r="H4917" s="2192" t="s">
        <v>95</v>
      </c>
      <c r="I4917" s="2134"/>
      <c r="J4917" s="2126"/>
      <c r="K4917" s="2124"/>
      <c r="L4917" s="192"/>
      <c r="M4917" s="568"/>
    </row>
    <row r="4918" spans="1:13" ht="12.75" hidden="1">
      <c r="A4918" s="568"/>
      <c r="B4918" s="568" t="s">
        <v>1070</v>
      </c>
      <c r="C4918" s="192"/>
      <c r="D4918" s="568"/>
      <c r="E4918" s="188" t="s">
        <v>1039</v>
      </c>
      <c r="F4918" s="188"/>
      <c r="G4918" s="2200">
        <f>6.2*1.975</f>
        <v>12.245000000000001</v>
      </c>
      <c r="H4918" s="2192" t="s">
        <v>95</v>
      </c>
      <c r="I4918" s="2134"/>
      <c r="J4918" s="2126"/>
      <c r="K4918" s="2124"/>
      <c r="L4918" s="192"/>
      <c r="M4918" s="568"/>
    </row>
    <row r="4919" spans="1:13" ht="12.75" hidden="1">
      <c r="A4919" s="568"/>
      <c r="B4919" s="568"/>
      <c r="C4919" s="192"/>
      <c r="D4919" s="568"/>
      <c r="E4919" s="188"/>
      <c r="F4919" s="188" t="s">
        <v>928</v>
      </c>
      <c r="G4919" s="2134">
        <f>SUM(G4913:G4918)</f>
        <v>27.133010000000002</v>
      </c>
      <c r="H4919" s="2192" t="s">
        <v>95</v>
      </c>
      <c r="I4919" s="2134"/>
      <c r="J4919" s="2126"/>
      <c r="K4919" s="2124"/>
      <c r="L4919" s="192"/>
      <c r="M4919" s="568"/>
    </row>
    <row r="4920" spans="1:13" ht="12.75" hidden="1">
      <c r="A4920" s="568"/>
      <c r="B4920" s="568"/>
      <c r="C4920" s="192" t="s">
        <v>1071</v>
      </c>
      <c r="D4920" s="568"/>
      <c r="E4920" s="188" t="s">
        <v>1039</v>
      </c>
      <c r="F4920" s="188"/>
      <c r="G4920" s="2200">
        <f>G4919*5%</f>
        <v>1.3566505000000002</v>
      </c>
      <c r="H4920" s="2192" t="s">
        <v>95</v>
      </c>
      <c r="I4920" s="2134"/>
      <c r="J4920" s="2126"/>
      <c r="K4920" s="2124"/>
      <c r="L4920" s="192"/>
      <c r="M4920" s="568"/>
    </row>
    <row r="4921" spans="1:13" ht="12.75" hidden="1">
      <c r="A4921" s="568"/>
      <c r="B4921" s="568"/>
      <c r="C4921" s="192"/>
      <c r="D4921" s="568"/>
      <c r="E4921" s="188"/>
      <c r="F4921" s="188" t="s">
        <v>928</v>
      </c>
      <c r="G4921" s="2126">
        <f>SUM(G4919:G4920)</f>
        <v>28.489660500000003</v>
      </c>
      <c r="H4921" s="2194" t="s">
        <v>95</v>
      </c>
      <c r="I4921" s="2134"/>
      <c r="J4921" s="2126"/>
      <c r="K4921" s="2124"/>
      <c r="L4921" s="192"/>
      <c r="M4921" s="568"/>
    </row>
    <row r="4922" spans="1:13" ht="12.75" hidden="1">
      <c r="A4922" s="568"/>
      <c r="B4922" s="192" t="s">
        <v>1072</v>
      </c>
      <c r="C4922" s="192"/>
      <c r="D4922" s="568"/>
      <c r="E4922" s="188"/>
      <c r="F4922" s="188"/>
      <c r="G4922" s="2134"/>
      <c r="H4922" s="2192"/>
      <c r="I4922" s="2134"/>
      <c r="J4922" s="2123"/>
      <c r="K4922" s="2123"/>
      <c r="L4922" s="192"/>
      <c r="M4922" s="568"/>
    </row>
    <row r="4923" spans="1:13" ht="12.75" hidden="1">
      <c r="A4923" s="568"/>
      <c r="B4923" s="568" t="s">
        <v>280</v>
      </c>
      <c r="C4923" s="192"/>
      <c r="D4923" s="568"/>
      <c r="E4923" s="188"/>
      <c r="F4923" s="188"/>
      <c r="G4923" s="2122">
        <v>28.49</v>
      </c>
      <c r="H4923" s="2117" t="s">
        <v>95</v>
      </c>
      <c r="I4923" s="2118" t="s">
        <v>95</v>
      </c>
      <c r="J4923" s="2123">
        <f>G186</f>
        <v>297.97000000000003</v>
      </c>
      <c r="K4923" s="2123">
        <f t="shared" ref="K4923:K4931" si="282">ROUND(G4923*J4923,2)</f>
        <v>8489.17</v>
      </c>
      <c r="L4923" s="192"/>
      <c r="M4923" s="568"/>
    </row>
    <row r="4924" spans="1:13" ht="12.75" hidden="1">
      <c r="A4924" s="568"/>
      <c r="B4924" s="568" t="s">
        <v>257</v>
      </c>
      <c r="C4924" s="192"/>
      <c r="D4924" s="568"/>
      <c r="E4924" s="188"/>
      <c r="F4924" s="188"/>
      <c r="G4924" s="2122">
        <v>2.38</v>
      </c>
      <c r="H4924" s="2117" t="s">
        <v>92</v>
      </c>
      <c r="I4924" s="2118" t="s">
        <v>92</v>
      </c>
      <c r="J4924" s="2123">
        <f>G175</f>
        <v>710.82</v>
      </c>
      <c r="K4924" s="2123">
        <f t="shared" si="282"/>
        <v>1691.75</v>
      </c>
      <c r="L4924" s="192"/>
      <c r="M4924" s="568"/>
    </row>
    <row r="4925" spans="1:13" ht="12.75" hidden="1">
      <c r="A4925" s="568"/>
      <c r="B4925" s="568" t="s">
        <v>266</v>
      </c>
      <c r="C4925" s="192"/>
      <c r="D4925" s="568"/>
      <c r="E4925" s="188"/>
      <c r="F4925" s="188"/>
      <c r="G4925" s="2122">
        <v>4</v>
      </c>
      <c r="H4925" s="2117" t="s">
        <v>37</v>
      </c>
      <c r="I4925" s="2118" t="s">
        <v>37</v>
      </c>
      <c r="J4925" s="2123">
        <f>G179</f>
        <v>39</v>
      </c>
      <c r="K4925" s="2123">
        <f t="shared" si="282"/>
        <v>156</v>
      </c>
      <c r="L4925" s="192"/>
      <c r="M4925" s="568"/>
    </row>
    <row r="4926" spans="1:13" ht="12.75" hidden="1">
      <c r="A4926" s="568"/>
      <c r="B4926" s="568" t="s">
        <v>268</v>
      </c>
      <c r="C4926" s="192"/>
      <c r="D4926" s="568"/>
      <c r="E4926" s="188"/>
      <c r="F4926" s="188"/>
      <c r="G4926" s="2122">
        <v>18.29</v>
      </c>
      <c r="H4926" s="2117" t="s">
        <v>136</v>
      </c>
      <c r="I4926" s="2118" t="s">
        <v>136</v>
      </c>
      <c r="J4926" s="2184">
        <v>15</v>
      </c>
      <c r="K4926" s="2123">
        <f t="shared" si="282"/>
        <v>274.35000000000002</v>
      </c>
      <c r="L4926" s="192"/>
      <c r="M4926" s="568"/>
    </row>
    <row r="4927" spans="1:13" ht="12.75" hidden="1">
      <c r="A4927" s="568"/>
      <c r="B4927" s="568" t="s">
        <v>270</v>
      </c>
      <c r="C4927" s="192"/>
      <c r="D4927" s="568"/>
      <c r="E4927" s="188"/>
      <c r="F4927" s="188"/>
      <c r="G4927" s="2122">
        <v>1</v>
      </c>
      <c r="H4927" s="2117" t="s">
        <v>262</v>
      </c>
      <c r="I4927" s="2118" t="s">
        <v>38</v>
      </c>
      <c r="J4927" s="2123">
        <f>G181</f>
        <v>25</v>
      </c>
      <c r="K4927" s="2123">
        <f t="shared" si="282"/>
        <v>25</v>
      </c>
      <c r="L4927" s="192"/>
      <c r="M4927" s="568"/>
    </row>
    <row r="4928" spans="1:13" ht="12.75" hidden="1">
      <c r="A4928" s="568"/>
      <c r="B4928" s="568" t="s">
        <v>272</v>
      </c>
      <c r="C4928" s="192"/>
      <c r="D4928" s="568"/>
      <c r="E4928" s="188"/>
      <c r="F4928" s="188"/>
      <c r="G4928" s="2122">
        <v>2</v>
      </c>
      <c r="H4928" s="2117" t="s">
        <v>262</v>
      </c>
      <c r="I4928" s="2118" t="s">
        <v>38</v>
      </c>
      <c r="J4928" s="2123">
        <f>G182</f>
        <v>62.5</v>
      </c>
      <c r="K4928" s="2123">
        <f t="shared" si="282"/>
        <v>125</v>
      </c>
      <c r="L4928" s="192"/>
      <c r="M4928" s="568"/>
    </row>
    <row r="4929" spans="1:13" ht="12.75" hidden="1">
      <c r="A4929" s="568"/>
      <c r="B4929" s="568" t="s">
        <v>274</v>
      </c>
      <c r="C4929" s="192"/>
      <c r="D4929" s="568"/>
      <c r="E4929" s="188"/>
      <c r="F4929" s="188"/>
      <c r="G4929" s="2122">
        <v>1</v>
      </c>
      <c r="H4929" s="2117" t="s">
        <v>262</v>
      </c>
      <c r="I4929" s="2118" t="s">
        <v>38</v>
      </c>
      <c r="J4929" s="2123">
        <f>G183</f>
        <v>400</v>
      </c>
      <c r="K4929" s="2123">
        <f t="shared" si="282"/>
        <v>400</v>
      </c>
      <c r="L4929" s="192"/>
      <c r="M4929" s="568"/>
    </row>
    <row r="4930" spans="1:13" ht="12.75" hidden="1">
      <c r="A4930" s="568"/>
      <c r="B4930" s="568" t="s">
        <v>276</v>
      </c>
      <c r="C4930" s="192"/>
      <c r="D4930" s="568"/>
      <c r="E4930" s="188"/>
      <c r="F4930" s="188"/>
      <c r="G4930" s="2122">
        <v>1</v>
      </c>
      <c r="H4930" s="2117" t="s">
        <v>262</v>
      </c>
      <c r="I4930" s="2118" t="s">
        <v>38</v>
      </c>
      <c r="J4930" s="2123">
        <f>G184</f>
        <v>600</v>
      </c>
      <c r="K4930" s="2123">
        <f t="shared" si="282"/>
        <v>600</v>
      </c>
      <c r="L4930" s="192"/>
      <c r="M4930" s="568"/>
    </row>
    <row r="4931" spans="1:13" ht="12.75" hidden="1">
      <c r="A4931" s="568"/>
      <c r="B4931" s="568" t="s">
        <v>318</v>
      </c>
      <c r="C4931" s="192"/>
      <c r="D4931" s="568"/>
      <c r="E4931" s="188"/>
      <c r="F4931" s="188"/>
      <c r="G4931" s="2122">
        <v>1.5</v>
      </c>
      <c r="H4931" s="2117" t="s">
        <v>319</v>
      </c>
      <c r="I4931" s="2118" t="s">
        <v>319</v>
      </c>
      <c r="J4931" s="2123">
        <f>M225</f>
        <v>100</v>
      </c>
      <c r="K4931" s="2123">
        <f t="shared" si="282"/>
        <v>150</v>
      </c>
      <c r="L4931" s="192"/>
      <c r="M4931" s="568"/>
    </row>
    <row r="4932" spans="1:13" ht="12.75" hidden="1">
      <c r="A4932" s="568"/>
      <c r="B4932" s="568" t="s">
        <v>1073</v>
      </c>
      <c r="C4932" s="192"/>
      <c r="D4932" s="568"/>
      <c r="E4932" s="188"/>
      <c r="F4932" s="188"/>
      <c r="G4932" s="2122"/>
      <c r="H4932" s="2117"/>
      <c r="I4932" s="2118"/>
      <c r="J4932" s="2134" t="s">
        <v>1074</v>
      </c>
      <c r="K4932" s="2123">
        <v>50</v>
      </c>
      <c r="L4932" s="192"/>
      <c r="M4932" s="568"/>
    </row>
    <row r="4933" spans="1:13" ht="12.75" hidden="1">
      <c r="A4933" s="568"/>
      <c r="B4933" s="192" t="s">
        <v>904</v>
      </c>
      <c r="C4933" s="192"/>
      <c r="D4933" s="568"/>
      <c r="E4933" s="188"/>
      <c r="F4933" s="188"/>
      <c r="G4933" s="2122"/>
      <c r="H4933" s="2117"/>
      <c r="I4933" s="2118"/>
      <c r="J4933" s="2123"/>
      <c r="K4933" s="2123"/>
      <c r="L4933" s="192"/>
      <c r="M4933" s="568"/>
    </row>
    <row r="4934" spans="1:13" ht="12.75" hidden="1">
      <c r="A4934" s="568"/>
      <c r="B4934" s="568" t="s">
        <v>1047</v>
      </c>
      <c r="C4934" s="192"/>
      <c r="D4934" s="568"/>
      <c r="E4934" s="188"/>
      <c r="F4934" s="188"/>
      <c r="G4934" s="2122">
        <v>0.42</v>
      </c>
      <c r="H4934" s="2117" t="s">
        <v>262</v>
      </c>
      <c r="I4934" s="2118" t="s">
        <v>38</v>
      </c>
      <c r="J4934" s="2123">
        <f>L137</f>
        <v>495</v>
      </c>
      <c r="K4934" s="2123">
        <f>ROUND(G4934*J4934,2)</f>
        <v>207.9</v>
      </c>
      <c r="L4934" s="192"/>
      <c r="M4934" s="568"/>
    </row>
    <row r="4935" spans="1:13" ht="12.75" hidden="1">
      <c r="A4935" s="568"/>
      <c r="B4935" s="568" t="s">
        <v>1048</v>
      </c>
      <c r="C4935" s="192"/>
      <c r="D4935" s="568"/>
      <c r="E4935" s="188"/>
      <c r="F4935" s="188"/>
      <c r="G4935" s="2122">
        <v>1.68</v>
      </c>
      <c r="H4935" s="2117" t="s">
        <v>262</v>
      </c>
      <c r="I4935" s="2118" t="s">
        <v>38</v>
      </c>
      <c r="J4935" s="2123">
        <f>L136</f>
        <v>435</v>
      </c>
      <c r="K4935" s="2123">
        <f>ROUND(G4935*J4935,2)</f>
        <v>730.8</v>
      </c>
      <c r="L4935" s="192"/>
      <c r="M4935" s="568"/>
    </row>
    <row r="4936" spans="1:13" ht="12.75" hidden="1">
      <c r="A4936" s="568"/>
      <c r="B4936" s="568" t="s">
        <v>1049</v>
      </c>
      <c r="C4936" s="192"/>
      <c r="D4936" s="568"/>
      <c r="E4936" s="188"/>
      <c r="F4936" s="188"/>
      <c r="G4936" s="2122">
        <v>2.2999999999999998</v>
      </c>
      <c r="H4936" s="2117" t="s">
        <v>262</v>
      </c>
      <c r="I4936" s="2118" t="s">
        <v>38</v>
      </c>
      <c r="J4936" s="2123">
        <f>L135</f>
        <v>385</v>
      </c>
      <c r="K4936" s="2123">
        <f>ROUND(G4936*J4936,2)</f>
        <v>885.5</v>
      </c>
      <c r="L4936" s="192"/>
      <c r="M4936" s="568"/>
    </row>
    <row r="4937" spans="1:13" ht="12.75" hidden="1">
      <c r="A4937" s="568"/>
      <c r="B4937" s="568" t="s">
        <v>717</v>
      </c>
      <c r="C4937" s="192"/>
      <c r="D4937" s="568"/>
      <c r="E4937" s="188"/>
      <c r="F4937" s="188"/>
      <c r="G4937" s="2122">
        <v>3</v>
      </c>
      <c r="H4937" s="2117" t="s">
        <v>262</v>
      </c>
      <c r="I4937" s="2118" t="s">
        <v>38</v>
      </c>
      <c r="J4937" s="2123">
        <f>L134</f>
        <v>345</v>
      </c>
      <c r="K4937" s="2123">
        <f>ROUND(G4937*J4937,2)</f>
        <v>1035</v>
      </c>
      <c r="L4937" s="192"/>
      <c r="M4937" s="568"/>
    </row>
    <row r="4938" spans="1:13" ht="12.75" hidden="1">
      <c r="A4938" s="568"/>
      <c r="B4938" s="568"/>
      <c r="C4938" s="192"/>
      <c r="D4938" s="568"/>
      <c r="E4938" s="188"/>
      <c r="F4938" s="188"/>
      <c r="G4938" s="2122"/>
      <c r="H4938" s="2117"/>
      <c r="I4938" s="2118"/>
      <c r="J4938" s="2123"/>
      <c r="K4938" s="2123">
        <f>SUM(K4923:K4937)</f>
        <v>14820.47</v>
      </c>
      <c r="L4938" s="192"/>
      <c r="M4938" s="568"/>
    </row>
    <row r="4939" spans="1:13" ht="12.75" hidden="1">
      <c r="A4939" s="568"/>
      <c r="B4939" s="192"/>
      <c r="C4939" s="192"/>
      <c r="D4939" s="568"/>
      <c r="E4939" s="188"/>
      <c r="F4939" s="188"/>
      <c r="G4939" s="2134"/>
      <c r="H4939" s="2192"/>
      <c r="I4939" s="2134"/>
      <c r="J4939" s="2123"/>
      <c r="K4939" s="2123"/>
      <c r="L4939" s="192"/>
      <c r="M4939" s="568"/>
    </row>
    <row r="4940" spans="1:13" ht="12.75" hidden="1">
      <c r="A4940" s="568"/>
      <c r="B4940" s="192" t="s">
        <v>1075</v>
      </c>
      <c r="C4940" s="192"/>
      <c r="D4940" s="568"/>
      <c r="E4940" s="188"/>
      <c r="F4940" s="188"/>
      <c r="G4940" s="2134"/>
      <c r="H4940" s="2192"/>
      <c r="I4940" s="2134"/>
      <c r="J4940" s="2123"/>
      <c r="K4940" s="2123">
        <f>K4938+K4939</f>
        <v>14820.47</v>
      </c>
      <c r="L4940" s="192"/>
      <c r="M4940" s="568"/>
    </row>
    <row r="4941" spans="1:13" ht="12.75" hidden="1">
      <c r="A4941" s="568"/>
      <c r="B4941" s="192" t="s">
        <v>1076</v>
      </c>
      <c r="C4941" s="192"/>
      <c r="D4941" s="568"/>
      <c r="E4941" s="188"/>
      <c r="F4941" s="188"/>
      <c r="G4941" s="2134"/>
      <c r="H4941" s="2192"/>
      <c r="I4941" s="2134"/>
      <c r="J4941" s="2123"/>
      <c r="K4941" s="2124">
        <f>ROUND(K4940/2.16,2)</f>
        <v>6861.33</v>
      </c>
      <c r="L4941" s="2119" t="s">
        <v>730</v>
      </c>
      <c r="M4941" s="568"/>
    </row>
    <row r="4942" spans="1:13" ht="12.75" hidden="1">
      <c r="A4942" s="568"/>
      <c r="B4942" s="192" t="s">
        <v>1077</v>
      </c>
      <c r="C4942" s="192"/>
      <c r="D4942" s="568"/>
      <c r="E4942" s="188"/>
      <c r="F4942" s="188"/>
      <c r="G4942" s="2134"/>
      <c r="H4942" s="2192"/>
      <c r="I4942" s="2134"/>
      <c r="J4942" s="2123"/>
      <c r="K4942" s="2124">
        <f>K4940/27.13</f>
        <v>546.27607814227792</v>
      </c>
      <c r="L4942" s="2119" t="s">
        <v>1054</v>
      </c>
      <c r="M4942" s="568"/>
    </row>
    <row r="4943" spans="1:13" ht="124.15" hidden="1" customHeight="1">
      <c r="A4943" s="2114">
        <f>A849</f>
        <v>88</v>
      </c>
      <c r="B4943" s="3032" t="str">
        <f>B849</f>
        <v>Providing fitting, fixing of Aluminium Door with OEL anodized Al. door section of 9202 as vertical member, 9201 as top  and 9200 as bottom  and middle member and 6mm black glass in top portion with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4943" s="3017"/>
      <c r="D4943" s="3017"/>
      <c r="E4943" s="2116" t="str">
        <f>G849</f>
        <v>Each Sqm</v>
      </c>
      <c r="F4943" s="2116"/>
      <c r="G4943" s="2122"/>
      <c r="H4943" s="568"/>
      <c r="I4943" s="2118"/>
      <c r="J4943" s="2124"/>
      <c r="K4943" s="2124"/>
      <c r="L4943" s="192"/>
      <c r="M4943" s="568"/>
    </row>
    <row r="4944" spans="1:13" ht="12.75" hidden="1">
      <c r="A4944" s="568"/>
      <c r="B4944" s="2148" t="s">
        <v>1078</v>
      </c>
      <c r="C4944" s="1702"/>
      <c r="D4944" s="2151">
        <f>G4951</f>
        <v>23.764960000000002</v>
      </c>
      <c r="E4944" s="1702" t="s">
        <v>95</v>
      </c>
      <c r="F4944" s="1702"/>
      <c r="G4944" s="2134"/>
      <c r="H4944" s="2192"/>
      <c r="I4944" s="2134"/>
      <c r="J4944" s="2126"/>
      <c r="K4944" s="2124"/>
      <c r="L4944" s="192"/>
      <c r="M4944" s="568"/>
    </row>
    <row r="4945" spans="1:13" ht="12.75" hidden="1">
      <c r="A4945" s="568"/>
      <c r="B4945" s="568" t="s">
        <v>1079</v>
      </c>
      <c r="C4945" s="192"/>
      <c r="D4945" s="568"/>
      <c r="E4945" s="188"/>
      <c r="F4945" s="188"/>
      <c r="G4945" s="2134">
        <f>3.96*1.201</f>
        <v>4.75596</v>
      </c>
      <c r="H4945" s="2192" t="s">
        <v>95</v>
      </c>
      <c r="I4945" s="2134"/>
      <c r="J4945" s="2126"/>
      <c r="K4945" s="2124"/>
      <c r="L4945" s="192"/>
      <c r="M4945" s="568"/>
    </row>
    <row r="4946" spans="1:13" ht="12.75" hidden="1">
      <c r="A4946" s="568"/>
      <c r="B4946" s="568" t="s">
        <v>1080</v>
      </c>
      <c r="C4946" s="192"/>
      <c r="D4946" s="568"/>
      <c r="E4946" s="188"/>
      <c r="F4946" s="188"/>
      <c r="G4946" s="2134">
        <f>1.82*1.974</f>
        <v>3.5926800000000001</v>
      </c>
      <c r="H4946" s="2192" t="s">
        <v>95</v>
      </c>
      <c r="I4946" s="2134"/>
      <c r="J4946" s="2126"/>
      <c r="K4946" s="2124"/>
      <c r="L4946" s="192"/>
      <c r="M4946" s="568"/>
    </row>
    <row r="4947" spans="1:13" ht="12.75" hidden="1">
      <c r="A4947" s="568"/>
      <c r="B4947" s="568" t="s">
        <v>1081</v>
      </c>
      <c r="C4947" s="192"/>
      <c r="D4947" s="568"/>
      <c r="E4947" s="188"/>
      <c r="F4947" s="188"/>
      <c r="G4947" s="2134">
        <f>0.9*1.298</f>
        <v>1.1682000000000001</v>
      </c>
      <c r="H4947" s="2192" t="s">
        <v>95</v>
      </c>
      <c r="I4947" s="2134"/>
      <c r="J4947" s="2126"/>
      <c r="K4947" s="2124"/>
      <c r="L4947" s="192"/>
      <c r="M4947" s="568"/>
    </row>
    <row r="4948" spans="1:13" ht="12.75" hidden="1">
      <c r="A4948" s="568"/>
      <c r="B4948" s="568" t="s">
        <v>1082</v>
      </c>
      <c r="C4948" s="192"/>
      <c r="D4948" s="568"/>
      <c r="E4948" s="188"/>
      <c r="F4948" s="188"/>
      <c r="G4948" s="2134">
        <f>15.24*0.169</f>
        <v>2.5755600000000003</v>
      </c>
      <c r="H4948" s="2192" t="s">
        <v>95</v>
      </c>
      <c r="I4948" s="2134"/>
      <c r="J4948" s="2126"/>
      <c r="K4948" s="2124"/>
      <c r="L4948" s="192"/>
      <c r="M4948" s="568"/>
    </row>
    <row r="4949" spans="1:13" ht="12.75" hidden="1">
      <c r="A4949" s="568"/>
      <c r="B4949" s="568" t="s">
        <v>1069</v>
      </c>
      <c r="C4949" s="192"/>
      <c r="D4949" s="568"/>
      <c r="E4949" s="188"/>
      <c r="F4949" s="188"/>
      <c r="G4949" s="2134">
        <f>0.42*0.518</f>
        <v>0.21756</v>
      </c>
      <c r="H4949" s="2192" t="s">
        <v>95</v>
      </c>
      <c r="I4949" s="2134"/>
      <c r="J4949" s="2126"/>
      <c r="K4949" s="2124"/>
      <c r="L4949" s="192"/>
      <c r="M4949" s="568"/>
    </row>
    <row r="4950" spans="1:13" ht="12.75" hidden="1">
      <c r="A4950" s="568"/>
      <c r="B4950" s="568" t="s">
        <v>1083</v>
      </c>
      <c r="C4950" s="192"/>
      <c r="D4950" s="568"/>
      <c r="E4950" s="188"/>
      <c r="F4950" s="188"/>
      <c r="G4950" s="2200">
        <f>5.8*1.975</f>
        <v>11.455</v>
      </c>
      <c r="H4950" s="2192" t="s">
        <v>95</v>
      </c>
      <c r="I4950" s="2134"/>
      <c r="J4950" s="2126"/>
      <c r="K4950" s="2124"/>
      <c r="L4950" s="192"/>
      <c r="M4950" s="568"/>
    </row>
    <row r="4951" spans="1:13" ht="12.75" hidden="1">
      <c r="A4951" s="568"/>
      <c r="B4951" s="568"/>
      <c r="C4951" s="192"/>
      <c r="D4951" s="568"/>
      <c r="E4951" s="188"/>
      <c r="F4951" s="188"/>
      <c r="G4951" s="2134">
        <f>SUM(G4945:G4950)</f>
        <v>23.764960000000002</v>
      </c>
      <c r="H4951" s="2192" t="s">
        <v>95</v>
      </c>
      <c r="I4951" s="2134"/>
      <c r="J4951" s="2126"/>
      <c r="K4951" s="2124"/>
      <c r="L4951" s="192"/>
      <c r="M4951" s="568"/>
    </row>
    <row r="4952" spans="1:13" ht="12.75" hidden="1">
      <c r="A4952" s="568"/>
      <c r="B4952" s="568"/>
      <c r="C4952" s="192" t="s">
        <v>1071</v>
      </c>
      <c r="D4952" s="568"/>
      <c r="E4952" s="188"/>
      <c r="F4952" s="188"/>
      <c r="G4952" s="2200">
        <f>G4951*5%</f>
        <v>1.1882480000000002</v>
      </c>
      <c r="H4952" s="2192" t="s">
        <v>95</v>
      </c>
      <c r="I4952" s="2134"/>
      <c r="J4952" s="2126"/>
      <c r="K4952" s="2124"/>
      <c r="L4952" s="192"/>
      <c r="M4952" s="568"/>
    </row>
    <row r="4953" spans="1:13" ht="12.75" hidden="1">
      <c r="A4953" s="568"/>
      <c r="B4953" s="568"/>
      <c r="C4953" s="192"/>
      <c r="D4953" s="568"/>
      <c r="E4953" s="188"/>
      <c r="F4953" s="188"/>
      <c r="G4953" s="2126">
        <f>SUM(G4951:G4952)</f>
        <v>24.953208000000004</v>
      </c>
      <c r="H4953" s="2194" t="s">
        <v>95</v>
      </c>
      <c r="I4953" s="2134"/>
      <c r="J4953" s="2126"/>
      <c r="K4953" s="2124"/>
      <c r="L4953" s="192"/>
      <c r="M4953" s="568"/>
    </row>
    <row r="4954" spans="1:13" ht="12.75" hidden="1">
      <c r="A4954" s="568"/>
      <c r="B4954" s="192" t="s">
        <v>822</v>
      </c>
      <c r="C4954" s="192"/>
      <c r="D4954" s="568"/>
      <c r="E4954" s="188"/>
      <c r="F4954" s="188"/>
      <c r="G4954" s="2134"/>
      <c r="H4954" s="2192"/>
      <c r="I4954" s="2134"/>
      <c r="J4954" s="2123"/>
      <c r="K4954" s="2123"/>
      <c r="L4954" s="192"/>
      <c r="M4954" s="568"/>
    </row>
    <row r="4955" spans="1:13" ht="12.75" hidden="1">
      <c r="A4955" s="568"/>
      <c r="B4955" s="568" t="s">
        <v>280</v>
      </c>
      <c r="C4955" s="192"/>
      <c r="D4955" s="568"/>
      <c r="E4955" s="188"/>
      <c r="F4955" s="188"/>
      <c r="G4955" s="2122">
        <v>24.95</v>
      </c>
      <c r="H4955" s="2117" t="s">
        <v>95</v>
      </c>
      <c r="I4955" s="2118" t="s">
        <v>95</v>
      </c>
      <c r="J4955" s="2123">
        <f>G186</f>
        <v>297.97000000000003</v>
      </c>
      <c r="K4955" s="2123">
        <f t="shared" ref="K4955:K4964" si="283">ROUND(G4955*J4955,2)</f>
        <v>7434.35</v>
      </c>
      <c r="L4955" s="192"/>
      <c r="M4955" s="568"/>
    </row>
    <row r="4956" spans="1:13" ht="12.75" hidden="1">
      <c r="A4956" s="568"/>
      <c r="B4956" s="568" t="s">
        <v>257</v>
      </c>
      <c r="C4956" s="192"/>
      <c r="D4956" s="568"/>
      <c r="E4956" s="188"/>
      <c r="F4956" s="188"/>
      <c r="G4956" s="2122">
        <v>1.07</v>
      </c>
      <c r="H4956" s="2117" t="s">
        <v>92</v>
      </c>
      <c r="I4956" s="2118" t="s">
        <v>92</v>
      </c>
      <c r="J4956" s="2123">
        <f>G175</f>
        <v>710.82</v>
      </c>
      <c r="K4956" s="2123">
        <f t="shared" si="283"/>
        <v>760.58</v>
      </c>
      <c r="L4956" s="192"/>
      <c r="M4956" s="568"/>
    </row>
    <row r="4957" spans="1:13" ht="12.75" hidden="1">
      <c r="A4957" s="2114"/>
      <c r="B4957" s="568" t="s">
        <v>278</v>
      </c>
      <c r="C4957" s="568"/>
      <c r="D4957" s="568"/>
      <c r="E4957" s="188"/>
      <c r="F4957" s="188"/>
      <c r="G4957" s="2122">
        <v>0.92</v>
      </c>
      <c r="H4957" s="568" t="s">
        <v>92</v>
      </c>
      <c r="I4957" s="2118" t="s">
        <v>92</v>
      </c>
      <c r="J4957" s="2123">
        <f>G185</f>
        <v>843.5</v>
      </c>
      <c r="K4957" s="2123">
        <f t="shared" si="283"/>
        <v>776.02</v>
      </c>
      <c r="L4957" s="192"/>
      <c r="M4957" s="568"/>
    </row>
    <row r="4958" spans="1:13" ht="12.75" hidden="1">
      <c r="A4958" s="568"/>
      <c r="B4958" s="568" t="s">
        <v>266</v>
      </c>
      <c r="C4958" s="192"/>
      <c r="D4958" s="568"/>
      <c r="E4958" s="188"/>
      <c r="F4958" s="188"/>
      <c r="G4958" s="2122">
        <v>4</v>
      </c>
      <c r="H4958" s="2117" t="s">
        <v>37</v>
      </c>
      <c r="I4958" s="2118" t="s">
        <v>37</v>
      </c>
      <c r="J4958" s="2123">
        <f>G179</f>
        <v>39</v>
      </c>
      <c r="K4958" s="2123">
        <f t="shared" si="283"/>
        <v>156</v>
      </c>
      <c r="L4958" s="192"/>
      <c r="M4958" s="568"/>
    </row>
    <row r="4959" spans="1:13" ht="12.75" hidden="1">
      <c r="A4959" s="568"/>
      <c r="B4959" s="568" t="s">
        <v>268</v>
      </c>
      <c r="C4959" s="192"/>
      <c r="D4959" s="568"/>
      <c r="E4959" s="188"/>
      <c r="F4959" s="188"/>
      <c r="G4959" s="2122">
        <v>18.29</v>
      </c>
      <c r="H4959" s="2117" t="s">
        <v>136</v>
      </c>
      <c r="I4959" s="2118" t="s">
        <v>136</v>
      </c>
      <c r="J4959" s="2184">
        <v>15</v>
      </c>
      <c r="K4959" s="2123">
        <f t="shared" si="283"/>
        <v>274.35000000000002</v>
      </c>
      <c r="L4959" s="192"/>
      <c r="M4959" s="568"/>
    </row>
    <row r="4960" spans="1:13" ht="12.75" hidden="1">
      <c r="A4960" s="568"/>
      <c r="B4960" s="568" t="s">
        <v>270</v>
      </c>
      <c r="C4960" s="192"/>
      <c r="D4960" s="568"/>
      <c r="E4960" s="188"/>
      <c r="F4960" s="188"/>
      <c r="G4960" s="2122">
        <v>1</v>
      </c>
      <c r="H4960" s="2117" t="s">
        <v>262</v>
      </c>
      <c r="I4960" s="2118" t="s">
        <v>38</v>
      </c>
      <c r="J4960" s="2123">
        <f>G181</f>
        <v>25</v>
      </c>
      <c r="K4960" s="2123">
        <f t="shared" si="283"/>
        <v>25</v>
      </c>
      <c r="L4960" s="192"/>
      <c r="M4960" s="568"/>
    </row>
    <row r="4961" spans="1:15" ht="12.75" hidden="1">
      <c r="A4961" s="568"/>
      <c r="B4961" s="568" t="s">
        <v>272</v>
      </c>
      <c r="C4961" s="192"/>
      <c r="D4961" s="568"/>
      <c r="E4961" s="188"/>
      <c r="F4961" s="188"/>
      <c r="G4961" s="2122">
        <v>2</v>
      </c>
      <c r="H4961" s="2117" t="s">
        <v>262</v>
      </c>
      <c r="I4961" s="2118" t="s">
        <v>38</v>
      </c>
      <c r="J4961" s="2123">
        <f>G182</f>
        <v>62.5</v>
      </c>
      <c r="K4961" s="2123">
        <f t="shared" si="283"/>
        <v>125</v>
      </c>
      <c r="L4961" s="192"/>
      <c r="M4961" s="568"/>
    </row>
    <row r="4962" spans="1:15" ht="12.75" hidden="1">
      <c r="A4962" s="568"/>
      <c r="B4962" s="568" t="s">
        <v>274</v>
      </c>
      <c r="C4962" s="192"/>
      <c r="D4962" s="568"/>
      <c r="E4962" s="188"/>
      <c r="F4962" s="188"/>
      <c r="G4962" s="2122">
        <v>1</v>
      </c>
      <c r="H4962" s="2117" t="s">
        <v>262</v>
      </c>
      <c r="I4962" s="2118" t="s">
        <v>38</v>
      </c>
      <c r="J4962" s="2123">
        <f>G183</f>
        <v>400</v>
      </c>
      <c r="K4962" s="2123">
        <f t="shared" si="283"/>
        <v>400</v>
      </c>
      <c r="L4962" s="192"/>
      <c r="M4962" s="568"/>
    </row>
    <row r="4963" spans="1:15" ht="12.75" hidden="1">
      <c r="A4963" s="568"/>
      <c r="B4963" s="568" t="s">
        <v>276</v>
      </c>
      <c r="C4963" s="192"/>
      <c r="D4963" s="568"/>
      <c r="E4963" s="188"/>
      <c r="F4963" s="188"/>
      <c r="G4963" s="2122">
        <v>1</v>
      </c>
      <c r="H4963" s="2117" t="s">
        <v>262</v>
      </c>
      <c r="I4963" s="2118" t="s">
        <v>38</v>
      </c>
      <c r="J4963" s="2123">
        <f>G184</f>
        <v>600</v>
      </c>
      <c r="K4963" s="2123">
        <f t="shared" si="283"/>
        <v>600</v>
      </c>
      <c r="L4963" s="192"/>
      <c r="M4963" s="568"/>
    </row>
    <row r="4964" spans="1:15" ht="12.75" hidden="1">
      <c r="A4964" s="568"/>
      <c r="B4964" s="568" t="s">
        <v>318</v>
      </c>
      <c r="C4964" s="192"/>
      <c r="D4964" s="568"/>
      <c r="E4964" s="188"/>
      <c r="F4964" s="188"/>
      <c r="G4964" s="2122">
        <v>1.5</v>
      </c>
      <c r="H4964" s="2117" t="s">
        <v>319</v>
      </c>
      <c r="I4964" s="2118" t="s">
        <v>319</v>
      </c>
      <c r="J4964" s="2123">
        <f>M225</f>
        <v>100</v>
      </c>
      <c r="K4964" s="2123">
        <f t="shared" si="283"/>
        <v>150</v>
      </c>
      <c r="L4964" s="192"/>
      <c r="M4964" s="568"/>
    </row>
    <row r="4965" spans="1:15" ht="12.75" hidden="1">
      <c r="A4965" s="568"/>
      <c r="B4965" s="568" t="s">
        <v>1073</v>
      </c>
      <c r="C4965" s="192"/>
      <c r="D4965" s="568"/>
      <c r="E4965" s="188"/>
      <c r="F4965" s="188"/>
      <c r="G4965" s="2122"/>
      <c r="H4965" s="2117"/>
      <c r="I4965" s="2118"/>
      <c r="J4965" s="2134" t="s">
        <v>1074</v>
      </c>
      <c r="K4965" s="2123">
        <v>50</v>
      </c>
      <c r="L4965" s="192"/>
      <c r="M4965" s="568"/>
    </row>
    <row r="4966" spans="1:15" ht="12.75" hidden="1">
      <c r="A4966" s="568"/>
      <c r="B4966" s="568"/>
      <c r="C4966" s="192"/>
      <c r="D4966" s="568"/>
      <c r="E4966" s="188"/>
      <c r="F4966" s="188"/>
      <c r="G4966" s="2122"/>
      <c r="H4966" s="2117"/>
      <c r="I4966" s="2118"/>
      <c r="J4966" s="2126" t="s">
        <v>928</v>
      </c>
      <c r="K4966" s="2124">
        <f>SUM(K4955:K4965)</f>
        <v>10751.300000000001</v>
      </c>
      <c r="L4966" s="192"/>
      <c r="M4966" s="568"/>
    </row>
    <row r="4967" spans="1:15" ht="12.75" hidden="1">
      <c r="A4967" s="568"/>
      <c r="B4967" s="192" t="s">
        <v>904</v>
      </c>
      <c r="C4967" s="192"/>
      <c r="D4967" s="568"/>
      <c r="E4967" s="188"/>
      <c r="F4967" s="188"/>
      <c r="G4967" s="2122"/>
      <c r="H4967" s="2117"/>
      <c r="I4967" s="2118"/>
      <c r="J4967" s="2123"/>
      <c r="K4967" s="2123"/>
      <c r="L4967" s="192"/>
      <c r="M4967" s="568"/>
    </row>
    <row r="4968" spans="1:15" ht="12.75" hidden="1">
      <c r="A4968" s="568"/>
      <c r="B4968" s="568" t="s">
        <v>1047</v>
      </c>
      <c r="C4968" s="192"/>
      <c r="D4968" s="568"/>
      <c r="E4968" s="188"/>
      <c r="F4968" s="188"/>
      <c r="G4968" s="2122">
        <v>0.42</v>
      </c>
      <c r="H4968" s="2117" t="s">
        <v>262</v>
      </c>
      <c r="I4968" s="2118" t="s">
        <v>38</v>
      </c>
      <c r="J4968" s="2123">
        <f>L137</f>
        <v>495</v>
      </c>
      <c r="K4968" s="2123">
        <f>ROUND(G4968*J4968,2)</f>
        <v>207.9</v>
      </c>
      <c r="L4968" s="192"/>
      <c r="M4968" s="568"/>
    </row>
    <row r="4969" spans="1:15" ht="12.75" hidden="1">
      <c r="A4969" s="568"/>
      <c r="B4969" s="568" t="s">
        <v>1048</v>
      </c>
      <c r="C4969" s="192"/>
      <c r="D4969" s="568"/>
      <c r="E4969" s="188"/>
      <c r="F4969" s="188"/>
      <c r="G4969" s="2122">
        <v>1.5</v>
      </c>
      <c r="H4969" s="2117" t="s">
        <v>262</v>
      </c>
      <c r="I4969" s="2118" t="s">
        <v>38</v>
      </c>
      <c r="J4969" s="2123">
        <f>L136</f>
        <v>435</v>
      </c>
      <c r="K4969" s="2123">
        <f>ROUND(G4969*J4969,2)</f>
        <v>652.5</v>
      </c>
      <c r="L4969" s="192"/>
      <c r="M4969" s="568"/>
    </row>
    <row r="4970" spans="1:15" ht="12.75" hidden="1">
      <c r="A4970" s="568"/>
      <c r="B4970" s="568" t="s">
        <v>1049</v>
      </c>
      <c r="C4970" s="192"/>
      <c r="D4970" s="568"/>
      <c r="E4970" s="188"/>
      <c r="F4970" s="188"/>
      <c r="G4970" s="2122">
        <v>1.2</v>
      </c>
      <c r="H4970" s="2117" t="s">
        <v>262</v>
      </c>
      <c r="I4970" s="2118" t="s">
        <v>38</v>
      </c>
      <c r="J4970" s="2123">
        <f>L135</f>
        <v>385</v>
      </c>
      <c r="K4970" s="2123">
        <f>ROUND(G4970*J4970,2)</f>
        <v>462</v>
      </c>
      <c r="L4970" s="192"/>
      <c r="M4970" s="568"/>
    </row>
    <row r="4971" spans="1:15" ht="12.75" hidden="1">
      <c r="A4971" s="568"/>
      <c r="B4971" s="568" t="s">
        <v>717</v>
      </c>
      <c r="C4971" s="192"/>
      <c r="D4971" s="568"/>
      <c r="E4971" s="188"/>
      <c r="F4971" s="188"/>
      <c r="G4971" s="2122">
        <v>1.5</v>
      </c>
      <c r="H4971" s="2117" t="s">
        <v>262</v>
      </c>
      <c r="I4971" s="2118" t="s">
        <v>38</v>
      </c>
      <c r="J4971" s="2123">
        <f>L134</f>
        <v>345</v>
      </c>
      <c r="K4971" s="2123">
        <f>ROUND(G4971*J4971,2)</f>
        <v>517.5</v>
      </c>
      <c r="L4971" s="192"/>
      <c r="M4971" s="568"/>
    </row>
    <row r="4972" spans="1:15" ht="12.75" hidden="1">
      <c r="A4972" s="568"/>
      <c r="B4972" s="568"/>
      <c r="C4972" s="192"/>
      <c r="D4972" s="568"/>
      <c r="E4972" s="188"/>
      <c r="F4972" s="188"/>
      <c r="G4972" s="2122"/>
      <c r="H4972" s="2117"/>
      <c r="I4972" s="2118"/>
      <c r="J4972" s="2126" t="s">
        <v>928</v>
      </c>
      <c r="K4972" s="2124">
        <f>SUM(K4968:K4971)</f>
        <v>1839.9</v>
      </c>
      <c r="L4972" s="192"/>
      <c r="M4972" s="568"/>
      <c r="O4972" s="1709">
        <f>ROUND(K4972/1.81,1)</f>
        <v>1016.5</v>
      </c>
    </row>
    <row r="4973" spans="1:15" ht="12.75" hidden="1">
      <c r="A4973" s="568"/>
      <c r="B4973" s="192"/>
      <c r="C4973" s="192"/>
      <c r="D4973" s="568"/>
      <c r="E4973" s="188"/>
      <c r="F4973" s="188"/>
      <c r="G4973" s="2134"/>
      <c r="H4973" s="2192"/>
      <c r="I4973" s="2134"/>
      <c r="J4973" s="2123"/>
      <c r="K4973" s="2123"/>
      <c r="L4973" s="192"/>
      <c r="M4973" s="568"/>
    </row>
    <row r="4974" spans="1:15" ht="12.75" hidden="1">
      <c r="A4974" s="568"/>
      <c r="B4974" s="192" t="s">
        <v>1084</v>
      </c>
      <c r="C4974" s="192"/>
      <c r="D4974" s="568"/>
      <c r="E4974" s="188"/>
      <c r="F4974" s="188"/>
      <c r="G4974" s="2134"/>
      <c r="H4974" s="2192"/>
      <c r="I4974" s="2134"/>
      <c r="J4974" s="2123"/>
      <c r="K4974" s="2123">
        <f>K4966+K4972</f>
        <v>12591.2</v>
      </c>
      <c r="L4974" s="192"/>
      <c r="M4974" s="568"/>
    </row>
    <row r="4975" spans="1:15" ht="12.75" hidden="1">
      <c r="A4975" s="568"/>
      <c r="B4975" s="192" t="s">
        <v>1085</v>
      </c>
      <c r="C4975" s="192"/>
      <c r="D4975" s="568"/>
      <c r="E4975" s="188"/>
      <c r="F4975" s="188"/>
      <c r="G4975" s="2134"/>
      <c r="H4975" s="2192"/>
      <c r="I4975" s="2134"/>
      <c r="J4975" s="2123"/>
      <c r="K4975" s="2124">
        <f>ROUND(K4974/1.81,2)</f>
        <v>6956.46</v>
      </c>
      <c r="L4975" s="2119" t="s">
        <v>730</v>
      </c>
      <c r="M4975" s="568"/>
    </row>
    <row r="4976" spans="1:15" ht="12.75" hidden="1">
      <c r="A4976" s="568"/>
      <c r="B4976" s="192" t="s">
        <v>1086</v>
      </c>
      <c r="C4976" s="192"/>
      <c r="D4976" s="568"/>
      <c r="E4976" s="188"/>
      <c r="F4976" s="188"/>
      <c r="G4976" s="2134"/>
      <c r="H4976" s="2192"/>
      <c r="I4976" s="2134"/>
      <c r="J4976" s="2123"/>
      <c r="K4976" s="2124">
        <f>K4974/23.76</f>
        <v>529.93265993265993</v>
      </c>
      <c r="L4976" s="2119" t="s">
        <v>1054</v>
      </c>
      <c r="M4976" s="568"/>
    </row>
    <row r="4977" spans="1:13" ht="125.45" hidden="1" customHeight="1">
      <c r="A4977" s="2114">
        <f>A851</f>
        <v>89</v>
      </c>
      <c r="B4977" s="3032" t="str">
        <f>B851</f>
        <v>Providing fitting, fixing of Aluminium Door with OEL anodized Al. door section of 9202 as vertical member, 9200 as top  and   bottom  member.  9232 as middle member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4977" s="3032"/>
      <c r="D4977" s="3032"/>
      <c r="E4977" s="2116" t="str">
        <f>G913</f>
        <v>Each Sqm</v>
      </c>
      <c r="F4977" s="2116"/>
      <c r="G4977" s="2122"/>
      <c r="H4977" s="568"/>
      <c r="I4977" s="2118"/>
      <c r="J4977" s="2124"/>
      <c r="K4977" s="2124"/>
      <c r="L4977" s="192"/>
      <c r="M4977" s="568"/>
    </row>
    <row r="4978" spans="1:13" ht="12.75" hidden="1">
      <c r="A4978" s="568"/>
      <c r="B4978" s="568" t="s">
        <v>1087</v>
      </c>
      <c r="C4978" s="192"/>
      <c r="D4978" s="2123">
        <f>G4984</f>
        <v>14.540000000000001</v>
      </c>
      <c r="E4978" s="188" t="s">
        <v>95</v>
      </c>
      <c r="F4978" s="188"/>
      <c r="G4978" s="2134"/>
      <c r="H4978" s="2192"/>
      <c r="I4978" s="2134"/>
      <c r="J4978" s="2126"/>
      <c r="K4978" s="2124"/>
      <c r="L4978" s="192"/>
      <c r="M4978" s="568"/>
    </row>
    <row r="4979" spans="1:13" ht="12.75" hidden="1">
      <c r="A4979" s="568"/>
      <c r="B4979" s="568" t="s">
        <v>1088</v>
      </c>
      <c r="C4979" s="192"/>
      <c r="D4979" s="568"/>
      <c r="E4979" s="188" t="s">
        <v>1039</v>
      </c>
      <c r="F4979" s="188"/>
      <c r="G4979" s="2134">
        <f>ROUND(4.06*1.202,2)</f>
        <v>4.88</v>
      </c>
      <c r="H4979" s="2192" t="s">
        <v>95</v>
      </c>
      <c r="I4979" s="2134"/>
      <c r="J4979" s="2126"/>
      <c r="K4979" s="2124"/>
      <c r="L4979" s="192"/>
      <c r="M4979" s="568"/>
    </row>
    <row r="4980" spans="1:13" ht="12.75" hidden="1">
      <c r="A4980" s="568"/>
      <c r="B4980" s="568" t="s">
        <v>1089</v>
      </c>
      <c r="C4980" s="192"/>
      <c r="D4980" s="568"/>
      <c r="E4980" s="188" t="s">
        <v>1039</v>
      </c>
      <c r="F4980" s="188"/>
      <c r="G4980" s="2134">
        <f>ROUND(2.13*1.974,2)</f>
        <v>4.2</v>
      </c>
      <c r="H4980" s="2192" t="s">
        <v>95</v>
      </c>
      <c r="I4980" s="2134"/>
      <c r="J4980" s="2126"/>
      <c r="K4980" s="2124"/>
      <c r="L4980" s="192"/>
      <c r="M4980" s="568"/>
    </row>
    <row r="4981" spans="1:13" ht="12.75" hidden="1">
      <c r="A4981" s="568"/>
      <c r="B4981" s="568" t="s">
        <v>1090</v>
      </c>
      <c r="C4981" s="192"/>
      <c r="D4981" s="568"/>
      <c r="E4981" s="188" t="s">
        <v>1039</v>
      </c>
      <c r="F4981" s="188"/>
      <c r="G4981" s="2134">
        <f>ROUND(1.07*1.299,2)</f>
        <v>1.39</v>
      </c>
      <c r="H4981" s="2192" t="s">
        <v>95</v>
      </c>
      <c r="I4981" s="2134"/>
      <c r="J4981" s="2126"/>
      <c r="K4981" s="2124"/>
      <c r="L4981" s="192"/>
      <c r="M4981" s="568"/>
    </row>
    <row r="4982" spans="1:13" ht="12.75" hidden="1">
      <c r="A4982" s="568"/>
      <c r="B4982" s="568" t="s">
        <v>1068</v>
      </c>
      <c r="C4982" s="192"/>
      <c r="D4982" s="568"/>
      <c r="E4982" s="188" t="s">
        <v>1039</v>
      </c>
      <c r="F4982" s="188"/>
      <c r="G4982" s="2134">
        <f>ROUND(16.65*0.169,2)</f>
        <v>2.81</v>
      </c>
      <c r="H4982" s="2192" t="s">
        <v>95</v>
      </c>
      <c r="I4982" s="2134"/>
      <c r="J4982" s="2126"/>
      <c r="K4982" s="2124"/>
      <c r="L4982" s="192"/>
      <c r="M4982" s="568"/>
    </row>
    <row r="4983" spans="1:13" ht="12.75" hidden="1">
      <c r="A4983" s="568"/>
      <c r="B4983" s="568" t="s">
        <v>1091</v>
      </c>
      <c r="C4983" s="192"/>
      <c r="D4983" s="568"/>
      <c r="E4983" s="188" t="s">
        <v>1039</v>
      </c>
      <c r="F4983" s="188"/>
      <c r="G4983" s="2200">
        <f>ROUND(2.44*0.518,2)</f>
        <v>1.26</v>
      </c>
      <c r="H4983" s="2192" t="s">
        <v>95</v>
      </c>
      <c r="I4983" s="2134"/>
      <c r="J4983" s="2126"/>
      <c r="K4983" s="2124"/>
      <c r="L4983" s="192"/>
      <c r="M4983" s="568"/>
    </row>
    <row r="4984" spans="1:13" ht="12.75" hidden="1">
      <c r="A4984" s="568"/>
      <c r="B4984" s="568"/>
      <c r="C4984" s="192"/>
      <c r="D4984" s="568"/>
      <c r="E4984" s="188"/>
      <c r="F4984" s="188"/>
      <c r="G4984" s="2134">
        <f>SUM(G4979:G4983)</f>
        <v>14.540000000000001</v>
      </c>
      <c r="H4984" s="2192" t="s">
        <v>95</v>
      </c>
      <c r="I4984" s="2134"/>
      <c r="J4984" s="2126"/>
      <c r="K4984" s="2124"/>
      <c r="L4984" s="192"/>
      <c r="M4984" s="568"/>
    </row>
    <row r="4985" spans="1:13" ht="12.75" hidden="1">
      <c r="A4985" s="568"/>
      <c r="B4985" s="568"/>
      <c r="C4985" s="192" t="s">
        <v>1092</v>
      </c>
      <c r="D4985" s="568"/>
      <c r="E4985" s="188"/>
      <c r="F4985" s="188"/>
      <c r="G4985" s="2200">
        <f>ROUND(G4984*10%,2)</f>
        <v>1.45</v>
      </c>
      <c r="H4985" s="2192" t="s">
        <v>95</v>
      </c>
      <c r="I4985" s="2134"/>
      <c r="J4985" s="2126"/>
      <c r="K4985" s="2124"/>
      <c r="L4985" s="192"/>
      <c r="M4985" s="568"/>
    </row>
    <row r="4986" spans="1:13" ht="12.75" hidden="1">
      <c r="A4986" s="568"/>
      <c r="B4986" s="568"/>
      <c r="C4986" s="192"/>
      <c r="D4986" s="568"/>
      <c r="E4986" s="188"/>
      <c r="F4986" s="188"/>
      <c r="G4986" s="2126">
        <f>SUM(G4984:G4985)</f>
        <v>15.99</v>
      </c>
      <c r="H4986" s="2194" t="s">
        <v>95</v>
      </c>
      <c r="I4986" s="2134"/>
      <c r="J4986" s="2126"/>
      <c r="K4986" s="2124"/>
      <c r="L4986" s="192"/>
      <c r="M4986" s="568"/>
    </row>
    <row r="4987" spans="1:13" ht="12.75" hidden="1">
      <c r="A4987" s="568"/>
      <c r="B4987" s="192" t="s">
        <v>1072</v>
      </c>
      <c r="C4987" s="192"/>
      <c r="D4987" s="568"/>
      <c r="E4987" s="188"/>
      <c r="F4987" s="188"/>
      <c r="G4987" s="2134"/>
      <c r="H4987" s="2192"/>
      <c r="I4987" s="2134"/>
      <c r="J4987" s="2123"/>
      <c r="K4987" s="2123"/>
      <c r="L4987" s="192"/>
      <c r="M4987" s="568"/>
    </row>
    <row r="4988" spans="1:13" ht="12.75" hidden="1">
      <c r="A4988" s="568"/>
      <c r="B4988" s="568" t="s">
        <v>280</v>
      </c>
      <c r="C4988" s="192"/>
      <c r="D4988" s="568"/>
      <c r="E4988" s="188"/>
      <c r="F4988" s="188"/>
      <c r="G4988" s="2122">
        <f>G4986</f>
        <v>15.99</v>
      </c>
      <c r="H4988" s="2117" t="s">
        <v>95</v>
      </c>
      <c r="I4988" s="2118" t="s">
        <v>95</v>
      </c>
      <c r="J4988" s="2123">
        <f>G186</f>
        <v>297.97000000000003</v>
      </c>
      <c r="K4988" s="2123">
        <f t="shared" ref="K4988:K4996" si="284">ROUND(G4988*J4988,2)</f>
        <v>4764.54</v>
      </c>
      <c r="L4988" s="192"/>
      <c r="M4988" s="568"/>
    </row>
    <row r="4989" spans="1:13" ht="12.75" hidden="1">
      <c r="A4989" s="568"/>
      <c r="B4989" s="568" t="s">
        <v>257</v>
      </c>
      <c r="C4989" s="192"/>
      <c r="D4989" s="568"/>
      <c r="E4989" s="188"/>
      <c r="F4989" s="188"/>
      <c r="G4989" s="2122">
        <v>2.38</v>
      </c>
      <c r="H4989" s="2117" t="s">
        <v>92</v>
      </c>
      <c r="I4989" s="2118" t="s">
        <v>92</v>
      </c>
      <c r="J4989" s="2123">
        <f>G175</f>
        <v>710.82</v>
      </c>
      <c r="K4989" s="2123">
        <f t="shared" si="284"/>
        <v>1691.75</v>
      </c>
      <c r="L4989" s="192"/>
      <c r="M4989" s="568"/>
    </row>
    <row r="4990" spans="1:13" ht="12.75" hidden="1">
      <c r="A4990" s="568"/>
      <c r="B4990" s="568" t="s">
        <v>266</v>
      </c>
      <c r="C4990" s="192"/>
      <c r="D4990" s="568"/>
      <c r="E4990" s="188"/>
      <c r="F4990" s="188"/>
      <c r="G4990" s="2122">
        <v>4</v>
      </c>
      <c r="H4990" s="2117" t="s">
        <v>37</v>
      </c>
      <c r="I4990" s="2118" t="s">
        <v>37</v>
      </c>
      <c r="J4990" s="2123">
        <f>G185</f>
        <v>843.5</v>
      </c>
      <c r="K4990" s="2123">
        <f t="shared" si="284"/>
        <v>3374</v>
      </c>
      <c r="L4990" s="192"/>
      <c r="M4990" s="568"/>
    </row>
    <row r="4991" spans="1:13" ht="12.75" hidden="1">
      <c r="A4991" s="568"/>
      <c r="B4991" s="568" t="s">
        <v>268</v>
      </c>
      <c r="C4991" s="192"/>
      <c r="D4991" s="568"/>
      <c r="E4991" s="188"/>
      <c r="F4991" s="188"/>
      <c r="G4991" s="2122">
        <v>18.29</v>
      </c>
      <c r="H4991" s="2117" t="s">
        <v>136</v>
      </c>
      <c r="I4991" s="2118" t="s">
        <v>136</v>
      </c>
      <c r="J4991" s="2123">
        <v>15</v>
      </c>
      <c r="K4991" s="2123">
        <f t="shared" si="284"/>
        <v>274.35000000000002</v>
      </c>
      <c r="L4991" s="192"/>
      <c r="M4991" s="568"/>
    </row>
    <row r="4992" spans="1:13" ht="12.75" hidden="1">
      <c r="A4992" s="568"/>
      <c r="B4992" s="568" t="s">
        <v>270</v>
      </c>
      <c r="C4992" s="192"/>
      <c r="D4992" s="568"/>
      <c r="E4992" s="188"/>
      <c r="F4992" s="188"/>
      <c r="G4992" s="2122">
        <v>1</v>
      </c>
      <c r="H4992" s="2117" t="s">
        <v>262</v>
      </c>
      <c r="I4992" s="2118" t="s">
        <v>38</v>
      </c>
      <c r="J4992" s="2123">
        <f>G181</f>
        <v>25</v>
      </c>
      <c r="K4992" s="2123">
        <f t="shared" si="284"/>
        <v>25</v>
      </c>
      <c r="L4992" s="192"/>
      <c r="M4992" s="568"/>
    </row>
    <row r="4993" spans="1:13" ht="12.75" hidden="1">
      <c r="A4993" s="568"/>
      <c r="B4993" s="568" t="s">
        <v>272</v>
      </c>
      <c r="C4993" s="192"/>
      <c r="D4993" s="568"/>
      <c r="E4993" s="188"/>
      <c r="F4993" s="188"/>
      <c r="G4993" s="2122">
        <v>2</v>
      </c>
      <c r="H4993" s="2117" t="s">
        <v>262</v>
      </c>
      <c r="I4993" s="2118" t="s">
        <v>38</v>
      </c>
      <c r="J4993" s="2123">
        <f>G182</f>
        <v>62.5</v>
      </c>
      <c r="K4993" s="2123">
        <f t="shared" si="284"/>
        <v>125</v>
      </c>
      <c r="L4993" s="192"/>
      <c r="M4993" s="568"/>
    </row>
    <row r="4994" spans="1:13" ht="12.75" hidden="1">
      <c r="A4994" s="568"/>
      <c r="B4994" s="568" t="s">
        <v>274</v>
      </c>
      <c r="C4994" s="192"/>
      <c r="D4994" s="568"/>
      <c r="E4994" s="188"/>
      <c r="F4994" s="188"/>
      <c r="G4994" s="2122">
        <v>1</v>
      </c>
      <c r="H4994" s="2117" t="s">
        <v>262</v>
      </c>
      <c r="I4994" s="2118" t="s">
        <v>38</v>
      </c>
      <c r="J4994" s="2123">
        <f>G183</f>
        <v>400</v>
      </c>
      <c r="K4994" s="2123">
        <f t="shared" si="284"/>
        <v>400</v>
      </c>
      <c r="L4994" s="192"/>
      <c r="M4994" s="568"/>
    </row>
    <row r="4995" spans="1:13" ht="12.75" hidden="1">
      <c r="A4995" s="568"/>
      <c r="B4995" s="568" t="s">
        <v>276</v>
      </c>
      <c r="C4995" s="192"/>
      <c r="D4995" s="568"/>
      <c r="E4995" s="188"/>
      <c r="F4995" s="188"/>
      <c r="G4995" s="2122">
        <v>1</v>
      </c>
      <c r="H4995" s="2117" t="s">
        <v>262</v>
      </c>
      <c r="I4995" s="2118" t="s">
        <v>38</v>
      </c>
      <c r="J4995" s="2123">
        <f>G184</f>
        <v>600</v>
      </c>
      <c r="K4995" s="2123">
        <f t="shared" si="284"/>
        <v>600</v>
      </c>
      <c r="L4995" s="192"/>
      <c r="M4995" s="568"/>
    </row>
    <row r="4996" spans="1:13" ht="12.75" hidden="1">
      <c r="A4996" s="568"/>
      <c r="B4996" s="568" t="s">
        <v>318</v>
      </c>
      <c r="C4996" s="192"/>
      <c r="D4996" s="568"/>
      <c r="E4996" s="188"/>
      <c r="F4996" s="188"/>
      <c r="G4996" s="2122">
        <v>1.5</v>
      </c>
      <c r="H4996" s="2117" t="s">
        <v>319</v>
      </c>
      <c r="I4996" s="2118" t="s">
        <v>319</v>
      </c>
      <c r="J4996" s="2123">
        <f>M225</f>
        <v>100</v>
      </c>
      <c r="K4996" s="2123">
        <f t="shared" si="284"/>
        <v>150</v>
      </c>
      <c r="L4996" s="192"/>
      <c r="M4996" s="568"/>
    </row>
    <row r="4997" spans="1:13" ht="12.75" hidden="1">
      <c r="A4997" s="568"/>
      <c r="B4997" s="568" t="s">
        <v>1073</v>
      </c>
      <c r="C4997" s="192"/>
      <c r="D4997" s="568"/>
      <c r="E4997" s="188"/>
      <c r="F4997" s="188"/>
      <c r="G4997" s="2122"/>
      <c r="H4997" s="2117"/>
      <c r="I4997" s="2118"/>
      <c r="J4997" s="2134" t="s">
        <v>1074</v>
      </c>
      <c r="K4997" s="2123">
        <v>50</v>
      </c>
      <c r="L4997" s="192"/>
      <c r="M4997" s="568"/>
    </row>
    <row r="4998" spans="1:13" ht="12.75" hidden="1">
      <c r="A4998" s="568"/>
      <c r="B4998" s="192" t="s">
        <v>904</v>
      </c>
      <c r="C4998" s="192"/>
      <c r="D4998" s="568"/>
      <c r="E4998" s="188"/>
      <c r="F4998" s="188"/>
      <c r="G4998" s="2122"/>
      <c r="H4998" s="2117"/>
      <c r="I4998" s="2118"/>
      <c r="J4998" s="2123"/>
      <c r="K4998" s="2123"/>
      <c r="L4998" s="192"/>
      <c r="M4998" s="568"/>
    </row>
    <row r="4999" spans="1:13" ht="12.75" hidden="1">
      <c r="A4999" s="568"/>
      <c r="B4999" s="568" t="s">
        <v>1093</v>
      </c>
      <c r="C4999" s="192"/>
      <c r="D4999" s="568"/>
      <c r="E4999" s="188"/>
      <c r="F4999" s="188"/>
      <c r="G4999" s="2122">
        <v>6.22</v>
      </c>
      <c r="H4999" s="2117" t="s">
        <v>262</v>
      </c>
      <c r="I4999" s="2118" t="s">
        <v>38</v>
      </c>
      <c r="J4999" s="2123">
        <f>L137</f>
        <v>495</v>
      </c>
      <c r="K4999" s="2123">
        <f>ROUND(G4999*J4999,2)</f>
        <v>3078.9</v>
      </c>
      <c r="L4999" s="192"/>
      <c r="M4999" s="568"/>
    </row>
    <row r="5000" spans="1:13" ht="12.75" hidden="1">
      <c r="A5000" s="568"/>
      <c r="B5000" s="568" t="s">
        <v>1094</v>
      </c>
      <c r="C5000" s="192"/>
      <c r="D5000" s="568"/>
      <c r="E5000" s="188"/>
      <c r="F5000" s="188"/>
      <c r="G5000" s="2122">
        <v>6.22</v>
      </c>
      <c r="H5000" s="2117" t="s">
        <v>262</v>
      </c>
      <c r="I5000" s="2118" t="s">
        <v>38</v>
      </c>
      <c r="J5000" s="2123">
        <f>L135</f>
        <v>385</v>
      </c>
      <c r="K5000" s="2123">
        <f>ROUND(G5000*J5000,2)</f>
        <v>2394.6999999999998</v>
      </c>
      <c r="L5000" s="192"/>
      <c r="M5000" s="568"/>
    </row>
    <row r="5001" spans="1:13" ht="12.75" hidden="1">
      <c r="A5001" s="568"/>
      <c r="B5001" s="568"/>
      <c r="C5001" s="192"/>
      <c r="D5001" s="568"/>
      <c r="E5001" s="188"/>
      <c r="F5001" s="188"/>
      <c r="G5001" s="2122"/>
      <c r="H5001" s="2117"/>
      <c r="I5001" s="2118"/>
      <c r="J5001" s="2123"/>
      <c r="K5001" s="2123">
        <f>SUM(K4988:K5000)</f>
        <v>16928.240000000002</v>
      </c>
      <c r="L5001" s="192"/>
      <c r="M5001" s="568"/>
    </row>
    <row r="5002" spans="1:13" ht="12.75" hidden="1">
      <c r="A5002" s="568"/>
      <c r="B5002" s="192"/>
      <c r="C5002" s="192"/>
      <c r="D5002" s="568"/>
      <c r="E5002" s="188"/>
      <c r="F5002" s="188"/>
      <c r="G5002" s="2134"/>
      <c r="H5002" s="2192"/>
      <c r="I5002" s="2134"/>
      <c r="J5002" s="2123"/>
      <c r="K5002" s="2123"/>
      <c r="L5002" s="192"/>
      <c r="M5002" s="568"/>
    </row>
    <row r="5003" spans="1:13" ht="12.75" hidden="1">
      <c r="A5003" s="568"/>
      <c r="B5003" s="192" t="s">
        <v>1095</v>
      </c>
      <c r="C5003" s="192"/>
      <c r="D5003" s="568"/>
      <c r="E5003" s="188"/>
      <c r="F5003" s="188"/>
      <c r="G5003" s="2134"/>
      <c r="H5003" s="2192"/>
      <c r="I5003" s="2134"/>
      <c r="J5003" s="2123"/>
      <c r="K5003" s="2123">
        <f>K5001+K5002</f>
        <v>16928.240000000002</v>
      </c>
      <c r="L5003" s="192"/>
      <c r="M5003" s="568"/>
    </row>
    <row r="5004" spans="1:13" ht="12.75" hidden="1">
      <c r="A5004" s="568"/>
      <c r="B5004" s="192" t="s">
        <v>1076</v>
      </c>
      <c r="C5004" s="192"/>
      <c r="D5004" s="568"/>
      <c r="E5004" s="188"/>
      <c r="F5004" s="188"/>
      <c r="G5004" s="2134"/>
      <c r="H5004" s="2192"/>
      <c r="I5004" s="2134"/>
      <c r="J5004" s="2123"/>
      <c r="K5004" s="2124">
        <f>ROUND(K5003/2.16,2)</f>
        <v>7837.15</v>
      </c>
      <c r="L5004" s="2119" t="s">
        <v>730</v>
      </c>
      <c r="M5004" s="568"/>
    </row>
    <row r="5005" spans="1:13" ht="12.75" hidden="1">
      <c r="A5005" s="568"/>
      <c r="B5005" s="192" t="s">
        <v>1096</v>
      </c>
      <c r="C5005" s="192"/>
      <c r="D5005" s="568"/>
      <c r="E5005" s="188"/>
      <c r="F5005" s="188"/>
      <c r="G5005" s="2134"/>
      <c r="H5005" s="2192"/>
      <c r="I5005" s="2134"/>
      <c r="J5005" s="2123"/>
      <c r="K5005" s="2124">
        <f>K5003/14.54</f>
        <v>1164.2530949105917</v>
      </c>
      <c r="L5005" s="2119" t="s">
        <v>1054</v>
      </c>
      <c r="M5005" s="568"/>
    </row>
    <row r="5006" spans="1:13" ht="123.6" hidden="1" customHeight="1">
      <c r="A5006" s="2114">
        <f>A853</f>
        <v>90</v>
      </c>
      <c r="B5006" s="3032" t="str">
        <f>B853</f>
        <v>Providing fitting, fixing of Aluminium Door with OEL anodized Al. door section of 9202 as vertical member, 9201 as top  and 9200 as bottom  and middle member and 6mm black glass in top portion with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5006" s="3017"/>
      <c r="D5006" s="3017"/>
      <c r="E5006" s="2116" t="str">
        <f>G914</f>
        <v>Each Sqm</v>
      </c>
      <c r="F5006" s="2116"/>
      <c r="G5006" s="2122"/>
      <c r="H5006" s="568"/>
      <c r="I5006" s="2118"/>
      <c r="J5006" s="2124"/>
      <c r="K5006" s="2124"/>
      <c r="L5006" s="192"/>
      <c r="M5006" s="568"/>
    </row>
    <row r="5007" spans="1:13" ht="12.75" hidden="1">
      <c r="A5007" s="568"/>
      <c r="B5007" s="2148" t="s">
        <v>1078</v>
      </c>
      <c r="C5007" s="1702"/>
      <c r="D5007" s="2151">
        <f>G5013</f>
        <v>13.389999999999999</v>
      </c>
      <c r="E5007" s="1702" t="s">
        <v>95</v>
      </c>
      <c r="F5007" s="1702"/>
      <c r="G5007" s="2134"/>
      <c r="H5007" s="2192"/>
      <c r="I5007" s="2134"/>
      <c r="J5007" s="2126"/>
      <c r="K5007" s="2124"/>
      <c r="L5007" s="192"/>
      <c r="M5007" s="568"/>
    </row>
    <row r="5008" spans="1:13" ht="12.75" hidden="1">
      <c r="A5008" s="568"/>
      <c r="B5008" s="568" t="s">
        <v>1097</v>
      </c>
      <c r="C5008" s="192"/>
      <c r="D5008" s="568"/>
      <c r="E5008" s="188" t="s">
        <v>1039</v>
      </c>
      <c r="F5008" s="188"/>
      <c r="G5008" s="2134">
        <f>ROUND(3.96*1.202,2)</f>
        <v>4.76</v>
      </c>
      <c r="H5008" s="2192" t="s">
        <v>95</v>
      </c>
      <c r="I5008" s="2134"/>
      <c r="J5008" s="2126"/>
      <c r="K5008" s="2124"/>
      <c r="L5008" s="192"/>
      <c r="M5008" s="568"/>
    </row>
    <row r="5009" spans="1:13" ht="12.75" hidden="1">
      <c r="A5009" s="568"/>
      <c r="B5009" s="568" t="s">
        <v>1098</v>
      </c>
      <c r="C5009" s="192"/>
      <c r="D5009" s="568"/>
      <c r="E5009" s="188" t="s">
        <v>1039</v>
      </c>
      <c r="F5009" s="188"/>
      <c r="G5009" s="2134">
        <f>ROUND(1.83*1.974,2)</f>
        <v>3.61</v>
      </c>
      <c r="H5009" s="2192" t="s">
        <v>95</v>
      </c>
      <c r="I5009" s="2134"/>
      <c r="J5009" s="2126"/>
      <c r="K5009" s="2124"/>
      <c r="L5009" s="192"/>
      <c r="M5009" s="568"/>
    </row>
    <row r="5010" spans="1:13" ht="12.75" hidden="1">
      <c r="A5010" s="568"/>
      <c r="B5010" s="568" t="s">
        <v>1099</v>
      </c>
      <c r="C5010" s="192"/>
      <c r="D5010" s="568"/>
      <c r="E5010" s="188" t="s">
        <v>1039</v>
      </c>
      <c r="F5010" s="188"/>
      <c r="G5010" s="2134">
        <f>ROUND(0.91*1.299,2)</f>
        <v>1.18</v>
      </c>
      <c r="H5010" s="2192" t="s">
        <v>95</v>
      </c>
      <c r="I5010" s="2134"/>
      <c r="J5010" s="2126"/>
      <c r="K5010" s="2124"/>
      <c r="L5010" s="192"/>
      <c r="M5010" s="568"/>
    </row>
    <row r="5011" spans="1:13" ht="12.75" hidden="1">
      <c r="A5011" s="568"/>
      <c r="B5011" s="568" t="s">
        <v>1082</v>
      </c>
      <c r="C5011" s="192"/>
      <c r="D5011" s="568"/>
      <c r="E5011" s="188" t="s">
        <v>1039</v>
      </c>
      <c r="F5011" s="188"/>
      <c r="G5011" s="2134">
        <f>ROUND(15.24*0.169,2)</f>
        <v>2.58</v>
      </c>
      <c r="H5011" s="2192" t="s">
        <v>95</v>
      </c>
      <c r="I5011" s="2134"/>
      <c r="J5011" s="2126"/>
      <c r="K5011" s="2124"/>
      <c r="L5011" s="192"/>
      <c r="M5011" s="568"/>
    </row>
    <row r="5012" spans="1:13" ht="12.75" hidden="1">
      <c r="A5012" s="568"/>
      <c r="B5012" s="568" t="s">
        <v>1091</v>
      </c>
      <c r="C5012" s="192"/>
      <c r="D5012" s="568"/>
      <c r="E5012" s="188" t="s">
        <v>1039</v>
      </c>
      <c r="F5012" s="188"/>
      <c r="G5012" s="2200">
        <f>ROUND(2.44*0.518,2)</f>
        <v>1.26</v>
      </c>
      <c r="H5012" s="2192" t="s">
        <v>95</v>
      </c>
      <c r="I5012" s="2134"/>
      <c r="J5012" s="2126"/>
      <c r="K5012" s="2124"/>
      <c r="L5012" s="192"/>
      <c r="M5012" s="568"/>
    </row>
    <row r="5013" spans="1:13" ht="12.75" hidden="1">
      <c r="A5013" s="568"/>
      <c r="B5013" s="568"/>
      <c r="C5013" s="192"/>
      <c r="D5013" s="568"/>
      <c r="E5013" s="188"/>
      <c r="F5013" s="188"/>
      <c r="G5013" s="2134">
        <f>SUM(G5008:G5012)</f>
        <v>13.389999999999999</v>
      </c>
      <c r="H5013" s="2192" t="s">
        <v>95</v>
      </c>
      <c r="I5013" s="2134"/>
      <c r="J5013" s="2126"/>
      <c r="K5013" s="2124"/>
      <c r="L5013" s="192"/>
      <c r="M5013" s="568"/>
    </row>
    <row r="5014" spans="1:13" ht="12.75" hidden="1">
      <c r="A5014" s="568"/>
      <c r="B5014" s="568"/>
      <c r="C5014" s="192" t="s">
        <v>1092</v>
      </c>
      <c r="D5014" s="568"/>
      <c r="E5014" s="188"/>
      <c r="F5014" s="188"/>
      <c r="G5014" s="2200">
        <f>ROUND(G5013*10%,2)</f>
        <v>1.34</v>
      </c>
      <c r="H5014" s="2192" t="s">
        <v>95</v>
      </c>
      <c r="I5014" s="2134"/>
      <c r="J5014" s="2126"/>
      <c r="K5014" s="2124"/>
      <c r="L5014" s="192"/>
      <c r="M5014" s="568"/>
    </row>
    <row r="5015" spans="1:13" ht="12.75" hidden="1">
      <c r="A5015" s="568"/>
      <c r="B5015" s="568"/>
      <c r="C5015" s="192"/>
      <c r="D5015" s="568"/>
      <c r="E5015" s="188"/>
      <c r="F5015" s="188"/>
      <c r="G5015" s="2126">
        <f>SUM(G5013:G5014)</f>
        <v>14.729999999999999</v>
      </c>
      <c r="H5015" s="2194" t="s">
        <v>95</v>
      </c>
      <c r="I5015" s="2134"/>
      <c r="J5015" s="2126"/>
      <c r="K5015" s="2124"/>
      <c r="L5015" s="192"/>
      <c r="M5015" s="568"/>
    </row>
    <row r="5016" spans="1:13" ht="12.75" hidden="1">
      <c r="A5016" s="568"/>
      <c r="B5016" s="192" t="s">
        <v>822</v>
      </c>
      <c r="C5016" s="192"/>
      <c r="D5016" s="568"/>
      <c r="E5016" s="188"/>
      <c r="F5016" s="188"/>
      <c r="G5016" s="2134"/>
      <c r="H5016" s="2192"/>
      <c r="I5016" s="2134"/>
      <c r="J5016" s="2123"/>
      <c r="K5016" s="2123"/>
      <c r="L5016" s="192"/>
      <c r="M5016" s="568"/>
    </row>
    <row r="5017" spans="1:13" ht="12.75" hidden="1">
      <c r="A5017" s="568"/>
      <c r="B5017" s="568" t="s">
        <v>280</v>
      </c>
      <c r="C5017" s="192"/>
      <c r="D5017" s="568"/>
      <c r="E5017" s="188"/>
      <c r="F5017" s="188"/>
      <c r="G5017" s="2122">
        <f>G5015</f>
        <v>14.729999999999999</v>
      </c>
      <c r="H5017" s="2117" t="s">
        <v>95</v>
      </c>
      <c r="I5017" s="2118" t="s">
        <v>95</v>
      </c>
      <c r="J5017" s="2123">
        <f>G186</f>
        <v>297.97000000000003</v>
      </c>
      <c r="K5017" s="2123">
        <f t="shared" ref="K5017:K5026" si="285">ROUND(G5017*J5017,2)</f>
        <v>4389.1000000000004</v>
      </c>
      <c r="L5017" s="192"/>
      <c r="M5017" s="568"/>
    </row>
    <row r="5018" spans="1:13" ht="12.75" hidden="1">
      <c r="A5018" s="568"/>
      <c r="B5018" s="568" t="s">
        <v>257</v>
      </c>
      <c r="C5018" s="192"/>
      <c r="D5018" s="568"/>
      <c r="E5018" s="188"/>
      <c r="F5018" s="188"/>
      <c r="G5018" s="2122">
        <v>1.07</v>
      </c>
      <c r="H5018" s="2117" t="s">
        <v>92</v>
      </c>
      <c r="I5018" s="2118" t="s">
        <v>92</v>
      </c>
      <c r="J5018" s="2123">
        <f>G175</f>
        <v>710.82</v>
      </c>
      <c r="K5018" s="2123">
        <f t="shared" si="285"/>
        <v>760.58</v>
      </c>
      <c r="L5018" s="192"/>
      <c r="M5018" s="568"/>
    </row>
    <row r="5019" spans="1:13" ht="12.75" hidden="1">
      <c r="A5019" s="2114"/>
      <c r="B5019" s="568" t="s">
        <v>278</v>
      </c>
      <c r="C5019" s="568"/>
      <c r="D5019" s="568"/>
      <c r="E5019" s="188"/>
      <c r="F5019" s="188"/>
      <c r="G5019" s="2122">
        <v>0.92</v>
      </c>
      <c r="H5019" s="568" t="s">
        <v>92</v>
      </c>
      <c r="I5019" s="2118" t="s">
        <v>92</v>
      </c>
      <c r="J5019" s="2123">
        <f>G185</f>
        <v>843.5</v>
      </c>
      <c r="K5019" s="2123">
        <f t="shared" si="285"/>
        <v>776.02</v>
      </c>
      <c r="L5019" s="192"/>
      <c r="M5019" s="568"/>
    </row>
    <row r="5020" spans="1:13" ht="12.75" hidden="1">
      <c r="A5020" s="568"/>
      <c r="B5020" s="568" t="s">
        <v>266</v>
      </c>
      <c r="C5020" s="192"/>
      <c r="D5020" s="568"/>
      <c r="E5020" s="188"/>
      <c r="F5020" s="188"/>
      <c r="G5020" s="2122">
        <v>4</v>
      </c>
      <c r="H5020" s="2117" t="s">
        <v>37</v>
      </c>
      <c r="I5020" s="2118" t="s">
        <v>37</v>
      </c>
      <c r="J5020" s="2123">
        <f>G179</f>
        <v>39</v>
      </c>
      <c r="K5020" s="2123">
        <f t="shared" si="285"/>
        <v>156</v>
      </c>
      <c r="L5020" s="192"/>
      <c r="M5020" s="568"/>
    </row>
    <row r="5021" spans="1:13" ht="12.75" hidden="1">
      <c r="A5021" s="568"/>
      <c r="B5021" s="568" t="s">
        <v>268</v>
      </c>
      <c r="C5021" s="192"/>
      <c r="D5021" s="568"/>
      <c r="E5021" s="188"/>
      <c r="F5021" s="188"/>
      <c r="G5021" s="2122">
        <v>18.29</v>
      </c>
      <c r="H5021" s="2117" t="s">
        <v>136</v>
      </c>
      <c r="I5021" s="2118" t="s">
        <v>136</v>
      </c>
      <c r="J5021" s="2123">
        <v>15</v>
      </c>
      <c r="K5021" s="2123">
        <f t="shared" si="285"/>
        <v>274.35000000000002</v>
      </c>
      <c r="L5021" s="192"/>
      <c r="M5021" s="568"/>
    </row>
    <row r="5022" spans="1:13" ht="12.75" hidden="1">
      <c r="A5022" s="568"/>
      <c r="B5022" s="568" t="s">
        <v>270</v>
      </c>
      <c r="C5022" s="192"/>
      <c r="D5022" s="568"/>
      <c r="E5022" s="188"/>
      <c r="F5022" s="188"/>
      <c r="G5022" s="2122">
        <v>1</v>
      </c>
      <c r="H5022" s="2117" t="s">
        <v>262</v>
      </c>
      <c r="I5022" s="2118" t="s">
        <v>38</v>
      </c>
      <c r="J5022" s="2123">
        <f>G181</f>
        <v>25</v>
      </c>
      <c r="K5022" s="2123">
        <f t="shared" si="285"/>
        <v>25</v>
      </c>
      <c r="L5022" s="192"/>
      <c r="M5022" s="568"/>
    </row>
    <row r="5023" spans="1:13" ht="12.75" hidden="1">
      <c r="A5023" s="568"/>
      <c r="B5023" s="568" t="s">
        <v>272</v>
      </c>
      <c r="C5023" s="192"/>
      <c r="D5023" s="568"/>
      <c r="E5023" s="188"/>
      <c r="F5023" s="188"/>
      <c r="G5023" s="2122">
        <v>2</v>
      </c>
      <c r="H5023" s="2117" t="s">
        <v>262</v>
      </c>
      <c r="I5023" s="2118" t="s">
        <v>38</v>
      </c>
      <c r="J5023" s="2123">
        <f>G182</f>
        <v>62.5</v>
      </c>
      <c r="K5023" s="2123">
        <f t="shared" si="285"/>
        <v>125</v>
      </c>
      <c r="L5023" s="192"/>
      <c r="M5023" s="568"/>
    </row>
    <row r="5024" spans="1:13" ht="12.75" hidden="1">
      <c r="A5024" s="568"/>
      <c r="B5024" s="568" t="s">
        <v>274</v>
      </c>
      <c r="C5024" s="192"/>
      <c r="D5024" s="568"/>
      <c r="E5024" s="188"/>
      <c r="F5024" s="188"/>
      <c r="G5024" s="2122">
        <v>1</v>
      </c>
      <c r="H5024" s="2117" t="s">
        <v>262</v>
      </c>
      <c r="I5024" s="2118" t="s">
        <v>38</v>
      </c>
      <c r="J5024" s="2123">
        <f>G183</f>
        <v>400</v>
      </c>
      <c r="K5024" s="2123">
        <f t="shared" si="285"/>
        <v>400</v>
      </c>
      <c r="L5024" s="192"/>
      <c r="M5024" s="568"/>
    </row>
    <row r="5025" spans="1:13" ht="12.75" hidden="1">
      <c r="A5025" s="568"/>
      <c r="B5025" s="568" t="s">
        <v>276</v>
      </c>
      <c r="C5025" s="192"/>
      <c r="D5025" s="568"/>
      <c r="E5025" s="188"/>
      <c r="F5025" s="188"/>
      <c r="G5025" s="2122">
        <v>1</v>
      </c>
      <c r="H5025" s="2117" t="s">
        <v>262</v>
      </c>
      <c r="I5025" s="2118" t="s">
        <v>38</v>
      </c>
      <c r="J5025" s="2123">
        <f>G184</f>
        <v>600</v>
      </c>
      <c r="K5025" s="2123">
        <f t="shared" si="285"/>
        <v>600</v>
      </c>
      <c r="L5025" s="192"/>
      <c r="M5025" s="568"/>
    </row>
    <row r="5026" spans="1:13" ht="12.75" hidden="1">
      <c r="A5026" s="568"/>
      <c r="B5026" s="568" t="s">
        <v>318</v>
      </c>
      <c r="C5026" s="192"/>
      <c r="D5026" s="568"/>
      <c r="E5026" s="188"/>
      <c r="F5026" s="188"/>
      <c r="G5026" s="2122">
        <v>1.5</v>
      </c>
      <c r="H5026" s="2117" t="s">
        <v>319</v>
      </c>
      <c r="I5026" s="2118" t="s">
        <v>319</v>
      </c>
      <c r="J5026" s="2123">
        <f>M225</f>
        <v>100</v>
      </c>
      <c r="K5026" s="2123">
        <f t="shared" si="285"/>
        <v>150</v>
      </c>
      <c r="L5026" s="192"/>
      <c r="M5026" s="568"/>
    </row>
    <row r="5027" spans="1:13" ht="12.75" hidden="1">
      <c r="A5027" s="568"/>
      <c r="B5027" s="568" t="s">
        <v>1073</v>
      </c>
      <c r="C5027" s="192"/>
      <c r="D5027" s="568"/>
      <c r="E5027" s="188"/>
      <c r="F5027" s="188"/>
      <c r="G5027" s="2122"/>
      <c r="H5027" s="2117"/>
      <c r="I5027" s="2118"/>
      <c r="J5027" s="2134" t="s">
        <v>1074</v>
      </c>
      <c r="K5027" s="2123">
        <v>50</v>
      </c>
      <c r="L5027" s="192"/>
      <c r="M5027" s="568"/>
    </row>
    <row r="5028" spans="1:13" ht="12.75" hidden="1">
      <c r="A5028" s="568"/>
      <c r="B5028" s="192" t="s">
        <v>904</v>
      </c>
      <c r="C5028" s="192"/>
      <c r="D5028" s="568"/>
      <c r="E5028" s="188"/>
      <c r="F5028" s="188"/>
      <c r="G5028" s="2122"/>
      <c r="H5028" s="2117"/>
      <c r="I5028" s="2118"/>
      <c r="J5028" s="2123"/>
      <c r="K5028" s="2123"/>
      <c r="L5028" s="192"/>
      <c r="M5028" s="568"/>
    </row>
    <row r="5029" spans="1:13" ht="12.75" hidden="1">
      <c r="A5029" s="568"/>
      <c r="B5029" s="568" t="s">
        <v>1093</v>
      </c>
      <c r="C5029" s="192"/>
      <c r="D5029" s="568"/>
      <c r="E5029" s="188"/>
      <c r="F5029" s="188"/>
      <c r="G5029" s="2122">
        <v>6.22</v>
      </c>
      <c r="H5029" s="2117" t="s">
        <v>262</v>
      </c>
      <c r="I5029" s="2118" t="s">
        <v>38</v>
      </c>
      <c r="J5029" s="2123">
        <f>L137</f>
        <v>495</v>
      </c>
      <c r="K5029" s="2123">
        <f>ROUND(G5029*J5029,2)</f>
        <v>3078.9</v>
      </c>
      <c r="L5029" s="192"/>
      <c r="M5029" s="568"/>
    </row>
    <row r="5030" spans="1:13" ht="12.75" hidden="1">
      <c r="A5030" s="568"/>
      <c r="B5030" s="568" t="s">
        <v>1094</v>
      </c>
      <c r="C5030" s="192"/>
      <c r="D5030" s="568"/>
      <c r="E5030" s="188"/>
      <c r="F5030" s="188"/>
      <c r="G5030" s="2122">
        <v>6.22</v>
      </c>
      <c r="H5030" s="2117" t="s">
        <v>262</v>
      </c>
      <c r="I5030" s="2118" t="s">
        <v>38</v>
      </c>
      <c r="J5030" s="2123">
        <f>L135</f>
        <v>385</v>
      </c>
      <c r="K5030" s="2123">
        <f>ROUND(G5030*J5030,2)</f>
        <v>2394.6999999999998</v>
      </c>
      <c r="L5030" s="192"/>
      <c r="M5030" s="568"/>
    </row>
    <row r="5031" spans="1:13" ht="12.75" hidden="1">
      <c r="A5031" s="568"/>
      <c r="B5031" s="568"/>
      <c r="C5031" s="192"/>
      <c r="D5031" s="568"/>
      <c r="E5031" s="188"/>
      <c r="F5031" s="188"/>
      <c r="G5031" s="2122"/>
      <c r="H5031" s="2117"/>
      <c r="I5031" s="2118"/>
      <c r="J5031" s="2123"/>
      <c r="K5031" s="2123">
        <f>SUM(K5017:K5030)</f>
        <v>13179.650000000001</v>
      </c>
      <c r="L5031" s="192"/>
      <c r="M5031" s="568"/>
    </row>
    <row r="5032" spans="1:13" ht="12.75" hidden="1">
      <c r="A5032" s="568"/>
      <c r="B5032" s="192"/>
      <c r="C5032" s="192"/>
      <c r="D5032" s="568"/>
      <c r="E5032" s="188"/>
      <c r="F5032" s="188"/>
      <c r="G5032" s="2134"/>
      <c r="H5032" s="2192"/>
      <c r="I5032" s="2134"/>
      <c r="J5032" s="2123"/>
      <c r="K5032" s="2123"/>
      <c r="L5032" s="192"/>
      <c r="M5032" s="568"/>
    </row>
    <row r="5033" spans="1:13" ht="12.75" hidden="1">
      <c r="A5033" s="568"/>
      <c r="B5033" s="192" t="s">
        <v>1100</v>
      </c>
      <c r="C5033" s="192"/>
      <c r="D5033" s="568"/>
      <c r="E5033" s="188"/>
      <c r="F5033" s="188"/>
      <c r="G5033" s="2134"/>
      <c r="H5033" s="2192"/>
      <c r="I5033" s="2134"/>
      <c r="J5033" s="2123"/>
      <c r="K5033" s="2123">
        <f>K5031+K5032</f>
        <v>13179.650000000001</v>
      </c>
      <c r="L5033" s="192"/>
      <c r="M5033" s="568"/>
    </row>
    <row r="5034" spans="1:13" ht="12.75" hidden="1">
      <c r="A5034" s="568"/>
      <c r="B5034" s="192" t="s">
        <v>1085</v>
      </c>
      <c r="C5034" s="192"/>
      <c r="D5034" s="568"/>
      <c r="E5034" s="188"/>
      <c r="F5034" s="188"/>
      <c r="G5034" s="2134"/>
      <c r="H5034" s="2192"/>
      <c r="I5034" s="2134"/>
      <c r="J5034" s="2123"/>
      <c r="K5034" s="2124">
        <f>ROUND(K5033/1.81,2)</f>
        <v>7281.57</v>
      </c>
      <c r="L5034" s="2119" t="s">
        <v>730</v>
      </c>
      <c r="M5034" s="568"/>
    </row>
    <row r="5035" spans="1:13" ht="12.75" hidden="1">
      <c r="A5035" s="568"/>
      <c r="B5035" s="192" t="s">
        <v>1101</v>
      </c>
      <c r="C5035" s="192"/>
      <c r="D5035" s="568"/>
      <c r="E5035" s="188"/>
      <c r="F5035" s="188"/>
      <c r="G5035" s="2134"/>
      <c r="H5035" s="2192"/>
      <c r="I5035" s="2134"/>
      <c r="J5035" s="2123"/>
      <c r="K5035" s="2124">
        <f>ROUND(K5033/13.39,2)</f>
        <v>984.29</v>
      </c>
      <c r="L5035" s="2119" t="s">
        <v>1054</v>
      </c>
      <c r="M5035" s="568"/>
    </row>
    <row r="5036" spans="1:13" ht="83.45" hidden="1" customHeight="1">
      <c r="A5036" s="2114">
        <f>A855</f>
        <v>91</v>
      </c>
      <c r="B5036" s="3032" t="str">
        <f>B855</f>
        <v>Supplying, fitting, fixing of Window (Sliding type) made of aluminium section 151-154, 151-155, as window frame section No-151-155, 151-153 and 151-167 as shutter frame with 5mm thick black glass as panel fitted with rubber beading including locking arrangement including cost of materials all taxes labour, T&amp;P etc.complete as per direction of Engineer-in-charge.</v>
      </c>
      <c r="C5036" s="3017"/>
      <c r="D5036" s="3017"/>
      <c r="E5036" s="2116" t="str">
        <f>G804</f>
        <v>Each Sqm</v>
      </c>
      <c r="F5036" s="2116"/>
      <c r="G5036" s="2122"/>
      <c r="H5036" s="568"/>
      <c r="I5036" s="2118"/>
      <c r="J5036" s="2124"/>
      <c r="K5036" s="2124"/>
      <c r="L5036" s="192"/>
      <c r="M5036" s="568"/>
    </row>
    <row r="5037" spans="1:13" ht="12.75" hidden="1">
      <c r="A5037" s="2114"/>
      <c r="B5037" s="192" t="s">
        <v>1102</v>
      </c>
      <c r="C5037" s="568" t="s">
        <v>1103</v>
      </c>
      <c r="D5037" s="568"/>
      <c r="E5037" s="188"/>
      <c r="F5037" s="188"/>
      <c r="G5037" s="2122"/>
      <c r="H5037" s="568"/>
      <c r="I5037" s="2118"/>
      <c r="J5037" s="2123"/>
      <c r="K5037" s="2123"/>
      <c r="L5037" s="192"/>
      <c r="M5037" s="568"/>
    </row>
    <row r="5038" spans="1:13" ht="12.75" hidden="1">
      <c r="A5038" s="2114"/>
      <c r="B5038" s="192" t="s">
        <v>829</v>
      </c>
      <c r="C5038" s="568"/>
      <c r="D5038" s="568"/>
      <c r="E5038" s="188"/>
      <c r="F5038" s="188"/>
      <c r="G5038" s="2122"/>
      <c r="H5038" s="568"/>
      <c r="I5038" s="2118"/>
      <c r="J5038" s="2123"/>
      <c r="K5038" s="2123"/>
      <c r="L5038" s="192"/>
      <c r="M5038" s="568"/>
    </row>
    <row r="5039" spans="1:13" ht="12.75" hidden="1">
      <c r="A5039" s="2114"/>
      <c r="B5039" s="568" t="s">
        <v>280</v>
      </c>
      <c r="C5039" s="568"/>
      <c r="D5039" s="568"/>
      <c r="E5039" s="188"/>
      <c r="F5039" s="188"/>
      <c r="G5039" s="2122">
        <v>8.5299999999999994</v>
      </c>
      <c r="H5039" s="568" t="s">
        <v>95</v>
      </c>
      <c r="I5039" s="2118" t="s">
        <v>95</v>
      </c>
      <c r="J5039" s="2123">
        <f>G186</f>
        <v>297.97000000000003</v>
      </c>
      <c r="K5039" s="2123">
        <f t="shared" ref="K5039:K5046" si="286">ROUND(G5039*J5039,2)</f>
        <v>2541.6799999999998</v>
      </c>
      <c r="L5039" s="192"/>
      <c r="M5039" s="568"/>
    </row>
    <row r="5040" spans="1:13" ht="12.75" hidden="1">
      <c r="A5040" s="2114"/>
      <c r="B5040" s="568" t="s">
        <v>281</v>
      </c>
      <c r="C5040" s="568"/>
      <c r="D5040" s="568"/>
      <c r="E5040" s="188"/>
      <c r="F5040" s="188"/>
      <c r="G5040" s="2178">
        <v>8</v>
      </c>
      <c r="H5040" s="568" t="s">
        <v>262</v>
      </c>
      <c r="I5040" s="2118" t="s">
        <v>37</v>
      </c>
      <c r="J5040" s="2123">
        <f>M186</f>
        <v>1.5</v>
      </c>
      <c r="K5040" s="2123">
        <f t="shared" si="286"/>
        <v>12</v>
      </c>
      <c r="L5040" s="192"/>
      <c r="M5040" s="568"/>
    </row>
    <row r="5041" spans="1:17" ht="12.75" hidden="1">
      <c r="A5041" s="2114"/>
      <c r="B5041" s="568" t="s">
        <v>1104</v>
      </c>
      <c r="C5041" s="568"/>
      <c r="D5041" s="568"/>
      <c r="E5041" s="188"/>
      <c r="F5041" s="188"/>
      <c r="G5041" s="2201" t="s">
        <v>1074</v>
      </c>
      <c r="H5041" s="568"/>
      <c r="I5041" s="2118"/>
      <c r="J5041" s="2123"/>
      <c r="K5041" s="2123">
        <v>30</v>
      </c>
      <c r="L5041" s="192"/>
      <c r="M5041" s="568"/>
    </row>
    <row r="5042" spans="1:17" ht="12.75" hidden="1">
      <c r="A5042" s="2114"/>
      <c r="B5042" s="568" t="s">
        <v>268</v>
      </c>
      <c r="C5042" s="568"/>
      <c r="D5042" s="568"/>
      <c r="E5042" s="188"/>
      <c r="F5042" s="188"/>
      <c r="G5042" s="2201">
        <v>9.75</v>
      </c>
      <c r="H5042" s="568" t="s">
        <v>136</v>
      </c>
      <c r="I5042" s="2118" t="s">
        <v>136</v>
      </c>
      <c r="J5042" s="2184">
        <v>15</v>
      </c>
      <c r="K5042" s="2123">
        <f t="shared" si="286"/>
        <v>146.25</v>
      </c>
      <c r="L5042" s="192"/>
      <c r="M5042" s="568"/>
    </row>
    <row r="5043" spans="1:17" ht="12.75" hidden="1">
      <c r="A5043" s="2114"/>
      <c r="B5043" s="568" t="s">
        <v>258</v>
      </c>
      <c r="C5043" s="568"/>
      <c r="D5043" s="568"/>
      <c r="E5043" s="188"/>
      <c r="F5043" s="188"/>
      <c r="G5043" s="2201">
        <v>1.64</v>
      </c>
      <c r="H5043" s="568" t="s">
        <v>92</v>
      </c>
      <c r="I5043" s="2118" t="s">
        <v>92</v>
      </c>
      <c r="J5043" s="2123">
        <f>M180</f>
        <v>608.4</v>
      </c>
      <c r="K5043" s="2123">
        <f t="shared" si="286"/>
        <v>997.78</v>
      </c>
      <c r="L5043" s="192"/>
      <c r="M5043" s="568"/>
    </row>
    <row r="5044" spans="1:17" ht="12.75" hidden="1">
      <c r="A5044" s="2114"/>
      <c r="B5044" s="568" t="s">
        <v>260</v>
      </c>
      <c r="C5044" s="568"/>
      <c r="D5044" s="568"/>
      <c r="E5044" s="188"/>
      <c r="F5044" s="188"/>
      <c r="G5044" s="2178">
        <v>8</v>
      </c>
      <c r="H5044" s="568" t="s">
        <v>262</v>
      </c>
      <c r="I5044" s="2118" t="s">
        <v>38</v>
      </c>
      <c r="J5044" s="2123">
        <f>M176</f>
        <v>25</v>
      </c>
      <c r="K5044" s="2123">
        <f t="shared" si="286"/>
        <v>200</v>
      </c>
      <c r="L5044" s="192"/>
      <c r="M5044" s="568"/>
    </row>
    <row r="5045" spans="1:17" ht="12.75" hidden="1">
      <c r="A5045" s="2114"/>
      <c r="B5045" s="568" t="s">
        <v>263</v>
      </c>
      <c r="C5045" s="568"/>
      <c r="D5045" s="568"/>
      <c r="E5045" s="188"/>
      <c r="F5045" s="188"/>
      <c r="G5045" s="2178">
        <v>2</v>
      </c>
      <c r="H5045" s="568" t="s">
        <v>262</v>
      </c>
      <c r="I5045" s="2118" t="s">
        <v>38</v>
      </c>
      <c r="J5045" s="2123">
        <f>M177</f>
        <v>40</v>
      </c>
      <c r="K5045" s="2123">
        <f t="shared" si="286"/>
        <v>80</v>
      </c>
      <c r="L5045" s="192"/>
      <c r="M5045" s="568"/>
    </row>
    <row r="5046" spans="1:17" ht="12.75" hidden="1">
      <c r="A5046" s="2114"/>
      <c r="B5046" s="568" t="s">
        <v>318</v>
      </c>
      <c r="C5046" s="568"/>
      <c r="D5046" s="568"/>
      <c r="E5046" s="188"/>
      <c r="F5046" s="188"/>
      <c r="G5046" s="2178">
        <v>1</v>
      </c>
      <c r="H5046" s="568" t="s">
        <v>319</v>
      </c>
      <c r="I5046" s="2118" t="s">
        <v>319</v>
      </c>
      <c r="J5046" s="2123">
        <f>M225</f>
        <v>100</v>
      </c>
      <c r="K5046" s="2123">
        <f t="shared" si="286"/>
        <v>100</v>
      </c>
      <c r="L5046" s="192"/>
      <c r="M5046" s="568"/>
    </row>
    <row r="5047" spans="1:17" ht="12.75" hidden="1">
      <c r="A5047" s="2114"/>
      <c r="B5047" s="568"/>
      <c r="C5047" s="568"/>
      <c r="D5047" s="568"/>
      <c r="E5047" s="188"/>
      <c r="F5047" s="188"/>
      <c r="G5047" s="2122"/>
      <c r="H5047" s="568"/>
      <c r="I5047" s="2118"/>
      <c r="J5047" s="2124" t="s">
        <v>718</v>
      </c>
      <c r="K5047" s="2124">
        <f>SUM(K5039:K5046)</f>
        <v>4107.71</v>
      </c>
      <c r="L5047" s="192"/>
      <c r="M5047" s="568"/>
    </row>
    <row r="5048" spans="1:17" ht="12.75" hidden="1">
      <c r="A5048" s="2114"/>
      <c r="B5048" s="192" t="s">
        <v>904</v>
      </c>
      <c r="C5048" s="568"/>
      <c r="D5048" s="568"/>
      <c r="E5048" s="188"/>
      <c r="F5048" s="188"/>
      <c r="G5048" s="2122"/>
      <c r="H5048" s="568"/>
      <c r="I5048" s="2118"/>
      <c r="J5048" s="2123"/>
      <c r="K5048" s="2123"/>
      <c r="L5048" s="192"/>
      <c r="M5048" s="568"/>
    </row>
    <row r="5049" spans="1:17" ht="12.75" hidden="1">
      <c r="A5049" s="2114"/>
      <c r="B5049" s="568" t="s">
        <v>1047</v>
      </c>
      <c r="C5049" s="568"/>
      <c r="D5049" s="568"/>
      <c r="E5049" s="188"/>
      <c r="F5049" s="188"/>
      <c r="G5049" s="2122">
        <v>5.33</v>
      </c>
      <c r="H5049" s="568" t="s">
        <v>262</v>
      </c>
      <c r="I5049" s="2118" t="s">
        <v>38</v>
      </c>
      <c r="J5049" s="2123">
        <f>L137</f>
        <v>495</v>
      </c>
      <c r="K5049" s="2123">
        <f>ROUND(G5049*J5049,2)</f>
        <v>2638.35</v>
      </c>
      <c r="L5049" s="192"/>
      <c r="M5049" s="568"/>
    </row>
    <row r="5050" spans="1:17" ht="12.75" hidden="1">
      <c r="A5050" s="2114"/>
      <c r="B5050" s="568" t="s">
        <v>1049</v>
      </c>
      <c r="C5050" s="568"/>
      <c r="D5050" s="568"/>
      <c r="E5050" s="188"/>
      <c r="F5050" s="188"/>
      <c r="G5050" s="2122">
        <v>5.33</v>
      </c>
      <c r="H5050" s="568" t="s">
        <v>262</v>
      </c>
      <c r="I5050" s="2118" t="s">
        <v>38</v>
      </c>
      <c r="J5050" s="2123">
        <f>L135</f>
        <v>385</v>
      </c>
      <c r="K5050" s="2123">
        <f>ROUND(G5050*J5050,2)</f>
        <v>2052.0500000000002</v>
      </c>
      <c r="L5050" s="192"/>
      <c r="M5050" s="568"/>
    </row>
    <row r="5051" spans="1:17" ht="12.75" hidden="1">
      <c r="A5051" s="2114"/>
      <c r="B5051" s="568"/>
      <c r="C5051" s="568"/>
      <c r="D5051" s="568"/>
      <c r="E5051" s="188"/>
      <c r="F5051" s="188"/>
      <c r="G5051" s="2122"/>
      <c r="H5051" s="568"/>
      <c r="I5051" s="2118"/>
      <c r="J5051" s="2124" t="s">
        <v>718</v>
      </c>
      <c r="K5051" s="2124">
        <f>SUM(K5049:K5050)</f>
        <v>4690.3999999999996</v>
      </c>
      <c r="L5051" s="192"/>
      <c r="M5051" s="568"/>
    </row>
    <row r="5052" spans="1:17" ht="12.75" hidden="1">
      <c r="A5052" s="2114"/>
      <c r="B5052" s="192"/>
      <c r="C5052" s="568"/>
      <c r="D5052" s="568"/>
      <c r="E5052" s="188"/>
      <c r="F5052" s="188"/>
      <c r="G5052" s="2122"/>
      <c r="H5052" s="568"/>
      <c r="I5052" s="2118"/>
      <c r="J5052" s="2123"/>
      <c r="K5052" s="2123"/>
      <c r="L5052" s="192"/>
      <c r="M5052" s="568"/>
    </row>
    <row r="5053" spans="1:17" ht="12.75" hidden="1">
      <c r="A5053" s="2114"/>
      <c r="B5053" s="568" t="s">
        <v>1105</v>
      </c>
      <c r="C5053" s="568"/>
      <c r="D5053" s="568"/>
      <c r="E5053" s="188"/>
      <c r="F5053" s="188"/>
      <c r="G5053" s="2122"/>
      <c r="H5053" s="568"/>
      <c r="I5053" s="2118"/>
      <c r="J5053" s="2123"/>
      <c r="K5053" s="2123">
        <f>K5047+K5051+K5052</f>
        <v>8798.11</v>
      </c>
      <c r="L5053" s="192"/>
      <c r="M5053" s="568"/>
    </row>
    <row r="5054" spans="1:17" ht="12.75" hidden="1">
      <c r="A5054" s="2114"/>
      <c r="B5054" s="568" t="s">
        <v>1106</v>
      </c>
      <c r="C5054" s="568"/>
      <c r="D5054" s="568"/>
      <c r="E5054" s="188"/>
      <c r="F5054" s="188"/>
      <c r="G5054" s="2122"/>
      <c r="H5054" s="568"/>
      <c r="I5054" s="2118"/>
      <c r="J5054" s="2123"/>
      <c r="K5054" s="2124">
        <f>ROUND(K5053/1.49,2)</f>
        <v>5904.77</v>
      </c>
      <c r="L5054" s="2119" t="s">
        <v>730</v>
      </c>
      <c r="M5054" s="568"/>
    </row>
    <row r="5055" spans="1:17" ht="12.75" hidden="1">
      <c r="A5055" s="2114"/>
      <c r="B5055" s="568" t="s">
        <v>1107</v>
      </c>
      <c r="C5055" s="568"/>
      <c r="D5055" s="568"/>
      <c r="E5055" s="188"/>
      <c r="F5055" s="188"/>
      <c r="G5055" s="2122"/>
      <c r="H5055" s="568"/>
      <c r="I5055" s="2118"/>
      <c r="J5055" s="2123"/>
      <c r="K5055" s="2124">
        <f>ROUND(K5053/8.53,2)</f>
        <v>1031.43</v>
      </c>
      <c r="L5055" s="2119" t="s">
        <v>1054</v>
      </c>
      <c r="M5055" s="568"/>
      <c r="Q5055" s="1706" t="s">
        <v>1108</v>
      </c>
    </row>
    <row r="5056" spans="1:17" ht="84" hidden="1" customHeight="1">
      <c r="A5056" s="2114">
        <f>A856</f>
        <v>92</v>
      </c>
      <c r="B5056" s="3032" t="str">
        <f>B856</f>
        <v>Supplying, fitting, fixing of Window (Sliding type) made of aluminium section 9778 as window frame section No-4095,4096 and 9777,3994 as shutter frame with 5mm thick black glass as panel fitted with rubber beading including locking arrangement including cost of materials all taxes labour, T&amp;P etc.complete as per direction of Engineer-in-charge.</v>
      </c>
      <c r="C5056" s="3017"/>
      <c r="D5056" s="3017"/>
      <c r="E5056" s="2116" t="str">
        <f>G856</f>
        <v>Each Sqm</v>
      </c>
      <c r="F5056" s="2116"/>
      <c r="G5056" s="2122"/>
      <c r="H5056" s="568"/>
      <c r="I5056" s="2118"/>
      <c r="J5056" s="2124"/>
      <c r="K5056" s="2124"/>
      <c r="L5056" s="192"/>
      <c r="M5056" s="568"/>
    </row>
    <row r="5057" spans="1:13" ht="12.75" hidden="1">
      <c r="A5057" s="2114"/>
      <c r="B5057" s="192" t="s">
        <v>1109</v>
      </c>
      <c r="C5057" s="568"/>
      <c r="D5057" s="192">
        <v>7.28</v>
      </c>
      <c r="E5057" s="192" t="s">
        <v>95</v>
      </c>
      <c r="F5057" s="192"/>
      <c r="G5057" s="2122"/>
      <c r="H5057" s="568"/>
      <c r="I5057" s="2118"/>
      <c r="J5057" s="2123"/>
      <c r="K5057" s="2123"/>
      <c r="L5057" s="192"/>
      <c r="M5057" s="568"/>
    </row>
    <row r="5058" spans="1:13" ht="12.75" hidden="1">
      <c r="A5058" s="568"/>
      <c r="B5058" s="568" t="s">
        <v>1110</v>
      </c>
      <c r="C5058" s="192"/>
      <c r="D5058" s="568"/>
      <c r="E5058" s="188" t="s">
        <v>1039</v>
      </c>
      <c r="F5058" s="188"/>
      <c r="G5058" s="2134">
        <f>ROUND(1.2*0.875,2)</f>
        <v>1.05</v>
      </c>
      <c r="H5058" s="2192" t="s">
        <v>95</v>
      </c>
      <c r="I5058" s="2134"/>
      <c r="J5058" s="2126"/>
      <c r="K5058" s="2124"/>
      <c r="L5058" s="192"/>
      <c r="M5058" s="568"/>
    </row>
    <row r="5059" spans="1:13" ht="12.75" hidden="1">
      <c r="A5059" s="568"/>
      <c r="B5059" s="568" t="s">
        <v>1111</v>
      </c>
      <c r="C5059" s="192"/>
      <c r="D5059" s="568"/>
      <c r="E5059" s="188" t="s">
        <v>1039</v>
      </c>
      <c r="F5059" s="188"/>
      <c r="G5059" s="2134">
        <f>ROUND(3.6*0.747,2)</f>
        <v>2.69</v>
      </c>
      <c r="H5059" s="2192" t="s">
        <v>95</v>
      </c>
      <c r="I5059" s="2134"/>
      <c r="J5059" s="2126"/>
      <c r="K5059" s="2124"/>
      <c r="L5059" s="192"/>
      <c r="M5059" s="568"/>
    </row>
    <row r="5060" spans="1:13" ht="12.75" hidden="1">
      <c r="A5060" s="568"/>
      <c r="B5060" s="568" t="s">
        <v>1112</v>
      </c>
      <c r="C5060" s="192"/>
      <c r="D5060" s="568"/>
      <c r="E5060" s="188" t="s">
        <v>1039</v>
      </c>
      <c r="F5060" s="188"/>
      <c r="G5060" s="2134">
        <f>ROUND(2.4*0.609,2)</f>
        <v>1.46</v>
      </c>
      <c r="H5060" s="2192" t="s">
        <v>95</v>
      </c>
      <c r="I5060" s="2134"/>
      <c r="J5060" s="2126"/>
      <c r="K5060" s="2124"/>
      <c r="L5060" s="192"/>
      <c r="M5060" s="568"/>
    </row>
    <row r="5061" spans="1:13" ht="12.75" hidden="1">
      <c r="A5061" s="568"/>
      <c r="B5061" s="568" t="s">
        <v>1113</v>
      </c>
      <c r="C5061" s="192"/>
      <c r="D5061" s="568"/>
      <c r="E5061" s="188" t="s">
        <v>1039</v>
      </c>
      <c r="F5061" s="188"/>
      <c r="G5061" s="2134">
        <f>ROUND(2.4*0.379,2)</f>
        <v>0.91</v>
      </c>
      <c r="H5061" s="2192" t="s">
        <v>95</v>
      </c>
      <c r="I5061" s="2134"/>
      <c r="J5061" s="2126"/>
      <c r="K5061" s="2124"/>
      <c r="L5061" s="192"/>
      <c r="M5061" s="568"/>
    </row>
    <row r="5062" spans="1:13" ht="12.75" hidden="1">
      <c r="A5062" s="568"/>
      <c r="B5062" s="568" t="s">
        <v>1114</v>
      </c>
      <c r="C5062" s="192"/>
      <c r="D5062" s="568"/>
      <c r="E5062" s="188" t="s">
        <v>1039</v>
      </c>
      <c r="F5062" s="188"/>
      <c r="G5062" s="2200">
        <f>ROUND(2.4*0.489,2)</f>
        <v>1.17</v>
      </c>
      <c r="H5062" s="2192" t="s">
        <v>95</v>
      </c>
      <c r="I5062" s="2134"/>
      <c r="J5062" s="2126"/>
      <c r="K5062" s="2124"/>
      <c r="L5062" s="192"/>
      <c r="M5062" s="568"/>
    </row>
    <row r="5063" spans="1:13" ht="12.75" hidden="1">
      <c r="A5063" s="568"/>
      <c r="B5063" s="568"/>
      <c r="C5063" s="192"/>
      <c r="D5063" s="568"/>
      <c r="E5063" s="188"/>
      <c r="F5063" s="188"/>
      <c r="G5063" s="2134">
        <f>SUM(G5058:G5062)</f>
        <v>7.28</v>
      </c>
      <c r="H5063" s="2192" t="s">
        <v>95</v>
      </c>
      <c r="I5063" s="2134"/>
      <c r="J5063" s="2126"/>
      <c r="K5063" s="2124"/>
      <c r="L5063" s="192"/>
      <c r="M5063" s="568"/>
    </row>
    <row r="5064" spans="1:13" ht="12.75" hidden="1">
      <c r="A5064" s="568"/>
      <c r="B5064" s="568"/>
      <c r="C5064" s="192" t="s">
        <v>1071</v>
      </c>
      <c r="D5064" s="568"/>
      <c r="E5064" s="188" t="s">
        <v>1039</v>
      </c>
      <c r="F5064" s="188"/>
      <c r="G5064" s="2200">
        <f>ROUND(G5063*5%,2)</f>
        <v>0.36</v>
      </c>
      <c r="H5064" s="2192" t="s">
        <v>95</v>
      </c>
      <c r="I5064" s="2134"/>
      <c r="J5064" s="2126"/>
      <c r="K5064" s="2124"/>
      <c r="L5064" s="192"/>
      <c r="M5064" s="568"/>
    </row>
    <row r="5065" spans="1:13" ht="12.75" hidden="1">
      <c r="A5065" s="568"/>
      <c r="B5065" s="568"/>
      <c r="C5065" s="192"/>
      <c r="D5065" s="568"/>
      <c r="E5065" s="188"/>
      <c r="F5065" s="188"/>
      <c r="G5065" s="2126">
        <f>SUM(G5063:G5064)</f>
        <v>7.6400000000000006</v>
      </c>
      <c r="H5065" s="2194" t="s">
        <v>95</v>
      </c>
      <c r="I5065" s="2134"/>
      <c r="J5065" s="2126"/>
      <c r="K5065" s="2124"/>
      <c r="L5065" s="192"/>
      <c r="M5065" s="568"/>
    </row>
    <row r="5066" spans="1:13" ht="12.75" hidden="1">
      <c r="A5066" s="2114"/>
      <c r="B5066" s="192" t="s">
        <v>829</v>
      </c>
      <c r="C5066" s="568"/>
      <c r="D5066" s="568"/>
      <c r="E5066" s="188"/>
      <c r="F5066" s="188"/>
      <c r="G5066" s="2122"/>
      <c r="H5066" s="568"/>
      <c r="I5066" s="2118"/>
      <c r="J5066" s="2123"/>
      <c r="K5066" s="2123"/>
      <c r="L5066" s="192"/>
      <c r="M5066" s="568"/>
    </row>
    <row r="5067" spans="1:13" ht="12.75" hidden="1">
      <c r="A5067" s="2114"/>
      <c r="B5067" s="568" t="s">
        <v>280</v>
      </c>
      <c r="C5067" s="568"/>
      <c r="D5067" s="568"/>
      <c r="E5067" s="188"/>
      <c r="F5067" s="188"/>
      <c r="G5067" s="2122">
        <v>7.65</v>
      </c>
      <c r="H5067" s="568" t="s">
        <v>95</v>
      </c>
      <c r="I5067" s="2118" t="s">
        <v>95</v>
      </c>
      <c r="J5067" s="2123">
        <f>G186</f>
        <v>297.97000000000003</v>
      </c>
      <c r="K5067" s="2123">
        <f t="shared" ref="K5067:K5074" si="287">ROUND(G5067*J5067,2)</f>
        <v>2279.4699999999998</v>
      </c>
      <c r="L5067" s="192"/>
      <c r="M5067" s="568"/>
    </row>
    <row r="5068" spans="1:13" ht="12.75" hidden="1">
      <c r="A5068" s="2114"/>
      <c r="B5068" s="568" t="s">
        <v>281</v>
      </c>
      <c r="C5068" s="568"/>
      <c r="D5068" s="568"/>
      <c r="E5068" s="188"/>
      <c r="F5068" s="188"/>
      <c r="G5068" s="2178">
        <v>8</v>
      </c>
      <c r="H5068" s="568" t="s">
        <v>262</v>
      </c>
      <c r="I5068" s="2118" t="s">
        <v>37</v>
      </c>
      <c r="J5068" s="2123">
        <f>M186</f>
        <v>1.5</v>
      </c>
      <c r="K5068" s="2123">
        <f t="shared" si="287"/>
        <v>12</v>
      </c>
      <c r="L5068" s="192"/>
      <c r="M5068" s="568"/>
    </row>
    <row r="5069" spans="1:13" ht="12.75" hidden="1">
      <c r="A5069" s="2114"/>
      <c r="B5069" s="568" t="s">
        <v>1104</v>
      </c>
      <c r="C5069" s="568"/>
      <c r="D5069" s="568"/>
      <c r="E5069" s="188"/>
      <c r="F5069" s="188"/>
      <c r="G5069" s="2201" t="s">
        <v>1074</v>
      </c>
      <c r="H5069" s="568"/>
      <c r="I5069" s="2118"/>
      <c r="J5069" s="2123"/>
      <c r="K5069" s="2123">
        <v>30</v>
      </c>
      <c r="L5069" s="192"/>
      <c r="M5069" s="568"/>
    </row>
    <row r="5070" spans="1:13" ht="12.75" hidden="1">
      <c r="A5070" s="2114"/>
      <c r="B5070" s="568" t="s">
        <v>268</v>
      </c>
      <c r="C5070" s="568"/>
      <c r="D5070" s="568"/>
      <c r="E5070" s="188"/>
      <c r="F5070" s="188"/>
      <c r="G5070" s="2201">
        <v>9.75</v>
      </c>
      <c r="H5070" s="568" t="s">
        <v>136</v>
      </c>
      <c r="I5070" s="2118" t="s">
        <v>136</v>
      </c>
      <c r="J5070" s="2184">
        <v>15</v>
      </c>
      <c r="K5070" s="2123">
        <f t="shared" si="287"/>
        <v>146.25</v>
      </c>
      <c r="L5070" s="192"/>
      <c r="M5070" s="568"/>
    </row>
    <row r="5071" spans="1:13" ht="12.75" hidden="1">
      <c r="A5071" s="2114"/>
      <c r="B5071" s="568" t="s">
        <v>258</v>
      </c>
      <c r="C5071" s="568"/>
      <c r="D5071" s="568"/>
      <c r="E5071" s="188"/>
      <c r="F5071" s="188"/>
      <c r="G5071" s="2201">
        <v>1.64</v>
      </c>
      <c r="H5071" s="568" t="s">
        <v>92</v>
      </c>
      <c r="I5071" s="2118" t="s">
        <v>92</v>
      </c>
      <c r="J5071" s="2123">
        <f>M180</f>
        <v>608.4</v>
      </c>
      <c r="K5071" s="2123">
        <f t="shared" si="287"/>
        <v>997.78</v>
      </c>
      <c r="L5071" s="192"/>
      <c r="M5071" s="568"/>
    </row>
    <row r="5072" spans="1:13" ht="12.75" hidden="1">
      <c r="A5072" s="2114"/>
      <c r="B5072" s="568" t="s">
        <v>260</v>
      </c>
      <c r="C5072" s="568"/>
      <c r="D5072" s="568"/>
      <c r="E5072" s="188"/>
      <c r="F5072" s="188"/>
      <c r="G5072" s="2178">
        <v>8</v>
      </c>
      <c r="H5072" s="568" t="s">
        <v>262</v>
      </c>
      <c r="I5072" s="2118" t="s">
        <v>38</v>
      </c>
      <c r="J5072" s="2123">
        <f>M176</f>
        <v>25</v>
      </c>
      <c r="K5072" s="2123">
        <f t="shared" si="287"/>
        <v>200</v>
      </c>
      <c r="L5072" s="192"/>
      <c r="M5072" s="568"/>
    </row>
    <row r="5073" spans="1:17" ht="12.75" hidden="1">
      <c r="A5073" s="2114"/>
      <c r="B5073" s="568" t="s">
        <v>263</v>
      </c>
      <c r="C5073" s="568"/>
      <c r="D5073" s="568"/>
      <c r="E5073" s="188"/>
      <c r="F5073" s="188"/>
      <c r="G5073" s="2178">
        <v>2</v>
      </c>
      <c r="H5073" s="568" t="s">
        <v>262</v>
      </c>
      <c r="I5073" s="2118" t="s">
        <v>38</v>
      </c>
      <c r="J5073" s="2123">
        <f>M177</f>
        <v>40</v>
      </c>
      <c r="K5073" s="2123">
        <f t="shared" si="287"/>
        <v>80</v>
      </c>
      <c r="L5073" s="192"/>
      <c r="M5073" s="568"/>
    </row>
    <row r="5074" spans="1:17" ht="12.75" hidden="1">
      <c r="A5074" s="2114"/>
      <c r="B5074" s="568" t="s">
        <v>318</v>
      </c>
      <c r="C5074" s="568"/>
      <c r="D5074" s="568"/>
      <c r="E5074" s="188"/>
      <c r="F5074" s="188"/>
      <c r="G5074" s="2178">
        <v>1</v>
      </c>
      <c r="H5074" s="568" t="s">
        <v>319</v>
      </c>
      <c r="I5074" s="2118" t="s">
        <v>319</v>
      </c>
      <c r="J5074" s="2123">
        <f>M225</f>
        <v>100</v>
      </c>
      <c r="K5074" s="2140">
        <f t="shared" si="287"/>
        <v>100</v>
      </c>
      <c r="L5074" s="192"/>
      <c r="M5074" s="568"/>
    </row>
    <row r="5075" spans="1:17" ht="12.75" hidden="1">
      <c r="A5075" s="2114"/>
      <c r="B5075" s="568"/>
      <c r="C5075" s="568"/>
      <c r="D5075" s="568"/>
      <c r="E5075" s="188"/>
      <c r="F5075" s="188"/>
      <c r="G5075" s="2122"/>
      <c r="H5075" s="568"/>
      <c r="I5075" s="2118"/>
      <c r="J5075" s="2124" t="s">
        <v>718</v>
      </c>
      <c r="K5075" s="2124">
        <f>SUM(K5067:K5074)</f>
        <v>3845.5</v>
      </c>
      <c r="L5075" s="192"/>
      <c r="M5075" s="568"/>
    </row>
    <row r="5076" spans="1:17" ht="12.75" hidden="1">
      <c r="A5076" s="2114"/>
      <c r="B5076" s="192" t="s">
        <v>904</v>
      </c>
      <c r="C5076" s="568"/>
      <c r="D5076" s="568"/>
      <c r="E5076" s="188"/>
      <c r="F5076" s="188"/>
      <c r="G5076" s="2122"/>
      <c r="H5076" s="568"/>
      <c r="I5076" s="2118"/>
      <c r="J5076" s="2123"/>
      <c r="K5076" s="2123"/>
      <c r="L5076" s="192"/>
      <c r="M5076" s="568"/>
    </row>
    <row r="5077" spans="1:17" ht="12.75" hidden="1">
      <c r="A5077" s="2114"/>
      <c r="B5077" s="568" t="s">
        <v>1047</v>
      </c>
      <c r="C5077" s="568"/>
      <c r="D5077" s="568"/>
      <c r="E5077" s="188"/>
      <c r="F5077" s="188"/>
      <c r="G5077" s="2122">
        <v>0.5</v>
      </c>
      <c r="H5077" s="568" t="s">
        <v>262</v>
      </c>
      <c r="I5077" s="2118" t="s">
        <v>38</v>
      </c>
      <c r="J5077" s="2123">
        <f>L137</f>
        <v>495</v>
      </c>
      <c r="K5077" s="2123">
        <f>ROUND(G5077*J5077,2)</f>
        <v>247.5</v>
      </c>
      <c r="L5077" s="192"/>
      <c r="M5077" s="568"/>
    </row>
    <row r="5078" spans="1:17" ht="12.75" hidden="1">
      <c r="A5078" s="2114"/>
      <c r="B5078" s="568" t="s">
        <v>1048</v>
      </c>
      <c r="C5078" s="568"/>
      <c r="D5078" s="568"/>
      <c r="E5078" s="188"/>
      <c r="F5078" s="188"/>
      <c r="G5078" s="2122">
        <v>0.5</v>
      </c>
      <c r="H5078" s="568" t="s">
        <v>262</v>
      </c>
      <c r="I5078" s="2118" t="s">
        <v>38</v>
      </c>
      <c r="J5078" s="2123">
        <f>L136</f>
        <v>435</v>
      </c>
      <c r="K5078" s="2123">
        <f>ROUND(G5078*J5078,2)</f>
        <v>217.5</v>
      </c>
      <c r="L5078" s="192"/>
      <c r="M5078" s="568"/>
    </row>
    <row r="5079" spans="1:17" ht="12.75" hidden="1">
      <c r="A5079" s="2114"/>
      <c r="B5079" s="568" t="s">
        <v>1049</v>
      </c>
      <c r="C5079" s="568"/>
      <c r="D5079" s="568"/>
      <c r="E5079" s="188"/>
      <c r="F5079" s="188"/>
      <c r="G5079" s="2122">
        <v>1.5</v>
      </c>
      <c r="H5079" s="568" t="s">
        <v>262</v>
      </c>
      <c r="I5079" s="2118" t="s">
        <v>38</v>
      </c>
      <c r="J5079" s="2123">
        <f>L135</f>
        <v>385</v>
      </c>
      <c r="K5079" s="2123">
        <f>ROUND(G5079*J5079,2)</f>
        <v>577.5</v>
      </c>
      <c r="L5079" s="192"/>
      <c r="M5079" s="568"/>
    </row>
    <row r="5080" spans="1:17" ht="12.75" hidden="1">
      <c r="A5080" s="2114"/>
      <c r="B5080" s="568" t="s">
        <v>717</v>
      </c>
      <c r="C5080" s="568"/>
      <c r="D5080" s="568"/>
      <c r="E5080" s="188"/>
      <c r="F5080" s="188"/>
      <c r="G5080" s="2122">
        <v>1.5</v>
      </c>
      <c r="H5080" s="568" t="s">
        <v>262</v>
      </c>
      <c r="I5080" s="2118" t="s">
        <v>38</v>
      </c>
      <c r="J5080" s="2123">
        <f>L134</f>
        <v>345</v>
      </c>
      <c r="K5080" s="2140">
        <f>ROUND(G5080*J5080,2)</f>
        <v>517.5</v>
      </c>
      <c r="L5080" s="192"/>
      <c r="M5080" s="568"/>
    </row>
    <row r="5081" spans="1:17" ht="12.75" hidden="1">
      <c r="A5081" s="2114"/>
      <c r="B5081" s="568"/>
      <c r="C5081" s="568"/>
      <c r="D5081" s="568"/>
      <c r="E5081" s="188"/>
      <c r="F5081" s="188"/>
      <c r="G5081" s="2122"/>
      <c r="H5081" s="568"/>
      <c r="I5081" s="2118"/>
      <c r="J5081" s="2124" t="s">
        <v>718</v>
      </c>
      <c r="K5081" s="2124">
        <f>SUM(K5077:K5080)</f>
        <v>1560</v>
      </c>
      <c r="L5081" s="192"/>
      <c r="M5081" s="568"/>
      <c r="O5081" s="1709">
        <f>ROUND(K5081/1.49,1)</f>
        <v>1047</v>
      </c>
    </row>
    <row r="5082" spans="1:17" ht="12.75" hidden="1">
      <c r="A5082" s="2114"/>
      <c r="B5082" s="192"/>
      <c r="C5082" s="568"/>
      <c r="D5082" s="568"/>
      <c r="E5082" s="188"/>
      <c r="F5082" s="188"/>
      <c r="G5082" s="2122"/>
      <c r="H5082" s="568"/>
      <c r="I5082" s="2118"/>
      <c r="J5082" s="2123"/>
      <c r="K5082" s="2123"/>
      <c r="L5082" s="192"/>
      <c r="M5082" s="568"/>
    </row>
    <row r="5083" spans="1:17" ht="12.75" hidden="1">
      <c r="A5083" s="2114"/>
      <c r="B5083" s="192" t="s">
        <v>1105</v>
      </c>
      <c r="C5083" s="192"/>
      <c r="D5083" s="192"/>
      <c r="E5083" s="188"/>
      <c r="F5083" s="188"/>
      <c r="G5083" s="2141"/>
      <c r="H5083" s="192"/>
      <c r="I5083" s="2114"/>
      <c r="J5083" s="2124"/>
      <c r="K5083" s="2124">
        <f>K5075+K5081+K5082</f>
        <v>5405.5</v>
      </c>
      <c r="L5083" s="192"/>
      <c r="M5083" s="568"/>
    </row>
    <row r="5084" spans="1:17" ht="12.75" hidden="1">
      <c r="A5084" s="2114"/>
      <c r="B5084" s="192" t="s">
        <v>1106</v>
      </c>
      <c r="C5084" s="192"/>
      <c r="D5084" s="192"/>
      <c r="E5084" s="188"/>
      <c r="F5084" s="188"/>
      <c r="G5084" s="2141"/>
      <c r="H5084" s="192"/>
      <c r="I5084" s="2114"/>
      <c r="J5084" s="2124"/>
      <c r="K5084" s="2124">
        <f>ROUND(K5083/1.49,2)</f>
        <v>3627.85</v>
      </c>
      <c r="L5084" s="2119" t="s">
        <v>730</v>
      </c>
      <c r="M5084" s="568"/>
    </row>
    <row r="5085" spans="1:17" ht="12.75" hidden="1">
      <c r="A5085" s="2114"/>
      <c r="B5085" s="192" t="s">
        <v>1115</v>
      </c>
      <c r="C5085" s="192"/>
      <c r="D5085" s="192"/>
      <c r="E5085" s="188"/>
      <c r="F5085" s="188"/>
      <c r="G5085" s="2141"/>
      <c r="H5085" s="192"/>
      <c r="I5085" s="2114"/>
      <c r="J5085" s="2124"/>
      <c r="K5085" s="2124">
        <f>ROUND(K5083/7.28,2)</f>
        <v>742.51</v>
      </c>
      <c r="L5085" s="2119" t="s">
        <v>1054</v>
      </c>
      <c r="M5085" s="568"/>
      <c r="Q5085" s="1706" t="s">
        <v>1116</v>
      </c>
    </row>
    <row r="5086" spans="1:17" ht="97.9" hidden="1" customHeight="1">
      <c r="A5086" s="2114">
        <f>A858</f>
        <v>93</v>
      </c>
      <c r="B5086" s="3032" t="str">
        <f>B858</f>
        <v>Supplying, fitting, fixing of  fully glazed openable window using 15 micron anidized OEL aluminum section 2062 as out section, 9139 as mullion section, 4124 as a shutter section framed with tapered clip of section 4125, aluminum angle, rubber beading, friction stay and handle etc with 5mm black glass including cost of materials all taxes labour, T&amp;P etc.complete as per direction of Engineer-in-charge.</v>
      </c>
      <c r="C5086" s="3032"/>
      <c r="D5086" s="3032"/>
      <c r="E5086" s="2116" t="str">
        <f>G858</f>
        <v>Each Sqm</v>
      </c>
      <c r="F5086" s="2116"/>
      <c r="G5086" s="2122"/>
      <c r="H5086" s="568"/>
      <c r="I5086" s="2118"/>
      <c r="J5086" s="2124"/>
      <c r="K5086" s="2124"/>
      <c r="L5086" s="192"/>
      <c r="M5086" s="568"/>
    </row>
    <row r="5087" spans="1:17" ht="12.75" hidden="1">
      <c r="A5087" s="2114"/>
      <c r="B5087" s="192" t="s">
        <v>1117</v>
      </c>
      <c r="C5087" s="568"/>
      <c r="D5087" s="568"/>
      <c r="E5087" s="188"/>
      <c r="F5087" s="188"/>
      <c r="G5087" s="2122"/>
      <c r="H5087" s="568"/>
      <c r="I5087" s="2118"/>
      <c r="J5087" s="2123"/>
      <c r="K5087" s="2123"/>
      <c r="L5087" s="192"/>
      <c r="M5087" s="568"/>
    </row>
    <row r="5088" spans="1:17" ht="12.75" hidden="1">
      <c r="A5088" s="568"/>
      <c r="B5088" s="2148" t="s">
        <v>1118</v>
      </c>
      <c r="C5088" s="1702"/>
      <c r="D5088" s="2151">
        <v>10.54</v>
      </c>
      <c r="E5088" s="1702" t="s">
        <v>95</v>
      </c>
      <c r="F5088" s="1702"/>
      <c r="G5088" s="2134"/>
      <c r="H5088" s="2192"/>
      <c r="I5088" s="2134"/>
      <c r="J5088" s="2126"/>
      <c r="K5088" s="2124"/>
      <c r="L5088" s="192"/>
      <c r="M5088" s="568"/>
    </row>
    <row r="5089" spans="1:28" ht="12.75" hidden="1">
      <c r="A5089" s="568"/>
      <c r="B5089" s="568" t="s">
        <v>1119</v>
      </c>
      <c r="C5089" s="192"/>
      <c r="D5089" s="568"/>
      <c r="E5089" s="188" t="s">
        <v>1039</v>
      </c>
      <c r="F5089" s="188"/>
      <c r="G5089" s="2134">
        <f>ROUND(6.09*0.554,2)</f>
        <v>3.37</v>
      </c>
      <c r="H5089" s="2192" t="s">
        <v>95</v>
      </c>
      <c r="I5089" s="2134"/>
      <c r="J5089" s="2126"/>
      <c r="K5089" s="2124"/>
      <c r="L5089" s="192"/>
      <c r="M5089" s="568"/>
    </row>
    <row r="5090" spans="1:28" ht="12.75" hidden="1">
      <c r="A5090" s="568"/>
      <c r="B5090" s="568" t="s">
        <v>1120</v>
      </c>
      <c r="C5090" s="192"/>
      <c r="D5090" s="568"/>
      <c r="E5090" s="188" t="s">
        <v>1039</v>
      </c>
      <c r="F5090" s="188"/>
      <c r="G5090" s="2134">
        <f>ROUND(2.44*0.81,2)</f>
        <v>1.98</v>
      </c>
      <c r="H5090" s="2192" t="s">
        <v>95</v>
      </c>
      <c r="I5090" s="2134"/>
      <c r="J5090" s="2126"/>
      <c r="K5090" s="2124"/>
      <c r="L5090" s="192"/>
      <c r="M5090" s="568"/>
    </row>
    <row r="5091" spans="1:28" ht="12.75" hidden="1">
      <c r="A5091" s="568"/>
      <c r="B5091" s="568" t="s">
        <v>1121</v>
      </c>
      <c r="C5091" s="192"/>
      <c r="D5091" s="568"/>
      <c r="E5091" s="188" t="s">
        <v>1039</v>
      </c>
      <c r="F5091" s="188"/>
      <c r="G5091" s="2134">
        <f>ROUND(6.09*0.493,2)</f>
        <v>3</v>
      </c>
      <c r="H5091" s="2192" t="s">
        <v>95</v>
      </c>
      <c r="I5091" s="2134"/>
      <c r="J5091" s="2126"/>
      <c r="K5091" s="2124"/>
      <c r="L5091" s="192"/>
      <c r="M5091" s="568"/>
    </row>
    <row r="5092" spans="1:28" ht="12.75" hidden="1">
      <c r="A5092" s="568"/>
      <c r="B5092" s="568" t="s">
        <v>1122</v>
      </c>
      <c r="C5092" s="192"/>
      <c r="D5092" s="568"/>
      <c r="E5092" s="188" t="s">
        <v>1039</v>
      </c>
      <c r="F5092" s="188"/>
      <c r="G5092" s="2134">
        <f>ROUND(10.97*0.183,2)</f>
        <v>2.0099999999999998</v>
      </c>
      <c r="H5092" s="2192" t="s">
        <v>95</v>
      </c>
      <c r="I5092" s="2134"/>
      <c r="J5092" s="2126"/>
      <c r="K5092" s="2124"/>
      <c r="L5092" s="192"/>
      <c r="M5092" s="568"/>
    </row>
    <row r="5093" spans="1:28" ht="12.75" hidden="1">
      <c r="A5093" s="568"/>
      <c r="B5093" s="568" t="s">
        <v>1123</v>
      </c>
      <c r="C5093" s="192"/>
      <c r="D5093" s="568"/>
      <c r="E5093" s="188" t="s">
        <v>1039</v>
      </c>
      <c r="F5093" s="188"/>
      <c r="G5093" s="2200">
        <f>ROUND(0.28*0.64,2)</f>
        <v>0.18</v>
      </c>
      <c r="H5093" s="2192" t="s">
        <v>95</v>
      </c>
      <c r="I5093" s="2134"/>
      <c r="J5093" s="2126"/>
      <c r="K5093" s="2124"/>
      <c r="L5093" s="192"/>
      <c r="M5093" s="568"/>
    </row>
    <row r="5094" spans="1:28" ht="12.75" hidden="1">
      <c r="A5094" s="568"/>
      <c r="B5094" s="568"/>
      <c r="C5094" s="192"/>
      <c r="D5094" s="568"/>
      <c r="E5094" s="188"/>
      <c r="F5094" s="188"/>
      <c r="G5094" s="2134">
        <f>SUM(G5089:G5093)</f>
        <v>10.54</v>
      </c>
      <c r="H5094" s="2192" t="s">
        <v>95</v>
      </c>
      <c r="I5094" s="2134"/>
      <c r="J5094" s="2126"/>
      <c r="K5094" s="2124"/>
      <c r="L5094" s="192"/>
      <c r="M5094" s="568"/>
    </row>
    <row r="5095" spans="1:28" ht="12.75" hidden="1">
      <c r="A5095" s="568"/>
      <c r="B5095" s="568"/>
      <c r="C5095" s="192" t="s">
        <v>1071</v>
      </c>
      <c r="D5095" s="568"/>
      <c r="E5095" s="188" t="s">
        <v>1039</v>
      </c>
      <c r="F5095" s="188"/>
      <c r="G5095" s="2200">
        <f>ROUND(G5094*5%,2)</f>
        <v>0.53</v>
      </c>
      <c r="H5095" s="2192" t="s">
        <v>95</v>
      </c>
      <c r="I5095" s="2134"/>
      <c r="J5095" s="2126"/>
      <c r="K5095" s="2124"/>
      <c r="L5095" s="192"/>
      <c r="M5095" s="568"/>
    </row>
    <row r="5096" spans="1:28" ht="12.75" hidden="1">
      <c r="A5096" s="568"/>
      <c r="B5096" s="568"/>
      <c r="C5096" s="192"/>
      <c r="D5096" s="568"/>
      <c r="E5096" s="188"/>
      <c r="F5096" s="188"/>
      <c r="G5096" s="2126">
        <f>SUM(G5094:G5095)</f>
        <v>11.069999999999999</v>
      </c>
      <c r="H5096" s="2194" t="s">
        <v>95</v>
      </c>
      <c r="I5096" s="2134"/>
      <c r="J5096" s="2126"/>
      <c r="K5096" s="2124"/>
      <c r="L5096" s="192"/>
      <c r="M5096" s="568"/>
    </row>
    <row r="5097" spans="1:28" ht="12.75" hidden="1">
      <c r="A5097" s="2114"/>
      <c r="B5097" s="192" t="s">
        <v>829</v>
      </c>
      <c r="C5097" s="568"/>
      <c r="D5097" s="568"/>
      <c r="E5097" s="188"/>
      <c r="F5097" s="188"/>
      <c r="G5097" s="2122"/>
      <c r="H5097" s="568"/>
      <c r="I5097" s="2118"/>
      <c r="J5097" s="2123"/>
      <c r="K5097" s="2123"/>
      <c r="L5097" s="192"/>
      <c r="M5097" s="568"/>
    </row>
    <row r="5098" spans="1:28" ht="12.75" hidden="1">
      <c r="A5098" s="2114"/>
      <c r="B5098" s="568" t="s">
        <v>280</v>
      </c>
      <c r="C5098" s="568"/>
      <c r="D5098" s="568"/>
      <c r="E5098" s="188"/>
      <c r="F5098" s="188"/>
      <c r="G5098" s="2122">
        <v>11.07</v>
      </c>
      <c r="H5098" s="568" t="s">
        <v>95</v>
      </c>
      <c r="I5098" s="2118" t="s">
        <v>95</v>
      </c>
      <c r="J5098" s="2123">
        <f>G186</f>
        <v>297.97000000000003</v>
      </c>
      <c r="K5098" s="2123">
        <f t="shared" ref="K5098:K5105" si="288">ROUND(G5098*J5098,2)</f>
        <v>3298.53</v>
      </c>
      <c r="L5098" s="192"/>
      <c r="M5098" s="568"/>
    </row>
    <row r="5099" spans="1:28" s="1706" customFormat="1" ht="12.75" hidden="1">
      <c r="A5099" s="2114"/>
      <c r="B5099" s="568" t="s">
        <v>268</v>
      </c>
      <c r="C5099" s="568"/>
      <c r="D5099" s="568"/>
      <c r="E5099" s="188"/>
      <c r="F5099" s="188"/>
      <c r="G5099" s="2122">
        <v>10.97</v>
      </c>
      <c r="H5099" s="568" t="s">
        <v>136</v>
      </c>
      <c r="I5099" s="2118" t="s">
        <v>136</v>
      </c>
      <c r="J5099" s="2184">
        <v>15</v>
      </c>
      <c r="K5099" s="2123">
        <f t="shared" si="288"/>
        <v>164.55</v>
      </c>
      <c r="L5099" s="192"/>
      <c r="M5099" s="568"/>
      <c r="N5099" s="1705"/>
      <c r="O5099" s="1705"/>
      <c r="P5099" s="1705"/>
      <c r="Q5099" s="1705"/>
      <c r="R5099" s="1705"/>
      <c r="S5099" s="1705"/>
      <c r="U5099" s="1705"/>
      <c r="V5099" s="1705"/>
      <c r="W5099" s="1705"/>
      <c r="X5099" s="1705"/>
      <c r="Y5099" s="1705"/>
      <c r="Z5099" s="1705"/>
      <c r="AA5099" s="1705"/>
      <c r="AB5099" s="1705"/>
    </row>
    <row r="5100" spans="1:28" s="1706" customFormat="1" ht="12.75" hidden="1">
      <c r="A5100" s="2114"/>
      <c r="B5100" s="568" t="s">
        <v>265</v>
      </c>
      <c r="C5100" s="568"/>
      <c r="D5100" s="568"/>
      <c r="E5100" s="188"/>
      <c r="F5100" s="188"/>
      <c r="G5100" s="2196">
        <v>2</v>
      </c>
      <c r="H5100" s="568" t="s">
        <v>262</v>
      </c>
      <c r="I5100" s="2118" t="s">
        <v>38</v>
      </c>
      <c r="J5100" s="2123">
        <f>M178</f>
        <v>40</v>
      </c>
      <c r="K5100" s="2123">
        <f t="shared" si="288"/>
        <v>80</v>
      </c>
      <c r="L5100" s="192"/>
      <c r="M5100" s="568"/>
      <c r="N5100" s="1705"/>
      <c r="O5100" s="1705"/>
      <c r="P5100" s="1705"/>
      <c r="Q5100" s="1705"/>
      <c r="R5100" s="1705"/>
      <c r="S5100" s="1705"/>
      <c r="U5100" s="1705"/>
      <c r="V5100" s="1705"/>
      <c r="W5100" s="1705"/>
      <c r="X5100" s="1705"/>
      <c r="Y5100" s="1705"/>
      <c r="Z5100" s="1705"/>
      <c r="AA5100" s="1705"/>
      <c r="AB5100" s="1705"/>
    </row>
    <row r="5101" spans="1:28" s="1706" customFormat="1" ht="12.75" hidden="1">
      <c r="A5101" s="2114"/>
      <c r="B5101" s="568" t="s">
        <v>267</v>
      </c>
      <c r="C5101" s="568"/>
      <c r="D5101" s="568"/>
      <c r="E5101" s="188"/>
      <c r="F5101" s="188"/>
      <c r="G5101" s="2196">
        <v>4</v>
      </c>
      <c r="H5101" s="568" t="s">
        <v>262</v>
      </c>
      <c r="I5101" s="2118" t="s">
        <v>38</v>
      </c>
      <c r="J5101" s="2123">
        <f>M179</f>
        <v>122</v>
      </c>
      <c r="K5101" s="2123">
        <f t="shared" si="288"/>
        <v>488</v>
      </c>
      <c r="L5101" s="192"/>
      <c r="M5101" s="568"/>
      <c r="N5101" s="1705"/>
      <c r="O5101" s="1705"/>
      <c r="P5101" s="1705"/>
      <c r="Q5101" s="1705"/>
      <c r="R5101" s="1705"/>
      <c r="S5101" s="1705"/>
      <c r="U5101" s="1705"/>
      <c r="V5101" s="1705"/>
      <c r="W5101" s="1705"/>
      <c r="X5101" s="1705"/>
      <c r="Y5101" s="1705"/>
      <c r="Z5101" s="1705"/>
      <c r="AA5101" s="1705"/>
      <c r="AB5101" s="1705"/>
    </row>
    <row r="5102" spans="1:28" s="1706" customFormat="1" ht="12.75" hidden="1">
      <c r="A5102" s="2114"/>
      <c r="B5102" s="568" t="s">
        <v>258</v>
      </c>
      <c r="C5102" s="568"/>
      <c r="D5102" s="568"/>
      <c r="E5102" s="188"/>
      <c r="F5102" s="188"/>
      <c r="G5102" s="2122">
        <v>2.4500000000000002</v>
      </c>
      <c r="H5102" s="568" t="s">
        <v>92</v>
      </c>
      <c r="I5102" s="2118" t="s">
        <v>92</v>
      </c>
      <c r="J5102" s="2123">
        <f>M180</f>
        <v>608.4</v>
      </c>
      <c r="K5102" s="2123">
        <f t="shared" si="288"/>
        <v>1490.58</v>
      </c>
      <c r="L5102" s="192"/>
      <c r="M5102" s="568"/>
      <c r="N5102" s="1705"/>
      <c r="O5102" s="1705"/>
      <c r="P5102" s="1705"/>
      <c r="Q5102" s="1705"/>
      <c r="R5102" s="1705"/>
      <c r="S5102" s="1705"/>
      <c r="U5102" s="1705"/>
      <c r="V5102" s="1705"/>
      <c r="W5102" s="1705"/>
      <c r="X5102" s="1705"/>
      <c r="Y5102" s="1705"/>
      <c r="Z5102" s="1705"/>
      <c r="AA5102" s="1705"/>
      <c r="AB5102" s="1705"/>
    </row>
    <row r="5103" spans="1:28" s="1706" customFormat="1" ht="12.75" hidden="1">
      <c r="A5103" s="2114"/>
      <c r="B5103" s="568" t="s">
        <v>1124</v>
      </c>
      <c r="C5103" s="568"/>
      <c r="D5103" s="568"/>
      <c r="E5103" s="188"/>
      <c r="F5103" s="188"/>
      <c r="G5103" s="2196">
        <v>15</v>
      </c>
      <c r="H5103" s="568" t="s">
        <v>262</v>
      </c>
      <c r="I5103" s="2118" t="s">
        <v>37</v>
      </c>
      <c r="J5103" s="2123">
        <f>G176</f>
        <v>7</v>
      </c>
      <c r="K5103" s="2123">
        <f t="shared" si="288"/>
        <v>105</v>
      </c>
      <c r="L5103" s="192"/>
      <c r="M5103" s="568"/>
      <c r="N5103" s="1705"/>
      <c r="O5103" s="1705"/>
      <c r="P5103" s="1705"/>
      <c r="Q5103" s="1705"/>
      <c r="R5103" s="1705"/>
      <c r="S5103" s="1705"/>
      <c r="U5103" s="1705"/>
      <c r="V5103" s="1705"/>
      <c r="W5103" s="1705"/>
      <c r="X5103" s="1705"/>
      <c r="Y5103" s="1705"/>
      <c r="Z5103" s="1705"/>
      <c r="AA5103" s="1705"/>
      <c r="AB5103" s="1705"/>
    </row>
    <row r="5104" spans="1:28" s="1706" customFormat="1" ht="12.75" hidden="1">
      <c r="A5104" s="2114"/>
      <c r="B5104" s="568" t="s">
        <v>1104</v>
      </c>
      <c r="C5104" s="568"/>
      <c r="D5104" s="568"/>
      <c r="E5104" s="188"/>
      <c r="F5104" s="188"/>
      <c r="G5104" s="2122" t="s">
        <v>1074</v>
      </c>
      <c r="H5104" s="568"/>
      <c r="I5104" s="2118"/>
      <c r="J5104" s="2123"/>
      <c r="K5104" s="2123">
        <v>50</v>
      </c>
      <c r="L5104" s="192"/>
      <c r="M5104" s="568"/>
      <c r="N5104" s="1705"/>
      <c r="O5104" s="1705"/>
      <c r="P5104" s="1705"/>
      <c r="Q5104" s="1705"/>
      <c r="R5104" s="1705"/>
      <c r="S5104" s="1705"/>
      <c r="U5104" s="1705"/>
      <c r="V5104" s="1705"/>
      <c r="W5104" s="1705"/>
      <c r="X5104" s="1705"/>
      <c r="Y5104" s="1705"/>
      <c r="Z5104" s="1705"/>
      <c r="AA5104" s="1705"/>
      <c r="AB5104" s="1705"/>
    </row>
    <row r="5105" spans="1:28" s="1706" customFormat="1" ht="12.75" hidden="1">
      <c r="A5105" s="2114"/>
      <c r="B5105" s="568" t="s">
        <v>318</v>
      </c>
      <c r="C5105" s="568"/>
      <c r="D5105" s="568"/>
      <c r="E5105" s="188"/>
      <c r="F5105" s="188"/>
      <c r="G5105" s="2202">
        <v>1</v>
      </c>
      <c r="H5105" s="568" t="s">
        <v>319</v>
      </c>
      <c r="I5105" s="2118" t="s">
        <v>319</v>
      </c>
      <c r="J5105" s="2123">
        <f>M225</f>
        <v>100</v>
      </c>
      <c r="K5105" s="2140">
        <f t="shared" si="288"/>
        <v>100</v>
      </c>
      <c r="L5105" s="192"/>
      <c r="M5105" s="568"/>
      <c r="N5105" s="1705"/>
      <c r="O5105" s="1705"/>
      <c r="P5105" s="1705"/>
      <c r="Q5105" s="1705"/>
      <c r="R5105" s="1705"/>
      <c r="S5105" s="1705"/>
      <c r="U5105" s="1705"/>
      <c r="V5105" s="1705"/>
      <c r="W5105" s="1705"/>
      <c r="X5105" s="1705"/>
      <c r="Y5105" s="1705"/>
      <c r="Z5105" s="1705"/>
      <c r="AA5105" s="1705"/>
      <c r="AB5105" s="1705"/>
    </row>
    <row r="5106" spans="1:28" s="1706" customFormat="1" ht="12.75" hidden="1">
      <c r="A5106" s="2114"/>
      <c r="B5106" s="568"/>
      <c r="C5106" s="568"/>
      <c r="D5106" s="568"/>
      <c r="E5106" s="188"/>
      <c r="F5106" s="188"/>
      <c r="G5106" s="2122"/>
      <c r="H5106" s="568"/>
      <c r="I5106" s="2118"/>
      <c r="J5106" s="2123" t="s">
        <v>718</v>
      </c>
      <c r="K5106" s="2123">
        <f>SUM(K5098:K5105)</f>
        <v>5776.66</v>
      </c>
      <c r="L5106" s="192"/>
      <c r="M5106" s="568"/>
      <c r="N5106" s="1705"/>
      <c r="O5106" s="1705"/>
      <c r="P5106" s="1705"/>
      <c r="Q5106" s="1705"/>
      <c r="R5106" s="1705"/>
      <c r="S5106" s="1705"/>
      <c r="U5106" s="1705"/>
      <c r="V5106" s="1705"/>
      <c r="W5106" s="1705"/>
      <c r="X5106" s="1705"/>
      <c r="Y5106" s="1705"/>
      <c r="Z5106" s="1705"/>
      <c r="AA5106" s="1705"/>
      <c r="AB5106" s="1705"/>
    </row>
    <row r="5107" spans="1:28" s="1706" customFormat="1" ht="12.75" hidden="1">
      <c r="A5107" s="2114"/>
      <c r="B5107" s="192" t="s">
        <v>904</v>
      </c>
      <c r="C5107" s="568"/>
      <c r="D5107" s="568"/>
      <c r="E5107" s="188"/>
      <c r="F5107" s="188"/>
      <c r="G5107" s="2122"/>
      <c r="H5107" s="568"/>
      <c r="I5107" s="2118"/>
      <c r="J5107" s="2123"/>
      <c r="K5107" s="2123"/>
      <c r="L5107" s="192"/>
      <c r="M5107" s="568"/>
      <c r="N5107" s="1705"/>
      <c r="O5107" s="1705"/>
      <c r="P5107" s="1705"/>
      <c r="Q5107" s="1705"/>
      <c r="R5107" s="1705"/>
      <c r="S5107" s="1705"/>
      <c r="U5107" s="1705"/>
      <c r="V5107" s="1705"/>
      <c r="W5107" s="1705"/>
      <c r="X5107" s="1705"/>
      <c r="Y5107" s="1705"/>
      <c r="Z5107" s="1705"/>
      <c r="AA5107" s="1705"/>
      <c r="AB5107" s="1705"/>
    </row>
    <row r="5108" spans="1:28" s="1706" customFormat="1" ht="12.75" hidden="1">
      <c r="A5108" s="2114"/>
      <c r="B5108" s="568" t="s">
        <v>1047</v>
      </c>
      <c r="C5108" s="568"/>
      <c r="D5108" s="568"/>
      <c r="E5108" s="188"/>
      <c r="F5108" s="188"/>
      <c r="G5108" s="2122">
        <v>0.6</v>
      </c>
      <c r="H5108" s="568" t="s">
        <v>262</v>
      </c>
      <c r="I5108" s="2118" t="s">
        <v>38</v>
      </c>
      <c r="J5108" s="2123">
        <f>L137</f>
        <v>495</v>
      </c>
      <c r="K5108" s="2123">
        <f>ROUND(G5108*J5108,2)</f>
        <v>297</v>
      </c>
      <c r="L5108" s="192"/>
      <c r="M5108" s="568"/>
      <c r="N5108" s="1705"/>
      <c r="O5108" s="1705"/>
      <c r="P5108" s="1705"/>
      <c r="Q5108" s="1705"/>
      <c r="R5108" s="1705"/>
      <c r="S5108" s="1705"/>
      <c r="U5108" s="1705"/>
      <c r="V5108" s="1705"/>
      <c r="W5108" s="1705"/>
      <c r="X5108" s="1705"/>
      <c r="Y5108" s="1705"/>
      <c r="Z5108" s="1705"/>
      <c r="AA5108" s="1705"/>
      <c r="AB5108" s="1705"/>
    </row>
    <row r="5109" spans="1:28" s="1706" customFormat="1" ht="12.75" hidden="1">
      <c r="A5109" s="2114"/>
      <c r="B5109" s="568" t="s">
        <v>1048</v>
      </c>
      <c r="C5109" s="568"/>
      <c r="D5109" s="568"/>
      <c r="E5109" s="188"/>
      <c r="F5109" s="188"/>
      <c r="G5109" s="2122">
        <v>1.62</v>
      </c>
      <c r="H5109" s="568" t="s">
        <v>262</v>
      </c>
      <c r="I5109" s="2118" t="s">
        <v>38</v>
      </c>
      <c r="J5109" s="2123">
        <f>L136</f>
        <v>435</v>
      </c>
      <c r="K5109" s="2123">
        <f>ROUND(G5109*J5109,2)</f>
        <v>704.7</v>
      </c>
      <c r="L5109" s="192"/>
      <c r="M5109" s="568"/>
      <c r="N5109" s="1705"/>
      <c r="O5109" s="1705"/>
      <c r="P5109" s="1705"/>
      <c r="Q5109" s="1705"/>
      <c r="R5109" s="1705"/>
      <c r="S5109" s="1705"/>
      <c r="U5109" s="1705"/>
      <c r="V5109" s="1705"/>
      <c r="W5109" s="1705"/>
      <c r="X5109" s="1705"/>
      <c r="Y5109" s="1705"/>
      <c r="Z5109" s="1705"/>
      <c r="AA5109" s="1705"/>
      <c r="AB5109" s="1705"/>
    </row>
    <row r="5110" spans="1:28" s="1706" customFormat="1" ht="12.75" hidden="1">
      <c r="A5110" s="2114"/>
      <c r="B5110" s="568" t="s">
        <v>1049</v>
      </c>
      <c r="C5110" s="568"/>
      <c r="D5110" s="568"/>
      <c r="E5110" s="188"/>
      <c r="F5110" s="188"/>
      <c r="G5110" s="2122">
        <v>2.4</v>
      </c>
      <c r="H5110" s="568" t="s">
        <v>262</v>
      </c>
      <c r="I5110" s="2118" t="s">
        <v>38</v>
      </c>
      <c r="J5110" s="2123">
        <f>L135</f>
        <v>385</v>
      </c>
      <c r="K5110" s="2123">
        <f>ROUND(G5110*J5110,2)</f>
        <v>924</v>
      </c>
      <c r="L5110" s="192"/>
      <c r="M5110" s="568"/>
      <c r="N5110" s="1705"/>
      <c r="O5110" s="1705"/>
      <c r="P5110" s="1705"/>
      <c r="Q5110" s="1705"/>
      <c r="R5110" s="1705"/>
      <c r="S5110" s="1705"/>
      <c r="U5110" s="1705"/>
      <c r="V5110" s="1705"/>
      <c r="W5110" s="1705"/>
      <c r="X5110" s="1705"/>
      <c r="Y5110" s="1705"/>
      <c r="Z5110" s="1705"/>
      <c r="AA5110" s="1705"/>
      <c r="AB5110" s="1705"/>
    </row>
    <row r="5111" spans="1:28" s="1706" customFormat="1" ht="12.75" hidden="1">
      <c r="A5111" s="2114"/>
      <c r="B5111" s="568" t="s">
        <v>717</v>
      </c>
      <c r="C5111" s="568"/>
      <c r="D5111" s="568"/>
      <c r="E5111" s="188"/>
      <c r="F5111" s="188"/>
      <c r="G5111" s="2122">
        <v>3</v>
      </c>
      <c r="H5111" s="568" t="s">
        <v>262</v>
      </c>
      <c r="I5111" s="2118" t="s">
        <v>38</v>
      </c>
      <c r="J5111" s="2123">
        <f>L134</f>
        <v>345</v>
      </c>
      <c r="K5111" s="2140">
        <f>ROUND(G5111*J5111,2)</f>
        <v>1035</v>
      </c>
      <c r="L5111" s="192"/>
      <c r="M5111" s="568"/>
      <c r="N5111" s="1705"/>
      <c r="O5111" s="1705"/>
      <c r="P5111" s="1705"/>
      <c r="Q5111" s="1705"/>
      <c r="R5111" s="1705"/>
      <c r="S5111" s="1705"/>
      <c r="U5111" s="1705"/>
      <c r="V5111" s="1705"/>
      <c r="W5111" s="1705"/>
      <c r="X5111" s="1705"/>
      <c r="Y5111" s="1705"/>
      <c r="Z5111" s="1705"/>
      <c r="AA5111" s="1705"/>
      <c r="AB5111" s="1705"/>
    </row>
    <row r="5112" spans="1:28" s="1706" customFormat="1" ht="12.75" hidden="1">
      <c r="A5112" s="2114"/>
      <c r="B5112" s="568"/>
      <c r="C5112" s="568"/>
      <c r="D5112" s="568"/>
      <c r="E5112" s="188"/>
      <c r="F5112" s="188"/>
      <c r="G5112" s="2122"/>
      <c r="H5112" s="568"/>
      <c r="I5112" s="2118"/>
      <c r="J5112" s="2123" t="s">
        <v>718</v>
      </c>
      <c r="K5112" s="2123">
        <f>SUM(K5108:K5111)</f>
        <v>2960.7</v>
      </c>
      <c r="L5112" s="192"/>
      <c r="M5112" s="568"/>
      <c r="N5112" s="1705"/>
      <c r="O5112" s="1705"/>
      <c r="P5112" s="1705"/>
      <c r="Q5112" s="1705"/>
      <c r="R5112" s="1705"/>
      <c r="S5112" s="1705"/>
      <c r="U5112" s="1705"/>
      <c r="V5112" s="1705"/>
      <c r="W5112" s="1705"/>
      <c r="X5112" s="1705"/>
      <c r="Y5112" s="1705"/>
      <c r="Z5112" s="1705"/>
      <c r="AA5112" s="1705"/>
      <c r="AB5112" s="1705"/>
    </row>
    <row r="5113" spans="1:28" s="1706" customFormat="1" ht="12.75" hidden="1">
      <c r="A5113" s="2114"/>
      <c r="B5113" s="192"/>
      <c r="C5113" s="568"/>
      <c r="D5113" s="568"/>
      <c r="E5113" s="188"/>
      <c r="F5113" s="188"/>
      <c r="G5113" s="2122"/>
      <c r="H5113" s="568"/>
      <c r="I5113" s="2118"/>
      <c r="J5113" s="2123"/>
      <c r="K5113" s="2123"/>
      <c r="L5113" s="192"/>
      <c r="M5113" s="568"/>
      <c r="N5113" s="1705"/>
      <c r="O5113" s="1705"/>
      <c r="P5113" s="1705"/>
      <c r="Q5113" s="1705"/>
      <c r="R5113" s="1705"/>
      <c r="S5113" s="1705"/>
      <c r="U5113" s="1705"/>
      <c r="V5113" s="1705"/>
      <c r="W5113" s="1705"/>
      <c r="X5113" s="1705"/>
      <c r="Y5113" s="1705"/>
      <c r="Z5113" s="1705"/>
      <c r="AA5113" s="1705"/>
      <c r="AB5113" s="1705"/>
    </row>
    <row r="5114" spans="1:28" s="1706" customFormat="1" ht="12.75" hidden="1">
      <c r="A5114" s="2114"/>
      <c r="B5114" s="192" t="s">
        <v>1105</v>
      </c>
      <c r="C5114" s="568"/>
      <c r="D5114" s="568"/>
      <c r="E5114" s="188"/>
      <c r="F5114" s="188"/>
      <c r="G5114" s="2122"/>
      <c r="H5114" s="568"/>
      <c r="I5114" s="2118"/>
      <c r="J5114" s="2123"/>
      <c r="K5114" s="2124">
        <f>K5106+K5112+K5113</f>
        <v>8737.36</v>
      </c>
      <c r="L5114" s="192"/>
      <c r="M5114" s="568"/>
      <c r="N5114" s="1705"/>
      <c r="O5114" s="1705"/>
      <c r="P5114" s="1705"/>
      <c r="Q5114" s="1705"/>
      <c r="R5114" s="1705"/>
      <c r="S5114" s="1705"/>
      <c r="U5114" s="1705"/>
      <c r="V5114" s="1705"/>
      <c r="W5114" s="1705"/>
      <c r="X5114" s="1705"/>
      <c r="Y5114" s="1705"/>
      <c r="Z5114" s="1705"/>
      <c r="AA5114" s="1705"/>
      <c r="AB5114" s="1705"/>
    </row>
    <row r="5115" spans="1:28" ht="12.75" hidden="1">
      <c r="A5115" s="2114"/>
      <c r="B5115" s="192" t="s">
        <v>1125</v>
      </c>
      <c r="C5115" s="568"/>
      <c r="D5115" s="568"/>
      <c r="E5115" s="188"/>
      <c r="F5115" s="188"/>
      <c r="G5115" s="2122"/>
      <c r="H5115" s="568"/>
      <c r="I5115" s="2118"/>
      <c r="J5115" s="2123"/>
      <c r="K5115" s="2124">
        <f>ROUND(K5114/2.23,2)</f>
        <v>3918.1</v>
      </c>
      <c r="L5115" s="2119" t="s">
        <v>730</v>
      </c>
      <c r="M5115" s="568"/>
      <c r="Q5115" s="1705" t="s">
        <v>1126</v>
      </c>
    </row>
    <row r="5116" spans="1:28" ht="12.75" hidden="1">
      <c r="A5116" s="2114"/>
      <c r="B5116" s="192" t="s">
        <v>1127</v>
      </c>
      <c r="C5116" s="568"/>
      <c r="D5116" s="568"/>
      <c r="E5116" s="188"/>
      <c r="F5116" s="188"/>
      <c r="G5116" s="2122"/>
      <c r="H5116" s="568"/>
      <c r="I5116" s="2118"/>
      <c r="J5116" s="2123"/>
      <c r="K5116" s="2124">
        <f>ROUND(K5114/10.54,2)</f>
        <v>828.97</v>
      </c>
      <c r="L5116" s="2119" t="s">
        <v>1054</v>
      </c>
      <c r="M5116" s="568"/>
    </row>
    <row r="5117" spans="1:28" ht="248.45" hidden="1" customHeight="1">
      <c r="A5117" s="2114">
        <f>A860</f>
        <v>94</v>
      </c>
      <c r="B5117" s="3032" t="str">
        <f>B860</f>
        <v xml:space="preserve">Providing and fixing of Sliding windows of approved make to be fabricated from roll formed sections made of pre-painted steel (base steel as per IS-513 of 0.6 mm thick “D” quality, galvanized as per IS-277with zinc of 120 Gm/Sq.mtr) with total coated thickness of 0.55 mm.  Sections for external frame bottom and top should be of 79 x 45 mm. external frame sides should be of 69 x 24 mm, guide for top and bottom should be of 69 x 26mm (Stainless Steel).Section for shutter should be of 26 x 30 mm, Sash bar should be of 23 x 57mm.Accessories / gaskets are to be used as per the manufacturer’s supply and specification like gasket will be made of EPDM. All corner brackets for internal and external are to be made of glass filled nylon. The sections are to be cut to length jointed  and assembled by means of corner bracket and frames are fixed to the concrete/masonry walls by means of self expanding screws and glass to be used of 5 mm reflective with cost, conveyance and taxes of all materials, cost of all labour, T&amp;P etc. complete as per the direction of the Engineer-in-charge. </v>
      </c>
      <c r="C5117" s="3032"/>
      <c r="D5117" s="3032"/>
      <c r="E5117" s="2116" t="str">
        <f>G860</f>
        <v>Each Sqm</v>
      </c>
      <c r="F5117" s="2116"/>
      <c r="G5117" s="2122"/>
      <c r="H5117" s="568"/>
      <c r="I5117" s="2118"/>
      <c r="J5117" s="2124"/>
      <c r="K5117" s="2124"/>
      <c r="L5117" s="192"/>
      <c r="M5117" s="568"/>
    </row>
    <row r="5118" spans="1:28" ht="12.75" hidden="1">
      <c r="A5118" s="568"/>
      <c r="B5118" s="192" t="s">
        <v>1128</v>
      </c>
      <c r="C5118" s="192"/>
      <c r="D5118" s="568"/>
      <c r="E5118" s="188"/>
      <c r="F5118" s="188"/>
      <c r="G5118" s="2134"/>
      <c r="H5118" s="2192"/>
      <c r="I5118" s="2134"/>
      <c r="J5118" s="2123"/>
      <c r="K5118" s="2123"/>
      <c r="L5118" s="192"/>
      <c r="M5118" s="568"/>
    </row>
    <row r="5119" spans="1:28" ht="12.75" hidden="1">
      <c r="A5119" s="568"/>
      <c r="B5119" s="192" t="s">
        <v>1072</v>
      </c>
      <c r="C5119" s="192"/>
      <c r="D5119" s="568"/>
      <c r="E5119" s="188"/>
      <c r="F5119" s="188"/>
      <c r="G5119" s="2134"/>
      <c r="H5119" s="2192"/>
      <c r="I5119" s="2134"/>
      <c r="J5119" s="2123"/>
      <c r="K5119" s="2123"/>
      <c r="L5119" s="192"/>
      <c r="M5119" s="568"/>
    </row>
    <row r="5120" spans="1:28" ht="12.75" hidden="1">
      <c r="A5120" s="568"/>
      <c r="B5120" s="568" t="s">
        <v>1129</v>
      </c>
      <c r="C5120" s="192"/>
      <c r="D5120" s="568"/>
      <c r="E5120" s="188"/>
      <c r="F5120" s="188"/>
      <c r="G5120" s="2122">
        <v>4.5750000000000002</v>
      </c>
      <c r="H5120" s="2117" t="s">
        <v>136</v>
      </c>
      <c r="I5120" s="2118" t="s">
        <v>136</v>
      </c>
      <c r="J5120" s="2184">
        <v>189</v>
      </c>
      <c r="K5120" s="2123">
        <f t="shared" ref="K5120:K5134" si="289">ROUND(G5120*J5120,2)</f>
        <v>864.68</v>
      </c>
      <c r="L5120" s="192"/>
      <c r="M5120" s="568"/>
    </row>
    <row r="5121" spans="1:13" ht="12.75" hidden="1">
      <c r="A5121" s="568"/>
      <c r="B5121" s="568" t="s">
        <v>1130</v>
      </c>
      <c r="C5121" s="192"/>
      <c r="D5121" s="568"/>
      <c r="E5121" s="188"/>
      <c r="F5121" s="188"/>
      <c r="G5121" s="2122">
        <v>1.5249999999999999</v>
      </c>
      <c r="H5121" s="2117" t="s">
        <v>136</v>
      </c>
      <c r="I5121" s="2118" t="s">
        <v>136</v>
      </c>
      <c r="J5121" s="2184">
        <v>126</v>
      </c>
      <c r="K5121" s="2123">
        <f t="shared" si="289"/>
        <v>192.15</v>
      </c>
      <c r="L5121" s="192"/>
      <c r="M5121" s="568"/>
    </row>
    <row r="5122" spans="1:13" ht="12.75" hidden="1">
      <c r="A5122" s="568"/>
      <c r="B5122" s="568" t="s">
        <v>1131</v>
      </c>
      <c r="C5122" s="192"/>
      <c r="D5122" s="568"/>
      <c r="E5122" s="188"/>
      <c r="F5122" s="188"/>
      <c r="G5122" s="2122">
        <v>9.15</v>
      </c>
      <c r="H5122" s="2117" t="s">
        <v>136</v>
      </c>
      <c r="I5122" s="2118" t="s">
        <v>136</v>
      </c>
      <c r="J5122" s="2184">
        <v>152</v>
      </c>
      <c r="K5122" s="2123">
        <f t="shared" si="289"/>
        <v>1390.8</v>
      </c>
      <c r="L5122" s="192"/>
      <c r="M5122" s="568"/>
    </row>
    <row r="5123" spans="1:13" ht="12.75" hidden="1">
      <c r="A5123" s="568"/>
      <c r="B5123" s="568" t="s">
        <v>1132</v>
      </c>
      <c r="C5123" s="192"/>
      <c r="D5123" s="568"/>
      <c r="E5123" s="188"/>
      <c r="F5123" s="188"/>
      <c r="G5123" s="2122">
        <v>3.05</v>
      </c>
      <c r="H5123" s="2117" t="s">
        <v>136</v>
      </c>
      <c r="I5123" s="2118" t="s">
        <v>136</v>
      </c>
      <c r="J5123" s="2184">
        <v>494</v>
      </c>
      <c r="K5123" s="2123">
        <f t="shared" si="289"/>
        <v>1506.7</v>
      </c>
      <c r="L5123" s="192"/>
      <c r="M5123" s="568"/>
    </row>
    <row r="5124" spans="1:13" ht="12.75" hidden="1">
      <c r="A5124" s="568"/>
      <c r="B5124" s="568" t="s">
        <v>1133</v>
      </c>
      <c r="C5124" s="192"/>
      <c r="D5124" s="568"/>
      <c r="E5124" s="188"/>
      <c r="F5124" s="188"/>
      <c r="G5124" s="2122">
        <v>1.5249999999999999</v>
      </c>
      <c r="H5124" s="2117" t="s">
        <v>136</v>
      </c>
      <c r="I5124" s="2118" t="s">
        <v>136</v>
      </c>
      <c r="J5124" s="2184">
        <v>253</v>
      </c>
      <c r="K5124" s="2123">
        <f t="shared" si="289"/>
        <v>385.83</v>
      </c>
      <c r="L5124" s="192"/>
      <c r="M5124" s="568"/>
    </row>
    <row r="5125" spans="1:13" ht="12.75" hidden="1">
      <c r="A5125" s="568"/>
      <c r="B5125" s="192" t="s">
        <v>1134</v>
      </c>
      <c r="C5125" s="192"/>
      <c r="D5125" s="568"/>
      <c r="E5125" s="188"/>
      <c r="F5125" s="188"/>
      <c r="G5125" s="2122"/>
      <c r="H5125" s="2117"/>
      <c r="I5125" s="2118"/>
      <c r="J5125" s="2123"/>
      <c r="K5125" s="2123"/>
      <c r="L5125" s="192"/>
      <c r="M5125" s="568"/>
    </row>
    <row r="5126" spans="1:13" ht="12.75" hidden="1">
      <c r="A5126" s="568"/>
      <c r="B5126" s="568" t="s">
        <v>1135</v>
      </c>
      <c r="C5126" s="192"/>
      <c r="D5126" s="568"/>
      <c r="E5126" s="188"/>
      <c r="F5126" s="188"/>
      <c r="G5126" s="2122">
        <v>1</v>
      </c>
      <c r="H5126" s="2117" t="s">
        <v>262</v>
      </c>
      <c r="I5126" s="2118" t="s">
        <v>38</v>
      </c>
      <c r="J5126" s="2184">
        <v>245</v>
      </c>
      <c r="K5126" s="2123">
        <f t="shared" si="289"/>
        <v>245</v>
      </c>
      <c r="L5126" s="192"/>
      <c r="M5126" s="568"/>
    </row>
    <row r="5127" spans="1:13" ht="12.75" hidden="1">
      <c r="A5127" s="568"/>
      <c r="B5127" s="568" t="s">
        <v>1136</v>
      </c>
      <c r="C5127" s="192"/>
      <c r="D5127" s="568"/>
      <c r="E5127" s="188"/>
      <c r="F5127" s="188"/>
      <c r="G5127" s="2122">
        <v>2</v>
      </c>
      <c r="H5127" s="2117" t="s">
        <v>262</v>
      </c>
      <c r="I5127" s="2118" t="s">
        <v>38</v>
      </c>
      <c r="J5127" s="2184">
        <v>299</v>
      </c>
      <c r="K5127" s="2123">
        <f t="shared" si="289"/>
        <v>598</v>
      </c>
      <c r="L5127" s="192"/>
      <c r="M5127" s="568"/>
    </row>
    <row r="5128" spans="1:13" ht="12.75" hidden="1">
      <c r="A5128" s="568"/>
      <c r="B5128" s="568" t="s">
        <v>1137</v>
      </c>
      <c r="C5128" s="192"/>
      <c r="D5128" s="568"/>
      <c r="E5128" s="188"/>
      <c r="F5128" s="188"/>
      <c r="G5128" s="2122">
        <v>2</v>
      </c>
      <c r="H5128" s="2117" t="s">
        <v>262</v>
      </c>
      <c r="I5128" s="2118" t="s">
        <v>38</v>
      </c>
      <c r="J5128" s="2184">
        <v>16</v>
      </c>
      <c r="K5128" s="2123">
        <f t="shared" si="289"/>
        <v>32</v>
      </c>
      <c r="L5128" s="192"/>
      <c r="M5128" s="568"/>
    </row>
    <row r="5129" spans="1:13" ht="12.75" hidden="1">
      <c r="A5129" s="568"/>
      <c r="B5129" s="568" t="s">
        <v>1138</v>
      </c>
      <c r="C5129" s="192"/>
      <c r="D5129" s="568"/>
      <c r="E5129" s="188"/>
      <c r="F5129" s="188"/>
      <c r="G5129" s="2122">
        <v>10</v>
      </c>
      <c r="H5129" s="2117" t="s">
        <v>262</v>
      </c>
      <c r="I5129" s="2118" t="s">
        <v>38</v>
      </c>
      <c r="J5129" s="2184">
        <v>25</v>
      </c>
      <c r="K5129" s="2123">
        <f t="shared" si="289"/>
        <v>250</v>
      </c>
      <c r="L5129" s="192"/>
      <c r="M5129" s="568"/>
    </row>
    <row r="5130" spans="1:13" ht="12.75" hidden="1">
      <c r="A5130" s="568"/>
      <c r="B5130" s="192" t="s">
        <v>1139</v>
      </c>
      <c r="C5130" s="192"/>
      <c r="D5130" s="568"/>
      <c r="E5130" s="188"/>
      <c r="F5130" s="188"/>
      <c r="G5130" s="2122">
        <v>9.15</v>
      </c>
      <c r="H5130" s="2117" t="s">
        <v>136</v>
      </c>
      <c r="I5130" s="2118" t="s">
        <v>136</v>
      </c>
      <c r="J5130" s="2184">
        <v>35</v>
      </c>
      <c r="K5130" s="2123">
        <f t="shared" si="289"/>
        <v>320.25</v>
      </c>
      <c r="L5130" s="192"/>
      <c r="M5130" s="568"/>
    </row>
    <row r="5131" spans="1:13" ht="12.75" hidden="1">
      <c r="A5131" s="568"/>
      <c r="B5131" s="192" t="s">
        <v>1140</v>
      </c>
      <c r="C5131" s="192"/>
      <c r="D5131" s="568"/>
      <c r="E5131" s="188"/>
      <c r="F5131" s="188"/>
      <c r="G5131" s="2122">
        <v>2.3199999999999998</v>
      </c>
      <c r="H5131" s="2117" t="s">
        <v>92</v>
      </c>
      <c r="I5131" s="2118" t="s">
        <v>92</v>
      </c>
      <c r="J5131" s="2184">
        <v>870</v>
      </c>
      <c r="K5131" s="2123">
        <f t="shared" si="289"/>
        <v>2018.4</v>
      </c>
      <c r="L5131" s="192"/>
      <c r="M5131" s="568"/>
    </row>
    <row r="5132" spans="1:13" ht="12.75" hidden="1">
      <c r="A5132" s="568"/>
      <c r="B5132" s="192" t="s">
        <v>1141</v>
      </c>
      <c r="C5132" s="192"/>
      <c r="D5132" s="568"/>
      <c r="E5132" s="188"/>
      <c r="F5132" s="188"/>
      <c r="G5132" s="2122"/>
      <c r="H5132" s="2117"/>
      <c r="I5132" s="2118"/>
      <c r="J5132" s="2123"/>
      <c r="K5132" s="2123"/>
      <c r="L5132" s="192"/>
      <c r="M5132" s="568"/>
    </row>
    <row r="5133" spans="1:13" ht="12.75" hidden="1">
      <c r="A5133" s="568"/>
      <c r="B5133" s="568" t="s">
        <v>1093</v>
      </c>
      <c r="C5133" s="192"/>
      <c r="D5133" s="568"/>
      <c r="E5133" s="188"/>
      <c r="F5133" s="188"/>
      <c r="G5133" s="2122">
        <v>2.4900000000000002</v>
      </c>
      <c r="H5133" s="2117" t="s">
        <v>262</v>
      </c>
      <c r="I5133" s="2118" t="s">
        <v>38</v>
      </c>
      <c r="J5133" s="2123">
        <f>L137</f>
        <v>495</v>
      </c>
      <c r="K5133" s="2123">
        <f t="shared" si="289"/>
        <v>1232.55</v>
      </c>
      <c r="L5133" s="192"/>
      <c r="M5133" s="568"/>
    </row>
    <row r="5134" spans="1:13" ht="12.75" hidden="1">
      <c r="A5134" s="568"/>
      <c r="B5134" s="568" t="s">
        <v>1142</v>
      </c>
      <c r="C5134" s="192"/>
      <c r="D5134" s="568"/>
      <c r="E5134" s="188"/>
      <c r="F5134" s="188"/>
      <c r="G5134" s="2122">
        <v>2.4900000000000002</v>
      </c>
      <c r="H5134" s="2117" t="s">
        <v>262</v>
      </c>
      <c r="I5134" s="2118" t="s">
        <v>38</v>
      </c>
      <c r="J5134" s="2123">
        <f>L135</f>
        <v>385</v>
      </c>
      <c r="K5134" s="2123">
        <f t="shared" si="289"/>
        <v>958.65</v>
      </c>
      <c r="L5134" s="192"/>
      <c r="M5134" s="568"/>
    </row>
    <row r="5135" spans="1:13" ht="12.75" hidden="1">
      <c r="A5135" s="568"/>
      <c r="B5135" s="192"/>
      <c r="C5135" s="192"/>
      <c r="D5135" s="568"/>
      <c r="E5135" s="188"/>
      <c r="F5135" s="188"/>
      <c r="G5135" s="2134"/>
      <c r="H5135" s="2192"/>
      <c r="I5135" s="2134"/>
      <c r="J5135" s="2126" t="s">
        <v>718</v>
      </c>
      <c r="K5135" s="2123">
        <f>SUM(K5120:K5134)</f>
        <v>9995.0099999999984</v>
      </c>
      <c r="L5135" s="192"/>
      <c r="M5135" s="568"/>
    </row>
    <row r="5136" spans="1:13" ht="12.75" hidden="1">
      <c r="A5136" s="568"/>
      <c r="B5136" s="192"/>
      <c r="C5136" s="192"/>
      <c r="D5136" s="568"/>
      <c r="E5136" s="188"/>
      <c r="F5136" s="188"/>
      <c r="G5136" s="2134"/>
      <c r="H5136" s="2192"/>
      <c r="I5136" s="2134"/>
      <c r="J5136" s="2123"/>
      <c r="K5136" s="2123"/>
      <c r="L5136" s="192"/>
      <c r="M5136" s="568"/>
    </row>
    <row r="5137" spans="1:13" ht="12.75" hidden="1">
      <c r="A5137" s="568"/>
      <c r="B5137" s="192" t="s">
        <v>1143</v>
      </c>
      <c r="C5137" s="192"/>
      <c r="D5137" s="568"/>
      <c r="E5137" s="188"/>
      <c r="F5137" s="188"/>
      <c r="G5137" s="2134"/>
      <c r="H5137" s="2192"/>
      <c r="I5137" s="2134"/>
      <c r="J5137" s="2123"/>
      <c r="K5137" s="2123">
        <f>K5135+K5136</f>
        <v>9995.0099999999984</v>
      </c>
      <c r="L5137" s="192"/>
      <c r="M5137" s="568"/>
    </row>
    <row r="5138" spans="1:13" ht="12.75" hidden="1">
      <c r="A5138" s="568"/>
      <c r="B5138" s="192" t="s">
        <v>1144</v>
      </c>
      <c r="C5138" s="192"/>
      <c r="D5138" s="568"/>
      <c r="E5138" s="188"/>
      <c r="F5138" s="188"/>
      <c r="G5138" s="2134"/>
      <c r="H5138" s="2192"/>
      <c r="I5138" s="2134"/>
      <c r="J5138" s="2123"/>
      <c r="K5138" s="2124">
        <f>ROUND(K5137/2.32,2)</f>
        <v>4308.1899999999996</v>
      </c>
      <c r="L5138" s="2119" t="s">
        <v>730</v>
      </c>
      <c r="M5138" s="568"/>
    </row>
    <row r="5139" spans="1:13" ht="249" hidden="1" customHeight="1">
      <c r="A5139" s="2114">
        <f>A861</f>
        <v>95</v>
      </c>
      <c r="B5139" s="3032" t="str">
        <f>B861</f>
        <v xml:space="preserve">Providing and fixing of Fixed Ventilators of approved make to be fabricated from roll formed sections made of pre-painted steel (base steel as per IS-513 of 0.6 mm thick “D” quality, galvanized as per IS-277 with zinc of 120 Gm/Sq.mtr) with paint specification being with primer of 5-7 microns and finished paint with polyster paint of 12-16 microns along with the alkyd backer at the back of 5-7 microns and the sizes of outer frame being of 46x52 mm and with all vertical and horizontal mullions are of 46x70 mm and fixed beadings are of 18x25 mm.Accessories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 mm reflective with cost, conveyance and taxes of all materials, cost of all labour, T&amp;P etc. complete as per the direction of the Engineer-in-charge. </v>
      </c>
      <c r="C5139" s="3017"/>
      <c r="D5139" s="3017"/>
      <c r="E5139" s="2155"/>
      <c r="F5139" s="2155"/>
      <c r="G5139" s="2122"/>
      <c r="H5139" s="568"/>
      <c r="I5139" s="2118"/>
      <c r="J5139" s="2124"/>
      <c r="K5139" s="2124"/>
      <c r="L5139" s="192"/>
      <c r="M5139" s="568"/>
    </row>
    <row r="5140" spans="1:13" ht="12.75" hidden="1">
      <c r="A5140" s="568"/>
      <c r="B5140" s="192" t="s">
        <v>1145</v>
      </c>
      <c r="C5140" s="192"/>
      <c r="D5140" s="568"/>
      <c r="E5140" s="188"/>
      <c r="F5140" s="188"/>
      <c r="G5140" s="2134"/>
      <c r="H5140" s="2192"/>
      <c r="I5140" s="2134"/>
      <c r="J5140" s="2123"/>
      <c r="K5140" s="2123"/>
      <c r="L5140" s="192"/>
      <c r="M5140" s="568"/>
    </row>
    <row r="5141" spans="1:13" ht="12.75" hidden="1">
      <c r="A5141" s="568"/>
      <c r="B5141" s="192" t="s">
        <v>1072</v>
      </c>
      <c r="C5141" s="192"/>
      <c r="D5141" s="568"/>
      <c r="E5141" s="188"/>
      <c r="F5141" s="188"/>
      <c r="G5141" s="2134"/>
      <c r="H5141" s="2192"/>
      <c r="I5141" s="2134"/>
      <c r="J5141" s="2123"/>
      <c r="K5141" s="2123"/>
      <c r="L5141" s="192"/>
      <c r="M5141" s="568"/>
    </row>
    <row r="5142" spans="1:13" ht="12.75" hidden="1">
      <c r="A5142" s="568"/>
      <c r="B5142" s="568" t="s">
        <v>1146</v>
      </c>
      <c r="C5142" s="192"/>
      <c r="D5142" s="568"/>
      <c r="E5142" s="188"/>
      <c r="F5142" s="188"/>
      <c r="G5142" s="2122">
        <v>5.0999999999999996</v>
      </c>
      <c r="H5142" s="2117" t="s">
        <v>136</v>
      </c>
      <c r="I5142" s="2118" t="s">
        <v>136</v>
      </c>
      <c r="J5142" s="2184">
        <v>300</v>
      </c>
      <c r="K5142" s="2123">
        <f t="shared" ref="K5142:K5154" si="290">ROUND(G5142*J5142,2)</f>
        <v>1530</v>
      </c>
      <c r="L5142" s="192"/>
      <c r="M5142" s="568"/>
    </row>
    <row r="5143" spans="1:13" ht="12.75" hidden="1">
      <c r="A5143" s="568"/>
      <c r="B5143" s="568" t="s">
        <v>1147</v>
      </c>
      <c r="C5143" s="192"/>
      <c r="D5143" s="568"/>
      <c r="E5143" s="188"/>
      <c r="F5143" s="188"/>
      <c r="G5143" s="2122">
        <v>1.5</v>
      </c>
      <c r="H5143" s="2117" t="s">
        <v>136</v>
      </c>
      <c r="I5143" s="2118" t="s">
        <v>136</v>
      </c>
      <c r="J5143" s="2184">
        <v>336</v>
      </c>
      <c r="K5143" s="2123">
        <f t="shared" si="290"/>
        <v>504</v>
      </c>
      <c r="L5143" s="192"/>
      <c r="M5143" s="568"/>
    </row>
    <row r="5144" spans="1:13" ht="12.75" hidden="1">
      <c r="A5144" s="568"/>
      <c r="B5144" s="568" t="s">
        <v>1148</v>
      </c>
      <c r="C5144" s="192"/>
      <c r="D5144" s="568"/>
      <c r="E5144" s="188"/>
      <c r="F5144" s="188"/>
      <c r="G5144" s="2122">
        <v>8.1999999999999993</v>
      </c>
      <c r="H5144" s="2117" t="s">
        <v>136</v>
      </c>
      <c r="I5144" s="2118" t="s">
        <v>136</v>
      </c>
      <c r="J5144" s="2184">
        <v>124</v>
      </c>
      <c r="K5144" s="2123">
        <f t="shared" si="290"/>
        <v>1016.8</v>
      </c>
      <c r="L5144" s="192"/>
      <c r="M5144" s="568"/>
    </row>
    <row r="5145" spans="1:13" ht="12.75" hidden="1">
      <c r="A5145" s="568"/>
      <c r="B5145" s="192" t="s">
        <v>1134</v>
      </c>
      <c r="C5145" s="192"/>
      <c r="D5145" s="568"/>
      <c r="E5145" s="188"/>
      <c r="F5145" s="188"/>
      <c r="G5145" s="2122"/>
      <c r="H5145" s="2117"/>
      <c r="I5145" s="2118"/>
      <c r="J5145" s="2123"/>
      <c r="K5145" s="2123"/>
      <c r="L5145" s="192"/>
      <c r="M5145" s="568"/>
    </row>
    <row r="5146" spans="1:13" ht="12.75" hidden="1">
      <c r="A5146" s="568"/>
      <c r="B5146" s="568" t="s">
        <v>1149</v>
      </c>
      <c r="C5146" s="192"/>
      <c r="D5146" s="568"/>
      <c r="E5146" s="188"/>
      <c r="F5146" s="188"/>
      <c r="G5146" s="2122">
        <v>4</v>
      </c>
      <c r="H5146" s="2117" t="s">
        <v>262</v>
      </c>
      <c r="I5146" s="2118" t="s">
        <v>262</v>
      </c>
      <c r="J5146" s="2184">
        <v>38</v>
      </c>
      <c r="K5146" s="2123">
        <f t="shared" si="290"/>
        <v>152</v>
      </c>
      <c r="L5146" s="192"/>
      <c r="M5146" s="568"/>
    </row>
    <row r="5147" spans="1:13" ht="12.75" hidden="1">
      <c r="A5147" s="568"/>
      <c r="B5147" s="568" t="s">
        <v>1150</v>
      </c>
      <c r="C5147" s="192"/>
      <c r="D5147" s="568"/>
      <c r="E5147" s="188"/>
      <c r="F5147" s="188"/>
      <c r="G5147" s="2122">
        <v>2</v>
      </c>
      <c r="H5147" s="2117" t="s">
        <v>262</v>
      </c>
      <c r="I5147" s="2118" t="s">
        <v>262</v>
      </c>
      <c r="J5147" s="2184">
        <v>48</v>
      </c>
      <c r="K5147" s="2123">
        <f t="shared" si="290"/>
        <v>96</v>
      </c>
      <c r="L5147" s="192"/>
      <c r="M5147" s="568"/>
    </row>
    <row r="5148" spans="1:13" ht="12.75" hidden="1">
      <c r="A5148" s="568"/>
      <c r="B5148" s="568" t="s">
        <v>1151</v>
      </c>
      <c r="C5148" s="192"/>
      <c r="D5148" s="568"/>
      <c r="E5148" s="188"/>
      <c r="F5148" s="188"/>
      <c r="G5148" s="2122">
        <v>3</v>
      </c>
      <c r="H5148" s="2117" t="s">
        <v>262</v>
      </c>
      <c r="I5148" s="2118" t="s">
        <v>262</v>
      </c>
      <c r="J5148" s="2184">
        <v>95</v>
      </c>
      <c r="K5148" s="2123">
        <f t="shared" si="290"/>
        <v>285</v>
      </c>
      <c r="L5148" s="192"/>
      <c r="M5148" s="568"/>
    </row>
    <row r="5149" spans="1:13" ht="12.75" hidden="1">
      <c r="A5149" s="568"/>
      <c r="B5149" s="568" t="s">
        <v>1138</v>
      </c>
      <c r="C5149" s="192"/>
      <c r="D5149" s="568"/>
      <c r="E5149" s="188"/>
      <c r="F5149" s="188"/>
      <c r="G5149" s="2122">
        <v>5</v>
      </c>
      <c r="H5149" s="2117" t="s">
        <v>262</v>
      </c>
      <c r="I5149" s="2118" t="s">
        <v>262</v>
      </c>
      <c r="J5149" s="2184">
        <v>25</v>
      </c>
      <c r="K5149" s="2123">
        <f t="shared" si="290"/>
        <v>125</v>
      </c>
      <c r="L5149" s="192"/>
      <c r="M5149" s="568"/>
    </row>
    <row r="5150" spans="1:13" ht="12.75" hidden="1">
      <c r="A5150" s="568"/>
      <c r="B5150" s="192" t="s">
        <v>1139</v>
      </c>
      <c r="C5150" s="192"/>
      <c r="D5150" s="568"/>
      <c r="E5150" s="188"/>
      <c r="F5150" s="188"/>
      <c r="G5150" s="2122">
        <v>8.1999999999999993</v>
      </c>
      <c r="H5150" s="2117" t="s">
        <v>136</v>
      </c>
      <c r="I5150" s="2118" t="s">
        <v>136</v>
      </c>
      <c r="J5150" s="2184">
        <v>46</v>
      </c>
      <c r="K5150" s="2123">
        <f t="shared" si="290"/>
        <v>377.2</v>
      </c>
      <c r="L5150" s="192"/>
      <c r="M5150" s="568"/>
    </row>
    <row r="5151" spans="1:13" ht="12.75" hidden="1">
      <c r="A5151" s="568"/>
      <c r="B5151" s="192" t="s">
        <v>1140</v>
      </c>
      <c r="C5151" s="192"/>
      <c r="D5151" s="568"/>
      <c r="E5151" s="188"/>
      <c r="F5151" s="188"/>
      <c r="G5151" s="2122">
        <v>1.4</v>
      </c>
      <c r="H5151" s="2117" t="s">
        <v>92</v>
      </c>
      <c r="I5151" s="2118" t="s">
        <v>92</v>
      </c>
      <c r="J5151" s="2184">
        <v>870</v>
      </c>
      <c r="K5151" s="2123">
        <f t="shared" si="290"/>
        <v>1218</v>
      </c>
      <c r="L5151" s="192"/>
      <c r="M5151" s="568"/>
    </row>
    <row r="5152" spans="1:13" ht="12.75" hidden="1">
      <c r="A5152" s="568"/>
      <c r="B5152" s="192" t="s">
        <v>1141</v>
      </c>
      <c r="C5152" s="192"/>
      <c r="D5152" s="568"/>
      <c r="E5152" s="188"/>
      <c r="F5152" s="188"/>
      <c r="G5152" s="2122"/>
      <c r="H5152" s="2117"/>
      <c r="I5152" s="2118"/>
      <c r="J5152" s="2123"/>
      <c r="K5152" s="2123"/>
      <c r="L5152" s="192"/>
      <c r="M5152" s="568"/>
    </row>
    <row r="5153" spans="1:13" ht="12.75" hidden="1">
      <c r="A5153" s="568"/>
      <c r="B5153" s="568" t="s">
        <v>1093</v>
      </c>
      <c r="C5153" s="192"/>
      <c r="D5153" s="568"/>
      <c r="E5153" s="188"/>
      <c r="F5153" s="188"/>
      <c r="G5153" s="2122">
        <v>1.18</v>
      </c>
      <c r="H5153" s="2117" t="s">
        <v>262</v>
      </c>
      <c r="I5153" s="2118" t="s">
        <v>38</v>
      </c>
      <c r="J5153" s="2123">
        <f>L137</f>
        <v>495</v>
      </c>
      <c r="K5153" s="2123">
        <f t="shared" si="290"/>
        <v>584.1</v>
      </c>
      <c r="L5153" s="192"/>
      <c r="M5153" s="568"/>
    </row>
    <row r="5154" spans="1:13" ht="12.75" hidden="1">
      <c r="A5154" s="568"/>
      <c r="B5154" s="568" t="s">
        <v>1142</v>
      </c>
      <c r="C5154" s="192"/>
      <c r="D5154" s="568"/>
      <c r="E5154" s="188"/>
      <c r="F5154" s="188"/>
      <c r="G5154" s="2122">
        <v>1.18</v>
      </c>
      <c r="H5154" s="2117" t="s">
        <v>262</v>
      </c>
      <c r="I5154" s="2118" t="s">
        <v>38</v>
      </c>
      <c r="J5154" s="2123">
        <f>L135</f>
        <v>385</v>
      </c>
      <c r="K5154" s="2123">
        <f t="shared" si="290"/>
        <v>454.3</v>
      </c>
      <c r="L5154" s="192"/>
      <c r="M5154" s="568"/>
    </row>
    <row r="5155" spans="1:13" ht="12.75" hidden="1">
      <c r="A5155" s="568"/>
      <c r="B5155" s="192"/>
      <c r="C5155" s="192"/>
      <c r="D5155" s="568"/>
      <c r="E5155" s="188"/>
      <c r="F5155" s="188"/>
      <c r="G5155" s="2134"/>
      <c r="H5155" s="2192"/>
      <c r="I5155" s="2134"/>
      <c r="J5155" s="2126" t="s">
        <v>718</v>
      </c>
      <c r="K5155" s="2123">
        <f>SUM(K5142:K5154)</f>
        <v>6342.4000000000005</v>
      </c>
      <c r="L5155" s="192"/>
      <c r="M5155" s="568"/>
    </row>
    <row r="5156" spans="1:13" ht="12.75" hidden="1">
      <c r="A5156" s="568"/>
      <c r="B5156" s="192"/>
      <c r="C5156" s="192"/>
      <c r="D5156" s="568"/>
      <c r="E5156" s="188"/>
      <c r="F5156" s="188"/>
      <c r="G5156" s="2134"/>
      <c r="H5156" s="2192"/>
      <c r="I5156" s="2134"/>
      <c r="J5156" s="2123"/>
      <c r="K5156" s="2123"/>
      <c r="L5156" s="192"/>
      <c r="M5156" s="568"/>
    </row>
    <row r="5157" spans="1:13" ht="12.75" hidden="1">
      <c r="A5157" s="568"/>
      <c r="B5157" s="192" t="s">
        <v>1152</v>
      </c>
      <c r="C5157" s="192"/>
      <c r="D5157" s="568"/>
      <c r="E5157" s="188"/>
      <c r="F5157" s="188"/>
      <c r="G5157" s="2134"/>
      <c r="H5157" s="2192"/>
      <c r="I5157" s="2134"/>
      <c r="J5157" s="2123"/>
      <c r="K5157" s="2123">
        <f>K5155+K5156</f>
        <v>6342.4000000000005</v>
      </c>
      <c r="L5157" s="192"/>
      <c r="M5157" s="568"/>
    </row>
    <row r="5158" spans="1:13" ht="12.75" hidden="1">
      <c r="A5158" s="568"/>
      <c r="B5158" s="192" t="s">
        <v>1153</v>
      </c>
      <c r="C5158" s="192"/>
      <c r="D5158" s="568"/>
      <c r="E5158" s="188"/>
      <c r="F5158" s="188"/>
      <c r="G5158" s="2134"/>
      <c r="H5158" s="2192"/>
      <c r="I5158" s="2134"/>
      <c r="J5158" s="2123"/>
      <c r="K5158" s="2124">
        <f>ROUND(K5157/1.4,2)</f>
        <v>4530.29</v>
      </c>
      <c r="L5158" s="2119" t="s">
        <v>730</v>
      </c>
      <c r="M5158" s="568"/>
    </row>
    <row r="5159" spans="1:13" ht="288" hidden="1" customHeight="1">
      <c r="A5159" s="2114">
        <f>A862</f>
        <v>96</v>
      </c>
      <c r="B5159" s="3032" t="str">
        <f>B862</f>
        <v xml:space="preserve">Providing and fixing of Partly fixed, partly top hung and partly louvered windows of approved make to be fabricated from roll formed sections made of pre-painted steel (base steel as per IS- 513 of 0.6 mm thick “D” quality, galvanized as per IS-277 with zinc of 120 Gm/Sq.mtr) with paint pecification being with primer of 5-7 microns and finished paint with polyster paint of 12-16 microns alongwith the alkyd backer at the back of 5-7 microns and the sizes of outer frame being of 46x52 mm and with all vertical and horizontal mullions are of 46x70 mm and fixed beadings are of 18x25 mm. Section for internal top and bottom frames in the louvered areas should be 18 x 40 mm.Top hung shutter should be of 46 x 46 mm. 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5mm reflective with cost, conveyance and taxes of all materials, cost of all labour, T&amp;P etc. complete as per the direction of the Engineer-in-charge. </v>
      </c>
      <c r="C5159" s="3017"/>
      <c r="D5159" s="3017"/>
      <c r="E5159" s="2116" t="str">
        <f>G863</f>
        <v>Each Sqm</v>
      </c>
      <c r="F5159" s="2116"/>
      <c r="G5159" s="2122"/>
      <c r="H5159" s="568"/>
      <c r="I5159" s="2118"/>
      <c r="J5159" s="2124"/>
      <c r="K5159" s="2124"/>
      <c r="L5159" s="192"/>
      <c r="M5159" s="568"/>
    </row>
    <row r="5160" spans="1:13" ht="12.75" hidden="1">
      <c r="A5160" s="568"/>
      <c r="B5160" s="192" t="s">
        <v>1128</v>
      </c>
      <c r="C5160" s="192"/>
      <c r="D5160" s="568"/>
      <c r="E5160" s="188"/>
      <c r="F5160" s="188"/>
      <c r="G5160" s="2134"/>
      <c r="H5160" s="2192"/>
      <c r="I5160" s="2134"/>
      <c r="J5160" s="2123"/>
      <c r="K5160" s="2123"/>
      <c r="L5160" s="192"/>
      <c r="M5160" s="568"/>
    </row>
    <row r="5161" spans="1:13" ht="12.75" hidden="1">
      <c r="A5161" s="568"/>
      <c r="B5161" s="192" t="s">
        <v>1072</v>
      </c>
      <c r="C5161" s="192"/>
      <c r="D5161" s="568"/>
      <c r="E5161" s="188"/>
      <c r="F5161" s="188"/>
      <c r="G5161" s="2134"/>
      <c r="H5161" s="2192"/>
      <c r="I5161" s="2134"/>
      <c r="J5161" s="2123"/>
      <c r="K5161" s="2123"/>
      <c r="L5161" s="192"/>
      <c r="M5161" s="568"/>
    </row>
    <row r="5162" spans="1:13" ht="12.75" hidden="1">
      <c r="A5162" s="568"/>
      <c r="B5162" s="568" t="s">
        <v>1146</v>
      </c>
      <c r="C5162" s="192"/>
      <c r="D5162" s="568"/>
      <c r="E5162" s="188"/>
      <c r="F5162" s="188"/>
      <c r="G5162" s="2122">
        <v>6.1</v>
      </c>
      <c r="H5162" s="2117" t="s">
        <v>136</v>
      </c>
      <c r="I5162" s="2118" t="s">
        <v>136</v>
      </c>
      <c r="J5162" s="2184">
        <v>300</v>
      </c>
      <c r="K5162" s="2123">
        <f t="shared" ref="K5162:K5179" si="291">ROUND(G5162*J5162,2)</f>
        <v>1830</v>
      </c>
      <c r="L5162" s="192"/>
      <c r="M5162" s="568"/>
    </row>
    <row r="5163" spans="1:13" ht="12.75" hidden="1">
      <c r="A5163" s="568"/>
      <c r="B5163" s="568" t="s">
        <v>1147</v>
      </c>
      <c r="C5163" s="192"/>
      <c r="D5163" s="568"/>
      <c r="E5163" s="188"/>
      <c r="F5163" s="188"/>
      <c r="G5163" s="2122">
        <v>2.1349999999999998</v>
      </c>
      <c r="H5163" s="2117" t="s">
        <v>136</v>
      </c>
      <c r="I5163" s="2118" t="s">
        <v>136</v>
      </c>
      <c r="J5163" s="2184">
        <v>336</v>
      </c>
      <c r="K5163" s="2123">
        <f t="shared" si="291"/>
        <v>717.36</v>
      </c>
      <c r="L5163" s="192"/>
      <c r="M5163" s="568"/>
    </row>
    <row r="5164" spans="1:13" ht="12.75" hidden="1">
      <c r="A5164" s="568"/>
      <c r="B5164" s="568" t="s">
        <v>1154</v>
      </c>
      <c r="C5164" s="192"/>
      <c r="D5164" s="568"/>
      <c r="E5164" s="188"/>
      <c r="F5164" s="188"/>
      <c r="G5164" s="2122">
        <v>2.7450000000000001</v>
      </c>
      <c r="H5164" s="2117" t="s">
        <v>136</v>
      </c>
      <c r="I5164" s="2118" t="s">
        <v>136</v>
      </c>
      <c r="J5164" s="2184">
        <v>249</v>
      </c>
      <c r="K5164" s="2123">
        <f t="shared" si="291"/>
        <v>683.51</v>
      </c>
      <c r="L5164" s="192"/>
      <c r="M5164" s="568"/>
    </row>
    <row r="5165" spans="1:13" ht="12.75" hidden="1">
      <c r="A5165" s="568"/>
      <c r="B5165" s="568" t="s">
        <v>1155</v>
      </c>
      <c r="C5165" s="192"/>
      <c r="D5165" s="568"/>
      <c r="E5165" s="188"/>
      <c r="F5165" s="188"/>
      <c r="G5165" s="2122">
        <v>6.407</v>
      </c>
      <c r="H5165" s="2117" t="s">
        <v>136</v>
      </c>
      <c r="I5165" s="2118" t="s">
        <v>136</v>
      </c>
      <c r="J5165" s="2184">
        <v>124</v>
      </c>
      <c r="K5165" s="2123">
        <f t="shared" si="291"/>
        <v>794.47</v>
      </c>
      <c r="L5165" s="192"/>
      <c r="M5165" s="568"/>
    </row>
    <row r="5166" spans="1:13" ht="12.75" hidden="1">
      <c r="A5166" s="568"/>
      <c r="B5166" s="568"/>
      <c r="C5166" s="192"/>
      <c r="D5166" s="568"/>
      <c r="E5166" s="188"/>
      <c r="F5166" s="188"/>
      <c r="G5166" s="2122">
        <v>1.22</v>
      </c>
      <c r="H5166" s="2117" t="s">
        <v>136</v>
      </c>
      <c r="I5166" s="2118" t="s">
        <v>136</v>
      </c>
      <c r="J5166" s="2184">
        <v>126</v>
      </c>
      <c r="K5166" s="2123">
        <f t="shared" si="291"/>
        <v>153.72</v>
      </c>
      <c r="L5166" s="192"/>
      <c r="M5166" s="568"/>
    </row>
    <row r="5167" spans="1:13" ht="12.75" hidden="1">
      <c r="A5167" s="568"/>
      <c r="B5167" s="192" t="s">
        <v>1134</v>
      </c>
      <c r="C5167" s="192"/>
      <c r="D5167" s="568"/>
      <c r="E5167" s="188"/>
      <c r="F5167" s="188"/>
      <c r="G5167" s="2122"/>
      <c r="H5167" s="2117"/>
      <c r="I5167" s="2118"/>
      <c r="J5167" s="2123"/>
      <c r="K5167" s="2123"/>
      <c r="L5167" s="192"/>
      <c r="M5167" s="568"/>
    </row>
    <row r="5168" spans="1:13" ht="12.75" hidden="1">
      <c r="A5168" s="568"/>
      <c r="B5168" s="568" t="s">
        <v>1156</v>
      </c>
      <c r="C5168" s="192"/>
      <c r="D5168" s="568"/>
      <c r="E5168" s="188"/>
      <c r="F5168" s="188"/>
      <c r="G5168" s="2122">
        <v>4</v>
      </c>
      <c r="H5168" s="2117" t="s">
        <v>262</v>
      </c>
      <c r="I5168" s="2118" t="s">
        <v>262</v>
      </c>
      <c r="J5168" s="2184">
        <v>38</v>
      </c>
      <c r="K5168" s="2123">
        <f t="shared" si="291"/>
        <v>152</v>
      </c>
      <c r="L5168" s="192"/>
      <c r="M5168" s="568"/>
    </row>
    <row r="5169" spans="1:13" ht="12.75" hidden="1">
      <c r="A5169" s="568"/>
      <c r="B5169" s="568" t="s">
        <v>1157</v>
      </c>
      <c r="C5169" s="192"/>
      <c r="D5169" s="568"/>
      <c r="E5169" s="188"/>
      <c r="F5169" s="188"/>
      <c r="G5169" s="2122">
        <v>1</v>
      </c>
      <c r="H5169" s="2117" t="s">
        <v>262</v>
      </c>
      <c r="I5169" s="2118" t="s">
        <v>262</v>
      </c>
      <c r="J5169" s="2184">
        <v>325</v>
      </c>
      <c r="K5169" s="2123">
        <f t="shared" si="291"/>
        <v>325</v>
      </c>
      <c r="L5169" s="192"/>
      <c r="M5169" s="568"/>
    </row>
    <row r="5170" spans="1:13" ht="12.75" hidden="1">
      <c r="A5170" s="568"/>
      <c r="B5170" s="568" t="s">
        <v>1150</v>
      </c>
      <c r="C5170" s="192"/>
      <c r="D5170" s="568"/>
      <c r="E5170" s="188"/>
      <c r="F5170" s="188"/>
      <c r="G5170" s="2122">
        <v>2</v>
      </c>
      <c r="H5170" s="2117" t="s">
        <v>262</v>
      </c>
      <c r="I5170" s="2118" t="s">
        <v>262</v>
      </c>
      <c r="J5170" s="2184">
        <v>48</v>
      </c>
      <c r="K5170" s="2123">
        <f t="shared" si="291"/>
        <v>96</v>
      </c>
      <c r="L5170" s="192"/>
      <c r="M5170" s="568"/>
    </row>
    <row r="5171" spans="1:13" ht="12.75" hidden="1">
      <c r="A5171" s="568"/>
      <c r="B5171" s="568" t="s">
        <v>1151</v>
      </c>
      <c r="C5171" s="192"/>
      <c r="D5171" s="568"/>
      <c r="E5171" s="188"/>
      <c r="F5171" s="188"/>
      <c r="G5171" s="2122">
        <v>1</v>
      </c>
      <c r="H5171" s="2117" t="s">
        <v>262</v>
      </c>
      <c r="I5171" s="2118" t="s">
        <v>262</v>
      </c>
      <c r="J5171" s="2184">
        <v>95</v>
      </c>
      <c r="K5171" s="2123">
        <f t="shared" si="291"/>
        <v>95</v>
      </c>
      <c r="L5171" s="192"/>
      <c r="M5171" s="568"/>
    </row>
    <row r="5172" spans="1:13" ht="12.75" hidden="1">
      <c r="A5172" s="568"/>
      <c r="B5172" s="568" t="s">
        <v>1158</v>
      </c>
      <c r="C5172" s="192"/>
      <c r="D5172" s="568"/>
      <c r="E5172" s="188"/>
      <c r="F5172" s="188"/>
      <c r="G5172" s="2122">
        <v>12</v>
      </c>
      <c r="H5172" s="2117" t="s">
        <v>262</v>
      </c>
      <c r="I5172" s="2118" t="s">
        <v>262</v>
      </c>
      <c r="J5172" s="2184">
        <v>25</v>
      </c>
      <c r="K5172" s="2123">
        <f t="shared" si="291"/>
        <v>300</v>
      </c>
      <c r="L5172" s="192"/>
      <c r="M5172" s="568"/>
    </row>
    <row r="5173" spans="1:13" ht="12.75" hidden="1">
      <c r="A5173" s="568"/>
      <c r="B5173" s="568" t="s">
        <v>1138</v>
      </c>
      <c r="C5173" s="192"/>
      <c r="D5173" s="568"/>
      <c r="E5173" s="188"/>
      <c r="F5173" s="188"/>
      <c r="G5173" s="2122">
        <v>10</v>
      </c>
      <c r="H5173" s="2117" t="s">
        <v>262</v>
      </c>
      <c r="I5173" s="2118" t="s">
        <v>262</v>
      </c>
      <c r="J5173" s="2184">
        <v>25</v>
      </c>
      <c r="K5173" s="2123">
        <f t="shared" si="291"/>
        <v>250</v>
      </c>
      <c r="L5173" s="192"/>
      <c r="M5173" s="568"/>
    </row>
    <row r="5174" spans="1:13" ht="12.75" hidden="1">
      <c r="A5174" s="568"/>
      <c r="B5174" s="192" t="s">
        <v>1139</v>
      </c>
      <c r="C5174" s="192"/>
      <c r="D5174" s="568"/>
      <c r="E5174" s="188"/>
      <c r="F5174" s="188"/>
      <c r="G5174" s="2122">
        <v>2.7450000000000001</v>
      </c>
      <c r="H5174" s="2117" t="s">
        <v>136</v>
      </c>
      <c r="I5174" s="2118" t="s">
        <v>136</v>
      </c>
      <c r="J5174" s="2184">
        <v>35</v>
      </c>
      <c r="K5174" s="2123">
        <f t="shared" si="291"/>
        <v>96.08</v>
      </c>
      <c r="L5174" s="192"/>
      <c r="M5174" s="568"/>
    </row>
    <row r="5175" spans="1:13" ht="12.75" hidden="1">
      <c r="A5175" s="568"/>
      <c r="B5175" s="192" t="s">
        <v>1159</v>
      </c>
      <c r="C5175" s="192"/>
      <c r="D5175" s="568"/>
      <c r="E5175" s="188"/>
      <c r="F5175" s="188"/>
      <c r="G5175" s="2122">
        <v>6.407</v>
      </c>
      <c r="H5175" s="2117" t="s">
        <v>136</v>
      </c>
      <c r="I5175" s="2118" t="s">
        <v>136</v>
      </c>
      <c r="J5175" s="2184">
        <v>46</v>
      </c>
      <c r="K5175" s="2123">
        <f t="shared" si="291"/>
        <v>294.72000000000003</v>
      </c>
      <c r="L5175" s="192"/>
      <c r="M5175" s="568"/>
    </row>
    <row r="5176" spans="1:13" ht="12.75" hidden="1">
      <c r="A5176" s="568"/>
      <c r="B5176" s="192" t="s">
        <v>1140</v>
      </c>
      <c r="C5176" s="192"/>
      <c r="D5176" s="568"/>
      <c r="E5176" s="188"/>
      <c r="F5176" s="188"/>
      <c r="G5176" s="2122">
        <v>2.3199999999999998</v>
      </c>
      <c r="H5176" s="2117" t="s">
        <v>92</v>
      </c>
      <c r="I5176" s="2118" t="s">
        <v>92</v>
      </c>
      <c r="J5176" s="2184">
        <v>870</v>
      </c>
      <c r="K5176" s="2123">
        <f t="shared" si="291"/>
        <v>2018.4</v>
      </c>
      <c r="L5176" s="192"/>
      <c r="M5176" s="568"/>
    </row>
    <row r="5177" spans="1:13" ht="12.75" hidden="1">
      <c r="A5177" s="568"/>
      <c r="B5177" s="192" t="s">
        <v>1141</v>
      </c>
      <c r="C5177" s="192"/>
      <c r="D5177" s="568"/>
      <c r="E5177" s="188"/>
      <c r="F5177" s="188"/>
      <c r="G5177" s="2122"/>
      <c r="H5177" s="2117"/>
      <c r="I5177" s="2118"/>
      <c r="J5177" s="2123"/>
      <c r="K5177" s="2123"/>
      <c r="L5177" s="192"/>
      <c r="M5177" s="568"/>
    </row>
    <row r="5178" spans="1:13" ht="12.75" hidden="1">
      <c r="A5178" s="568"/>
      <c r="B5178" s="568" t="s">
        <v>1093</v>
      </c>
      <c r="C5178" s="192"/>
      <c r="D5178" s="568"/>
      <c r="E5178" s="188"/>
      <c r="F5178" s="188"/>
      <c r="G5178" s="2122">
        <v>2.4900000000000002</v>
      </c>
      <c r="H5178" s="2117" t="s">
        <v>262</v>
      </c>
      <c r="I5178" s="2118" t="s">
        <v>38</v>
      </c>
      <c r="J5178" s="2123">
        <f>L137</f>
        <v>495</v>
      </c>
      <c r="K5178" s="2123">
        <f t="shared" si="291"/>
        <v>1232.55</v>
      </c>
      <c r="L5178" s="192"/>
      <c r="M5178" s="568"/>
    </row>
    <row r="5179" spans="1:13" ht="12.75" hidden="1">
      <c r="A5179" s="568"/>
      <c r="B5179" s="568" t="s">
        <v>1142</v>
      </c>
      <c r="C5179" s="192"/>
      <c r="D5179" s="568"/>
      <c r="E5179" s="188"/>
      <c r="F5179" s="188"/>
      <c r="G5179" s="2122">
        <v>2.4900000000000002</v>
      </c>
      <c r="H5179" s="2117" t="s">
        <v>262</v>
      </c>
      <c r="I5179" s="2118" t="s">
        <v>38</v>
      </c>
      <c r="J5179" s="2123">
        <f>L135</f>
        <v>385</v>
      </c>
      <c r="K5179" s="2123">
        <f t="shared" si="291"/>
        <v>958.65</v>
      </c>
      <c r="L5179" s="192"/>
      <c r="M5179" s="568"/>
    </row>
    <row r="5180" spans="1:13" ht="12.75" hidden="1">
      <c r="A5180" s="568"/>
      <c r="B5180" s="192"/>
      <c r="C5180" s="192"/>
      <c r="D5180" s="568"/>
      <c r="E5180" s="188"/>
      <c r="F5180" s="188"/>
      <c r="G5180" s="2134"/>
      <c r="H5180" s="2192"/>
      <c r="I5180" s="2134"/>
      <c r="J5180" s="2126" t="s">
        <v>718</v>
      </c>
      <c r="K5180" s="2123">
        <f>SUM(K5162:K5179)</f>
        <v>9997.4599999999991</v>
      </c>
      <c r="L5180" s="192"/>
      <c r="M5180" s="568"/>
    </row>
    <row r="5181" spans="1:13" ht="12.75" hidden="1">
      <c r="A5181" s="568"/>
      <c r="B5181" s="192"/>
      <c r="C5181" s="192"/>
      <c r="D5181" s="568"/>
      <c r="E5181" s="188"/>
      <c r="F5181" s="188"/>
      <c r="G5181" s="2134"/>
      <c r="H5181" s="2192"/>
      <c r="I5181" s="2134"/>
      <c r="J5181" s="2123"/>
      <c r="K5181" s="2123"/>
      <c r="L5181" s="192"/>
      <c r="M5181" s="568"/>
    </row>
    <row r="5182" spans="1:13" ht="12.75" hidden="1">
      <c r="A5182" s="568"/>
      <c r="B5182" s="192" t="s">
        <v>1143</v>
      </c>
      <c r="C5182" s="192"/>
      <c r="D5182" s="568"/>
      <c r="E5182" s="188"/>
      <c r="F5182" s="188"/>
      <c r="G5182" s="2134"/>
      <c r="H5182" s="2192"/>
      <c r="I5182" s="2134"/>
      <c r="J5182" s="2123"/>
      <c r="K5182" s="2123">
        <f>K5180+K5181</f>
        <v>9997.4599999999991</v>
      </c>
      <c r="L5182" s="192"/>
      <c r="M5182" s="568"/>
    </row>
    <row r="5183" spans="1:13" ht="12.75" hidden="1">
      <c r="A5183" s="568"/>
      <c r="B5183" s="192" t="s">
        <v>1144</v>
      </c>
      <c r="C5183" s="192"/>
      <c r="D5183" s="568"/>
      <c r="E5183" s="188"/>
      <c r="F5183" s="188"/>
      <c r="G5183" s="2134"/>
      <c r="H5183" s="2192"/>
      <c r="I5183" s="2134"/>
      <c r="J5183" s="2123"/>
      <c r="K5183" s="2124">
        <f>ROUND(K5182/2.32,2)</f>
        <v>4309.25</v>
      </c>
      <c r="L5183" s="2119" t="s">
        <v>730</v>
      </c>
      <c r="M5183" s="568"/>
    </row>
    <row r="5184" spans="1:13" ht="233.45" hidden="1" customHeight="1">
      <c r="A5184" s="2114">
        <f>A863</f>
        <v>97</v>
      </c>
      <c r="B5184" s="3032" t="str">
        <f>B863</f>
        <v>Providing and fixing of Swing Door of approved make  to be fabricated from roll formed sections made of pre-painted steel (base steel as per IS-513 of 0.6 mm thick “D” quality, galvanized as per IS-277with zinc of 120 Gm/Sq.mtr) with paint specification being with primer of 5-7 microns and finished paint with polyster paint (Black /Pearl white/ Chocolate Brown) of 12-16 microns along with the alkyd backer at the back of 5-7 microns and sizes of outer frame being of 33 x 57 mm and shutter being of 46x52mm and 46x46mm and lock rail should be of 23x130mm Accessories / gaskets are to be used as per the manufacturer’s supply and specification like handle, lock and floor spring of approved quality. Gasket will be made of EPDM. All corner brackets are to be made of CRCA wth zinc phosphating.The sectio are to be  cut to length, mitre jointed with corner bracket and frames are fixed to the concrete/masonry walls by means of self expanding screws and glass to be used of 6 mm clear taxes etc. complete as per the direction of the Engineer-in-charge.</v>
      </c>
      <c r="C5184" s="3017"/>
      <c r="D5184" s="3017"/>
      <c r="E5184" s="2116" t="str">
        <f>G863</f>
        <v>Each Sqm</v>
      </c>
      <c r="F5184" s="2116"/>
      <c r="G5184" s="2122"/>
      <c r="H5184" s="568"/>
      <c r="I5184" s="2118"/>
      <c r="J5184" s="2124"/>
      <c r="K5184" s="2124"/>
      <c r="L5184" s="192"/>
      <c r="M5184" s="568"/>
    </row>
    <row r="5185" spans="1:13" ht="12.75" hidden="1">
      <c r="A5185" s="568"/>
      <c r="B5185" s="192" t="s">
        <v>1160</v>
      </c>
      <c r="C5185" s="192"/>
      <c r="D5185" s="568"/>
      <c r="E5185" s="188"/>
      <c r="F5185" s="188"/>
      <c r="G5185" s="2134"/>
      <c r="H5185" s="2192"/>
      <c r="I5185" s="2134"/>
      <c r="J5185" s="2123"/>
      <c r="K5185" s="2123"/>
      <c r="L5185" s="192"/>
      <c r="M5185" s="568"/>
    </row>
    <row r="5186" spans="1:13" ht="12.75" hidden="1">
      <c r="A5186" s="568"/>
      <c r="B5186" s="192" t="s">
        <v>1072</v>
      </c>
      <c r="C5186" s="192"/>
      <c r="D5186" s="568"/>
      <c r="E5186" s="188"/>
      <c r="F5186" s="188"/>
      <c r="G5186" s="2134"/>
      <c r="H5186" s="2192"/>
      <c r="I5186" s="2134"/>
      <c r="J5186" s="2123"/>
      <c r="K5186" s="2123"/>
      <c r="L5186" s="192"/>
      <c r="M5186" s="568"/>
    </row>
    <row r="5187" spans="1:13" ht="12.75" hidden="1">
      <c r="A5187" s="568"/>
      <c r="B5187" s="568" t="s">
        <v>1146</v>
      </c>
      <c r="C5187" s="192"/>
      <c r="D5187" s="568"/>
      <c r="E5187" s="188"/>
      <c r="F5187" s="188"/>
      <c r="G5187" s="2122">
        <v>12.2</v>
      </c>
      <c r="H5187" s="2117" t="s">
        <v>136</v>
      </c>
      <c r="I5187" s="2118" t="s">
        <v>136</v>
      </c>
      <c r="J5187" s="2184">
        <v>300</v>
      </c>
      <c r="K5187" s="2123">
        <f t="shared" ref="K5187:K5207" si="292">ROUND(G5187*J5187,2)</f>
        <v>3660</v>
      </c>
      <c r="L5187" s="192"/>
      <c r="M5187" s="568"/>
    </row>
    <row r="5188" spans="1:13" ht="12.75" hidden="1">
      <c r="A5188" s="568"/>
      <c r="B5188" s="568" t="s">
        <v>1161</v>
      </c>
      <c r="C5188" s="192"/>
      <c r="D5188" s="568"/>
      <c r="E5188" s="188"/>
      <c r="F5188" s="188"/>
      <c r="G5188" s="2122">
        <v>12.2</v>
      </c>
      <c r="H5188" s="2117" t="s">
        <v>136</v>
      </c>
      <c r="I5188" s="2118" t="s">
        <v>136</v>
      </c>
      <c r="J5188" s="2184">
        <v>249</v>
      </c>
      <c r="K5188" s="2123">
        <f t="shared" si="292"/>
        <v>3037.8</v>
      </c>
      <c r="L5188" s="192"/>
      <c r="M5188" s="568"/>
    </row>
    <row r="5189" spans="1:13" ht="12.75" hidden="1">
      <c r="A5189" s="568"/>
      <c r="B5189" s="568" t="s">
        <v>1162</v>
      </c>
      <c r="C5189" s="192"/>
      <c r="D5189" s="568"/>
      <c r="E5189" s="188"/>
      <c r="F5189" s="188"/>
      <c r="G5189" s="2122">
        <v>8.5</v>
      </c>
      <c r="H5189" s="2117" t="s">
        <v>136</v>
      </c>
      <c r="I5189" s="2118" t="s">
        <v>136</v>
      </c>
      <c r="J5189" s="2184">
        <v>305</v>
      </c>
      <c r="K5189" s="2123">
        <f t="shared" si="292"/>
        <v>2592.5</v>
      </c>
      <c r="L5189" s="192"/>
      <c r="M5189" s="568"/>
    </row>
    <row r="5190" spans="1:13" ht="12.75" hidden="1">
      <c r="A5190" s="568"/>
      <c r="B5190" s="568" t="s">
        <v>1148</v>
      </c>
      <c r="C5190" s="192"/>
      <c r="D5190" s="568"/>
      <c r="E5190" s="188"/>
      <c r="F5190" s="188"/>
      <c r="G5190" s="2122">
        <v>7.9</v>
      </c>
      <c r="H5190" s="2117" t="s">
        <v>136</v>
      </c>
      <c r="I5190" s="2118" t="s">
        <v>136</v>
      </c>
      <c r="J5190" s="2184">
        <v>124</v>
      </c>
      <c r="K5190" s="2123">
        <f t="shared" si="292"/>
        <v>979.6</v>
      </c>
      <c r="L5190" s="192"/>
      <c r="M5190" s="568"/>
    </row>
    <row r="5191" spans="1:13" ht="12.75" hidden="1">
      <c r="A5191" s="568"/>
      <c r="B5191" s="568" t="s">
        <v>1163</v>
      </c>
      <c r="C5191" s="192"/>
      <c r="D5191" s="568"/>
      <c r="E5191" s="188"/>
      <c r="F5191" s="188"/>
      <c r="G5191" s="2122">
        <v>3</v>
      </c>
      <c r="H5191" s="2117" t="s">
        <v>136</v>
      </c>
      <c r="I5191" s="2118" t="s">
        <v>136</v>
      </c>
      <c r="J5191" s="2184">
        <v>467</v>
      </c>
      <c r="K5191" s="2123">
        <f t="shared" si="292"/>
        <v>1401</v>
      </c>
      <c r="L5191" s="192"/>
      <c r="M5191" s="568"/>
    </row>
    <row r="5192" spans="1:13" ht="12.75" hidden="1">
      <c r="A5192" s="568"/>
      <c r="B5192" s="192" t="s">
        <v>1134</v>
      </c>
      <c r="C5192" s="192"/>
      <c r="D5192" s="568"/>
      <c r="E5192" s="188"/>
      <c r="F5192" s="188"/>
      <c r="G5192" s="2122"/>
      <c r="H5192" s="2117"/>
      <c r="I5192" s="2118"/>
      <c r="J5192" s="2123"/>
      <c r="K5192" s="2123"/>
      <c r="L5192" s="192"/>
      <c r="M5192" s="568"/>
    </row>
    <row r="5193" spans="1:13" ht="12.75" hidden="1">
      <c r="A5193" s="568"/>
      <c r="B5193" s="568" t="s">
        <v>1156</v>
      </c>
      <c r="C5193" s="192"/>
      <c r="D5193" s="568"/>
      <c r="E5193" s="188"/>
      <c r="F5193" s="188"/>
      <c r="G5193" s="2122">
        <v>2</v>
      </c>
      <c r="H5193" s="2117" t="s">
        <v>262</v>
      </c>
      <c r="I5193" s="2118" t="s">
        <v>262</v>
      </c>
      <c r="J5193" s="2184">
        <v>38</v>
      </c>
      <c r="K5193" s="2123">
        <f t="shared" si="292"/>
        <v>76</v>
      </c>
      <c r="L5193" s="192"/>
      <c r="M5193" s="568"/>
    </row>
    <row r="5194" spans="1:13" ht="12.75" hidden="1">
      <c r="A5194" s="568"/>
      <c r="B5194" s="568" t="s">
        <v>1164</v>
      </c>
      <c r="C5194" s="192"/>
      <c r="D5194" s="568"/>
      <c r="E5194" s="188"/>
      <c r="F5194" s="188"/>
      <c r="G5194" s="2122">
        <v>2</v>
      </c>
      <c r="H5194" s="2117" t="s">
        <v>262</v>
      </c>
      <c r="I5194" s="2118" t="s">
        <v>262</v>
      </c>
      <c r="J5194" s="2184">
        <v>186</v>
      </c>
      <c r="K5194" s="2123">
        <f t="shared" si="292"/>
        <v>372</v>
      </c>
      <c r="L5194" s="192"/>
      <c r="M5194" s="568"/>
    </row>
    <row r="5195" spans="1:13" ht="12.75" hidden="1">
      <c r="A5195" s="568"/>
      <c r="B5195" s="568" t="s">
        <v>1165</v>
      </c>
      <c r="C5195" s="192"/>
      <c r="D5195" s="568"/>
      <c r="E5195" s="188"/>
      <c r="F5195" s="188"/>
      <c r="G5195" s="2122">
        <v>2</v>
      </c>
      <c r="H5195" s="2117" t="s">
        <v>262</v>
      </c>
      <c r="I5195" s="2118" t="s">
        <v>262</v>
      </c>
      <c r="J5195" s="2184">
        <v>335</v>
      </c>
      <c r="K5195" s="2123">
        <f t="shared" si="292"/>
        <v>670</v>
      </c>
      <c r="L5195" s="192"/>
      <c r="M5195" s="568"/>
    </row>
    <row r="5196" spans="1:13" ht="12.75" hidden="1">
      <c r="A5196" s="568"/>
      <c r="B5196" s="568" t="s">
        <v>1166</v>
      </c>
      <c r="C5196" s="192"/>
      <c r="D5196" s="568"/>
      <c r="E5196" s="188"/>
      <c r="F5196" s="188"/>
      <c r="G5196" s="2122">
        <v>4</v>
      </c>
      <c r="H5196" s="2117" t="s">
        <v>262</v>
      </c>
      <c r="I5196" s="2118" t="s">
        <v>262</v>
      </c>
      <c r="J5196" s="2184">
        <v>16</v>
      </c>
      <c r="K5196" s="2123">
        <f t="shared" si="292"/>
        <v>64</v>
      </c>
      <c r="L5196" s="192"/>
      <c r="M5196" s="568"/>
    </row>
    <row r="5197" spans="1:13" ht="12.75" hidden="1">
      <c r="A5197" s="568"/>
      <c r="B5197" s="568" t="s">
        <v>1138</v>
      </c>
      <c r="C5197" s="192"/>
      <c r="D5197" s="568"/>
      <c r="E5197" s="188"/>
      <c r="F5197" s="188"/>
      <c r="G5197" s="2122">
        <v>8</v>
      </c>
      <c r="H5197" s="2117" t="s">
        <v>262</v>
      </c>
      <c r="I5197" s="2118" t="s">
        <v>262</v>
      </c>
      <c r="J5197" s="2184">
        <v>25</v>
      </c>
      <c r="K5197" s="2123">
        <f t="shared" si="292"/>
        <v>200</v>
      </c>
      <c r="L5197" s="192"/>
      <c r="M5197" s="568"/>
    </row>
    <row r="5198" spans="1:13" ht="12.75" hidden="1">
      <c r="A5198" s="568"/>
      <c r="B5198" s="568" t="s">
        <v>1151</v>
      </c>
      <c r="C5198" s="192"/>
      <c r="D5198" s="568"/>
      <c r="E5198" s="188"/>
      <c r="F5198" s="188"/>
      <c r="G5198" s="2122">
        <v>1</v>
      </c>
      <c r="H5198" s="2117" t="s">
        <v>262</v>
      </c>
      <c r="I5198" s="2118" t="s">
        <v>262</v>
      </c>
      <c r="J5198" s="2184">
        <v>95</v>
      </c>
      <c r="K5198" s="2123">
        <f t="shared" si="292"/>
        <v>95</v>
      </c>
      <c r="L5198" s="192"/>
      <c r="M5198" s="568"/>
    </row>
    <row r="5199" spans="1:13" ht="12.75" hidden="1">
      <c r="A5199" s="568"/>
      <c r="B5199" s="568" t="s">
        <v>1167</v>
      </c>
      <c r="C5199" s="192"/>
      <c r="D5199" s="568"/>
      <c r="E5199" s="188"/>
      <c r="F5199" s="188"/>
      <c r="G5199" s="2122">
        <v>2</v>
      </c>
      <c r="H5199" s="2117" t="s">
        <v>262</v>
      </c>
      <c r="I5199" s="2118" t="s">
        <v>262</v>
      </c>
      <c r="J5199" s="2184">
        <v>2769</v>
      </c>
      <c r="K5199" s="2123">
        <f t="shared" si="292"/>
        <v>5538</v>
      </c>
      <c r="L5199" s="192"/>
      <c r="M5199" s="568"/>
    </row>
    <row r="5200" spans="1:13" ht="12.75" hidden="1">
      <c r="A5200" s="568"/>
      <c r="B5200" s="192" t="s">
        <v>1168</v>
      </c>
      <c r="C5200" s="192"/>
      <c r="D5200" s="568"/>
      <c r="E5200" s="188"/>
      <c r="F5200" s="188"/>
      <c r="G5200" s="2122"/>
      <c r="H5200" s="2117"/>
      <c r="I5200" s="2118"/>
      <c r="J5200" s="2123"/>
      <c r="K5200" s="2123"/>
      <c r="L5200" s="192"/>
      <c r="M5200" s="568"/>
    </row>
    <row r="5201" spans="1:13" ht="12.75" hidden="1">
      <c r="A5201" s="568"/>
      <c r="B5201" s="568" t="s">
        <v>1169</v>
      </c>
      <c r="C5201" s="192"/>
      <c r="D5201" s="568"/>
      <c r="E5201" s="188"/>
      <c r="F5201" s="188"/>
      <c r="G5201" s="2122">
        <v>3</v>
      </c>
      <c r="H5201" s="2117" t="s">
        <v>136</v>
      </c>
      <c r="I5201" s="2118" t="s">
        <v>136</v>
      </c>
      <c r="J5201" s="2184">
        <v>102</v>
      </c>
      <c r="K5201" s="2123">
        <f t="shared" si="292"/>
        <v>306</v>
      </c>
      <c r="L5201" s="192"/>
      <c r="M5201" s="568"/>
    </row>
    <row r="5202" spans="1:13" ht="12.75" hidden="1">
      <c r="A5202" s="568"/>
      <c r="B5202" s="568" t="s">
        <v>1170</v>
      </c>
      <c r="C5202" s="192"/>
      <c r="D5202" s="568"/>
      <c r="E5202" s="188"/>
      <c r="F5202" s="188"/>
      <c r="G5202" s="2122">
        <v>12</v>
      </c>
      <c r="H5202" s="2117" t="s">
        <v>136</v>
      </c>
      <c r="I5202" s="2118" t="s">
        <v>136</v>
      </c>
      <c r="J5202" s="2184">
        <v>35</v>
      </c>
      <c r="K5202" s="2123">
        <f t="shared" si="292"/>
        <v>420</v>
      </c>
      <c r="L5202" s="192"/>
      <c r="M5202" s="568"/>
    </row>
    <row r="5203" spans="1:13" ht="12.75" hidden="1">
      <c r="A5203" s="568"/>
      <c r="B5203" s="568" t="s">
        <v>1148</v>
      </c>
      <c r="C5203" s="192"/>
      <c r="D5203" s="568"/>
      <c r="E5203" s="188"/>
      <c r="F5203" s="188"/>
      <c r="G5203" s="2122">
        <v>7.9</v>
      </c>
      <c r="H5203" s="2117" t="s">
        <v>136</v>
      </c>
      <c r="I5203" s="2118" t="s">
        <v>136</v>
      </c>
      <c r="J5203" s="2184">
        <v>46</v>
      </c>
      <c r="K5203" s="2123">
        <f t="shared" si="292"/>
        <v>363.4</v>
      </c>
      <c r="L5203" s="192"/>
      <c r="M5203" s="568"/>
    </row>
    <row r="5204" spans="1:13" ht="12.75" hidden="1">
      <c r="A5204" s="568"/>
      <c r="B5204" s="192" t="s">
        <v>1171</v>
      </c>
      <c r="C5204" s="192"/>
      <c r="D5204" s="568"/>
      <c r="E5204" s="188"/>
      <c r="F5204" s="188"/>
      <c r="G5204" s="2122">
        <v>4.18</v>
      </c>
      <c r="H5204" s="2117" t="s">
        <v>92</v>
      </c>
      <c r="I5204" s="2118" t="s">
        <v>92</v>
      </c>
      <c r="J5204" s="2184">
        <v>630</v>
      </c>
      <c r="K5204" s="2123">
        <f t="shared" si="292"/>
        <v>2633.4</v>
      </c>
      <c r="L5204" s="192"/>
      <c r="M5204" s="568"/>
    </row>
    <row r="5205" spans="1:13" ht="12.75" hidden="1">
      <c r="A5205" s="568"/>
      <c r="B5205" s="192" t="s">
        <v>1141</v>
      </c>
      <c r="C5205" s="192"/>
      <c r="D5205" s="568"/>
      <c r="E5205" s="188"/>
      <c r="F5205" s="188"/>
      <c r="G5205" s="2122"/>
      <c r="H5205" s="2117"/>
      <c r="I5205" s="2118"/>
      <c r="J5205" s="2123"/>
      <c r="K5205" s="2123"/>
      <c r="L5205" s="192"/>
      <c r="M5205" s="568"/>
    </row>
    <row r="5206" spans="1:13" ht="12.75" hidden="1">
      <c r="A5206" s="568"/>
      <c r="B5206" s="568" t="s">
        <v>1093</v>
      </c>
      <c r="C5206" s="192"/>
      <c r="D5206" s="568"/>
      <c r="E5206" s="188"/>
      <c r="F5206" s="188"/>
      <c r="G5206" s="2122">
        <v>4.4800000000000004</v>
      </c>
      <c r="H5206" s="2117" t="s">
        <v>262</v>
      </c>
      <c r="I5206" s="2118" t="s">
        <v>38</v>
      </c>
      <c r="J5206" s="2123">
        <f>L137</f>
        <v>495</v>
      </c>
      <c r="K5206" s="2123">
        <f t="shared" si="292"/>
        <v>2217.6</v>
      </c>
      <c r="L5206" s="192"/>
      <c r="M5206" s="568"/>
    </row>
    <row r="5207" spans="1:13" ht="12.75" hidden="1">
      <c r="A5207" s="568"/>
      <c r="B5207" s="568" t="s">
        <v>1142</v>
      </c>
      <c r="C5207" s="192"/>
      <c r="D5207" s="568"/>
      <c r="E5207" s="188"/>
      <c r="F5207" s="188"/>
      <c r="G5207" s="2122">
        <v>4.4800000000000004</v>
      </c>
      <c r="H5207" s="2117" t="s">
        <v>262</v>
      </c>
      <c r="I5207" s="2118" t="s">
        <v>38</v>
      </c>
      <c r="J5207" s="2123">
        <f>L135</f>
        <v>385</v>
      </c>
      <c r="K5207" s="2123">
        <f t="shared" si="292"/>
        <v>1724.8</v>
      </c>
      <c r="L5207" s="192"/>
      <c r="M5207" s="568"/>
    </row>
    <row r="5208" spans="1:13" ht="12.75" hidden="1">
      <c r="A5208" s="568"/>
      <c r="B5208" s="192"/>
      <c r="C5208" s="192"/>
      <c r="D5208" s="568"/>
      <c r="E5208" s="188"/>
      <c r="F5208" s="188"/>
      <c r="G5208" s="2134"/>
      <c r="H5208" s="2192"/>
      <c r="I5208" s="2134"/>
      <c r="J5208" s="2126" t="s">
        <v>718</v>
      </c>
      <c r="K5208" s="2123">
        <f>SUM(K5187:K5207)</f>
        <v>26351.100000000002</v>
      </c>
      <c r="L5208" s="192"/>
      <c r="M5208" s="568"/>
    </row>
    <row r="5209" spans="1:13" ht="12.75" hidden="1">
      <c r="A5209" s="568"/>
      <c r="B5209" s="192"/>
      <c r="C5209" s="192"/>
      <c r="D5209" s="568"/>
      <c r="E5209" s="188"/>
      <c r="F5209" s="188"/>
      <c r="G5209" s="2134"/>
      <c r="H5209" s="2192"/>
      <c r="I5209" s="2134"/>
      <c r="J5209" s="2123"/>
      <c r="K5209" s="2123"/>
      <c r="L5209" s="192"/>
      <c r="M5209" s="568"/>
    </row>
    <row r="5210" spans="1:13" ht="12.75" hidden="1">
      <c r="A5210" s="568"/>
      <c r="B5210" s="192" t="s">
        <v>1172</v>
      </c>
      <c r="C5210" s="192"/>
      <c r="D5210" s="568"/>
      <c r="E5210" s="188"/>
      <c r="F5210" s="188"/>
      <c r="G5210" s="2134"/>
      <c r="H5210" s="2192"/>
      <c r="I5210" s="2134"/>
      <c r="J5210" s="2123"/>
      <c r="K5210" s="2123">
        <f>K5208+K5209</f>
        <v>26351.100000000002</v>
      </c>
      <c r="L5210" s="192"/>
      <c r="M5210" s="568"/>
    </row>
    <row r="5211" spans="1:13" ht="12.75" hidden="1">
      <c r="A5211" s="568"/>
      <c r="B5211" s="192" t="s">
        <v>1173</v>
      </c>
      <c r="C5211" s="192"/>
      <c r="D5211" s="568"/>
      <c r="E5211" s="188"/>
      <c r="F5211" s="188"/>
      <c r="G5211" s="2134"/>
      <c r="H5211" s="2192"/>
      <c r="I5211" s="2134"/>
      <c r="J5211" s="2123"/>
      <c r="K5211" s="2124">
        <f>ROUND(K5210/4.18,2)</f>
        <v>6304.09</v>
      </c>
      <c r="L5211" s="2119" t="s">
        <v>730</v>
      </c>
      <c r="M5211" s="568"/>
    </row>
    <row r="5212" spans="1:13" ht="218.45" hidden="1" customHeight="1">
      <c r="A5212" s="2114">
        <f>A864</f>
        <v>98</v>
      </c>
      <c r="B5212" s="3032" t="str">
        <f>B864</f>
        <v xml:space="preserve">Factory made FRP Door / Window frame (alternately called GRP) of size 75mmx100mm fabricated using E-glass Chopped Strand Mat (CSM) U.V stabilised Inopthalic Gel coat and impregnated with Inopthalic resin. The thickness of the GRP skins shall not be less than 2.00mm. The doorframe consists of four segments, which are provided with plug-in-socket arrangement in-situ in the mould. The segments are plugged in and are joined together by means of screw. The GRP frame shall be provided with wooden reinforcement on six locations for high screw holding capacity for for fixing metallic hold fast and shall be consolidated by filling with medium density foam/plaster of paris with fibre reinforcement. The material and process for manufacturing the door frames shall conform to RV-TIFAC composites Design Centre's standards and specifications. The finish of door frame will be plain and different colour using high quality pigments complete in all respect as per specification and direction of the Engineer in charge. </v>
      </c>
      <c r="C5212" s="3017"/>
      <c r="D5212" s="3017"/>
      <c r="E5212" s="2116" t="str">
        <f>G864</f>
        <v>Each Mtr</v>
      </c>
      <c r="F5212" s="2116"/>
      <c r="G5212" s="2122"/>
      <c r="H5212" s="568"/>
      <c r="I5212" s="2118"/>
      <c r="J5212" s="2124"/>
      <c r="K5212" s="2124"/>
      <c r="L5212" s="192"/>
      <c r="M5212" s="568"/>
    </row>
    <row r="5213" spans="1:13" ht="12.75" hidden="1">
      <c r="A5213" s="568"/>
      <c r="B5213" s="192" t="s">
        <v>3963</v>
      </c>
      <c r="C5213" s="568"/>
      <c r="D5213" s="568"/>
      <c r="E5213" s="188"/>
      <c r="F5213" s="188"/>
      <c r="G5213" s="2118"/>
      <c r="H5213" s="2192"/>
      <c r="I5213" s="2134"/>
      <c r="J5213" s="2134"/>
      <c r="K5213" s="2123"/>
      <c r="L5213" s="192"/>
      <c r="M5213" s="568"/>
    </row>
    <row r="5214" spans="1:13" ht="12.75" hidden="1">
      <c r="A5214" s="568"/>
      <c r="B5214" s="192" t="s">
        <v>3964</v>
      </c>
      <c r="C5214" s="568"/>
      <c r="D5214" s="568"/>
      <c r="E5214" s="2120"/>
      <c r="F5214" s="2120"/>
      <c r="G5214" s="2192">
        <f>G174</f>
        <v>300</v>
      </c>
      <c r="H5214" s="2117" t="s">
        <v>1174</v>
      </c>
      <c r="I5214" s="2118"/>
      <c r="J5214" s="2134"/>
      <c r="K5214" s="2124">
        <f>G5214*1.125</f>
        <v>337.5</v>
      </c>
      <c r="L5214" s="192"/>
      <c r="M5214" s="568"/>
    </row>
    <row r="5215" spans="1:13" ht="12.75" hidden="1">
      <c r="A5215" s="568"/>
      <c r="B5215" s="568" t="s">
        <v>1175</v>
      </c>
      <c r="C5215" s="568"/>
      <c r="D5215" s="568"/>
      <c r="E5215" s="188"/>
      <c r="F5215" s="188"/>
      <c r="G5215" s="2122">
        <v>4.72</v>
      </c>
      <c r="H5215" s="2117" t="s">
        <v>136</v>
      </c>
      <c r="I5215" s="2118" t="s">
        <v>136</v>
      </c>
      <c r="J5215" s="2123">
        <f>K5214</f>
        <v>337.5</v>
      </c>
      <c r="K5215" s="2123">
        <f>ROUND(G5215*J5215,2)</f>
        <v>1593</v>
      </c>
      <c r="L5215" s="192"/>
      <c r="M5215" s="568"/>
    </row>
    <row r="5216" spans="1:13" ht="12.75" hidden="1">
      <c r="A5216" s="568"/>
      <c r="B5216" s="568" t="s">
        <v>1176</v>
      </c>
      <c r="C5216" s="568"/>
      <c r="D5216" s="568"/>
      <c r="E5216" s="188"/>
      <c r="F5216" s="188"/>
      <c r="G5216" s="2178">
        <v>8</v>
      </c>
      <c r="H5216" s="2192" t="s">
        <v>262</v>
      </c>
      <c r="I5216" s="2134" t="s">
        <v>262</v>
      </c>
      <c r="J5216" s="2178">
        <f>M186</f>
        <v>1.5</v>
      </c>
      <c r="K5216" s="2123">
        <f>ROUND(G5216*J5216,2)</f>
        <v>12</v>
      </c>
      <c r="L5216" s="192"/>
      <c r="M5216" s="568"/>
    </row>
    <row r="5217" spans="1:24" ht="12.75" hidden="1">
      <c r="A5217" s="568"/>
      <c r="B5217" s="568" t="s">
        <v>261</v>
      </c>
      <c r="C5217" s="568"/>
      <c r="D5217" s="568"/>
      <c r="E5217" s="188"/>
      <c r="F5217" s="188"/>
      <c r="G5217" s="2178">
        <v>8</v>
      </c>
      <c r="H5217" s="2192" t="s">
        <v>262</v>
      </c>
      <c r="I5217" s="2134" t="s">
        <v>262</v>
      </c>
      <c r="J5217" s="2178">
        <f>G177</f>
        <v>2</v>
      </c>
      <c r="K5217" s="2123">
        <f>ROUND(G5217*J5217,2)</f>
        <v>16</v>
      </c>
      <c r="L5217" s="192"/>
      <c r="M5217" s="568"/>
    </row>
    <row r="5218" spans="1:24" ht="12.75" hidden="1">
      <c r="A5218" s="568"/>
      <c r="B5218" s="568" t="s">
        <v>1177</v>
      </c>
      <c r="C5218" s="568"/>
      <c r="D5218" s="568"/>
      <c r="E5218" s="188"/>
      <c r="F5218" s="188"/>
      <c r="G5218" s="2178">
        <v>0.1</v>
      </c>
      <c r="H5218" s="2192" t="s">
        <v>319</v>
      </c>
      <c r="I5218" s="2134" t="s">
        <v>319</v>
      </c>
      <c r="J5218" s="2178">
        <f>M225</f>
        <v>100</v>
      </c>
      <c r="K5218" s="2123">
        <f>ROUND(G5218*J5218,2)</f>
        <v>10</v>
      </c>
      <c r="L5218" s="192"/>
      <c r="M5218" s="568"/>
    </row>
    <row r="5219" spans="1:24" ht="12.75" hidden="1">
      <c r="A5219" s="568"/>
      <c r="B5219" s="568"/>
      <c r="C5219" s="568"/>
      <c r="D5219" s="568"/>
      <c r="E5219" s="188"/>
      <c r="F5219" s="188"/>
      <c r="G5219" s="2118"/>
      <c r="H5219" s="2192"/>
      <c r="I5219" s="2134"/>
      <c r="J5219" s="2126" t="s">
        <v>718</v>
      </c>
      <c r="K5219" s="2124">
        <f>SUM(K5215:K5218)</f>
        <v>1631</v>
      </c>
      <c r="L5219" s="192"/>
      <c r="M5219" s="568"/>
    </row>
    <row r="5220" spans="1:24" ht="12.75" hidden="1">
      <c r="A5220" s="568"/>
      <c r="B5220" s="192" t="s">
        <v>1178</v>
      </c>
      <c r="C5220" s="192"/>
      <c r="D5220" s="2118"/>
      <c r="E5220" s="2191"/>
      <c r="F5220" s="2191"/>
      <c r="G5220" s="2118"/>
      <c r="H5220" s="2192"/>
      <c r="I5220" s="2134"/>
      <c r="J5220" s="568"/>
      <c r="K5220" s="568"/>
      <c r="L5220" s="192"/>
      <c r="M5220" s="568"/>
    </row>
    <row r="5221" spans="1:24" ht="12.75" hidden="1">
      <c r="A5221" s="568"/>
      <c r="B5221" s="568" t="s">
        <v>1011</v>
      </c>
      <c r="C5221" s="568"/>
      <c r="D5221" s="568"/>
      <c r="E5221" s="188"/>
      <c r="F5221" s="188"/>
      <c r="G5221" s="2122">
        <v>0.5</v>
      </c>
      <c r="H5221" s="2117" t="s">
        <v>262</v>
      </c>
      <c r="I5221" s="2118" t="s">
        <v>38</v>
      </c>
      <c r="J5221" s="2123">
        <f>L137</f>
        <v>495</v>
      </c>
      <c r="K5221" s="2123">
        <f>ROUND(G5221*J5221,2)</f>
        <v>247.5</v>
      </c>
      <c r="L5221" s="192"/>
      <c r="M5221" s="568"/>
    </row>
    <row r="5222" spans="1:24" ht="12.75" hidden="1">
      <c r="A5222" s="568"/>
      <c r="B5222" s="568" t="s">
        <v>717</v>
      </c>
      <c r="C5222" s="568"/>
      <c r="D5222" s="568"/>
      <c r="E5222" s="188"/>
      <c r="F5222" s="188"/>
      <c r="G5222" s="2122">
        <v>0.5</v>
      </c>
      <c r="H5222" s="2117" t="s">
        <v>262</v>
      </c>
      <c r="I5222" s="2118" t="s">
        <v>38</v>
      </c>
      <c r="J5222" s="2123">
        <f>L134</f>
        <v>345</v>
      </c>
      <c r="K5222" s="2123">
        <f>ROUND(G5222*J5222,2)</f>
        <v>172.5</v>
      </c>
      <c r="L5222" s="192"/>
      <c r="M5222" s="568"/>
    </row>
    <row r="5223" spans="1:24" ht="12.75" hidden="1">
      <c r="A5223" s="568"/>
      <c r="B5223" s="568"/>
      <c r="C5223" s="568"/>
      <c r="D5223" s="568"/>
      <c r="E5223" s="188"/>
      <c r="F5223" s="188"/>
      <c r="G5223" s="2122"/>
      <c r="H5223" s="2117"/>
      <c r="I5223" s="2118"/>
      <c r="J5223" s="2126" t="s">
        <v>718</v>
      </c>
      <c r="K5223" s="2123">
        <f>SUM(K5221:K5222)</f>
        <v>420</v>
      </c>
      <c r="L5223" s="192"/>
      <c r="M5223" s="568"/>
    </row>
    <row r="5224" spans="1:24" ht="12.75" hidden="1">
      <c r="A5224" s="568"/>
      <c r="B5224" s="192" t="s">
        <v>1012</v>
      </c>
      <c r="C5224" s="568"/>
      <c r="D5224" s="568"/>
      <c r="E5224" s="188"/>
      <c r="F5224" s="188"/>
      <c r="G5224" s="2122"/>
      <c r="H5224" s="2117"/>
      <c r="I5224" s="2118"/>
      <c r="J5224" s="2126"/>
      <c r="K5224" s="2124">
        <f>ROUND(K5223*1*30%,2)</f>
        <v>126</v>
      </c>
      <c r="L5224" s="192"/>
      <c r="M5224" s="568"/>
    </row>
    <row r="5225" spans="1:24" ht="12.75" hidden="1">
      <c r="A5225" s="568"/>
      <c r="B5225" s="192" t="s">
        <v>1179</v>
      </c>
      <c r="C5225" s="568"/>
      <c r="D5225" s="568"/>
      <c r="E5225" s="188"/>
      <c r="F5225" s="188"/>
      <c r="G5225" s="2118"/>
      <c r="H5225" s="2192"/>
      <c r="I5225" s="2134"/>
      <c r="J5225" s="2134"/>
      <c r="K5225" s="2123">
        <f>K5219+K5224</f>
        <v>1757</v>
      </c>
      <c r="L5225" s="192"/>
      <c r="M5225" s="568"/>
    </row>
    <row r="5226" spans="1:24" ht="12.75" hidden="1">
      <c r="A5226" s="568"/>
      <c r="B5226" s="192" t="s">
        <v>1180</v>
      </c>
      <c r="C5226" s="568"/>
      <c r="D5226" s="568"/>
      <c r="E5226" s="188"/>
      <c r="F5226" s="188"/>
      <c r="G5226" s="2118"/>
      <c r="H5226" s="2192"/>
      <c r="I5226" s="2134"/>
      <c r="J5226" s="2134"/>
      <c r="K5226" s="2124">
        <f>ROUND(K5225/4.72,2)</f>
        <v>372.25</v>
      </c>
      <c r="L5226" s="2119" t="s">
        <v>937</v>
      </c>
      <c r="M5226" s="568"/>
    </row>
    <row r="5227" spans="1:24" ht="259.14999999999998" hidden="1" customHeight="1">
      <c r="A5227" s="2114">
        <f>A865</f>
        <v>99</v>
      </c>
      <c r="B5227" s="3032" t="str">
        <f>B865</f>
        <v xml:space="preserve">Factory made single leaf rigid FRP sandwich composite door / window shutter (alternately called GRP) of 32mm thick laminated with two GRP skins with wood grain finish fabricated using UV-stabilised Isopthalic Gelcoat and one layer of 450 gsm E-glass Chopped Strand Mat (CSM) mpregnated with orthopthalic polyester resin. The thickness of the skins shall not be less than 1.50mm Expanded Polystyrone (EPS) structural foam panel of 29mm thickness and a density of 20kg/cu.mtr shall be used as core material. Wooden reinforcements made of seasoned sal wood block of cross section not less than 28mm x 32mm and also necessary sal wood reinforcements for fitting the metal fittings such as tower bolts, aldrops, handles etc shall be provided. A structural adhesive compatible with (EPS) foam shall be used for bending the core material. The material and process for manufacturing the door shutters shall conform to RV-TIFAC composites Design Centre's standards and specifications and the door shutters tested in conformation to IS: 4020-1998. The finish of door shutter will be plain colour as per specification and direction of the Engineer in charge. </v>
      </c>
      <c r="C5227" s="3017"/>
      <c r="D5227" s="3017"/>
      <c r="E5227" s="2116" t="str">
        <f>G865</f>
        <v>Each Sqm</v>
      </c>
      <c r="F5227" s="2116"/>
      <c r="G5227" s="2122"/>
      <c r="H5227" s="568"/>
      <c r="I5227" s="2118"/>
      <c r="J5227" s="2124"/>
      <c r="K5227" s="2124"/>
      <c r="L5227" s="192"/>
      <c r="M5227" s="568"/>
    </row>
    <row r="5228" spans="1:24" ht="12.75" hidden="1">
      <c r="A5228" s="2114" t="s">
        <v>468</v>
      </c>
      <c r="B5228" s="192" t="s">
        <v>1009</v>
      </c>
      <c r="C5228" s="568"/>
      <c r="D5228" s="568"/>
      <c r="E5228" s="188"/>
      <c r="F5228" s="188"/>
      <c r="G5228" s="568"/>
      <c r="H5228" s="2117"/>
      <c r="I5228" s="2118"/>
      <c r="J5228" s="2126"/>
      <c r="K5228" s="2124"/>
      <c r="L5228" s="192"/>
      <c r="M5228" s="568"/>
      <c r="T5228" s="1701"/>
      <c r="U5228" s="1988"/>
      <c r="V5228" s="2111"/>
      <c r="W5228" s="1707"/>
      <c r="X5228" s="1709"/>
    </row>
    <row r="5229" spans="1:24" ht="12.75" hidden="1">
      <c r="A5229" s="2114"/>
      <c r="B5229" s="192" t="s">
        <v>1021</v>
      </c>
      <c r="C5229" s="192"/>
      <c r="D5229" s="2118"/>
      <c r="E5229" s="2191"/>
      <c r="F5229" s="2191"/>
      <c r="G5229" s="2118"/>
      <c r="H5229" s="2192"/>
      <c r="I5229" s="2134"/>
      <c r="J5229" s="2123"/>
      <c r="K5229" s="2123"/>
      <c r="L5229" s="192"/>
      <c r="M5229" s="568"/>
      <c r="T5229" s="1701"/>
      <c r="U5229" s="2203"/>
      <c r="V5229" s="2111"/>
      <c r="W5229" s="1707"/>
      <c r="X5229" s="1709"/>
    </row>
    <row r="5230" spans="1:24" ht="12.75" hidden="1">
      <c r="A5230" s="2114"/>
      <c r="B5230" s="192" t="s">
        <v>954</v>
      </c>
      <c r="C5230" s="192"/>
      <c r="D5230" s="2118"/>
      <c r="E5230" s="2191"/>
      <c r="F5230" s="2191"/>
      <c r="G5230" s="2118"/>
      <c r="H5230" s="2192"/>
      <c r="I5230" s="2134"/>
      <c r="J5230" s="2123"/>
      <c r="K5230" s="2123"/>
      <c r="L5230" s="192"/>
      <c r="M5230" s="568"/>
      <c r="T5230" s="1701"/>
      <c r="U5230" s="2203"/>
      <c r="V5230" s="2111"/>
      <c r="W5230" s="1707"/>
      <c r="X5230" s="1709"/>
    </row>
    <row r="5231" spans="1:24" ht="12.75" hidden="1">
      <c r="A5231" s="2114"/>
      <c r="B5231" s="568" t="s">
        <v>733</v>
      </c>
      <c r="C5231" s="568"/>
      <c r="D5231" s="568"/>
      <c r="E5231" s="188"/>
      <c r="F5231" s="188"/>
      <c r="G5231" s="2122">
        <v>1</v>
      </c>
      <c r="H5231" s="2117" t="s">
        <v>38</v>
      </c>
      <c r="I5231" s="2118" t="s">
        <v>38</v>
      </c>
      <c r="J5231" s="2123">
        <f>L136</f>
        <v>435</v>
      </c>
      <c r="K5231" s="2123">
        <f>ROUND(G5231*J5231,2)</f>
        <v>435</v>
      </c>
      <c r="L5231" s="192"/>
      <c r="M5231" s="568"/>
      <c r="T5231" s="1701"/>
      <c r="U5231" s="1988"/>
      <c r="V5231" s="2111"/>
      <c r="W5231" s="1707"/>
      <c r="X5231" s="1709"/>
    </row>
    <row r="5232" spans="1:24" ht="12.75" hidden="1">
      <c r="A5232" s="2114"/>
      <c r="B5232" s="568" t="s">
        <v>717</v>
      </c>
      <c r="C5232" s="568"/>
      <c r="D5232" s="568"/>
      <c r="E5232" s="188"/>
      <c r="F5232" s="188"/>
      <c r="G5232" s="2122">
        <v>1</v>
      </c>
      <c r="H5232" s="2117" t="s">
        <v>38</v>
      </c>
      <c r="I5232" s="2118" t="s">
        <v>38</v>
      </c>
      <c r="J5232" s="2123">
        <f>L134</f>
        <v>345</v>
      </c>
      <c r="K5232" s="2123">
        <f>ROUND(G5232*J5232,2)</f>
        <v>345</v>
      </c>
      <c r="L5232" s="192"/>
      <c r="M5232" s="568"/>
      <c r="T5232" s="1701"/>
      <c r="U5232" s="1988"/>
      <c r="V5232" s="2111"/>
      <c r="W5232" s="1707"/>
      <c r="X5232" s="1709"/>
    </row>
    <row r="5233" spans="1:24" ht="12.75" hidden="1">
      <c r="A5233" s="2114"/>
      <c r="B5233" s="568"/>
      <c r="C5233" s="568"/>
      <c r="D5233" s="568"/>
      <c r="E5233" s="188"/>
      <c r="F5233" s="188"/>
      <c r="G5233" s="2122"/>
      <c r="H5233" s="2117"/>
      <c r="I5233" s="2118"/>
      <c r="J5233" s="2126" t="s">
        <v>718</v>
      </c>
      <c r="K5233" s="2124">
        <f>SUM(K5231:K5232)</f>
        <v>780</v>
      </c>
      <c r="L5233" s="192"/>
      <c r="M5233" s="568"/>
      <c r="T5233" s="1701"/>
      <c r="U5233" s="2203"/>
      <c r="V5233" s="2111"/>
      <c r="W5233" s="1707"/>
      <c r="X5233" s="1709"/>
    </row>
    <row r="5234" spans="1:24" ht="12.75" hidden="1">
      <c r="A5234" s="568"/>
      <c r="B5234" s="192"/>
      <c r="C5234" s="192"/>
      <c r="D5234" s="568"/>
      <c r="E5234" s="188"/>
      <c r="F5234" s="188"/>
      <c r="G5234" s="2122"/>
      <c r="H5234" s="2117"/>
      <c r="I5234" s="2118"/>
      <c r="J5234" s="2123"/>
      <c r="K5234" s="2124"/>
      <c r="L5234" s="192"/>
      <c r="M5234" s="568"/>
      <c r="T5234" s="1701"/>
      <c r="U5234" s="2203"/>
      <c r="V5234" s="2111"/>
      <c r="W5234" s="1707"/>
      <c r="X5234" s="1709"/>
    </row>
    <row r="5235" spans="1:24" ht="12.75" hidden="1">
      <c r="A5235" s="568"/>
      <c r="B5235" s="568" t="s">
        <v>1181</v>
      </c>
      <c r="C5235" s="568"/>
      <c r="D5235" s="568"/>
      <c r="E5235" s="188"/>
      <c r="F5235" s="188"/>
      <c r="G5235" s="2118"/>
      <c r="H5235" s="2192"/>
      <c r="I5235" s="2134"/>
      <c r="J5235" s="2134"/>
      <c r="K5235" s="2123">
        <f>K5233+K5234</f>
        <v>780</v>
      </c>
      <c r="L5235" s="192"/>
      <c r="M5235" s="568"/>
    </row>
    <row r="5236" spans="1:24" ht="12.75" hidden="1">
      <c r="A5236" s="568"/>
      <c r="B5236" s="192" t="s">
        <v>1182</v>
      </c>
      <c r="C5236" s="568"/>
      <c r="D5236" s="568"/>
      <c r="E5236" s="188"/>
      <c r="F5236" s="188"/>
      <c r="G5236" s="2118"/>
      <c r="H5236" s="2192"/>
      <c r="I5236" s="2134"/>
      <c r="J5236" s="2134"/>
      <c r="K5236" s="2124">
        <f>ROUND(K5235/1.88,2)</f>
        <v>414.89</v>
      </c>
      <c r="L5236" s="192"/>
      <c r="M5236" s="568"/>
    </row>
    <row r="5237" spans="1:24" ht="12.75" hidden="1">
      <c r="A5237" s="2114" t="s">
        <v>470</v>
      </c>
      <c r="B5237" s="192" t="s">
        <v>1183</v>
      </c>
      <c r="C5237" s="192" t="s">
        <v>3965</v>
      </c>
      <c r="D5237" s="568"/>
      <c r="E5237" s="188"/>
      <c r="F5237" s="188"/>
      <c r="G5237" s="2118"/>
      <c r="H5237" s="2192"/>
      <c r="I5237" s="2134"/>
      <c r="J5237" s="2134"/>
      <c r="K5237" s="2123"/>
      <c r="L5237" s="192"/>
      <c r="M5237" s="568"/>
    </row>
    <row r="5238" spans="1:24" ht="12.75" hidden="1">
      <c r="A5238" s="568"/>
      <c r="B5238" s="192" t="s">
        <v>3966</v>
      </c>
      <c r="C5238" s="568"/>
      <c r="D5238" s="568"/>
      <c r="E5238" s="2120"/>
      <c r="F5238" s="2120"/>
      <c r="G5238" s="2192">
        <f>M174</f>
        <v>1900</v>
      </c>
      <c r="H5238" s="2117" t="s">
        <v>1174</v>
      </c>
      <c r="I5238" s="2118"/>
      <c r="J5238" s="2134"/>
      <c r="K5238" s="2124">
        <f>G5238*1.125</f>
        <v>2137.5</v>
      </c>
      <c r="L5238" s="192"/>
      <c r="M5238" s="568"/>
    </row>
    <row r="5239" spans="1:24" ht="12.75" hidden="1">
      <c r="A5239" s="568"/>
      <c r="B5239" s="568" t="s">
        <v>1183</v>
      </c>
      <c r="C5239" s="568"/>
      <c r="D5239" s="568"/>
      <c r="E5239" s="188"/>
      <c r="F5239" s="188"/>
      <c r="G5239" s="2122">
        <v>1.274</v>
      </c>
      <c r="H5239" s="2117" t="s">
        <v>357</v>
      </c>
      <c r="I5239" s="2118" t="s">
        <v>357</v>
      </c>
      <c r="J5239" s="2123">
        <f>K5238</f>
        <v>2137.5</v>
      </c>
      <c r="K5239" s="2123">
        <f t="shared" ref="K5239:K5244" si="293">ROUND(G5239*J5239,2)</f>
        <v>2723.18</v>
      </c>
      <c r="L5239" s="192"/>
      <c r="M5239" s="568"/>
    </row>
    <row r="5240" spans="1:24" ht="12.75" hidden="1">
      <c r="A5240" s="568"/>
      <c r="B5240" s="568" t="s">
        <v>271</v>
      </c>
      <c r="C5240" s="568"/>
      <c r="D5240" s="568"/>
      <c r="E5240" s="188"/>
      <c r="F5240" s="188"/>
      <c r="G5240" s="2118">
        <v>3</v>
      </c>
      <c r="H5240" s="2192" t="s">
        <v>262</v>
      </c>
      <c r="I5240" s="2134" t="s">
        <v>262</v>
      </c>
      <c r="J5240" s="2178">
        <f>M181</f>
        <v>55.67</v>
      </c>
      <c r="K5240" s="2123">
        <f t="shared" si="293"/>
        <v>167.01</v>
      </c>
      <c r="L5240" s="192"/>
      <c r="M5240" s="568"/>
    </row>
    <row r="5241" spans="1:24" ht="12.75" hidden="1">
      <c r="A5241" s="568"/>
      <c r="B5241" s="568" t="s">
        <v>273</v>
      </c>
      <c r="C5241" s="568"/>
      <c r="D5241" s="568"/>
      <c r="E5241" s="188"/>
      <c r="F5241" s="188"/>
      <c r="G5241" s="2118">
        <v>2</v>
      </c>
      <c r="H5241" s="2192" t="s">
        <v>262</v>
      </c>
      <c r="I5241" s="2134" t="s">
        <v>262</v>
      </c>
      <c r="J5241" s="2178">
        <f>M182</f>
        <v>31.31</v>
      </c>
      <c r="K5241" s="2123">
        <f t="shared" si="293"/>
        <v>62.62</v>
      </c>
      <c r="L5241" s="192"/>
      <c r="M5241" s="568"/>
    </row>
    <row r="5242" spans="1:24" ht="12.75" hidden="1">
      <c r="A5242" s="568"/>
      <c r="B5242" s="568" t="s">
        <v>275</v>
      </c>
      <c r="C5242" s="568"/>
      <c r="D5242" s="568"/>
      <c r="E5242" s="188"/>
      <c r="F5242" s="188"/>
      <c r="G5242" s="2118">
        <v>1</v>
      </c>
      <c r="H5242" s="2192" t="s">
        <v>262</v>
      </c>
      <c r="I5242" s="2134" t="s">
        <v>262</v>
      </c>
      <c r="J5242" s="2178">
        <f>M183</f>
        <v>54.26</v>
      </c>
      <c r="K5242" s="2123">
        <f t="shared" si="293"/>
        <v>54.26</v>
      </c>
      <c r="L5242" s="192"/>
      <c r="M5242" s="568"/>
    </row>
    <row r="5243" spans="1:24" ht="12.75" hidden="1">
      <c r="A5243" s="568"/>
      <c r="B5243" s="568" t="s">
        <v>277</v>
      </c>
      <c r="C5243" s="568"/>
      <c r="D5243" s="568"/>
      <c r="E5243" s="188"/>
      <c r="F5243" s="188"/>
      <c r="G5243" s="2118">
        <v>1</v>
      </c>
      <c r="H5243" s="2192" t="s">
        <v>262</v>
      </c>
      <c r="I5243" s="2134" t="s">
        <v>262</v>
      </c>
      <c r="J5243" s="2178">
        <f>M184</f>
        <v>223.68</v>
      </c>
      <c r="K5243" s="2123">
        <f t="shared" si="293"/>
        <v>223.68</v>
      </c>
      <c r="L5243" s="192"/>
      <c r="M5243" s="568"/>
    </row>
    <row r="5244" spans="1:24" ht="12.75" hidden="1">
      <c r="A5244" s="568"/>
      <c r="B5244" s="568" t="s">
        <v>279</v>
      </c>
      <c r="C5244" s="568"/>
      <c r="D5244" s="568"/>
      <c r="E5244" s="188"/>
      <c r="F5244" s="188"/>
      <c r="G5244" s="2118">
        <v>36</v>
      </c>
      <c r="H5244" s="2192" t="s">
        <v>262</v>
      </c>
      <c r="I5244" s="2134" t="s">
        <v>262</v>
      </c>
      <c r="J5244" s="2178">
        <f>M185</f>
        <v>0.44</v>
      </c>
      <c r="K5244" s="2123">
        <f t="shared" si="293"/>
        <v>15.84</v>
      </c>
      <c r="L5244" s="192"/>
      <c r="M5244" s="568"/>
    </row>
    <row r="5245" spans="1:24" ht="12.75" hidden="1">
      <c r="A5245" s="568"/>
      <c r="B5245" s="568"/>
      <c r="C5245" s="568"/>
      <c r="D5245" s="568"/>
      <c r="E5245" s="188"/>
      <c r="F5245" s="188"/>
      <c r="G5245" s="2118"/>
      <c r="H5245" s="2192"/>
      <c r="I5245" s="2134"/>
      <c r="J5245" s="2126" t="s">
        <v>718</v>
      </c>
      <c r="K5245" s="2124">
        <f>SUM(K5239:K5244)</f>
        <v>3246.5899999999997</v>
      </c>
      <c r="L5245" s="192"/>
      <c r="M5245" s="568"/>
    </row>
    <row r="5246" spans="1:24" ht="12.75" hidden="1">
      <c r="A5246" s="568"/>
      <c r="B5246" s="192" t="s">
        <v>1184</v>
      </c>
      <c r="C5246" s="568"/>
      <c r="D5246" s="568"/>
      <c r="E5246" s="188"/>
      <c r="F5246" s="188"/>
      <c r="G5246" s="2134">
        <f>K5245</f>
        <v>3246.5899999999997</v>
      </c>
      <c r="H5246" s="2134" t="s">
        <v>1016</v>
      </c>
      <c r="I5246" s="2161">
        <v>1.274</v>
      </c>
      <c r="J5246" s="2176" t="s">
        <v>1185</v>
      </c>
      <c r="K5246" s="2124">
        <f>ROUND(G5246/I5246,2)</f>
        <v>2548.34</v>
      </c>
      <c r="L5246" s="192"/>
      <c r="M5246" s="568"/>
    </row>
    <row r="5247" spans="1:24" ht="12.75" hidden="1">
      <c r="A5247" s="568"/>
      <c r="B5247" s="192" t="s">
        <v>1186</v>
      </c>
      <c r="C5247" s="568"/>
      <c r="D5247" s="568"/>
      <c r="E5247" s="188"/>
      <c r="F5247" s="188"/>
      <c r="G5247" s="2118"/>
      <c r="H5247" s="2192"/>
      <c r="I5247" s="2134"/>
      <c r="J5247" s="2134"/>
      <c r="K5247" s="2124">
        <f>K5246+K5236</f>
        <v>2963.23</v>
      </c>
      <c r="L5247" s="2119" t="s">
        <v>730</v>
      </c>
      <c r="M5247" s="568"/>
    </row>
    <row r="5248" spans="1:24" ht="111" hidden="1" customHeight="1">
      <c r="A5248" s="2114">
        <f>A866</f>
        <v>100</v>
      </c>
      <c r="B5248" s="3032" t="str">
        <f>B866</f>
        <v xml:space="preserve">Supplying, fitting and fixing hand railing of Stainless steel of 304 grade using 50mm dia of 2mm thick circular pipe with Balustrade of size 32mm x 32mm x 2mm @ 0.90mtr. C/C and stainless square pipe bracing of size 32mm x 32mm x 2mm in 3 rows in stair case as per approved design and specification, buffing, polishing etc with cost, conveyance, taxes of all materials, cost of all labour, T&amp;P etc. required for the complete in all respect as per direction of the Engineer-in-charge. </v>
      </c>
      <c r="C5248" s="3017"/>
      <c r="D5248" s="3017"/>
      <c r="E5248" s="2116" t="str">
        <f>G866</f>
        <v>Each Mtr</v>
      </c>
      <c r="F5248" s="2116"/>
      <c r="G5248" s="2122"/>
      <c r="H5248" s="568"/>
      <c r="I5248" s="2118"/>
      <c r="J5248" s="2124"/>
      <c r="K5248" s="2124"/>
      <c r="L5248" s="192"/>
      <c r="M5248" s="568"/>
      <c r="Q5248" s="1706" t="s">
        <v>1116</v>
      </c>
    </row>
    <row r="5249" spans="1:13" ht="12.75" hidden="1">
      <c r="A5249" s="2114"/>
      <c r="B5249" s="192" t="s">
        <v>1187</v>
      </c>
      <c r="C5249" s="192"/>
      <c r="D5249" s="2118"/>
      <c r="E5249" s="2191"/>
      <c r="F5249" s="2191"/>
      <c r="G5249" s="2118"/>
      <c r="H5249" s="2192"/>
      <c r="I5249" s="2134"/>
      <c r="J5249" s="2123"/>
      <c r="K5249" s="2123"/>
      <c r="L5249" s="192"/>
      <c r="M5249" s="568"/>
    </row>
    <row r="5250" spans="1:13" ht="12.75" hidden="1">
      <c r="A5250" s="2114"/>
      <c r="B5250" s="192" t="s">
        <v>822</v>
      </c>
      <c r="C5250" s="192"/>
      <c r="D5250" s="2118"/>
      <c r="E5250" s="2191"/>
      <c r="F5250" s="2191"/>
      <c r="G5250" s="2118"/>
      <c r="H5250" s="2192"/>
      <c r="I5250" s="2134"/>
      <c r="J5250" s="2123"/>
      <c r="K5250" s="2123"/>
      <c r="L5250" s="192"/>
      <c r="M5250" s="568"/>
    </row>
    <row r="5251" spans="1:13" ht="12.75" hidden="1">
      <c r="A5251" s="2114"/>
      <c r="B5251" s="568" t="s">
        <v>285</v>
      </c>
      <c r="C5251" s="568"/>
      <c r="D5251" s="568"/>
      <c r="E5251" s="188"/>
      <c r="F5251" s="188"/>
      <c r="G5251" s="2122"/>
      <c r="H5251" s="2117"/>
      <c r="I5251" s="2118"/>
      <c r="J5251" s="2123"/>
      <c r="K5251" s="2123"/>
      <c r="L5251" s="192"/>
      <c r="M5251" s="568"/>
    </row>
    <row r="5252" spans="1:13" ht="12.75" hidden="1">
      <c r="A5252" s="2114"/>
      <c r="B5252" s="568" t="s">
        <v>1188</v>
      </c>
      <c r="C5252" s="568"/>
      <c r="D5252" s="568"/>
      <c r="E5252" s="188"/>
      <c r="F5252" s="188"/>
      <c r="G5252" s="2122">
        <v>11.41</v>
      </c>
      <c r="H5252" s="2117" t="s">
        <v>95</v>
      </c>
      <c r="I5252" s="2118" t="s">
        <v>95</v>
      </c>
      <c r="J5252" s="2123">
        <f>M188</f>
        <v>240.24</v>
      </c>
      <c r="K5252" s="2123">
        <f>ROUND(G5252*J5252,2)</f>
        <v>2741.14</v>
      </c>
      <c r="L5252" s="192"/>
      <c r="M5252" s="568"/>
    </row>
    <row r="5253" spans="1:13" ht="12.75" hidden="1">
      <c r="A5253" s="2114"/>
      <c r="B5253" s="568" t="s">
        <v>1189</v>
      </c>
      <c r="C5253" s="568"/>
      <c r="D5253" s="568"/>
      <c r="E5253" s="188"/>
      <c r="F5253" s="188"/>
      <c r="G5253" s="2122"/>
      <c r="H5253" s="2117"/>
      <c r="I5253" s="2118"/>
      <c r="J5253" s="2123"/>
      <c r="K5253" s="2123"/>
      <c r="L5253" s="192"/>
      <c r="M5253" s="568"/>
    </row>
    <row r="5254" spans="1:13" ht="12.75" hidden="1">
      <c r="A5254" s="2114"/>
      <c r="B5254" s="568" t="s">
        <v>1190</v>
      </c>
      <c r="C5254" s="568"/>
      <c r="D5254" s="568"/>
      <c r="E5254" s="188"/>
      <c r="F5254" s="188"/>
      <c r="G5254" s="2122">
        <v>6.12</v>
      </c>
      <c r="H5254" s="2117" t="s">
        <v>95</v>
      </c>
      <c r="I5254" s="2118" t="s">
        <v>95</v>
      </c>
      <c r="J5254" s="2123">
        <f>M189</f>
        <v>256.62</v>
      </c>
      <c r="K5254" s="2123">
        <f>ROUND(G5254*J5254,2)</f>
        <v>1570.51</v>
      </c>
      <c r="L5254" s="192"/>
      <c r="M5254" s="568"/>
    </row>
    <row r="5255" spans="1:13" ht="12.75" hidden="1">
      <c r="A5255" s="2114"/>
      <c r="B5255" s="568" t="s">
        <v>1191</v>
      </c>
      <c r="C5255" s="568"/>
      <c r="D5255" s="568"/>
      <c r="E5255" s="188"/>
      <c r="F5255" s="188"/>
      <c r="G5255" s="2122"/>
      <c r="H5255" s="2117"/>
      <c r="I5255" s="2118"/>
      <c r="J5255" s="2123"/>
      <c r="K5255" s="2123"/>
      <c r="L5255" s="192"/>
      <c r="M5255" s="568"/>
    </row>
    <row r="5256" spans="1:13" ht="12.75" hidden="1">
      <c r="A5256" s="2114"/>
      <c r="B5256" s="568" t="s">
        <v>1192</v>
      </c>
      <c r="C5256" s="568"/>
      <c r="D5256" s="568"/>
      <c r="E5256" s="188"/>
      <c r="F5256" s="188"/>
      <c r="G5256" s="2122"/>
      <c r="H5256" s="2117"/>
      <c r="I5256" s="2118"/>
      <c r="J5256" s="2123"/>
      <c r="K5256" s="2123"/>
      <c r="L5256" s="192"/>
      <c r="M5256" s="568"/>
    </row>
    <row r="5257" spans="1:13" ht="12.75" hidden="1">
      <c r="A5257" s="2114"/>
      <c r="B5257" s="568" t="s">
        <v>1193</v>
      </c>
      <c r="C5257" s="568"/>
      <c r="D5257" s="568"/>
      <c r="E5257" s="188"/>
      <c r="F5257" s="188"/>
      <c r="G5257" s="2122">
        <v>16.63</v>
      </c>
      <c r="H5257" s="2117" t="s">
        <v>95</v>
      </c>
      <c r="I5257" s="2118" t="s">
        <v>95</v>
      </c>
      <c r="J5257" s="2123">
        <f>M189</f>
        <v>256.62</v>
      </c>
      <c r="K5257" s="2123">
        <f>ROUND(G5257*J5257,2)</f>
        <v>4267.59</v>
      </c>
      <c r="L5257" s="192"/>
      <c r="M5257" s="568"/>
    </row>
    <row r="5258" spans="1:13" ht="12.75" hidden="1">
      <c r="A5258" s="2114"/>
      <c r="B5258" s="568"/>
      <c r="C5258" s="568"/>
      <c r="D5258" s="568"/>
      <c r="E5258" s="188"/>
      <c r="F5258" s="188"/>
      <c r="G5258" s="2122"/>
      <c r="H5258" s="2117"/>
      <c r="I5258" s="2118"/>
      <c r="J5258" s="2126" t="s">
        <v>718</v>
      </c>
      <c r="K5258" s="2123">
        <f>SUM(K5250:K5257)</f>
        <v>8579.24</v>
      </c>
      <c r="L5258" s="192"/>
      <c r="M5258" s="568"/>
    </row>
    <row r="5259" spans="1:13" ht="12.75" hidden="1">
      <c r="A5259" s="2114"/>
      <c r="B5259" s="568" t="s">
        <v>1194</v>
      </c>
      <c r="C5259" s="568"/>
      <c r="D5259" s="568"/>
      <c r="E5259" s="188"/>
      <c r="F5259" s="188"/>
      <c r="G5259" s="2122">
        <f>SUM(G5252:G5257)</f>
        <v>34.159999999999997</v>
      </c>
      <c r="H5259" s="2117" t="s">
        <v>95</v>
      </c>
      <c r="I5259" s="2118" t="s">
        <v>95</v>
      </c>
      <c r="J5259" s="2159">
        <f>G226</f>
        <v>10</v>
      </c>
      <c r="K5259" s="2123">
        <f>ROUND(G5259*J5259,2)</f>
        <v>341.6</v>
      </c>
      <c r="L5259" s="192"/>
      <c r="M5259" s="568"/>
    </row>
    <row r="5260" spans="1:13" ht="12.75" hidden="1">
      <c r="A5260" s="2114"/>
      <c r="B5260" s="568" t="s">
        <v>1195</v>
      </c>
      <c r="C5260" s="568"/>
      <c r="D5260" s="568"/>
      <c r="E5260" s="188"/>
      <c r="F5260" s="188"/>
      <c r="G5260" s="2122"/>
      <c r="H5260" s="2117"/>
      <c r="I5260" s="2118"/>
      <c r="J5260" s="2123"/>
      <c r="K5260" s="2123">
        <f>K5258*2%</f>
        <v>171.5848</v>
      </c>
      <c r="L5260" s="192"/>
      <c r="M5260" s="568"/>
    </row>
    <row r="5261" spans="1:13" ht="12.75" hidden="1">
      <c r="A5261" s="2114"/>
      <c r="B5261" s="568"/>
      <c r="C5261" s="568"/>
      <c r="D5261" s="568"/>
      <c r="E5261" s="188"/>
      <c r="F5261" s="188"/>
      <c r="G5261" s="2122"/>
      <c r="H5261" s="2117"/>
      <c r="I5261" s="2118"/>
      <c r="J5261" s="2126" t="s">
        <v>718</v>
      </c>
      <c r="K5261" s="2124">
        <f>K5258+K5259+K5260</f>
        <v>9092.4248000000007</v>
      </c>
      <c r="L5261" s="192"/>
      <c r="M5261" s="568"/>
    </row>
    <row r="5262" spans="1:13" ht="12.75" hidden="1">
      <c r="A5262" s="2114"/>
      <c r="B5262" s="192" t="s">
        <v>904</v>
      </c>
      <c r="C5262" s="568"/>
      <c r="D5262" s="568"/>
      <c r="E5262" s="188"/>
      <c r="F5262" s="188"/>
      <c r="G5262" s="2122"/>
      <c r="H5262" s="2117"/>
      <c r="I5262" s="2118"/>
      <c r="J5262" s="2126"/>
      <c r="K5262" s="2124"/>
      <c r="L5262" s="192"/>
      <c r="M5262" s="568"/>
    </row>
    <row r="5263" spans="1:13" ht="12.75" hidden="1">
      <c r="A5263" s="2114"/>
      <c r="B5263" s="568" t="s">
        <v>187</v>
      </c>
      <c r="C5263" s="568"/>
      <c r="D5263" s="568"/>
      <c r="E5263" s="188"/>
      <c r="F5263" s="188"/>
      <c r="G5263" s="2122">
        <v>0.89</v>
      </c>
      <c r="H5263" s="2117" t="s">
        <v>262</v>
      </c>
      <c r="I5263" s="2118" t="s">
        <v>38</v>
      </c>
      <c r="J5263" s="2123">
        <f>L137</f>
        <v>495</v>
      </c>
      <c r="K5263" s="2123">
        <f>ROUND(G5263*J5263,2)</f>
        <v>440.55</v>
      </c>
      <c r="L5263" s="192"/>
      <c r="M5263" s="568"/>
    </row>
    <row r="5264" spans="1:13" ht="12.75" hidden="1">
      <c r="A5264" s="2114"/>
      <c r="B5264" s="568" t="s">
        <v>185</v>
      </c>
      <c r="C5264" s="568"/>
      <c r="D5264" s="568"/>
      <c r="E5264" s="188"/>
      <c r="F5264" s="188"/>
      <c r="G5264" s="2122">
        <v>0.89</v>
      </c>
      <c r="H5264" s="2117" t="s">
        <v>262</v>
      </c>
      <c r="I5264" s="2118" t="s">
        <v>38</v>
      </c>
      <c r="J5264" s="2123">
        <f>L135</f>
        <v>385</v>
      </c>
      <c r="K5264" s="2123">
        <f>ROUND(G5264*J5264,2)</f>
        <v>342.65</v>
      </c>
      <c r="L5264" s="192"/>
      <c r="M5264" s="568"/>
    </row>
    <row r="5265" spans="1:22" ht="12.75" hidden="1">
      <c r="A5265" s="2114"/>
      <c r="B5265" s="568"/>
      <c r="C5265" s="568"/>
      <c r="D5265" s="568"/>
      <c r="E5265" s="188"/>
      <c r="F5265" s="188"/>
      <c r="G5265" s="2122"/>
      <c r="H5265" s="2117"/>
      <c r="I5265" s="2118"/>
      <c r="J5265" s="2126" t="s">
        <v>718</v>
      </c>
      <c r="K5265" s="2124">
        <f>SUM(K5263:K5264)</f>
        <v>783.2</v>
      </c>
      <c r="L5265" s="192"/>
      <c r="M5265" s="568"/>
    </row>
    <row r="5266" spans="1:22" ht="12.75" hidden="1">
      <c r="A5266" s="2114"/>
      <c r="B5266" s="192" t="s">
        <v>760</v>
      </c>
      <c r="C5266" s="568"/>
      <c r="D5266" s="568"/>
      <c r="E5266" s="188"/>
      <c r="F5266" s="188"/>
      <c r="G5266" s="2122"/>
      <c r="H5266" s="2117"/>
      <c r="I5266" s="2118"/>
      <c r="J5266" s="2126"/>
      <c r="K5266" s="2124">
        <f>K5261+K5265</f>
        <v>9875.6248000000014</v>
      </c>
      <c r="L5266" s="192"/>
      <c r="M5266" s="568"/>
    </row>
    <row r="5267" spans="1:22" ht="12.75" hidden="1">
      <c r="A5267" s="2114"/>
      <c r="B5267" s="192"/>
      <c r="C5267" s="192"/>
      <c r="D5267" s="568"/>
      <c r="E5267" s="188"/>
      <c r="F5267" s="188"/>
      <c r="G5267" s="2122"/>
      <c r="H5267" s="2117"/>
      <c r="I5267" s="2118"/>
      <c r="J5267" s="2123"/>
      <c r="K5267" s="2124"/>
      <c r="L5267" s="192"/>
      <c r="M5267" s="568"/>
    </row>
    <row r="5268" spans="1:22" ht="12.75" hidden="1">
      <c r="A5268" s="2114"/>
      <c r="B5268" s="192" t="s">
        <v>1196</v>
      </c>
      <c r="C5268" s="568"/>
      <c r="D5268" s="568"/>
      <c r="E5268" s="188"/>
      <c r="F5268" s="188"/>
      <c r="G5268" s="2122"/>
      <c r="H5268" s="2117"/>
      <c r="I5268" s="2118"/>
      <c r="J5268" s="2126"/>
      <c r="K5268" s="2124">
        <f>K5266+K5267</f>
        <v>9875.6248000000014</v>
      </c>
      <c r="L5268" s="192"/>
      <c r="M5268" s="568"/>
    </row>
    <row r="5269" spans="1:22" ht="12.75" hidden="1">
      <c r="A5269" s="2114"/>
      <c r="B5269" s="192" t="s">
        <v>1197</v>
      </c>
      <c r="C5269" s="568"/>
      <c r="D5269" s="568"/>
      <c r="E5269" s="188"/>
      <c r="F5269" s="188"/>
      <c r="G5269" s="2122"/>
      <c r="H5269" s="2117"/>
      <c r="I5269" s="2118"/>
      <c r="J5269" s="2126"/>
      <c r="K5269" s="2124">
        <f>ROUND(K5268/3.26,2)</f>
        <v>3029.33</v>
      </c>
      <c r="L5269" s="2119" t="s">
        <v>937</v>
      </c>
      <c r="M5269" s="568"/>
    </row>
    <row r="5270" spans="1:22" ht="12.75" hidden="1">
      <c r="A5270" s="2114"/>
      <c r="B5270" s="192" t="s">
        <v>1198</v>
      </c>
      <c r="C5270" s="568"/>
      <c r="D5270" s="568"/>
      <c r="E5270" s="188"/>
      <c r="F5270" s="188"/>
      <c r="G5270" s="2122"/>
      <c r="H5270" s="2117"/>
      <c r="I5270" s="2118"/>
      <c r="J5270" s="2126"/>
      <c r="K5270" s="2124">
        <f>ROUND(K5268/34.16,2)</f>
        <v>289.10000000000002</v>
      </c>
      <c r="L5270" s="2119" t="s">
        <v>1054</v>
      </c>
      <c r="M5270" s="568"/>
    </row>
    <row r="5271" spans="1:22" ht="42" hidden="1" customHeight="1">
      <c r="A5271" s="2114">
        <f>A867</f>
        <v>101</v>
      </c>
      <c r="B5271" s="3017" t="str">
        <f>B867</f>
        <v>Supplying, Fitting &amp; Fixing  GCI Sheet of 0.4mm thick in Roofing including cost, conveyance of all materials  and labour for fitting fixing etc.complete as per the instruction of Engineer-in-Charge .</v>
      </c>
      <c r="C5271" s="3017"/>
      <c r="D5271" s="3017"/>
      <c r="E5271" s="2116" t="str">
        <f>G867</f>
        <v>Each Sqm</v>
      </c>
      <c r="F5271" s="2116"/>
      <c r="G5271" s="2122"/>
      <c r="H5271" s="568"/>
      <c r="I5271" s="2118"/>
      <c r="J5271" s="2124"/>
      <c r="K5271" s="2124"/>
      <c r="L5271" s="192"/>
      <c r="M5271" s="568"/>
    </row>
    <row r="5272" spans="1:22" ht="12.75" hidden="1">
      <c r="A5272" s="568"/>
      <c r="B5272" s="192" t="s">
        <v>884</v>
      </c>
      <c r="C5272" s="568"/>
      <c r="D5272" s="568"/>
      <c r="E5272" s="13"/>
      <c r="F5272" s="13"/>
      <c r="G5272" s="568"/>
      <c r="H5272" s="568"/>
      <c r="I5272" s="568"/>
      <c r="J5272" s="568"/>
      <c r="K5272" s="568"/>
      <c r="L5272" s="568"/>
      <c r="M5272" s="568"/>
      <c r="Q5272" s="1706"/>
      <c r="S5272" s="196"/>
      <c r="T5272" s="2204"/>
      <c r="U5272" s="1990"/>
      <c r="V5272" s="2205"/>
    </row>
    <row r="5273" spans="1:22" ht="12.75" hidden="1">
      <c r="A5273" s="568"/>
      <c r="B5273" s="192" t="s">
        <v>954</v>
      </c>
      <c r="C5273" s="568"/>
      <c r="D5273" s="568"/>
      <c r="E5273" s="188"/>
      <c r="F5273" s="188"/>
      <c r="G5273" s="2122"/>
      <c r="H5273" s="2117"/>
      <c r="I5273" s="2118"/>
      <c r="J5273" s="2123"/>
      <c r="K5273" s="2123"/>
      <c r="L5273" s="2119"/>
      <c r="M5273" s="568"/>
    </row>
    <row r="5274" spans="1:22" ht="12.75" hidden="1">
      <c r="A5274" s="568"/>
      <c r="B5274" s="568" t="s">
        <v>1011</v>
      </c>
      <c r="C5274" s="568"/>
      <c r="D5274" s="568"/>
      <c r="E5274" s="188"/>
      <c r="F5274" s="188"/>
      <c r="G5274" s="2122">
        <v>0.5</v>
      </c>
      <c r="H5274" s="2117" t="s">
        <v>262</v>
      </c>
      <c r="I5274" s="2118" t="s">
        <v>38</v>
      </c>
      <c r="J5274" s="2123">
        <f>L137</f>
        <v>495</v>
      </c>
      <c r="K5274" s="2123">
        <f>ROUND(G5274*J5274,2)</f>
        <v>247.5</v>
      </c>
      <c r="L5274" s="2119"/>
      <c r="M5274" s="568"/>
    </row>
    <row r="5275" spans="1:22" ht="12.75" hidden="1">
      <c r="A5275" s="568"/>
      <c r="B5275" s="568" t="s">
        <v>1199</v>
      </c>
      <c r="C5275" s="568"/>
      <c r="D5275" s="568"/>
      <c r="E5275" s="188"/>
      <c r="F5275" s="188"/>
      <c r="G5275" s="2122">
        <v>1</v>
      </c>
      <c r="H5275" s="2117" t="s">
        <v>262</v>
      </c>
      <c r="I5275" s="2118" t="s">
        <v>38</v>
      </c>
      <c r="J5275" s="2123">
        <f>J5274</f>
        <v>495</v>
      </c>
      <c r="K5275" s="2123">
        <f>ROUND(G5275*J5275,2)</f>
        <v>495</v>
      </c>
      <c r="L5275" s="2119"/>
      <c r="M5275" s="568"/>
    </row>
    <row r="5276" spans="1:22" ht="12.75" hidden="1">
      <c r="A5276" s="568"/>
      <c r="B5276" s="568" t="s">
        <v>717</v>
      </c>
      <c r="C5276" s="568"/>
      <c r="D5276" s="568"/>
      <c r="E5276" s="188"/>
      <c r="F5276" s="188"/>
      <c r="G5276" s="2122">
        <v>2</v>
      </c>
      <c r="H5276" s="2117" t="s">
        <v>262</v>
      </c>
      <c r="I5276" s="2118" t="s">
        <v>38</v>
      </c>
      <c r="J5276" s="2123">
        <f>L134</f>
        <v>345</v>
      </c>
      <c r="K5276" s="2123">
        <f>ROUND(G5276*J5276,2)</f>
        <v>690</v>
      </c>
      <c r="L5276" s="2119"/>
      <c r="M5276" s="568"/>
    </row>
    <row r="5277" spans="1:22" ht="12.75" hidden="1">
      <c r="A5277" s="568"/>
      <c r="B5277" s="568"/>
      <c r="C5277" s="568"/>
      <c r="D5277" s="568"/>
      <c r="E5277" s="188"/>
      <c r="F5277" s="188"/>
      <c r="G5277" s="2122"/>
      <c r="H5277" s="2117"/>
      <c r="I5277" s="2118"/>
      <c r="J5277" s="2126" t="s">
        <v>718</v>
      </c>
      <c r="K5277" s="2124">
        <f>SUM(K5274:K5276)</f>
        <v>1432.5</v>
      </c>
      <c r="L5277" s="2119"/>
      <c r="M5277" s="568"/>
    </row>
    <row r="5278" spans="1:22" ht="12.75" hidden="1">
      <c r="A5278" s="568"/>
      <c r="B5278" s="192"/>
      <c r="C5278" s="568"/>
      <c r="D5278" s="568"/>
      <c r="E5278" s="188"/>
      <c r="F5278" s="188"/>
      <c r="G5278" s="2122"/>
      <c r="H5278" s="2117"/>
      <c r="I5278" s="2118"/>
      <c r="J5278" s="2123"/>
      <c r="K5278" s="2124"/>
      <c r="L5278" s="2119"/>
      <c r="M5278" s="568"/>
    </row>
    <row r="5279" spans="1:22" ht="12.75" hidden="1">
      <c r="A5279" s="568"/>
      <c r="B5279" s="192" t="s">
        <v>1200</v>
      </c>
      <c r="C5279" s="568"/>
      <c r="D5279" s="568"/>
      <c r="E5279" s="13"/>
      <c r="F5279" s="13"/>
      <c r="G5279" s="568"/>
      <c r="H5279" s="568"/>
      <c r="I5279" s="568"/>
      <c r="J5279" s="568"/>
      <c r="K5279" s="568">
        <f>ROUND(K5277*2%,2)</f>
        <v>28.65</v>
      </c>
      <c r="L5279" s="568"/>
      <c r="M5279" s="568"/>
    </row>
    <row r="5280" spans="1:22" ht="12.75" hidden="1">
      <c r="A5280" s="568"/>
      <c r="B5280" s="568"/>
      <c r="C5280" s="568"/>
      <c r="D5280" s="568"/>
      <c r="E5280" s="13"/>
      <c r="F5280" s="13"/>
      <c r="G5280" s="568"/>
      <c r="H5280" s="568"/>
      <c r="I5280" s="568"/>
      <c r="J5280" s="568"/>
      <c r="K5280" s="2123">
        <f>SUM(K5277:K5279)</f>
        <v>1461.15</v>
      </c>
      <c r="L5280" s="568"/>
      <c r="M5280" s="568"/>
    </row>
    <row r="5281" spans="1:22" ht="12.75" hidden="1">
      <c r="A5281" s="568"/>
      <c r="B5281" s="568" t="s">
        <v>1201</v>
      </c>
      <c r="C5281" s="568"/>
      <c r="D5281" s="568"/>
      <c r="E5281" s="13"/>
      <c r="F5281" s="13"/>
      <c r="G5281" s="568"/>
      <c r="H5281" s="568"/>
      <c r="I5281" s="568"/>
      <c r="J5281" s="568"/>
      <c r="K5281" s="2123">
        <f>ROUND(K5280/9.3,2)</f>
        <v>157.11000000000001</v>
      </c>
      <c r="L5281" s="568"/>
      <c r="M5281" s="568"/>
    </row>
    <row r="5282" spans="1:22" ht="12.75" hidden="1">
      <c r="A5282" s="568"/>
      <c r="B5282" s="568" t="s">
        <v>1202</v>
      </c>
      <c r="C5282" s="568"/>
      <c r="D5282" s="568"/>
      <c r="E5282" s="13"/>
      <c r="F5282" s="13"/>
      <c r="G5282" s="2122">
        <v>1.1000000000000001</v>
      </c>
      <c r="H5282" s="2117" t="s">
        <v>92</v>
      </c>
      <c r="I5282" s="2118" t="s">
        <v>92</v>
      </c>
      <c r="J5282" s="2123">
        <f>L101</f>
        <v>321.16549199999997</v>
      </c>
      <c r="K5282" s="2123">
        <f>ROUND(G5282*J5282,2)</f>
        <v>353.28</v>
      </c>
      <c r="L5282" s="568"/>
      <c r="M5282" s="568"/>
    </row>
    <row r="5283" spans="1:22" ht="12.75" hidden="1">
      <c r="A5283" s="568"/>
      <c r="B5283" s="568"/>
      <c r="C5283" s="568"/>
      <c r="D5283" s="568"/>
      <c r="E5283" s="13"/>
      <c r="F5283" s="13"/>
      <c r="G5283" s="568"/>
      <c r="H5283" s="568"/>
      <c r="I5283" s="568"/>
      <c r="J5283" s="192" t="s">
        <v>928</v>
      </c>
      <c r="K5283" s="2124">
        <f>SUM(K5281:K5282)</f>
        <v>510.39</v>
      </c>
      <c r="L5283" s="2119" t="s">
        <v>730</v>
      </c>
      <c r="M5283" s="568"/>
    </row>
    <row r="5284" spans="1:22" ht="42.6" hidden="1" customHeight="1">
      <c r="A5284" s="2114">
        <f>A868</f>
        <v>102</v>
      </c>
      <c r="B5284" s="3017" t="str">
        <f>B868</f>
        <v>Supplying, Fitting &amp; Fixing  AC Sheet in Roofing including cost, conveyance of all materials  and labour for fitting fixing etc.complete as per the instruction of Engineer-in-Charge .</v>
      </c>
      <c r="C5284" s="3017"/>
      <c r="D5284" s="3017"/>
      <c r="E5284" s="2116" t="str">
        <f>G890</f>
        <v>Each Sqm</v>
      </c>
      <c r="F5284" s="2116"/>
      <c r="G5284" s="2122"/>
      <c r="H5284" s="568"/>
      <c r="I5284" s="2118"/>
      <c r="J5284" s="2124"/>
      <c r="K5284" s="2124"/>
      <c r="L5284" s="192"/>
      <c r="M5284" s="568"/>
    </row>
    <row r="5285" spans="1:22" ht="12.75" hidden="1">
      <c r="A5285" s="568"/>
      <c r="B5285" s="192" t="s">
        <v>884</v>
      </c>
      <c r="C5285" s="568"/>
      <c r="D5285" s="568"/>
      <c r="E5285" s="13"/>
      <c r="F5285" s="13"/>
      <c r="G5285" s="568"/>
      <c r="H5285" s="568"/>
      <c r="I5285" s="568"/>
      <c r="J5285" s="568"/>
      <c r="K5285" s="568"/>
      <c r="L5285" s="568"/>
      <c r="M5285" s="568"/>
      <c r="Q5285" s="1706"/>
      <c r="S5285" s="196"/>
      <c r="T5285" s="2204"/>
      <c r="U5285" s="1990"/>
      <c r="V5285" s="2205"/>
    </row>
    <row r="5286" spans="1:22" ht="12.75" hidden="1">
      <c r="A5286" s="568"/>
      <c r="B5286" s="192" t="s">
        <v>954</v>
      </c>
      <c r="C5286" s="568"/>
      <c r="D5286" s="568"/>
      <c r="E5286" s="188"/>
      <c r="F5286" s="188"/>
      <c r="G5286" s="2122"/>
      <c r="H5286" s="2117"/>
      <c r="I5286" s="2118"/>
      <c r="J5286" s="2123"/>
      <c r="K5286" s="2123"/>
      <c r="L5286" s="2119"/>
      <c r="M5286" s="568"/>
    </row>
    <row r="5287" spans="1:22" ht="12.75" hidden="1">
      <c r="A5287" s="568"/>
      <c r="B5287" s="568" t="s">
        <v>1011</v>
      </c>
      <c r="C5287" s="568"/>
      <c r="D5287" s="568"/>
      <c r="E5287" s="188"/>
      <c r="F5287" s="188"/>
      <c r="G5287" s="2122">
        <v>1</v>
      </c>
      <c r="H5287" s="2117" t="s">
        <v>262</v>
      </c>
      <c r="I5287" s="2118" t="s">
        <v>38</v>
      </c>
      <c r="J5287" s="2123">
        <f>L137</f>
        <v>495</v>
      </c>
      <c r="K5287" s="2123">
        <f>ROUND(G5287*J5287,2)</f>
        <v>495</v>
      </c>
      <c r="L5287" s="2119"/>
      <c r="M5287" s="568"/>
    </row>
    <row r="5288" spans="1:22" ht="12.75" hidden="1">
      <c r="A5288" s="568"/>
      <c r="B5288" s="568" t="s">
        <v>717</v>
      </c>
      <c r="C5288" s="568"/>
      <c r="D5288" s="568"/>
      <c r="E5288" s="188"/>
      <c r="F5288" s="188"/>
      <c r="G5288" s="2122">
        <v>3</v>
      </c>
      <c r="H5288" s="2117" t="s">
        <v>262</v>
      </c>
      <c r="I5288" s="2118" t="s">
        <v>38</v>
      </c>
      <c r="J5288" s="2123">
        <f>L134</f>
        <v>345</v>
      </c>
      <c r="K5288" s="2123">
        <f>ROUND(G5288*J5288,2)</f>
        <v>1035</v>
      </c>
      <c r="L5288" s="2119"/>
      <c r="M5288" s="568"/>
    </row>
    <row r="5289" spans="1:22" ht="12.75" hidden="1">
      <c r="A5289" s="568"/>
      <c r="B5289" s="568"/>
      <c r="C5289" s="568"/>
      <c r="D5289" s="568"/>
      <c r="E5289" s="188"/>
      <c r="F5289" s="188"/>
      <c r="G5289" s="2122"/>
      <c r="H5289" s="2117"/>
      <c r="I5289" s="2118"/>
      <c r="J5289" s="2126" t="s">
        <v>718</v>
      </c>
      <c r="K5289" s="2124">
        <f>SUM(K5287:K5288)</f>
        <v>1530</v>
      </c>
      <c r="L5289" s="2119"/>
      <c r="M5289" s="568"/>
    </row>
    <row r="5290" spans="1:22" ht="12.75" hidden="1">
      <c r="A5290" s="568"/>
      <c r="B5290" s="192"/>
      <c r="C5290" s="568"/>
      <c r="D5290" s="568"/>
      <c r="E5290" s="188"/>
      <c r="F5290" s="188"/>
      <c r="G5290" s="2122"/>
      <c r="H5290" s="2117"/>
      <c r="I5290" s="2118"/>
      <c r="J5290" s="2123"/>
      <c r="K5290" s="2124"/>
      <c r="L5290" s="2119"/>
      <c r="M5290" s="568"/>
    </row>
    <row r="5291" spans="1:22" ht="12.75" hidden="1">
      <c r="A5291" s="568"/>
      <c r="B5291" s="192" t="s">
        <v>1203</v>
      </c>
      <c r="C5291" s="568"/>
      <c r="D5291" s="568"/>
      <c r="E5291" s="13"/>
      <c r="F5291" s="13"/>
      <c r="G5291" s="568"/>
      <c r="H5291" s="568"/>
      <c r="I5291" s="568"/>
      <c r="J5291" s="568"/>
      <c r="K5291" s="568">
        <f>ROUND(K5289*2%,2)</f>
        <v>30.6</v>
      </c>
      <c r="L5291" s="568"/>
      <c r="M5291" s="568"/>
    </row>
    <row r="5292" spans="1:22" ht="12.75" hidden="1">
      <c r="A5292" s="568"/>
      <c r="B5292" s="568"/>
      <c r="C5292" s="568"/>
      <c r="D5292" s="568"/>
      <c r="E5292" s="13"/>
      <c r="F5292" s="13"/>
      <c r="G5292" s="568"/>
      <c r="H5292" s="568"/>
      <c r="I5292" s="568"/>
      <c r="J5292" s="568"/>
      <c r="K5292" s="2123">
        <f>SUM(K5289:K5291)</f>
        <v>1560.6</v>
      </c>
      <c r="L5292" s="568"/>
      <c r="M5292" s="568"/>
    </row>
    <row r="5293" spans="1:22" ht="12.75" hidden="1">
      <c r="A5293" s="568"/>
      <c r="B5293" s="568" t="s">
        <v>1201</v>
      </c>
      <c r="C5293" s="568"/>
      <c r="D5293" s="568"/>
      <c r="E5293" s="13"/>
      <c r="F5293" s="13"/>
      <c r="G5293" s="568"/>
      <c r="H5293" s="568"/>
      <c r="I5293" s="568"/>
      <c r="J5293" s="568"/>
      <c r="K5293" s="2123">
        <f>ROUND(K5292/9.3,2)</f>
        <v>167.81</v>
      </c>
      <c r="L5293" s="568"/>
      <c r="M5293" s="568"/>
    </row>
    <row r="5294" spans="1:22" ht="12.75" hidden="1">
      <c r="A5294" s="568"/>
      <c r="B5294" s="568" t="s">
        <v>1204</v>
      </c>
      <c r="C5294" s="568"/>
      <c r="D5294" s="568"/>
      <c r="E5294" s="13"/>
      <c r="F5294" s="13"/>
      <c r="G5294" s="2122">
        <v>1.1000000000000001</v>
      </c>
      <c r="H5294" s="2117" t="s">
        <v>92</v>
      </c>
      <c r="I5294" s="2118" t="s">
        <v>92</v>
      </c>
      <c r="J5294" s="2123">
        <f>L99</f>
        <v>216.09000799999998</v>
      </c>
      <c r="K5294" s="2123">
        <f>ROUND(G5294*J5294,2)</f>
        <v>237.7</v>
      </c>
      <c r="L5294" s="568"/>
      <c r="M5294" s="568"/>
    </row>
    <row r="5295" spans="1:22" ht="12.75" hidden="1">
      <c r="A5295" s="568"/>
      <c r="B5295" s="568"/>
      <c r="C5295" s="568"/>
      <c r="D5295" s="568"/>
      <c r="E5295" s="13"/>
      <c r="F5295" s="13"/>
      <c r="G5295" s="568"/>
      <c r="H5295" s="568"/>
      <c r="I5295" s="568"/>
      <c r="J5295" s="192" t="s">
        <v>928</v>
      </c>
      <c r="K5295" s="2124">
        <f>SUM(K5293:K5294)</f>
        <v>405.51</v>
      </c>
      <c r="L5295" s="2119" t="s">
        <v>730</v>
      </c>
      <c r="M5295" s="568"/>
    </row>
    <row r="5296" spans="1:22" ht="42" hidden="1" customHeight="1">
      <c r="A5296" s="2114">
        <f>A869</f>
        <v>103</v>
      </c>
      <c r="B5296" s="3017" t="str">
        <f>B869</f>
        <v>Supplying, Fitting &amp; Fixing  Asbestos sheet ridges or valleys (double) per RM  and labour for fitting fixing etc.complete as per the instruction of Engineer-in-Charge .</v>
      </c>
      <c r="C5296" s="3017"/>
      <c r="D5296" s="3017"/>
      <c r="E5296" s="2116" t="str">
        <f>G925</f>
        <v>Each Sqm</v>
      </c>
      <c r="F5296" s="2116"/>
      <c r="G5296" s="2122"/>
      <c r="H5296" s="568"/>
      <c r="I5296" s="2118"/>
      <c r="J5296" s="2124"/>
      <c r="K5296" s="2124"/>
      <c r="L5296" s="192"/>
      <c r="M5296" s="568"/>
    </row>
    <row r="5297" spans="1:22" ht="12.75" hidden="1">
      <c r="A5297" s="568"/>
      <c r="B5297" s="192" t="s">
        <v>1205</v>
      </c>
      <c r="C5297" s="568"/>
      <c r="D5297" s="568"/>
      <c r="E5297" s="13"/>
      <c r="F5297" s="13"/>
      <c r="G5297" s="568"/>
      <c r="H5297" s="568"/>
      <c r="I5297" s="568"/>
      <c r="J5297" s="568"/>
      <c r="K5297" s="568"/>
      <c r="L5297" s="568"/>
      <c r="M5297" s="568"/>
      <c r="Q5297" s="1706"/>
      <c r="S5297" s="196"/>
      <c r="T5297" s="2204"/>
      <c r="U5297" s="1990"/>
      <c r="V5297" s="2205"/>
    </row>
    <row r="5298" spans="1:22" ht="12.75" hidden="1">
      <c r="A5298" s="568"/>
      <c r="B5298" s="192" t="s">
        <v>954</v>
      </c>
      <c r="C5298" s="568"/>
      <c r="D5298" s="568"/>
      <c r="E5298" s="188"/>
      <c r="F5298" s="188"/>
      <c r="G5298" s="2122"/>
      <c r="H5298" s="2117"/>
      <c r="I5298" s="2118"/>
      <c r="J5298" s="2123"/>
      <c r="K5298" s="2123"/>
      <c r="L5298" s="2119"/>
      <c r="M5298" s="568"/>
    </row>
    <row r="5299" spans="1:22" ht="12.75" hidden="1">
      <c r="A5299" s="568"/>
      <c r="B5299" s="568" t="s">
        <v>1011</v>
      </c>
      <c r="C5299" s="568"/>
      <c r="D5299" s="568"/>
      <c r="E5299" s="188"/>
      <c r="F5299" s="188"/>
      <c r="G5299" s="2122">
        <v>0.5</v>
      </c>
      <c r="H5299" s="2117" t="s">
        <v>262</v>
      </c>
      <c r="I5299" s="2118" t="s">
        <v>38</v>
      </c>
      <c r="J5299" s="2123">
        <f>L137</f>
        <v>495</v>
      </c>
      <c r="K5299" s="2123">
        <f>ROUND(G5299*J5299,2)</f>
        <v>247.5</v>
      </c>
      <c r="L5299" s="2119"/>
      <c r="M5299" s="568"/>
    </row>
    <row r="5300" spans="1:22" ht="12.75" hidden="1">
      <c r="A5300" s="568"/>
      <c r="B5300" s="568" t="s">
        <v>742</v>
      </c>
      <c r="C5300" s="568"/>
      <c r="D5300" s="568"/>
      <c r="E5300" s="188"/>
      <c r="F5300" s="188"/>
      <c r="G5300" s="2122">
        <v>1.5</v>
      </c>
      <c r="H5300" s="2117" t="s">
        <v>262</v>
      </c>
      <c r="I5300" s="2118" t="s">
        <v>38</v>
      </c>
      <c r="J5300" s="2123">
        <f>L136</f>
        <v>435</v>
      </c>
      <c r="K5300" s="2123">
        <f>ROUND(G5300*J5300,2)</f>
        <v>652.5</v>
      </c>
      <c r="L5300" s="2119"/>
      <c r="M5300" s="568"/>
    </row>
    <row r="5301" spans="1:22" ht="12.75" hidden="1">
      <c r="A5301" s="568"/>
      <c r="B5301" s="568" t="s">
        <v>1206</v>
      </c>
      <c r="C5301" s="568"/>
      <c r="D5301" s="568"/>
      <c r="E5301" s="188"/>
      <c r="F5301" s="188"/>
      <c r="G5301" s="2122">
        <v>3</v>
      </c>
      <c r="H5301" s="2117" t="s">
        <v>262</v>
      </c>
      <c r="I5301" s="2118" t="s">
        <v>38</v>
      </c>
      <c r="J5301" s="2123">
        <f>L137</f>
        <v>495</v>
      </c>
      <c r="K5301" s="2123">
        <f>ROUND(G5301*J5301,2)</f>
        <v>1485</v>
      </c>
      <c r="L5301" s="2119"/>
      <c r="M5301" s="568"/>
    </row>
    <row r="5302" spans="1:22" ht="12.75" hidden="1">
      <c r="A5302" s="568"/>
      <c r="B5302" s="568" t="s">
        <v>717</v>
      </c>
      <c r="C5302" s="568"/>
      <c r="D5302" s="568"/>
      <c r="E5302" s="188"/>
      <c r="F5302" s="188"/>
      <c r="G5302" s="2122">
        <v>4</v>
      </c>
      <c r="H5302" s="2117" t="s">
        <v>262</v>
      </c>
      <c r="I5302" s="2118" t="s">
        <v>38</v>
      </c>
      <c r="J5302" s="2123">
        <f>L134</f>
        <v>345</v>
      </c>
      <c r="K5302" s="2123">
        <f>ROUND(G5302*J5302,2)</f>
        <v>1380</v>
      </c>
      <c r="L5302" s="2119"/>
      <c r="M5302" s="568"/>
    </row>
    <row r="5303" spans="1:22" ht="12.75" hidden="1">
      <c r="A5303" s="568"/>
      <c r="B5303" s="568"/>
      <c r="C5303" s="568"/>
      <c r="D5303" s="568"/>
      <c r="E5303" s="188"/>
      <c r="F5303" s="188"/>
      <c r="G5303" s="2122"/>
      <c r="H5303" s="2117"/>
      <c r="I5303" s="2118"/>
      <c r="J5303" s="2126" t="s">
        <v>718</v>
      </c>
      <c r="K5303" s="2124">
        <f>SUM(K5299:K5302)</f>
        <v>3765</v>
      </c>
      <c r="L5303" s="2119"/>
      <c r="M5303" s="568"/>
    </row>
    <row r="5304" spans="1:22" ht="12.75" hidden="1">
      <c r="A5304" s="568"/>
      <c r="B5304" s="192"/>
      <c r="C5304" s="568"/>
      <c r="D5304" s="568"/>
      <c r="E5304" s="188"/>
      <c r="F5304" s="188"/>
      <c r="G5304" s="2122"/>
      <c r="H5304" s="2117"/>
      <c r="I5304" s="2118"/>
      <c r="J5304" s="2123"/>
      <c r="K5304" s="2124"/>
      <c r="L5304" s="2119"/>
      <c r="M5304" s="568"/>
    </row>
    <row r="5305" spans="1:22" ht="12.75" hidden="1">
      <c r="A5305" s="568"/>
      <c r="B5305" s="192" t="s">
        <v>1200</v>
      </c>
      <c r="C5305" s="568"/>
      <c r="D5305" s="568"/>
      <c r="E5305" s="13"/>
      <c r="F5305" s="13"/>
      <c r="G5305" s="568"/>
      <c r="H5305" s="568"/>
      <c r="I5305" s="568"/>
      <c r="J5305" s="568"/>
      <c r="K5305" s="568">
        <f>ROUND(K5303*2%,2)</f>
        <v>75.3</v>
      </c>
      <c r="L5305" s="568"/>
      <c r="M5305" s="568"/>
    </row>
    <row r="5306" spans="1:22" ht="12.75" hidden="1">
      <c r="A5306" s="568"/>
      <c r="B5306" s="568"/>
      <c r="C5306" s="568"/>
      <c r="D5306" s="568"/>
      <c r="E5306" s="13"/>
      <c r="F5306" s="13"/>
      <c r="G5306" s="568"/>
      <c r="H5306" s="568"/>
      <c r="I5306" s="568"/>
      <c r="J5306" s="568"/>
      <c r="K5306" s="2123">
        <f>SUM(K5303:K5305)</f>
        <v>3840.3</v>
      </c>
      <c r="L5306" s="568"/>
      <c r="M5306" s="568"/>
    </row>
    <row r="5307" spans="1:22" ht="12.75" hidden="1">
      <c r="A5307" s="568"/>
      <c r="B5307" s="568" t="s">
        <v>1201</v>
      </c>
      <c r="C5307" s="568"/>
      <c r="D5307" s="568"/>
      <c r="E5307" s="13"/>
      <c r="F5307" s="13"/>
      <c r="G5307" s="568"/>
      <c r="H5307" s="568"/>
      <c r="I5307" s="568"/>
      <c r="J5307" s="568"/>
      <c r="K5307" s="2123">
        <f>ROUND(K5306/30.48,2)</f>
        <v>125.99</v>
      </c>
      <c r="L5307" s="568"/>
      <c r="M5307" s="568"/>
    </row>
    <row r="5308" spans="1:22" ht="12.75" hidden="1">
      <c r="A5308" s="568"/>
      <c r="B5308" s="568" t="s">
        <v>1207</v>
      </c>
      <c r="C5308" s="568"/>
      <c r="D5308" s="568"/>
      <c r="E5308" s="13"/>
      <c r="F5308" s="13"/>
      <c r="G5308" s="2122">
        <v>1.65</v>
      </c>
      <c r="H5308" s="2117" t="s">
        <v>1208</v>
      </c>
      <c r="I5308" s="2118" t="s">
        <v>1208</v>
      </c>
      <c r="J5308" s="2123">
        <f>G100</f>
        <v>207.69</v>
      </c>
      <c r="K5308" s="2123">
        <f>ROUND(G5308*J5308,2)</f>
        <v>342.69</v>
      </c>
      <c r="L5308" s="568"/>
      <c r="M5308" s="568"/>
    </row>
    <row r="5309" spans="1:22" ht="12.75" hidden="1">
      <c r="A5309" s="568"/>
      <c r="B5309" s="568"/>
      <c r="C5309" s="568"/>
      <c r="D5309" s="568"/>
      <c r="E5309" s="13"/>
      <c r="F5309" s="13"/>
      <c r="G5309" s="568"/>
      <c r="H5309" s="568"/>
      <c r="I5309" s="568"/>
      <c r="J5309" s="192" t="s">
        <v>928</v>
      </c>
      <c r="K5309" s="2124">
        <f>SUM(K5307:K5308)</f>
        <v>468.68</v>
      </c>
      <c r="L5309" s="2119" t="s">
        <v>730</v>
      </c>
      <c r="M5309" s="568"/>
    </row>
    <row r="5310" spans="1:22" ht="112.9" hidden="1" customHeight="1">
      <c r="A5310" s="2114">
        <f>A870</f>
        <v>104</v>
      </c>
      <c r="B5310" s="3017" t="str">
        <f>B870</f>
        <v>Providing, Fitting &amp; Fixing of False Ceiling  with 12 mm thick pre-laminated Novapan board,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5310" s="3017"/>
      <c r="D5310" s="3017"/>
      <c r="E5310" s="2116" t="str">
        <f>G870</f>
        <v>Each Sqm</v>
      </c>
      <c r="F5310" s="2116"/>
      <c r="G5310" s="2122"/>
      <c r="H5310" s="568"/>
      <c r="I5310" s="2118"/>
      <c r="J5310" s="2124"/>
      <c r="K5310" s="2124"/>
      <c r="L5310" s="192"/>
      <c r="M5310" s="568"/>
    </row>
    <row r="5311" spans="1:22" ht="12.75" hidden="1">
      <c r="A5311" s="2114"/>
      <c r="B5311" s="192" t="s">
        <v>1209</v>
      </c>
      <c r="C5311" s="568"/>
      <c r="D5311" s="568"/>
      <c r="E5311" s="188"/>
      <c r="F5311" s="188"/>
      <c r="G5311" s="2122"/>
      <c r="H5311" s="2117"/>
      <c r="I5311" s="2118"/>
      <c r="J5311" s="2123"/>
      <c r="K5311" s="2123"/>
      <c r="L5311" s="2119"/>
      <c r="M5311" s="2118"/>
      <c r="N5311" s="1707"/>
      <c r="O5311" s="1707"/>
      <c r="P5311" s="1707"/>
    </row>
    <row r="5312" spans="1:22" ht="12.75" hidden="1">
      <c r="A5312" s="568"/>
      <c r="B5312" s="2148" t="s">
        <v>1210</v>
      </c>
      <c r="C5312" s="1702"/>
      <c r="D5312" s="2151"/>
      <c r="E5312" s="1702"/>
      <c r="F5312" s="1702"/>
      <c r="G5312" s="2134"/>
      <c r="H5312" s="2192"/>
      <c r="I5312" s="2134"/>
      <c r="J5312" s="2126"/>
      <c r="K5312" s="2124"/>
      <c r="L5312" s="192"/>
      <c r="M5312" s="568"/>
    </row>
    <row r="5313" spans="1:16" ht="12.75" hidden="1">
      <c r="A5313" s="568"/>
      <c r="B5313" s="568" t="s">
        <v>1211</v>
      </c>
      <c r="C5313" s="192"/>
      <c r="D5313" s="568"/>
      <c r="E5313" s="188" t="s">
        <v>1039</v>
      </c>
      <c r="F5313" s="188"/>
      <c r="G5313" s="2134">
        <f>ROUND(70.56*0.258,2)</f>
        <v>18.2</v>
      </c>
      <c r="H5313" s="2192" t="s">
        <v>95</v>
      </c>
      <c r="I5313" s="2134"/>
      <c r="J5313" s="2126"/>
      <c r="K5313" s="2124"/>
      <c r="L5313" s="192"/>
      <c r="M5313" s="568"/>
    </row>
    <row r="5314" spans="1:16" ht="12.75" hidden="1">
      <c r="A5314" s="568"/>
      <c r="B5314" s="568" t="s">
        <v>1212</v>
      </c>
      <c r="C5314" s="192"/>
      <c r="D5314" s="568"/>
      <c r="E5314" s="188" t="s">
        <v>1039</v>
      </c>
      <c r="F5314" s="188"/>
      <c r="G5314" s="2200">
        <f>ROUND(17.64*0.233,2)</f>
        <v>4.1100000000000003</v>
      </c>
      <c r="H5314" s="2192" t="s">
        <v>95</v>
      </c>
      <c r="I5314" s="2134"/>
      <c r="J5314" s="2126"/>
      <c r="K5314" s="2124"/>
      <c r="L5314" s="192"/>
      <c r="M5314" s="568"/>
    </row>
    <row r="5315" spans="1:16" ht="12.75" hidden="1">
      <c r="A5315" s="568"/>
      <c r="B5315" s="568"/>
      <c r="C5315" s="192"/>
      <c r="D5315" s="568"/>
      <c r="E5315" s="188"/>
      <c r="F5315" s="188"/>
      <c r="G5315" s="2134">
        <f>SUM(G5313:G5314)</f>
        <v>22.31</v>
      </c>
      <c r="H5315" s="2192" t="s">
        <v>95</v>
      </c>
      <c r="I5315" s="2134"/>
      <c r="J5315" s="2126"/>
      <c r="K5315" s="2124"/>
      <c r="L5315" s="192"/>
      <c r="M5315" s="568"/>
    </row>
    <row r="5316" spans="1:16" ht="12.75" hidden="1">
      <c r="A5316" s="568"/>
      <c r="B5316" s="568"/>
      <c r="C5316" s="192" t="s">
        <v>1071</v>
      </c>
      <c r="D5316" s="568"/>
      <c r="E5316" s="188" t="s">
        <v>1039</v>
      </c>
      <c r="F5316" s="188"/>
      <c r="G5316" s="2200">
        <f>ROUND(G5315*5%,2)</f>
        <v>1.1200000000000001</v>
      </c>
      <c r="H5316" s="2192" t="s">
        <v>95</v>
      </c>
      <c r="I5316" s="2134"/>
      <c r="J5316" s="2126"/>
      <c r="K5316" s="2124"/>
      <c r="L5316" s="192"/>
      <c r="M5316" s="568"/>
    </row>
    <row r="5317" spans="1:16" ht="12.75" hidden="1">
      <c r="A5317" s="568"/>
      <c r="B5317" s="568"/>
      <c r="C5317" s="192"/>
      <c r="D5317" s="568"/>
      <c r="E5317" s="188"/>
      <c r="F5317" s="188"/>
      <c r="G5317" s="2126">
        <f>SUM(G5315:G5316)</f>
        <v>23.43</v>
      </c>
      <c r="H5317" s="2194" t="s">
        <v>95</v>
      </c>
      <c r="I5317" s="2134"/>
      <c r="J5317" s="2126"/>
      <c r="K5317" s="2124"/>
      <c r="L5317" s="192"/>
      <c r="M5317" s="568"/>
    </row>
    <row r="5318" spans="1:16" ht="12.75" hidden="1">
      <c r="A5318" s="2114"/>
      <c r="B5318" s="192" t="s">
        <v>822</v>
      </c>
      <c r="C5318" s="568"/>
      <c r="D5318" s="568"/>
      <c r="E5318" s="188"/>
      <c r="F5318" s="188"/>
      <c r="G5318" s="568"/>
      <c r="H5318" s="2117"/>
      <c r="I5318" s="2118"/>
      <c r="J5318" s="568"/>
      <c r="K5318" s="568"/>
      <c r="L5318" s="2119"/>
      <c r="M5318" s="2118"/>
      <c r="N5318" s="1707"/>
      <c r="O5318" s="1707"/>
      <c r="P5318" s="1707"/>
    </row>
    <row r="5319" spans="1:16" ht="12.75" hidden="1">
      <c r="A5319" s="2114"/>
      <c r="B5319" s="568" t="s">
        <v>1213</v>
      </c>
      <c r="C5319" s="568"/>
      <c r="D5319" s="568"/>
      <c r="E5319" s="188"/>
      <c r="F5319" s="188"/>
      <c r="G5319" s="2122">
        <v>23.43</v>
      </c>
      <c r="H5319" s="2117" t="s">
        <v>284</v>
      </c>
      <c r="I5319" s="2118" t="s">
        <v>95</v>
      </c>
      <c r="J5319" s="2184">
        <v>226</v>
      </c>
      <c r="K5319" s="2123">
        <f t="shared" ref="K5319:K5327" si="294">ROUND(G5319*J5319,2)</f>
        <v>5295.18</v>
      </c>
      <c r="L5319" s="2119"/>
      <c r="M5319" s="2118"/>
      <c r="N5319" s="1707"/>
      <c r="O5319" s="1707"/>
      <c r="P5319" s="1707"/>
    </row>
    <row r="5320" spans="1:16" ht="12.75" hidden="1">
      <c r="A5320" s="2114"/>
      <c r="B5320" s="568" t="s">
        <v>1214</v>
      </c>
      <c r="C5320" s="568"/>
      <c r="D5320" s="568"/>
      <c r="E5320" s="188"/>
      <c r="F5320" s="188"/>
      <c r="G5320" s="2122">
        <v>3.62</v>
      </c>
      <c r="H5320" s="2117" t="s">
        <v>284</v>
      </c>
      <c r="I5320" s="2118" t="s">
        <v>95</v>
      </c>
      <c r="J5320" s="2184">
        <f>J5319</f>
        <v>226</v>
      </c>
      <c r="K5320" s="2123">
        <f t="shared" si="294"/>
        <v>818.12</v>
      </c>
      <c r="L5320" s="2119"/>
      <c r="M5320" s="2118"/>
      <c r="N5320" s="1707"/>
      <c r="O5320" s="1707"/>
      <c r="P5320" s="1707"/>
    </row>
    <row r="5321" spans="1:16" ht="12.75" hidden="1">
      <c r="A5321" s="2114"/>
      <c r="B5321" s="568" t="s">
        <v>1215</v>
      </c>
      <c r="C5321" s="568"/>
      <c r="D5321" s="568"/>
      <c r="E5321" s="188"/>
      <c r="F5321" s="188"/>
      <c r="G5321" s="2206">
        <v>42</v>
      </c>
      <c r="H5321" s="2117" t="s">
        <v>262</v>
      </c>
      <c r="I5321" s="2118" t="s">
        <v>37</v>
      </c>
      <c r="J5321" s="2123">
        <f>G176</f>
        <v>7</v>
      </c>
      <c r="K5321" s="2123">
        <f t="shared" si="294"/>
        <v>294</v>
      </c>
      <c r="L5321" s="2119"/>
      <c r="M5321" s="2118"/>
      <c r="N5321" s="1707"/>
      <c r="O5321" s="1707"/>
      <c r="P5321" s="1707"/>
    </row>
    <row r="5322" spans="1:16" ht="12.75" hidden="1">
      <c r="A5322" s="2114"/>
      <c r="B5322" s="568" t="s">
        <v>282</v>
      </c>
      <c r="C5322" s="568"/>
      <c r="D5322" s="568"/>
      <c r="E5322" s="188"/>
      <c r="F5322" s="188"/>
      <c r="G5322" s="2206">
        <v>42</v>
      </c>
      <c r="H5322" s="2117" t="s">
        <v>262</v>
      </c>
      <c r="I5322" s="2118" t="s">
        <v>37</v>
      </c>
      <c r="J5322" s="2123">
        <f>G187</f>
        <v>5.5</v>
      </c>
      <c r="K5322" s="2123">
        <f t="shared" si="294"/>
        <v>231</v>
      </c>
      <c r="L5322" s="2119"/>
      <c r="M5322" s="2118"/>
      <c r="N5322" s="1707"/>
      <c r="O5322" s="1707"/>
      <c r="P5322" s="1707"/>
    </row>
    <row r="5323" spans="1:16" ht="12.75" hidden="1">
      <c r="A5323" s="2114"/>
      <c r="B5323" s="568" t="s">
        <v>283</v>
      </c>
      <c r="C5323" s="568"/>
      <c r="D5323" s="568"/>
      <c r="E5323" s="188"/>
      <c r="F5323" s="188"/>
      <c r="G5323" s="2122">
        <v>2</v>
      </c>
      <c r="H5323" s="2117" t="s">
        <v>284</v>
      </c>
      <c r="I5323" s="2118" t="s">
        <v>95</v>
      </c>
      <c r="J5323" s="2123">
        <f>G188</f>
        <v>60</v>
      </c>
      <c r="K5323" s="2123">
        <f t="shared" si="294"/>
        <v>120</v>
      </c>
      <c r="L5323" s="2119"/>
      <c r="M5323" s="2118"/>
      <c r="N5323" s="1707"/>
      <c r="O5323" s="1707"/>
      <c r="P5323" s="1707"/>
    </row>
    <row r="5324" spans="1:16" ht="12.75" hidden="1">
      <c r="A5324" s="2114"/>
      <c r="B5324" s="568" t="s">
        <v>257</v>
      </c>
      <c r="C5324" s="568"/>
      <c r="D5324" s="568"/>
      <c r="E5324" s="188"/>
      <c r="F5324" s="188"/>
      <c r="G5324" s="2122">
        <v>20.59</v>
      </c>
      <c r="H5324" s="2117" t="s">
        <v>92</v>
      </c>
      <c r="I5324" s="2118" t="s">
        <v>92</v>
      </c>
      <c r="J5324" s="2123">
        <f>G175</f>
        <v>710.82</v>
      </c>
      <c r="K5324" s="2123">
        <f t="shared" si="294"/>
        <v>14635.78</v>
      </c>
      <c r="L5324" s="2119"/>
      <c r="M5324" s="2118"/>
      <c r="N5324" s="1707"/>
      <c r="O5324" s="1707"/>
      <c r="P5324" s="1707"/>
    </row>
    <row r="5325" spans="1:16" ht="12.75" hidden="1">
      <c r="A5325" s="2114"/>
      <c r="B5325" s="568" t="s">
        <v>286</v>
      </c>
      <c r="C5325" s="568"/>
      <c r="D5325" s="568"/>
      <c r="E5325" s="188"/>
      <c r="F5325" s="188"/>
      <c r="G5325" s="2206">
        <v>50</v>
      </c>
      <c r="H5325" s="2117" t="s">
        <v>262</v>
      </c>
      <c r="I5325" s="2118" t="s">
        <v>37</v>
      </c>
      <c r="J5325" s="2123">
        <f>G189</f>
        <v>0.6</v>
      </c>
      <c r="K5325" s="2123">
        <f t="shared" si="294"/>
        <v>30</v>
      </c>
      <c r="L5325" s="2119"/>
      <c r="M5325" s="2118"/>
      <c r="N5325" s="1707"/>
      <c r="O5325" s="1707"/>
      <c r="P5325" s="1707"/>
    </row>
    <row r="5326" spans="1:16" ht="12.75" hidden="1">
      <c r="A5326" s="2114"/>
      <c r="B5326" s="568" t="s">
        <v>264</v>
      </c>
      <c r="C5326" s="568"/>
      <c r="D5326" s="568"/>
      <c r="E5326" s="188"/>
      <c r="F5326" s="188"/>
      <c r="G5326" s="2206">
        <v>50</v>
      </c>
      <c r="H5326" s="2117" t="s">
        <v>262</v>
      </c>
      <c r="I5326" s="2118" t="s">
        <v>37</v>
      </c>
      <c r="J5326" s="2123">
        <f>M187</f>
        <v>0.875</v>
      </c>
      <c r="K5326" s="2123">
        <f t="shared" si="294"/>
        <v>43.75</v>
      </c>
      <c r="L5326" s="2119"/>
      <c r="M5326" s="2118"/>
      <c r="N5326" s="1707"/>
      <c r="O5326" s="1707"/>
      <c r="P5326" s="1707"/>
    </row>
    <row r="5327" spans="1:16" ht="12.75" hidden="1">
      <c r="A5327" s="2114"/>
      <c r="B5327" s="568" t="s">
        <v>1177</v>
      </c>
      <c r="C5327" s="568"/>
      <c r="D5327" s="568"/>
      <c r="E5327" s="188"/>
      <c r="F5327" s="188"/>
      <c r="G5327" s="2122">
        <v>1.5</v>
      </c>
      <c r="H5327" s="2117" t="s">
        <v>315</v>
      </c>
      <c r="I5327" s="2118" t="s">
        <v>315</v>
      </c>
      <c r="J5327" s="2123">
        <f>M225</f>
        <v>100</v>
      </c>
      <c r="K5327" s="2123">
        <f t="shared" si="294"/>
        <v>150</v>
      </c>
      <c r="L5327" s="2119"/>
      <c r="M5327" s="2118"/>
      <c r="N5327" s="1707"/>
      <c r="O5327" s="1707"/>
      <c r="P5327" s="1707"/>
    </row>
    <row r="5328" spans="1:16" ht="12.75" hidden="1">
      <c r="A5328" s="2114"/>
      <c r="B5328" s="568"/>
      <c r="C5328" s="568"/>
      <c r="D5328" s="568"/>
      <c r="E5328" s="188"/>
      <c r="F5328" s="188"/>
      <c r="G5328" s="2122"/>
      <c r="H5328" s="2117"/>
      <c r="I5328" s="2118"/>
      <c r="J5328" s="2126" t="s">
        <v>718</v>
      </c>
      <c r="K5328" s="2124">
        <f>SUM(K5319:K5327)</f>
        <v>21617.83</v>
      </c>
      <c r="L5328" s="2119"/>
      <c r="M5328" s="2118"/>
      <c r="N5328" s="1707"/>
      <c r="O5328" s="1707"/>
      <c r="P5328" s="1707"/>
    </row>
    <row r="5329" spans="1:16" ht="12.75" hidden="1">
      <c r="A5329" s="2114"/>
      <c r="B5329" s="192" t="s">
        <v>781</v>
      </c>
      <c r="C5329" s="568"/>
      <c r="D5329" s="568"/>
      <c r="E5329" s="188"/>
      <c r="F5329" s="188"/>
      <c r="G5329" s="2122"/>
      <c r="H5329" s="2117"/>
      <c r="I5329" s="2118"/>
      <c r="J5329" s="2123"/>
      <c r="K5329" s="2123"/>
      <c r="L5329" s="2119"/>
      <c r="M5329" s="2118"/>
      <c r="N5329" s="1707"/>
      <c r="O5329" s="1707"/>
      <c r="P5329" s="1707"/>
    </row>
    <row r="5330" spans="1:16" ht="12.75" hidden="1">
      <c r="A5330" s="2114"/>
      <c r="B5330" s="568" t="s">
        <v>1047</v>
      </c>
      <c r="C5330" s="568"/>
      <c r="D5330" s="568"/>
      <c r="E5330" s="188"/>
      <c r="F5330" s="188"/>
      <c r="G5330" s="2122">
        <v>5</v>
      </c>
      <c r="H5330" s="2117" t="s">
        <v>262</v>
      </c>
      <c r="I5330" s="2118" t="s">
        <v>38</v>
      </c>
      <c r="J5330" s="2123">
        <f>L137</f>
        <v>495</v>
      </c>
      <c r="K5330" s="2123">
        <f>ROUND(G5330*J5330,2)</f>
        <v>2475</v>
      </c>
      <c r="L5330" s="2119"/>
      <c r="M5330" s="2118"/>
      <c r="N5330" s="1707"/>
      <c r="O5330" s="1707"/>
      <c r="P5330" s="1707"/>
    </row>
    <row r="5331" spans="1:16" ht="12.75" hidden="1">
      <c r="A5331" s="2114"/>
      <c r="B5331" s="568" t="s">
        <v>717</v>
      </c>
      <c r="C5331" s="568"/>
      <c r="D5331" s="568"/>
      <c r="E5331" s="188"/>
      <c r="F5331" s="188"/>
      <c r="G5331" s="2122">
        <v>5</v>
      </c>
      <c r="H5331" s="2117" t="s">
        <v>262</v>
      </c>
      <c r="I5331" s="2118" t="s">
        <v>38</v>
      </c>
      <c r="J5331" s="2123">
        <f>L134</f>
        <v>345</v>
      </c>
      <c r="K5331" s="2123">
        <f>ROUND(G5331*J5331,2)</f>
        <v>1725</v>
      </c>
      <c r="L5331" s="2119"/>
      <c r="M5331" s="2118"/>
      <c r="N5331" s="1707"/>
      <c r="O5331" s="1707"/>
      <c r="P5331" s="1707"/>
    </row>
    <row r="5332" spans="1:16" ht="12.75" hidden="1">
      <c r="A5332" s="2114"/>
      <c r="B5332" s="568"/>
      <c r="C5332" s="568"/>
      <c r="D5332" s="568"/>
      <c r="E5332" s="188"/>
      <c r="F5332" s="188"/>
      <c r="G5332" s="2122"/>
      <c r="H5332" s="2117"/>
      <c r="I5332" s="2118"/>
      <c r="J5332" s="2126" t="s">
        <v>718</v>
      </c>
      <c r="K5332" s="2124">
        <f>SUM(K5330:K5331)</f>
        <v>4200</v>
      </c>
      <c r="L5332" s="2119"/>
      <c r="M5332" s="2118"/>
      <c r="N5332" s="1707"/>
      <c r="O5332" s="1707"/>
      <c r="P5332" s="1707"/>
    </row>
    <row r="5333" spans="1:16" ht="12.75" hidden="1">
      <c r="A5333" s="2114"/>
      <c r="B5333" s="192"/>
      <c r="C5333" s="568"/>
      <c r="D5333" s="568"/>
      <c r="E5333" s="188"/>
      <c r="F5333" s="188"/>
      <c r="G5333" s="2122"/>
      <c r="H5333" s="2117"/>
      <c r="I5333" s="2118"/>
      <c r="J5333" s="2123"/>
      <c r="K5333" s="2124"/>
      <c r="L5333" s="2119"/>
      <c r="M5333" s="2118"/>
      <c r="N5333" s="1707"/>
      <c r="O5333" s="1707"/>
      <c r="P5333" s="1707"/>
    </row>
    <row r="5334" spans="1:16" ht="12.75" hidden="1">
      <c r="A5334" s="2114"/>
      <c r="B5334" s="192" t="s">
        <v>1216</v>
      </c>
      <c r="C5334" s="568"/>
      <c r="D5334" s="568"/>
      <c r="E5334" s="188"/>
      <c r="F5334" s="188"/>
      <c r="G5334" s="2122"/>
      <c r="H5334" s="2117"/>
      <c r="I5334" s="2118"/>
      <c r="J5334" s="2134"/>
      <c r="K5334" s="2123">
        <f>K5328+K5332+K5333</f>
        <v>25817.83</v>
      </c>
      <c r="L5334" s="2119"/>
      <c r="M5334" s="2118"/>
      <c r="N5334" s="1707"/>
      <c r="O5334" s="1707"/>
      <c r="P5334" s="1707"/>
    </row>
    <row r="5335" spans="1:16" ht="12.75" hidden="1">
      <c r="A5335" s="2114"/>
      <c r="B5335" s="192" t="s">
        <v>1217</v>
      </c>
      <c r="C5335" s="568"/>
      <c r="D5335" s="568"/>
      <c r="E5335" s="188"/>
      <c r="F5335" s="188"/>
      <c r="G5335" s="2161"/>
      <c r="H5335" s="2117"/>
      <c r="I5335" s="2118"/>
      <c r="J5335" s="2123"/>
      <c r="K5335" s="2124">
        <f>ROUND(K5334/19.53,2)</f>
        <v>1321.96</v>
      </c>
      <c r="L5335" s="2119" t="s">
        <v>730</v>
      </c>
      <c r="M5335" s="2118"/>
      <c r="N5335" s="1707"/>
      <c r="O5335" s="1706" t="s">
        <v>548</v>
      </c>
      <c r="P5335" s="1707"/>
    </row>
    <row r="5336" spans="1:16" ht="118.9" hidden="1" customHeight="1">
      <c r="A5336" s="2114">
        <f>A871</f>
        <v>105</v>
      </c>
      <c r="B5336" s="3017" t="str">
        <f>B871</f>
        <v>Providing, Fitting &amp; Fixing of False Ceiling  with 12.5 mm thick Gypsum board,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5336" s="3017"/>
      <c r="D5336" s="3017"/>
      <c r="E5336" s="2116" t="str">
        <f>G871</f>
        <v>Each Sqm</v>
      </c>
      <c r="F5336" s="2116"/>
      <c r="G5336" s="2122"/>
      <c r="H5336" s="568"/>
      <c r="I5336" s="2118"/>
      <c r="J5336" s="2124"/>
      <c r="K5336" s="2124"/>
      <c r="L5336" s="192"/>
      <c r="M5336" s="568"/>
    </row>
    <row r="5337" spans="1:16" ht="12.75" hidden="1">
      <c r="A5337" s="2114"/>
      <c r="B5337" s="192" t="s">
        <v>1209</v>
      </c>
      <c r="C5337" s="568"/>
      <c r="D5337" s="568"/>
      <c r="E5337" s="188"/>
      <c r="F5337" s="188"/>
      <c r="G5337" s="2122"/>
      <c r="H5337" s="2117"/>
      <c r="I5337" s="2118"/>
      <c r="J5337" s="2123"/>
      <c r="K5337" s="2123"/>
      <c r="L5337" s="2119"/>
      <c r="M5337" s="2118"/>
      <c r="N5337" s="1707"/>
      <c r="O5337" s="1707"/>
      <c r="P5337" s="1707"/>
    </row>
    <row r="5338" spans="1:16" ht="12.75" hidden="1">
      <c r="A5338" s="568"/>
      <c r="B5338" s="2148" t="s">
        <v>1210</v>
      </c>
      <c r="C5338" s="1702"/>
      <c r="D5338" s="2151"/>
      <c r="E5338" s="1702"/>
      <c r="F5338" s="1702"/>
      <c r="G5338" s="2134"/>
      <c r="H5338" s="2192"/>
      <c r="I5338" s="2134"/>
      <c r="J5338" s="2126"/>
      <c r="K5338" s="2124"/>
      <c r="L5338" s="192"/>
      <c r="M5338" s="568"/>
    </row>
    <row r="5339" spans="1:16" ht="12.75" hidden="1">
      <c r="A5339" s="568"/>
      <c r="B5339" s="568" t="s">
        <v>1211</v>
      </c>
      <c r="C5339" s="192"/>
      <c r="D5339" s="568"/>
      <c r="E5339" s="188" t="s">
        <v>1039</v>
      </c>
      <c r="F5339" s="188"/>
      <c r="G5339" s="2134">
        <f>ROUND(70.56*0.258,2)</f>
        <v>18.2</v>
      </c>
      <c r="H5339" s="2192" t="s">
        <v>95</v>
      </c>
      <c r="I5339" s="2134"/>
      <c r="J5339" s="2126"/>
      <c r="K5339" s="2124"/>
      <c r="L5339" s="192"/>
      <c r="M5339" s="568"/>
    </row>
    <row r="5340" spans="1:16" ht="12.75" hidden="1">
      <c r="A5340" s="568"/>
      <c r="B5340" s="568" t="s">
        <v>1212</v>
      </c>
      <c r="C5340" s="192"/>
      <c r="D5340" s="568"/>
      <c r="E5340" s="188" t="s">
        <v>1039</v>
      </c>
      <c r="F5340" s="188"/>
      <c r="G5340" s="2200">
        <f>ROUND(17.64*0.233,2)</f>
        <v>4.1100000000000003</v>
      </c>
      <c r="H5340" s="2192" t="s">
        <v>95</v>
      </c>
      <c r="I5340" s="2134"/>
      <c r="J5340" s="2126"/>
      <c r="K5340" s="2124"/>
      <c r="L5340" s="192"/>
      <c r="M5340" s="568"/>
    </row>
    <row r="5341" spans="1:16" ht="12.75" hidden="1">
      <c r="A5341" s="568"/>
      <c r="B5341" s="568"/>
      <c r="C5341" s="192"/>
      <c r="D5341" s="568"/>
      <c r="E5341" s="188"/>
      <c r="F5341" s="188"/>
      <c r="G5341" s="2134">
        <f>SUM(G5339:G5340)</f>
        <v>22.31</v>
      </c>
      <c r="H5341" s="2192" t="s">
        <v>95</v>
      </c>
      <c r="I5341" s="2134"/>
      <c r="J5341" s="2126"/>
      <c r="K5341" s="2124"/>
      <c r="L5341" s="192"/>
      <c r="M5341" s="568"/>
    </row>
    <row r="5342" spans="1:16" ht="12.75" hidden="1">
      <c r="A5342" s="568"/>
      <c r="B5342" s="568"/>
      <c r="C5342" s="192" t="s">
        <v>1071</v>
      </c>
      <c r="D5342" s="568"/>
      <c r="E5342" s="188" t="s">
        <v>1039</v>
      </c>
      <c r="F5342" s="188"/>
      <c r="G5342" s="2200">
        <f>ROUND(G5341*5%,2)</f>
        <v>1.1200000000000001</v>
      </c>
      <c r="H5342" s="2192" t="s">
        <v>95</v>
      </c>
      <c r="I5342" s="2134"/>
      <c r="J5342" s="2126"/>
      <c r="K5342" s="2124"/>
      <c r="L5342" s="192"/>
      <c r="M5342" s="568"/>
    </row>
    <row r="5343" spans="1:16" ht="12.75" hidden="1">
      <c r="A5343" s="568"/>
      <c r="B5343" s="568"/>
      <c r="C5343" s="192"/>
      <c r="D5343" s="568"/>
      <c r="E5343" s="188"/>
      <c r="F5343" s="188"/>
      <c r="G5343" s="2126">
        <f>SUM(G5341:G5342)</f>
        <v>23.43</v>
      </c>
      <c r="H5343" s="2194" t="s">
        <v>95</v>
      </c>
      <c r="I5343" s="2134"/>
      <c r="J5343" s="2126"/>
      <c r="K5343" s="2124"/>
      <c r="L5343" s="192"/>
      <c r="M5343" s="568"/>
    </row>
    <row r="5344" spans="1:16" ht="12.75" hidden="1">
      <c r="A5344" s="2114"/>
      <c r="B5344" s="192" t="s">
        <v>822</v>
      </c>
      <c r="C5344" s="568"/>
      <c r="D5344" s="568"/>
      <c r="E5344" s="188"/>
      <c r="F5344" s="188"/>
      <c r="G5344" s="568"/>
      <c r="H5344" s="2117"/>
      <c r="I5344" s="2118"/>
      <c r="J5344" s="568"/>
      <c r="K5344" s="568"/>
      <c r="L5344" s="2119"/>
      <c r="M5344" s="2118"/>
      <c r="N5344" s="1707"/>
      <c r="O5344" s="1707"/>
      <c r="P5344" s="1707"/>
    </row>
    <row r="5345" spans="1:16" ht="12.75" hidden="1">
      <c r="A5345" s="2114"/>
      <c r="B5345" s="568" t="s">
        <v>1213</v>
      </c>
      <c r="C5345" s="568"/>
      <c r="D5345" s="568"/>
      <c r="E5345" s="188"/>
      <c r="F5345" s="188"/>
      <c r="G5345" s="2122">
        <v>23.43</v>
      </c>
      <c r="H5345" s="2117" t="s">
        <v>284</v>
      </c>
      <c r="I5345" s="2118" t="s">
        <v>95</v>
      </c>
      <c r="J5345" s="2123">
        <v>226</v>
      </c>
      <c r="K5345" s="2123">
        <f t="shared" ref="K5345:K5353" si="295">ROUND(G5345*J5345,2)</f>
        <v>5295.18</v>
      </c>
      <c r="L5345" s="2119"/>
      <c r="M5345" s="2118"/>
      <c r="N5345" s="1707"/>
      <c r="O5345" s="1707"/>
      <c r="P5345" s="1707"/>
    </row>
    <row r="5346" spans="1:16" ht="12.75" hidden="1">
      <c r="A5346" s="2114"/>
      <c r="B5346" s="568" t="s">
        <v>1214</v>
      </c>
      <c r="C5346" s="568"/>
      <c r="D5346" s="568"/>
      <c r="E5346" s="188"/>
      <c r="F5346" s="188"/>
      <c r="G5346" s="2122">
        <v>3.62</v>
      </c>
      <c r="H5346" s="2117" t="s">
        <v>284</v>
      </c>
      <c r="I5346" s="2118" t="s">
        <v>95</v>
      </c>
      <c r="J5346" s="2123">
        <f>J5345</f>
        <v>226</v>
      </c>
      <c r="K5346" s="2123">
        <f t="shared" si="295"/>
        <v>818.12</v>
      </c>
      <c r="L5346" s="2119"/>
      <c r="M5346" s="2118"/>
      <c r="N5346" s="1707"/>
      <c r="O5346" s="1707"/>
      <c r="P5346" s="1707"/>
    </row>
    <row r="5347" spans="1:16" ht="12.75" hidden="1">
      <c r="A5347" s="2114"/>
      <c r="B5347" s="568" t="s">
        <v>1215</v>
      </c>
      <c r="C5347" s="568"/>
      <c r="D5347" s="568"/>
      <c r="E5347" s="188"/>
      <c r="F5347" s="188"/>
      <c r="G5347" s="2206">
        <v>42</v>
      </c>
      <c r="H5347" s="2117" t="s">
        <v>262</v>
      </c>
      <c r="I5347" s="2118" t="s">
        <v>37</v>
      </c>
      <c r="J5347" s="2123">
        <f>G176</f>
        <v>7</v>
      </c>
      <c r="K5347" s="2123">
        <f t="shared" si="295"/>
        <v>294</v>
      </c>
      <c r="L5347" s="2119"/>
      <c r="M5347" s="2118"/>
      <c r="N5347" s="1707"/>
      <c r="O5347" s="1707"/>
      <c r="P5347" s="1707"/>
    </row>
    <row r="5348" spans="1:16" ht="12.75" hidden="1">
      <c r="A5348" s="2114"/>
      <c r="B5348" s="568" t="s">
        <v>282</v>
      </c>
      <c r="C5348" s="568"/>
      <c r="D5348" s="568"/>
      <c r="E5348" s="188"/>
      <c r="F5348" s="188"/>
      <c r="G5348" s="2206">
        <v>42</v>
      </c>
      <c r="H5348" s="2117" t="s">
        <v>262</v>
      </c>
      <c r="I5348" s="2118" t="s">
        <v>37</v>
      </c>
      <c r="J5348" s="2123">
        <f>G187</f>
        <v>5.5</v>
      </c>
      <c r="K5348" s="2123">
        <f t="shared" si="295"/>
        <v>231</v>
      </c>
      <c r="L5348" s="2119"/>
      <c r="M5348" s="2118"/>
      <c r="N5348" s="1707"/>
      <c r="O5348" s="1707"/>
      <c r="P5348" s="1707"/>
    </row>
    <row r="5349" spans="1:16" ht="12.75" hidden="1">
      <c r="A5349" s="2114"/>
      <c r="B5349" s="568" t="s">
        <v>283</v>
      </c>
      <c r="C5349" s="568"/>
      <c r="D5349" s="568"/>
      <c r="E5349" s="188"/>
      <c r="F5349" s="188"/>
      <c r="G5349" s="2122">
        <v>2</v>
      </c>
      <c r="H5349" s="2117" t="s">
        <v>284</v>
      </c>
      <c r="I5349" s="2118" t="s">
        <v>95</v>
      </c>
      <c r="J5349" s="2123">
        <f>G188</f>
        <v>60</v>
      </c>
      <c r="K5349" s="2123">
        <f t="shared" si="295"/>
        <v>120</v>
      </c>
      <c r="L5349" s="2119"/>
      <c r="M5349" s="2118"/>
      <c r="N5349" s="1707"/>
      <c r="O5349" s="1707"/>
      <c r="P5349" s="1707"/>
    </row>
    <row r="5350" spans="1:16" ht="12.75" hidden="1">
      <c r="A5350" s="2114"/>
      <c r="B5350" s="568" t="s">
        <v>1218</v>
      </c>
      <c r="C5350" s="568"/>
      <c r="D5350" s="568"/>
      <c r="E5350" s="188"/>
      <c r="F5350" s="188"/>
      <c r="G5350" s="2122">
        <v>20.59</v>
      </c>
      <c r="H5350" s="2117" t="s">
        <v>92</v>
      </c>
      <c r="I5350" s="2118" t="s">
        <v>92</v>
      </c>
      <c r="J5350" s="2123">
        <f>G190/2.16</f>
        <v>184.25925925925924</v>
      </c>
      <c r="K5350" s="2123">
        <f t="shared" si="295"/>
        <v>3793.9</v>
      </c>
      <c r="L5350" s="2119"/>
      <c r="M5350" s="2118"/>
      <c r="N5350" s="1707"/>
      <c r="O5350" s="1707"/>
      <c r="P5350" s="1707"/>
    </row>
    <row r="5351" spans="1:16" ht="12.75" hidden="1">
      <c r="A5351" s="2114"/>
      <c r="B5351" s="568" t="s">
        <v>286</v>
      </c>
      <c r="C5351" s="568"/>
      <c r="D5351" s="568"/>
      <c r="E5351" s="188"/>
      <c r="F5351" s="188"/>
      <c r="G5351" s="2206">
        <v>50</v>
      </c>
      <c r="H5351" s="2117" t="s">
        <v>262</v>
      </c>
      <c r="I5351" s="2118" t="s">
        <v>37</v>
      </c>
      <c r="J5351" s="2123">
        <f>G189</f>
        <v>0.6</v>
      </c>
      <c r="K5351" s="2123">
        <f t="shared" si="295"/>
        <v>30</v>
      </c>
      <c r="L5351" s="2119"/>
      <c r="M5351" s="2118"/>
      <c r="N5351" s="1707"/>
      <c r="O5351" s="1707"/>
      <c r="P5351" s="1707"/>
    </row>
    <row r="5352" spans="1:16" ht="12.75" hidden="1">
      <c r="A5352" s="2114"/>
      <c r="B5352" s="568" t="s">
        <v>264</v>
      </c>
      <c r="C5352" s="568"/>
      <c r="D5352" s="568"/>
      <c r="E5352" s="188"/>
      <c r="F5352" s="188"/>
      <c r="G5352" s="2206">
        <v>50</v>
      </c>
      <c r="H5352" s="2117" t="s">
        <v>262</v>
      </c>
      <c r="I5352" s="2118" t="s">
        <v>37</v>
      </c>
      <c r="J5352" s="2123">
        <f>M187</f>
        <v>0.875</v>
      </c>
      <c r="K5352" s="2123">
        <f t="shared" si="295"/>
        <v>43.75</v>
      </c>
      <c r="L5352" s="2119"/>
      <c r="M5352" s="2118"/>
      <c r="N5352" s="1707"/>
      <c r="O5352" s="1707"/>
      <c r="P5352" s="1707"/>
    </row>
    <row r="5353" spans="1:16" ht="12.75" hidden="1">
      <c r="A5353" s="2114"/>
      <c r="B5353" s="568" t="s">
        <v>1177</v>
      </c>
      <c r="C5353" s="568"/>
      <c r="D5353" s="568"/>
      <c r="E5353" s="188"/>
      <c r="F5353" s="188"/>
      <c r="G5353" s="2122">
        <v>1.5</v>
      </c>
      <c r="H5353" s="2117" t="s">
        <v>315</v>
      </c>
      <c r="I5353" s="2118" t="s">
        <v>315</v>
      </c>
      <c r="J5353" s="2123">
        <f>M225</f>
        <v>100</v>
      </c>
      <c r="K5353" s="2123">
        <f t="shared" si="295"/>
        <v>150</v>
      </c>
      <c r="L5353" s="2119"/>
      <c r="M5353" s="2118"/>
      <c r="N5353" s="1707"/>
      <c r="O5353" s="1707"/>
      <c r="P5353" s="1707"/>
    </row>
    <row r="5354" spans="1:16" ht="12.75" hidden="1">
      <c r="A5354" s="2114"/>
      <c r="B5354" s="568"/>
      <c r="C5354" s="568"/>
      <c r="D5354" s="568"/>
      <c r="E5354" s="188"/>
      <c r="F5354" s="188"/>
      <c r="G5354" s="2122"/>
      <c r="H5354" s="2117"/>
      <c r="I5354" s="2118"/>
      <c r="J5354" s="2126" t="s">
        <v>718</v>
      </c>
      <c r="K5354" s="2124">
        <f>SUM(K5345:K5353)</f>
        <v>10775.95</v>
      </c>
      <c r="L5354" s="2119"/>
      <c r="M5354" s="2118"/>
      <c r="N5354" s="1707"/>
      <c r="O5354" s="1707"/>
      <c r="P5354" s="1707"/>
    </row>
    <row r="5355" spans="1:16" ht="12.75" hidden="1">
      <c r="A5355" s="2114"/>
      <c r="B5355" s="192" t="s">
        <v>781</v>
      </c>
      <c r="C5355" s="568"/>
      <c r="D5355" s="568"/>
      <c r="E5355" s="188"/>
      <c r="F5355" s="188"/>
      <c r="G5355" s="2122"/>
      <c r="H5355" s="2117"/>
      <c r="I5355" s="2118"/>
      <c r="J5355" s="2123"/>
      <c r="K5355" s="2123"/>
      <c r="L5355" s="2119"/>
      <c r="M5355" s="2118"/>
      <c r="N5355" s="1707"/>
      <c r="O5355" s="1707"/>
      <c r="P5355" s="1707"/>
    </row>
    <row r="5356" spans="1:16" ht="12.75" hidden="1">
      <c r="A5356" s="2114"/>
      <c r="B5356" s="568" t="s">
        <v>1047</v>
      </c>
      <c r="C5356" s="568"/>
      <c r="D5356" s="568"/>
      <c r="E5356" s="188"/>
      <c r="F5356" s="188"/>
      <c r="G5356" s="2122">
        <v>5</v>
      </c>
      <c r="H5356" s="2117" t="s">
        <v>262</v>
      </c>
      <c r="I5356" s="2118" t="s">
        <v>38</v>
      </c>
      <c r="J5356" s="2123">
        <f>L137</f>
        <v>495</v>
      </c>
      <c r="K5356" s="2123">
        <f>ROUND(G5356*J5356,2)</f>
        <v>2475</v>
      </c>
      <c r="L5356" s="2119"/>
      <c r="M5356" s="2118"/>
      <c r="N5356" s="1707"/>
      <c r="O5356" s="1707"/>
      <c r="P5356" s="1707"/>
    </row>
    <row r="5357" spans="1:16" ht="12.75" hidden="1">
      <c r="A5357" s="2114"/>
      <c r="B5357" s="568" t="s">
        <v>717</v>
      </c>
      <c r="C5357" s="568"/>
      <c r="D5357" s="568"/>
      <c r="E5357" s="188"/>
      <c r="F5357" s="188"/>
      <c r="G5357" s="2122">
        <v>5</v>
      </c>
      <c r="H5357" s="2117" t="s">
        <v>262</v>
      </c>
      <c r="I5357" s="2118" t="s">
        <v>38</v>
      </c>
      <c r="J5357" s="2123">
        <f>L134</f>
        <v>345</v>
      </c>
      <c r="K5357" s="2123">
        <f>ROUND(G5357*J5357,2)</f>
        <v>1725</v>
      </c>
      <c r="L5357" s="2119"/>
      <c r="M5357" s="2118"/>
      <c r="N5357" s="1707"/>
      <c r="O5357" s="1707"/>
      <c r="P5357" s="1707"/>
    </row>
    <row r="5358" spans="1:16" ht="12.75" hidden="1">
      <c r="A5358" s="2114"/>
      <c r="B5358" s="568"/>
      <c r="C5358" s="568"/>
      <c r="D5358" s="568"/>
      <c r="E5358" s="188"/>
      <c r="F5358" s="188"/>
      <c r="G5358" s="2122"/>
      <c r="H5358" s="2117"/>
      <c r="I5358" s="2118"/>
      <c r="J5358" s="2126" t="s">
        <v>718</v>
      </c>
      <c r="K5358" s="2124">
        <f>SUM(K5356:K5357)</f>
        <v>4200</v>
      </c>
      <c r="L5358" s="2119"/>
      <c r="M5358" s="2118"/>
      <c r="N5358" s="1707"/>
      <c r="O5358" s="1707"/>
      <c r="P5358" s="1707"/>
    </row>
    <row r="5359" spans="1:16" ht="12.75" hidden="1">
      <c r="A5359" s="2114"/>
      <c r="B5359" s="192"/>
      <c r="C5359" s="568"/>
      <c r="D5359" s="568"/>
      <c r="E5359" s="188"/>
      <c r="F5359" s="188"/>
      <c r="G5359" s="2122"/>
      <c r="H5359" s="2117"/>
      <c r="I5359" s="2118"/>
      <c r="J5359" s="2123"/>
      <c r="K5359" s="2124"/>
      <c r="L5359" s="2119"/>
      <c r="M5359" s="2118"/>
      <c r="N5359" s="1707"/>
      <c r="O5359" s="1707"/>
      <c r="P5359" s="1707"/>
    </row>
    <row r="5360" spans="1:16" ht="12.75" hidden="1">
      <c r="A5360" s="2114"/>
      <c r="B5360" s="192" t="s">
        <v>1216</v>
      </c>
      <c r="C5360" s="568"/>
      <c r="D5360" s="568"/>
      <c r="E5360" s="188"/>
      <c r="F5360" s="188"/>
      <c r="G5360" s="2122"/>
      <c r="H5360" s="2117"/>
      <c r="I5360" s="2118"/>
      <c r="J5360" s="2134"/>
      <c r="K5360" s="2123">
        <f>K5354+K5358+K5359</f>
        <v>14975.95</v>
      </c>
      <c r="L5360" s="2119"/>
      <c r="M5360" s="2118"/>
      <c r="N5360" s="1707"/>
      <c r="O5360" s="1707"/>
      <c r="P5360" s="1707"/>
    </row>
    <row r="5361" spans="1:16" ht="12.75" hidden="1">
      <c r="A5361" s="2114"/>
      <c r="B5361" s="192" t="s">
        <v>1217</v>
      </c>
      <c r="C5361" s="568"/>
      <c r="D5361" s="568"/>
      <c r="E5361" s="188"/>
      <c r="F5361" s="188"/>
      <c r="G5361" s="2161"/>
      <c r="H5361" s="2117"/>
      <c r="I5361" s="2118"/>
      <c r="J5361" s="2123"/>
      <c r="K5361" s="2124">
        <f>ROUND(K5360/19.53,2)</f>
        <v>766.82</v>
      </c>
      <c r="L5361" s="2119" t="s">
        <v>730</v>
      </c>
      <c r="M5361" s="2118"/>
      <c r="N5361" s="1707"/>
      <c r="O5361" s="1706" t="s">
        <v>550</v>
      </c>
      <c r="P5361" s="1707"/>
    </row>
    <row r="5362" spans="1:16" ht="129.6" hidden="1" customHeight="1">
      <c r="A5362" s="2114">
        <f>A872</f>
        <v>106</v>
      </c>
      <c r="B5362" s="3017" t="str">
        <f>B872</f>
        <v>Providing, Fitting &amp; Fixing of False Ceiling  with 12 mm thick pre-laminated Novapan board,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5362" s="3017"/>
      <c r="D5362" s="3017"/>
      <c r="E5362" s="2116" t="str">
        <f>G902</f>
        <v>Each Sqm</v>
      </c>
      <c r="F5362" s="2116"/>
      <c r="G5362" s="2122"/>
      <c r="H5362" s="568"/>
      <c r="I5362" s="2118"/>
      <c r="J5362" s="2124"/>
      <c r="K5362" s="2124"/>
      <c r="L5362" s="192"/>
      <c r="M5362" s="568"/>
    </row>
    <row r="5363" spans="1:16" ht="12.75" hidden="1">
      <c r="A5363" s="2114"/>
      <c r="B5363" s="192" t="s">
        <v>1209</v>
      </c>
      <c r="C5363" s="568"/>
      <c r="D5363" s="568"/>
      <c r="E5363" s="188"/>
      <c r="F5363" s="188"/>
      <c r="G5363" s="2122"/>
      <c r="H5363" s="2117"/>
      <c r="I5363" s="2118"/>
      <c r="J5363" s="2123"/>
      <c r="K5363" s="2123"/>
      <c r="L5363" s="2119"/>
      <c r="M5363" s="2118"/>
      <c r="N5363" s="1707"/>
      <c r="O5363" s="1707"/>
      <c r="P5363" s="1707"/>
    </row>
    <row r="5364" spans="1:16" ht="12.75" hidden="1">
      <c r="A5364" s="568"/>
      <c r="B5364" s="2148" t="s">
        <v>1210</v>
      </c>
      <c r="C5364" s="1702"/>
      <c r="D5364" s="2151"/>
      <c r="E5364" s="1702"/>
      <c r="F5364" s="1702"/>
      <c r="G5364" s="2134"/>
      <c r="H5364" s="2192"/>
      <c r="I5364" s="2134"/>
      <c r="J5364" s="2126"/>
      <c r="K5364" s="2124"/>
      <c r="L5364" s="192"/>
      <c r="M5364" s="568"/>
    </row>
    <row r="5365" spans="1:16" ht="12.75" hidden="1">
      <c r="A5365" s="568"/>
      <c r="B5365" s="568" t="s">
        <v>1211</v>
      </c>
      <c r="C5365" s="192"/>
      <c r="D5365" s="568"/>
      <c r="E5365" s="188" t="s">
        <v>1039</v>
      </c>
      <c r="F5365" s="188"/>
      <c r="G5365" s="2134">
        <f>ROUND(70.56*0.258,2)</f>
        <v>18.2</v>
      </c>
      <c r="H5365" s="2192" t="s">
        <v>95</v>
      </c>
      <c r="I5365" s="2134"/>
      <c r="J5365" s="2126"/>
      <c r="K5365" s="2124"/>
      <c r="L5365" s="192"/>
      <c r="M5365" s="568"/>
    </row>
    <row r="5366" spans="1:16" ht="12.75" hidden="1">
      <c r="A5366" s="568"/>
      <c r="B5366" s="568" t="s">
        <v>1212</v>
      </c>
      <c r="C5366" s="192"/>
      <c r="D5366" s="568"/>
      <c r="E5366" s="188" t="s">
        <v>1039</v>
      </c>
      <c r="F5366" s="188"/>
      <c r="G5366" s="2200">
        <f>ROUND(17.64*0.233,2)</f>
        <v>4.1100000000000003</v>
      </c>
      <c r="H5366" s="2192" t="s">
        <v>95</v>
      </c>
      <c r="I5366" s="2134"/>
      <c r="J5366" s="2126"/>
      <c r="K5366" s="2124"/>
      <c r="L5366" s="192"/>
      <c r="M5366" s="568"/>
    </row>
    <row r="5367" spans="1:16" ht="12.75" hidden="1">
      <c r="A5367" s="568"/>
      <c r="B5367" s="568"/>
      <c r="C5367" s="192"/>
      <c r="D5367" s="568"/>
      <c r="E5367" s="188"/>
      <c r="F5367" s="188"/>
      <c r="G5367" s="2134">
        <f>SUM(G5365:G5366)</f>
        <v>22.31</v>
      </c>
      <c r="H5367" s="2192" t="s">
        <v>95</v>
      </c>
      <c r="I5367" s="2134"/>
      <c r="J5367" s="2126"/>
      <c r="K5367" s="2124"/>
      <c r="L5367" s="192"/>
      <c r="M5367" s="568"/>
    </row>
    <row r="5368" spans="1:16" ht="12.75" hidden="1">
      <c r="A5368" s="568"/>
      <c r="B5368" s="568"/>
      <c r="C5368" s="192" t="s">
        <v>1071</v>
      </c>
      <c r="D5368" s="568"/>
      <c r="E5368" s="188" t="s">
        <v>1039</v>
      </c>
      <c r="F5368" s="188"/>
      <c r="G5368" s="2200">
        <f>ROUND(G5367*5%,2)</f>
        <v>1.1200000000000001</v>
      </c>
      <c r="H5368" s="2192" t="s">
        <v>95</v>
      </c>
      <c r="I5368" s="2134"/>
      <c r="J5368" s="2126"/>
      <c r="K5368" s="2124"/>
      <c r="L5368" s="192"/>
      <c r="M5368" s="568"/>
    </row>
    <row r="5369" spans="1:16" ht="12.75" hidden="1">
      <c r="A5369" s="568"/>
      <c r="B5369" s="568"/>
      <c r="C5369" s="192"/>
      <c r="D5369" s="568"/>
      <c r="E5369" s="188"/>
      <c r="F5369" s="188"/>
      <c r="G5369" s="2126">
        <f>SUM(G5367:G5368)</f>
        <v>23.43</v>
      </c>
      <c r="H5369" s="2194" t="s">
        <v>95</v>
      </c>
      <c r="I5369" s="2134"/>
      <c r="J5369" s="2126"/>
      <c r="K5369" s="2124"/>
      <c r="L5369" s="192"/>
      <c r="M5369" s="568"/>
    </row>
    <row r="5370" spans="1:16" ht="12.75" hidden="1">
      <c r="A5370" s="2114"/>
      <c r="B5370" s="192" t="s">
        <v>822</v>
      </c>
      <c r="C5370" s="568"/>
      <c r="D5370" s="568"/>
      <c r="E5370" s="188"/>
      <c r="F5370" s="188"/>
      <c r="G5370" s="568"/>
      <c r="H5370" s="2117"/>
      <c r="I5370" s="2118"/>
      <c r="J5370" s="568"/>
      <c r="K5370" s="568"/>
      <c r="L5370" s="2119"/>
      <c r="M5370" s="2118"/>
      <c r="N5370" s="1707"/>
      <c r="O5370" s="1707"/>
      <c r="P5370" s="1707"/>
    </row>
    <row r="5371" spans="1:16" ht="12.75" hidden="1">
      <c r="A5371" s="2114"/>
      <c r="B5371" s="568" t="s">
        <v>1213</v>
      </c>
      <c r="C5371" s="568"/>
      <c r="D5371" s="568"/>
      <c r="E5371" s="188"/>
      <c r="F5371" s="188"/>
      <c r="G5371" s="2122">
        <v>23.43</v>
      </c>
      <c r="H5371" s="2117" t="s">
        <v>284</v>
      </c>
      <c r="I5371" s="2118" t="s">
        <v>95</v>
      </c>
      <c r="J5371" s="2123">
        <v>226</v>
      </c>
      <c r="K5371" s="2123">
        <f t="shared" ref="K5371:K5379" si="296">ROUND(G5371*J5371,2)</f>
        <v>5295.18</v>
      </c>
      <c r="L5371" s="2119"/>
      <c r="M5371" s="2118"/>
      <c r="N5371" s="1707"/>
      <c r="O5371" s="1707"/>
      <c r="P5371" s="1707"/>
    </row>
    <row r="5372" spans="1:16" ht="12.75" hidden="1">
      <c r="A5372" s="2114"/>
      <c r="B5372" s="2207" t="s">
        <v>1214</v>
      </c>
      <c r="C5372" s="2207"/>
      <c r="D5372" s="2207"/>
      <c r="E5372" s="2208"/>
      <c r="F5372" s="2208"/>
      <c r="G5372" s="2209"/>
      <c r="H5372" s="2210" t="s">
        <v>284</v>
      </c>
      <c r="I5372" s="2211" t="s">
        <v>95</v>
      </c>
      <c r="J5372" s="2184">
        <f>J5371</f>
        <v>226</v>
      </c>
      <c r="K5372" s="2184">
        <f t="shared" si="296"/>
        <v>0</v>
      </c>
      <c r="L5372" s="2119"/>
      <c r="M5372" s="2118"/>
      <c r="N5372" s="1707"/>
      <c r="O5372" s="1707"/>
      <c r="P5372" s="1707"/>
    </row>
    <row r="5373" spans="1:16" ht="12.75" hidden="1">
      <c r="A5373" s="2114"/>
      <c r="B5373" s="568" t="s">
        <v>1215</v>
      </c>
      <c r="C5373" s="568"/>
      <c r="D5373" s="568"/>
      <c r="E5373" s="188"/>
      <c r="F5373" s="188"/>
      <c r="G5373" s="2206">
        <v>42</v>
      </c>
      <c r="H5373" s="2117" t="s">
        <v>262</v>
      </c>
      <c r="I5373" s="2118" t="s">
        <v>37</v>
      </c>
      <c r="J5373" s="2123">
        <f>G176</f>
        <v>7</v>
      </c>
      <c r="K5373" s="2123">
        <f t="shared" si="296"/>
        <v>294</v>
      </c>
      <c r="L5373" s="2119"/>
      <c r="M5373" s="2118"/>
      <c r="N5373" s="1707"/>
      <c r="O5373" s="1707"/>
      <c r="P5373" s="1707"/>
    </row>
    <row r="5374" spans="1:16" ht="12.75" hidden="1">
      <c r="A5374" s="2114"/>
      <c r="B5374" s="568" t="s">
        <v>282</v>
      </c>
      <c r="C5374" s="568"/>
      <c r="D5374" s="568"/>
      <c r="E5374" s="188"/>
      <c r="F5374" s="188"/>
      <c r="G5374" s="2206">
        <v>42</v>
      </c>
      <c r="H5374" s="2117" t="s">
        <v>262</v>
      </c>
      <c r="I5374" s="2118" t="s">
        <v>37</v>
      </c>
      <c r="J5374" s="2123">
        <f>G187</f>
        <v>5.5</v>
      </c>
      <c r="K5374" s="2123">
        <f t="shared" si="296"/>
        <v>231</v>
      </c>
      <c r="L5374" s="2119"/>
      <c r="M5374" s="2118"/>
      <c r="N5374" s="1707"/>
      <c r="O5374" s="1707"/>
      <c r="P5374" s="1707"/>
    </row>
    <row r="5375" spans="1:16" ht="12.75" hidden="1">
      <c r="A5375" s="2114"/>
      <c r="B5375" s="568" t="s">
        <v>283</v>
      </c>
      <c r="C5375" s="568"/>
      <c r="D5375" s="568"/>
      <c r="E5375" s="188"/>
      <c r="F5375" s="188"/>
      <c r="G5375" s="2122">
        <v>2</v>
      </c>
      <c r="H5375" s="2117" t="s">
        <v>284</v>
      </c>
      <c r="I5375" s="2118" t="s">
        <v>95</v>
      </c>
      <c r="J5375" s="2123">
        <f>G188</f>
        <v>60</v>
      </c>
      <c r="K5375" s="2123">
        <f t="shared" si="296"/>
        <v>120</v>
      </c>
      <c r="L5375" s="2119"/>
      <c r="M5375" s="2118"/>
      <c r="N5375" s="1707"/>
      <c r="O5375" s="1707"/>
      <c r="P5375" s="1707"/>
    </row>
    <row r="5376" spans="1:16" ht="12.75" hidden="1">
      <c r="A5376" s="2114"/>
      <c r="B5376" s="568" t="s">
        <v>257</v>
      </c>
      <c r="C5376" s="568"/>
      <c r="D5376" s="568"/>
      <c r="E5376" s="188"/>
      <c r="F5376" s="188"/>
      <c r="G5376" s="2122">
        <v>20.59</v>
      </c>
      <c r="H5376" s="2117" t="s">
        <v>92</v>
      </c>
      <c r="I5376" s="2118" t="s">
        <v>92</v>
      </c>
      <c r="J5376" s="2123">
        <f>G175</f>
        <v>710.82</v>
      </c>
      <c r="K5376" s="2123">
        <f t="shared" si="296"/>
        <v>14635.78</v>
      </c>
      <c r="L5376" s="2119"/>
      <c r="M5376" s="2118"/>
      <c r="N5376" s="1707"/>
      <c r="O5376" s="1707"/>
      <c r="P5376" s="1707"/>
    </row>
    <row r="5377" spans="1:16" ht="12.75" hidden="1">
      <c r="A5377" s="2114"/>
      <c r="B5377" s="568" t="s">
        <v>286</v>
      </c>
      <c r="C5377" s="568"/>
      <c r="D5377" s="568"/>
      <c r="E5377" s="188"/>
      <c r="F5377" s="188"/>
      <c r="G5377" s="2206">
        <v>50</v>
      </c>
      <c r="H5377" s="2117" t="s">
        <v>262</v>
      </c>
      <c r="I5377" s="2118" t="s">
        <v>37</v>
      </c>
      <c r="J5377" s="2123">
        <f>G189</f>
        <v>0.6</v>
      </c>
      <c r="K5377" s="2123">
        <f t="shared" si="296"/>
        <v>30</v>
      </c>
      <c r="L5377" s="2119"/>
      <c r="M5377" s="2118"/>
      <c r="N5377" s="1707"/>
      <c r="O5377" s="1707"/>
      <c r="P5377" s="1707"/>
    </row>
    <row r="5378" spans="1:16" ht="12.75" hidden="1">
      <c r="A5378" s="2114"/>
      <c r="B5378" s="568" t="s">
        <v>264</v>
      </c>
      <c r="C5378" s="568"/>
      <c r="D5378" s="568"/>
      <c r="E5378" s="188"/>
      <c r="F5378" s="188"/>
      <c r="G5378" s="2206">
        <v>50</v>
      </c>
      <c r="H5378" s="2117" t="s">
        <v>262</v>
      </c>
      <c r="I5378" s="2118" t="s">
        <v>37</v>
      </c>
      <c r="J5378" s="2123">
        <f>M187</f>
        <v>0.875</v>
      </c>
      <c r="K5378" s="2123">
        <f t="shared" si="296"/>
        <v>43.75</v>
      </c>
      <c r="L5378" s="2119"/>
      <c r="M5378" s="2118"/>
      <c r="N5378" s="1707"/>
      <c r="O5378" s="1707"/>
      <c r="P5378" s="1707"/>
    </row>
    <row r="5379" spans="1:16" ht="12.75" hidden="1">
      <c r="A5379" s="2114"/>
      <c r="B5379" s="568" t="s">
        <v>1177</v>
      </c>
      <c r="C5379" s="568"/>
      <c r="D5379" s="568"/>
      <c r="E5379" s="188"/>
      <c r="F5379" s="188"/>
      <c r="G5379" s="2122">
        <v>1.5</v>
      </c>
      <c r="H5379" s="2117" t="s">
        <v>315</v>
      </c>
      <c r="I5379" s="2118" t="s">
        <v>315</v>
      </c>
      <c r="J5379" s="2123">
        <f>M225</f>
        <v>100</v>
      </c>
      <c r="K5379" s="2123">
        <f t="shared" si="296"/>
        <v>150</v>
      </c>
      <c r="L5379" s="2119"/>
      <c r="M5379" s="2118"/>
      <c r="N5379" s="1707"/>
      <c r="O5379" s="1707"/>
      <c r="P5379" s="1707"/>
    </row>
    <row r="5380" spans="1:16" ht="12.75" hidden="1">
      <c r="A5380" s="2114"/>
      <c r="B5380" s="568"/>
      <c r="C5380" s="568"/>
      <c r="D5380" s="568"/>
      <c r="E5380" s="188"/>
      <c r="F5380" s="188"/>
      <c r="G5380" s="2122"/>
      <c r="H5380" s="2117"/>
      <c r="I5380" s="2118"/>
      <c r="J5380" s="2126" t="s">
        <v>718</v>
      </c>
      <c r="K5380" s="2124">
        <f>SUM(K5371:K5379)</f>
        <v>20799.71</v>
      </c>
      <c r="L5380" s="2119"/>
      <c r="M5380" s="2118"/>
      <c r="N5380" s="1707"/>
      <c r="O5380" s="1707"/>
      <c r="P5380" s="1707"/>
    </row>
    <row r="5381" spans="1:16" ht="12.75" hidden="1">
      <c r="A5381" s="2114"/>
      <c r="B5381" s="192" t="s">
        <v>781</v>
      </c>
      <c r="C5381" s="568"/>
      <c r="D5381" s="568"/>
      <c r="E5381" s="188"/>
      <c r="F5381" s="188"/>
      <c r="G5381" s="2122"/>
      <c r="H5381" s="2117"/>
      <c r="I5381" s="2118"/>
      <c r="J5381" s="2123"/>
      <c r="K5381" s="2123"/>
      <c r="L5381" s="2119"/>
      <c r="M5381" s="2118"/>
      <c r="N5381" s="1707"/>
      <c r="O5381" s="1707"/>
      <c r="P5381" s="1707"/>
    </row>
    <row r="5382" spans="1:16" ht="12.75" hidden="1">
      <c r="A5382" s="2114"/>
      <c r="B5382" s="568" t="s">
        <v>1047</v>
      </c>
      <c r="C5382" s="568"/>
      <c r="D5382" s="568"/>
      <c r="E5382" s="188"/>
      <c r="F5382" s="188"/>
      <c r="G5382" s="2122">
        <v>5</v>
      </c>
      <c r="H5382" s="2117" t="s">
        <v>262</v>
      </c>
      <c r="I5382" s="2118" t="s">
        <v>38</v>
      </c>
      <c r="J5382" s="2123">
        <f>L137</f>
        <v>495</v>
      </c>
      <c r="K5382" s="2123">
        <f>ROUND(G5382*J5382,2)</f>
        <v>2475</v>
      </c>
      <c r="L5382" s="2119"/>
      <c r="M5382" s="2118"/>
      <c r="N5382" s="1707"/>
      <c r="O5382" s="1707"/>
      <c r="P5382" s="1707"/>
    </row>
    <row r="5383" spans="1:16" ht="12.75" hidden="1">
      <c r="A5383" s="2114"/>
      <c r="B5383" s="568" t="s">
        <v>717</v>
      </c>
      <c r="C5383" s="568"/>
      <c r="D5383" s="568"/>
      <c r="E5383" s="188"/>
      <c r="F5383" s="188"/>
      <c r="G5383" s="2122">
        <v>5</v>
      </c>
      <c r="H5383" s="2117" t="s">
        <v>262</v>
      </c>
      <c r="I5383" s="2118" t="s">
        <v>38</v>
      </c>
      <c r="J5383" s="2123">
        <f>L134</f>
        <v>345</v>
      </c>
      <c r="K5383" s="2123">
        <f>ROUND(G5383*J5383,2)</f>
        <v>1725</v>
      </c>
      <c r="L5383" s="2119"/>
      <c r="M5383" s="2118"/>
      <c r="N5383" s="1707"/>
      <c r="O5383" s="1707"/>
      <c r="P5383" s="1707"/>
    </row>
    <row r="5384" spans="1:16" ht="12.75" hidden="1">
      <c r="A5384" s="2114"/>
      <c r="B5384" s="568"/>
      <c r="C5384" s="568"/>
      <c r="D5384" s="568"/>
      <c r="E5384" s="188"/>
      <c r="F5384" s="188"/>
      <c r="G5384" s="2122"/>
      <c r="H5384" s="2117"/>
      <c r="I5384" s="2118"/>
      <c r="J5384" s="2126" t="s">
        <v>718</v>
      </c>
      <c r="K5384" s="2124">
        <f>SUM(K5382:K5383)</f>
        <v>4200</v>
      </c>
      <c r="L5384" s="2119"/>
      <c r="M5384" s="2118"/>
      <c r="N5384" s="1707"/>
      <c r="O5384" s="1707"/>
      <c r="P5384" s="1707"/>
    </row>
    <row r="5385" spans="1:16" ht="12.75" hidden="1">
      <c r="A5385" s="2114"/>
      <c r="B5385" s="192"/>
      <c r="C5385" s="568"/>
      <c r="D5385" s="568"/>
      <c r="E5385" s="188"/>
      <c r="F5385" s="188"/>
      <c r="G5385" s="2122"/>
      <c r="H5385" s="2117"/>
      <c r="I5385" s="2118"/>
      <c r="J5385" s="2123"/>
      <c r="K5385" s="2124"/>
      <c r="L5385" s="2119"/>
      <c r="M5385" s="2118"/>
      <c r="N5385" s="1707"/>
      <c r="O5385" s="1707"/>
      <c r="P5385" s="1707"/>
    </row>
    <row r="5386" spans="1:16" ht="12.75" hidden="1">
      <c r="A5386" s="2114"/>
      <c r="B5386" s="192" t="s">
        <v>1216</v>
      </c>
      <c r="C5386" s="568"/>
      <c r="D5386" s="568"/>
      <c r="E5386" s="188"/>
      <c r="F5386" s="188"/>
      <c r="G5386" s="2122"/>
      <c r="H5386" s="2117"/>
      <c r="I5386" s="2118"/>
      <c r="J5386" s="2134"/>
      <c r="K5386" s="2123">
        <f>K5380+K5384+K5385</f>
        <v>24999.71</v>
      </c>
      <c r="L5386" s="2119"/>
      <c r="M5386" s="2118"/>
      <c r="N5386" s="1707"/>
      <c r="O5386" s="1707"/>
      <c r="P5386" s="1707"/>
    </row>
    <row r="5387" spans="1:16" ht="12.75" hidden="1">
      <c r="A5387" s="2114"/>
      <c r="B5387" s="192" t="s">
        <v>1217</v>
      </c>
      <c r="C5387" s="568"/>
      <c r="D5387" s="568"/>
      <c r="E5387" s="188"/>
      <c r="F5387" s="188"/>
      <c r="G5387" s="2161"/>
      <c r="H5387" s="2117"/>
      <c r="I5387" s="2118"/>
      <c r="J5387" s="2123"/>
      <c r="K5387" s="2124">
        <f>ROUND(K5386/19.53,2)</f>
        <v>1280.07</v>
      </c>
      <c r="L5387" s="2119" t="s">
        <v>730</v>
      </c>
      <c r="M5387" s="2118"/>
      <c r="N5387" s="1707"/>
      <c r="O5387" s="1706" t="s">
        <v>551</v>
      </c>
      <c r="P5387" s="1707"/>
    </row>
    <row r="5388" spans="1:16" ht="115.15" hidden="1" customHeight="1">
      <c r="A5388" s="2114">
        <f>A873</f>
        <v>107</v>
      </c>
      <c r="B5388" s="3017" t="str">
        <f>B873</f>
        <v>Providing, Fitting &amp; Fixing of False Ceiling  with 12.5 mm thick Gypsum board,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5388" s="3017"/>
      <c r="D5388" s="3017"/>
      <c r="E5388" s="2116" t="str">
        <f>G930</f>
        <v>Each Sqm</v>
      </c>
      <c r="F5388" s="2116"/>
      <c r="G5388" s="2122"/>
      <c r="H5388" s="568"/>
      <c r="I5388" s="2118"/>
      <c r="J5388" s="2124"/>
      <c r="K5388" s="2124"/>
      <c r="L5388" s="192"/>
      <c r="M5388" s="568"/>
    </row>
    <row r="5389" spans="1:16" ht="12.75" hidden="1">
      <c r="A5389" s="2114"/>
      <c r="B5389" s="192" t="s">
        <v>1209</v>
      </c>
      <c r="C5389" s="568"/>
      <c r="D5389" s="568"/>
      <c r="E5389" s="188"/>
      <c r="F5389" s="188"/>
      <c r="G5389" s="2122"/>
      <c r="H5389" s="2117"/>
      <c r="I5389" s="2118"/>
      <c r="J5389" s="2123"/>
      <c r="K5389" s="2123"/>
      <c r="L5389" s="2119"/>
      <c r="M5389" s="2118"/>
      <c r="N5389" s="1707"/>
      <c r="O5389" s="1707"/>
      <c r="P5389" s="1707"/>
    </row>
    <row r="5390" spans="1:16" ht="12.75" hidden="1">
      <c r="A5390" s="568"/>
      <c r="B5390" s="2148" t="s">
        <v>1210</v>
      </c>
      <c r="C5390" s="1702"/>
      <c r="D5390" s="2151"/>
      <c r="E5390" s="1702"/>
      <c r="F5390" s="1702"/>
      <c r="G5390" s="2134"/>
      <c r="H5390" s="2192"/>
      <c r="I5390" s="2134"/>
      <c r="J5390" s="2126"/>
      <c r="K5390" s="2124"/>
      <c r="L5390" s="192"/>
      <c r="M5390" s="568"/>
    </row>
    <row r="5391" spans="1:16" ht="12.75" hidden="1">
      <c r="A5391" s="568"/>
      <c r="B5391" s="568" t="s">
        <v>1211</v>
      </c>
      <c r="C5391" s="192"/>
      <c r="D5391" s="568"/>
      <c r="E5391" s="188" t="s">
        <v>1039</v>
      </c>
      <c r="F5391" s="188"/>
      <c r="G5391" s="2134">
        <f>ROUND(70.56*0.258,2)</f>
        <v>18.2</v>
      </c>
      <c r="H5391" s="2192" t="s">
        <v>95</v>
      </c>
      <c r="I5391" s="2134"/>
      <c r="J5391" s="2126"/>
      <c r="K5391" s="2124"/>
      <c r="L5391" s="192"/>
      <c r="M5391" s="568"/>
    </row>
    <row r="5392" spans="1:16" ht="12.75" hidden="1">
      <c r="A5392" s="568"/>
      <c r="B5392" s="568" t="s">
        <v>1212</v>
      </c>
      <c r="C5392" s="192"/>
      <c r="D5392" s="568"/>
      <c r="E5392" s="188" t="s">
        <v>1039</v>
      </c>
      <c r="F5392" s="188"/>
      <c r="G5392" s="2200">
        <f>ROUND(17.64*0.233,2)</f>
        <v>4.1100000000000003</v>
      </c>
      <c r="H5392" s="2192" t="s">
        <v>95</v>
      </c>
      <c r="I5392" s="2134"/>
      <c r="J5392" s="2126"/>
      <c r="K5392" s="2124"/>
      <c r="L5392" s="192"/>
      <c r="M5392" s="568"/>
    </row>
    <row r="5393" spans="1:16" ht="12.75" hidden="1">
      <c r="A5393" s="568"/>
      <c r="B5393" s="568"/>
      <c r="C5393" s="192"/>
      <c r="D5393" s="568"/>
      <c r="E5393" s="188"/>
      <c r="F5393" s="188"/>
      <c r="G5393" s="2134">
        <f>SUM(G5391:G5392)</f>
        <v>22.31</v>
      </c>
      <c r="H5393" s="2192" t="s">
        <v>95</v>
      </c>
      <c r="I5393" s="2134"/>
      <c r="J5393" s="2126"/>
      <c r="K5393" s="2124"/>
      <c r="L5393" s="192"/>
      <c r="M5393" s="568"/>
    </row>
    <row r="5394" spans="1:16" ht="12.75" hidden="1">
      <c r="A5394" s="568"/>
      <c r="B5394" s="568"/>
      <c r="C5394" s="192" t="s">
        <v>1071</v>
      </c>
      <c r="D5394" s="568"/>
      <c r="E5394" s="188" t="s">
        <v>1039</v>
      </c>
      <c r="F5394" s="188"/>
      <c r="G5394" s="2200">
        <f>ROUND(G5393*5%,2)</f>
        <v>1.1200000000000001</v>
      </c>
      <c r="H5394" s="2192" t="s">
        <v>95</v>
      </c>
      <c r="I5394" s="2134"/>
      <c r="J5394" s="2126"/>
      <c r="K5394" s="2124"/>
      <c r="L5394" s="192"/>
      <c r="M5394" s="568"/>
    </row>
    <row r="5395" spans="1:16" ht="12.75" hidden="1">
      <c r="A5395" s="568"/>
      <c r="B5395" s="568"/>
      <c r="C5395" s="192"/>
      <c r="D5395" s="568"/>
      <c r="E5395" s="188"/>
      <c r="F5395" s="188"/>
      <c r="G5395" s="2126">
        <f>SUM(G5393:G5394)</f>
        <v>23.43</v>
      </c>
      <c r="H5395" s="2194" t="s">
        <v>95</v>
      </c>
      <c r="I5395" s="2134"/>
      <c r="J5395" s="2126"/>
      <c r="K5395" s="2124"/>
      <c r="L5395" s="192"/>
      <c r="M5395" s="568"/>
    </row>
    <row r="5396" spans="1:16" ht="12.75" hidden="1">
      <c r="A5396" s="2114"/>
      <c r="B5396" s="192" t="s">
        <v>822</v>
      </c>
      <c r="C5396" s="568"/>
      <c r="D5396" s="568"/>
      <c r="E5396" s="188"/>
      <c r="F5396" s="188"/>
      <c r="G5396" s="568"/>
      <c r="H5396" s="2117"/>
      <c r="I5396" s="2118"/>
      <c r="J5396" s="568"/>
      <c r="K5396" s="568"/>
      <c r="L5396" s="2119"/>
      <c r="M5396" s="2118"/>
      <c r="N5396" s="1707"/>
      <c r="O5396" s="1707"/>
      <c r="P5396" s="1707"/>
    </row>
    <row r="5397" spans="1:16" ht="12.75" hidden="1">
      <c r="A5397" s="2114"/>
      <c r="B5397" s="568" t="s">
        <v>1213</v>
      </c>
      <c r="C5397" s="568"/>
      <c r="D5397" s="568"/>
      <c r="E5397" s="188"/>
      <c r="F5397" s="188"/>
      <c r="G5397" s="2122">
        <v>23.43</v>
      </c>
      <c r="H5397" s="2117" t="s">
        <v>284</v>
      </c>
      <c r="I5397" s="2118" t="s">
        <v>95</v>
      </c>
      <c r="J5397" s="2123">
        <v>262</v>
      </c>
      <c r="K5397" s="2123">
        <f t="shared" ref="K5397:K5405" si="297">ROUND(G5397*J5397,2)</f>
        <v>6138.66</v>
      </c>
      <c r="L5397" s="2119"/>
      <c r="M5397" s="2118"/>
      <c r="N5397" s="1707"/>
      <c r="O5397" s="1707"/>
      <c r="P5397" s="1707"/>
    </row>
    <row r="5398" spans="1:16" ht="12.75" hidden="1">
      <c r="A5398" s="2114"/>
      <c r="B5398" s="2139" t="s">
        <v>1214</v>
      </c>
      <c r="C5398" s="2139"/>
      <c r="D5398" s="2139"/>
      <c r="E5398" s="2212"/>
      <c r="F5398" s="2212"/>
      <c r="G5398" s="2172"/>
      <c r="H5398" s="2213" t="s">
        <v>284</v>
      </c>
      <c r="I5398" s="2214" t="s">
        <v>95</v>
      </c>
      <c r="J5398" s="2159">
        <f>J5397</f>
        <v>262</v>
      </c>
      <c r="K5398" s="2159">
        <f t="shared" si="297"/>
        <v>0</v>
      </c>
      <c r="L5398" s="2119"/>
      <c r="M5398" s="2118"/>
      <c r="N5398" s="1707"/>
      <c r="O5398" s="1707"/>
      <c r="P5398" s="1707"/>
    </row>
    <row r="5399" spans="1:16" ht="12.75" hidden="1">
      <c r="A5399" s="2114"/>
      <c r="B5399" s="568" t="s">
        <v>1215</v>
      </c>
      <c r="C5399" s="568"/>
      <c r="D5399" s="568"/>
      <c r="E5399" s="188"/>
      <c r="F5399" s="188"/>
      <c r="G5399" s="2206">
        <v>42</v>
      </c>
      <c r="H5399" s="2117" t="s">
        <v>262</v>
      </c>
      <c r="I5399" s="2118" t="s">
        <v>37</v>
      </c>
      <c r="J5399" s="2123">
        <f>G176</f>
        <v>7</v>
      </c>
      <c r="K5399" s="2123">
        <f t="shared" si="297"/>
        <v>294</v>
      </c>
      <c r="L5399" s="2119"/>
      <c r="M5399" s="2118"/>
      <c r="N5399" s="1707"/>
      <c r="O5399" s="1707"/>
      <c r="P5399" s="1707"/>
    </row>
    <row r="5400" spans="1:16" ht="12.75" hidden="1">
      <c r="A5400" s="2114"/>
      <c r="B5400" s="568" t="s">
        <v>282</v>
      </c>
      <c r="C5400" s="568"/>
      <c r="D5400" s="568"/>
      <c r="E5400" s="188"/>
      <c r="F5400" s="188"/>
      <c r="G5400" s="2206">
        <v>42</v>
      </c>
      <c r="H5400" s="2117" t="s">
        <v>262</v>
      </c>
      <c r="I5400" s="2118" t="s">
        <v>37</v>
      </c>
      <c r="J5400" s="2123">
        <f>G187</f>
        <v>5.5</v>
      </c>
      <c r="K5400" s="2123">
        <f t="shared" si="297"/>
        <v>231</v>
      </c>
      <c r="L5400" s="2119"/>
      <c r="M5400" s="2118"/>
      <c r="N5400" s="1707"/>
      <c r="O5400" s="1707"/>
      <c r="P5400" s="1707"/>
    </row>
    <row r="5401" spans="1:16" ht="12.75" hidden="1">
      <c r="A5401" s="2114"/>
      <c r="B5401" s="568" t="s">
        <v>283</v>
      </c>
      <c r="C5401" s="568"/>
      <c r="D5401" s="568"/>
      <c r="E5401" s="188"/>
      <c r="F5401" s="188"/>
      <c r="G5401" s="2122">
        <v>2</v>
      </c>
      <c r="H5401" s="2117" t="s">
        <v>284</v>
      </c>
      <c r="I5401" s="2118" t="s">
        <v>95</v>
      </c>
      <c r="J5401" s="2123">
        <f>G188</f>
        <v>60</v>
      </c>
      <c r="K5401" s="2123">
        <f t="shared" si="297"/>
        <v>120</v>
      </c>
      <c r="L5401" s="2119"/>
      <c r="M5401" s="2118"/>
      <c r="N5401" s="1707"/>
      <c r="O5401" s="1707"/>
      <c r="P5401" s="1707"/>
    </row>
    <row r="5402" spans="1:16" ht="12.75" hidden="1">
      <c r="A5402" s="2114"/>
      <c r="B5402" s="568" t="s">
        <v>1218</v>
      </c>
      <c r="C5402" s="568"/>
      <c r="D5402" s="568"/>
      <c r="E5402" s="188"/>
      <c r="F5402" s="188"/>
      <c r="G5402" s="2122">
        <v>20.59</v>
      </c>
      <c r="H5402" s="2117" t="s">
        <v>92</v>
      </c>
      <c r="I5402" s="2118" t="s">
        <v>92</v>
      </c>
      <c r="J5402" s="2123">
        <f>G190/2.16</f>
        <v>184.25925925925924</v>
      </c>
      <c r="K5402" s="2123">
        <f t="shared" si="297"/>
        <v>3793.9</v>
      </c>
      <c r="L5402" s="2119"/>
      <c r="M5402" s="2118"/>
      <c r="N5402" s="1707"/>
      <c r="O5402" s="1707"/>
      <c r="P5402" s="1707"/>
    </row>
    <row r="5403" spans="1:16" ht="12.75" hidden="1">
      <c r="A5403" s="2114"/>
      <c r="B5403" s="568" t="s">
        <v>286</v>
      </c>
      <c r="C5403" s="568"/>
      <c r="D5403" s="568"/>
      <c r="E5403" s="188"/>
      <c r="F5403" s="188"/>
      <c r="G5403" s="2206">
        <v>50</v>
      </c>
      <c r="H5403" s="2117" t="s">
        <v>262</v>
      </c>
      <c r="I5403" s="2118" t="s">
        <v>37</v>
      </c>
      <c r="J5403" s="2123">
        <f>G189</f>
        <v>0.6</v>
      </c>
      <c r="K5403" s="2123">
        <f t="shared" si="297"/>
        <v>30</v>
      </c>
      <c r="L5403" s="2119"/>
      <c r="M5403" s="2118"/>
      <c r="N5403" s="1707"/>
      <c r="O5403" s="1707"/>
      <c r="P5403" s="1707"/>
    </row>
    <row r="5404" spans="1:16" ht="12.75" hidden="1">
      <c r="A5404" s="2114"/>
      <c r="B5404" s="568" t="s">
        <v>264</v>
      </c>
      <c r="C5404" s="568"/>
      <c r="D5404" s="568"/>
      <c r="E5404" s="188"/>
      <c r="F5404" s="188"/>
      <c r="G5404" s="2206">
        <v>50</v>
      </c>
      <c r="H5404" s="2117" t="s">
        <v>262</v>
      </c>
      <c r="I5404" s="2118" t="s">
        <v>37</v>
      </c>
      <c r="J5404" s="2123">
        <f>M187</f>
        <v>0.875</v>
      </c>
      <c r="K5404" s="2123">
        <f t="shared" si="297"/>
        <v>43.75</v>
      </c>
      <c r="L5404" s="2119"/>
      <c r="M5404" s="2118"/>
      <c r="N5404" s="1707"/>
      <c r="O5404" s="1707"/>
      <c r="P5404" s="1707"/>
    </row>
    <row r="5405" spans="1:16" ht="12.75" hidden="1">
      <c r="A5405" s="2114"/>
      <c r="B5405" s="568" t="s">
        <v>1177</v>
      </c>
      <c r="C5405" s="568"/>
      <c r="D5405" s="568"/>
      <c r="E5405" s="188"/>
      <c r="F5405" s="188"/>
      <c r="G5405" s="2122">
        <v>1.5</v>
      </c>
      <c r="H5405" s="2117" t="s">
        <v>315</v>
      </c>
      <c r="I5405" s="2118" t="s">
        <v>315</v>
      </c>
      <c r="J5405" s="2123">
        <f>M225</f>
        <v>100</v>
      </c>
      <c r="K5405" s="2123">
        <f t="shared" si="297"/>
        <v>150</v>
      </c>
      <c r="L5405" s="2119"/>
      <c r="M5405" s="2118"/>
      <c r="N5405" s="1707"/>
      <c r="O5405" s="1707"/>
      <c r="P5405" s="1707"/>
    </row>
    <row r="5406" spans="1:16" ht="12.75" hidden="1">
      <c r="A5406" s="2114"/>
      <c r="B5406" s="568"/>
      <c r="C5406" s="568"/>
      <c r="D5406" s="568"/>
      <c r="E5406" s="188"/>
      <c r="F5406" s="188"/>
      <c r="G5406" s="2122"/>
      <c r="H5406" s="2117"/>
      <c r="I5406" s="2118"/>
      <c r="J5406" s="2126" t="s">
        <v>718</v>
      </c>
      <c r="K5406" s="2124">
        <f>SUM(K5397:K5405)</f>
        <v>10801.31</v>
      </c>
      <c r="L5406" s="2119"/>
      <c r="M5406" s="2118"/>
      <c r="N5406" s="1707"/>
      <c r="O5406" s="1707"/>
      <c r="P5406" s="1707"/>
    </row>
    <row r="5407" spans="1:16" ht="12.75" hidden="1">
      <c r="A5407" s="2114"/>
      <c r="B5407" s="192" t="s">
        <v>781</v>
      </c>
      <c r="C5407" s="568"/>
      <c r="D5407" s="568"/>
      <c r="E5407" s="188"/>
      <c r="F5407" s="188"/>
      <c r="G5407" s="2122"/>
      <c r="H5407" s="2117"/>
      <c r="I5407" s="2118"/>
      <c r="J5407" s="2123"/>
      <c r="K5407" s="2123"/>
      <c r="L5407" s="2119"/>
      <c r="M5407" s="2118"/>
      <c r="N5407" s="1707"/>
      <c r="O5407" s="1707"/>
      <c r="P5407" s="1707"/>
    </row>
    <row r="5408" spans="1:16" ht="12.75" hidden="1">
      <c r="A5408" s="2114"/>
      <c r="B5408" s="568" t="s">
        <v>1047</v>
      </c>
      <c r="C5408" s="568"/>
      <c r="D5408" s="568"/>
      <c r="E5408" s="188"/>
      <c r="F5408" s="188"/>
      <c r="G5408" s="2122">
        <v>5</v>
      </c>
      <c r="H5408" s="2117" t="s">
        <v>262</v>
      </c>
      <c r="I5408" s="2118" t="s">
        <v>38</v>
      </c>
      <c r="J5408" s="2123">
        <f>L137</f>
        <v>495</v>
      </c>
      <c r="K5408" s="2123">
        <f>ROUND(G5408*J5408,2)</f>
        <v>2475</v>
      </c>
      <c r="L5408" s="2119"/>
      <c r="M5408" s="2118"/>
      <c r="N5408" s="1707"/>
      <c r="O5408" s="1707"/>
      <c r="P5408" s="1707"/>
    </row>
    <row r="5409" spans="1:22" ht="12.75" hidden="1">
      <c r="A5409" s="2114"/>
      <c r="B5409" s="568" t="s">
        <v>717</v>
      </c>
      <c r="C5409" s="568"/>
      <c r="D5409" s="568"/>
      <c r="E5409" s="188"/>
      <c r="F5409" s="188"/>
      <c r="G5409" s="2122">
        <v>5</v>
      </c>
      <c r="H5409" s="2117" t="s">
        <v>262</v>
      </c>
      <c r="I5409" s="2118" t="s">
        <v>38</v>
      </c>
      <c r="J5409" s="2123">
        <f>L134</f>
        <v>345</v>
      </c>
      <c r="K5409" s="2123">
        <f>ROUND(G5409*J5409,2)</f>
        <v>1725</v>
      </c>
      <c r="L5409" s="2119"/>
      <c r="M5409" s="2118"/>
      <c r="N5409" s="1707"/>
      <c r="O5409" s="1707"/>
      <c r="P5409" s="1707"/>
    </row>
    <row r="5410" spans="1:22" ht="12.75" hidden="1">
      <c r="A5410" s="2114"/>
      <c r="B5410" s="568"/>
      <c r="C5410" s="568"/>
      <c r="D5410" s="568"/>
      <c r="E5410" s="188"/>
      <c r="F5410" s="188"/>
      <c r="G5410" s="2122"/>
      <c r="H5410" s="2117"/>
      <c r="I5410" s="2118"/>
      <c r="J5410" s="2126" t="s">
        <v>718</v>
      </c>
      <c r="K5410" s="2124">
        <f>SUM(K5408:K5409)</f>
        <v>4200</v>
      </c>
      <c r="L5410" s="2119"/>
      <c r="M5410" s="2118"/>
      <c r="N5410" s="1707"/>
      <c r="O5410" s="2215">
        <f>ROUND(K5410/19.53,1)</f>
        <v>215.1</v>
      </c>
      <c r="P5410" s="1707"/>
    </row>
    <row r="5411" spans="1:22" ht="12.75" hidden="1">
      <c r="A5411" s="2114"/>
      <c r="B5411" s="192"/>
      <c r="C5411" s="568"/>
      <c r="D5411" s="568"/>
      <c r="E5411" s="188"/>
      <c r="F5411" s="188"/>
      <c r="G5411" s="2122"/>
      <c r="H5411" s="2117"/>
      <c r="I5411" s="2118"/>
      <c r="J5411" s="2123"/>
      <c r="K5411" s="2124"/>
      <c r="L5411" s="2119"/>
      <c r="M5411" s="2118"/>
      <c r="N5411" s="1707"/>
      <c r="O5411" s="1707"/>
      <c r="P5411" s="1707"/>
    </row>
    <row r="5412" spans="1:22" ht="12.75" hidden="1">
      <c r="A5412" s="2114"/>
      <c r="B5412" s="192" t="s">
        <v>1216</v>
      </c>
      <c r="C5412" s="568"/>
      <c r="D5412" s="568"/>
      <c r="E5412" s="188"/>
      <c r="F5412" s="188"/>
      <c r="G5412" s="2122"/>
      <c r="H5412" s="2117"/>
      <c r="I5412" s="2118"/>
      <c r="J5412" s="2134"/>
      <c r="K5412" s="2124">
        <f>K5406+K5410+K5411</f>
        <v>15001.31</v>
      </c>
      <c r="L5412" s="2119"/>
      <c r="M5412" s="2118"/>
      <c r="N5412" s="1707"/>
      <c r="O5412" s="1707"/>
      <c r="P5412" s="1707"/>
    </row>
    <row r="5413" spans="1:22" ht="12.75" hidden="1">
      <c r="A5413" s="2114"/>
      <c r="B5413" s="192" t="s">
        <v>1217</v>
      </c>
      <c r="C5413" s="568"/>
      <c r="D5413" s="568"/>
      <c r="E5413" s="188"/>
      <c r="F5413" s="188"/>
      <c r="G5413" s="2161"/>
      <c r="H5413" s="2117"/>
      <c r="I5413" s="2118"/>
      <c r="J5413" s="2123"/>
      <c r="K5413" s="2124">
        <f>ROUND(K5412/19.53,2)</f>
        <v>768.12</v>
      </c>
      <c r="L5413" s="2119" t="s">
        <v>730</v>
      </c>
      <c r="M5413" s="2118"/>
      <c r="N5413" s="1707"/>
      <c r="O5413" s="1706" t="s">
        <v>552</v>
      </c>
      <c r="P5413" s="1707"/>
    </row>
    <row r="5414" spans="1:22" ht="43.15" hidden="1" customHeight="1">
      <c r="A5414" s="11">
        <f>A874</f>
        <v>108</v>
      </c>
      <c r="B5414" s="3035" t="s">
        <v>3376</v>
      </c>
      <c r="C5414" s="3036"/>
      <c r="D5414" s="3036"/>
      <c r="E5414" s="6" t="str">
        <f>G1094</f>
        <v>Each Cum</v>
      </c>
      <c r="F5414" s="6"/>
      <c r="G5414" s="6"/>
      <c r="H5414" s="6"/>
      <c r="I5414" s="6"/>
      <c r="J5414" s="6"/>
      <c r="K5414" s="6"/>
      <c r="L5414" s="6"/>
      <c r="M5414" s="6"/>
      <c r="N5414" s="1741"/>
      <c r="O5414" s="1741"/>
      <c r="P5414" s="1741"/>
    </row>
    <row r="5415" spans="1:22" ht="12.75" hidden="1">
      <c r="A5415" s="6"/>
      <c r="B5415" s="6" t="s">
        <v>1220</v>
      </c>
      <c r="C5415" s="6"/>
      <c r="D5415" s="6"/>
      <c r="E5415" s="6"/>
      <c r="F5415" s="6"/>
      <c r="G5415" s="6"/>
      <c r="H5415" s="6"/>
      <c r="I5415" s="6"/>
      <c r="J5415" s="6"/>
      <c r="K5415" s="6"/>
      <c r="L5415" s="6"/>
      <c r="M5415" s="6"/>
      <c r="N5415" s="1741"/>
      <c r="O5415" s="1741"/>
      <c r="P5415" s="1741"/>
      <c r="Q5415" s="1706"/>
      <c r="S5415" s="196"/>
      <c r="T5415" s="2204"/>
      <c r="U5415" s="1990"/>
      <c r="V5415" s="2205"/>
    </row>
    <row r="5416" spans="1:22" ht="12.75" hidden="1">
      <c r="A5416" s="6"/>
      <c r="B5416" s="6" t="s">
        <v>954</v>
      </c>
      <c r="C5416" s="6"/>
      <c r="D5416" s="6"/>
      <c r="E5416" s="6"/>
      <c r="F5416" s="6"/>
      <c r="G5416" s="6"/>
      <c r="H5416" s="6"/>
      <c r="I5416" s="6"/>
      <c r="J5416" s="6"/>
      <c r="K5416" s="6"/>
      <c r="L5416" s="6"/>
      <c r="M5416" s="6"/>
      <c r="N5416" s="1741"/>
      <c r="O5416" s="1741"/>
      <c r="P5416" s="1741"/>
    </row>
    <row r="5417" spans="1:22" ht="12.75" hidden="1">
      <c r="A5417" s="6"/>
      <c r="B5417" s="6" t="s">
        <v>1221</v>
      </c>
      <c r="C5417" s="6"/>
      <c r="D5417" s="6"/>
      <c r="E5417" s="6"/>
      <c r="F5417" s="6"/>
      <c r="G5417" s="2158">
        <v>1</v>
      </c>
      <c r="H5417" s="6" t="s">
        <v>262</v>
      </c>
      <c r="I5417" s="6" t="s">
        <v>38</v>
      </c>
      <c r="J5417" s="2158">
        <f>L136</f>
        <v>435</v>
      </c>
      <c r="K5417" s="2158">
        <f>ROUND(G5417*J5417,2)</f>
        <v>435</v>
      </c>
      <c r="L5417" s="6"/>
      <c r="M5417" s="6"/>
      <c r="N5417" s="1741"/>
      <c r="O5417" s="1741"/>
      <c r="P5417" s="1741"/>
    </row>
    <row r="5418" spans="1:22" ht="12.75" hidden="1">
      <c r="A5418" s="6"/>
      <c r="B5418" s="6" t="s">
        <v>717</v>
      </c>
      <c r="C5418" s="6"/>
      <c r="D5418" s="6"/>
      <c r="E5418" s="6"/>
      <c r="F5418" s="6"/>
      <c r="G5418" s="2158">
        <v>4</v>
      </c>
      <c r="H5418" s="6" t="s">
        <v>262</v>
      </c>
      <c r="I5418" s="6" t="s">
        <v>38</v>
      </c>
      <c r="J5418" s="2158">
        <f>L134</f>
        <v>345</v>
      </c>
      <c r="K5418" s="2158">
        <f>ROUND(G5418*J5418,2)</f>
        <v>1380</v>
      </c>
      <c r="L5418" s="6"/>
      <c r="M5418" s="6"/>
      <c r="N5418" s="1741"/>
      <c r="O5418" s="1741"/>
      <c r="P5418" s="1741"/>
    </row>
    <row r="5419" spans="1:22" ht="12.75" hidden="1">
      <c r="A5419" s="6"/>
      <c r="B5419" s="6"/>
      <c r="C5419" s="6"/>
      <c r="D5419" s="6"/>
      <c r="E5419" s="6"/>
      <c r="F5419" s="6"/>
      <c r="G5419" s="6"/>
      <c r="H5419" s="6"/>
      <c r="I5419" s="6"/>
      <c r="J5419" s="2158" t="s">
        <v>718</v>
      </c>
      <c r="K5419" s="571">
        <f>SUM(K5417:K5418)</f>
        <v>1815</v>
      </c>
      <c r="L5419" s="6"/>
      <c r="M5419" s="6"/>
      <c r="N5419" s="1741"/>
      <c r="O5419" s="1741"/>
      <c r="P5419" s="1741"/>
    </row>
    <row r="5420" spans="1:22" ht="12.75" hidden="1">
      <c r="A5420" s="6"/>
      <c r="B5420" s="6" t="s">
        <v>1222</v>
      </c>
      <c r="C5420" s="6"/>
      <c r="D5420" s="6"/>
      <c r="E5420" s="6"/>
      <c r="F5420" s="6"/>
      <c r="G5420" s="6"/>
      <c r="H5420" s="6"/>
      <c r="I5420" s="6"/>
      <c r="J5420" s="2158"/>
      <c r="K5420" s="2158"/>
      <c r="L5420" s="6"/>
      <c r="M5420" s="6"/>
      <c r="N5420" s="1741"/>
      <c r="O5420" s="1741"/>
      <c r="P5420" s="1741"/>
    </row>
    <row r="5421" spans="1:22" ht="12.75" hidden="1">
      <c r="A5421" s="6"/>
      <c r="B5421" s="6" t="s">
        <v>1223</v>
      </c>
      <c r="C5421" s="6"/>
      <c r="D5421" s="6"/>
      <c r="E5421" s="6"/>
      <c r="F5421" s="6"/>
      <c r="G5421" s="6"/>
      <c r="H5421" s="6"/>
      <c r="I5421" s="6"/>
      <c r="J5421" s="2158"/>
      <c r="K5421" s="2158"/>
      <c r="L5421" s="6"/>
      <c r="M5421" s="6"/>
      <c r="N5421" s="1741"/>
      <c r="O5421" s="1741"/>
      <c r="P5421" s="1741"/>
    </row>
    <row r="5422" spans="1:22" ht="12.75" hidden="1">
      <c r="A5422" s="6"/>
      <c r="B5422" s="6" t="s">
        <v>1224</v>
      </c>
      <c r="C5422" s="6"/>
      <c r="D5422" s="6"/>
      <c r="E5422" s="6"/>
      <c r="F5422" s="6"/>
      <c r="G5422" s="6">
        <v>1.06</v>
      </c>
      <c r="H5422" s="6" t="s">
        <v>92</v>
      </c>
      <c r="I5422" s="6" t="s">
        <v>92</v>
      </c>
      <c r="J5422" s="2216">
        <v>135</v>
      </c>
      <c r="K5422" s="2158">
        <f>ROUND(G5422*J5422,2)</f>
        <v>143.1</v>
      </c>
      <c r="L5422" s="6"/>
      <c r="M5422" s="6"/>
      <c r="N5422" s="1741"/>
      <c r="O5422" s="1741"/>
      <c r="P5422" s="1741"/>
    </row>
    <row r="5423" spans="1:22" ht="12.75" hidden="1">
      <c r="A5423" s="6"/>
      <c r="B5423" s="6" t="s">
        <v>1225</v>
      </c>
      <c r="C5423" s="6"/>
      <c r="D5423" s="6"/>
      <c r="E5423" s="6"/>
      <c r="F5423" s="6"/>
      <c r="G5423" s="6">
        <v>1.135</v>
      </c>
      <c r="H5423" s="6" t="s">
        <v>95</v>
      </c>
      <c r="I5423" s="6" t="s">
        <v>95</v>
      </c>
      <c r="J5423" s="2216">
        <v>36</v>
      </c>
      <c r="K5423" s="2158">
        <f>ROUND(G5423*J5423,2)</f>
        <v>40.86</v>
      </c>
      <c r="L5423" s="6"/>
      <c r="M5423" s="6"/>
      <c r="N5423" s="1741"/>
      <c r="O5423" s="1741"/>
      <c r="P5423" s="1741"/>
    </row>
    <row r="5424" spans="1:22" ht="12.75" hidden="1">
      <c r="A5424" s="6"/>
      <c r="B5424" s="6" t="s">
        <v>1226</v>
      </c>
      <c r="C5424" s="6"/>
      <c r="D5424" s="6"/>
      <c r="E5424" s="6"/>
      <c r="F5424" s="6"/>
      <c r="G5424" s="6">
        <v>100</v>
      </c>
      <c r="H5424" s="6" t="s">
        <v>262</v>
      </c>
      <c r="I5424" s="6" t="s">
        <v>38</v>
      </c>
      <c r="J5424" s="2216">
        <v>0.63</v>
      </c>
      <c r="K5424" s="2158">
        <f>ROUND(G5424*J5424,2)</f>
        <v>63</v>
      </c>
      <c r="L5424" s="6"/>
      <c r="M5424" s="6"/>
      <c r="N5424" s="1741"/>
      <c r="O5424" s="1741"/>
      <c r="P5424" s="1741"/>
    </row>
    <row r="5425" spans="1:22" ht="12.75" hidden="1">
      <c r="A5425" s="6"/>
      <c r="B5425" s="6"/>
      <c r="C5425" s="6"/>
      <c r="D5425" s="6"/>
      <c r="E5425" s="6"/>
      <c r="F5425" s="6"/>
      <c r="G5425" s="6"/>
      <c r="H5425" s="6"/>
      <c r="I5425" s="6"/>
      <c r="J5425" s="2158" t="s">
        <v>718</v>
      </c>
      <c r="K5425" s="571">
        <f>SUM(K5422:K5424)</f>
        <v>246.95999999999998</v>
      </c>
      <c r="L5425" s="6"/>
      <c r="M5425" s="6"/>
      <c r="N5425" s="1741"/>
      <c r="O5425" s="1741"/>
      <c r="P5425" s="1741"/>
    </row>
    <row r="5426" spans="1:22" ht="12.75" hidden="1">
      <c r="A5426" s="6"/>
      <c r="B5426" s="6"/>
      <c r="C5426" s="6"/>
      <c r="D5426" s="6"/>
      <c r="E5426" s="6"/>
      <c r="F5426" s="6"/>
      <c r="G5426" s="6"/>
      <c r="H5426" s="6"/>
      <c r="I5426" s="6"/>
      <c r="J5426" s="2158"/>
      <c r="K5426" s="571">
        <f>SUM(K5425)+K5419</f>
        <v>2061.96</v>
      </c>
      <c r="L5426" s="6"/>
      <c r="M5426" s="6"/>
      <c r="N5426" s="1741"/>
      <c r="O5426" s="1741"/>
      <c r="P5426" s="1741"/>
    </row>
    <row r="5427" spans="1:22" ht="12.75" hidden="1">
      <c r="A5427" s="6"/>
      <c r="B5427" s="6" t="s">
        <v>1201</v>
      </c>
      <c r="C5427" s="6"/>
      <c r="D5427" s="6"/>
      <c r="E5427" s="6"/>
      <c r="F5427" s="6"/>
      <c r="G5427" s="6"/>
      <c r="H5427" s="6"/>
      <c r="I5427" s="6"/>
      <c r="J5427" s="2158"/>
      <c r="K5427" s="571">
        <f>ROUND(K5426/9.3,2)</f>
        <v>221.72</v>
      </c>
      <c r="L5427" s="6"/>
      <c r="M5427" s="6"/>
      <c r="N5427" s="1741"/>
      <c r="O5427" s="1741"/>
      <c r="P5427" s="1741"/>
    </row>
    <row r="5428" spans="1:22" ht="12.75" hidden="1">
      <c r="A5428" s="6"/>
      <c r="B5428" s="6" t="s">
        <v>1207</v>
      </c>
      <c r="C5428" s="6"/>
      <c r="D5428" s="6"/>
      <c r="E5428" s="6"/>
      <c r="F5428" s="6"/>
      <c r="G5428" s="6">
        <v>1.65</v>
      </c>
      <c r="H5428" s="6" t="s">
        <v>1208</v>
      </c>
      <c r="I5428" s="6" t="s">
        <v>1208</v>
      </c>
      <c r="J5428" s="2158">
        <f>G245</f>
        <v>10</v>
      </c>
      <c r="K5428" s="2158">
        <f>ROUND(G5428*J5428,2)</f>
        <v>16.5</v>
      </c>
      <c r="L5428" s="6"/>
      <c r="M5428" s="6"/>
      <c r="N5428" s="1741"/>
      <c r="O5428" s="1741"/>
      <c r="P5428" s="1741"/>
    </row>
    <row r="5429" spans="1:22" ht="12.75" hidden="1">
      <c r="A5429" s="6"/>
      <c r="B5429" s="6"/>
      <c r="C5429" s="6"/>
      <c r="D5429" s="6"/>
      <c r="E5429" s="6"/>
      <c r="F5429" s="6"/>
      <c r="G5429" s="6"/>
      <c r="H5429" s="6"/>
      <c r="I5429" s="6"/>
      <c r="J5429" s="6" t="s">
        <v>928</v>
      </c>
      <c r="K5429" s="571">
        <f>SUM(K5427:K5428)</f>
        <v>238.22</v>
      </c>
      <c r="L5429" s="6" t="s">
        <v>730</v>
      </c>
      <c r="M5429" s="6"/>
      <c r="N5429" s="1741"/>
      <c r="O5429" s="1741"/>
      <c r="P5429" s="1741"/>
    </row>
    <row r="5430" spans="1:22" ht="12.75" hidden="1">
      <c r="A5430" s="2114" t="s">
        <v>474</v>
      </c>
      <c r="B5430" s="192" t="s">
        <v>3375</v>
      </c>
      <c r="C5430" s="568"/>
      <c r="D5430" s="568"/>
      <c r="E5430" s="188"/>
      <c r="F5430" s="188"/>
      <c r="G5430" s="2122"/>
      <c r="H5430" s="2117"/>
      <c r="I5430" s="2118"/>
      <c r="J5430" s="192"/>
      <c r="K5430" s="2124"/>
      <c r="L5430" s="2119"/>
      <c r="M5430" s="568"/>
      <c r="Q5430" s="1706" t="str">
        <f>B5430</f>
        <v>Roofing</v>
      </c>
    </row>
    <row r="5431" spans="1:22" ht="24.6" hidden="1" customHeight="1">
      <c r="A5431" s="2217">
        <f>A875</f>
        <v>109</v>
      </c>
      <c r="B5431" s="3038" t="str">
        <f>B875</f>
        <v>20cm to 25cm Single Nuria tiles Roofing with cement Mortar (1:6) borders 23cmx5cm at 1.80mtrs intervals complete per 1Sqm.</v>
      </c>
      <c r="C5431" s="3039"/>
      <c r="D5431" s="3039"/>
      <c r="E5431" s="2218" t="str">
        <f>G1111</f>
        <v>Each Cum</v>
      </c>
      <c r="F5431" s="2218"/>
      <c r="G5431" s="2218"/>
      <c r="H5431" s="2218"/>
      <c r="I5431" s="2218"/>
      <c r="J5431" s="2218"/>
      <c r="K5431" s="2218"/>
      <c r="L5431" s="2218"/>
      <c r="M5431" s="2218"/>
      <c r="N5431" s="2219"/>
      <c r="O5431" s="1741"/>
      <c r="P5431" s="1741"/>
    </row>
    <row r="5432" spans="1:22" ht="12.75" hidden="1">
      <c r="A5432" s="2218"/>
      <c r="B5432" s="2220" t="s">
        <v>1220</v>
      </c>
      <c r="C5432" s="2218"/>
      <c r="D5432" s="2218"/>
      <c r="E5432" s="2218"/>
      <c r="F5432" s="2218"/>
      <c r="G5432" s="2218"/>
      <c r="H5432" s="2218"/>
      <c r="I5432" s="2218"/>
      <c r="J5432" s="2218"/>
      <c r="K5432" s="2218"/>
      <c r="L5432" s="2218"/>
      <c r="M5432" s="2218"/>
      <c r="N5432" s="2219"/>
      <c r="O5432" s="1741"/>
      <c r="P5432" s="1741"/>
      <c r="Q5432" s="1706"/>
      <c r="S5432" s="196"/>
      <c r="T5432" s="2204"/>
      <c r="U5432" s="1990"/>
      <c r="V5432" s="2205"/>
    </row>
    <row r="5433" spans="1:22" ht="12.75" hidden="1">
      <c r="A5433" s="2218"/>
      <c r="B5433" s="2220" t="s">
        <v>954</v>
      </c>
      <c r="C5433" s="2218"/>
      <c r="D5433" s="2218"/>
      <c r="E5433" s="2218"/>
      <c r="F5433" s="2218"/>
      <c r="G5433" s="2218"/>
      <c r="H5433" s="2218"/>
      <c r="I5433" s="2218"/>
      <c r="J5433" s="2218"/>
      <c r="K5433" s="2218"/>
      <c r="L5433" s="2218"/>
      <c r="M5433" s="2218"/>
      <c r="N5433" s="2219"/>
      <c r="O5433" s="1741"/>
      <c r="P5433" s="1741"/>
    </row>
    <row r="5434" spans="1:22" ht="12.75" hidden="1">
      <c r="A5434" s="2218"/>
      <c r="B5434" s="2218" t="s">
        <v>3378</v>
      </c>
      <c r="C5434" s="2218"/>
      <c r="D5434" s="2218"/>
      <c r="E5434" s="2218"/>
      <c r="F5434" s="2218"/>
      <c r="G5434" s="2216">
        <v>2</v>
      </c>
      <c r="H5434" s="2218" t="s">
        <v>262</v>
      </c>
      <c r="I5434" s="2218" t="s">
        <v>38</v>
      </c>
      <c r="J5434" s="2216">
        <f>L135</f>
        <v>385</v>
      </c>
      <c r="K5434" s="2216">
        <f>ROUND(G5434*J5434,2)</f>
        <v>770</v>
      </c>
      <c r="L5434" s="2218"/>
      <c r="M5434" s="2218"/>
      <c r="N5434" s="2219"/>
      <c r="O5434" s="1741"/>
      <c r="P5434" s="1741"/>
    </row>
    <row r="5435" spans="1:22" ht="12.75" hidden="1">
      <c r="A5435" s="2218"/>
      <c r="B5435" s="2218" t="s">
        <v>818</v>
      </c>
      <c r="C5435" s="2218"/>
      <c r="D5435" s="2218"/>
      <c r="E5435" s="2218"/>
      <c r="F5435" s="2218"/>
      <c r="G5435" s="2216">
        <v>0.25</v>
      </c>
      <c r="H5435" s="2218" t="s">
        <v>262</v>
      </c>
      <c r="I5435" s="2218" t="s">
        <v>38</v>
      </c>
      <c r="J5435" s="2216">
        <f>L136</f>
        <v>435</v>
      </c>
      <c r="K5435" s="2216">
        <f>ROUND(G5435*J5435,2)</f>
        <v>108.75</v>
      </c>
      <c r="L5435" s="2218"/>
      <c r="M5435" s="2218"/>
      <c r="N5435" s="2219"/>
      <c r="O5435" s="1741"/>
      <c r="P5435" s="1741"/>
    </row>
    <row r="5436" spans="1:22" ht="12.75" hidden="1">
      <c r="A5436" s="2218"/>
      <c r="B5436" s="2218" t="s">
        <v>717</v>
      </c>
      <c r="C5436" s="2218"/>
      <c r="D5436" s="2218"/>
      <c r="E5436" s="2218"/>
      <c r="F5436" s="2218"/>
      <c r="G5436" s="2216">
        <v>0.5</v>
      </c>
      <c r="H5436" s="2218" t="s">
        <v>262</v>
      </c>
      <c r="I5436" s="2218" t="s">
        <v>38</v>
      </c>
      <c r="J5436" s="2216">
        <f>L134</f>
        <v>345</v>
      </c>
      <c r="K5436" s="2216">
        <f>ROUND(G5436*J5436,2)</f>
        <v>172.5</v>
      </c>
      <c r="L5436" s="2218"/>
      <c r="M5436" s="2218"/>
      <c r="N5436" s="2219"/>
      <c r="O5436" s="1741"/>
      <c r="P5436" s="1741"/>
    </row>
    <row r="5437" spans="1:22" ht="12.75" hidden="1">
      <c r="A5437" s="2218"/>
      <c r="B5437" s="2218"/>
      <c r="C5437" s="2218"/>
      <c r="D5437" s="2218"/>
      <c r="E5437" s="2218"/>
      <c r="F5437" s="2218"/>
      <c r="G5437" s="2218"/>
      <c r="H5437" s="2218"/>
      <c r="I5437" s="2218"/>
      <c r="J5437" s="2221" t="s">
        <v>718</v>
      </c>
      <c r="K5437" s="2222">
        <f>SUM(K5434:K5436)</f>
        <v>1051.25</v>
      </c>
      <c r="L5437" s="2218"/>
      <c r="M5437" s="2218"/>
      <c r="N5437" s="2219"/>
      <c r="O5437" s="1741"/>
      <c r="P5437" s="1741"/>
    </row>
    <row r="5438" spans="1:22" ht="12.75" hidden="1">
      <c r="A5438" s="2218"/>
      <c r="B5438" s="2220" t="s">
        <v>1222</v>
      </c>
      <c r="C5438" s="2218"/>
      <c r="D5438" s="2218"/>
      <c r="E5438" s="2218"/>
      <c r="F5438" s="2218"/>
      <c r="G5438" s="2218"/>
      <c r="H5438" s="2218"/>
      <c r="I5438" s="2218"/>
      <c r="J5438" s="2216"/>
      <c r="K5438" s="2216"/>
      <c r="L5438" s="2218"/>
      <c r="M5438" s="2218"/>
      <c r="N5438" s="2219"/>
      <c r="O5438" s="1741"/>
      <c r="P5438" s="1741"/>
    </row>
    <row r="5439" spans="1:22" ht="12.75" hidden="1">
      <c r="A5439" s="2218"/>
      <c r="B5439" s="2218" t="s">
        <v>3379</v>
      </c>
      <c r="C5439" s="2218"/>
      <c r="D5439" s="2218"/>
      <c r="E5439" s="2218"/>
      <c r="F5439" s="2218"/>
      <c r="G5439" s="2218">
        <v>1000</v>
      </c>
      <c r="H5439" s="2218" t="s">
        <v>262</v>
      </c>
      <c r="I5439" s="2223">
        <v>1000</v>
      </c>
      <c r="J5439" s="2216">
        <f>G62</f>
        <v>719.25</v>
      </c>
      <c r="K5439" s="2216">
        <f>ROUND(G5439*J5439/1000,2)</f>
        <v>719.25</v>
      </c>
      <c r="L5439" s="2218"/>
      <c r="M5439" s="2218"/>
      <c r="N5439" s="2219"/>
      <c r="O5439" s="1741"/>
      <c r="P5439" s="1741"/>
    </row>
    <row r="5440" spans="1:22" ht="12.75" hidden="1">
      <c r="A5440" s="2218"/>
      <c r="B5440" s="2218" t="s">
        <v>8</v>
      </c>
      <c r="C5440" s="2218"/>
      <c r="D5440" s="2218"/>
      <c r="E5440" s="2218"/>
      <c r="F5440" s="2218"/>
      <c r="G5440" s="2218">
        <v>0.53</v>
      </c>
      <c r="H5440" s="2218" t="s">
        <v>125</v>
      </c>
      <c r="I5440" s="2223" t="s">
        <v>125</v>
      </c>
      <c r="J5440" s="2216">
        <f>G50/10</f>
        <v>570.23400000000004</v>
      </c>
      <c r="K5440" s="2216">
        <f>ROUND(G5440*J5440,2)</f>
        <v>302.22000000000003</v>
      </c>
      <c r="L5440" s="2218"/>
      <c r="M5440" s="2218"/>
      <c r="N5440" s="2219"/>
      <c r="O5440" s="1741"/>
      <c r="P5440" s="1741"/>
    </row>
    <row r="5441" spans="1:22" ht="12.75" hidden="1">
      <c r="A5441" s="2218"/>
      <c r="B5441" s="2218" t="s">
        <v>775</v>
      </c>
      <c r="C5441" s="2218"/>
      <c r="D5441" s="2218"/>
      <c r="E5441" s="2218"/>
      <c r="F5441" s="2218"/>
      <c r="G5441" s="2218">
        <v>0.19</v>
      </c>
      <c r="H5441" s="2218" t="s">
        <v>49</v>
      </c>
      <c r="I5441" s="2223" t="s">
        <v>49</v>
      </c>
      <c r="J5441" s="2216">
        <f>G46</f>
        <v>76.88</v>
      </c>
      <c r="K5441" s="2216">
        <f>ROUND(G5441*J5441,2)</f>
        <v>14.61</v>
      </c>
      <c r="L5441" s="2218"/>
      <c r="M5441" s="2218"/>
      <c r="N5441" s="2219"/>
      <c r="O5441" s="1741"/>
      <c r="P5441" s="1741"/>
    </row>
    <row r="5442" spans="1:22" ht="12.75" hidden="1">
      <c r="A5442" s="2218"/>
      <c r="B5442" s="2218"/>
      <c r="C5442" s="2218"/>
      <c r="D5442" s="2218"/>
      <c r="E5442" s="2218"/>
      <c r="F5442" s="2218"/>
      <c r="G5442" s="2218"/>
      <c r="H5442" s="2218"/>
      <c r="I5442" s="2218"/>
      <c r="J5442" s="2221" t="s">
        <v>718</v>
      </c>
      <c r="K5442" s="2222">
        <f>SUM(K5440:K5441)</f>
        <v>316.83000000000004</v>
      </c>
      <c r="L5442" s="2218"/>
      <c r="M5442" s="2218"/>
      <c r="N5442" s="2219"/>
      <c r="O5442" s="1741"/>
      <c r="P5442" s="1741"/>
    </row>
    <row r="5443" spans="1:22" ht="12.75" hidden="1">
      <c r="A5443" s="2224"/>
      <c r="B5443" s="2138" t="s">
        <v>783</v>
      </c>
      <c r="C5443" s="2139"/>
      <c r="D5443" s="2139"/>
      <c r="E5443" s="2212"/>
      <c r="F5443" s="2212"/>
      <c r="G5443" s="2172"/>
      <c r="H5443" s="2139"/>
      <c r="I5443" s="2214"/>
      <c r="J5443" s="2159"/>
      <c r="K5443" s="2159"/>
      <c r="L5443" s="2138"/>
      <c r="M5443" s="2139"/>
      <c r="N5443" s="2168"/>
    </row>
    <row r="5444" spans="1:22" ht="12.75" hidden="1">
      <c r="A5444" s="2224"/>
      <c r="B5444" s="2218" t="s">
        <v>3379</v>
      </c>
      <c r="C5444" s="2139"/>
      <c r="D5444" s="2139"/>
      <c r="E5444" s="2212"/>
      <c r="F5444" s="2212"/>
      <c r="G5444" s="2218">
        <v>1000</v>
      </c>
      <c r="H5444" s="2218" t="s">
        <v>262</v>
      </c>
      <c r="I5444" s="2223">
        <v>1000</v>
      </c>
      <c r="J5444" s="2216">
        <f>K62</f>
        <v>255.05944444444447</v>
      </c>
      <c r="K5444" s="2216">
        <f>ROUND(G5444*J5444/1000,2)</f>
        <v>255.06</v>
      </c>
      <c r="L5444" s="2138"/>
      <c r="M5444" s="2139"/>
      <c r="N5444" s="2168"/>
    </row>
    <row r="5445" spans="1:22" ht="12.75" hidden="1">
      <c r="A5445" s="2224"/>
      <c r="B5445" s="2218" t="s">
        <v>8</v>
      </c>
      <c r="C5445" s="2139"/>
      <c r="D5445" s="2139"/>
      <c r="E5445" s="2212"/>
      <c r="F5445" s="2212"/>
      <c r="G5445" s="2218">
        <v>0.53</v>
      </c>
      <c r="H5445" s="2218" t="s">
        <v>125</v>
      </c>
      <c r="I5445" s="2223" t="s">
        <v>125</v>
      </c>
      <c r="J5445" s="2216">
        <f>K50</f>
        <v>426.22</v>
      </c>
      <c r="K5445" s="2216">
        <f>ROUND(G5445*J5445,2)</f>
        <v>225.9</v>
      </c>
      <c r="L5445" s="2138"/>
      <c r="M5445" s="2139"/>
      <c r="N5445" s="2168"/>
    </row>
    <row r="5446" spans="1:22" ht="12.75" hidden="1">
      <c r="A5446" s="2224"/>
      <c r="B5446" s="2218" t="s">
        <v>775</v>
      </c>
      <c r="C5446" s="2139"/>
      <c r="D5446" s="2139"/>
      <c r="E5446" s="2212"/>
      <c r="F5446" s="2212"/>
      <c r="G5446" s="2218">
        <v>0.19</v>
      </c>
      <c r="H5446" s="2218" t="s">
        <v>49</v>
      </c>
      <c r="I5446" s="2223" t="s">
        <v>49</v>
      </c>
      <c r="J5446" s="2216">
        <f>K46</f>
        <v>717.46</v>
      </c>
      <c r="K5446" s="2216">
        <f>ROUND(G5446*J5446,2)</f>
        <v>136.32</v>
      </c>
      <c r="L5446" s="2138"/>
      <c r="M5446" s="2139"/>
      <c r="N5446" s="2168"/>
    </row>
    <row r="5447" spans="1:22" ht="12.75" hidden="1">
      <c r="A5447" s="2224"/>
      <c r="B5447" s="2218"/>
      <c r="C5447" s="2139"/>
      <c r="D5447" s="2139"/>
      <c r="E5447" s="2212"/>
      <c r="F5447" s="2212"/>
      <c r="G5447" s="2218"/>
      <c r="H5447" s="2218"/>
      <c r="I5447" s="2223"/>
      <c r="J5447" s="2221" t="s">
        <v>718</v>
      </c>
      <c r="K5447" s="2222">
        <f>SUM(K5444:K5446)</f>
        <v>617.28</v>
      </c>
      <c r="L5447" s="2138"/>
      <c r="M5447" s="2139"/>
      <c r="N5447" s="2168"/>
    </row>
    <row r="5448" spans="1:22" ht="12.75" hidden="1">
      <c r="A5448" s="2218"/>
      <c r="B5448" s="2220" t="s">
        <v>3380</v>
      </c>
      <c r="C5448" s="2218"/>
      <c r="D5448" s="2218"/>
      <c r="E5448" s="2218"/>
      <c r="F5448" s="2218"/>
      <c r="G5448" s="2218"/>
      <c r="H5448" s="2218"/>
      <c r="I5448" s="2218"/>
      <c r="J5448" s="2216"/>
      <c r="K5448" s="2222">
        <f>SUM(K5442)+K5437+K5447</f>
        <v>1985.36</v>
      </c>
      <c r="L5448" s="2218"/>
      <c r="M5448" s="2218"/>
      <c r="N5448" s="2219"/>
      <c r="O5448" s="1741"/>
      <c r="P5448" s="1741"/>
    </row>
    <row r="5449" spans="1:22" ht="12.75" hidden="1">
      <c r="A5449" s="2218"/>
      <c r="B5449" s="2220" t="s">
        <v>1201</v>
      </c>
      <c r="C5449" s="2218"/>
      <c r="D5449" s="2218"/>
      <c r="E5449" s="2218"/>
      <c r="F5449" s="2218"/>
      <c r="G5449" s="2218"/>
      <c r="H5449" s="2218"/>
      <c r="I5449" s="2218"/>
      <c r="J5449" s="2216"/>
      <c r="K5449" s="2222">
        <f>ROUND(K5448/9.3,2)</f>
        <v>213.48</v>
      </c>
      <c r="L5449" s="2218"/>
      <c r="M5449" s="2218"/>
      <c r="N5449" s="2219"/>
      <c r="O5449" s="1741"/>
      <c r="P5449" s="1741"/>
    </row>
    <row r="5450" spans="1:22" ht="12.75" hidden="1">
      <c r="A5450" s="2218"/>
      <c r="B5450" s="2218"/>
      <c r="C5450" s="2218"/>
      <c r="D5450" s="2218"/>
      <c r="E5450" s="2218"/>
      <c r="F5450" s="2218"/>
      <c r="G5450" s="2218"/>
      <c r="H5450" s="2218"/>
      <c r="I5450" s="2218"/>
      <c r="J5450" s="2225" t="s">
        <v>928</v>
      </c>
      <c r="K5450" s="2222">
        <f>SUM(K5449:K5449)</f>
        <v>213.48</v>
      </c>
      <c r="L5450" s="2218" t="s">
        <v>730</v>
      </c>
      <c r="M5450" s="2218"/>
      <c r="N5450" s="2219"/>
      <c r="O5450" s="1741"/>
      <c r="P5450" s="1741"/>
    </row>
    <row r="5451" spans="1:22" ht="28.15" hidden="1" customHeight="1">
      <c r="A5451" s="11">
        <f>A876</f>
        <v>110</v>
      </c>
      <c r="B5451" s="3035" t="str">
        <f>B876</f>
        <v>25cm to 30cm Single Nuria tiles Roofing with cement Mortar (1:6) borders 23cmx5cm at 1.80mtrs intervals complete per 1Sqm.</v>
      </c>
      <c r="C5451" s="3036"/>
      <c r="D5451" s="3036"/>
      <c r="E5451" s="6">
        <f>G1131</f>
        <v>0</v>
      </c>
      <c r="F5451" s="6"/>
      <c r="G5451" s="6"/>
      <c r="H5451" s="6"/>
      <c r="I5451" s="6"/>
      <c r="J5451" s="6"/>
      <c r="K5451" s="6"/>
      <c r="L5451" s="6"/>
      <c r="M5451" s="6"/>
      <c r="N5451" s="1741"/>
      <c r="O5451" s="1741"/>
      <c r="P5451" s="1741"/>
    </row>
    <row r="5452" spans="1:22" ht="12.75" hidden="1">
      <c r="A5452" s="6"/>
      <c r="B5452" s="2" t="s">
        <v>1220</v>
      </c>
      <c r="C5452" s="6"/>
      <c r="D5452" s="6"/>
      <c r="E5452" s="6"/>
      <c r="F5452" s="6"/>
      <c r="G5452" s="6"/>
      <c r="H5452" s="6"/>
      <c r="I5452" s="6"/>
      <c r="J5452" s="6"/>
      <c r="K5452" s="6"/>
      <c r="L5452" s="6"/>
      <c r="M5452" s="6"/>
      <c r="N5452" s="1741"/>
      <c r="O5452" s="1741"/>
      <c r="P5452" s="1741"/>
      <c r="Q5452" s="1706"/>
      <c r="S5452" s="196"/>
      <c r="T5452" s="2204"/>
      <c r="U5452" s="1990"/>
      <c r="V5452" s="2205"/>
    </row>
    <row r="5453" spans="1:22" ht="12.75" hidden="1">
      <c r="A5453" s="6"/>
      <c r="B5453" s="2" t="s">
        <v>954</v>
      </c>
      <c r="C5453" s="6"/>
      <c r="D5453" s="6"/>
      <c r="E5453" s="6"/>
      <c r="F5453" s="6"/>
      <c r="G5453" s="6"/>
      <c r="H5453" s="6"/>
      <c r="I5453" s="6"/>
      <c r="J5453" s="6"/>
      <c r="K5453" s="6"/>
      <c r="L5453" s="6"/>
      <c r="M5453" s="6"/>
      <c r="N5453" s="1741"/>
      <c r="O5453" s="1741"/>
      <c r="P5453" s="1741"/>
    </row>
    <row r="5454" spans="1:22" ht="12.75" hidden="1">
      <c r="A5454" s="6"/>
      <c r="B5454" s="6" t="s">
        <v>3378</v>
      </c>
      <c r="C5454" s="6"/>
      <c r="D5454" s="6"/>
      <c r="E5454" s="6"/>
      <c r="F5454" s="6"/>
      <c r="G5454" s="2158">
        <v>2</v>
      </c>
      <c r="H5454" s="6" t="s">
        <v>262</v>
      </c>
      <c r="I5454" s="6" t="s">
        <v>38</v>
      </c>
      <c r="J5454" s="2158">
        <f>L135</f>
        <v>385</v>
      </c>
      <c r="K5454" s="2158">
        <f>ROUND(G5454*J5454,2)</f>
        <v>770</v>
      </c>
      <c r="L5454" s="6"/>
      <c r="M5454" s="6"/>
      <c r="N5454" s="1741"/>
      <c r="O5454" s="1741"/>
      <c r="P5454" s="1741"/>
    </row>
    <row r="5455" spans="1:22" ht="12.75" hidden="1">
      <c r="A5455" s="6"/>
      <c r="B5455" s="6" t="s">
        <v>818</v>
      </c>
      <c r="C5455" s="6"/>
      <c r="D5455" s="6"/>
      <c r="E5455" s="6"/>
      <c r="F5455" s="6"/>
      <c r="G5455" s="2158">
        <v>0.25</v>
      </c>
      <c r="H5455" s="6" t="s">
        <v>262</v>
      </c>
      <c r="I5455" s="6" t="s">
        <v>38</v>
      </c>
      <c r="J5455" s="2158">
        <f>L136</f>
        <v>435</v>
      </c>
      <c r="K5455" s="2158">
        <f>ROUND(G5455*J5455,2)</f>
        <v>108.75</v>
      </c>
      <c r="L5455" s="6"/>
      <c r="M5455" s="6"/>
      <c r="N5455" s="1741"/>
      <c r="O5455" s="1741"/>
      <c r="P5455" s="1741"/>
    </row>
    <row r="5456" spans="1:22" ht="12.75" hidden="1">
      <c r="A5456" s="6"/>
      <c r="B5456" s="6" t="s">
        <v>717</v>
      </c>
      <c r="C5456" s="6"/>
      <c r="D5456" s="6"/>
      <c r="E5456" s="6"/>
      <c r="F5456" s="6"/>
      <c r="G5456" s="2158">
        <v>0.5</v>
      </c>
      <c r="H5456" s="6" t="s">
        <v>262</v>
      </c>
      <c r="I5456" s="6" t="s">
        <v>38</v>
      </c>
      <c r="J5456" s="2158">
        <f>L134</f>
        <v>345</v>
      </c>
      <c r="K5456" s="2158">
        <f>ROUND(G5456*J5456,2)</f>
        <v>172.5</v>
      </c>
      <c r="L5456" s="6"/>
      <c r="M5456" s="6"/>
      <c r="N5456" s="1741"/>
      <c r="O5456" s="1741"/>
      <c r="P5456" s="1741"/>
    </row>
    <row r="5457" spans="1:22" ht="12.75" hidden="1">
      <c r="A5457" s="6"/>
      <c r="B5457" s="6"/>
      <c r="C5457" s="6"/>
      <c r="D5457" s="6"/>
      <c r="E5457" s="6"/>
      <c r="F5457" s="6"/>
      <c r="G5457" s="6"/>
      <c r="H5457" s="6"/>
      <c r="I5457" s="6"/>
      <c r="J5457" s="2226" t="s">
        <v>718</v>
      </c>
      <c r="K5457" s="571">
        <f>SUM(K5454:K5456)</f>
        <v>1051.25</v>
      </c>
      <c r="L5457" s="6"/>
      <c r="M5457" s="6"/>
      <c r="N5457" s="1741"/>
      <c r="O5457" s="1741"/>
      <c r="P5457" s="1741"/>
    </row>
    <row r="5458" spans="1:22" ht="12.75" hidden="1">
      <c r="A5458" s="6"/>
      <c r="B5458" s="2" t="s">
        <v>1222</v>
      </c>
      <c r="C5458" s="6"/>
      <c r="D5458" s="6"/>
      <c r="E5458" s="6"/>
      <c r="F5458" s="6"/>
      <c r="G5458" s="6"/>
      <c r="H5458" s="6"/>
      <c r="I5458" s="6"/>
      <c r="J5458" s="2158"/>
      <c r="K5458" s="2158"/>
      <c r="L5458" s="6"/>
      <c r="M5458" s="6"/>
      <c r="N5458" s="1741"/>
      <c r="O5458" s="1741"/>
      <c r="P5458" s="1741"/>
    </row>
    <row r="5459" spans="1:22" ht="12.75" hidden="1">
      <c r="A5459" s="6"/>
      <c r="B5459" s="6" t="s">
        <v>3382</v>
      </c>
      <c r="C5459" s="6"/>
      <c r="D5459" s="6"/>
      <c r="E5459" s="6"/>
      <c r="F5459" s="6"/>
      <c r="G5459" s="6">
        <v>800</v>
      </c>
      <c r="H5459" s="6" t="s">
        <v>262</v>
      </c>
      <c r="I5459" s="2227">
        <v>1000</v>
      </c>
      <c r="J5459" s="2228">
        <f>G63</f>
        <v>912.84</v>
      </c>
      <c r="K5459" s="2158">
        <f>ROUND(G5459*J5459/1000,2)</f>
        <v>730.27</v>
      </c>
      <c r="L5459" s="6"/>
      <c r="M5459" s="6"/>
      <c r="N5459" s="1741"/>
      <c r="O5459" s="1741"/>
      <c r="P5459" s="1741"/>
    </row>
    <row r="5460" spans="1:22" ht="12.75" hidden="1">
      <c r="A5460" s="6"/>
      <c r="B5460" s="6" t="s">
        <v>8</v>
      </c>
      <c r="C5460" s="6"/>
      <c r="D5460" s="6"/>
      <c r="E5460" s="6"/>
      <c r="F5460" s="6"/>
      <c r="G5460" s="6">
        <v>0.53</v>
      </c>
      <c r="H5460" s="6" t="s">
        <v>125</v>
      </c>
      <c r="I5460" s="2227" t="s">
        <v>125</v>
      </c>
      <c r="J5460" s="2158">
        <f>G50/10</f>
        <v>570.23400000000004</v>
      </c>
      <c r="K5460" s="2158">
        <f>ROUND(G5460*J5460,2)</f>
        <v>302.22000000000003</v>
      </c>
      <c r="L5460" s="6"/>
      <c r="M5460" s="6"/>
      <c r="N5460" s="1741"/>
      <c r="O5460" s="1741"/>
      <c r="P5460" s="1741"/>
    </row>
    <row r="5461" spans="1:22" ht="12.75" hidden="1">
      <c r="A5461" s="6"/>
      <c r="B5461" s="6" t="s">
        <v>775</v>
      </c>
      <c r="C5461" s="6"/>
      <c r="D5461" s="6"/>
      <c r="E5461" s="6"/>
      <c r="F5461" s="6"/>
      <c r="G5461" s="6">
        <v>0.19</v>
      </c>
      <c r="H5461" s="6" t="s">
        <v>49</v>
      </c>
      <c r="I5461" s="2227" t="s">
        <v>49</v>
      </c>
      <c r="J5461" s="2158">
        <f>G46</f>
        <v>76.88</v>
      </c>
      <c r="K5461" s="2158">
        <f>ROUND(G5461*J5461,2)</f>
        <v>14.61</v>
      </c>
      <c r="L5461" s="6"/>
      <c r="M5461" s="6"/>
      <c r="N5461" s="1741"/>
      <c r="O5461" s="1741"/>
      <c r="P5461" s="1741"/>
    </row>
    <row r="5462" spans="1:22" ht="12.75" hidden="1">
      <c r="A5462" s="6"/>
      <c r="B5462" s="6"/>
      <c r="C5462" s="6"/>
      <c r="D5462" s="6"/>
      <c r="E5462" s="6"/>
      <c r="F5462" s="6"/>
      <c r="G5462" s="6"/>
      <c r="H5462" s="6"/>
      <c r="I5462" s="6"/>
      <c r="J5462" s="2226" t="s">
        <v>718</v>
      </c>
      <c r="K5462" s="571">
        <f>SUM(K5460:K5461)</f>
        <v>316.83000000000004</v>
      </c>
      <c r="L5462" s="6"/>
      <c r="M5462" s="6"/>
      <c r="N5462" s="1741"/>
      <c r="O5462" s="1741"/>
      <c r="P5462" s="1741"/>
    </row>
    <row r="5463" spans="1:22" ht="12.75" hidden="1">
      <c r="A5463" s="2114"/>
      <c r="B5463" s="192" t="s">
        <v>783</v>
      </c>
      <c r="C5463" s="568"/>
      <c r="D5463" s="568"/>
      <c r="E5463" s="188"/>
      <c r="F5463" s="188"/>
      <c r="G5463" s="2122"/>
      <c r="H5463" s="568"/>
      <c r="I5463" s="2118"/>
      <c r="J5463" s="2123"/>
      <c r="K5463" s="2123"/>
      <c r="L5463" s="192"/>
      <c r="M5463" s="568"/>
    </row>
    <row r="5464" spans="1:22" ht="12.75" hidden="1">
      <c r="A5464" s="2114"/>
      <c r="B5464" s="6" t="s">
        <v>3382</v>
      </c>
      <c r="C5464" s="568"/>
      <c r="D5464" s="568"/>
      <c r="E5464" s="188"/>
      <c r="F5464" s="188"/>
      <c r="G5464" s="6">
        <f>G5459</f>
        <v>800</v>
      </c>
      <c r="H5464" s="6" t="s">
        <v>262</v>
      </c>
      <c r="I5464" s="2227">
        <v>1000</v>
      </c>
      <c r="J5464" s="2228">
        <f>K63</f>
        <v>377.78861111111109</v>
      </c>
      <c r="K5464" s="2158">
        <f>ROUND(G5464*J5464/1000,2)</f>
        <v>302.23</v>
      </c>
      <c r="L5464" s="192"/>
      <c r="M5464" s="568"/>
    </row>
    <row r="5465" spans="1:22" ht="12.75" hidden="1">
      <c r="A5465" s="2114"/>
      <c r="B5465" s="6" t="s">
        <v>8</v>
      </c>
      <c r="C5465" s="568"/>
      <c r="D5465" s="568"/>
      <c r="E5465" s="188"/>
      <c r="F5465" s="188"/>
      <c r="G5465" s="6">
        <v>0.53</v>
      </c>
      <c r="H5465" s="6" t="s">
        <v>125</v>
      </c>
      <c r="I5465" s="2227" t="s">
        <v>125</v>
      </c>
      <c r="J5465" s="2158">
        <f>K50</f>
        <v>426.22</v>
      </c>
      <c r="K5465" s="2158">
        <f>ROUND(G5465*J5465,2)</f>
        <v>225.9</v>
      </c>
      <c r="L5465" s="192"/>
      <c r="M5465" s="568"/>
    </row>
    <row r="5466" spans="1:22" ht="12.75" hidden="1">
      <c r="A5466" s="2114"/>
      <c r="B5466" s="6" t="s">
        <v>775</v>
      </c>
      <c r="C5466" s="568"/>
      <c r="D5466" s="568"/>
      <c r="E5466" s="188"/>
      <c r="F5466" s="188"/>
      <c r="G5466" s="6">
        <v>0.19</v>
      </c>
      <c r="H5466" s="6" t="s">
        <v>49</v>
      </c>
      <c r="I5466" s="2227" t="s">
        <v>49</v>
      </c>
      <c r="J5466" s="2158">
        <f>K46</f>
        <v>717.46</v>
      </c>
      <c r="K5466" s="2158">
        <f>ROUND(G5466*J5466,2)</f>
        <v>136.32</v>
      </c>
      <c r="L5466" s="192"/>
      <c r="M5466" s="568"/>
    </row>
    <row r="5467" spans="1:22" ht="12.75" hidden="1">
      <c r="A5467" s="2114"/>
      <c r="B5467" s="6"/>
      <c r="C5467" s="568"/>
      <c r="D5467" s="568"/>
      <c r="E5467" s="188"/>
      <c r="F5467" s="188"/>
      <c r="G5467" s="6"/>
      <c r="H5467" s="6"/>
      <c r="I5467" s="2227"/>
      <c r="J5467" s="2226" t="s">
        <v>718</v>
      </c>
      <c r="K5467" s="571">
        <f>SUM(K5464:K5466)</f>
        <v>664.45</v>
      </c>
      <c r="L5467" s="192"/>
      <c r="M5467" s="568"/>
    </row>
    <row r="5468" spans="1:22" ht="12.75" hidden="1">
      <c r="A5468" s="6"/>
      <c r="B5468" s="2" t="s">
        <v>3380</v>
      </c>
      <c r="C5468" s="6"/>
      <c r="D5468" s="6"/>
      <c r="E5468" s="6"/>
      <c r="F5468" s="6"/>
      <c r="G5468" s="6"/>
      <c r="H5468" s="6"/>
      <c r="I5468" s="6"/>
      <c r="J5468" s="2158"/>
      <c r="K5468" s="571">
        <f>SUM(K5462)+K5457+K5467</f>
        <v>2032.53</v>
      </c>
      <c r="L5468" s="6"/>
      <c r="M5468" s="6"/>
      <c r="N5468" s="1741"/>
      <c r="O5468" s="1741"/>
      <c r="P5468" s="1741"/>
    </row>
    <row r="5469" spans="1:22" ht="12.75" hidden="1">
      <c r="A5469" s="6"/>
      <c r="B5469" s="2" t="s">
        <v>1201</v>
      </c>
      <c r="C5469" s="6"/>
      <c r="D5469" s="6"/>
      <c r="E5469" s="6"/>
      <c r="F5469" s="6"/>
      <c r="G5469" s="6"/>
      <c r="H5469" s="6"/>
      <c r="I5469" s="6"/>
      <c r="J5469" s="2158"/>
      <c r="K5469" s="571">
        <f>ROUND(K5468/9.3,2)</f>
        <v>218.55</v>
      </c>
      <c r="L5469" s="6"/>
      <c r="M5469" s="6"/>
      <c r="N5469" s="1741"/>
      <c r="O5469" s="1741"/>
      <c r="P5469" s="1741"/>
    </row>
    <row r="5470" spans="1:22" ht="12.75" hidden="1">
      <c r="A5470" s="6"/>
      <c r="B5470" s="6"/>
      <c r="C5470" s="6"/>
      <c r="D5470" s="6"/>
      <c r="E5470" s="6"/>
      <c r="F5470" s="6"/>
      <c r="G5470" s="6"/>
      <c r="H5470" s="6"/>
      <c r="I5470" s="6"/>
      <c r="J5470" s="10" t="s">
        <v>928</v>
      </c>
      <c r="K5470" s="571">
        <f>SUM(K5469:K5469)</f>
        <v>218.55</v>
      </c>
      <c r="L5470" s="6" t="s">
        <v>730</v>
      </c>
      <c r="M5470" s="6"/>
      <c r="N5470" s="1741"/>
      <c r="O5470" s="1741"/>
      <c r="P5470" s="1741"/>
    </row>
    <row r="5471" spans="1:22" ht="43.15" hidden="1" customHeight="1">
      <c r="A5471" s="11">
        <f>A877</f>
        <v>111</v>
      </c>
      <c r="B5471" s="3035" t="str">
        <f>B877</f>
        <v>20cm to 25cm Double Nuria tiles Roofing with cement Mortar (1:6) borders 23cmx5cm at 1.80mtrs intervals complete per 1Sqm.</v>
      </c>
      <c r="C5471" s="3036"/>
      <c r="D5471" s="3036"/>
      <c r="E5471" s="2158" t="str">
        <f>G1151</f>
        <v>Each Cum</v>
      </c>
      <c r="F5471" s="6"/>
      <c r="G5471" s="6"/>
      <c r="H5471" s="6"/>
      <c r="I5471" s="6"/>
      <c r="J5471" s="6"/>
      <c r="K5471" s="6"/>
      <c r="L5471" s="6"/>
      <c r="M5471" s="6"/>
      <c r="N5471" s="1741"/>
      <c r="O5471" s="1741"/>
      <c r="P5471" s="1741"/>
    </row>
    <row r="5472" spans="1:22" ht="12.75" hidden="1">
      <c r="A5472" s="6"/>
      <c r="B5472" s="2" t="s">
        <v>1220</v>
      </c>
      <c r="C5472" s="6"/>
      <c r="D5472" s="6"/>
      <c r="E5472" s="6"/>
      <c r="F5472" s="6"/>
      <c r="G5472" s="6"/>
      <c r="H5472" s="6"/>
      <c r="I5472" s="6"/>
      <c r="J5472" s="6"/>
      <c r="K5472" s="6"/>
      <c r="L5472" s="6"/>
      <c r="M5472" s="6"/>
      <c r="N5472" s="1741"/>
      <c r="O5472" s="1741"/>
      <c r="P5472" s="1741"/>
      <c r="Q5472" s="1706"/>
      <c r="S5472" s="196"/>
      <c r="T5472" s="2204"/>
      <c r="U5472" s="1990"/>
      <c r="V5472" s="2205"/>
    </row>
    <row r="5473" spans="1:16" ht="12.75" hidden="1">
      <c r="A5473" s="6"/>
      <c r="B5473" s="2" t="s">
        <v>954</v>
      </c>
      <c r="C5473" s="6"/>
      <c r="D5473" s="6"/>
      <c r="E5473" s="6"/>
      <c r="F5473" s="6"/>
      <c r="G5473" s="6"/>
      <c r="H5473" s="6"/>
      <c r="I5473" s="6"/>
      <c r="J5473" s="6"/>
      <c r="K5473" s="6"/>
      <c r="L5473" s="6"/>
      <c r="M5473" s="6"/>
      <c r="N5473" s="1741"/>
      <c r="O5473" s="1741"/>
      <c r="P5473" s="1741"/>
    </row>
    <row r="5474" spans="1:16" ht="12.75" hidden="1">
      <c r="A5474" s="6"/>
      <c r="B5474" s="6" t="s">
        <v>3378</v>
      </c>
      <c r="C5474" s="6"/>
      <c r="D5474" s="6"/>
      <c r="E5474" s="6"/>
      <c r="F5474" s="6"/>
      <c r="G5474" s="2158">
        <v>3</v>
      </c>
      <c r="H5474" s="6" t="s">
        <v>262</v>
      </c>
      <c r="I5474" s="6" t="s">
        <v>38</v>
      </c>
      <c r="J5474" s="2158">
        <f>L135</f>
        <v>385</v>
      </c>
      <c r="K5474" s="2158">
        <f>ROUND(G5474*J5474,2)</f>
        <v>1155</v>
      </c>
      <c r="L5474" s="6"/>
      <c r="M5474" s="6"/>
      <c r="N5474" s="1741"/>
      <c r="O5474" s="1741"/>
      <c r="P5474" s="1741"/>
    </row>
    <row r="5475" spans="1:16" ht="12.75" hidden="1">
      <c r="A5475" s="6"/>
      <c r="B5475" s="6" t="s">
        <v>818</v>
      </c>
      <c r="C5475" s="6"/>
      <c r="D5475" s="6"/>
      <c r="E5475" s="6"/>
      <c r="F5475" s="6"/>
      <c r="G5475" s="2158">
        <v>0.25</v>
      </c>
      <c r="H5475" s="6" t="s">
        <v>262</v>
      </c>
      <c r="I5475" s="6" t="s">
        <v>38</v>
      </c>
      <c r="J5475" s="2158">
        <f>L136</f>
        <v>435</v>
      </c>
      <c r="K5475" s="2158">
        <f>ROUND(G5475*J5475,2)</f>
        <v>108.75</v>
      </c>
      <c r="L5475" s="6"/>
      <c r="M5475" s="6"/>
      <c r="N5475" s="1741"/>
      <c r="O5475" s="1741"/>
      <c r="P5475" s="1741"/>
    </row>
    <row r="5476" spans="1:16" ht="12.75" hidden="1">
      <c r="A5476" s="6"/>
      <c r="B5476" s="6" t="s">
        <v>717</v>
      </c>
      <c r="C5476" s="6"/>
      <c r="D5476" s="6"/>
      <c r="E5476" s="6"/>
      <c r="F5476" s="6"/>
      <c r="G5476" s="2158">
        <v>0.5</v>
      </c>
      <c r="H5476" s="6" t="s">
        <v>262</v>
      </c>
      <c r="I5476" s="6" t="s">
        <v>38</v>
      </c>
      <c r="J5476" s="2158">
        <f>L134</f>
        <v>345</v>
      </c>
      <c r="K5476" s="2158">
        <f>ROUND(G5476*J5476,2)</f>
        <v>172.5</v>
      </c>
      <c r="L5476" s="6"/>
      <c r="M5476" s="6"/>
      <c r="N5476" s="1741"/>
      <c r="O5476" s="1741"/>
      <c r="P5476" s="1741"/>
    </row>
    <row r="5477" spans="1:16" ht="12.75" hidden="1">
      <c r="A5477" s="6"/>
      <c r="B5477" s="6"/>
      <c r="C5477" s="6"/>
      <c r="D5477" s="6"/>
      <c r="E5477" s="6"/>
      <c r="F5477" s="6"/>
      <c r="G5477" s="6"/>
      <c r="H5477" s="6"/>
      <c r="I5477" s="6"/>
      <c r="J5477" s="2226" t="s">
        <v>718</v>
      </c>
      <c r="K5477" s="571">
        <f>SUM(K5474:K5476)</f>
        <v>1436.25</v>
      </c>
      <c r="L5477" s="6"/>
      <c r="M5477" s="6"/>
      <c r="N5477" s="1741"/>
      <c r="O5477" s="1741"/>
      <c r="P5477" s="1741"/>
    </row>
    <row r="5478" spans="1:16" ht="12.75" hidden="1">
      <c r="A5478" s="6"/>
      <c r="B5478" s="2" t="s">
        <v>1222</v>
      </c>
      <c r="C5478" s="6"/>
      <c r="D5478" s="6"/>
      <c r="E5478" s="6"/>
      <c r="F5478" s="6"/>
      <c r="G5478" s="6"/>
      <c r="H5478" s="6"/>
      <c r="I5478" s="6"/>
      <c r="J5478" s="2158"/>
      <c r="K5478" s="2158"/>
      <c r="L5478" s="6"/>
      <c r="M5478" s="6"/>
      <c r="N5478" s="1741"/>
      <c r="O5478" s="1741"/>
      <c r="P5478" s="1741"/>
    </row>
    <row r="5479" spans="1:16" ht="12.75" hidden="1">
      <c r="A5479" s="6"/>
      <c r="B5479" s="6" t="s">
        <v>3379</v>
      </c>
      <c r="C5479" s="6"/>
      <c r="D5479" s="6"/>
      <c r="E5479" s="6"/>
      <c r="F5479" s="6"/>
      <c r="G5479" s="6">
        <v>2000</v>
      </c>
      <c r="H5479" s="6" t="s">
        <v>262</v>
      </c>
      <c r="I5479" s="2227">
        <v>1000</v>
      </c>
      <c r="J5479" s="2158">
        <f>G62</f>
        <v>719.25</v>
      </c>
      <c r="K5479" s="2158">
        <f>ROUND(G5479*J5479/1000,2)</f>
        <v>1438.5</v>
      </c>
      <c r="L5479" s="6"/>
      <c r="M5479" s="6"/>
      <c r="N5479" s="1741"/>
      <c r="O5479" s="1741"/>
      <c r="P5479" s="1741"/>
    </row>
    <row r="5480" spans="1:16" ht="12.75" hidden="1">
      <c r="A5480" s="6"/>
      <c r="B5480" s="6" t="s">
        <v>8</v>
      </c>
      <c r="C5480" s="6"/>
      <c r="D5480" s="6"/>
      <c r="E5480" s="6"/>
      <c r="F5480" s="6"/>
      <c r="G5480" s="6">
        <v>0.53</v>
      </c>
      <c r="H5480" s="6" t="s">
        <v>125</v>
      </c>
      <c r="I5480" s="2227" t="s">
        <v>125</v>
      </c>
      <c r="J5480" s="2158">
        <f>G50/10</f>
        <v>570.23400000000004</v>
      </c>
      <c r="K5480" s="2158">
        <f>ROUND(G5480*J5480,2)</f>
        <v>302.22000000000003</v>
      </c>
      <c r="L5480" s="6"/>
      <c r="M5480" s="6"/>
      <c r="N5480" s="1741"/>
      <c r="O5480" s="1741"/>
      <c r="P5480" s="1741"/>
    </row>
    <row r="5481" spans="1:16" ht="12.75" hidden="1">
      <c r="A5481" s="6"/>
      <c r="B5481" s="6" t="s">
        <v>775</v>
      </c>
      <c r="C5481" s="6"/>
      <c r="D5481" s="6"/>
      <c r="E5481" s="6"/>
      <c r="F5481" s="6"/>
      <c r="G5481" s="6">
        <v>0.19</v>
      </c>
      <c r="H5481" s="6" t="s">
        <v>49</v>
      </c>
      <c r="I5481" s="2227" t="s">
        <v>49</v>
      </c>
      <c r="J5481" s="2158">
        <f>G46</f>
        <v>76.88</v>
      </c>
      <c r="K5481" s="2158">
        <f>ROUND(G5481*J5481,2)</f>
        <v>14.61</v>
      </c>
      <c r="L5481" s="6"/>
      <c r="M5481" s="6"/>
      <c r="N5481" s="1741"/>
      <c r="O5481" s="1741"/>
      <c r="P5481" s="1741"/>
    </row>
    <row r="5482" spans="1:16" ht="12.75" hidden="1">
      <c r="A5482" s="6"/>
      <c r="B5482" s="6"/>
      <c r="C5482" s="6"/>
      <c r="D5482" s="6"/>
      <c r="E5482" s="6"/>
      <c r="F5482" s="6"/>
      <c r="G5482" s="6"/>
      <c r="H5482" s="6"/>
      <c r="I5482" s="6"/>
      <c r="J5482" s="2226" t="s">
        <v>718</v>
      </c>
      <c r="K5482" s="571">
        <f>SUM(K5480:K5481)</f>
        <v>316.83000000000004</v>
      </c>
      <c r="L5482" s="6"/>
      <c r="M5482" s="6"/>
      <c r="N5482" s="1741"/>
      <c r="O5482" s="1741"/>
      <c r="P5482" s="1741"/>
    </row>
    <row r="5483" spans="1:16" ht="12.75" hidden="1">
      <c r="A5483" s="2114"/>
      <c r="B5483" s="192" t="s">
        <v>783</v>
      </c>
      <c r="C5483" s="568"/>
      <c r="D5483" s="568"/>
      <c r="E5483" s="188"/>
      <c r="F5483" s="188"/>
      <c r="G5483" s="2122"/>
      <c r="H5483" s="568"/>
      <c r="I5483" s="2118"/>
      <c r="J5483" s="2123"/>
      <c r="K5483" s="2123"/>
      <c r="L5483" s="192"/>
      <c r="M5483" s="568"/>
    </row>
    <row r="5484" spans="1:16" ht="12.75" hidden="1">
      <c r="A5484" s="2114"/>
      <c r="B5484" s="6" t="s">
        <v>3379</v>
      </c>
      <c r="C5484" s="568"/>
      <c r="D5484" s="568"/>
      <c r="E5484" s="188"/>
      <c r="F5484" s="188"/>
      <c r="G5484" s="6">
        <f>G5479</f>
        <v>2000</v>
      </c>
      <c r="H5484" s="6" t="s">
        <v>262</v>
      </c>
      <c r="I5484" s="2227">
        <v>1000</v>
      </c>
      <c r="J5484" s="2228">
        <f>K62</f>
        <v>255.05944444444447</v>
      </c>
      <c r="K5484" s="2158">
        <f>ROUND(G5484*J5484/1000,2)</f>
        <v>510.12</v>
      </c>
      <c r="L5484" s="192"/>
      <c r="M5484" s="568"/>
    </row>
    <row r="5485" spans="1:16" ht="12.75" hidden="1">
      <c r="A5485" s="2114"/>
      <c r="B5485" s="6" t="s">
        <v>8</v>
      </c>
      <c r="C5485" s="568"/>
      <c r="D5485" s="568"/>
      <c r="E5485" s="188"/>
      <c r="F5485" s="188"/>
      <c r="G5485" s="6">
        <v>0.53</v>
      </c>
      <c r="H5485" s="6" t="s">
        <v>125</v>
      </c>
      <c r="I5485" s="2227" t="s">
        <v>125</v>
      </c>
      <c r="J5485" s="2158">
        <f>K50</f>
        <v>426.22</v>
      </c>
      <c r="K5485" s="2158">
        <f>ROUND(G5485*J5485,2)</f>
        <v>225.9</v>
      </c>
      <c r="L5485" s="192"/>
      <c r="M5485" s="568"/>
    </row>
    <row r="5486" spans="1:16" ht="12.75" hidden="1">
      <c r="A5486" s="2114"/>
      <c r="B5486" s="6" t="s">
        <v>775</v>
      </c>
      <c r="C5486" s="568"/>
      <c r="D5486" s="568"/>
      <c r="E5486" s="188"/>
      <c r="F5486" s="188"/>
      <c r="G5486" s="6">
        <v>0.19</v>
      </c>
      <c r="H5486" s="6" t="s">
        <v>49</v>
      </c>
      <c r="I5486" s="2227" t="s">
        <v>49</v>
      </c>
      <c r="J5486" s="2158">
        <f>K46</f>
        <v>717.46</v>
      </c>
      <c r="K5486" s="2158">
        <f>ROUND(G5486*J5486,2)</f>
        <v>136.32</v>
      </c>
      <c r="L5486" s="192"/>
      <c r="M5486" s="568"/>
    </row>
    <row r="5487" spans="1:16" ht="12.75" hidden="1">
      <c r="A5487" s="2114"/>
      <c r="B5487" s="6"/>
      <c r="C5487" s="568"/>
      <c r="D5487" s="568"/>
      <c r="E5487" s="188"/>
      <c r="F5487" s="188"/>
      <c r="G5487" s="6"/>
      <c r="H5487" s="6"/>
      <c r="I5487" s="2227"/>
      <c r="J5487" s="2226" t="s">
        <v>718</v>
      </c>
      <c r="K5487" s="571">
        <f>SUM(K5484:K5486)</f>
        <v>872.33999999999992</v>
      </c>
      <c r="L5487" s="192"/>
      <c r="M5487" s="568"/>
    </row>
    <row r="5488" spans="1:16" ht="12.75" hidden="1">
      <c r="A5488" s="6"/>
      <c r="B5488" s="2" t="s">
        <v>3380</v>
      </c>
      <c r="C5488" s="6"/>
      <c r="D5488" s="6"/>
      <c r="E5488" s="6"/>
      <c r="F5488" s="6"/>
      <c r="G5488" s="6"/>
      <c r="H5488" s="6"/>
      <c r="I5488" s="6"/>
      <c r="J5488" s="2158"/>
      <c r="K5488" s="571">
        <f>SUM(K5482)+K5477+K5487</f>
        <v>2625.42</v>
      </c>
      <c r="L5488" s="6"/>
      <c r="M5488" s="6"/>
      <c r="N5488" s="1741"/>
      <c r="O5488" s="1741"/>
      <c r="P5488" s="1741"/>
    </row>
    <row r="5489" spans="1:22" ht="12.75" hidden="1">
      <c r="A5489" s="6"/>
      <c r="B5489" s="2" t="s">
        <v>1201</v>
      </c>
      <c r="C5489" s="6"/>
      <c r="D5489" s="6"/>
      <c r="E5489" s="6"/>
      <c r="F5489" s="6"/>
      <c r="G5489" s="6"/>
      <c r="H5489" s="6"/>
      <c r="I5489" s="6"/>
      <c r="J5489" s="2158"/>
      <c r="K5489" s="571">
        <f>ROUND(K5488/9.3,2)</f>
        <v>282.3</v>
      </c>
      <c r="L5489" s="6"/>
      <c r="M5489" s="6"/>
      <c r="N5489" s="1741"/>
      <c r="O5489" s="1741"/>
      <c r="P5489" s="1741"/>
    </row>
    <row r="5490" spans="1:22" ht="12.75" hidden="1">
      <c r="A5490" s="6"/>
      <c r="B5490" s="6"/>
      <c r="C5490" s="6"/>
      <c r="D5490" s="6"/>
      <c r="E5490" s="6"/>
      <c r="F5490" s="6"/>
      <c r="G5490" s="6"/>
      <c r="H5490" s="6"/>
      <c r="I5490" s="6"/>
      <c r="J5490" s="10" t="s">
        <v>928</v>
      </c>
      <c r="K5490" s="571">
        <f>SUM(K5489:K5489)</f>
        <v>282.3</v>
      </c>
      <c r="L5490" s="6" t="s">
        <v>730</v>
      </c>
      <c r="M5490" s="6"/>
      <c r="N5490" s="1741"/>
      <c r="O5490" s="1741"/>
      <c r="P5490" s="1741"/>
    </row>
    <row r="5491" spans="1:22" ht="43.15" hidden="1" customHeight="1">
      <c r="A5491" s="11">
        <f>A878</f>
        <v>112</v>
      </c>
      <c r="B5491" s="3035" t="str">
        <f>B878</f>
        <v>20cm to 30cm Double Nuria tiles Roofing with cement Mortar (1:6) borders 23cmx5cm at 1.80mtrs intervals complete per 1Sqm.</v>
      </c>
      <c r="C5491" s="3036"/>
      <c r="D5491" s="3036"/>
      <c r="E5491" s="2158" t="str">
        <f>G1171</f>
        <v>Each Cum</v>
      </c>
      <c r="F5491" s="6"/>
      <c r="G5491" s="6"/>
      <c r="H5491" s="6"/>
      <c r="I5491" s="6"/>
      <c r="J5491" s="6"/>
      <c r="K5491" s="6"/>
      <c r="L5491" s="6"/>
      <c r="M5491" s="6"/>
      <c r="N5491" s="1741"/>
      <c r="O5491" s="1741"/>
      <c r="P5491" s="1741"/>
    </row>
    <row r="5492" spans="1:22" ht="12.75" hidden="1">
      <c r="A5492" s="6"/>
      <c r="B5492" s="2" t="s">
        <v>1220</v>
      </c>
      <c r="C5492" s="6"/>
      <c r="D5492" s="6"/>
      <c r="E5492" s="6"/>
      <c r="F5492" s="6"/>
      <c r="G5492" s="6"/>
      <c r="H5492" s="6"/>
      <c r="I5492" s="6"/>
      <c r="J5492" s="6"/>
      <c r="K5492" s="6"/>
      <c r="L5492" s="6"/>
      <c r="M5492" s="6"/>
      <c r="N5492" s="1741"/>
      <c r="O5492" s="1741"/>
      <c r="P5492" s="1741"/>
      <c r="Q5492" s="1706"/>
      <c r="S5492" s="196"/>
      <c r="T5492" s="2204"/>
      <c r="U5492" s="1990"/>
      <c r="V5492" s="2205"/>
    </row>
    <row r="5493" spans="1:22" ht="12.75" hidden="1">
      <c r="A5493" s="6"/>
      <c r="B5493" s="2" t="s">
        <v>954</v>
      </c>
      <c r="C5493" s="6"/>
      <c r="D5493" s="6"/>
      <c r="E5493" s="6"/>
      <c r="F5493" s="6"/>
      <c r="G5493" s="6"/>
      <c r="H5493" s="6"/>
      <c r="I5493" s="6"/>
      <c r="J5493" s="6"/>
      <c r="K5493" s="6"/>
      <c r="L5493" s="6"/>
      <c r="M5493" s="6"/>
      <c r="N5493" s="1741"/>
      <c r="O5493" s="1741"/>
      <c r="P5493" s="1741"/>
    </row>
    <row r="5494" spans="1:22" ht="12.75" hidden="1">
      <c r="A5494" s="6"/>
      <c r="B5494" s="6" t="s">
        <v>3378</v>
      </c>
      <c r="C5494" s="6"/>
      <c r="D5494" s="6"/>
      <c r="E5494" s="6"/>
      <c r="F5494" s="6"/>
      <c r="G5494" s="2158">
        <v>3</v>
      </c>
      <c r="H5494" s="6" t="s">
        <v>262</v>
      </c>
      <c r="I5494" s="6" t="s">
        <v>38</v>
      </c>
      <c r="J5494" s="2158">
        <f>L135</f>
        <v>385</v>
      </c>
      <c r="K5494" s="2158">
        <f>ROUND(G5494*J5494,2)</f>
        <v>1155</v>
      </c>
      <c r="L5494" s="6"/>
      <c r="M5494" s="6"/>
      <c r="N5494" s="1741"/>
      <c r="O5494" s="1741"/>
      <c r="P5494" s="1741"/>
    </row>
    <row r="5495" spans="1:22" ht="12.75" hidden="1">
      <c r="A5495" s="6"/>
      <c r="B5495" s="6" t="s">
        <v>818</v>
      </c>
      <c r="C5495" s="6"/>
      <c r="D5495" s="6"/>
      <c r="E5495" s="6"/>
      <c r="F5495" s="6"/>
      <c r="G5495" s="2158">
        <v>0.25</v>
      </c>
      <c r="H5495" s="6" t="s">
        <v>262</v>
      </c>
      <c r="I5495" s="6" t="s">
        <v>38</v>
      </c>
      <c r="J5495" s="2158">
        <f>L136</f>
        <v>435</v>
      </c>
      <c r="K5495" s="2158">
        <f>ROUND(G5495*J5495,2)</f>
        <v>108.75</v>
      </c>
      <c r="L5495" s="6"/>
      <c r="M5495" s="6"/>
      <c r="N5495" s="1741"/>
      <c r="O5495" s="1741"/>
      <c r="P5495" s="1741"/>
    </row>
    <row r="5496" spans="1:22" ht="12.75" hidden="1">
      <c r="A5496" s="6"/>
      <c r="B5496" s="6" t="s">
        <v>717</v>
      </c>
      <c r="C5496" s="6"/>
      <c r="D5496" s="6"/>
      <c r="E5496" s="6"/>
      <c r="F5496" s="6"/>
      <c r="G5496" s="2158">
        <v>0.5</v>
      </c>
      <c r="H5496" s="6" t="s">
        <v>262</v>
      </c>
      <c r="I5496" s="6" t="s">
        <v>38</v>
      </c>
      <c r="J5496" s="2158">
        <f>L134</f>
        <v>345</v>
      </c>
      <c r="K5496" s="2158">
        <f>ROUND(G5496*J5496,2)</f>
        <v>172.5</v>
      </c>
      <c r="L5496" s="6"/>
      <c r="M5496" s="6"/>
      <c r="N5496" s="1741"/>
      <c r="O5496" s="1741"/>
      <c r="P5496" s="1741"/>
    </row>
    <row r="5497" spans="1:22" ht="12.75" hidden="1">
      <c r="A5497" s="6"/>
      <c r="B5497" s="6"/>
      <c r="C5497" s="6"/>
      <c r="D5497" s="6"/>
      <c r="E5497" s="6"/>
      <c r="F5497" s="6"/>
      <c r="G5497" s="6"/>
      <c r="H5497" s="6"/>
      <c r="I5497" s="6"/>
      <c r="J5497" s="2226" t="s">
        <v>718</v>
      </c>
      <c r="K5497" s="571">
        <f>SUM(K5494:K5496)</f>
        <v>1436.25</v>
      </c>
      <c r="L5497" s="6"/>
      <c r="M5497" s="6"/>
      <c r="N5497" s="1741"/>
      <c r="O5497" s="1741"/>
      <c r="P5497" s="1741"/>
    </row>
    <row r="5498" spans="1:22" ht="12.75" hidden="1">
      <c r="A5498" s="6"/>
      <c r="B5498" s="2" t="s">
        <v>1222</v>
      </c>
      <c r="C5498" s="6"/>
      <c r="D5498" s="6"/>
      <c r="E5498" s="6"/>
      <c r="F5498" s="6"/>
      <c r="G5498" s="6"/>
      <c r="H5498" s="6"/>
      <c r="I5498" s="6"/>
      <c r="J5498" s="2158"/>
      <c r="K5498" s="2158"/>
      <c r="L5498" s="6"/>
      <c r="M5498" s="6"/>
      <c r="N5498" s="1741"/>
      <c r="O5498" s="1741"/>
      <c r="P5498" s="1741"/>
    </row>
    <row r="5499" spans="1:22" ht="12.75" hidden="1">
      <c r="A5499" s="6"/>
      <c r="B5499" s="6" t="s">
        <v>3379</v>
      </c>
      <c r="C5499" s="6"/>
      <c r="D5499" s="6"/>
      <c r="E5499" s="6"/>
      <c r="F5499" s="6"/>
      <c r="G5499" s="6">
        <v>1600</v>
      </c>
      <c r="H5499" s="6" t="s">
        <v>262</v>
      </c>
      <c r="I5499" s="2227">
        <v>1000</v>
      </c>
      <c r="J5499" s="2158">
        <f>G63</f>
        <v>912.84</v>
      </c>
      <c r="K5499" s="2158">
        <f>ROUND(G5499*J5499/1000,2)</f>
        <v>1460.54</v>
      </c>
      <c r="L5499" s="6"/>
      <c r="M5499" s="6"/>
      <c r="N5499" s="1741"/>
      <c r="O5499" s="1741"/>
      <c r="P5499" s="1741"/>
    </row>
    <row r="5500" spans="1:22" ht="12.75" hidden="1">
      <c r="A5500" s="6"/>
      <c r="B5500" s="6" t="s">
        <v>8</v>
      </c>
      <c r="C5500" s="6"/>
      <c r="D5500" s="6"/>
      <c r="E5500" s="6"/>
      <c r="F5500" s="6"/>
      <c r="G5500" s="6">
        <v>0.53</v>
      </c>
      <c r="H5500" s="6" t="s">
        <v>125</v>
      </c>
      <c r="I5500" s="2227" t="s">
        <v>125</v>
      </c>
      <c r="J5500" s="2158">
        <f>G50/10</f>
        <v>570.23400000000004</v>
      </c>
      <c r="K5500" s="2158">
        <f>ROUND(G5500*J5500,2)</f>
        <v>302.22000000000003</v>
      </c>
      <c r="L5500" s="6"/>
      <c r="M5500" s="6"/>
      <c r="N5500" s="1741"/>
      <c r="O5500" s="1741"/>
      <c r="P5500" s="1741"/>
    </row>
    <row r="5501" spans="1:22" ht="12.75" hidden="1">
      <c r="A5501" s="6"/>
      <c r="B5501" s="6" t="s">
        <v>775</v>
      </c>
      <c r="C5501" s="6"/>
      <c r="D5501" s="6"/>
      <c r="E5501" s="6"/>
      <c r="F5501" s="6"/>
      <c r="G5501" s="6">
        <v>0.19</v>
      </c>
      <c r="H5501" s="6" t="s">
        <v>49</v>
      </c>
      <c r="I5501" s="2227" t="s">
        <v>49</v>
      </c>
      <c r="J5501" s="2158">
        <f>G46</f>
        <v>76.88</v>
      </c>
      <c r="K5501" s="2158">
        <f>ROUND(G5501*J5501,2)</f>
        <v>14.61</v>
      </c>
      <c r="L5501" s="6"/>
      <c r="M5501" s="6"/>
      <c r="N5501" s="1741"/>
      <c r="O5501" s="1741"/>
      <c r="P5501" s="1741"/>
    </row>
    <row r="5502" spans="1:22" ht="12.75" hidden="1">
      <c r="A5502" s="6"/>
      <c r="B5502" s="6"/>
      <c r="C5502" s="6"/>
      <c r="D5502" s="6"/>
      <c r="E5502" s="6"/>
      <c r="F5502" s="6"/>
      <c r="G5502" s="6"/>
      <c r="H5502" s="6"/>
      <c r="I5502" s="6"/>
      <c r="J5502" s="2226" t="s">
        <v>718</v>
      </c>
      <c r="K5502" s="571">
        <f>SUM(K5500:K5501)</f>
        <v>316.83000000000004</v>
      </c>
      <c r="L5502" s="6"/>
      <c r="M5502" s="6"/>
      <c r="N5502" s="1741"/>
      <c r="O5502" s="1741"/>
      <c r="P5502" s="1741"/>
    </row>
    <row r="5503" spans="1:22" ht="12.75" hidden="1">
      <c r="A5503" s="2114"/>
      <c r="B5503" s="192" t="s">
        <v>783</v>
      </c>
      <c r="C5503" s="568"/>
      <c r="D5503" s="568"/>
      <c r="E5503" s="188"/>
      <c r="F5503" s="188"/>
      <c r="G5503" s="2122"/>
      <c r="H5503" s="568"/>
      <c r="I5503" s="2118"/>
      <c r="J5503" s="2123"/>
      <c r="K5503" s="2123"/>
      <c r="L5503" s="192"/>
      <c r="M5503" s="568"/>
    </row>
    <row r="5504" spans="1:22" ht="12.75" hidden="1">
      <c r="A5504" s="2114"/>
      <c r="B5504" s="6" t="s">
        <v>3379</v>
      </c>
      <c r="C5504" s="568"/>
      <c r="D5504" s="568"/>
      <c r="E5504" s="188"/>
      <c r="F5504" s="188"/>
      <c r="G5504" s="6">
        <f>G5499</f>
        <v>1600</v>
      </c>
      <c r="H5504" s="6" t="s">
        <v>262</v>
      </c>
      <c r="I5504" s="2227">
        <v>1000</v>
      </c>
      <c r="J5504" s="2228">
        <f>K63</f>
        <v>377.78861111111109</v>
      </c>
      <c r="K5504" s="2158">
        <f>ROUND(G5504*J5504/1000,2)</f>
        <v>604.46</v>
      </c>
      <c r="L5504" s="192"/>
      <c r="M5504" s="568"/>
    </row>
    <row r="5505" spans="1:22" ht="12.75" hidden="1">
      <c r="A5505" s="2114"/>
      <c r="B5505" s="6" t="s">
        <v>8</v>
      </c>
      <c r="C5505" s="568"/>
      <c r="D5505" s="568"/>
      <c r="E5505" s="188"/>
      <c r="F5505" s="188"/>
      <c r="G5505" s="6">
        <v>0.53</v>
      </c>
      <c r="H5505" s="6" t="s">
        <v>125</v>
      </c>
      <c r="I5505" s="2227" t="s">
        <v>125</v>
      </c>
      <c r="J5505" s="2158">
        <f>K50</f>
        <v>426.22</v>
      </c>
      <c r="K5505" s="2158">
        <f>ROUND(G5505*J5505,2)</f>
        <v>225.9</v>
      </c>
      <c r="L5505" s="192"/>
      <c r="M5505" s="568"/>
    </row>
    <row r="5506" spans="1:22" ht="12.75" hidden="1">
      <c r="A5506" s="2114"/>
      <c r="B5506" s="6" t="s">
        <v>775</v>
      </c>
      <c r="C5506" s="568"/>
      <c r="D5506" s="568"/>
      <c r="E5506" s="188"/>
      <c r="F5506" s="188"/>
      <c r="G5506" s="6">
        <v>0.19</v>
      </c>
      <c r="H5506" s="6" t="s">
        <v>49</v>
      </c>
      <c r="I5506" s="2227" t="s">
        <v>49</v>
      </c>
      <c r="J5506" s="2158">
        <f>K46</f>
        <v>717.46</v>
      </c>
      <c r="K5506" s="2158">
        <f>ROUND(G5506*J5506,2)</f>
        <v>136.32</v>
      </c>
      <c r="L5506" s="192"/>
      <c r="M5506" s="568"/>
    </row>
    <row r="5507" spans="1:22" ht="12.75" hidden="1">
      <c r="A5507" s="2114"/>
      <c r="B5507" s="6"/>
      <c r="C5507" s="568"/>
      <c r="D5507" s="568"/>
      <c r="E5507" s="188"/>
      <c r="F5507" s="188"/>
      <c r="G5507" s="6"/>
      <c r="H5507" s="6"/>
      <c r="I5507" s="2227"/>
      <c r="J5507" s="2226" t="s">
        <v>718</v>
      </c>
      <c r="K5507" s="571">
        <f>SUM(K5504:K5506)</f>
        <v>966.68000000000006</v>
      </c>
      <c r="L5507" s="192"/>
      <c r="M5507" s="568"/>
    </row>
    <row r="5508" spans="1:22" ht="12.75" hidden="1">
      <c r="A5508" s="6"/>
      <c r="B5508" s="2" t="s">
        <v>3380</v>
      </c>
      <c r="C5508" s="6"/>
      <c r="D5508" s="6"/>
      <c r="E5508" s="6"/>
      <c r="F5508" s="6"/>
      <c r="G5508" s="6"/>
      <c r="H5508" s="6"/>
      <c r="I5508" s="6"/>
      <c r="J5508" s="2158"/>
      <c r="K5508" s="571">
        <f>SUM(K5502)+K5497+K5507</f>
        <v>2719.76</v>
      </c>
      <c r="L5508" s="6"/>
      <c r="M5508" s="6"/>
      <c r="N5508" s="1741"/>
      <c r="O5508" s="1741"/>
      <c r="P5508" s="1741"/>
    </row>
    <row r="5509" spans="1:22" ht="12.75" hidden="1">
      <c r="A5509" s="6"/>
      <c r="B5509" s="2" t="s">
        <v>1201</v>
      </c>
      <c r="C5509" s="6"/>
      <c r="D5509" s="6"/>
      <c r="E5509" s="6"/>
      <c r="F5509" s="6"/>
      <c r="G5509" s="6"/>
      <c r="H5509" s="6"/>
      <c r="I5509" s="6"/>
      <c r="J5509" s="2158"/>
      <c r="K5509" s="571">
        <f>ROUND(K5508/9.3,2)</f>
        <v>292.45</v>
      </c>
      <c r="L5509" s="6"/>
      <c r="M5509" s="6"/>
      <c r="N5509" s="1741"/>
      <c r="O5509" s="1741"/>
      <c r="P5509" s="1741"/>
    </row>
    <row r="5510" spans="1:22" ht="12.75" hidden="1">
      <c r="A5510" s="6"/>
      <c r="B5510" s="6"/>
      <c r="C5510" s="6"/>
      <c r="D5510" s="6"/>
      <c r="E5510" s="6"/>
      <c r="F5510" s="6"/>
      <c r="G5510" s="6"/>
      <c r="H5510" s="6"/>
      <c r="I5510" s="6"/>
      <c r="J5510" s="10" t="s">
        <v>928</v>
      </c>
      <c r="K5510" s="571">
        <f>SUM(K5509:K5509)</f>
        <v>292.45</v>
      </c>
      <c r="L5510" s="6" t="s">
        <v>730</v>
      </c>
      <c r="M5510" s="6"/>
      <c r="N5510" s="1741"/>
      <c r="O5510" s="1741"/>
      <c r="P5510" s="1741"/>
    </row>
    <row r="5511" spans="1:22" s="2168" customFormat="1" ht="30" hidden="1" customHeight="1">
      <c r="A5511" s="2217" t="str">
        <f>A902</f>
        <v>A)</v>
      </c>
      <c r="B5511" s="3040" t="s">
        <v>3386</v>
      </c>
      <c r="C5511" s="3040"/>
      <c r="D5511" s="3040"/>
      <c r="E5511" s="2216" t="str">
        <f>G1191</f>
        <v>Each Cum</v>
      </c>
      <c r="F5511" s="2218"/>
      <c r="G5511" s="2218"/>
      <c r="H5511" s="2218"/>
      <c r="I5511" s="2218"/>
      <c r="J5511" s="2218"/>
      <c r="K5511" s="2218"/>
      <c r="L5511" s="2218"/>
      <c r="M5511" s="2218"/>
      <c r="N5511" s="2219"/>
      <c r="O5511" s="2219"/>
      <c r="P5511" s="2219"/>
      <c r="T5511" s="2166"/>
    </row>
    <row r="5512" spans="1:22" s="2168" customFormat="1" ht="12.75" hidden="1">
      <c r="A5512" s="2218"/>
      <c r="B5512" s="2220" t="s">
        <v>1220</v>
      </c>
      <c r="C5512" s="2218"/>
      <c r="D5512" s="2218"/>
      <c r="E5512" s="2218"/>
      <c r="F5512" s="2218"/>
      <c r="G5512" s="2218"/>
      <c r="H5512" s="2218"/>
      <c r="I5512" s="2218"/>
      <c r="J5512" s="2218"/>
      <c r="K5512" s="2218"/>
      <c r="L5512" s="2218"/>
      <c r="M5512" s="2218"/>
      <c r="N5512" s="2219"/>
      <c r="O5512" s="2219"/>
      <c r="P5512" s="2219"/>
      <c r="Q5512" s="2166"/>
      <c r="S5512" s="2229"/>
      <c r="T5512" s="2230"/>
      <c r="U5512" s="2231"/>
      <c r="V5512" s="2232"/>
    </row>
    <row r="5513" spans="1:22" s="2168" customFormat="1" ht="12.75" hidden="1">
      <c r="A5513" s="2218"/>
      <c r="B5513" s="2220" t="s">
        <v>954</v>
      </c>
      <c r="C5513" s="2218"/>
      <c r="D5513" s="2218"/>
      <c r="E5513" s="2218"/>
      <c r="F5513" s="2218"/>
      <c r="G5513" s="2218"/>
      <c r="H5513" s="2218"/>
      <c r="I5513" s="2218"/>
      <c r="J5513" s="2218"/>
      <c r="K5513" s="2218"/>
      <c r="L5513" s="2218"/>
      <c r="M5513" s="2218"/>
      <c r="N5513" s="2219"/>
      <c r="O5513" s="2219"/>
      <c r="P5513" s="2219"/>
      <c r="T5513" s="2166"/>
    </row>
    <row r="5514" spans="1:22" s="2168" customFormat="1" ht="12.75" hidden="1">
      <c r="A5514" s="2218"/>
      <c r="B5514" s="2218" t="s">
        <v>817</v>
      </c>
      <c r="C5514" s="2218"/>
      <c r="D5514" s="2218"/>
      <c r="E5514" s="2218"/>
      <c r="F5514" s="2218"/>
      <c r="G5514" s="2216">
        <v>1.25</v>
      </c>
      <c r="H5514" s="2218" t="s">
        <v>262</v>
      </c>
      <c r="I5514" s="2218" t="s">
        <v>38</v>
      </c>
      <c r="J5514" s="2216">
        <f>L137</f>
        <v>495</v>
      </c>
      <c r="K5514" s="2216">
        <f>ROUND(G5514*J5514,2)</f>
        <v>618.75</v>
      </c>
      <c r="L5514" s="2218"/>
      <c r="M5514" s="2218"/>
      <c r="N5514" s="2219"/>
      <c r="O5514" s="2219"/>
      <c r="P5514" s="2219"/>
      <c r="T5514" s="2166"/>
    </row>
    <row r="5515" spans="1:22" s="2168" customFormat="1" ht="12.75" hidden="1">
      <c r="A5515" s="2218"/>
      <c r="B5515" s="2218" t="s">
        <v>717</v>
      </c>
      <c r="C5515" s="2218"/>
      <c r="D5515" s="2218"/>
      <c r="E5515" s="2218"/>
      <c r="F5515" s="2218"/>
      <c r="G5515" s="2216">
        <v>4.5</v>
      </c>
      <c r="H5515" s="2218" t="s">
        <v>262</v>
      </c>
      <c r="I5515" s="2218" t="s">
        <v>38</v>
      </c>
      <c r="J5515" s="2216">
        <f>L134</f>
        <v>345</v>
      </c>
      <c r="K5515" s="2216">
        <f>ROUND(G5515*J5515,2)</f>
        <v>1552.5</v>
      </c>
      <c r="L5515" s="2218"/>
      <c r="M5515" s="2218"/>
      <c r="N5515" s="2219"/>
      <c r="O5515" s="2219"/>
      <c r="P5515" s="2219"/>
      <c r="T5515" s="2166"/>
    </row>
    <row r="5516" spans="1:22" s="2168" customFormat="1" ht="12.75" hidden="1">
      <c r="A5516" s="2218"/>
      <c r="B5516" s="2218"/>
      <c r="C5516" s="2218"/>
      <c r="D5516" s="2218"/>
      <c r="E5516" s="2218"/>
      <c r="F5516" s="2218"/>
      <c r="G5516" s="2218"/>
      <c r="H5516" s="2218"/>
      <c r="I5516" s="2218"/>
      <c r="J5516" s="2221" t="s">
        <v>718</v>
      </c>
      <c r="K5516" s="2222">
        <f>SUM(K5514:K5515)</f>
        <v>2171.25</v>
      </c>
      <c r="L5516" s="2218"/>
      <c r="M5516" s="2218"/>
      <c r="N5516" s="2219"/>
      <c r="O5516" s="2219"/>
      <c r="P5516" s="2219"/>
      <c r="T5516" s="2166"/>
    </row>
    <row r="5517" spans="1:22" s="2168" customFormat="1" ht="12.75" hidden="1">
      <c r="A5517" s="2218"/>
      <c r="B5517" s="2220" t="s">
        <v>1222</v>
      </c>
      <c r="C5517" s="2218"/>
      <c r="D5517" s="2218"/>
      <c r="E5517" s="2218"/>
      <c r="F5517" s="2218"/>
      <c r="G5517" s="2218"/>
      <c r="H5517" s="2218"/>
      <c r="I5517" s="2218"/>
      <c r="J5517" s="2216"/>
      <c r="K5517" s="2216"/>
      <c r="L5517" s="2218"/>
      <c r="M5517" s="2218"/>
      <c r="N5517" s="2219"/>
      <c r="O5517" s="2219"/>
      <c r="P5517" s="2219"/>
      <c r="T5517" s="2166"/>
    </row>
    <row r="5518" spans="1:22" s="2168" customFormat="1" ht="12.75" hidden="1">
      <c r="A5518" s="2218"/>
      <c r="B5518" s="2218" t="s">
        <v>3387</v>
      </c>
      <c r="C5518" s="2218"/>
      <c r="D5518" s="2218"/>
      <c r="E5518" s="2218"/>
      <c r="F5518" s="2218"/>
      <c r="G5518" s="2218">
        <v>2400</v>
      </c>
      <c r="H5518" s="2218" t="s">
        <v>262</v>
      </c>
      <c r="I5518" s="2223">
        <v>1000</v>
      </c>
      <c r="J5518" s="2216">
        <f>G64</f>
        <v>249.61</v>
      </c>
      <c r="K5518" s="2216">
        <f>ROUND(G5518*J5518/1000,2)</f>
        <v>599.05999999999995</v>
      </c>
      <c r="L5518" s="2218"/>
      <c r="M5518" s="2218"/>
      <c r="N5518" s="2219"/>
      <c r="O5518" s="2219"/>
      <c r="P5518" s="2219"/>
      <c r="T5518" s="2166"/>
    </row>
    <row r="5519" spans="1:22" s="2168" customFormat="1" ht="12.75" hidden="1">
      <c r="A5519" s="2218"/>
      <c r="B5519" s="2218" t="s">
        <v>8</v>
      </c>
      <c r="C5519" s="2218"/>
      <c r="D5519" s="2218"/>
      <c r="E5519" s="2218"/>
      <c r="F5519" s="2218"/>
      <c r="G5519" s="2218">
        <v>0.53</v>
      </c>
      <c r="H5519" s="2218" t="s">
        <v>125</v>
      </c>
      <c r="I5519" s="2223" t="s">
        <v>125</v>
      </c>
      <c r="J5519" s="2216">
        <f>G50/10</f>
        <v>570.23400000000004</v>
      </c>
      <c r="K5519" s="2216">
        <f>ROUND(G5519*J5519,2)</f>
        <v>302.22000000000003</v>
      </c>
      <c r="L5519" s="2218"/>
      <c r="M5519" s="2218"/>
      <c r="N5519" s="2219"/>
      <c r="O5519" s="2219"/>
      <c r="P5519" s="2219"/>
      <c r="T5519" s="2166"/>
    </row>
    <row r="5520" spans="1:22" s="2168" customFormat="1" ht="12.75" hidden="1">
      <c r="A5520" s="2218"/>
      <c r="B5520" s="2218" t="s">
        <v>775</v>
      </c>
      <c r="C5520" s="2218"/>
      <c r="D5520" s="2218"/>
      <c r="E5520" s="2218"/>
      <c r="F5520" s="2218"/>
      <c r="G5520" s="2218">
        <v>0.19</v>
      </c>
      <c r="H5520" s="2218" t="s">
        <v>49</v>
      </c>
      <c r="I5520" s="2223" t="s">
        <v>49</v>
      </c>
      <c r="J5520" s="2216">
        <f>G46</f>
        <v>76.88</v>
      </c>
      <c r="K5520" s="2216">
        <f>ROUND(G5520*J5520,2)</f>
        <v>14.61</v>
      </c>
      <c r="L5520" s="2218"/>
      <c r="M5520" s="2218"/>
      <c r="N5520" s="2219"/>
      <c r="O5520" s="2219"/>
      <c r="P5520" s="2219"/>
      <c r="T5520" s="2166"/>
    </row>
    <row r="5521" spans="1:22" s="2168" customFormat="1" ht="12.75" hidden="1">
      <c r="A5521" s="2218"/>
      <c r="B5521" s="2218"/>
      <c r="C5521" s="2218"/>
      <c r="D5521" s="2218"/>
      <c r="E5521" s="2218"/>
      <c r="F5521" s="2218"/>
      <c r="G5521" s="2218"/>
      <c r="H5521" s="2218"/>
      <c r="I5521" s="2218"/>
      <c r="J5521" s="2221" t="s">
        <v>718</v>
      </c>
      <c r="K5521" s="2222">
        <f>SUM(K5519:K5520)</f>
        <v>316.83000000000004</v>
      </c>
      <c r="L5521" s="2218"/>
      <c r="M5521" s="2218"/>
      <c r="N5521" s="2219"/>
      <c r="O5521" s="2219"/>
      <c r="P5521" s="2219"/>
      <c r="T5521" s="2166"/>
    </row>
    <row r="5522" spans="1:22" ht="12.75" hidden="1">
      <c r="A5522" s="2224"/>
      <c r="B5522" s="2138" t="s">
        <v>783</v>
      </c>
      <c r="C5522" s="2139"/>
      <c r="D5522" s="2139"/>
      <c r="E5522" s="2212"/>
      <c r="F5522" s="2212"/>
      <c r="G5522" s="2172"/>
      <c r="H5522" s="2139"/>
      <c r="I5522" s="2214"/>
      <c r="J5522" s="2159"/>
      <c r="K5522" s="2159"/>
      <c r="L5522" s="2138"/>
      <c r="M5522" s="2139"/>
      <c r="N5522" s="2168"/>
    </row>
    <row r="5523" spans="1:22" ht="12.75" hidden="1">
      <c r="A5523" s="2224"/>
      <c r="B5523" s="2218" t="s">
        <v>3387</v>
      </c>
      <c r="C5523" s="2139"/>
      <c r="D5523" s="2139"/>
      <c r="E5523" s="2212"/>
      <c r="F5523" s="2212"/>
      <c r="G5523" s="2218">
        <f>G5518</f>
        <v>2400</v>
      </c>
      <c r="H5523" s="2218" t="s">
        <v>262</v>
      </c>
      <c r="I5523" s="2223">
        <v>1000</v>
      </c>
      <c r="J5523" s="2233">
        <f>K64</f>
        <v>0</v>
      </c>
      <c r="K5523" s="2216">
        <f>ROUND(G5523*J5523/1000,2)</f>
        <v>0</v>
      </c>
      <c r="L5523" s="2138"/>
      <c r="M5523" s="2139"/>
      <c r="N5523" s="2168"/>
    </row>
    <row r="5524" spans="1:22" ht="12.75" hidden="1">
      <c r="A5524" s="2224"/>
      <c r="B5524" s="2218" t="s">
        <v>8</v>
      </c>
      <c r="C5524" s="2139"/>
      <c r="D5524" s="2139"/>
      <c r="E5524" s="2212"/>
      <c r="F5524" s="2212"/>
      <c r="G5524" s="2218">
        <v>0.53</v>
      </c>
      <c r="H5524" s="2218" t="s">
        <v>125</v>
      </c>
      <c r="I5524" s="2223" t="s">
        <v>125</v>
      </c>
      <c r="J5524" s="2216">
        <f>K50</f>
        <v>426.22</v>
      </c>
      <c r="K5524" s="2216">
        <f>ROUND(G5524*J5524,2)</f>
        <v>225.9</v>
      </c>
      <c r="L5524" s="2138"/>
      <c r="M5524" s="2139"/>
      <c r="N5524" s="2168"/>
    </row>
    <row r="5525" spans="1:22" ht="12.75" hidden="1">
      <c r="A5525" s="2224"/>
      <c r="B5525" s="2218" t="s">
        <v>775</v>
      </c>
      <c r="C5525" s="2139"/>
      <c r="D5525" s="2139"/>
      <c r="E5525" s="2212"/>
      <c r="F5525" s="2212"/>
      <c r="G5525" s="2218">
        <v>0.19</v>
      </c>
      <c r="H5525" s="2218" t="s">
        <v>49</v>
      </c>
      <c r="I5525" s="2223" t="s">
        <v>49</v>
      </c>
      <c r="J5525" s="2216">
        <f>K46</f>
        <v>717.46</v>
      </c>
      <c r="K5525" s="2216">
        <f>ROUND(G5525*J5525,2)</f>
        <v>136.32</v>
      </c>
      <c r="L5525" s="2138"/>
      <c r="M5525" s="2139"/>
      <c r="N5525" s="2168"/>
    </row>
    <row r="5526" spans="1:22" ht="12.75" hidden="1">
      <c r="A5526" s="2224"/>
      <c r="B5526" s="2218"/>
      <c r="C5526" s="2139"/>
      <c r="D5526" s="2139"/>
      <c r="E5526" s="2212"/>
      <c r="F5526" s="2212"/>
      <c r="G5526" s="2218"/>
      <c r="H5526" s="2218"/>
      <c r="I5526" s="2223"/>
      <c r="J5526" s="2221" t="s">
        <v>718</v>
      </c>
      <c r="K5526" s="2222">
        <f>SUM(K5523:K5525)</f>
        <v>362.22</v>
      </c>
      <c r="L5526" s="2138"/>
      <c r="M5526" s="2139"/>
      <c r="N5526" s="2168"/>
    </row>
    <row r="5527" spans="1:22" s="2168" customFormat="1" ht="12.75" hidden="1">
      <c r="A5527" s="2218"/>
      <c r="B5527" s="2220" t="s">
        <v>3380</v>
      </c>
      <c r="C5527" s="2218"/>
      <c r="D5527" s="2218"/>
      <c r="E5527" s="2218"/>
      <c r="F5527" s="2218"/>
      <c r="G5527" s="2218"/>
      <c r="H5527" s="2218"/>
      <c r="I5527" s="2218"/>
      <c r="J5527" s="2216"/>
      <c r="K5527" s="2222">
        <f>SUM(K5521)+K5516+K5526</f>
        <v>2850.3</v>
      </c>
      <c r="L5527" s="2218"/>
      <c r="M5527" s="2218"/>
      <c r="N5527" s="2219"/>
      <c r="O5527" s="2219"/>
      <c r="P5527" s="2219"/>
      <c r="T5527" s="2166"/>
    </row>
    <row r="5528" spans="1:22" s="2168" customFormat="1" ht="12.75" hidden="1">
      <c r="A5528" s="2218"/>
      <c r="B5528" s="2220" t="s">
        <v>1201</v>
      </c>
      <c r="C5528" s="2218"/>
      <c r="D5528" s="2218"/>
      <c r="E5528" s="2218"/>
      <c r="F5528" s="2218"/>
      <c r="G5528" s="2218"/>
      <c r="H5528" s="2218"/>
      <c r="I5528" s="2218"/>
      <c r="J5528" s="2216"/>
      <c r="K5528" s="2222">
        <f>ROUND(K5527/9.3,2)</f>
        <v>306.48</v>
      </c>
      <c r="L5528" s="2218"/>
      <c r="M5528" s="2218"/>
      <c r="N5528" s="2219"/>
      <c r="O5528" s="2219"/>
      <c r="P5528" s="2219"/>
      <c r="T5528" s="2166"/>
    </row>
    <row r="5529" spans="1:22" s="2168" customFormat="1" ht="12.75" hidden="1">
      <c r="A5529" s="2218"/>
      <c r="B5529" s="2218"/>
      <c r="C5529" s="2218"/>
      <c r="D5529" s="2218"/>
      <c r="E5529" s="2218"/>
      <c r="F5529" s="2218"/>
      <c r="G5529" s="2218"/>
      <c r="H5529" s="2218"/>
      <c r="I5529" s="2218"/>
      <c r="J5529" s="2225" t="s">
        <v>928</v>
      </c>
      <c r="K5529" s="2222">
        <f>SUM(K5528:K5528)</f>
        <v>306.48</v>
      </c>
      <c r="L5529" s="2218" t="s">
        <v>730</v>
      </c>
      <c r="M5529" s="2218"/>
      <c r="N5529" s="2219"/>
      <c r="O5529" s="2219"/>
      <c r="P5529" s="2219"/>
      <c r="T5529" s="2166"/>
    </row>
    <row r="5530" spans="1:22" s="2168" customFormat="1" ht="28.15" hidden="1" customHeight="1">
      <c r="A5530" s="2217" t="str">
        <f>A931</f>
        <v>(ii)</v>
      </c>
      <c r="B5530" s="3040" t="s">
        <v>3388</v>
      </c>
      <c r="C5530" s="3040"/>
      <c r="D5530" s="3040"/>
      <c r="E5530" s="2216" t="str">
        <f>G1210</f>
        <v>Each Mtr</v>
      </c>
      <c r="F5530" s="2218"/>
      <c r="G5530" s="2218"/>
      <c r="H5530" s="2218"/>
      <c r="I5530" s="2218"/>
      <c r="J5530" s="2218"/>
      <c r="K5530" s="2218"/>
      <c r="L5530" s="2218"/>
      <c r="M5530" s="2218"/>
      <c r="N5530" s="2219"/>
      <c r="O5530" s="2219"/>
      <c r="P5530" s="2219"/>
      <c r="T5530" s="2166"/>
    </row>
    <row r="5531" spans="1:22" s="2168" customFormat="1" ht="12.75" hidden="1">
      <c r="A5531" s="2218"/>
      <c r="B5531" s="2220" t="s">
        <v>1220</v>
      </c>
      <c r="C5531" s="2218"/>
      <c r="D5531" s="2218"/>
      <c r="E5531" s="2218"/>
      <c r="F5531" s="2218"/>
      <c r="G5531" s="2218"/>
      <c r="H5531" s="2218"/>
      <c r="I5531" s="2218"/>
      <c r="J5531" s="2218"/>
      <c r="K5531" s="2218"/>
      <c r="L5531" s="2218"/>
      <c r="M5531" s="2218"/>
      <c r="N5531" s="2219"/>
      <c r="O5531" s="2219"/>
      <c r="P5531" s="2219"/>
      <c r="Q5531" s="2166"/>
      <c r="S5531" s="2229"/>
      <c r="T5531" s="2230"/>
      <c r="U5531" s="2231"/>
      <c r="V5531" s="2232"/>
    </row>
    <row r="5532" spans="1:22" s="2168" customFormat="1" ht="12.75" hidden="1">
      <c r="A5532" s="2218"/>
      <c r="B5532" s="2220" t="s">
        <v>954</v>
      </c>
      <c r="C5532" s="2218"/>
      <c r="D5532" s="2218"/>
      <c r="E5532" s="2218"/>
      <c r="F5532" s="2218"/>
      <c r="G5532" s="2218"/>
      <c r="H5532" s="2218"/>
      <c r="I5532" s="2218"/>
      <c r="J5532" s="2218"/>
      <c r="K5532" s="2218"/>
      <c r="L5532" s="2218"/>
      <c r="M5532" s="2218"/>
      <c r="N5532" s="2219"/>
      <c r="O5532" s="2219"/>
      <c r="P5532" s="2219"/>
      <c r="T5532" s="2166"/>
    </row>
    <row r="5533" spans="1:22" s="2168" customFormat="1" ht="12.75" hidden="1">
      <c r="A5533" s="2218"/>
      <c r="B5533" s="2218" t="s">
        <v>817</v>
      </c>
      <c r="C5533" s="2218"/>
      <c r="D5533" s="2218"/>
      <c r="E5533" s="2218"/>
      <c r="F5533" s="2218"/>
      <c r="G5533" s="2216">
        <v>1</v>
      </c>
      <c r="H5533" s="2218" t="s">
        <v>262</v>
      </c>
      <c r="I5533" s="2218" t="s">
        <v>38</v>
      </c>
      <c r="J5533" s="2216">
        <f>L137</f>
        <v>495</v>
      </c>
      <c r="K5533" s="2216">
        <f>ROUND(G5533*J5533,2)</f>
        <v>495</v>
      </c>
      <c r="L5533" s="2218"/>
      <c r="M5533" s="2218"/>
      <c r="N5533" s="2219"/>
      <c r="O5533" s="2219"/>
      <c r="P5533" s="2219"/>
      <c r="T5533" s="2166"/>
    </row>
    <row r="5534" spans="1:22" s="2168" customFormat="1" ht="12.75" hidden="1">
      <c r="A5534" s="2218"/>
      <c r="B5534" s="2218" t="s">
        <v>717</v>
      </c>
      <c r="C5534" s="2218"/>
      <c r="D5534" s="2218"/>
      <c r="E5534" s="2218"/>
      <c r="F5534" s="2218"/>
      <c r="G5534" s="2216">
        <v>4.5</v>
      </c>
      <c r="H5534" s="2218" t="s">
        <v>262</v>
      </c>
      <c r="I5534" s="2218" t="s">
        <v>38</v>
      </c>
      <c r="J5534" s="2216">
        <f>L134</f>
        <v>345</v>
      </c>
      <c r="K5534" s="2216">
        <f>ROUND(G5534*J5534,2)</f>
        <v>1552.5</v>
      </c>
      <c r="L5534" s="2218"/>
      <c r="M5534" s="2218"/>
      <c r="N5534" s="2219"/>
      <c r="O5534" s="2219"/>
      <c r="P5534" s="2219"/>
      <c r="T5534" s="2166"/>
    </row>
    <row r="5535" spans="1:22" s="2168" customFormat="1" ht="12.75" hidden="1">
      <c r="A5535" s="2218"/>
      <c r="B5535" s="2218"/>
      <c r="C5535" s="2218"/>
      <c r="D5535" s="2218"/>
      <c r="E5535" s="2218"/>
      <c r="F5535" s="2218"/>
      <c r="G5535" s="2218"/>
      <c r="H5535" s="2218"/>
      <c r="I5535" s="2218"/>
      <c r="J5535" s="2221" t="s">
        <v>718</v>
      </c>
      <c r="K5535" s="2222">
        <f>SUM(K5533:K5534)</f>
        <v>2047.5</v>
      </c>
      <c r="L5535" s="2218"/>
      <c r="M5535" s="2218"/>
      <c r="N5535" s="2219"/>
      <c r="O5535" s="2219"/>
      <c r="P5535" s="2219"/>
      <c r="T5535" s="2166"/>
    </row>
    <row r="5536" spans="1:22" s="2168" customFormat="1" ht="12.75" hidden="1">
      <c r="A5536" s="2218"/>
      <c r="B5536" s="2220" t="s">
        <v>1222</v>
      </c>
      <c r="C5536" s="2218"/>
      <c r="D5536" s="2218"/>
      <c r="E5536" s="2218"/>
      <c r="F5536" s="2218"/>
      <c r="G5536" s="2218"/>
      <c r="H5536" s="2218"/>
      <c r="I5536" s="2218"/>
      <c r="J5536" s="2216"/>
      <c r="K5536" s="2216"/>
      <c r="L5536" s="2218"/>
      <c r="M5536" s="2218"/>
      <c r="N5536" s="2219"/>
      <c r="O5536" s="2219"/>
      <c r="P5536" s="2219"/>
      <c r="T5536" s="2166"/>
    </row>
    <row r="5537" spans="1:20" s="2168" customFormat="1" ht="12.75" hidden="1">
      <c r="A5537" s="2218"/>
      <c r="B5537" s="2218" t="s">
        <v>3387</v>
      </c>
      <c r="C5537" s="2218"/>
      <c r="D5537" s="2218"/>
      <c r="E5537" s="2218"/>
      <c r="F5537" s="2218"/>
      <c r="G5537" s="2218">
        <v>1800</v>
      </c>
      <c r="H5537" s="2218" t="s">
        <v>262</v>
      </c>
      <c r="I5537" s="2223">
        <v>1000</v>
      </c>
      <c r="J5537" s="2216">
        <f>G64</f>
        <v>249.61</v>
      </c>
      <c r="K5537" s="2216">
        <f>ROUND(G5537*J5537/1000,2)</f>
        <v>449.3</v>
      </c>
      <c r="L5537" s="2218"/>
      <c r="M5537" s="2218"/>
      <c r="N5537" s="2219"/>
      <c r="O5537" s="2219"/>
      <c r="P5537" s="2219"/>
      <c r="T5537" s="2166"/>
    </row>
    <row r="5538" spans="1:20" s="2168" customFormat="1" ht="12.75" hidden="1">
      <c r="A5538" s="2218"/>
      <c r="B5538" s="2218"/>
      <c r="C5538" s="2218"/>
      <c r="D5538" s="2218"/>
      <c r="E5538" s="2218"/>
      <c r="F5538" s="2218"/>
      <c r="G5538" s="2218"/>
      <c r="H5538" s="2218"/>
      <c r="I5538" s="2218"/>
      <c r="J5538" s="2221" t="s">
        <v>718</v>
      </c>
      <c r="K5538" s="2222">
        <f>K5537</f>
        <v>449.3</v>
      </c>
      <c r="L5538" s="2218"/>
      <c r="M5538" s="2218"/>
      <c r="N5538" s="2219"/>
      <c r="O5538" s="2219"/>
      <c r="P5538" s="2219"/>
      <c r="T5538" s="2166"/>
    </row>
    <row r="5539" spans="1:20" ht="12.75" hidden="1">
      <c r="A5539" s="2224"/>
      <c r="B5539" s="2138" t="s">
        <v>783</v>
      </c>
      <c r="C5539" s="2139"/>
      <c r="D5539" s="2139"/>
      <c r="E5539" s="2212"/>
      <c r="F5539" s="2212"/>
      <c r="G5539" s="2172"/>
      <c r="H5539" s="2139"/>
      <c r="I5539" s="2214"/>
      <c r="J5539" s="2159"/>
      <c r="K5539" s="2159"/>
      <c r="L5539" s="2138"/>
      <c r="M5539" s="2139"/>
      <c r="N5539" s="2168"/>
    </row>
    <row r="5540" spans="1:20" ht="12.75" hidden="1">
      <c r="A5540" s="2224"/>
      <c r="B5540" s="2218" t="s">
        <v>3387</v>
      </c>
      <c r="C5540" s="2139"/>
      <c r="D5540" s="2139"/>
      <c r="E5540" s="2212"/>
      <c r="F5540" s="2212"/>
      <c r="G5540" s="2218">
        <f>G5537</f>
        <v>1800</v>
      </c>
      <c r="H5540" s="2218" t="s">
        <v>262</v>
      </c>
      <c r="I5540" s="2223">
        <v>1000</v>
      </c>
      <c r="J5540" s="2233">
        <f>K64</f>
        <v>0</v>
      </c>
      <c r="K5540" s="2216">
        <f>ROUND(G5540*J5540/1000,2)</f>
        <v>0</v>
      </c>
      <c r="L5540" s="2138"/>
      <c r="M5540" s="2139"/>
      <c r="N5540" s="2168"/>
    </row>
    <row r="5541" spans="1:20" ht="12.75" hidden="1">
      <c r="A5541" s="2224"/>
      <c r="B5541" s="2218"/>
      <c r="C5541" s="2139"/>
      <c r="D5541" s="2139"/>
      <c r="E5541" s="2212"/>
      <c r="F5541" s="2212"/>
      <c r="G5541" s="2218"/>
      <c r="H5541" s="2218"/>
      <c r="I5541" s="2223"/>
      <c r="J5541" s="2221" t="s">
        <v>718</v>
      </c>
      <c r="K5541" s="2222">
        <f>SUM(K5540:K5540)</f>
        <v>0</v>
      </c>
      <c r="L5541" s="2138"/>
      <c r="M5541" s="2139"/>
      <c r="N5541" s="2168"/>
    </row>
    <row r="5542" spans="1:20" s="2168" customFormat="1" ht="12.75" hidden="1">
      <c r="A5542" s="2218"/>
      <c r="B5542" s="2220" t="s">
        <v>3380</v>
      </c>
      <c r="C5542" s="2218"/>
      <c r="D5542" s="2218"/>
      <c r="E5542" s="2218"/>
      <c r="F5542" s="2218"/>
      <c r="G5542" s="2218"/>
      <c r="H5542" s="2218"/>
      <c r="I5542" s="2218"/>
      <c r="J5542" s="2216"/>
      <c r="K5542" s="2222">
        <f>SUM(K5538)+K5535+K5541</f>
        <v>2496.8000000000002</v>
      </c>
      <c r="L5542" s="2218"/>
      <c r="M5542" s="2218"/>
      <c r="N5542" s="2219"/>
      <c r="O5542" s="2219"/>
      <c r="P5542" s="2219"/>
      <c r="T5542" s="2166"/>
    </row>
    <row r="5543" spans="1:20" s="2168" customFormat="1" ht="12.75" hidden="1">
      <c r="A5543" s="2218"/>
      <c r="B5543" s="2220" t="s">
        <v>1201</v>
      </c>
      <c r="C5543" s="2218"/>
      <c r="D5543" s="2218"/>
      <c r="E5543" s="2218"/>
      <c r="F5543" s="2218"/>
      <c r="G5543" s="2218"/>
      <c r="H5543" s="2218"/>
      <c r="I5543" s="2218"/>
      <c r="J5543" s="2216"/>
      <c r="K5543" s="2222">
        <f>ROUND(K5542/9.3,2)</f>
        <v>268.47000000000003</v>
      </c>
      <c r="L5543" s="2218"/>
      <c r="M5543" s="2218"/>
      <c r="N5543" s="2219"/>
      <c r="O5543" s="2219"/>
      <c r="P5543" s="2219"/>
      <c r="T5543" s="2166"/>
    </row>
    <row r="5544" spans="1:20" s="2168" customFormat="1" ht="12.75" hidden="1">
      <c r="A5544" s="2218"/>
      <c r="B5544" s="2218"/>
      <c r="C5544" s="2218"/>
      <c r="D5544" s="2218"/>
      <c r="E5544" s="2218"/>
      <c r="F5544" s="2218"/>
      <c r="G5544" s="2218"/>
      <c r="H5544" s="2218"/>
      <c r="I5544" s="2218"/>
      <c r="J5544" s="2225" t="s">
        <v>928</v>
      </c>
      <c r="K5544" s="2222">
        <f>SUM(K5543:K5543)</f>
        <v>268.47000000000003</v>
      </c>
      <c r="L5544" s="2218" t="s">
        <v>730</v>
      </c>
      <c r="M5544" s="2218"/>
      <c r="N5544" s="2219"/>
      <c r="O5544" s="2219"/>
      <c r="P5544" s="2219"/>
      <c r="T5544" s="2166"/>
    </row>
    <row r="5545" spans="1:20" ht="12.75" hidden="1">
      <c r="A5545" s="2114" t="s">
        <v>474</v>
      </c>
      <c r="B5545" s="192" t="s">
        <v>1227</v>
      </c>
      <c r="C5545" s="568"/>
      <c r="D5545" s="568"/>
      <c r="E5545" s="188"/>
      <c r="F5545" s="188"/>
      <c r="G5545" s="2122"/>
      <c r="H5545" s="2117"/>
      <c r="I5545" s="2118"/>
      <c r="J5545" s="192"/>
      <c r="K5545" s="2124"/>
      <c r="L5545" s="2119"/>
      <c r="M5545" s="568"/>
      <c r="Q5545" s="1706" t="str">
        <f>B5545</f>
        <v>Painting</v>
      </c>
    </row>
    <row r="5546" spans="1:20" ht="37.700000000000003" customHeight="1">
      <c r="A5546" s="2114">
        <f t="shared" ref="A5546:B5548" si="298">A890</f>
        <v>114</v>
      </c>
      <c r="B5546" s="3025" t="str">
        <f t="shared" si="298"/>
        <v xml:space="preserve">Finishing plastered surfaces with cement washing one coat using cement  etc. required for the work complete in all respect as per the direction of the Engineer-in-charge. </v>
      </c>
      <c r="C5546" s="3025"/>
      <c r="D5546" s="3025"/>
      <c r="E5546" s="3025"/>
      <c r="F5546" s="3025"/>
      <c r="G5546" s="3025"/>
      <c r="H5546" s="3025"/>
      <c r="I5546" s="2118"/>
      <c r="J5546" s="2124"/>
      <c r="K5546" s="2124"/>
      <c r="L5546" s="192"/>
      <c r="M5546" s="568"/>
    </row>
    <row r="5547" spans="1:20" ht="12.75">
      <c r="A5547" s="192" t="str">
        <f t="shared" si="298"/>
        <v>A)</v>
      </c>
      <c r="B5547" s="192" t="str">
        <f t="shared" si="298"/>
        <v>Inside Surface</v>
      </c>
      <c r="C5547" s="192"/>
      <c r="D5547" s="192"/>
      <c r="E5547" s="192"/>
      <c r="F5547" s="192"/>
      <c r="G5547" s="2122"/>
      <c r="H5547" s="568"/>
      <c r="I5547" s="2118"/>
      <c r="J5547" s="2124"/>
      <c r="K5547" s="2124"/>
      <c r="L5547" s="192"/>
      <c r="M5547" s="568"/>
    </row>
    <row r="5548" spans="1:20" ht="12.75">
      <c r="A5548" s="2114" t="str">
        <f t="shared" si="298"/>
        <v>(i)</v>
      </c>
      <c r="B5548" s="192" t="str">
        <f t="shared" si="298"/>
        <v>Ground Floor</v>
      </c>
      <c r="C5548" s="568"/>
      <c r="D5548" s="568"/>
      <c r="E5548" s="2120" t="str">
        <f>G892</f>
        <v>Each Sqm</v>
      </c>
      <c r="F5548" s="2120"/>
      <c r="G5548" s="2122"/>
      <c r="H5548" s="568"/>
      <c r="I5548" s="2118"/>
      <c r="J5548" s="2123"/>
      <c r="K5548" s="2123"/>
      <c r="L5548" s="192"/>
      <c r="M5548" s="568"/>
    </row>
    <row r="5549" spans="1:20" ht="12.75">
      <c r="A5549" s="2114"/>
      <c r="B5549" s="192" t="s">
        <v>1228</v>
      </c>
      <c r="C5549" s="568"/>
      <c r="D5549" s="568"/>
      <c r="E5549" s="188"/>
      <c r="F5549" s="188"/>
      <c r="G5549" s="2122"/>
      <c r="H5549" s="568"/>
      <c r="I5549" s="2118"/>
      <c r="J5549" s="2123"/>
      <c r="K5549" s="2123"/>
      <c r="L5549" s="192"/>
      <c r="M5549" s="568"/>
    </row>
    <row r="5550" spans="1:20" ht="12.75">
      <c r="A5550" s="2114"/>
      <c r="B5550" s="192" t="s">
        <v>822</v>
      </c>
      <c r="C5550" s="568"/>
      <c r="D5550" s="568"/>
      <c r="E5550" s="188"/>
      <c r="F5550" s="188"/>
      <c r="G5550" s="2122"/>
      <c r="H5550" s="568"/>
      <c r="I5550" s="2118"/>
      <c r="J5550" s="2123"/>
      <c r="K5550" s="2123"/>
      <c r="L5550" s="192"/>
      <c r="M5550" s="568"/>
    </row>
    <row r="5551" spans="1:20" ht="12.75">
      <c r="A5551" s="2114"/>
      <c r="B5551" s="568" t="s">
        <v>8</v>
      </c>
      <c r="C5551" s="568"/>
      <c r="D5551" s="568"/>
      <c r="E5551" s="188"/>
      <c r="F5551" s="188"/>
      <c r="G5551" s="2122">
        <v>1.0009999999999999</v>
      </c>
      <c r="H5551" s="568" t="s">
        <v>247</v>
      </c>
      <c r="I5551" s="2118" t="s">
        <v>247</v>
      </c>
      <c r="J5551" s="2123">
        <f>G50/10</f>
        <v>570.23400000000004</v>
      </c>
      <c r="K5551" s="2123">
        <f>ROUND(G5551*J5551,2)</f>
        <v>570.79999999999995</v>
      </c>
      <c r="L5551" s="192"/>
      <c r="M5551" s="568"/>
    </row>
    <row r="5552" spans="1:20" ht="12.75">
      <c r="A5552" s="2114"/>
      <c r="B5552" s="568"/>
      <c r="C5552" s="568"/>
      <c r="D5552" s="568"/>
      <c r="E5552" s="188"/>
      <c r="F5552" s="188"/>
      <c r="G5552" s="2122"/>
      <c r="H5552" s="568"/>
      <c r="I5552" s="2118"/>
      <c r="J5552" s="2123" t="s">
        <v>718</v>
      </c>
      <c r="K5552" s="2123">
        <f>SUM(K5551:K5551)</f>
        <v>570.79999999999995</v>
      </c>
      <c r="L5552" s="192"/>
      <c r="M5552" s="568"/>
    </row>
    <row r="5553" spans="1:13" ht="12.75">
      <c r="A5553" s="2114"/>
      <c r="B5553" s="192" t="s">
        <v>781</v>
      </c>
      <c r="C5553" s="568"/>
      <c r="D5553" s="568"/>
      <c r="E5553" s="188"/>
      <c r="F5553" s="188"/>
      <c r="G5553" s="2122"/>
      <c r="H5553" s="568"/>
      <c r="I5553" s="2118"/>
      <c r="J5553" s="2123"/>
      <c r="K5553" s="2123"/>
      <c r="L5553" s="192"/>
      <c r="M5553" s="568"/>
    </row>
    <row r="5554" spans="1:13" ht="12.75">
      <c r="A5554" s="2114"/>
      <c r="B5554" s="568" t="s">
        <v>1229</v>
      </c>
      <c r="C5554" s="568"/>
      <c r="D5554" s="568"/>
      <c r="E5554" s="188"/>
      <c r="F5554" s="188"/>
      <c r="G5554" s="2122">
        <v>0.75</v>
      </c>
      <c r="H5554" s="568" t="s">
        <v>262</v>
      </c>
      <c r="I5554" s="2118" t="s">
        <v>38</v>
      </c>
      <c r="J5554" s="2123">
        <f>L136</f>
        <v>435</v>
      </c>
      <c r="K5554" s="2123">
        <f>ROUND(G5554*J5554,2)</f>
        <v>326.25</v>
      </c>
      <c r="L5554" s="192"/>
      <c r="M5554" s="568"/>
    </row>
    <row r="5555" spans="1:13" ht="12.75">
      <c r="A5555" s="2114"/>
      <c r="B5555" s="568" t="s">
        <v>717</v>
      </c>
      <c r="C5555" s="568"/>
      <c r="D5555" s="568"/>
      <c r="E5555" s="188"/>
      <c r="F5555" s="188"/>
      <c r="G5555" s="2122">
        <v>1</v>
      </c>
      <c r="H5555" s="568" t="s">
        <v>262</v>
      </c>
      <c r="I5555" s="2118" t="s">
        <v>38</v>
      </c>
      <c r="J5555" s="2123">
        <f>L134</f>
        <v>345</v>
      </c>
      <c r="K5555" s="2123">
        <f>ROUND(G5555*J5555,2)</f>
        <v>345</v>
      </c>
      <c r="L5555" s="192"/>
      <c r="M5555" s="568"/>
    </row>
    <row r="5556" spans="1:13" ht="12.75">
      <c r="A5556" s="2114"/>
      <c r="B5556" s="568"/>
      <c r="C5556" s="568"/>
      <c r="D5556" s="568"/>
      <c r="E5556" s="188"/>
      <c r="F5556" s="188"/>
      <c r="G5556" s="2122"/>
      <c r="H5556" s="568"/>
      <c r="I5556" s="2118"/>
      <c r="J5556" s="2123" t="s">
        <v>718</v>
      </c>
      <c r="K5556" s="2123">
        <f>SUM(K5554:K5555)</f>
        <v>671.25</v>
      </c>
      <c r="L5556" s="192"/>
      <c r="M5556" s="568"/>
    </row>
    <row r="5557" spans="1:13" ht="12.75">
      <c r="A5557" s="2114"/>
      <c r="B5557" s="192"/>
      <c r="C5557" s="568"/>
      <c r="D5557" s="568"/>
      <c r="E5557" s="188"/>
      <c r="F5557" s="188"/>
      <c r="G5557" s="2122"/>
      <c r="H5557" s="568"/>
      <c r="I5557" s="2118"/>
      <c r="J5557" s="2123" t="s">
        <v>3741</v>
      </c>
      <c r="K5557" s="2123">
        <f>K5552+K5556</f>
        <v>1242.05</v>
      </c>
      <c r="L5557" s="192"/>
      <c r="M5557" s="568"/>
    </row>
    <row r="5558" spans="1:13" ht="12.75">
      <c r="A5558" s="2114"/>
      <c r="B5558" s="192" t="s">
        <v>3662</v>
      </c>
      <c r="C5558" s="568"/>
      <c r="D5558" s="568"/>
      <c r="E5558" s="188"/>
      <c r="F5558" s="188"/>
      <c r="G5558" s="2122"/>
      <c r="H5558" s="2135">
        <f>H4272</f>
        <v>7.4999999999999997E-2</v>
      </c>
      <c r="I5558" s="2134">
        <f>K5557</f>
        <v>1242.05</v>
      </c>
      <c r="J5558" s="2134"/>
      <c r="K5558" s="2123">
        <f>ROUND(I5558*H5558,2)</f>
        <v>93.15</v>
      </c>
      <c r="L5558" s="192"/>
      <c r="M5558" s="568"/>
    </row>
    <row r="5559" spans="1:13" ht="12.75">
      <c r="A5559" s="2114"/>
      <c r="B5559" s="192" t="s">
        <v>3661</v>
      </c>
      <c r="C5559" s="568"/>
      <c r="D5559" s="568"/>
      <c r="E5559" s="188"/>
      <c r="F5559" s="188"/>
      <c r="G5559" s="2122"/>
      <c r="H5559" s="2135">
        <f>H5558</f>
        <v>7.4999999999999997E-2</v>
      </c>
      <c r="I5559" s="2134">
        <f>I5558</f>
        <v>1242.05</v>
      </c>
      <c r="J5559" s="2134"/>
      <c r="K5559" s="2140">
        <f>ROUND(I5559*H5559,2)</f>
        <v>93.15</v>
      </c>
      <c r="L5559" s="192"/>
      <c r="M5559" s="568"/>
    </row>
    <row r="5560" spans="1:13" ht="12.75">
      <c r="A5560" s="2114"/>
      <c r="B5560" s="192" t="s">
        <v>1497</v>
      </c>
      <c r="C5560" s="568"/>
      <c r="D5560" s="568"/>
      <c r="E5560" s="188"/>
      <c r="F5560" s="188"/>
      <c r="G5560" s="2122"/>
      <c r="H5560" s="568"/>
      <c r="I5560" s="2118"/>
      <c r="J5560" s="2123" t="s">
        <v>718</v>
      </c>
      <c r="K5560" s="2123">
        <f>SUM(K5557:K5559)</f>
        <v>1428.3500000000001</v>
      </c>
      <c r="L5560" s="192"/>
      <c r="M5560" s="568"/>
    </row>
    <row r="5561" spans="1:13" ht="12.75">
      <c r="A5561" s="2114"/>
      <c r="B5561" s="192" t="s">
        <v>783</v>
      </c>
      <c r="C5561" s="568"/>
      <c r="D5561" s="568"/>
      <c r="E5561" s="188"/>
      <c r="F5561" s="188"/>
      <c r="G5561" s="2122"/>
      <c r="H5561" s="568"/>
      <c r="I5561" s="2118"/>
      <c r="J5561" s="2123"/>
      <c r="K5561" s="2123"/>
      <c r="L5561" s="192"/>
      <c r="M5561" s="568"/>
    </row>
    <row r="5562" spans="1:13" ht="12.75">
      <c r="A5562" s="2114"/>
      <c r="B5562" s="568" t="s">
        <v>8</v>
      </c>
      <c r="C5562" s="568"/>
      <c r="D5562" s="568"/>
      <c r="E5562" s="188"/>
      <c r="F5562" s="188"/>
      <c r="G5562" s="2122">
        <f>G5551</f>
        <v>1.0009999999999999</v>
      </c>
      <c r="H5562" s="568" t="s">
        <v>247</v>
      </c>
      <c r="I5562" s="2118" t="s">
        <v>247</v>
      </c>
      <c r="J5562" s="2123">
        <f>K50/10</f>
        <v>42.622</v>
      </c>
      <c r="K5562" s="2123">
        <f>ROUND(G5562*J5562,2)</f>
        <v>42.66</v>
      </c>
      <c r="L5562" s="192"/>
      <c r="M5562" s="568"/>
    </row>
    <row r="5563" spans="1:13" ht="12.75">
      <c r="A5563" s="2114"/>
      <c r="B5563" s="568"/>
      <c r="C5563" s="568"/>
      <c r="D5563" s="568"/>
      <c r="E5563" s="188"/>
      <c r="F5563" s="188"/>
      <c r="G5563" s="2122"/>
      <c r="H5563" s="568"/>
      <c r="I5563" s="2118"/>
      <c r="J5563" s="2123" t="s">
        <v>718</v>
      </c>
      <c r="K5563" s="2123">
        <f>SUM(K5562:K5562)</f>
        <v>42.66</v>
      </c>
      <c r="L5563" s="192"/>
      <c r="M5563" s="568"/>
    </row>
    <row r="5564" spans="1:13" ht="12.75">
      <c r="A5564" s="2114"/>
      <c r="B5564" s="568" t="s">
        <v>1230</v>
      </c>
      <c r="C5564" s="568"/>
      <c r="D5564" s="568"/>
      <c r="E5564" s="188"/>
      <c r="F5564" s="188"/>
      <c r="G5564" s="2122"/>
      <c r="H5564" s="568"/>
      <c r="I5564" s="2118"/>
      <c r="J5564" s="2123"/>
      <c r="K5564" s="2123">
        <f>K5560+K5563</f>
        <v>1471.0100000000002</v>
      </c>
      <c r="L5564" s="192"/>
      <c r="M5564" s="568"/>
    </row>
    <row r="5565" spans="1:13" ht="12.75">
      <c r="A5565" s="2114"/>
      <c r="B5565" s="568" t="s">
        <v>1231</v>
      </c>
      <c r="C5565" s="568"/>
      <c r="D5565" s="568"/>
      <c r="E5565" s="188"/>
      <c r="F5565" s="188"/>
      <c r="G5565" s="2122"/>
      <c r="H5565" s="568"/>
      <c r="I5565" s="2118"/>
      <c r="J5565" s="2123"/>
      <c r="K5565" s="2123">
        <f>ROUND(K5564/93,2)</f>
        <v>15.82</v>
      </c>
      <c r="L5565" s="192"/>
      <c r="M5565" s="568"/>
    </row>
    <row r="5566" spans="1:13" ht="12.75">
      <c r="A5566" s="2114"/>
      <c r="B5566" s="192" t="s">
        <v>3738</v>
      </c>
      <c r="C5566" s="2142">
        <v>0.01</v>
      </c>
      <c r="D5566" s="568"/>
      <c r="E5566" s="188"/>
      <c r="F5566" s="188"/>
      <c r="G5566" s="2122"/>
      <c r="H5566" s="568"/>
      <c r="I5566" s="2118"/>
      <c r="J5566" s="2123"/>
      <c r="K5566" s="2140">
        <f>ROUND(K5565*C5566,2)</f>
        <v>0.16</v>
      </c>
      <c r="L5566" s="192"/>
      <c r="M5566" s="568"/>
    </row>
    <row r="5567" spans="1:13" ht="12.75">
      <c r="A5567" s="2114"/>
      <c r="B5567" s="568" t="s">
        <v>3747</v>
      </c>
      <c r="C5567" s="568"/>
      <c r="D5567" s="568"/>
      <c r="E5567" s="188"/>
      <c r="F5567" s="188"/>
      <c r="G5567" s="2122"/>
      <c r="H5567" s="568"/>
      <c r="I5567" s="2118"/>
      <c r="J5567" s="2123"/>
      <c r="K5567" s="2124">
        <f>SUM(K5565:K5566)</f>
        <v>15.98</v>
      </c>
      <c r="L5567" s="192" t="s">
        <v>730</v>
      </c>
      <c r="M5567" s="568"/>
    </row>
    <row r="5568" spans="1:13" ht="12.75">
      <c r="A5568" s="2114" t="str">
        <f>A893</f>
        <v>(ii)</v>
      </c>
      <c r="B5568" s="192" t="str">
        <f>B893</f>
        <v>First Floor</v>
      </c>
      <c r="C5568" s="568"/>
      <c r="D5568" s="568"/>
      <c r="E5568" s="2120" t="str">
        <f>E5548</f>
        <v>Each Sqm</v>
      </c>
      <c r="F5568" s="2120"/>
      <c r="G5568" s="2122"/>
      <c r="H5568" s="568"/>
      <c r="I5568" s="2118"/>
      <c r="J5568" s="2123"/>
      <c r="K5568" s="2123"/>
      <c r="L5568" s="192"/>
      <c r="M5568" s="568"/>
    </row>
    <row r="5569" spans="1:13" ht="12.75">
      <c r="A5569" s="2114"/>
      <c r="B5569" s="568" t="s">
        <v>722</v>
      </c>
      <c r="C5569" s="568"/>
      <c r="D5569" s="568"/>
      <c r="E5569" s="188"/>
      <c r="F5569" s="188"/>
      <c r="G5569" s="2122"/>
      <c r="H5569" s="568"/>
      <c r="I5569" s="2118"/>
      <c r="J5569" s="2123"/>
      <c r="K5569" s="2123">
        <f>K5565</f>
        <v>15.82</v>
      </c>
      <c r="L5569" s="192"/>
      <c r="M5569" s="568"/>
    </row>
    <row r="5570" spans="1:13" ht="14.45" customHeight="1">
      <c r="A5570" s="2114"/>
      <c r="B5570" s="568" t="s">
        <v>948</v>
      </c>
      <c r="C5570" s="568"/>
      <c r="D5570" s="568"/>
      <c r="E5570" s="188"/>
      <c r="F5570" s="188"/>
      <c r="G5570" s="2122"/>
      <c r="H5570" s="2125">
        <v>0.03</v>
      </c>
      <c r="I5570" s="2134">
        <f>K5556/93</f>
        <v>7.217741935483871</v>
      </c>
      <c r="J5570" s="2124"/>
      <c r="K5570" s="2123">
        <f>ROUND(I5570*H5570,2)</f>
        <v>0.22</v>
      </c>
      <c r="L5570" s="192"/>
      <c r="M5570" s="568"/>
    </row>
    <row r="5571" spans="1:13" ht="14.45" customHeight="1">
      <c r="A5571" s="2114"/>
      <c r="B5571" s="192" t="s">
        <v>3662</v>
      </c>
      <c r="C5571" s="568"/>
      <c r="D5571" s="568"/>
      <c r="E5571" s="188"/>
      <c r="F5571" s="188"/>
      <c r="G5571" s="2122"/>
      <c r="H5571" s="2135">
        <f>H5559</f>
        <v>7.4999999999999997E-2</v>
      </c>
      <c r="I5571" s="2134">
        <f>K5570</f>
        <v>0.22</v>
      </c>
      <c r="J5571" s="2134"/>
      <c r="K5571" s="2123">
        <f>ROUND(I5571*H5571,2)</f>
        <v>0.02</v>
      </c>
      <c r="L5571" s="192"/>
      <c r="M5571" s="568"/>
    </row>
    <row r="5572" spans="1:13" ht="14.45" customHeight="1">
      <c r="A5572" s="2114"/>
      <c r="B5572" s="192" t="s">
        <v>3661</v>
      </c>
      <c r="C5572" s="568"/>
      <c r="D5572" s="568"/>
      <c r="E5572" s="188"/>
      <c r="F5572" s="188"/>
      <c r="G5572" s="2122"/>
      <c r="H5572" s="2135">
        <f>H5571</f>
        <v>7.4999999999999997E-2</v>
      </c>
      <c r="I5572" s="2134">
        <f>I5571</f>
        <v>0.22</v>
      </c>
      <c r="J5572" s="2134"/>
      <c r="K5572" s="2140">
        <f>ROUND(I5572*H5572,2)</f>
        <v>0.02</v>
      </c>
      <c r="L5572" s="192"/>
      <c r="M5572" s="568"/>
    </row>
    <row r="5573" spans="1:13" ht="14.45" customHeight="1">
      <c r="A5573" s="2114"/>
      <c r="B5573" s="568"/>
      <c r="C5573" s="568"/>
      <c r="D5573" s="568"/>
      <c r="E5573" s="188"/>
      <c r="F5573" s="188"/>
      <c r="G5573" s="2122"/>
      <c r="H5573" s="568"/>
      <c r="I5573" s="2118"/>
      <c r="J5573" s="2123"/>
      <c r="K5573" s="2123">
        <f>SUM(K5569:K5572)</f>
        <v>16.079999999999998</v>
      </c>
      <c r="L5573" s="192"/>
      <c r="M5573" s="568"/>
    </row>
    <row r="5574" spans="1:13" ht="14.45" customHeight="1">
      <c r="A5574" s="2114"/>
      <c r="B5574" s="192" t="s">
        <v>3738</v>
      </c>
      <c r="C5574" s="2142">
        <v>0.01</v>
      </c>
      <c r="D5574" s="568"/>
      <c r="E5574" s="188"/>
      <c r="F5574" s="188"/>
      <c r="G5574" s="2122"/>
      <c r="H5574" s="568"/>
      <c r="I5574" s="2118"/>
      <c r="J5574" s="2123"/>
      <c r="K5574" s="2140">
        <f>ROUND(K5573*C5574,2)</f>
        <v>0.16</v>
      </c>
      <c r="L5574" s="192"/>
      <c r="M5574" s="568"/>
    </row>
    <row r="5575" spans="1:13" ht="12.75">
      <c r="A5575" s="2114"/>
      <c r="B5575" s="568"/>
      <c r="C5575" s="568"/>
      <c r="D5575" s="568"/>
      <c r="E5575" s="188"/>
      <c r="F5575" s="188"/>
      <c r="G5575" s="2122"/>
      <c r="H5575" s="568"/>
      <c r="I5575" s="2118"/>
      <c r="J5575" s="2126" t="s">
        <v>718</v>
      </c>
      <c r="K5575" s="2124">
        <f>SUM(K5573:K5574)</f>
        <v>16.239999999999998</v>
      </c>
      <c r="L5575" s="192" t="s">
        <v>730</v>
      </c>
      <c r="M5575" s="568"/>
    </row>
    <row r="5576" spans="1:13" ht="12.75" hidden="1">
      <c r="A5576" s="2114" t="str">
        <f>A894</f>
        <v>(iii)</v>
      </c>
      <c r="B5576" s="192" t="str">
        <f>B894</f>
        <v>2nd Floor</v>
      </c>
      <c r="C5576" s="568"/>
      <c r="D5576" s="568"/>
      <c r="E5576" s="2120" t="str">
        <f>E5568</f>
        <v>Each Sqm</v>
      </c>
      <c r="F5576" s="2120"/>
      <c r="G5576" s="2122"/>
      <c r="H5576" s="568"/>
      <c r="I5576" s="2118"/>
      <c r="J5576" s="2123"/>
      <c r="K5576" s="2123"/>
      <c r="L5576" s="192"/>
      <c r="M5576" s="568"/>
    </row>
    <row r="5577" spans="1:13" ht="12.75" hidden="1">
      <c r="A5577" s="2114"/>
      <c r="B5577" s="568" t="s">
        <v>722</v>
      </c>
      <c r="C5577" s="568"/>
      <c r="D5577" s="568"/>
      <c r="E5577" s="188"/>
      <c r="F5577" s="188"/>
      <c r="G5577" s="2122"/>
      <c r="H5577" s="568"/>
      <c r="I5577" s="2118"/>
      <c r="J5577" s="2123"/>
      <c r="K5577" s="2123">
        <f>K5573</f>
        <v>16.079999999999998</v>
      </c>
      <c r="L5577" s="192"/>
      <c r="M5577" s="568"/>
    </row>
    <row r="5578" spans="1:13" ht="11.25" hidden="1" customHeight="1">
      <c r="A5578" s="2114"/>
      <c r="B5578" s="568" t="s">
        <v>948</v>
      </c>
      <c r="C5578" s="568"/>
      <c r="D5578" s="568"/>
      <c r="E5578" s="188"/>
      <c r="F5578" s="188"/>
      <c r="G5578" s="2122"/>
      <c r="H5578" s="2125">
        <v>0.03</v>
      </c>
      <c r="I5578" s="2134">
        <f>I5570+K5570</f>
        <v>7.4377419354838707</v>
      </c>
      <c r="J5578" s="2124"/>
      <c r="K5578" s="2123">
        <f>ROUND(I5578*H5578,2)</f>
        <v>0.22</v>
      </c>
      <c r="L5578" s="192"/>
      <c r="M5578" s="568"/>
    </row>
    <row r="5579" spans="1:13" ht="11.25" hidden="1" customHeight="1">
      <c r="A5579" s="2114"/>
      <c r="B5579" s="192" t="s">
        <v>3662</v>
      </c>
      <c r="C5579" s="568"/>
      <c r="D5579" s="568"/>
      <c r="E5579" s="188"/>
      <c r="F5579" s="188"/>
      <c r="G5579" s="2122"/>
      <c r="H5579" s="2135">
        <f>H5571</f>
        <v>7.4999999999999997E-2</v>
      </c>
      <c r="I5579" s="2134">
        <f>K5578</f>
        <v>0.22</v>
      </c>
      <c r="J5579" s="2134"/>
      <c r="K5579" s="2123">
        <f>ROUND(I5579*H5579,2)</f>
        <v>0.02</v>
      </c>
      <c r="L5579" s="192"/>
      <c r="M5579" s="568"/>
    </row>
    <row r="5580" spans="1:13" ht="11.25" hidden="1" customHeight="1">
      <c r="A5580" s="2114"/>
      <c r="B5580" s="192" t="s">
        <v>3661</v>
      </c>
      <c r="C5580" s="568"/>
      <c r="D5580" s="568"/>
      <c r="E5580" s="188"/>
      <c r="F5580" s="188"/>
      <c r="G5580" s="2122"/>
      <c r="H5580" s="2135">
        <f>H5579</f>
        <v>7.4999999999999997E-2</v>
      </c>
      <c r="I5580" s="2134">
        <f>I5579</f>
        <v>0.22</v>
      </c>
      <c r="J5580" s="2134"/>
      <c r="K5580" s="2140">
        <f>ROUND(I5580*H5580,2)</f>
        <v>0.02</v>
      </c>
      <c r="L5580" s="192"/>
      <c r="M5580" s="568"/>
    </row>
    <row r="5581" spans="1:13" ht="11.25" hidden="1" customHeight="1">
      <c r="A5581" s="2114"/>
      <c r="B5581" s="568"/>
      <c r="C5581" s="568"/>
      <c r="D5581" s="568"/>
      <c r="E5581" s="188"/>
      <c r="F5581" s="188"/>
      <c r="G5581" s="2122"/>
      <c r="H5581" s="568"/>
      <c r="I5581" s="2118"/>
      <c r="J5581" s="2123"/>
      <c r="K5581" s="2123">
        <f>SUM(K5577:K5580)</f>
        <v>16.339999999999996</v>
      </c>
      <c r="L5581" s="192"/>
      <c r="M5581" s="568"/>
    </row>
    <row r="5582" spans="1:13" ht="11.25" hidden="1" customHeight="1">
      <c r="A5582" s="2114"/>
      <c r="B5582" s="192" t="s">
        <v>3738</v>
      </c>
      <c r="C5582" s="2142">
        <v>0.01</v>
      </c>
      <c r="D5582" s="568"/>
      <c r="E5582" s="188"/>
      <c r="F5582" s="188"/>
      <c r="G5582" s="2122"/>
      <c r="H5582" s="568"/>
      <c r="I5582" s="2118"/>
      <c r="J5582" s="2123"/>
      <c r="K5582" s="2140">
        <f>ROUND(K5581*C5582,2)</f>
        <v>0.16</v>
      </c>
      <c r="L5582" s="192"/>
      <c r="M5582" s="568"/>
    </row>
    <row r="5583" spans="1:13" ht="12.75" hidden="1">
      <c r="A5583" s="2114"/>
      <c r="B5583" s="568"/>
      <c r="C5583" s="568"/>
      <c r="D5583" s="568"/>
      <c r="E5583" s="188"/>
      <c r="F5583" s="188"/>
      <c r="G5583" s="2122"/>
      <c r="H5583" s="568"/>
      <c r="I5583" s="2118"/>
      <c r="J5583" s="2126" t="s">
        <v>718</v>
      </c>
      <c r="K5583" s="2124">
        <f>SUM(K5581:K5582)</f>
        <v>16.499999999999996</v>
      </c>
      <c r="L5583" s="192" t="s">
        <v>730</v>
      </c>
      <c r="M5583" s="568"/>
    </row>
    <row r="5584" spans="1:13" ht="12.75" hidden="1">
      <c r="A5584" s="2114" t="str">
        <f>A895</f>
        <v>(iv)</v>
      </c>
      <c r="B5584" s="192" t="str">
        <f>B895</f>
        <v>3rd Floor</v>
      </c>
      <c r="C5584" s="568"/>
      <c r="D5584" s="568"/>
      <c r="E5584" s="2120" t="str">
        <f>E5576</f>
        <v>Each Sqm</v>
      </c>
      <c r="F5584" s="2120"/>
      <c r="G5584" s="2122"/>
      <c r="H5584" s="568"/>
      <c r="I5584" s="2118"/>
      <c r="J5584" s="2123"/>
      <c r="K5584" s="2123"/>
      <c r="L5584" s="192"/>
      <c r="M5584" s="568"/>
    </row>
    <row r="5585" spans="1:13" ht="12.75" hidden="1">
      <c r="A5585" s="2114"/>
      <c r="B5585" s="568" t="s">
        <v>722</v>
      </c>
      <c r="C5585" s="568"/>
      <c r="D5585" s="568"/>
      <c r="E5585" s="188"/>
      <c r="F5585" s="188"/>
      <c r="G5585" s="2122"/>
      <c r="H5585" s="568"/>
      <c r="I5585" s="2118"/>
      <c r="J5585" s="2123"/>
      <c r="K5585" s="2123">
        <f>K5581</f>
        <v>16.339999999999996</v>
      </c>
      <c r="L5585" s="192"/>
      <c r="M5585" s="568"/>
    </row>
    <row r="5586" spans="1:13" ht="11.25" hidden="1" customHeight="1">
      <c r="A5586" s="2114"/>
      <c r="B5586" s="568" t="s">
        <v>948</v>
      </c>
      <c r="C5586" s="568"/>
      <c r="D5586" s="568"/>
      <c r="E5586" s="188"/>
      <c r="F5586" s="188"/>
      <c r="G5586" s="2122"/>
      <c r="H5586" s="2125">
        <v>0.03</v>
      </c>
      <c r="I5586" s="2134">
        <f>I5578+K5578</f>
        <v>7.6577419354838705</v>
      </c>
      <c r="J5586" s="2124"/>
      <c r="K5586" s="2123">
        <f>ROUND(I5586*H5586,2)</f>
        <v>0.23</v>
      </c>
      <c r="L5586" s="192"/>
      <c r="M5586" s="568"/>
    </row>
    <row r="5587" spans="1:13" ht="11.25" hidden="1" customHeight="1">
      <c r="A5587" s="2114"/>
      <c r="B5587" s="192" t="s">
        <v>3662</v>
      </c>
      <c r="C5587" s="568"/>
      <c r="D5587" s="568"/>
      <c r="E5587" s="188"/>
      <c r="F5587" s="188"/>
      <c r="G5587" s="2122"/>
      <c r="H5587" s="2135">
        <f>H5580</f>
        <v>7.4999999999999997E-2</v>
      </c>
      <c r="I5587" s="2134">
        <f>K5586</f>
        <v>0.23</v>
      </c>
      <c r="J5587" s="2134"/>
      <c r="K5587" s="2123">
        <f>ROUND(I5587*H5587,2)</f>
        <v>0.02</v>
      </c>
      <c r="L5587" s="192"/>
      <c r="M5587" s="568"/>
    </row>
    <row r="5588" spans="1:13" ht="11.25" hidden="1" customHeight="1">
      <c r="A5588" s="2114"/>
      <c r="B5588" s="192" t="s">
        <v>3661</v>
      </c>
      <c r="C5588" s="568"/>
      <c r="D5588" s="568"/>
      <c r="E5588" s="188"/>
      <c r="F5588" s="188"/>
      <c r="G5588" s="2122"/>
      <c r="H5588" s="2135">
        <f>H5587</f>
        <v>7.4999999999999997E-2</v>
      </c>
      <c r="I5588" s="2134">
        <f>I5587</f>
        <v>0.23</v>
      </c>
      <c r="J5588" s="2134"/>
      <c r="K5588" s="2140">
        <f>ROUND(I5588*H5588,2)</f>
        <v>0.02</v>
      </c>
      <c r="L5588" s="192"/>
      <c r="M5588" s="568"/>
    </row>
    <row r="5589" spans="1:13" ht="11.25" hidden="1" customHeight="1">
      <c r="A5589" s="2114"/>
      <c r="B5589" s="568"/>
      <c r="C5589" s="568"/>
      <c r="D5589" s="568"/>
      <c r="E5589" s="188"/>
      <c r="F5589" s="188"/>
      <c r="G5589" s="2122"/>
      <c r="H5589" s="568"/>
      <c r="I5589" s="2118"/>
      <c r="J5589" s="2123"/>
      <c r="K5589" s="2123">
        <f>SUM(K5585:K5588)</f>
        <v>16.609999999999996</v>
      </c>
      <c r="L5589" s="192"/>
      <c r="M5589" s="568"/>
    </row>
    <row r="5590" spans="1:13" ht="11.25" hidden="1" customHeight="1">
      <c r="A5590" s="2114"/>
      <c r="B5590" s="192" t="s">
        <v>3738</v>
      </c>
      <c r="C5590" s="2142">
        <v>0.01</v>
      </c>
      <c r="D5590" s="568"/>
      <c r="E5590" s="188"/>
      <c r="F5590" s="188"/>
      <c r="G5590" s="2122"/>
      <c r="H5590" s="568"/>
      <c r="I5590" s="2118"/>
      <c r="J5590" s="2123"/>
      <c r="K5590" s="2140">
        <f>ROUND(K5589*C5590,2)</f>
        <v>0.17</v>
      </c>
      <c r="L5590" s="192"/>
      <c r="M5590" s="568"/>
    </row>
    <row r="5591" spans="1:13" ht="12.75" hidden="1">
      <c r="A5591" s="2114"/>
      <c r="B5591" s="568"/>
      <c r="C5591" s="568"/>
      <c r="D5591" s="568"/>
      <c r="E5591" s="188"/>
      <c r="F5591" s="188"/>
      <c r="G5591" s="2122"/>
      <c r="H5591" s="568"/>
      <c r="I5591" s="2118"/>
      <c r="J5591" s="2126" t="s">
        <v>718</v>
      </c>
      <c r="K5591" s="2124">
        <f>SUM(K5589:K5590)</f>
        <v>16.779999999999998</v>
      </c>
      <c r="L5591" s="192" t="s">
        <v>730</v>
      </c>
      <c r="M5591" s="568"/>
    </row>
    <row r="5592" spans="1:13" ht="12.75" hidden="1">
      <c r="A5592" s="192" t="str">
        <f t="shared" ref="A5592:B5594" si="299">A896</f>
        <v>B)</v>
      </c>
      <c r="B5592" s="192" t="str">
        <f t="shared" si="299"/>
        <v>Outside Surface</v>
      </c>
      <c r="C5592" s="192"/>
      <c r="D5592" s="192"/>
      <c r="E5592" s="192"/>
      <c r="F5592" s="192"/>
      <c r="G5592" s="2122"/>
      <c r="H5592" s="568"/>
      <c r="I5592" s="2118"/>
      <c r="J5592" s="2124"/>
      <c r="K5592" s="2124"/>
      <c r="L5592" s="192"/>
      <c r="M5592" s="568"/>
    </row>
    <row r="5593" spans="1:13" ht="12.75" hidden="1">
      <c r="A5593" s="2114" t="str">
        <f t="shared" si="299"/>
        <v>(i)</v>
      </c>
      <c r="B5593" s="192" t="str">
        <f t="shared" si="299"/>
        <v>Ground Floor</v>
      </c>
      <c r="C5593" s="568"/>
      <c r="D5593" s="568"/>
      <c r="E5593" s="2120" t="str">
        <f>G897</f>
        <v>Each Sqm</v>
      </c>
      <c r="F5593" s="2120"/>
      <c r="G5593" s="2122"/>
      <c r="H5593" s="568"/>
      <c r="I5593" s="2118"/>
      <c r="J5593" s="2123"/>
      <c r="K5593" s="2124">
        <f>K5565</f>
        <v>15.82</v>
      </c>
      <c r="L5593" s="192" t="s">
        <v>730</v>
      </c>
      <c r="M5593" s="568"/>
    </row>
    <row r="5594" spans="1:13" ht="12.75" hidden="1">
      <c r="A5594" s="2114" t="str">
        <f t="shared" si="299"/>
        <v>(ii)</v>
      </c>
      <c r="B5594" s="192" t="str">
        <f t="shared" si="299"/>
        <v>First Floor</v>
      </c>
      <c r="C5594" s="568"/>
      <c r="D5594" s="568"/>
      <c r="E5594" s="2120" t="str">
        <f>E5593</f>
        <v>Each Sqm</v>
      </c>
      <c r="F5594" s="2120"/>
      <c r="G5594" s="2122"/>
      <c r="H5594" s="568"/>
      <c r="I5594" s="2118"/>
      <c r="J5594" s="2123"/>
      <c r="K5594" s="2123"/>
      <c r="L5594" s="192"/>
      <c r="M5594" s="568"/>
    </row>
    <row r="5595" spans="1:13" ht="12.75" hidden="1">
      <c r="A5595" s="2114"/>
      <c r="B5595" s="568" t="s">
        <v>722</v>
      </c>
      <c r="C5595" s="568"/>
      <c r="D5595" s="568"/>
      <c r="E5595" s="188"/>
      <c r="F5595" s="188"/>
      <c r="G5595" s="2122"/>
      <c r="H5595" s="568"/>
      <c r="I5595" s="2118"/>
      <c r="J5595" s="2123"/>
      <c r="K5595" s="2123">
        <f>K5565</f>
        <v>15.82</v>
      </c>
      <c r="L5595" s="192"/>
      <c r="M5595" s="568"/>
    </row>
    <row r="5596" spans="1:13" ht="12.75" hidden="1">
      <c r="A5596" s="2114"/>
      <c r="B5596" s="568" t="s">
        <v>723</v>
      </c>
      <c r="C5596" s="568"/>
      <c r="D5596" s="568"/>
      <c r="E5596" s="188"/>
      <c r="F5596" s="188"/>
      <c r="G5596" s="2122"/>
      <c r="H5596" s="2125">
        <v>0.05</v>
      </c>
      <c r="I5596" s="2134">
        <f>I5570</f>
        <v>7.217741935483871</v>
      </c>
      <c r="J5596" s="2124"/>
      <c r="K5596" s="2123">
        <f>ROUND(I5596*H5596,2)</f>
        <v>0.36</v>
      </c>
      <c r="L5596" s="192"/>
      <c r="M5596" s="568"/>
    </row>
    <row r="5597" spans="1:13" ht="12.75" hidden="1">
      <c r="A5597" s="2114"/>
      <c r="B5597" s="192" t="s">
        <v>3662</v>
      </c>
      <c r="C5597" s="568"/>
      <c r="D5597" s="568"/>
      <c r="E5597" s="188"/>
      <c r="F5597" s="188"/>
      <c r="G5597" s="2122"/>
      <c r="H5597" s="2135">
        <f>H5587</f>
        <v>7.4999999999999997E-2</v>
      </c>
      <c r="I5597" s="2134">
        <f>K5596</f>
        <v>0.36</v>
      </c>
      <c r="J5597" s="2134"/>
      <c r="K5597" s="2123">
        <f>ROUND(I5597*H5597,2)</f>
        <v>0.03</v>
      </c>
      <c r="L5597" s="192"/>
      <c r="M5597" s="568"/>
    </row>
    <row r="5598" spans="1:13" ht="12.75" hidden="1">
      <c r="A5598" s="2114"/>
      <c r="B5598" s="192" t="s">
        <v>3661</v>
      </c>
      <c r="C5598" s="568"/>
      <c r="D5598" s="568"/>
      <c r="E5598" s="188"/>
      <c r="F5598" s="188"/>
      <c r="G5598" s="2122"/>
      <c r="H5598" s="2135">
        <f>H5597</f>
        <v>7.4999999999999997E-2</v>
      </c>
      <c r="I5598" s="2134">
        <f>I5597</f>
        <v>0.36</v>
      </c>
      <c r="J5598" s="2134"/>
      <c r="K5598" s="2140">
        <f>ROUND(I5598*H5598,2)</f>
        <v>0.03</v>
      </c>
      <c r="L5598" s="192"/>
      <c r="M5598" s="568"/>
    </row>
    <row r="5599" spans="1:13" ht="12.75" hidden="1">
      <c r="A5599" s="2114"/>
      <c r="B5599" s="568"/>
      <c r="C5599" s="568"/>
      <c r="D5599" s="568"/>
      <c r="E5599" s="188"/>
      <c r="F5599" s="188"/>
      <c r="G5599" s="2122"/>
      <c r="H5599" s="568"/>
      <c r="I5599" s="2118"/>
      <c r="J5599" s="2123"/>
      <c r="K5599" s="2123">
        <f>SUM(K5595:K5598)</f>
        <v>16.240000000000002</v>
      </c>
      <c r="L5599" s="192"/>
      <c r="M5599" s="568"/>
    </row>
    <row r="5600" spans="1:13" ht="12.75" hidden="1">
      <c r="A5600" s="2114"/>
      <c r="B5600" s="192" t="s">
        <v>3738</v>
      </c>
      <c r="C5600" s="2142">
        <v>0.01</v>
      </c>
      <c r="D5600" s="568"/>
      <c r="E5600" s="188"/>
      <c r="F5600" s="188"/>
      <c r="G5600" s="2122"/>
      <c r="H5600" s="568"/>
      <c r="I5600" s="2118"/>
      <c r="J5600" s="2123"/>
      <c r="K5600" s="2140">
        <f>ROUND(K5599*C5600,2)</f>
        <v>0.16</v>
      </c>
      <c r="L5600" s="192"/>
      <c r="M5600" s="568"/>
    </row>
    <row r="5601" spans="1:13" ht="12.75" hidden="1">
      <c r="A5601" s="2114"/>
      <c r="B5601" s="568"/>
      <c r="C5601" s="568"/>
      <c r="D5601" s="568"/>
      <c r="E5601" s="188"/>
      <c r="F5601" s="188"/>
      <c r="G5601" s="2122"/>
      <c r="H5601" s="568"/>
      <c r="I5601" s="2118"/>
      <c r="J5601" s="2126" t="s">
        <v>718</v>
      </c>
      <c r="K5601" s="2124">
        <f>SUM(K5599:K5600)</f>
        <v>16.400000000000002</v>
      </c>
      <c r="L5601" s="192" t="s">
        <v>730</v>
      </c>
      <c r="M5601" s="568"/>
    </row>
    <row r="5602" spans="1:13" ht="12.75" hidden="1">
      <c r="A5602" s="2114" t="str">
        <f>A899</f>
        <v>(iii)</v>
      </c>
      <c r="B5602" s="192" t="str">
        <f>B899</f>
        <v>2nd Floor</v>
      </c>
      <c r="C5602" s="568"/>
      <c r="D5602" s="568"/>
      <c r="E5602" s="2120" t="str">
        <f>E5594</f>
        <v>Each Sqm</v>
      </c>
      <c r="F5602" s="2120"/>
      <c r="G5602" s="2122"/>
      <c r="H5602" s="568"/>
      <c r="I5602" s="2118"/>
      <c r="J5602" s="2123"/>
      <c r="K5602" s="2123"/>
      <c r="L5602" s="192"/>
      <c r="M5602" s="568"/>
    </row>
    <row r="5603" spans="1:13" ht="12.75" hidden="1">
      <c r="A5603" s="2114"/>
      <c r="B5603" s="568" t="s">
        <v>722</v>
      </c>
      <c r="C5603" s="568"/>
      <c r="D5603" s="568"/>
      <c r="E5603" s="188"/>
      <c r="F5603" s="188"/>
      <c r="G5603" s="2122"/>
      <c r="H5603" s="568"/>
      <c r="I5603" s="2118"/>
      <c r="J5603" s="2123"/>
      <c r="K5603" s="2123">
        <f>K5599</f>
        <v>16.240000000000002</v>
      </c>
      <c r="L5603" s="192"/>
      <c r="M5603" s="568"/>
    </row>
    <row r="5604" spans="1:13" ht="12.75" hidden="1">
      <c r="A5604" s="2114"/>
      <c r="B5604" s="568" t="s">
        <v>723</v>
      </c>
      <c r="C5604" s="568"/>
      <c r="D5604" s="568"/>
      <c r="E5604" s="188"/>
      <c r="F5604" s="188"/>
      <c r="G5604" s="2122"/>
      <c r="H5604" s="2125">
        <v>0.05</v>
      </c>
      <c r="I5604" s="2134">
        <f>I5596+K5596</f>
        <v>7.5777419354838713</v>
      </c>
      <c r="J5604" s="2124"/>
      <c r="K5604" s="2123">
        <f>ROUND(I5604*H5604,2)</f>
        <v>0.38</v>
      </c>
      <c r="L5604" s="192"/>
      <c r="M5604" s="568"/>
    </row>
    <row r="5605" spans="1:13" ht="12.75" hidden="1">
      <c r="A5605" s="2114"/>
      <c r="B5605" s="192" t="s">
        <v>3662</v>
      </c>
      <c r="C5605" s="568"/>
      <c r="D5605" s="568"/>
      <c r="E5605" s="188"/>
      <c r="F5605" s="188"/>
      <c r="G5605" s="2122"/>
      <c r="H5605" s="2135">
        <f>H5598</f>
        <v>7.4999999999999997E-2</v>
      </c>
      <c r="I5605" s="2134">
        <f>K5604</f>
        <v>0.38</v>
      </c>
      <c r="J5605" s="2134"/>
      <c r="K5605" s="2123">
        <f>ROUND(I5605*H5605,2)</f>
        <v>0.03</v>
      </c>
      <c r="L5605" s="192"/>
      <c r="M5605" s="568"/>
    </row>
    <row r="5606" spans="1:13" ht="12.75" hidden="1">
      <c r="A5606" s="2114"/>
      <c r="B5606" s="192" t="s">
        <v>3661</v>
      </c>
      <c r="C5606" s="568"/>
      <c r="D5606" s="568"/>
      <c r="E5606" s="188"/>
      <c r="F5606" s="188"/>
      <c r="G5606" s="2122"/>
      <c r="H5606" s="2135">
        <f>H5605</f>
        <v>7.4999999999999997E-2</v>
      </c>
      <c r="I5606" s="2134">
        <f>I5605</f>
        <v>0.38</v>
      </c>
      <c r="J5606" s="2134"/>
      <c r="K5606" s="2140">
        <f>ROUND(I5606*H5606,2)</f>
        <v>0.03</v>
      </c>
      <c r="L5606" s="192"/>
      <c r="M5606" s="568"/>
    </row>
    <row r="5607" spans="1:13" ht="12.75" hidden="1">
      <c r="A5607" s="2114"/>
      <c r="B5607" s="568"/>
      <c r="C5607" s="568"/>
      <c r="D5607" s="568"/>
      <c r="E5607" s="188"/>
      <c r="F5607" s="188"/>
      <c r="G5607" s="2122"/>
      <c r="H5607" s="568"/>
      <c r="I5607" s="2118"/>
      <c r="J5607" s="2123"/>
      <c r="K5607" s="2123">
        <f>SUM(K5603:K5606)</f>
        <v>16.680000000000003</v>
      </c>
      <c r="L5607" s="192"/>
      <c r="M5607" s="568"/>
    </row>
    <row r="5608" spans="1:13" ht="12.75" hidden="1">
      <c r="A5608" s="2114"/>
      <c r="B5608" s="192" t="s">
        <v>3738</v>
      </c>
      <c r="C5608" s="2142">
        <v>0.01</v>
      </c>
      <c r="D5608" s="568"/>
      <c r="E5608" s="188"/>
      <c r="F5608" s="188"/>
      <c r="G5608" s="2122"/>
      <c r="H5608" s="568"/>
      <c r="I5608" s="2118"/>
      <c r="J5608" s="2123"/>
      <c r="K5608" s="2140">
        <f>ROUND(K5607*C5608,2)</f>
        <v>0.17</v>
      </c>
      <c r="L5608" s="192"/>
      <c r="M5608" s="568"/>
    </row>
    <row r="5609" spans="1:13" ht="12.75" hidden="1">
      <c r="A5609" s="2114"/>
      <c r="B5609" s="568"/>
      <c r="C5609" s="568"/>
      <c r="D5609" s="568"/>
      <c r="E5609" s="188"/>
      <c r="F5609" s="188"/>
      <c r="G5609" s="2122"/>
      <c r="H5609" s="568"/>
      <c r="I5609" s="2118"/>
      <c r="J5609" s="2126" t="s">
        <v>718</v>
      </c>
      <c r="K5609" s="2124">
        <f>SUM(K5607:K5608)</f>
        <v>16.850000000000005</v>
      </c>
      <c r="L5609" s="192" t="s">
        <v>730</v>
      </c>
      <c r="M5609" s="568"/>
    </row>
    <row r="5610" spans="1:13" ht="12.75" hidden="1">
      <c r="A5610" s="2114" t="str">
        <f>A900</f>
        <v>(iv)</v>
      </c>
      <c r="B5610" s="192" t="str">
        <f>B900</f>
        <v>3rd Floor</v>
      </c>
      <c r="C5610" s="568"/>
      <c r="D5610" s="568"/>
      <c r="E5610" s="2120" t="str">
        <f>E5602</f>
        <v>Each Sqm</v>
      </c>
      <c r="F5610" s="2120"/>
      <c r="G5610" s="2122"/>
      <c r="H5610" s="568"/>
      <c r="I5610" s="2118"/>
      <c r="J5610" s="2123"/>
      <c r="K5610" s="2123"/>
      <c r="L5610" s="192"/>
      <c r="M5610" s="568"/>
    </row>
    <row r="5611" spans="1:13" ht="12.75" hidden="1">
      <c r="A5611" s="2114"/>
      <c r="B5611" s="568" t="s">
        <v>722</v>
      </c>
      <c r="C5611" s="568"/>
      <c r="D5611" s="568"/>
      <c r="E5611" s="188"/>
      <c r="F5611" s="188"/>
      <c r="G5611" s="2122"/>
      <c r="H5611" s="568"/>
      <c r="I5611" s="2118"/>
      <c r="J5611" s="2123"/>
      <c r="K5611" s="2123">
        <f>K5607</f>
        <v>16.680000000000003</v>
      </c>
      <c r="L5611" s="192"/>
      <c r="M5611" s="568"/>
    </row>
    <row r="5612" spans="1:13" ht="12.75" hidden="1">
      <c r="A5612" s="2114"/>
      <c r="B5612" s="568" t="s">
        <v>723</v>
      </c>
      <c r="C5612" s="568"/>
      <c r="D5612" s="568"/>
      <c r="E5612" s="188"/>
      <c r="F5612" s="188"/>
      <c r="G5612" s="2122"/>
      <c r="H5612" s="2125">
        <v>0.05</v>
      </c>
      <c r="I5612" s="2134">
        <f>I5604+K5604</f>
        <v>7.9577419354838712</v>
      </c>
      <c r="J5612" s="2124"/>
      <c r="K5612" s="2123">
        <f>ROUND(I5612*H5612,2)</f>
        <v>0.4</v>
      </c>
      <c r="L5612" s="192"/>
      <c r="M5612" s="568"/>
    </row>
    <row r="5613" spans="1:13" ht="12.75" hidden="1">
      <c r="A5613" s="2114"/>
      <c r="B5613" s="192" t="s">
        <v>3662</v>
      </c>
      <c r="C5613" s="568"/>
      <c r="D5613" s="568"/>
      <c r="E5613" s="188"/>
      <c r="F5613" s="188"/>
      <c r="G5613" s="2122"/>
      <c r="H5613" s="2135">
        <f>H5606</f>
        <v>7.4999999999999997E-2</v>
      </c>
      <c r="I5613" s="2134">
        <f>K5612</f>
        <v>0.4</v>
      </c>
      <c r="J5613" s="2134"/>
      <c r="K5613" s="2123">
        <f>ROUND(I5613*H5613,2)</f>
        <v>0.03</v>
      </c>
      <c r="L5613" s="192"/>
      <c r="M5613" s="568"/>
    </row>
    <row r="5614" spans="1:13" ht="12.75" hidden="1">
      <c r="A5614" s="2114"/>
      <c r="B5614" s="192" t="s">
        <v>3661</v>
      </c>
      <c r="C5614" s="568"/>
      <c r="D5614" s="568"/>
      <c r="E5614" s="188"/>
      <c r="F5614" s="188"/>
      <c r="G5614" s="2122"/>
      <c r="H5614" s="2135">
        <f>H5613</f>
        <v>7.4999999999999997E-2</v>
      </c>
      <c r="I5614" s="2134">
        <f>I5613</f>
        <v>0.4</v>
      </c>
      <c r="J5614" s="2134"/>
      <c r="K5614" s="2140">
        <f>ROUND(I5614*H5614,2)</f>
        <v>0.03</v>
      </c>
      <c r="L5614" s="192"/>
      <c r="M5614" s="568"/>
    </row>
    <row r="5615" spans="1:13" ht="12.75" hidden="1">
      <c r="A5615" s="2114"/>
      <c r="B5615" s="568"/>
      <c r="C5615" s="568"/>
      <c r="D5615" s="568"/>
      <c r="E5615" s="188"/>
      <c r="F5615" s="188"/>
      <c r="G5615" s="2122"/>
      <c r="H5615" s="568"/>
      <c r="I5615" s="2118"/>
      <c r="J5615" s="2123"/>
      <c r="K5615" s="2123">
        <f>SUM(K5611:K5614)</f>
        <v>17.140000000000004</v>
      </c>
      <c r="L5615" s="192"/>
      <c r="M5615" s="568"/>
    </row>
    <row r="5616" spans="1:13" ht="12.75" hidden="1">
      <c r="A5616" s="2114"/>
      <c r="B5616" s="192" t="s">
        <v>3738</v>
      </c>
      <c r="C5616" s="2142">
        <v>0.01</v>
      </c>
      <c r="D5616" s="568"/>
      <c r="E5616" s="188"/>
      <c r="F5616" s="188"/>
      <c r="G5616" s="2122"/>
      <c r="H5616" s="568"/>
      <c r="I5616" s="2118"/>
      <c r="J5616" s="2123"/>
      <c r="K5616" s="2140">
        <f>ROUND(K5615*C5616,2)</f>
        <v>0.17</v>
      </c>
      <c r="L5616" s="192"/>
      <c r="M5616" s="568"/>
    </row>
    <row r="5617" spans="1:13" ht="12.75" hidden="1">
      <c r="A5617" s="2114"/>
      <c r="B5617" s="568"/>
      <c r="C5617" s="568"/>
      <c r="D5617" s="568"/>
      <c r="E5617" s="188"/>
      <c r="F5617" s="188"/>
      <c r="G5617" s="2122"/>
      <c r="H5617" s="568"/>
      <c r="I5617" s="2118"/>
      <c r="J5617" s="2126" t="s">
        <v>718</v>
      </c>
      <c r="K5617" s="2124">
        <f>SUM(K5615:K5616)</f>
        <v>17.310000000000006</v>
      </c>
      <c r="L5617" s="192" t="s">
        <v>730</v>
      </c>
      <c r="M5617" s="568"/>
    </row>
    <row r="5618" spans="1:13" ht="37.700000000000003" customHeight="1">
      <c r="A5618" s="2114">
        <f t="shared" ref="A5618:B5620" si="300">A901</f>
        <v>115</v>
      </c>
      <c r="B5618" s="3025" t="str">
        <f t="shared" si="300"/>
        <v xml:space="preserve">Finishing plastered surfaces with wall primer one coat using cement including  etc. required for the work complete in all respect as per the direction of the Engineer-in-charge. </v>
      </c>
      <c r="C5618" s="3025"/>
      <c r="D5618" s="3025"/>
      <c r="E5618" s="3025"/>
      <c r="F5618" s="3025"/>
      <c r="G5618" s="3025"/>
      <c r="H5618" s="3025"/>
      <c r="I5618" s="2118"/>
      <c r="J5618" s="2124"/>
      <c r="K5618" s="2124"/>
      <c r="L5618" s="192"/>
      <c r="M5618" s="568"/>
    </row>
    <row r="5619" spans="1:13" ht="12.75">
      <c r="A5619" s="2114" t="str">
        <f t="shared" si="300"/>
        <v>A)</v>
      </c>
      <c r="B5619" s="192" t="str">
        <f t="shared" si="300"/>
        <v>Inside Surface</v>
      </c>
      <c r="C5619" s="192"/>
      <c r="D5619" s="192"/>
      <c r="E5619" s="2120" t="str">
        <f>G902</f>
        <v>Each Sqm</v>
      </c>
      <c r="F5619" s="2120"/>
      <c r="G5619" s="2122"/>
      <c r="H5619" s="568"/>
      <c r="I5619" s="2118"/>
      <c r="J5619" s="2124"/>
      <c r="K5619" s="2124"/>
      <c r="L5619" s="192"/>
      <c r="M5619" s="568"/>
    </row>
    <row r="5620" spans="1:13" ht="12.75">
      <c r="A5620" s="2114" t="str">
        <f t="shared" si="300"/>
        <v>(i)</v>
      </c>
      <c r="B5620" s="192" t="str">
        <f t="shared" si="300"/>
        <v>Ground Floor</v>
      </c>
      <c r="C5620" s="192"/>
      <c r="D5620" s="192"/>
      <c r="E5620" s="2120" t="str">
        <f>G903</f>
        <v>Each Sqm</v>
      </c>
      <c r="F5620" s="2120"/>
      <c r="G5620" s="2122"/>
      <c r="H5620" s="568"/>
      <c r="I5620" s="2118"/>
      <c r="J5620" s="2123"/>
      <c r="K5620" s="2123"/>
      <c r="L5620" s="192"/>
      <c r="M5620" s="568"/>
    </row>
    <row r="5621" spans="1:13" ht="12.75">
      <c r="A5621" s="2114"/>
      <c r="B5621" s="192" t="s">
        <v>884</v>
      </c>
      <c r="C5621" s="568"/>
      <c r="D5621" s="568"/>
      <c r="E5621" s="188"/>
      <c r="F5621" s="188"/>
      <c r="G5621" s="2122"/>
      <c r="H5621" s="568"/>
      <c r="I5621" s="2118"/>
      <c r="J5621" s="2123"/>
      <c r="K5621" s="2123"/>
      <c r="L5621" s="192"/>
      <c r="M5621" s="568"/>
    </row>
    <row r="5622" spans="1:13" ht="12.75">
      <c r="A5622" s="2114"/>
      <c r="B5622" s="192" t="s">
        <v>954</v>
      </c>
      <c r="C5622" s="568"/>
      <c r="D5622" s="568"/>
      <c r="E5622" s="188"/>
      <c r="F5622" s="188"/>
      <c r="G5622" s="2122"/>
      <c r="H5622" s="568"/>
      <c r="I5622" s="2118"/>
      <c r="J5622" s="2123"/>
      <c r="K5622" s="2123"/>
      <c r="L5622" s="192"/>
      <c r="M5622" s="568"/>
    </row>
    <row r="5623" spans="1:13" ht="12.75">
      <c r="A5623" s="2114"/>
      <c r="B5623" s="568" t="s">
        <v>1233</v>
      </c>
      <c r="C5623" s="568"/>
      <c r="D5623" s="568"/>
      <c r="E5623" s="188"/>
      <c r="F5623" s="188"/>
      <c r="G5623" s="2122">
        <v>0.5</v>
      </c>
      <c r="H5623" s="568" t="s">
        <v>262</v>
      </c>
      <c r="I5623" s="2118" t="s">
        <v>38</v>
      </c>
      <c r="J5623" s="2123">
        <f>L137</f>
        <v>495</v>
      </c>
      <c r="K5623" s="2123">
        <f>ROUND(G5623*J5623,2)</f>
        <v>247.5</v>
      </c>
      <c r="L5623" s="192"/>
      <c r="M5623" s="568"/>
    </row>
    <row r="5624" spans="1:13" ht="12.75">
      <c r="A5624" s="2114"/>
      <c r="B5624" s="568" t="s">
        <v>717</v>
      </c>
      <c r="C5624" s="568"/>
      <c r="D5624" s="568"/>
      <c r="E5624" s="188"/>
      <c r="F5624" s="188"/>
      <c r="G5624" s="2122">
        <v>0.5</v>
      </c>
      <c r="H5624" s="568" t="s">
        <v>262</v>
      </c>
      <c r="I5624" s="2118" t="s">
        <v>38</v>
      </c>
      <c r="J5624" s="2123">
        <f>L134</f>
        <v>345</v>
      </c>
      <c r="K5624" s="2123">
        <f>ROUND(G5624*J5624,2)</f>
        <v>172.5</v>
      </c>
      <c r="L5624" s="192"/>
      <c r="M5624" s="568"/>
    </row>
    <row r="5625" spans="1:13" ht="12.75">
      <c r="A5625" s="2114"/>
      <c r="B5625" s="568"/>
      <c r="C5625" s="568"/>
      <c r="D5625" s="568"/>
      <c r="E5625" s="188"/>
      <c r="F5625" s="188"/>
      <c r="G5625" s="2122"/>
      <c r="H5625" s="568"/>
      <c r="I5625" s="2118"/>
      <c r="J5625" s="2123" t="s">
        <v>718</v>
      </c>
      <c r="K5625" s="2123">
        <f>SUM(K5623:K5624)</f>
        <v>420</v>
      </c>
      <c r="L5625" s="192"/>
      <c r="M5625" s="568"/>
    </row>
    <row r="5626" spans="1:13" ht="12.75">
      <c r="A5626" s="2114"/>
      <c r="B5626" s="192"/>
      <c r="C5626" s="568"/>
      <c r="D5626" s="568"/>
      <c r="E5626" s="188"/>
      <c r="F5626" s="188"/>
      <c r="G5626" s="2122"/>
      <c r="H5626" s="568"/>
      <c r="I5626" s="2118"/>
      <c r="J5626" s="2123"/>
      <c r="K5626" s="2123"/>
      <c r="L5626" s="192"/>
      <c r="M5626" s="568"/>
    </row>
    <row r="5627" spans="1:13" ht="12.75">
      <c r="A5627" s="2114"/>
      <c r="B5627" s="192" t="s">
        <v>1234</v>
      </c>
      <c r="C5627" s="568"/>
      <c r="D5627" s="568"/>
      <c r="E5627" s="188"/>
      <c r="F5627" s="188"/>
      <c r="G5627" s="2122"/>
      <c r="H5627" s="2180">
        <v>0</v>
      </c>
      <c r="I5627" s="2118"/>
      <c r="J5627" s="2123"/>
      <c r="K5627" s="2123">
        <f>ROUND(K5625*H5627,2)</f>
        <v>0</v>
      </c>
      <c r="L5627" s="192"/>
      <c r="M5627" s="568"/>
    </row>
    <row r="5628" spans="1:13" ht="12.75">
      <c r="A5628" s="2114"/>
      <c r="B5628" s="192" t="s">
        <v>967</v>
      </c>
      <c r="C5628" s="568"/>
      <c r="D5628" s="568"/>
      <c r="E5628" s="188"/>
      <c r="F5628" s="188"/>
      <c r="G5628" s="2122"/>
      <c r="H5628" s="568"/>
      <c r="I5628" s="2118"/>
      <c r="J5628" s="2123"/>
      <c r="K5628" s="2123">
        <f>K5626+K5625+K5627</f>
        <v>420</v>
      </c>
      <c r="L5628" s="192"/>
      <c r="M5628" s="568"/>
    </row>
    <row r="5629" spans="1:13" ht="12.75">
      <c r="A5629" s="2114"/>
      <c r="B5629" s="192" t="s">
        <v>1235</v>
      </c>
      <c r="C5629" s="568"/>
      <c r="D5629" s="568"/>
      <c r="E5629" s="188"/>
      <c r="F5629" s="188"/>
      <c r="G5629" s="2122"/>
      <c r="H5629" s="568"/>
      <c r="I5629" s="2118"/>
      <c r="J5629" s="2123"/>
      <c r="K5629" s="2123">
        <f>ROUND(K5628/10,2)</f>
        <v>42</v>
      </c>
      <c r="L5629" s="192"/>
      <c r="M5629" s="568"/>
    </row>
    <row r="5630" spans="1:13" ht="12.75">
      <c r="A5630" s="2114"/>
      <c r="B5630" s="568" t="s">
        <v>1236</v>
      </c>
      <c r="C5630" s="568"/>
      <c r="D5630" s="568"/>
      <c r="E5630" s="188"/>
      <c r="F5630" s="188"/>
      <c r="G5630" s="2122">
        <v>8.4000000000000005E-2</v>
      </c>
      <c r="H5630" s="568" t="s">
        <v>294</v>
      </c>
      <c r="I5630" s="2118" t="s">
        <v>294</v>
      </c>
      <c r="J5630" s="2123">
        <f>L94</f>
        <v>159.45622</v>
      </c>
      <c r="K5630" s="2123">
        <f>ROUND(G5630*J5630,2)</f>
        <v>13.39</v>
      </c>
      <c r="L5630" s="192"/>
      <c r="M5630" s="568"/>
    </row>
    <row r="5631" spans="1:13" ht="12.75">
      <c r="A5631" s="2114"/>
      <c r="B5631" s="192" t="s">
        <v>3748</v>
      </c>
      <c r="C5631" s="568"/>
      <c r="D5631" s="568"/>
      <c r="E5631" s="188"/>
      <c r="F5631" s="188"/>
      <c r="G5631" s="2122"/>
      <c r="H5631" s="568"/>
      <c r="I5631" s="2118"/>
      <c r="J5631" s="2123"/>
      <c r="K5631" s="2123">
        <f>SUM(K5629:K5630)</f>
        <v>55.39</v>
      </c>
      <c r="L5631" s="192"/>
      <c r="M5631" s="568"/>
    </row>
    <row r="5632" spans="1:13" ht="12.75">
      <c r="A5632" s="2114"/>
      <c r="B5632" s="192" t="s">
        <v>3662</v>
      </c>
      <c r="C5632" s="568"/>
      <c r="D5632" s="568"/>
      <c r="E5632" s="188"/>
      <c r="F5632" s="188"/>
      <c r="G5632" s="2122"/>
      <c r="H5632" s="2135">
        <f>H5614</f>
        <v>7.4999999999999997E-2</v>
      </c>
      <c r="I5632" s="2134">
        <f>K5631</f>
        <v>55.39</v>
      </c>
      <c r="J5632" s="2134"/>
      <c r="K5632" s="2123">
        <f>ROUND(I5632*H5632,2)</f>
        <v>4.1500000000000004</v>
      </c>
      <c r="L5632" s="192"/>
      <c r="M5632" s="568"/>
    </row>
    <row r="5633" spans="1:13" ht="12.75">
      <c r="A5633" s="2114"/>
      <c r="B5633" s="192" t="s">
        <v>3661</v>
      </c>
      <c r="C5633" s="568"/>
      <c r="D5633" s="568"/>
      <c r="E5633" s="188"/>
      <c r="F5633" s="188"/>
      <c r="G5633" s="2122"/>
      <c r="H5633" s="2135">
        <f>H5632</f>
        <v>7.4999999999999997E-2</v>
      </c>
      <c r="I5633" s="2134">
        <f>I5632</f>
        <v>55.39</v>
      </c>
      <c r="J5633" s="2134"/>
      <c r="K5633" s="2140">
        <f>ROUND(I5633*H5633,2)</f>
        <v>4.1500000000000004</v>
      </c>
      <c r="L5633" s="192"/>
      <c r="M5633" s="568"/>
    </row>
    <row r="5634" spans="1:13" ht="12.75">
      <c r="A5634" s="2114"/>
      <c r="B5634" s="568"/>
      <c r="C5634" s="568"/>
      <c r="D5634" s="568"/>
      <c r="E5634" s="188"/>
      <c r="F5634" s="188"/>
      <c r="G5634" s="2122"/>
      <c r="H5634" s="568"/>
      <c r="I5634" s="2118"/>
      <c r="J5634" s="2123"/>
      <c r="K5634" s="2123">
        <f>SUM(K5631:K5633)</f>
        <v>63.69</v>
      </c>
      <c r="L5634" s="192"/>
      <c r="M5634" s="568"/>
    </row>
    <row r="5635" spans="1:13" ht="12.75">
      <c r="A5635" s="2114"/>
      <c r="B5635" s="192" t="s">
        <v>3738</v>
      </c>
      <c r="C5635" s="2142">
        <v>0.01</v>
      </c>
      <c r="D5635" s="568"/>
      <c r="E5635" s="188"/>
      <c r="F5635" s="188"/>
      <c r="G5635" s="2122"/>
      <c r="H5635" s="568"/>
      <c r="I5635" s="2118"/>
      <c r="J5635" s="2123"/>
      <c r="K5635" s="2140">
        <f>ROUND(K5634*C5635,2)</f>
        <v>0.64</v>
      </c>
      <c r="L5635" s="192"/>
      <c r="M5635" s="568"/>
    </row>
    <row r="5636" spans="1:13" ht="12.75">
      <c r="A5636" s="2114"/>
      <c r="B5636" s="568"/>
      <c r="C5636" s="568"/>
      <c r="D5636" s="568"/>
      <c r="E5636" s="188"/>
      <c r="F5636" s="188"/>
      <c r="G5636" s="2122"/>
      <c r="H5636" s="568"/>
      <c r="I5636" s="2118"/>
      <c r="J5636" s="2126" t="s">
        <v>718</v>
      </c>
      <c r="K5636" s="2124">
        <f>SUM(K5634:K5635)</f>
        <v>64.33</v>
      </c>
      <c r="L5636" s="192" t="s">
        <v>730</v>
      </c>
      <c r="M5636" s="568"/>
    </row>
    <row r="5637" spans="1:13" ht="12.75" hidden="1">
      <c r="A5637" s="2114" t="str">
        <f>A904</f>
        <v>(ii)</v>
      </c>
      <c r="B5637" s="192" t="str">
        <f>B904</f>
        <v>First Floor</v>
      </c>
      <c r="C5637" s="568"/>
      <c r="D5637" s="568"/>
      <c r="E5637" s="2120" t="str">
        <f>E5620</f>
        <v>Each Sqm</v>
      </c>
      <c r="F5637" s="2120"/>
      <c r="G5637" s="2122"/>
      <c r="H5637" s="568"/>
      <c r="I5637" s="2118"/>
      <c r="J5637" s="2123"/>
      <c r="K5637" s="2123"/>
      <c r="L5637" s="192"/>
      <c r="M5637" s="568"/>
    </row>
    <row r="5638" spans="1:13" ht="12.75" hidden="1">
      <c r="A5638" s="2114"/>
      <c r="B5638" s="568" t="s">
        <v>722</v>
      </c>
      <c r="C5638" s="568"/>
      <c r="D5638" s="568"/>
      <c r="E5638" s="188"/>
      <c r="F5638" s="188"/>
      <c r="G5638" s="2122"/>
      <c r="H5638" s="568"/>
      <c r="I5638" s="2118"/>
      <c r="J5638" s="2123"/>
      <c r="K5638" s="2123">
        <f>K5634</f>
        <v>63.69</v>
      </c>
      <c r="L5638" s="192"/>
      <c r="M5638" s="568"/>
    </row>
    <row r="5639" spans="1:13" ht="12.75" hidden="1">
      <c r="A5639" s="2114"/>
      <c r="B5639" s="568" t="s">
        <v>948</v>
      </c>
      <c r="C5639" s="568"/>
      <c r="D5639" s="568"/>
      <c r="E5639" s="188"/>
      <c r="F5639" s="188"/>
      <c r="G5639" s="2122"/>
      <c r="H5639" s="2125">
        <v>0.03</v>
      </c>
      <c r="I5639" s="2134">
        <f>K5625/9.3</f>
        <v>45.161290322580641</v>
      </c>
      <c r="J5639" s="2124"/>
      <c r="K5639" s="2123">
        <f>ROUND(I5639*H5639,2)</f>
        <v>1.35</v>
      </c>
      <c r="L5639" s="192"/>
      <c r="M5639" s="568"/>
    </row>
    <row r="5640" spans="1:13" ht="12.75" hidden="1">
      <c r="A5640" s="2114"/>
      <c r="B5640" s="192" t="s">
        <v>3662</v>
      </c>
      <c r="C5640" s="568"/>
      <c r="D5640" s="568"/>
      <c r="E5640" s="188"/>
      <c r="F5640" s="188"/>
      <c r="G5640" s="2122"/>
      <c r="H5640" s="2135">
        <f>H5633</f>
        <v>7.4999999999999997E-2</v>
      </c>
      <c r="I5640" s="2134">
        <f>K5639</f>
        <v>1.35</v>
      </c>
      <c r="J5640" s="2134"/>
      <c r="K5640" s="2123">
        <f>ROUND(I5640*H5640,2)</f>
        <v>0.1</v>
      </c>
      <c r="L5640" s="192"/>
      <c r="M5640" s="568"/>
    </row>
    <row r="5641" spans="1:13" ht="12.75" hidden="1">
      <c r="A5641" s="2114"/>
      <c r="B5641" s="192" t="s">
        <v>3661</v>
      </c>
      <c r="C5641" s="568"/>
      <c r="D5641" s="568"/>
      <c r="E5641" s="188"/>
      <c r="F5641" s="188"/>
      <c r="G5641" s="2122"/>
      <c r="H5641" s="2135">
        <f>H5640</f>
        <v>7.4999999999999997E-2</v>
      </c>
      <c r="I5641" s="2134">
        <f>I5640</f>
        <v>1.35</v>
      </c>
      <c r="J5641" s="2134"/>
      <c r="K5641" s="2140">
        <f>ROUND(I5641*H5641,2)</f>
        <v>0.1</v>
      </c>
      <c r="L5641" s="192"/>
      <c r="M5641" s="568"/>
    </row>
    <row r="5642" spans="1:13" ht="12.75" hidden="1">
      <c r="A5642" s="2114"/>
      <c r="B5642" s="568"/>
      <c r="C5642" s="568"/>
      <c r="D5642" s="568"/>
      <c r="E5642" s="188"/>
      <c r="F5642" s="188"/>
      <c r="G5642" s="2122"/>
      <c r="H5642" s="568"/>
      <c r="I5642" s="2118"/>
      <c r="J5642" s="2123"/>
      <c r="K5642" s="2123">
        <f>SUM(K5638:K5641)</f>
        <v>65.239999999999981</v>
      </c>
      <c r="L5642" s="192"/>
      <c r="M5642" s="568"/>
    </row>
    <row r="5643" spans="1:13" ht="12.75" hidden="1">
      <c r="A5643" s="2114"/>
      <c r="B5643" s="192" t="s">
        <v>3738</v>
      </c>
      <c r="C5643" s="2142">
        <v>0.01</v>
      </c>
      <c r="D5643" s="568"/>
      <c r="E5643" s="188"/>
      <c r="F5643" s="188"/>
      <c r="G5643" s="2122"/>
      <c r="H5643" s="568"/>
      <c r="I5643" s="2118"/>
      <c r="J5643" s="2123"/>
      <c r="K5643" s="2140">
        <f>ROUND(K5642*C5643,2)</f>
        <v>0.65</v>
      </c>
      <c r="L5643" s="192"/>
      <c r="M5643" s="568"/>
    </row>
    <row r="5644" spans="1:13" ht="12.75" hidden="1">
      <c r="A5644" s="2114"/>
      <c r="B5644" s="568"/>
      <c r="C5644" s="568"/>
      <c r="D5644" s="568"/>
      <c r="E5644" s="188"/>
      <c r="F5644" s="188"/>
      <c r="G5644" s="2122"/>
      <c r="H5644" s="568"/>
      <c r="I5644" s="2118"/>
      <c r="J5644" s="2126" t="s">
        <v>718</v>
      </c>
      <c r="K5644" s="2124">
        <f>SUM(K5642:K5643)</f>
        <v>65.889999999999986</v>
      </c>
      <c r="L5644" s="192" t="s">
        <v>730</v>
      </c>
      <c r="M5644" s="568"/>
    </row>
    <row r="5645" spans="1:13" ht="12.75" hidden="1">
      <c r="A5645" s="2114" t="str">
        <f>A905</f>
        <v>(iii)</v>
      </c>
      <c r="B5645" s="192" t="str">
        <f>B905</f>
        <v>2nd Floor</v>
      </c>
      <c r="C5645" s="568"/>
      <c r="D5645" s="568"/>
      <c r="E5645" s="2120" t="str">
        <f>E5637</f>
        <v>Each Sqm</v>
      </c>
      <c r="F5645" s="2120"/>
      <c r="G5645" s="2122"/>
      <c r="H5645" s="568"/>
      <c r="I5645" s="2118"/>
      <c r="J5645" s="2123"/>
      <c r="K5645" s="2123"/>
      <c r="L5645" s="192"/>
      <c r="M5645" s="568"/>
    </row>
    <row r="5646" spans="1:13" ht="12.75" hidden="1">
      <c r="A5646" s="2114"/>
      <c r="B5646" s="568" t="s">
        <v>722</v>
      </c>
      <c r="C5646" s="568"/>
      <c r="D5646" s="568"/>
      <c r="E5646" s="188"/>
      <c r="F5646" s="188"/>
      <c r="G5646" s="2122"/>
      <c r="H5646" s="568"/>
      <c r="I5646" s="2118"/>
      <c r="J5646" s="2123"/>
      <c r="K5646" s="2123">
        <f>K5642</f>
        <v>65.239999999999981</v>
      </c>
      <c r="L5646" s="192"/>
      <c r="M5646" s="568"/>
    </row>
    <row r="5647" spans="1:13" ht="12.75" hidden="1">
      <c r="A5647" s="2114"/>
      <c r="B5647" s="568" t="s">
        <v>948</v>
      </c>
      <c r="C5647" s="568"/>
      <c r="D5647" s="568"/>
      <c r="E5647" s="188"/>
      <c r="F5647" s="188"/>
      <c r="G5647" s="2122"/>
      <c r="H5647" s="2125">
        <v>0.03</v>
      </c>
      <c r="I5647" s="2134">
        <f>I5639+K5639</f>
        <v>46.511290322580642</v>
      </c>
      <c r="J5647" s="2124"/>
      <c r="K5647" s="2123">
        <f>ROUND(I5647*H5647,2)</f>
        <v>1.4</v>
      </c>
      <c r="L5647" s="192"/>
      <c r="M5647" s="568"/>
    </row>
    <row r="5648" spans="1:13" ht="12.75" hidden="1">
      <c r="A5648" s="2114"/>
      <c r="B5648" s="192" t="s">
        <v>3662</v>
      </c>
      <c r="C5648" s="568"/>
      <c r="D5648" s="568"/>
      <c r="E5648" s="188"/>
      <c r="F5648" s="188"/>
      <c r="G5648" s="2122"/>
      <c r="H5648" s="2135">
        <f>H5641</f>
        <v>7.4999999999999997E-2</v>
      </c>
      <c r="I5648" s="2134">
        <f>K5647</f>
        <v>1.4</v>
      </c>
      <c r="J5648" s="2134"/>
      <c r="K5648" s="2123">
        <f>ROUND(I5648*H5648,2)</f>
        <v>0.11</v>
      </c>
      <c r="L5648" s="192"/>
      <c r="M5648" s="568"/>
    </row>
    <row r="5649" spans="1:13" ht="12.75" hidden="1">
      <c r="A5649" s="2114"/>
      <c r="B5649" s="192" t="s">
        <v>3661</v>
      </c>
      <c r="C5649" s="568"/>
      <c r="D5649" s="568"/>
      <c r="E5649" s="188"/>
      <c r="F5649" s="188"/>
      <c r="G5649" s="2122"/>
      <c r="H5649" s="2135">
        <f>H5648</f>
        <v>7.4999999999999997E-2</v>
      </c>
      <c r="I5649" s="2134">
        <f>I5648</f>
        <v>1.4</v>
      </c>
      <c r="J5649" s="2134"/>
      <c r="K5649" s="2140">
        <f>ROUND(I5649*H5649,2)</f>
        <v>0.11</v>
      </c>
      <c r="L5649" s="192"/>
      <c r="M5649" s="568"/>
    </row>
    <row r="5650" spans="1:13" ht="12.75" hidden="1">
      <c r="A5650" s="2114"/>
      <c r="B5650" s="568"/>
      <c r="C5650" s="568"/>
      <c r="D5650" s="568"/>
      <c r="E5650" s="188"/>
      <c r="F5650" s="188"/>
      <c r="G5650" s="2122"/>
      <c r="H5650" s="568"/>
      <c r="I5650" s="2118"/>
      <c r="J5650" s="2123"/>
      <c r="K5650" s="2123">
        <f>SUM(K5646:K5649)</f>
        <v>66.859999999999985</v>
      </c>
      <c r="L5650" s="192"/>
      <c r="M5650" s="568"/>
    </row>
    <row r="5651" spans="1:13" ht="12.75" hidden="1">
      <c r="A5651" s="2114"/>
      <c r="B5651" s="192" t="s">
        <v>3738</v>
      </c>
      <c r="C5651" s="2142">
        <v>0.01</v>
      </c>
      <c r="D5651" s="568"/>
      <c r="E5651" s="188"/>
      <c r="F5651" s="188"/>
      <c r="G5651" s="2122"/>
      <c r="H5651" s="568"/>
      <c r="I5651" s="2118"/>
      <c r="J5651" s="2123"/>
      <c r="K5651" s="2140">
        <f>ROUND(K5650*C5651,2)</f>
        <v>0.67</v>
      </c>
      <c r="L5651" s="192"/>
      <c r="M5651" s="568"/>
    </row>
    <row r="5652" spans="1:13" ht="12.75" hidden="1">
      <c r="A5652" s="2114"/>
      <c r="B5652" s="568"/>
      <c r="C5652" s="568"/>
      <c r="D5652" s="568"/>
      <c r="E5652" s="188"/>
      <c r="F5652" s="188"/>
      <c r="G5652" s="2122"/>
      <c r="H5652" s="568"/>
      <c r="I5652" s="2118"/>
      <c r="J5652" s="2126" t="s">
        <v>718</v>
      </c>
      <c r="K5652" s="2124">
        <f>SUM(K5650:K5651)</f>
        <v>67.529999999999987</v>
      </c>
      <c r="L5652" s="192" t="s">
        <v>730</v>
      </c>
      <c r="M5652" s="568"/>
    </row>
    <row r="5653" spans="1:13" ht="12.75" hidden="1">
      <c r="A5653" s="2114" t="str">
        <f>A906</f>
        <v>(iv)</v>
      </c>
      <c r="B5653" s="192" t="str">
        <f>B906</f>
        <v>3rd Floor</v>
      </c>
      <c r="C5653" s="568"/>
      <c r="D5653" s="568"/>
      <c r="E5653" s="2120" t="str">
        <f>E5645</f>
        <v>Each Sqm</v>
      </c>
      <c r="F5653" s="2120"/>
      <c r="G5653" s="2122"/>
      <c r="H5653" s="568"/>
      <c r="I5653" s="2118"/>
      <c r="J5653" s="2123"/>
      <c r="K5653" s="2123"/>
      <c r="L5653" s="192"/>
      <c r="M5653" s="568"/>
    </row>
    <row r="5654" spans="1:13" ht="12.75" hidden="1">
      <c r="A5654" s="2114"/>
      <c r="B5654" s="568" t="s">
        <v>722</v>
      </c>
      <c r="C5654" s="568"/>
      <c r="D5654" s="568"/>
      <c r="E5654" s="188"/>
      <c r="F5654" s="188"/>
      <c r="G5654" s="2122"/>
      <c r="H5654" s="568"/>
      <c r="I5654" s="2118"/>
      <c r="J5654" s="2123"/>
      <c r="K5654" s="2123">
        <f>K5650</f>
        <v>66.859999999999985</v>
      </c>
      <c r="L5654" s="192"/>
      <c r="M5654" s="568"/>
    </row>
    <row r="5655" spans="1:13" ht="12.75" hidden="1">
      <c r="A5655" s="2114"/>
      <c r="B5655" s="568" t="s">
        <v>948</v>
      </c>
      <c r="C5655" s="568"/>
      <c r="D5655" s="568"/>
      <c r="E5655" s="188"/>
      <c r="F5655" s="188"/>
      <c r="G5655" s="2122"/>
      <c r="H5655" s="2125">
        <v>0.03</v>
      </c>
      <c r="I5655" s="2134">
        <f>I5647+K5647</f>
        <v>47.911290322580641</v>
      </c>
      <c r="J5655" s="2124"/>
      <c r="K5655" s="2123">
        <f>ROUND(I5655*H5655,2)</f>
        <v>1.44</v>
      </c>
      <c r="L5655" s="192"/>
      <c r="M5655" s="568"/>
    </row>
    <row r="5656" spans="1:13" ht="12.75" hidden="1">
      <c r="A5656" s="2114"/>
      <c r="B5656" s="192" t="s">
        <v>3662</v>
      </c>
      <c r="C5656" s="568"/>
      <c r="D5656" s="568"/>
      <c r="E5656" s="188"/>
      <c r="F5656" s="188"/>
      <c r="G5656" s="2122"/>
      <c r="H5656" s="2135">
        <f>H5649</f>
        <v>7.4999999999999997E-2</v>
      </c>
      <c r="I5656" s="2134">
        <f>K5655</f>
        <v>1.44</v>
      </c>
      <c r="J5656" s="2134"/>
      <c r="K5656" s="2123">
        <f>ROUND(I5656*H5656,2)</f>
        <v>0.11</v>
      </c>
      <c r="L5656" s="192"/>
      <c r="M5656" s="568"/>
    </row>
    <row r="5657" spans="1:13" ht="12.75" hidden="1">
      <c r="A5657" s="2114"/>
      <c r="B5657" s="192" t="s">
        <v>3661</v>
      </c>
      <c r="C5657" s="568"/>
      <c r="D5657" s="568"/>
      <c r="E5657" s="188"/>
      <c r="F5657" s="188"/>
      <c r="G5657" s="2122"/>
      <c r="H5657" s="2135">
        <f>H5656</f>
        <v>7.4999999999999997E-2</v>
      </c>
      <c r="I5657" s="2134">
        <f>I5656</f>
        <v>1.44</v>
      </c>
      <c r="J5657" s="2134"/>
      <c r="K5657" s="2140">
        <f>ROUND(I5657*H5657,2)</f>
        <v>0.11</v>
      </c>
      <c r="L5657" s="192"/>
      <c r="M5657" s="568"/>
    </row>
    <row r="5658" spans="1:13" ht="12.75" hidden="1">
      <c r="A5658" s="2114"/>
      <c r="B5658" s="568"/>
      <c r="C5658" s="568"/>
      <c r="D5658" s="568"/>
      <c r="E5658" s="188"/>
      <c r="F5658" s="188"/>
      <c r="G5658" s="2122"/>
      <c r="H5658" s="568"/>
      <c r="I5658" s="2118"/>
      <c r="J5658" s="2123"/>
      <c r="K5658" s="2123">
        <f>SUM(K5654:K5657)</f>
        <v>68.519999999999982</v>
      </c>
      <c r="L5658" s="192"/>
      <c r="M5658" s="568"/>
    </row>
    <row r="5659" spans="1:13" ht="12.75" hidden="1">
      <c r="A5659" s="2114"/>
      <c r="B5659" s="192" t="s">
        <v>3738</v>
      </c>
      <c r="C5659" s="2142">
        <v>0.01</v>
      </c>
      <c r="D5659" s="568"/>
      <c r="E5659" s="188"/>
      <c r="F5659" s="188"/>
      <c r="G5659" s="2122"/>
      <c r="H5659" s="568"/>
      <c r="I5659" s="2118"/>
      <c r="J5659" s="2123"/>
      <c r="K5659" s="2140">
        <f>ROUND(K5658*C5659,2)</f>
        <v>0.69</v>
      </c>
      <c r="L5659" s="192"/>
      <c r="M5659" s="568"/>
    </row>
    <row r="5660" spans="1:13" ht="12.75" hidden="1">
      <c r="A5660" s="2114"/>
      <c r="B5660" s="568"/>
      <c r="C5660" s="568"/>
      <c r="D5660" s="568"/>
      <c r="E5660" s="188"/>
      <c r="F5660" s="188"/>
      <c r="G5660" s="2122"/>
      <c r="H5660" s="568"/>
      <c r="I5660" s="2118"/>
      <c r="J5660" s="2126" t="s">
        <v>718</v>
      </c>
      <c r="K5660" s="2124">
        <f>SUM(K5658:K5659)</f>
        <v>69.20999999999998</v>
      </c>
      <c r="L5660" s="192" t="s">
        <v>730</v>
      </c>
      <c r="M5660" s="568"/>
    </row>
    <row r="5661" spans="1:13" ht="12.75" hidden="1">
      <c r="A5661" s="192" t="str">
        <f t="shared" ref="A5661:B5663" si="301">A907</f>
        <v>B)</v>
      </c>
      <c r="B5661" s="192" t="str">
        <f t="shared" si="301"/>
        <v>Outside Surface</v>
      </c>
      <c r="C5661" s="192"/>
      <c r="D5661" s="192"/>
      <c r="E5661" s="192"/>
      <c r="F5661" s="192"/>
      <c r="G5661" s="2122"/>
      <c r="H5661" s="568"/>
      <c r="I5661" s="2118"/>
      <c r="J5661" s="2124"/>
      <c r="K5661" s="2124"/>
      <c r="L5661" s="192"/>
      <c r="M5661" s="568"/>
    </row>
    <row r="5662" spans="1:13" ht="12.75" hidden="1">
      <c r="A5662" s="2114" t="str">
        <f t="shared" si="301"/>
        <v>(i)</v>
      </c>
      <c r="B5662" s="192" t="str">
        <f t="shared" si="301"/>
        <v>Ground Floor</v>
      </c>
      <c r="C5662" s="568"/>
      <c r="D5662" s="568"/>
      <c r="E5662" s="2120" t="str">
        <f>G908</f>
        <v>Each Sqm</v>
      </c>
      <c r="F5662" s="2120"/>
      <c r="G5662" s="2122"/>
      <c r="H5662" s="568"/>
      <c r="I5662" s="2118"/>
      <c r="J5662" s="2123"/>
      <c r="K5662" s="2124">
        <f>K5634</f>
        <v>63.69</v>
      </c>
      <c r="L5662" s="192" t="s">
        <v>730</v>
      </c>
      <c r="M5662" s="568"/>
    </row>
    <row r="5663" spans="1:13" ht="12.75" hidden="1">
      <c r="A5663" s="2114" t="str">
        <f t="shared" si="301"/>
        <v>(ii)</v>
      </c>
      <c r="B5663" s="192" t="str">
        <f t="shared" si="301"/>
        <v>First Floor</v>
      </c>
      <c r="C5663" s="568"/>
      <c r="D5663" s="568"/>
      <c r="E5663" s="2120" t="str">
        <f>E5662</f>
        <v>Each Sqm</v>
      </c>
      <c r="F5663" s="2120"/>
      <c r="G5663" s="2122"/>
      <c r="H5663" s="568"/>
      <c r="I5663" s="2118"/>
      <c r="J5663" s="2123"/>
      <c r="K5663" s="2123"/>
      <c r="L5663" s="192"/>
      <c r="M5663" s="568"/>
    </row>
    <row r="5664" spans="1:13" ht="12.75" hidden="1">
      <c r="A5664" s="2114"/>
      <c r="B5664" s="568" t="s">
        <v>722</v>
      </c>
      <c r="C5664" s="568"/>
      <c r="D5664" s="568"/>
      <c r="E5664" s="188"/>
      <c r="F5664" s="188"/>
      <c r="G5664" s="2122"/>
      <c r="H5664" s="568"/>
      <c r="I5664" s="2118"/>
      <c r="J5664" s="2123"/>
      <c r="K5664" s="2123">
        <f>K5662</f>
        <v>63.69</v>
      </c>
      <c r="L5664" s="192"/>
      <c r="M5664" s="568"/>
    </row>
    <row r="5665" spans="1:13" ht="12.75" hidden="1">
      <c r="A5665" s="2114"/>
      <c r="B5665" s="568" t="s">
        <v>723</v>
      </c>
      <c r="C5665" s="568"/>
      <c r="D5665" s="568"/>
      <c r="E5665" s="188"/>
      <c r="F5665" s="188"/>
      <c r="G5665" s="2122"/>
      <c r="H5665" s="2125">
        <v>0.05</v>
      </c>
      <c r="I5665" s="2134">
        <f>K5625/9.3</f>
        <v>45.161290322580641</v>
      </c>
      <c r="J5665" s="2124"/>
      <c r="K5665" s="2123">
        <f>ROUND(I5665*H5665,2)</f>
        <v>2.2599999999999998</v>
      </c>
      <c r="L5665" s="192"/>
      <c r="M5665" s="568"/>
    </row>
    <row r="5666" spans="1:13" ht="12.75" hidden="1">
      <c r="A5666" s="2114"/>
      <c r="B5666" s="192" t="s">
        <v>3662</v>
      </c>
      <c r="C5666" s="568"/>
      <c r="D5666" s="568"/>
      <c r="E5666" s="188"/>
      <c r="F5666" s="188"/>
      <c r="G5666" s="2122"/>
      <c r="H5666" s="2135">
        <f>H5657</f>
        <v>7.4999999999999997E-2</v>
      </c>
      <c r="I5666" s="2134">
        <f>K5665</f>
        <v>2.2599999999999998</v>
      </c>
      <c r="J5666" s="2134"/>
      <c r="K5666" s="2123">
        <f>ROUND(I5666*H5666,2)</f>
        <v>0.17</v>
      </c>
      <c r="L5666" s="192"/>
      <c r="M5666" s="568"/>
    </row>
    <row r="5667" spans="1:13" ht="12.75" hidden="1">
      <c r="A5667" s="2114"/>
      <c r="B5667" s="192" t="s">
        <v>3661</v>
      </c>
      <c r="C5667" s="568"/>
      <c r="D5667" s="568"/>
      <c r="E5667" s="188"/>
      <c r="F5667" s="188"/>
      <c r="G5667" s="2122"/>
      <c r="H5667" s="2135">
        <f>H5666</f>
        <v>7.4999999999999997E-2</v>
      </c>
      <c r="I5667" s="2134">
        <f>I5666</f>
        <v>2.2599999999999998</v>
      </c>
      <c r="J5667" s="2134"/>
      <c r="K5667" s="2140">
        <f>ROUND(I5667*H5667,2)</f>
        <v>0.17</v>
      </c>
      <c r="L5667" s="192"/>
      <c r="M5667" s="568"/>
    </row>
    <row r="5668" spans="1:13" ht="12.75" hidden="1">
      <c r="A5668" s="2114"/>
      <c r="B5668" s="568"/>
      <c r="C5668" s="568"/>
      <c r="D5668" s="568"/>
      <c r="E5668" s="188"/>
      <c r="F5668" s="188"/>
      <c r="G5668" s="2122"/>
      <c r="H5668" s="568"/>
      <c r="I5668" s="2118"/>
      <c r="J5668" s="2123"/>
      <c r="K5668" s="2123">
        <f>SUM(K5664:K5667)</f>
        <v>66.290000000000006</v>
      </c>
      <c r="L5668" s="192"/>
      <c r="M5668" s="568"/>
    </row>
    <row r="5669" spans="1:13" ht="12.75" hidden="1">
      <c r="A5669" s="2114"/>
      <c r="B5669" s="192" t="s">
        <v>3738</v>
      </c>
      <c r="C5669" s="2142">
        <v>0.01</v>
      </c>
      <c r="D5669" s="568"/>
      <c r="E5669" s="188"/>
      <c r="F5669" s="188"/>
      <c r="G5669" s="2122"/>
      <c r="H5669" s="568"/>
      <c r="I5669" s="2118"/>
      <c r="J5669" s="2123"/>
      <c r="K5669" s="2140">
        <f>ROUND(K5668*C5669,2)</f>
        <v>0.66</v>
      </c>
      <c r="L5669" s="192"/>
      <c r="M5669" s="568"/>
    </row>
    <row r="5670" spans="1:13" ht="12.75" hidden="1">
      <c r="A5670" s="2114"/>
      <c r="B5670" s="568"/>
      <c r="C5670" s="568"/>
      <c r="D5670" s="568"/>
      <c r="E5670" s="188"/>
      <c r="F5670" s="188"/>
      <c r="G5670" s="2122"/>
      <c r="H5670" s="568"/>
      <c r="I5670" s="2118"/>
      <c r="J5670" s="2126" t="s">
        <v>718</v>
      </c>
      <c r="K5670" s="2124">
        <f>SUM(K5668:K5669)</f>
        <v>66.95</v>
      </c>
      <c r="L5670" s="192" t="s">
        <v>730</v>
      </c>
      <c r="M5670" s="568"/>
    </row>
    <row r="5671" spans="1:13" ht="12.75" hidden="1">
      <c r="A5671" s="2114" t="str">
        <f>A910</f>
        <v>(iii)</v>
      </c>
      <c r="B5671" s="192" t="str">
        <f>B910</f>
        <v>2nd Floor</v>
      </c>
      <c r="C5671" s="568"/>
      <c r="D5671" s="568"/>
      <c r="E5671" s="2120" t="str">
        <f>E5663</f>
        <v>Each Sqm</v>
      </c>
      <c r="F5671" s="2120"/>
      <c r="G5671" s="2122"/>
      <c r="H5671" s="568"/>
      <c r="I5671" s="2118"/>
      <c r="J5671" s="2123"/>
      <c r="K5671" s="2123"/>
      <c r="L5671" s="192"/>
      <c r="M5671" s="568"/>
    </row>
    <row r="5672" spans="1:13" ht="12.75" hidden="1">
      <c r="A5672" s="2114"/>
      <c r="B5672" s="568" t="s">
        <v>722</v>
      </c>
      <c r="C5672" s="568"/>
      <c r="D5672" s="568"/>
      <c r="E5672" s="188"/>
      <c r="F5672" s="188"/>
      <c r="G5672" s="2122"/>
      <c r="H5672" s="568"/>
      <c r="I5672" s="2118"/>
      <c r="J5672" s="2123"/>
      <c r="K5672" s="2123">
        <f>K5668</f>
        <v>66.290000000000006</v>
      </c>
      <c r="L5672" s="192"/>
      <c r="M5672" s="568"/>
    </row>
    <row r="5673" spans="1:13" ht="12.75" hidden="1">
      <c r="A5673" s="2114"/>
      <c r="B5673" s="568" t="s">
        <v>723</v>
      </c>
      <c r="C5673" s="568"/>
      <c r="D5673" s="568"/>
      <c r="E5673" s="188"/>
      <c r="F5673" s="188"/>
      <c r="G5673" s="2122"/>
      <c r="H5673" s="2125">
        <f>H5665</f>
        <v>0.05</v>
      </c>
      <c r="I5673" s="2134">
        <f>I5665+K5665</f>
        <v>47.421290322580639</v>
      </c>
      <c r="J5673" s="2124"/>
      <c r="K5673" s="2123">
        <f>ROUND(I5673*H5673,2)</f>
        <v>2.37</v>
      </c>
      <c r="L5673" s="192"/>
      <c r="M5673" s="568"/>
    </row>
    <row r="5674" spans="1:13" ht="12.75" hidden="1">
      <c r="A5674" s="2114"/>
      <c r="B5674" s="192" t="s">
        <v>3662</v>
      </c>
      <c r="C5674" s="568"/>
      <c r="D5674" s="568"/>
      <c r="E5674" s="188"/>
      <c r="F5674" s="188"/>
      <c r="G5674" s="2122"/>
      <c r="H5674" s="2135">
        <f>H5667</f>
        <v>7.4999999999999997E-2</v>
      </c>
      <c r="I5674" s="2134">
        <f>K5673</f>
        <v>2.37</v>
      </c>
      <c r="J5674" s="2134"/>
      <c r="K5674" s="2123">
        <f>ROUND(I5674*H5674,2)</f>
        <v>0.18</v>
      </c>
      <c r="L5674" s="192"/>
      <c r="M5674" s="568"/>
    </row>
    <row r="5675" spans="1:13" ht="12.75" hidden="1">
      <c r="A5675" s="2114"/>
      <c r="B5675" s="192" t="s">
        <v>3661</v>
      </c>
      <c r="C5675" s="568"/>
      <c r="D5675" s="568"/>
      <c r="E5675" s="188"/>
      <c r="F5675" s="188"/>
      <c r="G5675" s="2122"/>
      <c r="H5675" s="2135">
        <f>H5674</f>
        <v>7.4999999999999997E-2</v>
      </c>
      <c r="I5675" s="2134">
        <f>I5674</f>
        <v>2.37</v>
      </c>
      <c r="J5675" s="2134"/>
      <c r="K5675" s="2140">
        <f>ROUND(I5675*H5675,2)</f>
        <v>0.18</v>
      </c>
      <c r="L5675" s="192"/>
      <c r="M5675" s="568"/>
    </row>
    <row r="5676" spans="1:13" ht="12.75" hidden="1">
      <c r="A5676" s="2114"/>
      <c r="B5676" s="568"/>
      <c r="C5676" s="568"/>
      <c r="D5676" s="568"/>
      <c r="E5676" s="188"/>
      <c r="F5676" s="188"/>
      <c r="G5676" s="2122"/>
      <c r="H5676" s="568"/>
      <c r="I5676" s="2118"/>
      <c r="J5676" s="2123"/>
      <c r="K5676" s="2123">
        <f>SUM(K5672:K5675)</f>
        <v>69.020000000000024</v>
      </c>
      <c r="L5676" s="192"/>
      <c r="M5676" s="568"/>
    </row>
    <row r="5677" spans="1:13" ht="12.75" hidden="1">
      <c r="A5677" s="2114"/>
      <c r="B5677" s="192" t="s">
        <v>3738</v>
      </c>
      <c r="C5677" s="2142">
        <v>0.01</v>
      </c>
      <c r="D5677" s="568"/>
      <c r="E5677" s="188"/>
      <c r="F5677" s="188"/>
      <c r="G5677" s="2122"/>
      <c r="H5677" s="568"/>
      <c r="I5677" s="2118"/>
      <c r="J5677" s="2123"/>
      <c r="K5677" s="2140">
        <f>ROUND(K5676*C5677,2)</f>
        <v>0.69</v>
      </c>
      <c r="L5677" s="192"/>
      <c r="M5677" s="568"/>
    </row>
    <row r="5678" spans="1:13" ht="12.75" hidden="1">
      <c r="A5678" s="2114"/>
      <c r="B5678" s="568"/>
      <c r="C5678" s="568"/>
      <c r="D5678" s="568"/>
      <c r="E5678" s="188"/>
      <c r="F5678" s="188"/>
      <c r="G5678" s="2122"/>
      <c r="H5678" s="568"/>
      <c r="I5678" s="2118"/>
      <c r="J5678" s="2126" t="s">
        <v>718</v>
      </c>
      <c r="K5678" s="2124">
        <f>SUM(K5676:K5677)</f>
        <v>69.710000000000022</v>
      </c>
      <c r="L5678" s="192" t="s">
        <v>730</v>
      </c>
      <c r="M5678" s="568"/>
    </row>
    <row r="5679" spans="1:13" ht="12.75" hidden="1">
      <c r="A5679" s="2114" t="str">
        <f>A911</f>
        <v>(iv)</v>
      </c>
      <c r="B5679" s="192" t="str">
        <f>B911</f>
        <v>3rd Floor</v>
      </c>
      <c r="C5679" s="568"/>
      <c r="D5679" s="568"/>
      <c r="E5679" s="2120" t="str">
        <f>E5671</f>
        <v>Each Sqm</v>
      </c>
      <c r="F5679" s="2120"/>
      <c r="G5679" s="2122"/>
      <c r="H5679" s="568"/>
      <c r="I5679" s="2118"/>
      <c r="J5679" s="2123"/>
      <c r="K5679" s="2123"/>
      <c r="L5679" s="192"/>
      <c r="M5679" s="568"/>
    </row>
    <row r="5680" spans="1:13" ht="12.75" hidden="1">
      <c r="A5680" s="2114"/>
      <c r="B5680" s="568" t="s">
        <v>722</v>
      </c>
      <c r="C5680" s="568"/>
      <c r="D5680" s="568"/>
      <c r="E5680" s="188"/>
      <c r="F5680" s="188"/>
      <c r="G5680" s="2122"/>
      <c r="H5680" s="568"/>
      <c r="I5680" s="2118"/>
      <c r="J5680" s="2123"/>
      <c r="K5680" s="2123">
        <f>K5676</f>
        <v>69.020000000000024</v>
      </c>
      <c r="L5680" s="192"/>
      <c r="M5680" s="568"/>
    </row>
    <row r="5681" spans="1:13" ht="12.75" hidden="1">
      <c r="A5681" s="2114"/>
      <c r="B5681" s="568" t="s">
        <v>723</v>
      </c>
      <c r="C5681" s="568"/>
      <c r="D5681" s="568"/>
      <c r="E5681" s="188"/>
      <c r="F5681" s="188"/>
      <c r="G5681" s="2122"/>
      <c r="H5681" s="2125">
        <f>H5673</f>
        <v>0.05</v>
      </c>
      <c r="I5681" s="2134">
        <f>I5673+K5673</f>
        <v>49.791290322580636</v>
      </c>
      <c r="J5681" s="2124"/>
      <c r="K5681" s="2123">
        <f>ROUND(I5681*H5681,2)</f>
        <v>2.4900000000000002</v>
      </c>
      <c r="L5681" s="192"/>
      <c r="M5681" s="568"/>
    </row>
    <row r="5682" spans="1:13" ht="12.75" hidden="1">
      <c r="A5682" s="2114"/>
      <c r="B5682" s="192" t="s">
        <v>3662</v>
      </c>
      <c r="C5682" s="568"/>
      <c r="D5682" s="568"/>
      <c r="E5682" s="188"/>
      <c r="F5682" s="188"/>
      <c r="G5682" s="2122"/>
      <c r="H5682" s="2135">
        <f>H5675</f>
        <v>7.4999999999999997E-2</v>
      </c>
      <c r="I5682" s="2134">
        <f>K5681</f>
        <v>2.4900000000000002</v>
      </c>
      <c r="J5682" s="2134"/>
      <c r="K5682" s="2123">
        <f>ROUND(I5682*H5682,2)</f>
        <v>0.19</v>
      </c>
      <c r="L5682" s="192"/>
      <c r="M5682" s="568"/>
    </row>
    <row r="5683" spans="1:13" ht="12.75" hidden="1">
      <c r="A5683" s="2114"/>
      <c r="B5683" s="192" t="s">
        <v>3661</v>
      </c>
      <c r="C5683" s="568"/>
      <c r="D5683" s="568"/>
      <c r="E5683" s="188"/>
      <c r="F5683" s="188"/>
      <c r="G5683" s="2122"/>
      <c r="H5683" s="2135">
        <f>H5682</f>
        <v>7.4999999999999997E-2</v>
      </c>
      <c r="I5683" s="2134">
        <f>I5682</f>
        <v>2.4900000000000002</v>
      </c>
      <c r="J5683" s="2134"/>
      <c r="K5683" s="2140">
        <f>ROUND(I5683*H5683,2)</f>
        <v>0.19</v>
      </c>
      <c r="L5683" s="192"/>
      <c r="M5683" s="568"/>
    </row>
    <row r="5684" spans="1:13" ht="12.75" hidden="1">
      <c r="A5684" s="2114"/>
      <c r="B5684" s="568"/>
      <c r="C5684" s="568"/>
      <c r="D5684" s="568"/>
      <c r="E5684" s="188"/>
      <c r="F5684" s="188"/>
      <c r="G5684" s="2122"/>
      <c r="H5684" s="568"/>
      <c r="I5684" s="2118"/>
      <c r="J5684" s="2123"/>
      <c r="K5684" s="2123">
        <f>SUM(K5680:K5683)</f>
        <v>71.890000000000015</v>
      </c>
      <c r="L5684" s="192"/>
      <c r="M5684" s="568"/>
    </row>
    <row r="5685" spans="1:13" ht="12.75" hidden="1">
      <c r="A5685" s="2114"/>
      <c r="B5685" s="192" t="s">
        <v>3738</v>
      </c>
      <c r="C5685" s="2142">
        <v>0.01</v>
      </c>
      <c r="D5685" s="568"/>
      <c r="E5685" s="188"/>
      <c r="F5685" s="188"/>
      <c r="G5685" s="2122"/>
      <c r="H5685" s="568"/>
      <c r="I5685" s="2118"/>
      <c r="J5685" s="2123"/>
      <c r="K5685" s="2140">
        <f>ROUND(K5684*C5685,2)</f>
        <v>0.72</v>
      </c>
      <c r="L5685" s="192"/>
      <c r="M5685" s="568"/>
    </row>
    <row r="5686" spans="1:13" ht="12.75" hidden="1">
      <c r="A5686" s="2114"/>
      <c r="B5686" s="568"/>
      <c r="C5686" s="568"/>
      <c r="D5686" s="568"/>
      <c r="E5686" s="188"/>
      <c r="F5686" s="188"/>
      <c r="G5686" s="2122"/>
      <c r="H5686" s="568"/>
      <c r="I5686" s="2118"/>
      <c r="J5686" s="2126" t="s">
        <v>718</v>
      </c>
      <c r="K5686" s="2124">
        <f>SUM(K5684:K5685)</f>
        <v>72.610000000000014</v>
      </c>
      <c r="L5686" s="192" t="s">
        <v>730</v>
      </c>
      <c r="M5686" s="568"/>
    </row>
    <row r="5687" spans="1:13" ht="57" hidden="1" customHeight="1">
      <c r="A5687" s="2114">
        <f t="shared" ref="A5687:B5689" si="302">A912</f>
        <v>116</v>
      </c>
      <c r="B5687" s="3017" t="str">
        <f t="shared" si="302"/>
        <v xml:space="preserve">Finishing plastered surfaces one coat with water proofing cement paint  of approved shade on old work in all floors, all heights with staging wherever necessary  etc. required for the work complete in all respect as per the direction of the Engineer-in-charge. </v>
      </c>
      <c r="C5687" s="3017"/>
      <c r="D5687" s="3017"/>
      <c r="E5687" s="2116" t="str">
        <f>G912</f>
        <v>Each Sqm</v>
      </c>
      <c r="F5687" s="2116"/>
      <c r="G5687" s="2122"/>
      <c r="H5687" s="568"/>
      <c r="I5687" s="2118"/>
      <c r="J5687" s="2124"/>
      <c r="K5687" s="2124"/>
      <c r="L5687" s="192"/>
      <c r="M5687" s="568"/>
    </row>
    <row r="5688" spans="1:13" ht="12.75" hidden="1">
      <c r="A5688" s="192" t="str">
        <f t="shared" si="302"/>
        <v>A)</v>
      </c>
      <c r="B5688" s="192" t="str">
        <f t="shared" si="302"/>
        <v>Inside Surface</v>
      </c>
      <c r="C5688" s="192"/>
      <c r="D5688" s="192"/>
      <c r="E5688" s="192"/>
      <c r="F5688" s="192"/>
      <c r="G5688" s="2122"/>
      <c r="H5688" s="568"/>
      <c r="I5688" s="2118"/>
      <c r="J5688" s="2124"/>
      <c r="K5688" s="2124"/>
      <c r="L5688" s="192"/>
      <c r="M5688" s="568"/>
    </row>
    <row r="5689" spans="1:13" ht="12.75" hidden="1">
      <c r="A5689" s="2114" t="str">
        <f t="shared" si="302"/>
        <v>(i)</v>
      </c>
      <c r="B5689" s="192" t="str">
        <f t="shared" si="302"/>
        <v>Ground Floor</v>
      </c>
      <c r="C5689" s="568"/>
      <c r="D5689" s="568"/>
      <c r="E5689" s="2120" t="str">
        <f>G882</f>
        <v>Each No</v>
      </c>
      <c r="F5689" s="2120"/>
      <c r="G5689" s="2122"/>
      <c r="H5689" s="568"/>
      <c r="I5689" s="2118"/>
      <c r="J5689" s="2123"/>
      <c r="K5689" s="2123"/>
      <c r="L5689" s="192"/>
      <c r="M5689" s="568"/>
    </row>
    <row r="5690" spans="1:13" ht="12.75" hidden="1">
      <c r="A5690" s="2114"/>
      <c r="B5690" s="192" t="s">
        <v>964</v>
      </c>
      <c r="C5690" s="568"/>
      <c r="D5690" s="568"/>
      <c r="E5690" s="188"/>
      <c r="F5690" s="188"/>
      <c r="G5690" s="2122"/>
      <c r="H5690" s="568"/>
      <c r="I5690" s="2118"/>
      <c r="J5690" s="2123"/>
      <c r="K5690" s="2123"/>
      <c r="L5690" s="192"/>
      <c r="M5690" s="568"/>
    </row>
    <row r="5691" spans="1:13" ht="12.75" hidden="1">
      <c r="A5691" s="2114"/>
      <c r="B5691" s="192" t="s">
        <v>954</v>
      </c>
      <c r="C5691" s="568"/>
      <c r="D5691" s="568"/>
      <c r="E5691" s="188"/>
      <c r="F5691" s="188"/>
      <c r="G5691" s="2122"/>
      <c r="H5691" s="568"/>
      <c r="I5691" s="2118"/>
      <c r="J5691" s="2123"/>
      <c r="K5691" s="2123"/>
      <c r="L5691" s="192"/>
      <c r="M5691" s="568"/>
    </row>
    <row r="5692" spans="1:13" ht="12.75" hidden="1">
      <c r="A5692" s="2114"/>
      <c r="B5692" s="568" t="s">
        <v>1237</v>
      </c>
      <c r="C5692" s="568"/>
      <c r="D5692" s="568"/>
      <c r="E5692" s="188"/>
      <c r="F5692" s="188"/>
      <c r="G5692" s="2122">
        <v>0.15</v>
      </c>
      <c r="H5692" s="568" t="s">
        <v>262</v>
      </c>
      <c r="I5692" s="2118" t="s">
        <v>38</v>
      </c>
      <c r="J5692" s="2123">
        <f>L137</f>
        <v>495</v>
      </c>
      <c r="K5692" s="2123">
        <f>ROUND(G5692*J5692,2)</f>
        <v>74.25</v>
      </c>
      <c r="L5692" s="192"/>
      <c r="M5692" s="568"/>
    </row>
    <row r="5693" spans="1:13" ht="12.75" hidden="1">
      <c r="A5693" s="2114"/>
      <c r="B5693" s="568" t="s">
        <v>717</v>
      </c>
      <c r="C5693" s="568"/>
      <c r="D5693" s="568"/>
      <c r="E5693" s="188"/>
      <c r="F5693" s="188"/>
      <c r="G5693" s="2122">
        <v>0.22</v>
      </c>
      <c r="H5693" s="568" t="s">
        <v>262</v>
      </c>
      <c r="I5693" s="2118" t="s">
        <v>38</v>
      </c>
      <c r="J5693" s="2123">
        <f>L134</f>
        <v>345</v>
      </c>
      <c r="K5693" s="2123">
        <f>ROUND(G5693*J5693,2)</f>
        <v>75.900000000000006</v>
      </c>
      <c r="L5693" s="192"/>
      <c r="M5693" s="568"/>
    </row>
    <row r="5694" spans="1:13" ht="12.75" hidden="1">
      <c r="A5694" s="2114"/>
      <c r="B5694" s="568"/>
      <c r="C5694" s="568"/>
      <c r="D5694" s="568"/>
      <c r="E5694" s="188"/>
      <c r="F5694" s="188"/>
      <c r="G5694" s="2122"/>
      <c r="H5694" s="568"/>
      <c r="I5694" s="2118"/>
      <c r="J5694" s="2123" t="s">
        <v>718</v>
      </c>
      <c r="K5694" s="2123">
        <f>SUM(K5692:K5693)</f>
        <v>150.15</v>
      </c>
      <c r="L5694" s="192"/>
      <c r="M5694" s="568"/>
    </row>
    <row r="5695" spans="1:13" ht="12.75" hidden="1">
      <c r="A5695" s="2114"/>
      <c r="B5695" s="192"/>
      <c r="C5695" s="568"/>
      <c r="D5695" s="568"/>
      <c r="E5695" s="188"/>
      <c r="F5695" s="188"/>
      <c r="G5695" s="2122"/>
      <c r="H5695" s="568"/>
      <c r="I5695" s="2118"/>
      <c r="J5695" s="2123"/>
      <c r="K5695" s="2123"/>
      <c r="L5695" s="192"/>
      <c r="M5695" s="568"/>
    </row>
    <row r="5696" spans="1:13" ht="12.75" hidden="1">
      <c r="A5696" s="2114"/>
      <c r="B5696" s="192" t="s">
        <v>1238</v>
      </c>
      <c r="C5696" s="568"/>
      <c r="D5696" s="568"/>
      <c r="E5696" s="188"/>
      <c r="F5696" s="188"/>
      <c r="G5696" s="2122"/>
      <c r="H5696" s="568"/>
      <c r="I5696" s="2118"/>
      <c r="J5696" s="2123"/>
      <c r="K5696" s="2123"/>
      <c r="L5696" s="192"/>
      <c r="M5696" s="568"/>
    </row>
    <row r="5697" spans="1:27" ht="12.75" hidden="1">
      <c r="A5697" s="2114"/>
      <c r="B5697" s="568" t="s">
        <v>967</v>
      </c>
      <c r="C5697" s="568"/>
      <c r="D5697" s="568"/>
      <c r="E5697" s="188"/>
      <c r="F5697" s="188"/>
      <c r="G5697" s="2122"/>
      <c r="H5697" s="568"/>
      <c r="I5697" s="2118"/>
      <c r="J5697" s="2123"/>
      <c r="K5697" s="2123">
        <f>K5694+K5695+K5696</f>
        <v>150.15</v>
      </c>
      <c r="L5697" s="192"/>
      <c r="M5697" s="568"/>
    </row>
    <row r="5698" spans="1:27" ht="12.75" hidden="1">
      <c r="A5698" s="2114"/>
      <c r="B5698" s="568" t="s">
        <v>1235</v>
      </c>
      <c r="C5698" s="568"/>
      <c r="D5698" s="568"/>
      <c r="E5698" s="188"/>
      <c r="F5698" s="188"/>
      <c r="G5698" s="2122"/>
      <c r="H5698" s="568"/>
      <c r="I5698" s="2118"/>
      <c r="J5698" s="2123"/>
      <c r="K5698" s="2123">
        <f>ROUND(K5697/10,2)</f>
        <v>15.02</v>
      </c>
      <c r="L5698" s="192"/>
      <c r="M5698" s="568"/>
    </row>
    <row r="5699" spans="1:27" ht="12.75" hidden="1">
      <c r="A5699" s="2114"/>
      <c r="B5699" s="568" t="s">
        <v>1239</v>
      </c>
      <c r="C5699" s="568"/>
      <c r="D5699" s="568"/>
      <c r="E5699" s="188"/>
      <c r="F5699" s="188"/>
      <c r="G5699" s="2122">
        <v>0.16600000000000001</v>
      </c>
      <c r="H5699" s="568" t="s">
        <v>95</v>
      </c>
      <c r="I5699" s="2118" t="s">
        <v>95</v>
      </c>
      <c r="J5699" s="2123">
        <f>L87</f>
        <v>48.256219999999999</v>
      </c>
      <c r="K5699" s="2123">
        <f>ROUND(G5699*J5699,2)</f>
        <v>8.01</v>
      </c>
      <c r="L5699" s="192"/>
      <c r="M5699" s="568"/>
      <c r="Q5699" s="1709">
        <f>G159</f>
        <v>0</v>
      </c>
      <c r="Y5699" s="1709"/>
      <c r="Z5699" s="1709"/>
      <c r="AA5699" s="1709"/>
    </row>
    <row r="5700" spans="1:27" ht="12.75" hidden="1">
      <c r="A5700" s="2114"/>
      <c r="B5700" s="568"/>
      <c r="C5700" s="568"/>
      <c r="D5700" s="568"/>
      <c r="E5700" s="188"/>
      <c r="F5700" s="188"/>
      <c r="G5700" s="2122"/>
      <c r="H5700" s="568"/>
      <c r="I5700" s="2118"/>
      <c r="J5700" s="2123"/>
      <c r="K5700" s="2123">
        <f>SUM(K5698:K5699)</f>
        <v>23.03</v>
      </c>
      <c r="L5700" s="192"/>
      <c r="M5700" s="568"/>
      <c r="Q5700" s="1709"/>
      <c r="Y5700" s="1709"/>
      <c r="Z5700" s="1709"/>
      <c r="AA5700" s="1709"/>
    </row>
    <row r="5701" spans="1:27" ht="12.75" hidden="1">
      <c r="A5701" s="2114"/>
      <c r="B5701" s="192" t="s">
        <v>3662</v>
      </c>
      <c r="C5701" s="568"/>
      <c r="D5701" s="568"/>
      <c r="E5701" s="188"/>
      <c r="F5701" s="188"/>
      <c r="G5701" s="2122"/>
      <c r="H5701" s="2135">
        <f>H5683</f>
        <v>7.4999999999999997E-2</v>
      </c>
      <c r="I5701" s="2134">
        <f>K5700</f>
        <v>23.03</v>
      </c>
      <c r="J5701" s="2134"/>
      <c r="K5701" s="2123">
        <f>ROUND(I5701*H5701,2)</f>
        <v>1.73</v>
      </c>
      <c r="L5701" s="192"/>
      <c r="M5701" s="568"/>
      <c r="Q5701" s="1709"/>
      <c r="Y5701" s="1709"/>
      <c r="Z5701" s="1709"/>
      <c r="AA5701" s="1709"/>
    </row>
    <row r="5702" spans="1:27" ht="12.75" hidden="1">
      <c r="A5702" s="2114"/>
      <c r="B5702" s="192" t="s">
        <v>3661</v>
      </c>
      <c r="C5702" s="568"/>
      <c r="D5702" s="568"/>
      <c r="E5702" s="188"/>
      <c r="F5702" s="188"/>
      <c r="G5702" s="2122"/>
      <c r="H5702" s="2135">
        <f>H5701</f>
        <v>7.4999999999999997E-2</v>
      </c>
      <c r="I5702" s="2134">
        <f>I5701</f>
        <v>23.03</v>
      </c>
      <c r="J5702" s="2134"/>
      <c r="K5702" s="2140">
        <f>ROUND(I5702*H5702,2)</f>
        <v>1.73</v>
      </c>
      <c r="L5702" s="192"/>
      <c r="M5702" s="568"/>
      <c r="Q5702" s="1709"/>
      <c r="Y5702" s="1709"/>
      <c r="Z5702" s="1709"/>
      <c r="AA5702" s="1709"/>
    </row>
    <row r="5703" spans="1:27" ht="12.75" hidden="1">
      <c r="A5703" s="2114"/>
      <c r="B5703" s="568"/>
      <c r="C5703" s="568"/>
      <c r="D5703" s="568"/>
      <c r="E5703" s="188"/>
      <c r="F5703" s="188"/>
      <c r="G5703" s="2122"/>
      <c r="H5703" s="568"/>
      <c r="I5703" s="2118"/>
      <c r="J5703" s="2123"/>
      <c r="K5703" s="2123">
        <f>SUM(K5700:K5702)</f>
        <v>26.490000000000002</v>
      </c>
      <c r="L5703" s="192"/>
      <c r="M5703" s="568"/>
      <c r="Q5703" s="1709"/>
      <c r="Y5703" s="1709"/>
      <c r="Z5703" s="1709"/>
      <c r="AA5703" s="1709"/>
    </row>
    <row r="5704" spans="1:27" ht="12.75" hidden="1">
      <c r="A5704" s="2114"/>
      <c r="B5704" s="192" t="s">
        <v>3738</v>
      </c>
      <c r="C5704" s="2142">
        <v>0.01</v>
      </c>
      <c r="D5704" s="568"/>
      <c r="E5704" s="188"/>
      <c r="F5704" s="188"/>
      <c r="G5704" s="2122"/>
      <c r="H5704" s="568"/>
      <c r="I5704" s="2118"/>
      <c r="J5704" s="2123"/>
      <c r="K5704" s="2140">
        <f>ROUND(K5703*C5704,2)</f>
        <v>0.26</v>
      </c>
      <c r="L5704" s="192"/>
      <c r="M5704" s="568"/>
      <c r="Q5704" s="1709"/>
      <c r="Y5704" s="1709"/>
      <c r="Z5704" s="1709"/>
      <c r="AA5704" s="1709"/>
    </row>
    <row r="5705" spans="1:27" ht="12.75" hidden="1">
      <c r="A5705" s="2114"/>
      <c r="B5705" s="568"/>
      <c r="C5705" s="568"/>
      <c r="D5705" s="568"/>
      <c r="E5705" s="188"/>
      <c r="F5705" s="188"/>
      <c r="G5705" s="2122"/>
      <c r="H5705" s="568"/>
      <c r="I5705" s="2118"/>
      <c r="J5705" s="2126" t="s">
        <v>718</v>
      </c>
      <c r="K5705" s="2124">
        <f>SUM(K5703:K5704)</f>
        <v>26.750000000000004</v>
      </c>
      <c r="L5705" s="192" t="s">
        <v>730</v>
      </c>
      <c r="M5705" s="568"/>
    </row>
    <row r="5706" spans="1:27" ht="12.75" hidden="1">
      <c r="A5706" s="2114" t="str">
        <f>A915</f>
        <v>(ii)</v>
      </c>
      <c r="B5706" s="192" t="str">
        <f>B915</f>
        <v>First Floor</v>
      </c>
      <c r="C5706" s="568"/>
      <c r="D5706" s="568"/>
      <c r="E5706" s="2120" t="str">
        <f>E5689</f>
        <v>Each No</v>
      </c>
      <c r="F5706" s="2120"/>
      <c r="G5706" s="2122"/>
      <c r="H5706" s="568"/>
      <c r="I5706" s="2118"/>
      <c r="J5706" s="2123"/>
      <c r="K5706" s="2123"/>
      <c r="L5706" s="192"/>
      <c r="M5706" s="568"/>
    </row>
    <row r="5707" spans="1:27" ht="12.75" hidden="1">
      <c r="A5707" s="2114"/>
      <c r="B5707" s="568" t="s">
        <v>722</v>
      </c>
      <c r="C5707" s="568"/>
      <c r="D5707" s="568"/>
      <c r="E5707" s="188"/>
      <c r="F5707" s="188"/>
      <c r="G5707" s="2122"/>
      <c r="H5707" s="568"/>
      <c r="I5707" s="2118"/>
      <c r="J5707" s="2123"/>
      <c r="K5707" s="2123">
        <f>K5703</f>
        <v>26.490000000000002</v>
      </c>
      <c r="L5707" s="192"/>
      <c r="M5707" s="568"/>
    </row>
    <row r="5708" spans="1:27" ht="12.75" hidden="1">
      <c r="A5708" s="2114"/>
      <c r="B5708" s="568" t="s">
        <v>948</v>
      </c>
      <c r="C5708" s="568"/>
      <c r="D5708" s="568"/>
      <c r="E5708" s="188"/>
      <c r="F5708" s="188"/>
      <c r="G5708" s="2122"/>
      <c r="H5708" s="2125">
        <v>0.03</v>
      </c>
      <c r="I5708" s="2134">
        <f>K5694/10</f>
        <v>15.015000000000001</v>
      </c>
      <c r="J5708" s="2124"/>
      <c r="K5708" s="2123">
        <f>ROUND(I5708*H5708,2)</f>
        <v>0.45</v>
      </c>
      <c r="L5708" s="192"/>
      <c r="M5708" s="568"/>
    </row>
    <row r="5709" spans="1:27" ht="12.75" hidden="1">
      <c r="A5709" s="2114"/>
      <c r="B5709" s="192" t="s">
        <v>3662</v>
      </c>
      <c r="C5709" s="568"/>
      <c r="D5709" s="568"/>
      <c r="E5709" s="188"/>
      <c r="F5709" s="188"/>
      <c r="G5709" s="2122"/>
      <c r="H5709" s="2135">
        <f>H5702</f>
        <v>7.4999999999999997E-2</v>
      </c>
      <c r="I5709" s="2134">
        <f>K5708</f>
        <v>0.45</v>
      </c>
      <c r="J5709" s="2134"/>
      <c r="K5709" s="2123">
        <f>ROUND(I5709*H5709,2)</f>
        <v>0.03</v>
      </c>
      <c r="L5709" s="192"/>
      <c r="M5709" s="568"/>
    </row>
    <row r="5710" spans="1:27" ht="12.75" hidden="1">
      <c r="A5710" s="2114"/>
      <c r="B5710" s="192" t="s">
        <v>3661</v>
      </c>
      <c r="C5710" s="568"/>
      <c r="D5710" s="568"/>
      <c r="E5710" s="188"/>
      <c r="F5710" s="188"/>
      <c r="G5710" s="2122"/>
      <c r="H5710" s="2135">
        <f>H5709</f>
        <v>7.4999999999999997E-2</v>
      </c>
      <c r="I5710" s="2134">
        <f>I5709</f>
        <v>0.45</v>
      </c>
      <c r="J5710" s="2134"/>
      <c r="K5710" s="2140">
        <f>ROUND(I5710*H5710,2)</f>
        <v>0.03</v>
      </c>
      <c r="L5710" s="192"/>
      <c r="M5710" s="568"/>
    </row>
    <row r="5711" spans="1:27" ht="12.75" hidden="1">
      <c r="A5711" s="2114"/>
      <c r="B5711" s="568"/>
      <c r="C5711" s="568"/>
      <c r="D5711" s="568"/>
      <c r="E5711" s="188"/>
      <c r="F5711" s="188"/>
      <c r="G5711" s="2122"/>
      <c r="H5711" s="568"/>
      <c r="I5711" s="2118"/>
      <c r="J5711" s="2123"/>
      <c r="K5711" s="2123">
        <f>SUM(K5707:K5710)</f>
        <v>27.000000000000004</v>
      </c>
      <c r="L5711" s="192"/>
      <c r="M5711" s="568"/>
    </row>
    <row r="5712" spans="1:27" ht="12.75" hidden="1">
      <c r="A5712" s="2114"/>
      <c r="B5712" s="192" t="s">
        <v>3738</v>
      </c>
      <c r="C5712" s="2142">
        <v>0.01</v>
      </c>
      <c r="D5712" s="568"/>
      <c r="E5712" s="188"/>
      <c r="F5712" s="188"/>
      <c r="G5712" s="2122"/>
      <c r="H5712" s="568"/>
      <c r="I5712" s="2118"/>
      <c r="J5712" s="2123"/>
      <c r="K5712" s="2140">
        <f>ROUND(K5711*C5712,2)</f>
        <v>0.27</v>
      </c>
      <c r="L5712" s="192"/>
      <c r="M5712" s="568"/>
    </row>
    <row r="5713" spans="1:13" ht="12.75" hidden="1">
      <c r="A5713" s="2114"/>
      <c r="B5713" s="568"/>
      <c r="C5713" s="568"/>
      <c r="D5713" s="568"/>
      <c r="E5713" s="188"/>
      <c r="F5713" s="188"/>
      <c r="G5713" s="2122"/>
      <c r="H5713" s="568"/>
      <c r="I5713" s="2118"/>
      <c r="J5713" s="2126" t="s">
        <v>718</v>
      </c>
      <c r="K5713" s="2124">
        <f>SUM(K5711:K5712)</f>
        <v>27.270000000000003</v>
      </c>
      <c r="L5713" s="192" t="s">
        <v>730</v>
      </c>
      <c r="M5713" s="568"/>
    </row>
    <row r="5714" spans="1:13" ht="12.75" hidden="1">
      <c r="A5714" s="2114" t="str">
        <f>A916</f>
        <v>(iii)</v>
      </c>
      <c r="B5714" s="192" t="str">
        <f>B916</f>
        <v>2nd Floor</v>
      </c>
      <c r="C5714" s="568"/>
      <c r="D5714" s="568"/>
      <c r="E5714" s="2120" t="str">
        <f>E5706</f>
        <v>Each No</v>
      </c>
      <c r="F5714" s="2120"/>
      <c r="G5714" s="2122"/>
      <c r="H5714" s="568"/>
      <c r="I5714" s="2118"/>
      <c r="J5714" s="2123"/>
      <c r="K5714" s="2123"/>
      <c r="L5714" s="192"/>
      <c r="M5714" s="568"/>
    </row>
    <row r="5715" spans="1:13" ht="12.75" hidden="1">
      <c r="A5715" s="2114"/>
      <c r="B5715" s="568" t="s">
        <v>722</v>
      </c>
      <c r="C5715" s="568"/>
      <c r="D5715" s="568"/>
      <c r="E5715" s="188"/>
      <c r="F5715" s="188"/>
      <c r="G5715" s="2122"/>
      <c r="H5715" s="568"/>
      <c r="I5715" s="2118"/>
      <c r="J5715" s="2123"/>
      <c r="K5715" s="2123">
        <f>K5711</f>
        <v>27.000000000000004</v>
      </c>
      <c r="L5715" s="192"/>
      <c r="M5715" s="568"/>
    </row>
    <row r="5716" spans="1:13" ht="12.75" hidden="1">
      <c r="A5716" s="2114"/>
      <c r="B5716" s="568" t="s">
        <v>948</v>
      </c>
      <c r="C5716" s="568"/>
      <c r="D5716" s="568"/>
      <c r="E5716" s="188"/>
      <c r="F5716" s="188"/>
      <c r="G5716" s="2122"/>
      <c r="H5716" s="2125">
        <v>0.03</v>
      </c>
      <c r="I5716" s="2134">
        <f>I5708+K5708</f>
        <v>15.465</v>
      </c>
      <c r="J5716" s="2124"/>
      <c r="K5716" s="2123">
        <f>ROUND(I5716*H5716,2)</f>
        <v>0.46</v>
      </c>
      <c r="L5716" s="192"/>
      <c r="M5716" s="568"/>
    </row>
    <row r="5717" spans="1:13" ht="12.75" hidden="1">
      <c r="A5717" s="2114"/>
      <c r="B5717" s="192" t="s">
        <v>3662</v>
      </c>
      <c r="C5717" s="568"/>
      <c r="D5717" s="568"/>
      <c r="E5717" s="188"/>
      <c r="F5717" s="188"/>
      <c r="G5717" s="2122"/>
      <c r="H5717" s="2135">
        <f>H5710</f>
        <v>7.4999999999999997E-2</v>
      </c>
      <c r="I5717" s="2134">
        <f>K5716</f>
        <v>0.46</v>
      </c>
      <c r="J5717" s="2134"/>
      <c r="K5717" s="2123">
        <f>ROUND(I5717*H5717,2)</f>
        <v>0.03</v>
      </c>
      <c r="L5717" s="192"/>
      <c r="M5717" s="568"/>
    </row>
    <row r="5718" spans="1:13" ht="12.75" hidden="1">
      <c r="A5718" s="2114"/>
      <c r="B5718" s="192" t="s">
        <v>3661</v>
      </c>
      <c r="C5718" s="568"/>
      <c r="D5718" s="568"/>
      <c r="E5718" s="188"/>
      <c r="F5718" s="188"/>
      <c r="G5718" s="2122"/>
      <c r="H5718" s="2135">
        <f>H5717</f>
        <v>7.4999999999999997E-2</v>
      </c>
      <c r="I5718" s="2134">
        <f>I5717</f>
        <v>0.46</v>
      </c>
      <c r="J5718" s="2134"/>
      <c r="K5718" s="2140">
        <f>ROUND(I5718*H5718,2)</f>
        <v>0.03</v>
      </c>
      <c r="L5718" s="192"/>
      <c r="M5718" s="568"/>
    </row>
    <row r="5719" spans="1:13" ht="12.75" hidden="1">
      <c r="A5719" s="2114"/>
      <c r="B5719" s="568"/>
      <c r="C5719" s="568"/>
      <c r="D5719" s="568"/>
      <c r="E5719" s="188"/>
      <c r="F5719" s="188"/>
      <c r="G5719" s="2122"/>
      <c r="H5719" s="568"/>
      <c r="I5719" s="2118"/>
      <c r="J5719" s="2123"/>
      <c r="K5719" s="2123">
        <f>SUM(K5715:K5718)</f>
        <v>27.520000000000007</v>
      </c>
      <c r="L5719" s="192"/>
      <c r="M5719" s="568"/>
    </row>
    <row r="5720" spans="1:13" ht="12.75" hidden="1">
      <c r="A5720" s="2114"/>
      <c r="B5720" s="192" t="s">
        <v>3738</v>
      </c>
      <c r="C5720" s="2142">
        <v>0.01</v>
      </c>
      <c r="D5720" s="568"/>
      <c r="E5720" s="188"/>
      <c r="F5720" s="188"/>
      <c r="G5720" s="2122"/>
      <c r="H5720" s="568"/>
      <c r="I5720" s="2118"/>
      <c r="J5720" s="2123"/>
      <c r="K5720" s="2140">
        <f>ROUND(K5719*C5720,2)</f>
        <v>0.28000000000000003</v>
      </c>
      <c r="L5720" s="192"/>
      <c r="M5720" s="568"/>
    </row>
    <row r="5721" spans="1:13" ht="12.75" hidden="1">
      <c r="A5721" s="2114"/>
      <c r="B5721" s="568"/>
      <c r="C5721" s="568"/>
      <c r="D5721" s="568"/>
      <c r="E5721" s="188"/>
      <c r="F5721" s="188"/>
      <c r="G5721" s="2122"/>
      <c r="H5721" s="568"/>
      <c r="I5721" s="2118"/>
      <c r="J5721" s="2126" t="s">
        <v>718</v>
      </c>
      <c r="K5721" s="2124">
        <f>SUM(K5719:K5720)</f>
        <v>27.800000000000008</v>
      </c>
      <c r="L5721" s="192" t="s">
        <v>730</v>
      </c>
      <c r="M5721" s="568"/>
    </row>
    <row r="5722" spans="1:13" ht="12.75" hidden="1">
      <c r="A5722" s="2114" t="str">
        <f>A917</f>
        <v>(iv)</v>
      </c>
      <c r="B5722" s="192" t="str">
        <f>B917</f>
        <v>3rd Floor</v>
      </c>
      <c r="C5722" s="568"/>
      <c r="D5722" s="568"/>
      <c r="E5722" s="2120" t="str">
        <f>E5714</f>
        <v>Each No</v>
      </c>
      <c r="F5722" s="2120"/>
      <c r="G5722" s="2122"/>
      <c r="H5722" s="568"/>
      <c r="I5722" s="2118"/>
      <c r="J5722" s="2123"/>
      <c r="K5722" s="2123"/>
      <c r="L5722" s="192"/>
      <c r="M5722" s="568"/>
    </row>
    <row r="5723" spans="1:13" ht="12.75" hidden="1">
      <c r="A5723" s="2114"/>
      <c r="B5723" s="568" t="s">
        <v>722</v>
      </c>
      <c r="C5723" s="568"/>
      <c r="D5723" s="568"/>
      <c r="E5723" s="188"/>
      <c r="F5723" s="188"/>
      <c r="G5723" s="2122"/>
      <c r="H5723" s="568"/>
      <c r="I5723" s="2118"/>
      <c r="J5723" s="2123"/>
      <c r="K5723" s="2123">
        <f>K5719</f>
        <v>27.520000000000007</v>
      </c>
      <c r="L5723" s="192"/>
      <c r="M5723" s="568"/>
    </row>
    <row r="5724" spans="1:13" ht="12.75" hidden="1">
      <c r="A5724" s="2114"/>
      <c r="B5724" s="568" t="s">
        <v>948</v>
      </c>
      <c r="C5724" s="568"/>
      <c r="D5724" s="568"/>
      <c r="E5724" s="188"/>
      <c r="F5724" s="188"/>
      <c r="G5724" s="2122"/>
      <c r="H5724" s="2125">
        <v>0.03</v>
      </c>
      <c r="I5724" s="2134">
        <f>I5716+K5716</f>
        <v>15.925000000000001</v>
      </c>
      <c r="J5724" s="2124"/>
      <c r="K5724" s="2123">
        <f>ROUND(I5724*H5724,2)</f>
        <v>0.48</v>
      </c>
      <c r="L5724" s="192"/>
      <c r="M5724" s="568"/>
    </row>
    <row r="5725" spans="1:13" ht="12.75" hidden="1">
      <c r="A5725" s="2114"/>
      <c r="B5725" s="192" t="s">
        <v>3662</v>
      </c>
      <c r="C5725" s="568"/>
      <c r="D5725" s="568"/>
      <c r="E5725" s="188"/>
      <c r="F5725" s="188"/>
      <c r="G5725" s="2122"/>
      <c r="H5725" s="2135">
        <f>H5718</f>
        <v>7.4999999999999997E-2</v>
      </c>
      <c r="I5725" s="2134">
        <f>K5724</f>
        <v>0.48</v>
      </c>
      <c r="J5725" s="2134"/>
      <c r="K5725" s="2123">
        <f>ROUND(I5725*H5725,2)</f>
        <v>0.04</v>
      </c>
      <c r="L5725" s="192"/>
      <c r="M5725" s="568"/>
    </row>
    <row r="5726" spans="1:13" ht="12.75" hidden="1">
      <c r="A5726" s="2114"/>
      <c r="B5726" s="192" t="s">
        <v>3661</v>
      </c>
      <c r="C5726" s="568"/>
      <c r="D5726" s="568"/>
      <c r="E5726" s="188"/>
      <c r="F5726" s="188"/>
      <c r="G5726" s="2122"/>
      <c r="H5726" s="2135">
        <f>H5725</f>
        <v>7.4999999999999997E-2</v>
      </c>
      <c r="I5726" s="2134">
        <f>I5725</f>
        <v>0.48</v>
      </c>
      <c r="J5726" s="2134"/>
      <c r="K5726" s="2140">
        <f>ROUND(I5726*H5726,2)</f>
        <v>0.04</v>
      </c>
      <c r="L5726" s="192"/>
      <c r="M5726" s="568"/>
    </row>
    <row r="5727" spans="1:13" ht="12.75" hidden="1">
      <c r="A5727" s="2114"/>
      <c r="B5727" s="568"/>
      <c r="C5727" s="568"/>
      <c r="D5727" s="568"/>
      <c r="E5727" s="188"/>
      <c r="F5727" s="188"/>
      <c r="G5727" s="2122"/>
      <c r="H5727" s="568"/>
      <c r="I5727" s="2118"/>
      <c r="J5727" s="2123"/>
      <c r="K5727" s="2123">
        <f>SUM(K5723:K5726)</f>
        <v>28.080000000000005</v>
      </c>
      <c r="L5727" s="192"/>
      <c r="M5727" s="568"/>
    </row>
    <row r="5728" spans="1:13" ht="12.75" hidden="1">
      <c r="A5728" s="2114"/>
      <c r="B5728" s="192" t="s">
        <v>3738</v>
      </c>
      <c r="C5728" s="2142">
        <v>0.01</v>
      </c>
      <c r="D5728" s="568"/>
      <c r="E5728" s="188"/>
      <c r="F5728" s="188"/>
      <c r="G5728" s="2122"/>
      <c r="H5728" s="568"/>
      <c r="I5728" s="2118"/>
      <c r="J5728" s="2123"/>
      <c r="K5728" s="2140">
        <f>ROUND(K5727*C5728,2)</f>
        <v>0.28000000000000003</v>
      </c>
      <c r="L5728" s="192"/>
      <c r="M5728" s="568"/>
    </row>
    <row r="5729" spans="1:13" ht="12.75" hidden="1">
      <c r="A5729" s="2114"/>
      <c r="B5729" s="568"/>
      <c r="C5729" s="568"/>
      <c r="D5729" s="568"/>
      <c r="E5729" s="188"/>
      <c r="F5729" s="188"/>
      <c r="G5729" s="2122"/>
      <c r="H5729" s="568"/>
      <c r="I5729" s="2118"/>
      <c r="J5729" s="2126" t="s">
        <v>718</v>
      </c>
      <c r="K5729" s="2124">
        <f>SUM(K5727:K5728)</f>
        <v>28.360000000000007</v>
      </c>
      <c r="L5729" s="192" t="s">
        <v>730</v>
      </c>
      <c r="M5729" s="568"/>
    </row>
    <row r="5730" spans="1:13" ht="12.75" hidden="1">
      <c r="A5730" s="192" t="str">
        <f t="shared" ref="A5730:B5732" si="303">A918</f>
        <v>B)</v>
      </c>
      <c r="B5730" s="192" t="str">
        <f t="shared" si="303"/>
        <v>Outside Surface</v>
      </c>
      <c r="C5730" s="192"/>
      <c r="D5730" s="192"/>
      <c r="E5730" s="192"/>
      <c r="F5730" s="192"/>
      <c r="G5730" s="2122"/>
      <c r="H5730" s="568"/>
      <c r="I5730" s="2118"/>
      <c r="J5730" s="2124"/>
      <c r="K5730" s="2124"/>
      <c r="L5730" s="192"/>
      <c r="M5730" s="568"/>
    </row>
    <row r="5731" spans="1:13" ht="12.75" hidden="1">
      <c r="A5731" s="2114" t="str">
        <f t="shared" si="303"/>
        <v>(i)</v>
      </c>
      <c r="B5731" s="192" t="str">
        <f t="shared" si="303"/>
        <v>Ground Floor</v>
      </c>
      <c r="C5731" s="568"/>
      <c r="D5731" s="568"/>
      <c r="E5731" s="2120" t="str">
        <f>G885</f>
        <v>Each No</v>
      </c>
      <c r="F5731" s="2120"/>
      <c r="G5731" s="2122"/>
      <c r="H5731" s="568"/>
      <c r="I5731" s="2118"/>
      <c r="J5731" s="2123"/>
      <c r="K5731" s="2124">
        <f>K5703</f>
        <v>26.490000000000002</v>
      </c>
      <c r="L5731" s="192" t="s">
        <v>730</v>
      </c>
      <c r="M5731" s="568"/>
    </row>
    <row r="5732" spans="1:13" ht="12.75" hidden="1">
      <c r="A5732" s="2114" t="str">
        <f t="shared" si="303"/>
        <v>(ii)</v>
      </c>
      <c r="B5732" s="192" t="str">
        <f t="shared" si="303"/>
        <v>First Floor</v>
      </c>
      <c r="C5732" s="568"/>
      <c r="D5732" s="568"/>
      <c r="E5732" s="2120" t="str">
        <f>E5731</f>
        <v>Each No</v>
      </c>
      <c r="F5732" s="2120"/>
      <c r="G5732" s="2122"/>
      <c r="H5732" s="568"/>
      <c r="I5732" s="2118"/>
      <c r="J5732" s="2123"/>
      <c r="K5732" s="2123"/>
      <c r="L5732" s="192"/>
      <c r="M5732" s="568"/>
    </row>
    <row r="5733" spans="1:13" ht="12.75" hidden="1">
      <c r="A5733" s="2114"/>
      <c r="B5733" s="568" t="s">
        <v>722</v>
      </c>
      <c r="C5733" s="568"/>
      <c r="D5733" s="568"/>
      <c r="E5733" s="188"/>
      <c r="F5733" s="188"/>
      <c r="G5733" s="2122"/>
      <c r="H5733" s="568"/>
      <c r="I5733" s="2118"/>
      <c r="J5733" s="2123"/>
      <c r="K5733" s="2123">
        <f>K5705</f>
        <v>26.750000000000004</v>
      </c>
      <c r="L5733" s="192"/>
      <c r="M5733" s="568"/>
    </row>
    <row r="5734" spans="1:13" ht="12.75" hidden="1">
      <c r="A5734" s="2114"/>
      <c r="B5734" s="568" t="s">
        <v>723</v>
      </c>
      <c r="C5734" s="568"/>
      <c r="D5734" s="568"/>
      <c r="E5734" s="188"/>
      <c r="F5734" s="188"/>
      <c r="G5734" s="2122"/>
      <c r="H5734" s="2125">
        <v>0.05</v>
      </c>
      <c r="I5734" s="2134">
        <f>K5694</f>
        <v>150.15</v>
      </c>
      <c r="J5734" s="2124"/>
      <c r="K5734" s="2123">
        <f>ROUND(I5734*H5734,2)</f>
        <v>7.51</v>
      </c>
      <c r="L5734" s="192"/>
      <c r="M5734" s="568"/>
    </row>
    <row r="5735" spans="1:13" ht="12.75" hidden="1">
      <c r="A5735" s="2114"/>
      <c r="B5735" s="192" t="s">
        <v>3662</v>
      </c>
      <c r="C5735" s="568"/>
      <c r="D5735" s="568"/>
      <c r="E5735" s="188"/>
      <c r="F5735" s="188"/>
      <c r="G5735" s="2122"/>
      <c r="H5735" s="2135">
        <f>H5726</f>
        <v>7.4999999999999997E-2</v>
      </c>
      <c r="I5735" s="2134">
        <f>K5734</f>
        <v>7.51</v>
      </c>
      <c r="J5735" s="2134"/>
      <c r="K5735" s="2123">
        <f>ROUND(I5735*H5735,2)</f>
        <v>0.56000000000000005</v>
      </c>
      <c r="L5735" s="192"/>
      <c r="M5735" s="568"/>
    </row>
    <row r="5736" spans="1:13" ht="12.75" hidden="1">
      <c r="A5736" s="2114"/>
      <c r="B5736" s="192" t="s">
        <v>3661</v>
      </c>
      <c r="C5736" s="568"/>
      <c r="D5736" s="568"/>
      <c r="E5736" s="188"/>
      <c r="F5736" s="188"/>
      <c r="G5736" s="2122"/>
      <c r="H5736" s="2135">
        <f>H5735</f>
        <v>7.4999999999999997E-2</v>
      </c>
      <c r="I5736" s="2134">
        <f>I5735</f>
        <v>7.51</v>
      </c>
      <c r="J5736" s="2134"/>
      <c r="K5736" s="2140">
        <f>ROUND(I5736*H5736,2)</f>
        <v>0.56000000000000005</v>
      </c>
      <c r="L5736" s="192"/>
      <c r="M5736" s="568"/>
    </row>
    <row r="5737" spans="1:13" ht="12.75" hidden="1">
      <c r="A5737" s="2114"/>
      <c r="B5737" s="568"/>
      <c r="C5737" s="568"/>
      <c r="D5737" s="568"/>
      <c r="E5737" s="188"/>
      <c r="F5737" s="188"/>
      <c r="G5737" s="2122"/>
      <c r="H5737" s="568"/>
      <c r="I5737" s="2118"/>
      <c r="J5737" s="2123"/>
      <c r="K5737" s="2123">
        <f>SUM(K5733:K5736)</f>
        <v>35.38000000000001</v>
      </c>
      <c r="L5737" s="192"/>
      <c r="M5737" s="568"/>
    </row>
    <row r="5738" spans="1:13" ht="12.75" hidden="1">
      <c r="A5738" s="2114"/>
      <c r="B5738" s="192" t="s">
        <v>3738</v>
      </c>
      <c r="C5738" s="2142">
        <v>0.01</v>
      </c>
      <c r="D5738" s="568"/>
      <c r="E5738" s="188"/>
      <c r="F5738" s="188"/>
      <c r="G5738" s="2122"/>
      <c r="H5738" s="568"/>
      <c r="I5738" s="2118"/>
      <c r="J5738" s="2123"/>
      <c r="K5738" s="2140">
        <f>ROUND(K5737*C5738,2)</f>
        <v>0.35</v>
      </c>
      <c r="L5738" s="192"/>
      <c r="M5738" s="568"/>
    </row>
    <row r="5739" spans="1:13" ht="12.75" hidden="1">
      <c r="A5739" s="2114"/>
      <c r="B5739" s="568"/>
      <c r="C5739" s="568"/>
      <c r="D5739" s="568"/>
      <c r="E5739" s="188"/>
      <c r="F5739" s="188"/>
      <c r="G5739" s="2122"/>
      <c r="H5739" s="568"/>
      <c r="I5739" s="2118"/>
      <c r="J5739" s="2126" t="s">
        <v>718</v>
      </c>
      <c r="K5739" s="2124">
        <f>SUM(K5737:K5738)</f>
        <v>35.730000000000011</v>
      </c>
      <c r="L5739" s="192" t="s">
        <v>730</v>
      </c>
      <c r="M5739" s="568"/>
    </row>
    <row r="5740" spans="1:13" ht="12.75" hidden="1">
      <c r="A5740" s="2114" t="str">
        <f>A921</f>
        <v>(iii)</v>
      </c>
      <c r="B5740" s="192" t="str">
        <f>B921</f>
        <v>2nd Floor</v>
      </c>
      <c r="C5740" s="568"/>
      <c r="D5740" s="568"/>
      <c r="E5740" s="2120" t="str">
        <f>E5732</f>
        <v>Each No</v>
      </c>
      <c r="F5740" s="2120"/>
      <c r="G5740" s="2122"/>
      <c r="H5740" s="568"/>
      <c r="I5740" s="2118"/>
      <c r="J5740" s="2123"/>
      <c r="K5740" s="2123"/>
      <c r="L5740" s="192"/>
      <c r="M5740" s="568"/>
    </row>
    <row r="5741" spans="1:13" ht="12.75" hidden="1">
      <c r="A5741" s="2114"/>
      <c r="B5741" s="568" t="s">
        <v>722</v>
      </c>
      <c r="C5741" s="568"/>
      <c r="D5741" s="568"/>
      <c r="E5741" s="188"/>
      <c r="F5741" s="188"/>
      <c r="G5741" s="2122"/>
      <c r="H5741" s="568"/>
      <c r="I5741" s="2118"/>
      <c r="J5741" s="2123"/>
      <c r="K5741" s="2123">
        <f>K5713</f>
        <v>27.270000000000003</v>
      </c>
      <c r="L5741" s="192"/>
      <c r="M5741" s="568"/>
    </row>
    <row r="5742" spans="1:13" ht="12.75" hidden="1">
      <c r="A5742" s="2114"/>
      <c r="B5742" s="568" t="s">
        <v>723</v>
      </c>
      <c r="C5742" s="568"/>
      <c r="D5742" s="568"/>
      <c r="E5742" s="188"/>
      <c r="F5742" s="188"/>
      <c r="G5742" s="2122"/>
      <c r="H5742" s="2125">
        <f>H5734</f>
        <v>0.05</v>
      </c>
      <c r="I5742" s="2134">
        <f>I5734+K5734</f>
        <v>157.66</v>
      </c>
      <c r="J5742" s="2124"/>
      <c r="K5742" s="2123">
        <f>ROUND(I5742*H5742,2)</f>
        <v>7.88</v>
      </c>
      <c r="L5742" s="192"/>
      <c r="M5742" s="568"/>
    </row>
    <row r="5743" spans="1:13" ht="12.75" hidden="1">
      <c r="A5743" s="2114"/>
      <c r="B5743" s="192" t="s">
        <v>3662</v>
      </c>
      <c r="C5743" s="568"/>
      <c r="D5743" s="568"/>
      <c r="E5743" s="188"/>
      <c r="F5743" s="188"/>
      <c r="G5743" s="2122"/>
      <c r="H5743" s="2135">
        <f>H5736</f>
        <v>7.4999999999999997E-2</v>
      </c>
      <c r="I5743" s="2134">
        <f>K5742</f>
        <v>7.88</v>
      </c>
      <c r="J5743" s="2134"/>
      <c r="K5743" s="2123">
        <f>ROUND(I5743*H5743,2)</f>
        <v>0.59</v>
      </c>
      <c r="L5743" s="192"/>
      <c r="M5743" s="568"/>
    </row>
    <row r="5744" spans="1:13" ht="12.75" hidden="1">
      <c r="A5744" s="2114"/>
      <c r="B5744" s="192" t="s">
        <v>3661</v>
      </c>
      <c r="C5744" s="568"/>
      <c r="D5744" s="568"/>
      <c r="E5744" s="188"/>
      <c r="F5744" s="188"/>
      <c r="G5744" s="2122"/>
      <c r="H5744" s="2135">
        <f>H5743</f>
        <v>7.4999999999999997E-2</v>
      </c>
      <c r="I5744" s="2134">
        <f>I5743</f>
        <v>7.88</v>
      </c>
      <c r="J5744" s="2134"/>
      <c r="K5744" s="2140">
        <f>ROUND(I5744*H5744,2)</f>
        <v>0.59</v>
      </c>
      <c r="L5744" s="192"/>
      <c r="M5744" s="568"/>
    </row>
    <row r="5745" spans="1:13" ht="12.75" hidden="1">
      <c r="A5745" s="2114"/>
      <c r="B5745" s="568"/>
      <c r="C5745" s="568"/>
      <c r="D5745" s="568"/>
      <c r="E5745" s="188"/>
      <c r="F5745" s="188"/>
      <c r="G5745" s="2122"/>
      <c r="H5745" s="568"/>
      <c r="I5745" s="2118"/>
      <c r="J5745" s="2123"/>
      <c r="K5745" s="2123">
        <f>SUM(K5741:K5744)</f>
        <v>36.330000000000013</v>
      </c>
      <c r="L5745" s="192"/>
      <c r="M5745" s="568"/>
    </row>
    <row r="5746" spans="1:13" ht="12.75" hidden="1">
      <c r="A5746" s="2114"/>
      <c r="B5746" s="192" t="s">
        <v>3738</v>
      </c>
      <c r="C5746" s="2142">
        <v>0.01</v>
      </c>
      <c r="D5746" s="568"/>
      <c r="E5746" s="188"/>
      <c r="F5746" s="188"/>
      <c r="G5746" s="2122"/>
      <c r="H5746" s="568"/>
      <c r="I5746" s="2118"/>
      <c r="J5746" s="2123"/>
      <c r="K5746" s="2140">
        <f>ROUND(K5745*C5746,2)</f>
        <v>0.36</v>
      </c>
      <c r="L5746" s="192"/>
      <c r="M5746" s="568"/>
    </row>
    <row r="5747" spans="1:13" ht="12.75" hidden="1">
      <c r="A5747" s="2114"/>
      <c r="B5747" s="568"/>
      <c r="C5747" s="568"/>
      <c r="D5747" s="568"/>
      <c r="E5747" s="188"/>
      <c r="F5747" s="188"/>
      <c r="G5747" s="2122"/>
      <c r="H5747" s="568"/>
      <c r="I5747" s="2118"/>
      <c r="J5747" s="2126" t="s">
        <v>718</v>
      </c>
      <c r="K5747" s="2124">
        <f>SUM(K5745:K5746)</f>
        <v>36.690000000000012</v>
      </c>
      <c r="L5747" s="192" t="s">
        <v>730</v>
      </c>
      <c r="M5747" s="568"/>
    </row>
    <row r="5748" spans="1:13" ht="12.75" hidden="1">
      <c r="A5748" s="2114" t="str">
        <f>A922</f>
        <v>(iv)</v>
      </c>
      <c r="B5748" s="192" t="str">
        <f>B922</f>
        <v>3rd Floor</v>
      </c>
      <c r="C5748" s="568"/>
      <c r="D5748" s="568"/>
      <c r="E5748" s="2120" t="str">
        <f>E5740</f>
        <v>Each No</v>
      </c>
      <c r="F5748" s="2120"/>
      <c r="G5748" s="2122"/>
      <c r="H5748" s="568"/>
      <c r="I5748" s="2118"/>
      <c r="J5748" s="2123"/>
      <c r="K5748" s="2123"/>
      <c r="L5748" s="192"/>
      <c r="M5748" s="568"/>
    </row>
    <row r="5749" spans="1:13" ht="12.75" hidden="1">
      <c r="A5749" s="2114"/>
      <c r="B5749" s="568" t="s">
        <v>722</v>
      </c>
      <c r="C5749" s="568"/>
      <c r="D5749" s="568"/>
      <c r="E5749" s="188"/>
      <c r="F5749" s="188"/>
      <c r="G5749" s="2122"/>
      <c r="H5749" s="568"/>
      <c r="I5749" s="2118"/>
      <c r="J5749" s="2123"/>
      <c r="K5749" s="2123">
        <f>K5721</f>
        <v>27.800000000000008</v>
      </c>
      <c r="L5749" s="192"/>
      <c r="M5749" s="568"/>
    </row>
    <row r="5750" spans="1:13" ht="12.75" hidden="1">
      <c r="A5750" s="2114"/>
      <c r="B5750" s="568" t="s">
        <v>723</v>
      </c>
      <c r="C5750" s="568"/>
      <c r="D5750" s="568"/>
      <c r="E5750" s="188"/>
      <c r="F5750" s="188"/>
      <c r="G5750" s="2122"/>
      <c r="H5750" s="2125">
        <f>H5742</f>
        <v>0.05</v>
      </c>
      <c r="I5750" s="2134">
        <f>I5742+K5742</f>
        <v>165.54</v>
      </c>
      <c r="J5750" s="2124"/>
      <c r="K5750" s="2123">
        <f>ROUND(I5750*H5750,2)</f>
        <v>8.2799999999999994</v>
      </c>
      <c r="L5750" s="192"/>
      <c r="M5750" s="568"/>
    </row>
    <row r="5751" spans="1:13" ht="12.75" hidden="1">
      <c r="A5751" s="2114"/>
      <c r="B5751" s="192" t="s">
        <v>3662</v>
      </c>
      <c r="C5751" s="568"/>
      <c r="D5751" s="568"/>
      <c r="E5751" s="188"/>
      <c r="F5751" s="188"/>
      <c r="G5751" s="2122"/>
      <c r="H5751" s="2135">
        <f>H5744</f>
        <v>7.4999999999999997E-2</v>
      </c>
      <c r="I5751" s="2134">
        <f>K5750</f>
        <v>8.2799999999999994</v>
      </c>
      <c r="J5751" s="2134"/>
      <c r="K5751" s="2123">
        <f>ROUND(I5751*H5751,2)</f>
        <v>0.62</v>
      </c>
      <c r="L5751" s="192"/>
      <c r="M5751" s="568"/>
    </row>
    <row r="5752" spans="1:13" ht="12.75" hidden="1">
      <c r="A5752" s="2114"/>
      <c r="B5752" s="192" t="s">
        <v>3661</v>
      </c>
      <c r="C5752" s="568"/>
      <c r="D5752" s="568"/>
      <c r="E5752" s="188"/>
      <c r="F5752" s="188"/>
      <c r="G5752" s="2122"/>
      <c r="H5752" s="2135">
        <f>H5751</f>
        <v>7.4999999999999997E-2</v>
      </c>
      <c r="I5752" s="2134">
        <f>I5751</f>
        <v>8.2799999999999994</v>
      </c>
      <c r="J5752" s="2134"/>
      <c r="K5752" s="2140">
        <f>ROUND(I5752*H5752,2)</f>
        <v>0.62</v>
      </c>
      <c r="L5752" s="192"/>
      <c r="M5752" s="568"/>
    </row>
    <row r="5753" spans="1:13" ht="12.75" hidden="1">
      <c r="A5753" s="2114"/>
      <c r="B5753" s="568"/>
      <c r="C5753" s="568"/>
      <c r="D5753" s="568"/>
      <c r="E5753" s="188"/>
      <c r="F5753" s="188"/>
      <c r="G5753" s="2122"/>
      <c r="H5753" s="568"/>
      <c r="I5753" s="2118"/>
      <c r="J5753" s="2123"/>
      <c r="K5753" s="2123">
        <f>SUM(K5749:K5752)</f>
        <v>37.32</v>
      </c>
      <c r="L5753" s="192"/>
      <c r="M5753" s="568"/>
    </row>
    <row r="5754" spans="1:13" ht="12.75" hidden="1">
      <c r="A5754" s="2114"/>
      <c r="B5754" s="192" t="s">
        <v>3738</v>
      </c>
      <c r="C5754" s="2142">
        <v>0.01</v>
      </c>
      <c r="D5754" s="568"/>
      <c r="E5754" s="188"/>
      <c r="F5754" s="188"/>
      <c r="G5754" s="2122"/>
      <c r="H5754" s="568"/>
      <c r="I5754" s="2118"/>
      <c r="J5754" s="2123"/>
      <c r="K5754" s="2140">
        <f>ROUND(K5753*C5754,2)</f>
        <v>0.37</v>
      </c>
      <c r="L5754" s="192"/>
      <c r="M5754" s="568"/>
    </row>
    <row r="5755" spans="1:13" ht="12.75" hidden="1">
      <c r="A5755" s="2114"/>
      <c r="B5755" s="568"/>
      <c r="C5755" s="568"/>
      <c r="D5755" s="568"/>
      <c r="E5755" s="188"/>
      <c r="F5755" s="188"/>
      <c r="G5755" s="2122"/>
      <c r="H5755" s="568"/>
      <c r="I5755" s="2118"/>
      <c r="J5755" s="2126" t="s">
        <v>718</v>
      </c>
      <c r="K5755" s="2124">
        <f>SUM(K5753:K5754)</f>
        <v>37.69</v>
      </c>
      <c r="L5755" s="192" t="s">
        <v>730</v>
      </c>
      <c r="M5755" s="568"/>
    </row>
    <row r="5756" spans="1:13" ht="57" hidden="1" customHeight="1">
      <c r="A5756" s="2114">
        <f t="shared" ref="A5756:B5758" si="304">A923</f>
        <v>117</v>
      </c>
      <c r="B5756" s="3017" t="str">
        <f t="shared" si="304"/>
        <v xml:space="preserve">Finishing plastered surfaces two coats with water proofing cement paint of approved shade on new work  in all floors, all heights with staging wherever necessary  etc. required for the work complete in all respect as per the direction of the Engineer-in-charge. </v>
      </c>
      <c r="C5756" s="3017"/>
      <c r="D5756" s="3017"/>
      <c r="E5756" s="2116" t="str">
        <f>G923</f>
        <v>Each Sqm</v>
      </c>
      <c r="F5756" s="2116"/>
      <c r="G5756" s="2122"/>
      <c r="H5756" s="568"/>
      <c r="I5756" s="2118"/>
      <c r="J5756" s="2124"/>
      <c r="K5756" s="2124"/>
      <c r="L5756" s="192"/>
      <c r="M5756" s="568"/>
    </row>
    <row r="5757" spans="1:13" ht="12.75" hidden="1">
      <c r="A5757" s="192" t="str">
        <f t="shared" si="304"/>
        <v>A)</v>
      </c>
      <c r="B5757" s="192" t="str">
        <f t="shared" si="304"/>
        <v>Inside Surface</v>
      </c>
      <c r="C5757" s="192"/>
      <c r="D5757" s="192"/>
      <c r="E5757" s="192"/>
      <c r="F5757" s="192"/>
      <c r="G5757" s="2122"/>
      <c r="H5757" s="568"/>
      <c r="I5757" s="2118"/>
      <c r="J5757" s="2124"/>
      <c r="K5757" s="2124"/>
      <c r="L5757" s="192"/>
      <c r="M5757" s="568"/>
    </row>
    <row r="5758" spans="1:13" ht="12.75" hidden="1">
      <c r="A5758" s="2114" t="str">
        <f t="shared" si="304"/>
        <v>(i)</v>
      </c>
      <c r="B5758" s="192" t="str">
        <f t="shared" si="304"/>
        <v>Ground Floor</v>
      </c>
      <c r="C5758" s="568"/>
      <c r="D5758" s="568"/>
      <c r="E5758" s="2120" t="str">
        <f>G925</f>
        <v>Each Sqm</v>
      </c>
      <c r="F5758" s="2120"/>
      <c r="G5758" s="2122"/>
      <c r="H5758" s="568"/>
      <c r="I5758" s="2118"/>
      <c r="J5758" s="2123"/>
      <c r="K5758" s="2123"/>
      <c r="L5758" s="192"/>
      <c r="M5758" s="568"/>
    </row>
    <row r="5759" spans="1:13" ht="12.75" hidden="1">
      <c r="A5759" s="2114"/>
      <c r="B5759" s="192" t="s">
        <v>964</v>
      </c>
      <c r="C5759" s="568"/>
      <c r="D5759" s="568"/>
      <c r="E5759" s="188"/>
      <c r="F5759" s="188"/>
      <c r="G5759" s="2122"/>
      <c r="H5759" s="568"/>
      <c r="I5759" s="2118"/>
      <c r="J5759" s="2123"/>
      <c r="K5759" s="2123"/>
      <c r="L5759" s="192"/>
      <c r="M5759" s="568"/>
    </row>
    <row r="5760" spans="1:13" ht="12.75" hidden="1">
      <c r="A5760" s="2114"/>
      <c r="B5760" s="192" t="s">
        <v>954</v>
      </c>
      <c r="C5760" s="568"/>
      <c r="D5760" s="568"/>
      <c r="E5760" s="188"/>
      <c r="F5760" s="188"/>
      <c r="G5760" s="2122"/>
      <c r="H5760" s="568"/>
      <c r="I5760" s="2118"/>
      <c r="J5760" s="2123"/>
      <c r="K5760" s="2123"/>
      <c r="L5760" s="192"/>
      <c r="M5760" s="568"/>
    </row>
    <row r="5761" spans="1:27" ht="12.75" hidden="1">
      <c r="A5761" s="2114"/>
      <c r="B5761" s="568" t="s">
        <v>1237</v>
      </c>
      <c r="C5761" s="568"/>
      <c r="D5761" s="568"/>
      <c r="E5761" s="188"/>
      <c r="F5761" s="188"/>
      <c r="G5761" s="2122">
        <v>0.22</v>
      </c>
      <c r="H5761" s="568" t="s">
        <v>262</v>
      </c>
      <c r="I5761" s="2118" t="s">
        <v>38</v>
      </c>
      <c r="J5761" s="2123">
        <f>L137</f>
        <v>495</v>
      </c>
      <c r="K5761" s="2123">
        <f>ROUND(G5761*J5761,2)</f>
        <v>108.9</v>
      </c>
      <c r="L5761" s="192"/>
      <c r="M5761" s="568"/>
    </row>
    <row r="5762" spans="1:27" ht="12.75" hidden="1">
      <c r="A5762" s="2114"/>
      <c r="B5762" s="568" t="s">
        <v>717</v>
      </c>
      <c r="C5762" s="568"/>
      <c r="D5762" s="568"/>
      <c r="E5762" s="188"/>
      <c r="F5762" s="188"/>
      <c r="G5762" s="2122">
        <v>0.32</v>
      </c>
      <c r="H5762" s="568" t="s">
        <v>262</v>
      </c>
      <c r="I5762" s="2118" t="s">
        <v>38</v>
      </c>
      <c r="J5762" s="2123">
        <f>L134</f>
        <v>345</v>
      </c>
      <c r="K5762" s="2123">
        <f>ROUND(G5762*J5762,2)</f>
        <v>110.4</v>
      </c>
      <c r="L5762" s="192"/>
      <c r="M5762" s="568"/>
    </row>
    <row r="5763" spans="1:27" ht="12.75" hidden="1">
      <c r="A5763" s="2114"/>
      <c r="B5763" s="568"/>
      <c r="C5763" s="568"/>
      <c r="D5763" s="568"/>
      <c r="E5763" s="188"/>
      <c r="F5763" s="188"/>
      <c r="G5763" s="2122"/>
      <c r="H5763" s="568"/>
      <c r="I5763" s="2118"/>
      <c r="J5763" s="2123" t="s">
        <v>718</v>
      </c>
      <c r="K5763" s="2123">
        <f>SUM(K5761:K5762)</f>
        <v>219.3</v>
      </c>
      <c r="L5763" s="192"/>
      <c r="M5763" s="568"/>
    </row>
    <row r="5764" spans="1:27" ht="12.75" hidden="1">
      <c r="A5764" s="2114"/>
      <c r="B5764" s="192"/>
      <c r="C5764" s="568"/>
      <c r="D5764" s="568"/>
      <c r="E5764" s="188"/>
      <c r="F5764" s="188"/>
      <c r="G5764" s="2122"/>
      <c r="H5764" s="568"/>
      <c r="I5764" s="2118"/>
      <c r="J5764" s="2123"/>
      <c r="K5764" s="2123"/>
      <c r="L5764" s="192"/>
      <c r="M5764" s="568"/>
    </row>
    <row r="5765" spans="1:27" ht="12.75" hidden="1">
      <c r="A5765" s="2114"/>
      <c r="B5765" s="192" t="s">
        <v>1238</v>
      </c>
      <c r="C5765" s="568"/>
      <c r="D5765" s="568"/>
      <c r="E5765" s="188"/>
      <c r="F5765" s="188"/>
      <c r="G5765" s="2122"/>
      <c r="H5765" s="568"/>
      <c r="I5765" s="2118"/>
      <c r="J5765" s="2123"/>
      <c r="K5765" s="2123"/>
      <c r="L5765" s="192"/>
      <c r="M5765" s="568"/>
    </row>
    <row r="5766" spans="1:27" ht="12.75" hidden="1">
      <c r="A5766" s="2114"/>
      <c r="B5766" s="568" t="s">
        <v>967</v>
      </c>
      <c r="C5766" s="568"/>
      <c r="D5766" s="568"/>
      <c r="E5766" s="188"/>
      <c r="F5766" s="188"/>
      <c r="G5766" s="2122"/>
      <c r="H5766" s="568"/>
      <c r="I5766" s="2118"/>
      <c r="J5766" s="2123"/>
      <c r="K5766" s="2123">
        <f>K5763+K5764+K5765</f>
        <v>219.3</v>
      </c>
      <c r="L5766" s="192"/>
      <c r="M5766" s="568"/>
    </row>
    <row r="5767" spans="1:27" ht="12.75" hidden="1">
      <c r="A5767" s="2114"/>
      <c r="B5767" s="568" t="s">
        <v>1235</v>
      </c>
      <c r="C5767" s="568"/>
      <c r="D5767" s="568"/>
      <c r="E5767" s="188"/>
      <c r="F5767" s="188"/>
      <c r="G5767" s="2122"/>
      <c r="H5767" s="568"/>
      <c r="I5767" s="2118"/>
      <c r="J5767" s="2123"/>
      <c r="K5767" s="2123">
        <f>ROUND(K5766/10,2)</f>
        <v>21.93</v>
      </c>
      <c r="L5767" s="192"/>
      <c r="M5767" s="568"/>
    </row>
    <row r="5768" spans="1:27" ht="12.75" hidden="1">
      <c r="A5768" s="2114"/>
      <c r="B5768" s="568" t="s">
        <v>1239</v>
      </c>
      <c r="C5768" s="568"/>
      <c r="D5768" s="568"/>
      <c r="E5768" s="188"/>
      <c r="F5768" s="188"/>
      <c r="G5768" s="2122">
        <v>0.25</v>
      </c>
      <c r="H5768" s="568" t="s">
        <v>95</v>
      </c>
      <c r="I5768" s="2118" t="s">
        <v>95</v>
      </c>
      <c r="J5768" s="2123">
        <f>L87</f>
        <v>48.256219999999999</v>
      </c>
      <c r="K5768" s="2123">
        <f>ROUND(G5768*J5768,2)</f>
        <v>12.06</v>
      </c>
      <c r="L5768" s="192"/>
      <c r="M5768" s="568"/>
      <c r="Q5768" s="1709">
        <f>G192</f>
        <v>47.83</v>
      </c>
      <c r="Y5768" s="1709"/>
      <c r="Z5768" s="1709"/>
      <c r="AA5768" s="1709"/>
    </row>
    <row r="5769" spans="1:27" ht="12.75" hidden="1">
      <c r="A5769" s="2114"/>
      <c r="B5769" s="568"/>
      <c r="C5769" s="568"/>
      <c r="D5769" s="568"/>
      <c r="E5769" s="188"/>
      <c r="F5769" s="188"/>
      <c r="G5769" s="2122"/>
      <c r="H5769" s="568"/>
      <c r="I5769" s="2118"/>
      <c r="J5769" s="2123"/>
      <c r="K5769" s="2123">
        <f>SUM(K5767:K5768)</f>
        <v>33.99</v>
      </c>
      <c r="L5769" s="192"/>
      <c r="M5769" s="568"/>
      <c r="Q5769" s="1709"/>
      <c r="Y5769" s="1709"/>
      <c r="Z5769" s="1709"/>
      <c r="AA5769" s="1709"/>
    </row>
    <row r="5770" spans="1:27" ht="12.75" hidden="1">
      <c r="A5770" s="2114"/>
      <c r="B5770" s="192" t="s">
        <v>3662</v>
      </c>
      <c r="C5770" s="568"/>
      <c r="D5770" s="568"/>
      <c r="E5770" s="188"/>
      <c r="F5770" s="188"/>
      <c r="G5770" s="2122"/>
      <c r="H5770" s="2135">
        <f>H5752</f>
        <v>7.4999999999999997E-2</v>
      </c>
      <c r="I5770" s="2134">
        <f>K5769</f>
        <v>33.99</v>
      </c>
      <c r="J5770" s="2134"/>
      <c r="K5770" s="2123">
        <f>ROUND(I5770*H5770,2)</f>
        <v>2.5499999999999998</v>
      </c>
      <c r="L5770" s="192"/>
      <c r="M5770" s="568"/>
      <c r="Q5770" s="1709"/>
      <c r="Y5770" s="1709"/>
      <c r="Z5770" s="1709"/>
      <c r="AA5770" s="1709"/>
    </row>
    <row r="5771" spans="1:27" ht="12.75" hidden="1">
      <c r="A5771" s="2114"/>
      <c r="B5771" s="192" t="s">
        <v>3661</v>
      </c>
      <c r="C5771" s="568"/>
      <c r="D5771" s="568"/>
      <c r="E5771" s="188"/>
      <c r="F5771" s="188"/>
      <c r="G5771" s="2122"/>
      <c r="H5771" s="2135">
        <f>H5770</f>
        <v>7.4999999999999997E-2</v>
      </c>
      <c r="I5771" s="2134">
        <f>I5770</f>
        <v>33.99</v>
      </c>
      <c r="J5771" s="2134"/>
      <c r="K5771" s="2140">
        <f>ROUND(I5771*H5771,2)</f>
        <v>2.5499999999999998</v>
      </c>
      <c r="L5771" s="192"/>
      <c r="M5771" s="568"/>
      <c r="Q5771" s="1709"/>
      <c r="Y5771" s="1709"/>
      <c r="Z5771" s="1709"/>
      <c r="AA5771" s="1709"/>
    </row>
    <row r="5772" spans="1:27" ht="12.75" hidden="1">
      <c r="A5772" s="2114"/>
      <c r="B5772" s="568"/>
      <c r="C5772" s="568"/>
      <c r="D5772" s="568"/>
      <c r="E5772" s="188"/>
      <c r="F5772" s="188"/>
      <c r="G5772" s="2122"/>
      <c r="H5772" s="568"/>
      <c r="I5772" s="2118"/>
      <c r="J5772" s="2123"/>
      <c r="K5772" s="2123">
        <f>SUM(K5769:K5771)</f>
        <v>39.089999999999996</v>
      </c>
      <c r="L5772" s="192"/>
      <c r="M5772" s="568"/>
      <c r="Q5772" s="1709"/>
      <c r="Y5772" s="1709"/>
      <c r="Z5772" s="1709"/>
      <c r="AA5772" s="1709"/>
    </row>
    <row r="5773" spans="1:27" ht="12.75" hidden="1">
      <c r="A5773" s="2114"/>
      <c r="B5773" s="192" t="s">
        <v>3738</v>
      </c>
      <c r="C5773" s="2142">
        <v>0.01</v>
      </c>
      <c r="D5773" s="568"/>
      <c r="E5773" s="188"/>
      <c r="F5773" s="188"/>
      <c r="G5773" s="2122"/>
      <c r="H5773" s="568"/>
      <c r="I5773" s="2118"/>
      <c r="J5773" s="2123"/>
      <c r="K5773" s="2140">
        <f>ROUND(K5772*C5773,2)</f>
        <v>0.39</v>
      </c>
      <c r="L5773" s="192"/>
      <c r="M5773" s="568"/>
      <c r="Q5773" s="1709"/>
      <c r="Y5773" s="1709"/>
      <c r="Z5773" s="1709"/>
      <c r="AA5773" s="1709"/>
    </row>
    <row r="5774" spans="1:27" ht="12.75" hidden="1">
      <c r="A5774" s="2114"/>
      <c r="B5774" s="568"/>
      <c r="C5774" s="568"/>
      <c r="D5774" s="568"/>
      <c r="E5774" s="188"/>
      <c r="F5774" s="188"/>
      <c r="G5774" s="2122"/>
      <c r="H5774" s="568"/>
      <c r="I5774" s="2118"/>
      <c r="J5774" s="2126" t="s">
        <v>718</v>
      </c>
      <c r="K5774" s="2124">
        <f>SUM(K5772:K5773)</f>
        <v>39.479999999999997</v>
      </c>
      <c r="L5774" s="192" t="s">
        <v>730</v>
      </c>
      <c r="M5774" s="568"/>
    </row>
    <row r="5775" spans="1:27" ht="12.75" hidden="1">
      <c r="A5775" s="2114" t="str">
        <f>A926</f>
        <v>(ii)</v>
      </c>
      <c r="B5775" s="192" t="str">
        <f>B926</f>
        <v>First Floor</v>
      </c>
      <c r="C5775" s="568"/>
      <c r="D5775" s="568"/>
      <c r="E5775" s="2120" t="str">
        <f>E5758</f>
        <v>Each Sqm</v>
      </c>
      <c r="F5775" s="2120"/>
      <c r="G5775" s="2122"/>
      <c r="H5775" s="568"/>
      <c r="I5775" s="2118"/>
      <c r="J5775" s="2123"/>
      <c r="K5775" s="2123"/>
      <c r="L5775" s="192"/>
      <c r="M5775" s="568"/>
    </row>
    <row r="5776" spans="1:27" ht="12.75" hidden="1">
      <c r="A5776" s="2114"/>
      <c r="B5776" s="568" t="s">
        <v>722</v>
      </c>
      <c r="C5776" s="568"/>
      <c r="D5776" s="568"/>
      <c r="E5776" s="188"/>
      <c r="F5776" s="188"/>
      <c r="G5776" s="2122"/>
      <c r="H5776" s="568"/>
      <c r="I5776" s="2118"/>
      <c r="J5776" s="2123"/>
      <c r="K5776" s="2123">
        <f>K5772</f>
        <v>39.089999999999996</v>
      </c>
      <c r="L5776" s="192"/>
      <c r="M5776" s="568"/>
    </row>
    <row r="5777" spans="1:13" ht="12.75" hidden="1">
      <c r="A5777" s="2114"/>
      <c r="B5777" s="568" t="s">
        <v>948</v>
      </c>
      <c r="C5777" s="568"/>
      <c r="D5777" s="568"/>
      <c r="E5777" s="188"/>
      <c r="F5777" s="188"/>
      <c r="G5777" s="2122"/>
      <c r="H5777" s="2125">
        <v>0.03</v>
      </c>
      <c r="I5777" s="2134">
        <f>K5763/10</f>
        <v>21.93</v>
      </c>
      <c r="J5777" s="2124"/>
      <c r="K5777" s="2123">
        <f>ROUND(I5777*H5777,2)</f>
        <v>0.66</v>
      </c>
      <c r="L5777" s="192"/>
      <c r="M5777" s="568"/>
    </row>
    <row r="5778" spans="1:13" ht="12.75" hidden="1">
      <c r="A5778" s="2114"/>
      <c r="B5778" s="192" t="s">
        <v>3662</v>
      </c>
      <c r="C5778" s="568"/>
      <c r="D5778" s="568"/>
      <c r="E5778" s="188"/>
      <c r="F5778" s="188"/>
      <c r="G5778" s="2122"/>
      <c r="H5778" s="2135">
        <f>H5771</f>
        <v>7.4999999999999997E-2</v>
      </c>
      <c r="I5778" s="2134">
        <f>K5777</f>
        <v>0.66</v>
      </c>
      <c r="J5778" s="2134"/>
      <c r="K5778" s="2123">
        <f>ROUND(I5778*H5778,2)</f>
        <v>0.05</v>
      </c>
      <c r="L5778" s="192"/>
      <c r="M5778" s="568"/>
    </row>
    <row r="5779" spans="1:13" ht="12.75" hidden="1">
      <c r="A5779" s="2114"/>
      <c r="B5779" s="192" t="s">
        <v>3661</v>
      </c>
      <c r="C5779" s="568"/>
      <c r="D5779" s="568"/>
      <c r="E5779" s="188"/>
      <c r="F5779" s="188"/>
      <c r="G5779" s="2122"/>
      <c r="H5779" s="2135">
        <f>H5778</f>
        <v>7.4999999999999997E-2</v>
      </c>
      <c r="I5779" s="2134">
        <f>I5778</f>
        <v>0.66</v>
      </c>
      <c r="J5779" s="2134"/>
      <c r="K5779" s="2140">
        <f>ROUND(I5779*H5779,2)</f>
        <v>0.05</v>
      </c>
      <c r="L5779" s="192"/>
      <c r="M5779" s="568"/>
    </row>
    <row r="5780" spans="1:13" ht="12.75" hidden="1">
      <c r="A5780" s="2114"/>
      <c r="B5780" s="568"/>
      <c r="C5780" s="568"/>
      <c r="D5780" s="568"/>
      <c r="E5780" s="188"/>
      <c r="F5780" s="188"/>
      <c r="G5780" s="2122"/>
      <c r="H5780" s="568"/>
      <c r="I5780" s="2118"/>
      <c r="J5780" s="2123"/>
      <c r="K5780" s="2123">
        <f>SUM(K5776:K5779)</f>
        <v>39.849999999999987</v>
      </c>
      <c r="L5780" s="192"/>
      <c r="M5780" s="568"/>
    </row>
    <row r="5781" spans="1:13" ht="12.75" hidden="1">
      <c r="A5781" s="2114"/>
      <c r="B5781" s="192" t="s">
        <v>3738</v>
      </c>
      <c r="C5781" s="2142">
        <v>0.01</v>
      </c>
      <c r="D5781" s="568"/>
      <c r="E5781" s="188"/>
      <c r="F5781" s="188"/>
      <c r="G5781" s="2122"/>
      <c r="H5781" s="568"/>
      <c r="I5781" s="2118"/>
      <c r="J5781" s="2123"/>
      <c r="K5781" s="2140">
        <f>ROUND(K5780*C5781,2)</f>
        <v>0.4</v>
      </c>
      <c r="L5781" s="192"/>
      <c r="M5781" s="568"/>
    </row>
    <row r="5782" spans="1:13" ht="12.75" hidden="1">
      <c r="A5782" s="2114"/>
      <c r="B5782" s="568"/>
      <c r="C5782" s="568"/>
      <c r="D5782" s="568"/>
      <c r="E5782" s="188"/>
      <c r="F5782" s="188"/>
      <c r="G5782" s="2122"/>
      <c r="H5782" s="568"/>
      <c r="I5782" s="2118"/>
      <c r="J5782" s="2126" t="s">
        <v>718</v>
      </c>
      <c r="K5782" s="2124">
        <f>SUM(K5780:K5781)</f>
        <v>40.249999999999986</v>
      </c>
      <c r="L5782" s="192" t="s">
        <v>730</v>
      </c>
      <c r="M5782" s="568"/>
    </row>
    <row r="5783" spans="1:13" ht="12.75" hidden="1">
      <c r="A5783" s="2114" t="str">
        <f>A927</f>
        <v>(iii)</v>
      </c>
      <c r="B5783" s="192" t="str">
        <f>B927</f>
        <v>2nd Floor</v>
      </c>
      <c r="C5783" s="568"/>
      <c r="D5783" s="568"/>
      <c r="E5783" s="2120" t="str">
        <f>E5775</f>
        <v>Each Sqm</v>
      </c>
      <c r="F5783" s="2120"/>
      <c r="G5783" s="2122"/>
      <c r="H5783" s="568"/>
      <c r="I5783" s="2118"/>
      <c r="J5783" s="2123"/>
      <c r="K5783" s="2123"/>
      <c r="L5783" s="192"/>
      <c r="M5783" s="568"/>
    </row>
    <row r="5784" spans="1:13" ht="12.75" hidden="1">
      <c r="A5784" s="2114"/>
      <c r="B5784" s="568" t="s">
        <v>722</v>
      </c>
      <c r="C5784" s="568"/>
      <c r="D5784" s="568"/>
      <c r="E5784" s="188"/>
      <c r="F5784" s="188"/>
      <c r="G5784" s="2122"/>
      <c r="H5784" s="568"/>
      <c r="I5784" s="2118"/>
      <c r="J5784" s="2123"/>
      <c r="K5784" s="2123">
        <f>K5780</f>
        <v>39.849999999999987</v>
      </c>
      <c r="L5784" s="192"/>
      <c r="M5784" s="568"/>
    </row>
    <row r="5785" spans="1:13" ht="12.75" hidden="1">
      <c r="A5785" s="2114"/>
      <c r="B5785" s="568" t="s">
        <v>948</v>
      </c>
      <c r="C5785" s="568"/>
      <c r="D5785" s="568"/>
      <c r="E5785" s="188"/>
      <c r="F5785" s="188"/>
      <c r="G5785" s="2122"/>
      <c r="H5785" s="2125">
        <v>0.03</v>
      </c>
      <c r="I5785" s="2134">
        <f>I5777+K5777</f>
        <v>22.59</v>
      </c>
      <c r="J5785" s="2124"/>
      <c r="K5785" s="2123">
        <f>ROUND(I5785*H5785,2)</f>
        <v>0.68</v>
      </c>
      <c r="L5785" s="192"/>
      <c r="M5785" s="568"/>
    </row>
    <row r="5786" spans="1:13" ht="12.75" hidden="1">
      <c r="A5786" s="2114"/>
      <c r="B5786" s="192" t="s">
        <v>3662</v>
      </c>
      <c r="C5786" s="568"/>
      <c r="D5786" s="568"/>
      <c r="E5786" s="188"/>
      <c r="F5786" s="188"/>
      <c r="G5786" s="2122"/>
      <c r="H5786" s="2135">
        <f>H5779</f>
        <v>7.4999999999999997E-2</v>
      </c>
      <c r="I5786" s="2134">
        <f>K5785</f>
        <v>0.68</v>
      </c>
      <c r="J5786" s="2134"/>
      <c r="K5786" s="2123">
        <f>ROUND(I5786*H5786,2)</f>
        <v>0.05</v>
      </c>
      <c r="L5786" s="192"/>
      <c r="M5786" s="568"/>
    </row>
    <row r="5787" spans="1:13" ht="12.75" hidden="1">
      <c r="A5787" s="2114"/>
      <c r="B5787" s="192" t="s">
        <v>3661</v>
      </c>
      <c r="C5787" s="568"/>
      <c r="D5787" s="568"/>
      <c r="E5787" s="188"/>
      <c r="F5787" s="188"/>
      <c r="G5787" s="2122"/>
      <c r="H5787" s="2135">
        <f>H5786</f>
        <v>7.4999999999999997E-2</v>
      </c>
      <c r="I5787" s="2134">
        <f>I5786</f>
        <v>0.68</v>
      </c>
      <c r="J5787" s="2134"/>
      <c r="K5787" s="2140">
        <f>ROUND(I5787*H5787,2)</f>
        <v>0.05</v>
      </c>
      <c r="L5787" s="192"/>
      <c r="M5787" s="568"/>
    </row>
    <row r="5788" spans="1:13" ht="12.75" hidden="1">
      <c r="A5788" s="2114"/>
      <c r="B5788" s="568"/>
      <c r="C5788" s="568"/>
      <c r="D5788" s="568"/>
      <c r="E5788" s="188"/>
      <c r="F5788" s="188"/>
      <c r="G5788" s="2122"/>
      <c r="H5788" s="568"/>
      <c r="I5788" s="2118"/>
      <c r="J5788" s="2123"/>
      <c r="K5788" s="2123">
        <f>SUM(K5784:K5787)</f>
        <v>40.629999999999981</v>
      </c>
      <c r="L5788" s="192"/>
      <c r="M5788" s="568"/>
    </row>
    <row r="5789" spans="1:13" ht="12.75" hidden="1">
      <c r="A5789" s="2114"/>
      <c r="B5789" s="192" t="s">
        <v>3738</v>
      </c>
      <c r="C5789" s="2142">
        <v>0.01</v>
      </c>
      <c r="D5789" s="568"/>
      <c r="E5789" s="188"/>
      <c r="F5789" s="188"/>
      <c r="G5789" s="2122"/>
      <c r="H5789" s="568"/>
      <c r="I5789" s="2118"/>
      <c r="J5789" s="2123"/>
      <c r="K5789" s="2140">
        <f>ROUND(K5788*C5789,2)</f>
        <v>0.41</v>
      </c>
      <c r="L5789" s="192"/>
      <c r="M5789" s="568"/>
    </row>
    <row r="5790" spans="1:13" ht="12.75" hidden="1">
      <c r="A5790" s="2114"/>
      <c r="B5790" s="568"/>
      <c r="C5790" s="568"/>
      <c r="D5790" s="568"/>
      <c r="E5790" s="188"/>
      <c r="F5790" s="188"/>
      <c r="G5790" s="2122"/>
      <c r="H5790" s="568"/>
      <c r="I5790" s="2118"/>
      <c r="J5790" s="2126" t="s">
        <v>718</v>
      </c>
      <c r="K5790" s="2124">
        <f>SUM(K5788:K5789)</f>
        <v>41.039999999999978</v>
      </c>
      <c r="L5790" s="192" t="s">
        <v>730</v>
      </c>
      <c r="M5790" s="568"/>
    </row>
    <row r="5791" spans="1:13" ht="12.75" hidden="1">
      <c r="A5791" s="2114" t="str">
        <f>A928</f>
        <v>(iv)</v>
      </c>
      <c r="B5791" s="192" t="str">
        <f>B928</f>
        <v>3rd Floor</v>
      </c>
      <c r="C5791" s="568"/>
      <c r="D5791" s="568"/>
      <c r="E5791" s="2120" t="str">
        <f>E5783</f>
        <v>Each Sqm</v>
      </c>
      <c r="F5791" s="2120"/>
      <c r="G5791" s="2122"/>
      <c r="H5791" s="568"/>
      <c r="I5791" s="2118"/>
      <c r="J5791" s="2123"/>
      <c r="K5791" s="2123"/>
      <c r="L5791" s="192"/>
      <c r="M5791" s="568"/>
    </row>
    <row r="5792" spans="1:13" ht="12.75" hidden="1">
      <c r="A5792" s="2114"/>
      <c r="B5792" s="568" t="s">
        <v>722</v>
      </c>
      <c r="C5792" s="568"/>
      <c r="D5792" s="568"/>
      <c r="E5792" s="188"/>
      <c r="F5792" s="188"/>
      <c r="G5792" s="2122"/>
      <c r="H5792" s="568"/>
      <c r="I5792" s="2118"/>
      <c r="J5792" s="2123"/>
      <c r="K5792" s="2123">
        <f>K5788</f>
        <v>40.629999999999981</v>
      </c>
      <c r="L5792" s="192"/>
      <c r="M5792" s="568"/>
    </row>
    <row r="5793" spans="1:13" ht="12.75" hidden="1">
      <c r="A5793" s="2114"/>
      <c r="B5793" s="568" t="s">
        <v>948</v>
      </c>
      <c r="C5793" s="568"/>
      <c r="D5793" s="568"/>
      <c r="E5793" s="188"/>
      <c r="F5793" s="188"/>
      <c r="G5793" s="2122"/>
      <c r="H5793" s="2125">
        <v>0.03</v>
      </c>
      <c r="I5793" s="2134">
        <f>I5785+K5785</f>
        <v>23.27</v>
      </c>
      <c r="J5793" s="2124"/>
      <c r="K5793" s="2123">
        <f>ROUND(I5793*H5793,2)</f>
        <v>0.7</v>
      </c>
      <c r="L5793" s="192"/>
      <c r="M5793" s="568"/>
    </row>
    <row r="5794" spans="1:13" ht="12.75" hidden="1">
      <c r="A5794" s="2114"/>
      <c r="B5794" s="192" t="s">
        <v>3662</v>
      </c>
      <c r="C5794" s="568"/>
      <c r="D5794" s="568"/>
      <c r="E5794" s="188"/>
      <c r="F5794" s="188"/>
      <c r="G5794" s="2122"/>
      <c r="H5794" s="2135">
        <f>H5787</f>
        <v>7.4999999999999997E-2</v>
      </c>
      <c r="I5794" s="2134">
        <f>K5793</f>
        <v>0.7</v>
      </c>
      <c r="J5794" s="2134"/>
      <c r="K5794" s="2123">
        <f>ROUND(I5794*H5794,2)</f>
        <v>0.05</v>
      </c>
      <c r="L5794" s="192"/>
      <c r="M5794" s="568"/>
    </row>
    <row r="5795" spans="1:13" ht="12.75" hidden="1">
      <c r="A5795" s="2114"/>
      <c r="B5795" s="192" t="s">
        <v>3661</v>
      </c>
      <c r="C5795" s="568"/>
      <c r="D5795" s="568"/>
      <c r="E5795" s="188"/>
      <c r="F5795" s="188"/>
      <c r="G5795" s="2122"/>
      <c r="H5795" s="2135">
        <f>H5794</f>
        <v>7.4999999999999997E-2</v>
      </c>
      <c r="I5795" s="2134">
        <f>I5794</f>
        <v>0.7</v>
      </c>
      <c r="J5795" s="2134"/>
      <c r="K5795" s="2140">
        <f>ROUND(I5795*H5795,2)</f>
        <v>0.05</v>
      </c>
      <c r="L5795" s="192"/>
      <c r="M5795" s="568"/>
    </row>
    <row r="5796" spans="1:13" ht="12.75" hidden="1">
      <c r="A5796" s="2114"/>
      <c r="B5796" s="568"/>
      <c r="C5796" s="568"/>
      <c r="D5796" s="568"/>
      <c r="E5796" s="188"/>
      <c r="F5796" s="188"/>
      <c r="G5796" s="2122"/>
      <c r="H5796" s="568"/>
      <c r="I5796" s="2118"/>
      <c r="J5796" s="2123"/>
      <c r="K5796" s="2123">
        <f>SUM(K5792:K5795)</f>
        <v>41.429999999999978</v>
      </c>
      <c r="L5796" s="192"/>
      <c r="M5796" s="568"/>
    </row>
    <row r="5797" spans="1:13" ht="12.75" hidden="1">
      <c r="A5797" s="2114"/>
      <c r="B5797" s="192" t="s">
        <v>3738</v>
      </c>
      <c r="C5797" s="2142">
        <v>0.01</v>
      </c>
      <c r="D5797" s="568"/>
      <c r="E5797" s="188"/>
      <c r="F5797" s="188"/>
      <c r="G5797" s="2122"/>
      <c r="H5797" s="568"/>
      <c r="I5797" s="2118"/>
      <c r="J5797" s="2123"/>
      <c r="K5797" s="2140">
        <f>ROUND(K5796*C5797,2)</f>
        <v>0.41</v>
      </c>
      <c r="L5797" s="192"/>
      <c r="M5797" s="568"/>
    </row>
    <row r="5798" spans="1:13" ht="12.75" hidden="1">
      <c r="A5798" s="2114"/>
      <c r="B5798" s="568"/>
      <c r="C5798" s="568"/>
      <c r="D5798" s="568"/>
      <c r="E5798" s="188"/>
      <c r="F5798" s="188"/>
      <c r="G5798" s="2122"/>
      <c r="H5798" s="568"/>
      <c r="I5798" s="2118"/>
      <c r="J5798" s="2126" t="s">
        <v>718</v>
      </c>
      <c r="K5798" s="2124">
        <f>SUM(K5796:K5797)</f>
        <v>41.839999999999975</v>
      </c>
      <c r="L5798" s="192" t="s">
        <v>730</v>
      </c>
      <c r="M5798" s="568"/>
    </row>
    <row r="5799" spans="1:13" ht="12.75" hidden="1">
      <c r="A5799" s="192" t="str">
        <f t="shared" ref="A5799:B5801" si="305">A929</f>
        <v>B)</v>
      </c>
      <c r="B5799" s="192" t="str">
        <f t="shared" si="305"/>
        <v>Outside Surface</v>
      </c>
      <c r="C5799" s="192"/>
      <c r="D5799" s="192"/>
      <c r="E5799" s="192"/>
      <c r="F5799" s="192"/>
      <c r="G5799" s="2122"/>
      <c r="H5799" s="568"/>
      <c r="I5799" s="2118"/>
      <c r="J5799" s="2124"/>
      <c r="K5799" s="2124"/>
      <c r="L5799" s="192"/>
      <c r="M5799" s="568"/>
    </row>
    <row r="5800" spans="1:13" ht="12.75" hidden="1">
      <c r="A5800" s="2114" t="str">
        <f t="shared" si="305"/>
        <v>(i)</v>
      </c>
      <c r="B5800" s="192" t="str">
        <f t="shared" si="305"/>
        <v>Ground Floor</v>
      </c>
      <c r="C5800" s="568"/>
      <c r="D5800" s="568"/>
      <c r="E5800" s="2120" t="str">
        <f>G930</f>
        <v>Each Sqm</v>
      </c>
      <c r="F5800" s="2120"/>
      <c r="G5800" s="2122"/>
      <c r="H5800" s="568"/>
      <c r="I5800" s="2118"/>
      <c r="J5800" s="2123"/>
      <c r="K5800" s="2124">
        <f>K5772</f>
        <v>39.089999999999996</v>
      </c>
      <c r="L5800" s="192" t="s">
        <v>730</v>
      </c>
      <c r="M5800" s="568"/>
    </row>
    <row r="5801" spans="1:13" ht="12.75" hidden="1">
      <c r="A5801" s="2114" t="str">
        <f t="shared" si="305"/>
        <v>(ii)</v>
      </c>
      <c r="B5801" s="192" t="str">
        <f t="shared" si="305"/>
        <v>First Floor</v>
      </c>
      <c r="C5801" s="568"/>
      <c r="D5801" s="568"/>
      <c r="E5801" s="2120" t="str">
        <f>E5800</f>
        <v>Each Sqm</v>
      </c>
      <c r="F5801" s="2120"/>
      <c r="G5801" s="2122"/>
      <c r="H5801" s="568"/>
      <c r="I5801" s="2118"/>
      <c r="J5801" s="2123"/>
      <c r="K5801" s="2123"/>
      <c r="L5801" s="192"/>
      <c r="M5801" s="568"/>
    </row>
    <row r="5802" spans="1:13" ht="12.75" hidden="1">
      <c r="A5802" s="2114"/>
      <c r="B5802" s="568" t="s">
        <v>722</v>
      </c>
      <c r="C5802" s="568"/>
      <c r="D5802" s="568"/>
      <c r="E5802" s="188"/>
      <c r="F5802" s="188"/>
      <c r="G5802" s="2122"/>
      <c r="H5802" s="568"/>
      <c r="I5802" s="2118"/>
      <c r="J5802" s="2123"/>
      <c r="K5802" s="2123">
        <f>K5772</f>
        <v>39.089999999999996</v>
      </c>
      <c r="L5802" s="192"/>
      <c r="M5802" s="568"/>
    </row>
    <row r="5803" spans="1:13" ht="12.75" hidden="1">
      <c r="A5803" s="2114"/>
      <c r="B5803" s="568" t="s">
        <v>723</v>
      </c>
      <c r="C5803" s="568"/>
      <c r="D5803" s="568"/>
      <c r="E5803" s="188"/>
      <c r="F5803" s="188"/>
      <c r="G5803" s="2122"/>
      <c r="H5803" s="2125">
        <v>0.05</v>
      </c>
      <c r="I5803" s="2134">
        <f>K5763/10</f>
        <v>21.93</v>
      </c>
      <c r="J5803" s="2124"/>
      <c r="K5803" s="2123">
        <f>ROUND(I5803*H5803,2)</f>
        <v>1.1000000000000001</v>
      </c>
      <c r="L5803" s="192"/>
      <c r="M5803" s="568"/>
    </row>
    <row r="5804" spans="1:13" ht="12.75" hidden="1">
      <c r="A5804" s="2114"/>
      <c r="B5804" s="192" t="s">
        <v>3662</v>
      </c>
      <c r="C5804" s="568"/>
      <c r="D5804" s="568"/>
      <c r="E5804" s="188"/>
      <c r="F5804" s="188"/>
      <c r="G5804" s="2122"/>
      <c r="H5804" s="2135">
        <f>H5795</f>
        <v>7.4999999999999997E-2</v>
      </c>
      <c r="I5804" s="2134">
        <f>K5803</f>
        <v>1.1000000000000001</v>
      </c>
      <c r="J5804" s="2134"/>
      <c r="K5804" s="2123">
        <f>ROUND(I5804*H5804,2)</f>
        <v>0.08</v>
      </c>
      <c r="L5804" s="192"/>
      <c r="M5804" s="568"/>
    </row>
    <row r="5805" spans="1:13" ht="12.75" hidden="1">
      <c r="A5805" s="2114"/>
      <c r="B5805" s="192" t="s">
        <v>3661</v>
      </c>
      <c r="C5805" s="568"/>
      <c r="D5805" s="568"/>
      <c r="E5805" s="188"/>
      <c r="F5805" s="188"/>
      <c r="G5805" s="2122"/>
      <c r="H5805" s="2135">
        <f>H5804</f>
        <v>7.4999999999999997E-2</v>
      </c>
      <c r="I5805" s="2134">
        <f>I5804</f>
        <v>1.1000000000000001</v>
      </c>
      <c r="J5805" s="2134"/>
      <c r="K5805" s="2140">
        <f>ROUND(I5805*H5805,2)</f>
        <v>0.08</v>
      </c>
      <c r="L5805" s="192"/>
      <c r="M5805" s="568"/>
    </row>
    <row r="5806" spans="1:13" ht="12.75" hidden="1">
      <c r="A5806" s="2114"/>
      <c r="B5806" s="568"/>
      <c r="C5806" s="568"/>
      <c r="D5806" s="568"/>
      <c r="E5806" s="188"/>
      <c r="F5806" s="188"/>
      <c r="G5806" s="2122"/>
      <c r="H5806" s="568"/>
      <c r="I5806" s="2118"/>
      <c r="J5806" s="2123"/>
      <c r="K5806" s="2123">
        <f>SUM(K5802:K5805)</f>
        <v>40.349999999999994</v>
      </c>
      <c r="L5806" s="192"/>
      <c r="M5806" s="568"/>
    </row>
    <row r="5807" spans="1:13" ht="12.75" hidden="1">
      <c r="A5807" s="2114"/>
      <c r="B5807" s="192" t="s">
        <v>3738</v>
      </c>
      <c r="C5807" s="2142">
        <v>0.01</v>
      </c>
      <c r="D5807" s="568"/>
      <c r="E5807" s="188"/>
      <c r="F5807" s="188"/>
      <c r="G5807" s="2122"/>
      <c r="H5807" s="568"/>
      <c r="I5807" s="2118"/>
      <c r="J5807" s="2123"/>
      <c r="K5807" s="2140">
        <f>ROUND(K5806*C5807,2)</f>
        <v>0.4</v>
      </c>
      <c r="L5807" s="192"/>
      <c r="M5807" s="568"/>
    </row>
    <row r="5808" spans="1:13" ht="12.75" hidden="1">
      <c r="A5808" s="2114"/>
      <c r="B5808" s="568"/>
      <c r="C5808" s="568"/>
      <c r="D5808" s="568"/>
      <c r="E5808" s="188"/>
      <c r="F5808" s="188"/>
      <c r="G5808" s="2122"/>
      <c r="H5808" s="568"/>
      <c r="I5808" s="2118"/>
      <c r="J5808" s="2126" t="s">
        <v>718</v>
      </c>
      <c r="K5808" s="2124">
        <f>SUM(K5806:K5807)</f>
        <v>40.749999999999993</v>
      </c>
      <c r="L5808" s="192" t="s">
        <v>730</v>
      </c>
      <c r="M5808" s="568"/>
    </row>
    <row r="5809" spans="1:13" ht="12.75" hidden="1">
      <c r="A5809" s="2114" t="str">
        <f>A932</f>
        <v>(iii)</v>
      </c>
      <c r="B5809" s="192" t="str">
        <f>B932</f>
        <v>2nd Floor</v>
      </c>
      <c r="C5809" s="568"/>
      <c r="D5809" s="568"/>
      <c r="E5809" s="2120" t="str">
        <f>E5801</f>
        <v>Each Sqm</v>
      </c>
      <c r="F5809" s="2120"/>
      <c r="G5809" s="2122"/>
      <c r="H5809" s="568"/>
      <c r="I5809" s="2118"/>
      <c r="J5809" s="2123"/>
      <c r="K5809" s="2123"/>
      <c r="L5809" s="192"/>
      <c r="M5809" s="568"/>
    </row>
    <row r="5810" spans="1:13" ht="12.75" hidden="1">
      <c r="A5810" s="2114"/>
      <c r="B5810" s="568" t="s">
        <v>722</v>
      </c>
      <c r="C5810" s="568"/>
      <c r="D5810" s="568"/>
      <c r="E5810" s="188"/>
      <c r="F5810" s="188"/>
      <c r="G5810" s="2122"/>
      <c r="H5810" s="568"/>
      <c r="I5810" s="2118"/>
      <c r="J5810" s="2123"/>
      <c r="K5810" s="2123">
        <f>K5782</f>
        <v>40.249999999999986</v>
      </c>
      <c r="L5810" s="192"/>
      <c r="M5810" s="568"/>
    </row>
    <row r="5811" spans="1:13" ht="12.75" hidden="1">
      <c r="A5811" s="2114"/>
      <c r="B5811" s="568" t="s">
        <v>723</v>
      </c>
      <c r="C5811" s="568"/>
      <c r="D5811" s="568"/>
      <c r="E5811" s="188"/>
      <c r="F5811" s="188"/>
      <c r="G5811" s="2122"/>
      <c r="H5811" s="2125">
        <f>H5803</f>
        <v>0.05</v>
      </c>
      <c r="I5811" s="2134">
        <f>I5803+K5803</f>
        <v>23.03</v>
      </c>
      <c r="J5811" s="2124"/>
      <c r="K5811" s="2123">
        <f>ROUND(I5811*H5811,2)</f>
        <v>1.1499999999999999</v>
      </c>
      <c r="L5811" s="192"/>
      <c r="M5811" s="568"/>
    </row>
    <row r="5812" spans="1:13" ht="12.75" hidden="1">
      <c r="A5812" s="2114"/>
      <c r="B5812" s="192" t="s">
        <v>3662</v>
      </c>
      <c r="C5812" s="568"/>
      <c r="D5812" s="568"/>
      <c r="E5812" s="188"/>
      <c r="F5812" s="188"/>
      <c r="G5812" s="2122"/>
      <c r="H5812" s="2135">
        <f>H5805</f>
        <v>7.4999999999999997E-2</v>
      </c>
      <c r="I5812" s="2134">
        <f>K5811</f>
        <v>1.1499999999999999</v>
      </c>
      <c r="J5812" s="2134"/>
      <c r="K5812" s="2123">
        <f>ROUND(I5812*H5812,2)</f>
        <v>0.09</v>
      </c>
      <c r="L5812" s="192"/>
      <c r="M5812" s="568"/>
    </row>
    <row r="5813" spans="1:13" ht="12.75" hidden="1">
      <c r="A5813" s="2114"/>
      <c r="B5813" s="192" t="s">
        <v>3661</v>
      </c>
      <c r="C5813" s="568"/>
      <c r="D5813" s="568"/>
      <c r="E5813" s="188"/>
      <c r="F5813" s="188"/>
      <c r="G5813" s="2122"/>
      <c r="H5813" s="2135">
        <f>H5812</f>
        <v>7.4999999999999997E-2</v>
      </c>
      <c r="I5813" s="2134">
        <f>I5812</f>
        <v>1.1499999999999999</v>
      </c>
      <c r="J5813" s="2134"/>
      <c r="K5813" s="2140">
        <f>ROUND(I5813*H5813,2)</f>
        <v>0.09</v>
      </c>
      <c r="L5813" s="192"/>
      <c r="M5813" s="568"/>
    </row>
    <row r="5814" spans="1:13" ht="12.75" hidden="1">
      <c r="A5814" s="2114"/>
      <c r="B5814" s="568"/>
      <c r="C5814" s="568"/>
      <c r="D5814" s="568"/>
      <c r="E5814" s="188"/>
      <c r="F5814" s="188"/>
      <c r="G5814" s="2122"/>
      <c r="H5814" s="568"/>
      <c r="I5814" s="2118"/>
      <c r="J5814" s="2123"/>
      <c r="K5814" s="2123">
        <f>SUM(K5810:K5813)</f>
        <v>41.579999999999991</v>
      </c>
      <c r="L5814" s="192"/>
      <c r="M5814" s="568"/>
    </row>
    <row r="5815" spans="1:13" ht="12.75" hidden="1">
      <c r="A5815" s="2114"/>
      <c r="B5815" s="192" t="s">
        <v>3738</v>
      </c>
      <c r="C5815" s="2142">
        <v>0.01</v>
      </c>
      <c r="D5815" s="568"/>
      <c r="E5815" s="188"/>
      <c r="F5815" s="188"/>
      <c r="G5815" s="2122"/>
      <c r="H5815" s="568"/>
      <c r="I5815" s="2118"/>
      <c r="J5815" s="2123"/>
      <c r="K5815" s="2140">
        <f>ROUND(K5814*C5815,2)</f>
        <v>0.42</v>
      </c>
      <c r="L5815" s="192"/>
      <c r="M5815" s="568"/>
    </row>
    <row r="5816" spans="1:13" ht="12.75" hidden="1">
      <c r="A5816" s="2114"/>
      <c r="B5816" s="568"/>
      <c r="C5816" s="568"/>
      <c r="D5816" s="568"/>
      <c r="E5816" s="188"/>
      <c r="F5816" s="188"/>
      <c r="G5816" s="2122"/>
      <c r="H5816" s="568"/>
      <c r="I5816" s="2118"/>
      <c r="J5816" s="2126" t="s">
        <v>718</v>
      </c>
      <c r="K5816" s="2124">
        <f>SUM(K5814:K5815)</f>
        <v>41.999999999999993</v>
      </c>
      <c r="L5816" s="192" t="s">
        <v>730</v>
      </c>
      <c r="M5816" s="568"/>
    </row>
    <row r="5817" spans="1:13" ht="12.75" hidden="1">
      <c r="A5817" s="2114" t="str">
        <f>A933</f>
        <v>(iv)</v>
      </c>
      <c r="B5817" s="192" t="str">
        <f>B933</f>
        <v>3rd Floor</v>
      </c>
      <c r="C5817" s="568"/>
      <c r="D5817" s="568"/>
      <c r="E5817" s="2120" t="str">
        <f>E5809</f>
        <v>Each Sqm</v>
      </c>
      <c r="F5817" s="2120"/>
      <c r="G5817" s="2122"/>
      <c r="H5817" s="568"/>
      <c r="I5817" s="2118"/>
      <c r="J5817" s="2123"/>
      <c r="K5817" s="2123"/>
      <c r="L5817" s="192"/>
      <c r="M5817" s="568"/>
    </row>
    <row r="5818" spans="1:13" ht="12.75" hidden="1">
      <c r="A5818" s="2114"/>
      <c r="B5818" s="568" t="s">
        <v>722</v>
      </c>
      <c r="C5818" s="568"/>
      <c r="D5818" s="568"/>
      <c r="E5818" s="188"/>
      <c r="F5818" s="188"/>
      <c r="G5818" s="2122"/>
      <c r="H5818" s="568"/>
      <c r="I5818" s="2118"/>
      <c r="J5818" s="2123"/>
      <c r="K5818" s="2123">
        <f>K5790</f>
        <v>41.039999999999978</v>
      </c>
      <c r="L5818" s="192"/>
      <c r="M5818" s="568"/>
    </row>
    <row r="5819" spans="1:13" ht="12.75" hidden="1">
      <c r="A5819" s="2114"/>
      <c r="B5819" s="568" t="s">
        <v>723</v>
      </c>
      <c r="C5819" s="568"/>
      <c r="D5819" s="568"/>
      <c r="E5819" s="188"/>
      <c r="F5819" s="188"/>
      <c r="G5819" s="2122"/>
      <c r="H5819" s="2125">
        <f>H5811</f>
        <v>0.05</v>
      </c>
      <c r="I5819" s="2134">
        <f>I5811+K5811</f>
        <v>24.18</v>
      </c>
      <c r="J5819" s="2124"/>
      <c r="K5819" s="2123">
        <f>ROUND(I5819*H5819,2)</f>
        <v>1.21</v>
      </c>
      <c r="L5819" s="192"/>
      <c r="M5819" s="568"/>
    </row>
    <row r="5820" spans="1:13" ht="12.75" hidden="1">
      <c r="A5820" s="2114"/>
      <c r="B5820" s="192" t="s">
        <v>3662</v>
      </c>
      <c r="C5820" s="568"/>
      <c r="D5820" s="568"/>
      <c r="E5820" s="188"/>
      <c r="F5820" s="188"/>
      <c r="G5820" s="2122"/>
      <c r="H5820" s="2135">
        <f>H5813</f>
        <v>7.4999999999999997E-2</v>
      </c>
      <c r="I5820" s="2134">
        <f>K5819</f>
        <v>1.21</v>
      </c>
      <c r="J5820" s="2134"/>
      <c r="K5820" s="2123">
        <f>ROUND(I5820*H5820,2)</f>
        <v>0.09</v>
      </c>
      <c r="L5820" s="192"/>
      <c r="M5820" s="568"/>
    </row>
    <row r="5821" spans="1:13" ht="12.75" hidden="1">
      <c r="A5821" s="2114"/>
      <c r="B5821" s="192" t="s">
        <v>3661</v>
      </c>
      <c r="C5821" s="568"/>
      <c r="D5821" s="568"/>
      <c r="E5821" s="188"/>
      <c r="F5821" s="188"/>
      <c r="G5821" s="2122"/>
      <c r="H5821" s="2135">
        <f>H5820</f>
        <v>7.4999999999999997E-2</v>
      </c>
      <c r="I5821" s="2134">
        <f>I5820</f>
        <v>1.21</v>
      </c>
      <c r="J5821" s="2134"/>
      <c r="K5821" s="2140">
        <f>ROUND(I5821*H5821,2)</f>
        <v>0.09</v>
      </c>
      <c r="L5821" s="192"/>
      <c r="M5821" s="568"/>
    </row>
    <row r="5822" spans="1:13" ht="12.75" hidden="1">
      <c r="A5822" s="2114"/>
      <c r="B5822" s="568"/>
      <c r="C5822" s="568"/>
      <c r="D5822" s="568"/>
      <c r="E5822" s="188"/>
      <c r="F5822" s="188"/>
      <c r="G5822" s="2122"/>
      <c r="H5822" s="568"/>
      <c r="I5822" s="2118"/>
      <c r="J5822" s="2123"/>
      <c r="K5822" s="2123">
        <f>SUM(K5818:K5821)</f>
        <v>42.429999999999986</v>
      </c>
      <c r="L5822" s="192"/>
      <c r="M5822" s="568"/>
    </row>
    <row r="5823" spans="1:13" ht="12.75" hidden="1">
      <c r="A5823" s="2114"/>
      <c r="B5823" s="192" t="s">
        <v>3738</v>
      </c>
      <c r="C5823" s="2142">
        <v>0.01</v>
      </c>
      <c r="D5823" s="568"/>
      <c r="E5823" s="188"/>
      <c r="F5823" s="188"/>
      <c r="G5823" s="2122"/>
      <c r="H5823" s="568"/>
      <c r="I5823" s="2118"/>
      <c r="J5823" s="2123"/>
      <c r="K5823" s="2140">
        <f>ROUND(K5822*C5823,2)</f>
        <v>0.42</v>
      </c>
      <c r="L5823" s="192"/>
      <c r="M5823" s="568"/>
    </row>
    <row r="5824" spans="1:13" ht="12.75" hidden="1">
      <c r="A5824" s="2114"/>
      <c r="B5824" s="568"/>
      <c r="C5824" s="568"/>
      <c r="D5824" s="568"/>
      <c r="E5824" s="188"/>
      <c r="F5824" s="188"/>
      <c r="G5824" s="2122"/>
      <c r="H5824" s="568"/>
      <c r="I5824" s="2118"/>
      <c r="J5824" s="2126" t="s">
        <v>718</v>
      </c>
      <c r="K5824" s="2124">
        <f>SUM(K5822:K5823)</f>
        <v>42.849999999999987</v>
      </c>
      <c r="L5824" s="192" t="s">
        <v>730</v>
      </c>
      <c r="M5824" s="568"/>
    </row>
    <row r="5825" spans="1:17" ht="57" hidden="1" customHeight="1">
      <c r="A5825" s="2114">
        <f>A934</f>
        <v>118</v>
      </c>
      <c r="B5825" s="3017" t="str">
        <f>B934</f>
        <v>Painting two coats with approved weather seal paints of approved colour, shade on wall surface  including sand papering, polishing the surface,  etc, complete as per specification &amp; direction of Engineer-in-charge.</v>
      </c>
      <c r="C5825" s="3017"/>
      <c r="D5825" s="3017"/>
      <c r="E5825" s="2116" t="str">
        <f>G934</f>
        <v>Each Sqm</v>
      </c>
      <c r="F5825" s="2116"/>
      <c r="G5825" s="2122"/>
      <c r="H5825" s="568"/>
      <c r="I5825" s="2118"/>
      <c r="J5825" s="2124"/>
      <c r="K5825" s="2124"/>
      <c r="L5825" s="192"/>
      <c r="M5825" s="568"/>
    </row>
    <row r="5826" spans="1:17" ht="12.75" hidden="1">
      <c r="A5826" s="2114" t="str">
        <f>A935</f>
        <v>(i)</v>
      </c>
      <c r="B5826" s="192" t="str">
        <f>B935</f>
        <v>Ground Floor</v>
      </c>
      <c r="C5826" s="568"/>
      <c r="D5826" s="568"/>
      <c r="E5826" s="2120" t="str">
        <f>G896</f>
        <v>Each Sqm</v>
      </c>
      <c r="F5826" s="2120"/>
      <c r="G5826" s="2122"/>
      <c r="H5826" s="568"/>
      <c r="I5826" s="2118"/>
      <c r="J5826" s="2123"/>
      <c r="K5826" s="2123"/>
      <c r="L5826" s="192"/>
      <c r="M5826" s="568"/>
    </row>
    <row r="5827" spans="1:17" ht="12.75" hidden="1">
      <c r="A5827" s="2114"/>
      <c r="B5827" s="192" t="s">
        <v>964</v>
      </c>
      <c r="C5827" s="568"/>
      <c r="D5827" s="568"/>
      <c r="E5827" s="188"/>
      <c r="F5827" s="188"/>
      <c r="G5827" s="2122"/>
      <c r="H5827" s="568"/>
      <c r="I5827" s="2118"/>
      <c r="J5827" s="2123"/>
      <c r="K5827" s="2123"/>
      <c r="L5827" s="192"/>
      <c r="M5827" s="568"/>
    </row>
    <row r="5828" spans="1:17" ht="12.75" hidden="1">
      <c r="A5828" s="2114"/>
      <c r="B5828" s="192" t="s">
        <v>954</v>
      </c>
      <c r="C5828" s="568"/>
      <c r="D5828" s="568"/>
      <c r="E5828" s="188"/>
      <c r="F5828" s="188"/>
      <c r="G5828" s="2122"/>
      <c r="H5828" s="568"/>
      <c r="I5828" s="2118"/>
      <c r="J5828" s="2123"/>
      <c r="K5828" s="2123"/>
      <c r="L5828" s="192"/>
      <c r="M5828" s="568"/>
    </row>
    <row r="5829" spans="1:17" ht="12.75" hidden="1">
      <c r="A5829" s="2114"/>
      <c r="B5829" s="568" t="s">
        <v>1237</v>
      </c>
      <c r="C5829" s="568"/>
      <c r="D5829" s="568"/>
      <c r="E5829" s="188"/>
      <c r="F5829" s="188"/>
      <c r="G5829" s="2122">
        <v>0.54</v>
      </c>
      <c r="H5829" s="568" t="s">
        <v>262</v>
      </c>
      <c r="I5829" s="2118" t="s">
        <v>38</v>
      </c>
      <c r="J5829" s="2123">
        <f>L137</f>
        <v>495</v>
      </c>
      <c r="K5829" s="2123">
        <f>ROUND(G5829*J5829,2)</f>
        <v>267.3</v>
      </c>
      <c r="L5829" s="192"/>
      <c r="M5829" s="568"/>
    </row>
    <row r="5830" spans="1:17" ht="12.75" hidden="1">
      <c r="A5830" s="2114"/>
      <c r="B5830" s="568" t="s">
        <v>717</v>
      </c>
      <c r="C5830" s="568"/>
      <c r="D5830" s="568"/>
      <c r="E5830" s="188"/>
      <c r="F5830" s="188"/>
      <c r="G5830" s="2122">
        <v>0.64</v>
      </c>
      <c r="H5830" s="568" t="s">
        <v>262</v>
      </c>
      <c r="I5830" s="2118" t="s">
        <v>38</v>
      </c>
      <c r="J5830" s="2123">
        <f>L134</f>
        <v>345</v>
      </c>
      <c r="K5830" s="2123">
        <f>ROUND(G5830*J5830,2)</f>
        <v>220.8</v>
      </c>
      <c r="L5830" s="192"/>
      <c r="M5830" s="568"/>
    </row>
    <row r="5831" spans="1:17" ht="12.75" hidden="1">
      <c r="A5831" s="2114"/>
      <c r="B5831" s="568"/>
      <c r="C5831" s="568"/>
      <c r="D5831" s="568"/>
      <c r="E5831" s="188"/>
      <c r="F5831" s="188"/>
      <c r="G5831" s="2122"/>
      <c r="H5831" s="568"/>
      <c r="I5831" s="2118"/>
      <c r="J5831" s="2123" t="s">
        <v>718</v>
      </c>
      <c r="K5831" s="2123">
        <f>SUM(K5829:K5830)</f>
        <v>488.1</v>
      </c>
      <c r="L5831" s="192"/>
      <c r="M5831" s="568"/>
    </row>
    <row r="5832" spans="1:17" ht="12.75" hidden="1">
      <c r="A5832" s="2114"/>
      <c r="B5832" s="192"/>
      <c r="C5832" s="568"/>
      <c r="D5832" s="568"/>
      <c r="E5832" s="188"/>
      <c r="F5832" s="188"/>
      <c r="G5832" s="2122"/>
      <c r="H5832" s="568"/>
      <c r="I5832" s="2118"/>
      <c r="J5832" s="2123"/>
      <c r="K5832" s="2123"/>
      <c r="L5832" s="192"/>
      <c r="M5832" s="568"/>
    </row>
    <row r="5833" spans="1:17" ht="12.75" hidden="1">
      <c r="A5833" s="2114"/>
      <c r="B5833" s="192" t="s">
        <v>1234</v>
      </c>
      <c r="C5833" s="568"/>
      <c r="D5833" s="568"/>
      <c r="E5833" s="188"/>
      <c r="F5833" s="188"/>
      <c r="G5833" s="2122"/>
      <c r="H5833" s="568"/>
      <c r="I5833" s="2118"/>
      <c r="J5833" s="2123"/>
      <c r="K5833" s="2123"/>
      <c r="L5833" s="192"/>
      <c r="M5833" s="568"/>
    </row>
    <row r="5834" spans="1:17" ht="12.75" hidden="1">
      <c r="A5834" s="2114"/>
      <c r="B5834" s="568" t="s">
        <v>967</v>
      </c>
      <c r="C5834" s="568"/>
      <c r="D5834" s="568"/>
      <c r="E5834" s="188"/>
      <c r="F5834" s="188"/>
      <c r="G5834" s="2122"/>
      <c r="H5834" s="568"/>
      <c r="I5834" s="2118"/>
      <c r="J5834" s="2123"/>
      <c r="K5834" s="2123">
        <f>K5831+K5832+K5833</f>
        <v>488.1</v>
      </c>
      <c r="L5834" s="192"/>
      <c r="M5834" s="568"/>
    </row>
    <row r="5835" spans="1:17" ht="12.75" hidden="1">
      <c r="A5835" s="2114"/>
      <c r="B5835" s="568" t="s">
        <v>1235</v>
      </c>
      <c r="C5835" s="568"/>
      <c r="D5835" s="568"/>
      <c r="E5835" s="188"/>
      <c r="F5835" s="188"/>
      <c r="G5835" s="2122"/>
      <c r="H5835" s="568"/>
      <c r="I5835" s="2118"/>
      <c r="J5835" s="2123"/>
      <c r="K5835" s="2123">
        <f>ROUND(K5834/10,2)</f>
        <v>48.81</v>
      </c>
      <c r="L5835" s="192"/>
      <c r="M5835" s="568"/>
    </row>
    <row r="5836" spans="1:17" ht="12.75" hidden="1">
      <c r="A5836" s="2114"/>
      <c r="B5836" s="568"/>
      <c r="C5836" s="568"/>
      <c r="D5836" s="568"/>
      <c r="E5836" s="188"/>
      <c r="F5836" s="188"/>
      <c r="G5836" s="2122"/>
      <c r="H5836" s="568"/>
      <c r="I5836" s="2118"/>
      <c r="J5836" s="2123"/>
      <c r="K5836" s="2123"/>
      <c r="L5836" s="192"/>
      <c r="M5836" s="568"/>
      <c r="Q5836" s="1709"/>
    </row>
    <row r="5837" spans="1:17" ht="12.75" hidden="1">
      <c r="A5837" s="2114"/>
      <c r="B5837" s="568" t="s">
        <v>1240</v>
      </c>
      <c r="C5837" s="568"/>
      <c r="D5837" s="568"/>
      <c r="E5837" s="188"/>
      <c r="F5837" s="188"/>
      <c r="G5837" s="2122">
        <v>0.125</v>
      </c>
      <c r="H5837" s="568" t="s">
        <v>294</v>
      </c>
      <c r="I5837" s="2118" t="s">
        <v>294</v>
      </c>
      <c r="J5837" s="2123">
        <f>L92</f>
        <v>195.21621999999999</v>
      </c>
      <c r="K5837" s="2123">
        <f>ROUND(G5837*J5837,2)</f>
        <v>24.4</v>
      </c>
      <c r="L5837" s="192"/>
      <c r="M5837" s="568"/>
      <c r="Q5837" s="1709">
        <f>M174</f>
        <v>1900</v>
      </c>
    </row>
    <row r="5838" spans="1:17" ht="12.75" hidden="1">
      <c r="A5838" s="2114"/>
      <c r="B5838" s="568"/>
      <c r="C5838" s="568"/>
      <c r="D5838" s="568"/>
      <c r="E5838" s="188"/>
      <c r="F5838" s="188"/>
      <c r="G5838" s="2122"/>
      <c r="H5838" s="568"/>
      <c r="I5838" s="2118"/>
      <c r="J5838" s="2123"/>
      <c r="K5838" s="2123">
        <f>SUM(K5835:K5837)</f>
        <v>73.210000000000008</v>
      </c>
      <c r="L5838" s="192"/>
      <c r="M5838" s="568"/>
      <c r="Q5838" s="1709"/>
    </row>
    <row r="5839" spans="1:17" ht="12.75" hidden="1">
      <c r="A5839" s="2114"/>
      <c r="B5839" s="192" t="s">
        <v>3662</v>
      </c>
      <c r="C5839" s="568"/>
      <c r="D5839" s="568"/>
      <c r="E5839" s="188"/>
      <c r="F5839" s="188"/>
      <c r="G5839" s="2122"/>
      <c r="H5839" s="2135">
        <f>H5821</f>
        <v>7.4999999999999997E-2</v>
      </c>
      <c r="I5839" s="2134">
        <f>K5838</f>
        <v>73.210000000000008</v>
      </c>
      <c r="J5839" s="2134"/>
      <c r="K5839" s="2123">
        <f>ROUND(I5839*H5839,2)</f>
        <v>5.49</v>
      </c>
      <c r="L5839" s="192"/>
      <c r="M5839" s="568"/>
      <c r="Q5839" s="1709"/>
    </row>
    <row r="5840" spans="1:17" ht="12.75" hidden="1">
      <c r="A5840" s="2114"/>
      <c r="B5840" s="192" t="s">
        <v>3661</v>
      </c>
      <c r="C5840" s="568"/>
      <c r="D5840" s="568"/>
      <c r="E5840" s="188"/>
      <c r="F5840" s="188"/>
      <c r="G5840" s="2122"/>
      <c r="H5840" s="2135">
        <f>H5839</f>
        <v>7.4999999999999997E-2</v>
      </c>
      <c r="I5840" s="2134">
        <f>I5839</f>
        <v>73.210000000000008</v>
      </c>
      <c r="J5840" s="2134"/>
      <c r="K5840" s="2140">
        <f>ROUND(I5840*H5840,2)</f>
        <v>5.49</v>
      </c>
      <c r="L5840" s="192"/>
      <c r="M5840" s="568"/>
      <c r="Q5840" s="1709"/>
    </row>
    <row r="5841" spans="1:17" ht="12.75" hidden="1">
      <c r="A5841" s="2114"/>
      <c r="B5841" s="568"/>
      <c r="C5841" s="568"/>
      <c r="D5841" s="568"/>
      <c r="E5841" s="188"/>
      <c r="F5841" s="188"/>
      <c r="G5841" s="2122"/>
      <c r="H5841" s="568"/>
      <c r="I5841" s="2118"/>
      <c r="J5841" s="2123"/>
      <c r="K5841" s="2123">
        <f>SUM(K5838:K5840)</f>
        <v>84.19</v>
      </c>
      <c r="L5841" s="192"/>
      <c r="M5841" s="568"/>
      <c r="Q5841" s="1709"/>
    </row>
    <row r="5842" spans="1:17" ht="12.75" hidden="1">
      <c r="A5842" s="2114"/>
      <c r="B5842" s="192" t="s">
        <v>3738</v>
      </c>
      <c r="C5842" s="2142">
        <v>0.01</v>
      </c>
      <c r="D5842" s="568"/>
      <c r="E5842" s="188"/>
      <c r="F5842" s="188"/>
      <c r="G5842" s="2122"/>
      <c r="H5842" s="568"/>
      <c r="I5842" s="2118"/>
      <c r="J5842" s="2123"/>
      <c r="K5842" s="2140">
        <f>ROUND(K5841*C5842,2)</f>
        <v>0.84</v>
      </c>
      <c r="L5842" s="192"/>
      <c r="M5842" s="568"/>
      <c r="Q5842" s="1709"/>
    </row>
    <row r="5843" spans="1:17" ht="12.75" hidden="1">
      <c r="A5843" s="2114"/>
      <c r="B5843" s="568"/>
      <c r="C5843" s="568"/>
      <c r="D5843" s="568"/>
      <c r="E5843" s="188"/>
      <c r="F5843" s="188"/>
      <c r="G5843" s="2122"/>
      <c r="H5843" s="568"/>
      <c r="I5843" s="2118"/>
      <c r="J5843" s="2126" t="s">
        <v>718</v>
      </c>
      <c r="K5843" s="2124">
        <f>SUM(K5841:K5842)</f>
        <v>85.03</v>
      </c>
      <c r="L5843" s="192" t="s">
        <v>730</v>
      </c>
      <c r="M5843" s="568"/>
    </row>
    <row r="5844" spans="1:17" ht="12.75" hidden="1">
      <c r="A5844" s="2114" t="str">
        <f>A936</f>
        <v>(ii)</v>
      </c>
      <c r="B5844" s="192" t="str">
        <f>B936</f>
        <v>First Floor</v>
      </c>
      <c r="C5844" s="568"/>
      <c r="D5844" s="568"/>
      <c r="E5844" s="2120" t="str">
        <f>E5826</f>
        <v>Each Sqm</v>
      </c>
      <c r="F5844" s="2120"/>
      <c r="G5844" s="2122"/>
      <c r="H5844" s="568"/>
      <c r="I5844" s="2118"/>
      <c r="J5844" s="2123"/>
      <c r="K5844" s="2123"/>
      <c r="L5844" s="192"/>
      <c r="M5844" s="568"/>
    </row>
    <row r="5845" spans="1:17" ht="12.75" hidden="1">
      <c r="A5845" s="2114"/>
      <c r="B5845" s="568" t="s">
        <v>722</v>
      </c>
      <c r="C5845" s="568"/>
      <c r="D5845" s="568"/>
      <c r="E5845" s="188"/>
      <c r="F5845" s="188"/>
      <c r="G5845" s="2122"/>
      <c r="H5845" s="568"/>
      <c r="I5845" s="2118"/>
      <c r="J5845" s="2123"/>
      <c r="K5845" s="2123">
        <f>K5841</f>
        <v>84.19</v>
      </c>
      <c r="L5845" s="192"/>
      <c r="M5845" s="568"/>
    </row>
    <row r="5846" spans="1:17" ht="12.75" hidden="1">
      <c r="A5846" s="2114"/>
      <c r="B5846" s="568" t="s">
        <v>723</v>
      </c>
      <c r="C5846" s="568"/>
      <c r="D5846" s="568"/>
      <c r="E5846" s="188"/>
      <c r="F5846" s="188"/>
      <c r="G5846" s="2122"/>
      <c r="H5846" s="2125">
        <v>0.05</v>
      </c>
      <c r="I5846" s="2134">
        <f>K5831/10</f>
        <v>48.81</v>
      </c>
      <c r="J5846" s="2124"/>
      <c r="K5846" s="2123">
        <f>ROUND(I5846*H5846,2)</f>
        <v>2.44</v>
      </c>
      <c r="L5846" s="192"/>
      <c r="M5846" s="568"/>
    </row>
    <row r="5847" spans="1:17" ht="12.75" hidden="1">
      <c r="A5847" s="2114"/>
      <c r="B5847" s="192" t="s">
        <v>3662</v>
      </c>
      <c r="C5847" s="568"/>
      <c r="D5847" s="568"/>
      <c r="E5847" s="188"/>
      <c r="F5847" s="188"/>
      <c r="G5847" s="2122"/>
      <c r="H5847" s="2135">
        <f>H5840</f>
        <v>7.4999999999999997E-2</v>
      </c>
      <c r="I5847" s="2134">
        <f>K5846</f>
        <v>2.44</v>
      </c>
      <c r="J5847" s="2134"/>
      <c r="K5847" s="2123">
        <f>ROUND(I5847*H5847,2)</f>
        <v>0.18</v>
      </c>
      <c r="L5847" s="192"/>
      <c r="M5847" s="568"/>
    </row>
    <row r="5848" spans="1:17" ht="12.75" hidden="1">
      <c r="A5848" s="2114"/>
      <c r="B5848" s="192" t="s">
        <v>3661</v>
      </c>
      <c r="C5848" s="568"/>
      <c r="D5848" s="568"/>
      <c r="E5848" s="188"/>
      <c r="F5848" s="188"/>
      <c r="G5848" s="2122"/>
      <c r="H5848" s="2135">
        <f>H5847</f>
        <v>7.4999999999999997E-2</v>
      </c>
      <c r="I5848" s="2134">
        <f>I5847</f>
        <v>2.44</v>
      </c>
      <c r="J5848" s="2134"/>
      <c r="K5848" s="2140">
        <f>ROUND(I5848*H5848,2)</f>
        <v>0.18</v>
      </c>
      <c r="L5848" s="192"/>
      <c r="M5848" s="568"/>
    </row>
    <row r="5849" spans="1:17" ht="12.75" hidden="1">
      <c r="A5849" s="2114"/>
      <c r="B5849" s="568"/>
      <c r="C5849" s="568"/>
      <c r="D5849" s="568"/>
      <c r="E5849" s="188"/>
      <c r="F5849" s="188"/>
      <c r="G5849" s="2122"/>
      <c r="H5849" s="568"/>
      <c r="I5849" s="2118"/>
      <c r="J5849" s="2123"/>
      <c r="K5849" s="2123">
        <f>SUM(K5845:K5848)</f>
        <v>86.990000000000009</v>
      </c>
      <c r="L5849" s="192"/>
      <c r="M5849" s="568"/>
    </row>
    <row r="5850" spans="1:17" ht="12.75" hidden="1">
      <c r="A5850" s="2114"/>
      <c r="B5850" s="192" t="s">
        <v>3738</v>
      </c>
      <c r="C5850" s="2142">
        <v>0.01</v>
      </c>
      <c r="D5850" s="568"/>
      <c r="E5850" s="188"/>
      <c r="F5850" s="188"/>
      <c r="G5850" s="2122"/>
      <c r="H5850" s="568"/>
      <c r="I5850" s="2118"/>
      <c r="J5850" s="2123"/>
      <c r="K5850" s="2140">
        <f>ROUND(K5849*C5850,2)</f>
        <v>0.87</v>
      </c>
      <c r="L5850" s="192"/>
      <c r="M5850" s="568"/>
    </row>
    <row r="5851" spans="1:17" ht="12.75" hidden="1">
      <c r="A5851" s="2114"/>
      <c r="B5851" s="568"/>
      <c r="C5851" s="568"/>
      <c r="D5851" s="568"/>
      <c r="E5851" s="188"/>
      <c r="F5851" s="188"/>
      <c r="G5851" s="2122"/>
      <c r="H5851" s="568"/>
      <c r="I5851" s="2118"/>
      <c r="J5851" s="2126" t="s">
        <v>718</v>
      </c>
      <c r="K5851" s="2124">
        <f>SUM(K5849:K5850)</f>
        <v>87.860000000000014</v>
      </c>
      <c r="L5851" s="192" t="s">
        <v>730</v>
      </c>
      <c r="M5851" s="568"/>
    </row>
    <row r="5852" spans="1:17" ht="12.75" hidden="1">
      <c r="A5852" s="2114" t="str">
        <f>A937</f>
        <v>(iii)</v>
      </c>
      <c r="B5852" s="192" t="str">
        <f>B937</f>
        <v>2nd Floor</v>
      </c>
      <c r="C5852" s="568"/>
      <c r="D5852" s="568"/>
      <c r="E5852" s="2120" t="str">
        <f>E5844</f>
        <v>Each Sqm</v>
      </c>
      <c r="F5852" s="2120"/>
      <c r="G5852" s="2122"/>
      <c r="H5852" s="568"/>
      <c r="I5852" s="2118"/>
      <c r="J5852" s="2123"/>
      <c r="K5852" s="2123"/>
      <c r="L5852" s="192"/>
      <c r="M5852" s="568"/>
    </row>
    <row r="5853" spans="1:17" ht="12.75" hidden="1">
      <c r="A5853" s="2114"/>
      <c r="B5853" s="568" t="s">
        <v>722</v>
      </c>
      <c r="C5853" s="568"/>
      <c r="D5853" s="568"/>
      <c r="E5853" s="188"/>
      <c r="F5853" s="188"/>
      <c r="G5853" s="2122"/>
      <c r="H5853" s="568"/>
      <c r="I5853" s="2118"/>
      <c r="J5853" s="2123"/>
      <c r="K5853" s="2123">
        <f>K5849</f>
        <v>86.990000000000009</v>
      </c>
      <c r="L5853" s="192"/>
      <c r="M5853" s="568"/>
    </row>
    <row r="5854" spans="1:17" ht="12.75" hidden="1">
      <c r="A5854" s="2114"/>
      <c r="B5854" s="568" t="s">
        <v>723</v>
      </c>
      <c r="C5854" s="568"/>
      <c r="D5854" s="568"/>
      <c r="E5854" s="188"/>
      <c r="F5854" s="188"/>
      <c r="G5854" s="2122"/>
      <c r="H5854" s="2125">
        <f>H5846</f>
        <v>0.05</v>
      </c>
      <c r="I5854" s="2134">
        <f>I5846+K5846</f>
        <v>51.25</v>
      </c>
      <c r="J5854" s="2124"/>
      <c r="K5854" s="2123">
        <f>ROUND(I5854*H5854,2)</f>
        <v>2.56</v>
      </c>
      <c r="L5854" s="192"/>
      <c r="M5854" s="568"/>
    </row>
    <row r="5855" spans="1:17" ht="12.75" hidden="1">
      <c r="A5855" s="2114"/>
      <c r="B5855" s="192" t="s">
        <v>3662</v>
      </c>
      <c r="C5855" s="568"/>
      <c r="D5855" s="568"/>
      <c r="E5855" s="188"/>
      <c r="F5855" s="188"/>
      <c r="G5855" s="2122"/>
      <c r="H5855" s="2135">
        <f>H5848</f>
        <v>7.4999999999999997E-2</v>
      </c>
      <c r="I5855" s="2134">
        <f>K5854</f>
        <v>2.56</v>
      </c>
      <c r="J5855" s="2134"/>
      <c r="K5855" s="2123">
        <f>ROUND(I5855*H5855,2)</f>
        <v>0.19</v>
      </c>
      <c r="L5855" s="192"/>
      <c r="M5855" s="568"/>
    </row>
    <row r="5856" spans="1:17" ht="12.75" hidden="1">
      <c r="A5856" s="2114"/>
      <c r="B5856" s="192" t="s">
        <v>3661</v>
      </c>
      <c r="C5856" s="568"/>
      <c r="D5856" s="568"/>
      <c r="E5856" s="188"/>
      <c r="F5856" s="188"/>
      <c r="G5856" s="2122"/>
      <c r="H5856" s="2135">
        <f>H5855</f>
        <v>7.4999999999999997E-2</v>
      </c>
      <c r="I5856" s="2134">
        <f>I5855</f>
        <v>2.56</v>
      </c>
      <c r="J5856" s="2134"/>
      <c r="K5856" s="2140">
        <f>ROUND(I5856*H5856,2)</f>
        <v>0.19</v>
      </c>
      <c r="L5856" s="192"/>
      <c r="M5856" s="568"/>
    </row>
    <row r="5857" spans="1:13" ht="12.75" hidden="1">
      <c r="A5857" s="2114"/>
      <c r="B5857" s="568"/>
      <c r="C5857" s="568"/>
      <c r="D5857" s="568"/>
      <c r="E5857" s="188"/>
      <c r="F5857" s="188"/>
      <c r="G5857" s="2122"/>
      <c r="H5857" s="568"/>
      <c r="I5857" s="2118"/>
      <c r="J5857" s="2123"/>
      <c r="K5857" s="2123">
        <f>SUM(K5853:K5856)</f>
        <v>89.93</v>
      </c>
      <c r="L5857" s="192"/>
      <c r="M5857" s="568"/>
    </row>
    <row r="5858" spans="1:13" ht="12.75" hidden="1">
      <c r="A5858" s="2114"/>
      <c r="B5858" s="192" t="s">
        <v>3738</v>
      </c>
      <c r="C5858" s="2142">
        <v>0.01</v>
      </c>
      <c r="D5858" s="568"/>
      <c r="E5858" s="188"/>
      <c r="F5858" s="188"/>
      <c r="G5858" s="2122"/>
      <c r="H5858" s="568"/>
      <c r="I5858" s="2118"/>
      <c r="J5858" s="2123"/>
      <c r="K5858" s="2140">
        <f>ROUND(K5857*C5858,2)</f>
        <v>0.9</v>
      </c>
      <c r="L5858" s="192"/>
      <c r="M5858" s="568"/>
    </row>
    <row r="5859" spans="1:13" ht="12.75" hidden="1">
      <c r="A5859" s="2114"/>
      <c r="B5859" s="568"/>
      <c r="C5859" s="568"/>
      <c r="D5859" s="568"/>
      <c r="E5859" s="188"/>
      <c r="F5859" s="188"/>
      <c r="G5859" s="2122"/>
      <c r="H5859" s="568"/>
      <c r="I5859" s="2118"/>
      <c r="J5859" s="2126" t="s">
        <v>718</v>
      </c>
      <c r="K5859" s="2124">
        <f>SUM(K5857:K5858)</f>
        <v>90.830000000000013</v>
      </c>
      <c r="L5859" s="192" t="s">
        <v>730</v>
      </c>
      <c r="M5859" s="568"/>
    </row>
    <row r="5860" spans="1:13" ht="12.75" hidden="1">
      <c r="A5860" s="2114" t="str">
        <f>A938</f>
        <v>(iv)</v>
      </c>
      <c r="B5860" s="192" t="str">
        <f>B938</f>
        <v>3rd Floor</v>
      </c>
      <c r="C5860" s="568"/>
      <c r="D5860" s="568"/>
      <c r="E5860" s="2120" t="str">
        <f>E5852</f>
        <v>Each Sqm</v>
      </c>
      <c r="F5860" s="2120"/>
      <c r="G5860" s="2122"/>
      <c r="H5860" s="568"/>
      <c r="I5860" s="2118"/>
      <c r="J5860" s="2123"/>
      <c r="K5860" s="2123"/>
      <c r="L5860" s="192"/>
      <c r="M5860" s="568"/>
    </row>
    <row r="5861" spans="1:13" ht="12.75" hidden="1">
      <c r="A5861" s="2114"/>
      <c r="B5861" s="568" t="s">
        <v>722</v>
      </c>
      <c r="C5861" s="568"/>
      <c r="D5861" s="568"/>
      <c r="E5861" s="188"/>
      <c r="F5861" s="188"/>
      <c r="G5861" s="2122"/>
      <c r="H5861" s="568"/>
      <c r="I5861" s="2118"/>
      <c r="J5861" s="2123"/>
      <c r="K5861" s="2123">
        <f>K5857</f>
        <v>89.93</v>
      </c>
      <c r="L5861" s="192"/>
      <c r="M5861" s="568"/>
    </row>
    <row r="5862" spans="1:13" ht="12.75" hidden="1">
      <c r="A5862" s="2114"/>
      <c r="B5862" s="568" t="s">
        <v>723</v>
      </c>
      <c r="C5862" s="568"/>
      <c r="D5862" s="568"/>
      <c r="E5862" s="188"/>
      <c r="F5862" s="188"/>
      <c r="G5862" s="2122"/>
      <c r="H5862" s="2125">
        <f>H5854</f>
        <v>0.05</v>
      </c>
      <c r="I5862" s="2134">
        <f>I5854+K5854</f>
        <v>53.81</v>
      </c>
      <c r="J5862" s="2124"/>
      <c r="K5862" s="2123">
        <f>ROUND(I5862*H5862,2)</f>
        <v>2.69</v>
      </c>
      <c r="L5862" s="192"/>
      <c r="M5862" s="568"/>
    </row>
    <row r="5863" spans="1:13" ht="12.75" hidden="1">
      <c r="A5863" s="2114"/>
      <c r="B5863" s="192" t="s">
        <v>3662</v>
      </c>
      <c r="C5863" s="568"/>
      <c r="D5863" s="568"/>
      <c r="E5863" s="188"/>
      <c r="F5863" s="188"/>
      <c r="G5863" s="2122"/>
      <c r="H5863" s="2135">
        <f>H5856</f>
        <v>7.4999999999999997E-2</v>
      </c>
      <c r="I5863" s="2134">
        <f>K5862</f>
        <v>2.69</v>
      </c>
      <c r="J5863" s="2134"/>
      <c r="K5863" s="2123">
        <f>ROUND(I5863*H5863,2)</f>
        <v>0.2</v>
      </c>
      <c r="L5863" s="192"/>
      <c r="M5863" s="568"/>
    </row>
    <row r="5864" spans="1:13" ht="12.75" hidden="1">
      <c r="A5864" s="2114"/>
      <c r="B5864" s="192" t="s">
        <v>3661</v>
      </c>
      <c r="C5864" s="568"/>
      <c r="D5864" s="568"/>
      <c r="E5864" s="188"/>
      <c r="F5864" s="188"/>
      <c r="G5864" s="2122"/>
      <c r="H5864" s="2135">
        <f>H5863</f>
        <v>7.4999999999999997E-2</v>
      </c>
      <c r="I5864" s="2134">
        <f>I5863</f>
        <v>2.69</v>
      </c>
      <c r="J5864" s="2134"/>
      <c r="K5864" s="2140">
        <f>ROUND(I5864*H5864,2)</f>
        <v>0.2</v>
      </c>
      <c r="L5864" s="192"/>
      <c r="M5864" s="568"/>
    </row>
    <row r="5865" spans="1:13" ht="12.75" hidden="1">
      <c r="A5865" s="2114"/>
      <c r="B5865" s="568"/>
      <c r="C5865" s="568"/>
      <c r="D5865" s="568"/>
      <c r="E5865" s="188"/>
      <c r="F5865" s="188"/>
      <c r="G5865" s="2122"/>
      <c r="H5865" s="568"/>
      <c r="I5865" s="2118"/>
      <c r="J5865" s="2123"/>
      <c r="K5865" s="2123">
        <f>SUM(K5861:K5864)</f>
        <v>93.02000000000001</v>
      </c>
      <c r="L5865" s="192"/>
      <c r="M5865" s="568"/>
    </row>
    <row r="5866" spans="1:13" ht="12.75" hidden="1">
      <c r="A5866" s="2114"/>
      <c r="B5866" s="192" t="s">
        <v>3738</v>
      </c>
      <c r="C5866" s="2142">
        <v>0.01</v>
      </c>
      <c r="D5866" s="568"/>
      <c r="E5866" s="188"/>
      <c r="F5866" s="188"/>
      <c r="G5866" s="2122"/>
      <c r="H5866" s="568"/>
      <c r="I5866" s="2118"/>
      <c r="J5866" s="2123"/>
      <c r="K5866" s="2140">
        <f>ROUND(K5865*C5866,2)</f>
        <v>0.93</v>
      </c>
      <c r="L5866" s="192"/>
      <c r="M5866" s="568"/>
    </row>
    <row r="5867" spans="1:13" ht="12.75" hidden="1">
      <c r="A5867" s="2114"/>
      <c r="B5867" s="568"/>
      <c r="C5867" s="568"/>
      <c r="D5867" s="568"/>
      <c r="E5867" s="188"/>
      <c r="F5867" s="188"/>
      <c r="G5867" s="2122"/>
      <c r="H5867" s="568"/>
      <c r="I5867" s="2118"/>
      <c r="J5867" s="2126" t="s">
        <v>718</v>
      </c>
      <c r="K5867" s="2124">
        <f>SUM(K5865:K5866)</f>
        <v>93.950000000000017</v>
      </c>
      <c r="L5867" s="192" t="s">
        <v>730</v>
      </c>
      <c r="M5867" s="568"/>
    </row>
    <row r="5868" spans="1:13" ht="40.700000000000003" customHeight="1">
      <c r="A5868" s="2114">
        <f>A939</f>
        <v>119</v>
      </c>
      <c r="B5868" s="3025" t="str">
        <f>B939</f>
        <v>Painting two coats with approved weather seal paints of approved colour, shade on wall surface over a coat of wall primer including sand papering, polishing the surface,  etc, complete as per specification &amp; direction of Engineer-in-charge.</v>
      </c>
      <c r="C5868" s="3025"/>
      <c r="D5868" s="3025"/>
      <c r="E5868" s="3025"/>
      <c r="F5868" s="3025"/>
      <c r="G5868" s="3025"/>
      <c r="H5868" s="3025"/>
      <c r="I5868" s="2118"/>
      <c r="J5868" s="2124"/>
      <c r="K5868" s="2124"/>
      <c r="L5868" s="192"/>
      <c r="M5868" s="568"/>
    </row>
    <row r="5869" spans="1:13" ht="12.75">
      <c r="A5869" s="2114" t="str">
        <f>A940</f>
        <v>(i)</v>
      </c>
      <c r="B5869" s="192" t="str">
        <f>B940</f>
        <v>Ground Floor</v>
      </c>
      <c r="C5869" s="568"/>
      <c r="D5869" s="568"/>
      <c r="E5869" s="2120" t="str">
        <f>G940</f>
        <v>Each Sqm</v>
      </c>
      <c r="F5869" s="2120"/>
      <c r="G5869" s="2122"/>
      <c r="H5869" s="568"/>
      <c r="I5869" s="2118"/>
      <c r="J5869" s="2123"/>
      <c r="K5869" s="2123"/>
      <c r="L5869" s="192"/>
      <c r="M5869" s="568"/>
    </row>
    <row r="5870" spans="1:13" ht="12.75">
      <c r="A5870" s="2114"/>
      <c r="B5870" s="192" t="s">
        <v>964</v>
      </c>
      <c r="C5870" s="568"/>
      <c r="D5870" s="568"/>
      <c r="E5870" s="188"/>
      <c r="F5870" s="188"/>
      <c r="G5870" s="2122"/>
      <c r="H5870" s="568"/>
      <c r="I5870" s="2118"/>
      <c r="J5870" s="2123"/>
      <c r="K5870" s="2123"/>
      <c r="L5870" s="192"/>
      <c r="M5870" s="568"/>
    </row>
    <row r="5871" spans="1:13" ht="12.75">
      <c r="A5871" s="2114"/>
      <c r="B5871" s="192" t="s">
        <v>954</v>
      </c>
      <c r="C5871" s="568"/>
      <c r="D5871" s="568"/>
      <c r="E5871" s="188"/>
      <c r="F5871" s="188"/>
      <c r="G5871" s="2122"/>
      <c r="H5871" s="568"/>
      <c r="I5871" s="2118"/>
      <c r="J5871" s="2123"/>
      <c r="K5871" s="2123"/>
      <c r="L5871" s="192"/>
      <c r="M5871" s="568"/>
    </row>
    <row r="5872" spans="1:13" ht="12.75">
      <c r="A5872" s="2114"/>
      <c r="B5872" s="568" t="s">
        <v>1237</v>
      </c>
      <c r="C5872" s="568"/>
      <c r="D5872" s="568"/>
      <c r="E5872" s="188"/>
      <c r="F5872" s="188"/>
      <c r="G5872" s="2122">
        <v>1.077</v>
      </c>
      <c r="H5872" s="568" t="s">
        <v>262</v>
      </c>
      <c r="I5872" s="2118" t="s">
        <v>38</v>
      </c>
      <c r="J5872" s="2123">
        <f>L137</f>
        <v>495</v>
      </c>
      <c r="K5872" s="2123">
        <f>ROUND(G5872*J5872,2)</f>
        <v>533.12</v>
      </c>
      <c r="L5872" s="192"/>
      <c r="M5872" s="568"/>
    </row>
    <row r="5873" spans="1:17" ht="12.75">
      <c r="A5873" s="2114"/>
      <c r="B5873" s="568" t="s">
        <v>717</v>
      </c>
      <c r="C5873" s="568"/>
      <c r="D5873" s="568"/>
      <c r="E5873" s="188"/>
      <c r="F5873" s="188"/>
      <c r="G5873" s="2122">
        <v>1.177</v>
      </c>
      <c r="H5873" s="568" t="s">
        <v>262</v>
      </c>
      <c r="I5873" s="2118" t="s">
        <v>38</v>
      </c>
      <c r="J5873" s="2123">
        <f>L134</f>
        <v>345</v>
      </c>
      <c r="K5873" s="2123">
        <f>ROUND(G5873*J5873,2)</f>
        <v>406.07</v>
      </c>
      <c r="L5873" s="192"/>
      <c r="M5873" s="568"/>
    </row>
    <row r="5874" spans="1:17" ht="12.75">
      <c r="A5874" s="2114"/>
      <c r="B5874" s="568"/>
      <c r="C5874" s="568"/>
      <c r="D5874" s="568"/>
      <c r="E5874" s="188"/>
      <c r="F5874" s="188"/>
      <c r="G5874" s="2122"/>
      <c r="H5874" s="568"/>
      <c r="I5874" s="2118"/>
      <c r="J5874" s="2123" t="s">
        <v>718</v>
      </c>
      <c r="K5874" s="2123">
        <f>SUM(K5872:K5873)</f>
        <v>939.19</v>
      </c>
      <c r="L5874" s="192"/>
      <c r="M5874" s="568"/>
    </row>
    <row r="5875" spans="1:17" ht="12.75">
      <c r="A5875" s="2114"/>
      <c r="B5875" s="192"/>
      <c r="C5875" s="568"/>
      <c r="D5875" s="568"/>
      <c r="E5875" s="188"/>
      <c r="F5875" s="188"/>
      <c r="G5875" s="2122"/>
      <c r="H5875" s="568"/>
      <c r="I5875" s="2118"/>
      <c r="J5875" s="2123"/>
      <c r="K5875" s="2123"/>
      <c r="L5875" s="192"/>
      <c r="M5875" s="568"/>
    </row>
    <row r="5876" spans="1:17" ht="12.75">
      <c r="A5876" s="2114"/>
      <c r="B5876" s="192" t="s">
        <v>1234</v>
      </c>
      <c r="C5876" s="568"/>
      <c r="D5876" s="568"/>
      <c r="E5876" s="188"/>
      <c r="F5876" s="188"/>
      <c r="G5876" s="2122"/>
      <c r="H5876" s="568"/>
      <c r="I5876" s="2118"/>
      <c r="J5876" s="2123"/>
      <c r="K5876" s="2123"/>
      <c r="L5876" s="192"/>
      <c r="M5876" s="568"/>
    </row>
    <row r="5877" spans="1:17" ht="12.75">
      <c r="A5877" s="2114"/>
      <c r="B5877" s="568" t="s">
        <v>967</v>
      </c>
      <c r="C5877" s="568"/>
      <c r="D5877" s="568"/>
      <c r="E5877" s="188"/>
      <c r="F5877" s="188"/>
      <c r="G5877" s="2122"/>
      <c r="H5877" s="568"/>
      <c r="I5877" s="2118"/>
      <c r="J5877" s="2123"/>
      <c r="K5877" s="2123">
        <f>K5874+K5875+K5876</f>
        <v>939.19</v>
      </c>
      <c r="L5877" s="192"/>
      <c r="M5877" s="568"/>
    </row>
    <row r="5878" spans="1:17" ht="12.75">
      <c r="A5878" s="2114"/>
      <c r="B5878" s="568" t="s">
        <v>1235</v>
      </c>
      <c r="C5878" s="568"/>
      <c r="D5878" s="568"/>
      <c r="E5878" s="188"/>
      <c r="F5878" s="188"/>
      <c r="G5878" s="2122"/>
      <c r="H5878" s="568"/>
      <c r="I5878" s="2118"/>
      <c r="J5878" s="2123"/>
      <c r="K5878" s="2123">
        <f>ROUND(K5877/10,2)</f>
        <v>93.92</v>
      </c>
      <c r="L5878" s="192"/>
      <c r="M5878" s="568"/>
    </row>
    <row r="5879" spans="1:17" ht="12.75">
      <c r="A5879" s="2114"/>
      <c r="B5879" s="568" t="s">
        <v>1241</v>
      </c>
      <c r="C5879" s="568"/>
      <c r="D5879" s="568"/>
      <c r="E5879" s="188"/>
      <c r="F5879" s="188"/>
      <c r="G5879" s="2122">
        <v>8.4000000000000005E-2</v>
      </c>
      <c r="H5879" s="568" t="s">
        <v>294</v>
      </c>
      <c r="I5879" s="2118" t="s">
        <v>294</v>
      </c>
      <c r="J5879" s="2123">
        <f>L94</f>
        <v>159.45622</v>
      </c>
      <c r="K5879" s="2123">
        <f>ROUND(G5879*J5879,2)</f>
        <v>13.39</v>
      </c>
      <c r="L5879" s="192"/>
      <c r="M5879" s="568"/>
      <c r="Q5879" s="1709">
        <f>M191</f>
        <v>159.03</v>
      </c>
    </row>
    <row r="5880" spans="1:17" ht="12.75">
      <c r="A5880" s="2114"/>
      <c r="B5880" s="568" t="s">
        <v>1240</v>
      </c>
      <c r="C5880" s="568"/>
      <c r="D5880" s="568"/>
      <c r="E5880" s="188"/>
      <c r="F5880" s="188"/>
      <c r="G5880" s="2122">
        <v>0.125</v>
      </c>
      <c r="H5880" s="568" t="s">
        <v>294</v>
      </c>
      <c r="I5880" s="2118" t="s">
        <v>294</v>
      </c>
      <c r="J5880" s="2123">
        <f>L92</f>
        <v>195.21621999999999</v>
      </c>
      <c r="K5880" s="2123">
        <f>ROUND(G5880*J5880,2)</f>
        <v>24.4</v>
      </c>
      <c r="L5880" s="192"/>
      <c r="M5880" s="568"/>
      <c r="Q5880" s="1709">
        <f>M193</f>
        <v>24.19</v>
      </c>
    </row>
    <row r="5881" spans="1:17" ht="12.75">
      <c r="A5881" s="2114"/>
      <c r="B5881" s="568"/>
      <c r="C5881" s="568"/>
      <c r="D5881" s="568"/>
      <c r="E5881" s="188"/>
      <c r="F5881" s="188"/>
      <c r="G5881" s="2122"/>
      <c r="H5881" s="568"/>
      <c r="I5881" s="2118"/>
      <c r="J5881" s="2123"/>
      <c r="K5881" s="2123">
        <f>SUM(K5878:K5880)</f>
        <v>131.71</v>
      </c>
      <c r="L5881" s="192"/>
      <c r="M5881" s="568"/>
      <c r="Q5881" s="1709"/>
    </row>
    <row r="5882" spans="1:17" ht="12.75">
      <c r="A5882" s="2114"/>
      <c r="B5882" s="192" t="s">
        <v>3662</v>
      </c>
      <c r="C5882" s="568"/>
      <c r="D5882" s="568"/>
      <c r="E5882" s="188"/>
      <c r="F5882" s="188"/>
      <c r="G5882" s="2122"/>
      <c r="H5882" s="2135">
        <f>H5864</f>
        <v>7.4999999999999997E-2</v>
      </c>
      <c r="I5882" s="2134">
        <f>K5881</f>
        <v>131.71</v>
      </c>
      <c r="J5882" s="2134"/>
      <c r="K5882" s="2123">
        <f>ROUND(I5882*H5882,2)</f>
        <v>9.8800000000000008</v>
      </c>
      <c r="L5882" s="192"/>
      <c r="M5882" s="568"/>
      <c r="Q5882" s="1709"/>
    </row>
    <row r="5883" spans="1:17" ht="12.75">
      <c r="A5883" s="2114"/>
      <c r="B5883" s="192" t="s">
        <v>3661</v>
      </c>
      <c r="C5883" s="568"/>
      <c r="D5883" s="568"/>
      <c r="E5883" s="188"/>
      <c r="F5883" s="188"/>
      <c r="G5883" s="2122"/>
      <c r="H5883" s="2135">
        <f>H5882</f>
        <v>7.4999999999999997E-2</v>
      </c>
      <c r="I5883" s="2134">
        <f>I5882</f>
        <v>131.71</v>
      </c>
      <c r="J5883" s="2134"/>
      <c r="K5883" s="2140">
        <f>ROUND(I5883*H5883,2)</f>
        <v>9.8800000000000008</v>
      </c>
      <c r="L5883" s="192"/>
      <c r="M5883" s="568"/>
      <c r="Q5883" s="1709"/>
    </row>
    <row r="5884" spans="1:17" ht="12.75">
      <c r="A5884" s="2114"/>
      <c r="B5884" s="568"/>
      <c r="C5884" s="568"/>
      <c r="D5884" s="568"/>
      <c r="E5884" s="188"/>
      <c r="F5884" s="188"/>
      <c r="G5884" s="2122"/>
      <c r="H5884" s="568"/>
      <c r="I5884" s="2118"/>
      <c r="J5884" s="2123"/>
      <c r="K5884" s="2123">
        <f>SUM(K5881:K5883)</f>
        <v>151.47</v>
      </c>
      <c r="L5884" s="192"/>
      <c r="M5884" s="568"/>
      <c r="Q5884" s="1709"/>
    </row>
    <row r="5885" spans="1:17" ht="12.75">
      <c r="A5885" s="2114"/>
      <c r="B5885" s="192" t="s">
        <v>3738</v>
      </c>
      <c r="C5885" s="2142">
        <v>0.01</v>
      </c>
      <c r="D5885" s="568"/>
      <c r="E5885" s="188"/>
      <c r="F5885" s="188"/>
      <c r="G5885" s="2122"/>
      <c r="H5885" s="568"/>
      <c r="I5885" s="2118"/>
      <c r="J5885" s="2123"/>
      <c r="K5885" s="2140">
        <f>ROUND(K5884*C5885,2)</f>
        <v>1.51</v>
      </c>
      <c r="L5885" s="192"/>
      <c r="M5885" s="568"/>
      <c r="Q5885" s="1709"/>
    </row>
    <row r="5886" spans="1:17" ht="12.75">
      <c r="A5886" s="2114"/>
      <c r="B5886" s="568"/>
      <c r="C5886" s="568"/>
      <c r="D5886" s="568"/>
      <c r="E5886" s="188"/>
      <c r="F5886" s="188"/>
      <c r="G5886" s="2122"/>
      <c r="H5886" s="568"/>
      <c r="I5886" s="2118"/>
      <c r="J5886" s="2126" t="s">
        <v>718</v>
      </c>
      <c r="K5886" s="2124">
        <f>SUM(K5884:K5885)</f>
        <v>152.97999999999999</v>
      </c>
      <c r="L5886" s="192" t="s">
        <v>730</v>
      </c>
      <c r="M5886" s="568"/>
    </row>
    <row r="5887" spans="1:17" ht="12.75" hidden="1">
      <c r="A5887" s="2114" t="str">
        <f>A941</f>
        <v>(ii)</v>
      </c>
      <c r="B5887" s="192" t="str">
        <f>B941</f>
        <v>First Floor</v>
      </c>
      <c r="C5887" s="568"/>
      <c r="D5887" s="568"/>
      <c r="E5887" s="2120" t="str">
        <f>E5869</f>
        <v>Each Sqm</v>
      </c>
      <c r="F5887" s="2120"/>
      <c r="G5887" s="2122"/>
      <c r="H5887" s="568"/>
      <c r="I5887" s="2118"/>
      <c r="J5887" s="2123"/>
      <c r="K5887" s="2123"/>
      <c r="L5887" s="192"/>
      <c r="M5887" s="568"/>
    </row>
    <row r="5888" spans="1:17" ht="12.75" hidden="1">
      <c r="A5888" s="2114"/>
      <c r="B5888" s="568" t="s">
        <v>722</v>
      </c>
      <c r="C5888" s="568"/>
      <c r="D5888" s="568"/>
      <c r="E5888" s="188"/>
      <c r="F5888" s="188"/>
      <c r="G5888" s="2122"/>
      <c r="H5888" s="568"/>
      <c r="I5888" s="2118"/>
      <c r="J5888" s="2123"/>
      <c r="K5888" s="2123">
        <f>K5884</f>
        <v>151.47</v>
      </c>
      <c r="L5888" s="192"/>
      <c r="M5888" s="568"/>
    </row>
    <row r="5889" spans="1:13" ht="12.75" hidden="1">
      <c r="A5889" s="2114"/>
      <c r="B5889" s="568" t="s">
        <v>723</v>
      </c>
      <c r="C5889" s="568"/>
      <c r="D5889" s="568"/>
      <c r="E5889" s="188"/>
      <c r="F5889" s="188"/>
      <c r="G5889" s="2122"/>
      <c r="H5889" s="2125">
        <v>0.05</v>
      </c>
      <c r="I5889" s="2134">
        <f>K5874/10</f>
        <v>93.919000000000011</v>
      </c>
      <c r="J5889" s="2124"/>
      <c r="K5889" s="2123">
        <f>ROUND(I5889*H5889,2)</f>
        <v>4.7</v>
      </c>
      <c r="L5889" s="192"/>
      <c r="M5889" s="568"/>
    </row>
    <row r="5890" spans="1:13" ht="12.75" hidden="1">
      <c r="A5890" s="2114"/>
      <c r="B5890" s="192" t="s">
        <v>3662</v>
      </c>
      <c r="C5890" s="568"/>
      <c r="D5890" s="568"/>
      <c r="E5890" s="188"/>
      <c r="F5890" s="188"/>
      <c r="G5890" s="2122"/>
      <c r="H5890" s="2135">
        <f>H5883</f>
        <v>7.4999999999999997E-2</v>
      </c>
      <c r="I5890" s="2134">
        <f>K5889</f>
        <v>4.7</v>
      </c>
      <c r="J5890" s="2134"/>
      <c r="K5890" s="2123">
        <f>ROUND(I5890*H5890,2)</f>
        <v>0.35</v>
      </c>
      <c r="L5890" s="192"/>
      <c r="M5890" s="568"/>
    </row>
    <row r="5891" spans="1:13" ht="12.75" hidden="1">
      <c r="A5891" s="2114"/>
      <c r="B5891" s="192" t="s">
        <v>3661</v>
      </c>
      <c r="C5891" s="568"/>
      <c r="D5891" s="568"/>
      <c r="E5891" s="188"/>
      <c r="F5891" s="188"/>
      <c r="G5891" s="2122"/>
      <c r="H5891" s="2135">
        <f>H5890</f>
        <v>7.4999999999999997E-2</v>
      </c>
      <c r="I5891" s="2134">
        <f>I5890</f>
        <v>4.7</v>
      </c>
      <c r="J5891" s="2134"/>
      <c r="K5891" s="2140">
        <f>ROUND(I5891*H5891,2)</f>
        <v>0.35</v>
      </c>
      <c r="L5891" s="192"/>
      <c r="M5891" s="568"/>
    </row>
    <row r="5892" spans="1:13" ht="12.75" hidden="1">
      <c r="A5892" s="2114"/>
      <c r="B5892" s="568"/>
      <c r="C5892" s="568"/>
      <c r="D5892" s="568"/>
      <c r="E5892" s="188"/>
      <c r="F5892" s="188"/>
      <c r="G5892" s="2122"/>
      <c r="H5892" s="568"/>
      <c r="I5892" s="2118"/>
      <c r="J5892" s="2123"/>
      <c r="K5892" s="2123">
        <f>SUM(K5888:K5891)</f>
        <v>156.86999999999998</v>
      </c>
      <c r="L5892" s="192"/>
      <c r="M5892" s="568"/>
    </row>
    <row r="5893" spans="1:13" ht="12.75" hidden="1">
      <c r="A5893" s="2114"/>
      <c r="B5893" s="192" t="s">
        <v>3738</v>
      </c>
      <c r="C5893" s="2142">
        <v>0.01</v>
      </c>
      <c r="D5893" s="568"/>
      <c r="E5893" s="188"/>
      <c r="F5893" s="188"/>
      <c r="G5893" s="2122"/>
      <c r="H5893" s="568"/>
      <c r="I5893" s="2118"/>
      <c r="J5893" s="2123"/>
      <c r="K5893" s="2140">
        <f>ROUND(K5892*C5893,2)</f>
        <v>1.57</v>
      </c>
      <c r="L5893" s="192"/>
      <c r="M5893" s="568"/>
    </row>
    <row r="5894" spans="1:13" ht="12.75" hidden="1">
      <c r="A5894" s="2114"/>
      <c r="B5894" s="568"/>
      <c r="C5894" s="568"/>
      <c r="D5894" s="568"/>
      <c r="E5894" s="188"/>
      <c r="F5894" s="188"/>
      <c r="G5894" s="2122"/>
      <c r="H5894" s="568"/>
      <c r="I5894" s="2118"/>
      <c r="J5894" s="2126" t="s">
        <v>718</v>
      </c>
      <c r="K5894" s="2124">
        <f>SUM(K5892:K5893)</f>
        <v>158.43999999999997</v>
      </c>
      <c r="L5894" s="192" t="s">
        <v>730</v>
      </c>
      <c r="M5894" s="568"/>
    </row>
    <row r="5895" spans="1:13" ht="12.75" hidden="1">
      <c r="A5895" s="2114" t="str">
        <f>A942</f>
        <v>(iii)</v>
      </c>
      <c r="B5895" s="192" t="str">
        <f>B943</f>
        <v>3rd Floor</v>
      </c>
      <c r="C5895" s="568"/>
      <c r="D5895" s="568"/>
      <c r="E5895" s="2120" t="str">
        <f>E5887</f>
        <v>Each Sqm</v>
      </c>
      <c r="F5895" s="2120"/>
      <c r="G5895" s="2122"/>
      <c r="H5895" s="568"/>
      <c r="I5895" s="2118"/>
      <c r="J5895" s="2123"/>
      <c r="K5895" s="2123"/>
      <c r="L5895" s="192"/>
      <c r="M5895" s="568"/>
    </row>
    <row r="5896" spans="1:13" ht="12.75" hidden="1">
      <c r="A5896" s="2114"/>
      <c r="B5896" s="568" t="s">
        <v>722</v>
      </c>
      <c r="C5896" s="568"/>
      <c r="D5896" s="568"/>
      <c r="E5896" s="188"/>
      <c r="F5896" s="188"/>
      <c r="G5896" s="2122"/>
      <c r="H5896" s="568"/>
      <c r="I5896" s="2118"/>
      <c r="J5896" s="2123"/>
      <c r="K5896" s="2123">
        <f>K5892</f>
        <v>156.86999999999998</v>
      </c>
      <c r="L5896" s="192"/>
      <c r="M5896" s="568"/>
    </row>
    <row r="5897" spans="1:13" ht="12.75" hidden="1">
      <c r="A5897" s="2114"/>
      <c r="B5897" s="568" t="s">
        <v>723</v>
      </c>
      <c r="C5897" s="568"/>
      <c r="D5897" s="568"/>
      <c r="E5897" s="188"/>
      <c r="F5897" s="188"/>
      <c r="G5897" s="2122"/>
      <c r="H5897" s="2125">
        <f>H5889</f>
        <v>0.05</v>
      </c>
      <c r="I5897" s="2134">
        <f>I5889+K5889</f>
        <v>98.619000000000014</v>
      </c>
      <c r="J5897" s="2124"/>
      <c r="K5897" s="2123">
        <f>ROUND(I5897*H5897,2)</f>
        <v>4.93</v>
      </c>
      <c r="L5897" s="192"/>
      <c r="M5897" s="568"/>
    </row>
    <row r="5898" spans="1:13" ht="12.75" hidden="1">
      <c r="A5898" s="2114"/>
      <c r="B5898" s="192" t="s">
        <v>3662</v>
      </c>
      <c r="C5898" s="568"/>
      <c r="D5898" s="568"/>
      <c r="E5898" s="188"/>
      <c r="F5898" s="188"/>
      <c r="G5898" s="2122"/>
      <c r="H5898" s="2135">
        <f>H5891</f>
        <v>7.4999999999999997E-2</v>
      </c>
      <c r="I5898" s="2134">
        <f>K5897</f>
        <v>4.93</v>
      </c>
      <c r="J5898" s="2134"/>
      <c r="K5898" s="2123">
        <f>ROUND(I5898*H5898,2)</f>
        <v>0.37</v>
      </c>
      <c r="L5898" s="192"/>
      <c r="M5898" s="568"/>
    </row>
    <row r="5899" spans="1:13" ht="12.75" hidden="1">
      <c r="A5899" s="2114"/>
      <c r="B5899" s="192" t="s">
        <v>3661</v>
      </c>
      <c r="C5899" s="568"/>
      <c r="D5899" s="568"/>
      <c r="E5899" s="188"/>
      <c r="F5899" s="188"/>
      <c r="G5899" s="2122"/>
      <c r="H5899" s="2135">
        <f>H5898</f>
        <v>7.4999999999999997E-2</v>
      </c>
      <c r="I5899" s="2134">
        <f>I5898</f>
        <v>4.93</v>
      </c>
      <c r="J5899" s="2134"/>
      <c r="K5899" s="2140">
        <f>ROUND(I5899*H5899,2)</f>
        <v>0.37</v>
      </c>
      <c r="L5899" s="192"/>
      <c r="M5899" s="568"/>
    </row>
    <row r="5900" spans="1:13" ht="12.75" hidden="1">
      <c r="A5900" s="2114"/>
      <c r="B5900" s="568"/>
      <c r="C5900" s="568"/>
      <c r="D5900" s="568"/>
      <c r="E5900" s="188"/>
      <c r="F5900" s="188"/>
      <c r="G5900" s="2122"/>
      <c r="H5900" s="568"/>
      <c r="I5900" s="2118"/>
      <c r="J5900" s="2123"/>
      <c r="K5900" s="2123">
        <f>SUM(K5896:K5899)</f>
        <v>162.54</v>
      </c>
      <c r="L5900" s="192"/>
      <c r="M5900" s="568"/>
    </row>
    <row r="5901" spans="1:13" ht="12.75" hidden="1">
      <c r="A5901" s="2114"/>
      <c r="B5901" s="192" t="s">
        <v>3738</v>
      </c>
      <c r="C5901" s="2142">
        <v>0.01</v>
      </c>
      <c r="D5901" s="568"/>
      <c r="E5901" s="188"/>
      <c r="F5901" s="188"/>
      <c r="G5901" s="2122"/>
      <c r="H5901" s="568"/>
      <c r="I5901" s="2118"/>
      <c r="J5901" s="2123"/>
      <c r="K5901" s="2140">
        <f>ROUND(K5900*C5901,2)</f>
        <v>1.63</v>
      </c>
      <c r="L5901" s="192"/>
      <c r="M5901" s="568"/>
    </row>
    <row r="5902" spans="1:13" ht="12.75" hidden="1">
      <c r="A5902" s="2114"/>
      <c r="B5902" s="568"/>
      <c r="C5902" s="568"/>
      <c r="D5902" s="568"/>
      <c r="E5902" s="188"/>
      <c r="F5902" s="188"/>
      <c r="G5902" s="2122"/>
      <c r="H5902" s="568"/>
      <c r="I5902" s="2118"/>
      <c r="J5902" s="2126" t="s">
        <v>718</v>
      </c>
      <c r="K5902" s="2124">
        <f>SUM(K5900:K5901)</f>
        <v>164.17</v>
      </c>
      <c r="L5902" s="192" t="s">
        <v>730</v>
      </c>
      <c r="M5902" s="568"/>
    </row>
    <row r="5903" spans="1:13" ht="12.75" hidden="1">
      <c r="A5903" s="2114" t="str">
        <f>A943</f>
        <v>(iv)</v>
      </c>
      <c r="B5903" s="192" t="str">
        <f>B943</f>
        <v>3rd Floor</v>
      </c>
      <c r="C5903" s="568"/>
      <c r="D5903" s="568"/>
      <c r="E5903" s="2120" t="str">
        <f>E5895</f>
        <v>Each Sqm</v>
      </c>
      <c r="F5903" s="2120"/>
      <c r="G5903" s="2122"/>
      <c r="H5903" s="568"/>
      <c r="I5903" s="2118"/>
      <c r="J5903" s="2123"/>
      <c r="K5903" s="2123"/>
      <c r="L5903" s="192"/>
      <c r="M5903" s="568"/>
    </row>
    <row r="5904" spans="1:13" ht="12.75" hidden="1">
      <c r="A5904" s="2114"/>
      <c r="B5904" s="568" t="s">
        <v>722</v>
      </c>
      <c r="C5904" s="568"/>
      <c r="D5904" s="568"/>
      <c r="E5904" s="188"/>
      <c r="F5904" s="188"/>
      <c r="G5904" s="2122"/>
      <c r="H5904" s="568"/>
      <c r="I5904" s="2118"/>
      <c r="J5904" s="2123"/>
      <c r="K5904" s="2123">
        <f>K5900</f>
        <v>162.54</v>
      </c>
      <c r="L5904" s="192"/>
      <c r="M5904" s="568"/>
    </row>
    <row r="5905" spans="1:13" ht="12.75" hidden="1">
      <c r="A5905" s="2114"/>
      <c r="B5905" s="568" t="s">
        <v>723</v>
      </c>
      <c r="C5905" s="568"/>
      <c r="D5905" s="568"/>
      <c r="E5905" s="188"/>
      <c r="F5905" s="188"/>
      <c r="G5905" s="2122"/>
      <c r="H5905" s="2125">
        <f>H5897</f>
        <v>0.05</v>
      </c>
      <c r="I5905" s="2134">
        <f>I5897+K5897</f>
        <v>103.54900000000001</v>
      </c>
      <c r="J5905" s="2124"/>
      <c r="K5905" s="2123">
        <f>ROUND(I5905*H5905,2)</f>
        <v>5.18</v>
      </c>
      <c r="L5905" s="192"/>
      <c r="M5905" s="568"/>
    </row>
    <row r="5906" spans="1:13" ht="12.75" hidden="1">
      <c r="A5906" s="2114"/>
      <c r="B5906" s="192" t="s">
        <v>3662</v>
      </c>
      <c r="C5906" s="568"/>
      <c r="D5906" s="568"/>
      <c r="E5906" s="188"/>
      <c r="F5906" s="188"/>
      <c r="G5906" s="2122"/>
      <c r="H5906" s="2135">
        <f>H5899</f>
        <v>7.4999999999999997E-2</v>
      </c>
      <c r="I5906" s="2134">
        <f>K5905</f>
        <v>5.18</v>
      </c>
      <c r="J5906" s="2134"/>
      <c r="K5906" s="2123">
        <f>ROUND(I5906*H5906,2)</f>
        <v>0.39</v>
      </c>
      <c r="L5906" s="192"/>
      <c r="M5906" s="568"/>
    </row>
    <row r="5907" spans="1:13" ht="12.75" hidden="1">
      <c r="A5907" s="2114"/>
      <c r="B5907" s="192" t="s">
        <v>3661</v>
      </c>
      <c r="C5907" s="568"/>
      <c r="D5907" s="568"/>
      <c r="E5907" s="188"/>
      <c r="F5907" s="188"/>
      <c r="G5907" s="2122"/>
      <c r="H5907" s="2135">
        <f>H5906</f>
        <v>7.4999999999999997E-2</v>
      </c>
      <c r="I5907" s="2134">
        <f>I5906</f>
        <v>5.18</v>
      </c>
      <c r="J5907" s="2134"/>
      <c r="K5907" s="2140">
        <f>ROUND(I5907*H5907,2)</f>
        <v>0.39</v>
      </c>
      <c r="L5907" s="192"/>
      <c r="M5907" s="568"/>
    </row>
    <row r="5908" spans="1:13" ht="12.75" hidden="1">
      <c r="A5908" s="2114"/>
      <c r="B5908" s="568"/>
      <c r="C5908" s="568"/>
      <c r="D5908" s="568"/>
      <c r="E5908" s="188"/>
      <c r="F5908" s="188"/>
      <c r="G5908" s="2122"/>
      <c r="H5908" s="568"/>
      <c r="I5908" s="2118"/>
      <c r="J5908" s="2123"/>
      <c r="K5908" s="2123">
        <f>SUM(K5904:K5907)</f>
        <v>168.49999999999997</v>
      </c>
      <c r="L5908" s="192"/>
      <c r="M5908" s="568"/>
    </row>
    <row r="5909" spans="1:13" ht="12.75" hidden="1">
      <c r="A5909" s="2114"/>
      <c r="B5909" s="192" t="s">
        <v>3738</v>
      </c>
      <c r="C5909" s="2142">
        <v>0.01</v>
      </c>
      <c r="D5909" s="568"/>
      <c r="E5909" s="188"/>
      <c r="F5909" s="188"/>
      <c r="G5909" s="2122"/>
      <c r="H5909" s="568"/>
      <c r="I5909" s="2118"/>
      <c r="J5909" s="2123"/>
      <c r="K5909" s="2140">
        <f>ROUND(K5908*C5909,2)</f>
        <v>1.69</v>
      </c>
      <c r="L5909" s="192"/>
      <c r="M5909" s="568"/>
    </row>
    <row r="5910" spans="1:13" ht="12.75" hidden="1">
      <c r="A5910" s="2114"/>
      <c r="B5910" s="568"/>
      <c r="C5910" s="568"/>
      <c r="D5910" s="568"/>
      <c r="E5910" s="188"/>
      <c r="F5910" s="188"/>
      <c r="G5910" s="2122"/>
      <c r="H5910" s="568"/>
      <c r="I5910" s="2118"/>
      <c r="J5910" s="2126" t="s">
        <v>718</v>
      </c>
      <c r="K5910" s="2124">
        <f>SUM(K5908:K5909)</f>
        <v>170.18999999999997</v>
      </c>
      <c r="L5910" s="192" t="s">
        <v>730</v>
      </c>
      <c r="M5910" s="568"/>
    </row>
    <row r="5911" spans="1:13" ht="82.15" hidden="1" customHeight="1">
      <c r="A5911" s="2114">
        <f>A944</f>
        <v>120</v>
      </c>
      <c r="B5911" s="3017" t="str">
        <f>B944</f>
        <v xml:space="preserve">Finishing plastered surfaces with Plaster of Paris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v>
      </c>
      <c r="C5911" s="3017"/>
      <c r="D5911" s="3017"/>
      <c r="E5911" s="2116" t="str">
        <f>G944</f>
        <v>Each Sqm</v>
      </c>
      <c r="F5911" s="2116"/>
      <c r="G5911" s="2122"/>
      <c r="H5911" s="568"/>
      <c r="I5911" s="2118"/>
      <c r="J5911" s="2124"/>
      <c r="K5911" s="2124"/>
      <c r="L5911" s="192"/>
      <c r="M5911" s="568"/>
    </row>
    <row r="5912" spans="1:13" ht="12.75" hidden="1">
      <c r="A5912" s="2114" t="str">
        <f>A945</f>
        <v>(i)</v>
      </c>
      <c r="B5912" s="192" t="str">
        <f>B945</f>
        <v>Ground Floor</v>
      </c>
      <c r="C5912" s="568"/>
      <c r="D5912" s="568"/>
      <c r="E5912" s="2120" t="str">
        <f>G923</f>
        <v>Each Sqm</v>
      </c>
      <c r="F5912" s="2120"/>
      <c r="G5912" s="2122"/>
      <c r="H5912" s="568"/>
      <c r="I5912" s="2118"/>
      <c r="J5912" s="2123"/>
      <c r="K5912" s="2123"/>
      <c r="L5912" s="192"/>
      <c r="M5912" s="568"/>
    </row>
    <row r="5913" spans="1:13" ht="12.75" hidden="1">
      <c r="A5913" s="2114"/>
      <c r="B5913" s="192" t="s">
        <v>1242</v>
      </c>
      <c r="C5913" s="568"/>
      <c r="D5913" s="568"/>
      <c r="E5913" s="188"/>
      <c r="F5913" s="188"/>
      <c r="G5913" s="2122"/>
      <c r="H5913" s="568"/>
      <c r="I5913" s="2118"/>
      <c r="J5913" s="2123"/>
      <c r="K5913" s="2123"/>
      <c r="L5913" s="192"/>
      <c r="M5913" s="568"/>
    </row>
    <row r="5914" spans="1:13" ht="12.75" hidden="1">
      <c r="A5914" s="2114"/>
      <c r="B5914" s="192" t="s">
        <v>822</v>
      </c>
      <c r="C5914" s="568"/>
      <c r="D5914" s="568"/>
      <c r="E5914" s="188"/>
      <c r="F5914" s="188"/>
      <c r="G5914" s="2122"/>
      <c r="H5914" s="568"/>
      <c r="I5914" s="2118"/>
      <c r="J5914" s="2123"/>
      <c r="K5914" s="2123"/>
      <c r="L5914" s="192"/>
      <c r="M5914" s="568"/>
    </row>
    <row r="5915" spans="1:13" ht="12.75" hidden="1">
      <c r="A5915" s="2114"/>
      <c r="B5915" s="568" t="s">
        <v>118</v>
      </c>
      <c r="C5915" s="568"/>
      <c r="D5915" s="568"/>
      <c r="E5915" s="188"/>
      <c r="F5915" s="188"/>
      <c r="G5915" s="2122">
        <v>8</v>
      </c>
      <c r="H5915" s="568" t="s">
        <v>95</v>
      </c>
      <c r="I5915" s="2118" t="s">
        <v>95</v>
      </c>
      <c r="J5915" s="2123">
        <f>L91</f>
        <v>17.656220000000001</v>
      </c>
      <c r="K5915" s="2123">
        <f>ROUND(G5915*J5915,2)</f>
        <v>141.25</v>
      </c>
      <c r="L5915" s="192"/>
      <c r="M5915" s="568"/>
    </row>
    <row r="5916" spans="1:13" ht="12.75" hidden="1">
      <c r="A5916" s="2114"/>
      <c r="B5916" s="192" t="s">
        <v>904</v>
      </c>
      <c r="C5916" s="568"/>
      <c r="D5916" s="568"/>
      <c r="E5916" s="188"/>
      <c r="F5916" s="188"/>
      <c r="G5916" s="2122"/>
      <c r="H5916" s="568"/>
      <c r="I5916" s="2118"/>
      <c r="J5916" s="2123"/>
      <c r="K5916" s="2123"/>
      <c r="L5916" s="192"/>
      <c r="M5916" s="568"/>
    </row>
    <row r="5917" spans="1:13" ht="12.75" hidden="1">
      <c r="A5917" s="2114"/>
      <c r="B5917" s="568" t="s">
        <v>1243</v>
      </c>
      <c r="C5917" s="568"/>
      <c r="D5917" s="568"/>
      <c r="E5917" s="188"/>
      <c r="F5917" s="188"/>
      <c r="G5917" s="2122">
        <v>0.5</v>
      </c>
      <c r="H5917" s="568" t="s">
        <v>262</v>
      </c>
      <c r="I5917" s="2118" t="s">
        <v>38</v>
      </c>
      <c r="J5917" s="2123">
        <f>L136</f>
        <v>435</v>
      </c>
      <c r="K5917" s="2123">
        <f>ROUND(G5917*J5917,2)</f>
        <v>217.5</v>
      </c>
      <c r="L5917" s="192"/>
      <c r="M5917" s="568"/>
    </row>
    <row r="5918" spans="1:13" ht="12.75" hidden="1">
      <c r="A5918" s="2114"/>
      <c r="B5918" s="568" t="s">
        <v>717</v>
      </c>
      <c r="C5918" s="568"/>
      <c r="D5918" s="568"/>
      <c r="E5918" s="188"/>
      <c r="F5918" s="188"/>
      <c r="G5918" s="2122">
        <v>0.56999999999999995</v>
      </c>
      <c r="H5918" s="568" t="s">
        <v>262</v>
      </c>
      <c r="I5918" s="2118" t="s">
        <v>38</v>
      </c>
      <c r="J5918" s="2123">
        <f>L134</f>
        <v>345</v>
      </c>
      <c r="K5918" s="2123">
        <f>ROUND(G5918*J5918,2)</f>
        <v>196.65</v>
      </c>
      <c r="L5918" s="192"/>
      <c r="M5918" s="568"/>
    </row>
    <row r="5919" spans="1:13" ht="12.75" hidden="1">
      <c r="A5919" s="2114"/>
      <c r="B5919" s="568"/>
      <c r="C5919" s="568"/>
      <c r="D5919" s="568"/>
      <c r="E5919" s="188"/>
      <c r="F5919" s="188"/>
      <c r="G5919" s="2122"/>
      <c r="H5919" s="568"/>
      <c r="I5919" s="2118"/>
      <c r="J5919" s="2123" t="s">
        <v>718</v>
      </c>
      <c r="K5919" s="2123">
        <f>SUM(K5917:K5918)</f>
        <v>414.15</v>
      </c>
      <c r="L5919" s="192"/>
      <c r="M5919" s="568"/>
    </row>
    <row r="5920" spans="1:13" ht="12.75" hidden="1">
      <c r="A5920" s="2114"/>
      <c r="B5920" s="192" t="s">
        <v>760</v>
      </c>
      <c r="C5920" s="568"/>
      <c r="D5920" s="568"/>
      <c r="E5920" s="188"/>
      <c r="F5920" s="188"/>
      <c r="G5920" s="2122"/>
      <c r="H5920" s="568"/>
      <c r="I5920" s="2118"/>
      <c r="J5920" s="2123"/>
      <c r="K5920" s="2123">
        <f>K5915+K5919</f>
        <v>555.4</v>
      </c>
      <c r="L5920" s="192"/>
      <c r="M5920" s="568"/>
    </row>
    <row r="5921" spans="1:17" ht="12.75" hidden="1">
      <c r="A5921" s="2114"/>
      <c r="B5921" s="192"/>
      <c r="C5921" s="568"/>
      <c r="D5921" s="568"/>
      <c r="E5921" s="188"/>
      <c r="F5921" s="188"/>
      <c r="G5921" s="2122"/>
      <c r="H5921" s="568"/>
      <c r="I5921" s="2118"/>
      <c r="J5921" s="2123"/>
      <c r="K5921" s="2123"/>
      <c r="L5921" s="192"/>
      <c r="M5921" s="568"/>
    </row>
    <row r="5922" spans="1:17" ht="12.75" hidden="1">
      <c r="A5922" s="2114"/>
      <c r="B5922" s="568" t="s">
        <v>1244</v>
      </c>
      <c r="C5922" s="568"/>
      <c r="D5922" s="568"/>
      <c r="E5922" s="188"/>
      <c r="F5922" s="188"/>
      <c r="G5922" s="2122"/>
      <c r="H5922" s="568"/>
      <c r="I5922" s="2118"/>
      <c r="J5922" s="2123"/>
      <c r="K5922" s="2123">
        <f>K5920+K5921</f>
        <v>555.4</v>
      </c>
      <c r="L5922" s="192"/>
      <c r="M5922" s="568"/>
    </row>
    <row r="5923" spans="1:17" ht="12.75" hidden="1">
      <c r="A5923" s="2114"/>
      <c r="B5923" s="568" t="s">
        <v>1245</v>
      </c>
      <c r="C5923" s="568"/>
      <c r="D5923" s="568"/>
      <c r="E5923" s="188"/>
      <c r="F5923" s="188"/>
      <c r="G5923" s="2122"/>
      <c r="H5923" s="568"/>
      <c r="I5923" s="2118"/>
      <c r="J5923" s="2123"/>
      <c r="K5923" s="2124">
        <f>ROUND(K5922/10,2)</f>
        <v>55.54</v>
      </c>
      <c r="L5923" s="192" t="s">
        <v>730</v>
      </c>
      <c r="M5923" s="568"/>
    </row>
    <row r="5924" spans="1:17" ht="12.75" hidden="1">
      <c r="A5924" s="2114" t="str">
        <f>A946</f>
        <v>(ii)</v>
      </c>
      <c r="B5924" s="192" t="str">
        <f>B946</f>
        <v>First Floor</v>
      </c>
      <c r="C5924" s="568"/>
      <c r="D5924" s="568"/>
      <c r="E5924" s="2120" t="str">
        <f>G924</f>
        <v>Each Sqm</v>
      </c>
      <c r="F5924" s="2120"/>
      <c r="G5924" s="2122"/>
      <c r="H5924" s="568"/>
      <c r="I5924" s="2118"/>
      <c r="J5924" s="2123"/>
      <c r="K5924" s="2123"/>
      <c r="L5924" s="192"/>
      <c r="M5924" s="568"/>
    </row>
    <row r="5925" spans="1:17" ht="12.75" hidden="1">
      <c r="A5925" s="2114"/>
      <c r="B5925" s="568" t="s">
        <v>722</v>
      </c>
      <c r="C5925" s="568"/>
      <c r="D5925" s="568"/>
      <c r="E5925" s="188"/>
      <c r="F5925" s="188"/>
      <c r="G5925" s="2122"/>
      <c r="H5925" s="568"/>
      <c r="I5925" s="2118"/>
      <c r="J5925" s="2123"/>
      <c r="K5925" s="2123">
        <f>K5923</f>
        <v>55.54</v>
      </c>
      <c r="L5925" s="192"/>
      <c r="M5925" s="568"/>
    </row>
    <row r="5926" spans="1:17" ht="12.75" hidden="1">
      <c r="A5926" s="2114"/>
      <c r="B5926" s="568" t="s">
        <v>948</v>
      </c>
      <c r="C5926" s="568"/>
      <c r="D5926" s="568"/>
      <c r="E5926" s="188"/>
      <c r="F5926" s="188"/>
      <c r="G5926" s="2122"/>
      <c r="H5926" s="568"/>
      <c r="I5926" s="2118"/>
      <c r="J5926" s="2123"/>
      <c r="K5926" s="2123">
        <f>ROUND(K5919/10*3%,2)</f>
        <v>1.24</v>
      </c>
      <c r="L5926" s="192"/>
      <c r="M5926" s="568"/>
    </row>
    <row r="5927" spans="1:17" ht="12.75" hidden="1">
      <c r="A5927" s="2114"/>
      <c r="B5927" s="568"/>
      <c r="C5927" s="568"/>
      <c r="D5927" s="568"/>
      <c r="E5927" s="188"/>
      <c r="F5927" s="188"/>
      <c r="G5927" s="2122"/>
      <c r="H5927" s="568"/>
      <c r="I5927" s="2118"/>
      <c r="J5927" s="2126" t="s">
        <v>718</v>
      </c>
      <c r="K5927" s="2124">
        <f>SUM(K5925:K5926)</f>
        <v>56.78</v>
      </c>
      <c r="L5927" s="192" t="s">
        <v>730</v>
      </c>
      <c r="M5927" s="568"/>
    </row>
    <row r="5928" spans="1:17" ht="12.75" hidden="1">
      <c r="A5928" s="2114" t="str">
        <f>A947</f>
        <v>(iii)</v>
      </c>
      <c r="B5928" s="192" t="str">
        <f>B947</f>
        <v>2nd Floor</v>
      </c>
      <c r="C5928" s="568"/>
      <c r="D5928" s="568"/>
      <c r="E5928" s="2120" t="str">
        <f>G928</f>
        <v>Each Sqm</v>
      </c>
      <c r="F5928" s="2120"/>
      <c r="G5928" s="2122"/>
      <c r="H5928" s="568"/>
      <c r="I5928" s="2118"/>
      <c r="J5928" s="2123"/>
      <c r="K5928" s="2123"/>
      <c r="L5928" s="192"/>
      <c r="M5928" s="568"/>
    </row>
    <row r="5929" spans="1:17" ht="12.75" hidden="1">
      <c r="A5929" s="2114"/>
      <c r="B5929" s="568" t="s">
        <v>722</v>
      </c>
      <c r="C5929" s="568"/>
      <c r="D5929" s="568"/>
      <c r="E5929" s="188"/>
      <c r="F5929" s="188"/>
      <c r="G5929" s="2122"/>
      <c r="H5929" s="568"/>
      <c r="I5929" s="2118"/>
      <c r="J5929" s="2123"/>
      <c r="K5929" s="2123">
        <f>K5927</f>
        <v>56.78</v>
      </c>
      <c r="L5929" s="192"/>
      <c r="M5929" s="568"/>
    </row>
    <row r="5930" spans="1:17" ht="12.75" hidden="1">
      <c r="A5930" s="2114"/>
      <c r="B5930" s="568" t="s">
        <v>948</v>
      </c>
      <c r="C5930" s="568"/>
      <c r="D5930" s="568"/>
      <c r="E5930" s="188"/>
      <c r="F5930" s="188"/>
      <c r="G5930" s="2122"/>
      <c r="H5930" s="568"/>
      <c r="I5930" s="2118"/>
      <c r="J5930" s="2123"/>
      <c r="K5930" s="2123">
        <f>K5926+ROUND(K5923*3%,2)</f>
        <v>2.91</v>
      </c>
      <c r="L5930" s="192"/>
      <c r="M5930" s="568"/>
    </row>
    <row r="5931" spans="1:17" ht="12.75" hidden="1">
      <c r="A5931" s="2114"/>
      <c r="B5931" s="568"/>
      <c r="C5931" s="568"/>
      <c r="D5931" s="568"/>
      <c r="E5931" s="188"/>
      <c r="F5931" s="188"/>
      <c r="G5931" s="2122"/>
      <c r="H5931" s="568"/>
      <c r="I5931" s="2118"/>
      <c r="J5931" s="2126" t="s">
        <v>718</v>
      </c>
      <c r="K5931" s="2124">
        <f>SUM(K5929:K5930)</f>
        <v>59.69</v>
      </c>
      <c r="L5931" s="192" t="s">
        <v>730</v>
      </c>
      <c r="M5931" s="568"/>
    </row>
    <row r="5932" spans="1:17" ht="12.75" hidden="1">
      <c r="A5932" s="2114" t="str">
        <f>A948</f>
        <v>(iv)</v>
      </c>
      <c r="B5932" s="192" t="str">
        <f>B948</f>
        <v>3rd Floor</v>
      </c>
      <c r="C5932" s="568"/>
      <c r="D5932" s="568"/>
      <c r="E5932" s="2120" t="str">
        <f>G932</f>
        <v>Each Sqm</v>
      </c>
      <c r="F5932" s="2120"/>
      <c r="G5932" s="2122"/>
      <c r="H5932" s="568"/>
      <c r="I5932" s="2118"/>
      <c r="J5932" s="2123"/>
      <c r="K5932" s="2123"/>
      <c r="L5932" s="192"/>
      <c r="M5932" s="568"/>
    </row>
    <row r="5933" spans="1:17" ht="12.75" hidden="1">
      <c r="A5933" s="2114"/>
      <c r="B5933" s="568" t="s">
        <v>722</v>
      </c>
      <c r="C5933" s="568"/>
      <c r="D5933" s="568"/>
      <c r="E5933" s="188"/>
      <c r="F5933" s="188"/>
      <c r="G5933" s="2122"/>
      <c r="H5933" s="568"/>
      <c r="I5933" s="2118"/>
      <c r="J5933" s="2123"/>
      <c r="K5933" s="2123">
        <f>K5931</f>
        <v>59.69</v>
      </c>
      <c r="L5933" s="192"/>
      <c r="M5933" s="568"/>
    </row>
    <row r="5934" spans="1:17" ht="12.75" hidden="1">
      <c r="A5934" s="2114"/>
      <c r="B5934" s="568" t="s">
        <v>948</v>
      </c>
      <c r="C5934" s="568"/>
      <c r="D5934" s="568"/>
      <c r="E5934" s="188"/>
      <c r="F5934" s="188"/>
      <c r="G5934" s="2122"/>
      <c r="H5934" s="568"/>
      <c r="I5934" s="2118"/>
      <c r="J5934" s="2123"/>
      <c r="K5934" s="2123">
        <f>K5930+ROUND(K5930*3%,2)</f>
        <v>3</v>
      </c>
      <c r="L5934" s="192"/>
      <c r="M5934" s="568"/>
    </row>
    <row r="5935" spans="1:17" ht="12.75" hidden="1">
      <c r="A5935" s="2114"/>
      <c r="B5935" s="568"/>
      <c r="C5935" s="568"/>
      <c r="D5935" s="568"/>
      <c r="E5935" s="188"/>
      <c r="F5935" s="188"/>
      <c r="G5935" s="2122"/>
      <c r="H5935" s="568"/>
      <c r="I5935" s="2118"/>
      <c r="J5935" s="2126" t="s">
        <v>718</v>
      </c>
      <c r="K5935" s="2124">
        <f>SUM(K5933:K5934)</f>
        <v>62.69</v>
      </c>
      <c r="L5935" s="192" t="s">
        <v>730</v>
      </c>
      <c r="M5935" s="568"/>
    </row>
    <row r="5936" spans="1:17" ht="84.6" hidden="1" customHeight="1">
      <c r="A5936" s="2114">
        <f>A949</f>
        <v>121</v>
      </c>
      <c r="B5936" s="3017" t="str">
        <f>B949</f>
        <v xml:space="preserve">Finishing plastered surfaces with cement putty (water based)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v>
      </c>
      <c r="C5936" s="3017"/>
      <c r="D5936" s="3017"/>
      <c r="E5936" s="2116" t="str">
        <f>G949</f>
        <v>Each Sqm</v>
      </c>
      <c r="F5936" s="2116"/>
      <c r="G5936" s="2122"/>
      <c r="H5936" s="568"/>
      <c r="I5936" s="2118"/>
      <c r="J5936" s="2124"/>
      <c r="K5936" s="2124"/>
      <c r="L5936" s="192"/>
      <c r="M5936" s="568"/>
      <c r="Q5936" s="1766" t="s">
        <v>1246</v>
      </c>
    </row>
    <row r="5937" spans="1:13" ht="12.75" hidden="1">
      <c r="A5937" s="2114" t="str">
        <f>A950</f>
        <v>(i)</v>
      </c>
      <c r="B5937" s="192" t="str">
        <f>B950</f>
        <v>Ground Floor</v>
      </c>
      <c r="C5937" s="568"/>
      <c r="D5937" s="568"/>
      <c r="E5937" s="2120" t="str">
        <f>G950</f>
        <v>Each Sqm</v>
      </c>
      <c r="F5937" s="2120"/>
      <c r="G5937" s="2122"/>
      <c r="H5937" s="568"/>
      <c r="I5937" s="2118"/>
      <c r="J5937" s="2123"/>
      <c r="K5937" s="2123"/>
      <c r="L5937" s="192"/>
      <c r="M5937" s="568"/>
    </row>
    <row r="5938" spans="1:13" ht="12.75" hidden="1">
      <c r="A5938" s="2114"/>
      <c r="B5938" s="192" t="s">
        <v>1242</v>
      </c>
      <c r="C5938" s="568"/>
      <c r="D5938" s="568"/>
      <c r="E5938" s="188"/>
      <c r="F5938" s="188"/>
      <c r="G5938" s="2122"/>
      <c r="H5938" s="568"/>
      <c r="I5938" s="2118"/>
      <c r="J5938" s="2123"/>
      <c r="K5938" s="2123"/>
      <c r="L5938" s="192"/>
      <c r="M5938" s="568"/>
    </row>
    <row r="5939" spans="1:13" ht="12.75" hidden="1">
      <c r="A5939" s="2114"/>
      <c r="B5939" s="192" t="s">
        <v>822</v>
      </c>
      <c r="C5939" s="568"/>
      <c r="D5939" s="568"/>
      <c r="E5939" s="188"/>
      <c r="F5939" s="188"/>
      <c r="G5939" s="2122"/>
      <c r="H5939" s="568"/>
      <c r="I5939" s="2118"/>
      <c r="J5939" s="2123"/>
      <c r="K5939" s="2123"/>
      <c r="L5939" s="192"/>
      <c r="M5939" s="568"/>
    </row>
    <row r="5940" spans="1:13" ht="12.75" hidden="1">
      <c r="A5940" s="2114"/>
      <c r="B5940" s="568" t="s">
        <v>1247</v>
      </c>
      <c r="C5940" s="568"/>
      <c r="D5940" s="568"/>
      <c r="E5940" s="188"/>
      <c r="F5940" s="188"/>
      <c r="G5940" s="2122">
        <v>8</v>
      </c>
      <c r="H5940" s="568" t="s">
        <v>95</v>
      </c>
      <c r="I5940" s="2118" t="s">
        <v>95</v>
      </c>
      <c r="J5940" s="2184">
        <f>M192</f>
        <v>40</v>
      </c>
      <c r="K5940" s="2123">
        <f>ROUND(G5940*J5940,2)</f>
        <v>320</v>
      </c>
      <c r="L5940" s="192"/>
      <c r="M5940" s="568"/>
    </row>
    <row r="5941" spans="1:13" ht="12.75" hidden="1">
      <c r="A5941" s="2114"/>
      <c r="B5941" s="192" t="s">
        <v>904</v>
      </c>
      <c r="C5941" s="568"/>
      <c r="D5941" s="568"/>
      <c r="E5941" s="188"/>
      <c r="F5941" s="188"/>
      <c r="G5941" s="2122"/>
      <c r="H5941" s="568"/>
      <c r="I5941" s="2118"/>
      <c r="J5941" s="2123"/>
      <c r="K5941" s="2123"/>
      <c r="L5941" s="192"/>
      <c r="M5941" s="568"/>
    </row>
    <row r="5942" spans="1:13" ht="12.75" hidden="1">
      <c r="A5942" s="2114"/>
      <c r="B5942" s="568" t="s">
        <v>1243</v>
      </c>
      <c r="C5942" s="568"/>
      <c r="D5942" s="568"/>
      <c r="E5942" s="188"/>
      <c r="F5942" s="188"/>
      <c r="G5942" s="2122">
        <v>0.5</v>
      </c>
      <c r="H5942" s="568" t="s">
        <v>262</v>
      </c>
      <c r="I5942" s="2118" t="s">
        <v>38</v>
      </c>
      <c r="J5942" s="2123">
        <f>L136</f>
        <v>435</v>
      </c>
      <c r="K5942" s="2123">
        <f>ROUND(G5942*J5942,2)</f>
        <v>217.5</v>
      </c>
      <c r="L5942" s="192"/>
      <c r="M5942" s="568"/>
    </row>
    <row r="5943" spans="1:13" ht="12.75" hidden="1">
      <c r="A5943" s="2114"/>
      <c r="B5943" s="568" t="s">
        <v>717</v>
      </c>
      <c r="C5943" s="568"/>
      <c r="D5943" s="568"/>
      <c r="E5943" s="188"/>
      <c r="F5943" s="188"/>
      <c r="G5943" s="2122">
        <v>0.56999999999999995</v>
      </c>
      <c r="H5943" s="568" t="s">
        <v>262</v>
      </c>
      <c r="I5943" s="2118" t="s">
        <v>38</v>
      </c>
      <c r="J5943" s="2123">
        <f>L134</f>
        <v>345</v>
      </c>
      <c r="K5943" s="2123">
        <f>ROUND(G5943*J5943,2)</f>
        <v>196.65</v>
      </c>
      <c r="L5943" s="192"/>
      <c r="M5943" s="568"/>
    </row>
    <row r="5944" spans="1:13" ht="12.75" hidden="1">
      <c r="A5944" s="2114"/>
      <c r="B5944" s="568"/>
      <c r="C5944" s="568"/>
      <c r="D5944" s="568"/>
      <c r="E5944" s="188"/>
      <c r="F5944" s="188"/>
      <c r="G5944" s="2122"/>
      <c r="H5944" s="568"/>
      <c r="I5944" s="2118"/>
      <c r="J5944" s="2126" t="s">
        <v>718</v>
      </c>
      <c r="K5944" s="2124">
        <f>SUM(K5942:K5943)</f>
        <v>414.15</v>
      </c>
      <c r="L5944" s="192"/>
      <c r="M5944" s="568"/>
    </row>
    <row r="5945" spans="1:13" ht="12.75" hidden="1">
      <c r="A5945" s="2114"/>
      <c r="B5945" s="192" t="s">
        <v>760</v>
      </c>
      <c r="C5945" s="568"/>
      <c r="D5945" s="568"/>
      <c r="E5945" s="188"/>
      <c r="F5945" s="188"/>
      <c r="G5945" s="2122"/>
      <c r="H5945" s="568"/>
      <c r="I5945" s="2118"/>
      <c r="J5945" s="2123"/>
      <c r="K5945" s="2124">
        <f>K5940+K5944</f>
        <v>734.15</v>
      </c>
      <c r="L5945" s="192"/>
      <c r="M5945" s="568"/>
    </row>
    <row r="5946" spans="1:13" ht="12.75" hidden="1">
      <c r="A5946" s="2114"/>
      <c r="B5946" s="192" t="s">
        <v>3662</v>
      </c>
      <c r="C5946" s="568"/>
      <c r="D5946" s="568"/>
      <c r="E5946" s="188"/>
      <c r="F5946" s="188"/>
      <c r="G5946" s="2122"/>
      <c r="H5946" s="2135">
        <f>H5907</f>
        <v>7.4999999999999997E-2</v>
      </c>
      <c r="I5946" s="2134">
        <f>K5945</f>
        <v>734.15</v>
      </c>
      <c r="J5946" s="2134"/>
      <c r="K5946" s="2123">
        <f>ROUND(I5946*H5946,2)</f>
        <v>55.06</v>
      </c>
      <c r="L5946" s="192"/>
      <c r="M5946" s="568"/>
    </row>
    <row r="5947" spans="1:13" ht="12.75" hidden="1">
      <c r="A5947" s="2114"/>
      <c r="B5947" s="192" t="s">
        <v>3661</v>
      </c>
      <c r="C5947" s="568"/>
      <c r="D5947" s="568"/>
      <c r="E5947" s="188"/>
      <c r="F5947" s="188"/>
      <c r="G5947" s="2122"/>
      <c r="H5947" s="2135">
        <f>H5946</f>
        <v>7.4999999999999997E-2</v>
      </c>
      <c r="I5947" s="2134">
        <f>I5946</f>
        <v>734.15</v>
      </c>
      <c r="J5947" s="2134"/>
      <c r="K5947" s="2140">
        <f>ROUND(I5947*H5947,2)</f>
        <v>55.06</v>
      </c>
      <c r="L5947" s="192"/>
      <c r="M5947" s="568"/>
    </row>
    <row r="5948" spans="1:13" ht="12.75" hidden="1">
      <c r="A5948" s="2114"/>
      <c r="B5948" s="192" t="s">
        <v>1244</v>
      </c>
      <c r="C5948" s="568"/>
      <c r="D5948" s="568"/>
      <c r="E5948" s="188"/>
      <c r="F5948" s="188"/>
      <c r="G5948" s="2122"/>
      <c r="H5948" s="568"/>
      <c r="I5948" s="2118"/>
      <c r="J5948" s="2123"/>
      <c r="K5948" s="2123">
        <f>SUM(K5945:K5947)</f>
        <v>844.27</v>
      </c>
      <c r="L5948" s="192"/>
      <c r="M5948" s="568"/>
    </row>
    <row r="5949" spans="1:13" ht="12.75" hidden="1">
      <c r="A5949" s="2114"/>
      <c r="B5949" s="192" t="s">
        <v>3738</v>
      </c>
      <c r="C5949" s="2142">
        <v>0.01</v>
      </c>
      <c r="D5949" s="568"/>
      <c r="E5949" s="188"/>
      <c r="F5949" s="188"/>
      <c r="G5949" s="2122"/>
      <c r="H5949" s="568"/>
      <c r="I5949" s="2118"/>
      <c r="J5949" s="2123"/>
      <c r="K5949" s="2140">
        <f>ROUND(K5948*C5949,2)</f>
        <v>8.44</v>
      </c>
      <c r="L5949" s="192"/>
      <c r="M5949" s="568"/>
    </row>
    <row r="5950" spans="1:13" ht="12.75" hidden="1">
      <c r="A5950" s="2114"/>
      <c r="B5950" s="192"/>
      <c r="C5950" s="2142"/>
      <c r="D5950" s="568"/>
      <c r="E5950" s="188"/>
      <c r="F5950" s="188"/>
      <c r="G5950" s="2122"/>
      <c r="H5950" s="568"/>
      <c r="I5950" s="2118"/>
      <c r="J5950" s="2123"/>
      <c r="K5950" s="2123">
        <f>SUM(K5948:K5949)</f>
        <v>852.71</v>
      </c>
      <c r="L5950" s="192"/>
      <c r="M5950" s="568"/>
    </row>
    <row r="5951" spans="1:13" ht="12.75" hidden="1">
      <c r="A5951" s="2114"/>
      <c r="B5951" s="192" t="s">
        <v>1245</v>
      </c>
      <c r="C5951" s="568"/>
      <c r="D5951" s="568"/>
      <c r="E5951" s="188"/>
      <c r="F5951" s="188"/>
      <c r="G5951" s="2122"/>
      <c r="H5951" s="568"/>
      <c r="I5951" s="2118"/>
      <c r="J5951" s="2123"/>
      <c r="K5951" s="2124">
        <f>ROUND(K5950/10,2)</f>
        <v>85.27</v>
      </c>
      <c r="L5951" s="192" t="s">
        <v>730</v>
      </c>
      <c r="M5951" s="568"/>
    </row>
    <row r="5952" spans="1:13" ht="12.75" hidden="1">
      <c r="A5952" s="2114" t="str">
        <f>A951</f>
        <v>(ii)</v>
      </c>
      <c r="B5952" s="192" t="str">
        <f>B951</f>
        <v>First Floor</v>
      </c>
      <c r="C5952" s="568"/>
      <c r="D5952" s="568"/>
      <c r="E5952" s="2120" t="str">
        <f>G951</f>
        <v>Each Sqm</v>
      </c>
      <c r="F5952" s="2120"/>
      <c r="G5952" s="2122"/>
      <c r="H5952" s="568"/>
      <c r="I5952" s="2118"/>
      <c r="J5952" s="2123"/>
      <c r="K5952" s="2123"/>
      <c r="L5952" s="192"/>
      <c r="M5952" s="568"/>
    </row>
    <row r="5953" spans="1:13" ht="12.75" hidden="1">
      <c r="A5953" s="2114"/>
      <c r="B5953" s="568" t="s">
        <v>722</v>
      </c>
      <c r="C5953" s="568"/>
      <c r="D5953" s="568"/>
      <c r="E5953" s="188"/>
      <c r="F5953" s="188"/>
      <c r="G5953" s="2122"/>
      <c r="H5953" s="568"/>
      <c r="I5953" s="2118"/>
      <c r="J5953" s="2123"/>
      <c r="K5953" s="2123">
        <f>K5948/10</f>
        <v>84.426999999999992</v>
      </c>
      <c r="L5953" s="192"/>
      <c r="M5953" s="568"/>
    </row>
    <row r="5954" spans="1:13" ht="12.75" hidden="1">
      <c r="A5954" s="2114"/>
      <c r="B5954" s="568" t="s">
        <v>948</v>
      </c>
      <c r="C5954" s="568"/>
      <c r="D5954" s="568"/>
      <c r="E5954" s="188"/>
      <c r="F5954" s="188"/>
      <c r="G5954" s="2122"/>
      <c r="H5954" s="2125">
        <v>0.03</v>
      </c>
      <c r="I5954" s="2134">
        <f>K5944/10</f>
        <v>41.414999999999999</v>
      </c>
      <c r="J5954" s="2124"/>
      <c r="K5954" s="2123">
        <f>ROUND(I5954*H5954,2)</f>
        <v>1.24</v>
      </c>
      <c r="L5954" s="192"/>
      <c r="M5954" s="568"/>
    </row>
    <row r="5955" spans="1:13" ht="12.75" hidden="1">
      <c r="A5955" s="2114"/>
      <c r="B5955" s="192" t="s">
        <v>3662</v>
      </c>
      <c r="C5955" s="568"/>
      <c r="D5955" s="568"/>
      <c r="E5955" s="188"/>
      <c r="F5955" s="188"/>
      <c r="G5955" s="2122"/>
      <c r="H5955" s="2135">
        <f>H5947</f>
        <v>7.4999999999999997E-2</v>
      </c>
      <c r="I5955" s="2134">
        <f>K5954</f>
        <v>1.24</v>
      </c>
      <c r="J5955" s="2134"/>
      <c r="K5955" s="2123">
        <f>ROUND(I5955*H5955,2)</f>
        <v>0.09</v>
      </c>
      <c r="L5955" s="192"/>
      <c r="M5955" s="568"/>
    </row>
    <row r="5956" spans="1:13" ht="12.75" hidden="1">
      <c r="A5956" s="2114"/>
      <c r="B5956" s="192" t="s">
        <v>3661</v>
      </c>
      <c r="C5956" s="568"/>
      <c r="D5956" s="568"/>
      <c r="E5956" s="188"/>
      <c r="F5956" s="188"/>
      <c r="G5956" s="2122"/>
      <c r="H5956" s="2135">
        <f>H5955</f>
        <v>7.4999999999999997E-2</v>
      </c>
      <c r="I5956" s="2134">
        <f>I5955</f>
        <v>1.24</v>
      </c>
      <c r="J5956" s="2134"/>
      <c r="K5956" s="2140">
        <f>ROUND(I5956*H5956,2)</f>
        <v>0.09</v>
      </c>
      <c r="L5956" s="192"/>
      <c r="M5956" s="568"/>
    </row>
    <row r="5957" spans="1:13" ht="12.75" hidden="1">
      <c r="A5957" s="2114"/>
      <c r="B5957" s="568"/>
      <c r="C5957" s="568"/>
      <c r="D5957" s="568"/>
      <c r="E5957" s="188"/>
      <c r="F5957" s="188"/>
      <c r="G5957" s="2122"/>
      <c r="H5957" s="568"/>
      <c r="I5957" s="2118"/>
      <c r="J5957" s="2123"/>
      <c r="K5957" s="2123">
        <f>SUM(K5953:K5956)</f>
        <v>85.846999999999994</v>
      </c>
      <c r="L5957" s="192"/>
      <c r="M5957" s="568"/>
    </row>
    <row r="5958" spans="1:13" ht="12.75" hidden="1">
      <c r="A5958" s="2114"/>
      <c r="B5958" s="192" t="s">
        <v>3738</v>
      </c>
      <c r="C5958" s="2142">
        <v>0.01</v>
      </c>
      <c r="D5958" s="568"/>
      <c r="E5958" s="188"/>
      <c r="F5958" s="188"/>
      <c r="G5958" s="2122"/>
      <c r="H5958" s="568"/>
      <c r="I5958" s="2118"/>
      <c r="J5958" s="2123"/>
      <c r="K5958" s="2140">
        <f>ROUND(K5957*C5958,2)</f>
        <v>0.86</v>
      </c>
      <c r="L5958" s="192"/>
      <c r="M5958" s="568"/>
    </row>
    <row r="5959" spans="1:13" ht="12.75" hidden="1">
      <c r="A5959" s="2114"/>
      <c r="B5959" s="568"/>
      <c r="C5959" s="568"/>
      <c r="D5959" s="568"/>
      <c r="E5959" s="188"/>
      <c r="F5959" s="188"/>
      <c r="G5959" s="2122"/>
      <c r="H5959" s="568"/>
      <c r="I5959" s="2118"/>
      <c r="J5959" s="2126" t="s">
        <v>718</v>
      </c>
      <c r="K5959" s="2124">
        <f>SUM(K5957:K5958)</f>
        <v>86.706999999999994</v>
      </c>
      <c r="L5959" s="192" t="s">
        <v>730</v>
      </c>
      <c r="M5959" s="568"/>
    </row>
    <row r="5960" spans="1:13" ht="12.75" hidden="1">
      <c r="A5960" s="2114" t="str">
        <f>A952</f>
        <v>(iii)</v>
      </c>
      <c r="B5960" s="192" t="str">
        <f>B952</f>
        <v>2nd Floor</v>
      </c>
      <c r="C5960" s="568"/>
      <c r="D5960" s="568"/>
      <c r="E5960" s="2120" t="str">
        <f>G955</f>
        <v>Each Sqm</v>
      </c>
      <c r="F5960" s="2120"/>
      <c r="G5960" s="2122"/>
      <c r="H5960" s="568"/>
      <c r="I5960" s="2118"/>
      <c r="J5960" s="2123"/>
      <c r="K5960" s="2123"/>
      <c r="L5960" s="192"/>
      <c r="M5960" s="568"/>
    </row>
    <row r="5961" spans="1:13" ht="12.75" hidden="1">
      <c r="A5961" s="2114"/>
      <c r="B5961" s="568" t="s">
        <v>722</v>
      </c>
      <c r="C5961" s="568"/>
      <c r="D5961" s="568"/>
      <c r="E5961" s="188"/>
      <c r="F5961" s="188"/>
      <c r="G5961" s="2122"/>
      <c r="H5961" s="568"/>
      <c r="I5961" s="2118"/>
      <c r="J5961" s="2123"/>
      <c r="K5961" s="2123">
        <f>K5959</f>
        <v>86.706999999999994</v>
      </c>
      <c r="L5961" s="192"/>
      <c r="M5961" s="568"/>
    </row>
    <row r="5962" spans="1:13" ht="12.75" hidden="1">
      <c r="A5962" s="2114"/>
      <c r="B5962" s="568" t="s">
        <v>948</v>
      </c>
      <c r="C5962" s="568"/>
      <c r="D5962" s="568"/>
      <c r="E5962" s="188"/>
      <c r="F5962" s="188"/>
      <c r="G5962" s="2122"/>
      <c r="H5962" s="2125">
        <f>H5954</f>
        <v>0.03</v>
      </c>
      <c r="I5962" s="2134">
        <f>I5954+K5954</f>
        <v>42.655000000000001</v>
      </c>
      <c r="J5962" s="2124"/>
      <c r="K5962" s="2123">
        <f>ROUND(I5962*H5962,2)</f>
        <v>1.28</v>
      </c>
      <c r="L5962" s="192"/>
      <c r="M5962" s="568"/>
    </row>
    <row r="5963" spans="1:13" ht="12.75" hidden="1">
      <c r="A5963" s="2114"/>
      <c r="B5963" s="192" t="s">
        <v>3662</v>
      </c>
      <c r="C5963" s="568"/>
      <c r="D5963" s="568"/>
      <c r="E5963" s="188"/>
      <c r="F5963" s="188"/>
      <c r="G5963" s="2122"/>
      <c r="H5963" s="2135">
        <f>H5956</f>
        <v>7.4999999999999997E-2</v>
      </c>
      <c r="I5963" s="2134">
        <f>K5962</f>
        <v>1.28</v>
      </c>
      <c r="J5963" s="2134"/>
      <c r="K5963" s="2123">
        <f>ROUND(I5963*H5963,2)</f>
        <v>0.1</v>
      </c>
      <c r="L5963" s="192"/>
      <c r="M5963" s="568"/>
    </row>
    <row r="5964" spans="1:13" ht="12.75" hidden="1">
      <c r="A5964" s="2114"/>
      <c r="B5964" s="192" t="s">
        <v>3661</v>
      </c>
      <c r="C5964" s="568"/>
      <c r="D5964" s="568"/>
      <c r="E5964" s="188"/>
      <c r="F5964" s="188"/>
      <c r="G5964" s="2122"/>
      <c r="H5964" s="2135">
        <f>H5963</f>
        <v>7.4999999999999997E-2</v>
      </c>
      <c r="I5964" s="2134">
        <f>I5963</f>
        <v>1.28</v>
      </c>
      <c r="J5964" s="2134"/>
      <c r="K5964" s="2140">
        <f>ROUND(I5964*H5964,2)</f>
        <v>0.1</v>
      </c>
      <c r="L5964" s="192"/>
      <c r="M5964" s="568"/>
    </row>
    <row r="5965" spans="1:13" ht="12.75" hidden="1">
      <c r="A5965" s="2114"/>
      <c r="B5965" s="568"/>
      <c r="C5965" s="568"/>
      <c r="D5965" s="568"/>
      <c r="E5965" s="188"/>
      <c r="F5965" s="188"/>
      <c r="G5965" s="2122"/>
      <c r="H5965" s="568"/>
      <c r="I5965" s="2118"/>
      <c r="J5965" s="2123"/>
      <c r="K5965" s="2123">
        <f>SUM(K5961:K5964)</f>
        <v>88.186999999999983</v>
      </c>
      <c r="L5965" s="192"/>
      <c r="M5965" s="568"/>
    </row>
    <row r="5966" spans="1:13" ht="12.75" hidden="1">
      <c r="A5966" s="2114"/>
      <c r="B5966" s="192" t="s">
        <v>3738</v>
      </c>
      <c r="C5966" s="2142">
        <v>0.01</v>
      </c>
      <c r="D5966" s="568"/>
      <c r="E5966" s="188"/>
      <c r="F5966" s="188"/>
      <c r="G5966" s="2122"/>
      <c r="H5966" s="568"/>
      <c r="I5966" s="2118"/>
      <c r="J5966" s="2123"/>
      <c r="K5966" s="2140">
        <f>ROUND(K5965*C5966,2)</f>
        <v>0.88</v>
      </c>
      <c r="L5966" s="192"/>
      <c r="M5966" s="568"/>
    </row>
    <row r="5967" spans="1:13" ht="12.75" hidden="1">
      <c r="A5967" s="2114"/>
      <c r="B5967" s="568"/>
      <c r="C5967" s="568"/>
      <c r="D5967" s="568"/>
      <c r="E5967" s="188"/>
      <c r="F5967" s="188"/>
      <c r="G5967" s="2122"/>
      <c r="H5967" s="568"/>
      <c r="I5967" s="2118"/>
      <c r="J5967" s="2126" t="s">
        <v>718</v>
      </c>
      <c r="K5967" s="2124">
        <f>SUM(K5965:K5966)</f>
        <v>89.066999999999979</v>
      </c>
      <c r="L5967" s="192" t="s">
        <v>730</v>
      </c>
      <c r="M5967" s="568"/>
    </row>
    <row r="5968" spans="1:13" ht="12.75" hidden="1">
      <c r="A5968" s="2114" t="str">
        <f>A953</f>
        <v>(iv)</v>
      </c>
      <c r="B5968" s="192" t="str">
        <f>B953</f>
        <v>3rd Floor</v>
      </c>
      <c r="C5968" s="568"/>
      <c r="D5968" s="568"/>
      <c r="E5968" s="2120" t="str">
        <f>G959</f>
        <v>Each Sqm</v>
      </c>
      <c r="F5968" s="2120"/>
      <c r="G5968" s="2122"/>
      <c r="H5968" s="568"/>
      <c r="I5968" s="2118"/>
      <c r="J5968" s="2123"/>
      <c r="K5968" s="2123"/>
      <c r="L5968" s="192"/>
      <c r="M5968" s="568"/>
    </row>
    <row r="5969" spans="1:13" ht="12.75" hidden="1">
      <c r="A5969" s="2114"/>
      <c r="B5969" s="568" t="s">
        <v>722</v>
      </c>
      <c r="C5969" s="568"/>
      <c r="D5969" s="568"/>
      <c r="E5969" s="188"/>
      <c r="F5969" s="188"/>
      <c r="G5969" s="2122"/>
      <c r="H5969" s="568"/>
      <c r="I5969" s="2118"/>
      <c r="J5969" s="2123"/>
      <c r="K5969" s="2123">
        <f>K5967</f>
        <v>89.066999999999979</v>
      </c>
      <c r="L5969" s="192"/>
      <c r="M5969" s="568"/>
    </row>
    <row r="5970" spans="1:13" ht="12.75" hidden="1">
      <c r="A5970" s="2114"/>
      <c r="B5970" s="568" t="s">
        <v>948</v>
      </c>
      <c r="C5970" s="568"/>
      <c r="D5970" s="568"/>
      <c r="E5970" s="188"/>
      <c r="F5970" s="188"/>
      <c r="G5970" s="2122"/>
      <c r="H5970" s="2125">
        <f>H5962</f>
        <v>0.03</v>
      </c>
      <c r="I5970" s="2134">
        <f>I5962+K5962</f>
        <v>43.935000000000002</v>
      </c>
      <c r="J5970" s="2124"/>
      <c r="K5970" s="2123">
        <f>ROUND(I5970*H5970,2)</f>
        <v>1.32</v>
      </c>
      <c r="L5970" s="192"/>
      <c r="M5970" s="568"/>
    </row>
    <row r="5971" spans="1:13" ht="12.75" hidden="1">
      <c r="A5971" s="2114"/>
      <c r="B5971" s="192" t="s">
        <v>3662</v>
      </c>
      <c r="C5971" s="568"/>
      <c r="D5971" s="568"/>
      <c r="E5971" s="188"/>
      <c r="F5971" s="188"/>
      <c r="G5971" s="2122"/>
      <c r="H5971" s="2135">
        <f>H5964</f>
        <v>7.4999999999999997E-2</v>
      </c>
      <c r="I5971" s="2134">
        <f>K5970</f>
        <v>1.32</v>
      </c>
      <c r="J5971" s="2134"/>
      <c r="K5971" s="2123">
        <f>ROUND(I5971*H5971,2)</f>
        <v>0.1</v>
      </c>
      <c r="L5971" s="192"/>
      <c r="M5971" s="568"/>
    </row>
    <row r="5972" spans="1:13" ht="12.75" hidden="1">
      <c r="A5972" s="2114"/>
      <c r="B5972" s="192" t="s">
        <v>3661</v>
      </c>
      <c r="C5972" s="568"/>
      <c r="D5972" s="568"/>
      <c r="E5972" s="188"/>
      <c r="F5972" s="188"/>
      <c r="G5972" s="2122"/>
      <c r="H5972" s="2135">
        <f>H5971</f>
        <v>7.4999999999999997E-2</v>
      </c>
      <c r="I5972" s="2134">
        <f>I5971</f>
        <v>1.32</v>
      </c>
      <c r="J5972" s="2134"/>
      <c r="K5972" s="2140">
        <f>ROUND(I5972*H5972,2)</f>
        <v>0.1</v>
      </c>
      <c r="L5972" s="192"/>
      <c r="M5972" s="568"/>
    </row>
    <row r="5973" spans="1:13" ht="12.75" hidden="1">
      <c r="A5973" s="2114"/>
      <c r="B5973" s="568"/>
      <c r="C5973" s="568"/>
      <c r="D5973" s="568"/>
      <c r="E5973" s="188"/>
      <c r="F5973" s="188"/>
      <c r="G5973" s="2122"/>
      <c r="H5973" s="568"/>
      <c r="I5973" s="2118"/>
      <c r="J5973" s="2123"/>
      <c r="K5973" s="2123">
        <f>SUM(K5969:K5972)</f>
        <v>90.586999999999961</v>
      </c>
      <c r="L5973" s="192"/>
      <c r="M5973" s="568"/>
    </row>
    <row r="5974" spans="1:13" ht="12.75" hidden="1">
      <c r="A5974" s="2114"/>
      <c r="B5974" s="192" t="s">
        <v>3738</v>
      </c>
      <c r="C5974" s="2142">
        <v>0.01</v>
      </c>
      <c r="D5974" s="568"/>
      <c r="E5974" s="188"/>
      <c r="F5974" s="188"/>
      <c r="G5974" s="2122"/>
      <c r="H5974" s="568"/>
      <c r="I5974" s="2118"/>
      <c r="J5974" s="2123"/>
      <c r="K5974" s="2140">
        <f>ROUND(K5973*C5974,2)</f>
        <v>0.91</v>
      </c>
      <c r="L5974" s="192"/>
      <c r="M5974" s="568"/>
    </row>
    <row r="5975" spans="1:13" ht="12.75" hidden="1">
      <c r="A5975" s="2114"/>
      <c r="B5975" s="568"/>
      <c r="C5975" s="568"/>
      <c r="D5975" s="568"/>
      <c r="E5975" s="188"/>
      <c r="F5975" s="188"/>
      <c r="G5975" s="2122"/>
      <c r="H5975" s="568"/>
      <c r="I5975" s="2118"/>
      <c r="J5975" s="2126" t="s">
        <v>718</v>
      </c>
      <c r="K5975" s="2124">
        <f>SUM(K5973:K5974)</f>
        <v>91.496999999999957</v>
      </c>
      <c r="L5975" s="192" t="s">
        <v>730</v>
      </c>
      <c r="M5975" s="568"/>
    </row>
    <row r="5976" spans="1:13" ht="85.15" hidden="1" customHeight="1">
      <c r="A5976" s="2114">
        <f>A954</f>
        <v>122</v>
      </c>
      <c r="B5976" s="3017" t="str">
        <f>B954</f>
        <v xml:space="preserve">Painting two coats with plastic emulsion paint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v>
      </c>
      <c r="C5976" s="3017"/>
      <c r="D5976" s="3017"/>
      <c r="E5976" s="2116" t="str">
        <f>G954</f>
        <v>Each Sqm</v>
      </c>
      <c r="F5976" s="2116"/>
      <c r="G5976" s="2122"/>
      <c r="H5976" s="568"/>
      <c r="I5976" s="2118"/>
      <c r="J5976" s="2124"/>
      <c r="K5976" s="2124"/>
      <c r="L5976" s="192"/>
      <c r="M5976" s="568"/>
    </row>
    <row r="5977" spans="1:13" ht="12.75" hidden="1">
      <c r="A5977" s="2114" t="str">
        <f>A955</f>
        <v>(i)</v>
      </c>
      <c r="B5977" s="192" t="str">
        <f>B955</f>
        <v>Ground Floor</v>
      </c>
      <c r="C5977" s="568"/>
      <c r="D5977" s="568"/>
      <c r="E5977" s="2120" t="str">
        <f>G925</f>
        <v>Each Sqm</v>
      </c>
      <c r="F5977" s="2120"/>
      <c r="G5977" s="2122"/>
      <c r="H5977" s="568"/>
      <c r="I5977" s="2118"/>
      <c r="J5977" s="2123"/>
      <c r="K5977" s="2123"/>
      <c r="L5977" s="192"/>
      <c r="M5977" s="568"/>
    </row>
    <row r="5978" spans="1:13" ht="12.75" hidden="1">
      <c r="A5978" s="2114"/>
      <c r="B5978" s="192" t="s">
        <v>964</v>
      </c>
      <c r="C5978" s="568"/>
      <c r="D5978" s="568"/>
      <c r="E5978" s="188"/>
      <c r="F5978" s="188"/>
      <c r="G5978" s="2122"/>
      <c r="H5978" s="568"/>
      <c r="I5978" s="2118"/>
      <c r="J5978" s="2123"/>
      <c r="K5978" s="2123"/>
      <c r="L5978" s="192"/>
      <c r="M5978" s="568"/>
    </row>
    <row r="5979" spans="1:13" ht="12.75" hidden="1">
      <c r="A5979" s="2114"/>
      <c r="B5979" s="192" t="s">
        <v>954</v>
      </c>
      <c r="C5979" s="568"/>
      <c r="D5979" s="568"/>
      <c r="E5979" s="188"/>
      <c r="F5979" s="188"/>
      <c r="G5979" s="2122"/>
      <c r="H5979" s="568"/>
      <c r="I5979" s="2118"/>
      <c r="J5979" s="2123"/>
      <c r="K5979" s="2123"/>
      <c r="L5979" s="192"/>
      <c r="M5979" s="568"/>
    </row>
    <row r="5980" spans="1:13" ht="12.75" hidden="1">
      <c r="A5980" s="2114"/>
      <c r="B5980" s="568" t="s">
        <v>1237</v>
      </c>
      <c r="C5980" s="568"/>
      <c r="D5980" s="568"/>
      <c r="E5980" s="188"/>
      <c r="F5980" s="188"/>
      <c r="G5980" s="2122">
        <v>0.54</v>
      </c>
      <c r="H5980" s="568" t="s">
        <v>262</v>
      </c>
      <c r="I5980" s="2118" t="s">
        <v>38</v>
      </c>
      <c r="J5980" s="2123">
        <f>L137</f>
        <v>495</v>
      </c>
      <c r="K5980" s="2123">
        <f>ROUND(G5980*J5980,2)</f>
        <v>267.3</v>
      </c>
      <c r="L5980" s="192"/>
      <c r="M5980" s="568"/>
    </row>
    <row r="5981" spans="1:13" ht="12.75" hidden="1">
      <c r="A5981" s="2114"/>
      <c r="B5981" s="568" t="s">
        <v>717</v>
      </c>
      <c r="C5981" s="568"/>
      <c r="D5981" s="568"/>
      <c r="E5981" s="188"/>
      <c r="F5981" s="188"/>
      <c r="G5981" s="2122">
        <v>0.64</v>
      </c>
      <c r="H5981" s="568" t="s">
        <v>262</v>
      </c>
      <c r="I5981" s="2118" t="s">
        <v>38</v>
      </c>
      <c r="J5981" s="2123">
        <f>L134</f>
        <v>345</v>
      </c>
      <c r="K5981" s="2123">
        <f>ROUND(G5981*J5981,2)</f>
        <v>220.8</v>
      </c>
      <c r="L5981" s="192"/>
      <c r="M5981" s="568"/>
    </row>
    <row r="5982" spans="1:13" ht="12.75" hidden="1">
      <c r="A5982" s="2114"/>
      <c r="B5982" s="568"/>
      <c r="C5982" s="568"/>
      <c r="D5982" s="568"/>
      <c r="E5982" s="188"/>
      <c r="F5982" s="188"/>
      <c r="G5982" s="2122"/>
      <c r="H5982" s="568"/>
      <c r="I5982" s="2118"/>
      <c r="J5982" s="2123" t="s">
        <v>718</v>
      </c>
      <c r="K5982" s="2123">
        <f>SUM(K5980:K5981)</f>
        <v>488.1</v>
      </c>
      <c r="L5982" s="192"/>
      <c r="M5982" s="568"/>
    </row>
    <row r="5983" spans="1:13" ht="12.75" hidden="1">
      <c r="A5983" s="2114"/>
      <c r="B5983" s="192"/>
      <c r="C5983" s="568"/>
      <c r="D5983" s="568"/>
      <c r="E5983" s="188"/>
      <c r="F5983" s="188"/>
      <c r="G5983" s="2122"/>
      <c r="H5983" s="568"/>
      <c r="I5983" s="2118"/>
      <c r="J5983" s="2123"/>
      <c r="K5983" s="2123"/>
      <c r="L5983" s="192"/>
      <c r="M5983" s="568"/>
    </row>
    <row r="5984" spans="1:13" ht="12.75" hidden="1">
      <c r="A5984" s="2114"/>
      <c r="B5984" s="192" t="s">
        <v>1234</v>
      </c>
      <c r="C5984" s="568"/>
      <c r="D5984" s="568"/>
      <c r="E5984" s="188"/>
      <c r="F5984" s="188"/>
      <c r="G5984" s="2122"/>
      <c r="H5984" s="568"/>
      <c r="I5984" s="2118"/>
      <c r="J5984" s="2123"/>
      <c r="K5984" s="2123"/>
      <c r="L5984" s="192"/>
      <c r="M5984" s="568"/>
    </row>
    <row r="5985" spans="1:13" ht="12.75" hidden="1">
      <c r="A5985" s="2114"/>
      <c r="B5985" s="568" t="s">
        <v>967</v>
      </c>
      <c r="C5985" s="568"/>
      <c r="D5985" s="568"/>
      <c r="E5985" s="188"/>
      <c r="F5985" s="188"/>
      <c r="G5985" s="2122"/>
      <c r="H5985" s="568"/>
      <c r="I5985" s="2118"/>
      <c r="J5985" s="2123"/>
      <c r="K5985" s="2123">
        <f>K5982+K5983+K5984</f>
        <v>488.1</v>
      </c>
      <c r="L5985" s="192"/>
      <c r="M5985" s="568"/>
    </row>
    <row r="5986" spans="1:13" ht="12.75" hidden="1">
      <c r="A5986" s="2114"/>
      <c r="B5986" s="568" t="s">
        <v>1235</v>
      </c>
      <c r="C5986" s="568"/>
      <c r="D5986" s="568"/>
      <c r="E5986" s="188"/>
      <c r="F5986" s="188"/>
      <c r="G5986" s="2122"/>
      <c r="H5986" s="568"/>
      <c r="I5986" s="2118"/>
      <c r="J5986" s="2123"/>
      <c r="K5986" s="2123">
        <f>ROUND(K5985/10,2)</f>
        <v>48.81</v>
      </c>
      <c r="L5986" s="192"/>
      <c r="M5986" s="568"/>
    </row>
    <row r="5987" spans="1:13" ht="12.75" hidden="1">
      <c r="A5987" s="2114"/>
      <c r="B5987" s="568"/>
      <c r="C5987" s="568"/>
      <c r="D5987" s="568"/>
      <c r="E5987" s="188"/>
      <c r="F5987" s="188"/>
      <c r="G5987" s="2122"/>
      <c r="H5987" s="568"/>
      <c r="I5987" s="2118"/>
      <c r="J5987" s="2123"/>
      <c r="K5987" s="2123"/>
      <c r="L5987" s="192"/>
      <c r="M5987" s="568"/>
    </row>
    <row r="5988" spans="1:13" ht="12.75" hidden="1">
      <c r="A5988" s="2114"/>
      <c r="B5988" s="568" t="s">
        <v>1248</v>
      </c>
      <c r="C5988" s="568"/>
      <c r="D5988" s="568"/>
      <c r="E5988" s="188"/>
      <c r="F5988" s="188"/>
      <c r="G5988" s="2122">
        <v>0.125</v>
      </c>
      <c r="H5988" s="568" t="s">
        <v>294</v>
      </c>
      <c r="I5988" s="2118" t="s">
        <v>294</v>
      </c>
      <c r="J5988" s="2123">
        <f>L89</f>
        <v>249.76622</v>
      </c>
      <c r="K5988" s="2123">
        <f>ROUND(G5988*J5988,2)</f>
        <v>31.22</v>
      </c>
      <c r="L5988" s="192"/>
      <c r="M5988" s="568"/>
    </row>
    <row r="5989" spans="1:13" ht="12.75" hidden="1">
      <c r="A5989" s="2114"/>
      <c r="B5989" s="568"/>
      <c r="C5989" s="568"/>
      <c r="D5989" s="568"/>
      <c r="E5989" s="188"/>
      <c r="F5989" s="188"/>
      <c r="G5989" s="2122"/>
      <c r="H5989" s="568"/>
      <c r="I5989" s="2118"/>
      <c r="J5989" s="2123"/>
      <c r="K5989" s="2123">
        <f>SUM(K5986:K5988)</f>
        <v>80.03</v>
      </c>
      <c r="L5989" s="192"/>
      <c r="M5989" s="568"/>
    </row>
    <row r="5990" spans="1:13" ht="12.75" hidden="1">
      <c r="A5990" s="2114"/>
      <c r="B5990" s="192" t="s">
        <v>3662</v>
      </c>
      <c r="C5990" s="568"/>
      <c r="D5990" s="568"/>
      <c r="E5990" s="188"/>
      <c r="F5990" s="188"/>
      <c r="G5990" s="2122"/>
      <c r="H5990" s="2135">
        <f>H5972</f>
        <v>7.4999999999999997E-2</v>
      </c>
      <c r="I5990" s="2134">
        <f>K5989</f>
        <v>80.03</v>
      </c>
      <c r="J5990" s="2134"/>
      <c r="K5990" s="2123">
        <f>ROUND(I5990*H5990,2)</f>
        <v>6</v>
      </c>
      <c r="L5990" s="192"/>
      <c r="M5990" s="568"/>
    </row>
    <row r="5991" spans="1:13" ht="12.75" hidden="1">
      <c r="A5991" s="2114"/>
      <c r="B5991" s="192" t="s">
        <v>3661</v>
      </c>
      <c r="C5991" s="568"/>
      <c r="D5991" s="568"/>
      <c r="E5991" s="188"/>
      <c r="F5991" s="188"/>
      <c r="G5991" s="2122"/>
      <c r="H5991" s="2135">
        <f>H5990</f>
        <v>7.4999999999999997E-2</v>
      </c>
      <c r="I5991" s="2134">
        <f>I5990</f>
        <v>80.03</v>
      </c>
      <c r="J5991" s="2134"/>
      <c r="K5991" s="2140">
        <f>ROUND(I5991*H5991,2)</f>
        <v>6</v>
      </c>
      <c r="L5991" s="192"/>
      <c r="M5991" s="568"/>
    </row>
    <row r="5992" spans="1:13" ht="12.75" hidden="1">
      <c r="A5992" s="2114"/>
      <c r="B5992" s="568"/>
      <c r="C5992" s="568"/>
      <c r="D5992" s="568"/>
      <c r="E5992" s="188"/>
      <c r="F5992" s="188"/>
      <c r="G5992" s="2122"/>
      <c r="H5992" s="568"/>
      <c r="I5992" s="2118"/>
      <c r="J5992" s="2123"/>
      <c r="K5992" s="2123">
        <f>SUM(K5989:K5991)</f>
        <v>92.03</v>
      </c>
      <c r="L5992" s="192"/>
      <c r="M5992" s="568"/>
    </row>
    <row r="5993" spans="1:13" ht="12.75" hidden="1">
      <c r="A5993" s="2114"/>
      <c r="B5993" s="192" t="s">
        <v>3738</v>
      </c>
      <c r="C5993" s="2142">
        <v>0.01</v>
      </c>
      <c r="D5993" s="568"/>
      <c r="E5993" s="188"/>
      <c r="F5993" s="188"/>
      <c r="G5993" s="2122"/>
      <c r="H5993" s="568"/>
      <c r="I5993" s="2118"/>
      <c r="J5993" s="2123"/>
      <c r="K5993" s="2140">
        <f>ROUND(K5992*C5993,2)</f>
        <v>0.92</v>
      </c>
      <c r="L5993" s="192"/>
      <c r="M5993" s="568"/>
    </row>
    <row r="5994" spans="1:13" ht="12.75" hidden="1">
      <c r="A5994" s="2114"/>
      <c r="B5994" s="568"/>
      <c r="C5994" s="568"/>
      <c r="D5994" s="568"/>
      <c r="E5994" s="188"/>
      <c r="F5994" s="188"/>
      <c r="G5994" s="2122"/>
      <c r="H5994" s="568"/>
      <c r="I5994" s="2118"/>
      <c r="J5994" s="2126" t="s">
        <v>718</v>
      </c>
      <c r="K5994" s="2124">
        <f>SUM(K5992:K5993)</f>
        <v>92.95</v>
      </c>
      <c r="L5994" s="192" t="s">
        <v>730</v>
      </c>
      <c r="M5994" s="568"/>
    </row>
    <row r="5995" spans="1:13" ht="12.75" hidden="1">
      <c r="A5995" s="2114" t="str">
        <f>A956</f>
        <v>(ii)</v>
      </c>
      <c r="B5995" s="192" t="str">
        <f>B956</f>
        <v>First Floor</v>
      </c>
      <c r="C5995" s="568"/>
      <c r="D5995" s="568"/>
      <c r="E5995" s="2120" t="str">
        <f>G926</f>
        <v>Each Sqm</v>
      </c>
      <c r="F5995" s="2120"/>
      <c r="G5995" s="2122"/>
      <c r="H5995" s="568"/>
      <c r="I5995" s="2118"/>
      <c r="J5995" s="2123"/>
      <c r="K5995" s="2123"/>
      <c r="L5995" s="192"/>
      <c r="M5995" s="568"/>
    </row>
    <row r="5996" spans="1:13" ht="12.75" hidden="1">
      <c r="A5996" s="2114"/>
      <c r="B5996" s="568" t="s">
        <v>722</v>
      </c>
      <c r="C5996" s="568"/>
      <c r="D5996" s="568"/>
      <c r="E5996" s="188"/>
      <c r="F5996" s="188"/>
      <c r="G5996" s="2122"/>
      <c r="H5996" s="568"/>
      <c r="I5996" s="2118"/>
      <c r="J5996" s="2123"/>
      <c r="K5996" s="2123">
        <f>K5992</f>
        <v>92.03</v>
      </c>
      <c r="L5996" s="192"/>
      <c r="M5996" s="568"/>
    </row>
    <row r="5997" spans="1:13" ht="12.75" hidden="1">
      <c r="A5997" s="2114"/>
      <c r="B5997" s="568" t="s">
        <v>948</v>
      </c>
      <c r="C5997" s="568"/>
      <c r="D5997" s="568"/>
      <c r="E5997" s="188"/>
      <c r="F5997" s="188"/>
      <c r="G5997" s="2122"/>
      <c r="H5997" s="2125">
        <v>0.03</v>
      </c>
      <c r="I5997" s="2134">
        <f>K5982/10</f>
        <v>48.81</v>
      </c>
      <c r="J5997" s="2124"/>
      <c r="K5997" s="2123">
        <f>ROUND(I5997*H5997,2)</f>
        <v>1.46</v>
      </c>
      <c r="L5997" s="192"/>
      <c r="M5997" s="568"/>
    </row>
    <row r="5998" spans="1:13" ht="12.75" hidden="1">
      <c r="A5998" s="2114"/>
      <c r="B5998" s="192" t="s">
        <v>3662</v>
      </c>
      <c r="C5998" s="568"/>
      <c r="D5998" s="568"/>
      <c r="E5998" s="188"/>
      <c r="F5998" s="188"/>
      <c r="G5998" s="2122"/>
      <c r="H5998" s="2135">
        <f>H5991</f>
        <v>7.4999999999999997E-2</v>
      </c>
      <c r="I5998" s="2134">
        <f>K5997</f>
        <v>1.46</v>
      </c>
      <c r="J5998" s="2134"/>
      <c r="K5998" s="2123">
        <f>ROUND(I5998*H5998,2)</f>
        <v>0.11</v>
      </c>
      <c r="L5998" s="192"/>
      <c r="M5998" s="568"/>
    </row>
    <row r="5999" spans="1:13" ht="12.75" hidden="1">
      <c r="A5999" s="2114"/>
      <c r="B5999" s="192" t="s">
        <v>3661</v>
      </c>
      <c r="C5999" s="568"/>
      <c r="D5999" s="568"/>
      <c r="E5999" s="188"/>
      <c r="F5999" s="188"/>
      <c r="G5999" s="2122"/>
      <c r="H5999" s="2135">
        <f>H5998</f>
        <v>7.4999999999999997E-2</v>
      </c>
      <c r="I5999" s="2134">
        <f>I5998</f>
        <v>1.46</v>
      </c>
      <c r="J5999" s="2134"/>
      <c r="K5999" s="2140">
        <f>ROUND(I5999*H5999,2)</f>
        <v>0.11</v>
      </c>
      <c r="L5999" s="192"/>
      <c r="M5999" s="568"/>
    </row>
    <row r="6000" spans="1:13" ht="12.75" hidden="1">
      <c r="A6000" s="2114"/>
      <c r="B6000" s="568"/>
      <c r="C6000" s="568"/>
      <c r="D6000" s="568"/>
      <c r="E6000" s="188"/>
      <c r="F6000" s="188"/>
      <c r="G6000" s="2122"/>
      <c r="H6000" s="568"/>
      <c r="I6000" s="2118"/>
      <c r="J6000" s="2123"/>
      <c r="K6000" s="2123">
        <f>SUM(K5996:K5999)</f>
        <v>93.71</v>
      </c>
      <c r="L6000" s="192"/>
      <c r="M6000" s="568"/>
    </row>
    <row r="6001" spans="1:13" ht="12.75" hidden="1">
      <c r="A6001" s="2114"/>
      <c r="B6001" s="192" t="s">
        <v>3738</v>
      </c>
      <c r="C6001" s="2142">
        <v>0.01</v>
      </c>
      <c r="D6001" s="568"/>
      <c r="E6001" s="188"/>
      <c r="F6001" s="188"/>
      <c r="G6001" s="2122"/>
      <c r="H6001" s="568"/>
      <c r="I6001" s="2118"/>
      <c r="J6001" s="2123"/>
      <c r="K6001" s="2140">
        <f>ROUND(K6000*C6001,2)</f>
        <v>0.94</v>
      </c>
      <c r="L6001" s="192"/>
      <c r="M6001" s="568"/>
    </row>
    <row r="6002" spans="1:13" ht="12.75" hidden="1">
      <c r="A6002" s="2114"/>
      <c r="B6002" s="568"/>
      <c r="C6002" s="568"/>
      <c r="D6002" s="568"/>
      <c r="E6002" s="188"/>
      <c r="F6002" s="188"/>
      <c r="G6002" s="2122"/>
      <c r="H6002" s="568"/>
      <c r="I6002" s="2118"/>
      <c r="J6002" s="2126" t="s">
        <v>718</v>
      </c>
      <c r="K6002" s="2124">
        <f>SUM(K6000:K6001)</f>
        <v>94.649999999999991</v>
      </c>
      <c r="L6002" s="192" t="s">
        <v>730</v>
      </c>
      <c r="M6002" s="568"/>
    </row>
    <row r="6003" spans="1:13" ht="12.75" hidden="1">
      <c r="A6003" s="2114" t="str">
        <f>A957</f>
        <v>(iii)</v>
      </c>
      <c r="B6003" s="192" t="str">
        <f>B957</f>
        <v>2nd Floor</v>
      </c>
      <c r="C6003" s="568"/>
      <c r="D6003" s="568"/>
      <c r="E6003" s="2120" t="str">
        <f>G930</f>
        <v>Each Sqm</v>
      </c>
      <c r="F6003" s="2120"/>
      <c r="G6003" s="2122"/>
      <c r="H6003" s="568"/>
      <c r="I6003" s="2118"/>
      <c r="J6003" s="2123"/>
      <c r="K6003" s="2123"/>
      <c r="L6003" s="192"/>
      <c r="M6003" s="568"/>
    </row>
    <row r="6004" spans="1:13" ht="12.75" hidden="1">
      <c r="A6004" s="2114"/>
      <c r="B6004" s="568" t="s">
        <v>722</v>
      </c>
      <c r="C6004" s="568"/>
      <c r="D6004" s="568"/>
      <c r="E6004" s="188"/>
      <c r="F6004" s="188"/>
      <c r="G6004" s="2122"/>
      <c r="H6004" s="568"/>
      <c r="I6004" s="2118"/>
      <c r="J6004" s="2123"/>
      <c r="K6004" s="2123">
        <f>K6000</f>
        <v>93.71</v>
      </c>
      <c r="L6004" s="192"/>
      <c r="M6004" s="568"/>
    </row>
    <row r="6005" spans="1:13" ht="12.75" hidden="1">
      <c r="A6005" s="2114"/>
      <c r="B6005" s="568" t="s">
        <v>948</v>
      </c>
      <c r="C6005" s="568"/>
      <c r="D6005" s="568"/>
      <c r="E6005" s="188"/>
      <c r="F6005" s="188"/>
      <c r="G6005" s="2122"/>
      <c r="H6005" s="2125">
        <f>H5997</f>
        <v>0.03</v>
      </c>
      <c r="I6005" s="2134">
        <f>I5997+K5997</f>
        <v>50.27</v>
      </c>
      <c r="J6005" s="2124"/>
      <c r="K6005" s="2123">
        <f>ROUND(I6005*H6005,2)</f>
        <v>1.51</v>
      </c>
      <c r="L6005" s="192"/>
      <c r="M6005" s="568"/>
    </row>
    <row r="6006" spans="1:13" ht="12.75" hidden="1">
      <c r="A6006" s="2114"/>
      <c r="B6006" s="192" t="s">
        <v>3662</v>
      </c>
      <c r="C6006" s="568"/>
      <c r="D6006" s="568"/>
      <c r="E6006" s="188"/>
      <c r="F6006" s="188"/>
      <c r="G6006" s="2122"/>
      <c r="H6006" s="2135">
        <f>H5999</f>
        <v>7.4999999999999997E-2</v>
      </c>
      <c r="I6006" s="2134">
        <f>K6005</f>
        <v>1.51</v>
      </c>
      <c r="J6006" s="2134"/>
      <c r="K6006" s="2123">
        <f>ROUND(I6006*H6006,2)</f>
        <v>0.11</v>
      </c>
      <c r="L6006" s="192"/>
      <c r="M6006" s="568"/>
    </row>
    <row r="6007" spans="1:13" ht="12.75" hidden="1">
      <c r="A6007" s="2114"/>
      <c r="B6007" s="192" t="s">
        <v>3661</v>
      </c>
      <c r="C6007" s="568"/>
      <c r="D6007" s="568"/>
      <c r="E6007" s="188"/>
      <c r="F6007" s="188"/>
      <c r="G6007" s="2122"/>
      <c r="H6007" s="2135">
        <f>H6006</f>
        <v>7.4999999999999997E-2</v>
      </c>
      <c r="I6007" s="2134">
        <f>I6006</f>
        <v>1.51</v>
      </c>
      <c r="J6007" s="2134"/>
      <c r="K6007" s="2140">
        <f>ROUND(I6007*H6007,2)</f>
        <v>0.11</v>
      </c>
      <c r="L6007" s="192"/>
      <c r="M6007" s="568"/>
    </row>
    <row r="6008" spans="1:13" ht="12.75" hidden="1">
      <c r="A6008" s="2114"/>
      <c r="B6008" s="568"/>
      <c r="C6008" s="568"/>
      <c r="D6008" s="568"/>
      <c r="E6008" s="188"/>
      <c r="F6008" s="188"/>
      <c r="G6008" s="2122"/>
      <c r="H6008" s="568"/>
      <c r="I6008" s="2118"/>
      <c r="J6008" s="2123"/>
      <c r="K6008" s="2123">
        <f>SUM(K6004:K6007)</f>
        <v>95.44</v>
      </c>
      <c r="L6008" s="192"/>
      <c r="M6008" s="568"/>
    </row>
    <row r="6009" spans="1:13" ht="12.75" hidden="1">
      <c r="A6009" s="2114"/>
      <c r="B6009" s="192" t="s">
        <v>3738</v>
      </c>
      <c r="C6009" s="2142">
        <v>0.01</v>
      </c>
      <c r="D6009" s="568"/>
      <c r="E6009" s="188"/>
      <c r="F6009" s="188"/>
      <c r="G6009" s="2122"/>
      <c r="H6009" s="568"/>
      <c r="I6009" s="2118"/>
      <c r="J6009" s="2123"/>
      <c r="K6009" s="2140">
        <f>ROUND(K6008*C6009,2)</f>
        <v>0.95</v>
      </c>
      <c r="L6009" s="192"/>
      <c r="M6009" s="568"/>
    </row>
    <row r="6010" spans="1:13" ht="12.75" hidden="1">
      <c r="A6010" s="2114"/>
      <c r="B6010" s="568"/>
      <c r="C6010" s="568"/>
      <c r="D6010" s="568"/>
      <c r="E6010" s="188"/>
      <c r="F6010" s="188"/>
      <c r="G6010" s="2122"/>
      <c r="H6010" s="568"/>
      <c r="I6010" s="2118"/>
      <c r="J6010" s="2126" t="s">
        <v>718</v>
      </c>
      <c r="K6010" s="2124">
        <f>SUM(K6008:K6009)</f>
        <v>96.39</v>
      </c>
      <c r="L6010" s="192" t="s">
        <v>730</v>
      </c>
      <c r="M6010" s="568"/>
    </row>
    <row r="6011" spans="1:13" ht="12.75" hidden="1">
      <c r="A6011" s="2114" t="str">
        <f>A958</f>
        <v>(iv)</v>
      </c>
      <c r="B6011" s="192" t="str">
        <f>B958</f>
        <v>3rd Floor</v>
      </c>
      <c r="C6011" s="568"/>
      <c r="D6011" s="568"/>
      <c r="E6011" s="2120" t="str">
        <f>G934</f>
        <v>Each Sqm</v>
      </c>
      <c r="F6011" s="2120"/>
      <c r="G6011" s="2122"/>
      <c r="H6011" s="568"/>
      <c r="I6011" s="2118"/>
      <c r="J6011" s="2123"/>
      <c r="K6011" s="2123"/>
      <c r="L6011" s="192"/>
      <c r="M6011" s="568"/>
    </row>
    <row r="6012" spans="1:13" ht="12.75" hidden="1">
      <c r="A6012" s="2114"/>
      <c r="B6012" s="568" t="s">
        <v>722</v>
      </c>
      <c r="C6012" s="568"/>
      <c r="D6012" s="568"/>
      <c r="E6012" s="188"/>
      <c r="F6012" s="188"/>
      <c r="G6012" s="2122"/>
      <c r="H6012" s="568"/>
      <c r="I6012" s="2118"/>
      <c r="J6012" s="2123"/>
      <c r="K6012" s="2123">
        <f>K6008</f>
        <v>95.44</v>
      </c>
      <c r="L6012" s="192"/>
      <c r="M6012" s="568"/>
    </row>
    <row r="6013" spans="1:13" ht="12.75" hidden="1">
      <c r="A6013" s="2114"/>
      <c r="B6013" s="568" t="s">
        <v>948</v>
      </c>
      <c r="C6013" s="568"/>
      <c r="D6013" s="568"/>
      <c r="E6013" s="188"/>
      <c r="F6013" s="188"/>
      <c r="G6013" s="2122"/>
      <c r="H6013" s="2125">
        <f>H6005</f>
        <v>0.03</v>
      </c>
      <c r="I6013" s="2134">
        <f>I6005+K6005</f>
        <v>51.78</v>
      </c>
      <c r="J6013" s="2124"/>
      <c r="K6013" s="2123">
        <f>ROUND(I6013*H6013,2)</f>
        <v>1.55</v>
      </c>
      <c r="L6013" s="192"/>
      <c r="M6013" s="568"/>
    </row>
    <row r="6014" spans="1:13" ht="12.75" hidden="1">
      <c r="A6014" s="2114"/>
      <c r="B6014" s="192" t="s">
        <v>3662</v>
      </c>
      <c r="C6014" s="568"/>
      <c r="D6014" s="568"/>
      <c r="E6014" s="188"/>
      <c r="F6014" s="188"/>
      <c r="G6014" s="2122"/>
      <c r="H6014" s="2135">
        <f>H6007</f>
        <v>7.4999999999999997E-2</v>
      </c>
      <c r="I6014" s="2134">
        <f>K6013</f>
        <v>1.55</v>
      </c>
      <c r="J6014" s="2134"/>
      <c r="K6014" s="2123">
        <f>ROUND(I6014*H6014,2)</f>
        <v>0.12</v>
      </c>
      <c r="L6014" s="192"/>
      <c r="M6014" s="568"/>
    </row>
    <row r="6015" spans="1:13" ht="12.75" hidden="1">
      <c r="A6015" s="2114"/>
      <c r="B6015" s="192" t="s">
        <v>3661</v>
      </c>
      <c r="C6015" s="568"/>
      <c r="D6015" s="568"/>
      <c r="E6015" s="188"/>
      <c r="F6015" s="188"/>
      <c r="G6015" s="2122"/>
      <c r="H6015" s="2135">
        <f>H6014</f>
        <v>7.4999999999999997E-2</v>
      </c>
      <c r="I6015" s="2134">
        <f>I6014</f>
        <v>1.55</v>
      </c>
      <c r="J6015" s="2134"/>
      <c r="K6015" s="2140">
        <f>ROUND(I6015*H6015,2)</f>
        <v>0.12</v>
      </c>
      <c r="L6015" s="192"/>
      <c r="M6015" s="568"/>
    </row>
    <row r="6016" spans="1:13" ht="12.75" hidden="1">
      <c r="A6016" s="2114"/>
      <c r="B6016" s="568"/>
      <c r="C6016" s="568"/>
      <c r="D6016" s="568"/>
      <c r="E6016" s="188"/>
      <c r="F6016" s="188"/>
      <c r="G6016" s="2122"/>
      <c r="H6016" s="568"/>
      <c r="I6016" s="2118"/>
      <c r="J6016" s="2123"/>
      <c r="K6016" s="2123">
        <f>SUM(K6012:K6015)</f>
        <v>97.23</v>
      </c>
      <c r="L6016" s="192"/>
      <c r="M6016" s="568"/>
    </row>
    <row r="6017" spans="1:13" ht="12.75" hidden="1">
      <c r="A6017" s="2114"/>
      <c r="B6017" s="192" t="s">
        <v>3738</v>
      </c>
      <c r="C6017" s="2142">
        <v>0.01</v>
      </c>
      <c r="D6017" s="568"/>
      <c r="E6017" s="188"/>
      <c r="F6017" s="188"/>
      <c r="G6017" s="2122"/>
      <c r="H6017" s="568"/>
      <c r="I6017" s="2118"/>
      <c r="J6017" s="2123"/>
      <c r="K6017" s="2140">
        <f>ROUND(K6016*C6017,2)</f>
        <v>0.97</v>
      </c>
      <c r="L6017" s="192"/>
      <c r="M6017" s="568"/>
    </row>
    <row r="6018" spans="1:13" ht="12.75" hidden="1">
      <c r="A6018" s="2114"/>
      <c r="B6018" s="568"/>
      <c r="C6018" s="568"/>
      <c r="D6018" s="568"/>
      <c r="E6018" s="188"/>
      <c r="F6018" s="188"/>
      <c r="G6018" s="2122"/>
      <c r="H6018" s="568"/>
      <c r="I6018" s="2118"/>
      <c r="J6018" s="2126" t="s">
        <v>718</v>
      </c>
      <c r="K6018" s="2124">
        <f>SUM(K6016:K6017)</f>
        <v>98.2</v>
      </c>
      <c r="L6018" s="192" t="s">
        <v>730</v>
      </c>
      <c r="M6018" s="568"/>
    </row>
    <row r="6019" spans="1:13" ht="77.650000000000006" customHeight="1">
      <c r="A6019" s="2114">
        <f>A959</f>
        <v>123</v>
      </c>
      <c r="B6019" s="3025" t="str">
        <f>B959</f>
        <v xml:space="preserve">Painting two coats with plastic emulsion paint over a coat of water bond cement primer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v>
      </c>
      <c r="C6019" s="3025"/>
      <c r="D6019" s="3025"/>
      <c r="E6019" s="3025"/>
      <c r="F6019" s="3025"/>
      <c r="G6019" s="3025"/>
      <c r="H6019" s="3025"/>
      <c r="I6019" s="2118"/>
      <c r="J6019" s="2124"/>
      <c r="K6019" s="2124"/>
      <c r="L6019" s="192"/>
      <c r="M6019" s="568"/>
    </row>
    <row r="6020" spans="1:13" ht="12.75">
      <c r="A6020" s="2114" t="str">
        <f>A960</f>
        <v>(i)</v>
      </c>
      <c r="B6020" s="192" t="str">
        <f>B960</f>
        <v>Ground Floor</v>
      </c>
      <c r="C6020" s="568"/>
      <c r="D6020" s="568"/>
      <c r="E6020" s="2120" t="str">
        <f>G960</f>
        <v>Each Sqm</v>
      </c>
      <c r="F6020" s="2120"/>
      <c r="G6020" s="2122"/>
      <c r="H6020" s="568"/>
      <c r="I6020" s="2118"/>
      <c r="J6020" s="2123"/>
      <c r="K6020" s="2123"/>
      <c r="L6020" s="192"/>
      <c r="M6020" s="568"/>
    </row>
    <row r="6021" spans="1:13" ht="12.75">
      <c r="A6021" s="2114"/>
      <c r="B6021" s="192" t="s">
        <v>964</v>
      </c>
      <c r="C6021" s="568"/>
      <c r="D6021" s="568"/>
      <c r="E6021" s="188"/>
      <c r="F6021" s="188"/>
      <c r="G6021" s="2122"/>
      <c r="H6021" s="568"/>
      <c r="I6021" s="2118"/>
      <c r="J6021" s="2123"/>
      <c r="K6021" s="2123"/>
      <c r="L6021" s="192"/>
      <c r="M6021" s="568"/>
    </row>
    <row r="6022" spans="1:13" ht="12.75">
      <c r="A6022" s="2114"/>
      <c r="B6022" s="192" t="s">
        <v>954</v>
      </c>
      <c r="C6022" s="568"/>
      <c r="D6022" s="568"/>
      <c r="E6022" s="188"/>
      <c r="F6022" s="188"/>
      <c r="G6022" s="2122"/>
      <c r="H6022" s="568"/>
      <c r="I6022" s="2118"/>
      <c r="J6022" s="2123"/>
      <c r="K6022" s="2123"/>
      <c r="L6022" s="192"/>
      <c r="M6022" s="568"/>
    </row>
    <row r="6023" spans="1:13" ht="12.75">
      <c r="A6023" s="2114"/>
      <c r="B6023" s="568" t="s">
        <v>1237</v>
      </c>
      <c r="C6023" s="568"/>
      <c r="D6023" s="568"/>
      <c r="E6023" s="188"/>
      <c r="F6023" s="188"/>
      <c r="G6023" s="2122">
        <v>1.077</v>
      </c>
      <c r="H6023" s="568" t="s">
        <v>262</v>
      </c>
      <c r="I6023" s="2118" t="s">
        <v>38</v>
      </c>
      <c r="J6023" s="2123">
        <f>L137</f>
        <v>495</v>
      </c>
      <c r="K6023" s="2123">
        <f>ROUND(G6023*J6023,2)</f>
        <v>533.12</v>
      </c>
      <c r="L6023" s="192"/>
      <c r="M6023" s="568"/>
    </row>
    <row r="6024" spans="1:13" ht="12.75">
      <c r="A6024" s="2114"/>
      <c r="B6024" s="568" t="s">
        <v>717</v>
      </c>
      <c r="C6024" s="568"/>
      <c r="D6024" s="568"/>
      <c r="E6024" s="188"/>
      <c r="F6024" s="188"/>
      <c r="G6024" s="2122">
        <v>1.177</v>
      </c>
      <c r="H6024" s="568" t="s">
        <v>262</v>
      </c>
      <c r="I6024" s="2118" t="s">
        <v>38</v>
      </c>
      <c r="J6024" s="2123">
        <f>L134</f>
        <v>345</v>
      </c>
      <c r="K6024" s="2123">
        <f>ROUND(G6024*J6024,2)</f>
        <v>406.07</v>
      </c>
      <c r="L6024" s="192"/>
      <c r="M6024" s="568"/>
    </row>
    <row r="6025" spans="1:13" ht="12.75">
      <c r="A6025" s="2114"/>
      <c r="B6025" s="568"/>
      <c r="C6025" s="568"/>
      <c r="D6025" s="568"/>
      <c r="E6025" s="188"/>
      <c r="F6025" s="188"/>
      <c r="G6025" s="2122"/>
      <c r="H6025" s="568"/>
      <c r="I6025" s="2118"/>
      <c r="J6025" s="2123" t="s">
        <v>718</v>
      </c>
      <c r="K6025" s="2123">
        <f>SUM(K6023:K6024)</f>
        <v>939.19</v>
      </c>
      <c r="L6025" s="192"/>
      <c r="M6025" s="568"/>
    </row>
    <row r="6026" spans="1:13" ht="12.75">
      <c r="A6026" s="2114"/>
      <c r="B6026" s="192"/>
      <c r="C6026" s="568"/>
      <c r="D6026" s="568"/>
      <c r="E6026" s="188"/>
      <c r="F6026" s="188"/>
      <c r="G6026" s="2122"/>
      <c r="H6026" s="568"/>
      <c r="I6026" s="2118"/>
      <c r="J6026" s="2123"/>
      <c r="K6026" s="2123"/>
      <c r="L6026" s="192"/>
      <c r="M6026" s="568"/>
    </row>
    <row r="6027" spans="1:13" ht="12.75">
      <c r="A6027" s="2114"/>
      <c r="B6027" s="192" t="s">
        <v>1234</v>
      </c>
      <c r="C6027" s="568"/>
      <c r="D6027" s="568"/>
      <c r="E6027" s="188"/>
      <c r="F6027" s="188"/>
      <c r="G6027" s="2122"/>
      <c r="H6027" s="568"/>
      <c r="I6027" s="2118"/>
      <c r="J6027" s="2123"/>
      <c r="K6027" s="2123"/>
      <c r="L6027" s="192"/>
      <c r="M6027" s="568"/>
    </row>
    <row r="6028" spans="1:13" ht="12.75">
      <c r="A6028" s="2114"/>
      <c r="B6028" s="192" t="s">
        <v>967</v>
      </c>
      <c r="C6028" s="568"/>
      <c r="D6028" s="568"/>
      <c r="E6028" s="188"/>
      <c r="F6028" s="188"/>
      <c r="G6028" s="2122"/>
      <c r="H6028" s="568"/>
      <c r="I6028" s="2118"/>
      <c r="J6028" s="2123"/>
      <c r="K6028" s="2123">
        <f>K6025+K6026+K6027</f>
        <v>939.19</v>
      </c>
      <c r="L6028" s="192"/>
      <c r="M6028" s="568"/>
    </row>
    <row r="6029" spans="1:13" ht="12.75">
      <c r="A6029" s="2114"/>
      <c r="B6029" s="192" t="s">
        <v>1235</v>
      </c>
      <c r="C6029" s="568"/>
      <c r="D6029" s="568"/>
      <c r="E6029" s="188"/>
      <c r="F6029" s="188"/>
      <c r="G6029" s="2122"/>
      <c r="H6029" s="568"/>
      <c r="I6029" s="2118"/>
      <c r="J6029" s="2123"/>
      <c r="K6029" s="2123">
        <f>ROUND(K6028/10,2)</f>
        <v>93.92</v>
      </c>
      <c r="L6029" s="192"/>
      <c r="M6029" s="568"/>
    </row>
    <row r="6030" spans="1:13" ht="12.75">
      <c r="A6030" s="2114"/>
      <c r="B6030" s="568" t="s">
        <v>1241</v>
      </c>
      <c r="C6030" s="568"/>
      <c r="D6030" s="568"/>
      <c r="E6030" s="188"/>
      <c r="F6030" s="188"/>
      <c r="G6030" s="2122">
        <v>8.4000000000000005E-2</v>
      </c>
      <c r="H6030" s="568" t="s">
        <v>294</v>
      </c>
      <c r="I6030" s="2118" t="s">
        <v>294</v>
      </c>
      <c r="J6030" s="2123">
        <f>L94</f>
        <v>159.45622</v>
      </c>
      <c r="K6030" s="2123">
        <f>ROUND(G6030*J6030,2)</f>
        <v>13.39</v>
      </c>
      <c r="L6030" s="192"/>
      <c r="M6030" s="568"/>
    </row>
    <row r="6031" spans="1:13" ht="12.75">
      <c r="A6031" s="2114"/>
      <c r="B6031" s="568" t="s">
        <v>1248</v>
      </c>
      <c r="C6031" s="568"/>
      <c r="D6031" s="568"/>
      <c r="E6031" s="188"/>
      <c r="F6031" s="188"/>
      <c r="G6031" s="2122">
        <v>0.125</v>
      </c>
      <c r="H6031" s="568" t="s">
        <v>294</v>
      </c>
      <c r="I6031" s="2118" t="s">
        <v>294</v>
      </c>
      <c r="J6031" s="2123">
        <f>L89</f>
        <v>249.76622</v>
      </c>
      <c r="K6031" s="2123">
        <f>ROUND(G6031*J6031,2)</f>
        <v>31.22</v>
      </c>
      <c r="L6031" s="192"/>
      <c r="M6031" s="568"/>
    </row>
    <row r="6032" spans="1:13" ht="12.75">
      <c r="A6032" s="2114"/>
      <c r="B6032" s="568"/>
      <c r="C6032" s="568"/>
      <c r="D6032" s="568"/>
      <c r="E6032" s="188"/>
      <c r="F6032" s="188"/>
      <c r="G6032" s="2122"/>
      <c r="H6032" s="568"/>
      <c r="I6032" s="2118"/>
      <c r="J6032" s="2123"/>
      <c r="K6032" s="2123">
        <f>SUM(K6029:K6031)</f>
        <v>138.53</v>
      </c>
      <c r="L6032" s="192"/>
      <c r="M6032" s="568"/>
    </row>
    <row r="6033" spans="1:13" ht="12.75">
      <c r="A6033" s="2114"/>
      <c r="B6033" s="192" t="s">
        <v>3662</v>
      </c>
      <c r="C6033" s="568"/>
      <c r="D6033" s="568"/>
      <c r="E6033" s="188"/>
      <c r="F6033" s="188"/>
      <c r="G6033" s="2122"/>
      <c r="H6033" s="2135">
        <f>H6015</f>
        <v>7.4999999999999997E-2</v>
      </c>
      <c r="I6033" s="2134">
        <f>K6032</f>
        <v>138.53</v>
      </c>
      <c r="J6033" s="2134"/>
      <c r="K6033" s="2123">
        <f>ROUND(I6033*H6033,2)</f>
        <v>10.39</v>
      </c>
      <c r="L6033" s="192"/>
      <c r="M6033" s="568"/>
    </row>
    <row r="6034" spans="1:13" ht="12.75">
      <c r="A6034" s="2114"/>
      <c r="B6034" s="192" t="s">
        <v>3661</v>
      </c>
      <c r="C6034" s="568"/>
      <c r="D6034" s="568"/>
      <c r="E6034" s="188"/>
      <c r="F6034" s="188"/>
      <c r="G6034" s="2122"/>
      <c r="H6034" s="2135">
        <f>H6033</f>
        <v>7.4999999999999997E-2</v>
      </c>
      <c r="I6034" s="2134">
        <f>I6033</f>
        <v>138.53</v>
      </c>
      <c r="J6034" s="2134"/>
      <c r="K6034" s="2140">
        <f>ROUND(I6034*H6034,2)</f>
        <v>10.39</v>
      </c>
      <c r="L6034" s="192"/>
      <c r="M6034" s="568"/>
    </row>
    <row r="6035" spans="1:13" ht="12.75">
      <c r="A6035" s="2114"/>
      <c r="B6035" s="568"/>
      <c r="C6035" s="568"/>
      <c r="D6035" s="568"/>
      <c r="E6035" s="188"/>
      <c r="F6035" s="188"/>
      <c r="G6035" s="2122"/>
      <c r="H6035" s="568"/>
      <c r="I6035" s="2118"/>
      <c r="J6035" s="2123"/>
      <c r="K6035" s="2123">
        <f>SUM(K6032:K6034)</f>
        <v>159.31</v>
      </c>
      <c r="L6035" s="192"/>
      <c r="M6035" s="568"/>
    </row>
    <row r="6036" spans="1:13" ht="12.75">
      <c r="A6036" s="2114"/>
      <c r="B6036" s="192" t="s">
        <v>3738</v>
      </c>
      <c r="C6036" s="2142">
        <v>0.01</v>
      </c>
      <c r="D6036" s="568"/>
      <c r="E6036" s="188"/>
      <c r="F6036" s="188"/>
      <c r="G6036" s="2122"/>
      <c r="H6036" s="568"/>
      <c r="I6036" s="2118"/>
      <c r="J6036" s="2123"/>
      <c r="K6036" s="2140">
        <f>ROUND(K6035*C6036,2)</f>
        <v>1.59</v>
      </c>
      <c r="L6036" s="192"/>
      <c r="M6036" s="568"/>
    </row>
    <row r="6037" spans="1:13" ht="12.75">
      <c r="A6037" s="2114"/>
      <c r="B6037" s="568"/>
      <c r="C6037" s="568"/>
      <c r="D6037" s="568"/>
      <c r="E6037" s="188"/>
      <c r="F6037" s="188"/>
      <c r="G6037" s="2122"/>
      <c r="H6037" s="568"/>
      <c r="I6037" s="2118"/>
      <c r="J6037" s="2126" t="s">
        <v>718</v>
      </c>
      <c r="K6037" s="2124">
        <f>SUM(K6035:K6036)</f>
        <v>160.9</v>
      </c>
      <c r="L6037" s="192" t="s">
        <v>730</v>
      </c>
      <c r="M6037" s="568"/>
    </row>
    <row r="6038" spans="1:13" ht="12.75" hidden="1">
      <c r="A6038" s="2114" t="str">
        <f>A961</f>
        <v>(ii)</v>
      </c>
      <c r="B6038" s="192" t="str">
        <f>B961</f>
        <v>First Floor</v>
      </c>
      <c r="C6038" s="568"/>
      <c r="D6038" s="568"/>
      <c r="E6038" s="2120" t="str">
        <f>G961</f>
        <v>Each Sqm</v>
      </c>
      <c r="F6038" s="2120"/>
      <c r="G6038" s="2122"/>
      <c r="H6038" s="568"/>
      <c r="I6038" s="2118"/>
      <c r="J6038" s="2123"/>
      <c r="K6038" s="2123"/>
      <c r="L6038" s="192"/>
      <c r="M6038" s="568"/>
    </row>
    <row r="6039" spans="1:13" ht="12.75" hidden="1">
      <c r="A6039" s="2114"/>
      <c r="B6039" s="568" t="s">
        <v>722</v>
      </c>
      <c r="C6039" s="568"/>
      <c r="D6039" s="568"/>
      <c r="E6039" s="188"/>
      <c r="F6039" s="188"/>
      <c r="G6039" s="2122"/>
      <c r="H6039" s="568"/>
      <c r="I6039" s="2118"/>
      <c r="J6039" s="2123"/>
      <c r="K6039" s="2123">
        <f>K6035</f>
        <v>159.31</v>
      </c>
      <c r="L6039" s="192"/>
      <c r="M6039" s="568"/>
    </row>
    <row r="6040" spans="1:13" ht="12.75" hidden="1">
      <c r="A6040" s="2114"/>
      <c r="B6040" s="568" t="s">
        <v>948</v>
      </c>
      <c r="C6040" s="568"/>
      <c r="D6040" s="568"/>
      <c r="E6040" s="188"/>
      <c r="F6040" s="188"/>
      <c r="G6040" s="2122"/>
      <c r="H6040" s="2125">
        <v>0.03</v>
      </c>
      <c r="I6040" s="2134">
        <f>K6025/10</f>
        <v>93.919000000000011</v>
      </c>
      <c r="J6040" s="2124"/>
      <c r="K6040" s="2123">
        <f>ROUND(I6040*H6040,2)</f>
        <v>2.82</v>
      </c>
      <c r="L6040" s="192"/>
      <c r="M6040" s="568"/>
    </row>
    <row r="6041" spans="1:13" ht="12.75" hidden="1">
      <c r="A6041" s="2114"/>
      <c r="B6041" s="192" t="s">
        <v>3662</v>
      </c>
      <c r="C6041" s="568"/>
      <c r="D6041" s="568"/>
      <c r="E6041" s="188"/>
      <c r="F6041" s="188"/>
      <c r="G6041" s="2122"/>
      <c r="H6041" s="2135">
        <f>H6034</f>
        <v>7.4999999999999997E-2</v>
      </c>
      <c r="I6041" s="2134">
        <f>K6040</f>
        <v>2.82</v>
      </c>
      <c r="J6041" s="2134"/>
      <c r="K6041" s="2123">
        <f>ROUND(I6041*H6041,2)</f>
        <v>0.21</v>
      </c>
      <c r="L6041" s="192"/>
      <c r="M6041" s="568"/>
    </row>
    <row r="6042" spans="1:13" ht="12.75" hidden="1">
      <c r="A6042" s="2114"/>
      <c r="B6042" s="192" t="s">
        <v>3661</v>
      </c>
      <c r="C6042" s="568"/>
      <c r="D6042" s="568"/>
      <c r="E6042" s="188"/>
      <c r="F6042" s="188"/>
      <c r="G6042" s="2122"/>
      <c r="H6042" s="2135">
        <f>H6041</f>
        <v>7.4999999999999997E-2</v>
      </c>
      <c r="I6042" s="2134">
        <f>I6041</f>
        <v>2.82</v>
      </c>
      <c r="J6042" s="2134"/>
      <c r="K6042" s="2140">
        <f>ROUND(I6042*H6042,2)</f>
        <v>0.21</v>
      </c>
      <c r="L6042" s="192"/>
      <c r="M6042" s="568"/>
    </row>
    <row r="6043" spans="1:13" ht="12.75" hidden="1">
      <c r="A6043" s="2114"/>
      <c r="B6043" s="568"/>
      <c r="C6043" s="568"/>
      <c r="D6043" s="568"/>
      <c r="E6043" s="188"/>
      <c r="F6043" s="188"/>
      <c r="G6043" s="2122"/>
      <c r="H6043" s="568"/>
      <c r="I6043" s="2118"/>
      <c r="J6043" s="2123"/>
      <c r="K6043" s="2123">
        <f>SUM(K6039:K6042)</f>
        <v>162.55000000000001</v>
      </c>
      <c r="L6043" s="192"/>
      <c r="M6043" s="568"/>
    </row>
    <row r="6044" spans="1:13" ht="12.75" hidden="1">
      <c r="A6044" s="2114"/>
      <c r="B6044" s="192" t="s">
        <v>3738</v>
      </c>
      <c r="C6044" s="2142">
        <v>0.01</v>
      </c>
      <c r="D6044" s="568"/>
      <c r="E6044" s="188"/>
      <c r="F6044" s="188"/>
      <c r="G6044" s="2122"/>
      <c r="H6044" s="568"/>
      <c r="I6044" s="2118"/>
      <c r="J6044" s="2123"/>
      <c r="K6044" s="2140">
        <f>ROUND(K6043*C6044,2)</f>
        <v>1.63</v>
      </c>
      <c r="L6044" s="192"/>
      <c r="M6044" s="568"/>
    </row>
    <row r="6045" spans="1:13" ht="12.75" hidden="1">
      <c r="A6045" s="2114"/>
      <c r="B6045" s="568"/>
      <c r="C6045" s="568"/>
      <c r="D6045" s="568"/>
      <c r="E6045" s="188"/>
      <c r="F6045" s="188"/>
      <c r="G6045" s="2122"/>
      <c r="H6045" s="568"/>
      <c r="I6045" s="2118"/>
      <c r="J6045" s="2126" t="s">
        <v>718</v>
      </c>
      <c r="K6045" s="2124">
        <f>SUM(K6043:K6044)</f>
        <v>164.18</v>
      </c>
      <c r="L6045" s="192" t="s">
        <v>730</v>
      </c>
      <c r="M6045" s="568"/>
    </row>
    <row r="6046" spans="1:13" ht="12.75" hidden="1">
      <c r="A6046" s="2114" t="str">
        <f>A962</f>
        <v>(iii)</v>
      </c>
      <c r="B6046" s="192" t="str">
        <f>B962</f>
        <v>2nd Floor</v>
      </c>
      <c r="C6046" s="568"/>
      <c r="D6046" s="568"/>
      <c r="E6046" s="2120" t="str">
        <f>G965</f>
        <v>Each Sqm</v>
      </c>
      <c r="F6046" s="2120"/>
      <c r="G6046" s="2122"/>
      <c r="H6046" s="568"/>
      <c r="I6046" s="2118"/>
      <c r="J6046" s="2123"/>
      <c r="K6046" s="2123"/>
      <c r="L6046" s="192"/>
      <c r="M6046" s="568"/>
    </row>
    <row r="6047" spans="1:13" ht="12.75" hidden="1">
      <c r="A6047" s="2114"/>
      <c r="B6047" s="568" t="s">
        <v>722</v>
      </c>
      <c r="C6047" s="568"/>
      <c r="D6047" s="568"/>
      <c r="E6047" s="188"/>
      <c r="F6047" s="188"/>
      <c r="G6047" s="2122"/>
      <c r="H6047" s="568"/>
      <c r="I6047" s="2118"/>
      <c r="J6047" s="2123"/>
      <c r="K6047" s="2123">
        <f>K6043</f>
        <v>162.55000000000001</v>
      </c>
      <c r="L6047" s="192"/>
      <c r="M6047" s="568"/>
    </row>
    <row r="6048" spans="1:13" ht="12.75" hidden="1">
      <c r="A6048" s="2114"/>
      <c r="B6048" s="568" t="s">
        <v>948</v>
      </c>
      <c r="C6048" s="568"/>
      <c r="D6048" s="568"/>
      <c r="E6048" s="188"/>
      <c r="F6048" s="188"/>
      <c r="G6048" s="2122"/>
      <c r="H6048" s="2125">
        <f>H6040</f>
        <v>0.03</v>
      </c>
      <c r="I6048" s="2134">
        <f>I6040+K6040</f>
        <v>96.739000000000004</v>
      </c>
      <c r="J6048" s="2124"/>
      <c r="K6048" s="2123">
        <f>ROUND(I6048*H6048,2)</f>
        <v>2.9</v>
      </c>
      <c r="L6048" s="192"/>
      <c r="M6048" s="568"/>
    </row>
    <row r="6049" spans="1:13" ht="12.75" hidden="1">
      <c r="A6049" s="2114"/>
      <c r="B6049" s="192" t="s">
        <v>3662</v>
      </c>
      <c r="C6049" s="568"/>
      <c r="D6049" s="568"/>
      <c r="E6049" s="188"/>
      <c r="F6049" s="188"/>
      <c r="G6049" s="2122"/>
      <c r="H6049" s="2135">
        <f>H6042</f>
        <v>7.4999999999999997E-2</v>
      </c>
      <c r="I6049" s="2134">
        <f>K6048</f>
        <v>2.9</v>
      </c>
      <c r="J6049" s="2134"/>
      <c r="K6049" s="2123">
        <f>ROUND(I6049*H6049,2)</f>
        <v>0.22</v>
      </c>
      <c r="L6049" s="192"/>
      <c r="M6049" s="568"/>
    </row>
    <row r="6050" spans="1:13" ht="12.75" hidden="1">
      <c r="A6050" s="2114"/>
      <c r="B6050" s="192" t="s">
        <v>3661</v>
      </c>
      <c r="C6050" s="568"/>
      <c r="D6050" s="568"/>
      <c r="E6050" s="188"/>
      <c r="F6050" s="188"/>
      <c r="G6050" s="2122"/>
      <c r="H6050" s="2135">
        <f>H6049</f>
        <v>7.4999999999999997E-2</v>
      </c>
      <c r="I6050" s="2134">
        <f>I6049</f>
        <v>2.9</v>
      </c>
      <c r="J6050" s="2134"/>
      <c r="K6050" s="2140">
        <f>ROUND(I6050*H6050,2)</f>
        <v>0.22</v>
      </c>
      <c r="L6050" s="192"/>
      <c r="M6050" s="568"/>
    </row>
    <row r="6051" spans="1:13" ht="12.75" hidden="1">
      <c r="A6051" s="2114"/>
      <c r="B6051" s="568"/>
      <c r="C6051" s="568"/>
      <c r="D6051" s="568"/>
      <c r="E6051" s="188"/>
      <c r="F6051" s="188"/>
      <c r="G6051" s="2122"/>
      <c r="H6051" s="568"/>
      <c r="I6051" s="2118"/>
      <c r="J6051" s="2123"/>
      <c r="K6051" s="2123">
        <f>SUM(K6047:K6050)</f>
        <v>165.89000000000001</v>
      </c>
      <c r="L6051" s="192"/>
      <c r="M6051" s="568"/>
    </row>
    <row r="6052" spans="1:13" ht="12.75" hidden="1">
      <c r="A6052" s="2114"/>
      <c r="B6052" s="192" t="s">
        <v>3738</v>
      </c>
      <c r="C6052" s="2142">
        <v>0.01</v>
      </c>
      <c r="D6052" s="568"/>
      <c r="E6052" s="188"/>
      <c r="F6052" s="188"/>
      <c r="G6052" s="2122"/>
      <c r="H6052" s="568"/>
      <c r="I6052" s="2118"/>
      <c r="J6052" s="2123"/>
      <c r="K6052" s="2140">
        <f>ROUND(K6051*C6052,2)</f>
        <v>1.66</v>
      </c>
      <c r="L6052" s="192"/>
      <c r="M6052" s="568"/>
    </row>
    <row r="6053" spans="1:13" ht="12.75" hidden="1">
      <c r="A6053" s="2114"/>
      <c r="B6053" s="568"/>
      <c r="C6053" s="568"/>
      <c r="D6053" s="568"/>
      <c r="E6053" s="188"/>
      <c r="F6053" s="188"/>
      <c r="G6053" s="2122"/>
      <c r="H6053" s="568"/>
      <c r="I6053" s="2118"/>
      <c r="J6053" s="2126" t="s">
        <v>718</v>
      </c>
      <c r="K6053" s="2124">
        <f>SUM(K6051:K6052)</f>
        <v>167.55</v>
      </c>
      <c r="L6053" s="192" t="s">
        <v>730</v>
      </c>
      <c r="M6053" s="568"/>
    </row>
    <row r="6054" spans="1:13" ht="12.75" hidden="1">
      <c r="A6054" s="2114" t="str">
        <f>A963</f>
        <v>(iv)</v>
      </c>
      <c r="B6054" s="192" t="str">
        <f>B963</f>
        <v>3rd Floor</v>
      </c>
      <c r="C6054" s="568"/>
      <c r="D6054" s="568"/>
      <c r="E6054" s="2120" t="str">
        <f>G969</f>
        <v>Each Sqm</v>
      </c>
      <c r="F6054" s="2120"/>
      <c r="G6054" s="2122"/>
      <c r="H6054" s="568"/>
      <c r="I6054" s="2118"/>
      <c r="J6054" s="2123"/>
      <c r="K6054" s="2123"/>
      <c r="L6054" s="192"/>
      <c r="M6054" s="568"/>
    </row>
    <row r="6055" spans="1:13" ht="12.75" hidden="1">
      <c r="A6055" s="2114"/>
      <c r="B6055" s="568" t="s">
        <v>722</v>
      </c>
      <c r="C6055" s="568"/>
      <c r="D6055" s="568"/>
      <c r="E6055" s="188"/>
      <c r="F6055" s="188"/>
      <c r="G6055" s="2122"/>
      <c r="H6055" s="568"/>
      <c r="I6055" s="2118"/>
      <c r="J6055" s="2123"/>
      <c r="K6055" s="2123">
        <f>K6051</f>
        <v>165.89000000000001</v>
      </c>
      <c r="L6055" s="192"/>
      <c r="M6055" s="568"/>
    </row>
    <row r="6056" spans="1:13" ht="12.75" hidden="1">
      <c r="A6056" s="2114"/>
      <c r="B6056" s="568" t="s">
        <v>948</v>
      </c>
      <c r="C6056" s="568"/>
      <c r="D6056" s="568"/>
      <c r="E6056" s="188"/>
      <c r="F6056" s="188"/>
      <c r="G6056" s="2122"/>
      <c r="H6056" s="2125">
        <f>H6048</f>
        <v>0.03</v>
      </c>
      <c r="I6056" s="2134">
        <f>I6048+K6048</f>
        <v>99.63900000000001</v>
      </c>
      <c r="J6056" s="2124"/>
      <c r="K6056" s="2123">
        <f>ROUND(I6056*H6056,2)</f>
        <v>2.99</v>
      </c>
      <c r="L6056" s="192"/>
      <c r="M6056" s="568"/>
    </row>
    <row r="6057" spans="1:13" ht="12.75" hidden="1">
      <c r="A6057" s="2114"/>
      <c r="B6057" s="192" t="s">
        <v>3662</v>
      </c>
      <c r="C6057" s="568"/>
      <c r="D6057" s="568"/>
      <c r="E6057" s="188"/>
      <c r="F6057" s="188"/>
      <c r="G6057" s="2122"/>
      <c r="H6057" s="2135">
        <f>H6050</f>
        <v>7.4999999999999997E-2</v>
      </c>
      <c r="I6057" s="2134">
        <f>K6056</f>
        <v>2.99</v>
      </c>
      <c r="J6057" s="2134"/>
      <c r="K6057" s="2123">
        <f>ROUND(I6057*H6057,2)</f>
        <v>0.22</v>
      </c>
      <c r="L6057" s="192"/>
      <c r="M6057" s="568"/>
    </row>
    <row r="6058" spans="1:13" ht="12.75" hidden="1">
      <c r="A6058" s="2114"/>
      <c r="B6058" s="192" t="s">
        <v>3661</v>
      </c>
      <c r="C6058" s="568"/>
      <c r="D6058" s="568"/>
      <c r="E6058" s="188"/>
      <c r="F6058" s="188"/>
      <c r="G6058" s="2122"/>
      <c r="H6058" s="2135">
        <f>H6057</f>
        <v>7.4999999999999997E-2</v>
      </c>
      <c r="I6058" s="2134">
        <f>I6057</f>
        <v>2.99</v>
      </c>
      <c r="J6058" s="2134"/>
      <c r="K6058" s="2140">
        <f>ROUND(I6058*H6058,2)</f>
        <v>0.22</v>
      </c>
      <c r="L6058" s="192"/>
      <c r="M6058" s="568"/>
    </row>
    <row r="6059" spans="1:13" ht="12.75" hidden="1">
      <c r="A6059" s="2114"/>
      <c r="B6059" s="568"/>
      <c r="C6059" s="568"/>
      <c r="D6059" s="568"/>
      <c r="E6059" s="188"/>
      <c r="F6059" s="188"/>
      <c r="G6059" s="2122"/>
      <c r="H6059" s="568"/>
      <c r="I6059" s="2118"/>
      <c r="J6059" s="2123"/>
      <c r="K6059" s="2123">
        <f>SUM(K6055:K6058)</f>
        <v>169.32000000000002</v>
      </c>
      <c r="L6059" s="192"/>
      <c r="M6059" s="568"/>
    </row>
    <row r="6060" spans="1:13" ht="12.75" hidden="1">
      <c r="A6060" s="2114"/>
      <c r="B6060" s="192" t="s">
        <v>3738</v>
      </c>
      <c r="C6060" s="2142">
        <v>0.01</v>
      </c>
      <c r="D6060" s="568"/>
      <c r="E6060" s="188"/>
      <c r="F6060" s="188"/>
      <c r="G6060" s="2122"/>
      <c r="H6060" s="568"/>
      <c r="I6060" s="2118"/>
      <c r="J6060" s="2123"/>
      <c r="K6060" s="2140">
        <f>ROUND(K6059*C6060,2)</f>
        <v>1.69</v>
      </c>
      <c r="L6060" s="192"/>
      <c r="M6060" s="568"/>
    </row>
    <row r="6061" spans="1:13" ht="12.75" hidden="1">
      <c r="A6061" s="2114"/>
      <c r="B6061" s="568"/>
      <c r="C6061" s="568"/>
      <c r="D6061" s="568"/>
      <c r="E6061" s="188"/>
      <c r="F6061" s="188"/>
      <c r="G6061" s="2122"/>
      <c r="H6061" s="568"/>
      <c r="I6061" s="2118"/>
      <c r="J6061" s="2126" t="s">
        <v>718</v>
      </c>
      <c r="K6061" s="2124">
        <f>SUM(K6059:K6060)</f>
        <v>171.01000000000002</v>
      </c>
      <c r="L6061" s="192" t="s">
        <v>730</v>
      </c>
      <c r="M6061" s="568"/>
    </row>
    <row r="6062" spans="1:13" ht="69" hidden="1" customHeight="1">
      <c r="A6062" s="2114">
        <f>A964</f>
        <v>124</v>
      </c>
      <c r="B6062" s="3017" t="str">
        <f>B964</f>
        <v xml:space="preserve">Painting one coats with distemper  on old work to make an even finished surface in all floors and heights to wall surface of approved make and shade including sand papering, applying putty wherever necessary &amp; cost of scaffolding, staging charges  etc. complete as per the direction of the Engineer-in-charge. </v>
      </c>
      <c r="C6062" s="3017"/>
      <c r="D6062" s="3017"/>
      <c r="E6062" s="2116" t="str">
        <f>G964</f>
        <v>Each Sqm</v>
      </c>
      <c r="F6062" s="2116"/>
      <c r="G6062" s="2122"/>
      <c r="H6062" s="568"/>
      <c r="I6062" s="2118"/>
      <c r="J6062" s="2124"/>
      <c r="K6062" s="2124"/>
      <c r="L6062" s="192"/>
      <c r="M6062" s="568"/>
    </row>
    <row r="6063" spans="1:13" ht="12.75" hidden="1">
      <c r="A6063" s="2114" t="str">
        <f>A965</f>
        <v>(i)</v>
      </c>
      <c r="B6063" s="192" t="str">
        <f>B965</f>
        <v>Ground Floor</v>
      </c>
      <c r="C6063" s="568"/>
      <c r="D6063" s="568"/>
      <c r="E6063" s="2120" t="str">
        <f>G931</f>
        <v>Each Sqm</v>
      </c>
      <c r="F6063" s="2120"/>
      <c r="G6063" s="2122"/>
      <c r="H6063" s="568"/>
      <c r="I6063" s="2118"/>
      <c r="J6063" s="2123"/>
      <c r="K6063" s="2123"/>
      <c r="L6063" s="192"/>
      <c r="M6063" s="568"/>
    </row>
    <row r="6064" spans="1:13" ht="12.75" hidden="1">
      <c r="A6064" s="568"/>
      <c r="B6064" s="192" t="s">
        <v>964</v>
      </c>
      <c r="C6064" s="568"/>
      <c r="D6064" s="568"/>
      <c r="E6064" s="188"/>
      <c r="F6064" s="188"/>
      <c r="G6064" s="2122"/>
      <c r="H6064" s="2117"/>
      <c r="I6064" s="2118"/>
      <c r="J6064" s="2123"/>
      <c r="K6064" s="2123"/>
      <c r="L6064" s="2119"/>
      <c r="M6064" s="568"/>
    </row>
    <row r="6065" spans="1:17" ht="12.75" hidden="1">
      <c r="A6065" s="568"/>
      <c r="B6065" s="192" t="s">
        <v>954</v>
      </c>
      <c r="C6065" s="568"/>
      <c r="D6065" s="568"/>
      <c r="E6065" s="188"/>
      <c r="F6065" s="188"/>
      <c r="G6065" s="2122"/>
      <c r="H6065" s="2117"/>
      <c r="I6065" s="2118"/>
      <c r="J6065" s="2123"/>
      <c r="K6065" s="2123"/>
      <c r="L6065" s="2119"/>
      <c r="M6065" s="568"/>
    </row>
    <row r="6066" spans="1:17" ht="12.75" hidden="1">
      <c r="A6066" s="568"/>
      <c r="B6066" s="568" t="s">
        <v>1237</v>
      </c>
      <c r="C6066" s="568"/>
      <c r="D6066" s="568"/>
      <c r="E6066" s="188"/>
      <c r="F6066" s="188"/>
      <c r="G6066" s="2122">
        <v>0.33</v>
      </c>
      <c r="H6066" s="2117" t="s">
        <v>262</v>
      </c>
      <c r="I6066" s="2118" t="s">
        <v>38</v>
      </c>
      <c r="J6066" s="2123">
        <f>L137</f>
        <v>495</v>
      </c>
      <c r="K6066" s="2123">
        <f>ROUND(G6066*J6066,2)</f>
        <v>163.35</v>
      </c>
      <c r="L6066" s="2119"/>
      <c r="M6066" s="568"/>
    </row>
    <row r="6067" spans="1:17" ht="12.75" hidden="1">
      <c r="A6067" s="568"/>
      <c r="B6067" s="568" t="s">
        <v>717</v>
      </c>
      <c r="C6067" s="568"/>
      <c r="D6067" s="568"/>
      <c r="E6067" s="188"/>
      <c r="F6067" s="188"/>
      <c r="G6067" s="2122">
        <v>0.4</v>
      </c>
      <c r="H6067" s="2117" t="s">
        <v>262</v>
      </c>
      <c r="I6067" s="2118" t="s">
        <v>38</v>
      </c>
      <c r="J6067" s="2123">
        <f>L134</f>
        <v>345</v>
      </c>
      <c r="K6067" s="2123">
        <f>ROUND(G6067*J6067,2)</f>
        <v>138</v>
      </c>
      <c r="L6067" s="2119"/>
      <c r="M6067" s="568"/>
    </row>
    <row r="6068" spans="1:17" ht="12.75" hidden="1">
      <c r="A6068" s="568"/>
      <c r="B6068" s="568"/>
      <c r="C6068" s="568"/>
      <c r="D6068" s="568"/>
      <c r="E6068" s="188"/>
      <c r="F6068" s="188"/>
      <c r="G6068" s="2122"/>
      <c r="H6068" s="2117"/>
      <c r="I6068" s="2118"/>
      <c r="J6068" s="2126" t="s">
        <v>718</v>
      </c>
      <c r="K6068" s="2124">
        <f>SUM(K6066:K6067)</f>
        <v>301.35000000000002</v>
      </c>
      <c r="L6068" s="2119"/>
      <c r="M6068" s="568"/>
    </row>
    <row r="6069" spans="1:17" ht="12.75" hidden="1">
      <c r="A6069" s="568"/>
      <c r="B6069" s="192"/>
      <c r="C6069" s="568"/>
      <c r="D6069" s="568"/>
      <c r="E6069" s="188"/>
      <c r="F6069" s="188"/>
      <c r="G6069" s="2122"/>
      <c r="H6069" s="2117"/>
      <c r="I6069" s="2118"/>
      <c r="J6069" s="2123"/>
      <c r="K6069" s="2124"/>
      <c r="L6069" s="2119"/>
      <c r="M6069" s="568"/>
    </row>
    <row r="6070" spans="1:17" ht="12.75" hidden="1">
      <c r="A6070" s="568"/>
      <c r="B6070" s="192" t="s">
        <v>1234</v>
      </c>
      <c r="C6070" s="568"/>
      <c r="D6070" s="568"/>
      <c r="E6070" s="188"/>
      <c r="F6070" s="188"/>
      <c r="G6070" s="2122"/>
      <c r="H6070" s="2117"/>
      <c r="I6070" s="2118"/>
      <c r="J6070" s="2134"/>
      <c r="K6070" s="2124"/>
      <c r="L6070" s="2119"/>
      <c r="M6070" s="568"/>
    </row>
    <row r="6071" spans="1:17" ht="12.75" hidden="1">
      <c r="A6071" s="568"/>
      <c r="B6071" s="192" t="s">
        <v>967</v>
      </c>
      <c r="C6071" s="568"/>
      <c r="D6071" s="568"/>
      <c r="E6071" s="188"/>
      <c r="F6071" s="188"/>
      <c r="G6071" s="2161"/>
      <c r="H6071" s="2117"/>
      <c r="I6071" s="2118"/>
      <c r="J6071" s="2123"/>
      <c r="K6071" s="2124">
        <f>K6068+K6069+K6070</f>
        <v>301.35000000000002</v>
      </c>
      <c r="L6071" s="2119"/>
      <c r="M6071" s="568"/>
    </row>
    <row r="6072" spans="1:17" ht="12.75" hidden="1">
      <c r="A6072" s="568"/>
      <c r="B6072" s="192" t="s">
        <v>1235</v>
      </c>
      <c r="C6072" s="568"/>
      <c r="D6072" s="568"/>
      <c r="E6072" s="188"/>
      <c r="F6072" s="188"/>
      <c r="G6072" s="2161"/>
      <c r="H6072" s="2117"/>
      <c r="I6072" s="2118"/>
      <c r="J6072" s="2123"/>
      <c r="K6072" s="2124">
        <f>ROUND(K6071/10,2)</f>
        <v>30.14</v>
      </c>
      <c r="L6072" s="2119"/>
      <c r="M6072" s="568"/>
    </row>
    <row r="6073" spans="1:17" ht="12.75" hidden="1">
      <c r="A6073" s="2114"/>
      <c r="B6073" s="192" t="s">
        <v>1249</v>
      </c>
      <c r="C6073" s="568"/>
      <c r="D6073" s="568"/>
      <c r="E6073" s="188"/>
      <c r="F6073" s="188"/>
      <c r="G6073" s="2122">
        <v>0.16600000000000001</v>
      </c>
      <c r="H6073" s="2117" t="s">
        <v>95</v>
      </c>
      <c r="I6073" s="2118" t="s">
        <v>95</v>
      </c>
      <c r="J6073" s="2123">
        <f>L86</f>
        <v>70.526219999999995</v>
      </c>
      <c r="K6073" s="2123">
        <f>ROUND(G6073*J6073,2)</f>
        <v>11.71</v>
      </c>
      <c r="L6073" s="2119"/>
      <c r="M6073" s="2118"/>
      <c r="N6073" s="1707"/>
      <c r="O6073" s="1707"/>
      <c r="P6073" s="1707"/>
      <c r="Q6073" s="1709">
        <f>G177</f>
        <v>2</v>
      </c>
    </row>
    <row r="6074" spans="1:17" ht="12.75" hidden="1">
      <c r="A6074" s="2114"/>
      <c r="B6074" s="192"/>
      <c r="C6074" s="568"/>
      <c r="D6074" s="568"/>
      <c r="E6074" s="188"/>
      <c r="F6074" s="188"/>
      <c r="G6074" s="2122"/>
      <c r="H6074" s="2117"/>
      <c r="I6074" s="2118"/>
      <c r="J6074" s="2123"/>
      <c r="K6074" s="2123">
        <f>SUM(K6072:K6073)</f>
        <v>41.85</v>
      </c>
      <c r="L6074" s="2119"/>
      <c r="M6074" s="2118"/>
      <c r="N6074" s="1707"/>
      <c r="O6074" s="1707"/>
      <c r="P6074" s="1707"/>
      <c r="Q6074" s="1709"/>
    </row>
    <row r="6075" spans="1:17" ht="12.75" hidden="1">
      <c r="A6075" s="2114"/>
      <c r="B6075" s="192" t="s">
        <v>3662</v>
      </c>
      <c r="C6075" s="568"/>
      <c r="D6075" s="568"/>
      <c r="E6075" s="188"/>
      <c r="F6075" s="188"/>
      <c r="G6075" s="2122"/>
      <c r="H6075" s="2135">
        <f>H6057</f>
        <v>7.4999999999999997E-2</v>
      </c>
      <c r="I6075" s="2134">
        <f>K6074</f>
        <v>41.85</v>
      </c>
      <c r="J6075" s="2134"/>
      <c r="K6075" s="2123">
        <f>ROUND(I6075*H6075,2)</f>
        <v>3.14</v>
      </c>
      <c r="L6075" s="2119"/>
      <c r="M6075" s="2118"/>
      <c r="N6075" s="1707"/>
      <c r="O6075" s="1707"/>
      <c r="P6075" s="1707"/>
      <c r="Q6075" s="1709"/>
    </row>
    <row r="6076" spans="1:17" ht="12.75" hidden="1">
      <c r="A6076" s="2114"/>
      <c r="B6076" s="192" t="s">
        <v>3661</v>
      </c>
      <c r="C6076" s="568"/>
      <c r="D6076" s="568"/>
      <c r="E6076" s="188"/>
      <c r="F6076" s="188"/>
      <c r="G6076" s="2122"/>
      <c r="H6076" s="2135">
        <f>H6075</f>
        <v>7.4999999999999997E-2</v>
      </c>
      <c r="I6076" s="2134">
        <f>I6075</f>
        <v>41.85</v>
      </c>
      <c r="J6076" s="2134"/>
      <c r="K6076" s="2140">
        <f>ROUND(I6076*H6076,2)</f>
        <v>3.14</v>
      </c>
      <c r="L6076" s="2119"/>
      <c r="M6076" s="2118"/>
      <c r="N6076" s="1707"/>
      <c r="O6076" s="1707"/>
      <c r="P6076" s="1707"/>
      <c r="Q6076" s="1709"/>
    </row>
    <row r="6077" spans="1:17" ht="12.75" hidden="1">
      <c r="A6077" s="2114"/>
      <c r="B6077" s="568"/>
      <c r="C6077" s="568"/>
      <c r="D6077" s="568"/>
      <c r="E6077" s="188"/>
      <c r="F6077" s="188"/>
      <c r="G6077" s="2122"/>
      <c r="H6077" s="568"/>
      <c r="I6077" s="2118"/>
      <c r="J6077" s="2123"/>
      <c r="K6077" s="2123">
        <f>SUM(K6074:K6076)</f>
        <v>48.13</v>
      </c>
      <c r="L6077" s="2119"/>
      <c r="M6077" s="2118"/>
      <c r="N6077" s="1707"/>
      <c r="O6077" s="1707"/>
      <c r="P6077" s="1707"/>
      <c r="Q6077" s="1709"/>
    </row>
    <row r="6078" spans="1:17" ht="12.75" hidden="1">
      <c r="A6078" s="2114"/>
      <c r="B6078" s="192" t="s">
        <v>3738</v>
      </c>
      <c r="C6078" s="2142">
        <v>0.01</v>
      </c>
      <c r="D6078" s="568"/>
      <c r="E6078" s="188"/>
      <c r="F6078" s="188"/>
      <c r="G6078" s="2122"/>
      <c r="H6078" s="568"/>
      <c r="I6078" s="2118"/>
      <c r="J6078" s="2123"/>
      <c r="K6078" s="2140">
        <f>ROUND(K6077*C6078,2)</f>
        <v>0.48</v>
      </c>
      <c r="L6078" s="2119"/>
      <c r="M6078" s="2118"/>
      <c r="N6078" s="1707"/>
      <c r="O6078" s="1707"/>
      <c r="P6078" s="1707"/>
      <c r="Q6078" s="1709"/>
    </row>
    <row r="6079" spans="1:17" ht="12.75" hidden="1">
      <c r="A6079" s="2114"/>
      <c r="B6079" s="568"/>
      <c r="C6079" s="568"/>
      <c r="D6079" s="568"/>
      <c r="E6079" s="188"/>
      <c r="F6079" s="188"/>
      <c r="G6079" s="2122"/>
      <c r="H6079" s="568"/>
      <c r="I6079" s="2118"/>
      <c r="J6079" s="2126" t="s">
        <v>718</v>
      </c>
      <c r="K6079" s="2124">
        <f>SUM(K6077:K6078)</f>
        <v>48.61</v>
      </c>
      <c r="L6079" s="2119" t="s">
        <v>730</v>
      </c>
      <c r="M6079" s="2118"/>
      <c r="N6079" s="1707"/>
      <c r="O6079" s="1707"/>
      <c r="P6079" s="1707"/>
    </row>
    <row r="6080" spans="1:17" ht="12.75" hidden="1">
      <c r="A6080" s="2114" t="str">
        <f>A966</f>
        <v>(ii)</v>
      </c>
      <c r="B6080" s="192" t="str">
        <f>B966</f>
        <v>First Floor</v>
      </c>
      <c r="C6080" s="568"/>
      <c r="D6080" s="568"/>
      <c r="E6080" s="2120" t="str">
        <f>E6063</f>
        <v>Each Sqm</v>
      </c>
      <c r="F6080" s="2120"/>
      <c r="G6080" s="2122"/>
      <c r="H6080" s="568"/>
      <c r="I6080" s="2118"/>
      <c r="J6080" s="2123"/>
      <c r="K6080" s="2123"/>
      <c r="L6080" s="192"/>
      <c r="M6080" s="568"/>
    </row>
    <row r="6081" spans="1:13" ht="12.75" hidden="1">
      <c r="A6081" s="2114"/>
      <c r="B6081" s="568" t="s">
        <v>722</v>
      </c>
      <c r="C6081" s="568"/>
      <c r="D6081" s="568"/>
      <c r="E6081" s="188"/>
      <c r="F6081" s="188"/>
      <c r="G6081" s="2122"/>
      <c r="H6081" s="568"/>
      <c r="I6081" s="2118"/>
      <c r="J6081" s="2123"/>
      <c r="K6081" s="2123">
        <f>K6077</f>
        <v>48.13</v>
      </c>
      <c r="L6081" s="192"/>
      <c r="M6081" s="568"/>
    </row>
    <row r="6082" spans="1:13" ht="12.75" hidden="1">
      <c r="A6082" s="2114"/>
      <c r="B6082" s="568" t="s">
        <v>948</v>
      </c>
      <c r="C6082" s="568"/>
      <c r="D6082" s="568"/>
      <c r="E6082" s="188"/>
      <c r="F6082" s="188"/>
      <c r="G6082" s="2122"/>
      <c r="H6082" s="2125">
        <v>0.03</v>
      </c>
      <c r="I6082" s="2134">
        <f>K6068/10</f>
        <v>30.135000000000002</v>
      </c>
      <c r="J6082" s="2124"/>
      <c r="K6082" s="2123">
        <f>ROUND(I6082*H6082,2)</f>
        <v>0.9</v>
      </c>
      <c r="L6082" s="192"/>
      <c r="M6082" s="568"/>
    </row>
    <row r="6083" spans="1:13" ht="12.75" hidden="1">
      <c r="A6083" s="2114"/>
      <c r="B6083" s="192" t="s">
        <v>3662</v>
      </c>
      <c r="C6083" s="568"/>
      <c r="D6083" s="568"/>
      <c r="E6083" s="188"/>
      <c r="F6083" s="188"/>
      <c r="G6083" s="2122"/>
      <c r="H6083" s="2135">
        <f>H6076</f>
        <v>7.4999999999999997E-2</v>
      </c>
      <c r="I6083" s="2134">
        <f>K6082</f>
        <v>0.9</v>
      </c>
      <c r="J6083" s="2134"/>
      <c r="K6083" s="2123">
        <f>ROUND(I6083*H6083,2)</f>
        <v>7.0000000000000007E-2</v>
      </c>
      <c r="L6083" s="192"/>
      <c r="M6083" s="568"/>
    </row>
    <row r="6084" spans="1:13" ht="12.75" hidden="1">
      <c r="A6084" s="2114"/>
      <c r="B6084" s="192" t="s">
        <v>3661</v>
      </c>
      <c r="C6084" s="568"/>
      <c r="D6084" s="568"/>
      <c r="E6084" s="188"/>
      <c r="F6084" s="188"/>
      <c r="G6084" s="2122"/>
      <c r="H6084" s="2135">
        <f>H6083</f>
        <v>7.4999999999999997E-2</v>
      </c>
      <c r="I6084" s="2134">
        <f>I6083</f>
        <v>0.9</v>
      </c>
      <c r="J6084" s="2134"/>
      <c r="K6084" s="2140">
        <f>ROUND(I6084*H6084,2)</f>
        <v>7.0000000000000007E-2</v>
      </c>
      <c r="L6084" s="192"/>
      <c r="M6084" s="568"/>
    </row>
    <row r="6085" spans="1:13" ht="12.75" hidden="1">
      <c r="A6085" s="2114"/>
      <c r="B6085" s="568"/>
      <c r="C6085" s="568"/>
      <c r="D6085" s="568"/>
      <c r="E6085" s="188"/>
      <c r="F6085" s="188"/>
      <c r="G6085" s="2122"/>
      <c r="H6085" s="568"/>
      <c r="I6085" s="2118"/>
      <c r="J6085" s="2123"/>
      <c r="K6085" s="2123">
        <f>SUM(K6081:K6084)</f>
        <v>49.17</v>
      </c>
      <c r="L6085" s="192"/>
      <c r="M6085" s="568"/>
    </row>
    <row r="6086" spans="1:13" ht="12.75" hidden="1">
      <c r="A6086" s="2114"/>
      <c r="B6086" s="192" t="s">
        <v>3738</v>
      </c>
      <c r="C6086" s="2142">
        <v>0.01</v>
      </c>
      <c r="D6086" s="568"/>
      <c r="E6086" s="188"/>
      <c r="F6086" s="188"/>
      <c r="G6086" s="2122"/>
      <c r="H6086" s="568"/>
      <c r="I6086" s="2118"/>
      <c r="J6086" s="2123"/>
      <c r="K6086" s="2140">
        <f>ROUND(K6085*C6086,2)</f>
        <v>0.49</v>
      </c>
      <c r="L6086" s="192"/>
      <c r="M6086" s="568"/>
    </row>
    <row r="6087" spans="1:13" ht="12.75" hidden="1">
      <c r="A6087" s="2114"/>
      <c r="B6087" s="568"/>
      <c r="C6087" s="568"/>
      <c r="D6087" s="568"/>
      <c r="E6087" s="188"/>
      <c r="F6087" s="188"/>
      <c r="G6087" s="2122"/>
      <c r="H6087" s="568"/>
      <c r="I6087" s="2118"/>
      <c r="J6087" s="2126" t="s">
        <v>718</v>
      </c>
      <c r="K6087" s="2124">
        <f>SUM(K6085:K6086)</f>
        <v>49.660000000000004</v>
      </c>
      <c r="L6087" s="192" t="s">
        <v>730</v>
      </c>
      <c r="M6087" s="568"/>
    </row>
    <row r="6088" spans="1:13" ht="12.75" hidden="1">
      <c r="A6088" s="2114" t="str">
        <f>A967</f>
        <v>(iii)</v>
      </c>
      <c r="B6088" s="192" t="str">
        <f>B967</f>
        <v>2nd Floor</v>
      </c>
      <c r="C6088" s="568"/>
      <c r="D6088" s="568"/>
      <c r="E6088" s="2120" t="str">
        <f>E6080</f>
        <v>Each Sqm</v>
      </c>
      <c r="F6088" s="2120"/>
      <c r="G6088" s="2122"/>
      <c r="H6088" s="568"/>
      <c r="I6088" s="2118"/>
      <c r="J6088" s="2123"/>
      <c r="K6088" s="2123"/>
      <c r="L6088" s="192"/>
      <c r="M6088" s="568"/>
    </row>
    <row r="6089" spans="1:13" ht="12.75" hidden="1">
      <c r="A6089" s="2114"/>
      <c r="B6089" s="568" t="s">
        <v>722</v>
      </c>
      <c r="C6089" s="568"/>
      <c r="D6089" s="568"/>
      <c r="E6089" s="188"/>
      <c r="F6089" s="188"/>
      <c r="G6089" s="2122"/>
      <c r="H6089" s="568"/>
      <c r="I6089" s="2118"/>
      <c r="J6089" s="2123"/>
      <c r="K6089" s="2123">
        <f>K6085</f>
        <v>49.17</v>
      </c>
      <c r="L6089" s="192"/>
      <c r="M6089" s="568"/>
    </row>
    <row r="6090" spans="1:13" ht="12.75" hidden="1">
      <c r="A6090" s="2114"/>
      <c r="B6090" s="568" t="s">
        <v>948</v>
      </c>
      <c r="C6090" s="568"/>
      <c r="D6090" s="568"/>
      <c r="E6090" s="188"/>
      <c r="F6090" s="188"/>
      <c r="G6090" s="2122"/>
      <c r="H6090" s="2125">
        <f>H6082</f>
        <v>0.03</v>
      </c>
      <c r="I6090" s="2134">
        <f>I6082+K6082</f>
        <v>31.035</v>
      </c>
      <c r="J6090" s="2124"/>
      <c r="K6090" s="2123">
        <f>ROUND(I6090*H6090,2)</f>
        <v>0.93</v>
      </c>
      <c r="L6090" s="192"/>
      <c r="M6090" s="568"/>
    </row>
    <row r="6091" spans="1:13" ht="12.75" hidden="1">
      <c r="A6091" s="2114"/>
      <c r="B6091" s="192" t="s">
        <v>3662</v>
      </c>
      <c r="C6091" s="568"/>
      <c r="D6091" s="568"/>
      <c r="E6091" s="188"/>
      <c r="F6091" s="188"/>
      <c r="G6091" s="2122"/>
      <c r="H6091" s="2135">
        <f>H6084</f>
        <v>7.4999999999999997E-2</v>
      </c>
      <c r="I6091" s="2134">
        <f>K6090</f>
        <v>0.93</v>
      </c>
      <c r="J6091" s="2134"/>
      <c r="K6091" s="2123">
        <f>ROUND(I6091*H6091,2)</f>
        <v>7.0000000000000007E-2</v>
      </c>
      <c r="L6091" s="192"/>
      <c r="M6091" s="568"/>
    </row>
    <row r="6092" spans="1:13" ht="12.75" hidden="1">
      <c r="A6092" s="2114"/>
      <c r="B6092" s="192" t="s">
        <v>3661</v>
      </c>
      <c r="C6092" s="568"/>
      <c r="D6092" s="568"/>
      <c r="E6092" s="188"/>
      <c r="F6092" s="188"/>
      <c r="G6092" s="2122"/>
      <c r="H6092" s="2135">
        <f>H6091</f>
        <v>7.4999999999999997E-2</v>
      </c>
      <c r="I6092" s="2134">
        <f>I6091</f>
        <v>0.93</v>
      </c>
      <c r="J6092" s="2134"/>
      <c r="K6092" s="2140">
        <f>ROUND(I6092*H6092,2)</f>
        <v>7.0000000000000007E-2</v>
      </c>
      <c r="L6092" s="192"/>
      <c r="M6092" s="568"/>
    </row>
    <row r="6093" spans="1:13" ht="12.75" hidden="1">
      <c r="A6093" s="2114"/>
      <c r="B6093" s="568"/>
      <c r="C6093" s="568"/>
      <c r="D6093" s="568"/>
      <c r="E6093" s="188"/>
      <c r="F6093" s="188"/>
      <c r="G6093" s="2122"/>
      <c r="H6093" s="568"/>
      <c r="I6093" s="2118"/>
      <c r="J6093" s="2123"/>
      <c r="K6093" s="2123">
        <f>SUM(K6089:K6092)</f>
        <v>50.24</v>
      </c>
      <c r="L6093" s="192"/>
      <c r="M6093" s="568"/>
    </row>
    <row r="6094" spans="1:13" ht="12.75" hidden="1">
      <c r="A6094" s="2114"/>
      <c r="B6094" s="192" t="s">
        <v>3738</v>
      </c>
      <c r="C6094" s="2142">
        <v>0.01</v>
      </c>
      <c r="D6094" s="568"/>
      <c r="E6094" s="188"/>
      <c r="F6094" s="188"/>
      <c r="G6094" s="2122"/>
      <c r="H6094" s="568"/>
      <c r="I6094" s="2118"/>
      <c r="J6094" s="2123"/>
      <c r="K6094" s="2140">
        <f>ROUND(K6093*C6094,2)</f>
        <v>0.5</v>
      </c>
      <c r="L6094" s="192"/>
      <c r="M6094" s="568"/>
    </row>
    <row r="6095" spans="1:13" ht="12.75" hidden="1">
      <c r="A6095" s="2114"/>
      <c r="B6095" s="568"/>
      <c r="C6095" s="568"/>
      <c r="D6095" s="568"/>
      <c r="E6095" s="188"/>
      <c r="F6095" s="188"/>
      <c r="G6095" s="2122"/>
      <c r="H6095" s="568"/>
      <c r="I6095" s="2118"/>
      <c r="J6095" s="2126" t="s">
        <v>718</v>
      </c>
      <c r="K6095" s="2124">
        <f>SUM(K6093:K6094)</f>
        <v>50.74</v>
      </c>
      <c r="L6095" s="192" t="s">
        <v>730</v>
      </c>
      <c r="M6095" s="568"/>
    </row>
    <row r="6096" spans="1:13" ht="12.75" hidden="1">
      <c r="A6096" s="2114" t="str">
        <f>A968</f>
        <v>(iv)</v>
      </c>
      <c r="B6096" s="192" t="str">
        <f>B968</f>
        <v>3rd Floor</v>
      </c>
      <c r="C6096" s="568"/>
      <c r="D6096" s="568"/>
      <c r="E6096" s="2120" t="str">
        <f>E6088</f>
        <v>Each Sqm</v>
      </c>
      <c r="F6096" s="2120"/>
      <c r="G6096" s="2122"/>
      <c r="H6096" s="568"/>
      <c r="I6096" s="2118"/>
      <c r="J6096" s="2123"/>
      <c r="K6096" s="2123"/>
      <c r="L6096" s="192"/>
      <c r="M6096" s="568"/>
    </row>
    <row r="6097" spans="1:13" ht="12.75" hidden="1">
      <c r="A6097" s="2114"/>
      <c r="B6097" s="568" t="s">
        <v>722</v>
      </c>
      <c r="C6097" s="568"/>
      <c r="D6097" s="568"/>
      <c r="E6097" s="188"/>
      <c r="F6097" s="188"/>
      <c r="G6097" s="2122"/>
      <c r="H6097" s="568"/>
      <c r="I6097" s="2118"/>
      <c r="J6097" s="2123"/>
      <c r="K6097" s="2123">
        <f>K6093</f>
        <v>50.24</v>
      </c>
      <c r="L6097" s="192"/>
      <c r="M6097" s="568"/>
    </row>
    <row r="6098" spans="1:13" ht="12.75" hidden="1">
      <c r="A6098" s="2114"/>
      <c r="B6098" s="568" t="s">
        <v>948</v>
      </c>
      <c r="C6098" s="568"/>
      <c r="D6098" s="568"/>
      <c r="E6098" s="188"/>
      <c r="F6098" s="188"/>
      <c r="G6098" s="2122"/>
      <c r="H6098" s="2125">
        <f>H6090</f>
        <v>0.03</v>
      </c>
      <c r="I6098" s="2134">
        <f>I6090+K6090</f>
        <v>31.965</v>
      </c>
      <c r="J6098" s="2124"/>
      <c r="K6098" s="2123">
        <f>ROUND(I6098*H6098,2)</f>
        <v>0.96</v>
      </c>
      <c r="L6098" s="192"/>
      <c r="M6098" s="568"/>
    </row>
    <row r="6099" spans="1:13" ht="12.75" hidden="1">
      <c r="A6099" s="2114"/>
      <c r="B6099" s="192" t="s">
        <v>3662</v>
      </c>
      <c r="C6099" s="568"/>
      <c r="D6099" s="568"/>
      <c r="E6099" s="188"/>
      <c r="F6099" s="188"/>
      <c r="G6099" s="2122"/>
      <c r="H6099" s="2135">
        <f>H6092</f>
        <v>7.4999999999999997E-2</v>
      </c>
      <c r="I6099" s="2134">
        <f>K6098</f>
        <v>0.96</v>
      </c>
      <c r="J6099" s="2134"/>
      <c r="K6099" s="2123">
        <f>ROUND(I6099*H6099,2)</f>
        <v>7.0000000000000007E-2</v>
      </c>
      <c r="L6099" s="192"/>
      <c r="M6099" s="568"/>
    </row>
    <row r="6100" spans="1:13" ht="12.75" hidden="1">
      <c r="A6100" s="2114"/>
      <c r="B6100" s="192" t="s">
        <v>3661</v>
      </c>
      <c r="C6100" s="568"/>
      <c r="D6100" s="568"/>
      <c r="E6100" s="188"/>
      <c r="F6100" s="188"/>
      <c r="G6100" s="2122"/>
      <c r="H6100" s="2135">
        <f>H6099</f>
        <v>7.4999999999999997E-2</v>
      </c>
      <c r="I6100" s="2134">
        <f>I6099</f>
        <v>0.96</v>
      </c>
      <c r="J6100" s="2134"/>
      <c r="K6100" s="2140">
        <f>ROUND(I6100*H6100,2)</f>
        <v>7.0000000000000007E-2</v>
      </c>
      <c r="L6100" s="192"/>
      <c r="M6100" s="568"/>
    </row>
    <row r="6101" spans="1:13" ht="12.75" hidden="1">
      <c r="A6101" s="2114"/>
      <c r="B6101" s="568"/>
      <c r="C6101" s="568"/>
      <c r="D6101" s="568"/>
      <c r="E6101" s="188"/>
      <c r="F6101" s="188"/>
      <c r="G6101" s="2122"/>
      <c r="H6101" s="568"/>
      <c r="I6101" s="2118"/>
      <c r="J6101" s="2123"/>
      <c r="K6101" s="2123">
        <f>SUM(K6097:K6100)</f>
        <v>51.34</v>
      </c>
      <c r="L6101" s="192"/>
      <c r="M6101" s="568"/>
    </row>
    <row r="6102" spans="1:13" ht="12.75" hidden="1">
      <c r="A6102" s="2114"/>
      <c r="B6102" s="192" t="s">
        <v>3738</v>
      </c>
      <c r="C6102" s="2142">
        <v>0.01</v>
      </c>
      <c r="D6102" s="568"/>
      <c r="E6102" s="188"/>
      <c r="F6102" s="188"/>
      <c r="G6102" s="2122"/>
      <c r="H6102" s="568"/>
      <c r="I6102" s="2118"/>
      <c r="J6102" s="2123"/>
      <c r="K6102" s="2140">
        <f>ROUND(K6101*C6102,2)</f>
        <v>0.51</v>
      </c>
      <c r="L6102" s="192"/>
      <c r="M6102" s="568"/>
    </row>
    <row r="6103" spans="1:13" ht="12.75" hidden="1">
      <c r="A6103" s="2114"/>
      <c r="B6103" s="568"/>
      <c r="C6103" s="568"/>
      <c r="D6103" s="568"/>
      <c r="E6103" s="188"/>
      <c r="F6103" s="188"/>
      <c r="G6103" s="2122"/>
      <c r="H6103" s="568"/>
      <c r="I6103" s="2118"/>
      <c r="J6103" s="2126" t="s">
        <v>718</v>
      </c>
      <c r="K6103" s="2124">
        <f>SUM(K6101:K6102)</f>
        <v>51.85</v>
      </c>
      <c r="L6103" s="192" t="s">
        <v>730</v>
      </c>
      <c r="M6103" s="568"/>
    </row>
    <row r="6104" spans="1:13" ht="69.599999999999994" hidden="1" customHeight="1">
      <c r="A6104" s="2114">
        <f>A969</f>
        <v>125</v>
      </c>
      <c r="B6104" s="3017" t="str">
        <f>B969</f>
        <v xml:space="preserve">Painting two coats with distemper  on new work to make an even finished surface in all floors and heights to wall surface of approved make and shade including sand papering, applying putty wherever necessary &amp; cost of scaffolding, staging charges  etc. complete as per the direction of the Engineer-in-charge. </v>
      </c>
      <c r="C6104" s="3017"/>
      <c r="D6104" s="3017"/>
      <c r="E6104" s="2116" t="str">
        <f>G969</f>
        <v>Each Sqm</v>
      </c>
      <c r="F6104" s="2116"/>
      <c r="G6104" s="2122"/>
      <c r="H6104" s="568"/>
      <c r="I6104" s="2118"/>
      <c r="J6104" s="2124"/>
      <c r="K6104" s="2124"/>
      <c r="L6104" s="192"/>
      <c r="M6104" s="568"/>
    </row>
    <row r="6105" spans="1:13" ht="12.75" hidden="1">
      <c r="A6105" s="2114" t="str">
        <f>A970</f>
        <v>(i)</v>
      </c>
      <c r="B6105" s="192" t="str">
        <f>B970</f>
        <v>Ground Floor</v>
      </c>
      <c r="C6105" s="568"/>
      <c r="D6105" s="568"/>
      <c r="E6105" s="2120" t="str">
        <f>G970</f>
        <v>Each Sqm</v>
      </c>
      <c r="F6105" s="2120"/>
      <c r="G6105" s="2122"/>
      <c r="H6105" s="568"/>
      <c r="I6105" s="2118"/>
      <c r="J6105" s="2123"/>
      <c r="K6105" s="2123"/>
      <c r="L6105" s="192"/>
      <c r="M6105" s="568"/>
    </row>
    <row r="6106" spans="1:13" ht="12.75" hidden="1">
      <c r="A6106" s="568"/>
      <c r="B6106" s="192" t="s">
        <v>964</v>
      </c>
      <c r="C6106" s="568"/>
      <c r="D6106" s="568"/>
      <c r="E6106" s="188"/>
      <c r="F6106" s="188"/>
      <c r="G6106" s="2122"/>
      <c r="H6106" s="2117"/>
      <c r="I6106" s="2118"/>
      <c r="J6106" s="2123"/>
      <c r="K6106" s="2123"/>
      <c r="L6106" s="2119"/>
      <c r="M6106" s="568"/>
    </row>
    <row r="6107" spans="1:13" ht="12.75" hidden="1">
      <c r="A6107" s="568"/>
      <c r="B6107" s="192" t="s">
        <v>954</v>
      </c>
      <c r="C6107" s="568"/>
      <c r="D6107" s="568"/>
      <c r="E6107" s="188"/>
      <c r="F6107" s="188"/>
      <c r="G6107" s="2122"/>
      <c r="H6107" s="2117"/>
      <c r="I6107" s="2118"/>
      <c r="J6107" s="2123"/>
      <c r="K6107" s="2123"/>
      <c r="L6107" s="2119"/>
      <c r="M6107" s="568"/>
    </row>
    <row r="6108" spans="1:13" ht="12.75" hidden="1">
      <c r="A6108" s="568"/>
      <c r="B6108" s="568" t="s">
        <v>1237</v>
      </c>
      <c r="C6108" s="568"/>
      <c r="D6108" s="568"/>
      <c r="E6108" s="188"/>
      <c r="F6108" s="188"/>
      <c r="G6108" s="2122">
        <v>0.52</v>
      </c>
      <c r="H6108" s="2117" t="s">
        <v>262</v>
      </c>
      <c r="I6108" s="2118" t="s">
        <v>38</v>
      </c>
      <c r="J6108" s="2123">
        <f>L137</f>
        <v>495</v>
      </c>
      <c r="K6108" s="2123">
        <f>ROUND(G6108*J6108,2)</f>
        <v>257.39999999999998</v>
      </c>
      <c r="L6108" s="2119"/>
      <c r="M6108" s="568"/>
    </row>
    <row r="6109" spans="1:13" ht="12.75" hidden="1">
      <c r="A6109" s="568"/>
      <c r="B6109" s="568" t="s">
        <v>717</v>
      </c>
      <c r="C6109" s="568"/>
      <c r="D6109" s="568"/>
      <c r="E6109" s="188"/>
      <c r="F6109" s="188"/>
      <c r="G6109" s="2122">
        <v>0.62</v>
      </c>
      <c r="H6109" s="2117" t="s">
        <v>262</v>
      </c>
      <c r="I6109" s="2118" t="s">
        <v>38</v>
      </c>
      <c r="J6109" s="2123">
        <f>L134</f>
        <v>345</v>
      </c>
      <c r="K6109" s="2123">
        <f>ROUND(G6109*J6109,2)</f>
        <v>213.9</v>
      </c>
      <c r="L6109" s="2119"/>
      <c r="M6109" s="568"/>
    </row>
    <row r="6110" spans="1:13" ht="12.75" hidden="1">
      <c r="A6110" s="568"/>
      <c r="B6110" s="568"/>
      <c r="C6110" s="568"/>
      <c r="D6110" s="568"/>
      <c r="E6110" s="188"/>
      <c r="F6110" s="188"/>
      <c r="G6110" s="2122"/>
      <c r="H6110" s="2117"/>
      <c r="I6110" s="2118"/>
      <c r="J6110" s="2126" t="s">
        <v>718</v>
      </c>
      <c r="K6110" s="2124">
        <f>SUM(K6108:K6109)</f>
        <v>471.29999999999995</v>
      </c>
      <c r="L6110" s="2119"/>
      <c r="M6110" s="568"/>
    </row>
    <row r="6111" spans="1:13" ht="12.75" hidden="1">
      <c r="A6111" s="568"/>
      <c r="B6111" s="192"/>
      <c r="C6111" s="568"/>
      <c r="D6111" s="568"/>
      <c r="E6111" s="188"/>
      <c r="F6111" s="188"/>
      <c r="G6111" s="2122"/>
      <c r="H6111" s="2117"/>
      <c r="I6111" s="2118"/>
      <c r="J6111" s="2123"/>
      <c r="K6111" s="2124"/>
      <c r="L6111" s="2119"/>
      <c r="M6111" s="568"/>
    </row>
    <row r="6112" spans="1:13" ht="12.75" hidden="1">
      <c r="A6112" s="568"/>
      <c r="B6112" s="192" t="s">
        <v>1234</v>
      </c>
      <c r="C6112" s="568"/>
      <c r="D6112" s="568"/>
      <c r="E6112" s="188"/>
      <c r="F6112" s="188"/>
      <c r="G6112" s="2122"/>
      <c r="H6112" s="2117"/>
      <c r="I6112" s="2118"/>
      <c r="J6112" s="2134"/>
      <c r="K6112" s="2124"/>
      <c r="L6112" s="2119"/>
      <c r="M6112" s="568"/>
    </row>
    <row r="6113" spans="1:17" ht="12.75" hidden="1">
      <c r="A6113" s="568"/>
      <c r="B6113" s="192" t="s">
        <v>967</v>
      </c>
      <c r="C6113" s="568"/>
      <c r="D6113" s="568"/>
      <c r="E6113" s="188"/>
      <c r="F6113" s="188"/>
      <c r="G6113" s="2161"/>
      <c r="H6113" s="2117"/>
      <c r="I6113" s="2118"/>
      <c r="J6113" s="2123"/>
      <c r="K6113" s="2124">
        <f>K6110+K6111+K6112</f>
        <v>471.29999999999995</v>
      </c>
      <c r="L6113" s="2119"/>
      <c r="M6113" s="568"/>
    </row>
    <row r="6114" spans="1:17" ht="12.75" hidden="1">
      <c r="A6114" s="568"/>
      <c r="B6114" s="192" t="s">
        <v>1235</v>
      </c>
      <c r="C6114" s="568"/>
      <c r="D6114" s="568"/>
      <c r="E6114" s="188"/>
      <c r="F6114" s="188"/>
      <c r="G6114" s="2161"/>
      <c r="H6114" s="2117"/>
      <c r="I6114" s="2118"/>
      <c r="J6114" s="2123"/>
      <c r="K6114" s="2124">
        <f>ROUND(K6113/10,2)</f>
        <v>47.13</v>
      </c>
      <c r="L6114" s="2119"/>
      <c r="M6114" s="568"/>
    </row>
    <row r="6115" spans="1:17" ht="12.75" hidden="1">
      <c r="A6115" s="2114"/>
      <c r="B6115" s="192" t="s">
        <v>1249</v>
      </c>
      <c r="C6115" s="568"/>
      <c r="D6115" s="568"/>
      <c r="E6115" s="188"/>
      <c r="F6115" s="188"/>
      <c r="G6115" s="2122">
        <v>0.25</v>
      </c>
      <c r="H6115" s="2117" t="s">
        <v>95</v>
      </c>
      <c r="I6115" s="2118" t="s">
        <v>95</v>
      </c>
      <c r="J6115" s="2123">
        <f>L86</f>
        <v>70.526219999999995</v>
      </c>
      <c r="K6115" s="2123">
        <f>ROUND(G6115*J6115,2)</f>
        <v>17.63</v>
      </c>
      <c r="L6115" s="2119"/>
      <c r="M6115" s="2118"/>
      <c r="N6115" s="1707"/>
      <c r="O6115" s="1707"/>
      <c r="P6115" s="1707"/>
      <c r="Q6115" s="1709">
        <f>G195</f>
        <v>70.099999999999994</v>
      </c>
    </row>
    <row r="6116" spans="1:17" ht="12.75" hidden="1">
      <c r="A6116" s="2114"/>
      <c r="B6116" s="192"/>
      <c r="C6116" s="568"/>
      <c r="D6116" s="568"/>
      <c r="E6116" s="188"/>
      <c r="F6116" s="188"/>
      <c r="G6116" s="2122"/>
      <c r="H6116" s="2117"/>
      <c r="I6116" s="2118"/>
      <c r="J6116" s="2123"/>
      <c r="K6116" s="2123">
        <f>SUM(K6114:K6115)</f>
        <v>64.760000000000005</v>
      </c>
      <c r="L6116" s="2119"/>
      <c r="M6116" s="2118"/>
      <c r="N6116" s="1707"/>
      <c r="O6116" s="1707"/>
      <c r="P6116" s="1707"/>
      <c r="Q6116" s="1709"/>
    </row>
    <row r="6117" spans="1:17" ht="12.75" hidden="1">
      <c r="A6117" s="2114"/>
      <c r="B6117" s="192" t="s">
        <v>3662</v>
      </c>
      <c r="C6117" s="568"/>
      <c r="D6117" s="568"/>
      <c r="E6117" s="188"/>
      <c r="F6117" s="188"/>
      <c r="G6117" s="2122"/>
      <c r="H6117" s="2135">
        <f>H6099</f>
        <v>7.4999999999999997E-2</v>
      </c>
      <c r="I6117" s="2134">
        <f>K6116</f>
        <v>64.760000000000005</v>
      </c>
      <c r="J6117" s="2134"/>
      <c r="K6117" s="2123">
        <f>ROUND(I6117*H6117,2)</f>
        <v>4.8600000000000003</v>
      </c>
      <c r="L6117" s="2119"/>
      <c r="M6117" s="2118"/>
      <c r="N6117" s="1707"/>
      <c r="O6117" s="1707"/>
      <c r="P6117" s="1707"/>
      <c r="Q6117" s="1709"/>
    </row>
    <row r="6118" spans="1:17" ht="12.75" hidden="1">
      <c r="A6118" s="2114"/>
      <c r="B6118" s="192" t="s">
        <v>3661</v>
      </c>
      <c r="C6118" s="568"/>
      <c r="D6118" s="568"/>
      <c r="E6118" s="188"/>
      <c r="F6118" s="188"/>
      <c r="G6118" s="2122"/>
      <c r="H6118" s="2135">
        <f>H6117</f>
        <v>7.4999999999999997E-2</v>
      </c>
      <c r="I6118" s="2134">
        <f>I6117</f>
        <v>64.760000000000005</v>
      </c>
      <c r="J6118" s="2134"/>
      <c r="K6118" s="2140">
        <f>ROUND(I6118*H6118,2)</f>
        <v>4.8600000000000003</v>
      </c>
      <c r="L6118" s="2119"/>
      <c r="M6118" s="2118"/>
      <c r="N6118" s="1707"/>
      <c r="O6118" s="1707"/>
      <c r="P6118" s="1707"/>
      <c r="Q6118" s="1709"/>
    </row>
    <row r="6119" spans="1:17" ht="12.75" hidden="1">
      <c r="A6119" s="2114"/>
      <c r="B6119" s="568"/>
      <c r="C6119" s="568"/>
      <c r="D6119" s="568"/>
      <c r="E6119" s="188"/>
      <c r="F6119" s="188"/>
      <c r="G6119" s="2122"/>
      <c r="H6119" s="568"/>
      <c r="I6119" s="2118"/>
      <c r="J6119" s="2123"/>
      <c r="K6119" s="2123">
        <f>SUM(K6116:K6118)</f>
        <v>74.48</v>
      </c>
      <c r="L6119" s="2119"/>
      <c r="M6119" s="2118"/>
      <c r="N6119" s="1707"/>
      <c r="O6119" s="1707"/>
      <c r="P6119" s="1707"/>
      <c r="Q6119" s="1709"/>
    </row>
    <row r="6120" spans="1:17" ht="12.75" hidden="1">
      <c r="A6120" s="2114"/>
      <c r="B6120" s="192" t="s">
        <v>3738</v>
      </c>
      <c r="C6120" s="2142">
        <v>0.01</v>
      </c>
      <c r="D6120" s="568"/>
      <c r="E6120" s="188"/>
      <c r="F6120" s="188"/>
      <c r="G6120" s="2122"/>
      <c r="H6120" s="568"/>
      <c r="I6120" s="2118"/>
      <c r="J6120" s="2123"/>
      <c r="K6120" s="2140">
        <f>ROUND(K6119*C6120,2)</f>
        <v>0.74</v>
      </c>
      <c r="L6120" s="2119"/>
      <c r="M6120" s="2118"/>
      <c r="N6120" s="1707"/>
      <c r="O6120" s="1707"/>
      <c r="P6120" s="1707"/>
      <c r="Q6120" s="1709"/>
    </row>
    <row r="6121" spans="1:17" ht="12.75" hidden="1">
      <c r="A6121" s="2114"/>
      <c r="B6121" s="568" t="s">
        <v>1201</v>
      </c>
      <c r="C6121" s="568"/>
      <c r="D6121" s="568"/>
      <c r="E6121" s="188"/>
      <c r="F6121" s="188"/>
      <c r="G6121" s="2122"/>
      <c r="H6121" s="568"/>
      <c r="I6121" s="2118"/>
      <c r="J6121" s="2126" t="s">
        <v>718</v>
      </c>
      <c r="K6121" s="2124">
        <f>SUM(K6119:K6120)</f>
        <v>75.22</v>
      </c>
      <c r="L6121" s="2119" t="s">
        <v>730</v>
      </c>
      <c r="M6121" s="2118"/>
      <c r="N6121" s="1707"/>
      <c r="O6121" s="1707"/>
      <c r="P6121" s="1707"/>
    </row>
    <row r="6122" spans="1:17" ht="12.75" hidden="1">
      <c r="A6122" s="2114" t="str">
        <f>A971</f>
        <v>(ii)</v>
      </c>
      <c r="B6122" s="192" t="str">
        <f>B971</f>
        <v>First Floor</v>
      </c>
      <c r="C6122" s="568"/>
      <c r="D6122" s="568"/>
      <c r="E6122" s="2120" t="str">
        <f>E6105</f>
        <v>Each Sqm</v>
      </c>
      <c r="F6122" s="2120"/>
      <c r="G6122" s="2122"/>
      <c r="H6122" s="568"/>
      <c r="I6122" s="2118"/>
      <c r="J6122" s="2123"/>
      <c r="K6122" s="2123"/>
      <c r="L6122" s="192"/>
      <c r="M6122" s="568"/>
    </row>
    <row r="6123" spans="1:17" ht="12.75" hidden="1">
      <c r="A6123" s="2114"/>
      <c r="B6123" s="568" t="s">
        <v>722</v>
      </c>
      <c r="C6123" s="568"/>
      <c r="D6123" s="568"/>
      <c r="E6123" s="188"/>
      <c r="F6123" s="188"/>
      <c r="G6123" s="2122"/>
      <c r="H6123" s="568"/>
      <c r="I6123" s="2118"/>
      <c r="J6123" s="2123"/>
      <c r="K6123" s="2123">
        <f>K6121</f>
        <v>75.22</v>
      </c>
      <c r="L6123" s="192"/>
      <c r="M6123" s="568"/>
    </row>
    <row r="6124" spans="1:17" ht="12.75" hidden="1">
      <c r="A6124" s="2114"/>
      <c r="B6124" s="568" t="s">
        <v>948</v>
      </c>
      <c r="C6124" s="568"/>
      <c r="D6124" s="568"/>
      <c r="E6124" s="188"/>
      <c r="F6124" s="188"/>
      <c r="G6124" s="2122"/>
      <c r="H6124" s="2125">
        <v>0.03</v>
      </c>
      <c r="I6124" s="2134">
        <f>K6110/10</f>
        <v>47.129999999999995</v>
      </c>
      <c r="J6124" s="2124"/>
      <c r="K6124" s="2123">
        <f>ROUND(I6124*H6124,2)</f>
        <v>1.41</v>
      </c>
      <c r="L6124" s="192"/>
      <c r="M6124" s="568"/>
    </row>
    <row r="6125" spans="1:17" ht="12.75" hidden="1">
      <c r="A6125" s="2114"/>
      <c r="B6125" s="192" t="s">
        <v>3662</v>
      </c>
      <c r="C6125" s="568"/>
      <c r="D6125" s="568"/>
      <c r="E6125" s="188"/>
      <c r="F6125" s="188"/>
      <c r="G6125" s="2122"/>
      <c r="H6125" s="2135">
        <f>H6118</f>
        <v>7.4999999999999997E-2</v>
      </c>
      <c r="I6125" s="2134">
        <f>K6124</f>
        <v>1.41</v>
      </c>
      <c r="J6125" s="2134"/>
      <c r="K6125" s="2123">
        <f>ROUND(I6125*H6125,2)</f>
        <v>0.11</v>
      </c>
      <c r="L6125" s="192"/>
      <c r="M6125" s="568"/>
    </row>
    <row r="6126" spans="1:17" ht="12.75" hidden="1">
      <c r="A6126" s="2114"/>
      <c r="B6126" s="192" t="s">
        <v>3661</v>
      </c>
      <c r="C6126" s="568"/>
      <c r="D6126" s="568"/>
      <c r="E6126" s="188"/>
      <c r="F6126" s="188"/>
      <c r="G6126" s="2122"/>
      <c r="H6126" s="2135">
        <f>H6125</f>
        <v>7.4999999999999997E-2</v>
      </c>
      <c r="I6126" s="2134">
        <f>I6125</f>
        <v>1.41</v>
      </c>
      <c r="J6126" s="2134"/>
      <c r="K6126" s="2140">
        <f>ROUND(I6126*H6126,2)</f>
        <v>0.11</v>
      </c>
      <c r="L6126" s="192"/>
      <c r="M6126" s="568"/>
    </row>
    <row r="6127" spans="1:17" ht="12.75" hidden="1">
      <c r="A6127" s="2114"/>
      <c r="B6127" s="568"/>
      <c r="C6127" s="568"/>
      <c r="D6127" s="568"/>
      <c r="E6127" s="188"/>
      <c r="F6127" s="188"/>
      <c r="G6127" s="2122"/>
      <c r="H6127" s="568"/>
      <c r="I6127" s="2118"/>
      <c r="J6127" s="2123"/>
      <c r="K6127" s="2123">
        <f>SUM(K6123:K6126)</f>
        <v>76.849999999999994</v>
      </c>
      <c r="L6127" s="192"/>
      <c r="M6127" s="568"/>
    </row>
    <row r="6128" spans="1:17" ht="12.75" hidden="1">
      <c r="A6128" s="2114"/>
      <c r="B6128" s="192" t="s">
        <v>3738</v>
      </c>
      <c r="C6128" s="2142">
        <v>0.01</v>
      </c>
      <c r="D6128" s="568"/>
      <c r="E6128" s="188"/>
      <c r="F6128" s="188"/>
      <c r="G6128" s="2122"/>
      <c r="H6128" s="568"/>
      <c r="I6128" s="2118"/>
      <c r="J6128" s="2123"/>
      <c r="K6128" s="2140">
        <f>ROUND(K6127*C6128,2)</f>
        <v>0.77</v>
      </c>
      <c r="L6128" s="192"/>
      <c r="M6128" s="568"/>
    </row>
    <row r="6129" spans="1:13" ht="12.75" hidden="1">
      <c r="A6129" s="2114"/>
      <c r="B6129" s="568"/>
      <c r="C6129" s="568"/>
      <c r="D6129" s="568"/>
      <c r="E6129" s="188"/>
      <c r="F6129" s="188"/>
      <c r="G6129" s="2122"/>
      <c r="H6129" s="568"/>
      <c r="I6129" s="2118"/>
      <c r="J6129" s="2126" t="s">
        <v>718</v>
      </c>
      <c r="K6129" s="2124">
        <f>SUM(K6127:K6128)</f>
        <v>77.61999999999999</v>
      </c>
      <c r="L6129" s="192" t="s">
        <v>730</v>
      </c>
      <c r="M6129" s="568"/>
    </row>
    <row r="6130" spans="1:13" ht="12.75" hidden="1">
      <c r="A6130" s="2114" t="str">
        <f>A972</f>
        <v>(iii)</v>
      </c>
      <c r="B6130" s="192" t="str">
        <f>B972</f>
        <v>2nd Floor</v>
      </c>
      <c r="C6130" s="568"/>
      <c r="D6130" s="568"/>
      <c r="E6130" s="2120" t="str">
        <f>E6122</f>
        <v>Each Sqm</v>
      </c>
      <c r="F6130" s="2120"/>
      <c r="G6130" s="2122"/>
      <c r="H6130" s="568"/>
      <c r="I6130" s="2118"/>
      <c r="J6130" s="2123"/>
      <c r="K6130" s="2123"/>
      <c r="L6130" s="192"/>
      <c r="M6130" s="568"/>
    </row>
    <row r="6131" spans="1:13" ht="12.75" hidden="1">
      <c r="A6131" s="2114"/>
      <c r="B6131" s="568" t="s">
        <v>722</v>
      </c>
      <c r="C6131" s="568"/>
      <c r="D6131" s="568"/>
      <c r="E6131" s="188"/>
      <c r="F6131" s="188"/>
      <c r="G6131" s="2122"/>
      <c r="H6131" s="568"/>
      <c r="I6131" s="2118"/>
      <c r="J6131" s="2123"/>
      <c r="K6131" s="2123">
        <f>K6129</f>
        <v>77.61999999999999</v>
      </c>
      <c r="L6131" s="192"/>
      <c r="M6131" s="568"/>
    </row>
    <row r="6132" spans="1:13" ht="12.75" hidden="1">
      <c r="A6132" s="2114"/>
      <c r="B6132" s="568" t="s">
        <v>948</v>
      </c>
      <c r="C6132" s="568"/>
      <c r="D6132" s="568"/>
      <c r="E6132" s="188"/>
      <c r="F6132" s="188"/>
      <c r="G6132" s="2122"/>
      <c r="H6132" s="2125">
        <f>H6124</f>
        <v>0.03</v>
      </c>
      <c r="I6132" s="2134">
        <f>I6124+K6124</f>
        <v>48.539999999999992</v>
      </c>
      <c r="J6132" s="2124"/>
      <c r="K6132" s="2123">
        <f>ROUND(I6132*H6132,2)</f>
        <v>1.46</v>
      </c>
      <c r="L6132" s="192"/>
      <c r="M6132" s="568"/>
    </row>
    <row r="6133" spans="1:13" ht="12.75" hidden="1">
      <c r="A6133" s="2114"/>
      <c r="B6133" s="192" t="s">
        <v>3662</v>
      </c>
      <c r="C6133" s="568"/>
      <c r="D6133" s="568"/>
      <c r="E6133" s="188"/>
      <c r="F6133" s="188"/>
      <c r="G6133" s="2122"/>
      <c r="H6133" s="2135">
        <f>H6126</f>
        <v>7.4999999999999997E-2</v>
      </c>
      <c r="I6133" s="2134">
        <f>K6132</f>
        <v>1.46</v>
      </c>
      <c r="J6133" s="2134"/>
      <c r="K6133" s="2123">
        <f>ROUND(I6133*H6133,2)</f>
        <v>0.11</v>
      </c>
      <c r="L6133" s="192"/>
      <c r="M6133" s="568"/>
    </row>
    <row r="6134" spans="1:13" ht="12.75" hidden="1">
      <c r="A6134" s="2114"/>
      <c r="B6134" s="192" t="s">
        <v>3661</v>
      </c>
      <c r="C6134" s="568"/>
      <c r="D6134" s="568"/>
      <c r="E6134" s="188"/>
      <c r="F6134" s="188"/>
      <c r="G6134" s="2122"/>
      <c r="H6134" s="2135">
        <f>H6133</f>
        <v>7.4999999999999997E-2</v>
      </c>
      <c r="I6134" s="2134">
        <f>I6133</f>
        <v>1.46</v>
      </c>
      <c r="J6134" s="2134"/>
      <c r="K6134" s="2140">
        <f>ROUND(I6134*H6134,2)</f>
        <v>0.11</v>
      </c>
      <c r="L6134" s="192"/>
      <c r="M6134" s="568"/>
    </row>
    <row r="6135" spans="1:13" ht="12.75" hidden="1">
      <c r="A6135" s="2114"/>
      <c r="B6135" s="568"/>
      <c r="C6135" s="568"/>
      <c r="D6135" s="568"/>
      <c r="E6135" s="188"/>
      <c r="F6135" s="188"/>
      <c r="G6135" s="2122"/>
      <c r="H6135" s="568"/>
      <c r="I6135" s="2118"/>
      <c r="J6135" s="2123"/>
      <c r="K6135" s="2123">
        <f>SUM(K6131:K6134)</f>
        <v>79.299999999999983</v>
      </c>
      <c r="L6135" s="192"/>
      <c r="M6135" s="568"/>
    </row>
    <row r="6136" spans="1:13" ht="12.75" hidden="1">
      <c r="A6136" s="2114"/>
      <c r="B6136" s="192" t="s">
        <v>3738</v>
      </c>
      <c r="C6136" s="2142">
        <v>0.01</v>
      </c>
      <c r="D6136" s="568"/>
      <c r="E6136" s="188"/>
      <c r="F6136" s="188"/>
      <c r="G6136" s="2122"/>
      <c r="H6136" s="568"/>
      <c r="I6136" s="2118"/>
      <c r="J6136" s="2123"/>
      <c r="K6136" s="2140">
        <f>ROUND(K6135*C6136,2)</f>
        <v>0.79</v>
      </c>
      <c r="L6136" s="192"/>
      <c r="M6136" s="568"/>
    </row>
    <row r="6137" spans="1:13" ht="12.75" hidden="1">
      <c r="A6137" s="2114"/>
      <c r="B6137" s="568"/>
      <c r="C6137" s="568"/>
      <c r="D6137" s="568"/>
      <c r="E6137" s="188"/>
      <c r="F6137" s="188"/>
      <c r="G6137" s="2122"/>
      <c r="H6137" s="568"/>
      <c r="I6137" s="2118"/>
      <c r="J6137" s="2126" t="s">
        <v>718</v>
      </c>
      <c r="K6137" s="2124">
        <f>SUM(K6135:K6136)</f>
        <v>80.089999999999989</v>
      </c>
      <c r="L6137" s="192" t="s">
        <v>730</v>
      </c>
      <c r="M6137" s="568"/>
    </row>
    <row r="6138" spans="1:13" ht="12.75" hidden="1">
      <c r="A6138" s="2114" t="str">
        <f>A973</f>
        <v>(iv)</v>
      </c>
      <c r="B6138" s="192" t="str">
        <f>B973</f>
        <v>3rd Floor</v>
      </c>
      <c r="C6138" s="568"/>
      <c r="D6138" s="568"/>
      <c r="E6138" s="2120" t="str">
        <f>E6130</f>
        <v>Each Sqm</v>
      </c>
      <c r="F6138" s="2120"/>
      <c r="G6138" s="2122"/>
      <c r="H6138" s="568"/>
      <c r="I6138" s="2118"/>
      <c r="J6138" s="2123"/>
      <c r="K6138" s="2123"/>
      <c r="L6138" s="192"/>
      <c r="M6138" s="568"/>
    </row>
    <row r="6139" spans="1:13" ht="12.75" hidden="1">
      <c r="A6139" s="2114"/>
      <c r="B6139" s="568" t="s">
        <v>722</v>
      </c>
      <c r="C6139" s="568"/>
      <c r="D6139" s="568"/>
      <c r="E6139" s="188"/>
      <c r="F6139" s="188"/>
      <c r="G6139" s="2122"/>
      <c r="H6139" s="568"/>
      <c r="I6139" s="2118"/>
      <c r="J6139" s="2123"/>
      <c r="K6139" s="2123">
        <f>K6137</f>
        <v>80.089999999999989</v>
      </c>
      <c r="L6139" s="192"/>
      <c r="M6139" s="568"/>
    </row>
    <row r="6140" spans="1:13" ht="12.75" hidden="1">
      <c r="A6140" s="2114"/>
      <c r="B6140" s="568" t="s">
        <v>948</v>
      </c>
      <c r="C6140" s="568"/>
      <c r="D6140" s="568"/>
      <c r="E6140" s="188"/>
      <c r="F6140" s="188"/>
      <c r="G6140" s="2122"/>
      <c r="H6140" s="2125">
        <f>H6132</f>
        <v>0.03</v>
      </c>
      <c r="I6140" s="2134">
        <f>I6132+K6132</f>
        <v>49.999999999999993</v>
      </c>
      <c r="J6140" s="2124"/>
      <c r="K6140" s="2123">
        <f>ROUND(I6140*H6140,2)</f>
        <v>1.5</v>
      </c>
      <c r="L6140" s="192"/>
      <c r="M6140" s="568"/>
    </row>
    <row r="6141" spans="1:13" ht="12.75" hidden="1">
      <c r="A6141" s="2114"/>
      <c r="B6141" s="192" t="s">
        <v>3662</v>
      </c>
      <c r="C6141" s="568"/>
      <c r="D6141" s="568"/>
      <c r="E6141" s="188"/>
      <c r="F6141" s="188"/>
      <c r="G6141" s="2122"/>
      <c r="H6141" s="2135">
        <f>H6134</f>
        <v>7.4999999999999997E-2</v>
      </c>
      <c r="I6141" s="2134">
        <f>K6140</f>
        <v>1.5</v>
      </c>
      <c r="J6141" s="2134"/>
      <c r="K6141" s="2123">
        <f>ROUND(I6141*H6141,2)</f>
        <v>0.11</v>
      </c>
      <c r="L6141" s="192"/>
      <c r="M6141" s="568"/>
    </row>
    <row r="6142" spans="1:13" ht="12.75" hidden="1">
      <c r="A6142" s="2114"/>
      <c r="B6142" s="192" t="s">
        <v>3661</v>
      </c>
      <c r="C6142" s="568"/>
      <c r="D6142" s="568"/>
      <c r="E6142" s="188"/>
      <c r="F6142" s="188"/>
      <c r="G6142" s="2122"/>
      <c r="H6142" s="2135">
        <f>H6141</f>
        <v>7.4999999999999997E-2</v>
      </c>
      <c r="I6142" s="2134">
        <f>I6141</f>
        <v>1.5</v>
      </c>
      <c r="J6142" s="2134"/>
      <c r="K6142" s="2140">
        <f>ROUND(I6142*H6142,2)</f>
        <v>0.11</v>
      </c>
      <c r="L6142" s="192"/>
      <c r="M6142" s="568"/>
    </row>
    <row r="6143" spans="1:13" ht="12.75" hidden="1">
      <c r="A6143" s="2114"/>
      <c r="B6143" s="568"/>
      <c r="C6143" s="568"/>
      <c r="D6143" s="568"/>
      <c r="E6143" s="188"/>
      <c r="F6143" s="188"/>
      <c r="G6143" s="2122"/>
      <c r="H6143" s="568"/>
      <c r="I6143" s="2118"/>
      <c r="J6143" s="2123"/>
      <c r="K6143" s="2123">
        <f>SUM(K6139:K6142)</f>
        <v>81.809999999999988</v>
      </c>
      <c r="L6143" s="192"/>
      <c r="M6143" s="568"/>
    </row>
    <row r="6144" spans="1:13" ht="12.75" hidden="1">
      <c r="A6144" s="2114"/>
      <c r="B6144" s="192" t="s">
        <v>3738</v>
      </c>
      <c r="C6144" s="2142">
        <v>0.01</v>
      </c>
      <c r="D6144" s="568"/>
      <c r="E6144" s="188"/>
      <c r="F6144" s="188"/>
      <c r="G6144" s="2122"/>
      <c r="H6144" s="568"/>
      <c r="I6144" s="2118"/>
      <c r="J6144" s="2123"/>
      <c r="K6144" s="2140">
        <f>ROUND(K6143*C6144,2)</f>
        <v>0.82</v>
      </c>
      <c r="L6144" s="192"/>
      <c r="M6144" s="568"/>
    </row>
    <row r="6145" spans="1:16" ht="12.75" hidden="1">
      <c r="A6145" s="2114"/>
      <c r="B6145" s="568"/>
      <c r="C6145" s="568"/>
      <c r="D6145" s="568"/>
      <c r="E6145" s="188"/>
      <c r="F6145" s="188"/>
      <c r="G6145" s="2122"/>
      <c r="H6145" s="568"/>
      <c r="I6145" s="2118"/>
      <c r="J6145" s="2126" t="s">
        <v>718</v>
      </c>
      <c r="K6145" s="2124">
        <f>SUM(K6143:K6144)</f>
        <v>82.629999999999981</v>
      </c>
      <c r="L6145" s="192" t="s">
        <v>730</v>
      </c>
      <c r="M6145" s="568"/>
    </row>
    <row r="6146" spans="1:16" ht="70.900000000000006" hidden="1" customHeight="1">
      <c r="A6146" s="2114">
        <f>A974</f>
        <v>126</v>
      </c>
      <c r="B6146" s="3017" t="str">
        <f>B974</f>
        <v xml:space="preserve">Painting two coats with distemper over one coat of primer to make an even finished surface in all floors and heights to wall surface of approved make and shade including sand papering, applying putty wherever necessary  etc. complete as per the direction of the Engineer-in-charge. </v>
      </c>
      <c r="C6146" s="3017"/>
      <c r="D6146" s="3017"/>
      <c r="E6146" s="2116" t="str">
        <f>G974</f>
        <v>Each Sqm</v>
      </c>
      <c r="F6146" s="2116"/>
      <c r="G6146" s="2122"/>
      <c r="H6146" s="568"/>
      <c r="I6146" s="2118"/>
      <c r="J6146" s="2124"/>
      <c r="K6146" s="2124"/>
      <c r="L6146" s="192"/>
      <c r="M6146" s="568"/>
    </row>
    <row r="6147" spans="1:16" ht="12.75" hidden="1">
      <c r="A6147" s="2114" t="str">
        <f>A975</f>
        <v>(i)</v>
      </c>
      <c r="B6147" s="192" t="str">
        <f>B975</f>
        <v>Ground Floor</v>
      </c>
      <c r="C6147" s="568"/>
      <c r="D6147" s="568"/>
      <c r="E6147" s="2120" t="str">
        <f>G975</f>
        <v>Each Sqm</v>
      </c>
      <c r="F6147" s="2120"/>
      <c r="G6147" s="2122"/>
      <c r="H6147" s="568"/>
      <c r="I6147" s="2118"/>
      <c r="J6147" s="2123"/>
      <c r="K6147" s="2123"/>
      <c r="L6147" s="192"/>
      <c r="M6147" s="568"/>
    </row>
    <row r="6148" spans="1:16" ht="12.75" hidden="1">
      <c r="A6148" s="568"/>
      <c r="B6148" s="192" t="s">
        <v>964</v>
      </c>
      <c r="C6148" s="568"/>
      <c r="D6148" s="568"/>
      <c r="E6148" s="188"/>
      <c r="F6148" s="188"/>
      <c r="G6148" s="2122"/>
      <c r="H6148" s="2117"/>
      <c r="I6148" s="2118"/>
      <c r="J6148" s="2123"/>
      <c r="K6148" s="2123"/>
      <c r="L6148" s="2119"/>
      <c r="M6148" s="568"/>
    </row>
    <row r="6149" spans="1:16" ht="12.75" hidden="1">
      <c r="A6149" s="568"/>
      <c r="B6149" s="192" t="s">
        <v>954</v>
      </c>
      <c r="C6149" s="568"/>
      <c r="D6149" s="568"/>
      <c r="E6149" s="188"/>
      <c r="F6149" s="188"/>
      <c r="G6149" s="2122"/>
      <c r="H6149" s="2117"/>
      <c r="I6149" s="2118"/>
      <c r="J6149" s="2123"/>
      <c r="K6149" s="2123"/>
      <c r="L6149" s="2119"/>
      <c r="M6149" s="568"/>
    </row>
    <row r="6150" spans="1:16" ht="12.75" hidden="1">
      <c r="A6150" s="568"/>
      <c r="B6150" s="568" t="s">
        <v>1237</v>
      </c>
      <c r="C6150" s="568"/>
      <c r="D6150" s="568"/>
      <c r="E6150" s="188"/>
      <c r="F6150" s="188"/>
      <c r="G6150" s="2122">
        <v>1.0569999999999999</v>
      </c>
      <c r="H6150" s="2117" t="s">
        <v>262</v>
      </c>
      <c r="I6150" s="2118" t="s">
        <v>38</v>
      </c>
      <c r="J6150" s="2123">
        <f>L137</f>
        <v>495</v>
      </c>
      <c r="K6150" s="2123">
        <f>ROUND(G6150*J6150,2)</f>
        <v>523.22</v>
      </c>
      <c r="L6150" s="2119"/>
      <c r="M6150" s="568"/>
    </row>
    <row r="6151" spans="1:16" ht="12.75" hidden="1">
      <c r="A6151" s="568"/>
      <c r="B6151" s="568" t="s">
        <v>717</v>
      </c>
      <c r="C6151" s="568"/>
      <c r="D6151" s="568"/>
      <c r="E6151" s="188"/>
      <c r="F6151" s="188"/>
      <c r="G6151" s="2122">
        <v>1.157</v>
      </c>
      <c r="H6151" s="2117" t="s">
        <v>262</v>
      </c>
      <c r="I6151" s="2118" t="s">
        <v>38</v>
      </c>
      <c r="J6151" s="2123">
        <f>L134</f>
        <v>345</v>
      </c>
      <c r="K6151" s="2123">
        <f>ROUND(G6151*J6151,2)</f>
        <v>399.17</v>
      </c>
      <c r="L6151" s="2119"/>
      <c r="M6151" s="568"/>
    </row>
    <row r="6152" spans="1:16" ht="12.75" hidden="1">
      <c r="A6152" s="568"/>
      <c r="B6152" s="568"/>
      <c r="C6152" s="568"/>
      <c r="D6152" s="568"/>
      <c r="E6152" s="188"/>
      <c r="F6152" s="188"/>
      <c r="G6152" s="2122"/>
      <c r="H6152" s="2117"/>
      <c r="I6152" s="2118"/>
      <c r="J6152" s="2126" t="s">
        <v>718</v>
      </c>
      <c r="K6152" s="2124">
        <f>SUM(K6150:K6151)</f>
        <v>922.3900000000001</v>
      </c>
      <c r="L6152" s="2119"/>
      <c r="M6152" s="568"/>
    </row>
    <row r="6153" spans="1:16" ht="12.75" hidden="1">
      <c r="A6153" s="568"/>
      <c r="B6153" s="192"/>
      <c r="C6153" s="568"/>
      <c r="D6153" s="568"/>
      <c r="E6153" s="188"/>
      <c r="F6153" s="188"/>
      <c r="G6153" s="2122"/>
      <c r="H6153" s="2117"/>
      <c r="I6153" s="2118"/>
      <c r="J6153" s="2123"/>
      <c r="K6153" s="2124"/>
      <c r="L6153" s="2119"/>
      <c r="M6153" s="568"/>
    </row>
    <row r="6154" spans="1:16" ht="12.75" hidden="1">
      <c r="A6154" s="568"/>
      <c r="B6154" s="192" t="s">
        <v>1250</v>
      </c>
      <c r="C6154" s="568"/>
      <c r="D6154" s="568"/>
      <c r="E6154" s="188"/>
      <c r="F6154" s="188"/>
      <c r="G6154" s="2122"/>
      <c r="H6154" s="2117"/>
      <c r="I6154" s="2118"/>
      <c r="J6154" s="2134"/>
      <c r="K6154" s="2124"/>
      <c r="L6154" s="2119"/>
      <c r="M6154" s="568"/>
    </row>
    <row r="6155" spans="1:16" ht="12.75" hidden="1">
      <c r="A6155" s="568"/>
      <c r="B6155" s="192" t="s">
        <v>967</v>
      </c>
      <c r="C6155" s="568"/>
      <c r="D6155" s="568"/>
      <c r="E6155" s="188"/>
      <c r="F6155" s="188"/>
      <c r="G6155" s="2161"/>
      <c r="H6155" s="2117"/>
      <c r="I6155" s="2118"/>
      <c r="J6155" s="2123"/>
      <c r="K6155" s="2124">
        <f>K6152+K6153+K6154</f>
        <v>922.3900000000001</v>
      </c>
      <c r="L6155" s="2119"/>
      <c r="M6155" s="568"/>
    </row>
    <row r="6156" spans="1:16" ht="12.75" hidden="1">
      <c r="A6156" s="568"/>
      <c r="B6156" s="192" t="s">
        <v>1235</v>
      </c>
      <c r="C6156" s="568"/>
      <c r="D6156" s="568"/>
      <c r="E6156" s="188"/>
      <c r="F6156" s="188"/>
      <c r="G6156" s="2161"/>
      <c r="H6156" s="2117"/>
      <c r="I6156" s="2118"/>
      <c r="J6156" s="2123"/>
      <c r="K6156" s="2124">
        <f>ROUND(K6155/10,2)</f>
        <v>92.24</v>
      </c>
      <c r="L6156" s="2119"/>
      <c r="M6156" s="568"/>
    </row>
    <row r="6157" spans="1:16" ht="12.75" hidden="1">
      <c r="A6157" s="2114"/>
      <c r="B6157" s="192" t="s">
        <v>1249</v>
      </c>
      <c r="C6157" s="568"/>
      <c r="D6157" s="568"/>
      <c r="E6157" s="188"/>
      <c r="F6157" s="188"/>
      <c r="G6157" s="2122">
        <v>0.25</v>
      </c>
      <c r="H6157" s="2117" t="s">
        <v>95</v>
      </c>
      <c r="I6157" s="2118" t="s">
        <v>95</v>
      </c>
      <c r="J6157" s="2123">
        <f>L86</f>
        <v>70.526219999999995</v>
      </c>
      <c r="K6157" s="2123">
        <f>ROUND(G6157*J6157,2)</f>
        <v>17.63</v>
      </c>
      <c r="L6157" s="2119"/>
      <c r="M6157" s="2118"/>
      <c r="N6157" s="1707"/>
      <c r="O6157" s="1707"/>
      <c r="P6157" s="1707"/>
    </row>
    <row r="6158" spans="1:16" ht="12.75" hidden="1">
      <c r="A6158" s="2114"/>
      <c r="B6158" s="192" t="s">
        <v>1241</v>
      </c>
      <c r="C6158" s="568"/>
      <c r="D6158" s="568"/>
      <c r="E6158" s="2114"/>
      <c r="F6158" s="2114"/>
      <c r="G6158" s="2122">
        <v>8.4000000000000005E-2</v>
      </c>
      <c r="H6158" s="2117" t="s">
        <v>116</v>
      </c>
      <c r="I6158" s="2118" t="s">
        <v>116</v>
      </c>
      <c r="J6158" s="2123">
        <f>L94</f>
        <v>159.45622</v>
      </c>
      <c r="K6158" s="2123">
        <f>ROUND(G6158*J6158,2)</f>
        <v>13.39</v>
      </c>
      <c r="L6158" s="2119"/>
      <c r="M6158" s="2118"/>
      <c r="N6158" s="1707"/>
      <c r="O6158" s="1707"/>
      <c r="P6158" s="1707"/>
    </row>
    <row r="6159" spans="1:16" ht="12.75" hidden="1">
      <c r="A6159" s="2114"/>
      <c r="B6159" s="192"/>
      <c r="C6159" s="568"/>
      <c r="D6159" s="568"/>
      <c r="E6159" s="2114"/>
      <c r="F6159" s="2114"/>
      <c r="G6159" s="2122"/>
      <c r="H6159" s="2117"/>
      <c r="I6159" s="2118"/>
      <c r="J6159" s="2123"/>
      <c r="K6159" s="2123">
        <f>SUM(K6156:K6158)</f>
        <v>123.25999999999999</v>
      </c>
      <c r="L6159" s="2119"/>
      <c r="M6159" s="2118"/>
      <c r="N6159" s="1707"/>
      <c r="O6159" s="1707"/>
      <c r="P6159" s="1707"/>
    </row>
    <row r="6160" spans="1:16" ht="12.75" hidden="1">
      <c r="A6160" s="2114"/>
      <c r="B6160" s="192" t="s">
        <v>3662</v>
      </c>
      <c r="C6160" s="568"/>
      <c r="D6160" s="568"/>
      <c r="E6160" s="188"/>
      <c r="F6160" s="188"/>
      <c r="G6160" s="2122"/>
      <c r="H6160" s="2135">
        <f>H6142</f>
        <v>7.4999999999999997E-2</v>
      </c>
      <c r="I6160" s="2134">
        <f>K6159</f>
        <v>123.25999999999999</v>
      </c>
      <c r="J6160" s="2134"/>
      <c r="K6160" s="2123">
        <f>ROUND(I6160*H6160,2)</f>
        <v>9.24</v>
      </c>
      <c r="L6160" s="2119"/>
      <c r="M6160" s="2118"/>
      <c r="N6160" s="1707"/>
      <c r="O6160" s="1707"/>
      <c r="P6160" s="1707"/>
    </row>
    <row r="6161" spans="1:16" ht="12.75" hidden="1">
      <c r="A6161" s="2114"/>
      <c r="B6161" s="192" t="s">
        <v>3661</v>
      </c>
      <c r="C6161" s="568"/>
      <c r="D6161" s="568"/>
      <c r="E6161" s="188"/>
      <c r="F6161" s="188"/>
      <c r="G6161" s="2122"/>
      <c r="H6161" s="2135">
        <f>H6160</f>
        <v>7.4999999999999997E-2</v>
      </c>
      <c r="I6161" s="2134">
        <f>I6160</f>
        <v>123.25999999999999</v>
      </c>
      <c r="J6161" s="2134"/>
      <c r="K6161" s="2140">
        <f>ROUND(I6161*H6161,2)</f>
        <v>9.24</v>
      </c>
      <c r="L6161" s="2119"/>
      <c r="M6161" s="2118"/>
      <c r="N6161" s="1707"/>
      <c r="O6161" s="1707"/>
      <c r="P6161" s="1707"/>
    </row>
    <row r="6162" spans="1:16" ht="12.75" hidden="1">
      <c r="A6162" s="2114"/>
      <c r="B6162" s="568"/>
      <c r="C6162" s="568"/>
      <c r="D6162" s="568"/>
      <c r="E6162" s="188"/>
      <c r="F6162" s="188"/>
      <c r="G6162" s="2122"/>
      <c r="H6162" s="568"/>
      <c r="I6162" s="2118"/>
      <c r="J6162" s="2123"/>
      <c r="K6162" s="2123">
        <f>SUM(K6159:K6161)</f>
        <v>141.74</v>
      </c>
      <c r="L6162" s="2119"/>
      <c r="M6162" s="2118"/>
      <c r="N6162" s="1707"/>
      <c r="O6162" s="1707"/>
      <c r="P6162" s="1707"/>
    </row>
    <row r="6163" spans="1:16" ht="12.75" hidden="1">
      <c r="A6163" s="2114"/>
      <c r="B6163" s="192" t="s">
        <v>3738</v>
      </c>
      <c r="C6163" s="2142">
        <v>0.01</v>
      </c>
      <c r="D6163" s="568"/>
      <c r="E6163" s="188"/>
      <c r="F6163" s="188"/>
      <c r="G6163" s="2122"/>
      <c r="H6163" s="568"/>
      <c r="I6163" s="2118"/>
      <c r="J6163" s="2123"/>
      <c r="K6163" s="2140">
        <f>ROUND(K6162*C6163,2)</f>
        <v>1.42</v>
      </c>
      <c r="L6163" s="2119"/>
      <c r="M6163" s="2118"/>
      <c r="N6163" s="1707"/>
      <c r="O6163" s="1707"/>
      <c r="P6163" s="1707"/>
    </row>
    <row r="6164" spans="1:16" ht="12.75" hidden="1">
      <c r="A6164" s="2114"/>
      <c r="B6164" s="568" t="s">
        <v>1201</v>
      </c>
      <c r="C6164" s="568"/>
      <c r="D6164" s="568"/>
      <c r="E6164" s="188"/>
      <c r="F6164" s="188"/>
      <c r="G6164" s="2122"/>
      <c r="H6164" s="568"/>
      <c r="I6164" s="2118"/>
      <c r="J6164" s="2126" t="s">
        <v>718</v>
      </c>
      <c r="K6164" s="2124">
        <f>SUM(K6162:K6163)</f>
        <v>143.16</v>
      </c>
      <c r="L6164" s="2119" t="s">
        <v>730</v>
      </c>
      <c r="M6164" s="2118"/>
      <c r="N6164" s="1707"/>
      <c r="O6164" s="1707"/>
      <c r="P6164" s="1707"/>
    </row>
    <row r="6165" spans="1:16" ht="12.75" hidden="1">
      <c r="A6165" s="2114" t="str">
        <f>A976</f>
        <v>(ii)</v>
      </c>
      <c r="B6165" s="192" t="str">
        <f>B976</f>
        <v>First Floor</v>
      </c>
      <c r="C6165" s="568"/>
      <c r="D6165" s="568"/>
      <c r="E6165" s="2120" t="str">
        <f>E6147</f>
        <v>Each Sqm</v>
      </c>
      <c r="F6165" s="2120"/>
      <c r="G6165" s="2122"/>
      <c r="H6165" s="568"/>
      <c r="I6165" s="2118"/>
      <c r="J6165" s="2123"/>
      <c r="K6165" s="2123"/>
      <c r="L6165" s="192"/>
      <c r="M6165" s="568"/>
    </row>
    <row r="6166" spans="1:16" ht="12.75" hidden="1">
      <c r="A6166" s="2114"/>
      <c r="B6166" s="568" t="s">
        <v>722</v>
      </c>
      <c r="C6166" s="568"/>
      <c r="D6166" s="568"/>
      <c r="E6166" s="188"/>
      <c r="F6166" s="188"/>
      <c r="G6166" s="2122"/>
      <c r="H6166" s="568"/>
      <c r="I6166" s="2118"/>
      <c r="J6166" s="2123"/>
      <c r="K6166" s="2123">
        <f>K6162</f>
        <v>141.74</v>
      </c>
      <c r="L6166" s="192"/>
      <c r="M6166" s="568"/>
    </row>
    <row r="6167" spans="1:16" ht="12.75" hidden="1">
      <c r="A6167" s="2114"/>
      <c r="B6167" s="568" t="s">
        <v>948</v>
      </c>
      <c r="C6167" s="568"/>
      <c r="D6167" s="568"/>
      <c r="E6167" s="188"/>
      <c r="F6167" s="188"/>
      <c r="G6167" s="2122"/>
      <c r="H6167" s="2125">
        <v>0.03</v>
      </c>
      <c r="I6167" s="2134">
        <f>K6152/10</f>
        <v>92.239000000000004</v>
      </c>
      <c r="J6167" s="2124"/>
      <c r="K6167" s="2123">
        <f>ROUND(I6167*H6167,2)</f>
        <v>2.77</v>
      </c>
      <c r="L6167" s="192"/>
      <c r="M6167" s="568"/>
    </row>
    <row r="6168" spans="1:16" ht="12.75" hidden="1">
      <c r="A6168" s="2114"/>
      <c r="B6168" s="192" t="s">
        <v>3662</v>
      </c>
      <c r="C6168" s="568"/>
      <c r="D6168" s="568"/>
      <c r="E6168" s="188"/>
      <c r="F6168" s="188"/>
      <c r="G6168" s="2122"/>
      <c r="H6168" s="2135">
        <f>H6161</f>
        <v>7.4999999999999997E-2</v>
      </c>
      <c r="I6168" s="2134">
        <f>K6167</f>
        <v>2.77</v>
      </c>
      <c r="J6168" s="2134"/>
      <c r="K6168" s="2123">
        <f>ROUND(I6168*H6168,2)</f>
        <v>0.21</v>
      </c>
      <c r="L6168" s="192"/>
      <c r="M6168" s="568"/>
    </row>
    <row r="6169" spans="1:16" ht="12.75" hidden="1">
      <c r="A6169" s="2114"/>
      <c r="B6169" s="192" t="s">
        <v>3661</v>
      </c>
      <c r="C6169" s="568"/>
      <c r="D6169" s="568"/>
      <c r="E6169" s="188"/>
      <c r="F6169" s="188"/>
      <c r="G6169" s="2122"/>
      <c r="H6169" s="2135">
        <f>H6168</f>
        <v>7.4999999999999997E-2</v>
      </c>
      <c r="I6169" s="2134">
        <f>I6168</f>
        <v>2.77</v>
      </c>
      <c r="J6169" s="2134"/>
      <c r="K6169" s="2140">
        <f>ROUND(I6169*H6169,2)</f>
        <v>0.21</v>
      </c>
      <c r="L6169" s="192"/>
      <c r="M6169" s="568"/>
    </row>
    <row r="6170" spans="1:16" ht="12.75" hidden="1">
      <c r="A6170" s="2114"/>
      <c r="B6170" s="568"/>
      <c r="C6170" s="568"/>
      <c r="D6170" s="568"/>
      <c r="E6170" s="188"/>
      <c r="F6170" s="188"/>
      <c r="G6170" s="2122"/>
      <c r="H6170" s="568"/>
      <c r="I6170" s="2118"/>
      <c r="J6170" s="2123"/>
      <c r="K6170" s="2123">
        <f>SUM(K6166:K6169)</f>
        <v>144.93000000000004</v>
      </c>
      <c r="L6170" s="192"/>
      <c r="M6170" s="568"/>
    </row>
    <row r="6171" spans="1:16" ht="12.75" hidden="1">
      <c r="A6171" s="2114"/>
      <c r="B6171" s="192" t="s">
        <v>3738</v>
      </c>
      <c r="C6171" s="2142">
        <v>0.01</v>
      </c>
      <c r="D6171" s="568"/>
      <c r="E6171" s="188"/>
      <c r="F6171" s="188"/>
      <c r="G6171" s="2122"/>
      <c r="H6171" s="568"/>
      <c r="I6171" s="2118"/>
      <c r="J6171" s="2123"/>
      <c r="K6171" s="2140">
        <f>ROUND(K6170*C6171,2)</f>
        <v>1.45</v>
      </c>
      <c r="L6171" s="192"/>
      <c r="M6171" s="568"/>
    </row>
    <row r="6172" spans="1:16" ht="12.75" hidden="1">
      <c r="A6172" s="2114"/>
      <c r="B6172" s="568"/>
      <c r="C6172" s="568"/>
      <c r="D6172" s="568"/>
      <c r="E6172" s="188"/>
      <c r="F6172" s="188"/>
      <c r="G6172" s="2122"/>
      <c r="H6172" s="568"/>
      <c r="I6172" s="2118"/>
      <c r="J6172" s="2126" t="s">
        <v>718</v>
      </c>
      <c r="K6172" s="2124">
        <f>SUM(K6170:K6171)</f>
        <v>146.38000000000002</v>
      </c>
      <c r="L6172" s="192" t="s">
        <v>730</v>
      </c>
      <c r="M6172" s="568"/>
    </row>
    <row r="6173" spans="1:16" ht="12.75" hidden="1">
      <c r="A6173" s="2114" t="str">
        <f>A977</f>
        <v>(iii)</v>
      </c>
      <c r="B6173" s="192" t="str">
        <f>B977</f>
        <v>2nd Floor</v>
      </c>
      <c r="C6173" s="568"/>
      <c r="D6173" s="568"/>
      <c r="E6173" s="2120" t="str">
        <f>E6165</f>
        <v>Each Sqm</v>
      </c>
      <c r="F6173" s="2120"/>
      <c r="G6173" s="2122"/>
      <c r="H6173" s="568"/>
      <c r="I6173" s="2118"/>
      <c r="J6173" s="2123"/>
      <c r="K6173" s="2123"/>
      <c r="L6173" s="192"/>
      <c r="M6173" s="568"/>
    </row>
    <row r="6174" spans="1:16" ht="12.75" hidden="1">
      <c r="A6174" s="2114"/>
      <c r="B6174" s="568" t="s">
        <v>722</v>
      </c>
      <c r="C6174" s="568"/>
      <c r="D6174" s="568"/>
      <c r="E6174" s="188"/>
      <c r="F6174" s="188"/>
      <c r="G6174" s="2122"/>
      <c r="H6174" s="568"/>
      <c r="I6174" s="2118"/>
      <c r="J6174" s="2123"/>
      <c r="K6174" s="2123">
        <f>K6172</f>
        <v>146.38000000000002</v>
      </c>
      <c r="L6174" s="192"/>
      <c r="M6174" s="568"/>
    </row>
    <row r="6175" spans="1:16" ht="12.75" hidden="1">
      <c r="A6175" s="2114"/>
      <c r="B6175" s="568" t="s">
        <v>948</v>
      </c>
      <c r="C6175" s="568"/>
      <c r="D6175" s="568"/>
      <c r="E6175" s="188"/>
      <c r="F6175" s="188"/>
      <c r="G6175" s="2122"/>
      <c r="H6175" s="2125">
        <f>H6167</f>
        <v>0.03</v>
      </c>
      <c r="I6175" s="2134">
        <f>I6167+K6167</f>
        <v>95.009</v>
      </c>
      <c r="J6175" s="2124"/>
      <c r="K6175" s="2123">
        <f>ROUND(I6175*H6175,2)</f>
        <v>2.85</v>
      </c>
      <c r="L6175" s="192"/>
      <c r="M6175" s="568"/>
    </row>
    <row r="6176" spans="1:16" ht="12.75" hidden="1">
      <c r="A6176" s="2114"/>
      <c r="B6176" s="192" t="s">
        <v>3662</v>
      </c>
      <c r="C6176" s="568"/>
      <c r="D6176" s="568"/>
      <c r="E6176" s="188"/>
      <c r="F6176" s="188"/>
      <c r="G6176" s="2122"/>
      <c r="H6176" s="2135">
        <f>H6169</f>
        <v>7.4999999999999997E-2</v>
      </c>
      <c r="I6176" s="2134">
        <f>K6175</f>
        <v>2.85</v>
      </c>
      <c r="J6176" s="2134"/>
      <c r="K6176" s="2123">
        <f>ROUND(I6176*H6176,2)</f>
        <v>0.21</v>
      </c>
      <c r="L6176" s="192"/>
      <c r="M6176" s="568"/>
    </row>
    <row r="6177" spans="1:13" ht="12.75" hidden="1">
      <c r="A6177" s="2114"/>
      <c r="B6177" s="192" t="s">
        <v>3661</v>
      </c>
      <c r="C6177" s="568"/>
      <c r="D6177" s="568"/>
      <c r="E6177" s="188"/>
      <c r="F6177" s="188"/>
      <c r="G6177" s="2122"/>
      <c r="H6177" s="2135">
        <f>H6176</f>
        <v>7.4999999999999997E-2</v>
      </c>
      <c r="I6177" s="2134">
        <f>I6176</f>
        <v>2.85</v>
      </c>
      <c r="J6177" s="2134"/>
      <c r="K6177" s="2140">
        <f>ROUND(I6177*H6177,2)</f>
        <v>0.21</v>
      </c>
      <c r="L6177" s="192"/>
      <c r="M6177" s="568"/>
    </row>
    <row r="6178" spans="1:13" ht="12.75" hidden="1">
      <c r="A6178" s="2114"/>
      <c r="B6178" s="568"/>
      <c r="C6178" s="568"/>
      <c r="D6178" s="568"/>
      <c r="E6178" s="188"/>
      <c r="F6178" s="188"/>
      <c r="G6178" s="2122"/>
      <c r="H6178" s="568"/>
      <c r="I6178" s="2118"/>
      <c r="J6178" s="2123"/>
      <c r="K6178" s="2123">
        <f>SUM(K6174:K6177)</f>
        <v>149.65000000000003</v>
      </c>
      <c r="L6178" s="192"/>
      <c r="M6178" s="568"/>
    </row>
    <row r="6179" spans="1:13" ht="12.75" hidden="1">
      <c r="A6179" s="2114"/>
      <c r="B6179" s="192" t="s">
        <v>3738</v>
      </c>
      <c r="C6179" s="2142">
        <v>0.01</v>
      </c>
      <c r="D6179" s="568"/>
      <c r="E6179" s="188"/>
      <c r="F6179" s="188"/>
      <c r="G6179" s="2122"/>
      <c r="H6179" s="568"/>
      <c r="I6179" s="2118"/>
      <c r="J6179" s="2123"/>
      <c r="K6179" s="2140">
        <f>ROUND(K6178*C6179,2)</f>
        <v>1.5</v>
      </c>
      <c r="L6179" s="192"/>
      <c r="M6179" s="568"/>
    </row>
    <row r="6180" spans="1:13" ht="12.75" hidden="1">
      <c r="A6180" s="2114"/>
      <c r="B6180" s="568"/>
      <c r="C6180" s="568"/>
      <c r="D6180" s="568"/>
      <c r="E6180" s="188"/>
      <c r="F6180" s="188"/>
      <c r="G6180" s="2122"/>
      <c r="H6180" s="568"/>
      <c r="I6180" s="2118"/>
      <c r="J6180" s="2126" t="s">
        <v>718</v>
      </c>
      <c r="K6180" s="2124">
        <f>SUM(K6178:K6179)</f>
        <v>151.15000000000003</v>
      </c>
      <c r="L6180" s="192" t="s">
        <v>730</v>
      </c>
      <c r="M6180" s="568"/>
    </row>
    <row r="6181" spans="1:13" ht="12.75" hidden="1">
      <c r="A6181" s="2114" t="str">
        <f>A978</f>
        <v>(iv)</v>
      </c>
      <c r="B6181" s="192" t="str">
        <f>B978</f>
        <v>3rd Floor</v>
      </c>
      <c r="C6181" s="568"/>
      <c r="D6181" s="568"/>
      <c r="E6181" s="2120" t="str">
        <f>E6173</f>
        <v>Each Sqm</v>
      </c>
      <c r="F6181" s="2120"/>
      <c r="G6181" s="2122"/>
      <c r="H6181" s="568"/>
      <c r="I6181" s="2118"/>
      <c r="J6181" s="2123"/>
      <c r="K6181" s="2123"/>
      <c r="L6181" s="192"/>
      <c r="M6181" s="568"/>
    </row>
    <row r="6182" spans="1:13" ht="12.75" hidden="1">
      <c r="A6182" s="2114"/>
      <c r="B6182" s="568" t="s">
        <v>722</v>
      </c>
      <c r="C6182" s="568"/>
      <c r="D6182" s="568"/>
      <c r="E6182" s="188"/>
      <c r="F6182" s="188"/>
      <c r="G6182" s="2122"/>
      <c r="H6182" s="568"/>
      <c r="I6182" s="2118"/>
      <c r="J6182" s="2123"/>
      <c r="K6182" s="2123">
        <f>K6180</f>
        <v>151.15000000000003</v>
      </c>
      <c r="L6182" s="192"/>
      <c r="M6182" s="568"/>
    </row>
    <row r="6183" spans="1:13" ht="12.75" hidden="1">
      <c r="A6183" s="2114"/>
      <c r="B6183" s="568" t="s">
        <v>948</v>
      </c>
      <c r="C6183" s="568"/>
      <c r="D6183" s="568"/>
      <c r="E6183" s="188"/>
      <c r="F6183" s="188"/>
      <c r="G6183" s="2122"/>
      <c r="H6183" s="2125">
        <f>H6175</f>
        <v>0.03</v>
      </c>
      <c r="I6183" s="2134">
        <f>I6175+K6175</f>
        <v>97.858999999999995</v>
      </c>
      <c r="J6183" s="2124"/>
      <c r="K6183" s="2123">
        <f>ROUND(I6183*H6183,2)</f>
        <v>2.94</v>
      </c>
      <c r="L6183" s="192"/>
      <c r="M6183" s="568"/>
    </row>
    <row r="6184" spans="1:13" ht="12.75" hidden="1">
      <c r="A6184" s="2114"/>
      <c r="B6184" s="192" t="s">
        <v>3662</v>
      </c>
      <c r="C6184" s="568"/>
      <c r="D6184" s="568"/>
      <c r="E6184" s="188"/>
      <c r="F6184" s="188"/>
      <c r="G6184" s="2122"/>
      <c r="H6184" s="2135">
        <f>H6177</f>
        <v>7.4999999999999997E-2</v>
      </c>
      <c r="I6184" s="2134">
        <f>K6183</f>
        <v>2.94</v>
      </c>
      <c r="J6184" s="2134"/>
      <c r="K6184" s="2123">
        <f>ROUND(I6184*H6184,2)</f>
        <v>0.22</v>
      </c>
      <c r="L6184" s="192"/>
      <c r="M6184" s="568"/>
    </row>
    <row r="6185" spans="1:13" ht="12.75" hidden="1">
      <c r="A6185" s="2114"/>
      <c r="B6185" s="192" t="s">
        <v>3661</v>
      </c>
      <c r="C6185" s="568"/>
      <c r="D6185" s="568"/>
      <c r="E6185" s="188"/>
      <c r="F6185" s="188"/>
      <c r="G6185" s="2122"/>
      <c r="H6185" s="2135">
        <f>H6184</f>
        <v>7.4999999999999997E-2</v>
      </c>
      <c r="I6185" s="2134">
        <f>I6184</f>
        <v>2.94</v>
      </c>
      <c r="J6185" s="2134"/>
      <c r="K6185" s="2140">
        <f>ROUND(I6185*H6185,2)</f>
        <v>0.22</v>
      </c>
      <c r="L6185" s="192"/>
      <c r="M6185" s="568"/>
    </row>
    <row r="6186" spans="1:13" ht="12.75" hidden="1">
      <c r="A6186" s="2114"/>
      <c r="B6186" s="568"/>
      <c r="C6186" s="568"/>
      <c r="D6186" s="568"/>
      <c r="E6186" s="188"/>
      <c r="F6186" s="188"/>
      <c r="G6186" s="2122"/>
      <c r="H6186" s="568"/>
      <c r="I6186" s="2118"/>
      <c r="J6186" s="2123"/>
      <c r="K6186" s="2123">
        <f>SUM(K6182:K6185)</f>
        <v>154.53000000000003</v>
      </c>
      <c r="L6186" s="192"/>
      <c r="M6186" s="568"/>
    </row>
    <row r="6187" spans="1:13" ht="12.75" hidden="1">
      <c r="A6187" s="2114"/>
      <c r="B6187" s="192" t="s">
        <v>3738</v>
      </c>
      <c r="C6187" s="2142">
        <v>0.01</v>
      </c>
      <c r="D6187" s="568"/>
      <c r="E6187" s="188"/>
      <c r="F6187" s="188"/>
      <c r="G6187" s="2122"/>
      <c r="H6187" s="568"/>
      <c r="I6187" s="2118"/>
      <c r="J6187" s="2123"/>
      <c r="K6187" s="2140">
        <f>ROUND(K6186*C6187,2)</f>
        <v>1.55</v>
      </c>
      <c r="L6187" s="192"/>
      <c r="M6187" s="568"/>
    </row>
    <row r="6188" spans="1:13" ht="12.75" hidden="1">
      <c r="A6188" s="2114"/>
      <c r="B6188" s="568"/>
      <c r="C6188" s="568"/>
      <c r="D6188" s="568"/>
      <c r="E6188" s="188"/>
      <c r="F6188" s="188"/>
      <c r="G6188" s="2122"/>
      <c r="H6188" s="568"/>
      <c r="I6188" s="2118"/>
      <c r="J6188" s="2126" t="s">
        <v>718</v>
      </c>
      <c r="K6188" s="2124">
        <f>SUM(K6186:K6187)</f>
        <v>156.08000000000004</v>
      </c>
      <c r="L6188" s="192" t="s">
        <v>730</v>
      </c>
      <c r="M6188" s="568"/>
    </row>
    <row r="6189" spans="1:13" ht="42.6" hidden="1" customHeight="1">
      <c r="A6189" s="2114">
        <f>A979</f>
        <v>127</v>
      </c>
      <c r="B6189" s="3032" t="str">
        <f>B979</f>
        <v xml:space="preserve">White washing two coat using shell lime with cost,conveyance of shell lime and cost of  all  labour etc. complete in all respect as per direction of the Engineer-in-charge. </v>
      </c>
      <c r="C6189" s="3017"/>
      <c r="D6189" s="3017"/>
      <c r="E6189" s="2116" t="str">
        <f>G979</f>
        <v>Each Sqm</v>
      </c>
      <c r="F6189" s="2116"/>
      <c r="G6189" s="2122"/>
      <c r="H6189" s="568"/>
      <c r="I6189" s="2118"/>
      <c r="J6189" s="2124"/>
      <c r="K6189" s="2124"/>
      <c r="L6189" s="192"/>
      <c r="M6189" s="568"/>
    </row>
    <row r="6190" spans="1:13" ht="12.75" hidden="1">
      <c r="A6190" s="2114" t="str">
        <f>A980</f>
        <v>(i)</v>
      </c>
      <c r="B6190" s="192" t="str">
        <f>B980</f>
        <v>Ground Floor</v>
      </c>
      <c r="C6190" s="568"/>
      <c r="D6190" s="568"/>
      <c r="E6190" s="2120" t="str">
        <f>G951</f>
        <v>Each Sqm</v>
      </c>
      <c r="F6190" s="2120"/>
      <c r="G6190" s="2122"/>
      <c r="H6190" s="568"/>
      <c r="I6190" s="2118"/>
      <c r="J6190" s="2123"/>
      <c r="K6190" s="2123"/>
      <c r="L6190" s="192"/>
      <c r="M6190" s="568"/>
    </row>
    <row r="6191" spans="1:13" ht="12.75" hidden="1">
      <c r="A6191" s="2114"/>
      <c r="B6191" s="192" t="s">
        <v>1251</v>
      </c>
      <c r="C6191" s="2165"/>
      <c r="D6191" s="568"/>
      <c r="E6191" s="13"/>
      <c r="F6191" s="13"/>
      <c r="G6191" s="2118"/>
      <c r="H6191" s="568"/>
      <c r="I6191" s="568"/>
      <c r="J6191" s="568"/>
      <c r="K6191" s="568"/>
      <c r="L6191" s="192"/>
      <c r="M6191" s="568"/>
    </row>
    <row r="6192" spans="1:13" ht="12.75" hidden="1">
      <c r="A6192" s="2114"/>
      <c r="B6192" s="192" t="s">
        <v>822</v>
      </c>
      <c r="C6192" s="568"/>
      <c r="D6192" s="568"/>
      <c r="E6192" s="2234"/>
      <c r="F6192" s="2234"/>
      <c r="G6192" s="2118"/>
      <c r="H6192" s="2123"/>
      <c r="I6192" s="2123"/>
      <c r="J6192" s="2123"/>
      <c r="K6192" s="568"/>
      <c r="L6192" s="192"/>
      <c r="M6192" s="568"/>
    </row>
    <row r="6193" spans="1:13" ht="12.75" hidden="1">
      <c r="A6193" s="2114"/>
      <c r="B6193" s="568" t="s">
        <v>1252</v>
      </c>
      <c r="C6193" s="568"/>
      <c r="D6193" s="568"/>
      <c r="E6193" s="188"/>
      <c r="F6193" s="188"/>
      <c r="G6193" s="2122">
        <v>18.66</v>
      </c>
      <c r="H6193" s="2117" t="s">
        <v>95</v>
      </c>
      <c r="I6193" s="2118" t="s">
        <v>95</v>
      </c>
      <c r="J6193" s="2123">
        <f>L98</f>
        <v>24.616220000000002</v>
      </c>
      <c r="K6193" s="2123">
        <f>ROUND(G6193*J6193,2)</f>
        <v>459.34</v>
      </c>
      <c r="L6193" s="192"/>
      <c r="M6193" s="568"/>
    </row>
    <row r="6194" spans="1:13" ht="12.75" hidden="1">
      <c r="A6194" s="2114"/>
      <c r="B6194" s="568"/>
      <c r="C6194" s="568"/>
      <c r="D6194" s="568"/>
      <c r="E6194" s="188"/>
      <c r="F6194" s="188"/>
      <c r="G6194" s="2122"/>
      <c r="H6194" s="2117"/>
      <c r="I6194" s="2118"/>
      <c r="J6194" s="2126" t="s">
        <v>718</v>
      </c>
      <c r="K6194" s="2124">
        <f>K6193</f>
        <v>459.34</v>
      </c>
      <c r="L6194" s="192"/>
      <c r="M6194" s="568"/>
    </row>
    <row r="6195" spans="1:13" ht="12.75" hidden="1">
      <c r="A6195" s="2114"/>
      <c r="B6195" s="192" t="s">
        <v>781</v>
      </c>
      <c r="C6195" s="568"/>
      <c r="D6195" s="568"/>
      <c r="E6195" s="188"/>
      <c r="F6195" s="188"/>
      <c r="G6195" s="2122"/>
      <c r="H6195" s="2117"/>
      <c r="I6195" s="2118"/>
      <c r="J6195" s="2123"/>
      <c r="K6195" s="2123"/>
      <c r="L6195" s="192"/>
      <c r="M6195" s="568"/>
    </row>
    <row r="6196" spans="1:13" ht="12.75" hidden="1">
      <c r="A6196" s="2114"/>
      <c r="B6196" s="568" t="s">
        <v>1229</v>
      </c>
      <c r="C6196" s="568"/>
      <c r="D6196" s="568"/>
      <c r="E6196" s="188"/>
      <c r="F6196" s="188"/>
      <c r="G6196" s="2122">
        <v>1</v>
      </c>
      <c r="H6196" s="2117" t="s">
        <v>262</v>
      </c>
      <c r="I6196" s="2118" t="s">
        <v>38</v>
      </c>
      <c r="J6196" s="2123">
        <f>L136</f>
        <v>435</v>
      </c>
      <c r="K6196" s="2123">
        <f>ROUND(G6196*J6196,2)</f>
        <v>435</v>
      </c>
      <c r="L6196" s="192"/>
      <c r="M6196" s="568"/>
    </row>
    <row r="6197" spans="1:13" ht="12.75" hidden="1">
      <c r="A6197" s="2114"/>
      <c r="B6197" s="568" t="s">
        <v>717</v>
      </c>
      <c r="C6197" s="568"/>
      <c r="D6197" s="568"/>
      <c r="E6197" s="188"/>
      <c r="F6197" s="188"/>
      <c r="G6197" s="2122">
        <v>0.75</v>
      </c>
      <c r="H6197" s="2117" t="s">
        <v>262</v>
      </c>
      <c r="I6197" s="2118" t="s">
        <v>38</v>
      </c>
      <c r="J6197" s="2123">
        <f>L134</f>
        <v>345</v>
      </c>
      <c r="K6197" s="2123">
        <f>ROUND(G6197*J6197,2)</f>
        <v>258.75</v>
      </c>
      <c r="L6197" s="192"/>
      <c r="M6197" s="568"/>
    </row>
    <row r="6198" spans="1:13" ht="12.75" hidden="1">
      <c r="A6198" s="2114"/>
      <c r="B6198" s="568"/>
      <c r="C6198" s="568"/>
      <c r="D6198" s="568"/>
      <c r="E6198" s="188"/>
      <c r="F6198" s="188"/>
      <c r="G6198" s="2122"/>
      <c r="H6198" s="2118"/>
      <c r="I6198" s="2134"/>
      <c r="J6198" s="2114" t="s">
        <v>718</v>
      </c>
      <c r="K6198" s="2124">
        <f>SUM(K6196:K6197)</f>
        <v>693.75</v>
      </c>
      <c r="L6198" s="192"/>
      <c r="M6198" s="568"/>
    </row>
    <row r="6199" spans="1:13" ht="12.75" hidden="1">
      <c r="A6199" s="2114"/>
      <c r="B6199" s="192"/>
      <c r="C6199" s="568"/>
      <c r="D6199" s="568"/>
      <c r="E6199" s="188"/>
      <c r="F6199" s="188"/>
      <c r="G6199" s="2122"/>
      <c r="H6199" s="2118"/>
      <c r="I6199" s="2123"/>
      <c r="J6199" s="2123"/>
      <c r="K6199" s="2124"/>
      <c r="L6199" s="192"/>
      <c r="M6199" s="568"/>
    </row>
    <row r="6200" spans="1:13" ht="12.75" hidden="1">
      <c r="A6200" s="2114"/>
      <c r="B6200" s="192" t="s">
        <v>1253</v>
      </c>
      <c r="C6200" s="568"/>
      <c r="D6200" s="568"/>
      <c r="E6200" s="188"/>
      <c r="F6200" s="188"/>
      <c r="G6200" s="568"/>
      <c r="H6200" s="568"/>
      <c r="I6200" s="568"/>
      <c r="J6200" s="568"/>
      <c r="K6200" s="2123">
        <f>K6194+K6198+K6199</f>
        <v>1153.0899999999999</v>
      </c>
      <c r="L6200" s="192"/>
      <c r="M6200" s="568"/>
    </row>
    <row r="6201" spans="1:13" ht="12.75" hidden="1">
      <c r="A6201" s="2114"/>
      <c r="B6201" s="192" t="s">
        <v>1254</v>
      </c>
      <c r="C6201" s="568"/>
      <c r="D6201" s="568"/>
      <c r="E6201" s="188"/>
      <c r="F6201" s="188"/>
      <c r="G6201" s="568"/>
      <c r="H6201" s="568"/>
      <c r="I6201" s="568"/>
      <c r="J6201" s="568"/>
      <c r="K6201" s="2124">
        <f>ROUND(K6200/93,2)</f>
        <v>12.4</v>
      </c>
      <c r="L6201" s="2119" t="s">
        <v>730</v>
      </c>
      <c r="M6201" s="568"/>
    </row>
    <row r="6202" spans="1:13" ht="12.75" hidden="1">
      <c r="A6202" s="2114" t="str">
        <f>A981</f>
        <v>(ii)</v>
      </c>
      <c r="B6202" s="192" t="str">
        <f>B981</f>
        <v>First Floor</v>
      </c>
      <c r="C6202" s="568"/>
      <c r="D6202" s="568"/>
      <c r="E6202" s="2120" t="str">
        <f>G954</f>
        <v>Each Sqm</v>
      </c>
      <c r="F6202" s="2120"/>
      <c r="G6202" s="2122"/>
      <c r="H6202" s="568"/>
      <c r="I6202" s="2118"/>
      <c r="J6202" s="2123"/>
      <c r="K6202" s="2123"/>
      <c r="L6202" s="192"/>
      <c r="M6202" s="568"/>
    </row>
    <row r="6203" spans="1:13" ht="12.75" hidden="1">
      <c r="A6203" s="2114"/>
      <c r="B6203" s="568" t="s">
        <v>722</v>
      </c>
      <c r="C6203" s="568"/>
      <c r="D6203" s="568"/>
      <c r="E6203" s="188"/>
      <c r="F6203" s="188"/>
      <c r="G6203" s="2122"/>
      <c r="H6203" s="568"/>
      <c r="I6203" s="2118"/>
      <c r="J6203" s="2123"/>
      <c r="K6203" s="2123">
        <f>K6201</f>
        <v>12.4</v>
      </c>
      <c r="L6203" s="192"/>
      <c r="M6203" s="568"/>
    </row>
    <row r="6204" spans="1:13" ht="12.75" hidden="1">
      <c r="A6204" s="2114"/>
      <c r="B6204" s="568" t="s">
        <v>948</v>
      </c>
      <c r="C6204" s="568"/>
      <c r="D6204" s="568"/>
      <c r="E6204" s="188"/>
      <c r="F6204" s="188"/>
      <c r="G6204" s="2122"/>
      <c r="H6204" s="568"/>
      <c r="I6204" s="2118"/>
      <c r="J6204" s="2123"/>
      <c r="K6204" s="2123">
        <f>ROUND(K6198/93*3%,2)</f>
        <v>0.22</v>
      </c>
      <c r="L6204" s="192"/>
      <c r="M6204" s="568"/>
    </row>
    <row r="6205" spans="1:13" ht="12.75" hidden="1">
      <c r="A6205" s="2114"/>
      <c r="B6205" s="568"/>
      <c r="C6205" s="568"/>
      <c r="D6205" s="568"/>
      <c r="E6205" s="188"/>
      <c r="F6205" s="188"/>
      <c r="G6205" s="2122"/>
      <c r="H6205" s="568"/>
      <c r="I6205" s="2118"/>
      <c r="J6205" s="2126" t="s">
        <v>718</v>
      </c>
      <c r="K6205" s="2124">
        <f>SUM(K6203:K6204)</f>
        <v>12.620000000000001</v>
      </c>
      <c r="L6205" s="192" t="s">
        <v>730</v>
      </c>
      <c r="M6205" s="568"/>
    </row>
    <row r="6206" spans="1:13" ht="12.75" hidden="1">
      <c r="A6206" s="2114" t="str">
        <f>A982</f>
        <v>(iii)</v>
      </c>
      <c r="B6206" s="192" t="str">
        <f>B982</f>
        <v>2nd Floor</v>
      </c>
      <c r="C6206" s="568"/>
      <c r="D6206" s="568"/>
      <c r="E6206" s="2120" t="str">
        <f>G958</f>
        <v>Each Sqm</v>
      </c>
      <c r="F6206" s="2120"/>
      <c r="G6206" s="2122"/>
      <c r="H6206" s="568"/>
      <c r="I6206" s="2118"/>
      <c r="J6206" s="2123"/>
      <c r="K6206" s="2123"/>
      <c r="L6206" s="192"/>
      <c r="M6206" s="568"/>
    </row>
    <row r="6207" spans="1:13" ht="12.75" hidden="1">
      <c r="A6207" s="2114"/>
      <c r="B6207" s="568" t="s">
        <v>722</v>
      </c>
      <c r="C6207" s="568"/>
      <c r="D6207" s="568"/>
      <c r="E6207" s="188"/>
      <c r="F6207" s="188"/>
      <c r="G6207" s="2122"/>
      <c r="H6207" s="568"/>
      <c r="I6207" s="2118"/>
      <c r="J6207" s="2123"/>
      <c r="K6207" s="2123">
        <f>K6205</f>
        <v>12.620000000000001</v>
      </c>
      <c r="L6207" s="192"/>
      <c r="M6207" s="568"/>
    </row>
    <row r="6208" spans="1:13" ht="12.75" hidden="1">
      <c r="A6208" s="2114"/>
      <c r="B6208" s="568" t="s">
        <v>948</v>
      </c>
      <c r="C6208" s="568"/>
      <c r="D6208" s="568"/>
      <c r="E6208" s="188"/>
      <c r="F6208" s="188"/>
      <c r="G6208" s="2122"/>
      <c r="H6208" s="568"/>
      <c r="I6208" s="2118"/>
      <c r="J6208" s="2123"/>
      <c r="K6208" s="2123">
        <f>K6204+ROUND(K6204*3%,2)</f>
        <v>0.23</v>
      </c>
      <c r="L6208" s="192"/>
      <c r="M6208" s="568"/>
    </row>
    <row r="6209" spans="1:13" ht="12.75" hidden="1">
      <c r="A6209" s="2114"/>
      <c r="B6209" s="568"/>
      <c r="C6209" s="568"/>
      <c r="D6209" s="568"/>
      <c r="E6209" s="188"/>
      <c r="F6209" s="188"/>
      <c r="G6209" s="2122"/>
      <c r="H6209" s="568"/>
      <c r="I6209" s="2118"/>
      <c r="J6209" s="2126" t="s">
        <v>718</v>
      </c>
      <c r="K6209" s="2124">
        <f>SUM(K6207:K6208)</f>
        <v>12.850000000000001</v>
      </c>
      <c r="L6209" s="192" t="s">
        <v>730</v>
      </c>
      <c r="M6209" s="568"/>
    </row>
    <row r="6210" spans="1:13" ht="12.75" hidden="1">
      <c r="A6210" s="2114" t="str">
        <f>A983</f>
        <v>(iv)</v>
      </c>
      <c r="B6210" s="192" t="str">
        <f>B983</f>
        <v>3rd Floor</v>
      </c>
      <c r="C6210" s="568"/>
      <c r="D6210" s="568"/>
      <c r="E6210" s="2120" t="str">
        <f>G962</f>
        <v>Each Sqm</v>
      </c>
      <c r="F6210" s="2120"/>
      <c r="G6210" s="2122"/>
      <c r="H6210" s="568"/>
      <c r="I6210" s="2118"/>
      <c r="J6210" s="2123"/>
      <c r="K6210" s="2123"/>
      <c r="L6210" s="192"/>
      <c r="M6210" s="568"/>
    </row>
    <row r="6211" spans="1:13" ht="12.75" hidden="1">
      <c r="A6211" s="2114"/>
      <c r="B6211" s="568" t="s">
        <v>722</v>
      </c>
      <c r="C6211" s="568"/>
      <c r="D6211" s="568"/>
      <c r="E6211" s="188"/>
      <c r="F6211" s="188"/>
      <c r="G6211" s="2122"/>
      <c r="H6211" s="568"/>
      <c r="I6211" s="2118"/>
      <c r="J6211" s="2123"/>
      <c r="K6211" s="2123">
        <f>K6209</f>
        <v>12.850000000000001</v>
      </c>
      <c r="L6211" s="192"/>
      <c r="M6211" s="568"/>
    </row>
    <row r="6212" spans="1:13" ht="12.75" hidden="1">
      <c r="A6212" s="2114"/>
      <c r="B6212" s="568" t="s">
        <v>948</v>
      </c>
      <c r="C6212" s="568"/>
      <c r="D6212" s="568"/>
      <c r="E6212" s="188"/>
      <c r="F6212" s="188"/>
      <c r="G6212" s="2122"/>
      <c r="H6212" s="568"/>
      <c r="I6212" s="2118"/>
      <c r="J6212" s="2123"/>
      <c r="K6212" s="2123">
        <f>K6208+ROUND(K6208*3%,2)</f>
        <v>0.24000000000000002</v>
      </c>
      <c r="L6212" s="192"/>
      <c r="M6212" s="568"/>
    </row>
    <row r="6213" spans="1:13" ht="12.75" hidden="1">
      <c r="A6213" s="2114"/>
      <c r="B6213" s="568"/>
      <c r="C6213" s="568"/>
      <c r="D6213" s="568"/>
      <c r="E6213" s="188"/>
      <c r="F6213" s="188"/>
      <c r="G6213" s="2122"/>
      <c r="H6213" s="568"/>
      <c r="I6213" s="2118"/>
      <c r="J6213" s="2126" t="s">
        <v>718</v>
      </c>
      <c r="K6213" s="2124">
        <f>SUM(K6211:K6212)</f>
        <v>13.090000000000002</v>
      </c>
      <c r="L6213" s="192" t="s">
        <v>730</v>
      </c>
      <c r="M6213" s="568"/>
    </row>
    <row r="6214" spans="1:13" ht="42" hidden="1" customHeight="1">
      <c r="A6214" s="2114">
        <f>A984</f>
        <v>128</v>
      </c>
      <c r="B6214" s="3032" t="str">
        <f>B984</f>
        <v xml:space="preserve">White washing three coat using shell lime with cost,conveyance of shell lime and cost of  all  labour etc. complete in all respect as per direction of the Engineer-in-charge. </v>
      </c>
      <c r="C6214" s="3017"/>
      <c r="D6214" s="3017"/>
      <c r="E6214" s="2116" t="str">
        <f>G984</f>
        <v>Each Sqm</v>
      </c>
      <c r="F6214" s="2116"/>
      <c r="G6214" s="2122"/>
      <c r="H6214" s="568"/>
      <c r="I6214" s="2118"/>
      <c r="J6214" s="2124"/>
      <c r="K6214" s="2124"/>
      <c r="L6214" s="192"/>
      <c r="M6214" s="568"/>
    </row>
    <row r="6215" spans="1:13" ht="12.75" hidden="1">
      <c r="A6215" s="2114" t="str">
        <f>A985</f>
        <v>(i)</v>
      </c>
      <c r="B6215" s="192" t="str">
        <f>B985</f>
        <v>Ground Floor</v>
      </c>
      <c r="C6215" s="568"/>
      <c r="D6215" s="568"/>
      <c r="E6215" s="2120" t="str">
        <f>G985</f>
        <v>Each Sqm</v>
      </c>
      <c r="F6215" s="2120"/>
      <c r="G6215" s="2122"/>
      <c r="H6215" s="568"/>
      <c r="I6215" s="2118"/>
      <c r="J6215" s="2123"/>
      <c r="K6215" s="2123"/>
      <c r="L6215" s="192"/>
      <c r="M6215" s="568"/>
    </row>
    <row r="6216" spans="1:13" ht="12.75" hidden="1">
      <c r="A6216" s="2114"/>
      <c r="B6216" s="192" t="s">
        <v>1251</v>
      </c>
      <c r="C6216" s="2165"/>
      <c r="D6216" s="568"/>
      <c r="E6216" s="13"/>
      <c r="F6216" s="13"/>
      <c r="G6216" s="2118"/>
      <c r="H6216" s="568"/>
      <c r="I6216" s="568"/>
      <c r="J6216" s="568"/>
      <c r="K6216" s="568"/>
      <c r="L6216" s="192"/>
      <c r="M6216" s="568"/>
    </row>
    <row r="6217" spans="1:13" ht="12.75" hidden="1">
      <c r="A6217" s="2114"/>
      <c r="B6217" s="192" t="s">
        <v>822</v>
      </c>
      <c r="C6217" s="568"/>
      <c r="D6217" s="568"/>
      <c r="E6217" s="2234"/>
      <c r="F6217" s="2234"/>
      <c r="G6217" s="2118"/>
      <c r="H6217" s="2123"/>
      <c r="I6217" s="2123"/>
      <c r="J6217" s="2123"/>
      <c r="K6217" s="568"/>
      <c r="L6217" s="192"/>
      <c r="M6217" s="568"/>
    </row>
    <row r="6218" spans="1:13" ht="12.75" hidden="1">
      <c r="A6218" s="2114"/>
      <c r="B6218" s="568" t="s">
        <v>1252</v>
      </c>
      <c r="C6218" s="568"/>
      <c r="D6218" s="568"/>
      <c r="E6218" s="188"/>
      <c r="F6218" s="188"/>
      <c r="G6218" s="2122">
        <v>23.32</v>
      </c>
      <c r="H6218" s="2117" t="s">
        <v>95</v>
      </c>
      <c r="I6218" s="2118" t="s">
        <v>95</v>
      </c>
      <c r="J6218" s="2123">
        <f>L98</f>
        <v>24.616220000000002</v>
      </c>
      <c r="K6218" s="2123">
        <f>ROUND(G6218*J6218,2)</f>
        <v>574.04999999999995</v>
      </c>
      <c r="L6218" s="192"/>
      <c r="M6218" s="568"/>
    </row>
    <row r="6219" spans="1:13" ht="12.75" hidden="1">
      <c r="A6219" s="2114"/>
      <c r="B6219" s="568"/>
      <c r="C6219" s="568"/>
      <c r="D6219" s="568"/>
      <c r="E6219" s="188"/>
      <c r="F6219" s="188"/>
      <c r="G6219" s="2122"/>
      <c r="H6219" s="2117"/>
      <c r="I6219" s="2118"/>
      <c r="J6219" s="2126" t="s">
        <v>718</v>
      </c>
      <c r="K6219" s="2124">
        <f>K6218</f>
        <v>574.04999999999995</v>
      </c>
      <c r="L6219" s="192"/>
      <c r="M6219" s="568"/>
    </row>
    <row r="6220" spans="1:13" ht="12.75" hidden="1">
      <c r="A6220" s="2114"/>
      <c r="B6220" s="192" t="s">
        <v>781</v>
      </c>
      <c r="C6220" s="568"/>
      <c r="D6220" s="568"/>
      <c r="E6220" s="188"/>
      <c r="F6220" s="188"/>
      <c r="G6220" s="2122"/>
      <c r="H6220" s="2117"/>
      <c r="I6220" s="2118"/>
      <c r="J6220" s="2123"/>
      <c r="K6220" s="2123"/>
      <c r="L6220" s="192"/>
      <c r="M6220" s="568"/>
    </row>
    <row r="6221" spans="1:13" ht="12.75" hidden="1">
      <c r="A6221" s="2114"/>
      <c r="B6221" s="568" t="s">
        <v>1229</v>
      </c>
      <c r="C6221" s="568"/>
      <c r="D6221" s="568"/>
      <c r="E6221" s="188"/>
      <c r="F6221" s="188"/>
      <c r="G6221" s="2122">
        <v>1.5</v>
      </c>
      <c r="H6221" s="2117" t="s">
        <v>262</v>
      </c>
      <c r="I6221" s="2118" t="s">
        <v>38</v>
      </c>
      <c r="J6221" s="2123">
        <f>L136</f>
        <v>435</v>
      </c>
      <c r="K6221" s="2123">
        <f>ROUND(G6221*J6221,2)</f>
        <v>652.5</v>
      </c>
      <c r="L6221" s="192"/>
      <c r="M6221" s="568"/>
    </row>
    <row r="6222" spans="1:13" ht="12.75" hidden="1">
      <c r="A6222" s="2114"/>
      <c r="B6222" s="568" t="s">
        <v>717</v>
      </c>
      <c r="C6222" s="568"/>
      <c r="D6222" s="568"/>
      <c r="E6222" s="188"/>
      <c r="F6222" s="188"/>
      <c r="G6222" s="2122">
        <v>1</v>
      </c>
      <c r="H6222" s="2117" t="s">
        <v>262</v>
      </c>
      <c r="I6222" s="2118" t="s">
        <v>38</v>
      </c>
      <c r="J6222" s="2123">
        <f>L134</f>
        <v>345</v>
      </c>
      <c r="K6222" s="2123">
        <f>ROUND(G6222*J6222,2)</f>
        <v>345</v>
      </c>
      <c r="L6222" s="192"/>
      <c r="M6222" s="568"/>
    </row>
    <row r="6223" spans="1:13" ht="12.75" hidden="1">
      <c r="A6223" s="2114"/>
      <c r="B6223" s="568"/>
      <c r="C6223" s="568"/>
      <c r="D6223" s="568"/>
      <c r="E6223" s="188"/>
      <c r="F6223" s="188"/>
      <c r="G6223" s="2122"/>
      <c r="H6223" s="2118"/>
      <c r="I6223" s="2134"/>
      <c r="J6223" s="2114" t="s">
        <v>718</v>
      </c>
      <c r="K6223" s="2124">
        <f>SUM(K6221:K6222)</f>
        <v>997.5</v>
      </c>
      <c r="L6223" s="192"/>
      <c r="M6223" s="568"/>
    </row>
    <row r="6224" spans="1:13" ht="12.75" hidden="1">
      <c r="A6224" s="2114"/>
      <c r="B6224" s="192"/>
      <c r="C6224" s="568"/>
      <c r="D6224" s="568"/>
      <c r="E6224" s="188"/>
      <c r="F6224" s="188"/>
      <c r="G6224" s="2122"/>
      <c r="H6224" s="2118"/>
      <c r="I6224" s="2123"/>
      <c r="J6224" s="2123"/>
      <c r="K6224" s="2124"/>
      <c r="L6224" s="192"/>
      <c r="M6224" s="568"/>
    </row>
    <row r="6225" spans="1:13" ht="12.75" hidden="1">
      <c r="A6225" s="2114"/>
      <c r="B6225" s="192" t="s">
        <v>1253</v>
      </c>
      <c r="C6225" s="568"/>
      <c r="D6225" s="568"/>
      <c r="E6225" s="188"/>
      <c r="F6225" s="188"/>
      <c r="G6225" s="568"/>
      <c r="H6225" s="568"/>
      <c r="I6225" s="568"/>
      <c r="J6225" s="568"/>
      <c r="K6225" s="2123">
        <f>K6219+K6223+K6224</f>
        <v>1571.55</v>
      </c>
      <c r="L6225" s="192"/>
      <c r="M6225" s="568"/>
    </row>
    <row r="6226" spans="1:13" ht="12.75" hidden="1">
      <c r="A6226" s="2114"/>
      <c r="B6226" s="192" t="s">
        <v>1254</v>
      </c>
      <c r="C6226" s="568"/>
      <c r="D6226" s="568"/>
      <c r="E6226" s="188"/>
      <c r="F6226" s="188"/>
      <c r="G6226" s="568"/>
      <c r="H6226" s="568"/>
      <c r="I6226" s="568"/>
      <c r="J6226" s="568"/>
      <c r="K6226" s="2124">
        <f>ROUND(K6225/93,2)</f>
        <v>16.899999999999999</v>
      </c>
      <c r="L6226" s="2119" t="s">
        <v>730</v>
      </c>
      <c r="M6226" s="568"/>
    </row>
    <row r="6227" spans="1:13" ht="12.75" hidden="1">
      <c r="A6227" s="2114" t="str">
        <f>A986</f>
        <v>(ii)</v>
      </c>
      <c r="B6227" s="192" t="str">
        <f>B986</f>
        <v>First Floor</v>
      </c>
      <c r="C6227" s="568"/>
      <c r="D6227" s="568"/>
      <c r="E6227" s="2120" t="str">
        <f>G986</f>
        <v>Each Sqm</v>
      </c>
      <c r="F6227" s="2120"/>
      <c r="G6227" s="2122"/>
      <c r="H6227" s="568"/>
      <c r="I6227" s="2118"/>
      <c r="J6227" s="2123"/>
      <c r="K6227" s="2123"/>
      <c r="L6227" s="192"/>
      <c r="M6227" s="568"/>
    </row>
    <row r="6228" spans="1:13" ht="12.75" hidden="1">
      <c r="A6228" s="2114"/>
      <c r="B6228" s="568" t="s">
        <v>722</v>
      </c>
      <c r="C6228" s="568"/>
      <c r="D6228" s="568"/>
      <c r="E6228" s="188"/>
      <c r="F6228" s="188"/>
      <c r="G6228" s="2122"/>
      <c r="H6228" s="568"/>
      <c r="I6228" s="2118"/>
      <c r="J6228" s="2123"/>
      <c r="K6228" s="2123">
        <f>K6226</f>
        <v>16.899999999999999</v>
      </c>
      <c r="L6228" s="192"/>
      <c r="M6228" s="568"/>
    </row>
    <row r="6229" spans="1:13" ht="12.75" hidden="1">
      <c r="A6229" s="2114"/>
      <c r="B6229" s="568" t="s">
        <v>948</v>
      </c>
      <c r="C6229" s="568"/>
      <c r="D6229" s="568"/>
      <c r="E6229" s="188"/>
      <c r="F6229" s="188"/>
      <c r="G6229" s="2122"/>
      <c r="H6229" s="568"/>
      <c r="I6229" s="2118"/>
      <c r="J6229" s="2123"/>
      <c r="K6229" s="2123">
        <f>ROUND(K6223/93*3%,2)</f>
        <v>0.32</v>
      </c>
      <c r="L6229" s="192"/>
      <c r="M6229" s="568"/>
    </row>
    <row r="6230" spans="1:13" ht="12.75" hidden="1">
      <c r="A6230" s="2114"/>
      <c r="B6230" s="568"/>
      <c r="C6230" s="568"/>
      <c r="D6230" s="568"/>
      <c r="E6230" s="188"/>
      <c r="F6230" s="188"/>
      <c r="G6230" s="2122"/>
      <c r="H6230" s="568"/>
      <c r="I6230" s="2118"/>
      <c r="J6230" s="2126" t="s">
        <v>718</v>
      </c>
      <c r="K6230" s="2124">
        <f>SUM(K6228:K6229)</f>
        <v>17.22</v>
      </c>
      <c r="L6230" s="192" t="s">
        <v>730</v>
      </c>
      <c r="M6230" s="568"/>
    </row>
    <row r="6231" spans="1:13" ht="12.75" hidden="1">
      <c r="A6231" s="2114" t="str">
        <f>A987</f>
        <v>(iii)</v>
      </c>
      <c r="B6231" s="192" t="str">
        <f>B987</f>
        <v>2nd Floor</v>
      </c>
      <c r="C6231" s="568"/>
      <c r="D6231" s="568"/>
      <c r="E6231" s="2120" t="str">
        <f>G990</f>
        <v>Each Sqm</v>
      </c>
      <c r="F6231" s="2120"/>
      <c r="G6231" s="2122"/>
      <c r="H6231" s="568"/>
      <c r="I6231" s="2118"/>
      <c r="J6231" s="2123"/>
      <c r="K6231" s="2123"/>
      <c r="L6231" s="192"/>
      <c r="M6231" s="568"/>
    </row>
    <row r="6232" spans="1:13" ht="12.75" hidden="1">
      <c r="A6232" s="2114"/>
      <c r="B6232" s="568" t="s">
        <v>722</v>
      </c>
      <c r="C6232" s="568"/>
      <c r="D6232" s="568"/>
      <c r="E6232" s="188"/>
      <c r="F6232" s="188"/>
      <c r="G6232" s="2122"/>
      <c r="H6232" s="568"/>
      <c r="I6232" s="2118"/>
      <c r="J6232" s="2123"/>
      <c r="K6232" s="2123">
        <f>K6230</f>
        <v>17.22</v>
      </c>
      <c r="L6232" s="192"/>
      <c r="M6232" s="568"/>
    </row>
    <row r="6233" spans="1:13" ht="12.75" hidden="1">
      <c r="A6233" s="2114"/>
      <c r="B6233" s="568" t="s">
        <v>948</v>
      </c>
      <c r="C6233" s="568"/>
      <c r="D6233" s="568"/>
      <c r="E6233" s="188"/>
      <c r="F6233" s="188"/>
      <c r="G6233" s="2122"/>
      <c r="H6233" s="568"/>
      <c r="I6233" s="2118"/>
      <c r="J6233" s="2123"/>
      <c r="K6233" s="2123">
        <f>K6229+ROUND(K6229*3%,2)</f>
        <v>0.33</v>
      </c>
      <c r="L6233" s="192"/>
      <c r="M6233" s="568"/>
    </row>
    <row r="6234" spans="1:13" ht="12.75" hidden="1">
      <c r="A6234" s="2114"/>
      <c r="B6234" s="568"/>
      <c r="C6234" s="568"/>
      <c r="D6234" s="568"/>
      <c r="E6234" s="188"/>
      <c r="F6234" s="188"/>
      <c r="G6234" s="2122"/>
      <c r="H6234" s="568"/>
      <c r="I6234" s="2118"/>
      <c r="J6234" s="2126" t="s">
        <v>718</v>
      </c>
      <c r="K6234" s="2124">
        <f>SUM(K6232:K6233)</f>
        <v>17.549999999999997</v>
      </c>
      <c r="L6234" s="192" t="s">
        <v>730</v>
      </c>
      <c r="M6234" s="568"/>
    </row>
    <row r="6235" spans="1:13" ht="12.75" hidden="1">
      <c r="A6235" s="2114" t="str">
        <f>A988</f>
        <v>(iv)</v>
      </c>
      <c r="B6235" s="192" t="str">
        <f>B988</f>
        <v>3rd Floor</v>
      </c>
      <c r="C6235" s="568"/>
      <c r="D6235" s="568"/>
      <c r="E6235" s="2120" t="str">
        <f>G994</f>
        <v>Each Sqm</v>
      </c>
      <c r="F6235" s="2120"/>
      <c r="G6235" s="2122"/>
      <c r="H6235" s="568"/>
      <c r="I6235" s="2118"/>
      <c r="J6235" s="2123"/>
      <c r="K6235" s="2123"/>
      <c r="L6235" s="192"/>
      <c r="M6235" s="568"/>
    </row>
    <row r="6236" spans="1:13" ht="12.75" hidden="1">
      <c r="A6236" s="2114"/>
      <c r="B6236" s="568" t="s">
        <v>722</v>
      </c>
      <c r="C6236" s="568"/>
      <c r="D6236" s="568"/>
      <c r="E6236" s="188"/>
      <c r="F6236" s="188"/>
      <c r="G6236" s="2122"/>
      <c r="H6236" s="568"/>
      <c r="I6236" s="2118"/>
      <c r="J6236" s="2123"/>
      <c r="K6236" s="2123">
        <f>K6234</f>
        <v>17.549999999999997</v>
      </c>
      <c r="L6236" s="192"/>
      <c r="M6236" s="568"/>
    </row>
    <row r="6237" spans="1:13" ht="12.75" hidden="1">
      <c r="A6237" s="2114"/>
      <c r="B6237" s="568" t="s">
        <v>948</v>
      </c>
      <c r="C6237" s="568"/>
      <c r="D6237" s="568"/>
      <c r="E6237" s="188"/>
      <c r="F6237" s="188"/>
      <c r="G6237" s="2122"/>
      <c r="H6237" s="568"/>
      <c r="I6237" s="2118"/>
      <c r="J6237" s="2123"/>
      <c r="K6237" s="2123">
        <f>K6233+ROUND(K6233*3%,2)</f>
        <v>0.34</v>
      </c>
      <c r="L6237" s="192"/>
      <c r="M6237" s="568"/>
    </row>
    <row r="6238" spans="1:13" ht="12.75" hidden="1">
      <c r="A6238" s="2114"/>
      <c r="B6238" s="568"/>
      <c r="C6238" s="568"/>
      <c r="D6238" s="568"/>
      <c r="E6238" s="188"/>
      <c r="F6238" s="188"/>
      <c r="G6238" s="2122"/>
      <c r="H6238" s="568"/>
      <c r="I6238" s="2118"/>
      <c r="J6238" s="2126" t="s">
        <v>718</v>
      </c>
      <c r="K6238" s="2124">
        <f>SUM(K6236:K6237)</f>
        <v>17.889999999999997</v>
      </c>
      <c r="L6238" s="192" t="s">
        <v>730</v>
      </c>
      <c r="M6238" s="568"/>
    </row>
    <row r="6239" spans="1:13" ht="42.6" hidden="1" customHeight="1">
      <c r="A6239" s="2114">
        <f>A989</f>
        <v>129</v>
      </c>
      <c r="B6239" s="3032" t="str">
        <f>B989</f>
        <v>Colour washing three coat using shell lime with cost, conveyance of shell lime,colouring materials and cost of labour etc complete in all respect as per direction of the Engineer-in-charge.</v>
      </c>
      <c r="C6239" s="3017"/>
      <c r="D6239" s="3017"/>
      <c r="E6239" s="2116" t="str">
        <f>G989</f>
        <v>Each Sqm</v>
      </c>
      <c r="F6239" s="2116"/>
      <c r="G6239" s="2122"/>
      <c r="H6239" s="568"/>
      <c r="I6239" s="2118"/>
      <c r="J6239" s="2124"/>
      <c r="K6239" s="2124"/>
      <c r="L6239" s="192"/>
      <c r="M6239" s="568"/>
    </row>
    <row r="6240" spans="1:13" ht="12.75" hidden="1">
      <c r="A6240" s="2114" t="str">
        <f>A990</f>
        <v>(i)</v>
      </c>
      <c r="B6240" s="192" t="str">
        <f>B990</f>
        <v>Ground Floor</v>
      </c>
      <c r="C6240" s="568"/>
      <c r="D6240" s="568"/>
      <c r="E6240" s="2120" t="str">
        <f>G990</f>
        <v>Each Sqm</v>
      </c>
      <c r="F6240" s="2120"/>
      <c r="G6240" s="2122"/>
      <c r="H6240" s="568"/>
      <c r="I6240" s="2118"/>
      <c r="J6240" s="2123"/>
      <c r="K6240" s="2123"/>
      <c r="L6240" s="192"/>
      <c r="M6240" s="568"/>
    </row>
    <row r="6241" spans="1:13" ht="12.75" hidden="1">
      <c r="A6241" s="2114"/>
      <c r="B6241" s="192" t="s">
        <v>1251</v>
      </c>
      <c r="C6241" s="568"/>
      <c r="D6241" s="568"/>
      <c r="E6241" s="188"/>
      <c r="F6241" s="188"/>
      <c r="G6241" s="568"/>
      <c r="H6241" s="568"/>
      <c r="I6241" s="2179"/>
      <c r="J6241" s="2179"/>
      <c r="K6241" s="2124"/>
      <c r="L6241" s="192"/>
      <c r="M6241" s="568"/>
    </row>
    <row r="6242" spans="1:13" ht="12.75" hidden="1">
      <c r="A6242" s="2114"/>
      <c r="B6242" s="192" t="s">
        <v>1255</v>
      </c>
      <c r="C6242" s="568"/>
      <c r="D6242" s="568"/>
      <c r="E6242" s="188"/>
      <c r="F6242" s="188"/>
      <c r="G6242" s="568"/>
      <c r="H6242" s="568"/>
      <c r="I6242" s="2179"/>
      <c r="J6242" s="2179"/>
      <c r="K6242" s="2124">
        <f>K6225</f>
        <v>1571.55</v>
      </c>
      <c r="L6242" s="192"/>
      <c r="M6242" s="568"/>
    </row>
    <row r="6243" spans="1:13" ht="12.75" hidden="1">
      <c r="A6243" s="2114"/>
      <c r="B6243" s="192" t="s">
        <v>1256</v>
      </c>
      <c r="C6243" s="568"/>
      <c r="D6243" s="568"/>
      <c r="E6243" s="188"/>
      <c r="F6243" s="188"/>
      <c r="G6243" s="568"/>
      <c r="H6243" s="568"/>
      <c r="I6243" s="2179"/>
      <c r="J6243" s="2179"/>
      <c r="K6243" s="2123">
        <f>M196</f>
        <v>30</v>
      </c>
      <c r="L6243" s="192"/>
      <c r="M6243" s="568"/>
    </row>
    <row r="6244" spans="1:13" ht="12.75" hidden="1">
      <c r="A6244" s="2114"/>
      <c r="B6244" s="192" t="s">
        <v>1253</v>
      </c>
      <c r="C6244" s="568"/>
      <c r="D6244" s="568"/>
      <c r="E6244" s="188"/>
      <c r="F6244" s="188"/>
      <c r="G6244" s="568"/>
      <c r="H6244" s="568"/>
      <c r="I6244" s="2179"/>
      <c r="J6244" s="2114" t="s">
        <v>718</v>
      </c>
      <c r="K6244" s="2123">
        <f>K6242+K6243</f>
        <v>1601.55</v>
      </c>
      <c r="L6244" s="192"/>
      <c r="M6244" s="568"/>
    </row>
    <row r="6245" spans="1:13" ht="12.75" hidden="1">
      <c r="A6245" s="2114"/>
      <c r="B6245" s="192" t="s">
        <v>1254</v>
      </c>
      <c r="C6245" s="568"/>
      <c r="D6245" s="568"/>
      <c r="E6245" s="188"/>
      <c r="F6245" s="188"/>
      <c r="G6245" s="568"/>
      <c r="H6245" s="568"/>
      <c r="I6245" s="2179"/>
      <c r="J6245" s="2179"/>
      <c r="K6245" s="2124">
        <f>ROUND(K6244/93,2)</f>
        <v>17.22</v>
      </c>
      <c r="L6245" s="2119" t="s">
        <v>730</v>
      </c>
      <c r="M6245" s="568"/>
    </row>
    <row r="6246" spans="1:13" ht="12.75" hidden="1">
      <c r="A6246" s="2114" t="str">
        <f>A991</f>
        <v>(ii)</v>
      </c>
      <c r="B6246" s="192" t="str">
        <f>B991</f>
        <v>First Floor</v>
      </c>
      <c r="C6246" s="568"/>
      <c r="D6246" s="568"/>
      <c r="E6246" s="2120" t="str">
        <f>G991</f>
        <v>Each Sqm</v>
      </c>
      <c r="F6246" s="2120"/>
      <c r="G6246" s="2122"/>
      <c r="H6246" s="568"/>
      <c r="I6246" s="2118"/>
      <c r="J6246" s="2123"/>
      <c r="K6246" s="2123"/>
      <c r="L6246" s="192"/>
      <c r="M6246" s="568"/>
    </row>
    <row r="6247" spans="1:13" ht="12.75" hidden="1">
      <c r="A6247" s="2114"/>
      <c r="B6247" s="568" t="s">
        <v>722</v>
      </c>
      <c r="C6247" s="568"/>
      <c r="D6247" s="568"/>
      <c r="E6247" s="188"/>
      <c r="F6247" s="188"/>
      <c r="G6247" s="2122"/>
      <c r="H6247" s="568"/>
      <c r="I6247" s="2118"/>
      <c r="J6247" s="2123"/>
      <c r="K6247" s="2123">
        <f>K6245</f>
        <v>17.22</v>
      </c>
      <c r="L6247" s="192"/>
      <c r="M6247" s="568"/>
    </row>
    <row r="6248" spans="1:13" ht="12.75" hidden="1">
      <c r="A6248" s="2114"/>
      <c r="B6248" s="568" t="s">
        <v>723</v>
      </c>
      <c r="C6248" s="568"/>
      <c r="D6248" s="568"/>
      <c r="E6248" s="188"/>
      <c r="F6248" s="188"/>
      <c r="G6248" s="2122"/>
      <c r="H6248" s="568"/>
      <c r="I6248" s="2118"/>
      <c r="J6248" s="2123"/>
      <c r="K6248" s="2123">
        <f>ROUND(K6223/93*5%,2)</f>
        <v>0.54</v>
      </c>
      <c r="L6248" s="192"/>
      <c r="M6248" s="568"/>
    </row>
    <row r="6249" spans="1:13" ht="12.75" hidden="1">
      <c r="A6249" s="2114"/>
      <c r="B6249" s="568"/>
      <c r="C6249" s="568"/>
      <c r="D6249" s="568"/>
      <c r="E6249" s="188"/>
      <c r="F6249" s="188"/>
      <c r="G6249" s="2122"/>
      <c r="H6249" s="568"/>
      <c r="I6249" s="2118"/>
      <c r="J6249" s="2126" t="s">
        <v>718</v>
      </c>
      <c r="K6249" s="2124">
        <f>SUM(K6247:K6248)</f>
        <v>17.759999999999998</v>
      </c>
      <c r="L6249" s="192" t="s">
        <v>730</v>
      </c>
      <c r="M6249" s="568"/>
    </row>
    <row r="6250" spans="1:13" ht="12.75" hidden="1">
      <c r="A6250" s="2114"/>
      <c r="B6250" s="568"/>
      <c r="C6250" s="568"/>
      <c r="D6250" s="568"/>
      <c r="E6250" s="188"/>
      <c r="F6250" s="188"/>
      <c r="G6250" s="2122"/>
      <c r="H6250" s="568"/>
      <c r="I6250" s="2118"/>
      <c r="J6250" s="2126" t="s">
        <v>718</v>
      </c>
      <c r="K6250" s="2124">
        <f>SUM(K6249)</f>
        <v>17.759999999999998</v>
      </c>
      <c r="L6250" s="192" t="s">
        <v>730</v>
      </c>
      <c r="M6250" s="568"/>
    </row>
    <row r="6251" spans="1:13" ht="12.75" hidden="1">
      <c r="A6251" s="2114" t="str">
        <f>A992</f>
        <v>(iii)</v>
      </c>
      <c r="B6251" s="192" t="str">
        <f>B992</f>
        <v>2nd Floor</v>
      </c>
      <c r="C6251" s="568"/>
      <c r="D6251" s="568"/>
      <c r="E6251" s="2120" t="str">
        <f>G996</f>
        <v>Each Sqm</v>
      </c>
      <c r="F6251" s="2120"/>
      <c r="G6251" s="2122"/>
      <c r="H6251" s="568"/>
      <c r="I6251" s="2118"/>
      <c r="J6251" s="2123"/>
      <c r="K6251" s="2123"/>
      <c r="L6251" s="192"/>
      <c r="M6251" s="568"/>
    </row>
    <row r="6252" spans="1:13" ht="12.75" hidden="1">
      <c r="A6252" s="2114"/>
      <c r="B6252" s="568" t="s">
        <v>722</v>
      </c>
      <c r="C6252" s="568"/>
      <c r="D6252" s="568"/>
      <c r="E6252" s="188"/>
      <c r="F6252" s="188"/>
      <c r="G6252" s="2122"/>
      <c r="H6252" s="568"/>
      <c r="I6252" s="2118"/>
      <c r="J6252" s="2123"/>
      <c r="K6252" s="2123">
        <f>K6250</f>
        <v>17.759999999999998</v>
      </c>
      <c r="L6252" s="192"/>
      <c r="M6252" s="568"/>
    </row>
    <row r="6253" spans="1:13" ht="12.75" hidden="1">
      <c r="A6253" s="2114"/>
      <c r="B6253" s="568" t="s">
        <v>723</v>
      </c>
      <c r="C6253" s="568"/>
      <c r="D6253" s="568"/>
      <c r="E6253" s="188"/>
      <c r="F6253" s="188"/>
      <c r="G6253" s="2122"/>
      <c r="H6253" s="568"/>
      <c r="I6253" s="2118"/>
      <c r="J6253" s="2123"/>
      <c r="K6253" s="2123">
        <f>K6248+ROUND(K6228*5%,2)</f>
        <v>1.3900000000000001</v>
      </c>
      <c r="L6253" s="192"/>
      <c r="M6253" s="568"/>
    </row>
    <row r="6254" spans="1:13" ht="12.75" hidden="1">
      <c r="A6254" s="2114"/>
      <c r="B6254" s="568"/>
      <c r="C6254" s="568"/>
      <c r="D6254" s="568"/>
      <c r="E6254" s="188"/>
      <c r="F6254" s="188"/>
      <c r="G6254" s="2122"/>
      <c r="H6254" s="568"/>
      <c r="I6254" s="2118"/>
      <c r="J6254" s="2126" t="s">
        <v>718</v>
      </c>
      <c r="K6254" s="2124">
        <f>SUM(K6252:K6253)</f>
        <v>19.149999999999999</v>
      </c>
      <c r="L6254" s="192" t="s">
        <v>730</v>
      </c>
      <c r="M6254" s="568"/>
    </row>
    <row r="6255" spans="1:13" ht="12.75" hidden="1">
      <c r="A6255" s="2114"/>
      <c r="B6255" s="568"/>
      <c r="C6255" s="568"/>
      <c r="D6255" s="568"/>
      <c r="E6255" s="188"/>
      <c r="F6255" s="188"/>
      <c r="G6255" s="2122"/>
      <c r="H6255" s="568"/>
      <c r="I6255" s="2118"/>
      <c r="J6255" s="2126" t="s">
        <v>718</v>
      </c>
      <c r="K6255" s="2124">
        <f>SUM(K6254)</f>
        <v>19.149999999999999</v>
      </c>
      <c r="L6255" s="192" t="s">
        <v>730</v>
      </c>
      <c r="M6255" s="568"/>
    </row>
    <row r="6256" spans="1:13" ht="12.75" hidden="1">
      <c r="A6256" s="2114" t="str">
        <f>A993</f>
        <v>(iv)</v>
      </c>
      <c r="B6256" s="192" t="str">
        <f>B993</f>
        <v>3rd Floor</v>
      </c>
      <c r="C6256" s="568"/>
      <c r="D6256" s="568"/>
      <c r="E6256" s="2120" t="str">
        <f>G1001</f>
        <v>Each Sqm</v>
      </c>
      <c r="F6256" s="2120"/>
      <c r="G6256" s="2122"/>
      <c r="H6256" s="568"/>
      <c r="I6256" s="2118"/>
      <c r="J6256" s="2123"/>
      <c r="K6256" s="2123"/>
      <c r="L6256" s="192"/>
      <c r="M6256" s="568"/>
    </row>
    <row r="6257" spans="1:13" ht="12.75" hidden="1">
      <c r="A6257" s="2114"/>
      <c r="B6257" s="568" t="s">
        <v>722</v>
      </c>
      <c r="C6257" s="568"/>
      <c r="D6257" s="568"/>
      <c r="E6257" s="188"/>
      <c r="F6257" s="188"/>
      <c r="G6257" s="2122"/>
      <c r="H6257" s="568"/>
      <c r="I6257" s="2118"/>
      <c r="J6257" s="2123"/>
      <c r="K6257" s="2123">
        <f>K6255</f>
        <v>19.149999999999999</v>
      </c>
      <c r="L6257" s="192"/>
      <c r="M6257" s="568"/>
    </row>
    <row r="6258" spans="1:13" ht="12.75" hidden="1">
      <c r="A6258" s="2114"/>
      <c r="B6258" s="568" t="s">
        <v>723</v>
      </c>
      <c r="C6258" s="568"/>
      <c r="D6258" s="568"/>
      <c r="E6258" s="188"/>
      <c r="F6258" s="188"/>
      <c r="G6258" s="2122"/>
      <c r="H6258" s="568"/>
      <c r="I6258" s="2118"/>
      <c r="J6258" s="2123"/>
      <c r="K6258" s="2123">
        <f>K6253+ROUND(K6233*5%,2)</f>
        <v>1.4100000000000001</v>
      </c>
      <c r="L6258" s="192"/>
      <c r="M6258" s="568"/>
    </row>
    <row r="6259" spans="1:13" ht="12.75" hidden="1">
      <c r="A6259" s="2114"/>
      <c r="B6259" s="568"/>
      <c r="C6259" s="568"/>
      <c r="D6259" s="568"/>
      <c r="E6259" s="188"/>
      <c r="F6259" s="188"/>
      <c r="G6259" s="2122"/>
      <c r="H6259" s="568"/>
      <c r="I6259" s="2118"/>
      <c r="J6259" s="2126" t="s">
        <v>718</v>
      </c>
      <c r="K6259" s="2124">
        <f>SUM(K6257:K6258)</f>
        <v>20.56</v>
      </c>
      <c r="L6259" s="192" t="s">
        <v>730</v>
      </c>
      <c r="M6259" s="568"/>
    </row>
    <row r="6260" spans="1:13" ht="12.75" hidden="1">
      <c r="A6260" s="2114"/>
      <c r="B6260" s="568"/>
      <c r="C6260" s="568"/>
      <c r="D6260" s="568"/>
      <c r="E6260" s="188"/>
      <c r="F6260" s="188"/>
      <c r="G6260" s="2122"/>
      <c r="H6260" s="568"/>
      <c r="I6260" s="2118"/>
      <c r="J6260" s="2126" t="s">
        <v>718</v>
      </c>
      <c r="K6260" s="2124">
        <f>SUM(K6259)</f>
        <v>20.56</v>
      </c>
      <c r="L6260" s="192" t="s">
        <v>730</v>
      </c>
      <c r="M6260" s="568"/>
    </row>
    <row r="6261" spans="1:13" ht="60" hidden="1" customHeight="1">
      <c r="A6261" s="2114">
        <f>A994</f>
        <v>130</v>
      </c>
      <c r="B6261" s="3017" t="str">
        <f>B994</f>
        <v>Painting two coats with approved enamel paints of approved colour, shade  over old Iron work including sand papering, polishing the surface, etc, complete as per specification &amp; direction of Engineer-in-charge.</v>
      </c>
      <c r="C6261" s="3017"/>
      <c r="D6261" s="3017"/>
      <c r="E6261" s="2116" t="str">
        <f>G994</f>
        <v>Each Sqm</v>
      </c>
      <c r="F6261" s="2116"/>
      <c r="G6261" s="2122"/>
      <c r="H6261" s="568"/>
      <c r="I6261" s="2118"/>
      <c r="J6261" s="2124"/>
      <c r="K6261" s="2124"/>
      <c r="L6261" s="192"/>
      <c r="M6261" s="568"/>
    </row>
    <row r="6262" spans="1:13" ht="12.75" hidden="1">
      <c r="A6262" s="2114" t="str">
        <f>A995</f>
        <v>(i)</v>
      </c>
      <c r="B6262" s="192" t="str">
        <f>B995</f>
        <v>Ground Floor</v>
      </c>
      <c r="C6262" s="568"/>
      <c r="D6262" s="568"/>
      <c r="E6262" s="2120" t="str">
        <f>G951</f>
        <v>Each Sqm</v>
      </c>
      <c r="F6262" s="2120"/>
      <c r="G6262" s="2122"/>
      <c r="H6262" s="568"/>
      <c r="I6262" s="2118"/>
      <c r="J6262" s="2123"/>
      <c r="K6262" s="2123"/>
      <c r="L6262" s="192"/>
      <c r="M6262" s="568"/>
    </row>
    <row r="6263" spans="1:13" ht="12.75" hidden="1">
      <c r="A6263" s="2114"/>
      <c r="B6263" s="192" t="s">
        <v>1257</v>
      </c>
      <c r="C6263" s="568"/>
      <c r="D6263" s="568"/>
      <c r="E6263" s="188"/>
      <c r="F6263" s="188"/>
      <c r="G6263" s="2122"/>
      <c r="H6263" s="568"/>
      <c r="I6263" s="2118"/>
      <c r="J6263" s="2123"/>
      <c r="K6263" s="2123"/>
      <c r="L6263" s="192"/>
      <c r="M6263" s="568"/>
    </row>
    <row r="6264" spans="1:13" ht="12.75" hidden="1">
      <c r="A6264" s="2114"/>
      <c r="B6264" s="568" t="s">
        <v>1258</v>
      </c>
      <c r="C6264" s="568"/>
      <c r="D6264" s="568"/>
      <c r="E6264" s="188"/>
      <c r="F6264" s="188"/>
      <c r="G6264" s="2122">
        <v>1.25</v>
      </c>
      <c r="H6264" s="568" t="s">
        <v>262</v>
      </c>
      <c r="I6264" s="2118" t="s">
        <v>38</v>
      </c>
      <c r="J6264" s="2123">
        <f>L137</f>
        <v>495</v>
      </c>
      <c r="K6264" s="2123">
        <f>ROUND(G6264*J6264,2)</f>
        <v>618.75</v>
      </c>
      <c r="L6264" s="192"/>
      <c r="M6264" s="568"/>
    </row>
    <row r="6265" spans="1:13" ht="12.75" hidden="1">
      <c r="A6265" s="2114"/>
      <c r="B6265" s="568" t="s">
        <v>717</v>
      </c>
      <c r="C6265" s="568"/>
      <c r="D6265" s="568"/>
      <c r="E6265" s="188"/>
      <c r="F6265" s="188"/>
      <c r="G6265" s="2122">
        <v>1.1000000000000001</v>
      </c>
      <c r="H6265" s="568" t="s">
        <v>262</v>
      </c>
      <c r="I6265" s="2118" t="s">
        <v>38</v>
      </c>
      <c r="J6265" s="2123">
        <f>L134</f>
        <v>345</v>
      </c>
      <c r="K6265" s="2123">
        <f>ROUND(G6265*J6265,2)</f>
        <v>379.5</v>
      </c>
      <c r="L6265" s="192"/>
      <c r="M6265" s="568"/>
    </row>
    <row r="6266" spans="1:13" ht="12.75" hidden="1">
      <c r="A6266" s="2114"/>
      <c r="B6266" s="568"/>
      <c r="C6266" s="568"/>
      <c r="D6266" s="568"/>
      <c r="E6266" s="188"/>
      <c r="F6266" s="188"/>
      <c r="G6266" s="2122"/>
      <c r="H6266" s="568"/>
      <c r="I6266" s="2118"/>
      <c r="J6266" s="2123" t="s">
        <v>718</v>
      </c>
      <c r="K6266" s="2123">
        <f>SUM(K6264:K6265)</f>
        <v>998.25</v>
      </c>
      <c r="L6266" s="192"/>
      <c r="M6266" s="568"/>
    </row>
    <row r="6267" spans="1:13" ht="12.75" hidden="1">
      <c r="A6267" s="2114"/>
      <c r="B6267" s="568"/>
      <c r="C6267" s="568"/>
      <c r="D6267" s="568"/>
      <c r="E6267" s="188"/>
      <c r="F6267" s="188"/>
      <c r="G6267" s="2122"/>
      <c r="H6267" s="568"/>
      <c r="I6267" s="2118"/>
      <c r="J6267" s="2123"/>
      <c r="K6267" s="2123"/>
      <c r="L6267" s="192"/>
      <c r="M6267" s="568"/>
    </row>
    <row r="6268" spans="1:13" ht="12.75" hidden="1">
      <c r="A6268" s="2114"/>
      <c r="B6268" s="568" t="s">
        <v>1259</v>
      </c>
      <c r="C6268" s="568"/>
      <c r="D6268" s="568"/>
      <c r="E6268" s="188"/>
      <c r="F6268" s="188"/>
      <c r="G6268" s="2122"/>
      <c r="H6268" s="568"/>
      <c r="I6268" s="2118"/>
      <c r="J6268" s="2123"/>
      <c r="K6268" s="2123">
        <f>ROUND(K6266*2%,2)</f>
        <v>19.97</v>
      </c>
      <c r="L6268" s="192"/>
      <c r="M6268" s="568"/>
    </row>
    <row r="6269" spans="1:13" ht="12.75" hidden="1">
      <c r="A6269" s="2114"/>
      <c r="B6269" s="568"/>
      <c r="C6269" s="568"/>
      <c r="D6269" s="568"/>
      <c r="E6269" s="188"/>
      <c r="F6269" s="188"/>
      <c r="G6269" s="2122"/>
      <c r="H6269" s="568"/>
      <c r="I6269" s="2118"/>
      <c r="J6269" s="2123" t="s">
        <v>718</v>
      </c>
      <c r="K6269" s="2123">
        <f>SUM(K6266:K6268)</f>
        <v>1018.22</v>
      </c>
      <c r="L6269" s="192"/>
      <c r="M6269" s="568"/>
    </row>
    <row r="6270" spans="1:13" ht="12.75" hidden="1">
      <c r="A6270" s="2114"/>
      <c r="B6270" s="568" t="s">
        <v>1024</v>
      </c>
      <c r="C6270" s="568"/>
      <c r="D6270" s="568"/>
      <c r="E6270" s="188"/>
      <c r="F6270" s="188"/>
      <c r="G6270" s="2122"/>
      <c r="H6270" s="568"/>
      <c r="I6270" s="2118"/>
      <c r="J6270" s="2123"/>
      <c r="K6270" s="2123">
        <f>ROUND(K6269/9.3,2)</f>
        <v>109.49</v>
      </c>
      <c r="L6270" s="192"/>
      <c r="M6270" s="568"/>
    </row>
    <row r="6271" spans="1:13" ht="12.75" hidden="1">
      <c r="A6271" s="2114"/>
      <c r="B6271" s="568"/>
      <c r="C6271" s="568"/>
      <c r="D6271" s="568"/>
      <c r="E6271" s="188"/>
      <c r="F6271" s="188"/>
      <c r="G6271" s="2122"/>
      <c r="H6271" s="568"/>
      <c r="I6271" s="2118"/>
      <c r="J6271" s="2123"/>
      <c r="K6271" s="2123"/>
      <c r="L6271" s="192"/>
      <c r="M6271" s="568"/>
    </row>
    <row r="6272" spans="1:13" ht="12.75" hidden="1">
      <c r="A6272" s="2114"/>
      <c r="B6272" s="568" t="s">
        <v>1260</v>
      </c>
      <c r="C6272" s="568"/>
      <c r="D6272" s="568"/>
      <c r="E6272" s="188"/>
      <c r="F6272" s="188"/>
      <c r="G6272" s="2122">
        <v>0.125</v>
      </c>
      <c r="H6272" s="568" t="s">
        <v>95</v>
      </c>
      <c r="I6272" s="2118" t="s">
        <v>95</v>
      </c>
      <c r="J6272" s="2123">
        <f>L88</f>
        <v>250.76622</v>
      </c>
      <c r="K6272" s="2123">
        <f>ROUND(G6272*J6272,2)</f>
        <v>31.35</v>
      </c>
      <c r="L6272" s="192"/>
      <c r="M6272" s="568"/>
    </row>
    <row r="6273" spans="1:13" ht="12.75" hidden="1">
      <c r="A6273" s="2114"/>
      <c r="B6273" s="568" t="s">
        <v>1261</v>
      </c>
      <c r="C6273" s="568"/>
      <c r="D6273" s="568"/>
      <c r="E6273" s="188"/>
      <c r="F6273" s="188"/>
      <c r="G6273" s="2122"/>
      <c r="H6273" s="568"/>
      <c r="I6273" s="2118"/>
      <c r="J6273" s="2126" t="s">
        <v>718</v>
      </c>
      <c r="K6273" s="2124">
        <f>SUM(K6270:K6272)</f>
        <v>140.84</v>
      </c>
      <c r="L6273" s="192" t="s">
        <v>730</v>
      </c>
      <c r="M6273" s="568"/>
    </row>
    <row r="6274" spans="1:13" ht="12.75" hidden="1">
      <c r="A6274" s="2114" t="str">
        <f>A996</f>
        <v>(ii)</v>
      </c>
      <c r="B6274" s="192" t="str">
        <f>B996</f>
        <v>First Floor</v>
      </c>
      <c r="C6274" s="568"/>
      <c r="D6274" s="568"/>
      <c r="E6274" s="2120" t="str">
        <f>E6262</f>
        <v>Each Sqm</v>
      </c>
      <c r="F6274" s="2120"/>
      <c r="G6274" s="2122"/>
      <c r="H6274" s="568"/>
      <c r="I6274" s="2118"/>
      <c r="J6274" s="2123"/>
      <c r="K6274" s="2123"/>
      <c r="L6274" s="192"/>
      <c r="M6274" s="568"/>
    </row>
    <row r="6275" spans="1:13" ht="12.75" hidden="1">
      <c r="A6275" s="2114"/>
      <c r="B6275" s="568" t="s">
        <v>722</v>
      </c>
      <c r="C6275" s="568"/>
      <c r="D6275" s="568"/>
      <c r="E6275" s="188"/>
      <c r="F6275" s="188"/>
      <c r="G6275" s="2122"/>
      <c r="H6275" s="568"/>
      <c r="I6275" s="2118"/>
      <c r="J6275" s="2123"/>
      <c r="K6275" s="2123">
        <f>K6273</f>
        <v>140.84</v>
      </c>
      <c r="L6275" s="192"/>
      <c r="M6275" s="568"/>
    </row>
    <row r="6276" spans="1:13" ht="12.75" hidden="1">
      <c r="A6276" s="2114"/>
      <c r="B6276" s="568" t="s">
        <v>948</v>
      </c>
      <c r="C6276" s="568"/>
      <c r="D6276" s="568"/>
      <c r="E6276" s="188"/>
      <c r="F6276" s="188"/>
      <c r="G6276" s="2122"/>
      <c r="H6276" s="568"/>
      <c r="I6276" s="2118"/>
      <c r="J6276" s="2123"/>
      <c r="K6276" s="2123">
        <f>ROUND(K6266/9.3*3%,2)</f>
        <v>3.22</v>
      </c>
      <c r="L6276" s="192"/>
      <c r="M6276" s="568"/>
    </row>
    <row r="6277" spans="1:13" ht="12.75" hidden="1">
      <c r="A6277" s="2114"/>
      <c r="B6277" s="568"/>
      <c r="C6277" s="568"/>
      <c r="D6277" s="568"/>
      <c r="E6277" s="188"/>
      <c r="F6277" s="188"/>
      <c r="G6277" s="2122"/>
      <c r="H6277" s="568"/>
      <c r="I6277" s="2118"/>
      <c r="J6277" s="2126" t="s">
        <v>718</v>
      </c>
      <c r="K6277" s="2124">
        <f>SUM(K6275:K6276)</f>
        <v>144.06</v>
      </c>
      <c r="L6277" s="192" t="s">
        <v>730</v>
      </c>
      <c r="M6277" s="568"/>
    </row>
    <row r="6278" spans="1:13" ht="12.75" hidden="1">
      <c r="A6278" s="2114" t="str">
        <f>A997</f>
        <v>(iii)</v>
      </c>
      <c r="B6278" s="192" t="str">
        <f>B997</f>
        <v>2nd Floor</v>
      </c>
      <c r="C6278" s="568"/>
      <c r="D6278" s="568"/>
      <c r="E6278" s="2120">
        <f>E6266</f>
        <v>0</v>
      </c>
      <c r="F6278" s="2120"/>
      <c r="G6278" s="2122"/>
      <c r="H6278" s="568"/>
      <c r="I6278" s="2118"/>
      <c r="J6278" s="2123"/>
      <c r="K6278" s="2123"/>
      <c r="L6278" s="192"/>
      <c r="M6278" s="568"/>
    </row>
    <row r="6279" spans="1:13" ht="12.75" hidden="1">
      <c r="A6279" s="2114"/>
      <c r="B6279" s="568" t="s">
        <v>722</v>
      </c>
      <c r="C6279" s="568"/>
      <c r="D6279" s="568"/>
      <c r="E6279" s="188"/>
      <c r="F6279" s="188"/>
      <c r="G6279" s="2122"/>
      <c r="H6279" s="568"/>
      <c r="I6279" s="2118"/>
      <c r="J6279" s="2123"/>
      <c r="K6279" s="2123">
        <f>K6277</f>
        <v>144.06</v>
      </c>
      <c r="L6279" s="192"/>
      <c r="M6279" s="568"/>
    </row>
    <row r="6280" spans="1:13" ht="12.75" hidden="1">
      <c r="A6280" s="2114"/>
      <c r="B6280" s="568" t="s">
        <v>948</v>
      </c>
      <c r="C6280" s="568"/>
      <c r="D6280" s="568"/>
      <c r="E6280" s="188"/>
      <c r="F6280" s="188"/>
      <c r="G6280" s="2122"/>
      <c r="H6280" s="568"/>
      <c r="I6280" s="2118"/>
      <c r="J6280" s="2123"/>
      <c r="K6280" s="2123">
        <f>K6276+ROUND(K6276*3%,2)</f>
        <v>3.3200000000000003</v>
      </c>
      <c r="L6280" s="192"/>
      <c r="M6280" s="568"/>
    </row>
    <row r="6281" spans="1:13" ht="12.75" hidden="1">
      <c r="A6281" s="2114"/>
      <c r="B6281" s="568"/>
      <c r="C6281" s="568"/>
      <c r="D6281" s="568"/>
      <c r="E6281" s="188"/>
      <c r="F6281" s="188"/>
      <c r="G6281" s="2122"/>
      <c r="H6281" s="568"/>
      <c r="I6281" s="2118"/>
      <c r="J6281" s="2126" t="s">
        <v>718</v>
      </c>
      <c r="K6281" s="2124">
        <f>SUM(K6279:K6280)</f>
        <v>147.38</v>
      </c>
      <c r="L6281" s="192" t="s">
        <v>730</v>
      </c>
      <c r="M6281" s="568"/>
    </row>
    <row r="6282" spans="1:13" ht="12.75" hidden="1">
      <c r="A6282" s="2114" t="str">
        <f>A998</f>
        <v>(iv)</v>
      </c>
      <c r="B6282" s="192" t="str">
        <f>B998</f>
        <v>3rd Floor</v>
      </c>
      <c r="C6282" s="568"/>
      <c r="D6282" s="568"/>
      <c r="E6282" s="2120">
        <f>E6270</f>
        <v>0</v>
      </c>
      <c r="F6282" s="2120"/>
      <c r="G6282" s="2122"/>
      <c r="H6282" s="568"/>
      <c r="I6282" s="2118"/>
      <c r="J6282" s="2123"/>
      <c r="K6282" s="2123"/>
      <c r="L6282" s="192"/>
      <c r="M6282" s="568"/>
    </row>
    <row r="6283" spans="1:13" ht="12.75" hidden="1">
      <c r="A6283" s="2114"/>
      <c r="B6283" s="568" t="s">
        <v>722</v>
      </c>
      <c r="C6283" s="568"/>
      <c r="D6283" s="568"/>
      <c r="E6283" s="188"/>
      <c r="F6283" s="188"/>
      <c r="G6283" s="2122"/>
      <c r="H6283" s="568"/>
      <c r="I6283" s="2118"/>
      <c r="J6283" s="2123"/>
      <c r="K6283" s="2123">
        <f>K6281</f>
        <v>147.38</v>
      </c>
      <c r="L6283" s="192"/>
      <c r="M6283" s="568"/>
    </row>
    <row r="6284" spans="1:13" ht="12.75" hidden="1">
      <c r="A6284" s="2114"/>
      <c r="B6284" s="568" t="s">
        <v>948</v>
      </c>
      <c r="C6284" s="568"/>
      <c r="D6284" s="568"/>
      <c r="E6284" s="188"/>
      <c r="F6284" s="188"/>
      <c r="G6284" s="2122"/>
      <c r="H6284" s="568"/>
      <c r="I6284" s="2118"/>
      <c r="J6284" s="2123"/>
      <c r="K6284" s="2123">
        <f>K6280+ROUND(K6280*3%,2)</f>
        <v>3.4200000000000004</v>
      </c>
      <c r="L6284" s="192"/>
      <c r="M6284" s="568"/>
    </row>
    <row r="6285" spans="1:13" ht="12.75" hidden="1">
      <c r="A6285" s="2114"/>
      <c r="B6285" s="568"/>
      <c r="C6285" s="568"/>
      <c r="D6285" s="568"/>
      <c r="E6285" s="188"/>
      <c r="F6285" s="188"/>
      <c r="G6285" s="2122"/>
      <c r="H6285" s="568"/>
      <c r="I6285" s="2118"/>
      <c r="J6285" s="2126" t="s">
        <v>718</v>
      </c>
      <c r="K6285" s="2124">
        <f>SUM(K6283:K6284)</f>
        <v>150.79999999999998</v>
      </c>
      <c r="L6285" s="192" t="s">
        <v>730</v>
      </c>
      <c r="M6285" s="568"/>
    </row>
    <row r="6286" spans="1:13" ht="42" customHeight="1">
      <c r="A6286" s="2114">
        <f>A999</f>
        <v>131</v>
      </c>
      <c r="B6286" s="3025" t="str">
        <f>B999</f>
        <v>Painting two coats with approved enamel paints of approved colour, shade over a coat of  primer over new Iron work including sand papering, polishing the surface, etc, complete as per specification &amp; direction of Engineer-in-charge.</v>
      </c>
      <c r="C6286" s="3025"/>
      <c r="D6286" s="3025"/>
      <c r="E6286" s="3025"/>
      <c r="F6286" s="3025"/>
      <c r="G6286" s="3025"/>
      <c r="H6286" s="3025"/>
      <c r="I6286" s="2118"/>
      <c r="J6286" s="2124"/>
      <c r="K6286" s="2124"/>
      <c r="L6286" s="192"/>
      <c r="M6286" s="568"/>
    </row>
    <row r="6287" spans="1:13" ht="12.75">
      <c r="A6287" s="2114" t="str">
        <f>A1000</f>
        <v>(i)</v>
      </c>
      <c r="B6287" s="192" t="str">
        <f>B1000</f>
        <v>Ground Floor</v>
      </c>
      <c r="C6287" s="568"/>
      <c r="D6287" s="568"/>
      <c r="E6287" s="2120" t="str">
        <f>G1000</f>
        <v>Each Sqm</v>
      </c>
      <c r="F6287" s="2120"/>
      <c r="G6287" s="2122"/>
      <c r="H6287" s="568"/>
      <c r="I6287" s="2118"/>
      <c r="J6287" s="2123"/>
      <c r="K6287" s="2123"/>
      <c r="L6287" s="192"/>
      <c r="M6287" s="568"/>
    </row>
    <row r="6288" spans="1:13" ht="12.75">
      <c r="A6288" s="2114"/>
      <c r="B6288" s="192" t="s">
        <v>1257</v>
      </c>
      <c r="C6288" s="568"/>
      <c r="D6288" s="568"/>
      <c r="E6288" s="188"/>
      <c r="F6288" s="188"/>
      <c r="G6288" s="2122"/>
      <c r="H6288" s="568"/>
      <c r="I6288" s="2118"/>
      <c r="J6288" s="2123"/>
      <c r="K6288" s="2123"/>
      <c r="L6288" s="192"/>
      <c r="M6288" s="568"/>
    </row>
    <row r="6289" spans="1:13" ht="12.75">
      <c r="A6289" s="2114"/>
      <c r="B6289" s="568" t="s">
        <v>1258</v>
      </c>
      <c r="C6289" s="568"/>
      <c r="D6289" s="568"/>
      <c r="E6289" s="188"/>
      <c r="F6289" s="188"/>
      <c r="G6289" s="2122">
        <v>1.75</v>
      </c>
      <c r="H6289" s="568" t="s">
        <v>262</v>
      </c>
      <c r="I6289" s="2118" t="s">
        <v>38</v>
      </c>
      <c r="J6289" s="2123">
        <f>L137</f>
        <v>495</v>
      </c>
      <c r="K6289" s="2123">
        <f>ROUND(G6289*J6289,2)</f>
        <v>866.25</v>
      </c>
      <c r="L6289" s="192"/>
      <c r="M6289" s="568"/>
    </row>
    <row r="6290" spans="1:13" ht="12.75">
      <c r="A6290" s="2114"/>
      <c r="B6290" s="568" t="s">
        <v>717</v>
      </c>
      <c r="C6290" s="568"/>
      <c r="D6290" s="568"/>
      <c r="E6290" s="188"/>
      <c r="F6290" s="188"/>
      <c r="G6290" s="2122">
        <v>1.6</v>
      </c>
      <c r="H6290" s="568" t="s">
        <v>262</v>
      </c>
      <c r="I6290" s="2118" t="s">
        <v>38</v>
      </c>
      <c r="J6290" s="2123">
        <f>L134</f>
        <v>345</v>
      </c>
      <c r="K6290" s="2123">
        <f>ROUND(G6290*J6290,2)</f>
        <v>552</v>
      </c>
      <c r="L6290" s="192"/>
      <c r="M6290" s="568"/>
    </row>
    <row r="6291" spans="1:13" ht="12.75">
      <c r="A6291" s="2114"/>
      <c r="B6291" s="568"/>
      <c r="C6291" s="568"/>
      <c r="D6291" s="568"/>
      <c r="E6291" s="188"/>
      <c r="F6291" s="188"/>
      <c r="G6291" s="2122"/>
      <c r="H6291" s="568"/>
      <c r="I6291" s="2118"/>
      <c r="J6291" s="2123" t="s">
        <v>718</v>
      </c>
      <c r="K6291" s="2123">
        <f>SUM(K6289:K6290)</f>
        <v>1418.25</v>
      </c>
      <c r="L6291" s="192"/>
      <c r="M6291" s="568"/>
    </row>
    <row r="6292" spans="1:13" ht="12.75">
      <c r="A6292" s="2114"/>
      <c r="B6292" s="568"/>
      <c r="C6292" s="568"/>
      <c r="D6292" s="568"/>
      <c r="E6292" s="188"/>
      <c r="F6292" s="188"/>
      <c r="G6292" s="2122"/>
      <c r="H6292" s="568"/>
      <c r="I6292" s="2118"/>
      <c r="J6292" s="2123"/>
      <c r="K6292" s="2123"/>
      <c r="L6292" s="192"/>
      <c r="M6292" s="568"/>
    </row>
    <row r="6293" spans="1:13" ht="12.75">
      <c r="A6293" s="2114"/>
      <c r="B6293" s="568" t="s">
        <v>1259</v>
      </c>
      <c r="C6293" s="568"/>
      <c r="D6293" s="568"/>
      <c r="E6293" s="188"/>
      <c r="F6293" s="188"/>
      <c r="G6293" s="2122"/>
      <c r="H6293" s="568"/>
      <c r="I6293" s="2118"/>
      <c r="J6293" s="2123"/>
      <c r="K6293" s="2123"/>
      <c r="L6293" s="192"/>
      <c r="M6293" s="568"/>
    </row>
    <row r="6294" spans="1:13" ht="12.75">
      <c r="A6294" s="2114"/>
      <c r="B6294" s="568"/>
      <c r="C6294" s="568"/>
      <c r="D6294" s="568"/>
      <c r="E6294" s="188"/>
      <c r="F6294" s="188"/>
      <c r="G6294" s="2122"/>
      <c r="H6294" s="568"/>
      <c r="I6294" s="2118"/>
      <c r="J6294" s="2123" t="s">
        <v>718</v>
      </c>
      <c r="K6294" s="2123">
        <f>SUM(K6291:K6293)</f>
        <v>1418.25</v>
      </c>
      <c r="L6294" s="192"/>
      <c r="M6294" s="568"/>
    </row>
    <row r="6295" spans="1:13" ht="12.75">
      <c r="A6295" s="2114"/>
      <c r="B6295" s="568" t="s">
        <v>1024</v>
      </c>
      <c r="C6295" s="568"/>
      <c r="D6295" s="568"/>
      <c r="E6295" s="188"/>
      <c r="F6295" s="188"/>
      <c r="G6295" s="2122"/>
      <c r="H6295" s="568"/>
      <c r="I6295" s="2118"/>
      <c r="J6295" s="2123"/>
      <c r="K6295" s="2123">
        <f>ROUND(K6294/9.3,2)</f>
        <v>152.5</v>
      </c>
      <c r="L6295" s="192"/>
      <c r="M6295" s="568"/>
    </row>
    <row r="6296" spans="1:13" ht="12.75">
      <c r="A6296" s="2114"/>
      <c r="B6296" s="568" t="s">
        <v>1262</v>
      </c>
      <c r="C6296" s="568"/>
      <c r="D6296" s="568"/>
      <c r="E6296" s="188"/>
      <c r="F6296" s="188"/>
      <c r="G6296" s="2122">
        <v>5.3999999999999999E-2</v>
      </c>
      <c r="H6296" s="568" t="s">
        <v>95</v>
      </c>
      <c r="I6296" s="2118" t="s">
        <v>95</v>
      </c>
      <c r="J6296" s="2123">
        <f>L93</f>
        <v>143.12621999999999</v>
      </c>
      <c r="K6296" s="2123">
        <f>ROUND(G6296*J6296,2)</f>
        <v>7.73</v>
      </c>
      <c r="L6296" s="192"/>
      <c r="M6296" s="568"/>
    </row>
    <row r="6297" spans="1:13" ht="12.75">
      <c r="A6297" s="2114"/>
      <c r="B6297" s="568" t="s">
        <v>1260</v>
      </c>
      <c r="C6297" s="568"/>
      <c r="D6297" s="568"/>
      <c r="E6297" s="188"/>
      <c r="F6297" s="188"/>
      <c r="G6297" s="2122">
        <v>0.125</v>
      </c>
      <c r="H6297" s="568" t="s">
        <v>95</v>
      </c>
      <c r="I6297" s="2118" t="s">
        <v>95</v>
      </c>
      <c r="J6297" s="2123">
        <f>L88</f>
        <v>250.76622</v>
      </c>
      <c r="K6297" s="2123">
        <f>ROUND(G6297*J6297,2)</f>
        <v>31.35</v>
      </c>
      <c r="L6297" s="192"/>
      <c r="M6297" s="568"/>
    </row>
    <row r="6298" spans="1:13" ht="12.75">
      <c r="A6298" s="2114"/>
      <c r="B6298" s="568"/>
      <c r="C6298" s="568"/>
      <c r="D6298" s="568"/>
      <c r="E6298" s="188"/>
      <c r="F6298" s="188"/>
      <c r="G6298" s="2122"/>
      <c r="H6298" s="568"/>
      <c r="I6298" s="2118"/>
      <c r="J6298" s="2123"/>
      <c r="K6298" s="2123">
        <f>SUM(K6295:K6297)</f>
        <v>191.57999999999998</v>
      </c>
      <c r="L6298" s="192"/>
      <c r="M6298" s="568"/>
    </row>
    <row r="6299" spans="1:13" ht="12.75">
      <c r="A6299" s="2114"/>
      <c r="B6299" s="192" t="s">
        <v>3662</v>
      </c>
      <c r="C6299" s="568"/>
      <c r="D6299" s="568"/>
      <c r="E6299" s="188"/>
      <c r="F6299" s="188"/>
      <c r="G6299" s="2122"/>
      <c r="H6299" s="2135">
        <f>H6185</f>
        <v>7.4999999999999997E-2</v>
      </c>
      <c r="I6299" s="2134">
        <f>K6298</f>
        <v>191.57999999999998</v>
      </c>
      <c r="J6299" s="2134"/>
      <c r="K6299" s="2123">
        <f>ROUND(I6299*H6299,2)</f>
        <v>14.37</v>
      </c>
      <c r="L6299" s="192"/>
      <c r="M6299" s="568"/>
    </row>
    <row r="6300" spans="1:13" ht="12.75">
      <c r="A6300" s="2114"/>
      <c r="B6300" s="192" t="s">
        <v>3661</v>
      </c>
      <c r="C6300" s="568"/>
      <c r="D6300" s="568"/>
      <c r="E6300" s="188"/>
      <c r="F6300" s="188"/>
      <c r="G6300" s="2122"/>
      <c r="H6300" s="2135">
        <f>H6299</f>
        <v>7.4999999999999997E-2</v>
      </c>
      <c r="I6300" s="2134">
        <f>I6299</f>
        <v>191.57999999999998</v>
      </c>
      <c r="J6300" s="2134"/>
      <c r="K6300" s="2140">
        <f>ROUND(I6300*H6300,2)</f>
        <v>14.37</v>
      </c>
      <c r="L6300" s="192"/>
      <c r="M6300" s="568"/>
    </row>
    <row r="6301" spans="1:13" ht="12.75">
      <c r="A6301" s="2114"/>
      <c r="B6301" s="568"/>
      <c r="C6301" s="568"/>
      <c r="D6301" s="568"/>
      <c r="E6301" s="188"/>
      <c r="F6301" s="188"/>
      <c r="G6301" s="2122"/>
      <c r="H6301" s="568"/>
      <c r="I6301" s="2118"/>
      <c r="J6301" s="2123"/>
      <c r="K6301" s="2123">
        <f>SUM(K6298:K6300)</f>
        <v>220.32</v>
      </c>
      <c r="L6301" s="192"/>
      <c r="M6301" s="568"/>
    </row>
    <row r="6302" spans="1:13" ht="12.75">
      <c r="A6302" s="2114"/>
      <c r="B6302" s="192" t="s">
        <v>3738</v>
      </c>
      <c r="C6302" s="2142">
        <v>0.01</v>
      </c>
      <c r="D6302" s="568"/>
      <c r="E6302" s="188"/>
      <c r="F6302" s="188"/>
      <c r="G6302" s="2122"/>
      <c r="H6302" s="568"/>
      <c r="I6302" s="2118"/>
      <c r="J6302" s="2123"/>
      <c r="K6302" s="2140">
        <f>ROUND(K6301*C6302,2)</f>
        <v>2.2000000000000002</v>
      </c>
      <c r="L6302" s="192"/>
      <c r="M6302" s="568"/>
    </row>
    <row r="6303" spans="1:13" ht="12.75">
      <c r="A6303" s="2114"/>
      <c r="B6303" s="568" t="s">
        <v>1201</v>
      </c>
      <c r="C6303" s="568"/>
      <c r="D6303" s="568"/>
      <c r="E6303" s="188"/>
      <c r="F6303" s="188"/>
      <c r="G6303" s="2122"/>
      <c r="H6303" s="568"/>
      <c r="I6303" s="2118"/>
      <c r="J6303" s="2126" t="s">
        <v>718</v>
      </c>
      <c r="K6303" s="2124">
        <f>SUM(K6301:K6302)</f>
        <v>222.51999999999998</v>
      </c>
      <c r="L6303" s="192" t="s">
        <v>730</v>
      </c>
      <c r="M6303" s="568"/>
    </row>
    <row r="6304" spans="1:13" ht="12.75" hidden="1">
      <c r="A6304" s="2114" t="str">
        <f>A1001</f>
        <v>(ii)</v>
      </c>
      <c r="B6304" s="192" t="str">
        <f>B1001</f>
        <v>First Floor</v>
      </c>
      <c r="C6304" s="568"/>
      <c r="D6304" s="568"/>
      <c r="E6304" s="2120" t="str">
        <f>E6287</f>
        <v>Each Sqm</v>
      </c>
      <c r="F6304" s="2120"/>
      <c r="G6304" s="2122"/>
      <c r="H6304" s="568"/>
      <c r="I6304" s="2118"/>
      <c r="J6304" s="2123"/>
      <c r="K6304" s="2123"/>
      <c r="L6304" s="192"/>
      <c r="M6304" s="568"/>
    </row>
    <row r="6305" spans="1:13" ht="12.75" hidden="1">
      <c r="A6305" s="2114"/>
      <c r="B6305" s="568" t="s">
        <v>722</v>
      </c>
      <c r="C6305" s="568"/>
      <c r="D6305" s="568"/>
      <c r="E6305" s="188"/>
      <c r="F6305" s="188"/>
      <c r="G6305" s="2122"/>
      <c r="H6305" s="568"/>
      <c r="I6305" s="2118"/>
      <c r="J6305" s="2123"/>
      <c r="K6305" s="2123">
        <f>K6303</f>
        <v>222.51999999999998</v>
      </c>
      <c r="L6305" s="192"/>
      <c r="M6305" s="568"/>
    </row>
    <row r="6306" spans="1:13" ht="12.75" hidden="1">
      <c r="A6306" s="2114"/>
      <c r="B6306" s="568" t="s">
        <v>948</v>
      </c>
      <c r="C6306" s="568"/>
      <c r="D6306" s="568"/>
      <c r="E6306" s="188"/>
      <c r="F6306" s="188"/>
      <c r="G6306" s="2122"/>
      <c r="H6306" s="2125">
        <v>0.03</v>
      </c>
      <c r="I6306" s="2134">
        <f>K6291/9.3</f>
        <v>152.5</v>
      </c>
      <c r="J6306" s="2124"/>
      <c r="K6306" s="2123">
        <f>ROUND(I6306*H6306,2)</f>
        <v>4.58</v>
      </c>
      <c r="L6306" s="192"/>
      <c r="M6306" s="568"/>
    </row>
    <row r="6307" spans="1:13" ht="12.75" hidden="1">
      <c r="A6307" s="2114"/>
      <c r="B6307" s="192" t="s">
        <v>3662</v>
      </c>
      <c r="C6307" s="568"/>
      <c r="D6307" s="568"/>
      <c r="E6307" s="188"/>
      <c r="F6307" s="188"/>
      <c r="G6307" s="2122"/>
      <c r="H6307" s="2135">
        <f>H6300</f>
        <v>7.4999999999999997E-2</v>
      </c>
      <c r="I6307" s="2134">
        <f>K6306</f>
        <v>4.58</v>
      </c>
      <c r="J6307" s="2134"/>
      <c r="K6307" s="2123">
        <f>ROUND(I6307*H6307,2)</f>
        <v>0.34</v>
      </c>
      <c r="L6307" s="192"/>
      <c r="M6307" s="568"/>
    </row>
    <row r="6308" spans="1:13" ht="12.75" hidden="1">
      <c r="A6308" s="2114"/>
      <c r="B6308" s="192" t="s">
        <v>3661</v>
      </c>
      <c r="C6308" s="568"/>
      <c r="D6308" s="568"/>
      <c r="E6308" s="188"/>
      <c r="F6308" s="188"/>
      <c r="G6308" s="2122"/>
      <c r="H6308" s="2135">
        <f>H6307</f>
        <v>7.4999999999999997E-2</v>
      </c>
      <c r="I6308" s="2134">
        <f>I6307</f>
        <v>4.58</v>
      </c>
      <c r="J6308" s="2134"/>
      <c r="K6308" s="2140">
        <f>ROUND(I6308*H6308,2)</f>
        <v>0.34</v>
      </c>
      <c r="L6308" s="192"/>
      <c r="M6308" s="568"/>
    </row>
    <row r="6309" spans="1:13" ht="12.75" hidden="1">
      <c r="A6309" s="2114"/>
      <c r="B6309" s="568"/>
      <c r="C6309" s="568"/>
      <c r="D6309" s="568"/>
      <c r="E6309" s="188"/>
      <c r="F6309" s="188"/>
      <c r="G6309" s="2122"/>
      <c r="H6309" s="568"/>
      <c r="I6309" s="2118"/>
      <c r="J6309" s="2123"/>
      <c r="K6309" s="2123">
        <f>SUM(K6305:K6308)</f>
        <v>227.78</v>
      </c>
      <c r="L6309" s="192"/>
      <c r="M6309" s="568"/>
    </row>
    <row r="6310" spans="1:13" ht="12.75" hidden="1">
      <c r="A6310" s="2114"/>
      <c r="B6310" s="192" t="s">
        <v>3738</v>
      </c>
      <c r="C6310" s="2142">
        <v>0.01</v>
      </c>
      <c r="D6310" s="568"/>
      <c r="E6310" s="188"/>
      <c r="F6310" s="188"/>
      <c r="G6310" s="2122"/>
      <c r="H6310" s="568"/>
      <c r="I6310" s="2118"/>
      <c r="J6310" s="2123"/>
      <c r="K6310" s="2140">
        <f>ROUND(K6309*C6310,2)</f>
        <v>2.2799999999999998</v>
      </c>
      <c r="L6310" s="192"/>
      <c r="M6310" s="568"/>
    </row>
    <row r="6311" spans="1:13" ht="12.75" hidden="1">
      <c r="A6311" s="2114"/>
      <c r="B6311" s="568"/>
      <c r="C6311" s="568"/>
      <c r="D6311" s="568"/>
      <c r="E6311" s="188"/>
      <c r="F6311" s="188"/>
      <c r="G6311" s="2122"/>
      <c r="H6311" s="568"/>
      <c r="I6311" s="2118"/>
      <c r="J6311" s="2126" t="s">
        <v>718</v>
      </c>
      <c r="K6311" s="2124">
        <f>SUM(K6309:K6310)</f>
        <v>230.06</v>
      </c>
      <c r="L6311" s="192" t="s">
        <v>730</v>
      </c>
      <c r="M6311" s="568"/>
    </row>
    <row r="6312" spans="1:13" ht="12.75" hidden="1">
      <c r="A6312" s="2114" t="str">
        <f>A1002</f>
        <v>(iii)</v>
      </c>
      <c r="B6312" s="192" t="str">
        <f>B1002</f>
        <v>2nd Floor</v>
      </c>
      <c r="C6312" s="568"/>
      <c r="D6312" s="568"/>
      <c r="E6312" s="2120" t="str">
        <f>E6304</f>
        <v>Each Sqm</v>
      </c>
      <c r="F6312" s="2120"/>
      <c r="G6312" s="2122"/>
      <c r="H6312" s="568"/>
      <c r="I6312" s="2118"/>
      <c r="J6312" s="2123"/>
      <c r="K6312" s="2123"/>
      <c r="L6312" s="192"/>
      <c r="M6312" s="568"/>
    </row>
    <row r="6313" spans="1:13" ht="12.75" hidden="1">
      <c r="A6313" s="2114"/>
      <c r="B6313" s="568" t="s">
        <v>722</v>
      </c>
      <c r="C6313" s="568"/>
      <c r="D6313" s="568"/>
      <c r="E6313" s="188"/>
      <c r="F6313" s="188"/>
      <c r="G6313" s="2122"/>
      <c r="H6313" s="568"/>
      <c r="I6313" s="2118"/>
      <c r="J6313" s="2123"/>
      <c r="K6313" s="2123">
        <f>K6311</f>
        <v>230.06</v>
      </c>
      <c r="L6313" s="192"/>
      <c r="M6313" s="568"/>
    </row>
    <row r="6314" spans="1:13" ht="12.75" hidden="1">
      <c r="A6314" s="2114"/>
      <c r="B6314" s="568" t="s">
        <v>948</v>
      </c>
      <c r="C6314" s="568"/>
      <c r="D6314" s="568"/>
      <c r="E6314" s="188"/>
      <c r="F6314" s="188"/>
      <c r="G6314" s="2122"/>
      <c r="H6314" s="2125">
        <f>H6306</f>
        <v>0.03</v>
      </c>
      <c r="I6314" s="2134">
        <f>I6306+K6306</f>
        <v>157.08000000000001</v>
      </c>
      <c r="J6314" s="2124"/>
      <c r="K6314" s="2123">
        <f>ROUND(I6314*H6314,2)</f>
        <v>4.71</v>
      </c>
      <c r="L6314" s="192"/>
      <c r="M6314" s="568"/>
    </row>
    <row r="6315" spans="1:13" ht="12.75" hidden="1">
      <c r="A6315" s="2114"/>
      <c r="B6315" s="192" t="s">
        <v>3662</v>
      </c>
      <c r="C6315" s="568"/>
      <c r="D6315" s="568"/>
      <c r="E6315" s="188"/>
      <c r="F6315" s="188"/>
      <c r="G6315" s="2122"/>
      <c r="H6315" s="2135">
        <f>H6308</f>
        <v>7.4999999999999997E-2</v>
      </c>
      <c r="I6315" s="2134">
        <f>K6314</f>
        <v>4.71</v>
      </c>
      <c r="J6315" s="2134"/>
      <c r="K6315" s="2123">
        <f>ROUND(I6315*H6315,2)</f>
        <v>0.35</v>
      </c>
      <c r="L6315" s="192"/>
      <c r="M6315" s="568"/>
    </row>
    <row r="6316" spans="1:13" ht="12.75" hidden="1">
      <c r="A6316" s="2114"/>
      <c r="B6316" s="192" t="s">
        <v>3661</v>
      </c>
      <c r="C6316" s="568"/>
      <c r="D6316" s="568"/>
      <c r="E6316" s="188"/>
      <c r="F6316" s="188"/>
      <c r="G6316" s="2122"/>
      <c r="H6316" s="2135">
        <f>H6315</f>
        <v>7.4999999999999997E-2</v>
      </c>
      <c r="I6316" s="2134">
        <f>I6315</f>
        <v>4.71</v>
      </c>
      <c r="J6316" s="2134"/>
      <c r="K6316" s="2140">
        <f>ROUND(I6316*H6316,2)</f>
        <v>0.35</v>
      </c>
      <c r="L6316" s="192"/>
      <c r="M6316" s="568"/>
    </row>
    <row r="6317" spans="1:13" ht="12.75" hidden="1">
      <c r="A6317" s="2114"/>
      <c r="B6317" s="568"/>
      <c r="C6317" s="568"/>
      <c r="D6317" s="568"/>
      <c r="E6317" s="188"/>
      <c r="F6317" s="188"/>
      <c r="G6317" s="2122"/>
      <c r="H6317" s="568"/>
      <c r="I6317" s="2118"/>
      <c r="J6317" s="2123"/>
      <c r="K6317" s="2123">
        <f>SUM(K6313:K6316)</f>
        <v>235.47</v>
      </c>
      <c r="L6317" s="192"/>
      <c r="M6317" s="568"/>
    </row>
    <row r="6318" spans="1:13" ht="12.75" hidden="1">
      <c r="A6318" s="2114"/>
      <c r="B6318" s="192" t="s">
        <v>3738</v>
      </c>
      <c r="C6318" s="2142">
        <v>0.01</v>
      </c>
      <c r="D6318" s="568"/>
      <c r="E6318" s="188"/>
      <c r="F6318" s="188"/>
      <c r="G6318" s="2122"/>
      <c r="H6318" s="568"/>
      <c r="I6318" s="2118"/>
      <c r="J6318" s="2123"/>
      <c r="K6318" s="2140">
        <f>ROUND(K6317*C6318,2)</f>
        <v>2.35</v>
      </c>
      <c r="L6318" s="192"/>
      <c r="M6318" s="568"/>
    </row>
    <row r="6319" spans="1:13" ht="12.75" hidden="1">
      <c r="A6319" s="2114"/>
      <c r="B6319" s="568"/>
      <c r="C6319" s="568"/>
      <c r="D6319" s="568"/>
      <c r="E6319" s="188"/>
      <c r="F6319" s="188"/>
      <c r="G6319" s="2122"/>
      <c r="H6319" s="568"/>
      <c r="I6319" s="2118"/>
      <c r="J6319" s="2126" t="s">
        <v>718</v>
      </c>
      <c r="K6319" s="2124">
        <f>SUM(K6317:K6318)</f>
        <v>237.82</v>
      </c>
      <c r="L6319" s="192" t="s">
        <v>730</v>
      </c>
      <c r="M6319" s="568"/>
    </row>
    <row r="6320" spans="1:13" ht="12.75" hidden="1">
      <c r="A6320" s="2114" t="str">
        <f>A1003</f>
        <v>(iv)</v>
      </c>
      <c r="B6320" s="192" t="str">
        <f>B1003</f>
        <v>3rd Floor</v>
      </c>
      <c r="C6320" s="568"/>
      <c r="D6320" s="568"/>
      <c r="E6320" s="2120" t="str">
        <f>E6312</f>
        <v>Each Sqm</v>
      </c>
      <c r="F6320" s="2120"/>
      <c r="G6320" s="2122"/>
      <c r="H6320" s="568"/>
      <c r="I6320" s="2118"/>
      <c r="J6320" s="2123"/>
      <c r="K6320" s="2123"/>
      <c r="L6320" s="192"/>
      <c r="M6320" s="568"/>
    </row>
    <row r="6321" spans="1:13" ht="12.75" hidden="1">
      <c r="A6321" s="2114"/>
      <c r="B6321" s="568" t="s">
        <v>722</v>
      </c>
      <c r="C6321" s="568"/>
      <c r="D6321" s="568"/>
      <c r="E6321" s="188"/>
      <c r="F6321" s="188"/>
      <c r="G6321" s="2122"/>
      <c r="H6321" s="568"/>
      <c r="I6321" s="2118"/>
      <c r="J6321" s="2123"/>
      <c r="K6321" s="2123">
        <f>K6319</f>
        <v>237.82</v>
      </c>
      <c r="L6321" s="192"/>
      <c r="M6321" s="568"/>
    </row>
    <row r="6322" spans="1:13" ht="12.75" hidden="1">
      <c r="A6322" s="2114"/>
      <c r="B6322" s="568" t="s">
        <v>948</v>
      </c>
      <c r="C6322" s="568"/>
      <c r="D6322" s="568"/>
      <c r="E6322" s="188"/>
      <c r="F6322" s="188"/>
      <c r="G6322" s="2122"/>
      <c r="H6322" s="2125">
        <f>H6314</f>
        <v>0.03</v>
      </c>
      <c r="I6322" s="2134">
        <f>I6314+K6314</f>
        <v>161.79000000000002</v>
      </c>
      <c r="J6322" s="2124"/>
      <c r="K6322" s="2123">
        <f>ROUND(I6322*H6322,2)</f>
        <v>4.8499999999999996</v>
      </c>
      <c r="L6322" s="192"/>
      <c r="M6322" s="568"/>
    </row>
    <row r="6323" spans="1:13" ht="12.75" hidden="1">
      <c r="A6323" s="2114"/>
      <c r="B6323" s="192" t="s">
        <v>3662</v>
      </c>
      <c r="C6323" s="568"/>
      <c r="D6323" s="568"/>
      <c r="E6323" s="188"/>
      <c r="F6323" s="188"/>
      <c r="G6323" s="2122"/>
      <c r="H6323" s="2135">
        <f>H6316</f>
        <v>7.4999999999999997E-2</v>
      </c>
      <c r="I6323" s="2134">
        <f>K6322</f>
        <v>4.8499999999999996</v>
      </c>
      <c r="J6323" s="2134"/>
      <c r="K6323" s="2123">
        <f>ROUND(I6323*H6323,2)</f>
        <v>0.36</v>
      </c>
      <c r="L6323" s="192"/>
      <c r="M6323" s="568"/>
    </row>
    <row r="6324" spans="1:13" ht="12.75" hidden="1">
      <c r="A6324" s="2114"/>
      <c r="B6324" s="192" t="s">
        <v>3661</v>
      </c>
      <c r="C6324" s="568"/>
      <c r="D6324" s="568"/>
      <c r="E6324" s="188"/>
      <c r="F6324" s="188"/>
      <c r="G6324" s="2122"/>
      <c r="H6324" s="2135">
        <f>H6323</f>
        <v>7.4999999999999997E-2</v>
      </c>
      <c r="I6324" s="2134">
        <f>I6323</f>
        <v>4.8499999999999996</v>
      </c>
      <c r="J6324" s="2134"/>
      <c r="K6324" s="2140">
        <f>ROUND(I6324*H6324,2)</f>
        <v>0.36</v>
      </c>
      <c r="L6324" s="192"/>
      <c r="M6324" s="568"/>
    </row>
    <row r="6325" spans="1:13" ht="12.75" hidden="1">
      <c r="A6325" s="2114"/>
      <c r="B6325" s="568"/>
      <c r="C6325" s="568"/>
      <c r="D6325" s="568"/>
      <c r="E6325" s="188"/>
      <c r="F6325" s="188"/>
      <c r="G6325" s="2122"/>
      <c r="H6325" s="568"/>
      <c r="I6325" s="2118"/>
      <c r="J6325" s="2123"/>
      <c r="K6325" s="2123">
        <f>SUM(K6321:K6324)</f>
        <v>243.39000000000001</v>
      </c>
      <c r="L6325" s="192"/>
      <c r="M6325" s="568"/>
    </row>
    <row r="6326" spans="1:13" ht="12.75" hidden="1">
      <c r="A6326" s="2114"/>
      <c r="B6326" s="192" t="s">
        <v>3738</v>
      </c>
      <c r="C6326" s="2142">
        <v>0.01</v>
      </c>
      <c r="D6326" s="568"/>
      <c r="E6326" s="188"/>
      <c r="F6326" s="188"/>
      <c r="G6326" s="2122"/>
      <c r="H6326" s="568"/>
      <c r="I6326" s="2118"/>
      <c r="J6326" s="2123"/>
      <c r="K6326" s="2140">
        <f>ROUND(K6325*C6326,2)</f>
        <v>2.4300000000000002</v>
      </c>
      <c r="L6326" s="192"/>
      <c r="M6326" s="568"/>
    </row>
    <row r="6327" spans="1:13" ht="12.75" hidden="1">
      <c r="A6327" s="2114"/>
      <c r="B6327" s="568"/>
      <c r="C6327" s="568"/>
      <c r="D6327" s="568"/>
      <c r="E6327" s="188"/>
      <c r="F6327" s="188"/>
      <c r="G6327" s="2122"/>
      <c r="H6327" s="568"/>
      <c r="I6327" s="2118"/>
      <c r="J6327" s="2126" t="s">
        <v>718</v>
      </c>
      <c r="K6327" s="2124">
        <f>SUM(K6325:K6326)</f>
        <v>245.82000000000002</v>
      </c>
      <c r="L6327" s="192" t="s">
        <v>730</v>
      </c>
      <c r="M6327" s="568"/>
    </row>
    <row r="6328" spans="1:13" ht="28.5" hidden="1" customHeight="1">
      <c r="A6328" s="2114">
        <f>A1004</f>
        <v>132</v>
      </c>
      <c r="B6328" s="3017" t="str">
        <f>B1004</f>
        <v>Coaltaring two coat on wood surface used in purlin and rafter for AC sheet roofing etc complete.</v>
      </c>
      <c r="C6328" s="3017"/>
      <c r="D6328" s="3017"/>
      <c r="E6328" s="2116" t="str">
        <f>G1004</f>
        <v>Each Sqm</v>
      </c>
      <c r="F6328" s="2116"/>
      <c r="G6328" s="2122"/>
      <c r="H6328" s="568"/>
      <c r="I6328" s="2118"/>
      <c r="J6328" s="2124"/>
      <c r="K6328" s="2124"/>
      <c r="L6328" s="192"/>
      <c r="M6328" s="568"/>
    </row>
    <row r="6329" spans="1:13" ht="12.75" hidden="1">
      <c r="A6329" s="2114" t="str">
        <f>A1005</f>
        <v>(i)</v>
      </c>
      <c r="B6329" s="192" t="str">
        <f>B1005</f>
        <v>Ground Floor</v>
      </c>
      <c r="C6329" s="568"/>
      <c r="D6329" s="568"/>
      <c r="E6329" s="2120" t="str">
        <f>G884</f>
        <v>Each No</v>
      </c>
      <c r="F6329" s="2120"/>
      <c r="G6329" s="2122"/>
      <c r="H6329" s="568"/>
      <c r="I6329" s="2118"/>
      <c r="J6329" s="2123"/>
      <c r="K6329" s="2123"/>
      <c r="L6329" s="192"/>
      <c r="M6329" s="568"/>
    </row>
    <row r="6330" spans="1:13" ht="12.75" hidden="1">
      <c r="A6330" s="2114"/>
      <c r="B6330" s="568" t="s">
        <v>1257</v>
      </c>
      <c r="C6330" s="568"/>
      <c r="D6330" s="568"/>
      <c r="E6330" s="188"/>
      <c r="F6330" s="188"/>
      <c r="G6330" s="2122"/>
      <c r="H6330" s="568"/>
      <c r="I6330" s="2118"/>
      <c r="J6330" s="2123"/>
      <c r="K6330" s="2123"/>
      <c r="L6330" s="192"/>
      <c r="M6330" s="568"/>
    </row>
    <row r="6331" spans="1:13" ht="12.75" hidden="1">
      <c r="A6331" s="2114"/>
      <c r="B6331" s="568" t="s">
        <v>717</v>
      </c>
      <c r="C6331" s="568"/>
      <c r="D6331" s="568"/>
      <c r="E6331" s="188"/>
      <c r="F6331" s="188"/>
      <c r="G6331" s="2122">
        <v>0.5</v>
      </c>
      <c r="H6331" s="568" t="s">
        <v>262</v>
      </c>
      <c r="I6331" s="2118" t="s">
        <v>38</v>
      </c>
      <c r="J6331" s="2123">
        <f>L134</f>
        <v>345</v>
      </c>
      <c r="K6331" s="2123">
        <f>ROUND(G6331*J6331,2)</f>
        <v>172.5</v>
      </c>
      <c r="L6331" s="192"/>
      <c r="M6331" s="568"/>
    </row>
    <row r="6332" spans="1:13" ht="12.75" hidden="1">
      <c r="A6332" s="2114"/>
      <c r="B6332" s="568"/>
      <c r="C6332" s="568"/>
      <c r="D6332" s="568"/>
      <c r="E6332" s="188"/>
      <c r="F6332" s="188"/>
      <c r="G6332" s="2122"/>
      <c r="H6332" s="568"/>
      <c r="I6332" s="2118"/>
      <c r="J6332" s="2123" t="s">
        <v>718</v>
      </c>
      <c r="K6332" s="2123">
        <f>SUM(K6331:K6331)</f>
        <v>172.5</v>
      </c>
      <c r="L6332" s="192"/>
      <c r="M6332" s="568"/>
    </row>
    <row r="6333" spans="1:13" ht="12.75" hidden="1">
      <c r="A6333" s="2114"/>
      <c r="B6333" s="568"/>
      <c r="C6333" s="568"/>
      <c r="D6333" s="568"/>
      <c r="E6333" s="188"/>
      <c r="F6333" s="188"/>
      <c r="G6333" s="2122"/>
      <c r="H6333" s="568"/>
      <c r="I6333" s="2118"/>
      <c r="J6333" s="2123"/>
      <c r="K6333" s="2123"/>
      <c r="L6333" s="192"/>
      <c r="M6333" s="568"/>
    </row>
    <row r="6334" spans="1:13" ht="12.75" hidden="1">
      <c r="A6334" s="2114"/>
      <c r="B6334" s="568" t="s">
        <v>1259</v>
      </c>
      <c r="C6334" s="568"/>
      <c r="D6334" s="568"/>
      <c r="E6334" s="188"/>
      <c r="F6334" s="188"/>
      <c r="G6334" s="2122"/>
      <c r="H6334" s="568"/>
      <c r="I6334" s="2118"/>
      <c r="J6334" s="2123"/>
      <c r="K6334" s="2123"/>
      <c r="L6334" s="192"/>
      <c r="M6334" s="568"/>
    </row>
    <row r="6335" spans="1:13" ht="12.75" hidden="1">
      <c r="A6335" s="2114"/>
      <c r="B6335" s="568"/>
      <c r="C6335" s="568"/>
      <c r="D6335" s="568"/>
      <c r="E6335" s="188"/>
      <c r="F6335" s="188"/>
      <c r="G6335" s="2122"/>
      <c r="H6335" s="568"/>
      <c r="I6335" s="2118"/>
      <c r="J6335" s="2123" t="s">
        <v>718</v>
      </c>
      <c r="K6335" s="2123">
        <f>SUM(K6332:K6334)</f>
        <v>172.5</v>
      </c>
      <c r="L6335" s="192"/>
      <c r="M6335" s="568"/>
    </row>
    <row r="6336" spans="1:13" ht="12.75" hidden="1">
      <c r="A6336" s="2114"/>
      <c r="B6336" s="568" t="s">
        <v>1024</v>
      </c>
      <c r="C6336" s="568"/>
      <c r="D6336" s="568"/>
      <c r="E6336" s="188"/>
      <c r="F6336" s="188"/>
      <c r="G6336" s="2122"/>
      <c r="H6336" s="568"/>
      <c r="I6336" s="2118"/>
      <c r="J6336" s="2123"/>
      <c r="K6336" s="2123">
        <f>K6335/9.3</f>
        <v>18.548387096774192</v>
      </c>
      <c r="L6336" s="192"/>
      <c r="M6336" s="568"/>
    </row>
    <row r="6337" spans="1:15" ht="12.75" hidden="1">
      <c r="A6337" s="2114"/>
      <c r="B6337" s="568" t="s">
        <v>1263</v>
      </c>
      <c r="C6337" s="568"/>
      <c r="D6337" s="568"/>
      <c r="E6337" s="188"/>
      <c r="F6337" s="188"/>
      <c r="G6337" s="2122">
        <v>0.28000000000000003</v>
      </c>
      <c r="H6337" s="568" t="s">
        <v>116</v>
      </c>
      <c r="I6337" s="2118" t="s">
        <v>116</v>
      </c>
      <c r="J6337" s="2123">
        <f>L90</f>
        <v>49.636220000000002</v>
      </c>
      <c r="K6337" s="2123">
        <f>ROUND(G6337*J6337,2)</f>
        <v>13.9</v>
      </c>
      <c r="L6337" s="192"/>
      <c r="M6337" s="568"/>
    </row>
    <row r="6338" spans="1:15" ht="12.75" hidden="1">
      <c r="A6338" s="2114"/>
      <c r="B6338" s="568" t="s">
        <v>1261</v>
      </c>
      <c r="C6338" s="568"/>
      <c r="D6338" s="568"/>
      <c r="E6338" s="188"/>
      <c r="F6338" s="188"/>
      <c r="G6338" s="2122"/>
      <c r="H6338" s="568"/>
      <c r="I6338" s="2118"/>
      <c r="J6338" s="2126" t="s">
        <v>718</v>
      </c>
      <c r="K6338" s="2124">
        <f>SUM(K6336:K6337)</f>
        <v>32.448387096774191</v>
      </c>
      <c r="L6338" s="192" t="s">
        <v>730</v>
      </c>
      <c r="M6338" s="568"/>
    </row>
    <row r="6339" spans="1:15" ht="12.75" hidden="1">
      <c r="A6339" s="2114"/>
      <c r="B6339" s="192" t="s">
        <v>3662</v>
      </c>
      <c r="C6339" s="568"/>
      <c r="D6339" s="568"/>
      <c r="E6339" s="188"/>
      <c r="F6339" s="188"/>
      <c r="G6339" s="2122"/>
      <c r="H6339" s="2135">
        <f>H6324</f>
        <v>7.4999999999999997E-2</v>
      </c>
      <c r="I6339" s="2134">
        <f>K6338</f>
        <v>32.448387096774191</v>
      </c>
      <c r="J6339" s="2134"/>
      <c r="K6339" s="2123">
        <f>ROUND(I6339*H6339,2)</f>
        <v>2.4300000000000002</v>
      </c>
      <c r="L6339" s="192"/>
      <c r="M6339" s="568"/>
    </row>
    <row r="6340" spans="1:15" ht="12.75" hidden="1">
      <c r="A6340" s="2114"/>
      <c r="B6340" s="192" t="s">
        <v>3661</v>
      </c>
      <c r="C6340" s="568"/>
      <c r="D6340" s="568"/>
      <c r="E6340" s="188"/>
      <c r="F6340" s="188"/>
      <c r="G6340" s="2122"/>
      <c r="H6340" s="2135">
        <f>H6339</f>
        <v>7.4999999999999997E-2</v>
      </c>
      <c r="I6340" s="2134">
        <f>I6339</f>
        <v>32.448387096774191</v>
      </c>
      <c r="J6340" s="2134"/>
      <c r="K6340" s="2140">
        <f>ROUND(I6340*H6340,2)</f>
        <v>2.4300000000000002</v>
      </c>
      <c r="L6340" s="192"/>
      <c r="M6340" s="568"/>
    </row>
    <row r="6341" spans="1:15" ht="12.75" hidden="1">
      <c r="A6341" s="2114"/>
      <c r="B6341" s="568"/>
      <c r="C6341" s="568"/>
      <c r="D6341" s="568"/>
      <c r="E6341" s="188"/>
      <c r="F6341" s="188"/>
      <c r="G6341" s="2122"/>
      <c r="H6341" s="568"/>
      <c r="I6341" s="2118"/>
      <c r="J6341" s="2123"/>
      <c r="K6341" s="2123">
        <f>SUM(K6338:K6340)</f>
        <v>37.30838709677419</v>
      </c>
      <c r="L6341" s="192"/>
      <c r="M6341" s="568"/>
    </row>
    <row r="6342" spans="1:15" ht="12.75" hidden="1">
      <c r="A6342" s="2114"/>
      <c r="B6342" s="192" t="s">
        <v>3738</v>
      </c>
      <c r="C6342" s="2142">
        <v>0.01</v>
      </c>
      <c r="D6342" s="568"/>
      <c r="E6342" s="188"/>
      <c r="F6342" s="188"/>
      <c r="G6342" s="2122"/>
      <c r="H6342" s="568"/>
      <c r="I6342" s="2118"/>
      <c r="J6342" s="2123"/>
      <c r="K6342" s="2140">
        <f>ROUND(K6341*C6342,2)</f>
        <v>0.37</v>
      </c>
      <c r="L6342" s="192"/>
      <c r="M6342" s="568"/>
    </row>
    <row r="6343" spans="1:15" ht="12.75" hidden="1">
      <c r="A6343" s="2114"/>
      <c r="B6343" s="568" t="s">
        <v>1201</v>
      </c>
      <c r="C6343" s="568"/>
      <c r="D6343" s="568"/>
      <c r="E6343" s="188"/>
      <c r="F6343" s="188"/>
      <c r="G6343" s="2122"/>
      <c r="H6343" s="568"/>
      <c r="I6343" s="2118"/>
      <c r="J6343" s="2126" t="s">
        <v>718</v>
      </c>
      <c r="K6343" s="2124">
        <f>SUM(K6341:K6342)</f>
        <v>37.678387096774188</v>
      </c>
      <c r="L6343" s="192" t="s">
        <v>730</v>
      </c>
      <c r="M6343" s="568"/>
    </row>
    <row r="6344" spans="1:15" ht="12.75" hidden="1">
      <c r="A6344" s="2114" t="str">
        <f>A1006</f>
        <v>(ii)</v>
      </c>
      <c r="B6344" s="192" t="str">
        <f>B1006</f>
        <v>First Floor</v>
      </c>
      <c r="C6344" s="568"/>
      <c r="D6344" s="568"/>
      <c r="E6344" s="2120" t="str">
        <f>E6329</f>
        <v>Each No</v>
      </c>
      <c r="F6344" s="2120"/>
      <c r="G6344" s="2122"/>
      <c r="H6344" s="568"/>
      <c r="I6344" s="2118"/>
      <c r="J6344" s="2123"/>
      <c r="K6344" s="2123"/>
      <c r="L6344" s="192"/>
      <c r="M6344" s="568"/>
    </row>
    <row r="6345" spans="1:15" ht="12.75" hidden="1">
      <c r="A6345" s="2114"/>
      <c r="B6345" s="568" t="s">
        <v>722</v>
      </c>
      <c r="C6345" s="568"/>
      <c r="D6345" s="568"/>
      <c r="E6345" s="188"/>
      <c r="F6345" s="188"/>
      <c r="G6345" s="2122"/>
      <c r="H6345" s="568"/>
      <c r="I6345" s="2118"/>
      <c r="J6345" s="2123"/>
      <c r="K6345" s="2123">
        <f>K6338</f>
        <v>32.448387096774191</v>
      </c>
      <c r="L6345" s="192"/>
      <c r="M6345" s="568"/>
    </row>
    <row r="6346" spans="1:15" ht="12.75" hidden="1">
      <c r="A6346" s="2114"/>
      <c r="B6346" s="568" t="s">
        <v>948</v>
      </c>
      <c r="C6346" s="568"/>
      <c r="D6346" s="568"/>
      <c r="E6346" s="188"/>
      <c r="F6346" s="188"/>
      <c r="G6346" s="2122"/>
      <c r="H6346" s="2125">
        <v>0.03</v>
      </c>
      <c r="I6346" s="2134">
        <f>K6332/9.3</f>
        <v>18.548387096774192</v>
      </c>
      <c r="J6346" s="2124"/>
      <c r="K6346" s="2123">
        <f>ROUND(I6346*H6346,2)</f>
        <v>0.56000000000000005</v>
      </c>
      <c r="L6346" s="192"/>
      <c r="M6346" s="568"/>
      <c r="O6346" s="1705">
        <v>0.56000000000000005</v>
      </c>
    </row>
    <row r="6347" spans="1:15" ht="12.75" hidden="1">
      <c r="A6347" s="2114"/>
      <c r="B6347" s="192" t="s">
        <v>3662</v>
      </c>
      <c r="C6347" s="568"/>
      <c r="D6347" s="568"/>
      <c r="E6347" s="188"/>
      <c r="F6347" s="188"/>
      <c r="G6347" s="2122"/>
      <c r="H6347" s="2135">
        <f>H6340</f>
        <v>7.4999999999999997E-2</v>
      </c>
      <c r="I6347" s="2134">
        <f>K6346</f>
        <v>0.56000000000000005</v>
      </c>
      <c r="J6347" s="2134"/>
      <c r="K6347" s="2123">
        <f>ROUND(I6347*H6347,2)</f>
        <v>0.04</v>
      </c>
      <c r="L6347" s="192"/>
      <c r="M6347" s="568"/>
    </row>
    <row r="6348" spans="1:15" ht="12.75" hidden="1">
      <c r="A6348" s="2114"/>
      <c r="B6348" s="192" t="s">
        <v>3661</v>
      </c>
      <c r="C6348" s="568"/>
      <c r="D6348" s="568"/>
      <c r="E6348" s="188"/>
      <c r="F6348" s="188"/>
      <c r="G6348" s="2122"/>
      <c r="H6348" s="2135">
        <f>H6347</f>
        <v>7.4999999999999997E-2</v>
      </c>
      <c r="I6348" s="2134">
        <f>I6347</f>
        <v>0.56000000000000005</v>
      </c>
      <c r="J6348" s="2134"/>
      <c r="K6348" s="2140">
        <f>ROUND(I6348*H6348,2)</f>
        <v>0.04</v>
      </c>
      <c r="L6348" s="192"/>
      <c r="M6348" s="568"/>
    </row>
    <row r="6349" spans="1:15" ht="12.75" hidden="1">
      <c r="A6349" s="2114"/>
      <c r="B6349" s="568"/>
      <c r="C6349" s="568"/>
      <c r="D6349" s="568"/>
      <c r="E6349" s="188"/>
      <c r="F6349" s="188"/>
      <c r="G6349" s="2122"/>
      <c r="H6349" s="568"/>
      <c r="I6349" s="2118"/>
      <c r="J6349" s="2123"/>
      <c r="K6349" s="2123">
        <f>SUM(K6345:K6348)</f>
        <v>33.088387096774191</v>
      </c>
      <c r="L6349" s="192"/>
      <c r="M6349" s="568"/>
    </row>
    <row r="6350" spans="1:15" ht="12.75" hidden="1">
      <c r="A6350" s="2114"/>
      <c r="B6350" s="192" t="s">
        <v>3738</v>
      </c>
      <c r="C6350" s="2142">
        <v>0.01</v>
      </c>
      <c r="D6350" s="568"/>
      <c r="E6350" s="188"/>
      <c r="F6350" s="188"/>
      <c r="G6350" s="2122"/>
      <c r="H6350" s="568"/>
      <c r="I6350" s="2118"/>
      <c r="J6350" s="2123"/>
      <c r="K6350" s="2140">
        <f>ROUND(K6349*C6350,2)</f>
        <v>0.33</v>
      </c>
      <c r="L6350" s="192"/>
      <c r="M6350" s="568"/>
    </row>
    <row r="6351" spans="1:15" ht="12.75" hidden="1">
      <c r="A6351" s="2114"/>
      <c r="B6351" s="568" t="s">
        <v>1201</v>
      </c>
      <c r="C6351" s="568"/>
      <c r="D6351" s="568"/>
      <c r="E6351" s="188"/>
      <c r="F6351" s="188"/>
      <c r="G6351" s="2122"/>
      <c r="H6351" s="568"/>
      <c r="I6351" s="2118"/>
      <c r="J6351" s="2126" t="s">
        <v>718</v>
      </c>
      <c r="K6351" s="2124">
        <f>SUM(K6349:K6350)</f>
        <v>33.41838709677419</v>
      </c>
      <c r="L6351" s="192" t="s">
        <v>730</v>
      </c>
      <c r="M6351" s="568"/>
    </row>
    <row r="6352" spans="1:15" ht="12.75" hidden="1">
      <c r="A6352" s="2114"/>
      <c r="B6352" s="568"/>
      <c r="C6352" s="568"/>
      <c r="D6352" s="568"/>
      <c r="E6352" s="188"/>
      <c r="F6352" s="188"/>
      <c r="G6352" s="2122"/>
      <c r="H6352" s="568"/>
      <c r="I6352" s="2118"/>
      <c r="J6352" s="2126" t="s">
        <v>1264</v>
      </c>
      <c r="K6352" s="2124">
        <f>ROUND(K6351,1)</f>
        <v>33.4</v>
      </c>
      <c r="L6352" s="192" t="s">
        <v>730</v>
      </c>
      <c r="M6352" s="568"/>
    </row>
    <row r="6353" spans="1:15" ht="12.75" hidden="1">
      <c r="A6353" s="2114" t="str">
        <f>A1007</f>
        <v>(iii)</v>
      </c>
      <c r="B6353" s="192" t="str">
        <f>B1007</f>
        <v>2nd Floor</v>
      </c>
      <c r="C6353" s="568"/>
      <c r="D6353" s="568"/>
      <c r="E6353" s="2120" t="str">
        <f>E6344</f>
        <v>Each No</v>
      </c>
      <c r="F6353" s="2120"/>
      <c r="G6353" s="2122"/>
      <c r="H6353" s="568"/>
      <c r="I6353" s="2118"/>
      <c r="J6353" s="2123"/>
      <c r="K6353" s="2123"/>
      <c r="L6353" s="192"/>
      <c r="M6353" s="568"/>
    </row>
    <row r="6354" spans="1:15" ht="12.75" hidden="1">
      <c r="A6354" s="2114"/>
      <c r="B6354" s="568" t="s">
        <v>722</v>
      </c>
      <c r="C6354" s="568"/>
      <c r="D6354" s="568"/>
      <c r="E6354" s="188"/>
      <c r="F6354" s="188"/>
      <c r="G6354" s="2122"/>
      <c r="H6354" s="568"/>
      <c r="I6354" s="2118"/>
      <c r="J6354" s="2123"/>
      <c r="K6354" s="2123">
        <f>K6349</f>
        <v>33.088387096774191</v>
      </c>
      <c r="L6354" s="192"/>
      <c r="M6354" s="568"/>
    </row>
    <row r="6355" spans="1:15" ht="12.75" hidden="1">
      <c r="A6355" s="2114"/>
      <c r="B6355" s="568" t="s">
        <v>948</v>
      </c>
      <c r="C6355" s="568"/>
      <c r="D6355" s="568"/>
      <c r="E6355" s="188"/>
      <c r="F6355" s="188"/>
      <c r="G6355" s="2122"/>
      <c r="H6355" s="2125">
        <f>H6346</f>
        <v>0.03</v>
      </c>
      <c r="I6355" s="2134">
        <f>I6346+K6346</f>
        <v>19.108387096774191</v>
      </c>
      <c r="J6355" s="2124"/>
      <c r="K6355" s="2123">
        <f>ROUND(I6355*H6355,2)</f>
        <v>0.56999999999999995</v>
      </c>
      <c r="L6355" s="192"/>
      <c r="M6355" s="568"/>
      <c r="O6355" s="1705">
        <v>0.57999999999999996</v>
      </c>
    </row>
    <row r="6356" spans="1:15" ht="12.75" hidden="1">
      <c r="A6356" s="2114"/>
      <c r="B6356" s="192" t="s">
        <v>3662</v>
      </c>
      <c r="C6356" s="568"/>
      <c r="D6356" s="568"/>
      <c r="E6356" s="188"/>
      <c r="F6356" s="188"/>
      <c r="G6356" s="2122"/>
      <c r="H6356" s="2135">
        <f>H6348</f>
        <v>7.4999999999999997E-2</v>
      </c>
      <c r="I6356" s="2134">
        <f>K6355</f>
        <v>0.56999999999999995</v>
      </c>
      <c r="J6356" s="2134"/>
      <c r="K6356" s="2123">
        <f>ROUND(I6356*H6356,2)</f>
        <v>0.04</v>
      </c>
      <c r="L6356" s="192"/>
      <c r="M6356" s="568"/>
    </row>
    <row r="6357" spans="1:15" ht="12.75" hidden="1">
      <c r="A6357" s="2114"/>
      <c r="B6357" s="192" t="s">
        <v>3661</v>
      </c>
      <c r="C6357" s="568"/>
      <c r="D6357" s="568"/>
      <c r="E6357" s="188"/>
      <c r="F6357" s="188"/>
      <c r="G6357" s="2122"/>
      <c r="H6357" s="2135">
        <f>H6356</f>
        <v>7.4999999999999997E-2</v>
      </c>
      <c r="I6357" s="2134">
        <f>I6356</f>
        <v>0.56999999999999995</v>
      </c>
      <c r="J6357" s="2134"/>
      <c r="K6357" s="2140">
        <f>ROUND(I6357*H6357,2)</f>
        <v>0.04</v>
      </c>
      <c r="L6357" s="192"/>
      <c r="M6357" s="568"/>
    </row>
    <row r="6358" spans="1:15" ht="12.75" hidden="1">
      <c r="A6358" s="2114"/>
      <c r="B6358" s="568"/>
      <c r="C6358" s="568"/>
      <c r="D6358" s="568"/>
      <c r="E6358" s="188"/>
      <c r="F6358" s="188"/>
      <c r="G6358" s="2122"/>
      <c r="H6358" s="568"/>
      <c r="I6358" s="2118"/>
      <c r="J6358" s="2123"/>
      <c r="K6358" s="2123">
        <f>SUM(K6354:K6357)</f>
        <v>33.73838709677419</v>
      </c>
      <c r="L6358" s="192"/>
      <c r="M6358" s="568"/>
    </row>
    <row r="6359" spans="1:15" ht="12.75" hidden="1">
      <c r="A6359" s="2114"/>
      <c r="B6359" s="192" t="s">
        <v>3738</v>
      </c>
      <c r="C6359" s="2142">
        <v>0.01</v>
      </c>
      <c r="D6359" s="568"/>
      <c r="E6359" s="188"/>
      <c r="F6359" s="188"/>
      <c r="G6359" s="2122"/>
      <c r="H6359" s="568"/>
      <c r="I6359" s="2118"/>
      <c r="J6359" s="2123"/>
      <c r="K6359" s="2140">
        <f>ROUND(K6358*C6359,2)</f>
        <v>0.34</v>
      </c>
      <c r="L6359" s="192"/>
      <c r="M6359" s="568"/>
    </row>
    <row r="6360" spans="1:15" ht="12.75" hidden="1">
      <c r="A6360" s="2114"/>
      <c r="B6360" s="568" t="s">
        <v>1201</v>
      </c>
      <c r="C6360" s="568"/>
      <c r="D6360" s="568"/>
      <c r="E6360" s="188"/>
      <c r="F6360" s="188"/>
      <c r="G6360" s="2122"/>
      <c r="H6360" s="568"/>
      <c r="I6360" s="2118"/>
      <c r="J6360" s="2126" t="s">
        <v>718</v>
      </c>
      <c r="K6360" s="2124">
        <f>SUM(K6358:K6359)</f>
        <v>34.078387096774193</v>
      </c>
      <c r="L6360" s="192" t="s">
        <v>730</v>
      </c>
      <c r="M6360" s="568"/>
    </row>
    <row r="6361" spans="1:15" ht="12.75" hidden="1">
      <c r="A6361" s="2114"/>
      <c r="B6361" s="568"/>
      <c r="C6361" s="568"/>
      <c r="D6361" s="568"/>
      <c r="E6361" s="188"/>
      <c r="F6361" s="188"/>
      <c r="G6361" s="2122"/>
      <c r="H6361" s="568"/>
      <c r="I6361" s="2118"/>
      <c r="J6361" s="2126" t="s">
        <v>1264</v>
      </c>
      <c r="K6361" s="2124">
        <f>ROUND(K6360,1)</f>
        <v>34.1</v>
      </c>
      <c r="L6361" s="192" t="s">
        <v>730</v>
      </c>
      <c r="M6361" s="568"/>
    </row>
    <row r="6362" spans="1:15" ht="12.75" hidden="1">
      <c r="A6362" s="2114" t="str">
        <f>A1008</f>
        <v>(iv)</v>
      </c>
      <c r="B6362" s="192" t="str">
        <f>B1008</f>
        <v>3rd Floor</v>
      </c>
      <c r="C6362" s="568"/>
      <c r="D6362" s="568"/>
      <c r="E6362" s="2120" t="str">
        <f>E6353</f>
        <v>Each No</v>
      </c>
      <c r="F6362" s="2120"/>
      <c r="G6362" s="2122"/>
      <c r="H6362" s="568"/>
      <c r="I6362" s="2118"/>
      <c r="J6362" s="2123"/>
      <c r="K6362" s="2123"/>
      <c r="L6362" s="192"/>
      <c r="M6362" s="568"/>
    </row>
    <row r="6363" spans="1:15" ht="12.75" hidden="1">
      <c r="A6363" s="2114"/>
      <c r="B6363" s="568" t="s">
        <v>722</v>
      </c>
      <c r="C6363" s="568"/>
      <c r="D6363" s="568"/>
      <c r="E6363" s="188"/>
      <c r="F6363" s="188"/>
      <c r="G6363" s="2122"/>
      <c r="H6363" s="568"/>
      <c r="I6363" s="2118"/>
      <c r="J6363" s="2123"/>
      <c r="K6363" s="2123">
        <f>K6360</f>
        <v>34.078387096774193</v>
      </c>
      <c r="L6363" s="192"/>
      <c r="M6363" s="568"/>
    </row>
    <row r="6364" spans="1:15" ht="12.75" hidden="1">
      <c r="A6364" s="2114"/>
      <c r="B6364" s="568" t="s">
        <v>948</v>
      </c>
      <c r="C6364" s="568"/>
      <c r="D6364" s="568"/>
      <c r="E6364" s="188"/>
      <c r="F6364" s="188"/>
      <c r="G6364" s="2122"/>
      <c r="H6364" s="2125">
        <f>H6355</f>
        <v>0.03</v>
      </c>
      <c r="I6364" s="2134">
        <f>I6355+K6355</f>
        <v>19.678387096774191</v>
      </c>
      <c r="J6364" s="2124"/>
      <c r="K6364" s="2123">
        <f>ROUND(I6364*H6364,2)</f>
        <v>0.59</v>
      </c>
      <c r="L6364" s="192"/>
      <c r="M6364" s="568"/>
      <c r="O6364" s="1705">
        <v>0.6</v>
      </c>
    </row>
    <row r="6365" spans="1:15" ht="12.75" hidden="1">
      <c r="A6365" s="2114"/>
      <c r="B6365" s="192" t="s">
        <v>3662</v>
      </c>
      <c r="C6365" s="568"/>
      <c r="D6365" s="568"/>
      <c r="E6365" s="188"/>
      <c r="F6365" s="188"/>
      <c r="G6365" s="2122"/>
      <c r="H6365" s="2135">
        <f>H6357</f>
        <v>7.4999999999999997E-2</v>
      </c>
      <c r="I6365" s="2134">
        <f>K6364</f>
        <v>0.59</v>
      </c>
      <c r="J6365" s="2134"/>
      <c r="K6365" s="2123">
        <f>ROUND(I6365*H6365,2)</f>
        <v>0.04</v>
      </c>
      <c r="L6365" s="192"/>
      <c r="M6365" s="568"/>
    </row>
    <row r="6366" spans="1:15" ht="12.75" hidden="1">
      <c r="A6366" s="2114"/>
      <c r="B6366" s="192" t="s">
        <v>3661</v>
      </c>
      <c r="C6366" s="568"/>
      <c r="D6366" s="568"/>
      <c r="E6366" s="188"/>
      <c r="F6366" s="188"/>
      <c r="G6366" s="2122"/>
      <c r="H6366" s="2135">
        <f>H6365</f>
        <v>7.4999999999999997E-2</v>
      </c>
      <c r="I6366" s="2134">
        <f>I6365</f>
        <v>0.59</v>
      </c>
      <c r="J6366" s="2134"/>
      <c r="K6366" s="2140">
        <f>ROUND(I6366*H6366,2)</f>
        <v>0.04</v>
      </c>
      <c r="L6366" s="192"/>
      <c r="M6366" s="568"/>
    </row>
    <row r="6367" spans="1:15" ht="12.75" hidden="1">
      <c r="A6367" s="2114"/>
      <c r="B6367" s="568"/>
      <c r="C6367" s="568"/>
      <c r="D6367" s="568"/>
      <c r="E6367" s="188"/>
      <c r="F6367" s="188"/>
      <c r="G6367" s="2122"/>
      <c r="H6367" s="568"/>
      <c r="I6367" s="2118"/>
      <c r="J6367" s="2123"/>
      <c r="K6367" s="2123">
        <f>SUM(K6363:K6366)</f>
        <v>34.748387096774195</v>
      </c>
      <c r="L6367" s="192"/>
      <c r="M6367" s="568"/>
    </row>
    <row r="6368" spans="1:15" ht="12.75" hidden="1">
      <c r="A6368" s="2114"/>
      <c r="B6368" s="192" t="s">
        <v>3738</v>
      </c>
      <c r="C6368" s="2142">
        <v>0.01</v>
      </c>
      <c r="D6368" s="568"/>
      <c r="E6368" s="188"/>
      <c r="F6368" s="188"/>
      <c r="G6368" s="2122"/>
      <c r="H6368" s="568"/>
      <c r="I6368" s="2118"/>
      <c r="J6368" s="2123"/>
      <c r="K6368" s="2140">
        <f>ROUND(K6367*C6368,2)</f>
        <v>0.35</v>
      </c>
      <c r="L6368" s="192"/>
      <c r="M6368" s="568"/>
    </row>
    <row r="6369" spans="1:13" ht="12.75" hidden="1">
      <c r="A6369" s="2114"/>
      <c r="B6369" s="568" t="s">
        <v>1201</v>
      </c>
      <c r="C6369" s="568"/>
      <c r="D6369" s="568"/>
      <c r="E6369" s="188"/>
      <c r="F6369" s="188"/>
      <c r="G6369" s="2122"/>
      <c r="H6369" s="568"/>
      <c r="I6369" s="2118"/>
      <c r="J6369" s="2126" t="s">
        <v>718</v>
      </c>
      <c r="K6369" s="2124">
        <f>SUM(K6367:K6368)</f>
        <v>35.098387096774196</v>
      </c>
      <c r="L6369" s="192" t="s">
        <v>730</v>
      </c>
      <c r="M6369" s="568"/>
    </row>
    <row r="6370" spans="1:13" ht="12.75" hidden="1">
      <c r="A6370" s="2114"/>
      <c r="B6370" s="568"/>
      <c r="C6370" s="568"/>
      <c r="D6370" s="568"/>
      <c r="E6370" s="188"/>
      <c r="F6370" s="188"/>
      <c r="G6370" s="2122"/>
      <c r="H6370" s="568"/>
      <c r="I6370" s="2118"/>
      <c r="J6370" s="2126" t="s">
        <v>1264</v>
      </c>
      <c r="K6370" s="2124">
        <f>ROUND(K6369,1)</f>
        <v>35.1</v>
      </c>
      <c r="L6370" s="192" t="s">
        <v>730</v>
      </c>
      <c r="M6370" s="568"/>
    </row>
    <row r="6371" spans="1:13" ht="28.5" hidden="1" customHeight="1">
      <c r="A6371" s="2114">
        <f>A1009</f>
        <v>133</v>
      </c>
      <c r="B6371" s="3017" t="str">
        <f>B1009</f>
        <v>Priming One coat on iron work with red oxide primer etc complete.</v>
      </c>
      <c r="C6371" s="3017"/>
      <c r="D6371" s="3017"/>
      <c r="E6371" s="2116" t="str">
        <f>G1009</f>
        <v>Each Sqm</v>
      </c>
      <c r="F6371" s="2116"/>
      <c r="G6371" s="2122"/>
      <c r="H6371" s="568"/>
      <c r="I6371" s="2118"/>
      <c r="J6371" s="2124"/>
      <c r="K6371" s="2124"/>
      <c r="L6371" s="192"/>
      <c r="M6371" s="568"/>
    </row>
    <row r="6372" spans="1:13" ht="12.75" hidden="1">
      <c r="A6372" s="2114" t="str">
        <f>A1010</f>
        <v>(i)</v>
      </c>
      <c r="B6372" s="192" t="str">
        <f>B1010</f>
        <v>Ground Floor</v>
      </c>
      <c r="C6372" s="568"/>
      <c r="D6372" s="568"/>
      <c r="E6372" s="2120" t="str">
        <f>G908</f>
        <v>Each Sqm</v>
      </c>
      <c r="F6372" s="2120"/>
      <c r="G6372" s="2122"/>
      <c r="H6372" s="568"/>
      <c r="I6372" s="2118"/>
      <c r="J6372" s="2123"/>
      <c r="K6372" s="2123"/>
      <c r="L6372" s="192"/>
      <c r="M6372" s="568"/>
    </row>
    <row r="6373" spans="1:13" ht="12.75" hidden="1">
      <c r="A6373" s="2114"/>
      <c r="B6373" s="568" t="s">
        <v>1257</v>
      </c>
      <c r="C6373" s="568"/>
      <c r="D6373" s="568"/>
      <c r="E6373" s="188"/>
      <c r="F6373" s="188"/>
      <c r="G6373" s="2122"/>
      <c r="H6373" s="568"/>
      <c r="I6373" s="2118"/>
      <c r="J6373" s="2123"/>
      <c r="K6373" s="2123"/>
      <c r="L6373" s="192"/>
      <c r="M6373" s="568"/>
    </row>
    <row r="6374" spans="1:13" ht="12.75" hidden="1">
      <c r="A6374" s="2114"/>
      <c r="B6374" s="568" t="s">
        <v>1258</v>
      </c>
      <c r="C6374" s="568"/>
      <c r="D6374" s="568"/>
      <c r="E6374" s="188"/>
      <c r="F6374" s="188"/>
      <c r="G6374" s="2122">
        <v>0.5</v>
      </c>
      <c r="H6374" s="568" t="s">
        <v>262</v>
      </c>
      <c r="I6374" s="2118" t="s">
        <v>38</v>
      </c>
      <c r="J6374" s="2123">
        <f>L137</f>
        <v>495</v>
      </c>
      <c r="K6374" s="2123">
        <f>ROUND(G6374*J6374,2)</f>
        <v>247.5</v>
      </c>
      <c r="L6374" s="192"/>
      <c r="M6374" s="568"/>
    </row>
    <row r="6375" spans="1:13" ht="12.75" hidden="1">
      <c r="A6375" s="2114"/>
      <c r="B6375" s="568" t="s">
        <v>717</v>
      </c>
      <c r="C6375" s="568"/>
      <c r="D6375" s="568"/>
      <c r="E6375" s="188"/>
      <c r="F6375" s="188"/>
      <c r="G6375" s="2122">
        <v>0.5</v>
      </c>
      <c r="H6375" s="568" t="s">
        <v>262</v>
      </c>
      <c r="I6375" s="2118" t="s">
        <v>38</v>
      </c>
      <c r="J6375" s="2123">
        <f>L134</f>
        <v>345</v>
      </c>
      <c r="K6375" s="2123">
        <f>ROUND(G6375*J6375,2)</f>
        <v>172.5</v>
      </c>
      <c r="L6375" s="192"/>
      <c r="M6375" s="568"/>
    </row>
    <row r="6376" spans="1:13" ht="12.75" hidden="1">
      <c r="A6376" s="2114"/>
      <c r="B6376" s="568"/>
      <c r="C6376" s="568"/>
      <c r="D6376" s="568"/>
      <c r="E6376" s="188"/>
      <c r="F6376" s="188"/>
      <c r="G6376" s="2122"/>
      <c r="H6376" s="568"/>
      <c r="I6376" s="2118"/>
      <c r="J6376" s="2123" t="s">
        <v>718</v>
      </c>
      <c r="K6376" s="2123">
        <f>SUM(K6374:K6375)</f>
        <v>420</v>
      </c>
      <c r="L6376" s="192"/>
      <c r="M6376" s="568"/>
    </row>
    <row r="6377" spans="1:13" ht="12.75" hidden="1">
      <c r="A6377" s="2114"/>
      <c r="B6377" s="568"/>
      <c r="C6377" s="568"/>
      <c r="D6377" s="568"/>
      <c r="E6377" s="188"/>
      <c r="F6377" s="188"/>
      <c r="G6377" s="2122"/>
      <c r="H6377" s="568"/>
      <c r="I6377" s="2118"/>
      <c r="J6377" s="2123"/>
      <c r="K6377" s="2123"/>
      <c r="L6377" s="192"/>
      <c r="M6377" s="568"/>
    </row>
    <row r="6378" spans="1:13" ht="12.75" hidden="1">
      <c r="A6378" s="2114"/>
      <c r="B6378" s="568" t="s">
        <v>1259</v>
      </c>
      <c r="C6378" s="568"/>
      <c r="D6378" s="568"/>
      <c r="E6378" s="188"/>
      <c r="F6378" s="188"/>
      <c r="G6378" s="2122"/>
      <c r="H6378" s="568"/>
      <c r="I6378" s="2118"/>
      <c r="J6378" s="2123"/>
      <c r="K6378" s="2123">
        <f>ROUND(K6376*2%,2)</f>
        <v>8.4</v>
      </c>
      <c r="L6378" s="192"/>
      <c r="M6378" s="568"/>
    </row>
    <row r="6379" spans="1:13" ht="12.75" hidden="1">
      <c r="A6379" s="2114"/>
      <c r="B6379" s="568"/>
      <c r="C6379" s="568"/>
      <c r="D6379" s="568"/>
      <c r="E6379" s="188"/>
      <c r="F6379" s="188"/>
      <c r="G6379" s="2122"/>
      <c r="H6379" s="568"/>
      <c r="I6379" s="2118"/>
      <c r="J6379" s="2123" t="s">
        <v>718</v>
      </c>
      <c r="K6379" s="2123">
        <f>SUM(K6376:K6378)</f>
        <v>428.4</v>
      </c>
      <c r="L6379" s="192"/>
      <c r="M6379" s="568"/>
    </row>
    <row r="6380" spans="1:13" ht="12.75" hidden="1">
      <c r="A6380" s="2114"/>
      <c r="B6380" s="568" t="s">
        <v>1024</v>
      </c>
      <c r="C6380" s="568"/>
      <c r="D6380" s="568"/>
      <c r="E6380" s="188"/>
      <c r="F6380" s="188"/>
      <c r="G6380" s="2122"/>
      <c r="H6380" s="568"/>
      <c r="I6380" s="2118"/>
      <c r="J6380" s="2123"/>
      <c r="K6380" s="2123">
        <f>ROUND(K6379/9.3,2)</f>
        <v>46.06</v>
      </c>
      <c r="L6380" s="192"/>
      <c r="M6380" s="568"/>
    </row>
    <row r="6381" spans="1:13" ht="12.75" hidden="1">
      <c r="A6381" s="2114"/>
      <c r="B6381" s="568" t="s">
        <v>1262</v>
      </c>
      <c r="C6381" s="568"/>
      <c r="D6381" s="568"/>
      <c r="E6381" s="188"/>
      <c r="F6381" s="188"/>
      <c r="G6381" s="2122">
        <v>7.4999999999999997E-2</v>
      </c>
      <c r="H6381" s="568" t="s">
        <v>95</v>
      </c>
      <c r="I6381" s="2118" t="s">
        <v>95</v>
      </c>
      <c r="J6381" s="2123">
        <f>L93</f>
        <v>143.12621999999999</v>
      </c>
      <c r="K6381" s="2123">
        <f>ROUND(G6381*J6381,2)</f>
        <v>10.73</v>
      </c>
      <c r="L6381" s="192"/>
      <c r="M6381" s="568"/>
    </row>
    <row r="6382" spans="1:13" ht="12.75" hidden="1">
      <c r="A6382" s="2114"/>
      <c r="B6382" s="568" t="s">
        <v>1261</v>
      </c>
      <c r="C6382" s="568"/>
      <c r="D6382" s="568"/>
      <c r="E6382" s="188"/>
      <c r="F6382" s="188"/>
      <c r="G6382" s="2122"/>
      <c r="H6382" s="568"/>
      <c r="I6382" s="2118"/>
      <c r="J6382" s="2126" t="s">
        <v>718</v>
      </c>
      <c r="K6382" s="2124">
        <f>SUM(K6380:K6381)</f>
        <v>56.790000000000006</v>
      </c>
      <c r="L6382" s="192" t="s">
        <v>730</v>
      </c>
      <c r="M6382" s="568"/>
    </row>
    <row r="6383" spans="1:13" ht="12.75" hidden="1">
      <c r="A6383" s="2114"/>
      <c r="B6383" s="192" t="s">
        <v>3662</v>
      </c>
      <c r="C6383" s="568"/>
      <c r="D6383" s="568"/>
      <c r="E6383" s="188"/>
      <c r="F6383" s="188"/>
      <c r="G6383" s="2122"/>
      <c r="H6383" s="2135">
        <f>H6366</f>
        <v>7.4999999999999997E-2</v>
      </c>
      <c r="I6383" s="2134">
        <f>K6382</f>
        <v>56.790000000000006</v>
      </c>
      <c r="J6383" s="2134"/>
      <c r="K6383" s="2123">
        <f>ROUND(I6383*H6383,2)</f>
        <v>4.26</v>
      </c>
      <c r="L6383" s="192"/>
      <c r="M6383" s="568"/>
    </row>
    <row r="6384" spans="1:13" ht="12.75" hidden="1">
      <c r="A6384" s="2114"/>
      <c r="B6384" s="192" t="s">
        <v>3661</v>
      </c>
      <c r="C6384" s="568"/>
      <c r="D6384" s="568"/>
      <c r="E6384" s="188"/>
      <c r="F6384" s="188"/>
      <c r="G6384" s="2122"/>
      <c r="H6384" s="2135">
        <f>H6383</f>
        <v>7.4999999999999997E-2</v>
      </c>
      <c r="I6384" s="2134">
        <f>I6383</f>
        <v>56.790000000000006</v>
      </c>
      <c r="J6384" s="2134"/>
      <c r="K6384" s="2140">
        <f>ROUND(I6384*H6384,2)</f>
        <v>4.26</v>
      </c>
      <c r="L6384" s="192"/>
      <c r="M6384" s="568"/>
    </row>
    <row r="6385" spans="1:13" ht="12.75" hidden="1">
      <c r="A6385" s="2114"/>
      <c r="B6385" s="568"/>
      <c r="C6385" s="568"/>
      <c r="D6385" s="568"/>
      <c r="E6385" s="188"/>
      <c r="F6385" s="188"/>
      <c r="G6385" s="2122"/>
      <c r="H6385" s="568"/>
      <c r="I6385" s="2118"/>
      <c r="J6385" s="2123"/>
      <c r="K6385" s="2123">
        <f>SUM(K6382:K6384)</f>
        <v>65.31</v>
      </c>
      <c r="L6385" s="192"/>
      <c r="M6385" s="568"/>
    </row>
    <row r="6386" spans="1:13" ht="12.75" hidden="1">
      <c r="A6386" s="2114"/>
      <c r="B6386" s="192" t="s">
        <v>3738</v>
      </c>
      <c r="C6386" s="2142">
        <v>0.01</v>
      </c>
      <c r="D6386" s="568"/>
      <c r="E6386" s="188"/>
      <c r="F6386" s="188"/>
      <c r="G6386" s="2122"/>
      <c r="H6386" s="568"/>
      <c r="I6386" s="2118"/>
      <c r="J6386" s="2123"/>
      <c r="K6386" s="2140">
        <f>ROUND(K6385*C6386,2)</f>
        <v>0.65</v>
      </c>
      <c r="L6386" s="192"/>
      <c r="M6386" s="568"/>
    </row>
    <row r="6387" spans="1:13" ht="12.75" hidden="1">
      <c r="A6387" s="2114"/>
      <c r="B6387" s="568" t="s">
        <v>1201</v>
      </c>
      <c r="C6387" s="568"/>
      <c r="D6387" s="568"/>
      <c r="E6387" s="188"/>
      <c r="F6387" s="188"/>
      <c r="G6387" s="2122"/>
      <c r="H6387" s="568"/>
      <c r="I6387" s="2118"/>
      <c r="J6387" s="2126" t="s">
        <v>718</v>
      </c>
      <c r="K6387" s="2124">
        <f>SUM(K6385:K6386)</f>
        <v>65.960000000000008</v>
      </c>
      <c r="L6387" s="192" t="s">
        <v>730</v>
      </c>
      <c r="M6387" s="568"/>
    </row>
    <row r="6388" spans="1:13" ht="12.75" hidden="1">
      <c r="A6388" s="2114" t="str">
        <f>A1011</f>
        <v>(ii)</v>
      </c>
      <c r="B6388" s="192" t="str">
        <f>B1011</f>
        <v>First Floor</v>
      </c>
      <c r="C6388" s="568"/>
      <c r="D6388" s="568"/>
      <c r="E6388" s="2120" t="str">
        <f>E6372</f>
        <v>Each Sqm</v>
      </c>
      <c r="F6388" s="2120"/>
      <c r="G6388" s="2122"/>
      <c r="H6388" s="568"/>
      <c r="I6388" s="2118"/>
      <c r="J6388" s="2123"/>
      <c r="K6388" s="2123"/>
      <c r="L6388" s="192"/>
      <c r="M6388" s="568"/>
    </row>
    <row r="6389" spans="1:13" ht="12.75" hidden="1">
      <c r="A6389" s="2114"/>
      <c r="B6389" s="568" t="s">
        <v>722</v>
      </c>
      <c r="C6389" s="568"/>
      <c r="D6389" s="568"/>
      <c r="E6389" s="188"/>
      <c r="F6389" s="188"/>
      <c r="G6389" s="2122"/>
      <c r="H6389" s="568"/>
      <c r="I6389" s="2118"/>
      <c r="J6389" s="2123"/>
      <c r="K6389" s="2123">
        <f>K6382</f>
        <v>56.790000000000006</v>
      </c>
      <c r="L6389" s="192"/>
      <c r="M6389" s="568"/>
    </row>
    <row r="6390" spans="1:13" ht="12.75" hidden="1">
      <c r="A6390" s="2114"/>
      <c r="B6390" s="568" t="s">
        <v>948</v>
      </c>
      <c r="C6390" s="568"/>
      <c r="D6390" s="568"/>
      <c r="E6390" s="188"/>
      <c r="F6390" s="188"/>
      <c r="G6390" s="2122"/>
      <c r="H6390" s="2125">
        <v>0.03</v>
      </c>
      <c r="I6390" s="2134">
        <f>K6376/9.3</f>
        <v>45.161290322580641</v>
      </c>
      <c r="J6390" s="2124"/>
      <c r="K6390" s="2123">
        <f>ROUND(I6390*H6390,2)</f>
        <v>1.35</v>
      </c>
      <c r="L6390" s="192"/>
      <c r="M6390" s="568"/>
    </row>
    <row r="6391" spans="1:13" ht="12.75" hidden="1">
      <c r="A6391" s="2114"/>
      <c r="B6391" s="192" t="s">
        <v>3662</v>
      </c>
      <c r="C6391" s="568"/>
      <c r="D6391" s="568"/>
      <c r="E6391" s="188"/>
      <c r="F6391" s="188"/>
      <c r="G6391" s="2122"/>
      <c r="H6391" s="2135">
        <f>H6383</f>
        <v>7.4999999999999997E-2</v>
      </c>
      <c r="I6391" s="2134">
        <f>K6390</f>
        <v>1.35</v>
      </c>
      <c r="J6391" s="2134"/>
      <c r="K6391" s="2123">
        <f>ROUND(I6391*H6391,2)</f>
        <v>0.1</v>
      </c>
      <c r="L6391" s="192"/>
      <c r="M6391" s="568"/>
    </row>
    <row r="6392" spans="1:13" ht="12.75" hidden="1">
      <c r="A6392" s="2114"/>
      <c r="B6392" s="192" t="s">
        <v>3661</v>
      </c>
      <c r="C6392" s="568"/>
      <c r="D6392" s="568"/>
      <c r="E6392" s="188"/>
      <c r="F6392" s="188"/>
      <c r="G6392" s="2122"/>
      <c r="H6392" s="2135">
        <f>H6391</f>
        <v>7.4999999999999997E-2</v>
      </c>
      <c r="I6392" s="2134">
        <f>I6391</f>
        <v>1.35</v>
      </c>
      <c r="J6392" s="2134"/>
      <c r="K6392" s="2140">
        <f>ROUND(I6392*H6392,2)</f>
        <v>0.1</v>
      </c>
      <c r="L6392" s="192"/>
      <c r="M6392" s="568"/>
    </row>
    <row r="6393" spans="1:13" ht="12.75" hidden="1">
      <c r="A6393" s="2114"/>
      <c r="B6393" s="568"/>
      <c r="C6393" s="568"/>
      <c r="D6393" s="568"/>
      <c r="E6393" s="188"/>
      <c r="F6393" s="188"/>
      <c r="G6393" s="2122"/>
      <c r="H6393" s="568"/>
      <c r="I6393" s="2118"/>
      <c r="J6393" s="2123"/>
      <c r="K6393" s="2123">
        <f>SUM(K6389:K6392)</f>
        <v>58.340000000000011</v>
      </c>
      <c r="L6393" s="192"/>
      <c r="M6393" s="568"/>
    </row>
    <row r="6394" spans="1:13" ht="12.75" hidden="1">
      <c r="A6394" s="2114"/>
      <c r="B6394" s="192" t="s">
        <v>3738</v>
      </c>
      <c r="C6394" s="2142">
        <v>0.01</v>
      </c>
      <c r="D6394" s="568"/>
      <c r="E6394" s="188"/>
      <c r="F6394" s="188"/>
      <c r="G6394" s="2122"/>
      <c r="H6394" s="568"/>
      <c r="I6394" s="2118"/>
      <c r="J6394" s="2123"/>
      <c r="K6394" s="2140">
        <f>ROUND(K6393*C6394,2)</f>
        <v>0.57999999999999996</v>
      </c>
      <c r="L6394" s="192"/>
      <c r="M6394" s="568"/>
    </row>
    <row r="6395" spans="1:13" ht="12.75" hidden="1">
      <c r="A6395" s="2114"/>
      <c r="B6395" s="568" t="s">
        <v>1201</v>
      </c>
      <c r="C6395" s="568"/>
      <c r="D6395" s="568"/>
      <c r="E6395" s="188"/>
      <c r="F6395" s="188"/>
      <c r="G6395" s="2122"/>
      <c r="H6395" s="568"/>
      <c r="I6395" s="2118"/>
      <c r="J6395" s="2126" t="s">
        <v>718</v>
      </c>
      <c r="K6395" s="2124">
        <f>SUM(K6393:K6394)</f>
        <v>58.920000000000009</v>
      </c>
      <c r="L6395" s="192" t="s">
        <v>730</v>
      </c>
      <c r="M6395" s="568"/>
    </row>
    <row r="6396" spans="1:13" ht="12.75" hidden="1">
      <c r="A6396" s="2114"/>
      <c r="B6396" s="568"/>
      <c r="C6396" s="568"/>
      <c r="D6396" s="568"/>
      <c r="E6396" s="188"/>
      <c r="F6396" s="188"/>
      <c r="G6396" s="2122"/>
      <c r="H6396" s="568"/>
      <c r="I6396" s="2118"/>
      <c r="J6396" s="2126" t="s">
        <v>1264</v>
      </c>
      <c r="K6396" s="2124">
        <f>ROUND(K6395,1)</f>
        <v>58.9</v>
      </c>
      <c r="L6396" s="192" t="s">
        <v>730</v>
      </c>
      <c r="M6396" s="568"/>
    </row>
    <row r="6397" spans="1:13" ht="12.75" hidden="1">
      <c r="A6397" s="2114" t="str">
        <f>A1012</f>
        <v>(iii)</v>
      </c>
      <c r="B6397" s="192" t="str">
        <f>B1012</f>
        <v>2nd Floor</v>
      </c>
      <c r="C6397" s="568"/>
      <c r="D6397" s="568"/>
      <c r="E6397" s="2120" t="str">
        <f>E6388</f>
        <v>Each Sqm</v>
      </c>
      <c r="F6397" s="2120"/>
      <c r="G6397" s="2122"/>
      <c r="H6397" s="568"/>
      <c r="I6397" s="2118"/>
      <c r="J6397" s="2123"/>
      <c r="K6397" s="2123"/>
      <c r="L6397" s="192"/>
      <c r="M6397" s="568"/>
    </row>
    <row r="6398" spans="1:13" ht="12.75" hidden="1">
      <c r="A6398" s="2114"/>
      <c r="B6398" s="568" t="s">
        <v>722</v>
      </c>
      <c r="C6398" s="568"/>
      <c r="D6398" s="568"/>
      <c r="E6398" s="188"/>
      <c r="F6398" s="188"/>
      <c r="G6398" s="2122"/>
      <c r="H6398" s="568"/>
      <c r="I6398" s="2118"/>
      <c r="J6398" s="2123"/>
      <c r="K6398" s="2123">
        <f>K6395</f>
        <v>58.920000000000009</v>
      </c>
      <c r="L6398" s="192"/>
      <c r="M6398" s="568"/>
    </row>
    <row r="6399" spans="1:13" ht="12.75" hidden="1">
      <c r="A6399" s="2114"/>
      <c r="B6399" s="568" t="s">
        <v>948</v>
      </c>
      <c r="C6399" s="568"/>
      <c r="D6399" s="568"/>
      <c r="E6399" s="188"/>
      <c r="F6399" s="188"/>
      <c r="G6399" s="2122"/>
      <c r="H6399" s="2125">
        <f>H6390</f>
        <v>0.03</v>
      </c>
      <c r="I6399" s="2134">
        <f>I6390+K6390</f>
        <v>46.511290322580642</v>
      </c>
      <c r="J6399" s="2124"/>
      <c r="K6399" s="2123">
        <f>ROUND(I6399*H6399,2)</f>
        <v>1.4</v>
      </c>
      <c r="L6399" s="192"/>
      <c r="M6399" s="568"/>
    </row>
    <row r="6400" spans="1:13" ht="12.75" hidden="1">
      <c r="A6400" s="2114"/>
      <c r="B6400" s="192" t="s">
        <v>3662</v>
      </c>
      <c r="C6400" s="568"/>
      <c r="D6400" s="568"/>
      <c r="E6400" s="188"/>
      <c r="F6400" s="188"/>
      <c r="G6400" s="2122"/>
      <c r="H6400" s="2135">
        <f>H6392</f>
        <v>7.4999999999999997E-2</v>
      </c>
      <c r="I6400" s="2134">
        <f>K6399</f>
        <v>1.4</v>
      </c>
      <c r="J6400" s="2134"/>
      <c r="K6400" s="2123">
        <f>ROUND(I6400*H6400,2)</f>
        <v>0.11</v>
      </c>
      <c r="L6400" s="192"/>
      <c r="M6400" s="568"/>
    </row>
    <row r="6401" spans="1:13" ht="12.75" hidden="1">
      <c r="A6401" s="2114"/>
      <c r="B6401" s="192" t="s">
        <v>3661</v>
      </c>
      <c r="C6401" s="568"/>
      <c r="D6401" s="568"/>
      <c r="E6401" s="188"/>
      <c r="F6401" s="188"/>
      <c r="G6401" s="2122"/>
      <c r="H6401" s="2135">
        <f>H6400</f>
        <v>7.4999999999999997E-2</v>
      </c>
      <c r="I6401" s="2134">
        <f>I6400</f>
        <v>1.4</v>
      </c>
      <c r="J6401" s="2134"/>
      <c r="K6401" s="2140">
        <f>ROUND(I6401*H6401,2)</f>
        <v>0.11</v>
      </c>
      <c r="L6401" s="192"/>
      <c r="M6401" s="568"/>
    </row>
    <row r="6402" spans="1:13" ht="12.75" hidden="1">
      <c r="A6402" s="2114"/>
      <c r="B6402" s="568"/>
      <c r="C6402" s="568"/>
      <c r="D6402" s="568"/>
      <c r="E6402" s="188"/>
      <c r="F6402" s="188"/>
      <c r="G6402" s="2122"/>
      <c r="H6402" s="568"/>
      <c r="I6402" s="2118"/>
      <c r="J6402" s="2123"/>
      <c r="K6402" s="2123">
        <f>SUM(K6398:K6401)</f>
        <v>60.540000000000006</v>
      </c>
      <c r="L6402" s="192"/>
      <c r="M6402" s="568"/>
    </row>
    <row r="6403" spans="1:13" ht="12.75" hidden="1">
      <c r="A6403" s="2114"/>
      <c r="B6403" s="192" t="s">
        <v>3738</v>
      </c>
      <c r="C6403" s="2142">
        <v>0.01</v>
      </c>
      <c r="D6403" s="568"/>
      <c r="E6403" s="188"/>
      <c r="F6403" s="188"/>
      <c r="G6403" s="2122"/>
      <c r="H6403" s="568"/>
      <c r="I6403" s="2118"/>
      <c r="J6403" s="2123"/>
      <c r="K6403" s="2140">
        <f>ROUND(K6402*C6403,2)</f>
        <v>0.61</v>
      </c>
      <c r="L6403" s="192"/>
      <c r="M6403" s="568"/>
    </row>
    <row r="6404" spans="1:13" ht="12.75" hidden="1">
      <c r="A6404" s="2114"/>
      <c r="B6404" s="568" t="s">
        <v>1201</v>
      </c>
      <c r="C6404" s="568"/>
      <c r="D6404" s="568"/>
      <c r="E6404" s="188"/>
      <c r="F6404" s="188"/>
      <c r="G6404" s="2122"/>
      <c r="H6404" s="568"/>
      <c r="I6404" s="2118"/>
      <c r="J6404" s="2126" t="s">
        <v>718</v>
      </c>
      <c r="K6404" s="2124">
        <f>SUM(K6402:K6403)</f>
        <v>61.150000000000006</v>
      </c>
      <c r="L6404" s="192" t="s">
        <v>730</v>
      </c>
      <c r="M6404" s="568"/>
    </row>
    <row r="6405" spans="1:13" ht="12.75" hidden="1">
      <c r="A6405" s="2114"/>
      <c r="B6405" s="568"/>
      <c r="C6405" s="568"/>
      <c r="D6405" s="568"/>
      <c r="E6405" s="188"/>
      <c r="F6405" s="188"/>
      <c r="G6405" s="2122"/>
      <c r="H6405" s="568"/>
      <c r="I6405" s="2118"/>
      <c r="J6405" s="2126" t="s">
        <v>1264</v>
      </c>
      <c r="K6405" s="2124">
        <f>ROUND(K6404,1)</f>
        <v>61.2</v>
      </c>
      <c r="L6405" s="192" t="s">
        <v>730</v>
      </c>
      <c r="M6405" s="568"/>
    </row>
    <row r="6406" spans="1:13" ht="12.75" hidden="1">
      <c r="A6406" s="2114" t="str">
        <f>A1013</f>
        <v>(iv)</v>
      </c>
      <c r="B6406" s="192" t="str">
        <f>B1013</f>
        <v>3rd Floor</v>
      </c>
      <c r="C6406" s="568"/>
      <c r="D6406" s="568"/>
      <c r="E6406" s="2120" t="str">
        <f>E6397</f>
        <v>Each Sqm</v>
      </c>
      <c r="F6406" s="2120"/>
      <c r="G6406" s="2122"/>
      <c r="H6406" s="568"/>
      <c r="I6406" s="2118"/>
      <c r="J6406" s="2123"/>
      <c r="K6406" s="2123"/>
      <c r="L6406" s="192"/>
      <c r="M6406" s="568"/>
    </row>
    <row r="6407" spans="1:13" ht="12.75" hidden="1">
      <c r="A6407" s="2114"/>
      <c r="B6407" s="568" t="s">
        <v>722</v>
      </c>
      <c r="C6407" s="568"/>
      <c r="D6407" s="568"/>
      <c r="E6407" s="188"/>
      <c r="F6407" s="188"/>
      <c r="G6407" s="2122"/>
      <c r="H6407" s="568"/>
      <c r="I6407" s="2118"/>
      <c r="J6407" s="2123"/>
      <c r="K6407" s="2123">
        <f>K6404</f>
        <v>61.150000000000006</v>
      </c>
      <c r="L6407" s="192"/>
      <c r="M6407" s="568"/>
    </row>
    <row r="6408" spans="1:13" ht="12.75" hidden="1">
      <c r="A6408" s="2114"/>
      <c r="B6408" s="568" t="s">
        <v>948</v>
      </c>
      <c r="C6408" s="568"/>
      <c r="D6408" s="568"/>
      <c r="E6408" s="188"/>
      <c r="F6408" s="188"/>
      <c r="G6408" s="2122"/>
      <c r="H6408" s="2125">
        <f>H6399</f>
        <v>0.03</v>
      </c>
      <c r="I6408" s="2134">
        <f>I6399+K6399</f>
        <v>47.911290322580641</v>
      </c>
      <c r="J6408" s="2124"/>
      <c r="K6408" s="2123">
        <f>ROUND(I6408*H6408,2)</f>
        <v>1.44</v>
      </c>
      <c r="L6408" s="192"/>
      <c r="M6408" s="568"/>
    </row>
    <row r="6409" spans="1:13" ht="12.75" hidden="1">
      <c r="A6409" s="2114"/>
      <c r="B6409" s="192" t="s">
        <v>3662</v>
      </c>
      <c r="C6409" s="568"/>
      <c r="D6409" s="568"/>
      <c r="E6409" s="188"/>
      <c r="F6409" s="188"/>
      <c r="G6409" s="2122"/>
      <c r="H6409" s="2135">
        <f>H6401</f>
        <v>7.4999999999999997E-2</v>
      </c>
      <c r="I6409" s="2134">
        <f>K6408</f>
        <v>1.44</v>
      </c>
      <c r="J6409" s="2134"/>
      <c r="K6409" s="2123">
        <f>ROUND(I6409*H6409,2)</f>
        <v>0.11</v>
      </c>
      <c r="L6409" s="192"/>
      <c r="M6409" s="568"/>
    </row>
    <row r="6410" spans="1:13" ht="12.75" hidden="1">
      <c r="A6410" s="2114"/>
      <c r="B6410" s="192" t="s">
        <v>3661</v>
      </c>
      <c r="C6410" s="568"/>
      <c r="D6410" s="568"/>
      <c r="E6410" s="188"/>
      <c r="F6410" s="188"/>
      <c r="G6410" s="2122"/>
      <c r="H6410" s="2135">
        <f>H6409</f>
        <v>7.4999999999999997E-2</v>
      </c>
      <c r="I6410" s="2134">
        <f>I6409</f>
        <v>1.44</v>
      </c>
      <c r="J6410" s="2134"/>
      <c r="K6410" s="2140">
        <f>ROUND(I6410*H6410,2)</f>
        <v>0.11</v>
      </c>
      <c r="L6410" s="192"/>
      <c r="M6410" s="568"/>
    </row>
    <row r="6411" spans="1:13" ht="12.75" hidden="1">
      <c r="A6411" s="2114"/>
      <c r="B6411" s="568"/>
      <c r="C6411" s="568"/>
      <c r="D6411" s="568"/>
      <c r="E6411" s="188"/>
      <c r="F6411" s="188"/>
      <c r="G6411" s="2122"/>
      <c r="H6411" s="568"/>
      <c r="I6411" s="2118"/>
      <c r="J6411" s="2123"/>
      <c r="K6411" s="2123">
        <f>SUM(K6407:K6410)</f>
        <v>62.81</v>
      </c>
      <c r="L6411" s="192"/>
      <c r="M6411" s="568"/>
    </row>
    <row r="6412" spans="1:13" ht="12.75" hidden="1">
      <c r="A6412" s="2114"/>
      <c r="B6412" s="192" t="s">
        <v>3738</v>
      </c>
      <c r="C6412" s="2142">
        <v>0.01</v>
      </c>
      <c r="D6412" s="568"/>
      <c r="E6412" s="188"/>
      <c r="F6412" s="188"/>
      <c r="G6412" s="2122"/>
      <c r="H6412" s="568"/>
      <c r="I6412" s="2118"/>
      <c r="J6412" s="2123"/>
      <c r="K6412" s="2140">
        <f>ROUND(K6411*C6412,2)</f>
        <v>0.63</v>
      </c>
      <c r="L6412" s="192"/>
      <c r="M6412" s="568"/>
    </row>
    <row r="6413" spans="1:13" ht="12.75" hidden="1">
      <c r="A6413" s="2114"/>
      <c r="B6413" s="568" t="s">
        <v>1201</v>
      </c>
      <c r="C6413" s="568"/>
      <c r="D6413" s="568"/>
      <c r="E6413" s="188"/>
      <c r="F6413" s="188"/>
      <c r="G6413" s="2122"/>
      <c r="H6413" s="568"/>
      <c r="I6413" s="2118"/>
      <c r="J6413" s="2126" t="s">
        <v>718</v>
      </c>
      <c r="K6413" s="2124">
        <f>SUM(K6411:K6412)</f>
        <v>63.440000000000005</v>
      </c>
      <c r="L6413" s="192" t="s">
        <v>730</v>
      </c>
      <c r="M6413" s="568"/>
    </row>
    <row r="6414" spans="1:13" ht="12.75" hidden="1">
      <c r="A6414" s="2114"/>
      <c r="B6414" s="568"/>
      <c r="C6414" s="568"/>
      <c r="D6414" s="568"/>
      <c r="E6414" s="188"/>
      <c r="F6414" s="188"/>
      <c r="G6414" s="2122"/>
      <c r="H6414" s="568"/>
      <c r="I6414" s="2118"/>
      <c r="J6414" s="2126" t="s">
        <v>1264</v>
      </c>
      <c r="K6414" s="2124">
        <f>ROUND(K6413,1)</f>
        <v>63.4</v>
      </c>
      <c r="L6414" s="192" t="s">
        <v>730</v>
      </c>
      <c r="M6414" s="568"/>
    </row>
    <row r="6415" spans="1:13" ht="56.45" hidden="1" customHeight="1">
      <c r="A6415" s="2114">
        <f>A1014</f>
        <v>134</v>
      </c>
      <c r="B6415" s="3017" t="str">
        <f>B1014</f>
        <v>Painting two coats with approved enamel paints of approved colour, shade  over old Wood work including sand papering, polishing the surface,  etc, complete as per specification &amp; direction of Engineer-in-charge.</v>
      </c>
      <c r="C6415" s="3017"/>
      <c r="D6415" s="3017"/>
      <c r="E6415" s="2116" t="str">
        <f>G1014</f>
        <v>Each Sqm</v>
      </c>
      <c r="F6415" s="2116"/>
      <c r="G6415" s="2122"/>
      <c r="H6415" s="568"/>
      <c r="I6415" s="2118"/>
      <c r="J6415" s="2124"/>
      <c r="K6415" s="2124"/>
      <c r="L6415" s="192"/>
      <c r="M6415" s="568"/>
    </row>
    <row r="6416" spans="1:13" ht="12.75" hidden="1">
      <c r="A6416" s="2114" t="str">
        <f>A1015</f>
        <v>(i)</v>
      </c>
      <c r="B6416" s="192" t="str">
        <f>B1015</f>
        <v>Ground Floor</v>
      </c>
      <c r="C6416" s="568"/>
      <c r="D6416" s="568"/>
      <c r="E6416" s="2120" t="str">
        <f>G986</f>
        <v>Each Sqm</v>
      </c>
      <c r="F6416" s="2120"/>
      <c r="G6416" s="2122"/>
      <c r="H6416" s="568"/>
      <c r="I6416" s="2118"/>
      <c r="J6416" s="2123"/>
      <c r="K6416" s="2123"/>
      <c r="L6416" s="192"/>
      <c r="M6416" s="568"/>
    </row>
    <row r="6417" spans="1:13" ht="12.75" hidden="1">
      <c r="A6417" s="2114"/>
      <c r="B6417" s="192" t="s">
        <v>1257</v>
      </c>
      <c r="C6417" s="568"/>
      <c r="D6417" s="568"/>
      <c r="E6417" s="188"/>
      <c r="F6417" s="188"/>
      <c r="G6417" s="2122"/>
      <c r="H6417" s="568"/>
      <c r="I6417" s="2118"/>
      <c r="J6417" s="2123"/>
      <c r="K6417" s="2123"/>
      <c r="L6417" s="192"/>
      <c r="M6417" s="568"/>
    </row>
    <row r="6418" spans="1:13" ht="12.75" hidden="1">
      <c r="A6418" s="2114"/>
      <c r="B6418" s="568" t="s">
        <v>1258</v>
      </c>
      <c r="C6418" s="568"/>
      <c r="D6418" s="568"/>
      <c r="E6418" s="188"/>
      <c r="F6418" s="188"/>
      <c r="G6418" s="2122">
        <v>1.25</v>
      </c>
      <c r="H6418" s="568" t="s">
        <v>262</v>
      </c>
      <c r="I6418" s="2118" t="s">
        <v>38</v>
      </c>
      <c r="J6418" s="2123">
        <f>L137</f>
        <v>495</v>
      </c>
      <c r="K6418" s="2123">
        <f>ROUND(G6418*J6418,2)</f>
        <v>618.75</v>
      </c>
      <c r="L6418" s="192"/>
      <c r="M6418" s="568"/>
    </row>
    <row r="6419" spans="1:13" ht="12.75" hidden="1">
      <c r="A6419" s="2114"/>
      <c r="B6419" s="568" t="s">
        <v>717</v>
      </c>
      <c r="C6419" s="568"/>
      <c r="D6419" s="568"/>
      <c r="E6419" s="188"/>
      <c r="F6419" s="188"/>
      <c r="G6419" s="2122">
        <v>1.1000000000000001</v>
      </c>
      <c r="H6419" s="568" t="s">
        <v>262</v>
      </c>
      <c r="I6419" s="2118" t="s">
        <v>38</v>
      </c>
      <c r="J6419" s="2123">
        <f>L134</f>
        <v>345</v>
      </c>
      <c r="K6419" s="2123">
        <f>ROUND(G6419*J6419,2)</f>
        <v>379.5</v>
      </c>
      <c r="L6419" s="192"/>
      <c r="M6419" s="568"/>
    </row>
    <row r="6420" spans="1:13" ht="12.75" hidden="1">
      <c r="A6420" s="2114"/>
      <c r="B6420" s="568"/>
      <c r="C6420" s="568"/>
      <c r="D6420" s="568"/>
      <c r="E6420" s="188"/>
      <c r="F6420" s="188"/>
      <c r="G6420" s="2122"/>
      <c r="H6420" s="568"/>
      <c r="I6420" s="2118"/>
      <c r="J6420" s="2123" t="s">
        <v>718</v>
      </c>
      <c r="K6420" s="2123">
        <f>SUM(K6418:K6419)</f>
        <v>998.25</v>
      </c>
      <c r="L6420" s="192"/>
      <c r="M6420" s="568"/>
    </row>
    <row r="6421" spans="1:13" ht="12.75" hidden="1">
      <c r="A6421" s="2114"/>
      <c r="B6421" s="568"/>
      <c r="C6421" s="568"/>
      <c r="D6421" s="568"/>
      <c r="E6421" s="188"/>
      <c r="F6421" s="188"/>
      <c r="G6421" s="2122"/>
      <c r="H6421" s="568"/>
      <c r="I6421" s="2118"/>
      <c r="J6421" s="2123"/>
      <c r="K6421" s="2123"/>
      <c r="L6421" s="192"/>
      <c r="M6421" s="568"/>
    </row>
    <row r="6422" spans="1:13" ht="12.75" hidden="1">
      <c r="A6422" s="2114"/>
      <c r="B6422" s="568" t="s">
        <v>1259</v>
      </c>
      <c r="C6422" s="568"/>
      <c r="D6422" s="568"/>
      <c r="E6422" s="188"/>
      <c r="F6422" s="188"/>
      <c r="G6422" s="2122"/>
      <c r="H6422" s="568"/>
      <c r="I6422" s="2118"/>
      <c r="J6422" s="2123"/>
      <c r="K6422" s="2123">
        <f>ROUND(K6420*2%,2)</f>
        <v>19.97</v>
      </c>
      <c r="L6422" s="192"/>
      <c r="M6422" s="568"/>
    </row>
    <row r="6423" spans="1:13" ht="12.75" hidden="1">
      <c r="A6423" s="2114"/>
      <c r="B6423" s="568"/>
      <c r="C6423" s="568"/>
      <c r="D6423" s="568"/>
      <c r="E6423" s="188"/>
      <c r="F6423" s="188"/>
      <c r="G6423" s="2122"/>
      <c r="H6423" s="568"/>
      <c r="I6423" s="2118"/>
      <c r="J6423" s="2123" t="s">
        <v>718</v>
      </c>
      <c r="K6423" s="2123">
        <f>SUM(K6420:K6422)</f>
        <v>1018.22</v>
      </c>
      <c r="L6423" s="192"/>
      <c r="M6423" s="568"/>
    </row>
    <row r="6424" spans="1:13" ht="12.75" hidden="1">
      <c r="A6424" s="2114"/>
      <c r="B6424" s="568" t="s">
        <v>1024</v>
      </c>
      <c r="C6424" s="568"/>
      <c r="D6424" s="568"/>
      <c r="E6424" s="188"/>
      <c r="F6424" s="188"/>
      <c r="G6424" s="2122"/>
      <c r="H6424" s="568"/>
      <c r="I6424" s="2118"/>
      <c r="J6424" s="2123"/>
      <c r="K6424" s="2123">
        <f>K6423/9.3</f>
        <v>109.48602150537634</v>
      </c>
      <c r="L6424" s="192"/>
      <c r="M6424" s="568"/>
    </row>
    <row r="6425" spans="1:13" ht="12.75" hidden="1">
      <c r="A6425" s="2114"/>
      <c r="B6425" s="568"/>
      <c r="C6425" s="568"/>
      <c r="D6425" s="568"/>
      <c r="E6425" s="188"/>
      <c r="F6425" s="188"/>
      <c r="G6425" s="2122"/>
      <c r="H6425" s="568"/>
      <c r="I6425" s="2118"/>
      <c r="J6425" s="2123"/>
      <c r="K6425" s="2123"/>
      <c r="L6425" s="192"/>
      <c r="M6425" s="568"/>
    </row>
    <row r="6426" spans="1:13" ht="12.75" hidden="1">
      <c r="A6426" s="2114"/>
      <c r="B6426" s="568" t="s">
        <v>1260</v>
      </c>
      <c r="C6426" s="568"/>
      <c r="D6426" s="568"/>
      <c r="E6426" s="188"/>
      <c r="F6426" s="188"/>
      <c r="G6426" s="2122">
        <v>0.125</v>
      </c>
      <c r="H6426" s="568" t="s">
        <v>95</v>
      </c>
      <c r="I6426" s="2118" t="s">
        <v>95</v>
      </c>
      <c r="J6426" s="2123">
        <f>L88</f>
        <v>250.76622</v>
      </c>
      <c r="K6426" s="2123">
        <f>ROUND(G6426*J6426,2)</f>
        <v>31.35</v>
      </c>
      <c r="L6426" s="192"/>
      <c r="M6426" s="568"/>
    </row>
    <row r="6427" spans="1:13" ht="12.75" hidden="1">
      <c r="A6427" s="2114"/>
      <c r="B6427" s="568" t="s">
        <v>1261</v>
      </c>
      <c r="C6427" s="568"/>
      <c r="D6427" s="568"/>
      <c r="E6427" s="188"/>
      <c r="F6427" s="188"/>
      <c r="G6427" s="2122"/>
      <c r="H6427" s="568"/>
      <c r="I6427" s="2118"/>
      <c r="J6427" s="2126" t="s">
        <v>718</v>
      </c>
      <c r="K6427" s="2124">
        <f>SUM(K6424:K6426)</f>
        <v>140.83602150537635</v>
      </c>
      <c r="L6427" s="192" t="s">
        <v>730</v>
      </c>
      <c r="M6427" s="568"/>
    </row>
    <row r="6428" spans="1:13" ht="12.75" hidden="1">
      <c r="A6428" s="2114" t="str">
        <f>A1016</f>
        <v>(ii)</v>
      </c>
      <c r="B6428" s="192" t="str">
        <f>B1015</f>
        <v>Ground Floor</v>
      </c>
      <c r="C6428" s="568"/>
      <c r="D6428" s="568"/>
      <c r="E6428" s="2120" t="str">
        <f>E6416</f>
        <v>Each Sqm</v>
      </c>
      <c r="F6428" s="2120"/>
      <c r="G6428" s="2122"/>
      <c r="H6428" s="568"/>
      <c r="I6428" s="2118"/>
      <c r="J6428" s="2123"/>
      <c r="K6428" s="2123"/>
      <c r="L6428" s="192"/>
      <c r="M6428" s="568"/>
    </row>
    <row r="6429" spans="1:13" ht="12.75" hidden="1">
      <c r="A6429" s="2114"/>
      <c r="B6429" s="568" t="s">
        <v>722</v>
      </c>
      <c r="C6429" s="568"/>
      <c r="D6429" s="568"/>
      <c r="E6429" s="188"/>
      <c r="F6429" s="188"/>
      <c r="G6429" s="2122"/>
      <c r="H6429" s="568"/>
      <c r="I6429" s="2118"/>
      <c r="J6429" s="2123"/>
      <c r="K6429" s="2123">
        <f>K6427</f>
        <v>140.83602150537635</v>
      </c>
      <c r="L6429" s="192"/>
      <c r="M6429" s="568"/>
    </row>
    <row r="6430" spans="1:13" ht="12.75" hidden="1">
      <c r="A6430" s="2114"/>
      <c r="B6430" s="568" t="s">
        <v>948</v>
      </c>
      <c r="C6430" s="568"/>
      <c r="D6430" s="568"/>
      <c r="E6430" s="188"/>
      <c r="F6430" s="188"/>
      <c r="G6430" s="2122"/>
      <c r="H6430" s="568"/>
      <c r="I6430" s="2118"/>
      <c r="J6430" s="2123"/>
      <c r="K6430" s="2123">
        <f>K6420/9.3*1*3%</f>
        <v>3.2201612903225802</v>
      </c>
      <c r="L6430" s="192"/>
      <c r="M6430" s="568"/>
    </row>
    <row r="6431" spans="1:13" ht="12.75" hidden="1">
      <c r="A6431" s="2114"/>
      <c r="B6431" s="568"/>
      <c r="C6431" s="568"/>
      <c r="D6431" s="568"/>
      <c r="E6431" s="188"/>
      <c r="F6431" s="188"/>
      <c r="G6431" s="2122"/>
      <c r="H6431" s="568"/>
      <c r="I6431" s="2118"/>
      <c r="J6431" s="2126" t="s">
        <v>718</v>
      </c>
      <c r="K6431" s="2124">
        <f>SUM(K6429:K6430)</f>
        <v>144.05618279569893</v>
      </c>
      <c r="L6431" s="192" t="s">
        <v>730</v>
      </c>
      <c r="M6431" s="568"/>
    </row>
    <row r="6432" spans="1:13" ht="12.75" hidden="1">
      <c r="A6432" s="2114" t="str">
        <f>A1017</f>
        <v>(iii)</v>
      </c>
      <c r="B6432" s="192" t="str">
        <f>B1017</f>
        <v>2nd Floor</v>
      </c>
      <c r="C6432" s="568"/>
      <c r="D6432" s="568"/>
      <c r="E6432" s="2120" t="str">
        <f>E6428</f>
        <v>Each Sqm</v>
      </c>
      <c r="F6432" s="2120"/>
      <c r="G6432" s="2122"/>
      <c r="H6432" s="568"/>
      <c r="I6432" s="2118"/>
      <c r="J6432" s="2123"/>
      <c r="K6432" s="2123"/>
      <c r="L6432" s="192"/>
      <c r="M6432" s="568"/>
    </row>
    <row r="6433" spans="1:13" ht="12.75" hidden="1">
      <c r="A6433" s="2114"/>
      <c r="B6433" s="568" t="s">
        <v>722</v>
      </c>
      <c r="C6433" s="568"/>
      <c r="D6433" s="568"/>
      <c r="E6433" s="188"/>
      <c r="F6433" s="188"/>
      <c r="G6433" s="2122"/>
      <c r="H6433" s="568"/>
      <c r="I6433" s="2118"/>
      <c r="J6433" s="2123"/>
      <c r="K6433" s="2123">
        <f>K6431</f>
        <v>144.05618279569893</v>
      </c>
      <c r="L6433" s="192"/>
      <c r="M6433" s="568"/>
    </row>
    <row r="6434" spans="1:13" ht="12.75" hidden="1">
      <c r="A6434" s="2114"/>
      <c r="B6434" s="568" t="s">
        <v>948</v>
      </c>
      <c r="C6434" s="568"/>
      <c r="D6434" s="568"/>
      <c r="E6434" s="188"/>
      <c r="F6434" s="188"/>
      <c r="G6434" s="2122"/>
      <c r="H6434" s="568"/>
      <c r="I6434" s="2118"/>
      <c r="J6434" s="2123"/>
      <c r="K6434" s="2123">
        <f>K6430+K6430*1*3%</f>
        <v>3.3167661290322576</v>
      </c>
      <c r="L6434" s="192"/>
      <c r="M6434" s="568"/>
    </row>
    <row r="6435" spans="1:13" ht="12.75" hidden="1">
      <c r="A6435" s="2114"/>
      <c r="B6435" s="568"/>
      <c r="C6435" s="568"/>
      <c r="D6435" s="568"/>
      <c r="E6435" s="188"/>
      <c r="F6435" s="188"/>
      <c r="G6435" s="2122"/>
      <c r="H6435" s="568"/>
      <c r="I6435" s="2118"/>
      <c r="J6435" s="2126" t="s">
        <v>718</v>
      </c>
      <c r="K6435" s="2124">
        <f>SUM(K6433:K6434)</f>
        <v>147.37294892473119</v>
      </c>
      <c r="L6435" s="192" t="s">
        <v>730</v>
      </c>
      <c r="M6435" s="568"/>
    </row>
    <row r="6436" spans="1:13" ht="12.75" hidden="1">
      <c r="A6436" s="2114" t="str">
        <f>A1018</f>
        <v>(iv)</v>
      </c>
      <c r="B6436" s="192" t="str">
        <f>B1018</f>
        <v>3rd Floor</v>
      </c>
      <c r="C6436" s="568"/>
      <c r="D6436" s="568"/>
      <c r="E6436" s="2120" t="str">
        <f>E6432</f>
        <v>Each Sqm</v>
      </c>
      <c r="F6436" s="2120"/>
      <c r="G6436" s="2122"/>
      <c r="H6436" s="568"/>
      <c r="I6436" s="2118"/>
      <c r="J6436" s="2123"/>
      <c r="K6436" s="2123"/>
      <c r="L6436" s="192"/>
      <c r="M6436" s="568"/>
    </row>
    <row r="6437" spans="1:13" ht="12.75" hidden="1">
      <c r="A6437" s="2114"/>
      <c r="B6437" s="568" t="s">
        <v>722</v>
      </c>
      <c r="C6437" s="568"/>
      <c r="D6437" s="568"/>
      <c r="E6437" s="188"/>
      <c r="F6437" s="188"/>
      <c r="G6437" s="2122"/>
      <c r="H6437" s="568"/>
      <c r="I6437" s="2118"/>
      <c r="J6437" s="2123"/>
      <c r="K6437" s="2123">
        <f>K6435</f>
        <v>147.37294892473119</v>
      </c>
      <c r="L6437" s="192"/>
      <c r="M6437" s="568"/>
    </row>
    <row r="6438" spans="1:13" ht="12.75" hidden="1">
      <c r="A6438" s="2114"/>
      <c r="B6438" s="568" t="s">
        <v>948</v>
      </c>
      <c r="C6438" s="568"/>
      <c r="D6438" s="568"/>
      <c r="E6438" s="188"/>
      <c r="F6438" s="188"/>
      <c r="G6438" s="2122"/>
      <c r="H6438" s="568"/>
      <c r="I6438" s="2118"/>
      <c r="J6438" s="2123"/>
      <c r="K6438" s="2123">
        <f>K6434+K6434*1*3%</f>
        <v>3.4162691129032252</v>
      </c>
      <c r="L6438" s="192"/>
      <c r="M6438" s="568"/>
    </row>
    <row r="6439" spans="1:13" ht="12.75" hidden="1">
      <c r="A6439" s="2114"/>
      <c r="B6439" s="568"/>
      <c r="C6439" s="568"/>
      <c r="D6439" s="568"/>
      <c r="E6439" s="188"/>
      <c r="F6439" s="188"/>
      <c r="G6439" s="2122"/>
      <c r="H6439" s="568"/>
      <c r="I6439" s="2118"/>
      <c r="J6439" s="2126" t="s">
        <v>718</v>
      </c>
      <c r="K6439" s="2124">
        <f>SUM(K6437:K6438)</f>
        <v>150.78921803763441</v>
      </c>
      <c r="L6439" s="192" t="s">
        <v>730</v>
      </c>
      <c r="M6439" s="568"/>
    </row>
    <row r="6440" spans="1:13" ht="58.15" hidden="1" customHeight="1">
      <c r="A6440" s="2114">
        <f>A1019</f>
        <v>135</v>
      </c>
      <c r="B6440" s="3017" t="str">
        <f>B1019</f>
        <v>Painting two coats with approved enamel paints of approved colour, shade over a coat of  primer over new Wood work including sand papering, polishing the surface,  etc, complete as per specification &amp; direction of Engineer-in-charge.</v>
      </c>
      <c r="C6440" s="3017"/>
      <c r="D6440" s="3017"/>
      <c r="E6440" s="2116" t="str">
        <f>G1019</f>
        <v>Each Sqm</v>
      </c>
      <c r="F6440" s="2116"/>
      <c r="G6440" s="2122"/>
      <c r="H6440" s="568"/>
      <c r="I6440" s="2118"/>
      <c r="J6440" s="2124"/>
      <c r="K6440" s="2124"/>
      <c r="L6440" s="192"/>
      <c r="M6440" s="568"/>
    </row>
    <row r="6441" spans="1:13" ht="12.75" hidden="1">
      <c r="A6441" s="2114" t="str">
        <f>A1020</f>
        <v>(i)</v>
      </c>
      <c r="B6441" s="192" t="str">
        <f>B1020</f>
        <v>Ground Floor</v>
      </c>
      <c r="C6441" s="568"/>
      <c r="D6441" s="568"/>
      <c r="E6441" s="2120" t="str">
        <f>G1020</f>
        <v>Each Sqm</v>
      </c>
      <c r="F6441" s="2120"/>
      <c r="G6441" s="2122"/>
      <c r="H6441" s="568"/>
      <c r="I6441" s="2118"/>
      <c r="J6441" s="2123"/>
      <c r="K6441" s="2123"/>
      <c r="L6441" s="192"/>
      <c r="M6441" s="568"/>
    </row>
    <row r="6442" spans="1:13" ht="12.75" hidden="1">
      <c r="A6442" s="2114"/>
      <c r="B6442" s="568" t="s">
        <v>1257</v>
      </c>
      <c r="C6442" s="568"/>
      <c r="D6442" s="568"/>
      <c r="E6442" s="188"/>
      <c r="F6442" s="188"/>
      <c r="G6442" s="2122"/>
      <c r="H6442" s="568"/>
      <c r="I6442" s="2118"/>
      <c r="J6442" s="2123"/>
      <c r="K6442" s="2123"/>
      <c r="L6442" s="192"/>
      <c r="M6442" s="568"/>
    </row>
    <row r="6443" spans="1:13" ht="12.75" hidden="1">
      <c r="A6443" s="2114"/>
      <c r="B6443" s="568" t="s">
        <v>1258</v>
      </c>
      <c r="C6443" s="568"/>
      <c r="D6443" s="568"/>
      <c r="E6443" s="188"/>
      <c r="F6443" s="188"/>
      <c r="G6443" s="2122">
        <v>1.75</v>
      </c>
      <c r="H6443" s="568" t="s">
        <v>262</v>
      </c>
      <c r="I6443" s="2118" t="s">
        <v>38</v>
      </c>
      <c r="J6443" s="2123">
        <f>L137</f>
        <v>495</v>
      </c>
      <c r="K6443" s="2235">
        <f>ROUND(G6443*J6443,2)</f>
        <v>866.25</v>
      </c>
      <c r="L6443" s="192"/>
      <c r="M6443" s="568"/>
    </row>
    <row r="6444" spans="1:13" ht="12.75" hidden="1">
      <c r="A6444" s="2114"/>
      <c r="B6444" s="568" t="s">
        <v>717</v>
      </c>
      <c r="C6444" s="568"/>
      <c r="D6444" s="568"/>
      <c r="E6444" s="188"/>
      <c r="F6444" s="188"/>
      <c r="G6444" s="2122">
        <v>1.6</v>
      </c>
      <c r="H6444" s="568" t="s">
        <v>262</v>
      </c>
      <c r="I6444" s="2118" t="s">
        <v>38</v>
      </c>
      <c r="J6444" s="2123">
        <f>L134</f>
        <v>345</v>
      </c>
      <c r="K6444" s="2235">
        <f>ROUND(G6444*J6444,2)</f>
        <v>552</v>
      </c>
      <c r="L6444" s="192"/>
      <c r="M6444" s="568"/>
    </row>
    <row r="6445" spans="1:13" ht="12.75" hidden="1">
      <c r="A6445" s="2114"/>
      <c r="B6445" s="568"/>
      <c r="C6445" s="568"/>
      <c r="D6445" s="568"/>
      <c r="E6445" s="188"/>
      <c r="F6445" s="188"/>
      <c r="G6445" s="2122"/>
      <c r="H6445" s="568"/>
      <c r="I6445" s="2118"/>
      <c r="J6445" s="2123" t="s">
        <v>718</v>
      </c>
      <c r="K6445" s="2124">
        <f>SUM(K6443:K6444)</f>
        <v>1418.25</v>
      </c>
      <c r="L6445" s="192"/>
      <c r="M6445" s="568"/>
    </row>
    <row r="6446" spans="1:13" ht="12.75" hidden="1">
      <c r="A6446" s="2114"/>
      <c r="B6446" s="568"/>
      <c r="C6446" s="568"/>
      <c r="D6446" s="568"/>
      <c r="E6446" s="188"/>
      <c r="F6446" s="188"/>
      <c r="G6446" s="2122"/>
      <c r="H6446" s="568"/>
      <c r="I6446" s="2118"/>
      <c r="J6446" s="2123"/>
      <c r="K6446" s="2123"/>
      <c r="L6446" s="192"/>
      <c r="M6446" s="568"/>
    </row>
    <row r="6447" spans="1:13" ht="12.75" hidden="1">
      <c r="A6447" s="2114"/>
      <c r="B6447" s="568" t="s">
        <v>1259</v>
      </c>
      <c r="C6447" s="568"/>
      <c r="D6447" s="568"/>
      <c r="E6447" s="188"/>
      <c r="F6447" s="188"/>
      <c r="G6447" s="2122"/>
      <c r="H6447" s="568"/>
      <c r="I6447" s="2118"/>
      <c r="J6447" s="2123"/>
      <c r="K6447" s="2123">
        <f>ROUND(K6445*2%,2)</f>
        <v>28.37</v>
      </c>
      <c r="L6447" s="192"/>
      <c r="M6447" s="568"/>
    </row>
    <row r="6448" spans="1:13" ht="12.75" hidden="1">
      <c r="A6448" s="2114"/>
      <c r="B6448" s="568"/>
      <c r="C6448" s="568"/>
      <c r="D6448" s="568"/>
      <c r="E6448" s="188"/>
      <c r="F6448" s="188"/>
      <c r="G6448" s="2122"/>
      <c r="H6448" s="568"/>
      <c r="I6448" s="2118"/>
      <c r="J6448" s="2123" t="s">
        <v>718</v>
      </c>
      <c r="K6448" s="2123">
        <f>SUM(K6445:K6447)</f>
        <v>1446.62</v>
      </c>
      <c r="L6448" s="192"/>
      <c r="M6448" s="568"/>
    </row>
    <row r="6449" spans="1:13" ht="12.75" hidden="1">
      <c r="A6449" s="2114"/>
      <c r="B6449" s="568" t="s">
        <v>1024</v>
      </c>
      <c r="C6449" s="568"/>
      <c r="D6449" s="568"/>
      <c r="E6449" s="188"/>
      <c r="F6449" s="188"/>
      <c r="G6449" s="2122"/>
      <c r="H6449" s="568"/>
      <c r="I6449" s="2118"/>
      <c r="J6449" s="2123"/>
      <c r="K6449" s="2123">
        <f>ROUND(K6448/9.3,2)</f>
        <v>155.55000000000001</v>
      </c>
      <c r="L6449" s="192"/>
      <c r="M6449" s="568"/>
    </row>
    <row r="6450" spans="1:13" ht="12.75" hidden="1">
      <c r="A6450" s="2114"/>
      <c r="B6450" s="568" t="s">
        <v>1262</v>
      </c>
      <c r="C6450" s="568"/>
      <c r="D6450" s="568"/>
      <c r="E6450" s="188"/>
      <c r="F6450" s="188"/>
      <c r="G6450" s="2122">
        <v>7.4999999999999997E-2</v>
      </c>
      <c r="H6450" s="568" t="s">
        <v>95</v>
      </c>
      <c r="I6450" s="2118" t="s">
        <v>95</v>
      </c>
      <c r="J6450" s="2123">
        <f>L95</f>
        <v>155.50622000000001</v>
      </c>
      <c r="K6450" s="2235">
        <f>ROUND(G6450*J6450,2)</f>
        <v>11.66</v>
      </c>
      <c r="L6450" s="192"/>
      <c r="M6450" s="568"/>
    </row>
    <row r="6451" spans="1:13" ht="12.75" hidden="1">
      <c r="A6451" s="2114"/>
      <c r="B6451" s="568" t="s">
        <v>1260</v>
      </c>
      <c r="C6451" s="568"/>
      <c r="D6451" s="568"/>
      <c r="E6451" s="188"/>
      <c r="F6451" s="188"/>
      <c r="G6451" s="2122">
        <v>0.125</v>
      </c>
      <c r="H6451" s="568" t="s">
        <v>95</v>
      </c>
      <c r="I6451" s="2118" t="s">
        <v>95</v>
      </c>
      <c r="J6451" s="2123">
        <f>L88</f>
        <v>250.76622</v>
      </c>
      <c r="K6451" s="2235">
        <f>ROUND(G6451*J6451,2)</f>
        <v>31.35</v>
      </c>
      <c r="L6451" s="192"/>
      <c r="M6451" s="568"/>
    </row>
    <row r="6452" spans="1:13" ht="12.75" hidden="1">
      <c r="A6452" s="2114"/>
      <c r="B6452" s="568" t="s">
        <v>1261</v>
      </c>
      <c r="C6452" s="568"/>
      <c r="D6452" s="568"/>
      <c r="E6452" s="188"/>
      <c r="F6452" s="188"/>
      <c r="G6452" s="2122"/>
      <c r="H6452" s="568"/>
      <c r="I6452" s="2118"/>
      <c r="J6452" s="2126" t="s">
        <v>718</v>
      </c>
      <c r="K6452" s="2124">
        <f>SUM(K6449:K6451)</f>
        <v>198.56</v>
      </c>
      <c r="L6452" s="192" t="s">
        <v>730</v>
      </c>
      <c r="M6452" s="568"/>
    </row>
    <row r="6453" spans="1:13" ht="12.75" hidden="1">
      <c r="A6453" s="2114" t="str">
        <f>A1021</f>
        <v>(ii)</v>
      </c>
      <c r="B6453" s="192" t="str">
        <f>B1021</f>
        <v>First Floor</v>
      </c>
      <c r="C6453" s="568"/>
      <c r="D6453" s="568"/>
      <c r="E6453" s="2120" t="str">
        <f>E6441</f>
        <v>Each Sqm</v>
      </c>
      <c r="F6453" s="2120"/>
      <c r="G6453" s="2122"/>
      <c r="H6453" s="568"/>
      <c r="I6453" s="2118"/>
      <c r="J6453" s="2123"/>
      <c r="K6453" s="2123"/>
      <c r="L6453" s="192"/>
      <c r="M6453" s="568"/>
    </row>
    <row r="6454" spans="1:13" ht="12.75" hidden="1">
      <c r="A6454" s="2114"/>
      <c r="B6454" s="568" t="s">
        <v>722</v>
      </c>
      <c r="C6454" s="568"/>
      <c r="D6454" s="568"/>
      <c r="E6454" s="188"/>
      <c r="F6454" s="188"/>
      <c r="G6454" s="2122"/>
      <c r="H6454" s="568"/>
      <c r="I6454" s="2118"/>
      <c r="J6454" s="2123"/>
      <c r="K6454" s="2123">
        <f>K6452</f>
        <v>198.56</v>
      </c>
      <c r="L6454" s="192"/>
      <c r="M6454" s="568"/>
    </row>
    <row r="6455" spans="1:13" ht="12.75" hidden="1">
      <c r="A6455" s="2114"/>
      <c r="B6455" s="568" t="s">
        <v>948</v>
      </c>
      <c r="C6455" s="568"/>
      <c r="D6455" s="568"/>
      <c r="E6455" s="188"/>
      <c r="F6455" s="188"/>
      <c r="G6455" s="2122"/>
      <c r="H6455" s="568"/>
      <c r="I6455" s="2118"/>
      <c r="J6455" s="2123"/>
      <c r="K6455" s="2123">
        <f>ROUND(K6445/9.3*1*3%,2)</f>
        <v>4.58</v>
      </c>
      <c r="L6455" s="192"/>
      <c r="M6455" s="568"/>
    </row>
    <row r="6456" spans="1:13" ht="12.75" hidden="1">
      <c r="A6456" s="2114"/>
      <c r="B6456" s="568"/>
      <c r="C6456" s="568"/>
      <c r="D6456" s="568"/>
      <c r="E6456" s="188"/>
      <c r="F6456" s="188"/>
      <c r="G6456" s="2122"/>
      <c r="H6456" s="568"/>
      <c r="I6456" s="2118"/>
      <c r="J6456" s="2126" t="s">
        <v>718</v>
      </c>
      <c r="K6456" s="2124">
        <f>SUM(K6454:K6455)</f>
        <v>203.14000000000001</v>
      </c>
      <c r="L6456" s="192" t="s">
        <v>730</v>
      </c>
      <c r="M6456" s="568"/>
    </row>
    <row r="6457" spans="1:13" ht="12.75" hidden="1">
      <c r="A6457" s="2114" t="str">
        <f>A1022</f>
        <v>(iii)</v>
      </c>
      <c r="B6457" s="192" t="str">
        <f>B1023</f>
        <v>3rd Floor</v>
      </c>
      <c r="C6457" s="568"/>
      <c r="D6457" s="568"/>
      <c r="E6457" s="2120" t="str">
        <f>E6453</f>
        <v>Each Sqm</v>
      </c>
      <c r="F6457" s="2120"/>
      <c r="G6457" s="2122"/>
      <c r="H6457" s="568"/>
      <c r="I6457" s="2118"/>
      <c r="J6457" s="2123"/>
      <c r="K6457" s="2123"/>
      <c r="L6457" s="192"/>
      <c r="M6457" s="568"/>
    </row>
    <row r="6458" spans="1:13" ht="12.75" hidden="1">
      <c r="A6458" s="2114"/>
      <c r="B6458" s="568" t="s">
        <v>722</v>
      </c>
      <c r="C6458" s="568"/>
      <c r="D6458" s="568"/>
      <c r="E6458" s="188"/>
      <c r="F6458" s="188"/>
      <c r="G6458" s="2122"/>
      <c r="H6458" s="568"/>
      <c r="I6458" s="2118"/>
      <c r="J6458" s="2123"/>
      <c r="K6458" s="2123">
        <f>K6456</f>
        <v>203.14000000000001</v>
      </c>
      <c r="L6458" s="192"/>
      <c r="M6458" s="568"/>
    </row>
    <row r="6459" spans="1:13" ht="12.75" hidden="1">
      <c r="A6459" s="2114"/>
      <c r="B6459" s="568" t="s">
        <v>948</v>
      </c>
      <c r="C6459" s="568"/>
      <c r="D6459" s="568"/>
      <c r="E6459" s="188"/>
      <c r="F6459" s="188"/>
      <c r="G6459" s="2122"/>
      <c r="H6459" s="568"/>
      <c r="I6459" s="2118"/>
      <c r="J6459" s="2123"/>
      <c r="K6459" s="2123">
        <f>K6455+ROUND(K6455*1*3%,2)</f>
        <v>4.72</v>
      </c>
      <c r="L6459" s="192"/>
      <c r="M6459" s="568"/>
    </row>
    <row r="6460" spans="1:13" ht="12.75" hidden="1">
      <c r="A6460" s="2114"/>
      <c r="B6460" s="568"/>
      <c r="C6460" s="568"/>
      <c r="D6460" s="568"/>
      <c r="E6460" s="188"/>
      <c r="F6460" s="188"/>
      <c r="G6460" s="2122"/>
      <c r="H6460" s="568"/>
      <c r="I6460" s="2118"/>
      <c r="J6460" s="2126" t="s">
        <v>718</v>
      </c>
      <c r="K6460" s="2124">
        <f>SUM(K6458:K6459)</f>
        <v>207.86</v>
      </c>
      <c r="L6460" s="192" t="s">
        <v>730</v>
      </c>
      <c r="M6460" s="568"/>
    </row>
    <row r="6461" spans="1:13" ht="12.75" hidden="1">
      <c r="A6461" s="2114" t="str">
        <f>A1023</f>
        <v>(iv)</v>
      </c>
      <c r="B6461" s="192" t="str">
        <f>B1023</f>
        <v>3rd Floor</v>
      </c>
      <c r="C6461" s="568"/>
      <c r="D6461" s="568"/>
      <c r="E6461" s="2120" t="str">
        <f>E6457</f>
        <v>Each Sqm</v>
      </c>
      <c r="F6461" s="2120"/>
      <c r="G6461" s="2122"/>
      <c r="H6461" s="568"/>
      <c r="I6461" s="2118"/>
      <c r="J6461" s="2123"/>
      <c r="K6461" s="2123"/>
      <c r="L6461" s="192"/>
      <c r="M6461" s="568"/>
    </row>
    <row r="6462" spans="1:13" ht="12.75" hidden="1">
      <c r="A6462" s="2114"/>
      <c r="B6462" s="568" t="s">
        <v>722</v>
      </c>
      <c r="C6462" s="568"/>
      <c r="D6462" s="568"/>
      <c r="E6462" s="188"/>
      <c r="F6462" s="188"/>
      <c r="G6462" s="2122"/>
      <c r="H6462" s="568"/>
      <c r="I6462" s="2118"/>
      <c r="J6462" s="2123"/>
      <c r="K6462" s="2123">
        <f>K6460</f>
        <v>207.86</v>
      </c>
      <c r="L6462" s="192"/>
      <c r="M6462" s="568"/>
    </row>
    <row r="6463" spans="1:13" ht="12.75" hidden="1">
      <c r="A6463" s="2114"/>
      <c r="B6463" s="568" t="s">
        <v>948</v>
      </c>
      <c r="C6463" s="568"/>
      <c r="D6463" s="568"/>
      <c r="E6463" s="188"/>
      <c r="F6463" s="188"/>
      <c r="G6463" s="2122"/>
      <c r="H6463" s="568"/>
      <c r="I6463" s="2118"/>
      <c r="J6463" s="2123"/>
      <c r="K6463" s="2123">
        <f>K6459+ROUND(K6459*1*3%,2)</f>
        <v>4.8599999999999994</v>
      </c>
      <c r="L6463" s="192"/>
      <c r="M6463" s="568"/>
    </row>
    <row r="6464" spans="1:13" ht="12.75" hidden="1">
      <c r="A6464" s="2114"/>
      <c r="B6464" s="568"/>
      <c r="C6464" s="568"/>
      <c r="D6464" s="568"/>
      <c r="E6464" s="188"/>
      <c r="F6464" s="188"/>
      <c r="G6464" s="2122"/>
      <c r="H6464" s="568"/>
      <c r="I6464" s="2118"/>
      <c r="J6464" s="2126" t="s">
        <v>718</v>
      </c>
      <c r="K6464" s="2124">
        <f>SUM(K6462:K6463)</f>
        <v>212.72000000000003</v>
      </c>
      <c r="L6464" s="192" t="s">
        <v>730</v>
      </c>
      <c r="M6464" s="568"/>
    </row>
    <row r="6465" spans="1:20" s="1741" customFormat="1" ht="40.9" hidden="1" customHeight="1">
      <c r="A6465" s="2114">
        <f>A1024</f>
        <v>136</v>
      </c>
      <c r="B6465" s="3034" t="str">
        <f>B1024</f>
        <v>Fine dressing of earth work in Ordinary or Hard Soil in road formation according to the direction of the department including cutting or filling earth upto 0.15m depth of surface.</v>
      </c>
      <c r="C6465" s="3034"/>
      <c r="D6465" s="3034"/>
      <c r="E6465" s="2237" t="str">
        <f>G1009</f>
        <v>Each Sqm</v>
      </c>
      <c r="F6465" s="2237"/>
      <c r="G6465" s="2238"/>
      <c r="H6465" s="2238"/>
      <c r="I6465" s="2239"/>
      <c r="J6465" s="2238"/>
      <c r="K6465" s="2238"/>
      <c r="L6465" s="2240"/>
      <c r="M6465" s="2238"/>
      <c r="T6465" s="1735"/>
    </row>
    <row r="6466" spans="1:20" s="1741" customFormat="1" ht="12.75" hidden="1">
      <c r="A6466" s="2241"/>
      <c r="B6466" s="2242" t="s">
        <v>1265</v>
      </c>
      <c r="C6466" s="2242"/>
      <c r="D6466" s="2242"/>
      <c r="E6466" s="2243"/>
      <c r="F6466" s="2243"/>
      <c r="G6466" s="2242"/>
      <c r="H6466" s="2238"/>
      <c r="I6466" s="2239"/>
      <c r="J6466" s="2242"/>
      <c r="K6466" s="2242"/>
      <c r="L6466" s="2240"/>
      <c r="M6466" s="2238"/>
      <c r="T6466" s="1735"/>
    </row>
    <row r="6467" spans="1:20" s="1741" customFormat="1" ht="12.75" hidden="1">
      <c r="A6467" s="2241"/>
      <c r="B6467" s="2244" t="s">
        <v>715</v>
      </c>
      <c r="C6467" s="2244"/>
      <c r="D6467" s="2242"/>
      <c r="E6467" s="2243"/>
      <c r="F6467" s="2243"/>
      <c r="G6467" s="2242"/>
      <c r="H6467" s="2238"/>
      <c r="I6467" s="2239"/>
      <c r="J6467" s="2242"/>
      <c r="K6467" s="2242"/>
      <c r="L6467" s="2240"/>
      <c r="M6467" s="2238"/>
      <c r="T6467" s="1735"/>
    </row>
    <row r="6468" spans="1:20" s="1741" customFormat="1" ht="12.75" hidden="1">
      <c r="A6468" s="2241"/>
      <c r="B6468" s="2242" t="s">
        <v>1266</v>
      </c>
      <c r="C6468" s="2242"/>
      <c r="D6468" s="2242"/>
      <c r="E6468" s="2243"/>
      <c r="F6468" s="2243"/>
      <c r="G6468" s="2245">
        <v>1</v>
      </c>
      <c r="H6468" s="2238" t="s">
        <v>262</v>
      </c>
      <c r="I6468" s="2239" t="s">
        <v>38</v>
      </c>
      <c r="J6468" s="2235">
        <f>L134</f>
        <v>345</v>
      </c>
      <c r="K6468" s="2235">
        <f>ROUND(G6468*J6468,2)</f>
        <v>345</v>
      </c>
      <c r="L6468" s="2240"/>
      <c r="M6468" s="6"/>
      <c r="T6468" s="1735"/>
    </row>
    <row r="6469" spans="1:20" ht="12.75" hidden="1">
      <c r="A6469" s="2114"/>
      <c r="B6469" s="568" t="s">
        <v>1259</v>
      </c>
      <c r="C6469" s="568"/>
      <c r="D6469" s="568"/>
      <c r="E6469" s="188"/>
      <c r="F6469" s="188"/>
      <c r="G6469" s="2122"/>
      <c r="H6469" s="568"/>
      <c r="I6469" s="2118"/>
      <c r="J6469" s="2123"/>
      <c r="K6469" s="2123">
        <f>K6468*2%</f>
        <v>6.9</v>
      </c>
      <c r="L6469" s="192"/>
      <c r="M6469" s="568"/>
    </row>
    <row r="6470" spans="1:20" s="1741" customFormat="1" ht="12.75" hidden="1">
      <c r="A6470" s="2241"/>
      <c r="B6470" s="2242"/>
      <c r="C6470" s="2242"/>
      <c r="D6470" s="2242"/>
      <c r="E6470" s="2243"/>
      <c r="F6470" s="2243"/>
      <c r="G6470" s="2245"/>
      <c r="H6470" s="2238"/>
      <c r="I6470" s="2239"/>
      <c r="J6470" s="2246" t="s">
        <v>718</v>
      </c>
      <c r="K6470" s="2247">
        <f>SUM(K6468:K6469)</f>
        <v>351.9</v>
      </c>
      <c r="L6470" s="2240"/>
      <c r="M6470" s="6"/>
      <c r="T6470" s="1735"/>
    </row>
    <row r="6471" spans="1:20" s="1741" customFormat="1" ht="12.75" hidden="1">
      <c r="A6471" s="2241"/>
      <c r="B6471" s="2244"/>
      <c r="C6471" s="2244"/>
      <c r="D6471" s="2242"/>
      <c r="E6471" s="2243"/>
      <c r="F6471" s="2243"/>
      <c r="G6471" s="2245"/>
      <c r="H6471" s="2238"/>
      <c r="I6471" s="2239"/>
      <c r="J6471" s="2246"/>
      <c r="K6471" s="2247"/>
      <c r="L6471" s="2240"/>
      <c r="M6471" s="6"/>
      <c r="T6471" s="1735"/>
    </row>
    <row r="6472" spans="1:20" s="1741" customFormat="1" ht="12.75" hidden="1">
      <c r="A6472" s="2241"/>
      <c r="B6472" s="2242" t="s">
        <v>1267</v>
      </c>
      <c r="C6472" s="2242"/>
      <c r="D6472" s="2242"/>
      <c r="E6472" s="2243"/>
      <c r="F6472" s="2243"/>
      <c r="G6472" s="2245"/>
      <c r="H6472" s="2238"/>
      <c r="I6472" s="2239"/>
      <c r="J6472" s="2246"/>
      <c r="K6472" s="2247">
        <f>K6470+K6471</f>
        <v>351.9</v>
      </c>
      <c r="L6472" s="2240"/>
      <c r="M6472" s="6"/>
      <c r="T6472" s="1735"/>
    </row>
    <row r="6473" spans="1:20" s="1741" customFormat="1" ht="12.75" hidden="1">
      <c r="A6473" s="2241"/>
      <c r="B6473" s="2244" t="s">
        <v>1254</v>
      </c>
      <c r="C6473" s="2244"/>
      <c r="D6473" s="2244"/>
      <c r="E6473" s="131"/>
      <c r="F6473" s="131"/>
      <c r="G6473" s="2248"/>
      <c r="H6473" s="2240"/>
      <c r="I6473" s="2249"/>
      <c r="J6473" s="2246"/>
      <c r="K6473" s="2247">
        <f>ROUND(K6472/100,2)</f>
        <v>3.52</v>
      </c>
      <c r="L6473" s="2240" t="s">
        <v>730</v>
      </c>
      <c r="M6473" s="2"/>
      <c r="T6473" s="1735"/>
    </row>
    <row r="6474" spans="1:20" s="1741" customFormat="1" ht="43.9" hidden="1" customHeight="1">
      <c r="A6474" s="2114">
        <f>A1025</f>
        <v>137</v>
      </c>
      <c r="B6474" s="3034" t="str">
        <f>B1025</f>
        <v>Cleaning grass and removal of rubbish upto a distance of 50metres outside the peryphery of the area etc complete as per specification.</v>
      </c>
      <c r="C6474" s="3034"/>
      <c r="D6474" s="3034"/>
      <c r="E6474" s="2237" t="str">
        <f>G1025</f>
        <v>Each Sqm</v>
      </c>
      <c r="F6474" s="2237"/>
      <c r="G6474" s="2238"/>
      <c r="H6474" s="2238"/>
      <c r="I6474" s="2239"/>
      <c r="J6474" s="2238"/>
      <c r="K6474" s="2238"/>
      <c r="L6474" s="2240"/>
      <c r="M6474" s="2238"/>
      <c r="T6474" s="1735"/>
    </row>
    <row r="6475" spans="1:20" s="1741" customFormat="1" ht="12.75" hidden="1">
      <c r="A6475" s="2241"/>
      <c r="B6475" s="2242" t="s">
        <v>1268</v>
      </c>
      <c r="C6475" s="2242"/>
      <c r="D6475" s="2242"/>
      <c r="E6475" s="2243"/>
      <c r="F6475" s="2243"/>
      <c r="G6475" s="2242"/>
      <c r="H6475" s="2238"/>
      <c r="I6475" s="2239"/>
      <c r="J6475" s="2242"/>
      <c r="K6475" s="2242"/>
      <c r="L6475" s="2240"/>
      <c r="M6475" s="2238"/>
      <c r="T6475" s="1735"/>
    </row>
    <row r="6476" spans="1:20" s="1741" customFormat="1" ht="12.75" hidden="1">
      <c r="A6476" s="2241"/>
      <c r="B6476" s="2244" t="s">
        <v>715</v>
      </c>
      <c r="C6476" s="2244"/>
      <c r="D6476" s="2242"/>
      <c r="E6476" s="2243"/>
      <c r="F6476" s="2243"/>
      <c r="G6476" s="2242"/>
      <c r="H6476" s="2238"/>
      <c r="I6476" s="2239"/>
      <c r="J6476" s="2242"/>
      <c r="K6476" s="2242"/>
      <c r="L6476" s="2240"/>
      <c r="M6476" s="2238"/>
      <c r="T6476" s="1735"/>
    </row>
    <row r="6477" spans="1:20" s="1741" customFormat="1" ht="12.75" hidden="1">
      <c r="A6477" s="2241"/>
      <c r="B6477" s="2242" t="s">
        <v>744</v>
      </c>
      <c r="C6477" s="2242"/>
      <c r="D6477" s="2242"/>
      <c r="E6477" s="2243"/>
      <c r="F6477" s="2243"/>
      <c r="G6477" s="2245">
        <v>2</v>
      </c>
      <c r="H6477" s="2238" t="s">
        <v>262</v>
      </c>
      <c r="I6477" s="2239" t="s">
        <v>38</v>
      </c>
      <c r="J6477" s="2235">
        <f>L135</f>
        <v>385</v>
      </c>
      <c r="K6477" s="2235">
        <f>ROUND(G6477*J6477,2)</f>
        <v>770</v>
      </c>
      <c r="L6477" s="2240"/>
      <c r="M6477" s="6"/>
      <c r="T6477" s="1735"/>
    </row>
    <row r="6478" spans="1:20" s="1741" customFormat="1" ht="12.75" hidden="1">
      <c r="A6478" s="2241"/>
      <c r="B6478" s="2242" t="s">
        <v>1266</v>
      </c>
      <c r="C6478" s="2242"/>
      <c r="D6478" s="2242"/>
      <c r="E6478" s="2243"/>
      <c r="F6478" s="2243"/>
      <c r="G6478" s="2245">
        <v>50</v>
      </c>
      <c r="H6478" s="2238" t="s">
        <v>262</v>
      </c>
      <c r="I6478" s="2239" t="s">
        <v>38</v>
      </c>
      <c r="J6478" s="2235">
        <f>L134</f>
        <v>345</v>
      </c>
      <c r="K6478" s="2235">
        <f>ROUND(G6478*J6478,2)</f>
        <v>17250</v>
      </c>
      <c r="L6478" s="2240"/>
      <c r="M6478" s="6"/>
      <c r="T6478" s="1735"/>
    </row>
    <row r="6479" spans="1:20" s="1741" customFormat="1" ht="12.75" hidden="1">
      <c r="A6479" s="2241"/>
      <c r="B6479" s="2242"/>
      <c r="C6479" s="2242"/>
      <c r="D6479" s="2242"/>
      <c r="E6479" s="2243"/>
      <c r="F6479" s="2243"/>
      <c r="G6479" s="2245"/>
      <c r="H6479" s="2238"/>
      <c r="I6479" s="2239"/>
      <c r="J6479" s="2246" t="s">
        <v>718</v>
      </c>
      <c r="K6479" s="2247">
        <f>K6477+K6478</f>
        <v>18020</v>
      </c>
      <c r="L6479" s="2240"/>
      <c r="M6479" s="6"/>
      <c r="T6479" s="1735"/>
    </row>
    <row r="6480" spans="1:20" s="1741" customFormat="1" ht="12.75" hidden="1">
      <c r="A6480" s="2241"/>
      <c r="B6480" s="2244"/>
      <c r="C6480" s="2244"/>
      <c r="D6480" s="2242"/>
      <c r="E6480" s="2243"/>
      <c r="F6480" s="2243"/>
      <c r="G6480" s="2245"/>
      <c r="H6480" s="2238"/>
      <c r="I6480" s="2239"/>
      <c r="J6480" s="2246"/>
      <c r="K6480" s="2247"/>
      <c r="L6480" s="2240"/>
      <c r="M6480" s="6"/>
      <c r="T6480" s="1735"/>
    </row>
    <row r="6481" spans="1:20" s="1741" customFormat="1" ht="12.75" hidden="1">
      <c r="A6481" s="2241"/>
      <c r="B6481" s="2242" t="s">
        <v>1269</v>
      </c>
      <c r="C6481" s="2242"/>
      <c r="D6481" s="2242"/>
      <c r="E6481" s="2243"/>
      <c r="F6481" s="2243"/>
      <c r="G6481" s="2245"/>
      <c r="H6481" s="2238"/>
      <c r="I6481" s="2239"/>
      <c r="J6481" s="2246"/>
      <c r="K6481" s="2247">
        <f>K6479+K6480</f>
        <v>18020</v>
      </c>
      <c r="L6481" s="2240"/>
      <c r="M6481" s="6"/>
      <c r="T6481" s="1735"/>
    </row>
    <row r="6482" spans="1:20" s="1741" customFormat="1" ht="12.75" hidden="1">
      <c r="A6482" s="2241"/>
      <c r="B6482" s="2244" t="s">
        <v>1254</v>
      </c>
      <c r="C6482" s="2244"/>
      <c r="D6482" s="2244"/>
      <c r="E6482" s="131"/>
      <c r="F6482" s="131"/>
      <c r="G6482" s="2248"/>
      <c r="H6482" s="2240"/>
      <c r="I6482" s="2249"/>
      <c r="J6482" s="2246"/>
      <c r="K6482" s="2247">
        <f>ROUND(K6481/10000,2)</f>
        <v>1.8</v>
      </c>
      <c r="L6482" s="2240" t="s">
        <v>730</v>
      </c>
      <c r="M6482" s="2"/>
      <c r="T6482" s="1735"/>
    </row>
    <row r="6483" spans="1:20" s="1741" customFormat="1" ht="100.9" hidden="1" customHeight="1">
      <c r="A6483" s="2241">
        <f>A1026</f>
        <v>138</v>
      </c>
      <c r="B6483" s="3034" t="str">
        <f>B1026</f>
        <v>Cleaning and grubbing road land including uprooting rank vegetation, grass, bushes, shrubs, sapling and trees girth up to 300mm, removal of stumps of trees cut earlier and disposal of unserviceable materials and stacking of serviceable materials to be used or auctioned, up to lead of 1000m including removal and disposal of top organic soil not exceeding 150mm in thickness. (in area of light jungle)</v>
      </c>
      <c r="C6483" s="3034"/>
      <c r="D6483" s="3034"/>
      <c r="E6483" s="2237" t="str">
        <f>G1026</f>
        <v>Each Sqm</v>
      </c>
      <c r="F6483" s="2237"/>
      <c r="G6483" s="2238"/>
      <c r="H6483" s="2238"/>
      <c r="I6483" s="2239"/>
      <c r="J6483" s="2238"/>
      <c r="K6483" s="2238"/>
      <c r="L6483" s="2240"/>
      <c r="M6483" s="2238"/>
      <c r="T6483" s="1735"/>
    </row>
    <row r="6484" spans="1:20" s="1741" customFormat="1" ht="13.5" hidden="1" customHeight="1">
      <c r="A6484" s="2241" t="str">
        <f>A1027</f>
        <v>i</v>
      </c>
      <c r="B6484" s="2250" t="str">
        <f>B1027</f>
        <v>Light Jungle</v>
      </c>
      <c r="C6484" s="2236"/>
      <c r="D6484" s="2236"/>
      <c r="E6484" s="2237"/>
      <c r="F6484" s="2237"/>
      <c r="G6484" s="2238"/>
      <c r="H6484" s="2238"/>
      <c r="I6484" s="2239"/>
      <c r="J6484" s="2238"/>
      <c r="K6484" s="2238"/>
      <c r="L6484" s="2240"/>
      <c r="M6484" s="2238"/>
      <c r="T6484" s="1735"/>
    </row>
    <row r="6485" spans="1:20" s="1741" customFormat="1" ht="12.75" hidden="1">
      <c r="A6485" s="6"/>
      <c r="B6485" s="2244" t="s">
        <v>1268</v>
      </c>
      <c r="C6485" s="2242"/>
      <c r="D6485" s="2242"/>
      <c r="E6485" s="2243"/>
      <c r="F6485" s="2243"/>
      <c r="G6485" s="2242"/>
      <c r="H6485" s="2238"/>
      <c r="I6485" s="2239"/>
      <c r="J6485" s="2242"/>
      <c r="K6485" s="2242"/>
      <c r="L6485" s="2240"/>
      <c r="M6485" s="2238"/>
      <c r="T6485" s="1735"/>
    </row>
    <row r="6486" spans="1:20" s="1741" customFormat="1" ht="12.75" hidden="1">
      <c r="A6486" s="2241"/>
      <c r="B6486" s="2244" t="s">
        <v>715</v>
      </c>
      <c r="C6486" s="2244"/>
      <c r="D6486" s="2242"/>
      <c r="E6486" s="2243"/>
      <c r="F6486" s="2243"/>
      <c r="G6486" s="2242"/>
      <c r="H6486" s="2238"/>
      <c r="I6486" s="2239"/>
      <c r="J6486" s="2242"/>
      <c r="K6486" s="2242"/>
      <c r="L6486" s="2240"/>
      <c r="M6486" s="2238"/>
      <c r="T6486" s="1735"/>
    </row>
    <row r="6487" spans="1:20" s="1741" customFormat="1" ht="12.75" hidden="1">
      <c r="A6487" s="2241"/>
      <c r="B6487" s="2242" t="s">
        <v>744</v>
      </c>
      <c r="C6487" s="2242"/>
      <c r="D6487" s="2242"/>
      <c r="E6487" s="2243"/>
      <c r="F6487" s="2243"/>
      <c r="G6487" s="2245">
        <v>6</v>
      </c>
      <c r="H6487" s="2238" t="s">
        <v>262</v>
      </c>
      <c r="I6487" s="2239" t="s">
        <v>38</v>
      </c>
      <c r="J6487" s="2235">
        <f>L135</f>
        <v>385</v>
      </c>
      <c r="K6487" s="2235">
        <f>ROUND(G6487*J6487,2)</f>
        <v>2310</v>
      </c>
      <c r="L6487" s="2240"/>
      <c r="M6487" s="6"/>
      <c r="T6487" s="1735"/>
    </row>
    <row r="6488" spans="1:20" s="1741" customFormat="1" ht="12.75" hidden="1">
      <c r="A6488" s="2241"/>
      <c r="B6488" s="2242" t="s">
        <v>1266</v>
      </c>
      <c r="C6488" s="2242"/>
      <c r="D6488" s="2242"/>
      <c r="E6488" s="2243"/>
      <c r="F6488" s="2243"/>
      <c r="G6488" s="2245">
        <v>150</v>
      </c>
      <c r="H6488" s="2238" t="s">
        <v>262</v>
      </c>
      <c r="I6488" s="2239" t="s">
        <v>38</v>
      </c>
      <c r="J6488" s="2235">
        <f>L134</f>
        <v>345</v>
      </c>
      <c r="K6488" s="2235">
        <f>ROUND(G6488*J6488,2)</f>
        <v>51750</v>
      </c>
      <c r="L6488" s="2240"/>
      <c r="M6488" s="6"/>
      <c r="T6488" s="1735"/>
    </row>
    <row r="6489" spans="1:20" s="1741" customFormat="1" ht="12.75" hidden="1">
      <c r="A6489" s="2241"/>
      <c r="B6489" s="2242"/>
      <c r="C6489" s="2242"/>
      <c r="D6489" s="2242"/>
      <c r="E6489" s="2243"/>
      <c r="F6489" s="2243"/>
      <c r="G6489" s="2245"/>
      <c r="H6489" s="2238"/>
      <c r="I6489" s="2239"/>
      <c r="J6489" s="2246" t="s">
        <v>718</v>
      </c>
      <c r="K6489" s="2247">
        <f>K6487+K6488</f>
        <v>54060</v>
      </c>
      <c r="L6489" s="2240"/>
      <c r="M6489" s="6"/>
      <c r="T6489" s="1735"/>
    </row>
    <row r="6490" spans="1:20" s="1741" customFormat="1" ht="12.75" hidden="1">
      <c r="A6490" s="2241"/>
      <c r="B6490" s="2244" t="s">
        <v>745</v>
      </c>
      <c r="C6490" s="2244"/>
      <c r="D6490" s="2242"/>
      <c r="E6490" s="2243"/>
      <c r="F6490" s="2243"/>
      <c r="G6490" s="2245"/>
      <c r="H6490" s="2238"/>
      <c r="I6490" s="2239"/>
      <c r="J6490" s="2235"/>
      <c r="K6490" s="2247"/>
      <c r="L6490" s="2240"/>
      <c r="M6490" s="6"/>
      <c r="T6490" s="1735"/>
    </row>
    <row r="6491" spans="1:20" s="1741" customFormat="1" ht="12.75" hidden="1">
      <c r="A6491" s="2241"/>
      <c r="B6491" s="2242" t="s">
        <v>1270</v>
      </c>
      <c r="C6491" s="2242"/>
      <c r="D6491" s="2242"/>
      <c r="E6491" s="2243"/>
      <c r="F6491" s="2243"/>
      <c r="G6491" s="2245">
        <v>1</v>
      </c>
      <c r="H6491" s="2238" t="s">
        <v>312</v>
      </c>
      <c r="I6491" s="2239" t="s">
        <v>312</v>
      </c>
      <c r="J6491" s="2235">
        <f>G237</f>
        <v>357.55</v>
      </c>
      <c r="K6491" s="2235">
        <f>ROUND(G6491*J6491,2)</f>
        <v>357.55</v>
      </c>
      <c r="L6491" s="2240"/>
      <c r="M6491" s="6"/>
      <c r="T6491" s="1735"/>
    </row>
    <row r="6492" spans="1:20" s="1741" customFormat="1" ht="12.75" hidden="1">
      <c r="A6492" s="2241"/>
      <c r="B6492" s="2242"/>
      <c r="C6492" s="2242"/>
      <c r="D6492" s="2242"/>
      <c r="E6492" s="2243"/>
      <c r="F6492" s="2243"/>
      <c r="G6492" s="2245"/>
      <c r="H6492" s="2238"/>
      <c r="I6492" s="2239"/>
      <c r="J6492" s="2246" t="s">
        <v>718</v>
      </c>
      <c r="K6492" s="2247">
        <f>SUM(K6491:K6491)</f>
        <v>357.55</v>
      </c>
      <c r="L6492" s="2240"/>
      <c r="M6492" s="6"/>
      <c r="T6492" s="1735"/>
    </row>
    <row r="6493" spans="1:20" s="1741" customFormat="1" ht="12.75" hidden="1">
      <c r="A6493" s="2241"/>
      <c r="B6493" s="2242" t="s">
        <v>760</v>
      </c>
      <c r="C6493" s="2242"/>
      <c r="D6493" s="2242"/>
      <c r="E6493" s="2243"/>
      <c r="F6493" s="2243"/>
      <c r="G6493" s="2245"/>
      <c r="H6493" s="2238"/>
      <c r="I6493" s="2239"/>
      <c r="J6493" s="2246"/>
      <c r="K6493" s="2247">
        <f>K6489+K6492</f>
        <v>54417.55</v>
      </c>
      <c r="L6493" s="2240"/>
      <c r="M6493" s="6"/>
      <c r="T6493" s="1735"/>
    </row>
    <row r="6494" spans="1:20" s="1741" customFormat="1" ht="12.75" hidden="1">
      <c r="A6494" s="2241"/>
      <c r="B6494" s="2244"/>
      <c r="C6494" s="2244"/>
      <c r="D6494" s="2242"/>
      <c r="E6494" s="2243"/>
      <c r="F6494" s="2243"/>
      <c r="G6494" s="2245"/>
      <c r="H6494" s="2238"/>
      <c r="I6494" s="2239"/>
      <c r="J6494" s="2246"/>
      <c r="K6494" s="2247"/>
      <c r="L6494" s="2240"/>
      <c r="M6494" s="6"/>
      <c r="T6494" s="1735"/>
    </row>
    <row r="6495" spans="1:20" s="1741" customFormat="1" ht="12.75" hidden="1">
      <c r="A6495" s="2241"/>
      <c r="B6495" s="2244" t="s">
        <v>1269</v>
      </c>
      <c r="C6495" s="2242"/>
      <c r="D6495" s="2242"/>
      <c r="E6495" s="2243"/>
      <c r="F6495" s="2243"/>
      <c r="G6495" s="2245"/>
      <c r="H6495" s="2238"/>
      <c r="I6495" s="2239"/>
      <c r="J6495" s="2246"/>
      <c r="K6495" s="2247">
        <f>K6493+K6494</f>
        <v>54417.55</v>
      </c>
      <c r="L6495" s="2240"/>
      <c r="M6495" s="6"/>
      <c r="T6495" s="1735"/>
    </row>
    <row r="6496" spans="1:20" s="1741" customFormat="1" ht="12.75" hidden="1">
      <c r="A6496" s="2241"/>
      <c r="B6496" s="2244" t="s">
        <v>1254</v>
      </c>
      <c r="C6496" s="2244"/>
      <c r="D6496" s="2244"/>
      <c r="E6496" s="131"/>
      <c r="F6496" s="131"/>
      <c r="G6496" s="2248"/>
      <c r="H6496" s="2240"/>
      <c r="I6496" s="2249"/>
      <c r="J6496" s="2246"/>
      <c r="K6496" s="2247">
        <f>ROUND(K6495/10000,2)</f>
        <v>5.44</v>
      </c>
      <c r="L6496" s="2240" t="s">
        <v>730</v>
      </c>
      <c r="M6496" s="2"/>
      <c r="T6496" s="1735"/>
    </row>
    <row r="6497" spans="1:20" s="1741" customFormat="1" ht="12.75" hidden="1">
      <c r="A6497" s="2241" t="str">
        <f>A1028</f>
        <v>ii</v>
      </c>
      <c r="B6497" s="2244" t="str">
        <f>B1028</f>
        <v>Thorney Jungle</v>
      </c>
      <c r="C6497" s="2242"/>
      <c r="D6497" s="2242"/>
      <c r="E6497" s="2243"/>
      <c r="F6497" s="2243"/>
      <c r="G6497" s="2242"/>
      <c r="H6497" s="2238"/>
      <c r="I6497" s="2239"/>
      <c r="J6497" s="2242"/>
      <c r="K6497" s="2242"/>
      <c r="L6497" s="2240"/>
      <c r="M6497" s="2238"/>
      <c r="T6497" s="1735"/>
    </row>
    <row r="6498" spans="1:20" s="1741" customFormat="1" ht="12.75" hidden="1">
      <c r="A6498" s="2241"/>
      <c r="B6498" s="2244" t="s">
        <v>715</v>
      </c>
      <c r="C6498" s="2244"/>
      <c r="D6498" s="2242"/>
      <c r="E6498" s="2243"/>
      <c r="F6498" s="2243"/>
      <c r="G6498" s="2242"/>
      <c r="H6498" s="2238"/>
      <c r="I6498" s="2239"/>
      <c r="J6498" s="2242"/>
      <c r="K6498" s="2242"/>
      <c r="L6498" s="2240"/>
      <c r="M6498" s="2238"/>
      <c r="T6498" s="1735"/>
    </row>
    <row r="6499" spans="1:20" s="1741" customFormat="1" ht="12.75" hidden="1">
      <c r="A6499" s="2241"/>
      <c r="B6499" s="2242" t="s">
        <v>744</v>
      </c>
      <c r="C6499" s="2242"/>
      <c r="D6499" s="2242"/>
      <c r="E6499" s="2243"/>
      <c r="F6499" s="2243"/>
      <c r="G6499" s="2245">
        <v>8</v>
      </c>
      <c r="H6499" s="2238" t="s">
        <v>262</v>
      </c>
      <c r="I6499" s="2239" t="s">
        <v>38</v>
      </c>
      <c r="J6499" s="2235">
        <f>L135</f>
        <v>385</v>
      </c>
      <c r="K6499" s="2235">
        <f>ROUND(G6499*J6499,2)</f>
        <v>3080</v>
      </c>
      <c r="L6499" s="2240"/>
      <c r="M6499" s="6"/>
      <c r="T6499" s="1735"/>
    </row>
    <row r="6500" spans="1:20" s="1741" customFormat="1" ht="12.75" hidden="1">
      <c r="A6500" s="2241"/>
      <c r="B6500" s="2242" t="s">
        <v>1266</v>
      </c>
      <c r="C6500" s="2242"/>
      <c r="D6500" s="2242"/>
      <c r="E6500" s="2243"/>
      <c r="F6500" s="2243"/>
      <c r="G6500" s="2245">
        <v>200</v>
      </c>
      <c r="H6500" s="2238" t="s">
        <v>262</v>
      </c>
      <c r="I6500" s="2239" t="s">
        <v>38</v>
      </c>
      <c r="J6500" s="2235">
        <f>L134</f>
        <v>345</v>
      </c>
      <c r="K6500" s="2235">
        <f>ROUND(G6500*J6500,2)</f>
        <v>69000</v>
      </c>
      <c r="L6500" s="2240"/>
      <c r="M6500" s="6"/>
      <c r="T6500" s="1735"/>
    </row>
    <row r="6501" spans="1:20" s="1741" customFormat="1" ht="12.75" hidden="1">
      <c r="A6501" s="2241"/>
      <c r="B6501" s="2242"/>
      <c r="C6501" s="2242"/>
      <c r="D6501" s="2242"/>
      <c r="E6501" s="2243"/>
      <c r="F6501" s="2243"/>
      <c r="G6501" s="2245"/>
      <c r="H6501" s="2238"/>
      <c r="I6501" s="2239"/>
      <c r="J6501" s="2246" t="s">
        <v>718</v>
      </c>
      <c r="K6501" s="2247">
        <f>K6499+K6500</f>
        <v>72080</v>
      </c>
      <c r="L6501" s="2240"/>
      <c r="M6501" s="6"/>
      <c r="T6501" s="1735"/>
    </row>
    <row r="6502" spans="1:20" s="1741" customFormat="1" ht="12.75" hidden="1">
      <c r="A6502" s="2241"/>
      <c r="B6502" s="2244" t="s">
        <v>745</v>
      </c>
      <c r="C6502" s="2244"/>
      <c r="D6502" s="2242"/>
      <c r="E6502" s="2243"/>
      <c r="F6502" s="2243"/>
      <c r="G6502" s="2245"/>
      <c r="H6502" s="2238"/>
      <c r="I6502" s="2239"/>
      <c r="J6502" s="2235"/>
      <c r="K6502" s="2247"/>
      <c r="L6502" s="2240"/>
      <c r="M6502" s="6"/>
      <c r="T6502" s="1735"/>
    </row>
    <row r="6503" spans="1:20" s="1741" customFormat="1" ht="12.75" hidden="1">
      <c r="A6503" s="2241"/>
      <c r="B6503" s="2242" t="s">
        <v>1270</v>
      </c>
      <c r="C6503" s="2242"/>
      <c r="D6503" s="2242"/>
      <c r="E6503" s="2243"/>
      <c r="F6503" s="2243"/>
      <c r="G6503" s="2245">
        <v>2</v>
      </c>
      <c r="H6503" s="2238" t="s">
        <v>312</v>
      </c>
      <c r="I6503" s="2239" t="s">
        <v>312</v>
      </c>
      <c r="J6503" s="2235">
        <f>G237</f>
        <v>357.55</v>
      </c>
      <c r="K6503" s="2235">
        <f>ROUND(G6503*J6503,2)</f>
        <v>715.1</v>
      </c>
      <c r="L6503" s="2240"/>
      <c r="M6503" s="6"/>
      <c r="T6503" s="1735"/>
    </row>
    <row r="6504" spans="1:20" s="1741" customFormat="1" ht="12.75" hidden="1">
      <c r="A6504" s="2241"/>
      <c r="B6504" s="2242"/>
      <c r="C6504" s="2242"/>
      <c r="D6504" s="2242"/>
      <c r="E6504" s="2243"/>
      <c r="F6504" s="2243"/>
      <c r="G6504" s="2245"/>
      <c r="H6504" s="2238"/>
      <c r="I6504" s="2239"/>
      <c r="J6504" s="2246" t="s">
        <v>718</v>
      </c>
      <c r="K6504" s="2247">
        <f>SUM(K6503:K6503)</f>
        <v>715.1</v>
      </c>
      <c r="L6504" s="2240"/>
      <c r="M6504" s="6"/>
      <c r="T6504" s="1735"/>
    </row>
    <row r="6505" spans="1:20" s="1741" customFormat="1" ht="12.75" hidden="1">
      <c r="A6505" s="2241"/>
      <c r="B6505" s="2242" t="s">
        <v>760</v>
      </c>
      <c r="C6505" s="2242"/>
      <c r="D6505" s="2242"/>
      <c r="E6505" s="2243"/>
      <c r="F6505" s="2243"/>
      <c r="G6505" s="2245"/>
      <c r="H6505" s="2238"/>
      <c r="I6505" s="2239"/>
      <c r="J6505" s="2246"/>
      <c r="K6505" s="2247">
        <f>K6501+K6504</f>
        <v>72795.100000000006</v>
      </c>
      <c r="L6505" s="2240"/>
      <c r="M6505" s="6"/>
      <c r="T6505" s="1735"/>
    </row>
    <row r="6506" spans="1:20" s="1741" customFormat="1" ht="12.75" hidden="1">
      <c r="A6506" s="2241"/>
      <c r="B6506" s="2244"/>
      <c r="C6506" s="2244"/>
      <c r="D6506" s="2242"/>
      <c r="E6506" s="2243"/>
      <c r="F6506" s="2243"/>
      <c r="G6506" s="2245"/>
      <c r="H6506" s="2238"/>
      <c r="I6506" s="2239"/>
      <c r="J6506" s="2246"/>
      <c r="K6506" s="2247"/>
      <c r="L6506" s="2240"/>
      <c r="M6506" s="6"/>
      <c r="T6506" s="1735"/>
    </row>
    <row r="6507" spans="1:20" s="1741" customFormat="1" ht="12.75" hidden="1">
      <c r="A6507" s="2241"/>
      <c r="B6507" s="2242" t="s">
        <v>1269</v>
      </c>
      <c r="C6507" s="2242"/>
      <c r="D6507" s="2242"/>
      <c r="E6507" s="2243"/>
      <c r="F6507" s="2243"/>
      <c r="G6507" s="2245"/>
      <c r="H6507" s="2238"/>
      <c r="I6507" s="2239"/>
      <c r="J6507" s="2246"/>
      <c r="K6507" s="2247">
        <f>K6505+K6506</f>
        <v>72795.100000000006</v>
      </c>
      <c r="L6507" s="2240"/>
      <c r="M6507" s="6"/>
      <c r="T6507" s="1735"/>
    </row>
    <row r="6508" spans="1:20" s="1741" customFormat="1" ht="12.75" hidden="1">
      <c r="A6508" s="2241"/>
      <c r="B6508" s="2244" t="s">
        <v>1254</v>
      </c>
      <c r="C6508" s="2244"/>
      <c r="D6508" s="2244"/>
      <c r="E6508" s="131"/>
      <c r="F6508" s="131"/>
      <c r="G6508" s="2248"/>
      <c r="H6508" s="2240"/>
      <c r="I6508" s="2249"/>
      <c r="J6508" s="2246"/>
      <c r="K6508" s="2247">
        <f>ROUND(K6507/10000,2)</f>
        <v>7.28</v>
      </c>
      <c r="L6508" s="2240" t="s">
        <v>730</v>
      </c>
      <c r="M6508" s="2"/>
      <c r="T6508" s="1735"/>
    </row>
    <row r="6509" spans="1:20" hidden="1"/>
    <row r="6510" spans="1:20" hidden="1"/>
    <row r="6511" spans="1:20" hidden="1"/>
    <row r="6512" spans="1:20" hidden="1"/>
    <row r="6513" spans="1:20" hidden="1"/>
    <row r="6514" spans="1:20" hidden="1"/>
    <row r="6515" spans="1:20" hidden="1"/>
    <row r="6516" spans="1:20" hidden="1"/>
    <row r="6523" spans="1:20" s="1706" customFormat="1" ht="14.65" customHeight="1">
      <c r="A6523" s="196"/>
      <c r="B6523" s="196" t="str">
        <f>B144</f>
        <v>Junior Engineer</v>
      </c>
      <c r="C6523" s="196"/>
      <c r="D6523" s="196"/>
      <c r="E6523" s="1994"/>
      <c r="F6523" s="1994"/>
      <c r="G6523" s="196" t="str">
        <f>G144</f>
        <v>Assistant Executive Engineer</v>
      </c>
      <c r="H6523" s="196"/>
      <c r="I6523" s="196"/>
      <c r="J6523" s="3041" t="str">
        <f>L144</f>
        <v>Block Development Officer</v>
      </c>
      <c r="K6523" s="3041"/>
      <c r="L6523" s="3041"/>
      <c r="M6523" s="3041"/>
      <c r="N6523" s="196"/>
      <c r="O6523" s="196"/>
      <c r="P6523" s="196"/>
    </row>
    <row r="6524" spans="1:20" s="1706" customFormat="1" ht="14.65" customHeight="1">
      <c r="A6524" s="196"/>
      <c r="B6524" s="196" t="str">
        <f>B145</f>
        <v>Bhuban  Block</v>
      </c>
      <c r="C6524" s="196"/>
      <c r="D6524" s="196"/>
      <c r="E6524" s="1994"/>
      <c r="F6524" s="1994"/>
      <c r="G6524" s="196" t="str">
        <f>G145</f>
        <v>Bhuban  Block</v>
      </c>
      <c r="H6524" s="196"/>
      <c r="I6524" s="196"/>
      <c r="J6524" s="3041" t="str">
        <f>L145</f>
        <v>Bhuban</v>
      </c>
      <c r="K6524" s="3041"/>
      <c r="L6524" s="3041"/>
      <c r="M6524" s="3041"/>
      <c r="N6524" s="196"/>
      <c r="O6524" s="196"/>
      <c r="P6524" s="196"/>
      <c r="Q6524" s="196"/>
    </row>
    <row r="6525" spans="1:20">
      <c r="A6525" s="1707"/>
      <c r="B6525" s="1707"/>
      <c r="C6525" s="1707"/>
      <c r="D6525" s="1707"/>
      <c r="E6525" s="140"/>
      <c r="F6525" s="140"/>
      <c r="G6525" s="1707"/>
      <c r="H6525" s="1707"/>
      <c r="J6525" s="1707"/>
      <c r="L6525" s="1707"/>
      <c r="M6525" s="1707"/>
      <c r="N6525" s="1707"/>
      <c r="O6525" s="1707"/>
      <c r="P6525" s="1707"/>
      <c r="Q6525" s="1707"/>
    </row>
    <row r="6526" spans="1:20" s="175" customFormat="1">
      <c r="A6526" s="1766"/>
      <c r="B6526" s="1762"/>
      <c r="C6526" s="1762"/>
      <c r="D6526" s="1762"/>
      <c r="E6526" s="1766"/>
      <c r="F6526" s="1766"/>
      <c r="H6526" s="1762"/>
      <c r="I6526" s="1762"/>
      <c r="J6526" s="1762"/>
      <c r="L6526" s="1762"/>
      <c r="T6526" s="1759"/>
    </row>
  </sheetData>
  <sheetProtection selectLockedCells="1"/>
  <mergeCells count="2364">
    <mergeCell ref="B5471:D5471"/>
    <mergeCell ref="B5491:D5491"/>
    <mergeCell ref="B5511:D5511"/>
    <mergeCell ref="B5530:D5530"/>
    <mergeCell ref="B5056:D5056"/>
    <mergeCell ref="B3985:D3985"/>
    <mergeCell ref="B4033:D4033"/>
    <mergeCell ref="B3713:D3713"/>
    <mergeCell ref="B3851:D3851"/>
    <mergeCell ref="B3872:D3872"/>
    <mergeCell ref="J6523:M6523"/>
    <mergeCell ref="J6524:M6524"/>
    <mergeCell ref="B6019:H6019"/>
    <mergeCell ref="B6286:H6286"/>
    <mergeCell ref="B1800:G1800"/>
    <mergeCell ref="B1907:H1907"/>
    <mergeCell ref="B1951:H1951"/>
    <mergeCell ref="B2222:H2222"/>
    <mergeCell ref="B2275:H2275"/>
    <mergeCell ref="B2399:H2399"/>
    <mergeCell ref="B3460:H3460"/>
    <mergeCell ref="B3622:H3622"/>
    <mergeCell ref="B3667:H3667"/>
    <mergeCell ref="B3759:H3759"/>
    <mergeCell ref="B3805:G3805"/>
    <mergeCell ref="B4066:H4066"/>
    <mergeCell ref="B4216:H4216"/>
    <mergeCell ref="B4450:H4450"/>
    <mergeCell ref="B5546:H5546"/>
    <mergeCell ref="B5618:H5618"/>
    <mergeCell ref="B5868:H5868"/>
    <mergeCell ref="B5248:D5248"/>
    <mergeCell ref="B5271:D5271"/>
    <mergeCell ref="B5284:D5284"/>
    <mergeCell ref="B5296:D5296"/>
    <mergeCell ref="B5431:D5431"/>
    <mergeCell ref="B5451:D5451"/>
    <mergeCell ref="G906:H906"/>
    <mergeCell ref="L906:M906"/>
    <mergeCell ref="G910:H910"/>
    <mergeCell ref="L910:M910"/>
    <mergeCell ref="G908:H908"/>
    <mergeCell ref="L908:M908"/>
    <mergeCell ref="G909:H909"/>
    <mergeCell ref="L909:M909"/>
    <mergeCell ref="G887:H887"/>
    <mergeCell ref="L887:M887"/>
    <mergeCell ref="G888:H888"/>
    <mergeCell ref="L888:M888"/>
    <mergeCell ref="G890:H890"/>
    <mergeCell ref="L890:M890"/>
    <mergeCell ref="B5139:D5139"/>
    <mergeCell ref="B5159:D5159"/>
    <mergeCell ref="B5184:D5184"/>
    <mergeCell ref="B4885:D4885"/>
    <mergeCell ref="B4911:D4911"/>
    <mergeCell ref="B4943:D4943"/>
    <mergeCell ref="B4977:D4977"/>
    <mergeCell ref="B5006:D5006"/>
    <mergeCell ref="B5036:D5036"/>
    <mergeCell ref="B4793:D4793"/>
    <mergeCell ref="B4810:D4810"/>
    <mergeCell ref="B4827:D4827"/>
    <mergeCell ref="B4836:D4836"/>
    <mergeCell ref="G884:H884"/>
    <mergeCell ref="L884:M884"/>
    <mergeCell ref="G885:H885"/>
    <mergeCell ref="L885:M885"/>
    <mergeCell ref="G886:H886"/>
    <mergeCell ref="L886:M886"/>
    <mergeCell ref="G905:H905"/>
    <mergeCell ref="L905:M905"/>
    <mergeCell ref="G716:H716"/>
    <mergeCell ref="L739:M739"/>
    <mergeCell ref="G734:H734"/>
    <mergeCell ref="L734:M734"/>
    <mergeCell ref="G742:H742"/>
    <mergeCell ref="L753:M753"/>
    <mergeCell ref="L737:M737"/>
    <mergeCell ref="G738:H738"/>
    <mergeCell ref="L738:M738"/>
    <mergeCell ref="G741:H741"/>
    <mergeCell ref="G746:H746"/>
    <mergeCell ref="G747:H747"/>
    <mergeCell ref="L747:M747"/>
    <mergeCell ref="G748:H748"/>
    <mergeCell ref="L748:M748"/>
    <mergeCell ref="G769:H769"/>
    <mergeCell ref="G878:H878"/>
    <mergeCell ref="L878:M878"/>
    <mergeCell ref="G861:H861"/>
    <mergeCell ref="L861:M861"/>
    <mergeCell ref="G862:H862"/>
    <mergeCell ref="L862:M862"/>
    <mergeCell ref="G863:H863"/>
    <mergeCell ref="L863:M863"/>
    <mergeCell ref="G687:H687"/>
    <mergeCell ref="G714:H714"/>
    <mergeCell ref="G750:H750"/>
    <mergeCell ref="L750:M750"/>
    <mergeCell ref="G756:H756"/>
    <mergeCell ref="L756:M756"/>
    <mergeCell ref="G761:H761"/>
    <mergeCell ref="L761:M761"/>
    <mergeCell ref="G753:H753"/>
    <mergeCell ref="G719:H719"/>
    <mergeCell ref="L719:M719"/>
    <mergeCell ref="G720:H720"/>
    <mergeCell ref="L720:M720"/>
    <mergeCell ref="G725:H725"/>
    <mergeCell ref="L725:M725"/>
    <mergeCell ref="G749:H749"/>
    <mergeCell ref="G757:H757"/>
    <mergeCell ref="G758:H758"/>
    <mergeCell ref="L758:M758"/>
    <mergeCell ref="G759:H759"/>
    <mergeCell ref="L759:M759"/>
    <mergeCell ref="G722:H722"/>
    <mergeCell ref="L722:M722"/>
    <mergeCell ref="G723:H723"/>
    <mergeCell ref="L723:M723"/>
    <mergeCell ref="G727:H727"/>
    <mergeCell ref="L727:M727"/>
    <mergeCell ref="L689:M689"/>
    <mergeCell ref="G690:H690"/>
    <mergeCell ref="L690:M690"/>
    <mergeCell ref="G693:H693"/>
    <mergeCell ref="G692:H692"/>
    <mergeCell ref="L692:M692"/>
    <mergeCell ref="G700:H700"/>
    <mergeCell ref="L700:M700"/>
    <mergeCell ref="G709:H709"/>
    <mergeCell ref="L709:M709"/>
    <mergeCell ref="G710:H710"/>
    <mergeCell ref="L710:M710"/>
    <mergeCell ref="G697:H697"/>
    <mergeCell ref="L697:M697"/>
    <mergeCell ref="G699:H699"/>
    <mergeCell ref="L699:M699"/>
    <mergeCell ref="G708:H708"/>
    <mergeCell ref="L708:M708"/>
    <mergeCell ref="L707:M707"/>
    <mergeCell ref="G694:H694"/>
    <mergeCell ref="L694:M694"/>
    <mergeCell ref="G696:H696"/>
    <mergeCell ref="L696:M696"/>
    <mergeCell ref="G691:H691"/>
    <mergeCell ref="L691:M691"/>
    <mergeCell ref="L693:M693"/>
    <mergeCell ref="L662:M662"/>
    <mergeCell ref="G667:H667"/>
    <mergeCell ref="L673:M673"/>
    <mergeCell ref="G676:H676"/>
    <mergeCell ref="L676:M676"/>
    <mergeCell ref="L665:M665"/>
    <mergeCell ref="G658:H658"/>
    <mergeCell ref="L658:M658"/>
    <mergeCell ref="L664:M664"/>
    <mergeCell ref="L651:M651"/>
    <mergeCell ref="G681:H681"/>
    <mergeCell ref="L681:M681"/>
    <mergeCell ref="G678:H678"/>
    <mergeCell ref="L678:M678"/>
    <mergeCell ref="G679:H679"/>
    <mergeCell ref="L679:M679"/>
    <mergeCell ref="G680:H680"/>
    <mergeCell ref="L680:M680"/>
    <mergeCell ref="L654:M654"/>
    <mergeCell ref="G655:H655"/>
    <mergeCell ref="L655:M655"/>
    <mergeCell ref="G674:H674"/>
    <mergeCell ref="L674:M674"/>
    <mergeCell ref="G671:H671"/>
    <mergeCell ref="L671:M671"/>
    <mergeCell ref="G663:H663"/>
    <mergeCell ref="L663:M663"/>
    <mergeCell ref="G664:H664"/>
    <mergeCell ref="G677:H677"/>
    <mergeCell ref="G653:H653"/>
    <mergeCell ref="L653:M653"/>
    <mergeCell ref="G669:H669"/>
    <mergeCell ref="G657:H657"/>
    <mergeCell ref="L657:M657"/>
    <mergeCell ref="G645:H645"/>
    <mergeCell ref="L645:M645"/>
    <mergeCell ref="G648:H648"/>
    <mergeCell ref="G649:H649"/>
    <mergeCell ref="L649:M649"/>
    <mergeCell ref="G650:H650"/>
    <mergeCell ref="L633:M633"/>
    <mergeCell ref="G640:H640"/>
    <mergeCell ref="L640:M640"/>
    <mergeCell ref="G642:H642"/>
    <mergeCell ref="L642:M642"/>
    <mergeCell ref="G643:H643"/>
    <mergeCell ref="G644:H644"/>
    <mergeCell ref="L644:M644"/>
    <mergeCell ref="G652:H652"/>
    <mergeCell ref="L652:M652"/>
    <mergeCell ref="L634:M634"/>
    <mergeCell ref="G635:H635"/>
    <mergeCell ref="L635:M635"/>
    <mergeCell ref="G654:H654"/>
    <mergeCell ref="G656:H656"/>
    <mergeCell ref="L656:M656"/>
    <mergeCell ref="G665:H665"/>
    <mergeCell ref="G666:H666"/>
    <mergeCell ref="L666:M666"/>
    <mergeCell ref="G637:H637"/>
    <mergeCell ref="L637:M637"/>
    <mergeCell ref="L520:M520"/>
    <mergeCell ref="G523:H523"/>
    <mergeCell ref="L523:M523"/>
    <mergeCell ref="G498:H498"/>
    <mergeCell ref="L498:M498"/>
    <mergeCell ref="G501:H501"/>
    <mergeCell ref="L501:M501"/>
    <mergeCell ref="L487:M487"/>
    <mergeCell ref="G502:H502"/>
    <mergeCell ref="L502:M502"/>
    <mergeCell ref="G505:H505"/>
    <mergeCell ref="L505:M505"/>
    <mergeCell ref="G468:H468"/>
    <mergeCell ref="L468:M468"/>
    <mergeCell ref="L475:M475"/>
    <mergeCell ref="G476:H476"/>
    <mergeCell ref="L476:M476"/>
    <mergeCell ref="G477:H477"/>
    <mergeCell ref="L477:M477"/>
    <mergeCell ref="G489:H489"/>
    <mergeCell ref="L489:M489"/>
    <mergeCell ref="G494:H494"/>
    <mergeCell ref="L494:M494"/>
    <mergeCell ref="G499:H499"/>
    <mergeCell ref="L499:M499"/>
    <mergeCell ref="G483:H483"/>
    <mergeCell ref="L483:M483"/>
    <mergeCell ref="G486:H486"/>
    <mergeCell ref="G514:H514"/>
    <mergeCell ref="L514:M514"/>
    <mergeCell ref="G513:H513"/>
    <mergeCell ref="L513:M513"/>
    <mergeCell ref="L480:M480"/>
    <mergeCell ref="G481:H481"/>
    <mergeCell ref="L481:M481"/>
    <mergeCell ref="G482:H482"/>
    <mergeCell ref="L482:M482"/>
    <mergeCell ref="G475:H475"/>
    <mergeCell ref="G473:H473"/>
    <mergeCell ref="L473:M473"/>
    <mergeCell ref="G478:H478"/>
    <mergeCell ref="L478:M478"/>
    <mergeCell ref="G484:H484"/>
    <mergeCell ref="L484:M484"/>
    <mergeCell ref="G500:H500"/>
    <mergeCell ref="L500:M500"/>
    <mergeCell ref="G512:H512"/>
    <mergeCell ref="L512:M512"/>
    <mergeCell ref="G503:H503"/>
    <mergeCell ref="L503:M503"/>
    <mergeCell ref="G506:H506"/>
    <mergeCell ref="G493:H493"/>
    <mergeCell ref="L493:M493"/>
    <mergeCell ref="G496:H496"/>
    <mergeCell ref="L496:M496"/>
    <mergeCell ref="G497:H497"/>
    <mergeCell ref="L497:M497"/>
    <mergeCell ref="G488:H488"/>
    <mergeCell ref="L488:M488"/>
    <mergeCell ref="G495:H495"/>
    <mergeCell ref="L495:M495"/>
    <mergeCell ref="G510:H510"/>
    <mergeCell ref="L510:M510"/>
    <mergeCell ref="G525:H525"/>
    <mergeCell ref="L525:M525"/>
    <mergeCell ref="G528:H528"/>
    <mergeCell ref="L528:M528"/>
    <mergeCell ref="G531:H531"/>
    <mergeCell ref="L531:M531"/>
    <mergeCell ref="G533:H533"/>
    <mergeCell ref="G541:H541"/>
    <mergeCell ref="L541:M541"/>
    <mergeCell ref="G543:H543"/>
    <mergeCell ref="L543:M543"/>
    <mergeCell ref="G544:H544"/>
    <mergeCell ref="L544:M544"/>
    <mergeCell ref="L540:M540"/>
    <mergeCell ref="G540:H540"/>
    <mergeCell ref="G530:H530"/>
    <mergeCell ref="L534:M534"/>
    <mergeCell ref="G536:H536"/>
    <mergeCell ref="L536:M536"/>
    <mergeCell ref="L538:M538"/>
    <mergeCell ref="G421:H421"/>
    <mergeCell ref="L421:M421"/>
    <mergeCell ref="G427:H427"/>
    <mergeCell ref="L427:M427"/>
    <mergeCell ref="G433:H433"/>
    <mergeCell ref="L433:M433"/>
    <mergeCell ref="G439:H439"/>
    <mergeCell ref="L439:M439"/>
    <mergeCell ref="G445:H445"/>
    <mergeCell ref="L445:M445"/>
    <mergeCell ref="G451:H451"/>
    <mergeCell ref="L451:M451"/>
    <mergeCell ref="G612:H612"/>
    <mergeCell ref="L612:M612"/>
    <mergeCell ref="G601:H601"/>
    <mergeCell ref="L601:M601"/>
    <mergeCell ref="G602:H602"/>
    <mergeCell ref="L602:M602"/>
    <mergeCell ref="G595:H595"/>
    <mergeCell ref="L595:M595"/>
    <mergeCell ref="G554:H554"/>
    <mergeCell ref="L554:M554"/>
    <mergeCell ref="G521:H521"/>
    <mergeCell ref="L521:M521"/>
    <mergeCell ref="G524:H524"/>
    <mergeCell ref="L524:M524"/>
    <mergeCell ref="L530:M530"/>
    <mergeCell ref="G538:H538"/>
    <mergeCell ref="G527:H527"/>
    <mergeCell ref="L527:M527"/>
    <mergeCell ref="L533:M533"/>
    <mergeCell ref="G534:H534"/>
    <mergeCell ref="G638:H638"/>
    <mergeCell ref="L650:M650"/>
    <mergeCell ref="G631:H631"/>
    <mergeCell ref="L631:M631"/>
    <mergeCell ref="G632:H632"/>
    <mergeCell ref="G596:H596"/>
    <mergeCell ref="L596:M596"/>
    <mergeCell ref="G589:H589"/>
    <mergeCell ref="L589:M589"/>
    <mergeCell ref="G599:H599"/>
    <mergeCell ref="L599:M599"/>
    <mergeCell ref="G606:H606"/>
    <mergeCell ref="L606:M606"/>
    <mergeCell ref="G611:H611"/>
    <mergeCell ref="L611:M611"/>
    <mergeCell ref="L647:M647"/>
    <mergeCell ref="G647:H647"/>
    <mergeCell ref="G628:H628"/>
    <mergeCell ref="L628:M628"/>
    <mergeCell ref="G629:H629"/>
    <mergeCell ref="G620:H620"/>
    <mergeCell ref="L629:M629"/>
    <mergeCell ref="G630:H630"/>
    <mergeCell ref="L620:M620"/>
    <mergeCell ref="G636:H636"/>
    <mergeCell ref="G614:H614"/>
    <mergeCell ref="G616:H616"/>
    <mergeCell ref="L616:M616"/>
    <mergeCell ref="G590:H590"/>
    <mergeCell ref="L590:M590"/>
    <mergeCell ref="G592:H592"/>
    <mergeCell ref="L592:M592"/>
    <mergeCell ref="AC130:AD130"/>
    <mergeCell ref="L667:M667"/>
    <mergeCell ref="G672:H672"/>
    <mergeCell ref="L672:M672"/>
    <mergeCell ref="G673:H673"/>
    <mergeCell ref="B6371:D6371"/>
    <mergeCell ref="B6415:D6415"/>
    <mergeCell ref="B6440:D6440"/>
    <mergeCell ref="B6465:D6465"/>
    <mergeCell ref="B6474:D6474"/>
    <mergeCell ref="B6483:D6483"/>
    <mergeCell ref="B6189:D6189"/>
    <mergeCell ref="B6214:D6214"/>
    <mergeCell ref="B6239:D6239"/>
    <mergeCell ref="B6261:D6261"/>
    <mergeCell ref="B6328:D6328"/>
    <mergeCell ref="B5936:D5936"/>
    <mergeCell ref="B5976:D5976"/>
    <mergeCell ref="B6062:D6062"/>
    <mergeCell ref="B6104:D6104"/>
    <mergeCell ref="B6146:D6146"/>
    <mergeCell ref="B5687:D5687"/>
    <mergeCell ref="B5756:D5756"/>
    <mergeCell ref="B5825:D5825"/>
    <mergeCell ref="B5911:D5911"/>
    <mergeCell ref="B5310:D5310"/>
    <mergeCell ref="B5336:D5336"/>
    <mergeCell ref="B5362:D5362"/>
    <mergeCell ref="B5388:D5388"/>
    <mergeCell ref="B5414:D5414"/>
    <mergeCell ref="B5212:D5212"/>
    <mergeCell ref="B5227:D5227"/>
    <mergeCell ref="B4845:D4845"/>
    <mergeCell ref="B4856:D4856"/>
    <mergeCell ref="B4661:D4661"/>
    <mergeCell ref="B4711:D4711"/>
    <mergeCell ref="B4766:D4766"/>
    <mergeCell ref="B4778:D4778"/>
    <mergeCell ref="B5086:D5086"/>
    <mergeCell ref="B5117:D5117"/>
    <mergeCell ref="B3945:D3945"/>
    <mergeCell ref="B3286:D3286"/>
    <mergeCell ref="B3370:D3370"/>
    <mergeCell ref="B3532:D3532"/>
    <mergeCell ref="B3577:D3577"/>
    <mergeCell ref="B3965:D3965"/>
    <mergeCell ref="B2568:D2568"/>
    <mergeCell ref="B2621:C2622"/>
    <mergeCell ref="B2658:D2659"/>
    <mergeCell ref="B2914:D2915"/>
    <mergeCell ref="B3196:C3196"/>
    <mergeCell ref="B2359:D2359"/>
    <mergeCell ref="B2380:D2380"/>
    <mergeCell ref="B2401:D2401"/>
    <mergeCell ref="B2456:D2456"/>
    <mergeCell ref="B2511:D2511"/>
    <mergeCell ref="B2093:D2093"/>
    <mergeCell ref="B2136:D2136"/>
    <mergeCell ref="B2179:D2179"/>
    <mergeCell ref="B2338:D2338"/>
    <mergeCell ref="B3239:H3239"/>
    <mergeCell ref="B3886:D3886"/>
    <mergeCell ref="B3900:D3900"/>
    <mergeCell ref="B3914:D3914"/>
    <mergeCell ref="B1304:D1304"/>
    <mergeCell ref="B1326:D1326"/>
    <mergeCell ref="B1348:D1348"/>
    <mergeCell ref="A1299:C1299"/>
    <mergeCell ref="D1299:M1299"/>
    <mergeCell ref="B1300:D1301"/>
    <mergeCell ref="B1925:D1925"/>
    <mergeCell ref="B1981:D1981"/>
    <mergeCell ref="B1505:D1505"/>
    <mergeCell ref="B1526:D1526"/>
    <mergeCell ref="B1548:D1548"/>
    <mergeCell ref="B1570:D1570"/>
    <mergeCell ref="B1592:D1592"/>
    <mergeCell ref="B1614:D1614"/>
    <mergeCell ref="B1370:D1370"/>
    <mergeCell ref="B1392:D1392"/>
    <mergeCell ref="B1415:D1415"/>
    <mergeCell ref="B1438:D1438"/>
    <mergeCell ref="B1461:D1461"/>
    <mergeCell ref="B1483:D1483"/>
    <mergeCell ref="E1302:F1302"/>
    <mergeCell ref="E1300:F1301"/>
    <mergeCell ref="L1300:M1301"/>
    <mergeCell ref="N1986:O1986"/>
    <mergeCell ref="B2050:D2050"/>
    <mergeCell ref="B1847:D1847"/>
    <mergeCell ref="B1857:D1857"/>
    <mergeCell ref="B1868:D1868"/>
    <mergeCell ref="B1878:D1878"/>
    <mergeCell ref="B1889:D1889"/>
    <mergeCell ref="B1897:D1897"/>
    <mergeCell ref="B1772:D1772"/>
    <mergeCell ref="A1798:D1798"/>
    <mergeCell ref="B1815:D1815"/>
    <mergeCell ref="B1826:D1826"/>
    <mergeCell ref="B1836:D1836"/>
    <mergeCell ref="B1636:D1636"/>
    <mergeCell ref="B1658:D1658"/>
    <mergeCell ref="B1680:D1680"/>
    <mergeCell ref="B1703:D1703"/>
    <mergeCell ref="B1725:D1725"/>
    <mergeCell ref="B1750:D1750"/>
    <mergeCell ref="B1302:D1302"/>
    <mergeCell ref="G1302:H1302"/>
    <mergeCell ref="L1302:M1302"/>
    <mergeCell ref="G1277:H1277"/>
    <mergeCell ref="L1277:M1277"/>
    <mergeCell ref="G1278:H1278"/>
    <mergeCell ref="L1278:M1278"/>
    <mergeCell ref="G1274:H1274"/>
    <mergeCell ref="L1274:M1274"/>
    <mergeCell ref="G1269:H1269"/>
    <mergeCell ref="L1269:M1269"/>
    <mergeCell ref="G1270:H1270"/>
    <mergeCell ref="L1270:M1270"/>
    <mergeCell ref="G1300:H1301"/>
    <mergeCell ref="B1293:C1293"/>
    <mergeCell ref="B1294:C1294"/>
    <mergeCell ref="A1296:M1296"/>
    <mergeCell ref="A1297:C1297"/>
    <mergeCell ref="D1297:M1297"/>
    <mergeCell ref="A1298:C1298"/>
    <mergeCell ref="D1298:M1298"/>
    <mergeCell ref="L1268:M1268"/>
    <mergeCell ref="G1248:H1248"/>
    <mergeCell ref="L1248:M1248"/>
    <mergeCell ref="G1249:H1249"/>
    <mergeCell ref="L1249:M1249"/>
    <mergeCell ref="G1250:H1250"/>
    <mergeCell ref="L1250:M1250"/>
    <mergeCell ref="G1271:H1271"/>
    <mergeCell ref="L1271:M1271"/>
    <mergeCell ref="G1272:H1272"/>
    <mergeCell ref="L1272:M1272"/>
    <mergeCell ref="G1273:H1273"/>
    <mergeCell ref="L1273:M1273"/>
    <mergeCell ref="L1275:M1275"/>
    <mergeCell ref="G1275:H1275"/>
    <mergeCell ref="G1276:H1276"/>
    <mergeCell ref="L1276:M1276"/>
    <mergeCell ref="G1252:H1252"/>
    <mergeCell ref="L1252:M1252"/>
    <mergeCell ref="G1263:H1263"/>
    <mergeCell ref="L1263:M1263"/>
    <mergeCell ref="G1264:H1264"/>
    <mergeCell ref="L1264:M1264"/>
    <mergeCell ref="G1265:H1265"/>
    <mergeCell ref="L1265:M1265"/>
    <mergeCell ref="G1266:H1266"/>
    <mergeCell ref="L1266:M1266"/>
    <mergeCell ref="G1267:H1267"/>
    <mergeCell ref="L1267:M1267"/>
    <mergeCell ref="G1268:H1268"/>
    <mergeCell ref="G1245:H1245"/>
    <mergeCell ref="L1245:M1245"/>
    <mergeCell ref="G1246:H1246"/>
    <mergeCell ref="L1246:M1246"/>
    <mergeCell ref="G1247:H1247"/>
    <mergeCell ref="L1247:M1247"/>
    <mergeCell ref="G1260:H1260"/>
    <mergeCell ref="L1260:M1260"/>
    <mergeCell ref="G1261:H1261"/>
    <mergeCell ref="L1261:M1261"/>
    <mergeCell ref="G1262:H1262"/>
    <mergeCell ref="L1262:M1262"/>
    <mergeCell ref="G1254:H1254"/>
    <mergeCell ref="L1254:M1254"/>
    <mergeCell ref="G1255:H1255"/>
    <mergeCell ref="L1255:M1255"/>
    <mergeCell ref="G1256:H1256"/>
    <mergeCell ref="L1256:M1256"/>
    <mergeCell ref="G1251:H1251"/>
    <mergeCell ref="L1251:M1251"/>
    <mergeCell ref="G1253:H1253"/>
    <mergeCell ref="L1253:M1253"/>
    <mergeCell ref="G1257:H1257"/>
    <mergeCell ref="L1257:M1257"/>
    <mergeCell ref="G1258:H1258"/>
    <mergeCell ref="L1258:M1258"/>
    <mergeCell ref="G1259:H1259"/>
    <mergeCell ref="L1259:M1259"/>
    <mergeCell ref="G1242:H1242"/>
    <mergeCell ref="L1242:M1242"/>
    <mergeCell ref="G1243:H1243"/>
    <mergeCell ref="L1243:M1243"/>
    <mergeCell ref="G1244:H1244"/>
    <mergeCell ref="L1244:M1244"/>
    <mergeCell ref="G1215:H1215"/>
    <mergeCell ref="L1215:M1215"/>
    <mergeCell ref="G1240:H1240"/>
    <mergeCell ref="L1240:M1240"/>
    <mergeCell ref="G1241:H1241"/>
    <mergeCell ref="L1241:M1241"/>
    <mergeCell ref="G1212:H1212"/>
    <mergeCell ref="L1212:M1212"/>
    <mergeCell ref="G1213:H1213"/>
    <mergeCell ref="L1213:M1213"/>
    <mergeCell ref="G1214:H1214"/>
    <mergeCell ref="L1214:M1214"/>
    <mergeCell ref="L1236:M1236"/>
    <mergeCell ref="L1237:M1237"/>
    <mergeCell ref="L1238:M1238"/>
    <mergeCell ref="G1238:H1238"/>
    <mergeCell ref="G1237:H1237"/>
    <mergeCell ref="G1236:H1236"/>
    <mergeCell ref="G1209:H1209"/>
    <mergeCell ref="L1209:M1209"/>
    <mergeCell ref="G1210:H1210"/>
    <mergeCell ref="L1210:M1210"/>
    <mergeCell ref="G1211:H1211"/>
    <mergeCell ref="L1211:M1211"/>
    <mergeCell ref="L1225:M1225"/>
    <mergeCell ref="L1226:M1226"/>
    <mergeCell ref="L1227:M1227"/>
    <mergeCell ref="L1228:M1228"/>
    <mergeCell ref="L1229:M1229"/>
    <mergeCell ref="L1230:M1230"/>
    <mergeCell ref="L1231:M1231"/>
    <mergeCell ref="L1232:M1232"/>
    <mergeCell ref="L1233:M1233"/>
    <mergeCell ref="L1234:M1234"/>
    <mergeCell ref="L1235:M1235"/>
    <mergeCell ref="G1232:H1232"/>
    <mergeCell ref="G1231:H1231"/>
    <mergeCell ref="G1230:H1230"/>
    <mergeCell ref="G1229:H1229"/>
    <mergeCell ref="G1228:H1228"/>
    <mergeCell ref="G1227:H1227"/>
    <mergeCell ref="G1235:H1235"/>
    <mergeCell ref="G1234:H1234"/>
    <mergeCell ref="G1233:H1233"/>
    <mergeCell ref="G1206:H1206"/>
    <mergeCell ref="L1206:M1206"/>
    <mergeCell ref="G1207:H1207"/>
    <mergeCell ref="L1207:M1207"/>
    <mergeCell ref="G1208:H1208"/>
    <mergeCell ref="L1208:M1208"/>
    <mergeCell ref="G1201:H1201"/>
    <mergeCell ref="L1201:M1201"/>
    <mergeCell ref="G1202:H1202"/>
    <mergeCell ref="G1203:H1203"/>
    <mergeCell ref="L1203:M1203"/>
    <mergeCell ref="G1205:H1205"/>
    <mergeCell ref="L1205:M1205"/>
    <mergeCell ref="G1197:H1197"/>
    <mergeCell ref="L1197:M1197"/>
    <mergeCell ref="G1198:H1198"/>
    <mergeCell ref="G1199:H1199"/>
    <mergeCell ref="L1199:M1199"/>
    <mergeCell ref="G1200:H1200"/>
    <mergeCell ref="G1193:H1193"/>
    <mergeCell ref="L1193:M1193"/>
    <mergeCell ref="G1194:H1194"/>
    <mergeCell ref="G1195:H1195"/>
    <mergeCell ref="L1195:M1195"/>
    <mergeCell ref="G1196:H1196"/>
    <mergeCell ref="G1189:H1189"/>
    <mergeCell ref="L1189:M1189"/>
    <mergeCell ref="G1190:H1190"/>
    <mergeCell ref="G1191:H1191"/>
    <mergeCell ref="L1191:M1191"/>
    <mergeCell ref="G1192:H1192"/>
    <mergeCell ref="G1185:H1185"/>
    <mergeCell ref="L1185:M1185"/>
    <mergeCell ref="G1187:H1187"/>
    <mergeCell ref="L1187:M1187"/>
    <mergeCell ref="G1188:H1188"/>
    <mergeCell ref="L1188:M1188"/>
    <mergeCell ref="G1182:H1182"/>
    <mergeCell ref="L1182:M1182"/>
    <mergeCell ref="G1183:H1183"/>
    <mergeCell ref="L1183:M1183"/>
    <mergeCell ref="G1184:H1184"/>
    <mergeCell ref="L1184:M1184"/>
    <mergeCell ref="G1178:H1178"/>
    <mergeCell ref="L1178:M1178"/>
    <mergeCell ref="G1179:H1179"/>
    <mergeCell ref="L1179:M1179"/>
    <mergeCell ref="G1180:H1180"/>
    <mergeCell ref="G1181:H1181"/>
    <mergeCell ref="L1181:M1181"/>
    <mergeCell ref="G1174:H1174"/>
    <mergeCell ref="G1175:H1175"/>
    <mergeCell ref="L1175:M1175"/>
    <mergeCell ref="G1176:H1176"/>
    <mergeCell ref="L1176:M1176"/>
    <mergeCell ref="G1177:H1177"/>
    <mergeCell ref="L1177:M1177"/>
    <mergeCell ref="G1171:H1171"/>
    <mergeCell ref="L1171:M1171"/>
    <mergeCell ref="G1172:H1172"/>
    <mergeCell ref="L1172:M1172"/>
    <mergeCell ref="G1173:H1173"/>
    <mergeCell ref="L1173:M1173"/>
    <mergeCell ref="G1167:H1167"/>
    <mergeCell ref="L1167:M1167"/>
    <mergeCell ref="G1168:H1168"/>
    <mergeCell ref="G1169:H1169"/>
    <mergeCell ref="L1169:M1169"/>
    <mergeCell ref="G1170:H1170"/>
    <mergeCell ref="L1170:M1170"/>
    <mergeCell ref="G1164:H1164"/>
    <mergeCell ref="L1164:M1164"/>
    <mergeCell ref="G1165:H1165"/>
    <mergeCell ref="L1165:M1165"/>
    <mergeCell ref="G1166:H1166"/>
    <mergeCell ref="L1166:M1166"/>
    <mergeCell ref="G1160:H1160"/>
    <mergeCell ref="L1160:M1160"/>
    <mergeCell ref="G1161:H1161"/>
    <mergeCell ref="L1161:M1161"/>
    <mergeCell ref="G1162:H1162"/>
    <mergeCell ref="G1163:H1163"/>
    <mergeCell ref="L1163:M1163"/>
    <mergeCell ref="G1156:H1156"/>
    <mergeCell ref="G1157:H1157"/>
    <mergeCell ref="L1157:M1157"/>
    <mergeCell ref="G1158:H1158"/>
    <mergeCell ref="L1158:M1158"/>
    <mergeCell ref="G1159:H1159"/>
    <mergeCell ref="L1159:M1159"/>
    <mergeCell ref="G1153:H1153"/>
    <mergeCell ref="L1153:M1153"/>
    <mergeCell ref="G1154:H1154"/>
    <mergeCell ref="L1154:M1154"/>
    <mergeCell ref="G1155:H1155"/>
    <mergeCell ref="L1155:M1155"/>
    <mergeCell ref="G1149:H1149"/>
    <mergeCell ref="L1149:M1149"/>
    <mergeCell ref="G1150:H1150"/>
    <mergeCell ref="G1151:H1151"/>
    <mergeCell ref="L1151:M1151"/>
    <mergeCell ref="G1152:H1152"/>
    <mergeCell ref="L1152:M1152"/>
    <mergeCell ref="G1146:H1146"/>
    <mergeCell ref="L1146:M1146"/>
    <mergeCell ref="G1147:H1147"/>
    <mergeCell ref="L1147:M1147"/>
    <mergeCell ref="G1148:H1148"/>
    <mergeCell ref="L1148:M1148"/>
    <mergeCell ref="G1142:H1142"/>
    <mergeCell ref="L1142:M1142"/>
    <mergeCell ref="G1143:H1143"/>
    <mergeCell ref="L1143:M1143"/>
    <mergeCell ref="G1144:H1144"/>
    <mergeCell ref="G1145:H1145"/>
    <mergeCell ref="L1145:M1145"/>
    <mergeCell ref="G1139:H1139"/>
    <mergeCell ref="L1139:M1139"/>
    <mergeCell ref="G1140:H1140"/>
    <mergeCell ref="L1140:M1140"/>
    <mergeCell ref="G1141:H1141"/>
    <mergeCell ref="L1141:M1141"/>
    <mergeCell ref="G1136:H1136"/>
    <mergeCell ref="L1136:M1136"/>
    <mergeCell ref="G1137:H1137"/>
    <mergeCell ref="L1137:M1137"/>
    <mergeCell ref="G1138:H1138"/>
    <mergeCell ref="L1138:M1138"/>
    <mergeCell ref="G1133:H1133"/>
    <mergeCell ref="L1133:M1133"/>
    <mergeCell ref="G1134:H1134"/>
    <mergeCell ref="L1134:M1134"/>
    <mergeCell ref="G1135:H1135"/>
    <mergeCell ref="L1135:M1135"/>
    <mergeCell ref="G1129:H1129"/>
    <mergeCell ref="L1129:M1129"/>
    <mergeCell ref="G1130:H1130"/>
    <mergeCell ref="L1130:M1130"/>
    <mergeCell ref="G1131:H1131"/>
    <mergeCell ref="G1132:H1132"/>
    <mergeCell ref="L1132:M1132"/>
    <mergeCell ref="G1125:H1125"/>
    <mergeCell ref="G1126:H1126"/>
    <mergeCell ref="L1126:M1126"/>
    <mergeCell ref="G1127:H1127"/>
    <mergeCell ref="L1127:M1127"/>
    <mergeCell ref="G1128:H1128"/>
    <mergeCell ref="L1128:M1128"/>
    <mergeCell ref="G1122:H1122"/>
    <mergeCell ref="L1122:M1122"/>
    <mergeCell ref="G1123:H1123"/>
    <mergeCell ref="L1123:M1123"/>
    <mergeCell ref="G1124:H1124"/>
    <mergeCell ref="L1124:M1124"/>
    <mergeCell ref="G1118:H1118"/>
    <mergeCell ref="L1118:M1118"/>
    <mergeCell ref="G1119:H1119"/>
    <mergeCell ref="G1120:H1120"/>
    <mergeCell ref="L1120:M1120"/>
    <mergeCell ref="G1121:H1121"/>
    <mergeCell ref="L1121:M1121"/>
    <mergeCell ref="G1115:H1115"/>
    <mergeCell ref="L1115:M1115"/>
    <mergeCell ref="G1116:H1116"/>
    <mergeCell ref="L1116:M1116"/>
    <mergeCell ref="G1117:H1117"/>
    <mergeCell ref="L1117:M1117"/>
    <mergeCell ref="G1111:H1111"/>
    <mergeCell ref="L1111:M1111"/>
    <mergeCell ref="G1112:H1112"/>
    <mergeCell ref="L1112:M1112"/>
    <mergeCell ref="G1113:H1113"/>
    <mergeCell ref="G1114:H1114"/>
    <mergeCell ref="L1114:M1114"/>
    <mergeCell ref="G1107:H1107"/>
    <mergeCell ref="G1108:H1108"/>
    <mergeCell ref="L1108:M1108"/>
    <mergeCell ref="G1109:H1109"/>
    <mergeCell ref="L1109:M1109"/>
    <mergeCell ref="G1110:H1110"/>
    <mergeCell ref="L1110:M1110"/>
    <mergeCell ref="G1104:H1104"/>
    <mergeCell ref="L1104:M1104"/>
    <mergeCell ref="G1105:H1105"/>
    <mergeCell ref="L1105:M1105"/>
    <mergeCell ref="G1106:H1106"/>
    <mergeCell ref="L1106:M1106"/>
    <mergeCell ref="G1100:H1100"/>
    <mergeCell ref="L1100:M1100"/>
    <mergeCell ref="G1101:H1101"/>
    <mergeCell ref="G1102:H1102"/>
    <mergeCell ref="L1102:M1102"/>
    <mergeCell ref="G1103:H1103"/>
    <mergeCell ref="L1103:M1103"/>
    <mergeCell ref="G1097:H1097"/>
    <mergeCell ref="L1097:M1097"/>
    <mergeCell ref="G1098:H1098"/>
    <mergeCell ref="L1098:M1098"/>
    <mergeCell ref="G1099:H1099"/>
    <mergeCell ref="L1099:M1099"/>
    <mergeCell ref="G1093:H1093"/>
    <mergeCell ref="L1093:M1093"/>
    <mergeCell ref="G1094:H1094"/>
    <mergeCell ref="L1094:M1094"/>
    <mergeCell ref="G1095:H1095"/>
    <mergeCell ref="G1096:H1096"/>
    <mergeCell ref="L1096:M1096"/>
    <mergeCell ref="G1090:H1090"/>
    <mergeCell ref="L1090:M1090"/>
    <mergeCell ref="G1091:H1091"/>
    <mergeCell ref="L1091:M1091"/>
    <mergeCell ref="G1092:H1092"/>
    <mergeCell ref="L1092:M1092"/>
    <mergeCell ref="G1087:H1087"/>
    <mergeCell ref="L1087:M1087"/>
    <mergeCell ref="G1088:H1088"/>
    <mergeCell ref="L1088:M1088"/>
    <mergeCell ref="G1089:H1089"/>
    <mergeCell ref="L1089:M1089"/>
    <mergeCell ref="G1084:H1084"/>
    <mergeCell ref="L1084:M1084"/>
    <mergeCell ref="G1085:H1085"/>
    <mergeCell ref="L1085:M1085"/>
    <mergeCell ref="G1086:H1086"/>
    <mergeCell ref="L1086:M1086"/>
    <mergeCell ref="G1081:H1081"/>
    <mergeCell ref="L1081:M1081"/>
    <mergeCell ref="G1082:H1082"/>
    <mergeCell ref="L1082:M1082"/>
    <mergeCell ref="G1083:H1083"/>
    <mergeCell ref="L1083:M1083"/>
    <mergeCell ref="G1078:H1078"/>
    <mergeCell ref="L1078:M1078"/>
    <mergeCell ref="G1079:H1079"/>
    <mergeCell ref="L1079:M1079"/>
    <mergeCell ref="G1080:H1080"/>
    <mergeCell ref="L1080:M1080"/>
    <mergeCell ref="G1075:H1075"/>
    <mergeCell ref="L1075:M1075"/>
    <mergeCell ref="G1076:H1076"/>
    <mergeCell ref="L1076:M1076"/>
    <mergeCell ref="G1077:H1077"/>
    <mergeCell ref="L1077:M1077"/>
    <mergeCell ref="G1072:H1072"/>
    <mergeCell ref="L1072:M1072"/>
    <mergeCell ref="G1073:H1073"/>
    <mergeCell ref="L1073:M1073"/>
    <mergeCell ref="G1074:H1074"/>
    <mergeCell ref="L1074:M1074"/>
    <mergeCell ref="G1069:H1069"/>
    <mergeCell ref="L1069:M1069"/>
    <mergeCell ref="G1070:H1070"/>
    <mergeCell ref="L1070:M1070"/>
    <mergeCell ref="G1071:H1071"/>
    <mergeCell ref="L1071:M1071"/>
    <mergeCell ref="G1066:H1066"/>
    <mergeCell ref="L1066:M1066"/>
    <mergeCell ref="G1067:H1067"/>
    <mergeCell ref="L1067:M1067"/>
    <mergeCell ref="G1068:H1068"/>
    <mergeCell ref="L1068:M1068"/>
    <mergeCell ref="G1063:H1063"/>
    <mergeCell ref="L1063:M1063"/>
    <mergeCell ref="G1064:H1064"/>
    <mergeCell ref="L1064:M1064"/>
    <mergeCell ref="G1065:H1065"/>
    <mergeCell ref="L1065:M1065"/>
    <mergeCell ref="G1059:H1059"/>
    <mergeCell ref="L1059:M1059"/>
    <mergeCell ref="G1061:H1061"/>
    <mergeCell ref="L1061:M1061"/>
    <mergeCell ref="G1062:H1062"/>
    <mergeCell ref="L1062:M1062"/>
    <mergeCell ref="G1056:H1056"/>
    <mergeCell ref="L1056:M1056"/>
    <mergeCell ref="G1057:H1057"/>
    <mergeCell ref="L1057:M1057"/>
    <mergeCell ref="G1058:H1058"/>
    <mergeCell ref="L1058:M1058"/>
    <mergeCell ref="G1053:H1053"/>
    <mergeCell ref="L1053:M1053"/>
    <mergeCell ref="G1054:H1054"/>
    <mergeCell ref="L1054:M1054"/>
    <mergeCell ref="G1055:H1055"/>
    <mergeCell ref="L1055:M1055"/>
    <mergeCell ref="G1060:H1060"/>
    <mergeCell ref="L1060:M1060"/>
    <mergeCell ref="G1050:H1050"/>
    <mergeCell ref="L1050:M1050"/>
    <mergeCell ref="G1051:H1051"/>
    <mergeCell ref="L1051:M1051"/>
    <mergeCell ref="G1052:H1052"/>
    <mergeCell ref="L1052:M1052"/>
    <mergeCell ref="G1046:H1046"/>
    <mergeCell ref="L1046:M1046"/>
    <mergeCell ref="G1047:H1047"/>
    <mergeCell ref="L1047:M1047"/>
    <mergeCell ref="G1048:H1048"/>
    <mergeCell ref="L1048:M1048"/>
    <mergeCell ref="G1043:H1043"/>
    <mergeCell ref="L1043:M1043"/>
    <mergeCell ref="G1044:H1044"/>
    <mergeCell ref="L1044:M1044"/>
    <mergeCell ref="G1045:H1045"/>
    <mergeCell ref="L1045:M1045"/>
    <mergeCell ref="G1049:H1049"/>
    <mergeCell ref="L1049:M1049"/>
    <mergeCell ref="G1040:H1040"/>
    <mergeCell ref="L1040:M1040"/>
    <mergeCell ref="G1041:H1041"/>
    <mergeCell ref="L1041:M1041"/>
    <mergeCell ref="G1042:H1042"/>
    <mergeCell ref="L1042:M1042"/>
    <mergeCell ref="G1037:H1037"/>
    <mergeCell ref="L1037:M1037"/>
    <mergeCell ref="G1038:H1038"/>
    <mergeCell ref="L1038:M1038"/>
    <mergeCell ref="G1039:H1039"/>
    <mergeCell ref="L1039:M1039"/>
    <mergeCell ref="G1034:H1034"/>
    <mergeCell ref="L1034:M1034"/>
    <mergeCell ref="G1035:H1035"/>
    <mergeCell ref="L1035:M1035"/>
    <mergeCell ref="G1036:H1036"/>
    <mergeCell ref="L1036:M1036"/>
    <mergeCell ref="G1031:H1031"/>
    <mergeCell ref="L1031:M1031"/>
    <mergeCell ref="G1032:H1032"/>
    <mergeCell ref="L1032:M1032"/>
    <mergeCell ref="G1033:H1033"/>
    <mergeCell ref="L1033:M1033"/>
    <mergeCell ref="G1028:H1028"/>
    <mergeCell ref="L1028:M1028"/>
    <mergeCell ref="G1029:H1029"/>
    <mergeCell ref="L1029:M1029"/>
    <mergeCell ref="G1030:H1030"/>
    <mergeCell ref="L1030:M1030"/>
    <mergeCell ref="G1025:H1025"/>
    <mergeCell ref="L1025:M1025"/>
    <mergeCell ref="G1026:H1026"/>
    <mergeCell ref="L1026:M1026"/>
    <mergeCell ref="G1027:H1027"/>
    <mergeCell ref="L1027:M1027"/>
    <mergeCell ref="G1020:H1020"/>
    <mergeCell ref="L1020:M1020"/>
    <mergeCell ref="G1021:H1021"/>
    <mergeCell ref="L1021:M1021"/>
    <mergeCell ref="G1024:H1024"/>
    <mergeCell ref="L1024:M1024"/>
    <mergeCell ref="G1022:H1022"/>
    <mergeCell ref="L1022:M1022"/>
    <mergeCell ref="G1023:H1023"/>
    <mergeCell ref="L1023:M1023"/>
    <mergeCell ref="G1015:H1015"/>
    <mergeCell ref="L1015:M1015"/>
    <mergeCell ref="G1016:H1016"/>
    <mergeCell ref="L1016:M1016"/>
    <mergeCell ref="G1019:H1019"/>
    <mergeCell ref="L1019:M1019"/>
    <mergeCell ref="G1010:H1010"/>
    <mergeCell ref="L1010:M1010"/>
    <mergeCell ref="G1011:H1011"/>
    <mergeCell ref="L1011:M1011"/>
    <mergeCell ref="G1014:H1014"/>
    <mergeCell ref="L1014:M1014"/>
    <mergeCell ref="G1005:H1005"/>
    <mergeCell ref="L1005:M1005"/>
    <mergeCell ref="G1006:H1006"/>
    <mergeCell ref="L1006:M1006"/>
    <mergeCell ref="G1009:H1009"/>
    <mergeCell ref="L1009:M1009"/>
    <mergeCell ref="G1007:H1007"/>
    <mergeCell ref="L1007:M1007"/>
    <mergeCell ref="G1008:H1008"/>
    <mergeCell ref="L1008:M1008"/>
    <mergeCell ref="G1012:H1012"/>
    <mergeCell ref="L1012:M1012"/>
    <mergeCell ref="G1013:H1013"/>
    <mergeCell ref="L1013:M1013"/>
    <mergeCell ref="G1017:H1017"/>
    <mergeCell ref="L1017:M1017"/>
    <mergeCell ref="G1018:H1018"/>
    <mergeCell ref="L1018:M1018"/>
    <mergeCell ref="G1000:H1000"/>
    <mergeCell ref="L1000:M1000"/>
    <mergeCell ref="G1001:H1001"/>
    <mergeCell ref="L1001:M1001"/>
    <mergeCell ref="G1004:H1004"/>
    <mergeCell ref="L1004:M1004"/>
    <mergeCell ref="G995:H995"/>
    <mergeCell ref="L995:M995"/>
    <mergeCell ref="G996:H996"/>
    <mergeCell ref="L996:M996"/>
    <mergeCell ref="G999:H999"/>
    <mergeCell ref="L999:M999"/>
    <mergeCell ref="G990:H990"/>
    <mergeCell ref="L990:M990"/>
    <mergeCell ref="G991:H991"/>
    <mergeCell ref="L991:M991"/>
    <mergeCell ref="G994:H994"/>
    <mergeCell ref="L994:M994"/>
    <mergeCell ref="G992:H992"/>
    <mergeCell ref="L992:M992"/>
    <mergeCell ref="G993:H993"/>
    <mergeCell ref="L993:M993"/>
    <mergeCell ref="G997:H997"/>
    <mergeCell ref="L997:M997"/>
    <mergeCell ref="G998:H998"/>
    <mergeCell ref="L998:M998"/>
    <mergeCell ref="G1002:H1002"/>
    <mergeCell ref="L1002:M1002"/>
    <mergeCell ref="G1003:H1003"/>
    <mergeCell ref="L1003:M1003"/>
    <mergeCell ref="G985:H985"/>
    <mergeCell ref="L985:M985"/>
    <mergeCell ref="G986:H986"/>
    <mergeCell ref="L986:M986"/>
    <mergeCell ref="G989:H989"/>
    <mergeCell ref="L989:M989"/>
    <mergeCell ref="G980:H980"/>
    <mergeCell ref="L980:M980"/>
    <mergeCell ref="G981:H981"/>
    <mergeCell ref="L981:M981"/>
    <mergeCell ref="G984:H984"/>
    <mergeCell ref="L984:M984"/>
    <mergeCell ref="G975:H975"/>
    <mergeCell ref="L975:M975"/>
    <mergeCell ref="G976:H976"/>
    <mergeCell ref="L976:M976"/>
    <mergeCell ref="G979:H979"/>
    <mergeCell ref="L979:M979"/>
    <mergeCell ref="G977:H977"/>
    <mergeCell ref="L977:M977"/>
    <mergeCell ref="G978:H978"/>
    <mergeCell ref="L978:M978"/>
    <mergeCell ref="G982:H982"/>
    <mergeCell ref="L982:M982"/>
    <mergeCell ref="G983:H983"/>
    <mergeCell ref="L983:M983"/>
    <mergeCell ref="G987:H987"/>
    <mergeCell ref="L987:M987"/>
    <mergeCell ref="G988:H988"/>
    <mergeCell ref="L988:M988"/>
    <mergeCell ref="G970:H970"/>
    <mergeCell ref="L970:M970"/>
    <mergeCell ref="G971:H971"/>
    <mergeCell ref="L971:M971"/>
    <mergeCell ref="G974:H974"/>
    <mergeCell ref="L974:M974"/>
    <mergeCell ref="G965:H965"/>
    <mergeCell ref="L965:M965"/>
    <mergeCell ref="G966:H966"/>
    <mergeCell ref="L966:M966"/>
    <mergeCell ref="G969:H969"/>
    <mergeCell ref="L969:M969"/>
    <mergeCell ref="G960:H960"/>
    <mergeCell ref="L960:M960"/>
    <mergeCell ref="G961:H961"/>
    <mergeCell ref="L961:M961"/>
    <mergeCell ref="G964:H964"/>
    <mergeCell ref="L964:M964"/>
    <mergeCell ref="G962:H962"/>
    <mergeCell ref="L962:M962"/>
    <mergeCell ref="G963:H963"/>
    <mergeCell ref="L963:M963"/>
    <mergeCell ref="G967:H967"/>
    <mergeCell ref="L967:M967"/>
    <mergeCell ref="G968:H968"/>
    <mergeCell ref="L968:M968"/>
    <mergeCell ref="G972:H972"/>
    <mergeCell ref="L972:M972"/>
    <mergeCell ref="G973:H973"/>
    <mergeCell ref="L973:M973"/>
    <mergeCell ref="G955:H955"/>
    <mergeCell ref="L955:M955"/>
    <mergeCell ref="G956:H956"/>
    <mergeCell ref="L956:M956"/>
    <mergeCell ref="G959:H959"/>
    <mergeCell ref="L959:M959"/>
    <mergeCell ref="G950:H950"/>
    <mergeCell ref="L950:M950"/>
    <mergeCell ref="G951:H951"/>
    <mergeCell ref="L951:M951"/>
    <mergeCell ref="G954:H954"/>
    <mergeCell ref="L954:M954"/>
    <mergeCell ref="G945:H945"/>
    <mergeCell ref="L945:M945"/>
    <mergeCell ref="G946:H946"/>
    <mergeCell ref="L946:M946"/>
    <mergeCell ref="G949:H949"/>
    <mergeCell ref="L949:M949"/>
    <mergeCell ref="G947:H947"/>
    <mergeCell ref="L947:M947"/>
    <mergeCell ref="G948:H948"/>
    <mergeCell ref="L948:M948"/>
    <mergeCell ref="G952:H952"/>
    <mergeCell ref="L952:M952"/>
    <mergeCell ref="G953:H953"/>
    <mergeCell ref="L953:M953"/>
    <mergeCell ref="G957:H957"/>
    <mergeCell ref="L957:M957"/>
    <mergeCell ref="G958:H958"/>
    <mergeCell ref="L958:M958"/>
    <mergeCell ref="G928:H928"/>
    <mergeCell ref="L928:M928"/>
    <mergeCell ref="G940:H940"/>
    <mergeCell ref="L940:M940"/>
    <mergeCell ref="G941:H941"/>
    <mergeCell ref="L941:M941"/>
    <mergeCell ref="G944:H944"/>
    <mergeCell ref="L944:M944"/>
    <mergeCell ref="G935:H935"/>
    <mergeCell ref="L935:M935"/>
    <mergeCell ref="G936:H936"/>
    <mergeCell ref="L936:M936"/>
    <mergeCell ref="G939:H939"/>
    <mergeCell ref="L939:M939"/>
    <mergeCell ref="G930:H930"/>
    <mergeCell ref="L930:M930"/>
    <mergeCell ref="G931:H931"/>
    <mergeCell ref="L931:M931"/>
    <mergeCell ref="G934:H934"/>
    <mergeCell ref="L934:M934"/>
    <mergeCell ref="G932:H932"/>
    <mergeCell ref="L932:M932"/>
    <mergeCell ref="G933:H933"/>
    <mergeCell ref="L933:M933"/>
    <mergeCell ref="G937:H937"/>
    <mergeCell ref="L937:M937"/>
    <mergeCell ref="G938:H938"/>
    <mergeCell ref="L938:M938"/>
    <mergeCell ref="G942:H942"/>
    <mergeCell ref="L942:M942"/>
    <mergeCell ref="G943:H943"/>
    <mergeCell ref="L943:M943"/>
    <mergeCell ref="G899:H899"/>
    <mergeCell ref="L899:M899"/>
    <mergeCell ref="G900:H900"/>
    <mergeCell ref="L900:M900"/>
    <mergeCell ref="G924:H924"/>
    <mergeCell ref="G925:H925"/>
    <mergeCell ref="L925:M925"/>
    <mergeCell ref="G926:H926"/>
    <mergeCell ref="L926:M926"/>
    <mergeCell ref="G929:H929"/>
    <mergeCell ref="G919:H919"/>
    <mergeCell ref="L919:M919"/>
    <mergeCell ref="G920:H920"/>
    <mergeCell ref="L920:M920"/>
    <mergeCell ref="G923:H923"/>
    <mergeCell ref="L923:M923"/>
    <mergeCell ref="G913:H913"/>
    <mergeCell ref="G914:H914"/>
    <mergeCell ref="L914:M914"/>
    <mergeCell ref="G915:H915"/>
    <mergeCell ref="L915:M915"/>
    <mergeCell ref="G918:H918"/>
    <mergeCell ref="G916:H916"/>
    <mergeCell ref="L916:M916"/>
    <mergeCell ref="G917:H917"/>
    <mergeCell ref="L917:M917"/>
    <mergeCell ref="G921:H921"/>
    <mergeCell ref="L921:M921"/>
    <mergeCell ref="G922:H922"/>
    <mergeCell ref="L922:M922"/>
    <mergeCell ref="G927:H927"/>
    <mergeCell ref="L927:M927"/>
    <mergeCell ref="G870:H870"/>
    <mergeCell ref="L870:M870"/>
    <mergeCell ref="G871:H871"/>
    <mergeCell ref="L871:M871"/>
    <mergeCell ref="G872:H872"/>
    <mergeCell ref="L872:M872"/>
    <mergeCell ref="G912:H912"/>
    <mergeCell ref="L912:M912"/>
    <mergeCell ref="G902:H902"/>
    <mergeCell ref="G903:H903"/>
    <mergeCell ref="L903:M903"/>
    <mergeCell ref="G904:H904"/>
    <mergeCell ref="L904:M904"/>
    <mergeCell ref="G907:H907"/>
    <mergeCell ref="G897:H897"/>
    <mergeCell ref="L897:M897"/>
    <mergeCell ref="G898:H898"/>
    <mergeCell ref="L898:M898"/>
    <mergeCell ref="G901:H901"/>
    <mergeCell ref="L901:M901"/>
    <mergeCell ref="G911:H911"/>
    <mergeCell ref="L911:M911"/>
    <mergeCell ref="G891:H891"/>
    <mergeCell ref="G892:H892"/>
    <mergeCell ref="L892:M892"/>
    <mergeCell ref="G893:H893"/>
    <mergeCell ref="L893:M893"/>
    <mergeCell ref="G896:H896"/>
    <mergeCell ref="L894:M894"/>
    <mergeCell ref="L895:M895"/>
    <mergeCell ref="G894:H894"/>
    <mergeCell ref="G895:H895"/>
    <mergeCell ref="G881:H881"/>
    <mergeCell ref="L881:M881"/>
    <mergeCell ref="G882:H882"/>
    <mergeCell ref="L882:M882"/>
    <mergeCell ref="G883:H883"/>
    <mergeCell ref="L883:M883"/>
    <mergeCell ref="G873:H873"/>
    <mergeCell ref="L873:M873"/>
    <mergeCell ref="G879:H879"/>
    <mergeCell ref="L879:M879"/>
    <mergeCell ref="G880:H880"/>
    <mergeCell ref="L880:M880"/>
    <mergeCell ref="G874:H874"/>
    <mergeCell ref="L874:M874"/>
    <mergeCell ref="G875:H875"/>
    <mergeCell ref="G876:H876"/>
    <mergeCell ref="G877:H877"/>
    <mergeCell ref="L875:M875"/>
    <mergeCell ref="L876:M876"/>
    <mergeCell ref="L877:M877"/>
    <mergeCell ref="G867:H867"/>
    <mergeCell ref="L867:M867"/>
    <mergeCell ref="G868:H868"/>
    <mergeCell ref="L868:M868"/>
    <mergeCell ref="G869:H869"/>
    <mergeCell ref="L869:M869"/>
    <mergeCell ref="G864:H864"/>
    <mergeCell ref="L864:M864"/>
    <mergeCell ref="G865:H865"/>
    <mergeCell ref="L865:M865"/>
    <mergeCell ref="G866:H866"/>
    <mergeCell ref="L866:M866"/>
    <mergeCell ref="G855:H855"/>
    <mergeCell ref="L855:M855"/>
    <mergeCell ref="G856:H856"/>
    <mergeCell ref="L856:M856"/>
    <mergeCell ref="G857:H857"/>
    <mergeCell ref="L857:M857"/>
    <mergeCell ref="G858:H858"/>
    <mergeCell ref="L858:M858"/>
    <mergeCell ref="G859:H859"/>
    <mergeCell ref="L859:M859"/>
    <mergeCell ref="G860:H860"/>
    <mergeCell ref="L860:M860"/>
    <mergeCell ref="G846:H846"/>
    <mergeCell ref="L846:M846"/>
    <mergeCell ref="G847:H847"/>
    <mergeCell ref="L847:M847"/>
    <mergeCell ref="G848:H848"/>
    <mergeCell ref="L848:M848"/>
    <mergeCell ref="G852:H852"/>
    <mergeCell ref="L852:M852"/>
    <mergeCell ref="G853:H853"/>
    <mergeCell ref="L853:M853"/>
    <mergeCell ref="G854:H854"/>
    <mergeCell ref="L854:M854"/>
    <mergeCell ref="G849:H849"/>
    <mergeCell ref="L849:M849"/>
    <mergeCell ref="G850:H850"/>
    <mergeCell ref="L850:M850"/>
    <mergeCell ref="G851:H851"/>
    <mergeCell ref="L851:M851"/>
    <mergeCell ref="G827:H827"/>
    <mergeCell ref="L827:M827"/>
    <mergeCell ref="G828:H828"/>
    <mergeCell ref="L828:M828"/>
    <mergeCell ref="G819:H819"/>
    <mergeCell ref="L819:M819"/>
    <mergeCell ref="G820:H820"/>
    <mergeCell ref="L820:M820"/>
    <mergeCell ref="G821:H821"/>
    <mergeCell ref="L821:M821"/>
    <mergeCell ref="G834:H834"/>
    <mergeCell ref="L834:M834"/>
    <mergeCell ref="G835:H835"/>
    <mergeCell ref="L835:M835"/>
    <mergeCell ref="G832:H832"/>
    <mergeCell ref="L832:M832"/>
    <mergeCell ref="G833:H833"/>
    <mergeCell ref="L833:M833"/>
    <mergeCell ref="G829:H829"/>
    <mergeCell ref="L829:M829"/>
    <mergeCell ref="G830:H830"/>
    <mergeCell ref="L830:M830"/>
    <mergeCell ref="L831:M831"/>
    <mergeCell ref="G822:H822"/>
    <mergeCell ref="G843:H843"/>
    <mergeCell ref="L843:M843"/>
    <mergeCell ref="G764:H764"/>
    <mergeCell ref="L815:M815"/>
    <mergeCell ref="G781:H781"/>
    <mergeCell ref="L781:M781"/>
    <mergeCell ref="G786:H786"/>
    <mergeCell ref="L786:M786"/>
    <mergeCell ref="G792:H792"/>
    <mergeCell ref="G812:H812"/>
    <mergeCell ref="L812:M812"/>
    <mergeCell ref="L792:M792"/>
    <mergeCell ref="G797:H797"/>
    <mergeCell ref="G844:H844"/>
    <mergeCell ref="L844:M844"/>
    <mergeCell ref="G845:H845"/>
    <mergeCell ref="L845:M845"/>
    <mergeCell ref="G840:H840"/>
    <mergeCell ref="L840:M840"/>
    <mergeCell ref="G841:H841"/>
    <mergeCell ref="L841:M841"/>
    <mergeCell ref="G842:H842"/>
    <mergeCell ref="L842:M842"/>
    <mergeCell ref="G837:H837"/>
    <mergeCell ref="L837:M837"/>
    <mergeCell ref="G838:H838"/>
    <mergeCell ref="L838:M838"/>
    <mergeCell ref="G839:H839"/>
    <mergeCell ref="L839:M839"/>
    <mergeCell ref="G817:H817"/>
    <mergeCell ref="L817:M817"/>
    <mergeCell ref="G831:H831"/>
    <mergeCell ref="L773:M773"/>
    <mergeCell ref="G774:H774"/>
    <mergeCell ref="L774:M774"/>
    <mergeCell ref="G825:H825"/>
    <mergeCell ref="L825:M825"/>
    <mergeCell ref="L818:M818"/>
    <mergeCell ref="L826:M826"/>
    <mergeCell ref="G826:H826"/>
    <mergeCell ref="G777:H777"/>
    <mergeCell ref="G778:H778"/>
    <mergeCell ref="L778:M778"/>
    <mergeCell ref="G779:H779"/>
    <mergeCell ref="L779:M779"/>
    <mergeCell ref="G787:H787"/>
    <mergeCell ref="L787:M787"/>
    <mergeCell ref="G782:H782"/>
    <mergeCell ref="G783:H783"/>
    <mergeCell ref="L783:M783"/>
    <mergeCell ref="G784:H784"/>
    <mergeCell ref="L784:M784"/>
    <mergeCell ref="G780:H780"/>
    <mergeCell ref="L780:M780"/>
    <mergeCell ref="G814:H814"/>
    <mergeCell ref="L814:M814"/>
    <mergeCell ref="G815:H815"/>
    <mergeCell ref="L822:M822"/>
    <mergeCell ref="G809:H809"/>
    <mergeCell ref="L809:M809"/>
    <mergeCell ref="G798:H798"/>
    <mergeCell ref="G799:H799"/>
    <mergeCell ref="L799:M799"/>
    <mergeCell ref="G807:H807"/>
    <mergeCell ref="L766:M766"/>
    <mergeCell ref="G729:H729"/>
    <mergeCell ref="L729:M729"/>
    <mergeCell ref="G823:H823"/>
    <mergeCell ref="L823:M823"/>
    <mergeCell ref="G824:H824"/>
    <mergeCell ref="L824:M824"/>
    <mergeCell ref="G818:H818"/>
    <mergeCell ref="G785:H785"/>
    <mergeCell ref="L785:M785"/>
    <mergeCell ref="G794:H794"/>
    <mergeCell ref="L794:M794"/>
    <mergeCell ref="G795:H795"/>
    <mergeCell ref="L795:M795"/>
    <mergeCell ref="G788:H788"/>
    <mergeCell ref="G808:H808"/>
    <mergeCell ref="L797:M797"/>
    <mergeCell ref="G751:H751"/>
    <mergeCell ref="L751:M751"/>
    <mergeCell ref="G775:H775"/>
    <mergeCell ref="L775:M775"/>
    <mergeCell ref="G770:H770"/>
    <mergeCell ref="L770:M770"/>
    <mergeCell ref="G765:H765"/>
    <mergeCell ref="L755:M755"/>
    <mergeCell ref="G805:H805"/>
    <mergeCell ref="G754:H754"/>
    <mergeCell ref="L754:M754"/>
    <mergeCell ref="G766:H766"/>
    <mergeCell ref="L769:M769"/>
    <mergeCell ref="G772:H772"/>
    <mergeCell ref="G773:H773"/>
    <mergeCell ref="G683:H683"/>
    <mergeCell ref="L683:M683"/>
    <mergeCell ref="G810:H810"/>
    <mergeCell ref="L810:M810"/>
    <mergeCell ref="G762:H762"/>
    <mergeCell ref="G728:H728"/>
    <mergeCell ref="L728:M728"/>
    <mergeCell ref="G731:H731"/>
    <mergeCell ref="G732:H732"/>
    <mergeCell ref="L732:M732"/>
    <mergeCell ref="G733:H733"/>
    <mergeCell ref="L733:M733"/>
    <mergeCell ref="G730:H730"/>
    <mergeCell ref="L730:M730"/>
    <mergeCell ref="G735:H735"/>
    <mergeCell ref="L735:M735"/>
    <mergeCell ref="G740:H740"/>
    <mergeCell ref="L740:M740"/>
    <mergeCell ref="G776:H776"/>
    <mergeCell ref="L776:M776"/>
    <mergeCell ref="G745:H745"/>
    <mergeCell ref="L745:M745"/>
    <mergeCell ref="G763:H763"/>
    <mergeCell ref="L763:M763"/>
    <mergeCell ref="L712:M712"/>
    <mergeCell ref="L764:M764"/>
    <mergeCell ref="G767:H767"/>
    <mergeCell ref="G768:H768"/>
    <mergeCell ref="L768:M768"/>
    <mergeCell ref="G771:H771"/>
    <mergeCell ref="L771:M771"/>
    <mergeCell ref="L765:M765"/>
    <mergeCell ref="G760:H760"/>
    <mergeCell ref="L760:M760"/>
    <mergeCell ref="G755:H755"/>
    <mergeCell ref="L749:M749"/>
    <mergeCell ref="G744:H744"/>
    <mergeCell ref="L744:M744"/>
    <mergeCell ref="G752:H752"/>
    <mergeCell ref="L752:M752"/>
    <mergeCell ref="G739:H739"/>
    <mergeCell ref="G695:H695"/>
    <mergeCell ref="L695:M695"/>
    <mergeCell ref="L742:M742"/>
    <mergeCell ref="G715:H715"/>
    <mergeCell ref="L715:M715"/>
    <mergeCell ref="G706:H706"/>
    <mergeCell ref="L706:M706"/>
    <mergeCell ref="G707:H707"/>
    <mergeCell ref="G724:H724"/>
    <mergeCell ref="L724:M724"/>
    <mergeCell ref="G717:H717"/>
    <mergeCell ref="L717:M717"/>
    <mergeCell ref="G718:H718"/>
    <mergeCell ref="G713:H713"/>
    <mergeCell ref="L713:M713"/>
    <mergeCell ref="L718:M718"/>
    <mergeCell ref="G726:H726"/>
    <mergeCell ref="L705:M705"/>
    <mergeCell ref="G701:H701"/>
    <mergeCell ref="L701:M701"/>
    <mergeCell ref="G702:H702"/>
    <mergeCell ref="L702:M702"/>
    <mergeCell ref="L714:M714"/>
    <mergeCell ref="G675:H675"/>
    <mergeCell ref="L675:M675"/>
    <mergeCell ref="G668:H668"/>
    <mergeCell ref="L668:M668"/>
    <mergeCell ref="G682:H682"/>
    <mergeCell ref="L682:M682"/>
    <mergeCell ref="L687:M687"/>
    <mergeCell ref="G622:H622"/>
    <mergeCell ref="L622:M622"/>
    <mergeCell ref="G623:H623"/>
    <mergeCell ref="L623:M623"/>
    <mergeCell ref="G624:H624"/>
    <mergeCell ref="L624:M624"/>
    <mergeCell ref="G684:H684"/>
    <mergeCell ref="L684:M684"/>
    <mergeCell ref="G685:H685"/>
    <mergeCell ref="L685:M685"/>
    <mergeCell ref="G686:H686"/>
    <mergeCell ref="L686:M686"/>
    <mergeCell ref="L636:M636"/>
    <mergeCell ref="G633:H633"/>
    <mergeCell ref="G651:H651"/>
    <mergeCell ref="L632:M632"/>
    <mergeCell ref="G627:H627"/>
    <mergeCell ref="L627:M627"/>
    <mergeCell ref="G661:H661"/>
    <mergeCell ref="L661:M661"/>
    <mergeCell ref="G662:H662"/>
    <mergeCell ref="L669:M669"/>
    <mergeCell ref="G670:H670"/>
    <mergeCell ref="L677:M677"/>
    <mergeCell ref="L670:M670"/>
    <mergeCell ref="G688:H688"/>
    <mergeCell ref="G689:H689"/>
    <mergeCell ref="G698:H698"/>
    <mergeCell ref="L698:M698"/>
    <mergeCell ref="G705:H705"/>
    <mergeCell ref="G721:H721"/>
    <mergeCell ref="G711:H711"/>
    <mergeCell ref="L711:M711"/>
    <mergeCell ref="G712:H712"/>
    <mergeCell ref="G617:H617"/>
    <mergeCell ref="L617:M617"/>
    <mergeCell ref="G618:H618"/>
    <mergeCell ref="L618:M618"/>
    <mergeCell ref="G621:H621"/>
    <mergeCell ref="L621:M621"/>
    <mergeCell ref="G619:H619"/>
    <mergeCell ref="L619:M619"/>
    <mergeCell ref="G659:H659"/>
    <mergeCell ref="L659:M659"/>
    <mergeCell ref="G660:H660"/>
    <mergeCell ref="L660:M660"/>
    <mergeCell ref="G646:H646"/>
    <mergeCell ref="L646:M646"/>
    <mergeCell ref="L638:M638"/>
    <mergeCell ref="G639:H639"/>
    <mergeCell ref="L639:M639"/>
    <mergeCell ref="G634:H634"/>
    <mergeCell ref="L630:M630"/>
    <mergeCell ref="G625:H625"/>
    <mergeCell ref="L625:M625"/>
    <mergeCell ref="G626:H626"/>
    <mergeCell ref="L626:M626"/>
    <mergeCell ref="G577:H577"/>
    <mergeCell ref="L577:M577"/>
    <mergeCell ref="G583:H583"/>
    <mergeCell ref="L583:M583"/>
    <mergeCell ref="G567:H567"/>
    <mergeCell ref="L567:M567"/>
    <mergeCell ref="G580:H580"/>
    <mergeCell ref="L580:M580"/>
    <mergeCell ref="G569:H569"/>
    <mergeCell ref="L569:M569"/>
    <mergeCell ref="G575:H575"/>
    <mergeCell ref="L575:M575"/>
    <mergeCell ref="G576:H576"/>
    <mergeCell ref="L576:M576"/>
    <mergeCell ref="G588:H588"/>
    <mergeCell ref="L588:M588"/>
    <mergeCell ref="G572:H572"/>
    <mergeCell ref="L572:M572"/>
    <mergeCell ref="G573:H573"/>
    <mergeCell ref="G579:H579"/>
    <mergeCell ref="L579:M579"/>
    <mergeCell ref="L573:M573"/>
    <mergeCell ref="G582:H582"/>
    <mergeCell ref="L582:M582"/>
    <mergeCell ref="G585:H585"/>
    <mergeCell ref="L585:M585"/>
    <mergeCell ref="G586:H586"/>
    <mergeCell ref="L586:M586"/>
    <mergeCell ref="G593:H593"/>
    <mergeCell ref="L593:M593"/>
    <mergeCell ref="L614:M614"/>
    <mergeCell ref="G615:H615"/>
    <mergeCell ref="G603:H603"/>
    <mergeCell ref="L603:M603"/>
    <mergeCell ref="G605:H605"/>
    <mergeCell ref="L605:M605"/>
    <mergeCell ref="G608:H608"/>
    <mergeCell ref="L608:M608"/>
    <mergeCell ref="G609:H609"/>
    <mergeCell ref="L609:M609"/>
    <mergeCell ref="L615:M615"/>
    <mergeCell ref="G598:H598"/>
    <mergeCell ref="L598:M598"/>
    <mergeCell ref="G551:H551"/>
    <mergeCell ref="L551:M551"/>
    <mergeCell ref="G553:H553"/>
    <mergeCell ref="L553:M553"/>
    <mergeCell ref="G556:H556"/>
    <mergeCell ref="L556:M556"/>
    <mergeCell ref="G563:H563"/>
    <mergeCell ref="L563:M563"/>
    <mergeCell ref="G557:H557"/>
    <mergeCell ref="L557:M557"/>
    <mergeCell ref="G559:H559"/>
    <mergeCell ref="L559:M559"/>
    <mergeCell ref="G564:H564"/>
    <mergeCell ref="L564:M564"/>
    <mergeCell ref="G566:H566"/>
    <mergeCell ref="G570:H570"/>
    <mergeCell ref="L570:M570"/>
    <mergeCell ref="L566:M566"/>
    <mergeCell ref="G560:H560"/>
    <mergeCell ref="L560:M560"/>
    <mergeCell ref="G562:H562"/>
    <mergeCell ref="L562:M562"/>
    <mergeCell ref="G515:H515"/>
    <mergeCell ref="L515:M515"/>
    <mergeCell ref="G504:H504"/>
    <mergeCell ref="L504:M504"/>
    <mergeCell ref="G509:H509"/>
    <mergeCell ref="L509:M509"/>
    <mergeCell ref="G516:H516"/>
    <mergeCell ref="L516:M516"/>
    <mergeCell ref="G517:H517"/>
    <mergeCell ref="L517:M517"/>
    <mergeCell ref="G508:H508"/>
    <mergeCell ref="L508:M508"/>
    <mergeCell ref="G511:H511"/>
    <mergeCell ref="L511:M511"/>
    <mergeCell ref="L506:M506"/>
    <mergeCell ref="G507:H507"/>
    <mergeCell ref="L507:M507"/>
    <mergeCell ref="G537:H537"/>
    <mergeCell ref="L537:M537"/>
    <mergeCell ref="G549:H549"/>
    <mergeCell ref="L549:M549"/>
    <mergeCell ref="G550:H550"/>
    <mergeCell ref="L550:M550"/>
    <mergeCell ref="G546:H546"/>
    <mergeCell ref="L546:M546"/>
    <mergeCell ref="G547:H547"/>
    <mergeCell ref="L547:M547"/>
    <mergeCell ref="G467:H467"/>
    <mergeCell ref="G520:H520"/>
    <mergeCell ref="G491:H491"/>
    <mergeCell ref="L491:M491"/>
    <mergeCell ref="G492:H492"/>
    <mergeCell ref="L492:M492"/>
    <mergeCell ref="G457:H457"/>
    <mergeCell ref="L457:M457"/>
    <mergeCell ref="G458:H458"/>
    <mergeCell ref="L458:M458"/>
    <mergeCell ref="G459:H459"/>
    <mergeCell ref="L459:M459"/>
    <mergeCell ref="G469:H469"/>
    <mergeCell ref="L469:M469"/>
    <mergeCell ref="G474:H474"/>
    <mergeCell ref="L474:M474"/>
    <mergeCell ref="G479:H479"/>
    <mergeCell ref="L479:M479"/>
    <mergeCell ref="G485:H485"/>
    <mergeCell ref="L485:M485"/>
    <mergeCell ref="G490:H490"/>
    <mergeCell ref="L490:M490"/>
    <mergeCell ref="G470:H470"/>
    <mergeCell ref="L470:M470"/>
    <mergeCell ref="G471:H471"/>
    <mergeCell ref="L471:M471"/>
    <mergeCell ref="G472:H472"/>
    <mergeCell ref="L472:M472"/>
    <mergeCell ref="G465:H465"/>
    <mergeCell ref="L465:M465"/>
    <mergeCell ref="L486:M486"/>
    <mergeCell ref="G487:H487"/>
    <mergeCell ref="G454:H454"/>
    <mergeCell ref="L454:M454"/>
    <mergeCell ref="G455:H455"/>
    <mergeCell ref="L455:M455"/>
    <mergeCell ref="G456:H456"/>
    <mergeCell ref="L456:M456"/>
    <mergeCell ref="G464:H464"/>
    <mergeCell ref="L464:M464"/>
    <mergeCell ref="G460:H460"/>
    <mergeCell ref="L460:M460"/>
    <mergeCell ref="G461:H461"/>
    <mergeCell ref="G449:H449"/>
    <mergeCell ref="L449:M449"/>
    <mergeCell ref="G450:H450"/>
    <mergeCell ref="L450:M450"/>
    <mergeCell ref="G453:H453"/>
    <mergeCell ref="L453:M453"/>
    <mergeCell ref="L452:M452"/>
    <mergeCell ref="G452:H452"/>
    <mergeCell ref="L461:M461"/>
    <mergeCell ref="G462:H462"/>
    <mergeCell ref="L462:M462"/>
    <mergeCell ref="G463:H463"/>
    <mergeCell ref="L463:M463"/>
    <mergeCell ref="L428:M428"/>
    <mergeCell ref="G434:H434"/>
    <mergeCell ref="G444:H444"/>
    <mergeCell ref="L444:M444"/>
    <mergeCell ref="G447:H447"/>
    <mergeCell ref="L447:M447"/>
    <mergeCell ref="G448:H448"/>
    <mergeCell ref="L448:M448"/>
    <mergeCell ref="G441:H441"/>
    <mergeCell ref="L441:M441"/>
    <mergeCell ref="G442:H442"/>
    <mergeCell ref="L442:M442"/>
    <mergeCell ref="G443:H443"/>
    <mergeCell ref="L443:M443"/>
    <mergeCell ref="G436:H436"/>
    <mergeCell ref="L436:M436"/>
    <mergeCell ref="G437:H437"/>
    <mergeCell ref="L437:M437"/>
    <mergeCell ref="G438:H438"/>
    <mergeCell ref="L438:M438"/>
    <mergeCell ref="L446:M446"/>
    <mergeCell ref="L440:M440"/>
    <mergeCell ref="G440:H440"/>
    <mergeCell ref="G446:H446"/>
    <mergeCell ref="G430:H430"/>
    <mergeCell ref="L430:M430"/>
    <mergeCell ref="L431:M431"/>
    <mergeCell ref="G432:H432"/>
    <mergeCell ref="L432:M432"/>
    <mergeCell ref="G435:H435"/>
    <mergeCell ref="L435:M435"/>
    <mergeCell ref="G417:H417"/>
    <mergeCell ref="L417:M417"/>
    <mergeCell ref="G407:H407"/>
    <mergeCell ref="L407:M407"/>
    <mergeCell ref="G408:H408"/>
    <mergeCell ref="L408:M408"/>
    <mergeCell ref="G409:H409"/>
    <mergeCell ref="L409:M409"/>
    <mergeCell ref="G410:H410"/>
    <mergeCell ref="L410:M410"/>
    <mergeCell ref="G415:H415"/>
    <mergeCell ref="L415:M415"/>
    <mergeCell ref="G411:H411"/>
    <mergeCell ref="L411:M411"/>
    <mergeCell ref="G416:H416"/>
    <mergeCell ref="L416:M416"/>
    <mergeCell ref="L425:M425"/>
    <mergeCell ref="G425:H425"/>
    <mergeCell ref="L422:M422"/>
    <mergeCell ref="G418:H418"/>
    <mergeCell ref="L418:M418"/>
    <mergeCell ref="G419:H419"/>
    <mergeCell ref="L419:M419"/>
    <mergeCell ref="G420:H420"/>
    <mergeCell ref="L420:M420"/>
    <mergeCell ref="L412:M412"/>
    <mergeCell ref="G413:H413"/>
    <mergeCell ref="L413:M413"/>
    <mergeCell ref="G414:H414"/>
    <mergeCell ref="L414:M414"/>
    <mergeCell ref="G423:H423"/>
    <mergeCell ref="L423:M423"/>
    <mergeCell ref="G404:H404"/>
    <mergeCell ref="L404:M404"/>
    <mergeCell ref="G405:H405"/>
    <mergeCell ref="L405:M405"/>
    <mergeCell ref="G406:H406"/>
    <mergeCell ref="L406:M406"/>
    <mergeCell ref="G401:H401"/>
    <mergeCell ref="L401:M401"/>
    <mergeCell ref="G402:H402"/>
    <mergeCell ref="L402:M402"/>
    <mergeCell ref="G403:H403"/>
    <mergeCell ref="L403:M403"/>
    <mergeCell ref="G398:H398"/>
    <mergeCell ref="L398:M398"/>
    <mergeCell ref="G399:H399"/>
    <mergeCell ref="L399:M399"/>
    <mergeCell ref="G400:H400"/>
    <mergeCell ref="L400:M400"/>
    <mergeCell ref="G394:H394"/>
    <mergeCell ref="G395:H395"/>
    <mergeCell ref="L395:M395"/>
    <mergeCell ref="G396:H396"/>
    <mergeCell ref="L396:M396"/>
    <mergeCell ref="G397:H397"/>
    <mergeCell ref="L397:M397"/>
    <mergeCell ref="G390:H390"/>
    <mergeCell ref="G391:H391"/>
    <mergeCell ref="L391:M391"/>
    <mergeCell ref="G392:H392"/>
    <mergeCell ref="L392:M392"/>
    <mergeCell ref="G393:H393"/>
    <mergeCell ref="L393:M393"/>
    <mergeCell ref="G386:H386"/>
    <mergeCell ref="G387:H387"/>
    <mergeCell ref="L387:M387"/>
    <mergeCell ref="G388:H388"/>
    <mergeCell ref="L388:M388"/>
    <mergeCell ref="G389:H389"/>
    <mergeCell ref="L389:M389"/>
    <mergeCell ref="G382:H382"/>
    <mergeCell ref="G383:H383"/>
    <mergeCell ref="L383:M383"/>
    <mergeCell ref="G384:H384"/>
    <mergeCell ref="L384:M384"/>
    <mergeCell ref="G385:H385"/>
    <mergeCell ref="L385:M385"/>
    <mergeCell ref="G376:H376"/>
    <mergeCell ref="L376:M376"/>
    <mergeCell ref="G377:H377"/>
    <mergeCell ref="L377:M377"/>
    <mergeCell ref="G381:H381"/>
    <mergeCell ref="L381:M381"/>
    <mergeCell ref="G371:H371"/>
    <mergeCell ref="L371:M371"/>
    <mergeCell ref="G372:H372"/>
    <mergeCell ref="L372:M372"/>
    <mergeCell ref="G375:H375"/>
    <mergeCell ref="L375:M375"/>
    <mergeCell ref="G373:H373"/>
    <mergeCell ref="L373:M373"/>
    <mergeCell ref="G378:H378"/>
    <mergeCell ref="L378:M378"/>
    <mergeCell ref="G374:H374"/>
    <mergeCell ref="L374:M374"/>
    <mergeCell ref="G379:H379"/>
    <mergeCell ref="L379:M379"/>
    <mergeCell ref="G366:H366"/>
    <mergeCell ref="L366:M366"/>
    <mergeCell ref="G367:H367"/>
    <mergeCell ref="L367:M367"/>
    <mergeCell ref="G370:H370"/>
    <mergeCell ref="L370:M370"/>
    <mergeCell ref="G361:H361"/>
    <mergeCell ref="L361:M361"/>
    <mergeCell ref="G362:H362"/>
    <mergeCell ref="L362:M362"/>
    <mergeCell ref="G365:H365"/>
    <mergeCell ref="L365:M365"/>
    <mergeCell ref="G356:H356"/>
    <mergeCell ref="L356:M356"/>
    <mergeCell ref="G357:H357"/>
    <mergeCell ref="L357:M357"/>
    <mergeCell ref="G360:H360"/>
    <mergeCell ref="L360:M360"/>
    <mergeCell ref="G358:H358"/>
    <mergeCell ref="L358:M358"/>
    <mergeCell ref="G363:H363"/>
    <mergeCell ref="L363:M363"/>
    <mergeCell ref="G368:H368"/>
    <mergeCell ref="L368:M368"/>
    <mergeCell ref="G359:H359"/>
    <mergeCell ref="L359:M359"/>
    <mergeCell ref="G364:H364"/>
    <mergeCell ref="L364:M364"/>
    <mergeCell ref="G369:H369"/>
    <mergeCell ref="L369:M369"/>
    <mergeCell ref="G351:H351"/>
    <mergeCell ref="L351:M351"/>
    <mergeCell ref="G352:H352"/>
    <mergeCell ref="L352:M352"/>
    <mergeCell ref="G355:H355"/>
    <mergeCell ref="L355:M355"/>
    <mergeCell ref="G346:H346"/>
    <mergeCell ref="L346:M346"/>
    <mergeCell ref="G347:H347"/>
    <mergeCell ref="L347:M347"/>
    <mergeCell ref="G350:H350"/>
    <mergeCell ref="L350:M350"/>
    <mergeCell ref="G341:H341"/>
    <mergeCell ref="L341:M341"/>
    <mergeCell ref="G342:H342"/>
    <mergeCell ref="L342:M342"/>
    <mergeCell ref="G345:H345"/>
    <mergeCell ref="L345:M345"/>
    <mergeCell ref="G343:H343"/>
    <mergeCell ref="L343:M343"/>
    <mergeCell ref="G348:H348"/>
    <mergeCell ref="L348:M348"/>
    <mergeCell ref="G353:H353"/>
    <mergeCell ref="L353:M353"/>
    <mergeCell ref="G344:H344"/>
    <mergeCell ref="L344:M344"/>
    <mergeCell ref="G349:H349"/>
    <mergeCell ref="L349:M349"/>
    <mergeCell ref="G354:H354"/>
    <mergeCell ref="L354:M354"/>
    <mergeCell ref="G336:H336"/>
    <mergeCell ref="L336:M336"/>
    <mergeCell ref="G337:H337"/>
    <mergeCell ref="L337:M337"/>
    <mergeCell ref="G340:H340"/>
    <mergeCell ref="L340:M340"/>
    <mergeCell ref="G331:H331"/>
    <mergeCell ref="L331:M331"/>
    <mergeCell ref="G332:H332"/>
    <mergeCell ref="L332:M332"/>
    <mergeCell ref="G335:H335"/>
    <mergeCell ref="L335:M335"/>
    <mergeCell ref="G326:H326"/>
    <mergeCell ref="L326:M326"/>
    <mergeCell ref="G327:H327"/>
    <mergeCell ref="L327:M327"/>
    <mergeCell ref="G330:H330"/>
    <mergeCell ref="L330:M330"/>
    <mergeCell ref="G328:H328"/>
    <mergeCell ref="L328:M328"/>
    <mergeCell ref="G333:H333"/>
    <mergeCell ref="L333:M333"/>
    <mergeCell ref="G338:H338"/>
    <mergeCell ref="L338:M338"/>
    <mergeCell ref="G329:H329"/>
    <mergeCell ref="L329:M329"/>
    <mergeCell ref="G334:H334"/>
    <mergeCell ref="L334:M334"/>
    <mergeCell ref="G339:H339"/>
    <mergeCell ref="L339:M339"/>
    <mergeCell ref="G321:H321"/>
    <mergeCell ref="L321:M321"/>
    <mergeCell ref="G322:H322"/>
    <mergeCell ref="L322:M322"/>
    <mergeCell ref="G325:H325"/>
    <mergeCell ref="L325:M325"/>
    <mergeCell ref="G316:H316"/>
    <mergeCell ref="L316:M316"/>
    <mergeCell ref="G317:H317"/>
    <mergeCell ref="L317:M317"/>
    <mergeCell ref="G320:H320"/>
    <mergeCell ref="L320:M320"/>
    <mergeCell ref="G311:H311"/>
    <mergeCell ref="L311:M311"/>
    <mergeCell ref="G312:H312"/>
    <mergeCell ref="L312:M312"/>
    <mergeCell ref="G315:H315"/>
    <mergeCell ref="L315:M315"/>
    <mergeCell ref="G313:H313"/>
    <mergeCell ref="L313:M313"/>
    <mergeCell ref="G318:H318"/>
    <mergeCell ref="L318:M318"/>
    <mergeCell ref="G323:H323"/>
    <mergeCell ref="L323:M323"/>
    <mergeCell ref="G314:H314"/>
    <mergeCell ref="L314:M314"/>
    <mergeCell ref="G319:H319"/>
    <mergeCell ref="L319:M319"/>
    <mergeCell ref="G324:H324"/>
    <mergeCell ref="L324:M324"/>
    <mergeCell ref="G306:H306"/>
    <mergeCell ref="L306:M306"/>
    <mergeCell ref="G307:H307"/>
    <mergeCell ref="L307:M307"/>
    <mergeCell ref="G310:H310"/>
    <mergeCell ref="L310:M310"/>
    <mergeCell ref="G301:H301"/>
    <mergeCell ref="L301:M301"/>
    <mergeCell ref="G302:H302"/>
    <mergeCell ref="L302:M302"/>
    <mergeCell ref="G305:H305"/>
    <mergeCell ref="L305:M305"/>
    <mergeCell ref="G296:H296"/>
    <mergeCell ref="L296:M296"/>
    <mergeCell ref="G297:H297"/>
    <mergeCell ref="L297:M297"/>
    <mergeCell ref="G300:H300"/>
    <mergeCell ref="L300:M300"/>
    <mergeCell ref="G298:H298"/>
    <mergeCell ref="L298:M298"/>
    <mergeCell ref="G303:H303"/>
    <mergeCell ref="L303:M303"/>
    <mergeCell ref="G308:H308"/>
    <mergeCell ref="L308:M308"/>
    <mergeCell ref="G299:H299"/>
    <mergeCell ref="L299:M299"/>
    <mergeCell ref="G304:H304"/>
    <mergeCell ref="L304:M304"/>
    <mergeCell ref="G309:H309"/>
    <mergeCell ref="L309:M309"/>
    <mergeCell ref="G279:H279"/>
    <mergeCell ref="L279:M279"/>
    <mergeCell ref="G291:H291"/>
    <mergeCell ref="L291:M291"/>
    <mergeCell ref="G292:H292"/>
    <mergeCell ref="L292:M292"/>
    <mergeCell ref="G295:H295"/>
    <mergeCell ref="L295:M295"/>
    <mergeCell ref="G286:H286"/>
    <mergeCell ref="L286:M286"/>
    <mergeCell ref="G287:H287"/>
    <mergeCell ref="L287:M287"/>
    <mergeCell ref="G290:H290"/>
    <mergeCell ref="L290:M290"/>
    <mergeCell ref="G281:H281"/>
    <mergeCell ref="L281:M281"/>
    <mergeCell ref="G282:H282"/>
    <mergeCell ref="L282:M282"/>
    <mergeCell ref="G285:H285"/>
    <mergeCell ref="L285:M285"/>
    <mergeCell ref="G283:H283"/>
    <mergeCell ref="L283:M283"/>
    <mergeCell ref="G288:H288"/>
    <mergeCell ref="L288:M288"/>
    <mergeCell ref="G293:H293"/>
    <mergeCell ref="L293:M293"/>
    <mergeCell ref="G284:H284"/>
    <mergeCell ref="L284:M284"/>
    <mergeCell ref="G289:H289"/>
    <mergeCell ref="L289:M289"/>
    <mergeCell ref="G294:H294"/>
    <mergeCell ref="L294:M294"/>
    <mergeCell ref="L271:M271"/>
    <mergeCell ref="G272:H272"/>
    <mergeCell ref="L272:M272"/>
    <mergeCell ref="G275:H275"/>
    <mergeCell ref="L275:M275"/>
    <mergeCell ref="B268:F268"/>
    <mergeCell ref="G268:H268"/>
    <mergeCell ref="L268:M268"/>
    <mergeCell ref="G269:H269"/>
    <mergeCell ref="L269:M269"/>
    <mergeCell ref="G270:H270"/>
    <mergeCell ref="L270:M270"/>
    <mergeCell ref="L273:M273"/>
    <mergeCell ref="L278:M278"/>
    <mergeCell ref="G273:H273"/>
    <mergeCell ref="G278:H278"/>
    <mergeCell ref="G274:H274"/>
    <mergeCell ref="L274:M274"/>
    <mergeCell ref="A265:C265"/>
    <mergeCell ref="D265:N265"/>
    <mergeCell ref="B144:C144"/>
    <mergeCell ref="B145:C145"/>
    <mergeCell ref="A146:N146"/>
    <mergeCell ref="B266:F267"/>
    <mergeCell ref="G266:H267"/>
    <mergeCell ref="I266:I267"/>
    <mergeCell ref="J266:J267"/>
    <mergeCell ref="K266:M266"/>
    <mergeCell ref="L267:M267"/>
    <mergeCell ref="B259:C259"/>
    <mergeCell ref="B260:C260"/>
    <mergeCell ref="A262:N262"/>
    <mergeCell ref="A263:C263"/>
    <mergeCell ref="D263:N263"/>
    <mergeCell ref="A264:C264"/>
    <mergeCell ref="D264:N264"/>
    <mergeCell ref="B244:D244"/>
    <mergeCell ref="I244:K244"/>
    <mergeCell ref="B258:C258"/>
    <mergeCell ref="V243:W243"/>
    <mergeCell ref="A69:A71"/>
    <mergeCell ref="D69:E69"/>
    <mergeCell ref="L69:M69"/>
    <mergeCell ref="D70:E70"/>
    <mergeCell ref="L70:M70"/>
    <mergeCell ref="D71:E71"/>
    <mergeCell ref="D116:E116"/>
    <mergeCell ref="D105:E105"/>
    <mergeCell ref="L105:M105"/>
    <mergeCell ref="D106:E106"/>
    <mergeCell ref="L106:M106"/>
    <mergeCell ref="D107:E107"/>
    <mergeCell ref="D102:E102"/>
    <mergeCell ref="R150:S150"/>
    <mergeCell ref="T150:U150"/>
    <mergeCell ref="V150:W150"/>
    <mergeCell ref="B151:D151"/>
    <mergeCell ref="I151:K151"/>
    <mergeCell ref="B222:D222"/>
    <mergeCell ref="I222:K222"/>
    <mergeCell ref="A147:C147"/>
    <mergeCell ref="D147:N147"/>
    <mergeCell ref="A148:C148"/>
    <mergeCell ref="D148:N148"/>
    <mergeCell ref="A149:C149"/>
    <mergeCell ref="D149:N149"/>
    <mergeCell ref="R243:S243"/>
    <mergeCell ref="T243:U243"/>
    <mergeCell ref="F122:F124"/>
    <mergeCell ref="D96:E96"/>
    <mergeCell ref="L96:M96"/>
    <mergeCell ref="A52:A68"/>
    <mergeCell ref="D52:E52"/>
    <mergeCell ref="L52:M52"/>
    <mergeCell ref="D53:E53"/>
    <mergeCell ref="L53:M53"/>
    <mergeCell ref="D54:E54"/>
    <mergeCell ref="D81:E81"/>
    <mergeCell ref="L81:M81"/>
    <mergeCell ref="D82:E82"/>
    <mergeCell ref="L82:M82"/>
    <mergeCell ref="D83:E83"/>
    <mergeCell ref="L83:M83"/>
    <mergeCell ref="D78:E78"/>
    <mergeCell ref="L78:M78"/>
    <mergeCell ref="D79:E79"/>
    <mergeCell ref="L79:M79"/>
    <mergeCell ref="D80:E80"/>
    <mergeCell ref="L80:M80"/>
    <mergeCell ref="D75:E75"/>
    <mergeCell ref="L75:M75"/>
    <mergeCell ref="D76:E76"/>
    <mergeCell ref="L76:M76"/>
    <mergeCell ref="D77:E77"/>
    <mergeCell ref="L77:M77"/>
    <mergeCell ref="D72:E72"/>
    <mergeCell ref="L72:M72"/>
    <mergeCell ref="L66:M66"/>
    <mergeCell ref="D60:E60"/>
    <mergeCell ref="L60:M60"/>
    <mergeCell ref="D61:E61"/>
    <mergeCell ref="L61:M61"/>
    <mergeCell ref="L54:M54"/>
    <mergeCell ref="D36:E36"/>
    <mergeCell ref="L36:M36"/>
    <mergeCell ref="D37:E37"/>
    <mergeCell ref="L37:M37"/>
    <mergeCell ref="D38:E38"/>
    <mergeCell ref="L31:M31"/>
    <mergeCell ref="D32:E32"/>
    <mergeCell ref="L32:M32"/>
    <mergeCell ref="D33:E33"/>
    <mergeCell ref="L33:M33"/>
    <mergeCell ref="D50:E50"/>
    <mergeCell ref="L50:M50"/>
    <mergeCell ref="D51:E51"/>
    <mergeCell ref="L51:M51"/>
    <mergeCell ref="A28:A34"/>
    <mergeCell ref="D28:E28"/>
    <mergeCell ref="L28:M28"/>
    <mergeCell ref="D29:E29"/>
    <mergeCell ref="L29:M29"/>
    <mergeCell ref="D30:E30"/>
    <mergeCell ref="D47:E47"/>
    <mergeCell ref="L47:M47"/>
    <mergeCell ref="D48:E48"/>
    <mergeCell ref="L48:M48"/>
    <mergeCell ref="D49:E49"/>
    <mergeCell ref="L49:M49"/>
    <mergeCell ref="D44:E44"/>
    <mergeCell ref="L44:M44"/>
    <mergeCell ref="D45:E45"/>
    <mergeCell ref="L30:M30"/>
    <mergeCell ref="D31:E31"/>
    <mergeCell ref="D35:E35"/>
    <mergeCell ref="V7:W7"/>
    <mergeCell ref="D8:E8"/>
    <mergeCell ref="L8:M8"/>
    <mergeCell ref="D9:E9"/>
    <mergeCell ref="L9:M9"/>
    <mergeCell ref="D10:E10"/>
    <mergeCell ref="L10:M10"/>
    <mergeCell ref="D23:E23"/>
    <mergeCell ref="L23:M23"/>
    <mergeCell ref="D24:E24"/>
    <mergeCell ref="L24:M24"/>
    <mergeCell ref="D25:E25"/>
    <mergeCell ref="L25:M25"/>
    <mergeCell ref="D20:E20"/>
    <mergeCell ref="L20:M20"/>
    <mergeCell ref="D21:E21"/>
    <mergeCell ref="L21:M21"/>
    <mergeCell ref="D22:E22"/>
    <mergeCell ref="L22:M22"/>
    <mergeCell ref="D17:E17"/>
    <mergeCell ref="L17:M17"/>
    <mergeCell ref="D18:E18"/>
    <mergeCell ref="L18:M18"/>
    <mergeCell ref="D19:E19"/>
    <mergeCell ref="L19:M19"/>
    <mergeCell ref="L35:M35"/>
    <mergeCell ref="L135:M135"/>
    <mergeCell ref="L84:M84"/>
    <mergeCell ref="L85:M85"/>
    <mergeCell ref="L86:M86"/>
    <mergeCell ref="L99:M99"/>
    <mergeCell ref="L95:M95"/>
    <mergeCell ref="L123:M123"/>
    <mergeCell ref="A1:N1"/>
    <mergeCell ref="A2:C2"/>
    <mergeCell ref="D2:N2"/>
    <mergeCell ref="A3:C3"/>
    <mergeCell ref="D3:N3"/>
    <mergeCell ref="A4:C4"/>
    <mergeCell ref="D4:N4"/>
    <mergeCell ref="D14:E14"/>
    <mergeCell ref="L14:M14"/>
    <mergeCell ref="D15:E15"/>
    <mergeCell ref="L15:M15"/>
    <mergeCell ref="D16:E16"/>
    <mergeCell ref="L16:M16"/>
    <mergeCell ref="D11:E11"/>
    <mergeCell ref="L11:M11"/>
    <mergeCell ref="D12:E12"/>
    <mergeCell ref="L12:M12"/>
    <mergeCell ref="D13:E13"/>
    <mergeCell ref="L13:M13"/>
    <mergeCell ref="B5:B6"/>
    <mergeCell ref="D5:E5"/>
    <mergeCell ref="H5:I5"/>
    <mergeCell ref="L5:M5"/>
    <mergeCell ref="N5:N6"/>
    <mergeCell ref="A35:A41"/>
    <mergeCell ref="L89:M89"/>
    <mergeCell ref="G424:H424"/>
    <mergeCell ref="L108:M108"/>
    <mergeCell ref="L102:M102"/>
    <mergeCell ref="L103:M103"/>
    <mergeCell ref="G703:H703"/>
    <mergeCell ref="L703:M703"/>
    <mergeCell ref="H117:I117"/>
    <mergeCell ref="L117:M117"/>
    <mergeCell ref="H118:I118"/>
    <mergeCell ref="L114:M114"/>
    <mergeCell ref="H116:I116"/>
    <mergeCell ref="G704:H704"/>
    <mergeCell ref="L704:M704"/>
    <mergeCell ref="D122:E124"/>
    <mergeCell ref="G122:G124"/>
    <mergeCell ref="H122:H124"/>
    <mergeCell ref="I122:I124"/>
    <mergeCell ref="J122:J124"/>
    <mergeCell ref="L122:M122"/>
    <mergeCell ref="L124:M124"/>
    <mergeCell ref="D119:E119"/>
    <mergeCell ref="H119:I119"/>
    <mergeCell ref="L119:M119"/>
    <mergeCell ref="G120:H120"/>
    <mergeCell ref="I120:J120"/>
    <mergeCell ref="L120:M120"/>
    <mergeCell ref="L116:M116"/>
    <mergeCell ref="L107:M107"/>
    <mergeCell ref="L424:M424"/>
    <mergeCell ref="D117:E117"/>
    <mergeCell ref="D97:E97"/>
    <mergeCell ref="L97:M97"/>
    <mergeCell ref="D98:E98"/>
    <mergeCell ref="L98:M98"/>
    <mergeCell ref="D93:E93"/>
    <mergeCell ref="L93:M93"/>
    <mergeCell ref="D94:E94"/>
    <mergeCell ref="L94:M94"/>
    <mergeCell ref="D95:E95"/>
    <mergeCell ref="L68:M68"/>
    <mergeCell ref="L63:M63"/>
    <mergeCell ref="L64:M64"/>
    <mergeCell ref="L73:M73"/>
    <mergeCell ref="L74:M74"/>
    <mergeCell ref="L67:M67"/>
    <mergeCell ref="L71:M71"/>
    <mergeCell ref="L90:M90"/>
    <mergeCell ref="L91:M91"/>
    <mergeCell ref="L92:M92"/>
    <mergeCell ref="L87:M87"/>
    <mergeCell ref="Z130:AA130"/>
    <mergeCell ref="D63:E63"/>
    <mergeCell ref="D64:E64"/>
    <mergeCell ref="D74:E74"/>
    <mergeCell ref="D67:E67"/>
    <mergeCell ref="D68:E68"/>
    <mergeCell ref="D90:E90"/>
    <mergeCell ref="D91:E91"/>
    <mergeCell ref="D92:E92"/>
    <mergeCell ref="D87:E87"/>
    <mergeCell ref="D88:E88"/>
    <mergeCell ref="D89:E89"/>
    <mergeCell ref="D84:E84"/>
    <mergeCell ref="D85:E85"/>
    <mergeCell ref="D86:E86"/>
    <mergeCell ref="D99:E99"/>
    <mergeCell ref="D62:E62"/>
    <mergeCell ref="D73:E73"/>
    <mergeCell ref="D103:E103"/>
    <mergeCell ref="D104:E104"/>
    <mergeCell ref="L104:M104"/>
    <mergeCell ref="L62:M62"/>
    <mergeCell ref="D65:E65"/>
    <mergeCell ref="L65:M65"/>
    <mergeCell ref="D66:E66"/>
    <mergeCell ref="D108:E108"/>
    <mergeCell ref="B112:N112"/>
    <mergeCell ref="A113:M113"/>
    <mergeCell ref="D114:E114"/>
    <mergeCell ref="H114:I114"/>
    <mergeCell ref="L118:M118"/>
    <mergeCell ref="D118:E118"/>
    <mergeCell ref="P5:P6"/>
    <mergeCell ref="Q5:Q6"/>
    <mergeCell ref="T5:T7"/>
    <mergeCell ref="U5:U7"/>
    <mergeCell ref="D6:E6"/>
    <mergeCell ref="L6:M6"/>
    <mergeCell ref="D7:E7"/>
    <mergeCell ref="L7:M7"/>
    <mergeCell ref="L40:M40"/>
    <mergeCell ref="D41:E41"/>
    <mergeCell ref="L41:M41"/>
    <mergeCell ref="D34:E34"/>
    <mergeCell ref="L34:M34"/>
    <mergeCell ref="L55:M55"/>
    <mergeCell ref="D56:E56"/>
    <mergeCell ref="L56:M56"/>
    <mergeCell ref="D57:E57"/>
    <mergeCell ref="L57:M57"/>
    <mergeCell ref="D27:E27"/>
    <mergeCell ref="L27:M27"/>
    <mergeCell ref="D26:E26"/>
    <mergeCell ref="L26:M26"/>
    <mergeCell ref="L38:M38"/>
    <mergeCell ref="D39:E39"/>
    <mergeCell ref="L39:M39"/>
    <mergeCell ref="D40:E40"/>
    <mergeCell ref="L45:M45"/>
    <mergeCell ref="D46:E46"/>
    <mergeCell ref="L46:M46"/>
    <mergeCell ref="D42:E42"/>
    <mergeCell ref="O5:O6"/>
    <mergeCell ref="D55:E55"/>
    <mergeCell ref="L807:M807"/>
    <mergeCell ref="G793:H793"/>
    <mergeCell ref="G813:H813"/>
    <mergeCell ref="L434:M434"/>
    <mergeCell ref="G466:H466"/>
    <mergeCell ref="L466:M466"/>
    <mergeCell ref="G480:H480"/>
    <mergeCell ref="J114:J116"/>
    <mergeCell ref="L467:M467"/>
    <mergeCell ref="E131:G131"/>
    <mergeCell ref="H131:I131"/>
    <mergeCell ref="L131:M131"/>
    <mergeCell ref="L133:M133"/>
    <mergeCell ref="L134:M134"/>
    <mergeCell ref="D125:E130"/>
    <mergeCell ref="L125:M125"/>
    <mergeCell ref="L126:M126"/>
    <mergeCell ref="L127:M127"/>
    <mergeCell ref="L128:M128"/>
    <mergeCell ref="L129:M129"/>
    <mergeCell ref="L130:M130"/>
    <mergeCell ref="G133:K133"/>
    <mergeCell ref="G276:H276"/>
    <mergeCell ref="L276:M276"/>
    <mergeCell ref="G803:H803"/>
    <mergeCell ref="G277:H277"/>
    <mergeCell ref="G804:H804"/>
    <mergeCell ref="L804:M804"/>
    <mergeCell ref="L277:M277"/>
    <mergeCell ref="G280:H280"/>
    <mergeCell ref="L280:M280"/>
    <mergeCell ref="G271:H271"/>
    <mergeCell ref="L42:M42"/>
    <mergeCell ref="D58:E58"/>
    <mergeCell ref="L58:M58"/>
    <mergeCell ref="L136:M136"/>
    <mergeCell ref="L137:M137"/>
    <mergeCell ref="G429:H429"/>
    <mergeCell ref="L429:M429"/>
    <mergeCell ref="G743:H743"/>
    <mergeCell ref="L743:M743"/>
    <mergeCell ref="G736:H736"/>
    <mergeCell ref="G737:H737"/>
    <mergeCell ref="G422:H422"/>
    <mergeCell ref="G428:H428"/>
    <mergeCell ref="G800:H800"/>
    <mergeCell ref="L800:M800"/>
    <mergeCell ref="G789:H789"/>
    <mergeCell ref="L789:M789"/>
    <mergeCell ref="G790:H790"/>
    <mergeCell ref="L790:M790"/>
    <mergeCell ref="G431:H431"/>
    <mergeCell ref="G796:H796"/>
    <mergeCell ref="L796:M796"/>
    <mergeCell ref="G791:H791"/>
    <mergeCell ref="L791:M791"/>
    <mergeCell ref="L88:M88"/>
    <mergeCell ref="D59:E59"/>
    <mergeCell ref="L59:M59"/>
    <mergeCell ref="L43:M43"/>
    <mergeCell ref="D100:E100"/>
    <mergeCell ref="L100:M100"/>
    <mergeCell ref="D101:E101"/>
    <mergeCell ref="L101:M101"/>
    <mergeCell ref="D43:E43"/>
    <mergeCell ref="L1217:M1217"/>
    <mergeCell ref="L1218:M1218"/>
    <mergeCell ref="L1219:M1219"/>
    <mergeCell ref="L1220:M1220"/>
    <mergeCell ref="L1221:M1221"/>
    <mergeCell ref="L1222:M1222"/>
    <mergeCell ref="L1223:M1223"/>
    <mergeCell ref="L1224:M1224"/>
    <mergeCell ref="G1220:H1220"/>
    <mergeCell ref="G1219:H1219"/>
    <mergeCell ref="G1218:H1218"/>
    <mergeCell ref="G1217:H1217"/>
    <mergeCell ref="G1226:H1226"/>
    <mergeCell ref="G1225:H1225"/>
    <mergeCell ref="G1224:H1224"/>
    <mergeCell ref="G1223:H1223"/>
    <mergeCell ref="G1222:H1222"/>
    <mergeCell ref="G1221:H1221"/>
    <mergeCell ref="G426:H426"/>
    <mergeCell ref="L426:M426"/>
    <mergeCell ref="G816:H816"/>
    <mergeCell ref="L816:M816"/>
    <mergeCell ref="G811:H811"/>
    <mergeCell ref="L811:M811"/>
    <mergeCell ref="G806:H806"/>
    <mergeCell ref="L806:M806"/>
    <mergeCell ref="G801:H801"/>
    <mergeCell ref="L801:M801"/>
    <mergeCell ref="L805:M805"/>
    <mergeCell ref="G802:H802"/>
    <mergeCell ref="L802:M802"/>
  </mergeCells>
  <pageMargins left="0.27559055118110237" right="0.27559055118110237" top="0.43307086614173229" bottom="0.18" header="0.51181102362204722" footer="0.26"/>
  <pageSetup paperSize="9" scale="88" orientation="portrait" r:id="rId1"/>
  <headerFooter alignWithMargins="0"/>
  <rowBreaks count="1" manualBreakCount="1">
    <brk id="261" max="12" man="1"/>
  </rowBreaks>
  <ignoredErrors>
    <ignoredError sqref="I9 I11:I13 I25:I26" formula="1"/>
  </ignoredErrors>
</worksheet>
</file>

<file path=xl/worksheets/sheet22.xml><?xml version="1.0" encoding="utf-8"?>
<worksheet xmlns="http://schemas.openxmlformats.org/spreadsheetml/2006/main" xmlns:r="http://schemas.openxmlformats.org/officeDocument/2006/relationships">
  <sheetPr>
    <tabColor rgb="FFFF0000"/>
  </sheetPr>
  <dimension ref="A1:X467"/>
  <sheetViews>
    <sheetView view="pageBreakPreview" topLeftCell="A396" zoomScaleNormal="99" zoomScaleSheetLayoutView="100" workbookViewId="0">
      <selection activeCell="F7" sqref="F7"/>
    </sheetView>
  </sheetViews>
  <sheetFormatPr defaultColWidth="9.140625" defaultRowHeight="15"/>
  <cols>
    <col min="1" max="1" width="3.5703125" style="2251" customWidth="1"/>
    <col min="2" max="2" width="17.5703125" style="2252" customWidth="1"/>
    <col min="3" max="3" width="8" style="2252" customWidth="1"/>
    <col min="4" max="4" width="6.85546875" style="2252" customWidth="1"/>
    <col min="5" max="5" width="8.42578125" style="2252" customWidth="1"/>
    <col min="6" max="6" width="3.140625" style="2252" customWidth="1"/>
    <col min="7" max="7" width="9.5703125" style="2252" customWidth="1"/>
    <col min="8" max="8" width="3.5703125" style="2252" customWidth="1"/>
    <col min="9" max="9" width="7.85546875" style="2252" customWidth="1"/>
    <col min="10" max="10" width="3" style="2252" customWidth="1"/>
    <col min="11" max="11" width="3.28515625" style="2252" customWidth="1"/>
    <col min="12" max="12" width="3.5703125" style="2252" customWidth="1"/>
    <col min="13" max="13" width="8.28515625" style="2252" customWidth="1"/>
    <col min="14" max="14" width="4" style="2252" customWidth="1"/>
    <col min="15" max="15" width="11.85546875" style="2252" customWidth="1"/>
    <col min="16" max="16" width="5.5703125" style="2252" customWidth="1"/>
    <col min="17" max="18" width="9.140625" style="2252"/>
    <col min="19" max="19" width="10.7109375" style="2252" bestFit="1" customWidth="1"/>
    <col min="20" max="20" width="9.28515625" style="2252" bestFit="1" customWidth="1"/>
    <col min="21" max="256" width="9.140625" style="2252"/>
    <col min="257" max="257" width="3.5703125" style="2252" customWidth="1"/>
    <col min="258" max="258" width="17.5703125" style="2252" customWidth="1"/>
    <col min="259" max="259" width="8" style="2252" customWidth="1"/>
    <col min="260" max="260" width="6.85546875" style="2252" customWidth="1"/>
    <col min="261" max="261" width="8.42578125" style="2252" customWidth="1"/>
    <col min="262" max="262" width="3.140625" style="2252" customWidth="1"/>
    <col min="263" max="263" width="9.5703125" style="2252" customWidth="1"/>
    <col min="264" max="264" width="3.5703125" style="2252" customWidth="1"/>
    <col min="265" max="265" width="7.85546875" style="2252" customWidth="1"/>
    <col min="266" max="266" width="3" style="2252" customWidth="1"/>
    <col min="267" max="267" width="4.42578125" style="2252" customWidth="1"/>
    <col min="268" max="268" width="3.5703125" style="2252" customWidth="1"/>
    <col min="269" max="269" width="8.28515625" style="2252" customWidth="1"/>
    <col min="270" max="270" width="4" style="2252" customWidth="1"/>
    <col min="271" max="271" width="11.85546875" style="2252" customWidth="1"/>
    <col min="272" max="272" width="5.5703125" style="2252" customWidth="1"/>
    <col min="273" max="274" width="9.140625" style="2252"/>
    <col min="275" max="275" width="10.7109375" style="2252" bestFit="1" customWidth="1"/>
    <col min="276" max="276" width="9.28515625" style="2252" bestFit="1" customWidth="1"/>
    <col min="277" max="512" width="9.140625" style="2252"/>
    <col min="513" max="513" width="3.5703125" style="2252" customWidth="1"/>
    <col min="514" max="514" width="17.5703125" style="2252" customWidth="1"/>
    <col min="515" max="515" width="8" style="2252" customWidth="1"/>
    <col min="516" max="516" width="6.85546875" style="2252" customWidth="1"/>
    <col min="517" max="517" width="8.42578125" style="2252" customWidth="1"/>
    <col min="518" max="518" width="3.140625" style="2252" customWidth="1"/>
    <col min="519" max="519" width="9.5703125" style="2252" customWidth="1"/>
    <col min="520" max="520" width="3.5703125" style="2252" customWidth="1"/>
    <col min="521" max="521" width="7.85546875" style="2252" customWidth="1"/>
    <col min="522" max="522" width="3" style="2252" customWidth="1"/>
    <col min="523" max="523" width="4.42578125" style="2252" customWidth="1"/>
    <col min="524" max="524" width="3.5703125" style="2252" customWidth="1"/>
    <col min="525" max="525" width="8.28515625" style="2252" customWidth="1"/>
    <col min="526" max="526" width="4" style="2252" customWidth="1"/>
    <col min="527" max="527" width="11.85546875" style="2252" customWidth="1"/>
    <col min="528" max="528" width="5.5703125" style="2252" customWidth="1"/>
    <col min="529" max="530" width="9.140625" style="2252"/>
    <col min="531" max="531" width="10.7109375" style="2252" bestFit="1" customWidth="1"/>
    <col min="532" max="532" width="9.28515625" style="2252" bestFit="1" customWidth="1"/>
    <col min="533" max="768" width="9.140625" style="2252"/>
    <col min="769" max="769" width="3.5703125" style="2252" customWidth="1"/>
    <col min="770" max="770" width="17.5703125" style="2252" customWidth="1"/>
    <col min="771" max="771" width="8" style="2252" customWidth="1"/>
    <col min="772" max="772" width="6.85546875" style="2252" customWidth="1"/>
    <col min="773" max="773" width="8.42578125" style="2252" customWidth="1"/>
    <col min="774" max="774" width="3.140625" style="2252" customWidth="1"/>
    <col min="775" max="775" width="9.5703125" style="2252" customWidth="1"/>
    <col min="776" max="776" width="3.5703125" style="2252" customWidth="1"/>
    <col min="777" max="777" width="7.85546875" style="2252" customWidth="1"/>
    <col min="778" max="778" width="3" style="2252" customWidth="1"/>
    <col min="779" max="779" width="4.42578125" style="2252" customWidth="1"/>
    <col min="780" max="780" width="3.5703125" style="2252" customWidth="1"/>
    <col min="781" max="781" width="8.28515625" style="2252" customWidth="1"/>
    <col min="782" max="782" width="4" style="2252" customWidth="1"/>
    <col min="783" max="783" width="11.85546875" style="2252" customWidth="1"/>
    <col min="784" max="784" width="5.5703125" style="2252" customWidth="1"/>
    <col min="785" max="786" width="9.140625" style="2252"/>
    <col min="787" max="787" width="10.7109375" style="2252" bestFit="1" customWidth="1"/>
    <col min="788" max="788" width="9.28515625" style="2252" bestFit="1" customWidth="1"/>
    <col min="789" max="1024" width="9.140625" style="2252"/>
    <col min="1025" max="1025" width="3.5703125" style="2252" customWidth="1"/>
    <col min="1026" max="1026" width="17.5703125" style="2252" customWidth="1"/>
    <col min="1027" max="1027" width="8" style="2252" customWidth="1"/>
    <col min="1028" max="1028" width="6.85546875" style="2252" customWidth="1"/>
    <col min="1029" max="1029" width="8.42578125" style="2252" customWidth="1"/>
    <col min="1030" max="1030" width="3.140625" style="2252" customWidth="1"/>
    <col min="1031" max="1031" width="9.5703125" style="2252" customWidth="1"/>
    <col min="1032" max="1032" width="3.5703125" style="2252" customWidth="1"/>
    <col min="1033" max="1033" width="7.85546875" style="2252" customWidth="1"/>
    <col min="1034" max="1034" width="3" style="2252" customWidth="1"/>
    <col min="1035" max="1035" width="4.42578125" style="2252" customWidth="1"/>
    <col min="1036" max="1036" width="3.5703125" style="2252" customWidth="1"/>
    <col min="1037" max="1037" width="8.28515625" style="2252" customWidth="1"/>
    <col min="1038" max="1038" width="4" style="2252" customWidth="1"/>
    <col min="1039" max="1039" width="11.85546875" style="2252" customWidth="1"/>
    <col min="1040" max="1040" width="5.5703125" style="2252" customWidth="1"/>
    <col min="1041" max="1042" width="9.140625" style="2252"/>
    <col min="1043" max="1043" width="10.7109375" style="2252" bestFit="1" customWidth="1"/>
    <col min="1044" max="1044" width="9.28515625" style="2252" bestFit="1" customWidth="1"/>
    <col min="1045" max="1280" width="9.140625" style="2252"/>
    <col min="1281" max="1281" width="3.5703125" style="2252" customWidth="1"/>
    <col min="1282" max="1282" width="17.5703125" style="2252" customWidth="1"/>
    <col min="1283" max="1283" width="8" style="2252" customWidth="1"/>
    <col min="1284" max="1284" width="6.85546875" style="2252" customWidth="1"/>
    <col min="1285" max="1285" width="8.42578125" style="2252" customWidth="1"/>
    <col min="1286" max="1286" width="3.140625" style="2252" customWidth="1"/>
    <col min="1287" max="1287" width="9.5703125" style="2252" customWidth="1"/>
    <col min="1288" max="1288" width="3.5703125" style="2252" customWidth="1"/>
    <col min="1289" max="1289" width="7.85546875" style="2252" customWidth="1"/>
    <col min="1290" max="1290" width="3" style="2252" customWidth="1"/>
    <col min="1291" max="1291" width="4.42578125" style="2252" customWidth="1"/>
    <col min="1292" max="1292" width="3.5703125" style="2252" customWidth="1"/>
    <col min="1293" max="1293" width="8.28515625" style="2252" customWidth="1"/>
    <col min="1294" max="1294" width="4" style="2252" customWidth="1"/>
    <col min="1295" max="1295" width="11.85546875" style="2252" customWidth="1"/>
    <col min="1296" max="1296" width="5.5703125" style="2252" customWidth="1"/>
    <col min="1297" max="1298" width="9.140625" style="2252"/>
    <col min="1299" max="1299" width="10.7109375" style="2252" bestFit="1" customWidth="1"/>
    <col min="1300" max="1300" width="9.28515625" style="2252" bestFit="1" customWidth="1"/>
    <col min="1301" max="1536" width="9.140625" style="2252"/>
    <col min="1537" max="1537" width="3.5703125" style="2252" customWidth="1"/>
    <col min="1538" max="1538" width="17.5703125" style="2252" customWidth="1"/>
    <col min="1539" max="1539" width="8" style="2252" customWidth="1"/>
    <col min="1540" max="1540" width="6.85546875" style="2252" customWidth="1"/>
    <col min="1541" max="1541" width="8.42578125" style="2252" customWidth="1"/>
    <col min="1542" max="1542" width="3.140625" style="2252" customWidth="1"/>
    <col min="1543" max="1543" width="9.5703125" style="2252" customWidth="1"/>
    <col min="1544" max="1544" width="3.5703125" style="2252" customWidth="1"/>
    <col min="1545" max="1545" width="7.85546875" style="2252" customWidth="1"/>
    <col min="1546" max="1546" width="3" style="2252" customWidth="1"/>
    <col min="1547" max="1547" width="4.42578125" style="2252" customWidth="1"/>
    <col min="1548" max="1548" width="3.5703125" style="2252" customWidth="1"/>
    <col min="1549" max="1549" width="8.28515625" style="2252" customWidth="1"/>
    <col min="1550" max="1550" width="4" style="2252" customWidth="1"/>
    <col min="1551" max="1551" width="11.85546875" style="2252" customWidth="1"/>
    <col min="1552" max="1552" width="5.5703125" style="2252" customWidth="1"/>
    <col min="1553" max="1554" width="9.140625" style="2252"/>
    <col min="1555" max="1555" width="10.7109375" style="2252" bestFit="1" customWidth="1"/>
    <col min="1556" max="1556" width="9.28515625" style="2252" bestFit="1" customWidth="1"/>
    <col min="1557" max="1792" width="9.140625" style="2252"/>
    <col min="1793" max="1793" width="3.5703125" style="2252" customWidth="1"/>
    <col min="1794" max="1794" width="17.5703125" style="2252" customWidth="1"/>
    <col min="1795" max="1795" width="8" style="2252" customWidth="1"/>
    <col min="1796" max="1796" width="6.85546875" style="2252" customWidth="1"/>
    <col min="1797" max="1797" width="8.42578125" style="2252" customWidth="1"/>
    <col min="1798" max="1798" width="3.140625" style="2252" customWidth="1"/>
    <col min="1799" max="1799" width="9.5703125" style="2252" customWidth="1"/>
    <col min="1800" max="1800" width="3.5703125" style="2252" customWidth="1"/>
    <col min="1801" max="1801" width="7.85546875" style="2252" customWidth="1"/>
    <col min="1802" max="1802" width="3" style="2252" customWidth="1"/>
    <col min="1803" max="1803" width="4.42578125" style="2252" customWidth="1"/>
    <col min="1804" max="1804" width="3.5703125" style="2252" customWidth="1"/>
    <col min="1805" max="1805" width="8.28515625" style="2252" customWidth="1"/>
    <col min="1806" max="1806" width="4" style="2252" customWidth="1"/>
    <col min="1807" max="1807" width="11.85546875" style="2252" customWidth="1"/>
    <col min="1808" max="1808" width="5.5703125" style="2252" customWidth="1"/>
    <col min="1809" max="1810" width="9.140625" style="2252"/>
    <col min="1811" max="1811" width="10.7109375" style="2252" bestFit="1" customWidth="1"/>
    <col min="1812" max="1812" width="9.28515625" style="2252" bestFit="1" customWidth="1"/>
    <col min="1813" max="2048" width="9.140625" style="2252"/>
    <col min="2049" max="2049" width="3.5703125" style="2252" customWidth="1"/>
    <col min="2050" max="2050" width="17.5703125" style="2252" customWidth="1"/>
    <col min="2051" max="2051" width="8" style="2252" customWidth="1"/>
    <col min="2052" max="2052" width="6.85546875" style="2252" customWidth="1"/>
    <col min="2053" max="2053" width="8.42578125" style="2252" customWidth="1"/>
    <col min="2054" max="2054" width="3.140625" style="2252" customWidth="1"/>
    <col min="2055" max="2055" width="9.5703125" style="2252" customWidth="1"/>
    <col min="2056" max="2056" width="3.5703125" style="2252" customWidth="1"/>
    <col min="2057" max="2057" width="7.85546875" style="2252" customWidth="1"/>
    <col min="2058" max="2058" width="3" style="2252" customWidth="1"/>
    <col min="2059" max="2059" width="4.42578125" style="2252" customWidth="1"/>
    <col min="2060" max="2060" width="3.5703125" style="2252" customWidth="1"/>
    <col min="2061" max="2061" width="8.28515625" style="2252" customWidth="1"/>
    <col min="2062" max="2062" width="4" style="2252" customWidth="1"/>
    <col min="2063" max="2063" width="11.85546875" style="2252" customWidth="1"/>
    <col min="2064" max="2064" width="5.5703125" style="2252" customWidth="1"/>
    <col min="2065" max="2066" width="9.140625" style="2252"/>
    <col min="2067" max="2067" width="10.7109375" style="2252" bestFit="1" customWidth="1"/>
    <col min="2068" max="2068" width="9.28515625" style="2252" bestFit="1" customWidth="1"/>
    <col min="2069" max="2304" width="9.140625" style="2252"/>
    <col min="2305" max="2305" width="3.5703125" style="2252" customWidth="1"/>
    <col min="2306" max="2306" width="17.5703125" style="2252" customWidth="1"/>
    <col min="2307" max="2307" width="8" style="2252" customWidth="1"/>
    <col min="2308" max="2308" width="6.85546875" style="2252" customWidth="1"/>
    <col min="2309" max="2309" width="8.42578125" style="2252" customWidth="1"/>
    <col min="2310" max="2310" width="3.140625" style="2252" customWidth="1"/>
    <col min="2311" max="2311" width="9.5703125" style="2252" customWidth="1"/>
    <col min="2312" max="2312" width="3.5703125" style="2252" customWidth="1"/>
    <col min="2313" max="2313" width="7.85546875" style="2252" customWidth="1"/>
    <col min="2314" max="2314" width="3" style="2252" customWidth="1"/>
    <col min="2315" max="2315" width="4.42578125" style="2252" customWidth="1"/>
    <col min="2316" max="2316" width="3.5703125" style="2252" customWidth="1"/>
    <col min="2317" max="2317" width="8.28515625" style="2252" customWidth="1"/>
    <col min="2318" max="2318" width="4" style="2252" customWidth="1"/>
    <col min="2319" max="2319" width="11.85546875" style="2252" customWidth="1"/>
    <col min="2320" max="2320" width="5.5703125" style="2252" customWidth="1"/>
    <col min="2321" max="2322" width="9.140625" style="2252"/>
    <col min="2323" max="2323" width="10.7109375" style="2252" bestFit="1" customWidth="1"/>
    <col min="2324" max="2324" width="9.28515625" style="2252" bestFit="1" customWidth="1"/>
    <col min="2325" max="2560" width="9.140625" style="2252"/>
    <col min="2561" max="2561" width="3.5703125" style="2252" customWidth="1"/>
    <col min="2562" max="2562" width="17.5703125" style="2252" customWidth="1"/>
    <col min="2563" max="2563" width="8" style="2252" customWidth="1"/>
    <col min="2564" max="2564" width="6.85546875" style="2252" customWidth="1"/>
    <col min="2565" max="2565" width="8.42578125" style="2252" customWidth="1"/>
    <col min="2566" max="2566" width="3.140625" style="2252" customWidth="1"/>
    <col min="2567" max="2567" width="9.5703125" style="2252" customWidth="1"/>
    <col min="2568" max="2568" width="3.5703125" style="2252" customWidth="1"/>
    <col min="2569" max="2569" width="7.85546875" style="2252" customWidth="1"/>
    <col min="2570" max="2570" width="3" style="2252" customWidth="1"/>
    <col min="2571" max="2571" width="4.42578125" style="2252" customWidth="1"/>
    <col min="2572" max="2572" width="3.5703125" style="2252" customWidth="1"/>
    <col min="2573" max="2573" width="8.28515625" style="2252" customWidth="1"/>
    <col min="2574" max="2574" width="4" style="2252" customWidth="1"/>
    <col min="2575" max="2575" width="11.85546875" style="2252" customWidth="1"/>
    <col min="2576" max="2576" width="5.5703125" style="2252" customWidth="1"/>
    <col min="2577" max="2578" width="9.140625" style="2252"/>
    <col min="2579" max="2579" width="10.7109375" style="2252" bestFit="1" customWidth="1"/>
    <col min="2580" max="2580" width="9.28515625" style="2252" bestFit="1" customWidth="1"/>
    <col min="2581" max="2816" width="9.140625" style="2252"/>
    <col min="2817" max="2817" width="3.5703125" style="2252" customWidth="1"/>
    <col min="2818" max="2818" width="17.5703125" style="2252" customWidth="1"/>
    <col min="2819" max="2819" width="8" style="2252" customWidth="1"/>
    <col min="2820" max="2820" width="6.85546875" style="2252" customWidth="1"/>
    <col min="2821" max="2821" width="8.42578125" style="2252" customWidth="1"/>
    <col min="2822" max="2822" width="3.140625" style="2252" customWidth="1"/>
    <col min="2823" max="2823" width="9.5703125" style="2252" customWidth="1"/>
    <col min="2824" max="2824" width="3.5703125" style="2252" customWidth="1"/>
    <col min="2825" max="2825" width="7.85546875" style="2252" customWidth="1"/>
    <col min="2826" max="2826" width="3" style="2252" customWidth="1"/>
    <col min="2827" max="2827" width="4.42578125" style="2252" customWidth="1"/>
    <col min="2828" max="2828" width="3.5703125" style="2252" customWidth="1"/>
    <col min="2829" max="2829" width="8.28515625" style="2252" customWidth="1"/>
    <col min="2830" max="2830" width="4" style="2252" customWidth="1"/>
    <col min="2831" max="2831" width="11.85546875" style="2252" customWidth="1"/>
    <col min="2832" max="2832" width="5.5703125" style="2252" customWidth="1"/>
    <col min="2833" max="2834" width="9.140625" style="2252"/>
    <col min="2835" max="2835" width="10.7109375" style="2252" bestFit="1" customWidth="1"/>
    <col min="2836" max="2836" width="9.28515625" style="2252" bestFit="1" customWidth="1"/>
    <col min="2837" max="3072" width="9.140625" style="2252"/>
    <col min="3073" max="3073" width="3.5703125" style="2252" customWidth="1"/>
    <col min="3074" max="3074" width="17.5703125" style="2252" customWidth="1"/>
    <col min="3075" max="3075" width="8" style="2252" customWidth="1"/>
    <col min="3076" max="3076" width="6.85546875" style="2252" customWidth="1"/>
    <col min="3077" max="3077" width="8.42578125" style="2252" customWidth="1"/>
    <col min="3078" max="3078" width="3.140625" style="2252" customWidth="1"/>
    <col min="3079" max="3079" width="9.5703125" style="2252" customWidth="1"/>
    <col min="3080" max="3080" width="3.5703125" style="2252" customWidth="1"/>
    <col min="3081" max="3081" width="7.85546875" style="2252" customWidth="1"/>
    <col min="3082" max="3082" width="3" style="2252" customWidth="1"/>
    <col min="3083" max="3083" width="4.42578125" style="2252" customWidth="1"/>
    <col min="3084" max="3084" width="3.5703125" style="2252" customWidth="1"/>
    <col min="3085" max="3085" width="8.28515625" style="2252" customWidth="1"/>
    <col min="3086" max="3086" width="4" style="2252" customWidth="1"/>
    <col min="3087" max="3087" width="11.85546875" style="2252" customWidth="1"/>
    <col min="3088" max="3088" width="5.5703125" style="2252" customWidth="1"/>
    <col min="3089" max="3090" width="9.140625" style="2252"/>
    <col min="3091" max="3091" width="10.7109375" style="2252" bestFit="1" customWidth="1"/>
    <col min="3092" max="3092" width="9.28515625" style="2252" bestFit="1" customWidth="1"/>
    <col min="3093" max="3328" width="9.140625" style="2252"/>
    <col min="3329" max="3329" width="3.5703125" style="2252" customWidth="1"/>
    <col min="3330" max="3330" width="17.5703125" style="2252" customWidth="1"/>
    <col min="3331" max="3331" width="8" style="2252" customWidth="1"/>
    <col min="3332" max="3332" width="6.85546875" style="2252" customWidth="1"/>
    <col min="3333" max="3333" width="8.42578125" style="2252" customWidth="1"/>
    <col min="3334" max="3334" width="3.140625" style="2252" customWidth="1"/>
    <col min="3335" max="3335" width="9.5703125" style="2252" customWidth="1"/>
    <col min="3336" max="3336" width="3.5703125" style="2252" customWidth="1"/>
    <col min="3337" max="3337" width="7.85546875" style="2252" customWidth="1"/>
    <col min="3338" max="3338" width="3" style="2252" customWidth="1"/>
    <col min="3339" max="3339" width="4.42578125" style="2252" customWidth="1"/>
    <col min="3340" max="3340" width="3.5703125" style="2252" customWidth="1"/>
    <col min="3341" max="3341" width="8.28515625" style="2252" customWidth="1"/>
    <col min="3342" max="3342" width="4" style="2252" customWidth="1"/>
    <col min="3343" max="3343" width="11.85546875" style="2252" customWidth="1"/>
    <col min="3344" max="3344" width="5.5703125" style="2252" customWidth="1"/>
    <col min="3345" max="3346" width="9.140625" style="2252"/>
    <col min="3347" max="3347" width="10.7109375" style="2252" bestFit="1" customWidth="1"/>
    <col min="3348" max="3348" width="9.28515625" style="2252" bestFit="1" customWidth="1"/>
    <col min="3349" max="3584" width="9.140625" style="2252"/>
    <col min="3585" max="3585" width="3.5703125" style="2252" customWidth="1"/>
    <col min="3586" max="3586" width="17.5703125" style="2252" customWidth="1"/>
    <col min="3587" max="3587" width="8" style="2252" customWidth="1"/>
    <col min="3588" max="3588" width="6.85546875" style="2252" customWidth="1"/>
    <col min="3589" max="3589" width="8.42578125" style="2252" customWidth="1"/>
    <col min="3590" max="3590" width="3.140625" style="2252" customWidth="1"/>
    <col min="3591" max="3591" width="9.5703125" style="2252" customWidth="1"/>
    <col min="3592" max="3592" width="3.5703125" style="2252" customWidth="1"/>
    <col min="3593" max="3593" width="7.85546875" style="2252" customWidth="1"/>
    <col min="3594" max="3594" width="3" style="2252" customWidth="1"/>
    <col min="3595" max="3595" width="4.42578125" style="2252" customWidth="1"/>
    <col min="3596" max="3596" width="3.5703125" style="2252" customWidth="1"/>
    <col min="3597" max="3597" width="8.28515625" style="2252" customWidth="1"/>
    <col min="3598" max="3598" width="4" style="2252" customWidth="1"/>
    <col min="3599" max="3599" width="11.85546875" style="2252" customWidth="1"/>
    <col min="3600" max="3600" width="5.5703125" style="2252" customWidth="1"/>
    <col min="3601" max="3602" width="9.140625" style="2252"/>
    <col min="3603" max="3603" width="10.7109375" style="2252" bestFit="1" customWidth="1"/>
    <col min="3604" max="3604" width="9.28515625" style="2252" bestFit="1" customWidth="1"/>
    <col min="3605" max="3840" width="9.140625" style="2252"/>
    <col min="3841" max="3841" width="3.5703125" style="2252" customWidth="1"/>
    <col min="3842" max="3842" width="17.5703125" style="2252" customWidth="1"/>
    <col min="3843" max="3843" width="8" style="2252" customWidth="1"/>
    <col min="3844" max="3844" width="6.85546875" style="2252" customWidth="1"/>
    <col min="3845" max="3845" width="8.42578125" style="2252" customWidth="1"/>
    <col min="3846" max="3846" width="3.140625" style="2252" customWidth="1"/>
    <col min="3847" max="3847" width="9.5703125" style="2252" customWidth="1"/>
    <col min="3848" max="3848" width="3.5703125" style="2252" customWidth="1"/>
    <col min="3849" max="3849" width="7.85546875" style="2252" customWidth="1"/>
    <col min="3850" max="3850" width="3" style="2252" customWidth="1"/>
    <col min="3851" max="3851" width="4.42578125" style="2252" customWidth="1"/>
    <col min="3852" max="3852" width="3.5703125" style="2252" customWidth="1"/>
    <col min="3853" max="3853" width="8.28515625" style="2252" customWidth="1"/>
    <col min="3854" max="3854" width="4" style="2252" customWidth="1"/>
    <col min="3855" max="3855" width="11.85546875" style="2252" customWidth="1"/>
    <col min="3856" max="3856" width="5.5703125" style="2252" customWidth="1"/>
    <col min="3857" max="3858" width="9.140625" style="2252"/>
    <col min="3859" max="3859" width="10.7109375" style="2252" bestFit="1" customWidth="1"/>
    <col min="3860" max="3860" width="9.28515625" style="2252" bestFit="1" customWidth="1"/>
    <col min="3861" max="4096" width="9.140625" style="2252"/>
    <col min="4097" max="4097" width="3.5703125" style="2252" customWidth="1"/>
    <col min="4098" max="4098" width="17.5703125" style="2252" customWidth="1"/>
    <col min="4099" max="4099" width="8" style="2252" customWidth="1"/>
    <col min="4100" max="4100" width="6.85546875" style="2252" customWidth="1"/>
    <col min="4101" max="4101" width="8.42578125" style="2252" customWidth="1"/>
    <col min="4102" max="4102" width="3.140625" style="2252" customWidth="1"/>
    <col min="4103" max="4103" width="9.5703125" style="2252" customWidth="1"/>
    <col min="4104" max="4104" width="3.5703125" style="2252" customWidth="1"/>
    <col min="4105" max="4105" width="7.85546875" style="2252" customWidth="1"/>
    <col min="4106" max="4106" width="3" style="2252" customWidth="1"/>
    <col min="4107" max="4107" width="4.42578125" style="2252" customWidth="1"/>
    <col min="4108" max="4108" width="3.5703125" style="2252" customWidth="1"/>
    <col min="4109" max="4109" width="8.28515625" style="2252" customWidth="1"/>
    <col min="4110" max="4110" width="4" style="2252" customWidth="1"/>
    <col min="4111" max="4111" width="11.85546875" style="2252" customWidth="1"/>
    <col min="4112" max="4112" width="5.5703125" style="2252" customWidth="1"/>
    <col min="4113" max="4114" width="9.140625" style="2252"/>
    <col min="4115" max="4115" width="10.7109375" style="2252" bestFit="1" customWidth="1"/>
    <col min="4116" max="4116" width="9.28515625" style="2252" bestFit="1" customWidth="1"/>
    <col min="4117" max="4352" width="9.140625" style="2252"/>
    <col min="4353" max="4353" width="3.5703125" style="2252" customWidth="1"/>
    <col min="4354" max="4354" width="17.5703125" style="2252" customWidth="1"/>
    <col min="4355" max="4355" width="8" style="2252" customWidth="1"/>
    <col min="4356" max="4356" width="6.85546875" style="2252" customWidth="1"/>
    <col min="4357" max="4357" width="8.42578125" style="2252" customWidth="1"/>
    <col min="4358" max="4358" width="3.140625" style="2252" customWidth="1"/>
    <col min="4359" max="4359" width="9.5703125" style="2252" customWidth="1"/>
    <col min="4360" max="4360" width="3.5703125" style="2252" customWidth="1"/>
    <col min="4361" max="4361" width="7.85546875" style="2252" customWidth="1"/>
    <col min="4362" max="4362" width="3" style="2252" customWidth="1"/>
    <col min="4363" max="4363" width="4.42578125" style="2252" customWidth="1"/>
    <col min="4364" max="4364" width="3.5703125" style="2252" customWidth="1"/>
    <col min="4365" max="4365" width="8.28515625" style="2252" customWidth="1"/>
    <col min="4366" max="4366" width="4" style="2252" customWidth="1"/>
    <col min="4367" max="4367" width="11.85546875" style="2252" customWidth="1"/>
    <col min="4368" max="4368" width="5.5703125" style="2252" customWidth="1"/>
    <col min="4369" max="4370" width="9.140625" style="2252"/>
    <col min="4371" max="4371" width="10.7109375" style="2252" bestFit="1" customWidth="1"/>
    <col min="4372" max="4372" width="9.28515625" style="2252" bestFit="1" customWidth="1"/>
    <col min="4373" max="4608" width="9.140625" style="2252"/>
    <col min="4609" max="4609" width="3.5703125" style="2252" customWidth="1"/>
    <col min="4610" max="4610" width="17.5703125" style="2252" customWidth="1"/>
    <col min="4611" max="4611" width="8" style="2252" customWidth="1"/>
    <col min="4612" max="4612" width="6.85546875" style="2252" customWidth="1"/>
    <col min="4613" max="4613" width="8.42578125" style="2252" customWidth="1"/>
    <col min="4614" max="4614" width="3.140625" style="2252" customWidth="1"/>
    <col min="4615" max="4615" width="9.5703125" style="2252" customWidth="1"/>
    <col min="4616" max="4616" width="3.5703125" style="2252" customWidth="1"/>
    <col min="4617" max="4617" width="7.85546875" style="2252" customWidth="1"/>
    <col min="4618" max="4618" width="3" style="2252" customWidth="1"/>
    <col min="4619" max="4619" width="4.42578125" style="2252" customWidth="1"/>
    <col min="4620" max="4620" width="3.5703125" style="2252" customWidth="1"/>
    <col min="4621" max="4621" width="8.28515625" style="2252" customWidth="1"/>
    <col min="4622" max="4622" width="4" style="2252" customWidth="1"/>
    <col min="4623" max="4623" width="11.85546875" style="2252" customWidth="1"/>
    <col min="4624" max="4624" width="5.5703125" style="2252" customWidth="1"/>
    <col min="4625" max="4626" width="9.140625" style="2252"/>
    <col min="4627" max="4627" width="10.7109375" style="2252" bestFit="1" customWidth="1"/>
    <col min="4628" max="4628" width="9.28515625" style="2252" bestFit="1" customWidth="1"/>
    <col min="4629" max="4864" width="9.140625" style="2252"/>
    <col min="4865" max="4865" width="3.5703125" style="2252" customWidth="1"/>
    <col min="4866" max="4866" width="17.5703125" style="2252" customWidth="1"/>
    <col min="4867" max="4867" width="8" style="2252" customWidth="1"/>
    <col min="4868" max="4868" width="6.85546875" style="2252" customWidth="1"/>
    <col min="4869" max="4869" width="8.42578125" style="2252" customWidth="1"/>
    <col min="4870" max="4870" width="3.140625" style="2252" customWidth="1"/>
    <col min="4871" max="4871" width="9.5703125" style="2252" customWidth="1"/>
    <col min="4872" max="4872" width="3.5703125" style="2252" customWidth="1"/>
    <col min="4873" max="4873" width="7.85546875" style="2252" customWidth="1"/>
    <col min="4874" max="4874" width="3" style="2252" customWidth="1"/>
    <col min="4875" max="4875" width="4.42578125" style="2252" customWidth="1"/>
    <col min="4876" max="4876" width="3.5703125" style="2252" customWidth="1"/>
    <col min="4877" max="4877" width="8.28515625" style="2252" customWidth="1"/>
    <col min="4878" max="4878" width="4" style="2252" customWidth="1"/>
    <col min="4879" max="4879" width="11.85546875" style="2252" customWidth="1"/>
    <col min="4880" max="4880" width="5.5703125" style="2252" customWidth="1"/>
    <col min="4881" max="4882" width="9.140625" style="2252"/>
    <col min="4883" max="4883" width="10.7109375" style="2252" bestFit="1" customWidth="1"/>
    <col min="4884" max="4884" width="9.28515625" style="2252" bestFit="1" customWidth="1"/>
    <col min="4885" max="5120" width="9.140625" style="2252"/>
    <col min="5121" max="5121" width="3.5703125" style="2252" customWidth="1"/>
    <col min="5122" max="5122" width="17.5703125" style="2252" customWidth="1"/>
    <col min="5123" max="5123" width="8" style="2252" customWidth="1"/>
    <col min="5124" max="5124" width="6.85546875" style="2252" customWidth="1"/>
    <col min="5125" max="5125" width="8.42578125" style="2252" customWidth="1"/>
    <col min="5126" max="5126" width="3.140625" style="2252" customWidth="1"/>
    <col min="5127" max="5127" width="9.5703125" style="2252" customWidth="1"/>
    <col min="5128" max="5128" width="3.5703125" style="2252" customWidth="1"/>
    <col min="5129" max="5129" width="7.85546875" style="2252" customWidth="1"/>
    <col min="5130" max="5130" width="3" style="2252" customWidth="1"/>
    <col min="5131" max="5131" width="4.42578125" style="2252" customWidth="1"/>
    <col min="5132" max="5132" width="3.5703125" style="2252" customWidth="1"/>
    <col min="5133" max="5133" width="8.28515625" style="2252" customWidth="1"/>
    <col min="5134" max="5134" width="4" style="2252" customWidth="1"/>
    <col min="5135" max="5135" width="11.85546875" style="2252" customWidth="1"/>
    <col min="5136" max="5136" width="5.5703125" style="2252" customWidth="1"/>
    <col min="5137" max="5138" width="9.140625" style="2252"/>
    <col min="5139" max="5139" width="10.7109375" style="2252" bestFit="1" customWidth="1"/>
    <col min="5140" max="5140" width="9.28515625" style="2252" bestFit="1" customWidth="1"/>
    <col min="5141" max="5376" width="9.140625" style="2252"/>
    <col min="5377" max="5377" width="3.5703125" style="2252" customWidth="1"/>
    <col min="5378" max="5378" width="17.5703125" style="2252" customWidth="1"/>
    <col min="5379" max="5379" width="8" style="2252" customWidth="1"/>
    <col min="5380" max="5380" width="6.85546875" style="2252" customWidth="1"/>
    <col min="5381" max="5381" width="8.42578125" style="2252" customWidth="1"/>
    <col min="5382" max="5382" width="3.140625" style="2252" customWidth="1"/>
    <col min="5383" max="5383" width="9.5703125" style="2252" customWidth="1"/>
    <col min="5384" max="5384" width="3.5703125" style="2252" customWidth="1"/>
    <col min="5385" max="5385" width="7.85546875" style="2252" customWidth="1"/>
    <col min="5386" max="5386" width="3" style="2252" customWidth="1"/>
    <col min="5387" max="5387" width="4.42578125" style="2252" customWidth="1"/>
    <col min="5388" max="5388" width="3.5703125" style="2252" customWidth="1"/>
    <col min="5389" max="5389" width="8.28515625" style="2252" customWidth="1"/>
    <col min="5390" max="5390" width="4" style="2252" customWidth="1"/>
    <col min="5391" max="5391" width="11.85546875" style="2252" customWidth="1"/>
    <col min="5392" max="5392" width="5.5703125" style="2252" customWidth="1"/>
    <col min="5393" max="5394" width="9.140625" style="2252"/>
    <col min="5395" max="5395" width="10.7109375" style="2252" bestFit="1" customWidth="1"/>
    <col min="5396" max="5396" width="9.28515625" style="2252" bestFit="1" customWidth="1"/>
    <col min="5397" max="5632" width="9.140625" style="2252"/>
    <col min="5633" max="5633" width="3.5703125" style="2252" customWidth="1"/>
    <col min="5634" max="5634" width="17.5703125" style="2252" customWidth="1"/>
    <col min="5635" max="5635" width="8" style="2252" customWidth="1"/>
    <col min="5636" max="5636" width="6.85546875" style="2252" customWidth="1"/>
    <col min="5637" max="5637" width="8.42578125" style="2252" customWidth="1"/>
    <col min="5638" max="5638" width="3.140625" style="2252" customWidth="1"/>
    <col min="5639" max="5639" width="9.5703125" style="2252" customWidth="1"/>
    <col min="5640" max="5640" width="3.5703125" style="2252" customWidth="1"/>
    <col min="5641" max="5641" width="7.85546875" style="2252" customWidth="1"/>
    <col min="5642" max="5642" width="3" style="2252" customWidth="1"/>
    <col min="5643" max="5643" width="4.42578125" style="2252" customWidth="1"/>
    <col min="5644" max="5644" width="3.5703125" style="2252" customWidth="1"/>
    <col min="5645" max="5645" width="8.28515625" style="2252" customWidth="1"/>
    <col min="5646" max="5646" width="4" style="2252" customWidth="1"/>
    <col min="5647" max="5647" width="11.85546875" style="2252" customWidth="1"/>
    <col min="5648" max="5648" width="5.5703125" style="2252" customWidth="1"/>
    <col min="5649" max="5650" width="9.140625" style="2252"/>
    <col min="5651" max="5651" width="10.7109375" style="2252" bestFit="1" customWidth="1"/>
    <col min="5652" max="5652" width="9.28515625" style="2252" bestFit="1" customWidth="1"/>
    <col min="5653" max="5888" width="9.140625" style="2252"/>
    <col min="5889" max="5889" width="3.5703125" style="2252" customWidth="1"/>
    <col min="5890" max="5890" width="17.5703125" style="2252" customWidth="1"/>
    <col min="5891" max="5891" width="8" style="2252" customWidth="1"/>
    <col min="5892" max="5892" width="6.85546875" style="2252" customWidth="1"/>
    <col min="5893" max="5893" width="8.42578125" style="2252" customWidth="1"/>
    <col min="5894" max="5894" width="3.140625" style="2252" customWidth="1"/>
    <col min="5895" max="5895" width="9.5703125" style="2252" customWidth="1"/>
    <col min="5896" max="5896" width="3.5703125" style="2252" customWidth="1"/>
    <col min="5897" max="5897" width="7.85546875" style="2252" customWidth="1"/>
    <col min="5898" max="5898" width="3" style="2252" customWidth="1"/>
    <col min="5899" max="5899" width="4.42578125" style="2252" customWidth="1"/>
    <col min="5900" max="5900" width="3.5703125" style="2252" customWidth="1"/>
    <col min="5901" max="5901" width="8.28515625" style="2252" customWidth="1"/>
    <col min="5902" max="5902" width="4" style="2252" customWidth="1"/>
    <col min="5903" max="5903" width="11.85546875" style="2252" customWidth="1"/>
    <col min="5904" max="5904" width="5.5703125" style="2252" customWidth="1"/>
    <col min="5905" max="5906" width="9.140625" style="2252"/>
    <col min="5907" max="5907" width="10.7109375" style="2252" bestFit="1" customWidth="1"/>
    <col min="5908" max="5908" width="9.28515625" style="2252" bestFit="1" customWidth="1"/>
    <col min="5909" max="6144" width="9.140625" style="2252"/>
    <col min="6145" max="6145" width="3.5703125" style="2252" customWidth="1"/>
    <col min="6146" max="6146" width="17.5703125" style="2252" customWidth="1"/>
    <col min="6147" max="6147" width="8" style="2252" customWidth="1"/>
    <col min="6148" max="6148" width="6.85546875" style="2252" customWidth="1"/>
    <col min="6149" max="6149" width="8.42578125" style="2252" customWidth="1"/>
    <col min="6150" max="6150" width="3.140625" style="2252" customWidth="1"/>
    <col min="6151" max="6151" width="9.5703125" style="2252" customWidth="1"/>
    <col min="6152" max="6152" width="3.5703125" style="2252" customWidth="1"/>
    <col min="6153" max="6153" width="7.85546875" style="2252" customWidth="1"/>
    <col min="6154" max="6154" width="3" style="2252" customWidth="1"/>
    <col min="6155" max="6155" width="4.42578125" style="2252" customWidth="1"/>
    <col min="6156" max="6156" width="3.5703125" style="2252" customWidth="1"/>
    <col min="6157" max="6157" width="8.28515625" style="2252" customWidth="1"/>
    <col min="6158" max="6158" width="4" style="2252" customWidth="1"/>
    <col min="6159" max="6159" width="11.85546875" style="2252" customWidth="1"/>
    <col min="6160" max="6160" width="5.5703125" style="2252" customWidth="1"/>
    <col min="6161" max="6162" width="9.140625" style="2252"/>
    <col min="6163" max="6163" width="10.7109375" style="2252" bestFit="1" customWidth="1"/>
    <col min="6164" max="6164" width="9.28515625" style="2252" bestFit="1" customWidth="1"/>
    <col min="6165" max="6400" width="9.140625" style="2252"/>
    <col min="6401" max="6401" width="3.5703125" style="2252" customWidth="1"/>
    <col min="6402" max="6402" width="17.5703125" style="2252" customWidth="1"/>
    <col min="6403" max="6403" width="8" style="2252" customWidth="1"/>
    <col min="6404" max="6404" width="6.85546875" style="2252" customWidth="1"/>
    <col min="6405" max="6405" width="8.42578125" style="2252" customWidth="1"/>
    <col min="6406" max="6406" width="3.140625" style="2252" customWidth="1"/>
    <col min="6407" max="6407" width="9.5703125" style="2252" customWidth="1"/>
    <col min="6408" max="6408" width="3.5703125" style="2252" customWidth="1"/>
    <col min="6409" max="6409" width="7.85546875" style="2252" customWidth="1"/>
    <col min="6410" max="6410" width="3" style="2252" customWidth="1"/>
    <col min="6411" max="6411" width="4.42578125" style="2252" customWidth="1"/>
    <col min="6412" max="6412" width="3.5703125" style="2252" customWidth="1"/>
    <col min="6413" max="6413" width="8.28515625" style="2252" customWidth="1"/>
    <col min="6414" max="6414" width="4" style="2252" customWidth="1"/>
    <col min="6415" max="6415" width="11.85546875" style="2252" customWidth="1"/>
    <col min="6416" max="6416" width="5.5703125" style="2252" customWidth="1"/>
    <col min="6417" max="6418" width="9.140625" style="2252"/>
    <col min="6419" max="6419" width="10.7109375" style="2252" bestFit="1" customWidth="1"/>
    <col min="6420" max="6420" width="9.28515625" style="2252" bestFit="1" customWidth="1"/>
    <col min="6421" max="6656" width="9.140625" style="2252"/>
    <col min="6657" max="6657" width="3.5703125" style="2252" customWidth="1"/>
    <col min="6658" max="6658" width="17.5703125" style="2252" customWidth="1"/>
    <col min="6659" max="6659" width="8" style="2252" customWidth="1"/>
    <col min="6660" max="6660" width="6.85546875" style="2252" customWidth="1"/>
    <col min="6661" max="6661" width="8.42578125" style="2252" customWidth="1"/>
    <col min="6662" max="6662" width="3.140625" style="2252" customWidth="1"/>
    <col min="6663" max="6663" width="9.5703125" style="2252" customWidth="1"/>
    <col min="6664" max="6664" width="3.5703125" style="2252" customWidth="1"/>
    <col min="6665" max="6665" width="7.85546875" style="2252" customWidth="1"/>
    <col min="6666" max="6666" width="3" style="2252" customWidth="1"/>
    <col min="6667" max="6667" width="4.42578125" style="2252" customWidth="1"/>
    <col min="6668" max="6668" width="3.5703125" style="2252" customWidth="1"/>
    <col min="6669" max="6669" width="8.28515625" style="2252" customWidth="1"/>
    <col min="6670" max="6670" width="4" style="2252" customWidth="1"/>
    <col min="6671" max="6671" width="11.85546875" style="2252" customWidth="1"/>
    <col min="6672" max="6672" width="5.5703125" style="2252" customWidth="1"/>
    <col min="6673" max="6674" width="9.140625" style="2252"/>
    <col min="6675" max="6675" width="10.7109375" style="2252" bestFit="1" customWidth="1"/>
    <col min="6676" max="6676" width="9.28515625" style="2252" bestFit="1" customWidth="1"/>
    <col min="6677" max="6912" width="9.140625" style="2252"/>
    <col min="6913" max="6913" width="3.5703125" style="2252" customWidth="1"/>
    <col min="6914" max="6914" width="17.5703125" style="2252" customWidth="1"/>
    <col min="6915" max="6915" width="8" style="2252" customWidth="1"/>
    <col min="6916" max="6916" width="6.85546875" style="2252" customWidth="1"/>
    <col min="6917" max="6917" width="8.42578125" style="2252" customWidth="1"/>
    <col min="6918" max="6918" width="3.140625" style="2252" customWidth="1"/>
    <col min="6919" max="6919" width="9.5703125" style="2252" customWidth="1"/>
    <col min="6920" max="6920" width="3.5703125" style="2252" customWidth="1"/>
    <col min="6921" max="6921" width="7.85546875" style="2252" customWidth="1"/>
    <col min="6922" max="6922" width="3" style="2252" customWidth="1"/>
    <col min="6923" max="6923" width="4.42578125" style="2252" customWidth="1"/>
    <col min="6924" max="6924" width="3.5703125" style="2252" customWidth="1"/>
    <col min="6925" max="6925" width="8.28515625" style="2252" customWidth="1"/>
    <col min="6926" max="6926" width="4" style="2252" customWidth="1"/>
    <col min="6927" max="6927" width="11.85546875" style="2252" customWidth="1"/>
    <col min="6928" max="6928" width="5.5703125" style="2252" customWidth="1"/>
    <col min="6929" max="6930" width="9.140625" style="2252"/>
    <col min="6931" max="6931" width="10.7109375" style="2252" bestFit="1" customWidth="1"/>
    <col min="6932" max="6932" width="9.28515625" style="2252" bestFit="1" customWidth="1"/>
    <col min="6933" max="7168" width="9.140625" style="2252"/>
    <col min="7169" max="7169" width="3.5703125" style="2252" customWidth="1"/>
    <col min="7170" max="7170" width="17.5703125" style="2252" customWidth="1"/>
    <col min="7171" max="7171" width="8" style="2252" customWidth="1"/>
    <col min="7172" max="7172" width="6.85546875" style="2252" customWidth="1"/>
    <col min="7173" max="7173" width="8.42578125" style="2252" customWidth="1"/>
    <col min="7174" max="7174" width="3.140625" style="2252" customWidth="1"/>
    <col min="7175" max="7175" width="9.5703125" style="2252" customWidth="1"/>
    <col min="7176" max="7176" width="3.5703125" style="2252" customWidth="1"/>
    <col min="7177" max="7177" width="7.85546875" style="2252" customWidth="1"/>
    <col min="7178" max="7178" width="3" style="2252" customWidth="1"/>
    <col min="7179" max="7179" width="4.42578125" style="2252" customWidth="1"/>
    <col min="7180" max="7180" width="3.5703125" style="2252" customWidth="1"/>
    <col min="7181" max="7181" width="8.28515625" style="2252" customWidth="1"/>
    <col min="7182" max="7182" width="4" style="2252" customWidth="1"/>
    <col min="7183" max="7183" width="11.85546875" style="2252" customWidth="1"/>
    <col min="7184" max="7184" width="5.5703125" style="2252" customWidth="1"/>
    <col min="7185" max="7186" width="9.140625" style="2252"/>
    <col min="7187" max="7187" width="10.7109375" style="2252" bestFit="1" customWidth="1"/>
    <col min="7188" max="7188" width="9.28515625" style="2252" bestFit="1" customWidth="1"/>
    <col min="7189" max="7424" width="9.140625" style="2252"/>
    <col min="7425" max="7425" width="3.5703125" style="2252" customWidth="1"/>
    <col min="7426" max="7426" width="17.5703125" style="2252" customWidth="1"/>
    <col min="7427" max="7427" width="8" style="2252" customWidth="1"/>
    <col min="7428" max="7428" width="6.85546875" style="2252" customWidth="1"/>
    <col min="7429" max="7429" width="8.42578125" style="2252" customWidth="1"/>
    <col min="7430" max="7430" width="3.140625" style="2252" customWidth="1"/>
    <col min="7431" max="7431" width="9.5703125" style="2252" customWidth="1"/>
    <col min="7432" max="7432" width="3.5703125" style="2252" customWidth="1"/>
    <col min="7433" max="7433" width="7.85546875" style="2252" customWidth="1"/>
    <col min="7434" max="7434" width="3" style="2252" customWidth="1"/>
    <col min="7435" max="7435" width="4.42578125" style="2252" customWidth="1"/>
    <col min="7436" max="7436" width="3.5703125" style="2252" customWidth="1"/>
    <col min="7437" max="7437" width="8.28515625" style="2252" customWidth="1"/>
    <col min="7438" max="7438" width="4" style="2252" customWidth="1"/>
    <col min="7439" max="7439" width="11.85546875" style="2252" customWidth="1"/>
    <col min="7440" max="7440" width="5.5703125" style="2252" customWidth="1"/>
    <col min="7441" max="7442" width="9.140625" style="2252"/>
    <col min="7443" max="7443" width="10.7109375" style="2252" bestFit="1" customWidth="1"/>
    <col min="7444" max="7444" width="9.28515625" style="2252" bestFit="1" customWidth="1"/>
    <col min="7445" max="7680" width="9.140625" style="2252"/>
    <col min="7681" max="7681" width="3.5703125" style="2252" customWidth="1"/>
    <col min="7682" max="7682" width="17.5703125" style="2252" customWidth="1"/>
    <col min="7683" max="7683" width="8" style="2252" customWidth="1"/>
    <col min="7684" max="7684" width="6.85546875" style="2252" customWidth="1"/>
    <col min="7685" max="7685" width="8.42578125" style="2252" customWidth="1"/>
    <col min="7686" max="7686" width="3.140625" style="2252" customWidth="1"/>
    <col min="7687" max="7687" width="9.5703125" style="2252" customWidth="1"/>
    <col min="7688" max="7688" width="3.5703125" style="2252" customWidth="1"/>
    <col min="7689" max="7689" width="7.85546875" style="2252" customWidth="1"/>
    <col min="7690" max="7690" width="3" style="2252" customWidth="1"/>
    <col min="7691" max="7691" width="4.42578125" style="2252" customWidth="1"/>
    <col min="7692" max="7692" width="3.5703125" style="2252" customWidth="1"/>
    <col min="7693" max="7693" width="8.28515625" style="2252" customWidth="1"/>
    <col min="7694" max="7694" width="4" style="2252" customWidth="1"/>
    <col min="7695" max="7695" width="11.85546875" style="2252" customWidth="1"/>
    <col min="7696" max="7696" width="5.5703125" style="2252" customWidth="1"/>
    <col min="7697" max="7698" width="9.140625" style="2252"/>
    <col min="7699" max="7699" width="10.7109375" style="2252" bestFit="1" customWidth="1"/>
    <col min="7700" max="7700" width="9.28515625" style="2252" bestFit="1" customWidth="1"/>
    <col min="7701" max="7936" width="9.140625" style="2252"/>
    <col min="7937" max="7937" width="3.5703125" style="2252" customWidth="1"/>
    <col min="7938" max="7938" width="17.5703125" style="2252" customWidth="1"/>
    <col min="7939" max="7939" width="8" style="2252" customWidth="1"/>
    <col min="7940" max="7940" width="6.85546875" style="2252" customWidth="1"/>
    <col min="7941" max="7941" width="8.42578125" style="2252" customWidth="1"/>
    <col min="7942" max="7942" width="3.140625" style="2252" customWidth="1"/>
    <col min="7943" max="7943" width="9.5703125" style="2252" customWidth="1"/>
    <col min="7944" max="7944" width="3.5703125" style="2252" customWidth="1"/>
    <col min="7945" max="7945" width="7.85546875" style="2252" customWidth="1"/>
    <col min="7946" max="7946" width="3" style="2252" customWidth="1"/>
    <col min="7947" max="7947" width="4.42578125" style="2252" customWidth="1"/>
    <col min="7948" max="7948" width="3.5703125" style="2252" customWidth="1"/>
    <col min="7949" max="7949" width="8.28515625" style="2252" customWidth="1"/>
    <col min="7950" max="7950" width="4" style="2252" customWidth="1"/>
    <col min="7951" max="7951" width="11.85546875" style="2252" customWidth="1"/>
    <col min="7952" max="7952" width="5.5703125" style="2252" customWidth="1"/>
    <col min="7953" max="7954" width="9.140625" style="2252"/>
    <col min="7955" max="7955" width="10.7109375" style="2252" bestFit="1" customWidth="1"/>
    <col min="7956" max="7956" width="9.28515625" style="2252" bestFit="1" customWidth="1"/>
    <col min="7957" max="8192" width="9.140625" style="2252"/>
    <col min="8193" max="8193" width="3.5703125" style="2252" customWidth="1"/>
    <col min="8194" max="8194" width="17.5703125" style="2252" customWidth="1"/>
    <col min="8195" max="8195" width="8" style="2252" customWidth="1"/>
    <col min="8196" max="8196" width="6.85546875" style="2252" customWidth="1"/>
    <col min="8197" max="8197" width="8.42578125" style="2252" customWidth="1"/>
    <col min="8198" max="8198" width="3.140625" style="2252" customWidth="1"/>
    <col min="8199" max="8199" width="9.5703125" style="2252" customWidth="1"/>
    <col min="8200" max="8200" width="3.5703125" style="2252" customWidth="1"/>
    <col min="8201" max="8201" width="7.85546875" style="2252" customWidth="1"/>
    <col min="8202" max="8202" width="3" style="2252" customWidth="1"/>
    <col min="8203" max="8203" width="4.42578125" style="2252" customWidth="1"/>
    <col min="8204" max="8204" width="3.5703125" style="2252" customWidth="1"/>
    <col min="8205" max="8205" width="8.28515625" style="2252" customWidth="1"/>
    <col min="8206" max="8206" width="4" style="2252" customWidth="1"/>
    <col min="8207" max="8207" width="11.85546875" style="2252" customWidth="1"/>
    <col min="8208" max="8208" width="5.5703125" style="2252" customWidth="1"/>
    <col min="8209" max="8210" width="9.140625" style="2252"/>
    <col min="8211" max="8211" width="10.7109375" style="2252" bestFit="1" customWidth="1"/>
    <col min="8212" max="8212" width="9.28515625" style="2252" bestFit="1" customWidth="1"/>
    <col min="8213" max="8448" width="9.140625" style="2252"/>
    <col min="8449" max="8449" width="3.5703125" style="2252" customWidth="1"/>
    <col min="8450" max="8450" width="17.5703125" style="2252" customWidth="1"/>
    <col min="8451" max="8451" width="8" style="2252" customWidth="1"/>
    <col min="8452" max="8452" width="6.85546875" style="2252" customWidth="1"/>
    <col min="8453" max="8453" width="8.42578125" style="2252" customWidth="1"/>
    <col min="8454" max="8454" width="3.140625" style="2252" customWidth="1"/>
    <col min="8455" max="8455" width="9.5703125" style="2252" customWidth="1"/>
    <col min="8456" max="8456" width="3.5703125" style="2252" customWidth="1"/>
    <col min="8457" max="8457" width="7.85546875" style="2252" customWidth="1"/>
    <col min="8458" max="8458" width="3" style="2252" customWidth="1"/>
    <col min="8459" max="8459" width="4.42578125" style="2252" customWidth="1"/>
    <col min="8460" max="8460" width="3.5703125" style="2252" customWidth="1"/>
    <col min="8461" max="8461" width="8.28515625" style="2252" customWidth="1"/>
    <col min="8462" max="8462" width="4" style="2252" customWidth="1"/>
    <col min="8463" max="8463" width="11.85546875" style="2252" customWidth="1"/>
    <col min="8464" max="8464" width="5.5703125" style="2252" customWidth="1"/>
    <col min="8465" max="8466" width="9.140625" style="2252"/>
    <col min="8467" max="8467" width="10.7109375" style="2252" bestFit="1" customWidth="1"/>
    <col min="8468" max="8468" width="9.28515625" style="2252" bestFit="1" customWidth="1"/>
    <col min="8469" max="8704" width="9.140625" style="2252"/>
    <col min="8705" max="8705" width="3.5703125" style="2252" customWidth="1"/>
    <col min="8706" max="8706" width="17.5703125" style="2252" customWidth="1"/>
    <col min="8707" max="8707" width="8" style="2252" customWidth="1"/>
    <col min="8708" max="8708" width="6.85546875" style="2252" customWidth="1"/>
    <col min="8709" max="8709" width="8.42578125" style="2252" customWidth="1"/>
    <col min="8710" max="8710" width="3.140625" style="2252" customWidth="1"/>
    <col min="8711" max="8711" width="9.5703125" style="2252" customWidth="1"/>
    <col min="8712" max="8712" width="3.5703125" style="2252" customWidth="1"/>
    <col min="8713" max="8713" width="7.85546875" style="2252" customWidth="1"/>
    <col min="8714" max="8714" width="3" style="2252" customWidth="1"/>
    <col min="8715" max="8715" width="4.42578125" style="2252" customWidth="1"/>
    <col min="8716" max="8716" width="3.5703125" style="2252" customWidth="1"/>
    <col min="8717" max="8717" width="8.28515625" style="2252" customWidth="1"/>
    <col min="8718" max="8718" width="4" style="2252" customWidth="1"/>
    <col min="8719" max="8719" width="11.85546875" style="2252" customWidth="1"/>
    <col min="8720" max="8720" width="5.5703125" style="2252" customWidth="1"/>
    <col min="8721" max="8722" width="9.140625" style="2252"/>
    <col min="8723" max="8723" width="10.7109375" style="2252" bestFit="1" customWidth="1"/>
    <col min="8724" max="8724" width="9.28515625" style="2252" bestFit="1" customWidth="1"/>
    <col min="8725" max="8960" width="9.140625" style="2252"/>
    <col min="8961" max="8961" width="3.5703125" style="2252" customWidth="1"/>
    <col min="8962" max="8962" width="17.5703125" style="2252" customWidth="1"/>
    <col min="8963" max="8963" width="8" style="2252" customWidth="1"/>
    <col min="8964" max="8964" width="6.85546875" style="2252" customWidth="1"/>
    <col min="8965" max="8965" width="8.42578125" style="2252" customWidth="1"/>
    <col min="8966" max="8966" width="3.140625" style="2252" customWidth="1"/>
    <col min="8967" max="8967" width="9.5703125" style="2252" customWidth="1"/>
    <col min="8968" max="8968" width="3.5703125" style="2252" customWidth="1"/>
    <col min="8969" max="8969" width="7.85546875" style="2252" customWidth="1"/>
    <col min="8970" max="8970" width="3" style="2252" customWidth="1"/>
    <col min="8971" max="8971" width="4.42578125" style="2252" customWidth="1"/>
    <col min="8972" max="8972" width="3.5703125" style="2252" customWidth="1"/>
    <col min="8973" max="8973" width="8.28515625" style="2252" customWidth="1"/>
    <col min="8974" max="8974" width="4" style="2252" customWidth="1"/>
    <col min="8975" max="8975" width="11.85546875" style="2252" customWidth="1"/>
    <col min="8976" max="8976" width="5.5703125" style="2252" customWidth="1"/>
    <col min="8977" max="8978" width="9.140625" style="2252"/>
    <col min="8979" max="8979" width="10.7109375" style="2252" bestFit="1" customWidth="1"/>
    <col min="8980" max="8980" width="9.28515625" style="2252" bestFit="1" customWidth="1"/>
    <col min="8981" max="9216" width="9.140625" style="2252"/>
    <col min="9217" max="9217" width="3.5703125" style="2252" customWidth="1"/>
    <col min="9218" max="9218" width="17.5703125" style="2252" customWidth="1"/>
    <col min="9219" max="9219" width="8" style="2252" customWidth="1"/>
    <col min="9220" max="9220" width="6.85546875" style="2252" customWidth="1"/>
    <col min="9221" max="9221" width="8.42578125" style="2252" customWidth="1"/>
    <col min="9222" max="9222" width="3.140625" style="2252" customWidth="1"/>
    <col min="9223" max="9223" width="9.5703125" style="2252" customWidth="1"/>
    <col min="9224" max="9224" width="3.5703125" style="2252" customWidth="1"/>
    <col min="9225" max="9225" width="7.85546875" style="2252" customWidth="1"/>
    <col min="9226" max="9226" width="3" style="2252" customWidth="1"/>
    <col min="9227" max="9227" width="4.42578125" style="2252" customWidth="1"/>
    <col min="9228" max="9228" width="3.5703125" style="2252" customWidth="1"/>
    <col min="9229" max="9229" width="8.28515625" style="2252" customWidth="1"/>
    <col min="9230" max="9230" width="4" style="2252" customWidth="1"/>
    <col min="9231" max="9231" width="11.85546875" style="2252" customWidth="1"/>
    <col min="9232" max="9232" width="5.5703125" style="2252" customWidth="1"/>
    <col min="9233" max="9234" width="9.140625" style="2252"/>
    <col min="9235" max="9235" width="10.7109375" style="2252" bestFit="1" customWidth="1"/>
    <col min="9236" max="9236" width="9.28515625" style="2252" bestFit="1" customWidth="1"/>
    <col min="9237" max="9472" width="9.140625" style="2252"/>
    <col min="9473" max="9473" width="3.5703125" style="2252" customWidth="1"/>
    <col min="9474" max="9474" width="17.5703125" style="2252" customWidth="1"/>
    <col min="9475" max="9475" width="8" style="2252" customWidth="1"/>
    <col min="9476" max="9476" width="6.85546875" style="2252" customWidth="1"/>
    <col min="9477" max="9477" width="8.42578125" style="2252" customWidth="1"/>
    <col min="9478" max="9478" width="3.140625" style="2252" customWidth="1"/>
    <col min="9479" max="9479" width="9.5703125" style="2252" customWidth="1"/>
    <col min="9480" max="9480" width="3.5703125" style="2252" customWidth="1"/>
    <col min="9481" max="9481" width="7.85546875" style="2252" customWidth="1"/>
    <col min="9482" max="9482" width="3" style="2252" customWidth="1"/>
    <col min="9483" max="9483" width="4.42578125" style="2252" customWidth="1"/>
    <col min="9484" max="9484" width="3.5703125" style="2252" customWidth="1"/>
    <col min="9485" max="9485" width="8.28515625" style="2252" customWidth="1"/>
    <col min="9486" max="9486" width="4" style="2252" customWidth="1"/>
    <col min="9487" max="9487" width="11.85546875" style="2252" customWidth="1"/>
    <col min="9488" max="9488" width="5.5703125" style="2252" customWidth="1"/>
    <col min="9489" max="9490" width="9.140625" style="2252"/>
    <col min="9491" max="9491" width="10.7109375" style="2252" bestFit="1" customWidth="1"/>
    <col min="9492" max="9492" width="9.28515625" style="2252" bestFit="1" customWidth="1"/>
    <col min="9493" max="9728" width="9.140625" style="2252"/>
    <col min="9729" max="9729" width="3.5703125" style="2252" customWidth="1"/>
    <col min="9730" max="9730" width="17.5703125" style="2252" customWidth="1"/>
    <col min="9731" max="9731" width="8" style="2252" customWidth="1"/>
    <col min="9732" max="9732" width="6.85546875" style="2252" customWidth="1"/>
    <col min="9733" max="9733" width="8.42578125" style="2252" customWidth="1"/>
    <col min="9734" max="9734" width="3.140625" style="2252" customWidth="1"/>
    <col min="9735" max="9735" width="9.5703125" style="2252" customWidth="1"/>
    <col min="9736" max="9736" width="3.5703125" style="2252" customWidth="1"/>
    <col min="9737" max="9737" width="7.85546875" style="2252" customWidth="1"/>
    <col min="9738" max="9738" width="3" style="2252" customWidth="1"/>
    <col min="9739" max="9739" width="4.42578125" style="2252" customWidth="1"/>
    <col min="9740" max="9740" width="3.5703125" style="2252" customWidth="1"/>
    <col min="9741" max="9741" width="8.28515625" style="2252" customWidth="1"/>
    <col min="9742" max="9742" width="4" style="2252" customWidth="1"/>
    <col min="9743" max="9743" width="11.85546875" style="2252" customWidth="1"/>
    <col min="9744" max="9744" width="5.5703125" style="2252" customWidth="1"/>
    <col min="9745" max="9746" width="9.140625" style="2252"/>
    <col min="9747" max="9747" width="10.7109375" style="2252" bestFit="1" customWidth="1"/>
    <col min="9748" max="9748" width="9.28515625" style="2252" bestFit="1" customWidth="1"/>
    <col min="9749" max="9984" width="9.140625" style="2252"/>
    <col min="9985" max="9985" width="3.5703125" style="2252" customWidth="1"/>
    <col min="9986" max="9986" width="17.5703125" style="2252" customWidth="1"/>
    <col min="9987" max="9987" width="8" style="2252" customWidth="1"/>
    <col min="9988" max="9988" width="6.85546875" style="2252" customWidth="1"/>
    <col min="9989" max="9989" width="8.42578125" style="2252" customWidth="1"/>
    <col min="9990" max="9990" width="3.140625" style="2252" customWidth="1"/>
    <col min="9991" max="9991" width="9.5703125" style="2252" customWidth="1"/>
    <col min="9992" max="9992" width="3.5703125" style="2252" customWidth="1"/>
    <col min="9993" max="9993" width="7.85546875" style="2252" customWidth="1"/>
    <col min="9994" max="9994" width="3" style="2252" customWidth="1"/>
    <col min="9995" max="9995" width="4.42578125" style="2252" customWidth="1"/>
    <col min="9996" max="9996" width="3.5703125" style="2252" customWidth="1"/>
    <col min="9997" max="9997" width="8.28515625" style="2252" customWidth="1"/>
    <col min="9998" max="9998" width="4" style="2252" customWidth="1"/>
    <col min="9999" max="9999" width="11.85546875" style="2252" customWidth="1"/>
    <col min="10000" max="10000" width="5.5703125" style="2252" customWidth="1"/>
    <col min="10001" max="10002" width="9.140625" style="2252"/>
    <col min="10003" max="10003" width="10.7109375" style="2252" bestFit="1" customWidth="1"/>
    <col min="10004" max="10004" width="9.28515625" style="2252" bestFit="1" customWidth="1"/>
    <col min="10005" max="10240" width="9.140625" style="2252"/>
    <col min="10241" max="10241" width="3.5703125" style="2252" customWidth="1"/>
    <col min="10242" max="10242" width="17.5703125" style="2252" customWidth="1"/>
    <col min="10243" max="10243" width="8" style="2252" customWidth="1"/>
    <col min="10244" max="10244" width="6.85546875" style="2252" customWidth="1"/>
    <col min="10245" max="10245" width="8.42578125" style="2252" customWidth="1"/>
    <col min="10246" max="10246" width="3.140625" style="2252" customWidth="1"/>
    <col min="10247" max="10247" width="9.5703125" style="2252" customWidth="1"/>
    <col min="10248" max="10248" width="3.5703125" style="2252" customWidth="1"/>
    <col min="10249" max="10249" width="7.85546875" style="2252" customWidth="1"/>
    <col min="10250" max="10250" width="3" style="2252" customWidth="1"/>
    <col min="10251" max="10251" width="4.42578125" style="2252" customWidth="1"/>
    <col min="10252" max="10252" width="3.5703125" style="2252" customWidth="1"/>
    <col min="10253" max="10253" width="8.28515625" style="2252" customWidth="1"/>
    <col min="10254" max="10254" width="4" style="2252" customWidth="1"/>
    <col min="10255" max="10255" width="11.85546875" style="2252" customWidth="1"/>
    <col min="10256" max="10256" width="5.5703125" style="2252" customWidth="1"/>
    <col min="10257" max="10258" width="9.140625" style="2252"/>
    <col min="10259" max="10259" width="10.7109375" style="2252" bestFit="1" customWidth="1"/>
    <col min="10260" max="10260" width="9.28515625" style="2252" bestFit="1" customWidth="1"/>
    <col min="10261" max="10496" width="9.140625" style="2252"/>
    <col min="10497" max="10497" width="3.5703125" style="2252" customWidth="1"/>
    <col min="10498" max="10498" width="17.5703125" style="2252" customWidth="1"/>
    <col min="10499" max="10499" width="8" style="2252" customWidth="1"/>
    <col min="10500" max="10500" width="6.85546875" style="2252" customWidth="1"/>
    <col min="10501" max="10501" width="8.42578125" style="2252" customWidth="1"/>
    <col min="10502" max="10502" width="3.140625" style="2252" customWidth="1"/>
    <col min="10503" max="10503" width="9.5703125" style="2252" customWidth="1"/>
    <col min="10504" max="10504" width="3.5703125" style="2252" customWidth="1"/>
    <col min="10505" max="10505" width="7.85546875" style="2252" customWidth="1"/>
    <col min="10506" max="10506" width="3" style="2252" customWidth="1"/>
    <col min="10507" max="10507" width="4.42578125" style="2252" customWidth="1"/>
    <col min="10508" max="10508" width="3.5703125" style="2252" customWidth="1"/>
    <col min="10509" max="10509" width="8.28515625" style="2252" customWidth="1"/>
    <col min="10510" max="10510" width="4" style="2252" customWidth="1"/>
    <col min="10511" max="10511" width="11.85546875" style="2252" customWidth="1"/>
    <col min="10512" max="10512" width="5.5703125" style="2252" customWidth="1"/>
    <col min="10513" max="10514" width="9.140625" style="2252"/>
    <col min="10515" max="10515" width="10.7109375" style="2252" bestFit="1" customWidth="1"/>
    <col min="10516" max="10516" width="9.28515625" style="2252" bestFit="1" customWidth="1"/>
    <col min="10517" max="10752" width="9.140625" style="2252"/>
    <col min="10753" max="10753" width="3.5703125" style="2252" customWidth="1"/>
    <col min="10754" max="10754" width="17.5703125" style="2252" customWidth="1"/>
    <col min="10755" max="10755" width="8" style="2252" customWidth="1"/>
    <col min="10756" max="10756" width="6.85546875" style="2252" customWidth="1"/>
    <col min="10757" max="10757" width="8.42578125" style="2252" customWidth="1"/>
    <col min="10758" max="10758" width="3.140625" style="2252" customWidth="1"/>
    <col min="10759" max="10759" width="9.5703125" style="2252" customWidth="1"/>
    <col min="10760" max="10760" width="3.5703125" style="2252" customWidth="1"/>
    <col min="10761" max="10761" width="7.85546875" style="2252" customWidth="1"/>
    <col min="10762" max="10762" width="3" style="2252" customWidth="1"/>
    <col min="10763" max="10763" width="4.42578125" style="2252" customWidth="1"/>
    <col min="10764" max="10764" width="3.5703125" style="2252" customWidth="1"/>
    <col min="10765" max="10765" width="8.28515625" style="2252" customWidth="1"/>
    <col min="10766" max="10766" width="4" style="2252" customWidth="1"/>
    <col min="10767" max="10767" width="11.85546875" style="2252" customWidth="1"/>
    <col min="10768" max="10768" width="5.5703125" style="2252" customWidth="1"/>
    <col min="10769" max="10770" width="9.140625" style="2252"/>
    <col min="10771" max="10771" width="10.7109375" style="2252" bestFit="1" customWidth="1"/>
    <col min="10772" max="10772" width="9.28515625" style="2252" bestFit="1" customWidth="1"/>
    <col min="10773" max="11008" width="9.140625" style="2252"/>
    <col min="11009" max="11009" width="3.5703125" style="2252" customWidth="1"/>
    <col min="11010" max="11010" width="17.5703125" style="2252" customWidth="1"/>
    <col min="11011" max="11011" width="8" style="2252" customWidth="1"/>
    <col min="11012" max="11012" width="6.85546875" style="2252" customWidth="1"/>
    <col min="11013" max="11013" width="8.42578125" style="2252" customWidth="1"/>
    <col min="11014" max="11014" width="3.140625" style="2252" customWidth="1"/>
    <col min="11015" max="11015" width="9.5703125" style="2252" customWidth="1"/>
    <col min="11016" max="11016" width="3.5703125" style="2252" customWidth="1"/>
    <col min="11017" max="11017" width="7.85546875" style="2252" customWidth="1"/>
    <col min="11018" max="11018" width="3" style="2252" customWidth="1"/>
    <col min="11019" max="11019" width="4.42578125" style="2252" customWidth="1"/>
    <col min="11020" max="11020" width="3.5703125" style="2252" customWidth="1"/>
    <col min="11021" max="11021" width="8.28515625" style="2252" customWidth="1"/>
    <col min="11022" max="11022" width="4" style="2252" customWidth="1"/>
    <col min="11023" max="11023" width="11.85546875" style="2252" customWidth="1"/>
    <col min="11024" max="11024" width="5.5703125" style="2252" customWidth="1"/>
    <col min="11025" max="11026" width="9.140625" style="2252"/>
    <col min="11027" max="11027" width="10.7109375" style="2252" bestFit="1" customWidth="1"/>
    <col min="11028" max="11028" width="9.28515625" style="2252" bestFit="1" customWidth="1"/>
    <col min="11029" max="11264" width="9.140625" style="2252"/>
    <col min="11265" max="11265" width="3.5703125" style="2252" customWidth="1"/>
    <col min="11266" max="11266" width="17.5703125" style="2252" customWidth="1"/>
    <col min="11267" max="11267" width="8" style="2252" customWidth="1"/>
    <col min="11268" max="11268" width="6.85546875" style="2252" customWidth="1"/>
    <col min="11269" max="11269" width="8.42578125" style="2252" customWidth="1"/>
    <col min="11270" max="11270" width="3.140625" style="2252" customWidth="1"/>
    <col min="11271" max="11271" width="9.5703125" style="2252" customWidth="1"/>
    <col min="11272" max="11272" width="3.5703125" style="2252" customWidth="1"/>
    <col min="11273" max="11273" width="7.85546875" style="2252" customWidth="1"/>
    <col min="11274" max="11274" width="3" style="2252" customWidth="1"/>
    <col min="11275" max="11275" width="4.42578125" style="2252" customWidth="1"/>
    <col min="11276" max="11276" width="3.5703125" style="2252" customWidth="1"/>
    <col min="11277" max="11277" width="8.28515625" style="2252" customWidth="1"/>
    <col min="11278" max="11278" width="4" style="2252" customWidth="1"/>
    <col min="11279" max="11279" width="11.85546875" style="2252" customWidth="1"/>
    <col min="11280" max="11280" width="5.5703125" style="2252" customWidth="1"/>
    <col min="11281" max="11282" width="9.140625" style="2252"/>
    <col min="11283" max="11283" width="10.7109375" style="2252" bestFit="1" customWidth="1"/>
    <col min="11284" max="11284" width="9.28515625" style="2252" bestFit="1" customWidth="1"/>
    <col min="11285" max="11520" width="9.140625" style="2252"/>
    <col min="11521" max="11521" width="3.5703125" style="2252" customWidth="1"/>
    <col min="11522" max="11522" width="17.5703125" style="2252" customWidth="1"/>
    <col min="11523" max="11523" width="8" style="2252" customWidth="1"/>
    <col min="11524" max="11524" width="6.85546875" style="2252" customWidth="1"/>
    <col min="11525" max="11525" width="8.42578125" style="2252" customWidth="1"/>
    <col min="11526" max="11526" width="3.140625" style="2252" customWidth="1"/>
    <col min="11527" max="11527" width="9.5703125" style="2252" customWidth="1"/>
    <col min="11528" max="11528" width="3.5703125" style="2252" customWidth="1"/>
    <col min="11529" max="11529" width="7.85546875" style="2252" customWidth="1"/>
    <col min="11530" max="11530" width="3" style="2252" customWidth="1"/>
    <col min="11531" max="11531" width="4.42578125" style="2252" customWidth="1"/>
    <col min="11532" max="11532" width="3.5703125" style="2252" customWidth="1"/>
    <col min="11533" max="11533" width="8.28515625" style="2252" customWidth="1"/>
    <col min="11534" max="11534" width="4" style="2252" customWidth="1"/>
    <col min="11535" max="11535" width="11.85546875" style="2252" customWidth="1"/>
    <col min="11536" max="11536" width="5.5703125" style="2252" customWidth="1"/>
    <col min="11537" max="11538" width="9.140625" style="2252"/>
    <col min="11539" max="11539" width="10.7109375" style="2252" bestFit="1" customWidth="1"/>
    <col min="11540" max="11540" width="9.28515625" style="2252" bestFit="1" customWidth="1"/>
    <col min="11541" max="11776" width="9.140625" style="2252"/>
    <col min="11777" max="11777" width="3.5703125" style="2252" customWidth="1"/>
    <col min="11778" max="11778" width="17.5703125" style="2252" customWidth="1"/>
    <col min="11779" max="11779" width="8" style="2252" customWidth="1"/>
    <col min="11780" max="11780" width="6.85546875" style="2252" customWidth="1"/>
    <col min="11781" max="11781" width="8.42578125" style="2252" customWidth="1"/>
    <col min="11782" max="11782" width="3.140625" style="2252" customWidth="1"/>
    <col min="11783" max="11783" width="9.5703125" style="2252" customWidth="1"/>
    <col min="11784" max="11784" width="3.5703125" style="2252" customWidth="1"/>
    <col min="11785" max="11785" width="7.85546875" style="2252" customWidth="1"/>
    <col min="11786" max="11786" width="3" style="2252" customWidth="1"/>
    <col min="11787" max="11787" width="4.42578125" style="2252" customWidth="1"/>
    <col min="11788" max="11788" width="3.5703125" style="2252" customWidth="1"/>
    <col min="11789" max="11789" width="8.28515625" style="2252" customWidth="1"/>
    <col min="11790" max="11790" width="4" style="2252" customWidth="1"/>
    <col min="11791" max="11791" width="11.85546875" style="2252" customWidth="1"/>
    <col min="11792" max="11792" width="5.5703125" style="2252" customWidth="1"/>
    <col min="11793" max="11794" width="9.140625" style="2252"/>
    <col min="11795" max="11795" width="10.7109375" style="2252" bestFit="1" customWidth="1"/>
    <col min="11796" max="11796" width="9.28515625" style="2252" bestFit="1" customWidth="1"/>
    <col min="11797" max="12032" width="9.140625" style="2252"/>
    <col min="12033" max="12033" width="3.5703125" style="2252" customWidth="1"/>
    <col min="12034" max="12034" width="17.5703125" style="2252" customWidth="1"/>
    <col min="12035" max="12035" width="8" style="2252" customWidth="1"/>
    <col min="12036" max="12036" width="6.85546875" style="2252" customWidth="1"/>
    <col min="12037" max="12037" width="8.42578125" style="2252" customWidth="1"/>
    <col min="12038" max="12038" width="3.140625" style="2252" customWidth="1"/>
    <col min="12039" max="12039" width="9.5703125" style="2252" customWidth="1"/>
    <col min="12040" max="12040" width="3.5703125" style="2252" customWidth="1"/>
    <col min="12041" max="12041" width="7.85546875" style="2252" customWidth="1"/>
    <col min="12042" max="12042" width="3" style="2252" customWidth="1"/>
    <col min="12043" max="12043" width="4.42578125" style="2252" customWidth="1"/>
    <col min="12044" max="12044" width="3.5703125" style="2252" customWidth="1"/>
    <col min="12045" max="12045" width="8.28515625" style="2252" customWidth="1"/>
    <col min="12046" max="12046" width="4" style="2252" customWidth="1"/>
    <col min="12047" max="12047" width="11.85546875" style="2252" customWidth="1"/>
    <col min="12048" max="12048" width="5.5703125" style="2252" customWidth="1"/>
    <col min="12049" max="12050" width="9.140625" style="2252"/>
    <col min="12051" max="12051" width="10.7109375" style="2252" bestFit="1" customWidth="1"/>
    <col min="12052" max="12052" width="9.28515625" style="2252" bestFit="1" customWidth="1"/>
    <col min="12053" max="12288" width="9.140625" style="2252"/>
    <col min="12289" max="12289" width="3.5703125" style="2252" customWidth="1"/>
    <col min="12290" max="12290" width="17.5703125" style="2252" customWidth="1"/>
    <col min="12291" max="12291" width="8" style="2252" customWidth="1"/>
    <col min="12292" max="12292" width="6.85546875" style="2252" customWidth="1"/>
    <col min="12293" max="12293" width="8.42578125" style="2252" customWidth="1"/>
    <col min="12294" max="12294" width="3.140625" style="2252" customWidth="1"/>
    <col min="12295" max="12295" width="9.5703125" style="2252" customWidth="1"/>
    <col min="12296" max="12296" width="3.5703125" style="2252" customWidth="1"/>
    <col min="12297" max="12297" width="7.85546875" style="2252" customWidth="1"/>
    <col min="12298" max="12298" width="3" style="2252" customWidth="1"/>
    <col min="12299" max="12299" width="4.42578125" style="2252" customWidth="1"/>
    <col min="12300" max="12300" width="3.5703125" style="2252" customWidth="1"/>
    <col min="12301" max="12301" width="8.28515625" style="2252" customWidth="1"/>
    <col min="12302" max="12302" width="4" style="2252" customWidth="1"/>
    <col min="12303" max="12303" width="11.85546875" style="2252" customWidth="1"/>
    <col min="12304" max="12304" width="5.5703125" style="2252" customWidth="1"/>
    <col min="12305" max="12306" width="9.140625" style="2252"/>
    <col min="12307" max="12307" width="10.7109375" style="2252" bestFit="1" customWidth="1"/>
    <col min="12308" max="12308" width="9.28515625" style="2252" bestFit="1" customWidth="1"/>
    <col min="12309" max="12544" width="9.140625" style="2252"/>
    <col min="12545" max="12545" width="3.5703125" style="2252" customWidth="1"/>
    <col min="12546" max="12546" width="17.5703125" style="2252" customWidth="1"/>
    <col min="12547" max="12547" width="8" style="2252" customWidth="1"/>
    <col min="12548" max="12548" width="6.85546875" style="2252" customWidth="1"/>
    <col min="12549" max="12549" width="8.42578125" style="2252" customWidth="1"/>
    <col min="12550" max="12550" width="3.140625" style="2252" customWidth="1"/>
    <col min="12551" max="12551" width="9.5703125" style="2252" customWidth="1"/>
    <col min="12552" max="12552" width="3.5703125" style="2252" customWidth="1"/>
    <col min="12553" max="12553" width="7.85546875" style="2252" customWidth="1"/>
    <col min="12554" max="12554" width="3" style="2252" customWidth="1"/>
    <col min="12555" max="12555" width="4.42578125" style="2252" customWidth="1"/>
    <col min="12556" max="12556" width="3.5703125" style="2252" customWidth="1"/>
    <col min="12557" max="12557" width="8.28515625" style="2252" customWidth="1"/>
    <col min="12558" max="12558" width="4" style="2252" customWidth="1"/>
    <col min="12559" max="12559" width="11.85546875" style="2252" customWidth="1"/>
    <col min="12560" max="12560" width="5.5703125" style="2252" customWidth="1"/>
    <col min="12561" max="12562" width="9.140625" style="2252"/>
    <col min="12563" max="12563" width="10.7109375" style="2252" bestFit="1" customWidth="1"/>
    <col min="12564" max="12564" width="9.28515625" style="2252" bestFit="1" customWidth="1"/>
    <col min="12565" max="12800" width="9.140625" style="2252"/>
    <col min="12801" max="12801" width="3.5703125" style="2252" customWidth="1"/>
    <col min="12802" max="12802" width="17.5703125" style="2252" customWidth="1"/>
    <col min="12803" max="12803" width="8" style="2252" customWidth="1"/>
    <col min="12804" max="12804" width="6.85546875" style="2252" customWidth="1"/>
    <col min="12805" max="12805" width="8.42578125" style="2252" customWidth="1"/>
    <col min="12806" max="12806" width="3.140625" style="2252" customWidth="1"/>
    <col min="12807" max="12807" width="9.5703125" style="2252" customWidth="1"/>
    <col min="12808" max="12808" width="3.5703125" style="2252" customWidth="1"/>
    <col min="12809" max="12809" width="7.85546875" style="2252" customWidth="1"/>
    <col min="12810" max="12810" width="3" style="2252" customWidth="1"/>
    <col min="12811" max="12811" width="4.42578125" style="2252" customWidth="1"/>
    <col min="12812" max="12812" width="3.5703125" style="2252" customWidth="1"/>
    <col min="12813" max="12813" width="8.28515625" style="2252" customWidth="1"/>
    <col min="12814" max="12814" width="4" style="2252" customWidth="1"/>
    <col min="12815" max="12815" width="11.85546875" style="2252" customWidth="1"/>
    <col min="12816" max="12816" width="5.5703125" style="2252" customWidth="1"/>
    <col min="12817" max="12818" width="9.140625" style="2252"/>
    <col min="12819" max="12819" width="10.7109375" style="2252" bestFit="1" customWidth="1"/>
    <col min="12820" max="12820" width="9.28515625" style="2252" bestFit="1" customWidth="1"/>
    <col min="12821" max="13056" width="9.140625" style="2252"/>
    <col min="13057" max="13057" width="3.5703125" style="2252" customWidth="1"/>
    <col min="13058" max="13058" width="17.5703125" style="2252" customWidth="1"/>
    <col min="13059" max="13059" width="8" style="2252" customWidth="1"/>
    <col min="13060" max="13060" width="6.85546875" style="2252" customWidth="1"/>
    <col min="13061" max="13061" width="8.42578125" style="2252" customWidth="1"/>
    <col min="13062" max="13062" width="3.140625" style="2252" customWidth="1"/>
    <col min="13063" max="13063" width="9.5703125" style="2252" customWidth="1"/>
    <col min="13064" max="13064" width="3.5703125" style="2252" customWidth="1"/>
    <col min="13065" max="13065" width="7.85546875" style="2252" customWidth="1"/>
    <col min="13066" max="13066" width="3" style="2252" customWidth="1"/>
    <col min="13067" max="13067" width="4.42578125" style="2252" customWidth="1"/>
    <col min="13068" max="13068" width="3.5703125" style="2252" customWidth="1"/>
    <col min="13069" max="13069" width="8.28515625" style="2252" customWidth="1"/>
    <col min="13070" max="13070" width="4" style="2252" customWidth="1"/>
    <col min="13071" max="13071" width="11.85546875" style="2252" customWidth="1"/>
    <col min="13072" max="13072" width="5.5703125" style="2252" customWidth="1"/>
    <col min="13073" max="13074" width="9.140625" style="2252"/>
    <col min="13075" max="13075" width="10.7109375" style="2252" bestFit="1" customWidth="1"/>
    <col min="13076" max="13076" width="9.28515625" style="2252" bestFit="1" customWidth="1"/>
    <col min="13077" max="13312" width="9.140625" style="2252"/>
    <col min="13313" max="13313" width="3.5703125" style="2252" customWidth="1"/>
    <col min="13314" max="13314" width="17.5703125" style="2252" customWidth="1"/>
    <col min="13315" max="13315" width="8" style="2252" customWidth="1"/>
    <col min="13316" max="13316" width="6.85546875" style="2252" customWidth="1"/>
    <col min="13317" max="13317" width="8.42578125" style="2252" customWidth="1"/>
    <col min="13318" max="13318" width="3.140625" style="2252" customWidth="1"/>
    <col min="13319" max="13319" width="9.5703125" style="2252" customWidth="1"/>
    <col min="13320" max="13320" width="3.5703125" style="2252" customWidth="1"/>
    <col min="13321" max="13321" width="7.85546875" style="2252" customWidth="1"/>
    <col min="13322" max="13322" width="3" style="2252" customWidth="1"/>
    <col min="13323" max="13323" width="4.42578125" style="2252" customWidth="1"/>
    <col min="13324" max="13324" width="3.5703125" style="2252" customWidth="1"/>
    <col min="13325" max="13325" width="8.28515625" style="2252" customWidth="1"/>
    <col min="13326" max="13326" width="4" style="2252" customWidth="1"/>
    <col min="13327" max="13327" width="11.85546875" style="2252" customWidth="1"/>
    <col min="13328" max="13328" width="5.5703125" style="2252" customWidth="1"/>
    <col min="13329" max="13330" width="9.140625" style="2252"/>
    <col min="13331" max="13331" width="10.7109375" style="2252" bestFit="1" customWidth="1"/>
    <col min="13332" max="13332" width="9.28515625" style="2252" bestFit="1" customWidth="1"/>
    <col min="13333" max="13568" width="9.140625" style="2252"/>
    <col min="13569" max="13569" width="3.5703125" style="2252" customWidth="1"/>
    <col min="13570" max="13570" width="17.5703125" style="2252" customWidth="1"/>
    <col min="13571" max="13571" width="8" style="2252" customWidth="1"/>
    <col min="13572" max="13572" width="6.85546875" style="2252" customWidth="1"/>
    <col min="13573" max="13573" width="8.42578125" style="2252" customWidth="1"/>
    <col min="13574" max="13574" width="3.140625" style="2252" customWidth="1"/>
    <col min="13575" max="13575" width="9.5703125" style="2252" customWidth="1"/>
    <col min="13576" max="13576" width="3.5703125" style="2252" customWidth="1"/>
    <col min="13577" max="13577" width="7.85546875" style="2252" customWidth="1"/>
    <col min="13578" max="13578" width="3" style="2252" customWidth="1"/>
    <col min="13579" max="13579" width="4.42578125" style="2252" customWidth="1"/>
    <col min="13580" max="13580" width="3.5703125" style="2252" customWidth="1"/>
    <col min="13581" max="13581" width="8.28515625" style="2252" customWidth="1"/>
    <col min="13582" max="13582" width="4" style="2252" customWidth="1"/>
    <col min="13583" max="13583" width="11.85546875" style="2252" customWidth="1"/>
    <col min="13584" max="13584" width="5.5703125" style="2252" customWidth="1"/>
    <col min="13585" max="13586" width="9.140625" style="2252"/>
    <col min="13587" max="13587" width="10.7109375" style="2252" bestFit="1" customWidth="1"/>
    <col min="13588" max="13588" width="9.28515625" style="2252" bestFit="1" customWidth="1"/>
    <col min="13589" max="13824" width="9.140625" style="2252"/>
    <col min="13825" max="13825" width="3.5703125" style="2252" customWidth="1"/>
    <col min="13826" max="13826" width="17.5703125" style="2252" customWidth="1"/>
    <col min="13827" max="13827" width="8" style="2252" customWidth="1"/>
    <col min="13828" max="13828" width="6.85546875" style="2252" customWidth="1"/>
    <col min="13829" max="13829" width="8.42578125" style="2252" customWidth="1"/>
    <col min="13830" max="13830" width="3.140625" style="2252" customWidth="1"/>
    <col min="13831" max="13831" width="9.5703125" style="2252" customWidth="1"/>
    <col min="13832" max="13832" width="3.5703125" style="2252" customWidth="1"/>
    <col min="13833" max="13833" width="7.85546875" style="2252" customWidth="1"/>
    <col min="13834" max="13834" width="3" style="2252" customWidth="1"/>
    <col min="13835" max="13835" width="4.42578125" style="2252" customWidth="1"/>
    <col min="13836" max="13836" width="3.5703125" style="2252" customWidth="1"/>
    <col min="13837" max="13837" width="8.28515625" style="2252" customWidth="1"/>
    <col min="13838" max="13838" width="4" style="2252" customWidth="1"/>
    <col min="13839" max="13839" width="11.85546875" style="2252" customWidth="1"/>
    <col min="13840" max="13840" width="5.5703125" style="2252" customWidth="1"/>
    <col min="13841" max="13842" width="9.140625" style="2252"/>
    <col min="13843" max="13843" width="10.7109375" style="2252" bestFit="1" customWidth="1"/>
    <col min="13844" max="13844" width="9.28515625" style="2252" bestFit="1" customWidth="1"/>
    <col min="13845" max="14080" width="9.140625" style="2252"/>
    <col min="14081" max="14081" width="3.5703125" style="2252" customWidth="1"/>
    <col min="14082" max="14082" width="17.5703125" style="2252" customWidth="1"/>
    <col min="14083" max="14083" width="8" style="2252" customWidth="1"/>
    <col min="14084" max="14084" width="6.85546875" style="2252" customWidth="1"/>
    <col min="14085" max="14085" width="8.42578125" style="2252" customWidth="1"/>
    <col min="14086" max="14086" width="3.140625" style="2252" customWidth="1"/>
    <col min="14087" max="14087" width="9.5703125" style="2252" customWidth="1"/>
    <col min="14088" max="14088" width="3.5703125" style="2252" customWidth="1"/>
    <col min="14089" max="14089" width="7.85546875" style="2252" customWidth="1"/>
    <col min="14090" max="14090" width="3" style="2252" customWidth="1"/>
    <col min="14091" max="14091" width="4.42578125" style="2252" customWidth="1"/>
    <col min="14092" max="14092" width="3.5703125" style="2252" customWidth="1"/>
    <col min="14093" max="14093" width="8.28515625" style="2252" customWidth="1"/>
    <col min="14094" max="14094" width="4" style="2252" customWidth="1"/>
    <col min="14095" max="14095" width="11.85546875" style="2252" customWidth="1"/>
    <col min="14096" max="14096" width="5.5703125" style="2252" customWidth="1"/>
    <col min="14097" max="14098" width="9.140625" style="2252"/>
    <col min="14099" max="14099" width="10.7109375" style="2252" bestFit="1" customWidth="1"/>
    <col min="14100" max="14100" width="9.28515625" style="2252" bestFit="1" customWidth="1"/>
    <col min="14101" max="14336" width="9.140625" style="2252"/>
    <col min="14337" max="14337" width="3.5703125" style="2252" customWidth="1"/>
    <col min="14338" max="14338" width="17.5703125" style="2252" customWidth="1"/>
    <col min="14339" max="14339" width="8" style="2252" customWidth="1"/>
    <col min="14340" max="14340" width="6.85546875" style="2252" customWidth="1"/>
    <col min="14341" max="14341" width="8.42578125" style="2252" customWidth="1"/>
    <col min="14342" max="14342" width="3.140625" style="2252" customWidth="1"/>
    <col min="14343" max="14343" width="9.5703125" style="2252" customWidth="1"/>
    <col min="14344" max="14344" width="3.5703125" style="2252" customWidth="1"/>
    <col min="14345" max="14345" width="7.85546875" style="2252" customWidth="1"/>
    <col min="14346" max="14346" width="3" style="2252" customWidth="1"/>
    <col min="14347" max="14347" width="4.42578125" style="2252" customWidth="1"/>
    <col min="14348" max="14348" width="3.5703125" style="2252" customWidth="1"/>
    <col min="14349" max="14349" width="8.28515625" style="2252" customWidth="1"/>
    <col min="14350" max="14350" width="4" style="2252" customWidth="1"/>
    <col min="14351" max="14351" width="11.85546875" style="2252" customWidth="1"/>
    <col min="14352" max="14352" width="5.5703125" style="2252" customWidth="1"/>
    <col min="14353" max="14354" width="9.140625" style="2252"/>
    <col min="14355" max="14355" width="10.7109375" style="2252" bestFit="1" customWidth="1"/>
    <col min="14356" max="14356" width="9.28515625" style="2252" bestFit="1" customWidth="1"/>
    <col min="14357" max="14592" width="9.140625" style="2252"/>
    <col min="14593" max="14593" width="3.5703125" style="2252" customWidth="1"/>
    <col min="14594" max="14594" width="17.5703125" style="2252" customWidth="1"/>
    <col min="14595" max="14595" width="8" style="2252" customWidth="1"/>
    <col min="14596" max="14596" width="6.85546875" style="2252" customWidth="1"/>
    <col min="14597" max="14597" width="8.42578125" style="2252" customWidth="1"/>
    <col min="14598" max="14598" width="3.140625" style="2252" customWidth="1"/>
    <col min="14599" max="14599" width="9.5703125" style="2252" customWidth="1"/>
    <col min="14600" max="14600" width="3.5703125" style="2252" customWidth="1"/>
    <col min="14601" max="14601" width="7.85546875" style="2252" customWidth="1"/>
    <col min="14602" max="14602" width="3" style="2252" customWidth="1"/>
    <col min="14603" max="14603" width="4.42578125" style="2252" customWidth="1"/>
    <col min="14604" max="14604" width="3.5703125" style="2252" customWidth="1"/>
    <col min="14605" max="14605" width="8.28515625" style="2252" customWidth="1"/>
    <col min="14606" max="14606" width="4" style="2252" customWidth="1"/>
    <col min="14607" max="14607" width="11.85546875" style="2252" customWidth="1"/>
    <col min="14608" max="14608" width="5.5703125" style="2252" customWidth="1"/>
    <col min="14609" max="14610" width="9.140625" style="2252"/>
    <col min="14611" max="14611" width="10.7109375" style="2252" bestFit="1" customWidth="1"/>
    <col min="14612" max="14612" width="9.28515625" style="2252" bestFit="1" customWidth="1"/>
    <col min="14613" max="14848" width="9.140625" style="2252"/>
    <col min="14849" max="14849" width="3.5703125" style="2252" customWidth="1"/>
    <col min="14850" max="14850" width="17.5703125" style="2252" customWidth="1"/>
    <col min="14851" max="14851" width="8" style="2252" customWidth="1"/>
    <col min="14852" max="14852" width="6.85546875" style="2252" customWidth="1"/>
    <col min="14853" max="14853" width="8.42578125" style="2252" customWidth="1"/>
    <col min="14854" max="14854" width="3.140625" style="2252" customWidth="1"/>
    <col min="14855" max="14855" width="9.5703125" style="2252" customWidth="1"/>
    <col min="14856" max="14856" width="3.5703125" style="2252" customWidth="1"/>
    <col min="14857" max="14857" width="7.85546875" style="2252" customWidth="1"/>
    <col min="14858" max="14858" width="3" style="2252" customWidth="1"/>
    <col min="14859" max="14859" width="4.42578125" style="2252" customWidth="1"/>
    <col min="14860" max="14860" width="3.5703125" style="2252" customWidth="1"/>
    <col min="14861" max="14861" width="8.28515625" style="2252" customWidth="1"/>
    <col min="14862" max="14862" width="4" style="2252" customWidth="1"/>
    <col min="14863" max="14863" width="11.85546875" style="2252" customWidth="1"/>
    <col min="14864" max="14864" width="5.5703125" style="2252" customWidth="1"/>
    <col min="14865" max="14866" width="9.140625" style="2252"/>
    <col min="14867" max="14867" width="10.7109375" style="2252" bestFit="1" customWidth="1"/>
    <col min="14868" max="14868" width="9.28515625" style="2252" bestFit="1" customWidth="1"/>
    <col min="14869" max="15104" width="9.140625" style="2252"/>
    <col min="15105" max="15105" width="3.5703125" style="2252" customWidth="1"/>
    <col min="15106" max="15106" width="17.5703125" style="2252" customWidth="1"/>
    <col min="15107" max="15107" width="8" style="2252" customWidth="1"/>
    <col min="15108" max="15108" width="6.85546875" style="2252" customWidth="1"/>
    <col min="15109" max="15109" width="8.42578125" style="2252" customWidth="1"/>
    <col min="15110" max="15110" width="3.140625" style="2252" customWidth="1"/>
    <col min="15111" max="15111" width="9.5703125" style="2252" customWidth="1"/>
    <col min="15112" max="15112" width="3.5703125" style="2252" customWidth="1"/>
    <col min="15113" max="15113" width="7.85546875" style="2252" customWidth="1"/>
    <col min="15114" max="15114" width="3" style="2252" customWidth="1"/>
    <col min="15115" max="15115" width="4.42578125" style="2252" customWidth="1"/>
    <col min="15116" max="15116" width="3.5703125" style="2252" customWidth="1"/>
    <col min="15117" max="15117" width="8.28515625" style="2252" customWidth="1"/>
    <col min="15118" max="15118" width="4" style="2252" customWidth="1"/>
    <col min="15119" max="15119" width="11.85546875" style="2252" customWidth="1"/>
    <col min="15120" max="15120" width="5.5703125" style="2252" customWidth="1"/>
    <col min="15121" max="15122" width="9.140625" style="2252"/>
    <col min="15123" max="15123" width="10.7109375" style="2252" bestFit="1" customWidth="1"/>
    <col min="15124" max="15124" width="9.28515625" style="2252" bestFit="1" customWidth="1"/>
    <col min="15125" max="15360" width="9.140625" style="2252"/>
    <col min="15361" max="15361" width="3.5703125" style="2252" customWidth="1"/>
    <col min="15362" max="15362" width="17.5703125" style="2252" customWidth="1"/>
    <col min="15363" max="15363" width="8" style="2252" customWidth="1"/>
    <col min="15364" max="15364" width="6.85546875" style="2252" customWidth="1"/>
    <col min="15365" max="15365" width="8.42578125" style="2252" customWidth="1"/>
    <col min="15366" max="15366" width="3.140625" style="2252" customWidth="1"/>
    <col min="15367" max="15367" width="9.5703125" style="2252" customWidth="1"/>
    <col min="15368" max="15368" width="3.5703125" style="2252" customWidth="1"/>
    <col min="15369" max="15369" width="7.85546875" style="2252" customWidth="1"/>
    <col min="15370" max="15370" width="3" style="2252" customWidth="1"/>
    <col min="15371" max="15371" width="4.42578125" style="2252" customWidth="1"/>
    <col min="15372" max="15372" width="3.5703125" style="2252" customWidth="1"/>
    <col min="15373" max="15373" width="8.28515625" style="2252" customWidth="1"/>
    <col min="15374" max="15374" width="4" style="2252" customWidth="1"/>
    <col min="15375" max="15375" width="11.85546875" style="2252" customWidth="1"/>
    <col min="15376" max="15376" width="5.5703125" style="2252" customWidth="1"/>
    <col min="15377" max="15378" width="9.140625" style="2252"/>
    <col min="15379" max="15379" width="10.7109375" style="2252" bestFit="1" customWidth="1"/>
    <col min="15380" max="15380" width="9.28515625" style="2252" bestFit="1" customWidth="1"/>
    <col min="15381" max="15616" width="9.140625" style="2252"/>
    <col min="15617" max="15617" width="3.5703125" style="2252" customWidth="1"/>
    <col min="15618" max="15618" width="17.5703125" style="2252" customWidth="1"/>
    <col min="15619" max="15619" width="8" style="2252" customWidth="1"/>
    <col min="15620" max="15620" width="6.85546875" style="2252" customWidth="1"/>
    <col min="15621" max="15621" width="8.42578125" style="2252" customWidth="1"/>
    <col min="15622" max="15622" width="3.140625" style="2252" customWidth="1"/>
    <col min="15623" max="15623" width="9.5703125" style="2252" customWidth="1"/>
    <col min="15624" max="15624" width="3.5703125" style="2252" customWidth="1"/>
    <col min="15625" max="15625" width="7.85546875" style="2252" customWidth="1"/>
    <col min="15626" max="15626" width="3" style="2252" customWidth="1"/>
    <col min="15627" max="15627" width="4.42578125" style="2252" customWidth="1"/>
    <col min="15628" max="15628" width="3.5703125" style="2252" customWidth="1"/>
    <col min="15629" max="15629" width="8.28515625" style="2252" customWidth="1"/>
    <col min="15630" max="15630" width="4" style="2252" customWidth="1"/>
    <col min="15631" max="15631" width="11.85546875" style="2252" customWidth="1"/>
    <col min="15632" max="15632" width="5.5703125" style="2252" customWidth="1"/>
    <col min="15633" max="15634" width="9.140625" style="2252"/>
    <col min="15635" max="15635" width="10.7109375" style="2252" bestFit="1" customWidth="1"/>
    <col min="15636" max="15636" width="9.28515625" style="2252" bestFit="1" customWidth="1"/>
    <col min="15637" max="15872" width="9.140625" style="2252"/>
    <col min="15873" max="15873" width="3.5703125" style="2252" customWidth="1"/>
    <col min="15874" max="15874" width="17.5703125" style="2252" customWidth="1"/>
    <col min="15875" max="15875" width="8" style="2252" customWidth="1"/>
    <col min="15876" max="15876" width="6.85546875" style="2252" customWidth="1"/>
    <col min="15877" max="15877" width="8.42578125" style="2252" customWidth="1"/>
    <col min="15878" max="15878" width="3.140625" style="2252" customWidth="1"/>
    <col min="15879" max="15879" width="9.5703125" style="2252" customWidth="1"/>
    <col min="15880" max="15880" width="3.5703125" style="2252" customWidth="1"/>
    <col min="15881" max="15881" width="7.85546875" style="2252" customWidth="1"/>
    <col min="15882" max="15882" width="3" style="2252" customWidth="1"/>
    <col min="15883" max="15883" width="4.42578125" style="2252" customWidth="1"/>
    <col min="15884" max="15884" width="3.5703125" style="2252" customWidth="1"/>
    <col min="15885" max="15885" width="8.28515625" style="2252" customWidth="1"/>
    <col min="15886" max="15886" width="4" style="2252" customWidth="1"/>
    <col min="15887" max="15887" width="11.85546875" style="2252" customWidth="1"/>
    <col min="15888" max="15888" width="5.5703125" style="2252" customWidth="1"/>
    <col min="15889" max="15890" width="9.140625" style="2252"/>
    <col min="15891" max="15891" width="10.7109375" style="2252" bestFit="1" customWidth="1"/>
    <col min="15892" max="15892" width="9.28515625" style="2252" bestFit="1" customWidth="1"/>
    <col min="15893" max="16128" width="9.140625" style="2252"/>
    <col min="16129" max="16129" width="3.5703125" style="2252" customWidth="1"/>
    <col min="16130" max="16130" width="17.5703125" style="2252" customWidth="1"/>
    <col min="16131" max="16131" width="8" style="2252" customWidth="1"/>
    <col min="16132" max="16132" width="6.85546875" style="2252" customWidth="1"/>
    <col min="16133" max="16133" width="8.42578125" style="2252" customWidth="1"/>
    <col min="16134" max="16134" width="3.140625" style="2252" customWidth="1"/>
    <col min="16135" max="16135" width="9.5703125" style="2252" customWidth="1"/>
    <col min="16136" max="16136" width="3.5703125" style="2252" customWidth="1"/>
    <col min="16137" max="16137" width="7.85546875" style="2252" customWidth="1"/>
    <col min="16138" max="16138" width="3" style="2252" customWidth="1"/>
    <col min="16139" max="16139" width="4.42578125" style="2252" customWidth="1"/>
    <col min="16140" max="16140" width="3.5703125" style="2252" customWidth="1"/>
    <col min="16141" max="16141" width="8.28515625" style="2252" customWidth="1"/>
    <col min="16142" max="16142" width="4" style="2252" customWidth="1"/>
    <col min="16143" max="16143" width="11.85546875" style="2252" customWidth="1"/>
    <col min="16144" max="16144" width="5.5703125" style="2252" customWidth="1"/>
    <col min="16145" max="16146" width="9.140625" style="2252"/>
    <col min="16147" max="16147" width="10.7109375" style="2252" bestFit="1" customWidth="1"/>
    <col min="16148" max="16148" width="9.28515625" style="2252" bestFit="1" customWidth="1"/>
    <col min="16149" max="16384" width="9.140625" style="2252"/>
  </cols>
  <sheetData>
    <row r="1" spans="1:21">
      <c r="B1" s="2251" t="s">
        <v>3968</v>
      </c>
      <c r="D1" s="2251" t="s">
        <v>3969</v>
      </c>
      <c r="E1" s="2251"/>
      <c r="F1" s="2251"/>
      <c r="G1" s="2251"/>
      <c r="H1" s="2251"/>
      <c r="I1" s="2251"/>
      <c r="J1" s="2251"/>
      <c r="K1" s="2251"/>
      <c r="L1" s="2251"/>
      <c r="M1" s="2251"/>
      <c r="N1" s="2251"/>
      <c r="O1" s="2251"/>
    </row>
    <row r="2" spans="1:21">
      <c r="B2" s="2251"/>
      <c r="C2" s="2251"/>
      <c r="D2" s="2251"/>
      <c r="E2" s="2251"/>
      <c r="F2" s="2251"/>
      <c r="G2" s="2251"/>
      <c r="H2" s="2251"/>
      <c r="I2" s="2251"/>
      <c r="J2" s="2251"/>
      <c r="K2" s="2251"/>
      <c r="L2" s="2251"/>
      <c r="M2" s="2251"/>
      <c r="N2" s="2251"/>
      <c r="O2" s="2251"/>
    </row>
    <row r="3" spans="1:21">
      <c r="B3" s="2251" t="s">
        <v>3970</v>
      </c>
      <c r="C3" s="2251"/>
      <c r="D3" s="3043">
        <f>O410</f>
        <v>1500000</v>
      </c>
      <c r="E3" s="3043"/>
      <c r="F3" s="2251"/>
      <c r="G3" s="2251"/>
      <c r="H3" s="2251"/>
      <c r="I3" s="2251"/>
      <c r="J3" s="2251"/>
      <c r="K3" s="2251"/>
      <c r="L3" s="2251"/>
      <c r="M3" s="2251"/>
      <c r="N3" s="2251"/>
      <c r="O3" s="2251"/>
    </row>
    <row r="4" spans="1:21">
      <c r="B4" s="2251"/>
      <c r="C4" s="2251"/>
      <c r="D4" s="2251"/>
      <c r="E4" s="2251"/>
      <c r="F4" s="2251"/>
      <c r="G4" s="2251"/>
      <c r="H4" s="2251"/>
      <c r="I4" s="2251"/>
      <c r="J4" s="2251"/>
      <c r="K4" s="2251"/>
      <c r="L4" s="2251"/>
      <c r="M4" s="2251"/>
      <c r="N4" s="2251"/>
      <c r="O4" s="2251"/>
    </row>
    <row r="5" spans="1:21">
      <c r="B5" s="2251" t="s">
        <v>3971</v>
      </c>
      <c r="C5" s="2251"/>
      <c r="D5" s="2251" t="s">
        <v>3972</v>
      </c>
      <c r="E5" s="2251"/>
      <c r="F5" s="2251"/>
      <c r="G5" s="2251"/>
      <c r="H5" s="2251"/>
      <c r="I5" s="2251"/>
      <c r="J5" s="2251"/>
      <c r="K5" s="2251"/>
      <c r="L5" s="2251"/>
      <c r="M5" s="2251"/>
      <c r="N5" s="2251"/>
      <c r="O5" s="2251"/>
    </row>
    <row r="6" spans="1:21">
      <c r="B6" s="2251"/>
      <c r="C6" s="2251"/>
      <c r="D6" s="2251"/>
      <c r="E6" s="2251"/>
      <c r="F6" s="2251"/>
      <c r="G6" s="2251"/>
      <c r="H6" s="2251"/>
      <c r="I6" s="2251"/>
      <c r="J6" s="2251"/>
      <c r="K6" s="2251"/>
      <c r="L6" s="2251"/>
      <c r="M6" s="2251"/>
      <c r="N6" s="2251"/>
      <c r="O6" s="2251"/>
    </row>
    <row r="7" spans="1:21">
      <c r="A7" s="2252"/>
      <c r="D7" s="3044" t="s">
        <v>3973</v>
      </c>
      <c r="E7" s="3044"/>
      <c r="F7" s="3044"/>
      <c r="G7" s="3044"/>
      <c r="H7" s="3044"/>
      <c r="I7" s="3044"/>
      <c r="J7" s="2251"/>
      <c r="K7" s="2251"/>
    </row>
    <row r="8" spans="1:21" hidden="1">
      <c r="B8" s="2254"/>
      <c r="C8" s="2254"/>
      <c r="D8" s="2251"/>
      <c r="E8" s="2251"/>
    </row>
    <row r="9" spans="1:21" hidden="1">
      <c r="C9" s="2254" t="s">
        <v>3974</v>
      </c>
      <c r="E9" s="2251"/>
      <c r="F9" s="2251"/>
      <c r="G9" s="2251"/>
      <c r="H9" s="2251"/>
      <c r="I9" s="2251"/>
      <c r="J9" s="2251"/>
      <c r="K9" s="2251"/>
    </row>
    <row r="10" spans="1:21" ht="12.75" hidden="1" customHeight="1">
      <c r="B10" s="2251"/>
      <c r="E10" s="2251"/>
      <c r="F10" s="2251"/>
      <c r="G10" s="2251"/>
      <c r="H10" s="2251"/>
      <c r="I10" s="2251"/>
      <c r="J10" s="2251"/>
      <c r="K10" s="2251"/>
    </row>
    <row r="11" spans="1:21" ht="12.75" hidden="1" customHeight="1">
      <c r="B11" s="2252" t="s">
        <v>3975</v>
      </c>
      <c r="C11" s="2252">
        <v>3</v>
      </c>
      <c r="D11" s="2252" t="s">
        <v>901</v>
      </c>
      <c r="E11" s="2255">
        <v>28.83</v>
      </c>
      <c r="F11" s="2252" t="s">
        <v>1039</v>
      </c>
      <c r="G11" s="2255">
        <f>C11*E11</f>
        <v>86.49</v>
      </c>
      <c r="H11" s="2251"/>
      <c r="I11" s="2251" t="s">
        <v>3976</v>
      </c>
      <c r="J11" s="2251"/>
      <c r="K11" s="2251"/>
      <c r="L11" s="2251" t="s">
        <v>1039</v>
      </c>
      <c r="M11" s="2251">
        <v>2</v>
      </c>
    </row>
    <row r="12" spans="1:21" ht="12.75" hidden="1" customHeight="1">
      <c r="B12" s="2252" t="s">
        <v>3977</v>
      </c>
      <c r="C12" s="2252">
        <v>2</v>
      </c>
      <c r="D12" s="2252" t="s">
        <v>901</v>
      </c>
      <c r="E12" s="2255">
        <v>25.67</v>
      </c>
      <c r="F12" s="2255" t="s">
        <v>1039</v>
      </c>
      <c r="G12" s="2255">
        <f>C12*E12</f>
        <v>51.34</v>
      </c>
      <c r="H12" s="2251"/>
      <c r="I12" s="2251" t="s">
        <v>3978</v>
      </c>
      <c r="J12" s="2251"/>
      <c r="K12" s="2251"/>
      <c r="L12" s="2251" t="s">
        <v>1039</v>
      </c>
      <c r="M12" s="2253">
        <v>761.07500000000005</v>
      </c>
      <c r="N12" s="2251" t="s">
        <v>3675</v>
      </c>
      <c r="R12" s="2251"/>
    </row>
    <row r="13" spans="1:21" ht="12.75" hidden="1" customHeight="1">
      <c r="C13" s="2256">
        <v>2</v>
      </c>
      <c r="D13" s="2256" t="s">
        <v>901</v>
      </c>
      <c r="E13" s="2257">
        <v>18.829999999999998</v>
      </c>
      <c r="F13" s="2256" t="s">
        <v>1039</v>
      </c>
      <c r="G13" s="2257">
        <f>C13*E13</f>
        <v>37.659999999999997</v>
      </c>
      <c r="H13" s="2258"/>
      <c r="I13" s="2251"/>
      <c r="J13" s="2251"/>
      <c r="K13" s="2251"/>
      <c r="L13" s="2251"/>
      <c r="M13" s="2251"/>
      <c r="N13" s="2251"/>
      <c r="R13" s="2251"/>
    </row>
    <row r="14" spans="1:21" s="2251" customFormat="1" ht="12.75" hidden="1" customHeight="1">
      <c r="D14" s="3045" t="s">
        <v>1532</v>
      </c>
      <c r="E14" s="3045"/>
      <c r="F14" s="2253" t="s">
        <v>1039</v>
      </c>
      <c r="G14" s="2253">
        <f>SUM(G11:G13)</f>
        <v>175.48999999999998</v>
      </c>
      <c r="H14" s="2251" t="s">
        <v>3979</v>
      </c>
    </row>
    <row r="15" spans="1:21" s="2251" customFormat="1">
      <c r="F15" s="2253"/>
      <c r="G15" s="2253"/>
    </row>
    <row r="16" spans="1:21" ht="59.1" customHeight="1">
      <c r="A16" s="2251">
        <v>1</v>
      </c>
      <c r="B16" s="3042" t="s">
        <v>3980</v>
      </c>
      <c r="C16" s="3042"/>
      <c r="D16" s="3042"/>
      <c r="E16" s="3042"/>
      <c r="F16" s="3042"/>
      <c r="G16" s="3042"/>
      <c r="H16" s="3042"/>
      <c r="I16" s="3042"/>
      <c r="J16" s="2260"/>
      <c r="K16" s="2260"/>
      <c r="U16" s="2254"/>
    </row>
    <row r="17" spans="1:24">
      <c r="B17" s="2252" t="s">
        <v>1773</v>
      </c>
      <c r="C17" s="2252">
        <v>12</v>
      </c>
      <c r="D17" s="2252" t="s">
        <v>901</v>
      </c>
      <c r="E17" s="2255">
        <v>4.5</v>
      </c>
      <c r="F17" s="2252" t="s">
        <v>901</v>
      </c>
      <c r="G17" s="2255">
        <v>4.5</v>
      </c>
      <c r="H17" s="2252" t="s">
        <v>901</v>
      </c>
      <c r="I17" s="2255">
        <v>4.5</v>
      </c>
      <c r="J17" s="2255"/>
      <c r="K17" s="2255"/>
      <c r="L17" s="2255" t="s">
        <v>1039</v>
      </c>
      <c r="M17" s="2255">
        <f t="shared" ref="M17:M22" si="0">C17*E17*G17*I17</f>
        <v>1093.5</v>
      </c>
      <c r="N17" s="2252" t="s">
        <v>3981</v>
      </c>
      <c r="S17" s="2255"/>
      <c r="U17" s="2255"/>
      <c r="W17" s="2255"/>
      <c r="X17" s="2255"/>
    </row>
    <row r="18" spans="1:24">
      <c r="B18" s="2252" t="s">
        <v>3982</v>
      </c>
      <c r="C18" s="2252">
        <v>3</v>
      </c>
      <c r="D18" s="2252" t="s">
        <v>901</v>
      </c>
      <c r="E18" s="2255">
        <f>32.5+2</f>
        <v>34.5</v>
      </c>
      <c r="F18" s="2252" t="s">
        <v>901</v>
      </c>
      <c r="G18" s="2255">
        <v>2.5</v>
      </c>
      <c r="H18" s="2252" t="s">
        <v>901</v>
      </c>
      <c r="I18" s="2255">
        <v>2</v>
      </c>
      <c r="J18" s="2255"/>
      <c r="K18" s="2255"/>
      <c r="L18" s="2255" t="s">
        <v>1039</v>
      </c>
      <c r="M18" s="2255">
        <f t="shared" si="0"/>
        <v>517.5</v>
      </c>
      <c r="N18" s="2252" t="s">
        <v>3981</v>
      </c>
      <c r="S18" s="2255"/>
      <c r="U18" s="2255"/>
      <c r="W18" s="2255"/>
      <c r="X18" s="2255"/>
    </row>
    <row r="19" spans="1:24">
      <c r="B19" s="2252" t="s">
        <v>3983</v>
      </c>
      <c r="C19" s="2252">
        <v>2</v>
      </c>
      <c r="D19" s="2252" t="s">
        <v>901</v>
      </c>
      <c r="E19" s="2255">
        <f>21.66-2</f>
        <v>19.66</v>
      </c>
      <c r="F19" s="2252" t="s">
        <v>901</v>
      </c>
      <c r="G19" s="2255">
        <v>2.5</v>
      </c>
      <c r="H19" s="2252" t="s">
        <v>901</v>
      </c>
      <c r="I19" s="2255">
        <v>2</v>
      </c>
      <c r="J19" s="2255"/>
      <c r="K19" s="2255"/>
      <c r="L19" s="2255" t="s">
        <v>1039</v>
      </c>
      <c r="M19" s="2255">
        <f t="shared" si="0"/>
        <v>196.6</v>
      </c>
      <c r="N19" s="2252" t="s">
        <v>3981</v>
      </c>
      <c r="S19" s="2255"/>
      <c r="U19" s="2255"/>
      <c r="W19" s="2255"/>
      <c r="X19" s="2255"/>
    </row>
    <row r="20" spans="1:24" hidden="1">
      <c r="C20" s="2252">
        <v>0</v>
      </c>
      <c r="D20" s="2252" t="s">
        <v>901</v>
      </c>
      <c r="E20" s="2255">
        <f>15-2</f>
        <v>13</v>
      </c>
      <c r="F20" s="2252" t="s">
        <v>901</v>
      </c>
      <c r="G20" s="2255">
        <v>2.5</v>
      </c>
      <c r="H20" s="2252" t="s">
        <v>901</v>
      </c>
      <c r="I20" s="2255">
        <v>2</v>
      </c>
      <c r="J20" s="2255"/>
      <c r="K20" s="2255"/>
      <c r="L20" s="2255" t="s">
        <v>1039</v>
      </c>
      <c r="M20" s="2255">
        <f t="shared" si="0"/>
        <v>0</v>
      </c>
      <c r="N20" s="2252" t="s">
        <v>3981</v>
      </c>
    </row>
    <row r="21" spans="1:24">
      <c r="B21" s="2252" t="s">
        <v>3984</v>
      </c>
      <c r="C21" s="2252">
        <v>2</v>
      </c>
      <c r="D21" s="2252" t="s">
        <v>901</v>
      </c>
      <c r="E21" s="2255">
        <f>11+1-2</f>
        <v>10</v>
      </c>
      <c r="F21" s="2252" t="s">
        <v>901</v>
      </c>
      <c r="G21" s="2255">
        <v>2.5</v>
      </c>
      <c r="H21" s="2252" t="s">
        <v>901</v>
      </c>
      <c r="I21" s="2255">
        <v>2</v>
      </c>
      <c r="J21" s="2255"/>
      <c r="K21" s="2255"/>
      <c r="L21" s="2255" t="s">
        <v>1039</v>
      </c>
      <c r="M21" s="2255">
        <f t="shared" si="0"/>
        <v>100</v>
      </c>
      <c r="N21" s="2252" t="s">
        <v>3981</v>
      </c>
    </row>
    <row r="22" spans="1:24">
      <c r="C22" s="2252">
        <v>1</v>
      </c>
      <c r="D22" s="2252" t="s">
        <v>901</v>
      </c>
      <c r="E22" s="2255">
        <f>6-2</f>
        <v>4</v>
      </c>
      <c r="F22" s="2252" t="s">
        <v>901</v>
      </c>
      <c r="G22" s="2255">
        <v>2.5</v>
      </c>
      <c r="H22" s="2252" t="s">
        <v>901</v>
      </c>
      <c r="I22" s="2255">
        <v>2</v>
      </c>
      <c r="J22" s="2255"/>
      <c r="K22" s="2255"/>
      <c r="L22" s="2255" t="s">
        <v>1039</v>
      </c>
      <c r="M22" s="2255">
        <f t="shared" si="0"/>
        <v>20</v>
      </c>
      <c r="N22" s="2252" t="s">
        <v>3981</v>
      </c>
    </row>
    <row r="23" spans="1:24" s="2251" customFormat="1">
      <c r="B23" s="2251" t="s">
        <v>928</v>
      </c>
      <c r="E23" s="2253"/>
      <c r="G23" s="2253"/>
      <c r="I23" s="2253"/>
      <c r="J23" s="2253"/>
      <c r="K23" s="2253"/>
      <c r="L23" s="2253" t="s">
        <v>1039</v>
      </c>
      <c r="M23" s="2253">
        <f>SUM(M17:M22)</f>
        <v>1927.6</v>
      </c>
      <c r="N23" s="2251" t="s">
        <v>3981</v>
      </c>
      <c r="Q23" s="2252"/>
      <c r="R23" s="2252"/>
      <c r="S23" s="2255"/>
      <c r="T23" s="2252"/>
      <c r="U23" s="2255"/>
      <c r="V23" s="2252"/>
      <c r="W23" s="2255"/>
      <c r="X23" s="2255"/>
    </row>
    <row r="24" spans="1:24" s="2251" customFormat="1">
      <c r="B24" s="2251" t="s">
        <v>1883</v>
      </c>
      <c r="E24" s="2253"/>
      <c r="G24" s="2253"/>
      <c r="I24" s="2253"/>
      <c r="J24" s="2253"/>
      <c r="K24" s="2253"/>
      <c r="L24" s="2253"/>
      <c r="M24" s="2253"/>
      <c r="Q24" s="2252"/>
      <c r="R24" s="2252"/>
      <c r="S24" s="2255"/>
      <c r="T24" s="2252"/>
      <c r="U24" s="2255"/>
      <c r="V24" s="2252"/>
      <c r="W24" s="2255"/>
      <c r="X24" s="2255"/>
    </row>
    <row r="25" spans="1:24">
      <c r="B25" s="2252" t="s">
        <v>1773</v>
      </c>
      <c r="C25" s="2252">
        <f>C17</f>
        <v>12</v>
      </c>
      <c r="D25" s="2252" t="s">
        <v>901</v>
      </c>
      <c r="E25" s="2255">
        <v>4</v>
      </c>
      <c r="F25" s="2252" t="s">
        <v>901</v>
      </c>
      <c r="G25" s="2255">
        <v>2</v>
      </c>
      <c r="H25" s="2252" t="s">
        <v>901</v>
      </c>
      <c r="I25" s="2255">
        <v>2</v>
      </c>
      <c r="J25" s="2255"/>
      <c r="K25" s="2255"/>
      <c r="L25" s="2255" t="s">
        <v>1039</v>
      </c>
      <c r="M25" s="2255">
        <f>C25*E25*G25*I25</f>
        <v>192</v>
      </c>
      <c r="S25" s="2255"/>
      <c r="U25" s="2255"/>
      <c r="W25" s="2255"/>
      <c r="X25" s="2255"/>
    </row>
    <row r="26" spans="1:24">
      <c r="B26" s="2251" t="s">
        <v>928</v>
      </c>
      <c r="C26" s="2251"/>
      <c r="D26" s="2251"/>
      <c r="E26" s="2253"/>
      <c r="F26" s="2251"/>
      <c r="G26" s="2253"/>
      <c r="H26" s="2251"/>
      <c r="I26" s="2253"/>
      <c r="J26" s="2253"/>
      <c r="K26" s="2253"/>
      <c r="L26" s="2261" t="s">
        <v>3985</v>
      </c>
      <c r="M26" s="2261">
        <f>SUM(M25:M25)</f>
        <v>192</v>
      </c>
      <c r="N26" s="2258" t="s">
        <v>3981</v>
      </c>
      <c r="S26" s="2255"/>
      <c r="U26" s="2255"/>
      <c r="W26" s="2255"/>
      <c r="X26" s="2255"/>
    </row>
    <row r="27" spans="1:24" s="2251" customFormat="1">
      <c r="B27" s="2251" t="s">
        <v>3986</v>
      </c>
      <c r="E27" s="2253"/>
      <c r="G27" s="2253"/>
      <c r="I27" s="2253"/>
      <c r="J27" s="2253"/>
      <c r="K27" s="2253"/>
      <c r="L27" s="2253" t="s">
        <v>1039</v>
      </c>
      <c r="M27" s="2253">
        <f>M23-M26</f>
        <v>1735.6</v>
      </c>
      <c r="N27" s="2251" t="s">
        <v>3981</v>
      </c>
      <c r="Q27" s="2252"/>
      <c r="R27" s="2252"/>
      <c r="S27" s="2255"/>
      <c r="T27" s="2252"/>
      <c r="U27" s="2255"/>
      <c r="V27" s="2252"/>
      <c r="W27" s="2255"/>
      <c r="X27" s="2255"/>
    </row>
    <row r="28" spans="1:24" s="2251" customFormat="1">
      <c r="B28" s="2251" t="s">
        <v>379</v>
      </c>
      <c r="C28" s="2253">
        <f xml:space="preserve"> ROUND(M27*0.0283,2)</f>
        <v>49.12</v>
      </c>
      <c r="D28" s="2251" t="s">
        <v>3987</v>
      </c>
      <c r="E28" s="2253" t="s">
        <v>1552</v>
      </c>
      <c r="F28" s="2251" t="s">
        <v>932</v>
      </c>
      <c r="G28" s="2253">
        <f>'Lead &amp; ANALYSIS'!K1814</f>
        <v>206.77030000000002</v>
      </c>
      <c r="H28" s="2251" t="s">
        <v>3988</v>
      </c>
      <c r="I28" s="2253" t="s">
        <v>2229</v>
      </c>
      <c r="J28" s="2253"/>
      <c r="K28" s="2253"/>
      <c r="M28" s="2251" t="s">
        <v>1039</v>
      </c>
      <c r="N28" s="2251" t="s">
        <v>932</v>
      </c>
      <c r="O28" s="2253">
        <f>C28*G28</f>
        <v>10156.557136000001</v>
      </c>
      <c r="R28" s="2252"/>
      <c r="S28" s="2255"/>
      <c r="T28" s="2252"/>
      <c r="U28" s="2255"/>
      <c r="V28" s="2252"/>
      <c r="W28" s="2255"/>
      <c r="X28" s="2255"/>
    </row>
    <row r="29" spans="1:24" s="2251" customFormat="1">
      <c r="C29" s="2253"/>
      <c r="E29" s="2253"/>
      <c r="G29" s="2253"/>
      <c r="I29" s="2253"/>
      <c r="J29" s="2253"/>
      <c r="K29" s="2253"/>
      <c r="O29" s="2253"/>
    </row>
    <row r="30" spans="1:24" s="2251" customFormat="1" ht="59.65" hidden="1" customHeight="1">
      <c r="A30" s="2251">
        <v>2</v>
      </c>
      <c r="B30" s="3042" t="s">
        <v>3989</v>
      </c>
      <c r="C30" s="3042"/>
      <c r="D30" s="3042"/>
      <c r="E30" s="3042"/>
      <c r="F30" s="3042"/>
      <c r="G30" s="3042"/>
      <c r="H30" s="3042"/>
      <c r="I30" s="3042"/>
      <c r="J30" s="2253"/>
      <c r="K30" s="2253"/>
      <c r="O30" s="2253"/>
    </row>
    <row r="31" spans="1:24" s="2251" customFormat="1" hidden="1">
      <c r="B31" s="2252" t="s">
        <v>1773</v>
      </c>
      <c r="C31" s="2252">
        <v>9</v>
      </c>
      <c r="D31" s="2252" t="s">
        <v>901</v>
      </c>
      <c r="E31" s="2255">
        <v>4</v>
      </c>
      <c r="F31" s="2252" t="s">
        <v>901</v>
      </c>
      <c r="G31" s="2255">
        <v>4</v>
      </c>
      <c r="H31" s="2252" t="s">
        <v>901</v>
      </c>
      <c r="I31" s="2255">
        <v>3</v>
      </c>
      <c r="J31" s="2255"/>
      <c r="K31" s="2255"/>
      <c r="L31" s="2255" t="s">
        <v>1039</v>
      </c>
      <c r="M31" s="2255">
        <f t="shared" ref="M31:M36" si="1">C31*E31*G31*I31</f>
        <v>432</v>
      </c>
      <c r="N31" s="2252" t="s">
        <v>3981</v>
      </c>
      <c r="O31" s="2252"/>
    </row>
    <row r="32" spans="1:24" s="2251" customFormat="1" hidden="1">
      <c r="B32" s="2252" t="s">
        <v>3982</v>
      </c>
      <c r="C32" s="2252">
        <f>C18</f>
        <v>3</v>
      </c>
      <c r="D32" s="2252" t="s">
        <v>901</v>
      </c>
      <c r="E32" s="2255">
        <f>E18</f>
        <v>34.5</v>
      </c>
      <c r="F32" s="2252" t="s">
        <v>901</v>
      </c>
      <c r="G32" s="2255">
        <v>2</v>
      </c>
      <c r="H32" s="2252" t="s">
        <v>901</v>
      </c>
      <c r="I32" s="2255">
        <v>1</v>
      </c>
      <c r="J32" s="2255"/>
      <c r="K32" s="2255"/>
      <c r="L32" s="2255" t="s">
        <v>1039</v>
      </c>
      <c r="M32" s="2255">
        <f t="shared" si="1"/>
        <v>207</v>
      </c>
      <c r="N32" s="2252" t="s">
        <v>3981</v>
      </c>
      <c r="O32" s="2252"/>
    </row>
    <row r="33" spans="1:24" s="2251" customFormat="1" hidden="1">
      <c r="B33" s="2252" t="s">
        <v>3983</v>
      </c>
      <c r="C33" s="2252">
        <f>C19</f>
        <v>2</v>
      </c>
      <c r="D33" s="2252" t="s">
        <v>901</v>
      </c>
      <c r="E33" s="2255">
        <f>E19</f>
        <v>19.66</v>
      </c>
      <c r="F33" s="2252" t="s">
        <v>901</v>
      </c>
      <c r="G33" s="2255">
        <v>2</v>
      </c>
      <c r="H33" s="2252" t="s">
        <v>901</v>
      </c>
      <c r="I33" s="2255">
        <v>1</v>
      </c>
      <c r="J33" s="2255"/>
      <c r="K33" s="2255"/>
      <c r="L33" s="2255" t="s">
        <v>1039</v>
      </c>
      <c r="M33" s="2255">
        <f t="shared" si="1"/>
        <v>78.64</v>
      </c>
      <c r="N33" s="2252" t="s">
        <v>3981</v>
      </c>
      <c r="O33" s="2252"/>
    </row>
    <row r="34" spans="1:24" s="2251" customFormat="1" hidden="1">
      <c r="B34" s="2252"/>
      <c r="C34" s="2252">
        <f>C20</f>
        <v>0</v>
      </c>
      <c r="D34" s="2252" t="s">
        <v>901</v>
      </c>
      <c r="E34" s="2255">
        <f>E20</f>
        <v>13</v>
      </c>
      <c r="F34" s="2252" t="s">
        <v>901</v>
      </c>
      <c r="G34" s="2255">
        <v>2</v>
      </c>
      <c r="H34" s="2252" t="s">
        <v>901</v>
      </c>
      <c r="I34" s="2255">
        <v>1</v>
      </c>
      <c r="J34" s="2255"/>
      <c r="K34" s="2255"/>
      <c r="L34" s="2255" t="s">
        <v>1039</v>
      </c>
      <c r="M34" s="2255">
        <f t="shared" si="1"/>
        <v>0</v>
      </c>
      <c r="N34" s="2252" t="s">
        <v>3981</v>
      </c>
      <c r="O34" s="2252"/>
    </row>
    <row r="35" spans="1:24" s="2251" customFormat="1" hidden="1">
      <c r="B35" s="2252" t="str">
        <f>B21</f>
        <v xml:space="preserve"> Ramp</v>
      </c>
      <c r="C35" s="2252">
        <f>C21</f>
        <v>2</v>
      </c>
      <c r="D35" s="2252" t="s">
        <v>901</v>
      </c>
      <c r="E35" s="2255">
        <f>E21</f>
        <v>10</v>
      </c>
      <c r="F35" s="2252" t="s">
        <v>901</v>
      </c>
      <c r="G35" s="2255">
        <v>2</v>
      </c>
      <c r="H35" s="2252" t="s">
        <v>901</v>
      </c>
      <c r="I35" s="2255">
        <v>0.67</v>
      </c>
      <c r="J35" s="2255"/>
      <c r="K35" s="2255"/>
      <c r="L35" s="2255" t="s">
        <v>1039</v>
      </c>
      <c r="M35" s="2255">
        <f t="shared" si="1"/>
        <v>26.8</v>
      </c>
      <c r="N35" s="2252" t="s">
        <v>3981</v>
      </c>
      <c r="O35" s="2252"/>
    </row>
    <row r="36" spans="1:24" s="2251" customFormat="1" hidden="1">
      <c r="B36" s="2252"/>
      <c r="C36" s="2252">
        <f>C22</f>
        <v>1</v>
      </c>
      <c r="D36" s="2252" t="s">
        <v>901</v>
      </c>
      <c r="E36" s="2255">
        <f>E22</f>
        <v>4</v>
      </c>
      <c r="F36" s="2252" t="s">
        <v>901</v>
      </c>
      <c r="G36" s="2255">
        <v>2</v>
      </c>
      <c r="H36" s="2252" t="s">
        <v>901</v>
      </c>
      <c r="I36" s="2255">
        <v>0.67</v>
      </c>
      <c r="J36" s="2255"/>
      <c r="K36" s="2255"/>
      <c r="L36" s="2255" t="s">
        <v>1039</v>
      </c>
      <c r="M36" s="2255">
        <f t="shared" si="1"/>
        <v>5.36</v>
      </c>
      <c r="N36" s="2252" t="s">
        <v>3981</v>
      </c>
      <c r="O36" s="2252"/>
    </row>
    <row r="37" spans="1:24" s="2251" customFormat="1" hidden="1">
      <c r="B37" s="2251" t="s">
        <v>928</v>
      </c>
      <c r="E37" s="2253"/>
      <c r="G37" s="2253"/>
      <c r="I37" s="2253"/>
      <c r="J37" s="2253"/>
      <c r="K37" s="2253"/>
      <c r="L37" s="2253" t="s">
        <v>1039</v>
      </c>
      <c r="M37" s="2253">
        <f>SUM(M31:M36)</f>
        <v>749.8</v>
      </c>
      <c r="N37" s="2251" t="s">
        <v>3981</v>
      </c>
    </row>
    <row r="38" spans="1:24" s="2251" customFormat="1" hidden="1">
      <c r="B38" s="2251" t="s">
        <v>1883</v>
      </c>
      <c r="E38" s="2253"/>
      <c r="G38" s="2253"/>
      <c r="I38" s="2253"/>
      <c r="J38" s="2253"/>
      <c r="K38" s="2253"/>
      <c r="L38" s="2253"/>
      <c r="M38" s="2253"/>
    </row>
    <row r="39" spans="1:24" s="2251" customFormat="1" hidden="1">
      <c r="B39" s="2252" t="s">
        <v>1773</v>
      </c>
      <c r="C39" s="2252">
        <f>C31</f>
        <v>9</v>
      </c>
      <c r="D39" s="2252" t="s">
        <v>901</v>
      </c>
      <c r="E39" s="2255">
        <v>4</v>
      </c>
      <c r="F39" s="2252" t="s">
        <v>901</v>
      </c>
      <c r="G39" s="2255">
        <v>2</v>
      </c>
      <c r="H39" s="2252" t="s">
        <v>901</v>
      </c>
      <c r="I39" s="2255">
        <v>1</v>
      </c>
      <c r="J39" s="2255"/>
      <c r="K39" s="2255"/>
      <c r="L39" s="2255" t="s">
        <v>1039</v>
      </c>
      <c r="M39" s="2255">
        <f>C39*E39*G39*I39</f>
        <v>72</v>
      </c>
      <c r="N39" s="2252"/>
      <c r="O39" s="2252"/>
    </row>
    <row r="40" spans="1:24" s="2251" customFormat="1" hidden="1">
      <c r="B40" s="2251" t="s">
        <v>928</v>
      </c>
      <c r="E40" s="2253"/>
      <c r="G40" s="2253"/>
      <c r="I40" s="2253"/>
      <c r="J40" s="2253"/>
      <c r="K40" s="2253"/>
      <c r="L40" s="2261" t="s">
        <v>3985</v>
      </c>
      <c r="M40" s="2261">
        <f>SUM(M39:M39)</f>
        <v>72</v>
      </c>
      <c r="N40" s="2258" t="s">
        <v>3981</v>
      </c>
      <c r="O40" s="2252"/>
    </row>
    <row r="41" spans="1:24" s="2251" customFormat="1" hidden="1">
      <c r="B41" s="2251" t="s">
        <v>3986</v>
      </c>
      <c r="E41" s="2253"/>
      <c r="G41" s="2253"/>
      <c r="I41" s="2253"/>
      <c r="J41" s="2253"/>
      <c r="K41" s="2253"/>
      <c r="L41" s="2253" t="s">
        <v>1039</v>
      </c>
      <c r="M41" s="2253">
        <f>M37-M40</f>
        <v>677.8</v>
      </c>
      <c r="N41" s="2251" t="s">
        <v>3981</v>
      </c>
    </row>
    <row r="42" spans="1:24" s="2251" customFormat="1" hidden="1">
      <c r="B42" s="2251" t="s">
        <v>379</v>
      </c>
      <c r="C42" s="2253">
        <f xml:space="preserve"> ROUND(M41*0.0283,2)*0</f>
        <v>0</v>
      </c>
      <c r="D42" s="2251" t="s">
        <v>3987</v>
      </c>
      <c r="E42" s="2253" t="s">
        <v>1552</v>
      </c>
      <c r="F42" s="2251" t="s">
        <v>932</v>
      </c>
      <c r="G42" s="2253">
        <f>'[4]Analysis '!J89</f>
        <v>1498.68</v>
      </c>
      <c r="H42" s="2251" t="s">
        <v>3988</v>
      </c>
      <c r="I42" s="2253" t="s">
        <v>2229</v>
      </c>
      <c r="J42" s="2253"/>
      <c r="K42" s="2253"/>
      <c r="M42" s="2251" t="s">
        <v>1039</v>
      </c>
      <c r="N42" s="2251" t="s">
        <v>932</v>
      </c>
      <c r="O42" s="2253">
        <f xml:space="preserve"> ROUND(C42*G42,0)</f>
        <v>0</v>
      </c>
    </row>
    <row r="43" spans="1:24" s="2251" customFormat="1" hidden="1">
      <c r="C43" s="2253"/>
      <c r="E43" s="2253"/>
      <c r="G43" s="2253"/>
      <c r="I43" s="2253"/>
      <c r="J43" s="2253"/>
      <c r="K43" s="2253"/>
      <c r="O43" s="2253"/>
    </row>
    <row r="44" spans="1:24" ht="57.95" customHeight="1">
      <c r="A44" s="2251">
        <v>2</v>
      </c>
      <c r="B44" s="3042" t="s">
        <v>3990</v>
      </c>
      <c r="C44" s="3042"/>
      <c r="D44" s="3042"/>
      <c r="E44" s="3042"/>
      <c r="F44" s="3042"/>
      <c r="G44" s="3042"/>
      <c r="H44" s="3042"/>
      <c r="I44" s="3042"/>
      <c r="J44" s="2260"/>
      <c r="K44" s="2260"/>
      <c r="L44" s="2253"/>
      <c r="M44" s="2253"/>
      <c r="N44" s="2255"/>
      <c r="O44" s="2251"/>
      <c r="P44" s="2253"/>
    </row>
    <row r="45" spans="1:24">
      <c r="B45" s="2252" t="str">
        <f>B17</f>
        <v>Column</v>
      </c>
      <c r="C45" s="2252">
        <f>C17</f>
        <v>12</v>
      </c>
      <c r="D45" s="2252" t="s">
        <v>901</v>
      </c>
      <c r="E45" s="2255">
        <f t="shared" ref="E45:E50" si="2">E17</f>
        <v>4.5</v>
      </c>
      <c r="F45" s="2252" t="s">
        <v>901</v>
      </c>
      <c r="G45" s="2255">
        <f t="shared" ref="G45:G50" si="3">G17</f>
        <v>4.5</v>
      </c>
      <c r="H45" s="2252" t="s">
        <v>901</v>
      </c>
      <c r="I45" s="2255">
        <v>0.66</v>
      </c>
      <c r="J45" s="2255"/>
      <c r="K45" s="2255"/>
      <c r="L45" s="2255" t="s">
        <v>1039</v>
      </c>
      <c r="M45" s="2255">
        <f t="shared" ref="M45:M50" si="4">C45*E45*G45*I45</f>
        <v>160.38</v>
      </c>
      <c r="N45" s="2252" t="str">
        <f>N40</f>
        <v>cft</v>
      </c>
      <c r="S45" s="2255"/>
      <c r="U45" s="2255"/>
      <c r="W45" s="2255"/>
      <c r="X45" s="2255"/>
    </row>
    <row r="46" spans="1:24">
      <c r="B46" s="2252" t="str">
        <f>B18</f>
        <v>Walling       LW</v>
      </c>
      <c r="C46" s="2252">
        <v>3</v>
      </c>
      <c r="D46" s="2252" t="s">
        <v>901</v>
      </c>
      <c r="E46" s="2255">
        <f t="shared" si="2"/>
        <v>34.5</v>
      </c>
      <c r="F46" s="2252" t="s">
        <v>901</v>
      </c>
      <c r="G46" s="2255">
        <f t="shared" si="3"/>
        <v>2.5</v>
      </c>
      <c r="H46" s="2252" t="s">
        <v>901</v>
      </c>
      <c r="I46" s="2255">
        <v>0.33</v>
      </c>
      <c r="J46" s="2255"/>
      <c r="K46" s="2255"/>
      <c r="L46" s="2255" t="s">
        <v>1039</v>
      </c>
      <c r="M46" s="2255">
        <f t="shared" si="4"/>
        <v>85.387500000000003</v>
      </c>
      <c r="N46" s="2252" t="str">
        <f t="shared" ref="N46:N54" si="5">N41</f>
        <v>cft</v>
      </c>
      <c r="S46" s="2255"/>
      <c r="U46" s="2255"/>
      <c r="W46" s="2255"/>
      <c r="X46" s="2255"/>
    </row>
    <row r="47" spans="1:24">
      <c r="B47" s="2252" t="str">
        <f>B19</f>
        <v>SW</v>
      </c>
      <c r="C47" s="2252">
        <f>C33</f>
        <v>2</v>
      </c>
      <c r="D47" s="2252" t="s">
        <v>901</v>
      </c>
      <c r="E47" s="2255">
        <f t="shared" si="2"/>
        <v>19.66</v>
      </c>
      <c r="F47" s="2252" t="s">
        <v>901</v>
      </c>
      <c r="G47" s="2255">
        <f t="shared" si="3"/>
        <v>2.5</v>
      </c>
      <c r="H47" s="2252" t="s">
        <v>901</v>
      </c>
      <c r="I47" s="2255">
        <v>0.33</v>
      </c>
      <c r="J47" s="2255"/>
      <c r="K47" s="2255"/>
      <c r="L47" s="2255" t="s">
        <v>1039</v>
      </c>
      <c r="M47" s="2255">
        <f t="shared" si="4"/>
        <v>32.439</v>
      </c>
      <c r="N47" s="2252" t="str">
        <f>N46</f>
        <v>cft</v>
      </c>
      <c r="S47" s="2255"/>
      <c r="U47" s="2255"/>
      <c r="W47" s="2255"/>
      <c r="X47" s="2255"/>
    </row>
    <row r="48" spans="1:24" hidden="1">
      <c r="B48" s="2252" t="str">
        <f>B47</f>
        <v>SW</v>
      </c>
      <c r="C48" s="2252">
        <f>C34</f>
        <v>0</v>
      </c>
      <c r="D48" s="2252" t="s">
        <v>901</v>
      </c>
      <c r="E48" s="2255">
        <f t="shared" si="2"/>
        <v>13</v>
      </c>
      <c r="F48" s="2252" t="s">
        <v>901</v>
      </c>
      <c r="G48" s="2255">
        <f t="shared" si="3"/>
        <v>2.5</v>
      </c>
      <c r="H48" s="2252" t="s">
        <v>901</v>
      </c>
      <c r="I48" s="2255">
        <v>0.33</v>
      </c>
      <c r="J48" s="2255"/>
      <c r="K48" s="2255"/>
      <c r="L48" s="2255" t="s">
        <v>1039</v>
      </c>
      <c r="M48" s="2255">
        <f t="shared" si="4"/>
        <v>0</v>
      </c>
      <c r="N48" s="2252" t="str">
        <f>N47</f>
        <v>cft</v>
      </c>
      <c r="S48" s="2255"/>
      <c r="U48" s="2255"/>
      <c r="W48" s="2255"/>
      <c r="X48" s="2255"/>
    </row>
    <row r="49" spans="1:24">
      <c r="B49" s="2252" t="str">
        <f>B21</f>
        <v xml:space="preserve"> Ramp</v>
      </c>
      <c r="C49" s="2252">
        <f>C35</f>
        <v>2</v>
      </c>
      <c r="D49" s="2252" t="s">
        <v>901</v>
      </c>
      <c r="E49" s="2255">
        <f t="shared" si="2"/>
        <v>10</v>
      </c>
      <c r="F49" s="2252" t="s">
        <v>901</v>
      </c>
      <c r="G49" s="2255">
        <f t="shared" si="3"/>
        <v>2.5</v>
      </c>
      <c r="H49" s="2252" t="s">
        <v>901</v>
      </c>
      <c r="I49" s="2255">
        <v>0.33</v>
      </c>
      <c r="J49" s="2255"/>
      <c r="K49" s="2255"/>
      <c r="L49" s="2255" t="s">
        <v>1039</v>
      </c>
      <c r="M49" s="2255">
        <f t="shared" si="4"/>
        <v>16.5</v>
      </c>
      <c r="N49" s="2252" t="str">
        <f>N47</f>
        <v>cft</v>
      </c>
      <c r="S49" s="2255"/>
      <c r="U49" s="2255"/>
      <c r="W49" s="2255"/>
      <c r="X49" s="2255"/>
    </row>
    <row r="50" spans="1:24">
      <c r="C50" s="2252">
        <v>1</v>
      </c>
      <c r="D50" s="2252" t="s">
        <v>901</v>
      </c>
      <c r="E50" s="2255">
        <f t="shared" si="2"/>
        <v>4</v>
      </c>
      <c r="F50" s="2252" t="s">
        <v>901</v>
      </c>
      <c r="G50" s="2255">
        <f t="shared" si="3"/>
        <v>2.5</v>
      </c>
      <c r="H50" s="2252" t="s">
        <v>901</v>
      </c>
      <c r="I50" s="2255">
        <v>0.33</v>
      </c>
      <c r="J50" s="2255"/>
      <c r="K50" s="2255"/>
      <c r="L50" s="2255" t="s">
        <v>1039</v>
      </c>
      <c r="M50" s="2255">
        <f t="shared" si="4"/>
        <v>3.3000000000000003</v>
      </c>
      <c r="N50" s="2252" t="str">
        <f t="shared" si="5"/>
        <v>cft</v>
      </c>
      <c r="S50" s="2255"/>
      <c r="U50" s="2255"/>
      <c r="W50" s="2255"/>
      <c r="X50" s="2255"/>
    </row>
    <row r="51" spans="1:24">
      <c r="B51" s="2251" t="s">
        <v>3991</v>
      </c>
      <c r="E51" s="2255"/>
      <c r="G51" s="2255"/>
      <c r="I51" s="2255"/>
      <c r="J51" s="2255"/>
      <c r="K51" s="2255"/>
      <c r="L51" s="2255"/>
      <c r="M51" s="2255"/>
      <c r="N51" s="2252" t="str">
        <f t="shared" si="5"/>
        <v>cft</v>
      </c>
      <c r="S51" s="2255"/>
      <c r="U51" s="2255"/>
      <c r="W51" s="2255"/>
      <c r="X51" s="2262"/>
    </row>
    <row r="52" spans="1:24">
      <c r="B52" s="2252" t="s">
        <v>1775</v>
      </c>
      <c r="C52" s="2252">
        <v>1</v>
      </c>
      <c r="D52" s="2252" t="s">
        <v>901</v>
      </c>
      <c r="E52" s="2255">
        <v>31.66</v>
      </c>
      <c r="F52" s="2252" t="s">
        <v>901</v>
      </c>
      <c r="G52" s="2255">
        <v>15</v>
      </c>
      <c r="H52" s="2252" t="s">
        <v>901</v>
      </c>
      <c r="I52" s="2255">
        <v>0.33</v>
      </c>
      <c r="J52" s="2255"/>
      <c r="K52" s="2255"/>
      <c r="L52" s="2255" t="s">
        <v>1039</v>
      </c>
      <c r="M52" s="2255">
        <f>C52*E52*G52*I52</f>
        <v>156.71700000000001</v>
      </c>
      <c r="N52" s="2252" t="str">
        <f t="shared" si="5"/>
        <v>cft</v>
      </c>
      <c r="Q52" s="2255"/>
      <c r="S52" s="2255"/>
      <c r="U52" s="2255"/>
      <c r="W52" s="2255"/>
      <c r="X52" s="2262"/>
    </row>
    <row r="53" spans="1:24">
      <c r="B53" s="2252" t="s">
        <v>2991</v>
      </c>
      <c r="C53" s="2252">
        <v>1</v>
      </c>
      <c r="D53" s="2252" t="s">
        <v>901</v>
      </c>
      <c r="E53" s="2255">
        <v>31.66</v>
      </c>
      <c r="F53" s="2252" t="s">
        <v>901</v>
      </c>
      <c r="G53" s="2255">
        <v>5</v>
      </c>
      <c r="H53" s="2252" t="s">
        <v>901</v>
      </c>
      <c r="I53" s="2255">
        <v>0.33</v>
      </c>
      <c r="J53" s="2255"/>
      <c r="K53" s="2255"/>
      <c r="L53" s="2255" t="s">
        <v>1039</v>
      </c>
      <c r="M53" s="2255">
        <f>C53*E53*G53*I53</f>
        <v>52.239000000000004</v>
      </c>
      <c r="N53" s="2252" t="str">
        <f t="shared" si="5"/>
        <v>cft</v>
      </c>
      <c r="Q53" s="2255"/>
      <c r="S53" s="2255"/>
      <c r="X53" s="2255"/>
    </row>
    <row r="54" spans="1:24">
      <c r="B54" s="2252" t="s">
        <v>3992</v>
      </c>
      <c r="C54" s="2252">
        <v>1</v>
      </c>
      <c r="D54" s="2252" t="s">
        <v>901</v>
      </c>
      <c r="E54" s="2255">
        <v>10</v>
      </c>
      <c r="F54" s="2252" t="s">
        <v>901</v>
      </c>
      <c r="G54" s="2255">
        <f>5+2</f>
        <v>7</v>
      </c>
      <c r="H54" s="2252" t="s">
        <v>901</v>
      </c>
      <c r="I54" s="2255">
        <v>0.33</v>
      </c>
      <c r="J54" s="2255"/>
      <c r="K54" s="2255"/>
      <c r="L54" s="2255" t="s">
        <v>1039</v>
      </c>
      <c r="M54" s="2255">
        <f>C54*E54*G54*I54</f>
        <v>23.1</v>
      </c>
      <c r="N54" s="2252" t="str">
        <f t="shared" si="5"/>
        <v>cft</v>
      </c>
      <c r="Q54" s="2255"/>
      <c r="S54" s="2255"/>
      <c r="X54" s="2255"/>
    </row>
    <row r="55" spans="1:24" hidden="1">
      <c r="B55" s="2252" t="s">
        <v>3993</v>
      </c>
      <c r="C55" s="2252">
        <v>0</v>
      </c>
      <c r="D55" s="2252" t="s">
        <v>901</v>
      </c>
      <c r="E55" s="2255">
        <v>7</v>
      </c>
      <c r="F55" s="2252" t="s">
        <v>901</v>
      </c>
      <c r="G55" s="2255">
        <v>9</v>
      </c>
      <c r="H55" s="2252" t="s">
        <v>901</v>
      </c>
      <c r="I55" s="2255">
        <v>0.33</v>
      </c>
      <c r="J55" s="2255"/>
      <c r="K55" s="2255"/>
      <c r="L55" s="2257" t="s">
        <v>1039</v>
      </c>
      <c r="M55" s="2257">
        <f>C55*E55*G55*I55</f>
        <v>0</v>
      </c>
      <c r="N55" s="2252" t="str">
        <f>N49</f>
        <v>cft</v>
      </c>
      <c r="Q55" s="2255"/>
      <c r="S55" s="2255"/>
      <c r="X55" s="2255"/>
    </row>
    <row r="56" spans="1:24" s="2251" customFormat="1">
      <c r="B56" s="2251" t="s">
        <v>928</v>
      </c>
      <c r="E56" s="2253"/>
      <c r="G56" s="2253"/>
      <c r="I56" s="2253"/>
      <c r="J56" s="2253"/>
      <c r="K56" s="2253"/>
      <c r="L56" s="2253" t="s">
        <v>1039</v>
      </c>
      <c r="M56" s="2253">
        <f>SUM(M45:M55)</f>
        <v>530.06250000000011</v>
      </c>
      <c r="N56" s="2252" t="str">
        <f>N50</f>
        <v>cft</v>
      </c>
      <c r="X56" s="2255"/>
    </row>
    <row r="57" spans="1:24" s="2251" customFormat="1">
      <c r="B57" s="2251" t="s">
        <v>1883</v>
      </c>
      <c r="E57" s="2253"/>
      <c r="G57" s="2253"/>
      <c r="I57" s="2253"/>
      <c r="J57" s="2253"/>
      <c r="K57" s="2253"/>
      <c r="L57" s="2253"/>
      <c r="M57" s="2253"/>
      <c r="Q57" s="2252"/>
      <c r="R57" s="2252"/>
      <c r="S57" s="2255"/>
      <c r="T57" s="2252"/>
      <c r="U57" s="2255"/>
      <c r="V57" s="2252"/>
      <c r="W57" s="2255"/>
      <c r="X57" s="2255"/>
    </row>
    <row r="58" spans="1:24">
      <c r="B58" s="2252" t="s">
        <v>1773</v>
      </c>
      <c r="C58" s="2252">
        <f>C45</f>
        <v>12</v>
      </c>
      <c r="D58" s="2252" t="s">
        <v>901</v>
      </c>
      <c r="E58" s="2255">
        <v>2</v>
      </c>
      <c r="F58" s="2252" t="s">
        <v>901</v>
      </c>
      <c r="G58" s="2255">
        <v>2</v>
      </c>
      <c r="H58" s="2252" t="s">
        <v>901</v>
      </c>
      <c r="I58" s="2255">
        <v>0.33</v>
      </c>
      <c r="J58" s="2255"/>
      <c r="K58" s="2255"/>
      <c r="L58" s="2255" t="s">
        <v>1039</v>
      </c>
      <c r="M58" s="2255">
        <f>C58*E58*G58*I58</f>
        <v>15.84</v>
      </c>
      <c r="S58" s="2255"/>
      <c r="U58" s="2255"/>
      <c r="W58" s="2255"/>
      <c r="X58" s="2255"/>
    </row>
    <row r="59" spans="1:24">
      <c r="B59" s="2251" t="s">
        <v>928</v>
      </c>
      <c r="C59" s="2251"/>
      <c r="D59" s="2251"/>
      <c r="E59" s="2253"/>
      <c r="F59" s="2251"/>
      <c r="G59" s="2253"/>
      <c r="H59" s="2251"/>
      <c r="I59" s="2253"/>
      <c r="J59" s="2253"/>
      <c r="K59" s="2253"/>
      <c r="L59" s="2261" t="s">
        <v>3985</v>
      </c>
      <c r="M59" s="2261">
        <f>SUM(M58:M58)</f>
        <v>15.84</v>
      </c>
      <c r="N59" s="2258" t="s">
        <v>3981</v>
      </c>
      <c r="S59" s="2255"/>
      <c r="U59" s="2255"/>
      <c r="W59" s="2255"/>
      <c r="X59" s="2255"/>
    </row>
    <row r="60" spans="1:24" s="2251" customFormat="1">
      <c r="B60" s="2251" t="s">
        <v>3986</v>
      </c>
      <c r="E60" s="2253"/>
      <c r="G60" s="2253"/>
      <c r="I60" s="2253"/>
      <c r="J60" s="2253"/>
      <c r="K60" s="2253"/>
      <c r="L60" s="2253" t="s">
        <v>1039</v>
      </c>
      <c r="M60" s="2253">
        <f>M56-M59</f>
        <v>514.22250000000008</v>
      </c>
      <c r="N60" s="2251" t="s">
        <v>3981</v>
      </c>
      <c r="Q60" s="2252"/>
      <c r="R60" s="2252"/>
      <c r="S60" s="2255"/>
      <c r="T60" s="2252"/>
      <c r="U60" s="2255"/>
      <c r="V60" s="2252"/>
      <c r="W60" s="2255"/>
      <c r="X60" s="2255"/>
    </row>
    <row r="61" spans="1:24" s="2251" customFormat="1">
      <c r="B61" s="2251" t="s">
        <v>379</v>
      </c>
      <c r="C61" s="2253">
        <f xml:space="preserve"> ROUND(M60*0.0283,2)</f>
        <v>14.55</v>
      </c>
      <c r="D61" s="2251" t="s">
        <v>3987</v>
      </c>
      <c r="E61" s="2253" t="s">
        <v>1552</v>
      </c>
      <c r="F61" s="2251" t="s">
        <v>932</v>
      </c>
      <c r="G61" s="2253">
        <f>'Lead &amp; ANALYSIS'!K1972</f>
        <v>5806.3099999999995</v>
      </c>
      <c r="H61" s="2251" t="s">
        <v>3988</v>
      </c>
      <c r="I61" s="2253" t="s">
        <v>3987</v>
      </c>
      <c r="J61" s="2253"/>
      <c r="K61" s="2253"/>
      <c r="M61" s="2251" t="s">
        <v>1039</v>
      </c>
      <c r="N61" s="2251" t="s">
        <v>932</v>
      </c>
      <c r="O61" s="2253">
        <f>C61*G61</f>
        <v>84481.810499999992</v>
      </c>
      <c r="S61" s="2253"/>
    </row>
    <row r="62" spans="1:24" s="2251" customFormat="1">
      <c r="C62" s="2253"/>
      <c r="E62" s="2253"/>
      <c r="G62" s="2253"/>
      <c r="I62" s="2253"/>
      <c r="J62" s="2253"/>
      <c r="K62" s="2253"/>
      <c r="O62" s="2253"/>
    </row>
    <row r="63" spans="1:24" ht="42.75" customHeight="1">
      <c r="A63" s="2251">
        <v>3</v>
      </c>
      <c r="B63" s="3042" t="str">
        <f>'[4]Analysis '!B662:I662</f>
        <v>Laterite  Stone  Masonry in Cement mortar (1:6) in foundation &amp; plinth  including cost, conveyance, royality &amp; taxes etc. of all materials, mixing &amp; laying, watering, curing, labour charges etc. complete as per the specification &amp; direction of Engineer in charge.</v>
      </c>
      <c r="C63" s="3042"/>
      <c r="D63" s="3042"/>
      <c r="E63" s="3042"/>
      <c r="F63" s="3042"/>
      <c r="G63" s="3042"/>
      <c r="H63" s="3042"/>
      <c r="I63" s="3042"/>
      <c r="J63" s="3042"/>
      <c r="K63" s="3042"/>
      <c r="M63" s="2255"/>
      <c r="P63" s="2251"/>
    </row>
    <row r="64" spans="1:24">
      <c r="B64" s="2251" t="s">
        <v>1562</v>
      </c>
      <c r="E64" s="2255"/>
      <c r="G64" s="2255"/>
      <c r="I64" s="2255"/>
      <c r="J64" s="2255"/>
      <c r="K64" s="2255"/>
      <c r="L64" s="2255"/>
      <c r="M64" s="2255"/>
      <c r="P64" s="2251"/>
    </row>
    <row r="65" spans="2:16">
      <c r="B65" s="2252" t="s">
        <v>3994</v>
      </c>
      <c r="C65" s="2252">
        <f>C18</f>
        <v>3</v>
      </c>
      <c r="D65" s="2252" t="s">
        <v>901</v>
      </c>
      <c r="E65" s="2255">
        <f>32.5+2</f>
        <v>34.5</v>
      </c>
      <c r="F65" s="2252" t="s">
        <v>901</v>
      </c>
      <c r="G65" s="2255">
        <v>2</v>
      </c>
      <c r="H65" s="2252" t="s">
        <v>901</v>
      </c>
      <c r="I65" s="2255">
        <v>0.75</v>
      </c>
      <c r="J65" s="2255"/>
      <c r="K65" s="2255"/>
      <c r="L65" s="2255" t="s">
        <v>1039</v>
      </c>
      <c r="M65" s="2255">
        <f>C65*E65*G65*I65</f>
        <v>155.25</v>
      </c>
      <c r="N65" s="2252" t="s">
        <v>3995</v>
      </c>
      <c r="P65" s="2251"/>
    </row>
    <row r="66" spans="2:16">
      <c r="B66" s="2252" t="s">
        <v>3983</v>
      </c>
      <c r="C66" s="2252">
        <f>C47</f>
        <v>2</v>
      </c>
      <c r="D66" s="2252" t="s">
        <v>901</v>
      </c>
      <c r="E66" s="2255">
        <f>21.66-2</f>
        <v>19.66</v>
      </c>
      <c r="F66" s="2252" t="s">
        <v>901</v>
      </c>
      <c r="G66" s="2255">
        <v>2</v>
      </c>
      <c r="H66" s="2252" t="s">
        <v>901</v>
      </c>
      <c r="I66" s="2255">
        <v>0.75</v>
      </c>
      <c r="J66" s="2255"/>
      <c r="K66" s="2255"/>
      <c r="L66" s="2255" t="s">
        <v>1039</v>
      </c>
      <c r="M66" s="2255">
        <f>C66*E66*G66*I66</f>
        <v>58.980000000000004</v>
      </c>
      <c r="N66" s="2252" t="s">
        <v>3995</v>
      </c>
      <c r="P66" s="2251"/>
    </row>
    <row r="67" spans="2:16">
      <c r="C67" s="2252">
        <v>0</v>
      </c>
      <c r="D67" s="2252" t="s">
        <v>901</v>
      </c>
      <c r="E67" s="2255">
        <f>E20</f>
        <v>13</v>
      </c>
      <c r="F67" s="2252" t="s">
        <v>901</v>
      </c>
      <c r="G67" s="2255">
        <v>2</v>
      </c>
      <c r="H67" s="2252" t="s">
        <v>901</v>
      </c>
      <c r="I67" s="2255">
        <v>0.75</v>
      </c>
      <c r="J67" s="2255"/>
      <c r="K67" s="2255"/>
      <c r="L67" s="2255" t="s">
        <v>1039</v>
      </c>
      <c r="M67" s="2255">
        <f>C67*E67*G67*I67</f>
        <v>0</v>
      </c>
      <c r="N67" s="2252" t="s">
        <v>3995</v>
      </c>
      <c r="P67" s="2251"/>
    </row>
    <row r="68" spans="2:16">
      <c r="B68" s="2251" t="s">
        <v>1945</v>
      </c>
      <c r="E68" s="2255"/>
      <c r="G68" s="2255"/>
      <c r="I68" s="2255"/>
      <c r="J68" s="2255"/>
      <c r="K68" s="2255"/>
      <c r="L68" s="2255"/>
      <c r="M68" s="2255"/>
      <c r="P68" s="2251"/>
    </row>
    <row r="69" spans="2:16">
      <c r="B69" s="2252" t="s">
        <v>3994</v>
      </c>
      <c r="C69" s="2252">
        <f>C65</f>
        <v>3</v>
      </c>
      <c r="D69" s="2252" t="s">
        <v>901</v>
      </c>
      <c r="E69" s="2255">
        <f>32.5+1.67</f>
        <v>34.17</v>
      </c>
      <c r="F69" s="2252" t="s">
        <v>901</v>
      </c>
      <c r="G69" s="2255">
        <v>1.67</v>
      </c>
      <c r="H69" s="2252" t="s">
        <v>901</v>
      </c>
      <c r="I69" s="2255">
        <v>1.5</v>
      </c>
      <c r="J69" s="2255"/>
      <c r="K69" s="2255"/>
      <c r="L69" s="2255" t="s">
        <v>1039</v>
      </c>
      <c r="M69" s="2255">
        <f>C69*E69*G69*I69</f>
        <v>256.78755000000001</v>
      </c>
      <c r="N69" s="2252" t="s">
        <v>3995</v>
      </c>
      <c r="P69" s="2251"/>
    </row>
    <row r="70" spans="2:16">
      <c r="B70" s="2252" t="s">
        <v>3983</v>
      </c>
      <c r="C70" s="2252">
        <f>C66</f>
        <v>2</v>
      </c>
      <c r="D70" s="2252" t="s">
        <v>901</v>
      </c>
      <c r="E70" s="2255">
        <f>21.66-1.67</f>
        <v>19.990000000000002</v>
      </c>
      <c r="F70" s="2252" t="s">
        <v>901</v>
      </c>
      <c r="G70" s="2255">
        <v>1.67</v>
      </c>
      <c r="H70" s="2252" t="s">
        <v>901</v>
      </c>
      <c r="I70" s="2255">
        <v>1.5</v>
      </c>
      <c r="J70" s="2255"/>
      <c r="K70" s="2255"/>
      <c r="L70" s="2255" t="s">
        <v>1039</v>
      </c>
      <c r="M70" s="2255">
        <f>C70*E70*G70*I70</f>
        <v>100.1499</v>
      </c>
      <c r="N70" s="2252" t="s">
        <v>3995</v>
      </c>
      <c r="P70" s="2251"/>
    </row>
    <row r="71" spans="2:16" hidden="1">
      <c r="C71" s="2252">
        <f>C67</f>
        <v>0</v>
      </c>
      <c r="D71" s="2252" t="s">
        <v>901</v>
      </c>
      <c r="E71" s="2255">
        <f>15-1.67</f>
        <v>13.33</v>
      </c>
      <c r="F71" s="2252" t="s">
        <v>901</v>
      </c>
      <c r="G71" s="2255">
        <v>1.67</v>
      </c>
      <c r="H71" s="2252" t="s">
        <v>901</v>
      </c>
      <c r="I71" s="2255">
        <v>1.5</v>
      </c>
      <c r="J71" s="2255"/>
      <c r="K71" s="2255"/>
      <c r="L71" s="2255" t="s">
        <v>1039</v>
      </c>
      <c r="M71" s="2255">
        <f>C71*E71*G71*I71</f>
        <v>0</v>
      </c>
      <c r="N71" s="2252" t="s">
        <v>3995</v>
      </c>
      <c r="P71" s="2251"/>
    </row>
    <row r="72" spans="2:16">
      <c r="B72" s="2252" t="s">
        <v>3984</v>
      </c>
      <c r="C72" s="2252">
        <v>2</v>
      </c>
      <c r="D72" s="2252" t="s">
        <v>901</v>
      </c>
      <c r="E72" s="2255">
        <f>11+0.83-0.83</f>
        <v>11</v>
      </c>
      <c r="F72" s="2252" t="s">
        <v>901</v>
      </c>
      <c r="G72" s="2255">
        <v>1.67</v>
      </c>
      <c r="H72" s="2252" t="s">
        <v>901</v>
      </c>
      <c r="I72" s="2255">
        <v>1.5</v>
      </c>
      <c r="J72" s="2255"/>
      <c r="K72" s="2255"/>
      <c r="L72" s="2255" t="s">
        <v>1039</v>
      </c>
      <c r="M72" s="2255">
        <f>C72*E72*G72*I72</f>
        <v>55.109999999999992</v>
      </c>
      <c r="N72" s="2252" t="s">
        <v>3995</v>
      </c>
      <c r="P72" s="2251"/>
    </row>
    <row r="73" spans="2:16">
      <c r="C73" s="2252">
        <v>1</v>
      </c>
      <c r="D73" s="2252" t="s">
        <v>901</v>
      </c>
      <c r="E73" s="2255">
        <f>6-1.67</f>
        <v>4.33</v>
      </c>
      <c r="F73" s="2252" t="s">
        <v>901</v>
      </c>
      <c r="G73" s="2255">
        <v>1.67</v>
      </c>
      <c r="H73" s="2252" t="s">
        <v>901</v>
      </c>
      <c r="I73" s="2255">
        <v>1.5</v>
      </c>
      <c r="J73" s="2255"/>
      <c r="K73" s="2255"/>
      <c r="L73" s="2255"/>
      <c r="M73" s="2255">
        <f>C73*E73*G73*I73</f>
        <v>10.84665</v>
      </c>
      <c r="N73" s="2252" t="s">
        <v>3995</v>
      </c>
      <c r="P73" s="2251"/>
    </row>
    <row r="74" spans="2:16">
      <c r="B74" s="2251" t="s">
        <v>1946</v>
      </c>
      <c r="E74" s="2255"/>
      <c r="G74" s="2255"/>
      <c r="I74" s="2255"/>
      <c r="J74" s="2255"/>
      <c r="K74" s="2255"/>
      <c r="L74" s="2255"/>
      <c r="M74" s="2255"/>
      <c r="P74" s="2251"/>
    </row>
    <row r="75" spans="2:16">
      <c r="B75" s="2252" t="s">
        <v>3994</v>
      </c>
      <c r="C75" s="2252">
        <f>C65</f>
        <v>3</v>
      </c>
      <c r="D75" s="2252" t="s">
        <v>901</v>
      </c>
      <c r="E75" s="2255">
        <f>32.5+1</f>
        <v>33.5</v>
      </c>
      <c r="F75" s="2252" t="s">
        <v>901</v>
      </c>
      <c r="G75" s="2255">
        <v>1</v>
      </c>
      <c r="H75" s="2252" t="s">
        <v>901</v>
      </c>
      <c r="I75" s="2255">
        <v>0.75</v>
      </c>
      <c r="J75" s="2255"/>
      <c r="K75" s="2255"/>
      <c r="L75" s="2255" t="s">
        <v>1039</v>
      </c>
      <c r="M75" s="2255">
        <f>C75*E75*G75*I75</f>
        <v>75.375</v>
      </c>
      <c r="N75" s="2252" t="str">
        <f>N73</f>
        <v>cuft</v>
      </c>
      <c r="P75" s="2251"/>
    </row>
    <row r="76" spans="2:16">
      <c r="B76" s="2252" t="s">
        <v>3983</v>
      </c>
      <c r="C76" s="2252">
        <v>2</v>
      </c>
      <c r="D76" s="2252" t="s">
        <v>901</v>
      </c>
      <c r="E76" s="2255">
        <f>21.66-1</f>
        <v>20.66</v>
      </c>
      <c r="F76" s="2252" t="s">
        <v>901</v>
      </c>
      <c r="G76" s="2255">
        <v>1</v>
      </c>
      <c r="H76" s="2252" t="s">
        <v>901</v>
      </c>
      <c r="I76" s="2255">
        <v>0.75</v>
      </c>
      <c r="J76" s="2255"/>
      <c r="K76" s="2255"/>
      <c r="L76" s="2255" t="s">
        <v>1039</v>
      </c>
      <c r="M76" s="2255">
        <f>C76*E76*G76*I76</f>
        <v>30.990000000000002</v>
      </c>
      <c r="N76" s="2252" t="str">
        <f>N75</f>
        <v>cuft</v>
      </c>
      <c r="P76" s="2251"/>
    </row>
    <row r="77" spans="2:16">
      <c r="C77" s="2252">
        <f>C71</f>
        <v>0</v>
      </c>
      <c r="D77" s="2252" t="s">
        <v>901</v>
      </c>
      <c r="E77" s="2255">
        <f>15-1</f>
        <v>14</v>
      </c>
      <c r="F77" s="2252" t="s">
        <v>901</v>
      </c>
      <c r="G77" s="2255">
        <v>1</v>
      </c>
      <c r="H77" s="2252" t="s">
        <v>901</v>
      </c>
      <c r="I77" s="2255">
        <v>0.75</v>
      </c>
      <c r="J77" s="2255"/>
      <c r="K77" s="2255"/>
      <c r="L77" s="2255"/>
      <c r="M77" s="2255">
        <f>C77*E77*G77*I77</f>
        <v>0</v>
      </c>
      <c r="N77" s="2252" t="str">
        <f>N75</f>
        <v>cuft</v>
      </c>
      <c r="P77" s="2251"/>
    </row>
    <row r="78" spans="2:16">
      <c r="B78" s="2251" t="s">
        <v>1790</v>
      </c>
      <c r="C78" s="2252">
        <v>2</v>
      </c>
      <c r="D78" s="2252" t="s">
        <v>901</v>
      </c>
      <c r="E78" s="2255">
        <f>11+0.5-0.5</f>
        <v>11</v>
      </c>
      <c r="F78" s="2252" t="s">
        <v>901</v>
      </c>
      <c r="G78" s="2255">
        <v>1</v>
      </c>
      <c r="H78" s="2252" t="s">
        <v>901</v>
      </c>
      <c r="I78" s="2255">
        <f>1</f>
        <v>1</v>
      </c>
      <c r="J78" s="2255"/>
      <c r="K78" s="2255"/>
      <c r="L78" s="2255" t="s">
        <v>1039</v>
      </c>
      <c r="M78" s="2255">
        <f>C78*E78*G78*I78</f>
        <v>22</v>
      </c>
      <c r="N78" s="2252" t="str">
        <f>N77</f>
        <v>cuft</v>
      </c>
      <c r="P78" s="2251"/>
    </row>
    <row r="79" spans="2:16">
      <c r="C79" s="2252">
        <v>1</v>
      </c>
      <c r="D79" s="2252" t="s">
        <v>901</v>
      </c>
      <c r="E79" s="2255">
        <f>6.52-1</f>
        <v>5.52</v>
      </c>
      <c r="F79" s="2252" t="s">
        <v>901</v>
      </c>
      <c r="G79" s="2255">
        <v>1</v>
      </c>
      <c r="H79" s="2252" t="s">
        <v>901</v>
      </c>
      <c r="I79" s="2255">
        <v>0.75</v>
      </c>
      <c r="J79" s="2255"/>
      <c r="K79" s="2255"/>
      <c r="L79" s="2257" t="s">
        <v>1039</v>
      </c>
      <c r="M79" s="2257">
        <f>C79*E79*G79*I79</f>
        <v>4.1399999999999997</v>
      </c>
      <c r="N79" s="2256" t="str">
        <f>N78</f>
        <v>cuft</v>
      </c>
      <c r="P79" s="2251"/>
    </row>
    <row r="80" spans="2:16">
      <c r="B80" s="2251" t="s">
        <v>928</v>
      </c>
      <c r="E80" s="2255"/>
      <c r="G80" s="2255"/>
      <c r="L80" s="2255" t="s">
        <v>1039</v>
      </c>
      <c r="M80" s="2253">
        <f>SUM(M65:M79)</f>
        <v>769.62909999999999</v>
      </c>
      <c r="N80" s="2251" t="s">
        <v>3996</v>
      </c>
      <c r="O80" s="2251"/>
      <c r="P80" s="2251"/>
    </row>
    <row r="81" spans="1:24" s="2251" customFormat="1">
      <c r="B81" s="2252" t="s">
        <v>1883</v>
      </c>
      <c r="C81" s="2252"/>
      <c r="D81" s="2252"/>
      <c r="E81" s="2255"/>
      <c r="F81" s="2252"/>
      <c r="G81" s="2255"/>
      <c r="H81" s="2252"/>
      <c r="I81" s="2255"/>
      <c r="J81" s="2255"/>
      <c r="K81" s="2255"/>
      <c r="L81" s="2253"/>
      <c r="M81" s="2255"/>
    </row>
    <row r="82" spans="1:24" s="2251" customFormat="1">
      <c r="B82" s="2252" t="s">
        <v>1773</v>
      </c>
      <c r="C82" s="2252">
        <v>12</v>
      </c>
      <c r="D82" s="2252" t="s">
        <v>901</v>
      </c>
      <c r="E82" s="2255">
        <v>2</v>
      </c>
      <c r="F82" s="2252" t="s">
        <v>901</v>
      </c>
      <c r="G82" s="2255">
        <v>2</v>
      </c>
      <c r="H82" s="2252" t="s">
        <v>901</v>
      </c>
      <c r="I82" s="2255">
        <v>0.33</v>
      </c>
      <c r="J82" s="2255"/>
      <c r="K82" s="2255"/>
      <c r="L82" s="2255" t="s">
        <v>1039</v>
      </c>
      <c r="M82" s="2255">
        <f>C82*E82*G82*I82</f>
        <v>15.84</v>
      </c>
    </row>
    <row r="83" spans="1:24" s="2251" customFormat="1" hidden="1">
      <c r="B83" s="2252"/>
      <c r="C83" s="2252">
        <v>0</v>
      </c>
      <c r="D83" s="2252" t="s">
        <v>901</v>
      </c>
      <c r="E83" s="2255">
        <v>1.25</v>
      </c>
      <c r="F83" s="2252" t="s">
        <v>901</v>
      </c>
      <c r="G83" s="2255">
        <v>0.83</v>
      </c>
      <c r="H83" s="2252" t="s">
        <v>901</v>
      </c>
      <c r="I83" s="2255">
        <v>2.5</v>
      </c>
      <c r="J83" s="2255"/>
      <c r="K83" s="2255"/>
      <c r="L83" s="2255" t="s">
        <v>1039</v>
      </c>
      <c r="M83" s="2255">
        <f>C83*E83*G83*I83</f>
        <v>0</v>
      </c>
    </row>
    <row r="84" spans="1:24" s="2251" customFormat="1" hidden="1">
      <c r="B84" s="2252"/>
      <c r="C84" s="2252">
        <v>0</v>
      </c>
      <c r="D84" s="2252" t="s">
        <v>901</v>
      </c>
      <c r="E84" s="2255">
        <v>0.83</v>
      </c>
      <c r="F84" s="2252" t="s">
        <v>901</v>
      </c>
      <c r="G84" s="2255">
        <v>0.83</v>
      </c>
      <c r="H84" s="2252" t="s">
        <v>901</v>
      </c>
      <c r="I84" s="2255">
        <f>0.83+1.67</f>
        <v>2.5</v>
      </c>
      <c r="J84" s="2255"/>
      <c r="K84" s="2255"/>
      <c r="L84" s="2257" t="s">
        <v>1039</v>
      </c>
      <c r="M84" s="2257">
        <f>C84*E84*G84*I84</f>
        <v>0</v>
      </c>
      <c r="N84" s="2258"/>
    </row>
    <row r="85" spans="1:24" s="2251" customFormat="1">
      <c r="B85" s="2251" t="s">
        <v>928</v>
      </c>
      <c r="E85" s="2253"/>
      <c r="G85" s="2253"/>
      <c r="I85" s="2253"/>
      <c r="J85" s="2253"/>
      <c r="K85" s="2253"/>
      <c r="L85" s="2261" t="s">
        <v>3985</v>
      </c>
      <c r="M85" s="2261">
        <f>SUM(M82:M84)</f>
        <v>15.84</v>
      </c>
      <c r="N85" s="2258" t="s">
        <v>3981</v>
      </c>
    </row>
    <row r="86" spans="1:24" s="2251" customFormat="1">
      <c r="B86" s="2251" t="s">
        <v>3997</v>
      </c>
      <c r="E86" s="2253"/>
      <c r="G86" s="2253"/>
      <c r="I86" s="2253"/>
      <c r="J86" s="2253"/>
      <c r="K86" s="2253"/>
      <c r="L86" s="2253" t="s">
        <v>1039</v>
      </c>
      <c r="M86" s="2253">
        <f>M80-M85</f>
        <v>753.78909999999996</v>
      </c>
      <c r="N86" s="2251" t="s">
        <v>3981</v>
      </c>
    </row>
    <row r="87" spans="1:24">
      <c r="B87" s="2251" t="s">
        <v>379</v>
      </c>
      <c r="C87" s="2253">
        <f xml:space="preserve"> ROUND(M86*0.0283,2)</f>
        <v>21.33</v>
      </c>
      <c r="D87" s="2251" t="s">
        <v>3987</v>
      </c>
      <c r="E87" s="2253" t="s">
        <v>1552</v>
      </c>
      <c r="F87" s="2251" t="s">
        <v>932</v>
      </c>
      <c r="G87" s="2253">
        <f>'Lead &amp; ANALYSIS'!K2298</f>
        <v>5235.6000000000004</v>
      </c>
      <c r="H87" s="2251" t="s">
        <v>3988</v>
      </c>
      <c r="I87" s="2253" t="s">
        <v>3987</v>
      </c>
      <c r="J87" s="2253"/>
      <c r="K87" s="2253"/>
      <c r="L87" s="2251"/>
      <c r="M87" s="2251" t="s">
        <v>1039</v>
      </c>
      <c r="N87" s="2251" t="s">
        <v>932</v>
      </c>
      <c r="O87" s="2253">
        <f>C87*G87</f>
        <v>111675.348</v>
      </c>
      <c r="R87" s="2253"/>
    </row>
    <row r="88" spans="1:24">
      <c r="B88" s="2251"/>
      <c r="C88" s="2253"/>
      <c r="D88" s="2251"/>
      <c r="E88" s="2253"/>
      <c r="F88" s="2251"/>
      <c r="G88" s="2253"/>
      <c r="H88" s="2251"/>
      <c r="I88" s="2253"/>
      <c r="J88" s="2253"/>
      <c r="K88" s="2253"/>
      <c r="L88" s="2251"/>
      <c r="M88" s="2251"/>
      <c r="N88" s="2251"/>
      <c r="O88" s="2253"/>
      <c r="R88" s="2253"/>
    </row>
    <row r="89" spans="1:24" ht="42.95" customHeight="1">
      <c r="A89" s="2251">
        <v>4</v>
      </c>
      <c r="B89" s="3042" t="s">
        <v>3998</v>
      </c>
      <c r="C89" s="3042"/>
      <c r="D89" s="3042"/>
      <c r="E89" s="3042"/>
      <c r="F89" s="3042"/>
      <c r="G89" s="3042"/>
      <c r="H89" s="3042"/>
      <c r="I89" s="3042"/>
      <c r="J89" s="3042"/>
      <c r="K89" s="3042"/>
      <c r="L89" s="3042"/>
      <c r="M89" s="2253"/>
      <c r="N89" s="2255"/>
      <c r="O89" s="2251"/>
      <c r="P89" s="2253"/>
    </row>
    <row r="90" spans="1:24" ht="12.75" customHeight="1">
      <c r="B90" s="2251" t="s">
        <v>3999</v>
      </c>
      <c r="E90" s="2255"/>
      <c r="G90" s="2255"/>
      <c r="I90" s="2255"/>
      <c r="J90" s="2255"/>
      <c r="K90" s="2255"/>
      <c r="L90" s="2255"/>
      <c r="M90" s="2255"/>
      <c r="S90" s="2255"/>
      <c r="U90" s="2255"/>
      <c r="W90" s="2255"/>
      <c r="X90" s="2255"/>
    </row>
    <row r="91" spans="1:24" ht="12.75" customHeight="1">
      <c r="B91" s="2252" t="s">
        <v>1773</v>
      </c>
      <c r="C91" s="2252">
        <f>C17</f>
        <v>12</v>
      </c>
      <c r="D91" s="2252" t="s">
        <v>901</v>
      </c>
      <c r="E91" s="2255">
        <f>E17</f>
        <v>4.5</v>
      </c>
      <c r="F91" s="2255" t="str">
        <f>F17</f>
        <v>x</v>
      </c>
      <c r="G91" s="2255">
        <f>G17</f>
        <v>4.5</v>
      </c>
      <c r="H91" s="2252" t="s">
        <v>901</v>
      </c>
      <c r="I91" s="2255">
        <v>0.5</v>
      </c>
      <c r="J91" s="2255"/>
      <c r="K91" s="2255"/>
      <c r="L91" s="2255" t="s">
        <v>1039</v>
      </c>
      <c r="M91" s="2255">
        <f>C91*E91*G91*I91</f>
        <v>121.5</v>
      </c>
      <c r="N91" s="2252" t="str">
        <f>N79</f>
        <v>cuft</v>
      </c>
      <c r="S91" s="2255"/>
      <c r="U91" s="2255"/>
      <c r="W91" s="2255"/>
      <c r="X91" s="2255"/>
    </row>
    <row r="92" spans="1:24">
      <c r="B92" s="2252" t="s">
        <v>4000</v>
      </c>
      <c r="C92" s="2252">
        <f>C65</f>
        <v>3</v>
      </c>
      <c r="D92" s="2252" t="s">
        <v>901</v>
      </c>
      <c r="E92" s="2255">
        <f>E46</f>
        <v>34.5</v>
      </c>
      <c r="F92" s="2252" t="s">
        <v>901</v>
      </c>
      <c r="G92" s="2255">
        <f>G18</f>
        <v>2.5</v>
      </c>
      <c r="H92" s="2252" t="s">
        <v>901</v>
      </c>
      <c r="I92" s="2255">
        <v>0.33</v>
      </c>
      <c r="J92" s="2255"/>
      <c r="K92" s="2255"/>
      <c r="L92" s="2255" t="s">
        <v>1039</v>
      </c>
      <c r="M92" s="2255">
        <f>C92*E92*G92*I92</f>
        <v>85.387500000000003</v>
      </c>
      <c r="N92" s="2252" t="str">
        <f>N80</f>
        <v>cft.</v>
      </c>
      <c r="S92" s="2255"/>
      <c r="U92" s="2255"/>
      <c r="W92" s="2255"/>
      <c r="X92" s="2255"/>
    </row>
    <row r="93" spans="1:24">
      <c r="B93" s="2252" t="s">
        <v>3983</v>
      </c>
      <c r="C93" s="2252">
        <v>2</v>
      </c>
      <c r="D93" s="2252" t="s">
        <v>901</v>
      </c>
      <c r="E93" s="2255">
        <f>E47</f>
        <v>19.66</v>
      </c>
      <c r="F93" s="2252" t="s">
        <v>901</v>
      </c>
      <c r="G93" s="2255">
        <f>G92</f>
        <v>2.5</v>
      </c>
      <c r="H93" s="2252" t="s">
        <v>901</v>
      </c>
      <c r="I93" s="2255">
        <v>0.33</v>
      </c>
      <c r="L93" s="2255" t="s">
        <v>1039</v>
      </c>
      <c r="M93" s="2255">
        <f>C93*E93*G93*I93</f>
        <v>32.439</v>
      </c>
      <c r="N93" s="2252" t="str">
        <f>N91</f>
        <v>cuft</v>
      </c>
      <c r="S93" s="2255"/>
      <c r="U93" s="2255"/>
      <c r="W93" s="2255"/>
      <c r="X93" s="2255"/>
    </row>
    <row r="94" spans="1:24">
      <c r="B94" s="2252" t="s">
        <v>1790</v>
      </c>
      <c r="C94" s="2252">
        <v>2</v>
      </c>
      <c r="D94" s="2252" t="s">
        <v>901</v>
      </c>
      <c r="E94" s="2255">
        <f>11+1-2</f>
        <v>10</v>
      </c>
      <c r="F94" s="2252" t="s">
        <v>901</v>
      </c>
      <c r="G94" s="2255">
        <v>2</v>
      </c>
      <c r="H94" s="2252" t="s">
        <v>901</v>
      </c>
      <c r="I94" s="2255">
        <v>0.33</v>
      </c>
      <c r="J94" s="2255"/>
      <c r="K94" s="2255"/>
      <c r="L94" s="2255" t="s">
        <v>1039</v>
      </c>
      <c r="M94" s="2255">
        <f>C94*E94*G94*I94</f>
        <v>13.200000000000001</v>
      </c>
      <c r="N94" s="2252" t="str">
        <f>N91</f>
        <v>cuft</v>
      </c>
      <c r="P94" s="2251"/>
      <c r="S94" s="2255"/>
      <c r="U94" s="2255"/>
      <c r="W94" s="2255"/>
      <c r="X94" s="2262"/>
    </row>
    <row r="95" spans="1:24">
      <c r="B95" s="2252" t="s">
        <v>1804</v>
      </c>
      <c r="C95" s="2252">
        <v>1</v>
      </c>
      <c r="D95" s="2252" t="s">
        <v>901</v>
      </c>
      <c r="E95" s="2255">
        <f>6.52-2</f>
        <v>4.5199999999999996</v>
      </c>
      <c r="F95" s="2252" t="s">
        <v>901</v>
      </c>
      <c r="G95" s="2255">
        <f>G49</f>
        <v>2.5</v>
      </c>
      <c r="H95" s="2252" t="s">
        <v>901</v>
      </c>
      <c r="I95" s="2255">
        <v>0.33</v>
      </c>
      <c r="J95" s="2255"/>
      <c r="K95" s="2255"/>
      <c r="L95" s="2255" t="s">
        <v>1039</v>
      </c>
      <c r="M95" s="2255">
        <f>C95*E95*G95*I95</f>
        <v>3.7289999999999996</v>
      </c>
      <c r="N95" s="2252" t="str">
        <f>N91</f>
        <v>cuft</v>
      </c>
      <c r="P95" s="2251"/>
      <c r="S95" s="2255"/>
      <c r="U95" s="2255"/>
      <c r="W95" s="2255"/>
      <c r="X95" s="2262"/>
    </row>
    <row r="96" spans="1:24">
      <c r="B96" s="2252" t="s">
        <v>4001</v>
      </c>
      <c r="E96" s="2255"/>
      <c r="G96" s="2255"/>
      <c r="I96" s="2255"/>
      <c r="J96" s="2255"/>
      <c r="K96" s="2255"/>
      <c r="L96" s="2255"/>
      <c r="M96" s="2255"/>
      <c r="S96" s="2255"/>
      <c r="U96" s="2255"/>
      <c r="W96" s="2255"/>
      <c r="X96" s="2262"/>
    </row>
    <row r="97" spans="2:24">
      <c r="C97" s="2252">
        <v>1</v>
      </c>
      <c r="D97" s="2252" t="s">
        <v>901</v>
      </c>
      <c r="E97" s="2255">
        <f>E52</f>
        <v>31.66</v>
      </c>
      <c r="F97" s="2252" t="s">
        <v>901</v>
      </c>
      <c r="G97" s="2255">
        <f>G52</f>
        <v>15</v>
      </c>
      <c r="H97" s="2252" t="s">
        <v>901</v>
      </c>
      <c r="I97" s="2255">
        <v>1.66</v>
      </c>
      <c r="J97" s="2255"/>
      <c r="K97" s="2255"/>
      <c r="L97" s="2255"/>
      <c r="M97" s="2255">
        <f>C97*E97*G97*I97</f>
        <v>788.33399999999995</v>
      </c>
      <c r="N97" s="2252" t="str">
        <f>N86</f>
        <v>cft</v>
      </c>
      <c r="S97" s="2255"/>
      <c r="U97" s="2255"/>
      <c r="W97" s="2255"/>
      <c r="X97" s="2262"/>
    </row>
    <row r="98" spans="2:24">
      <c r="B98" s="2252" t="s">
        <v>2991</v>
      </c>
      <c r="C98" s="2252">
        <v>1</v>
      </c>
      <c r="D98" s="2252" t="s">
        <v>901</v>
      </c>
      <c r="E98" s="2255">
        <f>E97</f>
        <v>31.66</v>
      </c>
      <c r="F98" s="2252" t="s">
        <v>901</v>
      </c>
      <c r="G98" s="2255">
        <v>5</v>
      </c>
      <c r="H98" s="2252" t="s">
        <v>901</v>
      </c>
      <c r="I98" s="2255">
        <v>1.66</v>
      </c>
      <c r="J98" s="2255"/>
      <c r="K98" s="2255"/>
      <c r="L98" s="2255" t="s">
        <v>1039</v>
      </c>
      <c r="M98" s="2255">
        <f>C98*E98*G98*I98</f>
        <v>262.77800000000002</v>
      </c>
      <c r="N98" s="2252" t="str">
        <f>N97</f>
        <v>cft</v>
      </c>
      <c r="S98" s="2255"/>
      <c r="U98" s="2255"/>
      <c r="W98" s="2255"/>
      <c r="X98" s="2262"/>
    </row>
    <row r="99" spans="2:24" hidden="1">
      <c r="B99" s="2252" t="s">
        <v>4002</v>
      </c>
      <c r="C99" s="2252">
        <v>0</v>
      </c>
      <c r="D99" s="2252" t="s">
        <v>901</v>
      </c>
      <c r="E99" s="2255">
        <v>5</v>
      </c>
      <c r="F99" s="2252" t="s">
        <v>901</v>
      </c>
      <c r="G99" s="2255">
        <v>7</v>
      </c>
      <c r="H99" s="2252" t="s">
        <v>901</v>
      </c>
      <c r="I99" s="2255">
        <v>1.66</v>
      </c>
      <c r="J99" s="2255"/>
      <c r="K99" s="2255"/>
      <c r="L99" s="2255" t="s">
        <v>1039</v>
      </c>
      <c r="M99" s="2255">
        <f>C99*E99*G99*I99</f>
        <v>0</v>
      </c>
      <c r="N99" s="2252" t="str">
        <f>N97</f>
        <v>cft</v>
      </c>
      <c r="S99" s="2255"/>
      <c r="U99" s="2255"/>
      <c r="W99" s="2255"/>
      <c r="X99" s="2262"/>
    </row>
    <row r="100" spans="2:24" hidden="1">
      <c r="B100" s="2252" t="s">
        <v>3993</v>
      </c>
      <c r="C100" s="2252">
        <v>0</v>
      </c>
      <c r="D100" s="2252" t="s">
        <v>901</v>
      </c>
      <c r="E100" s="2255">
        <v>7</v>
      </c>
      <c r="F100" s="2252" t="s">
        <v>901</v>
      </c>
      <c r="G100" s="2255">
        <v>9</v>
      </c>
      <c r="H100" s="2252" t="s">
        <v>901</v>
      </c>
      <c r="I100" s="2255">
        <v>1.66</v>
      </c>
      <c r="J100" s="2255"/>
      <c r="K100" s="2255"/>
      <c r="L100" s="2257" t="s">
        <v>1039</v>
      </c>
      <c r="M100" s="2257">
        <f>C100*E100*G100*I100</f>
        <v>0</v>
      </c>
      <c r="N100" s="2252" t="str">
        <f>N97</f>
        <v>cft</v>
      </c>
      <c r="S100" s="2255"/>
      <c r="U100" s="2255"/>
      <c r="W100" s="2255"/>
      <c r="X100" s="2262"/>
    </row>
    <row r="101" spans="2:24">
      <c r="B101" s="2252" t="s">
        <v>3984</v>
      </c>
      <c r="C101" s="2252">
        <v>1</v>
      </c>
      <c r="D101" s="2252" t="s">
        <v>901</v>
      </c>
      <c r="E101" s="2255">
        <v>10</v>
      </c>
      <c r="F101" s="2252" t="s">
        <v>901</v>
      </c>
      <c r="G101" s="2255">
        <v>5</v>
      </c>
      <c r="H101" s="2252" t="s">
        <v>901</v>
      </c>
      <c r="I101" s="2255">
        <v>1</v>
      </c>
      <c r="J101" s="2255"/>
      <c r="K101" s="2255"/>
      <c r="L101" s="2255"/>
      <c r="M101" s="2255">
        <f>SUM(M91:M100)</f>
        <v>1307.3675000000001</v>
      </c>
      <c r="S101" s="2255"/>
      <c r="U101" s="2255"/>
      <c r="W101" s="2255"/>
      <c r="X101" s="2262"/>
    </row>
    <row r="102" spans="2:24">
      <c r="B102" s="2251" t="s">
        <v>928</v>
      </c>
      <c r="E102" s="2255"/>
      <c r="G102" s="2255"/>
      <c r="L102" s="2255" t="s">
        <v>1039</v>
      </c>
      <c r="M102" s="2253">
        <f>SUM(M91:M101)</f>
        <v>2614.7350000000001</v>
      </c>
      <c r="N102" s="2251" t="s">
        <v>3996</v>
      </c>
      <c r="O102" s="2251"/>
      <c r="Q102" s="2253"/>
      <c r="R102" s="2251"/>
      <c r="S102" s="2251"/>
      <c r="T102" s="2251"/>
      <c r="U102" s="2251"/>
      <c r="V102" s="2251"/>
      <c r="W102" s="2251"/>
      <c r="X102" s="2253"/>
    </row>
    <row r="103" spans="2:24" s="2251" customFormat="1">
      <c r="B103" s="2251" t="s">
        <v>1883</v>
      </c>
      <c r="E103" s="2253"/>
      <c r="G103" s="2253"/>
      <c r="I103" s="2253"/>
      <c r="J103" s="2253"/>
      <c r="K103" s="2253"/>
      <c r="L103" s="2253"/>
      <c r="M103" s="2253"/>
      <c r="Q103" s="2252"/>
      <c r="R103" s="2252"/>
      <c r="S103" s="2255">
        <f>81/366.79</f>
        <v>0.22083481010932685</v>
      </c>
      <c r="T103" s="2252"/>
      <c r="U103" s="2255"/>
      <c r="V103" s="2252"/>
      <c r="W103" s="2255"/>
      <c r="X103" s="2255"/>
    </row>
    <row r="104" spans="2:24">
      <c r="B104" s="2252" t="s">
        <v>1773</v>
      </c>
      <c r="C104" s="2252">
        <f>C91</f>
        <v>12</v>
      </c>
      <c r="D104" s="2252" t="s">
        <v>901</v>
      </c>
      <c r="E104" s="2255">
        <v>4</v>
      </c>
      <c r="F104" s="2252" t="s">
        <v>901</v>
      </c>
      <c r="G104" s="2255">
        <v>4</v>
      </c>
      <c r="H104" s="2252" t="s">
        <v>901</v>
      </c>
      <c r="I104" s="2255">
        <v>0.33</v>
      </c>
      <c r="J104" s="2255"/>
      <c r="K104" s="2255"/>
      <c r="L104" s="2255" t="s">
        <v>1039</v>
      </c>
      <c r="M104" s="2255">
        <f>C104*E104*G104*I104</f>
        <v>63.36</v>
      </c>
      <c r="N104" s="2252" t="str">
        <f>N102</f>
        <v>cft.</v>
      </c>
      <c r="S104" s="2255"/>
      <c r="U104" s="2255"/>
      <c r="W104" s="2255"/>
      <c r="X104" s="2255"/>
    </row>
    <row r="105" spans="2:24" hidden="1">
      <c r="C105" s="2252">
        <v>0</v>
      </c>
      <c r="D105" s="2252" t="s">
        <v>901</v>
      </c>
      <c r="E105" s="2255">
        <v>4</v>
      </c>
      <c r="F105" s="2252" t="s">
        <v>901</v>
      </c>
      <c r="G105" s="2255">
        <v>4</v>
      </c>
      <c r="H105" s="2252" t="s">
        <v>901</v>
      </c>
      <c r="I105" s="2255">
        <v>1</v>
      </c>
      <c r="J105" s="2255"/>
      <c r="K105" s="2255"/>
      <c r="L105" s="2255" t="s">
        <v>1039</v>
      </c>
      <c r="M105" s="2255">
        <f>C105*E105*G105*I105</f>
        <v>0</v>
      </c>
      <c r="S105" s="2255"/>
      <c r="U105" s="2255"/>
      <c r="W105" s="2255"/>
      <c r="X105" s="2255"/>
    </row>
    <row r="106" spans="2:24">
      <c r="C106" s="2252">
        <f>C104</f>
        <v>12</v>
      </c>
      <c r="D106" s="2252" t="s">
        <v>901</v>
      </c>
      <c r="E106" s="2255">
        <v>2</v>
      </c>
      <c r="F106" s="2252" t="s">
        <v>901</v>
      </c>
      <c r="G106" s="2255">
        <v>2</v>
      </c>
      <c r="H106" s="2252" t="s">
        <v>901</v>
      </c>
      <c r="I106" s="2255">
        <f>1.16</f>
        <v>1.1599999999999999</v>
      </c>
      <c r="J106" s="2255"/>
      <c r="K106" s="2255"/>
      <c r="L106" s="2255" t="s">
        <v>1039</v>
      </c>
      <c r="M106" s="2255">
        <f>C106*E106*G106*I106</f>
        <v>55.679999999999993</v>
      </c>
      <c r="N106" s="2252" t="str">
        <f>N102</f>
        <v>cft.</v>
      </c>
      <c r="S106" s="2255"/>
      <c r="U106" s="2255"/>
      <c r="W106" s="2255"/>
      <c r="X106" s="2255"/>
    </row>
    <row r="107" spans="2:24">
      <c r="C107" s="2252">
        <v>12</v>
      </c>
      <c r="D107" s="2252" t="s">
        <v>901</v>
      </c>
      <c r="E107" s="2255">
        <v>1.25</v>
      </c>
      <c r="F107" s="2252" t="s">
        <v>901</v>
      </c>
      <c r="G107" s="2255">
        <v>0.83</v>
      </c>
      <c r="H107" s="2252" t="s">
        <v>901</v>
      </c>
      <c r="I107" s="2255">
        <v>0.83</v>
      </c>
      <c r="J107" s="2255"/>
      <c r="K107" s="2255"/>
      <c r="L107" s="2255" t="s">
        <v>1039</v>
      </c>
      <c r="M107" s="2255">
        <f>C107*E107*G107*I107</f>
        <v>10.333499999999999</v>
      </c>
      <c r="N107" s="2252" t="str">
        <f>N102</f>
        <v>cft.</v>
      </c>
      <c r="S107" s="2255"/>
      <c r="U107" s="2255"/>
      <c r="W107" s="2255"/>
      <c r="X107" s="2255"/>
    </row>
    <row r="108" spans="2:24" hidden="1">
      <c r="C108" s="2252">
        <v>0</v>
      </c>
      <c r="D108" s="2252" t="s">
        <v>901</v>
      </c>
      <c r="E108" s="2255">
        <v>0.83</v>
      </c>
      <c r="F108" s="2252" t="s">
        <v>901</v>
      </c>
      <c r="G108" s="2255">
        <v>0.83</v>
      </c>
      <c r="H108" s="2252" t="s">
        <v>901</v>
      </c>
      <c r="I108" s="2255">
        <v>0.83</v>
      </c>
      <c r="J108" s="2255"/>
      <c r="K108" s="2255"/>
      <c r="L108" s="2255" t="s">
        <v>1039</v>
      </c>
      <c r="M108" s="2255">
        <f>C108*E108*G108*I108</f>
        <v>0</v>
      </c>
      <c r="S108" s="2255"/>
      <c r="U108" s="2255"/>
      <c r="W108" s="2255"/>
      <c r="X108" s="2255"/>
    </row>
    <row r="109" spans="2:24">
      <c r="B109" s="2251" t="s">
        <v>928</v>
      </c>
      <c r="C109" s="2251"/>
      <c r="D109" s="2251"/>
      <c r="E109" s="2253"/>
      <c r="F109" s="2251"/>
      <c r="G109" s="2253"/>
      <c r="H109" s="2251"/>
      <c r="I109" s="2253"/>
      <c r="J109" s="2253"/>
      <c r="K109" s="2253"/>
      <c r="L109" s="2261" t="s">
        <v>3985</v>
      </c>
      <c r="M109" s="2261">
        <f>SUM(M104:M108)</f>
        <v>129.37349999999998</v>
      </c>
      <c r="N109" s="2258" t="s">
        <v>3981</v>
      </c>
      <c r="S109" s="2255"/>
      <c r="U109" s="2255"/>
      <c r="W109" s="2255"/>
      <c r="X109" s="2255"/>
    </row>
    <row r="110" spans="2:24" s="2251" customFormat="1">
      <c r="B110" s="2251" t="s">
        <v>3986</v>
      </c>
      <c r="E110" s="2253"/>
      <c r="G110" s="2253"/>
      <c r="I110" s="2253"/>
      <c r="J110" s="2253"/>
      <c r="K110" s="2253"/>
      <c r="L110" s="2253" t="s">
        <v>1039</v>
      </c>
      <c r="M110" s="2253">
        <f>M102-M109</f>
        <v>2485.3615</v>
      </c>
      <c r="N110" s="2251" t="s">
        <v>3981</v>
      </c>
      <c r="Q110" s="2252"/>
      <c r="R110" s="2252"/>
      <c r="S110" s="2255"/>
      <c r="T110" s="2252"/>
      <c r="U110" s="2255"/>
      <c r="V110" s="2252"/>
      <c r="W110" s="2255"/>
      <c r="X110" s="2255"/>
    </row>
    <row r="111" spans="2:24">
      <c r="B111" s="2251" t="s">
        <v>379</v>
      </c>
      <c r="C111" s="2253">
        <f>ROUND(M110*0.0283,2)-0.22</f>
        <v>70.12</v>
      </c>
      <c r="D111" s="2251" t="s">
        <v>3987</v>
      </c>
      <c r="E111" s="2253" t="s">
        <v>1552</v>
      </c>
      <c r="F111" s="2251" t="s">
        <v>932</v>
      </c>
      <c r="G111" s="2253">
        <f>'Lead &amp; ANALYSIS'!L399</f>
        <v>726.2</v>
      </c>
      <c r="H111" s="2251" t="s">
        <v>3988</v>
      </c>
      <c r="I111" s="2253" t="s">
        <v>3987</v>
      </c>
      <c r="J111" s="2253"/>
      <c r="K111" s="2253"/>
      <c r="L111" s="2251"/>
      <c r="M111" s="2251" t="s">
        <v>1039</v>
      </c>
      <c r="N111" s="2251" t="s">
        <v>932</v>
      </c>
      <c r="O111" s="2253">
        <f>C111*G111</f>
        <v>50921.144000000008</v>
      </c>
    </row>
    <row r="112" spans="2:24">
      <c r="B112" s="2251"/>
      <c r="C112" s="2253"/>
      <c r="D112" s="2251"/>
      <c r="E112" s="2253"/>
      <c r="F112" s="2251"/>
      <c r="G112" s="2253"/>
      <c r="H112" s="2251"/>
      <c r="I112" s="2253"/>
      <c r="J112" s="2253"/>
      <c r="K112" s="2253"/>
      <c r="L112" s="2251"/>
      <c r="M112" s="2251"/>
      <c r="N112" s="2251"/>
      <c r="O112" s="2253"/>
    </row>
    <row r="113" spans="1:16" ht="45" customHeight="1">
      <c r="A113" s="2251">
        <v>5</v>
      </c>
      <c r="B113" s="3042" t="s">
        <v>4003</v>
      </c>
      <c r="C113" s="3042"/>
      <c r="D113" s="3042"/>
      <c r="E113" s="3042"/>
      <c r="F113" s="3042"/>
      <c r="G113" s="3042"/>
      <c r="H113" s="3042"/>
      <c r="I113" s="3042"/>
      <c r="J113" s="3042"/>
      <c r="K113" s="3042"/>
      <c r="L113" s="3042"/>
      <c r="M113" s="2263"/>
    </row>
    <row r="114" spans="1:16">
      <c r="B114" s="2252" t="s">
        <v>3994</v>
      </c>
      <c r="C114" s="2252">
        <v>2</v>
      </c>
      <c r="D114" s="2252" t="s">
        <v>901</v>
      </c>
      <c r="E114" s="2255">
        <f>32.5+0.83</f>
        <v>33.33</v>
      </c>
      <c r="F114" s="2252" t="s">
        <v>901</v>
      </c>
      <c r="G114" s="2255">
        <v>0.83</v>
      </c>
      <c r="H114" s="2252" t="s">
        <v>901</v>
      </c>
      <c r="I114" s="2255">
        <v>9.5</v>
      </c>
      <c r="J114" s="2255"/>
      <c r="K114" s="2255"/>
      <c r="L114" s="2255" t="s">
        <v>1039</v>
      </c>
      <c r="M114" s="2255">
        <f>C114*E114*G114*I114</f>
        <v>525.61410000000001</v>
      </c>
      <c r="N114" s="2252" t="str">
        <f>N104</f>
        <v>cft.</v>
      </c>
      <c r="P114" s="2251"/>
    </row>
    <row r="115" spans="1:16">
      <c r="B115" s="2252" t="s">
        <v>3983</v>
      </c>
      <c r="C115" s="2252">
        <v>2</v>
      </c>
      <c r="D115" s="2252" t="s">
        <v>901</v>
      </c>
      <c r="E115" s="2255">
        <f>21.66-0.83</f>
        <v>20.830000000000002</v>
      </c>
      <c r="F115" s="2252" t="s">
        <v>901</v>
      </c>
      <c r="G115" s="2255">
        <v>0.83</v>
      </c>
      <c r="H115" s="2252" t="s">
        <v>901</v>
      </c>
      <c r="I115" s="2255">
        <v>9.5</v>
      </c>
      <c r="J115" s="2255"/>
      <c r="K115" s="2255"/>
      <c r="L115" s="2255" t="s">
        <v>1039</v>
      </c>
      <c r="M115" s="2255">
        <f>C115*E115*G115*I115</f>
        <v>328.48910000000001</v>
      </c>
      <c r="N115" s="2252" t="str">
        <f>N106</f>
        <v>cft.</v>
      </c>
      <c r="P115" s="2251"/>
    </row>
    <row r="116" spans="1:16" hidden="1">
      <c r="C116" s="2252">
        <v>0</v>
      </c>
      <c r="D116" s="2252" t="s">
        <v>901</v>
      </c>
      <c r="E116" s="2255">
        <v>15</v>
      </c>
      <c r="F116" s="2252" t="s">
        <v>901</v>
      </c>
      <c r="G116" s="2255">
        <v>0.83</v>
      </c>
      <c r="H116" s="2252" t="s">
        <v>901</v>
      </c>
      <c r="I116" s="2255">
        <v>9.5</v>
      </c>
      <c r="J116" s="2255"/>
      <c r="K116" s="2255"/>
      <c r="L116" s="2255" t="s">
        <v>1039</v>
      </c>
      <c r="M116" s="2255">
        <f>C116*E116*G116*I116</f>
        <v>0</v>
      </c>
      <c r="N116" s="2252" t="str">
        <f>N107</f>
        <v>cft.</v>
      </c>
      <c r="P116" s="2251"/>
    </row>
    <row r="117" spans="1:16">
      <c r="C117" s="2252">
        <v>1</v>
      </c>
      <c r="D117" s="2252" t="s">
        <v>901</v>
      </c>
      <c r="E117" s="2255">
        <f>E114</f>
        <v>33.33</v>
      </c>
      <c r="F117" s="2252" t="s">
        <v>901</v>
      </c>
      <c r="G117" s="2255">
        <v>0.83</v>
      </c>
      <c r="H117" s="2252" t="s">
        <v>901</v>
      </c>
      <c r="I117" s="2255">
        <v>3.5</v>
      </c>
      <c r="J117" s="2255"/>
      <c r="K117" s="2255"/>
      <c r="L117" s="2255" t="s">
        <v>1039</v>
      </c>
      <c r="M117" s="2255">
        <f>C117*E117*G117*I117</f>
        <v>96.823649999999986</v>
      </c>
      <c r="N117" s="2252" t="s">
        <v>3996</v>
      </c>
      <c r="P117" s="2251"/>
    </row>
    <row r="118" spans="1:16">
      <c r="B118" s="2251" t="s">
        <v>928</v>
      </c>
      <c r="E118" s="2255"/>
      <c r="G118" s="2255"/>
      <c r="J118" s="2251"/>
      <c r="K118" s="2251"/>
      <c r="L118" s="2255" t="s">
        <v>1039</v>
      </c>
      <c r="M118" s="2253">
        <f>SUM(M114:M117)</f>
        <v>950.92685000000006</v>
      </c>
      <c r="N118" s="2251" t="s">
        <v>3996</v>
      </c>
      <c r="O118" s="2251"/>
    </row>
    <row r="119" spans="1:16">
      <c r="B119" s="2251" t="s">
        <v>1883</v>
      </c>
      <c r="I119" s="2251"/>
      <c r="J119" s="2251"/>
      <c r="K119" s="2251"/>
      <c r="M119" s="2253"/>
      <c r="N119" s="2251"/>
    </row>
    <row r="120" spans="1:16">
      <c r="B120" s="2252" t="s">
        <v>4004</v>
      </c>
      <c r="C120" s="2252">
        <v>2</v>
      </c>
      <c r="D120" s="2252" t="s">
        <v>901</v>
      </c>
      <c r="E120" s="2255">
        <f>E114</f>
        <v>33.33</v>
      </c>
      <c r="F120" s="2252" t="s">
        <v>901</v>
      </c>
      <c r="G120" s="2255">
        <v>0.83</v>
      </c>
      <c r="H120" s="2252" t="s">
        <v>901</v>
      </c>
      <c r="I120" s="2255">
        <v>0.5</v>
      </c>
      <c r="J120" s="2255"/>
      <c r="K120" s="2255"/>
      <c r="L120" s="2255" t="s">
        <v>1039</v>
      </c>
      <c r="M120" s="2255">
        <f t="shared" ref="M120:M128" si="6">C120*E120*G120*I120</f>
        <v>27.663899999999998</v>
      </c>
    </row>
    <row r="121" spans="1:16">
      <c r="C121" s="2252">
        <v>1</v>
      </c>
      <c r="D121" s="2252" t="s">
        <v>901</v>
      </c>
      <c r="E121" s="2255">
        <f>E120</f>
        <v>33.33</v>
      </c>
      <c r="F121" s="2252" t="s">
        <v>901</v>
      </c>
      <c r="G121" s="2255">
        <v>0.83</v>
      </c>
      <c r="H121" s="2252" t="s">
        <v>901</v>
      </c>
      <c r="I121" s="2255">
        <v>0.75</v>
      </c>
      <c r="J121" s="2255"/>
      <c r="K121" s="2255"/>
      <c r="L121" s="2255" t="s">
        <v>1039</v>
      </c>
      <c r="M121" s="2255">
        <f t="shared" si="6"/>
        <v>20.747924999999999</v>
      </c>
    </row>
    <row r="122" spans="1:16">
      <c r="C122" s="2252">
        <v>2</v>
      </c>
      <c r="D122" s="2252" t="s">
        <v>901</v>
      </c>
      <c r="E122" s="2255">
        <v>24.5</v>
      </c>
      <c r="F122" s="2252" t="s">
        <v>901</v>
      </c>
      <c r="G122" s="2255">
        <v>0.83</v>
      </c>
      <c r="H122" s="2252" t="s">
        <v>901</v>
      </c>
      <c r="I122" s="2255">
        <v>0.5</v>
      </c>
      <c r="J122" s="2255"/>
      <c r="K122" s="2255"/>
      <c r="L122" s="2255" t="s">
        <v>1039</v>
      </c>
      <c r="M122" s="2255">
        <f t="shared" si="6"/>
        <v>20.334999999999997</v>
      </c>
    </row>
    <row r="123" spans="1:16" hidden="1">
      <c r="C123" s="2252">
        <v>0</v>
      </c>
      <c r="D123" s="2252" t="s">
        <v>901</v>
      </c>
      <c r="E123" s="2255">
        <v>7</v>
      </c>
      <c r="F123" s="2252" t="s">
        <v>901</v>
      </c>
      <c r="G123" s="2255">
        <v>0.83</v>
      </c>
      <c r="H123" s="2252" t="s">
        <v>901</v>
      </c>
      <c r="I123" s="2255">
        <v>0.5</v>
      </c>
      <c r="J123" s="2255"/>
      <c r="K123" s="2255"/>
      <c r="L123" s="2255" t="s">
        <v>1039</v>
      </c>
      <c r="M123" s="2255">
        <f t="shared" si="6"/>
        <v>0</v>
      </c>
    </row>
    <row r="124" spans="1:16">
      <c r="B124" s="2251" t="s">
        <v>4005</v>
      </c>
      <c r="C124" s="2252">
        <v>2</v>
      </c>
      <c r="D124" s="2252" t="s">
        <v>901</v>
      </c>
      <c r="E124" s="2255">
        <v>4</v>
      </c>
      <c r="F124" s="2252" t="s">
        <v>901</v>
      </c>
      <c r="G124" s="2255">
        <v>0.83</v>
      </c>
      <c r="H124" s="2252" t="s">
        <v>901</v>
      </c>
      <c r="I124" s="2255">
        <v>7</v>
      </c>
      <c r="J124" s="2255"/>
      <c r="K124" s="2255"/>
      <c r="L124" s="2255" t="s">
        <v>1039</v>
      </c>
      <c r="M124" s="2255">
        <f t="shared" si="6"/>
        <v>46.48</v>
      </c>
      <c r="P124" s="2251"/>
    </row>
    <row r="125" spans="1:16" hidden="1">
      <c r="B125" s="2251" t="s">
        <v>1950</v>
      </c>
      <c r="C125" s="2252">
        <v>0</v>
      </c>
      <c r="D125" s="2252" t="s">
        <v>901</v>
      </c>
      <c r="E125" s="2255">
        <v>3.5</v>
      </c>
      <c r="F125" s="2252" t="s">
        <v>901</v>
      </c>
      <c r="G125" s="2255">
        <v>0.83</v>
      </c>
      <c r="H125" s="2252" t="s">
        <v>901</v>
      </c>
      <c r="I125" s="2255">
        <v>7</v>
      </c>
      <c r="J125" s="2255"/>
      <c r="K125" s="2255"/>
      <c r="L125" s="2255" t="s">
        <v>1039</v>
      </c>
      <c r="M125" s="2255">
        <f t="shared" si="6"/>
        <v>0</v>
      </c>
      <c r="P125" s="2251"/>
    </row>
    <row r="126" spans="1:16" hidden="1">
      <c r="B126" s="2251" t="s">
        <v>4006</v>
      </c>
      <c r="C126" s="2252">
        <v>0</v>
      </c>
      <c r="D126" s="2252" t="s">
        <v>901</v>
      </c>
      <c r="E126" s="2255">
        <v>6</v>
      </c>
      <c r="F126" s="2252" t="s">
        <v>901</v>
      </c>
      <c r="G126" s="2255">
        <v>0.83</v>
      </c>
      <c r="H126" s="2252" t="s">
        <v>901</v>
      </c>
      <c r="I126" s="2255">
        <v>0.33</v>
      </c>
      <c r="J126" s="2255"/>
      <c r="K126" s="2255"/>
      <c r="L126" s="2255" t="s">
        <v>1039</v>
      </c>
      <c r="M126" s="2255">
        <f t="shared" si="6"/>
        <v>0</v>
      </c>
      <c r="P126" s="2251"/>
    </row>
    <row r="127" spans="1:16">
      <c r="B127" s="2264" t="s">
        <v>1952</v>
      </c>
      <c r="C127" s="2252">
        <v>4</v>
      </c>
      <c r="D127" s="2252" t="s">
        <v>901</v>
      </c>
      <c r="E127" s="2255">
        <v>4</v>
      </c>
      <c r="F127" s="2252" t="s">
        <v>901</v>
      </c>
      <c r="G127" s="2255">
        <v>0.83</v>
      </c>
      <c r="H127" s="2252" t="s">
        <v>901</v>
      </c>
      <c r="I127" s="2255">
        <v>4</v>
      </c>
      <c r="J127" s="2255"/>
      <c r="K127" s="2255"/>
      <c r="L127" s="2255" t="s">
        <v>1039</v>
      </c>
      <c r="M127" s="2255">
        <f t="shared" si="6"/>
        <v>53.12</v>
      </c>
      <c r="P127" s="2251"/>
    </row>
    <row r="128" spans="1:16" hidden="1">
      <c r="B128" s="2252" t="s">
        <v>4007</v>
      </c>
      <c r="C128" s="2252">
        <v>0</v>
      </c>
      <c r="D128" s="2252" t="s">
        <v>901</v>
      </c>
      <c r="E128" s="2255">
        <v>2.75</v>
      </c>
      <c r="F128" s="2252" t="s">
        <v>901</v>
      </c>
      <c r="G128" s="2255">
        <v>0.83</v>
      </c>
      <c r="H128" s="2252" t="s">
        <v>901</v>
      </c>
      <c r="I128" s="2255">
        <v>7</v>
      </c>
      <c r="J128" s="2255"/>
      <c r="K128" s="2255"/>
      <c r="L128" s="2255" t="s">
        <v>1039</v>
      </c>
      <c r="M128" s="2255">
        <f t="shared" si="6"/>
        <v>0</v>
      </c>
      <c r="P128" s="2251"/>
    </row>
    <row r="129" spans="1:19">
      <c r="B129" s="2251" t="s">
        <v>928</v>
      </c>
      <c r="J129" s="2251"/>
      <c r="K129" s="2251"/>
      <c r="L129" s="2257" t="s">
        <v>3985</v>
      </c>
      <c r="M129" s="2261">
        <f>SUM(M120:M128)</f>
        <v>168.346825</v>
      </c>
      <c r="N129" s="2258" t="s">
        <v>3996</v>
      </c>
      <c r="O129" s="2251"/>
    </row>
    <row r="130" spans="1:19">
      <c r="B130" s="2251" t="s">
        <v>3997</v>
      </c>
      <c r="L130" s="2255" t="s">
        <v>1039</v>
      </c>
      <c r="M130" s="2253">
        <f>M118-M129</f>
        <v>782.58002500000009</v>
      </c>
      <c r="N130" s="2251" t="s">
        <v>3996</v>
      </c>
      <c r="O130" s="2251"/>
    </row>
    <row r="131" spans="1:19">
      <c r="B131" s="2251" t="s">
        <v>379</v>
      </c>
      <c r="C131" s="2253">
        <f xml:space="preserve"> ROUND(M130*0.0283,2)</f>
        <v>22.15</v>
      </c>
      <c r="D131" s="2251" t="s">
        <v>3987</v>
      </c>
      <c r="E131" s="2253" t="s">
        <v>1552</v>
      </c>
      <c r="F131" s="2251" t="s">
        <v>932</v>
      </c>
      <c r="G131" s="2253">
        <f>'Lead &amp; ANALYSIS'!L443</f>
        <v>5093.8</v>
      </c>
      <c r="H131" s="2251" t="s">
        <v>3988</v>
      </c>
      <c r="I131" s="2253" t="s">
        <v>3987</v>
      </c>
      <c r="J131" s="2253"/>
      <c r="K131" s="2253"/>
      <c r="L131" s="2251"/>
      <c r="M131" s="2251" t="s">
        <v>1039</v>
      </c>
      <c r="N131" s="2251" t="s">
        <v>932</v>
      </c>
      <c r="O131" s="2253">
        <f>C131*G131</f>
        <v>112827.67</v>
      </c>
      <c r="S131" s="2253"/>
    </row>
    <row r="132" spans="1:19">
      <c r="B132" s="2251"/>
      <c r="C132" s="2253"/>
      <c r="D132" s="2251"/>
      <c r="E132" s="2253"/>
      <c r="F132" s="2251"/>
      <c r="G132" s="2253"/>
      <c r="H132" s="2251"/>
      <c r="I132" s="2253"/>
      <c r="J132" s="2253"/>
      <c r="K132" s="2253"/>
      <c r="L132" s="2251"/>
      <c r="M132" s="2251"/>
      <c r="N132" s="2251"/>
      <c r="O132" s="2253"/>
      <c r="S132" s="2253"/>
    </row>
    <row r="133" spans="1:19" ht="46.35" customHeight="1">
      <c r="A133" s="2251">
        <v>6</v>
      </c>
      <c r="B133" s="3042" t="str">
        <f>'[6]Analysis '!B480:I480</f>
        <v>RCC M-20 grade with crushed granite coarse aggregate of size 20 mm downgraded mixed in mixing plant with vibrator including cost of all materials, machineries &amp; labour including cost, conveyance, labour, all taxes &amp; royality etc  complete  including centr</v>
      </c>
      <c r="C133" s="3042"/>
      <c r="D133" s="3042"/>
      <c r="E133" s="3042"/>
      <c r="F133" s="3042"/>
      <c r="G133" s="3042"/>
      <c r="H133" s="3042"/>
      <c r="I133" s="3042"/>
      <c r="J133" s="3042"/>
      <c r="K133" s="3042"/>
      <c r="L133" s="3042"/>
      <c r="M133" s="2255"/>
      <c r="P133" s="2251"/>
    </row>
    <row r="134" spans="1:19">
      <c r="B134" s="2251" t="s">
        <v>4008</v>
      </c>
      <c r="E134" s="2255"/>
      <c r="G134" s="2255"/>
      <c r="I134" s="2255"/>
      <c r="J134" s="2255"/>
      <c r="K134" s="2255"/>
      <c r="L134" s="2255"/>
      <c r="M134" s="2255"/>
      <c r="P134" s="2251"/>
    </row>
    <row r="135" spans="1:19">
      <c r="B135" s="2252" t="s">
        <v>4009</v>
      </c>
      <c r="E135" s="2255"/>
      <c r="G135" s="2255"/>
      <c r="I135" s="2255"/>
      <c r="J135" s="2255"/>
      <c r="K135" s="2255"/>
      <c r="L135" s="2255"/>
      <c r="M135" s="2255"/>
      <c r="P135" s="2251"/>
    </row>
    <row r="136" spans="1:19">
      <c r="B136" s="2252" t="s">
        <v>4010</v>
      </c>
      <c r="C136" s="2252">
        <v>12</v>
      </c>
      <c r="D136" s="2252" t="s">
        <v>901</v>
      </c>
      <c r="E136" s="2255">
        <v>4</v>
      </c>
      <c r="F136" s="2255" t="s">
        <v>901</v>
      </c>
      <c r="G136" s="2255">
        <v>4</v>
      </c>
      <c r="H136" s="2252" t="s">
        <v>901</v>
      </c>
      <c r="I136" s="2255">
        <v>0.83</v>
      </c>
      <c r="J136" s="2255"/>
      <c r="K136" s="2255"/>
      <c r="L136" s="2255" t="s">
        <v>1039</v>
      </c>
      <c r="M136" s="2255">
        <f>C136*E136*G136*I136</f>
        <v>159.35999999999999</v>
      </c>
      <c r="N136" s="2252" t="str">
        <f>N138</f>
        <v>cft.</v>
      </c>
      <c r="P136" s="2251"/>
    </row>
    <row r="137" spans="1:19">
      <c r="C137" s="2252">
        <f>C136</f>
        <v>12</v>
      </c>
      <c r="D137" s="2252" t="s">
        <v>901</v>
      </c>
      <c r="E137" s="2255">
        <v>2</v>
      </c>
      <c r="F137" s="2252" t="s">
        <v>901</v>
      </c>
      <c r="G137" s="2255">
        <v>2</v>
      </c>
      <c r="H137" s="2252" t="s">
        <v>901</v>
      </c>
      <c r="I137" s="2255">
        <v>1</v>
      </c>
      <c r="J137" s="2255"/>
      <c r="K137" s="2255"/>
      <c r="L137" s="2257" t="s">
        <v>1039</v>
      </c>
      <c r="M137" s="2257">
        <f>C137*E137*G137*I137</f>
        <v>48</v>
      </c>
      <c r="N137" s="2256" t="str">
        <f>N136</f>
        <v>cft.</v>
      </c>
      <c r="P137" s="2251"/>
    </row>
    <row r="138" spans="1:19">
      <c r="E138" s="2255"/>
      <c r="G138" s="2255"/>
      <c r="I138" s="2251" t="s">
        <v>928</v>
      </c>
      <c r="J138" s="2251"/>
      <c r="K138" s="2251"/>
      <c r="M138" s="2253">
        <f>SUM(M136:M137)</f>
        <v>207.35999999999999</v>
      </c>
      <c r="N138" s="2251" t="s">
        <v>3996</v>
      </c>
      <c r="P138" s="2251"/>
    </row>
    <row r="139" spans="1:19">
      <c r="B139" s="2251" t="s">
        <v>379</v>
      </c>
      <c r="C139" s="2253">
        <f xml:space="preserve"> ROUND(M138*0.0283,2)</f>
        <v>5.87</v>
      </c>
      <c r="D139" s="2251" t="s">
        <v>3987</v>
      </c>
      <c r="E139" s="2253" t="s">
        <v>1552</v>
      </c>
      <c r="F139" s="2251" t="s">
        <v>932</v>
      </c>
      <c r="G139" s="2253">
        <f>'Lead &amp; ANALYSIS'!L521</f>
        <v>6788.5</v>
      </c>
      <c r="H139" s="2251" t="s">
        <v>3988</v>
      </c>
      <c r="I139" s="2253" t="s">
        <v>3987</v>
      </c>
      <c r="J139" s="2253"/>
      <c r="K139" s="2253"/>
      <c r="L139" s="2251"/>
      <c r="M139" s="2251" t="s">
        <v>1039</v>
      </c>
      <c r="N139" s="2251" t="s">
        <v>932</v>
      </c>
      <c r="O139" s="2253">
        <f>C139*G139</f>
        <v>39848.495000000003</v>
      </c>
      <c r="P139" s="2265"/>
    </row>
    <row r="140" spans="1:19">
      <c r="E140" s="2255"/>
      <c r="G140" s="2255"/>
      <c r="L140" s="2266"/>
      <c r="M140" s="2267"/>
      <c r="N140" s="2268"/>
      <c r="O140" s="2269"/>
      <c r="P140" s="2270">
        <f xml:space="preserve"> ROUND(M140*O140,0)</f>
        <v>0</v>
      </c>
    </row>
    <row r="141" spans="1:19">
      <c r="B141" s="2251" t="s">
        <v>4011</v>
      </c>
      <c r="E141" s="2255"/>
      <c r="G141" s="2255"/>
      <c r="I141" s="2251"/>
      <c r="J141" s="2251"/>
      <c r="K141" s="2251"/>
      <c r="M141" s="2253"/>
      <c r="N141" s="2251"/>
      <c r="P141" s="2251"/>
    </row>
    <row r="142" spans="1:19">
      <c r="B142" s="2251" t="s">
        <v>3994</v>
      </c>
      <c r="C142" s="2252">
        <v>3</v>
      </c>
      <c r="D142" s="2252" t="s">
        <v>901</v>
      </c>
      <c r="E142" s="2255">
        <f>E120</f>
        <v>33.33</v>
      </c>
      <c r="F142" s="2252" t="s">
        <v>901</v>
      </c>
      <c r="G142" s="2255">
        <v>0.83</v>
      </c>
      <c r="H142" s="2252" t="s">
        <v>901</v>
      </c>
      <c r="I142" s="2255">
        <v>0.83</v>
      </c>
      <c r="J142" s="2251"/>
      <c r="K142" s="2251"/>
      <c r="L142" s="2252" t="s">
        <v>1039</v>
      </c>
      <c r="M142" s="2255">
        <f>I142*G142*E142*C142</f>
        <v>68.883110999999985</v>
      </c>
      <c r="N142" s="2252" t="str">
        <f>N136</f>
        <v>cft.</v>
      </c>
      <c r="P142" s="2251"/>
    </row>
    <row r="143" spans="1:19">
      <c r="C143" s="2252">
        <v>2</v>
      </c>
      <c r="D143" s="2252" t="s">
        <v>901</v>
      </c>
      <c r="E143" s="2255">
        <v>13</v>
      </c>
      <c r="F143" s="2252" t="s">
        <v>901</v>
      </c>
      <c r="G143" s="2255">
        <v>0.83</v>
      </c>
      <c r="H143" s="2252" t="s">
        <v>901</v>
      </c>
      <c r="I143" s="2255">
        <v>0.83</v>
      </c>
      <c r="J143" s="2251"/>
      <c r="K143" s="2251"/>
      <c r="L143" s="2252" t="s">
        <v>1039</v>
      </c>
      <c r="M143" s="2255">
        <f>I143*G143*E143*C143</f>
        <v>17.9114</v>
      </c>
      <c r="N143" s="2252" t="str">
        <f>N142</f>
        <v>cft.</v>
      </c>
      <c r="P143" s="2251"/>
    </row>
    <row r="144" spans="1:19">
      <c r="C144" s="2252">
        <v>2</v>
      </c>
      <c r="D144" s="2252" t="s">
        <v>901</v>
      </c>
      <c r="E144" s="2255">
        <v>5</v>
      </c>
      <c r="F144" s="2252" t="s">
        <v>901</v>
      </c>
      <c r="G144" s="2255">
        <v>0.83</v>
      </c>
      <c r="H144" s="2252" t="s">
        <v>901</v>
      </c>
      <c r="I144" s="2255">
        <v>0.83</v>
      </c>
      <c r="J144" s="2251"/>
      <c r="K144" s="2251"/>
      <c r="L144" s="2256" t="s">
        <v>1039</v>
      </c>
      <c r="M144" s="2257">
        <f>I144*G144*E144*C144</f>
        <v>6.8889999999999993</v>
      </c>
      <c r="N144" s="2256" t="str">
        <f>N143</f>
        <v>cft.</v>
      </c>
      <c r="P144" s="2251"/>
    </row>
    <row r="145" spans="1:16">
      <c r="E145" s="2255"/>
      <c r="G145" s="2255"/>
      <c r="I145" s="2255"/>
      <c r="J145" s="2251"/>
      <c r="K145" s="2251"/>
      <c r="M145" s="2253">
        <f>SUM(M142:M144)</f>
        <v>93.683510999999982</v>
      </c>
      <c r="N145" s="2256" t="str">
        <f>N143</f>
        <v>cft.</v>
      </c>
      <c r="P145" s="2251"/>
    </row>
    <row r="146" spans="1:16">
      <c r="B146" s="2251" t="s">
        <v>379</v>
      </c>
      <c r="C146" s="2253">
        <f xml:space="preserve"> ROUND(M145*0.0283,2)</f>
        <v>2.65</v>
      </c>
      <c r="D146" s="2251" t="s">
        <v>3987</v>
      </c>
      <c r="E146" s="2253" t="s">
        <v>1552</v>
      </c>
      <c r="F146" s="2251" t="s">
        <v>932</v>
      </c>
      <c r="G146" s="2253">
        <f>'Lead &amp; ANALYSIS'!L524</f>
        <v>7609.1</v>
      </c>
      <c r="H146" s="2251" t="s">
        <v>3988</v>
      </c>
      <c r="I146" s="2253" t="s">
        <v>3987</v>
      </c>
      <c r="J146" s="2253"/>
      <c r="K146" s="2253"/>
      <c r="L146" s="2251"/>
      <c r="M146" s="2251" t="s">
        <v>1039</v>
      </c>
      <c r="N146" s="2251" t="s">
        <v>932</v>
      </c>
      <c r="O146" s="2253">
        <f>C146*G146</f>
        <v>20164.115000000002</v>
      </c>
      <c r="P146" s="2251"/>
    </row>
    <row r="147" spans="1:16">
      <c r="E147" s="2255"/>
      <c r="G147" s="2255"/>
      <c r="I147" s="2255"/>
      <c r="J147" s="2251"/>
      <c r="K147" s="2251"/>
      <c r="M147" s="2253"/>
      <c r="N147" s="2251"/>
      <c r="P147" s="2251"/>
    </row>
    <row r="148" spans="1:16">
      <c r="B148" s="2251" t="s">
        <v>4012</v>
      </c>
      <c r="E148" s="2255"/>
      <c r="G148" s="2255"/>
      <c r="I148" s="2255"/>
      <c r="J148" s="2255"/>
      <c r="K148" s="2255"/>
      <c r="L148" s="2255"/>
      <c r="M148" s="2255"/>
      <c r="P148" s="2251"/>
    </row>
    <row r="149" spans="1:16">
      <c r="B149" s="2252" t="s">
        <v>4013</v>
      </c>
      <c r="C149" s="2252">
        <v>8</v>
      </c>
      <c r="D149" s="2252" t="s">
        <v>901</v>
      </c>
      <c r="E149" s="2255">
        <v>1.25</v>
      </c>
      <c r="F149" s="2252" t="s">
        <v>901</v>
      </c>
      <c r="G149" s="2255">
        <v>0.83</v>
      </c>
      <c r="H149" s="2252" t="s">
        <v>901</v>
      </c>
      <c r="I149" s="2255">
        <v>2</v>
      </c>
      <c r="J149" s="2255"/>
      <c r="K149" s="2255"/>
      <c r="L149" s="2255" t="s">
        <v>1039</v>
      </c>
      <c r="M149" s="2255">
        <f>C149*E149*G149*I149</f>
        <v>16.599999999999998</v>
      </c>
      <c r="N149" s="2252" t="str">
        <f>N142</f>
        <v>cft.</v>
      </c>
      <c r="P149" s="2251"/>
    </row>
    <row r="150" spans="1:16">
      <c r="C150" s="2252">
        <v>4</v>
      </c>
      <c r="D150" s="2252" t="s">
        <v>901</v>
      </c>
      <c r="E150" s="2255">
        <v>0.83</v>
      </c>
      <c r="F150" s="2252" t="s">
        <v>901</v>
      </c>
      <c r="G150" s="2255">
        <v>0.83</v>
      </c>
      <c r="H150" s="2252" t="s">
        <v>901</v>
      </c>
      <c r="I150" s="2255">
        <v>2</v>
      </c>
      <c r="J150" s="2255"/>
      <c r="K150" s="2255"/>
      <c r="L150" s="2255" t="s">
        <v>1039</v>
      </c>
      <c r="M150" s="2255">
        <f>C150*E150*G150*I150</f>
        <v>5.5111999999999997</v>
      </c>
      <c r="N150" s="2252" t="str">
        <f>N143</f>
        <v>cft.</v>
      </c>
      <c r="P150" s="2251"/>
    </row>
    <row r="151" spans="1:16">
      <c r="B151" s="2252" t="s">
        <v>4014</v>
      </c>
      <c r="C151" s="2252">
        <f>C149</f>
        <v>8</v>
      </c>
      <c r="D151" s="2252" t="s">
        <v>901</v>
      </c>
      <c r="E151" s="2255">
        <v>1.25</v>
      </c>
      <c r="F151" s="2252" t="s">
        <v>901</v>
      </c>
      <c r="G151" s="2255">
        <v>0.83</v>
      </c>
      <c r="H151" s="2252" t="s">
        <v>901</v>
      </c>
      <c r="I151" s="2255">
        <v>10</v>
      </c>
      <c r="J151" s="2255"/>
      <c r="K151" s="2255"/>
      <c r="L151" s="2255" t="s">
        <v>1039</v>
      </c>
      <c r="M151" s="2255">
        <f>C151*E151*G151*I151</f>
        <v>82.999999999999986</v>
      </c>
      <c r="N151" s="2252" t="str">
        <f>N144</f>
        <v>cft.</v>
      </c>
      <c r="P151" s="2251"/>
    </row>
    <row r="152" spans="1:16">
      <c r="C152" s="2252">
        <f>C150</f>
        <v>4</v>
      </c>
      <c r="D152" s="2252" t="s">
        <v>901</v>
      </c>
      <c r="E152" s="2255">
        <v>0.83</v>
      </c>
      <c r="F152" s="2252" t="s">
        <v>901</v>
      </c>
      <c r="G152" s="2255">
        <v>0.83</v>
      </c>
      <c r="H152" s="2252" t="s">
        <v>901</v>
      </c>
      <c r="I152" s="2255">
        <v>10</v>
      </c>
      <c r="J152" s="2255"/>
      <c r="K152" s="2255"/>
      <c r="L152" s="2255" t="s">
        <v>1039</v>
      </c>
      <c r="M152" s="2255">
        <f>C152*E152*G152*I152</f>
        <v>27.555999999999997</v>
      </c>
      <c r="N152" s="2252" t="str">
        <f>N145</f>
        <v>cft.</v>
      </c>
      <c r="P152" s="2251"/>
    </row>
    <row r="153" spans="1:16" ht="14.25">
      <c r="A153" s="2252"/>
      <c r="B153" s="2252" t="s">
        <v>1850</v>
      </c>
      <c r="E153" s="2255"/>
      <c r="G153" s="2255"/>
      <c r="I153" s="2255"/>
      <c r="J153" s="2255"/>
      <c r="K153" s="2255"/>
      <c r="L153" s="2255"/>
      <c r="M153" s="2255"/>
    </row>
    <row r="154" spans="1:16" ht="14.25">
      <c r="A154" s="2252"/>
      <c r="B154" s="2252" t="s">
        <v>3994</v>
      </c>
      <c r="C154" s="2252">
        <v>3</v>
      </c>
      <c r="D154" s="2252" t="s">
        <v>901</v>
      </c>
      <c r="E154" s="2255">
        <f>E142</f>
        <v>33.33</v>
      </c>
      <c r="F154" s="2252" t="s">
        <v>901</v>
      </c>
      <c r="G154" s="2255">
        <v>0.83</v>
      </c>
      <c r="H154" s="2252" t="s">
        <v>901</v>
      </c>
      <c r="I154" s="2255">
        <v>0.5</v>
      </c>
      <c r="J154" s="2255"/>
      <c r="K154" s="2255"/>
      <c r="L154" s="2255" t="s">
        <v>1039</v>
      </c>
      <c r="M154" s="2255">
        <f>C154*E154*G154*I154</f>
        <v>41.495849999999997</v>
      </c>
      <c r="N154" s="2252" t="str">
        <f>N145</f>
        <v>cft.</v>
      </c>
    </row>
    <row r="155" spans="1:16" ht="14.25">
      <c r="A155" s="2252"/>
      <c r="B155" s="2252" t="s">
        <v>3983</v>
      </c>
      <c r="C155" s="2252">
        <v>2</v>
      </c>
      <c r="D155" s="2252" t="s">
        <v>901</v>
      </c>
      <c r="E155" s="2255">
        <v>15</v>
      </c>
      <c r="F155" s="2252" t="s">
        <v>901</v>
      </c>
      <c r="G155" s="2255">
        <v>0.83</v>
      </c>
      <c r="H155" s="2252" t="s">
        <v>901</v>
      </c>
      <c r="I155" s="2255">
        <v>0.5</v>
      </c>
      <c r="J155" s="2255"/>
      <c r="K155" s="2255"/>
      <c r="L155" s="2255" t="s">
        <v>1039</v>
      </c>
      <c r="M155" s="2255">
        <f>C155*E155*G155*I155</f>
        <v>12.45</v>
      </c>
      <c r="N155" s="2252" t="str">
        <f>N149</f>
        <v>cft.</v>
      </c>
    </row>
    <row r="156" spans="1:16" ht="14.25">
      <c r="A156" s="2252"/>
      <c r="B156" s="2252" t="s">
        <v>4015</v>
      </c>
      <c r="C156" s="2252">
        <v>2</v>
      </c>
      <c r="D156" s="2252" t="s">
        <v>901</v>
      </c>
      <c r="E156" s="2255">
        <v>15</v>
      </c>
      <c r="F156" s="2252" t="s">
        <v>901</v>
      </c>
      <c r="G156" s="2255">
        <v>0.83</v>
      </c>
      <c r="H156" s="2252" t="s">
        <v>901</v>
      </c>
      <c r="I156" s="2255">
        <v>1</v>
      </c>
      <c r="J156" s="2255"/>
      <c r="K156" s="2255"/>
      <c r="L156" s="2255" t="s">
        <v>1039</v>
      </c>
      <c r="M156" s="2255">
        <f>C156*E156*G156*I156</f>
        <v>24.9</v>
      </c>
      <c r="N156" s="2252" t="str">
        <f>N151</f>
        <v>cft.</v>
      </c>
    </row>
    <row r="157" spans="1:16" ht="14.25">
      <c r="A157" s="2252"/>
      <c r="C157" s="2252">
        <v>2</v>
      </c>
      <c r="D157" s="2252" t="s">
        <v>901</v>
      </c>
      <c r="E157" s="2255">
        <v>5</v>
      </c>
      <c r="F157" s="2252" t="s">
        <v>901</v>
      </c>
      <c r="G157" s="2255">
        <v>0.83</v>
      </c>
      <c r="H157" s="2252" t="s">
        <v>901</v>
      </c>
      <c r="I157" s="2255">
        <v>0.5</v>
      </c>
      <c r="J157" s="2255"/>
      <c r="K157" s="2255"/>
      <c r="L157" s="2255" t="s">
        <v>1039</v>
      </c>
      <c r="M157" s="2255">
        <f>C157*E157*G157*I157</f>
        <v>4.1499999999999995</v>
      </c>
      <c r="N157" s="2252" t="str">
        <f>N156</f>
        <v>cft.</v>
      </c>
    </row>
    <row r="158" spans="1:16" s="2251" customFormat="1">
      <c r="B158" s="2252"/>
      <c r="C158" s="2252"/>
      <c r="D158" s="2252"/>
      <c r="E158" s="2255"/>
      <c r="F158" s="2252"/>
      <c r="G158" s="2255"/>
      <c r="I158" s="2251" t="s">
        <v>928</v>
      </c>
      <c r="J158" s="2255"/>
      <c r="K158" s="2255"/>
      <c r="L158" s="2253" t="s">
        <v>1039</v>
      </c>
      <c r="M158" s="2253">
        <f>SUM(M149:M157)</f>
        <v>215.66304999999997</v>
      </c>
      <c r="N158" s="2251" t="s">
        <v>3981</v>
      </c>
    </row>
    <row r="159" spans="1:16" s="2251" customFormat="1">
      <c r="B159" s="2252"/>
      <c r="C159" s="2252"/>
      <c r="D159" s="2252"/>
      <c r="E159" s="2255"/>
      <c r="F159" s="2252"/>
      <c r="G159" s="2255"/>
      <c r="H159" s="2251" t="s">
        <v>3997</v>
      </c>
      <c r="I159" s="2255"/>
      <c r="J159" s="2255"/>
      <c r="K159" s="2255"/>
      <c r="L159" s="2253" t="s">
        <v>1039</v>
      </c>
      <c r="M159" s="2253">
        <f>M158</f>
        <v>215.66304999999997</v>
      </c>
      <c r="N159" s="2251" t="s">
        <v>3981</v>
      </c>
    </row>
    <row r="160" spans="1:16" s="2251" customFormat="1">
      <c r="B160" s="2251" t="s">
        <v>379</v>
      </c>
      <c r="C160" s="2253">
        <f xml:space="preserve"> ROUND(M159*0.0283,2)</f>
        <v>6.1</v>
      </c>
      <c r="D160" s="2251" t="s">
        <v>3987</v>
      </c>
      <c r="E160" s="2253" t="s">
        <v>1552</v>
      </c>
      <c r="F160" s="2251" t="s">
        <v>932</v>
      </c>
      <c r="G160" s="2253">
        <f>'Lead &amp; ANALYSIS'!L541</f>
        <v>14541.8</v>
      </c>
      <c r="H160" s="2251" t="s">
        <v>3988</v>
      </c>
      <c r="I160" s="2253" t="s">
        <v>3987</v>
      </c>
      <c r="J160" s="2253"/>
      <c r="K160" s="2253"/>
      <c r="M160" s="2251" t="s">
        <v>1039</v>
      </c>
      <c r="N160" s="2251" t="s">
        <v>932</v>
      </c>
      <c r="O160" s="2253">
        <f>C160*G160</f>
        <v>88704.98</v>
      </c>
    </row>
    <row r="161" spans="2:16" s="2251" customFormat="1">
      <c r="B161" s="2252"/>
      <c r="C161" s="2252"/>
      <c r="D161" s="2252"/>
      <c r="E161" s="2255"/>
      <c r="F161" s="2252"/>
      <c r="G161" s="2255"/>
      <c r="I161" s="2255"/>
      <c r="J161" s="2255"/>
      <c r="K161" s="2255"/>
      <c r="L161" s="2253"/>
      <c r="M161" s="2253"/>
    </row>
    <row r="162" spans="2:16">
      <c r="B162" s="2251" t="s">
        <v>4016</v>
      </c>
      <c r="C162" s="2252">
        <v>2</v>
      </c>
      <c r="D162" s="2252" t="s">
        <v>901</v>
      </c>
      <c r="E162" s="2255">
        <f>E154</f>
        <v>33.33</v>
      </c>
      <c r="F162" s="2252" t="s">
        <v>901</v>
      </c>
      <c r="G162" s="2255">
        <v>0.83</v>
      </c>
      <c r="H162" s="2252" t="s">
        <v>901</v>
      </c>
      <c r="I162" s="2255">
        <v>0.5</v>
      </c>
      <c r="J162" s="2255"/>
      <c r="K162" s="2255"/>
      <c r="L162" s="2255" t="s">
        <v>1039</v>
      </c>
      <c r="M162" s="2255">
        <f>C162*E162*G162*I162</f>
        <v>27.663899999999998</v>
      </c>
      <c r="N162" s="2252" t="str">
        <f>N159</f>
        <v>cft</v>
      </c>
    </row>
    <row r="163" spans="2:16">
      <c r="C163" s="2252">
        <v>1</v>
      </c>
      <c r="D163" s="2252" t="s">
        <v>901</v>
      </c>
      <c r="E163" s="2255">
        <f>E162</f>
        <v>33.33</v>
      </c>
      <c r="F163" s="2252" t="s">
        <v>901</v>
      </c>
      <c r="G163" s="2255">
        <v>0.83</v>
      </c>
      <c r="H163" s="2252" t="s">
        <v>901</v>
      </c>
      <c r="I163" s="2255">
        <v>0.75</v>
      </c>
      <c r="J163" s="2255"/>
      <c r="K163" s="2255"/>
      <c r="L163" s="2255" t="s">
        <v>1039</v>
      </c>
      <c r="M163" s="2255">
        <f>C163*E163*G163*I163</f>
        <v>20.747924999999999</v>
      </c>
      <c r="N163" s="2252" t="str">
        <f>N158</f>
        <v>cft</v>
      </c>
    </row>
    <row r="164" spans="2:16">
      <c r="C164" s="2252">
        <v>2</v>
      </c>
      <c r="D164" s="2252" t="s">
        <v>901</v>
      </c>
      <c r="E164" s="2255">
        <v>13</v>
      </c>
      <c r="F164" s="2252" t="s">
        <v>901</v>
      </c>
      <c r="G164" s="2255">
        <v>0.83</v>
      </c>
      <c r="H164" s="2252" t="s">
        <v>901</v>
      </c>
      <c r="I164" s="2255">
        <v>0.5</v>
      </c>
      <c r="J164" s="2255"/>
      <c r="K164" s="2255"/>
      <c r="L164" s="2255" t="s">
        <v>1039</v>
      </c>
      <c r="M164" s="2255">
        <f>C164*E164*G164*I164</f>
        <v>10.79</v>
      </c>
      <c r="N164" s="2252" t="str">
        <f>N159</f>
        <v>cft</v>
      </c>
    </row>
    <row r="165" spans="2:16">
      <c r="C165" s="2252">
        <v>2</v>
      </c>
      <c r="D165" s="2252" t="s">
        <v>901</v>
      </c>
      <c r="E165" s="2255">
        <v>5</v>
      </c>
      <c r="F165" s="2252" t="s">
        <v>901</v>
      </c>
      <c r="G165" s="2255">
        <v>0.83</v>
      </c>
      <c r="H165" s="2252" t="s">
        <v>901</v>
      </c>
      <c r="I165" s="2255">
        <v>0.5</v>
      </c>
      <c r="J165" s="2255"/>
      <c r="K165" s="2255"/>
      <c r="L165" s="2255" t="s">
        <v>1039</v>
      </c>
      <c r="M165" s="2255">
        <f>C165*E165*G165*I165</f>
        <v>4.1499999999999995</v>
      </c>
      <c r="N165" s="2252" t="str">
        <f>N164</f>
        <v>cft</v>
      </c>
    </row>
    <row r="166" spans="2:16" hidden="1">
      <c r="C166" s="2252">
        <v>0</v>
      </c>
      <c r="D166" s="2252" t="s">
        <v>901</v>
      </c>
      <c r="E166" s="2255">
        <v>8</v>
      </c>
      <c r="F166" s="2252" t="s">
        <v>901</v>
      </c>
      <c r="G166" s="2255">
        <v>0.42</v>
      </c>
      <c r="H166" s="2252" t="s">
        <v>901</v>
      </c>
      <c r="I166" s="2255">
        <v>0.83</v>
      </c>
      <c r="J166" s="2255"/>
      <c r="K166" s="2255"/>
      <c r="L166" s="2257" t="s">
        <v>1039</v>
      </c>
      <c r="M166" s="2257">
        <f>C166*E166*G166*I166</f>
        <v>0</v>
      </c>
      <c r="N166" s="2256" t="str">
        <f>N164</f>
        <v>cft</v>
      </c>
    </row>
    <row r="167" spans="2:16">
      <c r="E167" s="2255"/>
      <c r="G167" s="2255"/>
      <c r="I167" s="2251" t="s">
        <v>928</v>
      </c>
      <c r="J167" s="2251"/>
      <c r="K167" s="2251"/>
      <c r="M167" s="2253">
        <f>SUM(M162:M166)</f>
        <v>63.351824999999991</v>
      </c>
      <c r="N167" s="2251" t="s">
        <v>3996</v>
      </c>
      <c r="P167" s="2251"/>
    </row>
    <row r="168" spans="2:16">
      <c r="B168" s="2251" t="s">
        <v>1883</v>
      </c>
      <c r="E168" s="2255"/>
      <c r="G168" s="2255"/>
      <c r="I168" s="2251"/>
      <c r="J168" s="2251"/>
      <c r="K168" s="2251"/>
      <c r="M168" s="2253"/>
      <c r="N168" s="2251"/>
      <c r="P168" s="2251"/>
    </row>
    <row r="169" spans="2:16">
      <c r="B169" s="2252" t="s">
        <v>1773</v>
      </c>
      <c r="C169" s="2252">
        <v>8</v>
      </c>
      <c r="D169" s="2252" t="s">
        <v>901</v>
      </c>
      <c r="E169" s="2255">
        <v>1.25</v>
      </c>
      <c r="F169" s="2252" t="s">
        <v>901</v>
      </c>
      <c r="G169" s="2255">
        <v>0.83</v>
      </c>
      <c r="H169" s="2252" t="s">
        <v>901</v>
      </c>
      <c r="I169" s="2255">
        <v>0.5</v>
      </c>
      <c r="J169" s="2255"/>
      <c r="K169" s="2255"/>
      <c r="L169" s="2255" t="s">
        <v>1039</v>
      </c>
      <c r="M169" s="2255">
        <f>C169*E169*G169*I169</f>
        <v>4.1499999999999995</v>
      </c>
      <c r="N169" s="2251" t="str">
        <f>N166</f>
        <v>cft</v>
      </c>
    </row>
    <row r="170" spans="2:16">
      <c r="C170" s="2252">
        <v>4</v>
      </c>
      <c r="D170" s="2252" t="s">
        <v>901</v>
      </c>
      <c r="E170" s="2255">
        <v>0.83</v>
      </c>
      <c r="F170" s="2252" t="s">
        <v>901</v>
      </c>
      <c r="G170" s="2255">
        <v>0.83</v>
      </c>
      <c r="H170" s="2252" t="s">
        <v>901</v>
      </c>
      <c r="I170" s="2255">
        <v>0.67</v>
      </c>
      <c r="J170" s="2255"/>
      <c r="K170" s="2255"/>
      <c r="L170" s="2255"/>
      <c r="M170" s="2255">
        <f>C170*E170*G170*I170</f>
        <v>1.846252</v>
      </c>
      <c r="N170" s="2251" t="str">
        <f>N165</f>
        <v>cft</v>
      </c>
    </row>
    <row r="171" spans="2:16">
      <c r="E171" s="2255"/>
      <c r="G171" s="2255"/>
      <c r="I171" s="2251" t="s">
        <v>928</v>
      </c>
      <c r="J171" s="2251"/>
      <c r="K171" s="2251"/>
      <c r="L171" s="2258" t="s">
        <v>3985</v>
      </c>
      <c r="M171" s="2261">
        <f>SUM(M169:M170)</f>
        <v>5.9962519999999992</v>
      </c>
      <c r="N171" s="2258" t="s">
        <v>3996</v>
      </c>
      <c r="P171" s="2251"/>
    </row>
    <row r="172" spans="2:16" s="2251" customFormat="1">
      <c r="B172" s="2252"/>
      <c r="C172" s="2252"/>
      <c r="D172" s="2252"/>
      <c r="E172" s="2255"/>
      <c r="F172" s="2252"/>
      <c r="G172" s="2255"/>
      <c r="H172" s="2251" t="s">
        <v>3997</v>
      </c>
      <c r="I172" s="2255"/>
      <c r="J172" s="2255"/>
      <c r="K172" s="2255"/>
      <c r="L172" s="2253" t="s">
        <v>1039</v>
      </c>
      <c r="M172" s="2253">
        <f>M167-M171</f>
        <v>57.355572999999993</v>
      </c>
      <c r="N172" s="2251" t="s">
        <v>3981</v>
      </c>
    </row>
    <row r="173" spans="2:16">
      <c r="B173" s="2251" t="s">
        <v>379</v>
      </c>
      <c r="C173" s="2253">
        <f xml:space="preserve"> ROUND(M172*0.0283,2)</f>
        <v>1.62</v>
      </c>
      <c r="D173" s="2251" t="s">
        <v>3987</v>
      </c>
      <c r="E173" s="2253" t="s">
        <v>1552</v>
      </c>
      <c r="F173" s="2251" t="s">
        <v>932</v>
      </c>
      <c r="G173" s="2253">
        <f>'Lead &amp; ANALYSIS'!L528</f>
        <v>13831.7</v>
      </c>
      <c r="H173" s="2251" t="s">
        <v>3988</v>
      </c>
      <c r="I173" s="2253" t="s">
        <v>3987</v>
      </c>
      <c r="J173" s="2253"/>
      <c r="K173" s="2253"/>
      <c r="L173" s="2251"/>
      <c r="M173" s="2251" t="s">
        <v>1039</v>
      </c>
      <c r="N173" s="2251" t="s">
        <v>932</v>
      </c>
      <c r="O173" s="2253">
        <f>C173*G173</f>
        <v>22407.354000000003</v>
      </c>
      <c r="P173" s="2251"/>
    </row>
    <row r="174" spans="2:16">
      <c r="B174" s="2251" t="s">
        <v>4017</v>
      </c>
      <c r="E174" s="2255"/>
      <c r="G174" s="2255"/>
      <c r="I174" s="2255"/>
      <c r="J174" s="2255"/>
      <c r="K174" s="2255"/>
      <c r="L174" s="2255"/>
      <c r="M174" s="2255"/>
    </row>
    <row r="175" spans="2:16">
      <c r="B175" s="2252" t="s">
        <v>4018</v>
      </c>
      <c r="C175" s="2252">
        <v>1</v>
      </c>
      <c r="D175" s="2252" t="s">
        <v>901</v>
      </c>
      <c r="E175" s="2255">
        <v>34.33</v>
      </c>
      <c r="F175" s="2252" t="s">
        <v>901</v>
      </c>
      <c r="G175" s="2255">
        <v>23.5</v>
      </c>
      <c r="H175" s="2252" t="s">
        <v>901</v>
      </c>
      <c r="I175" s="2271">
        <v>0.42</v>
      </c>
      <c r="J175" s="2255"/>
      <c r="K175" s="2255"/>
      <c r="L175" s="2255" t="s">
        <v>1039</v>
      </c>
      <c r="M175" s="2255">
        <f>C175*E175*G175*I175</f>
        <v>338.83709999999996</v>
      </c>
    </row>
    <row r="176" spans="2:16">
      <c r="E176" s="2255"/>
      <c r="G176" s="2255"/>
      <c r="H176" s="2251"/>
      <c r="I176" s="2251" t="s">
        <v>928</v>
      </c>
      <c r="J176" s="2255"/>
      <c r="K176" s="2255"/>
      <c r="L176" s="2253" t="s">
        <v>1039</v>
      </c>
      <c r="M176" s="2253">
        <f>SUM(M175:M175)</f>
        <v>338.83709999999996</v>
      </c>
      <c r="N176" s="2251" t="s">
        <v>3981</v>
      </c>
    </row>
    <row r="177" spans="1:22">
      <c r="B177" s="2251" t="s">
        <v>379</v>
      </c>
      <c r="C177" s="2253">
        <f xml:space="preserve"> ROUND(M176*0.0283,2)</f>
        <v>9.59</v>
      </c>
      <c r="D177" s="2251" t="s">
        <v>3987</v>
      </c>
      <c r="E177" s="2253" t="s">
        <v>1552</v>
      </c>
      <c r="F177" s="2251" t="s">
        <v>932</v>
      </c>
      <c r="G177" s="2253">
        <f>'Lead &amp; ANALYSIS'!L554</f>
        <v>13177.3</v>
      </c>
      <c r="H177" s="2251" t="s">
        <v>3988</v>
      </c>
      <c r="I177" s="2253" t="s">
        <v>3987</v>
      </c>
      <c r="J177" s="2253"/>
      <c r="K177" s="2253"/>
      <c r="L177" s="2251"/>
      <c r="M177" s="2251" t="s">
        <v>1039</v>
      </c>
      <c r="N177" s="2251" t="s">
        <v>932</v>
      </c>
      <c r="O177" s="2253">
        <f>C177*G177</f>
        <v>126370.30699999999</v>
      </c>
    </row>
    <row r="178" spans="1:22">
      <c r="E178" s="2255"/>
      <c r="G178" s="2255"/>
      <c r="H178" s="2251"/>
      <c r="I178" s="2251"/>
      <c r="J178" s="2255"/>
      <c r="K178" s="2255"/>
      <c r="L178" s="2253"/>
      <c r="M178" s="2253"/>
      <c r="N178" s="2251"/>
    </row>
    <row r="179" spans="1:22">
      <c r="B179" s="2251" t="s">
        <v>4019</v>
      </c>
      <c r="E179" s="2255"/>
      <c r="G179" s="2255"/>
      <c r="I179" s="2251"/>
      <c r="J179" s="2251"/>
      <c r="K179" s="2251"/>
      <c r="L179" s="2255"/>
      <c r="M179" s="2253"/>
      <c r="N179" s="2272"/>
      <c r="V179" s="2255"/>
    </row>
    <row r="180" spans="1:22">
      <c r="B180" s="2252" t="s">
        <v>2991</v>
      </c>
      <c r="C180" s="2252">
        <v>1</v>
      </c>
      <c r="D180" s="2252" t="s">
        <v>901</v>
      </c>
      <c r="E180" s="2255">
        <f>E175</f>
        <v>34.33</v>
      </c>
      <c r="F180" s="2252" t="s">
        <v>901</v>
      </c>
      <c r="G180" s="2255">
        <v>2</v>
      </c>
      <c r="I180" s="2271"/>
      <c r="J180" s="2271"/>
      <c r="K180" s="2271"/>
      <c r="L180" s="2255" t="s">
        <v>1039</v>
      </c>
      <c r="M180" s="2255">
        <f>C180*E180*G180</f>
        <v>68.66</v>
      </c>
      <c r="N180" s="2252" t="s">
        <v>4020</v>
      </c>
      <c r="T180" s="2251"/>
      <c r="U180" s="2251"/>
      <c r="V180" s="2255"/>
    </row>
    <row r="181" spans="1:22">
      <c r="B181" s="2252" t="s">
        <v>4021</v>
      </c>
      <c r="C181" s="2252">
        <v>3</v>
      </c>
      <c r="D181" s="2252" t="s">
        <v>901</v>
      </c>
      <c r="E181" s="2255">
        <v>5</v>
      </c>
      <c r="F181" s="2252" t="s">
        <v>901</v>
      </c>
      <c r="G181" s="2255">
        <v>2</v>
      </c>
      <c r="I181" s="2271"/>
      <c r="J181" s="2271"/>
      <c r="K181" s="2271"/>
      <c r="L181" s="2257" t="s">
        <v>1039</v>
      </c>
      <c r="M181" s="2257">
        <f>C181*E181*G181</f>
        <v>30</v>
      </c>
      <c r="N181" s="2252" t="s">
        <v>4020</v>
      </c>
      <c r="T181" s="2251"/>
      <c r="U181" s="2251"/>
      <c r="V181" s="2255"/>
    </row>
    <row r="182" spans="1:22">
      <c r="E182" s="2255"/>
      <c r="G182" s="2255"/>
      <c r="I182" s="2251" t="s">
        <v>928</v>
      </c>
      <c r="J182" s="2251"/>
      <c r="K182" s="2251"/>
      <c r="L182" s="2253" t="s">
        <v>1039</v>
      </c>
      <c r="M182" s="2253">
        <f>SUM(M180:M181)</f>
        <v>98.66</v>
      </c>
      <c r="N182" s="2252" t="s">
        <v>4020</v>
      </c>
    </row>
    <row r="183" spans="1:22">
      <c r="B183" s="2251" t="s">
        <v>379</v>
      </c>
      <c r="C183" s="2253">
        <f xml:space="preserve"> ROUND(M182*0.0929,2)</f>
        <v>9.17</v>
      </c>
      <c r="D183" s="2251" t="s">
        <v>357</v>
      </c>
      <c r="E183" s="2253" t="s">
        <v>1552</v>
      </c>
      <c r="F183" s="2251" t="s">
        <v>932</v>
      </c>
      <c r="G183" s="2253">
        <f>'Lead &amp; ANALYSIS'!L580</f>
        <v>1159.8</v>
      </c>
      <c r="H183" s="2251" t="s">
        <v>3988</v>
      </c>
      <c r="I183" s="2253" t="s">
        <v>357</v>
      </c>
      <c r="J183" s="2253"/>
      <c r="K183" s="2253"/>
      <c r="L183" s="2251"/>
      <c r="M183" s="2251" t="s">
        <v>1039</v>
      </c>
      <c r="N183" s="2251" t="s">
        <v>932</v>
      </c>
      <c r="O183" s="2253">
        <f>C183*G183</f>
        <v>10635.366</v>
      </c>
    </row>
    <row r="184" spans="1:22">
      <c r="B184" s="2251"/>
      <c r="C184" s="2253"/>
      <c r="D184" s="2251"/>
      <c r="E184" s="2253"/>
      <c r="F184" s="2251"/>
      <c r="G184" s="2253"/>
      <c r="H184" s="2251"/>
      <c r="I184" s="2253"/>
      <c r="J184" s="2253"/>
      <c r="K184" s="2253"/>
      <c r="L184" s="2251"/>
      <c r="M184" s="2251"/>
      <c r="N184" s="2251"/>
      <c r="O184" s="2253"/>
      <c r="R184" s="2253"/>
    </row>
    <row r="185" spans="1:22" ht="87" customHeight="1">
      <c r="A185" s="2251">
        <v>7</v>
      </c>
      <c r="B185" s="3042" t="s">
        <v>4022</v>
      </c>
      <c r="C185" s="3042"/>
      <c r="D185" s="3042"/>
      <c r="E185" s="3042"/>
      <c r="F185" s="3042"/>
      <c r="G185" s="3042"/>
      <c r="H185" s="3042"/>
      <c r="I185" s="3042"/>
      <c r="J185" s="3042"/>
      <c r="K185" s="3042"/>
      <c r="L185" s="3042"/>
      <c r="M185" s="3042"/>
    </row>
    <row r="186" spans="1:22">
      <c r="B186" s="2251" t="s">
        <v>4023</v>
      </c>
      <c r="S186" s="2253"/>
    </row>
    <row r="187" spans="1:22">
      <c r="B187" s="2252" t="s">
        <v>4008</v>
      </c>
      <c r="C187" s="2255">
        <f>M138</f>
        <v>207.35999999999999</v>
      </c>
      <c r="D187" s="2252" t="s">
        <v>3981</v>
      </c>
      <c r="F187" s="2252" t="s">
        <v>1552</v>
      </c>
      <c r="G187" s="2255">
        <v>1.5</v>
      </c>
      <c r="H187" s="2252" t="s">
        <v>4024</v>
      </c>
      <c r="L187" s="2255" t="s">
        <v>1039</v>
      </c>
      <c r="M187" s="2255">
        <f>C187*G187</f>
        <v>311.03999999999996</v>
      </c>
      <c r="S187" s="2253"/>
    </row>
    <row r="188" spans="1:22">
      <c r="B188" s="2252" t="s">
        <v>4025</v>
      </c>
      <c r="C188" s="2255">
        <f>M159</f>
        <v>215.66304999999997</v>
      </c>
      <c r="D188" s="2252" t="s">
        <v>3981</v>
      </c>
      <c r="F188" s="2252" t="s">
        <v>1552</v>
      </c>
      <c r="G188" s="2255">
        <v>5</v>
      </c>
      <c r="H188" s="2252" t="s">
        <v>4024</v>
      </c>
      <c r="L188" s="2255" t="s">
        <v>1039</v>
      </c>
      <c r="M188" s="2255">
        <f>C188*G188</f>
        <v>1078.3152499999999</v>
      </c>
    </row>
    <row r="189" spans="1:22">
      <c r="B189" s="2252" t="s">
        <v>4016</v>
      </c>
      <c r="C189" s="2255">
        <f>M172</f>
        <v>57.355572999999993</v>
      </c>
      <c r="D189" s="2252" t="s">
        <v>3981</v>
      </c>
      <c r="F189" s="2252" t="s">
        <v>1552</v>
      </c>
      <c r="G189" s="2255">
        <v>3.5</v>
      </c>
      <c r="H189" s="2252" t="s">
        <v>4024</v>
      </c>
      <c r="L189" s="2255" t="s">
        <v>1039</v>
      </c>
      <c r="M189" s="2255">
        <f>C189*G189</f>
        <v>200.74450549999997</v>
      </c>
      <c r="S189" s="2253"/>
    </row>
    <row r="190" spans="1:22">
      <c r="B190" s="2252" t="s">
        <v>4017</v>
      </c>
      <c r="C190" s="2255">
        <f>M176</f>
        <v>338.83709999999996</v>
      </c>
      <c r="D190" s="2252" t="s">
        <v>3981</v>
      </c>
      <c r="F190" s="2252" t="s">
        <v>1552</v>
      </c>
      <c r="G190" s="2255">
        <v>2.5</v>
      </c>
      <c r="H190" s="2252" t="s">
        <v>4024</v>
      </c>
      <c r="L190" s="2255" t="s">
        <v>1039</v>
      </c>
      <c r="M190" s="2255">
        <f>C190*G190</f>
        <v>847.09274999999991</v>
      </c>
      <c r="S190" s="2253"/>
    </row>
    <row r="191" spans="1:22">
      <c r="B191" s="2252" t="s">
        <v>4026</v>
      </c>
      <c r="C191" s="2255">
        <f>M182</f>
        <v>98.66</v>
      </c>
      <c r="D191" s="2252" t="s">
        <v>4020</v>
      </c>
      <c r="F191" s="2252" t="s">
        <v>1552</v>
      </c>
      <c r="G191" s="2255">
        <v>0.5</v>
      </c>
      <c r="H191" s="2252" t="s">
        <v>4027</v>
      </c>
      <c r="L191" s="2257" t="s">
        <v>1039</v>
      </c>
      <c r="M191" s="2257">
        <f>C191*G191</f>
        <v>49.33</v>
      </c>
      <c r="N191" s="2256"/>
      <c r="S191" s="2253"/>
      <c r="T191" s="2273"/>
    </row>
    <row r="192" spans="1:22">
      <c r="B192" s="2251" t="s">
        <v>928</v>
      </c>
      <c r="C192" s="2253"/>
      <c r="D192" s="2251"/>
      <c r="E192" s="2251"/>
      <c r="G192" s="2251"/>
      <c r="H192" s="2251"/>
      <c r="I192" s="2253"/>
      <c r="J192" s="2253"/>
      <c r="K192" s="2253"/>
      <c r="L192" s="2255"/>
      <c r="M192" s="2253">
        <f>SUM(M187:M191)</f>
        <v>2486.5225054999996</v>
      </c>
      <c r="N192" s="2253" t="s">
        <v>95</v>
      </c>
      <c r="Q192" s="2251"/>
      <c r="R192" s="2253"/>
    </row>
    <row r="193" spans="1:20">
      <c r="B193" s="2251"/>
      <c r="C193" s="2253"/>
      <c r="D193" s="2251"/>
      <c r="E193" s="2253"/>
      <c r="F193" s="2251"/>
      <c r="G193" s="2253"/>
      <c r="H193" s="2251"/>
      <c r="I193" s="2253" t="s">
        <v>1764</v>
      </c>
      <c r="J193" s="2253"/>
      <c r="K193" s="2253"/>
      <c r="L193" s="2255"/>
      <c r="M193" s="2253">
        <f>ROUND(M192/100,2)-0.4</f>
        <v>24.470000000000002</v>
      </c>
      <c r="N193" s="2253" t="s">
        <v>125</v>
      </c>
      <c r="O193" s="2253"/>
      <c r="P193" s="2253"/>
      <c r="R193" s="2253"/>
      <c r="T193" s="2252">
        <f>2603.88/8075.23</f>
        <v>0.3224527350923751</v>
      </c>
    </row>
    <row r="194" spans="1:20">
      <c r="B194" s="2251"/>
      <c r="C194" s="2253"/>
      <c r="D194" s="2251"/>
      <c r="E194" s="2253" t="s">
        <v>1552</v>
      </c>
      <c r="F194" s="2251" t="s">
        <v>932</v>
      </c>
      <c r="G194" s="2253">
        <f>'Lead &amp; ANALYSIS'!L617</f>
        <v>8589.7000000000007</v>
      </c>
      <c r="H194" s="2251" t="s">
        <v>3988</v>
      </c>
      <c r="I194" s="2253" t="s">
        <v>4028</v>
      </c>
      <c r="J194" s="2253"/>
      <c r="K194" s="2253"/>
      <c r="L194" s="2251"/>
      <c r="M194" s="2251" t="s">
        <v>1039</v>
      </c>
      <c r="N194" s="2251" t="s">
        <v>932</v>
      </c>
      <c r="O194" s="2253">
        <f>M193*G194</f>
        <v>210189.95900000003</v>
      </c>
      <c r="P194" s="2253"/>
    </row>
    <row r="195" spans="1:20" ht="7.5" customHeight="1">
      <c r="B195" s="2251"/>
      <c r="C195" s="2253"/>
      <c r="D195" s="2251"/>
      <c r="E195" s="2253"/>
      <c r="F195" s="2251"/>
      <c r="G195" s="2253"/>
      <c r="H195" s="2251"/>
      <c r="I195" s="2253"/>
      <c r="J195" s="2253"/>
      <c r="K195" s="2253"/>
      <c r="L195" s="2251"/>
      <c r="M195" s="2251"/>
      <c r="N195" s="2251"/>
      <c r="O195" s="2253"/>
      <c r="P195" s="2253"/>
    </row>
    <row r="196" spans="1:20" ht="52.5" hidden="1" customHeight="1">
      <c r="A196" s="2251">
        <v>8</v>
      </c>
      <c r="B196" s="3042" t="s">
        <v>4029</v>
      </c>
      <c r="C196" s="3042"/>
      <c r="D196" s="3042"/>
      <c r="E196" s="3042"/>
      <c r="F196" s="3042"/>
      <c r="G196" s="3042"/>
      <c r="H196" s="3042"/>
      <c r="I196" s="3042"/>
      <c r="J196" s="2260"/>
      <c r="K196" s="2260"/>
      <c r="L196" s="2255"/>
      <c r="M196" s="2253"/>
      <c r="N196" s="2255"/>
      <c r="O196" s="2251"/>
      <c r="P196" s="2253"/>
    </row>
    <row r="197" spans="1:20" hidden="1">
      <c r="B197" s="2252" t="s">
        <v>4018</v>
      </c>
      <c r="C197" s="2252">
        <v>1</v>
      </c>
      <c r="D197" s="2252" t="s">
        <v>901</v>
      </c>
      <c r="E197" s="2255">
        <f>E175</f>
        <v>34.33</v>
      </c>
      <c r="F197" s="2252" t="s">
        <v>901</v>
      </c>
      <c r="G197" s="2255">
        <f>G175</f>
        <v>23.5</v>
      </c>
      <c r="I197" s="2255"/>
      <c r="J197" s="2255"/>
      <c r="K197" s="2255"/>
      <c r="L197" s="2255" t="s">
        <v>1039</v>
      </c>
      <c r="M197" s="2255">
        <f>C197*E197*G197</f>
        <v>806.755</v>
      </c>
      <c r="N197" s="2263"/>
      <c r="O197" s="2251"/>
      <c r="P197" s="2253"/>
    </row>
    <row r="198" spans="1:20" hidden="1">
      <c r="B198" s="2251" t="s">
        <v>928</v>
      </c>
      <c r="C198" s="2253"/>
      <c r="D198" s="2251"/>
      <c r="G198" s="2251"/>
      <c r="H198" s="2251"/>
      <c r="I198" s="2251"/>
      <c r="J198" s="2253"/>
      <c r="K198" s="2253"/>
      <c r="L198" s="2255" t="s">
        <v>1039</v>
      </c>
      <c r="M198" s="2253">
        <f>SUM(M197)</f>
        <v>806.755</v>
      </c>
      <c r="N198" s="2253" t="s">
        <v>4020</v>
      </c>
      <c r="O198" s="2251"/>
      <c r="P198" s="2253"/>
    </row>
    <row r="199" spans="1:20" hidden="1">
      <c r="B199" s="2251" t="s">
        <v>379</v>
      </c>
      <c r="C199" s="2253">
        <v>0</v>
      </c>
      <c r="D199" s="2251" t="s">
        <v>357</v>
      </c>
      <c r="E199" s="2253" t="s">
        <v>1552</v>
      </c>
      <c r="F199" s="2251" t="s">
        <v>932</v>
      </c>
      <c r="G199" s="2253">
        <f>'[6]Analysis '!J589</f>
        <v>280.20999999999998</v>
      </c>
      <c r="H199" s="2251" t="s">
        <v>3988</v>
      </c>
      <c r="I199" s="2253" t="s">
        <v>357</v>
      </c>
      <c r="J199" s="2253"/>
      <c r="K199" s="2253"/>
      <c r="L199" s="2251"/>
      <c r="M199" s="2251" t="s">
        <v>1039</v>
      </c>
      <c r="N199" s="2251" t="s">
        <v>932</v>
      </c>
      <c r="O199" s="2253">
        <f>C199*G199</f>
        <v>0</v>
      </c>
      <c r="P199" s="2253"/>
    </row>
    <row r="200" spans="1:20" hidden="1">
      <c r="B200" s="2251"/>
      <c r="C200" s="2253"/>
      <c r="D200" s="2251"/>
      <c r="E200" s="2253"/>
      <c r="F200" s="2251"/>
      <c r="G200" s="2253"/>
      <c r="H200" s="2251"/>
      <c r="I200" s="2253"/>
      <c r="J200" s="2253"/>
      <c r="K200" s="2253"/>
      <c r="L200" s="2251"/>
      <c r="M200" s="2251"/>
      <c r="N200" s="2251"/>
      <c r="O200" s="2253"/>
      <c r="P200" s="2253"/>
    </row>
    <row r="201" spans="1:20" ht="59.1" customHeight="1">
      <c r="A201" s="2251">
        <v>8</v>
      </c>
      <c r="B201" s="3042" t="s">
        <v>4030</v>
      </c>
      <c r="C201" s="3042"/>
      <c r="D201" s="3042"/>
      <c r="E201" s="3042"/>
      <c r="F201" s="3042"/>
      <c r="G201" s="3042"/>
      <c r="H201" s="3042"/>
      <c r="I201" s="3042"/>
      <c r="J201" s="3042"/>
      <c r="K201" s="3042"/>
      <c r="L201" s="3042"/>
    </row>
    <row r="202" spans="1:20">
      <c r="B202" s="2251" t="s">
        <v>4031</v>
      </c>
    </row>
    <row r="203" spans="1:20">
      <c r="B203" s="2251" t="s">
        <v>4032</v>
      </c>
      <c r="C203" s="2255">
        <v>2</v>
      </c>
      <c r="D203" s="2252" t="s">
        <v>901</v>
      </c>
      <c r="E203" s="2255">
        <v>4</v>
      </c>
      <c r="F203" s="2252" t="s">
        <v>901</v>
      </c>
      <c r="G203" s="2255">
        <v>7</v>
      </c>
      <c r="L203" s="2252" t="s">
        <v>1039</v>
      </c>
      <c r="M203" s="2255">
        <f>C203*E203*G203</f>
        <v>56</v>
      </c>
      <c r="N203" s="2252" t="s">
        <v>4033</v>
      </c>
    </row>
    <row r="204" spans="1:20" hidden="1">
      <c r="B204" s="2251"/>
      <c r="C204" s="2255">
        <v>0</v>
      </c>
      <c r="D204" s="2252" t="s">
        <v>901</v>
      </c>
      <c r="E204" s="2252">
        <v>3.5</v>
      </c>
      <c r="F204" s="2252" t="s">
        <v>901</v>
      </c>
      <c r="G204" s="2255">
        <v>7</v>
      </c>
      <c r="L204" s="2256" t="s">
        <v>1039</v>
      </c>
      <c r="M204" s="2257">
        <f>C204*E204*G204</f>
        <v>0</v>
      </c>
      <c r="N204" s="2256" t="s">
        <v>4033</v>
      </c>
    </row>
    <row r="205" spans="1:20">
      <c r="B205" s="2251"/>
      <c r="C205" s="2255"/>
      <c r="M205" s="2255">
        <f>SUM(M203:M204)</f>
        <v>56</v>
      </c>
      <c r="N205" s="2252" t="s">
        <v>4033</v>
      </c>
    </row>
    <row r="206" spans="1:20">
      <c r="B206" s="2251"/>
      <c r="C206" s="2255"/>
      <c r="F206" s="2251" t="s">
        <v>1552</v>
      </c>
      <c r="G206" s="2253">
        <v>3.75</v>
      </c>
      <c r="H206" s="2251" t="s">
        <v>4027</v>
      </c>
      <c r="I206" s="2251"/>
      <c r="J206" s="2251"/>
      <c r="K206" s="2251"/>
      <c r="L206" s="2253" t="s">
        <v>1039</v>
      </c>
      <c r="M206" s="2253">
        <f>M205*G206</f>
        <v>210</v>
      </c>
      <c r="N206" s="2251" t="s">
        <v>95</v>
      </c>
    </row>
    <row r="207" spans="1:20">
      <c r="B207" s="2251"/>
      <c r="C207" s="2255"/>
    </row>
    <row r="208" spans="1:20">
      <c r="B208" s="2251" t="s">
        <v>1948</v>
      </c>
      <c r="C208" s="2255">
        <v>4</v>
      </c>
      <c r="D208" s="2252" t="s">
        <v>901</v>
      </c>
      <c r="E208" s="2255">
        <v>4</v>
      </c>
      <c r="F208" s="2252" t="s">
        <v>901</v>
      </c>
      <c r="G208" s="2255">
        <v>4</v>
      </c>
      <c r="L208" s="2252" t="s">
        <v>1039</v>
      </c>
      <c r="M208" s="2255">
        <f>C208*E208*G208</f>
        <v>64</v>
      </c>
      <c r="N208" s="2252" t="s">
        <v>4033</v>
      </c>
    </row>
    <row r="209" spans="1:16">
      <c r="B209" s="2251"/>
      <c r="C209" s="2255"/>
      <c r="F209" s="2251" t="s">
        <v>1552</v>
      </c>
      <c r="G209" s="2253">
        <v>5.5</v>
      </c>
      <c r="H209" s="2251" t="s">
        <v>4027</v>
      </c>
      <c r="I209" s="2251"/>
      <c r="J209" s="2251"/>
      <c r="K209" s="2251"/>
      <c r="L209" s="2253" t="s">
        <v>1039</v>
      </c>
      <c r="M209" s="2253">
        <f>M208*G209</f>
        <v>352</v>
      </c>
      <c r="N209" s="2251" t="s">
        <v>95</v>
      </c>
    </row>
    <row r="210" spans="1:16">
      <c r="B210" s="2251"/>
      <c r="C210" s="2255"/>
    </row>
    <row r="211" spans="1:16" hidden="1">
      <c r="B211" s="2252" t="s">
        <v>4034</v>
      </c>
      <c r="E211" s="2255"/>
      <c r="G211" s="2255"/>
      <c r="L211" s="2255"/>
      <c r="M211" s="2255"/>
    </row>
    <row r="212" spans="1:16" hidden="1">
      <c r="B212" s="2252" t="s">
        <v>1954</v>
      </c>
      <c r="C212" s="2252">
        <v>0</v>
      </c>
      <c r="D212" s="2252" t="s">
        <v>901</v>
      </c>
      <c r="E212" s="2255">
        <v>2</v>
      </c>
      <c r="F212" s="2252" t="s">
        <v>901</v>
      </c>
      <c r="G212" s="2255">
        <v>2</v>
      </c>
      <c r="L212" s="2255" t="s">
        <v>1039</v>
      </c>
      <c r="M212" s="2255">
        <f>C212*E212*G212</f>
        <v>0</v>
      </c>
    </row>
    <row r="213" spans="1:16" hidden="1">
      <c r="E213" s="2255"/>
      <c r="G213" s="2255"/>
      <c r="I213" s="2252" t="s">
        <v>928</v>
      </c>
      <c r="L213" s="2255" t="s">
        <v>1039</v>
      </c>
      <c r="M213" s="2255">
        <f>SUM(M212:M212)</f>
        <v>0</v>
      </c>
      <c r="N213" s="2252" t="s">
        <v>4020</v>
      </c>
    </row>
    <row r="214" spans="1:16" hidden="1">
      <c r="E214" s="2255"/>
      <c r="F214" s="2251" t="s">
        <v>1552</v>
      </c>
      <c r="G214" s="2253">
        <v>1.5</v>
      </c>
      <c r="H214" s="2251" t="s">
        <v>4027</v>
      </c>
      <c r="I214" s="2251"/>
      <c r="J214" s="2251"/>
      <c r="K214" s="2251"/>
      <c r="L214" s="2261" t="s">
        <v>1039</v>
      </c>
      <c r="M214" s="2261">
        <f>M213*G214</f>
        <v>0</v>
      </c>
      <c r="N214" s="2258" t="s">
        <v>95</v>
      </c>
    </row>
    <row r="215" spans="1:16" hidden="1">
      <c r="B215" s="2251" t="s">
        <v>1572</v>
      </c>
      <c r="E215" s="2255"/>
      <c r="G215" s="2255"/>
      <c r="L215" s="2255" t="s">
        <v>1039</v>
      </c>
      <c r="M215" s="2253">
        <f>M214</f>
        <v>0</v>
      </c>
      <c r="N215" s="2251" t="s">
        <v>95</v>
      </c>
    </row>
    <row r="216" spans="1:16">
      <c r="B216" s="2251" t="s">
        <v>4035</v>
      </c>
      <c r="E216" s="2255"/>
      <c r="G216" s="2255"/>
      <c r="L216" s="2255" t="s">
        <v>1039</v>
      </c>
      <c r="M216" s="2253">
        <f xml:space="preserve"> ROUND(M206+M209+M215,2)</f>
        <v>562</v>
      </c>
      <c r="N216" s="2251" t="s">
        <v>4036</v>
      </c>
    </row>
    <row r="217" spans="1:16">
      <c r="B217" s="2251"/>
      <c r="E217" s="2253" t="s">
        <v>1552</v>
      </c>
      <c r="F217" s="2251" t="s">
        <v>932</v>
      </c>
      <c r="G217" s="2253">
        <v>110</v>
      </c>
      <c r="H217" s="2251" t="s">
        <v>3988</v>
      </c>
      <c r="I217" s="2253" t="s">
        <v>95</v>
      </c>
      <c r="J217" s="2253"/>
      <c r="K217" s="2253"/>
      <c r="L217" s="2251"/>
      <c r="M217" s="2251" t="s">
        <v>1039</v>
      </c>
      <c r="N217" s="2251" t="s">
        <v>932</v>
      </c>
      <c r="O217" s="2253">
        <f>M216*G217</f>
        <v>61820</v>
      </c>
      <c r="P217" s="2253"/>
    </row>
    <row r="218" spans="1:16">
      <c r="B218" s="2251"/>
      <c r="E218" s="2253"/>
      <c r="F218" s="2251"/>
      <c r="G218" s="2253"/>
      <c r="H218" s="2251"/>
      <c r="I218" s="2253"/>
      <c r="J218" s="2253"/>
      <c r="K218" s="2253"/>
      <c r="L218" s="2251"/>
      <c r="M218" s="2251"/>
      <c r="N218" s="2251"/>
      <c r="O218" s="2253"/>
      <c r="P218" s="2253"/>
    </row>
    <row r="219" spans="1:16" ht="72" hidden="1" customHeight="1">
      <c r="A219" s="2251">
        <v>9</v>
      </c>
      <c r="B219" s="3042" t="s">
        <v>4037</v>
      </c>
      <c r="C219" s="3042"/>
      <c r="D219" s="3042"/>
      <c r="E219" s="3042"/>
      <c r="F219" s="3042"/>
      <c r="G219" s="3042"/>
      <c r="H219" s="3042"/>
      <c r="I219" s="3042"/>
      <c r="J219" s="3042"/>
      <c r="K219" s="3042"/>
      <c r="L219" s="3042"/>
      <c r="M219" s="3042"/>
      <c r="N219" s="2255"/>
      <c r="O219" s="2251"/>
      <c r="P219" s="2253"/>
    </row>
    <row r="220" spans="1:16" ht="15" hidden="1" customHeight="1">
      <c r="B220" s="2252" t="s">
        <v>4038</v>
      </c>
      <c r="C220" s="2252">
        <v>3</v>
      </c>
      <c r="D220" s="2252" t="s">
        <v>901</v>
      </c>
      <c r="E220" s="2252">
        <v>4</v>
      </c>
      <c r="F220" s="2252" t="s">
        <v>901</v>
      </c>
      <c r="G220" s="2252">
        <v>7</v>
      </c>
      <c r="L220" s="2252" t="s">
        <v>1039</v>
      </c>
      <c r="M220" s="2255">
        <f>C220*E220*G220</f>
        <v>84</v>
      </c>
      <c r="N220" s="2252" t="s">
        <v>4033</v>
      </c>
      <c r="P220" s="2253"/>
    </row>
    <row r="221" spans="1:16" ht="15" hidden="1" customHeight="1">
      <c r="B221" s="2252" t="s">
        <v>1950</v>
      </c>
      <c r="C221" s="2252">
        <v>0</v>
      </c>
      <c r="D221" s="2252" t="s">
        <v>901</v>
      </c>
      <c r="E221" s="2252">
        <v>3.5</v>
      </c>
      <c r="F221" s="2252" t="s">
        <v>901</v>
      </c>
      <c r="G221" s="2252">
        <v>7</v>
      </c>
      <c r="L221" s="2252" t="s">
        <v>1039</v>
      </c>
      <c r="M221" s="2252">
        <f>C221*E221*G221</f>
        <v>0</v>
      </c>
      <c r="N221" s="2252" t="s">
        <v>4033</v>
      </c>
      <c r="P221" s="2253"/>
    </row>
    <row r="222" spans="1:16" hidden="1">
      <c r="B222" s="2252" t="s">
        <v>1952</v>
      </c>
      <c r="C222" s="2252">
        <v>5</v>
      </c>
      <c r="D222" s="2252" t="s">
        <v>901</v>
      </c>
      <c r="E222" s="2255">
        <v>4</v>
      </c>
      <c r="F222" s="2252" t="s">
        <v>901</v>
      </c>
      <c r="G222" s="2255">
        <v>4</v>
      </c>
      <c r="L222" s="2255" t="s">
        <v>1039</v>
      </c>
      <c r="M222" s="2255">
        <f>C222*E222*G222</f>
        <v>80</v>
      </c>
      <c r="N222" s="2252" t="s">
        <v>4033</v>
      </c>
    </row>
    <row r="223" spans="1:16" hidden="1">
      <c r="B223" s="2252" t="s">
        <v>1954</v>
      </c>
      <c r="C223" s="2252">
        <v>1</v>
      </c>
      <c r="D223" s="2252" t="s">
        <v>901</v>
      </c>
      <c r="E223" s="2255">
        <v>2</v>
      </c>
      <c r="F223" s="2252" t="s">
        <v>901</v>
      </c>
      <c r="G223" s="2255">
        <v>2</v>
      </c>
      <c r="L223" s="2257" t="s">
        <v>1039</v>
      </c>
      <c r="M223" s="2257">
        <f>C223*E223*G223</f>
        <v>4</v>
      </c>
      <c r="N223" s="2252" t="s">
        <v>4033</v>
      </c>
    </row>
    <row r="224" spans="1:16" hidden="1">
      <c r="B224" s="2251" t="s">
        <v>928</v>
      </c>
      <c r="C224" s="2251"/>
      <c r="D224" s="2251"/>
      <c r="E224" s="2253"/>
      <c r="F224" s="2251"/>
      <c r="G224" s="2253"/>
      <c r="H224" s="2251"/>
      <c r="I224" s="2251"/>
      <c r="J224" s="2251"/>
      <c r="K224" s="2251"/>
      <c r="L224" s="2253" t="s">
        <v>1039</v>
      </c>
      <c r="M224" s="2253">
        <f>SUM(M220:M223)</f>
        <v>168</v>
      </c>
      <c r="N224" s="2251" t="s">
        <v>4020</v>
      </c>
    </row>
    <row r="225" spans="1:16" hidden="1">
      <c r="B225" s="2251" t="s">
        <v>379</v>
      </c>
      <c r="C225" s="2253">
        <f xml:space="preserve"> ROUND(M224*0.0929,2)</f>
        <v>15.61</v>
      </c>
      <c r="D225" s="2251" t="s">
        <v>357</v>
      </c>
      <c r="E225" s="2253" t="s">
        <v>1552</v>
      </c>
      <c r="F225" s="2251" t="s">
        <v>932</v>
      </c>
      <c r="G225" s="2253">
        <f>'[6]Analysis '!J1348</f>
        <v>67.400000000000006</v>
      </c>
      <c r="H225" s="2251" t="s">
        <v>3988</v>
      </c>
      <c r="I225" s="2253" t="s">
        <v>357</v>
      </c>
      <c r="J225" s="2253"/>
      <c r="K225" s="2253"/>
      <c r="L225" s="2251"/>
      <c r="M225" s="2251" t="s">
        <v>1039</v>
      </c>
      <c r="N225" s="2251" t="s">
        <v>932</v>
      </c>
      <c r="O225" s="2253">
        <f>ROUND(C225*G225,0)*0</f>
        <v>0</v>
      </c>
      <c r="P225" s="2253"/>
    </row>
    <row r="226" spans="1:16" hidden="1">
      <c r="B226" s="2251"/>
      <c r="C226" s="2253"/>
      <c r="D226" s="2251"/>
      <c r="E226" s="2253"/>
      <c r="F226" s="2251"/>
      <c r="G226" s="2253"/>
      <c r="H226" s="2251"/>
      <c r="I226" s="2253"/>
      <c r="J226" s="2253"/>
      <c r="K226" s="2253"/>
      <c r="L226" s="2251"/>
      <c r="M226" s="2251"/>
      <c r="N226" s="2251"/>
      <c r="O226" s="2253"/>
      <c r="P226" s="2253"/>
    </row>
    <row r="227" spans="1:16" ht="55.5" customHeight="1">
      <c r="A227" s="2251">
        <v>9</v>
      </c>
      <c r="B227" s="3042" t="s">
        <v>4039</v>
      </c>
      <c r="C227" s="3042"/>
      <c r="D227" s="3042"/>
      <c r="E227" s="3042"/>
      <c r="F227" s="3042"/>
      <c r="G227" s="3042"/>
      <c r="H227" s="3042"/>
      <c r="I227" s="3042"/>
      <c r="J227" s="2260"/>
      <c r="K227" s="2260"/>
    </row>
    <row r="228" spans="1:16">
      <c r="B228" s="2252" t="s">
        <v>4040</v>
      </c>
      <c r="C228" s="2252">
        <v>2</v>
      </c>
      <c r="D228" s="2252" t="s">
        <v>901</v>
      </c>
      <c r="E228" s="2255">
        <v>33.33</v>
      </c>
      <c r="G228" s="2255"/>
      <c r="H228" s="2252" t="s">
        <v>901</v>
      </c>
      <c r="I228" s="2255">
        <v>2.5</v>
      </c>
      <c r="J228" s="2255"/>
      <c r="K228" s="2255"/>
      <c r="L228" s="2255" t="s">
        <v>1039</v>
      </c>
      <c r="M228" s="2255">
        <f>C228*E228*I228</f>
        <v>166.64999999999998</v>
      </c>
      <c r="N228" s="2251" t="str">
        <f>N220</f>
        <v>sqft</v>
      </c>
      <c r="O228" s="2253"/>
    </row>
    <row r="229" spans="1:16">
      <c r="C229" s="2252">
        <v>2</v>
      </c>
      <c r="D229" s="2252" t="s">
        <v>901</v>
      </c>
      <c r="E229" s="2255">
        <v>22.5</v>
      </c>
      <c r="G229" s="2255"/>
      <c r="H229" s="2252" t="s">
        <v>901</v>
      </c>
      <c r="I229" s="2255">
        <v>2.5</v>
      </c>
      <c r="J229" s="2255"/>
      <c r="K229" s="2255"/>
      <c r="L229" s="2255" t="s">
        <v>1039</v>
      </c>
      <c r="M229" s="2255">
        <f>C229*E229*I229</f>
        <v>112.5</v>
      </c>
      <c r="N229" s="2251" t="str">
        <f>N221</f>
        <v>sqft</v>
      </c>
      <c r="O229" s="2253"/>
    </row>
    <row r="230" spans="1:16">
      <c r="B230" s="2252" t="s">
        <v>3984</v>
      </c>
      <c r="C230" s="2252">
        <v>2</v>
      </c>
      <c r="D230" s="2252" t="s">
        <v>901</v>
      </c>
      <c r="E230" s="2255">
        <v>10</v>
      </c>
      <c r="G230" s="2255"/>
      <c r="H230" s="2252" t="s">
        <v>901</v>
      </c>
      <c r="I230" s="2255">
        <v>1.25</v>
      </c>
      <c r="J230" s="2255"/>
      <c r="K230" s="2255"/>
      <c r="L230" s="2255" t="s">
        <v>1039</v>
      </c>
      <c r="M230" s="2255">
        <f>C230*E230*I230</f>
        <v>25</v>
      </c>
      <c r="N230" s="2251" t="str">
        <f>N222</f>
        <v>sqft</v>
      </c>
      <c r="O230" s="2253"/>
    </row>
    <row r="231" spans="1:16" hidden="1">
      <c r="B231" s="2251"/>
      <c r="C231" s="2252">
        <v>0</v>
      </c>
      <c r="D231" s="2252" t="s">
        <v>901</v>
      </c>
      <c r="E231" s="2255">
        <f>12.83+7.83+1</f>
        <v>21.66</v>
      </c>
      <c r="G231" s="2255"/>
      <c r="H231" s="2252" t="s">
        <v>901</v>
      </c>
      <c r="I231" s="2255">
        <v>2.5</v>
      </c>
      <c r="J231" s="2255"/>
      <c r="K231" s="2255"/>
      <c r="L231" s="2257" t="s">
        <v>1039</v>
      </c>
      <c r="M231" s="2257">
        <f>C231*E231*I231</f>
        <v>0</v>
      </c>
      <c r="N231" s="2251" t="str">
        <f>N223</f>
        <v>sqft</v>
      </c>
      <c r="O231" s="2253"/>
    </row>
    <row r="232" spans="1:16">
      <c r="B232" s="2251" t="s">
        <v>928</v>
      </c>
      <c r="L232" s="2255" t="s">
        <v>1039</v>
      </c>
      <c r="M232" s="2253">
        <f>SUM(M228:M231)</f>
        <v>304.14999999999998</v>
      </c>
      <c r="N232" s="2251" t="s">
        <v>4020</v>
      </c>
      <c r="O232" s="2251"/>
    </row>
    <row r="233" spans="1:16">
      <c r="B233" s="2251" t="s">
        <v>379</v>
      </c>
      <c r="C233" s="2253">
        <f xml:space="preserve"> ROUND(M232*0.0929,2)</f>
        <v>28.26</v>
      </c>
      <c r="D233" s="2251" t="s">
        <v>357</v>
      </c>
      <c r="E233" s="2253" t="s">
        <v>1552</v>
      </c>
      <c r="F233" s="2251" t="s">
        <v>932</v>
      </c>
      <c r="G233" s="2253">
        <f>'Lead &amp; ANALYSIS'!L679</f>
        <v>246.6</v>
      </c>
      <c r="H233" s="2251" t="s">
        <v>3988</v>
      </c>
      <c r="I233" s="2253" t="s">
        <v>357</v>
      </c>
      <c r="J233" s="2253"/>
      <c r="K233" s="2253"/>
      <c r="L233" s="2251"/>
      <c r="M233" s="2251" t="s">
        <v>1039</v>
      </c>
      <c r="N233" s="2251" t="s">
        <v>932</v>
      </c>
      <c r="O233" s="2253">
        <f>C233*G233</f>
        <v>6968.9160000000002</v>
      </c>
    </row>
    <row r="234" spans="1:16">
      <c r="B234" s="2251"/>
      <c r="C234" s="2253"/>
      <c r="D234" s="2251"/>
      <c r="E234" s="2253"/>
      <c r="F234" s="2251"/>
      <c r="G234" s="2253"/>
      <c r="H234" s="2251"/>
      <c r="I234" s="2253"/>
      <c r="J234" s="2253"/>
      <c r="K234" s="2253"/>
      <c r="L234" s="2251"/>
      <c r="M234" s="2251"/>
      <c r="N234" s="2251"/>
      <c r="O234" s="2253"/>
    </row>
    <row r="235" spans="1:16" ht="55.5" customHeight="1">
      <c r="A235" s="2251">
        <v>10</v>
      </c>
      <c r="B235" s="3042" t="s">
        <v>4041</v>
      </c>
      <c r="C235" s="3042"/>
      <c r="D235" s="3042"/>
      <c r="E235" s="3042"/>
      <c r="F235" s="3042"/>
      <c r="G235" s="3042"/>
      <c r="H235" s="3042"/>
      <c r="I235" s="3042"/>
      <c r="J235" s="2260"/>
      <c r="K235" s="2260"/>
    </row>
    <row r="236" spans="1:16">
      <c r="B236" s="2252" t="s">
        <v>4177</v>
      </c>
      <c r="C236" s="2252">
        <v>2</v>
      </c>
      <c r="D236" s="2252" t="s">
        <v>901</v>
      </c>
      <c r="E236" s="2255">
        <v>31.66</v>
      </c>
      <c r="G236" s="2255"/>
      <c r="H236" s="2252" t="s">
        <v>901</v>
      </c>
      <c r="I236" s="2255">
        <v>10.5</v>
      </c>
      <c r="J236" s="2255"/>
      <c r="K236" s="2255"/>
      <c r="L236" s="2255" t="s">
        <v>1039</v>
      </c>
      <c r="M236" s="2255">
        <f>C236*E236*I236</f>
        <v>664.86</v>
      </c>
      <c r="N236" s="2251" t="s">
        <v>3675</v>
      </c>
    </row>
    <row r="237" spans="1:16">
      <c r="C237" s="2252">
        <v>2</v>
      </c>
      <c r="D237" s="2252" t="s">
        <v>901</v>
      </c>
      <c r="E237" s="2255">
        <v>15</v>
      </c>
      <c r="G237" s="2255"/>
      <c r="H237" s="2252" t="s">
        <v>901</v>
      </c>
      <c r="I237" s="2255">
        <v>10.5</v>
      </c>
      <c r="J237" s="2255"/>
      <c r="K237" s="2255"/>
      <c r="L237" s="2255" t="s">
        <v>1039</v>
      </c>
      <c r="M237" s="2255">
        <f>C237*E237*I237</f>
        <v>315</v>
      </c>
      <c r="N237" s="2251" t="s">
        <v>3675</v>
      </c>
    </row>
    <row r="238" spans="1:16">
      <c r="C238" s="2252">
        <v>1</v>
      </c>
      <c r="D238" s="2252" t="s">
        <v>901</v>
      </c>
      <c r="E238" s="2255">
        <v>31.66</v>
      </c>
      <c r="G238" s="2255"/>
      <c r="H238" s="2252" t="s">
        <v>901</v>
      </c>
      <c r="I238" s="2255">
        <v>4</v>
      </c>
      <c r="J238" s="2255"/>
      <c r="K238" s="2255"/>
      <c r="L238" s="2255" t="s">
        <v>1039</v>
      </c>
      <c r="M238" s="2255">
        <f>C238*E238*I238</f>
        <v>126.64</v>
      </c>
      <c r="N238" s="2251" t="s">
        <v>3675</v>
      </c>
    </row>
    <row r="239" spans="1:16">
      <c r="C239" s="2252">
        <v>2</v>
      </c>
      <c r="D239" s="2252" t="s">
        <v>901</v>
      </c>
      <c r="E239" s="2255">
        <v>5</v>
      </c>
      <c r="G239" s="2255"/>
      <c r="H239" s="2252" t="s">
        <v>901</v>
      </c>
      <c r="I239" s="2255">
        <v>4</v>
      </c>
      <c r="J239" s="2255"/>
      <c r="K239" s="2255"/>
      <c r="L239" s="2255" t="s">
        <v>1039</v>
      </c>
      <c r="M239" s="2255">
        <f>C239*E239*I239</f>
        <v>40</v>
      </c>
      <c r="N239" s="2251" t="s">
        <v>3675</v>
      </c>
    </row>
    <row r="240" spans="1:16">
      <c r="B240" s="2251" t="s">
        <v>928</v>
      </c>
      <c r="L240" s="2255" t="s">
        <v>1039</v>
      </c>
      <c r="M240" s="2253">
        <f>SUM(M236:M239)</f>
        <v>1146.5</v>
      </c>
      <c r="N240" s="2251" t="s">
        <v>3675</v>
      </c>
      <c r="O240" s="2251"/>
    </row>
    <row r="241" spans="1:15">
      <c r="B241" s="2251" t="s">
        <v>1883</v>
      </c>
      <c r="M241" s="2253"/>
      <c r="N241" s="2251"/>
      <c r="O241" s="2251"/>
    </row>
    <row r="242" spans="1:15">
      <c r="B242" s="2251" t="s">
        <v>4021</v>
      </c>
      <c r="C242" s="2252">
        <v>4</v>
      </c>
      <c r="D242" s="2252" t="s">
        <v>901</v>
      </c>
      <c r="E242" s="2252">
        <v>0.5</v>
      </c>
      <c r="F242" s="2252" t="s">
        <v>901</v>
      </c>
      <c r="G242" s="2252">
        <v>4</v>
      </c>
      <c r="H242" s="2252" t="s">
        <v>901</v>
      </c>
      <c r="I242" s="2252">
        <v>4</v>
      </c>
      <c r="L242" s="2252" t="s">
        <v>1039</v>
      </c>
      <c r="M242" s="2253">
        <f>I242*G242*E242*C242</f>
        <v>32</v>
      </c>
      <c r="N242" s="2251" t="str">
        <f>N236</f>
        <v>Sft</v>
      </c>
      <c r="O242" s="2251"/>
    </row>
    <row r="243" spans="1:15" hidden="1">
      <c r="B243" s="2252" t="s">
        <v>4042</v>
      </c>
      <c r="C243" s="2252">
        <v>0</v>
      </c>
      <c r="D243" s="2252" t="s">
        <v>901</v>
      </c>
      <c r="E243" s="2255">
        <v>0.5</v>
      </c>
      <c r="F243" s="2252" t="s">
        <v>901</v>
      </c>
      <c r="G243" s="2252">
        <v>2</v>
      </c>
      <c r="I243" s="2255">
        <v>2</v>
      </c>
      <c r="J243" s="2255"/>
      <c r="K243" s="2255"/>
      <c r="L243" s="2255" t="s">
        <v>1039</v>
      </c>
      <c r="M243" s="2255">
        <f>C243*E243*I243*G243</f>
        <v>0</v>
      </c>
      <c r="N243" s="2251" t="str">
        <f>N237</f>
        <v>Sft</v>
      </c>
      <c r="O243" s="2251"/>
    </row>
    <row r="244" spans="1:15" hidden="1">
      <c r="B244" s="2252" t="s">
        <v>4043</v>
      </c>
      <c r="C244" s="2252">
        <v>0</v>
      </c>
      <c r="D244" s="2252" t="s">
        <v>901</v>
      </c>
      <c r="E244" s="2255">
        <v>0.5</v>
      </c>
      <c r="F244" s="2252" t="s">
        <v>901</v>
      </c>
      <c r="G244" s="2252">
        <v>5</v>
      </c>
      <c r="H244" s="2252" t="s">
        <v>901</v>
      </c>
      <c r="I244" s="2255">
        <v>7</v>
      </c>
      <c r="J244" s="2255"/>
      <c r="K244" s="2255"/>
      <c r="L244" s="2255" t="s">
        <v>1039</v>
      </c>
      <c r="M244" s="2255">
        <f>C244*E244*I244*G244</f>
        <v>0</v>
      </c>
      <c r="N244" s="2251" t="str">
        <f>N240</f>
        <v>Sft</v>
      </c>
      <c r="O244" s="2251"/>
    </row>
    <row r="245" spans="1:15">
      <c r="B245" s="2251" t="s">
        <v>928</v>
      </c>
      <c r="L245" s="2257" t="s">
        <v>3985</v>
      </c>
      <c r="M245" s="2261">
        <f>SUM(M242:M244)</f>
        <v>32</v>
      </c>
      <c r="N245" s="2258" t="s">
        <v>3675</v>
      </c>
      <c r="O245" s="2251"/>
    </row>
    <row r="246" spans="1:15">
      <c r="B246" s="2251" t="s">
        <v>3986</v>
      </c>
      <c r="E246" s="2255"/>
      <c r="I246" s="2255"/>
      <c r="J246" s="2255"/>
      <c r="K246" s="2255"/>
      <c r="L246" s="2255" t="s">
        <v>1039</v>
      </c>
      <c r="M246" s="2253">
        <f>M240-M245</f>
        <v>1114.5</v>
      </c>
      <c r="N246" s="2251" t="s">
        <v>3675</v>
      </c>
      <c r="O246" s="2251"/>
    </row>
    <row r="247" spans="1:15">
      <c r="B247" s="2251" t="s">
        <v>379</v>
      </c>
      <c r="C247" s="2253">
        <f xml:space="preserve"> ROUND(M246*0.0929,2)</f>
        <v>103.54</v>
      </c>
      <c r="D247" s="2251" t="s">
        <v>357</v>
      </c>
      <c r="E247" s="2253" t="s">
        <v>1552</v>
      </c>
      <c r="F247" s="2251" t="s">
        <v>932</v>
      </c>
      <c r="G247" s="2253">
        <f>'Lead &amp; ANALYSIS'!L644</f>
        <v>156.30000000000001</v>
      </c>
      <c r="H247" s="2251" t="s">
        <v>3988</v>
      </c>
      <c r="I247" s="2253" t="s">
        <v>357</v>
      </c>
      <c r="J247" s="2253"/>
      <c r="K247" s="2253"/>
      <c r="L247" s="2251"/>
      <c r="M247" s="2251" t="s">
        <v>1039</v>
      </c>
      <c r="N247" s="2251" t="s">
        <v>932</v>
      </c>
      <c r="O247" s="2253">
        <f>C247*G247</f>
        <v>16183.302000000001</v>
      </c>
    </row>
    <row r="248" spans="1:15" ht="8.65" customHeight="1">
      <c r="B248" s="2251"/>
      <c r="C248" s="2253"/>
      <c r="D248" s="2251"/>
      <c r="E248" s="2253"/>
      <c r="F248" s="2251"/>
      <c r="G248" s="2253"/>
      <c r="H248" s="2251"/>
      <c r="I248" s="2253"/>
      <c r="J248" s="2253"/>
      <c r="K248" s="2253"/>
      <c r="L248" s="2251"/>
      <c r="M248" s="2251"/>
      <c r="N248" s="2251"/>
      <c r="O248" s="2253"/>
    </row>
    <row r="249" spans="1:15" ht="58.35" customHeight="1">
      <c r="A249" s="2251">
        <v>11</v>
      </c>
      <c r="B249" s="3042" t="s">
        <v>4044</v>
      </c>
      <c r="C249" s="3042"/>
      <c r="D249" s="3042"/>
      <c r="E249" s="3042"/>
      <c r="F249" s="3042"/>
      <c r="G249" s="3042"/>
      <c r="H249" s="3042"/>
      <c r="I249" s="3042"/>
      <c r="J249" s="3042"/>
      <c r="K249" s="3042"/>
      <c r="L249" s="3042"/>
      <c r="M249" s="3042"/>
    </row>
    <row r="250" spans="1:15">
      <c r="B250" s="2252" t="s">
        <v>4178</v>
      </c>
      <c r="C250" s="2252">
        <v>1</v>
      </c>
      <c r="D250" s="2252" t="s">
        <v>901</v>
      </c>
      <c r="E250" s="2255">
        <v>33.33</v>
      </c>
      <c r="G250" s="2255"/>
      <c r="H250" s="2252" t="s">
        <v>901</v>
      </c>
      <c r="I250" s="2255">
        <v>11</v>
      </c>
      <c r="J250" s="2255"/>
      <c r="K250" s="2255"/>
      <c r="L250" s="2255" t="s">
        <v>1039</v>
      </c>
      <c r="M250" s="2255">
        <f t="shared" ref="M250:M258" si="7">C250*E250*I250</f>
        <v>366.63</v>
      </c>
      <c r="N250" s="2251" t="s">
        <v>3675</v>
      </c>
    </row>
    <row r="251" spans="1:15">
      <c r="C251" s="2252">
        <v>2</v>
      </c>
      <c r="D251" s="2252" t="s">
        <v>901</v>
      </c>
      <c r="E251" s="2255">
        <v>22.5</v>
      </c>
      <c r="G251" s="2255"/>
      <c r="H251" s="2252" t="s">
        <v>901</v>
      </c>
      <c r="I251" s="2255">
        <v>11</v>
      </c>
      <c r="J251" s="2255"/>
      <c r="K251" s="2255"/>
      <c r="L251" s="2255" t="s">
        <v>1039</v>
      </c>
      <c r="M251" s="2255">
        <f t="shared" si="7"/>
        <v>495</v>
      </c>
      <c r="N251" s="2251" t="s">
        <v>3675</v>
      </c>
    </row>
    <row r="252" spans="1:15">
      <c r="B252" s="2252" t="s">
        <v>4045</v>
      </c>
      <c r="C252" s="2252">
        <v>1</v>
      </c>
      <c r="D252" s="2252" t="s">
        <v>901</v>
      </c>
      <c r="E252" s="2255">
        <f>E250</f>
        <v>33.33</v>
      </c>
      <c r="G252" s="2255"/>
      <c r="H252" s="2252" t="s">
        <v>901</v>
      </c>
      <c r="I252" s="2255">
        <v>11</v>
      </c>
      <c r="J252" s="2255"/>
      <c r="K252" s="2255"/>
      <c r="L252" s="2255" t="s">
        <v>1039</v>
      </c>
      <c r="M252" s="2255">
        <f t="shared" si="7"/>
        <v>366.63</v>
      </c>
      <c r="N252" s="2251" t="s">
        <v>3675</v>
      </c>
    </row>
    <row r="253" spans="1:15">
      <c r="C253" s="2252">
        <v>2</v>
      </c>
      <c r="D253" s="2252" t="s">
        <v>901</v>
      </c>
      <c r="E253" s="2255">
        <v>7</v>
      </c>
      <c r="F253" s="2252" t="s">
        <v>901</v>
      </c>
      <c r="G253" s="2255"/>
      <c r="H253" s="2252" t="s">
        <v>901</v>
      </c>
      <c r="I253" s="2255">
        <v>3.5</v>
      </c>
      <c r="J253" s="2255"/>
      <c r="K253" s="2255"/>
      <c r="L253" s="2255" t="s">
        <v>1039</v>
      </c>
      <c r="M253" s="2255">
        <f t="shared" si="7"/>
        <v>49</v>
      </c>
      <c r="N253" s="2251" t="s">
        <v>3675</v>
      </c>
    </row>
    <row r="254" spans="1:15">
      <c r="C254" s="2252">
        <v>1</v>
      </c>
      <c r="D254" s="2252" t="s">
        <v>901</v>
      </c>
      <c r="E254" s="2255">
        <f>E250</f>
        <v>33.33</v>
      </c>
      <c r="G254" s="2255"/>
      <c r="H254" s="2252" t="s">
        <v>901</v>
      </c>
      <c r="I254" s="2255">
        <v>3.5</v>
      </c>
      <c r="J254" s="2255"/>
      <c r="K254" s="2255"/>
      <c r="L254" s="2255" t="s">
        <v>1039</v>
      </c>
      <c r="M254" s="2255">
        <f>C254*E254*I254</f>
        <v>116.655</v>
      </c>
      <c r="N254" s="2251" t="s">
        <v>3675</v>
      </c>
    </row>
    <row r="255" spans="1:15" hidden="1">
      <c r="B255" s="2252" t="s">
        <v>3559</v>
      </c>
      <c r="C255" s="2252">
        <v>0</v>
      </c>
      <c r="D255" s="2252" t="s">
        <v>901</v>
      </c>
      <c r="E255" s="2255">
        <v>7</v>
      </c>
      <c r="F255" s="2252" t="s">
        <v>901</v>
      </c>
      <c r="G255" s="2255"/>
      <c r="H255" s="2252" t="s">
        <v>901</v>
      </c>
      <c r="I255" s="2255">
        <v>11</v>
      </c>
      <c r="J255" s="2255"/>
      <c r="K255" s="2255"/>
      <c r="L255" s="2255" t="s">
        <v>1039</v>
      </c>
      <c r="M255" s="2255">
        <f t="shared" si="7"/>
        <v>0</v>
      </c>
      <c r="N255" s="2251" t="s">
        <v>3675</v>
      </c>
    </row>
    <row r="256" spans="1:15" hidden="1">
      <c r="C256" s="2252">
        <v>0</v>
      </c>
      <c r="D256" s="2252" t="s">
        <v>901</v>
      </c>
      <c r="E256" s="2255">
        <v>9</v>
      </c>
      <c r="F256" s="2252" t="s">
        <v>901</v>
      </c>
      <c r="G256" s="2255"/>
      <c r="H256" s="2252" t="s">
        <v>901</v>
      </c>
      <c r="I256" s="2255">
        <v>11</v>
      </c>
      <c r="J256" s="2255"/>
      <c r="K256" s="2255"/>
      <c r="L256" s="2255" t="s">
        <v>1039</v>
      </c>
      <c r="M256" s="2255">
        <f t="shared" si="7"/>
        <v>0</v>
      </c>
      <c r="N256" s="2251" t="s">
        <v>3675</v>
      </c>
    </row>
    <row r="257" spans="1:16" hidden="1">
      <c r="B257" s="2252" t="s">
        <v>4046</v>
      </c>
      <c r="C257" s="2252">
        <v>0</v>
      </c>
      <c r="D257" s="2252" t="s">
        <v>901</v>
      </c>
      <c r="E257" s="2255">
        <v>5</v>
      </c>
      <c r="G257" s="2255"/>
      <c r="H257" s="2252" t="s">
        <v>901</v>
      </c>
      <c r="I257" s="2255">
        <v>11</v>
      </c>
      <c r="J257" s="2255"/>
      <c r="K257" s="2255"/>
      <c r="L257" s="2255" t="s">
        <v>1039</v>
      </c>
      <c r="M257" s="2255">
        <f t="shared" si="7"/>
        <v>0</v>
      </c>
      <c r="N257" s="2251" t="s">
        <v>3675</v>
      </c>
    </row>
    <row r="258" spans="1:16" hidden="1">
      <c r="C258" s="2252">
        <v>0</v>
      </c>
      <c r="D258" s="2252" t="s">
        <v>901</v>
      </c>
      <c r="E258" s="2255">
        <v>7</v>
      </c>
      <c r="G258" s="2255"/>
      <c r="H258" s="2252" t="s">
        <v>901</v>
      </c>
      <c r="I258" s="2255">
        <v>11</v>
      </c>
      <c r="J258" s="2255"/>
      <c r="K258" s="2255"/>
      <c r="L258" s="2257" t="s">
        <v>1039</v>
      </c>
      <c r="M258" s="2257">
        <f t="shared" si="7"/>
        <v>0</v>
      </c>
      <c r="N258" s="2258" t="s">
        <v>3675</v>
      </c>
    </row>
    <row r="259" spans="1:16">
      <c r="B259" s="2251" t="s">
        <v>928</v>
      </c>
      <c r="L259" s="2255" t="s">
        <v>1039</v>
      </c>
      <c r="M259" s="2253">
        <f>SUM(M250:M258)</f>
        <v>1393.915</v>
      </c>
      <c r="N259" s="2251" t="s">
        <v>3675</v>
      </c>
      <c r="O259" s="2251"/>
    </row>
    <row r="260" spans="1:16">
      <c r="B260" s="2251" t="s">
        <v>1883</v>
      </c>
      <c r="M260" s="2253"/>
      <c r="N260" s="2251"/>
      <c r="O260" s="2251"/>
    </row>
    <row r="261" spans="1:16">
      <c r="B261" s="2251" t="s">
        <v>1890</v>
      </c>
      <c r="C261" s="2252">
        <v>2</v>
      </c>
      <c r="D261" s="2252" t="s">
        <v>901</v>
      </c>
      <c r="E261" s="2252">
        <v>1</v>
      </c>
      <c r="F261" s="2252" t="s">
        <v>901</v>
      </c>
      <c r="G261" s="2252">
        <v>4</v>
      </c>
      <c r="H261" s="2252" t="s">
        <v>901</v>
      </c>
      <c r="I261" s="2252">
        <v>7</v>
      </c>
      <c r="L261" s="2252" t="s">
        <v>1039</v>
      </c>
      <c r="M261" s="2255">
        <f>C261*E261*G261*I261</f>
        <v>56</v>
      </c>
      <c r="N261" s="2251" t="str">
        <f>N250</f>
        <v>Sft</v>
      </c>
      <c r="O261" s="2251"/>
    </row>
    <row r="262" spans="1:16" hidden="1">
      <c r="B262" s="2251" t="s">
        <v>1950</v>
      </c>
      <c r="C262" s="2252">
        <v>0</v>
      </c>
      <c r="D262" s="2252" t="s">
        <v>901</v>
      </c>
      <c r="E262" s="2252">
        <v>1</v>
      </c>
      <c r="F262" s="2252" t="s">
        <v>901</v>
      </c>
      <c r="G262" s="2252">
        <v>3.5</v>
      </c>
      <c r="H262" s="2252" t="s">
        <v>901</v>
      </c>
      <c r="I262" s="2252">
        <v>7</v>
      </c>
      <c r="L262" s="2252" t="s">
        <v>1039</v>
      </c>
      <c r="M262" s="2255">
        <f>C262*E262*G262*I262</f>
        <v>0</v>
      </c>
      <c r="N262" s="2251" t="str">
        <f>N251</f>
        <v>Sft</v>
      </c>
      <c r="O262" s="2251"/>
    </row>
    <row r="263" spans="1:16" hidden="1">
      <c r="B263" s="2251"/>
      <c r="C263" s="2252">
        <v>0</v>
      </c>
      <c r="D263" s="2252" t="s">
        <v>901</v>
      </c>
      <c r="E263" s="2252">
        <v>1</v>
      </c>
      <c r="F263" s="2252" t="s">
        <v>901</v>
      </c>
      <c r="G263" s="2252">
        <v>2.75</v>
      </c>
      <c r="H263" s="2252" t="s">
        <v>901</v>
      </c>
      <c r="I263" s="2252">
        <v>7</v>
      </c>
      <c r="L263" s="2252" t="s">
        <v>1039</v>
      </c>
      <c r="M263" s="2255">
        <f>C263*E263*G263*I263</f>
        <v>0</v>
      </c>
      <c r="N263" s="2251" t="str">
        <f>N252</f>
        <v>Sft</v>
      </c>
      <c r="O263" s="2251"/>
    </row>
    <row r="264" spans="1:16">
      <c r="B264" s="2251" t="s">
        <v>1948</v>
      </c>
      <c r="C264" s="2252">
        <v>4</v>
      </c>
      <c r="D264" s="2252" t="s">
        <v>901</v>
      </c>
      <c r="E264" s="2252">
        <v>0.5</v>
      </c>
      <c r="F264" s="2252" t="s">
        <v>901</v>
      </c>
      <c r="G264" s="2252">
        <v>4</v>
      </c>
      <c r="H264" s="2252" t="s">
        <v>901</v>
      </c>
      <c r="I264" s="2252">
        <v>4</v>
      </c>
      <c r="L264" s="2252" t="s">
        <v>1039</v>
      </c>
      <c r="M264" s="2255">
        <f>C264*E264*G264*I264</f>
        <v>32</v>
      </c>
      <c r="N264" s="2251" t="str">
        <f>N251</f>
        <v>Sft</v>
      </c>
      <c r="O264" s="2251"/>
    </row>
    <row r="265" spans="1:16" hidden="1">
      <c r="B265" s="2251" t="s">
        <v>4047</v>
      </c>
      <c r="C265" s="2252">
        <v>0</v>
      </c>
      <c r="D265" s="2252" t="s">
        <v>901</v>
      </c>
      <c r="E265" s="2252">
        <v>0.5</v>
      </c>
      <c r="F265" s="2252" t="s">
        <v>901</v>
      </c>
      <c r="G265" s="2252">
        <v>5.08</v>
      </c>
      <c r="H265" s="2252" t="s">
        <v>901</v>
      </c>
      <c r="I265" s="2252">
        <v>7</v>
      </c>
      <c r="L265" s="2252" t="s">
        <v>1039</v>
      </c>
      <c r="M265" s="2255">
        <f>C265*E265*G265*I265</f>
        <v>0</v>
      </c>
      <c r="N265" s="2251" t="str">
        <f>N257</f>
        <v>Sft</v>
      </c>
      <c r="O265" s="2251"/>
    </row>
    <row r="266" spans="1:16" hidden="1">
      <c r="B266" s="2252" t="s">
        <v>4048</v>
      </c>
      <c r="C266" s="2252">
        <v>0</v>
      </c>
      <c r="D266" s="2252" t="s">
        <v>901</v>
      </c>
      <c r="E266" s="2255">
        <v>0.5</v>
      </c>
      <c r="F266" s="2252" t="s">
        <v>901</v>
      </c>
      <c r="G266" s="2252">
        <v>2</v>
      </c>
      <c r="I266" s="2255">
        <v>2</v>
      </c>
      <c r="J266" s="2255"/>
      <c r="K266" s="2255"/>
      <c r="L266" s="2255" t="s">
        <v>1039</v>
      </c>
      <c r="M266" s="2255">
        <f>C266*E266*I266*G266</f>
        <v>0</v>
      </c>
      <c r="N266" s="2251" t="str">
        <f>N259</f>
        <v>Sft</v>
      </c>
      <c r="O266" s="2251"/>
    </row>
    <row r="267" spans="1:16">
      <c r="B267" s="2251" t="s">
        <v>928</v>
      </c>
      <c r="L267" s="2257" t="s">
        <v>3985</v>
      </c>
      <c r="M267" s="2261">
        <f>SUM(M261:M266)</f>
        <v>88</v>
      </c>
      <c r="N267" s="2258" t="s">
        <v>3675</v>
      </c>
      <c r="O267" s="2251"/>
    </row>
    <row r="268" spans="1:16">
      <c r="B268" s="2251" t="s">
        <v>3986</v>
      </c>
      <c r="E268" s="2255"/>
      <c r="I268" s="2255"/>
      <c r="J268" s="2255"/>
      <c r="K268" s="2255"/>
      <c r="L268" s="2255" t="s">
        <v>1039</v>
      </c>
      <c r="M268" s="2253">
        <f>M259-M267</f>
        <v>1305.915</v>
      </c>
      <c r="N268" s="2251" t="s">
        <v>3675</v>
      </c>
      <c r="O268" s="2251"/>
    </row>
    <row r="269" spans="1:16">
      <c r="B269" s="2251" t="s">
        <v>379</v>
      </c>
      <c r="C269" s="2253">
        <f xml:space="preserve"> ROUND(M268*0.0929,2)</f>
        <v>121.32</v>
      </c>
      <c r="D269" s="2251" t="s">
        <v>357</v>
      </c>
      <c r="E269" s="2253" t="s">
        <v>1552</v>
      </c>
      <c r="F269" s="2251" t="s">
        <v>932</v>
      </c>
      <c r="G269" s="2253">
        <f>'Lead &amp; ANALYSIS'!L664</f>
        <v>222</v>
      </c>
      <c r="H269" s="2251" t="s">
        <v>3988</v>
      </c>
      <c r="I269" s="2253" t="s">
        <v>357</v>
      </c>
      <c r="J269" s="2253"/>
      <c r="K269" s="2253"/>
      <c r="L269" s="2251"/>
      <c r="M269" s="2251" t="s">
        <v>1039</v>
      </c>
      <c r="N269" s="2251" t="s">
        <v>932</v>
      </c>
      <c r="O269" s="2253">
        <f>C269*G269</f>
        <v>26933.039999999997</v>
      </c>
    </row>
    <row r="270" spans="1:16" ht="55.5" hidden="1" customHeight="1">
      <c r="A270" s="2251">
        <v>14</v>
      </c>
      <c r="B270" s="3042" t="s">
        <v>4049</v>
      </c>
      <c r="C270" s="3042"/>
      <c r="D270" s="3042"/>
      <c r="E270" s="3042"/>
      <c r="F270" s="3042"/>
      <c r="G270" s="3042"/>
      <c r="H270" s="3042"/>
      <c r="I270" s="3042"/>
      <c r="J270" s="2260"/>
      <c r="K270" s="2260"/>
      <c r="M270" s="2274"/>
    </row>
    <row r="271" spans="1:16" hidden="1">
      <c r="A271" s="2252"/>
      <c r="B271" s="2252" t="s">
        <v>4050</v>
      </c>
      <c r="E271" s="2255"/>
      <c r="G271" s="2255"/>
      <c r="I271" s="2255"/>
      <c r="J271" s="2255"/>
      <c r="K271" s="2255"/>
      <c r="L271" s="2255"/>
      <c r="M271" s="2255"/>
      <c r="O271" s="2255"/>
      <c r="P271" s="2255"/>
    </row>
    <row r="272" spans="1:16" ht="14.25" hidden="1">
      <c r="A272" s="2252"/>
      <c r="B272" s="2252" t="s">
        <v>4051</v>
      </c>
      <c r="C272" s="2252">
        <v>1</v>
      </c>
      <c r="D272" s="2252" t="s">
        <v>901</v>
      </c>
      <c r="E272" s="2255">
        <v>12</v>
      </c>
      <c r="F272" s="2252" t="s">
        <v>901</v>
      </c>
      <c r="G272" s="2255">
        <v>5</v>
      </c>
      <c r="I272" s="2255"/>
      <c r="J272" s="2255"/>
      <c r="K272" s="2255"/>
      <c r="L272" s="2255" t="s">
        <v>1039</v>
      </c>
      <c r="M272" s="2255">
        <f t="shared" ref="M272:M283" si="8">C272*E272*G272</f>
        <v>60</v>
      </c>
      <c r="N272" s="2252" t="s">
        <v>4020</v>
      </c>
      <c r="O272" s="2255"/>
      <c r="P272" s="2255"/>
    </row>
    <row r="273" spans="1:16" ht="14.25" hidden="1">
      <c r="A273" s="2252"/>
      <c r="C273" s="2252">
        <v>1</v>
      </c>
      <c r="D273" s="2252" t="s">
        <v>901</v>
      </c>
      <c r="E273" s="2255">
        <v>12</v>
      </c>
      <c r="F273" s="2252" t="s">
        <v>901</v>
      </c>
      <c r="G273" s="2255">
        <v>14.83</v>
      </c>
      <c r="I273" s="2255"/>
      <c r="J273" s="2255"/>
      <c r="K273" s="2255"/>
      <c r="L273" s="2255" t="s">
        <v>1039</v>
      </c>
      <c r="M273" s="2255">
        <f t="shared" si="8"/>
        <v>177.96</v>
      </c>
      <c r="N273" s="2252" t="s">
        <v>4020</v>
      </c>
      <c r="O273" s="2255"/>
      <c r="P273" s="2255"/>
    </row>
    <row r="274" spans="1:16" ht="14.25" hidden="1">
      <c r="A274" s="2252"/>
      <c r="B274" s="2252" t="s">
        <v>4052</v>
      </c>
      <c r="C274" s="2252">
        <v>1</v>
      </c>
      <c r="D274" s="2252" t="s">
        <v>901</v>
      </c>
      <c r="E274" s="2255">
        <v>7</v>
      </c>
      <c r="F274" s="2252" t="s">
        <v>901</v>
      </c>
      <c r="G274" s="2255">
        <v>9</v>
      </c>
      <c r="I274" s="2255"/>
      <c r="J274" s="2255"/>
      <c r="K274" s="2255"/>
      <c r="L274" s="2255" t="s">
        <v>1039</v>
      </c>
      <c r="M274" s="2255">
        <f t="shared" si="8"/>
        <v>63</v>
      </c>
      <c r="N274" s="2252" t="s">
        <v>4020</v>
      </c>
      <c r="O274" s="2255"/>
      <c r="P274" s="2255"/>
    </row>
    <row r="275" spans="1:16" ht="14.25" hidden="1">
      <c r="A275" s="2252"/>
      <c r="B275" s="2252" t="s">
        <v>1786</v>
      </c>
      <c r="C275" s="2252">
        <v>1</v>
      </c>
      <c r="D275" s="2252" t="s">
        <v>901</v>
      </c>
      <c r="E275" s="2255">
        <v>5</v>
      </c>
      <c r="F275" s="2252" t="s">
        <v>901</v>
      </c>
      <c r="G275" s="2255">
        <v>7</v>
      </c>
      <c r="I275" s="2255"/>
      <c r="J275" s="2255"/>
      <c r="K275" s="2255"/>
      <c r="L275" s="2255" t="s">
        <v>1039</v>
      </c>
      <c r="M275" s="2255">
        <f t="shared" si="8"/>
        <v>35</v>
      </c>
      <c r="N275" s="2252" t="s">
        <v>4020</v>
      </c>
      <c r="O275" s="2255"/>
      <c r="P275" s="2255"/>
    </row>
    <row r="276" spans="1:16" ht="14.25" hidden="1">
      <c r="A276" s="2252"/>
      <c r="B276" s="2252" t="s">
        <v>1773</v>
      </c>
      <c r="C276" s="2252">
        <v>2</v>
      </c>
      <c r="D276" s="2252" t="s">
        <v>901</v>
      </c>
      <c r="E276" s="2255">
        <f>11</f>
        <v>11</v>
      </c>
      <c r="F276" s="2252" t="s">
        <v>901</v>
      </c>
      <c r="G276" s="2255">
        <f>1.25+0.83</f>
        <v>2.08</v>
      </c>
      <c r="I276" s="2255"/>
      <c r="J276" s="2255"/>
      <c r="K276" s="2255"/>
      <c r="L276" s="2255" t="s">
        <v>1039</v>
      </c>
      <c r="M276" s="2255">
        <f t="shared" si="8"/>
        <v>45.760000000000005</v>
      </c>
      <c r="N276" s="2252" t="s">
        <v>4020</v>
      </c>
      <c r="O276" s="2255"/>
      <c r="P276" s="2255"/>
    </row>
    <row r="277" spans="1:16" ht="14.25" hidden="1">
      <c r="A277" s="2252"/>
      <c r="B277" s="2252" t="s">
        <v>4053</v>
      </c>
      <c r="C277" s="2252">
        <v>1</v>
      </c>
      <c r="D277" s="2252" t="s">
        <v>901</v>
      </c>
      <c r="E277" s="2255">
        <f>12-0.83</f>
        <v>11.17</v>
      </c>
      <c r="F277" s="2252" t="s">
        <v>901</v>
      </c>
      <c r="G277" s="2255">
        <f>0.83+0.67+0.67</f>
        <v>2.17</v>
      </c>
      <c r="I277" s="2255"/>
      <c r="J277" s="2255"/>
      <c r="K277" s="2255"/>
      <c r="L277" s="2255" t="s">
        <v>1039</v>
      </c>
      <c r="M277" s="2255">
        <f t="shared" si="8"/>
        <v>24.238899999999997</v>
      </c>
      <c r="N277" s="2252" t="s">
        <v>4020</v>
      </c>
      <c r="O277" s="2255"/>
      <c r="P277" s="2255"/>
    </row>
    <row r="278" spans="1:16" ht="14.25" hidden="1">
      <c r="A278" s="2252"/>
      <c r="B278" s="2252" t="s">
        <v>4054</v>
      </c>
      <c r="C278" s="2252">
        <v>2</v>
      </c>
      <c r="D278" s="2252" t="s">
        <v>901</v>
      </c>
      <c r="E278" s="2255">
        <f>21.5+0.83+1</f>
        <v>23.33</v>
      </c>
      <c r="F278" s="2252" t="s">
        <v>901</v>
      </c>
      <c r="G278" s="2252">
        <v>0.83</v>
      </c>
      <c r="I278" s="2255"/>
      <c r="J278" s="2255"/>
      <c r="K278" s="2255"/>
      <c r="L278" s="2255" t="s">
        <v>1039</v>
      </c>
      <c r="M278" s="2255">
        <f t="shared" si="8"/>
        <v>38.727799999999995</v>
      </c>
      <c r="N278" s="2252" t="s">
        <v>4020</v>
      </c>
      <c r="O278" s="2255"/>
      <c r="P278" s="2255"/>
    </row>
    <row r="279" spans="1:16" ht="14.25" hidden="1">
      <c r="A279" s="2252"/>
      <c r="C279" s="2252">
        <v>2</v>
      </c>
      <c r="D279" s="2252" t="s">
        <v>901</v>
      </c>
      <c r="E279" s="2255">
        <f>12.83+7.83+0.83+1</f>
        <v>22.49</v>
      </c>
      <c r="F279" s="2252" t="s">
        <v>901</v>
      </c>
      <c r="G279" s="2252">
        <v>0.83</v>
      </c>
      <c r="I279" s="2255"/>
      <c r="J279" s="2255"/>
      <c r="K279" s="2255"/>
      <c r="L279" s="2255" t="s">
        <v>1039</v>
      </c>
      <c r="M279" s="2255">
        <f t="shared" si="8"/>
        <v>37.333399999999997</v>
      </c>
      <c r="N279" s="2252" t="s">
        <v>4020</v>
      </c>
      <c r="O279" s="2255"/>
      <c r="P279" s="2255"/>
    </row>
    <row r="280" spans="1:16" ht="14.25" hidden="1">
      <c r="A280" s="2252"/>
      <c r="B280" s="2252" t="s">
        <v>4055</v>
      </c>
      <c r="C280" s="2252">
        <v>1</v>
      </c>
      <c r="D280" s="2252" t="s">
        <v>901</v>
      </c>
      <c r="E280" s="2255">
        <f>5.83+14.83+0.83</f>
        <v>21.49</v>
      </c>
      <c r="F280" s="2252" t="s">
        <v>901</v>
      </c>
      <c r="G280" s="2252">
        <v>2</v>
      </c>
      <c r="I280" s="2255"/>
      <c r="J280" s="2255"/>
      <c r="K280" s="2255"/>
      <c r="L280" s="2255" t="s">
        <v>1039</v>
      </c>
      <c r="M280" s="2255">
        <f t="shared" si="8"/>
        <v>42.98</v>
      </c>
      <c r="N280" s="2252" t="s">
        <v>4020</v>
      </c>
      <c r="O280" s="2255"/>
      <c r="P280" s="2255"/>
    </row>
    <row r="281" spans="1:16" ht="14.25" hidden="1">
      <c r="A281" s="2252"/>
      <c r="B281" s="2252" t="s">
        <v>4056</v>
      </c>
      <c r="C281" s="2252">
        <v>1</v>
      </c>
      <c r="D281" s="2252" t="s">
        <v>901</v>
      </c>
      <c r="E281" s="2255">
        <f>5.83+14.83+0.83</f>
        <v>21.49</v>
      </c>
      <c r="F281" s="2252" t="s">
        <v>901</v>
      </c>
      <c r="G281" s="2252">
        <v>0.08</v>
      </c>
      <c r="I281" s="2255"/>
      <c r="J281" s="2255"/>
      <c r="K281" s="2255"/>
      <c r="L281" s="2255" t="s">
        <v>1039</v>
      </c>
      <c r="M281" s="2255">
        <f t="shared" si="8"/>
        <v>1.7191999999999998</v>
      </c>
      <c r="N281" s="2252" t="s">
        <v>4020</v>
      </c>
      <c r="O281" s="2255"/>
      <c r="P281" s="2255"/>
    </row>
    <row r="282" spans="1:16" ht="14.25" hidden="1">
      <c r="A282" s="2252"/>
      <c r="C282" s="2252">
        <v>3</v>
      </c>
      <c r="D282" s="2252" t="s">
        <v>901</v>
      </c>
      <c r="E282" s="2255">
        <v>5</v>
      </c>
      <c r="F282" s="2252" t="s">
        <v>901</v>
      </c>
      <c r="G282" s="2252">
        <v>2</v>
      </c>
      <c r="I282" s="2255"/>
      <c r="J282" s="2255"/>
      <c r="K282" s="2255"/>
      <c r="L282" s="2255" t="s">
        <v>1039</v>
      </c>
      <c r="M282" s="2255">
        <f t="shared" si="8"/>
        <v>30</v>
      </c>
      <c r="N282" s="2252" t="s">
        <v>4020</v>
      </c>
      <c r="O282" s="2255"/>
      <c r="P282" s="2255"/>
    </row>
    <row r="283" spans="1:16" ht="14.25" hidden="1">
      <c r="A283" s="2252"/>
      <c r="C283" s="2252">
        <v>3</v>
      </c>
      <c r="D283" s="2252" t="s">
        <v>901</v>
      </c>
      <c r="E283" s="2255">
        <v>9</v>
      </c>
      <c r="F283" s="2252" t="s">
        <v>901</v>
      </c>
      <c r="G283" s="2252">
        <v>0.08</v>
      </c>
      <c r="I283" s="2255"/>
      <c r="J283" s="2255"/>
      <c r="K283" s="2255"/>
      <c r="L283" s="2257" t="s">
        <v>1039</v>
      </c>
      <c r="M283" s="2257">
        <f t="shared" si="8"/>
        <v>2.16</v>
      </c>
      <c r="N283" s="2256" t="s">
        <v>4020</v>
      </c>
      <c r="O283" s="2255"/>
      <c r="P283" s="2255"/>
    </row>
    <row r="284" spans="1:16" hidden="1">
      <c r="B284" s="2251" t="s">
        <v>928</v>
      </c>
      <c r="C284" s="2253"/>
      <c r="D284" s="2251"/>
      <c r="G284" s="2251"/>
      <c r="H284" s="2251"/>
      <c r="I284" s="2253"/>
      <c r="J284" s="2253"/>
      <c r="K284" s="2253"/>
      <c r="L284" s="2255" t="s">
        <v>1039</v>
      </c>
      <c r="M284" s="2253">
        <f>SUM(M272:M283)</f>
        <v>558.87929999999994</v>
      </c>
      <c r="N284" s="2253" t="s">
        <v>4020</v>
      </c>
      <c r="O284" s="2251"/>
      <c r="P284" s="2253"/>
    </row>
    <row r="285" spans="1:16" hidden="1">
      <c r="B285" s="2251" t="s">
        <v>379</v>
      </c>
      <c r="C285" s="2253">
        <f xml:space="preserve"> ROUND(M284*0.0929,2)*0</f>
        <v>0</v>
      </c>
      <c r="D285" s="2251" t="s">
        <v>357</v>
      </c>
      <c r="E285" s="2253" t="s">
        <v>1552</v>
      </c>
      <c r="F285" s="2251" t="s">
        <v>932</v>
      </c>
      <c r="G285" s="2253">
        <f>'[4]Analysis '!J1089</f>
        <v>167.07</v>
      </c>
      <c r="H285" s="2251" t="s">
        <v>3988</v>
      </c>
      <c r="I285" s="2253" t="s">
        <v>357</v>
      </c>
      <c r="J285" s="2253"/>
      <c r="K285" s="2253"/>
      <c r="L285" s="2251"/>
      <c r="M285" s="2251" t="s">
        <v>1039</v>
      </c>
      <c r="N285" s="2251" t="s">
        <v>932</v>
      </c>
      <c r="O285" s="2253">
        <f>C285*G285</f>
        <v>0</v>
      </c>
      <c r="P285" s="2253"/>
    </row>
    <row r="286" spans="1:16" hidden="1">
      <c r="B286" s="2251"/>
      <c r="C286" s="2253"/>
      <c r="D286" s="2251"/>
      <c r="E286" s="2253"/>
      <c r="F286" s="2251"/>
      <c r="G286" s="2253"/>
      <c r="H286" s="2251"/>
      <c r="I286" s="2253"/>
      <c r="J286" s="2253"/>
      <c r="K286" s="2253"/>
      <c r="L286" s="2251"/>
      <c r="M286" s="2251"/>
      <c r="N286" s="2251"/>
      <c r="O286" s="2253"/>
      <c r="P286" s="2253"/>
    </row>
    <row r="287" spans="1:16" ht="58.7" customHeight="1">
      <c r="A287" s="2251">
        <v>12</v>
      </c>
      <c r="B287" s="3042" t="str">
        <f>'[6]Analysis '!B1350:I1350</f>
        <v>Fixing tiles in floors ,treads or steps &amp; landings on 20mm thick bed of cement mortar 1:4 jointed with neat cement slurry mixed with pigment to match the shades of the tiles  &amp; polishing including cost of vitrified tile (600x600)mm……etc  compl</v>
      </c>
      <c r="C287" s="3042"/>
      <c r="D287" s="3042"/>
      <c r="E287" s="3042"/>
      <c r="F287" s="3042"/>
      <c r="G287" s="3042"/>
      <c r="H287" s="3042"/>
      <c r="I287" s="3042"/>
      <c r="J287" s="2260"/>
      <c r="K287" s="2260"/>
    </row>
    <row r="288" spans="1:16" ht="17.649999999999999" customHeight="1">
      <c r="B288" s="2252" t="s">
        <v>1775</v>
      </c>
      <c r="C288" s="2252">
        <v>1</v>
      </c>
      <c r="D288" s="2252" t="s">
        <v>901</v>
      </c>
      <c r="E288" s="2255">
        <v>31.66</v>
      </c>
      <c r="F288" s="2252" t="s">
        <v>901</v>
      </c>
      <c r="G288" s="2255">
        <v>15</v>
      </c>
      <c r="L288" s="2255" t="s">
        <v>1039</v>
      </c>
      <c r="M288" s="2255">
        <f t="shared" ref="M288:M295" si="9">C288*E288*G288</f>
        <v>474.9</v>
      </c>
      <c r="N288" s="2252" t="str">
        <f>N283</f>
        <v>sft</v>
      </c>
    </row>
    <row r="289" spans="1:18" ht="17.649999999999999" customHeight="1">
      <c r="B289" s="2252" t="s">
        <v>2991</v>
      </c>
      <c r="C289" s="2252">
        <v>1</v>
      </c>
      <c r="D289" s="2252" t="s">
        <v>901</v>
      </c>
      <c r="E289" s="2255">
        <v>31.66</v>
      </c>
      <c r="F289" s="2252" t="s">
        <v>901</v>
      </c>
      <c r="G289" s="2255">
        <v>6</v>
      </c>
      <c r="L289" s="2255" t="s">
        <v>1039</v>
      </c>
      <c r="M289" s="2255">
        <f t="shared" si="9"/>
        <v>189.96</v>
      </c>
      <c r="N289" s="2252" t="str">
        <f>N284</f>
        <v>sft</v>
      </c>
    </row>
    <row r="290" spans="1:18" ht="17.649999999999999" hidden="1" customHeight="1">
      <c r="B290" s="2252" t="s">
        <v>4046</v>
      </c>
      <c r="C290" s="2252">
        <v>0</v>
      </c>
      <c r="D290" s="2252" t="s">
        <v>901</v>
      </c>
      <c r="E290" s="2255">
        <v>5</v>
      </c>
      <c r="F290" s="2252" t="s">
        <v>901</v>
      </c>
      <c r="G290" s="2255">
        <v>8</v>
      </c>
      <c r="L290" s="2255" t="s">
        <v>1039</v>
      </c>
      <c r="M290" s="2255">
        <f t="shared" si="9"/>
        <v>0</v>
      </c>
      <c r="N290" s="2252" t="str">
        <f>N288</f>
        <v>sft</v>
      </c>
    </row>
    <row r="291" spans="1:18" ht="17.649999999999999" hidden="1" customHeight="1">
      <c r="B291" s="2252" t="s">
        <v>4057</v>
      </c>
      <c r="C291" s="2252">
        <v>0</v>
      </c>
      <c r="D291" s="2252" t="s">
        <v>901</v>
      </c>
      <c r="E291" s="2255">
        <v>5</v>
      </c>
      <c r="F291" s="2252" t="s">
        <v>901</v>
      </c>
      <c r="G291" s="2255">
        <v>8</v>
      </c>
      <c r="L291" s="2255" t="s">
        <v>1039</v>
      </c>
      <c r="M291" s="2255">
        <f t="shared" si="9"/>
        <v>0</v>
      </c>
      <c r="N291" s="2252" t="str">
        <f>N289</f>
        <v>sft</v>
      </c>
    </row>
    <row r="292" spans="1:18" ht="17.649999999999999" customHeight="1">
      <c r="B292" s="2252" t="s">
        <v>4058</v>
      </c>
      <c r="C292" s="2252">
        <v>2</v>
      </c>
      <c r="D292" s="2252" t="s">
        <v>901</v>
      </c>
      <c r="E292" s="2255">
        <v>4</v>
      </c>
      <c r="F292" s="2252" t="s">
        <v>901</v>
      </c>
      <c r="G292" s="2255">
        <v>0.83</v>
      </c>
      <c r="L292" s="2255" t="s">
        <v>1039</v>
      </c>
      <c r="M292" s="2255">
        <f t="shared" si="9"/>
        <v>6.64</v>
      </c>
      <c r="N292" s="2252" t="str">
        <f>N284</f>
        <v>sft</v>
      </c>
    </row>
    <row r="293" spans="1:18" ht="12" hidden="1" customHeight="1">
      <c r="C293" s="2252">
        <v>0</v>
      </c>
      <c r="D293" s="2252" t="s">
        <v>901</v>
      </c>
      <c r="E293" s="2255">
        <v>3.5</v>
      </c>
      <c r="F293" s="2252" t="s">
        <v>901</v>
      </c>
      <c r="G293" s="2255">
        <v>0.83</v>
      </c>
      <c r="L293" s="2255" t="s">
        <v>1039</v>
      </c>
      <c r="M293" s="2255">
        <f t="shared" si="9"/>
        <v>0</v>
      </c>
      <c r="N293" s="2252" t="str">
        <f>N291</f>
        <v>sft</v>
      </c>
    </row>
    <row r="294" spans="1:18" ht="12" hidden="1" customHeight="1">
      <c r="C294" s="2252">
        <v>0</v>
      </c>
      <c r="D294" s="2252" t="s">
        <v>901</v>
      </c>
      <c r="E294" s="2255">
        <v>2.75</v>
      </c>
      <c r="F294" s="2252" t="s">
        <v>901</v>
      </c>
      <c r="G294" s="2255">
        <v>0.83</v>
      </c>
      <c r="L294" s="2255"/>
      <c r="M294" s="2255">
        <f t="shared" si="9"/>
        <v>0</v>
      </c>
      <c r="N294" s="2252" t="str">
        <f>N292</f>
        <v>sft</v>
      </c>
    </row>
    <row r="295" spans="1:18" ht="12" hidden="1" customHeight="1">
      <c r="B295" s="2252" t="s">
        <v>4059</v>
      </c>
      <c r="C295" s="2252">
        <v>0</v>
      </c>
      <c r="D295" s="2252" t="s">
        <v>901</v>
      </c>
      <c r="E295" s="2255">
        <v>5</v>
      </c>
      <c r="F295" s="2252" t="s">
        <v>901</v>
      </c>
      <c r="G295" s="2255">
        <v>0.83</v>
      </c>
      <c r="L295" s="2255"/>
      <c r="M295" s="2255">
        <f t="shared" si="9"/>
        <v>0</v>
      </c>
      <c r="N295" s="2252" t="str">
        <f>N293</f>
        <v>sft</v>
      </c>
    </row>
    <row r="296" spans="1:18">
      <c r="B296" s="2251" t="s">
        <v>928</v>
      </c>
      <c r="C296" s="2251"/>
      <c r="D296" s="2251"/>
      <c r="E296" s="2251"/>
      <c r="F296" s="2251"/>
      <c r="G296" s="2251"/>
      <c r="H296" s="2251"/>
      <c r="I296" s="2251"/>
      <c r="J296" s="2251"/>
      <c r="K296" s="2251"/>
      <c r="L296" s="2255" t="s">
        <v>1039</v>
      </c>
      <c r="M296" s="2253">
        <f>SUM(M288:M295)</f>
        <v>671.5</v>
      </c>
      <c r="N296" s="2251" t="s">
        <v>4020</v>
      </c>
      <c r="O296" s="2251"/>
      <c r="P296" s="2251"/>
    </row>
    <row r="297" spans="1:18">
      <c r="B297" s="2251" t="s">
        <v>379</v>
      </c>
      <c r="C297" s="2253">
        <f xml:space="preserve"> ROUND(M296*0.0929,2)</f>
        <v>62.38</v>
      </c>
      <c r="D297" s="2251" t="s">
        <v>357</v>
      </c>
      <c r="E297" s="2253" t="s">
        <v>1552</v>
      </c>
      <c r="F297" s="2251" t="s">
        <v>932</v>
      </c>
      <c r="G297" s="2253">
        <f>'Lead &amp; ANALYSIS'!L758</f>
        <v>1092.5999999999999</v>
      </c>
      <c r="H297" s="2251" t="s">
        <v>3988</v>
      </c>
      <c r="I297" s="2253" t="s">
        <v>357</v>
      </c>
      <c r="J297" s="2253"/>
      <c r="K297" s="2253"/>
      <c r="L297" s="2251"/>
      <c r="M297" s="2251" t="s">
        <v>1039</v>
      </c>
      <c r="N297" s="2251" t="s">
        <v>932</v>
      </c>
      <c r="O297" s="2253">
        <f>C297*G297</f>
        <v>68156.387999999992</v>
      </c>
      <c r="P297" s="2251"/>
      <c r="R297" s="2253"/>
    </row>
    <row r="298" spans="1:18">
      <c r="B298" s="2251"/>
      <c r="C298" s="2253"/>
      <c r="D298" s="2251"/>
      <c r="E298" s="2253"/>
      <c r="F298" s="2251"/>
      <c r="G298" s="2253"/>
      <c r="H298" s="2251"/>
      <c r="I298" s="2253"/>
      <c r="J298" s="2253"/>
      <c r="K298" s="2253"/>
      <c r="L298" s="2251"/>
      <c r="M298" s="2251"/>
      <c r="N298" s="2251"/>
      <c r="O298" s="2253"/>
      <c r="P298" s="2251"/>
      <c r="R298" s="2253"/>
    </row>
    <row r="299" spans="1:18" ht="46.7" hidden="1" customHeight="1">
      <c r="A299" s="2251">
        <v>14</v>
      </c>
      <c r="B299" s="3042" t="str">
        <f>'[4]Analysis '!B1440:I1440</f>
        <v>Fixing tiles in floors ,treads or steps &amp; landings on 20mm thick bed of cement mortar 1:4 jointed with neat cement slurry mixed with pigment to match the shades of the tiles  &amp; polishing including cost of vitrified  industrial tile (300x300)mm……etc  compl</v>
      </c>
      <c r="C299" s="3042"/>
      <c r="D299" s="3042"/>
      <c r="E299" s="3042"/>
      <c r="F299" s="3042"/>
      <c r="G299" s="3042"/>
      <c r="H299" s="3042"/>
      <c r="I299" s="3042"/>
      <c r="J299" s="2253"/>
      <c r="K299" s="2253"/>
      <c r="L299" s="2251"/>
      <c r="M299" s="2251"/>
      <c r="N299" s="2251"/>
      <c r="O299" s="2253"/>
      <c r="P299" s="2251"/>
      <c r="R299" s="2253"/>
    </row>
    <row r="300" spans="1:18" hidden="1">
      <c r="B300" s="2252" t="s">
        <v>1790</v>
      </c>
      <c r="C300" s="2252">
        <v>1</v>
      </c>
      <c r="D300" s="2252" t="s">
        <v>901</v>
      </c>
      <c r="E300" s="2255">
        <v>10</v>
      </c>
      <c r="F300" s="2252" t="s">
        <v>901</v>
      </c>
      <c r="G300" s="2255">
        <v>7</v>
      </c>
      <c r="L300" s="2255" t="s">
        <v>1039</v>
      </c>
      <c r="M300" s="2255">
        <f>C300*E300*G300</f>
        <v>70</v>
      </c>
      <c r="N300" s="2251"/>
      <c r="O300" s="2253"/>
      <c r="P300" s="2251"/>
      <c r="R300" s="2253"/>
    </row>
    <row r="301" spans="1:18" hidden="1">
      <c r="B301" s="2251" t="s">
        <v>928</v>
      </c>
      <c r="C301" s="2251"/>
      <c r="D301" s="2251"/>
      <c r="E301" s="2251"/>
      <c r="F301" s="2251"/>
      <c r="G301" s="2251"/>
      <c r="H301" s="2251"/>
      <c r="I301" s="2251"/>
      <c r="J301" s="2251"/>
      <c r="K301" s="2251"/>
      <c r="L301" s="2255" t="s">
        <v>1039</v>
      </c>
      <c r="M301" s="2253">
        <f>SUM(M300:M300)</f>
        <v>70</v>
      </c>
      <c r="N301" s="2251" t="s">
        <v>4020</v>
      </c>
      <c r="O301" s="2251"/>
      <c r="P301" s="2251"/>
      <c r="R301" s="2253"/>
    </row>
    <row r="302" spans="1:18" hidden="1">
      <c r="B302" s="2251" t="s">
        <v>379</v>
      </c>
      <c r="C302" s="2253">
        <f xml:space="preserve"> ROUND(M301*0.0929,2)</f>
        <v>6.5</v>
      </c>
      <c r="D302" s="2251" t="s">
        <v>357</v>
      </c>
      <c r="E302" s="2253" t="s">
        <v>1552</v>
      </c>
      <c r="F302" s="2251" t="s">
        <v>932</v>
      </c>
      <c r="G302" s="2253">
        <f>'[4]Analysis '!J1463</f>
        <v>873.18</v>
      </c>
      <c r="H302" s="2251" t="s">
        <v>3988</v>
      </c>
      <c r="I302" s="2253" t="s">
        <v>357</v>
      </c>
      <c r="J302" s="2253"/>
      <c r="K302" s="2253"/>
      <c r="L302" s="2251"/>
      <c r="M302" s="2251" t="s">
        <v>1039</v>
      </c>
      <c r="N302" s="2251" t="s">
        <v>932</v>
      </c>
      <c r="O302" s="2253">
        <f>ROUND(C302*G302,0)*0</f>
        <v>0</v>
      </c>
      <c r="P302" s="2251"/>
      <c r="R302" s="2253"/>
    </row>
    <row r="303" spans="1:18" hidden="1">
      <c r="B303" s="2251"/>
      <c r="C303" s="2253"/>
      <c r="D303" s="2251"/>
      <c r="E303" s="2253"/>
      <c r="F303" s="2251"/>
      <c r="G303" s="2253"/>
      <c r="H303" s="2251"/>
      <c r="I303" s="2253"/>
      <c r="J303" s="2253"/>
      <c r="K303" s="2253"/>
      <c r="L303" s="2251"/>
      <c r="M303" s="2251"/>
      <c r="N303" s="2251"/>
      <c r="O303" s="2253"/>
      <c r="P303" s="2251"/>
      <c r="R303" s="2253"/>
    </row>
    <row r="304" spans="1:18" ht="60.4" customHeight="1">
      <c r="A304" s="2251">
        <v>13</v>
      </c>
      <c r="B304" s="3042" t="s">
        <v>4060</v>
      </c>
      <c r="C304" s="3042"/>
      <c r="D304" s="3042"/>
      <c r="E304" s="3042"/>
      <c r="F304" s="3042"/>
      <c r="G304" s="3042"/>
      <c r="H304" s="3042"/>
      <c r="I304" s="3042"/>
      <c r="J304" s="2253"/>
      <c r="K304" s="2253"/>
      <c r="L304" s="2251"/>
      <c r="M304" s="2251"/>
      <c r="N304" s="2251"/>
      <c r="O304" s="2253"/>
      <c r="P304" s="2251"/>
      <c r="R304" s="2253"/>
    </row>
    <row r="305" spans="1:18">
      <c r="B305" s="2260" t="s">
        <v>1775</v>
      </c>
      <c r="C305" s="2260">
        <v>2</v>
      </c>
      <c r="D305" s="2260" t="s">
        <v>901</v>
      </c>
      <c r="E305" s="2275">
        <v>31.66</v>
      </c>
      <c r="F305" s="2260" t="s">
        <v>901</v>
      </c>
      <c r="G305" s="2275">
        <v>2.5</v>
      </c>
      <c r="H305" s="2260"/>
      <c r="I305" s="2260"/>
      <c r="L305" s="2255" t="s">
        <v>1039</v>
      </c>
      <c r="M305" s="2255">
        <f>C305*E305*G305</f>
        <v>158.30000000000001</v>
      </c>
      <c r="N305" s="2251"/>
      <c r="O305" s="2253"/>
      <c r="P305" s="2251"/>
      <c r="R305" s="2253"/>
    </row>
    <row r="306" spans="1:18">
      <c r="B306" s="2260"/>
      <c r="C306" s="2260">
        <v>2</v>
      </c>
      <c r="D306" s="2260" t="s">
        <v>901</v>
      </c>
      <c r="E306" s="2275">
        <v>15</v>
      </c>
      <c r="F306" s="2260" t="s">
        <v>901</v>
      </c>
      <c r="G306" s="2275">
        <v>2.5</v>
      </c>
      <c r="H306" s="2260"/>
      <c r="I306" s="2260"/>
      <c r="L306" s="2255" t="s">
        <v>1039</v>
      </c>
      <c r="M306" s="2255">
        <f>C306*E306*G306</f>
        <v>75</v>
      </c>
      <c r="N306" s="2251"/>
      <c r="O306" s="2253"/>
      <c r="P306" s="2251"/>
      <c r="R306" s="2253"/>
    </row>
    <row r="307" spans="1:18">
      <c r="B307" s="2260" t="s">
        <v>4057</v>
      </c>
      <c r="C307" s="2260">
        <v>1</v>
      </c>
      <c r="D307" s="2260" t="s">
        <v>901</v>
      </c>
      <c r="E307" s="2275">
        <v>31.66</v>
      </c>
      <c r="F307" s="2260" t="s">
        <v>901</v>
      </c>
      <c r="G307" s="2275">
        <v>0.5</v>
      </c>
      <c r="H307" s="2260"/>
      <c r="I307" s="2260"/>
      <c r="L307" s="2255" t="s">
        <v>1039</v>
      </c>
      <c r="M307" s="2255">
        <f>C307*E307*G307</f>
        <v>15.83</v>
      </c>
      <c r="N307" s="2251"/>
      <c r="O307" s="2253"/>
      <c r="P307" s="2251"/>
      <c r="R307" s="2253"/>
    </row>
    <row r="308" spans="1:18">
      <c r="B308" s="2260"/>
      <c r="C308" s="2260">
        <v>2</v>
      </c>
      <c r="D308" s="2260" t="s">
        <v>901</v>
      </c>
      <c r="E308" s="2275">
        <v>6</v>
      </c>
      <c r="F308" s="2260" t="s">
        <v>901</v>
      </c>
      <c r="G308" s="2275">
        <v>0.5</v>
      </c>
      <c r="H308" s="2260"/>
      <c r="I308" s="2260"/>
      <c r="L308" s="2257" t="s">
        <v>1039</v>
      </c>
      <c r="M308" s="2257">
        <f>C308*E308*G308</f>
        <v>6</v>
      </c>
      <c r="N308" s="2258"/>
      <c r="O308" s="2253"/>
      <c r="P308" s="2251"/>
      <c r="R308" s="2253"/>
    </row>
    <row r="309" spans="1:18">
      <c r="B309" s="2251" t="s">
        <v>928</v>
      </c>
      <c r="C309" s="2251"/>
      <c r="D309" s="2251"/>
      <c r="E309" s="2251"/>
      <c r="F309" s="2251"/>
      <c r="G309" s="2251"/>
      <c r="H309" s="2251"/>
      <c r="I309" s="2251"/>
      <c r="J309" s="2251"/>
      <c r="K309" s="2251"/>
      <c r="L309" s="2255" t="s">
        <v>1039</v>
      </c>
      <c r="M309" s="2253">
        <f>SUM(M305:M308)</f>
        <v>255.13000000000002</v>
      </c>
      <c r="N309" s="2251" t="s">
        <v>4020</v>
      </c>
      <c r="O309" s="2251"/>
      <c r="P309" s="2251"/>
      <c r="R309" s="2253"/>
    </row>
    <row r="310" spans="1:18">
      <c r="B310" s="2251" t="s">
        <v>4061</v>
      </c>
      <c r="C310" s="2252">
        <v>2</v>
      </c>
      <c r="D310" s="2252" t="s">
        <v>901</v>
      </c>
      <c r="E310" s="2276">
        <v>4</v>
      </c>
      <c r="F310" s="2252" t="s">
        <v>901</v>
      </c>
      <c r="G310" s="2252">
        <v>0.5</v>
      </c>
      <c r="H310" s="2251" t="s">
        <v>901</v>
      </c>
      <c r="I310" s="2251">
        <v>1</v>
      </c>
      <c r="J310" s="2251"/>
      <c r="K310" s="2251"/>
      <c r="L310" s="2255" t="s">
        <v>1039</v>
      </c>
      <c r="M310" s="2255">
        <f>C310*E310*G310*I310</f>
        <v>4</v>
      </c>
      <c r="N310" s="2251" t="s">
        <v>4020</v>
      </c>
      <c r="O310" s="2251"/>
      <c r="P310" s="2251"/>
      <c r="R310" s="2253"/>
    </row>
    <row r="311" spans="1:18" hidden="1">
      <c r="B311" s="2251"/>
      <c r="C311" s="2252">
        <v>0</v>
      </c>
      <c r="D311" s="2252" t="s">
        <v>901</v>
      </c>
      <c r="E311" s="2276">
        <f>4-0.83</f>
        <v>3.17</v>
      </c>
      <c r="F311" s="2252" t="s">
        <v>901</v>
      </c>
      <c r="G311" s="2252">
        <v>0.5</v>
      </c>
      <c r="H311" s="2251" t="s">
        <v>901</v>
      </c>
      <c r="I311" s="2251">
        <v>1</v>
      </c>
      <c r="J311" s="2251"/>
      <c r="K311" s="2251"/>
      <c r="L311" s="2255" t="s">
        <v>1039</v>
      </c>
      <c r="M311" s="2255">
        <f>C311*E311*G311*I311</f>
        <v>0</v>
      </c>
      <c r="N311" s="2251" t="s">
        <v>4020</v>
      </c>
      <c r="O311" s="2251"/>
      <c r="P311" s="2251"/>
      <c r="R311" s="2253"/>
    </row>
    <row r="312" spans="1:18" hidden="1">
      <c r="B312" s="2251"/>
      <c r="C312" s="2252">
        <v>0</v>
      </c>
      <c r="D312" s="2252" t="s">
        <v>901</v>
      </c>
      <c r="E312" s="2276">
        <v>5</v>
      </c>
      <c r="F312" s="2252" t="s">
        <v>901</v>
      </c>
      <c r="G312" s="2255">
        <v>0.5</v>
      </c>
      <c r="H312" s="2251" t="s">
        <v>901</v>
      </c>
      <c r="I312" s="2251">
        <v>1</v>
      </c>
      <c r="J312" s="2251"/>
      <c r="K312" s="2251"/>
      <c r="L312" s="2257" t="s">
        <v>1039</v>
      </c>
      <c r="M312" s="2257">
        <f>C312*E312*G312*I312</f>
        <v>0</v>
      </c>
      <c r="N312" s="2258" t="s">
        <v>4020</v>
      </c>
      <c r="O312" s="2251"/>
      <c r="P312" s="2251"/>
      <c r="R312" s="2253"/>
    </row>
    <row r="313" spans="1:18">
      <c r="B313" s="2251"/>
      <c r="E313" s="2276"/>
      <c r="G313" s="2255"/>
      <c r="H313" s="2251"/>
      <c r="I313" s="2251"/>
      <c r="J313" s="2251"/>
      <c r="K313" s="2251"/>
      <c r="L313" s="2255"/>
      <c r="M313" s="2255">
        <f>SUM(M310:M312)</f>
        <v>4</v>
      </c>
      <c r="N313" s="2251" t="s">
        <v>4020</v>
      </c>
      <c r="O313" s="2251"/>
      <c r="P313" s="2251"/>
      <c r="R313" s="2253"/>
    </row>
    <row r="314" spans="1:18">
      <c r="B314" s="2251" t="s">
        <v>4062</v>
      </c>
      <c r="C314" s="2251"/>
      <c r="D314" s="2251"/>
      <c r="E314" s="2251"/>
      <c r="F314" s="2251"/>
      <c r="G314" s="2251"/>
      <c r="H314" s="2251"/>
      <c r="I314" s="2251"/>
      <c r="J314" s="2251"/>
      <c r="K314" s="2251"/>
      <c r="L314" s="2255"/>
      <c r="M314" s="2253">
        <f>M309-M313</f>
        <v>251.13000000000002</v>
      </c>
      <c r="N314" s="2251" t="s">
        <v>4020</v>
      </c>
      <c r="O314" s="2251"/>
      <c r="P314" s="2251"/>
      <c r="R314" s="2253"/>
    </row>
    <row r="315" spans="1:18">
      <c r="B315" s="2251" t="s">
        <v>379</v>
      </c>
      <c r="C315" s="2253">
        <f xml:space="preserve"> ROUND(M314*0.0929,2)</f>
        <v>23.33</v>
      </c>
      <c r="D315" s="2251" t="s">
        <v>357</v>
      </c>
      <c r="E315" s="2253" t="s">
        <v>1552</v>
      </c>
      <c r="F315" s="2251" t="s">
        <v>932</v>
      </c>
      <c r="G315" s="2253">
        <f>'Lead &amp; ANALYSIS'!L789</f>
        <v>780.8</v>
      </c>
      <c r="H315" s="2251" t="s">
        <v>3988</v>
      </c>
      <c r="I315" s="2253" t="s">
        <v>357</v>
      </c>
      <c r="J315" s="2253"/>
      <c r="K315" s="2253"/>
      <c r="L315" s="2251"/>
      <c r="M315" s="2251" t="s">
        <v>1039</v>
      </c>
      <c r="N315" s="2251" t="s">
        <v>932</v>
      </c>
      <c r="O315" s="2253">
        <f>C315*G315</f>
        <v>18216.063999999998</v>
      </c>
      <c r="P315" s="2251"/>
      <c r="R315" s="2253"/>
    </row>
    <row r="316" spans="1:18" hidden="1">
      <c r="B316" s="2251"/>
      <c r="C316" s="2253"/>
      <c r="D316" s="2251"/>
      <c r="E316" s="2253"/>
      <c r="F316" s="2251"/>
      <c r="G316" s="2253"/>
      <c r="H316" s="2251"/>
      <c r="I316" s="2253"/>
      <c r="J316" s="2253"/>
      <c r="K316" s="2253"/>
      <c r="L316" s="2251"/>
      <c r="M316" s="2251"/>
      <c r="N316" s="2251"/>
      <c r="O316" s="2253"/>
      <c r="P316" s="2251"/>
      <c r="R316" s="2253"/>
    </row>
    <row r="317" spans="1:18" ht="63.95" hidden="1" customHeight="1">
      <c r="A317" s="2251">
        <v>18</v>
      </c>
      <c r="B317" s="3042" t="s">
        <v>4063</v>
      </c>
      <c r="C317" s="3042"/>
      <c r="D317" s="3042"/>
      <c r="E317" s="3042"/>
      <c r="F317" s="3042"/>
      <c r="G317" s="3042"/>
      <c r="H317" s="3042"/>
      <c r="I317" s="3042"/>
      <c r="J317" s="2253"/>
      <c r="K317" s="2253"/>
      <c r="L317" s="2251"/>
      <c r="M317" s="2251"/>
      <c r="N317" s="2251"/>
      <c r="O317" s="2253"/>
      <c r="P317" s="2251"/>
      <c r="R317" s="2253"/>
    </row>
    <row r="318" spans="1:18" hidden="1">
      <c r="B318" s="2252" t="s">
        <v>4064</v>
      </c>
      <c r="C318" s="2255">
        <v>2</v>
      </c>
      <c r="D318" s="2252" t="s">
        <v>901</v>
      </c>
      <c r="E318" s="2255">
        <v>5</v>
      </c>
      <c r="F318" s="2252" t="s">
        <v>901</v>
      </c>
      <c r="G318" s="2255">
        <v>7</v>
      </c>
      <c r="H318" s="2251"/>
      <c r="I318" s="2253"/>
      <c r="J318" s="2253"/>
      <c r="K318" s="2253"/>
      <c r="L318" s="2251" t="s">
        <v>1039</v>
      </c>
      <c r="M318" s="2252">
        <f>C318*E318*G318</f>
        <v>70</v>
      </c>
      <c r="N318" s="2251" t="str">
        <f>N320</f>
        <v>sft</v>
      </c>
      <c r="O318" s="2253"/>
      <c r="P318" s="2251"/>
      <c r="R318" s="2253"/>
    </row>
    <row r="319" spans="1:18" hidden="1">
      <c r="C319" s="2255">
        <v>2</v>
      </c>
      <c r="D319" s="2252" t="s">
        <v>901</v>
      </c>
      <c r="E319" s="2255">
        <v>7</v>
      </c>
      <c r="F319" s="2252" t="s">
        <v>901</v>
      </c>
      <c r="G319" s="2255">
        <v>7</v>
      </c>
      <c r="H319" s="2251"/>
      <c r="I319" s="2253"/>
      <c r="J319" s="2253"/>
      <c r="K319" s="2253"/>
      <c r="L319" s="2258" t="s">
        <v>1039</v>
      </c>
      <c r="M319" s="2256">
        <f>C319*E319*G319</f>
        <v>98</v>
      </c>
      <c r="N319" s="2258" t="str">
        <f>N318</f>
        <v>sft</v>
      </c>
      <c r="O319" s="2253"/>
      <c r="P319" s="2251"/>
      <c r="R319" s="2253"/>
    </row>
    <row r="320" spans="1:18" hidden="1">
      <c r="B320" s="2251"/>
      <c r="C320" s="2253"/>
      <c r="D320" s="2251"/>
      <c r="E320" s="2253"/>
      <c r="F320" s="2251"/>
      <c r="G320" s="2253"/>
      <c r="H320" s="2251"/>
      <c r="I320" s="2253"/>
      <c r="J320" s="2253"/>
      <c r="K320" s="2253"/>
      <c r="L320" s="2251"/>
      <c r="M320" s="2252">
        <f>SUM(M318:M319)</f>
        <v>168</v>
      </c>
      <c r="N320" s="2251" t="str">
        <f>N314</f>
        <v>sft</v>
      </c>
      <c r="O320" s="2253"/>
      <c r="P320" s="2251"/>
      <c r="R320" s="2253"/>
    </row>
    <row r="321" spans="1:18" hidden="1">
      <c r="B321" s="2251" t="s">
        <v>4061</v>
      </c>
      <c r="C321" s="2252">
        <v>2</v>
      </c>
      <c r="D321" s="2252" t="s">
        <v>901</v>
      </c>
      <c r="E321" s="2276">
        <f>2.75-0.83</f>
        <v>1.92</v>
      </c>
      <c r="F321" s="2252" t="s">
        <v>901</v>
      </c>
      <c r="G321" s="2252">
        <v>7</v>
      </c>
      <c r="H321" s="2251"/>
      <c r="I321" s="2251"/>
      <c r="J321" s="2251"/>
      <c r="K321" s="2251"/>
      <c r="L321" s="2255" t="s">
        <v>1039</v>
      </c>
      <c r="M321" s="2255">
        <f>C321*E321*G321</f>
        <v>26.88</v>
      </c>
      <c r="N321" s="2251" t="s">
        <v>4020</v>
      </c>
      <c r="O321" s="2251"/>
      <c r="P321" s="2251"/>
      <c r="R321" s="2253"/>
    </row>
    <row r="322" spans="1:18" hidden="1">
      <c r="B322" s="2251" t="s">
        <v>4062</v>
      </c>
      <c r="C322" s="2251"/>
      <c r="D322" s="2251"/>
      <c r="E322" s="2251"/>
      <c r="F322" s="2251"/>
      <c r="G322" s="2251"/>
      <c r="H322" s="2251"/>
      <c r="I322" s="2251"/>
      <c r="J322" s="2251"/>
      <c r="K322" s="2251"/>
      <c r="L322" s="2255"/>
      <c r="M322" s="2253">
        <f>M320-M321</f>
        <v>141.12</v>
      </c>
      <c r="N322" s="2251" t="s">
        <v>4020</v>
      </c>
      <c r="O322" s="2251"/>
      <c r="P322" s="2251"/>
      <c r="R322" s="2253"/>
    </row>
    <row r="323" spans="1:18" hidden="1">
      <c r="B323" s="2251" t="s">
        <v>379</v>
      </c>
      <c r="C323" s="2253">
        <f xml:space="preserve"> ROUND(M322*0.0929,2)*0</f>
        <v>0</v>
      </c>
      <c r="D323" s="2251" t="s">
        <v>357</v>
      </c>
      <c r="E323" s="2253" t="s">
        <v>1552</v>
      </c>
      <c r="F323" s="2251" t="s">
        <v>932</v>
      </c>
      <c r="G323" s="2253">
        <f>'[4]Analysis '!J1672</f>
        <v>739.18</v>
      </c>
      <c r="H323" s="2251" t="s">
        <v>3988</v>
      </c>
      <c r="I323" s="2253" t="s">
        <v>357</v>
      </c>
      <c r="J323" s="2253"/>
      <c r="K323" s="2253"/>
      <c r="L323" s="2251"/>
      <c r="M323" s="2251" t="s">
        <v>1039</v>
      </c>
      <c r="N323" s="2251" t="s">
        <v>932</v>
      </c>
      <c r="O323" s="2253">
        <f>C323*G323</f>
        <v>0</v>
      </c>
      <c r="P323" s="2251"/>
      <c r="R323" s="2253"/>
    </row>
    <row r="324" spans="1:18" hidden="1">
      <c r="B324" s="2251"/>
      <c r="C324" s="2253"/>
      <c r="D324" s="2251"/>
      <c r="E324" s="2253"/>
      <c r="F324" s="2251"/>
      <c r="G324" s="2253"/>
      <c r="H324" s="2251"/>
      <c r="I324" s="2253"/>
      <c r="J324" s="2253"/>
      <c r="K324" s="2253"/>
      <c r="L324" s="2251"/>
      <c r="N324" s="2251"/>
      <c r="O324" s="2253"/>
      <c r="P324" s="2251"/>
      <c r="R324" s="2253"/>
    </row>
    <row r="325" spans="1:18" ht="47.1" hidden="1" customHeight="1">
      <c r="A325" s="2251">
        <v>14</v>
      </c>
      <c r="B325" s="3042" t="str">
        <f>'[6]Analysis '!B1209:I1209</f>
        <v>Finishing surface of walls with cement based wall putty ( Water based ) of approved make and finished smooth and even surface to receive painting including scaffolding staging charges with all materials, taxes, labour charges etc  compl.</v>
      </c>
      <c r="C325" s="3042"/>
      <c r="D325" s="3042"/>
      <c r="E325" s="3042"/>
      <c r="F325" s="3042"/>
      <c r="G325" s="3042"/>
      <c r="H325" s="3042"/>
      <c r="I325" s="3042"/>
      <c r="J325" s="2260"/>
      <c r="K325" s="2260"/>
      <c r="L325" s="2255"/>
      <c r="M325" s="2253"/>
      <c r="N325" s="2255"/>
      <c r="O325" s="2251"/>
      <c r="P325" s="2253"/>
    </row>
    <row r="326" spans="1:18" ht="14.25" hidden="1" customHeight="1">
      <c r="A326" s="2252"/>
      <c r="B326" s="2277" t="s">
        <v>4065</v>
      </c>
      <c r="L326" s="2255" t="s">
        <v>1039</v>
      </c>
      <c r="M326" s="2255">
        <f>M246</f>
        <v>1114.5</v>
      </c>
      <c r="N326" s="2252" t="s">
        <v>4020</v>
      </c>
    </row>
    <row r="327" spans="1:18" hidden="1">
      <c r="B327" s="2277" t="s">
        <v>4066</v>
      </c>
      <c r="L327" s="2255" t="s">
        <v>1039</v>
      </c>
      <c r="M327" s="2255">
        <f>M268</f>
        <v>1305.915</v>
      </c>
      <c r="N327" s="2252" t="s">
        <v>4020</v>
      </c>
      <c r="O327" s="2251"/>
    </row>
    <row r="328" spans="1:18" hidden="1">
      <c r="B328" s="2277" t="s">
        <v>4067</v>
      </c>
      <c r="L328" s="2257" t="s">
        <v>1039</v>
      </c>
      <c r="M328" s="2257">
        <v>0</v>
      </c>
      <c r="N328" s="2256" t="s">
        <v>4020</v>
      </c>
      <c r="O328" s="2251"/>
    </row>
    <row r="329" spans="1:18" hidden="1">
      <c r="B329" s="2251" t="s">
        <v>928</v>
      </c>
      <c r="C329" s="2251"/>
      <c r="D329" s="2251"/>
      <c r="E329" s="2253"/>
      <c r="F329" s="2251"/>
      <c r="G329" s="2253"/>
      <c r="H329" s="2251"/>
      <c r="I329" s="2251"/>
      <c r="J329" s="2251"/>
      <c r="K329" s="2251"/>
      <c r="L329" s="2253" t="s">
        <v>1039</v>
      </c>
      <c r="M329" s="2253">
        <f>SUM(M326:M328)</f>
        <v>2420.415</v>
      </c>
      <c r="N329" s="2251" t="s">
        <v>4020</v>
      </c>
    </row>
    <row r="330" spans="1:18" hidden="1">
      <c r="B330" s="2251" t="s">
        <v>379</v>
      </c>
      <c r="C330" s="2253">
        <f xml:space="preserve"> ROUND(M329*0.0929,2)</f>
        <v>224.86</v>
      </c>
      <c r="D330" s="2251" t="s">
        <v>357</v>
      </c>
      <c r="E330" s="2253" t="s">
        <v>1552</v>
      </c>
      <c r="F330" s="2251" t="s">
        <v>932</v>
      </c>
      <c r="G330" s="2253">
        <f>'Lead &amp; ANALYSIS'!L950</f>
        <v>85.3</v>
      </c>
      <c r="H330" s="2251" t="s">
        <v>3988</v>
      </c>
      <c r="I330" s="2253" t="s">
        <v>357</v>
      </c>
      <c r="J330" s="2253"/>
      <c r="K330" s="2253"/>
      <c r="L330" s="2251"/>
      <c r="M330" s="2251" t="s">
        <v>1039</v>
      </c>
      <c r="N330" s="2251" t="s">
        <v>932</v>
      </c>
      <c r="O330" s="2253">
        <f>ROUND(C330*G330,0)*0</f>
        <v>0</v>
      </c>
      <c r="P330" s="2253"/>
    </row>
    <row r="331" spans="1:18" hidden="1">
      <c r="B331" s="2251"/>
      <c r="C331" s="2253"/>
      <c r="D331" s="2251"/>
      <c r="E331" s="2253"/>
      <c r="F331" s="2251"/>
      <c r="G331" s="2253"/>
      <c r="H331" s="2251"/>
      <c r="I331" s="2253"/>
      <c r="J331" s="2253"/>
      <c r="K331" s="2253"/>
      <c r="L331" s="2251"/>
      <c r="M331" s="2251"/>
      <c r="N331" s="2251"/>
      <c r="O331" s="2253"/>
      <c r="P331" s="2253"/>
    </row>
    <row r="332" spans="1:18" ht="45" hidden="1" customHeight="1">
      <c r="A332" s="2251">
        <v>14</v>
      </c>
      <c r="B332" s="3042" t="str">
        <f>'[6]Analysis '!B1245:I1245</f>
        <v>Priming one coat with water bound cement primer of approved quality over plastered surface including scaffolding staging charges with all materials, taxes, labour charges etc  compl.</v>
      </c>
      <c r="C332" s="3042"/>
      <c r="D332" s="3042"/>
      <c r="E332" s="3042"/>
      <c r="F332" s="3042"/>
      <c r="G332" s="3042"/>
      <c r="H332" s="3042"/>
      <c r="I332" s="3042"/>
      <c r="J332" s="2260"/>
      <c r="K332" s="2260"/>
      <c r="L332" s="2255"/>
      <c r="M332" s="2253"/>
      <c r="N332" s="2255"/>
      <c r="O332" s="2251"/>
      <c r="P332" s="2253"/>
    </row>
    <row r="333" spans="1:18" ht="18.600000000000001" hidden="1" customHeight="1">
      <c r="A333" s="2252"/>
      <c r="B333" s="2277" t="s">
        <v>4068</v>
      </c>
      <c r="L333" s="2255" t="s">
        <v>1039</v>
      </c>
      <c r="M333" s="2255">
        <f>M232</f>
        <v>304.14999999999998</v>
      </c>
      <c r="N333" s="2252" t="s">
        <v>4020</v>
      </c>
    </row>
    <row r="334" spans="1:18" ht="18.600000000000001" hidden="1" customHeight="1">
      <c r="A334" s="2252"/>
      <c r="B334" s="2277" t="s">
        <v>4065</v>
      </c>
      <c r="L334" s="2255" t="s">
        <v>1039</v>
      </c>
      <c r="M334" s="2255">
        <f>M246</f>
        <v>1114.5</v>
      </c>
      <c r="N334" s="2252" t="s">
        <v>4020</v>
      </c>
    </row>
    <row r="335" spans="1:18" ht="18.600000000000001" hidden="1" customHeight="1">
      <c r="A335" s="2252"/>
      <c r="B335" s="2277" t="s">
        <v>4066</v>
      </c>
      <c r="L335" s="2255" t="s">
        <v>1039</v>
      </c>
      <c r="M335" s="2255">
        <f>M327</f>
        <v>1305.915</v>
      </c>
      <c r="N335" s="2252" t="s">
        <v>4020</v>
      </c>
    </row>
    <row r="336" spans="1:18" ht="18.600000000000001" hidden="1" customHeight="1">
      <c r="A336" s="2252"/>
      <c r="B336" s="2277" t="s">
        <v>2997</v>
      </c>
      <c r="L336" s="2257" t="s">
        <v>1039</v>
      </c>
      <c r="M336" s="2257">
        <v>558.88</v>
      </c>
      <c r="N336" s="2256" t="s">
        <v>4020</v>
      </c>
    </row>
    <row r="337" spans="1:16" ht="18.600000000000001" hidden="1" customHeight="1">
      <c r="B337" s="2251" t="s">
        <v>928</v>
      </c>
      <c r="C337" s="2251"/>
      <c r="D337" s="2251"/>
      <c r="E337" s="2253"/>
      <c r="F337" s="2251"/>
      <c r="G337" s="2253"/>
      <c r="H337" s="2251"/>
      <c r="I337" s="2251"/>
      <c r="J337" s="2251"/>
      <c r="K337" s="2251"/>
      <c r="L337" s="2253" t="s">
        <v>1039</v>
      </c>
      <c r="M337" s="2253">
        <f>SUM(M333:M336)</f>
        <v>3283.4450000000002</v>
      </c>
      <c r="N337" s="2251" t="s">
        <v>4020</v>
      </c>
      <c r="O337" s="2251"/>
    </row>
    <row r="338" spans="1:16" ht="17.100000000000001" hidden="1" customHeight="1">
      <c r="B338" s="2251" t="s">
        <v>379</v>
      </c>
      <c r="C338" s="2253">
        <f xml:space="preserve"> ROUND(M337*0.0929,2)</f>
        <v>305.02999999999997</v>
      </c>
      <c r="D338" s="2251" t="s">
        <v>357</v>
      </c>
      <c r="E338" s="2253" t="s">
        <v>1552</v>
      </c>
      <c r="F338" s="2251" t="s">
        <v>932</v>
      </c>
      <c r="G338" s="2253">
        <f>'Lead &amp; ANALYSIS'!L903</f>
        <v>64.3</v>
      </c>
      <c r="H338" s="2251" t="s">
        <v>3988</v>
      </c>
      <c r="I338" s="2253" t="s">
        <v>357</v>
      </c>
      <c r="J338" s="2253"/>
      <c r="K338" s="2253"/>
      <c r="L338" s="2251"/>
      <c r="M338" s="2251" t="s">
        <v>1039</v>
      </c>
      <c r="N338" s="2251" t="s">
        <v>932</v>
      </c>
      <c r="O338" s="2253">
        <f>ROUND(C338*G338,0)*0</f>
        <v>0</v>
      </c>
    </row>
    <row r="339" spans="1:16" ht="12" customHeight="1">
      <c r="B339" s="2251"/>
      <c r="C339" s="2253"/>
      <c r="D339" s="2251"/>
      <c r="E339" s="2253"/>
      <c r="F339" s="2251"/>
      <c r="G339" s="2253"/>
      <c r="H339" s="2251"/>
      <c r="I339" s="2253"/>
      <c r="J339" s="2253"/>
      <c r="K339" s="2253"/>
      <c r="L339" s="2251"/>
      <c r="M339" s="2251"/>
      <c r="N339" s="2251"/>
      <c r="O339" s="2253"/>
    </row>
    <row r="340" spans="1:16" ht="70.7" customHeight="1">
      <c r="A340" s="2251">
        <v>14</v>
      </c>
      <c r="B340" s="3042" t="s">
        <v>4069</v>
      </c>
      <c r="C340" s="3042"/>
      <c r="D340" s="3042"/>
      <c r="E340" s="3042"/>
      <c r="F340" s="3042"/>
      <c r="G340" s="3042"/>
      <c r="H340" s="3042"/>
      <c r="I340" s="3042"/>
      <c r="J340" s="2260"/>
      <c r="K340" s="2260"/>
    </row>
    <row r="341" spans="1:16" ht="17.100000000000001" customHeight="1">
      <c r="B341" s="2260" t="s">
        <v>291</v>
      </c>
      <c r="C341" s="2260">
        <v>2</v>
      </c>
      <c r="D341" s="2260" t="s">
        <v>901</v>
      </c>
      <c r="E341" s="2260">
        <v>2.25</v>
      </c>
      <c r="F341" s="2260" t="s">
        <v>901</v>
      </c>
      <c r="G341" s="2275">
        <v>4</v>
      </c>
      <c r="H341" s="2260" t="s">
        <v>901</v>
      </c>
      <c r="I341" s="2275">
        <v>7</v>
      </c>
      <c r="J341" s="2260"/>
      <c r="K341" s="2260"/>
      <c r="L341" s="2252" t="s">
        <v>1039</v>
      </c>
      <c r="M341" s="2255">
        <f>I341*G341*E341*C341</f>
        <v>126</v>
      </c>
      <c r="N341" s="2252" t="s">
        <v>4033</v>
      </c>
    </row>
    <row r="342" spans="1:16" ht="15" hidden="1" customHeight="1">
      <c r="B342" s="2260"/>
      <c r="C342" s="2260">
        <v>0</v>
      </c>
      <c r="D342" s="2260" t="s">
        <v>901</v>
      </c>
      <c r="E342" s="2260">
        <v>2.25</v>
      </c>
      <c r="F342" s="2260" t="s">
        <v>901</v>
      </c>
      <c r="G342" s="2260">
        <v>3.5</v>
      </c>
      <c r="H342" s="2260" t="s">
        <v>901</v>
      </c>
      <c r="I342" s="2260">
        <v>7</v>
      </c>
      <c r="J342" s="2260"/>
      <c r="K342" s="2260"/>
      <c r="L342" s="2252" t="s">
        <v>1039</v>
      </c>
      <c r="M342" s="2252">
        <f>I342*G342*E342*C342</f>
        <v>0</v>
      </c>
      <c r="N342" s="2252" t="s">
        <v>4033</v>
      </c>
    </row>
    <row r="343" spans="1:16" ht="18.600000000000001" customHeight="1">
      <c r="B343" s="2252" t="s">
        <v>1952</v>
      </c>
      <c r="C343" s="2252">
        <v>4</v>
      </c>
      <c r="D343" s="2252" t="s">
        <v>901</v>
      </c>
      <c r="E343" s="2252">
        <v>2.75</v>
      </c>
      <c r="F343" s="2252" t="s">
        <v>901</v>
      </c>
      <c r="G343" s="2255">
        <v>4</v>
      </c>
      <c r="H343" s="2252" t="s">
        <v>901</v>
      </c>
      <c r="I343" s="2255">
        <v>4</v>
      </c>
      <c r="J343" s="2255"/>
      <c r="K343" s="2255"/>
      <c r="L343" s="2255" t="s">
        <v>1039</v>
      </c>
      <c r="M343" s="2255">
        <f>C343*E343*G343*I343</f>
        <v>176</v>
      </c>
      <c r="N343" s="2252" t="s">
        <v>4033</v>
      </c>
    </row>
    <row r="344" spans="1:16" hidden="1">
      <c r="B344" s="2252" t="s">
        <v>1954</v>
      </c>
      <c r="C344" s="2252">
        <v>0</v>
      </c>
      <c r="D344" s="2252" t="s">
        <v>901</v>
      </c>
      <c r="E344" s="2252">
        <v>0.5</v>
      </c>
      <c r="F344" s="2252" t="s">
        <v>901</v>
      </c>
      <c r="G344" s="2255">
        <v>2</v>
      </c>
      <c r="H344" s="2252" t="s">
        <v>901</v>
      </c>
      <c r="I344" s="2255">
        <v>2</v>
      </c>
      <c r="J344" s="2255"/>
      <c r="K344" s="2255"/>
      <c r="L344" s="2257" t="s">
        <v>1039</v>
      </c>
      <c r="M344" s="2257">
        <f>C344*E344*G344*I344</f>
        <v>0</v>
      </c>
      <c r="N344" s="2256"/>
    </row>
    <row r="345" spans="1:16" ht="16.7" customHeight="1">
      <c r="B345" s="2251" t="s">
        <v>928</v>
      </c>
      <c r="C345" s="2251"/>
      <c r="D345" s="2251"/>
      <c r="E345" s="2251"/>
      <c r="F345" s="2251"/>
      <c r="G345" s="2251"/>
      <c r="H345" s="2251"/>
      <c r="I345" s="2251"/>
      <c r="J345" s="2251"/>
      <c r="K345" s="2251"/>
      <c r="L345" s="2255" t="s">
        <v>1039</v>
      </c>
      <c r="M345" s="2253">
        <f>SUM(M341:M344)</f>
        <v>302</v>
      </c>
      <c r="N345" s="2251" t="s">
        <v>4020</v>
      </c>
      <c r="O345" s="2251"/>
      <c r="P345" s="2251"/>
    </row>
    <row r="346" spans="1:16" ht="17.100000000000001" customHeight="1">
      <c r="B346" s="2251" t="s">
        <v>379</v>
      </c>
      <c r="C346" s="2253">
        <f xml:space="preserve"> ROUND(M345*0.0929,2)</f>
        <v>28.06</v>
      </c>
      <c r="D346" s="2251" t="s">
        <v>357</v>
      </c>
      <c r="E346" s="2253" t="s">
        <v>1552</v>
      </c>
      <c r="F346" s="2251" t="s">
        <v>932</v>
      </c>
      <c r="G346" s="2253">
        <f>'Lead &amp; ANALYSIS'!L1000</f>
        <v>222.5</v>
      </c>
      <c r="H346" s="2251" t="s">
        <v>3988</v>
      </c>
      <c r="I346" s="2253" t="s">
        <v>357</v>
      </c>
      <c r="J346" s="2253"/>
      <c r="K346" s="2253"/>
      <c r="L346" s="2251"/>
      <c r="M346" s="2251" t="s">
        <v>1039</v>
      </c>
      <c r="N346" s="2251" t="s">
        <v>932</v>
      </c>
      <c r="O346" s="2253">
        <f>C346*G346</f>
        <v>6243.3499999999995</v>
      </c>
      <c r="P346" s="2251"/>
    </row>
    <row r="347" spans="1:16" ht="12.95" customHeight="1">
      <c r="B347" s="2251"/>
      <c r="C347" s="2253"/>
      <c r="D347" s="2251"/>
      <c r="E347" s="2253"/>
      <c r="F347" s="2251"/>
      <c r="G347" s="2253"/>
      <c r="H347" s="2251"/>
      <c r="I347" s="2253"/>
      <c r="J347" s="2253"/>
      <c r="K347" s="2253"/>
      <c r="L347" s="2251"/>
      <c r="M347" s="2251"/>
      <c r="N347" s="2251"/>
      <c r="O347" s="2253"/>
      <c r="P347" s="2251"/>
    </row>
    <row r="348" spans="1:16" ht="44.65" customHeight="1">
      <c r="A348" s="2251">
        <v>15</v>
      </c>
      <c r="B348" s="3042" t="s">
        <v>4070</v>
      </c>
      <c r="C348" s="3042"/>
      <c r="D348" s="3042"/>
      <c r="E348" s="3042"/>
      <c r="F348" s="3042"/>
      <c r="G348" s="3042"/>
      <c r="H348" s="3042"/>
      <c r="I348" s="3042"/>
      <c r="J348" s="2253"/>
      <c r="K348" s="2253"/>
      <c r="L348" s="2251"/>
      <c r="M348" s="2251"/>
      <c r="N348" s="2251"/>
      <c r="O348" s="2253"/>
      <c r="P348" s="2251"/>
    </row>
    <row r="349" spans="1:16">
      <c r="B349" s="2252" t="s">
        <v>4071</v>
      </c>
      <c r="E349" s="2255"/>
      <c r="G349" s="2255"/>
      <c r="I349" s="2255"/>
      <c r="J349" s="2255"/>
      <c r="K349" s="2255"/>
      <c r="L349" s="2255" t="s">
        <v>1039</v>
      </c>
      <c r="M349" s="2255">
        <f>M334</f>
        <v>1114.5</v>
      </c>
      <c r="N349" s="2251"/>
      <c r="O349" s="2253"/>
      <c r="P349" s="2251"/>
    </row>
    <row r="350" spans="1:16" ht="15.6" customHeight="1">
      <c r="B350" s="2252" t="s">
        <v>4054</v>
      </c>
      <c r="C350" s="2252">
        <v>2</v>
      </c>
      <c r="D350" s="2252" t="s">
        <v>901</v>
      </c>
      <c r="E350" s="2255">
        <v>33.33</v>
      </c>
      <c r="F350" s="2252" t="s">
        <v>901</v>
      </c>
      <c r="G350" s="2252">
        <v>0.83</v>
      </c>
      <c r="I350" s="2255"/>
      <c r="J350" s="2255"/>
      <c r="K350" s="2255"/>
      <c r="L350" s="2255" t="s">
        <v>1039</v>
      </c>
      <c r="M350" s="2255">
        <f>C350*E350*G350</f>
        <v>55.327799999999996</v>
      </c>
      <c r="N350" s="2252" t="s">
        <v>4020</v>
      </c>
      <c r="O350" s="2253"/>
      <c r="P350" s="2251"/>
    </row>
    <row r="351" spans="1:16" ht="15.6" customHeight="1">
      <c r="C351" s="2252">
        <v>2</v>
      </c>
      <c r="D351" s="2252" t="s">
        <v>901</v>
      </c>
      <c r="E351" s="2255">
        <v>22.5</v>
      </c>
      <c r="F351" s="2252" t="s">
        <v>901</v>
      </c>
      <c r="G351" s="2252">
        <v>0.83</v>
      </c>
      <c r="I351" s="2255"/>
      <c r="J351" s="2255"/>
      <c r="K351" s="2255"/>
      <c r="L351" s="2255" t="s">
        <v>1039</v>
      </c>
      <c r="M351" s="2255">
        <f>C351*E351*G351</f>
        <v>37.35</v>
      </c>
      <c r="N351" s="2252" t="s">
        <v>4020</v>
      </c>
      <c r="O351" s="2253"/>
      <c r="P351" s="2251"/>
    </row>
    <row r="352" spans="1:16" ht="15.6" customHeight="1">
      <c r="B352" s="2252" t="s">
        <v>4055</v>
      </c>
      <c r="C352" s="2252">
        <v>3</v>
      </c>
      <c r="D352" s="2252" t="s">
        <v>901</v>
      </c>
      <c r="E352" s="2255">
        <v>5</v>
      </c>
      <c r="F352" s="2252" t="s">
        <v>901</v>
      </c>
      <c r="G352" s="2255">
        <v>2</v>
      </c>
      <c r="I352" s="2255"/>
      <c r="J352" s="2255"/>
      <c r="K352" s="2255"/>
      <c r="L352" s="2255" t="s">
        <v>1039</v>
      </c>
      <c r="M352" s="2255">
        <f>C352*E352*G352</f>
        <v>30</v>
      </c>
      <c r="N352" s="2252" t="s">
        <v>4020</v>
      </c>
      <c r="O352" s="2253"/>
      <c r="P352" s="2251"/>
    </row>
    <row r="353" spans="1:16" hidden="1">
      <c r="C353" s="2252">
        <v>0</v>
      </c>
      <c r="D353" s="2252" t="s">
        <v>901</v>
      </c>
      <c r="E353" s="2255">
        <f>5+2+2</f>
        <v>9</v>
      </c>
      <c r="F353" s="2252" t="s">
        <v>901</v>
      </c>
      <c r="G353" s="2252">
        <v>0.08</v>
      </c>
      <c r="I353" s="2255"/>
      <c r="J353" s="2255"/>
      <c r="K353" s="2255"/>
      <c r="L353" s="2255" t="s">
        <v>1039</v>
      </c>
      <c r="M353" s="2255">
        <f>C353*E353*G353</f>
        <v>0</v>
      </c>
      <c r="N353" s="2252" t="s">
        <v>4020</v>
      </c>
      <c r="O353" s="2253"/>
      <c r="P353" s="2251"/>
    </row>
    <row r="354" spans="1:16" hidden="1">
      <c r="C354" s="2252">
        <v>0</v>
      </c>
      <c r="D354" s="2252" t="s">
        <v>901</v>
      </c>
      <c r="E354" s="2255">
        <f>21.5+0.83</f>
        <v>22.33</v>
      </c>
      <c r="F354" s="2252" t="s">
        <v>901</v>
      </c>
      <c r="G354" s="2252">
        <v>2</v>
      </c>
      <c r="I354" s="2255"/>
      <c r="J354" s="2255"/>
      <c r="K354" s="2255"/>
      <c r="L354" s="2257" t="s">
        <v>1039</v>
      </c>
      <c r="M354" s="2257">
        <f>C354*E354*G354</f>
        <v>0</v>
      </c>
      <c r="N354" s="2252" t="s">
        <v>4020</v>
      </c>
      <c r="O354" s="2253"/>
      <c r="P354" s="2251"/>
    </row>
    <row r="355" spans="1:16">
      <c r="E355" s="2255"/>
      <c r="I355" s="2255"/>
      <c r="J355" s="2255"/>
      <c r="K355" s="2255"/>
      <c r="L355" s="2255"/>
      <c r="M355" s="2255">
        <f>SUM(M350:M354)</f>
        <v>122.67779999999999</v>
      </c>
      <c r="N355" s="2252" t="s">
        <v>4020</v>
      </c>
      <c r="O355" s="2253"/>
      <c r="P355" s="2251"/>
    </row>
    <row r="356" spans="1:16">
      <c r="B356" s="2251" t="s">
        <v>928</v>
      </c>
      <c r="C356" s="2251"/>
      <c r="D356" s="2251"/>
      <c r="E356" s="2251"/>
      <c r="F356" s="2251"/>
      <c r="G356" s="2251"/>
      <c r="H356" s="2251"/>
      <c r="I356" s="2251"/>
      <c r="J356" s="2251"/>
      <c r="K356" s="2251"/>
      <c r="L356" s="2255" t="s">
        <v>1039</v>
      </c>
      <c r="M356" s="2253">
        <f>M349+M355</f>
        <v>1237.1777999999999</v>
      </c>
      <c r="N356" s="2251" t="s">
        <v>4020</v>
      </c>
      <c r="O356" s="2251"/>
      <c r="P356" s="2251"/>
    </row>
    <row r="357" spans="1:16">
      <c r="B357" s="2251" t="s">
        <v>379</v>
      </c>
      <c r="C357" s="2253">
        <f xml:space="preserve"> ROUND(M356*0.0929,2)</f>
        <v>114.93</v>
      </c>
      <c r="D357" s="2251" t="s">
        <v>357</v>
      </c>
      <c r="E357" s="2253" t="s">
        <v>1552</v>
      </c>
      <c r="F357" s="2251" t="s">
        <v>932</v>
      </c>
      <c r="G357" s="2253">
        <f>'Lead &amp; ANALYSIS'!L940</f>
        <v>153</v>
      </c>
      <c r="H357" s="2251" t="s">
        <v>3988</v>
      </c>
      <c r="I357" s="2253" t="s">
        <v>357</v>
      </c>
      <c r="J357" s="2253"/>
      <c r="K357" s="2253"/>
      <c r="L357" s="2251"/>
      <c r="M357" s="2251" t="s">
        <v>1039</v>
      </c>
      <c r="N357" s="2251" t="s">
        <v>932</v>
      </c>
      <c r="O357" s="2253">
        <f>C357*G357</f>
        <v>17584.29</v>
      </c>
      <c r="P357" s="2251"/>
    </row>
    <row r="358" spans="1:16" ht="13.7" customHeight="1">
      <c r="B358" s="2251"/>
      <c r="C358" s="2253"/>
      <c r="D358" s="2251"/>
      <c r="E358" s="2253"/>
      <c r="F358" s="2251"/>
      <c r="G358" s="2253"/>
      <c r="H358" s="2251"/>
      <c r="I358" s="2253"/>
      <c r="J358" s="2253"/>
      <c r="K358" s="2253"/>
      <c r="L358" s="2251"/>
      <c r="M358" s="2251"/>
      <c r="N358" s="2251"/>
      <c r="O358" s="2253"/>
      <c r="P358" s="2251"/>
    </row>
    <row r="359" spans="1:16" ht="57" customHeight="1">
      <c r="A359" s="2251">
        <v>16</v>
      </c>
      <c r="B359" s="3042" t="s">
        <v>4072</v>
      </c>
      <c r="C359" s="3042"/>
      <c r="D359" s="3042"/>
      <c r="E359" s="3042"/>
      <c r="F359" s="3042"/>
      <c r="G359" s="3042"/>
      <c r="H359" s="3042"/>
      <c r="I359" s="3042"/>
      <c r="J359" s="2253"/>
      <c r="K359" s="2253"/>
      <c r="L359" s="2251"/>
      <c r="M359" s="2251"/>
      <c r="N359" s="2251"/>
      <c r="O359" s="2253"/>
      <c r="P359" s="2251"/>
    </row>
    <row r="360" spans="1:16" ht="15.95" customHeight="1">
      <c r="B360" s="2277" t="s">
        <v>4066</v>
      </c>
      <c r="L360" s="2255" t="s">
        <v>1039</v>
      </c>
      <c r="M360" s="2255">
        <f>M327</f>
        <v>1305.915</v>
      </c>
      <c r="N360" s="2252" t="s">
        <v>4020</v>
      </c>
      <c r="O360" s="2253"/>
      <c r="P360" s="2251"/>
    </row>
    <row r="361" spans="1:16" ht="15.95" customHeight="1">
      <c r="B361" s="2277" t="s">
        <v>1895</v>
      </c>
      <c r="E361" s="2252">
        <v>33.33</v>
      </c>
      <c r="F361" s="2252" t="s">
        <v>901</v>
      </c>
      <c r="G361" s="2252">
        <v>22.5</v>
      </c>
      <c r="L361" s="2257" t="s">
        <v>1039</v>
      </c>
      <c r="M361" s="2257">
        <f>E361*G361</f>
        <v>749.92499999999995</v>
      </c>
      <c r="N361" s="2256" t="s">
        <v>4020</v>
      </c>
      <c r="O361" s="2253"/>
      <c r="P361" s="2251"/>
    </row>
    <row r="362" spans="1:16" ht="15.95" customHeight="1">
      <c r="B362" s="2251" t="s">
        <v>928</v>
      </c>
      <c r="C362" s="2251"/>
      <c r="D362" s="2251"/>
      <c r="E362" s="2251"/>
      <c r="F362" s="2251"/>
      <c r="G362" s="2251"/>
      <c r="H362" s="2251"/>
      <c r="I362" s="2251"/>
      <c r="J362" s="2251"/>
      <c r="K362" s="2251"/>
      <c r="L362" s="2255" t="s">
        <v>1039</v>
      </c>
      <c r="M362" s="2253">
        <f>SUM(M360:M361)</f>
        <v>2055.84</v>
      </c>
      <c r="N362" s="2251" t="s">
        <v>4020</v>
      </c>
      <c r="O362" s="2253"/>
      <c r="P362" s="2251"/>
    </row>
    <row r="363" spans="1:16" hidden="1">
      <c r="B363" s="2251" t="s">
        <v>4073</v>
      </c>
      <c r="C363" s="3047" t="s">
        <v>4074</v>
      </c>
      <c r="D363" s="3047"/>
      <c r="E363" s="3047"/>
      <c r="F363" s="2251"/>
      <c r="G363" s="2253"/>
      <c r="H363" s="2251"/>
      <c r="I363" s="2253"/>
      <c r="J363" s="2253"/>
      <c r="K363" s="2253" t="s">
        <v>3985</v>
      </c>
      <c r="L363" s="2251"/>
      <c r="M363" s="2253">
        <v>0</v>
      </c>
      <c r="N363" s="2251" t="s">
        <v>4020</v>
      </c>
      <c r="O363" s="2253"/>
      <c r="P363" s="2251"/>
    </row>
    <row r="364" spans="1:16" ht="14.65" customHeight="1">
      <c r="B364" s="2251" t="s">
        <v>4075</v>
      </c>
      <c r="C364" s="2253"/>
      <c r="D364" s="2251"/>
      <c r="E364" s="2253"/>
      <c r="F364" s="2251"/>
      <c r="G364" s="2253"/>
      <c r="H364" s="2251"/>
      <c r="I364" s="2253"/>
      <c r="J364" s="2253"/>
      <c r="K364" s="2253"/>
      <c r="L364" s="2251" t="s">
        <v>1039</v>
      </c>
      <c r="M364" s="2253">
        <f>M362-M363</f>
        <v>2055.84</v>
      </c>
      <c r="N364" s="2251" t="s">
        <v>3675</v>
      </c>
      <c r="O364" s="2253"/>
      <c r="P364" s="2251"/>
    </row>
    <row r="365" spans="1:16" ht="19.7" customHeight="1">
      <c r="B365" s="2251" t="s">
        <v>379</v>
      </c>
      <c r="C365" s="2253">
        <f xml:space="preserve"> ROUND(M364*0.0929,2)</f>
        <v>190.99</v>
      </c>
      <c r="D365" s="2251" t="s">
        <v>357</v>
      </c>
      <c r="E365" s="2253" t="s">
        <v>1552</v>
      </c>
      <c r="F365" s="2251" t="s">
        <v>932</v>
      </c>
      <c r="G365" s="2253">
        <f>'Lead &amp; ANALYSIS'!L960</f>
        <v>160.9</v>
      </c>
      <c r="H365" s="2251" t="s">
        <v>3988</v>
      </c>
      <c r="I365" s="2253" t="s">
        <v>357</v>
      </c>
      <c r="J365" s="2253"/>
      <c r="K365" s="2253"/>
      <c r="L365" s="2251"/>
      <c r="M365" s="2251" t="s">
        <v>1039</v>
      </c>
      <c r="N365" s="2251" t="s">
        <v>932</v>
      </c>
      <c r="O365" s="2253">
        <f>C365*G365</f>
        <v>30730.291000000001</v>
      </c>
      <c r="P365" s="2251"/>
    </row>
    <row r="366" spans="1:16" ht="12.4" hidden="1" customHeight="1">
      <c r="B366" s="2251"/>
      <c r="C366" s="2253"/>
      <c r="D366" s="2251"/>
      <c r="E366" s="2253"/>
      <c r="F366" s="2251"/>
      <c r="G366" s="2253"/>
      <c r="H366" s="2251"/>
      <c r="I366" s="2253"/>
      <c r="J366" s="2253"/>
      <c r="K366" s="2253"/>
      <c r="L366" s="2251"/>
      <c r="M366" s="2251"/>
      <c r="N366" s="2251"/>
      <c r="O366" s="2253"/>
      <c r="P366" s="2251"/>
    </row>
    <row r="367" spans="1:16" ht="49.5" hidden="1" customHeight="1">
      <c r="A367" s="2251">
        <v>23</v>
      </c>
      <c r="B367" s="3042" t="s">
        <v>4076</v>
      </c>
      <c r="C367" s="3042"/>
      <c r="D367" s="3042"/>
      <c r="E367" s="3042"/>
      <c r="F367" s="3042"/>
      <c r="G367" s="3042"/>
      <c r="H367" s="3042"/>
      <c r="I367" s="2253"/>
      <c r="J367" s="2253"/>
      <c r="K367" s="2251"/>
      <c r="N367" s="2251"/>
      <c r="O367" s="2253"/>
      <c r="P367" s="2251"/>
    </row>
    <row r="368" spans="1:16" ht="15" hidden="1" customHeight="1">
      <c r="B368" s="2260" t="s">
        <v>4077</v>
      </c>
      <c r="C368" s="2260">
        <v>4</v>
      </c>
      <c r="D368" s="2260" t="s">
        <v>901</v>
      </c>
      <c r="E368" s="2260">
        <v>4</v>
      </c>
      <c r="F368" s="2260" t="s">
        <v>901</v>
      </c>
      <c r="G368" s="2260">
        <v>4</v>
      </c>
      <c r="H368" s="2260"/>
      <c r="I368" s="2253"/>
      <c r="J368" s="2253"/>
      <c r="K368" s="2251"/>
      <c r="L368" s="2252" t="s">
        <v>1039</v>
      </c>
      <c r="M368" s="2252">
        <f>C368*E368*G368</f>
        <v>64</v>
      </c>
      <c r="N368" s="2251" t="s">
        <v>4033</v>
      </c>
      <c r="O368" s="2253"/>
      <c r="P368" s="2251"/>
    </row>
    <row r="369" spans="1:16" ht="15" hidden="1" customHeight="1">
      <c r="B369" s="2251" t="s">
        <v>4075</v>
      </c>
      <c r="C369" s="2253"/>
      <c r="D369" s="2251"/>
      <c r="E369" s="2253"/>
      <c r="F369" s="2251"/>
      <c r="G369" s="2253"/>
      <c r="H369" s="2251"/>
      <c r="I369" s="2253"/>
      <c r="J369" s="2253"/>
      <c r="K369" s="2253"/>
      <c r="L369" s="2251" t="s">
        <v>1039</v>
      </c>
      <c r="M369" s="2253">
        <f>M368</f>
        <v>64</v>
      </c>
      <c r="N369" s="2251" t="s">
        <v>3675</v>
      </c>
      <c r="P369" s="2253"/>
    </row>
    <row r="370" spans="1:16" ht="15" hidden="1" customHeight="1">
      <c r="B370" s="2251" t="s">
        <v>379</v>
      </c>
      <c r="C370" s="2253">
        <v>0</v>
      </c>
      <c r="D370" s="2251" t="s">
        <v>357</v>
      </c>
      <c r="E370" s="2253" t="s">
        <v>1552</v>
      </c>
      <c r="F370" s="2251" t="s">
        <v>932</v>
      </c>
      <c r="G370" s="2253">
        <f>'[6]Analysis '!J1665</f>
        <v>3348.41</v>
      </c>
      <c r="H370" s="2251" t="s">
        <v>3988</v>
      </c>
      <c r="I370" s="2253" t="s">
        <v>357</v>
      </c>
      <c r="J370" s="2253"/>
      <c r="K370" s="2253"/>
      <c r="L370" s="2251"/>
      <c r="M370" s="2251"/>
      <c r="N370" s="2251" t="s">
        <v>932</v>
      </c>
      <c r="O370" s="2253">
        <f>C370*G370</f>
        <v>0</v>
      </c>
    </row>
    <row r="371" spans="1:16" hidden="1">
      <c r="B371" s="2251"/>
      <c r="C371" s="2253"/>
      <c r="D371" s="2251"/>
      <c r="E371" s="2253"/>
      <c r="F371" s="2251"/>
      <c r="G371" s="2253"/>
      <c r="H371" s="2251"/>
      <c r="I371" s="2253"/>
      <c r="J371" s="2253"/>
      <c r="K371" s="2253"/>
      <c r="L371" s="2251"/>
      <c r="M371" s="2251"/>
      <c r="N371" s="2251"/>
      <c r="O371" s="2253"/>
      <c r="P371" s="2251"/>
    </row>
    <row r="372" spans="1:16" hidden="1">
      <c r="A372" s="2251">
        <v>24</v>
      </c>
      <c r="B372" s="2252" t="s">
        <v>4078</v>
      </c>
      <c r="J372" s="2251"/>
      <c r="K372" s="2251" t="s">
        <v>1513</v>
      </c>
      <c r="M372" s="2252" t="s">
        <v>1039</v>
      </c>
      <c r="N372" s="2251" t="s">
        <v>932</v>
      </c>
      <c r="O372" s="2253">
        <v>0</v>
      </c>
    </row>
    <row r="373" spans="1:16" hidden="1">
      <c r="J373" s="2251"/>
      <c r="K373" s="2251"/>
      <c r="N373" s="2251"/>
      <c r="O373" s="2253"/>
    </row>
    <row r="374" spans="1:16" ht="30.75" hidden="1" customHeight="1">
      <c r="A374" s="2251">
        <v>25</v>
      </c>
      <c r="B374" s="3048" t="s">
        <v>4079</v>
      </c>
      <c r="C374" s="3048"/>
      <c r="D374" s="3048"/>
      <c r="E374" s="3048"/>
      <c r="F374" s="3048"/>
      <c r="G374" s="3048"/>
      <c r="H374" s="3048"/>
      <c r="J374" s="2251"/>
      <c r="K374" s="2251" t="s">
        <v>4080</v>
      </c>
      <c r="M374" s="2252" t="s">
        <v>1039</v>
      </c>
      <c r="N374" s="2251" t="s">
        <v>4081</v>
      </c>
      <c r="O374" s="2253">
        <v>0</v>
      </c>
    </row>
    <row r="375" spans="1:16" hidden="1">
      <c r="J375" s="2251"/>
      <c r="K375" s="2251"/>
      <c r="N375" s="2251"/>
      <c r="O375" s="2253"/>
    </row>
    <row r="376" spans="1:16" hidden="1">
      <c r="A376" s="2251">
        <v>26</v>
      </c>
      <c r="B376" s="2252" t="s">
        <v>4082</v>
      </c>
      <c r="J376" s="2251"/>
      <c r="K376" s="2251"/>
      <c r="N376" s="2251" t="s">
        <v>4083</v>
      </c>
      <c r="O376" s="2253">
        <v>0</v>
      </c>
    </row>
    <row r="377" spans="1:16" ht="72.400000000000006" hidden="1" customHeight="1">
      <c r="A377" s="2251">
        <v>21</v>
      </c>
      <c r="B377" s="3042" t="s">
        <v>4076</v>
      </c>
      <c r="C377" s="3042"/>
      <c r="D377" s="3042"/>
      <c r="E377" s="3042"/>
      <c r="F377" s="3042"/>
      <c r="G377" s="3042"/>
      <c r="H377" s="3042"/>
      <c r="I377" s="3042"/>
      <c r="J377" s="2251"/>
      <c r="K377" s="2251"/>
      <c r="N377" s="2251"/>
      <c r="O377" s="2253"/>
    </row>
    <row r="378" spans="1:16" ht="19.7" hidden="1" customHeight="1">
      <c r="B378" s="2252" t="s">
        <v>1948</v>
      </c>
      <c r="C378" s="2252">
        <v>5</v>
      </c>
      <c r="D378" s="2252" t="s">
        <v>901</v>
      </c>
      <c r="E378" s="2252">
        <v>1</v>
      </c>
      <c r="F378" s="2252" t="s">
        <v>901</v>
      </c>
      <c r="G378" s="2255">
        <v>4</v>
      </c>
      <c r="H378" s="2252" t="s">
        <v>901</v>
      </c>
      <c r="I378" s="2255">
        <v>4</v>
      </c>
      <c r="J378" s="2255"/>
      <c r="K378" s="2255"/>
      <c r="L378" s="2255" t="s">
        <v>1039</v>
      </c>
      <c r="M378" s="2255">
        <f>C378*E378*G378*I378*0</f>
        <v>0</v>
      </c>
      <c r="N378" s="2252" t="s">
        <v>4033</v>
      </c>
      <c r="O378" s="2253"/>
    </row>
    <row r="379" spans="1:16" hidden="1">
      <c r="B379" s="2251" t="s">
        <v>379</v>
      </c>
      <c r="C379" s="2253">
        <f xml:space="preserve"> ROUND(M378*0.0929,2)</f>
        <v>0</v>
      </c>
      <c r="D379" s="2251" t="s">
        <v>357</v>
      </c>
      <c r="E379" s="2253" t="s">
        <v>1552</v>
      </c>
      <c r="F379" s="2251" t="s">
        <v>932</v>
      </c>
      <c r="G379" s="2253">
        <f>'[4]Analysis '!J1754</f>
        <v>3755.84</v>
      </c>
      <c r="H379" s="2251" t="s">
        <v>3988</v>
      </c>
      <c r="I379" s="2253" t="s">
        <v>357</v>
      </c>
      <c r="J379" s="2253"/>
      <c r="K379" s="2253"/>
      <c r="L379" s="2251"/>
      <c r="M379" s="2251" t="s">
        <v>1039</v>
      </c>
      <c r="N379" s="2251" t="s">
        <v>932</v>
      </c>
      <c r="O379" s="2253">
        <f>C379*G379</f>
        <v>0</v>
      </c>
    </row>
    <row r="380" spans="1:16" hidden="1">
      <c r="B380" s="2251"/>
      <c r="C380" s="2253"/>
      <c r="D380" s="2251"/>
      <c r="E380" s="2253"/>
      <c r="F380" s="2251"/>
      <c r="G380" s="2253"/>
      <c r="H380" s="2251"/>
      <c r="I380" s="2253"/>
      <c r="J380" s="2253"/>
      <c r="K380" s="2253"/>
      <c r="L380" s="2251"/>
      <c r="M380" s="2251"/>
      <c r="N380" s="2251"/>
      <c r="O380" s="2253"/>
    </row>
    <row r="381" spans="1:16" ht="55.5" hidden="1" customHeight="1">
      <c r="A381" s="2251">
        <v>21</v>
      </c>
      <c r="B381" s="3042" t="s">
        <v>4084</v>
      </c>
      <c r="C381" s="3042"/>
      <c r="D381" s="3042"/>
      <c r="E381" s="3042"/>
      <c r="F381" s="3042"/>
      <c r="G381" s="3042"/>
      <c r="H381" s="3042"/>
      <c r="I381" s="3042"/>
      <c r="J381" s="2253"/>
      <c r="K381" s="2253"/>
      <c r="L381" s="2251"/>
      <c r="M381" s="2251"/>
      <c r="N381" s="2251"/>
      <c r="O381" s="2253"/>
    </row>
    <row r="382" spans="1:16" hidden="1">
      <c r="B382" s="3049" t="s">
        <v>4085</v>
      </c>
      <c r="C382" s="3049"/>
      <c r="D382" s="3049"/>
      <c r="E382" s="2253"/>
      <c r="F382" s="2251"/>
      <c r="G382" s="2253"/>
      <c r="H382" s="2251"/>
      <c r="I382" s="2253"/>
      <c r="J382" s="2253"/>
      <c r="K382" s="2253"/>
      <c r="L382" s="2251"/>
      <c r="M382" s="2251"/>
      <c r="N382" s="2251"/>
      <c r="O382" s="2253"/>
    </row>
    <row r="383" spans="1:16" hidden="1">
      <c r="B383" s="2252" t="s">
        <v>1948</v>
      </c>
      <c r="C383" s="2252">
        <v>5</v>
      </c>
      <c r="D383" s="2252" t="s">
        <v>901</v>
      </c>
      <c r="E383" s="2252">
        <v>6</v>
      </c>
      <c r="F383" s="2252" t="s">
        <v>901</v>
      </c>
      <c r="G383" s="2255">
        <v>0.83</v>
      </c>
      <c r="H383" s="2252" t="s">
        <v>901</v>
      </c>
      <c r="I383" s="2255">
        <v>0.33</v>
      </c>
      <c r="J383" s="2255"/>
      <c r="K383" s="2255"/>
      <c r="L383" s="2255" t="s">
        <v>1039</v>
      </c>
      <c r="M383" s="2255">
        <f>C383*E383*G383*I383*0</f>
        <v>0</v>
      </c>
      <c r="N383" s="2252" t="s">
        <v>3995</v>
      </c>
      <c r="O383" s="2253"/>
    </row>
    <row r="384" spans="1:16" hidden="1">
      <c r="B384" s="2251" t="s">
        <v>379</v>
      </c>
      <c r="C384" s="2253">
        <f xml:space="preserve"> ROUND(M383*0.02832,2)</f>
        <v>0</v>
      </c>
      <c r="D384" s="2251" t="s">
        <v>49</v>
      </c>
      <c r="E384" s="2253" t="s">
        <v>1552</v>
      </c>
      <c r="F384" s="2251" t="s">
        <v>932</v>
      </c>
      <c r="G384" s="2253">
        <f>'[4]Analysis '!J170</f>
        <v>6393.42</v>
      </c>
      <c r="H384" s="2251" t="s">
        <v>3988</v>
      </c>
      <c r="I384" s="2253" t="s">
        <v>49</v>
      </c>
      <c r="J384" s="2253"/>
      <c r="K384" s="2253"/>
      <c r="L384" s="2251"/>
      <c r="M384" s="2251" t="s">
        <v>1039</v>
      </c>
      <c r="N384" s="2251" t="s">
        <v>932</v>
      </c>
      <c r="O384" s="2253">
        <f>C384*G384</f>
        <v>0</v>
      </c>
    </row>
    <row r="385" spans="1:19" ht="60" hidden="1" customHeight="1">
      <c r="A385" s="2251">
        <v>26</v>
      </c>
      <c r="B385" s="3046" t="s">
        <v>4086</v>
      </c>
      <c r="C385" s="3046"/>
      <c r="D385" s="3046"/>
      <c r="E385" s="3046"/>
      <c r="F385" s="3046"/>
      <c r="G385" s="3046"/>
      <c r="H385" s="3046"/>
      <c r="I385" s="3046"/>
      <c r="J385" s="2253"/>
      <c r="K385" s="2253"/>
      <c r="L385" s="2251" t="s">
        <v>1039</v>
      </c>
      <c r="M385" s="2251">
        <v>1</v>
      </c>
      <c r="N385" s="2251" t="s">
        <v>262</v>
      </c>
      <c r="O385" s="2253"/>
    </row>
    <row r="386" spans="1:19" hidden="1">
      <c r="B386" s="2251" t="s">
        <v>379</v>
      </c>
      <c r="C386" s="2253">
        <v>0</v>
      </c>
      <c r="D386" s="2251" t="str">
        <f>N385</f>
        <v>Nos</v>
      </c>
      <c r="E386" s="2253" t="s">
        <v>1552</v>
      </c>
      <c r="F386" s="2251" t="s">
        <v>932</v>
      </c>
      <c r="G386" s="2253">
        <f>'[7]Internal WS &amp; SI Fixture'!$H$987</f>
        <v>1880.8026869999994</v>
      </c>
      <c r="H386" s="2251" t="s">
        <v>3988</v>
      </c>
      <c r="I386" s="2253" t="str">
        <f>N385</f>
        <v>Nos</v>
      </c>
      <c r="J386" s="2253"/>
      <c r="K386" s="2253"/>
      <c r="L386" s="2251"/>
      <c r="M386" s="2251" t="s">
        <v>1039</v>
      </c>
      <c r="N386" s="2251" t="s">
        <v>932</v>
      </c>
      <c r="O386" s="2253">
        <f>C386*G386</f>
        <v>0</v>
      </c>
    </row>
    <row r="387" spans="1:19" hidden="1">
      <c r="B387" s="2251"/>
      <c r="C387" s="2253"/>
      <c r="D387" s="2251"/>
      <c r="E387" s="2253"/>
      <c r="F387" s="2251"/>
      <c r="G387" s="2253"/>
      <c r="H387" s="2251"/>
      <c r="I387" s="2253"/>
      <c r="J387" s="2253"/>
      <c r="K387" s="2253"/>
      <c r="L387" s="2251"/>
      <c r="M387" s="2251"/>
      <c r="N387" s="2251"/>
      <c r="O387" s="2253"/>
    </row>
    <row r="388" spans="1:19" ht="41.25" hidden="1" customHeight="1">
      <c r="A388" s="2251">
        <v>27</v>
      </c>
      <c r="B388" s="3046" t="s">
        <v>4087</v>
      </c>
      <c r="C388" s="3046"/>
      <c r="D388" s="3046"/>
      <c r="E388" s="3046"/>
      <c r="F388" s="3046"/>
      <c r="G388" s="3046"/>
      <c r="H388" s="3046"/>
      <c r="I388" s="3046"/>
      <c r="J388" s="2253"/>
      <c r="K388" s="2253"/>
      <c r="L388" s="2251" t="s">
        <v>1039</v>
      </c>
      <c r="M388" s="2251">
        <v>1</v>
      </c>
      <c r="N388" s="2251" t="str">
        <f>N385</f>
        <v>Nos</v>
      </c>
      <c r="O388" s="2253"/>
    </row>
    <row r="389" spans="1:19" hidden="1">
      <c r="B389" s="2251" t="s">
        <v>379</v>
      </c>
      <c r="C389" s="2253">
        <v>0</v>
      </c>
      <c r="D389" s="2251" t="str">
        <f>N388</f>
        <v>Nos</v>
      </c>
      <c r="E389" s="2253" t="s">
        <v>1552</v>
      </c>
      <c r="F389" s="2251" t="s">
        <v>932</v>
      </c>
      <c r="G389" s="2253">
        <f>'[7]Internal WS &amp; SI Fixture'!$H$1116</f>
        <v>1180.3775000000001</v>
      </c>
      <c r="H389" s="2251" t="s">
        <v>3988</v>
      </c>
      <c r="I389" s="2253" t="str">
        <f>N388</f>
        <v>Nos</v>
      </c>
      <c r="J389" s="2253"/>
      <c r="K389" s="2253"/>
      <c r="L389" s="2251"/>
      <c r="M389" s="2251" t="s">
        <v>1039</v>
      </c>
      <c r="N389" s="2251" t="s">
        <v>932</v>
      </c>
      <c r="O389" s="2253">
        <f>C389*G389</f>
        <v>0</v>
      </c>
    </row>
    <row r="390" spans="1:19" ht="49.5" hidden="1" customHeight="1">
      <c r="A390" s="2251">
        <v>28</v>
      </c>
      <c r="B390" s="3046" t="s">
        <v>4088</v>
      </c>
      <c r="C390" s="3046"/>
      <c r="D390" s="3046"/>
      <c r="E390" s="3046"/>
      <c r="F390" s="3046"/>
      <c r="G390" s="3046"/>
      <c r="H390" s="3046"/>
      <c r="I390" s="3046"/>
      <c r="J390" s="2253"/>
      <c r="K390" s="2253"/>
      <c r="L390" s="2251" t="s">
        <v>1039</v>
      </c>
      <c r="M390" s="2251">
        <v>1</v>
      </c>
      <c r="N390" s="2251" t="str">
        <f>N388</f>
        <v>Nos</v>
      </c>
      <c r="O390" s="2253"/>
    </row>
    <row r="391" spans="1:19" hidden="1">
      <c r="B391" s="2251" t="s">
        <v>379</v>
      </c>
      <c r="C391" s="2253">
        <v>0</v>
      </c>
      <c r="D391" s="2251" t="str">
        <f>N390</f>
        <v>Nos</v>
      </c>
      <c r="E391" s="2253" t="s">
        <v>1552</v>
      </c>
      <c r="F391" s="2251" t="s">
        <v>932</v>
      </c>
      <c r="G391" s="2253">
        <f>'[7]SWR Pipe&amp;Fittings'!$H$240</f>
        <v>299.69839018865576</v>
      </c>
      <c r="H391" s="2251" t="s">
        <v>3988</v>
      </c>
      <c r="I391" s="2253" t="str">
        <f>N390</f>
        <v>Nos</v>
      </c>
      <c r="J391" s="2253"/>
      <c r="K391" s="2253"/>
      <c r="L391" s="2251"/>
      <c r="M391" s="2251" t="s">
        <v>1039</v>
      </c>
      <c r="N391" s="2251" t="s">
        <v>932</v>
      </c>
      <c r="O391" s="2253">
        <f>C391*G391</f>
        <v>0</v>
      </c>
    </row>
    <row r="392" spans="1:19" hidden="1">
      <c r="B392" s="2251"/>
      <c r="C392" s="2253"/>
      <c r="D392" s="2251"/>
      <c r="E392" s="2253"/>
      <c r="F392" s="2251"/>
      <c r="G392" s="2253"/>
      <c r="H392" s="2251"/>
      <c r="I392" s="2253"/>
      <c r="J392" s="2253"/>
      <c r="K392" s="2253"/>
      <c r="L392" s="2251"/>
      <c r="M392" s="2251"/>
      <c r="N392" s="2251"/>
      <c r="O392" s="2253"/>
    </row>
    <row r="393" spans="1:19" ht="61.5" hidden="1" customHeight="1">
      <c r="A393" s="2251">
        <v>29</v>
      </c>
      <c r="B393" s="3046" t="str">
        <f>'[7]SWR Pipe&amp;Fittings'!$B$89:$H$89</f>
        <v>Providing and fixing on wall face PVC SWR moulded fittings / accessories for PVC SWR  pipes conforming to IS : 13592 Type A, including jointing with seal ring conforming to IS : 5382, leaving 10 mm gap for thermal expansion.110 mm pvc pipe</v>
      </c>
      <c r="C393" s="3046"/>
      <c r="D393" s="3046"/>
      <c r="E393" s="3046"/>
      <c r="F393" s="3046"/>
      <c r="G393" s="3046"/>
      <c r="H393" s="3046"/>
      <c r="I393" s="3046"/>
      <c r="J393" s="2253"/>
      <c r="K393" s="2253"/>
      <c r="O393" s="2253"/>
    </row>
    <row r="394" spans="1:19" ht="16.5" hidden="1" customHeight="1">
      <c r="B394" s="3046" t="str">
        <f>'[7]SWR Pipe&amp;Fittings'!$B$90:$F$90</f>
        <v>110 MM PVC Drainage pipe</v>
      </c>
      <c r="C394" s="3046"/>
      <c r="D394" s="3046"/>
      <c r="E394" s="3046"/>
      <c r="F394" s="2278"/>
      <c r="G394" s="2278"/>
      <c r="H394" s="2278"/>
      <c r="I394" s="2278"/>
      <c r="J394" s="2253"/>
      <c r="K394" s="2253"/>
      <c r="L394" s="2251" t="s">
        <v>1039</v>
      </c>
      <c r="M394" s="2251">
        <v>1</v>
      </c>
      <c r="N394" s="2251" t="str">
        <f>N388</f>
        <v>Nos</v>
      </c>
      <c r="O394" s="2253"/>
    </row>
    <row r="395" spans="1:19" hidden="1">
      <c r="B395" s="2251" t="s">
        <v>379</v>
      </c>
      <c r="C395" s="2253">
        <v>0</v>
      </c>
      <c r="D395" s="2251" t="str">
        <f>N394</f>
        <v>Nos</v>
      </c>
      <c r="E395" s="2253" t="s">
        <v>1552</v>
      </c>
      <c r="F395" s="2251" t="s">
        <v>932</v>
      </c>
      <c r="G395" s="2253">
        <f>'[7]SWR Pipe&amp;Fittings'!$H$103</f>
        <v>138.32461743136963</v>
      </c>
      <c r="H395" s="2251" t="s">
        <v>3988</v>
      </c>
      <c r="I395" s="2253" t="str">
        <f>N394</f>
        <v>Nos</v>
      </c>
      <c r="J395" s="2253"/>
      <c r="K395" s="2253"/>
      <c r="L395" s="2251"/>
      <c r="M395" s="2251" t="s">
        <v>1039</v>
      </c>
      <c r="N395" s="2251" t="s">
        <v>932</v>
      </c>
      <c r="O395" s="2253">
        <f>C395*G395</f>
        <v>0</v>
      </c>
    </row>
    <row r="396" spans="1:19" ht="17.100000000000001" customHeight="1">
      <c r="J396" s="2251"/>
      <c r="K396" s="2251"/>
      <c r="N396" s="2251" t="s">
        <v>932</v>
      </c>
      <c r="O396" s="2279">
        <f>SUM(O28:O395)</f>
        <v>1141218.7466360002</v>
      </c>
      <c r="S396" s="2255">
        <v>820832</v>
      </c>
    </row>
    <row r="397" spans="1:19" ht="18" customHeight="1">
      <c r="E397" s="3051" t="s">
        <v>4089</v>
      </c>
      <c r="F397" s="3051"/>
      <c r="G397" s="3051"/>
      <c r="H397" s="3051"/>
      <c r="I397" s="3051"/>
      <c r="J397" s="3051"/>
      <c r="K397" s="3051"/>
      <c r="N397" s="2251" t="s">
        <v>932</v>
      </c>
      <c r="O397" s="2253">
        <f>O396</f>
        <v>1141218.7466360002</v>
      </c>
      <c r="S397" s="2255">
        <f>O397-S396</f>
        <v>320386.74663600023</v>
      </c>
    </row>
    <row r="398" spans="1:19" hidden="1">
      <c r="J398" s="2251"/>
      <c r="K398" s="2251"/>
      <c r="N398" s="2251"/>
      <c r="O398" s="2253"/>
      <c r="S398" s="2255"/>
    </row>
    <row r="399" spans="1:19" ht="15.95" customHeight="1">
      <c r="A399" s="2251">
        <v>17</v>
      </c>
      <c r="B399" s="2252" t="s">
        <v>4090</v>
      </c>
      <c r="J399" s="2251"/>
      <c r="K399" s="2251"/>
      <c r="N399" s="2251" t="s">
        <v>932</v>
      </c>
      <c r="O399" s="2253">
        <f>ROUND(O397*0.18,0)</f>
        <v>205419</v>
      </c>
    </row>
    <row r="400" spans="1:19" ht="16.350000000000001" customHeight="1">
      <c r="J400" s="2251"/>
      <c r="K400" s="2251"/>
      <c r="N400" s="2259" t="s">
        <v>932</v>
      </c>
      <c r="O400" s="2279">
        <f>SUM(O397:O399)</f>
        <v>1346637.7466360002</v>
      </c>
    </row>
    <row r="401" spans="1:18" ht="16.350000000000001" customHeight="1">
      <c r="A401" s="2251">
        <v>18</v>
      </c>
      <c r="B401" s="2252" t="s">
        <v>4091</v>
      </c>
      <c r="G401" s="2280">
        <v>0.06</v>
      </c>
      <c r="J401" s="2251"/>
      <c r="K401" s="2251"/>
      <c r="N401" s="2251" t="s">
        <v>932</v>
      </c>
      <c r="O401" s="2253">
        <f>ROUND(O397*0.06,0)</f>
        <v>68473</v>
      </c>
    </row>
    <row r="402" spans="1:18" ht="12" customHeight="1">
      <c r="G402" s="2280"/>
      <c r="J402" s="2251"/>
      <c r="K402" s="2251"/>
      <c r="N402" s="2251"/>
      <c r="O402" s="2253"/>
    </row>
    <row r="403" spans="1:18">
      <c r="A403" s="2251">
        <v>19</v>
      </c>
      <c r="B403" s="2252" t="s">
        <v>4092</v>
      </c>
      <c r="G403" s="2280">
        <v>0.06</v>
      </c>
      <c r="J403" s="2251"/>
      <c r="K403" s="2251"/>
      <c r="N403" s="2251" t="s">
        <v>932</v>
      </c>
      <c r="O403" s="2253">
        <f>ROUND(O397*0.06,0)</f>
        <v>68473</v>
      </c>
    </row>
    <row r="404" spans="1:18" ht="13.35" customHeight="1">
      <c r="J404" s="2251"/>
      <c r="K404" s="2251"/>
      <c r="N404" s="2251"/>
      <c r="O404" s="2253"/>
    </row>
    <row r="405" spans="1:18">
      <c r="A405" s="2251">
        <v>20</v>
      </c>
      <c r="B405" s="2252" t="s">
        <v>4093</v>
      </c>
      <c r="C405" s="2281">
        <v>0.01</v>
      </c>
      <c r="J405" s="2251"/>
      <c r="K405" s="2251"/>
      <c r="M405" s="2252" t="s">
        <v>1039</v>
      </c>
      <c r="N405" s="2251" t="s">
        <v>932</v>
      </c>
      <c r="O405" s="2253">
        <v>15000</v>
      </c>
    </row>
    <row r="406" spans="1:18" ht="11.65" customHeight="1">
      <c r="C406" s="2281"/>
      <c r="J406" s="2251"/>
      <c r="K406" s="2251"/>
      <c r="N406" s="2251"/>
      <c r="O406" s="2253"/>
    </row>
    <row r="407" spans="1:18">
      <c r="A407" s="2251">
        <v>21</v>
      </c>
      <c r="B407" s="2252" t="s">
        <v>4094</v>
      </c>
      <c r="C407" s="2281"/>
      <c r="J407" s="2251"/>
      <c r="K407" s="2251"/>
      <c r="N407" s="2251" t="s">
        <v>932</v>
      </c>
      <c r="O407" s="2253">
        <v>2000</v>
      </c>
    </row>
    <row r="408" spans="1:18">
      <c r="G408" s="2251" t="s">
        <v>4095</v>
      </c>
      <c r="J408" s="2251"/>
      <c r="K408" s="2251"/>
      <c r="N408" s="2259" t="s">
        <v>932</v>
      </c>
      <c r="O408" s="2279">
        <f>SUM(O400:O407)</f>
        <v>1500583.7466360002</v>
      </c>
      <c r="R408" s="2255"/>
    </row>
    <row r="409" spans="1:18" ht="11.65" customHeight="1">
      <c r="G409" s="2251"/>
      <c r="L409" s="2251"/>
      <c r="M409" s="2251"/>
      <c r="N409" s="2251"/>
      <c r="O409" s="2253"/>
      <c r="P409" s="2253"/>
    </row>
    <row r="410" spans="1:18">
      <c r="L410" s="2251" t="s">
        <v>1764</v>
      </c>
      <c r="N410" s="2251" t="s">
        <v>932</v>
      </c>
      <c r="O410" s="2253">
        <v>1500000</v>
      </c>
      <c r="P410" s="2253"/>
    </row>
    <row r="411" spans="1:18" ht="15.95" customHeight="1">
      <c r="L411" s="2251"/>
      <c r="M411" s="2251"/>
      <c r="N411" s="2251"/>
      <c r="O411" s="2253"/>
      <c r="P411" s="2253"/>
    </row>
    <row r="412" spans="1:18">
      <c r="I412" s="3051" t="s">
        <v>4096</v>
      </c>
      <c r="J412" s="3051"/>
      <c r="K412" s="3051"/>
      <c r="L412" s="3051"/>
      <c r="M412" s="3051"/>
      <c r="N412" s="3051"/>
      <c r="O412" s="3051"/>
      <c r="P412" s="2253"/>
    </row>
    <row r="413" spans="1:18">
      <c r="K413" s="2251"/>
      <c r="L413" s="2251"/>
      <c r="M413" s="2251"/>
      <c r="N413" s="2253"/>
      <c r="P413" s="2253"/>
    </row>
    <row r="414" spans="1:18">
      <c r="K414" s="2251"/>
      <c r="L414" s="2251"/>
      <c r="M414" s="2251"/>
      <c r="N414" s="2253"/>
      <c r="P414" s="2253"/>
    </row>
    <row r="415" spans="1:18">
      <c r="K415" s="2251"/>
      <c r="L415" s="2251"/>
      <c r="M415" s="2251"/>
      <c r="N415" s="2253"/>
      <c r="P415" s="2253"/>
    </row>
    <row r="416" spans="1:18">
      <c r="K416" s="2251"/>
      <c r="L416" s="2251"/>
      <c r="M416" s="2251"/>
      <c r="N416" s="2253"/>
      <c r="P416" s="2253"/>
    </row>
    <row r="417" spans="1:16" ht="14.1" customHeight="1">
      <c r="L417" s="2251"/>
      <c r="M417" s="2251"/>
      <c r="N417" s="2251"/>
      <c r="O417" s="2253"/>
      <c r="P417" s="2253"/>
    </row>
    <row r="418" spans="1:16" s="2364" customFormat="1" ht="41.65" customHeight="1">
      <c r="C418" s="2480" t="s">
        <v>4184</v>
      </c>
      <c r="D418" s="2480"/>
      <c r="E418" s="2480"/>
      <c r="F418" s="2480"/>
      <c r="G418" s="2480"/>
      <c r="H418" s="2480"/>
      <c r="I418" s="2480" t="s">
        <v>4176</v>
      </c>
      <c r="J418" s="2480"/>
      <c r="K418" s="2480"/>
      <c r="L418" s="2480"/>
      <c r="M418" s="2480"/>
      <c r="N418" s="2480"/>
      <c r="O418" s="2480"/>
    </row>
    <row r="419" spans="1:16" ht="19.899999999999999" customHeight="1">
      <c r="D419" s="2260"/>
      <c r="E419" s="2260"/>
      <c r="F419" s="2260"/>
      <c r="G419" s="2260"/>
      <c r="H419" s="2260"/>
      <c r="I419" s="2260"/>
      <c r="J419" s="2260"/>
      <c r="K419" s="2260"/>
      <c r="L419" s="2260"/>
      <c r="M419" s="2260"/>
      <c r="N419" s="2260"/>
      <c r="O419" s="2260"/>
    </row>
    <row r="420" spans="1:16" ht="19.899999999999999" customHeight="1">
      <c r="D420" s="2260"/>
      <c r="E420" s="2260"/>
      <c r="F420" s="2260"/>
      <c r="G420" s="2260"/>
      <c r="H420" s="2260"/>
      <c r="I420" s="2260"/>
      <c r="J420" s="2260"/>
      <c r="K420" s="2260"/>
      <c r="L420" s="2260"/>
      <c r="M420" s="2260"/>
      <c r="N420" s="2260"/>
      <c r="O420" s="2260"/>
    </row>
    <row r="421" spans="1:16" ht="15.6" customHeight="1">
      <c r="D421" s="2260"/>
      <c r="E421" s="2260"/>
      <c r="F421" s="2260"/>
      <c r="G421" s="2260"/>
      <c r="H421" s="2260"/>
      <c r="I421" s="2260"/>
      <c r="J421" s="2260"/>
      <c r="K421" s="2260"/>
      <c r="L421" s="2260"/>
      <c r="M421" s="2260"/>
      <c r="N421" s="2260"/>
      <c r="O421" s="2260"/>
    </row>
    <row r="422" spans="1:16" ht="15.6" customHeight="1">
      <c r="D422" s="2260"/>
      <c r="E422" s="2260"/>
      <c r="F422" s="2260"/>
      <c r="G422" s="2260"/>
      <c r="H422" s="2260"/>
      <c r="I422" s="2260"/>
      <c r="J422" s="2260"/>
      <c r="K422" s="2260"/>
      <c r="L422" s="2260"/>
      <c r="M422" s="2260"/>
      <c r="N422" s="2260"/>
      <c r="O422" s="2260"/>
    </row>
    <row r="423" spans="1:16" ht="15.6" customHeight="1">
      <c r="D423" s="2260"/>
      <c r="E423" s="2260"/>
      <c r="F423" s="2260"/>
      <c r="G423" s="2260"/>
      <c r="H423" s="2260"/>
      <c r="I423" s="2260"/>
      <c r="J423" s="2260"/>
      <c r="K423" s="2260"/>
      <c r="L423" s="2260"/>
      <c r="M423" s="2260"/>
      <c r="N423" s="2260"/>
      <c r="O423" s="2260"/>
    </row>
    <row r="424" spans="1:16" ht="15.6" customHeight="1">
      <c r="D424" s="2260"/>
      <c r="E424" s="2260"/>
      <c r="F424" s="2260"/>
      <c r="G424" s="2260"/>
      <c r="H424" s="2260"/>
      <c r="I424" s="2260"/>
      <c r="J424" s="2260"/>
      <c r="K424" s="2260"/>
      <c r="L424" s="2260"/>
      <c r="M424" s="2260"/>
      <c r="N424" s="2260"/>
      <c r="O424" s="2260"/>
    </row>
    <row r="425" spans="1:16" s="2282" customFormat="1" ht="14.25">
      <c r="B425" s="2283" t="s">
        <v>4097</v>
      </c>
      <c r="E425" s="3050" t="s">
        <v>4098</v>
      </c>
      <c r="F425" s="3050"/>
      <c r="G425" s="3050"/>
      <c r="H425" s="3050"/>
      <c r="I425" s="3050"/>
      <c r="M425" s="3050" t="s">
        <v>4099</v>
      </c>
      <c r="N425" s="3050"/>
      <c r="O425" s="3050"/>
    </row>
    <row r="426" spans="1:16" s="2282" customFormat="1" ht="14.25">
      <c r="B426" s="2282" t="s">
        <v>4100</v>
      </c>
      <c r="E426" s="3050" t="s">
        <v>4100</v>
      </c>
      <c r="F426" s="3050"/>
      <c r="G426" s="3050"/>
      <c r="H426" s="3050"/>
      <c r="I426" s="3050"/>
      <c r="M426" s="3050" t="s">
        <v>4100</v>
      </c>
      <c r="N426" s="3050"/>
      <c r="O426" s="3050"/>
    </row>
    <row r="427" spans="1:16" ht="14.25">
      <c r="A427" s="2252"/>
    </row>
    <row r="428" spans="1:16">
      <c r="E428" s="2255"/>
      <c r="G428" s="2251"/>
      <c r="I428" s="2255"/>
      <c r="J428" s="2255"/>
      <c r="K428" s="2255"/>
      <c r="L428" s="2255"/>
      <c r="M428" s="2251"/>
      <c r="N428" s="2251"/>
      <c r="O428" s="2253"/>
    </row>
    <row r="429" spans="1:16">
      <c r="E429" s="2255"/>
      <c r="G429" s="2251"/>
      <c r="I429" s="2255"/>
      <c r="J429" s="2255"/>
      <c r="K429" s="2255"/>
      <c r="L429" s="2255"/>
      <c r="M429" s="2251"/>
      <c r="N429" s="2251"/>
      <c r="O429" s="2253"/>
    </row>
    <row r="430" spans="1:16">
      <c r="E430" s="2255"/>
      <c r="G430" s="2251"/>
      <c r="I430" s="2255"/>
      <c r="J430" s="2255"/>
      <c r="K430" s="2255"/>
      <c r="L430" s="2255"/>
      <c r="M430" s="2251"/>
      <c r="N430" s="2251"/>
      <c r="O430" s="2253"/>
    </row>
    <row r="431" spans="1:16">
      <c r="E431" s="2255"/>
      <c r="G431" s="2251"/>
      <c r="I431" s="2255"/>
      <c r="J431" s="2255"/>
      <c r="K431" s="2255"/>
      <c r="L431" s="2255"/>
      <c r="M431" s="2251"/>
      <c r="N431" s="2251"/>
      <c r="O431" s="2253"/>
    </row>
    <row r="432" spans="1:16">
      <c r="E432" s="2255"/>
      <c r="G432" s="2251"/>
      <c r="I432" s="2255"/>
      <c r="J432" s="2255"/>
      <c r="K432" s="2255"/>
      <c r="L432" s="2255"/>
      <c r="M432" s="2251"/>
      <c r="N432" s="2251"/>
      <c r="O432" s="2253"/>
    </row>
    <row r="433" spans="2:15">
      <c r="E433" s="2255"/>
      <c r="I433" s="2255"/>
      <c r="J433" s="2255"/>
      <c r="K433" s="2255"/>
      <c r="L433" s="2255"/>
      <c r="M433" s="2251"/>
      <c r="N433" s="2251"/>
      <c r="O433" s="2253"/>
    </row>
    <row r="434" spans="2:15">
      <c r="E434" s="2255"/>
      <c r="I434" s="2255"/>
      <c r="J434" s="2255"/>
      <c r="K434" s="2255"/>
      <c r="L434" s="2255"/>
      <c r="M434" s="2251"/>
      <c r="N434" s="2251"/>
      <c r="O434" s="2253"/>
    </row>
    <row r="435" spans="2:15">
      <c r="E435" s="2255"/>
      <c r="I435" s="2255"/>
      <c r="J435" s="2255"/>
      <c r="K435" s="2255"/>
      <c r="L435" s="2255"/>
      <c r="M435" s="2251"/>
      <c r="N435" s="2251"/>
      <c r="O435" s="2253"/>
    </row>
    <row r="436" spans="2:15">
      <c r="C436" s="2255"/>
      <c r="E436" s="2284"/>
      <c r="I436" s="2255"/>
      <c r="J436" s="2255"/>
      <c r="K436" s="2255"/>
      <c r="L436" s="2255"/>
      <c r="M436" s="2251"/>
      <c r="N436" s="2251"/>
    </row>
    <row r="437" spans="2:15">
      <c r="B437" s="2251"/>
      <c r="C437" s="2284"/>
      <c r="E437" s="2255"/>
      <c r="G437" s="2255"/>
      <c r="I437" s="2255"/>
      <c r="J437" s="2255"/>
      <c r="K437" s="2255"/>
      <c r="L437" s="2255"/>
      <c r="M437" s="2255"/>
      <c r="N437" s="2251"/>
      <c r="O437" s="2253"/>
    </row>
    <row r="438" spans="2:15">
      <c r="B438" s="2251"/>
      <c r="C438" s="2284"/>
      <c r="E438" s="2255"/>
      <c r="G438" s="2255"/>
      <c r="I438" s="2255"/>
      <c r="J438" s="2255"/>
      <c r="K438" s="2255"/>
      <c r="L438" s="2255"/>
      <c r="M438" s="2255"/>
      <c r="N438" s="2251"/>
      <c r="O438" s="2253"/>
    </row>
    <row r="439" spans="2:15">
      <c r="B439" s="2251"/>
      <c r="E439" s="2255"/>
      <c r="G439" s="2255"/>
      <c r="M439" s="2251"/>
      <c r="N439" s="2251"/>
    </row>
    <row r="440" spans="2:15">
      <c r="B440" s="2251"/>
      <c r="C440" s="2253"/>
      <c r="D440" s="2251"/>
      <c r="E440" s="2253"/>
      <c r="F440" s="2251"/>
      <c r="G440" s="2253"/>
      <c r="H440" s="2251"/>
      <c r="I440" s="2253"/>
      <c r="J440" s="2253"/>
      <c r="K440" s="2253"/>
      <c r="L440" s="2253"/>
      <c r="M440" s="2255"/>
      <c r="N440" s="2251"/>
      <c r="O440" s="2253"/>
    </row>
    <row r="441" spans="2:15">
      <c r="E441" s="2255"/>
      <c r="G441" s="2284"/>
      <c r="I441" s="2253"/>
      <c r="J441" s="2253"/>
      <c r="K441" s="2253"/>
      <c r="L441" s="2255"/>
      <c r="M441" s="2255"/>
      <c r="N441" s="2251"/>
      <c r="O441" s="2253"/>
    </row>
    <row r="442" spans="2:15">
      <c r="E442" s="2255"/>
      <c r="G442" s="2284"/>
      <c r="I442" s="2253"/>
      <c r="J442" s="2253"/>
      <c r="K442" s="2253"/>
      <c r="L442" s="2255"/>
      <c r="M442" s="2255"/>
      <c r="N442" s="2251"/>
      <c r="O442" s="2253"/>
    </row>
    <row r="443" spans="2:15">
      <c r="E443" s="2255"/>
      <c r="G443" s="2284"/>
      <c r="I443" s="2253"/>
      <c r="J443" s="2253"/>
      <c r="K443" s="2253"/>
      <c r="L443" s="2255"/>
      <c r="M443" s="2255"/>
      <c r="N443" s="2251"/>
      <c r="O443" s="2253"/>
    </row>
    <row r="444" spans="2:15">
      <c r="E444" s="2255"/>
      <c r="G444" s="2284"/>
      <c r="I444" s="2255"/>
      <c r="J444" s="2255"/>
      <c r="K444" s="2255"/>
      <c r="L444" s="2255"/>
    </row>
    <row r="445" spans="2:15">
      <c r="E445" s="2255"/>
      <c r="G445" s="2255"/>
    </row>
    <row r="446" spans="2:15">
      <c r="B446" s="2251"/>
      <c r="I446" s="2253"/>
      <c r="J446" s="2253"/>
      <c r="K446" s="2253"/>
      <c r="L446" s="2255"/>
      <c r="M446" s="2255"/>
      <c r="N446" s="2251"/>
      <c r="O446" s="2253"/>
    </row>
    <row r="448" spans="2:15">
      <c r="B448" s="2251"/>
      <c r="I448" s="2253"/>
      <c r="J448" s="2253"/>
      <c r="K448" s="2253"/>
      <c r="L448" s="2255"/>
      <c r="M448" s="2255"/>
      <c r="N448" s="2251"/>
      <c r="O448" s="2253"/>
    </row>
    <row r="449" spans="2:18">
      <c r="B449" s="2251"/>
      <c r="M449" s="2255"/>
      <c r="N449" s="2251"/>
      <c r="O449" s="2253"/>
      <c r="R449" s="2253"/>
    </row>
    <row r="450" spans="2:18">
      <c r="M450" s="2251"/>
      <c r="N450" s="2251"/>
      <c r="O450" s="2253"/>
    </row>
    <row r="451" spans="2:18">
      <c r="M451" s="2251"/>
      <c r="N451" s="2251"/>
    </row>
    <row r="452" spans="2:18">
      <c r="E452" s="2255"/>
      <c r="G452" s="2255"/>
      <c r="I452" s="2255"/>
      <c r="J452" s="2255"/>
      <c r="K452" s="2255"/>
      <c r="L452" s="2255"/>
      <c r="M452" s="2255"/>
      <c r="O452" s="2255"/>
    </row>
    <row r="453" spans="2:18">
      <c r="B453" s="2251"/>
      <c r="D453" s="2272"/>
      <c r="E453" s="2272"/>
      <c r="F453" s="2272"/>
      <c r="G453" s="2274"/>
      <c r="H453" s="2272"/>
      <c r="I453" s="2272"/>
      <c r="J453" s="2272"/>
      <c r="K453" s="2272"/>
      <c r="L453" s="2251"/>
      <c r="O453" s="2251"/>
    </row>
    <row r="454" spans="2:18">
      <c r="B454" s="2251"/>
      <c r="C454" s="2251"/>
      <c r="D454" s="2272"/>
      <c r="E454" s="2272"/>
      <c r="F454" s="2272"/>
      <c r="G454" s="2274"/>
      <c r="H454" s="2272"/>
      <c r="I454" s="2272"/>
      <c r="J454" s="2272"/>
      <c r="K454" s="2272"/>
      <c r="L454" s="2251"/>
      <c r="M454" s="2251"/>
      <c r="N454" s="2251"/>
      <c r="O454" s="2251"/>
    </row>
    <row r="455" spans="2:18">
      <c r="B455" s="2251"/>
      <c r="C455" s="2251"/>
      <c r="D455" s="2251"/>
      <c r="E455" s="2251"/>
      <c r="F455" s="2251"/>
      <c r="G455" s="2251"/>
      <c r="H455" s="2251"/>
      <c r="I455" s="2251"/>
      <c r="J455" s="2251"/>
      <c r="K455" s="2251"/>
      <c r="L455" s="2251"/>
      <c r="M455" s="2251"/>
      <c r="N455" s="2251"/>
      <c r="O455" s="2251"/>
    </row>
    <row r="456" spans="2:18">
      <c r="B456" s="2251"/>
      <c r="C456" s="2251"/>
      <c r="D456" s="2251"/>
      <c r="E456" s="2251"/>
      <c r="F456" s="2251"/>
      <c r="G456" s="2251"/>
      <c r="H456" s="2251"/>
      <c r="I456" s="2251"/>
      <c r="J456" s="2251"/>
      <c r="K456" s="2251"/>
      <c r="L456" s="2251"/>
      <c r="M456" s="2251"/>
      <c r="N456" s="2251"/>
      <c r="O456" s="2251"/>
    </row>
    <row r="457" spans="2:18">
      <c r="B457" s="2251"/>
      <c r="C457" s="2251"/>
      <c r="D457" s="2251"/>
      <c r="E457" s="2251"/>
      <c r="F457" s="2251"/>
      <c r="G457" s="2251"/>
      <c r="H457" s="2251"/>
      <c r="I457" s="2251"/>
      <c r="J457" s="2251"/>
      <c r="K457" s="2251"/>
      <c r="L457" s="2251"/>
      <c r="M457" s="2251"/>
      <c r="N457" s="2251"/>
      <c r="O457" s="2251"/>
    </row>
    <row r="458" spans="2:18">
      <c r="B458" s="2251"/>
      <c r="C458" s="2251"/>
      <c r="F458" s="2251"/>
      <c r="G458" s="2251"/>
      <c r="H458" s="2251"/>
      <c r="L458" s="2251"/>
      <c r="O458" s="2251"/>
    </row>
    <row r="459" spans="2:18">
      <c r="B459" s="2251"/>
      <c r="C459" s="2251"/>
      <c r="F459" s="2251"/>
      <c r="G459" s="2251"/>
      <c r="H459" s="2251"/>
      <c r="I459" s="2251"/>
      <c r="J459" s="2251"/>
      <c r="K459" s="2251"/>
      <c r="L459" s="2251"/>
      <c r="N459" s="2251"/>
      <c r="O459" s="2251"/>
    </row>
    <row r="461" spans="2:18">
      <c r="G461" s="2251"/>
    </row>
    <row r="462" spans="2:18">
      <c r="G462" s="2251"/>
    </row>
    <row r="463" spans="2:18">
      <c r="I463" s="2251"/>
      <c r="J463" s="2251"/>
      <c r="K463" s="2251"/>
      <c r="L463" s="2251"/>
    </row>
    <row r="464" spans="2:18">
      <c r="H464" s="2251"/>
    </row>
    <row r="466" spans="7:7">
      <c r="G466" s="2251"/>
    </row>
    <row r="467" spans="7:7">
      <c r="G467" s="2251"/>
    </row>
  </sheetData>
  <mergeCells count="46">
    <mergeCell ref="M426:O426"/>
    <mergeCell ref="B393:I393"/>
    <mergeCell ref="B394:E394"/>
    <mergeCell ref="C418:H418"/>
    <mergeCell ref="I418:O418"/>
    <mergeCell ref="M425:O425"/>
    <mergeCell ref="E425:I425"/>
    <mergeCell ref="E426:I426"/>
    <mergeCell ref="I412:O412"/>
    <mergeCell ref="E397:K397"/>
    <mergeCell ref="B390:I390"/>
    <mergeCell ref="B340:I340"/>
    <mergeCell ref="B348:I348"/>
    <mergeCell ref="B359:I359"/>
    <mergeCell ref="C363:E363"/>
    <mergeCell ref="B367:H367"/>
    <mergeCell ref="B374:H374"/>
    <mergeCell ref="B377:I377"/>
    <mergeCell ref="B381:I381"/>
    <mergeCell ref="B382:D382"/>
    <mergeCell ref="B385:I385"/>
    <mergeCell ref="B388:I388"/>
    <mergeCell ref="B332:I332"/>
    <mergeCell ref="B201:L201"/>
    <mergeCell ref="B219:M219"/>
    <mergeCell ref="B227:I227"/>
    <mergeCell ref="B235:I235"/>
    <mergeCell ref="B249:M249"/>
    <mergeCell ref="B270:I270"/>
    <mergeCell ref="B287:I287"/>
    <mergeCell ref="B299:I299"/>
    <mergeCell ref="B304:I304"/>
    <mergeCell ref="B317:I317"/>
    <mergeCell ref="B325:I325"/>
    <mergeCell ref="B196:I196"/>
    <mergeCell ref="D3:E3"/>
    <mergeCell ref="D7:I7"/>
    <mergeCell ref="D14:E14"/>
    <mergeCell ref="B16:I16"/>
    <mergeCell ref="B30:I30"/>
    <mergeCell ref="B44:I44"/>
    <mergeCell ref="B63:K63"/>
    <mergeCell ref="B89:L89"/>
    <mergeCell ref="B113:L113"/>
    <mergeCell ref="B133:L133"/>
    <mergeCell ref="B185:M185"/>
  </mergeCells>
  <pageMargins left="0.19" right="0.12" top="0.27559055118110237" bottom="0.19685039370078741" header="0.15748031496062992" footer="0.15748031496062992"/>
  <pageSetup paperSize="9" scale="98" orientation="portrait" verticalDpi="4294967295" r:id="rId1"/>
  <rowBreaks count="1" manualBreakCount="1">
    <brk id="349" max="14" man="1"/>
  </rowBreaks>
</worksheet>
</file>

<file path=xl/worksheets/sheet23.xml><?xml version="1.0" encoding="utf-8"?>
<worksheet xmlns="http://schemas.openxmlformats.org/spreadsheetml/2006/main" xmlns:r="http://schemas.openxmlformats.org/officeDocument/2006/relationships">
  <sheetPr>
    <tabColor rgb="FF7030A0"/>
  </sheetPr>
  <dimension ref="A1:J74"/>
  <sheetViews>
    <sheetView tabSelected="1" view="pageBreakPreview" topLeftCell="A4" zoomScale="98" zoomScaleSheetLayoutView="98" workbookViewId="0">
      <selection sqref="A1:G1"/>
    </sheetView>
  </sheetViews>
  <sheetFormatPr defaultRowHeight="14.25"/>
  <cols>
    <col min="1" max="1" width="4.7109375" style="2441" customWidth="1"/>
    <col min="2" max="2" width="47.28515625" style="2441" customWidth="1"/>
    <col min="3" max="3" width="8.42578125" style="2441" customWidth="1"/>
    <col min="4" max="4" width="7.140625" style="2441" customWidth="1"/>
    <col min="5" max="5" width="10.42578125" style="2441" customWidth="1"/>
    <col min="6" max="6" width="21.5703125" style="2441" customWidth="1"/>
    <col min="7" max="7" width="16.5703125" style="2441" customWidth="1"/>
    <col min="8" max="9" width="9.28515625" style="2441"/>
    <col min="10" max="10" width="9.140625" style="2441" customWidth="1"/>
    <col min="11" max="256" width="9.28515625" style="2441"/>
    <col min="257" max="257" width="4.7109375" style="2441" customWidth="1"/>
    <col min="258" max="258" width="47.7109375" style="2441" customWidth="1"/>
    <col min="259" max="259" width="8.28515625" style="2441" customWidth="1"/>
    <col min="260" max="260" width="7" style="2441" customWidth="1"/>
    <col min="261" max="261" width="8.85546875" style="2441" customWidth="1"/>
    <col min="262" max="262" width="19.28515625" style="2441" customWidth="1"/>
    <col min="263" max="263" width="15" style="2441" customWidth="1"/>
    <col min="264" max="512" width="9.28515625" style="2441"/>
    <col min="513" max="513" width="4.7109375" style="2441" customWidth="1"/>
    <col min="514" max="514" width="47.7109375" style="2441" customWidth="1"/>
    <col min="515" max="515" width="8.28515625" style="2441" customWidth="1"/>
    <col min="516" max="516" width="7" style="2441" customWidth="1"/>
    <col min="517" max="517" width="8.85546875" style="2441" customWidth="1"/>
    <col min="518" max="518" width="19.28515625" style="2441" customWidth="1"/>
    <col min="519" max="519" width="15" style="2441" customWidth="1"/>
    <col min="520" max="768" width="9.28515625" style="2441"/>
    <col min="769" max="769" width="4.7109375" style="2441" customWidth="1"/>
    <col min="770" max="770" width="47.7109375" style="2441" customWidth="1"/>
    <col min="771" max="771" width="8.28515625" style="2441" customWidth="1"/>
    <col min="772" max="772" width="7" style="2441" customWidth="1"/>
    <col min="773" max="773" width="8.85546875" style="2441" customWidth="1"/>
    <col min="774" max="774" width="19.28515625" style="2441" customWidth="1"/>
    <col min="775" max="775" width="15" style="2441" customWidth="1"/>
    <col min="776" max="1024" width="9.28515625" style="2441"/>
    <col min="1025" max="1025" width="4.7109375" style="2441" customWidth="1"/>
    <col min="1026" max="1026" width="47.7109375" style="2441" customWidth="1"/>
    <col min="1027" max="1027" width="8.28515625" style="2441" customWidth="1"/>
    <col min="1028" max="1028" width="7" style="2441" customWidth="1"/>
    <col min="1029" max="1029" width="8.85546875" style="2441" customWidth="1"/>
    <col min="1030" max="1030" width="19.28515625" style="2441" customWidth="1"/>
    <col min="1031" max="1031" width="15" style="2441" customWidth="1"/>
    <col min="1032" max="1280" width="9.28515625" style="2441"/>
    <col min="1281" max="1281" width="4.7109375" style="2441" customWidth="1"/>
    <col min="1282" max="1282" width="47.7109375" style="2441" customWidth="1"/>
    <col min="1283" max="1283" width="8.28515625" style="2441" customWidth="1"/>
    <col min="1284" max="1284" width="7" style="2441" customWidth="1"/>
    <col min="1285" max="1285" width="8.85546875" style="2441" customWidth="1"/>
    <col min="1286" max="1286" width="19.28515625" style="2441" customWidth="1"/>
    <col min="1287" max="1287" width="15" style="2441" customWidth="1"/>
    <col min="1288" max="1536" width="9.28515625" style="2441"/>
    <col min="1537" max="1537" width="4.7109375" style="2441" customWidth="1"/>
    <col min="1538" max="1538" width="47.7109375" style="2441" customWidth="1"/>
    <col min="1539" max="1539" width="8.28515625" style="2441" customWidth="1"/>
    <col min="1540" max="1540" width="7" style="2441" customWidth="1"/>
    <col min="1541" max="1541" width="8.85546875" style="2441" customWidth="1"/>
    <col min="1542" max="1542" width="19.28515625" style="2441" customWidth="1"/>
    <col min="1543" max="1543" width="15" style="2441" customWidth="1"/>
    <col min="1544" max="1792" width="9.28515625" style="2441"/>
    <col min="1793" max="1793" width="4.7109375" style="2441" customWidth="1"/>
    <col min="1794" max="1794" width="47.7109375" style="2441" customWidth="1"/>
    <col min="1795" max="1795" width="8.28515625" style="2441" customWidth="1"/>
    <col min="1796" max="1796" width="7" style="2441" customWidth="1"/>
    <col min="1797" max="1797" width="8.85546875" style="2441" customWidth="1"/>
    <col min="1798" max="1798" width="19.28515625" style="2441" customWidth="1"/>
    <col min="1799" max="1799" width="15" style="2441" customWidth="1"/>
    <col min="1800" max="2048" width="9.28515625" style="2441"/>
    <col min="2049" max="2049" width="4.7109375" style="2441" customWidth="1"/>
    <col min="2050" max="2050" width="47.7109375" style="2441" customWidth="1"/>
    <col min="2051" max="2051" width="8.28515625" style="2441" customWidth="1"/>
    <col min="2052" max="2052" width="7" style="2441" customWidth="1"/>
    <col min="2053" max="2053" width="8.85546875" style="2441" customWidth="1"/>
    <col min="2054" max="2054" width="19.28515625" style="2441" customWidth="1"/>
    <col min="2055" max="2055" width="15" style="2441" customWidth="1"/>
    <col min="2056" max="2304" width="9.28515625" style="2441"/>
    <col min="2305" max="2305" width="4.7109375" style="2441" customWidth="1"/>
    <col min="2306" max="2306" width="47.7109375" style="2441" customWidth="1"/>
    <col min="2307" max="2307" width="8.28515625" style="2441" customWidth="1"/>
    <col min="2308" max="2308" width="7" style="2441" customWidth="1"/>
    <col min="2309" max="2309" width="8.85546875" style="2441" customWidth="1"/>
    <col min="2310" max="2310" width="19.28515625" style="2441" customWidth="1"/>
    <col min="2311" max="2311" width="15" style="2441" customWidth="1"/>
    <col min="2312" max="2560" width="9.28515625" style="2441"/>
    <col min="2561" max="2561" width="4.7109375" style="2441" customWidth="1"/>
    <col min="2562" max="2562" width="47.7109375" style="2441" customWidth="1"/>
    <col min="2563" max="2563" width="8.28515625" style="2441" customWidth="1"/>
    <col min="2564" max="2564" width="7" style="2441" customWidth="1"/>
    <col min="2565" max="2565" width="8.85546875" style="2441" customWidth="1"/>
    <col min="2566" max="2566" width="19.28515625" style="2441" customWidth="1"/>
    <col min="2567" max="2567" width="15" style="2441" customWidth="1"/>
    <col min="2568" max="2816" width="9.28515625" style="2441"/>
    <col min="2817" max="2817" width="4.7109375" style="2441" customWidth="1"/>
    <col min="2818" max="2818" width="47.7109375" style="2441" customWidth="1"/>
    <col min="2819" max="2819" width="8.28515625" style="2441" customWidth="1"/>
    <col min="2820" max="2820" width="7" style="2441" customWidth="1"/>
    <col min="2821" max="2821" width="8.85546875" style="2441" customWidth="1"/>
    <col min="2822" max="2822" width="19.28515625" style="2441" customWidth="1"/>
    <col min="2823" max="2823" width="15" style="2441" customWidth="1"/>
    <col min="2824" max="3072" width="9.28515625" style="2441"/>
    <col min="3073" max="3073" width="4.7109375" style="2441" customWidth="1"/>
    <col min="3074" max="3074" width="47.7109375" style="2441" customWidth="1"/>
    <col min="3075" max="3075" width="8.28515625" style="2441" customWidth="1"/>
    <col min="3076" max="3076" width="7" style="2441" customWidth="1"/>
    <col min="3077" max="3077" width="8.85546875" style="2441" customWidth="1"/>
    <col min="3078" max="3078" width="19.28515625" style="2441" customWidth="1"/>
    <col min="3079" max="3079" width="15" style="2441" customWidth="1"/>
    <col min="3080" max="3328" width="9.28515625" style="2441"/>
    <col min="3329" max="3329" width="4.7109375" style="2441" customWidth="1"/>
    <col min="3330" max="3330" width="47.7109375" style="2441" customWidth="1"/>
    <col min="3331" max="3331" width="8.28515625" style="2441" customWidth="1"/>
    <col min="3332" max="3332" width="7" style="2441" customWidth="1"/>
    <col min="3333" max="3333" width="8.85546875" style="2441" customWidth="1"/>
    <col min="3334" max="3334" width="19.28515625" style="2441" customWidth="1"/>
    <col min="3335" max="3335" width="15" style="2441" customWidth="1"/>
    <col min="3336" max="3584" width="9.28515625" style="2441"/>
    <col min="3585" max="3585" width="4.7109375" style="2441" customWidth="1"/>
    <col min="3586" max="3586" width="47.7109375" style="2441" customWidth="1"/>
    <col min="3587" max="3587" width="8.28515625" style="2441" customWidth="1"/>
    <col min="3588" max="3588" width="7" style="2441" customWidth="1"/>
    <col min="3589" max="3589" width="8.85546875" style="2441" customWidth="1"/>
    <col min="3590" max="3590" width="19.28515625" style="2441" customWidth="1"/>
    <col min="3591" max="3591" width="15" style="2441" customWidth="1"/>
    <col min="3592" max="3840" width="9.28515625" style="2441"/>
    <col min="3841" max="3841" width="4.7109375" style="2441" customWidth="1"/>
    <col min="3842" max="3842" width="47.7109375" style="2441" customWidth="1"/>
    <col min="3843" max="3843" width="8.28515625" style="2441" customWidth="1"/>
    <col min="3844" max="3844" width="7" style="2441" customWidth="1"/>
    <col min="3845" max="3845" width="8.85546875" style="2441" customWidth="1"/>
    <col min="3846" max="3846" width="19.28515625" style="2441" customWidth="1"/>
    <col min="3847" max="3847" width="15" style="2441" customWidth="1"/>
    <col min="3848" max="4096" width="9.28515625" style="2441"/>
    <col min="4097" max="4097" width="4.7109375" style="2441" customWidth="1"/>
    <col min="4098" max="4098" width="47.7109375" style="2441" customWidth="1"/>
    <col min="4099" max="4099" width="8.28515625" style="2441" customWidth="1"/>
    <col min="4100" max="4100" width="7" style="2441" customWidth="1"/>
    <col min="4101" max="4101" width="8.85546875" style="2441" customWidth="1"/>
    <col min="4102" max="4102" width="19.28515625" style="2441" customWidth="1"/>
    <col min="4103" max="4103" width="15" style="2441" customWidth="1"/>
    <col min="4104" max="4352" width="9.28515625" style="2441"/>
    <col min="4353" max="4353" width="4.7109375" style="2441" customWidth="1"/>
    <col min="4354" max="4354" width="47.7109375" style="2441" customWidth="1"/>
    <col min="4355" max="4355" width="8.28515625" style="2441" customWidth="1"/>
    <col min="4356" max="4356" width="7" style="2441" customWidth="1"/>
    <col min="4357" max="4357" width="8.85546875" style="2441" customWidth="1"/>
    <col min="4358" max="4358" width="19.28515625" style="2441" customWidth="1"/>
    <col min="4359" max="4359" width="15" style="2441" customWidth="1"/>
    <col min="4360" max="4608" width="9.28515625" style="2441"/>
    <col min="4609" max="4609" width="4.7109375" style="2441" customWidth="1"/>
    <col min="4610" max="4610" width="47.7109375" style="2441" customWidth="1"/>
    <col min="4611" max="4611" width="8.28515625" style="2441" customWidth="1"/>
    <col min="4612" max="4612" width="7" style="2441" customWidth="1"/>
    <col min="4613" max="4613" width="8.85546875" style="2441" customWidth="1"/>
    <col min="4614" max="4614" width="19.28515625" style="2441" customWidth="1"/>
    <col min="4615" max="4615" width="15" style="2441" customWidth="1"/>
    <col min="4616" max="4864" width="9.28515625" style="2441"/>
    <col min="4865" max="4865" width="4.7109375" style="2441" customWidth="1"/>
    <col min="4866" max="4866" width="47.7109375" style="2441" customWidth="1"/>
    <col min="4867" max="4867" width="8.28515625" style="2441" customWidth="1"/>
    <col min="4868" max="4868" width="7" style="2441" customWidth="1"/>
    <col min="4869" max="4869" width="8.85546875" style="2441" customWidth="1"/>
    <col min="4870" max="4870" width="19.28515625" style="2441" customWidth="1"/>
    <col min="4871" max="4871" width="15" style="2441" customWidth="1"/>
    <col min="4872" max="5120" width="9.28515625" style="2441"/>
    <col min="5121" max="5121" width="4.7109375" style="2441" customWidth="1"/>
    <col min="5122" max="5122" width="47.7109375" style="2441" customWidth="1"/>
    <col min="5123" max="5123" width="8.28515625" style="2441" customWidth="1"/>
    <col min="5124" max="5124" width="7" style="2441" customWidth="1"/>
    <col min="5125" max="5125" width="8.85546875" style="2441" customWidth="1"/>
    <col min="5126" max="5126" width="19.28515625" style="2441" customWidth="1"/>
    <col min="5127" max="5127" width="15" style="2441" customWidth="1"/>
    <col min="5128" max="5376" width="9.28515625" style="2441"/>
    <col min="5377" max="5377" width="4.7109375" style="2441" customWidth="1"/>
    <col min="5378" max="5378" width="47.7109375" style="2441" customWidth="1"/>
    <col min="5379" max="5379" width="8.28515625" style="2441" customWidth="1"/>
    <col min="5380" max="5380" width="7" style="2441" customWidth="1"/>
    <col min="5381" max="5381" width="8.85546875" style="2441" customWidth="1"/>
    <col min="5382" max="5382" width="19.28515625" style="2441" customWidth="1"/>
    <col min="5383" max="5383" width="15" style="2441" customWidth="1"/>
    <col min="5384" max="5632" width="9.28515625" style="2441"/>
    <col min="5633" max="5633" width="4.7109375" style="2441" customWidth="1"/>
    <col min="5634" max="5634" width="47.7109375" style="2441" customWidth="1"/>
    <col min="5635" max="5635" width="8.28515625" style="2441" customWidth="1"/>
    <col min="5636" max="5636" width="7" style="2441" customWidth="1"/>
    <col min="5637" max="5637" width="8.85546875" style="2441" customWidth="1"/>
    <col min="5638" max="5638" width="19.28515625" style="2441" customWidth="1"/>
    <col min="5639" max="5639" width="15" style="2441" customWidth="1"/>
    <col min="5640" max="5888" width="9.28515625" style="2441"/>
    <col min="5889" max="5889" width="4.7109375" style="2441" customWidth="1"/>
    <col min="5890" max="5890" width="47.7109375" style="2441" customWidth="1"/>
    <col min="5891" max="5891" width="8.28515625" style="2441" customWidth="1"/>
    <col min="5892" max="5892" width="7" style="2441" customWidth="1"/>
    <col min="5893" max="5893" width="8.85546875" style="2441" customWidth="1"/>
    <col min="5894" max="5894" width="19.28515625" style="2441" customWidth="1"/>
    <col min="5895" max="5895" width="15" style="2441" customWidth="1"/>
    <col min="5896" max="6144" width="9.28515625" style="2441"/>
    <col min="6145" max="6145" width="4.7109375" style="2441" customWidth="1"/>
    <col min="6146" max="6146" width="47.7109375" style="2441" customWidth="1"/>
    <col min="6147" max="6147" width="8.28515625" style="2441" customWidth="1"/>
    <col min="6148" max="6148" width="7" style="2441" customWidth="1"/>
    <col min="6149" max="6149" width="8.85546875" style="2441" customWidth="1"/>
    <col min="6150" max="6150" width="19.28515625" style="2441" customWidth="1"/>
    <col min="6151" max="6151" width="15" style="2441" customWidth="1"/>
    <col min="6152" max="6400" width="9.28515625" style="2441"/>
    <col min="6401" max="6401" width="4.7109375" style="2441" customWidth="1"/>
    <col min="6402" max="6402" width="47.7109375" style="2441" customWidth="1"/>
    <col min="6403" max="6403" width="8.28515625" style="2441" customWidth="1"/>
    <col min="6404" max="6404" width="7" style="2441" customWidth="1"/>
    <col min="6405" max="6405" width="8.85546875" style="2441" customWidth="1"/>
    <col min="6406" max="6406" width="19.28515625" style="2441" customWidth="1"/>
    <col min="6407" max="6407" width="15" style="2441" customWidth="1"/>
    <col min="6408" max="6656" width="9.28515625" style="2441"/>
    <col min="6657" max="6657" width="4.7109375" style="2441" customWidth="1"/>
    <col min="6658" max="6658" width="47.7109375" style="2441" customWidth="1"/>
    <col min="6659" max="6659" width="8.28515625" style="2441" customWidth="1"/>
    <col min="6660" max="6660" width="7" style="2441" customWidth="1"/>
    <col min="6661" max="6661" width="8.85546875" style="2441" customWidth="1"/>
    <col min="6662" max="6662" width="19.28515625" style="2441" customWidth="1"/>
    <col min="6663" max="6663" width="15" style="2441" customWidth="1"/>
    <col min="6664" max="6912" width="9.28515625" style="2441"/>
    <col min="6913" max="6913" width="4.7109375" style="2441" customWidth="1"/>
    <col min="6914" max="6914" width="47.7109375" style="2441" customWidth="1"/>
    <col min="6915" max="6915" width="8.28515625" style="2441" customWidth="1"/>
    <col min="6916" max="6916" width="7" style="2441" customWidth="1"/>
    <col min="6917" max="6917" width="8.85546875" style="2441" customWidth="1"/>
    <col min="6918" max="6918" width="19.28515625" style="2441" customWidth="1"/>
    <col min="6919" max="6919" width="15" style="2441" customWidth="1"/>
    <col min="6920" max="7168" width="9.28515625" style="2441"/>
    <col min="7169" max="7169" width="4.7109375" style="2441" customWidth="1"/>
    <col min="7170" max="7170" width="47.7109375" style="2441" customWidth="1"/>
    <col min="7171" max="7171" width="8.28515625" style="2441" customWidth="1"/>
    <col min="7172" max="7172" width="7" style="2441" customWidth="1"/>
    <col min="7173" max="7173" width="8.85546875" style="2441" customWidth="1"/>
    <col min="7174" max="7174" width="19.28515625" style="2441" customWidth="1"/>
    <col min="7175" max="7175" width="15" style="2441" customWidth="1"/>
    <col min="7176" max="7424" width="9.28515625" style="2441"/>
    <col min="7425" max="7425" width="4.7109375" style="2441" customWidth="1"/>
    <col min="7426" max="7426" width="47.7109375" style="2441" customWidth="1"/>
    <col min="7427" max="7427" width="8.28515625" style="2441" customWidth="1"/>
    <col min="7428" max="7428" width="7" style="2441" customWidth="1"/>
    <col min="7429" max="7429" width="8.85546875" style="2441" customWidth="1"/>
    <col min="7430" max="7430" width="19.28515625" style="2441" customWidth="1"/>
    <col min="7431" max="7431" width="15" style="2441" customWidth="1"/>
    <col min="7432" max="7680" width="9.28515625" style="2441"/>
    <col min="7681" max="7681" width="4.7109375" style="2441" customWidth="1"/>
    <col min="7682" max="7682" width="47.7109375" style="2441" customWidth="1"/>
    <col min="7683" max="7683" width="8.28515625" style="2441" customWidth="1"/>
    <col min="7684" max="7684" width="7" style="2441" customWidth="1"/>
    <col min="7685" max="7685" width="8.85546875" style="2441" customWidth="1"/>
    <col min="7686" max="7686" width="19.28515625" style="2441" customWidth="1"/>
    <col min="7687" max="7687" width="15" style="2441" customWidth="1"/>
    <col min="7688" max="7936" width="9.28515625" style="2441"/>
    <col min="7937" max="7937" width="4.7109375" style="2441" customWidth="1"/>
    <col min="7938" max="7938" width="47.7109375" style="2441" customWidth="1"/>
    <col min="7939" max="7939" width="8.28515625" style="2441" customWidth="1"/>
    <col min="7940" max="7940" width="7" style="2441" customWidth="1"/>
    <col min="7941" max="7941" width="8.85546875" style="2441" customWidth="1"/>
    <col min="7942" max="7942" width="19.28515625" style="2441" customWidth="1"/>
    <col min="7943" max="7943" width="15" style="2441" customWidth="1"/>
    <col min="7944" max="8192" width="9.28515625" style="2441"/>
    <col min="8193" max="8193" width="4.7109375" style="2441" customWidth="1"/>
    <col min="8194" max="8194" width="47.7109375" style="2441" customWidth="1"/>
    <col min="8195" max="8195" width="8.28515625" style="2441" customWidth="1"/>
    <col min="8196" max="8196" width="7" style="2441" customWidth="1"/>
    <col min="8197" max="8197" width="8.85546875" style="2441" customWidth="1"/>
    <col min="8198" max="8198" width="19.28515625" style="2441" customWidth="1"/>
    <col min="8199" max="8199" width="15" style="2441" customWidth="1"/>
    <col min="8200" max="8448" width="9.28515625" style="2441"/>
    <col min="8449" max="8449" width="4.7109375" style="2441" customWidth="1"/>
    <col min="8450" max="8450" width="47.7109375" style="2441" customWidth="1"/>
    <col min="8451" max="8451" width="8.28515625" style="2441" customWidth="1"/>
    <col min="8452" max="8452" width="7" style="2441" customWidth="1"/>
    <col min="8453" max="8453" width="8.85546875" style="2441" customWidth="1"/>
    <col min="8454" max="8454" width="19.28515625" style="2441" customWidth="1"/>
    <col min="8455" max="8455" width="15" style="2441" customWidth="1"/>
    <col min="8456" max="8704" width="9.28515625" style="2441"/>
    <col min="8705" max="8705" width="4.7109375" style="2441" customWidth="1"/>
    <col min="8706" max="8706" width="47.7109375" style="2441" customWidth="1"/>
    <col min="8707" max="8707" width="8.28515625" style="2441" customWidth="1"/>
    <col min="8708" max="8708" width="7" style="2441" customWidth="1"/>
    <col min="8709" max="8709" width="8.85546875" style="2441" customWidth="1"/>
    <col min="8710" max="8710" width="19.28515625" style="2441" customWidth="1"/>
    <col min="8711" max="8711" width="15" style="2441" customWidth="1"/>
    <col min="8712" max="8960" width="9.28515625" style="2441"/>
    <col min="8961" max="8961" width="4.7109375" style="2441" customWidth="1"/>
    <col min="8962" max="8962" width="47.7109375" style="2441" customWidth="1"/>
    <col min="8963" max="8963" width="8.28515625" style="2441" customWidth="1"/>
    <col min="8964" max="8964" width="7" style="2441" customWidth="1"/>
    <col min="8965" max="8965" width="8.85546875" style="2441" customWidth="1"/>
    <col min="8966" max="8966" width="19.28515625" style="2441" customWidth="1"/>
    <col min="8967" max="8967" width="15" style="2441" customWidth="1"/>
    <col min="8968" max="9216" width="9.28515625" style="2441"/>
    <col min="9217" max="9217" width="4.7109375" style="2441" customWidth="1"/>
    <col min="9218" max="9218" width="47.7109375" style="2441" customWidth="1"/>
    <col min="9219" max="9219" width="8.28515625" style="2441" customWidth="1"/>
    <col min="9220" max="9220" width="7" style="2441" customWidth="1"/>
    <col min="9221" max="9221" width="8.85546875" style="2441" customWidth="1"/>
    <col min="9222" max="9222" width="19.28515625" style="2441" customWidth="1"/>
    <col min="9223" max="9223" width="15" style="2441" customWidth="1"/>
    <col min="9224" max="9472" width="9.28515625" style="2441"/>
    <col min="9473" max="9473" width="4.7109375" style="2441" customWidth="1"/>
    <col min="9474" max="9474" width="47.7109375" style="2441" customWidth="1"/>
    <col min="9475" max="9475" width="8.28515625" style="2441" customWidth="1"/>
    <col min="9476" max="9476" width="7" style="2441" customWidth="1"/>
    <col min="9477" max="9477" width="8.85546875" style="2441" customWidth="1"/>
    <col min="9478" max="9478" width="19.28515625" style="2441" customWidth="1"/>
    <col min="9479" max="9479" width="15" style="2441" customWidth="1"/>
    <col min="9480" max="9728" width="9.28515625" style="2441"/>
    <col min="9729" max="9729" width="4.7109375" style="2441" customWidth="1"/>
    <col min="9730" max="9730" width="47.7109375" style="2441" customWidth="1"/>
    <col min="9731" max="9731" width="8.28515625" style="2441" customWidth="1"/>
    <col min="9732" max="9732" width="7" style="2441" customWidth="1"/>
    <col min="9733" max="9733" width="8.85546875" style="2441" customWidth="1"/>
    <col min="9734" max="9734" width="19.28515625" style="2441" customWidth="1"/>
    <col min="9735" max="9735" width="15" style="2441" customWidth="1"/>
    <col min="9736" max="9984" width="9.28515625" style="2441"/>
    <col min="9985" max="9985" width="4.7109375" style="2441" customWidth="1"/>
    <col min="9986" max="9986" width="47.7109375" style="2441" customWidth="1"/>
    <col min="9987" max="9987" width="8.28515625" style="2441" customWidth="1"/>
    <col min="9988" max="9988" width="7" style="2441" customWidth="1"/>
    <col min="9989" max="9989" width="8.85546875" style="2441" customWidth="1"/>
    <col min="9990" max="9990" width="19.28515625" style="2441" customWidth="1"/>
    <col min="9991" max="9991" width="15" style="2441" customWidth="1"/>
    <col min="9992" max="10240" width="9.28515625" style="2441"/>
    <col min="10241" max="10241" width="4.7109375" style="2441" customWidth="1"/>
    <col min="10242" max="10242" width="47.7109375" style="2441" customWidth="1"/>
    <col min="10243" max="10243" width="8.28515625" style="2441" customWidth="1"/>
    <col min="10244" max="10244" width="7" style="2441" customWidth="1"/>
    <col min="10245" max="10245" width="8.85546875" style="2441" customWidth="1"/>
    <col min="10246" max="10246" width="19.28515625" style="2441" customWidth="1"/>
    <col min="10247" max="10247" width="15" style="2441" customWidth="1"/>
    <col min="10248" max="10496" width="9.28515625" style="2441"/>
    <col min="10497" max="10497" width="4.7109375" style="2441" customWidth="1"/>
    <col min="10498" max="10498" width="47.7109375" style="2441" customWidth="1"/>
    <col min="10499" max="10499" width="8.28515625" style="2441" customWidth="1"/>
    <col min="10500" max="10500" width="7" style="2441" customWidth="1"/>
    <col min="10501" max="10501" width="8.85546875" style="2441" customWidth="1"/>
    <col min="10502" max="10502" width="19.28515625" style="2441" customWidth="1"/>
    <col min="10503" max="10503" width="15" style="2441" customWidth="1"/>
    <col min="10504" max="10752" width="9.28515625" style="2441"/>
    <col min="10753" max="10753" width="4.7109375" style="2441" customWidth="1"/>
    <col min="10754" max="10754" width="47.7109375" style="2441" customWidth="1"/>
    <col min="10755" max="10755" width="8.28515625" style="2441" customWidth="1"/>
    <col min="10756" max="10756" width="7" style="2441" customWidth="1"/>
    <col min="10757" max="10757" width="8.85546875" style="2441" customWidth="1"/>
    <col min="10758" max="10758" width="19.28515625" style="2441" customWidth="1"/>
    <col min="10759" max="10759" width="15" style="2441" customWidth="1"/>
    <col min="10760" max="11008" width="9.28515625" style="2441"/>
    <col min="11009" max="11009" width="4.7109375" style="2441" customWidth="1"/>
    <col min="11010" max="11010" width="47.7109375" style="2441" customWidth="1"/>
    <col min="11011" max="11011" width="8.28515625" style="2441" customWidth="1"/>
    <col min="11012" max="11012" width="7" style="2441" customWidth="1"/>
    <col min="11013" max="11013" width="8.85546875" style="2441" customWidth="1"/>
    <col min="11014" max="11014" width="19.28515625" style="2441" customWidth="1"/>
    <col min="11015" max="11015" width="15" style="2441" customWidth="1"/>
    <col min="11016" max="11264" width="9.28515625" style="2441"/>
    <col min="11265" max="11265" width="4.7109375" style="2441" customWidth="1"/>
    <col min="11266" max="11266" width="47.7109375" style="2441" customWidth="1"/>
    <col min="11267" max="11267" width="8.28515625" style="2441" customWidth="1"/>
    <col min="11268" max="11268" width="7" style="2441" customWidth="1"/>
    <col min="11269" max="11269" width="8.85546875" style="2441" customWidth="1"/>
    <col min="11270" max="11270" width="19.28515625" style="2441" customWidth="1"/>
    <col min="11271" max="11271" width="15" style="2441" customWidth="1"/>
    <col min="11272" max="11520" width="9.28515625" style="2441"/>
    <col min="11521" max="11521" width="4.7109375" style="2441" customWidth="1"/>
    <col min="11522" max="11522" width="47.7109375" style="2441" customWidth="1"/>
    <col min="11523" max="11523" width="8.28515625" style="2441" customWidth="1"/>
    <col min="11524" max="11524" width="7" style="2441" customWidth="1"/>
    <col min="11525" max="11525" width="8.85546875" style="2441" customWidth="1"/>
    <col min="11526" max="11526" width="19.28515625" style="2441" customWidth="1"/>
    <col min="11527" max="11527" width="15" style="2441" customWidth="1"/>
    <col min="11528" max="11776" width="9.28515625" style="2441"/>
    <col min="11777" max="11777" width="4.7109375" style="2441" customWidth="1"/>
    <col min="11778" max="11778" width="47.7109375" style="2441" customWidth="1"/>
    <col min="11779" max="11779" width="8.28515625" style="2441" customWidth="1"/>
    <col min="11780" max="11780" width="7" style="2441" customWidth="1"/>
    <col min="11781" max="11781" width="8.85546875" style="2441" customWidth="1"/>
    <col min="11782" max="11782" width="19.28515625" style="2441" customWidth="1"/>
    <col min="11783" max="11783" width="15" style="2441" customWidth="1"/>
    <col min="11784" max="12032" width="9.28515625" style="2441"/>
    <col min="12033" max="12033" width="4.7109375" style="2441" customWidth="1"/>
    <col min="12034" max="12034" width="47.7109375" style="2441" customWidth="1"/>
    <col min="12035" max="12035" width="8.28515625" style="2441" customWidth="1"/>
    <col min="12036" max="12036" width="7" style="2441" customWidth="1"/>
    <col min="12037" max="12037" width="8.85546875" style="2441" customWidth="1"/>
    <col min="12038" max="12038" width="19.28515625" style="2441" customWidth="1"/>
    <col min="12039" max="12039" width="15" style="2441" customWidth="1"/>
    <col min="12040" max="12288" width="9.28515625" style="2441"/>
    <col min="12289" max="12289" width="4.7109375" style="2441" customWidth="1"/>
    <col min="12290" max="12290" width="47.7109375" style="2441" customWidth="1"/>
    <col min="12291" max="12291" width="8.28515625" style="2441" customWidth="1"/>
    <col min="12292" max="12292" width="7" style="2441" customWidth="1"/>
    <col min="12293" max="12293" width="8.85546875" style="2441" customWidth="1"/>
    <col min="12294" max="12294" width="19.28515625" style="2441" customWidth="1"/>
    <col min="12295" max="12295" width="15" style="2441" customWidth="1"/>
    <col min="12296" max="12544" width="9.28515625" style="2441"/>
    <col min="12545" max="12545" width="4.7109375" style="2441" customWidth="1"/>
    <col min="12546" max="12546" width="47.7109375" style="2441" customWidth="1"/>
    <col min="12547" max="12547" width="8.28515625" style="2441" customWidth="1"/>
    <col min="12548" max="12548" width="7" style="2441" customWidth="1"/>
    <col min="12549" max="12549" width="8.85546875" style="2441" customWidth="1"/>
    <col min="12550" max="12550" width="19.28515625" style="2441" customWidth="1"/>
    <col min="12551" max="12551" width="15" style="2441" customWidth="1"/>
    <col min="12552" max="12800" width="9.28515625" style="2441"/>
    <col min="12801" max="12801" width="4.7109375" style="2441" customWidth="1"/>
    <col min="12802" max="12802" width="47.7109375" style="2441" customWidth="1"/>
    <col min="12803" max="12803" width="8.28515625" style="2441" customWidth="1"/>
    <col min="12804" max="12804" width="7" style="2441" customWidth="1"/>
    <col min="12805" max="12805" width="8.85546875" style="2441" customWidth="1"/>
    <col min="12806" max="12806" width="19.28515625" style="2441" customWidth="1"/>
    <col min="12807" max="12807" width="15" style="2441" customWidth="1"/>
    <col min="12808" max="13056" width="9.28515625" style="2441"/>
    <col min="13057" max="13057" width="4.7109375" style="2441" customWidth="1"/>
    <col min="13058" max="13058" width="47.7109375" style="2441" customWidth="1"/>
    <col min="13059" max="13059" width="8.28515625" style="2441" customWidth="1"/>
    <col min="13060" max="13060" width="7" style="2441" customWidth="1"/>
    <col min="13061" max="13061" width="8.85546875" style="2441" customWidth="1"/>
    <col min="13062" max="13062" width="19.28515625" style="2441" customWidth="1"/>
    <col min="13063" max="13063" width="15" style="2441" customWidth="1"/>
    <col min="13064" max="13312" width="9.28515625" style="2441"/>
    <col min="13313" max="13313" width="4.7109375" style="2441" customWidth="1"/>
    <col min="13314" max="13314" width="47.7109375" style="2441" customWidth="1"/>
    <col min="13315" max="13315" width="8.28515625" style="2441" customWidth="1"/>
    <col min="13316" max="13316" width="7" style="2441" customWidth="1"/>
    <col min="13317" max="13317" width="8.85546875" style="2441" customWidth="1"/>
    <col min="13318" max="13318" width="19.28515625" style="2441" customWidth="1"/>
    <col min="13319" max="13319" width="15" style="2441" customWidth="1"/>
    <col min="13320" max="13568" width="9.28515625" style="2441"/>
    <col min="13569" max="13569" width="4.7109375" style="2441" customWidth="1"/>
    <col min="13570" max="13570" width="47.7109375" style="2441" customWidth="1"/>
    <col min="13571" max="13571" width="8.28515625" style="2441" customWidth="1"/>
    <col min="13572" max="13572" width="7" style="2441" customWidth="1"/>
    <col min="13573" max="13573" width="8.85546875" style="2441" customWidth="1"/>
    <col min="13574" max="13574" width="19.28515625" style="2441" customWidth="1"/>
    <col min="13575" max="13575" width="15" style="2441" customWidth="1"/>
    <col min="13576" max="13824" width="9.28515625" style="2441"/>
    <col min="13825" max="13825" width="4.7109375" style="2441" customWidth="1"/>
    <col min="13826" max="13826" width="47.7109375" style="2441" customWidth="1"/>
    <col min="13827" max="13827" width="8.28515625" style="2441" customWidth="1"/>
    <col min="13828" max="13828" width="7" style="2441" customWidth="1"/>
    <col min="13829" max="13829" width="8.85546875" style="2441" customWidth="1"/>
    <col min="13830" max="13830" width="19.28515625" style="2441" customWidth="1"/>
    <col min="13831" max="13831" width="15" style="2441" customWidth="1"/>
    <col min="13832" max="14080" width="9.28515625" style="2441"/>
    <col min="14081" max="14081" width="4.7109375" style="2441" customWidth="1"/>
    <col min="14082" max="14082" width="47.7109375" style="2441" customWidth="1"/>
    <col min="14083" max="14083" width="8.28515625" style="2441" customWidth="1"/>
    <col min="14084" max="14084" width="7" style="2441" customWidth="1"/>
    <col min="14085" max="14085" width="8.85546875" style="2441" customWidth="1"/>
    <col min="14086" max="14086" width="19.28515625" style="2441" customWidth="1"/>
    <col min="14087" max="14087" width="15" style="2441" customWidth="1"/>
    <col min="14088" max="14336" width="9.28515625" style="2441"/>
    <col min="14337" max="14337" width="4.7109375" style="2441" customWidth="1"/>
    <col min="14338" max="14338" width="47.7109375" style="2441" customWidth="1"/>
    <col min="14339" max="14339" width="8.28515625" style="2441" customWidth="1"/>
    <col min="14340" max="14340" width="7" style="2441" customWidth="1"/>
    <col min="14341" max="14341" width="8.85546875" style="2441" customWidth="1"/>
    <col min="14342" max="14342" width="19.28515625" style="2441" customWidth="1"/>
    <col min="14343" max="14343" width="15" style="2441" customWidth="1"/>
    <col min="14344" max="14592" width="9.28515625" style="2441"/>
    <col min="14593" max="14593" width="4.7109375" style="2441" customWidth="1"/>
    <col min="14594" max="14594" width="47.7109375" style="2441" customWidth="1"/>
    <col min="14595" max="14595" width="8.28515625" style="2441" customWidth="1"/>
    <col min="14596" max="14596" width="7" style="2441" customWidth="1"/>
    <col min="14597" max="14597" width="8.85546875" style="2441" customWidth="1"/>
    <col min="14598" max="14598" width="19.28515625" style="2441" customWidth="1"/>
    <col min="14599" max="14599" width="15" style="2441" customWidth="1"/>
    <col min="14600" max="14848" width="9.28515625" style="2441"/>
    <col min="14849" max="14849" width="4.7109375" style="2441" customWidth="1"/>
    <col min="14850" max="14850" width="47.7109375" style="2441" customWidth="1"/>
    <col min="14851" max="14851" width="8.28515625" style="2441" customWidth="1"/>
    <col min="14852" max="14852" width="7" style="2441" customWidth="1"/>
    <col min="14853" max="14853" width="8.85546875" style="2441" customWidth="1"/>
    <col min="14854" max="14854" width="19.28515625" style="2441" customWidth="1"/>
    <col min="14855" max="14855" width="15" style="2441" customWidth="1"/>
    <col min="14856" max="15104" width="9.28515625" style="2441"/>
    <col min="15105" max="15105" width="4.7109375" style="2441" customWidth="1"/>
    <col min="15106" max="15106" width="47.7109375" style="2441" customWidth="1"/>
    <col min="15107" max="15107" width="8.28515625" style="2441" customWidth="1"/>
    <col min="15108" max="15108" width="7" style="2441" customWidth="1"/>
    <col min="15109" max="15109" width="8.85546875" style="2441" customWidth="1"/>
    <col min="15110" max="15110" width="19.28515625" style="2441" customWidth="1"/>
    <col min="15111" max="15111" width="15" style="2441" customWidth="1"/>
    <col min="15112" max="15360" width="9.28515625" style="2441"/>
    <col min="15361" max="15361" width="4.7109375" style="2441" customWidth="1"/>
    <col min="15362" max="15362" width="47.7109375" style="2441" customWidth="1"/>
    <col min="15363" max="15363" width="8.28515625" style="2441" customWidth="1"/>
    <col min="15364" max="15364" width="7" style="2441" customWidth="1"/>
    <col min="15365" max="15365" width="8.85546875" style="2441" customWidth="1"/>
    <col min="15366" max="15366" width="19.28515625" style="2441" customWidth="1"/>
    <col min="15367" max="15367" width="15" style="2441" customWidth="1"/>
    <col min="15368" max="15616" width="9.28515625" style="2441"/>
    <col min="15617" max="15617" width="4.7109375" style="2441" customWidth="1"/>
    <col min="15618" max="15618" width="47.7109375" style="2441" customWidth="1"/>
    <col min="15619" max="15619" width="8.28515625" style="2441" customWidth="1"/>
    <col min="15620" max="15620" width="7" style="2441" customWidth="1"/>
    <col min="15621" max="15621" width="8.85546875" style="2441" customWidth="1"/>
    <col min="15622" max="15622" width="19.28515625" style="2441" customWidth="1"/>
    <col min="15623" max="15623" width="15" style="2441" customWidth="1"/>
    <col min="15624" max="15872" width="9.28515625" style="2441"/>
    <col min="15873" max="15873" width="4.7109375" style="2441" customWidth="1"/>
    <col min="15874" max="15874" width="47.7109375" style="2441" customWidth="1"/>
    <col min="15875" max="15875" width="8.28515625" style="2441" customWidth="1"/>
    <col min="15876" max="15876" width="7" style="2441" customWidth="1"/>
    <col min="15877" max="15877" width="8.85546875" style="2441" customWidth="1"/>
    <col min="15878" max="15878" width="19.28515625" style="2441" customWidth="1"/>
    <col min="15879" max="15879" width="15" style="2441" customWidth="1"/>
    <col min="15880" max="16128" width="9.28515625" style="2441"/>
    <col min="16129" max="16129" width="4.7109375" style="2441" customWidth="1"/>
    <col min="16130" max="16130" width="47.7109375" style="2441" customWidth="1"/>
    <col min="16131" max="16131" width="8.28515625" style="2441" customWidth="1"/>
    <col min="16132" max="16132" width="7" style="2441" customWidth="1"/>
    <col min="16133" max="16133" width="8.85546875" style="2441" customWidth="1"/>
    <col min="16134" max="16134" width="19.28515625" style="2441" customWidth="1"/>
    <col min="16135" max="16135" width="15" style="2441" customWidth="1"/>
    <col min="16136" max="16384" width="9.28515625" style="2441"/>
  </cols>
  <sheetData>
    <row r="1" spans="1:7" s="2432" customFormat="1" ht="28.35" customHeight="1">
      <c r="A1" s="3053" t="s">
        <v>4268</v>
      </c>
      <c r="B1" s="3053"/>
      <c r="C1" s="3053"/>
      <c r="D1" s="3053"/>
      <c r="E1" s="3053"/>
      <c r="F1" s="3053"/>
      <c r="G1" s="3053"/>
    </row>
    <row r="2" spans="1:7" s="2432" customFormat="1" ht="28.35" customHeight="1">
      <c r="A2" s="3054" t="s">
        <v>4151</v>
      </c>
      <c r="B2" s="3055"/>
      <c r="C2" s="3056">
        <f>G42</f>
        <v>1251306.98</v>
      </c>
      <c r="D2" s="3056"/>
      <c r="E2" s="3056"/>
      <c r="F2" s="3056"/>
      <c r="G2" s="3056"/>
    </row>
    <row r="3" spans="1:7" s="2432" customFormat="1" ht="28.35" customHeight="1">
      <c r="A3" s="2451"/>
      <c r="B3" s="2451" t="s">
        <v>4261</v>
      </c>
      <c r="C3" s="3057"/>
      <c r="D3" s="3058"/>
      <c r="E3" s="3058"/>
      <c r="F3" s="3058"/>
      <c r="G3" s="3059"/>
    </row>
    <row r="4" spans="1:7" s="2432" customFormat="1" ht="28.35" customHeight="1">
      <c r="A4" s="2451"/>
      <c r="B4" s="2451" t="s">
        <v>4260</v>
      </c>
      <c r="C4" s="3057"/>
      <c r="D4" s="3058"/>
      <c r="E4" s="3058"/>
      <c r="F4" s="3058"/>
      <c r="G4" s="3059"/>
    </row>
    <row r="5" spans="1:7" s="2442" customFormat="1" ht="32.65" customHeight="1">
      <c r="A5" s="2439" t="s">
        <v>4152</v>
      </c>
      <c r="B5" s="344" t="s">
        <v>4153</v>
      </c>
      <c r="C5" s="2439" t="s">
        <v>4154</v>
      </c>
      <c r="D5" s="2439" t="s">
        <v>2084</v>
      </c>
      <c r="E5" s="2439" t="s">
        <v>4155</v>
      </c>
      <c r="F5" s="2439" t="s">
        <v>4156</v>
      </c>
      <c r="G5" s="2439" t="s">
        <v>4157</v>
      </c>
    </row>
    <row r="6" spans="1:7" ht="76.349999999999994" customHeight="1">
      <c r="A6" s="2434">
        <v>1</v>
      </c>
      <c r="B6" s="2433" t="s">
        <v>4158</v>
      </c>
      <c r="C6" s="2448">
        <v>48.54</v>
      </c>
      <c r="D6" s="2435" t="s">
        <v>49</v>
      </c>
      <c r="E6" s="2435">
        <v>269.7</v>
      </c>
      <c r="F6" s="2433" t="s">
        <v>4231</v>
      </c>
      <c r="G6" s="2436">
        <v>13091.23</v>
      </c>
    </row>
    <row r="7" spans="1:7" ht="64.349999999999994" customHeight="1">
      <c r="A7" s="2434">
        <v>2</v>
      </c>
      <c r="B7" s="2433" t="s">
        <v>4159</v>
      </c>
      <c r="C7" s="2448">
        <v>55.66</v>
      </c>
      <c r="D7" s="2435" t="str">
        <f>D6</f>
        <v>Cum</v>
      </c>
      <c r="E7" s="2435">
        <v>796.15</v>
      </c>
      <c r="F7" s="2433" t="s">
        <v>4232</v>
      </c>
      <c r="G7" s="2436">
        <v>44313.7</v>
      </c>
    </row>
    <row r="8" spans="1:7" ht="63" customHeight="1">
      <c r="A8" s="2434">
        <v>3</v>
      </c>
      <c r="B8" s="2433" t="s">
        <v>4160</v>
      </c>
      <c r="C8" s="2437">
        <v>14.72</v>
      </c>
      <c r="D8" s="2435" t="s">
        <v>49</v>
      </c>
      <c r="E8" s="2437">
        <v>6626.09</v>
      </c>
      <c r="F8" s="2433" t="s">
        <v>4233</v>
      </c>
      <c r="G8" s="2436">
        <v>97536.04</v>
      </c>
    </row>
    <row r="9" spans="1:7" ht="78.75" hidden="1" customHeight="1">
      <c r="A9" s="2434">
        <v>4</v>
      </c>
      <c r="B9" s="2433" t="s">
        <v>4162</v>
      </c>
      <c r="C9" s="2438">
        <v>0</v>
      </c>
      <c r="D9" s="2434" t="s">
        <v>49</v>
      </c>
      <c r="E9" s="2437">
        <f>[4]Estimate!G44</f>
        <v>1498.68</v>
      </c>
      <c r="F9" s="2433" t="s">
        <v>4161</v>
      </c>
      <c r="G9" s="2436">
        <f t="shared" ref="G9:G41" si="0">C9*E9</f>
        <v>0</v>
      </c>
    </row>
    <row r="10" spans="1:7" ht="75.400000000000006" customHeight="1">
      <c r="A10" s="2434">
        <v>4</v>
      </c>
      <c r="B10" s="2433" t="s">
        <v>4222</v>
      </c>
      <c r="C10" s="2438">
        <v>10.199999999999999</v>
      </c>
      <c r="D10" s="2434" t="str">
        <f>D9</f>
        <v>Cum</v>
      </c>
      <c r="E10" s="2437">
        <v>5569.62</v>
      </c>
      <c r="F10" s="2433" t="s">
        <v>4234</v>
      </c>
      <c r="G10" s="2436">
        <f t="shared" si="0"/>
        <v>56810.123999999996</v>
      </c>
    </row>
    <row r="11" spans="1:7" ht="87.95" customHeight="1">
      <c r="A11" s="2434">
        <v>5</v>
      </c>
      <c r="B11" s="2433" t="str">
        <f>[8]Estimate!B79</f>
        <v>RCC M-20 grade with crushed granite coarse aggregate of size 20 mm downgraded mixed in mixing plant with vibrator including cost of all materials, machineries &amp; labour including cost, conveyance, labour, all taxes &amp; royality etc  complete including centri</v>
      </c>
      <c r="C11" s="2438"/>
      <c r="D11" s="2434"/>
      <c r="E11" s="2437"/>
      <c r="F11" s="2433"/>
      <c r="G11" s="2436"/>
    </row>
    <row r="12" spans="1:7" ht="63" customHeight="1">
      <c r="A12" s="2434" t="s">
        <v>4225</v>
      </c>
      <c r="B12" s="2439" t="s">
        <v>4163</v>
      </c>
      <c r="C12" s="2438">
        <v>9.2899999999999991</v>
      </c>
      <c r="D12" s="2435" t="s">
        <v>49</v>
      </c>
      <c r="E12" s="2437">
        <v>7213.56</v>
      </c>
      <c r="F12" s="2433" t="s">
        <v>4256</v>
      </c>
      <c r="G12" s="2436">
        <f>C12*E12</f>
        <v>67013.972399999999</v>
      </c>
    </row>
    <row r="13" spans="1:7" ht="61.7" customHeight="1">
      <c r="A13" s="2434" t="s">
        <v>4226</v>
      </c>
      <c r="B13" s="2449" t="s">
        <v>4164</v>
      </c>
      <c r="C13" s="2438">
        <v>2.98</v>
      </c>
      <c r="D13" s="2435" t="str">
        <f>D12</f>
        <v>Cum</v>
      </c>
      <c r="E13" s="2437">
        <v>8089.57</v>
      </c>
      <c r="F13" s="2433" t="s">
        <v>4235</v>
      </c>
      <c r="G13" s="2436">
        <v>24106.91</v>
      </c>
    </row>
    <row r="14" spans="1:7" ht="67.5" customHeight="1">
      <c r="A14" s="2434" t="s">
        <v>4227</v>
      </c>
      <c r="B14" s="2449" t="s">
        <v>4165</v>
      </c>
      <c r="C14" s="2438">
        <v>7</v>
      </c>
      <c r="D14" s="2435" t="str">
        <f>D12</f>
        <v>Cum</v>
      </c>
      <c r="E14" s="2437">
        <v>16366.44</v>
      </c>
      <c r="F14" s="2433" t="s">
        <v>4257</v>
      </c>
      <c r="G14" s="2436">
        <f>C14*E14</f>
        <v>114565.08</v>
      </c>
    </row>
    <row r="15" spans="1:7" ht="62.1" customHeight="1">
      <c r="A15" s="2434" t="s">
        <v>4228</v>
      </c>
      <c r="B15" s="2449" t="s">
        <v>4166</v>
      </c>
      <c r="C15" s="2438">
        <v>0.97</v>
      </c>
      <c r="D15" s="2435" t="str">
        <f>D12</f>
        <v>Cum</v>
      </c>
      <c r="E15" s="2437">
        <v>14866.56</v>
      </c>
      <c r="F15" s="2433" t="s">
        <v>4236</v>
      </c>
      <c r="G15" s="2436">
        <v>14420.56</v>
      </c>
    </row>
    <row r="16" spans="1:7" ht="63.95" customHeight="1">
      <c r="A16" s="2434" t="s">
        <v>4229</v>
      </c>
      <c r="B16" s="2449" t="s">
        <v>4167</v>
      </c>
      <c r="C16" s="2438">
        <v>9.0299999999999994</v>
      </c>
      <c r="D16" s="2435" t="str">
        <f>D12</f>
        <v>Cum</v>
      </c>
      <c r="E16" s="2437">
        <v>14429.92</v>
      </c>
      <c r="F16" s="2433" t="s">
        <v>4237</v>
      </c>
      <c r="G16" s="2436">
        <v>130302.17</v>
      </c>
    </row>
    <row r="17" spans="1:10" ht="46.7" customHeight="1">
      <c r="A17" s="2434" t="s">
        <v>4230</v>
      </c>
      <c r="B17" s="2449" t="s">
        <v>4168</v>
      </c>
      <c r="C17" s="2438">
        <v>10.220000000000001</v>
      </c>
      <c r="D17" s="2434" t="s">
        <v>92</v>
      </c>
      <c r="E17" s="2437">
        <v>1262.48</v>
      </c>
      <c r="F17" s="2433" t="s">
        <v>4238</v>
      </c>
      <c r="G17" s="2436">
        <v>12902.54</v>
      </c>
    </row>
    <row r="18" spans="1:10" ht="86.25">
      <c r="A18" s="2434">
        <v>6</v>
      </c>
      <c r="B18" s="2433" t="s">
        <v>4191</v>
      </c>
      <c r="C18" s="2438">
        <v>17.2</v>
      </c>
      <c r="D18" s="2434" t="str">
        <f>D10</f>
        <v>Cum</v>
      </c>
      <c r="E18" s="2437">
        <v>5602.62</v>
      </c>
      <c r="F18" s="2433" t="s">
        <v>4239</v>
      </c>
      <c r="G18" s="2436">
        <v>96365.06</v>
      </c>
    </row>
    <row r="19" spans="1:10" ht="69.95" customHeight="1">
      <c r="A19" s="2450">
        <v>7</v>
      </c>
      <c r="B19" s="2433" t="str">
        <f>'[9]EStimate Additional Class Room'!$B$178:$I$178</f>
        <v>25mm thickDPC with CC (1:2:4) using 12mm H.G.C.B Coarse aggregates  Including Costof Material, Labour,  Royalty, Taxex,  Labour cess..etc . Complete as per the specification and direction of Enginner-in-charge.</v>
      </c>
      <c r="C19" s="2450">
        <v>8.73</v>
      </c>
      <c r="D19" s="2450" t="s">
        <v>357</v>
      </c>
      <c r="E19" s="2450">
        <v>393.78</v>
      </c>
      <c r="F19" s="2433" t="s">
        <v>4240</v>
      </c>
      <c r="G19" s="2436">
        <v>3437.7</v>
      </c>
    </row>
    <row r="20" spans="1:10" ht="159" customHeight="1">
      <c r="A20" s="2434">
        <v>8</v>
      </c>
      <c r="B20" s="2433" t="s">
        <v>4022</v>
      </c>
      <c r="C20" s="2437">
        <v>29.93</v>
      </c>
      <c r="D20" s="2437" t="str">
        <f>[10]Estimate!N194</f>
        <v>Qntl</v>
      </c>
      <c r="E20" s="2437">
        <v>9013.33</v>
      </c>
      <c r="F20" s="2433" t="s">
        <v>4241</v>
      </c>
      <c r="G20" s="2436">
        <v>269768.96000000002</v>
      </c>
      <c r="H20" s="2445"/>
      <c r="I20" s="2445"/>
      <c r="J20" s="2445"/>
    </row>
    <row r="21" spans="1:10" ht="70.349999999999994" customHeight="1">
      <c r="A21" s="2434">
        <v>9</v>
      </c>
      <c r="B21" s="2433" t="str">
        <f>[10]Estimate!B292</f>
        <v>Providing &amp; laying Cement Concrete ( 1:2:4 ) using  12mm size crusher broken hard granite chips including cost, conveyance, royality &amp; taxes etc. of all materials, mixing &amp; laying concrete, watering &amp; curing for 21 days, labour charges etc. complete as pe</v>
      </c>
      <c r="C21" s="2437">
        <v>0.12</v>
      </c>
      <c r="D21" s="2437" t="str">
        <f>[10]Estimate!I296</f>
        <v>cum</v>
      </c>
      <c r="E21" s="2437">
        <v>8273.0300000000007</v>
      </c>
      <c r="F21" s="2433" t="s">
        <v>4242</v>
      </c>
      <c r="G21" s="2436">
        <f>C21*E21</f>
        <v>992.7636</v>
      </c>
      <c r="H21" s="2445"/>
      <c r="I21" s="2445"/>
    </row>
    <row r="22" spans="1:10" ht="85.7" customHeight="1">
      <c r="A22" s="2434">
        <v>10</v>
      </c>
      <c r="B22" s="2433" t="str">
        <f>[10]Estimate!B202</f>
        <v>Supplying  GI  door &amp; window shutter with grills (Framed&amp;Fixed) made out ofGI angles, flats and sheets etc of approved design &amp; fabrication  including cost, conveyance &amp; taxes etc. of all materials required for the work and labour charges etc. complete as</v>
      </c>
      <c r="C22" s="2437">
        <v>144</v>
      </c>
      <c r="D22" s="2437" t="str">
        <f>[10]Estimate!I213</f>
        <v>Kg</v>
      </c>
      <c r="E22" s="2437">
        <v>88.23</v>
      </c>
      <c r="F22" s="2433" t="s">
        <v>4243</v>
      </c>
      <c r="G22" s="2436">
        <f t="shared" si="0"/>
        <v>12705.12</v>
      </c>
      <c r="H22" s="2445"/>
      <c r="I22" s="2445"/>
    </row>
    <row r="23" spans="1:10" ht="63.4" customHeight="1">
      <c r="A23" s="2434">
        <v>11</v>
      </c>
      <c r="B23" s="2433" t="str">
        <f>'[9]EStimate Additional Class Room'!$B$222:$I$222</f>
        <v>Supplying GI Pressed G.I Door Assembly with Polymer Powder Coated  Including the Cost of All Materials and Fittings ..etc Complete  as per the specification &amp; direction of Engineer in charge.</v>
      </c>
      <c r="C23" s="2438">
        <v>4.55</v>
      </c>
      <c r="D23" s="2435" t="str">
        <f>[10]Estimate!I219</f>
        <v>sqm</v>
      </c>
      <c r="E23" s="2437">
        <v>7000</v>
      </c>
      <c r="F23" s="2433" t="s">
        <v>4244</v>
      </c>
      <c r="G23" s="2436">
        <f t="shared" si="0"/>
        <v>31850</v>
      </c>
    </row>
    <row r="24" spans="1:10" ht="88.7" customHeight="1">
      <c r="A24" s="2434">
        <v>12</v>
      </c>
      <c r="B24" s="2433" t="str">
        <f>'[9]EStimate Additional Class Room'!$B$251:$I$251</f>
        <v>12 mm thick cement plaster  in cement mortar ( 1 : 4  with punning ) including cost, conveyance, royality &amp; taxes etc. of all materials required for the work,watering, curing, labour charges etc. complete as per the specification &amp; direction of Engineer in charge.</v>
      </c>
      <c r="C24" s="2438">
        <v>19.37</v>
      </c>
      <c r="D24" s="2435" t="str">
        <f>[10]Estimate!I243</f>
        <v>sqm</v>
      </c>
      <c r="E24" s="2437">
        <v>213.08</v>
      </c>
      <c r="F24" s="2433" t="s">
        <v>4245</v>
      </c>
      <c r="G24" s="2436">
        <f t="shared" si="0"/>
        <v>4127.3596000000007</v>
      </c>
    </row>
    <row r="25" spans="1:10" ht="57">
      <c r="A25" s="2434">
        <v>13</v>
      </c>
      <c r="B25" s="2433" t="s">
        <v>4169</v>
      </c>
      <c r="C25" s="2435">
        <v>92.44</v>
      </c>
      <c r="D25" s="2435" t="s">
        <v>92</v>
      </c>
      <c r="E25" s="2435">
        <v>190.54</v>
      </c>
      <c r="F25" s="2433" t="s">
        <v>4246</v>
      </c>
      <c r="G25" s="2436">
        <v>17613.52</v>
      </c>
    </row>
    <row r="26" spans="1:10" ht="57">
      <c r="A26" s="2434">
        <v>14</v>
      </c>
      <c r="B26" s="2433" t="s">
        <v>4170</v>
      </c>
      <c r="C26" s="2438">
        <v>72.349999999999994</v>
      </c>
      <c r="D26" s="2435" t="s">
        <v>92</v>
      </c>
      <c r="E26" s="2437">
        <v>273.74</v>
      </c>
      <c r="F26" s="2433" t="s">
        <v>4247</v>
      </c>
      <c r="G26" s="2436">
        <v>19805.080000000002</v>
      </c>
    </row>
    <row r="27" spans="1:10" ht="74.650000000000006" customHeight="1">
      <c r="A27" s="2434">
        <v>15</v>
      </c>
      <c r="B27" s="2433" t="str">
        <f>[10]Estimate!B259</f>
        <v>6 mm thick cement plaster  in cement mortar ( 1 : 4 ) including closed deep chipping &amp; slurry treatmant including cost, conveyance, royality &amp; taxes etc. of all materials required for the work,watering, curing, labour charges etc. complete as per the spec</v>
      </c>
      <c r="C27" s="2438">
        <v>79.06</v>
      </c>
      <c r="D27" s="2435" t="str">
        <f>[10]Estimate!I272</f>
        <v>sqm</v>
      </c>
      <c r="E27" s="2437">
        <v>212.12</v>
      </c>
      <c r="F27" s="2433" t="s">
        <v>4248</v>
      </c>
      <c r="G27" s="2436">
        <v>16770.2</v>
      </c>
    </row>
    <row r="28" spans="1:10" ht="74.650000000000006" customHeight="1">
      <c r="A28" s="2434">
        <v>16</v>
      </c>
      <c r="B28" s="2433" t="str">
        <f>[4]Estimate!B287</f>
        <v>Fixing tiles in floors ,treads or steps &amp; landings on 20mm thick bed of cement mortar 1:4 jointed with neat cement slurry mixed with pigment to match the shades of the tiles  &amp; polishing including cost of vitrified tile (600x600)mm……etc  compl</v>
      </c>
      <c r="C28" s="2438">
        <v>75.349999999999994</v>
      </c>
      <c r="D28" s="2435" t="str">
        <f>[4]Estimate!D297</f>
        <v>sqm</v>
      </c>
      <c r="E28" s="2437">
        <v>1170.29</v>
      </c>
      <c r="F28" s="2433" t="s">
        <v>4249</v>
      </c>
      <c r="G28" s="2436">
        <f>C28*E28</f>
        <v>88181.35149999999</v>
      </c>
    </row>
    <row r="29" spans="1:10" ht="77.650000000000006" customHeight="1">
      <c r="A29" s="2434">
        <v>17</v>
      </c>
      <c r="B29" s="2433" t="str">
        <f>[4]Estimate!B299</f>
        <v>Fixing tiles in floors ,treads or steps &amp; landings on 20mm thick bed of cement mortar 1:4 jointed with neat cement slurry mixed with pigment to match the shades of the tiles  &amp; polishing including cost of vitrified  industrial tile (300x300)mm……etc  compl</v>
      </c>
      <c r="C29" s="2438">
        <v>10.09</v>
      </c>
      <c r="D29" s="2435" t="str">
        <f>D28</f>
        <v>sqm</v>
      </c>
      <c r="E29" s="2437">
        <v>1458.46</v>
      </c>
      <c r="F29" s="2433" t="s">
        <v>4250</v>
      </c>
      <c r="G29" s="2436">
        <f>C29*E29</f>
        <v>14715.8614</v>
      </c>
    </row>
    <row r="30" spans="1:10" ht="73.7" customHeight="1">
      <c r="A30" s="2434">
        <v>18</v>
      </c>
      <c r="B30" s="2433" t="str">
        <f>[4]Estimate!B327</f>
        <v>Finishing surface of walls with cement based wall putty ( Water based ) of approved make and finished smooth and even surface to receive painting including scaffolding staging charges with all materials, taxes, labour charges etc  compl.</v>
      </c>
      <c r="C30" s="2438">
        <v>297.32</v>
      </c>
      <c r="D30" s="2435" t="str">
        <f>D31</f>
        <v>sqm</v>
      </c>
      <c r="E30" s="2437">
        <v>85.36</v>
      </c>
      <c r="F30" s="2433" t="s">
        <v>4251</v>
      </c>
      <c r="G30" s="2436">
        <v>25379.23</v>
      </c>
    </row>
    <row r="31" spans="1:10" ht="59.65" customHeight="1">
      <c r="A31" s="2434">
        <v>19</v>
      </c>
      <c r="B31" s="2433" t="str">
        <f>[10]Estimate!B305</f>
        <v>Priming one coat with water bound cement primer of approved quality over plastered surface including scaffolding staging charges with all materials, taxes, labour charges etc  compl.</v>
      </c>
      <c r="C31" s="2438">
        <v>238.56</v>
      </c>
      <c r="D31" s="2435" t="str">
        <f>[10]Estimate!I317</f>
        <v>sqm</v>
      </c>
      <c r="E31" s="2437">
        <v>79.06</v>
      </c>
      <c r="F31" s="2433" t="s">
        <v>4252</v>
      </c>
      <c r="G31" s="2436">
        <f>C31*E31</f>
        <v>18860.553599999999</v>
      </c>
    </row>
    <row r="32" spans="1:10" ht="74.25" customHeight="1">
      <c r="A32" s="2434">
        <v>20</v>
      </c>
      <c r="B32" s="2433" t="str">
        <f>[4]Estimate!B350</f>
        <v>Wall painting two coats with weather coat  of approved shade on new work to give an even shade including  including cost, carriage and taxes etc. of all materials required for the work and labour charges etc. compl as per the specification &amp; direction of EIC</v>
      </c>
      <c r="C32" s="2438">
        <v>136.59</v>
      </c>
      <c r="D32" s="2435" t="str">
        <f>D30</f>
        <v>sqm</v>
      </c>
      <c r="E32" s="2437">
        <v>95.68</v>
      </c>
      <c r="F32" s="2433" t="s">
        <v>4253</v>
      </c>
      <c r="G32" s="2436">
        <f>C32*E32</f>
        <v>13068.931200000001</v>
      </c>
    </row>
    <row r="33" spans="1:9" ht="74.099999999999994" customHeight="1">
      <c r="A33" s="2434">
        <v>21</v>
      </c>
      <c r="B33" s="2433" t="str">
        <f>'[9]EStimate Additional Class Room'!$B$391:$I$391</f>
        <v>Wall painting two coats with Distemper  paint  of approved shade on new work to give an even shade including  including cost, carriage and taxes etc. of all materials required for the work and labour charges etc. complete</v>
      </c>
      <c r="C33" s="2438">
        <v>114.59</v>
      </c>
      <c r="D33" s="2435" t="str">
        <f>D32</f>
        <v>sqm</v>
      </c>
      <c r="E33" s="2437">
        <v>86.35</v>
      </c>
      <c r="F33" s="2433" t="s">
        <v>4258</v>
      </c>
      <c r="G33" s="2436">
        <v>9894.84</v>
      </c>
    </row>
    <row r="34" spans="1:9" ht="75" customHeight="1">
      <c r="A34" s="2434">
        <v>22</v>
      </c>
      <c r="B34" s="2433" t="str">
        <f>[10]Estimate!B299</f>
        <v>Painting two coats with approved enamel paint over a coat of primer of approved quality  including cost of enamel paint, primer,brushes &amp; other materials, T. &amp; P. and taxes etc. of all materials required for the work and labour charges etc. complete as pe</v>
      </c>
      <c r="C34" s="2438">
        <v>19.440000000000001</v>
      </c>
      <c r="D34" s="2435" t="str">
        <f>[10]Estimate!I303</f>
        <v>sqm</v>
      </c>
      <c r="E34" s="2437">
        <v>254.77</v>
      </c>
      <c r="F34" s="2433" t="s">
        <v>4254</v>
      </c>
      <c r="G34" s="2436">
        <f t="shared" si="0"/>
        <v>4952.7288000000008</v>
      </c>
    </row>
    <row r="35" spans="1:9" ht="87.4" hidden="1" customHeight="1">
      <c r="A35" s="2434">
        <v>21</v>
      </c>
      <c r="B35" s="2433" t="str">
        <f>[4]Estimate!B304</f>
        <v>Fixing tiles  Vitrified Tile 600x600mm in dadoos Skirting and rises of steps on 12mm thick cement plaster ( 1:3) jointed with neat cement slurry mixed with pigments to match the shade of the tiles including rubbing and polishing complete as per direction of Engineer-in-charge.</v>
      </c>
      <c r="C35" s="2438">
        <v>0</v>
      </c>
      <c r="D35" s="2435" t="str">
        <f>D29</f>
        <v>sqm</v>
      </c>
      <c r="E35" s="2437">
        <v>1459.46</v>
      </c>
      <c r="F35" s="2433" t="s">
        <v>4183</v>
      </c>
      <c r="G35" s="2436">
        <f t="shared" si="0"/>
        <v>0</v>
      </c>
    </row>
    <row r="36" spans="1:9" ht="97.35" customHeight="1">
      <c r="A36" s="2450">
        <v>23</v>
      </c>
      <c r="B36" s="2433" t="str">
        <f>'[9]EStimate Additional Class Room'!$B$425:$I$425</f>
        <v>Supplying, fitting and fixing of Stainless steel of 304 grade in hand railing using 50mm dia of 2mm thick circular pipe with Balustrade of size 50mm x 50mm x 2mm @ 0.90mtr. C/C and stainless Round pipe   as per approved design and specification, buffing, polishing etc with cost, conveyance, taxes of all materials, labour, T&amp;P etc. required for the complete in all respect. ( Ramp Railing)</v>
      </c>
      <c r="C36" s="2448">
        <v>10</v>
      </c>
      <c r="D36" s="2450" t="s">
        <v>4223</v>
      </c>
      <c r="E36" s="2437">
        <v>2775.54</v>
      </c>
      <c r="F36" s="2433" t="s">
        <v>4255</v>
      </c>
      <c r="G36" s="2436">
        <f t="shared" si="0"/>
        <v>27755.4</v>
      </c>
    </row>
    <row r="37" spans="1:9" ht="87" hidden="1" customHeight="1">
      <c r="A37" s="2434">
        <v>22</v>
      </c>
      <c r="B37" s="2433" t="str">
        <f>[4]Estimate!B319</f>
        <v>Fixing tiles in Dado,skirting &amp; rises of steps  on 12mm thick  cement plaster 1:3 jointed with neat cement slurry mixed with pigment to match the shades of the tiles including rubbing &amp; polishing using Ceramic Wall Tile ( 200 x 200 / 200 x 300 )mm ……etc  compl.</v>
      </c>
      <c r="C37" s="2438">
        <v>0</v>
      </c>
      <c r="D37" s="2435" t="str">
        <f>D35</f>
        <v>sqm</v>
      </c>
      <c r="E37" s="2437">
        <f>[4]Estimate!G325</f>
        <v>739.18</v>
      </c>
      <c r="F37" s="2433" t="str">
        <f>[11]BOQ!$F$34</f>
        <v>Rupees Seven hundred sixteen and fiftythree paise) Only</v>
      </c>
      <c r="G37" s="2436">
        <f t="shared" si="0"/>
        <v>0</v>
      </c>
    </row>
    <row r="38" spans="1:9" ht="65.25" hidden="1" customHeight="1">
      <c r="A38" s="2434">
        <v>26</v>
      </c>
      <c r="B38" s="2433" t="str">
        <f>[4]Estimate!B388</f>
        <v>Fixing water closet, squatting pan (Indian type W.C pan) Orissa Pattern 500x440mm conforming to IS: 2556:part-3-2004 duly embedded in C.C(1:4:8) using 40mm size metal all complete as per specification.</v>
      </c>
      <c r="C38" s="2438">
        <v>0</v>
      </c>
      <c r="D38" s="2435" t="str">
        <f>[4]Estimate!D389</f>
        <v>Nos</v>
      </c>
      <c r="E38" s="2437">
        <f>[4]Estimate!G389</f>
        <v>1880.8026869999994</v>
      </c>
      <c r="F38" s="2433" t="str">
        <f>[11]BOQ!$F$35</f>
        <v>Rupees One thousand eight hundred eighty and eighty  paise) Only</v>
      </c>
      <c r="G38" s="2436">
        <f t="shared" si="0"/>
        <v>0</v>
      </c>
    </row>
    <row r="39" spans="1:9" ht="65.25" hidden="1" customHeight="1">
      <c r="A39" s="2434">
        <v>27</v>
      </c>
      <c r="B39" s="2433" t="str">
        <f>[4]Estimate!B391</f>
        <v>Providing and Fixing of PVC  low level flushing cistern conforming to IS: 7231 with all fittings and fixtures complete.(White Colour)</v>
      </c>
      <c r="C39" s="2438">
        <v>0</v>
      </c>
      <c r="D39" s="2435" t="str">
        <f>[4]Estimate!D392</f>
        <v>Nos</v>
      </c>
      <c r="E39" s="2437">
        <f>[4]Estimate!G392</f>
        <v>1180.3775000000001</v>
      </c>
      <c r="F39" s="2433" t="str">
        <f>[11]BOQ!$F$36</f>
        <v>Rupees One thousand One hundred eighty and thirty eight paise) Only</v>
      </c>
      <c r="G39" s="2436">
        <f t="shared" si="0"/>
        <v>0</v>
      </c>
    </row>
    <row r="40" spans="1:9" ht="52.5" hidden="1" customHeight="1">
      <c r="A40" s="2434">
        <v>28</v>
      </c>
      <c r="B40" s="2433" t="str">
        <f>[4]Estimate!B393</f>
        <v>Fixing 100 mm size P or S trap for water closet squating pan including jointing the trap with pan in cement mortar (1:1) as per specification</v>
      </c>
      <c r="C40" s="2438">
        <v>0</v>
      </c>
      <c r="D40" s="2435" t="str">
        <f>[4]Estimate!D394</f>
        <v>Nos</v>
      </c>
      <c r="E40" s="2437">
        <f>[4]Estimate!G394</f>
        <v>299.69839018865576</v>
      </c>
      <c r="F40" s="2433" t="str">
        <f>[11]BOQ!$F$37</f>
        <v>Rupees  Two hundred ninty nine and Seventypaise) Only</v>
      </c>
      <c r="G40" s="2436">
        <f t="shared" si="0"/>
        <v>0</v>
      </c>
    </row>
    <row r="41" spans="1:9" ht="11.1" hidden="1" customHeight="1">
      <c r="A41" s="2434">
        <v>29</v>
      </c>
      <c r="B41" s="2362" t="str">
        <f>'[7]SWR Pipe&amp;Fittings'!$B$89:$H$89</f>
        <v>Providing and fixing on wall face PVC SWR moulded fittings / accessories for PVC SWR  pipes conforming to IS : 13592 Type A, including jointing with seal ring conforming to IS : 5382, leaving 10 mm gap for thermal expansion.110 mm pvc pipe</v>
      </c>
      <c r="C41" s="2440">
        <v>0</v>
      </c>
      <c r="D41" s="2362" t="str">
        <f>[4]Estimate!D398</f>
        <v>Nos</v>
      </c>
      <c r="E41" s="2440">
        <f>[4]Estimate!G398</f>
        <v>138.32461743136963</v>
      </c>
      <c r="F41" s="2362" t="str">
        <f>[11]BOQ!$F$38</f>
        <v>Rupees  One hundred thirty eight and thirty two paise) Only</v>
      </c>
      <c r="G41" s="2436">
        <f t="shared" si="0"/>
        <v>0</v>
      </c>
      <c r="H41" s="2363"/>
      <c r="I41" s="2363"/>
    </row>
    <row r="42" spans="1:9" ht="18.399999999999999" customHeight="1">
      <c r="F42" s="2442" t="s">
        <v>1532</v>
      </c>
      <c r="G42" s="2443">
        <v>1251306.98</v>
      </c>
    </row>
    <row r="43" spans="1:9" ht="15" hidden="1">
      <c r="F43" s="2442" t="s">
        <v>4171</v>
      </c>
      <c r="G43" s="2443">
        <f>ROUND(G42,0)</f>
        <v>1251307</v>
      </c>
    </row>
    <row r="44" spans="1:9" hidden="1">
      <c r="G44" s="2444"/>
    </row>
    <row r="45" spans="1:9" ht="32.65" customHeight="1">
      <c r="B45" s="2442"/>
      <c r="C45" s="2442"/>
      <c r="D45" s="3060" t="s">
        <v>4224</v>
      </c>
      <c r="E45" s="3060"/>
      <c r="F45" s="3060"/>
      <c r="G45" s="3060"/>
    </row>
    <row r="46" spans="1:9" ht="49.5" hidden="1" customHeight="1">
      <c r="B46" s="3061" t="s">
        <v>4172</v>
      </c>
      <c r="C46" s="3061"/>
      <c r="D46" s="3061"/>
      <c r="E46" s="3061"/>
      <c r="F46" s="3061"/>
      <c r="G46" s="3061"/>
    </row>
    <row r="47" spans="1:9" ht="21.95" customHeight="1">
      <c r="B47" s="2441" t="s">
        <v>4259</v>
      </c>
    </row>
    <row r="48" spans="1:9" ht="23.65" customHeight="1">
      <c r="B48" s="2441" t="s">
        <v>4173</v>
      </c>
    </row>
    <row r="49" spans="2:7" ht="22.35" customHeight="1"/>
    <row r="50" spans="2:7" ht="30.95" customHeight="1">
      <c r="B50" s="3061" t="s">
        <v>4174</v>
      </c>
      <c r="C50" s="3061"/>
      <c r="D50" s="3061"/>
      <c r="E50" s="3061"/>
      <c r="F50" s="3061"/>
      <c r="G50" s="3061"/>
    </row>
    <row r="51" spans="2:7" ht="19.350000000000001" customHeight="1"/>
    <row r="52" spans="2:7" ht="32.65" customHeight="1">
      <c r="B52" s="3061" t="s">
        <v>4175</v>
      </c>
      <c r="C52" s="3061"/>
      <c r="D52" s="3061"/>
      <c r="E52" s="3061"/>
      <c r="F52" s="3061"/>
      <c r="G52" s="3061"/>
    </row>
    <row r="53" spans="2:7">
      <c r="B53" s="2445"/>
      <c r="C53" s="2445"/>
      <c r="D53" s="2445"/>
      <c r="E53" s="2445"/>
      <c r="F53" s="2445"/>
      <c r="G53" s="2445"/>
    </row>
    <row r="54" spans="2:7" ht="47.1" customHeight="1">
      <c r="B54" s="3061" t="s">
        <v>4262</v>
      </c>
      <c r="C54" s="3061"/>
      <c r="D54" s="3061"/>
      <c r="E54" s="3061"/>
      <c r="F54" s="3061"/>
      <c r="G54" s="3061"/>
    </row>
    <row r="55" spans="2:7" ht="33" hidden="1" customHeight="1">
      <c r="B55" s="2445"/>
      <c r="C55" s="2445"/>
      <c r="D55" s="2445"/>
      <c r="E55" s="2445"/>
      <c r="F55" s="2445"/>
      <c r="G55" s="2445"/>
    </row>
    <row r="56" spans="2:7" s="2442" customFormat="1" ht="32.1" hidden="1" customHeight="1">
      <c r="B56" s="2447" t="s">
        <v>4263</v>
      </c>
      <c r="C56" s="3060" t="s">
        <v>4220</v>
      </c>
      <c r="D56" s="3060"/>
      <c r="E56" s="3060"/>
      <c r="F56" s="2447" t="s">
        <v>4192</v>
      </c>
      <c r="G56" s="2446"/>
    </row>
    <row r="57" spans="2:7" hidden="1"/>
    <row r="58" spans="2:7" hidden="1"/>
    <row r="59" spans="2:7" hidden="1"/>
    <row r="60" spans="2:7" ht="15" hidden="1">
      <c r="F60" s="2452" t="s">
        <v>4193</v>
      </c>
    </row>
    <row r="61" spans="2:7" ht="15" hidden="1">
      <c r="F61" s="2452" t="s">
        <v>4194</v>
      </c>
    </row>
    <row r="62" spans="2:7" ht="15">
      <c r="F62" s="2442"/>
    </row>
    <row r="63" spans="2:7" ht="15">
      <c r="F63" s="2442"/>
    </row>
    <row r="64" spans="2:7" ht="16.899999999999999" customHeight="1">
      <c r="B64" s="2441" t="s">
        <v>4197</v>
      </c>
    </row>
    <row r="65" spans="2:6" ht="16.899999999999999" customHeight="1">
      <c r="B65" s="2441" t="s">
        <v>4195</v>
      </c>
      <c r="F65" s="2441" t="s">
        <v>4196</v>
      </c>
    </row>
    <row r="66" spans="2:6" ht="16.899999999999999" customHeight="1"/>
    <row r="67" spans="2:6" ht="16.899999999999999" customHeight="1"/>
    <row r="68" spans="2:6" ht="16.899999999999999" customHeight="1"/>
    <row r="69" spans="2:6" ht="16.899999999999999" customHeight="1"/>
    <row r="70" spans="2:6" ht="16.899999999999999" customHeight="1"/>
    <row r="71" spans="2:6" ht="16.899999999999999" customHeight="1"/>
    <row r="72" spans="2:6" ht="16.899999999999999" customHeight="1"/>
    <row r="74" spans="2:6" ht="27" customHeight="1">
      <c r="B74" s="2441" t="s">
        <v>4219</v>
      </c>
      <c r="E74" s="3052" t="s">
        <v>4267</v>
      </c>
      <c r="F74" s="3052"/>
    </row>
  </sheetData>
  <mergeCells count="12">
    <mergeCell ref="E74:F74"/>
    <mergeCell ref="A1:G1"/>
    <mergeCell ref="A2:B2"/>
    <mergeCell ref="C2:G2"/>
    <mergeCell ref="C3:G3"/>
    <mergeCell ref="C4:G4"/>
    <mergeCell ref="D45:G45"/>
    <mergeCell ref="B46:G46"/>
    <mergeCell ref="B50:G50"/>
    <mergeCell ref="B52:G52"/>
    <mergeCell ref="B54:G54"/>
    <mergeCell ref="C56:E56"/>
  </mergeCells>
  <pageMargins left="0.35433070866141736" right="0.23622047244094491" top="0.15748031496062992" bottom="0.35433070866141736" header="0.31496062992125984" footer="0.15748031496062992"/>
  <pageSetup paperSize="9" scale="83" orientation="portrait" verticalDpi="4294967295" r:id="rId1"/>
  <rowBreaks count="2" manualBreakCount="2">
    <brk id="18" max="6" man="1"/>
    <brk id="30" max="6" man="1"/>
  </rowBreaks>
</worksheet>
</file>

<file path=xl/worksheets/sheet24.xml><?xml version="1.0" encoding="utf-8"?>
<worksheet xmlns="http://schemas.openxmlformats.org/spreadsheetml/2006/main" xmlns:r="http://schemas.openxmlformats.org/officeDocument/2006/relationships">
  <sheetPr>
    <tabColor rgb="FFFF0000"/>
  </sheetPr>
  <dimension ref="A1:J68"/>
  <sheetViews>
    <sheetView view="pageBreakPreview" topLeftCell="A56" zoomScaleSheetLayoutView="100" workbookViewId="0">
      <selection activeCell="I67" sqref="I67"/>
    </sheetView>
  </sheetViews>
  <sheetFormatPr defaultRowHeight="14.25"/>
  <cols>
    <col min="1" max="1" width="4.7109375" style="2441" customWidth="1"/>
    <col min="2" max="2" width="47.28515625" style="2441" customWidth="1"/>
    <col min="3" max="3" width="8.42578125" style="2441" customWidth="1"/>
    <col min="4" max="4" width="7.140625" style="2441" customWidth="1"/>
    <col min="5" max="5" width="10.42578125" style="2441" customWidth="1"/>
    <col min="6" max="6" width="21.5703125" style="2441" customWidth="1"/>
    <col min="7" max="7" width="16.5703125" style="2441" customWidth="1"/>
    <col min="8" max="9" width="9.28515625" style="2441"/>
    <col min="10" max="10" width="9.140625" style="2441" customWidth="1"/>
    <col min="11" max="256" width="9.28515625" style="2441"/>
    <col min="257" max="257" width="4.7109375" style="2441" customWidth="1"/>
    <col min="258" max="258" width="47.7109375" style="2441" customWidth="1"/>
    <col min="259" max="259" width="8.28515625" style="2441" customWidth="1"/>
    <col min="260" max="260" width="7" style="2441" customWidth="1"/>
    <col min="261" max="261" width="8.85546875" style="2441" customWidth="1"/>
    <col min="262" max="262" width="19.28515625" style="2441" customWidth="1"/>
    <col min="263" max="263" width="15" style="2441" customWidth="1"/>
    <col min="264" max="512" width="9.28515625" style="2441"/>
    <col min="513" max="513" width="4.7109375" style="2441" customWidth="1"/>
    <col min="514" max="514" width="47.7109375" style="2441" customWidth="1"/>
    <col min="515" max="515" width="8.28515625" style="2441" customWidth="1"/>
    <col min="516" max="516" width="7" style="2441" customWidth="1"/>
    <col min="517" max="517" width="8.85546875" style="2441" customWidth="1"/>
    <col min="518" max="518" width="19.28515625" style="2441" customWidth="1"/>
    <col min="519" max="519" width="15" style="2441" customWidth="1"/>
    <col min="520" max="768" width="9.28515625" style="2441"/>
    <col min="769" max="769" width="4.7109375" style="2441" customWidth="1"/>
    <col min="770" max="770" width="47.7109375" style="2441" customWidth="1"/>
    <col min="771" max="771" width="8.28515625" style="2441" customWidth="1"/>
    <col min="772" max="772" width="7" style="2441" customWidth="1"/>
    <col min="773" max="773" width="8.85546875" style="2441" customWidth="1"/>
    <col min="774" max="774" width="19.28515625" style="2441" customWidth="1"/>
    <col min="775" max="775" width="15" style="2441" customWidth="1"/>
    <col min="776" max="1024" width="9.28515625" style="2441"/>
    <col min="1025" max="1025" width="4.7109375" style="2441" customWidth="1"/>
    <col min="1026" max="1026" width="47.7109375" style="2441" customWidth="1"/>
    <col min="1027" max="1027" width="8.28515625" style="2441" customWidth="1"/>
    <col min="1028" max="1028" width="7" style="2441" customWidth="1"/>
    <col min="1029" max="1029" width="8.85546875" style="2441" customWidth="1"/>
    <col min="1030" max="1030" width="19.28515625" style="2441" customWidth="1"/>
    <col min="1031" max="1031" width="15" style="2441" customWidth="1"/>
    <col min="1032" max="1280" width="9.28515625" style="2441"/>
    <col min="1281" max="1281" width="4.7109375" style="2441" customWidth="1"/>
    <col min="1282" max="1282" width="47.7109375" style="2441" customWidth="1"/>
    <col min="1283" max="1283" width="8.28515625" style="2441" customWidth="1"/>
    <col min="1284" max="1284" width="7" style="2441" customWidth="1"/>
    <col min="1285" max="1285" width="8.85546875" style="2441" customWidth="1"/>
    <col min="1286" max="1286" width="19.28515625" style="2441" customWidth="1"/>
    <col min="1287" max="1287" width="15" style="2441" customWidth="1"/>
    <col min="1288" max="1536" width="9.28515625" style="2441"/>
    <col min="1537" max="1537" width="4.7109375" style="2441" customWidth="1"/>
    <col min="1538" max="1538" width="47.7109375" style="2441" customWidth="1"/>
    <col min="1539" max="1539" width="8.28515625" style="2441" customWidth="1"/>
    <col min="1540" max="1540" width="7" style="2441" customWidth="1"/>
    <col min="1541" max="1541" width="8.85546875" style="2441" customWidth="1"/>
    <col min="1542" max="1542" width="19.28515625" style="2441" customWidth="1"/>
    <col min="1543" max="1543" width="15" style="2441" customWidth="1"/>
    <col min="1544" max="1792" width="9.28515625" style="2441"/>
    <col min="1793" max="1793" width="4.7109375" style="2441" customWidth="1"/>
    <col min="1794" max="1794" width="47.7109375" style="2441" customWidth="1"/>
    <col min="1795" max="1795" width="8.28515625" style="2441" customWidth="1"/>
    <col min="1796" max="1796" width="7" style="2441" customWidth="1"/>
    <col min="1797" max="1797" width="8.85546875" style="2441" customWidth="1"/>
    <col min="1798" max="1798" width="19.28515625" style="2441" customWidth="1"/>
    <col min="1799" max="1799" width="15" style="2441" customWidth="1"/>
    <col min="1800" max="2048" width="9.28515625" style="2441"/>
    <col min="2049" max="2049" width="4.7109375" style="2441" customWidth="1"/>
    <col min="2050" max="2050" width="47.7109375" style="2441" customWidth="1"/>
    <col min="2051" max="2051" width="8.28515625" style="2441" customWidth="1"/>
    <col min="2052" max="2052" width="7" style="2441" customWidth="1"/>
    <col min="2053" max="2053" width="8.85546875" style="2441" customWidth="1"/>
    <col min="2054" max="2054" width="19.28515625" style="2441" customWidth="1"/>
    <col min="2055" max="2055" width="15" style="2441" customWidth="1"/>
    <col min="2056" max="2304" width="9.28515625" style="2441"/>
    <col min="2305" max="2305" width="4.7109375" style="2441" customWidth="1"/>
    <col min="2306" max="2306" width="47.7109375" style="2441" customWidth="1"/>
    <col min="2307" max="2307" width="8.28515625" style="2441" customWidth="1"/>
    <col min="2308" max="2308" width="7" style="2441" customWidth="1"/>
    <col min="2309" max="2309" width="8.85546875" style="2441" customWidth="1"/>
    <col min="2310" max="2310" width="19.28515625" style="2441" customWidth="1"/>
    <col min="2311" max="2311" width="15" style="2441" customWidth="1"/>
    <col min="2312" max="2560" width="9.28515625" style="2441"/>
    <col min="2561" max="2561" width="4.7109375" style="2441" customWidth="1"/>
    <col min="2562" max="2562" width="47.7109375" style="2441" customWidth="1"/>
    <col min="2563" max="2563" width="8.28515625" style="2441" customWidth="1"/>
    <col min="2564" max="2564" width="7" style="2441" customWidth="1"/>
    <col min="2565" max="2565" width="8.85546875" style="2441" customWidth="1"/>
    <col min="2566" max="2566" width="19.28515625" style="2441" customWidth="1"/>
    <col min="2567" max="2567" width="15" style="2441" customWidth="1"/>
    <col min="2568" max="2816" width="9.28515625" style="2441"/>
    <col min="2817" max="2817" width="4.7109375" style="2441" customWidth="1"/>
    <col min="2818" max="2818" width="47.7109375" style="2441" customWidth="1"/>
    <col min="2819" max="2819" width="8.28515625" style="2441" customWidth="1"/>
    <col min="2820" max="2820" width="7" style="2441" customWidth="1"/>
    <col min="2821" max="2821" width="8.85546875" style="2441" customWidth="1"/>
    <col min="2822" max="2822" width="19.28515625" style="2441" customWidth="1"/>
    <col min="2823" max="2823" width="15" style="2441" customWidth="1"/>
    <col min="2824" max="3072" width="9.28515625" style="2441"/>
    <col min="3073" max="3073" width="4.7109375" style="2441" customWidth="1"/>
    <col min="3074" max="3074" width="47.7109375" style="2441" customWidth="1"/>
    <col min="3075" max="3075" width="8.28515625" style="2441" customWidth="1"/>
    <col min="3076" max="3076" width="7" style="2441" customWidth="1"/>
    <col min="3077" max="3077" width="8.85546875" style="2441" customWidth="1"/>
    <col min="3078" max="3078" width="19.28515625" style="2441" customWidth="1"/>
    <col min="3079" max="3079" width="15" style="2441" customWidth="1"/>
    <col min="3080" max="3328" width="9.28515625" style="2441"/>
    <col min="3329" max="3329" width="4.7109375" style="2441" customWidth="1"/>
    <col min="3330" max="3330" width="47.7109375" style="2441" customWidth="1"/>
    <col min="3331" max="3331" width="8.28515625" style="2441" customWidth="1"/>
    <col min="3332" max="3332" width="7" style="2441" customWidth="1"/>
    <col min="3333" max="3333" width="8.85546875" style="2441" customWidth="1"/>
    <col min="3334" max="3334" width="19.28515625" style="2441" customWidth="1"/>
    <col min="3335" max="3335" width="15" style="2441" customWidth="1"/>
    <col min="3336" max="3584" width="9.28515625" style="2441"/>
    <col min="3585" max="3585" width="4.7109375" style="2441" customWidth="1"/>
    <col min="3586" max="3586" width="47.7109375" style="2441" customWidth="1"/>
    <col min="3587" max="3587" width="8.28515625" style="2441" customWidth="1"/>
    <col min="3588" max="3588" width="7" style="2441" customWidth="1"/>
    <col min="3589" max="3589" width="8.85546875" style="2441" customWidth="1"/>
    <col min="3590" max="3590" width="19.28515625" style="2441" customWidth="1"/>
    <col min="3591" max="3591" width="15" style="2441" customWidth="1"/>
    <col min="3592" max="3840" width="9.28515625" style="2441"/>
    <col min="3841" max="3841" width="4.7109375" style="2441" customWidth="1"/>
    <col min="3842" max="3842" width="47.7109375" style="2441" customWidth="1"/>
    <col min="3843" max="3843" width="8.28515625" style="2441" customWidth="1"/>
    <col min="3844" max="3844" width="7" style="2441" customWidth="1"/>
    <col min="3845" max="3845" width="8.85546875" style="2441" customWidth="1"/>
    <col min="3846" max="3846" width="19.28515625" style="2441" customWidth="1"/>
    <col min="3847" max="3847" width="15" style="2441" customWidth="1"/>
    <col min="3848" max="4096" width="9.28515625" style="2441"/>
    <col min="4097" max="4097" width="4.7109375" style="2441" customWidth="1"/>
    <col min="4098" max="4098" width="47.7109375" style="2441" customWidth="1"/>
    <col min="4099" max="4099" width="8.28515625" style="2441" customWidth="1"/>
    <col min="4100" max="4100" width="7" style="2441" customWidth="1"/>
    <col min="4101" max="4101" width="8.85546875" style="2441" customWidth="1"/>
    <col min="4102" max="4102" width="19.28515625" style="2441" customWidth="1"/>
    <col min="4103" max="4103" width="15" style="2441" customWidth="1"/>
    <col min="4104" max="4352" width="9.28515625" style="2441"/>
    <col min="4353" max="4353" width="4.7109375" style="2441" customWidth="1"/>
    <col min="4354" max="4354" width="47.7109375" style="2441" customWidth="1"/>
    <col min="4355" max="4355" width="8.28515625" style="2441" customWidth="1"/>
    <col min="4356" max="4356" width="7" style="2441" customWidth="1"/>
    <col min="4357" max="4357" width="8.85546875" style="2441" customWidth="1"/>
    <col min="4358" max="4358" width="19.28515625" style="2441" customWidth="1"/>
    <col min="4359" max="4359" width="15" style="2441" customWidth="1"/>
    <col min="4360" max="4608" width="9.28515625" style="2441"/>
    <col min="4609" max="4609" width="4.7109375" style="2441" customWidth="1"/>
    <col min="4610" max="4610" width="47.7109375" style="2441" customWidth="1"/>
    <col min="4611" max="4611" width="8.28515625" style="2441" customWidth="1"/>
    <col min="4612" max="4612" width="7" style="2441" customWidth="1"/>
    <col min="4613" max="4613" width="8.85546875" style="2441" customWidth="1"/>
    <col min="4614" max="4614" width="19.28515625" style="2441" customWidth="1"/>
    <col min="4615" max="4615" width="15" style="2441" customWidth="1"/>
    <col min="4616" max="4864" width="9.28515625" style="2441"/>
    <col min="4865" max="4865" width="4.7109375" style="2441" customWidth="1"/>
    <col min="4866" max="4866" width="47.7109375" style="2441" customWidth="1"/>
    <col min="4867" max="4867" width="8.28515625" style="2441" customWidth="1"/>
    <col min="4868" max="4868" width="7" style="2441" customWidth="1"/>
    <col min="4869" max="4869" width="8.85546875" style="2441" customWidth="1"/>
    <col min="4870" max="4870" width="19.28515625" style="2441" customWidth="1"/>
    <col min="4871" max="4871" width="15" style="2441" customWidth="1"/>
    <col min="4872" max="5120" width="9.28515625" style="2441"/>
    <col min="5121" max="5121" width="4.7109375" style="2441" customWidth="1"/>
    <col min="5122" max="5122" width="47.7109375" style="2441" customWidth="1"/>
    <col min="5123" max="5123" width="8.28515625" style="2441" customWidth="1"/>
    <col min="5124" max="5124" width="7" style="2441" customWidth="1"/>
    <col min="5125" max="5125" width="8.85546875" style="2441" customWidth="1"/>
    <col min="5126" max="5126" width="19.28515625" style="2441" customWidth="1"/>
    <col min="5127" max="5127" width="15" style="2441" customWidth="1"/>
    <col min="5128" max="5376" width="9.28515625" style="2441"/>
    <col min="5377" max="5377" width="4.7109375" style="2441" customWidth="1"/>
    <col min="5378" max="5378" width="47.7109375" style="2441" customWidth="1"/>
    <col min="5379" max="5379" width="8.28515625" style="2441" customWidth="1"/>
    <col min="5380" max="5380" width="7" style="2441" customWidth="1"/>
    <col min="5381" max="5381" width="8.85546875" style="2441" customWidth="1"/>
    <col min="5382" max="5382" width="19.28515625" style="2441" customWidth="1"/>
    <col min="5383" max="5383" width="15" style="2441" customWidth="1"/>
    <col min="5384" max="5632" width="9.28515625" style="2441"/>
    <col min="5633" max="5633" width="4.7109375" style="2441" customWidth="1"/>
    <col min="5634" max="5634" width="47.7109375" style="2441" customWidth="1"/>
    <col min="5635" max="5635" width="8.28515625" style="2441" customWidth="1"/>
    <col min="5636" max="5636" width="7" style="2441" customWidth="1"/>
    <col min="5637" max="5637" width="8.85546875" style="2441" customWidth="1"/>
    <col min="5638" max="5638" width="19.28515625" style="2441" customWidth="1"/>
    <col min="5639" max="5639" width="15" style="2441" customWidth="1"/>
    <col min="5640" max="5888" width="9.28515625" style="2441"/>
    <col min="5889" max="5889" width="4.7109375" style="2441" customWidth="1"/>
    <col min="5890" max="5890" width="47.7109375" style="2441" customWidth="1"/>
    <col min="5891" max="5891" width="8.28515625" style="2441" customWidth="1"/>
    <col min="5892" max="5892" width="7" style="2441" customWidth="1"/>
    <col min="5893" max="5893" width="8.85546875" style="2441" customWidth="1"/>
    <col min="5894" max="5894" width="19.28515625" style="2441" customWidth="1"/>
    <col min="5895" max="5895" width="15" style="2441" customWidth="1"/>
    <col min="5896" max="6144" width="9.28515625" style="2441"/>
    <col min="6145" max="6145" width="4.7109375" style="2441" customWidth="1"/>
    <col min="6146" max="6146" width="47.7109375" style="2441" customWidth="1"/>
    <col min="6147" max="6147" width="8.28515625" style="2441" customWidth="1"/>
    <col min="6148" max="6148" width="7" style="2441" customWidth="1"/>
    <col min="6149" max="6149" width="8.85546875" style="2441" customWidth="1"/>
    <col min="6150" max="6150" width="19.28515625" style="2441" customWidth="1"/>
    <col min="6151" max="6151" width="15" style="2441" customWidth="1"/>
    <col min="6152" max="6400" width="9.28515625" style="2441"/>
    <col min="6401" max="6401" width="4.7109375" style="2441" customWidth="1"/>
    <col min="6402" max="6402" width="47.7109375" style="2441" customWidth="1"/>
    <col min="6403" max="6403" width="8.28515625" style="2441" customWidth="1"/>
    <col min="6404" max="6404" width="7" style="2441" customWidth="1"/>
    <col min="6405" max="6405" width="8.85546875" style="2441" customWidth="1"/>
    <col min="6406" max="6406" width="19.28515625" style="2441" customWidth="1"/>
    <col min="6407" max="6407" width="15" style="2441" customWidth="1"/>
    <col min="6408" max="6656" width="9.28515625" style="2441"/>
    <col min="6657" max="6657" width="4.7109375" style="2441" customWidth="1"/>
    <col min="6658" max="6658" width="47.7109375" style="2441" customWidth="1"/>
    <col min="6659" max="6659" width="8.28515625" style="2441" customWidth="1"/>
    <col min="6660" max="6660" width="7" style="2441" customWidth="1"/>
    <col min="6661" max="6661" width="8.85546875" style="2441" customWidth="1"/>
    <col min="6662" max="6662" width="19.28515625" style="2441" customWidth="1"/>
    <col min="6663" max="6663" width="15" style="2441" customWidth="1"/>
    <col min="6664" max="6912" width="9.28515625" style="2441"/>
    <col min="6913" max="6913" width="4.7109375" style="2441" customWidth="1"/>
    <col min="6914" max="6914" width="47.7109375" style="2441" customWidth="1"/>
    <col min="6915" max="6915" width="8.28515625" style="2441" customWidth="1"/>
    <col min="6916" max="6916" width="7" style="2441" customWidth="1"/>
    <col min="6917" max="6917" width="8.85546875" style="2441" customWidth="1"/>
    <col min="6918" max="6918" width="19.28515625" style="2441" customWidth="1"/>
    <col min="6919" max="6919" width="15" style="2441" customWidth="1"/>
    <col min="6920" max="7168" width="9.28515625" style="2441"/>
    <col min="7169" max="7169" width="4.7109375" style="2441" customWidth="1"/>
    <col min="7170" max="7170" width="47.7109375" style="2441" customWidth="1"/>
    <col min="7171" max="7171" width="8.28515625" style="2441" customWidth="1"/>
    <col min="7172" max="7172" width="7" style="2441" customWidth="1"/>
    <col min="7173" max="7173" width="8.85546875" style="2441" customWidth="1"/>
    <col min="7174" max="7174" width="19.28515625" style="2441" customWidth="1"/>
    <col min="7175" max="7175" width="15" style="2441" customWidth="1"/>
    <col min="7176" max="7424" width="9.28515625" style="2441"/>
    <col min="7425" max="7425" width="4.7109375" style="2441" customWidth="1"/>
    <col min="7426" max="7426" width="47.7109375" style="2441" customWidth="1"/>
    <col min="7427" max="7427" width="8.28515625" style="2441" customWidth="1"/>
    <col min="7428" max="7428" width="7" style="2441" customWidth="1"/>
    <col min="7429" max="7429" width="8.85546875" style="2441" customWidth="1"/>
    <col min="7430" max="7430" width="19.28515625" style="2441" customWidth="1"/>
    <col min="7431" max="7431" width="15" style="2441" customWidth="1"/>
    <col min="7432" max="7680" width="9.28515625" style="2441"/>
    <col min="7681" max="7681" width="4.7109375" style="2441" customWidth="1"/>
    <col min="7682" max="7682" width="47.7109375" style="2441" customWidth="1"/>
    <col min="7683" max="7683" width="8.28515625" style="2441" customWidth="1"/>
    <col min="7684" max="7684" width="7" style="2441" customWidth="1"/>
    <col min="7685" max="7685" width="8.85546875" style="2441" customWidth="1"/>
    <col min="7686" max="7686" width="19.28515625" style="2441" customWidth="1"/>
    <col min="7687" max="7687" width="15" style="2441" customWidth="1"/>
    <col min="7688" max="7936" width="9.28515625" style="2441"/>
    <col min="7937" max="7937" width="4.7109375" style="2441" customWidth="1"/>
    <col min="7938" max="7938" width="47.7109375" style="2441" customWidth="1"/>
    <col min="7939" max="7939" width="8.28515625" style="2441" customWidth="1"/>
    <col min="7940" max="7940" width="7" style="2441" customWidth="1"/>
    <col min="7941" max="7941" width="8.85546875" style="2441" customWidth="1"/>
    <col min="7942" max="7942" width="19.28515625" style="2441" customWidth="1"/>
    <col min="7943" max="7943" width="15" style="2441" customWidth="1"/>
    <col min="7944" max="8192" width="9.28515625" style="2441"/>
    <col min="8193" max="8193" width="4.7109375" style="2441" customWidth="1"/>
    <col min="8194" max="8194" width="47.7109375" style="2441" customWidth="1"/>
    <col min="8195" max="8195" width="8.28515625" style="2441" customWidth="1"/>
    <col min="8196" max="8196" width="7" style="2441" customWidth="1"/>
    <col min="8197" max="8197" width="8.85546875" style="2441" customWidth="1"/>
    <col min="8198" max="8198" width="19.28515625" style="2441" customWidth="1"/>
    <col min="8199" max="8199" width="15" style="2441" customWidth="1"/>
    <col min="8200" max="8448" width="9.28515625" style="2441"/>
    <col min="8449" max="8449" width="4.7109375" style="2441" customWidth="1"/>
    <col min="8450" max="8450" width="47.7109375" style="2441" customWidth="1"/>
    <col min="8451" max="8451" width="8.28515625" style="2441" customWidth="1"/>
    <col min="8452" max="8452" width="7" style="2441" customWidth="1"/>
    <col min="8453" max="8453" width="8.85546875" style="2441" customWidth="1"/>
    <col min="8454" max="8454" width="19.28515625" style="2441" customWidth="1"/>
    <col min="8455" max="8455" width="15" style="2441" customWidth="1"/>
    <col min="8456" max="8704" width="9.28515625" style="2441"/>
    <col min="8705" max="8705" width="4.7109375" style="2441" customWidth="1"/>
    <col min="8706" max="8706" width="47.7109375" style="2441" customWidth="1"/>
    <col min="8707" max="8707" width="8.28515625" style="2441" customWidth="1"/>
    <col min="8708" max="8708" width="7" style="2441" customWidth="1"/>
    <col min="8709" max="8709" width="8.85546875" style="2441" customWidth="1"/>
    <col min="8710" max="8710" width="19.28515625" style="2441" customWidth="1"/>
    <col min="8711" max="8711" width="15" style="2441" customWidth="1"/>
    <col min="8712" max="8960" width="9.28515625" style="2441"/>
    <col min="8961" max="8961" width="4.7109375" style="2441" customWidth="1"/>
    <col min="8962" max="8962" width="47.7109375" style="2441" customWidth="1"/>
    <col min="8963" max="8963" width="8.28515625" style="2441" customWidth="1"/>
    <col min="8964" max="8964" width="7" style="2441" customWidth="1"/>
    <col min="8965" max="8965" width="8.85546875" style="2441" customWidth="1"/>
    <col min="8966" max="8966" width="19.28515625" style="2441" customWidth="1"/>
    <col min="8967" max="8967" width="15" style="2441" customWidth="1"/>
    <col min="8968" max="9216" width="9.28515625" style="2441"/>
    <col min="9217" max="9217" width="4.7109375" style="2441" customWidth="1"/>
    <col min="9218" max="9218" width="47.7109375" style="2441" customWidth="1"/>
    <col min="9219" max="9219" width="8.28515625" style="2441" customWidth="1"/>
    <col min="9220" max="9220" width="7" style="2441" customWidth="1"/>
    <col min="9221" max="9221" width="8.85546875" style="2441" customWidth="1"/>
    <col min="9222" max="9222" width="19.28515625" style="2441" customWidth="1"/>
    <col min="9223" max="9223" width="15" style="2441" customWidth="1"/>
    <col min="9224" max="9472" width="9.28515625" style="2441"/>
    <col min="9473" max="9473" width="4.7109375" style="2441" customWidth="1"/>
    <col min="9474" max="9474" width="47.7109375" style="2441" customWidth="1"/>
    <col min="9475" max="9475" width="8.28515625" style="2441" customWidth="1"/>
    <col min="9476" max="9476" width="7" style="2441" customWidth="1"/>
    <col min="9477" max="9477" width="8.85546875" style="2441" customWidth="1"/>
    <col min="9478" max="9478" width="19.28515625" style="2441" customWidth="1"/>
    <col min="9479" max="9479" width="15" style="2441" customWidth="1"/>
    <col min="9480" max="9728" width="9.28515625" style="2441"/>
    <col min="9729" max="9729" width="4.7109375" style="2441" customWidth="1"/>
    <col min="9730" max="9730" width="47.7109375" style="2441" customWidth="1"/>
    <col min="9731" max="9731" width="8.28515625" style="2441" customWidth="1"/>
    <col min="9732" max="9732" width="7" style="2441" customWidth="1"/>
    <col min="9733" max="9733" width="8.85546875" style="2441" customWidth="1"/>
    <col min="9734" max="9734" width="19.28515625" style="2441" customWidth="1"/>
    <col min="9735" max="9735" width="15" style="2441" customWidth="1"/>
    <col min="9736" max="9984" width="9.28515625" style="2441"/>
    <col min="9985" max="9985" width="4.7109375" style="2441" customWidth="1"/>
    <col min="9986" max="9986" width="47.7109375" style="2441" customWidth="1"/>
    <col min="9987" max="9987" width="8.28515625" style="2441" customWidth="1"/>
    <col min="9988" max="9988" width="7" style="2441" customWidth="1"/>
    <col min="9989" max="9989" width="8.85546875" style="2441" customWidth="1"/>
    <col min="9990" max="9990" width="19.28515625" style="2441" customWidth="1"/>
    <col min="9991" max="9991" width="15" style="2441" customWidth="1"/>
    <col min="9992" max="10240" width="9.28515625" style="2441"/>
    <col min="10241" max="10241" width="4.7109375" style="2441" customWidth="1"/>
    <col min="10242" max="10242" width="47.7109375" style="2441" customWidth="1"/>
    <col min="10243" max="10243" width="8.28515625" style="2441" customWidth="1"/>
    <col min="10244" max="10244" width="7" style="2441" customWidth="1"/>
    <col min="10245" max="10245" width="8.85546875" style="2441" customWidth="1"/>
    <col min="10246" max="10246" width="19.28515625" style="2441" customWidth="1"/>
    <col min="10247" max="10247" width="15" style="2441" customWidth="1"/>
    <col min="10248" max="10496" width="9.28515625" style="2441"/>
    <col min="10497" max="10497" width="4.7109375" style="2441" customWidth="1"/>
    <col min="10498" max="10498" width="47.7109375" style="2441" customWidth="1"/>
    <col min="10499" max="10499" width="8.28515625" style="2441" customWidth="1"/>
    <col min="10500" max="10500" width="7" style="2441" customWidth="1"/>
    <col min="10501" max="10501" width="8.85546875" style="2441" customWidth="1"/>
    <col min="10502" max="10502" width="19.28515625" style="2441" customWidth="1"/>
    <col min="10503" max="10503" width="15" style="2441" customWidth="1"/>
    <col min="10504" max="10752" width="9.28515625" style="2441"/>
    <col min="10753" max="10753" width="4.7109375" style="2441" customWidth="1"/>
    <col min="10754" max="10754" width="47.7109375" style="2441" customWidth="1"/>
    <col min="10755" max="10755" width="8.28515625" style="2441" customWidth="1"/>
    <col min="10756" max="10756" width="7" style="2441" customWidth="1"/>
    <col min="10757" max="10757" width="8.85546875" style="2441" customWidth="1"/>
    <col min="10758" max="10758" width="19.28515625" style="2441" customWidth="1"/>
    <col min="10759" max="10759" width="15" style="2441" customWidth="1"/>
    <col min="10760" max="11008" width="9.28515625" style="2441"/>
    <col min="11009" max="11009" width="4.7109375" style="2441" customWidth="1"/>
    <col min="11010" max="11010" width="47.7109375" style="2441" customWidth="1"/>
    <col min="11011" max="11011" width="8.28515625" style="2441" customWidth="1"/>
    <col min="11012" max="11012" width="7" style="2441" customWidth="1"/>
    <col min="11013" max="11013" width="8.85546875" style="2441" customWidth="1"/>
    <col min="11014" max="11014" width="19.28515625" style="2441" customWidth="1"/>
    <col min="11015" max="11015" width="15" style="2441" customWidth="1"/>
    <col min="11016" max="11264" width="9.28515625" style="2441"/>
    <col min="11265" max="11265" width="4.7109375" style="2441" customWidth="1"/>
    <col min="11266" max="11266" width="47.7109375" style="2441" customWidth="1"/>
    <col min="11267" max="11267" width="8.28515625" style="2441" customWidth="1"/>
    <col min="11268" max="11268" width="7" style="2441" customWidth="1"/>
    <col min="11269" max="11269" width="8.85546875" style="2441" customWidth="1"/>
    <col min="11270" max="11270" width="19.28515625" style="2441" customWidth="1"/>
    <col min="11271" max="11271" width="15" style="2441" customWidth="1"/>
    <col min="11272" max="11520" width="9.28515625" style="2441"/>
    <col min="11521" max="11521" width="4.7109375" style="2441" customWidth="1"/>
    <col min="11522" max="11522" width="47.7109375" style="2441" customWidth="1"/>
    <col min="11523" max="11523" width="8.28515625" style="2441" customWidth="1"/>
    <col min="11524" max="11524" width="7" style="2441" customWidth="1"/>
    <col min="11525" max="11525" width="8.85546875" style="2441" customWidth="1"/>
    <col min="11526" max="11526" width="19.28515625" style="2441" customWidth="1"/>
    <col min="11527" max="11527" width="15" style="2441" customWidth="1"/>
    <col min="11528" max="11776" width="9.28515625" style="2441"/>
    <col min="11777" max="11777" width="4.7109375" style="2441" customWidth="1"/>
    <col min="11778" max="11778" width="47.7109375" style="2441" customWidth="1"/>
    <col min="11779" max="11779" width="8.28515625" style="2441" customWidth="1"/>
    <col min="11780" max="11780" width="7" style="2441" customWidth="1"/>
    <col min="11781" max="11781" width="8.85546875" style="2441" customWidth="1"/>
    <col min="11782" max="11782" width="19.28515625" style="2441" customWidth="1"/>
    <col min="11783" max="11783" width="15" style="2441" customWidth="1"/>
    <col min="11784" max="12032" width="9.28515625" style="2441"/>
    <col min="12033" max="12033" width="4.7109375" style="2441" customWidth="1"/>
    <col min="12034" max="12034" width="47.7109375" style="2441" customWidth="1"/>
    <col min="12035" max="12035" width="8.28515625" style="2441" customWidth="1"/>
    <col min="12036" max="12036" width="7" style="2441" customWidth="1"/>
    <col min="12037" max="12037" width="8.85546875" style="2441" customWidth="1"/>
    <col min="12038" max="12038" width="19.28515625" style="2441" customWidth="1"/>
    <col min="12039" max="12039" width="15" style="2441" customWidth="1"/>
    <col min="12040" max="12288" width="9.28515625" style="2441"/>
    <col min="12289" max="12289" width="4.7109375" style="2441" customWidth="1"/>
    <col min="12290" max="12290" width="47.7109375" style="2441" customWidth="1"/>
    <col min="12291" max="12291" width="8.28515625" style="2441" customWidth="1"/>
    <col min="12292" max="12292" width="7" style="2441" customWidth="1"/>
    <col min="12293" max="12293" width="8.85546875" style="2441" customWidth="1"/>
    <col min="12294" max="12294" width="19.28515625" style="2441" customWidth="1"/>
    <col min="12295" max="12295" width="15" style="2441" customWidth="1"/>
    <col min="12296" max="12544" width="9.28515625" style="2441"/>
    <col min="12545" max="12545" width="4.7109375" style="2441" customWidth="1"/>
    <col min="12546" max="12546" width="47.7109375" style="2441" customWidth="1"/>
    <col min="12547" max="12547" width="8.28515625" style="2441" customWidth="1"/>
    <col min="12548" max="12548" width="7" style="2441" customWidth="1"/>
    <col min="12549" max="12549" width="8.85546875" style="2441" customWidth="1"/>
    <col min="12550" max="12550" width="19.28515625" style="2441" customWidth="1"/>
    <col min="12551" max="12551" width="15" style="2441" customWidth="1"/>
    <col min="12552" max="12800" width="9.28515625" style="2441"/>
    <col min="12801" max="12801" width="4.7109375" style="2441" customWidth="1"/>
    <col min="12802" max="12802" width="47.7109375" style="2441" customWidth="1"/>
    <col min="12803" max="12803" width="8.28515625" style="2441" customWidth="1"/>
    <col min="12804" max="12804" width="7" style="2441" customWidth="1"/>
    <col min="12805" max="12805" width="8.85546875" style="2441" customWidth="1"/>
    <col min="12806" max="12806" width="19.28515625" style="2441" customWidth="1"/>
    <col min="12807" max="12807" width="15" style="2441" customWidth="1"/>
    <col min="12808" max="13056" width="9.28515625" style="2441"/>
    <col min="13057" max="13057" width="4.7109375" style="2441" customWidth="1"/>
    <col min="13058" max="13058" width="47.7109375" style="2441" customWidth="1"/>
    <col min="13059" max="13059" width="8.28515625" style="2441" customWidth="1"/>
    <col min="13060" max="13060" width="7" style="2441" customWidth="1"/>
    <col min="13061" max="13061" width="8.85546875" style="2441" customWidth="1"/>
    <col min="13062" max="13062" width="19.28515625" style="2441" customWidth="1"/>
    <col min="13063" max="13063" width="15" style="2441" customWidth="1"/>
    <col min="13064" max="13312" width="9.28515625" style="2441"/>
    <col min="13313" max="13313" width="4.7109375" style="2441" customWidth="1"/>
    <col min="13314" max="13314" width="47.7109375" style="2441" customWidth="1"/>
    <col min="13315" max="13315" width="8.28515625" style="2441" customWidth="1"/>
    <col min="13316" max="13316" width="7" style="2441" customWidth="1"/>
    <col min="13317" max="13317" width="8.85546875" style="2441" customWidth="1"/>
    <col min="13318" max="13318" width="19.28515625" style="2441" customWidth="1"/>
    <col min="13319" max="13319" width="15" style="2441" customWidth="1"/>
    <col min="13320" max="13568" width="9.28515625" style="2441"/>
    <col min="13569" max="13569" width="4.7109375" style="2441" customWidth="1"/>
    <col min="13570" max="13570" width="47.7109375" style="2441" customWidth="1"/>
    <col min="13571" max="13571" width="8.28515625" style="2441" customWidth="1"/>
    <col min="13572" max="13572" width="7" style="2441" customWidth="1"/>
    <col min="13573" max="13573" width="8.85546875" style="2441" customWidth="1"/>
    <col min="13574" max="13574" width="19.28515625" style="2441" customWidth="1"/>
    <col min="13575" max="13575" width="15" style="2441" customWidth="1"/>
    <col min="13576" max="13824" width="9.28515625" style="2441"/>
    <col min="13825" max="13825" width="4.7109375" style="2441" customWidth="1"/>
    <col min="13826" max="13826" width="47.7109375" style="2441" customWidth="1"/>
    <col min="13827" max="13827" width="8.28515625" style="2441" customWidth="1"/>
    <col min="13828" max="13828" width="7" style="2441" customWidth="1"/>
    <col min="13829" max="13829" width="8.85546875" style="2441" customWidth="1"/>
    <col min="13830" max="13830" width="19.28515625" style="2441" customWidth="1"/>
    <col min="13831" max="13831" width="15" style="2441" customWidth="1"/>
    <col min="13832" max="14080" width="9.28515625" style="2441"/>
    <col min="14081" max="14081" width="4.7109375" style="2441" customWidth="1"/>
    <col min="14082" max="14082" width="47.7109375" style="2441" customWidth="1"/>
    <col min="14083" max="14083" width="8.28515625" style="2441" customWidth="1"/>
    <col min="14084" max="14084" width="7" style="2441" customWidth="1"/>
    <col min="14085" max="14085" width="8.85546875" style="2441" customWidth="1"/>
    <col min="14086" max="14086" width="19.28515625" style="2441" customWidth="1"/>
    <col min="14087" max="14087" width="15" style="2441" customWidth="1"/>
    <col min="14088" max="14336" width="9.28515625" style="2441"/>
    <col min="14337" max="14337" width="4.7109375" style="2441" customWidth="1"/>
    <col min="14338" max="14338" width="47.7109375" style="2441" customWidth="1"/>
    <col min="14339" max="14339" width="8.28515625" style="2441" customWidth="1"/>
    <col min="14340" max="14340" width="7" style="2441" customWidth="1"/>
    <col min="14341" max="14341" width="8.85546875" style="2441" customWidth="1"/>
    <col min="14342" max="14342" width="19.28515625" style="2441" customWidth="1"/>
    <col min="14343" max="14343" width="15" style="2441" customWidth="1"/>
    <col min="14344" max="14592" width="9.28515625" style="2441"/>
    <col min="14593" max="14593" width="4.7109375" style="2441" customWidth="1"/>
    <col min="14594" max="14594" width="47.7109375" style="2441" customWidth="1"/>
    <col min="14595" max="14595" width="8.28515625" style="2441" customWidth="1"/>
    <col min="14596" max="14596" width="7" style="2441" customWidth="1"/>
    <col min="14597" max="14597" width="8.85546875" style="2441" customWidth="1"/>
    <col min="14598" max="14598" width="19.28515625" style="2441" customWidth="1"/>
    <col min="14599" max="14599" width="15" style="2441" customWidth="1"/>
    <col min="14600" max="14848" width="9.28515625" style="2441"/>
    <col min="14849" max="14849" width="4.7109375" style="2441" customWidth="1"/>
    <col min="14850" max="14850" width="47.7109375" style="2441" customWidth="1"/>
    <col min="14851" max="14851" width="8.28515625" style="2441" customWidth="1"/>
    <col min="14852" max="14852" width="7" style="2441" customWidth="1"/>
    <col min="14853" max="14853" width="8.85546875" style="2441" customWidth="1"/>
    <col min="14854" max="14854" width="19.28515625" style="2441" customWidth="1"/>
    <col min="14855" max="14855" width="15" style="2441" customWidth="1"/>
    <col min="14856" max="15104" width="9.28515625" style="2441"/>
    <col min="15105" max="15105" width="4.7109375" style="2441" customWidth="1"/>
    <col min="15106" max="15106" width="47.7109375" style="2441" customWidth="1"/>
    <col min="15107" max="15107" width="8.28515625" style="2441" customWidth="1"/>
    <col min="15108" max="15108" width="7" style="2441" customWidth="1"/>
    <col min="15109" max="15109" width="8.85546875" style="2441" customWidth="1"/>
    <col min="15110" max="15110" width="19.28515625" style="2441" customWidth="1"/>
    <col min="15111" max="15111" width="15" style="2441" customWidth="1"/>
    <col min="15112" max="15360" width="9.28515625" style="2441"/>
    <col min="15361" max="15361" width="4.7109375" style="2441" customWidth="1"/>
    <col min="15362" max="15362" width="47.7109375" style="2441" customWidth="1"/>
    <col min="15363" max="15363" width="8.28515625" style="2441" customWidth="1"/>
    <col min="15364" max="15364" width="7" style="2441" customWidth="1"/>
    <col min="15365" max="15365" width="8.85546875" style="2441" customWidth="1"/>
    <col min="15366" max="15366" width="19.28515625" style="2441" customWidth="1"/>
    <col min="15367" max="15367" width="15" style="2441" customWidth="1"/>
    <col min="15368" max="15616" width="9.28515625" style="2441"/>
    <col min="15617" max="15617" width="4.7109375" style="2441" customWidth="1"/>
    <col min="15618" max="15618" width="47.7109375" style="2441" customWidth="1"/>
    <col min="15619" max="15619" width="8.28515625" style="2441" customWidth="1"/>
    <col min="15620" max="15620" width="7" style="2441" customWidth="1"/>
    <col min="15621" max="15621" width="8.85546875" style="2441" customWidth="1"/>
    <col min="15622" max="15622" width="19.28515625" style="2441" customWidth="1"/>
    <col min="15623" max="15623" width="15" style="2441" customWidth="1"/>
    <col min="15624" max="15872" width="9.28515625" style="2441"/>
    <col min="15873" max="15873" width="4.7109375" style="2441" customWidth="1"/>
    <col min="15874" max="15874" width="47.7109375" style="2441" customWidth="1"/>
    <col min="15875" max="15875" width="8.28515625" style="2441" customWidth="1"/>
    <col min="15876" max="15876" width="7" style="2441" customWidth="1"/>
    <col min="15877" max="15877" width="8.85546875" style="2441" customWidth="1"/>
    <col min="15878" max="15878" width="19.28515625" style="2441" customWidth="1"/>
    <col min="15879" max="15879" width="15" style="2441" customWidth="1"/>
    <col min="15880" max="16128" width="9.28515625" style="2441"/>
    <col min="16129" max="16129" width="4.7109375" style="2441" customWidth="1"/>
    <col min="16130" max="16130" width="47.7109375" style="2441" customWidth="1"/>
    <col min="16131" max="16131" width="8.28515625" style="2441" customWidth="1"/>
    <col min="16132" max="16132" width="7" style="2441" customWidth="1"/>
    <col min="16133" max="16133" width="8.85546875" style="2441" customWidth="1"/>
    <col min="16134" max="16134" width="19.28515625" style="2441" customWidth="1"/>
    <col min="16135" max="16135" width="15" style="2441" customWidth="1"/>
    <col min="16136" max="16384" width="9.28515625" style="2441"/>
  </cols>
  <sheetData>
    <row r="1" spans="1:7" s="2432" customFormat="1" ht="28.35" customHeight="1">
      <c r="A1" s="3053" t="s">
        <v>4221</v>
      </c>
      <c r="B1" s="3053"/>
      <c r="C1" s="3053"/>
      <c r="D1" s="3053"/>
      <c r="E1" s="3053"/>
      <c r="F1" s="3053"/>
      <c r="G1" s="3053"/>
    </row>
    <row r="2" spans="1:7" s="2432" customFormat="1" ht="28.35" customHeight="1">
      <c r="A2" s="3054" t="s">
        <v>4151</v>
      </c>
      <c r="B2" s="3055"/>
      <c r="C2" s="3056">
        <f>G42</f>
        <v>1251306.98</v>
      </c>
      <c r="D2" s="3056"/>
      <c r="E2" s="3056"/>
      <c r="F2" s="3056"/>
      <c r="G2" s="3056"/>
    </row>
    <row r="3" spans="1:7" s="2432" customFormat="1" ht="28.35" customHeight="1">
      <c r="A3" s="2451"/>
      <c r="B3" s="2451" t="s">
        <v>4261</v>
      </c>
      <c r="C3" s="3057"/>
      <c r="D3" s="3058"/>
      <c r="E3" s="3058"/>
      <c r="F3" s="3058"/>
      <c r="G3" s="3059"/>
    </row>
    <row r="4" spans="1:7" s="2432" customFormat="1" ht="28.35" customHeight="1">
      <c r="A4" s="2451"/>
      <c r="B4" s="2451" t="s">
        <v>4260</v>
      </c>
      <c r="C4" s="3057"/>
      <c r="D4" s="3058"/>
      <c r="E4" s="3058"/>
      <c r="F4" s="3058"/>
      <c r="G4" s="3059"/>
    </row>
    <row r="5" spans="1:7" s="2442" customFormat="1" ht="32.65" customHeight="1">
      <c r="A5" s="2439" t="s">
        <v>4152</v>
      </c>
      <c r="B5" s="344" t="s">
        <v>4153</v>
      </c>
      <c r="C5" s="2439" t="s">
        <v>4154</v>
      </c>
      <c r="D5" s="2439" t="s">
        <v>2084</v>
      </c>
      <c r="E5" s="2439" t="s">
        <v>4155</v>
      </c>
      <c r="F5" s="2439" t="s">
        <v>4156</v>
      </c>
      <c r="G5" s="2439" t="s">
        <v>4157</v>
      </c>
    </row>
    <row r="6" spans="1:7" ht="76.349999999999994" customHeight="1">
      <c r="A6" s="2434">
        <v>1</v>
      </c>
      <c r="B6" s="2433" t="s">
        <v>4158</v>
      </c>
      <c r="C6" s="2448">
        <v>48.54</v>
      </c>
      <c r="D6" s="2435" t="s">
        <v>49</v>
      </c>
      <c r="E6" s="2435">
        <v>269.7</v>
      </c>
      <c r="F6" s="2433" t="s">
        <v>4231</v>
      </c>
      <c r="G6" s="2436">
        <v>13091.23</v>
      </c>
    </row>
    <row r="7" spans="1:7" ht="64.349999999999994" customHeight="1">
      <c r="A7" s="2434">
        <v>2</v>
      </c>
      <c r="B7" s="2433" t="s">
        <v>4159</v>
      </c>
      <c r="C7" s="2448">
        <v>55.66</v>
      </c>
      <c r="D7" s="2435" t="str">
        <f>D6</f>
        <v>Cum</v>
      </c>
      <c r="E7" s="2435">
        <v>796.15</v>
      </c>
      <c r="F7" s="2433" t="s">
        <v>4232</v>
      </c>
      <c r="G7" s="2436">
        <v>44313.7</v>
      </c>
    </row>
    <row r="8" spans="1:7" ht="63" customHeight="1">
      <c r="A8" s="2434">
        <v>3</v>
      </c>
      <c r="B8" s="2433" t="s">
        <v>4160</v>
      </c>
      <c r="C8" s="2437">
        <v>14.72</v>
      </c>
      <c r="D8" s="2435" t="s">
        <v>49</v>
      </c>
      <c r="E8" s="2437">
        <v>6626.09</v>
      </c>
      <c r="F8" s="2433" t="s">
        <v>4233</v>
      </c>
      <c r="G8" s="2436">
        <v>97536.04</v>
      </c>
    </row>
    <row r="9" spans="1:7" ht="78.75" hidden="1" customHeight="1">
      <c r="A9" s="2434">
        <v>4</v>
      </c>
      <c r="B9" s="2433" t="s">
        <v>4162</v>
      </c>
      <c r="C9" s="2438">
        <v>0</v>
      </c>
      <c r="D9" s="2434" t="s">
        <v>49</v>
      </c>
      <c r="E9" s="2437">
        <f>[4]Estimate!G44</f>
        <v>1498.68</v>
      </c>
      <c r="F9" s="2433" t="s">
        <v>4161</v>
      </c>
      <c r="G9" s="2436">
        <f t="shared" ref="G9:G34" si="0">C9*E9</f>
        <v>0</v>
      </c>
    </row>
    <row r="10" spans="1:7" ht="75.400000000000006" customHeight="1">
      <c r="A10" s="2434">
        <v>4</v>
      </c>
      <c r="B10" s="2433" t="s">
        <v>4222</v>
      </c>
      <c r="C10" s="2438">
        <v>10.199999999999999</v>
      </c>
      <c r="D10" s="2434" t="str">
        <f>D9</f>
        <v>Cum</v>
      </c>
      <c r="E10" s="2437">
        <v>5569.62</v>
      </c>
      <c r="F10" s="2433" t="s">
        <v>4234</v>
      </c>
      <c r="G10" s="2436">
        <f t="shared" si="0"/>
        <v>56810.123999999996</v>
      </c>
    </row>
    <row r="11" spans="1:7" ht="87.95" customHeight="1">
      <c r="A11" s="2434">
        <v>5</v>
      </c>
      <c r="B11" s="2433" t="str">
        <f>[8]Estimate!B79</f>
        <v>RCC M-20 grade with crushed granite coarse aggregate of size 20 mm downgraded mixed in mixing plant with vibrator including cost of all materials, machineries &amp; labour including cost, conveyance, labour, all taxes &amp; royality etc  complete including centri</v>
      </c>
      <c r="C11" s="2438"/>
      <c r="D11" s="2434"/>
      <c r="E11" s="2437"/>
      <c r="F11" s="2433"/>
      <c r="G11" s="2436"/>
    </row>
    <row r="12" spans="1:7" ht="63" customHeight="1">
      <c r="A12" s="2434" t="s">
        <v>4225</v>
      </c>
      <c r="B12" s="2439" t="s">
        <v>4163</v>
      </c>
      <c r="C12" s="2438">
        <v>9.2899999999999991</v>
      </c>
      <c r="D12" s="2435" t="s">
        <v>49</v>
      </c>
      <c r="E12" s="2437">
        <v>7213.56</v>
      </c>
      <c r="F12" s="2433" t="s">
        <v>4256</v>
      </c>
      <c r="G12" s="2436">
        <f>C12*E12</f>
        <v>67013.972399999999</v>
      </c>
    </row>
    <row r="13" spans="1:7" ht="61.7" customHeight="1">
      <c r="A13" s="2434" t="s">
        <v>4226</v>
      </c>
      <c r="B13" s="2449" t="s">
        <v>4164</v>
      </c>
      <c r="C13" s="2438">
        <v>2.98</v>
      </c>
      <c r="D13" s="2435" t="str">
        <f>D12</f>
        <v>Cum</v>
      </c>
      <c r="E13" s="2437">
        <v>8089.57</v>
      </c>
      <c r="F13" s="2433" t="s">
        <v>4235</v>
      </c>
      <c r="G13" s="2436">
        <v>24106.91</v>
      </c>
    </row>
    <row r="14" spans="1:7" ht="67.5" customHeight="1">
      <c r="A14" s="2434" t="s">
        <v>4227</v>
      </c>
      <c r="B14" s="2449" t="s">
        <v>4165</v>
      </c>
      <c r="C14" s="2438">
        <v>7</v>
      </c>
      <c r="D14" s="2435" t="str">
        <f>D12</f>
        <v>Cum</v>
      </c>
      <c r="E14" s="2437">
        <v>16366.44</v>
      </c>
      <c r="F14" s="2433" t="s">
        <v>4257</v>
      </c>
      <c r="G14" s="2436">
        <f>C14*E14</f>
        <v>114565.08</v>
      </c>
    </row>
    <row r="15" spans="1:7" ht="62.1" customHeight="1">
      <c r="A15" s="2434" t="s">
        <v>4228</v>
      </c>
      <c r="B15" s="2449" t="s">
        <v>4166</v>
      </c>
      <c r="C15" s="2438">
        <v>0.97</v>
      </c>
      <c r="D15" s="2435" t="str">
        <f>D12</f>
        <v>Cum</v>
      </c>
      <c r="E15" s="2437">
        <v>14866.56</v>
      </c>
      <c r="F15" s="2433" t="s">
        <v>4236</v>
      </c>
      <c r="G15" s="2436">
        <v>14420.56</v>
      </c>
    </row>
    <row r="16" spans="1:7" ht="63.95" customHeight="1">
      <c r="A16" s="2434" t="s">
        <v>4229</v>
      </c>
      <c r="B16" s="2449" t="s">
        <v>4167</v>
      </c>
      <c r="C16" s="2438">
        <v>9.0299999999999994</v>
      </c>
      <c r="D16" s="2435" t="str">
        <f>D12</f>
        <v>Cum</v>
      </c>
      <c r="E16" s="2437">
        <v>14429.92</v>
      </c>
      <c r="F16" s="2433" t="s">
        <v>4237</v>
      </c>
      <c r="G16" s="2436">
        <v>130302.17</v>
      </c>
    </row>
    <row r="17" spans="1:10" ht="46.7" customHeight="1">
      <c r="A17" s="2434" t="s">
        <v>4230</v>
      </c>
      <c r="B17" s="2449" t="s">
        <v>4168</v>
      </c>
      <c r="C17" s="2438">
        <v>10.220000000000001</v>
      </c>
      <c r="D17" s="2434" t="s">
        <v>92</v>
      </c>
      <c r="E17" s="2437">
        <v>1262.48</v>
      </c>
      <c r="F17" s="2433" t="s">
        <v>4238</v>
      </c>
      <c r="G17" s="2436">
        <v>12902.54</v>
      </c>
    </row>
    <row r="18" spans="1:10" ht="86.25">
      <c r="A18" s="2434">
        <v>6</v>
      </c>
      <c r="B18" s="2433" t="s">
        <v>4191</v>
      </c>
      <c r="C18" s="2438">
        <v>17.2</v>
      </c>
      <c r="D18" s="2434" t="str">
        <f>D10</f>
        <v>Cum</v>
      </c>
      <c r="E18" s="2437">
        <v>5602.62</v>
      </c>
      <c r="F18" s="2433" t="s">
        <v>4239</v>
      </c>
      <c r="G18" s="2436">
        <v>96365.06</v>
      </c>
    </row>
    <row r="19" spans="1:10" ht="69.95" customHeight="1">
      <c r="A19" s="2450">
        <v>7</v>
      </c>
      <c r="B19" s="2433" t="str">
        <f>'[9]EStimate Additional Class Room'!$B$178:$I$178</f>
        <v>25mm thickDPC with CC (1:2:4) using 12mm H.G.C.B Coarse aggregates  Including Costof Material, Labour,  Royalty, Taxex,  Labour cess..etc . Complete as per the specification and direction of Enginner-in-charge.</v>
      </c>
      <c r="C19" s="2450">
        <v>8.73</v>
      </c>
      <c r="D19" s="2450" t="s">
        <v>357</v>
      </c>
      <c r="E19" s="2450">
        <v>393.78</v>
      </c>
      <c r="F19" s="2433" t="s">
        <v>4240</v>
      </c>
      <c r="G19" s="2436">
        <v>3437.7</v>
      </c>
    </row>
    <row r="20" spans="1:10" ht="159" customHeight="1">
      <c r="A20" s="2434">
        <v>8</v>
      </c>
      <c r="B20" s="2433" t="s">
        <v>4022</v>
      </c>
      <c r="C20" s="2437">
        <v>29.93</v>
      </c>
      <c r="D20" s="2437" t="str">
        <f>[10]Estimate!N194</f>
        <v>Qntl</v>
      </c>
      <c r="E20" s="2437">
        <v>9013.33</v>
      </c>
      <c r="F20" s="2433" t="s">
        <v>4241</v>
      </c>
      <c r="G20" s="2436">
        <v>269768.96000000002</v>
      </c>
      <c r="H20" s="2445"/>
      <c r="I20" s="2445"/>
      <c r="J20" s="2445"/>
    </row>
    <row r="21" spans="1:10" ht="63.95" customHeight="1">
      <c r="A21" s="2434">
        <v>9</v>
      </c>
      <c r="B21" s="2433" t="str">
        <f>[10]Estimate!B292</f>
        <v>Providing &amp; laying Cement Concrete ( 1:2:4 ) using  12mm size crusher broken hard granite chips including cost, conveyance, royality &amp; taxes etc. of all materials, mixing &amp; laying concrete, watering &amp; curing for 21 days, labour charges etc. complete as pe</v>
      </c>
      <c r="C21" s="2437">
        <v>0.12</v>
      </c>
      <c r="D21" s="2437" t="str">
        <f>[10]Estimate!I296</f>
        <v>cum</v>
      </c>
      <c r="E21" s="2437">
        <v>8273.0300000000007</v>
      </c>
      <c r="F21" s="2433" t="s">
        <v>4242</v>
      </c>
      <c r="G21" s="2436">
        <f>C21*E21</f>
        <v>992.7636</v>
      </c>
      <c r="H21" s="2445"/>
      <c r="I21" s="2445"/>
    </row>
    <row r="22" spans="1:10" ht="85.7" customHeight="1">
      <c r="A22" s="2434">
        <v>10</v>
      </c>
      <c r="B22" s="2433" t="str">
        <f>[10]Estimate!B202</f>
        <v>Supplying  GI  door &amp; window shutter with grills (Framed&amp;Fixed) made out ofGI angles, flats and sheets etc of approved design &amp; fabrication  including cost, conveyance &amp; taxes etc. of all materials required for the work and labour charges etc. complete as</v>
      </c>
      <c r="C22" s="2437">
        <v>144</v>
      </c>
      <c r="D22" s="2437" t="str">
        <f>[10]Estimate!I213</f>
        <v>Kg</v>
      </c>
      <c r="E22" s="2437">
        <v>88.23</v>
      </c>
      <c r="F22" s="2433" t="s">
        <v>4243</v>
      </c>
      <c r="G22" s="2436">
        <f t="shared" si="0"/>
        <v>12705.12</v>
      </c>
      <c r="H22" s="2445"/>
      <c r="I22" s="2445"/>
    </row>
    <row r="23" spans="1:10" ht="63.4" customHeight="1">
      <c r="A23" s="2434">
        <v>11</v>
      </c>
      <c r="B23" s="2433" t="str">
        <f>'[9]EStimate Additional Class Room'!$B$222:$I$222</f>
        <v>Supplying GI Pressed G.I Door Assembly with Polymer Powder Coated  Including the Cost of All Materials and Fittings ..etc Complete  as per the specification &amp; direction of Engineer in charge.</v>
      </c>
      <c r="C23" s="2438">
        <v>4.55</v>
      </c>
      <c r="D23" s="2435" t="str">
        <f>[10]Estimate!I219</f>
        <v>sqm</v>
      </c>
      <c r="E23" s="2437">
        <v>7000</v>
      </c>
      <c r="F23" s="2433" t="s">
        <v>4244</v>
      </c>
      <c r="G23" s="2436">
        <f t="shared" si="0"/>
        <v>31850</v>
      </c>
    </row>
    <row r="24" spans="1:10" ht="88.7" customHeight="1">
      <c r="A24" s="2434">
        <v>12</v>
      </c>
      <c r="B24" s="2433" t="str">
        <f>'[9]EStimate Additional Class Room'!$B$251:$I$251</f>
        <v>12 mm thick cement plaster  in cement mortar ( 1 : 4  with punning ) including cost, conveyance, royality &amp; taxes etc. of all materials required for the work,watering, curing, labour charges etc. complete as per the specification &amp; direction of Engineer in charge.</v>
      </c>
      <c r="C24" s="2438">
        <v>19.37</v>
      </c>
      <c r="D24" s="2435" t="str">
        <f>[10]Estimate!I243</f>
        <v>sqm</v>
      </c>
      <c r="E24" s="2437">
        <v>213.08</v>
      </c>
      <c r="F24" s="2433" t="s">
        <v>4245</v>
      </c>
      <c r="G24" s="2436">
        <f t="shared" si="0"/>
        <v>4127.3596000000007</v>
      </c>
    </row>
    <row r="25" spans="1:10" ht="57">
      <c r="A25" s="2434">
        <v>13</v>
      </c>
      <c r="B25" s="2433" t="s">
        <v>4169</v>
      </c>
      <c r="C25" s="2435">
        <v>92.44</v>
      </c>
      <c r="D25" s="2435" t="s">
        <v>92</v>
      </c>
      <c r="E25" s="2435">
        <v>190.54</v>
      </c>
      <c r="F25" s="2433" t="s">
        <v>4246</v>
      </c>
      <c r="G25" s="2436">
        <v>17613.52</v>
      </c>
    </row>
    <row r="26" spans="1:10" ht="57">
      <c r="A26" s="2434">
        <v>14</v>
      </c>
      <c r="B26" s="2433" t="s">
        <v>4170</v>
      </c>
      <c r="C26" s="2438">
        <v>72.349999999999994</v>
      </c>
      <c r="D26" s="2435" t="s">
        <v>92</v>
      </c>
      <c r="E26" s="2437">
        <v>273.74</v>
      </c>
      <c r="F26" s="2433" t="s">
        <v>4247</v>
      </c>
      <c r="G26" s="2436">
        <v>19805.080000000002</v>
      </c>
    </row>
    <row r="27" spans="1:10" ht="74.650000000000006" customHeight="1">
      <c r="A27" s="2434">
        <v>15</v>
      </c>
      <c r="B27" s="2433" t="str">
        <f>[10]Estimate!B259</f>
        <v>6 mm thick cement plaster  in cement mortar ( 1 : 4 ) including closed deep chipping &amp; slurry treatmant including cost, conveyance, royality &amp; taxes etc. of all materials required for the work,watering, curing, labour charges etc. complete as per the spec</v>
      </c>
      <c r="C27" s="2438">
        <v>79.06</v>
      </c>
      <c r="D27" s="2435" t="str">
        <f>[10]Estimate!I272</f>
        <v>sqm</v>
      </c>
      <c r="E27" s="2437">
        <v>212.12</v>
      </c>
      <c r="F27" s="2433" t="s">
        <v>4248</v>
      </c>
      <c r="G27" s="2436">
        <v>16770.2</v>
      </c>
    </row>
    <row r="28" spans="1:10" ht="74.650000000000006" customHeight="1">
      <c r="A28" s="2434">
        <v>16</v>
      </c>
      <c r="B28" s="2433" t="str">
        <f>[4]Estimate!B287</f>
        <v>Fixing tiles in floors ,treads or steps &amp; landings on 20mm thick bed of cement mortar 1:4 jointed with neat cement slurry mixed with pigment to match the shades of the tiles  &amp; polishing including cost of vitrified tile (600x600)mm……etc  compl</v>
      </c>
      <c r="C28" s="2438">
        <v>75.349999999999994</v>
      </c>
      <c r="D28" s="2435" t="str">
        <f>[4]Estimate!D297</f>
        <v>sqm</v>
      </c>
      <c r="E28" s="2437">
        <v>1170.29</v>
      </c>
      <c r="F28" s="2433" t="s">
        <v>4249</v>
      </c>
      <c r="G28" s="2436">
        <f>C28*E28</f>
        <v>88181.35149999999</v>
      </c>
    </row>
    <row r="29" spans="1:10" ht="77.650000000000006" customHeight="1">
      <c r="A29" s="2434">
        <v>17</v>
      </c>
      <c r="B29" s="2433" t="str">
        <f>[4]Estimate!B299</f>
        <v>Fixing tiles in floors ,treads or steps &amp; landings on 20mm thick bed of cement mortar 1:4 jointed with neat cement slurry mixed with pigment to match the shades of the tiles  &amp; polishing including cost of vitrified  industrial tile (300x300)mm……etc  compl</v>
      </c>
      <c r="C29" s="2438">
        <v>10.09</v>
      </c>
      <c r="D29" s="2435" t="str">
        <f>D28</f>
        <v>sqm</v>
      </c>
      <c r="E29" s="2437">
        <v>1458.46</v>
      </c>
      <c r="F29" s="2433" t="s">
        <v>4250</v>
      </c>
      <c r="G29" s="2436">
        <f>C29*E29</f>
        <v>14715.8614</v>
      </c>
    </row>
    <row r="30" spans="1:10" ht="73.7" customHeight="1">
      <c r="A30" s="2434">
        <v>18</v>
      </c>
      <c r="B30" s="2433" t="str">
        <f>[4]Estimate!B327</f>
        <v>Finishing surface of walls with cement based wall putty ( Water based ) of approved make and finished smooth and even surface to receive painting including scaffolding staging charges with all materials, taxes, labour charges etc  compl.</v>
      </c>
      <c r="C30" s="2438">
        <v>297.32</v>
      </c>
      <c r="D30" s="2435" t="str">
        <f>D31</f>
        <v>sqm</v>
      </c>
      <c r="E30" s="2437">
        <v>85.36</v>
      </c>
      <c r="F30" s="2433" t="s">
        <v>4251</v>
      </c>
      <c r="G30" s="2436">
        <v>25379.23</v>
      </c>
    </row>
    <row r="31" spans="1:10" ht="59.65" customHeight="1">
      <c r="A31" s="2434">
        <v>19</v>
      </c>
      <c r="B31" s="2433" t="str">
        <f>[10]Estimate!B305</f>
        <v>Priming one coat with water bound cement primer of approved quality over plastered surface including scaffolding staging charges with all materials, taxes, labour charges etc  compl.</v>
      </c>
      <c r="C31" s="2438">
        <v>238.56</v>
      </c>
      <c r="D31" s="2435" t="str">
        <f>[10]Estimate!I317</f>
        <v>sqm</v>
      </c>
      <c r="E31" s="2437">
        <v>79.06</v>
      </c>
      <c r="F31" s="2433" t="s">
        <v>4252</v>
      </c>
      <c r="G31" s="2436">
        <f>C31*E31</f>
        <v>18860.553599999999</v>
      </c>
    </row>
    <row r="32" spans="1:10" ht="74.25" customHeight="1">
      <c r="A32" s="2434">
        <v>20</v>
      </c>
      <c r="B32" s="2433" t="str">
        <f>[4]Estimate!B350</f>
        <v>Wall painting two coats with weather coat  of approved shade on new work to give an even shade including  including cost, carriage and taxes etc. of all materials required for the work and labour charges etc. compl as per the specification &amp; direction of EIC</v>
      </c>
      <c r="C32" s="2438">
        <v>136.59</v>
      </c>
      <c r="D32" s="2435" t="str">
        <f>D30</f>
        <v>sqm</v>
      </c>
      <c r="E32" s="2437">
        <v>95.68</v>
      </c>
      <c r="F32" s="2433" t="s">
        <v>4253</v>
      </c>
      <c r="G32" s="2436">
        <f>C32*E32</f>
        <v>13068.931200000001</v>
      </c>
    </row>
    <row r="33" spans="1:9" ht="74.099999999999994" customHeight="1">
      <c r="A33" s="2434">
        <v>21</v>
      </c>
      <c r="B33" s="2433" t="str">
        <f>'[9]EStimate Additional Class Room'!$B$391:$I$391</f>
        <v>Wall painting two coats with Distemper  paint  of approved shade on new work to give an even shade including  including cost, carriage and taxes etc. of all materials required for the work and labour charges etc. complete</v>
      </c>
      <c r="C33" s="2438">
        <v>114.59</v>
      </c>
      <c r="D33" s="2435" t="str">
        <f>D32</f>
        <v>sqm</v>
      </c>
      <c r="E33" s="2437">
        <v>86.35</v>
      </c>
      <c r="F33" s="2433" t="s">
        <v>4258</v>
      </c>
      <c r="G33" s="2436">
        <v>9894.84</v>
      </c>
    </row>
    <row r="34" spans="1:9" ht="75" customHeight="1">
      <c r="A34" s="2434">
        <v>22</v>
      </c>
      <c r="B34" s="2433" t="str">
        <f>[10]Estimate!B299</f>
        <v>Painting two coats with approved enamel paint over a coat of primer of approved quality  including cost of enamel paint, primer,brushes &amp; other materials, T. &amp; P. and taxes etc. of all materials required for the work and labour charges etc. complete as pe</v>
      </c>
      <c r="C34" s="2438">
        <v>19.440000000000001</v>
      </c>
      <c r="D34" s="2435" t="str">
        <f>[10]Estimate!I303</f>
        <v>sqm</v>
      </c>
      <c r="E34" s="2437">
        <v>254.77</v>
      </c>
      <c r="F34" s="2433" t="s">
        <v>4254</v>
      </c>
      <c r="G34" s="2436">
        <f t="shared" si="0"/>
        <v>4952.7288000000008</v>
      </c>
    </row>
    <row r="35" spans="1:9" ht="87.4" hidden="1" customHeight="1">
      <c r="A35" s="2434">
        <v>21</v>
      </c>
      <c r="B35" s="2433" t="str">
        <f>[4]Estimate!B304</f>
        <v>Fixing tiles  Vitrified Tile 600x600mm in dadoos Skirting and rises of steps on 12mm thick cement plaster ( 1:3) jointed with neat cement slurry mixed with pigments to match the shade of the tiles including rubbing and polishing complete as per direction of Engineer-in-charge.</v>
      </c>
      <c r="C35" s="2438">
        <v>0</v>
      </c>
      <c r="D35" s="2435" t="str">
        <f>D29</f>
        <v>sqm</v>
      </c>
      <c r="E35" s="2437">
        <v>1459.46</v>
      </c>
      <c r="F35" s="2433" t="s">
        <v>4183</v>
      </c>
      <c r="G35" s="2436">
        <f t="shared" ref="G35:G36" si="1">C35*E35</f>
        <v>0</v>
      </c>
    </row>
    <row r="36" spans="1:9" ht="97.35" customHeight="1">
      <c r="A36" s="2450">
        <v>23</v>
      </c>
      <c r="B36" s="2433" t="str">
        <f>'[9]EStimate Additional Class Room'!$B$425:$I$425</f>
        <v>Supplying, fitting and fixing of Stainless steel of 304 grade in hand railing using 50mm dia of 2mm thick circular pipe with Balustrade of size 50mm x 50mm x 2mm @ 0.90mtr. C/C and stainless Round pipe   as per approved design and specification, buffing, polishing etc with cost, conveyance, taxes of all materials, labour, T&amp;P etc. required for the complete in all respect. ( Ramp Railing)</v>
      </c>
      <c r="C36" s="2448">
        <v>10</v>
      </c>
      <c r="D36" s="2450" t="s">
        <v>4223</v>
      </c>
      <c r="E36" s="2437">
        <v>2775.54</v>
      </c>
      <c r="F36" s="2433" t="s">
        <v>4255</v>
      </c>
      <c r="G36" s="2436">
        <f t="shared" si="1"/>
        <v>27755.4</v>
      </c>
    </row>
    <row r="37" spans="1:9" ht="87" hidden="1" customHeight="1">
      <c r="A37" s="2434">
        <v>22</v>
      </c>
      <c r="B37" s="2433" t="str">
        <f>[4]Estimate!B319</f>
        <v>Fixing tiles in Dado,skirting &amp; rises of steps  on 12mm thick  cement plaster 1:3 jointed with neat cement slurry mixed with pigment to match the shades of the tiles including rubbing &amp; polishing using Ceramic Wall Tile ( 200 x 200 / 200 x 300 )mm ……etc  compl.</v>
      </c>
      <c r="C37" s="2438">
        <v>0</v>
      </c>
      <c r="D37" s="2435" t="str">
        <f>D35</f>
        <v>sqm</v>
      </c>
      <c r="E37" s="2437">
        <f>[4]Estimate!G325</f>
        <v>739.18</v>
      </c>
      <c r="F37" s="2433" t="str">
        <f>[11]BOQ!$F$34</f>
        <v>Rupees Seven hundred sixteen and fiftythree paise) Only</v>
      </c>
      <c r="G37" s="2436">
        <f t="shared" ref="G37:G41" si="2">C37*E37</f>
        <v>0</v>
      </c>
    </row>
    <row r="38" spans="1:9" ht="65.25" hidden="1" customHeight="1">
      <c r="A38" s="2434">
        <v>26</v>
      </c>
      <c r="B38" s="2433" t="str">
        <f>[4]Estimate!B388</f>
        <v>Fixing water closet, squatting pan (Indian type W.C pan) Orissa Pattern 500x440mm conforming to IS: 2556:part-3-2004 duly embedded in C.C(1:4:8) using 40mm size metal all complete as per specification.</v>
      </c>
      <c r="C38" s="2438">
        <v>0</v>
      </c>
      <c r="D38" s="2435" t="str">
        <f>[4]Estimate!D389</f>
        <v>Nos</v>
      </c>
      <c r="E38" s="2437">
        <f>[4]Estimate!G389</f>
        <v>1880.8026869999994</v>
      </c>
      <c r="F38" s="2433" t="str">
        <f>[11]BOQ!$F$35</f>
        <v>Rupees One thousand eight hundred eighty and eighty  paise) Only</v>
      </c>
      <c r="G38" s="2436">
        <f t="shared" si="2"/>
        <v>0</v>
      </c>
    </row>
    <row r="39" spans="1:9" ht="65.25" hidden="1" customHeight="1">
      <c r="A39" s="2434">
        <v>27</v>
      </c>
      <c r="B39" s="2433" t="str">
        <f>[4]Estimate!B391</f>
        <v>Providing and Fixing of PVC  low level flushing cistern conforming to IS: 7231 with all fittings and fixtures complete.(White Colour)</v>
      </c>
      <c r="C39" s="2438">
        <v>0</v>
      </c>
      <c r="D39" s="2435" t="str">
        <f>[4]Estimate!D392</f>
        <v>Nos</v>
      </c>
      <c r="E39" s="2437">
        <f>[4]Estimate!G392</f>
        <v>1180.3775000000001</v>
      </c>
      <c r="F39" s="2433" t="str">
        <f>[11]BOQ!$F$36</f>
        <v>Rupees One thousand One hundred eighty and thirty eight paise) Only</v>
      </c>
      <c r="G39" s="2436">
        <f t="shared" si="2"/>
        <v>0</v>
      </c>
    </row>
    <row r="40" spans="1:9" ht="52.5" hidden="1" customHeight="1">
      <c r="A40" s="2434">
        <v>28</v>
      </c>
      <c r="B40" s="2433" t="str">
        <f>[4]Estimate!B393</f>
        <v>Fixing 100 mm size P or S trap for water closet squating pan including jointing the trap with pan in cement mortar (1:1) as per specification</v>
      </c>
      <c r="C40" s="2438">
        <v>0</v>
      </c>
      <c r="D40" s="2435" t="str">
        <f>[4]Estimate!D394</f>
        <v>Nos</v>
      </c>
      <c r="E40" s="2437">
        <f>[4]Estimate!G394</f>
        <v>299.69839018865576</v>
      </c>
      <c r="F40" s="2433" t="str">
        <f>[11]BOQ!$F$37</f>
        <v>Rupees  Two hundred ninty nine and Seventypaise) Only</v>
      </c>
      <c r="G40" s="2436">
        <f t="shared" si="2"/>
        <v>0</v>
      </c>
    </row>
    <row r="41" spans="1:9" ht="11.1" hidden="1" customHeight="1">
      <c r="A41" s="2434">
        <v>29</v>
      </c>
      <c r="B41" s="2362" t="str">
        <f>'[7]SWR Pipe&amp;Fittings'!$B$89:$H$89</f>
        <v>Providing and fixing on wall face PVC SWR moulded fittings / accessories for PVC SWR  pipes conforming to IS : 13592 Type A, including jointing with seal ring conforming to IS : 5382, leaving 10 mm gap for thermal expansion.110 mm pvc pipe</v>
      </c>
      <c r="C41" s="2440">
        <v>0</v>
      </c>
      <c r="D41" s="2362" t="str">
        <f>[4]Estimate!D398</f>
        <v>Nos</v>
      </c>
      <c r="E41" s="2440">
        <f>[4]Estimate!G398</f>
        <v>138.32461743136963</v>
      </c>
      <c r="F41" s="2362" t="str">
        <f>[11]BOQ!$F$38</f>
        <v>Rupees  One hundred thirty eight and thirty two paise) Only</v>
      </c>
      <c r="G41" s="2436">
        <f t="shared" si="2"/>
        <v>0</v>
      </c>
      <c r="H41" s="2363"/>
      <c r="I41" s="2363"/>
    </row>
    <row r="42" spans="1:9" ht="18.399999999999999" customHeight="1">
      <c r="F42" s="2442" t="s">
        <v>1532</v>
      </c>
      <c r="G42" s="2443">
        <v>1251306.98</v>
      </c>
    </row>
    <row r="43" spans="1:9" ht="15" hidden="1">
      <c r="F43" s="2442" t="s">
        <v>4171</v>
      </c>
      <c r="G43" s="2443">
        <f>ROUND(G42,0)</f>
        <v>1251307</v>
      </c>
    </row>
    <row r="44" spans="1:9" hidden="1">
      <c r="G44" s="2444"/>
    </row>
    <row r="45" spans="1:9" ht="32.65" customHeight="1">
      <c r="B45" s="2442"/>
      <c r="C45" s="2442"/>
      <c r="D45" s="3060" t="s">
        <v>4224</v>
      </c>
      <c r="E45" s="3060"/>
      <c r="F45" s="3060"/>
      <c r="G45" s="3060"/>
    </row>
    <row r="46" spans="1:9" ht="49.5" hidden="1" customHeight="1">
      <c r="B46" s="3061" t="s">
        <v>4172</v>
      </c>
      <c r="C46" s="3061"/>
      <c r="D46" s="3061"/>
      <c r="E46" s="3061"/>
      <c r="F46" s="3061"/>
      <c r="G46" s="3061"/>
    </row>
    <row r="47" spans="1:9" ht="21.95" customHeight="1">
      <c r="B47" s="2441" t="s">
        <v>4259</v>
      </c>
    </row>
    <row r="48" spans="1:9" ht="23.65" customHeight="1">
      <c r="B48" s="2441" t="s">
        <v>4173</v>
      </c>
    </row>
    <row r="49" spans="2:7" ht="22.35" customHeight="1"/>
    <row r="50" spans="2:7" ht="30.95" customHeight="1">
      <c r="B50" s="3061" t="s">
        <v>4174</v>
      </c>
      <c r="C50" s="3061"/>
      <c r="D50" s="3061"/>
      <c r="E50" s="3061"/>
      <c r="F50" s="3061"/>
      <c r="G50" s="3061"/>
    </row>
    <row r="51" spans="2:7" ht="19.350000000000001" customHeight="1"/>
    <row r="52" spans="2:7" ht="32.65" customHeight="1">
      <c r="B52" s="3061" t="s">
        <v>4175</v>
      </c>
      <c r="C52" s="3061"/>
      <c r="D52" s="3061"/>
      <c r="E52" s="3061"/>
      <c r="F52" s="3061"/>
      <c r="G52" s="3061"/>
    </row>
    <row r="53" spans="2:7">
      <c r="B53" s="2445"/>
      <c r="C53" s="2445"/>
      <c r="D53" s="2445"/>
      <c r="E53" s="2445"/>
      <c r="F53" s="2445"/>
      <c r="G53" s="2445"/>
    </row>
    <row r="54" spans="2:7" ht="47.1" customHeight="1">
      <c r="B54" s="3061" t="s">
        <v>4262</v>
      </c>
      <c r="C54" s="3061"/>
      <c r="D54" s="3061"/>
      <c r="E54" s="3061"/>
      <c r="F54" s="3061"/>
      <c r="G54" s="3061"/>
    </row>
    <row r="55" spans="2:7" ht="33" customHeight="1">
      <c r="B55" s="2445"/>
      <c r="C55" s="2445"/>
      <c r="D55" s="2445"/>
      <c r="E55" s="2445"/>
      <c r="F55" s="2445"/>
      <c r="G55" s="2445"/>
    </row>
    <row r="56" spans="2:7" s="2442" customFormat="1" ht="32.1" customHeight="1">
      <c r="B56" s="2447" t="s">
        <v>4263</v>
      </c>
      <c r="C56" s="3060" t="s">
        <v>4220</v>
      </c>
      <c r="D56" s="3060"/>
      <c r="E56" s="3060"/>
      <c r="F56" s="2447" t="s">
        <v>4192</v>
      </c>
      <c r="G56" s="2446"/>
    </row>
    <row r="60" spans="2:7" ht="15">
      <c r="F60" s="2452" t="s">
        <v>4193</v>
      </c>
    </row>
    <row r="61" spans="2:7" ht="15">
      <c r="F61" s="2452" t="s">
        <v>4194</v>
      </c>
    </row>
    <row r="62" spans="2:7" ht="15">
      <c r="F62" s="2442"/>
    </row>
    <row r="63" spans="2:7" ht="15">
      <c r="F63" s="2442"/>
    </row>
    <row r="64" spans="2:7" ht="16.899999999999999" customHeight="1">
      <c r="B64" s="2441" t="s">
        <v>4197</v>
      </c>
    </row>
    <row r="65" spans="2:6" ht="16.899999999999999" customHeight="1">
      <c r="B65" s="2441" t="s">
        <v>4195</v>
      </c>
      <c r="F65" s="2441" t="s">
        <v>4196</v>
      </c>
    </row>
    <row r="66" spans="2:6" ht="16.899999999999999" customHeight="1"/>
    <row r="68" spans="2:6">
      <c r="F68" s="2441" t="s">
        <v>4219</v>
      </c>
    </row>
  </sheetData>
  <mergeCells count="11">
    <mergeCell ref="C56:E56"/>
    <mergeCell ref="A1:G1"/>
    <mergeCell ref="B46:G46"/>
    <mergeCell ref="B50:G50"/>
    <mergeCell ref="B52:G52"/>
    <mergeCell ref="B54:G54"/>
    <mergeCell ref="D45:G45"/>
    <mergeCell ref="C2:G2"/>
    <mergeCell ref="C3:G3"/>
    <mergeCell ref="C4:G4"/>
    <mergeCell ref="A2:B2"/>
  </mergeCells>
  <pageMargins left="0.35433070866141736" right="0.23622047244094491" top="0.15748031496062992" bottom="0.35433070866141736" header="0.31496062992125984" footer="0.15748031496062992"/>
  <pageSetup paperSize="9" scale="83" orientation="portrait" verticalDpi="4294967295" r:id="rId1"/>
  <rowBreaks count="2" manualBreakCount="2">
    <brk id="18" max="6" man="1"/>
    <brk id="30" max="6" man="1"/>
  </rowBreaks>
</worksheet>
</file>

<file path=xl/worksheets/sheet25.xml><?xml version="1.0" encoding="utf-8"?>
<worksheet xmlns="http://schemas.openxmlformats.org/spreadsheetml/2006/main" xmlns:r="http://schemas.openxmlformats.org/officeDocument/2006/relationships">
  <sheetPr>
    <tabColor rgb="FFFF0000"/>
  </sheetPr>
  <dimension ref="C3:HK291"/>
  <sheetViews>
    <sheetView view="pageBreakPreview" topLeftCell="A85" zoomScaleSheetLayoutView="100" workbookViewId="0">
      <selection activeCell="HW88" sqref="HW88:HW89"/>
    </sheetView>
  </sheetViews>
  <sheetFormatPr defaultColWidth="0.5703125" defaultRowHeight="3.6" customHeight="1"/>
  <cols>
    <col min="1" max="112" width="0.5703125" style="13"/>
    <col min="113" max="113" width="0" style="13" hidden="1" customWidth="1"/>
    <col min="114" max="140" width="0.5703125" style="13"/>
    <col min="141" max="142" width="0" style="13" hidden="1" customWidth="1"/>
    <col min="143" max="143" width="0.5703125" style="13"/>
    <col min="144" max="144" width="0" style="13" hidden="1" customWidth="1"/>
    <col min="145" max="150" width="0.5703125" style="13"/>
    <col min="151" max="151" width="0.42578125" style="13" customWidth="1"/>
    <col min="152" max="152" width="0.28515625" style="13" customWidth="1"/>
    <col min="153" max="188" width="0.5703125" style="13"/>
    <col min="189" max="189" width="0.140625" style="13" customWidth="1"/>
    <col min="190" max="190" width="0.5703125" style="13"/>
    <col min="191" max="192" width="1.28515625" style="13" customWidth="1"/>
    <col min="193" max="193" width="0.5703125" style="13"/>
    <col min="194" max="194" width="1.28515625" style="13" customWidth="1"/>
    <col min="195" max="195" width="0.5703125" style="13"/>
    <col min="196" max="196" width="1.140625" style="13" customWidth="1"/>
    <col min="197" max="197" width="0.5703125" style="13"/>
    <col min="198" max="198" width="1.140625" style="13" customWidth="1"/>
    <col min="199" max="199" width="0.5703125" style="13"/>
    <col min="200" max="200" width="1.140625" style="13" customWidth="1"/>
    <col min="201" max="202" width="0.5703125" style="13"/>
    <col min="203" max="203" width="0.85546875" style="13" customWidth="1"/>
    <col min="204" max="204" width="0.7109375" style="13" customWidth="1"/>
    <col min="205" max="207" width="0.5703125" style="13"/>
    <col min="208" max="208" width="1.140625" style="13" customWidth="1"/>
    <col min="209" max="211" width="0.5703125" style="13"/>
    <col min="212" max="212" width="0.85546875" style="13" customWidth="1"/>
    <col min="213" max="213" width="0.5703125" style="13"/>
    <col min="214" max="214" width="0.85546875" style="13" customWidth="1"/>
    <col min="215" max="368" width="0.5703125" style="13"/>
    <col min="369" max="369" width="0" style="13" hidden="1" customWidth="1"/>
    <col min="370" max="396" width="0.5703125" style="13"/>
    <col min="397" max="398" width="0" style="13" hidden="1" customWidth="1"/>
    <col min="399" max="399" width="0.5703125" style="13"/>
    <col min="400" max="400" width="0" style="13" hidden="1" customWidth="1"/>
    <col min="401" max="406" width="0.5703125" style="13"/>
    <col min="407" max="407" width="0.42578125" style="13" customWidth="1"/>
    <col min="408" max="408" width="0.28515625" style="13" customWidth="1"/>
    <col min="409" max="444" width="0.5703125" style="13"/>
    <col min="445" max="445" width="0.140625" style="13" customWidth="1"/>
    <col min="446" max="446" width="0.5703125" style="13"/>
    <col min="447" max="448" width="1.28515625" style="13" customWidth="1"/>
    <col min="449" max="449" width="0.5703125" style="13"/>
    <col min="450" max="450" width="1.28515625" style="13" customWidth="1"/>
    <col min="451" max="451" width="0.5703125" style="13"/>
    <col min="452" max="452" width="1.140625" style="13" customWidth="1"/>
    <col min="453" max="453" width="0.5703125" style="13"/>
    <col min="454" max="454" width="1.140625" style="13" customWidth="1"/>
    <col min="455" max="455" width="0.5703125" style="13"/>
    <col min="456" max="456" width="1.140625" style="13" customWidth="1"/>
    <col min="457" max="458" width="0.5703125" style="13"/>
    <col min="459" max="459" width="0.85546875" style="13" customWidth="1"/>
    <col min="460" max="460" width="0.7109375" style="13" customWidth="1"/>
    <col min="461" max="463" width="0.5703125" style="13"/>
    <col min="464" max="464" width="1.140625" style="13" customWidth="1"/>
    <col min="465" max="467" width="0.5703125" style="13"/>
    <col min="468" max="468" width="0.85546875" style="13" customWidth="1"/>
    <col min="469" max="469" width="0.5703125" style="13"/>
    <col min="470" max="470" width="0.85546875" style="13" customWidth="1"/>
    <col min="471" max="624" width="0.5703125" style="13"/>
    <col min="625" max="625" width="0" style="13" hidden="1" customWidth="1"/>
    <col min="626" max="652" width="0.5703125" style="13"/>
    <col min="653" max="654" width="0" style="13" hidden="1" customWidth="1"/>
    <col min="655" max="655" width="0.5703125" style="13"/>
    <col min="656" max="656" width="0" style="13" hidden="1" customWidth="1"/>
    <col min="657" max="662" width="0.5703125" style="13"/>
    <col min="663" max="663" width="0.42578125" style="13" customWidth="1"/>
    <col min="664" max="664" width="0.28515625" style="13" customWidth="1"/>
    <col min="665" max="700" width="0.5703125" style="13"/>
    <col min="701" max="701" width="0.140625" style="13" customWidth="1"/>
    <col min="702" max="702" width="0.5703125" style="13"/>
    <col min="703" max="704" width="1.28515625" style="13" customWidth="1"/>
    <col min="705" max="705" width="0.5703125" style="13"/>
    <col min="706" max="706" width="1.28515625" style="13" customWidth="1"/>
    <col min="707" max="707" width="0.5703125" style="13"/>
    <col min="708" max="708" width="1.140625" style="13" customWidth="1"/>
    <col min="709" max="709" width="0.5703125" style="13"/>
    <col min="710" max="710" width="1.140625" style="13" customWidth="1"/>
    <col min="711" max="711" width="0.5703125" style="13"/>
    <col min="712" max="712" width="1.140625" style="13" customWidth="1"/>
    <col min="713" max="714" width="0.5703125" style="13"/>
    <col min="715" max="715" width="0.85546875" style="13" customWidth="1"/>
    <col min="716" max="716" width="0.7109375" style="13" customWidth="1"/>
    <col min="717" max="719" width="0.5703125" style="13"/>
    <col min="720" max="720" width="1.140625" style="13" customWidth="1"/>
    <col min="721" max="723" width="0.5703125" style="13"/>
    <col min="724" max="724" width="0.85546875" style="13" customWidth="1"/>
    <col min="725" max="725" width="0.5703125" style="13"/>
    <col min="726" max="726" width="0.85546875" style="13" customWidth="1"/>
    <col min="727" max="880" width="0.5703125" style="13"/>
    <col min="881" max="881" width="0" style="13" hidden="1" customWidth="1"/>
    <col min="882" max="908" width="0.5703125" style="13"/>
    <col min="909" max="910" width="0" style="13" hidden="1" customWidth="1"/>
    <col min="911" max="911" width="0.5703125" style="13"/>
    <col min="912" max="912" width="0" style="13" hidden="1" customWidth="1"/>
    <col min="913" max="918" width="0.5703125" style="13"/>
    <col min="919" max="919" width="0.42578125" style="13" customWidth="1"/>
    <col min="920" max="920" width="0.28515625" style="13" customWidth="1"/>
    <col min="921" max="956" width="0.5703125" style="13"/>
    <col min="957" max="957" width="0.140625" style="13" customWidth="1"/>
    <col min="958" max="958" width="0.5703125" style="13"/>
    <col min="959" max="960" width="1.28515625" style="13" customWidth="1"/>
    <col min="961" max="961" width="0.5703125" style="13"/>
    <col min="962" max="962" width="1.28515625" style="13" customWidth="1"/>
    <col min="963" max="963" width="0.5703125" style="13"/>
    <col min="964" max="964" width="1.140625" style="13" customWidth="1"/>
    <col min="965" max="965" width="0.5703125" style="13"/>
    <col min="966" max="966" width="1.140625" style="13" customWidth="1"/>
    <col min="967" max="967" width="0.5703125" style="13"/>
    <col min="968" max="968" width="1.140625" style="13" customWidth="1"/>
    <col min="969" max="970" width="0.5703125" style="13"/>
    <col min="971" max="971" width="0.85546875" style="13" customWidth="1"/>
    <col min="972" max="972" width="0.7109375" style="13" customWidth="1"/>
    <col min="973" max="975" width="0.5703125" style="13"/>
    <col min="976" max="976" width="1.140625" style="13" customWidth="1"/>
    <col min="977" max="979" width="0.5703125" style="13"/>
    <col min="980" max="980" width="0.85546875" style="13" customWidth="1"/>
    <col min="981" max="981" width="0.5703125" style="13"/>
    <col min="982" max="982" width="0.85546875" style="13" customWidth="1"/>
    <col min="983" max="1136" width="0.5703125" style="13"/>
    <col min="1137" max="1137" width="0" style="13" hidden="1" customWidth="1"/>
    <col min="1138" max="1164" width="0.5703125" style="13"/>
    <col min="1165" max="1166" width="0" style="13" hidden="1" customWidth="1"/>
    <col min="1167" max="1167" width="0.5703125" style="13"/>
    <col min="1168" max="1168" width="0" style="13" hidden="1" customWidth="1"/>
    <col min="1169" max="1174" width="0.5703125" style="13"/>
    <col min="1175" max="1175" width="0.42578125" style="13" customWidth="1"/>
    <col min="1176" max="1176" width="0.28515625" style="13" customWidth="1"/>
    <col min="1177" max="1212" width="0.5703125" style="13"/>
    <col min="1213" max="1213" width="0.140625" style="13" customWidth="1"/>
    <col min="1214" max="1214" width="0.5703125" style="13"/>
    <col min="1215" max="1216" width="1.28515625" style="13" customWidth="1"/>
    <col min="1217" max="1217" width="0.5703125" style="13"/>
    <col min="1218" max="1218" width="1.28515625" style="13" customWidth="1"/>
    <col min="1219" max="1219" width="0.5703125" style="13"/>
    <col min="1220" max="1220" width="1.140625" style="13" customWidth="1"/>
    <col min="1221" max="1221" width="0.5703125" style="13"/>
    <col min="1222" max="1222" width="1.140625" style="13" customWidth="1"/>
    <col min="1223" max="1223" width="0.5703125" style="13"/>
    <col min="1224" max="1224" width="1.140625" style="13" customWidth="1"/>
    <col min="1225" max="1226" width="0.5703125" style="13"/>
    <col min="1227" max="1227" width="0.85546875" style="13" customWidth="1"/>
    <col min="1228" max="1228" width="0.7109375" style="13" customWidth="1"/>
    <col min="1229" max="1231" width="0.5703125" style="13"/>
    <col min="1232" max="1232" width="1.140625" style="13" customWidth="1"/>
    <col min="1233" max="1235" width="0.5703125" style="13"/>
    <col min="1236" max="1236" width="0.85546875" style="13" customWidth="1"/>
    <col min="1237" max="1237" width="0.5703125" style="13"/>
    <col min="1238" max="1238" width="0.85546875" style="13" customWidth="1"/>
    <col min="1239" max="1392" width="0.5703125" style="13"/>
    <col min="1393" max="1393" width="0" style="13" hidden="1" customWidth="1"/>
    <col min="1394" max="1420" width="0.5703125" style="13"/>
    <col min="1421" max="1422" width="0" style="13" hidden="1" customWidth="1"/>
    <col min="1423" max="1423" width="0.5703125" style="13"/>
    <col min="1424" max="1424" width="0" style="13" hidden="1" customWidth="1"/>
    <col min="1425" max="1430" width="0.5703125" style="13"/>
    <col min="1431" max="1431" width="0.42578125" style="13" customWidth="1"/>
    <col min="1432" max="1432" width="0.28515625" style="13" customWidth="1"/>
    <col min="1433" max="1468" width="0.5703125" style="13"/>
    <col min="1469" max="1469" width="0.140625" style="13" customWidth="1"/>
    <col min="1470" max="1470" width="0.5703125" style="13"/>
    <col min="1471" max="1472" width="1.28515625" style="13" customWidth="1"/>
    <col min="1473" max="1473" width="0.5703125" style="13"/>
    <col min="1474" max="1474" width="1.28515625" style="13" customWidth="1"/>
    <col min="1475" max="1475" width="0.5703125" style="13"/>
    <col min="1476" max="1476" width="1.140625" style="13" customWidth="1"/>
    <col min="1477" max="1477" width="0.5703125" style="13"/>
    <col min="1478" max="1478" width="1.140625" style="13" customWidth="1"/>
    <col min="1479" max="1479" width="0.5703125" style="13"/>
    <col min="1480" max="1480" width="1.140625" style="13" customWidth="1"/>
    <col min="1481" max="1482" width="0.5703125" style="13"/>
    <col min="1483" max="1483" width="0.85546875" style="13" customWidth="1"/>
    <col min="1484" max="1484" width="0.7109375" style="13" customWidth="1"/>
    <col min="1485" max="1487" width="0.5703125" style="13"/>
    <col min="1488" max="1488" width="1.140625" style="13" customWidth="1"/>
    <col min="1489" max="1491" width="0.5703125" style="13"/>
    <col min="1492" max="1492" width="0.85546875" style="13" customWidth="1"/>
    <col min="1493" max="1493" width="0.5703125" style="13"/>
    <col min="1494" max="1494" width="0.85546875" style="13" customWidth="1"/>
    <col min="1495" max="1648" width="0.5703125" style="13"/>
    <col min="1649" max="1649" width="0" style="13" hidden="1" customWidth="1"/>
    <col min="1650" max="1676" width="0.5703125" style="13"/>
    <col min="1677" max="1678" width="0" style="13" hidden="1" customWidth="1"/>
    <col min="1679" max="1679" width="0.5703125" style="13"/>
    <col min="1680" max="1680" width="0" style="13" hidden="1" customWidth="1"/>
    <col min="1681" max="1686" width="0.5703125" style="13"/>
    <col min="1687" max="1687" width="0.42578125" style="13" customWidth="1"/>
    <col min="1688" max="1688" width="0.28515625" style="13" customWidth="1"/>
    <col min="1689" max="1724" width="0.5703125" style="13"/>
    <col min="1725" max="1725" width="0.140625" style="13" customWidth="1"/>
    <col min="1726" max="1726" width="0.5703125" style="13"/>
    <col min="1727" max="1728" width="1.28515625" style="13" customWidth="1"/>
    <col min="1729" max="1729" width="0.5703125" style="13"/>
    <col min="1730" max="1730" width="1.28515625" style="13" customWidth="1"/>
    <col min="1731" max="1731" width="0.5703125" style="13"/>
    <col min="1732" max="1732" width="1.140625" style="13" customWidth="1"/>
    <col min="1733" max="1733" width="0.5703125" style="13"/>
    <col min="1734" max="1734" width="1.140625" style="13" customWidth="1"/>
    <col min="1735" max="1735" width="0.5703125" style="13"/>
    <col min="1736" max="1736" width="1.140625" style="13" customWidth="1"/>
    <col min="1737" max="1738" width="0.5703125" style="13"/>
    <col min="1739" max="1739" width="0.85546875" style="13" customWidth="1"/>
    <col min="1740" max="1740" width="0.7109375" style="13" customWidth="1"/>
    <col min="1741" max="1743" width="0.5703125" style="13"/>
    <col min="1744" max="1744" width="1.140625" style="13" customWidth="1"/>
    <col min="1745" max="1747" width="0.5703125" style="13"/>
    <col min="1748" max="1748" width="0.85546875" style="13" customWidth="1"/>
    <col min="1749" max="1749" width="0.5703125" style="13"/>
    <col min="1750" max="1750" width="0.85546875" style="13" customWidth="1"/>
    <col min="1751" max="1904" width="0.5703125" style="13"/>
    <col min="1905" max="1905" width="0" style="13" hidden="1" customWidth="1"/>
    <col min="1906" max="1932" width="0.5703125" style="13"/>
    <col min="1933" max="1934" width="0" style="13" hidden="1" customWidth="1"/>
    <col min="1935" max="1935" width="0.5703125" style="13"/>
    <col min="1936" max="1936" width="0" style="13" hidden="1" customWidth="1"/>
    <col min="1937" max="1942" width="0.5703125" style="13"/>
    <col min="1943" max="1943" width="0.42578125" style="13" customWidth="1"/>
    <col min="1944" max="1944" width="0.28515625" style="13" customWidth="1"/>
    <col min="1945" max="1980" width="0.5703125" style="13"/>
    <col min="1981" max="1981" width="0.140625" style="13" customWidth="1"/>
    <col min="1982" max="1982" width="0.5703125" style="13"/>
    <col min="1983" max="1984" width="1.28515625" style="13" customWidth="1"/>
    <col min="1985" max="1985" width="0.5703125" style="13"/>
    <col min="1986" max="1986" width="1.28515625" style="13" customWidth="1"/>
    <col min="1987" max="1987" width="0.5703125" style="13"/>
    <col min="1988" max="1988" width="1.140625" style="13" customWidth="1"/>
    <col min="1989" max="1989" width="0.5703125" style="13"/>
    <col min="1990" max="1990" width="1.140625" style="13" customWidth="1"/>
    <col min="1991" max="1991" width="0.5703125" style="13"/>
    <col min="1992" max="1992" width="1.140625" style="13" customWidth="1"/>
    <col min="1993" max="1994" width="0.5703125" style="13"/>
    <col min="1995" max="1995" width="0.85546875" style="13" customWidth="1"/>
    <col min="1996" max="1996" width="0.7109375" style="13" customWidth="1"/>
    <col min="1997" max="1999" width="0.5703125" style="13"/>
    <col min="2000" max="2000" width="1.140625" style="13" customWidth="1"/>
    <col min="2001" max="2003" width="0.5703125" style="13"/>
    <col min="2004" max="2004" width="0.85546875" style="13" customWidth="1"/>
    <col min="2005" max="2005" width="0.5703125" style="13"/>
    <col min="2006" max="2006" width="0.85546875" style="13" customWidth="1"/>
    <col min="2007" max="2160" width="0.5703125" style="13"/>
    <col min="2161" max="2161" width="0" style="13" hidden="1" customWidth="1"/>
    <col min="2162" max="2188" width="0.5703125" style="13"/>
    <col min="2189" max="2190" width="0" style="13" hidden="1" customWidth="1"/>
    <col min="2191" max="2191" width="0.5703125" style="13"/>
    <col min="2192" max="2192" width="0" style="13" hidden="1" customWidth="1"/>
    <col min="2193" max="2198" width="0.5703125" style="13"/>
    <col min="2199" max="2199" width="0.42578125" style="13" customWidth="1"/>
    <col min="2200" max="2200" width="0.28515625" style="13" customWidth="1"/>
    <col min="2201" max="2236" width="0.5703125" style="13"/>
    <col min="2237" max="2237" width="0.140625" style="13" customWidth="1"/>
    <col min="2238" max="2238" width="0.5703125" style="13"/>
    <col min="2239" max="2240" width="1.28515625" style="13" customWidth="1"/>
    <col min="2241" max="2241" width="0.5703125" style="13"/>
    <col min="2242" max="2242" width="1.28515625" style="13" customWidth="1"/>
    <col min="2243" max="2243" width="0.5703125" style="13"/>
    <col min="2244" max="2244" width="1.140625" style="13" customWidth="1"/>
    <col min="2245" max="2245" width="0.5703125" style="13"/>
    <col min="2246" max="2246" width="1.140625" style="13" customWidth="1"/>
    <col min="2247" max="2247" width="0.5703125" style="13"/>
    <col min="2248" max="2248" width="1.140625" style="13" customWidth="1"/>
    <col min="2249" max="2250" width="0.5703125" style="13"/>
    <col min="2251" max="2251" width="0.85546875" style="13" customWidth="1"/>
    <col min="2252" max="2252" width="0.7109375" style="13" customWidth="1"/>
    <col min="2253" max="2255" width="0.5703125" style="13"/>
    <col min="2256" max="2256" width="1.140625" style="13" customWidth="1"/>
    <col min="2257" max="2259" width="0.5703125" style="13"/>
    <col min="2260" max="2260" width="0.85546875" style="13" customWidth="1"/>
    <col min="2261" max="2261" width="0.5703125" style="13"/>
    <col min="2262" max="2262" width="0.85546875" style="13" customWidth="1"/>
    <col min="2263" max="2416" width="0.5703125" style="13"/>
    <col min="2417" max="2417" width="0" style="13" hidden="1" customWidth="1"/>
    <col min="2418" max="2444" width="0.5703125" style="13"/>
    <col min="2445" max="2446" width="0" style="13" hidden="1" customWidth="1"/>
    <col min="2447" max="2447" width="0.5703125" style="13"/>
    <col min="2448" max="2448" width="0" style="13" hidden="1" customWidth="1"/>
    <col min="2449" max="2454" width="0.5703125" style="13"/>
    <col min="2455" max="2455" width="0.42578125" style="13" customWidth="1"/>
    <col min="2456" max="2456" width="0.28515625" style="13" customWidth="1"/>
    <col min="2457" max="2492" width="0.5703125" style="13"/>
    <col min="2493" max="2493" width="0.140625" style="13" customWidth="1"/>
    <col min="2494" max="2494" width="0.5703125" style="13"/>
    <col min="2495" max="2496" width="1.28515625" style="13" customWidth="1"/>
    <col min="2497" max="2497" width="0.5703125" style="13"/>
    <col min="2498" max="2498" width="1.28515625" style="13" customWidth="1"/>
    <col min="2499" max="2499" width="0.5703125" style="13"/>
    <col min="2500" max="2500" width="1.140625" style="13" customWidth="1"/>
    <col min="2501" max="2501" width="0.5703125" style="13"/>
    <col min="2502" max="2502" width="1.140625" style="13" customWidth="1"/>
    <col min="2503" max="2503" width="0.5703125" style="13"/>
    <col min="2504" max="2504" width="1.140625" style="13" customWidth="1"/>
    <col min="2505" max="2506" width="0.5703125" style="13"/>
    <col min="2507" max="2507" width="0.85546875" style="13" customWidth="1"/>
    <col min="2508" max="2508" width="0.7109375" style="13" customWidth="1"/>
    <col min="2509" max="2511" width="0.5703125" style="13"/>
    <col min="2512" max="2512" width="1.140625" style="13" customWidth="1"/>
    <col min="2513" max="2515" width="0.5703125" style="13"/>
    <col min="2516" max="2516" width="0.85546875" style="13" customWidth="1"/>
    <col min="2517" max="2517" width="0.5703125" style="13"/>
    <col min="2518" max="2518" width="0.85546875" style="13" customWidth="1"/>
    <col min="2519" max="2672" width="0.5703125" style="13"/>
    <col min="2673" max="2673" width="0" style="13" hidden="1" customWidth="1"/>
    <col min="2674" max="2700" width="0.5703125" style="13"/>
    <col min="2701" max="2702" width="0" style="13" hidden="1" customWidth="1"/>
    <col min="2703" max="2703" width="0.5703125" style="13"/>
    <col min="2704" max="2704" width="0" style="13" hidden="1" customWidth="1"/>
    <col min="2705" max="2710" width="0.5703125" style="13"/>
    <col min="2711" max="2711" width="0.42578125" style="13" customWidth="1"/>
    <col min="2712" max="2712" width="0.28515625" style="13" customWidth="1"/>
    <col min="2713" max="2748" width="0.5703125" style="13"/>
    <col min="2749" max="2749" width="0.140625" style="13" customWidth="1"/>
    <col min="2750" max="2750" width="0.5703125" style="13"/>
    <col min="2751" max="2752" width="1.28515625" style="13" customWidth="1"/>
    <col min="2753" max="2753" width="0.5703125" style="13"/>
    <col min="2754" max="2754" width="1.28515625" style="13" customWidth="1"/>
    <col min="2755" max="2755" width="0.5703125" style="13"/>
    <col min="2756" max="2756" width="1.140625" style="13" customWidth="1"/>
    <col min="2757" max="2757" width="0.5703125" style="13"/>
    <col min="2758" max="2758" width="1.140625" style="13" customWidth="1"/>
    <col min="2759" max="2759" width="0.5703125" style="13"/>
    <col min="2760" max="2760" width="1.140625" style="13" customWidth="1"/>
    <col min="2761" max="2762" width="0.5703125" style="13"/>
    <col min="2763" max="2763" width="0.85546875" style="13" customWidth="1"/>
    <col min="2764" max="2764" width="0.7109375" style="13" customWidth="1"/>
    <col min="2765" max="2767" width="0.5703125" style="13"/>
    <col min="2768" max="2768" width="1.140625" style="13" customWidth="1"/>
    <col min="2769" max="2771" width="0.5703125" style="13"/>
    <col min="2772" max="2772" width="0.85546875" style="13" customWidth="1"/>
    <col min="2773" max="2773" width="0.5703125" style="13"/>
    <col min="2774" max="2774" width="0.85546875" style="13" customWidth="1"/>
    <col min="2775" max="2928" width="0.5703125" style="13"/>
    <col min="2929" max="2929" width="0" style="13" hidden="1" customWidth="1"/>
    <col min="2930" max="2956" width="0.5703125" style="13"/>
    <col min="2957" max="2958" width="0" style="13" hidden="1" customWidth="1"/>
    <col min="2959" max="2959" width="0.5703125" style="13"/>
    <col min="2960" max="2960" width="0" style="13" hidden="1" customWidth="1"/>
    <col min="2961" max="2966" width="0.5703125" style="13"/>
    <col min="2967" max="2967" width="0.42578125" style="13" customWidth="1"/>
    <col min="2968" max="2968" width="0.28515625" style="13" customWidth="1"/>
    <col min="2969" max="3004" width="0.5703125" style="13"/>
    <col min="3005" max="3005" width="0.140625" style="13" customWidth="1"/>
    <col min="3006" max="3006" width="0.5703125" style="13"/>
    <col min="3007" max="3008" width="1.28515625" style="13" customWidth="1"/>
    <col min="3009" max="3009" width="0.5703125" style="13"/>
    <col min="3010" max="3010" width="1.28515625" style="13" customWidth="1"/>
    <col min="3011" max="3011" width="0.5703125" style="13"/>
    <col min="3012" max="3012" width="1.140625" style="13" customWidth="1"/>
    <col min="3013" max="3013" width="0.5703125" style="13"/>
    <col min="3014" max="3014" width="1.140625" style="13" customWidth="1"/>
    <col min="3015" max="3015" width="0.5703125" style="13"/>
    <col min="3016" max="3016" width="1.140625" style="13" customWidth="1"/>
    <col min="3017" max="3018" width="0.5703125" style="13"/>
    <col min="3019" max="3019" width="0.85546875" style="13" customWidth="1"/>
    <col min="3020" max="3020" width="0.7109375" style="13" customWidth="1"/>
    <col min="3021" max="3023" width="0.5703125" style="13"/>
    <col min="3024" max="3024" width="1.140625" style="13" customWidth="1"/>
    <col min="3025" max="3027" width="0.5703125" style="13"/>
    <col min="3028" max="3028" width="0.85546875" style="13" customWidth="1"/>
    <col min="3029" max="3029" width="0.5703125" style="13"/>
    <col min="3030" max="3030" width="0.85546875" style="13" customWidth="1"/>
    <col min="3031" max="3184" width="0.5703125" style="13"/>
    <col min="3185" max="3185" width="0" style="13" hidden="1" customWidth="1"/>
    <col min="3186" max="3212" width="0.5703125" style="13"/>
    <col min="3213" max="3214" width="0" style="13" hidden="1" customWidth="1"/>
    <col min="3215" max="3215" width="0.5703125" style="13"/>
    <col min="3216" max="3216" width="0" style="13" hidden="1" customWidth="1"/>
    <col min="3217" max="3222" width="0.5703125" style="13"/>
    <col min="3223" max="3223" width="0.42578125" style="13" customWidth="1"/>
    <col min="3224" max="3224" width="0.28515625" style="13" customWidth="1"/>
    <col min="3225" max="3260" width="0.5703125" style="13"/>
    <col min="3261" max="3261" width="0.140625" style="13" customWidth="1"/>
    <col min="3262" max="3262" width="0.5703125" style="13"/>
    <col min="3263" max="3264" width="1.28515625" style="13" customWidth="1"/>
    <col min="3265" max="3265" width="0.5703125" style="13"/>
    <col min="3266" max="3266" width="1.28515625" style="13" customWidth="1"/>
    <col min="3267" max="3267" width="0.5703125" style="13"/>
    <col min="3268" max="3268" width="1.140625" style="13" customWidth="1"/>
    <col min="3269" max="3269" width="0.5703125" style="13"/>
    <col min="3270" max="3270" width="1.140625" style="13" customWidth="1"/>
    <col min="3271" max="3271" width="0.5703125" style="13"/>
    <col min="3272" max="3272" width="1.140625" style="13" customWidth="1"/>
    <col min="3273" max="3274" width="0.5703125" style="13"/>
    <col min="3275" max="3275" width="0.85546875" style="13" customWidth="1"/>
    <col min="3276" max="3276" width="0.7109375" style="13" customWidth="1"/>
    <col min="3277" max="3279" width="0.5703125" style="13"/>
    <col min="3280" max="3280" width="1.140625" style="13" customWidth="1"/>
    <col min="3281" max="3283" width="0.5703125" style="13"/>
    <col min="3284" max="3284" width="0.85546875" style="13" customWidth="1"/>
    <col min="3285" max="3285" width="0.5703125" style="13"/>
    <col min="3286" max="3286" width="0.85546875" style="13" customWidth="1"/>
    <col min="3287" max="3440" width="0.5703125" style="13"/>
    <col min="3441" max="3441" width="0" style="13" hidden="1" customWidth="1"/>
    <col min="3442" max="3468" width="0.5703125" style="13"/>
    <col min="3469" max="3470" width="0" style="13" hidden="1" customWidth="1"/>
    <col min="3471" max="3471" width="0.5703125" style="13"/>
    <col min="3472" max="3472" width="0" style="13" hidden="1" customWidth="1"/>
    <col min="3473" max="3478" width="0.5703125" style="13"/>
    <col min="3479" max="3479" width="0.42578125" style="13" customWidth="1"/>
    <col min="3480" max="3480" width="0.28515625" style="13" customWidth="1"/>
    <col min="3481" max="3516" width="0.5703125" style="13"/>
    <col min="3517" max="3517" width="0.140625" style="13" customWidth="1"/>
    <col min="3518" max="3518" width="0.5703125" style="13"/>
    <col min="3519" max="3520" width="1.28515625" style="13" customWidth="1"/>
    <col min="3521" max="3521" width="0.5703125" style="13"/>
    <col min="3522" max="3522" width="1.28515625" style="13" customWidth="1"/>
    <col min="3523" max="3523" width="0.5703125" style="13"/>
    <col min="3524" max="3524" width="1.140625" style="13" customWidth="1"/>
    <col min="3525" max="3525" width="0.5703125" style="13"/>
    <col min="3526" max="3526" width="1.140625" style="13" customWidth="1"/>
    <col min="3527" max="3527" width="0.5703125" style="13"/>
    <col min="3528" max="3528" width="1.140625" style="13" customWidth="1"/>
    <col min="3529" max="3530" width="0.5703125" style="13"/>
    <col min="3531" max="3531" width="0.85546875" style="13" customWidth="1"/>
    <col min="3532" max="3532" width="0.7109375" style="13" customWidth="1"/>
    <col min="3533" max="3535" width="0.5703125" style="13"/>
    <col min="3536" max="3536" width="1.140625" style="13" customWidth="1"/>
    <col min="3537" max="3539" width="0.5703125" style="13"/>
    <col min="3540" max="3540" width="0.85546875" style="13" customWidth="1"/>
    <col min="3541" max="3541" width="0.5703125" style="13"/>
    <col min="3542" max="3542" width="0.85546875" style="13" customWidth="1"/>
    <col min="3543" max="3696" width="0.5703125" style="13"/>
    <col min="3697" max="3697" width="0" style="13" hidden="1" customWidth="1"/>
    <col min="3698" max="3724" width="0.5703125" style="13"/>
    <col min="3725" max="3726" width="0" style="13" hidden="1" customWidth="1"/>
    <col min="3727" max="3727" width="0.5703125" style="13"/>
    <col min="3728" max="3728" width="0" style="13" hidden="1" customWidth="1"/>
    <col min="3729" max="3734" width="0.5703125" style="13"/>
    <col min="3735" max="3735" width="0.42578125" style="13" customWidth="1"/>
    <col min="3736" max="3736" width="0.28515625" style="13" customWidth="1"/>
    <col min="3737" max="3772" width="0.5703125" style="13"/>
    <col min="3773" max="3773" width="0.140625" style="13" customWidth="1"/>
    <col min="3774" max="3774" width="0.5703125" style="13"/>
    <col min="3775" max="3776" width="1.28515625" style="13" customWidth="1"/>
    <col min="3777" max="3777" width="0.5703125" style="13"/>
    <col min="3778" max="3778" width="1.28515625" style="13" customWidth="1"/>
    <col min="3779" max="3779" width="0.5703125" style="13"/>
    <col min="3780" max="3780" width="1.140625" style="13" customWidth="1"/>
    <col min="3781" max="3781" width="0.5703125" style="13"/>
    <col min="3782" max="3782" width="1.140625" style="13" customWidth="1"/>
    <col min="3783" max="3783" width="0.5703125" style="13"/>
    <col min="3784" max="3784" width="1.140625" style="13" customWidth="1"/>
    <col min="3785" max="3786" width="0.5703125" style="13"/>
    <col min="3787" max="3787" width="0.85546875" style="13" customWidth="1"/>
    <col min="3788" max="3788" width="0.7109375" style="13" customWidth="1"/>
    <col min="3789" max="3791" width="0.5703125" style="13"/>
    <col min="3792" max="3792" width="1.140625" style="13" customWidth="1"/>
    <col min="3793" max="3795" width="0.5703125" style="13"/>
    <col min="3796" max="3796" width="0.85546875" style="13" customWidth="1"/>
    <col min="3797" max="3797" width="0.5703125" style="13"/>
    <col min="3798" max="3798" width="0.85546875" style="13" customWidth="1"/>
    <col min="3799" max="3952" width="0.5703125" style="13"/>
    <col min="3953" max="3953" width="0" style="13" hidden="1" customWidth="1"/>
    <col min="3954" max="3980" width="0.5703125" style="13"/>
    <col min="3981" max="3982" width="0" style="13" hidden="1" customWidth="1"/>
    <col min="3983" max="3983" width="0.5703125" style="13"/>
    <col min="3984" max="3984" width="0" style="13" hidden="1" customWidth="1"/>
    <col min="3985" max="3990" width="0.5703125" style="13"/>
    <col min="3991" max="3991" width="0.42578125" style="13" customWidth="1"/>
    <col min="3992" max="3992" width="0.28515625" style="13" customWidth="1"/>
    <col min="3993" max="4028" width="0.5703125" style="13"/>
    <col min="4029" max="4029" width="0.140625" style="13" customWidth="1"/>
    <col min="4030" max="4030" width="0.5703125" style="13"/>
    <col min="4031" max="4032" width="1.28515625" style="13" customWidth="1"/>
    <col min="4033" max="4033" width="0.5703125" style="13"/>
    <col min="4034" max="4034" width="1.28515625" style="13" customWidth="1"/>
    <col min="4035" max="4035" width="0.5703125" style="13"/>
    <col min="4036" max="4036" width="1.140625" style="13" customWidth="1"/>
    <col min="4037" max="4037" width="0.5703125" style="13"/>
    <col min="4038" max="4038" width="1.140625" style="13" customWidth="1"/>
    <col min="4039" max="4039" width="0.5703125" style="13"/>
    <col min="4040" max="4040" width="1.140625" style="13" customWidth="1"/>
    <col min="4041" max="4042" width="0.5703125" style="13"/>
    <col min="4043" max="4043" width="0.85546875" style="13" customWidth="1"/>
    <col min="4044" max="4044" width="0.7109375" style="13" customWidth="1"/>
    <col min="4045" max="4047" width="0.5703125" style="13"/>
    <col min="4048" max="4048" width="1.140625" style="13" customWidth="1"/>
    <col min="4049" max="4051" width="0.5703125" style="13"/>
    <col min="4052" max="4052" width="0.85546875" style="13" customWidth="1"/>
    <col min="4053" max="4053" width="0.5703125" style="13"/>
    <col min="4054" max="4054" width="0.85546875" style="13" customWidth="1"/>
    <col min="4055" max="4208" width="0.5703125" style="13"/>
    <col min="4209" max="4209" width="0" style="13" hidden="1" customWidth="1"/>
    <col min="4210" max="4236" width="0.5703125" style="13"/>
    <col min="4237" max="4238" width="0" style="13" hidden="1" customWidth="1"/>
    <col min="4239" max="4239" width="0.5703125" style="13"/>
    <col min="4240" max="4240" width="0" style="13" hidden="1" customWidth="1"/>
    <col min="4241" max="4246" width="0.5703125" style="13"/>
    <col min="4247" max="4247" width="0.42578125" style="13" customWidth="1"/>
    <col min="4248" max="4248" width="0.28515625" style="13" customWidth="1"/>
    <col min="4249" max="4284" width="0.5703125" style="13"/>
    <col min="4285" max="4285" width="0.140625" style="13" customWidth="1"/>
    <col min="4286" max="4286" width="0.5703125" style="13"/>
    <col min="4287" max="4288" width="1.28515625" style="13" customWidth="1"/>
    <col min="4289" max="4289" width="0.5703125" style="13"/>
    <col min="4290" max="4290" width="1.28515625" style="13" customWidth="1"/>
    <col min="4291" max="4291" width="0.5703125" style="13"/>
    <col min="4292" max="4292" width="1.140625" style="13" customWidth="1"/>
    <col min="4293" max="4293" width="0.5703125" style="13"/>
    <col min="4294" max="4294" width="1.140625" style="13" customWidth="1"/>
    <col min="4295" max="4295" width="0.5703125" style="13"/>
    <col min="4296" max="4296" width="1.140625" style="13" customWidth="1"/>
    <col min="4297" max="4298" width="0.5703125" style="13"/>
    <col min="4299" max="4299" width="0.85546875" style="13" customWidth="1"/>
    <col min="4300" max="4300" width="0.7109375" style="13" customWidth="1"/>
    <col min="4301" max="4303" width="0.5703125" style="13"/>
    <col min="4304" max="4304" width="1.140625" style="13" customWidth="1"/>
    <col min="4305" max="4307" width="0.5703125" style="13"/>
    <col min="4308" max="4308" width="0.85546875" style="13" customWidth="1"/>
    <col min="4309" max="4309" width="0.5703125" style="13"/>
    <col min="4310" max="4310" width="0.85546875" style="13" customWidth="1"/>
    <col min="4311" max="4464" width="0.5703125" style="13"/>
    <col min="4465" max="4465" width="0" style="13" hidden="1" customWidth="1"/>
    <col min="4466" max="4492" width="0.5703125" style="13"/>
    <col min="4493" max="4494" width="0" style="13" hidden="1" customWidth="1"/>
    <col min="4495" max="4495" width="0.5703125" style="13"/>
    <col min="4496" max="4496" width="0" style="13" hidden="1" customWidth="1"/>
    <col min="4497" max="4502" width="0.5703125" style="13"/>
    <col min="4503" max="4503" width="0.42578125" style="13" customWidth="1"/>
    <col min="4504" max="4504" width="0.28515625" style="13" customWidth="1"/>
    <col min="4505" max="4540" width="0.5703125" style="13"/>
    <col min="4541" max="4541" width="0.140625" style="13" customWidth="1"/>
    <col min="4542" max="4542" width="0.5703125" style="13"/>
    <col min="4543" max="4544" width="1.28515625" style="13" customWidth="1"/>
    <col min="4545" max="4545" width="0.5703125" style="13"/>
    <col min="4546" max="4546" width="1.28515625" style="13" customWidth="1"/>
    <col min="4547" max="4547" width="0.5703125" style="13"/>
    <col min="4548" max="4548" width="1.140625" style="13" customWidth="1"/>
    <col min="4549" max="4549" width="0.5703125" style="13"/>
    <col min="4550" max="4550" width="1.140625" style="13" customWidth="1"/>
    <col min="4551" max="4551" width="0.5703125" style="13"/>
    <col min="4552" max="4552" width="1.140625" style="13" customWidth="1"/>
    <col min="4553" max="4554" width="0.5703125" style="13"/>
    <col min="4555" max="4555" width="0.85546875" style="13" customWidth="1"/>
    <col min="4556" max="4556" width="0.7109375" style="13" customWidth="1"/>
    <col min="4557" max="4559" width="0.5703125" style="13"/>
    <col min="4560" max="4560" width="1.140625" style="13" customWidth="1"/>
    <col min="4561" max="4563" width="0.5703125" style="13"/>
    <col min="4564" max="4564" width="0.85546875" style="13" customWidth="1"/>
    <col min="4565" max="4565" width="0.5703125" style="13"/>
    <col min="4566" max="4566" width="0.85546875" style="13" customWidth="1"/>
    <col min="4567" max="4720" width="0.5703125" style="13"/>
    <col min="4721" max="4721" width="0" style="13" hidden="1" customWidth="1"/>
    <col min="4722" max="4748" width="0.5703125" style="13"/>
    <col min="4749" max="4750" width="0" style="13" hidden="1" customWidth="1"/>
    <col min="4751" max="4751" width="0.5703125" style="13"/>
    <col min="4752" max="4752" width="0" style="13" hidden="1" customWidth="1"/>
    <col min="4753" max="4758" width="0.5703125" style="13"/>
    <col min="4759" max="4759" width="0.42578125" style="13" customWidth="1"/>
    <col min="4760" max="4760" width="0.28515625" style="13" customWidth="1"/>
    <col min="4761" max="4796" width="0.5703125" style="13"/>
    <col min="4797" max="4797" width="0.140625" style="13" customWidth="1"/>
    <col min="4798" max="4798" width="0.5703125" style="13"/>
    <col min="4799" max="4800" width="1.28515625" style="13" customWidth="1"/>
    <col min="4801" max="4801" width="0.5703125" style="13"/>
    <col min="4802" max="4802" width="1.28515625" style="13" customWidth="1"/>
    <col min="4803" max="4803" width="0.5703125" style="13"/>
    <col min="4804" max="4804" width="1.140625" style="13" customWidth="1"/>
    <col min="4805" max="4805" width="0.5703125" style="13"/>
    <col min="4806" max="4806" width="1.140625" style="13" customWidth="1"/>
    <col min="4807" max="4807" width="0.5703125" style="13"/>
    <col min="4808" max="4808" width="1.140625" style="13" customWidth="1"/>
    <col min="4809" max="4810" width="0.5703125" style="13"/>
    <col min="4811" max="4811" width="0.85546875" style="13" customWidth="1"/>
    <col min="4812" max="4812" width="0.7109375" style="13" customWidth="1"/>
    <col min="4813" max="4815" width="0.5703125" style="13"/>
    <col min="4816" max="4816" width="1.140625" style="13" customWidth="1"/>
    <col min="4817" max="4819" width="0.5703125" style="13"/>
    <col min="4820" max="4820" width="0.85546875" style="13" customWidth="1"/>
    <col min="4821" max="4821" width="0.5703125" style="13"/>
    <col min="4822" max="4822" width="0.85546875" style="13" customWidth="1"/>
    <col min="4823" max="4976" width="0.5703125" style="13"/>
    <col min="4977" max="4977" width="0" style="13" hidden="1" customWidth="1"/>
    <col min="4978" max="5004" width="0.5703125" style="13"/>
    <col min="5005" max="5006" width="0" style="13" hidden="1" customWidth="1"/>
    <col min="5007" max="5007" width="0.5703125" style="13"/>
    <col min="5008" max="5008" width="0" style="13" hidden="1" customWidth="1"/>
    <col min="5009" max="5014" width="0.5703125" style="13"/>
    <col min="5015" max="5015" width="0.42578125" style="13" customWidth="1"/>
    <col min="5016" max="5016" width="0.28515625" style="13" customWidth="1"/>
    <col min="5017" max="5052" width="0.5703125" style="13"/>
    <col min="5053" max="5053" width="0.140625" style="13" customWidth="1"/>
    <col min="5054" max="5054" width="0.5703125" style="13"/>
    <col min="5055" max="5056" width="1.28515625" style="13" customWidth="1"/>
    <col min="5057" max="5057" width="0.5703125" style="13"/>
    <col min="5058" max="5058" width="1.28515625" style="13" customWidth="1"/>
    <col min="5059" max="5059" width="0.5703125" style="13"/>
    <col min="5060" max="5060" width="1.140625" style="13" customWidth="1"/>
    <col min="5061" max="5061" width="0.5703125" style="13"/>
    <col min="5062" max="5062" width="1.140625" style="13" customWidth="1"/>
    <col min="5063" max="5063" width="0.5703125" style="13"/>
    <col min="5064" max="5064" width="1.140625" style="13" customWidth="1"/>
    <col min="5065" max="5066" width="0.5703125" style="13"/>
    <col min="5067" max="5067" width="0.85546875" style="13" customWidth="1"/>
    <col min="5068" max="5068" width="0.7109375" style="13" customWidth="1"/>
    <col min="5069" max="5071" width="0.5703125" style="13"/>
    <col min="5072" max="5072" width="1.140625" style="13" customWidth="1"/>
    <col min="5073" max="5075" width="0.5703125" style="13"/>
    <col min="5076" max="5076" width="0.85546875" style="13" customWidth="1"/>
    <col min="5077" max="5077" width="0.5703125" style="13"/>
    <col min="5078" max="5078" width="0.85546875" style="13" customWidth="1"/>
    <col min="5079" max="5232" width="0.5703125" style="13"/>
    <col min="5233" max="5233" width="0" style="13" hidden="1" customWidth="1"/>
    <col min="5234" max="5260" width="0.5703125" style="13"/>
    <col min="5261" max="5262" width="0" style="13" hidden="1" customWidth="1"/>
    <col min="5263" max="5263" width="0.5703125" style="13"/>
    <col min="5264" max="5264" width="0" style="13" hidden="1" customWidth="1"/>
    <col min="5265" max="5270" width="0.5703125" style="13"/>
    <col min="5271" max="5271" width="0.42578125" style="13" customWidth="1"/>
    <col min="5272" max="5272" width="0.28515625" style="13" customWidth="1"/>
    <col min="5273" max="5308" width="0.5703125" style="13"/>
    <col min="5309" max="5309" width="0.140625" style="13" customWidth="1"/>
    <col min="5310" max="5310" width="0.5703125" style="13"/>
    <col min="5311" max="5312" width="1.28515625" style="13" customWidth="1"/>
    <col min="5313" max="5313" width="0.5703125" style="13"/>
    <col min="5314" max="5314" width="1.28515625" style="13" customWidth="1"/>
    <col min="5315" max="5315" width="0.5703125" style="13"/>
    <col min="5316" max="5316" width="1.140625" style="13" customWidth="1"/>
    <col min="5317" max="5317" width="0.5703125" style="13"/>
    <col min="5318" max="5318" width="1.140625" style="13" customWidth="1"/>
    <col min="5319" max="5319" width="0.5703125" style="13"/>
    <col min="5320" max="5320" width="1.140625" style="13" customWidth="1"/>
    <col min="5321" max="5322" width="0.5703125" style="13"/>
    <col min="5323" max="5323" width="0.85546875" style="13" customWidth="1"/>
    <col min="5324" max="5324" width="0.7109375" style="13" customWidth="1"/>
    <col min="5325" max="5327" width="0.5703125" style="13"/>
    <col min="5328" max="5328" width="1.140625" style="13" customWidth="1"/>
    <col min="5329" max="5331" width="0.5703125" style="13"/>
    <col min="5332" max="5332" width="0.85546875" style="13" customWidth="1"/>
    <col min="5333" max="5333" width="0.5703125" style="13"/>
    <col min="5334" max="5334" width="0.85546875" style="13" customWidth="1"/>
    <col min="5335" max="5488" width="0.5703125" style="13"/>
    <col min="5489" max="5489" width="0" style="13" hidden="1" customWidth="1"/>
    <col min="5490" max="5516" width="0.5703125" style="13"/>
    <col min="5517" max="5518" width="0" style="13" hidden="1" customWidth="1"/>
    <col min="5519" max="5519" width="0.5703125" style="13"/>
    <col min="5520" max="5520" width="0" style="13" hidden="1" customWidth="1"/>
    <col min="5521" max="5526" width="0.5703125" style="13"/>
    <col min="5527" max="5527" width="0.42578125" style="13" customWidth="1"/>
    <col min="5528" max="5528" width="0.28515625" style="13" customWidth="1"/>
    <col min="5529" max="5564" width="0.5703125" style="13"/>
    <col min="5565" max="5565" width="0.140625" style="13" customWidth="1"/>
    <col min="5566" max="5566" width="0.5703125" style="13"/>
    <col min="5567" max="5568" width="1.28515625" style="13" customWidth="1"/>
    <col min="5569" max="5569" width="0.5703125" style="13"/>
    <col min="5570" max="5570" width="1.28515625" style="13" customWidth="1"/>
    <col min="5571" max="5571" width="0.5703125" style="13"/>
    <col min="5572" max="5572" width="1.140625" style="13" customWidth="1"/>
    <col min="5573" max="5573" width="0.5703125" style="13"/>
    <col min="5574" max="5574" width="1.140625" style="13" customWidth="1"/>
    <col min="5575" max="5575" width="0.5703125" style="13"/>
    <col min="5576" max="5576" width="1.140625" style="13" customWidth="1"/>
    <col min="5577" max="5578" width="0.5703125" style="13"/>
    <col min="5579" max="5579" width="0.85546875" style="13" customWidth="1"/>
    <col min="5580" max="5580" width="0.7109375" style="13" customWidth="1"/>
    <col min="5581" max="5583" width="0.5703125" style="13"/>
    <col min="5584" max="5584" width="1.140625" style="13" customWidth="1"/>
    <col min="5585" max="5587" width="0.5703125" style="13"/>
    <col min="5588" max="5588" width="0.85546875" style="13" customWidth="1"/>
    <col min="5589" max="5589" width="0.5703125" style="13"/>
    <col min="5590" max="5590" width="0.85546875" style="13" customWidth="1"/>
    <col min="5591" max="5744" width="0.5703125" style="13"/>
    <col min="5745" max="5745" width="0" style="13" hidden="1" customWidth="1"/>
    <col min="5746" max="5772" width="0.5703125" style="13"/>
    <col min="5773" max="5774" width="0" style="13" hidden="1" customWidth="1"/>
    <col min="5775" max="5775" width="0.5703125" style="13"/>
    <col min="5776" max="5776" width="0" style="13" hidden="1" customWidth="1"/>
    <col min="5777" max="5782" width="0.5703125" style="13"/>
    <col min="5783" max="5783" width="0.42578125" style="13" customWidth="1"/>
    <col min="5784" max="5784" width="0.28515625" style="13" customWidth="1"/>
    <col min="5785" max="5820" width="0.5703125" style="13"/>
    <col min="5821" max="5821" width="0.140625" style="13" customWidth="1"/>
    <col min="5822" max="5822" width="0.5703125" style="13"/>
    <col min="5823" max="5824" width="1.28515625" style="13" customWidth="1"/>
    <col min="5825" max="5825" width="0.5703125" style="13"/>
    <col min="5826" max="5826" width="1.28515625" style="13" customWidth="1"/>
    <col min="5827" max="5827" width="0.5703125" style="13"/>
    <col min="5828" max="5828" width="1.140625" style="13" customWidth="1"/>
    <col min="5829" max="5829" width="0.5703125" style="13"/>
    <col min="5830" max="5830" width="1.140625" style="13" customWidth="1"/>
    <col min="5831" max="5831" width="0.5703125" style="13"/>
    <col min="5832" max="5832" width="1.140625" style="13" customWidth="1"/>
    <col min="5833" max="5834" width="0.5703125" style="13"/>
    <col min="5835" max="5835" width="0.85546875" style="13" customWidth="1"/>
    <col min="5836" max="5836" width="0.7109375" style="13" customWidth="1"/>
    <col min="5837" max="5839" width="0.5703125" style="13"/>
    <col min="5840" max="5840" width="1.140625" style="13" customWidth="1"/>
    <col min="5841" max="5843" width="0.5703125" style="13"/>
    <col min="5844" max="5844" width="0.85546875" style="13" customWidth="1"/>
    <col min="5845" max="5845" width="0.5703125" style="13"/>
    <col min="5846" max="5846" width="0.85546875" style="13" customWidth="1"/>
    <col min="5847" max="6000" width="0.5703125" style="13"/>
    <col min="6001" max="6001" width="0" style="13" hidden="1" customWidth="1"/>
    <col min="6002" max="6028" width="0.5703125" style="13"/>
    <col min="6029" max="6030" width="0" style="13" hidden="1" customWidth="1"/>
    <col min="6031" max="6031" width="0.5703125" style="13"/>
    <col min="6032" max="6032" width="0" style="13" hidden="1" customWidth="1"/>
    <col min="6033" max="6038" width="0.5703125" style="13"/>
    <col min="6039" max="6039" width="0.42578125" style="13" customWidth="1"/>
    <col min="6040" max="6040" width="0.28515625" style="13" customWidth="1"/>
    <col min="6041" max="6076" width="0.5703125" style="13"/>
    <col min="6077" max="6077" width="0.140625" style="13" customWidth="1"/>
    <col min="6078" max="6078" width="0.5703125" style="13"/>
    <col min="6079" max="6080" width="1.28515625" style="13" customWidth="1"/>
    <col min="6081" max="6081" width="0.5703125" style="13"/>
    <col min="6082" max="6082" width="1.28515625" style="13" customWidth="1"/>
    <col min="6083" max="6083" width="0.5703125" style="13"/>
    <col min="6084" max="6084" width="1.140625" style="13" customWidth="1"/>
    <col min="6085" max="6085" width="0.5703125" style="13"/>
    <col min="6086" max="6086" width="1.140625" style="13" customWidth="1"/>
    <col min="6087" max="6087" width="0.5703125" style="13"/>
    <col min="6088" max="6088" width="1.140625" style="13" customWidth="1"/>
    <col min="6089" max="6090" width="0.5703125" style="13"/>
    <col min="6091" max="6091" width="0.85546875" style="13" customWidth="1"/>
    <col min="6092" max="6092" width="0.7109375" style="13" customWidth="1"/>
    <col min="6093" max="6095" width="0.5703125" style="13"/>
    <col min="6096" max="6096" width="1.140625" style="13" customWidth="1"/>
    <col min="6097" max="6099" width="0.5703125" style="13"/>
    <col min="6100" max="6100" width="0.85546875" style="13" customWidth="1"/>
    <col min="6101" max="6101" width="0.5703125" style="13"/>
    <col min="6102" max="6102" width="0.85546875" style="13" customWidth="1"/>
    <col min="6103" max="6256" width="0.5703125" style="13"/>
    <col min="6257" max="6257" width="0" style="13" hidden="1" customWidth="1"/>
    <col min="6258" max="6284" width="0.5703125" style="13"/>
    <col min="6285" max="6286" width="0" style="13" hidden="1" customWidth="1"/>
    <col min="6287" max="6287" width="0.5703125" style="13"/>
    <col min="6288" max="6288" width="0" style="13" hidden="1" customWidth="1"/>
    <col min="6289" max="6294" width="0.5703125" style="13"/>
    <col min="6295" max="6295" width="0.42578125" style="13" customWidth="1"/>
    <col min="6296" max="6296" width="0.28515625" style="13" customWidth="1"/>
    <col min="6297" max="6332" width="0.5703125" style="13"/>
    <col min="6333" max="6333" width="0.140625" style="13" customWidth="1"/>
    <col min="6334" max="6334" width="0.5703125" style="13"/>
    <col min="6335" max="6336" width="1.28515625" style="13" customWidth="1"/>
    <col min="6337" max="6337" width="0.5703125" style="13"/>
    <col min="6338" max="6338" width="1.28515625" style="13" customWidth="1"/>
    <col min="6339" max="6339" width="0.5703125" style="13"/>
    <col min="6340" max="6340" width="1.140625" style="13" customWidth="1"/>
    <col min="6341" max="6341" width="0.5703125" style="13"/>
    <col min="6342" max="6342" width="1.140625" style="13" customWidth="1"/>
    <col min="6343" max="6343" width="0.5703125" style="13"/>
    <col min="6344" max="6344" width="1.140625" style="13" customWidth="1"/>
    <col min="6345" max="6346" width="0.5703125" style="13"/>
    <col min="6347" max="6347" width="0.85546875" style="13" customWidth="1"/>
    <col min="6348" max="6348" width="0.7109375" style="13" customWidth="1"/>
    <col min="6349" max="6351" width="0.5703125" style="13"/>
    <col min="6352" max="6352" width="1.140625" style="13" customWidth="1"/>
    <col min="6353" max="6355" width="0.5703125" style="13"/>
    <col min="6356" max="6356" width="0.85546875" style="13" customWidth="1"/>
    <col min="6357" max="6357" width="0.5703125" style="13"/>
    <col min="6358" max="6358" width="0.85546875" style="13" customWidth="1"/>
    <col min="6359" max="6512" width="0.5703125" style="13"/>
    <col min="6513" max="6513" width="0" style="13" hidden="1" customWidth="1"/>
    <col min="6514" max="6540" width="0.5703125" style="13"/>
    <col min="6541" max="6542" width="0" style="13" hidden="1" customWidth="1"/>
    <col min="6543" max="6543" width="0.5703125" style="13"/>
    <col min="6544" max="6544" width="0" style="13" hidden="1" customWidth="1"/>
    <col min="6545" max="6550" width="0.5703125" style="13"/>
    <col min="6551" max="6551" width="0.42578125" style="13" customWidth="1"/>
    <col min="6552" max="6552" width="0.28515625" style="13" customWidth="1"/>
    <col min="6553" max="6588" width="0.5703125" style="13"/>
    <col min="6589" max="6589" width="0.140625" style="13" customWidth="1"/>
    <col min="6590" max="6590" width="0.5703125" style="13"/>
    <col min="6591" max="6592" width="1.28515625" style="13" customWidth="1"/>
    <col min="6593" max="6593" width="0.5703125" style="13"/>
    <col min="6594" max="6594" width="1.28515625" style="13" customWidth="1"/>
    <col min="6595" max="6595" width="0.5703125" style="13"/>
    <col min="6596" max="6596" width="1.140625" style="13" customWidth="1"/>
    <col min="6597" max="6597" width="0.5703125" style="13"/>
    <col min="6598" max="6598" width="1.140625" style="13" customWidth="1"/>
    <col min="6599" max="6599" width="0.5703125" style="13"/>
    <col min="6600" max="6600" width="1.140625" style="13" customWidth="1"/>
    <col min="6601" max="6602" width="0.5703125" style="13"/>
    <col min="6603" max="6603" width="0.85546875" style="13" customWidth="1"/>
    <col min="6604" max="6604" width="0.7109375" style="13" customWidth="1"/>
    <col min="6605" max="6607" width="0.5703125" style="13"/>
    <col min="6608" max="6608" width="1.140625" style="13" customWidth="1"/>
    <col min="6609" max="6611" width="0.5703125" style="13"/>
    <col min="6612" max="6612" width="0.85546875" style="13" customWidth="1"/>
    <col min="6613" max="6613" width="0.5703125" style="13"/>
    <col min="6614" max="6614" width="0.85546875" style="13" customWidth="1"/>
    <col min="6615" max="6768" width="0.5703125" style="13"/>
    <col min="6769" max="6769" width="0" style="13" hidden="1" customWidth="1"/>
    <col min="6770" max="6796" width="0.5703125" style="13"/>
    <col min="6797" max="6798" width="0" style="13" hidden="1" customWidth="1"/>
    <col min="6799" max="6799" width="0.5703125" style="13"/>
    <col min="6800" max="6800" width="0" style="13" hidden="1" customWidth="1"/>
    <col min="6801" max="6806" width="0.5703125" style="13"/>
    <col min="6807" max="6807" width="0.42578125" style="13" customWidth="1"/>
    <col min="6808" max="6808" width="0.28515625" style="13" customWidth="1"/>
    <col min="6809" max="6844" width="0.5703125" style="13"/>
    <col min="6845" max="6845" width="0.140625" style="13" customWidth="1"/>
    <col min="6846" max="6846" width="0.5703125" style="13"/>
    <col min="6847" max="6848" width="1.28515625" style="13" customWidth="1"/>
    <col min="6849" max="6849" width="0.5703125" style="13"/>
    <col min="6850" max="6850" width="1.28515625" style="13" customWidth="1"/>
    <col min="6851" max="6851" width="0.5703125" style="13"/>
    <col min="6852" max="6852" width="1.140625" style="13" customWidth="1"/>
    <col min="6853" max="6853" width="0.5703125" style="13"/>
    <col min="6854" max="6854" width="1.140625" style="13" customWidth="1"/>
    <col min="6855" max="6855" width="0.5703125" style="13"/>
    <col min="6856" max="6856" width="1.140625" style="13" customWidth="1"/>
    <col min="6857" max="6858" width="0.5703125" style="13"/>
    <col min="6859" max="6859" width="0.85546875" style="13" customWidth="1"/>
    <col min="6860" max="6860" width="0.7109375" style="13" customWidth="1"/>
    <col min="6861" max="6863" width="0.5703125" style="13"/>
    <col min="6864" max="6864" width="1.140625" style="13" customWidth="1"/>
    <col min="6865" max="6867" width="0.5703125" style="13"/>
    <col min="6868" max="6868" width="0.85546875" style="13" customWidth="1"/>
    <col min="6869" max="6869" width="0.5703125" style="13"/>
    <col min="6870" max="6870" width="0.85546875" style="13" customWidth="1"/>
    <col min="6871" max="7024" width="0.5703125" style="13"/>
    <col min="7025" max="7025" width="0" style="13" hidden="1" customWidth="1"/>
    <col min="7026" max="7052" width="0.5703125" style="13"/>
    <col min="7053" max="7054" width="0" style="13" hidden="1" customWidth="1"/>
    <col min="7055" max="7055" width="0.5703125" style="13"/>
    <col min="7056" max="7056" width="0" style="13" hidden="1" customWidth="1"/>
    <col min="7057" max="7062" width="0.5703125" style="13"/>
    <col min="7063" max="7063" width="0.42578125" style="13" customWidth="1"/>
    <col min="7064" max="7064" width="0.28515625" style="13" customWidth="1"/>
    <col min="7065" max="7100" width="0.5703125" style="13"/>
    <col min="7101" max="7101" width="0.140625" style="13" customWidth="1"/>
    <col min="7102" max="7102" width="0.5703125" style="13"/>
    <col min="7103" max="7104" width="1.28515625" style="13" customWidth="1"/>
    <col min="7105" max="7105" width="0.5703125" style="13"/>
    <col min="7106" max="7106" width="1.28515625" style="13" customWidth="1"/>
    <col min="7107" max="7107" width="0.5703125" style="13"/>
    <col min="7108" max="7108" width="1.140625" style="13" customWidth="1"/>
    <col min="7109" max="7109" width="0.5703125" style="13"/>
    <col min="7110" max="7110" width="1.140625" style="13" customWidth="1"/>
    <col min="7111" max="7111" width="0.5703125" style="13"/>
    <col min="7112" max="7112" width="1.140625" style="13" customWidth="1"/>
    <col min="7113" max="7114" width="0.5703125" style="13"/>
    <col min="7115" max="7115" width="0.85546875" style="13" customWidth="1"/>
    <col min="7116" max="7116" width="0.7109375" style="13" customWidth="1"/>
    <col min="7117" max="7119" width="0.5703125" style="13"/>
    <col min="7120" max="7120" width="1.140625" style="13" customWidth="1"/>
    <col min="7121" max="7123" width="0.5703125" style="13"/>
    <col min="7124" max="7124" width="0.85546875" style="13" customWidth="1"/>
    <col min="7125" max="7125" width="0.5703125" style="13"/>
    <col min="7126" max="7126" width="0.85546875" style="13" customWidth="1"/>
    <col min="7127" max="7280" width="0.5703125" style="13"/>
    <col min="7281" max="7281" width="0" style="13" hidden="1" customWidth="1"/>
    <col min="7282" max="7308" width="0.5703125" style="13"/>
    <col min="7309" max="7310" width="0" style="13" hidden="1" customWidth="1"/>
    <col min="7311" max="7311" width="0.5703125" style="13"/>
    <col min="7312" max="7312" width="0" style="13" hidden="1" customWidth="1"/>
    <col min="7313" max="7318" width="0.5703125" style="13"/>
    <col min="7319" max="7319" width="0.42578125" style="13" customWidth="1"/>
    <col min="7320" max="7320" width="0.28515625" style="13" customWidth="1"/>
    <col min="7321" max="7356" width="0.5703125" style="13"/>
    <col min="7357" max="7357" width="0.140625" style="13" customWidth="1"/>
    <col min="7358" max="7358" width="0.5703125" style="13"/>
    <col min="7359" max="7360" width="1.28515625" style="13" customWidth="1"/>
    <col min="7361" max="7361" width="0.5703125" style="13"/>
    <col min="7362" max="7362" width="1.28515625" style="13" customWidth="1"/>
    <col min="7363" max="7363" width="0.5703125" style="13"/>
    <col min="7364" max="7364" width="1.140625" style="13" customWidth="1"/>
    <col min="7365" max="7365" width="0.5703125" style="13"/>
    <col min="7366" max="7366" width="1.140625" style="13" customWidth="1"/>
    <col min="7367" max="7367" width="0.5703125" style="13"/>
    <col min="7368" max="7368" width="1.140625" style="13" customWidth="1"/>
    <col min="7369" max="7370" width="0.5703125" style="13"/>
    <col min="7371" max="7371" width="0.85546875" style="13" customWidth="1"/>
    <col min="7372" max="7372" width="0.7109375" style="13" customWidth="1"/>
    <col min="7373" max="7375" width="0.5703125" style="13"/>
    <col min="7376" max="7376" width="1.140625" style="13" customWidth="1"/>
    <col min="7377" max="7379" width="0.5703125" style="13"/>
    <col min="7380" max="7380" width="0.85546875" style="13" customWidth="1"/>
    <col min="7381" max="7381" width="0.5703125" style="13"/>
    <col min="7382" max="7382" width="0.85546875" style="13" customWidth="1"/>
    <col min="7383" max="7536" width="0.5703125" style="13"/>
    <col min="7537" max="7537" width="0" style="13" hidden="1" customWidth="1"/>
    <col min="7538" max="7564" width="0.5703125" style="13"/>
    <col min="7565" max="7566" width="0" style="13" hidden="1" customWidth="1"/>
    <col min="7567" max="7567" width="0.5703125" style="13"/>
    <col min="7568" max="7568" width="0" style="13" hidden="1" customWidth="1"/>
    <col min="7569" max="7574" width="0.5703125" style="13"/>
    <col min="7575" max="7575" width="0.42578125" style="13" customWidth="1"/>
    <col min="7576" max="7576" width="0.28515625" style="13" customWidth="1"/>
    <col min="7577" max="7612" width="0.5703125" style="13"/>
    <col min="7613" max="7613" width="0.140625" style="13" customWidth="1"/>
    <col min="7614" max="7614" width="0.5703125" style="13"/>
    <col min="7615" max="7616" width="1.28515625" style="13" customWidth="1"/>
    <col min="7617" max="7617" width="0.5703125" style="13"/>
    <col min="7618" max="7618" width="1.28515625" style="13" customWidth="1"/>
    <col min="7619" max="7619" width="0.5703125" style="13"/>
    <col min="7620" max="7620" width="1.140625" style="13" customWidth="1"/>
    <col min="7621" max="7621" width="0.5703125" style="13"/>
    <col min="7622" max="7622" width="1.140625" style="13" customWidth="1"/>
    <col min="7623" max="7623" width="0.5703125" style="13"/>
    <col min="7624" max="7624" width="1.140625" style="13" customWidth="1"/>
    <col min="7625" max="7626" width="0.5703125" style="13"/>
    <col min="7627" max="7627" width="0.85546875" style="13" customWidth="1"/>
    <col min="7628" max="7628" width="0.7109375" style="13" customWidth="1"/>
    <col min="7629" max="7631" width="0.5703125" style="13"/>
    <col min="7632" max="7632" width="1.140625" style="13" customWidth="1"/>
    <col min="7633" max="7635" width="0.5703125" style="13"/>
    <col min="7636" max="7636" width="0.85546875" style="13" customWidth="1"/>
    <col min="7637" max="7637" width="0.5703125" style="13"/>
    <col min="7638" max="7638" width="0.85546875" style="13" customWidth="1"/>
    <col min="7639" max="7792" width="0.5703125" style="13"/>
    <col min="7793" max="7793" width="0" style="13" hidden="1" customWidth="1"/>
    <col min="7794" max="7820" width="0.5703125" style="13"/>
    <col min="7821" max="7822" width="0" style="13" hidden="1" customWidth="1"/>
    <col min="7823" max="7823" width="0.5703125" style="13"/>
    <col min="7824" max="7824" width="0" style="13" hidden="1" customWidth="1"/>
    <col min="7825" max="7830" width="0.5703125" style="13"/>
    <col min="7831" max="7831" width="0.42578125" style="13" customWidth="1"/>
    <col min="7832" max="7832" width="0.28515625" style="13" customWidth="1"/>
    <col min="7833" max="7868" width="0.5703125" style="13"/>
    <col min="7869" max="7869" width="0.140625" style="13" customWidth="1"/>
    <col min="7870" max="7870" width="0.5703125" style="13"/>
    <col min="7871" max="7872" width="1.28515625" style="13" customWidth="1"/>
    <col min="7873" max="7873" width="0.5703125" style="13"/>
    <col min="7874" max="7874" width="1.28515625" style="13" customWidth="1"/>
    <col min="7875" max="7875" width="0.5703125" style="13"/>
    <col min="7876" max="7876" width="1.140625" style="13" customWidth="1"/>
    <col min="7877" max="7877" width="0.5703125" style="13"/>
    <col min="7878" max="7878" width="1.140625" style="13" customWidth="1"/>
    <col min="7879" max="7879" width="0.5703125" style="13"/>
    <col min="7880" max="7880" width="1.140625" style="13" customWidth="1"/>
    <col min="7881" max="7882" width="0.5703125" style="13"/>
    <col min="7883" max="7883" width="0.85546875" style="13" customWidth="1"/>
    <col min="7884" max="7884" width="0.7109375" style="13" customWidth="1"/>
    <col min="7885" max="7887" width="0.5703125" style="13"/>
    <col min="7888" max="7888" width="1.140625" style="13" customWidth="1"/>
    <col min="7889" max="7891" width="0.5703125" style="13"/>
    <col min="7892" max="7892" width="0.85546875" style="13" customWidth="1"/>
    <col min="7893" max="7893" width="0.5703125" style="13"/>
    <col min="7894" max="7894" width="0.85546875" style="13" customWidth="1"/>
    <col min="7895" max="8048" width="0.5703125" style="13"/>
    <col min="8049" max="8049" width="0" style="13" hidden="1" customWidth="1"/>
    <col min="8050" max="8076" width="0.5703125" style="13"/>
    <col min="8077" max="8078" width="0" style="13" hidden="1" customWidth="1"/>
    <col min="8079" max="8079" width="0.5703125" style="13"/>
    <col min="8080" max="8080" width="0" style="13" hidden="1" customWidth="1"/>
    <col min="8081" max="8086" width="0.5703125" style="13"/>
    <col min="8087" max="8087" width="0.42578125" style="13" customWidth="1"/>
    <col min="8088" max="8088" width="0.28515625" style="13" customWidth="1"/>
    <col min="8089" max="8124" width="0.5703125" style="13"/>
    <col min="8125" max="8125" width="0.140625" style="13" customWidth="1"/>
    <col min="8126" max="8126" width="0.5703125" style="13"/>
    <col min="8127" max="8128" width="1.28515625" style="13" customWidth="1"/>
    <col min="8129" max="8129" width="0.5703125" style="13"/>
    <col min="8130" max="8130" width="1.28515625" style="13" customWidth="1"/>
    <col min="8131" max="8131" width="0.5703125" style="13"/>
    <col min="8132" max="8132" width="1.140625" style="13" customWidth="1"/>
    <col min="8133" max="8133" width="0.5703125" style="13"/>
    <col min="8134" max="8134" width="1.140625" style="13" customWidth="1"/>
    <col min="8135" max="8135" width="0.5703125" style="13"/>
    <col min="8136" max="8136" width="1.140625" style="13" customWidth="1"/>
    <col min="8137" max="8138" width="0.5703125" style="13"/>
    <col min="8139" max="8139" width="0.85546875" style="13" customWidth="1"/>
    <col min="8140" max="8140" width="0.7109375" style="13" customWidth="1"/>
    <col min="8141" max="8143" width="0.5703125" style="13"/>
    <col min="8144" max="8144" width="1.140625" style="13" customWidth="1"/>
    <col min="8145" max="8147" width="0.5703125" style="13"/>
    <col min="8148" max="8148" width="0.85546875" style="13" customWidth="1"/>
    <col min="8149" max="8149" width="0.5703125" style="13"/>
    <col min="8150" max="8150" width="0.85546875" style="13" customWidth="1"/>
    <col min="8151" max="8304" width="0.5703125" style="13"/>
    <col min="8305" max="8305" width="0" style="13" hidden="1" customWidth="1"/>
    <col min="8306" max="8332" width="0.5703125" style="13"/>
    <col min="8333" max="8334" width="0" style="13" hidden="1" customWidth="1"/>
    <col min="8335" max="8335" width="0.5703125" style="13"/>
    <col min="8336" max="8336" width="0" style="13" hidden="1" customWidth="1"/>
    <col min="8337" max="8342" width="0.5703125" style="13"/>
    <col min="8343" max="8343" width="0.42578125" style="13" customWidth="1"/>
    <col min="8344" max="8344" width="0.28515625" style="13" customWidth="1"/>
    <col min="8345" max="8380" width="0.5703125" style="13"/>
    <col min="8381" max="8381" width="0.140625" style="13" customWidth="1"/>
    <col min="8382" max="8382" width="0.5703125" style="13"/>
    <col min="8383" max="8384" width="1.28515625" style="13" customWidth="1"/>
    <col min="8385" max="8385" width="0.5703125" style="13"/>
    <col min="8386" max="8386" width="1.28515625" style="13" customWidth="1"/>
    <col min="8387" max="8387" width="0.5703125" style="13"/>
    <col min="8388" max="8388" width="1.140625" style="13" customWidth="1"/>
    <col min="8389" max="8389" width="0.5703125" style="13"/>
    <col min="8390" max="8390" width="1.140625" style="13" customWidth="1"/>
    <col min="8391" max="8391" width="0.5703125" style="13"/>
    <col min="8392" max="8392" width="1.140625" style="13" customWidth="1"/>
    <col min="8393" max="8394" width="0.5703125" style="13"/>
    <col min="8395" max="8395" width="0.85546875" style="13" customWidth="1"/>
    <col min="8396" max="8396" width="0.7109375" style="13" customWidth="1"/>
    <col min="8397" max="8399" width="0.5703125" style="13"/>
    <col min="8400" max="8400" width="1.140625" style="13" customWidth="1"/>
    <col min="8401" max="8403" width="0.5703125" style="13"/>
    <col min="8404" max="8404" width="0.85546875" style="13" customWidth="1"/>
    <col min="8405" max="8405" width="0.5703125" style="13"/>
    <col min="8406" max="8406" width="0.85546875" style="13" customWidth="1"/>
    <col min="8407" max="8560" width="0.5703125" style="13"/>
    <col min="8561" max="8561" width="0" style="13" hidden="1" customWidth="1"/>
    <col min="8562" max="8588" width="0.5703125" style="13"/>
    <col min="8589" max="8590" width="0" style="13" hidden="1" customWidth="1"/>
    <col min="8591" max="8591" width="0.5703125" style="13"/>
    <col min="8592" max="8592" width="0" style="13" hidden="1" customWidth="1"/>
    <col min="8593" max="8598" width="0.5703125" style="13"/>
    <col min="8599" max="8599" width="0.42578125" style="13" customWidth="1"/>
    <col min="8600" max="8600" width="0.28515625" style="13" customWidth="1"/>
    <col min="8601" max="8636" width="0.5703125" style="13"/>
    <col min="8637" max="8637" width="0.140625" style="13" customWidth="1"/>
    <col min="8638" max="8638" width="0.5703125" style="13"/>
    <col min="8639" max="8640" width="1.28515625" style="13" customWidth="1"/>
    <col min="8641" max="8641" width="0.5703125" style="13"/>
    <col min="8642" max="8642" width="1.28515625" style="13" customWidth="1"/>
    <col min="8643" max="8643" width="0.5703125" style="13"/>
    <col min="8644" max="8644" width="1.140625" style="13" customWidth="1"/>
    <col min="8645" max="8645" width="0.5703125" style="13"/>
    <col min="8646" max="8646" width="1.140625" style="13" customWidth="1"/>
    <col min="8647" max="8647" width="0.5703125" style="13"/>
    <col min="8648" max="8648" width="1.140625" style="13" customWidth="1"/>
    <col min="8649" max="8650" width="0.5703125" style="13"/>
    <col min="8651" max="8651" width="0.85546875" style="13" customWidth="1"/>
    <col min="8652" max="8652" width="0.7109375" style="13" customWidth="1"/>
    <col min="8653" max="8655" width="0.5703125" style="13"/>
    <col min="8656" max="8656" width="1.140625" style="13" customWidth="1"/>
    <col min="8657" max="8659" width="0.5703125" style="13"/>
    <col min="8660" max="8660" width="0.85546875" style="13" customWidth="1"/>
    <col min="8661" max="8661" width="0.5703125" style="13"/>
    <col min="8662" max="8662" width="0.85546875" style="13" customWidth="1"/>
    <col min="8663" max="8816" width="0.5703125" style="13"/>
    <col min="8817" max="8817" width="0" style="13" hidden="1" customWidth="1"/>
    <col min="8818" max="8844" width="0.5703125" style="13"/>
    <col min="8845" max="8846" width="0" style="13" hidden="1" customWidth="1"/>
    <col min="8847" max="8847" width="0.5703125" style="13"/>
    <col min="8848" max="8848" width="0" style="13" hidden="1" customWidth="1"/>
    <col min="8849" max="8854" width="0.5703125" style="13"/>
    <col min="8855" max="8855" width="0.42578125" style="13" customWidth="1"/>
    <col min="8856" max="8856" width="0.28515625" style="13" customWidth="1"/>
    <col min="8857" max="8892" width="0.5703125" style="13"/>
    <col min="8893" max="8893" width="0.140625" style="13" customWidth="1"/>
    <col min="8894" max="8894" width="0.5703125" style="13"/>
    <col min="8895" max="8896" width="1.28515625" style="13" customWidth="1"/>
    <col min="8897" max="8897" width="0.5703125" style="13"/>
    <col min="8898" max="8898" width="1.28515625" style="13" customWidth="1"/>
    <col min="8899" max="8899" width="0.5703125" style="13"/>
    <col min="8900" max="8900" width="1.140625" style="13" customWidth="1"/>
    <col min="8901" max="8901" width="0.5703125" style="13"/>
    <col min="8902" max="8902" width="1.140625" style="13" customWidth="1"/>
    <col min="8903" max="8903" width="0.5703125" style="13"/>
    <col min="8904" max="8904" width="1.140625" style="13" customWidth="1"/>
    <col min="8905" max="8906" width="0.5703125" style="13"/>
    <col min="8907" max="8907" width="0.85546875" style="13" customWidth="1"/>
    <col min="8908" max="8908" width="0.7109375" style="13" customWidth="1"/>
    <col min="8909" max="8911" width="0.5703125" style="13"/>
    <col min="8912" max="8912" width="1.140625" style="13" customWidth="1"/>
    <col min="8913" max="8915" width="0.5703125" style="13"/>
    <col min="8916" max="8916" width="0.85546875" style="13" customWidth="1"/>
    <col min="8917" max="8917" width="0.5703125" style="13"/>
    <col min="8918" max="8918" width="0.85546875" style="13" customWidth="1"/>
    <col min="8919" max="9072" width="0.5703125" style="13"/>
    <col min="9073" max="9073" width="0" style="13" hidden="1" customWidth="1"/>
    <col min="9074" max="9100" width="0.5703125" style="13"/>
    <col min="9101" max="9102" width="0" style="13" hidden="1" customWidth="1"/>
    <col min="9103" max="9103" width="0.5703125" style="13"/>
    <col min="9104" max="9104" width="0" style="13" hidden="1" customWidth="1"/>
    <col min="9105" max="9110" width="0.5703125" style="13"/>
    <col min="9111" max="9111" width="0.42578125" style="13" customWidth="1"/>
    <col min="9112" max="9112" width="0.28515625" style="13" customWidth="1"/>
    <col min="9113" max="9148" width="0.5703125" style="13"/>
    <col min="9149" max="9149" width="0.140625" style="13" customWidth="1"/>
    <col min="9150" max="9150" width="0.5703125" style="13"/>
    <col min="9151" max="9152" width="1.28515625" style="13" customWidth="1"/>
    <col min="9153" max="9153" width="0.5703125" style="13"/>
    <col min="9154" max="9154" width="1.28515625" style="13" customWidth="1"/>
    <col min="9155" max="9155" width="0.5703125" style="13"/>
    <col min="9156" max="9156" width="1.140625" style="13" customWidth="1"/>
    <col min="9157" max="9157" width="0.5703125" style="13"/>
    <col min="9158" max="9158" width="1.140625" style="13" customWidth="1"/>
    <col min="9159" max="9159" width="0.5703125" style="13"/>
    <col min="9160" max="9160" width="1.140625" style="13" customWidth="1"/>
    <col min="9161" max="9162" width="0.5703125" style="13"/>
    <col min="9163" max="9163" width="0.85546875" style="13" customWidth="1"/>
    <col min="9164" max="9164" width="0.7109375" style="13" customWidth="1"/>
    <col min="9165" max="9167" width="0.5703125" style="13"/>
    <col min="9168" max="9168" width="1.140625" style="13" customWidth="1"/>
    <col min="9169" max="9171" width="0.5703125" style="13"/>
    <col min="9172" max="9172" width="0.85546875" style="13" customWidth="1"/>
    <col min="9173" max="9173" width="0.5703125" style="13"/>
    <col min="9174" max="9174" width="0.85546875" style="13" customWidth="1"/>
    <col min="9175" max="9328" width="0.5703125" style="13"/>
    <col min="9329" max="9329" width="0" style="13" hidden="1" customWidth="1"/>
    <col min="9330" max="9356" width="0.5703125" style="13"/>
    <col min="9357" max="9358" width="0" style="13" hidden="1" customWidth="1"/>
    <col min="9359" max="9359" width="0.5703125" style="13"/>
    <col min="9360" max="9360" width="0" style="13" hidden="1" customWidth="1"/>
    <col min="9361" max="9366" width="0.5703125" style="13"/>
    <col min="9367" max="9367" width="0.42578125" style="13" customWidth="1"/>
    <col min="9368" max="9368" width="0.28515625" style="13" customWidth="1"/>
    <col min="9369" max="9404" width="0.5703125" style="13"/>
    <col min="9405" max="9405" width="0.140625" style="13" customWidth="1"/>
    <col min="9406" max="9406" width="0.5703125" style="13"/>
    <col min="9407" max="9408" width="1.28515625" style="13" customWidth="1"/>
    <col min="9409" max="9409" width="0.5703125" style="13"/>
    <col min="9410" max="9410" width="1.28515625" style="13" customWidth="1"/>
    <col min="9411" max="9411" width="0.5703125" style="13"/>
    <col min="9412" max="9412" width="1.140625" style="13" customWidth="1"/>
    <col min="9413" max="9413" width="0.5703125" style="13"/>
    <col min="9414" max="9414" width="1.140625" style="13" customWidth="1"/>
    <col min="9415" max="9415" width="0.5703125" style="13"/>
    <col min="9416" max="9416" width="1.140625" style="13" customWidth="1"/>
    <col min="9417" max="9418" width="0.5703125" style="13"/>
    <col min="9419" max="9419" width="0.85546875" style="13" customWidth="1"/>
    <col min="9420" max="9420" width="0.7109375" style="13" customWidth="1"/>
    <col min="9421" max="9423" width="0.5703125" style="13"/>
    <col min="9424" max="9424" width="1.140625" style="13" customWidth="1"/>
    <col min="9425" max="9427" width="0.5703125" style="13"/>
    <col min="9428" max="9428" width="0.85546875" style="13" customWidth="1"/>
    <col min="9429" max="9429" width="0.5703125" style="13"/>
    <col min="9430" max="9430" width="0.85546875" style="13" customWidth="1"/>
    <col min="9431" max="9584" width="0.5703125" style="13"/>
    <col min="9585" max="9585" width="0" style="13" hidden="1" customWidth="1"/>
    <col min="9586" max="9612" width="0.5703125" style="13"/>
    <col min="9613" max="9614" width="0" style="13" hidden="1" customWidth="1"/>
    <col min="9615" max="9615" width="0.5703125" style="13"/>
    <col min="9616" max="9616" width="0" style="13" hidden="1" customWidth="1"/>
    <col min="9617" max="9622" width="0.5703125" style="13"/>
    <col min="9623" max="9623" width="0.42578125" style="13" customWidth="1"/>
    <col min="9624" max="9624" width="0.28515625" style="13" customWidth="1"/>
    <col min="9625" max="9660" width="0.5703125" style="13"/>
    <col min="9661" max="9661" width="0.140625" style="13" customWidth="1"/>
    <col min="9662" max="9662" width="0.5703125" style="13"/>
    <col min="9663" max="9664" width="1.28515625" style="13" customWidth="1"/>
    <col min="9665" max="9665" width="0.5703125" style="13"/>
    <col min="9666" max="9666" width="1.28515625" style="13" customWidth="1"/>
    <col min="9667" max="9667" width="0.5703125" style="13"/>
    <col min="9668" max="9668" width="1.140625" style="13" customWidth="1"/>
    <col min="9669" max="9669" width="0.5703125" style="13"/>
    <col min="9670" max="9670" width="1.140625" style="13" customWidth="1"/>
    <col min="9671" max="9671" width="0.5703125" style="13"/>
    <col min="9672" max="9672" width="1.140625" style="13" customWidth="1"/>
    <col min="9673" max="9674" width="0.5703125" style="13"/>
    <col min="9675" max="9675" width="0.85546875" style="13" customWidth="1"/>
    <col min="9676" max="9676" width="0.7109375" style="13" customWidth="1"/>
    <col min="9677" max="9679" width="0.5703125" style="13"/>
    <col min="9680" max="9680" width="1.140625" style="13" customWidth="1"/>
    <col min="9681" max="9683" width="0.5703125" style="13"/>
    <col min="9684" max="9684" width="0.85546875" style="13" customWidth="1"/>
    <col min="9685" max="9685" width="0.5703125" style="13"/>
    <col min="9686" max="9686" width="0.85546875" style="13" customWidth="1"/>
    <col min="9687" max="9840" width="0.5703125" style="13"/>
    <col min="9841" max="9841" width="0" style="13" hidden="1" customWidth="1"/>
    <col min="9842" max="9868" width="0.5703125" style="13"/>
    <col min="9869" max="9870" width="0" style="13" hidden="1" customWidth="1"/>
    <col min="9871" max="9871" width="0.5703125" style="13"/>
    <col min="9872" max="9872" width="0" style="13" hidden="1" customWidth="1"/>
    <col min="9873" max="9878" width="0.5703125" style="13"/>
    <col min="9879" max="9879" width="0.42578125" style="13" customWidth="1"/>
    <col min="9880" max="9880" width="0.28515625" style="13" customWidth="1"/>
    <col min="9881" max="9916" width="0.5703125" style="13"/>
    <col min="9917" max="9917" width="0.140625" style="13" customWidth="1"/>
    <col min="9918" max="9918" width="0.5703125" style="13"/>
    <col min="9919" max="9920" width="1.28515625" style="13" customWidth="1"/>
    <col min="9921" max="9921" width="0.5703125" style="13"/>
    <col min="9922" max="9922" width="1.28515625" style="13" customWidth="1"/>
    <col min="9923" max="9923" width="0.5703125" style="13"/>
    <col min="9924" max="9924" width="1.140625" style="13" customWidth="1"/>
    <col min="9925" max="9925" width="0.5703125" style="13"/>
    <col min="9926" max="9926" width="1.140625" style="13" customWidth="1"/>
    <col min="9927" max="9927" width="0.5703125" style="13"/>
    <col min="9928" max="9928" width="1.140625" style="13" customWidth="1"/>
    <col min="9929" max="9930" width="0.5703125" style="13"/>
    <col min="9931" max="9931" width="0.85546875" style="13" customWidth="1"/>
    <col min="9932" max="9932" width="0.7109375" style="13" customWidth="1"/>
    <col min="9933" max="9935" width="0.5703125" style="13"/>
    <col min="9936" max="9936" width="1.140625" style="13" customWidth="1"/>
    <col min="9937" max="9939" width="0.5703125" style="13"/>
    <col min="9940" max="9940" width="0.85546875" style="13" customWidth="1"/>
    <col min="9941" max="9941" width="0.5703125" style="13"/>
    <col min="9942" max="9942" width="0.85546875" style="13" customWidth="1"/>
    <col min="9943" max="10096" width="0.5703125" style="13"/>
    <col min="10097" max="10097" width="0" style="13" hidden="1" customWidth="1"/>
    <col min="10098" max="10124" width="0.5703125" style="13"/>
    <col min="10125" max="10126" width="0" style="13" hidden="1" customWidth="1"/>
    <col min="10127" max="10127" width="0.5703125" style="13"/>
    <col min="10128" max="10128" width="0" style="13" hidden="1" customWidth="1"/>
    <col min="10129" max="10134" width="0.5703125" style="13"/>
    <col min="10135" max="10135" width="0.42578125" style="13" customWidth="1"/>
    <col min="10136" max="10136" width="0.28515625" style="13" customWidth="1"/>
    <col min="10137" max="10172" width="0.5703125" style="13"/>
    <col min="10173" max="10173" width="0.140625" style="13" customWidth="1"/>
    <col min="10174" max="10174" width="0.5703125" style="13"/>
    <col min="10175" max="10176" width="1.28515625" style="13" customWidth="1"/>
    <col min="10177" max="10177" width="0.5703125" style="13"/>
    <col min="10178" max="10178" width="1.28515625" style="13" customWidth="1"/>
    <col min="10179" max="10179" width="0.5703125" style="13"/>
    <col min="10180" max="10180" width="1.140625" style="13" customWidth="1"/>
    <col min="10181" max="10181" width="0.5703125" style="13"/>
    <col min="10182" max="10182" width="1.140625" style="13" customWidth="1"/>
    <col min="10183" max="10183" width="0.5703125" style="13"/>
    <col min="10184" max="10184" width="1.140625" style="13" customWidth="1"/>
    <col min="10185" max="10186" width="0.5703125" style="13"/>
    <col min="10187" max="10187" width="0.85546875" style="13" customWidth="1"/>
    <col min="10188" max="10188" width="0.7109375" style="13" customWidth="1"/>
    <col min="10189" max="10191" width="0.5703125" style="13"/>
    <col min="10192" max="10192" width="1.140625" style="13" customWidth="1"/>
    <col min="10193" max="10195" width="0.5703125" style="13"/>
    <col min="10196" max="10196" width="0.85546875" style="13" customWidth="1"/>
    <col min="10197" max="10197" width="0.5703125" style="13"/>
    <col min="10198" max="10198" width="0.85546875" style="13" customWidth="1"/>
    <col min="10199" max="10352" width="0.5703125" style="13"/>
    <col min="10353" max="10353" width="0" style="13" hidden="1" customWidth="1"/>
    <col min="10354" max="10380" width="0.5703125" style="13"/>
    <col min="10381" max="10382" width="0" style="13" hidden="1" customWidth="1"/>
    <col min="10383" max="10383" width="0.5703125" style="13"/>
    <col min="10384" max="10384" width="0" style="13" hidden="1" customWidth="1"/>
    <col min="10385" max="10390" width="0.5703125" style="13"/>
    <col min="10391" max="10391" width="0.42578125" style="13" customWidth="1"/>
    <col min="10392" max="10392" width="0.28515625" style="13" customWidth="1"/>
    <col min="10393" max="10428" width="0.5703125" style="13"/>
    <col min="10429" max="10429" width="0.140625" style="13" customWidth="1"/>
    <col min="10430" max="10430" width="0.5703125" style="13"/>
    <col min="10431" max="10432" width="1.28515625" style="13" customWidth="1"/>
    <col min="10433" max="10433" width="0.5703125" style="13"/>
    <col min="10434" max="10434" width="1.28515625" style="13" customWidth="1"/>
    <col min="10435" max="10435" width="0.5703125" style="13"/>
    <col min="10436" max="10436" width="1.140625" style="13" customWidth="1"/>
    <col min="10437" max="10437" width="0.5703125" style="13"/>
    <col min="10438" max="10438" width="1.140625" style="13" customWidth="1"/>
    <col min="10439" max="10439" width="0.5703125" style="13"/>
    <col min="10440" max="10440" width="1.140625" style="13" customWidth="1"/>
    <col min="10441" max="10442" width="0.5703125" style="13"/>
    <col min="10443" max="10443" width="0.85546875" style="13" customWidth="1"/>
    <col min="10444" max="10444" width="0.7109375" style="13" customWidth="1"/>
    <col min="10445" max="10447" width="0.5703125" style="13"/>
    <col min="10448" max="10448" width="1.140625" style="13" customWidth="1"/>
    <col min="10449" max="10451" width="0.5703125" style="13"/>
    <col min="10452" max="10452" width="0.85546875" style="13" customWidth="1"/>
    <col min="10453" max="10453" width="0.5703125" style="13"/>
    <col min="10454" max="10454" width="0.85546875" style="13" customWidth="1"/>
    <col min="10455" max="10608" width="0.5703125" style="13"/>
    <col min="10609" max="10609" width="0" style="13" hidden="1" customWidth="1"/>
    <col min="10610" max="10636" width="0.5703125" style="13"/>
    <col min="10637" max="10638" width="0" style="13" hidden="1" customWidth="1"/>
    <col min="10639" max="10639" width="0.5703125" style="13"/>
    <col min="10640" max="10640" width="0" style="13" hidden="1" customWidth="1"/>
    <col min="10641" max="10646" width="0.5703125" style="13"/>
    <col min="10647" max="10647" width="0.42578125" style="13" customWidth="1"/>
    <col min="10648" max="10648" width="0.28515625" style="13" customWidth="1"/>
    <col min="10649" max="10684" width="0.5703125" style="13"/>
    <col min="10685" max="10685" width="0.140625" style="13" customWidth="1"/>
    <col min="10686" max="10686" width="0.5703125" style="13"/>
    <col min="10687" max="10688" width="1.28515625" style="13" customWidth="1"/>
    <col min="10689" max="10689" width="0.5703125" style="13"/>
    <col min="10690" max="10690" width="1.28515625" style="13" customWidth="1"/>
    <col min="10691" max="10691" width="0.5703125" style="13"/>
    <col min="10692" max="10692" width="1.140625" style="13" customWidth="1"/>
    <col min="10693" max="10693" width="0.5703125" style="13"/>
    <col min="10694" max="10694" width="1.140625" style="13" customWidth="1"/>
    <col min="10695" max="10695" width="0.5703125" style="13"/>
    <col min="10696" max="10696" width="1.140625" style="13" customWidth="1"/>
    <col min="10697" max="10698" width="0.5703125" style="13"/>
    <col min="10699" max="10699" width="0.85546875" style="13" customWidth="1"/>
    <col min="10700" max="10700" width="0.7109375" style="13" customWidth="1"/>
    <col min="10701" max="10703" width="0.5703125" style="13"/>
    <col min="10704" max="10704" width="1.140625" style="13" customWidth="1"/>
    <col min="10705" max="10707" width="0.5703125" style="13"/>
    <col min="10708" max="10708" width="0.85546875" style="13" customWidth="1"/>
    <col min="10709" max="10709" width="0.5703125" style="13"/>
    <col min="10710" max="10710" width="0.85546875" style="13" customWidth="1"/>
    <col min="10711" max="10864" width="0.5703125" style="13"/>
    <col min="10865" max="10865" width="0" style="13" hidden="1" customWidth="1"/>
    <col min="10866" max="10892" width="0.5703125" style="13"/>
    <col min="10893" max="10894" width="0" style="13" hidden="1" customWidth="1"/>
    <col min="10895" max="10895" width="0.5703125" style="13"/>
    <col min="10896" max="10896" width="0" style="13" hidden="1" customWidth="1"/>
    <col min="10897" max="10902" width="0.5703125" style="13"/>
    <col min="10903" max="10903" width="0.42578125" style="13" customWidth="1"/>
    <col min="10904" max="10904" width="0.28515625" style="13" customWidth="1"/>
    <col min="10905" max="10940" width="0.5703125" style="13"/>
    <col min="10941" max="10941" width="0.140625" style="13" customWidth="1"/>
    <col min="10942" max="10942" width="0.5703125" style="13"/>
    <col min="10943" max="10944" width="1.28515625" style="13" customWidth="1"/>
    <col min="10945" max="10945" width="0.5703125" style="13"/>
    <col min="10946" max="10946" width="1.28515625" style="13" customWidth="1"/>
    <col min="10947" max="10947" width="0.5703125" style="13"/>
    <col min="10948" max="10948" width="1.140625" style="13" customWidth="1"/>
    <col min="10949" max="10949" width="0.5703125" style="13"/>
    <col min="10950" max="10950" width="1.140625" style="13" customWidth="1"/>
    <col min="10951" max="10951" width="0.5703125" style="13"/>
    <col min="10952" max="10952" width="1.140625" style="13" customWidth="1"/>
    <col min="10953" max="10954" width="0.5703125" style="13"/>
    <col min="10955" max="10955" width="0.85546875" style="13" customWidth="1"/>
    <col min="10956" max="10956" width="0.7109375" style="13" customWidth="1"/>
    <col min="10957" max="10959" width="0.5703125" style="13"/>
    <col min="10960" max="10960" width="1.140625" style="13" customWidth="1"/>
    <col min="10961" max="10963" width="0.5703125" style="13"/>
    <col min="10964" max="10964" width="0.85546875" style="13" customWidth="1"/>
    <col min="10965" max="10965" width="0.5703125" style="13"/>
    <col min="10966" max="10966" width="0.85546875" style="13" customWidth="1"/>
    <col min="10967" max="11120" width="0.5703125" style="13"/>
    <col min="11121" max="11121" width="0" style="13" hidden="1" customWidth="1"/>
    <col min="11122" max="11148" width="0.5703125" style="13"/>
    <col min="11149" max="11150" width="0" style="13" hidden="1" customWidth="1"/>
    <col min="11151" max="11151" width="0.5703125" style="13"/>
    <col min="11152" max="11152" width="0" style="13" hidden="1" customWidth="1"/>
    <col min="11153" max="11158" width="0.5703125" style="13"/>
    <col min="11159" max="11159" width="0.42578125" style="13" customWidth="1"/>
    <col min="11160" max="11160" width="0.28515625" style="13" customWidth="1"/>
    <col min="11161" max="11196" width="0.5703125" style="13"/>
    <col min="11197" max="11197" width="0.140625" style="13" customWidth="1"/>
    <col min="11198" max="11198" width="0.5703125" style="13"/>
    <col min="11199" max="11200" width="1.28515625" style="13" customWidth="1"/>
    <col min="11201" max="11201" width="0.5703125" style="13"/>
    <col min="11202" max="11202" width="1.28515625" style="13" customWidth="1"/>
    <col min="11203" max="11203" width="0.5703125" style="13"/>
    <col min="11204" max="11204" width="1.140625" style="13" customWidth="1"/>
    <col min="11205" max="11205" width="0.5703125" style="13"/>
    <col min="11206" max="11206" width="1.140625" style="13" customWidth="1"/>
    <col min="11207" max="11207" width="0.5703125" style="13"/>
    <col min="11208" max="11208" width="1.140625" style="13" customWidth="1"/>
    <col min="11209" max="11210" width="0.5703125" style="13"/>
    <col min="11211" max="11211" width="0.85546875" style="13" customWidth="1"/>
    <col min="11212" max="11212" width="0.7109375" style="13" customWidth="1"/>
    <col min="11213" max="11215" width="0.5703125" style="13"/>
    <col min="11216" max="11216" width="1.140625" style="13" customWidth="1"/>
    <col min="11217" max="11219" width="0.5703125" style="13"/>
    <col min="11220" max="11220" width="0.85546875" style="13" customWidth="1"/>
    <col min="11221" max="11221" width="0.5703125" style="13"/>
    <col min="11222" max="11222" width="0.85546875" style="13" customWidth="1"/>
    <col min="11223" max="11376" width="0.5703125" style="13"/>
    <col min="11377" max="11377" width="0" style="13" hidden="1" customWidth="1"/>
    <col min="11378" max="11404" width="0.5703125" style="13"/>
    <col min="11405" max="11406" width="0" style="13" hidden="1" customWidth="1"/>
    <col min="11407" max="11407" width="0.5703125" style="13"/>
    <col min="11408" max="11408" width="0" style="13" hidden="1" customWidth="1"/>
    <col min="11409" max="11414" width="0.5703125" style="13"/>
    <col min="11415" max="11415" width="0.42578125" style="13" customWidth="1"/>
    <col min="11416" max="11416" width="0.28515625" style="13" customWidth="1"/>
    <col min="11417" max="11452" width="0.5703125" style="13"/>
    <col min="11453" max="11453" width="0.140625" style="13" customWidth="1"/>
    <col min="11454" max="11454" width="0.5703125" style="13"/>
    <col min="11455" max="11456" width="1.28515625" style="13" customWidth="1"/>
    <col min="11457" max="11457" width="0.5703125" style="13"/>
    <col min="11458" max="11458" width="1.28515625" style="13" customWidth="1"/>
    <col min="11459" max="11459" width="0.5703125" style="13"/>
    <col min="11460" max="11460" width="1.140625" style="13" customWidth="1"/>
    <col min="11461" max="11461" width="0.5703125" style="13"/>
    <col min="11462" max="11462" width="1.140625" style="13" customWidth="1"/>
    <col min="11463" max="11463" width="0.5703125" style="13"/>
    <col min="11464" max="11464" width="1.140625" style="13" customWidth="1"/>
    <col min="11465" max="11466" width="0.5703125" style="13"/>
    <col min="11467" max="11467" width="0.85546875" style="13" customWidth="1"/>
    <col min="11468" max="11468" width="0.7109375" style="13" customWidth="1"/>
    <col min="11469" max="11471" width="0.5703125" style="13"/>
    <col min="11472" max="11472" width="1.140625" style="13" customWidth="1"/>
    <col min="11473" max="11475" width="0.5703125" style="13"/>
    <col min="11476" max="11476" width="0.85546875" style="13" customWidth="1"/>
    <col min="11477" max="11477" width="0.5703125" style="13"/>
    <col min="11478" max="11478" width="0.85546875" style="13" customWidth="1"/>
    <col min="11479" max="11632" width="0.5703125" style="13"/>
    <col min="11633" max="11633" width="0" style="13" hidden="1" customWidth="1"/>
    <col min="11634" max="11660" width="0.5703125" style="13"/>
    <col min="11661" max="11662" width="0" style="13" hidden="1" customWidth="1"/>
    <col min="11663" max="11663" width="0.5703125" style="13"/>
    <col min="11664" max="11664" width="0" style="13" hidden="1" customWidth="1"/>
    <col min="11665" max="11670" width="0.5703125" style="13"/>
    <col min="11671" max="11671" width="0.42578125" style="13" customWidth="1"/>
    <col min="11672" max="11672" width="0.28515625" style="13" customWidth="1"/>
    <col min="11673" max="11708" width="0.5703125" style="13"/>
    <col min="11709" max="11709" width="0.140625" style="13" customWidth="1"/>
    <col min="11710" max="11710" width="0.5703125" style="13"/>
    <col min="11711" max="11712" width="1.28515625" style="13" customWidth="1"/>
    <col min="11713" max="11713" width="0.5703125" style="13"/>
    <col min="11714" max="11714" width="1.28515625" style="13" customWidth="1"/>
    <col min="11715" max="11715" width="0.5703125" style="13"/>
    <col min="11716" max="11716" width="1.140625" style="13" customWidth="1"/>
    <col min="11717" max="11717" width="0.5703125" style="13"/>
    <col min="11718" max="11718" width="1.140625" style="13" customWidth="1"/>
    <col min="11719" max="11719" width="0.5703125" style="13"/>
    <col min="11720" max="11720" width="1.140625" style="13" customWidth="1"/>
    <col min="11721" max="11722" width="0.5703125" style="13"/>
    <col min="11723" max="11723" width="0.85546875" style="13" customWidth="1"/>
    <col min="11724" max="11724" width="0.7109375" style="13" customWidth="1"/>
    <col min="11725" max="11727" width="0.5703125" style="13"/>
    <col min="11728" max="11728" width="1.140625" style="13" customWidth="1"/>
    <col min="11729" max="11731" width="0.5703125" style="13"/>
    <col min="11732" max="11732" width="0.85546875" style="13" customWidth="1"/>
    <col min="11733" max="11733" width="0.5703125" style="13"/>
    <col min="11734" max="11734" width="0.85546875" style="13" customWidth="1"/>
    <col min="11735" max="11888" width="0.5703125" style="13"/>
    <col min="11889" max="11889" width="0" style="13" hidden="1" customWidth="1"/>
    <col min="11890" max="11916" width="0.5703125" style="13"/>
    <col min="11917" max="11918" width="0" style="13" hidden="1" customWidth="1"/>
    <col min="11919" max="11919" width="0.5703125" style="13"/>
    <col min="11920" max="11920" width="0" style="13" hidden="1" customWidth="1"/>
    <col min="11921" max="11926" width="0.5703125" style="13"/>
    <col min="11927" max="11927" width="0.42578125" style="13" customWidth="1"/>
    <col min="11928" max="11928" width="0.28515625" style="13" customWidth="1"/>
    <col min="11929" max="11964" width="0.5703125" style="13"/>
    <col min="11965" max="11965" width="0.140625" style="13" customWidth="1"/>
    <col min="11966" max="11966" width="0.5703125" style="13"/>
    <col min="11967" max="11968" width="1.28515625" style="13" customWidth="1"/>
    <col min="11969" max="11969" width="0.5703125" style="13"/>
    <col min="11970" max="11970" width="1.28515625" style="13" customWidth="1"/>
    <col min="11971" max="11971" width="0.5703125" style="13"/>
    <col min="11972" max="11972" width="1.140625" style="13" customWidth="1"/>
    <col min="11973" max="11973" width="0.5703125" style="13"/>
    <col min="11974" max="11974" width="1.140625" style="13" customWidth="1"/>
    <col min="11975" max="11975" width="0.5703125" style="13"/>
    <col min="11976" max="11976" width="1.140625" style="13" customWidth="1"/>
    <col min="11977" max="11978" width="0.5703125" style="13"/>
    <col min="11979" max="11979" width="0.85546875" style="13" customWidth="1"/>
    <col min="11980" max="11980" width="0.7109375" style="13" customWidth="1"/>
    <col min="11981" max="11983" width="0.5703125" style="13"/>
    <col min="11984" max="11984" width="1.140625" style="13" customWidth="1"/>
    <col min="11985" max="11987" width="0.5703125" style="13"/>
    <col min="11988" max="11988" width="0.85546875" style="13" customWidth="1"/>
    <col min="11989" max="11989" width="0.5703125" style="13"/>
    <col min="11990" max="11990" width="0.85546875" style="13" customWidth="1"/>
    <col min="11991" max="12144" width="0.5703125" style="13"/>
    <col min="12145" max="12145" width="0" style="13" hidden="1" customWidth="1"/>
    <col min="12146" max="12172" width="0.5703125" style="13"/>
    <col min="12173" max="12174" width="0" style="13" hidden="1" customWidth="1"/>
    <col min="12175" max="12175" width="0.5703125" style="13"/>
    <col min="12176" max="12176" width="0" style="13" hidden="1" customWidth="1"/>
    <col min="12177" max="12182" width="0.5703125" style="13"/>
    <col min="12183" max="12183" width="0.42578125" style="13" customWidth="1"/>
    <col min="12184" max="12184" width="0.28515625" style="13" customWidth="1"/>
    <col min="12185" max="12220" width="0.5703125" style="13"/>
    <col min="12221" max="12221" width="0.140625" style="13" customWidth="1"/>
    <col min="12222" max="12222" width="0.5703125" style="13"/>
    <col min="12223" max="12224" width="1.28515625" style="13" customWidth="1"/>
    <col min="12225" max="12225" width="0.5703125" style="13"/>
    <col min="12226" max="12226" width="1.28515625" style="13" customWidth="1"/>
    <col min="12227" max="12227" width="0.5703125" style="13"/>
    <col min="12228" max="12228" width="1.140625" style="13" customWidth="1"/>
    <col min="12229" max="12229" width="0.5703125" style="13"/>
    <col min="12230" max="12230" width="1.140625" style="13" customWidth="1"/>
    <col min="12231" max="12231" width="0.5703125" style="13"/>
    <col min="12232" max="12232" width="1.140625" style="13" customWidth="1"/>
    <col min="12233" max="12234" width="0.5703125" style="13"/>
    <col min="12235" max="12235" width="0.85546875" style="13" customWidth="1"/>
    <col min="12236" max="12236" width="0.7109375" style="13" customWidth="1"/>
    <col min="12237" max="12239" width="0.5703125" style="13"/>
    <col min="12240" max="12240" width="1.140625" style="13" customWidth="1"/>
    <col min="12241" max="12243" width="0.5703125" style="13"/>
    <col min="12244" max="12244" width="0.85546875" style="13" customWidth="1"/>
    <col min="12245" max="12245" width="0.5703125" style="13"/>
    <col min="12246" max="12246" width="0.85546875" style="13" customWidth="1"/>
    <col min="12247" max="12400" width="0.5703125" style="13"/>
    <col min="12401" max="12401" width="0" style="13" hidden="1" customWidth="1"/>
    <col min="12402" max="12428" width="0.5703125" style="13"/>
    <col min="12429" max="12430" width="0" style="13" hidden="1" customWidth="1"/>
    <col min="12431" max="12431" width="0.5703125" style="13"/>
    <col min="12432" max="12432" width="0" style="13" hidden="1" customWidth="1"/>
    <col min="12433" max="12438" width="0.5703125" style="13"/>
    <col min="12439" max="12439" width="0.42578125" style="13" customWidth="1"/>
    <col min="12440" max="12440" width="0.28515625" style="13" customWidth="1"/>
    <col min="12441" max="12476" width="0.5703125" style="13"/>
    <col min="12477" max="12477" width="0.140625" style="13" customWidth="1"/>
    <col min="12478" max="12478" width="0.5703125" style="13"/>
    <col min="12479" max="12480" width="1.28515625" style="13" customWidth="1"/>
    <col min="12481" max="12481" width="0.5703125" style="13"/>
    <col min="12482" max="12482" width="1.28515625" style="13" customWidth="1"/>
    <col min="12483" max="12483" width="0.5703125" style="13"/>
    <col min="12484" max="12484" width="1.140625" style="13" customWidth="1"/>
    <col min="12485" max="12485" width="0.5703125" style="13"/>
    <col min="12486" max="12486" width="1.140625" style="13" customWidth="1"/>
    <col min="12487" max="12487" width="0.5703125" style="13"/>
    <col min="12488" max="12488" width="1.140625" style="13" customWidth="1"/>
    <col min="12489" max="12490" width="0.5703125" style="13"/>
    <col min="12491" max="12491" width="0.85546875" style="13" customWidth="1"/>
    <col min="12492" max="12492" width="0.7109375" style="13" customWidth="1"/>
    <col min="12493" max="12495" width="0.5703125" style="13"/>
    <col min="12496" max="12496" width="1.140625" style="13" customWidth="1"/>
    <col min="12497" max="12499" width="0.5703125" style="13"/>
    <col min="12500" max="12500" width="0.85546875" style="13" customWidth="1"/>
    <col min="12501" max="12501" width="0.5703125" style="13"/>
    <col min="12502" max="12502" width="0.85546875" style="13" customWidth="1"/>
    <col min="12503" max="12656" width="0.5703125" style="13"/>
    <col min="12657" max="12657" width="0" style="13" hidden="1" customWidth="1"/>
    <col min="12658" max="12684" width="0.5703125" style="13"/>
    <col min="12685" max="12686" width="0" style="13" hidden="1" customWidth="1"/>
    <col min="12687" max="12687" width="0.5703125" style="13"/>
    <col min="12688" max="12688" width="0" style="13" hidden="1" customWidth="1"/>
    <col min="12689" max="12694" width="0.5703125" style="13"/>
    <col min="12695" max="12695" width="0.42578125" style="13" customWidth="1"/>
    <col min="12696" max="12696" width="0.28515625" style="13" customWidth="1"/>
    <col min="12697" max="12732" width="0.5703125" style="13"/>
    <col min="12733" max="12733" width="0.140625" style="13" customWidth="1"/>
    <col min="12734" max="12734" width="0.5703125" style="13"/>
    <col min="12735" max="12736" width="1.28515625" style="13" customWidth="1"/>
    <col min="12737" max="12737" width="0.5703125" style="13"/>
    <col min="12738" max="12738" width="1.28515625" style="13" customWidth="1"/>
    <col min="12739" max="12739" width="0.5703125" style="13"/>
    <col min="12740" max="12740" width="1.140625" style="13" customWidth="1"/>
    <col min="12741" max="12741" width="0.5703125" style="13"/>
    <col min="12742" max="12742" width="1.140625" style="13" customWidth="1"/>
    <col min="12743" max="12743" width="0.5703125" style="13"/>
    <col min="12744" max="12744" width="1.140625" style="13" customWidth="1"/>
    <col min="12745" max="12746" width="0.5703125" style="13"/>
    <col min="12747" max="12747" width="0.85546875" style="13" customWidth="1"/>
    <col min="12748" max="12748" width="0.7109375" style="13" customWidth="1"/>
    <col min="12749" max="12751" width="0.5703125" style="13"/>
    <col min="12752" max="12752" width="1.140625" style="13" customWidth="1"/>
    <col min="12753" max="12755" width="0.5703125" style="13"/>
    <col min="12756" max="12756" width="0.85546875" style="13" customWidth="1"/>
    <col min="12757" max="12757" width="0.5703125" style="13"/>
    <col min="12758" max="12758" width="0.85546875" style="13" customWidth="1"/>
    <col min="12759" max="12912" width="0.5703125" style="13"/>
    <col min="12913" max="12913" width="0" style="13" hidden="1" customWidth="1"/>
    <col min="12914" max="12940" width="0.5703125" style="13"/>
    <col min="12941" max="12942" width="0" style="13" hidden="1" customWidth="1"/>
    <col min="12943" max="12943" width="0.5703125" style="13"/>
    <col min="12944" max="12944" width="0" style="13" hidden="1" customWidth="1"/>
    <col min="12945" max="12950" width="0.5703125" style="13"/>
    <col min="12951" max="12951" width="0.42578125" style="13" customWidth="1"/>
    <col min="12952" max="12952" width="0.28515625" style="13" customWidth="1"/>
    <col min="12953" max="12988" width="0.5703125" style="13"/>
    <col min="12989" max="12989" width="0.140625" style="13" customWidth="1"/>
    <col min="12990" max="12990" width="0.5703125" style="13"/>
    <col min="12991" max="12992" width="1.28515625" style="13" customWidth="1"/>
    <col min="12993" max="12993" width="0.5703125" style="13"/>
    <col min="12994" max="12994" width="1.28515625" style="13" customWidth="1"/>
    <col min="12995" max="12995" width="0.5703125" style="13"/>
    <col min="12996" max="12996" width="1.140625" style="13" customWidth="1"/>
    <col min="12997" max="12997" width="0.5703125" style="13"/>
    <col min="12998" max="12998" width="1.140625" style="13" customWidth="1"/>
    <col min="12999" max="12999" width="0.5703125" style="13"/>
    <col min="13000" max="13000" width="1.140625" style="13" customWidth="1"/>
    <col min="13001" max="13002" width="0.5703125" style="13"/>
    <col min="13003" max="13003" width="0.85546875" style="13" customWidth="1"/>
    <col min="13004" max="13004" width="0.7109375" style="13" customWidth="1"/>
    <col min="13005" max="13007" width="0.5703125" style="13"/>
    <col min="13008" max="13008" width="1.140625" style="13" customWidth="1"/>
    <col min="13009" max="13011" width="0.5703125" style="13"/>
    <col min="13012" max="13012" width="0.85546875" style="13" customWidth="1"/>
    <col min="13013" max="13013" width="0.5703125" style="13"/>
    <col min="13014" max="13014" width="0.85546875" style="13" customWidth="1"/>
    <col min="13015" max="13168" width="0.5703125" style="13"/>
    <col min="13169" max="13169" width="0" style="13" hidden="1" customWidth="1"/>
    <col min="13170" max="13196" width="0.5703125" style="13"/>
    <col min="13197" max="13198" width="0" style="13" hidden="1" customWidth="1"/>
    <col min="13199" max="13199" width="0.5703125" style="13"/>
    <col min="13200" max="13200" width="0" style="13" hidden="1" customWidth="1"/>
    <col min="13201" max="13206" width="0.5703125" style="13"/>
    <col min="13207" max="13207" width="0.42578125" style="13" customWidth="1"/>
    <col min="13208" max="13208" width="0.28515625" style="13" customWidth="1"/>
    <col min="13209" max="13244" width="0.5703125" style="13"/>
    <col min="13245" max="13245" width="0.140625" style="13" customWidth="1"/>
    <col min="13246" max="13246" width="0.5703125" style="13"/>
    <col min="13247" max="13248" width="1.28515625" style="13" customWidth="1"/>
    <col min="13249" max="13249" width="0.5703125" style="13"/>
    <col min="13250" max="13250" width="1.28515625" style="13" customWidth="1"/>
    <col min="13251" max="13251" width="0.5703125" style="13"/>
    <col min="13252" max="13252" width="1.140625" style="13" customWidth="1"/>
    <col min="13253" max="13253" width="0.5703125" style="13"/>
    <col min="13254" max="13254" width="1.140625" style="13" customWidth="1"/>
    <col min="13255" max="13255" width="0.5703125" style="13"/>
    <col min="13256" max="13256" width="1.140625" style="13" customWidth="1"/>
    <col min="13257" max="13258" width="0.5703125" style="13"/>
    <col min="13259" max="13259" width="0.85546875" style="13" customWidth="1"/>
    <col min="13260" max="13260" width="0.7109375" style="13" customWidth="1"/>
    <col min="13261" max="13263" width="0.5703125" style="13"/>
    <col min="13264" max="13264" width="1.140625" style="13" customWidth="1"/>
    <col min="13265" max="13267" width="0.5703125" style="13"/>
    <col min="13268" max="13268" width="0.85546875" style="13" customWidth="1"/>
    <col min="13269" max="13269" width="0.5703125" style="13"/>
    <col min="13270" max="13270" width="0.85546875" style="13" customWidth="1"/>
    <col min="13271" max="13424" width="0.5703125" style="13"/>
    <col min="13425" max="13425" width="0" style="13" hidden="1" customWidth="1"/>
    <col min="13426" max="13452" width="0.5703125" style="13"/>
    <col min="13453" max="13454" width="0" style="13" hidden="1" customWidth="1"/>
    <col min="13455" max="13455" width="0.5703125" style="13"/>
    <col min="13456" max="13456" width="0" style="13" hidden="1" customWidth="1"/>
    <col min="13457" max="13462" width="0.5703125" style="13"/>
    <col min="13463" max="13463" width="0.42578125" style="13" customWidth="1"/>
    <col min="13464" max="13464" width="0.28515625" style="13" customWidth="1"/>
    <col min="13465" max="13500" width="0.5703125" style="13"/>
    <col min="13501" max="13501" width="0.140625" style="13" customWidth="1"/>
    <col min="13502" max="13502" width="0.5703125" style="13"/>
    <col min="13503" max="13504" width="1.28515625" style="13" customWidth="1"/>
    <col min="13505" max="13505" width="0.5703125" style="13"/>
    <col min="13506" max="13506" width="1.28515625" style="13" customWidth="1"/>
    <col min="13507" max="13507" width="0.5703125" style="13"/>
    <col min="13508" max="13508" width="1.140625" style="13" customWidth="1"/>
    <col min="13509" max="13509" width="0.5703125" style="13"/>
    <col min="13510" max="13510" width="1.140625" style="13" customWidth="1"/>
    <col min="13511" max="13511" width="0.5703125" style="13"/>
    <col min="13512" max="13512" width="1.140625" style="13" customWidth="1"/>
    <col min="13513" max="13514" width="0.5703125" style="13"/>
    <col min="13515" max="13515" width="0.85546875" style="13" customWidth="1"/>
    <col min="13516" max="13516" width="0.7109375" style="13" customWidth="1"/>
    <col min="13517" max="13519" width="0.5703125" style="13"/>
    <col min="13520" max="13520" width="1.140625" style="13" customWidth="1"/>
    <col min="13521" max="13523" width="0.5703125" style="13"/>
    <col min="13524" max="13524" width="0.85546875" style="13" customWidth="1"/>
    <col min="13525" max="13525" width="0.5703125" style="13"/>
    <col min="13526" max="13526" width="0.85546875" style="13" customWidth="1"/>
    <col min="13527" max="13680" width="0.5703125" style="13"/>
    <col min="13681" max="13681" width="0" style="13" hidden="1" customWidth="1"/>
    <col min="13682" max="13708" width="0.5703125" style="13"/>
    <col min="13709" max="13710" width="0" style="13" hidden="1" customWidth="1"/>
    <col min="13711" max="13711" width="0.5703125" style="13"/>
    <col min="13712" max="13712" width="0" style="13" hidden="1" customWidth="1"/>
    <col min="13713" max="13718" width="0.5703125" style="13"/>
    <col min="13719" max="13719" width="0.42578125" style="13" customWidth="1"/>
    <col min="13720" max="13720" width="0.28515625" style="13" customWidth="1"/>
    <col min="13721" max="13756" width="0.5703125" style="13"/>
    <col min="13757" max="13757" width="0.140625" style="13" customWidth="1"/>
    <col min="13758" max="13758" width="0.5703125" style="13"/>
    <col min="13759" max="13760" width="1.28515625" style="13" customWidth="1"/>
    <col min="13761" max="13761" width="0.5703125" style="13"/>
    <col min="13762" max="13762" width="1.28515625" style="13" customWidth="1"/>
    <col min="13763" max="13763" width="0.5703125" style="13"/>
    <col min="13764" max="13764" width="1.140625" style="13" customWidth="1"/>
    <col min="13765" max="13765" width="0.5703125" style="13"/>
    <col min="13766" max="13766" width="1.140625" style="13" customWidth="1"/>
    <col min="13767" max="13767" width="0.5703125" style="13"/>
    <col min="13768" max="13768" width="1.140625" style="13" customWidth="1"/>
    <col min="13769" max="13770" width="0.5703125" style="13"/>
    <col min="13771" max="13771" width="0.85546875" style="13" customWidth="1"/>
    <col min="13772" max="13772" width="0.7109375" style="13" customWidth="1"/>
    <col min="13773" max="13775" width="0.5703125" style="13"/>
    <col min="13776" max="13776" width="1.140625" style="13" customWidth="1"/>
    <col min="13777" max="13779" width="0.5703125" style="13"/>
    <col min="13780" max="13780" width="0.85546875" style="13" customWidth="1"/>
    <col min="13781" max="13781" width="0.5703125" style="13"/>
    <col min="13782" max="13782" width="0.85546875" style="13" customWidth="1"/>
    <col min="13783" max="13936" width="0.5703125" style="13"/>
    <col min="13937" max="13937" width="0" style="13" hidden="1" customWidth="1"/>
    <col min="13938" max="13964" width="0.5703125" style="13"/>
    <col min="13965" max="13966" width="0" style="13" hidden="1" customWidth="1"/>
    <col min="13967" max="13967" width="0.5703125" style="13"/>
    <col min="13968" max="13968" width="0" style="13" hidden="1" customWidth="1"/>
    <col min="13969" max="13974" width="0.5703125" style="13"/>
    <col min="13975" max="13975" width="0.42578125" style="13" customWidth="1"/>
    <col min="13976" max="13976" width="0.28515625" style="13" customWidth="1"/>
    <col min="13977" max="14012" width="0.5703125" style="13"/>
    <col min="14013" max="14013" width="0.140625" style="13" customWidth="1"/>
    <col min="14014" max="14014" width="0.5703125" style="13"/>
    <col min="14015" max="14016" width="1.28515625" style="13" customWidth="1"/>
    <col min="14017" max="14017" width="0.5703125" style="13"/>
    <col min="14018" max="14018" width="1.28515625" style="13" customWidth="1"/>
    <col min="14019" max="14019" width="0.5703125" style="13"/>
    <col min="14020" max="14020" width="1.140625" style="13" customWidth="1"/>
    <col min="14021" max="14021" width="0.5703125" style="13"/>
    <col min="14022" max="14022" width="1.140625" style="13" customWidth="1"/>
    <col min="14023" max="14023" width="0.5703125" style="13"/>
    <col min="14024" max="14024" width="1.140625" style="13" customWidth="1"/>
    <col min="14025" max="14026" width="0.5703125" style="13"/>
    <col min="14027" max="14027" width="0.85546875" style="13" customWidth="1"/>
    <col min="14028" max="14028" width="0.7109375" style="13" customWidth="1"/>
    <col min="14029" max="14031" width="0.5703125" style="13"/>
    <col min="14032" max="14032" width="1.140625" style="13" customWidth="1"/>
    <col min="14033" max="14035" width="0.5703125" style="13"/>
    <col min="14036" max="14036" width="0.85546875" style="13" customWidth="1"/>
    <col min="14037" max="14037" width="0.5703125" style="13"/>
    <col min="14038" max="14038" width="0.85546875" style="13" customWidth="1"/>
    <col min="14039" max="14192" width="0.5703125" style="13"/>
    <col min="14193" max="14193" width="0" style="13" hidden="1" customWidth="1"/>
    <col min="14194" max="14220" width="0.5703125" style="13"/>
    <col min="14221" max="14222" width="0" style="13" hidden="1" customWidth="1"/>
    <col min="14223" max="14223" width="0.5703125" style="13"/>
    <col min="14224" max="14224" width="0" style="13" hidden="1" customWidth="1"/>
    <col min="14225" max="14230" width="0.5703125" style="13"/>
    <col min="14231" max="14231" width="0.42578125" style="13" customWidth="1"/>
    <col min="14232" max="14232" width="0.28515625" style="13" customWidth="1"/>
    <col min="14233" max="14268" width="0.5703125" style="13"/>
    <col min="14269" max="14269" width="0.140625" style="13" customWidth="1"/>
    <col min="14270" max="14270" width="0.5703125" style="13"/>
    <col min="14271" max="14272" width="1.28515625" style="13" customWidth="1"/>
    <col min="14273" max="14273" width="0.5703125" style="13"/>
    <col min="14274" max="14274" width="1.28515625" style="13" customWidth="1"/>
    <col min="14275" max="14275" width="0.5703125" style="13"/>
    <col min="14276" max="14276" width="1.140625" style="13" customWidth="1"/>
    <col min="14277" max="14277" width="0.5703125" style="13"/>
    <col min="14278" max="14278" width="1.140625" style="13" customWidth="1"/>
    <col min="14279" max="14279" width="0.5703125" style="13"/>
    <col min="14280" max="14280" width="1.140625" style="13" customWidth="1"/>
    <col min="14281" max="14282" width="0.5703125" style="13"/>
    <col min="14283" max="14283" width="0.85546875" style="13" customWidth="1"/>
    <col min="14284" max="14284" width="0.7109375" style="13" customWidth="1"/>
    <col min="14285" max="14287" width="0.5703125" style="13"/>
    <col min="14288" max="14288" width="1.140625" style="13" customWidth="1"/>
    <col min="14289" max="14291" width="0.5703125" style="13"/>
    <col min="14292" max="14292" width="0.85546875" style="13" customWidth="1"/>
    <col min="14293" max="14293" width="0.5703125" style="13"/>
    <col min="14294" max="14294" width="0.85546875" style="13" customWidth="1"/>
    <col min="14295" max="14448" width="0.5703125" style="13"/>
    <col min="14449" max="14449" width="0" style="13" hidden="1" customWidth="1"/>
    <col min="14450" max="14476" width="0.5703125" style="13"/>
    <col min="14477" max="14478" width="0" style="13" hidden="1" customWidth="1"/>
    <col min="14479" max="14479" width="0.5703125" style="13"/>
    <col min="14480" max="14480" width="0" style="13" hidden="1" customWidth="1"/>
    <col min="14481" max="14486" width="0.5703125" style="13"/>
    <col min="14487" max="14487" width="0.42578125" style="13" customWidth="1"/>
    <col min="14488" max="14488" width="0.28515625" style="13" customWidth="1"/>
    <col min="14489" max="14524" width="0.5703125" style="13"/>
    <col min="14525" max="14525" width="0.140625" style="13" customWidth="1"/>
    <col min="14526" max="14526" width="0.5703125" style="13"/>
    <col min="14527" max="14528" width="1.28515625" style="13" customWidth="1"/>
    <col min="14529" max="14529" width="0.5703125" style="13"/>
    <col min="14530" max="14530" width="1.28515625" style="13" customWidth="1"/>
    <col min="14531" max="14531" width="0.5703125" style="13"/>
    <col min="14532" max="14532" width="1.140625" style="13" customWidth="1"/>
    <col min="14533" max="14533" width="0.5703125" style="13"/>
    <col min="14534" max="14534" width="1.140625" style="13" customWidth="1"/>
    <col min="14535" max="14535" width="0.5703125" style="13"/>
    <col min="14536" max="14536" width="1.140625" style="13" customWidth="1"/>
    <col min="14537" max="14538" width="0.5703125" style="13"/>
    <col min="14539" max="14539" width="0.85546875" style="13" customWidth="1"/>
    <col min="14540" max="14540" width="0.7109375" style="13" customWidth="1"/>
    <col min="14541" max="14543" width="0.5703125" style="13"/>
    <col min="14544" max="14544" width="1.140625" style="13" customWidth="1"/>
    <col min="14545" max="14547" width="0.5703125" style="13"/>
    <col min="14548" max="14548" width="0.85546875" style="13" customWidth="1"/>
    <col min="14549" max="14549" width="0.5703125" style="13"/>
    <col min="14550" max="14550" width="0.85546875" style="13" customWidth="1"/>
    <col min="14551" max="14704" width="0.5703125" style="13"/>
    <col min="14705" max="14705" width="0" style="13" hidden="1" customWidth="1"/>
    <col min="14706" max="14732" width="0.5703125" style="13"/>
    <col min="14733" max="14734" width="0" style="13" hidden="1" customWidth="1"/>
    <col min="14735" max="14735" width="0.5703125" style="13"/>
    <col min="14736" max="14736" width="0" style="13" hidden="1" customWidth="1"/>
    <col min="14737" max="14742" width="0.5703125" style="13"/>
    <col min="14743" max="14743" width="0.42578125" style="13" customWidth="1"/>
    <col min="14744" max="14744" width="0.28515625" style="13" customWidth="1"/>
    <col min="14745" max="14780" width="0.5703125" style="13"/>
    <col min="14781" max="14781" width="0.140625" style="13" customWidth="1"/>
    <col min="14782" max="14782" width="0.5703125" style="13"/>
    <col min="14783" max="14784" width="1.28515625" style="13" customWidth="1"/>
    <col min="14785" max="14785" width="0.5703125" style="13"/>
    <col min="14786" max="14786" width="1.28515625" style="13" customWidth="1"/>
    <col min="14787" max="14787" width="0.5703125" style="13"/>
    <col min="14788" max="14788" width="1.140625" style="13" customWidth="1"/>
    <col min="14789" max="14789" width="0.5703125" style="13"/>
    <col min="14790" max="14790" width="1.140625" style="13" customWidth="1"/>
    <col min="14791" max="14791" width="0.5703125" style="13"/>
    <col min="14792" max="14792" width="1.140625" style="13" customWidth="1"/>
    <col min="14793" max="14794" width="0.5703125" style="13"/>
    <col min="14795" max="14795" width="0.85546875" style="13" customWidth="1"/>
    <col min="14796" max="14796" width="0.7109375" style="13" customWidth="1"/>
    <col min="14797" max="14799" width="0.5703125" style="13"/>
    <col min="14800" max="14800" width="1.140625" style="13" customWidth="1"/>
    <col min="14801" max="14803" width="0.5703125" style="13"/>
    <col min="14804" max="14804" width="0.85546875" style="13" customWidth="1"/>
    <col min="14805" max="14805" width="0.5703125" style="13"/>
    <col min="14806" max="14806" width="0.85546875" style="13" customWidth="1"/>
    <col min="14807" max="14960" width="0.5703125" style="13"/>
    <col min="14961" max="14961" width="0" style="13" hidden="1" customWidth="1"/>
    <col min="14962" max="14988" width="0.5703125" style="13"/>
    <col min="14989" max="14990" width="0" style="13" hidden="1" customWidth="1"/>
    <col min="14991" max="14991" width="0.5703125" style="13"/>
    <col min="14992" max="14992" width="0" style="13" hidden="1" customWidth="1"/>
    <col min="14993" max="14998" width="0.5703125" style="13"/>
    <col min="14999" max="14999" width="0.42578125" style="13" customWidth="1"/>
    <col min="15000" max="15000" width="0.28515625" style="13" customWidth="1"/>
    <col min="15001" max="15036" width="0.5703125" style="13"/>
    <col min="15037" max="15037" width="0.140625" style="13" customWidth="1"/>
    <col min="15038" max="15038" width="0.5703125" style="13"/>
    <col min="15039" max="15040" width="1.28515625" style="13" customWidth="1"/>
    <col min="15041" max="15041" width="0.5703125" style="13"/>
    <col min="15042" max="15042" width="1.28515625" style="13" customWidth="1"/>
    <col min="15043" max="15043" width="0.5703125" style="13"/>
    <col min="15044" max="15044" width="1.140625" style="13" customWidth="1"/>
    <col min="15045" max="15045" width="0.5703125" style="13"/>
    <col min="15046" max="15046" width="1.140625" style="13" customWidth="1"/>
    <col min="15047" max="15047" width="0.5703125" style="13"/>
    <col min="15048" max="15048" width="1.140625" style="13" customWidth="1"/>
    <col min="15049" max="15050" width="0.5703125" style="13"/>
    <col min="15051" max="15051" width="0.85546875" style="13" customWidth="1"/>
    <col min="15052" max="15052" width="0.7109375" style="13" customWidth="1"/>
    <col min="15053" max="15055" width="0.5703125" style="13"/>
    <col min="15056" max="15056" width="1.140625" style="13" customWidth="1"/>
    <col min="15057" max="15059" width="0.5703125" style="13"/>
    <col min="15060" max="15060" width="0.85546875" style="13" customWidth="1"/>
    <col min="15061" max="15061" width="0.5703125" style="13"/>
    <col min="15062" max="15062" width="0.85546875" style="13" customWidth="1"/>
    <col min="15063" max="15216" width="0.5703125" style="13"/>
    <col min="15217" max="15217" width="0" style="13" hidden="1" customWidth="1"/>
    <col min="15218" max="15244" width="0.5703125" style="13"/>
    <col min="15245" max="15246" width="0" style="13" hidden="1" customWidth="1"/>
    <col min="15247" max="15247" width="0.5703125" style="13"/>
    <col min="15248" max="15248" width="0" style="13" hidden="1" customWidth="1"/>
    <col min="15249" max="15254" width="0.5703125" style="13"/>
    <col min="15255" max="15255" width="0.42578125" style="13" customWidth="1"/>
    <col min="15256" max="15256" width="0.28515625" style="13" customWidth="1"/>
    <col min="15257" max="15292" width="0.5703125" style="13"/>
    <col min="15293" max="15293" width="0.140625" style="13" customWidth="1"/>
    <col min="15294" max="15294" width="0.5703125" style="13"/>
    <col min="15295" max="15296" width="1.28515625" style="13" customWidth="1"/>
    <col min="15297" max="15297" width="0.5703125" style="13"/>
    <col min="15298" max="15298" width="1.28515625" style="13" customWidth="1"/>
    <col min="15299" max="15299" width="0.5703125" style="13"/>
    <col min="15300" max="15300" width="1.140625" style="13" customWidth="1"/>
    <col min="15301" max="15301" width="0.5703125" style="13"/>
    <col min="15302" max="15302" width="1.140625" style="13" customWidth="1"/>
    <col min="15303" max="15303" width="0.5703125" style="13"/>
    <col min="15304" max="15304" width="1.140625" style="13" customWidth="1"/>
    <col min="15305" max="15306" width="0.5703125" style="13"/>
    <col min="15307" max="15307" width="0.85546875" style="13" customWidth="1"/>
    <col min="15308" max="15308" width="0.7109375" style="13" customWidth="1"/>
    <col min="15309" max="15311" width="0.5703125" style="13"/>
    <col min="15312" max="15312" width="1.140625" style="13" customWidth="1"/>
    <col min="15313" max="15315" width="0.5703125" style="13"/>
    <col min="15316" max="15316" width="0.85546875" style="13" customWidth="1"/>
    <col min="15317" max="15317" width="0.5703125" style="13"/>
    <col min="15318" max="15318" width="0.85546875" style="13" customWidth="1"/>
    <col min="15319" max="15472" width="0.5703125" style="13"/>
    <col min="15473" max="15473" width="0" style="13" hidden="1" customWidth="1"/>
    <col min="15474" max="15500" width="0.5703125" style="13"/>
    <col min="15501" max="15502" width="0" style="13" hidden="1" customWidth="1"/>
    <col min="15503" max="15503" width="0.5703125" style="13"/>
    <col min="15504" max="15504" width="0" style="13" hidden="1" customWidth="1"/>
    <col min="15505" max="15510" width="0.5703125" style="13"/>
    <col min="15511" max="15511" width="0.42578125" style="13" customWidth="1"/>
    <col min="15512" max="15512" width="0.28515625" style="13" customWidth="1"/>
    <col min="15513" max="15548" width="0.5703125" style="13"/>
    <col min="15549" max="15549" width="0.140625" style="13" customWidth="1"/>
    <col min="15550" max="15550" width="0.5703125" style="13"/>
    <col min="15551" max="15552" width="1.28515625" style="13" customWidth="1"/>
    <col min="15553" max="15553" width="0.5703125" style="13"/>
    <col min="15554" max="15554" width="1.28515625" style="13" customWidth="1"/>
    <col min="15555" max="15555" width="0.5703125" style="13"/>
    <col min="15556" max="15556" width="1.140625" style="13" customWidth="1"/>
    <col min="15557" max="15557" width="0.5703125" style="13"/>
    <col min="15558" max="15558" width="1.140625" style="13" customWidth="1"/>
    <col min="15559" max="15559" width="0.5703125" style="13"/>
    <col min="15560" max="15560" width="1.140625" style="13" customWidth="1"/>
    <col min="15561" max="15562" width="0.5703125" style="13"/>
    <col min="15563" max="15563" width="0.85546875" style="13" customWidth="1"/>
    <col min="15564" max="15564" width="0.7109375" style="13" customWidth="1"/>
    <col min="15565" max="15567" width="0.5703125" style="13"/>
    <col min="15568" max="15568" width="1.140625" style="13" customWidth="1"/>
    <col min="15569" max="15571" width="0.5703125" style="13"/>
    <col min="15572" max="15572" width="0.85546875" style="13" customWidth="1"/>
    <col min="15573" max="15573" width="0.5703125" style="13"/>
    <col min="15574" max="15574" width="0.85546875" style="13" customWidth="1"/>
    <col min="15575" max="15728" width="0.5703125" style="13"/>
    <col min="15729" max="15729" width="0" style="13" hidden="1" customWidth="1"/>
    <col min="15730" max="15756" width="0.5703125" style="13"/>
    <col min="15757" max="15758" width="0" style="13" hidden="1" customWidth="1"/>
    <col min="15759" max="15759" width="0.5703125" style="13"/>
    <col min="15760" max="15760" width="0" style="13" hidden="1" customWidth="1"/>
    <col min="15761" max="15766" width="0.5703125" style="13"/>
    <col min="15767" max="15767" width="0.42578125" style="13" customWidth="1"/>
    <col min="15768" max="15768" width="0.28515625" style="13" customWidth="1"/>
    <col min="15769" max="15804" width="0.5703125" style="13"/>
    <col min="15805" max="15805" width="0.140625" style="13" customWidth="1"/>
    <col min="15806" max="15806" width="0.5703125" style="13"/>
    <col min="15807" max="15808" width="1.28515625" style="13" customWidth="1"/>
    <col min="15809" max="15809" width="0.5703125" style="13"/>
    <col min="15810" max="15810" width="1.28515625" style="13" customWidth="1"/>
    <col min="15811" max="15811" width="0.5703125" style="13"/>
    <col min="15812" max="15812" width="1.140625" style="13" customWidth="1"/>
    <col min="15813" max="15813" width="0.5703125" style="13"/>
    <col min="15814" max="15814" width="1.140625" style="13" customWidth="1"/>
    <col min="15815" max="15815" width="0.5703125" style="13"/>
    <col min="15816" max="15816" width="1.140625" style="13" customWidth="1"/>
    <col min="15817" max="15818" width="0.5703125" style="13"/>
    <col min="15819" max="15819" width="0.85546875" style="13" customWidth="1"/>
    <col min="15820" max="15820" width="0.7109375" style="13" customWidth="1"/>
    <col min="15821" max="15823" width="0.5703125" style="13"/>
    <col min="15824" max="15824" width="1.140625" style="13" customWidth="1"/>
    <col min="15825" max="15827" width="0.5703125" style="13"/>
    <col min="15828" max="15828" width="0.85546875" style="13" customWidth="1"/>
    <col min="15829" max="15829" width="0.5703125" style="13"/>
    <col min="15830" max="15830" width="0.85546875" style="13" customWidth="1"/>
    <col min="15831" max="15984" width="0.5703125" style="13"/>
    <col min="15985" max="15985" width="0" style="13" hidden="1" customWidth="1"/>
    <col min="15986" max="16012" width="0.5703125" style="13"/>
    <col min="16013" max="16014" width="0" style="13" hidden="1" customWidth="1"/>
    <col min="16015" max="16015" width="0.5703125" style="13"/>
    <col min="16016" max="16016" width="0" style="13" hidden="1" customWidth="1"/>
    <col min="16017" max="16022" width="0.5703125" style="13"/>
    <col min="16023" max="16023" width="0.42578125" style="13" customWidth="1"/>
    <col min="16024" max="16024" width="0.28515625" style="13" customWidth="1"/>
    <col min="16025" max="16060" width="0.5703125" style="13"/>
    <col min="16061" max="16061" width="0.140625" style="13" customWidth="1"/>
    <col min="16062" max="16062" width="0.5703125" style="13"/>
    <col min="16063" max="16064" width="1.28515625" style="13" customWidth="1"/>
    <col min="16065" max="16065" width="0.5703125" style="13"/>
    <col min="16066" max="16066" width="1.28515625" style="13" customWidth="1"/>
    <col min="16067" max="16067" width="0.5703125" style="13"/>
    <col min="16068" max="16068" width="1.140625" style="13" customWidth="1"/>
    <col min="16069" max="16069" width="0.5703125" style="13"/>
    <col min="16070" max="16070" width="1.140625" style="13" customWidth="1"/>
    <col min="16071" max="16071" width="0.5703125" style="13"/>
    <col min="16072" max="16072" width="1.140625" style="13" customWidth="1"/>
    <col min="16073" max="16074" width="0.5703125" style="13"/>
    <col min="16075" max="16075" width="0.85546875" style="13" customWidth="1"/>
    <col min="16076" max="16076" width="0.7109375" style="13" customWidth="1"/>
    <col min="16077" max="16079" width="0.5703125" style="13"/>
    <col min="16080" max="16080" width="1.140625" style="13" customWidth="1"/>
    <col min="16081" max="16083" width="0.5703125" style="13"/>
    <col min="16084" max="16084" width="0.85546875" style="13" customWidth="1"/>
    <col min="16085" max="16085" width="0.5703125" style="13"/>
    <col min="16086" max="16086" width="0.85546875" style="13" customWidth="1"/>
    <col min="16087" max="16240" width="0.5703125" style="13"/>
    <col min="16241" max="16241" width="0" style="13" hidden="1" customWidth="1"/>
    <col min="16242" max="16268" width="0.5703125" style="13"/>
    <col min="16269" max="16270" width="0" style="13" hidden="1" customWidth="1"/>
    <col min="16271" max="16271" width="0.5703125" style="13"/>
    <col min="16272" max="16272" width="0" style="13" hidden="1" customWidth="1"/>
    <col min="16273" max="16278" width="0.5703125" style="13"/>
    <col min="16279" max="16279" width="0.42578125" style="13" customWidth="1"/>
    <col min="16280" max="16280" width="0.28515625" style="13" customWidth="1"/>
    <col min="16281" max="16316" width="0.5703125" style="13"/>
    <col min="16317" max="16317" width="0.140625" style="13" customWidth="1"/>
    <col min="16318" max="16318" width="0.5703125" style="13"/>
    <col min="16319" max="16320" width="1.28515625" style="13" customWidth="1"/>
    <col min="16321" max="16321" width="0.5703125" style="13"/>
    <col min="16322" max="16322" width="1.28515625" style="13" customWidth="1"/>
    <col min="16323" max="16323" width="0.5703125" style="13"/>
    <col min="16324" max="16324" width="1.140625" style="13" customWidth="1"/>
    <col min="16325" max="16325" width="0.5703125" style="13"/>
    <col min="16326" max="16326" width="1.140625" style="13" customWidth="1"/>
    <col min="16327" max="16327" width="0.5703125" style="13"/>
    <col min="16328" max="16328" width="1.140625" style="13" customWidth="1"/>
    <col min="16329" max="16330" width="0.5703125" style="13"/>
    <col min="16331" max="16331" width="0.85546875" style="13" customWidth="1"/>
    <col min="16332" max="16332" width="0.7109375" style="13" customWidth="1"/>
    <col min="16333" max="16335" width="0.5703125" style="13"/>
    <col min="16336" max="16336" width="1.140625" style="13" customWidth="1"/>
    <col min="16337" max="16339" width="0.5703125" style="13"/>
    <col min="16340" max="16340" width="0.85546875" style="13" customWidth="1"/>
    <col min="16341" max="16341" width="0.5703125" style="13"/>
    <col min="16342" max="16342" width="0.85546875" style="13" customWidth="1"/>
    <col min="16343" max="16384" width="0.5703125" style="13"/>
  </cols>
  <sheetData>
    <row r="3" spans="11:210" ht="3.75" customHeight="1">
      <c r="K3" s="2979" t="s">
        <v>4137</v>
      </c>
      <c r="L3" s="2979"/>
      <c r="M3" s="2979"/>
      <c r="N3" s="2979"/>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79"/>
      <c r="AO3" s="2979"/>
      <c r="AP3" s="2979"/>
      <c r="AQ3" s="2979"/>
      <c r="AR3" s="2979"/>
      <c r="AS3" s="2979"/>
      <c r="AT3" s="2979"/>
      <c r="AU3" s="2979"/>
      <c r="AV3" s="2979"/>
      <c r="AW3" s="2979"/>
      <c r="AX3" s="2979"/>
      <c r="AY3" s="2979"/>
      <c r="AZ3" s="2979"/>
      <c r="BA3" s="2979"/>
      <c r="BB3" s="2979"/>
      <c r="BC3" s="2979"/>
      <c r="BD3" s="2979"/>
      <c r="BE3" s="2979"/>
      <c r="BF3" s="2979"/>
      <c r="BG3" s="2979"/>
      <c r="BH3" s="2979"/>
      <c r="BI3" s="2979"/>
      <c r="BJ3" s="2979"/>
      <c r="BK3" s="2979"/>
      <c r="BL3" s="2979"/>
      <c r="BM3" s="2979"/>
      <c r="BN3" s="2979"/>
      <c r="BO3" s="2979"/>
      <c r="BP3" s="2979"/>
      <c r="BQ3" s="2979"/>
      <c r="BR3" s="2979"/>
      <c r="BS3" s="2979"/>
      <c r="BT3" s="2979"/>
      <c r="BU3" s="2979"/>
      <c r="BV3" s="2979"/>
      <c r="BW3" s="2979"/>
      <c r="BX3" s="2979"/>
      <c r="BY3" s="2979"/>
      <c r="BZ3" s="2979"/>
      <c r="CA3" s="2979"/>
      <c r="CB3" s="2979"/>
      <c r="CC3" s="2979"/>
      <c r="CD3" s="2979"/>
      <c r="CE3" s="2979"/>
      <c r="CF3" s="2979"/>
      <c r="CG3" s="2979"/>
      <c r="CH3" s="2979"/>
      <c r="CI3" s="2979"/>
      <c r="CJ3" s="2979"/>
      <c r="CK3" s="2979"/>
      <c r="CL3" s="2979"/>
      <c r="CM3" s="2979"/>
      <c r="CN3" s="2979"/>
      <c r="CO3" s="2979"/>
      <c r="CP3" s="2979"/>
      <c r="CQ3" s="2979"/>
      <c r="CR3" s="2979"/>
      <c r="CS3" s="2979"/>
      <c r="CT3" s="2979"/>
      <c r="CU3" s="2979"/>
      <c r="CV3" s="2979"/>
      <c r="CW3" s="2979"/>
      <c r="CX3" s="2979"/>
      <c r="CY3" s="2979"/>
      <c r="CZ3" s="2979"/>
      <c r="DA3" s="2979"/>
      <c r="DB3" s="2979"/>
      <c r="DC3" s="2979"/>
      <c r="DD3" s="2979"/>
      <c r="DE3" s="2979"/>
      <c r="DF3" s="2979"/>
      <c r="DG3" s="2979"/>
      <c r="DH3" s="2979"/>
      <c r="DI3" s="2979"/>
      <c r="DJ3" s="2979"/>
      <c r="DK3" s="2979"/>
      <c r="DL3" s="2979"/>
      <c r="DM3" s="2979"/>
      <c r="DN3" s="2979"/>
      <c r="DO3" s="2979"/>
      <c r="DP3" s="2979"/>
      <c r="DQ3" s="2979"/>
      <c r="DR3" s="2979"/>
      <c r="DS3" s="2979"/>
      <c r="DT3" s="2979"/>
      <c r="DU3" s="2979"/>
      <c r="DV3" s="2979"/>
      <c r="DW3" s="2979"/>
      <c r="DX3" s="2979"/>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FN3" s="3078" t="s">
        <v>3155</v>
      </c>
      <c r="FO3" s="3078"/>
      <c r="FP3" s="3078"/>
      <c r="FQ3" s="3078"/>
      <c r="FR3" s="3078"/>
      <c r="FS3" s="3078"/>
      <c r="FT3" s="3078"/>
      <c r="FU3" s="3078"/>
      <c r="FV3" s="3078"/>
      <c r="FW3" s="3078"/>
      <c r="FX3" s="3078"/>
      <c r="FY3" s="3078"/>
      <c r="FZ3" s="3078"/>
      <c r="GA3" s="3078"/>
      <c r="GB3" s="3078"/>
      <c r="GC3" s="3078"/>
      <c r="GD3" s="3078"/>
      <c r="GE3" s="3078"/>
      <c r="GF3" s="3078"/>
      <c r="GG3" s="3078"/>
      <c r="GH3" s="3078"/>
      <c r="GI3" s="3078"/>
      <c r="GJ3" s="3078"/>
      <c r="GK3" s="3078"/>
      <c r="GL3" s="3078"/>
      <c r="GM3" s="3078"/>
      <c r="GN3" s="3078"/>
      <c r="GO3" s="3078"/>
      <c r="GP3" s="3078"/>
      <c r="GQ3" s="3078"/>
      <c r="GR3" s="3078"/>
      <c r="GS3" s="3078"/>
      <c r="GT3" s="3078"/>
      <c r="GU3" s="3078"/>
      <c r="GV3" s="3078"/>
      <c r="GW3" s="3078"/>
      <c r="GX3" s="3078"/>
      <c r="GY3" s="3078"/>
      <c r="GZ3" s="3078"/>
      <c r="HA3" s="3078"/>
      <c r="HB3" s="3078"/>
    </row>
    <row r="4" spans="11:210" ht="3.75" customHeight="1">
      <c r="K4" s="2979"/>
      <c r="L4" s="2979"/>
      <c r="M4" s="2979"/>
      <c r="N4" s="2979"/>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c r="DT4" s="2979"/>
      <c r="DU4" s="2979"/>
      <c r="DV4" s="2979"/>
      <c r="DW4" s="2979"/>
      <c r="DX4" s="2979"/>
      <c r="DY4" s="2979"/>
      <c r="DZ4" s="2979"/>
      <c r="EA4" s="2979"/>
      <c r="EB4" s="2979"/>
      <c r="EC4" s="2979"/>
      <c r="ED4" s="2979"/>
      <c r="EE4" s="2979"/>
      <c r="EF4" s="2979"/>
      <c r="EG4" s="2979"/>
      <c r="EH4" s="2979"/>
      <c r="EI4" s="2979"/>
      <c r="EJ4" s="2979"/>
      <c r="EK4" s="2979"/>
      <c r="EL4" s="2979"/>
      <c r="EM4" s="2979"/>
      <c r="EN4" s="2979"/>
      <c r="EO4" s="2979"/>
      <c r="EP4" s="2979"/>
      <c r="EQ4" s="2979"/>
      <c r="ER4" s="2979"/>
      <c r="ES4" s="2979"/>
      <c r="ET4" s="2979"/>
      <c r="EU4" s="2979"/>
      <c r="EV4" s="2979"/>
      <c r="EW4" s="2979"/>
      <c r="EX4" s="2979"/>
      <c r="FN4" s="3078"/>
      <c r="FO4" s="3078"/>
      <c r="FP4" s="3078"/>
      <c r="FQ4" s="3078"/>
      <c r="FR4" s="3078"/>
      <c r="FS4" s="3078"/>
      <c r="FT4" s="3078"/>
      <c r="FU4" s="3078"/>
      <c r="FV4" s="3078"/>
      <c r="FW4" s="3078"/>
      <c r="FX4" s="3078"/>
      <c r="FY4" s="3078"/>
      <c r="FZ4" s="3078"/>
      <c r="GA4" s="3078"/>
      <c r="GB4" s="3078"/>
      <c r="GC4" s="3078"/>
      <c r="GD4" s="3078"/>
      <c r="GE4" s="3078"/>
      <c r="GF4" s="3078"/>
      <c r="GG4" s="3078"/>
      <c r="GH4" s="3078"/>
      <c r="GI4" s="3078"/>
      <c r="GJ4" s="3078"/>
      <c r="GK4" s="3078"/>
      <c r="GL4" s="3078"/>
      <c r="GM4" s="3078"/>
      <c r="GN4" s="3078"/>
      <c r="GO4" s="3078"/>
      <c r="GP4" s="3078"/>
      <c r="GQ4" s="3078"/>
      <c r="GR4" s="3078"/>
      <c r="GS4" s="3078"/>
      <c r="GT4" s="3078"/>
      <c r="GU4" s="3078"/>
      <c r="GV4" s="3078"/>
      <c r="GW4" s="3078"/>
      <c r="GX4" s="3078"/>
      <c r="GY4" s="3078"/>
      <c r="GZ4" s="3078"/>
      <c r="HA4" s="3078"/>
      <c r="HB4" s="3078"/>
    </row>
    <row r="5" spans="11:210" ht="3.6" customHeight="1">
      <c r="K5" s="2979"/>
      <c r="L5" s="2979"/>
      <c r="M5" s="2979"/>
      <c r="N5" s="2979"/>
      <c r="O5" s="2979"/>
      <c r="P5" s="2979"/>
      <c r="Q5" s="2979"/>
      <c r="R5" s="2979"/>
      <c r="S5" s="2979"/>
      <c r="T5" s="2979"/>
      <c r="U5" s="2979"/>
      <c r="V5" s="2979"/>
      <c r="W5" s="2979"/>
      <c r="X5" s="2979"/>
      <c r="Y5" s="2979"/>
      <c r="Z5" s="2979"/>
      <c r="AA5" s="2979"/>
      <c r="AB5" s="2979"/>
      <c r="AC5" s="2979"/>
      <c r="AD5" s="2979"/>
      <c r="AE5" s="2979"/>
      <c r="AF5" s="2979"/>
      <c r="AG5" s="2979"/>
      <c r="AH5" s="2979"/>
      <c r="AI5" s="2979"/>
      <c r="AJ5" s="2979"/>
      <c r="AK5" s="2979"/>
      <c r="AL5" s="2979"/>
      <c r="AM5" s="2979"/>
      <c r="AN5" s="2979"/>
      <c r="AO5" s="2979"/>
      <c r="AP5" s="2979"/>
      <c r="AQ5" s="2979"/>
      <c r="AR5" s="2979"/>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c r="BP5" s="2979"/>
      <c r="BQ5" s="2979"/>
      <c r="BR5" s="2979"/>
      <c r="BS5" s="2979"/>
      <c r="BT5" s="2979"/>
      <c r="BU5" s="2979"/>
      <c r="BV5" s="2979"/>
      <c r="BW5" s="2979"/>
      <c r="BX5" s="2979"/>
      <c r="BY5" s="2979"/>
      <c r="BZ5" s="2979"/>
      <c r="CA5" s="2979"/>
      <c r="CB5" s="2979"/>
      <c r="CC5" s="2979"/>
      <c r="CD5" s="2979"/>
      <c r="CE5" s="2979"/>
      <c r="CF5" s="2979"/>
      <c r="CG5" s="2979"/>
      <c r="CH5" s="2979"/>
      <c r="CI5" s="2979"/>
      <c r="CJ5" s="2979"/>
      <c r="CK5" s="2979"/>
      <c r="CL5" s="2979"/>
      <c r="CM5" s="2979"/>
      <c r="CN5" s="2979"/>
      <c r="CO5" s="2979"/>
      <c r="CP5" s="2979"/>
      <c r="CQ5" s="2979"/>
      <c r="CR5" s="2979"/>
      <c r="CS5" s="2979"/>
      <c r="CT5" s="2979"/>
      <c r="CU5" s="2979"/>
      <c r="CV5" s="2979"/>
      <c r="CW5" s="2979"/>
      <c r="CX5" s="2979"/>
      <c r="CY5" s="2979"/>
      <c r="CZ5" s="2979"/>
      <c r="DA5" s="2979"/>
      <c r="DB5" s="2979"/>
      <c r="DC5" s="2979"/>
      <c r="DD5" s="2979"/>
      <c r="DE5" s="2979"/>
      <c r="DF5" s="2979"/>
      <c r="DG5" s="2979"/>
      <c r="DH5" s="2979"/>
      <c r="DI5" s="2979"/>
      <c r="DJ5" s="2979"/>
      <c r="DK5" s="2979"/>
      <c r="DL5" s="2979"/>
      <c r="DM5" s="2979"/>
      <c r="DN5" s="2979"/>
      <c r="DO5" s="2979"/>
      <c r="DP5" s="2979"/>
      <c r="DQ5" s="2979"/>
      <c r="DR5" s="2979"/>
      <c r="DS5" s="2979"/>
      <c r="DT5" s="2979"/>
      <c r="DU5" s="2979"/>
      <c r="DV5" s="2979"/>
      <c r="DW5" s="2979"/>
      <c r="DX5" s="2979"/>
      <c r="DY5" s="2979"/>
      <c r="DZ5" s="2979"/>
      <c r="EA5" s="2979"/>
      <c r="EB5" s="2979"/>
      <c r="EC5" s="2979"/>
      <c r="ED5" s="2979"/>
      <c r="EE5" s="2979"/>
      <c r="EF5" s="2979"/>
      <c r="EG5" s="2979"/>
      <c r="EH5" s="2979"/>
      <c r="EI5" s="2979"/>
      <c r="EJ5" s="2979"/>
      <c r="EK5" s="2979"/>
      <c r="EL5" s="2979"/>
      <c r="EM5" s="2979"/>
      <c r="EN5" s="2979"/>
      <c r="EO5" s="2979"/>
      <c r="EP5" s="2979"/>
      <c r="EQ5" s="2979"/>
      <c r="ER5" s="2979"/>
      <c r="ES5" s="2979"/>
      <c r="ET5" s="2979"/>
      <c r="EU5" s="2979"/>
      <c r="EV5" s="2979"/>
      <c r="EW5" s="2979"/>
      <c r="EX5" s="2979"/>
      <c r="FN5" s="3078"/>
      <c r="FO5" s="3078"/>
      <c r="FP5" s="3078"/>
      <c r="FQ5" s="3078"/>
      <c r="FR5" s="3078"/>
      <c r="FS5" s="3078"/>
      <c r="FT5" s="3078"/>
      <c r="FU5" s="3078"/>
      <c r="FV5" s="3078"/>
      <c r="FW5" s="3078"/>
      <c r="FX5" s="3078"/>
      <c r="FY5" s="3078"/>
      <c r="FZ5" s="3078"/>
      <c r="GA5" s="3078"/>
      <c r="GB5" s="3078"/>
      <c r="GC5" s="3078"/>
      <c r="GD5" s="3078"/>
      <c r="GE5" s="3078"/>
      <c r="GF5" s="3078"/>
      <c r="GG5" s="3078"/>
      <c r="GH5" s="3078"/>
      <c r="GI5" s="3078"/>
      <c r="GJ5" s="3078"/>
      <c r="GK5" s="3078"/>
      <c r="GL5" s="3078"/>
      <c r="GM5" s="3078"/>
      <c r="GN5" s="3078"/>
      <c r="GO5" s="3078"/>
      <c r="GP5" s="3078"/>
      <c r="GQ5" s="3078"/>
      <c r="GR5" s="3078"/>
      <c r="GS5" s="3078"/>
      <c r="GT5" s="3078"/>
      <c r="GU5" s="3078"/>
      <c r="GV5" s="3078"/>
      <c r="GW5" s="3078"/>
      <c r="GX5" s="3078"/>
      <c r="GY5" s="3078"/>
      <c r="GZ5" s="3078"/>
      <c r="HA5" s="3078"/>
      <c r="HB5" s="3078"/>
    </row>
    <row r="6" spans="11:210" ht="3.6" customHeight="1">
      <c r="K6" s="2979"/>
      <c r="L6" s="2979"/>
      <c r="M6" s="2979"/>
      <c r="N6" s="2979"/>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79"/>
      <c r="AN6" s="2979"/>
      <c r="AO6" s="2979"/>
      <c r="AP6" s="2979"/>
      <c r="AQ6" s="2979"/>
      <c r="AR6" s="2979"/>
      <c r="AS6" s="2979"/>
      <c r="AT6" s="2979"/>
      <c r="AU6" s="2979"/>
      <c r="AV6" s="2979"/>
      <c r="AW6" s="2979"/>
      <c r="AX6" s="2979"/>
      <c r="AY6" s="2979"/>
      <c r="AZ6" s="2979"/>
      <c r="BA6" s="2979"/>
      <c r="BB6" s="2979"/>
      <c r="BC6" s="2979"/>
      <c r="BD6" s="2979"/>
      <c r="BE6" s="2979"/>
      <c r="BF6" s="2979"/>
      <c r="BG6" s="2979"/>
      <c r="BH6" s="2979"/>
      <c r="BI6" s="2979"/>
      <c r="BJ6" s="2979"/>
      <c r="BK6" s="2979"/>
      <c r="BL6" s="2979"/>
      <c r="BM6" s="2979"/>
      <c r="BN6" s="2979"/>
      <c r="BO6" s="2979"/>
      <c r="BP6" s="2979"/>
      <c r="BQ6" s="2979"/>
      <c r="BR6" s="2979"/>
      <c r="BS6" s="2979"/>
      <c r="BT6" s="2979"/>
      <c r="BU6" s="2979"/>
      <c r="BV6" s="2979"/>
      <c r="BW6" s="2979"/>
      <c r="BX6" s="2979"/>
      <c r="BY6" s="2979"/>
      <c r="BZ6" s="2979"/>
      <c r="CA6" s="2979"/>
      <c r="CB6" s="2979"/>
      <c r="CC6" s="2979"/>
      <c r="CD6" s="2979"/>
      <c r="CE6" s="2979"/>
      <c r="CF6" s="2979"/>
      <c r="CG6" s="2979"/>
      <c r="CH6" s="2979"/>
      <c r="CI6" s="2979"/>
      <c r="CJ6" s="2979"/>
      <c r="CK6" s="2979"/>
      <c r="CL6" s="2979"/>
      <c r="CM6" s="2979"/>
      <c r="CN6" s="2979"/>
      <c r="CO6" s="2979"/>
      <c r="CP6" s="2979"/>
      <c r="CQ6" s="2979"/>
      <c r="CR6" s="2979"/>
      <c r="CS6" s="2979"/>
      <c r="CT6" s="2979"/>
      <c r="CU6" s="2979"/>
      <c r="CV6" s="2979"/>
      <c r="CW6" s="2979"/>
      <c r="CX6" s="2979"/>
      <c r="CY6" s="2979"/>
      <c r="CZ6" s="2979"/>
      <c r="DA6" s="2979"/>
      <c r="DB6" s="2979"/>
      <c r="DC6" s="2979"/>
      <c r="DD6" s="2979"/>
      <c r="DE6" s="2979"/>
      <c r="DF6" s="2979"/>
      <c r="DG6" s="2979"/>
      <c r="DH6" s="2979"/>
      <c r="DI6" s="2979"/>
      <c r="DJ6" s="2979"/>
      <c r="DK6" s="2979"/>
      <c r="DL6" s="2979"/>
      <c r="DM6" s="2979"/>
      <c r="DN6" s="2979"/>
      <c r="DO6" s="2979"/>
      <c r="DP6" s="2979"/>
      <c r="DQ6" s="2979"/>
      <c r="DR6" s="2979"/>
      <c r="DS6" s="2979"/>
      <c r="DT6" s="2979"/>
      <c r="DU6" s="2979"/>
      <c r="DV6" s="2979"/>
      <c r="DW6" s="2979"/>
      <c r="DX6" s="2979"/>
      <c r="DY6" s="2979"/>
      <c r="DZ6" s="2979"/>
      <c r="EA6" s="2979"/>
      <c r="EB6" s="2979"/>
      <c r="EC6" s="2979"/>
      <c r="ED6" s="2979"/>
      <c r="EE6" s="2979"/>
      <c r="EF6" s="2979"/>
      <c r="EG6" s="2979"/>
      <c r="EH6" s="2979"/>
      <c r="EI6" s="2979"/>
      <c r="EJ6" s="2979"/>
      <c r="EK6" s="2979"/>
      <c r="EL6" s="2979"/>
      <c r="EM6" s="2979"/>
      <c r="EN6" s="2979"/>
      <c r="EO6" s="2979"/>
      <c r="EP6" s="2979"/>
      <c r="EQ6" s="2979"/>
      <c r="ER6" s="2979"/>
      <c r="ES6" s="2979"/>
      <c r="ET6" s="2979"/>
      <c r="EU6" s="2979"/>
      <c r="EV6" s="2979"/>
      <c r="EW6" s="2979"/>
      <c r="EX6" s="2979"/>
      <c r="FN6" s="3078"/>
      <c r="FO6" s="3078"/>
      <c r="FP6" s="3078"/>
      <c r="FQ6" s="3078"/>
      <c r="FR6" s="3078"/>
      <c r="FS6" s="3078"/>
      <c r="FT6" s="3078"/>
      <c r="FU6" s="3078"/>
      <c r="FV6" s="3078"/>
      <c r="FW6" s="3078"/>
      <c r="FX6" s="3078"/>
      <c r="FY6" s="3078"/>
      <c r="FZ6" s="3078"/>
      <c r="GA6" s="3078"/>
      <c r="GB6" s="3078"/>
      <c r="GC6" s="3078"/>
      <c r="GD6" s="3078"/>
      <c r="GE6" s="3078"/>
      <c r="GF6" s="3078"/>
      <c r="GG6" s="3078"/>
      <c r="GH6" s="3078"/>
      <c r="GI6" s="3078"/>
      <c r="GJ6" s="3078"/>
      <c r="GK6" s="3078"/>
      <c r="GL6" s="3078"/>
      <c r="GM6" s="3078"/>
      <c r="GN6" s="3078"/>
      <c r="GO6" s="3078"/>
      <c r="GP6" s="3078"/>
      <c r="GQ6" s="3078"/>
      <c r="GR6" s="3078"/>
      <c r="GS6" s="3078"/>
      <c r="GT6" s="3078"/>
      <c r="GU6" s="3078"/>
      <c r="GV6" s="3078"/>
      <c r="GW6" s="3078"/>
      <c r="GX6" s="3078"/>
      <c r="GY6" s="3078"/>
      <c r="GZ6" s="3078"/>
      <c r="HA6" s="3078"/>
      <c r="HB6" s="3078"/>
    </row>
    <row r="7" spans="11:210" ht="3.6" customHeight="1">
      <c r="K7" s="2979"/>
      <c r="L7" s="2979"/>
      <c r="M7" s="2979"/>
      <c r="N7" s="2979"/>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2979"/>
      <c r="AU7" s="2979"/>
      <c r="AV7" s="2979"/>
      <c r="AW7" s="2979"/>
      <c r="AX7" s="2979"/>
      <c r="AY7" s="2979"/>
      <c r="AZ7" s="2979"/>
      <c r="BA7" s="2979"/>
      <c r="BB7" s="2979"/>
      <c r="BC7" s="2979"/>
      <c r="BD7" s="2979"/>
      <c r="BE7" s="2979"/>
      <c r="BF7" s="2979"/>
      <c r="BG7" s="2979"/>
      <c r="BH7" s="2979"/>
      <c r="BI7" s="2979"/>
      <c r="BJ7" s="2979"/>
      <c r="BK7" s="2979"/>
      <c r="BL7" s="2979"/>
      <c r="BM7" s="2979"/>
      <c r="BN7" s="2979"/>
      <c r="BO7" s="2979"/>
      <c r="BP7" s="2979"/>
      <c r="BQ7" s="2979"/>
      <c r="BR7" s="2979"/>
      <c r="BS7" s="2979"/>
      <c r="BT7" s="2979"/>
      <c r="BU7" s="2979"/>
      <c r="BV7" s="2979"/>
      <c r="BW7" s="2979"/>
      <c r="BX7" s="2979"/>
      <c r="BY7" s="2979"/>
      <c r="BZ7" s="2979"/>
      <c r="CA7" s="2979"/>
      <c r="CB7" s="2979"/>
      <c r="CC7" s="2979"/>
      <c r="CD7" s="2979"/>
      <c r="CE7" s="2979"/>
      <c r="CF7" s="2979"/>
      <c r="CG7" s="2979"/>
      <c r="CH7" s="2979"/>
      <c r="CI7" s="2979"/>
      <c r="CJ7" s="2979"/>
      <c r="CK7" s="2979"/>
      <c r="CL7" s="2979"/>
      <c r="CM7" s="2979"/>
      <c r="CN7" s="2979"/>
      <c r="CO7" s="2979"/>
      <c r="CP7" s="2979"/>
      <c r="CQ7" s="2979"/>
      <c r="CR7" s="2979"/>
      <c r="CS7" s="2979"/>
      <c r="CT7" s="2979"/>
      <c r="CU7" s="2979"/>
      <c r="CV7" s="2979"/>
      <c r="CW7" s="2979"/>
      <c r="CX7" s="2979"/>
      <c r="CY7" s="2979"/>
      <c r="CZ7" s="2979"/>
      <c r="DA7" s="2979"/>
      <c r="DB7" s="2979"/>
      <c r="DC7" s="2979"/>
      <c r="DD7" s="2979"/>
      <c r="DE7" s="2979"/>
      <c r="DF7" s="2979"/>
      <c r="DG7" s="2979"/>
      <c r="DH7" s="2979"/>
      <c r="DI7" s="2979"/>
      <c r="DJ7" s="2979"/>
      <c r="DK7" s="2979"/>
      <c r="DL7" s="2979"/>
      <c r="DM7" s="2979"/>
      <c r="DN7" s="2979"/>
      <c r="DO7" s="2979"/>
      <c r="DP7" s="2979"/>
      <c r="DQ7" s="2979"/>
      <c r="DR7" s="2979"/>
      <c r="DS7" s="2979"/>
      <c r="DT7" s="2979"/>
      <c r="DU7" s="2979"/>
      <c r="DV7" s="2979"/>
      <c r="DW7" s="2979"/>
      <c r="DX7" s="2979"/>
      <c r="DY7" s="2979"/>
      <c r="DZ7" s="2979"/>
      <c r="EA7" s="2979"/>
      <c r="EB7" s="2979"/>
      <c r="EC7" s="2979"/>
      <c r="ED7" s="2979"/>
      <c r="EE7" s="2979"/>
      <c r="EF7" s="2979"/>
      <c r="EG7" s="2979"/>
      <c r="EH7" s="2979"/>
      <c r="EI7" s="2979"/>
      <c r="EJ7" s="2979"/>
      <c r="EK7" s="2979"/>
      <c r="EL7" s="2979"/>
      <c r="EM7" s="2979"/>
      <c r="EN7" s="2979"/>
      <c r="EO7" s="2979"/>
      <c r="EP7" s="2979"/>
      <c r="EQ7" s="2979"/>
      <c r="ER7" s="2979"/>
      <c r="ES7" s="2979"/>
      <c r="ET7" s="2979"/>
      <c r="EU7" s="2979"/>
      <c r="EV7" s="2979"/>
      <c r="EW7" s="2979"/>
      <c r="EX7" s="2979"/>
      <c r="FN7" s="3078"/>
      <c r="FO7" s="3078"/>
      <c r="FP7" s="3078"/>
      <c r="FQ7" s="3078"/>
      <c r="FR7" s="3078"/>
      <c r="FS7" s="3078"/>
      <c r="FT7" s="3078"/>
      <c r="FU7" s="3078"/>
      <c r="FV7" s="3078"/>
      <c r="FW7" s="3078"/>
      <c r="FX7" s="3078"/>
      <c r="FY7" s="3078"/>
      <c r="FZ7" s="3078"/>
      <c r="GA7" s="3078"/>
      <c r="GB7" s="3078"/>
      <c r="GC7" s="3078"/>
      <c r="GD7" s="3078"/>
      <c r="GE7" s="3078"/>
      <c r="GF7" s="3078"/>
      <c r="GG7" s="3078"/>
      <c r="GH7" s="3078"/>
      <c r="GI7" s="3078"/>
      <c r="GJ7" s="3078"/>
      <c r="GK7" s="3078"/>
      <c r="GL7" s="3078"/>
      <c r="GM7" s="3078"/>
      <c r="GN7" s="3078"/>
      <c r="GO7" s="3078"/>
      <c r="GP7" s="3078"/>
      <c r="GQ7" s="3078"/>
      <c r="GR7" s="3078"/>
      <c r="GS7" s="3078"/>
      <c r="GT7" s="3078"/>
      <c r="GU7" s="3078"/>
      <c r="GV7" s="3078"/>
      <c r="GW7" s="3078"/>
      <c r="GX7" s="3078"/>
      <c r="GY7" s="3078"/>
      <c r="GZ7" s="3078"/>
      <c r="HA7" s="3078"/>
      <c r="HB7" s="3078"/>
    </row>
    <row r="8" spans="11:210" ht="3.6" customHeight="1">
      <c r="K8" s="2979"/>
      <c r="L8" s="2979"/>
      <c r="M8" s="2979"/>
      <c r="N8" s="2979"/>
      <c r="O8" s="2979"/>
      <c r="P8" s="2979"/>
      <c r="Q8" s="2979"/>
      <c r="R8" s="2979"/>
      <c r="S8" s="2979"/>
      <c r="T8" s="2979"/>
      <c r="U8" s="2979"/>
      <c r="V8" s="2979"/>
      <c r="W8" s="2979"/>
      <c r="X8" s="2979"/>
      <c r="Y8" s="2979"/>
      <c r="Z8" s="2979"/>
      <c r="AA8" s="2979"/>
      <c r="AB8" s="2979"/>
      <c r="AC8" s="2979"/>
      <c r="AD8" s="2979"/>
      <c r="AE8" s="2979"/>
      <c r="AF8" s="2979"/>
      <c r="AG8" s="2979"/>
      <c r="AH8" s="2979"/>
      <c r="AI8" s="2979"/>
      <c r="AJ8" s="2979"/>
      <c r="AK8" s="2979"/>
      <c r="AL8" s="2979"/>
      <c r="AM8" s="2979"/>
      <c r="AN8" s="2979"/>
      <c r="AO8" s="2979"/>
      <c r="AP8" s="2979"/>
      <c r="AQ8" s="2979"/>
      <c r="AR8" s="2979"/>
      <c r="AS8" s="2979"/>
      <c r="AT8" s="2979"/>
      <c r="AU8" s="2979"/>
      <c r="AV8" s="2979"/>
      <c r="AW8" s="2979"/>
      <c r="AX8" s="2979"/>
      <c r="AY8" s="2979"/>
      <c r="AZ8" s="2979"/>
      <c r="BA8" s="2979"/>
      <c r="BB8" s="2979"/>
      <c r="BC8" s="2979"/>
      <c r="BD8" s="2979"/>
      <c r="BE8" s="2979"/>
      <c r="BF8" s="2979"/>
      <c r="BG8" s="2979"/>
      <c r="BH8" s="2979"/>
      <c r="BI8" s="2979"/>
      <c r="BJ8" s="2979"/>
      <c r="BK8" s="2979"/>
      <c r="BL8" s="2979"/>
      <c r="BM8" s="2979"/>
      <c r="BN8" s="2979"/>
      <c r="BO8" s="2979"/>
      <c r="BP8" s="2979"/>
      <c r="BQ8" s="2979"/>
      <c r="BR8" s="2979"/>
      <c r="BS8" s="2979"/>
      <c r="BT8" s="2979"/>
      <c r="BU8" s="2979"/>
      <c r="BV8" s="2979"/>
      <c r="BW8" s="2979"/>
      <c r="BX8" s="2979"/>
      <c r="BY8" s="2979"/>
      <c r="BZ8" s="2979"/>
      <c r="CA8" s="2979"/>
      <c r="CB8" s="2979"/>
      <c r="CC8" s="2979"/>
      <c r="CD8" s="2979"/>
      <c r="CE8" s="2979"/>
      <c r="CF8" s="2979"/>
      <c r="CG8" s="2979"/>
      <c r="CH8" s="2979"/>
      <c r="CI8" s="2979"/>
      <c r="CJ8" s="2979"/>
      <c r="CK8" s="2979"/>
      <c r="CL8" s="2979"/>
      <c r="CM8" s="2979"/>
      <c r="CN8" s="2979"/>
      <c r="CO8" s="2979"/>
      <c r="CP8" s="2979"/>
      <c r="CQ8" s="2979"/>
      <c r="CR8" s="2979"/>
      <c r="CS8" s="2979"/>
      <c r="CT8" s="2979"/>
      <c r="CU8" s="2979"/>
      <c r="CV8" s="2979"/>
      <c r="CW8" s="2979"/>
      <c r="CX8" s="2979"/>
      <c r="CY8" s="2979"/>
      <c r="CZ8" s="2979"/>
      <c r="DA8" s="2979"/>
      <c r="DB8" s="2979"/>
      <c r="DC8" s="2979"/>
      <c r="DD8" s="2979"/>
      <c r="DE8" s="2979"/>
      <c r="DF8" s="2979"/>
      <c r="DG8" s="2979"/>
      <c r="DH8" s="2979"/>
      <c r="DI8" s="2979"/>
      <c r="DJ8" s="2979"/>
      <c r="DK8" s="2979"/>
      <c r="DL8" s="2979"/>
      <c r="DM8" s="2979"/>
      <c r="DN8" s="2979"/>
      <c r="DO8" s="2979"/>
      <c r="DP8" s="2979"/>
      <c r="DQ8" s="2979"/>
      <c r="DR8" s="2979"/>
      <c r="DS8" s="2979"/>
      <c r="DT8" s="2979"/>
      <c r="DU8" s="2979"/>
      <c r="DV8" s="2979"/>
      <c r="DW8" s="2979"/>
      <c r="DX8" s="2979"/>
      <c r="DY8" s="2979"/>
      <c r="DZ8" s="2979"/>
      <c r="EA8" s="2979"/>
      <c r="EB8" s="2979"/>
      <c r="EC8" s="2979"/>
      <c r="ED8" s="2979"/>
      <c r="EE8" s="2979"/>
      <c r="EF8" s="2979"/>
      <c r="EG8" s="2979"/>
      <c r="EH8" s="2979"/>
      <c r="EI8" s="2979"/>
      <c r="EJ8" s="2979"/>
      <c r="EK8" s="2979"/>
      <c r="EL8" s="2979"/>
      <c r="EM8" s="2979"/>
      <c r="EN8" s="2979"/>
      <c r="EO8" s="2979"/>
      <c r="EP8" s="2979"/>
      <c r="EQ8" s="2979"/>
      <c r="ER8" s="2979"/>
      <c r="ES8" s="2979"/>
      <c r="ET8" s="2979"/>
      <c r="EU8" s="2979"/>
      <c r="EV8" s="2979"/>
      <c r="EW8" s="2979"/>
      <c r="EX8" s="2979"/>
      <c r="FN8" s="3079" t="s">
        <v>3156</v>
      </c>
      <c r="FO8" s="3079"/>
      <c r="FP8" s="3079"/>
      <c r="FQ8" s="3079"/>
      <c r="FR8" s="3079"/>
      <c r="FS8" s="3079"/>
      <c r="FT8" s="3079"/>
      <c r="FU8" s="3079"/>
      <c r="FV8" s="3079"/>
      <c r="FW8" s="3079"/>
      <c r="FX8" s="3079"/>
      <c r="FY8" s="3079"/>
      <c r="FZ8" s="3079"/>
      <c r="GA8" s="3079"/>
      <c r="GB8" s="3079"/>
      <c r="GC8" s="3079"/>
      <c r="GD8" s="3079"/>
      <c r="GE8" s="3079"/>
      <c r="GF8" s="3079"/>
      <c r="GG8" s="3079"/>
      <c r="GH8" s="3079"/>
      <c r="GI8" s="3079"/>
      <c r="GJ8" s="3079"/>
      <c r="GK8" s="3079"/>
      <c r="GL8" s="3079"/>
      <c r="GM8" s="3079"/>
      <c r="GN8" s="3079"/>
      <c r="GO8" s="3079"/>
      <c r="GP8" s="3079"/>
      <c r="GQ8" s="3079"/>
      <c r="GR8" s="3079"/>
      <c r="GS8" s="3079"/>
      <c r="GT8" s="3079"/>
      <c r="GU8" s="3079"/>
      <c r="GV8" s="3079"/>
      <c r="GW8" s="3079"/>
      <c r="GX8" s="3079"/>
      <c r="GY8" s="3079"/>
      <c r="GZ8" s="3079"/>
      <c r="HA8" s="3079"/>
      <c r="HB8" s="3079"/>
    </row>
    <row r="9" spans="11:210" ht="3.6" customHeight="1">
      <c r="K9" s="2979"/>
      <c r="L9" s="2979"/>
      <c r="M9" s="2979"/>
      <c r="N9" s="2979"/>
      <c r="O9" s="2979"/>
      <c r="P9" s="2979"/>
      <c r="Q9" s="2979"/>
      <c r="R9" s="2979"/>
      <c r="S9" s="2979"/>
      <c r="T9" s="2979"/>
      <c r="U9" s="2979"/>
      <c r="V9" s="2979"/>
      <c r="W9" s="2979"/>
      <c r="X9" s="2979"/>
      <c r="Y9" s="2979"/>
      <c r="Z9" s="2979"/>
      <c r="AA9" s="2979"/>
      <c r="AB9" s="2979"/>
      <c r="AC9" s="2979"/>
      <c r="AD9" s="2979"/>
      <c r="AE9" s="2979"/>
      <c r="AF9" s="2979"/>
      <c r="AG9" s="2979"/>
      <c r="AH9" s="2979"/>
      <c r="AI9" s="2979"/>
      <c r="AJ9" s="2979"/>
      <c r="AK9" s="2979"/>
      <c r="AL9" s="2979"/>
      <c r="AM9" s="2979"/>
      <c r="AN9" s="2979"/>
      <c r="AO9" s="2979"/>
      <c r="AP9" s="2979"/>
      <c r="AQ9" s="2979"/>
      <c r="AR9" s="2979"/>
      <c r="AS9" s="2979"/>
      <c r="AT9" s="2979"/>
      <c r="AU9" s="2979"/>
      <c r="AV9" s="2979"/>
      <c r="AW9" s="2979"/>
      <c r="AX9" s="2979"/>
      <c r="AY9" s="2979"/>
      <c r="AZ9" s="2979"/>
      <c r="BA9" s="2979"/>
      <c r="BB9" s="2979"/>
      <c r="BC9" s="2979"/>
      <c r="BD9" s="2979"/>
      <c r="BE9" s="2979"/>
      <c r="BF9" s="2979"/>
      <c r="BG9" s="2979"/>
      <c r="BH9" s="2979"/>
      <c r="BI9" s="2979"/>
      <c r="BJ9" s="2979"/>
      <c r="BK9" s="2979"/>
      <c r="BL9" s="2979"/>
      <c r="BM9" s="2979"/>
      <c r="BN9" s="2979"/>
      <c r="BO9" s="2979"/>
      <c r="BP9" s="2979"/>
      <c r="BQ9" s="2979"/>
      <c r="BR9" s="2979"/>
      <c r="BS9" s="2979"/>
      <c r="BT9" s="2979"/>
      <c r="BU9" s="2979"/>
      <c r="BV9" s="2979"/>
      <c r="BW9" s="2979"/>
      <c r="BX9" s="2979"/>
      <c r="BY9" s="2979"/>
      <c r="BZ9" s="2979"/>
      <c r="CA9" s="2979"/>
      <c r="CB9" s="2979"/>
      <c r="CC9" s="2979"/>
      <c r="CD9" s="2979"/>
      <c r="CE9" s="2979"/>
      <c r="CF9" s="2979"/>
      <c r="CG9" s="2979"/>
      <c r="CH9" s="2979"/>
      <c r="CI9" s="2979"/>
      <c r="CJ9" s="2979"/>
      <c r="CK9" s="2979"/>
      <c r="CL9" s="2979"/>
      <c r="CM9" s="2979"/>
      <c r="CN9" s="2979"/>
      <c r="CO9" s="2979"/>
      <c r="CP9" s="2979"/>
      <c r="CQ9" s="2979"/>
      <c r="CR9" s="2979"/>
      <c r="CS9" s="2979"/>
      <c r="CT9" s="2979"/>
      <c r="CU9" s="2979"/>
      <c r="CV9" s="2979"/>
      <c r="CW9" s="2979"/>
      <c r="CX9" s="2979"/>
      <c r="CY9" s="2979"/>
      <c r="CZ9" s="2979"/>
      <c r="DA9" s="2979"/>
      <c r="DB9" s="2979"/>
      <c r="DC9" s="2979"/>
      <c r="DD9" s="2979"/>
      <c r="DE9" s="2979"/>
      <c r="DF9" s="2979"/>
      <c r="DG9" s="2979"/>
      <c r="DH9" s="2979"/>
      <c r="DI9" s="2979"/>
      <c r="DJ9" s="2979"/>
      <c r="DK9" s="2979"/>
      <c r="DL9" s="2979"/>
      <c r="DM9" s="2979"/>
      <c r="DN9" s="2979"/>
      <c r="DO9" s="2979"/>
      <c r="DP9" s="2979"/>
      <c r="DQ9" s="2979"/>
      <c r="DR9" s="2979"/>
      <c r="DS9" s="2979"/>
      <c r="DT9" s="2979"/>
      <c r="DU9" s="2979"/>
      <c r="DV9" s="2979"/>
      <c r="DW9" s="2979"/>
      <c r="DX9" s="2979"/>
      <c r="DY9" s="2979"/>
      <c r="DZ9" s="2979"/>
      <c r="EA9" s="2979"/>
      <c r="EB9" s="2979"/>
      <c r="EC9" s="2979"/>
      <c r="ED9" s="2979"/>
      <c r="EE9" s="2979"/>
      <c r="EF9" s="2979"/>
      <c r="EG9" s="2979"/>
      <c r="EH9" s="2979"/>
      <c r="EI9" s="2979"/>
      <c r="EJ9" s="2979"/>
      <c r="EK9" s="2979"/>
      <c r="EL9" s="2979"/>
      <c r="EM9" s="2979"/>
      <c r="EN9" s="2979"/>
      <c r="EO9" s="2979"/>
      <c r="EP9" s="2979"/>
      <c r="EQ9" s="2979"/>
      <c r="ER9" s="2979"/>
      <c r="ES9" s="2979"/>
      <c r="ET9" s="2979"/>
      <c r="EU9" s="2979"/>
      <c r="EV9" s="2979"/>
      <c r="EW9" s="2979"/>
      <c r="EX9" s="2979"/>
      <c r="FN9" s="3079"/>
      <c r="FO9" s="3079"/>
      <c r="FP9" s="3079"/>
      <c r="FQ9" s="3079"/>
      <c r="FR9" s="3079"/>
      <c r="FS9" s="3079"/>
      <c r="FT9" s="3079"/>
      <c r="FU9" s="3079"/>
      <c r="FV9" s="3079"/>
      <c r="FW9" s="3079"/>
      <c r="FX9" s="3079"/>
      <c r="FY9" s="3079"/>
      <c r="FZ9" s="3079"/>
      <c r="GA9" s="3079"/>
      <c r="GB9" s="3079"/>
      <c r="GC9" s="3079"/>
      <c r="GD9" s="3079"/>
      <c r="GE9" s="3079"/>
      <c r="GF9" s="3079"/>
      <c r="GG9" s="3079"/>
      <c r="GH9" s="3079"/>
      <c r="GI9" s="3079"/>
      <c r="GJ9" s="3079"/>
      <c r="GK9" s="3079"/>
      <c r="GL9" s="3079"/>
      <c r="GM9" s="3079"/>
      <c r="GN9" s="3079"/>
      <c r="GO9" s="3079"/>
      <c r="GP9" s="3079"/>
      <c r="GQ9" s="3079"/>
      <c r="GR9" s="3079"/>
      <c r="GS9" s="3079"/>
      <c r="GT9" s="3079"/>
      <c r="GU9" s="3079"/>
      <c r="GV9" s="3079"/>
      <c r="GW9" s="3079"/>
      <c r="GX9" s="3079"/>
      <c r="GY9" s="3079"/>
      <c r="GZ9" s="3079"/>
      <c r="HA9" s="3079"/>
      <c r="HB9" s="3079"/>
    </row>
    <row r="10" spans="11:210" ht="3.6" customHeight="1">
      <c r="K10" s="2979"/>
      <c r="L10" s="2979"/>
      <c r="M10" s="2979"/>
      <c r="N10" s="2979"/>
      <c r="O10" s="2979"/>
      <c r="P10" s="2979"/>
      <c r="Q10" s="2979"/>
      <c r="R10" s="2979"/>
      <c r="S10" s="2979"/>
      <c r="T10" s="2979"/>
      <c r="U10" s="2979"/>
      <c r="V10" s="2979"/>
      <c r="W10" s="2979"/>
      <c r="X10" s="2979"/>
      <c r="Y10" s="2979"/>
      <c r="Z10" s="2979"/>
      <c r="AA10" s="2979"/>
      <c r="AB10" s="2979"/>
      <c r="AC10" s="2979"/>
      <c r="AD10" s="2979"/>
      <c r="AE10" s="2979"/>
      <c r="AF10" s="2979"/>
      <c r="AG10" s="2979"/>
      <c r="AH10" s="2979"/>
      <c r="AI10" s="2979"/>
      <c r="AJ10" s="2979"/>
      <c r="AK10" s="2979"/>
      <c r="AL10" s="2979"/>
      <c r="AM10" s="2979"/>
      <c r="AN10" s="2979"/>
      <c r="AO10" s="2979"/>
      <c r="AP10" s="2979"/>
      <c r="AQ10" s="2979"/>
      <c r="AR10" s="2979"/>
      <c r="AS10" s="2979"/>
      <c r="AT10" s="2979"/>
      <c r="AU10" s="2979"/>
      <c r="AV10" s="2979"/>
      <c r="AW10" s="2979"/>
      <c r="AX10" s="2979"/>
      <c r="AY10" s="2979"/>
      <c r="AZ10" s="2979"/>
      <c r="BA10" s="2979"/>
      <c r="BB10" s="2979"/>
      <c r="BC10" s="2979"/>
      <c r="BD10" s="2979"/>
      <c r="BE10" s="2979"/>
      <c r="BF10" s="2979"/>
      <c r="BG10" s="2979"/>
      <c r="BH10" s="2979"/>
      <c r="BI10" s="2979"/>
      <c r="BJ10" s="2979"/>
      <c r="BK10" s="2979"/>
      <c r="BL10" s="2979"/>
      <c r="BM10" s="2979"/>
      <c r="BN10" s="2979"/>
      <c r="BO10" s="2979"/>
      <c r="BP10" s="2979"/>
      <c r="BQ10" s="2979"/>
      <c r="BR10" s="2979"/>
      <c r="BS10" s="2979"/>
      <c r="BT10" s="2979"/>
      <c r="BU10" s="2979"/>
      <c r="BV10" s="2979"/>
      <c r="BW10" s="2979"/>
      <c r="BX10" s="2979"/>
      <c r="BY10" s="2979"/>
      <c r="BZ10" s="2979"/>
      <c r="CA10" s="2979"/>
      <c r="CB10" s="2979"/>
      <c r="CC10" s="2979"/>
      <c r="CD10" s="2979"/>
      <c r="CE10" s="2979"/>
      <c r="CF10" s="2979"/>
      <c r="CG10" s="2979"/>
      <c r="CH10" s="2979"/>
      <c r="CI10" s="2979"/>
      <c r="CJ10" s="2979"/>
      <c r="CK10" s="2979"/>
      <c r="CL10" s="2979"/>
      <c r="CM10" s="2979"/>
      <c r="CN10" s="2979"/>
      <c r="CO10" s="2979"/>
      <c r="CP10" s="2979"/>
      <c r="CQ10" s="2979"/>
      <c r="CR10" s="2979"/>
      <c r="CS10" s="2979"/>
      <c r="CT10" s="2979"/>
      <c r="CU10" s="2979"/>
      <c r="CV10" s="2979"/>
      <c r="CW10" s="2979"/>
      <c r="CX10" s="2979"/>
      <c r="CY10" s="2979"/>
      <c r="CZ10" s="2979"/>
      <c r="DA10" s="2979"/>
      <c r="DB10" s="2979"/>
      <c r="DC10" s="2979"/>
      <c r="DD10" s="2979"/>
      <c r="DE10" s="2979"/>
      <c r="DF10" s="2979"/>
      <c r="DG10" s="2979"/>
      <c r="DH10" s="2979"/>
      <c r="DI10" s="2979"/>
      <c r="DJ10" s="2979"/>
      <c r="DK10" s="2979"/>
      <c r="DL10" s="2979"/>
      <c r="DM10" s="2979"/>
      <c r="DN10" s="2979"/>
      <c r="DO10" s="2979"/>
      <c r="DP10" s="2979"/>
      <c r="DQ10" s="2979"/>
      <c r="DR10" s="2979"/>
      <c r="DS10" s="2979"/>
      <c r="DT10" s="2979"/>
      <c r="DU10" s="2979"/>
      <c r="DV10" s="2979"/>
      <c r="DW10" s="2979"/>
      <c r="DX10" s="2979"/>
      <c r="DY10" s="2979"/>
      <c r="DZ10" s="2979"/>
      <c r="EA10" s="2979"/>
      <c r="EB10" s="2979"/>
      <c r="EC10" s="2979"/>
      <c r="ED10" s="2979"/>
      <c r="EE10" s="2979"/>
      <c r="EF10" s="2979"/>
      <c r="EG10" s="2979"/>
      <c r="EH10" s="2979"/>
      <c r="EI10" s="2979"/>
      <c r="EJ10" s="2979"/>
      <c r="EK10" s="2979"/>
      <c r="EL10" s="2979"/>
      <c r="EM10" s="2979"/>
      <c r="EN10" s="2979"/>
      <c r="EO10" s="2979"/>
      <c r="EP10" s="2979"/>
      <c r="EQ10" s="2979"/>
      <c r="ER10" s="2979"/>
      <c r="ES10" s="2979"/>
      <c r="ET10" s="2979"/>
      <c r="EU10" s="2979"/>
      <c r="EV10" s="2979"/>
      <c r="EW10" s="2979"/>
      <c r="EX10" s="2979"/>
      <c r="FN10" s="3079"/>
      <c r="FO10" s="3079"/>
      <c r="FP10" s="3079"/>
      <c r="FQ10" s="3079"/>
      <c r="FR10" s="3079"/>
      <c r="FS10" s="3079"/>
      <c r="FT10" s="3079"/>
      <c r="FU10" s="3079"/>
      <c r="FV10" s="3079"/>
      <c r="FW10" s="3079"/>
      <c r="FX10" s="3079"/>
      <c r="FY10" s="3079"/>
      <c r="FZ10" s="3079"/>
      <c r="GA10" s="3079"/>
      <c r="GB10" s="3079"/>
      <c r="GC10" s="3079"/>
      <c r="GD10" s="3079"/>
      <c r="GE10" s="3079"/>
      <c r="GF10" s="3079"/>
      <c r="GG10" s="3079"/>
      <c r="GH10" s="3079"/>
      <c r="GI10" s="3079"/>
      <c r="GJ10" s="3079"/>
      <c r="GK10" s="3079"/>
      <c r="GL10" s="3079"/>
      <c r="GM10" s="3079"/>
      <c r="GN10" s="3079"/>
      <c r="GO10" s="3079"/>
      <c r="GP10" s="3079"/>
      <c r="GQ10" s="3079"/>
      <c r="GR10" s="3079"/>
      <c r="GS10" s="3079"/>
      <c r="GT10" s="3079"/>
      <c r="GU10" s="3079"/>
      <c r="GV10" s="3079"/>
      <c r="GW10" s="3079"/>
      <c r="GX10" s="3079"/>
      <c r="GY10" s="3079"/>
      <c r="GZ10" s="3079"/>
      <c r="HA10" s="3079"/>
      <c r="HB10" s="3079"/>
    </row>
    <row r="11" spans="11:210" ht="3.6" customHeight="1">
      <c r="FN11" s="3079"/>
      <c r="FO11" s="3079"/>
      <c r="FP11" s="3079"/>
      <c r="FQ11" s="3079"/>
      <c r="FR11" s="3079"/>
      <c r="FS11" s="3079"/>
      <c r="FT11" s="3079"/>
      <c r="FU11" s="3079"/>
      <c r="FV11" s="3079"/>
      <c r="FW11" s="3079"/>
      <c r="FX11" s="3079"/>
      <c r="FY11" s="3079"/>
      <c r="FZ11" s="3079"/>
      <c r="GA11" s="3079"/>
      <c r="GB11" s="3079"/>
      <c r="GC11" s="3079"/>
      <c r="GD11" s="3079"/>
      <c r="GE11" s="3079"/>
      <c r="GF11" s="3079"/>
      <c r="GG11" s="3079"/>
      <c r="GH11" s="3079"/>
      <c r="GI11" s="3079"/>
      <c r="GJ11" s="3079"/>
      <c r="GK11" s="3079"/>
      <c r="GL11" s="3079"/>
      <c r="GM11" s="3079"/>
      <c r="GN11" s="3079"/>
      <c r="GO11" s="3079"/>
      <c r="GP11" s="3079"/>
      <c r="GQ11" s="3079"/>
      <c r="GR11" s="3079"/>
      <c r="GS11" s="3079"/>
      <c r="GT11" s="3079"/>
      <c r="GU11" s="3079"/>
      <c r="GV11" s="3079"/>
      <c r="GW11" s="3079"/>
      <c r="GX11" s="3079"/>
      <c r="GY11" s="3079"/>
      <c r="GZ11" s="3079"/>
      <c r="HA11" s="3079"/>
      <c r="HB11" s="3079"/>
    </row>
    <row r="12" spans="11:210" ht="3.6" customHeight="1">
      <c r="FN12" s="3079"/>
      <c r="FO12" s="3079"/>
      <c r="FP12" s="3079"/>
      <c r="FQ12" s="3079"/>
      <c r="FR12" s="3079"/>
      <c r="FS12" s="3079"/>
      <c r="FT12" s="3079"/>
      <c r="FU12" s="3079"/>
      <c r="FV12" s="3079"/>
      <c r="FW12" s="3079"/>
      <c r="FX12" s="3079"/>
      <c r="FY12" s="3079"/>
      <c r="FZ12" s="3079"/>
      <c r="GA12" s="3079"/>
      <c r="GB12" s="3079"/>
      <c r="GC12" s="3079"/>
      <c r="GD12" s="3079"/>
      <c r="GE12" s="3079"/>
      <c r="GF12" s="3079"/>
      <c r="GG12" s="3079"/>
      <c r="GH12" s="3079"/>
      <c r="GI12" s="3079"/>
      <c r="GJ12" s="3079"/>
      <c r="GK12" s="3079"/>
      <c r="GL12" s="3079"/>
      <c r="GM12" s="3079"/>
      <c r="GN12" s="3079"/>
      <c r="GO12" s="3079"/>
      <c r="GP12" s="3079"/>
      <c r="GQ12" s="3079"/>
      <c r="GR12" s="3079"/>
      <c r="GS12" s="3079"/>
      <c r="GT12" s="3079"/>
      <c r="GU12" s="3079"/>
      <c r="GV12" s="3079"/>
      <c r="GW12" s="3079"/>
      <c r="GX12" s="3079"/>
      <c r="GY12" s="3079"/>
      <c r="GZ12" s="3079"/>
      <c r="HA12" s="3079"/>
      <c r="HB12" s="3079"/>
    </row>
    <row r="13" spans="11:210" ht="3.6" customHeight="1">
      <c r="FN13" s="3079"/>
      <c r="FO13" s="3079"/>
      <c r="FP13" s="3079"/>
      <c r="FQ13" s="3079"/>
      <c r="FR13" s="3079"/>
      <c r="FS13" s="3079"/>
      <c r="FT13" s="3079"/>
      <c r="FU13" s="3079"/>
      <c r="FV13" s="3079"/>
      <c r="FW13" s="3079"/>
      <c r="FX13" s="3079"/>
      <c r="FY13" s="3079"/>
      <c r="FZ13" s="3079"/>
      <c r="GA13" s="3079"/>
      <c r="GB13" s="3079"/>
      <c r="GC13" s="3079"/>
      <c r="GD13" s="3079"/>
      <c r="GE13" s="3079"/>
      <c r="GF13" s="3079"/>
      <c r="GG13" s="3079"/>
      <c r="GH13" s="3079"/>
      <c r="GI13" s="3079"/>
      <c r="GJ13" s="3079"/>
      <c r="GK13" s="3079"/>
      <c r="GL13" s="3079"/>
      <c r="GM13" s="3079"/>
      <c r="GN13" s="3079"/>
      <c r="GO13" s="3079"/>
      <c r="GP13" s="3079"/>
      <c r="GQ13" s="3079"/>
      <c r="GR13" s="3079"/>
      <c r="GS13" s="3079"/>
      <c r="GT13" s="3079"/>
      <c r="GU13" s="3079"/>
      <c r="GV13" s="3079"/>
      <c r="GW13" s="3079"/>
      <c r="GX13" s="3079"/>
      <c r="GY13" s="3079"/>
      <c r="GZ13" s="3079"/>
      <c r="HA13" s="3079"/>
      <c r="HB13" s="3079"/>
    </row>
    <row r="14" spans="11:210" ht="3.6" customHeight="1">
      <c r="FN14" s="3079"/>
      <c r="FO14" s="3079"/>
      <c r="FP14" s="3079"/>
      <c r="FQ14" s="3079"/>
      <c r="FR14" s="3079"/>
      <c r="FS14" s="3079"/>
      <c r="FT14" s="3079"/>
      <c r="FU14" s="3079"/>
      <c r="FV14" s="3079"/>
      <c r="FW14" s="3079"/>
      <c r="FX14" s="3079"/>
      <c r="FY14" s="3079"/>
      <c r="FZ14" s="3079"/>
      <c r="GA14" s="3079"/>
      <c r="GB14" s="3079"/>
      <c r="GC14" s="3079"/>
      <c r="GD14" s="3079"/>
      <c r="GE14" s="3079"/>
      <c r="GF14" s="3079"/>
      <c r="GG14" s="3079"/>
      <c r="GH14" s="3079"/>
      <c r="GI14" s="3079"/>
      <c r="GJ14" s="3079"/>
      <c r="GK14" s="3079"/>
      <c r="GL14" s="3079"/>
      <c r="GM14" s="3079"/>
      <c r="GN14" s="3079"/>
      <c r="GO14" s="3079"/>
      <c r="GP14" s="3079"/>
      <c r="GQ14" s="3079"/>
      <c r="GR14" s="3079"/>
      <c r="GS14" s="3079"/>
      <c r="GT14" s="3079"/>
      <c r="GU14" s="3079"/>
      <c r="GV14" s="3079"/>
      <c r="GW14" s="3079"/>
      <c r="GX14" s="3079"/>
      <c r="GY14" s="3079"/>
      <c r="GZ14" s="3079"/>
      <c r="HA14" s="3079"/>
      <c r="HB14" s="3079"/>
    </row>
    <row r="15" spans="11:210" ht="3.6" customHeight="1">
      <c r="FN15" s="3079"/>
      <c r="FO15" s="3079"/>
      <c r="FP15" s="3079"/>
      <c r="FQ15" s="3079"/>
      <c r="FR15" s="3079"/>
      <c r="FS15" s="3079"/>
      <c r="FT15" s="3079"/>
      <c r="FU15" s="3079"/>
      <c r="FV15" s="3079"/>
      <c r="FW15" s="3079"/>
      <c r="FX15" s="3079"/>
      <c r="FY15" s="3079"/>
      <c r="FZ15" s="3079"/>
      <c r="GA15" s="3079"/>
      <c r="GB15" s="3079"/>
      <c r="GC15" s="3079"/>
      <c r="GD15" s="3079"/>
      <c r="GE15" s="3079"/>
      <c r="GF15" s="3079"/>
      <c r="GG15" s="3079"/>
      <c r="GH15" s="3079"/>
      <c r="GI15" s="3079"/>
      <c r="GJ15" s="3079"/>
      <c r="GK15" s="3079"/>
      <c r="GL15" s="3079"/>
      <c r="GM15" s="3079"/>
      <c r="GN15" s="3079"/>
      <c r="GO15" s="3079"/>
      <c r="GP15" s="3079"/>
      <c r="GQ15" s="3079"/>
      <c r="GR15" s="3079"/>
      <c r="GS15" s="3079"/>
      <c r="GT15" s="3079"/>
      <c r="GU15" s="3079"/>
      <c r="GV15" s="3079"/>
      <c r="GW15" s="3079"/>
      <c r="GX15" s="3079"/>
      <c r="GY15" s="3079"/>
      <c r="GZ15" s="3079"/>
      <c r="HA15" s="3079"/>
      <c r="HB15" s="3079"/>
    </row>
    <row r="16" spans="11:210" ht="3.6" customHeight="1">
      <c r="GC16" s="175"/>
      <c r="GD16" s="175"/>
      <c r="GE16" s="175"/>
      <c r="GF16" s="175"/>
      <c r="GG16" s="175"/>
      <c r="GH16" s="175"/>
      <c r="GI16" s="175"/>
      <c r="GJ16" s="175"/>
      <c r="GK16" s="175"/>
      <c r="GL16" s="175"/>
      <c r="GM16" s="175"/>
      <c r="GN16" s="175"/>
    </row>
    <row r="17" spans="185:196" ht="3.6" customHeight="1">
      <c r="GC17" s="175"/>
      <c r="GD17" s="175"/>
      <c r="GE17" s="175"/>
      <c r="GF17" s="175"/>
      <c r="GG17" s="175"/>
      <c r="GH17" s="175"/>
      <c r="GI17" s="175"/>
      <c r="GJ17" s="175"/>
      <c r="GK17" s="175"/>
      <c r="GL17" s="175"/>
      <c r="GM17" s="175"/>
      <c r="GN17" s="175"/>
    </row>
    <row r="18" spans="185:196" ht="3.6" customHeight="1">
      <c r="GC18" s="175"/>
      <c r="GD18" s="175"/>
      <c r="GE18" s="175"/>
      <c r="GF18" s="175"/>
      <c r="GG18" s="175"/>
      <c r="GH18" s="175"/>
      <c r="GI18" s="175"/>
      <c r="GJ18" s="175"/>
      <c r="GK18" s="175"/>
      <c r="GL18" s="175"/>
      <c r="GM18" s="175"/>
      <c r="GN18" s="175"/>
    </row>
    <row r="19" spans="185:196" ht="3.6" customHeight="1">
      <c r="GC19" s="175"/>
      <c r="GD19" s="175"/>
      <c r="GE19" s="175"/>
      <c r="GF19" s="175"/>
      <c r="GG19" s="175"/>
      <c r="GH19" s="175"/>
      <c r="GI19" s="175"/>
      <c r="GJ19" s="175"/>
      <c r="GK19" s="175"/>
      <c r="GL19" s="175"/>
      <c r="GM19" s="175"/>
      <c r="GN19" s="175"/>
    </row>
    <row r="20" spans="185:196" ht="3.75" customHeight="1">
      <c r="GC20" s="575"/>
      <c r="GD20" s="575"/>
      <c r="GE20" s="575"/>
      <c r="GF20" s="575"/>
      <c r="GG20" s="575"/>
      <c r="GH20" s="575"/>
      <c r="GI20" s="575"/>
      <c r="GJ20" s="575"/>
      <c r="GK20" s="575"/>
      <c r="GL20" s="575"/>
      <c r="GM20" s="575"/>
      <c r="GN20" s="575"/>
    </row>
    <row r="21" spans="185:196" ht="3.75" customHeight="1"/>
    <row r="34" spans="8:213" ht="3.6" customHeight="1">
      <c r="GC34" s="175"/>
      <c r="GD34" s="175"/>
      <c r="GE34" s="175"/>
      <c r="GF34" s="175"/>
      <c r="GG34" s="175"/>
      <c r="GH34" s="175"/>
      <c r="GI34" s="175"/>
      <c r="GJ34" s="175"/>
      <c r="GK34" s="175"/>
      <c r="GL34" s="175"/>
      <c r="GM34" s="175"/>
      <c r="GN34" s="175"/>
    </row>
    <row r="35" spans="8:213" ht="3.6" customHeight="1">
      <c r="L35" s="359"/>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c r="AN35" s="360"/>
      <c r="AO35" s="360"/>
      <c r="AP35" s="360"/>
      <c r="AQ35" s="360"/>
      <c r="AR35" s="360"/>
      <c r="AS35" s="360"/>
      <c r="AT35" s="360"/>
      <c r="AU35" s="360"/>
      <c r="AV35" s="360"/>
      <c r="AW35" s="360"/>
      <c r="AX35" s="360"/>
      <c r="AY35" s="360"/>
      <c r="AZ35" s="360"/>
      <c r="BA35" s="360"/>
      <c r="BB35" s="360"/>
      <c r="BC35" s="360"/>
      <c r="BD35" s="360"/>
      <c r="BE35" s="360"/>
      <c r="BF35" s="360"/>
      <c r="BG35" s="360"/>
      <c r="BH35" s="360"/>
      <c r="BI35" s="360"/>
      <c r="BJ35" s="360"/>
      <c r="BK35" s="360"/>
      <c r="BL35" s="360"/>
      <c r="BM35" s="360"/>
      <c r="BN35" s="360"/>
      <c r="BO35" s="360"/>
      <c r="BP35" s="360"/>
      <c r="BQ35" s="360"/>
      <c r="BR35" s="360"/>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c r="DK35" s="360"/>
      <c r="DL35" s="360"/>
      <c r="DM35" s="216"/>
      <c r="EX35" s="3080" t="s">
        <v>3157</v>
      </c>
      <c r="EY35" s="3081"/>
      <c r="EZ35" s="3081"/>
      <c r="FA35" s="3081"/>
      <c r="FB35" s="3081"/>
      <c r="FC35" s="3081"/>
      <c r="FD35" s="3081"/>
      <c r="FE35" s="3081"/>
      <c r="FF35" s="3081"/>
      <c r="FG35" s="3081"/>
      <c r="FH35" s="3081"/>
      <c r="FI35" s="3081"/>
      <c r="FJ35" s="3081"/>
      <c r="FK35" s="3081"/>
      <c r="FL35" s="3081"/>
      <c r="FM35" s="3081"/>
      <c r="FN35" s="3081"/>
      <c r="FO35" s="3081"/>
      <c r="FP35" s="3081"/>
      <c r="FQ35" s="3081"/>
      <c r="FR35" s="3081"/>
      <c r="FS35" s="3081"/>
      <c r="FT35" s="3081"/>
      <c r="FU35" s="3081"/>
      <c r="FV35" s="3081"/>
      <c r="FW35" s="3081"/>
      <c r="FX35" s="3081"/>
      <c r="FY35" s="3081"/>
      <c r="FZ35" s="3081"/>
      <c r="GA35" s="3081"/>
      <c r="GB35" s="3081"/>
      <c r="GC35" s="3081"/>
      <c r="GD35" s="3081"/>
      <c r="GE35" s="3081"/>
      <c r="GF35" s="3081"/>
      <c r="GG35" s="3081"/>
      <c r="GH35" s="3081"/>
      <c r="GI35" s="3081"/>
      <c r="GJ35" s="3081"/>
      <c r="GK35" s="3081"/>
      <c r="GL35" s="3081"/>
      <c r="GM35" s="3081"/>
      <c r="GN35" s="3081"/>
      <c r="GO35" s="3081"/>
      <c r="GP35" s="3081"/>
      <c r="GQ35" s="3081"/>
      <c r="GR35" s="3081"/>
      <c r="GS35" s="3081"/>
      <c r="GT35" s="3081"/>
      <c r="GU35" s="3081"/>
      <c r="GV35" s="3081"/>
      <c r="GW35" s="3081"/>
      <c r="GX35" s="3081"/>
      <c r="GY35" s="3081"/>
      <c r="GZ35" s="3081"/>
      <c r="HA35" s="3081"/>
      <c r="HB35" s="3081"/>
      <c r="HC35" s="3081"/>
      <c r="HD35" s="3081"/>
      <c r="HE35" s="3082"/>
    </row>
    <row r="36" spans="8:213" ht="3.6" customHeight="1">
      <c r="M36" s="153"/>
      <c r="DL36" s="154"/>
      <c r="EX36" s="3083"/>
      <c r="EY36" s="3084"/>
      <c r="EZ36" s="3084"/>
      <c r="FA36" s="3084"/>
      <c r="FB36" s="3084"/>
      <c r="FC36" s="3084"/>
      <c r="FD36" s="3084"/>
      <c r="FE36" s="3084"/>
      <c r="FF36" s="3084"/>
      <c r="FG36" s="3084"/>
      <c r="FH36" s="3084"/>
      <c r="FI36" s="3084"/>
      <c r="FJ36" s="3084"/>
      <c r="FK36" s="3084"/>
      <c r="FL36" s="3084"/>
      <c r="FM36" s="3084"/>
      <c r="FN36" s="3084"/>
      <c r="FO36" s="3084"/>
      <c r="FP36" s="3084"/>
      <c r="FQ36" s="3084"/>
      <c r="FR36" s="3084"/>
      <c r="FS36" s="3084"/>
      <c r="FT36" s="3084"/>
      <c r="FU36" s="3084"/>
      <c r="FV36" s="3084"/>
      <c r="FW36" s="3084"/>
      <c r="FX36" s="3084"/>
      <c r="FY36" s="3084"/>
      <c r="FZ36" s="3084"/>
      <c r="GA36" s="3084"/>
      <c r="GB36" s="3084"/>
      <c r="GC36" s="3084"/>
      <c r="GD36" s="3084"/>
      <c r="GE36" s="3084"/>
      <c r="GF36" s="3084"/>
      <c r="GG36" s="3084"/>
      <c r="GH36" s="3084"/>
      <c r="GI36" s="3084"/>
      <c r="GJ36" s="3084"/>
      <c r="GK36" s="3084"/>
      <c r="GL36" s="3084"/>
      <c r="GM36" s="3084"/>
      <c r="GN36" s="3084"/>
      <c r="GO36" s="3084"/>
      <c r="GP36" s="3084"/>
      <c r="GQ36" s="3084"/>
      <c r="GR36" s="3084"/>
      <c r="GS36" s="3084"/>
      <c r="GT36" s="3084"/>
      <c r="GU36" s="3084"/>
      <c r="GV36" s="3084"/>
      <c r="GW36" s="3084"/>
      <c r="GX36" s="3084"/>
      <c r="GY36" s="3084"/>
      <c r="GZ36" s="3084"/>
      <c r="HA36" s="3084"/>
      <c r="HB36" s="3084"/>
      <c r="HC36" s="3084"/>
      <c r="HD36" s="3084"/>
      <c r="HE36" s="3085"/>
    </row>
    <row r="37" spans="8:213" ht="3.6" customHeight="1">
      <c r="M37" s="153"/>
      <c r="DL37" s="154"/>
      <c r="EX37" s="3083"/>
      <c r="EY37" s="3084"/>
      <c r="EZ37" s="3084"/>
      <c r="FA37" s="3084"/>
      <c r="FB37" s="3084"/>
      <c r="FC37" s="3084"/>
      <c r="FD37" s="3084"/>
      <c r="FE37" s="3084"/>
      <c r="FF37" s="3084"/>
      <c r="FG37" s="3084"/>
      <c r="FH37" s="3084"/>
      <c r="FI37" s="3084"/>
      <c r="FJ37" s="3084"/>
      <c r="FK37" s="3084"/>
      <c r="FL37" s="3084"/>
      <c r="FM37" s="3084"/>
      <c r="FN37" s="3084"/>
      <c r="FO37" s="3084"/>
      <c r="FP37" s="3084"/>
      <c r="FQ37" s="3084"/>
      <c r="FR37" s="3084"/>
      <c r="FS37" s="3084"/>
      <c r="FT37" s="3084"/>
      <c r="FU37" s="3084"/>
      <c r="FV37" s="3084"/>
      <c r="FW37" s="3084"/>
      <c r="FX37" s="3084"/>
      <c r="FY37" s="3084"/>
      <c r="FZ37" s="3084"/>
      <c r="GA37" s="3084"/>
      <c r="GB37" s="3084"/>
      <c r="GC37" s="3084"/>
      <c r="GD37" s="3084"/>
      <c r="GE37" s="3084"/>
      <c r="GF37" s="3084"/>
      <c r="GG37" s="3084"/>
      <c r="GH37" s="3084"/>
      <c r="GI37" s="3084"/>
      <c r="GJ37" s="3084"/>
      <c r="GK37" s="3084"/>
      <c r="GL37" s="3084"/>
      <c r="GM37" s="3084"/>
      <c r="GN37" s="3084"/>
      <c r="GO37" s="3084"/>
      <c r="GP37" s="3084"/>
      <c r="GQ37" s="3084"/>
      <c r="GR37" s="3084"/>
      <c r="GS37" s="3084"/>
      <c r="GT37" s="3084"/>
      <c r="GU37" s="3084"/>
      <c r="GV37" s="3084"/>
      <c r="GW37" s="3084"/>
      <c r="GX37" s="3084"/>
      <c r="GY37" s="3084"/>
      <c r="GZ37" s="3084"/>
      <c r="HA37" s="3084"/>
      <c r="HB37" s="3084"/>
      <c r="HC37" s="3084"/>
      <c r="HD37" s="3084"/>
      <c r="HE37" s="3085"/>
    </row>
    <row r="38" spans="8:213" ht="3.6" customHeight="1">
      <c r="M38" s="153"/>
      <c r="DL38" s="154"/>
      <c r="EX38" s="3086"/>
      <c r="EY38" s="3087"/>
      <c r="EZ38" s="3087"/>
      <c r="FA38" s="3087"/>
      <c r="FB38" s="3087"/>
      <c r="FC38" s="3087"/>
      <c r="FD38" s="3087"/>
      <c r="FE38" s="3087"/>
      <c r="FF38" s="3087"/>
      <c r="FG38" s="3087"/>
      <c r="FH38" s="3087"/>
      <c r="FI38" s="3087"/>
      <c r="FJ38" s="3087"/>
      <c r="FK38" s="3087"/>
      <c r="FL38" s="3087"/>
      <c r="FM38" s="3087"/>
      <c r="FN38" s="3087"/>
      <c r="FO38" s="3087"/>
      <c r="FP38" s="3087"/>
      <c r="FQ38" s="3087"/>
      <c r="FR38" s="3087"/>
      <c r="FS38" s="3087"/>
      <c r="FT38" s="3087"/>
      <c r="FU38" s="3087"/>
      <c r="FV38" s="3087"/>
      <c r="FW38" s="3087"/>
      <c r="FX38" s="3087"/>
      <c r="FY38" s="3087"/>
      <c r="FZ38" s="3087"/>
      <c r="GA38" s="3087"/>
      <c r="GB38" s="3087"/>
      <c r="GC38" s="3087"/>
      <c r="GD38" s="3087"/>
      <c r="GE38" s="3087"/>
      <c r="GF38" s="3087"/>
      <c r="GG38" s="3087"/>
      <c r="GH38" s="3087"/>
      <c r="GI38" s="3087"/>
      <c r="GJ38" s="3087"/>
      <c r="GK38" s="3087"/>
      <c r="GL38" s="3087"/>
      <c r="GM38" s="3087"/>
      <c r="GN38" s="3087"/>
      <c r="GO38" s="3087"/>
      <c r="GP38" s="3087"/>
      <c r="GQ38" s="3087"/>
      <c r="GR38" s="3087"/>
      <c r="GS38" s="3087"/>
      <c r="GT38" s="3087"/>
      <c r="GU38" s="3087"/>
      <c r="GV38" s="3087"/>
      <c r="GW38" s="3087"/>
      <c r="GX38" s="3087"/>
      <c r="GY38" s="3087"/>
      <c r="GZ38" s="3087"/>
      <c r="HA38" s="3087"/>
      <c r="HB38" s="3087"/>
      <c r="HC38" s="3087"/>
      <c r="HD38" s="3087"/>
      <c r="HE38" s="3088"/>
    </row>
    <row r="39" spans="8:213" ht="3.6" customHeight="1">
      <c r="M39" s="153"/>
      <c r="DL39" s="154"/>
      <c r="EX39" s="3068" t="s">
        <v>291</v>
      </c>
      <c r="EY39" s="3068"/>
      <c r="EZ39" s="3068"/>
      <c r="FA39" s="3068"/>
      <c r="FB39" s="3068"/>
      <c r="FC39" s="3068"/>
      <c r="FD39" s="3068"/>
      <c r="FE39" s="3068"/>
      <c r="FF39" s="3068"/>
      <c r="FG39" s="3068"/>
      <c r="FH39" s="3068"/>
      <c r="FI39" s="3068"/>
      <c r="FJ39" s="3068"/>
      <c r="FK39" s="3068"/>
      <c r="FL39" s="3069" t="s">
        <v>4138</v>
      </c>
      <c r="FM39" s="3062"/>
      <c r="FN39" s="3062"/>
      <c r="FO39" s="3062"/>
      <c r="FP39" s="3062"/>
      <c r="FQ39" s="3062"/>
      <c r="FR39" s="3062"/>
      <c r="FS39" s="3062"/>
      <c r="FT39" s="3062"/>
      <c r="FU39" s="3062"/>
      <c r="FV39" s="3062"/>
      <c r="FW39" s="3062" t="s">
        <v>901</v>
      </c>
      <c r="FX39" s="3062"/>
      <c r="FY39" s="3062"/>
      <c r="FZ39" s="3062"/>
      <c r="GA39" s="3062"/>
      <c r="GB39" s="3062"/>
      <c r="GC39" s="3072" t="s">
        <v>4139</v>
      </c>
      <c r="GD39" s="3072"/>
      <c r="GE39" s="3072"/>
      <c r="GF39" s="3072"/>
      <c r="GG39" s="3072"/>
      <c r="GH39" s="3072"/>
      <c r="GI39" s="3072"/>
      <c r="GJ39" s="3072"/>
      <c r="GK39" s="3072"/>
      <c r="GL39" s="3072"/>
      <c r="GM39" s="3062" t="s">
        <v>901</v>
      </c>
      <c r="GN39" s="3062"/>
      <c r="GO39" s="3062"/>
      <c r="GP39" s="3062"/>
      <c r="GQ39" s="3062"/>
      <c r="GR39" s="3075">
        <v>2</v>
      </c>
      <c r="GS39" s="3075"/>
      <c r="GT39" s="3075"/>
      <c r="GU39" s="3075"/>
      <c r="GV39" s="3075"/>
      <c r="GW39" s="3075"/>
      <c r="GX39" s="3075"/>
      <c r="GY39" s="3062" t="s">
        <v>3159</v>
      </c>
      <c r="GZ39" s="3062"/>
      <c r="HA39" s="3062"/>
      <c r="HB39" s="3062"/>
      <c r="HC39" s="3062"/>
      <c r="HD39" s="3062"/>
      <c r="HE39" s="3063"/>
    </row>
    <row r="40" spans="8:213" ht="3.6" customHeight="1">
      <c r="M40" s="153"/>
      <c r="DL40" s="154"/>
      <c r="EX40" s="3068"/>
      <c r="EY40" s="3068"/>
      <c r="EZ40" s="3068"/>
      <c r="FA40" s="3068"/>
      <c r="FB40" s="3068"/>
      <c r="FC40" s="3068"/>
      <c r="FD40" s="3068"/>
      <c r="FE40" s="3068"/>
      <c r="FF40" s="3068"/>
      <c r="FG40" s="3068"/>
      <c r="FH40" s="3068"/>
      <c r="FI40" s="3068"/>
      <c r="FJ40" s="3068"/>
      <c r="FK40" s="3068"/>
      <c r="FL40" s="3070"/>
      <c r="FM40" s="3064"/>
      <c r="FN40" s="3064"/>
      <c r="FO40" s="3064"/>
      <c r="FP40" s="3064"/>
      <c r="FQ40" s="3064"/>
      <c r="FR40" s="3064"/>
      <c r="FS40" s="3064"/>
      <c r="FT40" s="3064"/>
      <c r="FU40" s="3064"/>
      <c r="FV40" s="3064"/>
      <c r="FW40" s="3064"/>
      <c r="FX40" s="3064"/>
      <c r="FY40" s="3064"/>
      <c r="FZ40" s="3064"/>
      <c r="GA40" s="3064"/>
      <c r="GB40" s="3064"/>
      <c r="GC40" s="3073"/>
      <c r="GD40" s="3073"/>
      <c r="GE40" s="3073"/>
      <c r="GF40" s="3073"/>
      <c r="GG40" s="3073"/>
      <c r="GH40" s="3073"/>
      <c r="GI40" s="3073"/>
      <c r="GJ40" s="3073"/>
      <c r="GK40" s="3073"/>
      <c r="GL40" s="3073"/>
      <c r="GM40" s="3064"/>
      <c r="GN40" s="3064"/>
      <c r="GO40" s="3064"/>
      <c r="GP40" s="3064"/>
      <c r="GQ40" s="3064"/>
      <c r="GR40" s="3076"/>
      <c r="GS40" s="3076"/>
      <c r="GT40" s="3076"/>
      <c r="GU40" s="3076"/>
      <c r="GV40" s="3076"/>
      <c r="GW40" s="3076"/>
      <c r="GX40" s="3076"/>
      <c r="GY40" s="3064"/>
      <c r="GZ40" s="3064"/>
      <c r="HA40" s="3064"/>
      <c r="HB40" s="3064"/>
      <c r="HC40" s="3064"/>
      <c r="HD40" s="3064"/>
      <c r="HE40" s="3065"/>
    </row>
    <row r="41" spans="8:213" ht="3.6" customHeight="1">
      <c r="M41" s="153"/>
      <c r="DL41" s="154"/>
      <c r="EX41" s="3068"/>
      <c r="EY41" s="3068"/>
      <c r="EZ41" s="3068"/>
      <c r="FA41" s="3068"/>
      <c r="FB41" s="3068"/>
      <c r="FC41" s="3068"/>
      <c r="FD41" s="3068"/>
      <c r="FE41" s="3068"/>
      <c r="FF41" s="3068"/>
      <c r="FG41" s="3068"/>
      <c r="FH41" s="3068"/>
      <c r="FI41" s="3068"/>
      <c r="FJ41" s="3068"/>
      <c r="FK41" s="3068"/>
      <c r="FL41" s="3070"/>
      <c r="FM41" s="3064"/>
      <c r="FN41" s="3064"/>
      <c r="FO41" s="3064"/>
      <c r="FP41" s="3064"/>
      <c r="FQ41" s="3064"/>
      <c r="FR41" s="3064"/>
      <c r="FS41" s="3064"/>
      <c r="FT41" s="3064"/>
      <c r="FU41" s="3064"/>
      <c r="FV41" s="3064"/>
      <c r="FW41" s="3064"/>
      <c r="FX41" s="3064"/>
      <c r="FY41" s="3064"/>
      <c r="FZ41" s="3064"/>
      <c r="GA41" s="3064"/>
      <c r="GB41" s="3064"/>
      <c r="GC41" s="3073"/>
      <c r="GD41" s="3073"/>
      <c r="GE41" s="3073"/>
      <c r="GF41" s="3073"/>
      <c r="GG41" s="3073"/>
      <c r="GH41" s="3073"/>
      <c r="GI41" s="3073"/>
      <c r="GJ41" s="3073"/>
      <c r="GK41" s="3073"/>
      <c r="GL41" s="3073"/>
      <c r="GM41" s="3064"/>
      <c r="GN41" s="3064"/>
      <c r="GO41" s="3064"/>
      <c r="GP41" s="3064"/>
      <c r="GQ41" s="3064"/>
      <c r="GR41" s="3076"/>
      <c r="GS41" s="3076"/>
      <c r="GT41" s="3076"/>
      <c r="GU41" s="3076"/>
      <c r="GV41" s="3076"/>
      <c r="GW41" s="3076"/>
      <c r="GX41" s="3076"/>
      <c r="GY41" s="3064"/>
      <c r="GZ41" s="3064"/>
      <c r="HA41" s="3064"/>
      <c r="HB41" s="3064"/>
      <c r="HC41" s="3064"/>
      <c r="HD41" s="3064"/>
      <c r="HE41" s="3065"/>
    </row>
    <row r="42" spans="8:213" ht="3.6" customHeight="1">
      <c r="M42" s="153"/>
      <c r="BE42" s="41"/>
      <c r="BF42" s="41"/>
      <c r="BG42" s="41"/>
      <c r="BH42" s="41"/>
      <c r="BI42" s="41"/>
      <c r="BJ42" s="41"/>
      <c r="BK42" s="41"/>
      <c r="BL42" s="41"/>
      <c r="BM42" s="41"/>
      <c r="BN42" s="41"/>
      <c r="BO42" s="41"/>
      <c r="BP42" s="41"/>
      <c r="BQ42" s="41"/>
      <c r="BR42" s="41"/>
      <c r="BS42" s="41"/>
      <c r="BT42" s="41"/>
      <c r="BU42" s="41"/>
      <c r="BV42" s="41"/>
      <c r="DL42" s="154"/>
      <c r="EU42" s="594"/>
      <c r="EV42" s="594"/>
      <c r="EX42" s="3068"/>
      <c r="EY42" s="3068"/>
      <c r="EZ42" s="3068"/>
      <c r="FA42" s="3068"/>
      <c r="FB42" s="3068"/>
      <c r="FC42" s="3068"/>
      <c r="FD42" s="3068"/>
      <c r="FE42" s="3068"/>
      <c r="FF42" s="3068"/>
      <c r="FG42" s="3068"/>
      <c r="FH42" s="3068"/>
      <c r="FI42" s="3068"/>
      <c r="FJ42" s="3068"/>
      <c r="FK42" s="3068"/>
      <c r="FL42" s="3071"/>
      <c r="FM42" s="3066"/>
      <c r="FN42" s="3066"/>
      <c r="FO42" s="3066"/>
      <c r="FP42" s="3066"/>
      <c r="FQ42" s="3066"/>
      <c r="FR42" s="3066"/>
      <c r="FS42" s="3066"/>
      <c r="FT42" s="3066"/>
      <c r="FU42" s="3066"/>
      <c r="FV42" s="3066"/>
      <c r="FW42" s="3066"/>
      <c r="FX42" s="3066"/>
      <c r="FY42" s="3066"/>
      <c r="FZ42" s="3066"/>
      <c r="GA42" s="3066"/>
      <c r="GB42" s="3066"/>
      <c r="GC42" s="3074"/>
      <c r="GD42" s="3074"/>
      <c r="GE42" s="3074"/>
      <c r="GF42" s="3074"/>
      <c r="GG42" s="3074"/>
      <c r="GH42" s="3074"/>
      <c r="GI42" s="3074"/>
      <c r="GJ42" s="3074"/>
      <c r="GK42" s="3074"/>
      <c r="GL42" s="3074"/>
      <c r="GM42" s="3066"/>
      <c r="GN42" s="3066"/>
      <c r="GO42" s="3066"/>
      <c r="GP42" s="3066"/>
      <c r="GQ42" s="3066"/>
      <c r="GR42" s="3077"/>
      <c r="GS42" s="3077"/>
      <c r="GT42" s="3077"/>
      <c r="GU42" s="3077"/>
      <c r="GV42" s="3077"/>
      <c r="GW42" s="3077"/>
      <c r="GX42" s="3077"/>
      <c r="GY42" s="3066"/>
      <c r="GZ42" s="3066"/>
      <c r="HA42" s="3066"/>
      <c r="HB42" s="3066"/>
      <c r="HC42" s="3066"/>
      <c r="HD42" s="3066"/>
      <c r="HE42" s="3067"/>
    </row>
    <row r="43" spans="8:213" ht="3.6" customHeight="1">
      <c r="H43" s="359"/>
      <c r="I43" s="360"/>
      <c r="J43" s="360"/>
      <c r="K43" s="360"/>
      <c r="L43" s="360"/>
      <c r="M43" s="359"/>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151"/>
      <c r="AN43" s="151"/>
      <c r="AO43" s="151"/>
      <c r="AP43" s="151"/>
      <c r="AQ43" s="151"/>
      <c r="AR43" s="151"/>
      <c r="AS43" s="151"/>
      <c r="AT43" s="151"/>
      <c r="AU43" s="151"/>
      <c r="AV43" s="151"/>
      <c r="AW43" s="151"/>
      <c r="AX43" s="151"/>
      <c r="AY43" s="151"/>
      <c r="AZ43" s="151"/>
      <c r="BA43" s="360"/>
      <c r="BB43" s="360"/>
      <c r="BC43" s="360"/>
      <c r="BD43" s="360"/>
      <c r="BE43" s="360"/>
      <c r="BF43" s="360"/>
      <c r="BG43" s="360"/>
      <c r="BH43" s="360"/>
      <c r="BI43" s="360"/>
      <c r="BJ43" s="360"/>
      <c r="BK43" s="360"/>
      <c r="BL43" s="360"/>
      <c r="BM43" s="360"/>
      <c r="BN43" s="360"/>
      <c r="BO43" s="360"/>
      <c r="BP43" s="360"/>
      <c r="BQ43" s="360"/>
      <c r="BR43" s="360"/>
      <c r="BS43" s="360"/>
      <c r="BT43" s="360"/>
      <c r="BU43" s="360"/>
      <c r="BV43" s="360"/>
      <c r="BW43" s="360"/>
      <c r="BX43" s="360"/>
      <c r="BY43" s="360"/>
      <c r="BZ43" s="360"/>
      <c r="CA43" s="360"/>
      <c r="CB43" s="360"/>
      <c r="CC43" s="360"/>
      <c r="CD43" s="360"/>
      <c r="CE43" s="360"/>
      <c r="CF43" s="360"/>
      <c r="CG43" s="360"/>
      <c r="CH43" s="360"/>
      <c r="CI43" s="360"/>
      <c r="CJ43" s="360"/>
      <c r="CK43" s="360"/>
      <c r="CL43" s="360"/>
      <c r="CM43" s="360"/>
      <c r="CN43" s="360"/>
      <c r="CO43" s="360"/>
      <c r="CP43" s="360"/>
      <c r="CQ43" s="360"/>
      <c r="CR43" s="360"/>
      <c r="CS43" s="360"/>
      <c r="CT43" s="360"/>
      <c r="CU43" s="360"/>
      <c r="CV43" s="360"/>
      <c r="CW43" s="360"/>
      <c r="CX43" s="360"/>
      <c r="CY43" s="360"/>
      <c r="CZ43" s="360"/>
      <c r="DA43" s="360"/>
      <c r="DB43" s="360"/>
      <c r="DC43" s="360"/>
      <c r="DD43" s="360"/>
      <c r="DE43" s="360"/>
      <c r="DF43" s="360"/>
      <c r="DG43" s="360"/>
      <c r="DH43" s="360"/>
      <c r="DI43" s="360"/>
      <c r="DJ43" s="360"/>
      <c r="DK43" s="360"/>
      <c r="DL43" s="216"/>
      <c r="DM43" s="360"/>
      <c r="DN43" s="360"/>
      <c r="DO43" s="360"/>
      <c r="DP43" s="360"/>
      <c r="DQ43" s="360"/>
      <c r="DR43" s="153"/>
      <c r="EU43" s="594"/>
      <c r="EV43" s="594"/>
      <c r="EX43" s="3068" t="s">
        <v>1952</v>
      </c>
      <c r="EY43" s="3068"/>
      <c r="EZ43" s="3068"/>
      <c r="FA43" s="3068"/>
      <c r="FB43" s="3068"/>
      <c r="FC43" s="3068"/>
      <c r="FD43" s="3068"/>
      <c r="FE43" s="3068"/>
      <c r="FF43" s="3068"/>
      <c r="FG43" s="3068"/>
      <c r="FH43" s="3068"/>
      <c r="FI43" s="3068"/>
      <c r="FJ43" s="3068"/>
      <c r="FK43" s="3068"/>
      <c r="FL43" s="3069" t="s">
        <v>4138</v>
      </c>
      <c r="FM43" s="3062"/>
      <c r="FN43" s="3062"/>
      <c r="FO43" s="3062"/>
      <c r="FP43" s="3062"/>
      <c r="FQ43" s="3062"/>
      <c r="FR43" s="3062"/>
      <c r="FS43" s="3062"/>
      <c r="FT43" s="3062"/>
      <c r="FU43" s="3062"/>
      <c r="FV43" s="3062"/>
      <c r="FW43" s="3062" t="s">
        <v>901</v>
      </c>
      <c r="FX43" s="3062"/>
      <c r="FY43" s="3062"/>
      <c r="FZ43" s="3062"/>
      <c r="GA43" s="3062"/>
      <c r="GB43" s="3062"/>
      <c r="GC43" s="3072" t="s">
        <v>4138</v>
      </c>
      <c r="GD43" s="3072"/>
      <c r="GE43" s="3072"/>
      <c r="GF43" s="3072"/>
      <c r="GG43" s="3072"/>
      <c r="GH43" s="3072"/>
      <c r="GI43" s="3072"/>
      <c r="GJ43" s="3072"/>
      <c r="GK43" s="3072"/>
      <c r="GL43" s="3072"/>
      <c r="GM43" s="3062" t="s">
        <v>901</v>
      </c>
      <c r="GN43" s="3062"/>
      <c r="GO43" s="3062"/>
      <c r="GP43" s="3062"/>
      <c r="GQ43" s="3062"/>
      <c r="GR43" s="3075">
        <v>4</v>
      </c>
      <c r="GS43" s="3075"/>
      <c r="GT43" s="3075"/>
      <c r="GU43" s="3075"/>
      <c r="GV43" s="3075"/>
      <c r="GW43" s="3075"/>
      <c r="GX43" s="3075"/>
      <c r="GY43" s="3062" t="s">
        <v>3159</v>
      </c>
      <c r="GZ43" s="3062"/>
      <c r="HA43" s="3062"/>
      <c r="HB43" s="3062"/>
      <c r="HC43" s="3062"/>
      <c r="HD43" s="3062"/>
      <c r="HE43" s="3063"/>
    </row>
    <row r="44" spans="8:213" ht="3.6" customHeight="1">
      <c r="M44" s="153"/>
      <c r="P44" s="153"/>
      <c r="AC44" s="154"/>
      <c r="AM44" s="151"/>
      <c r="AN44" s="151"/>
      <c r="AO44" s="151"/>
      <c r="AP44" s="151"/>
      <c r="AQ44" s="151"/>
      <c r="AR44" s="151"/>
      <c r="AS44" s="151"/>
      <c r="AT44" s="151"/>
      <c r="AU44" s="150"/>
      <c r="AV44" s="162"/>
      <c r="AW44" s="151"/>
      <c r="AX44" s="151"/>
      <c r="AY44" s="151"/>
      <c r="AZ44" s="151"/>
      <c r="CC44" s="150"/>
      <c r="CD44" s="162"/>
      <c r="CV44" s="153"/>
      <c r="DI44" s="154"/>
      <c r="DL44" s="154"/>
      <c r="EU44" s="594"/>
      <c r="EV44" s="594"/>
      <c r="EX44" s="3068"/>
      <c r="EY44" s="3068"/>
      <c r="EZ44" s="3068"/>
      <c r="FA44" s="3068"/>
      <c r="FB44" s="3068"/>
      <c r="FC44" s="3068"/>
      <c r="FD44" s="3068"/>
      <c r="FE44" s="3068"/>
      <c r="FF44" s="3068"/>
      <c r="FG44" s="3068"/>
      <c r="FH44" s="3068"/>
      <c r="FI44" s="3068"/>
      <c r="FJ44" s="3068"/>
      <c r="FK44" s="3068"/>
      <c r="FL44" s="3070"/>
      <c r="FM44" s="3064"/>
      <c r="FN44" s="3064"/>
      <c r="FO44" s="3064"/>
      <c r="FP44" s="3064"/>
      <c r="FQ44" s="3064"/>
      <c r="FR44" s="3064"/>
      <c r="FS44" s="3064"/>
      <c r="FT44" s="3064"/>
      <c r="FU44" s="3064"/>
      <c r="FV44" s="3064"/>
      <c r="FW44" s="3064"/>
      <c r="FX44" s="3064"/>
      <c r="FY44" s="3064"/>
      <c r="FZ44" s="3064"/>
      <c r="GA44" s="3064"/>
      <c r="GB44" s="3064"/>
      <c r="GC44" s="3073"/>
      <c r="GD44" s="3073"/>
      <c r="GE44" s="3073"/>
      <c r="GF44" s="3073"/>
      <c r="GG44" s="3073"/>
      <c r="GH44" s="3073"/>
      <c r="GI44" s="3073"/>
      <c r="GJ44" s="3073"/>
      <c r="GK44" s="3073"/>
      <c r="GL44" s="3073"/>
      <c r="GM44" s="3064"/>
      <c r="GN44" s="3064"/>
      <c r="GO44" s="3064"/>
      <c r="GP44" s="3064"/>
      <c r="GQ44" s="3064"/>
      <c r="GR44" s="3076"/>
      <c r="GS44" s="3076"/>
      <c r="GT44" s="3076"/>
      <c r="GU44" s="3076"/>
      <c r="GV44" s="3076"/>
      <c r="GW44" s="3076"/>
      <c r="GX44" s="3076"/>
      <c r="GY44" s="3064"/>
      <c r="GZ44" s="3064"/>
      <c r="HA44" s="3064"/>
      <c r="HB44" s="3064"/>
      <c r="HC44" s="3064"/>
      <c r="HD44" s="3064"/>
      <c r="HE44" s="3065"/>
    </row>
    <row r="45" spans="8:213" ht="3.6" customHeight="1">
      <c r="M45" s="153"/>
      <c r="P45" s="153"/>
      <c r="Q45" s="150"/>
      <c r="R45" s="151"/>
      <c r="S45" s="151"/>
      <c r="T45" s="151"/>
      <c r="U45" s="151"/>
      <c r="V45" s="162"/>
      <c r="W45" s="151"/>
      <c r="X45" s="151"/>
      <c r="Y45" s="151"/>
      <c r="Z45" s="151"/>
      <c r="AA45" s="151"/>
      <c r="AB45" s="162"/>
      <c r="AC45" s="154"/>
      <c r="AU45" s="153"/>
      <c r="AV45" s="154"/>
      <c r="AY45" s="153"/>
      <c r="AZ45" s="150"/>
      <c r="BA45" s="151"/>
      <c r="BB45" s="151"/>
      <c r="BC45" s="151"/>
      <c r="BD45" s="151"/>
      <c r="BE45" s="162"/>
      <c r="BF45" s="151"/>
      <c r="BG45" s="151"/>
      <c r="BH45" s="151"/>
      <c r="BI45" s="151"/>
      <c r="BJ45" s="151"/>
      <c r="BK45" s="162"/>
      <c r="BL45" s="154"/>
      <c r="CC45" s="153"/>
      <c r="CD45" s="154"/>
      <c r="CV45" s="153"/>
      <c r="CW45" s="150"/>
      <c r="CX45" s="151"/>
      <c r="CY45" s="151"/>
      <c r="CZ45" s="151"/>
      <c r="DA45" s="151"/>
      <c r="DB45" s="162"/>
      <c r="DC45" s="151"/>
      <c r="DD45" s="151"/>
      <c r="DE45" s="151"/>
      <c r="DF45" s="151"/>
      <c r="DG45" s="151"/>
      <c r="DH45" s="162"/>
      <c r="DI45" s="154"/>
      <c r="DL45" s="154"/>
      <c r="EU45" s="594"/>
      <c r="EV45" s="594"/>
      <c r="EX45" s="3068"/>
      <c r="EY45" s="3068"/>
      <c r="EZ45" s="3068"/>
      <c r="FA45" s="3068"/>
      <c r="FB45" s="3068"/>
      <c r="FC45" s="3068"/>
      <c r="FD45" s="3068"/>
      <c r="FE45" s="3068"/>
      <c r="FF45" s="3068"/>
      <c r="FG45" s="3068"/>
      <c r="FH45" s="3068"/>
      <c r="FI45" s="3068"/>
      <c r="FJ45" s="3068"/>
      <c r="FK45" s="3068"/>
      <c r="FL45" s="3070"/>
      <c r="FM45" s="3064"/>
      <c r="FN45" s="3064"/>
      <c r="FO45" s="3064"/>
      <c r="FP45" s="3064"/>
      <c r="FQ45" s="3064"/>
      <c r="FR45" s="3064"/>
      <c r="FS45" s="3064"/>
      <c r="FT45" s="3064"/>
      <c r="FU45" s="3064"/>
      <c r="FV45" s="3064"/>
      <c r="FW45" s="3064"/>
      <c r="FX45" s="3064"/>
      <c r="FY45" s="3064"/>
      <c r="FZ45" s="3064"/>
      <c r="GA45" s="3064"/>
      <c r="GB45" s="3064"/>
      <c r="GC45" s="3073"/>
      <c r="GD45" s="3073"/>
      <c r="GE45" s="3073"/>
      <c r="GF45" s="3073"/>
      <c r="GG45" s="3073"/>
      <c r="GH45" s="3073"/>
      <c r="GI45" s="3073"/>
      <c r="GJ45" s="3073"/>
      <c r="GK45" s="3073"/>
      <c r="GL45" s="3073"/>
      <c r="GM45" s="3064"/>
      <c r="GN45" s="3064"/>
      <c r="GO45" s="3064"/>
      <c r="GP45" s="3064"/>
      <c r="GQ45" s="3064"/>
      <c r="GR45" s="3076"/>
      <c r="GS45" s="3076"/>
      <c r="GT45" s="3076"/>
      <c r="GU45" s="3076"/>
      <c r="GV45" s="3076"/>
      <c r="GW45" s="3076"/>
      <c r="GX45" s="3076"/>
      <c r="GY45" s="3064"/>
      <c r="GZ45" s="3064"/>
      <c r="HA45" s="3064"/>
      <c r="HB45" s="3064"/>
      <c r="HC45" s="3064"/>
      <c r="HD45" s="3064"/>
      <c r="HE45" s="3065"/>
    </row>
    <row r="46" spans="8:213" ht="3.6" customHeight="1">
      <c r="M46" s="153"/>
      <c r="P46" s="153"/>
      <c r="Q46" s="153"/>
      <c r="V46" s="154"/>
      <c r="AB46" s="154"/>
      <c r="AC46" s="154"/>
      <c r="AU46" s="153"/>
      <c r="AV46" s="154"/>
      <c r="AY46" s="153"/>
      <c r="AZ46" s="153"/>
      <c r="BE46" s="154"/>
      <c r="BK46" s="154"/>
      <c r="BL46" s="154"/>
      <c r="CC46" s="153"/>
      <c r="CD46" s="154"/>
      <c r="CV46" s="153"/>
      <c r="CW46" s="153"/>
      <c r="DB46" s="154"/>
      <c r="DH46" s="154"/>
      <c r="DI46" s="154"/>
      <c r="DL46" s="154"/>
      <c r="EU46" s="594"/>
      <c r="EV46" s="594"/>
      <c r="EX46" s="3068"/>
      <c r="EY46" s="3068"/>
      <c r="EZ46" s="3068"/>
      <c r="FA46" s="3068"/>
      <c r="FB46" s="3068"/>
      <c r="FC46" s="3068"/>
      <c r="FD46" s="3068"/>
      <c r="FE46" s="3068"/>
      <c r="FF46" s="3068"/>
      <c r="FG46" s="3068"/>
      <c r="FH46" s="3068"/>
      <c r="FI46" s="3068"/>
      <c r="FJ46" s="3068"/>
      <c r="FK46" s="3068"/>
      <c r="FL46" s="3071"/>
      <c r="FM46" s="3066"/>
      <c r="FN46" s="3066"/>
      <c r="FO46" s="3066"/>
      <c r="FP46" s="3066"/>
      <c r="FQ46" s="3066"/>
      <c r="FR46" s="3066"/>
      <c r="FS46" s="3066"/>
      <c r="FT46" s="3066"/>
      <c r="FU46" s="3066"/>
      <c r="FV46" s="3066"/>
      <c r="FW46" s="3066"/>
      <c r="FX46" s="3066"/>
      <c r="FY46" s="3066"/>
      <c r="FZ46" s="3066"/>
      <c r="GA46" s="3066"/>
      <c r="GB46" s="3066"/>
      <c r="GC46" s="3074"/>
      <c r="GD46" s="3074"/>
      <c r="GE46" s="3074"/>
      <c r="GF46" s="3074"/>
      <c r="GG46" s="3074"/>
      <c r="GH46" s="3074"/>
      <c r="GI46" s="3074"/>
      <c r="GJ46" s="3074"/>
      <c r="GK46" s="3074"/>
      <c r="GL46" s="3074"/>
      <c r="GM46" s="3066"/>
      <c r="GN46" s="3066"/>
      <c r="GO46" s="3066"/>
      <c r="GP46" s="3066"/>
      <c r="GQ46" s="3066"/>
      <c r="GR46" s="3077"/>
      <c r="GS46" s="3077"/>
      <c r="GT46" s="3077"/>
      <c r="GU46" s="3077"/>
      <c r="GV46" s="3077"/>
      <c r="GW46" s="3077"/>
      <c r="GX46" s="3077"/>
      <c r="GY46" s="3066"/>
      <c r="GZ46" s="3066"/>
      <c r="HA46" s="3066"/>
      <c r="HB46" s="3066"/>
      <c r="HC46" s="3066"/>
      <c r="HD46" s="3066"/>
      <c r="HE46" s="3067"/>
    </row>
    <row r="47" spans="8:213" ht="3.6" customHeight="1">
      <c r="M47" s="153"/>
      <c r="P47" s="153"/>
      <c r="Q47" s="153"/>
      <c r="V47" s="154"/>
      <c r="AB47" s="154"/>
      <c r="AC47" s="154"/>
      <c r="AU47" s="153"/>
      <c r="AV47" s="154"/>
      <c r="AY47" s="153"/>
      <c r="AZ47" s="153"/>
      <c r="BE47" s="154"/>
      <c r="BK47" s="154"/>
      <c r="BL47" s="154"/>
      <c r="CC47" s="153"/>
      <c r="CD47" s="154"/>
      <c r="CV47" s="153"/>
      <c r="CW47" s="153"/>
      <c r="DB47" s="154"/>
      <c r="DH47" s="154"/>
      <c r="DI47" s="154"/>
      <c r="DL47" s="154"/>
      <c r="EU47" s="594"/>
      <c r="EV47" s="594"/>
      <c r="EX47" s="3068" t="s">
        <v>1954</v>
      </c>
      <c r="EY47" s="3068"/>
      <c r="EZ47" s="3068"/>
      <c r="FA47" s="3068"/>
      <c r="FB47" s="3068"/>
      <c r="FC47" s="3068"/>
      <c r="FD47" s="3068"/>
      <c r="FE47" s="3068"/>
      <c r="FF47" s="3068"/>
      <c r="FG47" s="3068"/>
      <c r="FH47" s="3068"/>
      <c r="FI47" s="3068"/>
      <c r="FJ47" s="3068"/>
      <c r="FK47" s="3068"/>
      <c r="FL47" s="3069" t="s">
        <v>4140</v>
      </c>
      <c r="FM47" s="3062"/>
      <c r="FN47" s="3062"/>
      <c r="FO47" s="3062"/>
      <c r="FP47" s="3062"/>
      <c r="FQ47" s="3062"/>
      <c r="FR47" s="3062"/>
      <c r="FS47" s="3062"/>
      <c r="FT47" s="3062"/>
      <c r="FU47" s="3062"/>
      <c r="FV47" s="3062"/>
      <c r="FW47" s="3062" t="s">
        <v>901</v>
      </c>
      <c r="FX47" s="3062"/>
      <c r="FY47" s="3062"/>
      <c r="FZ47" s="3062"/>
      <c r="GA47" s="3062"/>
      <c r="GB47" s="3062"/>
      <c r="GC47" s="3072" t="s">
        <v>4141</v>
      </c>
      <c r="GD47" s="3072"/>
      <c r="GE47" s="3072"/>
      <c r="GF47" s="3072"/>
      <c r="GG47" s="3072"/>
      <c r="GH47" s="3072"/>
      <c r="GI47" s="3072"/>
      <c r="GJ47" s="3072"/>
      <c r="GK47" s="3072"/>
      <c r="GL47" s="3072"/>
      <c r="GM47" s="3062" t="s">
        <v>901</v>
      </c>
      <c r="GN47" s="3062"/>
      <c r="GO47" s="3062"/>
      <c r="GP47" s="3062"/>
      <c r="GQ47" s="3062"/>
      <c r="GR47" s="3075">
        <v>6</v>
      </c>
      <c r="GS47" s="3075"/>
      <c r="GT47" s="3075"/>
      <c r="GU47" s="3075"/>
      <c r="GV47" s="3075"/>
      <c r="GW47" s="3075"/>
      <c r="GX47" s="3075"/>
      <c r="GY47" s="3062" t="s">
        <v>3159</v>
      </c>
      <c r="GZ47" s="3062"/>
      <c r="HA47" s="3062"/>
      <c r="HB47" s="3062"/>
      <c r="HC47" s="3062"/>
      <c r="HD47" s="3062"/>
      <c r="HE47" s="3063"/>
    </row>
    <row r="48" spans="8:213" ht="3.6" customHeight="1">
      <c r="M48" s="153"/>
      <c r="P48" s="153"/>
      <c r="Q48" s="153"/>
      <c r="V48" s="154"/>
      <c r="AB48" s="154"/>
      <c r="AC48" s="154"/>
      <c r="AU48" s="153"/>
      <c r="AV48" s="154"/>
      <c r="AY48" s="153"/>
      <c r="AZ48" s="153"/>
      <c r="BE48" s="154"/>
      <c r="BK48" s="154"/>
      <c r="BL48" s="154"/>
      <c r="CC48" s="153"/>
      <c r="CD48" s="154"/>
      <c r="CV48" s="153"/>
      <c r="CW48" s="153"/>
      <c r="DB48" s="154"/>
      <c r="DH48" s="154"/>
      <c r="DI48" s="154"/>
      <c r="DL48" s="154"/>
      <c r="EU48" s="594"/>
      <c r="EV48" s="594"/>
      <c r="EX48" s="3068"/>
      <c r="EY48" s="3068"/>
      <c r="EZ48" s="3068"/>
      <c r="FA48" s="3068"/>
      <c r="FB48" s="3068"/>
      <c r="FC48" s="3068"/>
      <c r="FD48" s="3068"/>
      <c r="FE48" s="3068"/>
      <c r="FF48" s="3068"/>
      <c r="FG48" s="3068"/>
      <c r="FH48" s="3068"/>
      <c r="FI48" s="3068"/>
      <c r="FJ48" s="3068"/>
      <c r="FK48" s="3068"/>
      <c r="FL48" s="3070"/>
      <c r="FM48" s="3064"/>
      <c r="FN48" s="3064"/>
      <c r="FO48" s="3064"/>
      <c r="FP48" s="3064"/>
      <c r="FQ48" s="3064"/>
      <c r="FR48" s="3064"/>
      <c r="FS48" s="3064"/>
      <c r="FT48" s="3064"/>
      <c r="FU48" s="3064"/>
      <c r="FV48" s="3064"/>
      <c r="FW48" s="3064"/>
      <c r="FX48" s="3064"/>
      <c r="FY48" s="3064"/>
      <c r="FZ48" s="3064"/>
      <c r="GA48" s="3064"/>
      <c r="GB48" s="3064"/>
      <c r="GC48" s="3073"/>
      <c r="GD48" s="3073"/>
      <c r="GE48" s="3073"/>
      <c r="GF48" s="3073"/>
      <c r="GG48" s="3073"/>
      <c r="GH48" s="3073"/>
      <c r="GI48" s="3073"/>
      <c r="GJ48" s="3073"/>
      <c r="GK48" s="3073"/>
      <c r="GL48" s="3073"/>
      <c r="GM48" s="3064"/>
      <c r="GN48" s="3064"/>
      <c r="GO48" s="3064"/>
      <c r="GP48" s="3064"/>
      <c r="GQ48" s="3064"/>
      <c r="GR48" s="3076"/>
      <c r="GS48" s="3076"/>
      <c r="GT48" s="3076"/>
      <c r="GU48" s="3076"/>
      <c r="GV48" s="3076"/>
      <c r="GW48" s="3076"/>
      <c r="GX48" s="3076"/>
      <c r="GY48" s="3064"/>
      <c r="GZ48" s="3064"/>
      <c r="HA48" s="3064"/>
      <c r="HB48" s="3064"/>
      <c r="HC48" s="3064"/>
      <c r="HD48" s="3064"/>
      <c r="HE48" s="3065"/>
    </row>
    <row r="49" spans="13:213" ht="3.6" customHeight="1">
      <c r="M49" s="153"/>
      <c r="P49" s="153"/>
      <c r="Q49" s="153"/>
      <c r="V49" s="154"/>
      <c r="AB49" s="154"/>
      <c r="AC49" s="154"/>
      <c r="AU49" s="153"/>
      <c r="AV49" s="154"/>
      <c r="AY49" s="153"/>
      <c r="AZ49" s="153"/>
      <c r="BE49" s="154"/>
      <c r="BK49" s="154"/>
      <c r="BL49" s="154"/>
      <c r="CC49" s="153"/>
      <c r="CD49" s="154"/>
      <c r="CV49" s="153"/>
      <c r="CW49" s="153"/>
      <c r="DB49" s="154"/>
      <c r="DH49" s="154"/>
      <c r="DI49" s="154"/>
      <c r="DL49" s="154"/>
      <c r="EU49" s="594"/>
      <c r="EV49" s="594"/>
      <c r="EX49" s="3068"/>
      <c r="EY49" s="3068"/>
      <c r="EZ49" s="3068"/>
      <c r="FA49" s="3068"/>
      <c r="FB49" s="3068"/>
      <c r="FC49" s="3068"/>
      <c r="FD49" s="3068"/>
      <c r="FE49" s="3068"/>
      <c r="FF49" s="3068"/>
      <c r="FG49" s="3068"/>
      <c r="FH49" s="3068"/>
      <c r="FI49" s="3068"/>
      <c r="FJ49" s="3068"/>
      <c r="FK49" s="3068"/>
      <c r="FL49" s="3070"/>
      <c r="FM49" s="3064"/>
      <c r="FN49" s="3064"/>
      <c r="FO49" s="3064"/>
      <c r="FP49" s="3064"/>
      <c r="FQ49" s="3064"/>
      <c r="FR49" s="3064"/>
      <c r="FS49" s="3064"/>
      <c r="FT49" s="3064"/>
      <c r="FU49" s="3064"/>
      <c r="FV49" s="3064"/>
      <c r="FW49" s="3064"/>
      <c r="FX49" s="3064"/>
      <c r="FY49" s="3064"/>
      <c r="FZ49" s="3064"/>
      <c r="GA49" s="3064"/>
      <c r="GB49" s="3064"/>
      <c r="GC49" s="3073"/>
      <c r="GD49" s="3073"/>
      <c r="GE49" s="3073"/>
      <c r="GF49" s="3073"/>
      <c r="GG49" s="3073"/>
      <c r="GH49" s="3073"/>
      <c r="GI49" s="3073"/>
      <c r="GJ49" s="3073"/>
      <c r="GK49" s="3073"/>
      <c r="GL49" s="3073"/>
      <c r="GM49" s="3064"/>
      <c r="GN49" s="3064"/>
      <c r="GO49" s="3064"/>
      <c r="GP49" s="3064"/>
      <c r="GQ49" s="3064"/>
      <c r="GR49" s="3076"/>
      <c r="GS49" s="3076"/>
      <c r="GT49" s="3076"/>
      <c r="GU49" s="3076"/>
      <c r="GV49" s="3076"/>
      <c r="GW49" s="3076"/>
      <c r="GX49" s="3076"/>
      <c r="GY49" s="3064"/>
      <c r="GZ49" s="3064"/>
      <c r="HA49" s="3064"/>
      <c r="HB49" s="3064"/>
      <c r="HC49" s="3064"/>
      <c r="HD49" s="3064"/>
      <c r="HE49" s="3065"/>
    </row>
    <row r="50" spans="13:213" ht="3.6" customHeight="1">
      <c r="M50" s="153"/>
      <c r="P50" s="153"/>
      <c r="Q50" s="153"/>
      <c r="V50" s="154"/>
      <c r="AB50" s="154"/>
      <c r="AC50" s="154"/>
      <c r="AU50" s="153"/>
      <c r="AV50" s="154"/>
      <c r="AY50" s="153"/>
      <c r="AZ50" s="153"/>
      <c r="BE50" s="154"/>
      <c r="BK50" s="154"/>
      <c r="BL50" s="154"/>
      <c r="CC50" s="153"/>
      <c r="CD50" s="154"/>
      <c r="CV50" s="153"/>
      <c r="CW50" s="153"/>
      <c r="DB50" s="154"/>
      <c r="DH50" s="154"/>
      <c r="DI50" s="154"/>
      <c r="DL50" s="154"/>
      <c r="EU50" s="594"/>
      <c r="EV50" s="594"/>
      <c r="EX50" s="3068"/>
      <c r="EY50" s="3068"/>
      <c r="EZ50" s="3068"/>
      <c r="FA50" s="3068"/>
      <c r="FB50" s="3068"/>
      <c r="FC50" s="3068"/>
      <c r="FD50" s="3068"/>
      <c r="FE50" s="3068"/>
      <c r="FF50" s="3068"/>
      <c r="FG50" s="3068"/>
      <c r="FH50" s="3068"/>
      <c r="FI50" s="3068"/>
      <c r="FJ50" s="3068"/>
      <c r="FK50" s="3068"/>
      <c r="FL50" s="3071"/>
      <c r="FM50" s="3066"/>
      <c r="FN50" s="3066"/>
      <c r="FO50" s="3066"/>
      <c r="FP50" s="3066"/>
      <c r="FQ50" s="3066"/>
      <c r="FR50" s="3066"/>
      <c r="FS50" s="3066"/>
      <c r="FT50" s="3066"/>
      <c r="FU50" s="3066"/>
      <c r="FV50" s="3066"/>
      <c r="FW50" s="3066"/>
      <c r="FX50" s="3066"/>
      <c r="FY50" s="3066"/>
      <c r="FZ50" s="3066"/>
      <c r="GA50" s="3066"/>
      <c r="GB50" s="3066"/>
      <c r="GC50" s="3074"/>
      <c r="GD50" s="3074"/>
      <c r="GE50" s="3074"/>
      <c r="GF50" s="3074"/>
      <c r="GG50" s="3074"/>
      <c r="GH50" s="3074"/>
      <c r="GI50" s="3074"/>
      <c r="GJ50" s="3074"/>
      <c r="GK50" s="3074"/>
      <c r="GL50" s="3074"/>
      <c r="GM50" s="3066"/>
      <c r="GN50" s="3066"/>
      <c r="GO50" s="3066"/>
      <c r="GP50" s="3066"/>
      <c r="GQ50" s="3066"/>
      <c r="GR50" s="3077"/>
      <c r="GS50" s="3077"/>
      <c r="GT50" s="3077"/>
      <c r="GU50" s="3077"/>
      <c r="GV50" s="3077"/>
      <c r="GW50" s="3077"/>
      <c r="GX50" s="3077"/>
      <c r="GY50" s="3066"/>
      <c r="GZ50" s="3066"/>
      <c r="HA50" s="3066"/>
      <c r="HB50" s="3066"/>
      <c r="HC50" s="3066"/>
      <c r="HD50" s="3066"/>
      <c r="HE50" s="3067"/>
    </row>
    <row r="51" spans="13:213" ht="3.6" customHeight="1">
      <c r="M51" s="153"/>
      <c r="P51" s="153"/>
      <c r="Q51" s="153"/>
      <c r="V51" s="154"/>
      <c r="AB51" s="154"/>
      <c r="AC51" s="154"/>
      <c r="AU51" s="153"/>
      <c r="AV51" s="154"/>
      <c r="AY51" s="153"/>
      <c r="AZ51" s="153"/>
      <c r="BE51" s="154"/>
      <c r="BK51" s="154"/>
      <c r="BL51" s="154"/>
      <c r="CC51" s="153"/>
      <c r="CD51" s="154"/>
      <c r="CV51" s="153"/>
      <c r="CW51" s="153"/>
      <c r="DB51" s="154"/>
      <c r="DH51" s="154"/>
      <c r="DI51" s="154"/>
      <c r="DL51" s="154"/>
      <c r="EU51" s="594"/>
      <c r="EV51" s="594"/>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row>
    <row r="52" spans="13:213" ht="3.6" customHeight="1">
      <c r="M52" s="153"/>
      <c r="P52" s="153"/>
      <c r="Q52" s="153"/>
      <c r="V52" s="154"/>
      <c r="AB52" s="154"/>
      <c r="AC52" s="154"/>
      <c r="AU52" s="153"/>
      <c r="AV52" s="154"/>
      <c r="AY52" s="153"/>
      <c r="AZ52" s="153"/>
      <c r="BE52" s="154"/>
      <c r="BK52" s="154"/>
      <c r="BL52" s="154"/>
      <c r="CC52" s="153"/>
      <c r="CD52" s="154"/>
      <c r="CV52" s="153"/>
      <c r="CW52" s="153"/>
      <c r="DB52" s="154"/>
      <c r="DH52" s="154"/>
      <c r="DI52" s="154"/>
      <c r="DL52" s="154"/>
      <c r="EU52" s="594"/>
      <c r="EV52" s="594"/>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row>
    <row r="53" spans="13:213" ht="3.6" customHeight="1">
      <c r="M53" s="153"/>
      <c r="P53" s="153"/>
      <c r="Q53" s="153"/>
      <c r="V53" s="154"/>
      <c r="AB53" s="154"/>
      <c r="AC53" s="154"/>
      <c r="AU53" s="153"/>
      <c r="AV53" s="154"/>
      <c r="AY53" s="153"/>
      <c r="AZ53" s="153"/>
      <c r="BE53" s="154"/>
      <c r="BK53" s="154"/>
      <c r="BL53" s="154"/>
      <c r="CC53" s="153"/>
      <c r="CD53" s="154"/>
      <c r="CV53" s="153"/>
      <c r="CW53" s="153"/>
      <c r="DB53" s="154"/>
      <c r="DH53" s="154"/>
      <c r="DI53" s="154"/>
      <c r="DL53" s="154"/>
      <c r="EU53" s="594"/>
      <c r="EV53" s="594"/>
      <c r="EX53" s="140"/>
      <c r="EY53" s="140"/>
      <c r="EZ53" s="140"/>
      <c r="FA53" s="140"/>
      <c r="FB53" s="140"/>
      <c r="FC53" s="140"/>
      <c r="FD53" s="140"/>
      <c r="FE53" s="140"/>
      <c r="FF53" s="140"/>
      <c r="FG53" s="140"/>
      <c r="FH53" s="140"/>
      <c r="FI53" s="140"/>
      <c r="FJ53" s="140"/>
      <c r="FK53" s="140"/>
      <c r="FL53" s="140"/>
      <c r="FM53" s="140"/>
      <c r="FN53" s="140"/>
      <c r="FO53" s="140"/>
      <c r="FP53" s="140"/>
      <c r="FQ53" s="140"/>
      <c r="FR53" s="140"/>
      <c r="FS53" s="140"/>
      <c r="FT53" s="140"/>
      <c r="FU53" s="140"/>
      <c r="FV53" s="140"/>
      <c r="FW53" s="140"/>
      <c r="FX53" s="140"/>
      <c r="FY53" s="140"/>
      <c r="FZ53" s="140"/>
      <c r="GA53" s="140"/>
      <c r="GB53" s="140"/>
      <c r="GC53" s="140"/>
      <c r="GD53" s="140"/>
      <c r="GE53" s="140"/>
      <c r="GF53" s="140"/>
      <c r="GG53" s="140"/>
      <c r="GH53" s="140"/>
      <c r="GI53" s="140"/>
      <c r="GJ53" s="140"/>
      <c r="GK53" s="140"/>
      <c r="GL53" s="140"/>
      <c r="GM53" s="140"/>
      <c r="GN53" s="140"/>
      <c r="GO53" s="140"/>
      <c r="GP53" s="140"/>
      <c r="GQ53" s="140"/>
      <c r="GR53" s="140"/>
      <c r="GS53" s="140"/>
      <c r="GT53" s="140"/>
      <c r="GU53" s="140"/>
      <c r="GV53" s="140"/>
      <c r="GW53" s="140"/>
      <c r="GX53" s="140"/>
      <c r="GY53" s="140"/>
      <c r="GZ53" s="140"/>
      <c r="HA53" s="140"/>
      <c r="HB53" s="140"/>
      <c r="HC53" s="140"/>
      <c r="HD53" s="140"/>
      <c r="HE53" s="140"/>
    </row>
    <row r="54" spans="13:213" ht="3.6" customHeight="1">
      <c r="M54" s="153"/>
      <c r="P54" s="153"/>
      <c r="Q54" s="153"/>
      <c r="V54" s="154"/>
      <c r="AB54" s="154"/>
      <c r="AC54" s="154"/>
      <c r="AU54" s="153"/>
      <c r="AV54" s="154"/>
      <c r="AY54" s="153"/>
      <c r="AZ54" s="153"/>
      <c r="BE54" s="154"/>
      <c r="BK54" s="154"/>
      <c r="BL54" s="154"/>
      <c r="CC54" s="153"/>
      <c r="CD54" s="154"/>
      <c r="CV54" s="153"/>
      <c r="CW54" s="153"/>
      <c r="DB54" s="154"/>
      <c r="DH54" s="154"/>
      <c r="DI54" s="154"/>
      <c r="DL54" s="154"/>
      <c r="EU54" s="594"/>
      <c r="EV54" s="594"/>
      <c r="EX54" s="140"/>
      <c r="EY54" s="140"/>
      <c r="EZ54" s="140"/>
      <c r="FA54" s="140"/>
      <c r="FB54" s="140"/>
      <c r="FC54" s="140"/>
      <c r="FD54" s="140"/>
      <c r="FE54" s="140"/>
      <c r="FF54" s="140"/>
      <c r="FG54" s="140"/>
      <c r="FH54" s="140"/>
      <c r="FI54" s="140"/>
      <c r="FJ54" s="140"/>
      <c r="FK54" s="140"/>
      <c r="FL54" s="140"/>
      <c r="FM54" s="140"/>
      <c r="FN54" s="140"/>
      <c r="FO54" s="140"/>
      <c r="FP54" s="140"/>
      <c r="FQ54" s="140"/>
      <c r="FR54" s="140"/>
      <c r="FS54" s="140"/>
      <c r="FT54" s="140"/>
      <c r="FU54" s="140"/>
      <c r="FV54" s="140"/>
      <c r="FW54" s="140"/>
      <c r="FX54" s="140"/>
      <c r="FY54" s="140"/>
      <c r="FZ54" s="140"/>
      <c r="GA54" s="140"/>
      <c r="GB54" s="140"/>
      <c r="GC54" s="140"/>
      <c r="GD54" s="140"/>
      <c r="GE54" s="140"/>
      <c r="GF54" s="140"/>
      <c r="GG54" s="140"/>
      <c r="GH54" s="140"/>
      <c r="GI54" s="140"/>
      <c r="GJ54" s="140"/>
      <c r="GK54" s="140"/>
      <c r="GL54" s="140"/>
      <c r="GM54" s="140"/>
      <c r="GN54" s="140"/>
      <c r="GO54" s="140"/>
      <c r="GP54" s="140"/>
      <c r="GQ54" s="140"/>
      <c r="GR54" s="140"/>
      <c r="GS54" s="140"/>
      <c r="GT54" s="140"/>
      <c r="GU54" s="140"/>
      <c r="GV54" s="140"/>
      <c r="GW54" s="140"/>
      <c r="GX54" s="140"/>
      <c r="GY54" s="140"/>
      <c r="GZ54" s="140"/>
      <c r="HA54" s="140"/>
      <c r="HB54" s="140"/>
      <c r="HC54" s="140"/>
      <c r="HD54" s="140"/>
      <c r="HE54" s="140"/>
    </row>
    <row r="55" spans="13:213" ht="3.6" customHeight="1">
      <c r="M55" s="153"/>
      <c r="P55" s="153"/>
      <c r="Q55" s="153"/>
      <c r="V55" s="154"/>
      <c r="AB55" s="154"/>
      <c r="AC55" s="154"/>
      <c r="AU55" s="153"/>
      <c r="AV55" s="154"/>
      <c r="AY55" s="153"/>
      <c r="AZ55" s="153"/>
      <c r="BE55" s="154"/>
      <c r="BK55" s="154"/>
      <c r="BL55" s="154"/>
      <c r="CC55" s="153"/>
      <c r="CD55" s="154"/>
      <c r="CV55" s="153"/>
      <c r="CW55" s="153"/>
      <c r="DB55" s="154"/>
      <c r="DH55" s="154"/>
      <c r="DI55" s="154"/>
      <c r="DL55" s="154"/>
      <c r="EU55" s="594"/>
      <c r="EV55" s="594"/>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row>
    <row r="56" spans="13:213" ht="3.6" customHeight="1">
      <c r="M56" s="153"/>
      <c r="P56" s="153"/>
      <c r="Q56" s="153"/>
      <c r="V56" s="154"/>
      <c r="AB56" s="154"/>
      <c r="AC56" s="154"/>
      <c r="AU56" s="153"/>
      <c r="AV56" s="154"/>
      <c r="AY56" s="153"/>
      <c r="AZ56" s="153"/>
      <c r="BE56" s="154"/>
      <c r="BK56" s="154"/>
      <c r="BL56" s="154"/>
      <c r="CC56" s="153"/>
      <c r="CD56" s="154"/>
      <c r="CV56" s="153"/>
      <c r="CW56" s="153"/>
      <c r="DB56" s="154"/>
      <c r="DH56" s="154"/>
      <c r="DI56" s="154"/>
      <c r="DL56" s="154"/>
      <c r="EU56" s="594"/>
      <c r="EV56" s="594"/>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row>
    <row r="57" spans="13:213" ht="3.6" customHeight="1">
      <c r="M57" s="153"/>
      <c r="P57" s="153"/>
      <c r="Q57" s="153"/>
      <c r="V57" s="154"/>
      <c r="AB57" s="154"/>
      <c r="AC57" s="154"/>
      <c r="AU57" s="153"/>
      <c r="AV57" s="154"/>
      <c r="AY57" s="153"/>
      <c r="AZ57" s="153"/>
      <c r="BE57" s="154"/>
      <c r="BK57" s="154"/>
      <c r="BL57" s="154"/>
      <c r="CC57" s="153"/>
      <c r="CD57" s="154"/>
      <c r="CV57" s="153"/>
      <c r="CW57" s="153"/>
      <c r="DB57" s="154"/>
      <c r="DH57" s="154"/>
      <c r="DI57" s="154"/>
      <c r="DL57" s="154"/>
      <c r="EU57" s="594"/>
      <c r="EV57" s="594"/>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40"/>
      <c r="GX57" s="140"/>
      <c r="GY57" s="140"/>
      <c r="GZ57" s="140"/>
      <c r="HA57" s="140"/>
      <c r="HB57" s="140"/>
      <c r="HC57" s="140"/>
      <c r="HD57" s="140"/>
      <c r="HE57" s="140"/>
    </row>
    <row r="58" spans="13:213" ht="3.6" customHeight="1">
      <c r="M58" s="153"/>
      <c r="P58" s="153"/>
      <c r="Q58" s="153"/>
      <c r="V58" s="154"/>
      <c r="AB58" s="154"/>
      <c r="AC58" s="154"/>
      <c r="AU58" s="153"/>
      <c r="AV58" s="154"/>
      <c r="AY58" s="153"/>
      <c r="AZ58" s="153"/>
      <c r="BE58" s="154"/>
      <c r="BK58" s="154"/>
      <c r="BL58" s="154"/>
      <c r="CC58" s="153"/>
      <c r="CD58" s="154"/>
      <c r="CV58" s="153"/>
      <c r="CW58" s="153"/>
      <c r="DB58" s="154"/>
      <c r="DH58" s="154"/>
      <c r="DI58" s="154"/>
      <c r="DL58" s="154"/>
      <c r="EU58" s="594"/>
      <c r="EV58" s="594"/>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c r="GO58" s="140"/>
      <c r="GP58" s="140"/>
      <c r="GQ58" s="140"/>
      <c r="GR58" s="140"/>
      <c r="GS58" s="140"/>
      <c r="GT58" s="140"/>
      <c r="GU58" s="140"/>
      <c r="GV58" s="140"/>
      <c r="GW58" s="140"/>
      <c r="GX58" s="140"/>
      <c r="GY58" s="140"/>
      <c r="GZ58" s="140"/>
      <c r="HA58" s="140"/>
      <c r="HB58" s="140"/>
      <c r="HC58" s="140"/>
      <c r="HD58" s="140"/>
      <c r="HE58" s="140"/>
    </row>
    <row r="59" spans="13:213" ht="3.6" customHeight="1">
      <c r="M59" s="153"/>
      <c r="P59" s="153"/>
      <c r="Q59" s="153"/>
      <c r="V59" s="154"/>
      <c r="AB59" s="154"/>
      <c r="AC59" s="154"/>
      <c r="AU59" s="153"/>
      <c r="AV59" s="154"/>
      <c r="AY59" s="153"/>
      <c r="AZ59" s="153"/>
      <c r="BE59" s="154"/>
      <c r="BK59" s="154"/>
      <c r="BL59" s="154"/>
      <c r="CC59" s="153"/>
      <c r="CD59" s="154"/>
      <c r="CV59" s="153"/>
      <c r="CW59" s="153"/>
      <c r="DB59" s="154"/>
      <c r="DH59" s="154"/>
      <c r="DI59" s="154"/>
      <c r="DL59" s="154"/>
      <c r="EU59" s="594"/>
      <c r="EV59" s="594"/>
      <c r="EX59" s="140"/>
      <c r="EY59" s="140"/>
      <c r="EZ59" s="140"/>
      <c r="FA59" s="140"/>
      <c r="FB59" s="140"/>
      <c r="FC59" s="140"/>
      <c r="FD59" s="140"/>
      <c r="FE59" s="140"/>
      <c r="FF59" s="140"/>
      <c r="FG59" s="140"/>
      <c r="FH59" s="140"/>
      <c r="FI59" s="140"/>
      <c r="FJ59" s="140"/>
      <c r="FK59" s="140"/>
      <c r="FL59" s="140"/>
      <c r="FM59" s="140"/>
      <c r="FN59" s="140"/>
      <c r="FO59" s="140"/>
      <c r="FP59" s="140"/>
      <c r="FQ59" s="140"/>
      <c r="FR59" s="140"/>
      <c r="FS59" s="140"/>
      <c r="FT59" s="140"/>
      <c r="FU59" s="140"/>
      <c r="FV59" s="140"/>
      <c r="FW59" s="140"/>
      <c r="FX59" s="140"/>
      <c r="FY59" s="140"/>
      <c r="FZ59" s="140"/>
      <c r="GA59" s="140"/>
      <c r="GB59" s="140"/>
      <c r="GC59" s="140"/>
      <c r="GD59" s="140"/>
      <c r="GE59" s="140"/>
      <c r="GF59" s="140"/>
      <c r="GG59" s="140"/>
      <c r="GH59" s="140"/>
      <c r="GI59" s="140"/>
      <c r="GJ59" s="140"/>
      <c r="GK59" s="140"/>
      <c r="GL59" s="140"/>
      <c r="GM59" s="140"/>
      <c r="GN59" s="140"/>
      <c r="GO59" s="140"/>
      <c r="GP59" s="140"/>
      <c r="GQ59" s="140"/>
      <c r="GR59" s="140"/>
      <c r="GS59" s="140"/>
      <c r="GT59" s="140"/>
      <c r="GU59" s="140"/>
      <c r="GV59" s="140"/>
      <c r="GW59" s="140"/>
      <c r="GX59" s="140"/>
      <c r="GY59" s="140"/>
      <c r="GZ59" s="140"/>
      <c r="HA59" s="140"/>
      <c r="HB59" s="140"/>
      <c r="HC59" s="140"/>
      <c r="HD59" s="140"/>
      <c r="HE59" s="140"/>
    </row>
    <row r="60" spans="13:213" ht="3.6" customHeight="1">
      <c r="M60" s="153"/>
      <c r="P60" s="153"/>
      <c r="Q60" s="153"/>
      <c r="V60" s="154"/>
      <c r="AB60" s="154"/>
      <c r="AC60" s="154"/>
      <c r="AU60" s="153"/>
      <c r="AV60" s="154"/>
      <c r="AY60" s="153"/>
      <c r="AZ60" s="153"/>
      <c r="BE60" s="154"/>
      <c r="BK60" s="154"/>
      <c r="BL60" s="154"/>
      <c r="CC60" s="153"/>
      <c r="CD60" s="154"/>
      <c r="CV60" s="153"/>
      <c r="CW60" s="153"/>
      <c r="DB60" s="154"/>
      <c r="DH60" s="154"/>
      <c r="DI60" s="154"/>
      <c r="DL60" s="154"/>
      <c r="EU60" s="594"/>
      <c r="EV60" s="594"/>
      <c r="EX60" s="140"/>
      <c r="EY60" s="140"/>
      <c r="EZ60" s="140"/>
      <c r="FA60" s="140"/>
      <c r="FB60" s="140"/>
      <c r="FC60" s="140"/>
      <c r="FD60" s="140"/>
      <c r="FE60" s="140"/>
      <c r="FF60" s="140"/>
      <c r="FG60" s="140"/>
      <c r="FH60" s="140"/>
      <c r="FI60" s="140"/>
      <c r="FJ60" s="140"/>
      <c r="FK60" s="140"/>
      <c r="FL60" s="140"/>
      <c r="FM60" s="140"/>
      <c r="FN60" s="140"/>
      <c r="FO60" s="140"/>
      <c r="FP60" s="140"/>
      <c r="FQ60" s="140"/>
      <c r="FR60" s="140"/>
      <c r="FS60" s="140"/>
      <c r="FT60" s="140"/>
      <c r="FU60" s="140"/>
      <c r="FV60" s="140"/>
      <c r="FW60" s="140"/>
      <c r="FX60" s="140"/>
      <c r="FY60" s="140"/>
      <c r="FZ60" s="140"/>
      <c r="GA60" s="140"/>
      <c r="GB60" s="140"/>
      <c r="GC60" s="140"/>
      <c r="GD60" s="140"/>
      <c r="GE60" s="140"/>
      <c r="GF60" s="140"/>
      <c r="GG60" s="140"/>
      <c r="GH60" s="140"/>
      <c r="GI60" s="140"/>
      <c r="GJ60" s="140"/>
      <c r="GK60" s="140"/>
      <c r="GL60" s="140"/>
      <c r="GM60" s="140"/>
      <c r="GN60" s="140"/>
      <c r="GO60" s="140"/>
      <c r="GP60" s="140"/>
      <c r="GQ60" s="140"/>
      <c r="GR60" s="140"/>
      <c r="GS60" s="140"/>
      <c r="GT60" s="140"/>
      <c r="GU60" s="140"/>
      <c r="GV60" s="140"/>
      <c r="GW60" s="140"/>
      <c r="GX60" s="140"/>
      <c r="GY60" s="140"/>
      <c r="GZ60" s="140"/>
      <c r="HA60" s="140"/>
      <c r="HB60" s="140"/>
      <c r="HC60" s="140"/>
      <c r="HD60" s="140"/>
      <c r="HE60" s="140"/>
    </row>
    <row r="61" spans="13:213" ht="3.6" customHeight="1">
      <c r="M61" s="153"/>
      <c r="P61" s="153"/>
      <c r="Q61" s="153"/>
      <c r="V61" s="154"/>
      <c r="AB61" s="154"/>
      <c r="AC61" s="154"/>
      <c r="AU61" s="153"/>
      <c r="AV61" s="154"/>
      <c r="AY61" s="153"/>
      <c r="AZ61" s="153"/>
      <c r="BE61" s="154"/>
      <c r="BK61" s="154"/>
      <c r="BL61" s="154"/>
      <c r="CC61" s="153"/>
      <c r="CD61" s="154"/>
      <c r="CO61" s="13" t="s">
        <v>3160</v>
      </c>
      <c r="CV61" s="153"/>
      <c r="CW61" s="153"/>
      <c r="DB61" s="154"/>
      <c r="DH61" s="154"/>
      <c r="DI61" s="154"/>
      <c r="DL61" s="154"/>
      <c r="EU61" s="594"/>
      <c r="EV61" s="594"/>
      <c r="EX61" s="140"/>
      <c r="EY61" s="140"/>
      <c r="EZ61" s="140"/>
      <c r="FA61" s="140"/>
      <c r="FB61" s="140"/>
      <c r="FC61" s="140"/>
      <c r="FD61" s="140"/>
      <c r="FE61" s="140"/>
      <c r="FF61" s="140"/>
      <c r="FG61" s="140"/>
      <c r="FH61" s="140"/>
      <c r="FI61" s="140"/>
      <c r="FJ61" s="140"/>
      <c r="FK61" s="140"/>
      <c r="FL61" s="140"/>
      <c r="FM61" s="140"/>
      <c r="FN61" s="140"/>
      <c r="FO61" s="140"/>
      <c r="FP61" s="140"/>
      <c r="FQ61" s="140"/>
      <c r="FR61" s="140"/>
      <c r="FS61" s="140"/>
      <c r="FT61" s="140"/>
      <c r="FU61" s="140"/>
      <c r="FV61" s="140"/>
      <c r="FW61" s="140"/>
      <c r="FX61" s="140"/>
      <c r="FY61" s="140"/>
      <c r="FZ61" s="140"/>
      <c r="GA61" s="140"/>
      <c r="GB61" s="140"/>
      <c r="GC61" s="140"/>
      <c r="GD61" s="140"/>
      <c r="GE61" s="140"/>
      <c r="GF61" s="140"/>
      <c r="GG61" s="140"/>
      <c r="GH61" s="140"/>
      <c r="GI61" s="140"/>
      <c r="GJ61" s="140"/>
      <c r="GK61" s="140"/>
      <c r="GL61" s="140"/>
      <c r="GM61" s="140"/>
      <c r="GN61" s="140"/>
      <c r="GO61" s="140"/>
      <c r="GP61" s="140"/>
      <c r="GQ61" s="140"/>
      <c r="GR61" s="140"/>
      <c r="GS61" s="140"/>
      <c r="GT61" s="140"/>
      <c r="GU61" s="140"/>
      <c r="GV61" s="140"/>
      <c r="GW61" s="140"/>
      <c r="GX61" s="140"/>
      <c r="GY61" s="140"/>
      <c r="GZ61" s="140"/>
      <c r="HA61" s="140"/>
      <c r="HB61" s="140"/>
      <c r="HC61" s="140"/>
      <c r="HD61" s="140"/>
      <c r="HE61" s="140"/>
    </row>
    <row r="62" spans="13:213" ht="3.6" customHeight="1">
      <c r="M62" s="153"/>
      <c r="P62" s="153"/>
      <c r="Q62" s="153"/>
      <c r="V62" s="154"/>
      <c r="AB62" s="154"/>
      <c r="AC62" s="154"/>
      <c r="AU62" s="153"/>
      <c r="AV62" s="154"/>
      <c r="AY62" s="153"/>
      <c r="AZ62" s="153"/>
      <c r="BE62" s="154"/>
      <c r="BK62" s="154"/>
      <c r="BL62" s="154"/>
      <c r="CC62" s="153"/>
      <c r="CD62" s="154"/>
      <c r="CV62" s="153"/>
      <c r="CW62" s="153"/>
      <c r="DB62" s="154"/>
      <c r="DH62" s="154"/>
      <c r="DI62" s="154"/>
      <c r="DL62" s="154"/>
      <c r="EU62" s="594"/>
      <c r="EV62" s="594"/>
      <c r="EX62" s="140"/>
      <c r="EY62" s="140"/>
      <c r="EZ62" s="140"/>
      <c r="FA62" s="140"/>
      <c r="FB62" s="140"/>
      <c r="FC62" s="140"/>
      <c r="FD62" s="140"/>
      <c r="FE62" s="140"/>
      <c r="FF62" s="140"/>
      <c r="FG62" s="140"/>
      <c r="FH62" s="140"/>
      <c r="FI62" s="140"/>
      <c r="FJ62" s="140"/>
      <c r="FK62" s="140"/>
      <c r="FL62" s="140"/>
      <c r="FM62" s="140"/>
      <c r="FN62" s="140"/>
      <c r="FO62" s="140"/>
      <c r="FP62" s="140"/>
      <c r="FQ62" s="140"/>
      <c r="FR62" s="140"/>
      <c r="FS62" s="140"/>
      <c r="FT62" s="140"/>
      <c r="FU62" s="140"/>
      <c r="FV62" s="140"/>
      <c r="FW62" s="140"/>
      <c r="FX62" s="140"/>
      <c r="FY62" s="140"/>
      <c r="FZ62" s="140"/>
      <c r="GA62" s="140"/>
      <c r="GB62" s="140"/>
      <c r="GC62" s="140"/>
      <c r="GD62" s="140"/>
      <c r="GE62" s="140"/>
      <c r="GF62" s="140"/>
      <c r="GG62" s="140"/>
      <c r="GH62" s="140"/>
      <c r="GI62" s="140"/>
      <c r="GJ62" s="140"/>
      <c r="GK62" s="140"/>
      <c r="GL62" s="140"/>
      <c r="GM62" s="140"/>
      <c r="GN62" s="140"/>
      <c r="GO62" s="140"/>
      <c r="GP62" s="140"/>
      <c r="GQ62" s="140"/>
      <c r="GR62" s="140"/>
      <c r="GS62" s="140"/>
      <c r="GT62" s="140"/>
      <c r="GU62" s="140"/>
      <c r="GV62" s="140"/>
      <c r="GW62" s="140"/>
      <c r="GX62" s="140"/>
      <c r="GY62" s="140"/>
      <c r="GZ62" s="140"/>
      <c r="HA62" s="140"/>
      <c r="HB62" s="140"/>
      <c r="HC62" s="140"/>
      <c r="HD62" s="140"/>
      <c r="HE62" s="140"/>
    </row>
    <row r="63" spans="13:213" ht="3.6" customHeight="1">
      <c r="M63" s="153"/>
      <c r="P63" s="153"/>
      <c r="Q63" s="153"/>
      <c r="V63" s="154"/>
      <c r="AB63" s="154"/>
      <c r="AC63" s="154"/>
      <c r="AU63" s="153"/>
      <c r="AV63" s="154"/>
      <c r="AY63" s="153"/>
      <c r="AZ63" s="153"/>
      <c r="BE63" s="154"/>
      <c r="BK63" s="154"/>
      <c r="BL63" s="154"/>
      <c r="CC63" s="153"/>
      <c r="CD63" s="154"/>
      <c r="CV63" s="153"/>
      <c r="CW63" s="153"/>
      <c r="DB63" s="154"/>
      <c r="DH63" s="154"/>
      <c r="DI63" s="154"/>
      <c r="DL63" s="154"/>
      <c r="EU63" s="594"/>
      <c r="EV63" s="594"/>
      <c r="EX63" s="140"/>
      <c r="EY63" s="140"/>
      <c r="EZ63" s="140"/>
      <c r="FA63" s="140"/>
      <c r="FB63" s="140"/>
      <c r="FC63" s="140"/>
      <c r="FD63" s="140"/>
      <c r="FE63" s="140"/>
      <c r="FF63" s="140"/>
      <c r="FG63" s="140"/>
      <c r="FH63" s="140"/>
      <c r="FI63" s="140"/>
      <c r="FJ63" s="140"/>
      <c r="FK63" s="140"/>
      <c r="FL63" s="140"/>
      <c r="FM63" s="140"/>
      <c r="FN63" s="140"/>
      <c r="FO63" s="140"/>
      <c r="FP63" s="140"/>
      <c r="FQ63" s="140"/>
      <c r="FR63" s="140"/>
      <c r="FS63" s="140"/>
      <c r="FT63" s="140"/>
      <c r="FU63" s="140"/>
      <c r="FV63" s="140"/>
      <c r="FW63" s="140"/>
      <c r="FX63" s="140"/>
      <c r="FY63" s="140"/>
      <c r="FZ63" s="140"/>
      <c r="GA63" s="140"/>
      <c r="GB63" s="140"/>
      <c r="GC63" s="140"/>
      <c r="GD63" s="140"/>
      <c r="GE63" s="140"/>
      <c r="GF63" s="140"/>
      <c r="GG63" s="140"/>
      <c r="GH63" s="140"/>
      <c r="GI63" s="140"/>
      <c r="GJ63" s="140"/>
      <c r="GK63" s="140"/>
      <c r="GL63" s="140"/>
      <c r="GM63" s="140"/>
      <c r="GN63" s="140"/>
      <c r="GO63" s="140"/>
      <c r="GP63" s="140"/>
      <c r="GQ63" s="140"/>
      <c r="GR63" s="140"/>
      <c r="GS63" s="140"/>
      <c r="GT63" s="140"/>
      <c r="GU63" s="140"/>
      <c r="GV63" s="140"/>
      <c r="GW63" s="140"/>
      <c r="GX63" s="140"/>
      <c r="GY63" s="140"/>
      <c r="GZ63" s="140"/>
      <c r="HA63" s="140"/>
      <c r="HB63" s="140"/>
      <c r="HC63" s="140"/>
      <c r="HD63" s="140"/>
      <c r="HE63" s="140"/>
    </row>
    <row r="64" spans="13:213" ht="3.6" customHeight="1">
      <c r="M64" s="153"/>
      <c r="P64" s="153"/>
      <c r="Q64" s="153"/>
      <c r="V64" s="154"/>
      <c r="AB64" s="154"/>
      <c r="AC64" s="154"/>
      <c r="AU64" s="153"/>
      <c r="AV64" s="154"/>
      <c r="AY64" s="153"/>
      <c r="AZ64" s="153"/>
      <c r="BE64" s="154"/>
      <c r="BK64" s="154"/>
      <c r="BL64" s="154"/>
      <c r="CC64" s="153"/>
      <c r="CD64" s="154"/>
      <c r="CV64" s="153"/>
      <c r="CW64" s="153"/>
      <c r="DB64" s="154"/>
      <c r="DH64" s="154"/>
      <c r="DI64" s="154"/>
      <c r="DL64" s="154"/>
      <c r="EU64" s="594"/>
      <c r="EV64" s="594"/>
      <c r="EX64" s="140"/>
      <c r="EY64" s="140"/>
      <c r="EZ64" s="140"/>
      <c r="FA64" s="140"/>
      <c r="FB64" s="140"/>
      <c r="FC64" s="140"/>
      <c r="FD64" s="140"/>
      <c r="FE64" s="140"/>
      <c r="FF64" s="140"/>
      <c r="FG64" s="140"/>
      <c r="FH64" s="140"/>
      <c r="FI64" s="140"/>
      <c r="FJ64" s="140"/>
      <c r="FK64" s="140"/>
      <c r="FL64" s="140"/>
      <c r="FM64" s="140"/>
      <c r="FN64" s="140"/>
      <c r="FO64" s="140"/>
      <c r="FP64" s="140"/>
      <c r="FQ64" s="140"/>
      <c r="FR64" s="140"/>
      <c r="FS64" s="140"/>
      <c r="FT64" s="140"/>
      <c r="FU64" s="140"/>
      <c r="FV64" s="140"/>
      <c r="FW64" s="140"/>
      <c r="FX64" s="140"/>
      <c r="FY64" s="140"/>
      <c r="FZ64" s="140"/>
      <c r="GA64" s="140"/>
      <c r="GB64" s="140"/>
      <c r="GC64" s="140"/>
      <c r="GD64" s="140"/>
      <c r="GE64" s="140"/>
      <c r="GF64" s="140"/>
      <c r="GG64" s="140"/>
      <c r="GH64" s="140"/>
      <c r="GI64" s="140"/>
      <c r="GJ64" s="140"/>
      <c r="GK64" s="140"/>
      <c r="GL64" s="140"/>
      <c r="GM64" s="140"/>
      <c r="GN64" s="140"/>
      <c r="GO64" s="140"/>
      <c r="GP64" s="140"/>
      <c r="GQ64" s="140"/>
      <c r="GR64" s="140"/>
      <c r="GS64" s="140"/>
      <c r="GT64" s="140"/>
      <c r="GU64" s="140"/>
      <c r="GV64" s="140"/>
      <c r="GW64" s="140"/>
      <c r="HA64" s="140"/>
      <c r="HB64" s="140"/>
      <c r="HC64" s="140"/>
      <c r="HD64" s="140"/>
      <c r="HE64" s="140"/>
    </row>
    <row r="65" spans="12:213" ht="3.6" customHeight="1">
      <c r="M65" s="153"/>
      <c r="P65" s="153"/>
      <c r="Q65" s="153"/>
      <c r="V65" s="154"/>
      <c r="AB65" s="154"/>
      <c r="AC65" s="154"/>
      <c r="AU65" s="153"/>
      <c r="AV65" s="154"/>
      <c r="AY65" s="153"/>
      <c r="AZ65" s="153"/>
      <c r="BE65" s="154"/>
      <c r="BK65" s="154"/>
      <c r="BL65" s="154"/>
      <c r="CC65" s="153"/>
      <c r="CD65" s="154"/>
      <c r="CV65" s="153"/>
      <c r="CW65" s="153"/>
      <c r="DB65" s="154"/>
      <c r="DH65" s="154"/>
      <c r="DI65" s="154"/>
      <c r="DL65" s="154"/>
      <c r="EU65" s="594"/>
      <c r="EV65" s="594"/>
      <c r="EX65" s="140"/>
      <c r="EY65" s="140"/>
      <c r="EZ65" s="140"/>
      <c r="FA65" s="140"/>
      <c r="FB65" s="140"/>
      <c r="FC65" s="140"/>
      <c r="FD65" s="140"/>
      <c r="FE65" s="140"/>
      <c r="FF65" s="140"/>
      <c r="FG65" s="140"/>
      <c r="FH65" s="140"/>
      <c r="FI65" s="140"/>
      <c r="FJ65" s="140"/>
      <c r="FK65" s="140"/>
      <c r="FL65" s="140"/>
      <c r="FM65" s="140"/>
      <c r="FN65" s="140"/>
      <c r="FO65" s="140"/>
      <c r="FP65" s="140"/>
      <c r="FQ65" s="140"/>
      <c r="FR65" s="140"/>
      <c r="FS65" s="140"/>
      <c r="FT65" s="140"/>
      <c r="FU65" s="140"/>
      <c r="FV65" s="140"/>
      <c r="FW65" s="140"/>
      <c r="FX65" s="140"/>
      <c r="FY65" s="140"/>
      <c r="FZ65" s="140"/>
      <c r="GA65" s="140"/>
      <c r="GB65" s="140"/>
      <c r="GC65" s="140"/>
      <c r="GD65" s="140"/>
      <c r="GE65" s="140"/>
      <c r="GF65" s="140"/>
      <c r="GG65" s="140"/>
      <c r="GH65" s="140"/>
      <c r="GI65" s="140"/>
      <c r="GJ65" s="140"/>
      <c r="GK65" s="140"/>
      <c r="GL65" s="140"/>
      <c r="GM65" s="140"/>
      <c r="GN65" s="140"/>
      <c r="GO65" s="140"/>
      <c r="GP65" s="140"/>
      <c r="GQ65" s="140"/>
      <c r="GR65" s="140"/>
      <c r="GS65" s="140"/>
      <c r="GT65" s="140"/>
      <c r="GU65" s="140"/>
      <c r="GV65" s="140"/>
      <c r="GW65" s="140"/>
      <c r="HA65" s="140"/>
      <c r="HB65" s="140"/>
      <c r="HC65" s="140"/>
      <c r="HD65" s="140"/>
      <c r="HE65" s="140"/>
    </row>
    <row r="66" spans="12:213" ht="3.6" customHeight="1">
      <c r="M66" s="153"/>
      <c r="P66" s="153"/>
      <c r="Q66" s="153"/>
      <c r="V66" s="154"/>
      <c r="AB66" s="154"/>
      <c r="AC66" s="154"/>
      <c r="AU66" s="153"/>
      <c r="AV66" s="154"/>
      <c r="AY66" s="153"/>
      <c r="AZ66" s="153"/>
      <c r="BE66" s="154"/>
      <c r="BK66" s="154"/>
      <c r="BL66" s="154"/>
      <c r="CC66" s="153"/>
      <c r="CD66" s="154"/>
      <c r="CV66" s="153"/>
      <c r="CW66" s="153"/>
      <c r="DB66" s="154"/>
      <c r="DH66" s="154"/>
      <c r="DI66" s="154"/>
      <c r="DL66" s="154"/>
      <c r="EU66" s="594"/>
      <c r="EV66" s="594"/>
      <c r="EX66" s="140"/>
      <c r="EY66" s="140"/>
      <c r="EZ66" s="140"/>
      <c r="FA66" s="140"/>
      <c r="FB66" s="140"/>
      <c r="FC66" s="140"/>
      <c r="FD66" s="140"/>
      <c r="FE66" s="140"/>
      <c r="FF66" s="140"/>
      <c r="FG66" s="140"/>
      <c r="FH66" s="140"/>
      <c r="FI66" s="140"/>
      <c r="FJ66" s="140"/>
      <c r="FK66" s="140"/>
      <c r="FL66" s="140"/>
      <c r="FM66" s="140"/>
      <c r="FN66" s="140"/>
      <c r="FO66" s="140"/>
      <c r="FP66" s="140"/>
      <c r="FQ66" s="140"/>
      <c r="FR66" s="140"/>
      <c r="FS66" s="140"/>
      <c r="FT66" s="140"/>
      <c r="FU66" s="140"/>
      <c r="FV66" s="140"/>
      <c r="FW66" s="140"/>
      <c r="FX66" s="140"/>
      <c r="FY66" s="140"/>
      <c r="FZ66" s="140"/>
      <c r="GA66" s="140"/>
      <c r="GB66" s="140"/>
      <c r="GC66" s="140"/>
      <c r="GD66" s="140"/>
      <c r="GE66" s="140"/>
      <c r="GF66" s="140"/>
      <c r="GG66" s="140"/>
      <c r="GH66" s="140"/>
      <c r="GI66" s="140"/>
      <c r="GJ66" s="140"/>
      <c r="GK66" s="140"/>
      <c r="GL66" s="140"/>
      <c r="GM66" s="140"/>
      <c r="GN66" s="140"/>
      <c r="GO66" s="140"/>
      <c r="GP66" s="140"/>
      <c r="GQ66" s="140"/>
      <c r="GR66" s="140"/>
      <c r="GS66" s="140"/>
      <c r="GT66" s="140"/>
      <c r="GU66" s="140"/>
      <c r="GV66" s="140"/>
      <c r="GW66" s="140"/>
      <c r="HA66" s="140"/>
      <c r="HB66" s="140"/>
      <c r="HC66" s="140"/>
      <c r="HD66" s="140"/>
      <c r="HE66" s="140"/>
    </row>
    <row r="67" spans="12:213" ht="3.6" customHeight="1">
      <c r="M67" s="153"/>
      <c r="P67" s="153"/>
      <c r="Q67" s="156"/>
      <c r="R67" s="41"/>
      <c r="S67" s="41"/>
      <c r="T67" s="41"/>
      <c r="U67" s="41"/>
      <c r="V67" s="159"/>
      <c r="W67" s="41"/>
      <c r="X67" s="41"/>
      <c r="Y67" s="41"/>
      <c r="Z67" s="41"/>
      <c r="AA67" s="41"/>
      <c r="AB67" s="159"/>
      <c r="AC67" s="154"/>
      <c r="AU67" s="153"/>
      <c r="AV67" s="154"/>
      <c r="AY67" s="153"/>
      <c r="AZ67" s="156"/>
      <c r="BA67" s="41"/>
      <c r="BB67" s="41"/>
      <c r="BC67" s="41"/>
      <c r="BD67" s="41"/>
      <c r="BE67" s="159"/>
      <c r="BF67" s="41"/>
      <c r="BG67" s="41"/>
      <c r="BH67" s="41"/>
      <c r="BI67" s="41"/>
      <c r="BJ67" s="41"/>
      <c r="BK67" s="159"/>
      <c r="BL67" s="154"/>
      <c r="CC67" s="153"/>
      <c r="CD67" s="154"/>
      <c r="CV67" s="153"/>
      <c r="CW67" s="156"/>
      <c r="CX67" s="41"/>
      <c r="CY67" s="41"/>
      <c r="CZ67" s="41"/>
      <c r="DA67" s="41"/>
      <c r="DB67" s="159"/>
      <c r="DC67" s="41"/>
      <c r="DD67" s="41"/>
      <c r="DE67" s="41"/>
      <c r="DF67" s="41"/>
      <c r="DG67" s="41"/>
      <c r="DH67" s="159"/>
      <c r="DI67" s="154"/>
      <c r="DL67" s="154"/>
      <c r="EU67" s="594"/>
      <c r="EV67" s="594"/>
      <c r="EX67" s="140"/>
      <c r="EY67" s="140"/>
      <c r="EZ67" s="140"/>
      <c r="FA67" s="140"/>
      <c r="FB67" s="140"/>
      <c r="FC67" s="140"/>
      <c r="FD67" s="140"/>
      <c r="FE67" s="140"/>
      <c r="FF67" s="140"/>
      <c r="FG67" s="140"/>
      <c r="FH67" s="140"/>
      <c r="FI67" s="140"/>
      <c r="FJ67" s="140"/>
      <c r="FK67" s="140"/>
      <c r="FL67" s="140"/>
      <c r="FM67" s="140"/>
      <c r="FN67" s="140"/>
      <c r="FO67" s="140"/>
      <c r="FP67" s="140"/>
      <c r="FQ67" s="140"/>
      <c r="FR67" s="140"/>
      <c r="FS67" s="140"/>
      <c r="FT67" s="140"/>
      <c r="FU67" s="140"/>
      <c r="FV67" s="140"/>
      <c r="FW67" s="140"/>
      <c r="FX67" s="140"/>
      <c r="FY67" s="140"/>
      <c r="FZ67" s="140"/>
      <c r="GA67" s="140"/>
      <c r="GB67" s="140"/>
      <c r="GC67" s="140"/>
      <c r="GD67" s="140"/>
      <c r="GE67" s="140"/>
      <c r="GF67" s="140"/>
      <c r="GG67" s="140"/>
      <c r="GH67" s="140"/>
      <c r="GI67" s="140"/>
      <c r="GJ67" s="140"/>
      <c r="GK67" s="140"/>
      <c r="GL67" s="140"/>
      <c r="GM67" s="140"/>
      <c r="GN67" s="140"/>
      <c r="GO67" s="140"/>
      <c r="GP67" s="140"/>
      <c r="GQ67" s="140"/>
      <c r="GR67" s="140"/>
      <c r="GS67" s="140"/>
      <c r="GT67" s="140"/>
      <c r="GU67" s="140"/>
      <c r="GV67" s="140"/>
      <c r="GW67" s="140"/>
      <c r="HA67" s="140"/>
      <c r="HB67" s="140"/>
      <c r="HC67" s="140"/>
      <c r="HD67" s="140"/>
      <c r="HE67" s="140"/>
    </row>
    <row r="68" spans="12:213" ht="3.6" customHeight="1">
      <c r="M68" s="153"/>
      <c r="P68" s="156"/>
      <c r="Q68" s="41"/>
      <c r="R68" s="41"/>
      <c r="S68" s="41"/>
      <c r="T68" s="41"/>
      <c r="U68" s="41"/>
      <c r="V68" s="41"/>
      <c r="W68" s="41"/>
      <c r="X68" s="41"/>
      <c r="Y68" s="41"/>
      <c r="Z68" s="41"/>
      <c r="AA68" s="41"/>
      <c r="AB68" s="41"/>
      <c r="AC68" s="159"/>
      <c r="AU68" s="156"/>
      <c r="AV68" s="159"/>
      <c r="AY68" s="156"/>
      <c r="AZ68" s="41"/>
      <c r="BA68" s="41"/>
      <c r="BB68" s="41"/>
      <c r="BC68" s="41"/>
      <c r="BD68" s="41"/>
      <c r="BE68" s="41"/>
      <c r="BF68" s="41"/>
      <c r="BG68" s="41"/>
      <c r="BH68" s="41"/>
      <c r="BI68" s="41"/>
      <c r="BJ68" s="41"/>
      <c r="BK68" s="41"/>
      <c r="BL68" s="159"/>
      <c r="CC68" s="156"/>
      <c r="CD68" s="159"/>
      <c r="CV68" s="156"/>
      <c r="CW68" s="41"/>
      <c r="CX68" s="41"/>
      <c r="CY68" s="41"/>
      <c r="CZ68" s="41"/>
      <c r="DA68" s="41"/>
      <c r="DB68" s="41"/>
      <c r="DC68" s="41"/>
      <c r="DD68" s="41"/>
      <c r="DE68" s="41"/>
      <c r="DF68" s="41"/>
      <c r="DG68" s="41"/>
      <c r="DH68" s="41"/>
      <c r="DI68" s="159"/>
      <c r="DL68" s="154"/>
      <c r="EU68" s="594"/>
      <c r="EV68" s="594"/>
      <c r="EX68" s="140"/>
      <c r="EY68" s="140"/>
      <c r="EZ68" s="140"/>
      <c r="FA68" s="140"/>
      <c r="FB68" s="140"/>
      <c r="FC68" s="140"/>
      <c r="FD68" s="140"/>
      <c r="FE68" s="140"/>
      <c r="FF68" s="140"/>
      <c r="FG68" s="140"/>
      <c r="FH68" s="140"/>
      <c r="FI68" s="140"/>
      <c r="FJ68" s="140"/>
      <c r="FK68" s="140"/>
      <c r="FL68" s="140"/>
      <c r="FM68" s="140"/>
      <c r="FN68" s="140"/>
      <c r="FO68" s="140"/>
      <c r="FP68" s="140"/>
      <c r="FQ68" s="140"/>
      <c r="FR68" s="140"/>
      <c r="FS68" s="140"/>
      <c r="FT68" s="140"/>
      <c r="FU68" s="140"/>
      <c r="FV68" s="140"/>
      <c r="FW68" s="140"/>
      <c r="FX68" s="140"/>
      <c r="FY68" s="140"/>
      <c r="FZ68" s="140"/>
      <c r="GA68" s="140"/>
      <c r="GB68" s="140"/>
      <c r="GC68" s="140"/>
      <c r="GD68" s="140"/>
      <c r="GE68" s="140"/>
      <c r="GF68" s="140"/>
      <c r="GG68" s="140"/>
      <c r="GH68" s="140"/>
      <c r="GI68" s="140"/>
      <c r="GJ68" s="140"/>
      <c r="GK68" s="140"/>
      <c r="GL68" s="140"/>
      <c r="GM68" s="140"/>
      <c r="GN68" s="140"/>
      <c r="GO68" s="140"/>
      <c r="GP68" s="140"/>
      <c r="GQ68" s="140"/>
      <c r="GR68" s="140"/>
      <c r="GS68" s="140"/>
      <c r="GT68" s="140"/>
      <c r="GU68" s="140"/>
      <c r="GV68" s="140"/>
      <c r="GW68" s="140"/>
      <c r="HA68" s="140"/>
      <c r="HB68" s="140"/>
      <c r="HC68" s="140"/>
      <c r="HD68" s="140"/>
      <c r="HE68" s="140"/>
    </row>
    <row r="69" spans="12:213" ht="3.6" customHeight="1">
      <c r="L69" s="150"/>
      <c r="M69" s="151"/>
      <c r="N69" s="151"/>
      <c r="O69" s="151"/>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c r="DK69" s="151"/>
      <c r="DL69" s="151"/>
      <c r="DM69" s="162"/>
      <c r="EU69" s="594"/>
      <c r="EV69" s="594"/>
      <c r="EX69" s="140"/>
      <c r="EY69" s="140"/>
      <c r="EZ69" s="140"/>
      <c r="FA69" s="140"/>
      <c r="FB69" s="140"/>
      <c r="FC69" s="140"/>
      <c r="FD69" s="140"/>
      <c r="FE69" s="140"/>
      <c r="FF69" s="140"/>
      <c r="FG69" s="140"/>
      <c r="FH69" s="140"/>
      <c r="FI69" s="140"/>
      <c r="FJ69" s="140"/>
      <c r="FK69" s="140"/>
      <c r="FL69" s="140"/>
      <c r="FM69" s="140"/>
      <c r="FN69" s="140"/>
      <c r="FO69" s="140"/>
      <c r="FP69" s="140"/>
      <c r="FQ69" s="140"/>
      <c r="FR69" s="140"/>
      <c r="FS69" s="140"/>
      <c r="FT69" s="140"/>
      <c r="FU69" s="140"/>
      <c r="FV69" s="140"/>
      <c r="FW69" s="140"/>
      <c r="FX69" s="140"/>
      <c r="FY69" s="140"/>
      <c r="FZ69" s="140"/>
      <c r="GA69" s="140"/>
      <c r="GB69" s="140"/>
      <c r="GC69" s="140"/>
      <c r="GD69" s="140"/>
      <c r="GE69" s="140"/>
      <c r="GF69" s="140"/>
      <c r="GG69" s="140"/>
      <c r="GH69" s="140"/>
      <c r="GI69" s="140"/>
      <c r="GJ69" s="140"/>
      <c r="GK69" s="140"/>
      <c r="GL69" s="140"/>
      <c r="GM69" s="140"/>
      <c r="GN69" s="140"/>
      <c r="GO69" s="140"/>
      <c r="GP69" s="140"/>
      <c r="GQ69" s="140"/>
      <c r="GR69" s="140"/>
      <c r="GS69" s="140"/>
      <c r="GT69" s="140"/>
      <c r="GU69" s="140"/>
      <c r="GV69" s="140"/>
      <c r="GW69" s="140"/>
      <c r="HA69" s="140"/>
      <c r="HB69" s="140"/>
      <c r="HC69" s="140"/>
      <c r="HD69" s="140"/>
      <c r="HE69" s="140"/>
    </row>
    <row r="70" spans="12:213" ht="3.6" customHeight="1">
      <c r="L70" s="156"/>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159"/>
      <c r="EU70" s="594"/>
      <c r="EV70" s="594"/>
      <c r="EX70" s="140"/>
      <c r="EY70" s="140"/>
      <c r="EZ70" s="140"/>
      <c r="FA70" s="140"/>
      <c r="FB70" s="140"/>
      <c r="FC70" s="140"/>
      <c r="FD70" s="140"/>
      <c r="FE70" s="140"/>
      <c r="FF70" s="140"/>
      <c r="FG70" s="140"/>
      <c r="FH70" s="140"/>
      <c r="FI70" s="140"/>
      <c r="FJ70" s="140"/>
      <c r="FK70" s="140"/>
      <c r="FL70" s="140"/>
      <c r="FM70" s="140"/>
      <c r="FN70" s="140"/>
      <c r="FO70" s="140"/>
      <c r="FP70" s="140"/>
      <c r="FQ70" s="140"/>
      <c r="FR70" s="140"/>
      <c r="FS70" s="140"/>
      <c r="FT70" s="140"/>
      <c r="FU70" s="140"/>
      <c r="FV70" s="140"/>
      <c r="FW70" s="140"/>
      <c r="FX70" s="140"/>
      <c r="FY70" s="140"/>
      <c r="FZ70" s="140"/>
      <c r="GA70" s="140"/>
      <c r="GB70" s="140"/>
      <c r="GC70" s="2531" t="s">
        <v>2981</v>
      </c>
      <c r="GD70" s="2531"/>
      <c r="GE70" s="2531"/>
      <c r="GF70" s="2531"/>
      <c r="GG70" s="140"/>
      <c r="GH70" s="164"/>
      <c r="GI70" s="140"/>
      <c r="GJ70" s="140"/>
      <c r="GK70" s="140"/>
      <c r="GL70" s="2531" t="s">
        <v>2980</v>
      </c>
      <c r="GM70" s="2531"/>
      <c r="GN70" s="2531"/>
      <c r="GO70" s="2532"/>
      <c r="GP70" s="140"/>
      <c r="GQ70" s="140"/>
      <c r="GR70" s="140"/>
      <c r="GS70" s="140"/>
      <c r="GT70" s="140"/>
      <c r="GU70" s="140"/>
      <c r="GV70" s="140"/>
      <c r="GW70" s="140"/>
      <c r="HA70" s="140"/>
      <c r="HB70" s="140"/>
      <c r="HC70" s="140"/>
      <c r="HD70" s="140"/>
      <c r="HE70" s="140"/>
    </row>
    <row r="71" spans="12:213" ht="3.6" customHeight="1">
      <c r="L71" s="153"/>
      <c r="DM71" s="154"/>
      <c r="EU71" s="594"/>
      <c r="EV71" s="594"/>
      <c r="EX71" s="140"/>
      <c r="EY71" s="140"/>
      <c r="EZ71" s="140"/>
      <c r="FA71" s="140"/>
      <c r="FB71" s="140"/>
      <c r="FC71" s="140"/>
      <c r="FD71" s="140"/>
      <c r="FE71" s="140"/>
      <c r="FF71" s="140"/>
      <c r="FG71" s="140"/>
      <c r="FH71" s="140"/>
      <c r="FI71" s="140"/>
      <c r="FJ71" s="140"/>
      <c r="FK71" s="140"/>
      <c r="FL71" s="140"/>
      <c r="FM71" s="140"/>
      <c r="FN71" s="140"/>
      <c r="FO71" s="140"/>
      <c r="FP71" s="140"/>
      <c r="FQ71" s="140"/>
      <c r="FR71" s="140"/>
      <c r="FS71" s="140"/>
      <c r="FT71" s="140"/>
      <c r="FU71" s="140"/>
      <c r="FV71" s="140"/>
      <c r="FW71" s="140"/>
      <c r="FX71" s="140"/>
      <c r="FY71" s="140"/>
      <c r="FZ71" s="140"/>
      <c r="GA71" s="140"/>
      <c r="GB71" s="140"/>
      <c r="GC71" s="2531"/>
      <c r="GD71" s="2531"/>
      <c r="GE71" s="2531"/>
      <c r="GF71" s="2531"/>
      <c r="GG71" s="140"/>
      <c r="GH71" s="164"/>
      <c r="GI71" s="140"/>
      <c r="GJ71" s="140"/>
      <c r="GK71" s="140"/>
      <c r="GL71" s="2531"/>
      <c r="GM71" s="2531"/>
      <c r="GN71" s="2531"/>
      <c r="GO71" s="2532"/>
      <c r="GP71" s="140"/>
      <c r="GQ71" s="140"/>
      <c r="GR71" s="140"/>
      <c r="GS71" s="140"/>
      <c r="GT71" s="140"/>
      <c r="GU71" s="140"/>
      <c r="GV71" s="140"/>
      <c r="GW71" s="140"/>
      <c r="HA71" s="140"/>
      <c r="HB71" s="140"/>
      <c r="HC71" s="140"/>
      <c r="HD71" s="140"/>
      <c r="HE71" s="140"/>
    </row>
    <row r="72" spans="12:213" ht="3.6" customHeight="1">
      <c r="L72" s="156"/>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159"/>
      <c r="EU72" s="594"/>
      <c r="EV72" s="594"/>
      <c r="EX72" s="140"/>
      <c r="EY72" s="140"/>
      <c r="EZ72" s="140"/>
      <c r="FA72" s="140"/>
      <c r="FB72" s="140"/>
      <c r="FC72" s="140"/>
      <c r="FD72" s="140"/>
      <c r="FE72" s="140"/>
      <c r="FF72" s="140"/>
      <c r="FG72" s="140"/>
      <c r="FH72" s="140"/>
      <c r="FI72" s="140"/>
      <c r="FJ72" s="140"/>
      <c r="FK72" s="140"/>
      <c r="FL72" s="140"/>
      <c r="FM72" s="140"/>
      <c r="FN72" s="140"/>
      <c r="FO72" s="140"/>
      <c r="FP72" s="140"/>
      <c r="FQ72" s="140"/>
      <c r="FR72" s="140"/>
      <c r="FS72" s="140"/>
      <c r="FT72" s="140"/>
      <c r="FU72" s="140"/>
      <c r="FV72" s="140"/>
      <c r="FW72" s="140"/>
      <c r="FX72" s="140"/>
      <c r="FY72" s="140"/>
      <c r="FZ72" s="140"/>
      <c r="GA72" s="140"/>
      <c r="GB72" s="140"/>
      <c r="GC72" s="2531"/>
      <c r="GD72" s="2531"/>
      <c r="GE72" s="2531"/>
      <c r="GF72" s="2531"/>
      <c r="GG72" s="140"/>
      <c r="GH72" s="164"/>
      <c r="GI72" s="140"/>
      <c r="GJ72" s="140"/>
      <c r="GK72" s="140"/>
      <c r="GL72" s="2531"/>
      <c r="GM72" s="2531"/>
      <c r="GN72" s="2531"/>
      <c r="GO72" s="2532"/>
      <c r="GP72" s="140"/>
      <c r="GQ72" s="140"/>
      <c r="GR72" s="140"/>
      <c r="GS72" s="140"/>
      <c r="GT72" s="140"/>
      <c r="GU72" s="140"/>
      <c r="GV72" s="140"/>
      <c r="GW72" s="140"/>
      <c r="HA72" s="140"/>
      <c r="HB72" s="140"/>
      <c r="HC72" s="140"/>
      <c r="HD72" s="140"/>
      <c r="HE72" s="140"/>
    </row>
    <row r="73" spans="12:213" ht="3.6" customHeight="1">
      <c r="L73" s="153"/>
      <c r="DM73" s="154"/>
      <c r="EU73" s="594"/>
      <c r="EV73" s="594"/>
      <c r="EX73" s="140"/>
      <c r="EY73" s="140"/>
      <c r="EZ73" s="140"/>
      <c r="FA73" s="140"/>
      <c r="FB73" s="140"/>
      <c r="FC73" s="140"/>
      <c r="FD73" s="140"/>
      <c r="FE73" s="140"/>
      <c r="FF73" s="140"/>
      <c r="FG73" s="140"/>
      <c r="FH73" s="140"/>
      <c r="FI73" s="140"/>
      <c r="FJ73" s="140"/>
      <c r="FK73" s="140"/>
      <c r="FL73" s="140"/>
      <c r="FM73" s="140"/>
      <c r="FN73" s="140"/>
      <c r="FO73" s="140"/>
      <c r="FP73" s="140"/>
      <c r="FQ73" s="140"/>
      <c r="FR73" s="140"/>
      <c r="FS73" s="140"/>
      <c r="FT73" s="140"/>
      <c r="FU73" s="140"/>
      <c r="FV73" s="140"/>
      <c r="FW73" s="140"/>
      <c r="FX73" s="140"/>
      <c r="FY73" s="140"/>
      <c r="FZ73" s="140"/>
      <c r="GA73" s="140"/>
      <c r="GB73" s="140"/>
      <c r="GC73" s="2531"/>
      <c r="GD73" s="2531"/>
      <c r="GE73" s="2531"/>
      <c r="GF73" s="2531"/>
      <c r="GG73" s="140"/>
      <c r="GH73" s="164"/>
      <c r="GI73" s="140"/>
      <c r="GJ73" s="140"/>
      <c r="GK73" s="140"/>
      <c r="GL73" s="2531"/>
      <c r="GM73" s="2531"/>
      <c r="GN73" s="2531"/>
      <c r="GO73" s="2532"/>
      <c r="GP73" s="140"/>
      <c r="GQ73" s="140"/>
      <c r="GR73" s="140"/>
      <c r="GS73" s="140"/>
      <c r="GT73" s="140"/>
      <c r="GU73" s="140"/>
      <c r="GV73" s="140"/>
      <c r="GW73" s="140"/>
      <c r="GX73" s="140"/>
      <c r="GY73" s="140"/>
      <c r="GZ73" s="140"/>
      <c r="HA73" s="140"/>
      <c r="HB73" s="140"/>
      <c r="HC73" s="140"/>
      <c r="HD73" s="140"/>
      <c r="HE73" s="140"/>
    </row>
    <row r="74" spans="12:213" ht="3.6" customHeight="1">
      <c r="L74" s="156"/>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159"/>
      <c r="EU74" s="594"/>
      <c r="EV74" s="594"/>
      <c r="EX74" s="140"/>
      <c r="EY74" s="140"/>
      <c r="EZ74" s="140"/>
      <c r="FA74" s="140"/>
      <c r="FB74" s="140"/>
      <c r="FC74" s="140"/>
      <c r="FD74" s="140"/>
      <c r="FE74" s="140"/>
      <c r="FF74" s="140"/>
      <c r="FG74" s="140"/>
      <c r="FH74" s="140"/>
      <c r="FI74" s="140"/>
      <c r="FJ74" s="140"/>
      <c r="FK74" s="140"/>
      <c r="FL74" s="140"/>
      <c r="FM74" s="140"/>
      <c r="FN74" s="140"/>
      <c r="FO74" s="140"/>
      <c r="FP74" s="140"/>
      <c r="FQ74" s="140"/>
      <c r="FR74" s="140"/>
      <c r="FS74" s="140"/>
      <c r="FT74" s="140"/>
      <c r="FU74" s="140"/>
      <c r="FV74" s="140"/>
      <c r="FW74" s="140"/>
      <c r="FX74" s="140"/>
      <c r="FY74" s="140"/>
      <c r="FZ74" s="140"/>
      <c r="GA74" s="140"/>
      <c r="GB74" s="140"/>
      <c r="GC74" s="2531"/>
      <c r="GD74" s="2531"/>
      <c r="GE74" s="2531"/>
      <c r="GF74" s="2531"/>
      <c r="GG74" s="140"/>
      <c r="GH74" s="164"/>
      <c r="GI74" s="140"/>
      <c r="GJ74" s="140"/>
      <c r="GK74" s="140"/>
      <c r="GL74" s="2531"/>
      <c r="GM74" s="2531"/>
      <c r="GN74" s="2531"/>
      <c r="GO74" s="2532"/>
      <c r="GP74" s="140"/>
      <c r="GQ74" s="140"/>
      <c r="GR74" s="140"/>
      <c r="GS74" s="140"/>
      <c r="GT74" s="140"/>
      <c r="GU74" s="140"/>
      <c r="GV74" s="140"/>
      <c r="GW74" s="140"/>
      <c r="GX74" s="140"/>
      <c r="GY74" s="140"/>
      <c r="GZ74" s="140"/>
      <c r="HA74" s="140"/>
      <c r="HB74" s="140"/>
      <c r="HC74" s="140"/>
      <c r="HD74" s="140"/>
      <c r="HE74" s="140"/>
    </row>
    <row r="75" spans="12:213" ht="3.6" customHeight="1">
      <c r="ET75" s="3089" t="s">
        <v>4142</v>
      </c>
      <c r="EU75" s="3089"/>
      <c r="EV75" s="3089"/>
      <c r="EX75" s="140"/>
      <c r="EY75" s="140"/>
      <c r="EZ75" s="140"/>
      <c r="FA75" s="140"/>
      <c r="FB75" s="140"/>
      <c r="FC75" s="140"/>
      <c r="FD75" s="140"/>
      <c r="FE75" s="140"/>
      <c r="FF75" s="140"/>
      <c r="FG75" s="140"/>
      <c r="FH75" s="140"/>
      <c r="FI75" s="140"/>
      <c r="FJ75" s="140"/>
      <c r="FK75" s="140"/>
      <c r="FL75" s="140"/>
      <c r="FM75" s="140"/>
      <c r="FN75" s="140"/>
      <c r="FO75" s="140"/>
      <c r="FP75" s="140"/>
      <c r="FQ75" s="140"/>
      <c r="FR75" s="140"/>
      <c r="FS75" s="140"/>
      <c r="FT75" s="140"/>
      <c r="FU75" s="140"/>
      <c r="FV75" s="140"/>
      <c r="FW75" s="140"/>
      <c r="FX75" s="140"/>
      <c r="FY75" s="140"/>
      <c r="FZ75" s="140"/>
      <c r="GA75" s="140"/>
      <c r="GB75" s="140"/>
      <c r="GC75" s="2531"/>
      <c r="GD75" s="2531"/>
      <c r="GE75" s="2531"/>
      <c r="GF75" s="2531"/>
      <c r="GG75" s="140"/>
      <c r="GH75" s="164"/>
      <c r="GI75" s="140"/>
      <c r="GJ75" s="140"/>
      <c r="GK75" s="140"/>
      <c r="GL75" s="2531"/>
      <c r="GM75" s="2531"/>
      <c r="GN75" s="2531"/>
      <c r="GO75" s="2532"/>
      <c r="GP75" s="140"/>
      <c r="GQ75" s="140"/>
      <c r="GR75" s="140"/>
      <c r="GS75" s="140"/>
      <c r="GT75" s="140"/>
      <c r="GU75" s="140"/>
      <c r="GV75" s="140"/>
      <c r="GW75" s="140"/>
      <c r="GX75" s="140"/>
      <c r="GY75" s="140"/>
      <c r="GZ75" s="140"/>
      <c r="HA75" s="140"/>
      <c r="HB75" s="140"/>
      <c r="HC75" s="140"/>
      <c r="HD75" s="140"/>
      <c r="HE75" s="140"/>
    </row>
    <row r="76" spans="12:213" ht="3.6" customHeight="1">
      <c r="ET76" s="3089"/>
      <c r="EU76" s="3089"/>
      <c r="EV76" s="3089"/>
      <c r="EX76" s="140"/>
      <c r="EY76" s="140"/>
      <c r="EZ76" s="140"/>
      <c r="FA76" s="140"/>
      <c r="FB76" s="140"/>
      <c r="FC76" s="140"/>
      <c r="FD76" s="140"/>
      <c r="FE76" s="140"/>
      <c r="FF76" s="140"/>
      <c r="FG76" s="140"/>
      <c r="FH76" s="140"/>
      <c r="FI76" s="140"/>
      <c r="FJ76" s="140"/>
      <c r="FK76" s="140"/>
      <c r="FL76" s="140"/>
      <c r="FM76" s="140"/>
      <c r="FN76" s="140"/>
      <c r="FO76" s="140"/>
      <c r="FP76" s="140"/>
      <c r="FQ76" s="140"/>
      <c r="FR76" s="140"/>
      <c r="FS76" s="140"/>
      <c r="FT76" s="140"/>
      <c r="FU76" s="140"/>
      <c r="FV76" s="140"/>
      <c r="FW76" s="140"/>
      <c r="FX76" s="140"/>
      <c r="FY76" s="140"/>
      <c r="FZ76" s="140"/>
      <c r="GA76" s="140"/>
      <c r="GB76" s="140"/>
      <c r="GC76" s="2531"/>
      <c r="GD76" s="2531"/>
      <c r="GE76" s="2531"/>
      <c r="GF76" s="2531"/>
      <c r="GG76" s="140"/>
      <c r="GH76" s="164"/>
      <c r="GI76" s="140"/>
      <c r="GJ76" s="140"/>
      <c r="GK76" s="140"/>
      <c r="GL76" s="2531"/>
      <c r="GM76" s="2531"/>
      <c r="GN76" s="2531"/>
      <c r="GO76" s="2532"/>
      <c r="GP76" s="140"/>
      <c r="GQ76" s="140"/>
      <c r="GR76" s="140"/>
      <c r="GS76" s="140"/>
      <c r="GT76" s="140"/>
      <c r="GU76" s="140"/>
      <c r="GV76" s="140"/>
      <c r="GW76" s="140"/>
      <c r="GX76" s="140"/>
      <c r="GY76" s="140"/>
      <c r="GZ76" s="140"/>
      <c r="HA76" s="140"/>
      <c r="HB76" s="140"/>
      <c r="HC76" s="140"/>
      <c r="HD76" s="140"/>
      <c r="HE76" s="140"/>
    </row>
    <row r="77" spans="12:213" ht="3.6" customHeight="1">
      <c r="ET77" s="3089"/>
      <c r="EU77" s="3089"/>
      <c r="EV77" s="3089"/>
      <c r="EX77" s="140"/>
      <c r="EY77" s="140"/>
      <c r="EZ77" s="140"/>
      <c r="FA77" s="140"/>
      <c r="FB77" s="140"/>
      <c r="FC77" s="140"/>
      <c r="FD77" s="140"/>
      <c r="FE77" s="140"/>
      <c r="FF77" s="140"/>
      <c r="FG77" s="140"/>
      <c r="FH77" s="140"/>
      <c r="FI77" s="140"/>
      <c r="FJ77" s="140"/>
      <c r="FK77" s="140"/>
      <c r="FL77" s="140"/>
      <c r="FM77" s="140"/>
      <c r="FN77" s="140"/>
      <c r="FO77" s="140"/>
      <c r="FP77" s="140"/>
      <c r="FQ77" s="140"/>
      <c r="FR77" s="140"/>
      <c r="FS77" s="140"/>
      <c r="FT77" s="140"/>
      <c r="FU77" s="140"/>
      <c r="FV77" s="140"/>
      <c r="FW77" s="140"/>
      <c r="FX77" s="140"/>
      <c r="FY77" s="140"/>
      <c r="FZ77" s="140"/>
      <c r="GA77" s="140"/>
      <c r="GB77" s="140"/>
      <c r="GC77" s="2531"/>
      <c r="GD77" s="2531"/>
      <c r="GE77" s="2531"/>
      <c r="GF77" s="2531"/>
      <c r="GG77" s="140"/>
      <c r="GH77" s="164"/>
      <c r="GI77" s="140"/>
      <c r="GJ77" s="140"/>
      <c r="GK77" s="140"/>
      <c r="GL77" s="2531"/>
      <c r="GM77" s="2531"/>
      <c r="GN77" s="2531"/>
      <c r="GO77" s="2532"/>
      <c r="GP77" s="140"/>
      <c r="GQ77" s="140"/>
      <c r="GR77" s="140"/>
      <c r="GS77" s="140"/>
      <c r="GT77" s="140"/>
      <c r="GU77" s="140"/>
      <c r="GV77" s="140"/>
      <c r="GW77" s="140"/>
      <c r="GX77" s="140"/>
      <c r="GY77" s="140"/>
      <c r="GZ77" s="140"/>
      <c r="HA77" s="140"/>
      <c r="HB77" s="140"/>
      <c r="HC77" s="140"/>
      <c r="HD77" s="140"/>
      <c r="HE77" s="140"/>
    </row>
    <row r="78" spans="12:213" ht="3.6" customHeight="1">
      <c r="ET78" s="3089"/>
      <c r="EU78" s="3089"/>
      <c r="EV78" s="3089"/>
      <c r="EX78" s="140"/>
      <c r="EY78" s="140"/>
      <c r="EZ78" s="140"/>
      <c r="FA78" s="140"/>
      <c r="FB78" s="140"/>
      <c r="FC78" s="140"/>
      <c r="FD78" s="140"/>
      <c r="FE78" s="140"/>
      <c r="FF78" s="140"/>
      <c r="FG78" s="140"/>
      <c r="FH78" s="140"/>
      <c r="FI78" s="140"/>
      <c r="FJ78" s="140"/>
      <c r="FK78" s="140"/>
      <c r="FL78" s="140"/>
      <c r="FM78" s="140"/>
      <c r="FN78" s="140"/>
      <c r="FO78" s="140"/>
      <c r="FP78" s="140"/>
      <c r="FQ78" s="140"/>
      <c r="FR78" s="140"/>
      <c r="FS78" s="140"/>
      <c r="FT78" s="140"/>
      <c r="FU78" s="140"/>
      <c r="FV78" s="140"/>
      <c r="FW78" s="140"/>
      <c r="FX78" s="140"/>
      <c r="FY78" s="140"/>
      <c r="FZ78" s="140"/>
      <c r="GA78" s="140"/>
      <c r="GB78" s="140"/>
      <c r="GC78" s="2531"/>
      <c r="GD78" s="2531"/>
      <c r="GE78" s="2531"/>
      <c r="GF78" s="2531"/>
      <c r="GG78" s="140"/>
      <c r="GH78" s="164"/>
      <c r="GI78" s="140"/>
      <c r="GJ78" s="140"/>
      <c r="GK78" s="140"/>
      <c r="GL78" s="2531"/>
      <c r="GM78" s="2531"/>
      <c r="GN78" s="2531"/>
      <c r="GO78" s="2532"/>
      <c r="GP78" s="164"/>
      <c r="GQ78" s="140"/>
      <c r="GR78" s="140"/>
      <c r="GS78" s="140"/>
      <c r="GT78" s="140"/>
      <c r="GU78" s="140"/>
      <c r="GV78" s="140"/>
      <c r="GW78" s="140"/>
      <c r="GX78" s="140"/>
      <c r="GY78" s="140"/>
      <c r="GZ78" s="140"/>
      <c r="HA78" s="140"/>
      <c r="HB78" s="140"/>
      <c r="HC78" s="140"/>
      <c r="HD78" s="140"/>
      <c r="HE78" s="140"/>
    </row>
    <row r="79" spans="12:213" ht="3.6" customHeight="1">
      <c r="ET79" s="3089"/>
      <c r="EU79" s="3089"/>
      <c r="EV79" s="3089"/>
      <c r="EW79" s="594"/>
      <c r="EX79" s="594"/>
      <c r="EY79" s="594"/>
      <c r="EZ79" s="594"/>
      <c r="FA79" s="594"/>
      <c r="FB79" s="594"/>
      <c r="FC79" s="594"/>
      <c r="FD79" s="594"/>
      <c r="FE79" s="594"/>
      <c r="FF79" s="594"/>
      <c r="FG79" s="594"/>
      <c r="FH79" s="594"/>
      <c r="FI79" s="594"/>
      <c r="FJ79" s="594"/>
      <c r="FK79" s="594"/>
      <c r="FL79" s="594"/>
      <c r="FM79" s="594"/>
      <c r="FN79" s="594"/>
      <c r="FO79" s="594"/>
      <c r="FP79" s="594"/>
      <c r="FQ79" s="594"/>
      <c r="FR79" s="594"/>
      <c r="FS79" s="594"/>
      <c r="FT79" s="594"/>
      <c r="FU79" s="594"/>
      <c r="FV79" s="594"/>
      <c r="FW79" s="594"/>
      <c r="FX79" s="594"/>
      <c r="FY79" s="594"/>
      <c r="FZ79" s="594"/>
      <c r="GA79" s="594"/>
      <c r="GB79" s="594"/>
      <c r="GC79" s="597"/>
      <c r="GD79" s="597"/>
      <c r="GE79" s="597"/>
      <c r="GF79" s="597"/>
      <c r="GG79" s="597"/>
      <c r="GH79" s="153"/>
      <c r="GJ79" s="3090" t="s">
        <v>4140</v>
      </c>
      <c r="GK79" s="2537"/>
      <c r="GL79" s="2537"/>
      <c r="GM79" s="2537"/>
      <c r="GO79" s="154"/>
      <c r="GP79" s="153"/>
      <c r="GT79" s="3090" t="s">
        <v>4143</v>
      </c>
      <c r="GU79" s="3090"/>
      <c r="GV79" s="3090"/>
      <c r="GW79" s="594"/>
      <c r="GX79" s="594"/>
      <c r="GY79" s="594"/>
      <c r="GZ79" s="594"/>
      <c r="HA79" s="598"/>
      <c r="HB79" s="594"/>
    </row>
    <row r="80" spans="12:213" ht="3.6" customHeight="1">
      <c r="ET80" s="3089"/>
      <c r="EU80" s="3089"/>
      <c r="EV80" s="3089"/>
      <c r="EW80" s="594"/>
      <c r="EX80" s="594"/>
      <c r="EY80" s="594"/>
      <c r="EZ80" s="594"/>
      <c r="FA80" s="594"/>
      <c r="FB80" s="594"/>
      <c r="FC80" s="594"/>
      <c r="FD80" s="594"/>
      <c r="FE80" s="594"/>
      <c r="FF80" s="594"/>
      <c r="FG80" s="594"/>
      <c r="FH80" s="594"/>
      <c r="FI80" s="594"/>
      <c r="FJ80" s="594"/>
      <c r="FK80" s="594"/>
      <c r="FL80" s="594"/>
      <c r="FM80" s="594"/>
      <c r="FN80" s="594"/>
      <c r="FO80" s="594"/>
      <c r="FP80" s="594"/>
      <c r="FQ80" s="594"/>
      <c r="FR80" s="594"/>
      <c r="FS80" s="594"/>
      <c r="FT80" s="594"/>
      <c r="FU80" s="594"/>
      <c r="FV80" s="594"/>
      <c r="FW80" s="594"/>
      <c r="FX80" s="594"/>
      <c r="FY80" s="594"/>
      <c r="FZ80" s="594"/>
      <c r="GA80" s="594"/>
      <c r="GB80" s="594"/>
      <c r="GC80" s="597"/>
      <c r="GD80" s="597"/>
      <c r="GE80" s="597"/>
      <c r="GF80" s="597"/>
      <c r="GG80" s="597"/>
      <c r="GH80" s="153"/>
      <c r="GJ80" s="2537"/>
      <c r="GK80" s="2537"/>
      <c r="GL80" s="2537"/>
      <c r="GM80" s="2537"/>
      <c r="GO80" s="154"/>
      <c r="GP80" s="153"/>
      <c r="GT80" s="3090"/>
      <c r="GU80" s="3090"/>
      <c r="GV80" s="3090"/>
      <c r="GW80" s="594"/>
      <c r="GX80" s="594"/>
      <c r="GY80" s="594"/>
      <c r="GZ80" s="594"/>
      <c r="HA80" s="598"/>
      <c r="HB80" s="594"/>
    </row>
    <row r="81" spans="10:210" ht="3.6" customHeight="1">
      <c r="ET81" s="3089"/>
      <c r="EU81" s="3089"/>
      <c r="EV81" s="3089"/>
      <c r="EW81" s="594"/>
      <c r="EX81" s="594"/>
      <c r="EY81" s="594"/>
      <c r="EZ81" s="594"/>
      <c r="FA81" s="594"/>
      <c r="FB81" s="594"/>
      <c r="FC81" s="594"/>
      <c r="FD81" s="594"/>
      <c r="FE81" s="594"/>
      <c r="FF81" s="594"/>
      <c r="FG81" s="594"/>
      <c r="FH81" s="594"/>
      <c r="FI81" s="594"/>
      <c r="FJ81" s="594"/>
      <c r="FK81" s="594"/>
      <c r="FL81" s="594"/>
      <c r="FM81" s="594"/>
      <c r="FN81" s="594"/>
      <c r="FO81" s="594"/>
      <c r="FP81" s="594"/>
      <c r="FQ81" s="594"/>
      <c r="FR81" s="594"/>
      <c r="FS81" s="594"/>
      <c r="FT81" s="594"/>
      <c r="FU81" s="594"/>
      <c r="FV81" s="594"/>
      <c r="FW81" s="594"/>
      <c r="FX81" s="594"/>
      <c r="FY81" s="594"/>
      <c r="FZ81" s="594"/>
      <c r="GA81" s="594"/>
      <c r="GB81" s="594"/>
      <c r="GC81" s="594"/>
      <c r="GD81" s="594"/>
      <c r="GE81" s="594"/>
      <c r="GF81" s="594"/>
      <c r="GG81" s="594"/>
      <c r="GH81" s="153"/>
      <c r="GJ81" s="2537"/>
      <c r="GK81" s="2537"/>
      <c r="GL81" s="2537"/>
      <c r="GM81" s="2537"/>
      <c r="GO81" s="154"/>
      <c r="GP81" s="153"/>
      <c r="GT81" s="3090"/>
      <c r="GU81" s="3090"/>
      <c r="GV81" s="3090"/>
      <c r="GW81" s="594"/>
      <c r="GX81" s="594"/>
      <c r="GY81" s="594"/>
      <c r="GZ81" s="594"/>
      <c r="HA81" s="598"/>
      <c r="HB81" s="594"/>
    </row>
    <row r="82" spans="10:210" ht="3.6" customHeight="1">
      <c r="S82" s="217"/>
      <c r="T82" s="217"/>
      <c r="U82" s="217"/>
      <c r="V82" s="217"/>
      <c r="W82" s="217"/>
      <c r="X82" s="217"/>
      <c r="AR82" s="217"/>
      <c r="EU82" s="594"/>
      <c r="EV82" s="594"/>
      <c r="EW82" s="594"/>
      <c r="EX82" s="594"/>
      <c r="EY82" s="594"/>
      <c r="EZ82" s="594"/>
      <c r="FA82" s="594"/>
      <c r="FB82" s="594"/>
      <c r="FC82" s="594"/>
      <c r="FD82" s="594"/>
      <c r="FE82" s="594"/>
      <c r="FF82" s="594"/>
      <c r="FG82" s="594"/>
      <c r="FH82" s="594"/>
      <c r="FI82" s="594"/>
      <c r="FJ82" s="594"/>
      <c r="FK82" s="594"/>
      <c r="FL82" s="594"/>
      <c r="FM82" s="594"/>
      <c r="FN82" s="594"/>
      <c r="FO82" s="594"/>
      <c r="FP82" s="594"/>
      <c r="FQ82" s="594"/>
      <c r="FR82" s="594"/>
      <c r="FS82" s="594"/>
      <c r="FT82" s="594"/>
      <c r="FU82" s="594"/>
      <c r="FV82" s="594"/>
      <c r="FW82" s="594"/>
      <c r="FX82" s="594"/>
      <c r="FY82" s="594"/>
      <c r="FZ82" s="594"/>
      <c r="GA82" s="594"/>
      <c r="GB82" s="594"/>
      <c r="GC82" s="594"/>
      <c r="GD82" s="594"/>
      <c r="GE82" s="594"/>
      <c r="GF82" s="594"/>
      <c r="GG82" s="594"/>
      <c r="GH82" s="153"/>
      <c r="GJ82" s="2537"/>
      <c r="GK82" s="2537"/>
      <c r="GL82" s="2537"/>
      <c r="GM82" s="2537"/>
      <c r="GO82" s="154"/>
      <c r="GP82" s="153"/>
      <c r="GT82" s="3090"/>
      <c r="GU82" s="3090"/>
      <c r="GV82" s="3090"/>
      <c r="GW82" s="594"/>
      <c r="GX82" s="594"/>
      <c r="GY82" s="594"/>
      <c r="GZ82" s="594"/>
      <c r="HA82" s="598"/>
      <c r="HB82" s="594"/>
    </row>
    <row r="83" spans="10:210" ht="3.6" customHeight="1">
      <c r="EU83" s="599"/>
      <c r="EV83" s="600"/>
      <c r="EW83" s="594"/>
      <c r="EX83" s="594"/>
      <c r="EY83" s="594"/>
      <c r="EZ83" s="594"/>
      <c r="FA83" s="594"/>
      <c r="FB83" s="594"/>
      <c r="FC83" s="594"/>
      <c r="FD83" s="594"/>
      <c r="FE83" s="594"/>
      <c r="FF83" s="594"/>
      <c r="FG83" s="594"/>
      <c r="FH83" s="594"/>
      <c r="FI83" s="3091" t="s">
        <v>4144</v>
      </c>
      <c r="FJ83" s="3091"/>
      <c r="FK83" s="3091"/>
      <c r="FL83" s="3091"/>
      <c r="FM83" s="3091"/>
      <c r="FN83" s="3091"/>
      <c r="FO83" s="3091"/>
      <c r="FP83" s="3091"/>
      <c r="FQ83" s="3091"/>
      <c r="FR83" s="3091"/>
      <c r="FS83" s="3091"/>
      <c r="FT83" s="3091"/>
      <c r="FU83" s="3091"/>
      <c r="FV83" s="594"/>
      <c r="FW83" s="594"/>
      <c r="FX83" s="594"/>
      <c r="FY83" s="594"/>
      <c r="FZ83" s="594"/>
      <c r="GA83" s="594"/>
      <c r="GB83" s="594"/>
      <c r="GC83" s="594"/>
      <c r="GD83" s="594"/>
      <c r="GE83" s="594"/>
      <c r="GF83" s="594"/>
      <c r="GG83" s="594"/>
      <c r="GH83" s="156"/>
      <c r="GI83" s="41"/>
      <c r="GJ83" s="2537"/>
      <c r="GK83" s="2537"/>
      <c r="GL83" s="2537"/>
      <c r="GM83" s="2537"/>
      <c r="GN83" s="41"/>
      <c r="GO83" s="159"/>
      <c r="GP83" s="156"/>
      <c r="GQ83" s="41"/>
      <c r="GR83" s="41"/>
      <c r="GS83" s="41"/>
      <c r="GT83" s="3090"/>
      <c r="GU83" s="3090"/>
      <c r="GV83" s="3090"/>
      <c r="GW83" s="601"/>
      <c r="GX83" s="601"/>
      <c r="GY83" s="601"/>
      <c r="GZ83" s="601"/>
      <c r="HA83" s="2323"/>
      <c r="HB83" s="594"/>
    </row>
    <row r="84" spans="10:210" ht="3.6" customHeight="1">
      <c r="EU84" s="599"/>
      <c r="EV84" s="604"/>
      <c r="EW84" s="601"/>
      <c r="EX84" s="601"/>
      <c r="EY84" s="601"/>
      <c r="EZ84" s="601"/>
      <c r="FA84" s="601"/>
      <c r="FB84" s="601"/>
      <c r="FC84" s="601"/>
      <c r="FD84" s="601"/>
      <c r="FE84" s="601"/>
      <c r="FF84" s="601"/>
      <c r="FG84" s="601"/>
      <c r="FH84" s="594"/>
      <c r="FI84" s="3091"/>
      <c r="FJ84" s="3091"/>
      <c r="FK84" s="3091"/>
      <c r="FL84" s="3091"/>
      <c r="FM84" s="3091"/>
      <c r="FN84" s="3091"/>
      <c r="FO84" s="3091"/>
      <c r="FP84" s="3091"/>
      <c r="FQ84" s="3091"/>
      <c r="FR84" s="3091"/>
      <c r="FS84" s="3091"/>
      <c r="FT84" s="3091"/>
      <c r="FU84" s="3091"/>
      <c r="FV84" s="601"/>
      <c r="FW84" s="601"/>
      <c r="FX84" s="601"/>
      <c r="FY84" s="601"/>
      <c r="FZ84" s="601"/>
      <c r="GA84" s="601"/>
      <c r="GB84" s="601"/>
      <c r="GC84" s="601"/>
      <c r="GD84" s="601"/>
      <c r="GE84" s="601"/>
      <c r="GF84" s="601"/>
      <c r="GG84" s="594"/>
      <c r="GH84" s="153"/>
      <c r="GJ84" s="2537"/>
      <c r="GK84" s="2537"/>
      <c r="GL84" s="2537"/>
      <c r="GM84" s="2537"/>
      <c r="GO84" s="154"/>
      <c r="GT84" s="3090"/>
      <c r="GU84" s="3090"/>
      <c r="GV84" s="3090"/>
      <c r="GW84" s="594"/>
      <c r="GX84" s="594"/>
      <c r="GY84" s="594"/>
      <c r="GZ84" s="594"/>
      <c r="HA84" s="598"/>
      <c r="HB84" s="594"/>
    </row>
    <row r="85" spans="10:210" ht="3.6" customHeight="1">
      <c r="EU85" s="599"/>
      <c r="EV85" s="600"/>
      <c r="EW85" s="594"/>
      <c r="EX85" s="594"/>
      <c r="EY85" s="594"/>
      <c r="EZ85" s="594"/>
      <c r="FA85" s="594"/>
      <c r="FB85" s="594"/>
      <c r="FC85" s="594"/>
      <c r="FD85" s="594"/>
      <c r="FE85" s="594"/>
      <c r="FF85" s="594"/>
      <c r="FG85" s="594"/>
      <c r="FH85" s="594"/>
      <c r="FI85" s="3091"/>
      <c r="FJ85" s="3091"/>
      <c r="FK85" s="3091"/>
      <c r="FL85" s="3091"/>
      <c r="FM85" s="3091"/>
      <c r="FN85" s="3091"/>
      <c r="FO85" s="3091"/>
      <c r="FP85" s="3091"/>
      <c r="FQ85" s="3091"/>
      <c r="FR85" s="3091"/>
      <c r="FS85" s="3091"/>
      <c r="FT85" s="3091"/>
      <c r="FU85" s="3091"/>
      <c r="FV85" s="594"/>
      <c r="FW85" s="594"/>
      <c r="FX85" s="594"/>
      <c r="FY85" s="594"/>
      <c r="FZ85" s="594"/>
      <c r="GA85" s="594"/>
      <c r="GB85" s="594"/>
      <c r="GC85" s="594"/>
      <c r="GD85" s="594"/>
      <c r="GE85" s="594"/>
      <c r="GF85" s="594"/>
      <c r="GG85" s="594"/>
      <c r="GH85" s="153"/>
      <c r="GJ85" s="2537"/>
      <c r="GK85" s="2537"/>
      <c r="GL85" s="2537"/>
      <c r="GM85" s="2537"/>
      <c r="GO85" s="154"/>
      <c r="GT85" s="3090"/>
      <c r="GU85" s="3090"/>
      <c r="GV85" s="3090"/>
      <c r="GW85" s="594"/>
      <c r="GX85" s="594"/>
      <c r="GY85" s="594"/>
      <c r="GZ85" s="594"/>
      <c r="HA85" s="598"/>
      <c r="HB85" s="594"/>
    </row>
    <row r="86" spans="10:210" ht="3.6" customHeight="1">
      <c r="EU86" s="155"/>
      <c r="EV86" s="153"/>
      <c r="FI86" s="3091"/>
      <c r="FJ86" s="3091"/>
      <c r="FK86" s="3091"/>
      <c r="FL86" s="3091"/>
      <c r="FM86" s="3091"/>
      <c r="FN86" s="3091"/>
      <c r="FO86" s="3091"/>
      <c r="FP86" s="3091"/>
      <c r="FQ86" s="3091"/>
      <c r="FR86" s="3091"/>
      <c r="FS86" s="3091"/>
      <c r="FT86" s="3091"/>
      <c r="FU86" s="3091"/>
      <c r="GH86" s="153"/>
      <c r="GJ86" s="2537"/>
      <c r="GK86" s="2537"/>
      <c r="GL86" s="2537"/>
      <c r="GM86" s="2537"/>
      <c r="GO86" s="154"/>
      <c r="GT86" s="3090"/>
      <c r="GU86" s="3090"/>
      <c r="GV86" s="3090"/>
      <c r="HA86" s="154"/>
    </row>
    <row r="87" spans="10:210" ht="3.6" customHeight="1">
      <c r="EU87" s="155"/>
      <c r="EV87" s="153"/>
      <c r="GH87" s="153"/>
      <c r="GJ87" s="2537"/>
      <c r="GK87" s="2537"/>
      <c r="GL87" s="2537"/>
      <c r="GM87" s="2537"/>
      <c r="GO87" s="154"/>
      <c r="GT87" s="3090"/>
      <c r="GU87" s="3090"/>
      <c r="GV87" s="3090"/>
    </row>
    <row r="88" spans="10:210" ht="3.6" customHeight="1">
      <c r="GH88" s="3122" t="s">
        <v>4141</v>
      </c>
      <c r="GI88" s="3090"/>
      <c r="GJ88" s="3123"/>
      <c r="GK88" s="3090" t="s">
        <v>4141</v>
      </c>
      <c r="GL88" s="3090"/>
      <c r="GM88" s="3090"/>
      <c r="GN88" s="3090"/>
      <c r="GO88" s="3123"/>
      <c r="GP88" s="2537" t="s">
        <v>4145</v>
      </c>
      <c r="GQ88" s="2537"/>
      <c r="GR88" s="3097"/>
      <c r="GS88" s="3093" t="s">
        <v>4145</v>
      </c>
      <c r="GT88" s="2537"/>
      <c r="GU88" s="3097"/>
      <c r="GV88" s="3093" t="s">
        <v>4146</v>
      </c>
      <c r="GW88" s="2537"/>
      <c r="GX88" s="2537"/>
      <c r="GY88" s="3093" t="s">
        <v>4146</v>
      </c>
      <c r="GZ88" s="2537"/>
      <c r="HA88" s="3097"/>
    </row>
    <row r="89" spans="10:210" ht="3.6" customHeight="1">
      <c r="GH89" s="3122"/>
      <c r="GI89" s="3090"/>
      <c r="GJ89" s="3123"/>
      <c r="GK89" s="3090"/>
      <c r="GL89" s="3090"/>
      <c r="GM89" s="3090"/>
      <c r="GN89" s="3090"/>
      <c r="GO89" s="3123"/>
      <c r="GP89" s="2537"/>
      <c r="GQ89" s="2537"/>
      <c r="GR89" s="3097"/>
      <c r="GS89" s="3093"/>
      <c r="GT89" s="2537"/>
      <c r="GU89" s="3097"/>
      <c r="GV89" s="3093"/>
      <c r="GW89" s="2537"/>
      <c r="GX89" s="2537"/>
      <c r="GY89" s="3093"/>
      <c r="GZ89" s="2537"/>
      <c r="HA89" s="3097"/>
    </row>
    <row r="90" spans="10:210" ht="3.6" customHeight="1">
      <c r="EV90" s="3102" t="s">
        <v>4141</v>
      </c>
      <c r="EW90" s="3103"/>
      <c r="EX90" s="3104"/>
      <c r="EY90" s="3102" t="s">
        <v>4143</v>
      </c>
      <c r="EZ90" s="3103"/>
      <c r="FA90" s="3103"/>
      <c r="FB90" s="3103"/>
      <c r="FC90" s="3104"/>
      <c r="FD90" s="3117" t="s">
        <v>4146</v>
      </c>
      <c r="FE90" s="3117"/>
      <c r="FF90" s="153"/>
      <c r="FO90" s="3103" t="s">
        <v>4139</v>
      </c>
      <c r="FP90" s="3103"/>
      <c r="FQ90" s="3103"/>
      <c r="FR90" s="3103"/>
      <c r="FS90" s="3103"/>
      <c r="GH90" s="3122"/>
      <c r="GI90" s="3090"/>
      <c r="GJ90" s="3123"/>
      <c r="GK90" s="3090"/>
      <c r="GL90" s="3090"/>
      <c r="GM90" s="3090"/>
      <c r="GN90" s="3090"/>
      <c r="GO90" s="3123"/>
      <c r="GP90" s="2537"/>
      <c r="GQ90" s="2537"/>
      <c r="GR90" s="3097"/>
      <c r="GS90" s="3093"/>
      <c r="GT90" s="2537"/>
      <c r="GU90" s="3097"/>
      <c r="GV90" s="3093"/>
      <c r="GW90" s="2537"/>
      <c r="GX90" s="2537"/>
      <c r="GY90" s="3093"/>
      <c r="GZ90" s="2537"/>
      <c r="HA90" s="3097"/>
    </row>
    <row r="91" spans="10:210" ht="3.6" customHeight="1">
      <c r="EV91" s="3102"/>
      <c r="EW91" s="3103"/>
      <c r="EX91" s="3104"/>
      <c r="EY91" s="3102"/>
      <c r="EZ91" s="3103"/>
      <c r="FA91" s="3103"/>
      <c r="FB91" s="3103"/>
      <c r="FC91" s="3104"/>
      <c r="FD91" s="3118"/>
      <c r="FE91" s="3118"/>
      <c r="FF91" s="153"/>
      <c r="FO91" s="3103"/>
      <c r="FP91" s="3103"/>
      <c r="FQ91" s="3103"/>
      <c r="FR91" s="3103"/>
      <c r="FS91" s="3103"/>
      <c r="GH91" s="3122"/>
      <c r="GI91" s="3090"/>
      <c r="GJ91" s="3123"/>
      <c r="GK91" s="3090"/>
      <c r="GL91" s="3090"/>
      <c r="GM91" s="3090"/>
      <c r="GN91" s="3090"/>
      <c r="GO91" s="3123"/>
      <c r="GP91" s="2537"/>
      <c r="GQ91" s="2537"/>
      <c r="GR91" s="3097"/>
      <c r="GS91" s="3093"/>
      <c r="GT91" s="2537"/>
      <c r="GU91" s="3097"/>
      <c r="GV91" s="3093"/>
      <c r="GW91" s="2537"/>
      <c r="GX91" s="2537"/>
      <c r="GY91" s="3093"/>
      <c r="GZ91" s="2537"/>
      <c r="HA91" s="3097"/>
    </row>
    <row r="92" spans="10:210" ht="3.6" customHeight="1">
      <c r="EV92" s="3102"/>
      <c r="EW92" s="3103"/>
      <c r="EX92" s="3104"/>
      <c r="EY92" s="3102"/>
      <c r="EZ92" s="3103"/>
      <c r="FA92" s="3103"/>
      <c r="FB92" s="3103"/>
      <c r="FC92" s="3104"/>
      <c r="FD92" s="3118"/>
      <c r="FE92" s="3118"/>
      <c r="FF92" s="153"/>
      <c r="FO92" s="3103"/>
      <c r="FP92" s="3103"/>
      <c r="FQ92" s="3103"/>
      <c r="FR92" s="3103"/>
      <c r="FS92" s="3103"/>
      <c r="GH92" s="3122"/>
      <c r="GI92" s="3090"/>
      <c r="GJ92" s="3123"/>
      <c r="GK92" s="3090"/>
      <c r="GL92" s="3090"/>
      <c r="GM92" s="3090"/>
      <c r="GN92" s="3090"/>
      <c r="GO92" s="3123"/>
      <c r="GP92" s="2537"/>
      <c r="GQ92" s="2537"/>
      <c r="GR92" s="3097"/>
      <c r="GS92" s="3093"/>
      <c r="GT92" s="2537"/>
      <c r="GU92" s="3097"/>
      <c r="GV92" s="3093"/>
      <c r="GW92" s="2537"/>
      <c r="GX92" s="2537"/>
      <c r="GY92" s="3093"/>
      <c r="GZ92" s="2537"/>
      <c r="HA92" s="3097"/>
    </row>
    <row r="93" spans="10:210" ht="3.6" customHeight="1">
      <c r="EV93" s="3102"/>
      <c r="EW93" s="3103"/>
      <c r="EX93" s="3104"/>
      <c r="EY93" s="3102"/>
      <c r="EZ93" s="3103"/>
      <c r="FA93" s="3103"/>
      <c r="FB93" s="3103"/>
      <c r="FC93" s="3104"/>
      <c r="FD93" s="3118"/>
      <c r="FE93" s="3118"/>
      <c r="FF93" s="153"/>
      <c r="FO93" s="3103"/>
      <c r="FP93" s="3103"/>
      <c r="FQ93" s="3103"/>
      <c r="FR93" s="3103"/>
      <c r="FS93" s="3103"/>
      <c r="GH93" s="3122"/>
      <c r="GI93" s="3090"/>
      <c r="GJ93" s="3123"/>
      <c r="GK93" s="3090"/>
      <c r="GL93" s="3090"/>
      <c r="GM93" s="3090"/>
      <c r="GN93" s="3090"/>
      <c r="GO93" s="3123"/>
      <c r="GP93" s="2537"/>
      <c r="GQ93" s="2537"/>
      <c r="GR93" s="3097"/>
      <c r="GS93" s="3093"/>
      <c r="GT93" s="2537"/>
      <c r="GU93" s="3097"/>
      <c r="GV93" s="3093"/>
      <c r="GW93" s="2537"/>
      <c r="GX93" s="2537"/>
      <c r="GY93" s="3093"/>
      <c r="GZ93" s="2537"/>
      <c r="HA93" s="3097"/>
    </row>
    <row r="94" spans="10:210" ht="3.6" customHeight="1">
      <c r="J94" s="20"/>
      <c r="K94" s="20"/>
      <c r="L94" s="20"/>
      <c r="M94" s="2324"/>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3120" t="s">
        <v>3164</v>
      </c>
      <c r="AZ94" s="3120"/>
      <c r="BA94" s="3120"/>
      <c r="BB94" s="3120"/>
      <c r="BC94" s="3120"/>
      <c r="BD94" s="3120"/>
      <c r="BE94" s="3091" t="s">
        <v>4180</v>
      </c>
      <c r="BF94" s="3091"/>
      <c r="BG94" s="3091"/>
      <c r="BH94" s="3091"/>
      <c r="BI94" s="3091"/>
      <c r="BJ94" s="3091"/>
      <c r="BK94" s="3091"/>
      <c r="BL94" s="3091"/>
      <c r="BM94" s="3091"/>
      <c r="BN94" s="3091"/>
      <c r="BO94" s="3091"/>
      <c r="BP94" s="3091"/>
      <c r="BQ94" s="3091"/>
      <c r="BR94" s="3091"/>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326"/>
      <c r="EV94" s="3102"/>
      <c r="EW94" s="3103"/>
      <c r="EX94" s="3104"/>
      <c r="EY94" s="3102"/>
      <c r="EZ94" s="3103"/>
      <c r="FA94" s="3103"/>
      <c r="FB94" s="3103"/>
      <c r="FC94" s="3104"/>
      <c r="FD94" s="3118"/>
      <c r="FE94" s="3118"/>
      <c r="FF94" s="153"/>
      <c r="FO94" s="3103"/>
      <c r="FP94" s="3103"/>
      <c r="FQ94" s="3103"/>
      <c r="FR94" s="3103"/>
      <c r="FS94" s="3103"/>
      <c r="GH94" s="3122"/>
      <c r="GI94" s="3090"/>
      <c r="GJ94" s="3123"/>
      <c r="GK94" s="3090"/>
      <c r="GL94" s="3090"/>
      <c r="GM94" s="3090"/>
      <c r="GN94" s="3090"/>
      <c r="GO94" s="3123"/>
      <c r="GP94" s="2537"/>
      <c r="GQ94" s="2537"/>
      <c r="GR94" s="3097"/>
      <c r="GS94" s="3093"/>
      <c r="GT94" s="2537"/>
      <c r="GU94" s="3097"/>
      <c r="GV94" s="3093"/>
      <c r="GW94" s="2537"/>
      <c r="GX94" s="2537"/>
      <c r="GY94" s="3093"/>
      <c r="GZ94" s="2537"/>
      <c r="HA94" s="3097"/>
    </row>
    <row r="95" spans="10:210" ht="3.6" customHeight="1">
      <c r="J95" s="20"/>
      <c r="K95" s="20"/>
      <c r="L95" s="20"/>
      <c r="M95" s="2327"/>
      <c r="N95" s="2328"/>
      <c r="O95" s="2328"/>
      <c r="P95" s="2328"/>
      <c r="Q95" s="2328"/>
      <c r="R95" s="2328"/>
      <c r="S95" s="2328"/>
      <c r="T95" s="2328"/>
      <c r="U95" s="2328"/>
      <c r="V95" s="2328"/>
      <c r="W95" s="2328"/>
      <c r="X95" s="2328"/>
      <c r="Y95" s="2328"/>
      <c r="Z95" s="2328"/>
      <c r="AA95" s="2328"/>
      <c r="AB95" s="2328"/>
      <c r="AC95" s="2328"/>
      <c r="AD95" s="2328"/>
      <c r="AE95" s="2328"/>
      <c r="AF95" s="2328"/>
      <c r="AG95" s="2328"/>
      <c r="AH95" s="2328"/>
      <c r="AI95" s="2328"/>
      <c r="AJ95" s="2328"/>
      <c r="AK95" s="2328"/>
      <c r="AL95" s="2328"/>
      <c r="AM95" s="2328"/>
      <c r="AN95" s="2328"/>
      <c r="AO95" s="2328"/>
      <c r="AP95" s="2328"/>
      <c r="AQ95" s="2328"/>
      <c r="AR95" s="2328"/>
      <c r="AS95" s="2328"/>
      <c r="AT95" s="2328"/>
      <c r="AU95" s="2328"/>
      <c r="AV95" s="2328"/>
      <c r="AW95" s="2328"/>
      <c r="AX95" s="2328"/>
      <c r="AY95" s="3120"/>
      <c r="AZ95" s="3120"/>
      <c r="BA95" s="3120"/>
      <c r="BB95" s="3120"/>
      <c r="BC95" s="3120"/>
      <c r="BD95" s="3120"/>
      <c r="BE95" s="3091"/>
      <c r="BF95" s="3091"/>
      <c r="BG95" s="3091"/>
      <c r="BH95" s="3091"/>
      <c r="BI95" s="3091"/>
      <c r="BJ95" s="3091"/>
      <c r="BK95" s="3091"/>
      <c r="BL95" s="3091"/>
      <c r="BM95" s="3091"/>
      <c r="BN95" s="3091"/>
      <c r="BO95" s="3091"/>
      <c r="BP95" s="3091"/>
      <c r="BQ95" s="3091"/>
      <c r="BR95" s="3091"/>
      <c r="BS95" s="2328"/>
      <c r="BT95" s="2328"/>
      <c r="BU95" s="2328"/>
      <c r="BV95" s="2328"/>
      <c r="BW95" s="2328"/>
      <c r="BX95" s="2328"/>
      <c r="BY95" s="2328"/>
      <c r="BZ95" s="2328"/>
      <c r="CA95" s="2328"/>
      <c r="CB95" s="2328"/>
      <c r="CC95" s="2328"/>
      <c r="CD95" s="2328"/>
      <c r="CE95" s="2328"/>
      <c r="CF95" s="2328"/>
      <c r="CG95" s="2328"/>
      <c r="CH95" s="2328"/>
      <c r="CI95" s="2328"/>
      <c r="CJ95" s="2328"/>
      <c r="CK95" s="2328"/>
      <c r="CL95" s="2328"/>
      <c r="CM95" s="2328"/>
      <c r="CN95" s="2328"/>
      <c r="CO95" s="2328"/>
      <c r="CP95" s="2328"/>
      <c r="CQ95" s="2328"/>
      <c r="CR95" s="2328"/>
      <c r="CS95" s="2328"/>
      <c r="CT95" s="2328"/>
      <c r="CU95" s="2328"/>
      <c r="CV95" s="2328"/>
      <c r="CW95" s="2328"/>
      <c r="CX95" s="2328"/>
      <c r="CY95" s="2328"/>
      <c r="CZ95" s="2328"/>
      <c r="DA95" s="2328"/>
      <c r="DB95" s="2328"/>
      <c r="DC95" s="2328"/>
      <c r="DD95" s="2328"/>
      <c r="DE95" s="2328"/>
      <c r="DF95" s="2328"/>
      <c r="DG95" s="2328"/>
      <c r="DH95" s="2328"/>
      <c r="DI95" s="2328"/>
      <c r="DJ95" s="2328"/>
      <c r="DK95" s="2328"/>
      <c r="DL95" s="2329"/>
      <c r="DM95" s="603"/>
      <c r="EV95" s="3102"/>
      <c r="EW95" s="3103"/>
      <c r="EX95" s="3104"/>
      <c r="EY95" s="3102"/>
      <c r="EZ95" s="3103"/>
      <c r="FA95" s="3103"/>
      <c r="FB95" s="3103"/>
      <c r="FC95" s="3104"/>
      <c r="FD95" s="3118"/>
      <c r="FE95" s="3118"/>
      <c r="FF95" s="156"/>
      <c r="FG95" s="41"/>
      <c r="FH95" s="41"/>
      <c r="FI95" s="41"/>
      <c r="FJ95" s="41"/>
      <c r="FK95" s="41"/>
      <c r="FL95" s="41"/>
      <c r="FM95" s="41"/>
      <c r="FN95" s="41"/>
      <c r="FO95" s="3103"/>
      <c r="FP95" s="3103"/>
      <c r="FQ95" s="3103"/>
      <c r="FR95" s="3103"/>
      <c r="FS95" s="3103"/>
      <c r="FU95" s="41"/>
      <c r="FV95" s="41"/>
      <c r="FW95" s="41"/>
      <c r="FX95" s="41"/>
      <c r="FY95" s="41"/>
      <c r="FZ95" s="41"/>
      <c r="GA95" s="41"/>
      <c r="GB95" s="41"/>
      <c r="GC95" s="41"/>
      <c r="GD95" s="41"/>
      <c r="GE95" s="41"/>
      <c r="GF95" s="41"/>
      <c r="GH95" s="3122"/>
      <c r="GI95" s="3090"/>
      <c r="GJ95" s="3123"/>
      <c r="GK95" s="3090"/>
      <c r="GL95" s="3090"/>
      <c r="GM95" s="3090"/>
      <c r="GN95" s="3090"/>
      <c r="GO95" s="3123"/>
      <c r="GP95" s="2537"/>
      <c r="GQ95" s="2537"/>
      <c r="GR95" s="3097"/>
      <c r="GS95" s="3093"/>
      <c r="GT95" s="2537"/>
      <c r="GU95" s="3097"/>
      <c r="GV95" s="3093"/>
      <c r="GW95" s="2537"/>
      <c r="GX95" s="2537"/>
      <c r="GY95" s="3093"/>
      <c r="GZ95" s="2537"/>
      <c r="HA95" s="3097"/>
    </row>
    <row r="96" spans="10:210" ht="3.6" customHeight="1">
      <c r="J96" s="20"/>
      <c r="K96" s="20"/>
      <c r="L96" s="2330"/>
      <c r="M96" s="2324"/>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3120"/>
      <c r="AZ96" s="3120"/>
      <c r="BA96" s="3120"/>
      <c r="BB96" s="3120"/>
      <c r="BC96" s="3120"/>
      <c r="BD96" s="3120"/>
      <c r="BE96" s="3091"/>
      <c r="BF96" s="3091"/>
      <c r="BG96" s="3091"/>
      <c r="BH96" s="3091"/>
      <c r="BI96" s="3091"/>
      <c r="BJ96" s="3091"/>
      <c r="BK96" s="3091"/>
      <c r="BL96" s="3091"/>
      <c r="BM96" s="3091"/>
      <c r="BN96" s="3091"/>
      <c r="BO96" s="3091"/>
      <c r="BP96" s="3091"/>
      <c r="BQ96" s="3091"/>
      <c r="BR96" s="3091"/>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331"/>
      <c r="EV96" s="3102"/>
      <c r="EW96" s="3103"/>
      <c r="EX96" s="3104"/>
      <c r="EY96" s="3102"/>
      <c r="EZ96" s="3103"/>
      <c r="FA96" s="3103"/>
      <c r="FB96" s="3103"/>
      <c r="FC96" s="3104"/>
      <c r="FD96" s="3118"/>
      <c r="FE96" s="3118"/>
      <c r="FF96" s="153"/>
      <c r="FO96" s="3103"/>
      <c r="FP96" s="3103"/>
      <c r="FQ96" s="3103"/>
      <c r="FR96" s="3103"/>
      <c r="FS96" s="3103"/>
      <c r="GH96" s="3122"/>
      <c r="GI96" s="3090"/>
      <c r="GJ96" s="3123"/>
      <c r="GK96" s="3090"/>
      <c r="GL96" s="3090"/>
      <c r="GM96" s="3090"/>
      <c r="GN96" s="3090"/>
      <c r="GO96" s="3123"/>
      <c r="GP96" s="2537"/>
      <c r="GQ96" s="2537"/>
      <c r="GR96" s="3097"/>
      <c r="GS96" s="3093"/>
      <c r="GT96" s="2537"/>
      <c r="GU96" s="3097"/>
      <c r="GV96" s="3093"/>
      <c r="GW96" s="2537"/>
      <c r="GX96" s="2537"/>
      <c r="GY96" s="3093"/>
      <c r="GZ96" s="2537"/>
      <c r="HA96" s="3097"/>
    </row>
    <row r="97" spans="3:214" ht="3.6" customHeight="1">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EV97" s="3102"/>
      <c r="EW97" s="3103"/>
      <c r="EX97" s="3104"/>
      <c r="EY97" s="3102"/>
      <c r="EZ97" s="3103"/>
      <c r="FA97" s="3103"/>
      <c r="FB97" s="3103"/>
      <c r="FC97" s="3104"/>
      <c r="FD97" s="3118"/>
      <c r="FE97" s="3118"/>
      <c r="FF97" s="153"/>
      <c r="FO97" s="3103"/>
      <c r="FP97" s="3103"/>
      <c r="FQ97" s="3103"/>
      <c r="FR97" s="3103"/>
      <c r="FS97" s="3103"/>
      <c r="GH97" s="3122"/>
      <c r="GI97" s="3090"/>
      <c r="GJ97" s="3123"/>
      <c r="GK97" s="3090"/>
      <c r="GL97" s="3090"/>
      <c r="GM97" s="3090"/>
      <c r="GN97" s="3090"/>
      <c r="GO97" s="3123"/>
      <c r="GP97" s="2537"/>
      <c r="GQ97" s="2537"/>
      <c r="GR97" s="3097"/>
      <c r="GS97" s="3093"/>
      <c r="GT97" s="2537"/>
      <c r="GU97" s="3097"/>
      <c r="GV97" s="3093"/>
      <c r="GW97" s="2537"/>
      <c r="GX97" s="2537"/>
      <c r="GY97" s="3093"/>
      <c r="GZ97" s="2537"/>
      <c r="HA97" s="3097"/>
    </row>
    <row r="98" spans="3:214" ht="3.6" customHeight="1">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EV98" s="3102"/>
      <c r="EW98" s="3103"/>
      <c r="EX98" s="3104"/>
      <c r="EY98" s="3102"/>
      <c r="EZ98" s="3103"/>
      <c r="FA98" s="3103"/>
      <c r="FB98" s="3103"/>
      <c r="FC98" s="3104"/>
      <c r="FD98" s="3118"/>
      <c r="FE98" s="3118"/>
      <c r="FF98" s="153"/>
      <c r="FO98" s="3103"/>
      <c r="FP98" s="3103"/>
      <c r="FQ98" s="3103"/>
      <c r="FR98" s="3103"/>
      <c r="FS98" s="3103"/>
      <c r="GH98" s="3122"/>
      <c r="GI98" s="3090"/>
      <c r="GJ98" s="3123"/>
      <c r="GK98" s="3090"/>
      <c r="GL98" s="3090"/>
      <c r="GM98" s="3090"/>
      <c r="GN98" s="3090"/>
      <c r="GO98" s="3123"/>
      <c r="GP98" s="2537"/>
      <c r="GQ98" s="2537"/>
      <c r="GR98" s="3097"/>
      <c r="GS98" s="3093"/>
      <c r="GT98" s="2537"/>
      <c r="GU98" s="3097"/>
      <c r="GV98" s="3093"/>
      <c r="GW98" s="2537"/>
      <c r="GX98" s="2537"/>
      <c r="GY98" s="3093"/>
      <c r="GZ98" s="2537"/>
      <c r="HA98" s="3097"/>
    </row>
    <row r="99" spans="3:214" ht="3.6" customHeight="1">
      <c r="J99" s="20"/>
      <c r="K99" s="20"/>
      <c r="L99" s="20"/>
      <c r="M99" s="20"/>
      <c r="N99" s="2332"/>
      <c r="O99" s="2325"/>
      <c r="P99" s="2325"/>
      <c r="Q99" s="2325"/>
      <c r="R99" s="2325"/>
      <c r="S99" s="2325"/>
      <c r="T99" s="2325"/>
      <c r="U99" s="2325"/>
      <c r="V99" s="2325"/>
      <c r="W99" s="2325"/>
      <c r="X99" s="2325"/>
      <c r="Y99" s="2325"/>
      <c r="Z99" s="2325"/>
      <c r="AA99" s="2325"/>
      <c r="AB99" s="2325"/>
      <c r="AC99" s="2325"/>
      <c r="AD99" s="2325"/>
      <c r="AE99" s="2325"/>
      <c r="AF99" s="2325"/>
      <c r="AG99" s="2325"/>
      <c r="AH99" s="2325"/>
      <c r="AI99" s="2325"/>
      <c r="AJ99" s="2325"/>
      <c r="AK99" s="2325"/>
      <c r="AL99" s="2325"/>
      <c r="AM99" s="2325"/>
      <c r="AN99" s="2325"/>
      <c r="AO99" s="2325"/>
      <c r="AP99" s="2325"/>
      <c r="AQ99" s="2325"/>
      <c r="AR99" s="2325"/>
      <c r="AS99" s="2325"/>
      <c r="AT99" s="2325"/>
      <c r="AU99" s="2325"/>
      <c r="AV99" s="2325"/>
      <c r="AW99" s="2325"/>
      <c r="AX99" s="2325"/>
      <c r="AY99" s="3120" t="s">
        <v>3162</v>
      </c>
      <c r="AZ99" s="3120"/>
      <c r="BA99" s="3120"/>
      <c r="BB99" s="3120"/>
      <c r="BC99" s="3120"/>
      <c r="BD99" s="3120"/>
      <c r="BE99" s="3121" t="s">
        <v>4187</v>
      </c>
      <c r="BF99" s="3121"/>
      <c r="BG99" s="3121"/>
      <c r="BH99" s="3121"/>
      <c r="BI99" s="3121"/>
      <c r="BJ99" s="3121"/>
      <c r="BK99" s="3121"/>
      <c r="BL99" s="3121"/>
      <c r="BM99" s="3121"/>
      <c r="BN99" s="3121"/>
      <c r="BO99" s="3121"/>
      <c r="BP99" s="3121"/>
      <c r="BQ99" s="3121"/>
      <c r="BR99" s="3121"/>
      <c r="BS99" s="2325"/>
      <c r="BT99" s="2325"/>
      <c r="BU99" s="2325"/>
      <c r="BV99" s="2325"/>
      <c r="BW99" s="2325"/>
      <c r="BX99" s="2325"/>
      <c r="BY99" s="2325"/>
      <c r="BZ99" s="2325"/>
      <c r="CA99" s="2325"/>
      <c r="CB99" s="2325"/>
      <c r="CC99" s="2325"/>
      <c r="CD99" s="2325"/>
      <c r="CE99" s="2325"/>
      <c r="CF99" s="2325"/>
      <c r="CG99" s="2325"/>
      <c r="CH99" s="2325"/>
      <c r="CI99" s="2325"/>
      <c r="CJ99" s="2325"/>
      <c r="CK99" s="2325"/>
      <c r="CL99" s="2325"/>
      <c r="CM99" s="2325"/>
      <c r="CN99" s="2325"/>
      <c r="CO99" s="2325"/>
      <c r="CP99" s="2325"/>
      <c r="CQ99" s="2325"/>
      <c r="CR99" s="2325"/>
      <c r="CS99" s="2325"/>
      <c r="CT99" s="2325"/>
      <c r="CU99" s="2325"/>
      <c r="CV99" s="2325"/>
      <c r="CW99" s="2325"/>
      <c r="CX99" s="2325"/>
      <c r="CY99" s="2325"/>
      <c r="CZ99" s="2325"/>
      <c r="DA99" s="2325"/>
      <c r="DB99" s="2325"/>
      <c r="DC99" s="2325"/>
      <c r="DD99" s="2325"/>
      <c r="DE99" s="2325"/>
      <c r="DF99" s="2325"/>
      <c r="DG99" s="2325"/>
      <c r="DH99" s="2325"/>
      <c r="DI99" s="2325"/>
      <c r="DJ99" s="2325"/>
      <c r="DK99" s="2333"/>
      <c r="DL99" s="20"/>
      <c r="EV99" s="3102"/>
      <c r="EW99" s="3103"/>
      <c r="EX99" s="3104"/>
      <c r="EY99" s="3102"/>
      <c r="EZ99" s="3103"/>
      <c r="FA99" s="3103"/>
      <c r="FB99" s="3103"/>
      <c r="FC99" s="3104"/>
      <c r="FD99" s="3118"/>
      <c r="FE99" s="3118"/>
      <c r="FF99" s="153"/>
      <c r="FO99" s="3103"/>
      <c r="FP99" s="3103"/>
      <c r="FQ99" s="3103"/>
      <c r="FR99" s="3103"/>
      <c r="FS99" s="3103"/>
      <c r="GP99" s="150"/>
      <c r="GQ99" s="151"/>
      <c r="GR99" s="151"/>
      <c r="GS99" s="151"/>
      <c r="GT99" s="151"/>
      <c r="GU99" s="162"/>
      <c r="GV99" s="3092" t="s">
        <v>1942</v>
      </c>
      <c r="GW99" s="2536"/>
      <c r="GX99" s="2536"/>
      <c r="GY99" s="3092" t="s">
        <v>419</v>
      </c>
      <c r="GZ99" s="2536"/>
      <c r="HA99" s="3096"/>
      <c r="HC99" s="2536" t="s">
        <v>4143</v>
      </c>
      <c r="HD99" s="2536"/>
      <c r="HE99" s="2536"/>
      <c r="HF99" s="2536"/>
    </row>
    <row r="100" spans="3:214" ht="3.6" customHeight="1">
      <c r="J100" s="20"/>
      <c r="K100" s="20"/>
      <c r="L100" s="20"/>
      <c r="M100" s="20"/>
      <c r="N100" s="2327"/>
      <c r="O100" s="2334"/>
      <c r="P100" s="2334"/>
      <c r="Q100" s="2334"/>
      <c r="R100" s="2334"/>
      <c r="S100" s="2334"/>
      <c r="T100" s="2334"/>
      <c r="U100" s="2334"/>
      <c r="V100" s="2334"/>
      <c r="W100" s="2334"/>
      <c r="X100" s="2334"/>
      <c r="Y100" s="2334"/>
      <c r="Z100" s="2334"/>
      <c r="AA100" s="2334"/>
      <c r="AB100" s="2334"/>
      <c r="AC100" s="2334"/>
      <c r="AD100" s="2334"/>
      <c r="AE100" s="2334"/>
      <c r="AF100" s="2334"/>
      <c r="AG100" s="2334"/>
      <c r="AH100" s="2334"/>
      <c r="AI100" s="2334"/>
      <c r="AJ100" s="2334"/>
      <c r="AK100" s="2334"/>
      <c r="AL100" s="2334"/>
      <c r="AM100" s="2334"/>
      <c r="AN100" s="2334"/>
      <c r="AO100" s="2334"/>
      <c r="AP100" s="2334"/>
      <c r="AQ100" s="2334"/>
      <c r="AR100" s="2334"/>
      <c r="AS100" s="2334"/>
      <c r="AT100" s="2334"/>
      <c r="AU100" s="2334"/>
      <c r="AV100" s="2334"/>
      <c r="AW100" s="2334"/>
      <c r="AX100" s="2334"/>
      <c r="AY100" s="3120"/>
      <c r="AZ100" s="3120"/>
      <c r="BA100" s="3120"/>
      <c r="BB100" s="3120"/>
      <c r="BC100" s="3120"/>
      <c r="BD100" s="3120"/>
      <c r="BE100" s="3121"/>
      <c r="BF100" s="3121"/>
      <c r="BG100" s="3121"/>
      <c r="BH100" s="3121"/>
      <c r="BI100" s="3121"/>
      <c r="BJ100" s="3121"/>
      <c r="BK100" s="3121"/>
      <c r="BL100" s="3121"/>
      <c r="BM100" s="3121"/>
      <c r="BN100" s="3121"/>
      <c r="BO100" s="3121"/>
      <c r="BP100" s="3121"/>
      <c r="BQ100" s="3121"/>
      <c r="BR100" s="3121"/>
      <c r="BS100" s="2334"/>
      <c r="BT100" s="2334"/>
      <c r="BU100" s="2334"/>
      <c r="BV100" s="2334"/>
      <c r="BW100" s="2334"/>
      <c r="BX100" s="2334"/>
      <c r="BY100" s="2334"/>
      <c r="BZ100" s="2334"/>
      <c r="CA100" s="2334"/>
      <c r="CB100" s="2334"/>
      <c r="CC100" s="2334"/>
      <c r="CD100" s="2334"/>
      <c r="CE100" s="2334"/>
      <c r="CF100" s="2334"/>
      <c r="CG100" s="2334"/>
      <c r="CH100" s="2334"/>
      <c r="CI100" s="2334"/>
      <c r="CJ100" s="2334"/>
      <c r="CK100" s="2334"/>
      <c r="CL100" s="2334"/>
      <c r="CM100" s="2334"/>
      <c r="CN100" s="2334"/>
      <c r="CO100" s="2334"/>
      <c r="CP100" s="2334"/>
      <c r="CQ100" s="2334"/>
      <c r="CR100" s="2334"/>
      <c r="CS100" s="2334"/>
      <c r="CT100" s="2334"/>
      <c r="CU100" s="2334"/>
      <c r="CV100" s="2334"/>
      <c r="CW100" s="2334"/>
      <c r="CX100" s="2334"/>
      <c r="CY100" s="2334"/>
      <c r="CZ100" s="2334"/>
      <c r="DA100" s="2334"/>
      <c r="DB100" s="2334"/>
      <c r="DC100" s="2334"/>
      <c r="DD100" s="2334"/>
      <c r="DE100" s="2334"/>
      <c r="DF100" s="2334"/>
      <c r="DG100" s="2334"/>
      <c r="DH100" s="2334"/>
      <c r="DI100" s="2334"/>
      <c r="DJ100" s="2334"/>
      <c r="DK100" s="2329"/>
      <c r="DL100" s="2335"/>
      <c r="EV100" s="3102"/>
      <c r="EW100" s="3103"/>
      <c r="EX100" s="3104"/>
      <c r="EY100" s="3102"/>
      <c r="EZ100" s="3103"/>
      <c r="FA100" s="3103"/>
      <c r="FB100" s="3103"/>
      <c r="FC100" s="3104"/>
      <c r="FD100" s="3119"/>
      <c r="FE100" s="3119"/>
      <c r="FF100" s="153"/>
      <c r="FO100" s="3103"/>
      <c r="FP100" s="3103"/>
      <c r="FQ100" s="3103"/>
      <c r="FR100" s="3103"/>
      <c r="FS100" s="3103"/>
      <c r="GP100" s="153"/>
      <c r="GU100" s="154"/>
      <c r="GV100" s="3093"/>
      <c r="GW100" s="2537"/>
      <c r="GX100" s="2537"/>
      <c r="GY100" s="3093"/>
      <c r="GZ100" s="2537"/>
      <c r="HA100" s="3097"/>
      <c r="HC100" s="2537"/>
      <c r="HD100" s="2537"/>
      <c r="HE100" s="2537"/>
      <c r="HF100" s="2537"/>
    </row>
    <row r="101" spans="3:214" ht="3.6" customHeight="1">
      <c r="J101" s="20"/>
      <c r="K101" s="20"/>
      <c r="L101" s="20"/>
      <c r="M101" s="2330"/>
      <c r="N101" s="2324"/>
      <c r="O101" s="2325"/>
      <c r="P101" s="2325"/>
      <c r="Q101" s="2325"/>
      <c r="R101" s="2325"/>
      <c r="S101" s="2325"/>
      <c r="T101" s="2325"/>
      <c r="U101" s="2325"/>
      <c r="V101" s="2325"/>
      <c r="W101" s="2325"/>
      <c r="X101" s="2325"/>
      <c r="Y101" s="2325"/>
      <c r="Z101" s="2325"/>
      <c r="AA101" s="2325"/>
      <c r="AB101" s="2325"/>
      <c r="AC101" s="2325"/>
      <c r="AD101" s="2325"/>
      <c r="AE101" s="2325"/>
      <c r="AF101" s="2325"/>
      <c r="AG101" s="2325"/>
      <c r="AH101" s="2325"/>
      <c r="AI101" s="2325"/>
      <c r="AJ101" s="2325"/>
      <c r="AK101" s="2325"/>
      <c r="AL101" s="2325"/>
      <c r="AM101" s="2325"/>
      <c r="AN101" s="2325"/>
      <c r="AO101" s="2325"/>
      <c r="AP101" s="2325"/>
      <c r="AQ101" s="2325"/>
      <c r="AR101" s="2325"/>
      <c r="AS101" s="2325"/>
      <c r="AT101" s="2325"/>
      <c r="AU101" s="2325"/>
      <c r="AV101" s="2325"/>
      <c r="AW101" s="2325"/>
      <c r="AX101" s="2325"/>
      <c r="AY101" s="3120"/>
      <c r="AZ101" s="3120"/>
      <c r="BA101" s="3120"/>
      <c r="BB101" s="3120"/>
      <c r="BC101" s="3120"/>
      <c r="BD101" s="3120"/>
      <c r="BE101" s="3121"/>
      <c r="BF101" s="3121"/>
      <c r="BG101" s="3121"/>
      <c r="BH101" s="3121"/>
      <c r="BI101" s="3121"/>
      <c r="BJ101" s="3121"/>
      <c r="BK101" s="3121"/>
      <c r="BL101" s="3121"/>
      <c r="BM101" s="3121"/>
      <c r="BN101" s="3121"/>
      <c r="BO101" s="3121"/>
      <c r="BP101" s="3121"/>
      <c r="BQ101" s="3121"/>
      <c r="BR101" s="3121"/>
      <c r="BS101" s="2325"/>
      <c r="BT101" s="2325"/>
      <c r="BU101" s="2325"/>
      <c r="BV101" s="2325"/>
      <c r="BW101" s="2325"/>
      <c r="BX101" s="2325"/>
      <c r="BY101" s="2325"/>
      <c r="BZ101" s="2325"/>
      <c r="CA101" s="2325"/>
      <c r="CB101" s="2325"/>
      <c r="CC101" s="2325"/>
      <c r="CD101" s="2325"/>
      <c r="CE101" s="2325"/>
      <c r="CF101" s="2325"/>
      <c r="CG101" s="2325"/>
      <c r="CH101" s="2325"/>
      <c r="CI101" s="2325"/>
      <c r="CJ101" s="2325"/>
      <c r="CK101" s="2325"/>
      <c r="CL101" s="2325"/>
      <c r="CM101" s="2325"/>
      <c r="CN101" s="2325"/>
      <c r="CO101" s="2325"/>
      <c r="CP101" s="2325"/>
      <c r="CQ101" s="2325"/>
      <c r="CR101" s="2325"/>
      <c r="CS101" s="2325"/>
      <c r="CT101" s="2325"/>
      <c r="CU101" s="2325"/>
      <c r="CV101" s="2325"/>
      <c r="CW101" s="2325"/>
      <c r="CX101" s="2325"/>
      <c r="CY101" s="2325"/>
      <c r="CZ101" s="2325"/>
      <c r="DA101" s="2325"/>
      <c r="DB101" s="2336"/>
      <c r="DC101" s="2336"/>
      <c r="DD101" s="2336"/>
      <c r="DE101" s="2336"/>
      <c r="DF101" s="2336"/>
      <c r="DG101" s="2336"/>
      <c r="DH101" s="2336"/>
      <c r="DI101" s="2336"/>
      <c r="DJ101" s="2336"/>
      <c r="DK101" s="2331"/>
      <c r="DL101" s="20"/>
      <c r="FF101" s="153"/>
      <c r="FO101" s="3103"/>
      <c r="FP101" s="3103"/>
      <c r="FQ101" s="3103"/>
      <c r="FR101" s="3103"/>
      <c r="FS101" s="3103"/>
      <c r="GP101" s="153"/>
      <c r="GU101" s="154"/>
      <c r="GV101" s="3093"/>
      <c r="GW101" s="2537"/>
      <c r="GX101" s="2537"/>
      <c r="GY101" s="3093"/>
      <c r="GZ101" s="2537"/>
      <c r="HA101" s="3097"/>
      <c r="HC101" s="2537"/>
      <c r="HD101" s="2537"/>
      <c r="HE101" s="2537"/>
      <c r="HF101" s="2537"/>
    </row>
    <row r="102" spans="3:214" ht="3.6" customHeight="1">
      <c r="J102" s="20"/>
      <c r="K102" s="20"/>
      <c r="L102" s="20"/>
      <c r="M102" s="20"/>
      <c r="N102" s="2325"/>
      <c r="O102" s="2325"/>
      <c r="P102" s="2325"/>
      <c r="Q102" s="2325"/>
      <c r="R102" s="2325"/>
      <c r="S102" s="2325"/>
      <c r="T102" s="2325"/>
      <c r="U102" s="2325"/>
      <c r="V102" s="2325"/>
      <c r="W102" s="2325"/>
      <c r="X102" s="2325"/>
      <c r="Y102" s="2325"/>
      <c r="Z102" s="2325"/>
      <c r="AA102" s="2325"/>
      <c r="AB102" s="2325"/>
      <c r="AC102" s="2325"/>
      <c r="AD102" s="2325"/>
      <c r="AE102" s="2325"/>
      <c r="AF102" s="2325"/>
      <c r="AG102" s="2325"/>
      <c r="AH102" s="2325"/>
      <c r="AI102" s="2325"/>
      <c r="AJ102" s="2325"/>
      <c r="AK102" s="2325"/>
      <c r="AL102" s="2325"/>
      <c r="AM102" s="2325"/>
      <c r="AN102" s="2325"/>
      <c r="AO102" s="2325"/>
      <c r="AP102" s="2325"/>
      <c r="AQ102" s="2325"/>
      <c r="AR102" s="2325"/>
      <c r="AS102" s="2325"/>
      <c r="AT102" s="2325"/>
      <c r="AU102" s="2325"/>
      <c r="AV102" s="2325"/>
      <c r="AW102" s="2325"/>
      <c r="AX102" s="2325"/>
      <c r="AY102" s="2325"/>
      <c r="AZ102" s="2325"/>
      <c r="BA102" s="2325"/>
      <c r="BB102" s="2325"/>
      <c r="BC102" s="2325"/>
      <c r="BD102" s="2325"/>
      <c r="BE102" s="2325"/>
      <c r="BF102" s="2325"/>
      <c r="BG102" s="2325"/>
      <c r="BH102" s="2325"/>
      <c r="BI102" s="2325"/>
      <c r="BJ102" s="2325"/>
      <c r="BK102" s="2325"/>
      <c r="BL102" s="2325"/>
      <c r="BM102" s="2325"/>
      <c r="BN102" s="2325"/>
      <c r="BO102" s="2325"/>
      <c r="BP102" s="2325"/>
      <c r="BQ102" s="2325"/>
      <c r="BR102" s="2325"/>
      <c r="BS102" s="2325"/>
      <c r="BT102" s="2325"/>
      <c r="BU102" s="2325"/>
      <c r="BV102" s="2325"/>
      <c r="BW102" s="2325"/>
      <c r="BX102" s="2325"/>
      <c r="BY102" s="2325"/>
      <c r="BZ102" s="2325"/>
      <c r="CA102" s="2325"/>
      <c r="CB102" s="2325"/>
      <c r="CC102" s="2325"/>
      <c r="CD102" s="2325"/>
      <c r="CE102" s="2325"/>
      <c r="CF102" s="2325"/>
      <c r="CG102" s="2325"/>
      <c r="CH102" s="2325"/>
      <c r="CI102" s="2325"/>
      <c r="CJ102" s="2325"/>
      <c r="CK102" s="2325"/>
      <c r="CL102" s="2325"/>
      <c r="CM102" s="2325"/>
      <c r="CN102" s="2325"/>
      <c r="CO102" s="2325"/>
      <c r="CP102" s="2325"/>
      <c r="CQ102" s="2325"/>
      <c r="CR102" s="2325"/>
      <c r="CS102" s="2325"/>
      <c r="CT102" s="2325"/>
      <c r="CU102" s="2325"/>
      <c r="CV102" s="2325"/>
      <c r="CW102" s="2325"/>
      <c r="CX102" s="2325"/>
      <c r="CY102" s="2325"/>
      <c r="CZ102" s="2325"/>
      <c r="DA102" s="2325"/>
      <c r="DB102" s="2325"/>
      <c r="DC102" s="2325"/>
      <c r="DD102" s="2325"/>
      <c r="DE102" s="2325"/>
      <c r="DF102" s="2325"/>
      <c r="DG102" s="2325"/>
      <c r="DH102" s="2325"/>
      <c r="DI102" s="2325"/>
      <c r="DJ102" s="2325"/>
      <c r="DK102" s="2325"/>
      <c r="DL102" s="20"/>
      <c r="FE102" s="147"/>
      <c r="FH102" s="2536" t="s">
        <v>4140</v>
      </c>
      <c r="FI102" s="2536"/>
      <c r="FJ102" s="2536"/>
      <c r="GP102" s="153"/>
      <c r="GU102" s="154"/>
      <c r="GV102" s="3093"/>
      <c r="GW102" s="2537"/>
      <c r="GX102" s="2537"/>
      <c r="GY102" s="3093"/>
      <c r="GZ102" s="2537"/>
      <c r="HA102" s="3097"/>
      <c r="HC102" s="2537"/>
      <c r="HD102" s="2537"/>
      <c r="HE102" s="2537"/>
      <c r="HF102" s="2537"/>
    </row>
    <row r="103" spans="3:214" ht="3.6" customHeight="1">
      <c r="J103" s="20"/>
      <c r="K103" s="20"/>
      <c r="L103" s="20"/>
      <c r="M103" s="20"/>
      <c r="N103" s="2337"/>
      <c r="O103" s="2338"/>
      <c r="P103" s="2338"/>
      <c r="Q103" s="2338"/>
      <c r="R103" s="2338"/>
      <c r="S103" s="2338"/>
      <c r="T103" s="2338"/>
      <c r="U103" s="2338"/>
      <c r="V103" s="2338"/>
      <c r="W103" s="3091" t="s">
        <v>4186</v>
      </c>
      <c r="X103" s="3091"/>
      <c r="Y103" s="3091"/>
      <c r="Z103" s="3091"/>
      <c r="AA103" s="3091"/>
      <c r="AB103" s="3091"/>
      <c r="AC103" s="3091"/>
      <c r="AD103" s="3091"/>
      <c r="AE103" s="3091"/>
      <c r="AF103" s="3091"/>
      <c r="AG103" s="3091"/>
      <c r="AH103" s="3091"/>
      <c r="AI103" s="3091"/>
      <c r="AJ103" s="3091"/>
      <c r="AK103" s="2338"/>
      <c r="AL103" s="2338"/>
      <c r="AM103" s="2338"/>
      <c r="AN103" s="2338"/>
      <c r="AO103" s="2338"/>
      <c r="AP103" s="2338"/>
      <c r="AQ103" s="2338"/>
      <c r="AR103" s="2338"/>
      <c r="AS103" s="2338"/>
      <c r="AT103" s="2338"/>
      <c r="AU103" s="2339"/>
      <c r="AV103" s="2337"/>
      <c r="AW103" s="2338"/>
      <c r="AX103" s="2338"/>
      <c r="AY103" s="2338"/>
      <c r="AZ103" s="2338"/>
      <c r="BA103" s="2338"/>
      <c r="BB103" s="2338"/>
      <c r="BC103" s="2338"/>
      <c r="BD103" s="2338"/>
      <c r="BE103" s="2338"/>
      <c r="BF103" s="3091" t="str">
        <f>W103</f>
        <v>10'10"</v>
      </c>
      <c r="BG103" s="3091"/>
      <c r="BH103" s="3091"/>
      <c r="BI103" s="3091"/>
      <c r="BJ103" s="3091"/>
      <c r="BK103" s="3091"/>
      <c r="BL103" s="3091"/>
      <c r="BM103" s="3091"/>
      <c r="BN103" s="3091"/>
      <c r="BO103" s="3091"/>
      <c r="BP103" s="3091"/>
      <c r="BQ103" s="3091"/>
      <c r="BR103" s="3091"/>
      <c r="BS103" s="3091"/>
      <c r="BT103" s="2338"/>
      <c r="BU103" s="2338"/>
      <c r="BV103" s="2338"/>
      <c r="BW103" s="2338"/>
      <c r="BX103" s="2338"/>
      <c r="BY103" s="2338"/>
      <c r="BZ103" s="2338"/>
      <c r="CA103" s="2338"/>
      <c r="CB103" s="2338"/>
      <c r="CC103" s="2339"/>
      <c r="CD103" s="2337"/>
      <c r="CE103" s="2338"/>
      <c r="CF103" s="2338"/>
      <c r="CG103" s="2338"/>
      <c r="CH103" s="2338"/>
      <c r="CI103" s="2338"/>
      <c r="CJ103" s="2338"/>
      <c r="CK103" s="2338"/>
      <c r="CL103" s="2338"/>
      <c r="CM103" s="2338"/>
      <c r="CN103" s="3091" t="str">
        <f>BF103</f>
        <v>10'10"</v>
      </c>
      <c r="CO103" s="3091"/>
      <c r="CP103" s="3091"/>
      <c r="CQ103" s="3091"/>
      <c r="CR103" s="3091"/>
      <c r="CS103" s="3091"/>
      <c r="CT103" s="3091"/>
      <c r="CU103" s="3091"/>
      <c r="CV103" s="3091"/>
      <c r="CW103" s="3091"/>
      <c r="CX103" s="3091"/>
      <c r="CY103" s="3091"/>
      <c r="CZ103" s="3091"/>
      <c r="DA103" s="3091"/>
      <c r="DB103" s="2338"/>
      <c r="DC103" s="2338"/>
      <c r="DD103" s="2338"/>
      <c r="DE103" s="2338"/>
      <c r="DF103" s="2338"/>
      <c r="DG103" s="2338"/>
      <c r="DH103" s="2338"/>
      <c r="DI103" s="2338"/>
      <c r="DJ103" s="2338"/>
      <c r="DK103" s="2339"/>
      <c r="DL103" s="20"/>
      <c r="FE103" s="152"/>
      <c r="FF103" s="153"/>
      <c r="FH103" s="2537"/>
      <c r="FI103" s="2537"/>
      <c r="FJ103" s="2537"/>
      <c r="GP103" s="153"/>
      <c r="GS103" s="3099" t="s">
        <v>4140</v>
      </c>
      <c r="GT103" s="3100"/>
      <c r="GU103" s="3101"/>
      <c r="GV103" s="3093"/>
      <c r="GW103" s="2537"/>
      <c r="GX103" s="2537"/>
      <c r="GY103" s="3093"/>
      <c r="GZ103" s="2537"/>
      <c r="HA103" s="3097"/>
      <c r="HC103" s="2537"/>
      <c r="HD103" s="2537"/>
      <c r="HE103" s="2537"/>
      <c r="HF103" s="2537"/>
    </row>
    <row r="104" spans="3:214" ht="3.6" customHeight="1">
      <c r="J104" s="20"/>
      <c r="K104" s="20"/>
      <c r="L104" s="20"/>
      <c r="M104" s="20"/>
      <c r="N104" s="2327"/>
      <c r="O104" s="2340"/>
      <c r="P104" s="2340"/>
      <c r="Q104" s="2340"/>
      <c r="R104" s="2340"/>
      <c r="S104" s="2340"/>
      <c r="T104" s="2340"/>
      <c r="U104" s="2340"/>
      <c r="V104" s="2340"/>
      <c r="W104" s="3091"/>
      <c r="X104" s="3091"/>
      <c r="Y104" s="3091"/>
      <c r="Z104" s="3091"/>
      <c r="AA104" s="3091"/>
      <c r="AB104" s="3091"/>
      <c r="AC104" s="3091"/>
      <c r="AD104" s="3091"/>
      <c r="AE104" s="3091"/>
      <c r="AF104" s="3091"/>
      <c r="AG104" s="3091"/>
      <c r="AH104" s="3091"/>
      <c r="AI104" s="3091"/>
      <c r="AJ104" s="3091"/>
      <c r="AK104" s="2340"/>
      <c r="AL104" s="2340"/>
      <c r="AM104" s="2340"/>
      <c r="AN104" s="2340"/>
      <c r="AO104" s="2340"/>
      <c r="AP104" s="2340"/>
      <c r="AQ104" s="2340"/>
      <c r="AR104" s="2340"/>
      <c r="AS104" s="2340"/>
      <c r="AT104" s="2340"/>
      <c r="AU104" s="2329"/>
      <c r="AV104" s="2327"/>
      <c r="AW104" s="2340"/>
      <c r="AX104" s="2340"/>
      <c r="AY104" s="2340"/>
      <c r="AZ104" s="2340"/>
      <c r="BA104" s="2340"/>
      <c r="BB104" s="2340"/>
      <c r="BC104" s="2340"/>
      <c r="BD104" s="2340"/>
      <c r="BE104" s="2340"/>
      <c r="BF104" s="3091"/>
      <c r="BG104" s="3091"/>
      <c r="BH104" s="3091"/>
      <c r="BI104" s="3091"/>
      <c r="BJ104" s="3091"/>
      <c r="BK104" s="3091"/>
      <c r="BL104" s="3091"/>
      <c r="BM104" s="3091"/>
      <c r="BN104" s="3091"/>
      <c r="BO104" s="3091"/>
      <c r="BP104" s="3091"/>
      <c r="BQ104" s="3091"/>
      <c r="BR104" s="3091"/>
      <c r="BS104" s="3091"/>
      <c r="BT104" s="2340"/>
      <c r="BU104" s="2340"/>
      <c r="BV104" s="2340"/>
      <c r="BW104" s="2340"/>
      <c r="BX104" s="2340"/>
      <c r="BY104" s="2340"/>
      <c r="BZ104" s="2340"/>
      <c r="CA104" s="2340"/>
      <c r="CB104" s="2340"/>
      <c r="CC104" s="2329"/>
      <c r="CD104" s="2327"/>
      <c r="CE104" s="2340"/>
      <c r="CF104" s="2340"/>
      <c r="CG104" s="2340"/>
      <c r="CH104" s="2340"/>
      <c r="CI104" s="2340"/>
      <c r="CJ104" s="2340"/>
      <c r="CK104" s="2340"/>
      <c r="CL104" s="2340"/>
      <c r="CM104" s="2340"/>
      <c r="CN104" s="3091"/>
      <c r="CO104" s="3091"/>
      <c r="CP104" s="3091"/>
      <c r="CQ104" s="3091"/>
      <c r="CR104" s="3091"/>
      <c r="CS104" s="3091"/>
      <c r="CT104" s="3091"/>
      <c r="CU104" s="3091"/>
      <c r="CV104" s="3091"/>
      <c r="CW104" s="3091"/>
      <c r="CX104" s="3091"/>
      <c r="CY104" s="3091"/>
      <c r="CZ104" s="3091"/>
      <c r="DA104" s="3091"/>
      <c r="DB104" s="2340"/>
      <c r="DC104" s="2340"/>
      <c r="DD104" s="2340"/>
      <c r="DE104" s="2340"/>
      <c r="DF104" s="2340"/>
      <c r="DG104" s="2340"/>
      <c r="DH104" s="2340"/>
      <c r="DI104" s="2340"/>
      <c r="DJ104" s="2340"/>
      <c r="DK104" s="2329"/>
      <c r="DL104" s="2335"/>
      <c r="FE104" s="152"/>
      <c r="FF104" s="153"/>
      <c r="FH104" s="2537"/>
      <c r="FI104" s="2537"/>
      <c r="FJ104" s="2537"/>
      <c r="GP104" s="153"/>
      <c r="GS104" s="3102"/>
      <c r="GT104" s="3103"/>
      <c r="GU104" s="3104"/>
      <c r="GV104" s="3093"/>
      <c r="GW104" s="2537"/>
      <c r="GX104" s="2537"/>
      <c r="GY104" s="3093"/>
      <c r="GZ104" s="2537"/>
      <c r="HA104" s="3097"/>
      <c r="HC104" s="2537"/>
      <c r="HD104" s="2537"/>
      <c r="HE104" s="2537"/>
      <c r="HF104" s="2537"/>
    </row>
    <row r="105" spans="3:214" ht="3.6" customHeight="1">
      <c r="J105" s="20"/>
      <c r="K105" s="20"/>
      <c r="L105" s="20"/>
      <c r="M105" s="2330"/>
      <c r="N105" s="2324"/>
      <c r="O105" s="2338"/>
      <c r="P105" s="2338"/>
      <c r="Q105" s="2338"/>
      <c r="R105" s="2338"/>
      <c r="S105" s="2338"/>
      <c r="T105" s="2338"/>
      <c r="U105" s="2338"/>
      <c r="V105" s="2338"/>
      <c r="W105" s="3091"/>
      <c r="X105" s="3091"/>
      <c r="Y105" s="3091"/>
      <c r="Z105" s="3091"/>
      <c r="AA105" s="3091"/>
      <c r="AB105" s="3091"/>
      <c r="AC105" s="3091"/>
      <c r="AD105" s="3091"/>
      <c r="AE105" s="3091"/>
      <c r="AF105" s="3091"/>
      <c r="AG105" s="3091"/>
      <c r="AH105" s="3091"/>
      <c r="AI105" s="3091"/>
      <c r="AJ105" s="3091"/>
      <c r="AK105" s="2338"/>
      <c r="AL105" s="2338"/>
      <c r="AM105" s="2338"/>
      <c r="AN105" s="2338"/>
      <c r="AO105" s="2338"/>
      <c r="AP105" s="2338"/>
      <c r="AQ105" s="2338"/>
      <c r="AR105" s="2338"/>
      <c r="AS105" s="2338"/>
      <c r="AT105" s="2338"/>
      <c r="AU105" s="2331"/>
      <c r="AV105" s="20"/>
      <c r="AW105" s="2338"/>
      <c r="AX105" s="2338"/>
      <c r="AY105" s="2338"/>
      <c r="AZ105" s="2338"/>
      <c r="BA105" s="2338"/>
      <c r="BB105" s="2338"/>
      <c r="BC105" s="2338"/>
      <c r="BD105" s="2338"/>
      <c r="BE105" s="2338"/>
      <c r="BF105" s="3091"/>
      <c r="BG105" s="3091"/>
      <c r="BH105" s="3091"/>
      <c r="BI105" s="3091"/>
      <c r="BJ105" s="3091"/>
      <c r="BK105" s="3091"/>
      <c r="BL105" s="3091"/>
      <c r="BM105" s="3091"/>
      <c r="BN105" s="3091"/>
      <c r="BO105" s="3091"/>
      <c r="BP105" s="3091"/>
      <c r="BQ105" s="3091"/>
      <c r="BR105" s="3091"/>
      <c r="BS105" s="3091"/>
      <c r="BT105" s="2338"/>
      <c r="BU105" s="2338"/>
      <c r="BV105" s="2338"/>
      <c r="BW105" s="2338"/>
      <c r="BX105" s="2338"/>
      <c r="BY105" s="2338"/>
      <c r="BZ105" s="2338"/>
      <c r="CA105" s="2338"/>
      <c r="CB105" s="2338"/>
      <c r="CC105" s="2331"/>
      <c r="CD105" s="20"/>
      <c r="CE105" s="2338"/>
      <c r="CF105" s="2338"/>
      <c r="CG105" s="2338"/>
      <c r="CH105" s="2338"/>
      <c r="CI105" s="2338"/>
      <c r="CJ105" s="2338"/>
      <c r="CK105" s="2338"/>
      <c r="CL105" s="2338"/>
      <c r="CM105" s="2338"/>
      <c r="CN105" s="3091"/>
      <c r="CO105" s="3091"/>
      <c r="CP105" s="3091"/>
      <c r="CQ105" s="3091"/>
      <c r="CR105" s="3091"/>
      <c r="CS105" s="3091"/>
      <c r="CT105" s="3091"/>
      <c r="CU105" s="3091"/>
      <c r="CV105" s="3091"/>
      <c r="CW105" s="3091"/>
      <c r="CX105" s="3091"/>
      <c r="CY105" s="3091"/>
      <c r="CZ105" s="3091"/>
      <c r="DA105" s="3091"/>
      <c r="DB105" s="2338"/>
      <c r="DC105" s="2338"/>
      <c r="DD105" s="2338"/>
      <c r="DE105" s="2338"/>
      <c r="DF105" s="2338"/>
      <c r="DG105" s="2338"/>
      <c r="DH105" s="2338"/>
      <c r="DI105" s="2338"/>
      <c r="DJ105" s="2338"/>
      <c r="DK105" s="2331"/>
      <c r="DL105" s="20"/>
      <c r="FE105" s="152"/>
      <c r="FF105" s="153"/>
      <c r="FH105" s="2537"/>
      <c r="FI105" s="2537"/>
      <c r="FJ105" s="2537"/>
      <c r="GP105" s="3092">
        <v>0.5</v>
      </c>
      <c r="GQ105" s="2536"/>
      <c r="GR105" s="3096"/>
      <c r="GS105" s="3102"/>
      <c r="GT105" s="3103"/>
      <c r="GU105" s="3104"/>
      <c r="GV105" s="3093"/>
      <c r="GW105" s="2537"/>
      <c r="GX105" s="2537"/>
      <c r="GY105" s="3093"/>
      <c r="GZ105" s="2537"/>
      <c r="HA105" s="3097"/>
      <c r="HC105" s="2537"/>
      <c r="HD105" s="2537"/>
      <c r="HE105" s="2537"/>
      <c r="HF105" s="2537"/>
    </row>
    <row r="106" spans="3:214" ht="3.6" customHeight="1">
      <c r="FE106" s="152"/>
      <c r="FF106" s="153"/>
      <c r="FH106" s="2537"/>
      <c r="FI106" s="2537"/>
      <c r="FJ106" s="2537"/>
      <c r="GP106" s="3093"/>
      <c r="GQ106" s="2537"/>
      <c r="GR106" s="3097"/>
      <c r="GS106" s="3102"/>
      <c r="GT106" s="3103"/>
      <c r="GU106" s="3104"/>
      <c r="GV106" s="3093"/>
      <c r="GW106" s="2537"/>
      <c r="GX106" s="2537"/>
      <c r="GY106" s="3093"/>
      <c r="GZ106" s="2537"/>
      <c r="HA106" s="3097"/>
      <c r="HC106" s="2537"/>
      <c r="HD106" s="2537"/>
      <c r="HE106" s="2537"/>
      <c r="HF106" s="2537"/>
    </row>
    <row r="107" spans="3:214" ht="3.6" customHeight="1">
      <c r="DW107" s="615"/>
      <c r="EU107" s="147"/>
      <c r="FE107" s="2341"/>
      <c r="FF107" s="153"/>
      <c r="FH107" s="3095"/>
      <c r="FI107" s="3095"/>
      <c r="FJ107" s="3095"/>
      <c r="GG107" s="148"/>
      <c r="GH107" s="150"/>
      <c r="GI107" s="151"/>
      <c r="GJ107" s="151"/>
      <c r="GK107" s="3108" t="s">
        <v>4141</v>
      </c>
      <c r="GL107" s="3109"/>
      <c r="GM107" s="3109"/>
      <c r="GN107" s="3109"/>
      <c r="GO107" s="3110"/>
      <c r="GP107" s="3093"/>
      <c r="GQ107" s="2537"/>
      <c r="GR107" s="3097"/>
      <c r="GS107" s="3102"/>
      <c r="GT107" s="3103"/>
      <c r="GU107" s="3104"/>
      <c r="GV107" s="3093"/>
      <c r="GW107" s="2537"/>
      <c r="GX107" s="2537"/>
      <c r="GY107" s="3093"/>
      <c r="GZ107" s="2537"/>
      <c r="HA107" s="3097"/>
      <c r="HC107" s="2537"/>
      <c r="HD107" s="2537"/>
      <c r="HE107" s="2537"/>
      <c r="HF107" s="2537"/>
    </row>
    <row r="108" spans="3:214" ht="3.6" customHeight="1" thickBot="1">
      <c r="M108" s="3127"/>
      <c r="N108" s="157"/>
      <c r="O108" s="151"/>
      <c r="P108" s="151"/>
      <c r="Q108" s="151"/>
      <c r="R108" s="151"/>
      <c r="S108" s="151"/>
      <c r="T108" s="151"/>
      <c r="U108" s="151"/>
      <c r="V108" s="151"/>
      <c r="W108" s="151"/>
      <c r="X108" s="366"/>
      <c r="Y108" s="367"/>
      <c r="Z108" s="367"/>
      <c r="AA108" s="367"/>
      <c r="AB108" s="367"/>
      <c r="AC108" s="367"/>
      <c r="AD108" s="367"/>
      <c r="AE108" s="367"/>
      <c r="AF108" s="367"/>
      <c r="AG108" s="367"/>
      <c r="AH108" s="367"/>
      <c r="AI108" s="367"/>
      <c r="AJ108" s="367"/>
      <c r="AK108" s="368"/>
      <c r="AL108" s="151"/>
      <c r="AM108" s="151"/>
      <c r="AN108" s="151"/>
      <c r="AO108" s="151"/>
      <c r="AP108" s="151"/>
      <c r="AQ108" s="151"/>
      <c r="AR108" s="151"/>
      <c r="AS108" s="151"/>
      <c r="AT108" s="151"/>
      <c r="AU108" s="3127"/>
      <c r="AV108" s="157"/>
      <c r="AW108" s="151"/>
      <c r="AX108" s="151"/>
      <c r="AY108" s="151"/>
      <c r="AZ108" s="151"/>
      <c r="BA108" s="151"/>
      <c r="BB108" s="151"/>
      <c r="BC108" s="151"/>
      <c r="BD108" s="151"/>
      <c r="BE108" s="151"/>
      <c r="BF108" s="366"/>
      <c r="BG108" s="367"/>
      <c r="BH108" s="367"/>
      <c r="BI108" s="367"/>
      <c r="BJ108" s="367"/>
      <c r="BK108" s="367"/>
      <c r="BL108" s="367"/>
      <c r="BM108" s="367"/>
      <c r="BN108" s="367"/>
      <c r="BO108" s="367"/>
      <c r="BP108" s="367"/>
      <c r="BQ108" s="367"/>
      <c r="BR108" s="367"/>
      <c r="BS108" s="368"/>
      <c r="BT108" s="151"/>
      <c r="BU108" s="151"/>
      <c r="BV108" s="151"/>
      <c r="BW108" s="151"/>
      <c r="BX108" s="151"/>
      <c r="BY108" s="151"/>
      <c r="BZ108" s="151"/>
      <c r="CA108" s="151"/>
      <c r="CB108" s="151"/>
      <c r="CC108" s="3127"/>
      <c r="CD108" s="157"/>
      <c r="CE108" s="151"/>
      <c r="CF108" s="151"/>
      <c r="CG108" s="151"/>
      <c r="CH108" s="151"/>
      <c r="CI108" s="151"/>
      <c r="CJ108" s="151"/>
      <c r="CK108" s="151"/>
      <c r="CL108" s="151"/>
      <c r="CM108" s="151"/>
      <c r="CN108" s="366"/>
      <c r="CO108" s="367"/>
      <c r="CP108" s="367"/>
      <c r="CQ108" s="367"/>
      <c r="CR108" s="367"/>
      <c r="CS108" s="367"/>
      <c r="CT108" s="367"/>
      <c r="CU108" s="367"/>
      <c r="CV108" s="367"/>
      <c r="CW108" s="367"/>
      <c r="CX108" s="367"/>
      <c r="CY108" s="367"/>
      <c r="CZ108" s="367"/>
      <c r="DA108" s="368"/>
      <c r="DB108" s="151"/>
      <c r="DC108" s="151"/>
      <c r="DD108" s="151"/>
      <c r="DE108" s="151"/>
      <c r="DF108" s="151"/>
      <c r="DG108" s="151"/>
      <c r="DH108" s="151"/>
      <c r="DI108" s="151"/>
      <c r="DJ108" s="151"/>
      <c r="DK108" s="3127"/>
      <c r="DL108" s="157"/>
      <c r="DO108" s="615"/>
      <c r="DS108" s="615"/>
      <c r="DV108" s="363"/>
      <c r="DW108" s="150"/>
      <c r="DX108" s="151"/>
      <c r="EU108" s="152"/>
      <c r="EV108" s="144"/>
      <c r="EW108" s="144"/>
      <c r="EX108" s="144"/>
      <c r="EY108" s="151"/>
      <c r="EZ108" s="151"/>
      <c r="FA108" s="151"/>
      <c r="FB108" s="151"/>
      <c r="FC108" s="151"/>
      <c r="FD108" s="144"/>
      <c r="FE108" s="149"/>
      <c r="FF108" s="366"/>
      <c r="FG108" s="367"/>
      <c r="FH108" s="367"/>
      <c r="FI108" s="367"/>
      <c r="FJ108" s="367"/>
      <c r="FK108" s="367"/>
      <c r="FL108" s="367"/>
      <c r="FM108" s="367"/>
      <c r="FN108" s="367"/>
      <c r="FO108" s="367"/>
      <c r="FP108" s="367"/>
      <c r="FQ108" s="367"/>
      <c r="FR108" s="367"/>
      <c r="FS108" s="367"/>
      <c r="FT108" s="367"/>
      <c r="FU108" s="367"/>
      <c r="FV108" s="367"/>
      <c r="FW108" s="367"/>
      <c r="FX108" s="367"/>
      <c r="FY108" s="367"/>
      <c r="FZ108" s="367"/>
      <c r="GA108" s="367"/>
      <c r="GB108" s="367"/>
      <c r="GC108" s="367"/>
      <c r="GD108" s="367"/>
      <c r="GE108" s="367"/>
      <c r="GF108" s="367"/>
      <c r="GG108" s="145"/>
      <c r="GH108" s="148"/>
      <c r="GI108" s="144"/>
      <c r="GJ108" s="144"/>
      <c r="GK108" s="3111"/>
      <c r="GL108" s="3112"/>
      <c r="GM108" s="3112"/>
      <c r="GN108" s="3112"/>
      <c r="GO108" s="3113"/>
      <c r="GP108" s="3093"/>
      <c r="GQ108" s="2537"/>
      <c r="GR108" s="3097"/>
      <c r="GS108" s="3102"/>
      <c r="GT108" s="3103"/>
      <c r="GU108" s="3104"/>
      <c r="GV108" s="3093"/>
      <c r="GW108" s="2537"/>
      <c r="GX108" s="2537"/>
      <c r="GY108" s="3093"/>
      <c r="GZ108" s="2537"/>
      <c r="HA108" s="3097"/>
      <c r="HC108" s="2537"/>
      <c r="HD108" s="2537"/>
      <c r="HE108" s="2537"/>
      <c r="HF108" s="2537"/>
    </row>
    <row r="109" spans="3:214" ht="3.6" customHeight="1" thickTop="1">
      <c r="C109" s="625"/>
      <c r="D109" s="625"/>
      <c r="E109" s="625"/>
      <c r="F109" s="625"/>
      <c r="M109" s="3127"/>
      <c r="N109" s="157"/>
      <c r="O109" s="41"/>
      <c r="P109" s="41"/>
      <c r="Q109" s="41"/>
      <c r="R109" s="41"/>
      <c r="S109" s="41"/>
      <c r="T109" s="41"/>
      <c r="U109" s="41"/>
      <c r="V109" s="41"/>
      <c r="W109" s="41"/>
      <c r="X109" s="156"/>
      <c r="Y109" s="41"/>
      <c r="Z109" s="41"/>
      <c r="AA109" s="41"/>
      <c r="AB109" s="41"/>
      <c r="AC109" s="41"/>
      <c r="AD109" s="41"/>
      <c r="AE109" s="41"/>
      <c r="AF109" s="41"/>
      <c r="AG109" s="41"/>
      <c r="AH109" s="41"/>
      <c r="AI109" s="41"/>
      <c r="AJ109" s="41"/>
      <c r="AK109" s="159"/>
      <c r="AL109" s="41"/>
      <c r="AM109" s="41"/>
      <c r="AN109" s="41"/>
      <c r="AO109" s="41"/>
      <c r="AP109" s="41"/>
      <c r="AQ109" s="41"/>
      <c r="AR109" s="41"/>
      <c r="AS109" s="41"/>
      <c r="AT109" s="41"/>
      <c r="AU109" s="3127"/>
      <c r="AV109" s="157"/>
      <c r="AW109" s="41"/>
      <c r="AX109" s="41"/>
      <c r="AY109" s="41"/>
      <c r="AZ109" s="41"/>
      <c r="BA109" s="41"/>
      <c r="BB109" s="41"/>
      <c r="BC109" s="41"/>
      <c r="BD109" s="41"/>
      <c r="BE109" s="41"/>
      <c r="BF109" s="156"/>
      <c r="BG109" s="41"/>
      <c r="BH109" s="41"/>
      <c r="BI109" s="41"/>
      <c r="BJ109" s="41"/>
      <c r="BK109" s="41"/>
      <c r="BL109" s="41"/>
      <c r="BM109" s="41"/>
      <c r="BN109" s="41"/>
      <c r="BO109" s="41"/>
      <c r="BP109" s="41"/>
      <c r="BQ109" s="41"/>
      <c r="BR109" s="41"/>
      <c r="BS109" s="159"/>
      <c r="BT109" s="41"/>
      <c r="BU109" s="41"/>
      <c r="BV109" s="41"/>
      <c r="BW109" s="41"/>
      <c r="BX109" s="41"/>
      <c r="BY109" s="41"/>
      <c r="BZ109" s="41"/>
      <c r="CA109" s="41"/>
      <c r="CB109" s="41"/>
      <c r="CC109" s="3127"/>
      <c r="CD109" s="157"/>
      <c r="CE109" s="41"/>
      <c r="CF109" s="41"/>
      <c r="CG109" s="41"/>
      <c r="CH109" s="41"/>
      <c r="CI109" s="41"/>
      <c r="CJ109" s="41"/>
      <c r="CK109" s="41"/>
      <c r="CL109" s="41"/>
      <c r="CM109" s="41"/>
      <c r="CN109" s="156"/>
      <c r="CO109" s="41"/>
      <c r="CP109" s="41"/>
      <c r="CQ109" s="41"/>
      <c r="CR109" s="41"/>
      <c r="CS109" s="41"/>
      <c r="CT109" s="41"/>
      <c r="CU109" s="41"/>
      <c r="CV109" s="41"/>
      <c r="CW109" s="41"/>
      <c r="CX109" s="41"/>
      <c r="CY109" s="41"/>
      <c r="CZ109" s="41"/>
      <c r="DA109" s="159"/>
      <c r="DB109" s="41"/>
      <c r="DC109" s="41"/>
      <c r="DD109" s="41"/>
      <c r="DE109" s="41"/>
      <c r="DF109" s="41"/>
      <c r="DG109" s="41"/>
      <c r="DH109" s="41"/>
      <c r="DI109" s="41"/>
      <c r="DJ109" s="41"/>
      <c r="DK109" s="3127"/>
      <c r="DL109" s="157"/>
      <c r="DN109" s="363"/>
      <c r="DO109" s="150"/>
      <c r="DP109" s="151"/>
      <c r="DR109" s="363"/>
      <c r="DS109" s="150"/>
      <c r="DT109" s="151"/>
      <c r="DW109" s="153"/>
      <c r="EU109" s="152"/>
      <c r="EV109" s="626"/>
      <c r="EW109" s="626"/>
      <c r="EX109" s="626"/>
      <c r="EY109" s="41"/>
      <c r="EZ109" s="41"/>
      <c r="FA109" s="41"/>
      <c r="FB109" s="41"/>
      <c r="FC109" s="41"/>
      <c r="FD109" s="626"/>
      <c r="FE109" s="371"/>
      <c r="FF109" s="156"/>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1"/>
      <c r="GC109" s="41"/>
      <c r="GD109" s="41"/>
      <c r="GE109" s="41"/>
      <c r="GF109" s="41"/>
      <c r="GG109" s="145"/>
      <c r="GH109" s="370"/>
      <c r="GI109" s="626"/>
      <c r="GJ109" s="626"/>
      <c r="GK109" s="3111"/>
      <c r="GL109" s="3112"/>
      <c r="GM109" s="3112"/>
      <c r="GN109" s="3112"/>
      <c r="GO109" s="3113"/>
      <c r="GP109" s="3093"/>
      <c r="GQ109" s="2537"/>
      <c r="GR109" s="3097"/>
      <c r="GS109" s="3102"/>
      <c r="GT109" s="3103"/>
      <c r="GU109" s="3104"/>
      <c r="GV109" s="3093"/>
      <c r="GW109" s="2537"/>
      <c r="GX109" s="2537"/>
      <c r="GY109" s="3093"/>
      <c r="GZ109" s="2537"/>
      <c r="HA109" s="3097"/>
      <c r="HC109" s="2537"/>
      <c r="HD109" s="2537"/>
      <c r="HE109" s="2537"/>
      <c r="HF109" s="2537"/>
    </row>
    <row r="110" spans="3:214" ht="3.6" customHeight="1">
      <c r="C110" s="625"/>
      <c r="D110" s="625"/>
      <c r="E110" s="625"/>
      <c r="F110" s="625"/>
      <c r="M110" s="3127"/>
      <c r="N110" s="157"/>
      <c r="AU110" s="3127"/>
      <c r="AV110" s="157"/>
      <c r="CC110" s="3127"/>
      <c r="CD110" s="157"/>
      <c r="DK110" s="3127"/>
      <c r="DL110" s="157"/>
      <c r="DO110" s="153"/>
      <c r="DS110" s="153"/>
      <c r="DW110" s="153"/>
      <c r="EU110" s="152"/>
      <c r="GG110" s="370"/>
      <c r="GH110" s="156"/>
      <c r="GI110" s="41"/>
      <c r="GJ110" s="41"/>
      <c r="GK110" s="3114"/>
      <c r="GL110" s="3115"/>
      <c r="GM110" s="3115"/>
      <c r="GN110" s="3115"/>
      <c r="GO110" s="3116"/>
      <c r="GP110" s="3093"/>
      <c r="GQ110" s="2537"/>
      <c r="GR110" s="3097"/>
      <c r="GS110" s="3102"/>
      <c r="GT110" s="3103"/>
      <c r="GU110" s="3104"/>
      <c r="GV110" s="3093"/>
      <c r="GW110" s="2537"/>
      <c r="GX110" s="2537"/>
      <c r="GY110" s="3093"/>
      <c r="GZ110" s="2537"/>
      <c r="HA110" s="3097"/>
      <c r="HC110" s="2537"/>
      <c r="HD110" s="2537"/>
      <c r="HE110" s="2537"/>
      <c r="HF110" s="2537"/>
    </row>
    <row r="111" spans="3:214" ht="3.6" customHeight="1">
      <c r="C111" s="625"/>
      <c r="D111" s="625"/>
      <c r="E111" s="625"/>
      <c r="F111" s="625"/>
      <c r="M111" s="153"/>
      <c r="N111" s="154"/>
      <c r="AU111" s="364"/>
      <c r="AV111" s="365"/>
      <c r="CC111" s="364"/>
      <c r="CD111" s="365"/>
      <c r="DK111" s="153"/>
      <c r="DL111" s="154"/>
      <c r="DO111" s="153"/>
      <c r="DS111" s="153"/>
      <c r="DW111" s="153"/>
      <c r="EU111" s="152"/>
      <c r="GG111" s="157"/>
      <c r="GP111" s="3093"/>
      <c r="GQ111" s="2537"/>
      <c r="GR111" s="3097"/>
      <c r="GS111" s="3102"/>
      <c r="GT111" s="3103"/>
      <c r="GU111" s="3104"/>
      <c r="GV111" s="3093"/>
      <c r="GW111" s="2537"/>
      <c r="GX111" s="2537"/>
      <c r="GY111" s="3093"/>
      <c r="GZ111" s="2537"/>
      <c r="HA111" s="3097"/>
      <c r="HC111" s="2537"/>
      <c r="HD111" s="2537"/>
      <c r="HE111" s="2537"/>
      <c r="HF111" s="2537"/>
    </row>
    <row r="112" spans="3:214" ht="3.6" customHeight="1">
      <c r="C112" s="625"/>
      <c r="D112" s="625"/>
      <c r="E112" s="625"/>
      <c r="F112" s="625"/>
      <c r="M112" s="153"/>
      <c r="N112" s="154"/>
      <c r="AU112" s="364"/>
      <c r="AV112" s="365"/>
      <c r="CC112" s="364"/>
      <c r="CD112" s="365"/>
      <c r="DK112" s="631"/>
      <c r="DL112" s="632"/>
      <c r="DM112" s="625"/>
      <c r="DN112" s="625"/>
      <c r="DO112" s="153"/>
      <c r="DS112" s="153"/>
      <c r="DW112" s="153"/>
      <c r="EU112" s="152"/>
      <c r="GG112" s="157"/>
      <c r="GP112" s="3094"/>
      <c r="GQ112" s="3095"/>
      <c r="GR112" s="3098"/>
      <c r="GS112" s="3102"/>
      <c r="GT112" s="3103"/>
      <c r="GU112" s="3104"/>
      <c r="GV112" s="3093"/>
      <c r="GW112" s="2537"/>
      <c r="GX112" s="2537"/>
      <c r="GY112" s="3093"/>
      <c r="GZ112" s="2537"/>
      <c r="HA112" s="3097"/>
      <c r="HC112" s="2537"/>
      <c r="HD112" s="2537"/>
      <c r="HE112" s="2537"/>
      <c r="HF112" s="2537"/>
    </row>
    <row r="113" spans="3:214" ht="3.6" customHeight="1">
      <c r="C113" s="625"/>
      <c r="D113" s="625"/>
      <c r="E113" s="625"/>
      <c r="F113" s="625"/>
      <c r="M113" s="153"/>
      <c r="N113" s="154"/>
      <c r="AU113" s="364"/>
      <c r="AV113" s="365"/>
      <c r="CC113" s="364"/>
      <c r="CD113" s="365"/>
      <c r="DK113" s="631"/>
      <c r="DL113" s="632"/>
      <c r="DM113" s="625"/>
      <c r="DN113" s="625"/>
      <c r="DO113" s="153"/>
      <c r="DS113" s="153"/>
      <c r="DW113" s="153"/>
      <c r="EU113" s="152"/>
      <c r="GG113" s="157"/>
      <c r="GP113" s="153"/>
      <c r="GS113" s="3102"/>
      <c r="GT113" s="3103"/>
      <c r="GU113" s="3104"/>
      <c r="GV113" s="3093"/>
      <c r="GW113" s="2537"/>
      <c r="GX113" s="2537"/>
      <c r="GY113" s="3093"/>
      <c r="GZ113" s="2537"/>
      <c r="HA113" s="3097"/>
      <c r="HC113" s="2537"/>
      <c r="HD113" s="2537"/>
      <c r="HE113" s="2537"/>
      <c r="HF113" s="2537"/>
    </row>
    <row r="114" spans="3:214" ht="3.6" customHeight="1">
      <c r="C114" s="625"/>
      <c r="D114" s="625"/>
      <c r="E114" s="625"/>
      <c r="F114" s="625"/>
      <c r="M114" s="153"/>
      <c r="N114" s="154"/>
      <c r="AU114" s="364"/>
      <c r="AV114" s="365"/>
      <c r="CC114" s="364"/>
      <c r="CD114" s="365"/>
      <c r="DK114" s="631"/>
      <c r="DL114" s="632"/>
      <c r="DM114" s="625"/>
      <c r="DN114" s="625"/>
      <c r="DO114" s="153"/>
      <c r="DS114" s="153"/>
      <c r="DW114" s="153"/>
      <c r="EU114" s="152"/>
      <c r="GG114" s="157"/>
      <c r="GP114" s="153"/>
      <c r="GS114" s="3105"/>
      <c r="GT114" s="3106"/>
      <c r="GU114" s="3107"/>
      <c r="GV114" s="3093"/>
      <c r="GW114" s="2537"/>
      <c r="GX114" s="2537"/>
      <c r="GY114" s="3093"/>
      <c r="GZ114" s="2537"/>
      <c r="HA114" s="3097"/>
      <c r="HC114" s="2537"/>
      <c r="HD114" s="2537"/>
      <c r="HE114" s="2537"/>
      <c r="HF114" s="2537"/>
    </row>
    <row r="115" spans="3:214" ht="3.6" customHeight="1">
      <c r="C115" s="625"/>
      <c r="D115" s="625"/>
      <c r="E115" s="625"/>
      <c r="F115" s="625"/>
      <c r="I115" s="140"/>
      <c r="J115" s="140"/>
      <c r="K115" s="140"/>
      <c r="M115" s="153"/>
      <c r="N115" s="154"/>
      <c r="AU115" s="364"/>
      <c r="AV115" s="365"/>
      <c r="CC115" s="364"/>
      <c r="CD115" s="365"/>
      <c r="DK115" s="631"/>
      <c r="DL115" s="632"/>
      <c r="DM115" s="625"/>
      <c r="DN115" s="625"/>
      <c r="DO115" s="153"/>
      <c r="DS115" s="153"/>
      <c r="DW115" s="153"/>
      <c r="EU115" s="152"/>
      <c r="GG115" s="157"/>
      <c r="GP115" s="153"/>
      <c r="GS115" s="153"/>
      <c r="GU115" s="154"/>
      <c r="GV115" s="3093"/>
      <c r="GW115" s="2537"/>
      <c r="GX115" s="2537"/>
      <c r="GY115" s="3093"/>
      <c r="GZ115" s="2537"/>
      <c r="HA115" s="3097"/>
      <c r="HC115" s="2537"/>
      <c r="HD115" s="2537"/>
      <c r="HE115" s="2537"/>
      <c r="HF115" s="2537"/>
    </row>
    <row r="116" spans="3:214" ht="3.6" customHeight="1">
      <c r="C116" s="625"/>
      <c r="D116" s="625"/>
      <c r="E116" s="625"/>
      <c r="F116" s="625"/>
      <c r="I116" s="140"/>
      <c r="J116" s="140"/>
      <c r="K116" s="140"/>
      <c r="M116" s="153"/>
      <c r="N116" s="154"/>
      <c r="AU116" s="364"/>
      <c r="AV116" s="365"/>
      <c r="CC116" s="364"/>
      <c r="CD116" s="365"/>
      <c r="DK116" s="631"/>
      <c r="DL116" s="632"/>
      <c r="DM116" s="625"/>
      <c r="DN116" s="625"/>
      <c r="DO116" s="153"/>
      <c r="DS116" s="153"/>
      <c r="DV116" s="625"/>
      <c r="DW116" s="631"/>
      <c r="DX116" s="625"/>
      <c r="DY116" s="625"/>
      <c r="DZ116" s="625"/>
      <c r="EA116" s="625"/>
      <c r="EB116" s="625"/>
      <c r="EU116" s="152"/>
      <c r="GG116" s="157"/>
      <c r="GP116" s="153"/>
      <c r="GS116" s="153"/>
      <c r="GU116" s="154"/>
      <c r="GV116" s="3093"/>
      <c r="GW116" s="2537"/>
      <c r="GX116" s="2537"/>
      <c r="GY116" s="3093"/>
      <c r="GZ116" s="2537"/>
      <c r="HA116" s="3097"/>
      <c r="HC116" s="2537"/>
      <c r="HD116" s="2537"/>
      <c r="HE116" s="2537"/>
      <c r="HF116" s="2537"/>
    </row>
    <row r="117" spans="3:214" ht="3.6" customHeight="1">
      <c r="C117" s="625"/>
      <c r="D117" s="625"/>
      <c r="E117" s="625"/>
      <c r="F117" s="625"/>
      <c r="I117" s="140"/>
      <c r="J117" s="140"/>
      <c r="K117" s="140"/>
      <c r="M117" s="153"/>
      <c r="N117" s="154"/>
      <c r="AE117" s="142"/>
      <c r="AF117" s="142"/>
      <c r="AG117" s="142"/>
      <c r="AH117" s="143"/>
      <c r="AI117" s="143"/>
      <c r="AJ117" s="143"/>
      <c r="AK117" s="143"/>
      <c r="AL117" s="143"/>
      <c r="AM117" s="143"/>
      <c r="AN117" s="143"/>
      <c r="AO117" s="143"/>
      <c r="AP117" s="143"/>
      <c r="AQ117" s="143"/>
      <c r="AU117" s="364"/>
      <c r="AV117" s="365"/>
      <c r="CC117" s="364"/>
      <c r="CD117" s="365"/>
      <c r="DK117" s="631"/>
      <c r="DL117" s="632"/>
      <c r="DM117" s="625"/>
      <c r="DN117" s="625"/>
      <c r="DO117" s="153"/>
      <c r="DS117" s="153"/>
      <c r="DV117" s="625"/>
      <c r="DW117" s="631"/>
      <c r="DX117" s="625"/>
      <c r="DY117" s="625"/>
      <c r="DZ117" s="625"/>
      <c r="EA117" s="625"/>
      <c r="EB117" s="625"/>
      <c r="EU117" s="152"/>
      <c r="GG117" s="157"/>
      <c r="GP117" s="153"/>
      <c r="GU117" s="154"/>
      <c r="GV117" s="3093"/>
      <c r="GW117" s="2537"/>
      <c r="GX117" s="2537"/>
      <c r="GY117" s="3093"/>
      <c r="GZ117" s="2537"/>
      <c r="HA117" s="3097"/>
      <c r="HC117" s="2537"/>
      <c r="HD117" s="2537"/>
      <c r="HE117" s="2537"/>
      <c r="HF117" s="2537"/>
    </row>
    <row r="118" spans="3:214" ht="3.6" customHeight="1">
      <c r="C118" s="625"/>
      <c r="D118" s="625"/>
      <c r="E118" s="625"/>
      <c r="F118" s="625"/>
      <c r="I118" s="140"/>
      <c r="J118" s="140"/>
      <c r="K118" s="140"/>
      <c r="M118" s="153"/>
      <c r="N118" s="154"/>
      <c r="Q118" s="575"/>
      <c r="R118" s="575"/>
      <c r="S118" s="575"/>
      <c r="T118" s="575"/>
      <c r="U118" s="575"/>
      <c r="V118" s="575"/>
      <c r="W118" s="575"/>
      <c r="X118" s="575"/>
      <c r="Y118" s="575"/>
      <c r="Z118" s="575"/>
      <c r="AE118" s="142"/>
      <c r="AF118" s="142"/>
      <c r="AG118" s="142"/>
      <c r="AH118" s="143"/>
      <c r="AI118" s="143"/>
      <c r="AJ118" s="143"/>
      <c r="AK118" s="143"/>
      <c r="AL118" s="143"/>
      <c r="AM118" s="143"/>
      <c r="AN118" s="143"/>
      <c r="AO118" s="143"/>
      <c r="AP118" s="143"/>
      <c r="AQ118" s="143"/>
      <c r="AU118" s="364"/>
      <c r="AV118" s="365"/>
      <c r="AY118" s="2538" t="s">
        <v>4147</v>
      </c>
      <c r="AZ118" s="2538"/>
      <c r="BA118" s="2538"/>
      <c r="BB118" s="2538"/>
      <c r="BC118" s="2538"/>
      <c r="BD118" s="2538"/>
      <c r="BE118" s="2538"/>
      <c r="BF118" s="2538"/>
      <c r="BG118" s="2538"/>
      <c r="BH118" s="2538"/>
      <c r="BI118" s="2538"/>
      <c r="BJ118" s="2538"/>
      <c r="BK118" s="2538"/>
      <c r="BL118" s="2538"/>
      <c r="BM118" s="2538"/>
      <c r="BN118" s="2538"/>
      <c r="BO118" s="2538"/>
      <c r="BP118" s="2538"/>
      <c r="BQ118" s="2538"/>
      <c r="BR118" s="2538"/>
      <c r="BS118" s="2538"/>
      <c r="BT118" s="2538"/>
      <c r="BU118" s="2538"/>
      <c r="BV118" s="2538"/>
      <c r="BW118" s="2538"/>
      <c r="BX118" s="2538"/>
      <c r="CC118" s="364"/>
      <c r="CD118" s="365"/>
      <c r="DK118" s="631"/>
      <c r="DL118" s="632"/>
      <c r="DM118" s="625"/>
      <c r="DN118" s="625"/>
      <c r="DO118" s="153"/>
      <c r="DS118" s="153"/>
      <c r="DV118" s="625"/>
      <c r="DW118" s="631"/>
      <c r="DX118" s="625"/>
      <c r="DY118" s="625"/>
      <c r="DZ118" s="625"/>
      <c r="EA118" s="625"/>
      <c r="EB118" s="625"/>
      <c r="EU118" s="152"/>
      <c r="GG118" s="157"/>
      <c r="GP118" s="156"/>
      <c r="GQ118" s="41"/>
      <c r="GR118" s="41"/>
      <c r="GS118" s="41"/>
      <c r="GT118" s="41"/>
      <c r="GU118" s="159"/>
      <c r="GV118" s="3094"/>
      <c r="GW118" s="3095"/>
      <c r="GX118" s="3095"/>
      <c r="GY118" s="3094"/>
      <c r="GZ118" s="3095"/>
      <c r="HA118" s="3098"/>
      <c r="HC118" s="3095"/>
      <c r="HD118" s="3095"/>
      <c r="HE118" s="3095"/>
      <c r="HF118" s="3095"/>
    </row>
    <row r="119" spans="3:214" ht="3.6" customHeight="1">
      <c r="M119" s="153"/>
      <c r="N119" s="154"/>
      <c r="Q119" s="575"/>
      <c r="R119" s="575"/>
      <c r="S119" s="575"/>
      <c r="T119" s="2342"/>
      <c r="U119" s="2342"/>
      <c r="V119" s="2342"/>
      <c r="W119" s="2342"/>
      <c r="X119" s="2342"/>
      <c r="Y119" s="2342"/>
      <c r="Z119" s="2342"/>
      <c r="AA119" s="20"/>
      <c r="AB119" s="2343"/>
      <c r="AC119" s="2343"/>
      <c r="AD119" s="2343"/>
      <c r="AE119" s="2343"/>
      <c r="AF119" s="2343"/>
      <c r="AG119" s="2343"/>
      <c r="AH119" s="2343"/>
      <c r="AI119" s="20"/>
      <c r="AJ119" s="20"/>
      <c r="AK119" s="20"/>
      <c r="AL119" s="20"/>
      <c r="AM119" s="20"/>
      <c r="AN119" s="20"/>
      <c r="AO119" s="20"/>
      <c r="AP119" s="20"/>
      <c r="AQ119" s="20"/>
      <c r="AR119" s="20"/>
      <c r="AS119" s="20"/>
      <c r="AT119" s="20"/>
      <c r="AU119" s="2344"/>
      <c r="AV119" s="2345"/>
      <c r="AW119" s="20"/>
      <c r="AX119" s="20"/>
      <c r="AY119" s="2538"/>
      <c r="AZ119" s="2538"/>
      <c r="BA119" s="2538"/>
      <c r="BB119" s="2538"/>
      <c r="BC119" s="2538"/>
      <c r="BD119" s="2538"/>
      <c r="BE119" s="2538"/>
      <c r="BF119" s="2538"/>
      <c r="BG119" s="2538"/>
      <c r="BH119" s="2538"/>
      <c r="BI119" s="2538"/>
      <c r="BJ119" s="2538"/>
      <c r="BK119" s="2538"/>
      <c r="BL119" s="2538"/>
      <c r="BM119" s="2538"/>
      <c r="BN119" s="2538"/>
      <c r="BO119" s="2538"/>
      <c r="BP119" s="2538"/>
      <c r="BQ119" s="2538"/>
      <c r="BR119" s="2538"/>
      <c r="BS119" s="2538"/>
      <c r="BT119" s="2538"/>
      <c r="BU119" s="2538"/>
      <c r="BV119" s="2538"/>
      <c r="BW119" s="2538"/>
      <c r="BX119" s="2538"/>
      <c r="BY119" s="140"/>
      <c r="BZ119" s="140"/>
      <c r="CA119" s="140"/>
      <c r="CC119" s="364"/>
      <c r="CD119" s="365"/>
      <c r="DK119" s="631"/>
      <c r="DL119" s="632"/>
      <c r="DM119" s="625"/>
      <c r="DN119" s="625"/>
      <c r="DO119" s="153"/>
      <c r="DS119" s="153"/>
      <c r="DV119" s="625"/>
      <c r="DW119" s="631"/>
      <c r="DX119" s="625"/>
      <c r="DY119" s="625"/>
      <c r="DZ119" s="625"/>
      <c r="EA119" s="625"/>
      <c r="EB119" s="625"/>
      <c r="EU119" s="152"/>
      <c r="GG119" s="157"/>
      <c r="GP119" s="153"/>
      <c r="GU119" s="142"/>
    </row>
    <row r="120" spans="3:214" ht="3.6" customHeight="1">
      <c r="M120" s="153"/>
      <c r="N120" s="154"/>
      <c r="Q120" s="575"/>
      <c r="R120" s="575"/>
      <c r="S120" s="575"/>
      <c r="T120" s="2342"/>
      <c r="U120" s="2342"/>
      <c r="V120" s="2342"/>
      <c r="W120" s="2342"/>
      <c r="X120" s="2342"/>
      <c r="Y120" s="2342"/>
      <c r="Z120" s="2342"/>
      <c r="AA120" s="2342"/>
      <c r="AB120" s="2342"/>
      <c r="AC120" s="2342"/>
      <c r="AD120" s="2342"/>
      <c r="AE120" s="2342"/>
      <c r="AF120" s="2342"/>
      <c r="AG120" s="2342"/>
      <c r="AH120" s="2342"/>
      <c r="AI120" s="2342"/>
      <c r="AJ120" s="2342"/>
      <c r="AK120" s="2342"/>
      <c r="AL120" s="2342"/>
      <c r="AM120" s="2342"/>
      <c r="AN120" s="2342"/>
      <c r="AO120" s="2342"/>
      <c r="AP120" s="2342"/>
      <c r="AQ120" s="2342"/>
      <c r="AR120" s="2342"/>
      <c r="AS120" s="2342"/>
      <c r="AT120" s="2342"/>
      <c r="AU120" s="2342"/>
      <c r="AV120" s="2345"/>
      <c r="AW120" s="20"/>
      <c r="AX120" s="2342" t="s">
        <v>4147</v>
      </c>
      <c r="AY120" s="2538"/>
      <c r="AZ120" s="2538"/>
      <c r="BA120" s="2538"/>
      <c r="BB120" s="2538"/>
      <c r="BC120" s="2538"/>
      <c r="BD120" s="2538"/>
      <c r="BE120" s="2538"/>
      <c r="BF120" s="2538"/>
      <c r="BG120" s="2538"/>
      <c r="BH120" s="2538"/>
      <c r="BI120" s="2538"/>
      <c r="BJ120" s="2538"/>
      <c r="BK120" s="2538"/>
      <c r="BL120" s="2538"/>
      <c r="BM120" s="2538"/>
      <c r="BN120" s="2538"/>
      <c r="BO120" s="2538"/>
      <c r="BP120" s="2538"/>
      <c r="BQ120" s="2538"/>
      <c r="BR120" s="2538"/>
      <c r="BS120" s="2538"/>
      <c r="BT120" s="2538"/>
      <c r="BU120" s="2538"/>
      <c r="BV120" s="2538"/>
      <c r="BW120" s="2538"/>
      <c r="BX120" s="2538"/>
      <c r="BY120" s="2342"/>
      <c r="BZ120" s="2342"/>
      <c r="CA120" s="2342"/>
      <c r="CB120" s="2342"/>
      <c r="CC120" s="2342"/>
      <c r="CD120" s="2342"/>
      <c r="CE120" s="2342"/>
      <c r="CF120" s="2342"/>
      <c r="CG120" s="2342"/>
      <c r="CH120" s="2342"/>
      <c r="CI120" s="2342"/>
      <c r="CJ120" s="2342"/>
      <c r="CK120" s="2342"/>
      <c r="CL120" s="2342"/>
      <c r="CM120" s="2342"/>
      <c r="CN120" s="2342"/>
      <c r="CO120" s="2342"/>
      <c r="CP120" s="2342"/>
      <c r="CQ120" s="2342"/>
      <c r="CR120" s="2342"/>
      <c r="CS120" s="2342"/>
      <c r="CT120" s="2342"/>
      <c r="CU120" s="2342"/>
      <c r="CV120" s="2342"/>
      <c r="CW120" s="2342"/>
      <c r="CX120" s="2342"/>
      <c r="CY120" s="2342"/>
      <c r="CZ120" s="2342"/>
      <c r="DA120" s="2342"/>
      <c r="DB120" s="2342"/>
      <c r="DK120" s="631"/>
      <c r="DL120" s="632"/>
      <c r="DM120" s="625"/>
      <c r="DN120" s="625"/>
      <c r="DO120" s="153"/>
      <c r="DS120" s="153"/>
      <c r="DV120" s="625"/>
      <c r="DW120" s="631"/>
      <c r="DX120" s="625"/>
      <c r="DY120" s="625"/>
      <c r="DZ120" s="625"/>
      <c r="EA120" s="625"/>
      <c r="EB120" s="625"/>
      <c r="EU120" s="152"/>
      <c r="GG120" s="157"/>
      <c r="GP120" s="153"/>
      <c r="GU120" s="142"/>
    </row>
    <row r="121" spans="3:214" ht="3.6" customHeight="1">
      <c r="C121" s="625"/>
      <c r="D121" s="625"/>
      <c r="E121" s="625"/>
      <c r="F121" s="625"/>
      <c r="M121" s="153"/>
      <c r="N121" s="154"/>
      <c r="Q121" s="575"/>
      <c r="R121" s="575"/>
      <c r="S121" s="575"/>
      <c r="T121" s="2342"/>
      <c r="U121" s="2342"/>
      <c r="V121" s="2342"/>
      <c r="W121" s="2342"/>
      <c r="X121" s="2342"/>
      <c r="Y121" s="2342"/>
      <c r="Z121" s="2342"/>
      <c r="AA121" s="2342"/>
      <c r="AB121" s="2342"/>
      <c r="AC121" s="2342"/>
      <c r="AD121" s="2342"/>
      <c r="AE121" s="2342"/>
      <c r="AF121" s="2342"/>
      <c r="AG121" s="2342"/>
      <c r="AH121" s="2342"/>
      <c r="AI121" s="2342"/>
      <c r="AJ121" s="2342"/>
      <c r="AK121" s="2342"/>
      <c r="AL121" s="2342"/>
      <c r="AM121" s="2342"/>
      <c r="AN121" s="2342"/>
      <c r="AO121" s="2342"/>
      <c r="AP121" s="2342"/>
      <c r="AQ121" s="2342"/>
      <c r="AR121" s="2342"/>
      <c r="AS121" s="2342"/>
      <c r="AT121" s="2342"/>
      <c r="AU121" s="2342"/>
      <c r="AV121" s="2345"/>
      <c r="AW121" s="20"/>
      <c r="AX121" s="2342"/>
      <c r="AY121" s="2538"/>
      <c r="AZ121" s="2538"/>
      <c r="BA121" s="2538"/>
      <c r="BB121" s="2538"/>
      <c r="BC121" s="2538"/>
      <c r="BD121" s="2538"/>
      <c r="BE121" s="2538"/>
      <c r="BF121" s="2538"/>
      <c r="BG121" s="2538"/>
      <c r="BH121" s="2538"/>
      <c r="BI121" s="2538"/>
      <c r="BJ121" s="2538"/>
      <c r="BK121" s="2538"/>
      <c r="BL121" s="2538"/>
      <c r="BM121" s="2538"/>
      <c r="BN121" s="2538"/>
      <c r="BO121" s="2538"/>
      <c r="BP121" s="2538"/>
      <c r="BQ121" s="2538"/>
      <c r="BR121" s="2538"/>
      <c r="BS121" s="2538"/>
      <c r="BT121" s="2538"/>
      <c r="BU121" s="2538"/>
      <c r="BV121" s="2538"/>
      <c r="BW121" s="2538"/>
      <c r="BX121" s="2538"/>
      <c r="BY121" s="2342"/>
      <c r="BZ121" s="2342"/>
      <c r="CA121" s="2342"/>
      <c r="CB121" s="2342"/>
      <c r="CC121" s="2342"/>
      <c r="CD121" s="2342"/>
      <c r="CE121" s="2342"/>
      <c r="CF121" s="2342"/>
      <c r="CG121" s="2342"/>
      <c r="CH121" s="2342"/>
      <c r="CI121" s="2342"/>
      <c r="CJ121" s="2342"/>
      <c r="CK121" s="2342"/>
      <c r="CL121" s="2342"/>
      <c r="CM121" s="2342"/>
      <c r="CN121" s="2342"/>
      <c r="CO121" s="2342"/>
      <c r="CP121" s="2342"/>
      <c r="CQ121" s="2342"/>
      <c r="CR121" s="2342"/>
      <c r="CS121" s="2342"/>
      <c r="CT121" s="2342"/>
      <c r="CU121" s="2342"/>
      <c r="CV121" s="2342"/>
      <c r="CW121" s="2342"/>
      <c r="CX121" s="2342"/>
      <c r="CY121" s="2342"/>
      <c r="CZ121" s="2342"/>
      <c r="DA121" s="2342"/>
      <c r="DB121" s="2342"/>
      <c r="DK121" s="631"/>
      <c r="DL121" s="632"/>
      <c r="DM121" s="625"/>
      <c r="DN121" s="625"/>
      <c r="DO121" s="153"/>
      <c r="DS121" s="153"/>
      <c r="DV121" s="625"/>
      <c r="DW121" s="631"/>
      <c r="DX121" s="625"/>
      <c r="DY121" s="625"/>
      <c r="DZ121" s="625"/>
      <c r="EA121" s="625"/>
      <c r="EB121" s="625"/>
      <c r="EU121" s="152"/>
      <c r="GG121" s="157"/>
      <c r="GP121" s="636"/>
      <c r="GQ121" s="160"/>
      <c r="GR121" s="160"/>
      <c r="GS121" s="160"/>
      <c r="GT121" s="160"/>
      <c r="GU121" s="141"/>
    </row>
    <row r="122" spans="3:214" ht="3.6" customHeight="1">
      <c r="C122" s="625"/>
      <c r="D122" s="625"/>
      <c r="E122" s="625"/>
      <c r="F122" s="625"/>
      <c r="M122" s="3128">
        <v>0.25</v>
      </c>
      <c r="N122" s="3129"/>
      <c r="Q122" s="575"/>
      <c r="R122" s="575"/>
      <c r="S122" s="575"/>
      <c r="T122" s="2342"/>
      <c r="U122" s="2342"/>
      <c r="V122" s="2342"/>
      <c r="W122" s="2342"/>
      <c r="X122" s="2342"/>
      <c r="Y122" s="2342"/>
      <c r="Z122" s="2342"/>
      <c r="AA122" s="2342"/>
      <c r="AB122" s="2342"/>
      <c r="AC122" s="2342"/>
      <c r="AD122" s="2342"/>
      <c r="AE122" s="2342"/>
      <c r="AF122" s="2342"/>
      <c r="AG122" s="2342"/>
      <c r="AH122" s="2342"/>
      <c r="AI122" s="2342"/>
      <c r="AJ122" s="2342"/>
      <c r="AK122" s="2342"/>
      <c r="AL122" s="2342"/>
      <c r="AM122" s="2342"/>
      <c r="AN122" s="2342"/>
      <c r="AO122" s="2342"/>
      <c r="AP122" s="2342"/>
      <c r="AQ122" s="2342"/>
      <c r="AR122" s="2342"/>
      <c r="AS122" s="2342"/>
      <c r="AT122" s="2342"/>
      <c r="AU122" s="2342"/>
      <c r="AV122" s="2345"/>
      <c r="AW122" s="20"/>
      <c r="AX122" s="2342"/>
      <c r="AY122" s="2538"/>
      <c r="AZ122" s="2538"/>
      <c r="BA122" s="2538"/>
      <c r="BB122" s="2538"/>
      <c r="BC122" s="2538"/>
      <c r="BD122" s="2538"/>
      <c r="BE122" s="2538"/>
      <c r="BF122" s="2538"/>
      <c r="BG122" s="2538"/>
      <c r="BH122" s="2538"/>
      <c r="BI122" s="2538"/>
      <c r="BJ122" s="2538"/>
      <c r="BK122" s="2538"/>
      <c r="BL122" s="2538"/>
      <c r="BM122" s="2538"/>
      <c r="BN122" s="2538"/>
      <c r="BO122" s="2538"/>
      <c r="BP122" s="2538"/>
      <c r="BQ122" s="2538"/>
      <c r="BR122" s="2538"/>
      <c r="BS122" s="2538"/>
      <c r="BT122" s="2538"/>
      <c r="BU122" s="2538"/>
      <c r="BV122" s="2538"/>
      <c r="BW122" s="2538"/>
      <c r="BX122" s="2538"/>
      <c r="BY122" s="2342"/>
      <c r="BZ122" s="2342"/>
      <c r="CA122" s="2342"/>
      <c r="CB122" s="2342"/>
      <c r="CC122" s="2342"/>
      <c r="CD122" s="2342"/>
      <c r="CE122" s="2342"/>
      <c r="CF122" s="2342"/>
      <c r="CG122" s="2342"/>
      <c r="CH122" s="2342"/>
      <c r="CI122" s="2342"/>
      <c r="CJ122" s="2342"/>
      <c r="CK122" s="2342"/>
      <c r="CL122" s="2342"/>
      <c r="CM122" s="2342"/>
      <c r="CN122" s="2342"/>
      <c r="CO122" s="2342"/>
      <c r="CP122" s="2342"/>
      <c r="CQ122" s="2342"/>
      <c r="CR122" s="2342"/>
      <c r="CS122" s="2342"/>
      <c r="CT122" s="2342"/>
      <c r="CU122" s="2342"/>
      <c r="CV122" s="2342"/>
      <c r="CW122" s="2342"/>
      <c r="CX122" s="2342"/>
      <c r="CY122" s="2342"/>
      <c r="CZ122" s="2342"/>
      <c r="DA122" s="2342"/>
      <c r="DB122" s="2342"/>
      <c r="DK122" s="631"/>
      <c r="DL122" s="632"/>
      <c r="DM122" s="625"/>
      <c r="DN122" s="625"/>
      <c r="DO122" s="153"/>
      <c r="DS122" s="153"/>
      <c r="DV122" s="625"/>
      <c r="DW122" s="631"/>
      <c r="DX122" s="625"/>
      <c r="DY122" s="625"/>
      <c r="DZ122" s="625"/>
      <c r="EA122" s="625"/>
      <c r="EB122" s="625"/>
      <c r="EU122" s="152"/>
      <c r="GG122" s="157"/>
      <c r="GP122" s="636"/>
      <c r="GQ122" s="160"/>
      <c r="GR122" s="160"/>
      <c r="GS122" s="160"/>
      <c r="GT122" s="160"/>
      <c r="GU122" s="141"/>
    </row>
    <row r="123" spans="3:214" ht="3.6" customHeight="1">
      <c r="C123" s="625"/>
      <c r="D123" s="625"/>
      <c r="E123" s="625"/>
      <c r="F123" s="625"/>
      <c r="M123" s="3128"/>
      <c r="N123" s="3129"/>
      <c r="P123" s="142"/>
      <c r="S123" s="2346"/>
      <c r="T123" s="2365"/>
      <c r="U123" s="2365"/>
      <c r="V123" s="2365"/>
      <c r="W123" s="2365"/>
      <c r="X123" s="2365"/>
      <c r="Y123" s="2365"/>
      <c r="Z123" s="2365"/>
      <c r="AA123" s="2365"/>
      <c r="AB123" s="2365"/>
      <c r="AC123" s="2365"/>
      <c r="AD123" s="2365"/>
      <c r="AE123" s="2365"/>
      <c r="AF123" s="2365"/>
      <c r="AG123" s="2365"/>
      <c r="AH123" s="2365"/>
      <c r="AI123" s="2365"/>
      <c r="AJ123" s="2365"/>
      <c r="AK123" s="2365"/>
      <c r="AL123" s="2365"/>
      <c r="AM123" s="2365"/>
      <c r="AN123" s="2365"/>
      <c r="AO123" s="2365"/>
      <c r="AP123" s="2365"/>
      <c r="AQ123" s="2365"/>
      <c r="AR123" s="2365"/>
      <c r="AS123" s="2365"/>
      <c r="AT123" s="2347"/>
      <c r="AU123" s="2348"/>
      <c r="AV123" s="2349"/>
      <c r="AW123" s="2350"/>
      <c r="AX123" s="2351"/>
      <c r="AY123" s="3124" t="s">
        <v>4185</v>
      </c>
      <c r="AZ123" s="3124"/>
      <c r="BA123" s="3124"/>
      <c r="BB123" s="3124"/>
      <c r="BC123" s="3124"/>
      <c r="BD123" s="3124"/>
      <c r="BE123" s="3124"/>
      <c r="BF123" s="3124"/>
      <c r="BG123" s="3124"/>
      <c r="BH123" s="3124"/>
      <c r="BI123" s="2351"/>
      <c r="BJ123" s="2351"/>
      <c r="BK123" s="2351"/>
      <c r="BL123" s="2351"/>
      <c r="BM123" s="2351"/>
      <c r="BN123" s="3124" t="s">
        <v>4188</v>
      </c>
      <c r="BO123" s="3124"/>
      <c r="BP123" s="3124"/>
      <c r="BQ123" s="3124"/>
      <c r="BR123" s="3124"/>
      <c r="BS123" s="3124"/>
      <c r="BT123" s="3124"/>
      <c r="BU123" s="3124"/>
      <c r="BV123" s="3124"/>
      <c r="BW123" s="3124"/>
      <c r="BX123" s="139"/>
      <c r="BY123" s="2351"/>
      <c r="BZ123" s="2351"/>
      <c r="CA123" s="2351"/>
      <c r="CB123" s="2351"/>
      <c r="CC123" s="2351"/>
      <c r="CD123" s="2351"/>
      <c r="CE123" s="2351"/>
      <c r="CF123" s="2351"/>
      <c r="CG123" s="2351"/>
      <c r="CH123" s="2351"/>
      <c r="CI123" s="2351"/>
      <c r="CJ123" s="2351"/>
      <c r="CK123" s="2351"/>
      <c r="CL123" s="2351"/>
      <c r="CM123" s="2351"/>
      <c r="CN123" s="2351"/>
      <c r="DK123" s="631"/>
      <c r="DL123" s="632"/>
      <c r="DM123" s="625"/>
      <c r="DN123" s="141"/>
      <c r="DO123" s="612"/>
      <c r="DP123" s="141"/>
      <c r="DQ123" s="141"/>
      <c r="DS123" s="153"/>
      <c r="DV123" s="625"/>
      <c r="DW123" s="631"/>
      <c r="DX123" s="625"/>
      <c r="DY123" s="625"/>
      <c r="DZ123" s="625"/>
      <c r="EA123" s="625"/>
      <c r="EB123" s="625"/>
      <c r="EU123" s="152"/>
      <c r="GG123" s="157"/>
      <c r="GP123" s="636"/>
      <c r="GQ123" s="160"/>
      <c r="GR123" s="160"/>
      <c r="GS123" s="160"/>
      <c r="GT123" s="160"/>
      <c r="GU123" s="141"/>
    </row>
    <row r="124" spans="3:214" ht="3.6" customHeight="1">
      <c r="C124" s="625"/>
      <c r="D124" s="625"/>
      <c r="E124" s="625"/>
      <c r="F124" s="625"/>
      <c r="I124" s="140"/>
      <c r="J124" s="140"/>
      <c r="K124" s="140"/>
      <c r="M124" s="3128"/>
      <c r="N124" s="3129"/>
      <c r="P124" s="142"/>
      <c r="S124" s="2346"/>
      <c r="T124" s="2365"/>
      <c r="U124" s="2365"/>
      <c r="V124" s="2365"/>
      <c r="W124" s="2365"/>
      <c r="X124" s="2365"/>
      <c r="Y124" s="2365"/>
      <c r="Z124" s="2365"/>
      <c r="AA124" s="2365"/>
      <c r="AB124" s="2365"/>
      <c r="AC124" s="2365"/>
      <c r="AD124" s="2365"/>
      <c r="AE124" s="2365"/>
      <c r="AF124" s="2365"/>
      <c r="AG124" s="2365"/>
      <c r="AH124" s="2365"/>
      <c r="AI124" s="2365"/>
      <c r="AJ124" s="2365"/>
      <c r="AK124" s="2365"/>
      <c r="AL124" s="2365"/>
      <c r="AM124" s="2365"/>
      <c r="AN124" s="2365"/>
      <c r="AO124" s="2365"/>
      <c r="AP124" s="2365"/>
      <c r="AQ124" s="2365"/>
      <c r="AR124" s="2365"/>
      <c r="AS124" s="2365"/>
      <c r="AT124" s="2347"/>
      <c r="AU124" s="2348"/>
      <c r="AV124" s="2349"/>
      <c r="AW124" s="2350"/>
      <c r="AX124" s="2351"/>
      <c r="AY124" s="3124"/>
      <c r="AZ124" s="3124"/>
      <c r="BA124" s="3124"/>
      <c r="BB124" s="3124"/>
      <c r="BC124" s="3124"/>
      <c r="BD124" s="3124"/>
      <c r="BE124" s="3124"/>
      <c r="BF124" s="3124"/>
      <c r="BG124" s="3124"/>
      <c r="BH124" s="3124"/>
      <c r="BI124" s="2351"/>
      <c r="BJ124" s="2351"/>
      <c r="BK124" s="2351"/>
      <c r="BL124" s="2351"/>
      <c r="BM124" s="2351"/>
      <c r="BN124" s="3124"/>
      <c r="BO124" s="3124"/>
      <c r="BP124" s="3124"/>
      <c r="BQ124" s="3124"/>
      <c r="BR124" s="3124"/>
      <c r="BS124" s="3124"/>
      <c r="BT124" s="3124"/>
      <c r="BU124" s="3124"/>
      <c r="BV124" s="3124"/>
      <c r="BW124" s="3124"/>
      <c r="BX124" s="139"/>
      <c r="BY124" s="2351"/>
      <c r="BZ124" s="2351"/>
      <c r="CA124" s="2351"/>
      <c r="CB124" s="2351"/>
      <c r="CC124" s="2351"/>
      <c r="CD124" s="2351"/>
      <c r="CE124" s="2351"/>
      <c r="CF124" s="2351"/>
      <c r="CG124" s="2351"/>
      <c r="CH124" s="2351"/>
      <c r="CI124" s="2351"/>
      <c r="CJ124" s="2351"/>
      <c r="CK124" s="2351"/>
      <c r="CL124" s="2351"/>
      <c r="CM124" s="2351"/>
      <c r="CN124" s="2351"/>
      <c r="DK124" s="631"/>
      <c r="DL124" s="632"/>
      <c r="DM124" s="625"/>
      <c r="DN124" s="141"/>
      <c r="DO124" s="612"/>
      <c r="DP124" s="141"/>
      <c r="DQ124" s="141"/>
      <c r="DS124" s="153"/>
      <c r="DV124" s="625"/>
      <c r="DW124" s="631"/>
      <c r="DX124" s="625"/>
      <c r="DY124" s="625"/>
      <c r="DZ124" s="625"/>
      <c r="EA124" s="625"/>
      <c r="EB124" s="625"/>
      <c r="EU124" s="152"/>
      <c r="GG124" s="157"/>
      <c r="GP124" s="636"/>
      <c r="GQ124" s="160"/>
      <c r="GR124" s="160"/>
      <c r="GS124" s="160"/>
      <c r="GT124" s="160"/>
      <c r="GU124" s="141"/>
    </row>
    <row r="125" spans="3:214" ht="3.6" customHeight="1">
      <c r="C125" s="625"/>
      <c r="D125" s="625"/>
      <c r="E125" s="625"/>
      <c r="F125" s="625"/>
      <c r="I125" s="140"/>
      <c r="J125" s="140"/>
      <c r="K125" s="140"/>
      <c r="M125" s="3128"/>
      <c r="N125" s="3129"/>
      <c r="P125" s="142"/>
      <c r="S125" s="2346"/>
      <c r="T125" s="2365"/>
      <c r="U125" s="2365"/>
      <c r="V125" s="2365"/>
      <c r="W125" s="2365"/>
      <c r="X125" s="2365"/>
      <c r="Y125" s="2365"/>
      <c r="Z125" s="2365"/>
      <c r="AA125" s="2365"/>
      <c r="AB125" s="2365"/>
      <c r="AC125" s="2365"/>
      <c r="AD125" s="2365"/>
      <c r="AE125" s="2365"/>
      <c r="AF125" s="2365"/>
      <c r="AG125" s="2365"/>
      <c r="AH125" s="2365"/>
      <c r="AI125" s="2365"/>
      <c r="AJ125" s="2365"/>
      <c r="AK125" s="2365"/>
      <c r="AL125" s="2365"/>
      <c r="AM125" s="2365"/>
      <c r="AN125" s="2365"/>
      <c r="AO125" s="2365"/>
      <c r="AP125" s="2365"/>
      <c r="AQ125" s="2365"/>
      <c r="AR125" s="2365"/>
      <c r="AS125" s="2365"/>
      <c r="AT125" s="2347"/>
      <c r="AU125" s="2348"/>
      <c r="AV125" s="2349"/>
      <c r="AW125" s="2350"/>
      <c r="AX125" s="2351"/>
      <c r="AY125" s="3124"/>
      <c r="AZ125" s="3124"/>
      <c r="BA125" s="3124"/>
      <c r="BB125" s="3124"/>
      <c r="BC125" s="3124"/>
      <c r="BD125" s="3124"/>
      <c r="BE125" s="3124"/>
      <c r="BF125" s="3124"/>
      <c r="BG125" s="3124"/>
      <c r="BH125" s="3124"/>
      <c r="BI125" s="2351"/>
      <c r="BJ125" s="2351"/>
      <c r="BK125" s="2351"/>
      <c r="BL125" s="2351"/>
      <c r="BM125" s="2351"/>
      <c r="BN125" s="3124"/>
      <c r="BO125" s="3124"/>
      <c r="BP125" s="3124"/>
      <c r="BQ125" s="3124"/>
      <c r="BR125" s="3124"/>
      <c r="BS125" s="3124"/>
      <c r="BT125" s="3124"/>
      <c r="BU125" s="3124"/>
      <c r="BV125" s="3124"/>
      <c r="BW125" s="3124"/>
      <c r="BX125" s="139"/>
      <c r="BY125" s="2351"/>
      <c r="BZ125" s="2351"/>
      <c r="CA125" s="2351"/>
      <c r="CB125" s="2351"/>
      <c r="CC125" s="2351"/>
      <c r="CD125" s="2351"/>
      <c r="CE125" s="2351"/>
      <c r="CF125" s="2351"/>
      <c r="CG125" s="2351"/>
      <c r="CH125" s="2351"/>
      <c r="CI125" s="2351"/>
      <c r="CJ125" s="2351"/>
      <c r="CK125" s="2351"/>
      <c r="CL125" s="2351"/>
      <c r="CM125" s="2351"/>
      <c r="CN125" s="2351"/>
      <c r="DK125" s="631"/>
      <c r="DL125" s="632"/>
      <c r="DM125" s="625"/>
      <c r="DN125" s="141"/>
      <c r="DO125" s="612"/>
      <c r="DP125" s="141"/>
      <c r="DQ125" s="141"/>
      <c r="DS125" s="153"/>
      <c r="DV125" s="625"/>
      <c r="DW125" s="631"/>
      <c r="DX125" s="625"/>
      <c r="DY125" s="625"/>
      <c r="DZ125" s="625"/>
      <c r="EA125" s="625"/>
      <c r="EB125" s="625"/>
      <c r="EU125" s="152"/>
      <c r="GG125" s="157"/>
      <c r="GP125" s="636"/>
      <c r="GQ125" s="160"/>
      <c r="GR125" s="160"/>
      <c r="GS125" s="160"/>
      <c r="GT125" s="160"/>
      <c r="GU125" s="141"/>
    </row>
    <row r="126" spans="3:214" ht="3.6" customHeight="1">
      <c r="C126" s="625"/>
      <c r="D126" s="625"/>
      <c r="E126" s="625"/>
      <c r="F126" s="625"/>
      <c r="I126" s="140"/>
      <c r="J126" s="140"/>
      <c r="K126" s="140"/>
      <c r="M126" s="3128"/>
      <c r="N126" s="3129"/>
      <c r="P126" s="142"/>
      <c r="S126" s="2346"/>
      <c r="T126" s="2350"/>
      <c r="U126" s="2350"/>
      <c r="V126" s="2350"/>
      <c r="W126" s="2350"/>
      <c r="X126" s="2350"/>
      <c r="Y126" s="2350"/>
      <c r="Z126" s="2350"/>
      <c r="AA126" s="2350"/>
      <c r="AB126" s="2350"/>
      <c r="AC126" s="2350"/>
      <c r="AD126" s="2350"/>
      <c r="AE126" s="2350"/>
      <c r="AF126" s="2350"/>
      <c r="AG126" s="2347"/>
      <c r="AH126" s="2347"/>
      <c r="AI126" s="2350"/>
      <c r="AJ126" s="2350"/>
      <c r="AK126" s="2350"/>
      <c r="AL126" s="2350"/>
      <c r="AM126" s="2350"/>
      <c r="AN126" s="2350"/>
      <c r="AO126" s="2350"/>
      <c r="AP126" s="2347"/>
      <c r="AQ126" s="2347"/>
      <c r="AR126" s="2347"/>
      <c r="AS126" s="2347"/>
      <c r="AT126" s="2347"/>
      <c r="AU126" s="2348"/>
      <c r="AV126" s="2349"/>
      <c r="AW126" s="2350"/>
      <c r="AX126" s="2350"/>
      <c r="AY126" s="2350"/>
      <c r="AZ126" s="2350"/>
      <c r="BA126" s="2350"/>
      <c r="BB126" s="2350"/>
      <c r="BC126" s="2350"/>
      <c r="BD126" s="2350"/>
      <c r="BE126" s="2350"/>
      <c r="BF126" s="2350"/>
      <c r="BG126" s="2350"/>
      <c r="BH126" s="2350"/>
      <c r="BI126" s="2350"/>
      <c r="BJ126" s="2350"/>
      <c r="BK126" s="2352"/>
      <c r="BL126" s="2353"/>
      <c r="BM126" s="2350"/>
      <c r="BN126" s="2350"/>
      <c r="BO126" s="2350"/>
      <c r="BP126" s="2350"/>
      <c r="BQ126" s="2350"/>
      <c r="BR126" s="2350"/>
      <c r="BS126" s="2350"/>
      <c r="BT126" s="2350"/>
      <c r="BU126" s="2350"/>
      <c r="BV126" s="2350"/>
      <c r="BW126" s="2350"/>
      <c r="CC126" s="634"/>
      <c r="CD126" s="635"/>
      <c r="DK126" s="631"/>
      <c r="DL126" s="632"/>
      <c r="DM126" s="625"/>
      <c r="DN126" s="3125" t="s">
        <v>4189</v>
      </c>
      <c r="DO126" s="3126"/>
      <c r="DP126" s="3126"/>
      <c r="DQ126" s="625"/>
      <c r="DS126" s="153"/>
      <c r="DV126" s="625"/>
      <c r="DW126" s="631"/>
      <c r="DX126" s="625"/>
      <c r="DY126" s="625"/>
      <c r="DZ126" s="625"/>
      <c r="EA126" s="625"/>
      <c r="EB126" s="625"/>
      <c r="EU126" s="152"/>
      <c r="GG126" s="157"/>
      <c r="GP126" s="636"/>
      <c r="GQ126" s="160"/>
      <c r="GR126" s="160"/>
      <c r="GS126" s="160"/>
      <c r="GT126" s="160"/>
      <c r="GU126" s="141"/>
    </row>
    <row r="127" spans="3:214" ht="3.6" customHeight="1">
      <c r="C127" s="625"/>
      <c r="D127" s="625"/>
      <c r="E127" s="625"/>
      <c r="F127" s="625"/>
      <c r="M127" s="153"/>
      <c r="N127" s="154"/>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344"/>
      <c r="AV127" s="2345"/>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CC127" s="364"/>
      <c r="CD127" s="365"/>
      <c r="DK127" s="631"/>
      <c r="DL127" s="632"/>
      <c r="DM127" s="625"/>
      <c r="DN127" s="3126"/>
      <c r="DO127" s="3126"/>
      <c r="DP127" s="3126"/>
      <c r="DS127" s="153"/>
      <c r="DW127" s="153"/>
      <c r="EU127" s="157"/>
      <c r="GG127" s="157"/>
      <c r="GP127" s="153"/>
    </row>
    <row r="128" spans="3:214" ht="3.6" customHeight="1">
      <c r="C128" s="625"/>
      <c r="D128" s="625"/>
      <c r="E128" s="625"/>
      <c r="F128" s="625"/>
      <c r="M128" s="153"/>
      <c r="N128" s="154"/>
      <c r="AU128" s="364"/>
      <c r="AV128" s="365"/>
      <c r="CC128" s="364"/>
      <c r="CD128" s="365"/>
      <c r="DK128" s="631"/>
      <c r="DL128" s="632"/>
      <c r="DM128" s="625"/>
      <c r="DN128" s="3126"/>
      <c r="DO128" s="3126"/>
      <c r="DP128" s="3126"/>
      <c r="DS128" s="153"/>
      <c r="DW128" s="153"/>
      <c r="EU128" s="157"/>
      <c r="GG128" s="157"/>
      <c r="GP128" s="153"/>
    </row>
    <row r="129" spans="3:219" ht="3.6" customHeight="1">
      <c r="C129" s="625"/>
      <c r="D129" s="625"/>
      <c r="E129" s="625"/>
      <c r="F129" s="625"/>
      <c r="M129" s="153"/>
      <c r="N129" s="154"/>
      <c r="AU129" s="364"/>
      <c r="AV129" s="365"/>
      <c r="CC129" s="364"/>
      <c r="CD129" s="365"/>
      <c r="DK129" s="631"/>
      <c r="DL129" s="632"/>
      <c r="DM129" s="625"/>
      <c r="DN129" s="3126"/>
      <c r="DO129" s="3126"/>
      <c r="DP129" s="3126"/>
      <c r="DS129" s="153"/>
      <c r="DW129" s="153"/>
      <c r="EU129" s="157"/>
      <c r="GG129" s="157"/>
      <c r="GP129" s="153"/>
    </row>
    <row r="130" spans="3:219" ht="3.6" customHeight="1">
      <c r="C130" s="625"/>
      <c r="D130" s="625"/>
      <c r="E130" s="625"/>
      <c r="F130" s="625"/>
      <c r="M130" s="153"/>
      <c r="N130" s="154"/>
      <c r="AG130" s="142"/>
      <c r="AH130" s="142"/>
      <c r="AI130" s="142"/>
      <c r="AJ130" s="142"/>
      <c r="AK130" s="142"/>
      <c r="AL130" s="142"/>
      <c r="AM130" s="142"/>
      <c r="AN130" s="142"/>
      <c r="AO130" s="142"/>
      <c r="AU130" s="364"/>
      <c r="AV130" s="365"/>
      <c r="BX130" s="142"/>
      <c r="BY130" s="142"/>
      <c r="BZ130" s="142"/>
      <c r="CA130" s="142"/>
      <c r="CB130" s="142"/>
      <c r="CC130" s="364"/>
      <c r="CD130" s="365"/>
      <c r="DK130" s="631"/>
      <c r="DL130" s="632"/>
      <c r="DM130" s="625"/>
      <c r="DN130" s="3126"/>
      <c r="DO130" s="3126"/>
      <c r="DP130" s="3126"/>
      <c r="DS130" s="153"/>
      <c r="DW130" s="153"/>
      <c r="EU130" s="157"/>
      <c r="GG130" s="157"/>
      <c r="GP130" s="153"/>
    </row>
    <row r="131" spans="3:219" ht="3.6" customHeight="1">
      <c r="C131" s="625"/>
      <c r="D131" s="625"/>
      <c r="E131" s="625"/>
      <c r="F131" s="625"/>
      <c r="M131" s="153"/>
      <c r="N131" s="154"/>
      <c r="AG131" s="142"/>
      <c r="AH131" s="142"/>
      <c r="AI131" s="142"/>
      <c r="AJ131" s="142"/>
      <c r="AK131" s="142"/>
      <c r="AL131" s="142"/>
      <c r="AM131" s="142"/>
      <c r="AN131" s="142"/>
      <c r="AO131" s="142"/>
      <c r="AU131" s="364"/>
      <c r="AV131" s="365"/>
      <c r="BX131" s="142"/>
      <c r="BY131" s="142"/>
      <c r="BZ131" s="142"/>
      <c r="CA131" s="142"/>
      <c r="CB131" s="142"/>
      <c r="CC131" s="364"/>
      <c r="CD131" s="365"/>
      <c r="CH131" s="575"/>
      <c r="CI131" s="575"/>
      <c r="CJ131" s="575"/>
      <c r="CK131" s="575"/>
      <c r="CL131" s="575"/>
      <c r="CM131" s="575"/>
      <c r="CN131" s="575"/>
      <c r="CO131" s="575"/>
      <c r="CP131" s="575"/>
      <c r="CQ131" s="575"/>
      <c r="DK131" s="631"/>
      <c r="DL131" s="632"/>
      <c r="DM131" s="625"/>
      <c r="DN131" s="3126"/>
      <c r="DO131" s="3126"/>
      <c r="DP131" s="3126"/>
      <c r="DS131" s="153"/>
      <c r="DW131" s="153"/>
      <c r="EU131" s="157"/>
      <c r="GG131" s="157"/>
      <c r="GP131" s="153"/>
    </row>
    <row r="132" spans="3:219" ht="3.6" customHeight="1">
      <c r="M132" s="153"/>
      <c r="N132" s="154"/>
      <c r="S132" s="575"/>
      <c r="T132" s="575"/>
      <c r="U132" s="575"/>
      <c r="V132" s="575"/>
      <c r="W132" s="575"/>
      <c r="X132" s="575"/>
      <c r="Y132" s="575"/>
      <c r="Z132" s="575"/>
      <c r="AA132" s="575"/>
      <c r="AB132" s="575"/>
      <c r="AC132" s="575"/>
      <c r="AD132" s="575"/>
      <c r="AG132" s="142"/>
      <c r="AH132" s="142"/>
      <c r="AI132" s="142"/>
      <c r="AJ132" s="142"/>
      <c r="AK132" s="142"/>
      <c r="AL132" s="142"/>
      <c r="AM132" s="142"/>
      <c r="AN132" s="142"/>
      <c r="AO132" s="142"/>
      <c r="AU132" s="364"/>
      <c r="AV132" s="365"/>
      <c r="BX132" s="142"/>
      <c r="BY132" s="142"/>
      <c r="BZ132" s="142"/>
      <c r="CA132" s="142"/>
      <c r="CB132" s="142"/>
      <c r="CC132" s="364"/>
      <c r="CD132" s="365"/>
      <c r="CH132" s="575"/>
      <c r="CI132" s="575"/>
      <c r="CJ132" s="575"/>
      <c r="CK132" s="575"/>
      <c r="CL132" s="575"/>
      <c r="CM132" s="575"/>
      <c r="CN132" s="575"/>
      <c r="CO132" s="575"/>
      <c r="CP132" s="575"/>
      <c r="CQ132" s="575"/>
      <c r="CY132" s="575"/>
      <c r="CZ132" s="575"/>
      <c r="DA132" s="575"/>
      <c r="DB132" s="575"/>
      <c r="DC132" s="575"/>
      <c r="DD132" s="575"/>
      <c r="DE132" s="575"/>
      <c r="DF132" s="575"/>
      <c r="DG132" s="575"/>
      <c r="DH132" s="575"/>
      <c r="DK132" s="631"/>
      <c r="DL132" s="632"/>
      <c r="DM132" s="625"/>
      <c r="DN132" s="3126"/>
      <c r="DO132" s="3126"/>
      <c r="DP132" s="3126"/>
      <c r="DQ132" s="20"/>
      <c r="DR132" s="3125" t="s">
        <v>4181</v>
      </c>
      <c r="DS132" s="3125"/>
      <c r="DT132" s="3125"/>
      <c r="DU132" s="20"/>
      <c r="DV132" s="3125" t="s">
        <v>4182</v>
      </c>
      <c r="DW132" s="3126"/>
      <c r="DX132" s="3126"/>
      <c r="EU132" s="157"/>
      <c r="GG132" s="157"/>
      <c r="GP132" s="153"/>
    </row>
    <row r="133" spans="3:219" ht="3.6" customHeight="1">
      <c r="M133" s="153"/>
      <c r="N133" s="154"/>
      <c r="S133" s="575"/>
      <c r="T133" s="575"/>
      <c r="U133" s="575"/>
      <c r="V133" s="575"/>
      <c r="W133" s="575"/>
      <c r="X133" s="575"/>
      <c r="Y133" s="575"/>
      <c r="Z133" s="575"/>
      <c r="AA133" s="575"/>
      <c r="AB133" s="575"/>
      <c r="AC133" s="575"/>
      <c r="AD133" s="575"/>
      <c r="AG133" s="142"/>
      <c r="AH133" s="142"/>
      <c r="AI133" s="142"/>
      <c r="AJ133" s="142"/>
      <c r="AK133" s="142"/>
      <c r="AL133" s="142"/>
      <c r="AM133" s="142"/>
      <c r="AN133" s="142"/>
      <c r="AO133" s="142"/>
      <c r="AU133" s="364"/>
      <c r="AV133" s="365"/>
      <c r="BX133" s="142"/>
      <c r="BY133" s="142"/>
      <c r="BZ133" s="142"/>
      <c r="CA133" s="142"/>
      <c r="CB133" s="142"/>
      <c r="CC133" s="364"/>
      <c r="CD133" s="365"/>
      <c r="CH133" s="575"/>
      <c r="CI133" s="575"/>
      <c r="CJ133" s="575"/>
      <c r="CK133" s="575"/>
      <c r="CL133" s="575"/>
      <c r="CM133" s="575"/>
      <c r="CN133" s="575"/>
      <c r="CO133" s="575"/>
      <c r="CP133" s="575"/>
      <c r="CQ133" s="575"/>
      <c r="CY133" s="575"/>
      <c r="CZ133" s="575"/>
      <c r="DA133" s="575"/>
      <c r="DB133" s="575"/>
      <c r="DC133" s="575"/>
      <c r="DD133" s="575"/>
      <c r="DE133" s="575"/>
      <c r="DF133" s="575"/>
      <c r="DG133" s="575"/>
      <c r="DH133" s="575"/>
      <c r="DK133" s="631"/>
      <c r="DL133" s="632"/>
      <c r="DM133" s="625"/>
      <c r="DN133" s="3126"/>
      <c r="DO133" s="3126"/>
      <c r="DP133" s="3126"/>
      <c r="DQ133" s="20"/>
      <c r="DR133" s="3125"/>
      <c r="DS133" s="3125"/>
      <c r="DT133" s="3125"/>
      <c r="DU133" s="20"/>
      <c r="DV133" s="3126"/>
      <c r="DW133" s="3126"/>
      <c r="DX133" s="3126"/>
      <c r="EU133" s="157"/>
      <c r="GG133" s="157"/>
      <c r="GP133" s="153"/>
    </row>
    <row r="134" spans="3:219" ht="3.6" customHeight="1">
      <c r="M134" s="153"/>
      <c r="N134" s="154"/>
      <c r="S134" s="575"/>
      <c r="T134" s="575"/>
      <c r="U134" s="575"/>
      <c r="V134" s="575"/>
      <c r="W134" s="575"/>
      <c r="X134" s="575"/>
      <c r="Y134" s="575"/>
      <c r="Z134" s="575"/>
      <c r="AA134" s="575"/>
      <c r="AB134" s="575"/>
      <c r="AC134" s="575"/>
      <c r="AD134" s="575"/>
      <c r="AU134" s="364"/>
      <c r="AV134" s="365"/>
      <c r="CC134" s="364"/>
      <c r="CD134" s="365"/>
      <c r="CY134" s="575"/>
      <c r="CZ134" s="575"/>
      <c r="DA134" s="575"/>
      <c r="DB134" s="575"/>
      <c r="DC134" s="575"/>
      <c r="DD134" s="575"/>
      <c r="DE134" s="575"/>
      <c r="DF134" s="575"/>
      <c r="DG134" s="575"/>
      <c r="DH134" s="575"/>
      <c r="DK134" s="153"/>
      <c r="DL134" s="154"/>
      <c r="DM134" s="625"/>
      <c r="DN134" s="3126"/>
      <c r="DO134" s="3126"/>
      <c r="DP134" s="3126"/>
      <c r="DQ134" s="20"/>
      <c r="DR134" s="3125"/>
      <c r="DS134" s="3125"/>
      <c r="DT134" s="3125"/>
      <c r="DU134" s="20"/>
      <c r="DV134" s="3126"/>
      <c r="DW134" s="3126"/>
      <c r="DX134" s="3126"/>
      <c r="ES134" s="625"/>
      <c r="EU134" s="157"/>
      <c r="GG134" s="157"/>
      <c r="GP134" s="153"/>
    </row>
    <row r="135" spans="3:219" ht="3.6" customHeight="1">
      <c r="M135" s="153"/>
      <c r="N135" s="154"/>
      <c r="AU135" s="364"/>
      <c r="AV135" s="365"/>
      <c r="CC135" s="364"/>
      <c r="CD135" s="365"/>
      <c r="DK135" s="153"/>
      <c r="DL135" s="154"/>
      <c r="DM135" s="625"/>
      <c r="DN135" s="3126"/>
      <c r="DO135" s="3126"/>
      <c r="DP135" s="3126"/>
      <c r="DQ135" s="20"/>
      <c r="DR135" s="3125"/>
      <c r="DS135" s="3125"/>
      <c r="DT135" s="3125"/>
      <c r="DU135" s="20"/>
      <c r="DV135" s="3126"/>
      <c r="DW135" s="3126"/>
      <c r="DX135" s="3126"/>
      <c r="ES135" s="625"/>
      <c r="EU135" s="157"/>
      <c r="GG135" s="157"/>
      <c r="GP135" s="3133" t="s">
        <v>4138</v>
      </c>
      <c r="GQ135" s="3134"/>
      <c r="GR135" s="3134"/>
      <c r="GS135" s="3134"/>
      <c r="GT135" s="3134"/>
      <c r="GU135" s="3134"/>
      <c r="GV135" s="3134"/>
      <c r="GW135" s="3134"/>
      <c r="GX135" s="3134"/>
      <c r="GY135" s="3134"/>
      <c r="GZ135" s="3134"/>
      <c r="HA135" s="3134"/>
      <c r="HB135" s="3134"/>
      <c r="HC135" s="3134"/>
      <c r="HD135" s="3134"/>
      <c r="HE135" s="3134"/>
      <c r="HF135" s="3135"/>
    </row>
    <row r="136" spans="3:219" ht="3.6" customHeight="1">
      <c r="M136" s="153"/>
      <c r="N136" s="154"/>
      <c r="AU136" s="364"/>
      <c r="AV136" s="365"/>
      <c r="CC136" s="364"/>
      <c r="CD136" s="365"/>
      <c r="DK136" s="631"/>
      <c r="DL136" s="632"/>
      <c r="DM136" s="625"/>
      <c r="DN136" s="3126"/>
      <c r="DO136" s="3126"/>
      <c r="DP136" s="3126"/>
      <c r="DQ136" s="20"/>
      <c r="DR136" s="3125"/>
      <c r="DS136" s="3125"/>
      <c r="DT136" s="3125"/>
      <c r="DU136" s="20"/>
      <c r="DV136" s="3126"/>
      <c r="DW136" s="3126"/>
      <c r="DX136" s="3126"/>
      <c r="ES136" s="625"/>
      <c r="EU136" s="157"/>
      <c r="GG136" s="157"/>
      <c r="GP136" s="3133"/>
      <c r="GQ136" s="3134"/>
      <c r="GR136" s="3134"/>
      <c r="GS136" s="3134"/>
      <c r="GT136" s="3134"/>
      <c r="GU136" s="3134"/>
      <c r="GV136" s="3134"/>
      <c r="GW136" s="3134"/>
      <c r="GX136" s="3134"/>
      <c r="GY136" s="3134"/>
      <c r="GZ136" s="3134"/>
      <c r="HA136" s="3134"/>
      <c r="HB136" s="3134"/>
      <c r="HC136" s="3134"/>
      <c r="HD136" s="3134"/>
      <c r="HE136" s="3134"/>
      <c r="HF136" s="3135"/>
    </row>
    <row r="137" spans="3:219" ht="3.6" customHeight="1">
      <c r="M137" s="153"/>
      <c r="N137" s="154"/>
      <c r="AU137" s="364"/>
      <c r="AV137" s="365"/>
      <c r="BA137" s="638"/>
      <c r="BB137" s="638"/>
      <c r="BC137" s="638"/>
      <c r="BD137" s="638"/>
      <c r="BE137" s="160"/>
      <c r="BF137" s="160"/>
      <c r="BG137" s="160"/>
      <c r="BH137" s="160"/>
      <c r="CC137" s="364"/>
      <c r="CD137" s="365"/>
      <c r="DK137" s="631"/>
      <c r="DL137" s="632"/>
      <c r="DM137" s="625"/>
      <c r="DN137" s="3126"/>
      <c r="DO137" s="3126"/>
      <c r="DP137" s="3126"/>
      <c r="DQ137" s="20"/>
      <c r="DR137" s="3125"/>
      <c r="DS137" s="3125"/>
      <c r="DT137" s="3125"/>
      <c r="DU137" s="20"/>
      <c r="DV137" s="3126"/>
      <c r="DW137" s="3126"/>
      <c r="DX137" s="3126"/>
      <c r="ES137" s="625"/>
      <c r="EU137" s="157"/>
      <c r="GG137" s="157"/>
      <c r="GP137" s="3133"/>
      <c r="GQ137" s="3134"/>
      <c r="GR137" s="3134"/>
      <c r="GS137" s="3134"/>
      <c r="GT137" s="3134"/>
      <c r="GU137" s="3134"/>
      <c r="GV137" s="3134"/>
      <c r="GW137" s="3134"/>
      <c r="GX137" s="3134"/>
      <c r="GY137" s="3134"/>
      <c r="GZ137" s="3134"/>
      <c r="HA137" s="3134"/>
      <c r="HB137" s="3134"/>
      <c r="HC137" s="3134"/>
      <c r="HD137" s="3134"/>
      <c r="HE137" s="3134"/>
      <c r="HF137" s="3135"/>
    </row>
    <row r="138" spans="3:219" ht="3.6" customHeight="1">
      <c r="M138" s="153"/>
      <c r="N138" s="154"/>
      <c r="AU138" s="364"/>
      <c r="AV138" s="365"/>
      <c r="BA138" s="638"/>
      <c r="BB138" s="638"/>
      <c r="BC138" s="638"/>
      <c r="BD138" s="638"/>
      <c r="BE138" s="160"/>
      <c r="BF138" s="160"/>
      <c r="BG138" s="160"/>
      <c r="BH138" s="160"/>
      <c r="CC138" s="364"/>
      <c r="CD138" s="365"/>
      <c r="DK138" s="631"/>
      <c r="DL138" s="632"/>
      <c r="DM138" s="625"/>
      <c r="DN138" s="625"/>
      <c r="DQ138" s="20"/>
      <c r="DR138" s="3125"/>
      <c r="DS138" s="3125"/>
      <c r="DT138" s="3125"/>
      <c r="DU138" s="20"/>
      <c r="DV138" s="3126"/>
      <c r="DW138" s="3126"/>
      <c r="DX138" s="3126"/>
      <c r="ES138" s="625"/>
      <c r="EU138" s="157"/>
      <c r="GG138" s="157"/>
      <c r="GP138" s="3133"/>
      <c r="GQ138" s="3134"/>
      <c r="GR138" s="3134"/>
      <c r="GS138" s="3134"/>
      <c r="GT138" s="3134"/>
      <c r="GU138" s="3134"/>
      <c r="GV138" s="3134"/>
      <c r="GW138" s="3134"/>
      <c r="GX138" s="3134"/>
      <c r="GY138" s="3134"/>
      <c r="GZ138" s="3134"/>
      <c r="HA138" s="3134"/>
      <c r="HB138" s="3134"/>
      <c r="HC138" s="3134"/>
      <c r="HD138" s="3134"/>
      <c r="HE138" s="3134"/>
      <c r="HF138" s="3135"/>
    </row>
    <row r="139" spans="3:219" ht="3.6" customHeight="1">
      <c r="K139" s="143"/>
      <c r="L139" s="143"/>
      <c r="M139" s="384"/>
      <c r="N139" s="641"/>
      <c r="O139" s="143"/>
      <c r="P139" s="143"/>
      <c r="Q139" s="143"/>
      <c r="R139" s="143"/>
      <c r="S139" s="143"/>
      <c r="T139" s="143"/>
      <c r="U139" s="143"/>
      <c r="V139" s="143"/>
      <c r="W139" s="143"/>
      <c r="X139" s="143"/>
      <c r="Y139" s="143"/>
      <c r="Z139" s="143"/>
      <c r="AA139" s="143"/>
      <c r="AB139" s="143"/>
      <c r="AC139" s="143"/>
      <c r="AD139" s="143"/>
      <c r="AE139" s="143"/>
      <c r="AF139" s="143"/>
      <c r="AG139" s="143"/>
      <c r="AU139" s="364"/>
      <c r="AV139" s="365"/>
      <c r="BA139" s="638"/>
      <c r="BB139" s="638"/>
      <c r="BC139" s="638"/>
      <c r="BD139" s="638"/>
      <c r="BE139" s="160"/>
      <c r="BF139" s="160"/>
      <c r="BG139" s="160"/>
      <c r="BH139" s="160"/>
      <c r="BY139" s="143"/>
      <c r="BZ139" s="143"/>
      <c r="CA139" s="143"/>
      <c r="CB139" s="143"/>
      <c r="CC139" s="364"/>
      <c r="CD139" s="365"/>
      <c r="CE139" s="143"/>
      <c r="CF139" s="143"/>
      <c r="CG139" s="143"/>
      <c r="CH139" s="143"/>
      <c r="CI139" s="143"/>
      <c r="CJ139" s="143"/>
      <c r="CK139" s="143"/>
      <c r="CL139" s="143"/>
      <c r="CM139" s="143"/>
      <c r="CN139" s="143"/>
      <c r="CO139" s="143"/>
      <c r="CP139" s="143"/>
      <c r="CQ139" s="143"/>
      <c r="CR139" s="143"/>
      <c r="CS139" s="143"/>
      <c r="CT139" s="143"/>
      <c r="CU139" s="143"/>
      <c r="CV139" s="143"/>
      <c r="DK139" s="631"/>
      <c r="DL139" s="632"/>
      <c r="DM139" s="625"/>
      <c r="DN139" s="632"/>
      <c r="DQ139" s="20"/>
      <c r="DR139" s="3125"/>
      <c r="DS139" s="3125"/>
      <c r="DT139" s="3125"/>
      <c r="DU139" s="20"/>
      <c r="DV139" s="3126"/>
      <c r="DW139" s="3126"/>
      <c r="DX139" s="3126"/>
      <c r="ES139" s="625"/>
      <c r="EU139" s="157"/>
      <c r="GG139" s="157"/>
      <c r="GP139" s="3133"/>
      <c r="GQ139" s="3134"/>
      <c r="GR139" s="3134"/>
      <c r="GS139" s="3134"/>
      <c r="GT139" s="3134"/>
      <c r="GU139" s="3134"/>
      <c r="GV139" s="3134"/>
      <c r="GW139" s="3134"/>
      <c r="GX139" s="3134"/>
      <c r="GY139" s="3134"/>
      <c r="GZ139" s="3134"/>
      <c r="HA139" s="3134"/>
      <c r="HB139" s="3134"/>
      <c r="HC139" s="3134"/>
      <c r="HD139" s="3134"/>
      <c r="HE139" s="3134"/>
      <c r="HF139" s="3135"/>
    </row>
    <row r="140" spans="3:219" ht="3.6" customHeight="1">
      <c r="K140" s="143"/>
      <c r="L140" s="143"/>
      <c r="M140" s="384"/>
      <c r="N140" s="641"/>
      <c r="O140" s="143"/>
      <c r="P140" s="143"/>
      <c r="Q140" s="143"/>
      <c r="R140" s="143"/>
      <c r="S140" s="143"/>
      <c r="T140" s="143"/>
      <c r="U140" s="143"/>
      <c r="V140" s="143"/>
      <c r="W140" s="143"/>
      <c r="X140" s="143"/>
      <c r="Y140" s="143"/>
      <c r="Z140" s="143"/>
      <c r="AA140" s="143"/>
      <c r="AB140" s="143"/>
      <c r="AC140" s="143"/>
      <c r="AD140" s="143"/>
      <c r="AE140" s="143"/>
      <c r="AF140" s="143"/>
      <c r="AG140" s="143"/>
      <c r="AU140" s="364"/>
      <c r="AV140" s="365"/>
      <c r="BA140" s="638"/>
      <c r="BB140" s="638"/>
      <c r="BC140" s="638"/>
      <c r="BD140" s="638"/>
      <c r="BE140" s="160"/>
      <c r="BF140" s="160"/>
      <c r="BG140" s="160"/>
      <c r="BH140" s="160"/>
      <c r="BY140" s="143"/>
      <c r="BZ140" s="143"/>
      <c r="CA140" s="143"/>
      <c r="CB140" s="143"/>
      <c r="CC140" s="364"/>
      <c r="CD140" s="365"/>
      <c r="CE140" s="143"/>
      <c r="CF140" s="143"/>
      <c r="CG140" s="143"/>
      <c r="CH140" s="143"/>
      <c r="CI140" s="143"/>
      <c r="CJ140" s="143"/>
      <c r="CK140" s="143"/>
      <c r="CL140" s="143"/>
      <c r="CM140" s="143"/>
      <c r="CN140" s="143"/>
      <c r="CO140" s="143"/>
      <c r="CP140" s="143"/>
      <c r="CQ140" s="143"/>
      <c r="CR140" s="143"/>
      <c r="CS140" s="143"/>
      <c r="CT140" s="143"/>
      <c r="CU140" s="143"/>
      <c r="CV140" s="143"/>
      <c r="DK140" s="631"/>
      <c r="DL140" s="632"/>
      <c r="DM140" s="625"/>
      <c r="DN140" s="632"/>
      <c r="DQ140" s="20"/>
      <c r="DR140" s="3125"/>
      <c r="DS140" s="3125"/>
      <c r="DT140" s="3125"/>
      <c r="DU140" s="20"/>
      <c r="DV140" s="3126"/>
      <c r="DW140" s="3126"/>
      <c r="DX140" s="3126"/>
      <c r="ES140" s="625"/>
      <c r="EU140" s="157"/>
      <c r="GG140" s="157"/>
      <c r="GP140" s="153"/>
    </row>
    <row r="141" spans="3:219" ht="3.6" customHeight="1">
      <c r="K141" s="143"/>
      <c r="L141" s="143"/>
      <c r="M141" s="384"/>
      <c r="N141" s="641"/>
      <c r="O141" s="143"/>
      <c r="P141" s="143"/>
      <c r="Q141" s="143"/>
      <c r="R141" s="143"/>
      <c r="S141" s="143"/>
      <c r="T141" s="143"/>
      <c r="U141" s="143"/>
      <c r="V141" s="143"/>
      <c r="W141" s="143"/>
      <c r="X141" s="143"/>
      <c r="Y141" s="143"/>
      <c r="Z141" s="143"/>
      <c r="AA141" s="143"/>
      <c r="AB141" s="143"/>
      <c r="AC141" s="143"/>
      <c r="AD141" s="143"/>
      <c r="AE141" s="143"/>
      <c r="AF141" s="143"/>
      <c r="AG141" s="143"/>
      <c r="AU141" s="364"/>
      <c r="AV141" s="365"/>
      <c r="BA141" s="638"/>
      <c r="BB141" s="638"/>
      <c r="BC141" s="638"/>
      <c r="BD141" s="638"/>
      <c r="BE141" s="160"/>
      <c r="BF141" s="160"/>
      <c r="BG141" s="160"/>
      <c r="BH141" s="160"/>
      <c r="BY141" s="143"/>
      <c r="BZ141" s="143"/>
      <c r="CA141" s="143"/>
      <c r="CB141" s="143"/>
      <c r="CC141" s="364"/>
      <c r="CD141" s="365"/>
      <c r="CE141" s="143"/>
      <c r="CF141" s="143"/>
      <c r="CG141" s="143"/>
      <c r="CH141" s="143"/>
      <c r="CI141" s="143"/>
      <c r="CJ141" s="143"/>
      <c r="CK141" s="143"/>
      <c r="CL141" s="143"/>
      <c r="CM141" s="143"/>
      <c r="CN141" s="143"/>
      <c r="CO141" s="143"/>
      <c r="CP141" s="143"/>
      <c r="CQ141" s="143"/>
      <c r="CR141" s="143"/>
      <c r="CS141" s="143"/>
      <c r="CT141" s="143"/>
      <c r="CU141" s="143"/>
      <c r="CV141" s="143"/>
      <c r="DK141" s="631"/>
      <c r="DL141" s="632"/>
      <c r="DM141" s="625"/>
      <c r="DN141" s="632"/>
      <c r="DQ141" s="20"/>
      <c r="DR141" s="3125"/>
      <c r="DS141" s="3125"/>
      <c r="DT141" s="3125"/>
      <c r="DU141" s="20"/>
      <c r="DV141" s="3126"/>
      <c r="DW141" s="3126"/>
      <c r="DX141" s="3126"/>
      <c r="ES141" s="625"/>
      <c r="EU141" s="157"/>
      <c r="GG141" s="157"/>
      <c r="GP141" s="153"/>
    </row>
    <row r="142" spans="3:219" ht="3.6" customHeight="1">
      <c r="K142" s="143"/>
      <c r="L142" s="143"/>
      <c r="M142" s="384"/>
      <c r="N142" s="641"/>
      <c r="O142" s="143"/>
      <c r="P142" s="143"/>
      <c r="Q142" s="143"/>
      <c r="R142" s="143"/>
      <c r="S142" s="143"/>
      <c r="T142" s="143"/>
      <c r="U142" s="143"/>
      <c r="V142" s="143"/>
      <c r="W142" s="143"/>
      <c r="X142" s="143"/>
      <c r="Y142" s="143"/>
      <c r="Z142" s="143"/>
      <c r="AA142" s="143"/>
      <c r="AB142" s="143"/>
      <c r="AC142" s="143"/>
      <c r="AD142" s="143"/>
      <c r="AE142" s="143"/>
      <c r="AF142" s="143"/>
      <c r="AG142" s="143"/>
      <c r="AU142" s="364"/>
      <c r="AV142" s="365"/>
      <c r="BA142" s="638"/>
      <c r="BB142" s="638"/>
      <c r="BC142" s="638"/>
      <c r="BD142" s="638"/>
      <c r="BE142" s="160"/>
      <c r="BF142" s="160"/>
      <c r="BG142" s="160"/>
      <c r="BH142" s="160"/>
      <c r="BY142" s="143"/>
      <c r="BZ142" s="143"/>
      <c r="CA142" s="143"/>
      <c r="CB142" s="143"/>
      <c r="CC142" s="364"/>
      <c r="CD142" s="365"/>
      <c r="CE142" s="143"/>
      <c r="CF142" s="143"/>
      <c r="CG142" s="143"/>
      <c r="CH142" s="143"/>
      <c r="CI142" s="143"/>
      <c r="CJ142" s="143"/>
      <c r="CK142" s="143"/>
      <c r="CL142" s="143"/>
      <c r="CM142" s="143"/>
      <c r="CN142" s="143"/>
      <c r="CO142" s="143"/>
      <c r="CP142" s="143"/>
      <c r="CQ142" s="143"/>
      <c r="CR142" s="143"/>
      <c r="CS142" s="143"/>
      <c r="CT142" s="143"/>
      <c r="CU142" s="143"/>
      <c r="CV142" s="143"/>
      <c r="DK142" s="631"/>
      <c r="DL142" s="632"/>
      <c r="DM142" s="625"/>
      <c r="DN142" s="632"/>
      <c r="DQ142" s="20"/>
      <c r="DR142" s="3125"/>
      <c r="DS142" s="3125"/>
      <c r="DT142" s="3125"/>
      <c r="DU142" s="20"/>
      <c r="DV142" s="3126"/>
      <c r="DW142" s="3126"/>
      <c r="DX142" s="3126"/>
      <c r="ES142" s="625"/>
      <c r="EU142" s="157"/>
      <c r="GG142" s="157"/>
      <c r="GP142" s="3102" t="s">
        <v>4141</v>
      </c>
      <c r="GQ142" s="3103"/>
      <c r="GR142" s="3103"/>
      <c r="GS142" s="3104"/>
      <c r="GT142" s="3136" t="s">
        <v>4141</v>
      </c>
      <c r="GU142" s="3125"/>
      <c r="GV142" s="3125"/>
      <c r="GW142" s="3125"/>
      <c r="GX142" s="3137"/>
      <c r="GY142" s="3136" t="s">
        <v>4141</v>
      </c>
      <c r="GZ142" s="3125"/>
      <c r="HA142" s="3125"/>
      <c r="HB142" s="3137"/>
      <c r="HC142" s="3138" t="s">
        <v>4146</v>
      </c>
      <c r="HD142" s="3139"/>
      <c r="HE142" s="3138" t="s">
        <v>4146</v>
      </c>
      <c r="HF142" s="3139"/>
      <c r="HG142" s="20"/>
      <c r="HH142" s="20"/>
      <c r="HI142" s="20"/>
      <c r="HJ142" s="20"/>
      <c r="HK142" s="20"/>
    </row>
    <row r="143" spans="3:219" ht="3.6" customHeight="1">
      <c r="K143" s="140"/>
      <c r="L143" s="140"/>
      <c r="M143" s="164"/>
      <c r="N143" s="167"/>
      <c r="O143" s="140"/>
      <c r="P143" s="140"/>
      <c r="Q143" s="140"/>
      <c r="R143" s="140"/>
      <c r="S143" s="140"/>
      <c r="T143" s="140"/>
      <c r="U143" s="140"/>
      <c r="V143" s="140"/>
      <c r="W143" s="140"/>
      <c r="X143" s="140"/>
      <c r="Y143" s="140"/>
      <c r="Z143" s="140"/>
      <c r="AA143" s="140"/>
      <c r="AB143" s="140"/>
      <c r="AC143" s="140"/>
      <c r="AD143" s="140"/>
      <c r="AE143" s="140"/>
      <c r="AF143" s="140"/>
      <c r="AG143" s="140"/>
      <c r="AU143" s="364"/>
      <c r="AV143" s="365"/>
      <c r="BA143" s="638"/>
      <c r="BB143" s="638"/>
      <c r="BC143" s="638"/>
      <c r="BD143" s="638"/>
      <c r="BE143" s="160"/>
      <c r="BF143" s="160"/>
      <c r="BG143" s="160"/>
      <c r="BH143" s="160"/>
      <c r="BY143" s="140"/>
      <c r="BZ143" s="140"/>
      <c r="CA143" s="140"/>
      <c r="CB143" s="140"/>
      <c r="CC143" s="364"/>
      <c r="CD143" s="365"/>
      <c r="CE143" s="140"/>
      <c r="CF143" s="140"/>
      <c r="CG143" s="140"/>
      <c r="CH143" s="140"/>
      <c r="CI143" s="140"/>
      <c r="CJ143" s="140"/>
      <c r="CK143" s="140"/>
      <c r="CL143" s="140"/>
      <c r="CM143" s="140"/>
      <c r="CN143" s="140"/>
      <c r="CO143" s="140"/>
      <c r="CP143" s="140"/>
      <c r="CQ143" s="140"/>
      <c r="CR143" s="140"/>
      <c r="CS143" s="140"/>
      <c r="CT143" s="140"/>
      <c r="CU143" s="140"/>
      <c r="CV143" s="140"/>
      <c r="DK143" s="631"/>
      <c r="DL143" s="632"/>
      <c r="DM143" s="625"/>
      <c r="DN143" s="632"/>
      <c r="DQ143" s="20"/>
      <c r="DR143" s="3125"/>
      <c r="DS143" s="3125"/>
      <c r="DT143" s="3125"/>
      <c r="DU143" s="20"/>
      <c r="DV143" s="3126"/>
      <c r="DW143" s="3126"/>
      <c r="DX143" s="3126"/>
      <c r="ES143" s="625"/>
      <c r="EU143" s="157"/>
      <c r="GG143" s="157"/>
      <c r="GP143" s="3102"/>
      <c r="GQ143" s="3103"/>
      <c r="GR143" s="3103"/>
      <c r="GS143" s="3104"/>
      <c r="GT143" s="3136"/>
      <c r="GU143" s="3125"/>
      <c r="GV143" s="3125"/>
      <c r="GW143" s="3125"/>
      <c r="GX143" s="3137"/>
      <c r="GY143" s="3136"/>
      <c r="GZ143" s="3125"/>
      <c r="HA143" s="3125"/>
      <c r="HB143" s="3137"/>
      <c r="HC143" s="3138"/>
      <c r="HD143" s="3139"/>
      <c r="HE143" s="3138"/>
      <c r="HF143" s="3139"/>
      <c r="HG143" s="20"/>
      <c r="HH143" s="20"/>
      <c r="HI143" s="20"/>
      <c r="HJ143" s="20"/>
      <c r="HK143" s="20"/>
    </row>
    <row r="144" spans="3:219" ht="3.6" customHeight="1">
      <c r="K144" s="140"/>
      <c r="L144" s="140"/>
      <c r="M144" s="164"/>
      <c r="N144" s="167"/>
      <c r="O144" s="140"/>
      <c r="P144" s="140"/>
      <c r="Q144" s="140"/>
      <c r="R144" s="140"/>
      <c r="S144" s="140"/>
      <c r="T144" s="140"/>
      <c r="U144" s="140"/>
      <c r="V144" s="140"/>
      <c r="W144" s="140"/>
      <c r="X144" s="140"/>
      <c r="Y144" s="140"/>
      <c r="Z144" s="140"/>
      <c r="AA144" s="140"/>
      <c r="AB144" s="140"/>
      <c r="AC144" s="140"/>
      <c r="AD144" s="140"/>
      <c r="AE144" s="140"/>
      <c r="AF144" s="140"/>
      <c r="AG144" s="140"/>
      <c r="AU144" s="364"/>
      <c r="AV144" s="365"/>
      <c r="BA144" s="638"/>
      <c r="BB144" s="638"/>
      <c r="BC144" s="638"/>
      <c r="BD144" s="638"/>
      <c r="BE144" s="160"/>
      <c r="BF144" s="160"/>
      <c r="BG144" s="160"/>
      <c r="BH144" s="160"/>
      <c r="BY144" s="140"/>
      <c r="BZ144" s="140"/>
      <c r="CA144" s="140"/>
      <c r="CB144" s="140"/>
      <c r="CC144" s="364"/>
      <c r="CD144" s="365"/>
      <c r="CE144" s="140"/>
      <c r="CF144" s="140"/>
      <c r="CG144" s="140"/>
      <c r="CH144" s="140"/>
      <c r="CI144" s="140"/>
      <c r="CJ144" s="140"/>
      <c r="CK144" s="140"/>
      <c r="CL144" s="140"/>
      <c r="CM144" s="140"/>
      <c r="CN144" s="140"/>
      <c r="CO144" s="140"/>
      <c r="CP144" s="140"/>
      <c r="CQ144" s="140"/>
      <c r="CR144" s="140"/>
      <c r="CS144" s="140"/>
      <c r="CT144" s="140"/>
      <c r="CU144" s="140"/>
      <c r="CV144" s="140"/>
      <c r="DK144" s="631"/>
      <c r="DL144" s="632"/>
      <c r="DM144" s="625"/>
      <c r="DN144" s="632"/>
      <c r="DQ144" s="20"/>
      <c r="DR144" s="3125"/>
      <c r="DS144" s="3125"/>
      <c r="DT144" s="3125"/>
      <c r="DU144" s="20"/>
      <c r="DV144" s="3126"/>
      <c r="DW144" s="3126"/>
      <c r="DX144" s="3126"/>
      <c r="ES144" s="625"/>
      <c r="EU144" s="157"/>
      <c r="GG144" s="157"/>
      <c r="GP144" s="3102"/>
      <c r="GQ144" s="3103"/>
      <c r="GR144" s="3103"/>
      <c r="GS144" s="3104"/>
      <c r="GT144" s="3136"/>
      <c r="GU144" s="3125"/>
      <c r="GV144" s="3125"/>
      <c r="GW144" s="3125"/>
      <c r="GX144" s="3137"/>
      <c r="GY144" s="3136"/>
      <c r="GZ144" s="3125"/>
      <c r="HA144" s="3125"/>
      <c r="HB144" s="3137"/>
      <c r="HC144" s="3138"/>
      <c r="HD144" s="3139"/>
      <c r="HE144" s="3138"/>
      <c r="HF144" s="3139"/>
      <c r="HG144" s="20"/>
      <c r="HH144" s="20"/>
      <c r="HI144" s="20"/>
      <c r="HJ144" s="20"/>
      <c r="HK144" s="20"/>
    </row>
    <row r="145" spans="3:219" ht="3.6" customHeight="1">
      <c r="K145" s="140"/>
      <c r="L145" s="140"/>
      <c r="M145" s="164"/>
      <c r="N145" s="167"/>
      <c r="O145" s="140"/>
      <c r="P145" s="140"/>
      <c r="Q145" s="140"/>
      <c r="R145" s="140"/>
      <c r="S145" s="140"/>
      <c r="T145" s="140"/>
      <c r="U145" s="140"/>
      <c r="V145" s="140"/>
      <c r="W145" s="140"/>
      <c r="X145" s="140"/>
      <c r="Y145" s="140"/>
      <c r="Z145" s="140"/>
      <c r="AA145" s="140"/>
      <c r="AB145" s="140"/>
      <c r="AC145" s="140"/>
      <c r="AD145" s="140"/>
      <c r="AE145" s="140"/>
      <c r="AF145" s="140"/>
      <c r="AG145" s="140"/>
      <c r="AU145" s="364"/>
      <c r="AV145" s="365"/>
      <c r="BA145" s="638"/>
      <c r="BB145" s="638"/>
      <c r="BC145" s="638"/>
      <c r="BD145" s="638"/>
      <c r="BE145" s="160"/>
      <c r="BF145" s="160"/>
      <c r="BG145" s="160"/>
      <c r="BH145" s="160"/>
      <c r="BY145" s="140"/>
      <c r="BZ145" s="140"/>
      <c r="CA145" s="140"/>
      <c r="CB145" s="140"/>
      <c r="CC145" s="364"/>
      <c r="CD145" s="365"/>
      <c r="CE145" s="140"/>
      <c r="CF145" s="140"/>
      <c r="CG145" s="140"/>
      <c r="CH145" s="140"/>
      <c r="CI145" s="140"/>
      <c r="CJ145" s="140"/>
      <c r="CK145" s="140"/>
      <c r="CL145" s="140"/>
      <c r="CM145" s="140"/>
      <c r="CN145" s="140"/>
      <c r="CO145" s="140"/>
      <c r="CP145" s="140"/>
      <c r="CQ145" s="140"/>
      <c r="CR145" s="140"/>
      <c r="CS145" s="140"/>
      <c r="CT145" s="140"/>
      <c r="CU145" s="140"/>
      <c r="CV145" s="140"/>
      <c r="DK145" s="631"/>
      <c r="DL145" s="632"/>
      <c r="DM145" s="625"/>
      <c r="DN145" s="632"/>
      <c r="DQ145" s="20"/>
      <c r="DR145" s="3125" t="s">
        <v>3162</v>
      </c>
      <c r="DS145" s="3125"/>
      <c r="DT145" s="3125"/>
      <c r="DU145" s="20"/>
      <c r="DV145" s="3125" t="s">
        <v>3164</v>
      </c>
      <c r="DW145" s="3126"/>
      <c r="DX145" s="3126"/>
      <c r="DY145" s="625"/>
      <c r="DZ145" s="625"/>
      <c r="EA145" s="625"/>
      <c r="EB145" s="625"/>
      <c r="ES145" s="625"/>
      <c r="EU145" s="157"/>
      <c r="GG145" s="157"/>
      <c r="GP145" s="3102"/>
      <c r="GQ145" s="3103"/>
      <c r="GR145" s="3103"/>
      <c r="GS145" s="3104"/>
      <c r="GT145" s="3136"/>
      <c r="GU145" s="3125"/>
      <c r="GV145" s="3125"/>
      <c r="GW145" s="3125"/>
      <c r="GX145" s="3137"/>
      <c r="GY145" s="3136"/>
      <c r="GZ145" s="3125"/>
      <c r="HA145" s="3125"/>
      <c r="HB145" s="3137"/>
      <c r="HC145" s="3138"/>
      <c r="HD145" s="3139"/>
      <c r="HE145" s="3138"/>
      <c r="HF145" s="3139"/>
      <c r="HG145" s="20"/>
      <c r="HH145" s="20"/>
      <c r="HI145" s="20"/>
      <c r="HJ145" s="20"/>
      <c r="HK145" s="20"/>
    </row>
    <row r="146" spans="3:219" ht="3.6" customHeight="1">
      <c r="K146" s="140"/>
      <c r="L146" s="140"/>
      <c r="M146" s="164"/>
      <c r="N146" s="167"/>
      <c r="O146" s="140"/>
      <c r="P146" s="140"/>
      <c r="Q146" s="140"/>
      <c r="R146" s="140"/>
      <c r="S146" s="140"/>
      <c r="T146" s="140"/>
      <c r="U146" s="140"/>
      <c r="V146" s="140"/>
      <c r="W146" s="140"/>
      <c r="X146" s="140"/>
      <c r="Y146" s="140"/>
      <c r="Z146" s="140"/>
      <c r="AA146" s="140"/>
      <c r="AB146" s="140"/>
      <c r="AC146" s="140"/>
      <c r="AD146" s="140"/>
      <c r="AE146" s="140"/>
      <c r="AF146" s="140"/>
      <c r="AG146" s="140"/>
      <c r="AU146" s="364"/>
      <c r="AV146" s="365"/>
      <c r="BA146" s="638"/>
      <c r="BB146" s="638"/>
      <c r="BC146" s="638"/>
      <c r="BD146" s="638"/>
      <c r="BE146" s="160"/>
      <c r="BF146" s="160"/>
      <c r="BG146" s="160"/>
      <c r="BH146" s="160"/>
      <c r="BY146" s="140"/>
      <c r="BZ146" s="140"/>
      <c r="CA146" s="140"/>
      <c r="CB146" s="140"/>
      <c r="CC146" s="364"/>
      <c r="CD146" s="365"/>
      <c r="CE146" s="140"/>
      <c r="CF146" s="140"/>
      <c r="CG146" s="140"/>
      <c r="CH146" s="140"/>
      <c r="CI146" s="140"/>
      <c r="CJ146" s="140"/>
      <c r="CK146" s="140"/>
      <c r="CL146" s="140"/>
      <c r="CM146" s="140"/>
      <c r="CN146" s="140"/>
      <c r="CO146" s="140"/>
      <c r="CP146" s="140"/>
      <c r="CQ146" s="140"/>
      <c r="CR146" s="140"/>
      <c r="CS146" s="140"/>
      <c r="CT146" s="140"/>
      <c r="CU146" s="140"/>
      <c r="CV146" s="140"/>
      <c r="DK146" s="631"/>
      <c r="DL146" s="632"/>
      <c r="DM146" s="625"/>
      <c r="DN146" s="632"/>
      <c r="DQ146" s="20"/>
      <c r="DR146" s="3125"/>
      <c r="DS146" s="3125"/>
      <c r="DT146" s="3125"/>
      <c r="DU146" s="20"/>
      <c r="DV146" s="3126"/>
      <c r="DW146" s="3126"/>
      <c r="DX146" s="3126"/>
      <c r="DY146" s="625"/>
      <c r="DZ146" s="625"/>
      <c r="EA146" s="625"/>
      <c r="EB146" s="625"/>
      <c r="ES146" s="625"/>
      <c r="EU146" s="157"/>
      <c r="GG146" s="157"/>
      <c r="GP146" s="3102"/>
      <c r="GQ146" s="3103"/>
      <c r="GR146" s="3103"/>
      <c r="GS146" s="3104"/>
      <c r="GT146" s="3136"/>
      <c r="GU146" s="3125"/>
      <c r="GV146" s="3125"/>
      <c r="GW146" s="3125"/>
      <c r="GX146" s="3137"/>
      <c r="GY146" s="3136"/>
      <c r="GZ146" s="3125"/>
      <c r="HA146" s="3125"/>
      <c r="HB146" s="3137"/>
      <c r="HC146" s="3138"/>
      <c r="HD146" s="3139"/>
      <c r="HE146" s="3138"/>
      <c r="HF146" s="3139"/>
      <c r="HG146" s="20"/>
      <c r="HH146" s="20"/>
      <c r="HI146" s="20"/>
      <c r="HJ146" s="20"/>
      <c r="HK146" s="20"/>
    </row>
    <row r="147" spans="3:219" ht="3.6" customHeight="1">
      <c r="M147" s="153"/>
      <c r="N147" s="154"/>
      <c r="AU147" s="364"/>
      <c r="AV147" s="365"/>
      <c r="BA147" s="638"/>
      <c r="BB147" s="638"/>
      <c r="BC147" s="638"/>
      <c r="BD147" s="638"/>
      <c r="BE147" s="160"/>
      <c r="BF147" s="160"/>
      <c r="BG147" s="160"/>
      <c r="BH147" s="160"/>
      <c r="CC147" s="364"/>
      <c r="CD147" s="365"/>
      <c r="DK147" s="631"/>
      <c r="DL147" s="632"/>
      <c r="DM147" s="625"/>
      <c r="DN147" s="632"/>
      <c r="DQ147" s="20"/>
      <c r="DR147" s="3125"/>
      <c r="DS147" s="3125"/>
      <c r="DT147" s="3125"/>
      <c r="DU147" s="20"/>
      <c r="DV147" s="3126"/>
      <c r="DW147" s="3126"/>
      <c r="DX147" s="3126"/>
      <c r="DY147" s="625"/>
      <c r="DZ147" s="625"/>
      <c r="EA147" s="625"/>
      <c r="EB147" s="625"/>
      <c r="ES147" s="625"/>
      <c r="EU147" s="157"/>
      <c r="GG147" s="157"/>
      <c r="GP147" s="3102"/>
      <c r="GQ147" s="3103"/>
      <c r="GR147" s="3103"/>
      <c r="GS147" s="3104"/>
      <c r="GT147" s="3136"/>
      <c r="GU147" s="3125"/>
      <c r="GV147" s="3125"/>
      <c r="GW147" s="3125"/>
      <c r="GX147" s="3137"/>
      <c r="GY147" s="3136"/>
      <c r="GZ147" s="3125"/>
      <c r="HA147" s="3125"/>
      <c r="HB147" s="3137"/>
      <c r="HC147" s="3138"/>
      <c r="HD147" s="3139"/>
      <c r="HE147" s="3138"/>
      <c r="HF147" s="3139"/>
      <c r="HG147" s="20"/>
      <c r="HH147" s="20"/>
      <c r="HI147" s="20"/>
      <c r="HJ147" s="20"/>
      <c r="HK147" s="20"/>
    </row>
    <row r="148" spans="3:219" ht="3.6" customHeight="1">
      <c r="M148" s="153"/>
      <c r="N148" s="154"/>
      <c r="AU148" s="364"/>
      <c r="AV148" s="365"/>
      <c r="BA148" s="638"/>
      <c r="BB148" s="638"/>
      <c r="BC148" s="638"/>
      <c r="BD148" s="638"/>
      <c r="BE148" s="160"/>
      <c r="BF148" s="160"/>
      <c r="BG148" s="160"/>
      <c r="BH148" s="160"/>
      <c r="CC148" s="364"/>
      <c r="CD148" s="365"/>
      <c r="DK148" s="164"/>
      <c r="DL148" s="167"/>
      <c r="DM148" s="625"/>
      <c r="DN148" s="632"/>
      <c r="DQ148" s="20"/>
      <c r="DR148" s="3125"/>
      <c r="DS148" s="3125"/>
      <c r="DT148" s="3125"/>
      <c r="DU148" s="20"/>
      <c r="DV148" s="3126"/>
      <c r="DW148" s="3126"/>
      <c r="DX148" s="3126"/>
      <c r="DY148" s="625"/>
      <c r="DZ148" s="625"/>
      <c r="EA148" s="625"/>
      <c r="EB148" s="625"/>
      <c r="ES148" s="625"/>
      <c r="EU148" s="157"/>
      <c r="GG148" s="157"/>
      <c r="GP148" s="3102"/>
      <c r="GQ148" s="3103"/>
      <c r="GR148" s="3103"/>
      <c r="GS148" s="3104"/>
      <c r="GT148" s="3136"/>
      <c r="GU148" s="3125"/>
      <c r="GV148" s="3125"/>
      <c r="GW148" s="3125"/>
      <c r="GX148" s="3137"/>
      <c r="GY148" s="3136"/>
      <c r="GZ148" s="3125"/>
      <c r="HA148" s="3125"/>
      <c r="HB148" s="3137"/>
      <c r="HC148" s="3138"/>
      <c r="HD148" s="3139"/>
      <c r="HE148" s="3138"/>
      <c r="HF148" s="3139"/>
      <c r="HG148" s="20"/>
      <c r="HH148" s="20"/>
      <c r="HI148" s="20"/>
      <c r="HJ148" s="20"/>
      <c r="HK148" s="20"/>
    </row>
    <row r="149" spans="3:219" ht="3.6" customHeight="1">
      <c r="C149" s="625"/>
      <c r="D149" s="625"/>
      <c r="E149" s="625"/>
      <c r="F149" s="625"/>
      <c r="H149" s="140"/>
      <c r="I149" s="140"/>
      <c r="J149" s="140"/>
      <c r="K149" s="140"/>
      <c r="M149" s="153"/>
      <c r="N149" s="154"/>
      <c r="AU149" s="364"/>
      <c r="AV149" s="365"/>
      <c r="BA149" s="638"/>
      <c r="BB149" s="638"/>
      <c r="BC149" s="638"/>
      <c r="BD149" s="638"/>
      <c r="BE149" s="160"/>
      <c r="BF149" s="160"/>
      <c r="BG149" s="160"/>
      <c r="BH149" s="160"/>
      <c r="CC149" s="364"/>
      <c r="CD149" s="365"/>
      <c r="DK149" s="164"/>
      <c r="DL149" s="167"/>
      <c r="DM149" s="625"/>
      <c r="DN149" s="632"/>
      <c r="DQ149" s="20"/>
      <c r="DR149" s="3125"/>
      <c r="DS149" s="3125"/>
      <c r="DT149" s="3125"/>
      <c r="DU149" s="20"/>
      <c r="DV149" s="3126"/>
      <c r="DW149" s="3126"/>
      <c r="DX149" s="3126"/>
      <c r="DY149" s="625"/>
      <c r="DZ149" s="625"/>
      <c r="EA149" s="625"/>
      <c r="EB149" s="625"/>
      <c r="ES149" s="625"/>
      <c r="EU149" s="157"/>
      <c r="GG149" s="157"/>
      <c r="GP149" s="3102"/>
      <c r="GQ149" s="3103"/>
      <c r="GR149" s="3103"/>
      <c r="GS149" s="3104"/>
      <c r="GT149" s="3136"/>
      <c r="GU149" s="3125"/>
      <c r="GV149" s="3125"/>
      <c r="GW149" s="3125"/>
      <c r="GX149" s="3137"/>
      <c r="GY149" s="3136"/>
      <c r="GZ149" s="3125"/>
      <c r="HA149" s="3125"/>
      <c r="HB149" s="3137"/>
      <c r="HC149" s="3138"/>
      <c r="HD149" s="3139"/>
      <c r="HE149" s="3138"/>
      <c r="HF149" s="3139"/>
      <c r="HG149" s="20"/>
      <c r="HH149" s="20"/>
      <c r="HI149" s="20"/>
      <c r="HJ149" s="20"/>
      <c r="HK149" s="20"/>
    </row>
    <row r="150" spans="3:219" ht="3.6" customHeight="1">
      <c r="C150" s="625"/>
      <c r="D150" s="625"/>
      <c r="E150" s="625"/>
      <c r="F150" s="625"/>
      <c r="H150" s="140"/>
      <c r="I150" s="140"/>
      <c r="J150" s="140"/>
      <c r="K150" s="140"/>
      <c r="M150" s="153"/>
      <c r="N150" s="154"/>
      <c r="AU150" s="364"/>
      <c r="AV150" s="365"/>
      <c r="BA150" s="638"/>
      <c r="BB150" s="638"/>
      <c r="BC150" s="638"/>
      <c r="BD150" s="638"/>
      <c r="BE150" s="160"/>
      <c r="BF150" s="160"/>
      <c r="BG150" s="160"/>
      <c r="BH150" s="160"/>
      <c r="CC150" s="364"/>
      <c r="CD150" s="365"/>
      <c r="DK150" s="164"/>
      <c r="DL150" s="167"/>
      <c r="DM150" s="625"/>
      <c r="DN150" s="632"/>
      <c r="DQ150" s="20"/>
      <c r="DR150" s="3125"/>
      <c r="DS150" s="3125"/>
      <c r="DT150" s="3125"/>
      <c r="DU150" s="20"/>
      <c r="DV150" s="3126"/>
      <c r="DW150" s="3126"/>
      <c r="DX150" s="3126"/>
      <c r="DY150" s="625"/>
      <c r="DZ150" s="625"/>
      <c r="EA150" s="625"/>
      <c r="EB150" s="625"/>
      <c r="ES150" s="625"/>
      <c r="EU150" s="157"/>
      <c r="GG150" s="157"/>
      <c r="GP150" s="3102"/>
      <c r="GQ150" s="3103"/>
      <c r="GR150" s="3103"/>
      <c r="GS150" s="3104"/>
      <c r="GT150" s="3136"/>
      <c r="GU150" s="3125"/>
      <c r="GV150" s="3125"/>
      <c r="GW150" s="3125"/>
      <c r="GX150" s="3137"/>
      <c r="GY150" s="3136"/>
      <c r="GZ150" s="3125"/>
      <c r="HA150" s="3125"/>
      <c r="HB150" s="3137"/>
      <c r="HC150" s="3138"/>
      <c r="HD150" s="3139"/>
      <c r="HE150" s="3138"/>
      <c r="HF150" s="3139"/>
      <c r="HG150" s="20"/>
      <c r="HH150" s="20"/>
      <c r="HI150" s="20"/>
      <c r="HJ150" s="20"/>
      <c r="HK150" s="20"/>
    </row>
    <row r="151" spans="3:219" ht="3.6" customHeight="1">
      <c r="C151" s="625"/>
      <c r="D151" s="625"/>
      <c r="E151" s="625"/>
      <c r="F151" s="625"/>
      <c r="H151" s="140"/>
      <c r="I151" s="140"/>
      <c r="J151" s="140"/>
      <c r="K151" s="140"/>
      <c r="M151" s="153"/>
      <c r="N151" s="154"/>
      <c r="AU151" s="364"/>
      <c r="AV151" s="365"/>
      <c r="BA151" s="638"/>
      <c r="BB151" s="638"/>
      <c r="BC151" s="638"/>
      <c r="BD151" s="638"/>
      <c r="BE151" s="160"/>
      <c r="BF151" s="160"/>
      <c r="BG151" s="160"/>
      <c r="BH151" s="160"/>
      <c r="CC151" s="364"/>
      <c r="CD151" s="365"/>
      <c r="DK151" s="153"/>
      <c r="DL151" s="154"/>
      <c r="DM151" s="625"/>
      <c r="DN151" s="154"/>
      <c r="DQ151" s="20"/>
      <c r="DR151" s="3125"/>
      <c r="DS151" s="3125"/>
      <c r="DT151" s="3125"/>
      <c r="DU151" s="20"/>
      <c r="DV151" s="3126"/>
      <c r="DW151" s="3126"/>
      <c r="DX151" s="3126"/>
      <c r="DY151" s="625"/>
      <c r="DZ151" s="625"/>
      <c r="EA151" s="625"/>
      <c r="EB151" s="625"/>
      <c r="ES151" s="625"/>
      <c r="EU151" s="157"/>
      <c r="GG151" s="157"/>
      <c r="GP151" s="3102"/>
      <c r="GQ151" s="3103"/>
      <c r="GR151" s="3103"/>
      <c r="GS151" s="3104"/>
      <c r="GT151" s="3136"/>
      <c r="GU151" s="3125"/>
      <c r="GV151" s="3125"/>
      <c r="GW151" s="3125"/>
      <c r="GX151" s="3137"/>
      <c r="GY151" s="3136"/>
      <c r="GZ151" s="3125"/>
      <c r="HA151" s="3125"/>
      <c r="HB151" s="3137"/>
      <c r="HC151" s="3140"/>
      <c r="HD151" s="3141"/>
      <c r="HE151" s="3140"/>
      <c r="HF151" s="3141"/>
      <c r="HG151" s="20"/>
      <c r="HH151" s="20"/>
      <c r="HI151" s="20"/>
      <c r="HJ151" s="20"/>
      <c r="HK151" s="20"/>
    </row>
    <row r="152" spans="3:219" ht="3.6" customHeight="1">
      <c r="C152" s="625"/>
      <c r="D152" s="625"/>
      <c r="E152" s="625"/>
      <c r="F152" s="625"/>
      <c r="H152" s="140"/>
      <c r="I152" s="140"/>
      <c r="J152" s="140"/>
      <c r="K152" s="140"/>
      <c r="M152" s="153"/>
      <c r="N152" s="154"/>
      <c r="AU152" s="364"/>
      <c r="AV152" s="365"/>
      <c r="BA152" s="638"/>
      <c r="BB152" s="638"/>
      <c r="BC152" s="638"/>
      <c r="BD152" s="638"/>
      <c r="BE152" s="160"/>
      <c r="BF152" s="160"/>
      <c r="BG152" s="160"/>
      <c r="BH152" s="160"/>
      <c r="CC152" s="364"/>
      <c r="CD152" s="365"/>
      <c r="DK152" s="153"/>
      <c r="DL152" s="154"/>
      <c r="DM152" s="625"/>
      <c r="DN152" s="154"/>
      <c r="DQ152" s="20"/>
      <c r="DR152" s="3125"/>
      <c r="DS152" s="3125"/>
      <c r="DT152" s="3125"/>
      <c r="DU152" s="20"/>
      <c r="DV152" s="3126"/>
      <c r="DW152" s="3126"/>
      <c r="DX152" s="3126"/>
      <c r="DY152" s="625"/>
      <c r="DZ152" s="625"/>
      <c r="EA152" s="625"/>
      <c r="EB152" s="625"/>
      <c r="ES152" s="625"/>
      <c r="EU152" s="157"/>
      <c r="GG152" s="157"/>
      <c r="GP152" s="3102"/>
      <c r="GQ152" s="3103"/>
      <c r="GR152" s="3103"/>
      <c r="GS152" s="3104"/>
      <c r="GT152" s="3136"/>
      <c r="GU152" s="3125"/>
      <c r="GV152" s="3125"/>
      <c r="GW152" s="3125"/>
      <c r="GX152" s="3137"/>
      <c r="GY152" s="2322"/>
      <c r="GZ152" s="2322"/>
      <c r="HA152" s="2322"/>
      <c r="HB152" s="2354"/>
      <c r="HC152" s="2336"/>
      <c r="HD152" s="2355"/>
      <c r="HE152" s="2336"/>
      <c r="HF152" s="2355"/>
      <c r="HG152" s="20"/>
      <c r="HH152" s="3144" t="s">
        <v>4138</v>
      </c>
      <c r="HI152" s="3144"/>
      <c r="HJ152" s="3144"/>
      <c r="HK152" s="3144"/>
    </row>
    <row r="153" spans="3:219" ht="3.6" customHeight="1">
      <c r="C153" s="625"/>
      <c r="D153" s="625"/>
      <c r="E153" s="625"/>
      <c r="F153" s="625"/>
      <c r="H153" s="140"/>
      <c r="I153" s="140"/>
      <c r="J153" s="140"/>
      <c r="K153" s="140"/>
      <c r="M153" s="153"/>
      <c r="N153" s="154"/>
      <c r="AU153" s="364"/>
      <c r="AV153" s="365"/>
      <c r="BA153" s="638"/>
      <c r="BB153" s="638"/>
      <c r="BC153" s="638"/>
      <c r="BD153" s="638"/>
      <c r="BE153" s="160"/>
      <c r="BF153" s="160"/>
      <c r="BG153" s="160"/>
      <c r="BH153" s="160"/>
      <c r="CC153" s="364"/>
      <c r="CD153" s="365"/>
      <c r="DK153" s="153"/>
      <c r="DL153" s="154"/>
      <c r="DM153" s="625"/>
      <c r="DN153" s="643"/>
      <c r="DO153" s="141"/>
      <c r="DP153" s="141"/>
      <c r="DQ153" s="2343"/>
      <c r="DR153" s="3125"/>
      <c r="DS153" s="3125"/>
      <c r="DT153" s="3125"/>
      <c r="DU153" s="20"/>
      <c r="DV153" s="3126"/>
      <c r="DW153" s="3126"/>
      <c r="DX153" s="3126"/>
      <c r="DY153" s="625"/>
      <c r="DZ153" s="625"/>
      <c r="EA153" s="625"/>
      <c r="EB153" s="625"/>
      <c r="ES153" s="625"/>
      <c r="EU153" s="152"/>
      <c r="GG153" s="157"/>
      <c r="GP153" s="153"/>
      <c r="GT153" s="20"/>
      <c r="GU153" s="20"/>
      <c r="GV153" s="2343"/>
      <c r="GW153" s="2343"/>
      <c r="GX153" s="20"/>
      <c r="GY153" s="2343"/>
      <c r="GZ153" s="2343"/>
      <c r="HA153" s="2343"/>
      <c r="HB153" s="2343"/>
      <c r="HC153" s="2324"/>
      <c r="HD153" s="2356"/>
      <c r="HE153" s="2324"/>
      <c r="HF153" s="2356"/>
      <c r="HG153" s="2343"/>
      <c r="HH153" s="3145"/>
      <c r="HI153" s="3145"/>
      <c r="HJ153" s="3145"/>
      <c r="HK153" s="3145"/>
    </row>
    <row r="154" spans="3:219" ht="3.6" customHeight="1">
      <c r="C154" s="625"/>
      <c r="D154" s="625"/>
      <c r="E154" s="625"/>
      <c r="F154" s="625"/>
      <c r="L154" s="154"/>
      <c r="M154" s="153"/>
      <c r="N154" s="154"/>
      <c r="AU154" s="364"/>
      <c r="AV154" s="365"/>
      <c r="BA154" s="638"/>
      <c r="BB154" s="638"/>
      <c r="BC154" s="638"/>
      <c r="BD154" s="638"/>
      <c r="BE154" s="160"/>
      <c r="BF154" s="160"/>
      <c r="BG154" s="160"/>
      <c r="BH154" s="160"/>
      <c r="CC154" s="364"/>
      <c r="CD154" s="365"/>
      <c r="DK154" s="153"/>
      <c r="DL154" s="154"/>
      <c r="DM154" s="625"/>
      <c r="DN154" s="643"/>
      <c r="DO154" s="141"/>
      <c r="DP154" s="141"/>
      <c r="DQ154" s="2343"/>
      <c r="DR154" s="3125"/>
      <c r="DS154" s="3125"/>
      <c r="DT154" s="3125"/>
      <c r="DU154" s="20"/>
      <c r="DV154" s="3126"/>
      <c r="DW154" s="3126"/>
      <c r="DX154" s="3126"/>
      <c r="DY154" s="625"/>
      <c r="DZ154" s="625"/>
      <c r="EA154" s="625"/>
      <c r="EB154" s="625"/>
      <c r="ES154" s="625"/>
      <c r="EU154" s="152"/>
      <c r="GG154" s="157"/>
      <c r="GP154" s="150"/>
      <c r="GQ154" s="151"/>
      <c r="GR154" s="151"/>
      <c r="GS154" s="151"/>
      <c r="GT154" s="3147"/>
      <c r="GU154" s="3147"/>
      <c r="GV154" s="3147"/>
      <c r="GW154" s="3147"/>
      <c r="GX154" s="3147"/>
      <c r="GY154" s="3149" t="s">
        <v>4148</v>
      </c>
      <c r="GZ154" s="3149"/>
      <c r="HA154" s="3149"/>
      <c r="HB154" s="3150"/>
      <c r="HC154" s="2324"/>
      <c r="HD154" s="2356"/>
      <c r="HE154" s="2324"/>
      <c r="HF154" s="2356"/>
      <c r="HG154" s="2343"/>
      <c r="HH154" s="3145"/>
      <c r="HI154" s="3145"/>
      <c r="HJ154" s="3145"/>
      <c r="HK154" s="3145"/>
    </row>
    <row r="155" spans="3:219" ht="3.6" customHeight="1">
      <c r="C155" s="625"/>
      <c r="D155" s="625"/>
      <c r="E155" s="625"/>
      <c r="F155" s="625"/>
      <c r="H155" s="140"/>
      <c r="I155" s="140"/>
      <c r="J155" s="140"/>
      <c r="K155" s="140"/>
      <c r="L155" s="154"/>
      <c r="M155" s="153"/>
      <c r="N155" s="154"/>
      <c r="AU155" s="364"/>
      <c r="AV155" s="365"/>
      <c r="BG155" s="154"/>
      <c r="CC155" s="364"/>
      <c r="CD155" s="365"/>
      <c r="DK155" s="153"/>
      <c r="DL155" s="154"/>
      <c r="DM155" s="631"/>
      <c r="DN155" s="643"/>
      <c r="DO155" s="141"/>
      <c r="DP155" s="141"/>
      <c r="DQ155" s="2343"/>
      <c r="DR155" s="3125"/>
      <c r="DS155" s="3125"/>
      <c r="DT155" s="3125"/>
      <c r="DU155" s="20"/>
      <c r="DV155" s="3126"/>
      <c r="DW155" s="3126"/>
      <c r="DX155" s="3126"/>
      <c r="DY155" s="625"/>
      <c r="DZ155" s="625"/>
      <c r="EA155" s="625"/>
      <c r="EB155" s="625"/>
      <c r="EU155" s="152"/>
      <c r="GG155" s="157"/>
      <c r="GP155" s="153"/>
      <c r="GT155" s="3148"/>
      <c r="GU155" s="3148"/>
      <c r="GV155" s="3148"/>
      <c r="GW155" s="3148"/>
      <c r="GX155" s="3148"/>
      <c r="GY155" s="3126"/>
      <c r="GZ155" s="3126"/>
      <c r="HA155" s="3126"/>
      <c r="HB155" s="3139"/>
      <c r="HC155" s="2324"/>
      <c r="HD155" s="2356"/>
      <c r="HE155" s="2324"/>
      <c r="HF155" s="2356"/>
      <c r="HG155" s="2343"/>
      <c r="HH155" s="3145"/>
      <c r="HI155" s="3145"/>
      <c r="HJ155" s="3145"/>
      <c r="HK155" s="3145"/>
    </row>
    <row r="156" spans="3:219" ht="3.6" customHeight="1">
      <c r="C156" s="625"/>
      <c r="D156" s="625"/>
      <c r="E156" s="625"/>
      <c r="F156" s="625"/>
      <c r="L156" s="154"/>
      <c r="M156" s="153"/>
      <c r="N156" s="154"/>
      <c r="AU156" s="364"/>
      <c r="AV156" s="365"/>
      <c r="CC156" s="364"/>
      <c r="CD156" s="365"/>
      <c r="DK156" s="153"/>
      <c r="DL156" s="154"/>
      <c r="DM156" s="631"/>
      <c r="DN156" s="643"/>
      <c r="DO156" s="141"/>
      <c r="DP156" s="141"/>
      <c r="DQ156" s="2343"/>
      <c r="DR156" s="3125"/>
      <c r="DS156" s="3125"/>
      <c r="DT156" s="3125"/>
      <c r="DU156" s="20"/>
      <c r="DV156" s="3126"/>
      <c r="DW156" s="3126"/>
      <c r="DX156" s="3126"/>
      <c r="DY156" s="625"/>
      <c r="DZ156" s="625"/>
      <c r="EA156" s="625"/>
      <c r="EB156" s="625"/>
      <c r="EU156" s="152"/>
      <c r="GG156" s="157"/>
      <c r="GP156" s="153"/>
      <c r="GT156" s="3148"/>
      <c r="GU156" s="3148"/>
      <c r="GV156" s="3148"/>
      <c r="GW156" s="3148"/>
      <c r="GX156" s="3148"/>
      <c r="GY156" s="3126"/>
      <c r="GZ156" s="3126"/>
      <c r="HA156" s="3126"/>
      <c r="HB156" s="3139"/>
      <c r="HC156" s="2324"/>
      <c r="HD156" s="2356"/>
      <c r="HE156" s="2324"/>
      <c r="HF156" s="2356"/>
      <c r="HG156" s="2343"/>
      <c r="HH156" s="3145"/>
      <c r="HI156" s="3145"/>
      <c r="HJ156" s="3145"/>
      <c r="HK156" s="3145"/>
    </row>
    <row r="157" spans="3:219" ht="3.6" customHeight="1">
      <c r="C157" s="625"/>
      <c r="D157" s="625"/>
      <c r="E157" s="625"/>
      <c r="F157" s="625"/>
      <c r="L157" s="154"/>
      <c r="M157" s="153"/>
      <c r="N157" s="154"/>
      <c r="AU157" s="364"/>
      <c r="AV157" s="365"/>
      <c r="CC157" s="364"/>
      <c r="CD157" s="365"/>
      <c r="DK157" s="153"/>
      <c r="DL157" s="154"/>
      <c r="DM157" s="631"/>
      <c r="DN157" s="632"/>
      <c r="DQ157" s="20"/>
      <c r="DR157" s="3125"/>
      <c r="DS157" s="3125"/>
      <c r="DT157" s="3125"/>
      <c r="DU157" s="20"/>
      <c r="DV157" s="3126"/>
      <c r="DW157" s="3126"/>
      <c r="DX157" s="3126"/>
      <c r="DY157" s="625"/>
      <c r="DZ157" s="625"/>
      <c r="EA157" s="625"/>
      <c r="EB157" s="625"/>
      <c r="EU157" s="152"/>
      <c r="GG157" s="157"/>
      <c r="GP157" s="153"/>
      <c r="GS157" s="625"/>
      <c r="GT157" s="3148"/>
      <c r="GU157" s="3148"/>
      <c r="GV157" s="3148"/>
      <c r="GW157" s="3148"/>
      <c r="GX157" s="3148"/>
      <c r="GY157" s="3126"/>
      <c r="GZ157" s="3126"/>
      <c r="HA157" s="3126"/>
      <c r="HB157" s="3139"/>
      <c r="HC157" s="2324"/>
      <c r="HD157" s="2356"/>
      <c r="HE157" s="2324"/>
      <c r="HF157" s="2356"/>
      <c r="HG157" s="2343"/>
      <c r="HH157" s="3145"/>
      <c r="HI157" s="3145"/>
      <c r="HJ157" s="3145"/>
      <c r="HK157" s="3145"/>
    </row>
    <row r="158" spans="3:219" ht="3.6" customHeight="1">
      <c r="C158" s="625"/>
      <c r="D158" s="625"/>
      <c r="E158" s="625"/>
      <c r="F158" s="625"/>
      <c r="L158" s="154"/>
      <c r="M158" s="153"/>
      <c r="N158" s="154"/>
      <c r="AU158" s="364"/>
      <c r="AV158" s="365"/>
      <c r="CC158" s="364"/>
      <c r="CD158" s="365"/>
      <c r="DK158" s="153"/>
      <c r="DL158" s="154"/>
      <c r="DM158" s="631"/>
      <c r="DN158" s="632"/>
      <c r="DS158" s="153"/>
      <c r="DW158" s="153"/>
      <c r="EU158" s="152"/>
      <c r="GG158" s="157"/>
      <c r="GP158" s="153"/>
      <c r="GS158" s="625"/>
      <c r="GT158" s="3148"/>
      <c r="GU158" s="3148"/>
      <c r="GV158" s="3148"/>
      <c r="GW158" s="3148"/>
      <c r="GX158" s="3148"/>
      <c r="GY158" s="3126"/>
      <c r="GZ158" s="3126"/>
      <c r="HA158" s="3126"/>
      <c r="HB158" s="3139"/>
      <c r="HC158" s="2324"/>
      <c r="HD158" s="2356"/>
      <c r="HE158" s="2324"/>
      <c r="HF158" s="2356"/>
      <c r="HG158" s="2343"/>
      <c r="HH158" s="3145"/>
      <c r="HI158" s="3145"/>
      <c r="HJ158" s="3145"/>
      <c r="HK158" s="3145"/>
    </row>
    <row r="159" spans="3:219" ht="3.6" customHeight="1">
      <c r="C159" s="625"/>
      <c r="D159" s="625"/>
      <c r="E159" s="625"/>
      <c r="F159" s="625"/>
      <c r="L159" s="154"/>
      <c r="M159" s="153"/>
      <c r="N159" s="154"/>
      <c r="AU159" s="364"/>
      <c r="AV159" s="365"/>
      <c r="CC159" s="364"/>
      <c r="CD159" s="365"/>
      <c r="DK159" s="153"/>
      <c r="DL159" s="154"/>
      <c r="DM159" s="631"/>
      <c r="DN159" s="632"/>
      <c r="DS159" s="153"/>
      <c r="DW159" s="153"/>
      <c r="EU159" s="152"/>
      <c r="GG159" s="157"/>
      <c r="GP159" s="631"/>
      <c r="GQ159" s="625"/>
      <c r="GR159" s="625"/>
      <c r="GS159" s="625"/>
      <c r="GT159" s="3148"/>
      <c r="GU159" s="3148"/>
      <c r="GV159" s="3148"/>
      <c r="GW159" s="3148"/>
      <c r="GX159" s="3148"/>
      <c r="GY159" s="3126"/>
      <c r="GZ159" s="3126"/>
      <c r="HA159" s="3126"/>
      <c r="HB159" s="3139"/>
      <c r="HC159" s="2324"/>
      <c r="HD159" s="2356"/>
      <c r="HE159" s="2324"/>
      <c r="HF159" s="2356"/>
      <c r="HG159" s="2343"/>
      <c r="HH159" s="3145"/>
      <c r="HI159" s="3145"/>
      <c r="HJ159" s="3145"/>
      <c r="HK159" s="3145"/>
    </row>
    <row r="160" spans="3:219" ht="3.6" customHeight="1">
      <c r="C160" s="625"/>
      <c r="D160" s="625"/>
      <c r="E160" s="625"/>
      <c r="F160" s="625"/>
      <c r="M160" s="153"/>
      <c r="N160" s="154"/>
      <c r="AU160" s="364"/>
      <c r="AV160" s="365"/>
      <c r="CC160" s="364"/>
      <c r="CD160" s="365"/>
      <c r="DK160" s="153"/>
      <c r="DL160" s="154"/>
      <c r="DM160" s="631"/>
      <c r="DN160" s="632"/>
      <c r="DS160" s="153"/>
      <c r="DW160" s="153"/>
      <c r="EU160" s="152"/>
      <c r="GG160" s="157"/>
      <c r="GP160" s="631"/>
      <c r="GQ160" s="625"/>
      <c r="GR160" s="625"/>
      <c r="GS160" s="625"/>
      <c r="GT160" s="3148"/>
      <c r="GU160" s="3148"/>
      <c r="GV160" s="3148"/>
      <c r="GW160" s="3148"/>
      <c r="GX160" s="3148"/>
      <c r="GY160" s="3126"/>
      <c r="GZ160" s="3126"/>
      <c r="HA160" s="3126"/>
      <c r="HB160" s="3139"/>
      <c r="HC160" s="2324"/>
      <c r="HD160" s="2356"/>
      <c r="HE160" s="2324"/>
      <c r="HF160" s="2356"/>
      <c r="HG160" s="2343"/>
      <c r="HH160" s="3145"/>
      <c r="HI160" s="3145"/>
      <c r="HJ160" s="3145"/>
      <c r="HK160" s="3145"/>
    </row>
    <row r="161" spans="3:219" ht="3.6" customHeight="1">
      <c r="C161" s="625"/>
      <c r="D161" s="625"/>
      <c r="E161" s="646"/>
      <c r="F161" s="646"/>
      <c r="G161" s="177"/>
      <c r="H161" s="177"/>
      <c r="I161" s="177"/>
      <c r="J161" s="177"/>
      <c r="K161" s="177"/>
      <c r="L161" s="177"/>
      <c r="M161" s="3127"/>
      <c r="N161" s="157"/>
      <c r="AU161" s="3127"/>
      <c r="AV161" s="157"/>
      <c r="AX161" s="41"/>
      <c r="AY161" s="41"/>
      <c r="AZ161" s="41"/>
      <c r="BI161" s="41"/>
      <c r="BJ161" s="41"/>
      <c r="BK161" s="41"/>
      <c r="BL161" s="41"/>
      <c r="CC161" s="3127"/>
      <c r="CD161" s="157"/>
      <c r="DJ161" s="41"/>
      <c r="DK161" s="3127"/>
      <c r="DL161" s="157"/>
      <c r="DM161" s="646"/>
      <c r="DN161" s="647"/>
      <c r="DO161" s="177"/>
      <c r="DP161" s="177"/>
      <c r="DQ161" s="177"/>
      <c r="DR161" s="177"/>
      <c r="DS161" s="380"/>
      <c r="DT161" s="177"/>
      <c r="DW161" s="153"/>
      <c r="EU161" s="152"/>
      <c r="GG161" s="148"/>
      <c r="GH161" s="150"/>
      <c r="GI161" s="151"/>
      <c r="GJ161" s="151"/>
      <c r="GK161" s="151"/>
      <c r="GL161" s="151"/>
      <c r="GM161" s="151"/>
      <c r="GN161" s="151"/>
      <c r="GO161" s="151"/>
      <c r="GP161" s="631"/>
      <c r="GQ161" s="625"/>
      <c r="GR161" s="625"/>
      <c r="GS161" s="625"/>
      <c r="GT161" s="3130" t="s">
        <v>4141</v>
      </c>
      <c r="GU161" s="3131"/>
      <c r="GV161" s="3131"/>
      <c r="GW161" s="3131"/>
      <c r="GX161" s="3131"/>
      <c r="GY161" s="3126"/>
      <c r="GZ161" s="3126"/>
      <c r="HA161" s="3126"/>
      <c r="HB161" s="3139"/>
      <c r="HC161" s="2324"/>
      <c r="HD161" s="2356"/>
      <c r="HE161" s="2324"/>
      <c r="HF161" s="2356"/>
      <c r="HG161" s="2343"/>
      <c r="HH161" s="3145"/>
      <c r="HI161" s="3145"/>
      <c r="HJ161" s="3145"/>
      <c r="HK161" s="3145"/>
    </row>
    <row r="162" spans="3:219" ht="3.6" customHeight="1" thickBot="1">
      <c r="E162" s="364"/>
      <c r="M162" s="3127"/>
      <c r="N162" s="157"/>
      <c r="O162" s="150"/>
      <c r="P162" s="156"/>
      <c r="Q162" s="41"/>
      <c r="R162" s="41"/>
      <c r="S162" s="41"/>
      <c r="T162" s="41"/>
      <c r="U162" s="41"/>
      <c r="V162" s="41"/>
      <c r="W162" s="41"/>
      <c r="X162" s="41"/>
      <c r="Y162" s="41"/>
      <c r="Z162" s="41"/>
      <c r="AA162" s="41"/>
      <c r="AB162" s="41"/>
      <c r="AC162" s="41"/>
      <c r="AD162" s="150"/>
      <c r="AE162" s="151"/>
      <c r="AF162" s="151"/>
      <c r="AG162" s="151"/>
      <c r="AH162" s="151"/>
      <c r="AI162" s="151"/>
      <c r="AJ162" s="151"/>
      <c r="AK162" s="151"/>
      <c r="AL162" s="151"/>
      <c r="AM162" s="151"/>
      <c r="AN162" s="151"/>
      <c r="AO162" s="151"/>
      <c r="AP162" s="151"/>
      <c r="AQ162" s="151"/>
      <c r="AR162" s="151"/>
      <c r="AS162" s="151"/>
      <c r="AT162" s="151"/>
      <c r="AU162" s="3127"/>
      <c r="AV162" s="157"/>
      <c r="AW162" s="150"/>
      <c r="BA162" s="151"/>
      <c r="BB162" s="151"/>
      <c r="BC162" s="151"/>
      <c r="BD162" s="151"/>
      <c r="BE162" s="151"/>
      <c r="BF162" s="366"/>
      <c r="BG162" s="367"/>
      <c r="BH162" s="367"/>
      <c r="BI162" s="367"/>
      <c r="BJ162" s="367"/>
      <c r="BK162" s="367"/>
      <c r="BL162" s="367"/>
      <c r="BM162" s="367"/>
      <c r="BN162" s="367"/>
      <c r="BO162" s="367"/>
      <c r="BP162" s="367"/>
      <c r="BQ162" s="367"/>
      <c r="BR162" s="367"/>
      <c r="BS162" s="368"/>
      <c r="BT162" s="151"/>
      <c r="BU162" s="151"/>
      <c r="BV162" s="151"/>
      <c r="BW162" s="151"/>
      <c r="BX162" s="151"/>
      <c r="BY162" s="151"/>
      <c r="BZ162" s="151"/>
      <c r="CA162" s="151"/>
      <c r="CB162" s="151"/>
      <c r="CC162" s="3127"/>
      <c r="CD162" s="157"/>
      <c r="CE162" s="151"/>
      <c r="CF162" s="151"/>
      <c r="CG162" s="151"/>
      <c r="CH162" s="151"/>
      <c r="CI162" s="151"/>
      <c r="CJ162" s="151"/>
      <c r="CK162" s="151"/>
      <c r="CL162" s="151"/>
      <c r="CM162" s="151"/>
      <c r="CN162" s="151"/>
      <c r="CO162" s="151"/>
      <c r="CP162" s="151"/>
      <c r="CQ162" s="151"/>
      <c r="CR162" s="151"/>
      <c r="CS162" s="151"/>
      <c r="CT162" s="151"/>
      <c r="CU162" s="162"/>
      <c r="CV162" s="41"/>
      <c r="CW162" s="41"/>
      <c r="CX162" s="41"/>
      <c r="CY162" s="41"/>
      <c r="CZ162" s="41"/>
      <c r="DA162" s="41"/>
      <c r="DB162" s="41"/>
      <c r="DC162" s="41"/>
      <c r="DD162" s="41"/>
      <c r="DE162" s="41"/>
      <c r="DF162" s="41"/>
      <c r="DG162" s="41"/>
      <c r="DH162" s="41"/>
      <c r="DI162" s="159"/>
      <c r="DK162" s="3127"/>
      <c r="DL162" s="157"/>
      <c r="DM162" s="625"/>
      <c r="DN162" s="166"/>
      <c r="DO162" s="648"/>
      <c r="DP162" s="41"/>
      <c r="DS162" s="153"/>
      <c r="DT162" s="365"/>
      <c r="DW162" s="153"/>
      <c r="EU162" s="152"/>
      <c r="EV162" s="144"/>
      <c r="EW162" s="144"/>
      <c r="EX162" s="144"/>
      <c r="EY162" s="151"/>
      <c r="EZ162" s="151"/>
      <c r="FA162" s="151"/>
      <c r="FB162" s="151"/>
      <c r="FC162" s="151"/>
      <c r="FD162" s="151"/>
      <c r="FE162" s="148"/>
      <c r="FF162" s="149"/>
      <c r="FG162" s="366"/>
      <c r="FH162" s="367"/>
      <c r="FI162" s="367"/>
      <c r="FJ162" s="367"/>
      <c r="FK162" s="367"/>
      <c r="FL162" s="367"/>
      <c r="FM162" s="367"/>
      <c r="FN162" s="367"/>
      <c r="FO162" s="367"/>
      <c r="FP162" s="367"/>
      <c r="FQ162" s="367"/>
      <c r="FR162" s="367"/>
      <c r="FS162" s="367"/>
      <c r="FT162" s="367"/>
      <c r="FU162" s="367"/>
      <c r="FV162" s="367"/>
      <c r="FW162" s="367"/>
      <c r="FX162" s="367"/>
      <c r="FY162" s="367"/>
      <c r="FZ162" s="367"/>
      <c r="GA162" s="367"/>
      <c r="GB162" s="367"/>
      <c r="GC162" s="367"/>
      <c r="GD162" s="367"/>
      <c r="GE162" s="367"/>
      <c r="GF162" s="367"/>
      <c r="GG162" s="145"/>
      <c r="GH162" s="148"/>
      <c r="GI162" s="144"/>
      <c r="GJ162" s="144"/>
      <c r="GK162" s="151"/>
      <c r="GL162" s="151"/>
      <c r="GM162" s="151"/>
      <c r="GN162" s="151"/>
      <c r="GO162" s="151"/>
      <c r="GP162" s="1471"/>
      <c r="GQ162" s="2357"/>
      <c r="GR162" s="2357"/>
      <c r="GS162" s="2357"/>
      <c r="GT162" s="3132"/>
      <c r="GU162" s="3131"/>
      <c r="GV162" s="3131"/>
      <c r="GW162" s="3131"/>
      <c r="GX162" s="3131"/>
      <c r="GY162" s="3138"/>
      <c r="GZ162" s="3126"/>
      <c r="HA162" s="3126"/>
      <c r="HB162" s="3139"/>
      <c r="HC162" s="2324"/>
      <c r="HD162" s="2356"/>
      <c r="HE162" s="2324"/>
      <c r="HF162" s="2356"/>
      <c r="HG162" s="2343"/>
      <c r="HH162" s="3145"/>
      <c r="HI162" s="3145"/>
      <c r="HJ162" s="3145"/>
      <c r="HK162" s="3145"/>
    </row>
    <row r="163" spans="3:219" ht="3.6" customHeight="1" thickTop="1">
      <c r="E163" s="364"/>
      <c r="M163" s="3127"/>
      <c r="N163" s="157"/>
      <c r="O163" s="156"/>
      <c r="P163" s="153"/>
      <c r="AD163" s="156"/>
      <c r="AE163" s="41"/>
      <c r="AF163" s="41"/>
      <c r="AG163" s="41"/>
      <c r="AH163" s="41"/>
      <c r="AI163" s="41"/>
      <c r="AJ163" s="41"/>
      <c r="AK163" s="41"/>
      <c r="AL163" s="41"/>
      <c r="AM163" s="41"/>
      <c r="AN163" s="41"/>
      <c r="AO163" s="41"/>
      <c r="AP163" s="41"/>
      <c r="AQ163" s="41"/>
      <c r="AR163" s="41"/>
      <c r="AS163" s="41"/>
      <c r="AT163" s="41"/>
      <c r="AU163" s="3127"/>
      <c r="AV163" s="157"/>
      <c r="AW163" s="41"/>
      <c r="AX163" s="41"/>
      <c r="AY163" s="41"/>
      <c r="AZ163" s="41"/>
      <c r="BA163" s="41"/>
      <c r="BB163" s="41"/>
      <c r="BC163" s="41"/>
      <c r="BD163" s="41"/>
      <c r="BE163" s="41"/>
      <c r="BF163" s="156"/>
      <c r="BG163" s="41"/>
      <c r="BH163" s="41"/>
      <c r="BI163" s="41"/>
      <c r="BJ163" s="41"/>
      <c r="BK163" s="41"/>
      <c r="BL163" s="41"/>
      <c r="BM163" s="41"/>
      <c r="BN163" s="41"/>
      <c r="BO163" s="41"/>
      <c r="BP163" s="41"/>
      <c r="BQ163" s="41"/>
      <c r="BR163" s="41"/>
      <c r="BS163" s="159"/>
      <c r="BT163" s="41"/>
      <c r="BU163" s="41"/>
      <c r="BV163" s="41"/>
      <c r="BW163" s="41"/>
      <c r="BX163" s="41"/>
      <c r="BY163" s="41"/>
      <c r="BZ163" s="41"/>
      <c r="CA163" s="41"/>
      <c r="CB163" s="41"/>
      <c r="CC163" s="3127"/>
      <c r="CD163" s="157"/>
      <c r="CE163" s="41"/>
      <c r="CF163" s="41"/>
      <c r="CG163" s="41"/>
      <c r="CH163" s="41"/>
      <c r="CI163" s="41"/>
      <c r="CJ163" s="41"/>
      <c r="CK163" s="41"/>
      <c r="CL163" s="41"/>
      <c r="CM163" s="41"/>
      <c r="CN163" s="41"/>
      <c r="CO163" s="41"/>
      <c r="CP163" s="41"/>
      <c r="CQ163" s="41"/>
      <c r="CR163" s="41"/>
      <c r="CS163" s="41"/>
      <c r="CT163" s="41"/>
      <c r="CU163" s="159"/>
      <c r="DI163" s="154"/>
      <c r="DJ163" s="41"/>
      <c r="DK163" s="3127"/>
      <c r="DL163" s="157"/>
      <c r="DM163" s="625"/>
      <c r="DN163" s="649"/>
      <c r="DO163" s="165"/>
      <c r="DP163" s="161"/>
      <c r="DS163" s="153"/>
      <c r="DT163" s="365"/>
      <c r="DW163" s="153"/>
      <c r="EU163" s="152"/>
      <c r="EV163" s="626"/>
      <c r="EW163" s="626"/>
      <c r="EX163" s="626"/>
      <c r="EY163" s="41"/>
      <c r="EZ163" s="41"/>
      <c r="FA163" s="41"/>
      <c r="FB163" s="41"/>
      <c r="FC163" s="41"/>
      <c r="FD163" s="41"/>
      <c r="FE163" s="370"/>
      <c r="FF163" s="371"/>
      <c r="FG163" s="156"/>
      <c r="FH163" s="41"/>
      <c r="FI163" s="41"/>
      <c r="FJ163" s="41"/>
      <c r="FK163" s="41"/>
      <c r="FL163" s="41"/>
      <c r="FM163" s="41"/>
      <c r="FN163" s="41"/>
      <c r="FO163" s="41"/>
      <c r="FP163" s="41"/>
      <c r="FQ163" s="41"/>
      <c r="FR163" s="41"/>
      <c r="FS163" s="41"/>
      <c r="FT163" s="41"/>
      <c r="FU163" s="41"/>
      <c r="FV163" s="41"/>
      <c r="FW163" s="41"/>
      <c r="FX163" s="41"/>
      <c r="FY163" s="41"/>
      <c r="FZ163" s="41"/>
      <c r="GA163" s="41"/>
      <c r="GB163" s="41"/>
      <c r="GC163" s="41"/>
      <c r="GD163" s="41"/>
      <c r="GE163" s="41"/>
      <c r="GF163" s="41"/>
      <c r="GG163" s="145"/>
      <c r="GH163" s="370"/>
      <c r="GI163" s="626"/>
      <c r="GJ163" s="626"/>
      <c r="GK163" s="41"/>
      <c r="GL163" s="41"/>
      <c r="GM163" s="41"/>
      <c r="GN163" s="41"/>
      <c r="GO163" s="41"/>
      <c r="GP163" s="1475"/>
      <c r="GQ163" s="2358"/>
      <c r="GR163" s="2358"/>
      <c r="GS163" s="2358"/>
      <c r="GT163" s="3132"/>
      <c r="GU163" s="3131"/>
      <c r="GV163" s="3131"/>
      <c r="GW163" s="3131"/>
      <c r="GX163" s="3131"/>
      <c r="GY163" s="3138"/>
      <c r="GZ163" s="3126"/>
      <c r="HA163" s="3126"/>
      <c r="HB163" s="3139"/>
      <c r="HC163" s="2324"/>
      <c r="HD163" s="2356"/>
      <c r="HE163" s="2324"/>
      <c r="HF163" s="2356"/>
      <c r="HG163" s="2343"/>
      <c r="HH163" s="3145"/>
      <c r="HI163" s="3145"/>
      <c r="HJ163" s="3145"/>
      <c r="HK163" s="3145"/>
    </row>
    <row r="164" spans="3:219" ht="3.6" customHeight="1">
      <c r="E164" s="364"/>
      <c r="M164" s="372"/>
      <c r="N164" s="373"/>
      <c r="DK164" s="372"/>
      <c r="DL164" s="373"/>
      <c r="DN164" s="141"/>
      <c r="DO164" s="612"/>
      <c r="DP164" s="141"/>
      <c r="DS164" s="153"/>
      <c r="DT164" s="365"/>
      <c r="DW164" s="153"/>
      <c r="EU164" s="152"/>
      <c r="GG164" s="370"/>
      <c r="GH164" s="156"/>
      <c r="GI164" s="41"/>
      <c r="GJ164" s="41"/>
      <c r="GK164" s="41"/>
      <c r="GL164" s="41"/>
      <c r="GM164" s="41"/>
      <c r="GN164" s="41"/>
      <c r="GO164" s="41"/>
      <c r="GP164" s="631"/>
      <c r="GQ164" s="625"/>
      <c r="GR164" s="625"/>
      <c r="GS164" s="625"/>
      <c r="GT164" s="3132"/>
      <c r="GU164" s="3131"/>
      <c r="GV164" s="3131"/>
      <c r="GW164" s="3131"/>
      <c r="GX164" s="3131"/>
      <c r="GY164" s="3126"/>
      <c r="GZ164" s="3126"/>
      <c r="HA164" s="3126"/>
      <c r="HB164" s="3139"/>
      <c r="HC164" s="2324"/>
      <c r="HD164" s="2356"/>
      <c r="HE164" s="2324"/>
      <c r="HF164" s="2356"/>
      <c r="HG164" s="2343"/>
      <c r="HH164" s="3145"/>
      <c r="HI164" s="3145"/>
      <c r="HJ164" s="3145"/>
      <c r="HK164" s="3145"/>
    </row>
    <row r="165" spans="3:219" ht="3.6" customHeight="1">
      <c r="E165" s="364"/>
      <c r="M165" s="364"/>
      <c r="N165" s="365"/>
      <c r="DK165" s="364"/>
      <c r="DL165" s="365"/>
      <c r="DN165" s="141"/>
      <c r="DO165" s="612"/>
      <c r="DP165" s="141"/>
      <c r="DS165" s="153"/>
      <c r="DT165" s="365"/>
      <c r="DW165" s="153"/>
      <c r="EU165" s="152"/>
      <c r="GG165" s="157"/>
      <c r="GP165" s="631"/>
      <c r="GQ165" s="625"/>
      <c r="GR165" s="625"/>
      <c r="GS165" s="625"/>
      <c r="GT165" s="3142"/>
      <c r="GU165" s="3142"/>
      <c r="GV165" s="3142"/>
      <c r="GW165" s="3142"/>
      <c r="GX165" s="3142"/>
      <c r="GY165" s="3126"/>
      <c r="GZ165" s="3126"/>
      <c r="HA165" s="3126"/>
      <c r="HB165" s="3139"/>
      <c r="HC165" s="2324"/>
      <c r="HD165" s="2356"/>
      <c r="HE165" s="2324"/>
      <c r="HF165" s="2356"/>
      <c r="HG165" s="2343"/>
      <c r="HH165" s="3145"/>
      <c r="HI165" s="3145"/>
      <c r="HJ165" s="3145"/>
      <c r="HK165" s="3145"/>
    </row>
    <row r="166" spans="3:219" ht="3.6" customHeight="1">
      <c r="E166" s="364"/>
      <c r="M166" s="364"/>
      <c r="N166" s="365"/>
      <c r="DK166" s="364"/>
      <c r="DL166" s="365"/>
      <c r="DN166" s="141"/>
      <c r="DO166" s="612"/>
      <c r="DP166" s="141"/>
      <c r="DS166" s="153"/>
      <c r="DT166" s="365"/>
      <c r="DW166" s="153"/>
      <c r="EU166" s="152"/>
      <c r="GG166" s="157"/>
      <c r="GP166" s="631"/>
      <c r="GQ166" s="625"/>
      <c r="GR166" s="625"/>
      <c r="GS166" s="625"/>
      <c r="GT166" s="3142"/>
      <c r="GU166" s="3142"/>
      <c r="GV166" s="3142"/>
      <c r="GW166" s="3142"/>
      <c r="GX166" s="3142"/>
      <c r="GY166" s="3126"/>
      <c r="GZ166" s="3126"/>
      <c r="HA166" s="3126"/>
      <c r="HB166" s="3139"/>
      <c r="HC166" s="2324"/>
      <c r="HD166" s="2356"/>
      <c r="HE166" s="2324"/>
      <c r="HF166" s="2356"/>
      <c r="HG166" s="2343"/>
      <c r="HH166" s="3145"/>
      <c r="HI166" s="3145"/>
      <c r="HJ166" s="3145"/>
      <c r="HK166" s="3145"/>
    </row>
    <row r="167" spans="3:219" ht="3.6" customHeight="1">
      <c r="E167" s="364"/>
      <c r="M167" s="364"/>
      <c r="N167" s="365"/>
      <c r="CN167" s="140"/>
      <c r="CO167" s="140"/>
      <c r="CP167" s="140"/>
      <c r="CQ167" s="140"/>
      <c r="CR167" s="140"/>
      <c r="CS167" s="140"/>
      <c r="CT167" s="140"/>
      <c r="CU167" s="140"/>
      <c r="CV167" s="140"/>
      <c r="CW167" s="140"/>
      <c r="CX167" s="140"/>
      <c r="DK167" s="364"/>
      <c r="DL167" s="365"/>
      <c r="DN167" s="141"/>
      <c r="DO167" s="612"/>
      <c r="DP167" s="141"/>
      <c r="DS167" s="153"/>
      <c r="DT167" s="365"/>
      <c r="DW167" s="153"/>
      <c r="EU167" s="152"/>
      <c r="GG167" s="157"/>
      <c r="GP167" s="153"/>
      <c r="GS167" s="625"/>
      <c r="GT167" s="3142"/>
      <c r="GU167" s="3142"/>
      <c r="GV167" s="3142"/>
      <c r="GW167" s="3142"/>
      <c r="GX167" s="3142"/>
      <c r="GY167" s="3126"/>
      <c r="GZ167" s="3126"/>
      <c r="HA167" s="3126"/>
      <c r="HB167" s="3139"/>
      <c r="HC167" s="2324"/>
      <c r="HD167" s="2356"/>
      <c r="HE167" s="2324"/>
      <c r="HF167" s="2356"/>
      <c r="HG167" s="2343"/>
      <c r="HH167" s="3145"/>
      <c r="HI167" s="3145"/>
      <c r="HJ167" s="3145"/>
      <c r="HK167" s="3145"/>
    </row>
    <row r="168" spans="3:219" ht="3.6" customHeight="1">
      <c r="E168" s="364"/>
      <c r="M168" s="364"/>
      <c r="N168" s="365"/>
      <c r="CN168" s="140"/>
      <c r="CO168" s="140"/>
      <c r="CP168" s="140"/>
      <c r="CQ168" s="140"/>
      <c r="CR168" s="140"/>
      <c r="CS168" s="140"/>
      <c r="CT168" s="140"/>
      <c r="CU168" s="140"/>
      <c r="CV168" s="140"/>
      <c r="CW168" s="140"/>
      <c r="CX168" s="140"/>
      <c r="DK168" s="364"/>
      <c r="DL168" s="365"/>
      <c r="DN168" s="141"/>
      <c r="DO168" s="612"/>
      <c r="DP168" s="141"/>
      <c r="DS168" s="153"/>
      <c r="DT168" s="365"/>
      <c r="DW168" s="153"/>
      <c r="EU168" s="152"/>
      <c r="GG168" s="157"/>
      <c r="GP168" s="153"/>
      <c r="GS168" s="625"/>
      <c r="GT168" s="3142"/>
      <c r="GU168" s="3142"/>
      <c r="GV168" s="3142"/>
      <c r="GW168" s="3142"/>
      <c r="GX168" s="3142"/>
      <c r="GY168" s="3126"/>
      <c r="GZ168" s="3126"/>
      <c r="HA168" s="3126"/>
      <c r="HB168" s="3139"/>
      <c r="HC168" s="2324"/>
      <c r="HD168" s="2356"/>
      <c r="HE168" s="2324"/>
      <c r="HF168" s="2356"/>
      <c r="HG168" s="2343"/>
      <c r="HH168" s="3145"/>
      <c r="HI168" s="3145"/>
      <c r="HJ168" s="3145"/>
      <c r="HK168" s="3145"/>
    </row>
    <row r="169" spans="3:219" ht="3.6" customHeight="1">
      <c r="E169" s="364"/>
      <c r="M169" s="364"/>
      <c r="N169" s="365"/>
      <c r="CN169" s="140"/>
      <c r="CO169" s="140"/>
      <c r="CP169" s="140"/>
      <c r="CQ169" s="140"/>
      <c r="CR169" s="140"/>
      <c r="CS169" s="140"/>
      <c r="CT169" s="140"/>
      <c r="CU169" s="140"/>
      <c r="CV169" s="140"/>
      <c r="CW169" s="140"/>
      <c r="CX169" s="140"/>
      <c r="DK169" s="364"/>
      <c r="DL169" s="365"/>
      <c r="DN169" s="141"/>
      <c r="DO169" s="612"/>
      <c r="DP169" s="141"/>
      <c r="DS169" s="153"/>
      <c r="DT169" s="365"/>
      <c r="DW169" s="153"/>
      <c r="EU169" s="152"/>
      <c r="GG169" s="157"/>
      <c r="GP169" s="153"/>
      <c r="GT169" s="3142"/>
      <c r="GU169" s="3142"/>
      <c r="GV169" s="3142"/>
      <c r="GW169" s="3142"/>
      <c r="GX169" s="3142"/>
      <c r="GY169" s="3126"/>
      <c r="GZ169" s="3126"/>
      <c r="HA169" s="3126"/>
      <c r="HB169" s="3139"/>
      <c r="HC169" s="2324"/>
      <c r="HD169" s="2356"/>
      <c r="HE169" s="2324"/>
      <c r="HF169" s="2356"/>
      <c r="HG169" s="2343"/>
      <c r="HH169" s="3145"/>
      <c r="HI169" s="3145"/>
      <c r="HJ169" s="3145"/>
      <c r="HK169" s="3145"/>
    </row>
    <row r="170" spans="3:219" ht="3.6" customHeight="1">
      <c r="E170" s="364"/>
      <c r="M170" s="364"/>
      <c r="N170" s="365"/>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CN170" s="140"/>
      <c r="CO170" s="140"/>
      <c r="CP170" s="140"/>
      <c r="CQ170" s="140"/>
      <c r="CR170" s="140"/>
      <c r="CS170" s="140"/>
      <c r="CT170" s="140"/>
      <c r="CU170" s="140"/>
      <c r="CV170" s="140"/>
      <c r="CW170" s="140"/>
      <c r="CX170" s="140"/>
      <c r="DK170" s="364"/>
      <c r="DL170" s="365"/>
      <c r="DN170" s="3103" t="s">
        <v>4149</v>
      </c>
      <c r="DO170" s="2537"/>
      <c r="DP170" s="2537"/>
      <c r="DS170" s="153"/>
      <c r="DT170" s="365"/>
      <c r="DW170" s="153"/>
      <c r="EU170" s="152"/>
      <c r="GG170" s="157"/>
      <c r="GP170" s="153"/>
      <c r="GT170" s="3142"/>
      <c r="GU170" s="3142"/>
      <c r="GV170" s="3142"/>
      <c r="GW170" s="3142"/>
      <c r="GX170" s="3142"/>
      <c r="GY170" s="3126"/>
      <c r="GZ170" s="3126"/>
      <c r="HA170" s="3126"/>
      <c r="HB170" s="3139"/>
      <c r="HC170" s="2324"/>
      <c r="HD170" s="2356"/>
      <c r="HE170" s="2324"/>
      <c r="HF170" s="2356"/>
      <c r="HG170" s="2343"/>
      <c r="HH170" s="3145"/>
      <c r="HI170" s="3145"/>
      <c r="HJ170" s="3145"/>
      <c r="HK170" s="3145"/>
    </row>
    <row r="171" spans="3:219" ht="3.6" customHeight="1">
      <c r="E171" s="364"/>
      <c r="M171" s="364"/>
      <c r="N171" s="365"/>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DK171" s="364"/>
      <c r="DL171" s="365"/>
      <c r="DN171" s="2537"/>
      <c r="DO171" s="2537"/>
      <c r="DP171" s="2537"/>
      <c r="DS171" s="153"/>
      <c r="DT171" s="365"/>
      <c r="DW171" s="153"/>
      <c r="EU171" s="152"/>
      <c r="GG171" s="157"/>
      <c r="GP171" s="156"/>
      <c r="GQ171" s="41"/>
      <c r="GR171" s="41"/>
      <c r="GS171" s="41"/>
      <c r="GT171" s="3143"/>
      <c r="GU171" s="3143"/>
      <c r="GV171" s="3143"/>
      <c r="GW171" s="3143"/>
      <c r="GX171" s="3143"/>
      <c r="GY171" s="3151"/>
      <c r="GZ171" s="3151"/>
      <c r="HA171" s="3151"/>
      <c r="HB171" s="3141"/>
      <c r="HC171" s="2324"/>
      <c r="HD171" s="2356"/>
      <c r="HE171" s="2324"/>
      <c r="HF171" s="2356"/>
      <c r="HG171" s="2343"/>
      <c r="HH171" s="3145"/>
      <c r="HI171" s="3145"/>
      <c r="HJ171" s="3145"/>
      <c r="HK171" s="3145"/>
    </row>
    <row r="172" spans="3:219" ht="3.6" customHeight="1">
      <c r="E172" s="364"/>
      <c r="M172" s="364"/>
      <c r="N172" s="365"/>
      <c r="AX172" s="3120" t="s">
        <v>3587</v>
      </c>
      <c r="AY172" s="3120"/>
      <c r="AZ172" s="3120"/>
      <c r="BA172" s="3120"/>
      <c r="BB172" s="3120"/>
      <c r="BC172" s="3120"/>
      <c r="BD172" s="3120"/>
      <c r="BE172" s="3120"/>
      <c r="BF172" s="3120"/>
      <c r="BG172" s="3120"/>
      <c r="BH172" s="3120"/>
      <c r="BI172" s="3120"/>
      <c r="BJ172" s="3120"/>
      <c r="BK172" s="3120"/>
      <c r="BL172" s="3120"/>
      <c r="BM172" s="3120"/>
      <c r="BN172" s="3120"/>
      <c r="BO172" s="3120"/>
      <c r="BP172" s="3120"/>
      <c r="BQ172" s="3120"/>
      <c r="BR172" s="3120"/>
      <c r="BS172" s="3120"/>
      <c r="BT172" s="3120"/>
      <c r="BU172" s="3120"/>
      <c r="BV172" s="3120"/>
      <c r="BW172" s="3120"/>
      <c r="DK172" s="364"/>
      <c r="DL172" s="365"/>
      <c r="DN172" s="2537"/>
      <c r="DO172" s="2537"/>
      <c r="DP172" s="2537"/>
      <c r="DS172" s="153"/>
      <c r="DT172" s="365"/>
      <c r="DW172" s="153"/>
      <c r="EU172" s="152"/>
      <c r="GG172" s="157"/>
      <c r="GP172" s="153"/>
      <c r="GT172" s="20"/>
      <c r="GU172" s="20"/>
      <c r="GV172" s="2343"/>
      <c r="GW172" s="2343"/>
      <c r="GX172" s="20"/>
      <c r="GY172" s="2343"/>
      <c r="GZ172" s="2343"/>
      <c r="HA172" s="2343"/>
      <c r="HB172" s="2343"/>
      <c r="HC172" s="2324"/>
      <c r="HD172" s="2356"/>
      <c r="HE172" s="2324"/>
      <c r="HF172" s="2356"/>
      <c r="HG172" s="2343"/>
      <c r="HH172" s="3145"/>
      <c r="HI172" s="3145"/>
      <c r="HJ172" s="3145"/>
      <c r="HK172" s="3145"/>
    </row>
    <row r="173" spans="3:219" ht="3.6" customHeight="1">
      <c r="E173" s="364"/>
      <c r="M173" s="364"/>
      <c r="N173" s="365"/>
      <c r="AR173" s="575"/>
      <c r="AS173" s="575"/>
      <c r="AT173" s="575"/>
      <c r="AU173" s="2146"/>
      <c r="AV173" s="2146"/>
      <c r="AW173" s="2146"/>
      <c r="AX173" s="3120"/>
      <c r="AY173" s="3120"/>
      <c r="AZ173" s="3120"/>
      <c r="BA173" s="3120"/>
      <c r="BB173" s="3120"/>
      <c r="BC173" s="3120"/>
      <c r="BD173" s="3120"/>
      <c r="BE173" s="3120"/>
      <c r="BF173" s="3120"/>
      <c r="BG173" s="3120"/>
      <c r="BH173" s="3120"/>
      <c r="BI173" s="3120"/>
      <c r="BJ173" s="3120"/>
      <c r="BK173" s="3120"/>
      <c r="BL173" s="3120"/>
      <c r="BM173" s="3120"/>
      <c r="BN173" s="3120"/>
      <c r="BO173" s="3120"/>
      <c r="BP173" s="3120"/>
      <c r="BQ173" s="3120"/>
      <c r="BR173" s="3120"/>
      <c r="BS173" s="3120"/>
      <c r="BT173" s="3120"/>
      <c r="BU173" s="3120"/>
      <c r="BV173" s="3120"/>
      <c r="BW173" s="3120"/>
      <c r="BX173" s="2146"/>
      <c r="BY173" s="2146"/>
      <c r="BZ173" s="2146"/>
      <c r="CA173" s="2146"/>
      <c r="CB173" s="575"/>
      <c r="CC173" s="575"/>
      <c r="CD173" s="575"/>
      <c r="DK173" s="364"/>
      <c r="DL173" s="365"/>
      <c r="DN173" s="2537"/>
      <c r="DO173" s="2537"/>
      <c r="DP173" s="2537"/>
      <c r="DS173" s="153"/>
      <c r="DT173" s="365"/>
      <c r="DW173" s="153"/>
      <c r="EU173" s="152"/>
      <c r="GG173" s="157"/>
      <c r="GP173" s="153"/>
      <c r="GT173" s="20"/>
      <c r="GU173" s="20"/>
      <c r="GV173" s="20"/>
      <c r="GW173" s="20"/>
      <c r="GX173" s="20"/>
      <c r="GY173" s="20"/>
      <c r="GZ173" s="20"/>
      <c r="HA173" s="20"/>
      <c r="HB173" s="20"/>
      <c r="HC173" s="2324"/>
      <c r="HD173" s="2326"/>
      <c r="HE173" s="2324"/>
      <c r="HF173" s="2326"/>
      <c r="HG173" s="20"/>
      <c r="HH173" s="3145"/>
      <c r="HI173" s="3145"/>
      <c r="HJ173" s="3145"/>
      <c r="HK173" s="3145"/>
    </row>
    <row r="174" spans="3:219" ht="3.6" customHeight="1">
      <c r="E174" s="364"/>
      <c r="M174" s="364"/>
      <c r="N174" s="365"/>
      <c r="AR174" s="575"/>
      <c r="AS174" s="575"/>
      <c r="AT174" s="575"/>
      <c r="AU174" s="2146"/>
      <c r="AV174" s="2146"/>
      <c r="AW174" s="2146"/>
      <c r="AX174" s="3120"/>
      <c r="AY174" s="3120"/>
      <c r="AZ174" s="3120"/>
      <c r="BA174" s="3120"/>
      <c r="BB174" s="3120"/>
      <c r="BC174" s="3120"/>
      <c r="BD174" s="3120"/>
      <c r="BE174" s="3120"/>
      <c r="BF174" s="3120"/>
      <c r="BG174" s="3120"/>
      <c r="BH174" s="3120"/>
      <c r="BI174" s="3120"/>
      <c r="BJ174" s="3120"/>
      <c r="BK174" s="3120"/>
      <c r="BL174" s="3120"/>
      <c r="BM174" s="3120"/>
      <c r="BN174" s="3120"/>
      <c r="BO174" s="3120"/>
      <c r="BP174" s="3120"/>
      <c r="BQ174" s="3120"/>
      <c r="BR174" s="3120"/>
      <c r="BS174" s="3120"/>
      <c r="BT174" s="3120"/>
      <c r="BU174" s="3120"/>
      <c r="BV174" s="3120"/>
      <c r="BW174" s="3120"/>
      <c r="BX174" s="2146"/>
      <c r="BY174" s="2146"/>
      <c r="BZ174" s="2146"/>
      <c r="CA174" s="2146"/>
      <c r="CB174" s="575"/>
      <c r="CC174" s="575"/>
      <c r="CD174" s="575"/>
      <c r="DK174" s="364"/>
      <c r="DL174" s="365"/>
      <c r="DN174" s="2537"/>
      <c r="DO174" s="2537"/>
      <c r="DP174" s="2537"/>
      <c r="DS174" s="153"/>
      <c r="DT174" s="365"/>
      <c r="DW174" s="153"/>
      <c r="EU174" s="152"/>
      <c r="GG174" s="157"/>
      <c r="GP174" s="153"/>
      <c r="GT174" s="20"/>
      <c r="GU174" s="20"/>
      <c r="GV174" s="20"/>
      <c r="GW174" s="20"/>
      <c r="GX174" s="20"/>
      <c r="GY174" s="20"/>
      <c r="GZ174" s="20"/>
      <c r="HA174" s="20"/>
      <c r="HB174" s="20"/>
      <c r="HC174" s="2359"/>
      <c r="HD174" s="2329"/>
      <c r="HE174" s="2359"/>
      <c r="HF174" s="2329"/>
      <c r="HG174" s="20"/>
      <c r="HH174" s="3146"/>
      <c r="HI174" s="3146"/>
      <c r="HJ174" s="3146"/>
      <c r="HK174" s="3146"/>
    </row>
    <row r="175" spans="3:219" ht="3.6" customHeight="1">
      <c r="E175" s="364"/>
      <c r="M175" s="364"/>
      <c r="N175" s="365"/>
      <c r="AR175" s="575"/>
      <c r="AS175" s="575"/>
      <c r="AT175" s="575"/>
      <c r="AU175" s="2146"/>
      <c r="AV175" s="3091" t="s">
        <v>4185</v>
      </c>
      <c r="AW175" s="3091"/>
      <c r="AX175" s="3091"/>
      <c r="AY175" s="3091"/>
      <c r="AZ175" s="3091"/>
      <c r="BA175" s="3091"/>
      <c r="BB175" s="3091"/>
      <c r="BC175" s="3091"/>
      <c r="BD175" s="3091"/>
      <c r="BE175" s="3091"/>
      <c r="BF175" s="3091"/>
      <c r="BG175" s="3091"/>
      <c r="BH175" s="3091" t="s">
        <v>901</v>
      </c>
      <c r="BI175" s="3091"/>
      <c r="BJ175" s="3091"/>
      <c r="BK175" s="3091"/>
      <c r="BL175" s="3091"/>
      <c r="BM175" s="3091"/>
      <c r="BN175" s="3091"/>
      <c r="BO175" s="3091"/>
      <c r="BP175" s="3124" t="s">
        <v>4190</v>
      </c>
      <c r="BQ175" s="3124"/>
      <c r="BR175" s="3124"/>
      <c r="BS175" s="3124"/>
      <c r="BT175" s="3124"/>
      <c r="BU175" s="3124"/>
      <c r="BV175" s="3124"/>
      <c r="BW175" s="2342"/>
      <c r="BX175" s="2146"/>
      <c r="BY175" s="2146"/>
      <c r="BZ175" s="2146"/>
      <c r="CA175" s="2146"/>
      <c r="CB175" s="575"/>
      <c r="CC175" s="575"/>
      <c r="CD175" s="575"/>
      <c r="DK175" s="364"/>
      <c r="DL175" s="365"/>
      <c r="DN175" s="2537"/>
      <c r="DO175" s="2537"/>
      <c r="DP175" s="2537"/>
      <c r="DS175" s="153"/>
      <c r="DT175" s="365"/>
      <c r="DW175" s="153"/>
      <c r="EU175" s="152"/>
      <c r="GG175" s="157"/>
      <c r="GP175" s="153"/>
    </row>
    <row r="176" spans="3:219" ht="3.6" customHeight="1">
      <c r="E176" s="364"/>
      <c r="M176" s="364"/>
      <c r="N176" s="365"/>
      <c r="O176" s="364"/>
      <c r="AV176" s="3091"/>
      <c r="AW176" s="3091"/>
      <c r="AX176" s="3091"/>
      <c r="AY176" s="3091"/>
      <c r="AZ176" s="3091"/>
      <c r="BA176" s="3091"/>
      <c r="BB176" s="3091"/>
      <c r="BC176" s="3091"/>
      <c r="BD176" s="3091"/>
      <c r="BE176" s="3091"/>
      <c r="BF176" s="3091"/>
      <c r="BG176" s="3091"/>
      <c r="BH176" s="3091"/>
      <c r="BI176" s="3091"/>
      <c r="BJ176" s="3091"/>
      <c r="BK176" s="3091"/>
      <c r="BL176" s="3091"/>
      <c r="BM176" s="3091"/>
      <c r="BN176" s="3091"/>
      <c r="BO176" s="3091"/>
      <c r="BP176" s="3124"/>
      <c r="BQ176" s="3124"/>
      <c r="BR176" s="3124"/>
      <c r="BS176" s="3124"/>
      <c r="BT176" s="3124"/>
      <c r="BU176" s="3124"/>
      <c r="BV176" s="3124"/>
      <c r="BW176" s="20"/>
      <c r="DK176" s="364"/>
      <c r="DL176" s="365"/>
      <c r="DN176" s="2537"/>
      <c r="DO176" s="2537"/>
      <c r="DP176" s="2537"/>
      <c r="DS176" s="153"/>
      <c r="DT176" s="365"/>
      <c r="DW176" s="153"/>
      <c r="EU176" s="152"/>
      <c r="GG176" s="157"/>
      <c r="GP176" s="153"/>
    </row>
    <row r="177" spans="5:202" ht="3.6" customHeight="1">
      <c r="E177" s="364"/>
      <c r="M177" s="364"/>
      <c r="N177" s="365"/>
      <c r="O177" s="364"/>
      <c r="AV177" s="3091"/>
      <c r="AW177" s="3091"/>
      <c r="AX177" s="3091"/>
      <c r="AY177" s="3091"/>
      <c r="AZ177" s="3091"/>
      <c r="BA177" s="3091"/>
      <c r="BB177" s="3091"/>
      <c r="BC177" s="3091"/>
      <c r="BD177" s="3091"/>
      <c r="BE177" s="3091"/>
      <c r="BF177" s="3091"/>
      <c r="BG177" s="3091"/>
      <c r="BH177" s="3091"/>
      <c r="BI177" s="3091"/>
      <c r="BJ177" s="3091"/>
      <c r="BK177" s="3091"/>
      <c r="BL177" s="3091"/>
      <c r="BM177" s="3091"/>
      <c r="BN177" s="3091"/>
      <c r="BO177" s="3091"/>
      <c r="BP177" s="3124"/>
      <c r="BQ177" s="3124"/>
      <c r="BR177" s="3124"/>
      <c r="BS177" s="3124"/>
      <c r="BT177" s="3124"/>
      <c r="BU177" s="3124"/>
      <c r="BV177" s="3124"/>
      <c r="BW177" s="20"/>
      <c r="DK177" s="364"/>
      <c r="DL177" s="365"/>
      <c r="DN177" s="2537"/>
      <c r="DO177" s="2537"/>
      <c r="DP177" s="2537"/>
      <c r="DS177" s="153"/>
      <c r="DT177" s="365"/>
      <c r="DW177" s="153"/>
      <c r="EU177" s="152"/>
      <c r="GG177" s="157"/>
      <c r="GP177" s="153"/>
    </row>
    <row r="178" spans="5:202" ht="3.6" customHeight="1">
      <c r="E178" s="364"/>
      <c r="M178" s="364"/>
      <c r="N178" s="365"/>
      <c r="O178" s="364"/>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CF178" s="141"/>
      <c r="DK178" s="364"/>
      <c r="DL178" s="365"/>
      <c r="DN178" s="2537"/>
      <c r="DO178" s="2537"/>
      <c r="DP178" s="2537"/>
      <c r="DS178" s="153"/>
      <c r="DT178" s="365"/>
      <c r="DW178" s="153"/>
      <c r="EU178" s="152"/>
      <c r="GG178" s="157"/>
      <c r="GP178" s="153"/>
    </row>
    <row r="179" spans="5:202" ht="3.6" customHeight="1">
      <c r="E179" s="364"/>
      <c r="M179" s="364"/>
      <c r="N179" s="365"/>
      <c r="O179" s="364"/>
      <c r="DK179" s="364"/>
      <c r="DL179" s="365"/>
      <c r="DN179" s="2537"/>
      <c r="DO179" s="2537"/>
      <c r="DP179" s="2537"/>
      <c r="DS179" s="153"/>
      <c r="DT179" s="365"/>
      <c r="DW179" s="153"/>
      <c r="EU179" s="152"/>
      <c r="GG179" s="157"/>
      <c r="GP179" s="153"/>
    </row>
    <row r="180" spans="5:202" ht="3.6" customHeight="1">
      <c r="E180" s="364"/>
      <c r="M180" s="364"/>
      <c r="N180" s="365"/>
      <c r="O180" s="364"/>
      <c r="DK180" s="364"/>
      <c r="DL180" s="365"/>
      <c r="DN180" s="2537"/>
      <c r="DO180" s="2537"/>
      <c r="DP180" s="2537"/>
      <c r="DS180" s="153"/>
      <c r="DT180" s="365"/>
      <c r="DW180" s="153"/>
      <c r="EU180" s="152"/>
      <c r="GG180" s="157"/>
      <c r="GP180" s="153"/>
    </row>
    <row r="181" spans="5:202" ht="3.6" customHeight="1">
      <c r="E181" s="364"/>
      <c r="M181" s="364"/>
      <c r="N181" s="365"/>
      <c r="O181" s="364"/>
      <c r="DK181" s="364"/>
      <c r="DL181" s="365"/>
      <c r="DN181" s="625"/>
      <c r="DO181" s="631"/>
      <c r="DP181" s="625"/>
      <c r="DS181" s="153"/>
      <c r="DT181" s="365"/>
      <c r="DW181" s="153"/>
      <c r="EU181" s="152"/>
      <c r="GG181" s="157"/>
      <c r="GP181" s="153"/>
    </row>
    <row r="182" spans="5:202" ht="3.6" customHeight="1">
      <c r="E182" s="364"/>
      <c r="M182" s="364"/>
      <c r="N182" s="365"/>
      <c r="O182" s="364"/>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K182" s="364"/>
      <c r="DL182" s="365"/>
      <c r="DN182" s="625"/>
      <c r="DO182" s="631"/>
      <c r="DP182" s="625"/>
      <c r="DS182" s="153"/>
      <c r="DT182" s="365"/>
      <c r="DW182" s="153"/>
      <c r="EU182" s="152"/>
      <c r="GG182" s="157"/>
      <c r="GP182" s="153"/>
    </row>
    <row r="183" spans="5:202" ht="3.6" customHeight="1">
      <c r="E183" s="364"/>
      <c r="M183" s="364"/>
      <c r="N183" s="365"/>
      <c r="O183" s="364"/>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K183" s="364"/>
      <c r="DL183" s="365"/>
      <c r="DN183" s="141"/>
      <c r="DO183" s="612"/>
      <c r="DP183" s="141"/>
      <c r="DS183" s="153"/>
      <c r="DT183" s="365"/>
      <c r="DW183" s="153"/>
      <c r="EU183" s="152"/>
      <c r="GG183" s="157"/>
      <c r="GP183" s="153"/>
    </row>
    <row r="184" spans="5:202" ht="3.6" customHeight="1">
      <c r="E184" s="364"/>
      <c r="M184" s="364"/>
      <c r="N184" s="365"/>
      <c r="O184" s="581"/>
      <c r="P184" s="575"/>
      <c r="Q184" s="2342"/>
      <c r="R184" s="2342"/>
      <c r="S184" s="2342"/>
      <c r="T184" s="2342"/>
      <c r="U184" s="2342"/>
      <c r="V184" s="2342"/>
      <c r="W184" s="2342"/>
      <c r="X184" s="2342"/>
      <c r="Y184" s="2342"/>
      <c r="Z184" s="3091" t="s">
        <v>4179</v>
      </c>
      <c r="AA184" s="3091"/>
      <c r="AB184" s="3091"/>
      <c r="AC184" s="3091"/>
      <c r="AD184" s="3091"/>
      <c r="AE184" s="3091"/>
      <c r="AF184" s="3091"/>
      <c r="AG184" s="3091"/>
      <c r="AH184" s="3091"/>
      <c r="AI184" s="3091"/>
      <c r="AJ184" s="3091"/>
      <c r="AK184" s="3091"/>
      <c r="AL184" s="3091"/>
      <c r="AM184" s="3091"/>
      <c r="AN184" s="2342"/>
      <c r="AO184" s="2342"/>
      <c r="AP184" s="2342"/>
      <c r="AQ184" s="2342"/>
      <c r="AR184" s="2342"/>
      <c r="AS184" s="2342"/>
      <c r="AT184" s="2360"/>
      <c r="AU184" s="20"/>
      <c r="AV184" s="20"/>
      <c r="AW184" s="2337"/>
      <c r="AX184" s="2342"/>
      <c r="AY184" s="2342"/>
      <c r="AZ184" s="2342"/>
      <c r="BA184" s="2342"/>
      <c r="BB184" s="2342"/>
      <c r="BC184" s="2342"/>
      <c r="BD184" s="2342"/>
      <c r="BE184" s="2342"/>
      <c r="BF184" s="3091" t="str">
        <f>Z184</f>
        <v>10'0"</v>
      </c>
      <c r="BG184" s="3091"/>
      <c r="BH184" s="3091"/>
      <c r="BI184" s="3091"/>
      <c r="BJ184" s="3091"/>
      <c r="BK184" s="3091"/>
      <c r="BL184" s="3091"/>
      <c r="BM184" s="3091"/>
      <c r="BN184" s="3091"/>
      <c r="BO184" s="3091"/>
      <c r="BP184" s="3091"/>
      <c r="BQ184" s="3091"/>
      <c r="BR184" s="3091"/>
      <c r="BS184" s="3091"/>
      <c r="BT184" s="2342"/>
      <c r="BU184" s="2342"/>
      <c r="BV184" s="2342"/>
      <c r="BW184" s="2342"/>
      <c r="BX184" s="2342"/>
      <c r="BY184" s="2342"/>
      <c r="BZ184" s="2342"/>
      <c r="CA184" s="2342"/>
      <c r="CB184" s="2360"/>
      <c r="CC184" s="20"/>
      <c r="CD184" s="20"/>
      <c r="CE184" s="2337"/>
      <c r="CF184" s="2342"/>
      <c r="CG184" s="2342"/>
      <c r="CH184" s="2342"/>
      <c r="CI184" s="2342"/>
      <c r="CJ184" s="2342"/>
      <c r="CK184" s="2342"/>
      <c r="CL184" s="2342"/>
      <c r="CM184" s="2342"/>
      <c r="CN184" s="3091" t="str">
        <f>BF184</f>
        <v>10'0"</v>
      </c>
      <c r="CO184" s="3091"/>
      <c r="CP184" s="3091"/>
      <c r="CQ184" s="3091"/>
      <c r="CR184" s="3091"/>
      <c r="CS184" s="3091"/>
      <c r="CT184" s="3091"/>
      <c r="CU184" s="3091"/>
      <c r="CV184" s="3091"/>
      <c r="CW184" s="3091"/>
      <c r="CX184" s="3091"/>
      <c r="CY184" s="3091"/>
      <c r="CZ184" s="3091"/>
      <c r="DA184" s="3091"/>
      <c r="DB184" s="575"/>
      <c r="DC184" s="575"/>
      <c r="DD184" s="575"/>
      <c r="DE184" s="575"/>
      <c r="DF184" s="575"/>
      <c r="DG184" s="575"/>
      <c r="DH184" s="575"/>
      <c r="DI184" s="575"/>
      <c r="DJ184" s="576"/>
      <c r="DK184" s="364"/>
      <c r="DL184" s="365"/>
      <c r="DN184" s="141"/>
      <c r="DO184" s="612"/>
      <c r="DP184" s="141"/>
      <c r="DS184" s="153"/>
      <c r="DT184" s="365"/>
      <c r="DW184" s="153"/>
      <c r="EU184" s="152"/>
      <c r="GG184" s="157"/>
      <c r="GP184" s="153"/>
    </row>
    <row r="185" spans="5:202" ht="3.6" customHeight="1">
      <c r="E185" s="364"/>
      <c r="M185" s="364"/>
      <c r="O185" s="361"/>
      <c r="P185" s="652"/>
      <c r="Q185" s="2361"/>
      <c r="R185" s="2361"/>
      <c r="S185" s="2361"/>
      <c r="T185" s="2361"/>
      <c r="U185" s="2361"/>
      <c r="V185" s="2361"/>
      <c r="W185" s="2361"/>
      <c r="X185" s="2361"/>
      <c r="Y185" s="2361"/>
      <c r="Z185" s="3091"/>
      <c r="AA185" s="3091"/>
      <c r="AB185" s="3091"/>
      <c r="AC185" s="3091"/>
      <c r="AD185" s="3091"/>
      <c r="AE185" s="3091"/>
      <c r="AF185" s="3091"/>
      <c r="AG185" s="3091"/>
      <c r="AH185" s="3091"/>
      <c r="AI185" s="3091"/>
      <c r="AJ185" s="3091"/>
      <c r="AK185" s="3091"/>
      <c r="AL185" s="3091"/>
      <c r="AM185" s="3091"/>
      <c r="AN185" s="2361"/>
      <c r="AO185" s="2361"/>
      <c r="AP185" s="2361"/>
      <c r="AQ185" s="2361"/>
      <c r="AR185" s="2361"/>
      <c r="AS185" s="2361"/>
      <c r="AT185" s="2329"/>
      <c r="AU185" s="2335"/>
      <c r="AV185" s="2326"/>
      <c r="AW185" s="2327"/>
      <c r="AX185" s="2361"/>
      <c r="AY185" s="2361"/>
      <c r="AZ185" s="2361"/>
      <c r="BA185" s="2361"/>
      <c r="BB185" s="2361"/>
      <c r="BC185" s="2361"/>
      <c r="BD185" s="2361"/>
      <c r="BE185" s="2361"/>
      <c r="BF185" s="3091"/>
      <c r="BG185" s="3091"/>
      <c r="BH185" s="3091"/>
      <c r="BI185" s="3091"/>
      <c r="BJ185" s="3091"/>
      <c r="BK185" s="3091"/>
      <c r="BL185" s="3091"/>
      <c r="BM185" s="3091"/>
      <c r="BN185" s="3091"/>
      <c r="BO185" s="3091"/>
      <c r="BP185" s="3091"/>
      <c r="BQ185" s="3091"/>
      <c r="BR185" s="3091"/>
      <c r="BS185" s="3091"/>
      <c r="BT185" s="2361"/>
      <c r="BU185" s="2361"/>
      <c r="BV185" s="2361"/>
      <c r="BW185" s="2361"/>
      <c r="BX185" s="2361"/>
      <c r="BY185" s="2361"/>
      <c r="BZ185" s="2361"/>
      <c r="CA185" s="2361"/>
      <c r="CB185" s="2329"/>
      <c r="CC185" s="2335"/>
      <c r="CD185" s="2326"/>
      <c r="CE185" s="2327"/>
      <c r="CF185" s="2361"/>
      <c r="CG185" s="2361"/>
      <c r="CH185" s="2361"/>
      <c r="CI185" s="2361"/>
      <c r="CJ185" s="2361"/>
      <c r="CK185" s="2361"/>
      <c r="CL185" s="2361"/>
      <c r="CM185" s="2361"/>
      <c r="CN185" s="3091"/>
      <c r="CO185" s="3091"/>
      <c r="CP185" s="3091"/>
      <c r="CQ185" s="3091"/>
      <c r="CR185" s="3091"/>
      <c r="CS185" s="3091"/>
      <c r="CT185" s="3091"/>
      <c r="CU185" s="3091"/>
      <c r="CV185" s="3091"/>
      <c r="CW185" s="3091"/>
      <c r="CX185" s="3091"/>
      <c r="CY185" s="3091"/>
      <c r="CZ185" s="3091"/>
      <c r="DA185" s="3091"/>
      <c r="DB185" s="652"/>
      <c r="DC185" s="652"/>
      <c r="DD185" s="652"/>
      <c r="DE185" s="652"/>
      <c r="DF185" s="652"/>
      <c r="DG185" s="652"/>
      <c r="DH185" s="652"/>
      <c r="DI185" s="652"/>
      <c r="DJ185" s="653"/>
      <c r="DK185" s="364"/>
      <c r="DL185" s="365"/>
      <c r="DN185" s="141"/>
      <c r="DO185" s="612"/>
      <c r="DP185" s="141"/>
      <c r="DS185" s="153"/>
      <c r="DT185" s="365"/>
      <c r="DW185" s="153"/>
      <c r="EU185" s="152"/>
      <c r="GG185" s="157"/>
      <c r="GP185" s="153"/>
    </row>
    <row r="186" spans="5:202" ht="3.6" customHeight="1">
      <c r="E186" s="364"/>
      <c r="M186" s="364"/>
      <c r="N186" s="362"/>
      <c r="O186" s="153"/>
      <c r="P186" s="575"/>
      <c r="Q186" s="2342"/>
      <c r="R186" s="2342"/>
      <c r="S186" s="2342"/>
      <c r="T186" s="2342"/>
      <c r="U186" s="2342"/>
      <c r="V186" s="2342"/>
      <c r="W186" s="2342"/>
      <c r="X186" s="2342"/>
      <c r="Y186" s="2342"/>
      <c r="Z186" s="3091"/>
      <c r="AA186" s="3091"/>
      <c r="AB186" s="3091"/>
      <c r="AC186" s="3091"/>
      <c r="AD186" s="3091"/>
      <c r="AE186" s="3091"/>
      <c r="AF186" s="3091"/>
      <c r="AG186" s="3091"/>
      <c r="AH186" s="3091"/>
      <c r="AI186" s="3091"/>
      <c r="AJ186" s="3091"/>
      <c r="AK186" s="3091"/>
      <c r="AL186" s="3091"/>
      <c r="AM186" s="3091"/>
      <c r="AN186" s="2342"/>
      <c r="AO186" s="2342"/>
      <c r="AP186" s="2342"/>
      <c r="AQ186" s="2342"/>
      <c r="AR186" s="2342"/>
      <c r="AS186" s="2342"/>
      <c r="AT186" s="2330"/>
      <c r="AU186" s="2324"/>
      <c r="AV186" s="2330"/>
      <c r="AW186" s="20"/>
      <c r="AX186" s="2342"/>
      <c r="AY186" s="2342"/>
      <c r="AZ186" s="2342"/>
      <c r="BA186" s="2342"/>
      <c r="BB186" s="2342"/>
      <c r="BC186" s="2342"/>
      <c r="BD186" s="2342"/>
      <c r="BE186" s="2342"/>
      <c r="BF186" s="3091"/>
      <c r="BG186" s="3091"/>
      <c r="BH186" s="3091"/>
      <c r="BI186" s="3091"/>
      <c r="BJ186" s="3091"/>
      <c r="BK186" s="3091"/>
      <c r="BL186" s="3091"/>
      <c r="BM186" s="3091"/>
      <c r="BN186" s="3091"/>
      <c r="BO186" s="3091"/>
      <c r="BP186" s="3091"/>
      <c r="BQ186" s="3091"/>
      <c r="BR186" s="3091"/>
      <c r="BS186" s="3091"/>
      <c r="BT186" s="2342"/>
      <c r="BU186" s="2342"/>
      <c r="BV186" s="2342"/>
      <c r="BW186" s="2342"/>
      <c r="BX186" s="2342"/>
      <c r="BY186" s="2342"/>
      <c r="BZ186" s="2342"/>
      <c r="CA186" s="2342"/>
      <c r="CB186" s="2330"/>
      <c r="CC186" s="20"/>
      <c r="CD186" s="2330"/>
      <c r="CE186" s="20"/>
      <c r="CF186" s="2342"/>
      <c r="CG186" s="2342"/>
      <c r="CH186" s="2342"/>
      <c r="CI186" s="2342"/>
      <c r="CJ186" s="2342"/>
      <c r="CK186" s="2342"/>
      <c r="CL186" s="2342"/>
      <c r="CM186" s="2342"/>
      <c r="CN186" s="3091"/>
      <c r="CO186" s="3091"/>
      <c r="CP186" s="3091"/>
      <c r="CQ186" s="3091"/>
      <c r="CR186" s="3091"/>
      <c r="CS186" s="3091"/>
      <c r="CT186" s="3091"/>
      <c r="CU186" s="3091"/>
      <c r="CV186" s="3091"/>
      <c r="CW186" s="3091"/>
      <c r="CX186" s="3091"/>
      <c r="CY186" s="3091"/>
      <c r="CZ186" s="3091"/>
      <c r="DA186" s="3091"/>
      <c r="DB186" s="575"/>
      <c r="DC186" s="575"/>
      <c r="DD186" s="575"/>
      <c r="DE186" s="575"/>
      <c r="DF186" s="575"/>
      <c r="DG186" s="575"/>
      <c r="DH186" s="575"/>
      <c r="DI186" s="575"/>
      <c r="DJ186" s="576"/>
      <c r="DK186" s="364"/>
      <c r="DL186" s="365"/>
      <c r="DN186" s="141"/>
      <c r="DO186" s="612"/>
      <c r="DP186" s="141"/>
      <c r="DS186" s="153"/>
      <c r="DT186" s="365"/>
      <c r="DW186" s="153"/>
      <c r="EU186" s="152"/>
      <c r="GG186" s="157"/>
      <c r="GP186" s="153"/>
    </row>
    <row r="187" spans="5:202" ht="3.6" customHeight="1">
      <c r="E187" s="364"/>
      <c r="M187" s="655"/>
      <c r="N187" s="656"/>
      <c r="DK187" s="655"/>
      <c r="DL187" s="656"/>
      <c r="DN187" s="141"/>
      <c r="DO187" s="612"/>
      <c r="DP187" s="141"/>
      <c r="DS187" s="153"/>
      <c r="DT187" s="365"/>
      <c r="DW187" s="153"/>
      <c r="EU187" s="152"/>
      <c r="GG187" s="157"/>
      <c r="GP187" s="153"/>
    </row>
    <row r="188" spans="5:202" ht="3.6" customHeight="1" thickBot="1">
      <c r="E188" s="364"/>
      <c r="M188" s="148"/>
      <c r="N188" s="149"/>
      <c r="O188" s="657"/>
      <c r="P188" s="180"/>
      <c r="Q188" s="180"/>
      <c r="R188" s="180"/>
      <c r="S188" s="180"/>
      <c r="T188" s="180"/>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44"/>
      <c r="AV188" s="144"/>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44"/>
      <c r="CD188" s="144"/>
      <c r="CE188" s="180"/>
      <c r="CF188" s="180"/>
      <c r="CG188" s="180"/>
      <c r="CH188" s="180"/>
      <c r="CI188" s="180"/>
      <c r="CJ188" s="180"/>
      <c r="CK188" s="180"/>
      <c r="CL188" s="180"/>
      <c r="CM188" s="180"/>
      <c r="CN188" s="180"/>
      <c r="CO188" s="180"/>
      <c r="CP188" s="180"/>
      <c r="CQ188" s="180"/>
      <c r="CR188" s="180"/>
      <c r="CS188" s="180"/>
      <c r="CT188" s="180"/>
      <c r="CU188" s="180"/>
      <c r="CV188" s="180"/>
      <c r="CW188" s="180"/>
      <c r="CX188" s="180"/>
      <c r="CY188" s="180"/>
      <c r="CZ188" s="180"/>
      <c r="DA188" s="180"/>
      <c r="DB188" s="180"/>
      <c r="DC188" s="180"/>
      <c r="DD188" s="180"/>
      <c r="DE188" s="180"/>
      <c r="DF188" s="180"/>
      <c r="DG188" s="180"/>
      <c r="DH188" s="180"/>
      <c r="DI188" s="180"/>
      <c r="DJ188" s="181"/>
      <c r="DK188" s="148"/>
      <c r="DL188" s="149"/>
      <c r="DN188" s="41"/>
      <c r="DO188" s="361"/>
      <c r="DP188" s="163"/>
      <c r="DR188" s="41"/>
      <c r="DS188" s="361"/>
      <c r="DT188" s="656"/>
      <c r="DU188" s="41"/>
      <c r="DW188" s="153"/>
      <c r="EU188" s="152"/>
      <c r="EV188" s="144"/>
      <c r="EW188" s="144"/>
      <c r="EX188" s="144"/>
      <c r="EY188" s="151"/>
      <c r="EZ188" s="151"/>
      <c r="FA188" s="151"/>
      <c r="FB188" s="151"/>
      <c r="FC188" s="151"/>
      <c r="FD188" s="151"/>
      <c r="FE188" s="148"/>
      <c r="FF188" s="149"/>
      <c r="FG188" s="366"/>
      <c r="FH188" s="367"/>
      <c r="FI188" s="367"/>
      <c r="FJ188" s="367"/>
      <c r="FK188" s="367"/>
      <c r="FL188" s="367"/>
      <c r="FM188" s="367"/>
      <c r="FN188" s="367"/>
      <c r="FO188" s="367"/>
      <c r="FP188" s="367"/>
      <c r="FQ188" s="367"/>
      <c r="FR188" s="367"/>
      <c r="FS188" s="367"/>
      <c r="FT188" s="367"/>
      <c r="FU188" s="367"/>
      <c r="FV188" s="367"/>
      <c r="FW188" s="367"/>
      <c r="FX188" s="367"/>
      <c r="FY188" s="367"/>
      <c r="FZ188" s="367"/>
      <c r="GA188" s="367"/>
      <c r="GB188" s="367"/>
      <c r="GC188" s="367"/>
      <c r="GD188" s="367"/>
      <c r="GE188" s="367"/>
      <c r="GF188" s="367"/>
      <c r="GG188" s="145"/>
      <c r="GH188" s="148"/>
      <c r="GI188" s="144"/>
      <c r="GJ188" s="144"/>
      <c r="GK188" s="169"/>
      <c r="GL188" s="169"/>
      <c r="GM188" s="169"/>
      <c r="GN188" s="169"/>
      <c r="GO188" s="169"/>
      <c r="GP188" s="153"/>
    </row>
    <row r="189" spans="5:202" ht="3.6" customHeight="1" thickTop="1">
      <c r="E189" s="364"/>
      <c r="M189" s="370"/>
      <c r="N189" s="371"/>
      <c r="O189" s="380"/>
      <c r="P189" s="177"/>
      <c r="Q189" s="177"/>
      <c r="R189" s="177"/>
      <c r="S189" s="177"/>
      <c r="T189" s="177"/>
      <c r="U189" s="177"/>
      <c r="V189" s="177"/>
      <c r="W189" s="177"/>
      <c r="X189" s="177"/>
      <c r="Y189" s="177"/>
      <c r="Z189" s="177"/>
      <c r="AA189" s="177"/>
      <c r="AB189" s="177"/>
      <c r="AC189" s="177"/>
      <c r="AD189" s="177"/>
      <c r="AE189" s="177"/>
      <c r="AF189" s="177"/>
      <c r="AG189" s="177"/>
      <c r="AH189" s="177"/>
      <c r="AI189" s="177"/>
      <c r="AJ189" s="177"/>
      <c r="AK189" s="177"/>
      <c r="AL189" s="177"/>
      <c r="AM189" s="177"/>
      <c r="AN189" s="177"/>
      <c r="AO189" s="177"/>
      <c r="AP189" s="177"/>
      <c r="AQ189" s="177"/>
      <c r="AR189" s="177"/>
      <c r="AS189" s="177"/>
      <c r="AT189" s="177"/>
      <c r="AU189" s="626"/>
      <c r="AV189" s="626"/>
      <c r="AW189" s="177"/>
      <c r="AX189" s="177"/>
      <c r="AY189" s="177"/>
      <c r="AZ189" s="177"/>
      <c r="BA189" s="177"/>
      <c r="BB189" s="177"/>
      <c r="BC189" s="177"/>
      <c r="BD189" s="177"/>
      <c r="BE189" s="177"/>
      <c r="BF189" s="177"/>
      <c r="BG189" s="177"/>
      <c r="BH189" s="177"/>
      <c r="BI189" s="177"/>
      <c r="BJ189" s="177"/>
      <c r="BK189" s="177"/>
      <c r="BL189" s="177"/>
      <c r="BM189" s="177"/>
      <c r="BN189" s="177"/>
      <c r="BO189" s="177"/>
      <c r="BP189" s="177"/>
      <c r="BQ189" s="177"/>
      <c r="BR189" s="177"/>
      <c r="BS189" s="177"/>
      <c r="BT189" s="177"/>
      <c r="BU189" s="177"/>
      <c r="BV189" s="177"/>
      <c r="BW189" s="177"/>
      <c r="BX189" s="177"/>
      <c r="BY189" s="177"/>
      <c r="BZ189" s="177"/>
      <c r="CA189" s="177"/>
      <c r="CB189" s="177"/>
      <c r="CC189" s="626"/>
      <c r="CD189" s="626"/>
      <c r="CE189" s="177"/>
      <c r="CF189" s="177"/>
      <c r="CG189" s="177"/>
      <c r="CH189" s="177"/>
      <c r="CI189" s="177"/>
      <c r="CJ189" s="177"/>
      <c r="CK189" s="177"/>
      <c r="CL189" s="177"/>
      <c r="CM189" s="177"/>
      <c r="CN189" s="177"/>
      <c r="CO189" s="177"/>
      <c r="CP189" s="177"/>
      <c r="CQ189" s="177"/>
      <c r="CR189" s="177"/>
      <c r="CS189" s="177"/>
      <c r="CT189" s="177"/>
      <c r="CU189" s="177"/>
      <c r="CV189" s="177"/>
      <c r="CW189" s="177"/>
      <c r="CX189" s="177"/>
      <c r="CY189" s="177"/>
      <c r="CZ189" s="177"/>
      <c r="DA189" s="177"/>
      <c r="DB189" s="177"/>
      <c r="DC189" s="177"/>
      <c r="DD189" s="177"/>
      <c r="DE189" s="177"/>
      <c r="DF189" s="177"/>
      <c r="DG189" s="177"/>
      <c r="DH189" s="177"/>
      <c r="DI189" s="177"/>
      <c r="DJ189" s="178"/>
      <c r="DK189" s="370"/>
      <c r="DL189" s="371"/>
      <c r="DN189" s="383"/>
      <c r="DR189" s="383"/>
      <c r="DT189" s="365"/>
      <c r="DV189" s="41"/>
      <c r="DW189" s="361"/>
      <c r="DX189" s="41"/>
      <c r="EU189" s="152"/>
      <c r="EV189" s="626"/>
      <c r="EW189" s="626"/>
      <c r="EX189" s="626"/>
      <c r="EY189" s="41"/>
      <c r="EZ189" s="41"/>
      <c r="FA189" s="41"/>
      <c r="FB189" s="41"/>
      <c r="FC189" s="41"/>
      <c r="FD189" s="41"/>
      <c r="FE189" s="370"/>
      <c r="FF189" s="371"/>
      <c r="FG189" s="156"/>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145"/>
      <c r="GH189" s="370"/>
      <c r="GI189" s="626"/>
      <c r="GJ189" s="626"/>
      <c r="GK189" s="41"/>
      <c r="GL189" s="41"/>
      <c r="GM189" s="41"/>
      <c r="GN189" s="41"/>
      <c r="GO189" s="159"/>
    </row>
    <row r="190" spans="5:202" ht="3.6" customHeight="1">
      <c r="E190" s="364"/>
      <c r="M190" s="150"/>
      <c r="N190" s="151"/>
      <c r="DK190" s="151"/>
      <c r="DL190" s="162"/>
      <c r="DT190" s="365"/>
      <c r="DV190" s="383"/>
      <c r="EU190" s="152"/>
      <c r="FF190" s="147"/>
      <c r="GG190" s="370"/>
      <c r="GH190" s="156"/>
      <c r="GI190" s="41"/>
      <c r="GO190" s="154"/>
    </row>
    <row r="191" spans="5:202" ht="3.6" customHeight="1">
      <c r="E191" s="364"/>
      <c r="M191" s="153"/>
      <c r="DL191" s="154"/>
      <c r="DT191" s="365"/>
      <c r="EU191" s="151"/>
      <c r="FF191" s="152"/>
      <c r="GJ191" s="148"/>
      <c r="GK191" s="149"/>
      <c r="GL191" s="148"/>
      <c r="GM191" s="149"/>
      <c r="GN191" s="148"/>
      <c r="GO191" s="149"/>
      <c r="GP191" s="162"/>
      <c r="GQ191" s="162"/>
      <c r="GR191" s="3149" t="s">
        <v>4143</v>
      </c>
      <c r="GS191" s="3149"/>
      <c r="GT191" s="3149"/>
    </row>
    <row r="192" spans="5:202" ht="3.6" customHeight="1">
      <c r="E192" s="364"/>
      <c r="M192" s="156"/>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163"/>
      <c r="CE192" s="163"/>
      <c r="CF192" s="163"/>
      <c r="CG192" s="163"/>
      <c r="CH192" s="163"/>
      <c r="CI192" s="163"/>
      <c r="CJ192" s="41"/>
      <c r="CK192" s="658"/>
      <c r="CL192" s="658"/>
      <c r="CM192" s="658"/>
      <c r="CN192" s="658"/>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159"/>
      <c r="DT192" s="365"/>
      <c r="FF192" s="152"/>
      <c r="GJ192" s="145"/>
      <c r="GK192" s="146"/>
      <c r="GL192" s="145"/>
      <c r="GM192" s="146"/>
      <c r="GN192" s="145"/>
      <c r="GO192" s="146"/>
      <c r="GP192" s="154"/>
      <c r="GQ192" s="154"/>
      <c r="GR192" s="3126"/>
      <c r="GS192" s="3126"/>
      <c r="GT192" s="3126"/>
    </row>
    <row r="193" spans="5:202" ht="3.6" customHeight="1">
      <c r="E193" s="364"/>
      <c r="M193" s="150"/>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151"/>
      <c r="BN193" s="151"/>
      <c r="BO193" s="151"/>
      <c r="BP193" s="151"/>
      <c r="BQ193" s="151"/>
      <c r="BR193" s="151"/>
      <c r="BS193" s="151"/>
      <c r="BT193" s="151"/>
      <c r="BU193" s="151"/>
      <c r="BV193" s="151"/>
      <c r="BW193" s="151"/>
      <c r="BX193" s="151"/>
      <c r="BY193" s="151"/>
      <c r="BZ193" s="151"/>
      <c r="CA193" s="151"/>
      <c r="CB193" s="151"/>
      <c r="CC193" s="151"/>
      <c r="CD193" s="151"/>
      <c r="CE193" s="151"/>
      <c r="CF193" s="151"/>
      <c r="CG193" s="151"/>
      <c r="CH193" s="151"/>
      <c r="CI193" s="151"/>
      <c r="CJ193" s="151"/>
      <c r="CK193" s="151"/>
      <c r="CL193" s="151"/>
      <c r="CM193" s="151"/>
      <c r="CN193" s="151"/>
      <c r="CO193" s="151"/>
      <c r="CP193" s="151"/>
      <c r="CQ193" s="151"/>
      <c r="CR193" s="151"/>
      <c r="CS193" s="151"/>
      <c r="CT193" s="151"/>
      <c r="CU193" s="151"/>
      <c r="CV193" s="151"/>
      <c r="CW193" s="151"/>
      <c r="CX193" s="151"/>
      <c r="CY193" s="151"/>
      <c r="CZ193" s="151"/>
      <c r="DA193" s="151"/>
      <c r="DB193" s="151"/>
      <c r="DC193" s="151"/>
      <c r="DD193" s="151"/>
      <c r="DE193" s="151"/>
      <c r="DF193" s="151"/>
      <c r="DG193" s="151"/>
      <c r="DH193" s="151"/>
      <c r="DI193" s="151"/>
      <c r="DJ193" s="151"/>
      <c r="DK193" s="151"/>
      <c r="DL193" s="162"/>
      <c r="DT193" s="365"/>
      <c r="FF193" s="152"/>
      <c r="GJ193" s="370"/>
      <c r="GK193" s="371"/>
      <c r="GL193" s="145"/>
      <c r="GM193" s="146"/>
      <c r="GN193" s="145"/>
      <c r="GO193" s="146"/>
      <c r="GP193" s="154"/>
      <c r="GQ193" s="154"/>
      <c r="GR193" s="3126"/>
      <c r="GS193" s="3126"/>
      <c r="GT193" s="3126"/>
    </row>
    <row r="194" spans="5:202" ht="3.6" customHeight="1">
      <c r="E194" s="364"/>
      <c r="M194" s="153"/>
      <c r="DL194" s="154"/>
      <c r="DT194" s="365"/>
      <c r="FF194" s="152"/>
      <c r="GL194" s="145"/>
      <c r="GM194" s="146"/>
      <c r="GN194" s="145"/>
      <c r="GO194" s="146"/>
      <c r="GP194" s="154"/>
      <c r="GQ194" s="154"/>
      <c r="GR194" s="3126"/>
      <c r="GS194" s="3126"/>
      <c r="GT194" s="3126"/>
    </row>
    <row r="195" spans="5:202" ht="3.6" customHeight="1">
      <c r="E195" s="364"/>
      <c r="M195" s="156"/>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163"/>
      <c r="CE195" s="163"/>
      <c r="CF195" s="163"/>
      <c r="CG195" s="163"/>
      <c r="CH195" s="163"/>
      <c r="CI195" s="163"/>
      <c r="CJ195" s="41"/>
      <c r="CK195" s="658"/>
      <c r="CL195" s="658"/>
      <c r="CM195" s="658"/>
      <c r="CN195" s="658"/>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159"/>
      <c r="DT195" s="365"/>
      <c r="FF195" s="152"/>
      <c r="GL195" s="145"/>
      <c r="GM195" s="146"/>
      <c r="GN195" s="145"/>
      <c r="GO195" s="157"/>
      <c r="GP195" s="155"/>
      <c r="GQ195" s="154"/>
      <c r="GR195" s="3126"/>
      <c r="GS195" s="3126"/>
      <c r="GT195" s="3126"/>
    </row>
    <row r="196" spans="5:202" ht="3.6" customHeight="1">
      <c r="E196" s="364"/>
      <c r="M196" s="150"/>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c r="BR196" s="151"/>
      <c r="BS196" s="151"/>
      <c r="BT196" s="151"/>
      <c r="BU196" s="151"/>
      <c r="BV196" s="151"/>
      <c r="BW196" s="151"/>
      <c r="BX196" s="151"/>
      <c r="BY196" s="151"/>
      <c r="BZ196" s="151"/>
      <c r="CA196" s="151"/>
      <c r="CB196" s="151"/>
      <c r="CC196" s="151"/>
      <c r="CD196" s="151"/>
      <c r="CE196" s="151"/>
      <c r="CF196" s="151"/>
      <c r="CG196" s="151"/>
      <c r="CH196" s="151"/>
      <c r="CI196" s="151"/>
      <c r="CJ196" s="151"/>
      <c r="CK196" s="151"/>
      <c r="CL196" s="151"/>
      <c r="CM196" s="151"/>
      <c r="CN196" s="151"/>
      <c r="CO196" s="151"/>
      <c r="CP196" s="151"/>
      <c r="CQ196" s="151"/>
      <c r="CR196" s="151"/>
      <c r="CS196" s="151"/>
      <c r="CT196" s="151"/>
      <c r="CU196" s="151"/>
      <c r="CV196" s="151"/>
      <c r="CW196" s="151"/>
      <c r="CX196" s="151"/>
      <c r="CY196" s="151"/>
      <c r="CZ196" s="151"/>
      <c r="DA196" s="151"/>
      <c r="DB196" s="151"/>
      <c r="DC196" s="151"/>
      <c r="DD196" s="151"/>
      <c r="DE196" s="151"/>
      <c r="DF196" s="151"/>
      <c r="DG196" s="151"/>
      <c r="DH196" s="151"/>
      <c r="DI196" s="151"/>
      <c r="DJ196" s="151"/>
      <c r="DK196" s="151"/>
      <c r="DL196" s="162"/>
      <c r="DT196" s="365"/>
      <c r="GL196" s="370"/>
      <c r="GM196" s="371"/>
      <c r="GN196" s="145"/>
      <c r="GO196" s="157"/>
      <c r="GP196" s="155"/>
      <c r="GQ196" s="154"/>
      <c r="GR196" s="3126"/>
      <c r="GS196" s="3126"/>
      <c r="GT196" s="3126"/>
    </row>
    <row r="197" spans="5:202" ht="3.6" customHeight="1">
      <c r="E197" s="377"/>
      <c r="F197" s="177"/>
      <c r="G197" s="177"/>
      <c r="H197" s="177"/>
      <c r="I197" s="177"/>
      <c r="J197" s="177"/>
      <c r="K197" s="177"/>
      <c r="L197" s="177"/>
      <c r="M197" s="380"/>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77"/>
      <c r="AN197" s="177"/>
      <c r="AO197" s="177"/>
      <c r="AP197" s="177"/>
      <c r="AQ197" s="177"/>
      <c r="AR197" s="177"/>
      <c r="AS197" s="177"/>
      <c r="AT197" s="177"/>
      <c r="AU197" s="177"/>
      <c r="AV197" s="177"/>
      <c r="AW197" s="177"/>
      <c r="AX197" s="177"/>
      <c r="AY197" s="177"/>
      <c r="AZ197" s="177"/>
      <c r="BA197" s="177"/>
      <c r="BB197" s="177"/>
      <c r="BC197" s="177"/>
      <c r="BD197" s="177"/>
      <c r="BE197" s="177"/>
      <c r="BF197" s="177"/>
      <c r="BG197" s="177"/>
      <c r="BH197" s="177"/>
      <c r="BI197" s="177"/>
      <c r="BJ197" s="177"/>
      <c r="BK197" s="177"/>
      <c r="BL197" s="177"/>
      <c r="BM197" s="177"/>
      <c r="BN197" s="177"/>
      <c r="BO197" s="177"/>
      <c r="BP197" s="177"/>
      <c r="BQ197" s="177"/>
      <c r="BR197" s="177"/>
      <c r="BS197" s="177"/>
      <c r="BT197" s="177"/>
      <c r="BU197" s="177"/>
      <c r="BV197" s="177"/>
      <c r="BW197" s="177"/>
      <c r="BX197" s="177"/>
      <c r="BY197" s="177"/>
      <c r="BZ197" s="177"/>
      <c r="CA197" s="177"/>
      <c r="CB197" s="177"/>
      <c r="CC197" s="177"/>
      <c r="CD197" s="177"/>
      <c r="CE197" s="177"/>
      <c r="CF197" s="177"/>
      <c r="CG197" s="177"/>
      <c r="CH197" s="177"/>
      <c r="CI197" s="177"/>
      <c r="CJ197" s="177"/>
      <c r="CK197" s="177"/>
      <c r="CL197" s="177"/>
      <c r="CM197" s="177"/>
      <c r="CN197" s="177"/>
      <c r="CO197" s="177"/>
      <c r="CP197" s="177"/>
      <c r="CQ197" s="177"/>
      <c r="CR197" s="177"/>
      <c r="CS197" s="177"/>
      <c r="CT197" s="177"/>
      <c r="CU197" s="177"/>
      <c r="CV197" s="177"/>
      <c r="CW197" s="177"/>
      <c r="CX197" s="177"/>
      <c r="CY197" s="177"/>
      <c r="CZ197" s="177"/>
      <c r="DA197" s="177"/>
      <c r="DB197" s="177"/>
      <c r="DC197" s="177"/>
      <c r="DD197" s="177"/>
      <c r="DE197" s="177"/>
      <c r="DF197" s="177"/>
      <c r="DG197" s="177"/>
      <c r="DH197" s="177"/>
      <c r="DI197" s="177"/>
      <c r="DJ197" s="177"/>
      <c r="DK197" s="177"/>
      <c r="DL197" s="178"/>
      <c r="DM197" s="177"/>
      <c r="DN197" s="177"/>
      <c r="DO197" s="177"/>
      <c r="DP197" s="177"/>
      <c r="DQ197" s="177"/>
      <c r="DR197" s="177"/>
      <c r="DS197" s="177"/>
      <c r="DT197" s="379"/>
      <c r="GN197" s="145"/>
      <c r="GO197" s="157"/>
      <c r="GP197" s="155"/>
      <c r="GQ197" s="154"/>
      <c r="GR197" s="3126"/>
      <c r="GS197" s="3126"/>
      <c r="GT197" s="3126"/>
    </row>
    <row r="198" spans="5:202" ht="3.6" customHeight="1">
      <c r="M198" s="156"/>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163"/>
      <c r="CE198" s="163"/>
      <c r="CF198" s="163"/>
      <c r="CG198" s="163"/>
      <c r="CH198" s="163"/>
      <c r="CI198" s="163"/>
      <c r="CJ198" s="41"/>
      <c r="CK198" s="658"/>
      <c r="CL198" s="658"/>
      <c r="CM198" s="658"/>
      <c r="CN198" s="658"/>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159"/>
      <c r="GN198" s="145"/>
      <c r="GO198" s="157"/>
      <c r="GP198" s="155"/>
      <c r="GQ198" s="154"/>
      <c r="GR198" s="3126"/>
      <c r="GS198" s="3126"/>
      <c r="GT198" s="3126"/>
    </row>
    <row r="199" spans="5:202" ht="3.6" customHeight="1">
      <c r="BP199" s="141"/>
      <c r="BQ199" s="141"/>
      <c r="BR199" s="141"/>
      <c r="BS199" s="141"/>
      <c r="BT199" s="141"/>
      <c r="BU199" s="141"/>
      <c r="BV199" s="141"/>
      <c r="BW199" s="141"/>
      <c r="BX199" s="141"/>
      <c r="BY199" s="141"/>
      <c r="BZ199" s="141"/>
      <c r="CA199" s="141"/>
      <c r="CB199" s="141"/>
      <c r="CC199" s="141"/>
      <c r="CD199" s="141"/>
      <c r="CE199" s="141"/>
      <c r="CF199" s="141"/>
      <c r="CG199" s="141"/>
      <c r="CH199" s="141"/>
      <c r="CI199" s="141"/>
      <c r="CK199" s="160"/>
      <c r="CL199" s="160"/>
      <c r="CM199" s="160"/>
      <c r="CN199" s="160"/>
      <c r="GN199" s="370"/>
      <c r="GO199" s="626"/>
      <c r="GP199" s="155"/>
      <c r="GQ199" s="154"/>
      <c r="GR199" s="3126"/>
      <c r="GS199" s="3126"/>
      <c r="GT199" s="3126"/>
    </row>
    <row r="200" spans="5:202" ht="3.6" customHeight="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K200" s="160"/>
      <c r="CL200" s="160"/>
      <c r="CM200" s="160"/>
      <c r="CN200" s="160"/>
      <c r="GP200" s="155"/>
      <c r="GQ200" s="154"/>
      <c r="GR200" s="3126"/>
      <c r="GS200" s="3126"/>
      <c r="GT200" s="3126"/>
    </row>
    <row r="201" spans="5:202" ht="3.6" customHeight="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K201" s="160"/>
      <c r="CL201" s="160"/>
      <c r="CM201" s="160"/>
      <c r="CN201" s="160"/>
      <c r="GP201" s="198"/>
      <c r="GQ201" s="159"/>
      <c r="GR201" s="3151"/>
      <c r="GS201" s="3151"/>
      <c r="GT201" s="3151"/>
    </row>
    <row r="202" spans="5:202" ht="3.6" customHeight="1">
      <c r="BP202" s="141"/>
      <c r="BQ202" s="141"/>
      <c r="BR202" s="141"/>
      <c r="BS202" s="141"/>
      <c r="BT202" s="141"/>
      <c r="BU202" s="141"/>
      <c r="BV202" s="141"/>
      <c r="BW202" s="141"/>
      <c r="BX202" s="141"/>
      <c r="BY202" s="141"/>
      <c r="BZ202" s="141"/>
      <c r="CA202" s="141"/>
      <c r="CB202" s="141"/>
      <c r="CC202" s="141"/>
      <c r="CD202" s="141"/>
      <c r="CE202" s="141"/>
      <c r="CF202" s="141"/>
      <c r="CG202" s="141"/>
      <c r="CH202" s="141"/>
      <c r="CI202" s="141"/>
      <c r="CK202" s="160"/>
      <c r="CL202" s="160"/>
      <c r="CM202" s="160"/>
      <c r="CN202" s="160"/>
    </row>
    <row r="203" spans="5:202" ht="3.6" customHeight="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K203" s="160"/>
      <c r="CL203" s="160"/>
      <c r="CM203" s="160"/>
      <c r="CN203" s="160"/>
      <c r="GJ203" s="3102" t="s">
        <v>4146</v>
      </c>
      <c r="GK203" s="3104"/>
      <c r="GL203" s="3102" t="s">
        <v>4146</v>
      </c>
      <c r="GM203" s="3104"/>
      <c r="GN203" s="3102" t="s">
        <v>4146</v>
      </c>
      <c r="GO203" s="3104"/>
      <c r="GP203" s="3102" t="s">
        <v>4141</v>
      </c>
      <c r="GQ203" s="3104"/>
    </row>
    <row r="204" spans="5:202" ht="3.6" customHeight="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K204" s="160"/>
      <c r="CL204" s="160"/>
      <c r="CM204" s="160"/>
      <c r="CN204" s="160"/>
      <c r="GJ204" s="3102"/>
      <c r="GK204" s="3104"/>
      <c r="GL204" s="3102"/>
      <c r="GM204" s="3104"/>
      <c r="GN204" s="3102"/>
      <c r="GO204" s="3104"/>
      <c r="GP204" s="3102"/>
      <c r="GQ204" s="3104"/>
    </row>
    <row r="205" spans="5:202" ht="3.6" customHeight="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K205" s="160"/>
      <c r="CL205" s="160"/>
      <c r="CM205" s="160"/>
      <c r="CN205" s="160"/>
      <c r="GJ205" s="3102"/>
      <c r="GK205" s="3104"/>
      <c r="GL205" s="3102"/>
      <c r="GM205" s="3104"/>
      <c r="GN205" s="3102"/>
      <c r="GO205" s="3104"/>
      <c r="GP205" s="3102"/>
      <c r="GQ205" s="3104"/>
    </row>
    <row r="206" spans="5:202" ht="3.6" customHeight="1">
      <c r="BU206" s="141"/>
      <c r="BV206" s="141"/>
      <c r="BW206" s="141"/>
      <c r="BX206" s="141"/>
      <c r="BY206" s="141"/>
      <c r="BZ206" s="141"/>
      <c r="CA206" s="141"/>
      <c r="CB206" s="141"/>
      <c r="CC206" s="141"/>
      <c r="CD206" s="141"/>
      <c r="CE206" s="141"/>
      <c r="CF206" s="141"/>
      <c r="CG206" s="141"/>
      <c r="CH206" s="141"/>
      <c r="CI206" s="141"/>
      <c r="CK206" s="160"/>
      <c r="CL206" s="160"/>
      <c r="CM206" s="160"/>
      <c r="CN206" s="160"/>
      <c r="GJ206" s="3102"/>
      <c r="GK206" s="3104"/>
      <c r="GL206" s="3102"/>
      <c r="GM206" s="3104"/>
      <c r="GN206" s="3102"/>
      <c r="GO206" s="3104"/>
      <c r="GP206" s="3102"/>
      <c r="GQ206" s="3104"/>
    </row>
    <row r="207" spans="5:202" ht="3.6" customHeight="1">
      <c r="BU207" s="141"/>
      <c r="BV207" s="141"/>
      <c r="BW207" s="141"/>
      <c r="BX207" s="141"/>
      <c r="BY207" s="141"/>
      <c r="BZ207" s="141"/>
      <c r="CA207" s="141"/>
      <c r="CB207" s="141"/>
      <c r="CC207" s="141"/>
      <c r="CD207" s="141"/>
      <c r="CE207" s="141"/>
      <c r="CF207" s="141"/>
      <c r="CG207" s="141"/>
      <c r="CH207" s="141"/>
      <c r="CI207" s="141"/>
      <c r="CK207" s="160"/>
      <c r="CL207" s="160"/>
      <c r="CM207" s="160"/>
      <c r="CN207" s="160"/>
      <c r="GJ207" s="3102"/>
      <c r="GK207" s="3104"/>
      <c r="GL207" s="3102"/>
      <c r="GM207" s="3104"/>
      <c r="GN207" s="3102"/>
      <c r="GO207" s="3104"/>
      <c r="GP207" s="3102"/>
      <c r="GQ207" s="3104"/>
    </row>
    <row r="208" spans="5:202" ht="3.6" customHeight="1">
      <c r="BU208" s="142"/>
      <c r="BV208" s="142"/>
      <c r="BW208" s="142"/>
      <c r="BX208" s="142"/>
      <c r="BY208" s="141"/>
      <c r="BZ208" s="141"/>
      <c r="CA208" s="141"/>
      <c r="CB208" s="141"/>
      <c r="CC208" s="141"/>
      <c r="CD208" s="141"/>
      <c r="CE208" s="141"/>
      <c r="CF208" s="141"/>
      <c r="CG208" s="141"/>
      <c r="CH208" s="141"/>
      <c r="CI208" s="141"/>
      <c r="CK208" s="160"/>
      <c r="CL208" s="160"/>
      <c r="CM208" s="160"/>
      <c r="CN208" s="160"/>
      <c r="GJ208" s="3102"/>
      <c r="GK208" s="3104"/>
      <c r="GL208" s="3102"/>
      <c r="GM208" s="3104"/>
      <c r="GN208" s="3102"/>
      <c r="GO208" s="3104"/>
      <c r="GP208" s="3102"/>
      <c r="GQ208" s="3104"/>
    </row>
    <row r="209" spans="73:199" ht="3.6" customHeight="1">
      <c r="BU209" s="142"/>
      <c r="BV209" s="142"/>
      <c r="BW209" s="142"/>
      <c r="BX209" s="142"/>
      <c r="BY209" s="141"/>
      <c r="BZ209" s="141"/>
      <c r="CA209" s="141"/>
      <c r="CB209" s="141"/>
      <c r="CC209" s="141"/>
      <c r="CD209" s="141"/>
      <c r="CE209" s="141"/>
      <c r="CF209" s="141"/>
      <c r="CG209" s="141"/>
      <c r="CH209" s="141"/>
      <c r="CI209" s="141"/>
      <c r="CK209" s="160"/>
      <c r="CL209" s="160"/>
      <c r="CM209" s="160"/>
      <c r="CN209" s="160"/>
      <c r="GJ209" s="3102"/>
      <c r="GK209" s="3104"/>
      <c r="GL209" s="3102"/>
      <c r="GM209" s="3104"/>
      <c r="GN209" s="3102"/>
      <c r="GO209" s="3104"/>
      <c r="GP209" s="3102"/>
      <c r="GQ209" s="3104"/>
    </row>
    <row r="210" spans="73:199" ht="3.6" customHeight="1">
      <c r="CD210" s="141"/>
      <c r="CE210" s="141"/>
      <c r="CF210" s="141"/>
      <c r="CG210" s="141"/>
      <c r="CH210" s="141"/>
      <c r="CI210" s="141"/>
      <c r="CK210" s="160"/>
      <c r="CL210" s="160"/>
      <c r="CM210" s="160"/>
      <c r="CN210" s="160"/>
      <c r="GJ210" s="3102"/>
      <c r="GK210" s="3104"/>
      <c r="GL210" s="3102"/>
      <c r="GM210" s="3104"/>
      <c r="GN210" s="3102"/>
      <c r="GO210" s="3104"/>
      <c r="GP210" s="3102"/>
      <c r="GQ210" s="3104"/>
    </row>
    <row r="211" spans="73:199" ht="3.6" customHeight="1">
      <c r="CD211" s="141"/>
      <c r="CE211" s="141"/>
      <c r="CF211" s="141"/>
      <c r="CG211" s="141"/>
      <c r="CH211" s="141"/>
      <c r="CI211" s="141"/>
      <c r="CK211" s="160"/>
      <c r="CL211" s="160"/>
      <c r="CM211" s="160"/>
      <c r="CN211" s="160"/>
    </row>
    <row r="241" ht="3.4" customHeight="1"/>
    <row r="263" spans="18:219" ht="3.6" customHeight="1">
      <c r="R263" s="3064" t="s">
        <v>3498</v>
      </c>
      <c r="S263" s="3064"/>
      <c r="T263" s="3064"/>
      <c r="U263" s="3064"/>
      <c r="V263" s="3064"/>
      <c r="W263" s="3064"/>
      <c r="X263" s="3064"/>
      <c r="Y263" s="3064"/>
      <c r="Z263" s="3064"/>
      <c r="AA263" s="3064"/>
      <c r="AB263" s="3064"/>
      <c r="AC263" s="3064"/>
      <c r="AD263" s="3064"/>
      <c r="AE263" s="3064"/>
      <c r="AF263" s="3064"/>
      <c r="AG263" s="3064"/>
      <c r="AH263" s="3064"/>
      <c r="AI263" s="3064"/>
      <c r="AJ263" s="3064"/>
      <c r="AK263" s="3064"/>
      <c r="AL263" s="3064"/>
      <c r="AM263" s="3064"/>
      <c r="AN263" s="3064"/>
      <c r="AO263" s="3064"/>
      <c r="AP263" s="3064"/>
      <c r="AQ263" s="3064"/>
      <c r="AR263" s="3064"/>
      <c r="AS263" s="3064"/>
      <c r="AT263" s="3064"/>
      <c r="AU263" s="3064"/>
      <c r="AV263" s="3064"/>
      <c r="AW263" s="3064"/>
      <c r="AX263" s="3064"/>
      <c r="AY263" s="3064"/>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3064" t="s">
        <v>189</v>
      </c>
      <c r="CE263" s="3064"/>
      <c r="CF263" s="3064"/>
      <c r="CG263" s="3064"/>
      <c r="CH263" s="3064"/>
      <c r="CI263" s="3064"/>
      <c r="CJ263" s="3064"/>
      <c r="CK263" s="3064"/>
      <c r="CL263" s="3064"/>
      <c r="CM263" s="3064"/>
      <c r="CN263" s="3064"/>
      <c r="CO263" s="3064"/>
      <c r="CP263" s="3064"/>
      <c r="CQ263" s="3064"/>
      <c r="CR263" s="3064"/>
      <c r="CS263" s="3064"/>
      <c r="CT263" s="3064"/>
      <c r="CU263" s="3064"/>
      <c r="CV263" s="3064"/>
      <c r="CW263" s="3064"/>
      <c r="CX263" s="3064"/>
      <c r="CY263" s="3064"/>
      <c r="CZ263" s="3064"/>
      <c r="DA263" s="3064"/>
      <c r="DB263" s="3064"/>
      <c r="DC263" s="3064"/>
      <c r="DD263" s="3064"/>
      <c r="DE263" s="3064"/>
      <c r="DF263" s="3064"/>
      <c r="DG263" s="3064"/>
      <c r="DH263" s="3064"/>
      <c r="DI263" s="3064"/>
      <c r="DJ263" s="3064"/>
      <c r="DK263" s="3064"/>
      <c r="DL263" s="3064"/>
      <c r="DM263" s="3064"/>
      <c r="DN263" s="3064"/>
      <c r="DO263" s="3064"/>
      <c r="DP263" s="3064"/>
      <c r="DQ263" s="3064"/>
      <c r="DR263" s="3064"/>
      <c r="DS263" s="3064"/>
      <c r="DT263" s="3064"/>
      <c r="DU263" s="3064"/>
      <c r="DV263" s="3064"/>
      <c r="DW263" s="3064"/>
      <c r="DX263" s="3064"/>
      <c r="DY263" s="3064"/>
      <c r="DZ263" s="3064"/>
      <c r="EA263" s="3064"/>
      <c r="EB263" s="3064"/>
      <c r="EC263" s="3064"/>
      <c r="ED263" s="3064"/>
      <c r="EE263" s="3064"/>
      <c r="EF263" s="3064"/>
      <c r="EG263" s="3064"/>
      <c r="EH263" s="3064"/>
      <c r="EI263" s="3064"/>
      <c r="EJ263" s="3064"/>
      <c r="EK263" s="3064"/>
      <c r="EL263" s="3064"/>
      <c r="EM263" s="3064"/>
      <c r="EN263" s="3064"/>
      <c r="EO263" s="3064"/>
      <c r="EP263" s="3064"/>
      <c r="EQ263" s="3064"/>
      <c r="ER263" s="3064"/>
      <c r="ES263" s="3064"/>
      <c r="ET263" s="140"/>
      <c r="EU263" s="140"/>
      <c r="EV263" s="140"/>
      <c r="EW263" s="140"/>
      <c r="EX263" s="140"/>
      <c r="EY263" s="140"/>
      <c r="EZ263" s="140"/>
      <c r="FA263" s="140"/>
      <c r="FB263" s="140"/>
      <c r="FC263" s="140"/>
      <c r="FD263" s="140"/>
      <c r="FE263" s="140"/>
      <c r="FF263" s="140"/>
      <c r="FG263" s="140"/>
      <c r="FH263" s="140"/>
      <c r="FI263" s="140"/>
      <c r="FJ263" s="140"/>
      <c r="FK263" s="140"/>
      <c r="FL263" s="140"/>
      <c r="FM263" s="140"/>
      <c r="FN263" s="140"/>
      <c r="FO263" s="140"/>
      <c r="FP263" s="3064" t="s">
        <v>190</v>
      </c>
      <c r="FQ263" s="3064"/>
      <c r="FR263" s="3064"/>
      <c r="FS263" s="3064"/>
      <c r="FT263" s="3064"/>
      <c r="FU263" s="3064"/>
      <c r="FV263" s="3064"/>
      <c r="FW263" s="3064"/>
      <c r="FX263" s="3064"/>
      <c r="FY263" s="3064"/>
      <c r="FZ263" s="3064"/>
      <c r="GA263" s="3064"/>
      <c r="GB263" s="3064"/>
      <c r="GC263" s="3064"/>
      <c r="GD263" s="3064"/>
      <c r="GE263" s="3064"/>
      <c r="GF263" s="3064"/>
      <c r="GG263" s="3064"/>
      <c r="GH263" s="3064"/>
      <c r="GI263" s="3064"/>
      <c r="GJ263" s="3064"/>
      <c r="GK263" s="3064"/>
      <c r="GL263" s="3064"/>
      <c r="GM263" s="3064"/>
      <c r="GN263" s="3064"/>
      <c r="GO263" s="3064"/>
      <c r="GP263" s="3064"/>
      <c r="GQ263" s="3064"/>
      <c r="GR263" s="3064"/>
      <c r="GS263" s="3064"/>
      <c r="GT263" s="3064"/>
      <c r="GU263" s="3064"/>
      <c r="GV263" s="3064"/>
      <c r="GW263" s="3064"/>
      <c r="GX263" s="3064"/>
      <c r="GY263" s="3064"/>
      <c r="GZ263" s="3064"/>
      <c r="HA263" s="3064"/>
      <c r="HB263" s="3064"/>
      <c r="HC263" s="3064"/>
      <c r="HD263" s="3064"/>
      <c r="HE263" s="3064"/>
      <c r="HF263" s="3064"/>
      <c r="HG263" s="3064"/>
      <c r="HH263" s="3064"/>
      <c r="HI263" s="3064"/>
      <c r="HJ263" s="3064"/>
      <c r="HK263" s="3064"/>
    </row>
    <row r="264" spans="18:219" ht="3.6" customHeight="1">
      <c r="R264" s="3064"/>
      <c r="S264" s="3064"/>
      <c r="T264" s="3064"/>
      <c r="U264" s="3064"/>
      <c r="V264" s="3064"/>
      <c r="W264" s="3064"/>
      <c r="X264" s="3064"/>
      <c r="Y264" s="3064"/>
      <c r="Z264" s="3064"/>
      <c r="AA264" s="3064"/>
      <c r="AB264" s="3064"/>
      <c r="AC264" s="3064"/>
      <c r="AD264" s="3064"/>
      <c r="AE264" s="3064"/>
      <c r="AF264" s="3064"/>
      <c r="AG264" s="3064"/>
      <c r="AH264" s="3064"/>
      <c r="AI264" s="3064"/>
      <c r="AJ264" s="3064"/>
      <c r="AK264" s="3064"/>
      <c r="AL264" s="3064"/>
      <c r="AM264" s="3064"/>
      <c r="AN264" s="3064"/>
      <c r="AO264" s="3064"/>
      <c r="AP264" s="3064"/>
      <c r="AQ264" s="3064"/>
      <c r="AR264" s="3064"/>
      <c r="AS264" s="3064"/>
      <c r="AT264" s="3064"/>
      <c r="AU264" s="3064"/>
      <c r="AV264" s="3064"/>
      <c r="AW264" s="3064"/>
      <c r="AX264" s="3064"/>
      <c r="AY264" s="3064"/>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3064"/>
      <c r="CE264" s="3064"/>
      <c r="CF264" s="3064"/>
      <c r="CG264" s="3064"/>
      <c r="CH264" s="3064"/>
      <c r="CI264" s="3064"/>
      <c r="CJ264" s="3064"/>
      <c r="CK264" s="3064"/>
      <c r="CL264" s="3064"/>
      <c r="CM264" s="3064"/>
      <c r="CN264" s="3064"/>
      <c r="CO264" s="3064"/>
      <c r="CP264" s="3064"/>
      <c r="CQ264" s="3064"/>
      <c r="CR264" s="3064"/>
      <c r="CS264" s="3064"/>
      <c r="CT264" s="3064"/>
      <c r="CU264" s="3064"/>
      <c r="CV264" s="3064"/>
      <c r="CW264" s="3064"/>
      <c r="CX264" s="3064"/>
      <c r="CY264" s="3064"/>
      <c r="CZ264" s="3064"/>
      <c r="DA264" s="3064"/>
      <c r="DB264" s="3064"/>
      <c r="DC264" s="3064"/>
      <c r="DD264" s="3064"/>
      <c r="DE264" s="3064"/>
      <c r="DF264" s="3064"/>
      <c r="DG264" s="3064"/>
      <c r="DH264" s="3064"/>
      <c r="DI264" s="3064"/>
      <c r="DJ264" s="3064"/>
      <c r="DK264" s="3064"/>
      <c r="DL264" s="3064"/>
      <c r="DM264" s="3064"/>
      <c r="DN264" s="3064"/>
      <c r="DO264" s="3064"/>
      <c r="DP264" s="3064"/>
      <c r="DQ264" s="3064"/>
      <c r="DR264" s="3064"/>
      <c r="DS264" s="3064"/>
      <c r="DT264" s="3064"/>
      <c r="DU264" s="3064"/>
      <c r="DV264" s="3064"/>
      <c r="DW264" s="3064"/>
      <c r="DX264" s="3064"/>
      <c r="DY264" s="3064"/>
      <c r="DZ264" s="3064"/>
      <c r="EA264" s="3064"/>
      <c r="EB264" s="3064"/>
      <c r="EC264" s="3064"/>
      <c r="ED264" s="3064"/>
      <c r="EE264" s="3064"/>
      <c r="EF264" s="3064"/>
      <c r="EG264" s="3064"/>
      <c r="EH264" s="3064"/>
      <c r="EI264" s="3064"/>
      <c r="EJ264" s="3064"/>
      <c r="EK264" s="3064"/>
      <c r="EL264" s="3064"/>
      <c r="EM264" s="3064"/>
      <c r="EN264" s="3064"/>
      <c r="EO264" s="3064"/>
      <c r="EP264" s="3064"/>
      <c r="EQ264" s="3064"/>
      <c r="ER264" s="3064"/>
      <c r="ES264" s="3064"/>
      <c r="ET264" s="140"/>
      <c r="EU264" s="140"/>
      <c r="EV264" s="140"/>
      <c r="EW264" s="140"/>
      <c r="EX264" s="140"/>
      <c r="EY264" s="140"/>
      <c r="EZ264" s="140"/>
      <c r="FA264" s="140"/>
      <c r="FB264" s="140"/>
      <c r="FC264" s="140"/>
      <c r="FD264" s="140"/>
      <c r="FE264" s="140"/>
      <c r="FF264" s="140"/>
      <c r="FG264" s="140"/>
      <c r="FH264" s="140"/>
      <c r="FI264" s="140"/>
      <c r="FJ264" s="140"/>
      <c r="FK264" s="140"/>
      <c r="FL264" s="140"/>
      <c r="FM264" s="140"/>
      <c r="FN264" s="140"/>
      <c r="FO264" s="140"/>
      <c r="FP264" s="3064"/>
      <c r="FQ264" s="3064"/>
      <c r="FR264" s="3064"/>
      <c r="FS264" s="3064"/>
      <c r="FT264" s="3064"/>
      <c r="FU264" s="3064"/>
      <c r="FV264" s="3064"/>
      <c r="FW264" s="3064"/>
      <c r="FX264" s="3064"/>
      <c r="FY264" s="3064"/>
      <c r="FZ264" s="3064"/>
      <c r="GA264" s="3064"/>
      <c r="GB264" s="3064"/>
      <c r="GC264" s="3064"/>
      <c r="GD264" s="3064"/>
      <c r="GE264" s="3064"/>
      <c r="GF264" s="3064"/>
      <c r="GG264" s="3064"/>
      <c r="GH264" s="3064"/>
      <c r="GI264" s="3064"/>
      <c r="GJ264" s="3064"/>
      <c r="GK264" s="3064"/>
      <c r="GL264" s="3064"/>
      <c r="GM264" s="3064"/>
      <c r="GN264" s="3064"/>
      <c r="GO264" s="3064"/>
      <c r="GP264" s="3064"/>
      <c r="GQ264" s="3064"/>
      <c r="GR264" s="3064"/>
      <c r="GS264" s="3064"/>
      <c r="GT264" s="3064"/>
      <c r="GU264" s="3064"/>
      <c r="GV264" s="3064"/>
      <c r="GW264" s="3064"/>
      <c r="GX264" s="3064"/>
      <c r="GY264" s="3064"/>
      <c r="GZ264" s="3064"/>
      <c r="HA264" s="3064"/>
      <c r="HB264" s="3064"/>
      <c r="HC264" s="3064"/>
      <c r="HD264" s="3064"/>
      <c r="HE264" s="3064"/>
      <c r="HF264" s="3064"/>
      <c r="HG264" s="3064"/>
      <c r="HH264" s="3064"/>
      <c r="HI264" s="3064"/>
      <c r="HJ264" s="3064"/>
      <c r="HK264" s="3064"/>
    </row>
    <row r="265" spans="18:219" ht="3.6" customHeight="1">
      <c r="R265" s="3064"/>
      <c r="S265" s="3064"/>
      <c r="T265" s="3064"/>
      <c r="U265" s="3064"/>
      <c r="V265" s="3064"/>
      <c r="W265" s="3064"/>
      <c r="X265" s="3064"/>
      <c r="Y265" s="3064"/>
      <c r="Z265" s="3064"/>
      <c r="AA265" s="3064"/>
      <c r="AB265" s="3064"/>
      <c r="AC265" s="3064"/>
      <c r="AD265" s="3064"/>
      <c r="AE265" s="3064"/>
      <c r="AF265" s="3064"/>
      <c r="AG265" s="3064"/>
      <c r="AH265" s="3064"/>
      <c r="AI265" s="3064"/>
      <c r="AJ265" s="3064"/>
      <c r="AK265" s="3064"/>
      <c r="AL265" s="3064"/>
      <c r="AM265" s="3064"/>
      <c r="AN265" s="3064"/>
      <c r="AO265" s="3064"/>
      <c r="AP265" s="3064"/>
      <c r="AQ265" s="3064"/>
      <c r="AR265" s="3064"/>
      <c r="AS265" s="3064"/>
      <c r="AT265" s="3064"/>
      <c r="AU265" s="3064"/>
      <c r="AV265" s="3064"/>
      <c r="AW265" s="3064"/>
      <c r="AX265" s="3064"/>
      <c r="AY265" s="3064"/>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3064"/>
      <c r="CE265" s="3064"/>
      <c r="CF265" s="3064"/>
      <c r="CG265" s="3064"/>
      <c r="CH265" s="3064"/>
      <c r="CI265" s="3064"/>
      <c r="CJ265" s="3064"/>
      <c r="CK265" s="3064"/>
      <c r="CL265" s="3064"/>
      <c r="CM265" s="3064"/>
      <c r="CN265" s="3064"/>
      <c r="CO265" s="3064"/>
      <c r="CP265" s="3064"/>
      <c r="CQ265" s="3064"/>
      <c r="CR265" s="3064"/>
      <c r="CS265" s="3064"/>
      <c r="CT265" s="3064"/>
      <c r="CU265" s="3064"/>
      <c r="CV265" s="3064"/>
      <c r="CW265" s="3064"/>
      <c r="CX265" s="3064"/>
      <c r="CY265" s="3064"/>
      <c r="CZ265" s="3064"/>
      <c r="DA265" s="3064"/>
      <c r="DB265" s="3064"/>
      <c r="DC265" s="3064"/>
      <c r="DD265" s="3064"/>
      <c r="DE265" s="3064"/>
      <c r="DF265" s="3064"/>
      <c r="DG265" s="3064"/>
      <c r="DH265" s="3064"/>
      <c r="DI265" s="3064"/>
      <c r="DJ265" s="3064"/>
      <c r="DK265" s="3064"/>
      <c r="DL265" s="3064"/>
      <c r="DM265" s="3064"/>
      <c r="DN265" s="3064"/>
      <c r="DO265" s="3064"/>
      <c r="DP265" s="3064"/>
      <c r="DQ265" s="3064"/>
      <c r="DR265" s="3064"/>
      <c r="DS265" s="3064"/>
      <c r="DT265" s="3064"/>
      <c r="DU265" s="3064"/>
      <c r="DV265" s="3064"/>
      <c r="DW265" s="3064"/>
      <c r="DX265" s="3064"/>
      <c r="DY265" s="3064"/>
      <c r="DZ265" s="3064"/>
      <c r="EA265" s="3064"/>
      <c r="EB265" s="3064"/>
      <c r="EC265" s="3064"/>
      <c r="ED265" s="3064"/>
      <c r="EE265" s="3064"/>
      <c r="EF265" s="3064"/>
      <c r="EG265" s="3064"/>
      <c r="EH265" s="3064"/>
      <c r="EI265" s="3064"/>
      <c r="EJ265" s="3064"/>
      <c r="EK265" s="3064"/>
      <c r="EL265" s="3064"/>
      <c r="EM265" s="3064"/>
      <c r="EN265" s="3064"/>
      <c r="EO265" s="3064"/>
      <c r="EP265" s="3064"/>
      <c r="EQ265" s="3064"/>
      <c r="ER265" s="3064"/>
      <c r="ES265" s="3064"/>
      <c r="ET265" s="140"/>
      <c r="EU265" s="140"/>
      <c r="EV265" s="140"/>
      <c r="EW265" s="140"/>
      <c r="EX265" s="140"/>
      <c r="EY265" s="140"/>
      <c r="EZ265" s="140"/>
      <c r="FA265" s="140"/>
      <c r="FB265" s="140"/>
      <c r="FC265" s="140"/>
      <c r="FD265" s="140"/>
      <c r="FE265" s="140"/>
      <c r="FF265" s="140"/>
      <c r="FG265" s="140"/>
      <c r="FH265" s="140"/>
      <c r="FI265" s="140"/>
      <c r="FJ265" s="140"/>
      <c r="FK265" s="140"/>
      <c r="FL265" s="140"/>
      <c r="FM265" s="140"/>
      <c r="FN265" s="140"/>
      <c r="FO265" s="140"/>
      <c r="FP265" s="3064"/>
      <c r="FQ265" s="3064"/>
      <c r="FR265" s="3064"/>
      <c r="FS265" s="3064"/>
      <c r="FT265" s="3064"/>
      <c r="FU265" s="3064"/>
      <c r="FV265" s="3064"/>
      <c r="FW265" s="3064"/>
      <c r="FX265" s="3064"/>
      <c r="FY265" s="3064"/>
      <c r="FZ265" s="3064"/>
      <c r="GA265" s="3064"/>
      <c r="GB265" s="3064"/>
      <c r="GC265" s="3064"/>
      <c r="GD265" s="3064"/>
      <c r="GE265" s="3064"/>
      <c r="GF265" s="3064"/>
      <c r="GG265" s="3064"/>
      <c r="GH265" s="3064"/>
      <c r="GI265" s="3064"/>
      <c r="GJ265" s="3064"/>
      <c r="GK265" s="3064"/>
      <c r="GL265" s="3064"/>
      <c r="GM265" s="3064"/>
      <c r="GN265" s="3064"/>
      <c r="GO265" s="3064"/>
      <c r="GP265" s="3064"/>
      <c r="GQ265" s="3064"/>
      <c r="GR265" s="3064"/>
      <c r="GS265" s="3064"/>
      <c r="GT265" s="3064"/>
      <c r="GU265" s="3064"/>
      <c r="GV265" s="3064"/>
      <c r="GW265" s="3064"/>
      <c r="GX265" s="3064"/>
      <c r="GY265" s="3064"/>
      <c r="GZ265" s="3064"/>
      <c r="HA265" s="3064"/>
      <c r="HB265" s="3064"/>
      <c r="HC265" s="3064"/>
      <c r="HD265" s="3064"/>
      <c r="HE265" s="3064"/>
      <c r="HF265" s="3064"/>
      <c r="HG265" s="3064"/>
      <c r="HH265" s="3064"/>
      <c r="HI265" s="3064"/>
      <c r="HJ265" s="3064"/>
      <c r="HK265" s="3064"/>
    </row>
    <row r="266" spans="18:219" ht="3.6" customHeight="1">
      <c r="R266" s="3064"/>
      <c r="S266" s="3064"/>
      <c r="T266" s="3064"/>
      <c r="U266" s="3064"/>
      <c r="V266" s="3064"/>
      <c r="W266" s="3064"/>
      <c r="X266" s="3064"/>
      <c r="Y266" s="3064"/>
      <c r="Z266" s="3064"/>
      <c r="AA266" s="3064"/>
      <c r="AB266" s="3064"/>
      <c r="AC266" s="3064"/>
      <c r="AD266" s="3064"/>
      <c r="AE266" s="3064"/>
      <c r="AF266" s="3064"/>
      <c r="AG266" s="3064"/>
      <c r="AH266" s="3064"/>
      <c r="AI266" s="3064"/>
      <c r="AJ266" s="3064"/>
      <c r="AK266" s="3064"/>
      <c r="AL266" s="3064"/>
      <c r="AM266" s="3064"/>
      <c r="AN266" s="3064"/>
      <c r="AO266" s="3064"/>
      <c r="AP266" s="3064"/>
      <c r="AQ266" s="3064"/>
      <c r="AR266" s="3064"/>
      <c r="AS266" s="3064"/>
      <c r="AT266" s="3064"/>
      <c r="AU266" s="3064"/>
      <c r="AV266" s="3064"/>
      <c r="AW266" s="3064"/>
      <c r="AX266" s="3064"/>
      <c r="AY266" s="3064"/>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3064"/>
      <c r="CE266" s="3064"/>
      <c r="CF266" s="3064"/>
      <c r="CG266" s="3064"/>
      <c r="CH266" s="3064"/>
      <c r="CI266" s="3064"/>
      <c r="CJ266" s="3064"/>
      <c r="CK266" s="3064"/>
      <c r="CL266" s="3064"/>
      <c r="CM266" s="3064"/>
      <c r="CN266" s="3064"/>
      <c r="CO266" s="3064"/>
      <c r="CP266" s="3064"/>
      <c r="CQ266" s="3064"/>
      <c r="CR266" s="3064"/>
      <c r="CS266" s="3064"/>
      <c r="CT266" s="3064"/>
      <c r="CU266" s="3064"/>
      <c r="CV266" s="3064"/>
      <c r="CW266" s="3064"/>
      <c r="CX266" s="3064"/>
      <c r="CY266" s="3064"/>
      <c r="CZ266" s="3064"/>
      <c r="DA266" s="3064"/>
      <c r="DB266" s="3064"/>
      <c r="DC266" s="3064"/>
      <c r="DD266" s="3064"/>
      <c r="DE266" s="3064"/>
      <c r="DF266" s="3064"/>
      <c r="DG266" s="3064"/>
      <c r="DH266" s="3064"/>
      <c r="DI266" s="3064"/>
      <c r="DJ266" s="3064"/>
      <c r="DK266" s="3064"/>
      <c r="DL266" s="3064"/>
      <c r="DM266" s="3064"/>
      <c r="DN266" s="3064"/>
      <c r="DO266" s="3064"/>
      <c r="DP266" s="3064"/>
      <c r="DQ266" s="3064"/>
      <c r="DR266" s="3064"/>
      <c r="DS266" s="3064"/>
      <c r="DT266" s="3064"/>
      <c r="DU266" s="3064"/>
      <c r="DV266" s="3064"/>
      <c r="DW266" s="3064"/>
      <c r="DX266" s="3064"/>
      <c r="DY266" s="3064"/>
      <c r="DZ266" s="3064"/>
      <c r="EA266" s="3064"/>
      <c r="EB266" s="3064"/>
      <c r="EC266" s="3064"/>
      <c r="ED266" s="3064"/>
      <c r="EE266" s="3064"/>
      <c r="EF266" s="3064"/>
      <c r="EG266" s="3064"/>
      <c r="EH266" s="3064"/>
      <c r="EI266" s="3064"/>
      <c r="EJ266" s="3064"/>
      <c r="EK266" s="3064"/>
      <c r="EL266" s="3064"/>
      <c r="EM266" s="3064"/>
      <c r="EN266" s="3064"/>
      <c r="EO266" s="3064"/>
      <c r="EP266" s="3064"/>
      <c r="EQ266" s="3064"/>
      <c r="ER266" s="3064"/>
      <c r="ES266" s="3064"/>
      <c r="ET266" s="140"/>
      <c r="EU266" s="140"/>
      <c r="EV266" s="140"/>
      <c r="EW266" s="140"/>
      <c r="EX266" s="140"/>
      <c r="EY266" s="140"/>
      <c r="EZ266" s="140"/>
      <c r="FA266" s="140"/>
      <c r="FB266" s="140"/>
      <c r="FC266" s="140"/>
      <c r="FD266" s="140"/>
      <c r="FE266" s="140"/>
      <c r="FF266" s="140"/>
      <c r="FG266" s="140"/>
      <c r="FH266" s="140"/>
      <c r="FI266" s="140"/>
      <c r="FJ266" s="140"/>
      <c r="FK266" s="140"/>
      <c r="FL266" s="140"/>
      <c r="FM266" s="140"/>
      <c r="FN266" s="140"/>
      <c r="FO266" s="140"/>
      <c r="FP266" s="3064"/>
      <c r="FQ266" s="3064"/>
      <c r="FR266" s="3064"/>
      <c r="FS266" s="3064"/>
      <c r="FT266" s="3064"/>
      <c r="FU266" s="3064"/>
      <c r="FV266" s="3064"/>
      <c r="FW266" s="3064"/>
      <c r="FX266" s="3064"/>
      <c r="FY266" s="3064"/>
      <c r="FZ266" s="3064"/>
      <c r="GA266" s="3064"/>
      <c r="GB266" s="3064"/>
      <c r="GC266" s="3064"/>
      <c r="GD266" s="3064"/>
      <c r="GE266" s="3064"/>
      <c r="GF266" s="3064"/>
      <c r="GG266" s="3064"/>
      <c r="GH266" s="3064"/>
      <c r="GI266" s="3064"/>
      <c r="GJ266" s="3064"/>
      <c r="GK266" s="3064"/>
      <c r="GL266" s="3064"/>
      <c r="GM266" s="3064"/>
      <c r="GN266" s="3064"/>
      <c r="GO266" s="3064"/>
      <c r="GP266" s="3064"/>
      <c r="GQ266" s="3064"/>
      <c r="GR266" s="3064"/>
      <c r="GS266" s="3064"/>
      <c r="GT266" s="3064"/>
      <c r="GU266" s="3064"/>
      <c r="GV266" s="3064"/>
      <c r="GW266" s="3064"/>
      <c r="GX266" s="3064"/>
      <c r="GY266" s="3064"/>
      <c r="GZ266" s="3064"/>
      <c r="HA266" s="3064"/>
      <c r="HB266" s="3064"/>
      <c r="HC266" s="3064"/>
      <c r="HD266" s="3064"/>
      <c r="HE266" s="3064"/>
      <c r="HF266" s="3064"/>
      <c r="HG266" s="3064"/>
      <c r="HH266" s="3064"/>
      <c r="HI266" s="3064"/>
      <c r="HJ266" s="3064"/>
      <c r="HK266" s="3064"/>
    </row>
    <row r="267" spans="18:219" ht="3.6" customHeight="1">
      <c r="R267" s="3064" t="s">
        <v>4150</v>
      </c>
      <c r="S267" s="3064"/>
      <c r="T267" s="3064"/>
      <c r="U267" s="3064"/>
      <c r="V267" s="3064"/>
      <c r="W267" s="3064"/>
      <c r="X267" s="3064"/>
      <c r="Y267" s="3064"/>
      <c r="Z267" s="3064"/>
      <c r="AA267" s="3064"/>
      <c r="AB267" s="3064"/>
      <c r="AC267" s="3064"/>
      <c r="AD267" s="3064"/>
      <c r="AE267" s="3064"/>
      <c r="AF267" s="3064"/>
      <c r="AG267" s="3064"/>
      <c r="AH267" s="3064"/>
      <c r="AI267" s="3064"/>
      <c r="AJ267" s="3064"/>
      <c r="AK267" s="3064"/>
      <c r="AL267" s="3064"/>
      <c r="AM267" s="3064"/>
      <c r="AN267" s="3064"/>
      <c r="AO267" s="3064"/>
      <c r="AP267" s="3064"/>
      <c r="AQ267" s="3064"/>
      <c r="AR267" s="3064"/>
      <c r="AS267" s="3064"/>
      <c r="AT267" s="3064"/>
      <c r="AU267" s="3064"/>
      <c r="AV267" s="3064"/>
      <c r="AW267" s="3064"/>
      <c r="AX267" s="3064"/>
      <c r="AY267" s="3064"/>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20"/>
      <c r="CJ267" s="20"/>
      <c r="CK267" s="20"/>
      <c r="CL267" s="20"/>
      <c r="CM267" s="20"/>
      <c r="CN267" s="3064" t="s">
        <v>4150</v>
      </c>
      <c r="CO267" s="3064"/>
      <c r="CP267" s="3064"/>
      <c r="CQ267" s="3064"/>
      <c r="CR267" s="3064"/>
      <c r="CS267" s="3064"/>
      <c r="CT267" s="3064"/>
      <c r="CU267" s="3064"/>
      <c r="CV267" s="3064"/>
      <c r="CW267" s="3064"/>
      <c r="CX267" s="3064"/>
      <c r="CY267" s="3064"/>
      <c r="CZ267" s="3064"/>
      <c r="DA267" s="3064"/>
      <c r="DB267" s="3064"/>
      <c r="DC267" s="3064"/>
      <c r="DD267" s="3064"/>
      <c r="DE267" s="3064"/>
      <c r="DF267" s="3064"/>
      <c r="DG267" s="3064"/>
      <c r="DH267" s="3064"/>
      <c r="DI267" s="3064"/>
      <c r="DJ267" s="3064"/>
      <c r="DK267" s="3064"/>
      <c r="DL267" s="3064"/>
      <c r="DM267" s="3064"/>
      <c r="DN267" s="3064"/>
      <c r="DO267" s="3064"/>
      <c r="DP267" s="3064"/>
      <c r="DQ267" s="3064"/>
      <c r="DR267" s="3064"/>
      <c r="DS267" s="3064"/>
      <c r="DT267" s="3064"/>
      <c r="DU267" s="20"/>
      <c r="DV267" s="20"/>
      <c r="DW267" s="20"/>
      <c r="DX267" s="20"/>
      <c r="DY267" s="20"/>
      <c r="DZ267" s="20"/>
      <c r="EA267" s="20"/>
      <c r="EB267" s="20"/>
      <c r="EC267" s="20"/>
      <c r="ED267" s="20"/>
      <c r="EE267" s="20"/>
      <c r="EF267" s="20"/>
      <c r="EG267" s="20"/>
      <c r="EH267" s="20"/>
      <c r="EI267" s="20"/>
      <c r="EJ267" s="20"/>
      <c r="EK267" s="20"/>
      <c r="EL267" s="20"/>
      <c r="EM267" s="20"/>
      <c r="EN267" s="20"/>
      <c r="EO267" s="20"/>
      <c r="EP267" s="20"/>
      <c r="EQ267" s="20"/>
      <c r="ER267" s="140"/>
      <c r="ES267" s="140"/>
      <c r="ET267" s="140"/>
      <c r="EU267" s="140"/>
      <c r="EV267" s="140"/>
      <c r="EW267" s="140"/>
      <c r="EX267" s="140"/>
      <c r="EY267" s="140"/>
      <c r="EZ267" s="140"/>
      <c r="FA267" s="140"/>
      <c r="FB267" s="140"/>
      <c r="FC267" s="140"/>
      <c r="FD267" s="140"/>
      <c r="FE267" s="140"/>
      <c r="FF267" s="140"/>
      <c r="FG267" s="140"/>
      <c r="FH267" s="140"/>
      <c r="FI267" s="140"/>
      <c r="FJ267" s="140"/>
      <c r="FK267" s="140"/>
      <c r="FL267" s="140"/>
      <c r="FM267" s="140"/>
      <c r="FN267" s="140"/>
      <c r="FO267" s="140"/>
      <c r="FP267" s="3064" t="s">
        <v>4150</v>
      </c>
      <c r="FQ267" s="3064"/>
      <c r="FR267" s="3064"/>
      <c r="FS267" s="3064"/>
      <c r="FT267" s="3064"/>
      <c r="FU267" s="3064"/>
      <c r="FV267" s="3064"/>
      <c r="FW267" s="3064"/>
      <c r="FX267" s="3064"/>
      <c r="FY267" s="3064"/>
      <c r="FZ267" s="3064"/>
      <c r="GA267" s="3064"/>
      <c r="GB267" s="3064"/>
      <c r="GC267" s="3064"/>
      <c r="GD267" s="3064"/>
      <c r="GE267" s="3064"/>
      <c r="GF267" s="3064"/>
      <c r="GG267" s="3064"/>
      <c r="GH267" s="3064"/>
      <c r="GI267" s="3064"/>
      <c r="GJ267" s="3064"/>
      <c r="GK267" s="3064"/>
      <c r="GL267" s="3064"/>
      <c r="GM267" s="3064"/>
      <c r="GN267" s="3064"/>
      <c r="GO267" s="3064"/>
      <c r="GP267" s="3064"/>
      <c r="GQ267" s="3064"/>
      <c r="GR267" s="3064"/>
      <c r="GS267" s="3064"/>
      <c r="GT267" s="3064"/>
      <c r="GU267" s="3064"/>
      <c r="GV267" s="3064"/>
      <c r="GW267" s="3064"/>
      <c r="GX267" s="3064"/>
      <c r="GY267" s="3064"/>
      <c r="GZ267" s="3064"/>
      <c r="HA267" s="3064"/>
      <c r="HB267" s="3064"/>
      <c r="HC267" s="3064"/>
      <c r="HD267" s="3064"/>
      <c r="HE267" s="3064"/>
    </row>
    <row r="268" spans="18:219" ht="3.6" customHeight="1">
      <c r="R268" s="3064"/>
      <c r="S268" s="3064"/>
      <c r="T268" s="3064"/>
      <c r="U268" s="3064"/>
      <c r="V268" s="3064"/>
      <c r="W268" s="3064"/>
      <c r="X268" s="3064"/>
      <c r="Y268" s="3064"/>
      <c r="Z268" s="3064"/>
      <c r="AA268" s="3064"/>
      <c r="AB268" s="3064"/>
      <c r="AC268" s="3064"/>
      <c r="AD268" s="3064"/>
      <c r="AE268" s="3064"/>
      <c r="AF268" s="3064"/>
      <c r="AG268" s="3064"/>
      <c r="AH268" s="3064"/>
      <c r="AI268" s="3064"/>
      <c r="AJ268" s="3064"/>
      <c r="AK268" s="3064"/>
      <c r="AL268" s="3064"/>
      <c r="AM268" s="3064"/>
      <c r="AN268" s="3064"/>
      <c r="AO268" s="3064"/>
      <c r="AP268" s="3064"/>
      <c r="AQ268" s="3064"/>
      <c r="AR268" s="3064"/>
      <c r="AS268" s="3064"/>
      <c r="AT268" s="3064"/>
      <c r="AU268" s="3064"/>
      <c r="AV268" s="3064"/>
      <c r="AW268" s="3064"/>
      <c r="AX268" s="3064"/>
      <c r="AY268" s="3064"/>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20"/>
      <c r="CJ268" s="20"/>
      <c r="CK268" s="20"/>
      <c r="CL268" s="20"/>
      <c r="CM268" s="20"/>
      <c r="CN268" s="3064"/>
      <c r="CO268" s="3064"/>
      <c r="CP268" s="3064"/>
      <c r="CQ268" s="3064"/>
      <c r="CR268" s="3064"/>
      <c r="CS268" s="3064"/>
      <c r="CT268" s="3064"/>
      <c r="CU268" s="3064"/>
      <c r="CV268" s="3064"/>
      <c r="CW268" s="3064"/>
      <c r="CX268" s="3064"/>
      <c r="CY268" s="3064"/>
      <c r="CZ268" s="3064"/>
      <c r="DA268" s="3064"/>
      <c r="DB268" s="3064"/>
      <c r="DC268" s="3064"/>
      <c r="DD268" s="3064"/>
      <c r="DE268" s="3064"/>
      <c r="DF268" s="3064"/>
      <c r="DG268" s="3064"/>
      <c r="DH268" s="3064"/>
      <c r="DI268" s="3064"/>
      <c r="DJ268" s="3064"/>
      <c r="DK268" s="3064"/>
      <c r="DL268" s="3064"/>
      <c r="DM268" s="3064"/>
      <c r="DN268" s="3064"/>
      <c r="DO268" s="3064"/>
      <c r="DP268" s="3064"/>
      <c r="DQ268" s="3064"/>
      <c r="DR268" s="3064"/>
      <c r="DS268" s="3064"/>
      <c r="DT268" s="3064"/>
      <c r="DU268" s="20"/>
      <c r="DV268" s="20"/>
      <c r="DW268" s="20"/>
      <c r="DX268" s="20"/>
      <c r="DY268" s="20"/>
      <c r="DZ268" s="20"/>
      <c r="EA268" s="20"/>
      <c r="EB268" s="20"/>
      <c r="EC268" s="20"/>
      <c r="ED268" s="20"/>
      <c r="EE268" s="20"/>
      <c r="EF268" s="20"/>
      <c r="EG268" s="20"/>
      <c r="EH268" s="20"/>
      <c r="EI268" s="20"/>
      <c r="EJ268" s="20"/>
      <c r="EK268" s="20"/>
      <c r="EL268" s="20"/>
      <c r="EM268" s="20"/>
      <c r="EN268" s="20"/>
      <c r="EO268" s="20"/>
      <c r="EP268" s="20"/>
      <c r="EQ268" s="20"/>
      <c r="ER268" s="140"/>
      <c r="ES268" s="140"/>
      <c r="ET268" s="140"/>
      <c r="EU268" s="140"/>
      <c r="EV268" s="140"/>
      <c r="EW268" s="140"/>
      <c r="EX268" s="140"/>
      <c r="EY268" s="140"/>
      <c r="EZ268" s="140"/>
      <c r="FA268" s="140"/>
      <c r="FB268" s="140"/>
      <c r="FC268" s="140"/>
      <c r="FD268" s="140"/>
      <c r="FE268" s="140"/>
      <c r="FF268" s="140"/>
      <c r="FG268" s="140"/>
      <c r="FH268" s="140"/>
      <c r="FI268" s="140"/>
      <c r="FJ268" s="140"/>
      <c r="FK268" s="140"/>
      <c r="FL268" s="140"/>
      <c r="FM268" s="140"/>
      <c r="FN268" s="140"/>
      <c r="FO268" s="140"/>
      <c r="FP268" s="3064"/>
      <c r="FQ268" s="3064"/>
      <c r="FR268" s="3064"/>
      <c r="FS268" s="3064"/>
      <c r="FT268" s="3064"/>
      <c r="FU268" s="3064"/>
      <c r="FV268" s="3064"/>
      <c r="FW268" s="3064"/>
      <c r="FX268" s="3064"/>
      <c r="FY268" s="3064"/>
      <c r="FZ268" s="3064"/>
      <c r="GA268" s="3064"/>
      <c r="GB268" s="3064"/>
      <c r="GC268" s="3064"/>
      <c r="GD268" s="3064"/>
      <c r="GE268" s="3064"/>
      <c r="GF268" s="3064"/>
      <c r="GG268" s="3064"/>
      <c r="GH268" s="3064"/>
      <c r="GI268" s="3064"/>
      <c r="GJ268" s="3064"/>
      <c r="GK268" s="3064"/>
      <c r="GL268" s="3064"/>
      <c r="GM268" s="3064"/>
      <c r="GN268" s="3064"/>
      <c r="GO268" s="3064"/>
      <c r="GP268" s="3064"/>
      <c r="GQ268" s="3064"/>
      <c r="GR268" s="3064"/>
      <c r="GS268" s="3064"/>
      <c r="GT268" s="3064"/>
      <c r="GU268" s="3064"/>
      <c r="GV268" s="3064"/>
      <c r="GW268" s="3064"/>
      <c r="GX268" s="3064"/>
      <c r="GY268" s="3064"/>
      <c r="GZ268" s="3064"/>
      <c r="HA268" s="3064"/>
      <c r="HB268" s="3064"/>
      <c r="HC268" s="3064"/>
      <c r="HD268" s="3064"/>
      <c r="HE268" s="3064"/>
    </row>
    <row r="269" spans="18:219" ht="3.6" customHeight="1">
      <c r="R269" s="3064"/>
      <c r="S269" s="3064"/>
      <c r="T269" s="3064"/>
      <c r="U269" s="3064"/>
      <c r="V269" s="3064"/>
      <c r="W269" s="3064"/>
      <c r="X269" s="3064"/>
      <c r="Y269" s="3064"/>
      <c r="Z269" s="3064"/>
      <c r="AA269" s="3064"/>
      <c r="AB269" s="3064"/>
      <c r="AC269" s="3064"/>
      <c r="AD269" s="3064"/>
      <c r="AE269" s="3064"/>
      <c r="AF269" s="3064"/>
      <c r="AG269" s="3064"/>
      <c r="AH269" s="3064"/>
      <c r="AI269" s="3064"/>
      <c r="AJ269" s="3064"/>
      <c r="AK269" s="3064"/>
      <c r="AL269" s="3064"/>
      <c r="AM269" s="3064"/>
      <c r="AN269" s="3064"/>
      <c r="AO269" s="3064"/>
      <c r="AP269" s="3064"/>
      <c r="AQ269" s="3064"/>
      <c r="AR269" s="3064"/>
      <c r="AS269" s="3064"/>
      <c r="AT269" s="3064"/>
      <c r="AU269" s="3064"/>
      <c r="AV269" s="3064"/>
      <c r="AW269" s="3064"/>
      <c r="AX269" s="3064"/>
      <c r="AY269" s="3064"/>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20"/>
      <c r="CJ269" s="20"/>
      <c r="CK269" s="20"/>
      <c r="CL269" s="20"/>
      <c r="CM269" s="20"/>
      <c r="CN269" s="3064"/>
      <c r="CO269" s="3064"/>
      <c r="CP269" s="3064"/>
      <c r="CQ269" s="3064"/>
      <c r="CR269" s="3064"/>
      <c r="CS269" s="3064"/>
      <c r="CT269" s="3064"/>
      <c r="CU269" s="3064"/>
      <c r="CV269" s="3064"/>
      <c r="CW269" s="3064"/>
      <c r="CX269" s="3064"/>
      <c r="CY269" s="3064"/>
      <c r="CZ269" s="3064"/>
      <c r="DA269" s="3064"/>
      <c r="DB269" s="3064"/>
      <c r="DC269" s="3064"/>
      <c r="DD269" s="3064"/>
      <c r="DE269" s="3064"/>
      <c r="DF269" s="3064"/>
      <c r="DG269" s="3064"/>
      <c r="DH269" s="3064"/>
      <c r="DI269" s="3064"/>
      <c r="DJ269" s="3064"/>
      <c r="DK269" s="3064"/>
      <c r="DL269" s="3064"/>
      <c r="DM269" s="3064"/>
      <c r="DN269" s="3064"/>
      <c r="DO269" s="3064"/>
      <c r="DP269" s="3064"/>
      <c r="DQ269" s="3064"/>
      <c r="DR269" s="3064"/>
      <c r="DS269" s="3064"/>
      <c r="DT269" s="3064"/>
      <c r="DU269" s="20"/>
      <c r="DV269" s="20"/>
      <c r="DW269" s="20"/>
      <c r="DX269" s="20"/>
      <c r="DY269" s="20"/>
      <c r="DZ269" s="20"/>
      <c r="EA269" s="20"/>
      <c r="EB269" s="20"/>
      <c r="EC269" s="20"/>
      <c r="ED269" s="20"/>
      <c r="EE269" s="20"/>
      <c r="EF269" s="20"/>
      <c r="EG269" s="20"/>
      <c r="EH269" s="20"/>
      <c r="EI269" s="20"/>
      <c r="EJ269" s="20"/>
      <c r="EK269" s="20"/>
      <c r="EL269" s="20"/>
      <c r="EM269" s="20"/>
      <c r="EN269" s="20"/>
      <c r="EO269" s="20"/>
      <c r="EP269" s="20"/>
      <c r="EQ269" s="20"/>
      <c r="ER269" s="140"/>
      <c r="ES269" s="140"/>
      <c r="ET269" s="140"/>
      <c r="EU269" s="140"/>
      <c r="EV269" s="140"/>
      <c r="EW269" s="140"/>
      <c r="EX269" s="140"/>
      <c r="EY269" s="140"/>
      <c r="EZ269" s="140"/>
      <c r="FA269" s="140"/>
      <c r="FB269" s="140"/>
      <c r="FC269" s="140"/>
      <c r="FD269" s="140"/>
      <c r="FE269" s="140"/>
      <c r="FF269" s="140"/>
      <c r="FG269" s="140"/>
      <c r="FH269" s="140"/>
      <c r="FI269" s="140"/>
      <c r="FJ269" s="140"/>
      <c r="FK269" s="140"/>
      <c r="FL269" s="140"/>
      <c r="FM269" s="140"/>
      <c r="FN269" s="140"/>
      <c r="FO269" s="140"/>
      <c r="FP269" s="3064"/>
      <c r="FQ269" s="3064"/>
      <c r="FR269" s="3064"/>
      <c r="FS269" s="3064"/>
      <c r="FT269" s="3064"/>
      <c r="FU269" s="3064"/>
      <c r="FV269" s="3064"/>
      <c r="FW269" s="3064"/>
      <c r="FX269" s="3064"/>
      <c r="FY269" s="3064"/>
      <c r="FZ269" s="3064"/>
      <c r="GA269" s="3064"/>
      <c r="GB269" s="3064"/>
      <c r="GC269" s="3064"/>
      <c r="GD269" s="3064"/>
      <c r="GE269" s="3064"/>
      <c r="GF269" s="3064"/>
      <c r="GG269" s="3064"/>
      <c r="GH269" s="3064"/>
      <c r="GI269" s="3064"/>
      <c r="GJ269" s="3064"/>
      <c r="GK269" s="3064"/>
      <c r="GL269" s="3064"/>
      <c r="GM269" s="3064"/>
      <c r="GN269" s="3064"/>
      <c r="GO269" s="3064"/>
      <c r="GP269" s="3064"/>
      <c r="GQ269" s="3064"/>
      <c r="GR269" s="3064"/>
      <c r="GS269" s="3064"/>
      <c r="GT269" s="3064"/>
      <c r="GU269" s="3064"/>
      <c r="GV269" s="3064"/>
      <c r="GW269" s="3064"/>
      <c r="GX269" s="3064"/>
      <c r="GY269" s="3064"/>
      <c r="GZ269" s="3064"/>
      <c r="HA269" s="3064"/>
      <c r="HB269" s="3064"/>
      <c r="HC269" s="3064"/>
      <c r="HD269" s="3064"/>
      <c r="HE269" s="3064"/>
    </row>
    <row r="270" spans="18:219" ht="3.6" customHeight="1">
      <c r="R270" s="3064"/>
      <c r="S270" s="3064"/>
      <c r="T270" s="3064"/>
      <c r="U270" s="3064"/>
      <c r="V270" s="3064"/>
      <c r="W270" s="3064"/>
      <c r="X270" s="3064"/>
      <c r="Y270" s="3064"/>
      <c r="Z270" s="3064"/>
      <c r="AA270" s="3064"/>
      <c r="AB270" s="3064"/>
      <c r="AC270" s="3064"/>
      <c r="AD270" s="3064"/>
      <c r="AE270" s="3064"/>
      <c r="AF270" s="3064"/>
      <c r="AG270" s="3064"/>
      <c r="AH270" s="3064"/>
      <c r="AI270" s="3064"/>
      <c r="AJ270" s="3064"/>
      <c r="AK270" s="3064"/>
      <c r="AL270" s="3064"/>
      <c r="AM270" s="3064"/>
      <c r="AN270" s="3064"/>
      <c r="AO270" s="3064"/>
      <c r="AP270" s="3064"/>
      <c r="AQ270" s="3064"/>
      <c r="AR270" s="3064"/>
      <c r="AS270" s="3064"/>
      <c r="AT270" s="3064"/>
      <c r="AU270" s="3064"/>
      <c r="AV270" s="3064"/>
      <c r="AW270" s="3064"/>
      <c r="AX270" s="3064"/>
      <c r="AY270" s="3064"/>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20"/>
      <c r="CJ270" s="20"/>
      <c r="CK270" s="20"/>
      <c r="CL270" s="20"/>
      <c r="CM270" s="20"/>
      <c r="CN270" s="3064"/>
      <c r="CO270" s="3064"/>
      <c r="CP270" s="3064"/>
      <c r="CQ270" s="3064"/>
      <c r="CR270" s="3064"/>
      <c r="CS270" s="3064"/>
      <c r="CT270" s="3064"/>
      <c r="CU270" s="3064"/>
      <c r="CV270" s="3064"/>
      <c r="CW270" s="3064"/>
      <c r="CX270" s="3064"/>
      <c r="CY270" s="3064"/>
      <c r="CZ270" s="3064"/>
      <c r="DA270" s="3064"/>
      <c r="DB270" s="3064"/>
      <c r="DC270" s="3064"/>
      <c r="DD270" s="3064"/>
      <c r="DE270" s="3064"/>
      <c r="DF270" s="3064"/>
      <c r="DG270" s="3064"/>
      <c r="DH270" s="3064"/>
      <c r="DI270" s="3064"/>
      <c r="DJ270" s="3064"/>
      <c r="DK270" s="3064"/>
      <c r="DL270" s="3064"/>
      <c r="DM270" s="3064"/>
      <c r="DN270" s="3064"/>
      <c r="DO270" s="3064"/>
      <c r="DP270" s="3064"/>
      <c r="DQ270" s="3064"/>
      <c r="DR270" s="3064"/>
      <c r="DS270" s="3064"/>
      <c r="DT270" s="3064"/>
      <c r="DU270" s="20"/>
      <c r="DV270" s="20"/>
      <c r="DW270" s="20"/>
      <c r="DX270" s="20"/>
      <c r="DY270" s="20"/>
      <c r="DZ270" s="20"/>
      <c r="EA270" s="20"/>
      <c r="EB270" s="20"/>
      <c r="EC270" s="20"/>
      <c r="ED270" s="20"/>
      <c r="EE270" s="20"/>
      <c r="EF270" s="20"/>
      <c r="EG270" s="20"/>
      <c r="EH270" s="20"/>
      <c r="EI270" s="20"/>
      <c r="EJ270" s="20"/>
      <c r="EK270" s="20"/>
      <c r="EL270" s="20"/>
      <c r="EM270" s="20"/>
      <c r="EN270" s="20"/>
      <c r="EO270" s="20"/>
      <c r="EP270" s="20"/>
      <c r="EQ270" s="20"/>
      <c r="ER270" s="140"/>
      <c r="ES270" s="140"/>
      <c r="ET270" s="140"/>
      <c r="EU270" s="140"/>
      <c r="EV270" s="140"/>
      <c r="EW270" s="140"/>
      <c r="EX270" s="140"/>
      <c r="EY270" s="140"/>
      <c r="EZ270" s="140"/>
      <c r="FA270" s="140"/>
      <c r="FB270" s="140"/>
      <c r="FC270" s="140"/>
      <c r="FD270" s="140"/>
      <c r="FE270" s="140"/>
      <c r="FF270" s="140"/>
      <c r="FG270" s="140"/>
      <c r="FH270" s="140"/>
      <c r="FI270" s="140"/>
      <c r="FJ270" s="140"/>
      <c r="FK270" s="140"/>
      <c r="FL270" s="140"/>
      <c r="FM270" s="140"/>
      <c r="FN270" s="140"/>
      <c r="FO270" s="140"/>
      <c r="FP270" s="3064"/>
      <c r="FQ270" s="3064"/>
      <c r="FR270" s="3064"/>
      <c r="FS270" s="3064"/>
      <c r="FT270" s="3064"/>
      <c r="FU270" s="3064"/>
      <c r="FV270" s="3064"/>
      <c r="FW270" s="3064"/>
      <c r="FX270" s="3064"/>
      <c r="FY270" s="3064"/>
      <c r="FZ270" s="3064"/>
      <c r="GA270" s="3064"/>
      <c r="GB270" s="3064"/>
      <c r="GC270" s="3064"/>
      <c r="GD270" s="3064"/>
      <c r="GE270" s="3064"/>
      <c r="GF270" s="3064"/>
      <c r="GG270" s="3064"/>
      <c r="GH270" s="3064"/>
      <c r="GI270" s="3064"/>
      <c r="GJ270" s="3064"/>
      <c r="GK270" s="3064"/>
      <c r="GL270" s="3064"/>
      <c r="GM270" s="3064"/>
      <c r="GN270" s="3064"/>
      <c r="GO270" s="3064"/>
      <c r="GP270" s="3064"/>
      <c r="GQ270" s="3064"/>
      <c r="GR270" s="3064"/>
      <c r="GS270" s="3064"/>
      <c r="GT270" s="3064"/>
      <c r="GU270" s="3064"/>
      <c r="GV270" s="3064"/>
      <c r="GW270" s="3064"/>
      <c r="GX270" s="3064"/>
      <c r="GY270" s="3064"/>
      <c r="GZ270" s="3064"/>
      <c r="HA270" s="3064"/>
      <c r="HB270" s="3064"/>
      <c r="HC270" s="3064"/>
      <c r="HD270" s="3064"/>
      <c r="HE270" s="3064"/>
    </row>
    <row r="272" spans="18:219" ht="0.95" customHeight="1"/>
    <row r="288" spans="61:122" ht="3.6" customHeight="1">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c r="CN288" s="140"/>
      <c r="CO288" s="140"/>
      <c r="CP288" s="140"/>
      <c r="CQ288" s="140"/>
      <c r="CR288" s="140"/>
      <c r="CS288" s="140"/>
      <c r="CT288" s="140"/>
      <c r="CU288" s="140"/>
      <c r="CV288" s="140"/>
      <c r="CW288" s="140"/>
      <c r="CX288" s="140"/>
      <c r="CY288" s="140"/>
      <c r="CZ288" s="140"/>
      <c r="DA288" s="140"/>
      <c r="DB288" s="140"/>
      <c r="DC288" s="140"/>
      <c r="DD288" s="140"/>
      <c r="DE288" s="140"/>
      <c r="DF288" s="140"/>
      <c r="DG288" s="140"/>
      <c r="DH288" s="140"/>
      <c r="DI288" s="140"/>
      <c r="DJ288" s="140"/>
      <c r="DK288" s="140"/>
      <c r="DL288" s="140"/>
      <c r="DM288" s="140"/>
      <c r="DN288" s="140"/>
      <c r="DO288" s="140"/>
      <c r="DP288" s="140"/>
      <c r="DQ288" s="140"/>
      <c r="DR288" s="140"/>
    </row>
    <row r="289" spans="61:122" ht="3.6" customHeight="1">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c r="CN289" s="140"/>
      <c r="CO289" s="140"/>
      <c r="CP289" s="140"/>
      <c r="CQ289" s="140"/>
      <c r="CR289" s="140"/>
      <c r="CS289" s="140"/>
      <c r="CT289" s="140"/>
      <c r="CU289" s="140"/>
      <c r="CV289" s="140"/>
      <c r="CW289" s="140"/>
      <c r="CX289" s="140"/>
      <c r="CY289" s="140"/>
      <c r="CZ289" s="140"/>
      <c r="DA289" s="140"/>
      <c r="DB289" s="140"/>
      <c r="DC289" s="140"/>
      <c r="DD289" s="140"/>
      <c r="DE289" s="140"/>
      <c r="DF289" s="140"/>
      <c r="DG289" s="140"/>
      <c r="DH289" s="140"/>
      <c r="DI289" s="140"/>
      <c r="DJ289" s="140"/>
      <c r="DK289" s="140"/>
      <c r="DL289" s="140"/>
      <c r="DM289" s="140"/>
      <c r="DN289" s="140"/>
      <c r="DO289" s="140"/>
      <c r="DP289" s="140"/>
      <c r="DQ289" s="140"/>
      <c r="DR289" s="140"/>
    </row>
    <row r="290" spans="61:122" ht="3.6" customHeight="1">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c r="CN290" s="140"/>
      <c r="CO290" s="140"/>
      <c r="CP290" s="140"/>
      <c r="CQ290" s="140"/>
      <c r="CR290" s="140"/>
      <c r="CS290" s="140"/>
      <c r="CT290" s="140"/>
      <c r="CU290" s="140"/>
      <c r="CV290" s="140"/>
      <c r="CW290" s="140"/>
      <c r="CX290" s="140"/>
      <c r="CY290" s="140"/>
      <c r="CZ290" s="140"/>
      <c r="DA290" s="140"/>
      <c r="DB290" s="140"/>
      <c r="DC290" s="140"/>
      <c r="DD290" s="140"/>
      <c r="DE290" s="140"/>
      <c r="DF290" s="140"/>
      <c r="DG290" s="140"/>
      <c r="DH290" s="140"/>
      <c r="DI290" s="140"/>
      <c r="DJ290" s="140"/>
      <c r="DK290" s="140"/>
      <c r="DL290" s="140"/>
      <c r="DM290" s="140"/>
      <c r="DN290" s="140"/>
      <c r="DO290" s="140"/>
      <c r="DP290" s="140"/>
      <c r="DQ290" s="140"/>
      <c r="DR290" s="140"/>
    </row>
    <row r="291" spans="61:122" ht="3.6" customHeight="1">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c r="CN291" s="140"/>
      <c r="CO291" s="140"/>
      <c r="CP291" s="140"/>
      <c r="CQ291" s="140"/>
      <c r="CR291" s="140"/>
      <c r="CS291" s="140"/>
      <c r="CT291" s="140"/>
      <c r="CU291" s="140"/>
      <c r="CV291" s="140"/>
      <c r="CW291" s="140"/>
      <c r="CX291" s="140"/>
      <c r="CY291" s="140"/>
      <c r="CZ291" s="140"/>
      <c r="DA291" s="140"/>
      <c r="DB291" s="140"/>
      <c r="DC291" s="140"/>
      <c r="DD291" s="140"/>
      <c r="DE291" s="140"/>
      <c r="DF291" s="140"/>
      <c r="DG291" s="140"/>
      <c r="DH291" s="140"/>
      <c r="DI291" s="140"/>
      <c r="DJ291" s="140"/>
      <c r="DK291" s="140"/>
      <c r="DL291" s="140"/>
      <c r="DM291" s="140"/>
      <c r="DN291" s="140"/>
      <c r="DO291" s="140"/>
      <c r="DP291" s="140"/>
      <c r="DQ291" s="140"/>
      <c r="DR291" s="140"/>
    </row>
  </sheetData>
  <mergeCells count="102">
    <mergeCell ref="R263:AY266"/>
    <mergeCell ref="CD263:ES266"/>
    <mergeCell ref="FP263:HK266"/>
    <mergeCell ref="R267:AY270"/>
    <mergeCell ref="CN267:DT270"/>
    <mergeCell ref="FP267:HE270"/>
    <mergeCell ref="Z184:AM186"/>
    <mergeCell ref="BF184:BS186"/>
    <mergeCell ref="CN184:DA186"/>
    <mergeCell ref="GR191:GT201"/>
    <mergeCell ref="GJ203:GK210"/>
    <mergeCell ref="GL203:GM210"/>
    <mergeCell ref="GN203:GO210"/>
    <mergeCell ref="GP203:GQ210"/>
    <mergeCell ref="GT165:GX171"/>
    <mergeCell ref="DN170:DP180"/>
    <mergeCell ref="AX172:BW174"/>
    <mergeCell ref="AV175:BG177"/>
    <mergeCell ref="BH175:BO177"/>
    <mergeCell ref="BP175:BV177"/>
    <mergeCell ref="DR145:DT157"/>
    <mergeCell ref="DV145:DX157"/>
    <mergeCell ref="HH152:HK174"/>
    <mergeCell ref="GT154:GX160"/>
    <mergeCell ref="GY154:HB171"/>
    <mergeCell ref="M161:M163"/>
    <mergeCell ref="AU161:AU163"/>
    <mergeCell ref="CC161:CC163"/>
    <mergeCell ref="DK161:DK163"/>
    <mergeCell ref="GT161:GX164"/>
    <mergeCell ref="GP135:HF139"/>
    <mergeCell ref="GP142:GS152"/>
    <mergeCell ref="GT142:GX152"/>
    <mergeCell ref="GY142:HB151"/>
    <mergeCell ref="HC142:HD151"/>
    <mergeCell ref="HE142:HF151"/>
    <mergeCell ref="BN123:BW125"/>
    <mergeCell ref="DN126:DP137"/>
    <mergeCell ref="DR132:DT144"/>
    <mergeCell ref="DV132:DX144"/>
    <mergeCell ref="M108:M110"/>
    <mergeCell ref="AU108:AU110"/>
    <mergeCell ref="CC108:CC110"/>
    <mergeCell ref="DK108:DK110"/>
    <mergeCell ref="M122:N126"/>
    <mergeCell ref="AY118:BX122"/>
    <mergeCell ref="AY123:BH125"/>
    <mergeCell ref="GV99:GX118"/>
    <mergeCell ref="GY99:HA118"/>
    <mergeCell ref="HC99:HF118"/>
    <mergeCell ref="FH102:FJ107"/>
    <mergeCell ref="W103:AJ105"/>
    <mergeCell ref="BF103:BS105"/>
    <mergeCell ref="CN103:DA105"/>
    <mergeCell ref="GS103:GU114"/>
    <mergeCell ref="GP105:GR112"/>
    <mergeCell ref="GK107:GO110"/>
    <mergeCell ref="EV90:EX100"/>
    <mergeCell ref="EY90:FC100"/>
    <mergeCell ref="FD90:FE100"/>
    <mergeCell ref="FO90:FS101"/>
    <mergeCell ref="AY94:BD96"/>
    <mergeCell ref="BE94:BR96"/>
    <mergeCell ref="AY99:BD101"/>
    <mergeCell ref="BE99:BR101"/>
    <mergeCell ref="GH88:GJ98"/>
    <mergeCell ref="GK88:GO98"/>
    <mergeCell ref="GP88:GR98"/>
    <mergeCell ref="GS88:GU98"/>
    <mergeCell ref="GV88:GX98"/>
    <mergeCell ref="GY88:HA98"/>
    <mergeCell ref="GY47:HE50"/>
    <mergeCell ref="GC70:GF78"/>
    <mergeCell ref="GL70:GO78"/>
    <mergeCell ref="ET75:EV81"/>
    <mergeCell ref="GJ79:GM87"/>
    <mergeCell ref="GT79:GV87"/>
    <mergeCell ref="FI83:FU86"/>
    <mergeCell ref="EX47:FK50"/>
    <mergeCell ref="FL47:FV50"/>
    <mergeCell ref="FW47:GB50"/>
    <mergeCell ref="GC47:GL50"/>
    <mergeCell ref="GM47:GQ50"/>
    <mergeCell ref="GR47:GX50"/>
    <mergeCell ref="GY39:HE42"/>
    <mergeCell ref="EX43:FK46"/>
    <mergeCell ref="FL43:FV46"/>
    <mergeCell ref="FW43:GB46"/>
    <mergeCell ref="GC43:GL46"/>
    <mergeCell ref="GM43:GQ46"/>
    <mergeCell ref="GR43:GX46"/>
    <mergeCell ref="GY43:HE46"/>
    <mergeCell ref="K3:EX10"/>
    <mergeCell ref="FN3:HB7"/>
    <mergeCell ref="FN8:HB15"/>
    <mergeCell ref="EX35:HE38"/>
    <mergeCell ref="EX39:FK42"/>
    <mergeCell ref="FL39:FV42"/>
    <mergeCell ref="FW39:GB42"/>
    <mergeCell ref="GC39:GL42"/>
    <mergeCell ref="GM39:GQ42"/>
    <mergeCell ref="GR39:GX42"/>
  </mergeCells>
  <pageMargins left="0.5" right="0.25" top="0.5" bottom="0.16" header="0.5" footer="0.34"/>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sheetPr>
    <tabColor rgb="FFFF0000"/>
  </sheetPr>
  <dimension ref="A1:BW103"/>
  <sheetViews>
    <sheetView view="pageBreakPreview" zoomScaleSheetLayoutView="100" workbookViewId="0">
      <selection activeCell="BP62" sqref="BP62"/>
    </sheetView>
  </sheetViews>
  <sheetFormatPr defaultColWidth="1.7109375" defaultRowHeight="9.9499999999999993" customHeight="1"/>
  <cols>
    <col min="1" max="1" width="2.42578125" style="2369" customWidth="1"/>
    <col min="2" max="2" width="0.7109375" style="2369" customWidth="1"/>
    <col min="3" max="16384" width="1.7109375" style="2369"/>
  </cols>
  <sheetData>
    <row r="1" spans="1:55" s="2368" customFormat="1" ht="9.9499999999999993" customHeight="1">
      <c r="A1" s="3164" t="s">
        <v>4212</v>
      </c>
      <c r="B1" s="3164"/>
      <c r="C1" s="3164"/>
      <c r="D1" s="3164"/>
      <c r="E1" s="3164"/>
      <c r="F1" s="3164"/>
      <c r="G1" s="3164"/>
      <c r="H1" s="3164"/>
      <c r="I1" s="3164"/>
      <c r="J1" s="3164"/>
      <c r="K1" s="3164"/>
      <c r="L1" s="3164"/>
      <c r="M1" s="3163" t="s">
        <v>3969</v>
      </c>
      <c r="N1" s="3163"/>
      <c r="O1" s="3163"/>
      <c r="P1" s="3163"/>
      <c r="Q1" s="3163"/>
      <c r="R1" s="3163"/>
      <c r="S1" s="3163"/>
      <c r="T1" s="3163"/>
      <c r="U1" s="3163"/>
      <c r="V1" s="3163"/>
      <c r="W1" s="3163"/>
      <c r="X1" s="3163"/>
      <c r="Y1" s="3163"/>
      <c r="Z1" s="3163"/>
      <c r="AA1" s="3163"/>
      <c r="AB1" s="3163"/>
      <c r="AC1" s="3163"/>
      <c r="AD1" s="3163"/>
      <c r="AE1" s="3163"/>
      <c r="AF1" s="3163"/>
      <c r="AG1" s="3163"/>
      <c r="AH1" s="3163"/>
      <c r="AI1" s="3163"/>
      <c r="AJ1" s="3163"/>
      <c r="AK1" s="3163"/>
      <c r="AL1" s="3163"/>
      <c r="AM1" s="3163"/>
      <c r="AN1" s="3163"/>
      <c r="AO1" s="3163"/>
      <c r="AP1" s="3163"/>
      <c r="AQ1" s="3163"/>
      <c r="AR1" s="3163"/>
      <c r="AS1" s="3163"/>
      <c r="AT1" s="3163"/>
      <c r="AU1" s="3163"/>
      <c r="AV1" s="3163"/>
      <c r="AW1" s="3163"/>
      <c r="AX1" s="3163"/>
      <c r="AY1" s="3163"/>
      <c r="AZ1" s="3163"/>
      <c r="BA1" s="3163"/>
      <c r="BB1" s="3163"/>
      <c r="BC1" s="3163"/>
    </row>
    <row r="2" spans="1:55" s="2368" customFormat="1" ht="9.9499999999999993" customHeight="1">
      <c r="A2" s="3164"/>
      <c r="B2" s="3164"/>
      <c r="C2" s="3164"/>
      <c r="D2" s="3164"/>
      <c r="E2" s="3164"/>
      <c r="F2" s="3164"/>
      <c r="G2" s="3164"/>
      <c r="H2" s="3164"/>
      <c r="I2" s="3164"/>
      <c r="J2" s="3164"/>
      <c r="K2" s="3164"/>
      <c r="L2" s="3164"/>
      <c r="M2" s="3163"/>
      <c r="N2" s="3163"/>
      <c r="O2" s="3163"/>
      <c r="P2" s="3163"/>
      <c r="Q2" s="3163"/>
      <c r="R2" s="3163"/>
      <c r="S2" s="3163"/>
      <c r="T2" s="3163"/>
      <c r="U2" s="3163"/>
      <c r="V2" s="3163"/>
      <c r="W2" s="3163"/>
      <c r="X2" s="3163"/>
      <c r="Y2" s="3163"/>
      <c r="Z2" s="3163"/>
      <c r="AA2" s="3163"/>
      <c r="AB2" s="3163"/>
      <c r="AC2" s="3163"/>
      <c r="AD2" s="3163"/>
      <c r="AE2" s="3163"/>
      <c r="AF2" s="3163"/>
      <c r="AG2" s="3163"/>
      <c r="AH2" s="3163"/>
      <c r="AI2" s="3163"/>
      <c r="AJ2" s="3163"/>
      <c r="AK2" s="3163"/>
      <c r="AL2" s="3163"/>
      <c r="AM2" s="3163"/>
      <c r="AN2" s="3163"/>
      <c r="AO2" s="3163"/>
      <c r="AP2" s="3163"/>
      <c r="AQ2" s="3163"/>
      <c r="AR2" s="3163"/>
      <c r="AS2" s="3163"/>
      <c r="AT2" s="3163"/>
      <c r="AU2" s="3163"/>
      <c r="AV2" s="3163"/>
      <c r="AW2" s="3163"/>
      <c r="AX2" s="3163"/>
      <c r="AY2" s="3163"/>
      <c r="AZ2" s="3163"/>
      <c r="BA2" s="3163"/>
      <c r="BB2" s="3163"/>
      <c r="BC2" s="3163"/>
    </row>
    <row r="3" spans="1:55" ht="9.9499999999999993" customHeight="1">
      <c r="A3" s="3164" t="s">
        <v>4213</v>
      </c>
      <c r="B3" s="3164"/>
      <c r="C3" s="3164"/>
      <c r="D3" s="3164"/>
      <c r="E3" s="3164"/>
      <c r="F3" s="3164"/>
      <c r="G3" s="3164"/>
      <c r="H3" s="3164"/>
      <c r="I3" s="3164"/>
      <c r="J3" s="3164"/>
      <c r="K3" s="3164"/>
      <c r="L3" s="3164"/>
      <c r="N3" s="3165" t="s">
        <v>4103</v>
      </c>
      <c r="O3" s="3165"/>
      <c r="P3" s="3165"/>
      <c r="Q3" s="3165"/>
      <c r="R3" s="3165"/>
      <c r="S3" s="3165"/>
      <c r="T3" s="3165"/>
      <c r="U3" s="3165"/>
      <c r="V3" s="3165"/>
      <c r="W3" s="3165"/>
      <c r="X3" s="3165"/>
      <c r="Y3" s="3165"/>
      <c r="Z3" s="3165"/>
      <c r="AA3" s="3165"/>
    </row>
    <row r="4" spans="1:55" ht="9.9499999999999993" customHeight="1">
      <c r="A4" s="3164"/>
      <c r="B4" s="3164"/>
      <c r="C4" s="3164"/>
      <c r="D4" s="3164"/>
      <c r="E4" s="3164"/>
      <c r="F4" s="3164"/>
      <c r="G4" s="3164"/>
      <c r="H4" s="3164"/>
      <c r="I4" s="3164"/>
      <c r="J4" s="3164"/>
      <c r="K4" s="3164"/>
      <c r="L4" s="3164"/>
      <c r="N4" s="3165"/>
      <c r="O4" s="3165"/>
      <c r="P4" s="3165"/>
      <c r="Q4" s="3165"/>
      <c r="R4" s="3165"/>
      <c r="S4" s="3165"/>
      <c r="T4" s="3165"/>
      <c r="U4" s="3165"/>
      <c r="V4" s="3165"/>
      <c r="W4" s="3165"/>
      <c r="X4" s="3165"/>
      <c r="Y4" s="3165"/>
      <c r="Z4" s="3165"/>
      <c r="AA4" s="3165"/>
    </row>
    <row r="5" spans="1:55" ht="9.9499999999999993" customHeight="1">
      <c r="A5" s="2429"/>
      <c r="B5" s="2429"/>
      <c r="C5" s="2429"/>
      <c r="D5" s="2429"/>
      <c r="E5" s="2429"/>
      <c r="F5" s="3168" t="s">
        <v>4214</v>
      </c>
      <c r="G5" s="3168"/>
      <c r="H5" s="3168"/>
      <c r="I5" s="3168"/>
      <c r="J5" s="3168"/>
      <c r="K5" s="3168"/>
      <c r="L5" s="3168"/>
      <c r="M5" s="3168"/>
      <c r="N5" s="2431"/>
      <c r="O5" s="2431"/>
      <c r="P5" s="2431"/>
      <c r="Q5" s="2431"/>
      <c r="R5" s="2431"/>
      <c r="S5" s="2430"/>
      <c r="T5" s="2430"/>
      <c r="U5" s="2430"/>
      <c r="V5" s="2430"/>
      <c r="W5" s="2430"/>
      <c r="X5" s="2430"/>
      <c r="Y5" s="2430"/>
      <c r="Z5" s="2430"/>
      <c r="AA5" s="2430"/>
    </row>
    <row r="6" spans="1:55" ht="4.7" customHeight="1" thickBot="1">
      <c r="F6" s="3169"/>
      <c r="G6" s="3169"/>
      <c r="H6" s="3169"/>
      <c r="I6" s="3169"/>
      <c r="J6" s="3169"/>
      <c r="K6" s="3169"/>
      <c r="L6" s="3169"/>
      <c r="M6" s="3169"/>
      <c r="N6" s="2431"/>
      <c r="O6" s="2431"/>
      <c r="P6" s="2431"/>
      <c r="Q6" s="2431"/>
      <c r="R6" s="2431"/>
    </row>
    <row r="7" spans="1:55" ht="9.9499999999999993" customHeight="1">
      <c r="N7" s="2371"/>
      <c r="O7" s="2371"/>
      <c r="P7" s="2371"/>
      <c r="AI7" s="2370"/>
      <c r="AJ7" s="2371"/>
    </row>
    <row r="8" spans="1:55" ht="9.9499999999999993" customHeight="1">
      <c r="E8" s="2372"/>
      <c r="F8" s="2372"/>
      <c r="G8" s="2372"/>
      <c r="H8" s="2372"/>
      <c r="I8" s="2372"/>
      <c r="J8" s="2372"/>
      <c r="K8" s="2372"/>
      <c r="L8" s="2372"/>
      <c r="M8" s="2372"/>
      <c r="N8" s="2382"/>
      <c r="O8" s="2382"/>
      <c r="P8" s="2382"/>
      <c r="AF8" s="2377"/>
      <c r="AG8" s="2373"/>
      <c r="AI8" s="2373"/>
    </row>
    <row r="9" spans="1:55" ht="9.9499999999999993" customHeight="1" thickBot="1">
      <c r="E9" s="2372"/>
      <c r="F9" s="2372"/>
      <c r="G9" s="2372"/>
      <c r="H9" s="2372"/>
      <c r="I9" s="2372"/>
      <c r="J9" s="2372"/>
      <c r="K9" s="2372"/>
      <c r="L9" s="2372"/>
      <c r="M9" s="2372"/>
      <c r="N9" s="2372"/>
      <c r="O9" s="2372"/>
      <c r="P9" s="2372"/>
      <c r="AF9" s="2374"/>
      <c r="AG9" s="2375"/>
      <c r="AH9" s="2376"/>
      <c r="AI9" s="2373"/>
    </row>
    <row r="10" spans="1:55" ht="9.9499999999999993" customHeight="1">
      <c r="E10" s="2372"/>
      <c r="F10" s="2372"/>
      <c r="G10" s="2372"/>
      <c r="H10" s="2372"/>
      <c r="I10" s="2372"/>
      <c r="J10" s="2372"/>
      <c r="K10" s="2372"/>
      <c r="L10" s="2372"/>
      <c r="M10" s="2372"/>
      <c r="N10" s="2372"/>
      <c r="O10" s="2372"/>
      <c r="P10" s="2372"/>
      <c r="AF10" s="2377"/>
      <c r="AG10" s="2373"/>
      <c r="AI10" s="2373"/>
    </row>
    <row r="11" spans="1:55" ht="9.9499999999999993" customHeight="1" thickBot="1">
      <c r="E11" s="2372"/>
      <c r="F11" s="2372"/>
      <c r="G11" s="2372"/>
      <c r="H11" s="2372"/>
      <c r="I11" s="2372"/>
      <c r="J11" s="2372"/>
      <c r="K11" s="2372"/>
      <c r="L11" s="2372"/>
      <c r="M11" s="2372"/>
      <c r="N11" s="2372"/>
      <c r="O11" s="2372"/>
      <c r="P11" s="2372"/>
      <c r="AF11" s="2374"/>
      <c r="AG11" s="2375"/>
      <c r="AI11" s="2373"/>
    </row>
    <row r="12" spans="1:55" ht="9.9499999999999993" customHeight="1">
      <c r="E12" s="2372"/>
      <c r="F12" s="2372"/>
      <c r="G12" s="2372"/>
      <c r="H12" s="2372"/>
      <c r="I12" s="2372"/>
      <c r="J12" s="2372"/>
      <c r="K12" s="2372"/>
      <c r="L12" s="2372"/>
      <c r="M12" s="2372"/>
      <c r="N12" s="2372"/>
      <c r="O12" s="2372"/>
      <c r="P12" s="2372"/>
      <c r="AF12" s="2377"/>
      <c r="AG12" s="2373"/>
      <c r="AI12" s="2373"/>
    </row>
    <row r="13" spans="1:55" ht="9.9499999999999993" customHeight="1" thickBot="1">
      <c r="E13" s="2372"/>
      <c r="F13" s="2372"/>
      <c r="G13" s="2372"/>
      <c r="H13" s="2372"/>
      <c r="I13" s="2372"/>
      <c r="J13" s="2372"/>
      <c r="K13" s="2372"/>
      <c r="L13" s="2372"/>
      <c r="M13" s="2372"/>
      <c r="N13" s="2372"/>
      <c r="O13" s="2372"/>
      <c r="P13" s="2372"/>
      <c r="AF13" s="2374"/>
      <c r="AG13" s="2375"/>
      <c r="AI13" s="2373"/>
    </row>
    <row r="14" spans="1:55" ht="9.9499999999999993" customHeight="1">
      <c r="E14" s="2372"/>
      <c r="F14" s="2372"/>
      <c r="G14" s="2372"/>
      <c r="H14" s="2372"/>
      <c r="I14" s="2372"/>
      <c r="J14" s="2372"/>
      <c r="K14" s="2372"/>
      <c r="L14" s="2372"/>
      <c r="M14" s="2372"/>
      <c r="N14" s="2372"/>
      <c r="O14" s="2372"/>
      <c r="P14" s="2372"/>
      <c r="U14" s="2369" t="s">
        <v>4199</v>
      </c>
      <c r="AF14" s="2378"/>
      <c r="AG14" s="2373"/>
      <c r="AH14" s="2376"/>
      <c r="AI14" s="2373"/>
    </row>
    <row r="15" spans="1:55" ht="9.9499999999999993" customHeight="1" thickBot="1">
      <c r="E15" s="2372"/>
      <c r="F15" s="2372"/>
      <c r="G15" s="2372"/>
      <c r="H15" s="2372"/>
      <c r="I15" s="2372"/>
      <c r="J15" s="2372"/>
      <c r="K15" s="2372"/>
      <c r="L15" s="2372"/>
      <c r="M15" s="2372"/>
      <c r="N15" s="2372"/>
      <c r="O15" s="2372"/>
      <c r="P15" s="2372"/>
      <c r="AA15" s="2373"/>
      <c r="AB15" s="2371"/>
      <c r="AC15" s="2371"/>
      <c r="AD15" s="2371"/>
      <c r="AE15" s="2371"/>
      <c r="AF15" s="2379"/>
      <c r="AG15" s="2380"/>
      <c r="AI15" s="2373"/>
      <c r="AK15" s="2381" t="s">
        <v>4200</v>
      </c>
    </row>
    <row r="16" spans="1:55" ht="9.9499999999999993" customHeight="1">
      <c r="E16" s="2372"/>
      <c r="F16" s="2372"/>
      <c r="G16" s="2372"/>
      <c r="H16" s="2372"/>
      <c r="I16" s="2372"/>
      <c r="J16" s="2372"/>
      <c r="K16" s="2372"/>
      <c r="L16" s="2372"/>
      <c r="M16" s="2372"/>
      <c r="N16" s="2372"/>
      <c r="O16" s="2372"/>
      <c r="P16" s="2372"/>
      <c r="AF16" s="2377"/>
      <c r="AG16" s="2382"/>
      <c r="AH16" s="2371"/>
      <c r="AI16" s="2370"/>
      <c r="AJ16" s="2371"/>
      <c r="AK16" s="2370"/>
    </row>
    <row r="17" spans="3:52" ht="9.9499999999999993" customHeight="1" thickBot="1">
      <c r="E17" s="2372"/>
      <c r="F17" s="2372"/>
      <c r="G17" s="2372"/>
      <c r="H17" s="2372"/>
      <c r="I17" s="2372"/>
      <c r="J17" s="2372"/>
      <c r="K17" s="2372"/>
      <c r="L17" s="2372"/>
      <c r="M17" s="2372"/>
      <c r="N17" s="2372"/>
      <c r="O17" s="2372"/>
      <c r="P17" s="2372"/>
      <c r="AF17" s="2374"/>
      <c r="AG17" s="2375"/>
      <c r="AI17" s="2373"/>
    </row>
    <row r="18" spans="3:52" ht="9.9499999999999993" customHeight="1">
      <c r="E18" s="2372"/>
      <c r="F18" s="2372"/>
      <c r="G18" s="2372"/>
      <c r="H18" s="2372"/>
      <c r="I18" s="2372"/>
      <c r="J18" s="2372"/>
      <c r="K18" s="2372"/>
      <c r="L18" s="2372"/>
      <c r="M18" s="2372"/>
      <c r="N18" s="2372"/>
      <c r="O18" s="2372"/>
      <c r="P18" s="2372"/>
      <c r="AF18" s="2377"/>
      <c r="AG18" s="2373"/>
      <c r="AI18" s="2373"/>
      <c r="AZ18" s="2373"/>
    </row>
    <row r="19" spans="3:52" ht="9.9499999999999993" customHeight="1" thickBot="1">
      <c r="E19" s="2372"/>
      <c r="F19" s="2372"/>
      <c r="G19" s="2372"/>
      <c r="H19" s="2372"/>
      <c r="I19" s="2372"/>
      <c r="J19" s="2372"/>
      <c r="K19" s="2372"/>
      <c r="L19" s="2372"/>
      <c r="M19" s="2372"/>
      <c r="N19" s="2372"/>
      <c r="O19" s="2372"/>
      <c r="P19" s="2372"/>
      <c r="AF19" s="2377"/>
      <c r="AG19" s="2374"/>
      <c r="AI19" s="3154" t="s">
        <v>4201</v>
      </c>
      <c r="AJ19" s="3154"/>
      <c r="AK19" s="3154"/>
      <c r="AL19" s="3154"/>
      <c r="AM19" s="3154"/>
    </row>
    <row r="20" spans="3:52" ht="9.9499999999999993" customHeight="1">
      <c r="AF20" s="2378"/>
      <c r="AG20" s="2373"/>
      <c r="AI20" s="3154"/>
      <c r="AJ20" s="3154"/>
      <c r="AK20" s="3154"/>
      <c r="AL20" s="3154"/>
      <c r="AM20" s="3154"/>
    </row>
    <row r="21" spans="3:52" ht="9.9499999999999993" customHeight="1" thickBot="1">
      <c r="C21" s="3168" t="s">
        <v>4198</v>
      </c>
      <c r="D21" s="3168"/>
      <c r="E21" s="3168"/>
      <c r="F21" s="3168"/>
      <c r="G21" s="3168"/>
      <c r="H21" s="3168"/>
      <c r="I21" s="3168"/>
      <c r="J21" s="3168"/>
      <c r="K21" s="3168"/>
      <c r="L21" s="3168"/>
      <c r="M21" s="3168"/>
      <c r="N21" s="3168"/>
      <c r="O21" s="3168"/>
      <c r="AF21" s="2374"/>
      <c r="AG21" s="2375"/>
      <c r="AI21" s="2373"/>
    </row>
    <row r="22" spans="3:52" ht="9.9499999999999993" customHeight="1">
      <c r="C22" s="3168"/>
      <c r="D22" s="3168"/>
      <c r="E22" s="3168"/>
      <c r="F22" s="3168"/>
      <c r="G22" s="3168"/>
      <c r="H22" s="3168"/>
      <c r="I22" s="3168"/>
      <c r="J22" s="3168"/>
      <c r="K22" s="3168"/>
      <c r="L22" s="3168"/>
      <c r="M22" s="3168"/>
      <c r="N22" s="3168"/>
      <c r="O22" s="3168"/>
      <c r="AF22" s="2377"/>
      <c r="AG22" s="2373"/>
      <c r="AI22" s="2373"/>
    </row>
    <row r="23" spans="3:52" ht="9.9499999999999993" customHeight="1" thickBot="1">
      <c r="AF23" s="2374"/>
      <c r="AG23" s="2375"/>
      <c r="AI23" s="2370"/>
      <c r="AJ23" s="2371"/>
      <c r="AK23" s="2371"/>
      <c r="AL23" s="2371"/>
      <c r="AM23" s="2371"/>
      <c r="AN23" s="2381" t="s">
        <v>4202</v>
      </c>
    </row>
    <row r="24" spans="3:52" ht="9.9499999999999993" customHeight="1">
      <c r="AF24" s="2377"/>
      <c r="AG24" s="2373"/>
      <c r="AI24" s="2373"/>
    </row>
    <row r="25" spans="3:52" ht="9.9499999999999993" customHeight="1" thickBot="1">
      <c r="AF25" s="2374"/>
      <c r="AG25" s="2375"/>
      <c r="AI25" s="2373"/>
    </row>
    <row r="26" spans="3:52" ht="9.9499999999999993" customHeight="1">
      <c r="AF26" s="2377"/>
      <c r="AG26" s="2373"/>
      <c r="AI26" s="2373"/>
    </row>
    <row r="27" spans="3:52" ht="9.9499999999999993" customHeight="1">
      <c r="AF27" s="2377"/>
      <c r="AG27" s="2373"/>
      <c r="AI27" s="2373"/>
    </row>
    <row r="28" spans="3:52" ht="9.9499999999999993" customHeight="1" thickBot="1">
      <c r="AF28" s="2374"/>
      <c r="AG28" s="2375"/>
      <c r="AI28" s="2373"/>
    </row>
    <row r="29" spans="3:52" ht="9.9499999999999993" customHeight="1">
      <c r="AF29" s="2377"/>
      <c r="AG29" s="2373"/>
      <c r="AH29" s="2376"/>
      <c r="AI29" s="2373"/>
    </row>
    <row r="30" spans="3:52" ht="9.9499999999999993" customHeight="1">
      <c r="AD30" s="2371"/>
      <c r="AE30" s="2370"/>
      <c r="AF30" s="2377"/>
      <c r="AG30" s="2373"/>
      <c r="AH30" s="2383"/>
      <c r="AI30" s="2370"/>
      <c r="AJ30" s="2371"/>
      <c r="AK30" s="2371"/>
    </row>
    <row r="32" spans="3:52" ht="9.9499999999999993" customHeight="1">
      <c r="AJ32" s="2384"/>
    </row>
    <row r="33" spans="2:60" ht="3.95" customHeight="1">
      <c r="B33" s="2385"/>
    </row>
    <row r="34" spans="2:60" ht="9.9499999999999993" customHeight="1">
      <c r="D34" s="3161" t="s">
        <v>4203</v>
      </c>
      <c r="E34" s="3161"/>
      <c r="F34" s="3161"/>
      <c r="G34" s="3161"/>
      <c r="H34" s="3161"/>
      <c r="I34" s="3161"/>
      <c r="J34" s="3161"/>
      <c r="K34" s="3161"/>
      <c r="L34" s="3161"/>
      <c r="M34" s="3161"/>
      <c r="N34" s="3161"/>
      <c r="O34" s="3161"/>
      <c r="P34" s="3161"/>
      <c r="Q34" s="3161"/>
      <c r="R34" s="3161"/>
    </row>
    <row r="35" spans="2:60" ht="5.65" customHeight="1" thickBot="1">
      <c r="D35" s="3162"/>
      <c r="E35" s="3162"/>
      <c r="F35" s="3162"/>
      <c r="G35" s="3162"/>
      <c r="H35" s="3162"/>
      <c r="I35" s="3162"/>
      <c r="J35" s="3162"/>
      <c r="K35" s="3162"/>
      <c r="L35" s="3162"/>
      <c r="M35" s="3162"/>
      <c r="N35" s="3162"/>
      <c r="O35" s="3162"/>
      <c r="P35" s="3162"/>
      <c r="Q35" s="3162"/>
      <c r="R35" s="3162"/>
      <c r="S35" s="2387"/>
      <c r="T35" s="2387"/>
      <c r="U35" s="2387"/>
      <c r="V35" s="2387"/>
      <c r="W35" s="2387"/>
      <c r="X35" s="2387"/>
      <c r="Y35" s="2387"/>
      <c r="Z35" s="2387"/>
      <c r="AA35" s="2387"/>
      <c r="AB35" s="2387"/>
      <c r="AC35" s="2387"/>
      <c r="AD35" s="2387"/>
      <c r="AE35" s="2387"/>
      <c r="AF35" s="2387"/>
      <c r="AG35" s="2387"/>
      <c r="AH35" s="2387"/>
      <c r="AI35" s="2387"/>
      <c r="BH35" s="2371"/>
    </row>
    <row r="36" spans="2:60" ht="2.65" customHeight="1">
      <c r="D36" s="2387"/>
      <c r="E36" s="2387"/>
      <c r="F36" s="2387"/>
      <c r="G36" s="2387"/>
      <c r="H36" s="2387"/>
      <c r="I36" s="2387"/>
      <c r="J36" s="2387"/>
      <c r="K36" s="2387"/>
      <c r="L36" s="2387"/>
      <c r="M36" s="2387"/>
      <c r="N36" s="2387"/>
      <c r="O36" s="2387"/>
      <c r="P36" s="2388"/>
      <c r="Q36" s="2388"/>
      <c r="R36" s="2387"/>
      <c r="S36" s="2387"/>
      <c r="T36" s="2387"/>
      <c r="U36" s="2387"/>
      <c r="V36" s="2387"/>
      <c r="W36" s="2387"/>
      <c r="X36" s="2387"/>
      <c r="Y36" s="2387"/>
      <c r="Z36" s="2387"/>
      <c r="AA36" s="2387"/>
      <c r="AB36" s="2387"/>
      <c r="AC36" s="2387"/>
      <c r="AD36" s="2387"/>
      <c r="AE36" s="2387"/>
      <c r="AF36" s="2387"/>
      <c r="AG36" s="2387"/>
      <c r="AH36" s="2387"/>
      <c r="AI36" s="2387"/>
    </row>
    <row r="37" spans="2:60" ht="9" customHeight="1" thickBot="1">
      <c r="B37" s="2389"/>
      <c r="D37" s="2389"/>
      <c r="E37" s="2390"/>
      <c r="F37" s="2390"/>
      <c r="G37" s="2390"/>
      <c r="H37" s="2390"/>
      <c r="I37" s="2390"/>
      <c r="J37" s="2390"/>
      <c r="K37" s="2390"/>
      <c r="L37" s="2387"/>
      <c r="M37" s="2387"/>
      <c r="N37" s="2387"/>
      <c r="O37" s="2391"/>
      <c r="P37" s="2392"/>
      <c r="Q37" s="2393"/>
      <c r="R37" s="2393"/>
      <c r="S37" s="2393"/>
      <c r="T37" s="2393"/>
      <c r="U37" s="2394"/>
      <c r="V37" s="2394"/>
      <c r="W37" s="2394"/>
      <c r="X37" s="2394"/>
      <c r="Y37" s="2394"/>
      <c r="Z37" s="2394"/>
      <c r="AA37" s="2394"/>
      <c r="AB37" s="2394"/>
      <c r="AC37" s="2394"/>
      <c r="AD37" s="2394"/>
      <c r="AE37" s="2394"/>
      <c r="AF37" s="2394"/>
      <c r="AG37" s="2394"/>
      <c r="AH37" s="2395"/>
      <c r="AI37" s="2387"/>
    </row>
    <row r="38" spans="2:60" ht="18" customHeight="1" thickBot="1">
      <c r="B38" s="2389"/>
      <c r="D38" s="2389"/>
      <c r="E38" s="2390"/>
      <c r="F38" s="2390"/>
      <c r="G38" s="2390"/>
      <c r="H38" s="2390"/>
      <c r="I38" s="2390"/>
      <c r="J38" s="2390"/>
      <c r="K38" s="2390"/>
      <c r="L38" s="2387"/>
      <c r="M38" s="2387"/>
      <c r="N38" s="2387"/>
      <c r="O38" s="2391"/>
      <c r="P38" s="2396"/>
      <c r="Q38" s="2397"/>
      <c r="R38" s="2397"/>
      <c r="S38" s="2397"/>
      <c r="T38" s="2398"/>
      <c r="U38" s="2397"/>
      <c r="V38" s="2397"/>
      <c r="W38" s="2397"/>
      <c r="X38" s="2397"/>
      <c r="Y38" s="2397"/>
      <c r="Z38" s="2398"/>
      <c r="AA38" s="2397"/>
      <c r="AB38" s="2397"/>
      <c r="AC38" s="2397"/>
      <c r="AD38" s="2397"/>
      <c r="AE38" s="2397"/>
      <c r="AF38" s="2397"/>
      <c r="AG38" s="2397"/>
      <c r="AH38" s="2399"/>
      <c r="AI38" s="2387"/>
    </row>
    <row r="39" spans="2:60" ht="9" customHeight="1">
      <c r="D39" s="2387"/>
      <c r="E39" s="2390"/>
      <c r="F39" s="2390"/>
      <c r="G39" s="2390"/>
      <c r="H39" s="2390"/>
      <c r="I39" s="2390"/>
      <c r="J39" s="2390"/>
      <c r="K39" s="2390"/>
      <c r="L39" s="2387"/>
      <c r="M39" s="2387"/>
      <c r="N39" s="2387"/>
      <c r="O39" s="2400"/>
      <c r="P39" s="2388"/>
      <c r="Q39" s="2388"/>
      <c r="R39" s="2388"/>
      <c r="S39" s="2388"/>
      <c r="T39" s="2391"/>
      <c r="U39" s="2387"/>
      <c r="V39" s="2387"/>
      <c r="W39" s="2387"/>
      <c r="X39" s="2387"/>
      <c r="Y39" s="2387"/>
      <c r="Z39" s="2391"/>
      <c r="AA39" s="2387"/>
      <c r="AB39" s="2388"/>
      <c r="AC39" s="2388"/>
      <c r="AD39" s="2388"/>
      <c r="AE39" s="2388"/>
      <c r="AF39" s="2388"/>
      <c r="AG39" s="2388"/>
      <c r="AH39" s="2401"/>
      <c r="AI39" s="2387"/>
    </row>
    <row r="40" spans="2:60" ht="6.95" customHeight="1">
      <c r="D40" s="2387"/>
      <c r="E40" s="2387"/>
      <c r="F40" s="2387"/>
      <c r="G40" s="2387"/>
      <c r="H40" s="2387"/>
      <c r="I40" s="2387"/>
      <c r="J40" s="2387"/>
      <c r="K40" s="2387"/>
      <c r="L40" s="2387"/>
      <c r="M40" s="2387"/>
      <c r="N40" s="2387"/>
      <c r="O40" s="2387"/>
      <c r="P40" s="2387"/>
      <c r="Q40" s="2387"/>
      <c r="R40" s="2387"/>
      <c r="S40" s="2387"/>
      <c r="T40" s="2402"/>
      <c r="U40" s="2402"/>
      <c r="V40" s="2387"/>
      <c r="W40" s="2387"/>
      <c r="X40" s="2387"/>
      <c r="Y40" s="2387"/>
      <c r="Z40" s="2391"/>
      <c r="AA40" s="2391"/>
      <c r="AB40" s="2387"/>
      <c r="AC40" s="2387"/>
      <c r="AD40" s="2387"/>
      <c r="AE40" s="2403"/>
      <c r="AF40" s="2403"/>
      <c r="AG40" s="2403"/>
      <c r="AH40" s="2403"/>
      <c r="AI40" s="2387"/>
    </row>
    <row r="41" spans="2:60" ht="6.95" customHeight="1">
      <c r="D41" s="2387"/>
      <c r="E41" s="2387"/>
      <c r="F41" s="2387"/>
      <c r="G41" s="2387"/>
      <c r="H41" s="2387"/>
      <c r="I41" s="2387"/>
      <c r="J41" s="2387"/>
      <c r="K41" s="2387"/>
      <c r="L41" s="2387"/>
      <c r="M41" s="2387"/>
      <c r="N41" s="2387"/>
      <c r="O41" s="2387"/>
      <c r="P41" s="2387"/>
      <c r="Q41" s="2387"/>
      <c r="R41" s="2387"/>
      <c r="S41" s="2387"/>
      <c r="T41" s="2402"/>
      <c r="U41" s="2402"/>
      <c r="V41" s="2387"/>
      <c r="W41" s="2387"/>
      <c r="X41" s="2387"/>
      <c r="Y41" s="2387"/>
      <c r="Z41" s="2391"/>
      <c r="AA41" s="2391"/>
      <c r="AB41" s="2387"/>
      <c r="AC41" s="2387"/>
      <c r="AD41" s="2387"/>
      <c r="AE41" s="2404"/>
      <c r="AF41" s="2404"/>
      <c r="AG41" s="2404"/>
      <c r="AH41" s="2404"/>
      <c r="AI41" s="2387"/>
    </row>
    <row r="42" spans="2:60" ht="6.95" customHeight="1">
      <c r="D42" s="2387"/>
      <c r="E42" s="2387"/>
      <c r="F42" s="2387"/>
      <c r="G42" s="2387"/>
      <c r="H42" s="2387"/>
      <c r="I42" s="2387"/>
      <c r="J42" s="2387"/>
      <c r="K42" s="2387"/>
      <c r="L42" s="2387"/>
      <c r="M42" s="2387"/>
      <c r="N42" s="2387"/>
      <c r="O42" s="2387"/>
      <c r="P42" s="2387"/>
      <c r="Q42" s="2387"/>
      <c r="R42" s="2387"/>
      <c r="S42" s="2387"/>
      <c r="T42" s="2402"/>
      <c r="U42" s="2402"/>
      <c r="V42" s="2387"/>
      <c r="W42" s="2387"/>
      <c r="X42" s="2387"/>
      <c r="Y42" s="2387"/>
      <c r="Z42" s="2391"/>
      <c r="AA42" s="2405"/>
      <c r="AB42" s="2387"/>
      <c r="AC42" s="2387"/>
      <c r="AD42" s="2387"/>
      <c r="AE42" s="2404"/>
      <c r="AF42" s="2404"/>
      <c r="AG42" s="2404"/>
      <c r="AH42" s="2404"/>
      <c r="AI42" s="2387"/>
    </row>
    <row r="43" spans="2:60" ht="6.95" customHeight="1">
      <c r="D43" s="2387"/>
      <c r="E43" s="2387"/>
      <c r="F43" s="2387"/>
      <c r="G43" s="2387"/>
      <c r="H43" s="2387"/>
      <c r="I43" s="2387"/>
      <c r="J43" s="2387"/>
      <c r="K43" s="2387"/>
      <c r="L43" s="2387"/>
      <c r="M43" s="2387"/>
      <c r="N43" s="2387"/>
      <c r="O43" s="2387"/>
      <c r="P43" s="2387"/>
      <c r="Q43" s="2387"/>
      <c r="R43" s="2387"/>
      <c r="S43" s="2387"/>
      <c r="T43" s="2402"/>
      <c r="U43" s="2402"/>
      <c r="V43" s="2387"/>
      <c r="W43" s="2387"/>
      <c r="X43" s="2387"/>
      <c r="Y43" s="2387"/>
      <c r="Z43" s="2391"/>
      <c r="AA43" s="2405"/>
      <c r="AB43" s="2387"/>
      <c r="AC43" s="2387"/>
      <c r="AD43" s="2387"/>
      <c r="AE43" s="3156" t="s">
        <v>4204</v>
      </c>
      <c r="AF43" s="3156"/>
      <c r="AG43" s="3156"/>
      <c r="AH43" s="3156"/>
      <c r="AI43" s="3156"/>
      <c r="AJ43" s="3156"/>
      <c r="AK43" s="3156"/>
      <c r="AL43" s="3156"/>
    </row>
    <row r="44" spans="2:60" ht="6.95" customHeight="1">
      <c r="D44" s="2387"/>
      <c r="E44" s="2387"/>
      <c r="F44" s="2387"/>
      <c r="G44" s="2387"/>
      <c r="H44" s="2387"/>
      <c r="I44" s="2387"/>
      <c r="J44" s="2387"/>
      <c r="K44" s="2387"/>
      <c r="L44" s="2387"/>
      <c r="M44" s="2387"/>
      <c r="N44" s="2387"/>
      <c r="O44" s="2387"/>
      <c r="P44" s="2387"/>
      <c r="Q44" s="2387"/>
      <c r="R44" s="2387"/>
      <c r="S44" s="2387"/>
      <c r="T44" s="2402"/>
      <c r="U44" s="2402"/>
      <c r="V44" s="2387"/>
      <c r="W44" s="2387"/>
      <c r="X44" s="2387"/>
      <c r="Y44" s="2387"/>
      <c r="Z44" s="2391"/>
      <c r="AA44" s="2405"/>
      <c r="AB44" s="2387"/>
      <c r="AC44" s="2387"/>
      <c r="AD44" s="2387"/>
      <c r="AE44" s="3156"/>
      <c r="AF44" s="3156"/>
      <c r="AG44" s="3156"/>
      <c r="AH44" s="3156"/>
      <c r="AI44" s="3156"/>
      <c r="AJ44" s="3156"/>
      <c r="AK44" s="3156"/>
      <c r="AL44" s="3156"/>
    </row>
    <row r="45" spans="2:60" ht="6.95" customHeight="1">
      <c r="D45" s="2387"/>
      <c r="E45" s="2387"/>
      <c r="F45" s="2387"/>
      <c r="G45" s="2387"/>
      <c r="H45" s="2387"/>
      <c r="I45" s="2387"/>
      <c r="J45" s="2387"/>
      <c r="K45" s="2387"/>
      <c r="L45" s="2387"/>
      <c r="M45" s="2387"/>
      <c r="N45" s="2387"/>
      <c r="O45" s="2387"/>
      <c r="P45" s="2387"/>
      <c r="Q45" s="2387"/>
      <c r="R45" s="2387"/>
      <c r="S45" s="2387"/>
      <c r="T45" s="2402"/>
      <c r="U45" s="2402"/>
      <c r="V45" s="2387"/>
      <c r="W45" s="2387"/>
      <c r="X45" s="2387"/>
      <c r="Y45" s="2387"/>
      <c r="Z45" s="2391"/>
      <c r="AA45" s="2391"/>
      <c r="AB45" s="2387"/>
      <c r="AC45" s="2387"/>
      <c r="AD45" s="2387"/>
      <c r="AE45" s="2404"/>
      <c r="AF45" s="2404"/>
      <c r="AG45" s="2404"/>
      <c r="AH45" s="2404"/>
      <c r="AI45" s="2387"/>
    </row>
    <row r="46" spans="2:60" ht="6.95" customHeight="1">
      <c r="D46" s="2387"/>
      <c r="E46" s="2387"/>
      <c r="F46" s="2387"/>
      <c r="G46" s="2387"/>
      <c r="H46" s="2387"/>
      <c r="I46" s="2387"/>
      <c r="J46" s="2387"/>
      <c r="K46" s="2387"/>
      <c r="L46" s="2387"/>
      <c r="M46" s="2387"/>
      <c r="N46" s="2387"/>
      <c r="O46" s="2387"/>
      <c r="P46" s="2387"/>
      <c r="Q46" s="2387"/>
      <c r="R46" s="2387"/>
      <c r="S46" s="2387"/>
      <c r="T46" s="2402"/>
      <c r="U46" s="2402"/>
      <c r="V46" s="2387"/>
      <c r="W46" s="2387"/>
      <c r="X46" s="2387"/>
      <c r="Y46" s="2387"/>
      <c r="Z46" s="2391"/>
      <c r="AA46" s="2391"/>
      <c r="AB46" s="2387"/>
      <c r="AC46" s="2387"/>
      <c r="AD46" s="2387"/>
      <c r="AE46" s="2404"/>
      <c r="AF46" s="2404"/>
      <c r="AG46" s="2404"/>
      <c r="AH46" s="2404"/>
      <c r="AI46" s="2387"/>
    </row>
    <row r="47" spans="2:60" ht="6.95" customHeight="1">
      <c r="D47" s="2387"/>
      <c r="E47" s="2387"/>
      <c r="F47" s="2387"/>
      <c r="G47" s="2387"/>
      <c r="H47" s="2387"/>
      <c r="I47" s="2387"/>
      <c r="J47" s="2387"/>
      <c r="K47" s="2387"/>
      <c r="L47" s="2387"/>
      <c r="M47" s="2387"/>
      <c r="N47" s="2387"/>
      <c r="O47" s="2387"/>
      <c r="P47" s="2387"/>
      <c r="Q47" s="2387"/>
      <c r="R47" s="2387"/>
      <c r="S47" s="2387"/>
      <c r="T47" s="2402"/>
      <c r="U47" s="2406"/>
      <c r="V47" s="2388"/>
      <c r="W47" s="2388"/>
      <c r="X47" s="2388"/>
      <c r="Y47" s="2388"/>
      <c r="Z47" s="2401"/>
      <c r="AA47" s="2391"/>
      <c r="AB47" s="2387"/>
      <c r="AC47" s="2387"/>
      <c r="AD47" s="2387"/>
      <c r="AE47" s="2404"/>
      <c r="AF47" s="2404"/>
      <c r="AG47" s="2404"/>
      <c r="AH47" s="2404"/>
      <c r="AI47" s="2387"/>
      <c r="AJ47" s="2407"/>
      <c r="AK47" s="2407"/>
    </row>
    <row r="48" spans="2:60" ht="6.95" customHeight="1">
      <c r="D48" s="2387"/>
      <c r="E48" s="2387"/>
      <c r="F48" s="2387"/>
      <c r="G48" s="2387"/>
      <c r="H48" s="2387"/>
      <c r="I48" s="2387"/>
      <c r="J48" s="2387"/>
      <c r="K48" s="2387"/>
      <c r="L48" s="2387"/>
      <c r="M48" s="2387"/>
      <c r="N48" s="2387"/>
      <c r="O48" s="2387"/>
      <c r="P48" s="2387"/>
      <c r="Q48" s="2387"/>
      <c r="R48" s="2387"/>
      <c r="S48" s="2387"/>
      <c r="T48" s="2406"/>
      <c r="U48" s="2388"/>
      <c r="V48" s="2388"/>
      <c r="W48" s="2388"/>
      <c r="X48" s="2388"/>
      <c r="Y48" s="2388"/>
      <c r="Z48" s="2388"/>
      <c r="AA48" s="2401"/>
      <c r="AB48" s="2387"/>
      <c r="AC48" s="2387"/>
      <c r="AD48" s="2387"/>
      <c r="AE48" s="2404"/>
      <c r="AF48" s="2404"/>
      <c r="AG48" s="2404"/>
      <c r="AH48" s="2404"/>
      <c r="AI48" s="2387"/>
    </row>
    <row r="49" spans="4:75" ht="6.95" customHeight="1">
      <c r="D49" s="2387"/>
      <c r="E49" s="2387"/>
      <c r="F49" s="2387"/>
      <c r="G49" s="2387"/>
      <c r="H49" s="2387"/>
      <c r="I49" s="2387"/>
      <c r="J49" s="2387"/>
      <c r="K49" s="2387"/>
      <c r="L49" s="2387"/>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row>
    <row r="50" spans="4:75" ht="9.9499999999999993" customHeight="1">
      <c r="D50" s="2387"/>
      <c r="E50" s="3166" t="s">
        <v>4205</v>
      </c>
      <c r="F50" s="3166"/>
      <c r="G50" s="3166"/>
      <c r="H50" s="3166"/>
      <c r="I50" s="3166"/>
      <c r="J50" s="3166"/>
      <c r="K50" s="3166"/>
      <c r="L50" s="3166"/>
      <c r="M50" s="3166"/>
      <c r="N50" s="3166"/>
      <c r="O50" s="3166"/>
      <c r="P50" s="3166"/>
      <c r="Q50" s="3166"/>
      <c r="R50" s="3166"/>
      <c r="S50" s="3166"/>
      <c r="T50" s="3166"/>
      <c r="U50" s="2387"/>
      <c r="V50" s="2387"/>
      <c r="W50" s="2387"/>
      <c r="X50" s="2387"/>
      <c r="Y50" s="2387"/>
      <c r="Z50" s="2387"/>
      <c r="AA50" s="2387"/>
      <c r="AB50" s="2387"/>
      <c r="AC50" s="2387"/>
      <c r="AD50" s="2387"/>
      <c r="AE50" s="2387"/>
      <c r="AF50" s="2387"/>
      <c r="AG50" s="2387"/>
      <c r="AH50" s="2387"/>
      <c r="AI50" s="2387"/>
    </row>
    <row r="51" spans="4:75" ht="5.65" customHeight="1" thickBot="1">
      <c r="D51" s="2387"/>
      <c r="E51" s="3167"/>
      <c r="F51" s="3167"/>
      <c r="G51" s="3167"/>
      <c r="H51" s="3167"/>
      <c r="I51" s="3167"/>
      <c r="J51" s="3167"/>
      <c r="K51" s="3167"/>
      <c r="L51" s="3167"/>
      <c r="M51" s="3167"/>
      <c r="N51" s="3167"/>
      <c r="O51" s="3167"/>
      <c r="P51" s="3167"/>
      <c r="Q51" s="3167"/>
      <c r="R51" s="3167"/>
      <c r="S51" s="3167"/>
      <c r="T51" s="3167"/>
      <c r="U51" s="2387"/>
      <c r="V51" s="2387"/>
      <c r="W51" s="2387"/>
      <c r="X51" s="2387"/>
      <c r="Y51" s="2387"/>
      <c r="Z51" s="2387"/>
      <c r="AA51" s="2387"/>
      <c r="AB51" s="2387"/>
      <c r="AC51" s="2387"/>
      <c r="AD51" s="2387"/>
      <c r="AE51" s="2387"/>
      <c r="AF51" s="2387"/>
      <c r="AG51" s="2387"/>
      <c r="AH51" s="2387"/>
      <c r="AI51" s="2387"/>
    </row>
    <row r="52" spans="4:75" ht="6" customHeight="1">
      <c r="D52" s="2387"/>
      <c r="E52" s="2386"/>
      <c r="F52" s="2386"/>
      <c r="G52" s="2386"/>
      <c r="H52" s="2386"/>
      <c r="I52" s="2386"/>
      <c r="J52" s="2386"/>
      <c r="K52" s="2386"/>
      <c r="L52" s="2386"/>
      <c r="M52" s="2386"/>
      <c r="N52" s="2386"/>
      <c r="O52" s="2386"/>
      <c r="P52" s="2386"/>
      <c r="Q52" s="2386"/>
      <c r="R52" s="2387"/>
      <c r="S52" s="2387"/>
      <c r="T52" s="2387"/>
      <c r="U52" s="2387"/>
      <c r="V52" s="2387"/>
      <c r="W52" s="2387"/>
      <c r="X52" s="2387"/>
      <c r="Y52" s="2387"/>
      <c r="Z52" s="2387"/>
      <c r="AA52" s="2387"/>
      <c r="AB52" s="2387"/>
      <c r="AC52" s="2387"/>
      <c r="AD52" s="2387"/>
      <c r="AE52" s="2387"/>
      <c r="AF52" s="2387"/>
      <c r="AG52" s="2387"/>
      <c r="AH52" s="2387"/>
      <c r="AI52" s="2387"/>
    </row>
    <row r="53" spans="4:75" ht="12.4" customHeight="1" thickBot="1">
      <c r="D53" s="2387"/>
      <c r="E53" s="2390"/>
      <c r="F53" s="2390"/>
      <c r="G53" s="2390"/>
      <c r="H53" s="2390"/>
      <c r="I53" s="2390"/>
      <c r="J53" s="2390"/>
      <c r="K53" s="2390"/>
      <c r="L53" s="2387"/>
      <c r="M53" s="2408"/>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5"/>
      <c r="AI53" s="2387"/>
      <c r="AR53" s="2387"/>
      <c r="AS53" s="2387"/>
      <c r="AT53" s="2387"/>
      <c r="AU53" s="2387"/>
      <c r="AV53" s="2387"/>
      <c r="AW53" s="2387"/>
      <c r="AX53" s="2387"/>
      <c r="AY53" s="2387"/>
      <c r="AZ53" s="2387"/>
      <c r="BA53" s="2387"/>
      <c r="BB53" s="2387"/>
      <c r="BC53" s="2387"/>
      <c r="BD53" s="2387"/>
      <c r="BE53" s="2387"/>
      <c r="BF53" s="2387"/>
      <c r="BG53" s="2387"/>
      <c r="BH53" s="2387"/>
      <c r="BI53" s="2387"/>
      <c r="BJ53" s="2387"/>
      <c r="BK53" s="2387"/>
      <c r="BL53" s="2387"/>
    </row>
    <row r="54" spans="4:75" ht="9.9499999999999993" customHeight="1" thickBot="1">
      <c r="D54" s="2387"/>
      <c r="E54" s="2390"/>
      <c r="F54" s="2390"/>
      <c r="G54" s="2390"/>
      <c r="H54" s="2390"/>
      <c r="I54" s="2390"/>
      <c r="J54" s="2390"/>
      <c r="K54" s="2390"/>
      <c r="L54" s="2387"/>
      <c r="M54" s="2409"/>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9"/>
      <c r="AI54" s="2387"/>
      <c r="AR54" s="2387"/>
      <c r="AS54" s="2387"/>
      <c r="AT54" s="2387"/>
      <c r="AU54" s="2387"/>
      <c r="AV54" s="2387"/>
      <c r="AW54" s="2387"/>
      <c r="AX54" s="2387"/>
      <c r="AY54" s="2387"/>
      <c r="AZ54" s="2387"/>
      <c r="BA54" s="2387"/>
      <c r="BB54" s="2387"/>
      <c r="BC54" s="2387"/>
      <c r="BD54" s="2387"/>
      <c r="BE54" s="2387"/>
      <c r="BF54" s="2387"/>
      <c r="BG54" s="2387"/>
      <c r="BH54" s="2387"/>
      <c r="BI54" s="2387"/>
      <c r="BJ54" s="2387"/>
      <c r="BK54" s="2387"/>
      <c r="BL54" s="2387"/>
    </row>
    <row r="55" spans="4:75" ht="13.35" customHeight="1">
      <c r="D55" s="2387"/>
      <c r="E55" s="2390"/>
      <c r="F55" s="2390"/>
      <c r="G55" s="2390"/>
      <c r="H55" s="2390"/>
      <c r="I55" s="2390"/>
      <c r="J55" s="2390"/>
      <c r="K55" s="2390"/>
      <c r="L55" s="2387"/>
      <c r="M55" s="2406"/>
      <c r="N55" s="2388"/>
      <c r="O55" s="2388"/>
      <c r="P55" s="2388"/>
      <c r="Q55" s="2388"/>
      <c r="R55" s="2388"/>
      <c r="S55" s="2388"/>
      <c r="T55" s="2387"/>
      <c r="U55" s="2402"/>
      <c r="V55" s="2387"/>
      <c r="W55" s="2387"/>
      <c r="X55" s="2387"/>
      <c r="Y55" s="2387"/>
      <c r="Z55" s="2391"/>
      <c r="AA55" s="2387"/>
      <c r="AB55" s="2388"/>
      <c r="AC55" s="2410"/>
      <c r="AD55" s="2410"/>
      <c r="AE55" s="2410"/>
      <c r="AF55" s="2410"/>
      <c r="AG55" s="2410"/>
      <c r="AH55" s="2411"/>
      <c r="AI55" s="2387"/>
      <c r="AR55" s="2387"/>
      <c r="AS55" s="2387"/>
      <c r="AT55" s="2387"/>
      <c r="AU55" s="2387"/>
      <c r="AV55" s="2387"/>
      <c r="AW55" s="2387"/>
      <c r="AX55" s="2387"/>
      <c r="AY55" s="2387"/>
      <c r="AZ55" s="2387"/>
      <c r="BA55" s="2387"/>
      <c r="BB55" s="2387"/>
      <c r="BC55" s="2387"/>
      <c r="BD55" s="2387"/>
      <c r="BE55" s="2387"/>
      <c r="BF55" s="2387"/>
      <c r="BG55" s="2387"/>
      <c r="BH55" s="2387"/>
      <c r="BI55" s="2387"/>
      <c r="BJ55" s="2387"/>
      <c r="BK55" s="2387"/>
      <c r="BL55" s="2387"/>
    </row>
    <row r="56" spans="4:75" ht="9.9499999999999993" customHeight="1">
      <c r="D56" s="2387"/>
      <c r="E56" s="2387"/>
      <c r="F56" s="2387"/>
      <c r="G56" s="2387"/>
      <c r="H56" s="2387"/>
      <c r="I56" s="2387"/>
      <c r="J56" s="2387"/>
      <c r="K56" s="2387"/>
      <c r="L56" s="2387"/>
      <c r="M56" s="2387"/>
      <c r="N56" s="2387"/>
      <c r="O56" s="2387"/>
      <c r="P56" s="2387"/>
      <c r="Q56" s="2387"/>
      <c r="R56" s="2387"/>
      <c r="S56" s="2387"/>
      <c r="T56" s="2402"/>
      <c r="U56" s="2402"/>
      <c r="V56" s="2387"/>
      <c r="W56" s="2387"/>
      <c r="X56" s="2387"/>
      <c r="Y56" s="2387"/>
      <c r="Z56" s="2391"/>
      <c r="AA56" s="2391"/>
      <c r="AB56" s="2387"/>
      <c r="AC56" s="2387"/>
      <c r="AD56" s="2387"/>
      <c r="AE56" s="2404"/>
      <c r="AF56" s="2404"/>
      <c r="AG56" s="2404"/>
      <c r="AH56" s="2412"/>
      <c r="AI56" s="2387"/>
      <c r="AR56" s="2387"/>
      <c r="AS56" s="2387"/>
      <c r="AT56" s="2387"/>
      <c r="AU56" s="2387"/>
      <c r="AV56" s="2387"/>
      <c r="AW56" s="2387"/>
      <c r="AX56" s="2387"/>
      <c r="AY56" s="2387"/>
      <c r="AZ56" s="2387"/>
      <c r="BA56" s="2387"/>
      <c r="BB56" s="2387"/>
      <c r="BC56" s="2387"/>
      <c r="BD56" s="2387"/>
      <c r="BE56" s="2387"/>
      <c r="BF56" s="2387"/>
      <c r="BG56" s="2387"/>
      <c r="BH56" s="2404"/>
      <c r="BI56" s="2404"/>
      <c r="BJ56" s="2404"/>
      <c r="BK56" s="2404"/>
      <c r="BL56" s="2387"/>
    </row>
    <row r="57" spans="4:75" ht="9.9499999999999993" customHeight="1">
      <c r="D57" s="2387"/>
      <c r="E57" s="2387"/>
      <c r="F57" s="2387"/>
      <c r="G57" s="2387"/>
      <c r="H57" s="2387"/>
      <c r="I57" s="2387"/>
      <c r="J57" s="2387"/>
      <c r="K57" s="2387"/>
      <c r="L57" s="2387"/>
      <c r="M57" s="2387"/>
      <c r="N57" s="2387"/>
      <c r="O57" s="2387"/>
      <c r="P57" s="2387"/>
      <c r="Q57" s="2387"/>
      <c r="R57" s="2387"/>
      <c r="S57" s="2387"/>
      <c r="T57" s="2402"/>
      <c r="U57" s="2402"/>
      <c r="V57" s="2387"/>
      <c r="W57" s="2387"/>
      <c r="X57" s="2387"/>
      <c r="Y57" s="2387"/>
      <c r="Z57" s="2391"/>
      <c r="AA57" s="2391"/>
      <c r="AB57" s="2387"/>
      <c r="AC57" s="2387"/>
      <c r="AD57" s="2387"/>
      <c r="AE57" s="2404"/>
      <c r="AF57" s="2404"/>
      <c r="AG57" s="2404"/>
      <c r="AH57" s="2404"/>
      <c r="AI57" s="2387"/>
      <c r="AR57" s="2387"/>
      <c r="AS57" s="2387"/>
      <c r="AT57" s="2387"/>
      <c r="AU57" s="2387"/>
      <c r="AV57" s="2387"/>
      <c r="AW57" s="2387"/>
      <c r="AX57" s="2387"/>
      <c r="AY57" s="2387"/>
      <c r="AZ57" s="2387"/>
      <c r="BA57" s="2387"/>
      <c r="BB57" s="2387"/>
      <c r="BC57" s="2387"/>
      <c r="BD57" s="2387"/>
      <c r="BE57" s="2387"/>
      <c r="BF57" s="2387"/>
      <c r="BG57" s="2387"/>
      <c r="BH57" s="2404"/>
      <c r="BI57" s="2404"/>
      <c r="BJ57" s="2404"/>
      <c r="BK57" s="2404"/>
      <c r="BL57" s="2387"/>
    </row>
    <row r="58" spans="4:75" ht="9.9499999999999993" customHeight="1">
      <c r="D58" s="2387"/>
      <c r="E58" s="2387"/>
      <c r="F58" s="2387"/>
      <c r="G58" s="2387"/>
      <c r="H58" s="2387"/>
      <c r="I58" s="2387"/>
      <c r="J58" s="2387"/>
      <c r="K58" s="2387"/>
      <c r="L58" s="2387"/>
      <c r="M58" s="2387"/>
      <c r="N58" s="2387"/>
      <c r="O58" s="2387"/>
      <c r="P58" s="2387"/>
      <c r="Q58" s="2387"/>
      <c r="R58" s="2387"/>
      <c r="S58" s="2387"/>
      <c r="T58" s="2402"/>
      <c r="U58" s="2402"/>
      <c r="V58" s="2387"/>
      <c r="W58" s="2387"/>
      <c r="X58" s="2387"/>
      <c r="Z58" s="2373"/>
      <c r="AA58" s="2373"/>
      <c r="AE58" s="3155" t="s">
        <v>4206</v>
      </c>
      <c r="AF58" s="3155"/>
      <c r="AG58" s="3155"/>
      <c r="AH58" s="3155"/>
      <c r="AI58" s="3155"/>
      <c r="AJ58" s="3155"/>
      <c r="AK58" s="3155"/>
      <c r="AL58" s="3155"/>
      <c r="AM58" s="3155"/>
      <c r="AN58" s="3155"/>
      <c r="AO58" s="3155"/>
      <c r="AP58" s="3155"/>
      <c r="AQ58" s="2413"/>
      <c r="AR58" s="2387"/>
      <c r="AS58" s="2387"/>
      <c r="AT58" s="2387"/>
      <c r="AU58" s="2387"/>
      <c r="AV58" s="2387"/>
      <c r="AW58" s="2387"/>
      <c r="AX58" s="2387"/>
      <c r="AY58" s="2387"/>
      <c r="AZ58" s="2387"/>
      <c r="BA58" s="2387"/>
      <c r="BB58" s="2387"/>
      <c r="BC58" s="2387"/>
      <c r="BD58" s="2387"/>
      <c r="BE58" s="2387"/>
      <c r="BF58" s="2387"/>
      <c r="BG58" s="2387"/>
      <c r="BH58" s="2404"/>
      <c r="BI58" s="2404"/>
      <c r="BJ58" s="2404"/>
      <c r="BK58" s="2404"/>
      <c r="BL58" s="2387"/>
    </row>
    <row r="59" spans="4:75" ht="9.9499999999999993" customHeight="1">
      <c r="D59" s="2387"/>
      <c r="E59" s="2387"/>
      <c r="F59" s="2387"/>
      <c r="G59" s="2387"/>
      <c r="H59" s="2387"/>
      <c r="I59" s="2387"/>
      <c r="J59" s="2387"/>
      <c r="K59" s="2387"/>
      <c r="L59" s="2387"/>
      <c r="M59" s="2387"/>
      <c r="N59" s="2387"/>
      <c r="O59" s="2387"/>
      <c r="P59" s="2387"/>
      <c r="Q59" s="2387"/>
      <c r="R59" s="2387"/>
      <c r="S59" s="2387"/>
      <c r="T59" s="2402"/>
      <c r="U59" s="2402"/>
      <c r="V59" s="2387"/>
      <c r="W59" s="2387"/>
      <c r="X59" s="2387"/>
      <c r="Y59" s="2387"/>
      <c r="Z59" s="2391"/>
      <c r="AA59" s="2391"/>
      <c r="AB59" s="2387"/>
      <c r="AC59" s="2387"/>
      <c r="AD59" s="2387"/>
      <c r="AE59" s="3155"/>
      <c r="AF59" s="3155"/>
      <c r="AG59" s="3155"/>
      <c r="AH59" s="3155"/>
      <c r="AI59" s="3155"/>
      <c r="AJ59" s="3155"/>
      <c r="AK59" s="3155"/>
      <c r="AL59" s="3155"/>
      <c r="AM59" s="3155"/>
      <c r="AN59" s="3155"/>
      <c r="AO59" s="3155"/>
      <c r="AP59" s="3155"/>
      <c r="AR59" s="2387"/>
      <c r="AS59" s="2387"/>
      <c r="AT59" s="2387"/>
      <c r="AU59" s="2387"/>
      <c r="AV59" s="2387"/>
      <c r="AW59" s="2387"/>
      <c r="AX59" s="2387"/>
      <c r="AY59" s="2387"/>
      <c r="AZ59" s="2387"/>
      <c r="BA59" s="2387"/>
      <c r="BB59" s="2387"/>
      <c r="BC59" s="2387"/>
      <c r="BD59" s="2387"/>
      <c r="BE59" s="2387"/>
      <c r="BF59" s="2387"/>
      <c r="BG59" s="2387"/>
      <c r="BH59" s="3156"/>
      <c r="BI59" s="3156"/>
      <c r="BJ59" s="3156"/>
      <c r="BK59" s="3156"/>
      <c r="BL59" s="3156"/>
      <c r="BM59" s="3156"/>
      <c r="BN59" s="3156"/>
      <c r="BO59" s="3156"/>
    </row>
    <row r="60" spans="4:75" ht="9.9499999999999993" customHeight="1">
      <c r="D60" s="2387"/>
      <c r="E60" s="2387"/>
      <c r="F60" s="2387"/>
      <c r="G60" s="2387"/>
      <c r="H60" s="2387"/>
      <c r="I60" s="2387"/>
      <c r="J60" s="2387"/>
      <c r="K60" s="2387"/>
      <c r="L60" s="2387"/>
      <c r="M60" s="2387"/>
      <c r="N60" s="2387"/>
      <c r="O60" s="2387"/>
      <c r="P60" s="2387"/>
      <c r="Q60" s="2387"/>
      <c r="R60" s="2387"/>
      <c r="S60" s="2387"/>
      <c r="T60" s="2402"/>
      <c r="U60" s="2402"/>
      <c r="V60" s="2387"/>
      <c r="W60" s="2387"/>
      <c r="X60" s="2387"/>
      <c r="Y60" s="2387"/>
      <c r="Z60" s="2391"/>
      <c r="AA60" s="2391"/>
      <c r="AB60" s="2387"/>
      <c r="AC60" s="2387"/>
      <c r="AD60" s="2387"/>
      <c r="AE60" s="2404"/>
      <c r="AF60" s="2404"/>
      <c r="AG60" s="2404"/>
      <c r="AH60" s="2415"/>
      <c r="AR60" s="2387"/>
      <c r="AS60" s="2387"/>
      <c r="AT60" s="2387"/>
      <c r="AU60" s="2387"/>
      <c r="AV60" s="2387"/>
      <c r="AW60" s="2387"/>
      <c r="AX60" s="2387"/>
      <c r="AY60" s="2387"/>
      <c r="AZ60" s="2387"/>
      <c r="BA60" s="2387"/>
      <c r="BB60" s="2387"/>
      <c r="BC60" s="2387"/>
      <c r="BD60" s="2387"/>
      <c r="BE60" s="2387"/>
      <c r="BF60" s="2387"/>
      <c r="BG60" s="2387"/>
      <c r="BH60" s="3156"/>
      <c r="BI60" s="3156"/>
      <c r="BJ60" s="3156"/>
      <c r="BK60" s="3156"/>
      <c r="BL60" s="3156"/>
      <c r="BM60" s="3156"/>
      <c r="BN60" s="3156"/>
      <c r="BO60" s="3156"/>
    </row>
    <row r="61" spans="4:75" ht="9.9499999999999993" customHeight="1">
      <c r="D61" s="2387"/>
      <c r="E61" s="2387"/>
      <c r="F61" s="2387"/>
      <c r="G61" s="2387"/>
      <c r="H61" s="2387"/>
      <c r="I61" s="2387"/>
      <c r="J61" s="2387"/>
      <c r="K61" s="2387"/>
      <c r="L61" s="2387"/>
      <c r="M61" s="2387"/>
      <c r="N61" s="2387"/>
      <c r="O61" s="2387"/>
      <c r="P61" s="2387"/>
      <c r="Q61" s="2387"/>
      <c r="R61" s="2387"/>
      <c r="S61" s="2387"/>
      <c r="T61" s="2402"/>
      <c r="U61" s="2402"/>
      <c r="V61" s="2387"/>
      <c r="W61" s="2387"/>
      <c r="X61" s="2387"/>
      <c r="Y61" s="2387"/>
      <c r="Z61" s="2391"/>
      <c r="AA61" s="2391"/>
      <c r="AB61" s="2387"/>
      <c r="AC61" s="2387"/>
      <c r="AD61" s="2387"/>
      <c r="AE61" s="2404"/>
      <c r="AF61" s="2404"/>
      <c r="AG61" s="2404"/>
      <c r="AH61" s="2415"/>
      <c r="AR61" s="2387"/>
      <c r="AS61" s="2387"/>
      <c r="AT61" s="2387"/>
      <c r="AU61" s="2387"/>
      <c r="AV61" s="2387"/>
      <c r="AW61" s="2387"/>
      <c r="AX61" s="2387"/>
      <c r="AY61" s="2387"/>
      <c r="AZ61" s="2387"/>
      <c r="BA61" s="2387"/>
      <c r="BB61" s="2387"/>
      <c r="BC61" s="2387"/>
      <c r="BD61" s="2387"/>
      <c r="BE61" s="2387"/>
      <c r="BF61" s="2387"/>
      <c r="BG61" s="2387"/>
      <c r="BH61" s="2404"/>
      <c r="BI61" s="2404"/>
      <c r="BJ61" s="2404"/>
      <c r="BK61" s="2404"/>
      <c r="BL61" s="2387"/>
    </row>
    <row r="62" spans="4:75" ht="9.9499999999999993" customHeight="1">
      <c r="D62" s="2387"/>
      <c r="E62" s="2387"/>
      <c r="F62" s="2387"/>
      <c r="G62" s="2387"/>
      <c r="H62" s="2387"/>
      <c r="I62" s="2387"/>
      <c r="J62" s="2387"/>
      <c r="K62" s="2387"/>
      <c r="L62" s="2387"/>
      <c r="M62" s="2387"/>
      <c r="N62" s="2387"/>
      <c r="O62" s="2387"/>
      <c r="P62" s="2387"/>
      <c r="Q62" s="2387"/>
      <c r="R62" s="2387"/>
      <c r="S62" s="2387"/>
      <c r="T62" s="2402"/>
      <c r="U62" s="2402"/>
      <c r="V62" s="2387"/>
      <c r="W62" s="2387"/>
      <c r="X62" s="2387"/>
      <c r="Y62" s="2387"/>
      <c r="Z62" s="2391"/>
      <c r="AA62" s="2391"/>
      <c r="AB62" s="2387"/>
      <c r="AC62" s="2387"/>
      <c r="AD62" s="3155" t="s">
        <v>4207</v>
      </c>
      <c r="AE62" s="3155"/>
      <c r="AF62" s="3155"/>
      <c r="AG62" s="3155"/>
      <c r="AH62" s="3155"/>
      <c r="AI62" s="3155"/>
      <c r="AJ62" s="3155"/>
      <c r="AK62" s="3155"/>
      <c r="AL62" s="3155"/>
      <c r="AM62" s="3155"/>
      <c r="AN62" s="3155"/>
      <c r="AO62" s="3155"/>
      <c r="AP62" s="3155"/>
      <c r="AR62" s="2387"/>
      <c r="AS62" s="2387"/>
      <c r="AT62" s="2387"/>
      <c r="AU62" s="2387"/>
      <c r="AV62" s="2387"/>
      <c r="AW62" s="2387"/>
      <c r="AX62" s="2387"/>
      <c r="AY62" s="2387"/>
      <c r="AZ62" s="2387"/>
      <c r="BA62" s="2387"/>
      <c r="BB62" s="2387"/>
      <c r="BC62" s="2387"/>
      <c r="BD62" s="2387"/>
      <c r="BE62" s="2387"/>
      <c r="BF62" s="2387"/>
      <c r="BG62" s="2387"/>
      <c r="BH62" s="2404"/>
      <c r="BI62" s="2404"/>
      <c r="BJ62" s="2404"/>
      <c r="BK62" s="2404"/>
      <c r="BL62" s="2387"/>
      <c r="BW62" s="2416"/>
    </row>
    <row r="63" spans="4:75" ht="9.9499999999999993" customHeight="1">
      <c r="D63" s="2387"/>
      <c r="E63" s="2387"/>
      <c r="F63" s="2387"/>
      <c r="G63" s="2387"/>
      <c r="H63" s="2387"/>
      <c r="I63" s="2387"/>
      <c r="J63" s="2387"/>
      <c r="K63" s="2387"/>
      <c r="L63" s="2387"/>
      <c r="M63" s="2387"/>
      <c r="N63" s="2387"/>
      <c r="O63" s="2387"/>
      <c r="P63" s="2387"/>
      <c r="Q63" s="2387"/>
      <c r="R63" s="2387"/>
      <c r="S63" s="2387"/>
      <c r="T63" s="2402"/>
      <c r="U63" s="2406"/>
      <c r="V63" s="2388"/>
      <c r="W63" s="2388"/>
      <c r="X63" s="2388"/>
      <c r="Y63" s="2388"/>
      <c r="Z63" s="2401"/>
      <c r="AA63" s="2391"/>
      <c r="AB63" s="2387"/>
      <c r="AC63" s="2387"/>
      <c r="AD63" s="3155"/>
      <c r="AE63" s="3155"/>
      <c r="AF63" s="3155"/>
      <c r="AG63" s="3155"/>
      <c r="AH63" s="3155"/>
      <c r="AI63" s="3155"/>
      <c r="AJ63" s="3155"/>
      <c r="AK63" s="3155"/>
      <c r="AL63" s="3155"/>
      <c r="AM63" s="3155"/>
      <c r="AN63" s="3155"/>
      <c r="AO63" s="3155"/>
      <c r="AP63" s="3155"/>
      <c r="AR63" s="2387"/>
      <c r="AS63" s="2387"/>
      <c r="AT63" s="2387"/>
      <c r="AU63" s="2387"/>
      <c r="AV63" s="2387"/>
      <c r="AW63" s="2387"/>
      <c r="AX63" s="2387"/>
      <c r="AY63" s="2387"/>
      <c r="AZ63" s="2387"/>
      <c r="BA63" s="2387"/>
      <c r="BB63" s="2387"/>
      <c r="BC63" s="2387"/>
      <c r="BD63" s="2387"/>
      <c r="BE63" s="2387"/>
      <c r="BF63" s="2387"/>
      <c r="BG63" s="2387"/>
      <c r="BH63" s="2404"/>
      <c r="BI63" s="2404"/>
      <c r="BJ63" s="2404"/>
      <c r="BK63" s="2404"/>
      <c r="BL63" s="2387"/>
      <c r="BM63" s="2407"/>
      <c r="BN63" s="2407"/>
    </row>
    <row r="64" spans="4:75" ht="9.9499999999999993" customHeight="1">
      <c r="D64" s="2387"/>
      <c r="E64" s="2387"/>
      <c r="F64" s="2387"/>
      <c r="G64" s="2387"/>
      <c r="H64" s="2387"/>
      <c r="I64" s="2387"/>
      <c r="J64" s="2387"/>
      <c r="K64" s="2387"/>
      <c r="L64" s="2387"/>
      <c r="M64" s="2387"/>
      <c r="N64" s="2387"/>
      <c r="O64" s="2387"/>
      <c r="P64" s="2387"/>
      <c r="Q64" s="2387"/>
      <c r="R64" s="2387"/>
      <c r="S64" s="2387"/>
      <c r="T64" s="2406"/>
      <c r="U64" s="2388"/>
      <c r="V64" s="2388"/>
      <c r="W64" s="2388"/>
      <c r="X64" s="2388"/>
      <c r="Y64" s="2388"/>
      <c r="Z64" s="2388"/>
      <c r="AA64" s="2401"/>
      <c r="AB64" s="2387"/>
      <c r="AC64" s="2387"/>
      <c r="AD64" s="2387"/>
      <c r="AE64" s="2404"/>
      <c r="AF64" s="2404"/>
      <c r="AG64" s="2404"/>
      <c r="AH64" s="2404"/>
      <c r="AI64" s="2387"/>
      <c r="AR64" s="2387"/>
      <c r="AS64" s="2387"/>
      <c r="AT64" s="2387"/>
      <c r="AU64" s="2387"/>
      <c r="AV64" s="2387"/>
      <c r="AW64" s="2387"/>
      <c r="AX64" s="2387"/>
      <c r="AY64" s="2387"/>
      <c r="AZ64" s="2387"/>
      <c r="BA64" s="2387"/>
      <c r="BB64" s="2387"/>
      <c r="BC64" s="2387"/>
      <c r="BD64" s="2387"/>
      <c r="BE64" s="2387"/>
      <c r="BF64" s="2387"/>
      <c r="BG64" s="2387"/>
      <c r="BH64" s="2404"/>
      <c r="BI64" s="2404"/>
      <c r="BJ64" s="2404"/>
      <c r="BK64" s="2404"/>
      <c r="BL64" s="2387"/>
    </row>
    <row r="65" spans="4:58" ht="9.9499999999999993" customHeight="1">
      <c r="D65" s="2387"/>
      <c r="E65" s="2387"/>
      <c r="F65" s="2387"/>
      <c r="G65" s="2387"/>
      <c r="H65" s="2387"/>
      <c r="I65" s="2387"/>
      <c r="J65" s="2387"/>
      <c r="K65" s="2387"/>
      <c r="L65" s="2387"/>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row>
    <row r="66" spans="4:58" ht="9.9499999999999993" customHeight="1">
      <c r="D66" s="2387"/>
      <c r="E66" s="2387"/>
      <c r="F66" s="2387"/>
      <c r="G66" s="2387"/>
      <c r="H66" s="2387"/>
      <c r="I66" s="2387"/>
      <c r="J66" s="2387"/>
      <c r="K66" s="2387"/>
      <c r="L66" s="2387"/>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row>
    <row r="67" spans="4:58" ht="9.9499999999999993" customHeight="1">
      <c r="D67" s="2387"/>
      <c r="E67" s="2387"/>
      <c r="F67" s="2387"/>
      <c r="G67" s="2387"/>
      <c r="H67" s="2387"/>
      <c r="I67" s="2387"/>
      <c r="J67" s="2387"/>
      <c r="K67" s="2387"/>
      <c r="L67" s="2387"/>
      <c r="M67" s="2387"/>
      <c r="N67" s="2387"/>
      <c r="O67" s="2387"/>
      <c r="P67" s="2387"/>
      <c r="Q67" s="2387"/>
      <c r="R67" s="2387"/>
      <c r="S67" s="2387"/>
      <c r="T67" s="2387"/>
      <c r="U67" s="2387"/>
      <c r="V67" s="3161" t="s">
        <v>4208</v>
      </c>
      <c r="W67" s="3161"/>
      <c r="X67" s="3161"/>
      <c r="Y67" s="3161"/>
      <c r="Z67" s="3161"/>
      <c r="AA67" s="3161"/>
      <c r="AB67" s="3161"/>
      <c r="AC67" s="3161"/>
      <c r="AD67" s="3161"/>
      <c r="AE67" s="3161"/>
      <c r="AF67" s="3161"/>
      <c r="AG67" s="3161"/>
      <c r="AH67" s="3161"/>
      <c r="AI67" s="2387"/>
    </row>
    <row r="68" spans="4:58" ht="5.0999999999999996" customHeight="1" thickBot="1">
      <c r="D68" s="2387"/>
      <c r="E68" s="2387"/>
      <c r="F68" s="2387"/>
      <c r="G68" s="2387"/>
      <c r="H68" s="2387"/>
      <c r="I68" s="2387"/>
      <c r="J68" s="2387"/>
      <c r="K68" s="2387"/>
      <c r="L68" s="2387"/>
      <c r="M68" s="2387"/>
      <c r="N68" s="2387"/>
      <c r="O68" s="2387"/>
      <c r="P68" s="2387"/>
      <c r="Q68" s="2387"/>
      <c r="R68" s="2387"/>
      <c r="S68" s="2387"/>
      <c r="T68" s="2387"/>
      <c r="U68" s="2387"/>
      <c r="V68" s="3162"/>
      <c r="W68" s="3162"/>
      <c r="X68" s="3162"/>
      <c r="Y68" s="3162"/>
      <c r="Z68" s="3162"/>
      <c r="AA68" s="3162"/>
      <c r="AB68" s="3162"/>
      <c r="AC68" s="3162"/>
      <c r="AD68" s="3162"/>
      <c r="AE68" s="3162"/>
      <c r="AF68" s="3162"/>
      <c r="AG68" s="3162"/>
      <c r="AH68" s="3162"/>
      <c r="AI68" s="2387"/>
    </row>
    <row r="69" spans="4:58" ht="9.9499999999999993" customHeight="1" thickBot="1">
      <c r="D69" s="2387"/>
      <c r="E69" s="2387"/>
      <c r="F69" s="2387"/>
      <c r="G69" s="2387"/>
      <c r="H69" s="2387"/>
      <c r="I69" s="2387"/>
      <c r="J69" s="238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2418"/>
      <c r="AL69" s="2418"/>
      <c r="AM69" s="2418"/>
      <c r="AN69" s="2418"/>
      <c r="AO69" s="2418"/>
      <c r="AP69" s="2418"/>
      <c r="AQ69" s="2418"/>
      <c r="AR69" s="2418"/>
      <c r="AS69" s="2418"/>
      <c r="AT69" s="2418"/>
      <c r="AU69" s="2418"/>
      <c r="AV69" s="2418"/>
      <c r="AW69" s="2418"/>
      <c r="AX69" s="2418"/>
    </row>
    <row r="70" spans="4:58" ht="9.9499999999999993" customHeight="1" thickBot="1">
      <c r="D70" s="2387"/>
      <c r="E70" s="2387"/>
      <c r="F70" s="2387"/>
      <c r="G70" s="2387"/>
      <c r="H70" s="2387"/>
      <c r="I70" s="2387"/>
      <c r="J70" s="2387"/>
      <c r="K70" s="2402"/>
      <c r="L70" s="2387"/>
      <c r="M70" s="2387"/>
      <c r="N70" s="2387"/>
      <c r="O70" s="2387"/>
      <c r="P70" s="2387"/>
      <c r="Q70" s="2387"/>
      <c r="R70" s="2387"/>
      <c r="S70" s="2387"/>
      <c r="T70" s="2387"/>
      <c r="U70" s="2387"/>
      <c r="V70" s="2419"/>
      <c r="W70" s="2419"/>
      <c r="X70" s="2419"/>
      <c r="Y70" s="2419"/>
      <c r="Z70" s="2419"/>
      <c r="AA70" s="2387"/>
      <c r="AB70" s="2387"/>
      <c r="AC70" s="2387"/>
      <c r="AD70" s="2387"/>
      <c r="AE70" s="2387"/>
      <c r="AF70" s="2387"/>
      <c r="AG70" s="2387"/>
      <c r="AH70" s="2387"/>
      <c r="AI70" s="2387"/>
      <c r="AK70" s="2414"/>
      <c r="AL70" s="2414"/>
      <c r="AM70" s="2414"/>
      <c r="AN70" s="2420"/>
      <c r="AO70" s="2420"/>
      <c r="AP70" s="2420"/>
      <c r="AQ70" s="2420"/>
      <c r="AR70" s="2420"/>
      <c r="AS70" s="2420"/>
      <c r="AT70" s="2420"/>
      <c r="AU70" s="2420"/>
      <c r="AV70" s="2420"/>
      <c r="AW70" s="2420"/>
      <c r="AX70" s="2421"/>
    </row>
    <row r="71" spans="4:58" ht="10.35" customHeight="1">
      <c r="D71" s="2387"/>
      <c r="E71" s="2387"/>
      <c r="F71" s="2387"/>
      <c r="G71" s="2387"/>
      <c r="H71" s="2387"/>
      <c r="I71" s="2387"/>
      <c r="J71" s="2387"/>
      <c r="K71" s="2422"/>
      <c r="L71" s="2419"/>
      <c r="M71" s="2419"/>
      <c r="N71" s="2419"/>
      <c r="O71" s="2419"/>
      <c r="P71" s="2419"/>
      <c r="Q71" s="2419"/>
      <c r="R71" s="2419"/>
      <c r="S71" s="2419"/>
      <c r="T71" s="2419"/>
      <c r="U71" s="2419"/>
      <c r="V71" s="3157"/>
      <c r="W71" s="3157"/>
      <c r="X71" s="3157"/>
      <c r="Y71" s="2387"/>
      <c r="Z71" s="2387"/>
      <c r="AA71" s="2387"/>
      <c r="AB71" s="2387"/>
      <c r="AC71" s="2387"/>
      <c r="AD71" s="2387"/>
      <c r="AE71" s="2387"/>
      <c r="AF71" s="2387"/>
      <c r="AG71" s="2387"/>
      <c r="AH71" s="2387"/>
      <c r="AI71" s="2387"/>
      <c r="AK71" s="3159"/>
      <c r="AL71" s="3159"/>
      <c r="AM71" s="3159"/>
      <c r="AN71" s="2414"/>
      <c r="AO71" s="2414"/>
      <c r="AP71" s="2414"/>
      <c r="AQ71" s="2414"/>
      <c r="AR71" s="2414"/>
      <c r="AS71" s="2414"/>
      <c r="AT71" s="2414"/>
      <c r="AU71" s="2414"/>
      <c r="AV71" s="2414"/>
      <c r="AW71" s="2414"/>
      <c r="AX71" s="2423"/>
    </row>
    <row r="72" spans="4:58" ht="9.9499999999999993" customHeight="1" thickBot="1">
      <c r="D72" s="2387"/>
      <c r="E72" s="2387"/>
      <c r="F72" s="2387"/>
      <c r="G72" s="2387"/>
      <c r="H72" s="2387"/>
      <c r="I72" s="2387"/>
      <c r="J72" s="2387"/>
      <c r="K72" s="2424"/>
      <c r="L72" s="2417"/>
      <c r="M72" s="2417"/>
      <c r="N72" s="2417"/>
      <c r="O72" s="2417"/>
      <c r="P72" s="2417"/>
      <c r="Q72" s="2417"/>
      <c r="R72" s="2417"/>
      <c r="S72" s="2417"/>
      <c r="T72" s="2417"/>
      <c r="U72" s="2417"/>
      <c r="V72" s="3158"/>
      <c r="W72" s="3158"/>
      <c r="X72" s="3158"/>
      <c r="Y72" s="2417"/>
      <c r="Z72" s="2417"/>
      <c r="AA72" s="2417"/>
      <c r="AB72" s="2417"/>
      <c r="AC72" s="2417"/>
      <c r="AD72" s="2417"/>
      <c r="AE72" s="2417"/>
      <c r="AF72" s="2417"/>
      <c r="AG72" s="2417"/>
      <c r="AH72" s="2417"/>
      <c r="AI72" s="2417"/>
      <c r="AJ72" s="2418"/>
      <c r="AK72" s="3160"/>
      <c r="AL72" s="3160"/>
      <c r="AM72" s="3159"/>
      <c r="AP72" s="2418"/>
      <c r="AQ72" s="2418"/>
      <c r="AR72" s="2418"/>
      <c r="AS72" s="2418"/>
      <c r="AT72" s="2418"/>
      <c r="AU72" s="2418"/>
      <c r="AV72" s="2418"/>
      <c r="AW72" s="2418"/>
      <c r="AX72" s="2375"/>
    </row>
    <row r="73" spans="4:58" ht="5.0999999999999996" customHeight="1" thickBot="1">
      <c r="D73" s="2387"/>
      <c r="E73" s="2387"/>
      <c r="F73" s="2387"/>
      <c r="G73" s="2387"/>
      <c r="H73" s="2387"/>
      <c r="I73" s="2387"/>
      <c r="J73" s="2387"/>
      <c r="K73" s="2409"/>
      <c r="L73" s="2397"/>
      <c r="M73" s="2397"/>
      <c r="N73" s="2397"/>
      <c r="O73" s="2397"/>
      <c r="P73" s="2397"/>
      <c r="Q73" s="2397"/>
      <c r="R73" s="2397"/>
      <c r="S73" s="2397"/>
      <c r="T73" s="2397"/>
      <c r="U73" s="2397"/>
      <c r="V73" s="2397"/>
      <c r="W73" s="2397"/>
      <c r="X73" s="2397"/>
      <c r="Y73" s="2397"/>
      <c r="Z73" s="2397"/>
      <c r="AA73" s="2397"/>
      <c r="AB73" s="2397"/>
      <c r="AC73" s="2397"/>
      <c r="AD73" s="2397"/>
      <c r="AE73" s="2397"/>
      <c r="AF73" s="2397"/>
      <c r="AG73" s="2397"/>
      <c r="AH73" s="2397"/>
      <c r="AI73" s="2397"/>
      <c r="AJ73" s="2420"/>
      <c r="AK73" s="2420"/>
      <c r="AL73" s="2420"/>
      <c r="AM73" s="2420"/>
      <c r="AN73" s="2420"/>
      <c r="AO73" s="2420"/>
      <c r="AP73" s="2420"/>
      <c r="AQ73" s="2420"/>
      <c r="AR73" s="2420"/>
      <c r="AS73" s="2420"/>
      <c r="AT73" s="2420"/>
      <c r="AU73" s="2420"/>
      <c r="AV73" s="2420"/>
      <c r="AW73" s="2420"/>
      <c r="AX73" s="2421"/>
    </row>
    <row r="74" spans="4:58" ht="9.9499999999999993" customHeight="1">
      <c r="D74" s="2387"/>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2387"/>
      <c r="AC74" s="2387"/>
      <c r="AD74" s="2387"/>
      <c r="AE74" s="2387"/>
      <c r="AF74" s="2387"/>
      <c r="AG74" s="2387"/>
      <c r="AH74" s="2387"/>
      <c r="AI74" s="2387"/>
    </row>
    <row r="75" spans="4:58" ht="9.9499999999999993" customHeight="1" thickBot="1">
      <c r="D75" s="2387"/>
      <c r="E75" s="2387"/>
      <c r="F75" s="2387"/>
      <c r="G75" s="2387"/>
      <c r="H75" s="2387"/>
      <c r="I75" s="2387"/>
      <c r="J75" s="2400"/>
      <c r="K75" s="2424"/>
      <c r="L75" s="2417"/>
      <c r="M75" s="2417"/>
      <c r="N75" s="2417"/>
      <c r="O75" s="3154" t="s">
        <v>4209</v>
      </c>
      <c r="P75" s="3154"/>
      <c r="Q75" s="3154"/>
      <c r="R75" s="3154"/>
      <c r="S75" s="3154"/>
      <c r="T75" s="2417"/>
      <c r="U75" s="2417"/>
      <c r="V75" s="2417"/>
      <c r="W75" s="2417"/>
      <c r="X75" s="2425"/>
      <c r="Y75" s="2387"/>
      <c r="Z75" s="2387"/>
      <c r="AA75" s="2387"/>
      <c r="AB75" s="2387"/>
      <c r="AC75" s="2387"/>
      <c r="AD75" s="2387"/>
      <c r="AE75" s="2387"/>
      <c r="AF75" s="2387"/>
      <c r="AG75" s="2387"/>
      <c r="AH75" s="2387"/>
      <c r="AI75" s="2387"/>
    </row>
    <row r="76" spans="4:58" ht="9.9499999999999993" customHeight="1">
      <c r="J76" s="2416"/>
      <c r="O76" s="3154"/>
      <c r="P76" s="3154"/>
      <c r="Q76" s="3154"/>
      <c r="R76" s="3154"/>
      <c r="S76" s="3154"/>
      <c r="X76" s="2416"/>
      <c r="AD76" s="2426"/>
    </row>
    <row r="79" spans="4:58" s="2427" customFormat="1" ht="17.100000000000001" customHeight="1">
      <c r="N79" s="2427" t="s">
        <v>4210</v>
      </c>
      <c r="AK79" s="3153" t="s">
        <v>4211</v>
      </c>
      <c r="AL79" s="3153"/>
      <c r="AM79" s="3153"/>
      <c r="AN79" s="3153"/>
      <c r="AO79" s="3153"/>
      <c r="AP79" s="3153"/>
      <c r="AQ79" s="3153"/>
      <c r="AR79" s="3153"/>
      <c r="AS79" s="3153"/>
      <c r="AT79" s="3153"/>
      <c r="AU79" s="3153"/>
      <c r="AV79" s="3153"/>
      <c r="AW79" s="3153"/>
      <c r="AX79" s="3153"/>
      <c r="AY79" s="3153"/>
      <c r="AZ79" s="3153"/>
      <c r="BA79" s="3153"/>
      <c r="BB79" s="3153"/>
      <c r="BC79" s="3153"/>
      <c r="BD79" s="3153"/>
      <c r="BE79" s="3153"/>
      <c r="BF79" s="3153"/>
    </row>
    <row r="82" spans="4:61" ht="8.1" customHeight="1"/>
    <row r="83" spans="4:61" ht="9.9499999999999993" customHeight="1">
      <c r="E83" s="3152" t="s">
        <v>4215</v>
      </c>
      <c r="F83" s="3152"/>
      <c r="G83" s="3152"/>
      <c r="H83" s="3152"/>
      <c r="I83" s="3152"/>
      <c r="J83" s="3152"/>
      <c r="K83" s="3152"/>
      <c r="L83" s="3152"/>
      <c r="M83" s="3152"/>
      <c r="N83" s="3152"/>
      <c r="O83" s="3152"/>
      <c r="P83" s="3152"/>
      <c r="Q83" s="3152"/>
      <c r="R83" s="3152"/>
      <c r="Z83" s="3152" t="s">
        <v>4216</v>
      </c>
      <c r="AA83" s="3152"/>
      <c r="AB83" s="3152"/>
      <c r="AC83" s="3152"/>
      <c r="AD83" s="3152"/>
      <c r="AE83" s="3152"/>
      <c r="AF83" s="3152"/>
      <c r="AG83" s="3152"/>
      <c r="AH83" s="3152"/>
      <c r="AI83" s="3152"/>
      <c r="AJ83" s="3152"/>
      <c r="AK83" s="3152"/>
      <c r="AL83" s="3152"/>
      <c r="AM83" s="3152"/>
      <c r="AV83" s="3152" t="s">
        <v>4217</v>
      </c>
      <c r="AW83" s="3152"/>
      <c r="AX83" s="3152"/>
      <c r="AY83" s="3152"/>
      <c r="AZ83" s="3152"/>
      <c r="BA83" s="3152"/>
      <c r="BB83" s="3152"/>
      <c r="BC83" s="3152"/>
      <c r="BD83" s="3152"/>
      <c r="BE83" s="3152"/>
      <c r="BF83" s="3152"/>
      <c r="BG83" s="3152"/>
      <c r="BH83" s="3152"/>
      <c r="BI83" s="3152"/>
    </row>
    <row r="84" spans="4:61" ht="18.95" customHeight="1">
      <c r="E84" s="3152"/>
      <c r="F84" s="3152"/>
      <c r="G84" s="3152"/>
      <c r="H84" s="3152"/>
      <c r="I84" s="3152"/>
      <c r="J84" s="3152"/>
      <c r="K84" s="3152"/>
      <c r="L84" s="3152"/>
      <c r="M84" s="3152"/>
      <c r="N84" s="3152"/>
      <c r="O84" s="3152"/>
      <c r="P84" s="3152"/>
      <c r="Q84" s="3152"/>
      <c r="R84" s="3152"/>
      <c r="Z84" s="3152"/>
      <c r="AA84" s="3152"/>
      <c r="AB84" s="3152"/>
      <c r="AC84" s="3152"/>
      <c r="AD84" s="3152"/>
      <c r="AE84" s="3152"/>
      <c r="AF84" s="3152"/>
      <c r="AG84" s="3152"/>
      <c r="AH84" s="3152"/>
      <c r="AI84" s="3152"/>
      <c r="AJ84" s="3152"/>
      <c r="AK84" s="3152"/>
      <c r="AL84" s="3152"/>
      <c r="AM84" s="3152"/>
      <c r="AV84" s="3152"/>
      <c r="AW84" s="3152"/>
      <c r="AX84" s="3152"/>
      <c r="AY84" s="3152"/>
      <c r="AZ84" s="3152"/>
      <c r="BA84" s="3152"/>
      <c r="BB84" s="3152"/>
      <c r="BC84" s="3152"/>
      <c r="BD84" s="3152"/>
      <c r="BE84" s="3152"/>
      <c r="BF84" s="3152"/>
      <c r="BG84" s="3152"/>
      <c r="BH84" s="3152"/>
      <c r="BI84" s="3152"/>
    </row>
    <row r="88" spans="4:61" ht="9.9499999999999993" customHeight="1">
      <c r="D88" s="2387"/>
      <c r="E88" s="2387"/>
      <c r="F88" s="2387"/>
      <c r="G88" s="2387"/>
      <c r="H88" s="2387"/>
      <c r="I88" s="2387"/>
      <c r="J88" s="2387"/>
      <c r="K88" s="2387"/>
      <c r="L88" s="2387"/>
      <c r="M88" s="2387"/>
      <c r="N88" s="2387"/>
      <c r="O88" s="2387"/>
      <c r="P88" s="2387"/>
      <c r="Q88" s="2387"/>
      <c r="R88" s="2387"/>
      <c r="S88" s="2387"/>
      <c r="T88" s="2387"/>
      <c r="U88" s="2387"/>
      <c r="V88" s="2387"/>
      <c r="W88" s="2387"/>
      <c r="X88" s="2387"/>
      <c r="Y88" s="2387"/>
      <c r="Z88" s="2387"/>
      <c r="AA88" s="2387"/>
      <c r="AB88" s="2387"/>
      <c r="AC88" s="2387"/>
      <c r="AD88" s="2387"/>
      <c r="AE88" s="2428"/>
      <c r="AF88" s="2428"/>
      <c r="AG88" s="2428"/>
      <c r="AH88" s="2428"/>
      <c r="AI88" s="2387"/>
    </row>
    <row r="89" spans="4:61" ht="9.9499999999999993" customHeight="1">
      <c r="D89" s="2387"/>
      <c r="E89" s="2387"/>
      <c r="F89" s="2387"/>
      <c r="G89" s="2387"/>
      <c r="H89" s="2387"/>
      <c r="I89" s="2387"/>
      <c r="J89" s="2387"/>
      <c r="K89" s="2387"/>
      <c r="L89" s="2387"/>
      <c r="M89" s="2387"/>
      <c r="N89" s="2387"/>
      <c r="O89" s="2387"/>
      <c r="P89" s="2387"/>
      <c r="Q89" s="2387"/>
      <c r="R89" s="2387"/>
      <c r="S89" s="2387"/>
      <c r="T89" s="2387"/>
      <c r="U89" s="2387"/>
      <c r="V89" s="2387"/>
      <c r="W89" s="2387"/>
      <c r="X89" s="2387"/>
      <c r="Y89" s="2387"/>
      <c r="Z89" s="2387"/>
      <c r="AA89" s="2387"/>
      <c r="AB89" s="2387"/>
      <c r="AC89" s="2387"/>
      <c r="AD89" s="2387"/>
      <c r="AE89" s="2428"/>
      <c r="AF89" s="2428"/>
      <c r="AG89" s="2428"/>
      <c r="AH89" s="2428"/>
      <c r="AI89" s="2387"/>
    </row>
    <row r="90" spans="4:61" ht="9.9499999999999993" customHeight="1">
      <c r="D90" s="2387"/>
      <c r="E90" s="2387"/>
      <c r="F90" s="2387"/>
      <c r="G90" s="2387"/>
      <c r="H90" s="2387"/>
      <c r="I90" s="2387"/>
      <c r="J90" s="2387"/>
      <c r="K90" s="2387"/>
      <c r="L90" s="2387"/>
      <c r="M90" s="2387"/>
      <c r="N90" s="2387"/>
      <c r="O90" s="2387"/>
      <c r="P90" s="2387"/>
      <c r="Q90" s="2387"/>
      <c r="R90" s="2387"/>
      <c r="S90" s="2387"/>
      <c r="T90" s="2387"/>
      <c r="U90" s="2387"/>
      <c r="V90" s="2387"/>
      <c r="W90" s="2387"/>
      <c r="X90" s="2387"/>
      <c r="Y90" s="2387"/>
      <c r="Z90" s="2387"/>
      <c r="AA90" s="2387"/>
      <c r="AB90" s="2387"/>
      <c r="AC90" s="2387"/>
      <c r="AD90" s="2387"/>
      <c r="AE90" s="2428"/>
      <c r="AF90" s="2428"/>
      <c r="AG90" s="2428"/>
      <c r="AH90" s="2428"/>
      <c r="AI90" s="2387"/>
    </row>
    <row r="91" spans="4:61" ht="9.9499999999999993" customHeight="1">
      <c r="D91" s="2387"/>
      <c r="E91" s="2387"/>
      <c r="F91" s="2387"/>
      <c r="G91" s="2387"/>
      <c r="H91" s="2387"/>
      <c r="I91" s="2387"/>
      <c r="J91" s="2387"/>
      <c r="K91" s="2387"/>
      <c r="L91" s="2387"/>
      <c r="M91" s="2387"/>
      <c r="N91" s="2387"/>
      <c r="O91" s="2387"/>
      <c r="P91" s="2387"/>
      <c r="Q91" s="2387"/>
      <c r="R91" s="2387"/>
      <c r="S91" s="2387"/>
      <c r="T91" s="2387"/>
      <c r="U91" s="2387"/>
      <c r="V91" s="2387"/>
      <c r="W91" s="2387"/>
      <c r="X91" s="2387"/>
      <c r="Y91" s="2387"/>
      <c r="Z91" s="2387"/>
      <c r="AA91" s="2387"/>
      <c r="AB91" s="2387"/>
      <c r="AC91" s="2387"/>
      <c r="AD91" s="2387"/>
      <c r="AE91" s="2428"/>
      <c r="AF91" s="2428"/>
      <c r="AG91" s="2428"/>
      <c r="AH91" s="2428"/>
      <c r="AI91" s="2387"/>
    </row>
    <row r="92" spans="4:61" ht="9.9499999999999993" customHeight="1">
      <c r="D92" s="2387"/>
      <c r="E92" s="2387"/>
      <c r="F92" s="2387"/>
      <c r="G92" s="2387"/>
      <c r="H92" s="2387"/>
      <c r="I92" s="2387"/>
      <c r="J92" s="2387"/>
      <c r="K92" s="2387"/>
      <c r="L92" s="2387"/>
      <c r="M92" s="2387"/>
      <c r="N92" s="2387"/>
      <c r="O92" s="2387"/>
      <c r="P92" s="2387"/>
      <c r="Q92" s="2387"/>
      <c r="R92" s="2387"/>
      <c r="S92" s="2387"/>
      <c r="T92" s="2387"/>
      <c r="U92" s="2387"/>
      <c r="V92" s="2387"/>
      <c r="W92" s="2387"/>
      <c r="X92" s="2387"/>
      <c r="Y92" s="2387"/>
      <c r="Z92" s="2387"/>
      <c r="AA92" s="2387"/>
      <c r="AB92" s="2387"/>
      <c r="AC92" s="2387"/>
      <c r="AD92" s="2387"/>
      <c r="AE92" s="2428"/>
      <c r="AF92" s="2428"/>
      <c r="AG92" s="2428"/>
      <c r="AH92" s="2428"/>
      <c r="AI92" s="2387"/>
    </row>
    <row r="93" spans="4:61" ht="9.9499999999999993" customHeight="1">
      <c r="D93" s="2387"/>
      <c r="E93" s="2387"/>
      <c r="F93" s="2387"/>
      <c r="G93" s="2387"/>
      <c r="H93" s="2387"/>
      <c r="I93" s="2387"/>
      <c r="J93" s="2387"/>
      <c r="K93" s="2387"/>
      <c r="L93" s="2387"/>
      <c r="M93" s="2387"/>
      <c r="N93" s="2387"/>
      <c r="O93" s="2387"/>
      <c r="P93" s="2387"/>
      <c r="Q93" s="2387"/>
      <c r="R93" s="2387"/>
      <c r="S93" s="2387"/>
      <c r="T93" s="2387"/>
      <c r="U93" s="2387"/>
      <c r="V93" s="2387"/>
      <c r="W93" s="2387"/>
      <c r="X93" s="2387"/>
      <c r="Y93" s="2387"/>
      <c r="Z93" s="2387"/>
      <c r="AA93" s="2387"/>
      <c r="AB93" s="2387"/>
      <c r="AC93" s="2387"/>
      <c r="AD93" s="2387"/>
      <c r="AE93" s="2428"/>
      <c r="AF93" s="2428"/>
      <c r="AG93" s="2428"/>
      <c r="AH93" s="2428"/>
      <c r="AI93" s="2387"/>
    </row>
    <row r="94" spans="4:61" ht="9.9499999999999993" customHeight="1">
      <c r="D94" s="2387"/>
      <c r="E94" s="2387"/>
      <c r="F94" s="2387"/>
      <c r="G94" s="2387"/>
      <c r="H94" s="2387"/>
      <c r="I94" s="2387"/>
      <c r="J94" s="2387"/>
      <c r="K94" s="2387"/>
      <c r="L94" s="2387"/>
      <c r="M94" s="2387"/>
      <c r="N94" s="2387"/>
      <c r="O94" s="2387"/>
      <c r="P94" s="2387"/>
      <c r="Q94" s="2387"/>
      <c r="R94" s="2387"/>
      <c r="S94" s="2387"/>
      <c r="T94" s="2387"/>
      <c r="U94" s="2387"/>
      <c r="V94" s="2387"/>
      <c r="W94" s="2387"/>
      <c r="X94" s="2387"/>
      <c r="Y94" s="2387"/>
      <c r="Z94" s="2387"/>
      <c r="AA94" s="2387"/>
      <c r="AB94" s="2387"/>
      <c r="AC94" s="2387"/>
      <c r="AD94" s="2387"/>
      <c r="AE94" s="2428"/>
      <c r="AF94" s="2428"/>
      <c r="AG94" s="2428"/>
      <c r="AH94" s="2428"/>
      <c r="AI94" s="2387"/>
    </row>
    <row r="95" spans="4:61" ht="9.9499999999999993" customHeight="1">
      <c r="D95" s="2387"/>
      <c r="E95" s="2387"/>
      <c r="F95" s="2387"/>
      <c r="G95" s="2387"/>
      <c r="H95" s="2387"/>
      <c r="I95" s="2387"/>
      <c r="J95" s="2387"/>
      <c r="K95" s="2387"/>
      <c r="L95" s="2387"/>
      <c r="M95" s="2387"/>
      <c r="N95" s="2387"/>
      <c r="O95" s="2387"/>
      <c r="P95" s="2387"/>
      <c r="Q95" s="2387"/>
      <c r="R95" s="2387"/>
      <c r="S95" s="2387"/>
      <c r="T95" s="2387"/>
      <c r="U95" s="2387"/>
      <c r="V95" s="2387"/>
      <c r="W95" s="2387"/>
      <c r="X95" s="2387"/>
      <c r="Y95" s="2387"/>
      <c r="Z95" s="2387"/>
      <c r="AA95" s="2387"/>
      <c r="AB95" s="2387"/>
      <c r="AC95" s="2387"/>
      <c r="AD95" s="2387"/>
      <c r="AE95" s="2428"/>
      <c r="AF95" s="2428"/>
      <c r="AG95" s="2428"/>
      <c r="AH95" s="2428"/>
      <c r="AI95" s="2387"/>
    </row>
    <row r="96" spans="4:61" ht="9.9499999999999993" customHeight="1">
      <c r="D96" s="2387"/>
      <c r="E96" s="2387"/>
      <c r="F96" s="2387"/>
      <c r="G96" s="2387"/>
      <c r="H96" s="2387"/>
      <c r="I96" s="2387"/>
      <c r="J96" s="2387"/>
      <c r="K96" s="2387"/>
      <c r="L96" s="2387"/>
      <c r="M96" s="2387"/>
      <c r="N96" s="2387"/>
      <c r="O96" s="2387"/>
      <c r="P96" s="2387"/>
      <c r="Q96" s="2387"/>
      <c r="R96" s="2387"/>
      <c r="S96" s="2387"/>
      <c r="T96" s="2387"/>
      <c r="U96" s="2387"/>
      <c r="V96" s="2387"/>
      <c r="W96" s="2387"/>
      <c r="X96" s="2387"/>
      <c r="Y96" s="2387"/>
      <c r="Z96" s="2387"/>
      <c r="AA96" s="2387"/>
      <c r="AB96" s="2387"/>
      <c r="AC96" s="2387"/>
      <c r="AD96" s="2387"/>
      <c r="AE96" s="2428"/>
      <c r="AF96" s="2428"/>
      <c r="AG96" s="2428"/>
      <c r="AH96" s="2428"/>
      <c r="AI96" s="2387"/>
    </row>
    <row r="97" spans="4:35" ht="9.9499999999999993" customHeight="1">
      <c r="D97" s="2387"/>
      <c r="E97" s="2387"/>
      <c r="F97" s="2387"/>
      <c r="G97" s="2387"/>
      <c r="H97" s="2387"/>
      <c r="I97" s="2387"/>
      <c r="J97" s="2387"/>
      <c r="K97" s="2387"/>
      <c r="L97" s="2387"/>
      <c r="M97" s="2387"/>
      <c r="N97" s="2387"/>
      <c r="O97" s="2387"/>
      <c r="P97" s="2387"/>
      <c r="Q97" s="2387"/>
      <c r="R97" s="2387"/>
      <c r="S97" s="2387"/>
      <c r="T97" s="2387"/>
      <c r="U97" s="2387"/>
      <c r="V97" s="2387"/>
      <c r="W97" s="2387"/>
      <c r="X97" s="2387"/>
      <c r="Y97" s="2387"/>
      <c r="Z97" s="2387"/>
      <c r="AA97" s="2387"/>
      <c r="AB97" s="2387"/>
      <c r="AC97" s="2387"/>
      <c r="AD97" s="2387"/>
      <c r="AE97" s="2387"/>
      <c r="AF97" s="2387"/>
      <c r="AG97" s="2387"/>
      <c r="AH97" s="2387"/>
      <c r="AI97" s="2387"/>
    </row>
    <row r="98" spans="4:35" ht="9.9499999999999993" customHeight="1">
      <c r="D98" s="2387"/>
      <c r="E98" s="2387"/>
      <c r="F98" s="2387"/>
      <c r="G98" s="2387"/>
      <c r="H98" s="2387"/>
      <c r="I98" s="2387"/>
      <c r="J98" s="2387"/>
      <c r="K98" s="2387"/>
      <c r="L98" s="2387"/>
      <c r="M98" s="2387"/>
      <c r="N98" s="2387"/>
      <c r="O98" s="2387"/>
      <c r="P98" s="2387"/>
      <c r="Q98" s="2387"/>
      <c r="R98" s="2387"/>
      <c r="S98" s="2387"/>
      <c r="T98" s="2387"/>
      <c r="U98" s="2387"/>
      <c r="V98" s="2387"/>
      <c r="W98" s="2387"/>
      <c r="X98" s="2387"/>
      <c r="Y98" s="2387"/>
      <c r="Z98" s="2387"/>
      <c r="AA98" s="2387"/>
      <c r="AB98" s="2387"/>
      <c r="AC98" s="2387"/>
      <c r="AD98" s="2387"/>
      <c r="AE98" s="2387"/>
      <c r="AF98" s="2387"/>
      <c r="AG98" s="2387"/>
      <c r="AH98" s="2387"/>
      <c r="AI98" s="2387"/>
    </row>
    <row r="99" spans="4:35" ht="9.9499999999999993" customHeight="1">
      <c r="D99" s="2387"/>
      <c r="E99" s="2387"/>
      <c r="F99" s="2387"/>
      <c r="G99" s="2387"/>
      <c r="H99" s="2387"/>
      <c r="I99" s="2387"/>
      <c r="J99" s="2387"/>
      <c r="K99" s="2387"/>
      <c r="L99" s="2387"/>
      <c r="M99" s="2387"/>
      <c r="N99" s="2387"/>
      <c r="O99" s="2387"/>
      <c r="P99" s="2387"/>
      <c r="Q99" s="2387"/>
      <c r="R99" s="2387"/>
      <c r="S99" s="2387"/>
      <c r="T99" s="2387"/>
      <c r="U99" s="2387"/>
      <c r="V99" s="2387"/>
      <c r="W99" s="2387"/>
      <c r="X99" s="2387"/>
      <c r="Y99" s="2387"/>
      <c r="Z99" s="2387"/>
      <c r="AA99" s="2387"/>
      <c r="AB99" s="2387"/>
      <c r="AC99" s="2387"/>
      <c r="AD99" s="2387"/>
      <c r="AE99" s="2387"/>
      <c r="AF99" s="2387"/>
      <c r="AG99" s="2387"/>
      <c r="AH99" s="2387"/>
      <c r="AI99" s="2387"/>
    </row>
    <row r="100" spans="4:35" ht="9.9499999999999993" customHeight="1">
      <c r="D100" s="2387"/>
      <c r="E100" s="2387"/>
      <c r="F100" s="2387"/>
      <c r="G100" s="2387"/>
      <c r="H100" s="2387"/>
      <c r="I100" s="2387"/>
      <c r="J100" s="2387"/>
      <c r="K100" s="2387"/>
      <c r="L100" s="2387"/>
      <c r="M100" s="2387"/>
      <c r="N100" s="2387"/>
      <c r="O100" s="2387"/>
      <c r="P100" s="2387"/>
      <c r="Q100" s="2387"/>
      <c r="R100" s="2387"/>
      <c r="S100" s="2387"/>
      <c r="T100" s="2387"/>
      <c r="U100" s="2387"/>
      <c r="V100" s="2387"/>
      <c r="W100" s="2387"/>
      <c r="X100" s="2387"/>
      <c r="Y100" s="2387"/>
      <c r="Z100" s="2387"/>
      <c r="AA100" s="2387"/>
      <c r="AB100" s="2387"/>
      <c r="AC100" s="2387"/>
      <c r="AD100" s="2387"/>
      <c r="AE100" s="2387"/>
      <c r="AF100" s="2387"/>
      <c r="AG100" s="2387"/>
      <c r="AH100" s="2387"/>
      <c r="AI100" s="2387"/>
    </row>
    <row r="101" spans="4:35" ht="9.9499999999999993" customHeight="1">
      <c r="D101" s="2387"/>
      <c r="E101" s="2387"/>
      <c r="F101" s="2387"/>
      <c r="G101" s="2387"/>
      <c r="H101" s="2387"/>
      <c r="I101" s="2387"/>
      <c r="J101" s="2387"/>
      <c r="K101" s="2387"/>
      <c r="L101" s="2387"/>
      <c r="M101" s="2387"/>
      <c r="N101" s="3170" t="s">
        <v>3597</v>
      </c>
      <c r="O101" s="3170"/>
      <c r="P101" s="3170"/>
      <c r="Q101" s="3170"/>
      <c r="R101" s="3170"/>
      <c r="S101" s="3170"/>
      <c r="T101" s="3170"/>
      <c r="U101" s="3170"/>
      <c r="V101" s="3170"/>
      <c r="W101" s="3170"/>
      <c r="X101" s="3170"/>
      <c r="Y101" s="3170"/>
      <c r="Z101" s="3170"/>
      <c r="AA101" s="3170"/>
      <c r="AB101" s="3170"/>
      <c r="AC101" s="3170"/>
      <c r="AD101" s="3170"/>
      <c r="AE101" s="3170"/>
      <c r="AF101" s="3170"/>
      <c r="AG101" s="3170"/>
      <c r="AH101" s="3170"/>
      <c r="AI101" s="3170"/>
    </row>
    <row r="102" spans="4:35" ht="9.9499999999999993" customHeight="1">
      <c r="D102" s="2387"/>
      <c r="E102" s="2387"/>
      <c r="F102" s="2387"/>
      <c r="G102" s="2387"/>
      <c r="H102" s="2387"/>
      <c r="I102" s="2387"/>
      <c r="J102" s="2387"/>
      <c r="K102" s="2387"/>
      <c r="L102" s="2387"/>
      <c r="M102" s="2387"/>
      <c r="N102" s="3170"/>
      <c r="O102" s="3170"/>
      <c r="P102" s="3170"/>
      <c r="Q102" s="3170"/>
      <c r="R102" s="3170"/>
      <c r="S102" s="3170"/>
      <c r="T102" s="3170"/>
      <c r="U102" s="3170"/>
      <c r="V102" s="3170"/>
      <c r="W102" s="3170"/>
      <c r="X102" s="3170"/>
      <c r="Y102" s="3170"/>
      <c r="Z102" s="3170"/>
      <c r="AA102" s="3170"/>
      <c r="AB102" s="3170"/>
      <c r="AC102" s="3170"/>
      <c r="AD102" s="3170"/>
      <c r="AE102" s="3170"/>
      <c r="AF102" s="3170"/>
      <c r="AG102" s="3170"/>
      <c r="AH102" s="3170"/>
      <c r="AI102" s="3170"/>
    </row>
    <row r="103" spans="4:35" ht="9.9499999999999993" customHeight="1">
      <c r="D103" s="2394"/>
      <c r="E103" s="2394"/>
      <c r="F103" s="2394"/>
      <c r="G103" s="2394"/>
      <c r="H103" s="2394"/>
      <c r="I103" s="2387"/>
      <c r="J103" s="2387"/>
      <c r="K103" s="2387"/>
      <c r="L103" s="2387"/>
      <c r="M103" s="2387"/>
      <c r="N103" s="3170"/>
      <c r="O103" s="3170"/>
      <c r="P103" s="3170"/>
      <c r="Q103" s="3170"/>
      <c r="R103" s="3170"/>
      <c r="S103" s="3170"/>
      <c r="T103" s="3170"/>
      <c r="U103" s="3170"/>
      <c r="V103" s="3170"/>
      <c r="W103" s="3170"/>
      <c r="X103" s="3170"/>
      <c r="Y103" s="3170"/>
      <c r="Z103" s="3170"/>
      <c r="AA103" s="3170"/>
      <c r="AB103" s="3170"/>
      <c r="AC103" s="3170"/>
      <c r="AD103" s="3170"/>
      <c r="AE103" s="3170"/>
      <c r="AF103" s="3170"/>
      <c r="AG103" s="3170"/>
      <c r="AH103" s="3170"/>
      <c r="AI103" s="3170"/>
    </row>
  </sheetData>
  <mergeCells count="22">
    <mergeCell ref="N101:AI103"/>
    <mergeCell ref="D34:R35"/>
    <mergeCell ref="AE43:AL44"/>
    <mergeCell ref="AI19:AM20"/>
    <mergeCell ref="C21:O22"/>
    <mergeCell ref="E83:R84"/>
    <mergeCell ref="Z83:AM84"/>
    <mergeCell ref="M1:BC2"/>
    <mergeCell ref="A1:L2"/>
    <mergeCell ref="A3:L4"/>
    <mergeCell ref="N3:AA4"/>
    <mergeCell ref="E50:T51"/>
    <mergeCell ref="F5:M6"/>
    <mergeCell ref="AV83:BI84"/>
    <mergeCell ref="AK79:BF79"/>
    <mergeCell ref="O75:S76"/>
    <mergeCell ref="AD62:AP63"/>
    <mergeCell ref="AE58:AP59"/>
    <mergeCell ref="BH59:BO60"/>
    <mergeCell ref="V71:X72"/>
    <mergeCell ref="AK71:AM72"/>
    <mergeCell ref="V67:AH68"/>
  </mergeCells>
  <pageMargins left="0.21" right="0.31" top="0.45" bottom="0.28999999999999998" header="0.3" footer="0.3"/>
  <pageSetup scale="95" orientation="portrait" verticalDpi="4294967295" r:id="rId1"/>
</worksheet>
</file>

<file path=xl/worksheets/sheet27.xml><?xml version="1.0" encoding="utf-8"?>
<worksheet xmlns="http://schemas.openxmlformats.org/spreadsheetml/2006/main" xmlns:r="http://schemas.openxmlformats.org/officeDocument/2006/relationships">
  <sheetPr>
    <tabColor rgb="FFFFFF00"/>
  </sheetPr>
  <dimension ref="C3:GX255"/>
  <sheetViews>
    <sheetView view="pageBreakPreview" topLeftCell="A43" zoomScale="106" zoomScaleSheetLayoutView="106" workbookViewId="0">
      <selection activeCell="IM210" sqref="IM210"/>
    </sheetView>
  </sheetViews>
  <sheetFormatPr defaultColWidth="0.5703125" defaultRowHeight="3.6" customHeight="1"/>
  <cols>
    <col min="1" max="134" width="0.5703125" style="13"/>
    <col min="135" max="135" width="0.42578125" style="13" customWidth="1"/>
    <col min="136" max="136" width="0.28515625" style="13" customWidth="1"/>
    <col min="137" max="172" width="0.5703125" style="13"/>
    <col min="173" max="173" width="0.140625" style="13" customWidth="1"/>
    <col min="174" max="390" width="0.5703125" style="13"/>
    <col min="391" max="391" width="0.42578125" style="13" customWidth="1"/>
    <col min="392" max="392" width="0.28515625" style="13" customWidth="1"/>
    <col min="393" max="428" width="0.5703125" style="13"/>
    <col min="429" max="429" width="0.140625" style="13" customWidth="1"/>
    <col min="430" max="646" width="0.5703125" style="13"/>
    <col min="647" max="647" width="0.42578125" style="13" customWidth="1"/>
    <col min="648" max="648" width="0.28515625" style="13" customWidth="1"/>
    <col min="649" max="684" width="0.5703125" style="13"/>
    <col min="685" max="685" width="0.140625" style="13" customWidth="1"/>
    <col min="686" max="902" width="0.5703125" style="13"/>
    <col min="903" max="903" width="0.42578125" style="13" customWidth="1"/>
    <col min="904" max="904" width="0.28515625" style="13" customWidth="1"/>
    <col min="905" max="940" width="0.5703125" style="13"/>
    <col min="941" max="941" width="0.140625" style="13" customWidth="1"/>
    <col min="942" max="1158" width="0.5703125" style="13"/>
    <col min="1159" max="1159" width="0.42578125" style="13" customWidth="1"/>
    <col min="1160" max="1160" width="0.28515625" style="13" customWidth="1"/>
    <col min="1161" max="1196" width="0.5703125" style="13"/>
    <col min="1197" max="1197" width="0.140625" style="13" customWidth="1"/>
    <col min="1198" max="1414" width="0.5703125" style="13"/>
    <col min="1415" max="1415" width="0.42578125" style="13" customWidth="1"/>
    <col min="1416" max="1416" width="0.28515625" style="13" customWidth="1"/>
    <col min="1417" max="1452" width="0.5703125" style="13"/>
    <col min="1453" max="1453" width="0.140625" style="13" customWidth="1"/>
    <col min="1454" max="1670" width="0.5703125" style="13"/>
    <col min="1671" max="1671" width="0.42578125" style="13" customWidth="1"/>
    <col min="1672" max="1672" width="0.28515625" style="13" customWidth="1"/>
    <col min="1673" max="1708" width="0.5703125" style="13"/>
    <col min="1709" max="1709" width="0.140625" style="13" customWidth="1"/>
    <col min="1710" max="1926" width="0.5703125" style="13"/>
    <col min="1927" max="1927" width="0.42578125" style="13" customWidth="1"/>
    <col min="1928" max="1928" width="0.28515625" style="13" customWidth="1"/>
    <col min="1929" max="1964" width="0.5703125" style="13"/>
    <col min="1965" max="1965" width="0.140625" style="13" customWidth="1"/>
    <col min="1966" max="2182" width="0.5703125" style="13"/>
    <col min="2183" max="2183" width="0.42578125" style="13" customWidth="1"/>
    <col min="2184" max="2184" width="0.28515625" style="13" customWidth="1"/>
    <col min="2185" max="2220" width="0.5703125" style="13"/>
    <col min="2221" max="2221" width="0.140625" style="13" customWidth="1"/>
    <col min="2222" max="2438" width="0.5703125" style="13"/>
    <col min="2439" max="2439" width="0.42578125" style="13" customWidth="1"/>
    <col min="2440" max="2440" width="0.28515625" style="13" customWidth="1"/>
    <col min="2441" max="2476" width="0.5703125" style="13"/>
    <col min="2477" max="2477" width="0.140625" style="13" customWidth="1"/>
    <col min="2478" max="2694" width="0.5703125" style="13"/>
    <col min="2695" max="2695" width="0.42578125" style="13" customWidth="1"/>
    <col min="2696" max="2696" width="0.28515625" style="13" customWidth="1"/>
    <col min="2697" max="2732" width="0.5703125" style="13"/>
    <col min="2733" max="2733" width="0.140625" style="13" customWidth="1"/>
    <col min="2734" max="2950" width="0.5703125" style="13"/>
    <col min="2951" max="2951" width="0.42578125" style="13" customWidth="1"/>
    <col min="2952" max="2952" width="0.28515625" style="13" customWidth="1"/>
    <col min="2953" max="2988" width="0.5703125" style="13"/>
    <col min="2989" max="2989" width="0.140625" style="13" customWidth="1"/>
    <col min="2990" max="3206" width="0.5703125" style="13"/>
    <col min="3207" max="3207" width="0.42578125" style="13" customWidth="1"/>
    <col min="3208" max="3208" width="0.28515625" style="13" customWidth="1"/>
    <col min="3209" max="3244" width="0.5703125" style="13"/>
    <col min="3245" max="3245" width="0.140625" style="13" customWidth="1"/>
    <col min="3246" max="3462" width="0.5703125" style="13"/>
    <col min="3463" max="3463" width="0.42578125" style="13" customWidth="1"/>
    <col min="3464" max="3464" width="0.28515625" style="13" customWidth="1"/>
    <col min="3465" max="3500" width="0.5703125" style="13"/>
    <col min="3501" max="3501" width="0.140625" style="13" customWidth="1"/>
    <col min="3502" max="3718" width="0.5703125" style="13"/>
    <col min="3719" max="3719" width="0.42578125" style="13" customWidth="1"/>
    <col min="3720" max="3720" width="0.28515625" style="13" customWidth="1"/>
    <col min="3721" max="3756" width="0.5703125" style="13"/>
    <col min="3757" max="3757" width="0.140625" style="13" customWidth="1"/>
    <col min="3758" max="3974" width="0.5703125" style="13"/>
    <col min="3975" max="3975" width="0.42578125" style="13" customWidth="1"/>
    <col min="3976" max="3976" width="0.28515625" style="13" customWidth="1"/>
    <col min="3977" max="4012" width="0.5703125" style="13"/>
    <col min="4013" max="4013" width="0.140625" style="13" customWidth="1"/>
    <col min="4014" max="4230" width="0.5703125" style="13"/>
    <col min="4231" max="4231" width="0.42578125" style="13" customWidth="1"/>
    <col min="4232" max="4232" width="0.28515625" style="13" customWidth="1"/>
    <col min="4233" max="4268" width="0.5703125" style="13"/>
    <col min="4269" max="4269" width="0.140625" style="13" customWidth="1"/>
    <col min="4270" max="4486" width="0.5703125" style="13"/>
    <col min="4487" max="4487" width="0.42578125" style="13" customWidth="1"/>
    <col min="4488" max="4488" width="0.28515625" style="13" customWidth="1"/>
    <col min="4489" max="4524" width="0.5703125" style="13"/>
    <col min="4525" max="4525" width="0.140625" style="13" customWidth="1"/>
    <col min="4526" max="4742" width="0.5703125" style="13"/>
    <col min="4743" max="4743" width="0.42578125" style="13" customWidth="1"/>
    <col min="4744" max="4744" width="0.28515625" style="13" customWidth="1"/>
    <col min="4745" max="4780" width="0.5703125" style="13"/>
    <col min="4781" max="4781" width="0.140625" style="13" customWidth="1"/>
    <col min="4782" max="4998" width="0.5703125" style="13"/>
    <col min="4999" max="4999" width="0.42578125" style="13" customWidth="1"/>
    <col min="5000" max="5000" width="0.28515625" style="13" customWidth="1"/>
    <col min="5001" max="5036" width="0.5703125" style="13"/>
    <col min="5037" max="5037" width="0.140625" style="13" customWidth="1"/>
    <col min="5038" max="5254" width="0.5703125" style="13"/>
    <col min="5255" max="5255" width="0.42578125" style="13" customWidth="1"/>
    <col min="5256" max="5256" width="0.28515625" style="13" customWidth="1"/>
    <col min="5257" max="5292" width="0.5703125" style="13"/>
    <col min="5293" max="5293" width="0.140625" style="13" customWidth="1"/>
    <col min="5294" max="5510" width="0.5703125" style="13"/>
    <col min="5511" max="5511" width="0.42578125" style="13" customWidth="1"/>
    <col min="5512" max="5512" width="0.28515625" style="13" customWidth="1"/>
    <col min="5513" max="5548" width="0.5703125" style="13"/>
    <col min="5549" max="5549" width="0.140625" style="13" customWidth="1"/>
    <col min="5550" max="5766" width="0.5703125" style="13"/>
    <col min="5767" max="5767" width="0.42578125" style="13" customWidth="1"/>
    <col min="5768" max="5768" width="0.28515625" style="13" customWidth="1"/>
    <col min="5769" max="5804" width="0.5703125" style="13"/>
    <col min="5805" max="5805" width="0.140625" style="13" customWidth="1"/>
    <col min="5806" max="6022" width="0.5703125" style="13"/>
    <col min="6023" max="6023" width="0.42578125" style="13" customWidth="1"/>
    <col min="6024" max="6024" width="0.28515625" style="13" customWidth="1"/>
    <col min="6025" max="6060" width="0.5703125" style="13"/>
    <col min="6061" max="6061" width="0.140625" style="13" customWidth="1"/>
    <col min="6062" max="6278" width="0.5703125" style="13"/>
    <col min="6279" max="6279" width="0.42578125" style="13" customWidth="1"/>
    <col min="6280" max="6280" width="0.28515625" style="13" customWidth="1"/>
    <col min="6281" max="6316" width="0.5703125" style="13"/>
    <col min="6317" max="6317" width="0.140625" style="13" customWidth="1"/>
    <col min="6318" max="6534" width="0.5703125" style="13"/>
    <col min="6535" max="6535" width="0.42578125" style="13" customWidth="1"/>
    <col min="6536" max="6536" width="0.28515625" style="13" customWidth="1"/>
    <col min="6537" max="6572" width="0.5703125" style="13"/>
    <col min="6573" max="6573" width="0.140625" style="13" customWidth="1"/>
    <col min="6574" max="6790" width="0.5703125" style="13"/>
    <col min="6791" max="6791" width="0.42578125" style="13" customWidth="1"/>
    <col min="6792" max="6792" width="0.28515625" style="13" customWidth="1"/>
    <col min="6793" max="6828" width="0.5703125" style="13"/>
    <col min="6829" max="6829" width="0.140625" style="13" customWidth="1"/>
    <col min="6830" max="7046" width="0.5703125" style="13"/>
    <col min="7047" max="7047" width="0.42578125" style="13" customWidth="1"/>
    <col min="7048" max="7048" width="0.28515625" style="13" customWidth="1"/>
    <col min="7049" max="7084" width="0.5703125" style="13"/>
    <col min="7085" max="7085" width="0.140625" style="13" customWidth="1"/>
    <col min="7086" max="7302" width="0.5703125" style="13"/>
    <col min="7303" max="7303" width="0.42578125" style="13" customWidth="1"/>
    <col min="7304" max="7304" width="0.28515625" style="13" customWidth="1"/>
    <col min="7305" max="7340" width="0.5703125" style="13"/>
    <col min="7341" max="7341" width="0.140625" style="13" customWidth="1"/>
    <col min="7342" max="7558" width="0.5703125" style="13"/>
    <col min="7559" max="7559" width="0.42578125" style="13" customWidth="1"/>
    <col min="7560" max="7560" width="0.28515625" style="13" customWidth="1"/>
    <col min="7561" max="7596" width="0.5703125" style="13"/>
    <col min="7597" max="7597" width="0.140625" style="13" customWidth="1"/>
    <col min="7598" max="7814" width="0.5703125" style="13"/>
    <col min="7815" max="7815" width="0.42578125" style="13" customWidth="1"/>
    <col min="7816" max="7816" width="0.28515625" style="13" customWidth="1"/>
    <col min="7817" max="7852" width="0.5703125" style="13"/>
    <col min="7853" max="7853" width="0.140625" style="13" customWidth="1"/>
    <col min="7854" max="8070" width="0.5703125" style="13"/>
    <col min="8071" max="8071" width="0.42578125" style="13" customWidth="1"/>
    <col min="8072" max="8072" width="0.28515625" style="13" customWidth="1"/>
    <col min="8073" max="8108" width="0.5703125" style="13"/>
    <col min="8109" max="8109" width="0.140625" style="13" customWidth="1"/>
    <col min="8110" max="8326" width="0.5703125" style="13"/>
    <col min="8327" max="8327" width="0.42578125" style="13" customWidth="1"/>
    <col min="8328" max="8328" width="0.28515625" style="13" customWidth="1"/>
    <col min="8329" max="8364" width="0.5703125" style="13"/>
    <col min="8365" max="8365" width="0.140625" style="13" customWidth="1"/>
    <col min="8366" max="8582" width="0.5703125" style="13"/>
    <col min="8583" max="8583" width="0.42578125" style="13" customWidth="1"/>
    <col min="8584" max="8584" width="0.28515625" style="13" customWidth="1"/>
    <col min="8585" max="8620" width="0.5703125" style="13"/>
    <col min="8621" max="8621" width="0.140625" style="13" customWidth="1"/>
    <col min="8622" max="8838" width="0.5703125" style="13"/>
    <col min="8839" max="8839" width="0.42578125" style="13" customWidth="1"/>
    <col min="8840" max="8840" width="0.28515625" style="13" customWidth="1"/>
    <col min="8841" max="8876" width="0.5703125" style="13"/>
    <col min="8877" max="8877" width="0.140625" style="13" customWidth="1"/>
    <col min="8878" max="9094" width="0.5703125" style="13"/>
    <col min="9095" max="9095" width="0.42578125" style="13" customWidth="1"/>
    <col min="9096" max="9096" width="0.28515625" style="13" customWidth="1"/>
    <col min="9097" max="9132" width="0.5703125" style="13"/>
    <col min="9133" max="9133" width="0.140625" style="13" customWidth="1"/>
    <col min="9134" max="9350" width="0.5703125" style="13"/>
    <col min="9351" max="9351" width="0.42578125" style="13" customWidth="1"/>
    <col min="9352" max="9352" width="0.28515625" style="13" customWidth="1"/>
    <col min="9353" max="9388" width="0.5703125" style="13"/>
    <col min="9389" max="9389" width="0.140625" style="13" customWidth="1"/>
    <col min="9390" max="9606" width="0.5703125" style="13"/>
    <col min="9607" max="9607" width="0.42578125" style="13" customWidth="1"/>
    <col min="9608" max="9608" width="0.28515625" style="13" customWidth="1"/>
    <col min="9609" max="9644" width="0.5703125" style="13"/>
    <col min="9645" max="9645" width="0.140625" style="13" customWidth="1"/>
    <col min="9646" max="9862" width="0.5703125" style="13"/>
    <col min="9863" max="9863" width="0.42578125" style="13" customWidth="1"/>
    <col min="9864" max="9864" width="0.28515625" style="13" customWidth="1"/>
    <col min="9865" max="9900" width="0.5703125" style="13"/>
    <col min="9901" max="9901" width="0.140625" style="13" customWidth="1"/>
    <col min="9902" max="10118" width="0.5703125" style="13"/>
    <col min="10119" max="10119" width="0.42578125" style="13" customWidth="1"/>
    <col min="10120" max="10120" width="0.28515625" style="13" customWidth="1"/>
    <col min="10121" max="10156" width="0.5703125" style="13"/>
    <col min="10157" max="10157" width="0.140625" style="13" customWidth="1"/>
    <col min="10158" max="10374" width="0.5703125" style="13"/>
    <col min="10375" max="10375" width="0.42578125" style="13" customWidth="1"/>
    <col min="10376" max="10376" width="0.28515625" style="13" customWidth="1"/>
    <col min="10377" max="10412" width="0.5703125" style="13"/>
    <col min="10413" max="10413" width="0.140625" style="13" customWidth="1"/>
    <col min="10414" max="10630" width="0.5703125" style="13"/>
    <col min="10631" max="10631" width="0.42578125" style="13" customWidth="1"/>
    <col min="10632" max="10632" width="0.28515625" style="13" customWidth="1"/>
    <col min="10633" max="10668" width="0.5703125" style="13"/>
    <col min="10669" max="10669" width="0.140625" style="13" customWidth="1"/>
    <col min="10670" max="10886" width="0.5703125" style="13"/>
    <col min="10887" max="10887" width="0.42578125" style="13" customWidth="1"/>
    <col min="10888" max="10888" width="0.28515625" style="13" customWidth="1"/>
    <col min="10889" max="10924" width="0.5703125" style="13"/>
    <col min="10925" max="10925" width="0.140625" style="13" customWidth="1"/>
    <col min="10926" max="11142" width="0.5703125" style="13"/>
    <col min="11143" max="11143" width="0.42578125" style="13" customWidth="1"/>
    <col min="11144" max="11144" width="0.28515625" style="13" customWidth="1"/>
    <col min="11145" max="11180" width="0.5703125" style="13"/>
    <col min="11181" max="11181" width="0.140625" style="13" customWidth="1"/>
    <col min="11182" max="11398" width="0.5703125" style="13"/>
    <col min="11399" max="11399" width="0.42578125" style="13" customWidth="1"/>
    <col min="11400" max="11400" width="0.28515625" style="13" customWidth="1"/>
    <col min="11401" max="11436" width="0.5703125" style="13"/>
    <col min="11437" max="11437" width="0.140625" style="13" customWidth="1"/>
    <col min="11438" max="11654" width="0.5703125" style="13"/>
    <col min="11655" max="11655" width="0.42578125" style="13" customWidth="1"/>
    <col min="11656" max="11656" width="0.28515625" style="13" customWidth="1"/>
    <col min="11657" max="11692" width="0.5703125" style="13"/>
    <col min="11693" max="11693" width="0.140625" style="13" customWidth="1"/>
    <col min="11694" max="11910" width="0.5703125" style="13"/>
    <col min="11911" max="11911" width="0.42578125" style="13" customWidth="1"/>
    <col min="11912" max="11912" width="0.28515625" style="13" customWidth="1"/>
    <col min="11913" max="11948" width="0.5703125" style="13"/>
    <col min="11949" max="11949" width="0.140625" style="13" customWidth="1"/>
    <col min="11950" max="12166" width="0.5703125" style="13"/>
    <col min="12167" max="12167" width="0.42578125" style="13" customWidth="1"/>
    <col min="12168" max="12168" width="0.28515625" style="13" customWidth="1"/>
    <col min="12169" max="12204" width="0.5703125" style="13"/>
    <col min="12205" max="12205" width="0.140625" style="13" customWidth="1"/>
    <col min="12206" max="12422" width="0.5703125" style="13"/>
    <col min="12423" max="12423" width="0.42578125" style="13" customWidth="1"/>
    <col min="12424" max="12424" width="0.28515625" style="13" customWidth="1"/>
    <col min="12425" max="12460" width="0.5703125" style="13"/>
    <col min="12461" max="12461" width="0.140625" style="13" customWidth="1"/>
    <col min="12462" max="12678" width="0.5703125" style="13"/>
    <col min="12679" max="12679" width="0.42578125" style="13" customWidth="1"/>
    <col min="12680" max="12680" width="0.28515625" style="13" customWidth="1"/>
    <col min="12681" max="12716" width="0.5703125" style="13"/>
    <col min="12717" max="12717" width="0.140625" style="13" customWidth="1"/>
    <col min="12718" max="12934" width="0.5703125" style="13"/>
    <col min="12935" max="12935" width="0.42578125" style="13" customWidth="1"/>
    <col min="12936" max="12936" width="0.28515625" style="13" customWidth="1"/>
    <col min="12937" max="12972" width="0.5703125" style="13"/>
    <col min="12973" max="12973" width="0.140625" style="13" customWidth="1"/>
    <col min="12974" max="13190" width="0.5703125" style="13"/>
    <col min="13191" max="13191" width="0.42578125" style="13" customWidth="1"/>
    <col min="13192" max="13192" width="0.28515625" style="13" customWidth="1"/>
    <col min="13193" max="13228" width="0.5703125" style="13"/>
    <col min="13229" max="13229" width="0.140625" style="13" customWidth="1"/>
    <col min="13230" max="13446" width="0.5703125" style="13"/>
    <col min="13447" max="13447" width="0.42578125" style="13" customWidth="1"/>
    <col min="13448" max="13448" width="0.28515625" style="13" customWidth="1"/>
    <col min="13449" max="13484" width="0.5703125" style="13"/>
    <col min="13485" max="13485" width="0.140625" style="13" customWidth="1"/>
    <col min="13486" max="13702" width="0.5703125" style="13"/>
    <col min="13703" max="13703" width="0.42578125" style="13" customWidth="1"/>
    <col min="13704" max="13704" width="0.28515625" style="13" customWidth="1"/>
    <col min="13705" max="13740" width="0.5703125" style="13"/>
    <col min="13741" max="13741" width="0.140625" style="13" customWidth="1"/>
    <col min="13742" max="13958" width="0.5703125" style="13"/>
    <col min="13959" max="13959" width="0.42578125" style="13" customWidth="1"/>
    <col min="13960" max="13960" width="0.28515625" style="13" customWidth="1"/>
    <col min="13961" max="13996" width="0.5703125" style="13"/>
    <col min="13997" max="13997" width="0.140625" style="13" customWidth="1"/>
    <col min="13998" max="14214" width="0.5703125" style="13"/>
    <col min="14215" max="14215" width="0.42578125" style="13" customWidth="1"/>
    <col min="14216" max="14216" width="0.28515625" style="13" customWidth="1"/>
    <col min="14217" max="14252" width="0.5703125" style="13"/>
    <col min="14253" max="14253" width="0.140625" style="13" customWidth="1"/>
    <col min="14254" max="14470" width="0.5703125" style="13"/>
    <col min="14471" max="14471" width="0.42578125" style="13" customWidth="1"/>
    <col min="14472" max="14472" width="0.28515625" style="13" customWidth="1"/>
    <col min="14473" max="14508" width="0.5703125" style="13"/>
    <col min="14509" max="14509" width="0.140625" style="13" customWidth="1"/>
    <col min="14510" max="14726" width="0.5703125" style="13"/>
    <col min="14727" max="14727" width="0.42578125" style="13" customWidth="1"/>
    <col min="14728" max="14728" width="0.28515625" style="13" customWidth="1"/>
    <col min="14729" max="14764" width="0.5703125" style="13"/>
    <col min="14765" max="14765" width="0.140625" style="13" customWidth="1"/>
    <col min="14766" max="14982" width="0.5703125" style="13"/>
    <col min="14983" max="14983" width="0.42578125" style="13" customWidth="1"/>
    <col min="14984" max="14984" width="0.28515625" style="13" customWidth="1"/>
    <col min="14985" max="15020" width="0.5703125" style="13"/>
    <col min="15021" max="15021" width="0.140625" style="13" customWidth="1"/>
    <col min="15022" max="15238" width="0.5703125" style="13"/>
    <col min="15239" max="15239" width="0.42578125" style="13" customWidth="1"/>
    <col min="15240" max="15240" width="0.28515625" style="13" customWidth="1"/>
    <col min="15241" max="15276" width="0.5703125" style="13"/>
    <col min="15277" max="15277" width="0.140625" style="13" customWidth="1"/>
    <col min="15278" max="15494" width="0.5703125" style="13"/>
    <col min="15495" max="15495" width="0.42578125" style="13" customWidth="1"/>
    <col min="15496" max="15496" width="0.28515625" style="13" customWidth="1"/>
    <col min="15497" max="15532" width="0.5703125" style="13"/>
    <col min="15533" max="15533" width="0.140625" style="13" customWidth="1"/>
    <col min="15534" max="15750" width="0.5703125" style="13"/>
    <col min="15751" max="15751" width="0.42578125" style="13" customWidth="1"/>
    <col min="15752" max="15752" width="0.28515625" style="13" customWidth="1"/>
    <col min="15753" max="15788" width="0.5703125" style="13"/>
    <col min="15789" max="15789" width="0.140625" style="13" customWidth="1"/>
    <col min="15790" max="16006" width="0.5703125" style="13"/>
    <col min="16007" max="16007" width="0.42578125" style="13" customWidth="1"/>
    <col min="16008" max="16008" width="0.28515625" style="13" customWidth="1"/>
    <col min="16009" max="16044" width="0.5703125" style="13"/>
    <col min="16045" max="16045" width="0.140625" style="13" customWidth="1"/>
    <col min="16046" max="16262" width="0.5703125" style="13"/>
    <col min="16263" max="16263" width="0.42578125" style="13" customWidth="1"/>
    <col min="16264" max="16264" width="0.28515625" style="13" customWidth="1"/>
    <col min="16265" max="16300" width="0.5703125" style="13"/>
    <col min="16301" max="16301" width="0.140625" style="13" customWidth="1"/>
    <col min="16302" max="16384" width="0.5703125" style="13"/>
  </cols>
  <sheetData>
    <row r="3" spans="11:206" ht="3.75" customHeight="1">
      <c r="K3" s="3171" t="s">
        <v>3165</v>
      </c>
      <c r="L3" s="3171"/>
      <c r="M3" s="3171"/>
      <c r="N3" s="3171"/>
      <c r="O3" s="3171"/>
      <c r="P3" s="3171"/>
      <c r="Q3" s="3171"/>
      <c r="R3" s="3171"/>
      <c r="S3" s="3171"/>
      <c r="T3" s="3171"/>
      <c r="U3" s="3171"/>
      <c r="V3" s="3171"/>
      <c r="W3" s="3171"/>
      <c r="X3" s="3171"/>
      <c r="Y3" s="3171"/>
      <c r="Z3" s="3171"/>
      <c r="AA3" s="3171"/>
      <c r="AB3" s="3171"/>
      <c r="AC3" s="3171"/>
      <c r="AD3" s="3171"/>
      <c r="AE3" s="3171"/>
      <c r="AF3" s="3171"/>
      <c r="AG3" s="3171"/>
      <c r="AH3" s="3171"/>
      <c r="AI3" s="3171"/>
      <c r="AJ3" s="3171"/>
      <c r="AK3" s="3171"/>
      <c r="AL3" s="3171"/>
      <c r="AM3" s="3171"/>
      <c r="AN3" s="3171"/>
      <c r="AO3" s="3171"/>
      <c r="AP3" s="3171"/>
      <c r="AQ3" s="3171"/>
      <c r="AR3" s="3171"/>
      <c r="AS3" s="3171"/>
      <c r="AT3" s="3171"/>
      <c r="AU3" s="3171"/>
      <c r="AV3" s="3171"/>
      <c r="AW3" s="3171"/>
      <c r="AX3" s="3171"/>
      <c r="AY3" s="3171"/>
      <c r="AZ3" s="3171"/>
      <c r="BA3" s="3171"/>
      <c r="BB3" s="3171"/>
      <c r="BC3" s="3171"/>
      <c r="BD3" s="3171"/>
      <c r="BE3" s="3171"/>
      <c r="BF3" s="3171"/>
      <c r="BG3" s="3171"/>
      <c r="BH3" s="3171"/>
      <c r="BI3" s="3171"/>
      <c r="BJ3" s="3171"/>
      <c r="BK3" s="3171"/>
      <c r="BL3" s="3171"/>
      <c r="BM3" s="3171"/>
      <c r="BN3" s="3171"/>
      <c r="BO3" s="3171"/>
      <c r="BP3" s="3171"/>
      <c r="BQ3" s="3171"/>
      <c r="BR3" s="3171"/>
      <c r="BS3" s="3171"/>
      <c r="BT3" s="3171"/>
      <c r="BU3" s="3171"/>
      <c r="BV3" s="3171"/>
      <c r="BW3" s="3171"/>
      <c r="BX3" s="3171"/>
      <c r="BY3" s="3171"/>
      <c r="BZ3" s="3171"/>
      <c r="CA3" s="3171"/>
      <c r="CB3" s="3171"/>
      <c r="CC3" s="3171"/>
      <c r="CD3" s="3171"/>
      <c r="CE3" s="3171"/>
      <c r="CF3" s="3171"/>
      <c r="CG3" s="3171"/>
      <c r="CH3" s="3171"/>
      <c r="CI3" s="3171"/>
      <c r="CJ3" s="3171"/>
      <c r="CK3" s="3171"/>
      <c r="CL3" s="3171"/>
      <c r="CM3" s="3171"/>
      <c r="CN3" s="3171"/>
      <c r="CO3" s="3171"/>
      <c r="CP3" s="3171"/>
      <c r="CQ3" s="3171"/>
      <c r="CR3" s="3171"/>
      <c r="CS3" s="3171"/>
      <c r="CT3" s="3171"/>
      <c r="CU3" s="3171"/>
      <c r="CV3" s="3171"/>
      <c r="CW3" s="3171"/>
      <c r="CX3" s="3171"/>
      <c r="CY3" s="3171"/>
      <c r="CZ3" s="3171"/>
      <c r="DA3" s="3171"/>
      <c r="DB3" s="3171"/>
      <c r="DC3" s="3171"/>
      <c r="DD3" s="3171"/>
      <c r="DE3" s="3171"/>
      <c r="DF3" s="3171"/>
      <c r="DG3" s="3171"/>
      <c r="DH3" s="3171"/>
      <c r="DI3" s="3171"/>
      <c r="DJ3" s="3171"/>
      <c r="DK3" s="3171"/>
      <c r="DL3" s="3171"/>
      <c r="DM3" s="3171"/>
      <c r="DN3" s="3171"/>
      <c r="DO3" s="3171"/>
      <c r="DP3" s="3171"/>
      <c r="DQ3" s="3171"/>
      <c r="DR3" s="3171"/>
      <c r="DS3" s="3171"/>
      <c r="DT3" s="3171"/>
      <c r="DU3" s="3171"/>
      <c r="DV3" s="3171"/>
      <c r="DW3" s="3171"/>
      <c r="DX3" s="3171"/>
      <c r="DY3" s="3171"/>
      <c r="DZ3" s="3171"/>
      <c r="EA3" s="3171"/>
      <c r="EB3" s="3171"/>
      <c r="EC3" s="3171"/>
      <c r="ED3" s="3171"/>
      <c r="EE3" s="3171"/>
      <c r="EF3" s="3171"/>
      <c r="EG3" s="3171"/>
      <c r="EH3" s="3171"/>
      <c r="EX3" s="2516" t="s">
        <v>3155</v>
      </c>
      <c r="EY3" s="2516"/>
      <c r="EZ3" s="2516"/>
      <c r="FA3" s="2516"/>
      <c r="FB3" s="2516"/>
      <c r="FC3" s="2516"/>
      <c r="FD3" s="2516"/>
      <c r="FE3" s="2516"/>
      <c r="FF3" s="2516"/>
      <c r="FG3" s="2516"/>
      <c r="FH3" s="2516"/>
      <c r="FI3" s="2516"/>
      <c r="FJ3" s="2516"/>
      <c r="FK3" s="2516"/>
      <c r="FL3" s="2516"/>
      <c r="FM3" s="2516"/>
      <c r="FN3" s="2516"/>
      <c r="FO3" s="2516"/>
      <c r="FP3" s="2516"/>
      <c r="FQ3" s="2516"/>
      <c r="FR3" s="2516"/>
      <c r="FS3" s="2516"/>
      <c r="FT3" s="2516"/>
      <c r="FU3" s="2516"/>
      <c r="FV3" s="2516"/>
      <c r="FW3" s="2516"/>
      <c r="FX3" s="2516"/>
      <c r="FY3" s="2516"/>
      <c r="FZ3" s="2516"/>
      <c r="GA3" s="2516"/>
      <c r="GB3" s="2516"/>
      <c r="GC3" s="2516"/>
      <c r="GD3" s="2516"/>
      <c r="GE3" s="2516"/>
      <c r="GF3" s="2516"/>
      <c r="GG3" s="2516"/>
      <c r="GH3" s="2516"/>
      <c r="GI3" s="2516"/>
      <c r="GJ3" s="2516"/>
      <c r="GK3" s="2516"/>
      <c r="GL3" s="2516"/>
      <c r="GM3" s="2516"/>
      <c r="GN3" s="2516"/>
      <c r="GO3" s="2516"/>
      <c r="GP3" s="2516"/>
      <c r="GQ3" s="2516"/>
      <c r="GR3" s="2516"/>
      <c r="GS3" s="2516"/>
      <c r="GT3" s="2516"/>
      <c r="GU3" s="2516"/>
      <c r="GV3" s="2516"/>
      <c r="GW3" s="2516"/>
      <c r="GX3" s="2516"/>
    </row>
    <row r="4" spans="11:206" ht="3.75" customHeight="1">
      <c r="K4" s="3171"/>
      <c r="L4" s="3171"/>
      <c r="M4" s="3171"/>
      <c r="N4" s="3171"/>
      <c r="O4" s="3171"/>
      <c r="P4" s="3171"/>
      <c r="Q4" s="3171"/>
      <c r="R4" s="3171"/>
      <c r="S4" s="3171"/>
      <c r="T4" s="3171"/>
      <c r="U4" s="3171"/>
      <c r="V4" s="3171"/>
      <c r="W4" s="3171"/>
      <c r="X4" s="3171"/>
      <c r="Y4" s="3171"/>
      <c r="Z4" s="3171"/>
      <c r="AA4" s="3171"/>
      <c r="AB4" s="3171"/>
      <c r="AC4" s="3171"/>
      <c r="AD4" s="3171"/>
      <c r="AE4" s="3171"/>
      <c r="AF4" s="3171"/>
      <c r="AG4" s="3171"/>
      <c r="AH4" s="3171"/>
      <c r="AI4" s="3171"/>
      <c r="AJ4" s="3171"/>
      <c r="AK4" s="3171"/>
      <c r="AL4" s="3171"/>
      <c r="AM4" s="3171"/>
      <c r="AN4" s="3171"/>
      <c r="AO4" s="3171"/>
      <c r="AP4" s="3171"/>
      <c r="AQ4" s="3171"/>
      <c r="AR4" s="3171"/>
      <c r="AS4" s="3171"/>
      <c r="AT4" s="3171"/>
      <c r="AU4" s="3171"/>
      <c r="AV4" s="3171"/>
      <c r="AW4" s="3171"/>
      <c r="AX4" s="3171"/>
      <c r="AY4" s="3171"/>
      <c r="AZ4" s="3171"/>
      <c r="BA4" s="3171"/>
      <c r="BB4" s="3171"/>
      <c r="BC4" s="3171"/>
      <c r="BD4" s="3171"/>
      <c r="BE4" s="3171"/>
      <c r="BF4" s="3171"/>
      <c r="BG4" s="3171"/>
      <c r="BH4" s="3171"/>
      <c r="BI4" s="3171"/>
      <c r="BJ4" s="3171"/>
      <c r="BK4" s="3171"/>
      <c r="BL4" s="3171"/>
      <c r="BM4" s="3171"/>
      <c r="BN4" s="3171"/>
      <c r="BO4" s="3171"/>
      <c r="BP4" s="3171"/>
      <c r="BQ4" s="3171"/>
      <c r="BR4" s="3171"/>
      <c r="BS4" s="3171"/>
      <c r="BT4" s="3171"/>
      <c r="BU4" s="3171"/>
      <c r="BV4" s="3171"/>
      <c r="BW4" s="3171"/>
      <c r="BX4" s="3171"/>
      <c r="BY4" s="3171"/>
      <c r="BZ4" s="3171"/>
      <c r="CA4" s="3171"/>
      <c r="CB4" s="3171"/>
      <c r="CC4" s="3171"/>
      <c r="CD4" s="3171"/>
      <c r="CE4" s="3171"/>
      <c r="CF4" s="3171"/>
      <c r="CG4" s="3171"/>
      <c r="CH4" s="3171"/>
      <c r="CI4" s="3171"/>
      <c r="CJ4" s="3171"/>
      <c r="CK4" s="3171"/>
      <c r="CL4" s="3171"/>
      <c r="CM4" s="3171"/>
      <c r="CN4" s="3171"/>
      <c r="CO4" s="3171"/>
      <c r="CP4" s="3171"/>
      <c r="CQ4" s="3171"/>
      <c r="CR4" s="3171"/>
      <c r="CS4" s="3171"/>
      <c r="CT4" s="3171"/>
      <c r="CU4" s="3171"/>
      <c r="CV4" s="3171"/>
      <c r="CW4" s="3171"/>
      <c r="CX4" s="3171"/>
      <c r="CY4" s="3171"/>
      <c r="CZ4" s="3171"/>
      <c r="DA4" s="3171"/>
      <c r="DB4" s="3171"/>
      <c r="DC4" s="3171"/>
      <c r="DD4" s="3171"/>
      <c r="DE4" s="3171"/>
      <c r="DF4" s="3171"/>
      <c r="DG4" s="3171"/>
      <c r="DH4" s="3171"/>
      <c r="DI4" s="3171"/>
      <c r="DJ4" s="3171"/>
      <c r="DK4" s="3171"/>
      <c r="DL4" s="3171"/>
      <c r="DM4" s="3171"/>
      <c r="DN4" s="3171"/>
      <c r="DO4" s="3171"/>
      <c r="DP4" s="3171"/>
      <c r="DQ4" s="3171"/>
      <c r="DR4" s="3171"/>
      <c r="DS4" s="3171"/>
      <c r="DT4" s="3171"/>
      <c r="DU4" s="3171"/>
      <c r="DV4" s="3171"/>
      <c r="DW4" s="3171"/>
      <c r="DX4" s="3171"/>
      <c r="DY4" s="3171"/>
      <c r="DZ4" s="3171"/>
      <c r="EA4" s="3171"/>
      <c r="EB4" s="3171"/>
      <c r="EC4" s="3171"/>
      <c r="ED4" s="3171"/>
      <c r="EE4" s="3171"/>
      <c r="EF4" s="3171"/>
      <c r="EG4" s="3171"/>
      <c r="EH4" s="3171"/>
      <c r="EX4" s="2516"/>
      <c r="EY4" s="2516"/>
      <c r="EZ4" s="2516"/>
      <c r="FA4" s="2516"/>
      <c r="FB4" s="2516"/>
      <c r="FC4" s="2516"/>
      <c r="FD4" s="2516"/>
      <c r="FE4" s="2516"/>
      <c r="FF4" s="2516"/>
      <c r="FG4" s="2516"/>
      <c r="FH4" s="2516"/>
      <c r="FI4" s="2516"/>
      <c r="FJ4" s="2516"/>
      <c r="FK4" s="2516"/>
      <c r="FL4" s="2516"/>
      <c r="FM4" s="2516"/>
      <c r="FN4" s="2516"/>
      <c r="FO4" s="2516"/>
      <c r="FP4" s="2516"/>
      <c r="FQ4" s="2516"/>
      <c r="FR4" s="2516"/>
      <c r="FS4" s="2516"/>
      <c r="FT4" s="2516"/>
      <c r="FU4" s="2516"/>
      <c r="FV4" s="2516"/>
      <c r="FW4" s="2516"/>
      <c r="FX4" s="2516"/>
      <c r="FY4" s="2516"/>
      <c r="FZ4" s="2516"/>
      <c r="GA4" s="2516"/>
      <c r="GB4" s="2516"/>
      <c r="GC4" s="2516"/>
      <c r="GD4" s="2516"/>
      <c r="GE4" s="2516"/>
      <c r="GF4" s="2516"/>
      <c r="GG4" s="2516"/>
      <c r="GH4" s="2516"/>
      <c r="GI4" s="2516"/>
      <c r="GJ4" s="2516"/>
      <c r="GK4" s="2516"/>
      <c r="GL4" s="2516"/>
      <c r="GM4" s="2516"/>
      <c r="GN4" s="2516"/>
      <c r="GO4" s="2516"/>
      <c r="GP4" s="2516"/>
      <c r="GQ4" s="2516"/>
      <c r="GR4" s="2516"/>
      <c r="GS4" s="2516"/>
      <c r="GT4" s="2516"/>
      <c r="GU4" s="2516"/>
      <c r="GV4" s="2516"/>
      <c r="GW4" s="2516"/>
      <c r="GX4" s="2516"/>
    </row>
    <row r="5" spans="11:206" ht="3.6" customHeight="1">
      <c r="K5" s="3171"/>
      <c r="L5" s="3171"/>
      <c r="M5" s="3171"/>
      <c r="N5" s="3171"/>
      <c r="O5" s="3171"/>
      <c r="P5" s="3171"/>
      <c r="Q5" s="3171"/>
      <c r="R5" s="3171"/>
      <c r="S5" s="3171"/>
      <c r="T5" s="3171"/>
      <c r="U5" s="3171"/>
      <c r="V5" s="3171"/>
      <c r="W5" s="3171"/>
      <c r="X5" s="3171"/>
      <c r="Y5" s="3171"/>
      <c r="Z5" s="3171"/>
      <c r="AA5" s="3171"/>
      <c r="AB5" s="3171"/>
      <c r="AC5" s="3171"/>
      <c r="AD5" s="3171"/>
      <c r="AE5" s="3171"/>
      <c r="AF5" s="3171"/>
      <c r="AG5" s="3171"/>
      <c r="AH5" s="3171"/>
      <c r="AI5" s="3171"/>
      <c r="AJ5" s="3171"/>
      <c r="AK5" s="3171"/>
      <c r="AL5" s="3171"/>
      <c r="AM5" s="3171"/>
      <c r="AN5" s="3171"/>
      <c r="AO5" s="3171"/>
      <c r="AP5" s="3171"/>
      <c r="AQ5" s="3171"/>
      <c r="AR5" s="3171"/>
      <c r="AS5" s="3171"/>
      <c r="AT5" s="3171"/>
      <c r="AU5" s="3171"/>
      <c r="AV5" s="3171"/>
      <c r="AW5" s="3171"/>
      <c r="AX5" s="3171"/>
      <c r="AY5" s="3171"/>
      <c r="AZ5" s="3171"/>
      <c r="BA5" s="3171"/>
      <c r="BB5" s="3171"/>
      <c r="BC5" s="3171"/>
      <c r="BD5" s="3171"/>
      <c r="BE5" s="3171"/>
      <c r="BF5" s="3171"/>
      <c r="BG5" s="3171"/>
      <c r="BH5" s="3171"/>
      <c r="BI5" s="3171"/>
      <c r="BJ5" s="3171"/>
      <c r="BK5" s="3171"/>
      <c r="BL5" s="3171"/>
      <c r="BM5" s="3171"/>
      <c r="BN5" s="3171"/>
      <c r="BO5" s="3171"/>
      <c r="BP5" s="3171"/>
      <c r="BQ5" s="3171"/>
      <c r="BR5" s="3171"/>
      <c r="BS5" s="3171"/>
      <c r="BT5" s="3171"/>
      <c r="BU5" s="3171"/>
      <c r="BV5" s="3171"/>
      <c r="BW5" s="3171"/>
      <c r="BX5" s="3171"/>
      <c r="BY5" s="3171"/>
      <c r="BZ5" s="3171"/>
      <c r="CA5" s="3171"/>
      <c r="CB5" s="3171"/>
      <c r="CC5" s="3171"/>
      <c r="CD5" s="3171"/>
      <c r="CE5" s="3171"/>
      <c r="CF5" s="3171"/>
      <c r="CG5" s="3171"/>
      <c r="CH5" s="3171"/>
      <c r="CI5" s="3171"/>
      <c r="CJ5" s="3171"/>
      <c r="CK5" s="3171"/>
      <c r="CL5" s="3171"/>
      <c r="CM5" s="3171"/>
      <c r="CN5" s="3171"/>
      <c r="CO5" s="3171"/>
      <c r="CP5" s="3171"/>
      <c r="CQ5" s="3171"/>
      <c r="CR5" s="3171"/>
      <c r="CS5" s="3171"/>
      <c r="CT5" s="3171"/>
      <c r="CU5" s="3171"/>
      <c r="CV5" s="3171"/>
      <c r="CW5" s="3171"/>
      <c r="CX5" s="3171"/>
      <c r="CY5" s="3171"/>
      <c r="CZ5" s="3171"/>
      <c r="DA5" s="3171"/>
      <c r="DB5" s="3171"/>
      <c r="DC5" s="3171"/>
      <c r="DD5" s="3171"/>
      <c r="DE5" s="3171"/>
      <c r="DF5" s="3171"/>
      <c r="DG5" s="3171"/>
      <c r="DH5" s="3171"/>
      <c r="DI5" s="3171"/>
      <c r="DJ5" s="3171"/>
      <c r="DK5" s="3171"/>
      <c r="DL5" s="3171"/>
      <c r="DM5" s="3171"/>
      <c r="DN5" s="3171"/>
      <c r="DO5" s="3171"/>
      <c r="DP5" s="3171"/>
      <c r="DQ5" s="3171"/>
      <c r="DR5" s="3171"/>
      <c r="DS5" s="3171"/>
      <c r="DT5" s="3171"/>
      <c r="DU5" s="3171"/>
      <c r="DV5" s="3171"/>
      <c r="DW5" s="3171"/>
      <c r="DX5" s="3171"/>
      <c r="DY5" s="3171"/>
      <c r="DZ5" s="3171"/>
      <c r="EA5" s="3171"/>
      <c r="EB5" s="3171"/>
      <c r="EC5" s="3171"/>
      <c r="ED5" s="3171"/>
      <c r="EE5" s="3171"/>
      <c r="EF5" s="3171"/>
      <c r="EG5" s="3171"/>
      <c r="EH5" s="3171"/>
      <c r="EX5" s="2516"/>
      <c r="EY5" s="2516"/>
      <c r="EZ5" s="2516"/>
      <c r="FA5" s="2516"/>
      <c r="FB5" s="2516"/>
      <c r="FC5" s="2516"/>
      <c r="FD5" s="2516"/>
      <c r="FE5" s="2516"/>
      <c r="FF5" s="2516"/>
      <c r="FG5" s="2516"/>
      <c r="FH5" s="2516"/>
      <c r="FI5" s="2516"/>
      <c r="FJ5" s="2516"/>
      <c r="FK5" s="2516"/>
      <c r="FL5" s="2516"/>
      <c r="FM5" s="2516"/>
      <c r="FN5" s="2516"/>
      <c r="FO5" s="2516"/>
      <c r="FP5" s="2516"/>
      <c r="FQ5" s="2516"/>
      <c r="FR5" s="2516"/>
      <c r="FS5" s="2516"/>
      <c r="FT5" s="2516"/>
      <c r="FU5" s="2516"/>
      <c r="FV5" s="2516"/>
      <c r="FW5" s="2516"/>
      <c r="FX5" s="2516"/>
      <c r="FY5" s="2516"/>
      <c r="FZ5" s="2516"/>
      <c r="GA5" s="2516"/>
      <c r="GB5" s="2516"/>
      <c r="GC5" s="2516"/>
      <c r="GD5" s="2516"/>
      <c r="GE5" s="2516"/>
      <c r="GF5" s="2516"/>
      <c r="GG5" s="2516"/>
      <c r="GH5" s="2516"/>
      <c r="GI5" s="2516"/>
      <c r="GJ5" s="2516"/>
      <c r="GK5" s="2516"/>
      <c r="GL5" s="2516"/>
      <c r="GM5" s="2516"/>
      <c r="GN5" s="2516"/>
      <c r="GO5" s="2516"/>
      <c r="GP5" s="2516"/>
      <c r="GQ5" s="2516"/>
      <c r="GR5" s="2516"/>
      <c r="GS5" s="2516"/>
      <c r="GT5" s="2516"/>
      <c r="GU5" s="2516"/>
      <c r="GV5" s="2516"/>
      <c r="GW5" s="2516"/>
      <c r="GX5" s="2516"/>
    </row>
    <row r="6" spans="11:206" ht="3.6" customHeight="1">
      <c r="K6" s="3171"/>
      <c r="L6" s="3171"/>
      <c r="M6" s="3171"/>
      <c r="N6" s="3171"/>
      <c r="O6" s="3171"/>
      <c r="P6" s="3171"/>
      <c r="Q6" s="3171"/>
      <c r="R6" s="3171"/>
      <c r="S6" s="3171"/>
      <c r="T6" s="3171"/>
      <c r="U6" s="3171"/>
      <c r="V6" s="3171"/>
      <c r="W6" s="3171"/>
      <c r="X6" s="3171"/>
      <c r="Y6" s="3171"/>
      <c r="Z6" s="3171"/>
      <c r="AA6" s="3171"/>
      <c r="AB6" s="3171"/>
      <c r="AC6" s="3171"/>
      <c r="AD6" s="3171"/>
      <c r="AE6" s="3171"/>
      <c r="AF6" s="3171"/>
      <c r="AG6" s="3171"/>
      <c r="AH6" s="3171"/>
      <c r="AI6" s="3171"/>
      <c r="AJ6" s="3171"/>
      <c r="AK6" s="3171"/>
      <c r="AL6" s="3171"/>
      <c r="AM6" s="3171"/>
      <c r="AN6" s="3171"/>
      <c r="AO6" s="3171"/>
      <c r="AP6" s="3171"/>
      <c r="AQ6" s="3171"/>
      <c r="AR6" s="3171"/>
      <c r="AS6" s="3171"/>
      <c r="AT6" s="3171"/>
      <c r="AU6" s="3171"/>
      <c r="AV6" s="3171"/>
      <c r="AW6" s="3171"/>
      <c r="AX6" s="3171"/>
      <c r="AY6" s="3171"/>
      <c r="AZ6" s="3171"/>
      <c r="BA6" s="3171"/>
      <c r="BB6" s="3171"/>
      <c r="BC6" s="3171"/>
      <c r="BD6" s="3171"/>
      <c r="BE6" s="3171"/>
      <c r="BF6" s="3171"/>
      <c r="BG6" s="3171"/>
      <c r="BH6" s="3171"/>
      <c r="BI6" s="3171"/>
      <c r="BJ6" s="3171"/>
      <c r="BK6" s="3171"/>
      <c r="BL6" s="3171"/>
      <c r="BM6" s="3171"/>
      <c r="BN6" s="3171"/>
      <c r="BO6" s="3171"/>
      <c r="BP6" s="3171"/>
      <c r="BQ6" s="3171"/>
      <c r="BR6" s="3171"/>
      <c r="BS6" s="3171"/>
      <c r="BT6" s="3171"/>
      <c r="BU6" s="3171"/>
      <c r="BV6" s="3171"/>
      <c r="BW6" s="3171"/>
      <c r="BX6" s="3171"/>
      <c r="BY6" s="3171"/>
      <c r="BZ6" s="3171"/>
      <c r="CA6" s="3171"/>
      <c r="CB6" s="3171"/>
      <c r="CC6" s="3171"/>
      <c r="CD6" s="3171"/>
      <c r="CE6" s="3171"/>
      <c r="CF6" s="3171"/>
      <c r="CG6" s="3171"/>
      <c r="CH6" s="3171"/>
      <c r="CI6" s="3171"/>
      <c r="CJ6" s="3171"/>
      <c r="CK6" s="3171"/>
      <c r="CL6" s="3171"/>
      <c r="CM6" s="3171"/>
      <c r="CN6" s="3171"/>
      <c r="CO6" s="3171"/>
      <c r="CP6" s="3171"/>
      <c r="CQ6" s="3171"/>
      <c r="CR6" s="3171"/>
      <c r="CS6" s="3171"/>
      <c r="CT6" s="3171"/>
      <c r="CU6" s="3171"/>
      <c r="CV6" s="3171"/>
      <c r="CW6" s="3171"/>
      <c r="CX6" s="3171"/>
      <c r="CY6" s="3171"/>
      <c r="CZ6" s="3171"/>
      <c r="DA6" s="3171"/>
      <c r="DB6" s="3171"/>
      <c r="DC6" s="3171"/>
      <c r="DD6" s="3171"/>
      <c r="DE6" s="3171"/>
      <c r="DF6" s="3171"/>
      <c r="DG6" s="3171"/>
      <c r="DH6" s="3171"/>
      <c r="DI6" s="3171"/>
      <c r="DJ6" s="3171"/>
      <c r="DK6" s="3171"/>
      <c r="DL6" s="3171"/>
      <c r="DM6" s="3171"/>
      <c r="DN6" s="3171"/>
      <c r="DO6" s="3171"/>
      <c r="DP6" s="3171"/>
      <c r="DQ6" s="3171"/>
      <c r="DR6" s="3171"/>
      <c r="DS6" s="3171"/>
      <c r="DT6" s="3171"/>
      <c r="DU6" s="3171"/>
      <c r="DV6" s="3171"/>
      <c r="DW6" s="3171"/>
      <c r="DX6" s="3171"/>
      <c r="DY6" s="3171"/>
      <c r="DZ6" s="3171"/>
      <c r="EA6" s="3171"/>
      <c r="EB6" s="3171"/>
      <c r="EC6" s="3171"/>
      <c r="ED6" s="3171"/>
      <c r="EE6" s="3171"/>
      <c r="EF6" s="3171"/>
      <c r="EG6" s="3171"/>
      <c r="EH6" s="3171"/>
      <c r="EX6" s="2516"/>
      <c r="EY6" s="2516"/>
      <c r="EZ6" s="2516"/>
      <c r="FA6" s="2516"/>
      <c r="FB6" s="2516"/>
      <c r="FC6" s="2516"/>
      <c r="FD6" s="2516"/>
      <c r="FE6" s="2516"/>
      <c r="FF6" s="2516"/>
      <c r="FG6" s="2516"/>
      <c r="FH6" s="2516"/>
      <c r="FI6" s="2516"/>
      <c r="FJ6" s="2516"/>
      <c r="FK6" s="2516"/>
      <c r="FL6" s="2516"/>
      <c r="FM6" s="2516"/>
      <c r="FN6" s="2516"/>
      <c r="FO6" s="2516"/>
      <c r="FP6" s="2516"/>
      <c r="FQ6" s="2516"/>
      <c r="FR6" s="2516"/>
      <c r="FS6" s="2516"/>
      <c r="FT6" s="2516"/>
      <c r="FU6" s="2516"/>
      <c r="FV6" s="2516"/>
      <c r="FW6" s="2516"/>
      <c r="FX6" s="2516"/>
      <c r="FY6" s="2516"/>
      <c r="FZ6" s="2516"/>
      <c r="GA6" s="2516"/>
      <c r="GB6" s="2516"/>
      <c r="GC6" s="2516"/>
      <c r="GD6" s="2516"/>
      <c r="GE6" s="2516"/>
      <c r="GF6" s="2516"/>
      <c r="GG6" s="2516"/>
      <c r="GH6" s="2516"/>
      <c r="GI6" s="2516"/>
      <c r="GJ6" s="2516"/>
      <c r="GK6" s="2516"/>
      <c r="GL6" s="2516"/>
      <c r="GM6" s="2516"/>
      <c r="GN6" s="2516"/>
      <c r="GO6" s="2516"/>
      <c r="GP6" s="2516"/>
      <c r="GQ6" s="2516"/>
      <c r="GR6" s="2516"/>
      <c r="GS6" s="2516"/>
      <c r="GT6" s="2516"/>
      <c r="GU6" s="2516"/>
      <c r="GV6" s="2516"/>
      <c r="GW6" s="2516"/>
      <c r="GX6" s="2516"/>
    </row>
    <row r="7" spans="11:206" ht="3.6" customHeight="1">
      <c r="K7" s="3171"/>
      <c r="L7" s="3171"/>
      <c r="M7" s="3171"/>
      <c r="N7" s="3171"/>
      <c r="O7" s="3171"/>
      <c r="P7" s="3171"/>
      <c r="Q7" s="3171"/>
      <c r="R7" s="3171"/>
      <c r="S7" s="3171"/>
      <c r="T7" s="3171"/>
      <c r="U7" s="3171"/>
      <c r="V7" s="3171"/>
      <c r="W7" s="3171"/>
      <c r="X7" s="3171"/>
      <c r="Y7" s="3171"/>
      <c r="Z7" s="3171"/>
      <c r="AA7" s="3171"/>
      <c r="AB7" s="3171"/>
      <c r="AC7" s="3171"/>
      <c r="AD7" s="3171"/>
      <c r="AE7" s="3171"/>
      <c r="AF7" s="3171"/>
      <c r="AG7" s="3171"/>
      <c r="AH7" s="3171"/>
      <c r="AI7" s="3171"/>
      <c r="AJ7" s="3171"/>
      <c r="AK7" s="3171"/>
      <c r="AL7" s="3171"/>
      <c r="AM7" s="3171"/>
      <c r="AN7" s="3171"/>
      <c r="AO7" s="3171"/>
      <c r="AP7" s="3171"/>
      <c r="AQ7" s="3171"/>
      <c r="AR7" s="3171"/>
      <c r="AS7" s="3171"/>
      <c r="AT7" s="3171"/>
      <c r="AU7" s="3171"/>
      <c r="AV7" s="3171"/>
      <c r="AW7" s="3171"/>
      <c r="AX7" s="3171"/>
      <c r="AY7" s="3171"/>
      <c r="AZ7" s="3171"/>
      <c r="BA7" s="3171"/>
      <c r="BB7" s="3171"/>
      <c r="BC7" s="3171"/>
      <c r="BD7" s="3171"/>
      <c r="BE7" s="3171"/>
      <c r="BF7" s="3171"/>
      <c r="BG7" s="3171"/>
      <c r="BH7" s="3171"/>
      <c r="BI7" s="3171"/>
      <c r="BJ7" s="3171"/>
      <c r="BK7" s="3171"/>
      <c r="BL7" s="3171"/>
      <c r="BM7" s="3171"/>
      <c r="BN7" s="3171"/>
      <c r="BO7" s="3171"/>
      <c r="BP7" s="3171"/>
      <c r="BQ7" s="3171"/>
      <c r="BR7" s="3171"/>
      <c r="BS7" s="3171"/>
      <c r="BT7" s="3171"/>
      <c r="BU7" s="3171"/>
      <c r="BV7" s="3171"/>
      <c r="BW7" s="3171"/>
      <c r="BX7" s="3171"/>
      <c r="BY7" s="3171"/>
      <c r="BZ7" s="3171"/>
      <c r="CA7" s="3171"/>
      <c r="CB7" s="3171"/>
      <c r="CC7" s="3171"/>
      <c r="CD7" s="3171"/>
      <c r="CE7" s="3171"/>
      <c r="CF7" s="3171"/>
      <c r="CG7" s="3171"/>
      <c r="CH7" s="3171"/>
      <c r="CI7" s="3171"/>
      <c r="CJ7" s="3171"/>
      <c r="CK7" s="3171"/>
      <c r="CL7" s="3171"/>
      <c r="CM7" s="3171"/>
      <c r="CN7" s="3171"/>
      <c r="CO7" s="3171"/>
      <c r="CP7" s="3171"/>
      <c r="CQ7" s="3171"/>
      <c r="CR7" s="3171"/>
      <c r="CS7" s="3171"/>
      <c r="CT7" s="3171"/>
      <c r="CU7" s="3171"/>
      <c r="CV7" s="3171"/>
      <c r="CW7" s="3171"/>
      <c r="CX7" s="3171"/>
      <c r="CY7" s="3171"/>
      <c r="CZ7" s="3171"/>
      <c r="DA7" s="3171"/>
      <c r="DB7" s="3171"/>
      <c r="DC7" s="3171"/>
      <c r="DD7" s="3171"/>
      <c r="DE7" s="3171"/>
      <c r="DF7" s="3171"/>
      <c r="DG7" s="3171"/>
      <c r="DH7" s="3171"/>
      <c r="DI7" s="3171"/>
      <c r="DJ7" s="3171"/>
      <c r="DK7" s="3171"/>
      <c r="DL7" s="3171"/>
      <c r="DM7" s="3171"/>
      <c r="DN7" s="3171"/>
      <c r="DO7" s="3171"/>
      <c r="DP7" s="3171"/>
      <c r="DQ7" s="3171"/>
      <c r="DR7" s="3171"/>
      <c r="DS7" s="3171"/>
      <c r="DT7" s="3171"/>
      <c r="DU7" s="3171"/>
      <c r="DV7" s="3171"/>
      <c r="DW7" s="3171"/>
      <c r="DX7" s="3171"/>
      <c r="DY7" s="3171"/>
      <c r="DZ7" s="3171"/>
      <c r="EA7" s="3171"/>
      <c r="EB7" s="3171"/>
      <c r="EC7" s="3171"/>
      <c r="ED7" s="3171"/>
      <c r="EE7" s="3171"/>
      <c r="EF7" s="3171"/>
      <c r="EG7" s="3171"/>
      <c r="EH7" s="3171"/>
      <c r="EX7" s="2516"/>
      <c r="EY7" s="2516"/>
      <c r="EZ7" s="2516"/>
      <c r="FA7" s="2516"/>
      <c r="FB7" s="2516"/>
      <c r="FC7" s="2516"/>
      <c r="FD7" s="2516"/>
      <c r="FE7" s="2516"/>
      <c r="FF7" s="2516"/>
      <c r="FG7" s="2516"/>
      <c r="FH7" s="2516"/>
      <c r="FI7" s="2516"/>
      <c r="FJ7" s="2516"/>
      <c r="FK7" s="2516"/>
      <c r="FL7" s="2516"/>
      <c r="FM7" s="2516"/>
      <c r="FN7" s="2516"/>
      <c r="FO7" s="2516"/>
      <c r="FP7" s="2516"/>
      <c r="FQ7" s="2516"/>
      <c r="FR7" s="2516"/>
      <c r="FS7" s="2516"/>
      <c r="FT7" s="2516"/>
      <c r="FU7" s="2516"/>
      <c r="FV7" s="2516"/>
      <c r="FW7" s="2516"/>
      <c r="FX7" s="2516"/>
      <c r="FY7" s="2516"/>
      <c r="FZ7" s="2516"/>
      <c r="GA7" s="2516"/>
      <c r="GB7" s="2516"/>
      <c r="GC7" s="2516"/>
      <c r="GD7" s="2516"/>
      <c r="GE7" s="2516"/>
      <c r="GF7" s="2516"/>
      <c r="GG7" s="2516"/>
      <c r="GH7" s="2516"/>
      <c r="GI7" s="2516"/>
      <c r="GJ7" s="2516"/>
      <c r="GK7" s="2516"/>
      <c r="GL7" s="2516"/>
      <c r="GM7" s="2516"/>
      <c r="GN7" s="2516"/>
      <c r="GO7" s="2516"/>
      <c r="GP7" s="2516"/>
      <c r="GQ7" s="2516"/>
      <c r="GR7" s="2516"/>
      <c r="GS7" s="2516"/>
      <c r="GT7" s="2516"/>
      <c r="GU7" s="2516"/>
      <c r="GV7" s="2516"/>
      <c r="GW7" s="2516"/>
      <c r="GX7" s="2516"/>
    </row>
    <row r="8" spans="11:206" ht="3.6" customHeight="1">
      <c r="K8" s="3171"/>
      <c r="L8" s="3171"/>
      <c r="M8" s="3171"/>
      <c r="N8" s="3171"/>
      <c r="O8" s="3171"/>
      <c r="P8" s="3171"/>
      <c r="Q8" s="3171"/>
      <c r="R8" s="3171"/>
      <c r="S8" s="3171"/>
      <c r="T8" s="3171"/>
      <c r="U8" s="3171"/>
      <c r="V8" s="3171"/>
      <c r="W8" s="3171"/>
      <c r="X8" s="3171"/>
      <c r="Y8" s="3171"/>
      <c r="Z8" s="3171"/>
      <c r="AA8" s="3171"/>
      <c r="AB8" s="3171"/>
      <c r="AC8" s="3171"/>
      <c r="AD8" s="3171"/>
      <c r="AE8" s="3171"/>
      <c r="AF8" s="3171"/>
      <c r="AG8" s="3171"/>
      <c r="AH8" s="3171"/>
      <c r="AI8" s="3171"/>
      <c r="AJ8" s="3171"/>
      <c r="AK8" s="3171"/>
      <c r="AL8" s="3171"/>
      <c r="AM8" s="3171"/>
      <c r="AN8" s="3171"/>
      <c r="AO8" s="3171"/>
      <c r="AP8" s="3171"/>
      <c r="AQ8" s="3171"/>
      <c r="AR8" s="3171"/>
      <c r="AS8" s="3171"/>
      <c r="AT8" s="3171"/>
      <c r="AU8" s="3171"/>
      <c r="AV8" s="3171"/>
      <c r="AW8" s="3171"/>
      <c r="AX8" s="3171"/>
      <c r="AY8" s="3171"/>
      <c r="AZ8" s="3171"/>
      <c r="BA8" s="3171"/>
      <c r="BB8" s="3171"/>
      <c r="BC8" s="3171"/>
      <c r="BD8" s="3171"/>
      <c r="BE8" s="3171"/>
      <c r="BF8" s="3171"/>
      <c r="BG8" s="3171"/>
      <c r="BH8" s="3171"/>
      <c r="BI8" s="3171"/>
      <c r="BJ8" s="3171"/>
      <c r="BK8" s="3171"/>
      <c r="BL8" s="3171"/>
      <c r="BM8" s="3171"/>
      <c r="BN8" s="3171"/>
      <c r="BO8" s="3171"/>
      <c r="BP8" s="3171"/>
      <c r="BQ8" s="3171"/>
      <c r="BR8" s="3171"/>
      <c r="BS8" s="3171"/>
      <c r="BT8" s="3171"/>
      <c r="BU8" s="3171"/>
      <c r="BV8" s="3171"/>
      <c r="BW8" s="3171"/>
      <c r="BX8" s="3171"/>
      <c r="BY8" s="3171"/>
      <c r="BZ8" s="3171"/>
      <c r="CA8" s="3171"/>
      <c r="CB8" s="3171"/>
      <c r="CC8" s="3171"/>
      <c r="CD8" s="3171"/>
      <c r="CE8" s="3171"/>
      <c r="CF8" s="3171"/>
      <c r="CG8" s="3171"/>
      <c r="CH8" s="3171"/>
      <c r="CI8" s="3171"/>
      <c r="CJ8" s="3171"/>
      <c r="CK8" s="3171"/>
      <c r="CL8" s="3171"/>
      <c r="CM8" s="3171"/>
      <c r="CN8" s="3171"/>
      <c r="CO8" s="3171"/>
      <c r="CP8" s="3171"/>
      <c r="CQ8" s="3171"/>
      <c r="CR8" s="3171"/>
      <c r="CS8" s="3171"/>
      <c r="CT8" s="3171"/>
      <c r="CU8" s="3171"/>
      <c r="CV8" s="3171"/>
      <c r="CW8" s="3171"/>
      <c r="CX8" s="3171"/>
      <c r="CY8" s="3171"/>
      <c r="CZ8" s="3171"/>
      <c r="DA8" s="3171"/>
      <c r="DB8" s="3171"/>
      <c r="DC8" s="3171"/>
      <c r="DD8" s="3171"/>
      <c r="DE8" s="3171"/>
      <c r="DF8" s="3171"/>
      <c r="DG8" s="3171"/>
      <c r="DH8" s="3171"/>
      <c r="DI8" s="3171"/>
      <c r="DJ8" s="3171"/>
      <c r="DK8" s="3171"/>
      <c r="DL8" s="3171"/>
      <c r="DM8" s="3171"/>
      <c r="DN8" s="3171"/>
      <c r="DO8" s="3171"/>
      <c r="DP8" s="3171"/>
      <c r="DQ8" s="3171"/>
      <c r="DR8" s="3171"/>
      <c r="DS8" s="3171"/>
      <c r="DT8" s="3171"/>
      <c r="DU8" s="3171"/>
      <c r="DV8" s="3171"/>
      <c r="DW8" s="3171"/>
      <c r="DX8" s="3171"/>
      <c r="DY8" s="3171"/>
      <c r="DZ8" s="3171"/>
      <c r="EA8" s="3171"/>
      <c r="EB8" s="3171"/>
      <c r="EC8" s="3171"/>
      <c r="ED8" s="3171"/>
      <c r="EE8" s="3171"/>
      <c r="EF8" s="3171"/>
      <c r="EG8" s="3171"/>
      <c r="EH8" s="3171"/>
      <c r="EX8" s="2517" t="s">
        <v>3156</v>
      </c>
      <c r="EY8" s="2517"/>
      <c r="EZ8" s="2517"/>
      <c r="FA8" s="2517"/>
      <c r="FB8" s="2517"/>
      <c r="FC8" s="2517"/>
      <c r="FD8" s="2517"/>
      <c r="FE8" s="2517"/>
      <c r="FF8" s="2517"/>
      <c r="FG8" s="2517"/>
      <c r="FH8" s="2517"/>
      <c r="FI8" s="2517"/>
      <c r="FJ8" s="2517"/>
      <c r="FK8" s="2517"/>
      <c r="FL8" s="2517"/>
      <c r="FM8" s="2517"/>
      <c r="FN8" s="2517"/>
      <c r="FO8" s="2517"/>
      <c r="FP8" s="2517"/>
      <c r="FQ8" s="2517"/>
      <c r="FR8" s="2517"/>
      <c r="FS8" s="2517"/>
      <c r="FT8" s="2517"/>
      <c r="FU8" s="2517"/>
      <c r="FV8" s="2517"/>
      <c r="FW8" s="2517"/>
      <c r="FX8" s="2517"/>
      <c r="FY8" s="2517"/>
      <c r="FZ8" s="2517"/>
      <c r="GA8" s="2517"/>
      <c r="GB8" s="2517"/>
      <c r="GC8" s="2517"/>
      <c r="GD8" s="2517"/>
      <c r="GE8" s="2517"/>
      <c r="GF8" s="2517"/>
      <c r="GG8" s="2517"/>
      <c r="GH8" s="2517"/>
      <c r="GI8" s="2517"/>
      <c r="GJ8" s="2517"/>
      <c r="GK8" s="2517"/>
      <c r="GL8" s="2517"/>
      <c r="GM8" s="2517"/>
      <c r="GN8" s="2517"/>
      <c r="GO8" s="2517"/>
      <c r="GP8" s="2517"/>
      <c r="GQ8" s="2517"/>
      <c r="GR8" s="2517"/>
      <c r="GS8" s="2517"/>
      <c r="GT8" s="2517"/>
      <c r="GU8" s="2517"/>
      <c r="GV8" s="2517"/>
      <c r="GW8" s="2517"/>
      <c r="GX8" s="2517"/>
    </row>
    <row r="9" spans="11:206" ht="3.6" customHeight="1">
      <c r="K9" s="3171"/>
      <c r="L9" s="3171"/>
      <c r="M9" s="3171"/>
      <c r="N9" s="3171"/>
      <c r="O9" s="3171"/>
      <c r="P9" s="3171"/>
      <c r="Q9" s="3171"/>
      <c r="R9" s="3171"/>
      <c r="S9" s="3171"/>
      <c r="T9" s="3171"/>
      <c r="U9" s="3171"/>
      <c r="V9" s="3171"/>
      <c r="W9" s="3171"/>
      <c r="X9" s="3171"/>
      <c r="Y9" s="3171"/>
      <c r="Z9" s="3171"/>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X9" s="2517"/>
      <c r="EY9" s="2517"/>
      <c r="EZ9" s="2517"/>
      <c r="FA9" s="2517"/>
      <c r="FB9" s="2517"/>
      <c r="FC9" s="2517"/>
      <c r="FD9" s="2517"/>
      <c r="FE9" s="2517"/>
      <c r="FF9" s="2517"/>
      <c r="FG9" s="2517"/>
      <c r="FH9" s="2517"/>
      <c r="FI9" s="2517"/>
      <c r="FJ9" s="2517"/>
      <c r="FK9" s="2517"/>
      <c r="FL9" s="2517"/>
      <c r="FM9" s="2517"/>
      <c r="FN9" s="2517"/>
      <c r="FO9" s="2517"/>
      <c r="FP9" s="2517"/>
      <c r="FQ9" s="2517"/>
      <c r="FR9" s="2517"/>
      <c r="FS9" s="2517"/>
      <c r="FT9" s="2517"/>
      <c r="FU9" s="2517"/>
      <c r="FV9" s="2517"/>
      <c r="FW9" s="2517"/>
      <c r="FX9" s="2517"/>
      <c r="FY9" s="2517"/>
      <c r="FZ9" s="2517"/>
      <c r="GA9" s="2517"/>
      <c r="GB9" s="2517"/>
      <c r="GC9" s="2517"/>
      <c r="GD9" s="2517"/>
      <c r="GE9" s="2517"/>
      <c r="GF9" s="2517"/>
      <c r="GG9" s="2517"/>
      <c r="GH9" s="2517"/>
      <c r="GI9" s="2517"/>
      <c r="GJ9" s="2517"/>
      <c r="GK9" s="2517"/>
      <c r="GL9" s="2517"/>
      <c r="GM9" s="2517"/>
      <c r="GN9" s="2517"/>
      <c r="GO9" s="2517"/>
      <c r="GP9" s="2517"/>
      <c r="GQ9" s="2517"/>
      <c r="GR9" s="2517"/>
      <c r="GS9" s="2517"/>
      <c r="GT9" s="2517"/>
      <c r="GU9" s="2517"/>
      <c r="GV9" s="2517"/>
      <c r="GW9" s="2517"/>
      <c r="GX9" s="2517"/>
    </row>
    <row r="10" spans="11:206" ht="3.6" customHeight="1">
      <c r="K10" s="3171"/>
      <c r="L10" s="3171"/>
      <c r="M10" s="3171"/>
      <c r="N10" s="3171"/>
      <c r="O10" s="3171"/>
      <c r="P10" s="3171"/>
      <c r="Q10" s="3171"/>
      <c r="R10" s="3171"/>
      <c r="S10" s="3171"/>
      <c r="T10" s="3171"/>
      <c r="U10" s="3171"/>
      <c r="V10" s="3171"/>
      <c r="W10" s="3171"/>
      <c r="X10" s="3171"/>
      <c r="Y10" s="3171"/>
      <c r="Z10" s="3171"/>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71"/>
      <c r="BW10" s="3171"/>
      <c r="BX10" s="3171"/>
      <c r="BY10" s="3171"/>
      <c r="BZ10" s="3171"/>
      <c r="CA10" s="3171"/>
      <c r="CB10" s="3171"/>
      <c r="CC10" s="3171"/>
      <c r="CD10" s="3171"/>
      <c r="CE10" s="3171"/>
      <c r="CF10" s="3171"/>
      <c r="CG10" s="3171"/>
      <c r="CH10" s="3171"/>
      <c r="CI10" s="3171"/>
      <c r="CJ10" s="3171"/>
      <c r="CK10" s="3171"/>
      <c r="CL10" s="3171"/>
      <c r="CM10" s="3171"/>
      <c r="CN10" s="3171"/>
      <c r="CO10" s="3171"/>
      <c r="CP10" s="3171"/>
      <c r="CQ10" s="3171"/>
      <c r="CR10" s="3171"/>
      <c r="CS10" s="3171"/>
      <c r="CT10" s="3171"/>
      <c r="CU10" s="3171"/>
      <c r="CV10" s="3171"/>
      <c r="CW10" s="3171"/>
      <c r="CX10" s="3171"/>
      <c r="CY10" s="3171"/>
      <c r="CZ10" s="3171"/>
      <c r="DA10" s="3171"/>
      <c r="DB10" s="3171"/>
      <c r="DC10" s="3171"/>
      <c r="DD10" s="3171"/>
      <c r="DE10" s="3171"/>
      <c r="DF10" s="3171"/>
      <c r="DG10" s="3171"/>
      <c r="DH10" s="3171"/>
      <c r="DI10" s="3171"/>
      <c r="DJ10" s="3171"/>
      <c r="DK10" s="3171"/>
      <c r="DL10" s="3171"/>
      <c r="DM10" s="3171"/>
      <c r="DN10" s="3171"/>
      <c r="DO10" s="3171"/>
      <c r="DP10" s="3171"/>
      <c r="DQ10" s="3171"/>
      <c r="DR10" s="3171"/>
      <c r="DS10" s="3171"/>
      <c r="DT10" s="3171"/>
      <c r="DU10" s="3171"/>
      <c r="DV10" s="3171"/>
      <c r="DW10" s="3171"/>
      <c r="DX10" s="3171"/>
      <c r="DY10" s="3171"/>
      <c r="DZ10" s="3171"/>
      <c r="EA10" s="3171"/>
      <c r="EB10" s="3171"/>
      <c r="EC10" s="3171"/>
      <c r="ED10" s="3171"/>
      <c r="EE10" s="3171"/>
      <c r="EF10" s="3171"/>
      <c r="EG10" s="3171"/>
      <c r="EH10" s="3171"/>
      <c r="EX10" s="2517"/>
      <c r="EY10" s="2517"/>
      <c r="EZ10" s="2517"/>
      <c r="FA10" s="2517"/>
      <c r="FB10" s="2517"/>
      <c r="FC10" s="2517"/>
      <c r="FD10" s="2517"/>
      <c r="FE10" s="2517"/>
      <c r="FF10" s="2517"/>
      <c r="FG10" s="2517"/>
      <c r="FH10" s="2517"/>
      <c r="FI10" s="2517"/>
      <c r="FJ10" s="2517"/>
      <c r="FK10" s="2517"/>
      <c r="FL10" s="2517"/>
      <c r="FM10" s="2517"/>
      <c r="FN10" s="2517"/>
      <c r="FO10" s="2517"/>
      <c r="FP10" s="2517"/>
      <c r="FQ10" s="2517"/>
      <c r="FR10" s="2517"/>
      <c r="FS10" s="2517"/>
      <c r="FT10" s="2517"/>
      <c r="FU10" s="2517"/>
      <c r="FV10" s="2517"/>
      <c r="FW10" s="2517"/>
      <c r="FX10" s="2517"/>
      <c r="FY10" s="2517"/>
      <c r="FZ10" s="2517"/>
      <c r="GA10" s="2517"/>
      <c r="GB10" s="2517"/>
      <c r="GC10" s="2517"/>
      <c r="GD10" s="2517"/>
      <c r="GE10" s="2517"/>
      <c r="GF10" s="2517"/>
      <c r="GG10" s="2517"/>
      <c r="GH10" s="2517"/>
      <c r="GI10" s="2517"/>
      <c r="GJ10" s="2517"/>
      <c r="GK10" s="2517"/>
      <c r="GL10" s="2517"/>
      <c r="GM10" s="2517"/>
      <c r="GN10" s="2517"/>
      <c r="GO10" s="2517"/>
      <c r="GP10" s="2517"/>
      <c r="GQ10" s="2517"/>
      <c r="GR10" s="2517"/>
      <c r="GS10" s="2517"/>
      <c r="GT10" s="2517"/>
      <c r="GU10" s="2517"/>
      <c r="GV10" s="2517"/>
      <c r="GW10" s="2517"/>
      <c r="GX10" s="2517"/>
    </row>
    <row r="11" spans="11:206" ht="3.6" customHeight="1">
      <c r="EX11" s="2517"/>
      <c r="EY11" s="2517"/>
      <c r="EZ11" s="2517"/>
      <c r="FA11" s="2517"/>
      <c r="FB11" s="2517"/>
      <c r="FC11" s="2517"/>
      <c r="FD11" s="2517"/>
      <c r="FE11" s="2517"/>
      <c r="FF11" s="2517"/>
      <c r="FG11" s="2517"/>
      <c r="FH11" s="2517"/>
      <c r="FI11" s="2517"/>
      <c r="FJ11" s="2517"/>
      <c r="FK11" s="2517"/>
      <c r="FL11" s="2517"/>
      <c r="FM11" s="2517"/>
      <c r="FN11" s="2517"/>
      <c r="FO11" s="2517"/>
      <c r="FP11" s="2517"/>
      <c r="FQ11" s="2517"/>
      <c r="FR11" s="2517"/>
      <c r="FS11" s="2517"/>
      <c r="FT11" s="2517"/>
      <c r="FU11" s="2517"/>
      <c r="FV11" s="2517"/>
      <c r="FW11" s="2517"/>
      <c r="FX11" s="2517"/>
      <c r="FY11" s="2517"/>
      <c r="FZ11" s="2517"/>
      <c r="GA11" s="2517"/>
      <c r="GB11" s="2517"/>
      <c r="GC11" s="2517"/>
      <c r="GD11" s="2517"/>
      <c r="GE11" s="2517"/>
      <c r="GF11" s="2517"/>
      <c r="GG11" s="2517"/>
      <c r="GH11" s="2517"/>
      <c r="GI11" s="2517"/>
      <c r="GJ11" s="2517"/>
      <c r="GK11" s="2517"/>
      <c r="GL11" s="2517"/>
      <c r="GM11" s="2517"/>
      <c r="GN11" s="2517"/>
      <c r="GO11" s="2517"/>
      <c r="GP11" s="2517"/>
      <c r="GQ11" s="2517"/>
      <c r="GR11" s="2517"/>
      <c r="GS11" s="2517"/>
      <c r="GT11" s="2517"/>
      <c r="GU11" s="2517"/>
      <c r="GV11" s="2517"/>
      <c r="GW11" s="2517"/>
      <c r="GX11" s="2517"/>
    </row>
    <row r="12" spans="11:206" ht="3.6" customHeight="1">
      <c r="EX12" s="2517"/>
      <c r="EY12" s="2517"/>
      <c r="EZ12" s="2517"/>
      <c r="FA12" s="2517"/>
      <c r="FB12" s="2517"/>
      <c r="FC12" s="2517"/>
      <c r="FD12" s="2517"/>
      <c r="FE12" s="2517"/>
      <c r="FF12" s="2517"/>
      <c r="FG12" s="2517"/>
      <c r="FH12" s="2517"/>
      <c r="FI12" s="2517"/>
      <c r="FJ12" s="2517"/>
      <c r="FK12" s="2517"/>
      <c r="FL12" s="2517"/>
      <c r="FM12" s="2517"/>
      <c r="FN12" s="2517"/>
      <c r="FO12" s="2517"/>
      <c r="FP12" s="2517"/>
      <c r="FQ12" s="2517"/>
      <c r="FR12" s="2517"/>
      <c r="FS12" s="2517"/>
      <c r="FT12" s="2517"/>
      <c r="FU12" s="2517"/>
      <c r="FV12" s="2517"/>
      <c r="FW12" s="2517"/>
      <c r="FX12" s="2517"/>
      <c r="FY12" s="2517"/>
      <c r="FZ12" s="2517"/>
      <c r="GA12" s="2517"/>
      <c r="GB12" s="2517"/>
      <c r="GC12" s="2517"/>
      <c r="GD12" s="2517"/>
      <c r="GE12" s="2517"/>
      <c r="GF12" s="2517"/>
      <c r="GG12" s="2517"/>
      <c r="GH12" s="2517"/>
      <c r="GI12" s="2517"/>
      <c r="GJ12" s="2517"/>
      <c r="GK12" s="2517"/>
      <c r="GL12" s="2517"/>
      <c r="GM12" s="2517"/>
      <c r="GN12" s="2517"/>
      <c r="GO12" s="2517"/>
      <c r="GP12" s="2517"/>
      <c r="GQ12" s="2517"/>
      <c r="GR12" s="2517"/>
      <c r="GS12" s="2517"/>
      <c r="GT12" s="2517"/>
      <c r="GU12" s="2517"/>
      <c r="GV12" s="2517"/>
      <c r="GW12" s="2517"/>
      <c r="GX12" s="2517"/>
    </row>
    <row r="13" spans="11:206" ht="3.6" customHeight="1">
      <c r="FM13" s="175"/>
      <c r="FN13" s="175"/>
      <c r="FO13" s="175"/>
      <c r="FP13" s="175"/>
      <c r="FQ13" s="175"/>
      <c r="FR13" s="175"/>
      <c r="FS13" s="175"/>
      <c r="FT13" s="175"/>
      <c r="FU13" s="175"/>
      <c r="FV13" s="175"/>
      <c r="FW13" s="175"/>
      <c r="FX13" s="175"/>
    </row>
    <row r="14" spans="11:206" ht="3.6" customHeight="1">
      <c r="FM14" s="175"/>
      <c r="FN14" s="175"/>
      <c r="FO14" s="175"/>
      <c r="FP14" s="175"/>
      <c r="FQ14" s="175"/>
      <c r="FR14" s="175"/>
      <c r="FS14" s="175"/>
      <c r="FT14" s="175"/>
      <c r="FU14" s="175"/>
      <c r="FV14" s="175"/>
      <c r="FW14" s="175"/>
      <c r="FX14" s="175"/>
    </row>
    <row r="15" spans="11:206" ht="3.6" customHeight="1">
      <c r="FM15" s="175"/>
      <c r="FN15" s="175"/>
      <c r="FO15" s="175"/>
      <c r="FP15" s="175"/>
      <c r="FQ15" s="175"/>
      <c r="FR15" s="175"/>
      <c r="FS15" s="175"/>
      <c r="FT15" s="175"/>
      <c r="FU15" s="175"/>
      <c r="FV15" s="175"/>
      <c r="FW15" s="175"/>
      <c r="FX15" s="175"/>
    </row>
    <row r="16" spans="11:206" ht="3.6" customHeight="1">
      <c r="FM16" s="175"/>
      <c r="FN16" s="175"/>
      <c r="FO16" s="175"/>
      <c r="FP16" s="175"/>
      <c r="FQ16" s="175"/>
      <c r="FR16" s="175"/>
      <c r="FS16" s="175"/>
      <c r="FT16" s="175"/>
      <c r="FU16" s="175"/>
      <c r="FV16" s="175"/>
      <c r="FW16" s="175"/>
      <c r="FX16" s="175"/>
    </row>
    <row r="17" spans="12:197" ht="3.75" customHeight="1">
      <c r="FM17" s="575"/>
      <c r="FN17" s="575"/>
      <c r="FO17" s="575"/>
      <c r="FP17" s="575"/>
      <c r="FQ17" s="575"/>
      <c r="FR17" s="575"/>
      <c r="FS17" s="575"/>
      <c r="FT17" s="575"/>
      <c r="FU17" s="575"/>
      <c r="FV17" s="575"/>
      <c r="FW17" s="575"/>
      <c r="FX17" s="575"/>
    </row>
    <row r="18" spans="12:197" ht="3.75" customHeight="1"/>
    <row r="31" spans="12:197" ht="3.6" customHeight="1">
      <c r="FM31" s="175"/>
      <c r="FN31" s="175"/>
      <c r="FO31" s="175"/>
      <c r="FP31" s="175"/>
      <c r="FQ31" s="175"/>
      <c r="FR31" s="175"/>
      <c r="FS31" s="175"/>
      <c r="FT31" s="175"/>
      <c r="FU31" s="175"/>
      <c r="FV31" s="175"/>
      <c r="FW31" s="175"/>
      <c r="FX31" s="175"/>
    </row>
    <row r="32" spans="12:197" ht="3.6" customHeight="1">
      <c r="L32" s="359"/>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c r="BB32" s="360"/>
      <c r="BC32" s="360"/>
      <c r="BD32" s="360"/>
      <c r="BE32" s="360"/>
      <c r="BF32" s="360"/>
      <c r="BG32" s="360"/>
      <c r="BH32" s="360"/>
      <c r="BI32" s="360"/>
      <c r="BJ32" s="360"/>
      <c r="BK32" s="360"/>
      <c r="BL32" s="360"/>
      <c r="BM32" s="360"/>
      <c r="BN32" s="360"/>
      <c r="BO32" s="360"/>
      <c r="BP32" s="360"/>
      <c r="BQ32" s="360"/>
      <c r="BR32" s="360"/>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c r="CQ32" s="360"/>
      <c r="CR32" s="360"/>
      <c r="CS32" s="360"/>
      <c r="CT32" s="360"/>
      <c r="CU32" s="360"/>
      <c r="CV32" s="360"/>
      <c r="CW32" s="360"/>
      <c r="CX32" s="360"/>
      <c r="CY32" s="360"/>
      <c r="CZ32" s="360"/>
      <c r="DA32" s="360"/>
      <c r="DB32" s="360"/>
      <c r="DC32" s="360"/>
      <c r="DD32" s="360"/>
      <c r="DE32" s="360"/>
      <c r="DF32" s="360"/>
      <c r="DG32" s="360"/>
      <c r="DH32" s="360"/>
      <c r="DI32" s="360"/>
      <c r="DJ32" s="360"/>
      <c r="DK32" s="360"/>
      <c r="DL32" s="360"/>
      <c r="DM32" s="216"/>
      <c r="EH32" s="3172" t="s">
        <v>3157</v>
      </c>
      <c r="EI32" s="3173"/>
      <c r="EJ32" s="3173"/>
      <c r="EK32" s="3173"/>
      <c r="EL32" s="3173"/>
      <c r="EM32" s="3173"/>
      <c r="EN32" s="3173"/>
      <c r="EO32" s="3173"/>
      <c r="EP32" s="3173"/>
      <c r="EQ32" s="3173"/>
      <c r="ER32" s="3173"/>
      <c r="ES32" s="3173"/>
      <c r="ET32" s="3173"/>
      <c r="EU32" s="3173"/>
      <c r="EV32" s="3173"/>
      <c r="EW32" s="3173"/>
      <c r="EX32" s="3173"/>
      <c r="EY32" s="3173"/>
      <c r="EZ32" s="3173"/>
      <c r="FA32" s="3173"/>
      <c r="FB32" s="3173"/>
      <c r="FC32" s="3173"/>
      <c r="FD32" s="3173"/>
      <c r="FE32" s="3173"/>
      <c r="FF32" s="3173"/>
      <c r="FG32" s="3173"/>
      <c r="FH32" s="3173"/>
      <c r="FI32" s="3173"/>
      <c r="FJ32" s="3173"/>
      <c r="FK32" s="3173"/>
      <c r="FL32" s="3173"/>
      <c r="FM32" s="3173"/>
      <c r="FN32" s="3173"/>
      <c r="FO32" s="3173"/>
      <c r="FP32" s="3173"/>
      <c r="FQ32" s="3173"/>
      <c r="FR32" s="3173"/>
      <c r="FS32" s="3173"/>
      <c r="FT32" s="3173"/>
      <c r="FU32" s="3173"/>
      <c r="FV32" s="3173"/>
      <c r="FW32" s="3173"/>
      <c r="FX32" s="3173"/>
      <c r="FY32" s="3173"/>
      <c r="FZ32" s="3173"/>
      <c r="GA32" s="3173"/>
      <c r="GB32" s="3173"/>
      <c r="GC32" s="3173"/>
      <c r="GD32" s="3173"/>
      <c r="GE32" s="3173"/>
      <c r="GF32" s="3173"/>
      <c r="GG32" s="3173"/>
      <c r="GH32" s="3173"/>
      <c r="GI32" s="3173"/>
      <c r="GJ32" s="3173"/>
      <c r="GK32" s="3173"/>
      <c r="GL32" s="3173"/>
      <c r="GM32" s="3173"/>
      <c r="GN32" s="3173"/>
      <c r="GO32" s="3174"/>
    </row>
    <row r="33" spans="8:197" ht="3.6" customHeight="1">
      <c r="M33" s="153"/>
      <c r="DL33" s="154"/>
      <c r="EH33" s="3175"/>
      <c r="EI33" s="3176"/>
      <c r="EJ33" s="3176"/>
      <c r="EK33" s="3176"/>
      <c r="EL33" s="3176"/>
      <c r="EM33" s="3176"/>
      <c r="EN33" s="3176"/>
      <c r="EO33" s="3176"/>
      <c r="EP33" s="3176"/>
      <c r="EQ33" s="3176"/>
      <c r="ER33" s="3176"/>
      <c r="ES33" s="3176"/>
      <c r="ET33" s="3176"/>
      <c r="EU33" s="3176"/>
      <c r="EV33" s="3176"/>
      <c r="EW33" s="3176"/>
      <c r="EX33" s="3176"/>
      <c r="EY33" s="3176"/>
      <c r="EZ33" s="3176"/>
      <c r="FA33" s="3176"/>
      <c r="FB33" s="3176"/>
      <c r="FC33" s="3176"/>
      <c r="FD33" s="3176"/>
      <c r="FE33" s="3176"/>
      <c r="FF33" s="3176"/>
      <c r="FG33" s="3176"/>
      <c r="FH33" s="3176"/>
      <c r="FI33" s="3176"/>
      <c r="FJ33" s="3176"/>
      <c r="FK33" s="3176"/>
      <c r="FL33" s="3176"/>
      <c r="FM33" s="3176"/>
      <c r="FN33" s="3176"/>
      <c r="FO33" s="3176"/>
      <c r="FP33" s="3176"/>
      <c r="FQ33" s="3176"/>
      <c r="FR33" s="3176"/>
      <c r="FS33" s="3176"/>
      <c r="FT33" s="3176"/>
      <c r="FU33" s="3176"/>
      <c r="FV33" s="3176"/>
      <c r="FW33" s="3176"/>
      <c r="FX33" s="3176"/>
      <c r="FY33" s="3176"/>
      <c r="FZ33" s="3176"/>
      <c r="GA33" s="3176"/>
      <c r="GB33" s="3176"/>
      <c r="GC33" s="3176"/>
      <c r="GD33" s="3176"/>
      <c r="GE33" s="3176"/>
      <c r="GF33" s="3176"/>
      <c r="GG33" s="3176"/>
      <c r="GH33" s="3176"/>
      <c r="GI33" s="3176"/>
      <c r="GJ33" s="3176"/>
      <c r="GK33" s="3176"/>
      <c r="GL33" s="3176"/>
      <c r="GM33" s="3176"/>
      <c r="GN33" s="3176"/>
      <c r="GO33" s="3177"/>
    </row>
    <row r="34" spans="8:197" ht="3.6" customHeight="1">
      <c r="M34" s="153"/>
      <c r="AN34" s="3181" t="s">
        <v>3158</v>
      </c>
      <c r="AO34" s="3181"/>
      <c r="AP34" s="3181"/>
      <c r="AQ34" s="3181"/>
      <c r="AR34" s="3181"/>
      <c r="AS34" s="3181"/>
      <c r="AT34" s="3181"/>
      <c r="AU34" s="3181"/>
      <c r="AV34" s="3181"/>
      <c r="AW34" s="3181"/>
      <c r="AX34" s="3181"/>
      <c r="AY34" s="3181"/>
      <c r="AZ34" s="3181"/>
      <c r="BA34" s="3181"/>
      <c r="BB34" s="3181"/>
      <c r="BC34" s="3181"/>
      <c r="BD34" s="3181"/>
      <c r="BE34" s="3181"/>
      <c r="BF34" s="3181"/>
      <c r="BG34" s="3181"/>
      <c r="BH34" s="3181"/>
      <c r="BI34" s="3181"/>
      <c r="BJ34" s="3181"/>
      <c r="BK34" s="3181"/>
      <c r="BL34" s="3181"/>
      <c r="BM34" s="3181"/>
      <c r="BN34" s="3181"/>
      <c r="BO34" s="3181"/>
      <c r="BP34" s="3181"/>
      <c r="BQ34" s="3181"/>
      <c r="BR34" s="3181"/>
      <c r="BS34" s="3181"/>
      <c r="BT34" s="3181"/>
      <c r="BU34" s="3181"/>
      <c r="BV34" s="3181"/>
      <c r="BW34" s="3181"/>
      <c r="BX34" s="3181"/>
      <c r="BY34" s="3181"/>
      <c r="BZ34" s="3181"/>
      <c r="CA34" s="3181"/>
      <c r="CB34" s="3181"/>
      <c r="CC34" s="3181"/>
      <c r="CD34" s="3181"/>
      <c r="CE34" s="3181"/>
      <c r="CF34" s="3181"/>
      <c r="CG34" s="3181"/>
      <c r="CH34" s="3181"/>
      <c r="DL34" s="154"/>
      <c r="EH34" s="3175"/>
      <c r="EI34" s="3176"/>
      <c r="EJ34" s="3176"/>
      <c r="EK34" s="3176"/>
      <c r="EL34" s="3176"/>
      <c r="EM34" s="3176"/>
      <c r="EN34" s="3176"/>
      <c r="EO34" s="3176"/>
      <c r="EP34" s="3176"/>
      <c r="EQ34" s="3176"/>
      <c r="ER34" s="3176"/>
      <c r="ES34" s="3176"/>
      <c r="ET34" s="3176"/>
      <c r="EU34" s="3176"/>
      <c r="EV34" s="3176"/>
      <c r="EW34" s="3176"/>
      <c r="EX34" s="3176"/>
      <c r="EY34" s="3176"/>
      <c r="EZ34" s="3176"/>
      <c r="FA34" s="3176"/>
      <c r="FB34" s="3176"/>
      <c r="FC34" s="3176"/>
      <c r="FD34" s="3176"/>
      <c r="FE34" s="3176"/>
      <c r="FF34" s="3176"/>
      <c r="FG34" s="3176"/>
      <c r="FH34" s="3176"/>
      <c r="FI34" s="3176"/>
      <c r="FJ34" s="3176"/>
      <c r="FK34" s="3176"/>
      <c r="FL34" s="3176"/>
      <c r="FM34" s="3176"/>
      <c r="FN34" s="3176"/>
      <c r="FO34" s="3176"/>
      <c r="FP34" s="3176"/>
      <c r="FQ34" s="3176"/>
      <c r="FR34" s="3176"/>
      <c r="FS34" s="3176"/>
      <c r="FT34" s="3176"/>
      <c r="FU34" s="3176"/>
      <c r="FV34" s="3176"/>
      <c r="FW34" s="3176"/>
      <c r="FX34" s="3176"/>
      <c r="FY34" s="3176"/>
      <c r="FZ34" s="3176"/>
      <c r="GA34" s="3176"/>
      <c r="GB34" s="3176"/>
      <c r="GC34" s="3176"/>
      <c r="GD34" s="3176"/>
      <c r="GE34" s="3176"/>
      <c r="GF34" s="3176"/>
      <c r="GG34" s="3176"/>
      <c r="GH34" s="3176"/>
      <c r="GI34" s="3176"/>
      <c r="GJ34" s="3176"/>
      <c r="GK34" s="3176"/>
      <c r="GL34" s="3176"/>
      <c r="GM34" s="3176"/>
      <c r="GN34" s="3176"/>
      <c r="GO34" s="3177"/>
    </row>
    <row r="35" spans="8:197" ht="3.6" customHeight="1">
      <c r="M35" s="153"/>
      <c r="AN35" s="3181"/>
      <c r="AO35" s="3181"/>
      <c r="AP35" s="3181"/>
      <c r="AQ35" s="3181"/>
      <c r="AR35" s="3181"/>
      <c r="AS35" s="3181"/>
      <c r="AT35" s="3181"/>
      <c r="AU35" s="3181"/>
      <c r="AV35" s="3181"/>
      <c r="AW35" s="3181"/>
      <c r="AX35" s="3181"/>
      <c r="AY35" s="3181"/>
      <c r="AZ35" s="3181"/>
      <c r="BA35" s="3181"/>
      <c r="BB35" s="3181"/>
      <c r="BC35" s="3181"/>
      <c r="BD35" s="3181"/>
      <c r="BE35" s="3181"/>
      <c r="BF35" s="3181"/>
      <c r="BG35" s="3181"/>
      <c r="BH35" s="3181"/>
      <c r="BI35" s="3181"/>
      <c r="BJ35" s="3181"/>
      <c r="BK35" s="3181"/>
      <c r="BL35" s="3181"/>
      <c r="BM35" s="3181"/>
      <c r="BN35" s="3181"/>
      <c r="BO35" s="3181"/>
      <c r="BP35" s="3181"/>
      <c r="BQ35" s="3181"/>
      <c r="BR35" s="3181"/>
      <c r="BS35" s="3181"/>
      <c r="BT35" s="3181"/>
      <c r="BU35" s="3181"/>
      <c r="BV35" s="3181"/>
      <c r="BW35" s="3181"/>
      <c r="BX35" s="3181"/>
      <c r="BY35" s="3181"/>
      <c r="BZ35" s="3181"/>
      <c r="CA35" s="3181"/>
      <c r="CB35" s="3181"/>
      <c r="CC35" s="3181"/>
      <c r="CD35" s="3181"/>
      <c r="CE35" s="3181"/>
      <c r="CF35" s="3181"/>
      <c r="CG35" s="3181"/>
      <c r="CH35" s="3181"/>
      <c r="DL35" s="154"/>
      <c r="EH35" s="3178"/>
      <c r="EI35" s="3179"/>
      <c r="EJ35" s="3179"/>
      <c r="EK35" s="3179"/>
      <c r="EL35" s="3179"/>
      <c r="EM35" s="3179"/>
      <c r="EN35" s="3179"/>
      <c r="EO35" s="3179"/>
      <c r="EP35" s="3179"/>
      <c r="EQ35" s="3179"/>
      <c r="ER35" s="3179"/>
      <c r="ES35" s="3179"/>
      <c r="ET35" s="3179"/>
      <c r="EU35" s="3179"/>
      <c r="EV35" s="3179"/>
      <c r="EW35" s="3179"/>
      <c r="EX35" s="3179"/>
      <c r="EY35" s="3179"/>
      <c r="EZ35" s="3179"/>
      <c r="FA35" s="3179"/>
      <c r="FB35" s="3179"/>
      <c r="FC35" s="3179"/>
      <c r="FD35" s="3179"/>
      <c r="FE35" s="3179"/>
      <c r="FF35" s="3179"/>
      <c r="FG35" s="3179"/>
      <c r="FH35" s="3179"/>
      <c r="FI35" s="3179"/>
      <c r="FJ35" s="3179"/>
      <c r="FK35" s="3179"/>
      <c r="FL35" s="3179"/>
      <c r="FM35" s="3179"/>
      <c r="FN35" s="3179"/>
      <c r="FO35" s="3179"/>
      <c r="FP35" s="3179"/>
      <c r="FQ35" s="3179"/>
      <c r="FR35" s="3179"/>
      <c r="FS35" s="3179"/>
      <c r="FT35" s="3179"/>
      <c r="FU35" s="3179"/>
      <c r="FV35" s="3179"/>
      <c r="FW35" s="3179"/>
      <c r="FX35" s="3179"/>
      <c r="FY35" s="3179"/>
      <c r="FZ35" s="3179"/>
      <c r="GA35" s="3179"/>
      <c r="GB35" s="3179"/>
      <c r="GC35" s="3179"/>
      <c r="GD35" s="3179"/>
      <c r="GE35" s="3179"/>
      <c r="GF35" s="3179"/>
      <c r="GG35" s="3179"/>
      <c r="GH35" s="3179"/>
      <c r="GI35" s="3179"/>
      <c r="GJ35" s="3179"/>
      <c r="GK35" s="3179"/>
      <c r="GL35" s="3179"/>
      <c r="GM35" s="3179"/>
      <c r="GN35" s="3179"/>
      <c r="GO35" s="3180"/>
    </row>
    <row r="36" spans="8:197" ht="3.6" customHeight="1">
      <c r="M36" s="153"/>
      <c r="AN36" s="3181"/>
      <c r="AO36" s="3181"/>
      <c r="AP36" s="3181"/>
      <c r="AQ36" s="3181"/>
      <c r="AR36" s="3181"/>
      <c r="AS36" s="3181"/>
      <c r="AT36" s="3181"/>
      <c r="AU36" s="3181"/>
      <c r="AV36" s="3181"/>
      <c r="AW36" s="3181"/>
      <c r="AX36" s="3181"/>
      <c r="AY36" s="3181"/>
      <c r="AZ36" s="3181"/>
      <c r="BA36" s="3181"/>
      <c r="BB36" s="3181"/>
      <c r="BC36" s="3181"/>
      <c r="BD36" s="3181"/>
      <c r="BE36" s="3181"/>
      <c r="BF36" s="3181"/>
      <c r="BG36" s="3181"/>
      <c r="BH36" s="3181"/>
      <c r="BI36" s="3181"/>
      <c r="BJ36" s="3181"/>
      <c r="BK36" s="3181"/>
      <c r="BL36" s="3181"/>
      <c r="BM36" s="3181"/>
      <c r="BN36" s="3181"/>
      <c r="BO36" s="3181"/>
      <c r="BP36" s="3181"/>
      <c r="BQ36" s="3181"/>
      <c r="BR36" s="3181"/>
      <c r="BS36" s="3181"/>
      <c r="BT36" s="3181"/>
      <c r="BU36" s="3181"/>
      <c r="BV36" s="3181"/>
      <c r="BW36" s="3181"/>
      <c r="BX36" s="3181"/>
      <c r="BY36" s="3181"/>
      <c r="BZ36" s="3181"/>
      <c r="CA36" s="3181"/>
      <c r="CB36" s="3181"/>
      <c r="CC36" s="3181"/>
      <c r="CD36" s="3181"/>
      <c r="CE36" s="3181"/>
      <c r="CF36" s="3181"/>
      <c r="CG36" s="3181"/>
      <c r="CH36" s="3181"/>
      <c r="DL36" s="154"/>
      <c r="EH36" s="2534" t="s">
        <v>291</v>
      </c>
      <c r="EI36" s="2534"/>
      <c r="EJ36" s="2534"/>
      <c r="EK36" s="2534"/>
      <c r="EL36" s="2534"/>
      <c r="EM36" s="2534"/>
      <c r="EN36" s="2534"/>
      <c r="EO36" s="2534"/>
      <c r="EP36" s="2534"/>
      <c r="EQ36" s="2534"/>
      <c r="ER36" s="2534"/>
      <c r="ES36" s="2534"/>
      <c r="ET36" s="2534"/>
      <c r="EU36" s="2534"/>
      <c r="EV36" s="3182">
        <v>1.05</v>
      </c>
      <c r="EW36" s="2556"/>
      <c r="EX36" s="2556"/>
      <c r="EY36" s="2556"/>
      <c r="EZ36" s="2556"/>
      <c r="FA36" s="2556"/>
      <c r="FB36" s="2556"/>
      <c r="FC36" s="2556"/>
      <c r="FD36" s="2556"/>
      <c r="FE36" s="2556"/>
      <c r="FF36" s="2556"/>
      <c r="FG36" s="2556" t="s">
        <v>901</v>
      </c>
      <c r="FH36" s="2556"/>
      <c r="FI36" s="2556"/>
      <c r="FJ36" s="2556"/>
      <c r="FK36" s="2556"/>
      <c r="FL36" s="2556"/>
      <c r="FM36" s="3186">
        <v>2.1</v>
      </c>
      <c r="FN36" s="3186"/>
      <c r="FO36" s="3186"/>
      <c r="FP36" s="3186"/>
      <c r="FQ36" s="3186"/>
      <c r="FR36" s="3186"/>
      <c r="FS36" s="3186"/>
      <c r="FT36" s="3186"/>
      <c r="FU36" s="3186"/>
      <c r="FV36" s="3186"/>
      <c r="FW36" s="2556" t="s">
        <v>901</v>
      </c>
      <c r="FX36" s="2556"/>
      <c r="FY36" s="2556"/>
      <c r="FZ36" s="2556"/>
      <c r="GA36" s="2556"/>
      <c r="GB36" s="2556">
        <v>2</v>
      </c>
      <c r="GC36" s="2556"/>
      <c r="GD36" s="2556"/>
      <c r="GE36" s="2556"/>
      <c r="GF36" s="2556"/>
      <c r="GG36" s="2556"/>
      <c r="GH36" s="2556"/>
      <c r="GI36" s="2556" t="s">
        <v>3159</v>
      </c>
      <c r="GJ36" s="2556"/>
      <c r="GK36" s="2556"/>
      <c r="GL36" s="2556"/>
      <c r="GM36" s="2556"/>
      <c r="GN36" s="2556"/>
      <c r="GO36" s="3189"/>
    </row>
    <row r="37" spans="8:197" ht="3.6" customHeight="1">
      <c r="M37" s="153"/>
      <c r="AN37" s="3181"/>
      <c r="AO37" s="3181"/>
      <c r="AP37" s="3181"/>
      <c r="AQ37" s="3181"/>
      <c r="AR37" s="3181"/>
      <c r="AS37" s="3181"/>
      <c r="AT37" s="3181"/>
      <c r="AU37" s="3181"/>
      <c r="AV37" s="3181"/>
      <c r="AW37" s="3181"/>
      <c r="AX37" s="3181"/>
      <c r="AY37" s="3181"/>
      <c r="AZ37" s="3181"/>
      <c r="BA37" s="3181"/>
      <c r="BB37" s="3181"/>
      <c r="BC37" s="3181"/>
      <c r="BD37" s="3181"/>
      <c r="BE37" s="3181"/>
      <c r="BF37" s="3181"/>
      <c r="BG37" s="3181"/>
      <c r="BH37" s="3181"/>
      <c r="BI37" s="3181"/>
      <c r="BJ37" s="3181"/>
      <c r="BK37" s="3181"/>
      <c r="BL37" s="3181"/>
      <c r="BM37" s="3181"/>
      <c r="BN37" s="3181"/>
      <c r="BO37" s="3181"/>
      <c r="BP37" s="3181"/>
      <c r="BQ37" s="3181"/>
      <c r="BR37" s="3181"/>
      <c r="BS37" s="3181"/>
      <c r="BT37" s="3181"/>
      <c r="BU37" s="3181"/>
      <c r="BV37" s="3181"/>
      <c r="BW37" s="3181"/>
      <c r="BX37" s="3181"/>
      <c r="BY37" s="3181"/>
      <c r="BZ37" s="3181"/>
      <c r="CA37" s="3181"/>
      <c r="CB37" s="3181"/>
      <c r="CC37" s="3181"/>
      <c r="CD37" s="3181"/>
      <c r="CE37" s="3181"/>
      <c r="CF37" s="3181"/>
      <c r="CG37" s="3181"/>
      <c r="CH37" s="3181"/>
      <c r="DL37" s="154"/>
      <c r="EH37" s="2534"/>
      <c r="EI37" s="2534"/>
      <c r="EJ37" s="2534"/>
      <c r="EK37" s="2534"/>
      <c r="EL37" s="2534"/>
      <c r="EM37" s="2534"/>
      <c r="EN37" s="2534"/>
      <c r="EO37" s="2534"/>
      <c r="EP37" s="2534"/>
      <c r="EQ37" s="2534"/>
      <c r="ER37" s="2534"/>
      <c r="ES37" s="2534"/>
      <c r="ET37" s="2534"/>
      <c r="EU37" s="2534"/>
      <c r="EV37" s="3183"/>
      <c r="EW37" s="2540"/>
      <c r="EX37" s="2540"/>
      <c r="EY37" s="2540"/>
      <c r="EZ37" s="2540"/>
      <c r="FA37" s="2540"/>
      <c r="FB37" s="2540"/>
      <c r="FC37" s="2540"/>
      <c r="FD37" s="2540"/>
      <c r="FE37" s="2540"/>
      <c r="FF37" s="2540"/>
      <c r="FG37" s="2540"/>
      <c r="FH37" s="2540"/>
      <c r="FI37" s="2540"/>
      <c r="FJ37" s="2540"/>
      <c r="FK37" s="2540"/>
      <c r="FL37" s="2540"/>
      <c r="FM37" s="3187"/>
      <c r="FN37" s="3187"/>
      <c r="FO37" s="3187"/>
      <c r="FP37" s="3187"/>
      <c r="FQ37" s="3187"/>
      <c r="FR37" s="3187"/>
      <c r="FS37" s="3187"/>
      <c r="FT37" s="3187"/>
      <c r="FU37" s="3187"/>
      <c r="FV37" s="3187"/>
      <c r="FW37" s="2540"/>
      <c r="FX37" s="2540"/>
      <c r="FY37" s="2540"/>
      <c r="FZ37" s="2540"/>
      <c r="GA37" s="2540"/>
      <c r="GB37" s="2540"/>
      <c r="GC37" s="2540"/>
      <c r="GD37" s="2540"/>
      <c r="GE37" s="2540"/>
      <c r="GF37" s="2540"/>
      <c r="GG37" s="2540"/>
      <c r="GH37" s="2540"/>
      <c r="GI37" s="2540"/>
      <c r="GJ37" s="2540"/>
      <c r="GK37" s="2540"/>
      <c r="GL37" s="2540"/>
      <c r="GM37" s="2540"/>
      <c r="GN37" s="2540"/>
      <c r="GO37" s="2541"/>
    </row>
    <row r="38" spans="8:197" ht="3.6" customHeight="1">
      <c r="M38" s="153"/>
      <c r="AN38" s="3181"/>
      <c r="AO38" s="3181"/>
      <c r="AP38" s="3181"/>
      <c r="AQ38" s="3181"/>
      <c r="AR38" s="3181"/>
      <c r="AS38" s="3181"/>
      <c r="AT38" s="3181"/>
      <c r="AU38" s="3181"/>
      <c r="AV38" s="3181"/>
      <c r="AW38" s="3181"/>
      <c r="AX38" s="3181"/>
      <c r="AY38" s="3181"/>
      <c r="AZ38" s="3181"/>
      <c r="BA38" s="3181"/>
      <c r="BB38" s="3181"/>
      <c r="BC38" s="3181"/>
      <c r="BD38" s="3181"/>
      <c r="BE38" s="3181"/>
      <c r="BF38" s="3181"/>
      <c r="BG38" s="3181"/>
      <c r="BH38" s="3181"/>
      <c r="BI38" s="3181"/>
      <c r="BJ38" s="3181"/>
      <c r="BK38" s="3181"/>
      <c r="BL38" s="3181"/>
      <c r="BM38" s="3181"/>
      <c r="BN38" s="3181"/>
      <c r="BO38" s="3181"/>
      <c r="BP38" s="3181"/>
      <c r="BQ38" s="3181"/>
      <c r="BR38" s="3181"/>
      <c r="BS38" s="3181"/>
      <c r="BT38" s="3181"/>
      <c r="BU38" s="3181"/>
      <c r="BV38" s="3181"/>
      <c r="BW38" s="3181"/>
      <c r="BX38" s="3181"/>
      <c r="BY38" s="3181"/>
      <c r="BZ38" s="3181"/>
      <c r="CA38" s="3181"/>
      <c r="CB38" s="3181"/>
      <c r="CC38" s="3181"/>
      <c r="CD38" s="3181"/>
      <c r="CE38" s="3181"/>
      <c r="CF38" s="3181"/>
      <c r="CG38" s="3181"/>
      <c r="CH38" s="3181"/>
      <c r="DL38" s="154"/>
      <c r="EH38" s="2534"/>
      <c r="EI38" s="2534"/>
      <c r="EJ38" s="2534"/>
      <c r="EK38" s="2534"/>
      <c r="EL38" s="2534"/>
      <c r="EM38" s="2534"/>
      <c r="EN38" s="2534"/>
      <c r="EO38" s="2534"/>
      <c r="EP38" s="2534"/>
      <c r="EQ38" s="2534"/>
      <c r="ER38" s="2534"/>
      <c r="ES38" s="2534"/>
      <c r="ET38" s="2534"/>
      <c r="EU38" s="2534"/>
      <c r="EV38" s="3183"/>
      <c r="EW38" s="2540"/>
      <c r="EX38" s="2540"/>
      <c r="EY38" s="2540"/>
      <c r="EZ38" s="2540"/>
      <c r="FA38" s="2540"/>
      <c r="FB38" s="2540"/>
      <c r="FC38" s="2540"/>
      <c r="FD38" s="2540"/>
      <c r="FE38" s="2540"/>
      <c r="FF38" s="2540"/>
      <c r="FG38" s="2540"/>
      <c r="FH38" s="2540"/>
      <c r="FI38" s="2540"/>
      <c r="FJ38" s="2540"/>
      <c r="FK38" s="2540"/>
      <c r="FL38" s="2540"/>
      <c r="FM38" s="3187"/>
      <c r="FN38" s="3187"/>
      <c r="FO38" s="3187"/>
      <c r="FP38" s="3187"/>
      <c r="FQ38" s="3187"/>
      <c r="FR38" s="3187"/>
      <c r="FS38" s="3187"/>
      <c r="FT38" s="3187"/>
      <c r="FU38" s="3187"/>
      <c r="FV38" s="3187"/>
      <c r="FW38" s="2540"/>
      <c r="FX38" s="2540"/>
      <c r="FY38" s="2540"/>
      <c r="FZ38" s="2540"/>
      <c r="GA38" s="2540"/>
      <c r="GB38" s="2540"/>
      <c r="GC38" s="2540"/>
      <c r="GD38" s="2540"/>
      <c r="GE38" s="2540"/>
      <c r="GF38" s="2540"/>
      <c r="GG38" s="2540"/>
      <c r="GH38" s="2540"/>
      <c r="GI38" s="2540"/>
      <c r="GJ38" s="2540"/>
      <c r="GK38" s="2540"/>
      <c r="GL38" s="2540"/>
      <c r="GM38" s="2540"/>
      <c r="GN38" s="2540"/>
      <c r="GO38" s="2541"/>
    </row>
    <row r="39" spans="8:197" ht="3.6" customHeight="1">
      <c r="M39" s="153"/>
      <c r="DL39" s="154"/>
      <c r="EE39" s="594"/>
      <c r="EF39" s="594"/>
      <c r="EH39" s="2534"/>
      <c r="EI39" s="2534"/>
      <c r="EJ39" s="2534"/>
      <c r="EK39" s="2534"/>
      <c r="EL39" s="2534"/>
      <c r="EM39" s="2534"/>
      <c r="EN39" s="2534"/>
      <c r="EO39" s="2534"/>
      <c r="EP39" s="2534"/>
      <c r="EQ39" s="2534"/>
      <c r="ER39" s="2534"/>
      <c r="ES39" s="2534"/>
      <c r="ET39" s="2534"/>
      <c r="EU39" s="2534"/>
      <c r="EV39" s="3184"/>
      <c r="EW39" s="3185"/>
      <c r="EX39" s="3185"/>
      <c r="EY39" s="3185"/>
      <c r="EZ39" s="3185"/>
      <c r="FA39" s="3185"/>
      <c r="FB39" s="3185"/>
      <c r="FC39" s="3185"/>
      <c r="FD39" s="3185"/>
      <c r="FE39" s="3185"/>
      <c r="FF39" s="3185"/>
      <c r="FG39" s="3185"/>
      <c r="FH39" s="3185"/>
      <c r="FI39" s="3185"/>
      <c r="FJ39" s="3185"/>
      <c r="FK39" s="3185"/>
      <c r="FL39" s="3185"/>
      <c r="FM39" s="3188"/>
      <c r="FN39" s="3188"/>
      <c r="FO39" s="3188"/>
      <c r="FP39" s="3188"/>
      <c r="FQ39" s="3188"/>
      <c r="FR39" s="3188"/>
      <c r="FS39" s="3188"/>
      <c r="FT39" s="3188"/>
      <c r="FU39" s="3188"/>
      <c r="FV39" s="3188"/>
      <c r="FW39" s="3185"/>
      <c r="FX39" s="3185"/>
      <c r="FY39" s="3185"/>
      <c r="FZ39" s="3185"/>
      <c r="GA39" s="3185"/>
      <c r="GB39" s="3185"/>
      <c r="GC39" s="3185"/>
      <c r="GD39" s="3185"/>
      <c r="GE39" s="3185"/>
      <c r="GF39" s="3185"/>
      <c r="GG39" s="3185"/>
      <c r="GH39" s="3185"/>
      <c r="GI39" s="3185"/>
      <c r="GJ39" s="3185"/>
      <c r="GK39" s="3185"/>
      <c r="GL39" s="3185"/>
      <c r="GM39" s="3185"/>
      <c r="GN39" s="3185"/>
      <c r="GO39" s="3190"/>
    </row>
    <row r="40" spans="8:197" ht="3.6" customHeight="1">
      <c r="H40" s="359"/>
      <c r="I40" s="360"/>
      <c r="J40" s="360"/>
      <c r="K40" s="360"/>
      <c r="L40" s="360"/>
      <c r="M40" s="359"/>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151"/>
      <c r="AN40" s="151"/>
      <c r="AO40" s="151"/>
      <c r="AP40" s="151"/>
      <c r="AQ40" s="151"/>
      <c r="AR40" s="151"/>
      <c r="AS40" s="151"/>
      <c r="AT40" s="151"/>
      <c r="AU40" s="151"/>
      <c r="AV40" s="151"/>
      <c r="AW40" s="151"/>
      <c r="AX40" s="151"/>
      <c r="AY40" s="151"/>
      <c r="AZ40" s="151"/>
      <c r="BA40" s="360"/>
      <c r="BB40" s="360"/>
      <c r="BC40" s="360"/>
      <c r="BD40" s="360"/>
      <c r="BE40" s="360"/>
      <c r="BF40" s="360"/>
      <c r="BG40" s="360"/>
      <c r="BH40" s="360"/>
      <c r="BI40" s="360"/>
      <c r="BJ40" s="360"/>
      <c r="BK40" s="360"/>
      <c r="BL40" s="360"/>
      <c r="BM40" s="360"/>
      <c r="BN40" s="360"/>
      <c r="BO40" s="360"/>
      <c r="BP40" s="360"/>
      <c r="BQ40" s="360"/>
      <c r="BR40" s="360"/>
      <c r="BS40" s="360"/>
      <c r="BT40" s="360"/>
      <c r="BU40" s="360"/>
      <c r="BV40" s="360"/>
      <c r="BW40" s="360"/>
      <c r="BX40" s="360"/>
      <c r="BY40" s="360"/>
      <c r="BZ40" s="360"/>
      <c r="CA40" s="360"/>
      <c r="CB40" s="360"/>
      <c r="CC40" s="360"/>
      <c r="CD40" s="360"/>
      <c r="CE40" s="360"/>
      <c r="CF40" s="360"/>
      <c r="CG40" s="360"/>
      <c r="CH40" s="360"/>
      <c r="CI40" s="360"/>
      <c r="CJ40" s="360"/>
      <c r="CK40" s="360"/>
      <c r="CL40" s="360"/>
      <c r="CM40" s="360"/>
      <c r="CN40" s="360"/>
      <c r="CO40" s="360"/>
      <c r="CP40" s="360"/>
      <c r="CQ40" s="360"/>
      <c r="CR40" s="360"/>
      <c r="CS40" s="360"/>
      <c r="CT40" s="360"/>
      <c r="CU40" s="360"/>
      <c r="CV40" s="360"/>
      <c r="CW40" s="360"/>
      <c r="CX40" s="360"/>
      <c r="CY40" s="360"/>
      <c r="CZ40" s="360"/>
      <c r="DA40" s="360"/>
      <c r="DB40" s="360"/>
      <c r="DC40" s="360"/>
      <c r="DD40" s="360"/>
      <c r="DE40" s="360"/>
      <c r="DF40" s="360"/>
      <c r="DG40" s="360"/>
      <c r="DH40" s="360"/>
      <c r="DI40" s="360"/>
      <c r="DJ40" s="360"/>
      <c r="DK40" s="360"/>
      <c r="DL40" s="216"/>
      <c r="DM40" s="360"/>
      <c r="DN40" s="360"/>
      <c r="DO40" s="360"/>
      <c r="DP40" s="360"/>
      <c r="DQ40" s="360"/>
      <c r="DR40" s="153"/>
      <c r="EE40" s="594"/>
      <c r="EF40" s="594"/>
      <c r="EH40" s="2534" t="s">
        <v>1952</v>
      </c>
      <c r="EI40" s="2534"/>
      <c r="EJ40" s="2534"/>
      <c r="EK40" s="2534"/>
      <c r="EL40" s="2534"/>
      <c r="EM40" s="2534"/>
      <c r="EN40" s="2534"/>
      <c r="EO40" s="2534"/>
      <c r="EP40" s="2534"/>
      <c r="EQ40" s="2534"/>
      <c r="ER40" s="2534"/>
      <c r="ES40" s="2534"/>
      <c r="ET40" s="2534"/>
      <c r="EU40" s="2534"/>
      <c r="EV40" s="3182">
        <v>1.05</v>
      </c>
      <c r="EW40" s="2556"/>
      <c r="EX40" s="2556"/>
      <c r="EY40" s="2556"/>
      <c r="EZ40" s="2556"/>
      <c r="FA40" s="2556"/>
      <c r="FB40" s="2556"/>
      <c r="FC40" s="2556"/>
      <c r="FD40" s="2556"/>
      <c r="FE40" s="2556"/>
      <c r="FF40" s="2556"/>
      <c r="FG40" s="2556" t="s">
        <v>901</v>
      </c>
      <c r="FH40" s="2556"/>
      <c r="FI40" s="2556"/>
      <c r="FJ40" s="2556"/>
      <c r="FK40" s="2556"/>
      <c r="FL40" s="2556"/>
      <c r="FM40" s="3186">
        <v>1.2</v>
      </c>
      <c r="FN40" s="3186"/>
      <c r="FO40" s="3186"/>
      <c r="FP40" s="3186"/>
      <c r="FQ40" s="3186"/>
      <c r="FR40" s="3186"/>
      <c r="FS40" s="3186"/>
      <c r="FT40" s="3186"/>
      <c r="FU40" s="3186"/>
      <c r="FV40" s="3186"/>
      <c r="FW40" s="2556" t="s">
        <v>901</v>
      </c>
      <c r="FX40" s="2556"/>
      <c r="FY40" s="2556"/>
      <c r="FZ40" s="2556"/>
      <c r="GA40" s="2556"/>
      <c r="GB40" s="2556">
        <v>4</v>
      </c>
      <c r="GC40" s="2556"/>
      <c r="GD40" s="2556"/>
      <c r="GE40" s="2556"/>
      <c r="GF40" s="2556"/>
      <c r="GG40" s="2556"/>
      <c r="GH40" s="2556"/>
      <c r="GI40" s="2556" t="s">
        <v>3159</v>
      </c>
      <c r="GJ40" s="2556"/>
      <c r="GK40" s="2556"/>
      <c r="GL40" s="2556"/>
      <c r="GM40" s="2556"/>
      <c r="GN40" s="2556"/>
      <c r="GO40" s="3189"/>
    </row>
    <row r="41" spans="8:197" ht="3.6" customHeight="1">
      <c r="M41" s="153"/>
      <c r="P41" s="153"/>
      <c r="AC41" s="154"/>
      <c r="AM41" s="151"/>
      <c r="AN41" s="151"/>
      <c r="AO41" s="151"/>
      <c r="AP41" s="151"/>
      <c r="AQ41" s="151"/>
      <c r="AR41" s="151"/>
      <c r="AS41" s="151"/>
      <c r="AT41" s="151"/>
      <c r="AU41" s="150"/>
      <c r="AV41" s="162"/>
      <c r="AW41" s="151"/>
      <c r="AX41" s="151"/>
      <c r="AY41" s="151"/>
      <c r="AZ41" s="151"/>
      <c r="BF41" s="153"/>
      <c r="BS41" s="154"/>
      <c r="CC41" s="150"/>
      <c r="CD41" s="162"/>
      <c r="CV41" s="153"/>
      <c r="DI41" s="154"/>
      <c r="DL41" s="154"/>
      <c r="EE41" s="594"/>
      <c r="EF41" s="594"/>
      <c r="EH41" s="2534"/>
      <c r="EI41" s="2534"/>
      <c r="EJ41" s="2534"/>
      <c r="EK41" s="2534"/>
      <c r="EL41" s="2534"/>
      <c r="EM41" s="2534"/>
      <c r="EN41" s="2534"/>
      <c r="EO41" s="2534"/>
      <c r="EP41" s="2534"/>
      <c r="EQ41" s="2534"/>
      <c r="ER41" s="2534"/>
      <c r="ES41" s="2534"/>
      <c r="ET41" s="2534"/>
      <c r="EU41" s="2534"/>
      <c r="EV41" s="3183"/>
      <c r="EW41" s="2540"/>
      <c r="EX41" s="2540"/>
      <c r="EY41" s="2540"/>
      <c r="EZ41" s="2540"/>
      <c r="FA41" s="2540"/>
      <c r="FB41" s="2540"/>
      <c r="FC41" s="2540"/>
      <c r="FD41" s="2540"/>
      <c r="FE41" s="2540"/>
      <c r="FF41" s="2540"/>
      <c r="FG41" s="2540"/>
      <c r="FH41" s="2540"/>
      <c r="FI41" s="2540"/>
      <c r="FJ41" s="2540"/>
      <c r="FK41" s="2540"/>
      <c r="FL41" s="2540"/>
      <c r="FM41" s="3187"/>
      <c r="FN41" s="3187"/>
      <c r="FO41" s="3187"/>
      <c r="FP41" s="3187"/>
      <c r="FQ41" s="3187"/>
      <c r="FR41" s="3187"/>
      <c r="FS41" s="3187"/>
      <c r="FT41" s="3187"/>
      <c r="FU41" s="3187"/>
      <c r="FV41" s="3187"/>
      <c r="FW41" s="2540"/>
      <c r="FX41" s="2540"/>
      <c r="FY41" s="2540"/>
      <c r="FZ41" s="2540"/>
      <c r="GA41" s="2540"/>
      <c r="GB41" s="2540"/>
      <c r="GC41" s="2540"/>
      <c r="GD41" s="2540"/>
      <c r="GE41" s="2540"/>
      <c r="GF41" s="2540"/>
      <c r="GG41" s="2540"/>
      <c r="GH41" s="2540"/>
      <c r="GI41" s="2540"/>
      <c r="GJ41" s="2540"/>
      <c r="GK41" s="2540"/>
      <c r="GL41" s="2540"/>
      <c r="GM41" s="2540"/>
      <c r="GN41" s="2540"/>
      <c r="GO41" s="2541"/>
    </row>
    <row r="42" spans="8:197" ht="3.6" customHeight="1">
      <c r="M42" s="153"/>
      <c r="P42" s="153"/>
      <c r="Q42" s="150"/>
      <c r="R42" s="151"/>
      <c r="S42" s="151"/>
      <c r="T42" s="151"/>
      <c r="U42" s="151"/>
      <c r="V42" s="162"/>
      <c r="W42" s="151"/>
      <c r="X42" s="151"/>
      <c r="Y42" s="151"/>
      <c r="Z42" s="151"/>
      <c r="AA42" s="151"/>
      <c r="AB42" s="162"/>
      <c r="AC42" s="154"/>
      <c r="AU42" s="153"/>
      <c r="AV42" s="154"/>
      <c r="BF42" s="153"/>
      <c r="BG42" s="595"/>
      <c r="BH42" s="151"/>
      <c r="BI42" s="151"/>
      <c r="BJ42" s="151"/>
      <c r="BK42" s="151"/>
      <c r="BL42" s="363"/>
      <c r="BM42" s="595"/>
      <c r="BN42" s="151"/>
      <c r="BO42" s="151"/>
      <c r="BP42" s="151"/>
      <c r="BQ42" s="151"/>
      <c r="BR42" s="363"/>
      <c r="BS42" s="154"/>
      <c r="CC42" s="153"/>
      <c r="CD42" s="154"/>
      <c r="CV42" s="153"/>
      <c r="CW42" s="150"/>
      <c r="CX42" s="151"/>
      <c r="CY42" s="151"/>
      <c r="CZ42" s="151"/>
      <c r="DA42" s="151"/>
      <c r="DB42" s="162"/>
      <c r="DC42" s="151"/>
      <c r="DD42" s="151"/>
      <c r="DE42" s="151"/>
      <c r="DF42" s="151"/>
      <c r="DG42" s="151"/>
      <c r="DH42" s="162"/>
      <c r="DI42" s="154"/>
      <c r="DL42" s="154"/>
      <c r="EE42" s="594"/>
      <c r="EF42" s="594"/>
      <c r="EH42" s="2534"/>
      <c r="EI42" s="2534"/>
      <c r="EJ42" s="2534"/>
      <c r="EK42" s="2534"/>
      <c r="EL42" s="2534"/>
      <c r="EM42" s="2534"/>
      <c r="EN42" s="2534"/>
      <c r="EO42" s="2534"/>
      <c r="EP42" s="2534"/>
      <c r="EQ42" s="2534"/>
      <c r="ER42" s="2534"/>
      <c r="ES42" s="2534"/>
      <c r="ET42" s="2534"/>
      <c r="EU42" s="2534"/>
      <c r="EV42" s="3183"/>
      <c r="EW42" s="2540"/>
      <c r="EX42" s="2540"/>
      <c r="EY42" s="2540"/>
      <c r="EZ42" s="2540"/>
      <c r="FA42" s="2540"/>
      <c r="FB42" s="2540"/>
      <c r="FC42" s="2540"/>
      <c r="FD42" s="2540"/>
      <c r="FE42" s="2540"/>
      <c r="FF42" s="2540"/>
      <c r="FG42" s="2540"/>
      <c r="FH42" s="2540"/>
      <c r="FI42" s="2540"/>
      <c r="FJ42" s="2540"/>
      <c r="FK42" s="2540"/>
      <c r="FL42" s="2540"/>
      <c r="FM42" s="3187"/>
      <c r="FN42" s="3187"/>
      <c r="FO42" s="3187"/>
      <c r="FP42" s="3187"/>
      <c r="FQ42" s="3187"/>
      <c r="FR42" s="3187"/>
      <c r="FS42" s="3187"/>
      <c r="FT42" s="3187"/>
      <c r="FU42" s="3187"/>
      <c r="FV42" s="3187"/>
      <c r="FW42" s="2540"/>
      <c r="FX42" s="2540"/>
      <c r="FY42" s="2540"/>
      <c r="FZ42" s="2540"/>
      <c r="GA42" s="2540"/>
      <c r="GB42" s="2540"/>
      <c r="GC42" s="2540"/>
      <c r="GD42" s="2540"/>
      <c r="GE42" s="2540"/>
      <c r="GF42" s="2540"/>
      <c r="GG42" s="2540"/>
      <c r="GH42" s="2540"/>
      <c r="GI42" s="2540"/>
      <c r="GJ42" s="2540"/>
      <c r="GK42" s="2540"/>
      <c r="GL42" s="2540"/>
      <c r="GM42" s="2540"/>
      <c r="GN42" s="2540"/>
      <c r="GO42" s="2541"/>
    </row>
    <row r="43" spans="8:197" ht="3.6" customHeight="1">
      <c r="M43" s="153"/>
      <c r="P43" s="153"/>
      <c r="Q43" s="153"/>
      <c r="V43" s="154"/>
      <c r="AB43" s="154"/>
      <c r="AC43" s="154"/>
      <c r="AU43" s="153"/>
      <c r="AV43" s="154"/>
      <c r="BF43" s="153"/>
      <c r="BG43" s="153"/>
      <c r="BH43" s="150"/>
      <c r="BI43" s="151"/>
      <c r="BJ43" s="151"/>
      <c r="BK43" s="162"/>
      <c r="BL43" s="154"/>
      <c r="BN43" s="150"/>
      <c r="BO43" s="151"/>
      <c r="BP43" s="151"/>
      <c r="BQ43" s="162"/>
      <c r="BR43" s="154"/>
      <c r="BS43" s="154"/>
      <c r="CC43" s="153"/>
      <c r="CD43" s="154"/>
      <c r="CV43" s="153"/>
      <c r="CW43" s="153"/>
      <c r="DB43" s="154"/>
      <c r="DH43" s="154"/>
      <c r="DI43" s="154"/>
      <c r="DL43" s="154"/>
      <c r="EE43" s="594"/>
      <c r="EF43" s="594"/>
      <c r="EH43" s="2534"/>
      <c r="EI43" s="2534"/>
      <c r="EJ43" s="2534"/>
      <c r="EK43" s="2534"/>
      <c r="EL43" s="2534"/>
      <c r="EM43" s="2534"/>
      <c r="EN43" s="2534"/>
      <c r="EO43" s="2534"/>
      <c r="EP43" s="2534"/>
      <c r="EQ43" s="2534"/>
      <c r="ER43" s="2534"/>
      <c r="ES43" s="2534"/>
      <c r="ET43" s="2534"/>
      <c r="EU43" s="2534"/>
      <c r="EV43" s="3184"/>
      <c r="EW43" s="3185"/>
      <c r="EX43" s="3185"/>
      <c r="EY43" s="3185"/>
      <c r="EZ43" s="3185"/>
      <c r="FA43" s="3185"/>
      <c r="FB43" s="3185"/>
      <c r="FC43" s="3185"/>
      <c r="FD43" s="3185"/>
      <c r="FE43" s="3185"/>
      <c r="FF43" s="3185"/>
      <c r="FG43" s="3185"/>
      <c r="FH43" s="3185"/>
      <c r="FI43" s="3185"/>
      <c r="FJ43" s="3185"/>
      <c r="FK43" s="3185"/>
      <c r="FL43" s="3185"/>
      <c r="FM43" s="3188"/>
      <c r="FN43" s="3188"/>
      <c r="FO43" s="3188"/>
      <c r="FP43" s="3188"/>
      <c r="FQ43" s="3188"/>
      <c r="FR43" s="3188"/>
      <c r="FS43" s="3188"/>
      <c r="FT43" s="3188"/>
      <c r="FU43" s="3188"/>
      <c r="FV43" s="3188"/>
      <c r="FW43" s="3185"/>
      <c r="FX43" s="3185"/>
      <c r="FY43" s="3185"/>
      <c r="FZ43" s="3185"/>
      <c r="GA43" s="3185"/>
      <c r="GB43" s="3185"/>
      <c r="GC43" s="3185"/>
      <c r="GD43" s="3185"/>
      <c r="GE43" s="3185"/>
      <c r="GF43" s="3185"/>
      <c r="GG43" s="3185"/>
      <c r="GH43" s="3185"/>
      <c r="GI43" s="3185"/>
      <c r="GJ43" s="3185"/>
      <c r="GK43" s="3185"/>
      <c r="GL43" s="3185"/>
      <c r="GM43" s="3185"/>
      <c r="GN43" s="3185"/>
      <c r="GO43" s="3190"/>
    </row>
    <row r="44" spans="8:197" ht="3.6" customHeight="1">
      <c r="M44" s="153"/>
      <c r="P44" s="153"/>
      <c r="Q44" s="153"/>
      <c r="V44" s="154"/>
      <c r="AB44" s="154"/>
      <c r="AC44" s="154"/>
      <c r="AU44" s="153"/>
      <c r="AV44" s="154"/>
      <c r="BF44" s="153"/>
      <c r="BG44" s="153"/>
      <c r="BH44" s="153"/>
      <c r="BK44" s="154"/>
      <c r="BL44" s="154"/>
      <c r="BN44" s="153"/>
      <c r="BQ44" s="154"/>
      <c r="BR44" s="154"/>
      <c r="BS44" s="154"/>
      <c r="CC44" s="153"/>
      <c r="CD44" s="154"/>
      <c r="CV44" s="153"/>
      <c r="CW44" s="153"/>
      <c r="DB44" s="154"/>
      <c r="DH44" s="154"/>
      <c r="DI44" s="154"/>
      <c r="DL44" s="154"/>
      <c r="EE44" s="594"/>
      <c r="EF44" s="594"/>
      <c r="EH44" s="2534" t="s">
        <v>1954</v>
      </c>
      <c r="EI44" s="2534"/>
      <c r="EJ44" s="2534"/>
      <c r="EK44" s="2534"/>
      <c r="EL44" s="2534"/>
      <c r="EM44" s="2534"/>
      <c r="EN44" s="2534"/>
      <c r="EO44" s="2534"/>
      <c r="EP44" s="2534"/>
      <c r="EQ44" s="2534"/>
      <c r="ER44" s="2534"/>
      <c r="ES44" s="2534"/>
      <c r="ET44" s="2534"/>
      <c r="EU44" s="2534"/>
      <c r="EV44" s="3191">
        <v>0.6</v>
      </c>
      <c r="EW44" s="3186"/>
      <c r="EX44" s="3186"/>
      <c r="EY44" s="3186"/>
      <c r="EZ44" s="3186"/>
      <c r="FA44" s="3186"/>
      <c r="FB44" s="3186"/>
      <c r="FC44" s="3186"/>
      <c r="FD44" s="3186"/>
      <c r="FE44" s="3186"/>
      <c r="FF44" s="3186"/>
      <c r="FG44" s="2556" t="s">
        <v>901</v>
      </c>
      <c r="FH44" s="2556"/>
      <c r="FI44" s="2556"/>
      <c r="FJ44" s="2556"/>
      <c r="FK44" s="2556"/>
      <c r="FL44" s="2556"/>
      <c r="FM44" s="3186">
        <v>0.3</v>
      </c>
      <c r="FN44" s="3186"/>
      <c r="FO44" s="3186"/>
      <c r="FP44" s="3186"/>
      <c r="FQ44" s="3186"/>
      <c r="FR44" s="3186"/>
      <c r="FS44" s="3186"/>
      <c r="FT44" s="3186"/>
      <c r="FU44" s="3186"/>
      <c r="FV44" s="3186"/>
      <c r="FW44" s="2556" t="s">
        <v>901</v>
      </c>
      <c r="FX44" s="2556"/>
      <c r="FY44" s="2556"/>
      <c r="FZ44" s="2556"/>
      <c r="GA44" s="2556"/>
      <c r="GB44" s="2556">
        <v>6</v>
      </c>
      <c r="GC44" s="2556"/>
      <c r="GD44" s="2556"/>
      <c r="GE44" s="2556"/>
      <c r="GF44" s="2556"/>
      <c r="GG44" s="2556"/>
      <c r="GH44" s="2556"/>
      <c r="GI44" s="2556" t="s">
        <v>3159</v>
      </c>
      <c r="GJ44" s="2556"/>
      <c r="GK44" s="2556"/>
      <c r="GL44" s="2556"/>
      <c r="GM44" s="2556"/>
      <c r="GN44" s="2556"/>
      <c r="GO44" s="3189"/>
    </row>
    <row r="45" spans="8:197" ht="3.6" customHeight="1">
      <c r="M45" s="153"/>
      <c r="P45" s="153"/>
      <c r="Q45" s="153"/>
      <c r="V45" s="154"/>
      <c r="AB45" s="154"/>
      <c r="AC45" s="154"/>
      <c r="AU45" s="153"/>
      <c r="AV45" s="154"/>
      <c r="BF45" s="153"/>
      <c r="BG45" s="153"/>
      <c r="BH45" s="153"/>
      <c r="BK45" s="154"/>
      <c r="BL45" s="154"/>
      <c r="BN45" s="153"/>
      <c r="BQ45" s="154"/>
      <c r="BR45" s="154"/>
      <c r="BS45" s="154"/>
      <c r="CC45" s="153"/>
      <c r="CD45" s="154"/>
      <c r="CV45" s="153"/>
      <c r="CW45" s="153"/>
      <c r="DB45" s="154"/>
      <c r="DH45" s="154"/>
      <c r="DI45" s="154"/>
      <c r="DL45" s="154"/>
      <c r="EE45" s="594"/>
      <c r="EF45" s="594"/>
      <c r="EH45" s="2534"/>
      <c r="EI45" s="2534"/>
      <c r="EJ45" s="2534"/>
      <c r="EK45" s="2534"/>
      <c r="EL45" s="2534"/>
      <c r="EM45" s="2534"/>
      <c r="EN45" s="2534"/>
      <c r="EO45" s="2534"/>
      <c r="EP45" s="2534"/>
      <c r="EQ45" s="2534"/>
      <c r="ER45" s="2534"/>
      <c r="ES45" s="2534"/>
      <c r="ET45" s="2534"/>
      <c r="EU45" s="2534"/>
      <c r="EV45" s="3192"/>
      <c r="EW45" s="3187"/>
      <c r="EX45" s="3187"/>
      <c r="EY45" s="3187"/>
      <c r="EZ45" s="3187"/>
      <c r="FA45" s="3187"/>
      <c r="FB45" s="3187"/>
      <c r="FC45" s="3187"/>
      <c r="FD45" s="3187"/>
      <c r="FE45" s="3187"/>
      <c r="FF45" s="3187"/>
      <c r="FG45" s="2540"/>
      <c r="FH45" s="2540"/>
      <c r="FI45" s="2540"/>
      <c r="FJ45" s="2540"/>
      <c r="FK45" s="2540"/>
      <c r="FL45" s="2540"/>
      <c r="FM45" s="3187"/>
      <c r="FN45" s="3187"/>
      <c r="FO45" s="3187"/>
      <c r="FP45" s="3187"/>
      <c r="FQ45" s="3187"/>
      <c r="FR45" s="3187"/>
      <c r="FS45" s="3187"/>
      <c r="FT45" s="3187"/>
      <c r="FU45" s="3187"/>
      <c r="FV45" s="3187"/>
      <c r="FW45" s="2540"/>
      <c r="FX45" s="2540"/>
      <c r="FY45" s="2540"/>
      <c r="FZ45" s="2540"/>
      <c r="GA45" s="2540"/>
      <c r="GB45" s="2540"/>
      <c r="GC45" s="2540"/>
      <c r="GD45" s="2540"/>
      <c r="GE45" s="2540"/>
      <c r="GF45" s="2540"/>
      <c r="GG45" s="2540"/>
      <c r="GH45" s="2540"/>
      <c r="GI45" s="2540"/>
      <c r="GJ45" s="2540"/>
      <c r="GK45" s="2540"/>
      <c r="GL45" s="2540"/>
      <c r="GM45" s="2540"/>
      <c r="GN45" s="2540"/>
      <c r="GO45" s="2541"/>
    </row>
    <row r="46" spans="8:197" ht="3.6" customHeight="1">
      <c r="M46" s="153"/>
      <c r="P46" s="153"/>
      <c r="Q46" s="153"/>
      <c r="V46" s="154"/>
      <c r="AB46" s="154"/>
      <c r="AC46" s="154"/>
      <c r="AU46" s="153"/>
      <c r="AV46" s="154"/>
      <c r="BF46" s="153"/>
      <c r="BG46" s="153"/>
      <c r="BH46" s="153"/>
      <c r="BK46" s="154"/>
      <c r="BL46" s="154"/>
      <c r="BN46" s="153"/>
      <c r="BQ46" s="154"/>
      <c r="BR46" s="154"/>
      <c r="BS46" s="154"/>
      <c r="CC46" s="153"/>
      <c r="CD46" s="154"/>
      <c r="CV46" s="153"/>
      <c r="CW46" s="153"/>
      <c r="DB46" s="154"/>
      <c r="DH46" s="154"/>
      <c r="DI46" s="154"/>
      <c r="DL46" s="154"/>
      <c r="EE46" s="594"/>
      <c r="EF46" s="594"/>
      <c r="EH46" s="2534"/>
      <c r="EI46" s="2534"/>
      <c r="EJ46" s="2534"/>
      <c r="EK46" s="2534"/>
      <c r="EL46" s="2534"/>
      <c r="EM46" s="2534"/>
      <c r="EN46" s="2534"/>
      <c r="EO46" s="2534"/>
      <c r="EP46" s="2534"/>
      <c r="EQ46" s="2534"/>
      <c r="ER46" s="2534"/>
      <c r="ES46" s="2534"/>
      <c r="ET46" s="2534"/>
      <c r="EU46" s="2534"/>
      <c r="EV46" s="3192"/>
      <c r="EW46" s="3187"/>
      <c r="EX46" s="3187"/>
      <c r="EY46" s="3187"/>
      <c r="EZ46" s="3187"/>
      <c r="FA46" s="3187"/>
      <c r="FB46" s="3187"/>
      <c r="FC46" s="3187"/>
      <c r="FD46" s="3187"/>
      <c r="FE46" s="3187"/>
      <c r="FF46" s="3187"/>
      <c r="FG46" s="2540"/>
      <c r="FH46" s="2540"/>
      <c r="FI46" s="2540"/>
      <c r="FJ46" s="2540"/>
      <c r="FK46" s="2540"/>
      <c r="FL46" s="2540"/>
      <c r="FM46" s="3187"/>
      <c r="FN46" s="3187"/>
      <c r="FO46" s="3187"/>
      <c r="FP46" s="3187"/>
      <c r="FQ46" s="3187"/>
      <c r="FR46" s="3187"/>
      <c r="FS46" s="3187"/>
      <c r="FT46" s="3187"/>
      <c r="FU46" s="3187"/>
      <c r="FV46" s="3187"/>
      <c r="FW46" s="2540"/>
      <c r="FX46" s="2540"/>
      <c r="FY46" s="2540"/>
      <c r="FZ46" s="2540"/>
      <c r="GA46" s="2540"/>
      <c r="GB46" s="2540"/>
      <c r="GC46" s="2540"/>
      <c r="GD46" s="2540"/>
      <c r="GE46" s="2540"/>
      <c r="GF46" s="2540"/>
      <c r="GG46" s="2540"/>
      <c r="GH46" s="2540"/>
      <c r="GI46" s="2540"/>
      <c r="GJ46" s="2540"/>
      <c r="GK46" s="2540"/>
      <c r="GL46" s="2540"/>
      <c r="GM46" s="2540"/>
      <c r="GN46" s="2540"/>
      <c r="GO46" s="2541"/>
    </row>
    <row r="47" spans="8:197" ht="3.6" customHeight="1">
      <c r="M47" s="153"/>
      <c r="P47" s="153"/>
      <c r="Q47" s="153"/>
      <c r="V47" s="154"/>
      <c r="AB47" s="154"/>
      <c r="AC47" s="154"/>
      <c r="AU47" s="153"/>
      <c r="AV47" s="154"/>
      <c r="BF47" s="153"/>
      <c r="BG47" s="153"/>
      <c r="BH47" s="153"/>
      <c r="BK47" s="154"/>
      <c r="BL47" s="154"/>
      <c r="BN47" s="153"/>
      <c r="BQ47" s="154"/>
      <c r="BR47" s="154"/>
      <c r="BS47" s="154"/>
      <c r="CC47" s="153"/>
      <c r="CD47" s="154"/>
      <c r="CV47" s="153"/>
      <c r="CW47" s="153"/>
      <c r="DB47" s="154"/>
      <c r="DH47" s="154"/>
      <c r="DI47" s="154"/>
      <c r="DL47" s="154"/>
      <c r="EE47" s="594"/>
      <c r="EF47" s="594"/>
      <c r="EH47" s="2534"/>
      <c r="EI47" s="2534"/>
      <c r="EJ47" s="2534"/>
      <c r="EK47" s="2534"/>
      <c r="EL47" s="2534"/>
      <c r="EM47" s="2534"/>
      <c r="EN47" s="2534"/>
      <c r="EO47" s="2534"/>
      <c r="EP47" s="2534"/>
      <c r="EQ47" s="2534"/>
      <c r="ER47" s="2534"/>
      <c r="ES47" s="2534"/>
      <c r="ET47" s="2534"/>
      <c r="EU47" s="2534"/>
      <c r="EV47" s="3193"/>
      <c r="EW47" s="3188"/>
      <c r="EX47" s="3188"/>
      <c r="EY47" s="3188"/>
      <c r="EZ47" s="3188"/>
      <c r="FA47" s="3188"/>
      <c r="FB47" s="3188"/>
      <c r="FC47" s="3188"/>
      <c r="FD47" s="3188"/>
      <c r="FE47" s="3188"/>
      <c r="FF47" s="3188"/>
      <c r="FG47" s="3185"/>
      <c r="FH47" s="3185"/>
      <c r="FI47" s="3185"/>
      <c r="FJ47" s="3185"/>
      <c r="FK47" s="3185"/>
      <c r="FL47" s="3185"/>
      <c r="FM47" s="3188"/>
      <c r="FN47" s="3188"/>
      <c r="FO47" s="3188"/>
      <c r="FP47" s="3188"/>
      <c r="FQ47" s="3188"/>
      <c r="FR47" s="3188"/>
      <c r="FS47" s="3188"/>
      <c r="FT47" s="3188"/>
      <c r="FU47" s="3188"/>
      <c r="FV47" s="3188"/>
      <c r="FW47" s="3185"/>
      <c r="FX47" s="3185"/>
      <c r="FY47" s="3185"/>
      <c r="FZ47" s="3185"/>
      <c r="GA47" s="3185"/>
      <c r="GB47" s="3185"/>
      <c r="GC47" s="3185"/>
      <c r="GD47" s="3185"/>
      <c r="GE47" s="3185"/>
      <c r="GF47" s="3185"/>
      <c r="GG47" s="3185"/>
      <c r="GH47" s="3185"/>
      <c r="GI47" s="3185"/>
      <c r="GJ47" s="3185"/>
      <c r="GK47" s="3185"/>
      <c r="GL47" s="3185"/>
      <c r="GM47" s="3185"/>
      <c r="GN47" s="3185"/>
      <c r="GO47" s="3190"/>
    </row>
    <row r="48" spans="8:197" ht="3.6" customHeight="1">
      <c r="M48" s="153"/>
      <c r="P48" s="153"/>
      <c r="Q48" s="153"/>
      <c r="V48" s="154"/>
      <c r="AB48" s="154"/>
      <c r="AC48" s="154"/>
      <c r="AU48" s="153"/>
      <c r="AV48" s="154"/>
      <c r="BF48" s="153"/>
      <c r="BG48" s="153"/>
      <c r="BH48" s="360"/>
      <c r="BI48" s="360"/>
      <c r="BJ48" s="360"/>
      <c r="BK48" s="360"/>
      <c r="BL48" s="154"/>
      <c r="BN48" s="360"/>
      <c r="BO48" s="360"/>
      <c r="BP48" s="360"/>
      <c r="BQ48" s="360"/>
      <c r="BR48" s="154"/>
      <c r="BS48" s="154"/>
      <c r="CC48" s="153"/>
      <c r="CD48" s="154"/>
      <c r="CV48" s="153"/>
      <c r="CW48" s="153"/>
      <c r="DB48" s="154"/>
      <c r="DH48" s="154"/>
      <c r="DI48" s="154"/>
      <c r="DL48" s="154"/>
      <c r="EE48" s="594"/>
      <c r="EF48" s="594"/>
      <c r="EH48" s="2534" t="s">
        <v>2991</v>
      </c>
      <c r="EI48" s="2534"/>
      <c r="EJ48" s="2534"/>
      <c r="EK48" s="2534"/>
      <c r="EL48" s="2534"/>
      <c r="EM48" s="2534"/>
      <c r="EN48" s="2534"/>
      <c r="EO48" s="2534"/>
      <c r="EP48" s="2534"/>
      <c r="EQ48" s="2534"/>
      <c r="ER48" s="2534"/>
      <c r="ES48" s="2534"/>
      <c r="ET48" s="2534"/>
      <c r="EU48" s="2534"/>
      <c r="EV48" s="3191">
        <f>Z185</f>
        <v>2.9</v>
      </c>
      <c r="EW48" s="3186"/>
      <c r="EX48" s="3186"/>
      <c r="EY48" s="3186"/>
      <c r="EZ48" s="3186"/>
      <c r="FA48" s="3186"/>
      <c r="FB48" s="3186"/>
      <c r="FC48" s="3186"/>
      <c r="FD48" s="3186"/>
      <c r="FE48" s="3186"/>
      <c r="FF48" s="3186"/>
      <c r="FG48" s="2556" t="s">
        <v>901</v>
      </c>
      <c r="FH48" s="2556"/>
      <c r="FI48" s="2556"/>
      <c r="FJ48" s="2556"/>
      <c r="FK48" s="2556"/>
      <c r="FL48" s="2556"/>
      <c r="FM48" s="3186">
        <f>FM36</f>
        <v>2.1</v>
      </c>
      <c r="FN48" s="3186"/>
      <c r="FO48" s="3186"/>
      <c r="FP48" s="3186"/>
      <c r="FQ48" s="3186"/>
      <c r="FR48" s="3186"/>
      <c r="FS48" s="3186"/>
      <c r="FT48" s="3186"/>
      <c r="FU48" s="3186"/>
      <c r="FV48" s="3186"/>
      <c r="FW48" s="2556" t="s">
        <v>901</v>
      </c>
      <c r="FX48" s="2556"/>
      <c r="FY48" s="2556"/>
      <c r="FZ48" s="2556"/>
      <c r="GA48" s="2556"/>
      <c r="GB48" s="2556">
        <v>3</v>
      </c>
      <c r="GC48" s="2556"/>
      <c r="GD48" s="2556"/>
      <c r="GE48" s="2556"/>
      <c r="GF48" s="2556"/>
      <c r="GG48" s="2556"/>
      <c r="GH48" s="2556"/>
      <c r="GI48" s="2556" t="s">
        <v>3159</v>
      </c>
      <c r="GJ48" s="2556"/>
      <c r="GK48" s="2556"/>
      <c r="GL48" s="2556"/>
      <c r="GM48" s="2556"/>
      <c r="GN48" s="2556"/>
      <c r="GO48" s="3189"/>
    </row>
    <row r="49" spans="13:197" ht="3.6" customHeight="1">
      <c r="M49" s="153"/>
      <c r="P49" s="153"/>
      <c r="Q49" s="153"/>
      <c r="V49" s="154"/>
      <c r="AB49" s="154"/>
      <c r="AC49" s="154"/>
      <c r="AU49" s="153"/>
      <c r="AV49" s="154"/>
      <c r="BF49" s="153"/>
      <c r="BG49" s="153"/>
      <c r="BH49" s="153"/>
      <c r="BK49" s="154"/>
      <c r="BL49" s="154"/>
      <c r="BN49" s="153"/>
      <c r="BQ49" s="154"/>
      <c r="BR49" s="154"/>
      <c r="BS49" s="154"/>
      <c r="CC49" s="153"/>
      <c r="CD49" s="154"/>
      <c r="CV49" s="153"/>
      <c r="CW49" s="153"/>
      <c r="DB49" s="154"/>
      <c r="DH49" s="154"/>
      <c r="DI49" s="154"/>
      <c r="DL49" s="154"/>
      <c r="EE49" s="594"/>
      <c r="EF49" s="594"/>
      <c r="EH49" s="2534"/>
      <c r="EI49" s="2534"/>
      <c r="EJ49" s="2534"/>
      <c r="EK49" s="2534"/>
      <c r="EL49" s="2534"/>
      <c r="EM49" s="2534"/>
      <c r="EN49" s="2534"/>
      <c r="EO49" s="2534"/>
      <c r="EP49" s="2534"/>
      <c r="EQ49" s="2534"/>
      <c r="ER49" s="2534"/>
      <c r="ES49" s="2534"/>
      <c r="ET49" s="2534"/>
      <c r="EU49" s="2534"/>
      <c r="EV49" s="3192"/>
      <c r="EW49" s="3187"/>
      <c r="EX49" s="3187"/>
      <c r="EY49" s="3187"/>
      <c r="EZ49" s="3187"/>
      <c r="FA49" s="3187"/>
      <c r="FB49" s="3187"/>
      <c r="FC49" s="3187"/>
      <c r="FD49" s="3187"/>
      <c r="FE49" s="3187"/>
      <c r="FF49" s="3187"/>
      <c r="FG49" s="2540"/>
      <c r="FH49" s="2540"/>
      <c r="FI49" s="2540"/>
      <c r="FJ49" s="2540"/>
      <c r="FK49" s="2540"/>
      <c r="FL49" s="2540"/>
      <c r="FM49" s="3187"/>
      <c r="FN49" s="3187"/>
      <c r="FO49" s="3187"/>
      <c r="FP49" s="3187"/>
      <c r="FQ49" s="3187"/>
      <c r="FR49" s="3187"/>
      <c r="FS49" s="3187"/>
      <c r="FT49" s="3187"/>
      <c r="FU49" s="3187"/>
      <c r="FV49" s="3187"/>
      <c r="FW49" s="2540"/>
      <c r="FX49" s="2540"/>
      <c r="FY49" s="2540"/>
      <c r="FZ49" s="2540"/>
      <c r="GA49" s="2540"/>
      <c r="GB49" s="2540"/>
      <c r="GC49" s="2540"/>
      <c r="GD49" s="2540"/>
      <c r="GE49" s="2540"/>
      <c r="GF49" s="2540"/>
      <c r="GG49" s="2540"/>
      <c r="GH49" s="2540"/>
      <c r="GI49" s="2540"/>
      <c r="GJ49" s="2540"/>
      <c r="GK49" s="2540"/>
      <c r="GL49" s="2540"/>
      <c r="GM49" s="2540"/>
      <c r="GN49" s="2540"/>
      <c r="GO49" s="2541"/>
    </row>
    <row r="50" spans="13:197" ht="3.6" customHeight="1">
      <c r="M50" s="153"/>
      <c r="P50" s="153"/>
      <c r="Q50" s="153"/>
      <c r="V50" s="154"/>
      <c r="AB50" s="154"/>
      <c r="AC50" s="154"/>
      <c r="AU50" s="153"/>
      <c r="AV50" s="154"/>
      <c r="BF50" s="153"/>
      <c r="BG50" s="153"/>
      <c r="BH50" s="153"/>
      <c r="BK50" s="154"/>
      <c r="BL50" s="154"/>
      <c r="BN50" s="153"/>
      <c r="BQ50" s="154"/>
      <c r="BR50" s="154"/>
      <c r="BS50" s="154"/>
      <c r="CC50" s="153"/>
      <c r="CD50" s="154"/>
      <c r="CV50" s="153"/>
      <c r="CW50" s="153"/>
      <c r="DB50" s="154"/>
      <c r="DH50" s="154"/>
      <c r="DI50" s="154"/>
      <c r="DL50" s="154"/>
      <c r="EE50" s="594"/>
      <c r="EF50" s="594"/>
      <c r="EH50" s="2534"/>
      <c r="EI50" s="2534"/>
      <c r="EJ50" s="2534"/>
      <c r="EK50" s="2534"/>
      <c r="EL50" s="2534"/>
      <c r="EM50" s="2534"/>
      <c r="EN50" s="2534"/>
      <c r="EO50" s="2534"/>
      <c r="EP50" s="2534"/>
      <c r="EQ50" s="2534"/>
      <c r="ER50" s="2534"/>
      <c r="ES50" s="2534"/>
      <c r="ET50" s="2534"/>
      <c r="EU50" s="2534"/>
      <c r="EV50" s="3192"/>
      <c r="EW50" s="3187"/>
      <c r="EX50" s="3187"/>
      <c r="EY50" s="3187"/>
      <c r="EZ50" s="3187"/>
      <c r="FA50" s="3187"/>
      <c r="FB50" s="3187"/>
      <c r="FC50" s="3187"/>
      <c r="FD50" s="3187"/>
      <c r="FE50" s="3187"/>
      <c r="FF50" s="3187"/>
      <c r="FG50" s="2540"/>
      <c r="FH50" s="2540"/>
      <c r="FI50" s="2540"/>
      <c r="FJ50" s="2540"/>
      <c r="FK50" s="2540"/>
      <c r="FL50" s="2540"/>
      <c r="FM50" s="3187"/>
      <c r="FN50" s="3187"/>
      <c r="FO50" s="3187"/>
      <c r="FP50" s="3187"/>
      <c r="FQ50" s="3187"/>
      <c r="FR50" s="3187"/>
      <c r="FS50" s="3187"/>
      <c r="FT50" s="3187"/>
      <c r="FU50" s="3187"/>
      <c r="FV50" s="3187"/>
      <c r="FW50" s="2540"/>
      <c r="FX50" s="2540"/>
      <c r="FY50" s="2540"/>
      <c r="FZ50" s="2540"/>
      <c r="GA50" s="2540"/>
      <c r="GB50" s="2540"/>
      <c r="GC50" s="2540"/>
      <c r="GD50" s="2540"/>
      <c r="GE50" s="2540"/>
      <c r="GF50" s="2540"/>
      <c r="GG50" s="2540"/>
      <c r="GH50" s="2540"/>
      <c r="GI50" s="2540"/>
      <c r="GJ50" s="2540"/>
      <c r="GK50" s="2540"/>
      <c r="GL50" s="2540"/>
      <c r="GM50" s="2540"/>
      <c r="GN50" s="2540"/>
      <c r="GO50" s="2541"/>
    </row>
    <row r="51" spans="13:197" ht="3.6" customHeight="1">
      <c r="M51" s="153"/>
      <c r="P51" s="153"/>
      <c r="Q51" s="153"/>
      <c r="V51" s="154"/>
      <c r="AB51" s="154"/>
      <c r="AC51" s="154"/>
      <c r="AU51" s="153"/>
      <c r="AV51" s="154"/>
      <c r="BF51" s="153"/>
      <c r="BG51" s="153"/>
      <c r="BH51" s="153"/>
      <c r="BK51" s="154"/>
      <c r="BL51" s="154"/>
      <c r="BN51" s="153"/>
      <c r="BQ51" s="154"/>
      <c r="BR51" s="154"/>
      <c r="BS51" s="154"/>
      <c r="CC51" s="153"/>
      <c r="CD51" s="154"/>
      <c r="CV51" s="153"/>
      <c r="CW51" s="153"/>
      <c r="DB51" s="154"/>
      <c r="DH51" s="154"/>
      <c r="DI51" s="154"/>
      <c r="DL51" s="154"/>
      <c r="EE51" s="594"/>
      <c r="EF51" s="594"/>
      <c r="EH51" s="2534"/>
      <c r="EI51" s="2534"/>
      <c r="EJ51" s="2534"/>
      <c r="EK51" s="2534"/>
      <c r="EL51" s="2534"/>
      <c r="EM51" s="2534"/>
      <c r="EN51" s="2534"/>
      <c r="EO51" s="2534"/>
      <c r="EP51" s="2534"/>
      <c r="EQ51" s="2534"/>
      <c r="ER51" s="2534"/>
      <c r="ES51" s="2534"/>
      <c r="ET51" s="2534"/>
      <c r="EU51" s="2534"/>
      <c r="EV51" s="3193"/>
      <c r="EW51" s="3188"/>
      <c r="EX51" s="3188"/>
      <c r="EY51" s="3188"/>
      <c r="EZ51" s="3188"/>
      <c r="FA51" s="3188"/>
      <c r="FB51" s="3188"/>
      <c r="FC51" s="3188"/>
      <c r="FD51" s="3188"/>
      <c r="FE51" s="3188"/>
      <c r="FF51" s="3188"/>
      <c r="FG51" s="3185"/>
      <c r="FH51" s="3185"/>
      <c r="FI51" s="3185"/>
      <c r="FJ51" s="3185"/>
      <c r="FK51" s="3185"/>
      <c r="FL51" s="3185"/>
      <c r="FM51" s="3188"/>
      <c r="FN51" s="3188"/>
      <c r="FO51" s="3188"/>
      <c r="FP51" s="3188"/>
      <c r="FQ51" s="3188"/>
      <c r="FR51" s="3188"/>
      <c r="FS51" s="3188"/>
      <c r="FT51" s="3188"/>
      <c r="FU51" s="3188"/>
      <c r="FV51" s="3188"/>
      <c r="FW51" s="3185"/>
      <c r="FX51" s="3185"/>
      <c r="FY51" s="3185"/>
      <c r="FZ51" s="3185"/>
      <c r="GA51" s="3185"/>
      <c r="GB51" s="3185"/>
      <c r="GC51" s="3185"/>
      <c r="GD51" s="3185"/>
      <c r="GE51" s="3185"/>
      <c r="GF51" s="3185"/>
      <c r="GG51" s="3185"/>
      <c r="GH51" s="3185"/>
      <c r="GI51" s="3185"/>
      <c r="GJ51" s="3185"/>
      <c r="GK51" s="3185"/>
      <c r="GL51" s="3185"/>
      <c r="GM51" s="3185"/>
      <c r="GN51" s="3185"/>
      <c r="GO51" s="3190"/>
    </row>
    <row r="52" spans="13:197" ht="3.6" customHeight="1">
      <c r="M52" s="153"/>
      <c r="P52" s="153"/>
      <c r="Q52" s="153"/>
      <c r="V52" s="154"/>
      <c r="AB52" s="154"/>
      <c r="AC52" s="154"/>
      <c r="AU52" s="153"/>
      <c r="AV52" s="154"/>
      <c r="BF52" s="153"/>
      <c r="BG52" s="153"/>
      <c r="BH52" s="153"/>
      <c r="BK52" s="154"/>
      <c r="BL52" s="154"/>
      <c r="BN52" s="153"/>
      <c r="BQ52" s="154"/>
      <c r="BR52" s="154"/>
      <c r="BS52" s="154"/>
      <c r="CC52" s="153"/>
      <c r="CD52" s="154"/>
      <c r="CV52" s="153"/>
      <c r="CW52" s="153"/>
      <c r="DB52" s="154"/>
      <c r="DH52" s="154"/>
      <c r="DI52" s="154"/>
      <c r="DL52" s="154"/>
      <c r="EE52" s="594"/>
      <c r="EF52" s="594"/>
      <c r="EH52" s="2534"/>
      <c r="EI52" s="2534"/>
      <c r="EJ52" s="2534"/>
      <c r="EK52" s="2534"/>
      <c r="EL52" s="2534"/>
      <c r="EM52" s="2534"/>
      <c r="EN52" s="2534"/>
      <c r="EO52" s="2534"/>
      <c r="EP52" s="2534"/>
      <c r="EQ52" s="2534"/>
      <c r="ER52" s="2534"/>
      <c r="ES52" s="2534"/>
      <c r="ET52" s="2534"/>
      <c r="EU52" s="2534"/>
      <c r="EV52" s="3191">
        <f>BP176</f>
        <v>1.8</v>
      </c>
      <c r="EW52" s="3186"/>
      <c r="EX52" s="3186"/>
      <c r="EY52" s="3186"/>
      <c r="EZ52" s="3186"/>
      <c r="FA52" s="3186"/>
      <c r="FB52" s="3186"/>
      <c r="FC52" s="3186"/>
      <c r="FD52" s="3186"/>
      <c r="FE52" s="3186"/>
      <c r="FF52" s="3186"/>
      <c r="FG52" s="2556" t="s">
        <v>901</v>
      </c>
      <c r="FH52" s="2556"/>
      <c r="FI52" s="2556"/>
      <c r="FJ52" s="2556"/>
      <c r="FK52" s="2556"/>
      <c r="FL52" s="2556"/>
      <c r="FM52" s="3186">
        <f>FM48</f>
        <v>2.1</v>
      </c>
      <c r="FN52" s="3186"/>
      <c r="FO52" s="3186"/>
      <c r="FP52" s="3186"/>
      <c r="FQ52" s="3186"/>
      <c r="FR52" s="3186"/>
      <c r="FS52" s="3186"/>
      <c r="FT52" s="3186"/>
      <c r="FU52" s="3186"/>
      <c r="FV52" s="3186"/>
      <c r="FW52" s="2556" t="s">
        <v>901</v>
      </c>
      <c r="FX52" s="2556"/>
      <c r="FY52" s="2556"/>
      <c r="FZ52" s="2556"/>
      <c r="GA52" s="2556"/>
      <c r="GB52" s="2556">
        <v>2</v>
      </c>
      <c r="GC52" s="2556"/>
      <c r="GD52" s="2556"/>
      <c r="GE52" s="2556"/>
      <c r="GF52" s="2556"/>
      <c r="GG52" s="2556"/>
      <c r="GH52" s="2556"/>
      <c r="GI52" s="2556" t="s">
        <v>3159</v>
      </c>
      <c r="GJ52" s="2556"/>
      <c r="GK52" s="2556"/>
      <c r="GL52" s="2556"/>
      <c r="GM52" s="2556"/>
      <c r="GN52" s="2556"/>
      <c r="GO52" s="3189"/>
    </row>
    <row r="53" spans="13:197" ht="3.6" customHeight="1">
      <c r="M53" s="153"/>
      <c r="P53" s="153"/>
      <c r="Q53" s="153"/>
      <c r="V53" s="154"/>
      <c r="AB53" s="154"/>
      <c r="AC53" s="154"/>
      <c r="AU53" s="153"/>
      <c r="AV53" s="154"/>
      <c r="BF53" s="153"/>
      <c r="BG53" s="153"/>
      <c r="BH53" s="153"/>
      <c r="BK53" s="154"/>
      <c r="BL53" s="154"/>
      <c r="BN53" s="153"/>
      <c r="BQ53" s="154"/>
      <c r="BR53" s="154"/>
      <c r="BS53" s="154"/>
      <c r="CC53" s="153"/>
      <c r="CD53" s="154"/>
      <c r="CV53" s="153"/>
      <c r="CW53" s="153"/>
      <c r="DB53" s="154"/>
      <c r="DH53" s="154"/>
      <c r="DI53" s="154"/>
      <c r="DL53" s="154"/>
      <c r="EE53" s="594"/>
      <c r="EF53" s="594"/>
      <c r="EH53" s="2534"/>
      <c r="EI53" s="2534"/>
      <c r="EJ53" s="2534"/>
      <c r="EK53" s="2534"/>
      <c r="EL53" s="2534"/>
      <c r="EM53" s="2534"/>
      <c r="EN53" s="2534"/>
      <c r="EO53" s="2534"/>
      <c r="EP53" s="2534"/>
      <c r="EQ53" s="2534"/>
      <c r="ER53" s="2534"/>
      <c r="ES53" s="2534"/>
      <c r="ET53" s="2534"/>
      <c r="EU53" s="2534"/>
      <c r="EV53" s="3192"/>
      <c r="EW53" s="3187"/>
      <c r="EX53" s="3187"/>
      <c r="EY53" s="3187"/>
      <c r="EZ53" s="3187"/>
      <c r="FA53" s="3187"/>
      <c r="FB53" s="3187"/>
      <c r="FC53" s="3187"/>
      <c r="FD53" s="3187"/>
      <c r="FE53" s="3187"/>
      <c r="FF53" s="3187"/>
      <c r="FG53" s="2540"/>
      <c r="FH53" s="2540"/>
      <c r="FI53" s="2540"/>
      <c r="FJ53" s="2540"/>
      <c r="FK53" s="2540"/>
      <c r="FL53" s="2540"/>
      <c r="FM53" s="3187"/>
      <c r="FN53" s="3187"/>
      <c r="FO53" s="3187"/>
      <c r="FP53" s="3187"/>
      <c r="FQ53" s="3187"/>
      <c r="FR53" s="3187"/>
      <c r="FS53" s="3187"/>
      <c r="FT53" s="3187"/>
      <c r="FU53" s="3187"/>
      <c r="FV53" s="3187"/>
      <c r="FW53" s="2540"/>
      <c r="FX53" s="2540"/>
      <c r="FY53" s="2540"/>
      <c r="FZ53" s="2540"/>
      <c r="GA53" s="2540"/>
      <c r="GB53" s="2540"/>
      <c r="GC53" s="2540"/>
      <c r="GD53" s="2540"/>
      <c r="GE53" s="2540"/>
      <c r="GF53" s="2540"/>
      <c r="GG53" s="2540"/>
      <c r="GH53" s="2540"/>
      <c r="GI53" s="2540"/>
      <c r="GJ53" s="2540"/>
      <c r="GK53" s="2540"/>
      <c r="GL53" s="2540"/>
      <c r="GM53" s="2540"/>
      <c r="GN53" s="2540"/>
      <c r="GO53" s="2541"/>
    </row>
    <row r="54" spans="13:197" ht="3.6" customHeight="1">
      <c r="M54" s="153"/>
      <c r="P54" s="153"/>
      <c r="Q54" s="153"/>
      <c r="V54" s="154"/>
      <c r="AB54" s="154"/>
      <c r="AC54" s="154"/>
      <c r="AU54" s="153"/>
      <c r="AV54" s="154"/>
      <c r="BF54" s="153"/>
      <c r="BG54" s="153"/>
      <c r="BH54" s="156"/>
      <c r="BI54" s="41"/>
      <c r="BJ54" s="41"/>
      <c r="BK54" s="159"/>
      <c r="BL54" s="154"/>
      <c r="BN54" s="156"/>
      <c r="BO54" s="41"/>
      <c r="BP54" s="41"/>
      <c r="BQ54" s="159"/>
      <c r="BR54" s="154"/>
      <c r="BS54" s="154"/>
      <c r="CC54" s="153"/>
      <c r="CD54" s="154"/>
      <c r="CV54" s="153"/>
      <c r="CW54" s="153"/>
      <c r="DB54" s="154"/>
      <c r="DH54" s="154"/>
      <c r="DI54" s="154"/>
      <c r="DL54" s="154"/>
      <c r="EE54" s="594"/>
      <c r="EF54" s="594"/>
      <c r="EH54" s="2534"/>
      <c r="EI54" s="2534"/>
      <c r="EJ54" s="2534"/>
      <c r="EK54" s="2534"/>
      <c r="EL54" s="2534"/>
      <c r="EM54" s="2534"/>
      <c r="EN54" s="2534"/>
      <c r="EO54" s="2534"/>
      <c r="EP54" s="2534"/>
      <c r="EQ54" s="2534"/>
      <c r="ER54" s="2534"/>
      <c r="ES54" s="2534"/>
      <c r="ET54" s="2534"/>
      <c r="EU54" s="2534"/>
      <c r="EV54" s="3192"/>
      <c r="EW54" s="3187"/>
      <c r="EX54" s="3187"/>
      <c r="EY54" s="3187"/>
      <c r="EZ54" s="3187"/>
      <c r="FA54" s="3187"/>
      <c r="FB54" s="3187"/>
      <c r="FC54" s="3187"/>
      <c r="FD54" s="3187"/>
      <c r="FE54" s="3187"/>
      <c r="FF54" s="3187"/>
      <c r="FG54" s="2540"/>
      <c r="FH54" s="2540"/>
      <c r="FI54" s="2540"/>
      <c r="FJ54" s="2540"/>
      <c r="FK54" s="2540"/>
      <c r="FL54" s="2540"/>
      <c r="FM54" s="3187"/>
      <c r="FN54" s="3187"/>
      <c r="FO54" s="3187"/>
      <c r="FP54" s="3187"/>
      <c r="FQ54" s="3187"/>
      <c r="FR54" s="3187"/>
      <c r="FS54" s="3187"/>
      <c r="FT54" s="3187"/>
      <c r="FU54" s="3187"/>
      <c r="FV54" s="3187"/>
      <c r="FW54" s="2540"/>
      <c r="FX54" s="2540"/>
      <c r="FY54" s="2540"/>
      <c r="FZ54" s="2540"/>
      <c r="GA54" s="2540"/>
      <c r="GB54" s="2540"/>
      <c r="GC54" s="2540"/>
      <c r="GD54" s="2540"/>
      <c r="GE54" s="2540"/>
      <c r="GF54" s="2540"/>
      <c r="GG54" s="2540"/>
      <c r="GH54" s="2540"/>
      <c r="GI54" s="2540"/>
      <c r="GJ54" s="2540"/>
      <c r="GK54" s="2540"/>
      <c r="GL54" s="2540"/>
      <c r="GM54" s="2540"/>
      <c r="GN54" s="2540"/>
      <c r="GO54" s="2541"/>
    </row>
    <row r="55" spans="13:197" ht="3.6" customHeight="1">
      <c r="M55" s="153"/>
      <c r="P55" s="153"/>
      <c r="Q55" s="153"/>
      <c r="V55" s="154"/>
      <c r="AB55" s="154"/>
      <c r="AC55" s="154"/>
      <c r="AU55" s="153"/>
      <c r="AV55" s="154"/>
      <c r="BF55" s="153"/>
      <c r="BG55" s="361"/>
      <c r="BH55" s="41"/>
      <c r="BI55" s="41"/>
      <c r="BJ55" s="41"/>
      <c r="BK55" s="41"/>
      <c r="BL55" s="596"/>
      <c r="BM55" s="361"/>
      <c r="BN55" s="41"/>
      <c r="BO55" s="41"/>
      <c r="BP55" s="41"/>
      <c r="BQ55" s="41"/>
      <c r="BR55" s="596"/>
      <c r="BS55" s="154"/>
      <c r="CC55" s="153"/>
      <c r="CD55" s="154"/>
      <c r="CV55" s="153"/>
      <c r="CW55" s="153"/>
      <c r="DB55" s="154"/>
      <c r="DH55" s="154"/>
      <c r="DI55" s="154"/>
      <c r="DL55" s="154"/>
      <c r="EE55" s="594"/>
      <c r="EF55" s="594"/>
      <c r="EH55" s="2534"/>
      <c r="EI55" s="2534"/>
      <c r="EJ55" s="2534"/>
      <c r="EK55" s="2534"/>
      <c r="EL55" s="2534"/>
      <c r="EM55" s="2534"/>
      <c r="EN55" s="2534"/>
      <c r="EO55" s="2534"/>
      <c r="EP55" s="2534"/>
      <c r="EQ55" s="2534"/>
      <c r="ER55" s="2534"/>
      <c r="ES55" s="2534"/>
      <c r="ET55" s="2534"/>
      <c r="EU55" s="2534"/>
      <c r="EV55" s="3193"/>
      <c r="EW55" s="3188"/>
      <c r="EX55" s="3188"/>
      <c r="EY55" s="3188"/>
      <c r="EZ55" s="3188"/>
      <c r="FA55" s="3188"/>
      <c r="FB55" s="3188"/>
      <c r="FC55" s="3188"/>
      <c r="FD55" s="3188"/>
      <c r="FE55" s="3188"/>
      <c r="FF55" s="3188"/>
      <c r="FG55" s="3185"/>
      <c r="FH55" s="3185"/>
      <c r="FI55" s="3185"/>
      <c r="FJ55" s="3185"/>
      <c r="FK55" s="3185"/>
      <c r="FL55" s="3185"/>
      <c r="FM55" s="3188"/>
      <c r="FN55" s="3188"/>
      <c r="FO55" s="3188"/>
      <c r="FP55" s="3188"/>
      <c r="FQ55" s="3188"/>
      <c r="FR55" s="3188"/>
      <c r="FS55" s="3188"/>
      <c r="FT55" s="3188"/>
      <c r="FU55" s="3188"/>
      <c r="FV55" s="3188"/>
      <c r="FW55" s="3185"/>
      <c r="FX55" s="3185"/>
      <c r="FY55" s="3185"/>
      <c r="FZ55" s="3185"/>
      <c r="GA55" s="3185"/>
      <c r="GB55" s="3185"/>
      <c r="GC55" s="3185"/>
      <c r="GD55" s="3185"/>
      <c r="GE55" s="3185"/>
      <c r="GF55" s="3185"/>
      <c r="GG55" s="3185"/>
      <c r="GH55" s="3185"/>
      <c r="GI55" s="3185"/>
      <c r="GJ55" s="3185"/>
      <c r="GK55" s="3185"/>
      <c r="GL55" s="3185"/>
      <c r="GM55" s="3185"/>
      <c r="GN55" s="3185"/>
      <c r="GO55" s="3190"/>
    </row>
    <row r="56" spans="13:197" ht="3.6" customHeight="1">
      <c r="M56" s="153"/>
      <c r="P56" s="153"/>
      <c r="Q56" s="153"/>
      <c r="V56" s="154"/>
      <c r="AB56" s="154"/>
      <c r="AC56" s="154"/>
      <c r="AU56" s="153"/>
      <c r="AV56" s="154"/>
      <c r="BF56" s="156"/>
      <c r="BG56" s="41"/>
      <c r="BH56" s="41"/>
      <c r="BI56" s="41"/>
      <c r="BJ56" s="41"/>
      <c r="BK56" s="41"/>
      <c r="BL56" s="41"/>
      <c r="BM56" s="41"/>
      <c r="BN56" s="41"/>
      <c r="BO56" s="41"/>
      <c r="BP56" s="41"/>
      <c r="BQ56" s="41"/>
      <c r="BR56" s="41"/>
      <c r="BS56" s="159"/>
      <c r="CC56" s="153"/>
      <c r="CD56" s="154"/>
      <c r="CV56" s="153"/>
      <c r="CW56" s="153"/>
      <c r="DB56" s="154"/>
      <c r="DH56" s="154"/>
      <c r="DI56" s="154"/>
      <c r="DL56" s="154"/>
      <c r="EE56" s="594"/>
      <c r="EF56" s="594"/>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row>
    <row r="57" spans="13:197" ht="3.6" customHeight="1">
      <c r="M57" s="153"/>
      <c r="P57" s="153"/>
      <c r="Q57" s="153"/>
      <c r="V57" s="154"/>
      <c r="AB57" s="154"/>
      <c r="AC57" s="154"/>
      <c r="AU57" s="153"/>
      <c r="AV57" s="154"/>
      <c r="CC57" s="153"/>
      <c r="CD57" s="154"/>
      <c r="CV57" s="153"/>
      <c r="CW57" s="153"/>
      <c r="DB57" s="154"/>
      <c r="DH57" s="154"/>
      <c r="DI57" s="154"/>
      <c r="DL57" s="154"/>
      <c r="EE57" s="594"/>
      <c r="EF57" s="594"/>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row>
    <row r="58" spans="13:197" ht="3.6" customHeight="1">
      <c r="M58" s="153"/>
      <c r="P58" s="153"/>
      <c r="Q58" s="153"/>
      <c r="V58" s="154"/>
      <c r="AB58" s="154"/>
      <c r="AC58" s="154"/>
      <c r="AU58" s="153"/>
      <c r="AV58" s="154"/>
      <c r="CC58" s="153"/>
      <c r="CD58" s="154"/>
      <c r="CO58" s="13" t="s">
        <v>3160</v>
      </c>
      <c r="CV58" s="153"/>
      <c r="CW58" s="153"/>
      <c r="DB58" s="154"/>
      <c r="DH58" s="154"/>
      <c r="DI58" s="154"/>
      <c r="DL58" s="154"/>
      <c r="EE58" s="594"/>
      <c r="EF58" s="594"/>
      <c r="EH58" s="140"/>
      <c r="EI58" s="140"/>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c r="GO58" s="140"/>
    </row>
    <row r="59" spans="13:197" ht="3.6" customHeight="1">
      <c r="M59" s="153"/>
      <c r="P59" s="153"/>
      <c r="Q59" s="153"/>
      <c r="V59" s="154"/>
      <c r="AB59" s="154"/>
      <c r="AC59" s="154"/>
      <c r="AU59" s="153"/>
      <c r="AV59" s="154"/>
      <c r="CC59" s="153"/>
      <c r="CD59" s="154"/>
      <c r="CV59" s="153"/>
      <c r="CW59" s="153"/>
      <c r="DB59" s="154"/>
      <c r="DH59" s="154"/>
      <c r="DI59" s="154"/>
      <c r="DL59" s="154"/>
      <c r="EE59" s="594"/>
      <c r="EF59" s="594"/>
      <c r="EH59" s="140"/>
      <c r="EI59" s="140"/>
      <c r="EJ59" s="140"/>
      <c r="EK59" s="140"/>
      <c r="EL59" s="140"/>
      <c r="EM59" s="140"/>
      <c r="EN59" s="140"/>
      <c r="EO59" s="140"/>
      <c r="EP59" s="140"/>
      <c r="EQ59" s="140"/>
      <c r="ER59" s="140"/>
      <c r="ES59" s="140"/>
      <c r="ET59" s="140"/>
      <c r="EU59" s="140"/>
      <c r="EV59" s="140"/>
      <c r="EW59" s="140"/>
      <c r="EX59" s="140"/>
      <c r="EY59" s="140"/>
      <c r="EZ59" s="140"/>
      <c r="FA59" s="140"/>
      <c r="FB59" s="140"/>
      <c r="FC59" s="140"/>
      <c r="FD59" s="140"/>
      <c r="FE59" s="140"/>
      <c r="FF59" s="140"/>
      <c r="FG59" s="140"/>
      <c r="FH59" s="140"/>
      <c r="FI59" s="140"/>
      <c r="FJ59" s="140"/>
      <c r="FK59" s="140"/>
      <c r="FL59" s="140"/>
      <c r="FM59" s="140"/>
      <c r="FN59" s="140"/>
      <c r="FO59" s="140"/>
      <c r="FP59" s="140"/>
      <c r="FQ59" s="140"/>
      <c r="FR59" s="140"/>
      <c r="FS59" s="140"/>
      <c r="FT59" s="140"/>
      <c r="FU59" s="140"/>
      <c r="FV59" s="140"/>
      <c r="FW59" s="140"/>
      <c r="FX59" s="140"/>
      <c r="FY59" s="140"/>
      <c r="FZ59" s="140"/>
      <c r="GA59" s="140"/>
      <c r="GB59" s="140"/>
      <c r="GC59" s="140"/>
      <c r="GD59" s="140"/>
      <c r="GE59" s="140"/>
      <c r="GF59" s="140"/>
      <c r="GG59" s="140"/>
      <c r="GH59" s="140"/>
      <c r="GI59" s="140"/>
      <c r="GJ59" s="140"/>
      <c r="GK59" s="140"/>
      <c r="GL59" s="140"/>
      <c r="GM59" s="140"/>
      <c r="GN59" s="140"/>
      <c r="GO59" s="140"/>
    </row>
    <row r="60" spans="13:197" ht="3.6" customHeight="1">
      <c r="M60" s="153"/>
      <c r="P60" s="153"/>
      <c r="Q60" s="153"/>
      <c r="V60" s="154"/>
      <c r="AB60" s="154"/>
      <c r="AC60" s="154"/>
      <c r="AU60" s="153"/>
      <c r="AV60" s="154"/>
      <c r="CC60" s="153"/>
      <c r="CD60" s="154"/>
      <c r="CV60" s="153"/>
      <c r="CW60" s="153"/>
      <c r="DB60" s="154"/>
      <c r="DH60" s="154"/>
      <c r="DI60" s="154"/>
      <c r="DL60" s="154"/>
      <c r="EE60" s="594"/>
      <c r="EF60" s="594"/>
      <c r="EH60" s="140"/>
      <c r="EI60" s="140"/>
      <c r="EJ60" s="140"/>
      <c r="EK60" s="140"/>
      <c r="EL60" s="140"/>
      <c r="EM60" s="140"/>
      <c r="EN60" s="140"/>
      <c r="EO60" s="140"/>
      <c r="EP60" s="140"/>
      <c r="EQ60" s="140"/>
      <c r="ER60" s="140"/>
      <c r="ES60" s="140"/>
      <c r="ET60" s="140"/>
      <c r="EU60" s="140"/>
      <c r="EV60" s="140"/>
      <c r="EW60" s="140"/>
      <c r="EX60" s="140"/>
      <c r="EY60" s="140"/>
      <c r="EZ60" s="140"/>
      <c r="FA60" s="140"/>
      <c r="FB60" s="140"/>
      <c r="FC60" s="140"/>
      <c r="FD60" s="140"/>
      <c r="FE60" s="140"/>
      <c r="FF60" s="140"/>
      <c r="FG60" s="140"/>
      <c r="FH60" s="140"/>
      <c r="FI60" s="140"/>
      <c r="FJ60" s="140"/>
      <c r="FK60" s="140"/>
      <c r="FL60" s="140"/>
      <c r="FM60" s="140"/>
      <c r="FN60" s="140"/>
      <c r="FO60" s="140"/>
      <c r="FP60" s="140"/>
      <c r="FQ60" s="140"/>
      <c r="FR60" s="140"/>
      <c r="FS60" s="140"/>
      <c r="FT60" s="140"/>
      <c r="FU60" s="140"/>
      <c r="FV60" s="140"/>
      <c r="FW60" s="140"/>
      <c r="FX60" s="140"/>
      <c r="FY60" s="140"/>
      <c r="FZ60" s="140"/>
      <c r="GA60" s="140"/>
      <c r="GB60" s="140"/>
      <c r="GC60" s="140"/>
      <c r="GD60" s="140"/>
      <c r="GE60" s="140"/>
      <c r="GF60" s="140"/>
      <c r="GG60" s="140"/>
      <c r="GH60" s="140"/>
      <c r="GI60" s="140"/>
      <c r="GJ60" s="140"/>
      <c r="GK60" s="140"/>
      <c r="GL60" s="140"/>
      <c r="GM60" s="140"/>
      <c r="GN60" s="140"/>
      <c r="GO60" s="140"/>
    </row>
    <row r="61" spans="13:197" ht="3.6" customHeight="1">
      <c r="M61" s="153"/>
      <c r="P61" s="153"/>
      <c r="Q61" s="153"/>
      <c r="V61" s="154"/>
      <c r="AB61" s="154"/>
      <c r="AC61" s="154"/>
      <c r="AU61" s="153"/>
      <c r="AV61" s="154"/>
      <c r="CC61" s="153"/>
      <c r="CD61" s="154"/>
      <c r="CV61" s="153"/>
      <c r="CW61" s="153"/>
      <c r="DB61" s="154"/>
      <c r="DH61" s="154"/>
      <c r="DI61" s="154"/>
      <c r="DL61" s="154"/>
      <c r="EE61" s="594"/>
      <c r="EF61" s="594"/>
      <c r="EH61" s="140"/>
      <c r="EI61" s="140"/>
      <c r="EJ61" s="140"/>
      <c r="EK61" s="140"/>
      <c r="EL61" s="140"/>
      <c r="EM61" s="140"/>
      <c r="EN61" s="140"/>
      <c r="EO61" s="140"/>
      <c r="EP61" s="140"/>
      <c r="EQ61" s="140"/>
      <c r="ER61" s="140"/>
      <c r="ES61" s="140"/>
      <c r="ET61" s="140"/>
      <c r="EU61" s="140"/>
      <c r="EV61" s="140"/>
      <c r="EW61" s="140"/>
      <c r="EX61" s="140"/>
      <c r="EY61" s="140"/>
      <c r="EZ61" s="140"/>
      <c r="FA61" s="140"/>
      <c r="FB61" s="140"/>
      <c r="FC61" s="140"/>
      <c r="FD61" s="140"/>
      <c r="FE61" s="140"/>
      <c r="FF61" s="140"/>
      <c r="FG61" s="140"/>
      <c r="FH61" s="140"/>
      <c r="FI61" s="140"/>
      <c r="FJ61" s="140"/>
      <c r="FK61" s="140"/>
      <c r="FL61" s="140"/>
      <c r="FM61" s="140"/>
      <c r="FN61" s="140"/>
      <c r="FO61" s="140"/>
      <c r="FP61" s="140"/>
      <c r="FQ61" s="140"/>
      <c r="FR61" s="140"/>
      <c r="FS61" s="140"/>
      <c r="FT61" s="140"/>
      <c r="FU61" s="140"/>
      <c r="FV61" s="140"/>
      <c r="FW61" s="140"/>
      <c r="FX61" s="140"/>
      <c r="FY61" s="140"/>
      <c r="FZ61" s="140"/>
      <c r="GA61" s="140"/>
      <c r="GB61" s="140"/>
      <c r="GC61" s="140"/>
      <c r="GD61" s="140"/>
      <c r="GE61" s="140"/>
      <c r="GF61" s="140"/>
      <c r="GG61" s="140"/>
      <c r="GK61" s="140"/>
      <c r="GL61" s="140"/>
      <c r="GM61" s="140"/>
      <c r="GN61" s="140"/>
      <c r="GO61" s="140"/>
    </row>
    <row r="62" spans="13:197" ht="3.6" customHeight="1">
      <c r="M62" s="153"/>
      <c r="P62" s="153"/>
      <c r="Q62" s="153"/>
      <c r="V62" s="154"/>
      <c r="AB62" s="154"/>
      <c r="AC62" s="154"/>
      <c r="AU62" s="153"/>
      <c r="AV62" s="154"/>
      <c r="CC62" s="153"/>
      <c r="CD62" s="154"/>
      <c r="CV62" s="153"/>
      <c r="CW62" s="153"/>
      <c r="DB62" s="154"/>
      <c r="DH62" s="154"/>
      <c r="DI62" s="154"/>
      <c r="DL62" s="154"/>
      <c r="EE62" s="594"/>
      <c r="EF62" s="594"/>
      <c r="EH62" s="140"/>
      <c r="EI62" s="140"/>
      <c r="EJ62" s="140"/>
      <c r="EK62" s="140"/>
      <c r="EL62" s="140"/>
      <c r="EM62" s="140"/>
      <c r="EN62" s="140"/>
      <c r="EO62" s="140"/>
      <c r="EP62" s="140"/>
      <c r="EQ62" s="140"/>
      <c r="ER62" s="140"/>
      <c r="ES62" s="140"/>
      <c r="ET62" s="140"/>
      <c r="EU62" s="140"/>
      <c r="EV62" s="140"/>
      <c r="EW62" s="140"/>
      <c r="EX62" s="140"/>
      <c r="EY62" s="140"/>
      <c r="EZ62" s="140"/>
      <c r="FA62" s="140"/>
      <c r="FB62" s="140"/>
      <c r="FC62" s="140"/>
      <c r="FD62" s="140"/>
      <c r="FE62" s="140"/>
      <c r="FF62" s="140"/>
      <c r="FG62" s="140"/>
      <c r="FH62" s="140"/>
      <c r="FI62" s="140"/>
      <c r="FJ62" s="140"/>
      <c r="FK62" s="140"/>
      <c r="FL62" s="140"/>
      <c r="FM62" s="140"/>
      <c r="FN62" s="140"/>
      <c r="FO62" s="140"/>
      <c r="FP62" s="140"/>
      <c r="FQ62" s="140"/>
      <c r="FR62" s="140"/>
      <c r="FS62" s="140"/>
      <c r="FT62" s="140"/>
      <c r="FU62" s="140"/>
      <c r="FV62" s="140"/>
      <c r="FW62" s="140"/>
      <c r="FX62" s="140"/>
      <c r="FY62" s="140"/>
      <c r="FZ62" s="140"/>
      <c r="GA62" s="140"/>
      <c r="GB62" s="140"/>
      <c r="GC62" s="140"/>
      <c r="GD62" s="140"/>
      <c r="GE62" s="140"/>
      <c r="GF62" s="140"/>
      <c r="GG62" s="140"/>
      <c r="GK62" s="140"/>
      <c r="GL62" s="140"/>
      <c r="GM62" s="140"/>
      <c r="GN62" s="140"/>
      <c r="GO62" s="140"/>
    </row>
    <row r="63" spans="13:197" ht="3.6" customHeight="1">
      <c r="M63" s="153"/>
      <c r="P63" s="153"/>
      <c r="Q63" s="153"/>
      <c r="V63" s="154"/>
      <c r="AB63" s="154"/>
      <c r="AC63" s="154"/>
      <c r="AU63" s="153"/>
      <c r="AV63" s="154"/>
      <c r="CC63" s="153"/>
      <c r="CD63" s="154"/>
      <c r="CV63" s="153"/>
      <c r="CW63" s="153"/>
      <c r="DB63" s="154"/>
      <c r="DH63" s="154"/>
      <c r="DI63" s="154"/>
      <c r="DL63" s="154"/>
      <c r="EE63" s="594"/>
      <c r="EF63" s="594"/>
      <c r="EH63" s="140"/>
      <c r="EI63" s="140"/>
      <c r="EJ63" s="140"/>
      <c r="EK63" s="140"/>
      <c r="EL63" s="140"/>
      <c r="EM63" s="140"/>
      <c r="EN63" s="140"/>
      <c r="EO63" s="140"/>
      <c r="EP63" s="140"/>
      <c r="EQ63" s="140"/>
      <c r="ER63" s="140"/>
      <c r="ES63" s="140"/>
      <c r="ET63" s="140"/>
      <c r="EU63" s="140"/>
      <c r="EV63" s="140"/>
      <c r="EW63" s="140"/>
      <c r="EX63" s="140"/>
      <c r="EY63" s="140"/>
      <c r="EZ63" s="140"/>
      <c r="FA63" s="140"/>
      <c r="FB63" s="140"/>
      <c r="FC63" s="140"/>
      <c r="FD63" s="140"/>
      <c r="FE63" s="140"/>
      <c r="FF63" s="140"/>
      <c r="FG63" s="140"/>
      <c r="FH63" s="140"/>
      <c r="FI63" s="140"/>
      <c r="FJ63" s="140"/>
      <c r="FK63" s="140"/>
      <c r="FL63" s="140"/>
      <c r="FM63" s="140"/>
      <c r="FN63" s="140"/>
      <c r="FO63" s="140"/>
      <c r="FP63" s="140"/>
      <c r="FQ63" s="140"/>
      <c r="FR63" s="140"/>
      <c r="FS63" s="140"/>
      <c r="FT63" s="140"/>
      <c r="FU63" s="140"/>
      <c r="FV63" s="140"/>
      <c r="FW63" s="140"/>
      <c r="FX63" s="140"/>
      <c r="FY63" s="140"/>
      <c r="FZ63" s="140"/>
      <c r="GA63" s="140"/>
      <c r="GB63" s="140"/>
      <c r="GC63" s="140"/>
      <c r="GD63" s="140"/>
      <c r="GE63" s="140"/>
      <c r="GF63" s="140"/>
      <c r="GG63" s="140"/>
      <c r="GK63" s="140"/>
      <c r="GL63" s="140"/>
      <c r="GM63" s="140"/>
      <c r="GN63" s="140"/>
      <c r="GO63" s="140"/>
    </row>
    <row r="64" spans="13:197" ht="3.6" customHeight="1">
      <c r="M64" s="153"/>
      <c r="P64" s="153"/>
      <c r="Q64" s="156"/>
      <c r="R64" s="41"/>
      <c r="S64" s="41"/>
      <c r="T64" s="41"/>
      <c r="U64" s="41"/>
      <c r="V64" s="159"/>
      <c r="W64" s="41"/>
      <c r="X64" s="41"/>
      <c r="Y64" s="41"/>
      <c r="Z64" s="41"/>
      <c r="AA64" s="41"/>
      <c r="AB64" s="159"/>
      <c r="AC64" s="154"/>
      <c r="AU64" s="153"/>
      <c r="AV64" s="154"/>
      <c r="CC64" s="153"/>
      <c r="CD64" s="154"/>
      <c r="CV64" s="153"/>
      <c r="CW64" s="156"/>
      <c r="CX64" s="41"/>
      <c r="CY64" s="41"/>
      <c r="CZ64" s="41"/>
      <c r="DA64" s="41"/>
      <c r="DB64" s="159"/>
      <c r="DC64" s="41"/>
      <c r="DD64" s="41"/>
      <c r="DE64" s="41"/>
      <c r="DF64" s="41"/>
      <c r="DG64" s="41"/>
      <c r="DH64" s="159"/>
      <c r="DI64" s="154"/>
      <c r="DL64" s="154"/>
      <c r="EE64" s="594"/>
      <c r="EF64" s="594"/>
      <c r="EH64" s="140"/>
      <c r="EI64" s="140"/>
      <c r="EJ64" s="140"/>
      <c r="EK64" s="140"/>
      <c r="EL64" s="140"/>
      <c r="EM64" s="140"/>
      <c r="EN64" s="140"/>
      <c r="EO64" s="140"/>
      <c r="EP64" s="140"/>
      <c r="EQ64" s="140"/>
      <c r="ER64" s="140"/>
      <c r="ES64" s="140"/>
      <c r="ET64" s="140"/>
      <c r="EU64" s="140"/>
      <c r="EV64" s="140"/>
      <c r="EW64" s="140"/>
      <c r="EX64" s="140"/>
      <c r="EY64" s="140"/>
      <c r="EZ64" s="140"/>
      <c r="FA64" s="140"/>
      <c r="FB64" s="140"/>
      <c r="FC64" s="140"/>
      <c r="FD64" s="140"/>
      <c r="FE64" s="140"/>
      <c r="FF64" s="140"/>
      <c r="FG64" s="140"/>
      <c r="FH64" s="140"/>
      <c r="FI64" s="140"/>
      <c r="FJ64" s="140"/>
      <c r="FK64" s="140"/>
      <c r="FL64" s="140"/>
      <c r="FM64" s="140"/>
      <c r="FN64" s="140"/>
      <c r="FO64" s="140"/>
      <c r="FP64" s="140"/>
      <c r="FQ64" s="140"/>
      <c r="FR64" s="140"/>
      <c r="FS64" s="140"/>
      <c r="FT64" s="140"/>
      <c r="FU64" s="140"/>
      <c r="FV64" s="140"/>
      <c r="FW64" s="140"/>
      <c r="FX64" s="140"/>
      <c r="FY64" s="140"/>
      <c r="FZ64" s="140"/>
      <c r="GA64" s="140"/>
      <c r="GB64" s="140"/>
      <c r="GC64" s="140"/>
      <c r="GD64" s="140"/>
      <c r="GE64" s="140"/>
      <c r="GF64" s="140"/>
      <c r="GG64" s="140"/>
      <c r="GK64" s="140"/>
      <c r="GL64" s="140"/>
      <c r="GM64" s="140"/>
      <c r="GN64" s="140"/>
      <c r="GO64" s="140"/>
    </row>
    <row r="65" spans="12:197" ht="3.6" customHeight="1">
      <c r="M65" s="153"/>
      <c r="P65" s="156"/>
      <c r="Q65" s="41"/>
      <c r="R65" s="41"/>
      <c r="S65" s="41"/>
      <c r="T65" s="41"/>
      <c r="U65" s="41"/>
      <c r="V65" s="41"/>
      <c r="W65" s="41"/>
      <c r="X65" s="41"/>
      <c r="Y65" s="41"/>
      <c r="Z65" s="41"/>
      <c r="AA65" s="41"/>
      <c r="AB65" s="41"/>
      <c r="AC65" s="159"/>
      <c r="AU65" s="156"/>
      <c r="AV65" s="159"/>
      <c r="CC65" s="156"/>
      <c r="CD65" s="159"/>
      <c r="CV65" s="156"/>
      <c r="CW65" s="41"/>
      <c r="CX65" s="41"/>
      <c r="CY65" s="41"/>
      <c r="CZ65" s="41"/>
      <c r="DA65" s="41"/>
      <c r="DB65" s="41"/>
      <c r="DC65" s="41"/>
      <c r="DD65" s="41"/>
      <c r="DE65" s="41"/>
      <c r="DF65" s="41"/>
      <c r="DG65" s="41"/>
      <c r="DH65" s="41"/>
      <c r="DI65" s="159"/>
      <c r="DL65" s="154"/>
      <c r="EE65" s="594"/>
      <c r="EF65" s="594"/>
      <c r="EH65" s="140"/>
      <c r="EI65" s="140"/>
      <c r="EJ65" s="140"/>
      <c r="EK65" s="140"/>
      <c r="EL65" s="140"/>
      <c r="EM65" s="140"/>
      <c r="EN65" s="140"/>
      <c r="EO65" s="140"/>
      <c r="EP65" s="140"/>
      <c r="EQ65" s="140"/>
      <c r="ER65" s="140"/>
      <c r="ES65" s="140"/>
      <c r="ET65" s="140"/>
      <c r="EU65" s="140"/>
      <c r="EV65" s="140"/>
      <c r="EW65" s="140"/>
      <c r="EX65" s="140"/>
      <c r="EY65" s="140"/>
      <c r="EZ65" s="140"/>
      <c r="FA65" s="140"/>
      <c r="FB65" s="140"/>
      <c r="FC65" s="140"/>
      <c r="FD65" s="140"/>
      <c r="FE65" s="140"/>
      <c r="FF65" s="140"/>
      <c r="FG65" s="140"/>
      <c r="FH65" s="140"/>
      <c r="FI65" s="140"/>
      <c r="FJ65" s="140"/>
      <c r="FK65" s="140"/>
      <c r="FL65" s="140"/>
      <c r="FM65" s="140"/>
      <c r="FN65" s="140"/>
      <c r="FO65" s="140"/>
      <c r="FP65" s="140"/>
      <c r="FQ65" s="140"/>
      <c r="FR65" s="140"/>
      <c r="FS65" s="140"/>
      <c r="FT65" s="140"/>
      <c r="FU65" s="140"/>
      <c r="FV65" s="140"/>
      <c r="FW65" s="140"/>
      <c r="FX65" s="140"/>
      <c r="FY65" s="140"/>
      <c r="FZ65" s="140"/>
      <c r="GA65" s="140"/>
      <c r="GB65" s="140"/>
      <c r="GC65" s="140"/>
      <c r="GD65" s="140"/>
      <c r="GE65" s="140"/>
      <c r="GF65" s="140"/>
      <c r="GG65" s="140"/>
      <c r="GK65" s="140"/>
      <c r="GL65" s="140"/>
      <c r="GM65" s="140"/>
      <c r="GN65" s="140"/>
      <c r="GO65" s="140"/>
    </row>
    <row r="66" spans="12:197" ht="3.6" customHeight="1">
      <c r="L66" s="150"/>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151"/>
      <c r="BR66" s="151"/>
      <c r="BS66" s="151"/>
      <c r="BT66" s="151"/>
      <c r="BU66" s="151"/>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51"/>
      <c r="DI66" s="151"/>
      <c r="DJ66" s="151"/>
      <c r="DK66" s="151"/>
      <c r="DL66" s="151"/>
      <c r="DM66" s="162"/>
      <c r="EE66" s="594"/>
      <c r="EF66" s="594"/>
      <c r="EH66" s="140"/>
      <c r="EI66" s="140"/>
      <c r="EJ66" s="140"/>
      <c r="EK66" s="140"/>
      <c r="EL66" s="140"/>
      <c r="EM66" s="140"/>
      <c r="EN66" s="140"/>
      <c r="EO66" s="140"/>
      <c r="EP66" s="140"/>
      <c r="EQ66" s="140"/>
      <c r="ER66" s="140"/>
      <c r="ES66" s="140"/>
      <c r="ET66" s="140"/>
      <c r="EU66" s="140"/>
      <c r="EV66" s="140"/>
      <c r="EW66" s="140"/>
      <c r="EX66" s="140"/>
      <c r="EY66" s="140"/>
      <c r="EZ66" s="140"/>
      <c r="FA66" s="140"/>
      <c r="FB66" s="140"/>
      <c r="FC66" s="140"/>
      <c r="FD66" s="140"/>
      <c r="FE66" s="140"/>
      <c r="FF66" s="140"/>
      <c r="FG66" s="140"/>
      <c r="FH66" s="140"/>
      <c r="FI66" s="140"/>
      <c r="FJ66" s="140"/>
      <c r="FK66" s="140"/>
      <c r="FL66" s="140"/>
      <c r="FM66" s="140"/>
      <c r="FN66" s="140"/>
      <c r="FO66" s="140"/>
      <c r="FP66" s="140"/>
      <c r="FQ66" s="140"/>
      <c r="FR66" s="140"/>
      <c r="FS66" s="140"/>
      <c r="FT66" s="140"/>
      <c r="FU66" s="140"/>
      <c r="FV66" s="140"/>
      <c r="FW66" s="140"/>
      <c r="FX66" s="140"/>
      <c r="FY66" s="140"/>
      <c r="FZ66" s="140"/>
      <c r="GA66" s="140"/>
      <c r="GB66" s="140"/>
      <c r="GC66" s="140"/>
      <c r="GD66" s="140"/>
      <c r="GE66" s="140"/>
      <c r="GF66" s="140"/>
      <c r="GG66" s="140"/>
      <c r="GK66" s="140"/>
      <c r="GL66" s="140"/>
      <c r="GM66" s="140"/>
      <c r="GN66" s="140"/>
      <c r="GO66" s="140"/>
    </row>
    <row r="67" spans="12:197" ht="3.6" customHeight="1">
      <c r="L67" s="156"/>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159"/>
      <c r="EE67" s="594"/>
      <c r="EF67" s="594"/>
      <c r="EH67" s="140"/>
      <c r="EI67" s="140"/>
      <c r="EJ67" s="140"/>
      <c r="EK67" s="140"/>
      <c r="EL67" s="140"/>
      <c r="EM67" s="140"/>
      <c r="EN67" s="140"/>
      <c r="EO67" s="140"/>
      <c r="EP67" s="140"/>
      <c r="EQ67" s="140"/>
      <c r="ER67" s="140"/>
      <c r="ES67" s="140"/>
      <c r="ET67" s="140"/>
      <c r="EU67" s="140"/>
      <c r="EV67" s="140"/>
      <c r="EW67" s="140"/>
      <c r="EX67" s="140"/>
      <c r="EY67" s="140"/>
      <c r="EZ67" s="140"/>
      <c r="FA67" s="140"/>
      <c r="FB67" s="140"/>
      <c r="FC67" s="140"/>
      <c r="FD67" s="140"/>
      <c r="FE67" s="140"/>
      <c r="FF67" s="140"/>
      <c r="FG67" s="140"/>
      <c r="FH67" s="140"/>
      <c r="FI67" s="140"/>
      <c r="FJ67" s="140"/>
      <c r="FK67" s="140"/>
      <c r="FL67" s="140"/>
      <c r="FM67" s="2531" t="s">
        <v>2981</v>
      </c>
      <c r="FN67" s="2531"/>
      <c r="FO67" s="2531"/>
      <c r="FP67" s="2531"/>
      <c r="FQ67" s="140"/>
      <c r="FR67" s="164"/>
      <c r="FS67" s="140"/>
      <c r="FT67" s="140"/>
      <c r="FU67" s="140"/>
      <c r="FV67" s="2531" t="s">
        <v>2980</v>
      </c>
      <c r="FW67" s="2531"/>
      <c r="FX67" s="2531"/>
      <c r="FY67" s="2532"/>
      <c r="FZ67" s="140"/>
      <c r="GA67" s="140"/>
      <c r="GB67" s="140"/>
      <c r="GC67" s="140"/>
      <c r="GD67" s="140"/>
      <c r="GE67" s="140"/>
      <c r="GF67" s="140"/>
      <c r="GG67" s="140"/>
      <c r="GK67" s="140"/>
      <c r="GL67" s="140"/>
      <c r="GM67" s="140"/>
      <c r="GN67" s="140"/>
      <c r="GO67" s="140"/>
    </row>
    <row r="68" spans="12:197" ht="3.6" customHeight="1">
      <c r="L68" s="153"/>
      <c r="DM68" s="154"/>
      <c r="EE68" s="594"/>
      <c r="EF68" s="594"/>
      <c r="EH68" s="140"/>
      <c r="EI68" s="140"/>
      <c r="EJ68" s="140"/>
      <c r="EK68" s="140"/>
      <c r="EL68" s="140"/>
      <c r="EM68" s="140"/>
      <c r="EN68" s="140"/>
      <c r="EO68" s="140"/>
      <c r="EP68" s="140"/>
      <c r="EQ68" s="140"/>
      <c r="ER68" s="140"/>
      <c r="ES68" s="140"/>
      <c r="ET68" s="140"/>
      <c r="EU68" s="140"/>
      <c r="EV68" s="140"/>
      <c r="EW68" s="140"/>
      <c r="EX68" s="140"/>
      <c r="EY68" s="140"/>
      <c r="EZ68" s="140"/>
      <c r="FA68" s="140"/>
      <c r="FB68" s="140"/>
      <c r="FC68" s="140"/>
      <c r="FD68" s="140"/>
      <c r="FE68" s="140"/>
      <c r="FF68" s="140"/>
      <c r="FG68" s="140"/>
      <c r="FH68" s="140"/>
      <c r="FI68" s="140"/>
      <c r="FJ68" s="140"/>
      <c r="FK68" s="140"/>
      <c r="FL68" s="140"/>
      <c r="FM68" s="2531"/>
      <c r="FN68" s="2531"/>
      <c r="FO68" s="2531"/>
      <c r="FP68" s="2531"/>
      <c r="FQ68" s="140"/>
      <c r="FR68" s="164"/>
      <c r="FS68" s="140"/>
      <c r="FT68" s="140"/>
      <c r="FU68" s="140"/>
      <c r="FV68" s="2531"/>
      <c r="FW68" s="2531"/>
      <c r="FX68" s="2531"/>
      <c r="FY68" s="2532"/>
      <c r="FZ68" s="140"/>
      <c r="GA68" s="140"/>
      <c r="GB68" s="140"/>
      <c r="GC68" s="140"/>
      <c r="GD68" s="140"/>
      <c r="GE68" s="140"/>
      <c r="GF68" s="140"/>
      <c r="GG68" s="140"/>
      <c r="GK68" s="140"/>
      <c r="GL68" s="140"/>
      <c r="GM68" s="140"/>
      <c r="GN68" s="140"/>
      <c r="GO68" s="140"/>
    </row>
    <row r="69" spans="12:197" ht="3.6" customHeight="1">
      <c r="L69" s="156"/>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159"/>
      <c r="EE69" s="594"/>
      <c r="EF69" s="594"/>
      <c r="EH69" s="140"/>
      <c r="EI69" s="140"/>
      <c r="EJ69" s="140"/>
      <c r="EK69" s="140"/>
      <c r="EL69" s="140"/>
      <c r="EM69" s="140"/>
      <c r="EN69" s="140"/>
      <c r="EO69" s="140"/>
      <c r="EP69" s="140"/>
      <c r="EQ69" s="140"/>
      <c r="ER69" s="140"/>
      <c r="ES69" s="140"/>
      <c r="ET69" s="140"/>
      <c r="EU69" s="140"/>
      <c r="EV69" s="140"/>
      <c r="EW69" s="140"/>
      <c r="EX69" s="140"/>
      <c r="EY69" s="140"/>
      <c r="EZ69" s="140"/>
      <c r="FA69" s="140"/>
      <c r="FB69" s="140"/>
      <c r="FC69" s="140"/>
      <c r="FD69" s="140"/>
      <c r="FE69" s="140"/>
      <c r="FF69" s="140"/>
      <c r="FG69" s="140"/>
      <c r="FH69" s="140"/>
      <c r="FI69" s="140"/>
      <c r="FJ69" s="140"/>
      <c r="FK69" s="140"/>
      <c r="FL69" s="140"/>
      <c r="FM69" s="2531"/>
      <c r="FN69" s="2531"/>
      <c r="FO69" s="2531"/>
      <c r="FP69" s="2531"/>
      <c r="FQ69" s="140"/>
      <c r="FR69" s="164"/>
      <c r="FS69" s="140"/>
      <c r="FT69" s="140"/>
      <c r="FU69" s="140"/>
      <c r="FV69" s="2531"/>
      <c r="FW69" s="2531"/>
      <c r="FX69" s="2531"/>
      <c r="FY69" s="2532"/>
      <c r="FZ69" s="140"/>
      <c r="GA69" s="140"/>
      <c r="GB69" s="140"/>
      <c r="GC69" s="140"/>
      <c r="GD69" s="140"/>
      <c r="GE69" s="140"/>
      <c r="GF69" s="140"/>
      <c r="GG69" s="140"/>
      <c r="GK69" s="140"/>
      <c r="GL69" s="140"/>
      <c r="GM69" s="140"/>
      <c r="GN69" s="140"/>
      <c r="GO69" s="140"/>
    </row>
    <row r="70" spans="12:197" ht="3.6" customHeight="1">
      <c r="L70" s="153"/>
      <c r="DM70" s="154"/>
      <c r="EE70" s="594"/>
      <c r="EF70" s="594"/>
      <c r="EH70" s="140"/>
      <c r="EI70" s="140"/>
      <c r="EJ70" s="140"/>
      <c r="EK70" s="140"/>
      <c r="EL70" s="140"/>
      <c r="EM70" s="140"/>
      <c r="EN70" s="140"/>
      <c r="EO70" s="140"/>
      <c r="EP70" s="140"/>
      <c r="EQ70" s="140"/>
      <c r="ER70" s="140"/>
      <c r="ES70" s="140"/>
      <c r="ET70" s="140"/>
      <c r="EU70" s="140"/>
      <c r="EV70" s="140"/>
      <c r="EW70" s="140"/>
      <c r="EX70" s="140"/>
      <c r="EY70" s="140"/>
      <c r="EZ70" s="140"/>
      <c r="FA70" s="140"/>
      <c r="FB70" s="140"/>
      <c r="FC70" s="140"/>
      <c r="FD70" s="140"/>
      <c r="FE70" s="140"/>
      <c r="FF70" s="140"/>
      <c r="FG70" s="140"/>
      <c r="FH70" s="140"/>
      <c r="FI70" s="140"/>
      <c r="FJ70" s="140"/>
      <c r="FK70" s="140"/>
      <c r="FL70" s="140"/>
      <c r="FM70" s="2531"/>
      <c r="FN70" s="2531"/>
      <c r="FO70" s="2531"/>
      <c r="FP70" s="2531"/>
      <c r="FQ70" s="140"/>
      <c r="FR70" s="164"/>
      <c r="FS70" s="140"/>
      <c r="FT70" s="140"/>
      <c r="FU70" s="140"/>
      <c r="FV70" s="2531"/>
      <c r="FW70" s="2531"/>
      <c r="FX70" s="2531"/>
      <c r="FY70" s="2532"/>
      <c r="FZ70" s="140"/>
      <c r="GA70" s="140"/>
      <c r="GB70" s="140"/>
      <c r="GC70" s="140"/>
      <c r="GD70" s="140"/>
      <c r="GE70" s="140"/>
      <c r="GF70" s="140"/>
      <c r="GG70" s="140"/>
      <c r="GH70" s="140"/>
      <c r="GI70" s="140"/>
      <c r="GJ70" s="140"/>
      <c r="GK70" s="140"/>
      <c r="GL70" s="140"/>
      <c r="GM70" s="140"/>
      <c r="GN70" s="140"/>
      <c r="GO70" s="140"/>
    </row>
    <row r="71" spans="12:197" ht="3.6" customHeight="1">
      <c r="L71" s="156"/>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159"/>
      <c r="EE71" s="594"/>
      <c r="EF71" s="594"/>
      <c r="EH71" s="140"/>
      <c r="EI71" s="140"/>
      <c r="EJ71" s="140"/>
      <c r="EK71" s="140"/>
      <c r="EL71" s="140"/>
      <c r="EM71" s="140"/>
      <c r="EN71" s="140"/>
      <c r="EO71" s="140"/>
      <c r="EP71" s="140"/>
      <c r="EQ71" s="140"/>
      <c r="ER71" s="140"/>
      <c r="ES71" s="140"/>
      <c r="ET71" s="140"/>
      <c r="EU71" s="140"/>
      <c r="EV71" s="140"/>
      <c r="EW71" s="140"/>
      <c r="EX71" s="140"/>
      <c r="EY71" s="140"/>
      <c r="EZ71" s="140"/>
      <c r="FA71" s="140"/>
      <c r="FB71" s="140"/>
      <c r="FC71" s="140"/>
      <c r="FD71" s="140"/>
      <c r="FE71" s="140"/>
      <c r="FF71" s="140"/>
      <c r="FG71" s="140"/>
      <c r="FH71" s="140"/>
      <c r="FI71" s="140"/>
      <c r="FJ71" s="140"/>
      <c r="FK71" s="140"/>
      <c r="FL71" s="140"/>
      <c r="FM71" s="2531"/>
      <c r="FN71" s="2531"/>
      <c r="FO71" s="2531"/>
      <c r="FP71" s="2531"/>
      <c r="FQ71" s="140"/>
      <c r="FR71" s="164"/>
      <c r="FS71" s="140"/>
      <c r="FT71" s="140"/>
      <c r="FU71" s="140"/>
      <c r="FV71" s="2531"/>
      <c r="FW71" s="2531"/>
      <c r="FX71" s="2531"/>
      <c r="FY71" s="2532"/>
      <c r="FZ71" s="140"/>
      <c r="GA71" s="140"/>
      <c r="GB71" s="140"/>
      <c r="GC71" s="140"/>
      <c r="GD71" s="140"/>
      <c r="GE71" s="140"/>
      <c r="GF71" s="140"/>
      <c r="GG71" s="140"/>
      <c r="GH71" s="140"/>
      <c r="GI71" s="140"/>
      <c r="GJ71" s="140"/>
      <c r="GK71" s="140"/>
      <c r="GL71" s="140"/>
      <c r="GM71" s="140"/>
      <c r="GN71" s="140"/>
      <c r="GO71" s="140"/>
    </row>
    <row r="72" spans="12:197" ht="3.6" customHeight="1">
      <c r="ED72" s="3089">
        <v>0.1</v>
      </c>
      <c r="EE72" s="3089"/>
      <c r="EF72" s="3089"/>
      <c r="EH72" s="140"/>
      <c r="EI72" s="140"/>
      <c r="EJ72" s="140"/>
      <c r="EK72" s="140"/>
      <c r="EL72" s="140"/>
      <c r="EM72" s="140"/>
      <c r="EN72" s="140"/>
      <c r="EO72" s="140"/>
      <c r="EP72" s="140"/>
      <c r="EQ72" s="140"/>
      <c r="ER72" s="140"/>
      <c r="ES72" s="140"/>
      <c r="ET72" s="140"/>
      <c r="EU72" s="140"/>
      <c r="EV72" s="140"/>
      <c r="EW72" s="140"/>
      <c r="EX72" s="140"/>
      <c r="EY72" s="140"/>
      <c r="EZ72" s="140"/>
      <c r="FA72" s="140"/>
      <c r="FB72" s="140"/>
      <c r="FC72" s="140"/>
      <c r="FD72" s="140"/>
      <c r="FE72" s="140"/>
      <c r="FF72" s="140"/>
      <c r="FG72" s="140"/>
      <c r="FH72" s="140"/>
      <c r="FI72" s="140"/>
      <c r="FJ72" s="140"/>
      <c r="FK72" s="140"/>
      <c r="FL72" s="140"/>
      <c r="FM72" s="2531"/>
      <c r="FN72" s="2531"/>
      <c r="FO72" s="2531"/>
      <c r="FP72" s="2531"/>
      <c r="FQ72" s="140"/>
      <c r="FR72" s="164"/>
      <c r="FS72" s="140"/>
      <c r="FT72" s="140"/>
      <c r="FU72" s="140"/>
      <c r="FV72" s="2531"/>
      <c r="FW72" s="2531"/>
      <c r="FX72" s="2531"/>
      <c r="FY72" s="2532"/>
      <c r="FZ72" s="140"/>
      <c r="GA72" s="140"/>
      <c r="GB72" s="140"/>
      <c r="GC72" s="140"/>
      <c r="GD72" s="140"/>
      <c r="GE72" s="140"/>
      <c r="GF72" s="140"/>
      <c r="GG72" s="140"/>
      <c r="GH72" s="140"/>
      <c r="GI72" s="140"/>
      <c r="GJ72" s="140"/>
      <c r="GK72" s="140"/>
      <c r="GL72" s="140"/>
      <c r="GM72" s="140"/>
      <c r="GN72" s="140"/>
      <c r="GO72" s="140"/>
    </row>
    <row r="73" spans="12:197" ht="3.6" customHeight="1">
      <c r="ED73" s="3089"/>
      <c r="EE73" s="3089"/>
      <c r="EF73" s="3089"/>
      <c r="EH73" s="140"/>
      <c r="EI73" s="140"/>
      <c r="EJ73" s="140"/>
      <c r="EK73" s="140"/>
      <c r="EL73" s="140"/>
      <c r="EM73" s="140"/>
      <c r="EN73" s="140"/>
      <c r="EO73" s="140"/>
      <c r="EP73" s="140"/>
      <c r="EQ73" s="140"/>
      <c r="ER73" s="140"/>
      <c r="ES73" s="140"/>
      <c r="ET73" s="140"/>
      <c r="EU73" s="140"/>
      <c r="EV73" s="140"/>
      <c r="EW73" s="140"/>
      <c r="EX73" s="140"/>
      <c r="EY73" s="140"/>
      <c r="EZ73" s="140"/>
      <c r="FA73" s="140"/>
      <c r="FB73" s="140"/>
      <c r="FC73" s="140"/>
      <c r="FD73" s="140"/>
      <c r="FE73" s="140"/>
      <c r="FF73" s="140"/>
      <c r="FG73" s="140"/>
      <c r="FH73" s="140"/>
      <c r="FI73" s="140"/>
      <c r="FJ73" s="140"/>
      <c r="FK73" s="140"/>
      <c r="FL73" s="140"/>
      <c r="FM73" s="2531"/>
      <c r="FN73" s="2531"/>
      <c r="FO73" s="2531"/>
      <c r="FP73" s="2531"/>
      <c r="FQ73" s="140"/>
      <c r="FR73" s="164"/>
      <c r="FS73" s="140"/>
      <c r="FT73" s="140"/>
      <c r="FU73" s="140"/>
      <c r="FV73" s="2531"/>
      <c r="FW73" s="2531"/>
      <c r="FX73" s="2531"/>
      <c r="FY73" s="2532"/>
      <c r="FZ73" s="140"/>
      <c r="GA73" s="140"/>
      <c r="GB73" s="140"/>
      <c r="GC73" s="140"/>
      <c r="GD73" s="140"/>
      <c r="GE73" s="140"/>
      <c r="GF73" s="140"/>
      <c r="GG73" s="140"/>
      <c r="GH73" s="140"/>
      <c r="GI73" s="140"/>
      <c r="GJ73" s="140"/>
      <c r="GK73" s="140"/>
      <c r="GL73" s="140"/>
      <c r="GM73" s="140"/>
      <c r="GN73" s="140"/>
      <c r="GO73" s="140"/>
    </row>
    <row r="74" spans="12:197" ht="3.6" customHeight="1">
      <c r="ED74" s="3089"/>
      <c r="EE74" s="3089"/>
      <c r="EF74" s="3089"/>
      <c r="EH74" s="140"/>
      <c r="EI74" s="140"/>
      <c r="EJ74" s="140"/>
      <c r="EK74" s="140"/>
      <c r="EL74" s="140"/>
      <c r="EM74" s="140"/>
      <c r="EN74" s="140"/>
      <c r="EO74" s="140"/>
      <c r="EP74" s="140"/>
      <c r="EQ74" s="140"/>
      <c r="ER74" s="140"/>
      <c r="ES74" s="140"/>
      <c r="ET74" s="140"/>
      <c r="EU74" s="140"/>
      <c r="EV74" s="140"/>
      <c r="EW74" s="140"/>
      <c r="EX74" s="140"/>
      <c r="EY74" s="140"/>
      <c r="EZ74" s="140"/>
      <c r="FA74" s="140"/>
      <c r="FB74" s="140"/>
      <c r="FC74" s="140"/>
      <c r="FD74" s="140"/>
      <c r="FE74" s="140"/>
      <c r="FF74" s="140"/>
      <c r="FG74" s="140"/>
      <c r="FH74" s="140"/>
      <c r="FI74" s="140"/>
      <c r="FJ74" s="140"/>
      <c r="FK74" s="140"/>
      <c r="FL74" s="140"/>
      <c r="FM74" s="2531"/>
      <c r="FN74" s="2531"/>
      <c r="FO74" s="2531"/>
      <c r="FP74" s="2531"/>
      <c r="FQ74" s="140"/>
      <c r="FR74" s="164"/>
      <c r="FS74" s="140"/>
      <c r="FT74" s="140"/>
      <c r="FU74" s="140"/>
      <c r="FV74" s="2531"/>
      <c r="FW74" s="2531"/>
      <c r="FX74" s="2531"/>
      <c r="FY74" s="2532"/>
      <c r="FZ74" s="140"/>
      <c r="GA74" s="140"/>
      <c r="GB74" s="140"/>
      <c r="GC74" s="140"/>
      <c r="GD74" s="140"/>
      <c r="GE74" s="140"/>
      <c r="GF74" s="140"/>
      <c r="GG74" s="140"/>
      <c r="GH74" s="140"/>
      <c r="GI74" s="140"/>
      <c r="GJ74" s="140"/>
      <c r="GK74" s="140"/>
      <c r="GL74" s="140"/>
      <c r="GM74" s="140"/>
      <c r="GN74" s="140"/>
      <c r="GO74" s="140"/>
    </row>
    <row r="75" spans="12:197" ht="3.6" customHeight="1">
      <c r="ED75" s="3089"/>
      <c r="EE75" s="3089"/>
      <c r="EF75" s="3089"/>
      <c r="EH75" s="140"/>
      <c r="EI75" s="140"/>
      <c r="EJ75" s="140"/>
      <c r="EK75" s="140"/>
      <c r="EL75" s="140"/>
      <c r="EM75" s="140"/>
      <c r="EN75" s="140"/>
      <c r="EO75" s="140"/>
      <c r="EP75" s="140"/>
      <c r="EQ75" s="140"/>
      <c r="ER75" s="140"/>
      <c r="ES75" s="140"/>
      <c r="ET75" s="140"/>
      <c r="EU75" s="140"/>
      <c r="EV75" s="140"/>
      <c r="EW75" s="140"/>
      <c r="EX75" s="140"/>
      <c r="EY75" s="140"/>
      <c r="EZ75" s="140"/>
      <c r="FA75" s="140"/>
      <c r="FB75" s="140"/>
      <c r="FC75" s="140"/>
      <c r="FD75" s="140"/>
      <c r="FE75" s="140"/>
      <c r="FF75" s="140"/>
      <c r="FG75" s="140"/>
      <c r="FH75" s="140"/>
      <c r="FI75" s="140"/>
      <c r="FJ75" s="140"/>
      <c r="FK75" s="140"/>
      <c r="FL75" s="140"/>
      <c r="FM75" s="2531"/>
      <c r="FN75" s="2531"/>
      <c r="FO75" s="2531"/>
      <c r="FP75" s="2531"/>
      <c r="FQ75" s="140"/>
      <c r="FR75" s="164"/>
      <c r="FS75" s="140"/>
      <c r="FT75" s="140"/>
      <c r="FU75" s="140"/>
      <c r="FV75" s="2531"/>
      <c r="FW75" s="2531"/>
      <c r="FX75" s="2531"/>
      <c r="FY75" s="2532"/>
      <c r="FZ75" s="164"/>
      <c r="GA75" s="140"/>
      <c r="GB75" s="140"/>
      <c r="GC75" s="140"/>
      <c r="GD75" s="140"/>
      <c r="GE75" s="140"/>
      <c r="GF75" s="140"/>
      <c r="GG75" s="140"/>
      <c r="GH75" s="140"/>
      <c r="GI75" s="140"/>
      <c r="GJ75" s="140"/>
      <c r="GK75" s="140"/>
      <c r="GL75" s="140"/>
      <c r="GM75" s="140"/>
      <c r="GN75" s="140"/>
      <c r="GO75" s="140"/>
    </row>
    <row r="76" spans="12:197" ht="3.6" customHeight="1">
      <c r="ED76" s="3089"/>
      <c r="EE76" s="3089"/>
      <c r="EF76" s="3089"/>
      <c r="EG76" s="594"/>
      <c r="EH76" s="594"/>
      <c r="EI76" s="594"/>
      <c r="EJ76" s="594"/>
      <c r="EK76" s="594"/>
      <c r="EL76" s="594"/>
      <c r="EM76" s="594"/>
      <c r="EN76" s="594"/>
      <c r="EO76" s="594"/>
      <c r="EP76" s="594"/>
      <c r="EQ76" s="594"/>
      <c r="ER76" s="594"/>
      <c r="ES76" s="594"/>
      <c r="ET76" s="594"/>
      <c r="EU76" s="594"/>
      <c r="EV76" s="594"/>
      <c r="EW76" s="594"/>
      <c r="EX76" s="594"/>
      <c r="EY76" s="594"/>
      <c r="EZ76" s="594"/>
      <c r="FA76" s="594"/>
      <c r="FB76" s="594"/>
      <c r="FC76" s="594"/>
      <c r="FD76" s="594"/>
      <c r="FE76" s="594"/>
      <c r="FF76" s="594"/>
      <c r="FG76" s="594"/>
      <c r="FH76" s="594"/>
      <c r="FI76" s="594"/>
      <c r="FJ76" s="594"/>
      <c r="FK76" s="594"/>
      <c r="FL76" s="594"/>
      <c r="FM76" s="597"/>
      <c r="FN76" s="597"/>
      <c r="FO76" s="597"/>
      <c r="FP76" s="597"/>
      <c r="FQ76" s="597"/>
      <c r="FR76" s="153"/>
      <c r="FT76" s="3196">
        <f>FR85+FU85</f>
        <v>0.52500000000000002</v>
      </c>
      <c r="FU76" s="2531"/>
      <c r="FV76" s="2531"/>
      <c r="FW76" s="2531"/>
      <c r="FY76" s="154"/>
      <c r="FZ76" s="153"/>
      <c r="GD76" s="3196">
        <f>FZ85+GC85+GF85+GI85</f>
        <v>0.75</v>
      </c>
      <c r="GE76" s="3196"/>
      <c r="GF76" s="3196"/>
      <c r="GG76" s="594"/>
      <c r="GH76" s="594"/>
      <c r="GI76" s="594"/>
      <c r="GJ76" s="594"/>
      <c r="GK76" s="598"/>
      <c r="GL76" s="594"/>
    </row>
    <row r="77" spans="12:197" ht="3.6" customHeight="1">
      <c r="ED77" s="3089"/>
      <c r="EE77" s="3089"/>
      <c r="EF77" s="3089"/>
      <c r="EG77" s="594"/>
      <c r="EH77" s="594"/>
      <c r="EI77" s="594"/>
      <c r="EJ77" s="594"/>
      <c r="EK77" s="594"/>
      <c r="EL77" s="594"/>
      <c r="EM77" s="594"/>
      <c r="EN77" s="594"/>
      <c r="EO77" s="594"/>
      <c r="EP77" s="594"/>
      <c r="EQ77" s="594"/>
      <c r="ER77" s="594"/>
      <c r="ES77" s="594"/>
      <c r="ET77" s="594"/>
      <c r="EU77" s="594"/>
      <c r="EV77" s="594"/>
      <c r="EW77" s="594"/>
      <c r="EX77" s="594"/>
      <c r="EY77" s="594"/>
      <c r="EZ77" s="594"/>
      <c r="FA77" s="594"/>
      <c r="FB77" s="594"/>
      <c r="FC77" s="594"/>
      <c r="FD77" s="594"/>
      <c r="FE77" s="594"/>
      <c r="FF77" s="594"/>
      <c r="FG77" s="594"/>
      <c r="FH77" s="594"/>
      <c r="FI77" s="594"/>
      <c r="FJ77" s="594"/>
      <c r="FK77" s="594"/>
      <c r="FL77" s="594"/>
      <c r="FM77" s="597"/>
      <c r="FN77" s="597"/>
      <c r="FO77" s="597"/>
      <c r="FP77" s="597"/>
      <c r="FQ77" s="597"/>
      <c r="FR77" s="153"/>
      <c r="FT77" s="2531"/>
      <c r="FU77" s="2531"/>
      <c r="FV77" s="2531"/>
      <c r="FW77" s="2531"/>
      <c r="FY77" s="154"/>
      <c r="FZ77" s="153"/>
      <c r="GD77" s="3196"/>
      <c r="GE77" s="3196"/>
      <c r="GF77" s="3196"/>
      <c r="GG77" s="594"/>
      <c r="GH77" s="594"/>
      <c r="GI77" s="594"/>
      <c r="GJ77" s="594"/>
      <c r="GK77" s="598"/>
      <c r="GL77" s="594"/>
    </row>
    <row r="78" spans="12:197" ht="3.6" customHeight="1">
      <c r="ED78" s="3089"/>
      <c r="EE78" s="3089"/>
      <c r="EF78" s="3089"/>
      <c r="EG78" s="594"/>
      <c r="EH78" s="594"/>
      <c r="EI78" s="594"/>
      <c r="EJ78" s="594"/>
      <c r="EK78" s="594"/>
      <c r="EL78" s="594"/>
      <c r="EM78" s="594"/>
      <c r="EN78" s="594"/>
      <c r="EO78" s="594"/>
      <c r="EP78" s="594"/>
      <c r="EQ78" s="594"/>
      <c r="ER78" s="594"/>
      <c r="ES78" s="594"/>
      <c r="ET78" s="594"/>
      <c r="EU78" s="594"/>
      <c r="EV78" s="594"/>
      <c r="EW78" s="594"/>
      <c r="EX78" s="594"/>
      <c r="EY78" s="594"/>
      <c r="EZ78" s="594"/>
      <c r="FA78" s="594"/>
      <c r="FB78" s="594"/>
      <c r="FC78" s="594"/>
      <c r="FD78" s="594"/>
      <c r="FE78" s="594"/>
      <c r="FF78" s="594"/>
      <c r="FG78" s="594"/>
      <c r="FH78" s="594"/>
      <c r="FI78" s="594"/>
      <c r="FJ78" s="594"/>
      <c r="FK78" s="594"/>
      <c r="FL78" s="594"/>
      <c r="FM78" s="594"/>
      <c r="FN78" s="594"/>
      <c r="FO78" s="594"/>
      <c r="FP78" s="594"/>
      <c r="FQ78" s="594"/>
      <c r="FR78" s="153"/>
      <c r="FT78" s="2531"/>
      <c r="FU78" s="2531"/>
      <c r="FV78" s="2531"/>
      <c r="FW78" s="2531"/>
      <c r="FY78" s="154"/>
      <c r="FZ78" s="153"/>
      <c r="GD78" s="3196"/>
      <c r="GE78" s="3196"/>
      <c r="GF78" s="3196"/>
      <c r="GG78" s="594"/>
      <c r="GH78" s="594"/>
      <c r="GI78" s="594"/>
      <c r="GJ78" s="594"/>
      <c r="GK78" s="598"/>
      <c r="GL78" s="594"/>
    </row>
    <row r="79" spans="12:197" ht="3.6" customHeight="1">
      <c r="S79" s="217"/>
      <c r="T79" s="217"/>
      <c r="U79" s="217"/>
      <c r="V79" s="217"/>
      <c r="W79" s="217"/>
      <c r="X79" s="217"/>
      <c r="AR79" s="217"/>
      <c r="EE79" s="594"/>
      <c r="EF79" s="594"/>
      <c r="EG79" s="594"/>
      <c r="EH79" s="594"/>
      <c r="EI79" s="594"/>
      <c r="EJ79" s="594"/>
      <c r="EK79" s="594"/>
      <c r="EL79" s="594"/>
      <c r="EM79" s="594"/>
      <c r="EN79" s="594"/>
      <c r="EO79" s="594"/>
      <c r="EP79" s="594"/>
      <c r="EQ79" s="594"/>
      <c r="ER79" s="594"/>
      <c r="ES79" s="594"/>
      <c r="ET79" s="594"/>
      <c r="EU79" s="594"/>
      <c r="EV79" s="594"/>
      <c r="EW79" s="594"/>
      <c r="EX79" s="594"/>
      <c r="EY79" s="594"/>
      <c r="EZ79" s="594"/>
      <c r="FA79" s="594"/>
      <c r="FB79" s="594"/>
      <c r="FC79" s="594"/>
      <c r="FD79" s="594"/>
      <c r="FE79" s="594"/>
      <c r="FF79" s="594"/>
      <c r="FG79" s="594"/>
      <c r="FH79" s="594"/>
      <c r="FI79" s="594"/>
      <c r="FJ79" s="594"/>
      <c r="FK79" s="594"/>
      <c r="FL79" s="594"/>
      <c r="FM79" s="594"/>
      <c r="FN79" s="594"/>
      <c r="FO79" s="594"/>
      <c r="FP79" s="594"/>
      <c r="FQ79" s="594"/>
      <c r="FR79" s="153"/>
      <c r="FT79" s="2531"/>
      <c r="FU79" s="2531"/>
      <c r="FV79" s="2531"/>
      <c r="FW79" s="2531"/>
      <c r="FY79" s="154"/>
      <c r="FZ79" s="153"/>
      <c r="GD79" s="3196"/>
      <c r="GE79" s="3196"/>
      <c r="GF79" s="3196"/>
      <c r="GG79" s="594"/>
      <c r="GH79" s="594"/>
      <c r="GI79" s="594"/>
      <c r="GJ79" s="594"/>
      <c r="GK79" s="598"/>
      <c r="GL79" s="594"/>
    </row>
    <row r="80" spans="12:197" ht="3.6" customHeight="1">
      <c r="EE80" s="599"/>
      <c r="EF80" s="600"/>
      <c r="EG80" s="594"/>
      <c r="EH80" s="594"/>
      <c r="EI80" s="594"/>
      <c r="EJ80" s="594"/>
      <c r="EK80" s="594"/>
      <c r="EL80" s="594"/>
      <c r="EM80" s="594"/>
      <c r="EN80" s="594"/>
      <c r="EO80" s="594"/>
      <c r="EP80" s="594"/>
      <c r="EQ80" s="594"/>
      <c r="ER80" s="594"/>
      <c r="ES80" s="3194">
        <f>EY87+EN87+EI87+EF87</f>
        <v>3.15</v>
      </c>
      <c r="ET80" s="3194"/>
      <c r="EU80" s="3194"/>
      <c r="EV80" s="3194"/>
      <c r="EW80" s="3194"/>
      <c r="EX80" s="3194"/>
      <c r="EY80" s="3194"/>
      <c r="EZ80" s="3194"/>
      <c r="FA80" s="3194"/>
      <c r="FB80" s="3194"/>
      <c r="FC80" s="3194"/>
      <c r="FD80" s="3194"/>
      <c r="FE80" s="3194"/>
      <c r="FF80" s="594"/>
      <c r="FG80" s="594"/>
      <c r="FH80" s="594"/>
      <c r="FI80" s="594"/>
      <c r="FJ80" s="594"/>
      <c r="FK80" s="594"/>
      <c r="FL80" s="594"/>
      <c r="FM80" s="594"/>
      <c r="FN80" s="594"/>
      <c r="FO80" s="594"/>
      <c r="FP80" s="594"/>
      <c r="FQ80" s="594"/>
      <c r="FR80" s="361"/>
      <c r="FS80" s="41"/>
      <c r="FT80" s="2531"/>
      <c r="FU80" s="2531"/>
      <c r="FV80" s="2531"/>
      <c r="FW80" s="2531"/>
      <c r="FX80" s="41"/>
      <c r="FY80" s="159"/>
      <c r="FZ80" s="361"/>
      <c r="GA80" s="41"/>
      <c r="GB80" s="41"/>
      <c r="GC80" s="41"/>
      <c r="GD80" s="3196"/>
      <c r="GE80" s="3196"/>
      <c r="GF80" s="3196"/>
      <c r="GG80" s="601"/>
      <c r="GH80" s="601"/>
      <c r="GI80" s="601"/>
      <c r="GJ80" s="601"/>
      <c r="GK80" s="602"/>
      <c r="GL80" s="603"/>
    </row>
    <row r="81" spans="12:198" ht="3.6" customHeight="1">
      <c r="EE81" s="599"/>
      <c r="EF81" s="604"/>
      <c r="EG81" s="601"/>
      <c r="EH81" s="601"/>
      <c r="EI81" s="601"/>
      <c r="EJ81" s="601"/>
      <c r="EK81" s="601"/>
      <c r="EL81" s="601"/>
      <c r="EM81" s="601"/>
      <c r="EN81" s="601"/>
      <c r="EO81" s="601"/>
      <c r="EP81" s="601"/>
      <c r="EQ81" s="601"/>
      <c r="ER81" s="594"/>
      <c r="ES81" s="3194"/>
      <c r="ET81" s="3194"/>
      <c r="EU81" s="3194"/>
      <c r="EV81" s="3194"/>
      <c r="EW81" s="3194"/>
      <c r="EX81" s="3194"/>
      <c r="EY81" s="3194"/>
      <c r="EZ81" s="3194"/>
      <c r="FA81" s="3194"/>
      <c r="FB81" s="3194"/>
      <c r="FC81" s="3194"/>
      <c r="FD81" s="3194"/>
      <c r="FE81" s="3194"/>
      <c r="FF81" s="601"/>
      <c r="FG81" s="601"/>
      <c r="FH81" s="601"/>
      <c r="FI81" s="601"/>
      <c r="FJ81" s="601"/>
      <c r="FK81" s="601"/>
      <c r="FL81" s="601"/>
      <c r="FM81" s="601"/>
      <c r="FN81" s="601"/>
      <c r="FO81" s="601"/>
      <c r="FP81" s="605"/>
      <c r="FQ81" s="594"/>
      <c r="FR81" s="606"/>
      <c r="FT81" s="2531"/>
      <c r="FU81" s="2531"/>
      <c r="FV81" s="2531"/>
      <c r="FW81" s="2531"/>
      <c r="FY81" s="363"/>
      <c r="GD81" s="3196"/>
      <c r="GE81" s="3196"/>
      <c r="GF81" s="3196"/>
      <c r="GG81" s="594"/>
      <c r="GH81" s="594"/>
      <c r="GI81" s="594"/>
      <c r="GJ81" s="594"/>
      <c r="GK81" s="607"/>
    </row>
    <row r="82" spans="12:198" ht="3.6" customHeight="1">
      <c r="EE82" s="599"/>
      <c r="EF82" s="600"/>
      <c r="EG82" s="594"/>
      <c r="EH82" s="594"/>
      <c r="EI82" s="594"/>
      <c r="EJ82" s="594"/>
      <c r="EK82" s="594"/>
      <c r="EL82" s="594"/>
      <c r="EM82" s="594"/>
      <c r="EN82" s="594"/>
      <c r="EO82" s="594"/>
      <c r="EP82" s="594"/>
      <c r="EQ82" s="594"/>
      <c r="ER82" s="594"/>
      <c r="ES82" s="3194"/>
      <c r="ET82" s="3194"/>
      <c r="EU82" s="3194"/>
      <c r="EV82" s="3194"/>
      <c r="EW82" s="3194"/>
      <c r="EX82" s="3194"/>
      <c r="EY82" s="3194"/>
      <c r="EZ82" s="3194"/>
      <c r="FA82" s="3194"/>
      <c r="FB82" s="3194"/>
      <c r="FC82" s="3194"/>
      <c r="FD82" s="3194"/>
      <c r="FE82" s="3194"/>
      <c r="FF82" s="594"/>
      <c r="FG82" s="594"/>
      <c r="FH82" s="594"/>
      <c r="FI82" s="594"/>
      <c r="FJ82" s="594"/>
      <c r="FK82" s="594"/>
      <c r="FL82" s="594"/>
      <c r="FM82" s="594"/>
      <c r="FN82" s="594"/>
      <c r="FO82" s="594"/>
      <c r="FP82" s="608"/>
      <c r="FQ82" s="594"/>
      <c r="FR82" s="153"/>
      <c r="FT82" s="2531"/>
      <c r="FU82" s="2531"/>
      <c r="FV82" s="2531"/>
      <c r="FW82" s="2531"/>
      <c r="FY82" s="154"/>
      <c r="GD82" s="3196"/>
      <c r="GE82" s="3196"/>
      <c r="GF82" s="3196"/>
      <c r="GG82" s="594"/>
      <c r="GH82" s="594"/>
      <c r="GI82" s="594"/>
      <c r="GJ82" s="594"/>
      <c r="GK82" s="598"/>
      <c r="GL82" s="594"/>
    </row>
    <row r="83" spans="12:198" ht="3.6" customHeight="1">
      <c r="EE83" s="155"/>
      <c r="EF83" s="153"/>
      <c r="ES83" s="3194"/>
      <c r="ET83" s="3194"/>
      <c r="EU83" s="3194"/>
      <c r="EV83" s="3194"/>
      <c r="EW83" s="3194"/>
      <c r="EX83" s="3194"/>
      <c r="EY83" s="3194"/>
      <c r="EZ83" s="3194"/>
      <c r="FA83" s="3194"/>
      <c r="FB83" s="3194"/>
      <c r="FC83" s="3194"/>
      <c r="FD83" s="3194"/>
      <c r="FE83" s="3194"/>
      <c r="FR83" s="153"/>
      <c r="FT83" s="2531"/>
      <c r="FU83" s="2531"/>
      <c r="FV83" s="2531"/>
      <c r="FW83" s="2531"/>
      <c r="FY83" s="154"/>
      <c r="GD83" s="3196"/>
      <c r="GE83" s="3196"/>
      <c r="GF83" s="3196"/>
      <c r="GK83" s="154"/>
    </row>
    <row r="84" spans="12:198" ht="3.6" customHeight="1">
      <c r="EE84" s="155"/>
      <c r="EF84" s="153"/>
      <c r="FR84" s="153"/>
      <c r="FT84" s="2531"/>
      <c r="FU84" s="2531"/>
      <c r="FV84" s="2531"/>
      <c r="FW84" s="2531"/>
      <c r="FY84" s="154"/>
      <c r="GD84" s="3196"/>
      <c r="GE84" s="3196"/>
      <c r="GF84" s="3196"/>
    </row>
    <row r="85" spans="12:198" ht="3.6" customHeight="1">
      <c r="EF85" s="142"/>
      <c r="EG85" s="142"/>
      <c r="EH85" s="142"/>
      <c r="EI85" s="142"/>
      <c r="EJ85" s="142"/>
      <c r="EK85" s="142"/>
      <c r="EL85" s="142"/>
      <c r="EM85" s="142"/>
      <c r="EN85" s="142"/>
      <c r="EO85" s="142"/>
      <c r="EP85" s="142"/>
      <c r="EQ85" s="142"/>
      <c r="ER85" s="142"/>
      <c r="ES85" s="142"/>
      <c r="ET85" s="142"/>
      <c r="EU85" s="142"/>
      <c r="EV85" s="142"/>
      <c r="EW85" s="142"/>
      <c r="EX85" s="142"/>
      <c r="EY85" s="142"/>
      <c r="EZ85" s="142"/>
      <c r="FA85" s="142"/>
      <c r="FB85" s="142"/>
      <c r="FC85" s="142"/>
      <c r="FD85" s="142"/>
      <c r="FE85" s="142"/>
      <c r="FF85" s="142"/>
      <c r="FG85" s="142"/>
      <c r="FH85" s="142"/>
      <c r="FI85" s="142"/>
      <c r="FJ85" s="142"/>
      <c r="FK85" s="142"/>
      <c r="FL85" s="142"/>
      <c r="FM85" s="142"/>
      <c r="FN85" s="142"/>
      <c r="FO85" s="142"/>
      <c r="FP85" s="142"/>
      <c r="FQ85" s="142"/>
      <c r="FR85" s="3195">
        <v>0.3</v>
      </c>
      <c r="FS85" s="3196"/>
      <c r="FT85" s="3197"/>
      <c r="FU85" s="3196">
        <v>0.22500000000000001</v>
      </c>
      <c r="FV85" s="3196"/>
      <c r="FW85" s="3196"/>
      <c r="FX85" s="3196"/>
      <c r="FY85" s="3197"/>
      <c r="FZ85" s="2531">
        <v>0.22500000000000001</v>
      </c>
      <c r="GA85" s="2531"/>
      <c r="GB85" s="2532"/>
      <c r="GC85" s="2530">
        <v>0.22500000000000001</v>
      </c>
      <c r="GD85" s="2531"/>
      <c r="GE85" s="2532"/>
      <c r="GF85" s="2530">
        <v>0.15</v>
      </c>
      <c r="GG85" s="2531"/>
      <c r="GH85" s="2531"/>
      <c r="GI85" s="2530">
        <v>0.15</v>
      </c>
      <c r="GJ85" s="2531"/>
      <c r="GK85" s="2532"/>
      <c r="GL85" s="142"/>
      <c r="GM85" s="142"/>
      <c r="GN85" s="142"/>
      <c r="GO85" s="142"/>
      <c r="GP85" s="142"/>
    </row>
    <row r="86" spans="12:198" ht="3.6" customHeight="1">
      <c r="EF86" s="142"/>
      <c r="EG86" s="142"/>
      <c r="EH86" s="142"/>
      <c r="EI86" s="142"/>
      <c r="EJ86" s="142"/>
      <c r="EK86" s="142"/>
      <c r="EL86" s="142"/>
      <c r="EM86" s="142"/>
      <c r="EN86" s="142"/>
      <c r="EO86" s="142"/>
      <c r="EP86" s="142"/>
      <c r="EQ86" s="142"/>
      <c r="ER86" s="142"/>
      <c r="ES86" s="142"/>
      <c r="ET86" s="142"/>
      <c r="EU86" s="142"/>
      <c r="EV86" s="142"/>
      <c r="EW86" s="142"/>
      <c r="EX86" s="142"/>
      <c r="EY86" s="142"/>
      <c r="EZ86" s="142"/>
      <c r="FA86" s="142"/>
      <c r="FB86" s="142"/>
      <c r="FC86" s="142"/>
      <c r="FD86" s="142"/>
      <c r="FE86" s="142"/>
      <c r="FF86" s="142"/>
      <c r="FG86" s="142"/>
      <c r="FH86" s="142"/>
      <c r="FI86" s="142"/>
      <c r="FJ86" s="142"/>
      <c r="FK86" s="142"/>
      <c r="FL86" s="142"/>
      <c r="FM86" s="142"/>
      <c r="FN86" s="142"/>
      <c r="FO86" s="142"/>
      <c r="FP86" s="142"/>
      <c r="FQ86" s="142"/>
      <c r="FR86" s="3195"/>
      <c r="FS86" s="3196"/>
      <c r="FT86" s="3197"/>
      <c r="FU86" s="3196"/>
      <c r="FV86" s="3196"/>
      <c r="FW86" s="3196"/>
      <c r="FX86" s="3196"/>
      <c r="FY86" s="3197"/>
      <c r="FZ86" s="2531"/>
      <c r="GA86" s="2531"/>
      <c r="GB86" s="2532"/>
      <c r="GC86" s="2530"/>
      <c r="GD86" s="2531"/>
      <c r="GE86" s="2532"/>
      <c r="GF86" s="2530"/>
      <c r="GG86" s="2531"/>
      <c r="GH86" s="2531"/>
      <c r="GI86" s="2530"/>
      <c r="GJ86" s="2531"/>
      <c r="GK86" s="2532"/>
      <c r="GL86" s="142"/>
      <c r="GM86" s="142"/>
      <c r="GN86" s="142"/>
      <c r="GO86" s="142"/>
      <c r="GP86" s="142"/>
    </row>
    <row r="87" spans="12:198" ht="3.6" customHeight="1">
      <c r="EF87" s="3201">
        <v>0.3</v>
      </c>
      <c r="EG87" s="3089"/>
      <c r="EH87" s="3202"/>
      <c r="EI87" s="3201">
        <v>0.6</v>
      </c>
      <c r="EJ87" s="3089"/>
      <c r="EK87" s="3089"/>
      <c r="EL87" s="3089"/>
      <c r="EM87" s="3202"/>
      <c r="EN87" s="3222">
        <v>0.15</v>
      </c>
      <c r="EO87" s="3222"/>
      <c r="EP87" s="173"/>
      <c r="EQ87" s="142"/>
      <c r="ER87" s="142"/>
      <c r="ES87" s="142"/>
      <c r="ET87" s="142"/>
      <c r="EU87" s="142"/>
      <c r="EV87" s="142"/>
      <c r="EW87" s="142"/>
      <c r="EX87" s="142"/>
      <c r="EY87" s="3089">
        <v>2.1</v>
      </c>
      <c r="EZ87" s="3089"/>
      <c r="FA87" s="3089"/>
      <c r="FB87" s="3089"/>
      <c r="FC87" s="3089"/>
      <c r="FD87" s="142"/>
      <c r="FE87" s="142"/>
      <c r="FF87" s="142"/>
      <c r="FG87" s="142"/>
      <c r="FH87" s="142"/>
      <c r="FI87" s="142"/>
      <c r="FJ87" s="142"/>
      <c r="FK87" s="142"/>
      <c r="FL87" s="142"/>
      <c r="FM87" s="142"/>
      <c r="FN87" s="142"/>
      <c r="FO87" s="142"/>
      <c r="FP87" s="142"/>
      <c r="FQ87" s="142"/>
      <c r="FR87" s="3195"/>
      <c r="FS87" s="3196"/>
      <c r="FT87" s="3197"/>
      <c r="FU87" s="3196"/>
      <c r="FV87" s="3196"/>
      <c r="FW87" s="3196"/>
      <c r="FX87" s="3196"/>
      <c r="FY87" s="3197"/>
      <c r="FZ87" s="2531"/>
      <c r="GA87" s="2531"/>
      <c r="GB87" s="2532"/>
      <c r="GC87" s="2530"/>
      <c r="GD87" s="2531"/>
      <c r="GE87" s="2532"/>
      <c r="GF87" s="2530"/>
      <c r="GG87" s="2531"/>
      <c r="GH87" s="2531"/>
      <c r="GI87" s="2530"/>
      <c r="GJ87" s="2531"/>
      <c r="GK87" s="2532"/>
      <c r="GL87" s="142"/>
      <c r="GM87" s="142"/>
      <c r="GN87" s="142"/>
      <c r="GO87" s="142"/>
      <c r="GP87" s="142"/>
    </row>
    <row r="88" spans="12:198" ht="3.6" customHeight="1">
      <c r="EF88" s="3201"/>
      <c r="EG88" s="3089"/>
      <c r="EH88" s="3202"/>
      <c r="EI88" s="3201"/>
      <c r="EJ88" s="3089"/>
      <c r="EK88" s="3089"/>
      <c r="EL88" s="3089"/>
      <c r="EM88" s="3202"/>
      <c r="EN88" s="3223"/>
      <c r="EO88" s="3223"/>
      <c r="EP88" s="173"/>
      <c r="EQ88" s="142"/>
      <c r="ER88" s="142"/>
      <c r="ES88" s="142"/>
      <c r="ET88" s="142"/>
      <c r="EU88" s="142"/>
      <c r="EV88" s="142"/>
      <c r="EW88" s="142"/>
      <c r="EX88" s="142"/>
      <c r="EY88" s="3089"/>
      <c r="EZ88" s="3089"/>
      <c r="FA88" s="3089"/>
      <c r="FB88" s="3089"/>
      <c r="FC88" s="3089"/>
      <c r="FD88" s="142"/>
      <c r="FE88" s="142"/>
      <c r="FF88" s="142"/>
      <c r="FG88" s="142"/>
      <c r="FH88" s="142"/>
      <c r="FI88" s="142"/>
      <c r="FJ88" s="142"/>
      <c r="FK88" s="142"/>
      <c r="FL88" s="142"/>
      <c r="FM88" s="142"/>
      <c r="FN88" s="142"/>
      <c r="FO88" s="142"/>
      <c r="FP88" s="142"/>
      <c r="FQ88" s="142"/>
      <c r="FR88" s="3195"/>
      <c r="FS88" s="3196"/>
      <c r="FT88" s="3197"/>
      <c r="FU88" s="3196"/>
      <c r="FV88" s="3196"/>
      <c r="FW88" s="3196"/>
      <c r="FX88" s="3196"/>
      <c r="FY88" s="3197"/>
      <c r="FZ88" s="2531"/>
      <c r="GA88" s="2531"/>
      <c r="GB88" s="2532"/>
      <c r="GC88" s="2530"/>
      <c r="GD88" s="2531"/>
      <c r="GE88" s="2532"/>
      <c r="GF88" s="2530"/>
      <c r="GG88" s="2531"/>
      <c r="GH88" s="2531"/>
      <c r="GI88" s="2530"/>
      <c r="GJ88" s="2531"/>
      <c r="GK88" s="2532"/>
      <c r="GL88" s="142"/>
      <c r="GM88" s="142"/>
      <c r="GN88" s="142"/>
      <c r="GO88" s="142"/>
      <c r="GP88" s="142"/>
    </row>
    <row r="89" spans="12:198" ht="3.6" customHeight="1">
      <c r="EF89" s="3201"/>
      <c r="EG89" s="3089"/>
      <c r="EH89" s="3202"/>
      <c r="EI89" s="3201"/>
      <c r="EJ89" s="3089"/>
      <c r="EK89" s="3089"/>
      <c r="EL89" s="3089"/>
      <c r="EM89" s="3202"/>
      <c r="EN89" s="3223"/>
      <c r="EO89" s="3223"/>
      <c r="EP89" s="173"/>
      <c r="EQ89" s="142"/>
      <c r="ER89" s="142"/>
      <c r="ES89" s="142"/>
      <c r="ET89" s="142"/>
      <c r="EU89" s="142"/>
      <c r="EV89" s="142"/>
      <c r="EW89" s="142"/>
      <c r="EX89" s="142"/>
      <c r="EY89" s="3089"/>
      <c r="EZ89" s="3089"/>
      <c r="FA89" s="3089"/>
      <c r="FB89" s="3089"/>
      <c r="FC89" s="3089"/>
      <c r="FD89" s="142"/>
      <c r="FE89" s="142"/>
      <c r="FF89" s="142"/>
      <c r="FG89" s="142"/>
      <c r="FH89" s="142"/>
      <c r="FI89" s="142"/>
      <c r="FJ89" s="142"/>
      <c r="FK89" s="142"/>
      <c r="FL89" s="142"/>
      <c r="FM89" s="142"/>
      <c r="FN89" s="142"/>
      <c r="FO89" s="142"/>
      <c r="FP89" s="142"/>
      <c r="FQ89" s="142"/>
      <c r="FR89" s="3195"/>
      <c r="FS89" s="3196"/>
      <c r="FT89" s="3197"/>
      <c r="FU89" s="3196"/>
      <c r="FV89" s="3196"/>
      <c r="FW89" s="3196"/>
      <c r="FX89" s="3196"/>
      <c r="FY89" s="3197"/>
      <c r="FZ89" s="2531"/>
      <c r="GA89" s="2531"/>
      <c r="GB89" s="2532"/>
      <c r="GC89" s="2530"/>
      <c r="GD89" s="2531"/>
      <c r="GE89" s="2532"/>
      <c r="GF89" s="2530"/>
      <c r="GG89" s="2531"/>
      <c r="GH89" s="2531"/>
      <c r="GI89" s="2530"/>
      <c r="GJ89" s="2531"/>
      <c r="GK89" s="2532"/>
      <c r="GL89" s="142"/>
      <c r="GM89" s="142"/>
      <c r="GN89" s="142"/>
      <c r="GO89" s="142"/>
      <c r="GP89" s="142"/>
    </row>
    <row r="90" spans="12:198" ht="3.6" customHeight="1">
      <c r="EF90" s="3201"/>
      <c r="EG90" s="3089"/>
      <c r="EH90" s="3202"/>
      <c r="EI90" s="3201"/>
      <c r="EJ90" s="3089"/>
      <c r="EK90" s="3089"/>
      <c r="EL90" s="3089"/>
      <c r="EM90" s="3202"/>
      <c r="EN90" s="3223"/>
      <c r="EO90" s="3223"/>
      <c r="EP90" s="173"/>
      <c r="EQ90" s="142"/>
      <c r="ER90" s="142"/>
      <c r="ES90" s="142"/>
      <c r="ET90" s="142"/>
      <c r="EU90" s="142"/>
      <c r="EV90" s="142"/>
      <c r="EW90" s="142"/>
      <c r="EX90" s="142"/>
      <c r="EY90" s="3089"/>
      <c r="EZ90" s="3089"/>
      <c r="FA90" s="3089"/>
      <c r="FB90" s="3089"/>
      <c r="FC90" s="3089"/>
      <c r="FD90" s="142"/>
      <c r="FE90" s="142"/>
      <c r="FF90" s="142"/>
      <c r="FG90" s="142"/>
      <c r="FH90" s="142"/>
      <c r="FI90" s="142"/>
      <c r="FJ90" s="142"/>
      <c r="FK90" s="142"/>
      <c r="FL90" s="142"/>
      <c r="FM90" s="142"/>
      <c r="FN90" s="142"/>
      <c r="FO90" s="142"/>
      <c r="FP90" s="142"/>
      <c r="FQ90" s="142"/>
      <c r="FR90" s="3195"/>
      <c r="FS90" s="3196"/>
      <c r="FT90" s="3197"/>
      <c r="FU90" s="3196"/>
      <c r="FV90" s="3196"/>
      <c r="FW90" s="3196"/>
      <c r="FX90" s="3196"/>
      <c r="FY90" s="3197"/>
      <c r="FZ90" s="2531"/>
      <c r="GA90" s="2531"/>
      <c r="GB90" s="2532"/>
      <c r="GC90" s="2530"/>
      <c r="GD90" s="2531"/>
      <c r="GE90" s="2532"/>
      <c r="GF90" s="2530"/>
      <c r="GG90" s="2531"/>
      <c r="GH90" s="2531"/>
      <c r="GI90" s="2530"/>
      <c r="GJ90" s="2531"/>
      <c r="GK90" s="2532"/>
      <c r="GL90" s="142"/>
      <c r="GM90" s="142"/>
      <c r="GN90" s="142"/>
      <c r="GO90" s="142"/>
      <c r="GP90" s="142"/>
    </row>
    <row r="91" spans="12:198" ht="3.6" customHeight="1">
      <c r="M91" s="153"/>
      <c r="AY91" s="3225" t="s">
        <v>3161</v>
      </c>
      <c r="AZ91" s="3225"/>
      <c r="BA91" s="3225"/>
      <c r="BB91" s="3225"/>
      <c r="BC91" s="3225"/>
      <c r="BD91" s="3225"/>
      <c r="BE91" s="3194">
        <f>BE96+M126</f>
        <v>9.6999999999999993</v>
      </c>
      <c r="BF91" s="3194"/>
      <c r="BG91" s="3194"/>
      <c r="BH91" s="3194"/>
      <c r="BI91" s="3194"/>
      <c r="BJ91" s="3194"/>
      <c r="BK91" s="3194"/>
      <c r="BL91" s="3194"/>
      <c r="BM91" s="3194"/>
      <c r="BN91" s="3194"/>
      <c r="BO91" s="3194"/>
      <c r="BP91" s="3194"/>
      <c r="BQ91" s="3194"/>
      <c r="BR91" s="3194"/>
      <c r="DL91" s="154"/>
      <c r="EF91" s="3201"/>
      <c r="EG91" s="3089"/>
      <c r="EH91" s="3202"/>
      <c r="EI91" s="3201"/>
      <c r="EJ91" s="3089"/>
      <c r="EK91" s="3089"/>
      <c r="EL91" s="3089"/>
      <c r="EM91" s="3202"/>
      <c r="EN91" s="3223"/>
      <c r="EO91" s="3223"/>
      <c r="EP91" s="173"/>
      <c r="EQ91" s="142"/>
      <c r="ER91" s="142"/>
      <c r="ES91" s="142"/>
      <c r="ET91" s="142"/>
      <c r="EU91" s="142"/>
      <c r="EV91" s="142"/>
      <c r="EW91" s="142"/>
      <c r="EX91" s="142"/>
      <c r="EY91" s="3089"/>
      <c r="EZ91" s="3089"/>
      <c r="FA91" s="3089"/>
      <c r="FB91" s="3089"/>
      <c r="FC91" s="3089"/>
      <c r="FD91" s="142"/>
      <c r="FE91" s="142"/>
      <c r="FF91" s="142"/>
      <c r="FG91" s="142"/>
      <c r="FH91" s="142"/>
      <c r="FI91" s="142"/>
      <c r="FJ91" s="142"/>
      <c r="FK91" s="142"/>
      <c r="FL91" s="142"/>
      <c r="FM91" s="142"/>
      <c r="FN91" s="142"/>
      <c r="FO91" s="142"/>
      <c r="FP91" s="142"/>
      <c r="FQ91" s="142"/>
      <c r="FR91" s="3195"/>
      <c r="FS91" s="3196"/>
      <c r="FT91" s="3197"/>
      <c r="FU91" s="3196"/>
      <c r="FV91" s="3196"/>
      <c r="FW91" s="3196"/>
      <c r="FX91" s="3196"/>
      <c r="FY91" s="3197"/>
      <c r="FZ91" s="2531"/>
      <c r="GA91" s="2531"/>
      <c r="GB91" s="2532"/>
      <c r="GC91" s="2530"/>
      <c r="GD91" s="2531"/>
      <c r="GE91" s="2532"/>
      <c r="GF91" s="2530"/>
      <c r="GG91" s="2531"/>
      <c r="GH91" s="2531"/>
      <c r="GI91" s="2530"/>
      <c r="GJ91" s="2531"/>
      <c r="GK91" s="2532"/>
      <c r="GL91" s="142"/>
      <c r="GM91" s="142"/>
      <c r="GN91" s="142"/>
      <c r="GO91" s="142"/>
      <c r="GP91" s="142"/>
    </row>
    <row r="92" spans="12:198" ht="3.6" customHeight="1">
      <c r="M92" s="36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3225"/>
      <c r="AZ92" s="3225"/>
      <c r="BA92" s="3225"/>
      <c r="BB92" s="3225"/>
      <c r="BC92" s="3225"/>
      <c r="BD92" s="3225"/>
      <c r="BE92" s="3194"/>
      <c r="BF92" s="3194"/>
      <c r="BG92" s="3194"/>
      <c r="BH92" s="3194"/>
      <c r="BI92" s="3194"/>
      <c r="BJ92" s="3194"/>
      <c r="BK92" s="3194"/>
      <c r="BL92" s="3194"/>
      <c r="BM92" s="3194"/>
      <c r="BN92" s="3194"/>
      <c r="BO92" s="3194"/>
      <c r="BP92" s="3194"/>
      <c r="BQ92" s="3194"/>
      <c r="BR92" s="3194"/>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159"/>
      <c r="DM92" s="603"/>
      <c r="EF92" s="3201"/>
      <c r="EG92" s="3089"/>
      <c r="EH92" s="3202"/>
      <c r="EI92" s="3201"/>
      <c r="EJ92" s="3089"/>
      <c r="EK92" s="3089"/>
      <c r="EL92" s="3089"/>
      <c r="EM92" s="3202"/>
      <c r="EN92" s="3223"/>
      <c r="EO92" s="3223"/>
      <c r="EP92" s="174"/>
      <c r="EQ92" s="171"/>
      <c r="ER92" s="171"/>
      <c r="ES92" s="171"/>
      <c r="ET92" s="171"/>
      <c r="EU92" s="171"/>
      <c r="EV92" s="171"/>
      <c r="EW92" s="171"/>
      <c r="EX92" s="171"/>
      <c r="EY92" s="3089"/>
      <c r="EZ92" s="3089"/>
      <c r="FA92" s="3089"/>
      <c r="FB92" s="3089"/>
      <c r="FC92" s="3089"/>
      <c r="FD92" s="142"/>
      <c r="FE92" s="171"/>
      <c r="FF92" s="171"/>
      <c r="FG92" s="171"/>
      <c r="FH92" s="171"/>
      <c r="FI92" s="171"/>
      <c r="FJ92" s="171"/>
      <c r="FK92" s="171"/>
      <c r="FL92" s="171"/>
      <c r="FM92" s="171"/>
      <c r="FN92" s="171"/>
      <c r="FO92" s="171"/>
      <c r="FP92" s="171"/>
      <c r="FQ92" s="142"/>
      <c r="FR92" s="3195"/>
      <c r="FS92" s="3196"/>
      <c r="FT92" s="3197"/>
      <c r="FU92" s="3196"/>
      <c r="FV92" s="3196"/>
      <c r="FW92" s="3196"/>
      <c r="FX92" s="3196"/>
      <c r="FY92" s="3197"/>
      <c r="FZ92" s="2531"/>
      <c r="GA92" s="2531"/>
      <c r="GB92" s="2532"/>
      <c r="GC92" s="2530"/>
      <c r="GD92" s="2531"/>
      <c r="GE92" s="2532"/>
      <c r="GF92" s="2530"/>
      <c r="GG92" s="2531"/>
      <c r="GH92" s="2531"/>
      <c r="GI92" s="2530"/>
      <c r="GJ92" s="2531"/>
      <c r="GK92" s="2532"/>
      <c r="GL92" s="142"/>
      <c r="GM92" s="142"/>
      <c r="GN92" s="142"/>
      <c r="GO92" s="142"/>
      <c r="GP92" s="142"/>
    </row>
    <row r="93" spans="12:198" ht="3.6" customHeight="1">
      <c r="L93" s="362"/>
      <c r="M93" s="153"/>
      <c r="AY93" s="3225"/>
      <c r="AZ93" s="3225"/>
      <c r="BA93" s="3225"/>
      <c r="BB93" s="3225"/>
      <c r="BC93" s="3225"/>
      <c r="BD93" s="3225"/>
      <c r="BE93" s="3194"/>
      <c r="BF93" s="3194"/>
      <c r="BG93" s="3194"/>
      <c r="BH93" s="3194"/>
      <c r="BI93" s="3194"/>
      <c r="BJ93" s="3194"/>
      <c r="BK93" s="3194"/>
      <c r="BL93" s="3194"/>
      <c r="BM93" s="3194"/>
      <c r="BN93" s="3194"/>
      <c r="BO93" s="3194"/>
      <c r="BP93" s="3194"/>
      <c r="BQ93" s="3194"/>
      <c r="BR93" s="3194"/>
      <c r="DL93" s="363"/>
      <c r="EF93" s="3201"/>
      <c r="EG93" s="3089"/>
      <c r="EH93" s="3202"/>
      <c r="EI93" s="3201"/>
      <c r="EJ93" s="3089"/>
      <c r="EK93" s="3089"/>
      <c r="EL93" s="3089"/>
      <c r="EM93" s="3202"/>
      <c r="EN93" s="3223"/>
      <c r="EO93" s="3223"/>
      <c r="EP93" s="173"/>
      <c r="EQ93" s="142"/>
      <c r="ER93" s="142"/>
      <c r="ES93" s="142"/>
      <c r="ET93" s="142"/>
      <c r="EU93" s="142"/>
      <c r="EV93" s="142"/>
      <c r="EW93" s="142"/>
      <c r="EX93" s="142"/>
      <c r="EY93" s="3089"/>
      <c r="EZ93" s="3089"/>
      <c r="FA93" s="3089"/>
      <c r="FB93" s="3089"/>
      <c r="FC93" s="3089"/>
      <c r="FD93" s="142"/>
      <c r="FE93" s="142"/>
      <c r="FF93" s="142"/>
      <c r="FG93" s="142"/>
      <c r="FH93" s="142"/>
      <c r="FI93" s="142"/>
      <c r="FJ93" s="142"/>
      <c r="FK93" s="142"/>
      <c r="FL93" s="142"/>
      <c r="FM93" s="142"/>
      <c r="FN93" s="142"/>
      <c r="FO93" s="142"/>
      <c r="FP93" s="142"/>
      <c r="FQ93" s="142"/>
      <c r="FR93" s="3195"/>
      <c r="FS93" s="3196"/>
      <c r="FT93" s="3197"/>
      <c r="FU93" s="3196"/>
      <c r="FV93" s="3196"/>
      <c r="FW93" s="3196"/>
      <c r="FX93" s="3196"/>
      <c r="FY93" s="3197"/>
      <c r="FZ93" s="2531"/>
      <c r="GA93" s="2531"/>
      <c r="GB93" s="2532"/>
      <c r="GC93" s="2530"/>
      <c r="GD93" s="2531"/>
      <c r="GE93" s="2532"/>
      <c r="GF93" s="2530"/>
      <c r="GG93" s="2531"/>
      <c r="GH93" s="2531"/>
      <c r="GI93" s="2530"/>
      <c r="GJ93" s="2531"/>
      <c r="GK93" s="2532"/>
      <c r="GL93" s="142"/>
      <c r="GM93" s="142"/>
      <c r="GN93" s="142"/>
      <c r="GO93" s="142"/>
      <c r="GP93" s="142"/>
    </row>
    <row r="94" spans="12:198" ht="3.6" customHeight="1">
      <c r="EF94" s="3201"/>
      <c r="EG94" s="3089"/>
      <c r="EH94" s="3202"/>
      <c r="EI94" s="3201"/>
      <c r="EJ94" s="3089"/>
      <c r="EK94" s="3089"/>
      <c r="EL94" s="3089"/>
      <c r="EM94" s="3202"/>
      <c r="EN94" s="3223"/>
      <c r="EO94" s="3223"/>
      <c r="EP94" s="173"/>
      <c r="EQ94" s="142"/>
      <c r="ER94" s="142"/>
      <c r="ES94" s="142"/>
      <c r="ET94" s="142"/>
      <c r="EU94" s="142"/>
      <c r="EV94" s="142"/>
      <c r="EW94" s="142"/>
      <c r="EX94" s="142"/>
      <c r="EY94" s="3089"/>
      <c r="EZ94" s="3089"/>
      <c r="FA94" s="3089"/>
      <c r="FB94" s="3089"/>
      <c r="FC94" s="3089"/>
      <c r="FD94" s="142"/>
      <c r="FE94" s="142"/>
      <c r="FF94" s="142"/>
      <c r="FG94" s="142"/>
      <c r="FH94" s="142"/>
      <c r="FI94" s="142"/>
      <c r="FJ94" s="142"/>
      <c r="FK94" s="142"/>
      <c r="FL94" s="142"/>
      <c r="FM94" s="142"/>
      <c r="FN94" s="142"/>
      <c r="FO94" s="142"/>
      <c r="FP94" s="142"/>
      <c r="FQ94" s="142"/>
      <c r="FR94" s="3195"/>
      <c r="FS94" s="3196"/>
      <c r="FT94" s="3197"/>
      <c r="FU94" s="3196"/>
      <c r="FV94" s="3196"/>
      <c r="FW94" s="3196"/>
      <c r="FX94" s="3196"/>
      <c r="FY94" s="3197"/>
      <c r="FZ94" s="2531"/>
      <c r="GA94" s="2531"/>
      <c r="GB94" s="2532"/>
      <c r="GC94" s="2530"/>
      <c r="GD94" s="2531"/>
      <c r="GE94" s="2532"/>
      <c r="GF94" s="2530"/>
      <c r="GG94" s="2531"/>
      <c r="GH94" s="2531"/>
      <c r="GI94" s="2530"/>
      <c r="GJ94" s="2531"/>
      <c r="GK94" s="2532"/>
      <c r="GL94" s="142"/>
      <c r="GM94" s="142"/>
      <c r="GN94" s="142"/>
      <c r="GO94" s="142"/>
      <c r="GP94" s="142"/>
    </row>
    <row r="95" spans="12:198" ht="3.6" customHeight="1">
      <c r="EF95" s="3201"/>
      <c r="EG95" s="3089"/>
      <c r="EH95" s="3202"/>
      <c r="EI95" s="3201"/>
      <c r="EJ95" s="3089"/>
      <c r="EK95" s="3089"/>
      <c r="EL95" s="3089"/>
      <c r="EM95" s="3202"/>
      <c r="EN95" s="3223"/>
      <c r="EO95" s="3223"/>
      <c r="EP95" s="173"/>
      <c r="EQ95" s="142"/>
      <c r="ER95" s="142"/>
      <c r="ES95" s="142"/>
      <c r="ET95" s="142"/>
      <c r="EU95" s="142"/>
      <c r="EV95" s="142"/>
      <c r="EW95" s="142"/>
      <c r="EX95" s="142"/>
      <c r="EY95" s="3089"/>
      <c r="EZ95" s="3089"/>
      <c r="FA95" s="3089"/>
      <c r="FB95" s="3089"/>
      <c r="FC95" s="3089"/>
      <c r="FD95" s="142"/>
      <c r="FE95" s="142"/>
      <c r="FF95" s="142"/>
      <c r="FG95" s="142"/>
      <c r="FH95" s="142"/>
      <c r="FI95" s="142"/>
      <c r="FJ95" s="142"/>
      <c r="FK95" s="142"/>
      <c r="FL95" s="142"/>
      <c r="FM95" s="142"/>
      <c r="FN95" s="142"/>
      <c r="FO95" s="142"/>
      <c r="FP95" s="142"/>
      <c r="FQ95" s="142"/>
      <c r="FR95" s="3195"/>
      <c r="FS95" s="3196"/>
      <c r="FT95" s="3197"/>
      <c r="FU95" s="3196"/>
      <c r="FV95" s="3196"/>
      <c r="FW95" s="3196"/>
      <c r="FX95" s="3196"/>
      <c r="FY95" s="3197"/>
      <c r="FZ95" s="2531"/>
      <c r="GA95" s="2531"/>
      <c r="GB95" s="2532"/>
      <c r="GC95" s="2530"/>
      <c r="GD95" s="2531"/>
      <c r="GE95" s="2532"/>
      <c r="GF95" s="2530"/>
      <c r="GG95" s="2531"/>
      <c r="GH95" s="2531"/>
      <c r="GI95" s="2530"/>
      <c r="GJ95" s="2531"/>
      <c r="GK95" s="2532"/>
      <c r="GL95" s="142"/>
      <c r="GM95" s="142"/>
      <c r="GN95" s="142"/>
      <c r="GO95" s="609"/>
      <c r="GP95" s="142"/>
    </row>
    <row r="96" spans="12:198" ht="3.6" customHeight="1">
      <c r="N96" s="591"/>
      <c r="O96" s="580"/>
      <c r="P96" s="580"/>
      <c r="Q96" s="580"/>
      <c r="R96" s="580"/>
      <c r="S96" s="580"/>
      <c r="T96" s="580"/>
      <c r="U96" s="580"/>
      <c r="V96" s="580"/>
      <c r="W96" s="580"/>
      <c r="X96" s="580"/>
      <c r="Y96" s="580"/>
      <c r="Z96" s="580"/>
      <c r="AA96" s="580"/>
      <c r="AB96" s="580"/>
      <c r="AC96" s="580"/>
      <c r="AD96" s="580"/>
      <c r="AE96" s="580"/>
      <c r="AF96" s="580"/>
      <c r="AG96" s="580"/>
      <c r="AH96" s="580"/>
      <c r="AI96" s="580"/>
      <c r="AJ96" s="580"/>
      <c r="AK96" s="580"/>
      <c r="AL96" s="580"/>
      <c r="AM96" s="580"/>
      <c r="AN96" s="580"/>
      <c r="AO96" s="580"/>
      <c r="AP96" s="580"/>
      <c r="AQ96" s="580"/>
      <c r="AR96" s="580"/>
      <c r="AS96" s="580"/>
      <c r="AT96" s="580"/>
      <c r="AU96" s="580"/>
      <c r="AV96" s="580"/>
      <c r="AW96" s="580"/>
      <c r="AX96" s="580"/>
      <c r="AY96" s="2542" t="s">
        <v>3162</v>
      </c>
      <c r="AZ96" s="2542"/>
      <c r="BA96" s="2542"/>
      <c r="BB96" s="2542"/>
      <c r="BC96" s="2542"/>
      <c r="BD96" s="2542"/>
      <c r="BE96" s="3194">
        <f>AY129+M126</f>
        <v>9.4499999999999993</v>
      </c>
      <c r="BF96" s="3194"/>
      <c r="BG96" s="3194"/>
      <c r="BH96" s="3194"/>
      <c r="BI96" s="3194"/>
      <c r="BJ96" s="3194"/>
      <c r="BK96" s="3194"/>
      <c r="BL96" s="3194"/>
      <c r="BM96" s="3194"/>
      <c r="BN96" s="3194"/>
      <c r="BO96" s="3194"/>
      <c r="BP96" s="3194"/>
      <c r="BQ96" s="3194"/>
      <c r="BR96" s="3194"/>
      <c r="BS96" s="580"/>
      <c r="BT96" s="580"/>
      <c r="BU96" s="580"/>
      <c r="BV96" s="580"/>
      <c r="BW96" s="580"/>
      <c r="BX96" s="580"/>
      <c r="BY96" s="580"/>
      <c r="BZ96" s="580"/>
      <c r="CA96" s="580"/>
      <c r="CB96" s="580"/>
      <c r="CC96" s="580"/>
      <c r="CD96" s="580"/>
      <c r="CE96" s="580"/>
      <c r="CF96" s="580"/>
      <c r="CG96" s="580"/>
      <c r="CH96" s="580"/>
      <c r="CI96" s="580"/>
      <c r="CJ96" s="580"/>
      <c r="CK96" s="580"/>
      <c r="CL96" s="580"/>
      <c r="CM96" s="580"/>
      <c r="CN96" s="580"/>
      <c r="CO96" s="580"/>
      <c r="CP96" s="580"/>
      <c r="CQ96" s="580"/>
      <c r="CR96" s="580"/>
      <c r="CS96" s="580"/>
      <c r="CT96" s="580"/>
      <c r="CU96" s="580"/>
      <c r="CV96" s="580"/>
      <c r="CW96" s="580"/>
      <c r="CX96" s="580"/>
      <c r="CY96" s="580"/>
      <c r="CZ96" s="580"/>
      <c r="DA96" s="580"/>
      <c r="DB96" s="580"/>
      <c r="DC96" s="580"/>
      <c r="DD96" s="580"/>
      <c r="DE96" s="580"/>
      <c r="DF96" s="580"/>
      <c r="DG96" s="580"/>
      <c r="DH96" s="580"/>
      <c r="DI96" s="580"/>
      <c r="DJ96" s="580"/>
      <c r="DK96" s="590"/>
      <c r="EF96" s="3201"/>
      <c r="EG96" s="3089"/>
      <c r="EH96" s="3202"/>
      <c r="EI96" s="3201"/>
      <c r="EJ96" s="3089"/>
      <c r="EK96" s="3089"/>
      <c r="EL96" s="3089"/>
      <c r="EM96" s="3202"/>
      <c r="EN96" s="3223"/>
      <c r="EO96" s="3223"/>
      <c r="EP96" s="173"/>
      <c r="EQ96" s="142"/>
      <c r="ER96" s="142"/>
      <c r="ES96" s="142"/>
      <c r="ET96" s="142"/>
      <c r="EU96" s="142"/>
      <c r="EV96" s="142"/>
      <c r="EW96" s="142"/>
      <c r="EX96" s="142"/>
      <c r="EY96" s="3089"/>
      <c r="EZ96" s="3089"/>
      <c r="FA96" s="3089"/>
      <c r="FB96" s="3089"/>
      <c r="FC96" s="3089"/>
      <c r="FD96" s="142"/>
      <c r="FE96" s="142"/>
      <c r="FF96" s="142"/>
      <c r="FG96" s="142"/>
      <c r="FH96" s="142"/>
      <c r="FI96" s="142"/>
      <c r="FJ96" s="142"/>
      <c r="FK96" s="142"/>
      <c r="FL96" s="142"/>
      <c r="FM96" s="142"/>
      <c r="FN96" s="142"/>
      <c r="FO96" s="142"/>
      <c r="FP96" s="142"/>
      <c r="FQ96" s="142"/>
      <c r="FR96" s="142"/>
      <c r="FS96" s="142"/>
      <c r="FT96" s="142"/>
      <c r="FU96" s="142"/>
      <c r="FV96" s="142"/>
      <c r="FW96" s="142"/>
      <c r="FX96" s="142"/>
      <c r="FY96" s="142"/>
      <c r="FZ96" s="577"/>
      <c r="GA96" s="169"/>
      <c r="GB96" s="169"/>
      <c r="GC96" s="169"/>
      <c r="GD96" s="169"/>
      <c r="GE96" s="170"/>
      <c r="GF96" s="2547" t="s">
        <v>3163</v>
      </c>
      <c r="GG96" s="2548"/>
      <c r="GH96" s="2548"/>
      <c r="GI96" s="2547" t="s">
        <v>419</v>
      </c>
      <c r="GJ96" s="2548"/>
      <c r="GK96" s="2549"/>
      <c r="GL96" s="142"/>
      <c r="GM96" s="161"/>
      <c r="GN96" s="610"/>
      <c r="GO96" s="611"/>
      <c r="GP96" s="161"/>
    </row>
    <row r="97" spans="3:198" ht="3.6" customHeight="1">
      <c r="N97" s="361"/>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c r="AO97" s="586"/>
      <c r="AP97" s="586"/>
      <c r="AQ97" s="586"/>
      <c r="AR97" s="586"/>
      <c r="AS97" s="586"/>
      <c r="AT97" s="586"/>
      <c r="AU97" s="586"/>
      <c r="AV97" s="586"/>
      <c r="AW97" s="586"/>
      <c r="AX97" s="586"/>
      <c r="AY97" s="2542"/>
      <c r="AZ97" s="2542"/>
      <c r="BA97" s="2542"/>
      <c r="BB97" s="2542"/>
      <c r="BC97" s="2542"/>
      <c r="BD97" s="2542"/>
      <c r="BE97" s="3194"/>
      <c r="BF97" s="3194"/>
      <c r="BG97" s="3194"/>
      <c r="BH97" s="3194"/>
      <c r="BI97" s="3194"/>
      <c r="BJ97" s="3194"/>
      <c r="BK97" s="3194"/>
      <c r="BL97" s="3194"/>
      <c r="BM97" s="3194"/>
      <c r="BN97" s="3194"/>
      <c r="BO97" s="3194"/>
      <c r="BP97" s="3194"/>
      <c r="BQ97" s="3194"/>
      <c r="BR97" s="3194"/>
      <c r="BS97" s="586"/>
      <c r="BT97" s="586"/>
      <c r="BU97" s="586"/>
      <c r="BV97" s="586"/>
      <c r="BW97" s="586"/>
      <c r="BX97" s="586"/>
      <c r="BY97" s="586"/>
      <c r="BZ97" s="586"/>
      <c r="CA97" s="586"/>
      <c r="CB97" s="586"/>
      <c r="CC97" s="586"/>
      <c r="CD97" s="586"/>
      <c r="CE97" s="586"/>
      <c r="CF97" s="586"/>
      <c r="CG97" s="586"/>
      <c r="CH97" s="586"/>
      <c r="CI97" s="586"/>
      <c r="CJ97" s="586"/>
      <c r="CK97" s="586"/>
      <c r="CL97" s="586"/>
      <c r="CM97" s="586"/>
      <c r="CN97" s="586"/>
      <c r="CO97" s="586"/>
      <c r="CP97" s="586"/>
      <c r="CQ97" s="586"/>
      <c r="CR97" s="586"/>
      <c r="CS97" s="586"/>
      <c r="CT97" s="586"/>
      <c r="CU97" s="586"/>
      <c r="CV97" s="586"/>
      <c r="CW97" s="586"/>
      <c r="CX97" s="586"/>
      <c r="CY97" s="586"/>
      <c r="CZ97" s="586"/>
      <c r="DA97" s="586"/>
      <c r="DB97" s="586"/>
      <c r="DC97" s="586"/>
      <c r="DD97" s="586"/>
      <c r="DE97" s="586"/>
      <c r="DF97" s="586"/>
      <c r="DG97" s="586"/>
      <c r="DH97" s="586"/>
      <c r="DI97" s="586"/>
      <c r="DJ97" s="586"/>
      <c r="DK97" s="159"/>
      <c r="DL97" s="603"/>
      <c r="EF97" s="3201"/>
      <c r="EG97" s="3089"/>
      <c r="EH97" s="3202"/>
      <c r="EI97" s="3201"/>
      <c r="EJ97" s="3089"/>
      <c r="EK97" s="3089"/>
      <c r="EL97" s="3089"/>
      <c r="EM97" s="3202"/>
      <c r="EN97" s="3224"/>
      <c r="EO97" s="3224"/>
      <c r="EP97" s="173"/>
      <c r="EQ97" s="142"/>
      <c r="ER97" s="142"/>
      <c r="ES97" s="142"/>
      <c r="ET97" s="142"/>
      <c r="EU97" s="142"/>
      <c r="EV97" s="142"/>
      <c r="EW97" s="142"/>
      <c r="EX97" s="142"/>
      <c r="EY97" s="3089"/>
      <c r="EZ97" s="3089"/>
      <c r="FA97" s="3089"/>
      <c r="FB97" s="3089"/>
      <c r="FC97" s="3089"/>
      <c r="FD97" s="142"/>
      <c r="FE97" s="142"/>
      <c r="FF97" s="142"/>
      <c r="FG97" s="142"/>
      <c r="FH97" s="142"/>
      <c r="FI97" s="142"/>
      <c r="FJ97" s="142"/>
      <c r="FK97" s="142"/>
      <c r="FL97" s="142"/>
      <c r="FM97" s="142"/>
      <c r="FN97" s="142"/>
      <c r="FO97" s="142"/>
      <c r="FP97" s="142"/>
      <c r="FQ97" s="142"/>
      <c r="FR97" s="142"/>
      <c r="FS97" s="142"/>
      <c r="FT97" s="142"/>
      <c r="FU97" s="142"/>
      <c r="FV97" s="142"/>
      <c r="FW97" s="142"/>
      <c r="FX97" s="142"/>
      <c r="FY97" s="142"/>
      <c r="FZ97" s="173"/>
      <c r="GA97" s="142"/>
      <c r="GB97" s="142"/>
      <c r="GC97" s="142"/>
      <c r="GD97" s="142"/>
      <c r="GE97" s="168"/>
      <c r="GF97" s="2530"/>
      <c r="GG97" s="2531"/>
      <c r="GH97" s="2531"/>
      <c r="GI97" s="2530"/>
      <c r="GJ97" s="2531"/>
      <c r="GK97" s="2532"/>
      <c r="GL97" s="142"/>
      <c r="GM97" s="141"/>
      <c r="GN97" s="141"/>
      <c r="GO97" s="612"/>
      <c r="GP97" s="141"/>
    </row>
    <row r="98" spans="3:198" ht="3.6" customHeight="1">
      <c r="M98" s="362"/>
      <c r="N98" s="153"/>
      <c r="O98" s="580"/>
      <c r="P98" s="580"/>
      <c r="Q98" s="580"/>
      <c r="R98" s="580"/>
      <c r="S98" s="580"/>
      <c r="T98" s="580"/>
      <c r="U98" s="580"/>
      <c r="V98" s="580"/>
      <c r="W98" s="580"/>
      <c r="X98" s="580"/>
      <c r="Y98" s="580"/>
      <c r="Z98" s="580"/>
      <c r="AA98" s="580"/>
      <c r="AB98" s="580"/>
      <c r="AC98" s="580"/>
      <c r="AD98" s="580"/>
      <c r="AE98" s="580"/>
      <c r="AF98" s="580"/>
      <c r="AG98" s="580"/>
      <c r="AH98" s="580"/>
      <c r="AI98" s="580"/>
      <c r="AJ98" s="580"/>
      <c r="AK98" s="580"/>
      <c r="AL98" s="580"/>
      <c r="AM98" s="580"/>
      <c r="AN98" s="580"/>
      <c r="AO98" s="580"/>
      <c r="AP98" s="580"/>
      <c r="AQ98" s="580"/>
      <c r="AR98" s="580"/>
      <c r="AS98" s="580"/>
      <c r="AT98" s="580"/>
      <c r="AU98" s="580"/>
      <c r="AV98" s="580"/>
      <c r="AW98" s="580"/>
      <c r="AX98" s="580"/>
      <c r="AY98" s="2542"/>
      <c r="AZ98" s="2542"/>
      <c r="BA98" s="2542"/>
      <c r="BB98" s="2542"/>
      <c r="BC98" s="2542"/>
      <c r="BD98" s="2542"/>
      <c r="BE98" s="3194"/>
      <c r="BF98" s="3194"/>
      <c r="BG98" s="3194"/>
      <c r="BH98" s="3194"/>
      <c r="BI98" s="3194"/>
      <c r="BJ98" s="3194"/>
      <c r="BK98" s="3194"/>
      <c r="BL98" s="3194"/>
      <c r="BM98" s="3194"/>
      <c r="BN98" s="3194"/>
      <c r="BO98" s="3194"/>
      <c r="BP98" s="3194"/>
      <c r="BQ98" s="3194"/>
      <c r="BR98" s="3194"/>
      <c r="BS98" s="580"/>
      <c r="BT98" s="580"/>
      <c r="BU98" s="580"/>
      <c r="BV98" s="580"/>
      <c r="BW98" s="580"/>
      <c r="BX98" s="580"/>
      <c r="BY98" s="580"/>
      <c r="BZ98" s="580"/>
      <c r="CA98" s="580"/>
      <c r="CB98" s="580"/>
      <c r="CC98" s="580"/>
      <c r="CD98" s="580"/>
      <c r="CE98" s="580"/>
      <c r="CF98" s="580"/>
      <c r="CG98" s="580"/>
      <c r="CH98" s="580"/>
      <c r="CI98" s="580"/>
      <c r="CJ98" s="580"/>
      <c r="CK98" s="580"/>
      <c r="CL98" s="580"/>
      <c r="CM98" s="580"/>
      <c r="CN98" s="580"/>
      <c r="CO98" s="580"/>
      <c r="CP98" s="580"/>
      <c r="CQ98" s="580"/>
      <c r="CR98" s="580"/>
      <c r="CS98" s="580"/>
      <c r="CT98" s="580"/>
      <c r="CU98" s="580"/>
      <c r="CV98" s="580"/>
      <c r="CW98" s="580"/>
      <c r="CX98" s="580"/>
      <c r="CY98" s="580"/>
      <c r="CZ98" s="580"/>
      <c r="DA98" s="580"/>
      <c r="DB98" s="587"/>
      <c r="DC98" s="587"/>
      <c r="DD98" s="587"/>
      <c r="DE98" s="587"/>
      <c r="DF98" s="587"/>
      <c r="DG98" s="587"/>
      <c r="DH98" s="587"/>
      <c r="DI98" s="587"/>
      <c r="DJ98" s="587"/>
      <c r="DK98" s="363"/>
      <c r="EF98" s="142"/>
      <c r="EG98" s="142"/>
      <c r="EH98" s="142"/>
      <c r="EI98" s="142"/>
      <c r="EJ98" s="142"/>
      <c r="EK98" s="142"/>
      <c r="EL98" s="142"/>
      <c r="EM98" s="142"/>
      <c r="EN98" s="142"/>
      <c r="EO98" s="142"/>
      <c r="EP98" s="173"/>
      <c r="EQ98" s="142"/>
      <c r="ER98" s="142"/>
      <c r="ES98" s="142"/>
      <c r="ET98" s="142"/>
      <c r="EU98" s="142"/>
      <c r="EV98" s="142"/>
      <c r="EW98" s="142"/>
      <c r="EX98" s="142"/>
      <c r="EY98" s="3089"/>
      <c r="EZ98" s="3089"/>
      <c r="FA98" s="3089"/>
      <c r="FB98" s="3089"/>
      <c r="FC98" s="3089"/>
      <c r="FD98" s="142"/>
      <c r="FE98" s="142"/>
      <c r="FF98" s="142"/>
      <c r="FG98" s="142"/>
      <c r="FH98" s="142"/>
      <c r="FI98" s="142"/>
      <c r="FJ98" s="142"/>
      <c r="FK98" s="142"/>
      <c r="FL98" s="142"/>
      <c r="FM98" s="142"/>
      <c r="FN98" s="142"/>
      <c r="FO98" s="142"/>
      <c r="FP98" s="142"/>
      <c r="FQ98" s="142"/>
      <c r="FR98" s="142"/>
      <c r="FS98" s="142"/>
      <c r="FT98" s="142"/>
      <c r="FU98" s="142"/>
      <c r="FV98" s="142"/>
      <c r="FW98" s="142"/>
      <c r="FX98" s="142"/>
      <c r="FY98" s="142"/>
      <c r="FZ98" s="173"/>
      <c r="GA98" s="142"/>
      <c r="GB98" s="142"/>
      <c r="GC98" s="142"/>
      <c r="GD98" s="142"/>
      <c r="GE98" s="168"/>
      <c r="GF98" s="2530"/>
      <c r="GG98" s="2531"/>
      <c r="GH98" s="2531"/>
      <c r="GI98" s="2530"/>
      <c r="GJ98" s="2531"/>
      <c r="GK98" s="2532"/>
      <c r="GL98" s="142"/>
      <c r="GM98" s="141"/>
      <c r="GN98" s="141"/>
      <c r="GO98" s="612"/>
      <c r="GP98" s="141"/>
    </row>
    <row r="99" spans="3:198" ht="3.6" customHeight="1">
      <c r="N99" s="580"/>
      <c r="O99" s="580"/>
      <c r="P99" s="580"/>
      <c r="Q99" s="580"/>
      <c r="R99" s="580"/>
      <c r="S99" s="580"/>
      <c r="T99" s="580"/>
      <c r="U99" s="580"/>
      <c r="V99" s="580"/>
      <c r="W99" s="580"/>
      <c r="X99" s="580"/>
      <c r="Y99" s="580"/>
      <c r="Z99" s="580"/>
      <c r="AA99" s="580"/>
      <c r="AB99" s="580"/>
      <c r="AC99" s="580"/>
      <c r="AD99" s="580"/>
      <c r="AE99" s="580"/>
      <c r="AF99" s="580"/>
      <c r="AG99" s="580"/>
      <c r="AH99" s="580"/>
      <c r="AI99" s="580"/>
      <c r="AJ99" s="580"/>
      <c r="AK99" s="580"/>
      <c r="AL99" s="580"/>
      <c r="AM99" s="580"/>
      <c r="AN99" s="580"/>
      <c r="AO99" s="580"/>
      <c r="AP99" s="580"/>
      <c r="AQ99" s="580"/>
      <c r="AR99" s="580"/>
      <c r="AS99" s="580"/>
      <c r="AT99" s="580"/>
      <c r="AU99" s="580"/>
      <c r="AV99" s="580"/>
      <c r="AW99" s="580"/>
      <c r="AX99" s="580"/>
      <c r="AY99" s="580"/>
      <c r="AZ99" s="580"/>
      <c r="BA99" s="580"/>
      <c r="BB99" s="580"/>
      <c r="BC99" s="580"/>
      <c r="BD99" s="580"/>
      <c r="BE99" s="580"/>
      <c r="BF99" s="580"/>
      <c r="BG99" s="580"/>
      <c r="BH99" s="580"/>
      <c r="BI99" s="580"/>
      <c r="BJ99" s="580"/>
      <c r="BK99" s="580"/>
      <c r="BL99" s="580"/>
      <c r="BM99" s="580"/>
      <c r="BN99" s="580"/>
      <c r="BO99" s="580"/>
      <c r="BP99" s="580"/>
      <c r="BQ99" s="580"/>
      <c r="BR99" s="580"/>
      <c r="BS99" s="580"/>
      <c r="BT99" s="580"/>
      <c r="BU99" s="580"/>
      <c r="BV99" s="580"/>
      <c r="BW99" s="580"/>
      <c r="BX99" s="580"/>
      <c r="BY99" s="580"/>
      <c r="BZ99" s="580"/>
      <c r="CA99" s="580"/>
      <c r="CB99" s="580"/>
      <c r="CC99" s="580"/>
      <c r="CD99" s="580"/>
      <c r="CE99" s="580"/>
      <c r="CF99" s="580"/>
      <c r="CG99" s="580"/>
      <c r="CH99" s="580"/>
      <c r="CI99" s="580"/>
      <c r="CJ99" s="580"/>
      <c r="CK99" s="580"/>
      <c r="CL99" s="580"/>
      <c r="CM99" s="580"/>
      <c r="CN99" s="580"/>
      <c r="CO99" s="580"/>
      <c r="CP99" s="580"/>
      <c r="CQ99" s="580"/>
      <c r="CR99" s="580"/>
      <c r="CS99" s="580"/>
      <c r="CT99" s="580"/>
      <c r="CU99" s="580"/>
      <c r="CV99" s="580"/>
      <c r="CW99" s="580"/>
      <c r="CX99" s="580"/>
      <c r="CY99" s="580"/>
      <c r="CZ99" s="580"/>
      <c r="DA99" s="580"/>
      <c r="DB99" s="580"/>
      <c r="DC99" s="580"/>
      <c r="DD99" s="580"/>
      <c r="DE99" s="580"/>
      <c r="DF99" s="580"/>
      <c r="DG99" s="580"/>
      <c r="DH99" s="580"/>
      <c r="DI99" s="580"/>
      <c r="DJ99" s="580"/>
      <c r="DK99" s="580"/>
      <c r="EF99" s="142"/>
      <c r="EG99" s="142"/>
      <c r="EH99" s="142"/>
      <c r="EI99" s="142"/>
      <c r="EJ99" s="142"/>
      <c r="EK99" s="142"/>
      <c r="EL99" s="142"/>
      <c r="EM99" s="142"/>
      <c r="EN99" s="142"/>
      <c r="EO99" s="613"/>
      <c r="EP99" s="142"/>
      <c r="EQ99" s="142"/>
      <c r="ER99" s="2548">
        <v>0.6</v>
      </c>
      <c r="ES99" s="2548"/>
      <c r="ET99" s="2548"/>
      <c r="EU99" s="142"/>
      <c r="EV99" s="142"/>
      <c r="EW99" s="142"/>
      <c r="EX99" s="142"/>
      <c r="EY99" s="142"/>
      <c r="EZ99" s="142"/>
      <c r="FA99" s="142"/>
      <c r="FB99" s="142"/>
      <c r="FC99" s="142"/>
      <c r="FD99" s="142"/>
      <c r="FE99" s="142"/>
      <c r="FF99" s="142"/>
      <c r="FG99" s="142"/>
      <c r="FH99" s="142"/>
      <c r="FI99" s="142"/>
      <c r="FJ99" s="142"/>
      <c r="FK99" s="142"/>
      <c r="FL99" s="142"/>
      <c r="FM99" s="142"/>
      <c r="FN99" s="142"/>
      <c r="FO99" s="142"/>
      <c r="FP99" s="142"/>
      <c r="FQ99" s="142"/>
      <c r="FR99" s="142"/>
      <c r="FS99" s="142"/>
      <c r="FT99" s="142"/>
      <c r="FU99" s="142"/>
      <c r="FV99" s="142"/>
      <c r="FW99" s="142"/>
      <c r="FX99" s="142"/>
      <c r="FY99" s="142"/>
      <c r="FZ99" s="173"/>
      <c r="GA99" s="142"/>
      <c r="GB99" s="142"/>
      <c r="GC99" s="142"/>
      <c r="GD99" s="142"/>
      <c r="GE99" s="168"/>
      <c r="GF99" s="2530"/>
      <c r="GG99" s="2531"/>
      <c r="GH99" s="2531"/>
      <c r="GI99" s="2530"/>
      <c r="GJ99" s="2531"/>
      <c r="GK99" s="2532"/>
      <c r="GL99" s="142"/>
      <c r="GM99" s="141"/>
      <c r="GN99" s="141"/>
      <c r="GO99" s="612"/>
      <c r="GP99" s="141"/>
    </row>
    <row r="100" spans="3:198" ht="3.6" customHeight="1">
      <c r="N100" s="584"/>
      <c r="O100" s="579"/>
      <c r="P100" s="579"/>
      <c r="Q100" s="579"/>
      <c r="R100" s="579"/>
      <c r="S100" s="579"/>
      <c r="T100" s="579"/>
      <c r="U100" s="579"/>
      <c r="V100" s="579"/>
      <c r="W100" s="3221">
        <f>BE96/3</f>
        <v>3.15</v>
      </c>
      <c r="X100" s="3221"/>
      <c r="Y100" s="3221"/>
      <c r="Z100" s="3221"/>
      <c r="AA100" s="3221"/>
      <c r="AB100" s="3221"/>
      <c r="AC100" s="3221"/>
      <c r="AD100" s="3221"/>
      <c r="AE100" s="3221"/>
      <c r="AF100" s="3221"/>
      <c r="AG100" s="3221"/>
      <c r="AH100" s="3221"/>
      <c r="AI100" s="3221"/>
      <c r="AJ100" s="3221"/>
      <c r="AK100" s="579"/>
      <c r="AL100" s="579"/>
      <c r="AM100" s="579"/>
      <c r="AN100" s="579"/>
      <c r="AO100" s="579"/>
      <c r="AP100" s="579"/>
      <c r="AQ100" s="579"/>
      <c r="AR100" s="579"/>
      <c r="AS100" s="579"/>
      <c r="AT100" s="579"/>
      <c r="AU100" s="589"/>
      <c r="AV100" s="584"/>
      <c r="AW100" s="579"/>
      <c r="AX100" s="579"/>
      <c r="AY100" s="579"/>
      <c r="AZ100" s="579"/>
      <c r="BA100" s="579"/>
      <c r="BB100" s="579"/>
      <c r="BC100" s="579"/>
      <c r="BD100" s="579"/>
      <c r="BE100" s="579"/>
      <c r="BF100" s="3221">
        <f>W100</f>
        <v>3.15</v>
      </c>
      <c r="BG100" s="3221"/>
      <c r="BH100" s="3221"/>
      <c r="BI100" s="3221"/>
      <c r="BJ100" s="3221"/>
      <c r="BK100" s="3221"/>
      <c r="BL100" s="3221"/>
      <c r="BM100" s="3221"/>
      <c r="BN100" s="3221"/>
      <c r="BO100" s="3221"/>
      <c r="BP100" s="3221"/>
      <c r="BQ100" s="3221"/>
      <c r="BR100" s="3221"/>
      <c r="BS100" s="3221"/>
      <c r="BT100" s="579"/>
      <c r="BU100" s="579"/>
      <c r="BV100" s="579"/>
      <c r="BW100" s="579"/>
      <c r="BX100" s="579"/>
      <c r="BY100" s="579"/>
      <c r="BZ100" s="579"/>
      <c r="CA100" s="579"/>
      <c r="CB100" s="579"/>
      <c r="CC100" s="589"/>
      <c r="CD100" s="584"/>
      <c r="CE100" s="579"/>
      <c r="CF100" s="579"/>
      <c r="CG100" s="579"/>
      <c r="CH100" s="579"/>
      <c r="CI100" s="579"/>
      <c r="CJ100" s="579"/>
      <c r="CK100" s="579"/>
      <c r="CL100" s="579"/>
      <c r="CM100" s="579"/>
      <c r="CN100" s="3221">
        <f>BF100</f>
        <v>3.15</v>
      </c>
      <c r="CO100" s="3221"/>
      <c r="CP100" s="3221"/>
      <c r="CQ100" s="3221"/>
      <c r="CR100" s="3221"/>
      <c r="CS100" s="3221"/>
      <c r="CT100" s="3221"/>
      <c r="CU100" s="3221"/>
      <c r="CV100" s="3221"/>
      <c r="CW100" s="3221"/>
      <c r="CX100" s="3221"/>
      <c r="CY100" s="3221"/>
      <c r="CZ100" s="3221"/>
      <c r="DA100" s="3221"/>
      <c r="DB100" s="579"/>
      <c r="DC100" s="579"/>
      <c r="DD100" s="579"/>
      <c r="DE100" s="579"/>
      <c r="DF100" s="579"/>
      <c r="DG100" s="579"/>
      <c r="DH100" s="579"/>
      <c r="DI100" s="579"/>
      <c r="DJ100" s="579"/>
      <c r="DK100" s="589"/>
      <c r="EF100" s="142"/>
      <c r="EG100" s="142"/>
      <c r="EH100" s="142"/>
      <c r="EI100" s="142"/>
      <c r="EJ100" s="142"/>
      <c r="EK100" s="142"/>
      <c r="EL100" s="142"/>
      <c r="EM100" s="142"/>
      <c r="EN100" s="142"/>
      <c r="EO100" s="614"/>
      <c r="EP100" s="173"/>
      <c r="EQ100" s="142"/>
      <c r="ER100" s="2531"/>
      <c r="ES100" s="2531"/>
      <c r="ET100" s="2531"/>
      <c r="EU100" s="142"/>
      <c r="EV100" s="142"/>
      <c r="EW100" s="142"/>
      <c r="EX100" s="142"/>
      <c r="EY100" s="142"/>
      <c r="EZ100" s="142"/>
      <c r="FA100" s="142"/>
      <c r="FB100" s="142"/>
      <c r="FC100" s="142"/>
      <c r="FD100" s="142"/>
      <c r="FE100" s="142"/>
      <c r="FF100" s="142"/>
      <c r="FG100" s="142"/>
      <c r="FH100" s="142"/>
      <c r="FI100" s="142"/>
      <c r="FJ100" s="142"/>
      <c r="FK100" s="142"/>
      <c r="FL100" s="142"/>
      <c r="FM100" s="142"/>
      <c r="FN100" s="142"/>
      <c r="FO100" s="142"/>
      <c r="FP100" s="142"/>
      <c r="FQ100" s="142"/>
      <c r="FR100" s="142"/>
      <c r="FS100" s="142"/>
      <c r="FT100" s="142"/>
      <c r="FU100" s="142"/>
      <c r="FV100" s="142"/>
      <c r="FW100" s="142"/>
      <c r="FX100" s="142"/>
      <c r="FY100" s="142"/>
      <c r="FZ100" s="173"/>
      <c r="GA100" s="142"/>
      <c r="GB100" s="142"/>
      <c r="GC100" s="3198">
        <v>0.6</v>
      </c>
      <c r="GD100" s="3199"/>
      <c r="GE100" s="3200"/>
      <c r="GF100" s="2530"/>
      <c r="GG100" s="2531"/>
      <c r="GH100" s="2531"/>
      <c r="GI100" s="2530"/>
      <c r="GJ100" s="2531"/>
      <c r="GK100" s="2532"/>
      <c r="GL100" s="142"/>
      <c r="GM100" s="2531">
        <v>0.75</v>
      </c>
      <c r="GN100" s="2531"/>
      <c r="GO100" s="2531"/>
      <c r="GP100" s="2531"/>
    </row>
    <row r="101" spans="3:198" ht="3.6" customHeight="1">
      <c r="N101" s="361"/>
      <c r="O101" s="583"/>
      <c r="P101" s="583"/>
      <c r="Q101" s="583"/>
      <c r="R101" s="583"/>
      <c r="S101" s="583"/>
      <c r="T101" s="583"/>
      <c r="U101" s="583"/>
      <c r="V101" s="583"/>
      <c r="W101" s="3221"/>
      <c r="X101" s="3221"/>
      <c r="Y101" s="3221"/>
      <c r="Z101" s="3221"/>
      <c r="AA101" s="3221"/>
      <c r="AB101" s="3221"/>
      <c r="AC101" s="3221"/>
      <c r="AD101" s="3221"/>
      <c r="AE101" s="3221"/>
      <c r="AF101" s="3221"/>
      <c r="AG101" s="3221"/>
      <c r="AH101" s="3221"/>
      <c r="AI101" s="3221"/>
      <c r="AJ101" s="3221"/>
      <c r="AK101" s="583"/>
      <c r="AL101" s="583"/>
      <c r="AM101" s="583"/>
      <c r="AN101" s="583"/>
      <c r="AO101" s="583"/>
      <c r="AP101" s="583"/>
      <c r="AQ101" s="583"/>
      <c r="AR101" s="583"/>
      <c r="AS101" s="583"/>
      <c r="AT101" s="583"/>
      <c r="AU101" s="159"/>
      <c r="AV101" s="361"/>
      <c r="AW101" s="583"/>
      <c r="AX101" s="583"/>
      <c r="AY101" s="583"/>
      <c r="AZ101" s="583"/>
      <c r="BA101" s="583"/>
      <c r="BB101" s="583"/>
      <c r="BC101" s="583"/>
      <c r="BD101" s="583"/>
      <c r="BE101" s="583"/>
      <c r="BF101" s="3221"/>
      <c r="BG101" s="3221"/>
      <c r="BH101" s="3221"/>
      <c r="BI101" s="3221"/>
      <c r="BJ101" s="3221"/>
      <c r="BK101" s="3221"/>
      <c r="BL101" s="3221"/>
      <c r="BM101" s="3221"/>
      <c r="BN101" s="3221"/>
      <c r="BO101" s="3221"/>
      <c r="BP101" s="3221"/>
      <c r="BQ101" s="3221"/>
      <c r="BR101" s="3221"/>
      <c r="BS101" s="3221"/>
      <c r="BT101" s="583"/>
      <c r="BU101" s="583"/>
      <c r="BV101" s="583"/>
      <c r="BW101" s="583"/>
      <c r="BX101" s="583"/>
      <c r="BY101" s="583"/>
      <c r="BZ101" s="583"/>
      <c r="CA101" s="583"/>
      <c r="CB101" s="583"/>
      <c r="CC101" s="159"/>
      <c r="CD101" s="361"/>
      <c r="CE101" s="583"/>
      <c r="CF101" s="583"/>
      <c r="CG101" s="583"/>
      <c r="CH101" s="583"/>
      <c r="CI101" s="583"/>
      <c r="CJ101" s="583"/>
      <c r="CK101" s="583"/>
      <c r="CL101" s="583"/>
      <c r="CM101" s="583"/>
      <c r="CN101" s="3221"/>
      <c r="CO101" s="3221"/>
      <c r="CP101" s="3221"/>
      <c r="CQ101" s="3221"/>
      <c r="CR101" s="3221"/>
      <c r="CS101" s="3221"/>
      <c r="CT101" s="3221"/>
      <c r="CU101" s="3221"/>
      <c r="CV101" s="3221"/>
      <c r="CW101" s="3221"/>
      <c r="CX101" s="3221"/>
      <c r="CY101" s="3221"/>
      <c r="CZ101" s="3221"/>
      <c r="DA101" s="3221"/>
      <c r="DB101" s="583"/>
      <c r="DC101" s="583"/>
      <c r="DD101" s="583"/>
      <c r="DE101" s="583"/>
      <c r="DF101" s="583"/>
      <c r="DG101" s="583"/>
      <c r="DH101" s="583"/>
      <c r="DI101" s="583"/>
      <c r="DJ101" s="583"/>
      <c r="DK101" s="159"/>
      <c r="DL101" s="603"/>
      <c r="EF101" s="142"/>
      <c r="EG101" s="142"/>
      <c r="EH101" s="142"/>
      <c r="EI101" s="142"/>
      <c r="EJ101" s="142"/>
      <c r="EK101" s="142"/>
      <c r="EL101" s="142"/>
      <c r="EM101" s="142"/>
      <c r="EN101" s="142"/>
      <c r="EO101" s="614"/>
      <c r="EP101" s="173"/>
      <c r="EQ101" s="142"/>
      <c r="ER101" s="2531"/>
      <c r="ES101" s="2531"/>
      <c r="ET101" s="2531"/>
      <c r="EU101" s="142"/>
      <c r="EV101" s="142"/>
      <c r="EW101" s="142"/>
      <c r="EX101" s="142"/>
      <c r="EY101" s="142"/>
      <c r="EZ101" s="142"/>
      <c r="FA101" s="142"/>
      <c r="FB101" s="142"/>
      <c r="FC101" s="142"/>
      <c r="FD101" s="142"/>
      <c r="FE101" s="142"/>
      <c r="FF101" s="142"/>
      <c r="FG101" s="142"/>
      <c r="FH101" s="142"/>
      <c r="FI101" s="142"/>
      <c r="FJ101" s="142"/>
      <c r="FK101" s="142"/>
      <c r="FL101" s="142"/>
      <c r="FM101" s="142"/>
      <c r="FN101" s="142"/>
      <c r="FO101" s="142"/>
      <c r="FP101" s="142"/>
      <c r="FQ101" s="142"/>
      <c r="FR101" s="142"/>
      <c r="FS101" s="142"/>
      <c r="FT101" s="142"/>
      <c r="FU101" s="142"/>
      <c r="FV101" s="142"/>
      <c r="FW101" s="142"/>
      <c r="FX101" s="142"/>
      <c r="FY101" s="142"/>
      <c r="FZ101" s="173"/>
      <c r="GA101" s="142"/>
      <c r="GB101" s="142"/>
      <c r="GC101" s="3201"/>
      <c r="GD101" s="3089"/>
      <c r="GE101" s="3202"/>
      <c r="GF101" s="2530"/>
      <c r="GG101" s="2531"/>
      <c r="GH101" s="2531"/>
      <c r="GI101" s="2530"/>
      <c r="GJ101" s="2531"/>
      <c r="GK101" s="2532"/>
      <c r="GL101" s="142"/>
      <c r="GM101" s="2531"/>
      <c r="GN101" s="2531"/>
      <c r="GO101" s="2531"/>
      <c r="GP101" s="2531"/>
    </row>
    <row r="102" spans="3:198" ht="3.6" customHeight="1">
      <c r="M102" s="362"/>
      <c r="N102" s="153"/>
      <c r="O102" s="579"/>
      <c r="P102" s="579"/>
      <c r="Q102" s="579"/>
      <c r="R102" s="579"/>
      <c r="S102" s="579"/>
      <c r="T102" s="579"/>
      <c r="U102" s="579"/>
      <c r="V102" s="579"/>
      <c r="W102" s="3221"/>
      <c r="X102" s="3221"/>
      <c r="Y102" s="3221"/>
      <c r="Z102" s="3221"/>
      <c r="AA102" s="3221"/>
      <c r="AB102" s="3221"/>
      <c r="AC102" s="3221"/>
      <c r="AD102" s="3221"/>
      <c r="AE102" s="3221"/>
      <c r="AF102" s="3221"/>
      <c r="AG102" s="3221"/>
      <c r="AH102" s="3221"/>
      <c r="AI102" s="3221"/>
      <c r="AJ102" s="3221"/>
      <c r="AK102" s="579"/>
      <c r="AL102" s="579"/>
      <c r="AM102" s="579"/>
      <c r="AN102" s="579"/>
      <c r="AO102" s="579"/>
      <c r="AP102" s="579"/>
      <c r="AQ102" s="579"/>
      <c r="AR102" s="579"/>
      <c r="AS102" s="579"/>
      <c r="AT102" s="579"/>
      <c r="AU102" s="363"/>
      <c r="AW102" s="579"/>
      <c r="AX102" s="579"/>
      <c r="AY102" s="579"/>
      <c r="AZ102" s="579"/>
      <c r="BA102" s="579"/>
      <c r="BB102" s="579"/>
      <c r="BC102" s="579"/>
      <c r="BD102" s="579"/>
      <c r="BE102" s="579"/>
      <c r="BF102" s="3221"/>
      <c r="BG102" s="3221"/>
      <c r="BH102" s="3221"/>
      <c r="BI102" s="3221"/>
      <c r="BJ102" s="3221"/>
      <c r="BK102" s="3221"/>
      <c r="BL102" s="3221"/>
      <c r="BM102" s="3221"/>
      <c r="BN102" s="3221"/>
      <c r="BO102" s="3221"/>
      <c r="BP102" s="3221"/>
      <c r="BQ102" s="3221"/>
      <c r="BR102" s="3221"/>
      <c r="BS102" s="3221"/>
      <c r="BT102" s="579"/>
      <c r="BU102" s="579"/>
      <c r="BV102" s="579"/>
      <c r="BW102" s="579"/>
      <c r="BX102" s="579"/>
      <c r="BY102" s="579"/>
      <c r="BZ102" s="579"/>
      <c r="CA102" s="579"/>
      <c r="CB102" s="579"/>
      <c r="CC102" s="363"/>
      <c r="CE102" s="579"/>
      <c r="CF102" s="579"/>
      <c r="CG102" s="579"/>
      <c r="CH102" s="579"/>
      <c r="CI102" s="579"/>
      <c r="CJ102" s="579"/>
      <c r="CK102" s="579"/>
      <c r="CL102" s="579"/>
      <c r="CM102" s="579"/>
      <c r="CN102" s="3221"/>
      <c r="CO102" s="3221"/>
      <c r="CP102" s="3221"/>
      <c r="CQ102" s="3221"/>
      <c r="CR102" s="3221"/>
      <c r="CS102" s="3221"/>
      <c r="CT102" s="3221"/>
      <c r="CU102" s="3221"/>
      <c r="CV102" s="3221"/>
      <c r="CW102" s="3221"/>
      <c r="CX102" s="3221"/>
      <c r="CY102" s="3221"/>
      <c r="CZ102" s="3221"/>
      <c r="DA102" s="3221"/>
      <c r="DB102" s="579"/>
      <c r="DC102" s="579"/>
      <c r="DD102" s="579"/>
      <c r="DE102" s="579"/>
      <c r="DF102" s="579"/>
      <c r="DG102" s="579"/>
      <c r="DH102" s="579"/>
      <c r="DI102" s="579"/>
      <c r="DJ102" s="579"/>
      <c r="DK102" s="363"/>
      <c r="EF102" s="142"/>
      <c r="EG102" s="142"/>
      <c r="EH102" s="142"/>
      <c r="EI102" s="142"/>
      <c r="EJ102" s="142"/>
      <c r="EK102" s="142"/>
      <c r="EL102" s="142"/>
      <c r="EM102" s="142"/>
      <c r="EN102" s="142"/>
      <c r="EO102" s="614"/>
      <c r="EP102" s="173"/>
      <c r="EQ102" s="142"/>
      <c r="ER102" s="2531"/>
      <c r="ES102" s="2531"/>
      <c r="ET102" s="2531"/>
      <c r="EU102" s="142"/>
      <c r="EV102" s="142"/>
      <c r="EW102" s="142"/>
      <c r="EX102" s="142"/>
      <c r="EY102" s="142"/>
      <c r="EZ102" s="142"/>
      <c r="FA102" s="142"/>
      <c r="FB102" s="142"/>
      <c r="FC102" s="142"/>
      <c r="FD102" s="142"/>
      <c r="FE102" s="142"/>
      <c r="FF102" s="142"/>
      <c r="FG102" s="142"/>
      <c r="FH102" s="142"/>
      <c r="FI102" s="142"/>
      <c r="FJ102" s="142"/>
      <c r="FK102" s="142"/>
      <c r="FL102" s="142"/>
      <c r="FM102" s="142"/>
      <c r="FN102" s="142"/>
      <c r="FO102" s="142"/>
      <c r="FP102" s="142"/>
      <c r="FQ102" s="142"/>
      <c r="FR102" s="142"/>
      <c r="FS102" s="142"/>
      <c r="FT102" s="142"/>
      <c r="FU102" s="142"/>
      <c r="FV102" s="142"/>
      <c r="FW102" s="142"/>
      <c r="FX102" s="142"/>
      <c r="FY102" s="142"/>
      <c r="FZ102" s="3198">
        <v>0.5</v>
      </c>
      <c r="GA102" s="3199"/>
      <c r="GB102" s="3200"/>
      <c r="GC102" s="3201"/>
      <c r="GD102" s="3089"/>
      <c r="GE102" s="3202"/>
      <c r="GF102" s="2530"/>
      <c r="GG102" s="2531"/>
      <c r="GH102" s="2531"/>
      <c r="GI102" s="2530"/>
      <c r="GJ102" s="2531"/>
      <c r="GK102" s="2532"/>
      <c r="GL102" s="142"/>
      <c r="GM102" s="2531"/>
      <c r="GN102" s="2531"/>
      <c r="GO102" s="2531"/>
      <c r="GP102" s="2531"/>
    </row>
    <row r="103" spans="3:198" ht="3.6" customHeight="1">
      <c r="BP103" s="142"/>
      <c r="BQ103" s="142"/>
      <c r="BR103" s="142"/>
      <c r="BS103" s="142"/>
      <c r="BT103" s="142"/>
      <c r="CR103" s="142"/>
      <c r="CS103" s="142"/>
      <c r="CT103" s="142"/>
      <c r="CU103" s="142"/>
      <c r="CV103" s="142"/>
      <c r="CW103" s="142"/>
      <c r="CX103" s="142"/>
      <c r="CY103" s="142"/>
      <c r="EF103" s="142"/>
      <c r="EG103" s="142"/>
      <c r="EH103" s="142"/>
      <c r="EI103" s="142"/>
      <c r="EJ103" s="142"/>
      <c r="EK103" s="142"/>
      <c r="EL103" s="142"/>
      <c r="EM103" s="142"/>
      <c r="EN103" s="142"/>
      <c r="EO103" s="614"/>
      <c r="EP103" s="173"/>
      <c r="EQ103" s="142"/>
      <c r="ER103" s="2531"/>
      <c r="ES103" s="2531"/>
      <c r="ET103" s="2531"/>
      <c r="EU103" s="142"/>
      <c r="EV103" s="142"/>
      <c r="EW103" s="142"/>
      <c r="EX103" s="142"/>
      <c r="EY103" s="142"/>
      <c r="EZ103" s="142"/>
      <c r="FA103" s="142"/>
      <c r="FB103" s="142"/>
      <c r="FC103" s="142"/>
      <c r="FD103" s="142"/>
      <c r="FE103" s="142"/>
      <c r="FF103" s="142"/>
      <c r="FG103" s="142"/>
      <c r="FH103" s="142"/>
      <c r="FI103" s="142"/>
      <c r="FJ103" s="142"/>
      <c r="FK103" s="142"/>
      <c r="FL103" s="142"/>
      <c r="FM103" s="142"/>
      <c r="FN103" s="142"/>
      <c r="FO103" s="142"/>
      <c r="FP103" s="142"/>
      <c r="FQ103" s="142"/>
      <c r="FR103" s="142"/>
      <c r="FS103" s="142"/>
      <c r="FT103" s="142"/>
      <c r="FU103" s="142"/>
      <c r="FV103" s="142"/>
      <c r="FW103" s="142"/>
      <c r="FX103" s="142"/>
      <c r="FY103" s="142"/>
      <c r="FZ103" s="3201"/>
      <c r="GA103" s="3089"/>
      <c r="GB103" s="3202"/>
      <c r="GC103" s="3201"/>
      <c r="GD103" s="3089"/>
      <c r="GE103" s="3202"/>
      <c r="GF103" s="2530"/>
      <c r="GG103" s="2531"/>
      <c r="GH103" s="2531"/>
      <c r="GI103" s="2530"/>
      <c r="GJ103" s="2531"/>
      <c r="GK103" s="2532"/>
      <c r="GL103" s="142"/>
      <c r="GM103" s="2531"/>
      <c r="GN103" s="2531"/>
      <c r="GO103" s="2531"/>
      <c r="GP103" s="2531"/>
    </row>
    <row r="104" spans="3:198" ht="3.6" customHeight="1">
      <c r="DW104" s="615"/>
      <c r="EE104" s="147"/>
      <c r="EF104" s="142"/>
      <c r="EG104" s="142"/>
      <c r="EH104" s="142"/>
      <c r="EI104" s="142"/>
      <c r="EJ104" s="142"/>
      <c r="EK104" s="142"/>
      <c r="EL104" s="142"/>
      <c r="EM104" s="142"/>
      <c r="EN104" s="142"/>
      <c r="EO104" s="616"/>
      <c r="EP104" s="173"/>
      <c r="EQ104" s="142"/>
      <c r="ER104" s="2551"/>
      <c r="ES104" s="2551"/>
      <c r="ET104" s="2551"/>
      <c r="EU104" s="142"/>
      <c r="EV104" s="142"/>
      <c r="EW104" s="142"/>
      <c r="EX104" s="142"/>
      <c r="EY104" s="142"/>
      <c r="EZ104" s="142"/>
      <c r="FA104" s="142"/>
      <c r="FB104" s="142"/>
      <c r="FC104" s="142"/>
      <c r="FD104" s="142"/>
      <c r="FE104" s="142"/>
      <c r="FF104" s="142"/>
      <c r="FG104" s="142"/>
      <c r="FH104" s="142"/>
      <c r="FI104" s="142"/>
      <c r="FJ104" s="142"/>
      <c r="FK104" s="142"/>
      <c r="FL104" s="142"/>
      <c r="FM104" s="142"/>
      <c r="FN104" s="142"/>
      <c r="FO104" s="142"/>
      <c r="FP104" s="142"/>
      <c r="FQ104" s="617"/>
      <c r="FR104" s="577"/>
      <c r="FS104" s="169"/>
      <c r="FT104" s="169"/>
      <c r="FU104" s="3206">
        <v>0.3</v>
      </c>
      <c r="FV104" s="3207"/>
      <c r="FW104" s="3207"/>
      <c r="FX104" s="3207"/>
      <c r="FY104" s="3208"/>
      <c r="FZ104" s="3201"/>
      <c r="GA104" s="3089"/>
      <c r="GB104" s="3202"/>
      <c r="GC104" s="3201"/>
      <c r="GD104" s="3089"/>
      <c r="GE104" s="3202"/>
      <c r="GF104" s="2530"/>
      <c r="GG104" s="2531"/>
      <c r="GH104" s="2531"/>
      <c r="GI104" s="2530"/>
      <c r="GJ104" s="2531"/>
      <c r="GK104" s="2532"/>
      <c r="GL104" s="142"/>
      <c r="GM104" s="2531"/>
      <c r="GN104" s="2531"/>
      <c r="GO104" s="2531"/>
      <c r="GP104" s="2531"/>
    </row>
    <row r="105" spans="3:198" ht="3.6" customHeight="1" thickBot="1">
      <c r="M105" s="157"/>
      <c r="N105" s="157"/>
      <c r="O105" s="151"/>
      <c r="P105" s="151"/>
      <c r="Q105" s="151"/>
      <c r="R105" s="151"/>
      <c r="S105" s="151"/>
      <c r="T105" s="151"/>
      <c r="U105" s="151"/>
      <c r="V105" s="151"/>
      <c r="W105" s="151"/>
      <c r="X105" s="366"/>
      <c r="Y105" s="367"/>
      <c r="Z105" s="367"/>
      <c r="AA105" s="367"/>
      <c r="AB105" s="367"/>
      <c r="AC105" s="367"/>
      <c r="AD105" s="367"/>
      <c r="AE105" s="367"/>
      <c r="AF105" s="367"/>
      <c r="AG105" s="367"/>
      <c r="AH105" s="367"/>
      <c r="AI105" s="367"/>
      <c r="AJ105" s="367"/>
      <c r="AK105" s="368"/>
      <c r="AL105" s="151"/>
      <c r="AM105" s="151"/>
      <c r="AN105" s="151"/>
      <c r="AO105" s="151"/>
      <c r="AP105" s="151"/>
      <c r="AQ105" s="151"/>
      <c r="AR105" s="151"/>
      <c r="AS105" s="151"/>
      <c r="AT105" s="151"/>
      <c r="AU105" s="144"/>
      <c r="AV105" s="144"/>
      <c r="AW105" s="151"/>
      <c r="AX105" s="151"/>
      <c r="AY105" s="151"/>
      <c r="AZ105" s="151"/>
      <c r="BA105" s="151"/>
      <c r="BB105" s="151"/>
      <c r="BC105" s="151"/>
      <c r="BD105" s="151"/>
      <c r="BE105" s="151"/>
      <c r="BF105" s="366"/>
      <c r="BG105" s="367"/>
      <c r="BH105" s="367"/>
      <c r="BI105" s="367"/>
      <c r="BJ105" s="367"/>
      <c r="BK105" s="367"/>
      <c r="BL105" s="367"/>
      <c r="BM105" s="367"/>
      <c r="BN105" s="367"/>
      <c r="BO105" s="367"/>
      <c r="BP105" s="367"/>
      <c r="BQ105" s="367"/>
      <c r="BR105" s="367"/>
      <c r="BS105" s="368"/>
      <c r="BT105" s="151"/>
      <c r="BU105" s="151"/>
      <c r="BV105" s="151"/>
      <c r="BW105" s="151"/>
      <c r="BX105" s="151"/>
      <c r="BY105" s="151"/>
      <c r="BZ105" s="151"/>
      <c r="CA105" s="151"/>
      <c r="CB105" s="151"/>
      <c r="CC105" s="618"/>
      <c r="CD105" s="619"/>
      <c r="CE105" s="151"/>
      <c r="CF105" s="151"/>
      <c r="CG105" s="151"/>
      <c r="CH105" s="151"/>
      <c r="CI105" s="151"/>
      <c r="CJ105" s="151"/>
      <c r="CK105" s="151"/>
      <c r="CL105" s="151"/>
      <c r="CM105" s="151"/>
      <c r="CN105" s="366"/>
      <c r="CO105" s="367"/>
      <c r="CP105" s="367"/>
      <c r="CQ105" s="367"/>
      <c r="CR105" s="367"/>
      <c r="CS105" s="367"/>
      <c r="CT105" s="367"/>
      <c r="CU105" s="367"/>
      <c r="CV105" s="367"/>
      <c r="CW105" s="367"/>
      <c r="CX105" s="367"/>
      <c r="CY105" s="367"/>
      <c r="CZ105" s="367"/>
      <c r="DA105" s="368"/>
      <c r="DB105" s="151"/>
      <c r="DC105" s="151"/>
      <c r="DD105" s="151"/>
      <c r="DE105" s="151"/>
      <c r="DF105" s="151"/>
      <c r="DG105" s="151"/>
      <c r="DH105" s="151"/>
      <c r="DI105" s="151"/>
      <c r="DJ105" s="151"/>
      <c r="DK105" s="144"/>
      <c r="DL105" s="149"/>
      <c r="DO105" s="615"/>
      <c r="DS105" s="615"/>
      <c r="DV105" s="363"/>
      <c r="DW105" s="150"/>
      <c r="DX105" s="151"/>
      <c r="EE105" s="152"/>
      <c r="EF105" s="620"/>
      <c r="EG105" s="620"/>
      <c r="EH105" s="620"/>
      <c r="EI105" s="169"/>
      <c r="EJ105" s="169"/>
      <c r="EK105" s="169"/>
      <c r="EL105" s="169"/>
      <c r="EM105" s="169"/>
      <c r="EN105" s="620"/>
      <c r="EO105" s="621"/>
      <c r="EP105" s="622"/>
      <c r="EQ105" s="623"/>
      <c r="ER105" s="623"/>
      <c r="ES105" s="623"/>
      <c r="ET105" s="623"/>
      <c r="EU105" s="623"/>
      <c r="EV105" s="623"/>
      <c r="EW105" s="623"/>
      <c r="EX105" s="623"/>
      <c r="EY105" s="623"/>
      <c r="EZ105" s="623"/>
      <c r="FA105" s="623"/>
      <c r="FB105" s="623"/>
      <c r="FC105" s="623"/>
      <c r="FD105" s="623"/>
      <c r="FE105" s="623"/>
      <c r="FF105" s="623"/>
      <c r="FG105" s="623"/>
      <c r="FH105" s="623"/>
      <c r="FI105" s="623"/>
      <c r="FJ105" s="623"/>
      <c r="FK105" s="623"/>
      <c r="FL105" s="623"/>
      <c r="FM105" s="623"/>
      <c r="FN105" s="623"/>
      <c r="FO105" s="623"/>
      <c r="FP105" s="623"/>
      <c r="FQ105" s="624"/>
      <c r="FR105" s="617"/>
      <c r="FS105" s="620"/>
      <c r="FT105" s="620"/>
      <c r="FU105" s="3209"/>
      <c r="FV105" s="3210"/>
      <c r="FW105" s="3210"/>
      <c r="FX105" s="3210"/>
      <c r="FY105" s="3211"/>
      <c r="FZ105" s="3201"/>
      <c r="GA105" s="3089"/>
      <c r="GB105" s="3202"/>
      <c r="GC105" s="3201"/>
      <c r="GD105" s="3089"/>
      <c r="GE105" s="3202"/>
      <c r="GF105" s="2530"/>
      <c r="GG105" s="2531"/>
      <c r="GH105" s="2531"/>
      <c r="GI105" s="2530"/>
      <c r="GJ105" s="2531"/>
      <c r="GK105" s="2532"/>
      <c r="GL105" s="142"/>
      <c r="GM105" s="2531"/>
      <c r="GN105" s="2531"/>
      <c r="GO105" s="2531"/>
      <c r="GP105" s="2531"/>
    </row>
    <row r="106" spans="3:198" ht="3.6" customHeight="1" thickTop="1">
      <c r="C106" s="625"/>
      <c r="D106" s="625"/>
      <c r="E106" s="625"/>
      <c r="F106" s="625"/>
      <c r="M106" s="157"/>
      <c r="N106" s="157"/>
      <c r="O106" s="41"/>
      <c r="P106" s="41"/>
      <c r="Q106" s="41"/>
      <c r="R106" s="41"/>
      <c r="S106" s="41"/>
      <c r="T106" s="41"/>
      <c r="U106" s="41"/>
      <c r="V106" s="41"/>
      <c r="W106" s="41"/>
      <c r="X106" s="156"/>
      <c r="Y106" s="41"/>
      <c r="Z106" s="41"/>
      <c r="AA106" s="41"/>
      <c r="AB106" s="41"/>
      <c r="AC106" s="41"/>
      <c r="AD106" s="41"/>
      <c r="AE106" s="41"/>
      <c r="AF106" s="41"/>
      <c r="AG106" s="41"/>
      <c r="AH106" s="41"/>
      <c r="AI106" s="41"/>
      <c r="AJ106" s="41"/>
      <c r="AK106" s="159"/>
      <c r="AL106" s="41"/>
      <c r="AM106" s="41"/>
      <c r="AN106" s="41"/>
      <c r="AO106" s="41"/>
      <c r="AP106" s="41"/>
      <c r="AQ106" s="41"/>
      <c r="AR106" s="41"/>
      <c r="AS106" s="41"/>
      <c r="AT106" s="41"/>
      <c r="AU106" s="626"/>
      <c r="AV106" s="626"/>
      <c r="AW106" s="41"/>
      <c r="AX106" s="41"/>
      <c r="AY106" s="41"/>
      <c r="AZ106" s="41"/>
      <c r="BA106" s="41"/>
      <c r="BB106" s="41"/>
      <c r="BC106" s="41"/>
      <c r="BD106" s="41"/>
      <c r="BE106" s="41"/>
      <c r="BF106" s="156"/>
      <c r="BG106" s="41"/>
      <c r="BH106" s="41"/>
      <c r="BI106" s="41"/>
      <c r="BJ106" s="41"/>
      <c r="BK106" s="41"/>
      <c r="BL106" s="41"/>
      <c r="BM106" s="41"/>
      <c r="BN106" s="41"/>
      <c r="BO106" s="41"/>
      <c r="BP106" s="41"/>
      <c r="BQ106" s="41"/>
      <c r="BR106" s="41"/>
      <c r="BS106" s="159"/>
      <c r="BT106" s="41"/>
      <c r="BU106" s="41"/>
      <c r="BV106" s="41"/>
      <c r="BW106" s="41"/>
      <c r="BX106" s="41"/>
      <c r="BY106" s="41"/>
      <c r="BZ106" s="41"/>
      <c r="CA106" s="41"/>
      <c r="CB106" s="41"/>
      <c r="CC106" s="370"/>
      <c r="CD106" s="626"/>
      <c r="CE106" s="41"/>
      <c r="CF106" s="41"/>
      <c r="CG106" s="41"/>
      <c r="CH106" s="41"/>
      <c r="CI106" s="41"/>
      <c r="CJ106" s="41"/>
      <c r="CK106" s="41"/>
      <c r="CL106" s="41"/>
      <c r="CM106" s="41"/>
      <c r="CN106" s="156"/>
      <c r="CO106" s="41"/>
      <c r="CP106" s="41"/>
      <c r="CQ106" s="41"/>
      <c r="CR106" s="41"/>
      <c r="CS106" s="41"/>
      <c r="CT106" s="41"/>
      <c r="CU106" s="41"/>
      <c r="CV106" s="41"/>
      <c r="CW106" s="41"/>
      <c r="CX106" s="41"/>
      <c r="CY106" s="41"/>
      <c r="CZ106" s="41"/>
      <c r="DA106" s="159"/>
      <c r="DB106" s="41"/>
      <c r="DC106" s="41"/>
      <c r="DD106" s="41"/>
      <c r="DE106" s="41"/>
      <c r="DF106" s="41"/>
      <c r="DG106" s="41"/>
      <c r="DH106" s="41"/>
      <c r="DI106" s="41"/>
      <c r="DJ106" s="41"/>
      <c r="DK106" s="157"/>
      <c r="DL106" s="146"/>
      <c r="DN106" s="363"/>
      <c r="DO106" s="150"/>
      <c r="DP106" s="151"/>
      <c r="DR106" s="363"/>
      <c r="DS106" s="150"/>
      <c r="DT106" s="151"/>
      <c r="DW106" s="153"/>
      <c r="EE106" s="152"/>
      <c r="EF106" s="627"/>
      <c r="EG106" s="627"/>
      <c r="EH106" s="627"/>
      <c r="EI106" s="171"/>
      <c r="EJ106" s="171"/>
      <c r="EK106" s="171"/>
      <c r="EL106" s="171"/>
      <c r="EM106" s="171"/>
      <c r="EN106" s="627"/>
      <c r="EO106" s="628"/>
      <c r="EP106" s="174"/>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624"/>
      <c r="FR106" s="629"/>
      <c r="FS106" s="627"/>
      <c r="FT106" s="627"/>
      <c r="FU106" s="3209"/>
      <c r="FV106" s="3210"/>
      <c r="FW106" s="3210"/>
      <c r="FX106" s="3210"/>
      <c r="FY106" s="3211"/>
      <c r="FZ106" s="3201"/>
      <c r="GA106" s="3089"/>
      <c r="GB106" s="3202"/>
      <c r="GC106" s="3201"/>
      <c r="GD106" s="3089"/>
      <c r="GE106" s="3202"/>
      <c r="GF106" s="2530"/>
      <c r="GG106" s="2531"/>
      <c r="GH106" s="2531"/>
      <c r="GI106" s="2530"/>
      <c r="GJ106" s="2531"/>
      <c r="GK106" s="2532"/>
      <c r="GL106" s="142"/>
      <c r="GM106" s="2531"/>
      <c r="GN106" s="2531"/>
      <c r="GO106" s="2531"/>
      <c r="GP106" s="2531"/>
    </row>
    <row r="107" spans="3:198" ht="3.6" customHeight="1">
      <c r="C107" s="625"/>
      <c r="D107" s="625"/>
      <c r="E107" s="625"/>
      <c r="F107" s="625"/>
      <c r="M107" s="153"/>
      <c r="N107" s="154"/>
      <c r="AU107" s="372"/>
      <c r="AV107" s="373"/>
      <c r="CC107" s="372"/>
      <c r="CD107" s="373"/>
      <c r="DK107" s="153"/>
      <c r="DL107" s="154"/>
      <c r="DO107" s="153"/>
      <c r="DS107" s="153"/>
      <c r="DW107" s="153"/>
      <c r="EE107" s="152"/>
      <c r="EF107" s="142"/>
      <c r="EG107" s="142"/>
      <c r="EH107" s="142"/>
      <c r="EI107" s="142"/>
      <c r="EJ107" s="142"/>
      <c r="EK107" s="142"/>
      <c r="EL107" s="142"/>
      <c r="EM107" s="142"/>
      <c r="EN107" s="142"/>
      <c r="EO107" s="142"/>
      <c r="EP107" s="142"/>
      <c r="EQ107" s="142"/>
      <c r="ER107" s="142"/>
      <c r="ES107" s="142"/>
      <c r="ET107" s="142"/>
      <c r="EU107" s="142"/>
      <c r="EV107" s="142"/>
      <c r="EW107" s="142"/>
      <c r="EX107" s="142"/>
      <c r="EY107" s="142"/>
      <c r="EZ107" s="142"/>
      <c r="FA107" s="142"/>
      <c r="FB107" s="142"/>
      <c r="FC107" s="142"/>
      <c r="FD107" s="142"/>
      <c r="FE107" s="142"/>
      <c r="FF107" s="142"/>
      <c r="FG107" s="142"/>
      <c r="FH107" s="142"/>
      <c r="FI107" s="142"/>
      <c r="FJ107" s="142"/>
      <c r="FK107" s="142"/>
      <c r="FL107" s="142"/>
      <c r="FM107" s="142"/>
      <c r="FN107" s="142"/>
      <c r="FO107" s="142"/>
      <c r="FP107" s="142"/>
      <c r="FQ107" s="629"/>
      <c r="FR107" s="174"/>
      <c r="FS107" s="171"/>
      <c r="FT107" s="171"/>
      <c r="FU107" s="3212"/>
      <c r="FV107" s="3213"/>
      <c r="FW107" s="3213"/>
      <c r="FX107" s="3213"/>
      <c r="FY107" s="3214"/>
      <c r="FZ107" s="3201"/>
      <c r="GA107" s="3089"/>
      <c r="GB107" s="3202"/>
      <c r="GC107" s="3201"/>
      <c r="GD107" s="3089"/>
      <c r="GE107" s="3202"/>
      <c r="GF107" s="2530"/>
      <c r="GG107" s="2531"/>
      <c r="GH107" s="2531"/>
      <c r="GI107" s="2530"/>
      <c r="GJ107" s="2531"/>
      <c r="GK107" s="2532"/>
      <c r="GL107" s="142"/>
      <c r="GM107" s="2531"/>
      <c r="GN107" s="2531"/>
      <c r="GO107" s="2531"/>
      <c r="GP107" s="2531"/>
    </row>
    <row r="108" spans="3:198" ht="3.6" customHeight="1">
      <c r="C108" s="625"/>
      <c r="D108" s="625"/>
      <c r="E108" s="625"/>
      <c r="F108" s="625"/>
      <c r="M108" s="153"/>
      <c r="N108" s="154"/>
      <c r="AU108" s="364"/>
      <c r="AV108" s="365"/>
      <c r="CC108" s="364"/>
      <c r="CD108" s="365"/>
      <c r="DK108" s="153"/>
      <c r="DL108" s="154"/>
      <c r="DO108" s="153"/>
      <c r="DS108" s="153"/>
      <c r="DW108" s="153"/>
      <c r="EE108" s="152"/>
      <c r="EF108" s="142"/>
      <c r="EG108" s="142"/>
      <c r="EH108" s="142"/>
      <c r="EI108" s="142"/>
      <c r="EJ108" s="142"/>
      <c r="EK108" s="142"/>
      <c r="EL108" s="142"/>
      <c r="EM108" s="142"/>
      <c r="EN108" s="142"/>
      <c r="EO108" s="142"/>
      <c r="EP108" s="142"/>
      <c r="EQ108" s="142"/>
      <c r="ER108" s="142"/>
      <c r="ES108" s="142"/>
      <c r="ET108" s="142"/>
      <c r="EU108" s="142"/>
      <c r="EV108" s="142"/>
      <c r="EW108" s="142"/>
      <c r="EX108" s="142"/>
      <c r="EY108" s="142"/>
      <c r="EZ108" s="142"/>
      <c r="FA108" s="142"/>
      <c r="FB108" s="142"/>
      <c r="FC108" s="142"/>
      <c r="FD108" s="142"/>
      <c r="FE108" s="142"/>
      <c r="FF108" s="142"/>
      <c r="FG108" s="142"/>
      <c r="FH108" s="142"/>
      <c r="FI108" s="142"/>
      <c r="FJ108" s="142"/>
      <c r="FK108" s="142"/>
      <c r="FL108" s="142"/>
      <c r="FM108" s="142"/>
      <c r="FN108" s="142"/>
      <c r="FO108" s="142"/>
      <c r="FP108" s="142"/>
      <c r="FQ108" s="630"/>
      <c r="FR108" s="142"/>
      <c r="FS108" s="142"/>
      <c r="FT108" s="142"/>
      <c r="FU108" s="142"/>
      <c r="FV108" s="142"/>
      <c r="FW108" s="142"/>
      <c r="FX108" s="142"/>
      <c r="FY108" s="142"/>
      <c r="FZ108" s="3201"/>
      <c r="GA108" s="3089"/>
      <c r="GB108" s="3202"/>
      <c r="GC108" s="3201"/>
      <c r="GD108" s="3089"/>
      <c r="GE108" s="3202"/>
      <c r="GF108" s="2530"/>
      <c r="GG108" s="2531"/>
      <c r="GH108" s="2531"/>
      <c r="GI108" s="2530"/>
      <c r="GJ108" s="2531"/>
      <c r="GK108" s="2532"/>
      <c r="GL108" s="142"/>
      <c r="GM108" s="2531"/>
      <c r="GN108" s="2531"/>
      <c r="GO108" s="2531"/>
      <c r="GP108" s="2531"/>
    </row>
    <row r="109" spans="3:198" ht="3.6" customHeight="1">
      <c r="C109" s="625"/>
      <c r="D109" s="625"/>
      <c r="E109" s="625"/>
      <c r="F109" s="625"/>
      <c r="M109" s="153"/>
      <c r="N109" s="154"/>
      <c r="AU109" s="364"/>
      <c r="AV109" s="365"/>
      <c r="CC109" s="364"/>
      <c r="CD109" s="365"/>
      <c r="DK109" s="631"/>
      <c r="DL109" s="632"/>
      <c r="DM109" s="625"/>
      <c r="DN109" s="625"/>
      <c r="DO109" s="153"/>
      <c r="DS109" s="153"/>
      <c r="DW109" s="153"/>
      <c r="EE109" s="152"/>
      <c r="EF109" s="142"/>
      <c r="EG109" s="142"/>
      <c r="EH109" s="142"/>
      <c r="EI109" s="142"/>
      <c r="EJ109" s="142"/>
      <c r="EK109" s="142"/>
      <c r="EL109" s="142"/>
      <c r="EM109" s="142"/>
      <c r="EN109" s="142"/>
      <c r="EO109" s="142"/>
      <c r="EP109" s="142"/>
      <c r="EQ109" s="142"/>
      <c r="ER109" s="142"/>
      <c r="ES109" s="142"/>
      <c r="ET109" s="142"/>
      <c r="EU109" s="142"/>
      <c r="EV109" s="142"/>
      <c r="EW109" s="142"/>
      <c r="EX109" s="142"/>
      <c r="EY109" s="142"/>
      <c r="EZ109" s="142"/>
      <c r="FA109" s="142"/>
      <c r="FB109" s="142"/>
      <c r="FC109" s="142"/>
      <c r="FD109" s="142"/>
      <c r="FE109" s="142"/>
      <c r="FF109" s="142"/>
      <c r="FG109" s="142"/>
      <c r="FH109" s="142"/>
      <c r="FI109" s="142"/>
      <c r="FJ109" s="142"/>
      <c r="FK109" s="142"/>
      <c r="FL109" s="142"/>
      <c r="FM109" s="142"/>
      <c r="FN109" s="142"/>
      <c r="FO109" s="142"/>
      <c r="FP109" s="142"/>
      <c r="FQ109" s="630"/>
      <c r="FR109" s="142"/>
      <c r="FS109" s="142"/>
      <c r="FT109" s="142"/>
      <c r="FU109" s="142"/>
      <c r="FV109" s="142"/>
      <c r="FW109" s="142"/>
      <c r="FX109" s="142"/>
      <c r="FY109" s="142"/>
      <c r="FZ109" s="3203"/>
      <c r="GA109" s="3204"/>
      <c r="GB109" s="3205"/>
      <c r="GC109" s="3201"/>
      <c r="GD109" s="3089"/>
      <c r="GE109" s="3202"/>
      <c r="GF109" s="2530"/>
      <c r="GG109" s="2531"/>
      <c r="GH109" s="2531"/>
      <c r="GI109" s="2530"/>
      <c r="GJ109" s="2531"/>
      <c r="GK109" s="2532"/>
      <c r="GL109" s="142"/>
      <c r="GM109" s="2531"/>
      <c r="GN109" s="2531"/>
      <c r="GO109" s="2531"/>
      <c r="GP109" s="2531"/>
    </row>
    <row r="110" spans="3:198" ht="3.6" customHeight="1">
      <c r="C110" s="625"/>
      <c r="D110" s="625"/>
      <c r="E110" s="625"/>
      <c r="F110" s="625"/>
      <c r="M110" s="153"/>
      <c r="N110" s="154"/>
      <c r="AU110" s="364"/>
      <c r="AV110" s="365"/>
      <c r="CC110" s="364"/>
      <c r="CD110" s="365"/>
      <c r="DK110" s="631"/>
      <c r="DL110" s="632"/>
      <c r="DM110" s="625"/>
      <c r="DN110" s="625"/>
      <c r="DO110" s="153"/>
      <c r="DS110" s="153"/>
      <c r="DW110" s="153"/>
      <c r="EE110" s="152"/>
      <c r="EF110" s="142"/>
      <c r="EG110" s="142"/>
      <c r="EH110" s="142"/>
      <c r="EI110" s="142"/>
      <c r="EJ110" s="142"/>
      <c r="EK110" s="142"/>
      <c r="EL110" s="142"/>
      <c r="EM110" s="142"/>
      <c r="EN110" s="142"/>
      <c r="EO110" s="142"/>
      <c r="EP110" s="142"/>
      <c r="EQ110" s="142"/>
      <c r="ER110" s="142"/>
      <c r="ES110" s="142"/>
      <c r="ET110" s="142"/>
      <c r="EU110" s="142"/>
      <c r="EV110" s="142"/>
      <c r="EW110" s="142"/>
      <c r="EX110" s="142"/>
      <c r="EY110" s="142"/>
      <c r="EZ110" s="142"/>
      <c r="FA110" s="142"/>
      <c r="FB110" s="142"/>
      <c r="FC110" s="142"/>
      <c r="FD110" s="142"/>
      <c r="FE110" s="142"/>
      <c r="FF110" s="142"/>
      <c r="FG110" s="142"/>
      <c r="FH110" s="142"/>
      <c r="FI110" s="142"/>
      <c r="FJ110" s="142"/>
      <c r="FK110" s="142"/>
      <c r="FL110" s="142"/>
      <c r="FM110" s="142"/>
      <c r="FN110" s="142"/>
      <c r="FO110" s="142"/>
      <c r="FP110" s="142"/>
      <c r="FQ110" s="630"/>
      <c r="FR110" s="142"/>
      <c r="FS110" s="142"/>
      <c r="FT110" s="142"/>
      <c r="FU110" s="142"/>
      <c r="FV110" s="142"/>
      <c r="FW110" s="142"/>
      <c r="FX110" s="142"/>
      <c r="FY110" s="142"/>
      <c r="FZ110" s="173"/>
      <c r="GA110" s="142"/>
      <c r="GB110" s="142"/>
      <c r="GC110" s="3201"/>
      <c r="GD110" s="3089"/>
      <c r="GE110" s="3202"/>
      <c r="GF110" s="2530"/>
      <c r="GG110" s="2531"/>
      <c r="GH110" s="2531"/>
      <c r="GI110" s="2530"/>
      <c r="GJ110" s="2531"/>
      <c r="GK110" s="2532"/>
      <c r="GL110" s="142"/>
      <c r="GM110" s="2531"/>
      <c r="GN110" s="2531"/>
      <c r="GO110" s="2531"/>
      <c r="GP110" s="2531"/>
    </row>
    <row r="111" spans="3:198" ht="3.6" customHeight="1">
      <c r="C111" s="625"/>
      <c r="D111" s="625"/>
      <c r="E111" s="625"/>
      <c r="F111" s="625"/>
      <c r="M111" s="153"/>
      <c r="N111" s="154"/>
      <c r="AU111" s="364"/>
      <c r="AV111" s="365"/>
      <c r="CC111" s="364"/>
      <c r="CD111" s="365"/>
      <c r="DK111" s="631"/>
      <c r="DL111" s="632"/>
      <c r="DM111" s="625"/>
      <c r="DN111" s="625"/>
      <c r="DO111" s="153"/>
      <c r="DS111" s="153"/>
      <c r="DW111" s="153"/>
      <c r="EE111" s="152"/>
      <c r="EF111" s="142"/>
      <c r="EG111" s="142"/>
      <c r="EH111" s="142"/>
      <c r="EI111" s="142"/>
      <c r="EJ111" s="142"/>
      <c r="EK111" s="142"/>
      <c r="EL111" s="142"/>
      <c r="EM111" s="142"/>
      <c r="EN111" s="142"/>
      <c r="EO111" s="142"/>
      <c r="EP111" s="142"/>
      <c r="EQ111" s="142"/>
      <c r="ER111" s="142"/>
      <c r="ES111" s="142"/>
      <c r="ET111" s="142"/>
      <c r="EU111" s="142"/>
      <c r="EV111" s="142"/>
      <c r="EW111" s="142"/>
      <c r="EX111" s="142"/>
      <c r="EY111" s="142"/>
      <c r="EZ111" s="142"/>
      <c r="FA111" s="142"/>
      <c r="FB111" s="142"/>
      <c r="FC111" s="142"/>
      <c r="FD111" s="142"/>
      <c r="FE111" s="142"/>
      <c r="FF111" s="142"/>
      <c r="FG111" s="142"/>
      <c r="FH111" s="142"/>
      <c r="FI111" s="142"/>
      <c r="FJ111" s="142"/>
      <c r="FK111" s="142"/>
      <c r="FL111" s="142"/>
      <c r="FM111" s="142"/>
      <c r="FN111" s="142"/>
      <c r="FO111" s="142"/>
      <c r="FP111" s="142"/>
      <c r="FQ111" s="630"/>
      <c r="FR111" s="142"/>
      <c r="FS111" s="142"/>
      <c r="FT111" s="142"/>
      <c r="FU111" s="142"/>
      <c r="FV111" s="142"/>
      <c r="FW111" s="142"/>
      <c r="FX111" s="142"/>
      <c r="FY111" s="142"/>
      <c r="FZ111" s="173"/>
      <c r="GA111" s="142"/>
      <c r="GB111" s="142"/>
      <c r="GC111" s="3203"/>
      <c r="GD111" s="3204"/>
      <c r="GE111" s="3205"/>
      <c r="GF111" s="2530"/>
      <c r="GG111" s="2531"/>
      <c r="GH111" s="2531"/>
      <c r="GI111" s="2530"/>
      <c r="GJ111" s="2531"/>
      <c r="GK111" s="2532"/>
      <c r="GL111" s="142"/>
      <c r="GM111" s="2531"/>
      <c r="GN111" s="2531"/>
      <c r="GO111" s="2531"/>
      <c r="GP111" s="2531"/>
    </row>
    <row r="112" spans="3:198" ht="3.6" customHeight="1">
      <c r="C112" s="625"/>
      <c r="D112" s="625"/>
      <c r="E112" s="625"/>
      <c r="F112" s="625"/>
      <c r="I112" s="140"/>
      <c r="J112" s="140"/>
      <c r="K112" s="140"/>
      <c r="M112" s="153"/>
      <c r="N112" s="154"/>
      <c r="AU112" s="364"/>
      <c r="AV112" s="365"/>
      <c r="CC112" s="364"/>
      <c r="CD112" s="365"/>
      <c r="DK112" s="631"/>
      <c r="DL112" s="632"/>
      <c r="DM112" s="625"/>
      <c r="DN112" s="625"/>
      <c r="DO112" s="153"/>
      <c r="DS112" s="153"/>
      <c r="DW112" s="153"/>
      <c r="EE112" s="152"/>
      <c r="EF112" s="142"/>
      <c r="EG112" s="142"/>
      <c r="EH112" s="142"/>
      <c r="EI112" s="142"/>
      <c r="EJ112" s="142"/>
      <c r="EK112" s="142"/>
      <c r="EL112" s="142"/>
      <c r="EM112" s="142"/>
      <c r="EN112" s="142"/>
      <c r="EO112" s="142"/>
      <c r="EP112" s="142"/>
      <c r="EQ112" s="142"/>
      <c r="ER112" s="142"/>
      <c r="ES112" s="142"/>
      <c r="ET112" s="142"/>
      <c r="EU112" s="142"/>
      <c r="EV112" s="142"/>
      <c r="EW112" s="142"/>
      <c r="EX112" s="142"/>
      <c r="EY112" s="142"/>
      <c r="EZ112" s="142"/>
      <c r="FA112" s="142"/>
      <c r="FB112" s="142"/>
      <c r="FC112" s="142"/>
      <c r="FD112" s="142"/>
      <c r="FE112" s="142"/>
      <c r="FF112" s="142"/>
      <c r="FG112" s="142"/>
      <c r="FH112" s="142"/>
      <c r="FI112" s="142"/>
      <c r="FJ112" s="142"/>
      <c r="FK112" s="142"/>
      <c r="FL112" s="142"/>
      <c r="FM112" s="142"/>
      <c r="FN112" s="142"/>
      <c r="FO112" s="142"/>
      <c r="FP112" s="142"/>
      <c r="FQ112" s="630"/>
      <c r="FR112" s="142"/>
      <c r="FS112" s="142"/>
      <c r="FT112" s="142"/>
      <c r="FU112" s="142"/>
      <c r="FV112" s="142"/>
      <c r="FW112" s="142"/>
      <c r="FX112" s="142"/>
      <c r="FY112" s="142"/>
      <c r="FZ112" s="173"/>
      <c r="GA112" s="142"/>
      <c r="GB112" s="142"/>
      <c r="GC112" s="173"/>
      <c r="GD112" s="142"/>
      <c r="GE112" s="168"/>
      <c r="GF112" s="2530"/>
      <c r="GG112" s="2531"/>
      <c r="GH112" s="2531"/>
      <c r="GI112" s="2530"/>
      <c r="GJ112" s="2531"/>
      <c r="GK112" s="2532"/>
      <c r="GL112" s="142"/>
      <c r="GM112" s="141"/>
      <c r="GN112" s="141"/>
      <c r="GO112" s="612"/>
      <c r="GP112" s="141"/>
    </row>
    <row r="113" spans="3:198" ht="3.6" customHeight="1">
      <c r="C113" s="625"/>
      <c r="D113" s="625"/>
      <c r="E113" s="625"/>
      <c r="F113" s="625"/>
      <c r="I113" s="140"/>
      <c r="J113" s="140"/>
      <c r="K113" s="140"/>
      <c r="M113" s="153"/>
      <c r="N113" s="154"/>
      <c r="AU113" s="364"/>
      <c r="AV113" s="365"/>
      <c r="CC113" s="364"/>
      <c r="CD113" s="365"/>
      <c r="DK113" s="631"/>
      <c r="DL113" s="632"/>
      <c r="DM113" s="625"/>
      <c r="DN113" s="625"/>
      <c r="DO113" s="153"/>
      <c r="DS113" s="153"/>
      <c r="DV113" s="625"/>
      <c r="DW113" s="631"/>
      <c r="DX113" s="625"/>
      <c r="DY113" s="625"/>
      <c r="EE113" s="152"/>
      <c r="EF113" s="142"/>
      <c r="EG113" s="142"/>
      <c r="EH113" s="142"/>
      <c r="EI113" s="142"/>
      <c r="EJ113" s="142"/>
      <c r="EK113" s="142"/>
      <c r="EL113" s="142"/>
      <c r="EM113" s="142"/>
      <c r="EN113" s="142"/>
      <c r="EO113" s="142"/>
      <c r="EP113" s="142"/>
      <c r="EQ113" s="142"/>
      <c r="ER113" s="142"/>
      <c r="ES113" s="142"/>
      <c r="ET113" s="142"/>
      <c r="EU113" s="142"/>
      <c r="EV113" s="142"/>
      <c r="EW113" s="142"/>
      <c r="EX113" s="142"/>
      <c r="EY113" s="142"/>
      <c r="EZ113" s="142"/>
      <c r="FA113" s="142"/>
      <c r="FB113" s="142"/>
      <c r="FC113" s="142"/>
      <c r="FD113" s="142"/>
      <c r="FE113" s="142"/>
      <c r="FF113" s="142"/>
      <c r="FG113" s="142"/>
      <c r="FH113" s="142"/>
      <c r="FI113" s="142"/>
      <c r="FJ113" s="142"/>
      <c r="FK113" s="142"/>
      <c r="FL113" s="142"/>
      <c r="FM113" s="142"/>
      <c r="FN113" s="142"/>
      <c r="FO113" s="142"/>
      <c r="FP113" s="142"/>
      <c r="FQ113" s="630"/>
      <c r="FR113" s="142"/>
      <c r="FS113" s="142"/>
      <c r="FT113" s="142"/>
      <c r="FU113" s="142"/>
      <c r="FV113" s="142"/>
      <c r="FW113" s="142"/>
      <c r="FX113" s="142"/>
      <c r="FY113" s="142"/>
      <c r="FZ113" s="173"/>
      <c r="GA113" s="142"/>
      <c r="GB113" s="142"/>
      <c r="GC113" s="173"/>
      <c r="GD113" s="142"/>
      <c r="GE113" s="168"/>
      <c r="GF113" s="2530"/>
      <c r="GG113" s="2531"/>
      <c r="GH113" s="2531"/>
      <c r="GI113" s="2530"/>
      <c r="GJ113" s="2531"/>
      <c r="GK113" s="2532"/>
      <c r="GL113" s="142"/>
      <c r="GM113" s="141"/>
      <c r="GN113" s="141"/>
      <c r="GO113" s="612"/>
      <c r="GP113" s="141"/>
    </row>
    <row r="114" spans="3:198" ht="3.6" customHeight="1">
      <c r="C114" s="625"/>
      <c r="D114" s="625"/>
      <c r="E114" s="625"/>
      <c r="F114" s="625"/>
      <c r="I114" s="140"/>
      <c r="J114" s="140"/>
      <c r="K114" s="140"/>
      <c r="M114" s="153"/>
      <c r="N114" s="154"/>
      <c r="AE114" s="142"/>
      <c r="AF114" s="142"/>
      <c r="AG114" s="142"/>
      <c r="AH114" s="143"/>
      <c r="AI114" s="143"/>
      <c r="AJ114" s="143"/>
      <c r="AK114" s="143"/>
      <c r="AL114" s="143"/>
      <c r="AM114" s="143"/>
      <c r="AN114" s="143"/>
      <c r="AO114" s="143"/>
      <c r="AP114" s="143"/>
      <c r="AQ114" s="143"/>
      <c r="AU114" s="364"/>
      <c r="AV114" s="365"/>
      <c r="CC114" s="364"/>
      <c r="CD114" s="365"/>
      <c r="DK114" s="631"/>
      <c r="DL114" s="632"/>
      <c r="DM114" s="625"/>
      <c r="DN114" s="625"/>
      <c r="DO114" s="153"/>
      <c r="DS114" s="153"/>
      <c r="DV114" s="625"/>
      <c r="DW114" s="631"/>
      <c r="DX114" s="625"/>
      <c r="DY114" s="625"/>
      <c r="EE114" s="152"/>
      <c r="EF114" s="142"/>
      <c r="EG114" s="142"/>
      <c r="EH114" s="142"/>
      <c r="EI114" s="142"/>
      <c r="EJ114" s="142"/>
      <c r="EK114" s="142"/>
      <c r="EL114" s="142"/>
      <c r="EM114" s="142"/>
      <c r="EN114" s="142"/>
      <c r="EO114" s="142"/>
      <c r="EP114" s="142"/>
      <c r="EQ114" s="142"/>
      <c r="ER114" s="142"/>
      <c r="ES114" s="142"/>
      <c r="ET114" s="142"/>
      <c r="EU114" s="142"/>
      <c r="EV114" s="142"/>
      <c r="EW114" s="142"/>
      <c r="EX114" s="142"/>
      <c r="EY114" s="142"/>
      <c r="EZ114" s="142"/>
      <c r="FA114" s="142"/>
      <c r="FB114" s="142"/>
      <c r="FC114" s="142"/>
      <c r="FD114" s="142"/>
      <c r="FE114" s="142"/>
      <c r="FF114" s="142"/>
      <c r="FG114" s="142"/>
      <c r="FH114" s="142"/>
      <c r="FI114" s="142"/>
      <c r="FJ114" s="142"/>
      <c r="FK114" s="142"/>
      <c r="FL114" s="142"/>
      <c r="FM114" s="142"/>
      <c r="FN114" s="142"/>
      <c r="FO114" s="142"/>
      <c r="FP114" s="142"/>
      <c r="FQ114" s="630"/>
      <c r="FR114" s="142"/>
      <c r="FS114" s="142"/>
      <c r="FT114" s="142"/>
      <c r="FU114" s="142"/>
      <c r="FV114" s="142"/>
      <c r="FW114" s="142"/>
      <c r="FX114" s="142"/>
      <c r="FY114" s="142"/>
      <c r="FZ114" s="173"/>
      <c r="GA114" s="142"/>
      <c r="GB114" s="142"/>
      <c r="GC114" s="142"/>
      <c r="GD114" s="142"/>
      <c r="GE114" s="168"/>
      <c r="GF114" s="2530"/>
      <c r="GG114" s="2531"/>
      <c r="GH114" s="2531"/>
      <c r="GI114" s="2530"/>
      <c r="GJ114" s="2531"/>
      <c r="GK114" s="2532"/>
      <c r="GL114" s="142"/>
      <c r="GM114" s="141"/>
      <c r="GN114" s="141"/>
      <c r="GO114" s="612"/>
      <c r="GP114" s="141"/>
    </row>
    <row r="115" spans="3:198" ht="3.6" customHeight="1">
      <c r="C115" s="625"/>
      <c r="D115" s="625"/>
      <c r="E115" s="625"/>
      <c r="F115" s="625"/>
      <c r="I115" s="140"/>
      <c r="J115" s="140"/>
      <c r="K115" s="140"/>
      <c r="M115" s="153"/>
      <c r="N115" s="154"/>
      <c r="Q115" s="575"/>
      <c r="R115" s="575"/>
      <c r="S115" s="575"/>
      <c r="T115" s="575"/>
      <c r="U115" s="575"/>
      <c r="V115" s="575"/>
      <c r="W115" s="575"/>
      <c r="X115" s="575"/>
      <c r="Y115" s="575"/>
      <c r="Z115" s="575"/>
      <c r="AE115" s="142"/>
      <c r="AF115" s="142"/>
      <c r="AG115" s="142"/>
      <c r="AH115" s="143"/>
      <c r="AI115" s="143"/>
      <c r="AJ115" s="143"/>
      <c r="AK115" s="143"/>
      <c r="AL115" s="143"/>
      <c r="AM115" s="143"/>
      <c r="AN115" s="143"/>
      <c r="AO115" s="143"/>
      <c r="AP115" s="143"/>
      <c r="AQ115" s="143"/>
      <c r="AU115" s="364"/>
      <c r="AV115" s="365"/>
      <c r="CC115" s="364"/>
      <c r="CD115" s="365"/>
      <c r="DK115" s="631"/>
      <c r="DL115" s="632"/>
      <c r="DM115" s="625"/>
      <c r="DN115" s="625"/>
      <c r="DO115" s="153"/>
      <c r="DS115" s="153"/>
      <c r="DV115" s="625"/>
      <c r="DW115" s="631"/>
      <c r="DX115" s="625"/>
      <c r="DY115" s="625"/>
      <c r="EE115" s="152"/>
      <c r="EF115" s="142"/>
      <c r="EG115" s="142"/>
      <c r="EH115" s="142"/>
      <c r="EI115" s="142"/>
      <c r="EJ115" s="142"/>
      <c r="EK115" s="142"/>
      <c r="EL115" s="142"/>
      <c r="EM115" s="142"/>
      <c r="EN115" s="142"/>
      <c r="EO115" s="142"/>
      <c r="EP115" s="142"/>
      <c r="EQ115" s="142"/>
      <c r="ER115" s="142"/>
      <c r="ES115" s="142"/>
      <c r="ET115" s="142"/>
      <c r="EU115" s="142"/>
      <c r="EV115" s="142"/>
      <c r="EW115" s="142"/>
      <c r="EX115" s="142"/>
      <c r="EY115" s="142"/>
      <c r="EZ115" s="142"/>
      <c r="FA115" s="142"/>
      <c r="FB115" s="142"/>
      <c r="FC115" s="142"/>
      <c r="FD115" s="142"/>
      <c r="FE115" s="142"/>
      <c r="FF115" s="142"/>
      <c r="FG115" s="142"/>
      <c r="FH115" s="142"/>
      <c r="FI115" s="142"/>
      <c r="FJ115" s="142"/>
      <c r="FK115" s="142"/>
      <c r="FL115" s="142"/>
      <c r="FM115" s="142"/>
      <c r="FN115" s="142"/>
      <c r="FO115" s="142"/>
      <c r="FP115" s="142"/>
      <c r="FQ115" s="630"/>
      <c r="FR115" s="142"/>
      <c r="FS115" s="142"/>
      <c r="FT115" s="142"/>
      <c r="FU115" s="142"/>
      <c r="FV115" s="142"/>
      <c r="FW115" s="142"/>
      <c r="FX115" s="142"/>
      <c r="FY115" s="142"/>
      <c r="FZ115" s="174"/>
      <c r="GA115" s="171"/>
      <c r="GB115" s="171"/>
      <c r="GC115" s="171"/>
      <c r="GD115" s="171"/>
      <c r="GE115" s="172"/>
      <c r="GF115" s="2550"/>
      <c r="GG115" s="2551"/>
      <c r="GH115" s="2551"/>
      <c r="GI115" s="2550"/>
      <c r="GJ115" s="2551"/>
      <c r="GK115" s="2552"/>
      <c r="GL115" s="142"/>
      <c r="GM115" s="163"/>
      <c r="GN115" s="163"/>
      <c r="GO115" s="633"/>
      <c r="GP115" s="163"/>
    </row>
    <row r="116" spans="3:198" ht="3.6" customHeight="1">
      <c r="C116" s="625"/>
      <c r="D116" s="625"/>
      <c r="E116" s="625"/>
      <c r="F116" s="625"/>
      <c r="I116" s="140"/>
      <c r="J116" s="140"/>
      <c r="K116" s="140"/>
      <c r="M116" s="153"/>
      <c r="N116" s="154"/>
      <c r="Q116" s="575"/>
      <c r="R116" s="575"/>
      <c r="S116" s="575"/>
      <c r="T116" s="575"/>
      <c r="U116" s="575"/>
      <c r="V116" s="575"/>
      <c r="W116" s="575"/>
      <c r="X116" s="575"/>
      <c r="Y116" s="575"/>
      <c r="Z116" s="575"/>
      <c r="AB116" s="141"/>
      <c r="AC116" s="141"/>
      <c r="AD116" s="141"/>
      <c r="AE116" s="142"/>
      <c r="AF116" s="142"/>
      <c r="AG116" s="142"/>
      <c r="AH116" s="143"/>
      <c r="AI116" s="143"/>
      <c r="AJ116" s="143"/>
      <c r="AK116" s="143"/>
      <c r="AL116" s="143"/>
      <c r="AM116" s="143"/>
      <c r="AN116" s="143"/>
      <c r="AO116" s="143"/>
      <c r="AP116" s="143"/>
      <c r="AQ116" s="143"/>
      <c r="AR116" s="141"/>
      <c r="AS116" s="141"/>
      <c r="AT116" s="141"/>
      <c r="AU116" s="634"/>
      <c r="AV116" s="635"/>
      <c r="CC116" s="634"/>
      <c r="CD116" s="635"/>
      <c r="DK116" s="631"/>
      <c r="DL116" s="632"/>
      <c r="DM116" s="625"/>
      <c r="DN116" s="625"/>
      <c r="DO116" s="153"/>
      <c r="DS116" s="153"/>
      <c r="DV116" s="625"/>
      <c r="DW116" s="631"/>
      <c r="DX116" s="625"/>
      <c r="DY116" s="625"/>
      <c r="EE116" s="152"/>
      <c r="FQ116" s="157"/>
      <c r="FZ116" s="153"/>
      <c r="GE116" s="142"/>
      <c r="GN116" s="383"/>
    </row>
    <row r="117" spans="3:198" ht="3.6" customHeight="1">
      <c r="C117" s="625"/>
      <c r="D117" s="625"/>
      <c r="E117" s="625"/>
      <c r="F117" s="625"/>
      <c r="M117" s="153"/>
      <c r="N117" s="154"/>
      <c r="Q117" s="575"/>
      <c r="R117" s="575"/>
      <c r="S117" s="575"/>
      <c r="T117" s="575"/>
      <c r="U117" s="575"/>
      <c r="V117" s="575"/>
      <c r="W117" s="575"/>
      <c r="X117" s="575"/>
      <c r="Y117" s="575"/>
      <c r="Z117" s="575"/>
      <c r="AB117" s="141"/>
      <c r="AC117" s="141"/>
      <c r="AD117" s="141"/>
      <c r="AE117" s="142"/>
      <c r="AF117" s="142"/>
      <c r="AG117" s="142"/>
      <c r="AH117" s="143"/>
      <c r="AI117" s="143"/>
      <c r="AJ117" s="143"/>
      <c r="AK117" s="143"/>
      <c r="AL117" s="143"/>
      <c r="AM117" s="143"/>
      <c r="AN117" s="143"/>
      <c r="AO117" s="143"/>
      <c r="AP117" s="143"/>
      <c r="AQ117" s="143"/>
      <c r="AR117" s="141"/>
      <c r="AS117" s="141"/>
      <c r="AT117" s="141"/>
      <c r="AU117" s="634"/>
      <c r="AV117" s="635"/>
      <c r="CC117" s="634"/>
      <c r="CD117" s="635"/>
      <c r="DK117" s="631"/>
      <c r="DL117" s="632"/>
      <c r="DM117" s="625"/>
      <c r="DN117" s="625"/>
      <c r="DO117" s="153"/>
      <c r="DS117" s="153"/>
      <c r="DV117" s="625"/>
      <c r="DW117" s="631"/>
      <c r="DX117" s="625"/>
      <c r="DY117" s="625"/>
      <c r="EE117" s="152"/>
      <c r="FQ117" s="157"/>
      <c r="FZ117" s="153"/>
      <c r="GE117" s="142"/>
    </row>
    <row r="118" spans="3:198" ht="3.6" customHeight="1">
      <c r="C118" s="625"/>
      <c r="D118" s="625"/>
      <c r="E118" s="625"/>
      <c r="F118" s="625"/>
      <c r="M118" s="153"/>
      <c r="N118" s="154"/>
      <c r="Q118" s="575"/>
      <c r="R118" s="575"/>
      <c r="S118" s="575"/>
      <c r="T118" s="575"/>
      <c r="U118" s="575"/>
      <c r="V118" s="575"/>
      <c r="W118" s="575"/>
      <c r="X118" s="575"/>
      <c r="Y118" s="575"/>
      <c r="Z118" s="575"/>
      <c r="AB118" s="141"/>
      <c r="AC118" s="141"/>
      <c r="AD118" s="141"/>
      <c r="AE118" s="141"/>
      <c r="AF118" s="141"/>
      <c r="AG118" s="141"/>
      <c r="AH118" s="141"/>
      <c r="AO118" s="141"/>
      <c r="AP118" s="141"/>
      <c r="AQ118" s="141"/>
      <c r="AR118" s="141"/>
      <c r="AS118" s="141"/>
      <c r="AT118" s="141"/>
      <c r="AU118" s="634"/>
      <c r="AV118" s="635"/>
      <c r="CC118" s="634"/>
      <c r="CD118" s="635"/>
      <c r="DK118" s="631"/>
      <c r="DL118" s="632"/>
      <c r="DM118" s="625"/>
      <c r="DN118" s="625"/>
      <c r="DO118" s="153"/>
      <c r="DS118" s="153"/>
      <c r="DV118" s="625"/>
      <c r="DW118" s="631"/>
      <c r="DX118" s="625"/>
      <c r="DY118" s="625"/>
      <c r="EE118" s="152"/>
      <c r="FQ118" s="157"/>
      <c r="FZ118" s="153"/>
      <c r="GE118" s="142"/>
    </row>
    <row r="119" spans="3:198" ht="3.6" customHeight="1">
      <c r="C119" s="625"/>
      <c r="D119" s="625"/>
      <c r="E119" s="625"/>
      <c r="F119" s="625"/>
      <c r="M119" s="153"/>
      <c r="N119" s="154"/>
      <c r="Q119" s="575"/>
      <c r="R119" s="575"/>
      <c r="S119" s="575"/>
      <c r="T119" s="575"/>
      <c r="U119" s="575"/>
      <c r="V119" s="575"/>
      <c r="W119" s="575"/>
      <c r="X119" s="575"/>
      <c r="Y119" s="575"/>
      <c r="Z119" s="575"/>
      <c r="AB119" s="141"/>
      <c r="AC119" s="141"/>
      <c r="AD119" s="141"/>
      <c r="AE119" s="141"/>
      <c r="AF119" s="141"/>
      <c r="AG119" s="141"/>
      <c r="AH119" s="141"/>
      <c r="AO119" s="141"/>
      <c r="AU119" s="364"/>
      <c r="AV119" s="365"/>
      <c r="BZ119" s="142"/>
      <c r="CA119" s="142"/>
      <c r="CC119" s="364"/>
      <c r="CD119" s="365"/>
      <c r="DK119" s="631"/>
      <c r="DL119" s="632"/>
      <c r="DM119" s="625"/>
      <c r="DN119" s="625"/>
      <c r="DO119" s="153"/>
      <c r="DS119" s="153"/>
      <c r="DV119" s="625"/>
      <c r="DW119" s="631"/>
      <c r="DX119" s="625"/>
      <c r="DY119" s="625"/>
      <c r="EE119" s="152"/>
      <c r="FQ119" s="157"/>
      <c r="FZ119" s="153"/>
      <c r="GE119" s="142"/>
    </row>
    <row r="120" spans="3:198" ht="3.6" customHeight="1">
      <c r="C120" s="625"/>
      <c r="D120" s="625"/>
      <c r="E120" s="625"/>
      <c r="F120" s="625"/>
      <c r="M120" s="153"/>
      <c r="N120" s="154"/>
      <c r="Q120" s="142"/>
      <c r="R120" s="142"/>
      <c r="S120" s="142"/>
      <c r="T120" s="142"/>
      <c r="U120" s="142"/>
      <c r="V120" s="142"/>
      <c r="W120" s="142"/>
      <c r="X120" s="142"/>
      <c r="Y120" s="142"/>
      <c r="Z120" s="142"/>
      <c r="AB120" s="141"/>
      <c r="AC120" s="141"/>
      <c r="AD120" s="141"/>
      <c r="AE120" s="141"/>
      <c r="AF120" s="141"/>
      <c r="AG120" s="141"/>
      <c r="AH120" s="141"/>
      <c r="AO120" s="141"/>
      <c r="AU120" s="364"/>
      <c r="AV120" s="365"/>
      <c r="BZ120" s="142"/>
      <c r="CA120" s="142"/>
      <c r="CC120" s="364"/>
      <c r="CD120" s="365"/>
      <c r="DK120" s="631"/>
      <c r="DL120" s="632"/>
      <c r="DM120" s="625"/>
      <c r="DN120" s="625"/>
      <c r="DO120" s="153"/>
      <c r="DS120" s="153"/>
      <c r="DV120" s="625"/>
      <c r="DW120" s="631"/>
      <c r="DX120" s="625"/>
      <c r="DY120" s="625"/>
      <c r="EE120" s="152"/>
      <c r="FQ120" s="157"/>
      <c r="FZ120" s="153"/>
      <c r="GE120" s="142"/>
    </row>
    <row r="121" spans="3:198" ht="3.6" customHeight="1">
      <c r="C121" s="625"/>
      <c r="D121" s="625"/>
      <c r="E121" s="625"/>
      <c r="F121" s="625"/>
      <c r="I121" s="140"/>
      <c r="J121" s="140"/>
      <c r="K121" s="140"/>
      <c r="M121" s="153"/>
      <c r="N121" s="154"/>
      <c r="P121" s="142"/>
      <c r="AA121" s="142"/>
      <c r="AB121" s="142"/>
      <c r="AC121" s="142"/>
      <c r="AD121" s="142"/>
      <c r="AE121" s="142"/>
      <c r="AF121" s="142"/>
      <c r="AG121" s="141"/>
      <c r="AH121" s="141"/>
      <c r="AP121" s="141"/>
      <c r="AQ121" s="141"/>
      <c r="AR121" s="141"/>
      <c r="AS121" s="141"/>
      <c r="AT121" s="141"/>
      <c r="AU121" s="634"/>
      <c r="AV121" s="635"/>
      <c r="BX121" s="139"/>
      <c r="BY121" s="139"/>
      <c r="CC121" s="634"/>
      <c r="CD121" s="635"/>
      <c r="DK121" s="631"/>
      <c r="DL121" s="632"/>
      <c r="DM121" s="625"/>
      <c r="DN121" s="141"/>
      <c r="DO121" s="612"/>
      <c r="DP121" s="141"/>
      <c r="DQ121" s="141"/>
      <c r="DS121" s="153"/>
      <c r="DV121" s="625"/>
      <c r="DW121" s="631"/>
      <c r="DX121" s="625"/>
      <c r="DY121" s="625"/>
      <c r="EE121" s="152"/>
      <c r="FQ121" s="157"/>
      <c r="FZ121" s="636"/>
      <c r="GA121" s="160"/>
      <c r="GB121" s="160"/>
      <c r="GC121" s="160"/>
      <c r="GD121" s="160"/>
      <c r="GE121" s="141"/>
    </row>
    <row r="122" spans="3:198" ht="3.6" customHeight="1">
      <c r="C122" s="625"/>
      <c r="D122" s="625"/>
      <c r="E122" s="625"/>
      <c r="F122" s="625"/>
      <c r="I122" s="140"/>
      <c r="J122" s="140"/>
      <c r="K122" s="140"/>
      <c r="M122" s="153"/>
      <c r="N122" s="154"/>
      <c r="P122" s="142"/>
      <c r="AA122" s="142"/>
      <c r="AB122" s="142"/>
      <c r="AC122" s="142"/>
      <c r="AD122" s="142"/>
      <c r="AE122" s="142"/>
      <c r="AF122" s="142"/>
      <c r="AG122" s="141"/>
      <c r="AH122" s="141"/>
      <c r="AP122" s="141"/>
      <c r="AQ122" s="141"/>
      <c r="AR122" s="141"/>
      <c r="AS122" s="141"/>
      <c r="AT122" s="141"/>
      <c r="AU122" s="634"/>
      <c r="AV122" s="635"/>
      <c r="AX122" s="142"/>
      <c r="AY122" s="142"/>
      <c r="AZ122" s="142"/>
      <c r="BA122" s="142"/>
      <c r="BB122" s="142"/>
      <c r="BC122" s="142"/>
      <c r="BD122" s="142"/>
      <c r="BE122" s="142"/>
      <c r="BF122" s="142"/>
      <c r="BG122" s="142"/>
      <c r="BH122" s="142"/>
      <c r="BI122" s="142"/>
      <c r="BJ122" s="142"/>
      <c r="BK122" s="582"/>
      <c r="BL122" s="382"/>
      <c r="BM122" s="142"/>
      <c r="BN122" s="142"/>
      <c r="BO122" s="142"/>
      <c r="BP122" s="142"/>
      <c r="BQ122" s="142"/>
      <c r="BR122" s="142"/>
      <c r="BS122" s="142"/>
      <c r="BT122" s="142"/>
      <c r="BU122" s="142"/>
      <c r="BV122" s="142"/>
      <c r="BW122" s="142"/>
      <c r="CC122" s="634"/>
      <c r="CD122" s="635"/>
      <c r="DK122" s="631"/>
      <c r="DL122" s="632"/>
      <c r="DM122" s="625"/>
      <c r="DN122" s="3089">
        <f>BQ129+M126</f>
        <v>5.25</v>
      </c>
      <c r="DO122" s="2531"/>
      <c r="DP122" s="2531"/>
      <c r="DQ122" s="141"/>
      <c r="DS122" s="153"/>
      <c r="DV122" s="625"/>
      <c r="DW122" s="631"/>
      <c r="DX122" s="625"/>
      <c r="DY122" s="625"/>
      <c r="EE122" s="152"/>
      <c r="FQ122" s="157"/>
      <c r="FZ122" s="636"/>
      <c r="GA122" s="160"/>
      <c r="GB122" s="160"/>
      <c r="GC122" s="160"/>
      <c r="GD122" s="160"/>
      <c r="GE122" s="141"/>
    </row>
    <row r="123" spans="3:198" ht="3.6" customHeight="1">
      <c r="C123" s="625"/>
      <c r="D123" s="625"/>
      <c r="E123" s="625"/>
      <c r="F123" s="625"/>
      <c r="I123" s="140"/>
      <c r="J123" s="140"/>
      <c r="K123" s="140"/>
      <c r="M123" s="153"/>
      <c r="N123" s="154"/>
      <c r="P123" s="140"/>
      <c r="AA123" s="140"/>
      <c r="AB123" s="140"/>
      <c r="AC123" s="140"/>
      <c r="AD123" s="140"/>
      <c r="AE123" s="142"/>
      <c r="AF123" s="142"/>
      <c r="AG123" s="142"/>
      <c r="AH123" s="141"/>
      <c r="AP123" s="141"/>
      <c r="AQ123" s="141"/>
      <c r="AR123" s="141"/>
      <c r="AS123" s="141"/>
      <c r="AT123" s="141"/>
      <c r="AU123" s="634"/>
      <c r="AV123" s="635"/>
      <c r="AX123" s="142"/>
      <c r="AY123" s="142"/>
      <c r="AZ123" s="142"/>
      <c r="BA123" s="142"/>
      <c r="BB123" s="142"/>
      <c r="BC123" s="142"/>
      <c r="BD123" s="142"/>
      <c r="BE123" s="142"/>
      <c r="BF123" s="142"/>
      <c r="BG123" s="142"/>
      <c r="BH123" s="142"/>
      <c r="BI123" s="142"/>
      <c r="BJ123" s="142"/>
      <c r="BK123" s="142"/>
      <c r="BL123" s="142"/>
      <c r="BM123" s="142"/>
      <c r="BN123" s="142"/>
      <c r="BO123" s="142"/>
      <c r="BP123" s="142"/>
      <c r="BQ123" s="142"/>
      <c r="BR123" s="142"/>
      <c r="BS123" s="142"/>
      <c r="BT123" s="142"/>
      <c r="BU123" s="142"/>
      <c r="BV123" s="142"/>
      <c r="BW123" s="142"/>
      <c r="CC123" s="634"/>
      <c r="CD123" s="635"/>
      <c r="DK123" s="631"/>
      <c r="DL123" s="632"/>
      <c r="DM123" s="625"/>
      <c r="DN123" s="2531"/>
      <c r="DO123" s="2531"/>
      <c r="DP123" s="2531"/>
      <c r="DQ123" s="141"/>
      <c r="DS123" s="153"/>
      <c r="DV123" s="625"/>
      <c r="DW123" s="631"/>
      <c r="DX123" s="625"/>
      <c r="DY123" s="625"/>
      <c r="EE123" s="152"/>
      <c r="FQ123" s="157"/>
      <c r="FZ123" s="636"/>
      <c r="GA123" s="160"/>
      <c r="GB123" s="160"/>
      <c r="GC123" s="160"/>
      <c r="GD123" s="160"/>
      <c r="GE123" s="141"/>
    </row>
    <row r="124" spans="3:198" ht="3.6" customHeight="1">
      <c r="C124" s="625"/>
      <c r="D124" s="625"/>
      <c r="E124" s="625"/>
      <c r="F124" s="625"/>
      <c r="I124" s="140"/>
      <c r="J124" s="140"/>
      <c r="K124" s="140"/>
      <c r="M124" s="153"/>
      <c r="N124" s="154"/>
      <c r="P124" s="140"/>
      <c r="AA124" s="140"/>
      <c r="AB124" s="140"/>
      <c r="AC124" s="140"/>
      <c r="AD124" s="140"/>
      <c r="AE124" s="142"/>
      <c r="AF124" s="142"/>
      <c r="AG124" s="142"/>
      <c r="AH124" s="141"/>
      <c r="AP124" s="141"/>
      <c r="AQ124" s="141"/>
      <c r="AR124" s="141"/>
      <c r="AS124" s="141"/>
      <c r="AT124" s="141"/>
      <c r="AU124" s="634"/>
      <c r="AV124" s="635"/>
      <c r="AX124" s="142"/>
      <c r="AY124" s="142"/>
      <c r="AZ124" s="142"/>
      <c r="BA124" s="142"/>
      <c r="BB124" s="142"/>
      <c r="BC124" s="142"/>
      <c r="BD124" s="142"/>
      <c r="BE124" s="142"/>
      <c r="BF124" s="142"/>
      <c r="BG124" s="142"/>
      <c r="BH124" s="142"/>
      <c r="BI124" s="142"/>
      <c r="BJ124" s="142"/>
      <c r="BK124" s="142"/>
      <c r="BL124" s="142"/>
      <c r="BM124" s="142"/>
      <c r="BN124" s="142"/>
      <c r="BO124" s="142"/>
      <c r="BP124" s="142"/>
      <c r="BQ124" s="142"/>
      <c r="BR124" s="142"/>
      <c r="BS124" s="142"/>
      <c r="BT124" s="142"/>
      <c r="BU124" s="142"/>
      <c r="BV124" s="142"/>
      <c r="BW124" s="142"/>
      <c r="CC124" s="634"/>
      <c r="CD124" s="635"/>
      <c r="DK124" s="631"/>
      <c r="DL124" s="632"/>
      <c r="DM124" s="625"/>
      <c r="DN124" s="2531"/>
      <c r="DO124" s="2531"/>
      <c r="DP124" s="2531"/>
      <c r="DS124" s="153"/>
      <c r="DV124" s="625"/>
      <c r="DW124" s="631"/>
      <c r="DX124" s="625"/>
      <c r="DY124" s="625"/>
      <c r="EE124" s="152"/>
      <c r="FQ124" s="157"/>
      <c r="FZ124" s="636"/>
      <c r="GA124" s="160"/>
      <c r="GB124" s="160"/>
      <c r="GC124" s="160"/>
      <c r="GD124" s="160"/>
      <c r="GE124" s="141"/>
    </row>
    <row r="125" spans="3:198" ht="3.6" customHeight="1">
      <c r="C125" s="625"/>
      <c r="D125" s="625"/>
      <c r="E125" s="625"/>
      <c r="F125" s="625"/>
      <c r="M125" s="153"/>
      <c r="N125" s="154"/>
      <c r="P125" s="140"/>
      <c r="AA125" s="140"/>
      <c r="AB125" s="140"/>
      <c r="AC125" s="140"/>
      <c r="AD125" s="140"/>
      <c r="AE125" s="142"/>
      <c r="AF125" s="142"/>
      <c r="AG125" s="142"/>
      <c r="AU125" s="364"/>
      <c r="AV125" s="365"/>
      <c r="CC125" s="364"/>
      <c r="CD125" s="365"/>
      <c r="DK125" s="631"/>
      <c r="DL125" s="632"/>
      <c r="DM125" s="625"/>
      <c r="DN125" s="2531"/>
      <c r="DO125" s="2531"/>
      <c r="DP125" s="2531"/>
      <c r="DS125" s="153"/>
      <c r="DV125" s="625"/>
      <c r="DW125" s="631"/>
      <c r="DX125" s="625"/>
      <c r="DY125" s="625"/>
      <c r="EE125" s="152"/>
      <c r="FQ125" s="157"/>
      <c r="FZ125" s="636"/>
      <c r="GA125" s="160"/>
      <c r="GB125" s="160"/>
      <c r="GC125" s="160"/>
      <c r="GD125" s="160"/>
      <c r="GE125" s="141"/>
    </row>
    <row r="126" spans="3:198" ht="3.6" customHeight="1">
      <c r="C126" s="625"/>
      <c r="D126" s="625"/>
      <c r="E126" s="625"/>
      <c r="F126" s="625"/>
      <c r="M126" s="3215">
        <v>0.25</v>
      </c>
      <c r="N126" s="3216"/>
      <c r="P126" s="140"/>
      <c r="Q126" s="140"/>
      <c r="R126" s="140"/>
      <c r="S126" s="140"/>
      <c r="T126" s="140"/>
      <c r="U126" s="140"/>
      <c r="V126" s="140"/>
      <c r="W126" s="140"/>
      <c r="X126" s="140"/>
      <c r="Y126" s="140"/>
      <c r="Z126" s="140"/>
      <c r="AA126" s="140"/>
      <c r="AB126" s="140"/>
      <c r="AC126" s="140"/>
      <c r="AD126" s="140"/>
      <c r="AE126" s="142"/>
      <c r="AF126" s="142"/>
      <c r="AG126" s="142"/>
      <c r="AU126" s="364"/>
      <c r="AV126" s="365"/>
      <c r="AY126" s="2542" t="s">
        <v>2979</v>
      </c>
      <c r="AZ126" s="2542"/>
      <c r="BA126" s="2542"/>
      <c r="BB126" s="2542"/>
      <c r="BC126" s="2542"/>
      <c r="BD126" s="2542"/>
      <c r="BE126" s="2542"/>
      <c r="BF126" s="2542"/>
      <c r="BG126" s="2542"/>
      <c r="BH126" s="2542"/>
      <c r="BI126" s="2542"/>
      <c r="BJ126" s="2542"/>
      <c r="BK126" s="2542"/>
      <c r="BL126" s="2542"/>
      <c r="BM126" s="2542"/>
      <c r="BN126" s="2542"/>
      <c r="BO126" s="2542"/>
      <c r="BP126" s="2542"/>
      <c r="BQ126" s="2542"/>
      <c r="BR126" s="2542"/>
      <c r="BS126" s="2542"/>
      <c r="BT126" s="2542"/>
      <c r="BU126" s="2542"/>
      <c r="BV126" s="2542"/>
      <c r="BW126" s="2542"/>
      <c r="BX126" s="2542"/>
      <c r="CC126" s="364"/>
      <c r="CD126" s="365"/>
      <c r="DK126" s="631"/>
      <c r="DL126" s="632"/>
      <c r="DM126" s="625"/>
      <c r="DN126" s="2531"/>
      <c r="DO126" s="2531"/>
      <c r="DP126" s="2531"/>
      <c r="DS126" s="153"/>
      <c r="DW126" s="153"/>
      <c r="EE126" s="157"/>
      <c r="FQ126" s="157"/>
      <c r="FZ126" s="153"/>
    </row>
    <row r="127" spans="3:198" ht="3.6" customHeight="1">
      <c r="C127" s="625"/>
      <c r="D127" s="625"/>
      <c r="E127" s="625"/>
      <c r="F127" s="625"/>
      <c r="M127" s="3215"/>
      <c r="N127" s="3216"/>
      <c r="AU127" s="364"/>
      <c r="AV127" s="365"/>
      <c r="AY127" s="2542"/>
      <c r="AZ127" s="2542"/>
      <c r="BA127" s="2542"/>
      <c r="BB127" s="2542"/>
      <c r="BC127" s="2542"/>
      <c r="BD127" s="2542"/>
      <c r="BE127" s="2542"/>
      <c r="BF127" s="2542"/>
      <c r="BG127" s="2542"/>
      <c r="BH127" s="2542"/>
      <c r="BI127" s="2542"/>
      <c r="BJ127" s="2542"/>
      <c r="BK127" s="2542"/>
      <c r="BL127" s="2542"/>
      <c r="BM127" s="2542"/>
      <c r="BN127" s="2542"/>
      <c r="BO127" s="2542"/>
      <c r="BP127" s="2542"/>
      <c r="BQ127" s="2542"/>
      <c r="BR127" s="2542"/>
      <c r="BS127" s="2542"/>
      <c r="BT127" s="2542"/>
      <c r="BU127" s="2542"/>
      <c r="BV127" s="2542"/>
      <c r="BW127" s="2542"/>
      <c r="BX127" s="2542"/>
      <c r="CC127" s="364"/>
      <c r="CD127" s="365"/>
      <c r="DK127" s="631"/>
      <c r="DL127" s="632"/>
      <c r="DM127" s="625"/>
      <c r="DN127" s="2531"/>
      <c r="DO127" s="2531"/>
      <c r="DP127" s="2531"/>
      <c r="DS127" s="153"/>
      <c r="DW127" s="153"/>
      <c r="EE127" s="157"/>
      <c r="FQ127" s="157"/>
      <c r="FZ127" s="153"/>
    </row>
    <row r="128" spans="3:198" ht="3.6" customHeight="1">
      <c r="C128" s="625"/>
      <c r="D128" s="625"/>
      <c r="E128" s="625"/>
      <c r="F128" s="625"/>
      <c r="M128" s="3215"/>
      <c r="N128" s="3216"/>
      <c r="AU128" s="364"/>
      <c r="AV128" s="365"/>
      <c r="AY128" s="2542"/>
      <c r="AZ128" s="2542"/>
      <c r="BA128" s="2542"/>
      <c r="BB128" s="2542"/>
      <c r="BC128" s="2542"/>
      <c r="BD128" s="2542"/>
      <c r="BE128" s="2542"/>
      <c r="BF128" s="2542"/>
      <c r="BG128" s="2542"/>
      <c r="BH128" s="2542"/>
      <c r="BI128" s="2542"/>
      <c r="BJ128" s="2542"/>
      <c r="BK128" s="2542"/>
      <c r="BL128" s="2542"/>
      <c r="BM128" s="2542"/>
      <c r="BN128" s="2542"/>
      <c r="BO128" s="2542"/>
      <c r="BP128" s="2542"/>
      <c r="BQ128" s="2542"/>
      <c r="BR128" s="2542"/>
      <c r="BS128" s="2542"/>
      <c r="BT128" s="2542"/>
      <c r="BU128" s="2542"/>
      <c r="BV128" s="2542"/>
      <c r="BW128" s="2542"/>
      <c r="BX128" s="2542"/>
      <c r="CC128" s="364"/>
      <c r="CD128" s="365"/>
      <c r="DK128" s="631"/>
      <c r="DL128" s="632"/>
      <c r="DM128" s="625"/>
      <c r="DN128" s="2531"/>
      <c r="DO128" s="2531"/>
      <c r="DP128" s="2531"/>
      <c r="DS128" s="153"/>
      <c r="DW128" s="153"/>
      <c r="EE128" s="157"/>
      <c r="FQ128" s="157"/>
      <c r="FZ128" s="153"/>
    </row>
    <row r="129" spans="3:199" ht="3.6" customHeight="1">
      <c r="C129" s="625"/>
      <c r="D129" s="625"/>
      <c r="E129" s="625"/>
      <c r="F129" s="625"/>
      <c r="M129" s="3215"/>
      <c r="N129" s="3216"/>
      <c r="AU129" s="364"/>
      <c r="AV129" s="365"/>
      <c r="AY129" s="3217">
        <v>9.1999999999999993</v>
      </c>
      <c r="AZ129" s="3217"/>
      <c r="BA129" s="3217"/>
      <c r="BB129" s="3217"/>
      <c r="BC129" s="3217"/>
      <c r="BD129" s="3217"/>
      <c r="BE129" s="3217"/>
      <c r="BF129" s="3217"/>
      <c r="BG129" s="3217"/>
      <c r="BH129" s="3217"/>
      <c r="BI129" s="3194" t="s">
        <v>901</v>
      </c>
      <c r="BJ129" s="3194"/>
      <c r="BK129" s="3194"/>
      <c r="BL129" s="3194"/>
      <c r="BM129" s="3194"/>
      <c r="BN129" s="3194"/>
      <c r="BO129" s="3194"/>
      <c r="BP129" s="3194"/>
      <c r="BQ129" s="3217">
        <v>5</v>
      </c>
      <c r="BR129" s="3217"/>
      <c r="BS129" s="3217"/>
      <c r="BT129" s="3217"/>
      <c r="BU129" s="3217"/>
      <c r="BV129" s="3217"/>
      <c r="BW129" s="3217"/>
      <c r="BX129" s="3217"/>
      <c r="CC129" s="364"/>
      <c r="CD129" s="365"/>
      <c r="DK129" s="631"/>
      <c r="DL129" s="632"/>
      <c r="DM129" s="625"/>
      <c r="DN129" s="2531"/>
      <c r="DO129" s="2531"/>
      <c r="DP129" s="2531"/>
      <c r="DS129" s="153"/>
      <c r="DW129" s="153"/>
      <c r="EE129" s="157"/>
      <c r="FQ129" s="157"/>
      <c r="FZ129" s="153"/>
    </row>
    <row r="130" spans="3:199" ht="3.6" customHeight="1">
      <c r="C130" s="625"/>
      <c r="D130" s="625"/>
      <c r="E130" s="625"/>
      <c r="F130" s="625"/>
      <c r="M130" s="3215"/>
      <c r="N130" s="3216"/>
      <c r="AU130" s="364"/>
      <c r="AV130" s="365"/>
      <c r="AY130" s="3217"/>
      <c r="AZ130" s="3217"/>
      <c r="BA130" s="3217"/>
      <c r="BB130" s="3217"/>
      <c r="BC130" s="3217"/>
      <c r="BD130" s="3217"/>
      <c r="BE130" s="3217"/>
      <c r="BF130" s="3217"/>
      <c r="BG130" s="3217"/>
      <c r="BH130" s="3217"/>
      <c r="BI130" s="3194"/>
      <c r="BJ130" s="3194"/>
      <c r="BK130" s="3194"/>
      <c r="BL130" s="3194"/>
      <c r="BM130" s="3194"/>
      <c r="BN130" s="3194"/>
      <c r="BO130" s="3194"/>
      <c r="BP130" s="3194"/>
      <c r="BQ130" s="3217"/>
      <c r="BR130" s="3217"/>
      <c r="BS130" s="3217"/>
      <c r="BT130" s="3217"/>
      <c r="BU130" s="3217"/>
      <c r="BV130" s="3217"/>
      <c r="BW130" s="3217"/>
      <c r="BX130" s="3217"/>
      <c r="CC130" s="364"/>
      <c r="CD130" s="365"/>
      <c r="DK130" s="631"/>
      <c r="DL130" s="632"/>
      <c r="DM130" s="625"/>
      <c r="DN130" s="2531"/>
      <c r="DO130" s="2531"/>
      <c r="DP130" s="2531"/>
      <c r="DS130" s="153"/>
      <c r="DW130" s="153"/>
      <c r="EE130" s="157"/>
      <c r="FQ130" s="157"/>
      <c r="FU130" s="3218">
        <f>FU85+FZ143</f>
        <v>0.52500000000000002</v>
      </c>
      <c r="FV130" s="2542"/>
      <c r="FW130" s="2542"/>
      <c r="FX130" s="2542"/>
      <c r="FY130" s="2542"/>
      <c r="FZ130" s="2542"/>
      <c r="GA130" s="2542"/>
      <c r="GB130" s="2542"/>
      <c r="GC130" s="3219"/>
    </row>
    <row r="131" spans="3:199" ht="3.6" customHeight="1">
      <c r="C131" s="625"/>
      <c r="D131" s="625"/>
      <c r="E131" s="625"/>
      <c r="F131" s="625"/>
      <c r="M131" s="3215"/>
      <c r="N131" s="3216"/>
      <c r="AG131" s="142"/>
      <c r="AH131" s="142"/>
      <c r="AI131" s="142"/>
      <c r="AJ131" s="142"/>
      <c r="AK131" s="142"/>
      <c r="AL131" s="142"/>
      <c r="AM131" s="142"/>
      <c r="AN131" s="142"/>
      <c r="AO131" s="142"/>
      <c r="AU131" s="364"/>
      <c r="AV131" s="365"/>
      <c r="AY131" s="3217"/>
      <c r="AZ131" s="3217"/>
      <c r="BA131" s="3217"/>
      <c r="BB131" s="3217"/>
      <c r="BC131" s="3217"/>
      <c r="BD131" s="3217"/>
      <c r="BE131" s="3217"/>
      <c r="BF131" s="3217"/>
      <c r="BG131" s="3217"/>
      <c r="BH131" s="3217"/>
      <c r="BI131" s="3194"/>
      <c r="BJ131" s="3194"/>
      <c r="BK131" s="3194"/>
      <c r="BL131" s="3194"/>
      <c r="BM131" s="3194"/>
      <c r="BN131" s="3194"/>
      <c r="BO131" s="3194"/>
      <c r="BP131" s="3194"/>
      <c r="BQ131" s="3217"/>
      <c r="BR131" s="3217"/>
      <c r="BS131" s="3217"/>
      <c r="BT131" s="3217"/>
      <c r="BU131" s="3217"/>
      <c r="BV131" s="3217"/>
      <c r="BW131" s="3217"/>
      <c r="BX131" s="3217"/>
      <c r="BY131" s="142"/>
      <c r="BZ131" s="142"/>
      <c r="CA131" s="142"/>
      <c r="CB131" s="142"/>
      <c r="CC131" s="364"/>
      <c r="CD131" s="365"/>
      <c r="DK131" s="631"/>
      <c r="DL131" s="632"/>
      <c r="DM131" s="625"/>
      <c r="DN131" s="2531"/>
      <c r="DO131" s="2531"/>
      <c r="DP131" s="2531"/>
      <c r="DS131" s="153"/>
      <c r="DW131" s="153"/>
      <c r="EE131" s="157"/>
      <c r="FQ131" s="157"/>
      <c r="FU131" s="3220"/>
      <c r="FV131" s="2542"/>
      <c r="FW131" s="2542"/>
      <c r="FX131" s="2542"/>
      <c r="FY131" s="2542"/>
      <c r="FZ131" s="2542"/>
      <c r="GA131" s="2542"/>
      <c r="GB131" s="2542"/>
      <c r="GC131" s="3219"/>
    </row>
    <row r="132" spans="3:199" ht="3.6" customHeight="1">
      <c r="C132" s="625"/>
      <c r="D132" s="625"/>
      <c r="E132" s="625"/>
      <c r="F132" s="625"/>
      <c r="M132" s="3215"/>
      <c r="N132" s="3216"/>
      <c r="AG132" s="142"/>
      <c r="AH132" s="142"/>
      <c r="AI132" s="142"/>
      <c r="AJ132" s="142"/>
      <c r="AK132" s="142"/>
      <c r="AL132" s="142"/>
      <c r="AM132" s="142"/>
      <c r="AN132" s="142"/>
      <c r="AO132" s="142"/>
      <c r="AU132" s="364"/>
      <c r="AV132" s="365"/>
      <c r="BX132" s="142"/>
      <c r="BY132" s="142"/>
      <c r="BZ132" s="142"/>
      <c r="CA132" s="142"/>
      <c r="CB132" s="142"/>
      <c r="CC132" s="364"/>
      <c r="CD132" s="365"/>
      <c r="CH132" s="575"/>
      <c r="CI132" s="575"/>
      <c r="CJ132" s="575"/>
      <c r="CK132" s="575"/>
      <c r="CL132" s="575"/>
      <c r="CM132" s="575"/>
      <c r="CN132" s="575"/>
      <c r="CO132" s="575"/>
      <c r="CP132" s="575"/>
      <c r="CQ132" s="575"/>
      <c r="DK132" s="631"/>
      <c r="DL132" s="632"/>
      <c r="DM132" s="625"/>
      <c r="DN132" s="2531"/>
      <c r="DO132" s="2531"/>
      <c r="DP132" s="2531"/>
      <c r="DS132" s="153"/>
      <c r="DW132" s="153"/>
      <c r="EE132" s="157"/>
      <c r="FQ132" s="157"/>
      <c r="FU132" s="3220"/>
      <c r="FV132" s="2542"/>
      <c r="FW132" s="2542"/>
      <c r="FX132" s="2542"/>
      <c r="FY132" s="2542"/>
      <c r="FZ132" s="2542"/>
      <c r="GA132" s="2542"/>
      <c r="GB132" s="2542"/>
      <c r="GC132" s="3219"/>
    </row>
    <row r="133" spans="3:199" ht="3.6" customHeight="1">
      <c r="M133" s="153"/>
      <c r="N133" s="154"/>
      <c r="S133" s="575"/>
      <c r="T133" s="575"/>
      <c r="U133" s="575"/>
      <c r="V133" s="575"/>
      <c r="W133" s="575"/>
      <c r="X133" s="575"/>
      <c r="Y133" s="575"/>
      <c r="Z133" s="575"/>
      <c r="AA133" s="575"/>
      <c r="AB133" s="575"/>
      <c r="AC133" s="575"/>
      <c r="AD133" s="575"/>
      <c r="AG133" s="142"/>
      <c r="AH133" s="142"/>
      <c r="AI133" s="142"/>
      <c r="AJ133" s="142"/>
      <c r="AK133" s="142"/>
      <c r="AL133" s="142"/>
      <c r="AM133" s="142"/>
      <c r="AN133" s="142"/>
      <c r="AO133" s="142"/>
      <c r="AU133" s="364"/>
      <c r="AV133" s="365"/>
      <c r="BX133" s="142"/>
      <c r="BY133" s="142"/>
      <c r="BZ133" s="142"/>
      <c r="CA133" s="142"/>
      <c r="CB133" s="142"/>
      <c r="CC133" s="364"/>
      <c r="CD133" s="365"/>
      <c r="CH133" s="575"/>
      <c r="CI133" s="575"/>
      <c r="CJ133" s="575"/>
      <c r="CK133" s="575"/>
      <c r="CL133" s="575"/>
      <c r="CM133" s="575"/>
      <c r="CN133" s="575"/>
      <c r="CO133" s="575"/>
      <c r="CP133" s="575"/>
      <c r="CQ133" s="575"/>
      <c r="CY133" s="575"/>
      <c r="CZ133" s="575"/>
      <c r="DA133" s="575"/>
      <c r="DB133" s="575"/>
      <c r="DC133" s="575"/>
      <c r="DD133" s="575"/>
      <c r="DE133" s="575"/>
      <c r="DF133" s="575"/>
      <c r="DG133" s="575"/>
      <c r="DH133" s="575"/>
      <c r="DK133" s="631"/>
      <c r="DL133" s="632"/>
      <c r="DM133" s="625"/>
      <c r="DN133" s="2531"/>
      <c r="DO133" s="2531"/>
      <c r="DP133" s="2531"/>
      <c r="DR133" s="3089">
        <f>DN122+DN171</f>
        <v>7.3</v>
      </c>
      <c r="DS133" s="3089"/>
      <c r="DT133" s="3089"/>
      <c r="DV133" s="3089">
        <f>DR133+M126</f>
        <v>7.55</v>
      </c>
      <c r="DW133" s="2531"/>
      <c r="DX133" s="2531"/>
      <c r="EE133" s="157"/>
      <c r="FQ133" s="157"/>
      <c r="FU133" s="3220"/>
      <c r="FV133" s="2542"/>
      <c r="FW133" s="2542"/>
      <c r="FX133" s="2542"/>
      <c r="FY133" s="2542"/>
      <c r="FZ133" s="2542"/>
      <c r="GA133" s="2542"/>
      <c r="GB133" s="2542"/>
      <c r="GC133" s="3219"/>
    </row>
    <row r="134" spans="3:199" ht="3.6" customHeight="1">
      <c r="M134" s="153"/>
      <c r="N134" s="154"/>
      <c r="S134" s="575"/>
      <c r="T134" s="575"/>
      <c r="U134" s="575"/>
      <c r="V134" s="575"/>
      <c r="W134" s="575"/>
      <c r="X134" s="575"/>
      <c r="Y134" s="575"/>
      <c r="Z134" s="575"/>
      <c r="AA134" s="575"/>
      <c r="AB134" s="575"/>
      <c r="AC134" s="575"/>
      <c r="AD134" s="575"/>
      <c r="AG134" s="142"/>
      <c r="AH134" s="142"/>
      <c r="AI134" s="142"/>
      <c r="AJ134" s="142"/>
      <c r="AK134" s="142"/>
      <c r="AL134" s="142"/>
      <c r="AM134" s="142"/>
      <c r="AN134" s="142"/>
      <c r="AO134" s="142"/>
      <c r="AU134" s="364"/>
      <c r="AV134" s="365"/>
      <c r="BX134" s="142"/>
      <c r="BY134" s="142"/>
      <c r="BZ134" s="142"/>
      <c r="CA134" s="142"/>
      <c r="CB134" s="142"/>
      <c r="CC134" s="364"/>
      <c r="CD134" s="365"/>
      <c r="CH134" s="575"/>
      <c r="CI134" s="575"/>
      <c r="CJ134" s="575"/>
      <c r="CK134" s="575"/>
      <c r="CL134" s="575"/>
      <c r="CM134" s="575"/>
      <c r="CN134" s="575"/>
      <c r="CO134" s="575"/>
      <c r="CP134" s="575"/>
      <c r="CQ134" s="575"/>
      <c r="CY134" s="575"/>
      <c r="CZ134" s="575"/>
      <c r="DA134" s="575"/>
      <c r="DB134" s="575"/>
      <c r="DC134" s="575"/>
      <c r="DD134" s="575"/>
      <c r="DE134" s="575"/>
      <c r="DF134" s="575"/>
      <c r="DG134" s="575"/>
      <c r="DH134" s="575"/>
      <c r="DK134" s="631"/>
      <c r="DL134" s="632"/>
      <c r="DM134" s="625"/>
      <c r="DN134" s="2531"/>
      <c r="DO134" s="2531"/>
      <c r="DP134" s="2531"/>
      <c r="DR134" s="3089"/>
      <c r="DS134" s="3089"/>
      <c r="DT134" s="3089"/>
      <c r="DV134" s="2531"/>
      <c r="DW134" s="2531"/>
      <c r="DX134" s="2531"/>
      <c r="EE134" s="157"/>
      <c r="FQ134" s="157"/>
      <c r="FZ134" s="153"/>
    </row>
    <row r="135" spans="3:199" ht="3.6" customHeight="1">
      <c r="M135" s="153"/>
      <c r="N135" s="154"/>
      <c r="S135" s="575"/>
      <c r="T135" s="575"/>
      <c r="U135" s="575"/>
      <c r="V135" s="575"/>
      <c r="W135" s="575"/>
      <c r="X135" s="575"/>
      <c r="Y135" s="575"/>
      <c r="Z135" s="575"/>
      <c r="AA135" s="575"/>
      <c r="AB135" s="575"/>
      <c r="AC135" s="575"/>
      <c r="AD135" s="575"/>
      <c r="AU135" s="364"/>
      <c r="AV135" s="365"/>
      <c r="CC135" s="364"/>
      <c r="CD135" s="365"/>
      <c r="CY135" s="575"/>
      <c r="CZ135" s="575"/>
      <c r="DA135" s="575"/>
      <c r="DB135" s="575"/>
      <c r="DC135" s="575"/>
      <c r="DD135" s="575"/>
      <c r="DE135" s="575"/>
      <c r="DF135" s="575"/>
      <c r="DG135" s="575"/>
      <c r="DH135" s="575"/>
      <c r="DK135" s="153"/>
      <c r="DL135" s="154"/>
      <c r="DM135" s="625"/>
      <c r="DN135" s="2531"/>
      <c r="DO135" s="2531"/>
      <c r="DP135" s="2531"/>
      <c r="DR135" s="3089"/>
      <c r="DS135" s="3089"/>
      <c r="DT135" s="3089"/>
      <c r="DV135" s="2531"/>
      <c r="DW135" s="2531"/>
      <c r="DX135" s="2531"/>
      <c r="EC135" s="625"/>
      <c r="EE135" s="157"/>
      <c r="FQ135" s="157"/>
      <c r="FZ135" s="153"/>
    </row>
    <row r="136" spans="3:199" ht="3.6" customHeight="1">
      <c r="M136" s="153"/>
      <c r="N136" s="154"/>
      <c r="AU136" s="364"/>
      <c r="AV136" s="365"/>
      <c r="CC136" s="364"/>
      <c r="CD136" s="365"/>
      <c r="DK136" s="153"/>
      <c r="DL136" s="154"/>
      <c r="DM136" s="625"/>
      <c r="DN136" s="2531"/>
      <c r="DO136" s="2531"/>
      <c r="DP136" s="2531"/>
      <c r="DR136" s="3089"/>
      <c r="DS136" s="3089"/>
      <c r="DT136" s="3089"/>
      <c r="DV136" s="2531"/>
      <c r="DW136" s="2531"/>
      <c r="DX136" s="2531"/>
      <c r="EC136" s="625"/>
      <c r="EE136" s="157"/>
      <c r="FQ136" s="157"/>
      <c r="FZ136" s="585"/>
      <c r="GA136" s="176"/>
      <c r="GB136" s="176"/>
      <c r="GC136" s="176"/>
      <c r="GD136" s="176"/>
      <c r="GE136" s="176"/>
      <c r="GF136" s="176"/>
      <c r="GG136" s="176"/>
      <c r="GH136" s="176"/>
      <c r="GI136" s="176"/>
      <c r="GJ136" s="176"/>
      <c r="GK136" s="176"/>
      <c r="GL136" s="176"/>
      <c r="GM136" s="176"/>
      <c r="GN136" s="176"/>
      <c r="GO136" s="176"/>
      <c r="GP136" s="176"/>
    </row>
    <row r="137" spans="3:199" ht="3.6" customHeight="1">
      <c r="M137" s="153"/>
      <c r="N137" s="154"/>
      <c r="AU137" s="364"/>
      <c r="AV137" s="365"/>
      <c r="CC137" s="364"/>
      <c r="CD137" s="365"/>
      <c r="DK137" s="631"/>
      <c r="DL137" s="632"/>
      <c r="DM137" s="625"/>
      <c r="DN137" s="2531"/>
      <c r="DO137" s="2531"/>
      <c r="DP137" s="2531"/>
      <c r="DR137" s="3089"/>
      <c r="DS137" s="3089"/>
      <c r="DT137" s="3089"/>
      <c r="DV137" s="2531"/>
      <c r="DW137" s="2531"/>
      <c r="DX137" s="2531"/>
      <c r="EC137" s="625"/>
      <c r="EE137" s="157"/>
      <c r="FQ137" s="157"/>
      <c r="FZ137" s="585"/>
      <c r="GA137" s="176"/>
      <c r="GB137" s="176"/>
      <c r="GC137" s="3194">
        <f>SUM(FZ143:GP153)</f>
        <v>1.1999999999999997</v>
      </c>
      <c r="GD137" s="3194"/>
      <c r="GE137" s="3194"/>
      <c r="GF137" s="3194"/>
      <c r="GG137" s="3194"/>
      <c r="GH137" s="3194"/>
      <c r="GI137" s="3194"/>
      <c r="GJ137" s="3194"/>
      <c r="GK137" s="3194"/>
      <c r="GL137" s="3194"/>
      <c r="GM137" s="3194"/>
      <c r="GN137" s="176"/>
      <c r="GO137" s="176"/>
      <c r="GP137" s="637"/>
    </row>
    <row r="138" spans="3:199" ht="3.6" customHeight="1">
      <c r="M138" s="153"/>
      <c r="N138" s="154"/>
      <c r="AU138" s="364"/>
      <c r="AV138" s="365"/>
      <c r="BA138" s="638"/>
      <c r="BB138" s="638"/>
      <c r="BC138" s="638"/>
      <c r="BD138" s="638"/>
      <c r="BE138" s="160"/>
      <c r="BF138" s="160"/>
      <c r="BG138" s="160"/>
      <c r="BH138" s="160"/>
      <c r="CC138" s="364"/>
      <c r="CD138" s="365"/>
      <c r="DK138" s="631"/>
      <c r="DL138" s="632"/>
      <c r="DM138" s="625"/>
      <c r="DN138" s="2531"/>
      <c r="DO138" s="2531"/>
      <c r="DP138" s="2531"/>
      <c r="DR138" s="3089"/>
      <c r="DS138" s="3089"/>
      <c r="DT138" s="3089"/>
      <c r="DV138" s="2531"/>
      <c r="DW138" s="2531"/>
      <c r="DX138" s="2531"/>
      <c r="EC138" s="625"/>
      <c r="EE138" s="157"/>
      <c r="FQ138" s="157"/>
      <c r="FZ138" s="639"/>
      <c r="GA138" s="640"/>
      <c r="GB138" s="640"/>
      <c r="GC138" s="3194"/>
      <c r="GD138" s="3194"/>
      <c r="GE138" s="3194"/>
      <c r="GF138" s="3194"/>
      <c r="GG138" s="3194"/>
      <c r="GH138" s="3194"/>
      <c r="GI138" s="3194"/>
      <c r="GJ138" s="3194"/>
      <c r="GK138" s="3194"/>
      <c r="GL138" s="3194"/>
      <c r="GM138" s="3194"/>
      <c r="GN138" s="640"/>
      <c r="GO138" s="640"/>
      <c r="GP138" s="602"/>
      <c r="GQ138" s="603"/>
    </row>
    <row r="139" spans="3:199" ht="3.6" customHeight="1">
      <c r="M139" s="153"/>
      <c r="N139" s="154"/>
      <c r="AU139" s="364"/>
      <c r="AV139" s="365"/>
      <c r="BA139" s="638"/>
      <c r="BB139" s="638"/>
      <c r="BC139" s="638"/>
      <c r="BD139" s="638"/>
      <c r="BE139" s="160"/>
      <c r="BF139" s="160"/>
      <c r="BG139" s="160"/>
      <c r="BH139" s="160"/>
      <c r="CC139" s="364"/>
      <c r="CD139" s="365"/>
      <c r="DK139" s="631"/>
      <c r="DL139" s="632"/>
      <c r="DM139" s="625"/>
      <c r="DN139" s="625"/>
      <c r="DR139" s="3089"/>
      <c r="DS139" s="3089"/>
      <c r="DT139" s="3089"/>
      <c r="DV139" s="2531"/>
      <c r="DW139" s="2531"/>
      <c r="DX139" s="2531"/>
      <c r="EC139" s="625"/>
      <c r="EE139" s="157"/>
      <c r="FQ139" s="157"/>
      <c r="FY139" s="362"/>
      <c r="FZ139" s="585"/>
      <c r="GA139" s="176"/>
      <c r="GB139" s="176"/>
      <c r="GC139" s="3194"/>
      <c r="GD139" s="3194"/>
      <c r="GE139" s="3194"/>
      <c r="GF139" s="3194"/>
      <c r="GG139" s="3194"/>
      <c r="GH139" s="3194"/>
      <c r="GI139" s="3194"/>
      <c r="GJ139" s="3194"/>
      <c r="GK139" s="3194"/>
      <c r="GL139" s="3194"/>
      <c r="GM139" s="3194"/>
      <c r="GN139" s="176"/>
      <c r="GO139" s="176"/>
      <c r="GP139" s="607"/>
    </row>
    <row r="140" spans="3:199" ht="3.6" customHeight="1">
      <c r="K140" s="143"/>
      <c r="L140" s="143"/>
      <c r="M140" s="384"/>
      <c r="N140" s="641"/>
      <c r="O140" s="143"/>
      <c r="P140" s="143"/>
      <c r="Q140" s="143"/>
      <c r="R140" s="143"/>
      <c r="S140" s="143"/>
      <c r="T140" s="143"/>
      <c r="U140" s="143"/>
      <c r="V140" s="143"/>
      <c r="W140" s="143"/>
      <c r="X140" s="143"/>
      <c r="Y140" s="143"/>
      <c r="Z140" s="143"/>
      <c r="AA140" s="143"/>
      <c r="AB140" s="143"/>
      <c r="AC140" s="143"/>
      <c r="AD140" s="143"/>
      <c r="AE140" s="143"/>
      <c r="AF140" s="143"/>
      <c r="AG140" s="143"/>
      <c r="AU140" s="364"/>
      <c r="AV140" s="365"/>
      <c r="BA140" s="638"/>
      <c r="BB140" s="638"/>
      <c r="BC140" s="638"/>
      <c r="BD140" s="638"/>
      <c r="BE140" s="160"/>
      <c r="BF140" s="160"/>
      <c r="BG140" s="160"/>
      <c r="BH140" s="160"/>
      <c r="BY140" s="143"/>
      <c r="BZ140" s="143"/>
      <c r="CA140" s="143"/>
      <c r="CB140" s="143"/>
      <c r="CC140" s="364"/>
      <c r="CD140" s="365"/>
      <c r="CE140" s="143"/>
      <c r="CF140" s="143"/>
      <c r="CG140" s="143"/>
      <c r="CH140" s="143"/>
      <c r="CI140" s="143"/>
      <c r="CJ140" s="143"/>
      <c r="CK140" s="143"/>
      <c r="CL140" s="143"/>
      <c r="CM140" s="143"/>
      <c r="CN140" s="143"/>
      <c r="CO140" s="143"/>
      <c r="CP140" s="143"/>
      <c r="CQ140" s="143"/>
      <c r="CR140" s="143"/>
      <c r="CS140" s="143"/>
      <c r="CT140" s="143"/>
      <c r="CU140" s="143"/>
      <c r="CV140" s="143"/>
      <c r="DK140" s="631"/>
      <c r="DL140" s="632"/>
      <c r="DM140" s="625"/>
      <c r="DN140" s="632"/>
      <c r="DR140" s="3089"/>
      <c r="DS140" s="3089"/>
      <c r="DT140" s="3089"/>
      <c r="DV140" s="2531"/>
      <c r="DW140" s="2531"/>
      <c r="DX140" s="2531"/>
      <c r="EC140" s="625"/>
      <c r="EE140" s="157"/>
      <c r="FQ140" s="157"/>
      <c r="FZ140" s="585"/>
      <c r="GA140" s="176"/>
      <c r="GB140" s="176"/>
      <c r="GC140" s="3194"/>
      <c r="GD140" s="3194"/>
      <c r="GE140" s="3194"/>
      <c r="GF140" s="3194"/>
      <c r="GG140" s="3194"/>
      <c r="GH140" s="3194"/>
      <c r="GI140" s="3194"/>
      <c r="GJ140" s="3194"/>
      <c r="GK140" s="3194"/>
      <c r="GL140" s="3194"/>
      <c r="GM140" s="3194"/>
      <c r="GN140" s="176"/>
      <c r="GO140" s="176"/>
      <c r="GP140" s="637"/>
    </row>
    <row r="141" spans="3:199" ht="3.6" customHeight="1">
      <c r="K141" s="143"/>
      <c r="L141" s="143"/>
      <c r="M141" s="384"/>
      <c r="N141" s="641"/>
      <c r="O141" s="143"/>
      <c r="P141" s="143"/>
      <c r="Q141" s="143"/>
      <c r="R141" s="143"/>
      <c r="S141" s="143"/>
      <c r="T141" s="143"/>
      <c r="U141" s="143"/>
      <c r="V141" s="143"/>
      <c r="W141" s="143"/>
      <c r="X141" s="143"/>
      <c r="Y141" s="143"/>
      <c r="Z141" s="143"/>
      <c r="AA141" s="143"/>
      <c r="AB141" s="143"/>
      <c r="AC141" s="143"/>
      <c r="AD141" s="143"/>
      <c r="AE141" s="143"/>
      <c r="AF141" s="143"/>
      <c r="AG141" s="143"/>
      <c r="AU141" s="364"/>
      <c r="AV141" s="365"/>
      <c r="BA141" s="638"/>
      <c r="BB141" s="638"/>
      <c r="BC141" s="638"/>
      <c r="BD141" s="638"/>
      <c r="BE141" s="160"/>
      <c r="BF141" s="160"/>
      <c r="BG141" s="160"/>
      <c r="BH141" s="160"/>
      <c r="BY141" s="143"/>
      <c r="BZ141" s="143"/>
      <c r="CA141" s="143"/>
      <c r="CB141" s="143"/>
      <c r="CC141" s="364"/>
      <c r="CD141" s="365"/>
      <c r="CE141" s="143"/>
      <c r="CF141" s="143"/>
      <c r="CG141" s="143"/>
      <c r="CH141" s="143"/>
      <c r="CI141" s="143"/>
      <c r="CJ141" s="143"/>
      <c r="CK141" s="143"/>
      <c r="CL141" s="143"/>
      <c r="CM141" s="143"/>
      <c r="CN141" s="143"/>
      <c r="CO141" s="143"/>
      <c r="CP141" s="143"/>
      <c r="CQ141" s="143"/>
      <c r="CR141" s="143"/>
      <c r="CS141" s="143"/>
      <c r="CT141" s="143"/>
      <c r="CU141" s="143"/>
      <c r="CV141" s="143"/>
      <c r="DK141" s="631"/>
      <c r="DL141" s="632"/>
      <c r="DM141" s="625"/>
      <c r="DN141" s="632"/>
      <c r="DR141" s="3089"/>
      <c r="DS141" s="3089"/>
      <c r="DT141" s="3089"/>
      <c r="DV141" s="2531"/>
      <c r="DW141" s="2531"/>
      <c r="DX141" s="2531"/>
      <c r="EC141" s="625"/>
      <c r="EE141" s="157"/>
      <c r="FQ141" s="157"/>
      <c r="FZ141" s="153"/>
    </row>
    <row r="142" spans="3:199" ht="3.6" customHeight="1">
      <c r="K142" s="143"/>
      <c r="L142" s="143"/>
      <c r="M142" s="384"/>
      <c r="N142" s="641"/>
      <c r="O142" s="143"/>
      <c r="P142" s="143"/>
      <c r="Q142" s="143"/>
      <c r="R142" s="143"/>
      <c r="S142" s="143"/>
      <c r="T142" s="143"/>
      <c r="U142" s="143"/>
      <c r="V142" s="143"/>
      <c r="W142" s="143"/>
      <c r="X142" s="143"/>
      <c r="Y142" s="143"/>
      <c r="Z142" s="143"/>
      <c r="AA142" s="143"/>
      <c r="AB142" s="143"/>
      <c r="AC142" s="143"/>
      <c r="AD142" s="143"/>
      <c r="AE142" s="143"/>
      <c r="AF142" s="143"/>
      <c r="AG142" s="143"/>
      <c r="AU142" s="364"/>
      <c r="AV142" s="365"/>
      <c r="BA142" s="638"/>
      <c r="BB142" s="638"/>
      <c r="BC142" s="638"/>
      <c r="BD142" s="638"/>
      <c r="BE142" s="160"/>
      <c r="BF142" s="160"/>
      <c r="BG142" s="160"/>
      <c r="BH142" s="160"/>
      <c r="BY142" s="143"/>
      <c r="BZ142" s="143"/>
      <c r="CA142" s="143"/>
      <c r="CB142" s="143"/>
      <c r="CC142" s="364"/>
      <c r="CD142" s="365"/>
      <c r="CE142" s="143"/>
      <c r="CF142" s="143"/>
      <c r="CG142" s="143"/>
      <c r="CH142" s="143"/>
      <c r="CI142" s="143"/>
      <c r="CJ142" s="143"/>
      <c r="CK142" s="143"/>
      <c r="CL142" s="143"/>
      <c r="CM142" s="143"/>
      <c r="CN142" s="143"/>
      <c r="CO142" s="143"/>
      <c r="CP142" s="143"/>
      <c r="CQ142" s="143"/>
      <c r="CR142" s="143"/>
      <c r="CS142" s="143"/>
      <c r="CT142" s="143"/>
      <c r="CU142" s="143"/>
      <c r="CV142" s="143"/>
      <c r="DK142" s="631"/>
      <c r="DL142" s="632"/>
      <c r="DM142" s="625"/>
      <c r="DN142" s="632"/>
      <c r="DR142" s="3089"/>
      <c r="DS142" s="3089"/>
      <c r="DT142" s="3089"/>
      <c r="DV142" s="2531"/>
      <c r="DW142" s="2531"/>
      <c r="DX142" s="2531"/>
      <c r="EC142" s="625"/>
      <c r="EE142" s="157"/>
      <c r="FQ142" s="157"/>
      <c r="FZ142" s="153"/>
    </row>
    <row r="143" spans="3:199" ht="3.6" customHeight="1">
      <c r="K143" s="143"/>
      <c r="L143" s="143"/>
      <c r="M143" s="384"/>
      <c r="N143" s="641"/>
      <c r="O143" s="143"/>
      <c r="P143" s="143"/>
      <c r="Q143" s="143"/>
      <c r="R143" s="143"/>
      <c r="S143" s="143"/>
      <c r="T143" s="143"/>
      <c r="U143" s="143"/>
      <c r="V143" s="143"/>
      <c r="W143" s="143"/>
      <c r="X143" s="143"/>
      <c r="Y143" s="143"/>
      <c r="Z143" s="143"/>
      <c r="AA143" s="143"/>
      <c r="AB143" s="143"/>
      <c r="AC143" s="143"/>
      <c r="AD143" s="143"/>
      <c r="AE143" s="143"/>
      <c r="AF143" s="143"/>
      <c r="AG143" s="143"/>
      <c r="AU143" s="364"/>
      <c r="AV143" s="365"/>
      <c r="BA143" s="638"/>
      <c r="BB143" s="638"/>
      <c r="BC143" s="638"/>
      <c r="BD143" s="638"/>
      <c r="BE143" s="160"/>
      <c r="BF143" s="160"/>
      <c r="BG143" s="160"/>
      <c r="BH143" s="160"/>
      <c r="BY143" s="143"/>
      <c r="BZ143" s="143"/>
      <c r="CA143" s="143"/>
      <c r="CB143" s="143"/>
      <c r="CC143" s="364"/>
      <c r="CD143" s="365"/>
      <c r="CE143" s="143"/>
      <c r="CF143" s="143"/>
      <c r="CG143" s="143"/>
      <c r="CH143" s="143"/>
      <c r="CI143" s="143"/>
      <c r="CJ143" s="143"/>
      <c r="CK143" s="143"/>
      <c r="CL143" s="143"/>
      <c r="CM143" s="143"/>
      <c r="CN143" s="143"/>
      <c r="CO143" s="143"/>
      <c r="CP143" s="143"/>
      <c r="CQ143" s="143"/>
      <c r="CR143" s="143"/>
      <c r="CS143" s="143"/>
      <c r="CT143" s="143"/>
      <c r="CU143" s="143"/>
      <c r="CV143" s="143"/>
      <c r="DK143" s="631"/>
      <c r="DL143" s="632"/>
      <c r="DM143" s="625"/>
      <c r="DN143" s="632"/>
      <c r="DR143" s="3089"/>
      <c r="DS143" s="3089"/>
      <c r="DT143" s="3089"/>
      <c r="DV143" s="2531"/>
      <c r="DW143" s="2531"/>
      <c r="DX143" s="2531"/>
      <c r="EC143" s="625"/>
      <c r="EE143" s="157"/>
      <c r="FQ143" s="157"/>
      <c r="FZ143" s="3201">
        <v>0.3</v>
      </c>
      <c r="GA143" s="3089"/>
      <c r="GB143" s="3089"/>
      <c r="GC143" s="3202"/>
      <c r="GD143" s="3201">
        <v>0.3</v>
      </c>
      <c r="GE143" s="3089"/>
      <c r="GF143" s="3089"/>
      <c r="GG143" s="3089"/>
      <c r="GH143" s="3202"/>
      <c r="GI143" s="3201">
        <v>0.3</v>
      </c>
      <c r="GJ143" s="3089"/>
      <c r="GK143" s="3089"/>
      <c r="GL143" s="3202"/>
      <c r="GM143" s="2530">
        <v>0.15</v>
      </c>
      <c r="GN143" s="2532"/>
      <c r="GO143" s="2530">
        <v>0.15</v>
      </c>
      <c r="GP143" s="2532"/>
    </row>
    <row r="144" spans="3:199" ht="3.6" customHeight="1">
      <c r="K144" s="140"/>
      <c r="L144" s="140"/>
      <c r="M144" s="164"/>
      <c r="N144" s="167"/>
      <c r="O144" s="140"/>
      <c r="P144" s="140"/>
      <c r="Q144" s="140"/>
      <c r="R144" s="140"/>
      <c r="S144" s="140"/>
      <c r="T144" s="140"/>
      <c r="U144" s="140"/>
      <c r="V144" s="140"/>
      <c r="W144" s="140"/>
      <c r="X144" s="140"/>
      <c r="Y144" s="140"/>
      <c r="Z144" s="140"/>
      <c r="AA144" s="140"/>
      <c r="AB144" s="140"/>
      <c r="AC144" s="140"/>
      <c r="AD144" s="140"/>
      <c r="AE144" s="140"/>
      <c r="AF144" s="140"/>
      <c r="AG144" s="140"/>
      <c r="AU144" s="364"/>
      <c r="AV144" s="365"/>
      <c r="BA144" s="638"/>
      <c r="BB144" s="638"/>
      <c r="BC144" s="638"/>
      <c r="BD144" s="638"/>
      <c r="BE144" s="160"/>
      <c r="BF144" s="160"/>
      <c r="BG144" s="160"/>
      <c r="BH144" s="160"/>
      <c r="BY144" s="140"/>
      <c r="BZ144" s="140"/>
      <c r="CA144" s="140"/>
      <c r="CB144" s="140"/>
      <c r="CC144" s="364"/>
      <c r="CD144" s="365"/>
      <c r="CE144" s="140"/>
      <c r="CF144" s="140"/>
      <c r="CG144" s="140"/>
      <c r="CH144" s="140"/>
      <c r="CI144" s="140"/>
      <c r="CJ144" s="140"/>
      <c r="CK144" s="140"/>
      <c r="CL144" s="140"/>
      <c r="CM144" s="140"/>
      <c r="CN144" s="140"/>
      <c r="CO144" s="140"/>
      <c r="CP144" s="140"/>
      <c r="CQ144" s="140"/>
      <c r="CR144" s="140"/>
      <c r="CS144" s="140"/>
      <c r="CT144" s="140"/>
      <c r="CU144" s="140"/>
      <c r="CV144" s="140"/>
      <c r="DK144" s="631"/>
      <c r="DL144" s="632"/>
      <c r="DM144" s="625"/>
      <c r="DN144" s="632"/>
      <c r="DR144" s="3089"/>
      <c r="DS144" s="3089"/>
      <c r="DT144" s="3089"/>
      <c r="DV144" s="2531"/>
      <c r="DW144" s="2531"/>
      <c r="DX144" s="2531"/>
      <c r="EC144" s="625"/>
      <c r="EE144" s="157"/>
      <c r="FQ144" s="157"/>
      <c r="FZ144" s="3201"/>
      <c r="GA144" s="3089"/>
      <c r="GB144" s="3089"/>
      <c r="GC144" s="3202"/>
      <c r="GD144" s="3201"/>
      <c r="GE144" s="3089"/>
      <c r="GF144" s="3089"/>
      <c r="GG144" s="3089"/>
      <c r="GH144" s="3202"/>
      <c r="GI144" s="3201"/>
      <c r="GJ144" s="3089"/>
      <c r="GK144" s="3089"/>
      <c r="GL144" s="3202"/>
      <c r="GM144" s="2530"/>
      <c r="GN144" s="2532"/>
      <c r="GO144" s="2530"/>
      <c r="GP144" s="2532"/>
    </row>
    <row r="145" spans="3:203" ht="3.6" customHeight="1">
      <c r="K145" s="140"/>
      <c r="L145" s="140"/>
      <c r="M145" s="164"/>
      <c r="N145" s="167"/>
      <c r="O145" s="140"/>
      <c r="P145" s="140"/>
      <c r="Q145" s="140"/>
      <c r="R145" s="140"/>
      <c r="S145" s="140"/>
      <c r="T145" s="140"/>
      <c r="U145" s="140"/>
      <c r="V145" s="140"/>
      <c r="W145" s="140"/>
      <c r="X145" s="140"/>
      <c r="Y145" s="140"/>
      <c r="Z145" s="140"/>
      <c r="AA145" s="140"/>
      <c r="AB145" s="140"/>
      <c r="AC145" s="140"/>
      <c r="AD145" s="140"/>
      <c r="AE145" s="140"/>
      <c r="AF145" s="140"/>
      <c r="AG145" s="140"/>
      <c r="AU145" s="364"/>
      <c r="AV145" s="365"/>
      <c r="BA145" s="638"/>
      <c r="BB145" s="638"/>
      <c r="BC145" s="638"/>
      <c r="BD145" s="638"/>
      <c r="BE145" s="160"/>
      <c r="BF145" s="160"/>
      <c r="BG145" s="160"/>
      <c r="BH145" s="160"/>
      <c r="BY145" s="140"/>
      <c r="BZ145" s="140"/>
      <c r="CA145" s="140"/>
      <c r="CB145" s="140"/>
      <c r="CC145" s="364"/>
      <c r="CD145" s="365"/>
      <c r="CE145" s="140"/>
      <c r="CF145" s="140"/>
      <c r="CG145" s="140"/>
      <c r="CH145" s="140"/>
      <c r="CI145" s="140"/>
      <c r="CJ145" s="140"/>
      <c r="CK145" s="140"/>
      <c r="CL145" s="140"/>
      <c r="CM145" s="140"/>
      <c r="CN145" s="140"/>
      <c r="CO145" s="140"/>
      <c r="CP145" s="140"/>
      <c r="CQ145" s="140"/>
      <c r="CR145" s="140"/>
      <c r="CS145" s="140"/>
      <c r="CT145" s="140"/>
      <c r="CU145" s="140"/>
      <c r="CV145" s="140"/>
      <c r="DK145" s="631"/>
      <c r="DL145" s="632"/>
      <c r="DM145" s="625"/>
      <c r="DN145" s="632"/>
      <c r="DR145" s="3089"/>
      <c r="DS145" s="3089"/>
      <c r="DT145" s="3089"/>
      <c r="DV145" s="2531"/>
      <c r="DW145" s="2531"/>
      <c r="DX145" s="2531"/>
      <c r="EC145" s="625"/>
      <c r="EE145" s="157"/>
      <c r="FQ145" s="157"/>
      <c r="FZ145" s="3201"/>
      <c r="GA145" s="3089"/>
      <c r="GB145" s="3089"/>
      <c r="GC145" s="3202"/>
      <c r="GD145" s="3201"/>
      <c r="GE145" s="3089"/>
      <c r="GF145" s="3089"/>
      <c r="GG145" s="3089"/>
      <c r="GH145" s="3202"/>
      <c r="GI145" s="3201"/>
      <c r="GJ145" s="3089"/>
      <c r="GK145" s="3089"/>
      <c r="GL145" s="3202"/>
      <c r="GM145" s="2530"/>
      <c r="GN145" s="2532"/>
      <c r="GO145" s="2530"/>
      <c r="GP145" s="2532"/>
    </row>
    <row r="146" spans="3:203" ht="3.6" customHeight="1">
      <c r="K146" s="140"/>
      <c r="L146" s="140"/>
      <c r="M146" s="164"/>
      <c r="N146" s="167"/>
      <c r="O146" s="140"/>
      <c r="P146" s="140"/>
      <c r="Q146" s="140"/>
      <c r="R146" s="140"/>
      <c r="S146" s="140"/>
      <c r="T146" s="140"/>
      <c r="U146" s="140"/>
      <c r="V146" s="140"/>
      <c r="W146" s="140"/>
      <c r="X146" s="140"/>
      <c r="Y146" s="140"/>
      <c r="Z146" s="140"/>
      <c r="AA146" s="140"/>
      <c r="AB146" s="140"/>
      <c r="AC146" s="140"/>
      <c r="AD146" s="140"/>
      <c r="AE146" s="140"/>
      <c r="AF146" s="140"/>
      <c r="AG146" s="140"/>
      <c r="AU146" s="364"/>
      <c r="AV146" s="365"/>
      <c r="BA146" s="638"/>
      <c r="BB146" s="638"/>
      <c r="BC146" s="638"/>
      <c r="BD146" s="638"/>
      <c r="BE146" s="160"/>
      <c r="BF146" s="160"/>
      <c r="BG146" s="160"/>
      <c r="BH146" s="160"/>
      <c r="BY146" s="140"/>
      <c r="BZ146" s="140"/>
      <c r="CA146" s="140"/>
      <c r="CB146" s="140"/>
      <c r="CC146" s="364"/>
      <c r="CD146" s="365"/>
      <c r="CE146" s="140"/>
      <c r="CF146" s="140"/>
      <c r="CG146" s="140"/>
      <c r="CH146" s="140"/>
      <c r="CI146" s="140"/>
      <c r="CJ146" s="140"/>
      <c r="CK146" s="140"/>
      <c r="CL146" s="140"/>
      <c r="CM146" s="140"/>
      <c r="CN146" s="140"/>
      <c r="CO146" s="140"/>
      <c r="CP146" s="140"/>
      <c r="CQ146" s="140"/>
      <c r="CR146" s="140"/>
      <c r="CS146" s="140"/>
      <c r="CT146" s="140"/>
      <c r="CU146" s="140"/>
      <c r="CV146" s="140"/>
      <c r="DK146" s="631"/>
      <c r="DL146" s="632"/>
      <c r="DM146" s="625"/>
      <c r="DN146" s="632"/>
      <c r="DR146" s="3089" t="s">
        <v>3162</v>
      </c>
      <c r="DS146" s="3089"/>
      <c r="DT146" s="3089"/>
      <c r="DV146" s="3089" t="s">
        <v>3164</v>
      </c>
      <c r="DW146" s="2531"/>
      <c r="DX146" s="2531"/>
      <c r="DY146" s="625"/>
      <c r="EC146" s="625"/>
      <c r="EE146" s="157"/>
      <c r="FQ146" s="157"/>
      <c r="FZ146" s="3201"/>
      <c r="GA146" s="3089"/>
      <c r="GB146" s="3089"/>
      <c r="GC146" s="3202"/>
      <c r="GD146" s="3201"/>
      <c r="GE146" s="3089"/>
      <c r="GF146" s="3089"/>
      <c r="GG146" s="3089"/>
      <c r="GH146" s="3202"/>
      <c r="GI146" s="3201"/>
      <c r="GJ146" s="3089"/>
      <c r="GK146" s="3089"/>
      <c r="GL146" s="3202"/>
      <c r="GM146" s="2530"/>
      <c r="GN146" s="2532"/>
      <c r="GO146" s="2530"/>
      <c r="GP146" s="2532"/>
    </row>
    <row r="147" spans="3:203" ht="3.6" customHeight="1">
      <c r="K147" s="140"/>
      <c r="L147" s="140"/>
      <c r="M147" s="164"/>
      <c r="N147" s="167"/>
      <c r="O147" s="140"/>
      <c r="P147" s="140"/>
      <c r="Q147" s="140"/>
      <c r="R147" s="140"/>
      <c r="S147" s="140"/>
      <c r="T147" s="140"/>
      <c r="U147" s="140"/>
      <c r="V147" s="140"/>
      <c r="W147" s="140"/>
      <c r="X147" s="140"/>
      <c r="Y147" s="140"/>
      <c r="Z147" s="140"/>
      <c r="AA147" s="140"/>
      <c r="AB147" s="140"/>
      <c r="AC147" s="140"/>
      <c r="AD147" s="140"/>
      <c r="AE147" s="140"/>
      <c r="AF147" s="140"/>
      <c r="AG147" s="140"/>
      <c r="AU147" s="364"/>
      <c r="AV147" s="365"/>
      <c r="BA147" s="638"/>
      <c r="BB147" s="638"/>
      <c r="BC147" s="638"/>
      <c r="BD147" s="638"/>
      <c r="BE147" s="160"/>
      <c r="BF147" s="160"/>
      <c r="BG147" s="160"/>
      <c r="BH147" s="160"/>
      <c r="BY147" s="140"/>
      <c r="BZ147" s="140"/>
      <c r="CA147" s="140"/>
      <c r="CB147" s="140"/>
      <c r="CC147" s="364"/>
      <c r="CD147" s="365"/>
      <c r="CE147" s="140"/>
      <c r="CF147" s="140"/>
      <c r="CG147" s="140"/>
      <c r="CH147" s="140"/>
      <c r="CI147" s="140"/>
      <c r="CJ147" s="140"/>
      <c r="CK147" s="140"/>
      <c r="CL147" s="140"/>
      <c r="CM147" s="140"/>
      <c r="CN147" s="140"/>
      <c r="CO147" s="140"/>
      <c r="CP147" s="140"/>
      <c r="CQ147" s="140"/>
      <c r="CR147" s="140"/>
      <c r="CS147" s="140"/>
      <c r="CT147" s="140"/>
      <c r="CU147" s="140"/>
      <c r="CV147" s="140"/>
      <c r="DK147" s="631"/>
      <c r="DL147" s="632"/>
      <c r="DM147" s="625"/>
      <c r="DN147" s="632"/>
      <c r="DR147" s="3089"/>
      <c r="DS147" s="3089"/>
      <c r="DT147" s="3089"/>
      <c r="DV147" s="2531"/>
      <c r="DW147" s="2531"/>
      <c r="DX147" s="2531"/>
      <c r="DY147" s="625"/>
      <c r="EC147" s="625"/>
      <c r="EE147" s="157"/>
      <c r="FQ147" s="157"/>
      <c r="FZ147" s="3201"/>
      <c r="GA147" s="3089"/>
      <c r="GB147" s="3089"/>
      <c r="GC147" s="3202"/>
      <c r="GD147" s="3201"/>
      <c r="GE147" s="3089"/>
      <c r="GF147" s="3089"/>
      <c r="GG147" s="3089"/>
      <c r="GH147" s="3202"/>
      <c r="GI147" s="3201"/>
      <c r="GJ147" s="3089"/>
      <c r="GK147" s="3089"/>
      <c r="GL147" s="3202"/>
      <c r="GM147" s="2530"/>
      <c r="GN147" s="2532"/>
      <c r="GO147" s="2530"/>
      <c r="GP147" s="2532"/>
    </row>
    <row r="148" spans="3:203" ht="3.6" customHeight="1">
      <c r="M148" s="153"/>
      <c r="N148" s="154"/>
      <c r="AU148" s="364"/>
      <c r="AV148" s="365"/>
      <c r="BA148" s="638"/>
      <c r="BB148" s="638"/>
      <c r="BC148" s="638"/>
      <c r="BD148" s="638"/>
      <c r="BE148" s="160"/>
      <c r="BF148" s="160"/>
      <c r="BG148" s="160"/>
      <c r="BH148" s="160"/>
      <c r="CC148" s="364"/>
      <c r="CD148" s="365"/>
      <c r="DK148" s="631"/>
      <c r="DL148" s="632"/>
      <c r="DM148" s="625"/>
      <c r="DN148" s="632"/>
      <c r="DR148" s="3089"/>
      <c r="DS148" s="3089"/>
      <c r="DT148" s="3089"/>
      <c r="DV148" s="2531"/>
      <c r="DW148" s="2531"/>
      <c r="DX148" s="2531"/>
      <c r="DY148" s="625"/>
      <c r="EC148" s="625"/>
      <c r="EE148" s="157"/>
      <c r="FQ148" s="157"/>
      <c r="FZ148" s="3201"/>
      <c r="GA148" s="3089"/>
      <c r="GB148" s="3089"/>
      <c r="GC148" s="3202"/>
      <c r="GD148" s="3201"/>
      <c r="GE148" s="3089"/>
      <c r="GF148" s="3089"/>
      <c r="GG148" s="3089"/>
      <c r="GH148" s="3202"/>
      <c r="GI148" s="3201"/>
      <c r="GJ148" s="3089"/>
      <c r="GK148" s="3089"/>
      <c r="GL148" s="3202"/>
      <c r="GM148" s="2530"/>
      <c r="GN148" s="2532"/>
      <c r="GO148" s="2530"/>
      <c r="GP148" s="2532"/>
    </row>
    <row r="149" spans="3:203" ht="3.6" customHeight="1">
      <c r="M149" s="153"/>
      <c r="N149" s="154"/>
      <c r="AU149" s="364"/>
      <c r="AV149" s="365"/>
      <c r="BA149" s="638"/>
      <c r="BB149" s="638"/>
      <c r="BC149" s="638"/>
      <c r="BD149" s="638"/>
      <c r="BE149" s="160"/>
      <c r="BF149" s="160"/>
      <c r="BG149" s="160"/>
      <c r="BH149" s="160"/>
      <c r="CC149" s="364"/>
      <c r="CD149" s="365"/>
      <c r="DK149" s="164"/>
      <c r="DL149" s="167"/>
      <c r="DM149" s="625"/>
      <c r="DN149" s="632"/>
      <c r="DR149" s="3089"/>
      <c r="DS149" s="3089"/>
      <c r="DT149" s="3089"/>
      <c r="DV149" s="2531"/>
      <c r="DW149" s="2531"/>
      <c r="DX149" s="2531"/>
      <c r="DY149" s="625"/>
      <c r="EC149" s="625"/>
      <c r="EE149" s="157"/>
      <c r="FQ149" s="157"/>
      <c r="FZ149" s="3201"/>
      <c r="GA149" s="3089"/>
      <c r="GB149" s="3089"/>
      <c r="GC149" s="3202"/>
      <c r="GD149" s="3201"/>
      <c r="GE149" s="3089"/>
      <c r="GF149" s="3089"/>
      <c r="GG149" s="3089"/>
      <c r="GH149" s="3202"/>
      <c r="GI149" s="3201"/>
      <c r="GJ149" s="3089"/>
      <c r="GK149" s="3089"/>
      <c r="GL149" s="3202"/>
      <c r="GM149" s="2530"/>
      <c r="GN149" s="2532"/>
      <c r="GO149" s="2530"/>
      <c r="GP149" s="2532"/>
    </row>
    <row r="150" spans="3:203" ht="3.6" customHeight="1">
      <c r="C150" s="625"/>
      <c r="D150" s="625"/>
      <c r="E150" s="625"/>
      <c r="F150" s="625"/>
      <c r="H150" s="140"/>
      <c r="I150" s="140"/>
      <c r="J150" s="140"/>
      <c r="K150" s="140"/>
      <c r="M150" s="153"/>
      <c r="N150" s="154"/>
      <c r="AU150" s="364"/>
      <c r="AV150" s="365"/>
      <c r="BA150" s="638"/>
      <c r="BB150" s="638"/>
      <c r="BC150" s="638"/>
      <c r="BD150" s="638"/>
      <c r="BE150" s="160"/>
      <c r="BF150" s="160"/>
      <c r="BG150" s="160"/>
      <c r="BH150" s="160"/>
      <c r="CC150" s="364"/>
      <c r="CD150" s="365"/>
      <c r="DK150" s="164"/>
      <c r="DL150" s="167"/>
      <c r="DM150" s="625"/>
      <c r="DN150" s="632"/>
      <c r="DR150" s="3089"/>
      <c r="DS150" s="3089"/>
      <c r="DT150" s="3089"/>
      <c r="DV150" s="2531"/>
      <c r="DW150" s="2531"/>
      <c r="DX150" s="2531"/>
      <c r="DY150" s="625"/>
      <c r="EC150" s="625"/>
      <c r="EE150" s="157"/>
      <c r="FQ150" s="157"/>
      <c r="FZ150" s="3201"/>
      <c r="GA150" s="3089"/>
      <c r="GB150" s="3089"/>
      <c r="GC150" s="3202"/>
      <c r="GD150" s="3201"/>
      <c r="GE150" s="3089"/>
      <c r="GF150" s="3089"/>
      <c r="GG150" s="3089"/>
      <c r="GH150" s="3202"/>
      <c r="GI150" s="3201"/>
      <c r="GJ150" s="3089"/>
      <c r="GK150" s="3089"/>
      <c r="GL150" s="3202"/>
      <c r="GM150" s="2530"/>
      <c r="GN150" s="2532"/>
      <c r="GO150" s="2530"/>
      <c r="GP150" s="2532"/>
    </row>
    <row r="151" spans="3:203" ht="3.6" customHeight="1">
      <c r="C151" s="625"/>
      <c r="D151" s="625"/>
      <c r="E151" s="625"/>
      <c r="F151" s="625"/>
      <c r="H151" s="140"/>
      <c r="I151" s="140"/>
      <c r="J151" s="140"/>
      <c r="K151" s="140"/>
      <c r="M151" s="153"/>
      <c r="N151" s="154"/>
      <c r="AU151" s="364"/>
      <c r="AV151" s="365"/>
      <c r="BA151" s="638"/>
      <c r="BB151" s="638"/>
      <c r="BC151" s="638"/>
      <c r="BD151" s="638"/>
      <c r="BE151" s="160"/>
      <c r="BF151" s="160"/>
      <c r="BG151" s="160"/>
      <c r="BH151" s="160"/>
      <c r="CC151" s="364"/>
      <c r="CD151" s="365"/>
      <c r="DK151" s="164"/>
      <c r="DL151" s="167"/>
      <c r="DM151" s="625"/>
      <c r="DN151" s="632"/>
      <c r="DR151" s="3089"/>
      <c r="DS151" s="3089"/>
      <c r="DT151" s="3089"/>
      <c r="DV151" s="2531"/>
      <c r="DW151" s="2531"/>
      <c r="DX151" s="2531"/>
      <c r="DY151" s="625"/>
      <c r="EC151" s="625"/>
      <c r="EE151" s="157"/>
      <c r="FQ151" s="157"/>
      <c r="FZ151" s="3201"/>
      <c r="GA151" s="3089"/>
      <c r="GB151" s="3089"/>
      <c r="GC151" s="3202"/>
      <c r="GD151" s="3201"/>
      <c r="GE151" s="3089"/>
      <c r="GF151" s="3089"/>
      <c r="GG151" s="3089"/>
      <c r="GH151" s="3202"/>
      <c r="GI151" s="3201"/>
      <c r="GJ151" s="3089"/>
      <c r="GK151" s="3089"/>
      <c r="GL151" s="3202"/>
      <c r="GM151" s="2530"/>
      <c r="GN151" s="2532"/>
      <c r="GO151" s="2530"/>
      <c r="GP151" s="2532"/>
    </row>
    <row r="152" spans="3:203" ht="3.6" customHeight="1">
      <c r="C152" s="625"/>
      <c r="D152" s="625"/>
      <c r="E152" s="625"/>
      <c r="F152" s="625"/>
      <c r="H152" s="140"/>
      <c r="I152" s="140"/>
      <c r="J152" s="140"/>
      <c r="K152" s="140"/>
      <c r="M152" s="153"/>
      <c r="N152" s="154"/>
      <c r="AU152" s="364"/>
      <c r="AV152" s="365"/>
      <c r="BA152" s="638"/>
      <c r="BB152" s="638"/>
      <c r="BC152" s="638"/>
      <c r="BD152" s="638"/>
      <c r="BE152" s="160"/>
      <c r="BF152" s="160"/>
      <c r="BG152" s="160"/>
      <c r="BH152" s="160"/>
      <c r="CC152" s="364"/>
      <c r="CD152" s="365"/>
      <c r="DK152" s="153"/>
      <c r="DL152" s="154"/>
      <c r="DM152" s="625"/>
      <c r="DN152" s="154"/>
      <c r="DR152" s="3089"/>
      <c r="DS152" s="3089"/>
      <c r="DT152" s="3089"/>
      <c r="DV152" s="2531"/>
      <c r="DW152" s="2531"/>
      <c r="DX152" s="2531"/>
      <c r="DY152" s="625"/>
      <c r="EC152" s="625"/>
      <c r="EE152" s="157"/>
      <c r="FQ152" s="157"/>
      <c r="FZ152" s="3201"/>
      <c r="GA152" s="3089"/>
      <c r="GB152" s="3089"/>
      <c r="GC152" s="3202"/>
      <c r="GD152" s="3201"/>
      <c r="GE152" s="3089"/>
      <c r="GF152" s="3089"/>
      <c r="GG152" s="3089"/>
      <c r="GH152" s="3202"/>
      <c r="GI152" s="3201"/>
      <c r="GJ152" s="3089"/>
      <c r="GK152" s="3089"/>
      <c r="GL152" s="3202"/>
      <c r="GM152" s="2550"/>
      <c r="GN152" s="2552"/>
      <c r="GO152" s="2550"/>
      <c r="GP152" s="2552"/>
      <c r="GS152" s="142"/>
      <c r="GT152" s="609"/>
    </row>
    <row r="153" spans="3:203" ht="3.6" customHeight="1">
      <c r="C153" s="625"/>
      <c r="D153" s="625"/>
      <c r="E153" s="625"/>
      <c r="F153" s="625"/>
      <c r="H153" s="140"/>
      <c r="I153" s="140"/>
      <c r="J153" s="140"/>
      <c r="K153" s="140"/>
      <c r="M153" s="153"/>
      <c r="N153" s="154"/>
      <c r="AU153" s="364"/>
      <c r="AV153" s="365"/>
      <c r="BA153" s="638"/>
      <c r="BB153" s="638"/>
      <c r="BC153" s="638"/>
      <c r="BD153" s="638"/>
      <c r="BE153" s="160"/>
      <c r="BF153" s="160"/>
      <c r="BG153" s="160"/>
      <c r="BH153" s="160"/>
      <c r="CC153" s="364"/>
      <c r="CD153" s="365"/>
      <c r="DK153" s="153"/>
      <c r="DL153" s="154"/>
      <c r="DM153" s="625"/>
      <c r="DN153" s="154"/>
      <c r="DR153" s="3089"/>
      <c r="DS153" s="3089"/>
      <c r="DT153" s="3089"/>
      <c r="DV153" s="2531"/>
      <c r="DW153" s="2531"/>
      <c r="DX153" s="2531"/>
      <c r="DY153" s="625"/>
      <c r="EC153" s="625"/>
      <c r="EE153" s="157"/>
      <c r="FQ153" s="157"/>
      <c r="FZ153" s="3201"/>
      <c r="GA153" s="3089"/>
      <c r="GB153" s="3089"/>
      <c r="GC153" s="3202"/>
      <c r="GD153" s="3201"/>
      <c r="GE153" s="3089"/>
      <c r="GF153" s="3089"/>
      <c r="GG153" s="3089"/>
      <c r="GH153" s="3202"/>
      <c r="GI153" s="592"/>
      <c r="GJ153" s="592"/>
      <c r="GK153" s="592"/>
      <c r="GL153" s="593"/>
      <c r="GM153" s="587"/>
      <c r="GN153" s="642"/>
      <c r="GO153" s="587"/>
      <c r="GP153" s="642"/>
      <c r="GR153" s="588"/>
      <c r="GS153" s="610"/>
      <c r="GT153" s="611"/>
      <c r="GU153" s="588"/>
    </row>
    <row r="154" spans="3:203" ht="3.6" customHeight="1">
      <c r="C154" s="625"/>
      <c r="D154" s="625"/>
      <c r="E154" s="625"/>
      <c r="F154" s="625"/>
      <c r="H154" s="140"/>
      <c r="I154" s="140"/>
      <c r="J154" s="140"/>
      <c r="K154" s="140"/>
      <c r="M154" s="153"/>
      <c r="N154" s="154"/>
      <c r="AU154" s="364"/>
      <c r="AV154" s="365"/>
      <c r="BA154" s="638"/>
      <c r="BB154" s="638"/>
      <c r="BC154" s="638"/>
      <c r="BD154" s="638"/>
      <c r="BE154" s="160"/>
      <c r="BF154" s="160"/>
      <c r="BG154" s="160"/>
      <c r="BH154" s="160"/>
      <c r="CC154" s="364"/>
      <c r="CD154" s="365"/>
      <c r="DK154" s="153"/>
      <c r="DL154" s="154"/>
      <c r="DM154" s="625"/>
      <c r="DN154" s="643"/>
      <c r="DO154" s="141"/>
      <c r="DP154" s="141"/>
      <c r="DQ154" s="141"/>
      <c r="DR154" s="3089"/>
      <c r="DS154" s="3089"/>
      <c r="DT154" s="3089"/>
      <c r="DV154" s="2531"/>
      <c r="DW154" s="2531"/>
      <c r="DX154" s="2531"/>
      <c r="DY154" s="625"/>
      <c r="EC154" s="625"/>
      <c r="EE154" s="152"/>
      <c r="FQ154" s="157"/>
      <c r="FZ154" s="153"/>
      <c r="GF154" s="141"/>
      <c r="GG154" s="141"/>
      <c r="GI154" s="141"/>
      <c r="GJ154" s="141"/>
      <c r="GK154" s="141"/>
      <c r="GL154" s="141"/>
      <c r="GM154" s="153"/>
      <c r="GN154" s="644"/>
      <c r="GO154" s="153"/>
      <c r="GP154" s="644"/>
      <c r="GQ154" s="160"/>
      <c r="GR154" s="578"/>
      <c r="GS154" s="578"/>
      <c r="GT154" s="645"/>
      <c r="GU154" s="578"/>
    </row>
    <row r="155" spans="3:203" ht="3.6" customHeight="1">
      <c r="C155" s="625"/>
      <c r="D155" s="625"/>
      <c r="E155" s="625"/>
      <c r="F155" s="625"/>
      <c r="L155" s="154"/>
      <c r="M155" s="153"/>
      <c r="N155" s="154"/>
      <c r="AU155" s="364"/>
      <c r="AV155" s="365"/>
      <c r="BA155" s="638"/>
      <c r="BB155" s="638"/>
      <c r="BC155" s="638"/>
      <c r="BD155" s="638"/>
      <c r="BE155" s="160"/>
      <c r="BF155" s="160"/>
      <c r="BG155" s="160"/>
      <c r="BH155" s="160"/>
      <c r="CC155" s="364"/>
      <c r="CD155" s="365"/>
      <c r="DK155" s="153"/>
      <c r="DL155" s="154"/>
      <c r="DM155" s="625"/>
      <c r="DN155" s="643"/>
      <c r="DO155" s="141"/>
      <c r="DP155" s="141"/>
      <c r="DQ155" s="141"/>
      <c r="DR155" s="3089"/>
      <c r="DS155" s="3089"/>
      <c r="DT155" s="3089"/>
      <c r="DV155" s="2531"/>
      <c r="DW155" s="2531"/>
      <c r="DX155" s="2531"/>
      <c r="DY155" s="625"/>
      <c r="EC155" s="625"/>
      <c r="EE155" s="152"/>
      <c r="FQ155" s="157"/>
      <c r="FZ155" s="150"/>
      <c r="GA155" s="151"/>
      <c r="GB155" s="151"/>
      <c r="GC155" s="151"/>
      <c r="GD155" s="3226"/>
      <c r="GE155" s="3226"/>
      <c r="GF155" s="3226"/>
      <c r="GG155" s="3226"/>
      <c r="GH155" s="3226"/>
      <c r="GI155" s="3223">
        <v>1.05</v>
      </c>
      <c r="GJ155" s="3223"/>
      <c r="GK155" s="3223"/>
      <c r="GL155" s="3223"/>
      <c r="GM155" s="153"/>
      <c r="GN155" s="644"/>
      <c r="GO155" s="153"/>
      <c r="GP155" s="644"/>
      <c r="GQ155" s="160"/>
      <c r="GR155" s="578"/>
      <c r="GS155" s="578"/>
      <c r="GT155" s="645"/>
      <c r="GU155" s="578"/>
    </row>
    <row r="156" spans="3:203" ht="3.6" customHeight="1">
      <c r="C156" s="625"/>
      <c r="D156" s="625"/>
      <c r="E156" s="625"/>
      <c r="F156" s="625"/>
      <c r="H156" s="140"/>
      <c r="I156" s="140"/>
      <c r="J156" s="140"/>
      <c r="K156" s="140"/>
      <c r="L156" s="154"/>
      <c r="M156" s="153"/>
      <c r="N156" s="154"/>
      <c r="AU156" s="364"/>
      <c r="AV156" s="365"/>
      <c r="CC156" s="364"/>
      <c r="CD156" s="365"/>
      <c r="DK156" s="153"/>
      <c r="DL156" s="154"/>
      <c r="DM156" s="631"/>
      <c r="DN156" s="643"/>
      <c r="DO156" s="141"/>
      <c r="DP156" s="141"/>
      <c r="DQ156" s="141"/>
      <c r="DR156" s="3089"/>
      <c r="DS156" s="3089"/>
      <c r="DT156" s="3089"/>
      <c r="DV156" s="2531"/>
      <c r="DW156" s="2531"/>
      <c r="DX156" s="2531"/>
      <c r="DY156" s="625"/>
      <c r="EE156" s="152"/>
      <c r="FQ156" s="157"/>
      <c r="FZ156" s="153"/>
      <c r="GD156" s="3227"/>
      <c r="GE156" s="3227"/>
      <c r="GF156" s="3227"/>
      <c r="GG156" s="3227"/>
      <c r="GH156" s="3227"/>
      <c r="GI156" s="3223"/>
      <c r="GJ156" s="3223"/>
      <c r="GK156" s="3223"/>
      <c r="GL156" s="3223"/>
      <c r="GM156" s="153"/>
      <c r="GN156" s="644"/>
      <c r="GO156" s="153"/>
      <c r="GP156" s="644"/>
      <c r="GQ156" s="160"/>
      <c r="GR156" s="578"/>
      <c r="GS156" s="578"/>
      <c r="GT156" s="645"/>
      <c r="GU156" s="578"/>
    </row>
    <row r="157" spans="3:203" ht="3.6" customHeight="1">
      <c r="C157" s="625"/>
      <c r="D157" s="625"/>
      <c r="E157" s="625"/>
      <c r="F157" s="625"/>
      <c r="L157" s="154"/>
      <c r="M157" s="153"/>
      <c r="N157" s="154"/>
      <c r="AU157" s="364"/>
      <c r="AV157" s="365"/>
      <c r="CC157" s="364"/>
      <c r="CD157" s="365"/>
      <c r="DK157" s="153"/>
      <c r="DL157" s="154"/>
      <c r="DM157" s="631"/>
      <c r="DN157" s="643"/>
      <c r="DO157" s="141"/>
      <c r="DP157" s="141"/>
      <c r="DQ157" s="141"/>
      <c r="DR157" s="3089"/>
      <c r="DS157" s="3089"/>
      <c r="DT157" s="3089"/>
      <c r="DV157" s="2531"/>
      <c r="DW157" s="2531"/>
      <c r="DX157" s="2531"/>
      <c r="DY157" s="625"/>
      <c r="EE157" s="152"/>
      <c r="FQ157" s="157"/>
      <c r="FZ157" s="153"/>
      <c r="GC157" s="142"/>
      <c r="GD157" s="3227"/>
      <c r="GE157" s="3227"/>
      <c r="GF157" s="3227"/>
      <c r="GG157" s="3227"/>
      <c r="GH157" s="3227"/>
      <c r="GI157" s="3223"/>
      <c r="GJ157" s="3223"/>
      <c r="GK157" s="3223"/>
      <c r="GL157" s="3223"/>
      <c r="GM157" s="153"/>
      <c r="GN157" s="644"/>
      <c r="GO157" s="153"/>
      <c r="GP157" s="644"/>
      <c r="GQ157" s="160"/>
      <c r="GR157" s="578"/>
      <c r="GS157" s="578"/>
      <c r="GT157" s="645"/>
      <c r="GU157" s="578"/>
    </row>
    <row r="158" spans="3:203" ht="3.6" customHeight="1">
      <c r="C158" s="625"/>
      <c r="D158" s="625"/>
      <c r="E158" s="625"/>
      <c r="F158" s="625"/>
      <c r="L158" s="154"/>
      <c r="M158" s="153"/>
      <c r="N158" s="154"/>
      <c r="AU158" s="364"/>
      <c r="AV158" s="365"/>
      <c r="CC158" s="364"/>
      <c r="CD158" s="365"/>
      <c r="DK158" s="153"/>
      <c r="DL158" s="154"/>
      <c r="DM158" s="631"/>
      <c r="DN158" s="632"/>
      <c r="DR158" s="3089"/>
      <c r="DS158" s="3089"/>
      <c r="DT158" s="3089"/>
      <c r="DV158" s="2531"/>
      <c r="DW158" s="2531"/>
      <c r="DX158" s="2531"/>
      <c r="DY158" s="625"/>
      <c r="EE158" s="152"/>
      <c r="FQ158" s="157"/>
      <c r="FZ158" s="153"/>
      <c r="GC158" s="141"/>
      <c r="GD158" s="3227"/>
      <c r="GE158" s="3227"/>
      <c r="GF158" s="3227"/>
      <c r="GG158" s="3227"/>
      <c r="GH158" s="3227"/>
      <c r="GI158" s="3223"/>
      <c r="GJ158" s="3223"/>
      <c r="GK158" s="3223"/>
      <c r="GL158" s="3223"/>
      <c r="GM158" s="153"/>
      <c r="GN158" s="644"/>
      <c r="GO158" s="153"/>
      <c r="GP158" s="644"/>
      <c r="GQ158" s="160"/>
      <c r="GR158" s="3196">
        <v>1.2</v>
      </c>
      <c r="GS158" s="3196"/>
      <c r="GT158" s="3196"/>
      <c r="GU158" s="3196"/>
    </row>
    <row r="159" spans="3:203" ht="3.6" customHeight="1">
      <c r="C159" s="625"/>
      <c r="D159" s="625"/>
      <c r="E159" s="625"/>
      <c r="F159" s="625"/>
      <c r="L159" s="154"/>
      <c r="M159" s="153"/>
      <c r="N159" s="154"/>
      <c r="AU159" s="364"/>
      <c r="AV159" s="365"/>
      <c r="CC159" s="364"/>
      <c r="CD159" s="365"/>
      <c r="DK159" s="153"/>
      <c r="DL159" s="154"/>
      <c r="DM159" s="631"/>
      <c r="DN159" s="632"/>
      <c r="DS159" s="153"/>
      <c r="DW159" s="153"/>
      <c r="EE159" s="152"/>
      <c r="FQ159" s="157"/>
      <c r="FZ159" s="153"/>
      <c r="GC159" s="141"/>
      <c r="GD159" s="3227"/>
      <c r="GE159" s="3227"/>
      <c r="GF159" s="3227"/>
      <c r="GG159" s="3227"/>
      <c r="GH159" s="3227"/>
      <c r="GI159" s="3223"/>
      <c r="GJ159" s="3223"/>
      <c r="GK159" s="3223"/>
      <c r="GL159" s="3223"/>
      <c r="GM159" s="153"/>
      <c r="GN159" s="644"/>
      <c r="GO159" s="153"/>
      <c r="GP159" s="644"/>
      <c r="GQ159" s="160"/>
      <c r="GR159" s="3196"/>
      <c r="GS159" s="3196"/>
      <c r="GT159" s="3196"/>
      <c r="GU159" s="3196"/>
    </row>
    <row r="160" spans="3:203" ht="3.6" customHeight="1">
      <c r="C160" s="625"/>
      <c r="D160" s="625"/>
      <c r="E160" s="625"/>
      <c r="F160" s="625"/>
      <c r="L160" s="154"/>
      <c r="M160" s="153"/>
      <c r="N160" s="154"/>
      <c r="U160" s="3231" t="s">
        <v>291</v>
      </c>
      <c r="V160" s="3231"/>
      <c r="W160" s="3231"/>
      <c r="X160" s="3231"/>
      <c r="AU160" s="364"/>
      <c r="AV160" s="365"/>
      <c r="CC160" s="364"/>
      <c r="CD160" s="365"/>
      <c r="CZ160" s="3231" t="s">
        <v>291</v>
      </c>
      <c r="DA160" s="3231"/>
      <c r="DB160" s="3231"/>
      <c r="DC160" s="3231"/>
      <c r="DK160" s="153"/>
      <c r="DL160" s="154"/>
      <c r="DM160" s="631"/>
      <c r="DN160" s="632"/>
      <c r="DS160" s="153"/>
      <c r="DW160" s="153"/>
      <c r="EE160" s="152"/>
      <c r="FQ160" s="157"/>
      <c r="FZ160" s="612"/>
      <c r="GA160" s="141"/>
      <c r="GB160" s="141"/>
      <c r="GC160" s="141"/>
      <c r="GD160" s="3227"/>
      <c r="GE160" s="3227"/>
      <c r="GF160" s="3227"/>
      <c r="GG160" s="3227"/>
      <c r="GH160" s="3227"/>
      <c r="GI160" s="3223"/>
      <c r="GJ160" s="3223"/>
      <c r="GK160" s="3223"/>
      <c r="GL160" s="3223"/>
      <c r="GM160" s="153"/>
      <c r="GN160" s="644"/>
      <c r="GO160" s="153"/>
      <c r="GP160" s="644"/>
      <c r="GQ160" s="160"/>
      <c r="GR160" s="3196"/>
      <c r="GS160" s="3196"/>
      <c r="GT160" s="3196"/>
      <c r="GU160" s="3196"/>
    </row>
    <row r="161" spans="3:203" ht="3.6" customHeight="1">
      <c r="C161" s="625"/>
      <c r="D161" s="625"/>
      <c r="E161" s="625"/>
      <c r="F161" s="625"/>
      <c r="M161" s="153"/>
      <c r="N161" s="154"/>
      <c r="U161" s="3231"/>
      <c r="V161" s="3231"/>
      <c r="W161" s="3231"/>
      <c r="X161" s="3231"/>
      <c r="AU161" s="364"/>
      <c r="AV161" s="365"/>
      <c r="CC161" s="364"/>
      <c r="CD161" s="365"/>
      <c r="CZ161" s="3231"/>
      <c r="DA161" s="3231"/>
      <c r="DB161" s="3231"/>
      <c r="DC161" s="3231"/>
      <c r="DK161" s="153"/>
      <c r="DL161" s="154"/>
      <c r="DM161" s="631"/>
      <c r="DN161" s="632"/>
      <c r="DS161" s="153"/>
      <c r="DW161" s="153"/>
      <c r="EE161" s="152"/>
      <c r="FQ161" s="157"/>
      <c r="FZ161" s="612"/>
      <c r="GA161" s="141"/>
      <c r="GB161" s="141"/>
      <c r="GC161" s="141"/>
      <c r="GD161" s="3227"/>
      <c r="GE161" s="3227"/>
      <c r="GF161" s="3227"/>
      <c r="GG161" s="3227"/>
      <c r="GH161" s="3227"/>
      <c r="GI161" s="3223"/>
      <c r="GJ161" s="3223"/>
      <c r="GK161" s="3223"/>
      <c r="GL161" s="3223"/>
      <c r="GM161" s="153"/>
      <c r="GN161" s="644"/>
      <c r="GO161" s="153"/>
      <c r="GP161" s="644"/>
      <c r="GQ161" s="160"/>
      <c r="GR161" s="3196"/>
      <c r="GS161" s="3196"/>
      <c r="GT161" s="3196"/>
      <c r="GU161" s="3196"/>
    </row>
    <row r="162" spans="3:203" ht="3.6" customHeight="1">
      <c r="C162" s="625"/>
      <c r="D162" s="625"/>
      <c r="E162" s="646"/>
      <c r="F162" s="646"/>
      <c r="G162" s="177"/>
      <c r="H162" s="177"/>
      <c r="I162" s="177"/>
      <c r="J162" s="177"/>
      <c r="K162" s="177"/>
      <c r="L162" s="177"/>
      <c r="M162" s="153"/>
      <c r="N162" s="154"/>
      <c r="U162" s="3231"/>
      <c r="V162" s="3231"/>
      <c r="W162" s="3231"/>
      <c r="X162" s="3231"/>
      <c r="AU162" s="364"/>
      <c r="AV162" s="365"/>
      <c r="CC162" s="364"/>
      <c r="CD162" s="365"/>
      <c r="CZ162" s="3231"/>
      <c r="DA162" s="3231"/>
      <c r="DB162" s="3231"/>
      <c r="DC162" s="3231"/>
      <c r="DJ162" s="41"/>
      <c r="DK162" s="153"/>
      <c r="DL162" s="154"/>
      <c r="DM162" s="646"/>
      <c r="DN162" s="647"/>
      <c r="DO162" s="177"/>
      <c r="DP162" s="177"/>
      <c r="DQ162" s="177"/>
      <c r="DR162" s="177"/>
      <c r="DS162" s="380"/>
      <c r="DT162" s="177"/>
      <c r="DW162" s="153"/>
      <c r="EE162" s="152"/>
      <c r="FQ162" s="148"/>
      <c r="FR162" s="150"/>
      <c r="FS162" s="151"/>
      <c r="FT162" s="151"/>
      <c r="FU162" s="151"/>
      <c r="FV162" s="151"/>
      <c r="FW162" s="151"/>
      <c r="FX162" s="151"/>
      <c r="FY162" s="151"/>
      <c r="FZ162" s="612"/>
      <c r="GA162" s="141"/>
      <c r="GB162" s="141"/>
      <c r="GC162" s="141"/>
      <c r="GD162" s="3232">
        <v>0.3</v>
      </c>
      <c r="GE162" s="3233"/>
      <c r="GF162" s="3233"/>
      <c r="GG162" s="3233"/>
      <c r="GH162" s="3233"/>
      <c r="GI162" s="3223"/>
      <c r="GJ162" s="3223"/>
      <c r="GK162" s="3223"/>
      <c r="GL162" s="3223"/>
      <c r="GM162" s="153"/>
      <c r="GN162" s="644"/>
      <c r="GO162" s="153"/>
      <c r="GP162" s="644"/>
      <c r="GQ162" s="160"/>
      <c r="GR162" s="3196"/>
      <c r="GS162" s="3196"/>
      <c r="GT162" s="3196"/>
      <c r="GU162" s="3196"/>
    </row>
    <row r="163" spans="3:203" ht="3.6" customHeight="1" thickBot="1">
      <c r="E163" s="364"/>
      <c r="M163" s="145"/>
      <c r="N163" s="146"/>
      <c r="O163" s="150"/>
      <c r="P163" s="156"/>
      <c r="Q163" s="41"/>
      <c r="R163" s="41"/>
      <c r="S163" s="41"/>
      <c r="T163" s="41"/>
      <c r="U163" s="41"/>
      <c r="V163" s="41"/>
      <c r="W163" s="41"/>
      <c r="X163" s="41"/>
      <c r="Y163" s="41"/>
      <c r="Z163" s="41"/>
      <c r="AA163" s="41"/>
      <c r="AB163" s="41"/>
      <c r="AC163" s="41"/>
      <c r="AD163" s="150"/>
      <c r="AE163" s="151"/>
      <c r="AF163" s="151"/>
      <c r="AG163" s="151"/>
      <c r="AH163" s="151"/>
      <c r="AI163" s="151"/>
      <c r="AJ163" s="151"/>
      <c r="AK163" s="151"/>
      <c r="AL163" s="151"/>
      <c r="AM163" s="151"/>
      <c r="AN163" s="151"/>
      <c r="AO163" s="151"/>
      <c r="AP163" s="151"/>
      <c r="AQ163" s="151"/>
      <c r="AR163" s="151"/>
      <c r="AS163" s="151"/>
      <c r="AT163" s="151"/>
      <c r="AU163" s="144"/>
      <c r="AV163" s="144"/>
      <c r="AW163" s="151"/>
      <c r="AX163" s="151"/>
      <c r="AY163" s="151"/>
      <c r="AZ163" s="151"/>
      <c r="BA163" s="151"/>
      <c r="BB163" s="151"/>
      <c r="BC163" s="151"/>
      <c r="BD163" s="151"/>
      <c r="BE163" s="151"/>
      <c r="BF163" s="366"/>
      <c r="BG163" s="367"/>
      <c r="BH163" s="367"/>
      <c r="BI163" s="367"/>
      <c r="BJ163" s="367"/>
      <c r="BK163" s="367"/>
      <c r="BL163" s="367"/>
      <c r="BM163" s="367"/>
      <c r="BN163" s="367"/>
      <c r="BO163" s="367"/>
      <c r="BP163" s="367"/>
      <c r="BQ163" s="367"/>
      <c r="BR163" s="367"/>
      <c r="BS163" s="368"/>
      <c r="BT163" s="151"/>
      <c r="BU163" s="151"/>
      <c r="BV163" s="151"/>
      <c r="BW163" s="151"/>
      <c r="BX163" s="151"/>
      <c r="BY163" s="151"/>
      <c r="BZ163" s="151"/>
      <c r="CA163" s="151"/>
      <c r="CB163" s="151"/>
      <c r="CC163" s="618"/>
      <c r="CD163" s="619"/>
      <c r="CE163" s="151"/>
      <c r="CF163" s="151"/>
      <c r="CG163" s="151"/>
      <c r="CH163" s="151"/>
      <c r="CI163" s="151"/>
      <c r="CJ163" s="151"/>
      <c r="CK163" s="151"/>
      <c r="CL163" s="151"/>
      <c r="CM163" s="151"/>
      <c r="CN163" s="151"/>
      <c r="CO163" s="151"/>
      <c r="CP163" s="151"/>
      <c r="CQ163" s="151"/>
      <c r="CR163" s="151"/>
      <c r="CS163" s="151"/>
      <c r="CT163" s="151"/>
      <c r="CU163" s="162"/>
      <c r="CV163" s="41"/>
      <c r="CW163" s="41"/>
      <c r="CX163" s="41"/>
      <c r="CY163" s="41"/>
      <c r="CZ163" s="41"/>
      <c r="DA163" s="41"/>
      <c r="DB163" s="41"/>
      <c r="DC163" s="41"/>
      <c r="DD163" s="41"/>
      <c r="DE163" s="41"/>
      <c r="DF163" s="41"/>
      <c r="DG163" s="41"/>
      <c r="DH163" s="41"/>
      <c r="DI163" s="159"/>
      <c r="DK163" s="145"/>
      <c r="DL163" s="146"/>
      <c r="DM163" s="625"/>
      <c r="DN163" s="166"/>
      <c r="DO163" s="648"/>
      <c r="DP163" s="41"/>
      <c r="DS163" s="153"/>
      <c r="DT163" s="365"/>
      <c r="DW163" s="153"/>
      <c r="EE163" s="152"/>
      <c r="EF163" s="144"/>
      <c r="EG163" s="144"/>
      <c r="EH163" s="144"/>
      <c r="EI163" s="151"/>
      <c r="EJ163" s="151"/>
      <c r="EK163" s="151"/>
      <c r="EL163" s="151"/>
      <c r="EM163" s="151"/>
      <c r="EN163" s="151"/>
      <c r="EO163" s="148"/>
      <c r="EP163" s="149"/>
      <c r="EQ163" s="366"/>
      <c r="ER163" s="367"/>
      <c r="ES163" s="367"/>
      <c r="ET163" s="367"/>
      <c r="EU163" s="367"/>
      <c r="EV163" s="367"/>
      <c r="EW163" s="367"/>
      <c r="EX163" s="367"/>
      <c r="EY163" s="367"/>
      <c r="EZ163" s="367"/>
      <c r="FA163" s="367"/>
      <c r="FB163" s="367"/>
      <c r="FC163" s="367"/>
      <c r="FD163" s="367"/>
      <c r="FE163" s="367"/>
      <c r="FF163" s="367"/>
      <c r="FG163" s="367"/>
      <c r="FH163" s="367"/>
      <c r="FI163" s="367"/>
      <c r="FJ163" s="367"/>
      <c r="FK163" s="367"/>
      <c r="FL163" s="367"/>
      <c r="FM163" s="367"/>
      <c r="FN163" s="367"/>
      <c r="FO163" s="367"/>
      <c r="FP163" s="367"/>
      <c r="FQ163" s="145"/>
      <c r="FR163" s="148"/>
      <c r="FS163" s="144"/>
      <c r="FT163" s="144"/>
      <c r="FU163" s="169"/>
      <c r="FV163" s="169"/>
      <c r="FW163" s="169"/>
      <c r="FX163" s="169"/>
      <c r="FY163" s="169"/>
      <c r="FZ163" s="611"/>
      <c r="GA163" s="161"/>
      <c r="GB163" s="161"/>
      <c r="GC163" s="161"/>
      <c r="GD163" s="3232"/>
      <c r="GE163" s="3233"/>
      <c r="GF163" s="3233"/>
      <c r="GG163" s="3233"/>
      <c r="GH163" s="3233"/>
      <c r="GI163" s="3223"/>
      <c r="GJ163" s="3223"/>
      <c r="GK163" s="3223"/>
      <c r="GL163" s="3223"/>
      <c r="GM163" s="153"/>
      <c r="GN163" s="644"/>
      <c r="GO163" s="153"/>
      <c r="GP163" s="644"/>
      <c r="GQ163" s="160"/>
      <c r="GR163" s="3196"/>
      <c r="GS163" s="3196"/>
      <c r="GT163" s="3196"/>
      <c r="GU163" s="3196"/>
    </row>
    <row r="164" spans="3:203" ht="3.6" customHeight="1" thickTop="1">
      <c r="E164" s="364"/>
      <c r="M164" s="370"/>
      <c r="N164" s="371"/>
      <c r="O164" s="156"/>
      <c r="P164" s="153"/>
      <c r="AD164" s="156"/>
      <c r="AE164" s="41"/>
      <c r="AF164" s="41"/>
      <c r="AG164" s="41"/>
      <c r="AH164" s="41"/>
      <c r="AI164" s="41"/>
      <c r="AJ164" s="41"/>
      <c r="AK164" s="41"/>
      <c r="AL164" s="41"/>
      <c r="AM164" s="41"/>
      <c r="AN164" s="41"/>
      <c r="AO164" s="41"/>
      <c r="AP164" s="41"/>
      <c r="AQ164" s="41"/>
      <c r="AR164" s="41"/>
      <c r="AS164" s="41"/>
      <c r="AT164" s="41"/>
      <c r="AU164" s="626"/>
      <c r="AV164" s="626"/>
      <c r="AW164" s="41"/>
      <c r="AX164" s="41"/>
      <c r="AY164" s="41"/>
      <c r="AZ164" s="41"/>
      <c r="BA164" s="41"/>
      <c r="BB164" s="41"/>
      <c r="BC164" s="41"/>
      <c r="BD164" s="41"/>
      <c r="BE164" s="41"/>
      <c r="BF164" s="156"/>
      <c r="BG164" s="41"/>
      <c r="BH164" s="41"/>
      <c r="BI164" s="41"/>
      <c r="BJ164" s="41"/>
      <c r="BK164" s="41"/>
      <c r="BL164" s="41"/>
      <c r="BM164" s="41"/>
      <c r="BN164" s="41"/>
      <c r="BO164" s="41"/>
      <c r="BP164" s="41"/>
      <c r="BQ164" s="41"/>
      <c r="BR164" s="41"/>
      <c r="BS164" s="159"/>
      <c r="BT164" s="41"/>
      <c r="BU164" s="41"/>
      <c r="BV164" s="41"/>
      <c r="BW164" s="41"/>
      <c r="BX164" s="41"/>
      <c r="BY164" s="41"/>
      <c r="BZ164" s="41"/>
      <c r="CA164" s="41"/>
      <c r="CB164" s="41"/>
      <c r="CC164" s="370"/>
      <c r="CD164" s="626"/>
      <c r="CE164" s="41"/>
      <c r="CF164" s="41"/>
      <c r="CG164" s="41"/>
      <c r="CH164" s="41"/>
      <c r="CI164" s="41"/>
      <c r="CJ164" s="41"/>
      <c r="CK164" s="41"/>
      <c r="CL164" s="41"/>
      <c r="CM164" s="41"/>
      <c r="CN164" s="41"/>
      <c r="CO164" s="41"/>
      <c r="CP164" s="41"/>
      <c r="CQ164" s="41"/>
      <c r="CR164" s="41"/>
      <c r="CS164" s="41"/>
      <c r="CT164" s="41"/>
      <c r="CU164" s="159"/>
      <c r="DI164" s="154"/>
      <c r="DJ164" s="41"/>
      <c r="DK164" s="370"/>
      <c r="DL164" s="371"/>
      <c r="DM164" s="625"/>
      <c r="DN164" s="649"/>
      <c r="DO164" s="165"/>
      <c r="DP164" s="161"/>
      <c r="DS164" s="153"/>
      <c r="DT164" s="365"/>
      <c r="DW164" s="153"/>
      <c r="EE164" s="152"/>
      <c r="EF164" s="626"/>
      <c r="EG164" s="626"/>
      <c r="EH164" s="626"/>
      <c r="EI164" s="41"/>
      <c r="EJ164" s="41"/>
      <c r="EK164" s="41"/>
      <c r="EL164" s="41"/>
      <c r="EM164" s="41"/>
      <c r="EN164" s="41"/>
      <c r="EO164" s="370"/>
      <c r="EP164" s="371"/>
      <c r="EQ164" s="156"/>
      <c r="ER164" s="41"/>
      <c r="ES164" s="41"/>
      <c r="ET164" s="41"/>
      <c r="EU164" s="41"/>
      <c r="EV164" s="41"/>
      <c r="EW164" s="41"/>
      <c r="EX164" s="41"/>
      <c r="EY164" s="41"/>
      <c r="EZ164" s="41"/>
      <c r="FA164" s="41"/>
      <c r="FB164" s="41"/>
      <c r="FC164" s="41"/>
      <c r="FD164" s="41"/>
      <c r="FE164" s="41"/>
      <c r="FF164" s="41"/>
      <c r="FG164" s="41"/>
      <c r="FH164" s="41"/>
      <c r="FI164" s="41"/>
      <c r="FJ164" s="41"/>
      <c r="FK164" s="41"/>
      <c r="FL164" s="41"/>
      <c r="FM164" s="41"/>
      <c r="FN164" s="41"/>
      <c r="FO164" s="41"/>
      <c r="FP164" s="41"/>
      <c r="FQ164" s="145"/>
      <c r="FR164" s="370"/>
      <c r="FS164" s="626"/>
      <c r="FT164" s="626"/>
      <c r="FU164" s="171"/>
      <c r="FV164" s="171"/>
      <c r="FW164" s="171"/>
      <c r="FX164" s="171"/>
      <c r="FY164" s="171"/>
      <c r="FZ164" s="650"/>
      <c r="GA164" s="163"/>
      <c r="GB164" s="163"/>
      <c r="GC164" s="163"/>
      <c r="GD164" s="3232"/>
      <c r="GE164" s="3233"/>
      <c r="GF164" s="3233"/>
      <c r="GG164" s="3233"/>
      <c r="GH164" s="3233"/>
      <c r="GI164" s="3223"/>
      <c r="GJ164" s="3223"/>
      <c r="GK164" s="3223"/>
      <c r="GL164" s="3223"/>
      <c r="GM164" s="153"/>
      <c r="GN164" s="644"/>
      <c r="GO164" s="153"/>
      <c r="GP164" s="644"/>
      <c r="GQ164" s="160"/>
      <c r="GR164" s="3196"/>
      <c r="GS164" s="3196"/>
      <c r="GT164" s="3196"/>
      <c r="GU164" s="3196"/>
    </row>
    <row r="165" spans="3:203" ht="3.6" customHeight="1">
      <c r="E165" s="364"/>
      <c r="M165" s="372"/>
      <c r="N165" s="373"/>
      <c r="DK165" s="372"/>
      <c r="DL165" s="373"/>
      <c r="DN165" s="141"/>
      <c r="DO165" s="612"/>
      <c r="DP165" s="141"/>
      <c r="DS165" s="153"/>
      <c r="DT165" s="365"/>
      <c r="DW165" s="153"/>
      <c r="EE165" s="152"/>
      <c r="FQ165" s="370"/>
      <c r="FR165" s="156"/>
      <c r="FS165" s="41"/>
      <c r="FT165" s="41"/>
      <c r="FU165" s="41"/>
      <c r="FV165" s="41"/>
      <c r="FW165" s="41"/>
      <c r="FX165" s="41"/>
      <c r="FY165" s="41"/>
      <c r="FZ165" s="612"/>
      <c r="GA165" s="141"/>
      <c r="GB165" s="141"/>
      <c r="GC165" s="141"/>
      <c r="GD165" s="3232"/>
      <c r="GE165" s="3233"/>
      <c r="GF165" s="3233"/>
      <c r="GG165" s="3233"/>
      <c r="GH165" s="3233"/>
      <c r="GI165" s="3223"/>
      <c r="GJ165" s="3223"/>
      <c r="GK165" s="3223"/>
      <c r="GL165" s="3223"/>
      <c r="GM165" s="153"/>
      <c r="GN165" s="644"/>
      <c r="GO165" s="153"/>
      <c r="GP165" s="644"/>
      <c r="GQ165" s="160"/>
      <c r="GR165" s="3196"/>
      <c r="GS165" s="3196"/>
      <c r="GT165" s="3196"/>
      <c r="GU165" s="3196"/>
    </row>
    <row r="166" spans="3:203" ht="3.6" customHeight="1">
      <c r="E166" s="364"/>
      <c r="M166" s="364"/>
      <c r="N166" s="365"/>
      <c r="DK166" s="364"/>
      <c r="DL166" s="365"/>
      <c r="DN166" s="141"/>
      <c r="DO166" s="612"/>
      <c r="DP166" s="141"/>
      <c r="DS166" s="153"/>
      <c r="DT166" s="365"/>
      <c r="DW166" s="153"/>
      <c r="EE166" s="152"/>
      <c r="FQ166" s="157"/>
      <c r="FZ166" s="612"/>
      <c r="GA166" s="141"/>
      <c r="GB166" s="141"/>
      <c r="GC166" s="141"/>
      <c r="GD166" s="3234"/>
      <c r="GE166" s="3234"/>
      <c r="GF166" s="3234"/>
      <c r="GG166" s="3234"/>
      <c r="GH166" s="3234"/>
      <c r="GI166" s="3223"/>
      <c r="GJ166" s="3223"/>
      <c r="GK166" s="3223"/>
      <c r="GL166" s="3223"/>
      <c r="GM166" s="153"/>
      <c r="GN166" s="644"/>
      <c r="GO166" s="153"/>
      <c r="GP166" s="644"/>
      <c r="GQ166" s="160"/>
      <c r="GR166" s="3196"/>
      <c r="GS166" s="3196"/>
      <c r="GT166" s="3196"/>
      <c r="GU166" s="3196"/>
    </row>
    <row r="167" spans="3:203" ht="3.6" customHeight="1">
      <c r="E167" s="364"/>
      <c r="M167" s="364"/>
      <c r="N167" s="365"/>
      <c r="DK167" s="364"/>
      <c r="DL167" s="365"/>
      <c r="DN167" s="141"/>
      <c r="DO167" s="612"/>
      <c r="DP167" s="141"/>
      <c r="DS167" s="153"/>
      <c r="DT167" s="365"/>
      <c r="DW167" s="153"/>
      <c r="EE167" s="152"/>
      <c r="FQ167" s="157"/>
      <c r="FZ167" s="612"/>
      <c r="GA167" s="141"/>
      <c r="GB167" s="141"/>
      <c r="GC167" s="141"/>
      <c r="GD167" s="3234"/>
      <c r="GE167" s="3234"/>
      <c r="GF167" s="3234"/>
      <c r="GG167" s="3234"/>
      <c r="GH167" s="3234"/>
      <c r="GI167" s="3223"/>
      <c r="GJ167" s="3223"/>
      <c r="GK167" s="3223"/>
      <c r="GL167" s="3223"/>
      <c r="GM167" s="153"/>
      <c r="GN167" s="644"/>
      <c r="GO167" s="153"/>
      <c r="GP167" s="644"/>
      <c r="GQ167" s="160"/>
      <c r="GR167" s="3196"/>
      <c r="GS167" s="3196"/>
      <c r="GT167" s="3196"/>
      <c r="GU167" s="3196"/>
    </row>
    <row r="168" spans="3:203" ht="3.6" customHeight="1">
      <c r="E168" s="364"/>
      <c r="M168" s="364"/>
      <c r="N168" s="365"/>
      <c r="CN168" s="140"/>
      <c r="CO168" s="140"/>
      <c r="CP168" s="140"/>
      <c r="CQ168" s="140"/>
      <c r="CR168" s="140"/>
      <c r="CS168" s="140"/>
      <c r="CT168" s="140"/>
      <c r="CU168" s="140"/>
      <c r="CV168" s="140"/>
      <c r="CW168" s="140"/>
      <c r="CX168" s="140"/>
      <c r="DK168" s="364"/>
      <c r="DL168" s="365"/>
      <c r="DN168" s="141"/>
      <c r="DO168" s="612"/>
      <c r="DP168" s="141"/>
      <c r="DS168" s="153"/>
      <c r="DT168" s="365"/>
      <c r="DW168" s="153"/>
      <c r="EE168" s="152"/>
      <c r="FQ168" s="157"/>
      <c r="FZ168" s="153"/>
      <c r="GC168" s="141"/>
      <c r="GD168" s="3234"/>
      <c r="GE168" s="3234"/>
      <c r="GF168" s="3234"/>
      <c r="GG168" s="3234"/>
      <c r="GH168" s="3234"/>
      <c r="GI168" s="3223"/>
      <c r="GJ168" s="3223"/>
      <c r="GK168" s="3223"/>
      <c r="GL168" s="3223"/>
      <c r="GM168" s="153"/>
      <c r="GN168" s="644"/>
      <c r="GO168" s="153"/>
      <c r="GP168" s="644"/>
      <c r="GQ168" s="160"/>
      <c r="GR168" s="3196"/>
      <c r="GS168" s="3196"/>
      <c r="GT168" s="3196"/>
      <c r="GU168" s="3196"/>
    </row>
    <row r="169" spans="3:203" ht="3.6" customHeight="1">
      <c r="E169" s="364"/>
      <c r="M169" s="364"/>
      <c r="N169" s="365"/>
      <c r="CN169" s="140"/>
      <c r="CO169" s="140"/>
      <c r="CP169" s="140"/>
      <c r="CQ169" s="140"/>
      <c r="CR169" s="140"/>
      <c r="CS169" s="140"/>
      <c r="CT169" s="140"/>
      <c r="CU169" s="140"/>
      <c r="CV169" s="140"/>
      <c r="CW169" s="140"/>
      <c r="CX169" s="140"/>
      <c r="DK169" s="364"/>
      <c r="DL169" s="365"/>
      <c r="DN169" s="141"/>
      <c r="DO169" s="612"/>
      <c r="DP169" s="141"/>
      <c r="DS169" s="153"/>
      <c r="DT169" s="365"/>
      <c r="DW169" s="153"/>
      <c r="EE169" s="152"/>
      <c r="FQ169" s="157"/>
      <c r="FZ169" s="153"/>
      <c r="GC169" s="141"/>
      <c r="GD169" s="3234"/>
      <c r="GE169" s="3234"/>
      <c r="GF169" s="3234"/>
      <c r="GG169" s="3234"/>
      <c r="GH169" s="3234"/>
      <c r="GI169" s="3223"/>
      <c r="GJ169" s="3223"/>
      <c r="GK169" s="3223"/>
      <c r="GL169" s="3223"/>
      <c r="GM169" s="153"/>
      <c r="GN169" s="644"/>
      <c r="GO169" s="153"/>
      <c r="GP169" s="644"/>
      <c r="GQ169" s="160"/>
      <c r="GR169" s="3196"/>
      <c r="GS169" s="3196"/>
      <c r="GT169" s="3196"/>
      <c r="GU169" s="3196"/>
    </row>
    <row r="170" spans="3:203" ht="3.6" customHeight="1">
      <c r="E170" s="364"/>
      <c r="M170" s="364"/>
      <c r="N170" s="365"/>
      <c r="CN170" s="140"/>
      <c r="CO170" s="140"/>
      <c r="CP170" s="140"/>
      <c r="CQ170" s="140"/>
      <c r="CR170" s="140"/>
      <c r="CS170" s="140"/>
      <c r="CT170" s="140"/>
      <c r="CU170" s="140"/>
      <c r="CV170" s="140"/>
      <c r="CW170" s="140"/>
      <c r="CX170" s="140"/>
      <c r="DK170" s="364"/>
      <c r="DL170" s="365"/>
      <c r="DN170" s="141"/>
      <c r="DO170" s="612"/>
      <c r="DP170" s="141"/>
      <c r="DS170" s="153"/>
      <c r="DT170" s="365"/>
      <c r="DW170" s="153"/>
      <c r="EE170" s="152"/>
      <c r="FQ170" s="157"/>
      <c r="FZ170" s="153"/>
      <c r="GC170" s="142"/>
      <c r="GD170" s="3234"/>
      <c r="GE170" s="3234"/>
      <c r="GF170" s="3234"/>
      <c r="GG170" s="3234"/>
      <c r="GH170" s="3234"/>
      <c r="GI170" s="3223"/>
      <c r="GJ170" s="3223"/>
      <c r="GK170" s="3223"/>
      <c r="GL170" s="3223"/>
      <c r="GM170" s="153"/>
      <c r="GN170" s="644"/>
      <c r="GO170" s="153"/>
      <c r="GP170" s="644"/>
      <c r="GQ170" s="160"/>
      <c r="GR170" s="578"/>
      <c r="GS170" s="578"/>
      <c r="GT170" s="645"/>
      <c r="GU170" s="578"/>
    </row>
    <row r="171" spans="3:203" ht="3.6" customHeight="1">
      <c r="E171" s="364"/>
      <c r="M171" s="364"/>
      <c r="N171" s="365"/>
      <c r="CN171" s="140"/>
      <c r="CO171" s="140"/>
      <c r="CP171" s="140"/>
      <c r="CQ171" s="140"/>
      <c r="CR171" s="140"/>
      <c r="CS171" s="140"/>
      <c r="CT171" s="140"/>
      <c r="CU171" s="140"/>
      <c r="CV171" s="140"/>
      <c r="CW171" s="140"/>
      <c r="CX171" s="140"/>
      <c r="DK171" s="364"/>
      <c r="DL171" s="365"/>
      <c r="DN171" s="3089">
        <f>BP176+M126</f>
        <v>2.0499999999999998</v>
      </c>
      <c r="DO171" s="2531"/>
      <c r="DP171" s="2531"/>
      <c r="DS171" s="153"/>
      <c r="DT171" s="365"/>
      <c r="DW171" s="153"/>
      <c r="EE171" s="152"/>
      <c r="FQ171" s="157"/>
      <c r="FZ171" s="153"/>
      <c r="GC171" s="142"/>
      <c r="GD171" s="3234"/>
      <c r="GE171" s="3234"/>
      <c r="GF171" s="3234"/>
      <c r="GG171" s="3234"/>
      <c r="GH171" s="3234"/>
      <c r="GI171" s="3223"/>
      <c r="GJ171" s="3223"/>
      <c r="GK171" s="3223"/>
      <c r="GL171" s="3223"/>
      <c r="GM171" s="153"/>
      <c r="GN171" s="644"/>
      <c r="GO171" s="153"/>
      <c r="GP171" s="644"/>
      <c r="GQ171" s="160"/>
      <c r="GR171" s="578"/>
      <c r="GS171" s="578"/>
      <c r="GT171" s="645"/>
      <c r="GU171" s="578"/>
    </row>
    <row r="172" spans="3:203" ht="3.6" customHeight="1">
      <c r="E172" s="364"/>
      <c r="M172" s="364"/>
      <c r="N172" s="365"/>
      <c r="DK172" s="364"/>
      <c r="DL172" s="365"/>
      <c r="DN172" s="2531"/>
      <c r="DO172" s="2531"/>
      <c r="DP172" s="2531"/>
      <c r="DS172" s="153"/>
      <c r="DT172" s="365"/>
      <c r="DW172" s="153"/>
      <c r="EE172" s="152"/>
      <c r="FQ172" s="157"/>
      <c r="FZ172" s="156"/>
      <c r="GA172" s="41"/>
      <c r="GB172" s="41"/>
      <c r="GC172" s="41"/>
      <c r="GD172" s="3235"/>
      <c r="GE172" s="3235"/>
      <c r="GF172" s="3235"/>
      <c r="GG172" s="3235"/>
      <c r="GH172" s="3235"/>
      <c r="GI172" s="3223"/>
      <c r="GJ172" s="3223"/>
      <c r="GK172" s="3223"/>
      <c r="GL172" s="3223"/>
      <c r="GM172" s="153"/>
      <c r="GN172" s="644"/>
      <c r="GO172" s="153"/>
      <c r="GP172" s="644"/>
      <c r="GQ172" s="160"/>
      <c r="GR172" s="578"/>
      <c r="GS172" s="578"/>
      <c r="GT172" s="645"/>
      <c r="GU172" s="578"/>
    </row>
    <row r="173" spans="3:203" ht="3.6" customHeight="1">
      <c r="E173" s="364"/>
      <c r="M173" s="364"/>
      <c r="N173" s="365"/>
      <c r="AX173" s="2542" t="s">
        <v>1780</v>
      </c>
      <c r="AY173" s="2542"/>
      <c r="AZ173" s="2542"/>
      <c r="BA173" s="2542"/>
      <c r="BB173" s="2542"/>
      <c r="BC173" s="2542"/>
      <c r="BD173" s="2542"/>
      <c r="BE173" s="2542"/>
      <c r="BF173" s="2542"/>
      <c r="BG173" s="2542"/>
      <c r="BH173" s="2542"/>
      <c r="BI173" s="2542"/>
      <c r="BJ173" s="2542"/>
      <c r="BK173" s="2542"/>
      <c r="BL173" s="2542"/>
      <c r="BM173" s="2542"/>
      <c r="BN173" s="2542"/>
      <c r="BO173" s="2542"/>
      <c r="BP173" s="2542"/>
      <c r="BQ173" s="2542"/>
      <c r="BR173" s="2542"/>
      <c r="BS173" s="2542"/>
      <c r="BT173" s="2542"/>
      <c r="BU173" s="2542"/>
      <c r="BV173" s="2542"/>
      <c r="BW173" s="2542"/>
      <c r="DK173" s="364"/>
      <c r="DL173" s="365"/>
      <c r="DN173" s="2531"/>
      <c r="DO173" s="2531"/>
      <c r="DP173" s="2531"/>
      <c r="DS173" s="153"/>
      <c r="DT173" s="365"/>
      <c r="DW173" s="153"/>
      <c r="EE173" s="152"/>
      <c r="FQ173" s="157"/>
      <c r="FZ173" s="153"/>
      <c r="GF173" s="141"/>
      <c r="GG173" s="141"/>
      <c r="GI173" s="141"/>
      <c r="GJ173" s="141"/>
      <c r="GK173" s="141"/>
      <c r="GL173" s="141"/>
      <c r="GM173" s="153"/>
      <c r="GN173" s="644"/>
      <c r="GO173" s="153"/>
      <c r="GP173" s="644"/>
      <c r="GQ173" s="160"/>
      <c r="GR173" s="578"/>
      <c r="GS173" s="578"/>
      <c r="GT173" s="645"/>
      <c r="GU173" s="578"/>
    </row>
    <row r="174" spans="3:203" ht="3.6" customHeight="1">
      <c r="E174" s="364"/>
      <c r="M174" s="364"/>
      <c r="N174" s="365"/>
      <c r="AR174" s="575"/>
      <c r="AS174" s="575"/>
      <c r="AT174" s="575"/>
      <c r="AU174" s="575"/>
      <c r="AV174" s="575"/>
      <c r="AW174" s="575"/>
      <c r="AX174" s="2542"/>
      <c r="AY174" s="2542"/>
      <c r="AZ174" s="2542"/>
      <c r="BA174" s="2542"/>
      <c r="BB174" s="2542"/>
      <c r="BC174" s="2542"/>
      <c r="BD174" s="2542"/>
      <c r="BE174" s="2542"/>
      <c r="BF174" s="2542"/>
      <c r="BG174" s="2542"/>
      <c r="BH174" s="2542"/>
      <c r="BI174" s="2542"/>
      <c r="BJ174" s="2542"/>
      <c r="BK174" s="2542"/>
      <c r="BL174" s="2542"/>
      <c r="BM174" s="2542"/>
      <c r="BN174" s="2542"/>
      <c r="BO174" s="2542"/>
      <c r="BP174" s="2542"/>
      <c r="BQ174" s="2542"/>
      <c r="BR174" s="2542"/>
      <c r="BS174" s="2542"/>
      <c r="BT174" s="2542"/>
      <c r="BU174" s="2542"/>
      <c r="BV174" s="2542"/>
      <c r="BW174" s="2542"/>
      <c r="BX174" s="575"/>
      <c r="BY174" s="575"/>
      <c r="BZ174" s="575"/>
      <c r="CA174" s="575"/>
      <c r="CB174" s="575"/>
      <c r="CC174" s="575"/>
      <c r="CD174" s="575"/>
      <c r="DK174" s="364"/>
      <c r="DL174" s="365"/>
      <c r="DN174" s="2531"/>
      <c r="DO174" s="2531"/>
      <c r="DP174" s="2531"/>
      <c r="DS174" s="153"/>
      <c r="DT174" s="365"/>
      <c r="DW174" s="153"/>
      <c r="EE174" s="152"/>
      <c r="FQ174" s="157"/>
      <c r="FZ174" s="153"/>
      <c r="GM174" s="153"/>
      <c r="GN174" s="154"/>
      <c r="GO174" s="153"/>
      <c r="GP174" s="154"/>
      <c r="GR174" s="578"/>
      <c r="GS174" s="578"/>
      <c r="GT174" s="645"/>
      <c r="GU174" s="578"/>
    </row>
    <row r="175" spans="3:203" ht="3.6" customHeight="1">
      <c r="E175" s="364"/>
      <c r="M175" s="364"/>
      <c r="N175" s="365"/>
      <c r="AR175" s="575"/>
      <c r="AS175" s="575"/>
      <c r="AT175" s="575"/>
      <c r="AU175" s="575"/>
      <c r="AV175" s="575"/>
      <c r="AW175" s="575"/>
      <c r="AX175" s="2542"/>
      <c r="AY175" s="2542"/>
      <c r="AZ175" s="2542"/>
      <c r="BA175" s="2542"/>
      <c r="BB175" s="2542"/>
      <c r="BC175" s="2542"/>
      <c r="BD175" s="2542"/>
      <c r="BE175" s="2542"/>
      <c r="BF175" s="2542"/>
      <c r="BG175" s="2542"/>
      <c r="BH175" s="2542"/>
      <c r="BI175" s="2542"/>
      <c r="BJ175" s="2542"/>
      <c r="BK175" s="2542"/>
      <c r="BL175" s="2542"/>
      <c r="BM175" s="2542"/>
      <c r="BN175" s="2542"/>
      <c r="BO175" s="2542"/>
      <c r="BP175" s="2542"/>
      <c r="BQ175" s="2542"/>
      <c r="BR175" s="2542"/>
      <c r="BS175" s="2542"/>
      <c r="BT175" s="2542"/>
      <c r="BU175" s="2542"/>
      <c r="BV175" s="2542"/>
      <c r="BW175" s="2542"/>
      <c r="BX175" s="575"/>
      <c r="BY175" s="575"/>
      <c r="BZ175" s="575"/>
      <c r="CA175" s="575"/>
      <c r="CB175" s="575"/>
      <c r="CC175" s="575"/>
      <c r="CD175" s="575"/>
      <c r="DK175" s="364"/>
      <c r="DL175" s="365"/>
      <c r="DN175" s="2531"/>
      <c r="DO175" s="2531"/>
      <c r="DP175" s="2531"/>
      <c r="DS175" s="153"/>
      <c r="DT175" s="365"/>
      <c r="DW175" s="153"/>
      <c r="EE175" s="152"/>
      <c r="FQ175" s="157"/>
      <c r="FZ175" s="153"/>
      <c r="GM175" s="156"/>
      <c r="GN175" s="159"/>
      <c r="GO175" s="156"/>
      <c r="GP175" s="159"/>
      <c r="GR175" s="651"/>
      <c r="GS175" s="163"/>
      <c r="GT175" s="633"/>
      <c r="GU175" s="651"/>
    </row>
    <row r="176" spans="3:203" ht="3.6" customHeight="1">
      <c r="E176" s="364"/>
      <c r="M176" s="364"/>
      <c r="N176" s="365"/>
      <c r="AR176" s="575"/>
      <c r="AS176" s="575"/>
      <c r="AT176" s="575"/>
      <c r="AU176" s="575"/>
      <c r="AV176" s="575"/>
      <c r="AW176" s="575"/>
      <c r="AX176" s="575"/>
      <c r="AY176" s="3194">
        <f>AY129</f>
        <v>9.1999999999999993</v>
      </c>
      <c r="AZ176" s="3194"/>
      <c r="BA176" s="3194"/>
      <c r="BB176" s="3194"/>
      <c r="BC176" s="3194"/>
      <c r="BD176" s="3194"/>
      <c r="BE176" s="3194"/>
      <c r="BF176" s="3194"/>
      <c r="BG176" s="3194"/>
      <c r="BH176" s="3194" t="s">
        <v>901</v>
      </c>
      <c r="BI176" s="3194"/>
      <c r="BJ176" s="3194"/>
      <c r="BK176" s="3194"/>
      <c r="BL176" s="3194"/>
      <c r="BM176" s="3194"/>
      <c r="BN176" s="3194"/>
      <c r="BO176" s="3194"/>
      <c r="BP176" s="3217">
        <v>1.8</v>
      </c>
      <c r="BQ176" s="3217"/>
      <c r="BR176" s="3217"/>
      <c r="BS176" s="3217"/>
      <c r="BT176" s="3217"/>
      <c r="BU176" s="3217"/>
      <c r="BV176" s="3217"/>
      <c r="BW176" s="575"/>
      <c r="BX176" s="575"/>
      <c r="BY176" s="575"/>
      <c r="BZ176" s="575"/>
      <c r="CA176" s="575"/>
      <c r="CB176" s="575"/>
      <c r="CC176" s="575"/>
      <c r="CD176" s="575"/>
      <c r="DK176" s="364"/>
      <c r="DL176" s="365"/>
      <c r="DN176" s="2531"/>
      <c r="DO176" s="2531"/>
      <c r="DP176" s="2531"/>
      <c r="DS176" s="153"/>
      <c r="DT176" s="365"/>
      <c r="DW176" s="153"/>
      <c r="EE176" s="152"/>
      <c r="FQ176" s="157"/>
      <c r="FZ176" s="153"/>
      <c r="GS176" s="383"/>
    </row>
    <row r="177" spans="5:186" ht="3.6" customHeight="1">
      <c r="E177" s="364"/>
      <c r="M177" s="364"/>
      <c r="N177" s="365"/>
      <c r="O177" s="364"/>
      <c r="AY177" s="3194"/>
      <c r="AZ177" s="3194"/>
      <c r="BA177" s="3194"/>
      <c r="BB177" s="3194"/>
      <c r="BC177" s="3194"/>
      <c r="BD177" s="3194"/>
      <c r="BE177" s="3194"/>
      <c r="BF177" s="3194"/>
      <c r="BG177" s="3194"/>
      <c r="BH177" s="3194"/>
      <c r="BI177" s="3194"/>
      <c r="BJ177" s="3194"/>
      <c r="BK177" s="3194"/>
      <c r="BL177" s="3194"/>
      <c r="BM177" s="3194"/>
      <c r="BN177" s="3194"/>
      <c r="BO177" s="3194"/>
      <c r="BP177" s="3217"/>
      <c r="BQ177" s="3217"/>
      <c r="BR177" s="3217"/>
      <c r="BS177" s="3217"/>
      <c r="BT177" s="3217"/>
      <c r="BU177" s="3217"/>
      <c r="BV177" s="3217"/>
      <c r="DK177" s="364"/>
      <c r="DL177" s="365"/>
      <c r="DN177" s="2531"/>
      <c r="DO177" s="2531"/>
      <c r="DP177" s="2531"/>
      <c r="DS177" s="153"/>
      <c r="DT177" s="365"/>
      <c r="DW177" s="153"/>
      <c r="EE177" s="152"/>
      <c r="FQ177" s="157"/>
      <c r="FZ177" s="153"/>
    </row>
    <row r="178" spans="5:186" ht="3.6" customHeight="1">
      <c r="E178" s="364"/>
      <c r="M178" s="364"/>
      <c r="N178" s="365"/>
      <c r="O178" s="364"/>
      <c r="AY178" s="3194"/>
      <c r="AZ178" s="3194"/>
      <c r="BA178" s="3194"/>
      <c r="BB178" s="3194"/>
      <c r="BC178" s="3194"/>
      <c r="BD178" s="3194"/>
      <c r="BE178" s="3194"/>
      <c r="BF178" s="3194"/>
      <c r="BG178" s="3194"/>
      <c r="BH178" s="3194"/>
      <c r="BI178" s="3194"/>
      <c r="BJ178" s="3194"/>
      <c r="BK178" s="3194"/>
      <c r="BL178" s="3194"/>
      <c r="BM178" s="3194"/>
      <c r="BN178" s="3194"/>
      <c r="BO178" s="3194"/>
      <c r="BP178" s="3217"/>
      <c r="BQ178" s="3217"/>
      <c r="BR178" s="3217"/>
      <c r="BS178" s="3217"/>
      <c r="BT178" s="3217"/>
      <c r="BU178" s="3217"/>
      <c r="BV178" s="3217"/>
      <c r="DK178" s="364"/>
      <c r="DL178" s="365"/>
      <c r="DN178" s="2531"/>
      <c r="DO178" s="2531"/>
      <c r="DP178" s="2531"/>
      <c r="DS178" s="153"/>
      <c r="DT178" s="365"/>
      <c r="DW178" s="153"/>
      <c r="EE178" s="152"/>
      <c r="FQ178" s="157"/>
      <c r="FZ178" s="153"/>
    </row>
    <row r="179" spans="5:186" ht="3.6" customHeight="1">
      <c r="E179" s="364"/>
      <c r="M179" s="364"/>
      <c r="N179" s="365"/>
      <c r="O179" s="364"/>
      <c r="CF179" s="141"/>
      <c r="DK179" s="364"/>
      <c r="DL179" s="365"/>
      <c r="DN179" s="2531"/>
      <c r="DO179" s="2531"/>
      <c r="DP179" s="2531"/>
      <c r="DS179" s="153"/>
      <c r="DT179" s="365"/>
      <c r="DW179" s="153"/>
      <c r="EE179" s="152"/>
      <c r="FQ179" s="157"/>
      <c r="FZ179" s="153"/>
    </row>
    <row r="180" spans="5:186" ht="3.6" customHeight="1">
      <c r="E180" s="364"/>
      <c r="M180" s="364"/>
      <c r="N180" s="365"/>
      <c r="O180" s="364"/>
      <c r="DK180" s="364"/>
      <c r="DL180" s="365"/>
      <c r="DN180" s="2531"/>
      <c r="DO180" s="2531"/>
      <c r="DP180" s="2531"/>
      <c r="DS180" s="153"/>
      <c r="DT180" s="365"/>
      <c r="DW180" s="153"/>
      <c r="EE180" s="152"/>
      <c r="FQ180" s="157"/>
      <c r="FZ180" s="153"/>
    </row>
    <row r="181" spans="5:186" ht="3.6" customHeight="1">
      <c r="E181" s="364"/>
      <c r="M181" s="364"/>
      <c r="N181" s="365"/>
      <c r="O181" s="364"/>
      <c r="DK181" s="364"/>
      <c r="DL181" s="365"/>
      <c r="DN181" s="2531"/>
      <c r="DO181" s="2531"/>
      <c r="DP181" s="2531"/>
      <c r="DS181" s="153"/>
      <c r="DT181" s="365"/>
      <c r="DW181" s="153"/>
      <c r="EE181" s="152"/>
      <c r="FQ181" s="157"/>
      <c r="FZ181" s="153"/>
    </row>
    <row r="182" spans="5:186" ht="3.6" customHeight="1">
      <c r="E182" s="364"/>
      <c r="M182" s="364"/>
      <c r="N182" s="365"/>
      <c r="O182" s="364"/>
      <c r="DK182" s="364"/>
      <c r="DL182" s="365"/>
      <c r="DN182" s="141"/>
      <c r="DO182" s="612"/>
      <c r="DP182" s="141"/>
      <c r="DS182" s="153"/>
      <c r="DT182" s="365"/>
      <c r="DW182" s="153"/>
      <c r="EE182" s="152"/>
      <c r="FQ182" s="157"/>
      <c r="FZ182" s="153"/>
    </row>
    <row r="183" spans="5:186" ht="3.6" customHeight="1">
      <c r="E183" s="364"/>
      <c r="M183" s="364"/>
      <c r="N183" s="365"/>
      <c r="O183" s="364"/>
      <c r="DK183" s="364"/>
      <c r="DL183" s="365"/>
      <c r="DN183" s="141"/>
      <c r="DO183" s="612"/>
      <c r="DP183" s="141"/>
      <c r="DS183" s="153"/>
      <c r="DT183" s="365"/>
      <c r="DW183" s="153"/>
      <c r="EE183" s="152"/>
      <c r="FQ183" s="157"/>
      <c r="FZ183" s="153"/>
    </row>
    <row r="184" spans="5:186" ht="3.6" customHeight="1">
      <c r="E184" s="364"/>
      <c r="M184" s="364"/>
      <c r="N184" s="365"/>
      <c r="O184" s="364"/>
      <c r="DK184" s="364"/>
      <c r="DL184" s="365"/>
      <c r="DN184" s="141"/>
      <c r="DO184" s="612"/>
      <c r="DP184" s="141"/>
      <c r="DS184" s="153"/>
      <c r="DT184" s="365"/>
      <c r="DW184" s="153"/>
      <c r="EE184" s="152"/>
      <c r="FQ184" s="157"/>
      <c r="FZ184" s="153"/>
    </row>
    <row r="185" spans="5:186" ht="3.6" customHeight="1">
      <c r="E185" s="364"/>
      <c r="M185" s="364"/>
      <c r="N185" s="365"/>
      <c r="O185" s="581"/>
      <c r="P185" s="575"/>
      <c r="Q185" s="575"/>
      <c r="R185" s="575"/>
      <c r="S185" s="575"/>
      <c r="T185" s="575"/>
      <c r="U185" s="575"/>
      <c r="V185" s="575"/>
      <c r="W185" s="575"/>
      <c r="X185" s="575"/>
      <c r="Y185" s="575"/>
      <c r="Z185" s="3221">
        <f>W100-M126</f>
        <v>2.9</v>
      </c>
      <c r="AA185" s="3221"/>
      <c r="AB185" s="3221"/>
      <c r="AC185" s="3221"/>
      <c r="AD185" s="3221"/>
      <c r="AE185" s="3221"/>
      <c r="AF185" s="3221"/>
      <c r="AG185" s="3221"/>
      <c r="AH185" s="3221"/>
      <c r="AI185" s="3221"/>
      <c r="AJ185" s="3221"/>
      <c r="AK185" s="3221"/>
      <c r="AL185" s="3221"/>
      <c r="AM185" s="3221"/>
      <c r="AN185" s="575"/>
      <c r="AO185" s="575"/>
      <c r="AP185" s="575"/>
      <c r="AQ185" s="575"/>
      <c r="AR185" s="575"/>
      <c r="AS185" s="575"/>
      <c r="AT185" s="575"/>
      <c r="AW185" s="579"/>
      <c r="AX185" s="575"/>
      <c r="AY185" s="575"/>
      <c r="AZ185" s="575"/>
      <c r="BA185" s="575"/>
      <c r="BB185" s="575"/>
      <c r="BC185" s="575"/>
      <c r="BD185" s="575"/>
      <c r="BE185" s="575"/>
      <c r="BF185" s="3221">
        <f>Z185</f>
        <v>2.9</v>
      </c>
      <c r="BG185" s="3221"/>
      <c r="BH185" s="3221"/>
      <c r="BI185" s="3221"/>
      <c r="BJ185" s="3221"/>
      <c r="BK185" s="3221"/>
      <c r="BL185" s="3221"/>
      <c r="BM185" s="3221"/>
      <c r="BN185" s="3221"/>
      <c r="BO185" s="3221"/>
      <c r="BP185" s="3221"/>
      <c r="BQ185" s="3221"/>
      <c r="BR185" s="3221"/>
      <c r="BS185" s="3221"/>
      <c r="BT185" s="575"/>
      <c r="BU185" s="575"/>
      <c r="BV185" s="575"/>
      <c r="BW185" s="575"/>
      <c r="BX185" s="575"/>
      <c r="BY185" s="575"/>
      <c r="BZ185" s="575"/>
      <c r="CA185" s="575"/>
      <c r="CB185" s="575"/>
      <c r="CE185" s="579"/>
      <c r="CF185" s="575"/>
      <c r="CG185" s="575"/>
      <c r="CH185" s="575"/>
      <c r="CI185" s="575"/>
      <c r="CJ185" s="575"/>
      <c r="CK185" s="575"/>
      <c r="CL185" s="575"/>
      <c r="CM185" s="575"/>
      <c r="CN185" s="3221">
        <f>BF185</f>
        <v>2.9</v>
      </c>
      <c r="CO185" s="3221"/>
      <c r="CP185" s="3221"/>
      <c r="CQ185" s="3221"/>
      <c r="CR185" s="3221"/>
      <c r="CS185" s="3221"/>
      <c r="CT185" s="3221"/>
      <c r="CU185" s="3221"/>
      <c r="CV185" s="3221"/>
      <c r="CW185" s="3221"/>
      <c r="CX185" s="3221"/>
      <c r="CY185" s="3221"/>
      <c r="CZ185" s="3221"/>
      <c r="DA185" s="3221"/>
      <c r="DB185" s="575"/>
      <c r="DC185" s="575"/>
      <c r="DD185" s="575"/>
      <c r="DE185" s="575"/>
      <c r="DF185" s="575"/>
      <c r="DG185" s="575"/>
      <c r="DH185" s="575"/>
      <c r="DI185" s="575"/>
      <c r="DJ185" s="576"/>
      <c r="DK185" s="364"/>
      <c r="DL185" s="365"/>
      <c r="DN185" s="141"/>
      <c r="DO185" s="612"/>
      <c r="DP185" s="141"/>
      <c r="DS185" s="153"/>
      <c r="DT185" s="365"/>
      <c r="DW185" s="153"/>
      <c r="EE185" s="152"/>
      <c r="FQ185" s="157"/>
      <c r="FZ185" s="153"/>
    </row>
    <row r="186" spans="5:186" ht="3.6" customHeight="1">
      <c r="E186" s="364"/>
      <c r="M186" s="364"/>
      <c r="O186" s="361"/>
      <c r="P186" s="652"/>
      <c r="Q186" s="652"/>
      <c r="R186" s="652"/>
      <c r="S186" s="652"/>
      <c r="T186" s="652"/>
      <c r="U186" s="652"/>
      <c r="V186" s="652"/>
      <c r="W186" s="652"/>
      <c r="X186" s="652"/>
      <c r="Y186" s="652"/>
      <c r="Z186" s="3221"/>
      <c r="AA186" s="3221"/>
      <c r="AB186" s="3221"/>
      <c r="AC186" s="3221"/>
      <c r="AD186" s="3221"/>
      <c r="AE186" s="3221"/>
      <c r="AF186" s="3221"/>
      <c r="AG186" s="3221"/>
      <c r="AH186" s="3221"/>
      <c r="AI186" s="3221"/>
      <c r="AJ186" s="3221"/>
      <c r="AK186" s="3221"/>
      <c r="AL186" s="3221"/>
      <c r="AM186" s="3221"/>
      <c r="AN186" s="652"/>
      <c r="AO186" s="652"/>
      <c r="AP186" s="652"/>
      <c r="AQ186" s="652"/>
      <c r="AR186" s="652"/>
      <c r="AS186" s="652"/>
      <c r="AT186" s="159"/>
      <c r="AU186" s="603"/>
      <c r="AV186" s="154"/>
      <c r="AW186" s="361"/>
      <c r="AX186" s="652"/>
      <c r="AY186" s="652"/>
      <c r="AZ186" s="652"/>
      <c r="BA186" s="652"/>
      <c r="BB186" s="652"/>
      <c r="BC186" s="652"/>
      <c r="BD186" s="652"/>
      <c r="BE186" s="652"/>
      <c r="BF186" s="3221"/>
      <c r="BG186" s="3221"/>
      <c r="BH186" s="3221"/>
      <c r="BI186" s="3221"/>
      <c r="BJ186" s="3221"/>
      <c r="BK186" s="3221"/>
      <c r="BL186" s="3221"/>
      <c r="BM186" s="3221"/>
      <c r="BN186" s="3221"/>
      <c r="BO186" s="3221"/>
      <c r="BP186" s="3221"/>
      <c r="BQ186" s="3221"/>
      <c r="BR186" s="3221"/>
      <c r="BS186" s="3221"/>
      <c r="BT186" s="652"/>
      <c r="BU186" s="652"/>
      <c r="BV186" s="652"/>
      <c r="BW186" s="652"/>
      <c r="BX186" s="652"/>
      <c r="BY186" s="652"/>
      <c r="BZ186" s="652"/>
      <c r="CA186" s="652"/>
      <c r="CB186" s="159"/>
      <c r="CC186" s="603"/>
      <c r="CD186" s="154"/>
      <c r="CE186" s="361"/>
      <c r="CF186" s="652"/>
      <c r="CG186" s="652"/>
      <c r="CH186" s="652"/>
      <c r="CI186" s="652"/>
      <c r="CJ186" s="652"/>
      <c r="CK186" s="652"/>
      <c r="CL186" s="652"/>
      <c r="CM186" s="652"/>
      <c r="CN186" s="3221"/>
      <c r="CO186" s="3221"/>
      <c r="CP186" s="3221"/>
      <c r="CQ186" s="3221"/>
      <c r="CR186" s="3221"/>
      <c r="CS186" s="3221"/>
      <c r="CT186" s="3221"/>
      <c r="CU186" s="3221"/>
      <c r="CV186" s="3221"/>
      <c r="CW186" s="3221"/>
      <c r="CX186" s="3221"/>
      <c r="CY186" s="3221"/>
      <c r="CZ186" s="3221"/>
      <c r="DA186" s="3221"/>
      <c r="DB186" s="652"/>
      <c r="DC186" s="652"/>
      <c r="DD186" s="652"/>
      <c r="DE186" s="652"/>
      <c r="DF186" s="652"/>
      <c r="DG186" s="652"/>
      <c r="DH186" s="652"/>
      <c r="DI186" s="652"/>
      <c r="DJ186" s="653"/>
      <c r="DK186" s="603"/>
      <c r="DL186" s="365"/>
      <c r="DN186" s="141"/>
      <c r="DO186" s="612"/>
      <c r="DP186" s="141"/>
      <c r="DS186" s="153"/>
      <c r="DT186" s="365"/>
      <c r="DW186" s="153"/>
      <c r="EE186" s="152"/>
      <c r="FQ186" s="157"/>
      <c r="FZ186" s="153"/>
    </row>
    <row r="187" spans="5:186" ht="3.6" customHeight="1">
      <c r="E187" s="364"/>
      <c r="M187" s="364"/>
      <c r="N187" s="362"/>
      <c r="O187" s="153"/>
      <c r="P187" s="575"/>
      <c r="Q187" s="575"/>
      <c r="R187" s="575"/>
      <c r="S187" s="575"/>
      <c r="T187" s="575"/>
      <c r="U187" s="575"/>
      <c r="V187" s="575"/>
      <c r="W187" s="575"/>
      <c r="X187" s="575"/>
      <c r="Y187" s="575"/>
      <c r="Z187" s="3221"/>
      <c r="AA187" s="3221"/>
      <c r="AB187" s="3221"/>
      <c r="AC187" s="3221"/>
      <c r="AD187" s="3221"/>
      <c r="AE187" s="3221"/>
      <c r="AF187" s="3221"/>
      <c r="AG187" s="3221"/>
      <c r="AH187" s="3221"/>
      <c r="AI187" s="3221"/>
      <c r="AJ187" s="3221"/>
      <c r="AK187" s="3221"/>
      <c r="AL187" s="3221"/>
      <c r="AM187" s="3221"/>
      <c r="AN187" s="575"/>
      <c r="AO187" s="575"/>
      <c r="AP187" s="575"/>
      <c r="AQ187" s="575"/>
      <c r="AR187" s="575"/>
      <c r="AS187" s="575"/>
      <c r="AT187" s="362"/>
      <c r="AU187" s="153"/>
      <c r="AV187" s="362"/>
      <c r="AX187" s="575"/>
      <c r="AY187" s="575"/>
      <c r="AZ187" s="575"/>
      <c r="BA187" s="575"/>
      <c r="BB187" s="575"/>
      <c r="BC187" s="575"/>
      <c r="BD187" s="575"/>
      <c r="BE187" s="575"/>
      <c r="BF187" s="3221"/>
      <c r="BG187" s="3221"/>
      <c r="BH187" s="3221"/>
      <c r="BI187" s="3221"/>
      <c r="BJ187" s="3221"/>
      <c r="BK187" s="3221"/>
      <c r="BL187" s="3221"/>
      <c r="BM187" s="3221"/>
      <c r="BN187" s="3221"/>
      <c r="BO187" s="3221"/>
      <c r="BP187" s="3221"/>
      <c r="BQ187" s="3221"/>
      <c r="BR187" s="3221"/>
      <c r="BS187" s="3221"/>
      <c r="BT187" s="575"/>
      <c r="BU187" s="575"/>
      <c r="BV187" s="575"/>
      <c r="BW187" s="575"/>
      <c r="BX187" s="575"/>
      <c r="BY187" s="575"/>
      <c r="BZ187" s="575"/>
      <c r="CA187" s="575"/>
      <c r="CB187" s="362"/>
      <c r="CD187" s="362"/>
      <c r="CF187" s="575"/>
      <c r="CG187" s="575"/>
      <c r="CH187" s="575"/>
      <c r="CI187" s="575"/>
      <c r="CJ187" s="575"/>
      <c r="CK187" s="575"/>
      <c r="CL187" s="575"/>
      <c r="CM187" s="575"/>
      <c r="CN187" s="3221"/>
      <c r="CO187" s="3221"/>
      <c r="CP187" s="3221"/>
      <c r="CQ187" s="3221"/>
      <c r="CR187" s="3221"/>
      <c r="CS187" s="3221"/>
      <c r="CT187" s="3221"/>
      <c r="CU187" s="3221"/>
      <c r="CV187" s="3221"/>
      <c r="CW187" s="3221"/>
      <c r="CX187" s="3221"/>
      <c r="CY187" s="3221"/>
      <c r="CZ187" s="3221"/>
      <c r="DA187" s="3221"/>
      <c r="DB187" s="575"/>
      <c r="DC187" s="575"/>
      <c r="DD187" s="575"/>
      <c r="DE187" s="575"/>
      <c r="DF187" s="575"/>
      <c r="DG187" s="575"/>
      <c r="DH187" s="575"/>
      <c r="DI187" s="575"/>
      <c r="DJ187" s="654"/>
      <c r="DK187" s="364"/>
      <c r="DL187" s="365"/>
      <c r="DN187" s="141"/>
      <c r="DO187" s="612"/>
      <c r="DP187" s="141"/>
      <c r="DS187" s="153"/>
      <c r="DT187" s="365"/>
      <c r="DW187" s="153"/>
      <c r="EE187" s="152"/>
      <c r="FQ187" s="157"/>
      <c r="FZ187" s="153"/>
    </row>
    <row r="188" spans="5:186" ht="3.6" customHeight="1">
      <c r="E188" s="364"/>
      <c r="M188" s="655"/>
      <c r="N188" s="656"/>
      <c r="DK188" s="655"/>
      <c r="DL188" s="656"/>
      <c r="DN188" s="141"/>
      <c r="DO188" s="612"/>
      <c r="DP188" s="141"/>
      <c r="DS188" s="153"/>
      <c r="DT188" s="365"/>
      <c r="DW188" s="153"/>
      <c r="EE188" s="152"/>
      <c r="FQ188" s="157"/>
      <c r="FZ188" s="153"/>
    </row>
    <row r="189" spans="5:186" ht="3.6" customHeight="1" thickBot="1">
      <c r="E189" s="364"/>
      <c r="M189" s="148"/>
      <c r="N189" s="149"/>
      <c r="O189" s="657"/>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c r="AU189" s="144"/>
      <c r="AV189" s="144"/>
      <c r="AW189" s="180"/>
      <c r="AX189" s="180"/>
      <c r="AY189" s="180"/>
      <c r="AZ189" s="180"/>
      <c r="BA189" s="180"/>
      <c r="BB189" s="180"/>
      <c r="BC189" s="180"/>
      <c r="BD189" s="180"/>
      <c r="BE189" s="180"/>
      <c r="BF189" s="180"/>
      <c r="BG189" s="180"/>
      <c r="BH189" s="180"/>
      <c r="BI189" s="180"/>
      <c r="BJ189" s="180"/>
      <c r="BK189" s="180"/>
      <c r="BL189" s="180"/>
      <c r="BM189" s="180"/>
      <c r="BN189" s="180"/>
      <c r="BO189" s="180"/>
      <c r="BP189" s="180"/>
      <c r="BQ189" s="180"/>
      <c r="BR189" s="180"/>
      <c r="BS189" s="180"/>
      <c r="BT189" s="180"/>
      <c r="BU189" s="180"/>
      <c r="BV189" s="180"/>
      <c r="BW189" s="180"/>
      <c r="BX189" s="180"/>
      <c r="BY189" s="180"/>
      <c r="BZ189" s="180"/>
      <c r="CA189" s="180"/>
      <c r="CB189" s="180"/>
      <c r="CC189" s="144"/>
      <c r="CD189" s="144"/>
      <c r="CE189" s="180"/>
      <c r="CF189" s="180"/>
      <c r="CG189" s="180"/>
      <c r="CH189" s="180"/>
      <c r="CI189" s="180"/>
      <c r="CJ189" s="180"/>
      <c r="CK189" s="180"/>
      <c r="CL189" s="180"/>
      <c r="CM189" s="180"/>
      <c r="CN189" s="180"/>
      <c r="CO189" s="180"/>
      <c r="CP189" s="180"/>
      <c r="CQ189" s="180"/>
      <c r="CR189" s="180"/>
      <c r="CS189" s="180"/>
      <c r="CT189" s="180"/>
      <c r="CU189" s="180"/>
      <c r="CV189" s="180"/>
      <c r="CW189" s="180"/>
      <c r="CX189" s="180"/>
      <c r="CY189" s="180"/>
      <c r="CZ189" s="180"/>
      <c r="DA189" s="180"/>
      <c r="DB189" s="180"/>
      <c r="DC189" s="180"/>
      <c r="DD189" s="180"/>
      <c r="DE189" s="180"/>
      <c r="DF189" s="180"/>
      <c r="DG189" s="180"/>
      <c r="DH189" s="180"/>
      <c r="DI189" s="180"/>
      <c r="DJ189" s="181"/>
      <c r="DK189" s="148"/>
      <c r="DL189" s="149"/>
      <c r="DN189" s="41"/>
      <c r="DO189" s="361"/>
      <c r="DP189" s="163"/>
      <c r="DR189" s="41"/>
      <c r="DS189" s="361"/>
      <c r="DT189" s="656"/>
      <c r="DU189" s="41"/>
      <c r="DW189" s="153"/>
      <c r="EE189" s="152"/>
      <c r="EF189" s="144"/>
      <c r="EG189" s="144"/>
      <c r="EH189" s="144"/>
      <c r="EI189" s="151"/>
      <c r="EJ189" s="151"/>
      <c r="EK189" s="151"/>
      <c r="EL189" s="151"/>
      <c r="EM189" s="151"/>
      <c r="EN189" s="151"/>
      <c r="EO189" s="148"/>
      <c r="EP189" s="149"/>
      <c r="EQ189" s="366"/>
      <c r="ER189" s="367"/>
      <c r="ES189" s="367"/>
      <c r="ET189" s="367"/>
      <c r="EU189" s="367"/>
      <c r="EV189" s="367"/>
      <c r="EW189" s="367"/>
      <c r="EX189" s="367"/>
      <c r="EY189" s="367"/>
      <c r="EZ189" s="367"/>
      <c r="FA189" s="367"/>
      <c r="FB189" s="367"/>
      <c r="FC189" s="367"/>
      <c r="FD189" s="367"/>
      <c r="FE189" s="367"/>
      <c r="FF189" s="367"/>
      <c r="FG189" s="367"/>
      <c r="FH189" s="367"/>
      <c r="FI189" s="367"/>
      <c r="FJ189" s="367"/>
      <c r="FK189" s="367"/>
      <c r="FL189" s="367"/>
      <c r="FM189" s="367"/>
      <c r="FN189" s="367"/>
      <c r="FO189" s="367"/>
      <c r="FP189" s="367"/>
      <c r="FQ189" s="145"/>
      <c r="FR189" s="148"/>
      <c r="FS189" s="144"/>
      <c r="FT189" s="144"/>
      <c r="FU189" s="169"/>
      <c r="FV189" s="169"/>
      <c r="FW189" s="169"/>
      <c r="FX189" s="169"/>
      <c r="FY189" s="169"/>
      <c r="FZ189" s="153"/>
    </row>
    <row r="190" spans="5:186" ht="3.6" customHeight="1" thickTop="1">
      <c r="E190" s="364"/>
      <c r="M190" s="370"/>
      <c r="N190" s="371"/>
      <c r="O190" s="380"/>
      <c r="P190" s="177"/>
      <c r="Q190" s="177"/>
      <c r="R190" s="177"/>
      <c r="S190" s="177"/>
      <c r="T190" s="177"/>
      <c r="U190" s="177"/>
      <c r="V190" s="177"/>
      <c r="W190" s="177"/>
      <c r="X190" s="177"/>
      <c r="Y190" s="177"/>
      <c r="Z190" s="177"/>
      <c r="AA190" s="177"/>
      <c r="AB190" s="177"/>
      <c r="AC190" s="177"/>
      <c r="AD190" s="177"/>
      <c r="AE190" s="177"/>
      <c r="AF190" s="177"/>
      <c r="AG190" s="177"/>
      <c r="AH190" s="177"/>
      <c r="AI190" s="177"/>
      <c r="AJ190" s="177"/>
      <c r="AK190" s="177"/>
      <c r="AL190" s="177"/>
      <c r="AM190" s="177"/>
      <c r="AN190" s="177"/>
      <c r="AO190" s="177"/>
      <c r="AP190" s="177"/>
      <c r="AQ190" s="177"/>
      <c r="AR190" s="177"/>
      <c r="AS190" s="177"/>
      <c r="AT190" s="177"/>
      <c r="AU190" s="626"/>
      <c r="AV190" s="626"/>
      <c r="AW190" s="177"/>
      <c r="AX190" s="177"/>
      <c r="AY190" s="177"/>
      <c r="AZ190" s="177"/>
      <c r="BA190" s="177"/>
      <c r="BB190" s="177"/>
      <c r="BC190" s="177"/>
      <c r="BD190" s="177"/>
      <c r="BE190" s="177"/>
      <c r="BF190" s="177"/>
      <c r="BG190" s="177"/>
      <c r="BH190" s="177"/>
      <c r="BI190" s="177"/>
      <c r="BJ190" s="177"/>
      <c r="BK190" s="177"/>
      <c r="BL190" s="177"/>
      <c r="BM190" s="177"/>
      <c r="BN190" s="177"/>
      <c r="BO190" s="177"/>
      <c r="BP190" s="177"/>
      <c r="BQ190" s="177"/>
      <c r="BR190" s="177"/>
      <c r="BS190" s="177"/>
      <c r="BT190" s="177"/>
      <c r="BU190" s="177"/>
      <c r="BV190" s="177"/>
      <c r="BW190" s="177"/>
      <c r="BX190" s="177"/>
      <c r="BY190" s="177"/>
      <c r="BZ190" s="177"/>
      <c r="CA190" s="177"/>
      <c r="CB190" s="177"/>
      <c r="CC190" s="626"/>
      <c r="CD190" s="626"/>
      <c r="CE190" s="177"/>
      <c r="CF190" s="177"/>
      <c r="CG190" s="177"/>
      <c r="CH190" s="177"/>
      <c r="CI190" s="177"/>
      <c r="CJ190" s="177"/>
      <c r="CK190" s="177"/>
      <c r="CL190" s="177"/>
      <c r="CM190" s="177"/>
      <c r="CN190" s="177"/>
      <c r="CO190" s="177"/>
      <c r="CP190" s="177"/>
      <c r="CQ190" s="177"/>
      <c r="CR190" s="177"/>
      <c r="CS190" s="177"/>
      <c r="CT190" s="177"/>
      <c r="CU190" s="177"/>
      <c r="CV190" s="177"/>
      <c r="CW190" s="177"/>
      <c r="CX190" s="177"/>
      <c r="CY190" s="177"/>
      <c r="CZ190" s="177"/>
      <c r="DA190" s="177"/>
      <c r="DB190" s="177"/>
      <c r="DC190" s="177"/>
      <c r="DD190" s="177"/>
      <c r="DE190" s="177"/>
      <c r="DF190" s="177"/>
      <c r="DG190" s="177"/>
      <c r="DH190" s="177"/>
      <c r="DI190" s="177"/>
      <c r="DJ190" s="178"/>
      <c r="DK190" s="370"/>
      <c r="DL190" s="371"/>
      <c r="DN190" s="383"/>
      <c r="DR190" s="383"/>
      <c r="DT190" s="365"/>
      <c r="DV190" s="41"/>
      <c r="DW190" s="361"/>
      <c r="DX190" s="41"/>
      <c r="EE190" s="152"/>
      <c r="EF190" s="626"/>
      <c r="EG190" s="626"/>
      <c r="EH190" s="626"/>
      <c r="EI190" s="41"/>
      <c r="EJ190" s="41"/>
      <c r="EK190" s="41"/>
      <c r="EL190" s="41"/>
      <c r="EM190" s="41"/>
      <c r="EN190" s="41"/>
      <c r="EO190" s="370"/>
      <c r="EP190" s="371"/>
      <c r="EQ190" s="156"/>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145"/>
      <c r="FR190" s="370"/>
      <c r="FS190" s="626"/>
      <c r="FT190" s="626"/>
      <c r="FU190" s="171"/>
      <c r="FV190" s="171"/>
      <c r="FW190" s="171"/>
      <c r="FX190" s="171"/>
      <c r="FY190" s="172"/>
    </row>
    <row r="191" spans="5:186" ht="3.6" customHeight="1">
      <c r="E191" s="364"/>
      <c r="M191" s="150"/>
      <c r="N191" s="151"/>
      <c r="DK191" s="151"/>
      <c r="DL191" s="162"/>
      <c r="DT191" s="365"/>
      <c r="DV191" s="383"/>
      <c r="EE191" s="152"/>
      <c r="EP191" s="147"/>
      <c r="FQ191" s="370"/>
      <c r="FR191" s="156"/>
      <c r="FS191" s="41"/>
      <c r="FY191" s="154"/>
    </row>
    <row r="192" spans="5:186" ht="3.6" customHeight="1">
      <c r="E192" s="364"/>
      <c r="M192" s="153"/>
      <c r="DL192" s="154"/>
      <c r="DT192" s="365"/>
      <c r="EE192" s="151"/>
      <c r="EP192" s="152"/>
      <c r="FH192" s="3228">
        <v>0.25</v>
      </c>
      <c r="FI192" s="3228"/>
      <c r="FJ192" s="3228"/>
      <c r="FK192" s="3228"/>
      <c r="FL192" s="3228"/>
      <c r="FM192" s="3228"/>
      <c r="FN192" s="3228"/>
      <c r="FO192" s="3228"/>
      <c r="FP192" s="3228"/>
      <c r="FT192" s="148"/>
      <c r="FU192" s="149"/>
      <c r="FV192" s="148"/>
      <c r="FW192" s="149"/>
      <c r="FX192" s="148"/>
      <c r="FY192" s="149"/>
      <c r="FZ192" s="162"/>
      <c r="GA192" s="162"/>
      <c r="GB192" s="3229">
        <v>0.75</v>
      </c>
      <c r="GC192" s="3229"/>
      <c r="GD192" s="3229"/>
    </row>
    <row r="193" spans="5:186" ht="3.6" customHeight="1">
      <c r="E193" s="364"/>
      <c r="M193" s="156"/>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163"/>
      <c r="CE193" s="163"/>
      <c r="CF193" s="163"/>
      <c r="CG193" s="163"/>
      <c r="CH193" s="163"/>
      <c r="CI193" s="163"/>
      <c r="CJ193" s="41"/>
      <c r="CK193" s="658"/>
      <c r="CL193" s="658"/>
      <c r="CM193" s="658"/>
      <c r="CN193" s="658"/>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159"/>
      <c r="DT193" s="365"/>
      <c r="EP193" s="152"/>
      <c r="FH193" s="3228"/>
      <c r="FI193" s="3228"/>
      <c r="FJ193" s="3228"/>
      <c r="FK193" s="3228"/>
      <c r="FL193" s="3228"/>
      <c r="FM193" s="3228"/>
      <c r="FN193" s="3228"/>
      <c r="FO193" s="3228"/>
      <c r="FP193" s="3228"/>
      <c r="FT193" s="145"/>
      <c r="FU193" s="146"/>
      <c r="FV193" s="145"/>
      <c r="FW193" s="146"/>
      <c r="FX193" s="145"/>
      <c r="FY193" s="146"/>
      <c r="FZ193" s="154"/>
      <c r="GA193" s="154"/>
      <c r="GB193" s="3196"/>
      <c r="GC193" s="3196"/>
      <c r="GD193" s="3196"/>
    </row>
    <row r="194" spans="5:186" ht="3.6" customHeight="1">
      <c r="E194" s="364"/>
      <c r="M194" s="150"/>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62"/>
      <c r="DT194" s="365"/>
      <c r="EP194" s="152"/>
      <c r="FH194" s="3228"/>
      <c r="FI194" s="3228"/>
      <c r="FJ194" s="3228"/>
      <c r="FK194" s="3228"/>
      <c r="FL194" s="3228"/>
      <c r="FM194" s="3228"/>
      <c r="FN194" s="3228"/>
      <c r="FO194" s="3228"/>
      <c r="FP194" s="3228"/>
      <c r="FT194" s="370"/>
      <c r="FU194" s="371"/>
      <c r="FV194" s="145"/>
      <c r="FW194" s="146"/>
      <c r="FX194" s="145"/>
      <c r="FY194" s="146"/>
      <c r="FZ194" s="154"/>
      <c r="GA194" s="154"/>
      <c r="GB194" s="3196"/>
      <c r="GC194" s="3196"/>
      <c r="GD194" s="3196"/>
    </row>
    <row r="195" spans="5:186" ht="3.6" customHeight="1">
      <c r="E195" s="364"/>
      <c r="M195" s="153"/>
      <c r="DL195" s="154"/>
      <c r="DT195" s="365"/>
      <c r="EP195" s="152"/>
      <c r="FH195" s="3228">
        <f>FH192</f>
        <v>0.25</v>
      </c>
      <c r="FI195" s="3228"/>
      <c r="FJ195" s="3228"/>
      <c r="FK195" s="3228"/>
      <c r="FL195" s="3228"/>
      <c r="FM195" s="3228"/>
      <c r="FN195" s="3228"/>
      <c r="FO195" s="3228"/>
      <c r="FP195" s="3228"/>
      <c r="FV195" s="145"/>
      <c r="FW195" s="146"/>
      <c r="FX195" s="145"/>
      <c r="FY195" s="146"/>
      <c r="FZ195" s="154"/>
      <c r="GA195" s="154"/>
      <c r="GB195" s="3196"/>
      <c r="GC195" s="3196"/>
      <c r="GD195" s="3196"/>
    </row>
    <row r="196" spans="5:186" ht="3.6" customHeight="1">
      <c r="E196" s="364"/>
      <c r="M196" s="156"/>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163"/>
      <c r="CE196" s="163"/>
      <c r="CF196" s="163"/>
      <c r="CG196" s="163"/>
      <c r="CH196" s="163"/>
      <c r="CI196" s="163"/>
      <c r="CJ196" s="41"/>
      <c r="CK196" s="658"/>
      <c r="CL196" s="658"/>
      <c r="CM196" s="658"/>
      <c r="CN196" s="658"/>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159"/>
      <c r="DT196" s="365"/>
      <c r="EP196" s="152"/>
      <c r="FH196" s="3228"/>
      <c r="FI196" s="3228"/>
      <c r="FJ196" s="3228"/>
      <c r="FK196" s="3228"/>
      <c r="FL196" s="3228"/>
      <c r="FM196" s="3228"/>
      <c r="FN196" s="3228"/>
      <c r="FO196" s="3228"/>
      <c r="FP196" s="3228"/>
      <c r="FV196" s="145"/>
      <c r="FW196" s="146"/>
      <c r="FX196" s="145"/>
      <c r="FY196" s="157"/>
      <c r="FZ196" s="155"/>
      <c r="GA196" s="154"/>
      <c r="GB196" s="3196"/>
      <c r="GC196" s="3196"/>
      <c r="GD196" s="3196"/>
    </row>
    <row r="197" spans="5:186" ht="3.6" customHeight="1">
      <c r="E197" s="364"/>
      <c r="M197" s="150"/>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c r="BR197" s="151"/>
      <c r="BS197" s="151"/>
      <c r="BT197" s="151"/>
      <c r="BU197" s="151"/>
      <c r="BV197" s="151"/>
      <c r="BW197" s="151"/>
      <c r="BX197" s="151"/>
      <c r="BY197" s="151"/>
      <c r="BZ197" s="151"/>
      <c r="CA197" s="151"/>
      <c r="CB197" s="151"/>
      <c r="CC197" s="151"/>
      <c r="CD197" s="151"/>
      <c r="CE197" s="151"/>
      <c r="CF197" s="151"/>
      <c r="CG197" s="151"/>
      <c r="CH197" s="151"/>
      <c r="CI197" s="151"/>
      <c r="CJ197" s="151"/>
      <c r="CK197" s="151"/>
      <c r="CL197" s="151"/>
      <c r="CM197" s="151"/>
      <c r="CN197" s="151"/>
      <c r="CO197" s="151"/>
      <c r="CP197" s="151"/>
      <c r="CQ197" s="151"/>
      <c r="CR197" s="151"/>
      <c r="CS197" s="151"/>
      <c r="CT197" s="151"/>
      <c r="CU197" s="151"/>
      <c r="CV197" s="151"/>
      <c r="CW197" s="151"/>
      <c r="CX197" s="151"/>
      <c r="CY197" s="151"/>
      <c r="CZ197" s="151"/>
      <c r="DA197" s="151"/>
      <c r="DB197" s="151"/>
      <c r="DC197" s="151"/>
      <c r="DD197" s="151"/>
      <c r="DE197" s="151"/>
      <c r="DF197" s="151"/>
      <c r="DG197" s="151"/>
      <c r="DH197" s="151"/>
      <c r="DI197" s="151"/>
      <c r="DJ197" s="151"/>
      <c r="DK197" s="151"/>
      <c r="DL197" s="162"/>
      <c r="DT197" s="365"/>
      <c r="FH197" s="3228"/>
      <c r="FI197" s="3228"/>
      <c r="FJ197" s="3228"/>
      <c r="FK197" s="3228"/>
      <c r="FL197" s="3228"/>
      <c r="FM197" s="3228"/>
      <c r="FN197" s="3228"/>
      <c r="FO197" s="3228"/>
      <c r="FP197" s="3228"/>
      <c r="FV197" s="370"/>
      <c r="FW197" s="371"/>
      <c r="FX197" s="145"/>
      <c r="FY197" s="157"/>
      <c r="FZ197" s="155"/>
      <c r="GA197" s="154"/>
      <c r="GB197" s="3196"/>
      <c r="GC197" s="3196"/>
      <c r="GD197" s="3196"/>
    </row>
    <row r="198" spans="5:186" ht="3.6" customHeight="1">
      <c r="E198" s="377"/>
      <c r="F198" s="177"/>
      <c r="G198" s="177"/>
      <c r="H198" s="177"/>
      <c r="I198" s="177"/>
      <c r="J198" s="177"/>
      <c r="K198" s="177"/>
      <c r="L198" s="177"/>
      <c r="M198" s="380"/>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177"/>
      <c r="AQ198" s="177"/>
      <c r="AR198" s="177"/>
      <c r="AS198" s="177"/>
      <c r="AT198" s="177"/>
      <c r="AU198" s="177"/>
      <c r="AV198" s="177"/>
      <c r="AW198" s="177"/>
      <c r="AX198" s="177"/>
      <c r="AY198" s="177"/>
      <c r="AZ198" s="177"/>
      <c r="BA198" s="177"/>
      <c r="BB198" s="177"/>
      <c r="BC198" s="177"/>
      <c r="BD198" s="177"/>
      <c r="BE198" s="177"/>
      <c r="BF198" s="177"/>
      <c r="BG198" s="177"/>
      <c r="BH198" s="177"/>
      <c r="BI198" s="177"/>
      <c r="BJ198" s="177"/>
      <c r="BK198" s="177"/>
      <c r="BL198" s="177"/>
      <c r="BM198" s="177"/>
      <c r="BN198" s="177"/>
      <c r="BO198" s="177"/>
      <c r="BP198" s="177"/>
      <c r="BQ198" s="177"/>
      <c r="BR198" s="177"/>
      <c r="BS198" s="177"/>
      <c r="BT198" s="177"/>
      <c r="BU198" s="177"/>
      <c r="BV198" s="177"/>
      <c r="BW198" s="177"/>
      <c r="BX198" s="177"/>
      <c r="BY198" s="177"/>
      <c r="BZ198" s="177"/>
      <c r="CA198" s="177"/>
      <c r="CB198" s="177"/>
      <c r="CC198" s="177"/>
      <c r="CD198" s="177"/>
      <c r="CE198" s="177"/>
      <c r="CF198" s="177"/>
      <c r="CG198" s="177"/>
      <c r="CH198" s="177"/>
      <c r="CI198" s="177"/>
      <c r="CJ198" s="177"/>
      <c r="CK198" s="177"/>
      <c r="CL198" s="177"/>
      <c r="CM198" s="177"/>
      <c r="CN198" s="177"/>
      <c r="CO198" s="177"/>
      <c r="CP198" s="177"/>
      <c r="CQ198" s="177"/>
      <c r="CR198" s="177"/>
      <c r="CS198" s="177"/>
      <c r="CT198" s="177"/>
      <c r="CU198" s="177"/>
      <c r="CV198" s="177"/>
      <c r="CW198" s="177"/>
      <c r="CX198" s="177"/>
      <c r="CY198" s="177"/>
      <c r="CZ198" s="177"/>
      <c r="DA198" s="177"/>
      <c r="DB198" s="177"/>
      <c r="DC198" s="177"/>
      <c r="DD198" s="177"/>
      <c r="DE198" s="177"/>
      <c r="DF198" s="177"/>
      <c r="DG198" s="177"/>
      <c r="DH198" s="177"/>
      <c r="DI198" s="177"/>
      <c r="DJ198" s="177"/>
      <c r="DK198" s="177"/>
      <c r="DL198" s="178"/>
      <c r="DM198" s="177"/>
      <c r="DN198" s="177"/>
      <c r="DO198" s="177"/>
      <c r="DP198" s="177"/>
      <c r="DQ198" s="177"/>
      <c r="DR198" s="177"/>
      <c r="DS198" s="177"/>
      <c r="DT198" s="379"/>
      <c r="FH198" s="3228">
        <f>FH195</f>
        <v>0.25</v>
      </c>
      <c r="FI198" s="3228"/>
      <c r="FJ198" s="3228"/>
      <c r="FK198" s="3228"/>
      <c r="FL198" s="3228"/>
      <c r="FM198" s="3228"/>
      <c r="FN198" s="3228"/>
      <c r="FO198" s="3228"/>
      <c r="FP198" s="3228"/>
      <c r="FX198" s="145"/>
      <c r="FY198" s="157"/>
      <c r="FZ198" s="155"/>
      <c r="GA198" s="154"/>
      <c r="GB198" s="3196"/>
      <c r="GC198" s="3196"/>
      <c r="GD198" s="3196"/>
    </row>
    <row r="199" spans="5:186" ht="3.6" customHeight="1">
      <c r="M199" s="156"/>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163"/>
      <c r="CE199" s="163"/>
      <c r="CF199" s="163"/>
      <c r="CG199" s="163"/>
      <c r="CH199" s="163"/>
      <c r="CI199" s="163"/>
      <c r="CJ199" s="41"/>
      <c r="CK199" s="658"/>
      <c r="CL199" s="658"/>
      <c r="CM199" s="658"/>
      <c r="CN199" s="658"/>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159"/>
      <c r="FH199" s="3228"/>
      <c r="FI199" s="3228"/>
      <c r="FJ199" s="3228"/>
      <c r="FK199" s="3228"/>
      <c r="FL199" s="3228"/>
      <c r="FM199" s="3228"/>
      <c r="FN199" s="3228"/>
      <c r="FO199" s="3228"/>
      <c r="FP199" s="3228"/>
      <c r="FX199" s="145"/>
      <c r="FY199" s="157"/>
      <c r="FZ199" s="155"/>
      <c r="GA199" s="154"/>
      <c r="GB199" s="3196"/>
      <c r="GC199" s="3196"/>
      <c r="GD199" s="3196"/>
    </row>
    <row r="200" spans="5:186" ht="3.6" customHeight="1">
      <c r="BP200" s="141"/>
      <c r="BQ200" s="141"/>
      <c r="BR200" s="141"/>
      <c r="BS200" s="141"/>
      <c r="BT200" s="141"/>
      <c r="BU200" s="141"/>
      <c r="BV200" s="141"/>
      <c r="BW200" s="141"/>
      <c r="BX200" s="141"/>
      <c r="BY200" s="141"/>
      <c r="BZ200" s="141"/>
      <c r="CA200" s="141"/>
      <c r="CB200" s="141"/>
      <c r="CC200" s="141"/>
      <c r="CD200" s="141"/>
      <c r="CE200" s="141"/>
      <c r="CF200" s="141"/>
      <c r="CG200" s="141"/>
      <c r="CH200" s="141"/>
      <c r="CI200" s="141"/>
      <c r="CK200" s="160"/>
      <c r="CL200" s="160"/>
      <c r="CM200" s="160"/>
      <c r="CN200" s="160"/>
      <c r="FH200" s="3228"/>
      <c r="FI200" s="3228"/>
      <c r="FJ200" s="3228"/>
      <c r="FK200" s="3228"/>
      <c r="FL200" s="3228"/>
      <c r="FM200" s="3228"/>
      <c r="FN200" s="3228"/>
      <c r="FO200" s="3228"/>
      <c r="FP200" s="3228"/>
      <c r="FX200" s="370"/>
      <c r="FY200" s="626"/>
      <c r="FZ200" s="155"/>
      <c r="GA200" s="154"/>
      <c r="GB200" s="3196"/>
      <c r="GC200" s="3196"/>
      <c r="GD200" s="3196"/>
    </row>
    <row r="201" spans="5:186" ht="3.6" customHeight="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K201" s="160"/>
      <c r="CL201" s="160"/>
      <c r="CM201" s="160"/>
      <c r="CN201" s="160"/>
      <c r="FZ201" s="155"/>
      <c r="GA201" s="154"/>
      <c r="GB201" s="3196"/>
      <c r="GC201" s="3196"/>
      <c r="GD201" s="3196"/>
    </row>
    <row r="202" spans="5:186" ht="3.6" customHeight="1">
      <c r="BP202" s="141"/>
      <c r="BQ202" s="141"/>
      <c r="BR202" s="141"/>
      <c r="BS202" s="141"/>
      <c r="BT202" s="141"/>
      <c r="BU202" s="141"/>
      <c r="BV202" s="141"/>
      <c r="BW202" s="141"/>
      <c r="BX202" s="141"/>
      <c r="BY202" s="141"/>
      <c r="BZ202" s="141"/>
      <c r="CA202" s="141"/>
      <c r="CB202" s="141"/>
      <c r="CC202" s="141"/>
      <c r="CD202" s="141"/>
      <c r="CE202" s="141"/>
      <c r="CF202" s="141"/>
      <c r="CG202" s="141"/>
      <c r="CH202" s="141"/>
      <c r="CI202" s="141"/>
      <c r="CK202" s="160"/>
      <c r="CL202" s="160"/>
      <c r="CM202" s="160"/>
      <c r="CN202" s="160"/>
      <c r="FZ202" s="198"/>
      <c r="GA202" s="159"/>
      <c r="GB202" s="3230"/>
      <c r="GC202" s="3230"/>
      <c r="GD202" s="3230"/>
    </row>
    <row r="203" spans="5:186" ht="3.6" customHeight="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K203" s="160"/>
      <c r="CL203" s="160"/>
      <c r="CM203" s="160"/>
      <c r="CN203" s="160"/>
    </row>
    <row r="204" spans="5:186" ht="3.6" customHeight="1">
      <c r="BP204" s="141"/>
      <c r="BQ204" s="141"/>
      <c r="BR204" s="141"/>
      <c r="BS204" s="141"/>
      <c r="BT204" s="141"/>
      <c r="BU204" s="141"/>
      <c r="BV204" s="141"/>
      <c r="BW204" s="141"/>
      <c r="BX204" s="141"/>
      <c r="BY204" s="141"/>
      <c r="BZ204" s="141"/>
      <c r="CA204" s="141"/>
      <c r="CB204" s="141"/>
      <c r="CC204" s="141"/>
      <c r="CD204" s="141"/>
      <c r="CE204" s="141"/>
      <c r="CF204" s="141"/>
      <c r="CG204" s="141"/>
      <c r="CH204" s="141"/>
      <c r="CI204" s="141"/>
      <c r="CK204" s="160"/>
      <c r="CL204" s="160"/>
      <c r="CM204" s="160"/>
      <c r="CN204" s="160"/>
      <c r="FT204" s="3236">
        <v>0.15</v>
      </c>
      <c r="FU204" s="3237"/>
      <c r="FV204" s="3236">
        <v>0.15</v>
      </c>
      <c r="FW204" s="3237"/>
      <c r="FX204" s="3236">
        <v>0.15</v>
      </c>
      <c r="FY204" s="3237"/>
      <c r="FZ204" s="3236">
        <v>0.3</v>
      </c>
      <c r="GA204" s="3237"/>
    </row>
    <row r="205" spans="5:186" ht="3.6" customHeight="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K205" s="160"/>
      <c r="CL205" s="160"/>
      <c r="CM205" s="160"/>
      <c r="CN205" s="160"/>
      <c r="FT205" s="3236"/>
      <c r="FU205" s="3237"/>
      <c r="FV205" s="3236"/>
      <c r="FW205" s="3237"/>
      <c r="FX205" s="3236"/>
      <c r="FY205" s="3237"/>
      <c r="FZ205" s="3236"/>
      <c r="GA205" s="3237"/>
    </row>
    <row r="206" spans="5:186" ht="3.6" customHeight="1">
      <c r="BP206" s="141"/>
      <c r="BQ206" s="141"/>
      <c r="BR206" s="141"/>
      <c r="BS206" s="141"/>
      <c r="BT206" s="141"/>
      <c r="BU206" s="141"/>
      <c r="BV206" s="141"/>
      <c r="BW206" s="141"/>
      <c r="BX206" s="141"/>
      <c r="BY206" s="141"/>
      <c r="BZ206" s="141"/>
      <c r="CA206" s="141"/>
      <c r="CB206" s="141"/>
      <c r="CC206" s="141"/>
      <c r="CD206" s="141"/>
      <c r="CE206" s="141"/>
      <c r="CF206" s="141"/>
      <c r="CG206" s="141"/>
      <c r="CH206" s="141"/>
      <c r="CI206" s="141"/>
      <c r="CK206" s="160"/>
      <c r="CL206" s="160"/>
      <c r="CM206" s="160"/>
      <c r="CN206" s="160"/>
      <c r="FT206" s="3236"/>
      <c r="FU206" s="3237"/>
      <c r="FV206" s="3236"/>
      <c r="FW206" s="3237"/>
      <c r="FX206" s="3236"/>
      <c r="FY206" s="3237"/>
      <c r="FZ206" s="3236"/>
      <c r="GA206" s="3237"/>
    </row>
    <row r="207" spans="5:186" ht="3.6" customHeight="1">
      <c r="BU207" s="141"/>
      <c r="BV207" s="141"/>
      <c r="BW207" s="141"/>
      <c r="BX207" s="141"/>
      <c r="BY207" s="141"/>
      <c r="BZ207" s="141"/>
      <c r="CA207" s="141"/>
      <c r="CB207" s="141"/>
      <c r="CC207" s="141"/>
      <c r="CD207" s="141"/>
      <c r="CE207" s="141"/>
      <c r="CF207" s="141"/>
      <c r="CG207" s="141"/>
      <c r="CH207" s="141"/>
      <c r="CI207" s="141"/>
      <c r="CK207" s="160"/>
      <c r="CL207" s="160"/>
      <c r="CM207" s="160"/>
      <c r="CN207" s="160"/>
      <c r="FT207" s="3236"/>
      <c r="FU207" s="3237"/>
      <c r="FV207" s="3236"/>
      <c r="FW207" s="3237"/>
      <c r="FX207" s="3236"/>
      <c r="FY207" s="3237"/>
      <c r="FZ207" s="3236"/>
      <c r="GA207" s="3237"/>
    </row>
    <row r="208" spans="5:186" ht="3.6" customHeight="1">
      <c r="BU208" s="141"/>
      <c r="BV208" s="141"/>
      <c r="BW208" s="141"/>
      <c r="BX208" s="141"/>
      <c r="BY208" s="141"/>
      <c r="BZ208" s="141"/>
      <c r="CA208" s="141"/>
      <c r="CB208" s="141"/>
      <c r="CC208" s="141"/>
      <c r="CD208" s="141"/>
      <c r="CE208" s="141"/>
      <c r="CF208" s="141"/>
      <c r="CG208" s="141"/>
      <c r="CH208" s="141"/>
      <c r="CI208" s="141"/>
      <c r="CK208" s="160"/>
      <c r="CL208" s="160"/>
      <c r="CM208" s="160"/>
      <c r="CN208" s="160"/>
      <c r="FT208" s="3236"/>
      <c r="FU208" s="3237"/>
      <c r="FV208" s="3236"/>
      <c r="FW208" s="3237"/>
      <c r="FX208" s="3236"/>
      <c r="FY208" s="3237"/>
      <c r="FZ208" s="3236"/>
      <c r="GA208" s="3237"/>
    </row>
    <row r="209" spans="73:183" ht="3.6" customHeight="1">
      <c r="BU209" s="142"/>
      <c r="BV209" s="142"/>
      <c r="BW209" s="142"/>
      <c r="BX209" s="142"/>
      <c r="BY209" s="141"/>
      <c r="BZ209" s="141"/>
      <c r="CA209" s="141"/>
      <c r="CB209" s="141"/>
      <c r="CC209" s="141"/>
      <c r="CD209" s="141"/>
      <c r="CE209" s="141"/>
      <c r="CF209" s="141"/>
      <c r="CG209" s="141"/>
      <c r="CH209" s="141"/>
      <c r="CI209" s="141"/>
      <c r="CK209" s="160"/>
      <c r="CL209" s="160"/>
      <c r="CM209" s="160"/>
      <c r="CN209" s="160"/>
      <c r="FT209" s="3236"/>
      <c r="FU209" s="3237"/>
      <c r="FV209" s="3236"/>
      <c r="FW209" s="3237"/>
      <c r="FX209" s="3236"/>
      <c r="FY209" s="3237"/>
      <c r="FZ209" s="3236"/>
      <c r="GA209" s="3237"/>
    </row>
    <row r="210" spans="73:183" ht="3.6" customHeight="1">
      <c r="BU210" s="142"/>
      <c r="BV210" s="142"/>
      <c r="BW210" s="142"/>
      <c r="BX210" s="142"/>
      <c r="BY210" s="141"/>
      <c r="BZ210" s="141"/>
      <c r="CA210" s="141"/>
      <c r="CB210" s="141"/>
      <c r="CC210" s="141"/>
      <c r="CD210" s="141"/>
      <c r="CE210" s="141"/>
      <c r="CF210" s="141"/>
      <c r="CG210" s="141"/>
      <c r="CH210" s="141"/>
      <c r="CI210" s="141"/>
      <c r="CK210" s="160"/>
      <c r="CL210" s="160"/>
      <c r="CM210" s="160"/>
      <c r="CN210" s="160"/>
      <c r="FT210" s="3236"/>
      <c r="FU210" s="3237"/>
      <c r="FV210" s="3236"/>
      <c r="FW210" s="3237"/>
      <c r="FX210" s="3236"/>
      <c r="FY210" s="3237"/>
      <c r="FZ210" s="3236"/>
      <c r="GA210" s="3237"/>
    </row>
    <row r="211" spans="73:183" ht="3.6" customHeight="1">
      <c r="CD211" s="141"/>
      <c r="CE211" s="141"/>
      <c r="CF211" s="141"/>
      <c r="CG211" s="141"/>
      <c r="CH211" s="141"/>
      <c r="CI211" s="141"/>
      <c r="CK211" s="160"/>
      <c r="CL211" s="160"/>
      <c r="CM211" s="160"/>
      <c r="CN211" s="160"/>
      <c r="FT211" s="3236"/>
      <c r="FU211" s="3237"/>
      <c r="FV211" s="3236"/>
      <c r="FW211" s="3237"/>
      <c r="FX211" s="3236"/>
      <c r="FY211" s="3237"/>
      <c r="FZ211" s="3236"/>
      <c r="GA211" s="3237"/>
    </row>
    <row r="212" spans="73:183" ht="3.6" customHeight="1">
      <c r="CD212" s="141"/>
      <c r="CE212" s="141"/>
      <c r="CF212" s="141"/>
      <c r="CG212" s="141"/>
      <c r="CH212" s="141"/>
      <c r="CI212" s="141"/>
      <c r="CK212" s="160"/>
      <c r="CL212" s="160"/>
      <c r="CM212" s="160"/>
      <c r="CN212" s="160"/>
    </row>
    <row r="227" spans="18:197" ht="3.6" customHeight="1">
      <c r="R227" s="2540" t="s">
        <v>188</v>
      </c>
      <c r="S227" s="2540"/>
      <c r="T227" s="2540"/>
      <c r="U227" s="2540"/>
      <c r="V227" s="2540"/>
      <c r="W227" s="2540"/>
      <c r="X227" s="2540"/>
      <c r="Y227" s="2540"/>
      <c r="Z227" s="2540"/>
      <c r="AA227" s="2540"/>
      <c r="AB227" s="2540"/>
      <c r="AC227" s="2540"/>
      <c r="AD227" s="2540"/>
      <c r="AE227" s="2540"/>
      <c r="AF227" s="2540"/>
      <c r="AG227" s="2540"/>
      <c r="AH227" s="2540"/>
      <c r="AI227" s="2540"/>
      <c r="AJ227" s="2540"/>
      <c r="AK227" s="2540"/>
      <c r="AL227" s="2540"/>
      <c r="AM227" s="2540"/>
      <c r="AN227" s="2540"/>
      <c r="AO227" s="2540"/>
      <c r="AP227" s="2540"/>
      <c r="AQ227" s="2540"/>
      <c r="AR227" s="2540"/>
      <c r="AS227" s="2540"/>
      <c r="AT227" s="2540"/>
      <c r="AU227" s="2540"/>
      <c r="AV227" s="2540"/>
      <c r="AW227" s="2540"/>
      <c r="AX227" s="2540"/>
      <c r="AY227" s="25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2540" t="s">
        <v>189</v>
      </c>
      <c r="CJ227" s="2540"/>
      <c r="CK227" s="2540"/>
      <c r="CL227" s="2540"/>
      <c r="CM227" s="2540"/>
      <c r="CN227" s="2540"/>
      <c r="CO227" s="2540"/>
      <c r="CP227" s="2540"/>
      <c r="CQ227" s="2540"/>
      <c r="CR227" s="2540"/>
      <c r="CS227" s="2540"/>
      <c r="CT227" s="2540"/>
      <c r="CU227" s="2540"/>
      <c r="CV227" s="2540"/>
      <c r="CW227" s="2540"/>
      <c r="CX227" s="2540"/>
      <c r="CY227" s="2540"/>
      <c r="CZ227" s="2540"/>
      <c r="DA227" s="2540"/>
      <c r="DB227" s="2540"/>
      <c r="DC227" s="2540"/>
      <c r="DD227" s="2540"/>
      <c r="DE227" s="2540"/>
      <c r="DF227" s="2540"/>
      <c r="DG227" s="2540"/>
      <c r="DH227" s="2540"/>
      <c r="DI227" s="2540"/>
      <c r="DJ227" s="2540"/>
      <c r="DK227" s="2540"/>
      <c r="DL227" s="2540"/>
      <c r="DM227" s="2540"/>
      <c r="DN227" s="2540"/>
      <c r="DO227" s="2540"/>
      <c r="DP227" s="2540"/>
      <c r="DQ227" s="2540"/>
      <c r="DR227" s="2540"/>
      <c r="DS227" s="2540"/>
      <c r="DT227" s="2540"/>
      <c r="DU227" s="2540"/>
      <c r="DV227" s="2540"/>
      <c r="DW227" s="2540"/>
      <c r="DX227" s="2540"/>
      <c r="DY227" s="2540"/>
      <c r="DZ227" s="2540"/>
      <c r="EA227" s="2540"/>
      <c r="EB227" s="140"/>
      <c r="EC227" s="140"/>
      <c r="ED227" s="140"/>
      <c r="EE227" s="140"/>
      <c r="EF227" s="140"/>
      <c r="EG227" s="140"/>
      <c r="EH227" s="140"/>
      <c r="EI227" s="140"/>
      <c r="EJ227" s="140"/>
      <c r="EK227" s="140"/>
      <c r="EL227" s="140"/>
      <c r="EM227" s="140"/>
      <c r="EN227" s="140"/>
      <c r="EO227" s="140"/>
      <c r="EP227" s="140"/>
      <c r="EQ227" s="140"/>
      <c r="ER227" s="140"/>
      <c r="ES227" s="140"/>
      <c r="ET227" s="140"/>
      <c r="EU227" s="140"/>
      <c r="EV227" s="140"/>
      <c r="EW227" s="140"/>
      <c r="EX227" s="140"/>
      <c r="EY227" s="140"/>
      <c r="EZ227" s="2540" t="s">
        <v>190</v>
      </c>
      <c r="FA227" s="2540"/>
      <c r="FB227" s="2540"/>
      <c r="FC227" s="2540"/>
      <c r="FD227" s="2540"/>
      <c r="FE227" s="2540"/>
      <c r="FF227" s="2540"/>
      <c r="FG227" s="2540"/>
      <c r="FH227" s="2540"/>
      <c r="FI227" s="2540"/>
      <c r="FJ227" s="2540"/>
      <c r="FK227" s="2540"/>
      <c r="FL227" s="2540"/>
      <c r="FM227" s="2540"/>
      <c r="FN227" s="2540"/>
      <c r="FO227" s="2540"/>
      <c r="FP227" s="2540"/>
      <c r="FQ227" s="2540"/>
      <c r="FR227" s="2540"/>
      <c r="FS227" s="2540"/>
      <c r="FT227" s="2540"/>
      <c r="FU227" s="2540"/>
      <c r="FV227" s="2540"/>
      <c r="FW227" s="2540"/>
      <c r="FX227" s="2540"/>
      <c r="FY227" s="2540"/>
      <c r="FZ227" s="2540"/>
      <c r="GA227" s="2540"/>
      <c r="GB227" s="2540"/>
      <c r="GC227" s="2540"/>
      <c r="GD227" s="2540"/>
      <c r="GE227" s="2540"/>
      <c r="GF227" s="2540"/>
      <c r="GG227" s="2540"/>
      <c r="GH227" s="2540"/>
      <c r="GI227" s="2540"/>
      <c r="GJ227" s="2540"/>
      <c r="GK227" s="2540"/>
      <c r="GL227" s="2540"/>
      <c r="GM227" s="2540"/>
      <c r="GN227" s="2540"/>
      <c r="GO227" s="2540"/>
    </row>
    <row r="228" spans="18:197" ht="3.6" customHeight="1">
      <c r="R228" s="2540"/>
      <c r="S228" s="2540"/>
      <c r="T228" s="2540"/>
      <c r="U228" s="2540"/>
      <c r="V228" s="2540"/>
      <c r="W228" s="2540"/>
      <c r="X228" s="2540"/>
      <c r="Y228" s="2540"/>
      <c r="Z228" s="2540"/>
      <c r="AA228" s="2540"/>
      <c r="AB228" s="2540"/>
      <c r="AC228" s="2540"/>
      <c r="AD228" s="2540"/>
      <c r="AE228" s="2540"/>
      <c r="AF228" s="2540"/>
      <c r="AG228" s="2540"/>
      <c r="AH228" s="2540"/>
      <c r="AI228" s="2540"/>
      <c r="AJ228" s="2540"/>
      <c r="AK228" s="2540"/>
      <c r="AL228" s="2540"/>
      <c r="AM228" s="2540"/>
      <c r="AN228" s="2540"/>
      <c r="AO228" s="2540"/>
      <c r="AP228" s="2540"/>
      <c r="AQ228" s="2540"/>
      <c r="AR228" s="2540"/>
      <c r="AS228" s="2540"/>
      <c r="AT228" s="2540"/>
      <c r="AU228" s="2540"/>
      <c r="AV228" s="2540"/>
      <c r="AW228" s="2540"/>
      <c r="AX228" s="2540"/>
      <c r="AY228" s="25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2540"/>
      <c r="CJ228" s="2540"/>
      <c r="CK228" s="2540"/>
      <c r="CL228" s="2540"/>
      <c r="CM228" s="2540"/>
      <c r="CN228" s="2540"/>
      <c r="CO228" s="2540"/>
      <c r="CP228" s="2540"/>
      <c r="CQ228" s="2540"/>
      <c r="CR228" s="2540"/>
      <c r="CS228" s="2540"/>
      <c r="CT228" s="2540"/>
      <c r="CU228" s="2540"/>
      <c r="CV228" s="2540"/>
      <c r="CW228" s="2540"/>
      <c r="CX228" s="2540"/>
      <c r="CY228" s="2540"/>
      <c r="CZ228" s="2540"/>
      <c r="DA228" s="2540"/>
      <c r="DB228" s="2540"/>
      <c r="DC228" s="2540"/>
      <c r="DD228" s="2540"/>
      <c r="DE228" s="2540"/>
      <c r="DF228" s="2540"/>
      <c r="DG228" s="2540"/>
      <c r="DH228" s="2540"/>
      <c r="DI228" s="2540"/>
      <c r="DJ228" s="2540"/>
      <c r="DK228" s="2540"/>
      <c r="DL228" s="2540"/>
      <c r="DM228" s="2540"/>
      <c r="DN228" s="2540"/>
      <c r="DO228" s="2540"/>
      <c r="DP228" s="2540"/>
      <c r="DQ228" s="2540"/>
      <c r="DR228" s="2540"/>
      <c r="DS228" s="2540"/>
      <c r="DT228" s="2540"/>
      <c r="DU228" s="2540"/>
      <c r="DV228" s="2540"/>
      <c r="DW228" s="2540"/>
      <c r="DX228" s="2540"/>
      <c r="DY228" s="2540"/>
      <c r="DZ228" s="2540"/>
      <c r="EA228" s="2540"/>
      <c r="EB228" s="140"/>
      <c r="EC228" s="140"/>
      <c r="ED228" s="140"/>
      <c r="EE228" s="140"/>
      <c r="EF228" s="140"/>
      <c r="EG228" s="140"/>
      <c r="EH228" s="140"/>
      <c r="EI228" s="140"/>
      <c r="EJ228" s="140"/>
      <c r="EK228" s="140"/>
      <c r="EL228" s="140"/>
      <c r="EM228" s="140"/>
      <c r="EN228" s="140"/>
      <c r="EO228" s="140"/>
      <c r="EP228" s="140"/>
      <c r="EQ228" s="140"/>
      <c r="ER228" s="140"/>
      <c r="ES228" s="140"/>
      <c r="ET228" s="140"/>
      <c r="EU228" s="140"/>
      <c r="EV228" s="140"/>
      <c r="EW228" s="140"/>
      <c r="EX228" s="140"/>
      <c r="EY228" s="140"/>
      <c r="EZ228" s="2540"/>
      <c r="FA228" s="2540"/>
      <c r="FB228" s="2540"/>
      <c r="FC228" s="2540"/>
      <c r="FD228" s="2540"/>
      <c r="FE228" s="2540"/>
      <c r="FF228" s="2540"/>
      <c r="FG228" s="2540"/>
      <c r="FH228" s="2540"/>
      <c r="FI228" s="2540"/>
      <c r="FJ228" s="2540"/>
      <c r="FK228" s="2540"/>
      <c r="FL228" s="2540"/>
      <c r="FM228" s="2540"/>
      <c r="FN228" s="2540"/>
      <c r="FO228" s="2540"/>
      <c r="FP228" s="2540"/>
      <c r="FQ228" s="2540"/>
      <c r="FR228" s="2540"/>
      <c r="FS228" s="2540"/>
      <c r="FT228" s="2540"/>
      <c r="FU228" s="2540"/>
      <c r="FV228" s="2540"/>
      <c r="FW228" s="2540"/>
      <c r="FX228" s="2540"/>
      <c r="FY228" s="2540"/>
      <c r="FZ228" s="2540"/>
      <c r="GA228" s="2540"/>
      <c r="GB228" s="2540"/>
      <c r="GC228" s="2540"/>
      <c r="GD228" s="2540"/>
      <c r="GE228" s="2540"/>
      <c r="GF228" s="2540"/>
      <c r="GG228" s="2540"/>
      <c r="GH228" s="2540"/>
      <c r="GI228" s="2540"/>
      <c r="GJ228" s="2540"/>
      <c r="GK228" s="2540"/>
      <c r="GL228" s="2540"/>
      <c r="GM228" s="2540"/>
      <c r="GN228" s="2540"/>
      <c r="GO228" s="2540"/>
    </row>
    <row r="229" spans="18:197" ht="3.6" customHeight="1">
      <c r="R229" s="2540"/>
      <c r="S229" s="2540"/>
      <c r="T229" s="2540"/>
      <c r="U229" s="2540"/>
      <c r="V229" s="2540"/>
      <c r="W229" s="2540"/>
      <c r="X229" s="2540"/>
      <c r="Y229" s="2540"/>
      <c r="Z229" s="2540"/>
      <c r="AA229" s="2540"/>
      <c r="AB229" s="2540"/>
      <c r="AC229" s="2540"/>
      <c r="AD229" s="2540"/>
      <c r="AE229" s="2540"/>
      <c r="AF229" s="2540"/>
      <c r="AG229" s="2540"/>
      <c r="AH229" s="2540"/>
      <c r="AI229" s="2540"/>
      <c r="AJ229" s="2540"/>
      <c r="AK229" s="2540"/>
      <c r="AL229" s="2540"/>
      <c r="AM229" s="2540"/>
      <c r="AN229" s="2540"/>
      <c r="AO229" s="2540"/>
      <c r="AP229" s="2540"/>
      <c r="AQ229" s="2540"/>
      <c r="AR229" s="2540"/>
      <c r="AS229" s="2540"/>
      <c r="AT229" s="2540"/>
      <c r="AU229" s="2540"/>
      <c r="AV229" s="2540"/>
      <c r="AW229" s="2540"/>
      <c r="AX229" s="2540"/>
      <c r="AY229" s="25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2540"/>
      <c r="CJ229" s="2540"/>
      <c r="CK229" s="2540"/>
      <c r="CL229" s="2540"/>
      <c r="CM229" s="2540"/>
      <c r="CN229" s="2540"/>
      <c r="CO229" s="2540"/>
      <c r="CP229" s="2540"/>
      <c r="CQ229" s="2540"/>
      <c r="CR229" s="2540"/>
      <c r="CS229" s="2540"/>
      <c r="CT229" s="2540"/>
      <c r="CU229" s="2540"/>
      <c r="CV229" s="2540"/>
      <c r="CW229" s="2540"/>
      <c r="CX229" s="2540"/>
      <c r="CY229" s="2540"/>
      <c r="CZ229" s="2540"/>
      <c r="DA229" s="2540"/>
      <c r="DB229" s="2540"/>
      <c r="DC229" s="2540"/>
      <c r="DD229" s="2540"/>
      <c r="DE229" s="2540"/>
      <c r="DF229" s="2540"/>
      <c r="DG229" s="2540"/>
      <c r="DH229" s="2540"/>
      <c r="DI229" s="2540"/>
      <c r="DJ229" s="2540"/>
      <c r="DK229" s="2540"/>
      <c r="DL229" s="2540"/>
      <c r="DM229" s="2540"/>
      <c r="DN229" s="2540"/>
      <c r="DO229" s="2540"/>
      <c r="DP229" s="2540"/>
      <c r="DQ229" s="2540"/>
      <c r="DR229" s="2540"/>
      <c r="DS229" s="2540"/>
      <c r="DT229" s="2540"/>
      <c r="DU229" s="2540"/>
      <c r="DV229" s="2540"/>
      <c r="DW229" s="2540"/>
      <c r="DX229" s="2540"/>
      <c r="DY229" s="2540"/>
      <c r="DZ229" s="2540"/>
      <c r="EA229" s="2540"/>
      <c r="EB229" s="140"/>
      <c r="EC229" s="140"/>
      <c r="ED229" s="140"/>
      <c r="EE229" s="140"/>
      <c r="EF229" s="140"/>
      <c r="EG229" s="140"/>
      <c r="EH229" s="140"/>
      <c r="EI229" s="140"/>
      <c r="EJ229" s="140"/>
      <c r="EK229" s="140"/>
      <c r="EL229" s="140"/>
      <c r="EM229" s="140"/>
      <c r="EN229" s="140"/>
      <c r="EO229" s="140"/>
      <c r="EP229" s="140"/>
      <c r="EQ229" s="140"/>
      <c r="ER229" s="140"/>
      <c r="ES229" s="140"/>
      <c r="ET229" s="140"/>
      <c r="EU229" s="140"/>
      <c r="EV229" s="140"/>
      <c r="EW229" s="140"/>
      <c r="EX229" s="140"/>
      <c r="EY229" s="140"/>
      <c r="EZ229" s="2540"/>
      <c r="FA229" s="2540"/>
      <c r="FB229" s="2540"/>
      <c r="FC229" s="2540"/>
      <c r="FD229" s="2540"/>
      <c r="FE229" s="2540"/>
      <c r="FF229" s="2540"/>
      <c r="FG229" s="2540"/>
      <c r="FH229" s="2540"/>
      <c r="FI229" s="2540"/>
      <c r="FJ229" s="2540"/>
      <c r="FK229" s="2540"/>
      <c r="FL229" s="2540"/>
      <c r="FM229" s="2540"/>
      <c r="FN229" s="2540"/>
      <c r="FO229" s="2540"/>
      <c r="FP229" s="2540"/>
      <c r="FQ229" s="2540"/>
      <c r="FR229" s="2540"/>
      <c r="FS229" s="2540"/>
      <c r="FT229" s="2540"/>
      <c r="FU229" s="2540"/>
      <c r="FV229" s="2540"/>
      <c r="FW229" s="2540"/>
      <c r="FX229" s="2540"/>
      <c r="FY229" s="2540"/>
      <c r="FZ229" s="2540"/>
      <c r="GA229" s="2540"/>
      <c r="GB229" s="2540"/>
      <c r="GC229" s="2540"/>
      <c r="GD229" s="2540"/>
      <c r="GE229" s="2540"/>
      <c r="GF229" s="2540"/>
      <c r="GG229" s="2540"/>
      <c r="GH229" s="2540"/>
      <c r="GI229" s="2540"/>
      <c r="GJ229" s="2540"/>
      <c r="GK229" s="2540"/>
      <c r="GL229" s="2540"/>
      <c r="GM229" s="2540"/>
      <c r="GN229" s="2540"/>
      <c r="GO229" s="2540"/>
    </row>
    <row r="230" spans="18:197" ht="3.6" customHeight="1">
      <c r="R230" s="2540"/>
      <c r="S230" s="2540"/>
      <c r="T230" s="2540"/>
      <c r="U230" s="2540"/>
      <c r="V230" s="2540"/>
      <c r="W230" s="2540"/>
      <c r="X230" s="2540"/>
      <c r="Y230" s="2540"/>
      <c r="Z230" s="2540"/>
      <c r="AA230" s="2540"/>
      <c r="AB230" s="2540"/>
      <c r="AC230" s="2540"/>
      <c r="AD230" s="2540"/>
      <c r="AE230" s="2540"/>
      <c r="AF230" s="2540"/>
      <c r="AG230" s="2540"/>
      <c r="AH230" s="2540"/>
      <c r="AI230" s="2540"/>
      <c r="AJ230" s="2540"/>
      <c r="AK230" s="2540"/>
      <c r="AL230" s="2540"/>
      <c r="AM230" s="2540"/>
      <c r="AN230" s="2540"/>
      <c r="AO230" s="2540"/>
      <c r="AP230" s="2540"/>
      <c r="AQ230" s="2540"/>
      <c r="AR230" s="2540"/>
      <c r="AS230" s="2540"/>
      <c r="AT230" s="2540"/>
      <c r="AU230" s="2540"/>
      <c r="AV230" s="2540"/>
      <c r="AW230" s="2540"/>
      <c r="AX230" s="2540"/>
      <c r="AY230" s="25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2540"/>
      <c r="CJ230" s="2540"/>
      <c r="CK230" s="2540"/>
      <c r="CL230" s="2540"/>
      <c r="CM230" s="2540"/>
      <c r="CN230" s="2540"/>
      <c r="CO230" s="2540"/>
      <c r="CP230" s="2540"/>
      <c r="CQ230" s="2540"/>
      <c r="CR230" s="2540"/>
      <c r="CS230" s="2540"/>
      <c r="CT230" s="2540"/>
      <c r="CU230" s="2540"/>
      <c r="CV230" s="2540"/>
      <c r="CW230" s="2540"/>
      <c r="CX230" s="2540"/>
      <c r="CY230" s="2540"/>
      <c r="CZ230" s="2540"/>
      <c r="DA230" s="2540"/>
      <c r="DB230" s="2540"/>
      <c r="DC230" s="2540"/>
      <c r="DD230" s="2540"/>
      <c r="DE230" s="2540"/>
      <c r="DF230" s="2540"/>
      <c r="DG230" s="2540"/>
      <c r="DH230" s="2540"/>
      <c r="DI230" s="2540"/>
      <c r="DJ230" s="2540"/>
      <c r="DK230" s="2540"/>
      <c r="DL230" s="2540"/>
      <c r="DM230" s="2540"/>
      <c r="DN230" s="2540"/>
      <c r="DO230" s="2540"/>
      <c r="DP230" s="2540"/>
      <c r="DQ230" s="2540"/>
      <c r="DR230" s="2540"/>
      <c r="DS230" s="2540"/>
      <c r="DT230" s="2540"/>
      <c r="DU230" s="2540"/>
      <c r="DV230" s="2540"/>
      <c r="DW230" s="2540"/>
      <c r="DX230" s="2540"/>
      <c r="DY230" s="2540"/>
      <c r="DZ230" s="2540"/>
      <c r="EA230" s="2540"/>
      <c r="EB230" s="140"/>
      <c r="EC230" s="140"/>
      <c r="ED230" s="140"/>
      <c r="EE230" s="140"/>
      <c r="EF230" s="140"/>
      <c r="EG230" s="140"/>
      <c r="EH230" s="140"/>
      <c r="EI230" s="140"/>
      <c r="EJ230" s="140"/>
      <c r="EK230" s="140"/>
      <c r="EL230" s="140"/>
      <c r="EM230" s="140"/>
      <c r="EN230" s="140"/>
      <c r="EO230" s="140"/>
      <c r="EP230" s="140"/>
      <c r="EQ230" s="140"/>
      <c r="ER230" s="140"/>
      <c r="ES230" s="140"/>
      <c r="ET230" s="140"/>
      <c r="EU230" s="140"/>
      <c r="EV230" s="140"/>
      <c r="EW230" s="140"/>
      <c r="EX230" s="140"/>
      <c r="EY230" s="140"/>
      <c r="EZ230" s="2540"/>
      <c r="FA230" s="2540"/>
      <c r="FB230" s="2540"/>
      <c r="FC230" s="2540"/>
      <c r="FD230" s="2540"/>
      <c r="FE230" s="2540"/>
      <c r="FF230" s="2540"/>
      <c r="FG230" s="2540"/>
      <c r="FH230" s="2540"/>
      <c r="FI230" s="2540"/>
      <c r="FJ230" s="2540"/>
      <c r="FK230" s="2540"/>
      <c r="FL230" s="2540"/>
      <c r="FM230" s="2540"/>
      <c r="FN230" s="2540"/>
      <c r="FO230" s="2540"/>
      <c r="FP230" s="2540"/>
      <c r="FQ230" s="2540"/>
      <c r="FR230" s="2540"/>
      <c r="FS230" s="2540"/>
      <c r="FT230" s="2540"/>
      <c r="FU230" s="2540"/>
      <c r="FV230" s="2540"/>
      <c r="FW230" s="2540"/>
      <c r="FX230" s="2540"/>
      <c r="FY230" s="2540"/>
      <c r="FZ230" s="2540"/>
      <c r="GA230" s="2540"/>
      <c r="GB230" s="2540"/>
      <c r="GC230" s="2540"/>
      <c r="GD230" s="2540"/>
      <c r="GE230" s="2540"/>
      <c r="GF230" s="2540"/>
      <c r="GG230" s="2540"/>
      <c r="GH230" s="2540"/>
      <c r="GI230" s="2540"/>
      <c r="GJ230" s="2540"/>
      <c r="GK230" s="2540"/>
      <c r="GL230" s="2540"/>
      <c r="GM230" s="2540"/>
      <c r="GN230" s="2540"/>
      <c r="GO230" s="2540"/>
    </row>
    <row r="231" spans="18:197" ht="3.6" customHeight="1">
      <c r="R231" s="2540" t="s">
        <v>191</v>
      </c>
      <c r="S231" s="2540"/>
      <c r="T231" s="2540"/>
      <c r="U231" s="2540"/>
      <c r="V231" s="2540"/>
      <c r="W231" s="2540"/>
      <c r="X231" s="2540"/>
      <c r="Y231" s="2540"/>
      <c r="Z231" s="2540"/>
      <c r="AA231" s="2540"/>
      <c r="AB231" s="2540"/>
      <c r="AC231" s="2540"/>
      <c r="AD231" s="2540"/>
      <c r="AE231" s="2540"/>
      <c r="AF231" s="2540"/>
      <c r="AG231" s="2540"/>
      <c r="AH231" s="2540"/>
      <c r="AI231" s="2540"/>
      <c r="AJ231" s="2540"/>
      <c r="AK231" s="2540"/>
      <c r="AL231" s="2540"/>
      <c r="AM231" s="2540"/>
      <c r="AN231" s="2540"/>
      <c r="AO231" s="2540"/>
      <c r="AP231" s="2540"/>
      <c r="AQ231" s="2540"/>
      <c r="AR231" s="2540"/>
      <c r="AS231" s="2540"/>
      <c r="AT231" s="2540"/>
      <c r="AU231" s="2540"/>
      <c r="AV231" s="2540"/>
      <c r="AW231" s="2540"/>
      <c r="AX231" s="2540"/>
      <c r="AY231" s="25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2540" t="str">
        <f>R231</f>
        <v>Kamakhyanagar Block</v>
      </c>
      <c r="CJ231" s="2540"/>
      <c r="CK231" s="2540"/>
      <c r="CL231" s="2540"/>
      <c r="CM231" s="2540"/>
      <c r="CN231" s="2540"/>
      <c r="CO231" s="2540"/>
      <c r="CP231" s="2540"/>
      <c r="CQ231" s="2540"/>
      <c r="CR231" s="2540"/>
      <c r="CS231" s="2540"/>
      <c r="CT231" s="2540"/>
      <c r="CU231" s="2540"/>
      <c r="CV231" s="2540"/>
      <c r="CW231" s="2540"/>
      <c r="CX231" s="2540"/>
      <c r="CY231" s="2540"/>
      <c r="CZ231" s="2540"/>
      <c r="DA231" s="2540"/>
      <c r="DB231" s="2540"/>
      <c r="DC231" s="2540"/>
      <c r="DD231" s="2540"/>
      <c r="DE231" s="2540"/>
      <c r="DF231" s="2540"/>
      <c r="DG231" s="2540"/>
      <c r="DH231" s="2540"/>
      <c r="DI231" s="2540"/>
      <c r="DJ231" s="2540"/>
      <c r="DK231" s="2540"/>
      <c r="DL231" s="2540"/>
      <c r="DM231" s="2540"/>
      <c r="DN231" s="2540"/>
      <c r="DO231" s="2540"/>
      <c r="DP231" s="2540"/>
      <c r="DQ231" s="2540"/>
      <c r="DR231" s="2540"/>
      <c r="DS231" s="2540"/>
      <c r="DT231" s="2540"/>
      <c r="DU231" s="2540"/>
      <c r="DV231" s="2540"/>
      <c r="DW231" s="2540"/>
      <c r="DX231" s="2540"/>
      <c r="DY231" s="2540"/>
      <c r="DZ231" s="2540"/>
      <c r="EA231" s="2540"/>
      <c r="EB231" s="140"/>
      <c r="EC231" s="140"/>
      <c r="ED231" s="140"/>
      <c r="EE231" s="140"/>
      <c r="EF231" s="140"/>
      <c r="EG231" s="140"/>
      <c r="EH231" s="140"/>
      <c r="EI231" s="140"/>
      <c r="EJ231" s="140"/>
      <c r="EK231" s="140"/>
      <c r="EL231" s="140"/>
      <c r="EM231" s="140"/>
      <c r="EN231" s="140"/>
      <c r="EO231" s="140"/>
      <c r="EP231" s="140"/>
      <c r="EQ231" s="140"/>
      <c r="ER231" s="140"/>
      <c r="ES231" s="140"/>
      <c r="ET231" s="140"/>
      <c r="EU231" s="140"/>
      <c r="EV231" s="140"/>
      <c r="EW231" s="140"/>
      <c r="EX231" s="140"/>
      <c r="EY231" s="140"/>
      <c r="EZ231" s="2540" t="str">
        <f>CI231</f>
        <v>Kamakhyanagar Block</v>
      </c>
      <c r="FA231" s="2540"/>
      <c r="FB231" s="2540"/>
      <c r="FC231" s="2540"/>
      <c r="FD231" s="2540"/>
      <c r="FE231" s="2540"/>
      <c r="FF231" s="2540"/>
      <c r="FG231" s="2540"/>
      <c r="FH231" s="2540"/>
      <c r="FI231" s="2540"/>
      <c r="FJ231" s="2540"/>
      <c r="FK231" s="2540"/>
      <c r="FL231" s="2540"/>
      <c r="FM231" s="2540"/>
      <c r="FN231" s="2540"/>
      <c r="FO231" s="2540"/>
      <c r="FP231" s="2540"/>
      <c r="FQ231" s="2540"/>
      <c r="FR231" s="2540"/>
      <c r="FS231" s="2540"/>
      <c r="FT231" s="2540"/>
      <c r="FU231" s="2540"/>
      <c r="FV231" s="2540"/>
      <c r="FW231" s="2540"/>
      <c r="FX231" s="2540"/>
      <c r="FY231" s="2540"/>
      <c r="FZ231" s="2540"/>
      <c r="GA231" s="2540"/>
      <c r="GB231" s="2540"/>
      <c r="GC231" s="2540"/>
      <c r="GD231" s="2540"/>
      <c r="GE231" s="2540"/>
      <c r="GF231" s="2540"/>
      <c r="GG231" s="2540"/>
      <c r="GH231" s="2540"/>
      <c r="GI231" s="2540"/>
      <c r="GJ231" s="2540"/>
      <c r="GK231" s="2540"/>
      <c r="GL231" s="2540"/>
      <c r="GM231" s="2540"/>
      <c r="GN231" s="2540"/>
      <c r="GO231" s="2540"/>
    </row>
    <row r="232" spans="18:197" ht="3.6" customHeight="1">
      <c r="R232" s="2540"/>
      <c r="S232" s="2540"/>
      <c r="T232" s="2540"/>
      <c r="U232" s="2540"/>
      <c r="V232" s="2540"/>
      <c r="W232" s="2540"/>
      <c r="X232" s="2540"/>
      <c r="Y232" s="2540"/>
      <c r="Z232" s="2540"/>
      <c r="AA232" s="2540"/>
      <c r="AB232" s="2540"/>
      <c r="AC232" s="2540"/>
      <c r="AD232" s="2540"/>
      <c r="AE232" s="2540"/>
      <c r="AF232" s="2540"/>
      <c r="AG232" s="2540"/>
      <c r="AH232" s="2540"/>
      <c r="AI232" s="2540"/>
      <c r="AJ232" s="2540"/>
      <c r="AK232" s="2540"/>
      <c r="AL232" s="2540"/>
      <c r="AM232" s="2540"/>
      <c r="AN232" s="2540"/>
      <c r="AO232" s="2540"/>
      <c r="AP232" s="2540"/>
      <c r="AQ232" s="2540"/>
      <c r="AR232" s="2540"/>
      <c r="AS232" s="2540"/>
      <c r="AT232" s="2540"/>
      <c r="AU232" s="2540"/>
      <c r="AV232" s="2540"/>
      <c r="AW232" s="2540"/>
      <c r="AX232" s="2540"/>
      <c r="AY232" s="25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2540"/>
      <c r="CJ232" s="2540"/>
      <c r="CK232" s="2540"/>
      <c r="CL232" s="2540"/>
      <c r="CM232" s="2540"/>
      <c r="CN232" s="2540"/>
      <c r="CO232" s="2540"/>
      <c r="CP232" s="2540"/>
      <c r="CQ232" s="2540"/>
      <c r="CR232" s="2540"/>
      <c r="CS232" s="2540"/>
      <c r="CT232" s="2540"/>
      <c r="CU232" s="2540"/>
      <c r="CV232" s="2540"/>
      <c r="CW232" s="2540"/>
      <c r="CX232" s="2540"/>
      <c r="CY232" s="2540"/>
      <c r="CZ232" s="2540"/>
      <c r="DA232" s="2540"/>
      <c r="DB232" s="2540"/>
      <c r="DC232" s="2540"/>
      <c r="DD232" s="2540"/>
      <c r="DE232" s="2540"/>
      <c r="DF232" s="2540"/>
      <c r="DG232" s="2540"/>
      <c r="DH232" s="2540"/>
      <c r="DI232" s="2540"/>
      <c r="DJ232" s="2540"/>
      <c r="DK232" s="2540"/>
      <c r="DL232" s="2540"/>
      <c r="DM232" s="2540"/>
      <c r="DN232" s="2540"/>
      <c r="DO232" s="2540"/>
      <c r="DP232" s="2540"/>
      <c r="DQ232" s="2540"/>
      <c r="DR232" s="2540"/>
      <c r="DS232" s="2540"/>
      <c r="DT232" s="2540"/>
      <c r="DU232" s="2540"/>
      <c r="DV232" s="2540"/>
      <c r="DW232" s="2540"/>
      <c r="DX232" s="2540"/>
      <c r="DY232" s="2540"/>
      <c r="DZ232" s="2540"/>
      <c r="EA232" s="2540"/>
      <c r="EB232" s="140"/>
      <c r="EC232" s="140"/>
      <c r="ED232" s="140"/>
      <c r="EE232" s="140"/>
      <c r="EF232" s="140"/>
      <c r="EG232" s="140"/>
      <c r="EH232" s="140"/>
      <c r="EI232" s="140"/>
      <c r="EJ232" s="140"/>
      <c r="EK232" s="140"/>
      <c r="EL232" s="140"/>
      <c r="EM232" s="140"/>
      <c r="EN232" s="140"/>
      <c r="EO232" s="140"/>
      <c r="EP232" s="140"/>
      <c r="EQ232" s="140"/>
      <c r="ER232" s="140"/>
      <c r="ES232" s="140"/>
      <c r="ET232" s="140"/>
      <c r="EU232" s="140"/>
      <c r="EV232" s="140"/>
      <c r="EW232" s="140"/>
      <c r="EX232" s="140"/>
      <c r="EY232" s="140"/>
      <c r="EZ232" s="2540"/>
      <c r="FA232" s="2540"/>
      <c r="FB232" s="2540"/>
      <c r="FC232" s="2540"/>
      <c r="FD232" s="2540"/>
      <c r="FE232" s="2540"/>
      <c r="FF232" s="2540"/>
      <c r="FG232" s="2540"/>
      <c r="FH232" s="2540"/>
      <c r="FI232" s="2540"/>
      <c r="FJ232" s="2540"/>
      <c r="FK232" s="2540"/>
      <c r="FL232" s="2540"/>
      <c r="FM232" s="2540"/>
      <c r="FN232" s="2540"/>
      <c r="FO232" s="2540"/>
      <c r="FP232" s="2540"/>
      <c r="FQ232" s="2540"/>
      <c r="FR232" s="2540"/>
      <c r="FS232" s="2540"/>
      <c r="FT232" s="2540"/>
      <c r="FU232" s="2540"/>
      <c r="FV232" s="2540"/>
      <c r="FW232" s="2540"/>
      <c r="FX232" s="2540"/>
      <c r="FY232" s="2540"/>
      <c r="FZ232" s="2540"/>
      <c r="GA232" s="2540"/>
      <c r="GB232" s="2540"/>
      <c r="GC232" s="2540"/>
      <c r="GD232" s="2540"/>
      <c r="GE232" s="2540"/>
      <c r="GF232" s="2540"/>
      <c r="GG232" s="2540"/>
      <c r="GH232" s="2540"/>
      <c r="GI232" s="2540"/>
      <c r="GJ232" s="2540"/>
      <c r="GK232" s="2540"/>
      <c r="GL232" s="2540"/>
      <c r="GM232" s="2540"/>
      <c r="GN232" s="2540"/>
      <c r="GO232" s="2540"/>
    </row>
    <row r="233" spans="18:197" ht="3.6" customHeight="1">
      <c r="R233" s="2540"/>
      <c r="S233" s="2540"/>
      <c r="T233" s="2540"/>
      <c r="U233" s="2540"/>
      <c r="V233" s="2540"/>
      <c r="W233" s="2540"/>
      <c r="X233" s="2540"/>
      <c r="Y233" s="2540"/>
      <c r="Z233" s="2540"/>
      <c r="AA233" s="2540"/>
      <c r="AB233" s="2540"/>
      <c r="AC233" s="2540"/>
      <c r="AD233" s="2540"/>
      <c r="AE233" s="2540"/>
      <c r="AF233" s="2540"/>
      <c r="AG233" s="2540"/>
      <c r="AH233" s="2540"/>
      <c r="AI233" s="2540"/>
      <c r="AJ233" s="2540"/>
      <c r="AK233" s="2540"/>
      <c r="AL233" s="2540"/>
      <c r="AM233" s="2540"/>
      <c r="AN233" s="2540"/>
      <c r="AO233" s="2540"/>
      <c r="AP233" s="2540"/>
      <c r="AQ233" s="2540"/>
      <c r="AR233" s="2540"/>
      <c r="AS233" s="2540"/>
      <c r="AT233" s="2540"/>
      <c r="AU233" s="2540"/>
      <c r="AV233" s="2540"/>
      <c r="AW233" s="2540"/>
      <c r="AX233" s="2540"/>
      <c r="AY233" s="25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2540"/>
      <c r="CJ233" s="2540"/>
      <c r="CK233" s="2540"/>
      <c r="CL233" s="2540"/>
      <c r="CM233" s="2540"/>
      <c r="CN233" s="2540"/>
      <c r="CO233" s="2540"/>
      <c r="CP233" s="2540"/>
      <c r="CQ233" s="2540"/>
      <c r="CR233" s="2540"/>
      <c r="CS233" s="2540"/>
      <c r="CT233" s="2540"/>
      <c r="CU233" s="2540"/>
      <c r="CV233" s="2540"/>
      <c r="CW233" s="2540"/>
      <c r="CX233" s="2540"/>
      <c r="CY233" s="2540"/>
      <c r="CZ233" s="2540"/>
      <c r="DA233" s="2540"/>
      <c r="DB233" s="2540"/>
      <c r="DC233" s="2540"/>
      <c r="DD233" s="2540"/>
      <c r="DE233" s="2540"/>
      <c r="DF233" s="2540"/>
      <c r="DG233" s="2540"/>
      <c r="DH233" s="2540"/>
      <c r="DI233" s="2540"/>
      <c r="DJ233" s="2540"/>
      <c r="DK233" s="2540"/>
      <c r="DL233" s="2540"/>
      <c r="DM233" s="2540"/>
      <c r="DN233" s="2540"/>
      <c r="DO233" s="2540"/>
      <c r="DP233" s="2540"/>
      <c r="DQ233" s="2540"/>
      <c r="DR233" s="2540"/>
      <c r="DS233" s="2540"/>
      <c r="DT233" s="2540"/>
      <c r="DU233" s="2540"/>
      <c r="DV233" s="2540"/>
      <c r="DW233" s="2540"/>
      <c r="DX233" s="2540"/>
      <c r="DY233" s="2540"/>
      <c r="DZ233" s="2540"/>
      <c r="EA233" s="2540"/>
      <c r="EB233" s="140"/>
      <c r="EC233" s="140"/>
      <c r="ED233" s="140"/>
      <c r="EE233" s="140"/>
      <c r="EF233" s="140"/>
      <c r="EG233" s="140"/>
      <c r="EH233" s="140"/>
      <c r="EI233" s="140"/>
      <c r="EJ233" s="140"/>
      <c r="EK233" s="140"/>
      <c r="EL233" s="140"/>
      <c r="EM233" s="140"/>
      <c r="EN233" s="140"/>
      <c r="EO233" s="140"/>
      <c r="EP233" s="140"/>
      <c r="EQ233" s="140"/>
      <c r="ER233" s="140"/>
      <c r="ES233" s="140"/>
      <c r="ET233" s="140"/>
      <c r="EU233" s="140"/>
      <c r="EV233" s="140"/>
      <c r="EW233" s="140"/>
      <c r="EX233" s="140"/>
      <c r="EY233" s="140"/>
      <c r="EZ233" s="2540"/>
      <c r="FA233" s="2540"/>
      <c r="FB233" s="2540"/>
      <c r="FC233" s="2540"/>
      <c r="FD233" s="2540"/>
      <c r="FE233" s="2540"/>
      <c r="FF233" s="2540"/>
      <c r="FG233" s="2540"/>
      <c r="FH233" s="2540"/>
      <c r="FI233" s="2540"/>
      <c r="FJ233" s="2540"/>
      <c r="FK233" s="2540"/>
      <c r="FL233" s="2540"/>
      <c r="FM233" s="2540"/>
      <c r="FN233" s="2540"/>
      <c r="FO233" s="2540"/>
      <c r="FP233" s="2540"/>
      <c r="FQ233" s="2540"/>
      <c r="FR233" s="2540"/>
      <c r="FS233" s="2540"/>
      <c r="FT233" s="2540"/>
      <c r="FU233" s="2540"/>
      <c r="FV233" s="2540"/>
      <c r="FW233" s="2540"/>
      <c r="FX233" s="2540"/>
      <c r="FY233" s="2540"/>
      <c r="FZ233" s="2540"/>
      <c r="GA233" s="2540"/>
      <c r="GB233" s="2540"/>
      <c r="GC233" s="2540"/>
      <c r="GD233" s="2540"/>
      <c r="GE233" s="2540"/>
      <c r="GF233" s="2540"/>
      <c r="GG233" s="2540"/>
      <c r="GH233" s="2540"/>
      <c r="GI233" s="2540"/>
      <c r="GJ233" s="2540"/>
      <c r="GK233" s="2540"/>
      <c r="GL233" s="2540"/>
      <c r="GM233" s="2540"/>
      <c r="GN233" s="2540"/>
      <c r="GO233" s="2540"/>
    </row>
    <row r="234" spans="18:197" ht="3.6" customHeight="1">
      <c r="R234" s="2540"/>
      <c r="S234" s="2540"/>
      <c r="T234" s="2540"/>
      <c r="U234" s="2540"/>
      <c r="V234" s="2540"/>
      <c r="W234" s="2540"/>
      <c r="X234" s="2540"/>
      <c r="Y234" s="2540"/>
      <c r="Z234" s="2540"/>
      <c r="AA234" s="2540"/>
      <c r="AB234" s="2540"/>
      <c r="AC234" s="2540"/>
      <c r="AD234" s="2540"/>
      <c r="AE234" s="2540"/>
      <c r="AF234" s="2540"/>
      <c r="AG234" s="2540"/>
      <c r="AH234" s="2540"/>
      <c r="AI234" s="2540"/>
      <c r="AJ234" s="2540"/>
      <c r="AK234" s="2540"/>
      <c r="AL234" s="2540"/>
      <c r="AM234" s="2540"/>
      <c r="AN234" s="2540"/>
      <c r="AO234" s="2540"/>
      <c r="AP234" s="2540"/>
      <c r="AQ234" s="2540"/>
      <c r="AR234" s="2540"/>
      <c r="AS234" s="2540"/>
      <c r="AT234" s="2540"/>
      <c r="AU234" s="2540"/>
      <c r="AV234" s="2540"/>
      <c r="AW234" s="2540"/>
      <c r="AX234" s="2540"/>
      <c r="AY234" s="25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2540"/>
      <c r="CJ234" s="2540"/>
      <c r="CK234" s="2540"/>
      <c r="CL234" s="2540"/>
      <c r="CM234" s="2540"/>
      <c r="CN234" s="2540"/>
      <c r="CO234" s="2540"/>
      <c r="CP234" s="2540"/>
      <c r="CQ234" s="2540"/>
      <c r="CR234" s="2540"/>
      <c r="CS234" s="2540"/>
      <c r="CT234" s="2540"/>
      <c r="CU234" s="2540"/>
      <c r="CV234" s="2540"/>
      <c r="CW234" s="2540"/>
      <c r="CX234" s="2540"/>
      <c r="CY234" s="2540"/>
      <c r="CZ234" s="2540"/>
      <c r="DA234" s="2540"/>
      <c r="DB234" s="2540"/>
      <c r="DC234" s="2540"/>
      <c r="DD234" s="2540"/>
      <c r="DE234" s="2540"/>
      <c r="DF234" s="2540"/>
      <c r="DG234" s="2540"/>
      <c r="DH234" s="2540"/>
      <c r="DI234" s="2540"/>
      <c r="DJ234" s="2540"/>
      <c r="DK234" s="2540"/>
      <c r="DL234" s="2540"/>
      <c r="DM234" s="2540"/>
      <c r="DN234" s="2540"/>
      <c r="DO234" s="2540"/>
      <c r="DP234" s="2540"/>
      <c r="DQ234" s="2540"/>
      <c r="DR234" s="2540"/>
      <c r="DS234" s="2540"/>
      <c r="DT234" s="2540"/>
      <c r="DU234" s="2540"/>
      <c r="DV234" s="2540"/>
      <c r="DW234" s="2540"/>
      <c r="DX234" s="2540"/>
      <c r="DY234" s="2540"/>
      <c r="DZ234" s="2540"/>
      <c r="EA234" s="2540"/>
      <c r="EB234" s="140"/>
      <c r="EC234" s="140"/>
      <c r="ED234" s="140"/>
      <c r="EE234" s="140"/>
      <c r="EF234" s="140"/>
      <c r="EG234" s="140"/>
      <c r="EH234" s="140"/>
      <c r="EI234" s="140"/>
      <c r="EJ234" s="140"/>
      <c r="EK234" s="140"/>
      <c r="EL234" s="140"/>
      <c r="EM234" s="140"/>
      <c r="EN234" s="140"/>
      <c r="EO234" s="140"/>
      <c r="EP234" s="140"/>
      <c r="EQ234" s="140"/>
      <c r="ER234" s="140"/>
      <c r="ES234" s="140"/>
      <c r="ET234" s="140"/>
      <c r="EU234" s="140"/>
      <c r="EV234" s="140"/>
      <c r="EW234" s="140"/>
      <c r="EX234" s="140"/>
      <c r="EY234" s="140"/>
      <c r="EZ234" s="2540"/>
      <c r="FA234" s="2540"/>
      <c r="FB234" s="2540"/>
      <c r="FC234" s="2540"/>
      <c r="FD234" s="2540"/>
      <c r="FE234" s="2540"/>
      <c r="FF234" s="2540"/>
      <c r="FG234" s="2540"/>
      <c r="FH234" s="2540"/>
      <c r="FI234" s="2540"/>
      <c r="FJ234" s="2540"/>
      <c r="FK234" s="2540"/>
      <c r="FL234" s="2540"/>
      <c r="FM234" s="2540"/>
      <c r="FN234" s="2540"/>
      <c r="FO234" s="2540"/>
      <c r="FP234" s="2540"/>
      <c r="FQ234" s="2540"/>
      <c r="FR234" s="2540"/>
      <c r="FS234" s="2540"/>
      <c r="FT234" s="2540"/>
      <c r="FU234" s="2540"/>
      <c r="FV234" s="2540"/>
      <c r="FW234" s="2540"/>
      <c r="FX234" s="2540"/>
      <c r="FY234" s="2540"/>
      <c r="FZ234" s="2540"/>
      <c r="GA234" s="2540"/>
      <c r="GB234" s="2540"/>
      <c r="GC234" s="2540"/>
      <c r="GD234" s="2540"/>
      <c r="GE234" s="2540"/>
      <c r="GF234" s="2540"/>
      <c r="GG234" s="2540"/>
      <c r="GH234" s="2540"/>
      <c r="GI234" s="2540"/>
      <c r="GJ234" s="2540"/>
      <c r="GK234" s="2540"/>
      <c r="GL234" s="2540"/>
      <c r="GM234" s="2540"/>
      <c r="GN234" s="2540"/>
      <c r="GO234" s="2540"/>
    </row>
    <row r="252" spans="61:122" ht="3.6" customHeight="1">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c r="CN252" s="140"/>
      <c r="CO252" s="140"/>
      <c r="CP252" s="140"/>
      <c r="CQ252" s="140"/>
      <c r="CR252" s="140"/>
      <c r="CS252" s="140"/>
      <c r="CT252" s="140"/>
      <c r="CU252" s="140"/>
      <c r="CV252" s="140"/>
      <c r="CW252" s="140"/>
      <c r="CX252" s="140"/>
      <c r="CY252" s="140"/>
      <c r="CZ252" s="140"/>
      <c r="DA252" s="140"/>
      <c r="DB252" s="140"/>
      <c r="DC252" s="140"/>
      <c r="DD252" s="140"/>
      <c r="DE252" s="140"/>
      <c r="DF252" s="140"/>
      <c r="DG252" s="140"/>
      <c r="DH252" s="140"/>
      <c r="DI252" s="140"/>
      <c r="DJ252" s="140"/>
      <c r="DK252" s="140"/>
      <c r="DL252" s="140"/>
      <c r="DM252" s="140"/>
      <c r="DN252" s="140"/>
      <c r="DO252" s="140"/>
      <c r="DP252" s="140"/>
      <c r="DQ252" s="140"/>
      <c r="DR252" s="140"/>
    </row>
    <row r="253" spans="61:122" ht="3.6" customHeight="1">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c r="CN253" s="140"/>
      <c r="CO253" s="140"/>
      <c r="CP253" s="140"/>
      <c r="CQ253" s="140"/>
      <c r="CR253" s="140"/>
      <c r="CS253" s="140"/>
      <c r="CT253" s="140"/>
      <c r="CU253" s="140"/>
      <c r="CV253" s="140"/>
      <c r="CW253" s="140"/>
      <c r="CX253" s="140"/>
      <c r="CY253" s="140"/>
      <c r="CZ253" s="140"/>
      <c r="DA253" s="140"/>
      <c r="DB253" s="140"/>
      <c r="DC253" s="140"/>
      <c r="DD253" s="140"/>
      <c r="DE253" s="140"/>
      <c r="DF253" s="140"/>
      <c r="DG253" s="140"/>
      <c r="DH253" s="140"/>
      <c r="DI253" s="140"/>
      <c r="DJ253" s="140"/>
      <c r="DK253" s="140"/>
      <c r="DL253" s="140"/>
      <c r="DM253" s="140"/>
      <c r="DN253" s="140"/>
      <c r="DO253" s="140"/>
      <c r="DP253" s="140"/>
      <c r="DQ253" s="140"/>
      <c r="DR253" s="140"/>
    </row>
    <row r="254" spans="61:122" ht="3.6" customHeight="1">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c r="CN254" s="140"/>
      <c r="CO254" s="140"/>
      <c r="CP254" s="140"/>
      <c r="CQ254" s="140"/>
      <c r="CR254" s="140"/>
      <c r="CS254" s="140"/>
      <c r="CT254" s="140"/>
      <c r="CU254" s="140"/>
      <c r="CV254" s="140"/>
      <c r="CW254" s="140"/>
      <c r="CX254" s="140"/>
      <c r="CY254" s="140"/>
      <c r="CZ254" s="140"/>
      <c r="DA254" s="140"/>
      <c r="DB254" s="140"/>
      <c r="DC254" s="140"/>
      <c r="DD254" s="140"/>
      <c r="DE254" s="140"/>
      <c r="DF254" s="140"/>
      <c r="DG254" s="140"/>
      <c r="DH254" s="140"/>
      <c r="DI254" s="140"/>
      <c r="DJ254" s="140"/>
      <c r="DK254" s="140"/>
      <c r="DL254" s="140"/>
      <c r="DM254" s="140"/>
      <c r="DN254" s="140"/>
      <c r="DO254" s="140"/>
      <c r="DP254" s="140"/>
      <c r="DQ254" s="140"/>
      <c r="DR254" s="140"/>
    </row>
    <row r="255" spans="61:122" ht="3.6" customHeight="1">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c r="CN255" s="140"/>
      <c r="CO255" s="140"/>
      <c r="CP255" s="140"/>
      <c r="CQ255" s="140"/>
      <c r="CR255" s="140"/>
      <c r="CS255" s="140"/>
      <c r="CT255" s="140"/>
      <c r="CU255" s="140"/>
      <c r="CV255" s="140"/>
      <c r="CW255" s="140"/>
      <c r="CX255" s="140"/>
      <c r="CY255" s="140"/>
      <c r="CZ255" s="140"/>
      <c r="DA255" s="140"/>
      <c r="DB255" s="140"/>
      <c r="DC255" s="140"/>
      <c r="DD255" s="140"/>
      <c r="DE255" s="140"/>
      <c r="DF255" s="140"/>
      <c r="DG255" s="140"/>
      <c r="DH255" s="140"/>
      <c r="DI255" s="140"/>
      <c r="DJ255" s="140"/>
      <c r="DK255" s="140"/>
      <c r="DL255" s="140"/>
      <c r="DM255" s="140"/>
      <c r="DN255" s="140"/>
      <c r="DO255" s="140"/>
      <c r="DP255" s="140"/>
      <c r="DQ255" s="140"/>
      <c r="DR255" s="140"/>
    </row>
  </sheetData>
  <mergeCells count="116">
    <mergeCell ref="R231:AY234"/>
    <mergeCell ref="CI231:EA234"/>
    <mergeCell ref="EZ231:GO234"/>
    <mergeCell ref="FT204:FU211"/>
    <mergeCell ref="FV204:FW211"/>
    <mergeCell ref="FX204:FY211"/>
    <mergeCell ref="FZ204:GA211"/>
    <mergeCell ref="R227:AY230"/>
    <mergeCell ref="CI227:EA230"/>
    <mergeCell ref="EZ227:GO230"/>
    <mergeCell ref="Z185:AM187"/>
    <mergeCell ref="BF185:BS187"/>
    <mergeCell ref="CN185:DA187"/>
    <mergeCell ref="FH192:FP194"/>
    <mergeCell ref="GB192:GD202"/>
    <mergeCell ref="FH195:FP197"/>
    <mergeCell ref="FH198:FP200"/>
    <mergeCell ref="U160:X162"/>
    <mergeCell ref="CZ160:DC162"/>
    <mergeCell ref="GD162:GH165"/>
    <mergeCell ref="GD166:GH172"/>
    <mergeCell ref="DN171:DP181"/>
    <mergeCell ref="AX173:BW175"/>
    <mergeCell ref="AY176:BG178"/>
    <mergeCell ref="BH176:BO178"/>
    <mergeCell ref="BP176:BV178"/>
    <mergeCell ref="GO143:GP152"/>
    <mergeCell ref="DR146:DT158"/>
    <mergeCell ref="DV146:DX158"/>
    <mergeCell ref="GD155:GH161"/>
    <mergeCell ref="GI155:GL172"/>
    <mergeCell ref="GR158:GU169"/>
    <mergeCell ref="DR133:DT145"/>
    <mergeCell ref="DV133:DX145"/>
    <mergeCell ref="GC137:GM140"/>
    <mergeCell ref="FZ143:GC153"/>
    <mergeCell ref="GD143:GH153"/>
    <mergeCell ref="GI143:GL152"/>
    <mergeCell ref="GM143:GN152"/>
    <mergeCell ref="GM100:GP111"/>
    <mergeCell ref="FZ102:GB109"/>
    <mergeCell ref="FU104:FY107"/>
    <mergeCell ref="AY126:BX128"/>
    <mergeCell ref="M126:N132"/>
    <mergeCell ref="AY129:BH131"/>
    <mergeCell ref="BI129:BP131"/>
    <mergeCell ref="BQ129:BX131"/>
    <mergeCell ref="DN122:DP138"/>
    <mergeCell ref="FU130:GC133"/>
    <mergeCell ref="GF96:GH115"/>
    <mergeCell ref="GI96:GK115"/>
    <mergeCell ref="ER99:ET104"/>
    <mergeCell ref="W100:AJ102"/>
    <mergeCell ref="BF100:BS102"/>
    <mergeCell ref="CN100:DA102"/>
    <mergeCell ref="GC100:GE111"/>
    <mergeCell ref="EF87:EH97"/>
    <mergeCell ref="EI87:EM97"/>
    <mergeCell ref="EN87:EO97"/>
    <mergeCell ref="EY87:FC98"/>
    <mergeCell ref="AY91:BD93"/>
    <mergeCell ref="BE91:BR93"/>
    <mergeCell ref="AY96:BD98"/>
    <mergeCell ref="BE96:BR98"/>
    <mergeCell ref="FR85:FT95"/>
    <mergeCell ref="FU85:FY95"/>
    <mergeCell ref="FZ85:GB95"/>
    <mergeCell ref="GC85:GE95"/>
    <mergeCell ref="GF85:GH95"/>
    <mergeCell ref="GI85:GK95"/>
    <mergeCell ref="GI52:GO55"/>
    <mergeCell ref="FM67:FP75"/>
    <mergeCell ref="FV67:FY75"/>
    <mergeCell ref="ED72:EF78"/>
    <mergeCell ref="FT76:FW84"/>
    <mergeCell ref="GD76:GF84"/>
    <mergeCell ref="ES80:FE83"/>
    <mergeCell ref="EH52:EU55"/>
    <mergeCell ref="EV52:FF55"/>
    <mergeCell ref="FG52:FL55"/>
    <mergeCell ref="FM52:FV55"/>
    <mergeCell ref="FW52:GA55"/>
    <mergeCell ref="GB52:GH55"/>
    <mergeCell ref="EH40:EU43"/>
    <mergeCell ref="EV40:FF43"/>
    <mergeCell ref="FG40:FL43"/>
    <mergeCell ref="FM40:FV43"/>
    <mergeCell ref="FW40:GA43"/>
    <mergeCell ref="GB40:GH43"/>
    <mergeCell ref="GI40:GO43"/>
    <mergeCell ref="GI44:GO47"/>
    <mergeCell ref="EH48:EU51"/>
    <mergeCell ref="EV48:FF51"/>
    <mergeCell ref="FG48:FL51"/>
    <mergeCell ref="FM48:FV51"/>
    <mergeCell ref="FW48:GA51"/>
    <mergeCell ref="GB48:GH51"/>
    <mergeCell ref="GI48:GO51"/>
    <mergeCell ref="EH44:EU47"/>
    <mergeCell ref="EV44:FF47"/>
    <mergeCell ref="FG44:FL47"/>
    <mergeCell ref="FM44:FV47"/>
    <mergeCell ref="FW44:GA47"/>
    <mergeCell ref="GB44:GH47"/>
    <mergeCell ref="K3:EH10"/>
    <mergeCell ref="EX3:GX7"/>
    <mergeCell ref="EX8:GX12"/>
    <mergeCell ref="EH32:GO35"/>
    <mergeCell ref="AN34:CH38"/>
    <mergeCell ref="EH36:EU39"/>
    <mergeCell ref="EV36:FF39"/>
    <mergeCell ref="FG36:FL39"/>
    <mergeCell ref="FM36:FV39"/>
    <mergeCell ref="FW36:GA39"/>
    <mergeCell ref="GB36:GH39"/>
    <mergeCell ref="GI36:GO39"/>
  </mergeCells>
  <pageMargins left="0.5" right="0.25" top="0.5" bottom="0.25" header="0.5" footer="0.5"/>
  <pageSetup paperSize="9" scale="80" orientation="portrait" r:id="rId1"/>
  <headerFooter alignWithMargins="0"/>
</worksheet>
</file>

<file path=xl/worksheets/sheet28.xml><?xml version="1.0" encoding="utf-8"?>
<worksheet xmlns="http://schemas.openxmlformats.org/spreadsheetml/2006/main" xmlns:r="http://schemas.openxmlformats.org/officeDocument/2006/relationships">
  <sheetPr>
    <tabColor rgb="FF00B050"/>
  </sheetPr>
  <dimension ref="I2:KJ167"/>
  <sheetViews>
    <sheetView view="pageBreakPreview" topLeftCell="A7" zoomScale="48" zoomScaleSheetLayoutView="48" workbookViewId="0">
      <selection activeCell="HS153" sqref="HS153:HS154"/>
    </sheetView>
  </sheetViews>
  <sheetFormatPr defaultColWidth="0.7109375" defaultRowHeight="4.1500000000000004" customHeight="1"/>
  <sheetData>
    <row r="2" spans="15:262" ht="4.1500000000000004" customHeight="1">
      <c r="AE2" s="2841"/>
      <c r="AF2" s="2841"/>
      <c r="AG2" s="2841"/>
      <c r="AH2" s="2841"/>
      <c r="AI2" s="2841"/>
      <c r="AJ2" s="2841"/>
      <c r="AK2" s="2841"/>
      <c r="AL2" s="2841"/>
      <c r="AM2" s="2841"/>
      <c r="AN2" s="2841"/>
      <c r="AO2" s="2841"/>
      <c r="AP2" s="2841"/>
      <c r="AQ2" s="2841"/>
      <c r="AR2" s="2841"/>
      <c r="AS2" s="2841"/>
      <c r="AT2" s="2841"/>
      <c r="AU2" s="2841"/>
      <c r="AV2" s="2841"/>
      <c r="AW2" s="2841"/>
      <c r="AX2" s="2841"/>
      <c r="AY2" s="2841"/>
      <c r="AZ2" s="2841"/>
      <c r="BA2" s="2841"/>
      <c r="BB2" s="2841"/>
      <c r="BC2" s="2841"/>
      <c r="BD2" s="2841"/>
      <c r="BE2" s="2841"/>
      <c r="BF2" s="2841"/>
      <c r="BG2" s="2841"/>
      <c r="BH2" s="2841"/>
      <c r="BI2" s="2841"/>
      <c r="BJ2" s="2841"/>
      <c r="BK2" s="2841"/>
      <c r="BL2" s="2841"/>
      <c r="BM2" s="2841"/>
      <c r="BN2" s="2841"/>
      <c r="BO2" s="2841"/>
      <c r="BP2" s="2841"/>
      <c r="BQ2" s="2841"/>
      <c r="BR2" s="2841"/>
      <c r="BS2" s="2841"/>
      <c r="BT2" s="2841"/>
      <c r="BU2" s="2841"/>
      <c r="BV2" s="2841"/>
      <c r="BW2" s="2841"/>
      <c r="BX2" s="2841"/>
      <c r="BY2" s="2841"/>
      <c r="BZ2" s="2841"/>
      <c r="CA2" s="2841"/>
      <c r="CB2" s="2841"/>
      <c r="CC2" s="2841"/>
      <c r="CD2" s="2841"/>
      <c r="CE2" s="2841"/>
      <c r="CF2" s="2841"/>
      <c r="CG2" s="2841"/>
      <c r="CH2" s="2841"/>
      <c r="CI2" s="2841"/>
      <c r="CJ2" s="2841"/>
      <c r="CK2" s="2841"/>
      <c r="CL2" s="2841"/>
      <c r="CM2" s="2841"/>
      <c r="CN2" s="2841"/>
      <c r="CO2" s="2841"/>
      <c r="CP2" s="2841"/>
      <c r="CQ2" s="2841"/>
      <c r="CR2" s="2841"/>
      <c r="CS2" s="2841"/>
      <c r="CT2" s="2841"/>
      <c r="CU2" s="2841"/>
      <c r="CV2" s="2841"/>
      <c r="CW2" s="2841"/>
      <c r="CX2" s="2841"/>
      <c r="CY2" s="2841"/>
      <c r="CZ2" s="2841"/>
      <c r="DA2" s="2841"/>
      <c r="DB2" s="2841"/>
      <c r="DC2" s="2841"/>
      <c r="DD2" s="2841"/>
      <c r="DE2" s="2841"/>
      <c r="DF2" s="2841"/>
      <c r="DG2" s="2841"/>
      <c r="DH2" s="2841"/>
      <c r="DI2" s="2841"/>
      <c r="DJ2" s="2841"/>
      <c r="DK2" s="2841"/>
      <c r="DL2" s="2841"/>
      <c r="DM2" s="2841"/>
      <c r="DN2" s="2841"/>
      <c r="DO2" s="2841"/>
      <c r="DP2" s="2841"/>
      <c r="DQ2" s="2841"/>
      <c r="DR2" s="2841"/>
      <c r="DS2" s="2841"/>
      <c r="DT2" s="2841"/>
      <c r="DU2" s="2841"/>
      <c r="DV2" s="2841"/>
      <c r="DW2" s="2841"/>
      <c r="DX2" s="2841"/>
      <c r="DY2" s="2841"/>
      <c r="DZ2" s="2841"/>
      <c r="EA2" s="2841"/>
      <c r="EB2" s="2841"/>
      <c r="EC2" s="2841"/>
      <c r="ED2" s="2841"/>
      <c r="EE2" s="2841"/>
      <c r="EF2" s="2841"/>
      <c r="EG2" s="2841"/>
      <c r="EH2" s="2841"/>
      <c r="EI2" s="2841"/>
      <c r="EJ2" s="2841"/>
      <c r="EK2" s="2841"/>
      <c r="EL2" s="2841"/>
      <c r="EM2" s="2841"/>
      <c r="EN2" s="2841"/>
      <c r="EO2" s="2841"/>
      <c r="EP2" s="2841"/>
      <c r="EQ2" s="2841"/>
      <c r="ER2" s="2841"/>
      <c r="ES2" s="2841"/>
      <c r="ET2" s="2841"/>
      <c r="EU2" s="2841"/>
      <c r="EV2" s="2841"/>
      <c r="EW2" s="2841"/>
      <c r="EX2" s="2841"/>
      <c r="EY2" s="2841"/>
      <c r="EZ2" s="2841"/>
      <c r="FA2" s="2841"/>
      <c r="FB2" s="2841"/>
      <c r="FC2" s="2841"/>
      <c r="FD2" s="2841"/>
      <c r="FE2" s="2841"/>
      <c r="FF2" s="2841"/>
      <c r="FG2" s="2841"/>
      <c r="FH2" s="2841"/>
      <c r="FI2" s="2841"/>
      <c r="FJ2" s="2841"/>
      <c r="FK2" s="2841"/>
      <c r="FL2" s="2841"/>
      <c r="FM2" s="2841"/>
      <c r="FN2" s="2841"/>
      <c r="FO2" s="2841"/>
      <c r="FP2" s="2841"/>
      <c r="HO2" s="2789" t="s">
        <v>3000</v>
      </c>
      <c r="HP2" s="2789"/>
      <c r="HQ2" s="2789"/>
      <c r="HR2" s="2789"/>
      <c r="HS2" s="2789"/>
      <c r="HT2" s="2789"/>
      <c r="HU2" s="2789"/>
      <c r="HV2" s="2789"/>
      <c r="HW2" s="2789"/>
      <c r="HX2" s="2789"/>
      <c r="HY2" s="2789"/>
      <c r="HZ2" s="2789"/>
      <c r="IA2" s="2789"/>
      <c r="IB2" s="2789"/>
      <c r="IC2" s="2789"/>
      <c r="ID2" s="2789"/>
      <c r="IE2" s="2789"/>
      <c r="IF2" s="2789"/>
      <c r="IG2" s="2789"/>
      <c r="IH2" s="2789"/>
      <c r="II2" s="2789"/>
      <c r="IJ2" s="2789"/>
      <c r="IK2" s="2789"/>
      <c r="IL2" s="2789"/>
      <c r="IM2" s="2789"/>
      <c r="IN2" s="2789"/>
      <c r="IO2" s="2789"/>
      <c r="IP2" s="2789"/>
      <c r="IQ2" s="2789"/>
      <c r="IR2" s="2789"/>
      <c r="IS2" s="2789"/>
      <c r="IT2" s="2789"/>
      <c r="IU2" s="2789"/>
      <c r="IV2" s="2789"/>
      <c r="IW2" s="2789"/>
      <c r="IX2" s="2789"/>
      <c r="IY2" s="2789"/>
      <c r="IZ2" s="2789"/>
      <c r="JA2" s="2789"/>
      <c r="JB2" s="2789"/>
    </row>
    <row r="3" spans="15:262" ht="4.1500000000000004" customHeight="1">
      <c r="AE3" s="2841"/>
      <c r="AF3" s="2841"/>
      <c r="AG3" s="2841"/>
      <c r="AH3" s="2841"/>
      <c r="AI3" s="2841"/>
      <c r="AJ3" s="2841"/>
      <c r="AK3" s="2841"/>
      <c r="AL3" s="2841"/>
      <c r="AM3" s="2841"/>
      <c r="AN3" s="2841"/>
      <c r="AO3" s="2841"/>
      <c r="AP3" s="2841"/>
      <c r="AQ3" s="2841"/>
      <c r="AR3" s="2841"/>
      <c r="AS3" s="2841"/>
      <c r="AT3" s="2841"/>
      <c r="AU3" s="2841"/>
      <c r="AV3" s="2841"/>
      <c r="AW3" s="2841"/>
      <c r="AX3" s="2841"/>
      <c r="AY3" s="2841"/>
      <c r="AZ3" s="2841"/>
      <c r="BA3" s="2841"/>
      <c r="BB3" s="2841"/>
      <c r="BC3" s="2841"/>
      <c r="BD3" s="2841"/>
      <c r="BE3" s="2841"/>
      <c r="BF3" s="2841"/>
      <c r="BG3" s="2841"/>
      <c r="BH3" s="2841"/>
      <c r="BI3" s="2841"/>
      <c r="BJ3" s="2841"/>
      <c r="BK3" s="2841"/>
      <c r="BL3" s="2841"/>
      <c r="BM3" s="2841"/>
      <c r="BN3" s="2841"/>
      <c r="BO3" s="2841"/>
      <c r="BP3" s="2841"/>
      <c r="BQ3" s="2841"/>
      <c r="BR3" s="2841"/>
      <c r="BS3" s="2841"/>
      <c r="BT3" s="2841"/>
      <c r="BU3" s="2841"/>
      <c r="BV3" s="2841"/>
      <c r="BW3" s="2841"/>
      <c r="BX3" s="2841"/>
      <c r="BY3" s="2841"/>
      <c r="BZ3" s="2841"/>
      <c r="CA3" s="2841"/>
      <c r="CB3" s="2841"/>
      <c r="CC3" s="2841"/>
      <c r="CD3" s="2841"/>
      <c r="CE3" s="2841"/>
      <c r="CF3" s="2841"/>
      <c r="CG3" s="2841"/>
      <c r="CH3" s="2841"/>
      <c r="CI3" s="2841"/>
      <c r="CJ3" s="2841"/>
      <c r="CK3" s="2841"/>
      <c r="CL3" s="2841"/>
      <c r="CM3" s="2841"/>
      <c r="CN3" s="2841"/>
      <c r="CO3" s="2841"/>
      <c r="CP3" s="2841"/>
      <c r="CQ3" s="2841"/>
      <c r="CR3" s="2841"/>
      <c r="CS3" s="2841"/>
      <c r="CT3" s="2841"/>
      <c r="CU3" s="2841"/>
      <c r="CV3" s="2841"/>
      <c r="CW3" s="2841"/>
      <c r="CX3" s="2841"/>
      <c r="CY3" s="2841"/>
      <c r="CZ3" s="2841"/>
      <c r="DA3" s="2841"/>
      <c r="DB3" s="2841"/>
      <c r="DC3" s="2841"/>
      <c r="DD3" s="2841"/>
      <c r="DE3" s="2841"/>
      <c r="DF3" s="2841"/>
      <c r="DG3" s="2841"/>
      <c r="DH3" s="2841"/>
      <c r="DI3" s="2841"/>
      <c r="DJ3" s="2841"/>
      <c r="DK3" s="2841"/>
      <c r="DL3" s="2841"/>
      <c r="DM3" s="2841"/>
      <c r="DN3" s="2841"/>
      <c r="DO3" s="2841"/>
      <c r="DP3" s="2841"/>
      <c r="DQ3" s="2841"/>
      <c r="DR3" s="2841"/>
      <c r="DS3" s="2841"/>
      <c r="DT3" s="2841"/>
      <c r="DU3" s="2841"/>
      <c r="DV3" s="2841"/>
      <c r="DW3" s="2841"/>
      <c r="DX3" s="2841"/>
      <c r="DY3" s="2841"/>
      <c r="DZ3" s="2841"/>
      <c r="EA3" s="2841"/>
      <c r="EB3" s="2841"/>
      <c r="EC3" s="2841"/>
      <c r="ED3" s="2841"/>
      <c r="EE3" s="2841"/>
      <c r="EF3" s="2841"/>
      <c r="EG3" s="2841"/>
      <c r="EH3" s="2841"/>
      <c r="EI3" s="2841"/>
      <c r="EJ3" s="2841"/>
      <c r="EK3" s="2841"/>
      <c r="EL3" s="2841"/>
      <c r="EM3" s="2841"/>
      <c r="EN3" s="2841"/>
      <c r="EO3" s="2841"/>
      <c r="EP3" s="2841"/>
      <c r="EQ3" s="2841"/>
      <c r="ER3" s="2841"/>
      <c r="ES3" s="2841"/>
      <c r="ET3" s="2841"/>
      <c r="EU3" s="2841"/>
      <c r="EV3" s="2841"/>
      <c r="EW3" s="2841"/>
      <c r="EX3" s="2841"/>
      <c r="EY3" s="2841"/>
      <c r="EZ3" s="2841"/>
      <c r="FA3" s="2841"/>
      <c r="FB3" s="2841"/>
      <c r="FC3" s="2841"/>
      <c r="FD3" s="2841"/>
      <c r="FE3" s="2841"/>
      <c r="FF3" s="2841"/>
      <c r="FG3" s="2841"/>
      <c r="FH3" s="2841"/>
      <c r="FI3" s="2841"/>
      <c r="FJ3" s="2841"/>
      <c r="FK3" s="2841"/>
      <c r="FL3" s="2841"/>
      <c r="FM3" s="2841"/>
      <c r="FN3" s="2841"/>
      <c r="FO3" s="2841"/>
      <c r="FP3" s="2841"/>
      <c r="HO3" s="2789"/>
      <c r="HP3" s="2789"/>
      <c r="HQ3" s="2789"/>
      <c r="HR3" s="2789"/>
      <c r="HS3" s="2789"/>
      <c r="HT3" s="2789"/>
      <c r="HU3" s="2789"/>
      <c r="HV3" s="2789"/>
      <c r="HW3" s="2789"/>
      <c r="HX3" s="2789"/>
      <c r="HY3" s="2789"/>
      <c r="HZ3" s="2789"/>
      <c r="IA3" s="2789"/>
      <c r="IB3" s="2789"/>
      <c r="IC3" s="2789"/>
      <c r="ID3" s="2789"/>
      <c r="IE3" s="2789"/>
      <c r="IF3" s="2789"/>
      <c r="IG3" s="2789"/>
      <c r="IH3" s="2789"/>
      <c r="II3" s="2789"/>
      <c r="IJ3" s="2789"/>
      <c r="IK3" s="2789"/>
      <c r="IL3" s="2789"/>
      <c r="IM3" s="2789"/>
      <c r="IN3" s="2789"/>
      <c r="IO3" s="2789"/>
      <c r="IP3" s="2789"/>
      <c r="IQ3" s="2789"/>
      <c r="IR3" s="2789"/>
      <c r="IS3" s="2789"/>
      <c r="IT3" s="2789"/>
      <c r="IU3" s="2789"/>
      <c r="IV3" s="2789"/>
      <c r="IW3" s="2789"/>
      <c r="IX3" s="2789"/>
      <c r="IY3" s="2789"/>
      <c r="IZ3" s="2789"/>
      <c r="JA3" s="2789"/>
      <c r="JB3" s="2789"/>
    </row>
    <row r="4" spans="15:262" ht="4.1500000000000004" customHeight="1">
      <c r="AE4" s="2841"/>
      <c r="AF4" s="2841"/>
      <c r="AG4" s="2841"/>
      <c r="AH4" s="2841"/>
      <c r="AI4" s="2841"/>
      <c r="AJ4" s="2841"/>
      <c r="AK4" s="2841"/>
      <c r="AL4" s="2841"/>
      <c r="AM4" s="2841"/>
      <c r="AN4" s="2841"/>
      <c r="AO4" s="2841"/>
      <c r="AP4" s="2841"/>
      <c r="AQ4" s="2841"/>
      <c r="AR4" s="2841"/>
      <c r="AS4" s="2841"/>
      <c r="AT4" s="2841"/>
      <c r="AU4" s="2841"/>
      <c r="AV4" s="2841"/>
      <c r="AW4" s="2841"/>
      <c r="AX4" s="2841"/>
      <c r="AY4" s="2841"/>
      <c r="AZ4" s="2841"/>
      <c r="BA4" s="2841"/>
      <c r="BB4" s="2841"/>
      <c r="BC4" s="2841"/>
      <c r="BD4" s="2841"/>
      <c r="BE4" s="2841"/>
      <c r="BF4" s="2841"/>
      <c r="BG4" s="2841"/>
      <c r="BH4" s="2841"/>
      <c r="BI4" s="2841"/>
      <c r="BJ4" s="2841"/>
      <c r="BK4" s="2841"/>
      <c r="BL4" s="2841"/>
      <c r="BM4" s="2841"/>
      <c r="BN4" s="2841"/>
      <c r="BO4" s="2841"/>
      <c r="BP4" s="2841"/>
      <c r="BQ4" s="2841"/>
      <c r="BR4" s="2841"/>
      <c r="BS4" s="2841"/>
      <c r="BT4" s="2841"/>
      <c r="BU4" s="2841"/>
      <c r="BV4" s="2841"/>
      <c r="BW4" s="2841"/>
      <c r="BX4" s="2841"/>
      <c r="BY4" s="2841"/>
      <c r="BZ4" s="2841"/>
      <c r="CA4" s="2841"/>
      <c r="CB4" s="2841"/>
      <c r="CC4" s="2841"/>
      <c r="CD4" s="2841"/>
      <c r="CE4" s="2841"/>
      <c r="CF4" s="2841"/>
      <c r="CG4" s="2841"/>
      <c r="CH4" s="2841"/>
      <c r="CI4" s="2841"/>
      <c r="CJ4" s="2841"/>
      <c r="CK4" s="2841"/>
      <c r="CL4" s="2841"/>
      <c r="CM4" s="2841"/>
      <c r="CN4" s="2841"/>
      <c r="CO4" s="2841"/>
      <c r="CP4" s="2841"/>
      <c r="CQ4" s="2841"/>
      <c r="CR4" s="2841"/>
      <c r="CS4" s="2841"/>
      <c r="CT4" s="2841"/>
      <c r="CU4" s="2841"/>
      <c r="CV4" s="2841"/>
      <c r="CW4" s="2841"/>
      <c r="CX4" s="2841"/>
      <c r="CY4" s="2841"/>
      <c r="CZ4" s="2841"/>
      <c r="DA4" s="2841"/>
      <c r="DB4" s="2841"/>
      <c r="DC4" s="2841"/>
      <c r="DD4" s="2841"/>
      <c r="DE4" s="2841"/>
      <c r="DF4" s="2841"/>
      <c r="DG4" s="2841"/>
      <c r="DH4" s="2841"/>
      <c r="DI4" s="2841"/>
      <c r="DJ4" s="2841"/>
      <c r="DK4" s="2841"/>
      <c r="DL4" s="2841"/>
      <c r="DM4" s="2841"/>
      <c r="DN4" s="2841"/>
      <c r="DO4" s="2841"/>
      <c r="DP4" s="2841"/>
      <c r="DQ4" s="2841"/>
      <c r="DR4" s="2841"/>
      <c r="DS4" s="2841"/>
      <c r="DT4" s="2841"/>
      <c r="DU4" s="2841"/>
      <c r="DV4" s="2841"/>
      <c r="DW4" s="2841"/>
      <c r="DX4" s="2841"/>
      <c r="DY4" s="2841"/>
      <c r="DZ4" s="2841"/>
      <c r="EA4" s="2841"/>
      <c r="EB4" s="2841"/>
      <c r="EC4" s="2841"/>
      <c r="ED4" s="2841"/>
      <c r="EE4" s="2841"/>
      <c r="EF4" s="2841"/>
      <c r="EG4" s="2841"/>
      <c r="EH4" s="2841"/>
      <c r="EI4" s="2841"/>
      <c r="EJ4" s="2841"/>
      <c r="EK4" s="2841"/>
      <c r="EL4" s="2841"/>
      <c r="EM4" s="2841"/>
      <c r="EN4" s="2841"/>
      <c r="EO4" s="2841"/>
      <c r="EP4" s="2841"/>
      <c r="EQ4" s="2841"/>
      <c r="ER4" s="2841"/>
      <c r="ES4" s="2841"/>
      <c r="ET4" s="2841"/>
      <c r="EU4" s="2841"/>
      <c r="EV4" s="2841"/>
      <c r="EW4" s="2841"/>
      <c r="EX4" s="2841"/>
      <c r="EY4" s="2841"/>
      <c r="EZ4" s="2841"/>
      <c r="FA4" s="2841"/>
      <c r="FB4" s="2841"/>
      <c r="FC4" s="2841"/>
      <c r="FD4" s="2841"/>
      <c r="FE4" s="2841"/>
      <c r="FF4" s="2841"/>
      <c r="FG4" s="2841"/>
      <c r="FH4" s="2841"/>
      <c r="FI4" s="2841"/>
      <c r="FJ4" s="2841"/>
      <c r="FK4" s="2841"/>
      <c r="FL4" s="2841"/>
      <c r="FM4" s="2841"/>
      <c r="FN4" s="2841"/>
      <c r="FO4" s="2841"/>
      <c r="FP4" s="2841"/>
      <c r="HO4" s="2789"/>
      <c r="HP4" s="2789"/>
      <c r="HQ4" s="2789"/>
      <c r="HR4" s="2789"/>
      <c r="HS4" s="2789"/>
      <c r="HT4" s="2789"/>
      <c r="HU4" s="2789"/>
      <c r="HV4" s="2789"/>
      <c r="HW4" s="2789"/>
      <c r="HX4" s="2789"/>
      <c r="HY4" s="2789"/>
      <c r="HZ4" s="2789"/>
      <c r="IA4" s="2789"/>
      <c r="IB4" s="2789"/>
      <c r="IC4" s="2789"/>
      <c r="ID4" s="2789"/>
      <c r="IE4" s="2789"/>
      <c r="IF4" s="2789"/>
      <c r="IG4" s="2789"/>
      <c r="IH4" s="2789"/>
      <c r="II4" s="2789"/>
      <c r="IJ4" s="2789"/>
      <c r="IK4" s="2789"/>
      <c r="IL4" s="2789"/>
      <c r="IM4" s="2789"/>
      <c r="IN4" s="2789"/>
      <c r="IO4" s="2789"/>
      <c r="IP4" s="2789"/>
      <c r="IQ4" s="2789"/>
      <c r="IR4" s="2789"/>
      <c r="IS4" s="2789"/>
      <c r="IT4" s="2789"/>
      <c r="IU4" s="2789"/>
      <c r="IV4" s="2789"/>
      <c r="IW4" s="2789"/>
      <c r="IX4" s="2789"/>
      <c r="IY4" s="2789"/>
      <c r="IZ4" s="2789"/>
      <c r="JA4" s="2789"/>
      <c r="JB4" s="2789"/>
    </row>
    <row r="5" spans="15:262" ht="4.1500000000000004" customHeight="1">
      <c r="AE5" s="2841"/>
      <c r="AF5" s="2841"/>
      <c r="AG5" s="2841"/>
      <c r="AH5" s="2841"/>
      <c r="AI5" s="2841"/>
      <c r="AJ5" s="2841"/>
      <c r="AK5" s="2841"/>
      <c r="AL5" s="2841"/>
      <c r="AM5" s="2841"/>
      <c r="AN5" s="2841"/>
      <c r="AO5" s="2841"/>
      <c r="AP5" s="2841"/>
      <c r="AQ5" s="2841"/>
      <c r="AR5" s="2841"/>
      <c r="AS5" s="2841"/>
      <c r="AT5" s="2841"/>
      <c r="AU5" s="2841"/>
      <c r="AV5" s="2841"/>
      <c r="AW5" s="2841"/>
      <c r="AX5" s="2841"/>
      <c r="AY5" s="2841"/>
      <c r="AZ5" s="2841"/>
      <c r="BA5" s="2841"/>
      <c r="BB5" s="2841"/>
      <c r="BC5" s="2841"/>
      <c r="BD5" s="2841"/>
      <c r="BE5" s="2841"/>
      <c r="BF5" s="2841"/>
      <c r="BG5" s="2841"/>
      <c r="BH5" s="2841"/>
      <c r="BI5" s="2841"/>
      <c r="BJ5" s="2841"/>
      <c r="BK5" s="2841"/>
      <c r="BL5" s="2841"/>
      <c r="BM5" s="2841"/>
      <c r="BN5" s="2841"/>
      <c r="BO5" s="2841"/>
      <c r="BP5" s="2841"/>
      <c r="BQ5" s="2841"/>
      <c r="BR5" s="2841"/>
      <c r="BS5" s="2841"/>
      <c r="BT5" s="2841"/>
      <c r="BU5" s="2841"/>
      <c r="BV5" s="2841"/>
      <c r="BW5" s="2841"/>
      <c r="BX5" s="2841"/>
      <c r="BY5" s="2841"/>
      <c r="BZ5" s="2841"/>
      <c r="CA5" s="2841"/>
      <c r="CB5" s="2841"/>
      <c r="CC5" s="2841"/>
      <c r="CD5" s="2841"/>
      <c r="CE5" s="2841"/>
      <c r="CF5" s="2841"/>
      <c r="CG5" s="2841"/>
      <c r="CH5" s="2841"/>
      <c r="CI5" s="2841"/>
      <c r="CJ5" s="2841"/>
      <c r="CK5" s="2841"/>
      <c r="CL5" s="2841"/>
      <c r="CM5" s="2841"/>
      <c r="CN5" s="2841"/>
      <c r="CO5" s="2841"/>
      <c r="CP5" s="2841"/>
      <c r="CQ5" s="2841"/>
      <c r="CR5" s="2841"/>
      <c r="CS5" s="2841"/>
      <c r="CT5" s="2841"/>
      <c r="CU5" s="2841"/>
      <c r="CV5" s="2841"/>
      <c r="CW5" s="2841"/>
      <c r="CX5" s="2841"/>
      <c r="CY5" s="2841"/>
      <c r="CZ5" s="2841"/>
      <c r="DA5" s="2841"/>
      <c r="DB5" s="2841"/>
      <c r="DC5" s="2841"/>
      <c r="DD5" s="2841"/>
      <c r="DE5" s="2841"/>
      <c r="DF5" s="2841"/>
      <c r="DG5" s="2841"/>
      <c r="DH5" s="2841"/>
      <c r="DI5" s="2841"/>
      <c r="DJ5" s="2841"/>
      <c r="DK5" s="2841"/>
      <c r="DL5" s="2841"/>
      <c r="DM5" s="2841"/>
      <c r="DN5" s="2841"/>
      <c r="DO5" s="2841"/>
      <c r="DP5" s="2841"/>
      <c r="DQ5" s="2841"/>
      <c r="DR5" s="2841"/>
      <c r="DS5" s="2841"/>
      <c r="DT5" s="2841"/>
      <c r="DU5" s="2841"/>
      <c r="DV5" s="2841"/>
      <c r="DW5" s="2841"/>
      <c r="DX5" s="2841"/>
      <c r="DY5" s="2841"/>
      <c r="DZ5" s="2841"/>
      <c r="EA5" s="2841"/>
      <c r="EB5" s="2841"/>
      <c r="EC5" s="2841"/>
      <c r="ED5" s="2841"/>
      <c r="EE5" s="2841"/>
      <c r="EF5" s="2841"/>
      <c r="EG5" s="2841"/>
      <c r="EH5" s="2841"/>
      <c r="EI5" s="2841"/>
      <c r="EJ5" s="2841"/>
      <c r="EK5" s="2841"/>
      <c r="EL5" s="2841"/>
      <c r="EM5" s="2841"/>
      <c r="EN5" s="2841"/>
      <c r="EO5" s="2841"/>
      <c r="EP5" s="2841"/>
      <c r="EQ5" s="2841"/>
      <c r="ER5" s="2841"/>
      <c r="ES5" s="2841"/>
      <c r="ET5" s="2841"/>
      <c r="EU5" s="2841"/>
      <c r="EV5" s="2841"/>
      <c r="EW5" s="2841"/>
      <c r="EX5" s="2841"/>
      <c r="EY5" s="2841"/>
      <c r="EZ5" s="2841"/>
      <c r="FA5" s="2841"/>
      <c r="FB5" s="2841"/>
      <c r="FC5" s="2841"/>
      <c r="FD5" s="2841"/>
      <c r="FE5" s="2841"/>
      <c r="FF5" s="2841"/>
      <c r="FG5" s="2841"/>
      <c r="FH5" s="2841"/>
      <c r="FI5" s="2841"/>
      <c r="FJ5" s="2841"/>
      <c r="FK5" s="2841"/>
      <c r="FL5" s="2841"/>
      <c r="FM5" s="2841"/>
      <c r="FN5" s="2841"/>
      <c r="FO5" s="2841"/>
      <c r="FP5" s="2841"/>
      <c r="HO5" s="2789"/>
      <c r="HP5" s="2789"/>
      <c r="HQ5" s="2789"/>
      <c r="HR5" s="2789"/>
      <c r="HS5" s="2789"/>
      <c r="HT5" s="2789"/>
      <c r="HU5" s="2789"/>
      <c r="HV5" s="2789"/>
      <c r="HW5" s="2789"/>
      <c r="HX5" s="2789"/>
      <c r="HY5" s="2789"/>
      <c r="HZ5" s="2789"/>
      <c r="IA5" s="2789"/>
      <c r="IB5" s="2789"/>
      <c r="IC5" s="2789"/>
      <c r="ID5" s="2789"/>
      <c r="IE5" s="2789"/>
      <c r="IF5" s="2789"/>
      <c r="IG5" s="2789"/>
      <c r="IH5" s="2789"/>
      <c r="II5" s="2789"/>
      <c r="IJ5" s="2789"/>
      <c r="IK5" s="2789"/>
      <c r="IL5" s="2789"/>
      <c r="IM5" s="2789"/>
      <c r="IN5" s="2789"/>
      <c r="IO5" s="2789"/>
      <c r="IP5" s="2789"/>
      <c r="IQ5" s="2789"/>
      <c r="IR5" s="2789"/>
      <c r="IS5" s="2789"/>
      <c r="IT5" s="2789"/>
      <c r="IU5" s="2789"/>
      <c r="IV5" s="2789"/>
      <c r="IW5" s="2789"/>
      <c r="IX5" s="2789"/>
      <c r="IY5" s="2789"/>
      <c r="IZ5" s="2789"/>
      <c r="JA5" s="2789"/>
      <c r="JB5" s="2789"/>
    </row>
    <row r="6" spans="15:262" ht="4.1500000000000004" customHeight="1">
      <c r="AE6" s="2841"/>
      <c r="AF6" s="2841"/>
      <c r="AG6" s="2841"/>
      <c r="AH6" s="2841"/>
      <c r="AI6" s="2841"/>
      <c r="AJ6" s="2841"/>
      <c r="AK6" s="2841"/>
      <c r="AL6" s="2841"/>
      <c r="AM6" s="2841"/>
      <c r="AN6" s="2841"/>
      <c r="AO6" s="2841"/>
      <c r="AP6" s="2841"/>
      <c r="AQ6" s="2841"/>
      <c r="AR6" s="2841"/>
      <c r="AS6" s="2841"/>
      <c r="AT6" s="2841"/>
      <c r="AU6" s="2841"/>
      <c r="AV6" s="2841"/>
      <c r="AW6" s="2841"/>
      <c r="AX6" s="2841"/>
      <c r="AY6" s="2841"/>
      <c r="AZ6" s="2841"/>
      <c r="BA6" s="2841"/>
      <c r="BB6" s="2841"/>
      <c r="BC6" s="2841"/>
      <c r="BD6" s="2841"/>
      <c r="BE6" s="2841"/>
      <c r="BF6" s="2841"/>
      <c r="BG6" s="2841"/>
      <c r="BH6" s="2841"/>
      <c r="BI6" s="2841"/>
      <c r="BJ6" s="2841"/>
      <c r="BK6" s="2841"/>
      <c r="BL6" s="2841"/>
      <c r="BM6" s="2841"/>
      <c r="BN6" s="2841"/>
      <c r="BO6" s="2841"/>
      <c r="BP6" s="2841"/>
      <c r="BQ6" s="2841"/>
      <c r="BR6" s="2841"/>
      <c r="BS6" s="2841"/>
      <c r="BT6" s="2841"/>
      <c r="BU6" s="2841"/>
      <c r="BV6" s="2841"/>
      <c r="BW6" s="2841"/>
      <c r="BX6" s="2841"/>
      <c r="BY6" s="2841"/>
      <c r="BZ6" s="2841"/>
      <c r="CA6" s="2841"/>
      <c r="CB6" s="2841"/>
      <c r="CC6" s="2841"/>
      <c r="CD6" s="2841"/>
      <c r="CE6" s="2841"/>
      <c r="CF6" s="2841"/>
      <c r="CG6" s="2841"/>
      <c r="CH6" s="2841"/>
      <c r="CI6" s="2841"/>
      <c r="CJ6" s="2841"/>
      <c r="CK6" s="2841"/>
      <c r="CL6" s="2841"/>
      <c r="CM6" s="2841"/>
      <c r="CN6" s="2841"/>
      <c r="CO6" s="2841"/>
      <c r="CP6" s="2841"/>
      <c r="CQ6" s="2841"/>
      <c r="CR6" s="2841"/>
      <c r="CS6" s="2841"/>
      <c r="CT6" s="2841"/>
      <c r="CU6" s="2841"/>
      <c r="CV6" s="2841"/>
      <c r="CW6" s="2841"/>
      <c r="CX6" s="2841"/>
      <c r="CY6" s="2841"/>
      <c r="CZ6" s="2841"/>
      <c r="DA6" s="2841"/>
      <c r="DB6" s="2841"/>
      <c r="DC6" s="2841"/>
      <c r="DD6" s="2841"/>
      <c r="DE6" s="2841"/>
      <c r="DF6" s="2841"/>
      <c r="DG6" s="2841"/>
      <c r="DH6" s="2841"/>
      <c r="DI6" s="2841"/>
      <c r="DJ6" s="2841"/>
      <c r="DK6" s="2841"/>
      <c r="DL6" s="2841"/>
      <c r="DM6" s="2841"/>
      <c r="DN6" s="2841"/>
      <c r="DO6" s="2841"/>
      <c r="DP6" s="2841"/>
      <c r="DQ6" s="2841"/>
      <c r="DR6" s="2841"/>
      <c r="DS6" s="2841"/>
      <c r="DT6" s="2841"/>
      <c r="DU6" s="2841"/>
      <c r="DV6" s="2841"/>
      <c r="DW6" s="2841"/>
      <c r="DX6" s="2841"/>
      <c r="DY6" s="2841"/>
      <c r="DZ6" s="2841"/>
      <c r="EA6" s="2841"/>
      <c r="EB6" s="2841"/>
      <c r="EC6" s="2841"/>
      <c r="ED6" s="2841"/>
      <c r="EE6" s="2841"/>
      <c r="EF6" s="2841"/>
      <c r="EG6" s="2841"/>
      <c r="EH6" s="2841"/>
      <c r="EI6" s="2841"/>
      <c r="EJ6" s="2841"/>
      <c r="EK6" s="2841"/>
      <c r="EL6" s="2841"/>
      <c r="EM6" s="2841"/>
      <c r="EN6" s="2841"/>
      <c r="EO6" s="2841"/>
      <c r="EP6" s="2841"/>
      <c r="EQ6" s="2841"/>
      <c r="ER6" s="2841"/>
      <c r="ES6" s="2841"/>
      <c r="ET6" s="2841"/>
      <c r="EU6" s="2841"/>
      <c r="EV6" s="2841"/>
      <c r="EW6" s="2841"/>
      <c r="EX6" s="2841"/>
      <c r="EY6" s="2841"/>
      <c r="EZ6" s="2841"/>
      <c r="FA6" s="2841"/>
      <c r="FB6" s="2841"/>
      <c r="FC6" s="2841"/>
      <c r="FD6" s="2841"/>
      <c r="FE6" s="2841"/>
      <c r="FF6" s="2841"/>
      <c r="FG6" s="2841"/>
      <c r="FH6" s="2841"/>
      <c r="FI6" s="2841"/>
      <c r="FJ6" s="2841"/>
      <c r="FK6" s="2841"/>
      <c r="FL6" s="2841"/>
      <c r="FM6" s="2841"/>
      <c r="FN6" s="2841"/>
      <c r="FO6" s="2841"/>
      <c r="FP6" s="2841"/>
      <c r="HO6" s="2789" t="s">
        <v>3001</v>
      </c>
      <c r="HP6" s="2789"/>
      <c r="HQ6" s="2789"/>
      <c r="HR6" s="2789"/>
      <c r="HS6" s="2789"/>
      <c r="HT6" s="2789"/>
      <c r="HU6" s="2789"/>
      <c r="HV6" s="2789"/>
      <c r="HW6" s="2789"/>
      <c r="HX6" s="2789"/>
      <c r="HY6" s="2789"/>
      <c r="HZ6" s="2789"/>
      <c r="IA6" s="2789"/>
      <c r="IB6" s="2789"/>
      <c r="IC6" s="2789"/>
      <c r="ID6" s="2789"/>
      <c r="IE6" s="2789"/>
      <c r="IF6" s="2789"/>
      <c r="IG6" s="2789"/>
      <c r="IH6" s="2789"/>
      <c r="II6" s="2789"/>
      <c r="IJ6" s="2789"/>
      <c r="IK6" s="2789"/>
      <c r="IL6" s="2789"/>
      <c r="IM6" s="2789"/>
      <c r="IN6" s="2789"/>
      <c r="IO6" s="2789"/>
      <c r="IP6" s="2789"/>
      <c r="IQ6" s="2789"/>
      <c r="IR6" s="2789"/>
      <c r="IS6" s="2789"/>
      <c r="IT6" s="2789"/>
      <c r="IU6" s="2789"/>
      <c r="IV6" s="2789"/>
      <c r="IW6" s="2789"/>
      <c r="IX6" s="2789"/>
      <c r="IY6" s="2789"/>
      <c r="IZ6" s="2789"/>
      <c r="JA6" s="2789"/>
      <c r="JB6" s="2789"/>
    </row>
    <row r="7" spans="15:262" ht="4.1500000000000004" customHeight="1">
      <c r="AE7" s="2841"/>
      <c r="AF7" s="2841"/>
      <c r="AG7" s="2841"/>
      <c r="AH7" s="2841"/>
      <c r="AI7" s="2841"/>
      <c r="AJ7" s="2841"/>
      <c r="AK7" s="2841"/>
      <c r="AL7" s="2841"/>
      <c r="AM7" s="2841"/>
      <c r="AN7" s="2841"/>
      <c r="AO7" s="2841"/>
      <c r="AP7" s="2841"/>
      <c r="AQ7" s="2841"/>
      <c r="AR7" s="2841"/>
      <c r="AS7" s="2841"/>
      <c r="AT7" s="2841"/>
      <c r="AU7" s="2841"/>
      <c r="AV7" s="2841"/>
      <c r="AW7" s="2841"/>
      <c r="AX7" s="2841"/>
      <c r="AY7" s="2841"/>
      <c r="AZ7" s="2841"/>
      <c r="BA7" s="2841"/>
      <c r="BB7" s="2841"/>
      <c r="BC7" s="2841"/>
      <c r="BD7" s="2841"/>
      <c r="BE7" s="2841"/>
      <c r="BF7" s="2841"/>
      <c r="BG7" s="2841"/>
      <c r="BH7" s="2841"/>
      <c r="BI7" s="2841"/>
      <c r="BJ7" s="2841"/>
      <c r="BK7" s="2841"/>
      <c r="BL7" s="2841"/>
      <c r="BM7" s="2841"/>
      <c r="BN7" s="2841"/>
      <c r="BO7" s="2841"/>
      <c r="BP7" s="2841"/>
      <c r="BQ7" s="2841"/>
      <c r="BR7" s="2841"/>
      <c r="BS7" s="2841"/>
      <c r="BT7" s="2841"/>
      <c r="BU7" s="2841"/>
      <c r="BV7" s="2841"/>
      <c r="BW7" s="2841"/>
      <c r="BX7" s="2841"/>
      <c r="BY7" s="2841"/>
      <c r="BZ7" s="2841"/>
      <c r="CA7" s="2841"/>
      <c r="CB7" s="2841"/>
      <c r="CC7" s="2841"/>
      <c r="CD7" s="2841"/>
      <c r="CE7" s="2841"/>
      <c r="CF7" s="2841"/>
      <c r="CG7" s="2841"/>
      <c r="CH7" s="2841"/>
      <c r="CI7" s="2841"/>
      <c r="CJ7" s="2841"/>
      <c r="CK7" s="2841"/>
      <c r="CL7" s="2841"/>
      <c r="CM7" s="2841"/>
      <c r="CN7" s="2841"/>
      <c r="CO7" s="2841"/>
      <c r="CP7" s="2841"/>
      <c r="CQ7" s="2841"/>
      <c r="CR7" s="2841"/>
      <c r="CS7" s="2841"/>
      <c r="CT7" s="2841"/>
      <c r="CU7" s="2841"/>
      <c r="CV7" s="2841"/>
      <c r="CW7" s="2841"/>
      <c r="CX7" s="2841"/>
      <c r="CY7" s="2841"/>
      <c r="CZ7" s="2841"/>
      <c r="DA7" s="2841"/>
      <c r="DB7" s="2841"/>
      <c r="DC7" s="2841"/>
      <c r="DD7" s="2841"/>
      <c r="DE7" s="2841"/>
      <c r="DF7" s="2841"/>
      <c r="DG7" s="2841"/>
      <c r="DH7" s="2841"/>
      <c r="DI7" s="2841"/>
      <c r="DJ7" s="2841"/>
      <c r="DK7" s="2841"/>
      <c r="DL7" s="2841"/>
      <c r="DM7" s="2841"/>
      <c r="DN7" s="2841"/>
      <c r="DO7" s="2841"/>
      <c r="DP7" s="2841"/>
      <c r="DQ7" s="2841"/>
      <c r="DR7" s="2841"/>
      <c r="DS7" s="2841"/>
      <c r="DT7" s="2841"/>
      <c r="DU7" s="2841"/>
      <c r="DV7" s="2841"/>
      <c r="DW7" s="2841"/>
      <c r="DX7" s="2841"/>
      <c r="DY7" s="2841"/>
      <c r="DZ7" s="2841"/>
      <c r="EA7" s="2841"/>
      <c r="EB7" s="2841"/>
      <c r="EC7" s="2841"/>
      <c r="ED7" s="2841"/>
      <c r="EE7" s="2841"/>
      <c r="EF7" s="2841"/>
      <c r="EG7" s="2841"/>
      <c r="EH7" s="2841"/>
      <c r="EI7" s="2841"/>
      <c r="EJ7" s="2841"/>
      <c r="EK7" s="2841"/>
      <c r="EL7" s="2841"/>
      <c r="EM7" s="2841"/>
      <c r="EN7" s="2841"/>
      <c r="EO7" s="2841"/>
      <c r="EP7" s="2841"/>
      <c r="EQ7" s="2841"/>
      <c r="ER7" s="2841"/>
      <c r="ES7" s="2841"/>
      <c r="ET7" s="2841"/>
      <c r="EU7" s="2841"/>
      <c r="EV7" s="2841"/>
      <c r="EW7" s="2841"/>
      <c r="EX7" s="2841"/>
      <c r="EY7" s="2841"/>
      <c r="EZ7" s="2841"/>
      <c r="FA7" s="2841"/>
      <c r="FB7" s="2841"/>
      <c r="FC7" s="2841"/>
      <c r="FD7" s="2841"/>
      <c r="FE7" s="2841"/>
      <c r="FF7" s="2841"/>
      <c r="FG7" s="2841"/>
      <c r="FH7" s="2841"/>
      <c r="FI7" s="2841"/>
      <c r="FJ7" s="2841"/>
      <c r="FK7" s="2841"/>
      <c r="FL7" s="2841"/>
      <c r="FM7" s="2841"/>
      <c r="FN7" s="2841"/>
      <c r="FO7" s="2841"/>
      <c r="FP7" s="2841"/>
      <c r="HO7" s="2789"/>
      <c r="HP7" s="2789"/>
      <c r="HQ7" s="2789"/>
      <c r="HR7" s="2789"/>
      <c r="HS7" s="2789"/>
      <c r="HT7" s="2789"/>
      <c r="HU7" s="2789"/>
      <c r="HV7" s="2789"/>
      <c r="HW7" s="2789"/>
      <c r="HX7" s="2789"/>
      <c r="HY7" s="2789"/>
      <c r="HZ7" s="2789"/>
      <c r="IA7" s="2789"/>
      <c r="IB7" s="2789"/>
      <c r="IC7" s="2789"/>
      <c r="ID7" s="2789"/>
      <c r="IE7" s="2789"/>
      <c r="IF7" s="2789"/>
      <c r="IG7" s="2789"/>
      <c r="IH7" s="2789"/>
      <c r="II7" s="2789"/>
      <c r="IJ7" s="2789"/>
      <c r="IK7" s="2789"/>
      <c r="IL7" s="2789"/>
      <c r="IM7" s="2789"/>
      <c r="IN7" s="2789"/>
      <c r="IO7" s="2789"/>
      <c r="IP7" s="2789"/>
      <c r="IQ7" s="2789"/>
      <c r="IR7" s="2789"/>
      <c r="IS7" s="2789"/>
      <c r="IT7" s="2789"/>
      <c r="IU7" s="2789"/>
      <c r="IV7" s="2789"/>
      <c r="IW7" s="2789"/>
      <c r="IX7" s="2789"/>
      <c r="IY7" s="2789"/>
      <c r="IZ7" s="2789"/>
      <c r="JA7" s="2789"/>
      <c r="JB7" s="2789"/>
    </row>
    <row r="8" spans="15:262" ht="4.1500000000000004" customHeight="1">
      <c r="HO8" s="2789"/>
      <c r="HP8" s="2789"/>
      <c r="HQ8" s="2789"/>
      <c r="HR8" s="2789"/>
      <c r="HS8" s="2789"/>
      <c r="HT8" s="2789"/>
      <c r="HU8" s="2789"/>
      <c r="HV8" s="2789"/>
      <c r="HW8" s="2789"/>
      <c r="HX8" s="2789"/>
      <c r="HY8" s="2789"/>
      <c r="HZ8" s="2789"/>
      <c r="IA8" s="2789"/>
      <c r="IB8" s="2789"/>
      <c r="IC8" s="2789"/>
      <c r="ID8" s="2789"/>
      <c r="IE8" s="2789"/>
      <c r="IF8" s="2789"/>
      <c r="IG8" s="2789"/>
      <c r="IH8" s="2789"/>
      <c r="II8" s="2789"/>
      <c r="IJ8" s="2789"/>
      <c r="IK8" s="2789"/>
      <c r="IL8" s="2789"/>
      <c r="IM8" s="2789"/>
      <c r="IN8" s="2789"/>
      <c r="IO8" s="2789"/>
      <c r="IP8" s="2789"/>
      <c r="IQ8" s="2789"/>
      <c r="IR8" s="2789"/>
      <c r="IS8" s="2789"/>
      <c r="IT8" s="2789"/>
      <c r="IU8" s="2789"/>
      <c r="IV8" s="2789"/>
      <c r="IW8" s="2789"/>
      <c r="IX8" s="2789"/>
      <c r="IY8" s="2789"/>
      <c r="IZ8" s="2789"/>
      <c r="JA8" s="2789"/>
      <c r="JB8" s="2789"/>
    </row>
    <row r="9" spans="15:262" ht="4.1500000000000004" customHeight="1">
      <c r="HO9" s="2789"/>
      <c r="HP9" s="2789"/>
      <c r="HQ9" s="2789"/>
      <c r="HR9" s="2789"/>
      <c r="HS9" s="2789"/>
      <c r="HT9" s="2789"/>
      <c r="HU9" s="2789"/>
      <c r="HV9" s="2789"/>
      <c r="HW9" s="2789"/>
      <c r="HX9" s="2789"/>
      <c r="HY9" s="2789"/>
      <c r="HZ9" s="2789"/>
      <c r="IA9" s="2789"/>
      <c r="IB9" s="2789"/>
      <c r="IC9" s="2789"/>
      <c r="ID9" s="2789"/>
      <c r="IE9" s="2789"/>
      <c r="IF9" s="2789"/>
      <c r="IG9" s="2789"/>
      <c r="IH9" s="2789"/>
      <c r="II9" s="2789"/>
      <c r="IJ9" s="2789"/>
      <c r="IK9" s="2789"/>
      <c r="IL9" s="2789"/>
      <c r="IM9" s="2789"/>
      <c r="IN9" s="2789"/>
      <c r="IO9" s="2789"/>
      <c r="IP9" s="2789"/>
      <c r="IQ9" s="2789"/>
      <c r="IR9" s="2789"/>
      <c r="IS9" s="2789"/>
      <c r="IT9" s="2789"/>
      <c r="IU9" s="2789"/>
      <c r="IV9" s="2789"/>
      <c r="IW9" s="2789"/>
      <c r="IX9" s="2789"/>
      <c r="IY9" s="2789"/>
      <c r="IZ9" s="2789"/>
      <c r="JA9" s="2789"/>
      <c r="JB9" s="2789"/>
    </row>
    <row r="11" spans="15:262" ht="4.1500000000000004" customHeight="1">
      <c r="O11" s="419"/>
      <c r="P11" s="420"/>
      <c r="Q11" s="420"/>
      <c r="R11" s="420"/>
      <c r="S11" s="420"/>
      <c r="T11" s="420"/>
      <c r="U11" s="420"/>
      <c r="V11" s="420"/>
      <c r="W11" s="420"/>
      <c r="X11" s="420"/>
      <c r="Y11" s="420"/>
      <c r="Z11" s="420"/>
      <c r="AA11" s="420"/>
      <c r="AB11" s="420"/>
      <c r="AC11" s="420"/>
      <c r="AD11" s="420"/>
      <c r="AE11" s="420"/>
      <c r="AF11" s="420"/>
      <c r="AG11" s="420"/>
      <c r="AH11" s="420"/>
      <c r="AI11" s="420"/>
      <c r="AJ11" s="420"/>
      <c r="AK11" s="420"/>
      <c r="AL11" s="420"/>
      <c r="AM11" s="420"/>
      <c r="AN11" s="420"/>
      <c r="AO11" s="420"/>
      <c r="AP11" s="420"/>
      <c r="AQ11" s="420"/>
      <c r="AR11" s="420"/>
      <c r="AS11" s="420"/>
      <c r="AT11" s="420"/>
      <c r="AU11" s="420"/>
      <c r="AV11" s="420"/>
      <c r="AW11" s="420"/>
      <c r="AX11" s="420"/>
      <c r="AY11" s="420"/>
      <c r="AZ11" s="420"/>
      <c r="BA11" s="420"/>
      <c r="BB11" s="420"/>
      <c r="BC11" s="420"/>
      <c r="BD11" s="420"/>
      <c r="BE11" s="420"/>
      <c r="BF11" s="420"/>
      <c r="BG11" s="420"/>
      <c r="BH11" s="420"/>
      <c r="BI11" s="420"/>
      <c r="BJ11" s="420"/>
      <c r="BK11" s="420"/>
      <c r="BL11" s="420"/>
      <c r="BM11" s="420"/>
      <c r="BN11" s="420"/>
      <c r="BO11" s="420"/>
      <c r="BP11" s="420"/>
      <c r="BQ11" s="420"/>
      <c r="BR11" s="420"/>
      <c r="BS11" s="420"/>
      <c r="BT11" s="420"/>
      <c r="BU11" s="420"/>
      <c r="BV11" s="420"/>
      <c r="BW11" s="420"/>
      <c r="BX11" s="420"/>
      <c r="BY11" s="420"/>
      <c r="BZ11" s="420"/>
      <c r="CA11" s="420"/>
      <c r="CB11" s="420"/>
      <c r="CC11" s="420"/>
      <c r="CD11" s="420"/>
      <c r="CE11" s="420"/>
      <c r="CF11" s="420"/>
      <c r="CG11" s="420"/>
      <c r="CH11" s="420"/>
      <c r="CI11" s="420"/>
      <c r="CJ11" s="420"/>
      <c r="CK11" s="420"/>
      <c r="CL11" s="420"/>
      <c r="CM11" s="420"/>
      <c r="CN11" s="420"/>
      <c r="CO11" s="420"/>
      <c r="CP11" s="420"/>
      <c r="CQ11" s="420"/>
      <c r="CR11" s="420"/>
      <c r="CS11" s="420"/>
      <c r="CT11" s="420"/>
      <c r="CU11" s="420"/>
      <c r="CV11" s="420"/>
      <c r="CW11" s="420"/>
      <c r="CX11" s="421"/>
    </row>
    <row r="12" spans="15:262" ht="4.1500000000000004" customHeight="1">
      <c r="P12" s="414"/>
      <c r="CW12" s="415"/>
    </row>
    <row r="13" spans="15:262" ht="4.1500000000000004" customHeight="1">
      <c r="P13" s="414"/>
      <c r="CW13" s="415"/>
      <c r="GK13" s="2774">
        <v>0.1</v>
      </c>
      <c r="GL13" s="2774"/>
      <c r="GM13" s="2774"/>
      <c r="GN13" s="2774"/>
      <c r="GO13" s="2774"/>
      <c r="GP13" s="2774"/>
      <c r="GQ13" s="2774"/>
    </row>
    <row r="14" spans="15:262" ht="4.1500000000000004" customHeight="1">
      <c r="P14" s="414"/>
      <c r="CW14" s="415"/>
      <c r="EJ14" s="459"/>
      <c r="EK14" s="460"/>
      <c r="EL14" s="460"/>
      <c r="EM14" s="460"/>
      <c r="EN14" s="460"/>
      <c r="EO14" s="460"/>
      <c r="EP14" s="460"/>
      <c r="EQ14" s="460"/>
      <c r="ER14" s="460"/>
      <c r="ES14" s="460"/>
      <c r="ET14" s="460"/>
      <c r="EU14" s="460"/>
      <c r="EV14" s="460"/>
      <c r="EW14" s="460"/>
      <c r="EX14" s="460"/>
      <c r="EY14" s="460"/>
      <c r="EZ14" s="460"/>
      <c r="FA14" s="460"/>
      <c r="FB14" s="460"/>
      <c r="FC14" s="460"/>
      <c r="FD14" s="460"/>
      <c r="FE14" s="460"/>
      <c r="FF14" s="460"/>
      <c r="FG14" s="460"/>
      <c r="FH14" s="460"/>
      <c r="FI14" s="460"/>
      <c r="FJ14" s="460"/>
      <c r="FK14" s="460"/>
      <c r="FL14" s="460"/>
      <c r="FM14" s="460"/>
      <c r="FN14" s="460"/>
      <c r="FO14" s="460"/>
      <c r="FP14" s="460"/>
      <c r="FQ14" s="460"/>
      <c r="FR14" s="460"/>
      <c r="FS14" s="460"/>
      <c r="FT14" s="460"/>
      <c r="FU14" s="461"/>
      <c r="FV14" s="460"/>
      <c r="FW14" s="460"/>
      <c r="FX14" s="460"/>
      <c r="FY14" s="460"/>
      <c r="FZ14" s="460"/>
      <c r="GA14" s="460"/>
      <c r="GB14" s="460"/>
      <c r="GC14" s="460"/>
      <c r="GD14" s="460"/>
      <c r="GE14" s="460"/>
      <c r="GF14" s="460"/>
      <c r="GG14" s="460"/>
      <c r="GH14" s="460"/>
      <c r="GK14" s="2774"/>
      <c r="GL14" s="2774"/>
      <c r="GM14" s="2774"/>
      <c r="GN14" s="2774"/>
      <c r="GO14" s="2774"/>
      <c r="GP14" s="2774"/>
      <c r="GQ14" s="2774"/>
      <c r="GS14" s="420"/>
      <c r="GT14" s="420"/>
      <c r="GU14" s="420"/>
      <c r="GV14" s="420"/>
      <c r="GW14" s="420"/>
      <c r="GX14" s="420"/>
      <c r="GY14" s="420"/>
      <c r="GZ14" s="420"/>
      <c r="HA14" s="420"/>
      <c r="HB14" s="420"/>
      <c r="HC14" s="420"/>
      <c r="HO14" s="459"/>
      <c r="HP14" s="460"/>
      <c r="HQ14" s="460"/>
      <c r="HR14" s="460"/>
      <c r="HS14" s="460"/>
      <c r="HT14" s="460"/>
      <c r="HU14" s="460"/>
      <c r="HV14" s="460"/>
      <c r="HW14" s="460"/>
      <c r="HX14" s="460"/>
      <c r="HY14" s="460"/>
      <c r="HZ14" s="460"/>
      <c r="IA14" s="460"/>
      <c r="IB14" s="460"/>
      <c r="IC14" s="460"/>
      <c r="ID14" s="460"/>
      <c r="IE14" s="460"/>
      <c r="IF14" s="460"/>
      <c r="IG14" s="460"/>
      <c r="IH14" s="460"/>
      <c r="II14" s="460"/>
      <c r="IJ14" s="460"/>
      <c r="IK14" s="460"/>
      <c r="IL14" s="460"/>
      <c r="IM14" s="460"/>
      <c r="IN14" s="460"/>
      <c r="IO14" s="460"/>
      <c r="IP14" s="461"/>
    </row>
    <row r="15" spans="15:262" ht="4.1500000000000004" customHeight="1">
      <c r="P15" s="414"/>
      <c r="CW15" s="415"/>
      <c r="DR15" s="412"/>
      <c r="DS15" s="412"/>
      <c r="DT15" s="412"/>
      <c r="DU15" s="411"/>
      <c r="DV15" s="412"/>
      <c r="EL15" s="414"/>
      <c r="EP15" s="415"/>
      <c r="GC15" s="414"/>
      <c r="GK15" s="2774"/>
      <c r="GL15" s="2774"/>
      <c r="GM15" s="2774"/>
      <c r="GN15" s="2774"/>
      <c r="GO15" s="2774"/>
      <c r="GP15" s="2774"/>
      <c r="GQ15" s="2774"/>
      <c r="GS15" s="3241">
        <v>0.3</v>
      </c>
      <c r="GT15" s="3241"/>
      <c r="GU15" s="3241"/>
      <c r="GV15" s="3241"/>
      <c r="GW15" s="3241"/>
      <c r="GX15" s="3241"/>
      <c r="GY15" s="3241"/>
      <c r="GZ15" s="3241"/>
      <c r="HA15" s="3241"/>
      <c r="HB15" s="3241"/>
      <c r="HC15" s="3241"/>
      <c r="HQ15" s="450"/>
      <c r="HR15" s="451"/>
      <c r="HS15" s="451"/>
      <c r="HT15" s="452"/>
      <c r="IE15" s="411"/>
      <c r="IF15" s="412"/>
    </row>
    <row r="16" spans="15:262" ht="4.1500000000000004" customHeight="1">
      <c r="P16" s="414"/>
      <c r="CW16" s="415"/>
      <c r="DU16" s="414"/>
      <c r="EL16" s="414"/>
      <c r="EP16" s="415"/>
      <c r="FP16" s="2771">
        <v>0.9</v>
      </c>
      <c r="FQ16" s="2772"/>
      <c r="FR16" s="2772"/>
      <c r="FS16" s="2772"/>
      <c r="GC16" s="414"/>
      <c r="GS16" s="3242"/>
      <c r="GT16" s="3242"/>
      <c r="GU16" s="3242"/>
      <c r="GV16" s="3242"/>
      <c r="GW16" s="3242"/>
      <c r="GX16" s="3242"/>
      <c r="GY16" s="3242"/>
      <c r="GZ16" s="3242"/>
      <c r="HA16" s="3242"/>
      <c r="HB16" s="3242"/>
      <c r="HC16" s="3242"/>
      <c r="HQ16" s="456"/>
      <c r="HR16" s="457"/>
      <c r="HS16" s="457"/>
      <c r="HT16" s="458"/>
      <c r="IE16" s="414"/>
    </row>
    <row r="17" spans="16:240" ht="4.1500000000000004" customHeight="1">
      <c r="P17" s="414"/>
      <c r="CW17" s="415"/>
      <c r="DU17" s="414"/>
      <c r="EL17" s="414"/>
      <c r="EP17" s="415"/>
      <c r="FP17" s="2772"/>
      <c r="FQ17" s="2772"/>
      <c r="FR17" s="2772"/>
      <c r="FS17" s="2772"/>
      <c r="GC17" s="414"/>
      <c r="GY17" s="411"/>
      <c r="GZ17" s="412"/>
      <c r="HA17" s="412"/>
      <c r="HQ17" s="414"/>
      <c r="HT17" s="415"/>
      <c r="IE17" s="414"/>
    </row>
    <row r="18" spans="16:240" ht="4.1500000000000004" customHeight="1">
      <c r="P18" s="414"/>
      <c r="CW18" s="415"/>
      <c r="DU18" s="414"/>
      <c r="EL18" s="414"/>
      <c r="EP18" s="415"/>
      <c r="FP18" s="2772"/>
      <c r="FQ18" s="2772"/>
      <c r="FR18" s="2772"/>
      <c r="FS18" s="2772"/>
      <c r="GC18" s="414"/>
      <c r="GY18" s="414"/>
      <c r="HQ18" s="414"/>
      <c r="HT18" s="415"/>
      <c r="IE18" s="414"/>
    </row>
    <row r="19" spans="16:240" ht="4.1500000000000004" customHeight="1">
      <c r="P19" s="414"/>
      <c r="CW19" s="415"/>
      <c r="DU19" s="414"/>
      <c r="EL19" s="414"/>
      <c r="EP19" s="415"/>
      <c r="FP19" s="2772"/>
      <c r="FQ19" s="2772"/>
      <c r="FR19" s="2772"/>
      <c r="FS19" s="2772"/>
      <c r="GC19" s="414"/>
      <c r="GY19" s="414"/>
      <c r="HQ19" s="414"/>
      <c r="HT19" s="415"/>
      <c r="IE19" s="414"/>
    </row>
    <row r="20" spans="16:240" ht="4.1500000000000004" customHeight="1">
      <c r="P20" s="414"/>
      <c r="CW20" s="415"/>
      <c r="DU20" s="414"/>
      <c r="EL20" s="414"/>
      <c r="EP20" s="415"/>
      <c r="FP20" s="2772"/>
      <c r="FQ20" s="2772"/>
      <c r="FR20" s="2772"/>
      <c r="FS20" s="2772"/>
      <c r="GC20" s="414"/>
      <c r="GY20" s="414"/>
      <c r="HQ20" s="414"/>
      <c r="HT20" s="415"/>
      <c r="IE20" s="414"/>
    </row>
    <row r="21" spans="16:240" ht="4.1500000000000004" customHeight="1">
      <c r="P21" s="414"/>
      <c r="CW21" s="415"/>
      <c r="DU21" s="414"/>
      <c r="EL21" s="414"/>
      <c r="EP21" s="415"/>
      <c r="FP21" s="2772"/>
      <c r="FQ21" s="2772"/>
      <c r="FR21" s="2772"/>
      <c r="FS21" s="2772"/>
      <c r="GC21" s="414"/>
      <c r="GS21" s="2574">
        <f>FP16-GS15</f>
        <v>0.60000000000000009</v>
      </c>
      <c r="GT21" s="2808"/>
      <c r="GU21" s="2808"/>
      <c r="GV21" s="2808"/>
      <c r="GW21" s="2808"/>
      <c r="GX21" s="2808"/>
      <c r="GY21" s="2808"/>
      <c r="GZ21" s="2808"/>
      <c r="HA21" s="2808"/>
      <c r="HB21" s="2808"/>
      <c r="HC21" s="2808"/>
      <c r="HQ21" s="414"/>
      <c r="HT21" s="415"/>
      <c r="IE21" s="414"/>
    </row>
    <row r="22" spans="16:240" ht="4.1500000000000004" customHeight="1">
      <c r="P22" s="414"/>
      <c r="CW22" s="415"/>
      <c r="DU22" s="414"/>
      <c r="EL22" s="414"/>
      <c r="EP22" s="415"/>
      <c r="FP22" s="2772"/>
      <c r="FQ22" s="2772"/>
      <c r="FR22" s="2772"/>
      <c r="FS22" s="2772"/>
      <c r="GC22" s="414"/>
      <c r="GS22" s="2808"/>
      <c r="GT22" s="2808"/>
      <c r="GU22" s="2808"/>
      <c r="GV22" s="2808"/>
      <c r="GW22" s="2808"/>
      <c r="GX22" s="2808"/>
      <c r="GY22" s="2808"/>
      <c r="GZ22" s="2808"/>
      <c r="HA22" s="2808"/>
      <c r="HB22" s="2808"/>
      <c r="HC22" s="2808"/>
      <c r="HQ22" s="414"/>
      <c r="HT22" s="415"/>
      <c r="IE22" s="414"/>
    </row>
    <row r="23" spans="16:240" ht="4.1500000000000004" customHeight="1">
      <c r="P23" s="419"/>
      <c r="Q23" s="420"/>
      <c r="R23" s="420"/>
      <c r="S23" s="420"/>
      <c r="T23" s="420"/>
      <c r="U23" s="420"/>
      <c r="V23" s="420"/>
      <c r="W23" s="420"/>
      <c r="X23" s="420"/>
      <c r="Y23" s="420"/>
      <c r="Z23" s="420"/>
      <c r="AA23" s="420"/>
      <c r="AB23" s="420"/>
      <c r="AC23" s="420"/>
      <c r="AD23" s="420"/>
      <c r="AE23" s="420"/>
      <c r="AF23" s="420"/>
      <c r="AG23" s="420"/>
      <c r="AH23" s="420"/>
      <c r="AI23" s="420"/>
      <c r="AJ23" s="420"/>
      <c r="AK23" s="420"/>
      <c r="AL23" s="420"/>
      <c r="AM23" s="420"/>
      <c r="AN23" s="420"/>
      <c r="AO23" s="420"/>
      <c r="AP23" s="420"/>
      <c r="AQ23" s="420"/>
      <c r="AR23" s="420"/>
      <c r="AS23" s="420"/>
      <c r="AT23" s="420"/>
      <c r="AU23" s="420"/>
      <c r="AV23" s="420"/>
      <c r="AW23" s="420"/>
      <c r="AX23" s="420"/>
      <c r="AY23" s="420"/>
      <c r="AZ23" s="420"/>
      <c r="BA23" s="420"/>
      <c r="BB23" s="420"/>
      <c r="BC23" s="420"/>
      <c r="BD23" s="420"/>
      <c r="BE23" s="420"/>
      <c r="BF23" s="420"/>
      <c r="BG23" s="420"/>
      <c r="BH23" s="420"/>
      <c r="BI23" s="420"/>
      <c r="BJ23" s="420"/>
      <c r="BK23" s="420"/>
      <c r="BL23" s="420"/>
      <c r="BM23" s="420"/>
      <c r="BN23" s="420"/>
      <c r="BO23" s="420"/>
      <c r="BP23" s="420"/>
      <c r="BQ23" s="420"/>
      <c r="BR23" s="420"/>
      <c r="BS23" s="420"/>
      <c r="BT23" s="420"/>
      <c r="BU23" s="420"/>
      <c r="BV23" s="420"/>
      <c r="BW23" s="420"/>
      <c r="BX23" s="420"/>
      <c r="BY23" s="420"/>
      <c r="BZ23" s="420"/>
      <c r="CA23" s="420"/>
      <c r="CB23" s="420"/>
      <c r="CC23" s="421"/>
      <c r="CJ23" s="419"/>
      <c r="CK23" s="420"/>
      <c r="CL23" s="420"/>
      <c r="CM23" s="420"/>
      <c r="CN23" s="420"/>
      <c r="CO23" s="421"/>
      <c r="CW23" s="415"/>
      <c r="DU23" s="414"/>
      <c r="EL23" s="414"/>
      <c r="EP23" s="415"/>
      <c r="FP23" s="2772"/>
      <c r="FQ23" s="2772"/>
      <c r="FR23" s="2772"/>
      <c r="FS23" s="2772"/>
      <c r="GC23" s="414"/>
      <c r="GS23" s="2808"/>
      <c r="GT23" s="2808"/>
      <c r="GU23" s="2808"/>
      <c r="GV23" s="2808"/>
      <c r="GW23" s="2808"/>
      <c r="GX23" s="2808"/>
      <c r="GY23" s="2808"/>
      <c r="GZ23" s="2808"/>
      <c r="HA23" s="2808"/>
      <c r="HB23" s="2808"/>
      <c r="HC23" s="2808"/>
      <c r="HQ23" s="414"/>
      <c r="HT23" s="415"/>
      <c r="IE23" s="414"/>
    </row>
    <row r="24" spans="16:240" ht="4.1500000000000004" customHeight="1">
      <c r="P24" s="414"/>
      <c r="T24" s="411"/>
      <c r="U24" s="412"/>
      <c r="V24" s="412"/>
      <c r="W24" s="411"/>
      <c r="X24" s="445"/>
      <c r="Y24" s="412"/>
      <c r="Z24" s="412"/>
      <c r="AA24" s="412"/>
      <c r="AB24" s="413"/>
      <c r="AT24" s="415"/>
      <c r="AY24" s="414"/>
      <c r="BQ24" s="411"/>
      <c r="BR24" s="412"/>
      <c r="BS24" s="412"/>
      <c r="BT24" s="412"/>
      <c r="BU24" s="411"/>
      <c r="BV24" s="445"/>
      <c r="BW24" s="412"/>
      <c r="BX24" s="412"/>
      <c r="BY24" s="412"/>
      <c r="CA24" s="414"/>
      <c r="CB24" s="411"/>
      <c r="CK24" s="414"/>
      <c r="CN24" s="415"/>
      <c r="CW24" s="415"/>
      <c r="DU24" s="414"/>
      <c r="EL24" s="414"/>
      <c r="EP24" s="415"/>
      <c r="FP24" s="2772"/>
      <c r="FQ24" s="2772"/>
      <c r="FR24" s="2772"/>
      <c r="FS24" s="2772"/>
      <c r="GC24" s="414"/>
      <c r="GY24" s="414"/>
      <c r="HQ24" s="414"/>
      <c r="HT24" s="415"/>
      <c r="IE24" s="414"/>
    </row>
    <row r="25" spans="16:240" ht="4.1500000000000004" customHeight="1">
      <c r="P25" s="414"/>
      <c r="T25" s="411"/>
      <c r="U25" s="413"/>
      <c r="W25" s="414"/>
      <c r="X25" s="446"/>
      <c r="Z25" s="411"/>
      <c r="AA25" s="413"/>
      <c r="AB25" s="415"/>
      <c r="AT25" s="415"/>
      <c r="AY25" s="414"/>
      <c r="BQ25" s="414"/>
      <c r="BR25" s="411"/>
      <c r="BS25" s="413"/>
      <c r="BU25" s="414"/>
      <c r="BV25" s="446"/>
      <c r="BX25" s="411"/>
      <c r="BY25" s="413"/>
      <c r="CA25" s="414"/>
      <c r="CB25" s="414"/>
      <c r="CK25" s="414"/>
      <c r="CN25" s="415"/>
      <c r="CW25" s="415"/>
      <c r="DU25" s="414"/>
      <c r="EL25" s="414"/>
      <c r="EP25" s="415"/>
      <c r="FP25" s="2772"/>
      <c r="FQ25" s="2772"/>
      <c r="FR25" s="2772"/>
      <c r="FS25" s="2772"/>
      <c r="GC25" s="414"/>
      <c r="GY25" s="414"/>
      <c r="HQ25" s="414"/>
      <c r="HT25" s="415"/>
      <c r="IE25" s="414"/>
    </row>
    <row r="26" spans="16:240" ht="4.1500000000000004" customHeight="1">
      <c r="P26" s="414"/>
      <c r="T26" s="414"/>
      <c r="U26" s="415"/>
      <c r="W26" s="414"/>
      <c r="X26" s="446"/>
      <c r="Z26" s="414"/>
      <c r="AA26" s="415"/>
      <c r="AB26" s="415"/>
      <c r="AT26" s="415"/>
      <c r="AY26" s="414"/>
      <c r="BQ26" s="414"/>
      <c r="BR26" s="414"/>
      <c r="BS26" s="415"/>
      <c r="BU26" s="414"/>
      <c r="BV26" s="446"/>
      <c r="BX26" s="414"/>
      <c r="BY26" s="415"/>
      <c r="CA26" s="414"/>
      <c r="CB26" s="414"/>
      <c r="CK26" s="414"/>
      <c r="CN26" s="415"/>
      <c r="CW26" s="415"/>
      <c r="DU26" s="414"/>
      <c r="EL26" s="414"/>
      <c r="EP26" s="415"/>
      <c r="GC26" s="414"/>
      <c r="GS26" s="417"/>
      <c r="GT26" s="417"/>
      <c r="GU26" s="417"/>
      <c r="GV26" s="417"/>
      <c r="GW26" s="417"/>
      <c r="GX26" s="417"/>
      <c r="GY26" s="416"/>
      <c r="GZ26" s="417"/>
      <c r="HA26" s="417"/>
      <c r="HB26" s="417"/>
      <c r="HC26" s="417"/>
      <c r="HQ26" s="414"/>
      <c r="HT26" s="415"/>
      <c r="IE26" s="414"/>
    </row>
    <row r="27" spans="16:240" ht="4.1500000000000004" customHeight="1">
      <c r="P27" s="414"/>
      <c r="T27" s="414"/>
      <c r="U27" s="415"/>
      <c r="W27" s="414"/>
      <c r="X27" s="446"/>
      <c r="Z27" s="414"/>
      <c r="AA27" s="415"/>
      <c r="AB27" s="415"/>
      <c r="AT27" s="415"/>
      <c r="AY27" s="414"/>
      <c r="BQ27" s="414"/>
      <c r="BR27" s="414"/>
      <c r="BS27" s="415"/>
      <c r="BU27" s="414"/>
      <c r="BV27" s="446"/>
      <c r="BX27" s="414"/>
      <c r="BY27" s="415"/>
      <c r="CA27" s="414"/>
      <c r="CB27" s="414"/>
      <c r="CK27" s="416"/>
      <c r="CL27" s="417"/>
      <c r="CM27" s="417"/>
      <c r="CN27" s="418"/>
      <c r="CW27" s="415"/>
      <c r="DU27" s="414"/>
      <c r="EL27" s="450"/>
      <c r="EM27" s="451"/>
      <c r="EN27" s="451"/>
      <c r="EO27" s="451"/>
      <c r="EP27" s="452"/>
      <c r="FL27" s="2836">
        <v>0.15</v>
      </c>
      <c r="FM27" s="2836"/>
      <c r="FN27" s="2836"/>
      <c r="FO27" s="2836"/>
      <c r="FP27" s="2836"/>
      <c r="FQ27" s="2836"/>
      <c r="FR27" s="2836"/>
      <c r="FS27" s="2836"/>
      <c r="FT27" s="2836"/>
      <c r="FU27" s="2836"/>
      <c r="FV27" s="2836"/>
      <c r="FW27" s="2836"/>
      <c r="GC27" s="414"/>
      <c r="GS27" s="2587">
        <f>FL27</f>
        <v>0.15</v>
      </c>
      <c r="GT27" s="2838"/>
      <c r="GU27" s="2838"/>
      <c r="GV27" s="2838"/>
      <c r="GW27" s="2838"/>
      <c r="GX27" s="2838"/>
      <c r="GY27" s="2838"/>
      <c r="GZ27" s="2838"/>
      <c r="HA27" s="2838"/>
      <c r="HB27" s="2838"/>
      <c r="HC27" s="2838"/>
      <c r="HQ27" s="453"/>
      <c r="HR27" s="454"/>
      <c r="HS27" s="454"/>
      <c r="HT27" s="455"/>
      <c r="IE27" s="414"/>
    </row>
    <row r="28" spans="16:240" ht="4.1500000000000004" customHeight="1">
      <c r="P28" s="414"/>
      <c r="T28" s="414"/>
      <c r="U28" s="415"/>
      <c r="W28" s="414"/>
      <c r="X28" s="446"/>
      <c r="Z28" s="414"/>
      <c r="AA28" s="415"/>
      <c r="AB28" s="415"/>
      <c r="AT28" s="415"/>
      <c r="AY28" s="414"/>
      <c r="BQ28" s="414"/>
      <c r="BR28" s="414"/>
      <c r="BS28" s="415"/>
      <c r="BU28" s="414"/>
      <c r="BV28" s="446"/>
      <c r="BX28" s="414"/>
      <c r="BY28" s="415"/>
      <c r="CA28" s="414"/>
      <c r="CB28" s="414"/>
      <c r="CW28" s="415"/>
      <c r="DU28" s="414"/>
      <c r="EL28" s="453"/>
      <c r="EM28" s="454"/>
      <c r="EN28" s="454"/>
      <c r="EO28" s="454"/>
      <c r="EP28" s="455"/>
      <c r="FL28" s="2835"/>
      <c r="FM28" s="2835"/>
      <c r="FN28" s="2835"/>
      <c r="FO28" s="2835"/>
      <c r="FP28" s="2835"/>
      <c r="FQ28" s="2835"/>
      <c r="FR28" s="2835"/>
      <c r="FS28" s="2835"/>
      <c r="FT28" s="2835"/>
      <c r="FU28" s="2835"/>
      <c r="FV28" s="2835"/>
      <c r="FW28" s="2835"/>
      <c r="GC28" s="414"/>
      <c r="GS28" s="2808"/>
      <c r="GT28" s="2808"/>
      <c r="GU28" s="2808"/>
      <c r="GV28" s="2808"/>
      <c r="GW28" s="2808"/>
      <c r="GX28" s="2808"/>
      <c r="GY28" s="2808"/>
      <c r="GZ28" s="2808"/>
      <c r="HA28" s="2808"/>
      <c r="HB28" s="2808"/>
      <c r="HC28" s="2808"/>
      <c r="HQ28" s="453"/>
      <c r="HR28" s="454"/>
      <c r="HS28" s="454"/>
      <c r="HT28" s="455"/>
      <c r="IE28" s="414"/>
    </row>
    <row r="29" spans="16:240" ht="4.1500000000000004" customHeight="1">
      <c r="P29" s="414"/>
      <c r="T29" s="414"/>
      <c r="U29" s="415"/>
      <c r="W29" s="414"/>
      <c r="X29" s="446"/>
      <c r="Z29" s="414"/>
      <c r="AA29" s="415"/>
      <c r="AB29" s="415"/>
      <c r="AT29" s="415"/>
      <c r="AY29" s="414"/>
      <c r="BQ29" s="414"/>
      <c r="BR29" s="414"/>
      <c r="BS29" s="415"/>
      <c r="BU29" s="414"/>
      <c r="BV29" s="446"/>
      <c r="BX29" s="414"/>
      <c r="BY29" s="415"/>
      <c r="CA29" s="414"/>
      <c r="CB29" s="414"/>
      <c r="CW29" s="415"/>
      <c r="DU29" s="414"/>
      <c r="EE29" s="459"/>
      <c r="EF29" s="460"/>
      <c r="EG29" s="460"/>
      <c r="EH29" s="460"/>
      <c r="EI29" s="460"/>
      <c r="EJ29" s="460"/>
      <c r="EK29" s="461"/>
      <c r="EL29" s="456"/>
      <c r="EM29" s="457"/>
      <c r="EN29" s="457"/>
      <c r="EO29" s="457"/>
      <c r="EP29" s="458"/>
      <c r="FL29" s="2837"/>
      <c r="FM29" s="2837"/>
      <c r="FN29" s="2837"/>
      <c r="FO29" s="2837"/>
      <c r="FP29" s="2837"/>
      <c r="FQ29" s="2837"/>
      <c r="FR29" s="2837"/>
      <c r="FS29" s="2837"/>
      <c r="FT29" s="2837"/>
      <c r="FU29" s="2837"/>
      <c r="FV29" s="2837"/>
      <c r="FW29" s="2837"/>
      <c r="GC29" s="414"/>
      <c r="GS29" s="2809"/>
      <c r="GT29" s="2809"/>
      <c r="GU29" s="2809"/>
      <c r="GV29" s="2809"/>
      <c r="GW29" s="2809"/>
      <c r="GX29" s="2809"/>
      <c r="GY29" s="2809"/>
      <c r="GZ29" s="2809"/>
      <c r="HA29" s="2809"/>
      <c r="HB29" s="2809"/>
      <c r="HC29" s="2809"/>
      <c r="HK29" s="459"/>
      <c r="HL29" s="460"/>
      <c r="HM29" s="460"/>
      <c r="HN29" s="460"/>
      <c r="HO29" s="460"/>
      <c r="HP29" s="461"/>
      <c r="HQ29" s="453"/>
      <c r="HR29" s="454"/>
      <c r="HS29" s="454"/>
      <c r="HT29" s="455"/>
      <c r="IE29" s="414"/>
    </row>
    <row r="30" spans="16:240" ht="4.1500000000000004" customHeight="1">
      <c r="P30" s="414"/>
      <c r="T30" s="414"/>
      <c r="U30" s="415"/>
      <c r="W30" s="414"/>
      <c r="X30" s="446"/>
      <c r="Z30" s="414"/>
      <c r="AA30" s="415"/>
      <c r="AB30" s="415"/>
      <c r="AT30" s="415"/>
      <c r="AY30" s="414"/>
      <c r="BQ30" s="414"/>
      <c r="BR30" s="414"/>
      <c r="BS30" s="415"/>
      <c r="BU30" s="414"/>
      <c r="BV30" s="446"/>
      <c r="BX30" s="414"/>
      <c r="BY30" s="415"/>
      <c r="CA30" s="414"/>
      <c r="CB30" s="414"/>
      <c r="CW30" s="415"/>
      <c r="DU30" s="414"/>
      <c r="EL30" s="414"/>
      <c r="EP30" s="415"/>
      <c r="FL30" s="412"/>
      <c r="FM30" s="412"/>
      <c r="FN30" s="412"/>
      <c r="FO30" s="412"/>
      <c r="FP30" s="412"/>
      <c r="FQ30" s="412"/>
      <c r="FR30" s="411"/>
      <c r="FS30" s="412"/>
      <c r="FT30" s="412"/>
      <c r="FU30" s="412"/>
      <c r="FV30" s="412"/>
      <c r="FW30" s="412"/>
      <c r="GA30" s="2771">
        <f>FP16+FL27+FP35</f>
        <v>3.1500000000000004</v>
      </c>
      <c r="GB30" s="2772"/>
      <c r="GC30" s="2772"/>
      <c r="GD30" s="2772"/>
      <c r="GY30" s="411"/>
      <c r="GZ30" s="412"/>
      <c r="HQ30" s="414"/>
      <c r="HT30" s="415"/>
      <c r="IC30" s="2771">
        <f>GS15+GS21+GS27+GW36</f>
        <v>3.1500000000000004</v>
      </c>
      <c r="ID30" s="2772"/>
      <c r="IE30" s="2772"/>
      <c r="IF30" s="2772"/>
    </row>
    <row r="31" spans="16:240" ht="4.1500000000000004" customHeight="1">
      <c r="P31" s="414"/>
      <c r="T31" s="414"/>
      <c r="U31" s="415"/>
      <c r="W31" s="414"/>
      <c r="X31" s="446"/>
      <c r="Z31" s="414"/>
      <c r="AA31" s="415"/>
      <c r="AB31" s="415"/>
      <c r="AT31" s="415"/>
      <c r="AY31" s="414"/>
      <c r="BQ31" s="414"/>
      <c r="BR31" s="414"/>
      <c r="BS31" s="415"/>
      <c r="BU31" s="414"/>
      <c r="BV31" s="446"/>
      <c r="BX31" s="414"/>
      <c r="BY31" s="415"/>
      <c r="CA31" s="414"/>
      <c r="CB31" s="414"/>
      <c r="CW31" s="415"/>
      <c r="DU31" s="414"/>
      <c r="EE31" s="2839">
        <v>0.6</v>
      </c>
      <c r="EF31" s="2774"/>
      <c r="EG31" s="2774"/>
      <c r="EH31" s="2774"/>
      <c r="EI31" s="2774"/>
      <c r="EJ31" s="2774"/>
      <c r="EK31" s="2840"/>
      <c r="EL31" s="414"/>
      <c r="EP31" s="415"/>
      <c r="FR31" s="414"/>
      <c r="GA31" s="2772"/>
      <c r="GB31" s="2772"/>
      <c r="GC31" s="2772"/>
      <c r="GD31" s="2772"/>
      <c r="GY31" s="414"/>
      <c r="HQ31" s="414"/>
      <c r="HT31" s="415"/>
      <c r="IC31" s="2772"/>
      <c r="ID31" s="2772"/>
      <c r="IE31" s="2772"/>
      <c r="IF31" s="2772"/>
    </row>
    <row r="32" spans="16:240" ht="4.1500000000000004" customHeight="1">
      <c r="P32" s="414"/>
      <c r="T32" s="414"/>
      <c r="U32" s="415"/>
      <c r="W32" s="414"/>
      <c r="X32" s="446"/>
      <c r="Z32" s="414"/>
      <c r="AA32" s="415"/>
      <c r="AB32" s="415"/>
      <c r="AT32" s="415"/>
      <c r="AY32" s="414"/>
      <c r="BQ32" s="414"/>
      <c r="BR32" s="414"/>
      <c r="BS32" s="415"/>
      <c r="BU32" s="414"/>
      <c r="BV32" s="446"/>
      <c r="BX32" s="414"/>
      <c r="BY32" s="415"/>
      <c r="CA32" s="414"/>
      <c r="CB32" s="414"/>
      <c r="CW32" s="415"/>
      <c r="DS32" s="2771">
        <f>GA30+GB53</f>
        <v>3.6000000000000005</v>
      </c>
      <c r="DT32" s="2772"/>
      <c r="DU32" s="2772"/>
      <c r="DV32" s="2772"/>
      <c r="EE32" s="2839"/>
      <c r="EF32" s="2774"/>
      <c r="EG32" s="2774"/>
      <c r="EH32" s="2774"/>
      <c r="EI32" s="2774"/>
      <c r="EJ32" s="2774"/>
      <c r="EK32" s="2840"/>
      <c r="EL32" s="414"/>
      <c r="EP32" s="415"/>
      <c r="FR32" s="414"/>
      <c r="GA32" s="2772"/>
      <c r="GB32" s="2772"/>
      <c r="GC32" s="2772"/>
      <c r="GD32" s="2772"/>
      <c r="GY32" s="414"/>
      <c r="HQ32" s="414"/>
      <c r="HT32" s="415"/>
      <c r="IC32" s="2772"/>
      <c r="ID32" s="2772"/>
      <c r="IE32" s="2772"/>
      <c r="IF32" s="2772"/>
    </row>
    <row r="33" spans="16:240" ht="4.1500000000000004" customHeight="1">
      <c r="P33" s="414"/>
      <c r="T33" s="414"/>
      <c r="U33" s="415"/>
      <c r="W33" s="414"/>
      <c r="X33" s="446"/>
      <c r="Z33" s="414"/>
      <c r="AA33" s="415"/>
      <c r="AB33" s="415"/>
      <c r="AT33" s="415"/>
      <c r="AY33" s="414"/>
      <c r="BQ33" s="414"/>
      <c r="BR33" s="414"/>
      <c r="BS33" s="415"/>
      <c r="BU33" s="414"/>
      <c r="BV33" s="446"/>
      <c r="BX33" s="414"/>
      <c r="BY33" s="415"/>
      <c r="CA33" s="414"/>
      <c r="CB33" s="414"/>
      <c r="CW33" s="415"/>
      <c r="DS33" s="2772"/>
      <c r="DT33" s="2772"/>
      <c r="DU33" s="2772"/>
      <c r="DV33" s="2772"/>
      <c r="EE33" s="2839"/>
      <c r="EF33" s="2774"/>
      <c r="EG33" s="2774"/>
      <c r="EH33" s="2774"/>
      <c r="EI33" s="2774"/>
      <c r="EJ33" s="2774"/>
      <c r="EK33" s="2840"/>
      <c r="EL33" s="414"/>
      <c r="EP33" s="415"/>
      <c r="FR33" s="414"/>
      <c r="GA33" s="2772"/>
      <c r="GB33" s="2772"/>
      <c r="GC33" s="2772"/>
      <c r="GD33" s="2772"/>
      <c r="GY33" s="414"/>
      <c r="HQ33" s="414"/>
      <c r="HT33" s="415"/>
      <c r="IC33" s="2772"/>
      <c r="ID33" s="2772"/>
      <c r="IE33" s="2772"/>
      <c r="IF33" s="2772"/>
    </row>
    <row r="34" spans="16:240" ht="4.1500000000000004" customHeight="1">
      <c r="P34" s="414"/>
      <c r="T34" s="414"/>
      <c r="U34" s="415"/>
      <c r="W34" s="414"/>
      <c r="X34" s="446"/>
      <c r="Z34" s="414"/>
      <c r="AA34" s="415"/>
      <c r="AB34" s="415"/>
      <c r="AT34" s="415"/>
      <c r="AY34" s="414"/>
      <c r="BQ34" s="414"/>
      <c r="BR34" s="414"/>
      <c r="BS34" s="415"/>
      <c r="BU34" s="414"/>
      <c r="BV34" s="446"/>
      <c r="BX34" s="414"/>
      <c r="BY34" s="415"/>
      <c r="CA34" s="414"/>
      <c r="CB34" s="414"/>
      <c r="CW34" s="415"/>
      <c r="DS34" s="2772"/>
      <c r="DT34" s="2772"/>
      <c r="DU34" s="2772"/>
      <c r="DV34" s="2772"/>
      <c r="EL34" s="414"/>
      <c r="EP34" s="415"/>
      <c r="FR34" s="414"/>
      <c r="GA34" s="2772"/>
      <c r="GB34" s="2772"/>
      <c r="GC34" s="2772"/>
      <c r="GD34" s="2772"/>
      <c r="GY34" s="414"/>
      <c r="HQ34" s="414"/>
      <c r="HT34" s="415"/>
      <c r="IC34" s="2772"/>
      <c r="ID34" s="2772"/>
      <c r="IE34" s="2772"/>
      <c r="IF34" s="2772"/>
    </row>
    <row r="35" spans="16:240" ht="4.1500000000000004" customHeight="1">
      <c r="P35" s="414"/>
      <c r="T35" s="416"/>
      <c r="U35" s="418"/>
      <c r="W35" s="414"/>
      <c r="X35" s="446"/>
      <c r="Z35" s="416"/>
      <c r="AA35" s="418"/>
      <c r="AB35" s="415"/>
      <c r="AT35" s="415"/>
      <c r="AY35" s="414"/>
      <c r="BQ35" s="414"/>
      <c r="BR35" s="416"/>
      <c r="BS35" s="418"/>
      <c r="BU35" s="414"/>
      <c r="BV35" s="446"/>
      <c r="BX35" s="416"/>
      <c r="BY35" s="418"/>
      <c r="CA35" s="414"/>
      <c r="CB35" s="414"/>
      <c r="CW35" s="415"/>
      <c r="DS35" s="2772"/>
      <c r="DT35" s="2772"/>
      <c r="DU35" s="2772"/>
      <c r="DV35" s="2772"/>
      <c r="EL35" s="414"/>
      <c r="EP35" s="415"/>
      <c r="FP35" s="2771">
        <v>2.1</v>
      </c>
      <c r="FQ35" s="2772"/>
      <c r="FR35" s="2772"/>
      <c r="FS35" s="2772"/>
      <c r="GA35" s="2772"/>
      <c r="GB35" s="2772"/>
      <c r="GC35" s="2772"/>
      <c r="GD35" s="2772"/>
      <c r="GY35" s="414"/>
      <c r="HQ35" s="414"/>
      <c r="HT35" s="415"/>
      <c r="IC35" s="2772"/>
      <c r="ID35" s="2772"/>
      <c r="IE35" s="2772"/>
      <c r="IF35" s="2772"/>
    </row>
    <row r="36" spans="16:240" ht="4.1500000000000004" customHeight="1">
      <c r="P36" s="414"/>
      <c r="T36" s="414"/>
      <c r="W36" s="414"/>
      <c r="X36" s="446"/>
      <c r="AB36" s="415"/>
      <c r="AT36" s="415"/>
      <c r="AY36" s="414"/>
      <c r="BQ36" s="414"/>
      <c r="BU36" s="414"/>
      <c r="BV36" s="446"/>
      <c r="CA36" s="414"/>
      <c r="CB36" s="414"/>
      <c r="CW36" s="415"/>
      <c r="DS36" s="2772"/>
      <c r="DT36" s="2772"/>
      <c r="DU36" s="2772"/>
      <c r="DV36" s="2772"/>
      <c r="EL36" s="414"/>
      <c r="EP36" s="415"/>
      <c r="FP36" s="2772"/>
      <c r="FQ36" s="2772"/>
      <c r="FR36" s="2772"/>
      <c r="FS36" s="2772"/>
      <c r="GA36" s="2772"/>
      <c r="GB36" s="2772"/>
      <c r="GC36" s="2772"/>
      <c r="GD36" s="2772"/>
      <c r="GW36" s="2771">
        <v>2.1</v>
      </c>
      <c r="GX36" s="2772"/>
      <c r="GY36" s="2772"/>
      <c r="GZ36" s="2772"/>
      <c r="HQ36" s="414"/>
      <c r="HT36" s="415"/>
      <c r="IC36" s="2772"/>
      <c r="ID36" s="2772"/>
      <c r="IE36" s="2772"/>
      <c r="IF36" s="2772"/>
    </row>
    <row r="37" spans="16:240" ht="4.1500000000000004" customHeight="1">
      <c r="P37" s="414"/>
      <c r="T37" s="414"/>
      <c r="W37" s="414"/>
      <c r="X37" s="446"/>
      <c r="AB37" s="415"/>
      <c r="AT37" s="415"/>
      <c r="AY37" s="414"/>
      <c r="BQ37" s="414"/>
      <c r="BU37" s="414"/>
      <c r="BV37" s="446"/>
      <c r="CA37" s="414"/>
      <c r="CB37" s="414"/>
      <c r="CW37" s="415"/>
      <c r="DS37" s="2772"/>
      <c r="DT37" s="2772"/>
      <c r="DU37" s="2772"/>
      <c r="DV37" s="2772"/>
      <c r="EL37" s="414"/>
      <c r="EP37" s="415"/>
      <c r="FP37" s="2772"/>
      <c r="FQ37" s="2772"/>
      <c r="FR37" s="2772"/>
      <c r="FS37" s="2772"/>
      <c r="GA37" s="2772"/>
      <c r="GB37" s="2772"/>
      <c r="GC37" s="2772"/>
      <c r="GD37" s="2772"/>
      <c r="GW37" s="2772"/>
      <c r="GX37" s="2772"/>
      <c r="GY37" s="2772"/>
      <c r="GZ37" s="2772"/>
      <c r="HQ37" s="414"/>
      <c r="HT37" s="415"/>
      <c r="IC37" s="2772"/>
      <c r="ID37" s="2772"/>
      <c r="IE37" s="2772"/>
      <c r="IF37" s="2772"/>
    </row>
    <row r="38" spans="16:240" ht="4.1500000000000004" customHeight="1">
      <c r="P38" s="414"/>
      <c r="T38" s="411"/>
      <c r="U38" s="413"/>
      <c r="W38" s="414"/>
      <c r="X38" s="446"/>
      <c r="Z38" s="411"/>
      <c r="AA38" s="413"/>
      <c r="AB38" s="415"/>
      <c r="AT38" s="415"/>
      <c r="AY38" s="414"/>
      <c r="BQ38" s="414"/>
      <c r="BR38" s="411"/>
      <c r="BS38" s="413"/>
      <c r="BU38" s="414"/>
      <c r="BV38" s="446"/>
      <c r="BX38" s="411"/>
      <c r="BY38" s="413"/>
      <c r="CA38" s="414"/>
      <c r="CB38" s="414"/>
      <c r="CW38" s="415"/>
      <c r="DS38" s="2772"/>
      <c r="DT38" s="2772"/>
      <c r="DU38" s="2772"/>
      <c r="DV38" s="2772"/>
      <c r="EL38" s="414"/>
      <c r="EP38" s="415"/>
      <c r="FP38" s="2772"/>
      <c r="FQ38" s="2772"/>
      <c r="FR38" s="2772"/>
      <c r="FS38" s="2772"/>
      <c r="GA38" s="2772"/>
      <c r="GB38" s="2772"/>
      <c r="GC38" s="2772"/>
      <c r="GD38" s="2772"/>
      <c r="GW38" s="2772"/>
      <c r="GX38" s="2772"/>
      <c r="GY38" s="2772"/>
      <c r="GZ38" s="2772"/>
      <c r="HQ38" s="414"/>
      <c r="HT38" s="415"/>
      <c r="IC38" s="2772"/>
      <c r="ID38" s="2772"/>
      <c r="IE38" s="2772"/>
      <c r="IF38" s="2772"/>
    </row>
    <row r="39" spans="16:240" ht="4.1500000000000004" customHeight="1">
      <c r="P39" s="414"/>
      <c r="T39" s="414"/>
      <c r="U39" s="415"/>
      <c r="W39" s="414"/>
      <c r="X39" s="446"/>
      <c r="Z39" s="414"/>
      <c r="AA39" s="415"/>
      <c r="AB39" s="415"/>
      <c r="AT39" s="415"/>
      <c r="AY39" s="414"/>
      <c r="BQ39" s="414"/>
      <c r="BR39" s="414"/>
      <c r="BS39" s="415"/>
      <c r="BU39" s="414"/>
      <c r="BV39" s="446"/>
      <c r="BX39" s="414"/>
      <c r="BY39" s="415"/>
      <c r="CA39" s="414"/>
      <c r="CB39" s="414"/>
      <c r="CW39" s="415"/>
      <c r="DS39" s="2772"/>
      <c r="DT39" s="2772"/>
      <c r="DU39" s="2772"/>
      <c r="DV39" s="2772"/>
      <c r="EL39" s="414"/>
      <c r="EP39" s="415"/>
      <c r="FP39" s="2772"/>
      <c r="FQ39" s="2772"/>
      <c r="FR39" s="2772"/>
      <c r="FS39" s="2772"/>
      <c r="GA39" s="2772"/>
      <c r="GB39" s="2772"/>
      <c r="GC39" s="2772"/>
      <c r="GD39" s="2772"/>
      <c r="GW39" s="2772"/>
      <c r="GX39" s="2772"/>
      <c r="GY39" s="2772"/>
      <c r="GZ39" s="2772"/>
      <c r="HQ39" s="414"/>
      <c r="HT39" s="415"/>
      <c r="IC39" s="2772"/>
      <c r="ID39" s="2772"/>
      <c r="IE39" s="2772"/>
      <c r="IF39" s="2772"/>
    </row>
    <row r="40" spans="16:240" ht="4.1500000000000004" customHeight="1">
      <c r="P40" s="414"/>
      <c r="T40" s="414"/>
      <c r="U40" s="415"/>
      <c r="W40" s="414"/>
      <c r="X40" s="446"/>
      <c r="Z40" s="414"/>
      <c r="AA40" s="415"/>
      <c r="AB40" s="415"/>
      <c r="AT40" s="415"/>
      <c r="AY40" s="414"/>
      <c r="BQ40" s="414"/>
      <c r="BR40" s="414"/>
      <c r="BS40" s="415"/>
      <c r="BU40" s="414"/>
      <c r="BV40" s="446"/>
      <c r="BX40" s="414"/>
      <c r="BY40" s="415"/>
      <c r="CA40" s="414"/>
      <c r="CB40" s="414"/>
      <c r="CW40" s="415"/>
      <c r="DS40" s="2772"/>
      <c r="DT40" s="2772"/>
      <c r="DU40" s="2772"/>
      <c r="DV40" s="2772"/>
      <c r="EL40" s="414"/>
      <c r="EP40" s="415"/>
      <c r="FP40" s="2772"/>
      <c r="FQ40" s="2772"/>
      <c r="FR40" s="2772"/>
      <c r="FS40" s="2772"/>
      <c r="GC40" s="414"/>
      <c r="GW40" s="2772"/>
      <c r="GX40" s="2772"/>
      <c r="GY40" s="2772"/>
      <c r="GZ40" s="2772"/>
      <c r="HQ40" s="414"/>
      <c r="HT40" s="415"/>
      <c r="IE40" s="414"/>
    </row>
    <row r="41" spans="16:240" ht="4.1500000000000004" customHeight="1">
      <c r="P41" s="414"/>
      <c r="T41" s="414"/>
      <c r="U41" s="415"/>
      <c r="W41" s="414"/>
      <c r="X41" s="446"/>
      <c r="Z41" s="414"/>
      <c r="AA41" s="415"/>
      <c r="AB41" s="415"/>
      <c r="AT41" s="415"/>
      <c r="AY41" s="414"/>
      <c r="BQ41" s="414"/>
      <c r="BR41" s="414"/>
      <c r="BS41" s="415"/>
      <c r="BU41" s="414"/>
      <c r="BV41" s="446"/>
      <c r="BX41" s="414"/>
      <c r="BY41" s="415"/>
      <c r="CA41" s="414"/>
      <c r="CB41" s="414"/>
      <c r="CW41" s="415"/>
      <c r="DS41" s="2772"/>
      <c r="DT41" s="2772"/>
      <c r="DU41" s="2772"/>
      <c r="DV41" s="2772"/>
      <c r="EL41" s="414"/>
      <c r="EP41" s="415"/>
      <c r="FP41" s="2772"/>
      <c r="FQ41" s="2772"/>
      <c r="FR41" s="2772"/>
      <c r="FS41" s="2772"/>
      <c r="GC41" s="414"/>
      <c r="GW41" s="2772"/>
      <c r="GX41" s="2772"/>
      <c r="GY41" s="2772"/>
      <c r="GZ41" s="2772"/>
      <c r="HQ41" s="414"/>
      <c r="HT41" s="415"/>
      <c r="IE41" s="414"/>
    </row>
    <row r="42" spans="16:240" ht="4.1500000000000004" customHeight="1">
      <c r="P42" s="414"/>
      <c r="T42" s="414"/>
      <c r="U42" s="415"/>
      <c r="W42" s="414"/>
      <c r="X42" s="446"/>
      <c r="Z42" s="414"/>
      <c r="AA42" s="415"/>
      <c r="AB42" s="415"/>
      <c r="AT42" s="415"/>
      <c r="AY42" s="414"/>
      <c r="BQ42" s="414"/>
      <c r="BR42" s="414"/>
      <c r="BS42" s="415"/>
      <c r="BU42" s="414"/>
      <c r="BV42" s="446"/>
      <c r="BX42" s="414"/>
      <c r="BY42" s="415"/>
      <c r="CA42" s="414"/>
      <c r="CB42" s="414"/>
      <c r="CW42" s="415"/>
      <c r="DU42" s="414"/>
      <c r="EL42" s="414"/>
      <c r="EP42" s="415"/>
      <c r="FP42" s="2772"/>
      <c r="FQ42" s="2772"/>
      <c r="FR42" s="2772"/>
      <c r="FS42" s="2772"/>
      <c r="GC42" s="414"/>
      <c r="GW42" s="2772"/>
      <c r="GX42" s="2772"/>
      <c r="GY42" s="2772"/>
      <c r="GZ42" s="2772"/>
      <c r="HQ42" s="414"/>
      <c r="HT42" s="415"/>
      <c r="IE42" s="414"/>
    </row>
    <row r="43" spans="16:240" ht="4.1500000000000004" customHeight="1">
      <c r="P43" s="414"/>
      <c r="T43" s="414"/>
      <c r="U43" s="415"/>
      <c r="W43" s="414"/>
      <c r="X43" s="446"/>
      <c r="Z43" s="414"/>
      <c r="AA43" s="415"/>
      <c r="AB43" s="415"/>
      <c r="AT43" s="415"/>
      <c r="AY43" s="414"/>
      <c r="BQ43" s="414"/>
      <c r="BR43" s="414"/>
      <c r="BS43" s="415"/>
      <c r="BU43" s="414"/>
      <c r="BV43" s="446"/>
      <c r="BX43" s="414"/>
      <c r="BY43" s="415"/>
      <c r="CA43" s="414"/>
      <c r="CB43" s="414"/>
      <c r="CW43" s="415"/>
      <c r="DU43" s="414"/>
      <c r="EL43" s="414"/>
      <c r="EP43" s="415"/>
      <c r="FP43" s="2772"/>
      <c r="FQ43" s="2772"/>
      <c r="FR43" s="2772"/>
      <c r="FS43" s="2772"/>
      <c r="GC43" s="414"/>
      <c r="GW43" s="2772"/>
      <c r="GX43" s="2772"/>
      <c r="GY43" s="2772"/>
      <c r="GZ43" s="2772"/>
      <c r="HQ43" s="414"/>
      <c r="HT43" s="415"/>
      <c r="IE43" s="414"/>
    </row>
    <row r="44" spans="16:240" ht="4.1500000000000004" customHeight="1">
      <c r="P44" s="414"/>
      <c r="T44" s="414"/>
      <c r="U44" s="415"/>
      <c r="W44" s="414"/>
      <c r="X44" s="446"/>
      <c r="Z44" s="414"/>
      <c r="AA44" s="415"/>
      <c r="AB44" s="415"/>
      <c r="AT44" s="415"/>
      <c r="AY44" s="414"/>
      <c r="BQ44" s="414"/>
      <c r="BR44" s="414"/>
      <c r="BS44" s="415"/>
      <c r="BU44" s="414"/>
      <c r="BV44" s="446"/>
      <c r="BX44" s="414"/>
      <c r="BY44" s="415"/>
      <c r="CA44" s="414"/>
      <c r="CB44" s="414"/>
      <c r="CW44" s="415"/>
      <c r="DU44" s="414"/>
      <c r="EL44" s="414"/>
      <c r="EP44" s="415"/>
      <c r="EQ44" s="414"/>
      <c r="FP44" s="2772"/>
      <c r="FQ44" s="2772"/>
      <c r="FR44" s="2772"/>
      <c r="FS44" s="2772"/>
      <c r="GC44" s="414"/>
      <c r="GW44" s="2772"/>
      <c r="GX44" s="2772"/>
      <c r="GY44" s="2772"/>
      <c r="GZ44" s="2772"/>
      <c r="HQ44" s="414"/>
      <c r="HT44" s="415"/>
      <c r="IE44" s="414"/>
    </row>
    <row r="45" spans="16:240" ht="4.1500000000000004" customHeight="1">
      <c r="P45" s="414"/>
      <c r="T45" s="414"/>
      <c r="U45" s="415"/>
      <c r="W45" s="414"/>
      <c r="X45" s="446"/>
      <c r="Z45" s="414"/>
      <c r="AA45" s="415"/>
      <c r="AB45" s="415"/>
      <c r="AT45" s="415"/>
      <c r="AY45" s="414"/>
      <c r="BQ45" s="414"/>
      <c r="BR45" s="414"/>
      <c r="BS45" s="415"/>
      <c r="BU45" s="414"/>
      <c r="BV45" s="446"/>
      <c r="BX45" s="414"/>
      <c r="BY45" s="415"/>
      <c r="CA45" s="414"/>
      <c r="CB45" s="414"/>
      <c r="CW45" s="415"/>
      <c r="DU45" s="414"/>
      <c r="EL45" s="414"/>
      <c r="EP45" s="415"/>
      <c r="EQ45" s="414"/>
      <c r="FR45" s="414"/>
      <c r="GC45" s="414"/>
      <c r="GW45" s="2772"/>
      <c r="GX45" s="2772"/>
      <c r="GY45" s="2772"/>
      <c r="GZ45" s="2772"/>
      <c r="HQ45" s="414"/>
      <c r="HT45" s="415"/>
      <c r="IE45" s="414"/>
    </row>
    <row r="46" spans="16:240" ht="4.1500000000000004" customHeight="1">
      <c r="P46" s="414"/>
      <c r="T46" s="414"/>
      <c r="U46" s="415"/>
      <c r="W46" s="414"/>
      <c r="X46" s="446"/>
      <c r="Z46" s="414"/>
      <c r="AA46" s="415"/>
      <c r="AB46" s="415"/>
      <c r="AT46" s="415"/>
      <c r="AY46" s="414"/>
      <c r="BQ46" s="414"/>
      <c r="BR46" s="414"/>
      <c r="BS46" s="415"/>
      <c r="BU46" s="414"/>
      <c r="BV46" s="446"/>
      <c r="BX46" s="414"/>
      <c r="BY46" s="415"/>
      <c r="CA46" s="414"/>
      <c r="CB46" s="414"/>
      <c r="CW46" s="415"/>
      <c r="DU46" s="414"/>
      <c r="EL46" s="414"/>
      <c r="EP46" s="415"/>
      <c r="EQ46" s="414"/>
      <c r="FR46" s="414"/>
      <c r="GC46" s="414"/>
      <c r="GY46" s="414"/>
      <c r="HQ46" s="414"/>
      <c r="HT46" s="415"/>
      <c r="IE46" s="414"/>
    </row>
    <row r="47" spans="16:240" ht="4.1500000000000004" customHeight="1">
      <c r="P47" s="414"/>
      <c r="T47" s="416"/>
      <c r="U47" s="418"/>
      <c r="W47" s="414"/>
      <c r="X47" s="446"/>
      <c r="Z47" s="416"/>
      <c r="AA47" s="418"/>
      <c r="AB47" s="415"/>
      <c r="AT47" s="415"/>
      <c r="AY47" s="414"/>
      <c r="BQ47" s="414"/>
      <c r="BR47" s="416"/>
      <c r="BS47" s="418"/>
      <c r="BU47" s="414"/>
      <c r="BV47" s="446"/>
      <c r="BX47" s="416"/>
      <c r="BY47" s="418"/>
      <c r="CA47" s="414"/>
      <c r="CB47" s="414"/>
      <c r="CW47" s="415"/>
      <c r="DU47" s="414"/>
      <c r="EL47" s="414"/>
      <c r="EP47" s="415"/>
      <c r="EQ47" s="414"/>
      <c r="FR47" s="414"/>
      <c r="GC47" s="414"/>
      <c r="GY47" s="414"/>
      <c r="HQ47" s="414"/>
      <c r="HT47" s="415"/>
      <c r="HU47" s="414"/>
      <c r="IE47" s="414"/>
    </row>
    <row r="48" spans="16:240" ht="4.1500000000000004" customHeight="1">
      <c r="P48" s="416"/>
      <c r="Q48" s="417"/>
      <c r="R48" s="417"/>
      <c r="S48" s="417"/>
      <c r="T48" s="416"/>
      <c r="U48" s="417"/>
      <c r="V48" s="417"/>
      <c r="W48" s="416"/>
      <c r="X48" s="447"/>
      <c r="Y48" s="417"/>
      <c r="Z48" s="417"/>
      <c r="AA48" s="417"/>
      <c r="AB48" s="418"/>
      <c r="AC48" s="417"/>
      <c r="AD48" s="417"/>
      <c r="AE48" s="417"/>
      <c r="AF48" s="417"/>
      <c r="AG48" s="417"/>
      <c r="AH48" s="417"/>
      <c r="AI48" s="417"/>
      <c r="AJ48" s="417"/>
      <c r="AK48" s="417"/>
      <c r="AL48" s="417"/>
      <c r="AM48" s="417"/>
      <c r="AN48" s="417"/>
      <c r="AO48" s="417"/>
      <c r="AP48" s="417"/>
      <c r="AQ48" s="417"/>
      <c r="AR48" s="417"/>
      <c r="AS48" s="417"/>
      <c r="AT48" s="418"/>
      <c r="AU48" s="417"/>
      <c r="AV48" s="417"/>
      <c r="AW48" s="417"/>
      <c r="AX48" s="417"/>
      <c r="AY48" s="416"/>
      <c r="AZ48" s="417"/>
      <c r="BA48" s="417"/>
      <c r="BB48" s="417"/>
      <c r="BC48" s="417"/>
      <c r="BD48" s="417"/>
      <c r="BE48" s="417"/>
      <c r="BF48" s="417"/>
      <c r="BG48" s="417"/>
      <c r="BH48" s="417"/>
      <c r="BI48" s="417"/>
      <c r="BJ48" s="417"/>
      <c r="BK48" s="417"/>
      <c r="BL48" s="417"/>
      <c r="BM48" s="417"/>
      <c r="BN48" s="417"/>
      <c r="BO48" s="417"/>
      <c r="BP48" s="417"/>
      <c r="BQ48" s="416"/>
      <c r="BR48" s="417"/>
      <c r="BS48" s="417"/>
      <c r="BT48" s="417"/>
      <c r="BU48" s="416"/>
      <c r="BV48" s="447"/>
      <c r="BW48" s="417"/>
      <c r="CA48" s="414"/>
      <c r="CB48" s="416"/>
      <c r="CC48" s="417"/>
      <c r="CD48" s="417"/>
      <c r="CE48" s="417"/>
      <c r="CF48" s="417"/>
      <c r="CG48" s="417"/>
      <c r="CH48" s="417"/>
      <c r="CI48" s="417"/>
      <c r="CJ48" s="417"/>
      <c r="CK48" s="417"/>
      <c r="CL48" s="417"/>
      <c r="CM48" s="417"/>
      <c r="CN48" s="417"/>
      <c r="CO48" s="417"/>
      <c r="CP48" s="417"/>
      <c r="CQ48" s="417"/>
      <c r="CR48" s="417"/>
      <c r="CS48" s="417"/>
      <c r="CT48" s="417"/>
      <c r="CU48" s="417"/>
      <c r="CV48" s="417"/>
      <c r="CW48" s="418"/>
      <c r="DU48" s="414"/>
      <c r="EL48" s="414"/>
      <c r="EP48" s="415"/>
      <c r="EQ48" s="414"/>
      <c r="FR48" s="414"/>
      <c r="GC48" s="414"/>
      <c r="GY48" s="414"/>
      <c r="HQ48" s="414"/>
      <c r="HT48" s="415"/>
      <c r="HU48" s="414"/>
      <c r="IE48" s="414"/>
    </row>
    <row r="49" spans="15:253" ht="4.1500000000000004" customHeight="1">
      <c r="O49" s="411"/>
      <c r="P49" s="412"/>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c r="AQ49" s="412"/>
      <c r="AR49" s="412"/>
      <c r="AS49" s="412"/>
      <c r="AT49" s="412"/>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3"/>
      <c r="CB49" s="412"/>
      <c r="CC49" s="412"/>
      <c r="CD49" s="412"/>
      <c r="CE49" s="412"/>
      <c r="CF49" s="412"/>
      <c r="CG49" s="412"/>
      <c r="CH49" s="412"/>
      <c r="CI49" s="412"/>
      <c r="CJ49" s="412"/>
      <c r="CK49" s="412"/>
      <c r="CL49" s="412"/>
      <c r="CM49" s="412"/>
      <c r="CN49" s="412"/>
      <c r="CO49" s="412"/>
      <c r="CP49" s="412"/>
      <c r="CQ49" s="412"/>
      <c r="CR49" s="412"/>
      <c r="CS49" s="412"/>
      <c r="CT49" s="412"/>
      <c r="CU49" s="412"/>
      <c r="CV49" s="412"/>
      <c r="CW49" s="412"/>
      <c r="CX49" s="413"/>
      <c r="DU49" s="414"/>
      <c r="EL49" s="414"/>
      <c r="EP49" s="415"/>
      <c r="EQ49" s="414"/>
      <c r="FR49" s="414"/>
      <c r="GC49" s="414"/>
      <c r="GI49" s="2808" t="s">
        <v>2981</v>
      </c>
      <c r="GJ49" s="2808"/>
      <c r="GK49" s="2808"/>
      <c r="GL49" s="2808"/>
      <c r="GM49" s="2808"/>
      <c r="GN49" s="2808"/>
      <c r="GO49" s="2808"/>
      <c r="GY49" s="414"/>
      <c r="HQ49" s="414"/>
      <c r="HT49" s="415"/>
      <c r="HU49" s="414"/>
      <c r="IE49" s="414"/>
    </row>
    <row r="50" spans="15:253" ht="4.1500000000000004" customHeight="1">
      <c r="O50" s="416"/>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c r="AS50" s="417"/>
      <c r="AT50" s="417"/>
      <c r="AU50" s="417"/>
      <c r="AV50" s="417"/>
      <c r="AW50" s="417"/>
      <c r="AX50" s="417"/>
      <c r="AY50" s="417"/>
      <c r="AZ50" s="417"/>
      <c r="BA50" s="417"/>
      <c r="BB50" s="417"/>
      <c r="BC50" s="417"/>
      <c r="BD50" s="417"/>
      <c r="BE50" s="417"/>
      <c r="BF50" s="417"/>
      <c r="BG50" s="417"/>
      <c r="BH50" s="417"/>
      <c r="BI50" s="417"/>
      <c r="BJ50" s="417"/>
      <c r="BK50" s="417"/>
      <c r="BL50" s="417"/>
      <c r="BM50" s="417"/>
      <c r="BN50" s="417"/>
      <c r="BO50" s="417"/>
      <c r="BP50" s="417"/>
      <c r="BQ50" s="417"/>
      <c r="BR50" s="417"/>
      <c r="BS50" s="417"/>
      <c r="BT50" s="417"/>
      <c r="BU50" s="417"/>
      <c r="BV50" s="417"/>
      <c r="BW50" s="417"/>
      <c r="BX50" s="417"/>
      <c r="BY50" s="417"/>
      <c r="BZ50" s="417"/>
      <c r="CA50" s="418"/>
      <c r="CX50" s="415"/>
      <c r="DU50" s="414"/>
      <c r="EL50" s="414"/>
      <c r="EP50" s="415"/>
      <c r="EQ50" s="414"/>
      <c r="FR50" s="414"/>
      <c r="GC50" s="414"/>
      <c r="GI50" s="2808"/>
      <c r="GJ50" s="2808"/>
      <c r="GK50" s="2808"/>
      <c r="GL50" s="2808"/>
      <c r="GM50" s="2808"/>
      <c r="GN50" s="2808"/>
      <c r="GO50" s="2808"/>
      <c r="GY50" s="414"/>
      <c r="HQ50" s="414"/>
      <c r="HT50" s="415"/>
      <c r="HU50" s="414"/>
      <c r="IE50" s="414"/>
    </row>
    <row r="51" spans="15:253" ht="4.1500000000000004" customHeight="1">
      <c r="O51" s="411"/>
      <c r="P51" s="412"/>
      <c r="Q51" s="412"/>
      <c r="R51" s="412"/>
      <c r="S51" s="412"/>
      <c r="T51" s="412"/>
      <c r="U51" s="412"/>
      <c r="V51" s="412"/>
      <c r="W51" s="412"/>
      <c r="X51" s="412"/>
      <c r="Y51" s="412"/>
      <c r="Z51" s="412"/>
      <c r="AA51" s="412"/>
      <c r="AB51" s="412"/>
      <c r="AC51" s="412"/>
      <c r="AD51" s="412"/>
      <c r="AE51" s="412"/>
      <c r="AF51" s="412"/>
      <c r="AG51" s="412"/>
      <c r="AH51" s="412"/>
      <c r="AI51" s="412"/>
      <c r="AJ51" s="412"/>
      <c r="AK51" s="412"/>
      <c r="AL51" s="412"/>
      <c r="AM51" s="412"/>
      <c r="AN51" s="412"/>
      <c r="AO51" s="412"/>
      <c r="AP51" s="412"/>
      <c r="AQ51" s="412"/>
      <c r="AR51" s="412"/>
      <c r="AS51" s="412"/>
      <c r="AT51" s="412"/>
      <c r="AU51" s="412"/>
      <c r="AV51" s="412"/>
      <c r="AW51" s="412"/>
      <c r="AX51" s="412"/>
      <c r="AY51" s="412"/>
      <c r="AZ51" s="412"/>
      <c r="BA51" s="412"/>
      <c r="BB51" s="412"/>
      <c r="BC51" s="412"/>
      <c r="BD51" s="412"/>
      <c r="BE51" s="412"/>
      <c r="BF51" s="412"/>
      <c r="BG51" s="412"/>
      <c r="BH51" s="412"/>
      <c r="BI51" s="412"/>
      <c r="BJ51" s="412"/>
      <c r="BK51" s="412"/>
      <c r="BL51" s="412"/>
      <c r="BM51" s="412"/>
      <c r="BN51" s="412"/>
      <c r="BO51" s="412"/>
      <c r="BP51" s="412"/>
      <c r="BQ51" s="412"/>
      <c r="BR51" s="412"/>
      <c r="BS51" s="412"/>
      <c r="BT51" s="412"/>
      <c r="BU51" s="412"/>
      <c r="BV51" s="412"/>
      <c r="BW51" s="412"/>
      <c r="BX51" s="412"/>
      <c r="BY51" s="412"/>
      <c r="BZ51" s="412"/>
      <c r="CA51" s="413"/>
      <c r="CX51" s="415"/>
      <c r="DU51" s="414"/>
      <c r="EL51" s="414"/>
      <c r="EP51" s="415"/>
      <c r="EQ51" s="414"/>
      <c r="FR51" s="414"/>
      <c r="GC51" s="414"/>
      <c r="GI51" s="2808"/>
      <c r="GJ51" s="2808"/>
      <c r="GK51" s="2808"/>
      <c r="GL51" s="2808"/>
      <c r="GM51" s="2808"/>
      <c r="GN51" s="2808"/>
      <c r="GO51" s="2808"/>
      <c r="GY51" s="414"/>
      <c r="HQ51" s="414"/>
      <c r="HT51" s="415"/>
      <c r="HU51" s="414"/>
      <c r="IE51" s="414"/>
    </row>
    <row r="52" spans="15:253" ht="4.1500000000000004" customHeight="1">
      <c r="O52" s="416"/>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8"/>
      <c r="CX52" s="415"/>
      <c r="DU52" s="414"/>
      <c r="EL52" s="414"/>
      <c r="EP52" s="415"/>
      <c r="EQ52" s="416"/>
      <c r="ER52" s="417"/>
      <c r="ES52" s="417"/>
      <c r="ET52" s="417"/>
      <c r="EU52" s="417"/>
      <c r="EV52" s="417"/>
      <c r="EW52" s="417"/>
      <c r="EX52" s="417"/>
      <c r="EY52" s="417"/>
      <c r="EZ52" s="417"/>
      <c r="FA52" s="417"/>
      <c r="FB52" s="417"/>
      <c r="FC52" s="417"/>
      <c r="FD52" s="417"/>
      <c r="FE52" s="417"/>
      <c r="FF52" s="417"/>
      <c r="FG52" s="417"/>
      <c r="FH52" s="417"/>
      <c r="FI52" s="417"/>
      <c r="FJ52" s="417"/>
      <c r="FK52" s="417"/>
      <c r="FL52" s="417"/>
      <c r="FM52" s="417"/>
      <c r="FN52" s="417"/>
      <c r="FO52" s="417"/>
      <c r="FP52" s="417"/>
      <c r="FQ52" s="417"/>
      <c r="FR52" s="416"/>
      <c r="FS52" s="417"/>
      <c r="FT52" s="417"/>
      <c r="FU52" s="417"/>
      <c r="FV52" s="417"/>
      <c r="FW52" s="417"/>
      <c r="GC52" s="414"/>
      <c r="GE52" s="417"/>
      <c r="GF52" s="417"/>
      <c r="GG52" s="417"/>
      <c r="GH52" s="417"/>
      <c r="GI52" s="417"/>
      <c r="GJ52" s="417"/>
      <c r="GK52" s="417"/>
      <c r="GL52" s="417"/>
      <c r="GM52" s="417"/>
      <c r="GN52" s="417"/>
      <c r="GO52" s="417"/>
      <c r="GP52" s="417"/>
      <c r="GQ52" s="417"/>
      <c r="GR52" s="417"/>
      <c r="GS52" s="417"/>
      <c r="GT52" s="417"/>
      <c r="GU52" s="417"/>
      <c r="GV52" s="417"/>
      <c r="GW52" s="417"/>
      <c r="GX52" s="417"/>
      <c r="GY52" s="416"/>
      <c r="GZ52" s="417"/>
      <c r="HA52" s="417"/>
      <c r="HB52" s="417"/>
      <c r="HC52" s="417"/>
      <c r="HD52" s="417"/>
      <c r="HE52" s="417"/>
      <c r="HF52" s="417"/>
      <c r="HG52" s="417"/>
      <c r="HH52" s="417"/>
      <c r="HI52" s="417"/>
      <c r="HJ52" s="417"/>
      <c r="HK52" s="417"/>
      <c r="HL52" s="417"/>
      <c r="HM52" s="417"/>
      <c r="HN52" s="417"/>
      <c r="HO52" s="417"/>
      <c r="HQ52" s="414"/>
      <c r="HT52" s="415"/>
      <c r="HU52" s="416"/>
      <c r="HV52" s="417"/>
      <c r="HW52" s="417"/>
      <c r="HX52" s="417"/>
      <c r="HY52" s="417"/>
      <c r="HZ52" s="417"/>
      <c r="IA52" s="417"/>
      <c r="IB52" s="417"/>
      <c r="IC52" s="417"/>
      <c r="ID52" s="417"/>
      <c r="IE52" s="416"/>
      <c r="IF52" s="417"/>
      <c r="IG52" s="417"/>
      <c r="IH52" s="417"/>
      <c r="II52" s="417"/>
      <c r="IJ52" s="417"/>
      <c r="IK52" s="417"/>
      <c r="IL52" s="417"/>
      <c r="IM52" s="417"/>
      <c r="IN52" s="417"/>
      <c r="IO52" s="417"/>
      <c r="IP52" s="417"/>
      <c r="IQ52" s="417"/>
      <c r="IR52" s="417"/>
      <c r="IS52" s="417"/>
    </row>
    <row r="53" spans="15:253" ht="4.1500000000000004" customHeight="1">
      <c r="O53" s="411"/>
      <c r="P53" s="412"/>
      <c r="Q53" s="412"/>
      <c r="R53" s="412"/>
      <c r="S53" s="412"/>
      <c r="T53" s="412"/>
      <c r="U53" s="412"/>
      <c r="V53" s="412"/>
      <c r="W53" s="412"/>
      <c r="X53" s="412"/>
      <c r="Y53" s="412"/>
      <c r="Z53" s="412"/>
      <c r="AA53" s="412"/>
      <c r="AB53" s="412"/>
      <c r="AC53" s="412"/>
      <c r="AD53" s="412"/>
      <c r="AE53" s="412"/>
      <c r="AF53" s="412"/>
      <c r="AG53" s="412"/>
      <c r="AH53" s="412"/>
      <c r="AI53" s="412"/>
      <c r="AJ53" s="412"/>
      <c r="AK53" s="412"/>
      <c r="AL53" s="412"/>
      <c r="AM53" s="412"/>
      <c r="AN53" s="412"/>
      <c r="AO53" s="412"/>
      <c r="AP53" s="412"/>
      <c r="AQ53" s="412"/>
      <c r="AR53" s="412"/>
      <c r="AS53" s="412"/>
      <c r="AT53" s="412"/>
      <c r="AU53" s="412"/>
      <c r="AV53" s="412"/>
      <c r="AW53" s="412"/>
      <c r="AX53" s="412"/>
      <c r="AY53" s="412"/>
      <c r="AZ53" s="412"/>
      <c r="BA53" s="412"/>
      <c r="BB53" s="412"/>
      <c r="BC53" s="412"/>
      <c r="BD53" s="412"/>
      <c r="BE53" s="412"/>
      <c r="BF53" s="412"/>
      <c r="BG53" s="412"/>
      <c r="BH53" s="412"/>
      <c r="BI53" s="412"/>
      <c r="BJ53" s="412"/>
      <c r="BK53" s="412"/>
      <c r="BL53" s="412"/>
      <c r="BM53" s="412"/>
      <c r="BN53" s="412"/>
      <c r="BO53" s="412"/>
      <c r="BP53" s="412"/>
      <c r="BQ53" s="412"/>
      <c r="BR53" s="412"/>
      <c r="BS53" s="412"/>
      <c r="BT53" s="412"/>
      <c r="BU53" s="412"/>
      <c r="BV53" s="412"/>
      <c r="BW53" s="412"/>
      <c r="BX53" s="412"/>
      <c r="BY53" s="412"/>
      <c r="BZ53" s="412"/>
      <c r="CA53" s="413"/>
      <c r="CX53" s="415"/>
      <c r="DU53" s="414"/>
      <c r="EL53" s="450"/>
      <c r="EM53" s="451"/>
      <c r="EN53" s="451"/>
      <c r="EO53" s="451"/>
      <c r="EP53" s="452"/>
      <c r="FL53" s="2588">
        <v>0.2</v>
      </c>
      <c r="FM53" s="2587"/>
      <c r="FN53" s="2587"/>
      <c r="FO53" s="2587"/>
      <c r="FP53" s="2587"/>
      <c r="FQ53" s="2587"/>
      <c r="FR53" s="2587"/>
      <c r="FS53" s="2587"/>
      <c r="FT53" s="2587"/>
      <c r="FU53" s="2587"/>
      <c r="FV53" s="2587"/>
      <c r="FW53" s="2587"/>
      <c r="GA53" s="412"/>
      <c r="GB53" s="2823">
        <f>FL53+FL58</f>
        <v>0.45</v>
      </c>
      <c r="GC53" s="2824"/>
      <c r="GD53" s="2824"/>
      <c r="GE53" s="2772"/>
      <c r="HQ53" s="450"/>
      <c r="HR53" s="451"/>
      <c r="HS53" s="451"/>
      <c r="HT53" s="452"/>
    </row>
    <row r="54" spans="15:253" ht="4.1500000000000004" customHeight="1">
      <c r="O54" s="416"/>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c r="CA54" s="418"/>
      <c r="CB54" s="417"/>
      <c r="CC54" s="417"/>
      <c r="CD54" s="417"/>
      <c r="CE54" s="417"/>
      <c r="CF54" s="417"/>
      <c r="CG54" s="417"/>
      <c r="CH54" s="417"/>
      <c r="CI54" s="417"/>
      <c r="CJ54" s="417"/>
      <c r="CK54" s="417"/>
      <c r="CL54" s="417"/>
      <c r="CM54" s="417"/>
      <c r="CN54" s="417"/>
      <c r="CO54" s="417"/>
      <c r="CP54" s="417"/>
      <c r="CQ54" s="417"/>
      <c r="CR54" s="417"/>
      <c r="CS54" s="417"/>
      <c r="CT54" s="417"/>
      <c r="CU54" s="417"/>
      <c r="CV54" s="417"/>
      <c r="CW54" s="417"/>
      <c r="CX54" s="418"/>
      <c r="DU54" s="414"/>
      <c r="EL54" s="453"/>
      <c r="EM54" s="454"/>
      <c r="EN54" s="454"/>
      <c r="EO54" s="454"/>
      <c r="EP54" s="455"/>
      <c r="FL54" s="2588"/>
      <c r="FM54" s="2588"/>
      <c r="FN54" s="2588"/>
      <c r="FO54" s="2588"/>
      <c r="FP54" s="2588"/>
      <c r="FQ54" s="2588"/>
      <c r="FR54" s="2588"/>
      <c r="FS54" s="2588"/>
      <c r="FT54" s="2588"/>
      <c r="FU54" s="2588"/>
      <c r="FV54" s="2588"/>
      <c r="FW54" s="2588"/>
      <c r="GB54" s="2772"/>
      <c r="GC54" s="2772"/>
      <c r="GD54" s="2772"/>
      <c r="GE54" s="2772"/>
      <c r="HQ54" s="453"/>
      <c r="HR54" s="454"/>
      <c r="HS54" s="454"/>
      <c r="HT54" s="455"/>
    </row>
    <row r="55" spans="15:253" ht="4.1500000000000004" customHeight="1">
      <c r="O55" s="411"/>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c r="AP55" s="412"/>
      <c r="AQ55" s="412"/>
      <c r="AR55" s="412"/>
      <c r="AS55" s="412"/>
      <c r="AT55" s="412"/>
      <c r="AU55" s="412"/>
      <c r="AV55" s="412"/>
      <c r="AW55" s="412"/>
      <c r="AX55" s="412"/>
      <c r="AY55" s="412"/>
      <c r="AZ55" s="412"/>
      <c r="BA55" s="412"/>
      <c r="BB55" s="412"/>
      <c r="BC55" s="412"/>
      <c r="BD55" s="412"/>
      <c r="BE55" s="412"/>
      <c r="BF55" s="412"/>
      <c r="BG55" s="412"/>
      <c r="BH55" s="412"/>
      <c r="BI55" s="412"/>
      <c r="BJ55" s="412"/>
      <c r="BK55" s="412"/>
      <c r="BL55" s="412"/>
      <c r="BM55" s="412"/>
      <c r="BN55" s="412"/>
      <c r="BO55" s="412"/>
      <c r="BP55" s="412"/>
      <c r="BQ55" s="412"/>
      <c r="BR55" s="412"/>
      <c r="BS55" s="412"/>
      <c r="BT55" s="412"/>
      <c r="BU55" s="412"/>
      <c r="BV55" s="412"/>
      <c r="BW55" s="412"/>
      <c r="BX55" s="412"/>
      <c r="BY55" s="412"/>
      <c r="BZ55" s="412"/>
      <c r="CA55" s="413"/>
      <c r="CB55" s="412"/>
      <c r="CC55" s="412"/>
      <c r="CD55" s="412"/>
      <c r="CE55" s="412"/>
      <c r="CF55" s="412"/>
      <c r="CG55" s="412"/>
      <c r="CH55" s="412"/>
      <c r="CI55" s="412"/>
      <c r="CJ55" s="412"/>
      <c r="CK55" s="412"/>
      <c r="CL55" s="412"/>
      <c r="CM55" s="412"/>
      <c r="CN55" s="412"/>
      <c r="CO55" s="412"/>
      <c r="CP55" s="412"/>
      <c r="CQ55" s="412"/>
      <c r="CR55" s="412"/>
      <c r="CS55" s="412"/>
      <c r="CT55" s="412"/>
      <c r="CU55" s="412"/>
      <c r="CV55" s="412"/>
      <c r="CW55" s="412"/>
      <c r="DU55" s="414"/>
      <c r="EL55" s="453"/>
      <c r="EM55" s="454"/>
      <c r="EN55" s="454"/>
      <c r="EO55" s="454"/>
      <c r="EP55" s="455"/>
      <c r="FL55" s="2589"/>
      <c r="FM55" s="2589"/>
      <c r="FN55" s="2589"/>
      <c r="FO55" s="2589"/>
      <c r="FP55" s="2589"/>
      <c r="FQ55" s="2589"/>
      <c r="FR55" s="2589"/>
      <c r="FS55" s="2589"/>
      <c r="FT55" s="2589"/>
      <c r="FU55" s="2589"/>
      <c r="FV55" s="2589"/>
      <c r="FW55" s="2589"/>
      <c r="GB55" s="2772"/>
      <c r="GC55" s="2772"/>
      <c r="GD55" s="2772"/>
      <c r="GE55" s="2772"/>
      <c r="HQ55" s="456"/>
      <c r="HR55" s="457"/>
      <c r="HS55" s="457"/>
      <c r="HT55" s="458"/>
      <c r="HU55" s="414"/>
    </row>
    <row r="56" spans="15:253" ht="4.1500000000000004" customHeight="1">
      <c r="O56" s="414"/>
      <c r="CA56" s="415"/>
      <c r="DU56" s="414"/>
      <c r="EL56" s="2826">
        <f>CV85</f>
        <v>0.25</v>
      </c>
      <c r="EM56" s="2827"/>
      <c r="EN56" s="2827"/>
      <c r="EO56" s="2827"/>
      <c r="EP56" s="2828"/>
      <c r="FL56" s="412"/>
      <c r="FM56" s="412"/>
      <c r="FN56" s="412"/>
      <c r="FO56" s="412"/>
      <c r="FP56" s="412"/>
      <c r="FQ56" s="412"/>
      <c r="FR56" s="412"/>
      <c r="FS56" s="412"/>
      <c r="FT56" s="412"/>
      <c r="FU56" s="412"/>
      <c r="FV56" s="412"/>
      <c r="FW56" s="412"/>
      <c r="GB56" s="2772"/>
      <c r="GC56" s="2772"/>
      <c r="GD56" s="2772"/>
      <c r="GE56" s="2772"/>
      <c r="HQ56" s="411"/>
      <c r="HR56" s="412"/>
      <c r="HS56" s="412"/>
      <c r="HT56" s="413"/>
      <c r="HU56" s="414"/>
    </row>
    <row r="57" spans="15:253" ht="4.1500000000000004" customHeight="1">
      <c r="O57" s="414"/>
      <c r="CA57" s="415"/>
      <c r="DU57" s="414"/>
      <c r="EL57" s="2829"/>
      <c r="EM57" s="2830"/>
      <c r="EN57" s="2830"/>
      <c r="EO57" s="2830"/>
      <c r="EP57" s="2831"/>
      <c r="FL57" s="449"/>
      <c r="FM57" s="449"/>
      <c r="FN57" s="449"/>
      <c r="FO57" s="449"/>
      <c r="FP57" s="449"/>
      <c r="FQ57" s="449"/>
      <c r="FR57" s="449"/>
      <c r="FS57" s="449"/>
      <c r="FT57" s="449"/>
      <c r="FU57" s="449"/>
      <c r="FV57" s="449"/>
      <c r="FW57" s="449"/>
      <c r="GB57" s="2772"/>
      <c r="GC57" s="2772"/>
      <c r="GD57" s="2772"/>
      <c r="GE57" s="2772"/>
      <c r="HQ57" s="414"/>
      <c r="HT57" s="415"/>
      <c r="HU57" s="414"/>
    </row>
    <row r="58" spans="15:253" ht="4.1500000000000004" customHeight="1">
      <c r="DU58" s="414"/>
      <c r="EH58" s="411"/>
      <c r="EI58" s="412"/>
      <c r="EJ58" s="412"/>
      <c r="EK58" s="413"/>
      <c r="EL58" s="2829"/>
      <c r="EM58" s="2830"/>
      <c r="EN58" s="2830"/>
      <c r="EO58" s="2830"/>
      <c r="EP58" s="2831"/>
      <c r="FL58" s="2588">
        <v>0.25</v>
      </c>
      <c r="FM58" s="2588"/>
      <c r="FN58" s="2588"/>
      <c r="FO58" s="2588"/>
      <c r="FP58" s="2588"/>
      <c r="FQ58" s="2588"/>
      <c r="FR58" s="2588"/>
      <c r="FS58" s="2588"/>
      <c r="FT58" s="2588"/>
      <c r="FU58" s="2588"/>
      <c r="FV58" s="2588"/>
      <c r="FW58" s="2588"/>
      <c r="GB58" s="2772"/>
      <c r="GC58" s="2772"/>
      <c r="GD58" s="2772"/>
      <c r="GE58" s="2772"/>
      <c r="HP58" s="415"/>
      <c r="HQ58" s="414"/>
      <c r="HT58" s="415"/>
      <c r="HU58" s="414"/>
    </row>
    <row r="59" spans="15:253" ht="4.1500000000000004" customHeight="1">
      <c r="P59" s="414"/>
      <c r="AZ59" s="2773">
        <f>AZ64+CV85</f>
        <v>7.5</v>
      </c>
      <c r="BA59" s="2579"/>
      <c r="BB59" s="2579"/>
      <c r="BC59" s="2579"/>
      <c r="BD59" s="2579"/>
      <c r="BE59" s="2579"/>
      <c r="BF59" s="2579"/>
      <c r="BG59" s="2579"/>
      <c r="BH59" s="2579"/>
      <c r="BI59" s="2579"/>
      <c r="BJ59" s="2579"/>
      <c r="BK59" s="2579"/>
      <c r="BL59" s="2579"/>
      <c r="BM59" s="2579"/>
      <c r="CW59" s="415"/>
      <c r="DU59" s="414"/>
      <c r="EH59" s="414"/>
      <c r="EK59" s="415"/>
      <c r="EL59" s="2829"/>
      <c r="EM59" s="2830"/>
      <c r="EN59" s="2830"/>
      <c r="EO59" s="2830"/>
      <c r="EP59" s="2831"/>
      <c r="FL59" s="2588"/>
      <c r="FM59" s="2588"/>
      <c r="FN59" s="2588"/>
      <c r="FO59" s="2588"/>
      <c r="FP59" s="2588"/>
      <c r="FQ59" s="2588"/>
      <c r="FR59" s="2588"/>
      <c r="FS59" s="2588"/>
      <c r="FT59" s="2588"/>
      <c r="FU59" s="2588"/>
      <c r="FV59" s="2588"/>
      <c r="FW59" s="2588"/>
      <c r="GB59" s="2772"/>
      <c r="GC59" s="2772"/>
      <c r="GD59" s="2772"/>
      <c r="GE59" s="2772"/>
      <c r="GI59" s="2808" t="s">
        <v>2980</v>
      </c>
      <c r="GJ59" s="2808"/>
      <c r="GK59" s="2808"/>
      <c r="GL59" s="2808"/>
      <c r="GM59" s="2808"/>
      <c r="GN59" s="2808"/>
      <c r="GO59" s="2808"/>
      <c r="HP59" s="415"/>
      <c r="HQ59" s="414"/>
      <c r="HT59" s="415"/>
      <c r="HU59" s="414"/>
    </row>
    <row r="60" spans="15:253" ht="4.1500000000000004" customHeight="1">
      <c r="P60" s="416"/>
      <c r="Q60" s="417"/>
      <c r="R60" s="417"/>
      <c r="S60" s="417"/>
      <c r="T60" s="417"/>
      <c r="U60" s="417"/>
      <c r="V60" s="417"/>
      <c r="W60" s="417"/>
      <c r="X60" s="417"/>
      <c r="Y60" s="417"/>
      <c r="Z60" s="417"/>
      <c r="AA60" s="417"/>
      <c r="AB60" s="417"/>
      <c r="AC60" s="417"/>
      <c r="AD60" s="417"/>
      <c r="AE60" s="417"/>
      <c r="AF60" s="417"/>
      <c r="AG60" s="417"/>
      <c r="AH60" s="417"/>
      <c r="AI60" s="417"/>
      <c r="AJ60" s="417"/>
      <c r="AK60" s="417"/>
      <c r="AL60" s="417"/>
      <c r="AM60" s="417"/>
      <c r="AN60" s="417"/>
      <c r="AO60" s="417"/>
      <c r="AP60" s="417"/>
      <c r="AQ60" s="417"/>
      <c r="AR60" s="417"/>
      <c r="AS60" s="417"/>
      <c r="AT60" s="417"/>
      <c r="AU60" s="417"/>
      <c r="AV60" s="417"/>
      <c r="AW60" s="417"/>
      <c r="AX60" s="417"/>
      <c r="AY60" s="417"/>
      <c r="AZ60" s="2579"/>
      <c r="BA60" s="2579"/>
      <c r="BB60" s="2579"/>
      <c r="BC60" s="2579"/>
      <c r="BD60" s="2579"/>
      <c r="BE60" s="2579"/>
      <c r="BF60" s="2579"/>
      <c r="BG60" s="2579"/>
      <c r="BH60" s="2579"/>
      <c r="BI60" s="2579"/>
      <c r="BJ60" s="2579"/>
      <c r="BK60" s="2579"/>
      <c r="BL60" s="2579"/>
      <c r="BM60" s="2579"/>
      <c r="BN60" s="417"/>
      <c r="BO60" s="417"/>
      <c r="BP60" s="417"/>
      <c r="BQ60" s="417"/>
      <c r="BR60" s="417"/>
      <c r="BS60" s="417"/>
      <c r="BT60" s="417"/>
      <c r="BU60" s="417"/>
      <c r="BV60" s="417"/>
      <c r="BW60" s="417"/>
      <c r="BX60" s="417"/>
      <c r="BY60" s="417"/>
      <c r="BZ60" s="417"/>
      <c r="CA60" s="417"/>
      <c r="CB60" s="417"/>
      <c r="CC60" s="417"/>
      <c r="CD60" s="417"/>
      <c r="CE60" s="417"/>
      <c r="CF60" s="417"/>
      <c r="CG60" s="417"/>
      <c r="CH60" s="417"/>
      <c r="CI60" s="417"/>
      <c r="CJ60" s="417"/>
      <c r="CK60" s="417"/>
      <c r="CL60" s="417"/>
      <c r="CM60" s="417"/>
      <c r="CN60" s="417"/>
      <c r="CO60" s="417"/>
      <c r="CP60" s="417"/>
      <c r="CQ60" s="417"/>
      <c r="CR60" s="417"/>
      <c r="CS60" s="417"/>
      <c r="CT60" s="417"/>
      <c r="CU60" s="417"/>
      <c r="CV60" s="417"/>
      <c r="CW60" s="418"/>
      <c r="DU60" s="414"/>
      <c r="ED60" s="411"/>
      <c r="EE60" s="412"/>
      <c r="EF60" s="412"/>
      <c r="EG60" s="412"/>
      <c r="EL60" s="2829"/>
      <c r="EM60" s="2830"/>
      <c r="EN60" s="2830"/>
      <c r="EO60" s="2830"/>
      <c r="EP60" s="2831"/>
      <c r="FL60" s="2588"/>
      <c r="FM60" s="2588"/>
      <c r="FN60" s="2588"/>
      <c r="FO60" s="2588"/>
      <c r="FP60" s="2588"/>
      <c r="FQ60" s="2588"/>
      <c r="FR60" s="2588"/>
      <c r="FS60" s="2588"/>
      <c r="FT60" s="2588"/>
      <c r="FU60" s="2588"/>
      <c r="FV60" s="2588"/>
      <c r="FW60" s="2588"/>
      <c r="GB60" s="2772"/>
      <c r="GC60" s="2772"/>
      <c r="GD60" s="2772"/>
      <c r="GE60" s="2772"/>
      <c r="GI60" s="2808"/>
      <c r="GJ60" s="2808"/>
      <c r="GK60" s="2808"/>
      <c r="GL60" s="2808"/>
      <c r="GM60" s="2808"/>
      <c r="GN60" s="2808"/>
      <c r="GO60" s="2808"/>
      <c r="HP60" s="415"/>
      <c r="HQ60" s="414"/>
      <c r="HT60" s="415"/>
      <c r="HU60" s="414"/>
    </row>
    <row r="61" spans="15:253" ht="4.1500000000000004" customHeight="1">
      <c r="P61" s="414"/>
      <c r="AZ61" s="2579"/>
      <c r="BA61" s="2579"/>
      <c r="BB61" s="2579"/>
      <c r="BC61" s="2579"/>
      <c r="BD61" s="2579"/>
      <c r="BE61" s="2579"/>
      <c r="BF61" s="2579"/>
      <c r="BG61" s="2579"/>
      <c r="BH61" s="2579"/>
      <c r="BI61" s="2579"/>
      <c r="BJ61" s="2579"/>
      <c r="BK61" s="2579"/>
      <c r="BL61" s="2579"/>
      <c r="BM61" s="2579"/>
      <c r="CW61" s="415"/>
      <c r="DR61" s="417"/>
      <c r="DS61" s="417"/>
      <c r="DT61" s="417"/>
      <c r="DU61" s="416"/>
      <c r="DV61" s="417"/>
      <c r="DW61" s="417"/>
      <c r="DX61" s="417"/>
      <c r="DY61" s="417"/>
      <c r="DZ61" s="417"/>
      <c r="EA61" s="417"/>
      <c r="EB61" s="417"/>
      <c r="EC61" s="417"/>
      <c r="ED61" s="416"/>
      <c r="EE61" s="417"/>
      <c r="EF61" s="417"/>
      <c r="EG61" s="417"/>
      <c r="EL61" s="2832"/>
      <c r="EM61" s="2833"/>
      <c r="EN61" s="2833"/>
      <c r="EO61" s="2833"/>
      <c r="EP61" s="2834"/>
      <c r="ET61" s="417"/>
      <c r="EU61" s="417"/>
      <c r="EV61" s="417"/>
      <c r="EW61" s="417"/>
      <c r="EX61" s="417"/>
      <c r="EY61" s="417"/>
      <c r="EZ61" s="417"/>
      <c r="FA61" s="417"/>
      <c r="FB61" s="417"/>
      <c r="FC61" s="417"/>
      <c r="FD61" s="417"/>
      <c r="FE61" s="417"/>
      <c r="FF61" s="417"/>
      <c r="FG61" s="417"/>
      <c r="FH61" s="417"/>
      <c r="FI61" s="417"/>
      <c r="FJ61" s="417"/>
      <c r="FK61" s="417"/>
      <c r="FL61" s="448"/>
      <c r="FM61" s="448"/>
      <c r="FN61" s="448"/>
      <c r="FO61" s="448"/>
      <c r="FP61" s="448"/>
      <c r="FQ61" s="448"/>
      <c r="FR61" s="448"/>
      <c r="FS61" s="448"/>
      <c r="FT61" s="448"/>
      <c r="FU61" s="448"/>
      <c r="FV61" s="448"/>
      <c r="FW61" s="448"/>
      <c r="GA61" s="417"/>
      <c r="GB61" s="2825"/>
      <c r="GC61" s="2825"/>
      <c r="GD61" s="2825"/>
      <c r="GE61" s="2825"/>
      <c r="GF61" s="417"/>
      <c r="GG61" s="417"/>
      <c r="GH61" s="417"/>
      <c r="GI61" s="2809"/>
      <c r="GJ61" s="2809"/>
      <c r="GK61" s="2809"/>
      <c r="GL61" s="2809"/>
      <c r="GM61" s="2809"/>
      <c r="GN61" s="2809"/>
      <c r="GO61" s="2809"/>
      <c r="GP61" s="417"/>
      <c r="GQ61" s="417"/>
      <c r="GR61" s="417"/>
      <c r="GS61" s="417"/>
      <c r="GT61" s="417"/>
      <c r="GU61" s="417"/>
      <c r="GV61" s="417"/>
      <c r="GW61" s="417"/>
      <c r="GX61" s="417"/>
      <c r="GY61" s="417"/>
      <c r="GZ61" s="417"/>
      <c r="HA61" s="417"/>
      <c r="HB61" s="417"/>
      <c r="HC61" s="417"/>
      <c r="HD61" s="417"/>
      <c r="HE61" s="417"/>
      <c r="HF61" s="417"/>
      <c r="HG61" s="417"/>
      <c r="HH61" s="417"/>
      <c r="HI61" s="417"/>
      <c r="HJ61" s="417"/>
      <c r="HK61" s="417"/>
      <c r="HL61" s="417"/>
      <c r="HM61" s="417"/>
      <c r="HN61" s="417"/>
      <c r="HO61" s="417"/>
      <c r="HP61" s="418"/>
      <c r="HQ61" s="416"/>
      <c r="HR61" s="417"/>
      <c r="HS61" s="417"/>
      <c r="HT61" s="418"/>
      <c r="HU61" s="416"/>
      <c r="HV61" s="417"/>
      <c r="HW61" s="417"/>
      <c r="HX61" s="417"/>
      <c r="HY61" s="417"/>
      <c r="HZ61" s="417"/>
      <c r="IA61" s="417"/>
      <c r="IB61" s="417"/>
      <c r="IC61" s="417"/>
      <c r="ID61" s="417"/>
      <c r="IE61" s="417"/>
      <c r="IF61" s="417"/>
      <c r="IG61" s="417"/>
      <c r="IH61" s="417"/>
      <c r="II61" s="417"/>
    </row>
    <row r="62" spans="15:253" ht="4.1500000000000004" customHeight="1">
      <c r="P62" s="414"/>
      <c r="AZ62" s="2579"/>
      <c r="BA62" s="2579"/>
      <c r="BB62" s="2579"/>
      <c r="BC62" s="2579"/>
      <c r="BD62" s="2579"/>
      <c r="BE62" s="2579"/>
      <c r="BF62" s="2579"/>
      <c r="BG62" s="2579"/>
      <c r="BH62" s="2579"/>
      <c r="BI62" s="2579"/>
      <c r="BJ62" s="2579"/>
      <c r="BK62" s="2579"/>
      <c r="BL62" s="2579"/>
      <c r="BM62" s="2579"/>
      <c r="CW62" s="415"/>
      <c r="DW62" s="412"/>
      <c r="DX62" s="412"/>
      <c r="DY62" s="412"/>
      <c r="DZ62" s="412"/>
      <c r="EA62" s="412"/>
      <c r="EB62" s="419"/>
      <c r="EC62" s="420"/>
      <c r="ED62" s="420"/>
      <c r="EE62" s="420"/>
      <c r="EF62" s="462"/>
      <c r="EG62" s="462"/>
      <c r="EH62" s="462"/>
      <c r="EI62" s="463"/>
      <c r="EJ62" s="2810">
        <v>0.3</v>
      </c>
      <c r="EK62" s="2811"/>
      <c r="EL62" s="2811"/>
      <c r="EM62" s="2811"/>
      <c r="EN62" s="2811"/>
      <c r="EO62" s="2811"/>
      <c r="EP62" s="2811"/>
      <c r="EQ62" s="2811"/>
      <c r="ER62" s="2812"/>
      <c r="ES62" s="449"/>
      <c r="ET62" s="449"/>
      <c r="EU62" s="449"/>
      <c r="EV62" s="449"/>
      <c r="FJ62" s="412"/>
      <c r="FK62" s="412"/>
      <c r="FL62" s="412"/>
      <c r="FM62" s="412"/>
      <c r="FN62" s="412"/>
      <c r="FO62" s="412"/>
      <c r="FP62" s="412"/>
      <c r="FQ62" s="412"/>
      <c r="FR62" s="412"/>
      <c r="FS62" s="412"/>
      <c r="FT62" s="412"/>
      <c r="FU62" s="412"/>
      <c r="FV62" s="412"/>
      <c r="FW62" s="412"/>
      <c r="GA62" s="412"/>
      <c r="GB62" s="412"/>
      <c r="GC62" s="412"/>
      <c r="GD62" s="411"/>
      <c r="GE62" s="412"/>
      <c r="GF62" s="412"/>
      <c r="HQ62" s="414"/>
      <c r="HT62" s="415"/>
      <c r="IJ62" s="412"/>
      <c r="IK62" s="412"/>
      <c r="IL62" s="412"/>
      <c r="IM62" s="412"/>
      <c r="IN62" s="412"/>
      <c r="IO62" s="412"/>
      <c r="IP62" s="412"/>
      <c r="IQ62" s="412"/>
      <c r="IR62" s="412"/>
      <c r="IS62" s="412"/>
    </row>
    <row r="63" spans="15:253" ht="4.1500000000000004" customHeight="1">
      <c r="EB63" s="419"/>
      <c r="EC63" s="420"/>
      <c r="ED63" s="420"/>
      <c r="EE63" s="420"/>
      <c r="EF63" s="462"/>
      <c r="EG63" s="462"/>
      <c r="EH63" s="462"/>
      <c r="EI63" s="463"/>
      <c r="EJ63" s="2788"/>
      <c r="EK63" s="2773"/>
      <c r="EL63" s="2773"/>
      <c r="EM63" s="2773"/>
      <c r="EN63" s="2773"/>
      <c r="EO63" s="2773"/>
      <c r="EP63" s="2773"/>
      <c r="EQ63" s="2773"/>
      <c r="ER63" s="2813"/>
      <c r="ES63" s="449"/>
      <c r="ET63" s="449"/>
      <c r="EU63" s="449"/>
      <c r="EV63" s="449"/>
      <c r="FL63" s="2588">
        <v>0.2</v>
      </c>
      <c r="FM63" s="2588"/>
      <c r="FN63" s="2588"/>
      <c r="FO63" s="2588"/>
      <c r="FP63" s="2588"/>
      <c r="FQ63" s="2588"/>
      <c r="FR63" s="2588"/>
      <c r="FS63" s="2588"/>
      <c r="FT63" s="2588"/>
      <c r="FU63" s="2588"/>
      <c r="FV63" s="2588"/>
      <c r="FW63" s="2588"/>
      <c r="GD63" s="414"/>
      <c r="HQ63" s="2817">
        <v>0.25</v>
      </c>
      <c r="HR63" s="2818"/>
      <c r="HS63" s="2818"/>
      <c r="HT63" s="2819"/>
    </row>
    <row r="64" spans="15:253" ht="4.1500000000000004" customHeight="1">
      <c r="P64" s="415"/>
      <c r="AZ64" s="2773">
        <f>AW96+CV85</f>
        <v>7.25</v>
      </c>
      <c r="BA64" s="2579"/>
      <c r="BB64" s="2579"/>
      <c r="BC64" s="2579"/>
      <c r="BD64" s="2579"/>
      <c r="BE64" s="2579"/>
      <c r="BF64" s="2579"/>
      <c r="BG64" s="2579"/>
      <c r="BH64" s="2579"/>
      <c r="BI64" s="2579"/>
      <c r="BJ64" s="2579"/>
      <c r="BK64" s="2579"/>
      <c r="BL64" s="2579"/>
      <c r="BM64" s="2579"/>
      <c r="CV64" s="415"/>
      <c r="EF64" s="449"/>
      <c r="EG64" s="449"/>
      <c r="EH64" s="449"/>
      <c r="EI64" s="449"/>
      <c r="EJ64" s="2788"/>
      <c r="EK64" s="2773"/>
      <c r="EL64" s="2773"/>
      <c r="EM64" s="2773"/>
      <c r="EN64" s="2773"/>
      <c r="EO64" s="2773"/>
      <c r="EP64" s="2773"/>
      <c r="EQ64" s="2773"/>
      <c r="ER64" s="2813"/>
      <c r="ES64" s="449"/>
      <c r="ET64" s="449"/>
      <c r="EU64" s="449"/>
      <c r="EV64" s="449"/>
      <c r="FL64" s="2588"/>
      <c r="FM64" s="2588"/>
      <c r="FN64" s="2588"/>
      <c r="FO64" s="2588"/>
      <c r="FP64" s="2588"/>
      <c r="FQ64" s="2588"/>
      <c r="FR64" s="2588"/>
      <c r="FS64" s="2588"/>
      <c r="FT64" s="2588"/>
      <c r="FU64" s="2588"/>
      <c r="FV64" s="2588"/>
      <c r="FW64" s="2588"/>
      <c r="GD64" s="414"/>
      <c r="HQ64" s="2817"/>
      <c r="HR64" s="2818"/>
      <c r="HS64" s="2818"/>
      <c r="HT64" s="2819"/>
      <c r="II64" s="2580">
        <v>0.3</v>
      </c>
      <c r="IJ64" s="2580"/>
      <c r="IK64" s="2580"/>
      <c r="IL64" s="2580"/>
      <c r="IM64" s="2580"/>
      <c r="IN64" s="2580"/>
      <c r="IO64" s="2580"/>
      <c r="IP64" s="2580"/>
      <c r="IQ64" s="2580"/>
      <c r="IR64" s="2580"/>
      <c r="IS64" s="2580"/>
    </row>
    <row r="65" spans="16:253" ht="4.1500000000000004" customHeight="1">
      <c r="P65" s="415"/>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c r="AS65" s="417"/>
      <c r="AT65" s="417"/>
      <c r="AU65" s="417"/>
      <c r="AV65" s="417"/>
      <c r="AW65" s="417"/>
      <c r="AX65" s="417"/>
      <c r="AY65" s="417"/>
      <c r="AZ65" s="2579"/>
      <c r="BA65" s="2579"/>
      <c r="BB65" s="2579"/>
      <c r="BC65" s="2579"/>
      <c r="BD65" s="2579"/>
      <c r="BE65" s="2579"/>
      <c r="BF65" s="2579"/>
      <c r="BG65" s="2579"/>
      <c r="BH65" s="2579"/>
      <c r="BI65" s="2579"/>
      <c r="BJ65" s="2579"/>
      <c r="BK65" s="2579"/>
      <c r="BL65" s="2579"/>
      <c r="BM65" s="2579"/>
      <c r="BN65" s="417"/>
      <c r="BO65" s="417"/>
      <c r="BP65" s="417"/>
      <c r="BQ65" s="417"/>
      <c r="BR65" s="417"/>
      <c r="BS65" s="417"/>
      <c r="BT65" s="417"/>
      <c r="BU65" s="417"/>
      <c r="BV65" s="417"/>
      <c r="BW65" s="417"/>
      <c r="BX65" s="417"/>
      <c r="BY65" s="417"/>
      <c r="BZ65" s="417"/>
      <c r="CA65" s="417"/>
      <c r="CB65" s="417"/>
      <c r="CC65" s="417"/>
      <c r="CD65" s="417"/>
      <c r="CE65" s="417"/>
      <c r="CF65" s="417"/>
      <c r="CG65" s="417"/>
      <c r="CH65" s="417"/>
      <c r="CI65" s="417"/>
      <c r="CJ65" s="417"/>
      <c r="CK65" s="417"/>
      <c r="CL65" s="417"/>
      <c r="CM65" s="417"/>
      <c r="CN65" s="417"/>
      <c r="CO65" s="417"/>
      <c r="CP65" s="417"/>
      <c r="CQ65" s="417"/>
      <c r="CR65" s="417"/>
      <c r="CS65" s="417"/>
      <c r="CT65" s="417"/>
      <c r="CU65" s="417"/>
      <c r="CV65" s="418"/>
      <c r="EF65" s="449"/>
      <c r="EG65" s="449"/>
      <c r="EH65" s="449"/>
      <c r="EI65" s="449"/>
      <c r="EJ65" s="2788"/>
      <c r="EK65" s="2773"/>
      <c r="EL65" s="2773"/>
      <c r="EM65" s="2773"/>
      <c r="EN65" s="2773"/>
      <c r="EO65" s="2773"/>
      <c r="EP65" s="2773"/>
      <c r="EQ65" s="2773"/>
      <c r="ER65" s="2813"/>
      <c r="ES65" s="449"/>
      <c r="ET65" s="449"/>
      <c r="EU65" s="449"/>
      <c r="EV65" s="449"/>
      <c r="FL65" s="2588"/>
      <c r="FM65" s="2588"/>
      <c r="FN65" s="2588"/>
      <c r="FO65" s="2588"/>
      <c r="FP65" s="2588"/>
      <c r="FQ65" s="2588"/>
      <c r="FR65" s="2588"/>
      <c r="FS65" s="2588"/>
      <c r="FT65" s="2588"/>
      <c r="FU65" s="2588"/>
      <c r="FV65" s="2588"/>
      <c r="FW65" s="2588"/>
      <c r="GD65" s="414"/>
      <c r="HQ65" s="2817"/>
      <c r="HR65" s="2818"/>
      <c r="HS65" s="2818"/>
      <c r="HT65" s="2819"/>
      <c r="II65" s="2580"/>
      <c r="IJ65" s="2580"/>
      <c r="IK65" s="2580"/>
      <c r="IL65" s="2580"/>
      <c r="IM65" s="2580"/>
      <c r="IN65" s="2580"/>
      <c r="IO65" s="2580"/>
      <c r="IP65" s="2580"/>
      <c r="IQ65" s="2580"/>
      <c r="IR65" s="2580"/>
      <c r="IS65" s="2580"/>
    </row>
    <row r="66" spans="16:253" ht="4.1500000000000004" customHeight="1">
      <c r="P66" s="415"/>
      <c r="AZ66" s="2579"/>
      <c r="BA66" s="2579"/>
      <c r="BB66" s="2579"/>
      <c r="BC66" s="2579"/>
      <c r="BD66" s="2579"/>
      <c r="BE66" s="2579"/>
      <c r="BF66" s="2579"/>
      <c r="BG66" s="2579"/>
      <c r="BH66" s="2579"/>
      <c r="BI66" s="2579"/>
      <c r="BJ66" s="2579"/>
      <c r="BK66" s="2579"/>
      <c r="BL66" s="2579"/>
      <c r="BM66" s="2579"/>
      <c r="CV66" s="415"/>
      <c r="EF66" s="449"/>
      <c r="EG66" s="449"/>
      <c r="EH66" s="449"/>
      <c r="EI66" s="449"/>
      <c r="EJ66" s="2814"/>
      <c r="EK66" s="2815"/>
      <c r="EL66" s="2815"/>
      <c r="EM66" s="2815"/>
      <c r="EN66" s="2815"/>
      <c r="EO66" s="2815"/>
      <c r="EP66" s="2815"/>
      <c r="EQ66" s="2815"/>
      <c r="ER66" s="2816"/>
      <c r="ES66" s="449"/>
      <c r="ET66" s="449"/>
      <c r="EU66" s="449"/>
      <c r="EV66" s="449"/>
      <c r="FL66" s="480"/>
      <c r="FM66" s="480"/>
      <c r="FN66" s="480"/>
      <c r="FO66" s="480"/>
      <c r="FP66" s="480"/>
      <c r="FQ66" s="480"/>
      <c r="FR66" s="480"/>
      <c r="FS66" s="480"/>
      <c r="FT66" s="480"/>
      <c r="FU66" s="480"/>
      <c r="FV66" s="480"/>
      <c r="FW66" s="480"/>
      <c r="GD66" s="414"/>
      <c r="HQ66" s="2817"/>
      <c r="HR66" s="2818"/>
      <c r="HS66" s="2818"/>
      <c r="HT66" s="2819"/>
      <c r="II66" s="2580"/>
      <c r="IJ66" s="2580"/>
      <c r="IK66" s="2580"/>
      <c r="IL66" s="2580"/>
      <c r="IM66" s="2580"/>
      <c r="IN66" s="2580"/>
      <c r="IO66" s="2580"/>
      <c r="IP66" s="2580"/>
      <c r="IQ66" s="2580"/>
      <c r="IR66" s="2580"/>
      <c r="IS66" s="2580"/>
    </row>
    <row r="67" spans="16:253" ht="4.1500000000000004" customHeight="1">
      <c r="P67" s="415"/>
      <c r="AZ67" s="2579"/>
      <c r="BA67" s="2579"/>
      <c r="BB67" s="2579"/>
      <c r="BC67" s="2579"/>
      <c r="BD67" s="2579"/>
      <c r="BE67" s="2579"/>
      <c r="BF67" s="2579"/>
      <c r="BG67" s="2579"/>
      <c r="BH67" s="2579"/>
      <c r="BI67" s="2579"/>
      <c r="BJ67" s="2579"/>
      <c r="BK67" s="2579"/>
      <c r="BL67" s="2579"/>
      <c r="BM67" s="2579"/>
      <c r="CV67" s="415"/>
      <c r="EF67" s="449"/>
      <c r="EG67" s="449"/>
      <c r="EH67" s="2798">
        <v>0.5</v>
      </c>
      <c r="EI67" s="2583"/>
      <c r="EJ67" s="2583"/>
      <c r="EK67" s="2583"/>
      <c r="EL67" s="2583"/>
      <c r="EM67" s="2583"/>
      <c r="EN67" s="2583"/>
      <c r="EO67" s="2583"/>
      <c r="EP67" s="2583"/>
      <c r="EQ67" s="2583"/>
      <c r="ER67" s="2583"/>
      <c r="ES67" s="2583"/>
      <c r="ET67" s="2799"/>
      <c r="EU67" s="449"/>
      <c r="EV67" s="449"/>
      <c r="FL67" s="449"/>
      <c r="FM67" s="449"/>
      <c r="FN67" s="449"/>
      <c r="FO67" s="449"/>
      <c r="FP67" s="449"/>
      <c r="FQ67" s="449"/>
      <c r="FR67" s="449"/>
      <c r="FS67" s="449"/>
      <c r="FT67" s="449"/>
      <c r="FU67" s="449"/>
      <c r="FV67" s="449"/>
      <c r="FW67" s="449"/>
      <c r="GD67" s="414"/>
      <c r="HQ67" s="2817"/>
      <c r="HR67" s="2818"/>
      <c r="HS67" s="2818"/>
      <c r="HT67" s="2819"/>
    </row>
    <row r="68" spans="16:253" ht="4.1500000000000004" customHeight="1">
      <c r="EF68" s="449"/>
      <c r="EG68" s="449"/>
      <c r="EH68" s="2581"/>
      <c r="EI68" s="2580"/>
      <c r="EJ68" s="2580"/>
      <c r="EK68" s="2580"/>
      <c r="EL68" s="2580"/>
      <c r="EM68" s="2580"/>
      <c r="EN68" s="2580"/>
      <c r="EO68" s="2580"/>
      <c r="EP68" s="2580"/>
      <c r="EQ68" s="2580"/>
      <c r="ER68" s="2580"/>
      <c r="ES68" s="2580"/>
      <c r="ET68" s="2582"/>
      <c r="EU68" s="449"/>
      <c r="EV68" s="449"/>
      <c r="FL68" s="2588">
        <v>0.2</v>
      </c>
      <c r="FM68" s="2588"/>
      <c r="FN68" s="2588"/>
      <c r="FO68" s="2588"/>
      <c r="FP68" s="2588"/>
      <c r="FQ68" s="2588"/>
      <c r="FR68" s="2588"/>
      <c r="FS68" s="2588"/>
      <c r="FT68" s="2588"/>
      <c r="FU68" s="2588"/>
      <c r="FV68" s="2588"/>
      <c r="FW68" s="2588"/>
      <c r="GB68" s="2802">
        <f>FL63+FL68+FL73+FL77+FL80</f>
        <v>0.90000000000000013</v>
      </c>
      <c r="GC68" s="2802"/>
      <c r="GD68" s="2802"/>
      <c r="GE68" s="2802"/>
      <c r="HQ68" s="2820"/>
      <c r="HR68" s="2821"/>
      <c r="HS68" s="2821"/>
      <c r="HT68" s="2822"/>
    </row>
    <row r="69" spans="16:253" ht="4.1500000000000004" customHeight="1">
      <c r="EF69" s="449"/>
      <c r="EG69" s="449"/>
      <c r="EH69" s="2581"/>
      <c r="EI69" s="2580"/>
      <c r="EJ69" s="2580"/>
      <c r="EK69" s="2580"/>
      <c r="EL69" s="2580"/>
      <c r="EM69" s="2580"/>
      <c r="EN69" s="2580"/>
      <c r="EO69" s="2580"/>
      <c r="EP69" s="2580"/>
      <c r="EQ69" s="2580"/>
      <c r="ER69" s="2580"/>
      <c r="ES69" s="2580"/>
      <c r="ET69" s="2582"/>
      <c r="EU69" s="449"/>
      <c r="EV69" s="449"/>
      <c r="FL69" s="2588"/>
      <c r="FM69" s="2588"/>
      <c r="FN69" s="2588"/>
      <c r="FO69" s="2588"/>
      <c r="FP69" s="2588"/>
      <c r="FQ69" s="2588"/>
      <c r="FR69" s="2588"/>
      <c r="FS69" s="2588"/>
      <c r="FT69" s="2588"/>
      <c r="FU69" s="2588"/>
      <c r="FV69" s="2588"/>
      <c r="FW69" s="2588"/>
      <c r="GB69" s="2802"/>
      <c r="GC69" s="2802"/>
      <c r="GD69" s="2802"/>
      <c r="GE69" s="2802"/>
      <c r="HE69" s="2673"/>
      <c r="HF69" s="2673"/>
      <c r="HG69" s="2673"/>
      <c r="HH69" s="2673"/>
      <c r="HI69" s="2673"/>
      <c r="HJ69" s="2673"/>
      <c r="HK69" s="2673"/>
      <c r="HL69" s="2673"/>
      <c r="HM69" s="2673"/>
      <c r="HN69" s="2673"/>
      <c r="HO69" s="2673"/>
      <c r="HP69" s="2804">
        <v>0.3</v>
      </c>
      <c r="HQ69" s="2804"/>
      <c r="HR69" s="2804"/>
      <c r="HS69" s="2804"/>
      <c r="HT69" s="2804"/>
      <c r="HU69" s="2804"/>
      <c r="HV69" s="2675"/>
      <c r="HW69" s="2675"/>
      <c r="HX69" s="2675"/>
      <c r="HY69" s="2675"/>
      <c r="HZ69" s="2675"/>
      <c r="IA69" s="2675"/>
      <c r="IB69" s="2675"/>
      <c r="IC69" s="2675"/>
      <c r="ID69" s="2675"/>
      <c r="IE69" s="2675"/>
      <c r="IF69" s="2675"/>
      <c r="II69" s="412"/>
      <c r="IJ69" s="412"/>
      <c r="IK69" s="412"/>
      <c r="IL69" s="412"/>
      <c r="IM69" s="412"/>
      <c r="IN69" s="412"/>
      <c r="IO69" s="412"/>
      <c r="IP69" s="412"/>
      <c r="IQ69" s="412"/>
      <c r="IR69" s="412"/>
      <c r="IS69" s="412"/>
    </row>
    <row r="70" spans="16:253" ht="4.1500000000000004" customHeight="1">
      <c r="Q70" s="414"/>
      <c r="AH70" s="2580">
        <f>AZ64/2</f>
        <v>3.625</v>
      </c>
      <c r="AI70" s="2580"/>
      <c r="AJ70" s="2580"/>
      <c r="AK70" s="2580"/>
      <c r="AL70" s="2580"/>
      <c r="AM70" s="2580"/>
      <c r="AN70" s="2580"/>
      <c r="AO70" s="2580"/>
      <c r="AP70" s="2580"/>
      <c r="AQ70" s="2580"/>
      <c r="AR70" s="2580"/>
      <c r="AS70" s="2580"/>
      <c r="AT70" s="2580"/>
      <c r="AU70" s="2580"/>
      <c r="BF70" s="415"/>
      <c r="BG70" s="414"/>
      <c r="BT70" s="2580">
        <f>AH70</f>
        <v>3.625</v>
      </c>
      <c r="BU70" s="2580"/>
      <c r="BV70" s="2580"/>
      <c r="BW70" s="2580"/>
      <c r="BX70" s="2580"/>
      <c r="BY70" s="2580"/>
      <c r="BZ70" s="2580"/>
      <c r="CA70" s="2580"/>
      <c r="CB70" s="2580"/>
      <c r="CC70" s="2580"/>
      <c r="CD70" s="2580"/>
      <c r="CE70" s="2580"/>
      <c r="CF70" s="2580"/>
      <c r="CG70" s="2580"/>
      <c r="CV70" s="415"/>
      <c r="EF70" s="449"/>
      <c r="EG70" s="449"/>
      <c r="EH70" s="2581"/>
      <c r="EI70" s="2580"/>
      <c r="EJ70" s="2580"/>
      <c r="EK70" s="2580"/>
      <c r="EL70" s="2580"/>
      <c r="EM70" s="2580"/>
      <c r="EN70" s="2580"/>
      <c r="EO70" s="2580"/>
      <c r="EP70" s="2580"/>
      <c r="EQ70" s="2580"/>
      <c r="ER70" s="2580"/>
      <c r="ES70" s="2580"/>
      <c r="ET70" s="2582"/>
      <c r="EU70" s="449"/>
      <c r="EV70" s="449"/>
      <c r="FL70" s="2588"/>
      <c r="FM70" s="2588"/>
      <c r="FN70" s="2588"/>
      <c r="FO70" s="2588"/>
      <c r="FP70" s="2588"/>
      <c r="FQ70" s="2588"/>
      <c r="FR70" s="2588"/>
      <c r="FS70" s="2588"/>
      <c r="FT70" s="2588"/>
      <c r="FU70" s="2588"/>
      <c r="FV70" s="2588"/>
      <c r="FW70" s="2588"/>
      <c r="GB70" s="2802"/>
      <c r="GC70" s="2802"/>
      <c r="GD70" s="2802"/>
      <c r="GE70" s="2802"/>
      <c r="HE70" s="2673"/>
      <c r="HF70" s="2673"/>
      <c r="HG70" s="2673"/>
      <c r="HH70" s="2673"/>
      <c r="HI70" s="2673"/>
      <c r="HJ70" s="2673"/>
      <c r="HK70" s="2673"/>
      <c r="HL70" s="2673"/>
      <c r="HM70" s="2673"/>
      <c r="HN70" s="2673"/>
      <c r="HO70" s="2673"/>
      <c r="HP70" s="2774"/>
      <c r="HQ70" s="2774"/>
      <c r="HR70" s="2774"/>
      <c r="HS70" s="2774"/>
      <c r="HT70" s="2774"/>
      <c r="HU70" s="2774"/>
      <c r="HV70" s="2675"/>
      <c r="HW70" s="2675"/>
      <c r="HX70" s="2675"/>
      <c r="HY70" s="2675"/>
      <c r="HZ70" s="2675"/>
      <c r="IA70" s="2675"/>
      <c r="IB70" s="2675"/>
      <c r="IC70" s="2675"/>
      <c r="ID70" s="2675"/>
      <c r="IE70" s="2675"/>
      <c r="IF70" s="2675"/>
    </row>
    <row r="71" spans="16:253" ht="4.1500000000000004" customHeight="1">
      <c r="Q71" s="416"/>
      <c r="R71" s="417"/>
      <c r="S71" s="417"/>
      <c r="T71" s="417"/>
      <c r="U71" s="417"/>
      <c r="V71" s="417"/>
      <c r="W71" s="417"/>
      <c r="X71" s="417"/>
      <c r="Y71" s="417"/>
      <c r="Z71" s="417"/>
      <c r="AA71" s="417"/>
      <c r="AB71" s="417"/>
      <c r="AC71" s="417"/>
      <c r="AD71" s="417"/>
      <c r="AE71" s="417"/>
      <c r="AF71" s="417"/>
      <c r="AG71" s="417"/>
      <c r="AH71" s="2580"/>
      <c r="AI71" s="2580"/>
      <c r="AJ71" s="2580"/>
      <c r="AK71" s="2580"/>
      <c r="AL71" s="2580"/>
      <c r="AM71" s="2580"/>
      <c r="AN71" s="2580"/>
      <c r="AO71" s="2580"/>
      <c r="AP71" s="2580"/>
      <c r="AQ71" s="2580"/>
      <c r="AR71" s="2580"/>
      <c r="AS71" s="2580"/>
      <c r="AT71" s="2580"/>
      <c r="AU71" s="2580"/>
      <c r="AV71" s="417"/>
      <c r="AW71" s="417"/>
      <c r="AX71" s="417"/>
      <c r="AY71" s="417"/>
      <c r="AZ71" s="417"/>
      <c r="BA71" s="417"/>
      <c r="BB71" s="417"/>
      <c r="BC71" s="417"/>
      <c r="BD71" s="417"/>
      <c r="BE71" s="417"/>
      <c r="BF71" s="418"/>
      <c r="BG71" s="416"/>
      <c r="BH71" s="417"/>
      <c r="BI71" s="417"/>
      <c r="BJ71" s="417"/>
      <c r="BK71" s="417"/>
      <c r="BL71" s="417"/>
      <c r="BM71" s="417"/>
      <c r="BN71" s="417"/>
      <c r="BO71" s="417"/>
      <c r="BP71" s="417"/>
      <c r="BQ71" s="417"/>
      <c r="BR71" s="417"/>
      <c r="BS71" s="417"/>
      <c r="BT71" s="2580"/>
      <c r="BU71" s="2580"/>
      <c r="BV71" s="2580"/>
      <c r="BW71" s="2580"/>
      <c r="BX71" s="2580"/>
      <c r="BY71" s="2580"/>
      <c r="BZ71" s="2580"/>
      <c r="CA71" s="2580"/>
      <c r="CB71" s="2580"/>
      <c r="CC71" s="2580"/>
      <c r="CD71" s="2580"/>
      <c r="CE71" s="2580"/>
      <c r="CF71" s="2580"/>
      <c r="CG71" s="2580"/>
      <c r="CH71" s="417"/>
      <c r="CI71" s="417"/>
      <c r="CJ71" s="417"/>
      <c r="CK71" s="417"/>
      <c r="CL71" s="417"/>
      <c r="CM71" s="417"/>
      <c r="CN71" s="417"/>
      <c r="CO71" s="417"/>
      <c r="CP71" s="417"/>
      <c r="CQ71" s="417"/>
      <c r="CR71" s="417"/>
      <c r="CS71" s="417"/>
      <c r="CT71" s="417"/>
      <c r="CU71" s="417"/>
      <c r="CV71" s="418"/>
      <c r="EF71" s="449"/>
      <c r="EG71" s="449"/>
      <c r="EH71" s="2800"/>
      <c r="EI71" s="2584"/>
      <c r="EJ71" s="2584"/>
      <c r="EK71" s="2584"/>
      <c r="EL71" s="2584"/>
      <c r="EM71" s="2584"/>
      <c r="EN71" s="2584"/>
      <c r="EO71" s="2584"/>
      <c r="EP71" s="2584"/>
      <c r="EQ71" s="2584"/>
      <c r="ER71" s="2584"/>
      <c r="ES71" s="2584"/>
      <c r="ET71" s="2801"/>
      <c r="EU71" s="449"/>
      <c r="EV71" s="449"/>
      <c r="FL71" s="480"/>
      <c r="FM71" s="480"/>
      <c r="FN71" s="480"/>
      <c r="FO71" s="480"/>
      <c r="FP71" s="480"/>
      <c r="FQ71" s="480"/>
      <c r="FR71" s="480"/>
      <c r="FS71" s="480"/>
      <c r="FT71" s="480"/>
      <c r="FU71" s="480"/>
      <c r="FV71" s="480"/>
      <c r="FW71" s="480"/>
      <c r="GB71" s="2802"/>
      <c r="GC71" s="2802"/>
      <c r="GD71" s="2802"/>
      <c r="GE71" s="2802"/>
      <c r="HE71" s="2673"/>
      <c r="HF71" s="2673"/>
      <c r="HG71" s="2673"/>
      <c r="HH71" s="2673"/>
      <c r="HI71" s="2673"/>
      <c r="HJ71" s="2673"/>
      <c r="HK71" s="2673"/>
      <c r="HL71" s="2673"/>
      <c r="HM71" s="2673"/>
      <c r="HN71" s="2673"/>
      <c r="HO71" s="2673"/>
      <c r="HP71" s="2774"/>
      <c r="HQ71" s="2774"/>
      <c r="HR71" s="2774"/>
      <c r="HS71" s="2774"/>
      <c r="HT71" s="2774"/>
      <c r="HU71" s="2774"/>
      <c r="HV71" s="2675"/>
      <c r="HW71" s="2675"/>
      <c r="HX71" s="2675"/>
      <c r="HY71" s="2675"/>
      <c r="HZ71" s="2675"/>
      <c r="IA71" s="2675"/>
      <c r="IB71" s="2675"/>
      <c r="IC71" s="2675"/>
      <c r="ID71" s="2675"/>
      <c r="IE71" s="2675"/>
      <c r="IF71" s="2675"/>
      <c r="II71" s="2580">
        <v>0.3</v>
      </c>
      <c r="IJ71" s="2580"/>
      <c r="IK71" s="2580"/>
      <c r="IL71" s="2580"/>
      <c r="IM71" s="2580"/>
      <c r="IN71" s="2580"/>
      <c r="IO71" s="2580"/>
      <c r="IP71" s="2580"/>
      <c r="IQ71" s="2580"/>
      <c r="IR71" s="2580"/>
      <c r="IS71" s="2580"/>
    </row>
    <row r="72" spans="16:253" ht="4.1500000000000004" customHeight="1">
      <c r="Q72" s="414"/>
      <c r="AH72" s="2580"/>
      <c r="AI72" s="2580"/>
      <c r="AJ72" s="2580"/>
      <c r="AK72" s="2580"/>
      <c r="AL72" s="2580"/>
      <c r="AM72" s="2580"/>
      <c r="AN72" s="2580"/>
      <c r="AO72" s="2580"/>
      <c r="AP72" s="2580"/>
      <c r="AQ72" s="2580"/>
      <c r="AR72" s="2580"/>
      <c r="AS72" s="2580"/>
      <c r="AT72" s="2580"/>
      <c r="AU72" s="2580"/>
      <c r="BF72" s="415"/>
      <c r="BG72" s="414"/>
      <c r="BT72" s="2580"/>
      <c r="BU72" s="2580"/>
      <c r="BV72" s="2580"/>
      <c r="BW72" s="2580"/>
      <c r="BX72" s="2580"/>
      <c r="BY72" s="2580"/>
      <c r="BZ72" s="2580"/>
      <c r="CA72" s="2580"/>
      <c r="CB72" s="2580"/>
      <c r="CC72" s="2580"/>
      <c r="CD72" s="2580"/>
      <c r="CE72" s="2580"/>
      <c r="CF72" s="2580"/>
      <c r="CG72" s="2580"/>
      <c r="CV72" s="415"/>
      <c r="EF72" s="2798">
        <v>0.6</v>
      </c>
      <c r="EG72" s="2583"/>
      <c r="EH72" s="2583"/>
      <c r="EI72" s="2583"/>
      <c r="EJ72" s="2583"/>
      <c r="EK72" s="2583"/>
      <c r="EL72" s="2583"/>
      <c r="EM72" s="2583"/>
      <c r="EN72" s="2583"/>
      <c r="EO72" s="2583"/>
      <c r="EP72" s="2583"/>
      <c r="EQ72" s="2583"/>
      <c r="ER72" s="2583"/>
      <c r="ES72" s="2583"/>
      <c r="ET72" s="2583"/>
      <c r="EU72" s="2583"/>
      <c r="EV72" s="2799"/>
      <c r="FL72" s="449"/>
      <c r="FM72" s="449"/>
      <c r="FN72" s="449"/>
      <c r="FO72" s="449"/>
      <c r="FP72" s="449"/>
      <c r="FQ72" s="449"/>
      <c r="FR72" s="449"/>
      <c r="FS72" s="449"/>
      <c r="FT72" s="449"/>
      <c r="FU72" s="449"/>
      <c r="FV72" s="449"/>
      <c r="FW72" s="449"/>
      <c r="GB72" s="2802"/>
      <c r="GC72" s="2802"/>
      <c r="GD72" s="2802"/>
      <c r="GE72" s="2802"/>
      <c r="HE72" s="2673"/>
      <c r="HF72" s="2673"/>
      <c r="HG72" s="2673"/>
      <c r="HH72" s="2673"/>
      <c r="HI72" s="2673"/>
      <c r="HJ72" s="2673"/>
      <c r="HK72" s="2673"/>
      <c r="HL72" s="2673"/>
      <c r="HM72" s="2673"/>
      <c r="HN72" s="2673"/>
      <c r="HO72" s="2673"/>
      <c r="HV72" s="2675"/>
      <c r="HW72" s="2675"/>
      <c r="HX72" s="2675"/>
      <c r="HY72" s="2675"/>
      <c r="HZ72" s="2675"/>
      <c r="IA72" s="2675"/>
      <c r="IB72" s="2675"/>
      <c r="IC72" s="2675"/>
      <c r="ID72" s="2675"/>
      <c r="IE72" s="2675"/>
      <c r="IF72" s="2675"/>
      <c r="II72" s="2580"/>
      <c r="IJ72" s="2580"/>
      <c r="IK72" s="2580"/>
      <c r="IL72" s="2580"/>
      <c r="IM72" s="2580"/>
      <c r="IN72" s="2580"/>
      <c r="IO72" s="2580"/>
      <c r="IP72" s="2580"/>
      <c r="IQ72" s="2580"/>
      <c r="IR72" s="2580"/>
      <c r="IS72" s="2580"/>
    </row>
    <row r="73" spans="16:253" ht="4.1500000000000004" customHeight="1">
      <c r="Q73" s="414"/>
      <c r="AH73" s="2580"/>
      <c r="AI73" s="2580"/>
      <c r="AJ73" s="2580"/>
      <c r="AK73" s="2580"/>
      <c r="AL73" s="2580"/>
      <c r="AM73" s="2580"/>
      <c r="AN73" s="2580"/>
      <c r="AO73" s="2580"/>
      <c r="AP73" s="2580"/>
      <c r="AQ73" s="2580"/>
      <c r="AR73" s="2580"/>
      <c r="AS73" s="2580"/>
      <c r="AT73" s="2580"/>
      <c r="AU73" s="2580"/>
      <c r="BF73" s="415"/>
      <c r="BG73" s="414"/>
      <c r="BT73" s="2580"/>
      <c r="BU73" s="2580"/>
      <c r="BV73" s="2580"/>
      <c r="BW73" s="2580"/>
      <c r="BX73" s="2580"/>
      <c r="BY73" s="2580"/>
      <c r="BZ73" s="2580"/>
      <c r="CA73" s="2580"/>
      <c r="CB73" s="2580"/>
      <c r="CC73" s="2580"/>
      <c r="CD73" s="2580"/>
      <c r="CE73" s="2580"/>
      <c r="CF73" s="2580"/>
      <c r="CG73" s="2580"/>
      <c r="CV73" s="415"/>
      <c r="EF73" s="2581"/>
      <c r="EG73" s="2580"/>
      <c r="EH73" s="2580"/>
      <c r="EI73" s="2580"/>
      <c r="EJ73" s="2580"/>
      <c r="EK73" s="2580"/>
      <c r="EL73" s="2580"/>
      <c r="EM73" s="2580"/>
      <c r="EN73" s="2580"/>
      <c r="EO73" s="2580"/>
      <c r="EP73" s="2580"/>
      <c r="EQ73" s="2580"/>
      <c r="ER73" s="2580"/>
      <c r="ES73" s="2580"/>
      <c r="ET73" s="2580"/>
      <c r="EU73" s="2580"/>
      <c r="EV73" s="2582"/>
      <c r="FL73" s="2588">
        <v>0.2</v>
      </c>
      <c r="FM73" s="2588"/>
      <c r="FN73" s="2588"/>
      <c r="FO73" s="2588"/>
      <c r="FP73" s="2588"/>
      <c r="FQ73" s="2588"/>
      <c r="FR73" s="2588"/>
      <c r="FS73" s="2588"/>
      <c r="FT73" s="2588"/>
      <c r="FU73" s="2588"/>
      <c r="FV73" s="2588"/>
      <c r="FW73" s="2588"/>
      <c r="GB73" s="2802"/>
      <c r="GC73" s="2802"/>
      <c r="GD73" s="2802"/>
      <c r="GE73" s="2802"/>
      <c r="HE73" s="2673"/>
      <c r="HF73" s="2673"/>
      <c r="HG73" s="2673"/>
      <c r="HH73" s="2673"/>
      <c r="HI73" s="2673"/>
      <c r="HJ73" s="2673"/>
      <c r="HK73" s="2673"/>
      <c r="HL73" s="2673"/>
      <c r="HM73" s="2673"/>
      <c r="HN73" s="2673"/>
      <c r="HO73" s="2673"/>
      <c r="HV73" s="2675"/>
      <c r="HW73" s="2675"/>
      <c r="HX73" s="2675"/>
      <c r="HY73" s="2675"/>
      <c r="HZ73" s="2675"/>
      <c r="IA73" s="2675"/>
      <c r="IB73" s="2675"/>
      <c r="IC73" s="2675"/>
      <c r="ID73" s="2675"/>
      <c r="IE73" s="2675"/>
      <c r="IF73" s="2675"/>
      <c r="II73" s="2580"/>
      <c r="IJ73" s="2580"/>
      <c r="IK73" s="2580"/>
      <c r="IL73" s="2580"/>
      <c r="IM73" s="2580"/>
      <c r="IN73" s="2580"/>
      <c r="IO73" s="2580"/>
      <c r="IP73" s="2580"/>
      <c r="IQ73" s="2580"/>
      <c r="IR73" s="2580"/>
      <c r="IS73" s="2580"/>
    </row>
    <row r="74" spans="16:253" ht="4.1500000000000004" customHeight="1">
      <c r="EF74" s="2581"/>
      <c r="EG74" s="2580"/>
      <c r="EH74" s="2580"/>
      <c r="EI74" s="2580"/>
      <c r="EJ74" s="2580"/>
      <c r="EK74" s="2580"/>
      <c r="EL74" s="2580"/>
      <c r="EM74" s="2580"/>
      <c r="EN74" s="2580"/>
      <c r="EO74" s="2580"/>
      <c r="EP74" s="2580"/>
      <c r="EQ74" s="2580"/>
      <c r="ER74" s="2580"/>
      <c r="ES74" s="2580"/>
      <c r="ET74" s="2580"/>
      <c r="EU74" s="2580"/>
      <c r="EV74" s="2582"/>
      <c r="FL74" s="2588"/>
      <c r="FM74" s="2588"/>
      <c r="FN74" s="2588"/>
      <c r="FO74" s="2588"/>
      <c r="FP74" s="2588"/>
      <c r="FQ74" s="2588"/>
      <c r="FR74" s="2588"/>
      <c r="FS74" s="2588"/>
      <c r="FT74" s="2588"/>
      <c r="FU74" s="2588"/>
      <c r="FV74" s="2588"/>
      <c r="FW74" s="2588"/>
      <c r="GB74" s="2802"/>
      <c r="GC74" s="2802"/>
      <c r="GD74" s="2802"/>
      <c r="GE74" s="2802"/>
      <c r="HE74" s="2673"/>
      <c r="HF74" s="2673"/>
      <c r="HG74" s="2673"/>
      <c r="HH74" s="2673"/>
      <c r="HI74" s="2673"/>
      <c r="HJ74" s="2673"/>
      <c r="HK74" s="2673"/>
      <c r="HL74" s="2673"/>
      <c r="HM74" s="2673"/>
      <c r="HN74" s="2673"/>
      <c r="HO74" s="2673"/>
      <c r="HV74" s="2675"/>
      <c r="HW74" s="2675"/>
      <c r="HX74" s="2675"/>
      <c r="HY74" s="2675"/>
      <c r="HZ74" s="2675"/>
      <c r="IA74" s="2675"/>
      <c r="IB74" s="2675"/>
      <c r="IC74" s="2675"/>
      <c r="ID74" s="2675"/>
      <c r="IE74" s="2675"/>
      <c r="IF74" s="2675"/>
    </row>
    <row r="75" spans="16:253" ht="4.1500000000000004" customHeight="1">
      <c r="EF75" s="2581"/>
      <c r="EG75" s="2580"/>
      <c r="EH75" s="2580"/>
      <c r="EI75" s="2580"/>
      <c r="EJ75" s="2580"/>
      <c r="EK75" s="2580"/>
      <c r="EL75" s="2580"/>
      <c r="EM75" s="2580"/>
      <c r="EN75" s="2580"/>
      <c r="EO75" s="2580"/>
      <c r="EP75" s="2580"/>
      <c r="EQ75" s="2580"/>
      <c r="ER75" s="2580"/>
      <c r="ES75" s="2580"/>
      <c r="ET75" s="2580"/>
      <c r="EU75" s="2580"/>
      <c r="EV75" s="2582"/>
      <c r="FL75" s="2588"/>
      <c r="FM75" s="2588"/>
      <c r="FN75" s="2588"/>
      <c r="FO75" s="2588"/>
      <c r="FP75" s="2588"/>
      <c r="FQ75" s="2588"/>
      <c r="FR75" s="2588"/>
      <c r="FS75" s="2588"/>
      <c r="FT75" s="2588"/>
      <c r="FU75" s="2588"/>
      <c r="FV75" s="2588"/>
      <c r="FW75" s="2588"/>
      <c r="GB75" s="2802"/>
      <c r="GC75" s="2802"/>
      <c r="GD75" s="2802"/>
      <c r="GE75" s="2802"/>
      <c r="HE75" s="2803"/>
      <c r="HF75" s="2803"/>
      <c r="HG75" s="2803"/>
      <c r="HH75" s="2803"/>
      <c r="HI75" s="2803"/>
      <c r="HJ75" s="2803"/>
      <c r="HK75" s="2803"/>
      <c r="HL75" s="2803"/>
      <c r="HM75" s="2803"/>
      <c r="HN75" s="2803"/>
      <c r="HO75" s="2803"/>
      <c r="HP75" s="417"/>
      <c r="HQ75" s="417"/>
      <c r="HR75" s="417"/>
      <c r="HS75" s="417"/>
      <c r="HT75" s="417"/>
      <c r="HU75" s="417"/>
      <c r="HV75" s="2805"/>
      <c r="HW75" s="2805"/>
      <c r="HX75" s="2805"/>
      <c r="HY75" s="2805"/>
      <c r="HZ75" s="2805"/>
      <c r="IA75" s="2805"/>
      <c r="IB75" s="2805"/>
      <c r="IC75" s="2805"/>
      <c r="ID75" s="2805"/>
      <c r="IE75" s="2805"/>
      <c r="IF75" s="2805"/>
    </row>
    <row r="76" spans="16:253" ht="4.1500000000000004" customHeight="1">
      <c r="EF76" s="2800"/>
      <c r="EG76" s="2584"/>
      <c r="EH76" s="2584"/>
      <c r="EI76" s="2584"/>
      <c r="EJ76" s="2584"/>
      <c r="EK76" s="2584"/>
      <c r="EL76" s="2584"/>
      <c r="EM76" s="2584"/>
      <c r="EN76" s="2584"/>
      <c r="EO76" s="2584"/>
      <c r="EP76" s="2584"/>
      <c r="EQ76" s="2584"/>
      <c r="ER76" s="2584"/>
      <c r="ES76" s="2584"/>
      <c r="ET76" s="2584"/>
      <c r="EU76" s="2584"/>
      <c r="EV76" s="2801"/>
      <c r="FL76" s="417"/>
      <c r="FM76" s="417"/>
      <c r="FN76" s="417"/>
      <c r="FO76" s="417"/>
      <c r="FP76" s="417"/>
      <c r="FQ76" s="417"/>
      <c r="FR76" s="417"/>
      <c r="FS76" s="417"/>
      <c r="FT76" s="417"/>
      <c r="FU76" s="417"/>
      <c r="FV76" s="417"/>
      <c r="FW76" s="417"/>
      <c r="GB76" s="2802"/>
      <c r="GC76" s="2802"/>
      <c r="GD76" s="2802"/>
      <c r="GE76" s="2802"/>
      <c r="HE76" s="414"/>
      <c r="IF76" s="415"/>
      <c r="II76" s="412"/>
      <c r="IJ76" s="412"/>
      <c r="IK76" s="412"/>
      <c r="IL76" s="412"/>
      <c r="IM76" s="412"/>
      <c r="IN76" s="412"/>
      <c r="IO76" s="412"/>
      <c r="IP76" s="412"/>
      <c r="IQ76" s="412"/>
      <c r="IR76" s="412"/>
      <c r="IS76" s="412"/>
    </row>
    <row r="77" spans="16:253" ht="4.1500000000000004" customHeight="1">
      <c r="AH77" s="437"/>
      <c r="AI77" s="434"/>
      <c r="AJ77" s="434"/>
      <c r="AK77" s="434"/>
      <c r="AL77" s="434"/>
      <c r="AM77" s="434"/>
      <c r="AN77" s="434"/>
      <c r="AO77" s="434"/>
      <c r="AP77" s="434"/>
      <c r="AQ77" s="434"/>
      <c r="AR77" s="434"/>
      <c r="AS77" s="434"/>
      <c r="AT77" s="434"/>
      <c r="AU77" s="438"/>
      <c r="BU77" s="437"/>
      <c r="BV77" s="434"/>
      <c r="BW77" s="434"/>
      <c r="BX77" s="434"/>
      <c r="BY77" s="434"/>
      <c r="BZ77" s="434"/>
      <c r="CA77" s="434"/>
      <c r="CB77" s="434"/>
      <c r="CC77" s="434"/>
      <c r="CD77" s="434"/>
      <c r="CE77" s="434"/>
      <c r="CF77" s="434"/>
      <c r="CG77" s="438"/>
      <c r="ED77" s="2806" t="s">
        <v>3002</v>
      </c>
      <c r="EE77" s="2585"/>
      <c r="EF77" s="2585"/>
      <c r="EG77" s="2585"/>
      <c r="EH77" s="2585"/>
      <c r="EI77" s="2585"/>
      <c r="EJ77" s="2585"/>
      <c r="EK77" s="2585"/>
      <c r="EL77" s="2585"/>
      <c r="EM77" s="2585"/>
      <c r="EN77" s="2585"/>
      <c r="EO77" s="2585"/>
      <c r="EP77" s="2585"/>
      <c r="EQ77" s="2585"/>
      <c r="ER77" s="2585"/>
      <c r="ES77" s="2585"/>
      <c r="ET77" s="2585"/>
      <c r="EU77" s="2585"/>
      <c r="EV77" s="2585"/>
      <c r="EW77" s="2585"/>
      <c r="EX77" s="2807"/>
      <c r="EY77" s="414"/>
      <c r="FL77" s="2587">
        <v>0.15</v>
      </c>
      <c r="FM77" s="2587"/>
      <c r="FN77" s="2587"/>
      <c r="FO77" s="2587"/>
      <c r="FP77" s="2587"/>
      <c r="FQ77" s="2587"/>
      <c r="FR77" s="2587"/>
      <c r="FS77" s="2587"/>
      <c r="FT77" s="2587"/>
      <c r="FU77" s="2587"/>
      <c r="FV77" s="2587"/>
      <c r="FW77" s="2587"/>
      <c r="GB77" s="2802"/>
      <c r="GC77" s="2802"/>
      <c r="GD77" s="2802"/>
      <c r="GE77" s="2802"/>
      <c r="HE77" s="414"/>
      <c r="IF77" s="415"/>
    </row>
    <row r="78" spans="16:253" ht="4.1500000000000004" customHeight="1">
      <c r="AH78" s="439"/>
      <c r="AU78" s="440"/>
      <c r="BU78" s="439"/>
      <c r="CG78" s="440"/>
      <c r="ED78" s="2670"/>
      <c r="EE78" s="2579"/>
      <c r="EF78" s="2579"/>
      <c r="EG78" s="2579"/>
      <c r="EH78" s="2579"/>
      <c r="EI78" s="2579"/>
      <c r="EJ78" s="2579"/>
      <c r="EK78" s="2579"/>
      <c r="EL78" s="2579"/>
      <c r="EM78" s="2579"/>
      <c r="EN78" s="2579"/>
      <c r="EO78" s="2579"/>
      <c r="EP78" s="2579"/>
      <c r="EQ78" s="2579"/>
      <c r="ER78" s="2579"/>
      <c r="ES78" s="2579"/>
      <c r="ET78" s="2579"/>
      <c r="EU78" s="2579"/>
      <c r="EV78" s="2579"/>
      <c r="EW78" s="2579"/>
      <c r="EX78" s="2669"/>
      <c r="EY78" s="414"/>
      <c r="FL78" s="2588"/>
      <c r="FM78" s="2588"/>
      <c r="FN78" s="2588"/>
      <c r="FO78" s="2588"/>
      <c r="FP78" s="2588"/>
      <c r="FQ78" s="2588"/>
      <c r="FR78" s="2588"/>
      <c r="FS78" s="2588"/>
      <c r="FT78" s="2588"/>
      <c r="FU78" s="2588"/>
      <c r="FV78" s="2588"/>
      <c r="FW78" s="2588"/>
      <c r="GD78" s="414"/>
      <c r="HE78" s="414"/>
      <c r="IF78" s="415"/>
      <c r="II78" s="2580">
        <v>0.3</v>
      </c>
      <c r="IJ78" s="2580"/>
      <c r="IK78" s="2580"/>
      <c r="IL78" s="2580"/>
      <c r="IM78" s="2580"/>
      <c r="IN78" s="2580"/>
      <c r="IO78" s="2580"/>
      <c r="IP78" s="2580"/>
      <c r="IQ78" s="2580"/>
      <c r="IR78" s="2580"/>
      <c r="IS78" s="2580"/>
    </row>
    <row r="79" spans="16:253" ht="4.1500000000000004" customHeight="1">
      <c r="AH79" s="439"/>
      <c r="AU79" s="440"/>
      <c r="BU79" s="439"/>
      <c r="CG79" s="440"/>
      <c r="ED79" s="2671"/>
      <c r="EE79" s="2586"/>
      <c r="EF79" s="2586"/>
      <c r="EG79" s="2586"/>
      <c r="EH79" s="2586"/>
      <c r="EI79" s="2586"/>
      <c r="EJ79" s="2586"/>
      <c r="EK79" s="2586"/>
      <c r="EL79" s="2586"/>
      <c r="EM79" s="2586"/>
      <c r="EN79" s="2586"/>
      <c r="EO79" s="2586"/>
      <c r="EP79" s="2586"/>
      <c r="EQ79" s="2586"/>
      <c r="ER79" s="2586"/>
      <c r="ES79" s="2586"/>
      <c r="ET79" s="2586"/>
      <c r="EU79" s="2586"/>
      <c r="EV79" s="2586"/>
      <c r="EW79" s="2586"/>
      <c r="EX79" s="2672"/>
      <c r="EY79" s="414"/>
      <c r="FL79" s="2589"/>
      <c r="FM79" s="2589"/>
      <c r="FN79" s="2589"/>
      <c r="FO79" s="2589"/>
      <c r="FP79" s="2589"/>
      <c r="FQ79" s="2589"/>
      <c r="FR79" s="2589"/>
      <c r="FS79" s="2589"/>
      <c r="FT79" s="2589"/>
      <c r="FU79" s="2589"/>
      <c r="FV79" s="2589"/>
      <c r="FW79" s="2589"/>
      <c r="GD79" s="414"/>
      <c r="HE79" s="414"/>
      <c r="IF79" s="415"/>
      <c r="II79" s="2580"/>
      <c r="IJ79" s="2580"/>
      <c r="IK79" s="2580"/>
      <c r="IL79" s="2580"/>
      <c r="IM79" s="2580"/>
      <c r="IN79" s="2580"/>
      <c r="IO79" s="2580"/>
      <c r="IP79" s="2580"/>
      <c r="IQ79" s="2580"/>
      <c r="IR79" s="2580"/>
      <c r="IS79" s="2580"/>
    </row>
    <row r="80" spans="16:253" ht="4.1500000000000004" customHeight="1">
      <c r="AH80" s="441"/>
      <c r="AI80" s="417"/>
      <c r="AJ80" s="417"/>
      <c r="AK80" s="417"/>
      <c r="AL80" s="417"/>
      <c r="AM80" s="417"/>
      <c r="AN80" s="417"/>
      <c r="AO80" s="417"/>
      <c r="AP80" s="417"/>
      <c r="AQ80" s="417"/>
      <c r="AR80" s="417"/>
      <c r="AS80" s="417"/>
      <c r="AT80" s="417"/>
      <c r="AU80" s="442"/>
      <c r="BU80" s="441"/>
      <c r="BV80" s="417"/>
      <c r="BW80" s="417"/>
      <c r="BX80" s="417"/>
      <c r="BY80" s="417"/>
      <c r="BZ80" s="417"/>
      <c r="CA80" s="417"/>
      <c r="CB80" s="417"/>
      <c r="CC80" s="417"/>
      <c r="CD80" s="417"/>
      <c r="CE80" s="417"/>
      <c r="CF80" s="417"/>
      <c r="CG80" s="442"/>
      <c r="ED80" s="2806" t="s">
        <v>775</v>
      </c>
      <c r="EE80" s="2585"/>
      <c r="EF80" s="2585"/>
      <c r="EG80" s="2585"/>
      <c r="EH80" s="2585"/>
      <c r="EI80" s="2585"/>
      <c r="EJ80" s="2585"/>
      <c r="EK80" s="2585"/>
      <c r="EL80" s="2585"/>
      <c r="EM80" s="2585"/>
      <c r="EN80" s="2585"/>
      <c r="EO80" s="2585"/>
      <c r="EP80" s="2585"/>
      <c r="EQ80" s="2585"/>
      <c r="ER80" s="2585"/>
      <c r="ES80" s="2585"/>
      <c r="ET80" s="2585"/>
      <c r="EU80" s="2585"/>
      <c r="EV80" s="2585"/>
      <c r="EW80" s="2585"/>
      <c r="EX80" s="2807"/>
      <c r="EY80" s="414"/>
      <c r="FL80" s="2587">
        <v>0.15</v>
      </c>
      <c r="FM80" s="2587"/>
      <c r="FN80" s="2587"/>
      <c r="FO80" s="2587"/>
      <c r="FP80" s="2587"/>
      <c r="FQ80" s="2587"/>
      <c r="FR80" s="2587"/>
      <c r="FS80" s="2587"/>
      <c r="FT80" s="2587"/>
      <c r="FU80" s="2587"/>
      <c r="FV80" s="2587"/>
      <c r="FW80" s="2587"/>
      <c r="GD80" s="414"/>
      <c r="HE80" s="414"/>
      <c r="IF80" s="415"/>
      <c r="II80" s="2580"/>
      <c r="IJ80" s="2580"/>
      <c r="IK80" s="2580"/>
      <c r="IL80" s="2580"/>
      <c r="IM80" s="2580"/>
      <c r="IN80" s="2580"/>
      <c r="IO80" s="2580"/>
      <c r="IP80" s="2580"/>
      <c r="IQ80" s="2580"/>
      <c r="IR80" s="2580"/>
      <c r="IS80" s="2580"/>
    </row>
    <row r="81" spans="9:253" ht="4.1500000000000004" customHeight="1" thickBot="1">
      <c r="I81" s="412"/>
      <c r="J81" s="412"/>
      <c r="K81" s="411"/>
      <c r="L81" s="412"/>
      <c r="P81" s="411"/>
      <c r="Q81" s="412"/>
      <c r="R81" s="412"/>
      <c r="S81" s="412"/>
      <c r="T81" s="412"/>
      <c r="U81" s="412"/>
      <c r="V81" s="412"/>
      <c r="W81" s="412"/>
      <c r="X81" s="412"/>
      <c r="Y81" s="412"/>
      <c r="Z81" s="412"/>
      <c r="AA81" s="412"/>
      <c r="AB81" s="412"/>
      <c r="AC81" s="412"/>
      <c r="AD81" s="412"/>
      <c r="AE81" s="412"/>
      <c r="AF81" s="412"/>
      <c r="AG81" s="412"/>
      <c r="AH81" s="412"/>
      <c r="AI81" s="412"/>
      <c r="AJ81" s="422"/>
      <c r="AK81" s="423"/>
      <c r="AL81" s="423"/>
      <c r="AM81" s="423"/>
      <c r="AN81" s="423"/>
      <c r="AO81" s="423"/>
      <c r="AP81" s="423"/>
      <c r="AQ81" s="423"/>
      <c r="AR81" s="423"/>
      <c r="AS81" s="424"/>
      <c r="AT81" s="412"/>
      <c r="AU81" s="412"/>
      <c r="AV81" s="412"/>
      <c r="AW81" s="412"/>
      <c r="AX81" s="412"/>
      <c r="AY81" s="412"/>
      <c r="AZ81" s="412"/>
      <c r="BA81" s="412"/>
      <c r="BB81" s="412"/>
      <c r="BC81" s="412"/>
      <c r="BD81" s="412"/>
      <c r="BE81" s="412"/>
      <c r="BF81" s="412"/>
      <c r="BG81" s="412"/>
      <c r="BH81" s="412"/>
      <c r="BI81" s="412"/>
      <c r="BJ81" s="412"/>
      <c r="BK81" s="412"/>
      <c r="BL81" s="412"/>
      <c r="BM81" s="412"/>
      <c r="BN81" s="412"/>
      <c r="BO81" s="412"/>
      <c r="BP81" s="412"/>
      <c r="BQ81" s="412"/>
      <c r="BR81" s="412"/>
      <c r="BS81" s="412"/>
      <c r="BT81" s="412"/>
      <c r="BU81" s="412"/>
      <c r="BV81" s="422"/>
      <c r="BW81" s="423"/>
      <c r="BX81" s="423"/>
      <c r="BY81" s="423"/>
      <c r="BZ81" s="423"/>
      <c r="CA81" s="423"/>
      <c r="CB81" s="423"/>
      <c r="CC81" s="423"/>
      <c r="CD81" s="423"/>
      <c r="CE81" s="424"/>
      <c r="CF81" s="412"/>
      <c r="CG81" s="412"/>
      <c r="CH81" s="412"/>
      <c r="CI81" s="412"/>
      <c r="CJ81" s="412"/>
      <c r="CK81" s="412"/>
      <c r="CL81" s="412"/>
      <c r="CM81" s="412"/>
      <c r="CN81" s="412"/>
      <c r="CO81" s="412"/>
      <c r="CP81" s="412"/>
      <c r="CQ81" s="412"/>
      <c r="CR81" s="412"/>
      <c r="CS81" s="412"/>
      <c r="CT81" s="412"/>
      <c r="CU81" s="412"/>
      <c r="CV81" s="412"/>
      <c r="CW81" s="413"/>
      <c r="ED81" s="2670"/>
      <c r="EE81" s="2579"/>
      <c r="EF81" s="2579"/>
      <c r="EG81" s="2579"/>
      <c r="EH81" s="2579"/>
      <c r="EI81" s="2579"/>
      <c r="EJ81" s="2579"/>
      <c r="EK81" s="2579"/>
      <c r="EL81" s="2579"/>
      <c r="EM81" s="2579"/>
      <c r="EN81" s="2579"/>
      <c r="EO81" s="2579"/>
      <c r="EP81" s="2579"/>
      <c r="EQ81" s="2579"/>
      <c r="ER81" s="2579"/>
      <c r="ES81" s="2579"/>
      <c r="ET81" s="2579"/>
      <c r="EU81" s="2579"/>
      <c r="EV81" s="2579"/>
      <c r="EW81" s="2579"/>
      <c r="EX81" s="2669"/>
      <c r="EY81" s="414"/>
      <c r="FL81" s="2588"/>
      <c r="FM81" s="2588"/>
      <c r="FN81" s="2588"/>
      <c r="FO81" s="2588"/>
      <c r="FP81" s="2588"/>
      <c r="FQ81" s="2588"/>
      <c r="FR81" s="2588"/>
      <c r="FS81" s="2588"/>
      <c r="FT81" s="2588"/>
      <c r="FU81" s="2588"/>
      <c r="FV81" s="2588"/>
      <c r="FW81" s="2588"/>
      <c r="GD81" s="414"/>
      <c r="HE81" s="414"/>
      <c r="IF81" s="415"/>
    </row>
    <row r="82" spans="9:253" ht="4.1500000000000004" customHeight="1" thickTop="1">
      <c r="K82" s="414"/>
      <c r="P82" s="414"/>
      <c r="AJ82" s="416"/>
      <c r="AK82" s="417"/>
      <c r="AL82" s="417"/>
      <c r="AM82" s="417"/>
      <c r="AN82" s="417"/>
      <c r="AO82" s="417"/>
      <c r="AP82" s="417"/>
      <c r="AQ82" s="417"/>
      <c r="AR82" s="417"/>
      <c r="AS82" s="418"/>
      <c r="BD82" s="417"/>
      <c r="BE82" s="417"/>
      <c r="BF82" s="417"/>
      <c r="BG82" s="417"/>
      <c r="BH82" s="417"/>
      <c r="BI82" s="417"/>
      <c r="BJ82" s="417"/>
      <c r="BV82" s="416"/>
      <c r="BW82" s="417"/>
      <c r="BX82" s="417"/>
      <c r="BY82" s="417"/>
      <c r="BZ82" s="417"/>
      <c r="CA82" s="417"/>
      <c r="CB82" s="417"/>
      <c r="CC82" s="417"/>
      <c r="CD82" s="417"/>
      <c r="CE82" s="418"/>
      <c r="CW82" s="415"/>
      <c r="DA82" s="412"/>
      <c r="DB82" s="412"/>
      <c r="DC82" s="411"/>
      <c r="DD82" s="412"/>
      <c r="DG82" s="412"/>
      <c r="DH82" s="412"/>
      <c r="DI82" s="411"/>
      <c r="DJ82" s="412"/>
      <c r="ED82" s="2671"/>
      <c r="EE82" s="2586"/>
      <c r="EF82" s="2586"/>
      <c r="EG82" s="2586"/>
      <c r="EH82" s="2586"/>
      <c r="EI82" s="2586"/>
      <c r="EJ82" s="2586"/>
      <c r="EK82" s="2586"/>
      <c r="EL82" s="2586"/>
      <c r="EM82" s="2586"/>
      <c r="EN82" s="2586"/>
      <c r="EO82" s="2586"/>
      <c r="EP82" s="2586"/>
      <c r="EQ82" s="2586"/>
      <c r="ER82" s="2586"/>
      <c r="ES82" s="2586"/>
      <c r="ET82" s="2586"/>
      <c r="EU82" s="2586"/>
      <c r="EV82" s="2586"/>
      <c r="EW82" s="2586"/>
      <c r="EX82" s="2672"/>
      <c r="EY82" s="416"/>
      <c r="EZ82" s="417"/>
      <c r="FA82" s="417"/>
      <c r="FB82" s="417"/>
      <c r="FC82" s="417"/>
      <c r="FD82" s="417"/>
      <c r="FE82" s="417"/>
      <c r="FF82" s="417"/>
      <c r="FG82" s="417"/>
      <c r="FH82" s="417"/>
      <c r="FI82" s="417"/>
      <c r="FL82" s="2589"/>
      <c r="FM82" s="2589"/>
      <c r="FN82" s="2589"/>
      <c r="FO82" s="2589"/>
      <c r="FP82" s="2589"/>
      <c r="FQ82" s="2589"/>
      <c r="FR82" s="2589"/>
      <c r="FS82" s="2589"/>
      <c r="FT82" s="2589"/>
      <c r="FU82" s="2589"/>
      <c r="FV82" s="2589"/>
      <c r="FW82" s="2589"/>
      <c r="GA82" s="417"/>
      <c r="GB82" s="417"/>
      <c r="GC82" s="417"/>
      <c r="GD82" s="416"/>
      <c r="GE82" s="417"/>
      <c r="GF82" s="417"/>
      <c r="GG82" s="417"/>
      <c r="GH82" s="417"/>
      <c r="GI82" s="417"/>
      <c r="GJ82" s="417"/>
      <c r="GK82" s="417"/>
      <c r="GL82" s="417"/>
      <c r="GM82" s="417"/>
      <c r="GN82" s="417"/>
      <c r="GO82" s="417"/>
      <c r="GP82" s="417"/>
      <c r="GQ82" s="417"/>
      <c r="GR82" s="417"/>
      <c r="GS82" s="417"/>
      <c r="GT82" s="417"/>
      <c r="GU82" s="417"/>
      <c r="GV82" s="417"/>
      <c r="GW82" s="417"/>
      <c r="GX82" s="417"/>
      <c r="GY82" s="417"/>
      <c r="GZ82" s="417"/>
      <c r="HA82" s="417"/>
      <c r="HE82" s="416"/>
      <c r="HF82" s="417"/>
      <c r="HG82" s="417"/>
      <c r="HH82" s="417"/>
      <c r="HI82" s="417"/>
      <c r="HJ82" s="417"/>
      <c r="HK82" s="417"/>
      <c r="HL82" s="417"/>
      <c r="HM82" s="417"/>
      <c r="HN82" s="417"/>
      <c r="HO82" s="417"/>
      <c r="HP82" s="417"/>
      <c r="HQ82" s="417"/>
      <c r="HR82" s="417"/>
      <c r="HS82" s="417"/>
      <c r="HT82" s="417"/>
      <c r="HU82" s="417"/>
      <c r="HV82" s="417"/>
      <c r="HW82" s="417"/>
      <c r="HX82" s="417"/>
      <c r="HY82" s="417"/>
      <c r="HZ82" s="417"/>
      <c r="IA82" s="417"/>
      <c r="IB82" s="417"/>
      <c r="IC82" s="417"/>
      <c r="ID82" s="417"/>
      <c r="IE82" s="417"/>
      <c r="IF82" s="418"/>
      <c r="II82" s="417"/>
      <c r="IJ82" s="417"/>
      <c r="IK82" s="417"/>
      <c r="IL82" s="417"/>
      <c r="IM82" s="417"/>
      <c r="IN82" s="417"/>
      <c r="IO82" s="417"/>
      <c r="IP82" s="417"/>
      <c r="IQ82" s="417"/>
      <c r="IR82" s="417"/>
      <c r="IS82" s="417"/>
    </row>
    <row r="83" spans="9:253" ht="4.1500000000000004" customHeight="1">
      <c r="K83" s="414"/>
      <c r="P83" s="414"/>
      <c r="R83" s="411"/>
      <c r="S83" s="412"/>
      <c r="T83" s="412"/>
      <c r="U83" s="412"/>
      <c r="V83" s="412"/>
      <c r="W83" s="412"/>
      <c r="X83" s="412"/>
      <c r="Y83" s="412"/>
      <c r="Z83" s="412"/>
      <c r="AA83" s="412"/>
      <c r="AB83" s="412"/>
      <c r="AC83" s="412"/>
      <c r="AD83" s="412"/>
      <c r="AE83" s="412"/>
      <c r="AF83" s="412"/>
      <c r="AG83" s="412"/>
      <c r="AH83" s="412"/>
      <c r="AI83" s="412"/>
      <c r="AJ83" s="412"/>
      <c r="AK83" s="412"/>
      <c r="AL83" s="412"/>
      <c r="AM83" s="412"/>
      <c r="AN83" s="413"/>
      <c r="AO83" s="412"/>
      <c r="AP83" s="412"/>
      <c r="AQ83" s="412"/>
      <c r="AR83" s="412"/>
      <c r="AS83" s="412"/>
      <c r="AT83" s="412"/>
      <c r="AU83" s="412"/>
      <c r="AV83" s="412"/>
      <c r="AW83" s="412"/>
      <c r="AX83" s="412"/>
      <c r="AY83" s="412"/>
      <c r="AZ83" s="412"/>
      <c r="BA83" s="412"/>
      <c r="BB83" s="412"/>
      <c r="BC83" s="412"/>
      <c r="BF83" s="439"/>
      <c r="BG83" s="440"/>
      <c r="BK83" s="412"/>
      <c r="BL83" s="412"/>
      <c r="BM83" s="412"/>
      <c r="BN83" s="412"/>
      <c r="BO83" s="412"/>
      <c r="BP83" s="412"/>
      <c r="BQ83" s="412"/>
      <c r="BR83" s="412"/>
      <c r="BS83" s="412"/>
      <c r="BT83" s="412"/>
      <c r="BU83" s="412"/>
      <c r="BV83" s="412"/>
      <c r="BW83" s="412"/>
      <c r="BX83" s="412"/>
      <c r="BY83" s="412"/>
      <c r="BZ83" s="412"/>
      <c r="CA83" s="412"/>
      <c r="CB83" s="412"/>
      <c r="CC83" s="412"/>
      <c r="CD83" s="412"/>
      <c r="CE83" s="412"/>
      <c r="CF83" s="412"/>
      <c r="CG83" s="412"/>
      <c r="CH83" s="412"/>
      <c r="CI83" s="412"/>
      <c r="CJ83" s="412"/>
      <c r="CK83" s="412"/>
      <c r="CL83" s="412"/>
      <c r="CM83" s="412"/>
      <c r="CN83" s="412"/>
      <c r="CO83" s="412"/>
      <c r="CP83" s="412"/>
      <c r="CQ83" s="412"/>
      <c r="CR83" s="412"/>
      <c r="CS83" s="412"/>
      <c r="CT83" s="412"/>
      <c r="CU83" s="413"/>
      <c r="CW83" s="415"/>
      <c r="DC83" s="414"/>
      <c r="DI83" s="414"/>
      <c r="HD83" s="411"/>
      <c r="HE83" s="412"/>
      <c r="HF83" s="412"/>
      <c r="HG83" s="412"/>
      <c r="HH83" s="412"/>
      <c r="HI83" s="412"/>
      <c r="HJ83" s="412"/>
      <c r="HK83" s="412"/>
      <c r="HL83" s="412"/>
      <c r="HM83" s="412"/>
      <c r="HN83" s="412"/>
      <c r="HO83" s="412"/>
      <c r="HP83" s="412"/>
      <c r="HQ83" s="412"/>
      <c r="HR83" s="412"/>
      <c r="HS83" s="412"/>
      <c r="HT83" s="412"/>
      <c r="HU83" s="412"/>
      <c r="HV83" s="412"/>
      <c r="HW83" s="412"/>
      <c r="HX83" s="412"/>
      <c r="HY83" s="412"/>
      <c r="HZ83" s="412"/>
      <c r="IA83" s="412"/>
      <c r="IB83" s="412"/>
      <c r="IC83" s="412"/>
      <c r="ID83" s="412"/>
      <c r="IE83" s="412"/>
      <c r="IF83" s="412"/>
      <c r="IG83" s="413"/>
      <c r="II83" s="2583">
        <v>0.15</v>
      </c>
      <c r="IJ83" s="2583"/>
      <c r="IK83" s="2583"/>
      <c r="IL83" s="2583"/>
      <c r="IM83" s="2583"/>
      <c r="IN83" s="2583"/>
      <c r="IO83" s="2583"/>
      <c r="IP83" s="2583"/>
      <c r="IQ83" s="2583"/>
      <c r="IR83" s="2583"/>
      <c r="IS83" s="2583"/>
    </row>
    <row r="84" spans="9:253" ht="4.1500000000000004" customHeight="1">
      <c r="K84" s="414"/>
      <c r="P84" s="414"/>
      <c r="R84" s="414"/>
      <c r="AN84" s="415"/>
      <c r="BF84" s="439"/>
      <c r="BG84" s="440"/>
      <c r="CU84" s="415"/>
      <c r="CW84" s="415"/>
      <c r="DC84" s="414"/>
      <c r="DI84" s="414"/>
      <c r="HD84" s="414"/>
      <c r="IG84" s="415"/>
      <c r="II84" s="2580"/>
      <c r="IJ84" s="2580"/>
      <c r="IK84" s="2580"/>
      <c r="IL84" s="2580"/>
      <c r="IM84" s="2580"/>
      <c r="IN84" s="2580"/>
      <c r="IO84" s="2580"/>
      <c r="IP84" s="2580"/>
      <c r="IQ84" s="2580"/>
      <c r="IR84" s="2580"/>
      <c r="IS84" s="2580"/>
    </row>
    <row r="85" spans="9:253" ht="4.1500000000000004" customHeight="1">
      <c r="K85" s="414"/>
      <c r="P85" s="414"/>
      <c r="R85" s="414"/>
      <c r="AN85" s="415"/>
      <c r="BF85" s="439"/>
      <c r="BG85" s="440"/>
      <c r="CU85" s="415"/>
      <c r="CV85" s="2796">
        <v>0.25</v>
      </c>
      <c r="CW85" s="2797"/>
      <c r="DC85" s="414"/>
      <c r="DI85" s="414"/>
      <c r="ED85" s="414"/>
      <c r="EH85" s="2773">
        <v>0.9</v>
      </c>
      <c r="EI85" s="2579"/>
      <c r="EJ85" s="2579"/>
      <c r="EK85" s="2579"/>
      <c r="EL85" s="2579"/>
      <c r="EM85" s="2579"/>
      <c r="EN85" s="2579"/>
      <c r="EO85" s="2579"/>
      <c r="EP85" s="2579"/>
      <c r="EQ85" s="2579"/>
      <c r="ER85" s="2579"/>
      <c r="ES85" s="2579"/>
      <c r="ET85" s="2579"/>
      <c r="EU85" s="2579"/>
      <c r="EX85" s="415"/>
      <c r="HD85" s="416"/>
      <c r="HE85" s="417"/>
      <c r="HF85" s="417"/>
      <c r="HG85" s="417"/>
      <c r="HH85" s="417"/>
      <c r="HI85" s="417"/>
      <c r="HJ85" s="417"/>
      <c r="HK85" s="417"/>
      <c r="HL85" s="417"/>
      <c r="HM85" s="417"/>
      <c r="HN85" s="417"/>
      <c r="HO85" s="417"/>
      <c r="HP85" s="417"/>
      <c r="HQ85" s="417"/>
      <c r="HR85" s="417"/>
      <c r="HS85" s="417"/>
      <c r="HT85" s="417"/>
      <c r="HU85" s="417"/>
      <c r="HV85" s="417"/>
      <c r="HW85" s="417"/>
      <c r="HX85" s="417"/>
      <c r="HY85" s="417"/>
      <c r="HZ85" s="417"/>
      <c r="IA85" s="417"/>
      <c r="IB85" s="417"/>
      <c r="IC85" s="417"/>
      <c r="ID85" s="417"/>
      <c r="IE85" s="417"/>
      <c r="IF85" s="417"/>
      <c r="IG85" s="418"/>
      <c r="II85" s="2584"/>
      <c r="IJ85" s="2584"/>
      <c r="IK85" s="2584"/>
      <c r="IL85" s="2584"/>
      <c r="IM85" s="2584"/>
      <c r="IN85" s="2584"/>
      <c r="IO85" s="2584"/>
      <c r="IP85" s="2584"/>
      <c r="IQ85" s="2584"/>
      <c r="IR85" s="2584"/>
      <c r="IS85" s="2584"/>
    </row>
    <row r="86" spans="9:253" ht="4.1500000000000004" customHeight="1">
      <c r="K86" s="414"/>
      <c r="P86" s="414"/>
      <c r="R86" s="414"/>
      <c r="BF86" s="439"/>
      <c r="BG86" s="440"/>
      <c r="CU86" s="415"/>
      <c r="CV86" s="2796"/>
      <c r="CW86" s="2797"/>
      <c r="DC86" s="414"/>
      <c r="DI86" s="414"/>
      <c r="ED86" s="416"/>
      <c r="EE86" s="417"/>
      <c r="EF86" s="417"/>
      <c r="EG86" s="417"/>
      <c r="EH86" s="2579"/>
      <c r="EI86" s="2579"/>
      <c r="EJ86" s="2579"/>
      <c r="EK86" s="2579"/>
      <c r="EL86" s="2579"/>
      <c r="EM86" s="2579"/>
      <c r="EN86" s="2579"/>
      <c r="EO86" s="2579"/>
      <c r="EP86" s="2579"/>
      <c r="EQ86" s="2579"/>
      <c r="ER86" s="2579"/>
      <c r="ES86" s="2579"/>
      <c r="ET86" s="2579"/>
      <c r="EU86" s="2579"/>
      <c r="EV86" s="417"/>
      <c r="EW86" s="417"/>
      <c r="EX86" s="418"/>
      <c r="HD86" s="411"/>
      <c r="HE86" s="412"/>
      <c r="HF86" s="412"/>
      <c r="HG86" s="412"/>
      <c r="HH86" s="412"/>
      <c r="HI86" s="412"/>
      <c r="HJ86" s="412"/>
      <c r="HK86" s="412"/>
      <c r="HL86" s="412"/>
      <c r="HM86" s="412"/>
      <c r="HN86" s="412"/>
      <c r="HO86" s="412"/>
      <c r="HP86" s="412"/>
      <c r="HQ86" s="412"/>
      <c r="HR86" s="412"/>
      <c r="HS86" s="412"/>
      <c r="HT86" s="412"/>
      <c r="HU86" s="412"/>
      <c r="HV86" s="412"/>
      <c r="HW86" s="412"/>
      <c r="HX86" s="412"/>
      <c r="HY86" s="412"/>
      <c r="HZ86" s="412"/>
      <c r="IA86" s="412"/>
      <c r="IB86" s="412"/>
      <c r="IC86" s="412"/>
      <c r="ID86" s="412"/>
      <c r="IE86" s="412"/>
      <c r="IF86" s="412"/>
      <c r="IG86" s="413"/>
      <c r="II86" s="2583">
        <v>0.15</v>
      </c>
      <c r="IJ86" s="2583"/>
      <c r="IK86" s="2583"/>
      <c r="IL86" s="2583"/>
      <c r="IM86" s="2583"/>
      <c r="IN86" s="2583"/>
      <c r="IO86" s="2583"/>
      <c r="IP86" s="2583"/>
      <c r="IQ86" s="2583"/>
      <c r="IR86" s="2583"/>
      <c r="IS86" s="2583"/>
    </row>
    <row r="87" spans="9:253" ht="4.1500000000000004" customHeight="1">
      <c r="K87" s="414"/>
      <c r="P87" s="414"/>
      <c r="R87" s="414"/>
      <c r="BF87" s="439"/>
      <c r="BG87" s="440"/>
      <c r="CU87" s="415"/>
      <c r="CV87" s="2796"/>
      <c r="CW87" s="2797"/>
      <c r="DC87" s="414"/>
      <c r="DI87" s="414"/>
      <c r="ED87" s="414"/>
      <c r="EH87" s="2579"/>
      <c r="EI87" s="2579"/>
      <c r="EJ87" s="2579"/>
      <c r="EK87" s="2579"/>
      <c r="EL87" s="2579"/>
      <c r="EM87" s="2579"/>
      <c r="EN87" s="2579"/>
      <c r="EO87" s="2579"/>
      <c r="EP87" s="2579"/>
      <c r="EQ87" s="2579"/>
      <c r="ER87" s="2579"/>
      <c r="ES87" s="2579"/>
      <c r="ET87" s="2579"/>
      <c r="EU87" s="2579"/>
      <c r="EX87" s="415"/>
      <c r="HD87" s="414"/>
      <c r="IG87" s="415"/>
      <c r="II87" s="2580"/>
      <c r="IJ87" s="2580"/>
      <c r="IK87" s="2580"/>
      <c r="IL87" s="2580"/>
      <c r="IM87" s="2580"/>
      <c r="IN87" s="2580"/>
      <c r="IO87" s="2580"/>
      <c r="IP87" s="2580"/>
      <c r="IQ87" s="2580"/>
      <c r="IR87" s="2580"/>
      <c r="IS87" s="2580"/>
    </row>
    <row r="88" spans="9:253" ht="4.1500000000000004" customHeight="1">
      <c r="K88" s="414"/>
      <c r="P88" s="414"/>
      <c r="R88" s="414"/>
      <c r="BF88" s="439"/>
      <c r="BG88" s="440"/>
      <c r="CU88" s="415"/>
      <c r="CV88" s="2796"/>
      <c r="CW88" s="2797"/>
      <c r="DC88" s="414"/>
      <c r="DI88" s="414"/>
      <c r="ED88" s="414"/>
      <c r="EH88" s="2579"/>
      <c r="EI88" s="2579"/>
      <c r="EJ88" s="2579"/>
      <c r="EK88" s="2579"/>
      <c r="EL88" s="2579"/>
      <c r="EM88" s="2579"/>
      <c r="EN88" s="2579"/>
      <c r="EO88" s="2579"/>
      <c r="EP88" s="2579"/>
      <c r="EQ88" s="2579"/>
      <c r="ER88" s="2579"/>
      <c r="ES88" s="2579"/>
      <c r="ET88" s="2579"/>
      <c r="EU88" s="2579"/>
      <c r="EX88" s="415"/>
      <c r="HD88" s="416"/>
      <c r="HE88" s="417"/>
      <c r="HF88" s="417"/>
      <c r="HG88" s="417"/>
      <c r="HH88" s="417"/>
      <c r="HI88" s="417"/>
      <c r="HJ88" s="417"/>
      <c r="HK88" s="417"/>
      <c r="HL88" s="417"/>
      <c r="HM88" s="417"/>
      <c r="HN88" s="417"/>
      <c r="HO88" s="417"/>
      <c r="HP88" s="417"/>
      <c r="HQ88" s="417"/>
      <c r="HR88" s="417"/>
      <c r="HS88" s="417"/>
      <c r="HT88" s="417"/>
      <c r="HU88" s="417"/>
      <c r="HV88" s="417"/>
      <c r="HW88" s="417"/>
      <c r="HX88" s="417"/>
      <c r="HY88" s="417"/>
      <c r="HZ88" s="417"/>
      <c r="IA88" s="417"/>
      <c r="IB88" s="417"/>
      <c r="IC88" s="417"/>
      <c r="ID88" s="417"/>
      <c r="IE88" s="417"/>
      <c r="IF88" s="417"/>
      <c r="IG88" s="418"/>
      <c r="II88" s="2584"/>
      <c r="IJ88" s="2584"/>
      <c r="IK88" s="2584"/>
      <c r="IL88" s="2584"/>
      <c r="IM88" s="2584"/>
      <c r="IN88" s="2584"/>
      <c r="IO88" s="2584"/>
      <c r="IP88" s="2584"/>
      <c r="IQ88" s="2584"/>
      <c r="IR88" s="2584"/>
      <c r="IS88" s="2584"/>
    </row>
    <row r="89" spans="9:253" ht="4.1500000000000004" customHeight="1">
      <c r="K89" s="414"/>
      <c r="P89" s="414"/>
      <c r="R89" s="414"/>
      <c r="BF89" s="439"/>
      <c r="BG89" s="440"/>
      <c r="CU89" s="415"/>
      <c r="CV89" s="2796"/>
      <c r="CW89" s="2797"/>
      <c r="DC89" s="414"/>
      <c r="DI89" s="414"/>
      <c r="HX89" s="412"/>
      <c r="HY89" s="412"/>
      <c r="HZ89" s="412"/>
      <c r="IA89" s="412"/>
      <c r="IB89" s="412"/>
      <c r="IC89" s="412"/>
      <c r="ID89" s="412"/>
      <c r="IE89" s="412"/>
      <c r="IF89" s="412"/>
      <c r="IG89" s="412"/>
    </row>
    <row r="90" spans="9:253" ht="4.1500000000000004" customHeight="1">
      <c r="K90" s="414"/>
      <c r="P90" s="414"/>
      <c r="R90" s="414"/>
      <c r="BF90" s="439"/>
      <c r="BG90" s="440"/>
      <c r="CU90" s="415"/>
      <c r="CV90" s="2796"/>
      <c r="CW90" s="2797"/>
      <c r="DC90" s="414"/>
      <c r="DI90" s="414"/>
      <c r="HD90" s="414"/>
      <c r="IG90" s="415"/>
    </row>
    <row r="91" spans="9:253" ht="4.1500000000000004" customHeight="1">
      <c r="K91" s="414"/>
      <c r="P91" s="414"/>
      <c r="R91" s="414"/>
      <c r="BF91" s="439"/>
      <c r="BG91" s="440"/>
      <c r="CU91" s="415"/>
      <c r="CV91" s="2796"/>
      <c r="CW91" s="2797"/>
      <c r="DC91" s="414"/>
      <c r="DI91" s="414"/>
      <c r="HD91" s="414"/>
      <c r="HL91" s="2588">
        <v>1.2</v>
      </c>
      <c r="HM91" s="2588"/>
      <c r="HN91" s="2588"/>
      <c r="HO91" s="2588"/>
      <c r="HP91" s="2588"/>
      <c r="HQ91" s="2588"/>
      <c r="HR91" s="2588"/>
      <c r="HS91" s="2588"/>
      <c r="HT91" s="2588"/>
      <c r="HU91" s="2588"/>
      <c r="HV91" s="2588"/>
      <c r="HW91" s="2588"/>
      <c r="IG91" s="415"/>
    </row>
    <row r="92" spans="9:253" ht="4.1500000000000004" customHeight="1">
      <c r="K92" s="414"/>
      <c r="P92" s="414"/>
      <c r="R92" s="414"/>
      <c r="BF92" s="439"/>
      <c r="BG92" s="440"/>
      <c r="CU92" s="415"/>
      <c r="CW92" s="415"/>
      <c r="DC92" s="414"/>
      <c r="DI92" s="414"/>
      <c r="HD92" s="416"/>
      <c r="HE92" s="417"/>
      <c r="HF92" s="417"/>
      <c r="HG92" s="417"/>
      <c r="HH92" s="417"/>
      <c r="HI92" s="417"/>
      <c r="HJ92" s="417"/>
      <c r="HK92" s="417"/>
      <c r="HL92" s="2588"/>
      <c r="HM92" s="2588"/>
      <c r="HN92" s="2588"/>
      <c r="HO92" s="2588"/>
      <c r="HP92" s="2588"/>
      <c r="HQ92" s="2588"/>
      <c r="HR92" s="2588"/>
      <c r="HS92" s="2588"/>
      <c r="HT92" s="2588"/>
      <c r="HU92" s="2588"/>
      <c r="HV92" s="2588"/>
      <c r="HW92" s="2588"/>
      <c r="HX92" s="417"/>
      <c r="HY92" s="417"/>
      <c r="HZ92" s="417"/>
      <c r="IA92" s="417"/>
      <c r="IB92" s="417"/>
      <c r="IC92" s="417"/>
      <c r="ID92" s="417"/>
      <c r="IE92" s="417"/>
      <c r="IF92" s="417"/>
      <c r="IG92" s="418"/>
    </row>
    <row r="93" spans="9:253" ht="4.1500000000000004" customHeight="1">
      <c r="K93" s="414"/>
      <c r="P93" s="414"/>
      <c r="R93" s="414"/>
      <c r="AW93" s="2775" t="s">
        <v>3003</v>
      </c>
      <c r="AX93" s="2775"/>
      <c r="AY93" s="2775"/>
      <c r="AZ93" s="2775"/>
      <c r="BA93" s="2775"/>
      <c r="BB93" s="2775"/>
      <c r="BC93" s="2775"/>
      <c r="BD93" s="2775"/>
      <c r="BE93" s="2775"/>
      <c r="BF93" s="2775"/>
      <c r="BG93" s="2775"/>
      <c r="BH93" s="2775"/>
      <c r="BI93" s="2775"/>
      <c r="BJ93" s="2775"/>
      <c r="BK93" s="2775"/>
      <c r="BL93" s="2775"/>
      <c r="BM93" s="2775"/>
      <c r="BN93" s="2775"/>
      <c r="CU93" s="415"/>
      <c r="CW93" s="415"/>
      <c r="DA93" s="2771">
        <f>BH96+CV85</f>
        <v>3.9</v>
      </c>
      <c r="DB93" s="2772"/>
      <c r="DC93" s="2772"/>
      <c r="DD93" s="2772"/>
      <c r="DI93" s="414"/>
      <c r="HD93" s="414"/>
      <c r="HL93" s="2588"/>
      <c r="HM93" s="2588"/>
      <c r="HN93" s="2588"/>
      <c r="HO93" s="2588"/>
      <c r="HP93" s="2588"/>
      <c r="HQ93" s="2588"/>
      <c r="HR93" s="2588"/>
      <c r="HS93" s="2588"/>
      <c r="HT93" s="2588"/>
      <c r="HU93" s="2588"/>
      <c r="HV93" s="2588"/>
      <c r="HW93" s="2588"/>
      <c r="IG93" s="415"/>
    </row>
    <row r="94" spans="9:253" ht="4.1500000000000004" customHeight="1">
      <c r="K94" s="414"/>
      <c r="P94" s="414"/>
      <c r="R94" s="414"/>
      <c r="AW94" s="2775"/>
      <c r="AX94" s="2775"/>
      <c r="AY94" s="2775"/>
      <c r="AZ94" s="2775"/>
      <c r="BA94" s="2775"/>
      <c r="BB94" s="2775"/>
      <c r="BC94" s="2775"/>
      <c r="BD94" s="2775"/>
      <c r="BE94" s="2775"/>
      <c r="BF94" s="2775"/>
      <c r="BG94" s="2775"/>
      <c r="BH94" s="2775"/>
      <c r="BI94" s="2775"/>
      <c r="BJ94" s="2775"/>
      <c r="BK94" s="2775"/>
      <c r="BL94" s="2775"/>
      <c r="BM94" s="2775"/>
      <c r="BN94" s="2775"/>
      <c r="CU94" s="415"/>
      <c r="CW94" s="415"/>
      <c r="DA94" s="2772"/>
      <c r="DB94" s="2772"/>
      <c r="DC94" s="2772"/>
      <c r="DD94" s="2772"/>
      <c r="DI94" s="414"/>
    </row>
    <row r="95" spans="9:253" ht="4.1500000000000004" customHeight="1">
      <c r="K95" s="414"/>
      <c r="P95" s="414"/>
      <c r="R95" s="414"/>
      <c r="AW95" s="2775"/>
      <c r="AX95" s="2775"/>
      <c r="AY95" s="2775"/>
      <c r="AZ95" s="2775"/>
      <c r="BA95" s="2775"/>
      <c r="BB95" s="2775"/>
      <c r="BC95" s="2775"/>
      <c r="BD95" s="2775"/>
      <c r="BE95" s="2775"/>
      <c r="BF95" s="2775"/>
      <c r="BG95" s="2775"/>
      <c r="BH95" s="2775"/>
      <c r="BI95" s="2775"/>
      <c r="BJ95" s="2775"/>
      <c r="BK95" s="2775"/>
      <c r="BL95" s="2775"/>
      <c r="BM95" s="2775"/>
      <c r="BN95" s="2775"/>
      <c r="CU95" s="415"/>
      <c r="CW95" s="415"/>
      <c r="DA95" s="2772"/>
      <c r="DB95" s="2772"/>
      <c r="DC95" s="2772"/>
      <c r="DD95" s="2772"/>
      <c r="DI95" s="414"/>
    </row>
    <row r="96" spans="9:253" ht="4.1500000000000004" customHeight="1">
      <c r="K96" s="414"/>
      <c r="P96" s="414"/>
      <c r="R96" s="414"/>
      <c r="AW96" s="2577">
        <v>7</v>
      </c>
      <c r="AX96" s="2577"/>
      <c r="AY96" s="2577"/>
      <c r="AZ96" s="2577"/>
      <c r="BA96" s="2577"/>
      <c r="BB96" s="2577"/>
      <c r="BC96" s="2577"/>
      <c r="BD96" s="2577" t="s">
        <v>901</v>
      </c>
      <c r="BE96" s="2577"/>
      <c r="BF96" s="2577"/>
      <c r="BG96" s="2577"/>
      <c r="BH96" s="2577">
        <v>3.65</v>
      </c>
      <c r="BI96" s="2577"/>
      <c r="BJ96" s="2577"/>
      <c r="BK96" s="2577"/>
      <c r="BL96" s="2577"/>
      <c r="BM96" s="2577"/>
      <c r="BN96" s="2577"/>
      <c r="CU96" s="415"/>
      <c r="CW96" s="415"/>
      <c r="DA96" s="2772"/>
      <c r="DB96" s="2772"/>
      <c r="DC96" s="2772"/>
      <c r="DD96" s="2772"/>
      <c r="DI96" s="414"/>
      <c r="DS96" s="464"/>
      <c r="DT96" s="464"/>
      <c r="DU96" s="464"/>
      <c r="DV96" s="464"/>
      <c r="DW96" s="464"/>
      <c r="DX96" s="464"/>
      <c r="DY96" s="464"/>
      <c r="DZ96" s="464"/>
      <c r="EA96" s="464"/>
      <c r="EB96" s="464"/>
      <c r="EC96" s="464"/>
      <c r="ED96" s="464"/>
      <c r="EE96" s="464"/>
      <c r="EF96" s="464"/>
      <c r="EG96" s="464"/>
      <c r="EH96" s="464"/>
      <c r="EI96" s="465"/>
      <c r="EJ96" s="465"/>
      <c r="EK96" s="465"/>
      <c r="EL96" s="465"/>
      <c r="EM96" s="465"/>
      <c r="EN96" s="465"/>
      <c r="EO96" s="465"/>
      <c r="EP96" s="465"/>
      <c r="EQ96" s="2790">
        <v>0.3</v>
      </c>
      <c r="ER96" s="2786"/>
      <c r="ES96" s="2786"/>
      <c r="ET96" s="2786"/>
      <c r="EU96" s="2786"/>
      <c r="EV96" s="2786"/>
      <c r="EW96" s="2791"/>
      <c r="EX96" s="2790">
        <f>EQ96</f>
        <v>0.3</v>
      </c>
      <c r="EY96" s="2786"/>
      <c r="EZ96" s="2786"/>
      <c r="FA96" s="2786"/>
      <c r="FB96" s="2786"/>
      <c r="FC96" s="2786"/>
      <c r="FD96" s="2791"/>
      <c r="FE96" s="2790">
        <f>EX96</f>
        <v>0.3</v>
      </c>
      <c r="FF96" s="2786"/>
      <c r="FG96" s="2786"/>
      <c r="FH96" s="2786"/>
      <c r="FI96" s="2786"/>
      <c r="FJ96" s="2786"/>
      <c r="FK96" s="2791"/>
      <c r="FL96" s="465"/>
      <c r="FM96" s="465"/>
      <c r="FN96" s="465"/>
      <c r="FO96" s="465"/>
      <c r="FP96" s="465"/>
      <c r="FQ96" s="465"/>
      <c r="FR96" s="465"/>
      <c r="FS96" s="465"/>
    </row>
    <row r="97" spans="9:249" ht="4.1500000000000004" customHeight="1">
      <c r="K97" s="414"/>
      <c r="P97" s="414"/>
      <c r="R97" s="414"/>
      <c r="AW97" s="2577"/>
      <c r="AX97" s="2577"/>
      <c r="AY97" s="2577"/>
      <c r="AZ97" s="2577"/>
      <c r="BA97" s="2577"/>
      <c r="BB97" s="2577"/>
      <c r="BC97" s="2577"/>
      <c r="BD97" s="2577"/>
      <c r="BE97" s="2577"/>
      <c r="BF97" s="2577"/>
      <c r="BG97" s="2577"/>
      <c r="BH97" s="2577"/>
      <c r="BI97" s="2577"/>
      <c r="BJ97" s="2577"/>
      <c r="BK97" s="2577"/>
      <c r="BL97" s="2577"/>
      <c r="BM97" s="2577"/>
      <c r="BN97" s="2577"/>
      <c r="CU97" s="415"/>
      <c r="CW97" s="415"/>
      <c r="DA97" s="2772"/>
      <c r="DB97" s="2772"/>
      <c r="DC97" s="2772"/>
      <c r="DD97" s="2772"/>
      <c r="DI97" s="414"/>
      <c r="DS97" s="2783"/>
      <c r="DT97" s="2783"/>
      <c r="DU97" s="2783"/>
      <c r="DV97" s="2783"/>
      <c r="DW97" s="2783"/>
      <c r="DX97" s="464"/>
      <c r="DY97" s="464"/>
      <c r="DZ97" s="464"/>
      <c r="EA97" s="464"/>
      <c r="EB97" s="464"/>
      <c r="EC97" s="464"/>
      <c r="ED97" s="464"/>
      <c r="EE97" s="464"/>
      <c r="EF97" s="464"/>
      <c r="EG97" s="464"/>
      <c r="EH97" s="464"/>
      <c r="EI97" s="465"/>
      <c r="EJ97" s="465"/>
      <c r="EK97" s="465"/>
      <c r="EL97" s="465"/>
      <c r="EM97" s="465"/>
      <c r="EN97" s="465"/>
      <c r="EO97" s="465"/>
      <c r="EP97" s="465"/>
      <c r="EQ97" s="2790"/>
      <c r="ER97" s="2786"/>
      <c r="ES97" s="2786"/>
      <c r="ET97" s="2786"/>
      <c r="EU97" s="2786"/>
      <c r="EV97" s="2786"/>
      <c r="EW97" s="2791"/>
      <c r="EX97" s="2790"/>
      <c r="EY97" s="2786"/>
      <c r="EZ97" s="2786"/>
      <c r="FA97" s="2786"/>
      <c r="FB97" s="2786"/>
      <c r="FC97" s="2786"/>
      <c r="FD97" s="2791"/>
      <c r="FE97" s="2790"/>
      <c r="FF97" s="2786"/>
      <c r="FG97" s="2786"/>
      <c r="FH97" s="2786"/>
      <c r="FI97" s="2786"/>
      <c r="FJ97" s="2786"/>
      <c r="FK97" s="2791"/>
      <c r="FL97" s="465"/>
      <c r="FM97" s="465"/>
      <c r="FN97" s="465"/>
      <c r="FO97" s="465"/>
      <c r="FP97" s="465"/>
      <c r="FQ97" s="465"/>
      <c r="FR97" s="465"/>
      <c r="FS97" s="465"/>
    </row>
    <row r="98" spans="9:249" ht="4.1500000000000004" customHeight="1">
      <c r="K98" s="414"/>
      <c r="P98" s="414"/>
      <c r="R98" s="414"/>
      <c r="AW98" s="2577"/>
      <c r="AX98" s="2577"/>
      <c r="AY98" s="2577"/>
      <c r="AZ98" s="2577"/>
      <c r="BA98" s="2577"/>
      <c r="BB98" s="2577"/>
      <c r="BC98" s="2577"/>
      <c r="BD98" s="2577"/>
      <c r="BE98" s="2577"/>
      <c r="BF98" s="2577"/>
      <c r="BG98" s="2577"/>
      <c r="BH98" s="2577"/>
      <c r="BI98" s="2577"/>
      <c r="BJ98" s="2577"/>
      <c r="BK98" s="2577"/>
      <c r="BL98" s="2577"/>
      <c r="BM98" s="2577"/>
      <c r="BN98" s="2577"/>
      <c r="CU98" s="415"/>
      <c r="CW98" s="415"/>
      <c r="DA98" s="2772"/>
      <c r="DB98" s="2772"/>
      <c r="DC98" s="2772"/>
      <c r="DD98" s="2772"/>
      <c r="DI98" s="414"/>
      <c r="DS98" s="2783"/>
      <c r="DT98" s="2783"/>
      <c r="DU98" s="2783"/>
      <c r="DV98" s="2783"/>
      <c r="DW98" s="2783"/>
      <c r="DX98" s="464"/>
      <c r="DY98" s="464"/>
      <c r="DZ98" s="464"/>
      <c r="EA98" s="464"/>
      <c r="EB98" s="464"/>
      <c r="EC98" s="464"/>
      <c r="ED98" s="464"/>
      <c r="EE98" s="464"/>
      <c r="EF98" s="464"/>
      <c r="EG98" s="464"/>
      <c r="EH98" s="464"/>
      <c r="EI98" s="465"/>
      <c r="EJ98" s="465"/>
      <c r="EK98" s="465"/>
      <c r="EL98" s="465"/>
      <c r="EM98" s="465"/>
      <c r="EN98" s="465"/>
      <c r="EO98" s="465"/>
      <c r="EP98" s="465"/>
      <c r="EQ98" s="2790"/>
      <c r="ER98" s="2786"/>
      <c r="ES98" s="2786"/>
      <c r="ET98" s="2786"/>
      <c r="EU98" s="2786"/>
      <c r="EV98" s="2786"/>
      <c r="EW98" s="2791"/>
      <c r="EX98" s="2790"/>
      <c r="EY98" s="2786"/>
      <c r="EZ98" s="2786"/>
      <c r="FA98" s="2786"/>
      <c r="FB98" s="2786"/>
      <c r="FC98" s="2786"/>
      <c r="FD98" s="2791"/>
      <c r="FE98" s="2790"/>
      <c r="FF98" s="2786"/>
      <c r="FG98" s="2786"/>
      <c r="FH98" s="2786"/>
      <c r="FI98" s="2786"/>
      <c r="FJ98" s="2786"/>
      <c r="FK98" s="2791"/>
      <c r="FL98" s="465"/>
      <c r="FM98" s="465"/>
      <c r="FN98" s="465"/>
      <c r="FO98" s="465"/>
      <c r="FP98" s="465"/>
      <c r="FQ98" s="465"/>
      <c r="FR98" s="465"/>
      <c r="FS98" s="465"/>
    </row>
    <row r="99" spans="9:249" ht="4.1500000000000004" customHeight="1">
      <c r="K99" s="414"/>
      <c r="P99" s="414"/>
      <c r="R99" s="414"/>
      <c r="BF99" s="439"/>
      <c r="BG99" s="440"/>
      <c r="CU99" s="415"/>
      <c r="CW99" s="415"/>
      <c r="DA99" s="2772"/>
      <c r="DB99" s="2772"/>
      <c r="DC99" s="2772"/>
      <c r="DD99" s="2772"/>
      <c r="DI99" s="414"/>
      <c r="DS99" s="2784"/>
      <c r="DT99" s="2784"/>
      <c r="DU99" s="2784"/>
      <c r="DV99" s="2784"/>
      <c r="DW99" s="2784"/>
      <c r="DX99" s="466"/>
      <c r="DY99" s="466"/>
      <c r="DZ99" s="466"/>
      <c r="EA99" s="466"/>
      <c r="EB99" s="466"/>
      <c r="EC99" s="466"/>
      <c r="ED99" s="466"/>
      <c r="EE99" s="466"/>
      <c r="EF99" s="466"/>
      <c r="EG99" s="466"/>
      <c r="EH99" s="466"/>
      <c r="EI99" s="465"/>
      <c r="EJ99" s="465"/>
      <c r="EK99" s="465"/>
      <c r="EL99" s="465"/>
      <c r="EM99" s="465"/>
      <c r="EN99" s="465"/>
      <c r="EO99" s="465"/>
      <c r="EP99" s="465"/>
      <c r="EQ99" s="465"/>
      <c r="ER99" s="465"/>
      <c r="ES99" s="465"/>
      <c r="ET99" s="465"/>
      <c r="EU99" s="465"/>
      <c r="EV99" s="465"/>
      <c r="EW99" s="465"/>
      <c r="EX99" s="465"/>
      <c r="EY99" s="465"/>
      <c r="EZ99" s="465"/>
      <c r="FA99" s="465"/>
      <c r="FB99" s="465"/>
      <c r="FC99" s="465"/>
      <c r="FD99" s="465"/>
      <c r="FE99" s="465"/>
      <c r="FF99" s="465"/>
      <c r="FG99" s="465"/>
      <c r="FH99" s="465"/>
      <c r="FI99" s="465"/>
      <c r="FJ99" s="465"/>
      <c r="FK99" s="465"/>
      <c r="FL99" s="465"/>
      <c r="FM99" s="465"/>
      <c r="FN99" s="465"/>
      <c r="FO99" s="465"/>
      <c r="FP99" s="465"/>
      <c r="FQ99" s="465"/>
      <c r="FR99" s="465"/>
      <c r="FS99" s="465"/>
    </row>
    <row r="100" spans="9:249" ht="4.1500000000000004" customHeight="1">
      <c r="K100" s="414"/>
      <c r="P100" s="414"/>
      <c r="R100" s="414"/>
      <c r="BF100" s="439"/>
      <c r="BG100" s="440"/>
      <c r="CU100" s="415"/>
      <c r="CW100" s="415"/>
      <c r="DA100" s="2772"/>
      <c r="DB100" s="2772"/>
      <c r="DC100" s="2772"/>
      <c r="DD100" s="2772"/>
      <c r="DI100" s="414"/>
      <c r="DS100" s="464"/>
      <c r="DT100" s="464"/>
      <c r="DU100" s="464"/>
      <c r="DV100" s="464"/>
      <c r="DW100" s="464"/>
      <c r="DX100" s="464"/>
      <c r="DY100" s="464"/>
      <c r="DZ100" s="464"/>
      <c r="EA100" s="464"/>
      <c r="EB100" s="464"/>
      <c r="EC100" s="464"/>
      <c r="ED100" s="464"/>
      <c r="EE100" s="464"/>
      <c r="EF100" s="464"/>
      <c r="EG100" s="464"/>
      <c r="EH100" s="464"/>
      <c r="EI100" s="467"/>
      <c r="EJ100" s="467"/>
      <c r="EK100" s="467"/>
      <c r="EL100" s="467"/>
      <c r="EM100" s="467"/>
      <c r="EN100" s="467"/>
      <c r="EO100" s="467"/>
      <c r="EP100" s="468"/>
      <c r="EQ100" s="465"/>
      <c r="ER100" s="465"/>
      <c r="ES100" s="465"/>
      <c r="ET100" s="465"/>
      <c r="EU100" s="465"/>
      <c r="EV100" s="465"/>
      <c r="EW100" s="465"/>
      <c r="EX100" s="465"/>
      <c r="EY100" s="465"/>
      <c r="EZ100" s="465"/>
      <c r="FA100" s="465"/>
      <c r="FB100" s="465"/>
      <c r="FC100" s="465"/>
      <c r="FD100" s="465"/>
      <c r="FE100" s="465"/>
      <c r="FF100" s="465"/>
      <c r="FG100" s="465"/>
      <c r="FH100" s="465"/>
      <c r="FI100" s="465"/>
      <c r="FJ100" s="465"/>
      <c r="FK100" s="2785">
        <v>0.15</v>
      </c>
      <c r="FL100" s="2785"/>
      <c r="FM100" s="2785"/>
      <c r="FN100" s="2785"/>
      <c r="FO100" s="2785"/>
      <c r="FP100" s="2785"/>
      <c r="FQ100" s="2785"/>
      <c r="FR100" s="2785"/>
      <c r="FS100" s="2785"/>
    </row>
    <row r="101" spans="9:249" ht="4.1500000000000004" customHeight="1">
      <c r="K101" s="414"/>
      <c r="P101" s="414"/>
      <c r="R101" s="414"/>
      <c r="BF101" s="439"/>
      <c r="BG101" s="440"/>
      <c r="CU101" s="415"/>
      <c r="CW101" s="415"/>
      <c r="DA101" s="2772"/>
      <c r="DB101" s="2772"/>
      <c r="DC101" s="2772"/>
      <c r="DD101" s="2772"/>
      <c r="DI101" s="414"/>
      <c r="DS101" s="464"/>
      <c r="DT101" s="464"/>
      <c r="DU101" s="464"/>
      <c r="DV101" s="464"/>
      <c r="DW101" s="464"/>
      <c r="DX101" s="464"/>
      <c r="DY101" s="464"/>
      <c r="DZ101" s="464"/>
      <c r="EA101" s="464"/>
      <c r="EB101" s="464"/>
      <c r="EC101" s="464"/>
      <c r="ED101" s="464"/>
      <c r="EE101" s="464"/>
      <c r="EF101" s="464"/>
      <c r="EG101" s="464"/>
      <c r="EH101" s="464"/>
      <c r="EI101" s="465"/>
      <c r="EJ101" s="465"/>
      <c r="EK101" s="465"/>
      <c r="EL101" s="465"/>
      <c r="EM101" s="465"/>
      <c r="EN101" s="465"/>
      <c r="EO101" s="465"/>
      <c r="EP101" s="469"/>
      <c r="EQ101" s="465"/>
      <c r="ER101" s="465"/>
      <c r="ES101" s="465"/>
      <c r="ET101" s="465"/>
      <c r="EU101" s="465"/>
      <c r="EV101" s="465"/>
      <c r="EW101" s="465"/>
      <c r="EX101" s="465"/>
      <c r="EY101" s="465"/>
      <c r="EZ101" s="465"/>
      <c r="FA101" s="465"/>
      <c r="FB101" s="465"/>
      <c r="FC101" s="465"/>
      <c r="FD101" s="465"/>
      <c r="FE101" s="465"/>
      <c r="FF101" s="465"/>
      <c r="FG101" s="465"/>
      <c r="FH101" s="465"/>
      <c r="FI101" s="465"/>
      <c r="FJ101" s="465"/>
      <c r="FK101" s="2786"/>
      <c r="FL101" s="2786"/>
      <c r="FM101" s="2786"/>
      <c r="FN101" s="2786"/>
      <c r="FO101" s="2786"/>
      <c r="FP101" s="2786"/>
      <c r="FQ101" s="2786"/>
      <c r="FR101" s="2786"/>
      <c r="FS101" s="2786"/>
      <c r="GQ101" s="2789" t="s">
        <v>1949</v>
      </c>
      <c r="GR101" s="2789"/>
      <c r="GS101" s="2789"/>
      <c r="GT101" s="2789"/>
      <c r="GU101" s="2789"/>
      <c r="GV101" s="2789"/>
      <c r="GW101" s="2789"/>
      <c r="GX101" s="2789"/>
      <c r="GY101" s="2789"/>
      <c r="GZ101" s="2789"/>
      <c r="HA101" s="2789"/>
      <c r="HB101" s="2789"/>
      <c r="HC101" s="2789"/>
      <c r="HD101" s="2789"/>
      <c r="HE101" s="2789"/>
      <c r="HF101" s="2789"/>
      <c r="HG101" s="2789"/>
      <c r="HH101" s="2789"/>
      <c r="HI101" s="2789"/>
      <c r="HJ101" s="2789"/>
      <c r="HK101" s="2789"/>
      <c r="HL101" s="2789"/>
      <c r="HM101" s="2789"/>
      <c r="HN101" s="2789"/>
      <c r="HO101" s="2789"/>
      <c r="HP101" s="2789"/>
      <c r="HQ101" s="2789"/>
      <c r="HR101" s="2789"/>
      <c r="HS101" s="2789"/>
      <c r="HT101" s="2789"/>
      <c r="HU101" s="2789"/>
      <c r="HV101" s="2789"/>
      <c r="HW101" s="2789"/>
      <c r="HX101" s="2789"/>
      <c r="HY101" s="2789"/>
      <c r="HZ101" s="2789"/>
      <c r="IA101" s="2789"/>
      <c r="IB101" s="2789"/>
      <c r="IC101" s="2789"/>
      <c r="ID101" s="2789"/>
      <c r="IE101" s="2789"/>
      <c r="IF101" s="2789"/>
      <c r="IG101" s="2789"/>
      <c r="IH101" s="2789"/>
      <c r="II101" s="2789"/>
      <c r="IJ101" s="2789"/>
      <c r="IK101" s="2789"/>
      <c r="IL101" s="2789"/>
      <c r="IM101" s="2789"/>
      <c r="IN101" s="2789"/>
      <c r="IO101" s="2789"/>
    </row>
    <row r="102" spans="9:249" ht="4.1500000000000004" customHeight="1">
      <c r="K102" s="414"/>
      <c r="P102" s="414"/>
      <c r="R102" s="414"/>
      <c r="BF102" s="439"/>
      <c r="BG102" s="440"/>
      <c r="CU102" s="415"/>
      <c r="CW102" s="415"/>
      <c r="DA102" s="2772"/>
      <c r="DB102" s="2772"/>
      <c r="DC102" s="2772"/>
      <c r="DD102" s="2772"/>
      <c r="DI102" s="414"/>
      <c r="DS102" s="464"/>
      <c r="DT102" s="464"/>
      <c r="DU102" s="464"/>
      <c r="DV102" s="464"/>
      <c r="DW102" s="464"/>
      <c r="DX102" s="464"/>
      <c r="DY102" s="464"/>
      <c r="DZ102" s="464"/>
      <c r="EA102" s="464"/>
      <c r="EB102" s="464"/>
      <c r="EC102" s="464"/>
      <c r="ED102" s="464"/>
      <c r="EE102" s="464"/>
      <c r="EF102" s="464"/>
      <c r="EG102" s="464"/>
      <c r="EH102" s="464"/>
      <c r="EI102" s="465"/>
      <c r="EJ102" s="465"/>
      <c r="EK102" s="465"/>
      <c r="EL102" s="465"/>
      <c r="EM102" s="465"/>
      <c r="EN102" s="465"/>
      <c r="EO102" s="465"/>
      <c r="EP102" s="469"/>
      <c r="EQ102" s="465"/>
      <c r="ER102" s="465"/>
      <c r="ES102" s="465"/>
      <c r="ET102" s="465"/>
      <c r="EU102" s="465"/>
      <c r="EV102" s="465"/>
      <c r="EW102" s="465"/>
      <c r="EX102" s="465"/>
      <c r="EY102" s="465"/>
      <c r="EZ102" s="465"/>
      <c r="FA102" s="465"/>
      <c r="FB102" s="465"/>
      <c r="FC102" s="465"/>
      <c r="FD102" s="465"/>
      <c r="FE102" s="465"/>
      <c r="FF102" s="465"/>
      <c r="FG102" s="465"/>
      <c r="FH102" s="465"/>
      <c r="FI102" s="465"/>
      <c r="FJ102" s="465"/>
      <c r="FK102" s="2787"/>
      <c r="FL102" s="2787"/>
      <c r="FM102" s="2787"/>
      <c r="FN102" s="2787"/>
      <c r="FO102" s="2787"/>
      <c r="FP102" s="2787"/>
      <c r="FQ102" s="2787"/>
      <c r="FR102" s="2787"/>
      <c r="FS102" s="2787"/>
      <c r="GQ102" s="2789"/>
      <c r="GR102" s="2789"/>
      <c r="GS102" s="2789"/>
      <c r="GT102" s="2789"/>
      <c r="GU102" s="2789"/>
      <c r="GV102" s="2789"/>
      <c r="GW102" s="2789"/>
      <c r="GX102" s="2789"/>
      <c r="GY102" s="2789"/>
      <c r="GZ102" s="2789"/>
      <c r="HA102" s="2789"/>
      <c r="HB102" s="2789"/>
      <c r="HC102" s="2789"/>
      <c r="HD102" s="2789"/>
      <c r="HE102" s="2789"/>
      <c r="HF102" s="2789"/>
      <c r="HG102" s="2789"/>
      <c r="HH102" s="2789"/>
      <c r="HI102" s="2789"/>
      <c r="HJ102" s="2789"/>
      <c r="HK102" s="2789"/>
      <c r="HL102" s="2789"/>
      <c r="HM102" s="2789"/>
      <c r="HN102" s="2789"/>
      <c r="HO102" s="2789"/>
      <c r="HP102" s="2789"/>
      <c r="HQ102" s="2789"/>
      <c r="HR102" s="2789"/>
      <c r="HS102" s="2789"/>
      <c r="HT102" s="2789"/>
      <c r="HU102" s="2789"/>
      <c r="HV102" s="2789"/>
      <c r="HW102" s="2789"/>
      <c r="HX102" s="2789"/>
      <c r="HY102" s="2789"/>
      <c r="HZ102" s="2789"/>
      <c r="IA102" s="2789"/>
      <c r="IB102" s="2789"/>
      <c r="IC102" s="2789"/>
      <c r="ID102" s="2789"/>
      <c r="IE102" s="2789"/>
      <c r="IF102" s="2789"/>
      <c r="IG102" s="2789"/>
      <c r="IH102" s="2789"/>
      <c r="II102" s="2789"/>
      <c r="IJ102" s="2789"/>
      <c r="IK102" s="2789"/>
      <c r="IL102" s="2789"/>
      <c r="IM102" s="2789"/>
      <c r="IN102" s="2789"/>
      <c r="IO102" s="2789"/>
    </row>
    <row r="103" spans="9:249" ht="4.1500000000000004" customHeight="1">
      <c r="K103" s="414"/>
      <c r="P103" s="414"/>
      <c r="R103" s="414"/>
      <c r="BF103" s="439"/>
      <c r="BG103" s="440"/>
      <c r="CU103" s="415"/>
      <c r="CW103" s="415"/>
      <c r="DC103" s="414"/>
      <c r="DG103" s="2771">
        <f>DA93+DA120</f>
        <v>5.65</v>
      </c>
      <c r="DH103" s="2772"/>
      <c r="DI103" s="2772"/>
      <c r="DJ103" s="2772"/>
      <c r="DS103" s="464"/>
      <c r="DT103" s="464"/>
      <c r="DU103" s="464"/>
      <c r="DV103" s="464"/>
      <c r="DW103" s="464"/>
      <c r="DX103" s="464"/>
      <c r="DY103" s="464"/>
      <c r="DZ103" s="464"/>
      <c r="EA103" s="464"/>
      <c r="EB103" s="464"/>
      <c r="EC103" s="464"/>
      <c r="ED103" s="464"/>
      <c r="EE103" s="464"/>
      <c r="EF103" s="464"/>
      <c r="EG103" s="464"/>
      <c r="EH103" s="464"/>
      <c r="EI103" s="465"/>
      <c r="EJ103" s="465"/>
      <c r="EK103" s="465"/>
      <c r="EL103" s="465"/>
      <c r="EM103" s="465"/>
      <c r="EN103" s="465"/>
      <c r="EO103" s="465"/>
      <c r="EP103" s="469"/>
      <c r="EQ103" s="470"/>
      <c r="ER103" s="467"/>
      <c r="ES103" s="467"/>
      <c r="ET103" s="467"/>
      <c r="EU103" s="467"/>
      <c r="EV103" s="467"/>
      <c r="EW103" s="468"/>
      <c r="EX103" s="465"/>
      <c r="EY103" s="465"/>
      <c r="EZ103" s="465"/>
      <c r="FA103" s="465"/>
      <c r="FB103" s="465"/>
      <c r="FC103" s="465"/>
      <c r="FD103" s="465"/>
      <c r="FE103" s="465"/>
      <c r="FF103" s="465"/>
      <c r="FG103" s="465"/>
      <c r="FH103" s="465"/>
      <c r="FI103" s="465"/>
      <c r="FJ103" s="465"/>
      <c r="FK103" s="2785">
        <f>FK100</f>
        <v>0.15</v>
      </c>
      <c r="FL103" s="2785"/>
      <c r="FM103" s="2785"/>
      <c r="FN103" s="2785"/>
      <c r="FO103" s="2785"/>
      <c r="FP103" s="2785"/>
      <c r="FQ103" s="2785"/>
      <c r="FR103" s="2785"/>
      <c r="FS103" s="2785"/>
      <c r="GQ103" s="2789"/>
      <c r="GR103" s="2789"/>
      <c r="GS103" s="2789"/>
      <c r="GT103" s="2789"/>
      <c r="GU103" s="2789"/>
      <c r="GV103" s="2789"/>
      <c r="GW103" s="2789"/>
      <c r="GX103" s="2789"/>
      <c r="GY103" s="2789"/>
      <c r="GZ103" s="2789"/>
      <c r="HA103" s="2789"/>
      <c r="HB103" s="2789"/>
      <c r="HC103" s="2789"/>
      <c r="HD103" s="2789"/>
      <c r="HE103" s="2789"/>
      <c r="HF103" s="2789"/>
      <c r="HG103" s="2789"/>
      <c r="HH103" s="2789"/>
      <c r="HI103" s="2789"/>
      <c r="HJ103" s="2789"/>
      <c r="HK103" s="2789"/>
      <c r="HL103" s="2789"/>
      <c r="HM103" s="2789"/>
      <c r="HN103" s="2789"/>
      <c r="HO103" s="2789"/>
      <c r="HP103" s="2789"/>
      <c r="HQ103" s="2789"/>
      <c r="HR103" s="2789"/>
      <c r="HS103" s="2789"/>
      <c r="HT103" s="2789"/>
      <c r="HU103" s="2789"/>
      <c r="HV103" s="2789"/>
      <c r="HW103" s="2789"/>
      <c r="HX103" s="2789"/>
      <c r="HY103" s="2789"/>
      <c r="HZ103" s="2789"/>
      <c r="IA103" s="2789"/>
      <c r="IB103" s="2789"/>
      <c r="IC103" s="2789"/>
      <c r="ID103" s="2789"/>
      <c r="IE103" s="2789"/>
      <c r="IF103" s="2789"/>
      <c r="IG103" s="2789"/>
      <c r="IH103" s="2789"/>
      <c r="II103" s="2789"/>
      <c r="IJ103" s="2789"/>
      <c r="IK103" s="2789"/>
      <c r="IL103" s="2789"/>
      <c r="IM103" s="2789"/>
      <c r="IN103" s="2789"/>
      <c r="IO103" s="2789"/>
    </row>
    <row r="104" spans="9:249" ht="4.1500000000000004" customHeight="1">
      <c r="I104" s="2771">
        <f>DG103+CV85</f>
        <v>5.9</v>
      </c>
      <c r="J104" s="2772"/>
      <c r="K104" s="2772"/>
      <c r="L104" s="2772"/>
      <c r="P104" s="414"/>
      <c r="R104" s="414"/>
      <c r="BF104" s="439"/>
      <c r="BG104" s="440"/>
      <c r="CU104" s="415"/>
      <c r="CW104" s="415"/>
      <c r="DC104" s="414"/>
      <c r="DG104" s="2772"/>
      <c r="DH104" s="2772"/>
      <c r="DI104" s="2772"/>
      <c r="DJ104" s="2772"/>
      <c r="DS104" s="464"/>
      <c r="DT104" s="464"/>
      <c r="DU104" s="464"/>
      <c r="DV104" s="464"/>
      <c r="DW104" s="464"/>
      <c r="DX104" s="464"/>
      <c r="DY104" s="464"/>
      <c r="DZ104" s="464"/>
      <c r="EA104" s="464"/>
      <c r="EB104" s="464"/>
      <c r="EC104" s="464"/>
      <c r="ED104" s="464"/>
      <c r="EE104" s="464"/>
      <c r="EF104" s="464"/>
      <c r="EG104" s="464"/>
      <c r="EH104" s="464"/>
      <c r="EI104" s="465"/>
      <c r="EJ104" s="465"/>
      <c r="EK104" s="465"/>
      <c r="EL104" s="465"/>
      <c r="EM104" s="465"/>
      <c r="EN104" s="465"/>
      <c r="EO104" s="465"/>
      <c r="EP104" s="469"/>
      <c r="EQ104" s="471"/>
      <c r="ER104" s="465"/>
      <c r="ES104" s="465"/>
      <c r="ET104" s="465"/>
      <c r="EU104" s="465"/>
      <c r="EV104" s="465"/>
      <c r="EW104" s="469"/>
      <c r="EX104" s="465"/>
      <c r="EY104" s="465"/>
      <c r="EZ104" s="465"/>
      <c r="FA104" s="465"/>
      <c r="FB104" s="465"/>
      <c r="FC104" s="465"/>
      <c r="FD104" s="465"/>
      <c r="FE104" s="465"/>
      <c r="FF104" s="465"/>
      <c r="FG104" s="465"/>
      <c r="FH104" s="465"/>
      <c r="FI104" s="465"/>
      <c r="FJ104" s="465"/>
      <c r="FK104" s="2786"/>
      <c r="FL104" s="2786"/>
      <c r="FM104" s="2786"/>
      <c r="FN104" s="2786"/>
      <c r="FO104" s="2786"/>
      <c r="FP104" s="2786"/>
      <c r="FQ104" s="2786"/>
      <c r="FR104" s="2786"/>
      <c r="FS104" s="2786"/>
      <c r="GQ104" s="2789"/>
      <c r="GR104" s="2789"/>
      <c r="GS104" s="2789"/>
      <c r="GT104" s="2789"/>
      <c r="GU104" s="2789"/>
      <c r="GV104" s="2789"/>
      <c r="GW104" s="2789"/>
      <c r="GX104" s="2789"/>
      <c r="GY104" s="2789"/>
      <c r="GZ104" s="2789"/>
      <c r="HA104" s="2789"/>
      <c r="HB104" s="2789"/>
      <c r="HC104" s="2789"/>
      <c r="HD104" s="2789"/>
      <c r="HE104" s="2789"/>
      <c r="HF104" s="2789"/>
      <c r="HG104" s="2789"/>
      <c r="HH104" s="2789"/>
      <c r="HI104" s="2789"/>
      <c r="HJ104" s="2789"/>
      <c r="HK104" s="2789"/>
      <c r="HL104" s="2789"/>
      <c r="HM104" s="2789"/>
      <c r="HN104" s="2789"/>
      <c r="HO104" s="2789"/>
      <c r="HP104" s="2789"/>
      <c r="HQ104" s="2789"/>
      <c r="HR104" s="2789"/>
      <c r="HS104" s="2789"/>
      <c r="HT104" s="2789"/>
      <c r="HU104" s="2789"/>
      <c r="HV104" s="2789"/>
      <c r="HW104" s="2789"/>
      <c r="HX104" s="2789"/>
      <c r="HY104" s="2789"/>
      <c r="HZ104" s="2789"/>
      <c r="IA104" s="2789"/>
      <c r="IB104" s="2789"/>
      <c r="IC104" s="2789"/>
      <c r="ID104" s="2789"/>
      <c r="IE104" s="2789"/>
      <c r="IF104" s="2789"/>
      <c r="IG104" s="2789"/>
      <c r="IH104" s="2789"/>
      <c r="II104" s="2789"/>
      <c r="IJ104" s="2789"/>
      <c r="IK104" s="2789"/>
      <c r="IL104" s="2789"/>
      <c r="IM104" s="2789"/>
      <c r="IN104" s="2789"/>
      <c r="IO104" s="2789"/>
    </row>
    <row r="105" spans="9:249" ht="4.1500000000000004" customHeight="1">
      <c r="I105" s="2772"/>
      <c r="J105" s="2772"/>
      <c r="K105" s="2772"/>
      <c r="L105" s="2772"/>
      <c r="P105" s="414"/>
      <c r="R105" s="414"/>
      <c r="BF105" s="439"/>
      <c r="BG105" s="440"/>
      <c r="CU105" s="415"/>
      <c r="CW105" s="415"/>
      <c r="DC105" s="414"/>
      <c r="DG105" s="2772"/>
      <c r="DH105" s="2772"/>
      <c r="DI105" s="2772"/>
      <c r="DJ105" s="2772"/>
      <c r="DS105" s="464"/>
      <c r="DT105" s="464"/>
      <c r="DU105" s="464"/>
      <c r="DV105" s="464"/>
      <c r="DW105" s="464"/>
      <c r="DX105" s="464"/>
      <c r="DY105" s="464"/>
      <c r="DZ105" s="464"/>
      <c r="EA105" s="464"/>
      <c r="EB105" s="464"/>
      <c r="EC105" s="464"/>
      <c r="ED105" s="464"/>
      <c r="EE105" s="464"/>
      <c r="EF105" s="464"/>
      <c r="EG105" s="464"/>
      <c r="EH105" s="464"/>
      <c r="EI105" s="465"/>
      <c r="EJ105" s="465"/>
      <c r="EK105" s="465"/>
      <c r="EL105" s="465"/>
      <c r="EM105" s="465"/>
      <c r="EN105" s="465"/>
      <c r="EO105" s="465"/>
      <c r="EP105" s="469"/>
      <c r="EQ105" s="471"/>
      <c r="ER105" s="465"/>
      <c r="ES105" s="465"/>
      <c r="ET105" s="465"/>
      <c r="EU105" s="465"/>
      <c r="EV105" s="465"/>
      <c r="EW105" s="469"/>
      <c r="EX105" s="465"/>
      <c r="EY105" s="465"/>
      <c r="EZ105" s="465"/>
      <c r="FA105" s="465"/>
      <c r="FB105" s="465"/>
      <c r="FC105" s="465"/>
      <c r="FD105" s="465"/>
      <c r="FE105" s="465"/>
      <c r="FF105" s="465"/>
      <c r="FG105" s="465"/>
      <c r="FH105" s="465"/>
      <c r="FI105" s="465"/>
      <c r="FJ105" s="465"/>
      <c r="FK105" s="2787"/>
      <c r="FL105" s="2787"/>
      <c r="FM105" s="2787"/>
      <c r="FN105" s="2787"/>
      <c r="FO105" s="2787"/>
      <c r="FP105" s="2787"/>
      <c r="FQ105" s="2787"/>
      <c r="FR105" s="2787"/>
      <c r="FS105" s="2787"/>
      <c r="GQ105" s="2779" t="s">
        <v>291</v>
      </c>
      <c r="GR105" s="2779"/>
      <c r="GS105" s="2779"/>
      <c r="GT105" s="2779"/>
      <c r="GU105" s="2779"/>
      <c r="GV105" s="2779"/>
      <c r="GW105" s="2779"/>
      <c r="GX105" s="2779"/>
      <c r="GY105" s="2779"/>
      <c r="GZ105" s="2779"/>
      <c r="HA105" s="2779"/>
      <c r="HB105" s="2779"/>
      <c r="HC105" s="2780">
        <v>2</v>
      </c>
      <c r="HD105" s="2780"/>
      <c r="HE105" s="2780"/>
      <c r="HF105" s="2780"/>
      <c r="HG105" s="2780"/>
      <c r="HH105" s="2780"/>
      <c r="HI105" s="2780"/>
      <c r="HJ105" s="2780"/>
      <c r="HK105" s="2780"/>
      <c r="HL105" s="2780"/>
      <c r="HM105" s="2780"/>
      <c r="HN105" s="2779" t="s">
        <v>901</v>
      </c>
      <c r="HO105" s="2779"/>
      <c r="HP105" s="2779"/>
      <c r="HQ105" s="2779"/>
      <c r="HR105" s="2781">
        <v>1.05</v>
      </c>
      <c r="HS105" s="2781"/>
      <c r="HT105" s="2781"/>
      <c r="HU105" s="2781"/>
      <c r="HV105" s="2781"/>
      <c r="HW105" s="2781"/>
      <c r="HX105" s="2781"/>
      <c r="HY105" s="2781"/>
      <c r="HZ105" s="2781"/>
      <c r="IA105" s="2781"/>
      <c r="IB105" s="2781"/>
      <c r="IC105" s="2779" t="s">
        <v>901</v>
      </c>
      <c r="ID105" s="2779"/>
      <c r="IE105" s="2779"/>
      <c r="IF105" s="2779"/>
      <c r="IG105" s="2781">
        <v>2.1</v>
      </c>
      <c r="IH105" s="2781"/>
      <c r="II105" s="2781"/>
      <c r="IJ105" s="2781"/>
      <c r="IK105" s="2781"/>
      <c r="IL105" s="2781"/>
      <c r="IM105" s="2781"/>
      <c r="IN105" s="2781"/>
      <c r="IO105" s="2781"/>
    </row>
    <row r="106" spans="9:249" ht="4.1500000000000004" customHeight="1">
      <c r="I106" s="2772"/>
      <c r="J106" s="2772"/>
      <c r="K106" s="2772"/>
      <c r="L106" s="2772"/>
      <c r="P106" s="414"/>
      <c r="R106" s="414"/>
      <c r="BF106" s="439"/>
      <c r="BG106" s="440"/>
      <c r="CU106" s="415"/>
      <c r="CW106" s="415"/>
      <c r="DC106" s="414"/>
      <c r="DG106" s="2772"/>
      <c r="DH106" s="2772"/>
      <c r="DI106" s="2772"/>
      <c r="DJ106" s="2772"/>
      <c r="DS106" s="464"/>
      <c r="DT106" s="464"/>
      <c r="DU106" s="464"/>
      <c r="DV106" s="464"/>
      <c r="DW106" s="464"/>
      <c r="DX106" s="464"/>
      <c r="DY106" s="464"/>
      <c r="DZ106" s="464"/>
      <c r="EA106" s="464"/>
      <c r="EB106" s="464"/>
      <c r="EC106" s="464"/>
      <c r="ED106" s="2783" t="s">
        <v>2980</v>
      </c>
      <c r="EE106" s="2783"/>
      <c r="EF106" s="2783"/>
      <c r="EG106" s="2783"/>
      <c r="EH106" s="2783"/>
      <c r="EI106" s="2783"/>
      <c r="EJ106" s="465"/>
      <c r="EK106" s="465"/>
      <c r="EL106" s="465"/>
      <c r="EM106" s="465"/>
      <c r="EN106" s="465"/>
      <c r="EO106" s="465"/>
      <c r="EP106" s="465"/>
      <c r="EQ106" s="471"/>
      <c r="ER106" s="465"/>
      <c r="ES106" s="465"/>
      <c r="ET106" s="465"/>
      <c r="EU106" s="465"/>
      <c r="EV106" s="465"/>
      <c r="EW106" s="465"/>
      <c r="EX106" s="467"/>
      <c r="EY106" s="467"/>
      <c r="EZ106" s="467"/>
      <c r="FA106" s="467"/>
      <c r="FB106" s="467"/>
      <c r="FC106" s="467"/>
      <c r="FD106" s="468"/>
      <c r="FE106" s="465"/>
      <c r="FF106" s="465"/>
      <c r="FG106" s="465"/>
      <c r="FH106" s="465"/>
      <c r="FI106" s="465"/>
      <c r="FJ106" s="465"/>
      <c r="FK106" s="2785">
        <f>FK103</f>
        <v>0.15</v>
      </c>
      <c r="FL106" s="2785"/>
      <c r="FM106" s="2785"/>
      <c r="FN106" s="2785"/>
      <c r="FO106" s="2785"/>
      <c r="FP106" s="2785"/>
      <c r="FQ106" s="2785"/>
      <c r="FR106" s="2785"/>
      <c r="FS106" s="2785"/>
      <c r="GQ106" s="2779"/>
      <c r="GR106" s="2779"/>
      <c r="GS106" s="2779"/>
      <c r="GT106" s="2779"/>
      <c r="GU106" s="2779"/>
      <c r="GV106" s="2779"/>
      <c r="GW106" s="2779"/>
      <c r="GX106" s="2779"/>
      <c r="GY106" s="2779"/>
      <c r="GZ106" s="2779"/>
      <c r="HA106" s="2779"/>
      <c r="HB106" s="2779"/>
      <c r="HC106" s="2780"/>
      <c r="HD106" s="2780"/>
      <c r="HE106" s="2780"/>
      <c r="HF106" s="2780"/>
      <c r="HG106" s="2780"/>
      <c r="HH106" s="2780"/>
      <c r="HI106" s="2780"/>
      <c r="HJ106" s="2780"/>
      <c r="HK106" s="2780"/>
      <c r="HL106" s="2780"/>
      <c r="HM106" s="2780"/>
      <c r="HN106" s="2779"/>
      <c r="HO106" s="2779"/>
      <c r="HP106" s="2779"/>
      <c r="HQ106" s="2779"/>
      <c r="HR106" s="2781"/>
      <c r="HS106" s="2781"/>
      <c r="HT106" s="2781"/>
      <c r="HU106" s="2781"/>
      <c r="HV106" s="2781"/>
      <c r="HW106" s="2781"/>
      <c r="HX106" s="2781"/>
      <c r="HY106" s="2781"/>
      <c r="HZ106" s="2781"/>
      <c r="IA106" s="2781"/>
      <c r="IB106" s="2781"/>
      <c r="IC106" s="2779"/>
      <c r="ID106" s="2779"/>
      <c r="IE106" s="2779"/>
      <c r="IF106" s="2779"/>
      <c r="IG106" s="2781"/>
      <c r="IH106" s="2781"/>
      <c r="II106" s="2781"/>
      <c r="IJ106" s="2781"/>
      <c r="IK106" s="2781"/>
      <c r="IL106" s="2781"/>
      <c r="IM106" s="2781"/>
      <c r="IN106" s="2781"/>
      <c r="IO106" s="2781"/>
    </row>
    <row r="107" spans="9:249" ht="4.1500000000000004" customHeight="1">
      <c r="I107" s="2772"/>
      <c r="J107" s="2772"/>
      <c r="K107" s="2772"/>
      <c r="L107" s="2772"/>
      <c r="P107" s="414"/>
      <c r="R107" s="414"/>
      <c r="BF107" s="439"/>
      <c r="BG107" s="440"/>
      <c r="CU107" s="415"/>
      <c r="CW107" s="415"/>
      <c r="DC107" s="414"/>
      <c r="DG107" s="2772"/>
      <c r="DH107" s="2772"/>
      <c r="DI107" s="2772"/>
      <c r="DJ107" s="2772"/>
      <c r="DS107" s="464"/>
      <c r="DT107" s="464"/>
      <c r="DU107" s="464"/>
      <c r="DV107" s="464"/>
      <c r="DW107" s="464"/>
      <c r="DX107" s="464"/>
      <c r="DY107" s="464"/>
      <c r="DZ107" s="464"/>
      <c r="EA107" s="464"/>
      <c r="EB107" s="464"/>
      <c r="EC107" s="464"/>
      <c r="ED107" s="2783"/>
      <c r="EE107" s="2783"/>
      <c r="EF107" s="2783"/>
      <c r="EG107" s="2783"/>
      <c r="EH107" s="2783"/>
      <c r="EI107" s="2783"/>
      <c r="EJ107" s="465"/>
      <c r="EK107" s="465"/>
      <c r="EL107" s="465"/>
      <c r="EM107" s="465"/>
      <c r="EN107" s="465"/>
      <c r="EO107" s="465"/>
      <c r="EP107" s="469"/>
      <c r="EQ107" s="465"/>
      <c r="ER107" s="465"/>
      <c r="ES107" s="465"/>
      <c r="ET107" s="465"/>
      <c r="EU107" s="465"/>
      <c r="EV107" s="465"/>
      <c r="EW107" s="465"/>
      <c r="EX107" s="465"/>
      <c r="EY107" s="465"/>
      <c r="EZ107" s="465"/>
      <c r="FA107" s="465"/>
      <c r="FB107" s="465"/>
      <c r="FC107" s="465"/>
      <c r="FD107" s="469"/>
      <c r="FE107" s="465"/>
      <c r="FF107" s="465"/>
      <c r="FG107" s="465"/>
      <c r="FH107" s="465"/>
      <c r="FI107" s="465"/>
      <c r="FJ107" s="465"/>
      <c r="FK107" s="2786"/>
      <c r="FL107" s="2786"/>
      <c r="FM107" s="2786"/>
      <c r="FN107" s="2786"/>
      <c r="FO107" s="2786"/>
      <c r="FP107" s="2786"/>
      <c r="FQ107" s="2786"/>
      <c r="FR107" s="2786"/>
      <c r="FS107" s="2786"/>
      <c r="GQ107" s="2779"/>
      <c r="GR107" s="2779"/>
      <c r="GS107" s="2779"/>
      <c r="GT107" s="2779"/>
      <c r="GU107" s="2779"/>
      <c r="GV107" s="2779"/>
      <c r="GW107" s="2779"/>
      <c r="GX107" s="2779"/>
      <c r="GY107" s="2779"/>
      <c r="GZ107" s="2779"/>
      <c r="HA107" s="2779"/>
      <c r="HB107" s="2779"/>
      <c r="HC107" s="2780"/>
      <c r="HD107" s="2780"/>
      <c r="HE107" s="2780"/>
      <c r="HF107" s="2780"/>
      <c r="HG107" s="2780"/>
      <c r="HH107" s="2780"/>
      <c r="HI107" s="2780"/>
      <c r="HJ107" s="2780"/>
      <c r="HK107" s="2780"/>
      <c r="HL107" s="2780"/>
      <c r="HM107" s="2780"/>
      <c r="HN107" s="2779"/>
      <c r="HO107" s="2779"/>
      <c r="HP107" s="2779"/>
      <c r="HQ107" s="2779"/>
      <c r="HR107" s="2781"/>
      <c r="HS107" s="2781"/>
      <c r="HT107" s="2781"/>
      <c r="HU107" s="2781"/>
      <c r="HV107" s="2781"/>
      <c r="HW107" s="2781"/>
      <c r="HX107" s="2781"/>
      <c r="HY107" s="2781"/>
      <c r="HZ107" s="2781"/>
      <c r="IA107" s="2781"/>
      <c r="IB107" s="2781"/>
      <c r="IC107" s="2779"/>
      <c r="ID107" s="2779"/>
      <c r="IE107" s="2779"/>
      <c r="IF107" s="2779"/>
      <c r="IG107" s="2781"/>
      <c r="IH107" s="2781"/>
      <c r="II107" s="2781"/>
      <c r="IJ107" s="2781"/>
      <c r="IK107" s="2781"/>
      <c r="IL107" s="2781"/>
      <c r="IM107" s="2781"/>
      <c r="IN107" s="2781"/>
      <c r="IO107" s="2781"/>
    </row>
    <row r="108" spans="9:249" ht="4.1500000000000004" customHeight="1">
      <c r="I108" s="2772"/>
      <c r="J108" s="2772"/>
      <c r="K108" s="2772"/>
      <c r="L108" s="2772"/>
      <c r="P108" s="414"/>
      <c r="R108" s="414"/>
      <c r="BF108" s="439"/>
      <c r="BG108" s="440"/>
      <c r="CU108" s="415"/>
      <c r="CW108" s="415"/>
      <c r="DC108" s="414"/>
      <c r="DG108" s="2772"/>
      <c r="DH108" s="2772"/>
      <c r="DI108" s="2772"/>
      <c r="DJ108" s="2772"/>
      <c r="DS108" s="464"/>
      <c r="DT108" s="464"/>
      <c r="DU108" s="464"/>
      <c r="DV108" s="464"/>
      <c r="DW108" s="464"/>
      <c r="DX108" s="464"/>
      <c r="DY108" s="464"/>
      <c r="DZ108" s="464"/>
      <c r="EA108" s="464"/>
      <c r="EB108" s="464"/>
      <c r="EC108" s="464"/>
      <c r="ED108" s="2784"/>
      <c r="EE108" s="2784"/>
      <c r="EF108" s="2784"/>
      <c r="EG108" s="2784"/>
      <c r="EH108" s="2784"/>
      <c r="EI108" s="2784"/>
      <c r="EJ108" s="472"/>
      <c r="EK108" s="472"/>
      <c r="EL108" s="472"/>
      <c r="EM108" s="472"/>
      <c r="EN108" s="472"/>
      <c r="EO108" s="472"/>
      <c r="EP108" s="473"/>
      <c r="EQ108" s="465"/>
      <c r="ER108" s="465"/>
      <c r="ES108" s="465"/>
      <c r="ET108" s="465"/>
      <c r="EU108" s="465"/>
      <c r="EV108" s="465"/>
      <c r="EW108" s="465"/>
      <c r="EX108" s="465"/>
      <c r="EY108" s="465"/>
      <c r="EZ108" s="465"/>
      <c r="FA108" s="465"/>
      <c r="FB108" s="465"/>
      <c r="FC108" s="465"/>
      <c r="FD108" s="469"/>
      <c r="FE108" s="465"/>
      <c r="FF108" s="465"/>
      <c r="FG108" s="465"/>
      <c r="FH108" s="465"/>
      <c r="FI108" s="465"/>
      <c r="FJ108" s="465"/>
      <c r="FK108" s="2786"/>
      <c r="FL108" s="2787"/>
      <c r="FM108" s="2787"/>
      <c r="FN108" s="2787"/>
      <c r="FO108" s="2787"/>
      <c r="FP108" s="2787"/>
      <c r="FQ108" s="2787"/>
      <c r="FR108" s="2787"/>
      <c r="FS108" s="2787"/>
      <c r="GQ108" s="2779" t="s">
        <v>1950</v>
      </c>
      <c r="GR108" s="2779"/>
      <c r="GS108" s="2779"/>
      <c r="GT108" s="2779"/>
      <c r="GU108" s="2779"/>
      <c r="GV108" s="2779"/>
      <c r="GW108" s="2779"/>
      <c r="GX108" s="2779"/>
      <c r="GY108" s="2779"/>
      <c r="GZ108" s="2779"/>
      <c r="HA108" s="2779"/>
      <c r="HB108" s="2779"/>
      <c r="HC108" s="2780">
        <v>1</v>
      </c>
      <c r="HD108" s="2780"/>
      <c r="HE108" s="2780"/>
      <c r="HF108" s="2780"/>
      <c r="HG108" s="2780"/>
      <c r="HH108" s="2780"/>
      <c r="HI108" s="2780"/>
      <c r="HJ108" s="2780"/>
      <c r="HK108" s="2780"/>
      <c r="HL108" s="2780"/>
      <c r="HM108" s="2780"/>
      <c r="HN108" s="2779" t="s">
        <v>901</v>
      </c>
      <c r="HO108" s="2779"/>
      <c r="HP108" s="2779"/>
      <c r="HQ108" s="2779"/>
      <c r="HR108" s="2781">
        <v>0.75</v>
      </c>
      <c r="HS108" s="2781"/>
      <c r="HT108" s="2781"/>
      <c r="HU108" s="2781"/>
      <c r="HV108" s="2781"/>
      <c r="HW108" s="2781"/>
      <c r="HX108" s="2781"/>
      <c r="HY108" s="2781"/>
      <c r="HZ108" s="2781"/>
      <c r="IA108" s="2781"/>
      <c r="IB108" s="2781"/>
      <c r="IC108" s="2779" t="s">
        <v>901</v>
      </c>
      <c r="ID108" s="2779"/>
      <c r="IE108" s="2779"/>
      <c r="IF108" s="2779"/>
      <c r="IG108" s="2781">
        <v>2.1</v>
      </c>
      <c r="IH108" s="2781"/>
      <c r="II108" s="2781"/>
      <c r="IJ108" s="2781"/>
      <c r="IK108" s="2781"/>
      <c r="IL108" s="2781"/>
      <c r="IM108" s="2781"/>
      <c r="IN108" s="2781"/>
      <c r="IO108" s="2781"/>
    </row>
    <row r="109" spans="9:249" ht="4.1500000000000004" customHeight="1">
      <c r="I109" s="2772"/>
      <c r="J109" s="2772"/>
      <c r="K109" s="2772"/>
      <c r="L109" s="2772"/>
      <c r="P109" s="414"/>
      <c r="R109" s="414"/>
      <c r="BF109" s="439"/>
      <c r="BG109" s="440"/>
      <c r="CU109" s="415"/>
      <c r="CW109" s="415"/>
      <c r="DC109" s="414"/>
      <c r="DG109" s="2772"/>
      <c r="DH109" s="2772"/>
      <c r="DI109" s="2772"/>
      <c r="DJ109" s="2772"/>
      <c r="DS109" s="464"/>
      <c r="DT109" s="464"/>
      <c r="DU109" s="464"/>
      <c r="DV109" s="464"/>
      <c r="DW109" s="464"/>
      <c r="DX109" s="464"/>
      <c r="DY109" s="464"/>
      <c r="DZ109" s="464"/>
      <c r="EA109" s="464"/>
      <c r="EB109" s="464"/>
      <c r="EC109" s="464"/>
      <c r="ED109" s="2785">
        <f>FL109+FL111</f>
        <v>0.3</v>
      </c>
      <c r="EE109" s="2785"/>
      <c r="EF109" s="2785"/>
      <c r="EG109" s="2785"/>
      <c r="EH109" s="2785"/>
      <c r="EI109" s="2785"/>
      <c r="EJ109" s="2785"/>
      <c r="EK109" s="2785"/>
      <c r="EL109" s="2785"/>
      <c r="EM109" s="2785"/>
      <c r="EN109" s="2785"/>
      <c r="EO109" s="465"/>
      <c r="EP109" s="469"/>
      <c r="EQ109" s="470"/>
      <c r="ER109" s="467"/>
      <c r="ES109" s="467"/>
      <c r="ET109" s="467"/>
      <c r="EU109" s="467"/>
      <c r="EV109" s="467"/>
      <c r="EW109" s="467"/>
      <c r="EX109" s="467"/>
      <c r="EY109" s="467"/>
      <c r="EZ109" s="467"/>
      <c r="FA109" s="467"/>
      <c r="FB109" s="467"/>
      <c r="FC109" s="467"/>
      <c r="FD109" s="467"/>
      <c r="FE109" s="467"/>
      <c r="FF109" s="467"/>
      <c r="FG109" s="467"/>
      <c r="FH109" s="467"/>
      <c r="FI109" s="467"/>
      <c r="FJ109" s="467"/>
      <c r="FK109" s="468"/>
      <c r="FL109" s="2792">
        <v>0.15</v>
      </c>
      <c r="FM109" s="2793"/>
      <c r="FN109" s="2793"/>
      <c r="FO109" s="2793"/>
      <c r="FP109" s="2793"/>
      <c r="FQ109" s="2793"/>
      <c r="FR109" s="2793"/>
      <c r="FS109" s="2793"/>
      <c r="GQ109" s="2779"/>
      <c r="GR109" s="2779"/>
      <c r="GS109" s="2779"/>
      <c r="GT109" s="2779"/>
      <c r="GU109" s="2779"/>
      <c r="GV109" s="2779"/>
      <c r="GW109" s="2779"/>
      <c r="GX109" s="2779"/>
      <c r="GY109" s="2779"/>
      <c r="GZ109" s="2779"/>
      <c r="HA109" s="2779"/>
      <c r="HB109" s="2779"/>
      <c r="HC109" s="2780"/>
      <c r="HD109" s="2780"/>
      <c r="HE109" s="2780"/>
      <c r="HF109" s="2780"/>
      <c r="HG109" s="2780"/>
      <c r="HH109" s="2780"/>
      <c r="HI109" s="2780"/>
      <c r="HJ109" s="2780"/>
      <c r="HK109" s="2780"/>
      <c r="HL109" s="2780"/>
      <c r="HM109" s="2780"/>
      <c r="HN109" s="2779"/>
      <c r="HO109" s="2779"/>
      <c r="HP109" s="2779"/>
      <c r="HQ109" s="2779"/>
      <c r="HR109" s="2781"/>
      <c r="HS109" s="2781"/>
      <c r="HT109" s="2781"/>
      <c r="HU109" s="2781"/>
      <c r="HV109" s="2781"/>
      <c r="HW109" s="2781"/>
      <c r="HX109" s="2781"/>
      <c r="HY109" s="2781"/>
      <c r="HZ109" s="2781"/>
      <c r="IA109" s="2781"/>
      <c r="IB109" s="2781"/>
      <c r="IC109" s="2779"/>
      <c r="ID109" s="2779"/>
      <c r="IE109" s="2779"/>
      <c r="IF109" s="2779"/>
      <c r="IG109" s="2781"/>
      <c r="IH109" s="2781"/>
      <c r="II109" s="2781"/>
      <c r="IJ109" s="2781"/>
      <c r="IK109" s="2781"/>
      <c r="IL109" s="2781"/>
      <c r="IM109" s="2781"/>
      <c r="IN109" s="2781"/>
      <c r="IO109" s="2781"/>
    </row>
    <row r="110" spans="9:249" ht="4.1500000000000004" customHeight="1">
      <c r="I110" s="2772"/>
      <c r="J110" s="2772"/>
      <c r="K110" s="2772"/>
      <c r="L110" s="2772"/>
      <c r="P110" s="414"/>
      <c r="R110" s="414"/>
      <c r="BF110" s="439"/>
      <c r="BG110" s="440"/>
      <c r="CU110" s="415"/>
      <c r="CW110" s="415"/>
      <c r="DC110" s="414"/>
      <c r="DG110" s="2772"/>
      <c r="DH110" s="2772"/>
      <c r="DI110" s="2772"/>
      <c r="DJ110" s="2772"/>
      <c r="DS110" s="464"/>
      <c r="DT110" s="464"/>
      <c r="DU110" s="464"/>
      <c r="DV110" s="464"/>
      <c r="DW110" s="464"/>
      <c r="DX110" s="464"/>
      <c r="DY110" s="464"/>
      <c r="DZ110" s="464"/>
      <c r="EA110" s="464"/>
      <c r="EB110" s="464"/>
      <c r="EC110" s="464"/>
      <c r="ED110" s="2786"/>
      <c r="EE110" s="2786"/>
      <c r="EF110" s="2786"/>
      <c r="EG110" s="2786"/>
      <c r="EH110" s="2786"/>
      <c r="EI110" s="2786"/>
      <c r="EJ110" s="2786"/>
      <c r="EK110" s="2786"/>
      <c r="EL110" s="2786"/>
      <c r="EM110" s="2786"/>
      <c r="EN110" s="2786"/>
      <c r="EO110" s="465"/>
      <c r="EP110" s="469"/>
      <c r="EQ110" s="474"/>
      <c r="ER110" s="472"/>
      <c r="ES110" s="472"/>
      <c r="ET110" s="472"/>
      <c r="EU110" s="472"/>
      <c r="EV110" s="472"/>
      <c r="EW110" s="472"/>
      <c r="EX110" s="472"/>
      <c r="EY110" s="472"/>
      <c r="EZ110" s="472"/>
      <c r="FA110" s="472"/>
      <c r="FB110" s="472"/>
      <c r="FC110" s="472"/>
      <c r="FD110" s="472"/>
      <c r="FE110" s="472"/>
      <c r="FF110" s="472"/>
      <c r="FG110" s="472"/>
      <c r="FH110" s="472"/>
      <c r="FI110" s="472"/>
      <c r="FJ110" s="472"/>
      <c r="FK110" s="473"/>
      <c r="FL110" s="2794"/>
      <c r="FM110" s="2795"/>
      <c r="FN110" s="2795"/>
      <c r="FO110" s="2795"/>
      <c r="FP110" s="2795"/>
      <c r="FQ110" s="2795"/>
      <c r="FR110" s="2795"/>
      <c r="FS110" s="2795"/>
      <c r="GQ110" s="2779"/>
      <c r="GR110" s="2779"/>
      <c r="GS110" s="2779"/>
      <c r="GT110" s="2779"/>
      <c r="GU110" s="2779"/>
      <c r="GV110" s="2779"/>
      <c r="GW110" s="2779"/>
      <c r="GX110" s="2779"/>
      <c r="GY110" s="2779"/>
      <c r="GZ110" s="2779"/>
      <c r="HA110" s="2779"/>
      <c r="HB110" s="2779"/>
      <c r="HC110" s="2780"/>
      <c r="HD110" s="2780"/>
      <c r="HE110" s="2780"/>
      <c r="HF110" s="2780"/>
      <c r="HG110" s="2780"/>
      <c r="HH110" s="2780"/>
      <c r="HI110" s="2780"/>
      <c r="HJ110" s="2780"/>
      <c r="HK110" s="2780"/>
      <c r="HL110" s="2780"/>
      <c r="HM110" s="2780"/>
      <c r="HN110" s="2779"/>
      <c r="HO110" s="2779"/>
      <c r="HP110" s="2779"/>
      <c r="HQ110" s="2779"/>
      <c r="HR110" s="2781"/>
      <c r="HS110" s="2781"/>
      <c r="HT110" s="2781"/>
      <c r="HU110" s="2781"/>
      <c r="HV110" s="2781"/>
      <c r="HW110" s="2781"/>
      <c r="HX110" s="2781"/>
      <c r="HY110" s="2781"/>
      <c r="HZ110" s="2781"/>
      <c r="IA110" s="2781"/>
      <c r="IB110" s="2781"/>
      <c r="IC110" s="2779"/>
      <c r="ID110" s="2779"/>
      <c r="IE110" s="2779"/>
      <c r="IF110" s="2779"/>
      <c r="IG110" s="2781"/>
      <c r="IH110" s="2781"/>
      <c r="II110" s="2781"/>
      <c r="IJ110" s="2781"/>
      <c r="IK110" s="2781"/>
      <c r="IL110" s="2781"/>
      <c r="IM110" s="2781"/>
      <c r="IN110" s="2781"/>
      <c r="IO110" s="2781"/>
    </row>
    <row r="111" spans="9:249" ht="4.1500000000000004" customHeight="1">
      <c r="I111" s="2772"/>
      <c r="J111" s="2772"/>
      <c r="K111" s="2772"/>
      <c r="L111" s="2772"/>
      <c r="P111" s="414"/>
      <c r="R111" s="414"/>
      <c r="BF111" s="439"/>
      <c r="BG111" s="440"/>
      <c r="CU111" s="415"/>
      <c r="CW111" s="415"/>
      <c r="DC111" s="414"/>
      <c r="DG111" s="2772"/>
      <c r="DH111" s="2772"/>
      <c r="DI111" s="2772"/>
      <c r="DJ111" s="2772"/>
      <c r="DS111" s="464"/>
      <c r="DT111" s="464"/>
      <c r="DU111" s="464"/>
      <c r="DV111" s="464"/>
      <c r="DW111" s="464"/>
      <c r="DX111" s="464"/>
      <c r="DY111" s="464"/>
      <c r="DZ111" s="464"/>
      <c r="EA111" s="464"/>
      <c r="EB111" s="464"/>
      <c r="EC111" s="464"/>
      <c r="ED111" s="2786"/>
      <c r="EE111" s="2786"/>
      <c r="EF111" s="2786"/>
      <c r="EG111" s="2786"/>
      <c r="EH111" s="2786"/>
      <c r="EI111" s="2786"/>
      <c r="EJ111" s="2786"/>
      <c r="EK111" s="2786"/>
      <c r="EL111" s="2786"/>
      <c r="EM111" s="2786"/>
      <c r="EN111" s="2786"/>
      <c r="EO111" s="465"/>
      <c r="EP111" s="469"/>
      <c r="EQ111" s="470"/>
      <c r="ER111" s="467"/>
      <c r="ES111" s="467"/>
      <c r="ET111" s="467"/>
      <c r="EU111" s="467"/>
      <c r="EV111" s="467"/>
      <c r="EW111" s="467"/>
      <c r="EX111" s="467"/>
      <c r="EY111" s="467"/>
      <c r="EZ111" s="467"/>
      <c r="FA111" s="467"/>
      <c r="FB111" s="467"/>
      <c r="FC111" s="467"/>
      <c r="FD111" s="467"/>
      <c r="FE111" s="467"/>
      <c r="FF111" s="467"/>
      <c r="FG111" s="467"/>
      <c r="FH111" s="467"/>
      <c r="FI111" s="467"/>
      <c r="FJ111" s="467"/>
      <c r="FK111" s="468"/>
      <c r="FL111" s="2792">
        <f>FL109</f>
        <v>0.15</v>
      </c>
      <c r="FM111" s="2793"/>
      <c r="FN111" s="2793"/>
      <c r="FO111" s="2793"/>
      <c r="FP111" s="2793"/>
      <c r="FQ111" s="2793"/>
      <c r="FR111" s="2793"/>
      <c r="FS111" s="2793"/>
      <c r="GQ111" s="2779" t="s">
        <v>1952</v>
      </c>
      <c r="GR111" s="2779"/>
      <c r="GS111" s="2779"/>
      <c r="GT111" s="2779"/>
      <c r="GU111" s="2779"/>
      <c r="GV111" s="2779"/>
      <c r="GW111" s="2779"/>
      <c r="GX111" s="2779"/>
      <c r="GY111" s="2779"/>
      <c r="GZ111" s="2779"/>
      <c r="HA111" s="2779"/>
      <c r="HB111" s="2779"/>
      <c r="HC111" s="2780">
        <v>2</v>
      </c>
      <c r="HD111" s="2780"/>
      <c r="HE111" s="2780"/>
      <c r="HF111" s="2780"/>
      <c r="HG111" s="2780"/>
      <c r="HH111" s="2780"/>
      <c r="HI111" s="2780"/>
      <c r="HJ111" s="2780"/>
      <c r="HK111" s="2780"/>
      <c r="HL111" s="2780"/>
      <c r="HM111" s="2780"/>
      <c r="HN111" s="2779" t="s">
        <v>901</v>
      </c>
      <c r="HO111" s="2779"/>
      <c r="HP111" s="2779"/>
      <c r="HQ111" s="2779"/>
      <c r="HR111" s="2781">
        <v>0.9</v>
      </c>
      <c r="HS111" s="2781"/>
      <c r="HT111" s="2781"/>
      <c r="HU111" s="2781"/>
      <c r="HV111" s="2781"/>
      <c r="HW111" s="2781"/>
      <c r="HX111" s="2781"/>
      <c r="HY111" s="2781"/>
      <c r="HZ111" s="2781"/>
      <c r="IA111" s="2781"/>
      <c r="IB111" s="2781"/>
      <c r="IC111" s="2779" t="s">
        <v>901</v>
      </c>
      <c r="ID111" s="2779"/>
      <c r="IE111" s="2779"/>
      <c r="IF111" s="2779"/>
      <c r="IG111" s="2781">
        <v>1.2</v>
      </c>
      <c r="IH111" s="2781"/>
      <c r="II111" s="2781"/>
      <c r="IJ111" s="2781"/>
      <c r="IK111" s="2781"/>
      <c r="IL111" s="2781"/>
      <c r="IM111" s="2781"/>
      <c r="IN111" s="2781"/>
      <c r="IO111" s="2781"/>
    </row>
    <row r="112" spans="9:249" ht="4.1500000000000004" customHeight="1">
      <c r="I112" s="2772"/>
      <c r="J112" s="2772"/>
      <c r="K112" s="2772"/>
      <c r="L112" s="2772"/>
      <c r="P112" s="414"/>
      <c r="R112" s="414"/>
      <c r="BF112" s="439"/>
      <c r="BG112" s="440"/>
      <c r="CU112" s="415"/>
      <c r="CW112" s="415"/>
      <c r="DC112" s="414"/>
      <c r="DG112" s="2772"/>
      <c r="DH112" s="2772"/>
      <c r="DI112" s="2772"/>
      <c r="DJ112" s="2772"/>
      <c r="DS112" s="464"/>
      <c r="DT112" s="464"/>
      <c r="DU112" s="464"/>
      <c r="DV112" s="464"/>
      <c r="DW112" s="464"/>
      <c r="DX112" s="464"/>
      <c r="DY112" s="464"/>
      <c r="DZ112" s="464"/>
      <c r="EA112" s="464"/>
      <c r="EB112" s="464"/>
      <c r="EC112" s="464"/>
      <c r="ED112" s="2787"/>
      <c r="EE112" s="2787"/>
      <c r="EF112" s="2787"/>
      <c r="EG112" s="2787"/>
      <c r="EH112" s="2787"/>
      <c r="EI112" s="2787"/>
      <c r="EJ112" s="2787"/>
      <c r="EK112" s="2787"/>
      <c r="EL112" s="2787"/>
      <c r="EM112" s="2787"/>
      <c r="EN112" s="2787"/>
      <c r="EO112" s="465"/>
      <c r="EP112" s="469"/>
      <c r="EQ112" s="474"/>
      <c r="ER112" s="472"/>
      <c r="ES112" s="472"/>
      <c r="ET112" s="472"/>
      <c r="EU112" s="472"/>
      <c r="EV112" s="472"/>
      <c r="EW112" s="472"/>
      <c r="EX112" s="472"/>
      <c r="EY112" s="472"/>
      <c r="EZ112" s="472"/>
      <c r="FA112" s="472"/>
      <c r="FB112" s="472"/>
      <c r="FC112" s="472"/>
      <c r="FD112" s="472"/>
      <c r="FE112" s="472"/>
      <c r="FF112" s="472"/>
      <c r="FG112" s="472"/>
      <c r="FH112" s="472"/>
      <c r="FI112" s="472"/>
      <c r="FJ112" s="472"/>
      <c r="FK112" s="473"/>
      <c r="FL112" s="2794"/>
      <c r="FM112" s="2795"/>
      <c r="FN112" s="2795"/>
      <c r="FO112" s="2795"/>
      <c r="FP112" s="2795"/>
      <c r="FQ112" s="2795"/>
      <c r="FR112" s="2795"/>
      <c r="FS112" s="2795"/>
      <c r="GQ112" s="2779"/>
      <c r="GR112" s="2779"/>
      <c r="GS112" s="2779"/>
      <c r="GT112" s="2779"/>
      <c r="GU112" s="2779"/>
      <c r="GV112" s="2779"/>
      <c r="GW112" s="2779"/>
      <c r="GX112" s="2779"/>
      <c r="GY112" s="2779"/>
      <c r="GZ112" s="2779"/>
      <c r="HA112" s="2779"/>
      <c r="HB112" s="2779"/>
      <c r="HC112" s="2780"/>
      <c r="HD112" s="2780"/>
      <c r="HE112" s="2780"/>
      <c r="HF112" s="2780"/>
      <c r="HG112" s="2780"/>
      <c r="HH112" s="2780"/>
      <c r="HI112" s="2780"/>
      <c r="HJ112" s="2780"/>
      <c r="HK112" s="2780"/>
      <c r="HL112" s="2780"/>
      <c r="HM112" s="2780"/>
      <c r="HN112" s="2779"/>
      <c r="HO112" s="2779"/>
      <c r="HP112" s="2779"/>
      <c r="HQ112" s="2779"/>
      <c r="HR112" s="2781"/>
      <c r="HS112" s="2781"/>
      <c r="HT112" s="2781"/>
      <c r="HU112" s="2781"/>
      <c r="HV112" s="2781"/>
      <c r="HW112" s="2781"/>
      <c r="HX112" s="2781"/>
      <c r="HY112" s="2781"/>
      <c r="HZ112" s="2781"/>
      <c r="IA112" s="2781"/>
      <c r="IB112" s="2781"/>
      <c r="IC112" s="2779"/>
      <c r="ID112" s="2779"/>
      <c r="IE112" s="2779"/>
      <c r="IF112" s="2779"/>
      <c r="IG112" s="2781"/>
      <c r="IH112" s="2781"/>
      <c r="II112" s="2781"/>
      <c r="IJ112" s="2781"/>
      <c r="IK112" s="2781"/>
      <c r="IL112" s="2781"/>
      <c r="IM112" s="2781"/>
      <c r="IN112" s="2781"/>
      <c r="IO112" s="2781"/>
    </row>
    <row r="113" spans="11:296" ht="4.1500000000000004" customHeight="1">
      <c r="K113" s="414"/>
      <c r="P113" s="414"/>
      <c r="R113" s="414"/>
      <c r="BF113" s="439"/>
      <c r="BG113" s="440"/>
      <c r="CU113" s="415"/>
      <c r="CW113" s="415"/>
      <c r="DC113" s="414"/>
      <c r="DI113" s="414"/>
      <c r="DS113" s="464"/>
      <c r="DT113" s="464"/>
      <c r="DU113" s="464"/>
      <c r="DV113" s="464"/>
      <c r="DW113" s="464"/>
      <c r="DX113" s="464"/>
      <c r="DY113" s="464"/>
      <c r="DZ113" s="464"/>
      <c r="EA113" s="464"/>
      <c r="EB113" s="464"/>
      <c r="EC113" s="464"/>
      <c r="ED113" s="464"/>
      <c r="EE113" s="464"/>
      <c r="EF113" s="464"/>
      <c r="EG113" s="464"/>
      <c r="EH113" s="464"/>
      <c r="EI113" s="465"/>
      <c r="EJ113" s="465"/>
      <c r="EK113" s="465"/>
      <c r="EL113" s="465"/>
      <c r="EM113" s="465"/>
      <c r="EN113" s="465"/>
      <c r="EO113" s="465"/>
      <c r="EP113" s="465"/>
      <c r="EQ113" s="465"/>
      <c r="ER113" s="465"/>
      <c r="ES113" s="465"/>
      <c r="ET113" s="465"/>
      <c r="EU113" s="465"/>
      <c r="EV113" s="465"/>
      <c r="EW113" s="465"/>
      <c r="EX113" s="465"/>
      <c r="EY113" s="465"/>
      <c r="EZ113" s="465"/>
      <c r="FA113" s="465"/>
      <c r="FB113" s="465"/>
      <c r="FC113" s="465"/>
      <c r="FD113" s="465"/>
      <c r="FE113" s="465"/>
      <c r="FF113" s="465"/>
      <c r="FG113" s="465"/>
      <c r="FH113" s="465"/>
      <c r="FI113" s="465"/>
      <c r="FJ113" s="465"/>
      <c r="FK113" s="465"/>
      <c r="FL113" s="465"/>
      <c r="FM113" s="465"/>
      <c r="FN113" s="465"/>
      <c r="FO113" s="465"/>
      <c r="FP113" s="465"/>
      <c r="FQ113" s="465"/>
      <c r="FR113" s="465"/>
      <c r="FS113" s="465"/>
      <c r="GQ113" s="2779"/>
      <c r="GR113" s="2779"/>
      <c r="GS113" s="2779"/>
      <c r="GT113" s="2779"/>
      <c r="GU113" s="2779"/>
      <c r="GV113" s="2779"/>
      <c r="GW113" s="2779"/>
      <c r="GX113" s="2779"/>
      <c r="GY113" s="2779"/>
      <c r="GZ113" s="2779"/>
      <c r="HA113" s="2779"/>
      <c r="HB113" s="2779"/>
      <c r="HC113" s="2780"/>
      <c r="HD113" s="2780"/>
      <c r="HE113" s="2780"/>
      <c r="HF113" s="2780"/>
      <c r="HG113" s="2780"/>
      <c r="HH113" s="2780"/>
      <c r="HI113" s="2780"/>
      <c r="HJ113" s="2780"/>
      <c r="HK113" s="2780"/>
      <c r="HL113" s="2780"/>
      <c r="HM113" s="2780"/>
      <c r="HN113" s="2779"/>
      <c r="HO113" s="2779"/>
      <c r="HP113" s="2779"/>
      <c r="HQ113" s="2779"/>
      <c r="HR113" s="2781"/>
      <c r="HS113" s="2781"/>
      <c r="HT113" s="2781"/>
      <c r="HU113" s="2781"/>
      <c r="HV113" s="2781"/>
      <c r="HW113" s="2781"/>
      <c r="HX113" s="2781"/>
      <c r="HY113" s="2781"/>
      <c r="HZ113" s="2781"/>
      <c r="IA113" s="2781"/>
      <c r="IB113" s="2781"/>
      <c r="IC113" s="2779"/>
      <c r="ID113" s="2779"/>
      <c r="IE113" s="2779"/>
      <c r="IF113" s="2779"/>
      <c r="IG113" s="2781"/>
      <c r="IH113" s="2781"/>
      <c r="II113" s="2781"/>
      <c r="IJ113" s="2781"/>
      <c r="IK113" s="2781"/>
      <c r="IL113" s="2781"/>
      <c r="IM113" s="2781"/>
      <c r="IN113" s="2781"/>
      <c r="IO113" s="2781"/>
    </row>
    <row r="114" spans="11:296" ht="4.1500000000000004" customHeight="1">
      <c r="K114" s="414"/>
      <c r="P114" s="414"/>
      <c r="R114" s="414"/>
      <c r="BF114" s="439"/>
      <c r="BG114" s="440"/>
      <c r="CU114" s="415"/>
      <c r="CW114" s="415"/>
      <c r="DC114" s="414"/>
      <c r="DI114" s="414"/>
      <c r="DS114" s="464"/>
      <c r="DT114" s="464"/>
      <c r="DU114" s="464"/>
      <c r="DV114" s="464"/>
      <c r="DW114" s="464"/>
      <c r="DX114" s="464"/>
      <c r="DY114" s="464"/>
      <c r="DZ114" s="464"/>
      <c r="EA114" s="464"/>
      <c r="EB114" s="464"/>
      <c r="EC114" s="464"/>
      <c r="ED114" s="464"/>
      <c r="EE114" s="464"/>
      <c r="EF114" s="464"/>
      <c r="EG114" s="464"/>
      <c r="EH114" s="464"/>
      <c r="EI114" s="465"/>
      <c r="EJ114" s="465"/>
      <c r="EK114" s="465"/>
      <c r="EL114" s="465"/>
      <c r="EM114" s="465"/>
      <c r="EN114" s="465"/>
      <c r="EO114" s="465"/>
      <c r="EP114" s="465"/>
      <c r="EQ114" s="465"/>
      <c r="ER114" s="465"/>
      <c r="ES114" s="465"/>
      <c r="ET114" s="465"/>
      <c r="EU114" s="465"/>
      <c r="EV114" s="465"/>
      <c r="EW114" s="465"/>
      <c r="EX114" s="465"/>
      <c r="EY114" s="465"/>
      <c r="EZ114" s="465"/>
      <c r="FA114" s="465"/>
      <c r="FB114" s="465"/>
      <c r="FC114" s="465"/>
      <c r="FD114" s="465"/>
      <c r="FE114" s="465"/>
      <c r="FF114" s="465"/>
      <c r="FG114" s="465"/>
      <c r="FH114" s="465"/>
      <c r="FI114" s="465"/>
      <c r="FJ114" s="465"/>
      <c r="FK114" s="465"/>
      <c r="FL114" s="465"/>
      <c r="FM114" s="465"/>
      <c r="FN114" s="465"/>
      <c r="FO114" s="465"/>
      <c r="FP114" s="465"/>
      <c r="FQ114" s="465"/>
      <c r="FR114" s="465"/>
      <c r="FS114" s="465"/>
      <c r="GQ114" s="2779" t="s">
        <v>1877</v>
      </c>
      <c r="GR114" s="2779"/>
      <c r="GS114" s="2779"/>
      <c r="GT114" s="2779"/>
      <c r="GU114" s="2779"/>
      <c r="GV114" s="2779"/>
      <c r="GW114" s="2779"/>
      <c r="GX114" s="2779"/>
      <c r="GY114" s="2779"/>
      <c r="GZ114" s="2779"/>
      <c r="HA114" s="2779"/>
      <c r="HB114" s="2779"/>
      <c r="HC114" s="2780">
        <v>2</v>
      </c>
      <c r="HD114" s="2780"/>
      <c r="HE114" s="2780"/>
      <c r="HF114" s="2780"/>
      <c r="HG114" s="2780"/>
      <c r="HH114" s="2780"/>
      <c r="HI114" s="2780"/>
      <c r="HJ114" s="2780"/>
      <c r="HK114" s="2780"/>
      <c r="HL114" s="2780"/>
      <c r="HM114" s="2780"/>
      <c r="HN114" s="2779" t="s">
        <v>901</v>
      </c>
      <c r="HO114" s="2779"/>
      <c r="HP114" s="2779"/>
      <c r="HQ114" s="2779"/>
      <c r="HR114" s="2781">
        <f>BG128</f>
        <v>2.375</v>
      </c>
      <c r="HS114" s="2781"/>
      <c r="HT114" s="2781"/>
      <c r="HU114" s="2781"/>
      <c r="HV114" s="2781"/>
      <c r="HW114" s="2781"/>
      <c r="HX114" s="2781"/>
      <c r="HY114" s="2781"/>
      <c r="HZ114" s="2781"/>
      <c r="IA114" s="2781"/>
      <c r="IB114" s="2781"/>
      <c r="IC114" s="2779" t="s">
        <v>901</v>
      </c>
      <c r="ID114" s="2779"/>
      <c r="IE114" s="2779"/>
      <c r="IF114" s="2779"/>
      <c r="IG114" s="2781">
        <f>IG105</f>
        <v>2.1</v>
      </c>
      <c r="IH114" s="2781"/>
      <c r="II114" s="2781"/>
      <c r="IJ114" s="2781"/>
      <c r="IK114" s="2781"/>
      <c r="IL114" s="2781"/>
      <c r="IM114" s="2781"/>
      <c r="IN114" s="2781"/>
      <c r="IO114" s="2781"/>
    </row>
    <row r="115" spans="11:296" ht="4.1500000000000004" customHeight="1">
      <c r="K115" s="414"/>
      <c r="P115" s="414"/>
      <c r="R115" s="416"/>
      <c r="AC115" s="417"/>
      <c r="AD115" s="417"/>
      <c r="AE115" s="417"/>
      <c r="AF115" s="417"/>
      <c r="AG115" s="417"/>
      <c r="AH115" s="417"/>
      <c r="AI115" s="417"/>
      <c r="AJ115" s="417"/>
      <c r="AK115" s="417"/>
      <c r="AL115" s="417"/>
      <c r="AM115" s="417"/>
      <c r="AN115" s="417"/>
      <c r="AO115" s="417"/>
      <c r="AP115" s="417"/>
      <c r="AQ115" s="417"/>
      <c r="AR115" s="417"/>
      <c r="AS115" s="417"/>
      <c r="AT115" s="417"/>
      <c r="AU115" s="417"/>
      <c r="AV115" s="417"/>
      <c r="AW115" s="417"/>
      <c r="AX115" s="417"/>
      <c r="AY115" s="417"/>
      <c r="AZ115" s="417"/>
      <c r="BA115" s="417"/>
      <c r="BB115" s="417"/>
      <c r="BC115" s="417"/>
      <c r="BF115" s="439"/>
      <c r="BG115" s="440"/>
      <c r="BN115" s="417"/>
      <c r="BO115" s="417"/>
      <c r="BP115" s="417"/>
      <c r="CA115" s="417"/>
      <c r="CB115" s="417"/>
      <c r="CC115" s="417"/>
      <c r="CU115" s="418"/>
      <c r="CW115" s="415"/>
      <c r="DC115" s="414"/>
      <c r="DI115" s="414"/>
      <c r="DS115" s="475"/>
      <c r="DT115" s="475"/>
      <c r="DU115" s="475"/>
      <c r="DV115" s="475"/>
      <c r="DW115" s="464"/>
      <c r="DX115" s="464"/>
      <c r="DY115" s="464"/>
      <c r="DZ115" s="464"/>
      <c r="EA115" s="476"/>
      <c r="EB115" s="476"/>
      <c r="EC115" s="476"/>
      <c r="ED115" s="476"/>
      <c r="EE115" s="476"/>
      <c r="EF115" s="476"/>
      <c r="EG115" s="476"/>
      <c r="EH115" s="476"/>
      <c r="EI115" s="476"/>
      <c r="EJ115" s="476"/>
      <c r="EK115" s="476"/>
      <c r="EL115" s="464"/>
      <c r="EM115" s="464"/>
      <c r="EN115" s="464"/>
      <c r="EO115" s="464"/>
      <c r="EP115" s="476"/>
      <c r="EQ115" s="2776">
        <f>SUM(EQ96:FK98)</f>
        <v>0.89999999999999991</v>
      </c>
      <c r="ER115" s="2777"/>
      <c r="ES115" s="2777"/>
      <c r="ET115" s="2777"/>
      <c r="EU115" s="2777"/>
      <c r="EV115" s="2777"/>
      <c r="EW115" s="2777"/>
      <c r="EX115" s="2777"/>
      <c r="EY115" s="2777"/>
      <c r="EZ115" s="2777"/>
      <c r="FA115" s="2777"/>
      <c r="FB115" s="2777"/>
      <c r="FC115" s="2777"/>
      <c r="FD115" s="2777"/>
      <c r="FE115" s="2777"/>
      <c r="FF115" s="2777"/>
      <c r="FG115" s="2777"/>
      <c r="FH115" s="2777"/>
      <c r="FI115" s="2777"/>
      <c r="FJ115" s="2777"/>
      <c r="FK115" s="2778"/>
      <c r="FL115" s="464"/>
      <c r="FM115" s="464"/>
      <c r="FN115" s="464"/>
      <c r="FO115" s="464"/>
      <c r="FP115" s="464"/>
      <c r="FQ115" s="464"/>
      <c r="FR115" s="464"/>
      <c r="FS115" s="464"/>
      <c r="GQ115" s="2779"/>
      <c r="GR115" s="2779"/>
      <c r="GS115" s="2779"/>
      <c r="GT115" s="2779"/>
      <c r="GU115" s="2779"/>
      <c r="GV115" s="2779"/>
      <c r="GW115" s="2779"/>
      <c r="GX115" s="2779"/>
      <c r="GY115" s="2779"/>
      <c r="GZ115" s="2779"/>
      <c r="HA115" s="2779"/>
      <c r="HB115" s="2779"/>
      <c r="HC115" s="2780"/>
      <c r="HD115" s="2780"/>
      <c r="HE115" s="2780"/>
      <c r="HF115" s="2780"/>
      <c r="HG115" s="2780"/>
      <c r="HH115" s="2780"/>
      <c r="HI115" s="2780"/>
      <c r="HJ115" s="2780"/>
      <c r="HK115" s="2780"/>
      <c r="HL115" s="2780"/>
      <c r="HM115" s="2780"/>
      <c r="HN115" s="2779"/>
      <c r="HO115" s="2779"/>
      <c r="HP115" s="2779"/>
      <c r="HQ115" s="2779"/>
      <c r="HR115" s="2781"/>
      <c r="HS115" s="2781"/>
      <c r="HT115" s="2781"/>
      <c r="HU115" s="2781"/>
      <c r="HV115" s="2781"/>
      <c r="HW115" s="2781"/>
      <c r="HX115" s="2781"/>
      <c r="HY115" s="2781"/>
      <c r="HZ115" s="2781"/>
      <c r="IA115" s="2781"/>
      <c r="IB115" s="2781"/>
      <c r="IC115" s="2779"/>
      <c r="ID115" s="2779"/>
      <c r="IE115" s="2779"/>
      <c r="IF115" s="2779"/>
      <c r="IG115" s="2781"/>
      <c r="IH115" s="2781"/>
      <c r="II115" s="2781"/>
      <c r="IJ115" s="2781"/>
      <c r="IK115" s="2781"/>
      <c r="IL115" s="2781"/>
      <c r="IM115" s="2781"/>
      <c r="IN115" s="2781"/>
      <c r="IO115" s="2781"/>
    </row>
    <row r="116" spans="11:296" ht="4.1500000000000004" customHeight="1">
      <c r="K116" s="414"/>
      <c r="P116" s="414"/>
      <c r="S116" s="416"/>
      <c r="T116" s="417"/>
      <c r="U116" s="417"/>
      <c r="V116" s="417"/>
      <c r="W116" s="417"/>
      <c r="X116" s="417"/>
      <c r="Y116" s="417"/>
      <c r="Z116" s="417"/>
      <c r="AA116" s="417"/>
      <c r="AB116" s="418"/>
      <c r="BD116" s="412"/>
      <c r="BE116" s="412"/>
      <c r="BF116" s="412"/>
      <c r="BG116" s="412"/>
      <c r="BH116" s="412"/>
      <c r="BI116" s="412"/>
      <c r="BJ116" s="412"/>
      <c r="BK116" s="412"/>
      <c r="BL116" s="412"/>
      <c r="BM116" s="412"/>
      <c r="BQ116" s="416"/>
      <c r="BR116" s="417"/>
      <c r="BS116" s="417"/>
      <c r="BT116" s="417"/>
      <c r="BU116" s="417"/>
      <c r="BV116" s="417"/>
      <c r="BW116" s="417"/>
      <c r="BX116" s="417"/>
      <c r="BY116" s="417"/>
      <c r="BZ116" s="418"/>
      <c r="CD116" s="416"/>
      <c r="CE116" s="417"/>
      <c r="CF116" s="417"/>
      <c r="CG116" s="417"/>
      <c r="CH116" s="417"/>
      <c r="CI116" s="417"/>
      <c r="CJ116" s="418"/>
      <c r="CK116" s="412"/>
      <c r="CL116" s="412"/>
      <c r="CM116" s="412"/>
      <c r="CN116" s="412"/>
      <c r="CO116" s="412"/>
      <c r="CP116" s="412"/>
      <c r="CQ116" s="412"/>
      <c r="CR116" s="412"/>
      <c r="CS116" s="412"/>
      <c r="CT116" s="412"/>
      <c r="CW116" s="415"/>
      <c r="DA116" s="417"/>
      <c r="DB116" s="417"/>
      <c r="DC116" s="416"/>
      <c r="DD116" s="417"/>
      <c r="DI116" s="414"/>
      <c r="DS116" s="475"/>
      <c r="DT116" s="475"/>
      <c r="DU116" s="475"/>
      <c r="DV116" s="475"/>
      <c r="DW116" s="464"/>
      <c r="DX116" s="464"/>
      <c r="DY116" s="464"/>
      <c r="DZ116" s="464"/>
      <c r="EA116" s="476"/>
      <c r="EB116" s="476"/>
      <c r="EC116" s="476"/>
      <c r="ED116" s="476"/>
      <c r="EE116" s="476"/>
      <c r="EF116" s="476"/>
      <c r="EG116" s="476"/>
      <c r="EH116" s="476"/>
      <c r="EI116" s="476"/>
      <c r="EJ116" s="476"/>
      <c r="EK116" s="476"/>
      <c r="EL116" s="464"/>
      <c r="EM116" s="464"/>
      <c r="EN116" s="464"/>
      <c r="EO116" s="464"/>
      <c r="EP116" s="476"/>
      <c r="EQ116" s="2776"/>
      <c r="ER116" s="2777"/>
      <c r="ES116" s="2777"/>
      <c r="ET116" s="2777"/>
      <c r="EU116" s="2777"/>
      <c r="EV116" s="2777"/>
      <c r="EW116" s="2777"/>
      <c r="EX116" s="2777"/>
      <c r="EY116" s="2777"/>
      <c r="EZ116" s="2777"/>
      <c r="FA116" s="2777"/>
      <c r="FB116" s="2777"/>
      <c r="FC116" s="2777"/>
      <c r="FD116" s="2777"/>
      <c r="FE116" s="2777"/>
      <c r="FF116" s="2777"/>
      <c r="FG116" s="2777"/>
      <c r="FH116" s="2777"/>
      <c r="FI116" s="2777"/>
      <c r="FJ116" s="2777"/>
      <c r="FK116" s="2778"/>
      <c r="FL116" s="464"/>
      <c r="FM116" s="464"/>
      <c r="FN116" s="464"/>
      <c r="FO116" s="464"/>
      <c r="FP116" s="464"/>
      <c r="FQ116" s="464"/>
      <c r="FR116" s="464"/>
      <c r="FS116" s="464"/>
      <c r="GQ116" s="2779"/>
      <c r="GR116" s="2779"/>
      <c r="GS116" s="2779"/>
      <c r="GT116" s="2779"/>
      <c r="GU116" s="2779"/>
      <c r="GV116" s="2779"/>
      <c r="GW116" s="2779"/>
      <c r="GX116" s="2779"/>
      <c r="GY116" s="2779"/>
      <c r="GZ116" s="2779"/>
      <c r="HA116" s="2779"/>
      <c r="HB116" s="2779"/>
      <c r="HC116" s="2780"/>
      <c r="HD116" s="2780"/>
      <c r="HE116" s="2780"/>
      <c r="HF116" s="2780"/>
      <c r="HG116" s="2780"/>
      <c r="HH116" s="2780"/>
      <c r="HI116" s="2780"/>
      <c r="HJ116" s="2780"/>
      <c r="HK116" s="2780"/>
      <c r="HL116" s="2780"/>
      <c r="HM116" s="2780"/>
      <c r="HN116" s="2779"/>
      <c r="HO116" s="2779"/>
      <c r="HP116" s="2779"/>
      <c r="HQ116" s="2779"/>
      <c r="HR116" s="2781"/>
      <c r="HS116" s="2781"/>
      <c r="HT116" s="2781"/>
      <c r="HU116" s="2781"/>
      <c r="HV116" s="2781"/>
      <c r="HW116" s="2781"/>
      <c r="HX116" s="2781"/>
      <c r="HY116" s="2781"/>
      <c r="HZ116" s="2781"/>
      <c r="IA116" s="2781"/>
      <c r="IB116" s="2781"/>
      <c r="IC116" s="2779"/>
      <c r="ID116" s="2779"/>
      <c r="IE116" s="2779"/>
      <c r="IF116" s="2779"/>
      <c r="IG116" s="2781"/>
      <c r="IH116" s="2781"/>
      <c r="II116" s="2781"/>
      <c r="IJ116" s="2781"/>
      <c r="IK116" s="2781"/>
      <c r="IL116" s="2781"/>
      <c r="IM116" s="2781"/>
      <c r="IN116" s="2781"/>
      <c r="IO116" s="2781"/>
    </row>
    <row r="117" spans="11:296" ht="4.1500000000000004" customHeight="1">
      <c r="K117" s="414"/>
      <c r="P117" s="414"/>
      <c r="R117" s="417"/>
      <c r="S117" s="414"/>
      <c r="AB117" s="415"/>
      <c r="AC117" s="417"/>
      <c r="AD117" s="417"/>
      <c r="AE117" s="417"/>
      <c r="AF117" s="417"/>
      <c r="AG117" s="417"/>
      <c r="AH117" s="417"/>
      <c r="AI117" s="417"/>
      <c r="AJ117" s="417"/>
      <c r="AK117" s="417"/>
      <c r="AL117" s="417"/>
      <c r="AM117" s="417"/>
      <c r="AN117" s="417"/>
      <c r="AO117" s="417"/>
      <c r="AP117" s="417"/>
      <c r="AQ117" s="417"/>
      <c r="AR117" s="417"/>
      <c r="AS117" s="417"/>
      <c r="AT117" s="417"/>
      <c r="AU117" s="417"/>
      <c r="AV117" s="417"/>
      <c r="AW117" s="417"/>
      <c r="AX117" s="417"/>
      <c r="AY117" s="417"/>
      <c r="AZ117" s="417"/>
      <c r="BA117" s="417"/>
      <c r="BB117" s="417"/>
      <c r="BC117" s="417"/>
      <c r="BD117" s="417"/>
      <c r="BE117" s="417"/>
      <c r="BH117" s="417"/>
      <c r="BI117" s="417"/>
      <c r="BJ117" s="417"/>
      <c r="BK117" s="417"/>
      <c r="BL117" s="417"/>
      <c r="BM117" s="417"/>
      <c r="BN117" s="417"/>
      <c r="BO117" s="417"/>
      <c r="BP117" s="417"/>
      <c r="BQ117" s="414"/>
      <c r="BZ117" s="415"/>
      <c r="CA117" s="417"/>
      <c r="CD117" s="414"/>
      <c r="CJ117" s="415"/>
      <c r="CK117" s="417"/>
      <c r="CL117" s="417"/>
      <c r="CM117" s="417"/>
      <c r="CN117" s="417"/>
      <c r="CO117" s="417"/>
      <c r="CP117" s="417"/>
      <c r="CQ117" s="417"/>
      <c r="CR117" s="417"/>
      <c r="CS117" s="417"/>
      <c r="CT117" s="417"/>
      <c r="CU117" s="417"/>
      <c r="CW117" s="415"/>
      <c r="DA117" s="412"/>
      <c r="DB117" s="412"/>
      <c r="DC117" s="411"/>
      <c r="DD117" s="412"/>
      <c r="DI117" s="414"/>
      <c r="DS117" s="475"/>
      <c r="DT117" s="475"/>
      <c r="DU117" s="475"/>
      <c r="DV117" s="475"/>
      <c r="DW117" s="464"/>
      <c r="DX117" s="464"/>
      <c r="DY117" s="464"/>
      <c r="DZ117" s="464"/>
      <c r="EA117" s="476"/>
      <c r="EB117" s="476"/>
      <c r="EC117" s="476"/>
      <c r="ED117" s="476"/>
      <c r="EE117" s="476"/>
      <c r="EF117" s="476"/>
      <c r="EG117" s="476"/>
      <c r="EH117" s="476"/>
      <c r="EI117" s="476"/>
      <c r="EJ117" s="476"/>
      <c r="EK117" s="476"/>
      <c r="EL117" s="464"/>
      <c r="EM117" s="464"/>
      <c r="EN117" s="464"/>
      <c r="EO117" s="464"/>
      <c r="EP117" s="476"/>
      <c r="EQ117" s="2776"/>
      <c r="ER117" s="2777"/>
      <c r="ES117" s="2777"/>
      <c r="ET117" s="2777"/>
      <c r="EU117" s="2777"/>
      <c r="EV117" s="2777"/>
      <c r="EW117" s="2777"/>
      <c r="EX117" s="2777"/>
      <c r="EY117" s="2777"/>
      <c r="EZ117" s="2777"/>
      <c r="FA117" s="2777"/>
      <c r="FB117" s="2777"/>
      <c r="FC117" s="2777"/>
      <c r="FD117" s="2777"/>
      <c r="FE117" s="2777"/>
      <c r="FF117" s="2777"/>
      <c r="FG117" s="2777"/>
      <c r="FH117" s="2777"/>
      <c r="FI117" s="2777"/>
      <c r="FJ117" s="2777"/>
      <c r="FK117" s="2778"/>
      <c r="FL117" s="464"/>
      <c r="FM117" s="464"/>
      <c r="FN117" s="464"/>
      <c r="FO117" s="464"/>
      <c r="FP117" s="464"/>
      <c r="FQ117" s="464"/>
      <c r="FR117" s="464"/>
      <c r="FS117" s="464"/>
      <c r="GQ117" s="2779" t="s">
        <v>1954</v>
      </c>
      <c r="GR117" s="2779"/>
      <c r="GS117" s="2779"/>
      <c r="GT117" s="2779"/>
      <c r="GU117" s="2779"/>
      <c r="GV117" s="2779"/>
      <c r="GW117" s="2779"/>
      <c r="GX117" s="2779"/>
      <c r="GY117" s="2779"/>
      <c r="GZ117" s="2779"/>
      <c r="HA117" s="2779"/>
      <c r="HB117" s="2779"/>
      <c r="HC117" s="2780">
        <v>1</v>
      </c>
      <c r="HD117" s="2780"/>
      <c r="HE117" s="2780"/>
      <c r="HF117" s="2780"/>
      <c r="HG117" s="2780"/>
      <c r="HH117" s="2780"/>
      <c r="HI117" s="2780"/>
      <c r="HJ117" s="2780"/>
      <c r="HK117" s="2780"/>
      <c r="HL117" s="2780"/>
      <c r="HM117" s="2780"/>
      <c r="HN117" s="2779" t="s">
        <v>901</v>
      </c>
      <c r="HO117" s="2779"/>
      <c r="HP117" s="2779"/>
      <c r="HQ117" s="2779"/>
      <c r="HR117" s="2781">
        <v>0.6</v>
      </c>
      <c r="HS117" s="2781"/>
      <c r="HT117" s="2781"/>
      <c r="HU117" s="2781"/>
      <c r="HV117" s="2781"/>
      <c r="HW117" s="2781"/>
      <c r="HX117" s="2781"/>
      <c r="HY117" s="2781"/>
      <c r="HZ117" s="2781"/>
      <c r="IA117" s="2781"/>
      <c r="IB117" s="2781"/>
      <c r="IC117" s="2779" t="s">
        <v>901</v>
      </c>
      <c r="ID117" s="2779"/>
      <c r="IE117" s="2779"/>
      <c r="IF117" s="2779"/>
      <c r="IG117" s="2781">
        <v>0.3</v>
      </c>
      <c r="IH117" s="2781"/>
      <c r="II117" s="2781"/>
      <c r="IJ117" s="2781"/>
      <c r="IK117" s="2781"/>
      <c r="IL117" s="2781"/>
      <c r="IM117" s="2781"/>
      <c r="IN117" s="2781"/>
      <c r="IO117" s="2781"/>
      <c r="JN117" s="2773">
        <v>407906</v>
      </c>
      <c r="JO117" s="2579"/>
      <c r="JP117" s="2579"/>
      <c r="JQ117" s="2579"/>
      <c r="JR117" s="2579"/>
      <c r="JS117" s="2579"/>
      <c r="JT117" s="2579"/>
      <c r="JU117" s="2579"/>
      <c r="JV117" s="2579"/>
      <c r="JW117" s="2579"/>
      <c r="JX117" s="2579"/>
      <c r="JY117" s="2579"/>
      <c r="JZ117" s="2579"/>
      <c r="KA117" s="2579"/>
      <c r="KB117" s="2579"/>
      <c r="KC117" s="2579"/>
      <c r="KD117" s="2579"/>
      <c r="KE117" s="2579"/>
      <c r="KF117" s="2579"/>
      <c r="KG117" s="2579"/>
      <c r="KH117" s="2579"/>
      <c r="KI117" s="2579"/>
      <c r="KJ117" s="2579"/>
    </row>
    <row r="118" spans="11:296" ht="4.1500000000000004" customHeight="1">
      <c r="K118" s="414"/>
      <c r="P118" s="414"/>
      <c r="R118" s="411"/>
      <c r="AC118" s="412"/>
      <c r="AD118" s="412"/>
      <c r="AE118" s="412"/>
      <c r="AF118" s="412"/>
      <c r="AG118" s="412"/>
      <c r="AH118" s="412"/>
      <c r="AI118" s="412"/>
      <c r="AJ118" s="412"/>
      <c r="AK118" s="412"/>
      <c r="AL118" s="412"/>
      <c r="AM118" s="412"/>
      <c r="AN118" s="412"/>
      <c r="AO118" s="412"/>
      <c r="AP118" s="412"/>
      <c r="AQ118" s="412"/>
      <c r="AR118" s="412"/>
      <c r="AS118" s="412"/>
      <c r="AT118" s="412"/>
      <c r="AU118" s="412"/>
      <c r="AV118" s="412"/>
      <c r="AW118" s="412"/>
      <c r="AX118" s="412"/>
      <c r="AY118" s="412"/>
      <c r="AZ118" s="412"/>
      <c r="BA118" s="412"/>
      <c r="BB118" s="412"/>
      <c r="BC118" s="412"/>
      <c r="BD118" s="412"/>
      <c r="BE118" s="412"/>
      <c r="BF118" s="412"/>
      <c r="BG118" s="412"/>
      <c r="BH118" s="412"/>
      <c r="BI118" s="412"/>
      <c r="BJ118" s="412"/>
      <c r="BK118" s="412"/>
      <c r="BL118" s="412"/>
      <c r="BM118" s="412"/>
      <c r="BN118" s="412"/>
      <c r="BO118" s="412"/>
      <c r="BP118" s="412"/>
      <c r="CA118" s="412"/>
      <c r="CB118" s="414"/>
      <c r="CD118" s="414"/>
      <c r="CK118" s="412"/>
      <c r="CL118" s="412"/>
      <c r="CM118" s="412"/>
      <c r="CN118" s="412"/>
      <c r="CO118" s="412"/>
      <c r="CP118" s="412"/>
      <c r="CQ118" s="412"/>
      <c r="CR118" s="412"/>
      <c r="CS118" s="412"/>
      <c r="CT118" s="412"/>
      <c r="CU118" s="413"/>
      <c r="CW118" s="415"/>
      <c r="DC118" s="414"/>
      <c r="DI118" s="414"/>
      <c r="GQ118" s="2779"/>
      <c r="GR118" s="2779"/>
      <c r="GS118" s="2779"/>
      <c r="GT118" s="2779"/>
      <c r="GU118" s="2779"/>
      <c r="GV118" s="2779"/>
      <c r="GW118" s="2779"/>
      <c r="GX118" s="2779"/>
      <c r="GY118" s="2779"/>
      <c r="GZ118" s="2779"/>
      <c r="HA118" s="2779"/>
      <c r="HB118" s="2779"/>
      <c r="HC118" s="2780"/>
      <c r="HD118" s="2780"/>
      <c r="HE118" s="2780"/>
      <c r="HF118" s="2780"/>
      <c r="HG118" s="2780"/>
      <c r="HH118" s="2780"/>
      <c r="HI118" s="2780"/>
      <c r="HJ118" s="2780"/>
      <c r="HK118" s="2780"/>
      <c r="HL118" s="2780"/>
      <c r="HM118" s="2780"/>
      <c r="HN118" s="2779"/>
      <c r="HO118" s="2779"/>
      <c r="HP118" s="2779"/>
      <c r="HQ118" s="2779"/>
      <c r="HR118" s="2781"/>
      <c r="HS118" s="2781"/>
      <c r="HT118" s="2781"/>
      <c r="HU118" s="2781"/>
      <c r="HV118" s="2781"/>
      <c r="HW118" s="2781"/>
      <c r="HX118" s="2781"/>
      <c r="HY118" s="2781"/>
      <c r="HZ118" s="2781"/>
      <c r="IA118" s="2781"/>
      <c r="IB118" s="2781"/>
      <c r="IC118" s="2779"/>
      <c r="ID118" s="2779"/>
      <c r="IE118" s="2779"/>
      <c r="IF118" s="2779"/>
      <c r="IG118" s="2781"/>
      <c r="IH118" s="2781"/>
      <c r="II118" s="2781"/>
      <c r="IJ118" s="2781"/>
      <c r="IK118" s="2781"/>
      <c r="IL118" s="2781"/>
      <c r="IM118" s="2781"/>
      <c r="IN118" s="2781"/>
      <c r="IO118" s="2781"/>
      <c r="JN118" s="2579"/>
      <c r="JO118" s="2579"/>
      <c r="JP118" s="2579"/>
      <c r="JQ118" s="2579"/>
      <c r="JR118" s="2579"/>
      <c r="JS118" s="2579"/>
      <c r="JT118" s="2579"/>
      <c r="JU118" s="2579"/>
      <c r="JV118" s="2579"/>
      <c r="JW118" s="2579"/>
      <c r="JX118" s="2579"/>
      <c r="JY118" s="2579"/>
      <c r="JZ118" s="2579"/>
      <c r="KA118" s="2579"/>
      <c r="KB118" s="2579"/>
      <c r="KC118" s="2579"/>
      <c r="KD118" s="2579"/>
      <c r="KE118" s="2579"/>
      <c r="KF118" s="2579"/>
      <c r="KG118" s="2579"/>
      <c r="KH118" s="2579"/>
      <c r="KI118" s="2579"/>
      <c r="KJ118" s="2579"/>
    </row>
    <row r="119" spans="11:296" ht="4.1500000000000004" customHeight="1">
      <c r="K119" s="414"/>
      <c r="P119" s="414"/>
      <c r="R119" s="414"/>
      <c r="CB119" s="414"/>
      <c r="CD119" s="414"/>
      <c r="CU119" s="415"/>
      <c r="CW119" s="415"/>
      <c r="DC119" s="414"/>
      <c r="DI119" s="414"/>
      <c r="GQ119" s="2779"/>
      <c r="GR119" s="2779"/>
      <c r="GS119" s="2779"/>
      <c r="GT119" s="2779"/>
      <c r="GU119" s="2779"/>
      <c r="GV119" s="2779"/>
      <c r="GW119" s="2779"/>
      <c r="GX119" s="2779"/>
      <c r="GY119" s="2779"/>
      <c r="GZ119" s="2779"/>
      <c r="HA119" s="2779"/>
      <c r="HB119" s="2779"/>
      <c r="HC119" s="2780"/>
      <c r="HD119" s="2780"/>
      <c r="HE119" s="2780"/>
      <c r="HF119" s="2780"/>
      <c r="HG119" s="2780"/>
      <c r="HH119" s="2780"/>
      <c r="HI119" s="2780"/>
      <c r="HJ119" s="2780"/>
      <c r="HK119" s="2780"/>
      <c r="HL119" s="2780"/>
      <c r="HM119" s="2780"/>
      <c r="HN119" s="2779"/>
      <c r="HO119" s="2779"/>
      <c r="HP119" s="2779"/>
      <c r="HQ119" s="2779"/>
      <c r="HR119" s="2781"/>
      <c r="HS119" s="2781"/>
      <c r="HT119" s="2781"/>
      <c r="HU119" s="2781"/>
      <c r="HV119" s="2781"/>
      <c r="HW119" s="2781"/>
      <c r="HX119" s="2781"/>
      <c r="HY119" s="2781"/>
      <c r="HZ119" s="2781"/>
      <c r="IA119" s="2781"/>
      <c r="IB119" s="2781"/>
      <c r="IC119" s="2779"/>
      <c r="ID119" s="2779"/>
      <c r="IE119" s="2779"/>
      <c r="IF119" s="2779"/>
      <c r="IG119" s="2781"/>
      <c r="IH119" s="2781"/>
      <c r="II119" s="2781"/>
      <c r="IJ119" s="2781"/>
      <c r="IK119" s="2781"/>
      <c r="IL119" s="2781"/>
      <c r="IM119" s="2781"/>
      <c r="IN119" s="2781"/>
      <c r="IO119" s="2781"/>
      <c r="JN119" s="2579"/>
      <c r="JO119" s="2579"/>
      <c r="JP119" s="2579"/>
      <c r="JQ119" s="2579"/>
      <c r="JR119" s="2579"/>
      <c r="JS119" s="2579"/>
      <c r="JT119" s="2579"/>
      <c r="JU119" s="2579"/>
      <c r="JV119" s="2579"/>
      <c r="JW119" s="2579"/>
      <c r="JX119" s="2579"/>
      <c r="JY119" s="2579"/>
      <c r="JZ119" s="2579"/>
      <c r="KA119" s="2579"/>
      <c r="KB119" s="2579"/>
      <c r="KC119" s="2579"/>
      <c r="KD119" s="2579"/>
      <c r="KE119" s="2579"/>
      <c r="KF119" s="2579"/>
      <c r="KG119" s="2579"/>
      <c r="KH119" s="2579"/>
      <c r="KI119" s="2579"/>
      <c r="KJ119" s="2579"/>
    </row>
    <row r="120" spans="11:296" ht="4.1500000000000004" customHeight="1">
      <c r="K120" s="414"/>
      <c r="P120" s="414"/>
      <c r="R120" s="414"/>
      <c r="AN120" s="2579" t="s">
        <v>1780</v>
      </c>
      <c r="AO120" s="2579"/>
      <c r="AP120" s="2579"/>
      <c r="AQ120" s="2579"/>
      <c r="AR120" s="2579"/>
      <c r="AS120" s="2579"/>
      <c r="AT120" s="2579"/>
      <c r="AU120" s="2579"/>
      <c r="AV120" s="2579"/>
      <c r="AW120" s="2579"/>
      <c r="AX120" s="2579"/>
      <c r="AY120" s="2579"/>
      <c r="AZ120" s="2579"/>
      <c r="BA120" s="2579"/>
      <c r="BB120" s="2579"/>
      <c r="BC120" s="2579"/>
      <c r="BD120" s="2579"/>
      <c r="BE120" s="2579"/>
      <c r="CB120" s="414"/>
      <c r="CD120" s="414"/>
      <c r="CF120" s="2579" t="s">
        <v>1786</v>
      </c>
      <c r="CG120" s="2579"/>
      <c r="CH120" s="2579"/>
      <c r="CI120" s="2579"/>
      <c r="CJ120" s="2579"/>
      <c r="CK120" s="2579"/>
      <c r="CL120" s="2579"/>
      <c r="CM120" s="2579"/>
      <c r="CN120" s="2579"/>
      <c r="CO120" s="2579"/>
      <c r="CP120" s="2579"/>
      <c r="CQ120" s="2579"/>
      <c r="CR120" s="2579"/>
      <c r="CS120" s="2579"/>
      <c r="CU120" s="415"/>
      <c r="CW120" s="415"/>
      <c r="DA120" s="2771">
        <f>AY123+CV85</f>
        <v>1.75</v>
      </c>
      <c r="DB120" s="2772"/>
      <c r="DC120" s="2772"/>
      <c r="DD120" s="2772"/>
      <c r="DI120" s="414"/>
      <c r="JN120" s="2579"/>
      <c r="JO120" s="2579"/>
      <c r="JP120" s="2579"/>
      <c r="JQ120" s="2579"/>
      <c r="JR120" s="2579"/>
      <c r="JS120" s="2579"/>
      <c r="JT120" s="2579"/>
      <c r="JU120" s="2579"/>
      <c r="JV120" s="2579"/>
      <c r="JW120" s="2579"/>
      <c r="JX120" s="2579"/>
      <c r="JY120" s="2579"/>
      <c r="JZ120" s="2579"/>
      <c r="KA120" s="2579"/>
      <c r="KB120" s="2579"/>
      <c r="KC120" s="2579"/>
      <c r="KD120" s="2579"/>
      <c r="KE120" s="2579"/>
      <c r="KF120" s="2579"/>
      <c r="KG120" s="2579"/>
      <c r="KH120" s="2579"/>
      <c r="KI120" s="2579"/>
      <c r="KJ120" s="2579"/>
    </row>
    <row r="121" spans="11:296" ht="4.1500000000000004" customHeight="1">
      <c r="K121" s="414"/>
      <c r="P121" s="414"/>
      <c r="R121" s="414"/>
      <c r="AN121" s="2579"/>
      <c r="AO121" s="2579"/>
      <c r="AP121" s="2579"/>
      <c r="AQ121" s="2579"/>
      <c r="AR121" s="2579"/>
      <c r="AS121" s="2579"/>
      <c r="AT121" s="2579"/>
      <c r="AU121" s="2579"/>
      <c r="AV121" s="2579"/>
      <c r="AW121" s="2579"/>
      <c r="AX121" s="2579"/>
      <c r="AY121" s="2579"/>
      <c r="AZ121" s="2579"/>
      <c r="BA121" s="2579"/>
      <c r="BB121" s="2579"/>
      <c r="BC121" s="2579"/>
      <c r="BD121" s="2579"/>
      <c r="BE121" s="2579"/>
      <c r="CB121" s="414"/>
      <c r="CD121" s="414"/>
      <c r="CF121" s="2579"/>
      <c r="CG121" s="2579"/>
      <c r="CH121" s="2579"/>
      <c r="CI121" s="2579"/>
      <c r="CJ121" s="2579"/>
      <c r="CK121" s="2579"/>
      <c r="CL121" s="2579"/>
      <c r="CM121" s="2579"/>
      <c r="CN121" s="2579"/>
      <c r="CO121" s="2579"/>
      <c r="CP121" s="2579"/>
      <c r="CQ121" s="2579"/>
      <c r="CR121" s="2579"/>
      <c r="CS121" s="2579"/>
      <c r="CU121" s="415"/>
      <c r="CW121" s="415"/>
      <c r="DA121" s="2772"/>
      <c r="DB121" s="2772"/>
      <c r="DC121" s="2772"/>
      <c r="DD121" s="2772"/>
      <c r="DI121" s="414"/>
    </row>
    <row r="122" spans="11:296" ht="4.1500000000000004" customHeight="1">
      <c r="K122" s="414"/>
      <c r="P122" s="414"/>
      <c r="R122" s="414"/>
      <c r="AN122" s="2579"/>
      <c r="AO122" s="2579"/>
      <c r="AP122" s="2579"/>
      <c r="AQ122" s="2579"/>
      <c r="AR122" s="2579"/>
      <c r="AS122" s="2579"/>
      <c r="AT122" s="2579"/>
      <c r="AU122" s="2579"/>
      <c r="AV122" s="2579"/>
      <c r="AW122" s="2579"/>
      <c r="AX122" s="2579"/>
      <c r="AY122" s="2579"/>
      <c r="AZ122" s="2579"/>
      <c r="BA122" s="2579"/>
      <c r="BB122" s="2579"/>
      <c r="BC122" s="2579"/>
      <c r="BD122" s="2579"/>
      <c r="BE122" s="2579"/>
      <c r="CB122" s="414"/>
      <c r="CD122" s="414"/>
      <c r="CF122" s="2579"/>
      <c r="CG122" s="2579"/>
      <c r="CH122" s="2579"/>
      <c r="CI122" s="2579"/>
      <c r="CJ122" s="2579"/>
      <c r="CK122" s="2579"/>
      <c r="CL122" s="2579"/>
      <c r="CM122" s="2579"/>
      <c r="CN122" s="2579"/>
      <c r="CO122" s="2579"/>
      <c r="CP122" s="2579"/>
      <c r="CQ122" s="2579"/>
      <c r="CR122" s="2579"/>
      <c r="CS122" s="2579"/>
      <c r="CU122" s="415"/>
      <c r="CW122" s="415"/>
      <c r="DA122" s="2772"/>
      <c r="DB122" s="2772"/>
      <c r="DC122" s="2772"/>
      <c r="DD122" s="2772"/>
      <c r="DI122" s="414"/>
    </row>
    <row r="123" spans="11:296" ht="4.1500000000000004" customHeight="1">
      <c r="K123" s="414"/>
      <c r="P123" s="414"/>
      <c r="R123" s="414"/>
      <c r="AN123" s="2577">
        <f>AW96-CF123-CV85</f>
        <v>5.25</v>
      </c>
      <c r="AO123" s="2577"/>
      <c r="AP123" s="2577"/>
      <c r="AQ123" s="2577"/>
      <c r="AR123" s="2577"/>
      <c r="AS123" s="2577"/>
      <c r="AT123" s="2577"/>
      <c r="AU123" s="2577" t="s">
        <v>901</v>
      </c>
      <c r="AV123" s="2577"/>
      <c r="AW123" s="2577"/>
      <c r="AX123" s="2577"/>
      <c r="AY123" s="2577">
        <v>1.5</v>
      </c>
      <c r="AZ123" s="2577"/>
      <c r="BA123" s="2577"/>
      <c r="BB123" s="2577"/>
      <c r="BC123" s="2577"/>
      <c r="BD123" s="2577"/>
      <c r="BE123" s="2577"/>
      <c r="CB123" s="414"/>
      <c r="CD123" s="414"/>
      <c r="CF123" s="2774">
        <f>AY123</f>
        <v>1.5</v>
      </c>
      <c r="CG123" s="2774"/>
      <c r="CH123" s="2774"/>
      <c r="CI123" s="2774"/>
      <c r="CJ123" s="2774"/>
      <c r="CK123" s="2774"/>
      <c r="CL123" s="2774" t="s">
        <v>901</v>
      </c>
      <c r="CM123" s="2774"/>
      <c r="CN123" s="2774">
        <f>AY123</f>
        <v>1.5</v>
      </c>
      <c r="CO123" s="2774"/>
      <c r="CP123" s="2774"/>
      <c r="CQ123" s="2774"/>
      <c r="CR123" s="2774"/>
      <c r="CS123" s="2774"/>
      <c r="CU123" s="415"/>
      <c r="CW123" s="415"/>
      <c r="DA123" s="2772"/>
      <c r="DB123" s="2772"/>
      <c r="DC123" s="2772"/>
      <c r="DD123" s="2772"/>
      <c r="DI123" s="414"/>
    </row>
    <row r="124" spans="11:296" ht="4.1500000000000004" customHeight="1">
      <c r="K124" s="414"/>
      <c r="P124" s="414"/>
      <c r="R124" s="414"/>
      <c r="AN124" s="2577"/>
      <c r="AO124" s="2577"/>
      <c r="AP124" s="2577"/>
      <c r="AQ124" s="2577"/>
      <c r="AR124" s="2577"/>
      <c r="AS124" s="2577"/>
      <c r="AT124" s="2577"/>
      <c r="AU124" s="2577"/>
      <c r="AV124" s="2577"/>
      <c r="AW124" s="2577"/>
      <c r="AX124" s="2577"/>
      <c r="AY124" s="2577"/>
      <c r="AZ124" s="2577"/>
      <c r="BA124" s="2577"/>
      <c r="BB124" s="2577"/>
      <c r="BC124" s="2577"/>
      <c r="BD124" s="2577"/>
      <c r="BE124" s="2577"/>
      <c r="CB124" s="414"/>
      <c r="CD124" s="414"/>
      <c r="CF124" s="2774"/>
      <c r="CG124" s="2774"/>
      <c r="CH124" s="2774"/>
      <c r="CI124" s="2774"/>
      <c r="CJ124" s="2774"/>
      <c r="CK124" s="2774"/>
      <c r="CL124" s="2774"/>
      <c r="CM124" s="2774"/>
      <c r="CN124" s="2774"/>
      <c r="CO124" s="2774"/>
      <c r="CP124" s="2774"/>
      <c r="CQ124" s="2774"/>
      <c r="CR124" s="2774"/>
      <c r="CS124" s="2774"/>
      <c r="CU124" s="415"/>
      <c r="CW124" s="415"/>
      <c r="DA124" s="2772"/>
      <c r="DB124" s="2772"/>
      <c r="DC124" s="2772"/>
      <c r="DD124" s="2772"/>
      <c r="DI124" s="414"/>
    </row>
    <row r="125" spans="11:296" ht="4.1500000000000004" customHeight="1">
      <c r="K125" s="414"/>
      <c r="P125" s="414"/>
      <c r="R125" s="414"/>
      <c r="AN125" s="2577"/>
      <c r="AO125" s="2577"/>
      <c r="AP125" s="2577"/>
      <c r="AQ125" s="2577"/>
      <c r="AR125" s="2577"/>
      <c r="AS125" s="2577"/>
      <c r="AT125" s="2577"/>
      <c r="AU125" s="2577"/>
      <c r="AV125" s="2577"/>
      <c r="AW125" s="2577"/>
      <c r="AX125" s="2577"/>
      <c r="AY125" s="2577"/>
      <c r="AZ125" s="2577"/>
      <c r="BA125" s="2577"/>
      <c r="BB125" s="2577"/>
      <c r="BC125" s="2577"/>
      <c r="BD125" s="2577"/>
      <c r="BE125" s="2577"/>
      <c r="CA125" s="415"/>
      <c r="CB125" s="414"/>
      <c r="CD125" s="414"/>
      <c r="CF125" s="2774"/>
      <c r="CG125" s="2774"/>
      <c r="CH125" s="2774"/>
      <c r="CI125" s="2774"/>
      <c r="CJ125" s="2774"/>
      <c r="CK125" s="2774"/>
      <c r="CL125" s="2774"/>
      <c r="CM125" s="2774"/>
      <c r="CN125" s="2774"/>
      <c r="CO125" s="2774"/>
      <c r="CP125" s="2774"/>
      <c r="CQ125" s="2774"/>
      <c r="CR125" s="2774"/>
      <c r="CS125" s="2774"/>
      <c r="CU125" s="415"/>
      <c r="CW125" s="415"/>
      <c r="DA125" s="2772"/>
      <c r="DB125" s="2772"/>
      <c r="DC125" s="2772"/>
      <c r="DD125" s="2772"/>
      <c r="DI125" s="414"/>
    </row>
    <row r="126" spans="11:296" ht="4.1500000000000004" customHeight="1">
      <c r="K126" s="414"/>
      <c r="P126" s="414"/>
      <c r="Q126" s="415"/>
      <c r="R126" s="481"/>
      <c r="S126" s="481"/>
      <c r="CA126" s="415"/>
      <c r="CB126" s="414"/>
      <c r="CD126" s="414"/>
      <c r="CT126" s="481"/>
      <c r="CU126" s="482"/>
      <c r="CW126" s="415"/>
      <c r="DA126" s="2772"/>
      <c r="DB126" s="2772"/>
      <c r="DC126" s="2772"/>
      <c r="DD126" s="2772"/>
      <c r="DI126" s="414"/>
    </row>
    <row r="127" spans="11:296" ht="4.1500000000000004" customHeight="1">
      <c r="K127" s="414"/>
      <c r="P127" s="414"/>
      <c r="Q127" s="415"/>
      <c r="R127" s="481"/>
      <c r="S127" s="481"/>
      <c r="CA127" s="415"/>
      <c r="CB127" s="414"/>
      <c r="CD127" s="414"/>
      <c r="CT127" s="481"/>
      <c r="CU127" s="482"/>
      <c r="CW127" s="415"/>
      <c r="DA127" s="2772"/>
      <c r="DB127" s="2772"/>
      <c r="DC127" s="2772"/>
      <c r="DD127" s="2772"/>
      <c r="DI127" s="414"/>
    </row>
    <row r="128" spans="11:296" ht="4.1500000000000004" customHeight="1">
      <c r="K128" s="414"/>
      <c r="P128" s="414"/>
      <c r="Q128" s="415"/>
      <c r="R128" s="481"/>
      <c r="S128" s="481"/>
      <c r="AJ128" s="483"/>
      <c r="AK128" s="483"/>
      <c r="AL128" s="483"/>
      <c r="AM128" s="483"/>
      <c r="AT128" s="415"/>
      <c r="AU128" s="3238">
        <v>0.5</v>
      </c>
      <c r="AV128" s="3239"/>
      <c r="AW128" s="3239"/>
      <c r="AX128" s="3240"/>
      <c r="AY128" s="414"/>
      <c r="BD128" s="484"/>
      <c r="BE128" s="484"/>
      <c r="BF128" s="484"/>
      <c r="BG128" s="2580">
        <f>(AN123-AU128)/2</f>
        <v>2.375</v>
      </c>
      <c r="BH128" s="2580"/>
      <c r="BI128" s="2580"/>
      <c r="BJ128" s="2580"/>
      <c r="BK128" s="2580"/>
      <c r="BL128" s="2580"/>
      <c r="BM128" s="2580"/>
      <c r="BN128" s="2580"/>
      <c r="BO128" s="2580"/>
      <c r="BP128" s="2580"/>
      <c r="BQ128" s="2580"/>
      <c r="BR128" s="2580"/>
      <c r="BS128" s="2580"/>
      <c r="CA128" s="415"/>
      <c r="CB128" s="414"/>
      <c r="CD128" s="414"/>
      <c r="CT128" s="481"/>
      <c r="CU128" s="482"/>
      <c r="CW128" s="415"/>
      <c r="DA128" s="2772"/>
      <c r="DB128" s="2772"/>
      <c r="DC128" s="2772"/>
      <c r="DD128" s="2772"/>
      <c r="DI128" s="414"/>
    </row>
    <row r="129" spans="9:114" ht="4.1500000000000004" customHeight="1" thickBot="1">
      <c r="K129" s="414"/>
      <c r="P129" s="414"/>
      <c r="Q129" s="415"/>
      <c r="R129" s="481"/>
      <c r="S129" s="481"/>
      <c r="AJ129" s="483"/>
      <c r="AK129" s="483"/>
      <c r="AL129" s="483"/>
      <c r="AM129" s="483"/>
      <c r="AT129" s="415"/>
      <c r="AU129" s="3238"/>
      <c r="AV129" s="3239"/>
      <c r="AW129" s="3239"/>
      <c r="AX129" s="3240"/>
      <c r="AY129" s="416"/>
      <c r="AZ129" s="417"/>
      <c r="BA129" s="417"/>
      <c r="BB129" s="417"/>
      <c r="BC129" s="417"/>
      <c r="BD129" s="485"/>
      <c r="BE129" s="485"/>
      <c r="BF129" s="485"/>
      <c r="BG129" s="2580"/>
      <c r="BH129" s="2580"/>
      <c r="BI129" s="2580"/>
      <c r="BJ129" s="2580"/>
      <c r="BK129" s="2580"/>
      <c r="BL129" s="2580"/>
      <c r="BM129" s="2580"/>
      <c r="BN129" s="2580"/>
      <c r="BO129" s="2580"/>
      <c r="BP129" s="2580"/>
      <c r="BQ129" s="2580"/>
      <c r="BR129" s="2580"/>
      <c r="BS129" s="2580"/>
      <c r="BT129" s="417"/>
      <c r="BU129" s="417"/>
      <c r="BV129" s="417"/>
      <c r="BW129" s="417"/>
      <c r="BX129" s="417"/>
      <c r="BY129" s="417"/>
      <c r="BZ129" s="417"/>
      <c r="CA129" s="418"/>
      <c r="CB129" s="414"/>
      <c r="CD129" s="414"/>
      <c r="CT129" s="481"/>
      <c r="CU129" s="481"/>
      <c r="CV129" s="414"/>
      <c r="CW129" s="415"/>
      <c r="DA129" s="2772"/>
      <c r="DB129" s="2772"/>
      <c r="DC129" s="2772"/>
      <c r="DD129" s="2772"/>
      <c r="DI129" s="414"/>
    </row>
    <row r="130" spans="9:114" ht="4.1500000000000004" customHeight="1">
      <c r="K130" s="414"/>
      <c r="P130" s="425"/>
      <c r="Q130" s="427"/>
      <c r="R130" s="481"/>
      <c r="S130" s="481"/>
      <c r="AJ130" s="483"/>
      <c r="AK130" s="483"/>
      <c r="AL130" s="483"/>
      <c r="AM130" s="483"/>
      <c r="AT130" s="415"/>
      <c r="AU130" s="3238"/>
      <c r="AV130" s="3239"/>
      <c r="AW130" s="3239"/>
      <c r="AX130" s="3240"/>
      <c r="AY130" s="414"/>
      <c r="BD130" s="484"/>
      <c r="BE130" s="484"/>
      <c r="BF130" s="484"/>
      <c r="BG130" s="2580"/>
      <c r="BH130" s="2580"/>
      <c r="BI130" s="2580"/>
      <c r="BJ130" s="2580"/>
      <c r="BK130" s="2580"/>
      <c r="BL130" s="2580"/>
      <c r="BM130" s="2580"/>
      <c r="BN130" s="2580"/>
      <c r="BO130" s="2580"/>
      <c r="BP130" s="2580"/>
      <c r="BQ130" s="2580"/>
      <c r="BR130" s="2580"/>
      <c r="BS130" s="2580"/>
      <c r="CA130" s="415"/>
      <c r="CB130" s="414"/>
      <c r="CD130" s="414"/>
      <c r="CT130" s="481"/>
      <c r="CU130" s="482"/>
      <c r="CV130" s="414"/>
      <c r="CW130" s="415"/>
      <c r="DC130" s="414"/>
      <c r="DI130" s="414"/>
    </row>
    <row r="131" spans="9:114" ht="4.1500000000000004" customHeight="1" thickBot="1">
      <c r="K131" s="414"/>
      <c r="P131" s="432"/>
      <c r="Q131" s="431"/>
      <c r="R131" s="486"/>
      <c r="S131" s="486"/>
      <c r="AO131" s="414"/>
      <c r="CB131" s="414"/>
      <c r="CD131" s="416"/>
      <c r="CE131" s="417"/>
      <c r="CF131" s="417"/>
      <c r="CG131" s="417"/>
      <c r="CH131" s="417"/>
      <c r="CI131" s="417"/>
      <c r="CJ131" s="417"/>
      <c r="CK131" s="417"/>
      <c r="CL131" s="417"/>
      <c r="CM131" s="417"/>
      <c r="CN131" s="417"/>
      <c r="CO131" s="417"/>
      <c r="CP131" s="417"/>
      <c r="CQ131" s="417"/>
      <c r="CT131" s="417"/>
      <c r="CU131" s="418"/>
      <c r="CV131" s="414"/>
      <c r="CW131" s="415"/>
      <c r="DC131" s="414"/>
      <c r="DI131" s="414"/>
    </row>
    <row r="132" spans="9:114" ht="4.1500000000000004" customHeight="1">
      <c r="K132" s="414"/>
      <c r="P132" s="432"/>
      <c r="R132" s="426"/>
      <c r="S132" s="427"/>
      <c r="T132" s="433"/>
      <c r="U132" s="434"/>
      <c r="V132" s="434"/>
      <c r="W132" s="434"/>
      <c r="X132" s="434"/>
      <c r="Y132" s="434"/>
      <c r="Z132" s="434"/>
      <c r="AA132" s="434"/>
      <c r="AB132" s="434"/>
      <c r="AC132" s="434"/>
      <c r="AD132" s="434"/>
      <c r="AE132" s="434"/>
      <c r="AF132" s="434"/>
      <c r="AG132" s="434"/>
      <c r="AH132" s="434"/>
      <c r="AI132" s="434"/>
      <c r="AJ132" s="434"/>
      <c r="AK132" s="434"/>
      <c r="AL132" s="434"/>
      <c r="AM132" s="434"/>
      <c r="AN132" s="434"/>
      <c r="AO132" s="434"/>
      <c r="AP132" s="434"/>
      <c r="AQ132" s="434"/>
      <c r="AR132" s="434"/>
      <c r="AS132" s="434"/>
      <c r="AT132" s="434"/>
      <c r="AU132" s="425"/>
      <c r="AV132" s="426"/>
      <c r="AW132" s="426"/>
      <c r="AX132" s="427"/>
      <c r="AY132" s="434"/>
      <c r="AZ132" s="434"/>
      <c r="BA132" s="434"/>
      <c r="BB132" s="434"/>
      <c r="BC132" s="434"/>
      <c r="BD132" s="434"/>
      <c r="BE132" s="434"/>
      <c r="BF132" s="434"/>
      <c r="BG132" s="434"/>
      <c r="BH132" s="434"/>
      <c r="BI132" s="434"/>
      <c r="BJ132" s="434"/>
      <c r="BK132" s="434"/>
      <c r="BL132" s="434"/>
      <c r="BM132" s="434"/>
      <c r="BN132" s="434"/>
      <c r="BO132" s="434"/>
      <c r="BP132" s="434"/>
      <c r="BQ132" s="434"/>
      <c r="BR132" s="434"/>
      <c r="BS132" s="434"/>
      <c r="BT132" s="434"/>
      <c r="BU132" s="434"/>
      <c r="BV132" s="434"/>
      <c r="BW132" s="434"/>
      <c r="BX132" s="434"/>
      <c r="BY132" s="434"/>
      <c r="BZ132" s="434"/>
      <c r="CA132" s="487"/>
      <c r="CK132" s="419"/>
      <c r="CL132" s="420"/>
      <c r="CM132" s="420"/>
      <c r="CN132" s="421"/>
      <c r="CR132" s="412"/>
      <c r="CS132" s="412"/>
      <c r="CW132" s="415"/>
      <c r="DA132" s="417"/>
      <c r="DB132" s="417"/>
      <c r="DC132" s="416"/>
      <c r="DD132" s="417"/>
      <c r="DG132" s="417"/>
      <c r="DH132" s="417"/>
      <c r="DI132" s="416"/>
      <c r="DJ132" s="417"/>
    </row>
    <row r="133" spans="9:114" ht="4.1500000000000004" customHeight="1" thickBot="1">
      <c r="I133" s="417"/>
      <c r="J133" s="417"/>
      <c r="K133" s="416"/>
      <c r="L133" s="417"/>
      <c r="P133" s="428"/>
      <c r="Q133" s="429"/>
      <c r="R133" s="429"/>
      <c r="S133" s="430"/>
      <c r="T133" s="435"/>
      <c r="U133" s="436"/>
      <c r="V133" s="436"/>
      <c r="W133" s="436"/>
      <c r="X133" s="436"/>
      <c r="Y133" s="436"/>
      <c r="Z133" s="436"/>
      <c r="AA133" s="436"/>
      <c r="AB133" s="436"/>
      <c r="AC133" s="436"/>
      <c r="AD133" s="436"/>
      <c r="AE133" s="436"/>
      <c r="AF133" s="436"/>
      <c r="AG133" s="436"/>
      <c r="AH133" s="436"/>
      <c r="AI133" s="436"/>
      <c r="AJ133" s="436"/>
      <c r="AK133" s="436"/>
      <c r="AL133" s="436"/>
      <c r="AM133" s="436"/>
      <c r="AN133" s="436"/>
      <c r="AO133" s="436"/>
      <c r="AP133" s="436"/>
      <c r="AQ133" s="436"/>
      <c r="AR133" s="436"/>
      <c r="AS133" s="436"/>
      <c r="AT133" s="436"/>
      <c r="AU133" s="428"/>
      <c r="AV133" s="429"/>
      <c r="AW133" s="429"/>
      <c r="AX133" s="430"/>
      <c r="AY133" s="436"/>
      <c r="AZ133" s="436"/>
      <c r="BA133" s="436"/>
      <c r="BB133" s="436"/>
      <c r="BC133" s="436"/>
      <c r="BD133" s="436"/>
      <c r="BE133" s="436"/>
      <c r="BF133" s="436"/>
      <c r="BG133" s="436"/>
      <c r="BH133" s="436"/>
      <c r="BI133" s="436"/>
      <c r="BJ133" s="436"/>
      <c r="BK133" s="436"/>
      <c r="BL133" s="436"/>
      <c r="BM133" s="436"/>
      <c r="BN133" s="436"/>
      <c r="BO133" s="436"/>
      <c r="BP133" s="436"/>
      <c r="BQ133" s="436"/>
      <c r="BR133" s="436"/>
      <c r="BS133" s="436"/>
      <c r="BT133" s="436"/>
      <c r="BU133" s="436"/>
      <c r="BV133" s="436"/>
      <c r="BW133" s="436"/>
      <c r="BX133" s="436"/>
      <c r="BY133" s="436"/>
      <c r="BZ133" s="436"/>
      <c r="CA133" s="488"/>
      <c r="CB133" s="417"/>
      <c r="CC133" s="417"/>
      <c r="CD133" s="417"/>
      <c r="CE133" s="417"/>
      <c r="CF133" s="417"/>
      <c r="CG133" s="417"/>
      <c r="CH133" s="417"/>
      <c r="CI133" s="417"/>
      <c r="CJ133" s="417"/>
      <c r="CK133" s="416"/>
      <c r="CL133" s="417"/>
      <c r="CM133" s="417"/>
      <c r="CN133" s="418"/>
      <c r="CO133" s="417"/>
      <c r="CP133" s="417"/>
      <c r="CQ133" s="417"/>
      <c r="CR133" s="417"/>
      <c r="CS133" s="417"/>
      <c r="CT133" s="417"/>
      <c r="CU133" s="417"/>
      <c r="CV133" s="417"/>
      <c r="CW133" s="418"/>
    </row>
    <row r="134" spans="9:114" ht="4.1500000000000004" customHeight="1">
      <c r="P134" s="439"/>
      <c r="CW134" s="440"/>
    </row>
    <row r="135" spans="9:114" ht="4.1500000000000004" customHeight="1">
      <c r="P135" s="439"/>
      <c r="CW135" s="440"/>
    </row>
    <row r="136" spans="9:114" ht="4.1500000000000004" customHeight="1">
      <c r="P136" s="439"/>
      <c r="CW136" s="440"/>
    </row>
    <row r="137" spans="9:114" ht="4.1500000000000004" customHeight="1">
      <c r="P137" s="443"/>
      <c r="Q137" s="436"/>
      <c r="R137" s="436"/>
      <c r="S137" s="436"/>
      <c r="T137" s="436"/>
      <c r="U137" s="436"/>
      <c r="V137" s="436"/>
      <c r="W137" s="436"/>
      <c r="X137" s="436"/>
      <c r="Y137" s="436"/>
      <c r="Z137" s="436"/>
      <c r="AA137" s="436"/>
      <c r="AB137" s="436"/>
      <c r="AC137" s="436"/>
      <c r="AD137" s="436"/>
      <c r="AE137" s="436"/>
      <c r="AF137" s="436"/>
      <c r="AG137" s="436"/>
      <c r="AH137" s="436"/>
      <c r="AI137" s="436"/>
      <c r="AJ137" s="436"/>
      <c r="AK137" s="436"/>
      <c r="AL137" s="436"/>
      <c r="AM137" s="436"/>
      <c r="AN137" s="436"/>
      <c r="AO137" s="436"/>
      <c r="AP137" s="436"/>
      <c r="AQ137" s="436"/>
      <c r="AR137" s="436"/>
      <c r="AS137" s="436"/>
      <c r="AT137" s="436"/>
      <c r="AU137" s="436"/>
      <c r="AV137" s="436"/>
      <c r="AW137" s="436"/>
      <c r="AX137" s="436"/>
      <c r="AY137" s="436"/>
      <c r="AZ137" s="436"/>
      <c r="BA137" s="436"/>
      <c r="BB137" s="436"/>
      <c r="BC137" s="436"/>
      <c r="BD137" s="436"/>
      <c r="BE137" s="436"/>
      <c r="BF137" s="436"/>
      <c r="BG137" s="436"/>
      <c r="BH137" s="436"/>
      <c r="BI137" s="436"/>
      <c r="BJ137" s="436"/>
      <c r="BK137" s="436"/>
      <c r="BL137" s="436"/>
      <c r="BM137" s="436"/>
      <c r="BN137" s="436"/>
      <c r="BO137" s="436"/>
      <c r="BP137" s="436"/>
      <c r="BQ137" s="436"/>
      <c r="BR137" s="436"/>
      <c r="BS137" s="436"/>
      <c r="BT137" s="436"/>
      <c r="BU137" s="436"/>
      <c r="BV137" s="436"/>
      <c r="BW137" s="436"/>
      <c r="BX137" s="436"/>
      <c r="BY137" s="436"/>
      <c r="BZ137" s="436"/>
      <c r="CA137" s="436"/>
      <c r="CB137" s="436"/>
      <c r="CC137" s="436"/>
      <c r="CD137" s="436"/>
      <c r="CE137" s="436"/>
      <c r="CF137" s="436"/>
      <c r="CG137" s="436"/>
      <c r="CH137" s="436"/>
      <c r="CI137" s="436"/>
      <c r="CJ137" s="436"/>
      <c r="CK137" s="436"/>
      <c r="CL137" s="436"/>
      <c r="CM137" s="436"/>
      <c r="CN137" s="436"/>
      <c r="CO137" s="436"/>
      <c r="CP137" s="436"/>
      <c r="CQ137" s="436"/>
      <c r="CR137" s="436"/>
      <c r="CS137" s="436"/>
      <c r="CT137" s="436"/>
      <c r="CU137" s="436"/>
      <c r="CV137" s="436"/>
      <c r="CW137" s="444"/>
    </row>
    <row r="140" spans="9:114" ht="4.1500000000000004" customHeight="1">
      <c r="P140" s="414"/>
      <c r="AP140" s="2773">
        <f>AN123+CV85</f>
        <v>5.5</v>
      </c>
      <c r="AQ140" s="2579"/>
      <c r="AR140" s="2579"/>
      <c r="AS140" s="2579"/>
      <c r="AT140" s="2579"/>
      <c r="AU140" s="2579"/>
      <c r="AV140" s="2579"/>
      <c r="AW140" s="2579"/>
      <c r="AX140" s="2579"/>
      <c r="AY140" s="2579"/>
      <c r="AZ140" s="2579"/>
      <c r="BA140" s="2579"/>
      <c r="BB140" s="2579"/>
      <c r="BC140" s="2579"/>
      <c r="CC140" s="415"/>
    </row>
    <row r="141" spans="9:114" ht="4.1500000000000004" customHeight="1">
      <c r="P141" s="416"/>
      <c r="Q141" s="417"/>
      <c r="R141" s="417"/>
      <c r="S141" s="417"/>
      <c r="T141" s="417"/>
      <c r="U141" s="417"/>
      <c r="V141" s="417"/>
      <c r="W141" s="417"/>
      <c r="X141" s="417"/>
      <c r="Y141" s="417"/>
      <c r="Z141" s="417"/>
      <c r="AA141" s="417"/>
      <c r="AB141" s="417"/>
      <c r="AC141" s="417"/>
      <c r="AD141" s="417"/>
      <c r="AE141" s="417"/>
      <c r="AF141" s="417"/>
      <c r="AG141" s="417"/>
      <c r="AH141" s="417"/>
      <c r="AI141" s="417"/>
      <c r="AJ141" s="417"/>
      <c r="AK141" s="417"/>
      <c r="AL141" s="417"/>
      <c r="AM141" s="417"/>
      <c r="AN141" s="417"/>
      <c r="AO141" s="417"/>
      <c r="AP141" s="2579"/>
      <c r="AQ141" s="2579"/>
      <c r="AR141" s="2579"/>
      <c r="AS141" s="2579"/>
      <c r="AT141" s="2579"/>
      <c r="AU141" s="2579"/>
      <c r="AV141" s="2579"/>
      <c r="AW141" s="2579"/>
      <c r="AX141" s="2579"/>
      <c r="AY141" s="2579"/>
      <c r="AZ141" s="2579"/>
      <c r="BA141" s="2579"/>
      <c r="BB141" s="2579"/>
      <c r="BC141" s="2579"/>
      <c r="BD141" s="417"/>
      <c r="BE141" s="417"/>
      <c r="BF141" s="417"/>
      <c r="BG141" s="417"/>
      <c r="BH141" s="417"/>
      <c r="BI141" s="417"/>
      <c r="BJ141" s="417"/>
      <c r="BK141" s="417"/>
      <c r="BL141" s="417"/>
      <c r="BM141" s="417"/>
      <c r="BN141" s="417"/>
      <c r="BO141" s="417"/>
      <c r="BP141" s="417"/>
      <c r="BQ141" s="417"/>
      <c r="BR141" s="417"/>
      <c r="BS141" s="417"/>
      <c r="BT141" s="417"/>
      <c r="BU141" s="417"/>
      <c r="BV141" s="417"/>
      <c r="BW141" s="417"/>
      <c r="BX141" s="417"/>
      <c r="BY141" s="417"/>
      <c r="BZ141" s="417"/>
      <c r="CA141" s="417"/>
      <c r="CB141" s="417"/>
      <c r="CC141" s="418"/>
    </row>
    <row r="142" spans="9:114" ht="4.1500000000000004" customHeight="1">
      <c r="P142" s="414"/>
      <c r="AP142" s="2579"/>
      <c r="AQ142" s="2579"/>
      <c r="AR142" s="2579"/>
      <c r="AS142" s="2579"/>
      <c r="AT142" s="2579"/>
      <c r="AU142" s="2579"/>
      <c r="AV142" s="2579"/>
      <c r="AW142" s="2579"/>
      <c r="AX142" s="2579"/>
      <c r="AY142" s="2579"/>
      <c r="AZ142" s="2579"/>
      <c r="BA142" s="2579"/>
      <c r="BB142" s="2579"/>
      <c r="BC142" s="2579"/>
      <c r="CC142" s="415"/>
    </row>
    <row r="143" spans="9:114" ht="4.1500000000000004" customHeight="1">
      <c r="P143" s="414"/>
      <c r="AP143" s="2579"/>
      <c r="AQ143" s="2579"/>
      <c r="AR143" s="2579"/>
      <c r="AS143" s="2579"/>
      <c r="AT143" s="2579"/>
      <c r="AU143" s="2579"/>
      <c r="AV143" s="2579"/>
      <c r="AW143" s="2579"/>
      <c r="AX143" s="2579"/>
      <c r="AY143" s="2579"/>
      <c r="AZ143" s="2579"/>
      <c r="BA143" s="2579"/>
      <c r="BB143" s="2579"/>
      <c r="BC143" s="2579"/>
      <c r="CC143" s="415"/>
    </row>
    <row r="158" spans="58:179" ht="4.1500000000000004" customHeight="1">
      <c r="DL158" s="478"/>
      <c r="DM158" s="478"/>
      <c r="DN158" s="478"/>
      <c r="DO158" s="478"/>
      <c r="DP158" s="478"/>
      <c r="DQ158" s="478"/>
      <c r="DR158" s="478"/>
      <c r="DS158" s="478"/>
      <c r="DT158" s="478"/>
      <c r="DU158" s="478"/>
      <c r="DV158" s="478"/>
      <c r="DW158" s="478"/>
      <c r="DX158" s="478"/>
      <c r="DY158" s="478"/>
      <c r="FL158" s="478"/>
      <c r="FM158" s="478"/>
      <c r="FN158" s="478"/>
      <c r="FO158" s="478"/>
      <c r="FP158" s="478"/>
      <c r="FQ158" s="478"/>
      <c r="FR158" s="478"/>
      <c r="FS158" s="478"/>
      <c r="FT158" s="478"/>
      <c r="FU158" s="478"/>
      <c r="FV158" s="478"/>
      <c r="FW158" s="478"/>
    </row>
    <row r="159" spans="58:179" ht="4.1500000000000004" customHeight="1">
      <c r="BF159" s="477"/>
      <c r="BG159" s="477"/>
      <c r="BH159" s="477"/>
      <c r="BI159" s="477"/>
      <c r="BJ159" s="477"/>
      <c r="BK159" s="477"/>
      <c r="BL159" s="477"/>
      <c r="BM159" s="477"/>
      <c r="BN159" s="477"/>
      <c r="BO159" s="477"/>
      <c r="BP159" s="477"/>
      <c r="BQ159" s="477"/>
      <c r="BR159" s="477"/>
      <c r="BS159" s="477"/>
      <c r="BT159" s="477"/>
      <c r="BU159" s="477"/>
      <c r="BV159" s="477"/>
      <c r="BW159" s="477"/>
      <c r="BX159" s="477"/>
      <c r="BY159" s="477"/>
      <c r="BZ159" s="477"/>
      <c r="CA159" s="477"/>
      <c r="CB159" s="477"/>
      <c r="CC159" s="477"/>
      <c r="DL159" s="479"/>
      <c r="DM159" s="479"/>
      <c r="DN159" s="479"/>
      <c r="DO159" s="479"/>
      <c r="DP159" s="479"/>
      <c r="DQ159" s="479"/>
      <c r="DR159" s="479"/>
      <c r="DS159" s="479"/>
      <c r="DT159" s="479"/>
      <c r="DU159" s="479"/>
      <c r="DV159" s="479"/>
      <c r="DW159" s="479"/>
      <c r="DX159" s="479"/>
      <c r="DY159" s="479"/>
    </row>
    <row r="160" spans="58:179" ht="4.1500000000000004" customHeight="1">
      <c r="BF160" s="477"/>
      <c r="BG160" s="477"/>
      <c r="BH160" s="477"/>
      <c r="BI160" s="477"/>
      <c r="BJ160" s="477"/>
      <c r="BK160" s="477"/>
      <c r="BL160" s="477"/>
      <c r="BM160" s="477"/>
      <c r="BN160" s="477"/>
      <c r="BO160" s="477"/>
      <c r="BP160" s="477"/>
      <c r="BQ160" s="477"/>
      <c r="BR160" s="477"/>
      <c r="BS160" s="477"/>
      <c r="BT160" s="477"/>
      <c r="BU160" s="477"/>
      <c r="BV160" s="477"/>
      <c r="BW160" s="477"/>
      <c r="BX160" s="477"/>
      <c r="BY160" s="477"/>
      <c r="BZ160" s="477"/>
      <c r="CA160" s="477"/>
      <c r="CB160" s="477"/>
      <c r="CC160" s="477"/>
      <c r="DL160" s="479"/>
      <c r="DM160" s="479"/>
      <c r="DN160" s="479"/>
      <c r="DO160" s="479"/>
      <c r="DP160" s="479"/>
      <c r="DQ160" s="479"/>
      <c r="DR160" s="479"/>
      <c r="DS160" s="479"/>
      <c r="DT160" s="479"/>
      <c r="DU160" s="479"/>
      <c r="DV160" s="479"/>
      <c r="DW160" s="479"/>
      <c r="DX160" s="479"/>
      <c r="DY160" s="479"/>
    </row>
    <row r="161" spans="58:245" ht="4.1500000000000004" customHeight="1">
      <c r="BF161" s="477"/>
      <c r="BG161" s="477"/>
      <c r="BH161" s="477"/>
      <c r="BI161" s="477"/>
      <c r="BJ161" s="477"/>
      <c r="BK161" s="477"/>
      <c r="BL161" s="477"/>
      <c r="BM161" s="477"/>
      <c r="BN161" s="477"/>
      <c r="BO161" s="477"/>
      <c r="BP161" s="477"/>
      <c r="BQ161" s="477"/>
      <c r="BR161" s="477"/>
      <c r="BS161" s="477"/>
      <c r="BT161" s="477"/>
      <c r="BU161" s="477"/>
      <c r="BV161" s="477"/>
      <c r="BW161" s="477"/>
      <c r="BX161" s="477"/>
      <c r="BY161" s="477"/>
      <c r="BZ161" s="477"/>
      <c r="CA161" s="477"/>
      <c r="CB161" s="477"/>
      <c r="CC161" s="477"/>
      <c r="DL161" s="479"/>
      <c r="DM161" s="479"/>
      <c r="DN161" s="479"/>
      <c r="DO161" s="479"/>
      <c r="DP161" s="479"/>
      <c r="DQ161" s="479"/>
      <c r="DR161" s="479"/>
      <c r="DS161" s="479"/>
      <c r="DT161" s="479"/>
      <c r="DU161" s="479"/>
      <c r="DV161" s="479"/>
      <c r="DW161" s="479"/>
      <c r="DX161" s="479"/>
      <c r="DY161" s="479"/>
      <c r="HB161" s="2782" t="s">
        <v>190</v>
      </c>
      <c r="HC161" s="2782"/>
      <c r="HD161" s="2782"/>
      <c r="HE161" s="2782"/>
      <c r="HF161" s="2782"/>
      <c r="HG161" s="2782"/>
      <c r="HH161" s="2782"/>
      <c r="HI161" s="2782"/>
      <c r="HJ161" s="2782"/>
      <c r="HK161" s="2782"/>
      <c r="HL161" s="2782"/>
      <c r="HM161" s="2782"/>
      <c r="HN161" s="2782"/>
      <c r="HO161" s="2782"/>
      <c r="HP161" s="2782"/>
      <c r="HQ161" s="2782"/>
      <c r="HR161" s="2782"/>
      <c r="HS161" s="2782"/>
      <c r="HT161" s="2782"/>
      <c r="HU161" s="2782"/>
      <c r="HV161" s="2782"/>
      <c r="HW161" s="2782"/>
      <c r="HX161" s="2782"/>
      <c r="HY161" s="2782"/>
      <c r="HZ161" s="2782"/>
      <c r="IA161" s="2782"/>
      <c r="IB161" s="2782"/>
      <c r="IC161" s="2782"/>
      <c r="ID161" s="2782"/>
      <c r="IE161" s="2782"/>
      <c r="IF161" s="2782"/>
      <c r="IG161" s="2782"/>
      <c r="IH161" s="2782"/>
      <c r="II161" s="2782"/>
      <c r="IJ161" s="2782"/>
      <c r="IK161" s="2782"/>
    </row>
    <row r="162" spans="58:245" ht="4.1500000000000004" customHeight="1">
      <c r="BF162" s="477"/>
      <c r="BG162" s="477"/>
      <c r="BH162" s="477"/>
      <c r="BI162" s="477"/>
      <c r="BJ162" s="477"/>
      <c r="BK162" s="477"/>
      <c r="BL162" s="477"/>
      <c r="BM162" s="477"/>
      <c r="BN162" s="477"/>
      <c r="BO162" s="477"/>
      <c r="BP162" s="477"/>
      <c r="BQ162" s="477"/>
      <c r="BR162" s="477"/>
      <c r="BS162" s="477"/>
      <c r="BT162" s="477"/>
      <c r="BU162" s="477"/>
      <c r="BV162" s="477"/>
      <c r="BW162" s="477"/>
      <c r="BX162" s="477"/>
      <c r="BY162" s="477"/>
      <c r="BZ162" s="477"/>
      <c r="CA162" s="477"/>
      <c r="CB162" s="477"/>
      <c r="CC162" s="477"/>
      <c r="CE162" s="2782" t="s">
        <v>188</v>
      </c>
      <c r="CF162" s="2782"/>
      <c r="CG162" s="2782"/>
      <c r="CH162" s="2782"/>
      <c r="CI162" s="2782"/>
      <c r="CJ162" s="2782"/>
      <c r="CK162" s="2782"/>
      <c r="CL162" s="2782"/>
      <c r="CM162" s="2782"/>
      <c r="CN162" s="2782"/>
      <c r="CO162" s="2782"/>
      <c r="CP162" s="2782"/>
      <c r="CQ162" s="2782"/>
      <c r="CR162" s="2782"/>
      <c r="CS162" s="2782"/>
      <c r="CT162" s="2782"/>
      <c r="CU162" s="2782"/>
      <c r="CV162" s="2782"/>
      <c r="CW162" s="2782"/>
      <c r="CX162" s="2782"/>
      <c r="CY162" s="2782"/>
      <c r="CZ162" s="2782"/>
      <c r="DA162" s="2782"/>
      <c r="DB162" s="2782"/>
      <c r="DC162" s="2782"/>
      <c r="DD162" s="2782"/>
      <c r="DE162" s="2782"/>
      <c r="DF162" s="2782"/>
      <c r="DL162" s="479"/>
      <c r="DM162" s="479"/>
      <c r="DN162" s="479"/>
      <c r="DO162" s="479"/>
      <c r="DP162" s="479"/>
      <c r="DQ162" s="479"/>
      <c r="DR162" s="479"/>
      <c r="DS162" s="479"/>
      <c r="DT162" s="479"/>
      <c r="DU162" s="479"/>
      <c r="DV162" s="479"/>
      <c r="DW162" s="479"/>
      <c r="DX162" s="479"/>
      <c r="DY162" s="479"/>
      <c r="EL162" s="2782" t="s">
        <v>189</v>
      </c>
      <c r="EM162" s="2782"/>
      <c r="EN162" s="2782"/>
      <c r="EO162" s="2782"/>
      <c r="EP162" s="2782"/>
      <c r="EQ162" s="2782"/>
      <c r="ER162" s="2782"/>
      <c r="ES162" s="2782"/>
      <c r="ET162" s="2782"/>
      <c r="EU162" s="2782"/>
      <c r="EV162" s="2782"/>
      <c r="EW162" s="2782"/>
      <c r="EX162" s="2782"/>
      <c r="EY162" s="2782"/>
      <c r="EZ162" s="2782"/>
      <c r="FA162" s="2782"/>
      <c r="FB162" s="2782"/>
      <c r="FC162" s="2782"/>
      <c r="FD162" s="2782"/>
      <c r="FE162" s="2782"/>
      <c r="FF162" s="2782"/>
      <c r="FG162" s="2782"/>
      <c r="FH162" s="2782"/>
      <c r="FI162" s="2782"/>
      <c r="FJ162" s="2782"/>
      <c r="FK162" s="2782"/>
      <c r="FL162" s="2782"/>
      <c r="FM162" s="2782"/>
      <c r="FN162" s="2782"/>
      <c r="FO162" s="2782"/>
      <c r="FP162" s="2782"/>
      <c r="FQ162" s="2782"/>
      <c r="FR162" s="2782"/>
      <c r="FS162" s="2782"/>
      <c r="FT162" s="2782"/>
      <c r="FU162" s="2782"/>
      <c r="FV162" s="2782"/>
      <c r="FW162" s="2782"/>
      <c r="HB162" s="2782"/>
      <c r="HC162" s="2782"/>
      <c r="HD162" s="2782"/>
      <c r="HE162" s="2782"/>
      <c r="HF162" s="2782"/>
      <c r="HG162" s="2782"/>
      <c r="HH162" s="2782"/>
      <c r="HI162" s="2782"/>
      <c r="HJ162" s="2782"/>
      <c r="HK162" s="2782"/>
      <c r="HL162" s="2782"/>
      <c r="HM162" s="2782"/>
      <c r="HN162" s="2782"/>
      <c r="HO162" s="2782"/>
      <c r="HP162" s="2782"/>
      <c r="HQ162" s="2782"/>
      <c r="HR162" s="2782"/>
      <c r="HS162" s="2782"/>
      <c r="HT162" s="2782"/>
      <c r="HU162" s="2782"/>
      <c r="HV162" s="2782"/>
      <c r="HW162" s="2782"/>
      <c r="HX162" s="2782"/>
      <c r="HY162" s="2782"/>
      <c r="HZ162" s="2782"/>
      <c r="IA162" s="2782"/>
      <c r="IB162" s="2782"/>
      <c r="IC162" s="2782"/>
      <c r="ID162" s="2782"/>
      <c r="IE162" s="2782"/>
      <c r="IF162" s="2782"/>
      <c r="IG162" s="2782"/>
      <c r="IH162" s="2782"/>
      <c r="II162" s="2782"/>
      <c r="IJ162" s="2782"/>
      <c r="IK162" s="2782"/>
    </row>
    <row r="163" spans="58:245" ht="4.1500000000000004" customHeight="1">
      <c r="BF163" s="477"/>
      <c r="BG163" s="477"/>
      <c r="BH163" s="477"/>
      <c r="BI163" s="477"/>
      <c r="BJ163" s="477"/>
      <c r="BK163" s="477"/>
      <c r="BL163" s="477"/>
      <c r="BM163" s="477"/>
      <c r="BN163" s="477"/>
      <c r="BO163" s="477"/>
      <c r="BP163" s="477"/>
      <c r="BQ163" s="477"/>
      <c r="BR163" s="477"/>
      <c r="BS163" s="477"/>
      <c r="BT163" s="477"/>
      <c r="BU163" s="477"/>
      <c r="BV163" s="477"/>
      <c r="BW163" s="477"/>
      <c r="BX163" s="477"/>
      <c r="BY163" s="477"/>
      <c r="BZ163" s="477"/>
      <c r="CA163" s="477"/>
      <c r="CB163" s="477"/>
      <c r="CC163" s="477"/>
      <c r="CE163" s="2782"/>
      <c r="CF163" s="2782"/>
      <c r="CG163" s="2782"/>
      <c r="CH163" s="2782"/>
      <c r="CI163" s="2782"/>
      <c r="CJ163" s="2782"/>
      <c r="CK163" s="2782"/>
      <c r="CL163" s="2782"/>
      <c r="CM163" s="2782"/>
      <c r="CN163" s="2782"/>
      <c r="CO163" s="2782"/>
      <c r="CP163" s="2782"/>
      <c r="CQ163" s="2782"/>
      <c r="CR163" s="2782"/>
      <c r="CS163" s="2782"/>
      <c r="CT163" s="2782"/>
      <c r="CU163" s="2782"/>
      <c r="CV163" s="2782"/>
      <c r="CW163" s="2782"/>
      <c r="CX163" s="2782"/>
      <c r="CY163" s="2782"/>
      <c r="CZ163" s="2782"/>
      <c r="DA163" s="2782"/>
      <c r="DB163" s="2782"/>
      <c r="DC163" s="2782"/>
      <c r="DD163" s="2782"/>
      <c r="DE163" s="2782"/>
      <c r="DF163" s="2782"/>
      <c r="DL163" s="479"/>
      <c r="DM163" s="479"/>
      <c r="DN163" s="479"/>
      <c r="DO163" s="479"/>
      <c r="DP163" s="479"/>
      <c r="DQ163" s="479"/>
      <c r="DR163" s="479"/>
      <c r="DS163" s="479"/>
      <c r="DT163" s="479"/>
      <c r="DU163" s="479"/>
      <c r="DV163" s="479"/>
      <c r="DW163" s="479"/>
      <c r="DX163" s="479"/>
      <c r="DY163" s="479"/>
      <c r="EL163" s="2782"/>
      <c r="EM163" s="2782"/>
      <c r="EN163" s="2782"/>
      <c r="EO163" s="2782"/>
      <c r="EP163" s="2782"/>
      <c r="EQ163" s="2782"/>
      <c r="ER163" s="2782"/>
      <c r="ES163" s="2782"/>
      <c r="ET163" s="2782"/>
      <c r="EU163" s="2782"/>
      <c r="EV163" s="2782"/>
      <c r="EW163" s="2782"/>
      <c r="EX163" s="2782"/>
      <c r="EY163" s="2782"/>
      <c r="EZ163" s="2782"/>
      <c r="FA163" s="2782"/>
      <c r="FB163" s="2782"/>
      <c r="FC163" s="2782"/>
      <c r="FD163" s="2782"/>
      <c r="FE163" s="2782"/>
      <c r="FF163" s="2782"/>
      <c r="FG163" s="2782"/>
      <c r="FH163" s="2782"/>
      <c r="FI163" s="2782"/>
      <c r="FJ163" s="2782"/>
      <c r="FK163" s="2782"/>
      <c r="FL163" s="2782"/>
      <c r="FM163" s="2782"/>
      <c r="FN163" s="2782"/>
      <c r="FO163" s="2782"/>
      <c r="FP163" s="2782"/>
      <c r="FQ163" s="2782"/>
      <c r="FR163" s="2782"/>
      <c r="FS163" s="2782"/>
      <c r="FT163" s="2782"/>
      <c r="FU163" s="2782"/>
      <c r="FV163" s="2782"/>
      <c r="FW163" s="2782"/>
      <c r="HB163" s="2782"/>
      <c r="HC163" s="2782"/>
      <c r="HD163" s="2782"/>
      <c r="HE163" s="2782"/>
      <c r="HF163" s="2782"/>
      <c r="HG163" s="2782"/>
      <c r="HH163" s="2782"/>
      <c r="HI163" s="2782"/>
      <c r="HJ163" s="2782"/>
      <c r="HK163" s="2782"/>
      <c r="HL163" s="2782"/>
      <c r="HM163" s="2782"/>
      <c r="HN163" s="2782"/>
      <c r="HO163" s="2782"/>
      <c r="HP163" s="2782"/>
      <c r="HQ163" s="2782"/>
      <c r="HR163" s="2782"/>
      <c r="HS163" s="2782"/>
      <c r="HT163" s="2782"/>
      <c r="HU163" s="2782"/>
      <c r="HV163" s="2782"/>
      <c r="HW163" s="2782"/>
      <c r="HX163" s="2782"/>
      <c r="HY163" s="2782"/>
      <c r="HZ163" s="2782"/>
      <c r="IA163" s="2782"/>
      <c r="IB163" s="2782"/>
      <c r="IC163" s="2782"/>
      <c r="ID163" s="2782"/>
      <c r="IE163" s="2782"/>
      <c r="IF163" s="2782"/>
      <c r="IG163" s="2782"/>
      <c r="IH163" s="2782"/>
      <c r="II163" s="2782"/>
      <c r="IJ163" s="2782"/>
      <c r="IK163" s="2782"/>
    </row>
    <row r="164" spans="58:245" ht="4.1500000000000004" customHeight="1">
      <c r="BF164" s="477"/>
      <c r="BG164" s="477"/>
      <c r="BH164" s="477"/>
      <c r="BI164" s="477"/>
      <c r="BJ164" s="477"/>
      <c r="BK164" s="477"/>
      <c r="BL164" s="477"/>
      <c r="BM164" s="477"/>
      <c r="BN164" s="477"/>
      <c r="BO164" s="477"/>
      <c r="BP164" s="477"/>
      <c r="BQ164" s="477"/>
      <c r="BR164" s="477"/>
      <c r="BS164" s="477"/>
      <c r="BT164" s="477"/>
      <c r="BU164" s="477"/>
      <c r="BV164" s="477"/>
      <c r="BW164" s="477"/>
      <c r="BX164" s="477"/>
      <c r="BY164" s="477"/>
      <c r="BZ164" s="477"/>
      <c r="CA164" s="477"/>
      <c r="CB164" s="477"/>
      <c r="CC164" s="477"/>
      <c r="CE164" s="2782"/>
      <c r="CF164" s="2782"/>
      <c r="CG164" s="2782"/>
      <c r="CH164" s="2782"/>
      <c r="CI164" s="2782"/>
      <c r="CJ164" s="2782"/>
      <c r="CK164" s="2782"/>
      <c r="CL164" s="2782"/>
      <c r="CM164" s="2782"/>
      <c r="CN164" s="2782"/>
      <c r="CO164" s="2782"/>
      <c r="CP164" s="2782"/>
      <c r="CQ164" s="2782"/>
      <c r="CR164" s="2782"/>
      <c r="CS164" s="2782"/>
      <c r="CT164" s="2782"/>
      <c r="CU164" s="2782"/>
      <c r="CV164" s="2782"/>
      <c r="CW164" s="2782"/>
      <c r="CX164" s="2782"/>
      <c r="CY164" s="2782"/>
      <c r="CZ164" s="2782"/>
      <c r="DA164" s="2782"/>
      <c r="DB164" s="2782"/>
      <c r="DC164" s="2782"/>
      <c r="DD164" s="2782"/>
      <c r="DE164" s="2782"/>
      <c r="DF164" s="2782"/>
      <c r="DJ164" s="477"/>
      <c r="DK164" s="477"/>
      <c r="DL164" s="477"/>
      <c r="DM164" s="477"/>
      <c r="DN164" s="477"/>
      <c r="DO164" s="477"/>
      <c r="DP164" s="477"/>
      <c r="DQ164" s="477"/>
      <c r="DR164" s="477"/>
      <c r="DS164" s="477"/>
      <c r="DT164" s="477"/>
      <c r="DU164" s="477"/>
      <c r="DV164" s="477"/>
      <c r="DW164" s="477"/>
      <c r="DX164" s="477"/>
      <c r="DY164" s="477"/>
      <c r="DZ164" s="477"/>
      <c r="EA164" s="477"/>
      <c r="EB164" s="477"/>
      <c r="EC164" s="477"/>
      <c r="ED164" s="477"/>
      <c r="EE164" s="477"/>
      <c r="EF164" s="477"/>
      <c r="EG164" s="477"/>
      <c r="EH164" s="477"/>
      <c r="EI164" s="477"/>
      <c r="EJ164" s="477"/>
      <c r="EK164" s="477"/>
      <c r="EL164" s="2782"/>
      <c r="EM164" s="2782"/>
      <c r="EN164" s="2782"/>
      <c r="EO164" s="2782"/>
      <c r="EP164" s="2782"/>
      <c r="EQ164" s="2782"/>
      <c r="ER164" s="2782"/>
      <c r="ES164" s="2782"/>
      <c r="ET164" s="2782"/>
      <c r="EU164" s="2782"/>
      <c r="EV164" s="2782"/>
      <c r="EW164" s="2782"/>
      <c r="EX164" s="2782"/>
      <c r="EY164" s="2782"/>
      <c r="EZ164" s="2782"/>
      <c r="FA164" s="2782"/>
      <c r="FB164" s="2782"/>
      <c r="FC164" s="2782"/>
      <c r="FD164" s="2782"/>
      <c r="FE164" s="2782"/>
      <c r="FF164" s="2782"/>
      <c r="FG164" s="2782"/>
      <c r="FH164" s="2782"/>
      <c r="FI164" s="2782"/>
      <c r="FJ164" s="2782"/>
      <c r="FK164" s="2782"/>
      <c r="FL164" s="2782"/>
      <c r="FM164" s="2782"/>
      <c r="FN164" s="2782"/>
      <c r="FO164" s="2782"/>
      <c r="FP164" s="2782"/>
      <c r="FQ164" s="2782"/>
      <c r="FR164" s="2782"/>
      <c r="FS164" s="2782"/>
      <c r="FT164" s="2782"/>
      <c r="FU164" s="2782"/>
      <c r="FV164" s="2782"/>
      <c r="FW164" s="2782"/>
      <c r="HB164" s="2782" t="str">
        <f>EN165</f>
        <v>Kamakhyanagar Block</v>
      </c>
      <c r="HC164" s="2782"/>
      <c r="HD164" s="2782"/>
      <c r="HE164" s="2782"/>
      <c r="HF164" s="2782"/>
      <c r="HG164" s="2782"/>
      <c r="HH164" s="2782"/>
      <c r="HI164" s="2782"/>
      <c r="HJ164" s="2782"/>
      <c r="HK164" s="2782"/>
      <c r="HL164" s="2782"/>
      <c r="HM164" s="2782"/>
      <c r="HN164" s="2782"/>
      <c r="HO164" s="2782"/>
      <c r="HP164" s="2782"/>
      <c r="HQ164" s="2782"/>
      <c r="HR164" s="2782"/>
      <c r="HS164" s="2782"/>
      <c r="HT164" s="2782"/>
      <c r="HU164" s="2782"/>
      <c r="HV164" s="2782"/>
      <c r="HW164" s="2782"/>
      <c r="HX164" s="2782"/>
      <c r="HY164" s="2782"/>
      <c r="HZ164" s="2782"/>
      <c r="IA164" s="2782"/>
      <c r="IB164" s="2782"/>
      <c r="IC164" s="2782"/>
      <c r="ID164" s="2782"/>
      <c r="IE164" s="2782"/>
      <c r="IF164" s="2782"/>
      <c r="IG164" s="2782"/>
      <c r="IH164" s="2782"/>
      <c r="II164" s="2782"/>
      <c r="IJ164" s="2782"/>
      <c r="IK164" s="2782"/>
    </row>
    <row r="165" spans="58:245" ht="4.1500000000000004" customHeight="1">
      <c r="CE165" s="2782" t="s">
        <v>191</v>
      </c>
      <c r="CF165" s="2782"/>
      <c r="CG165" s="2782"/>
      <c r="CH165" s="2782"/>
      <c r="CI165" s="2782"/>
      <c r="CJ165" s="2782"/>
      <c r="CK165" s="2782"/>
      <c r="CL165" s="2782"/>
      <c r="CM165" s="2782"/>
      <c r="CN165" s="2782"/>
      <c r="CO165" s="2782"/>
      <c r="CP165" s="2782"/>
      <c r="CQ165" s="2782"/>
      <c r="CR165" s="2782"/>
      <c r="CS165" s="2782"/>
      <c r="CT165" s="2782"/>
      <c r="CU165" s="2782"/>
      <c r="CV165" s="2782"/>
      <c r="CW165" s="2782"/>
      <c r="CX165" s="2782"/>
      <c r="CY165" s="2782"/>
      <c r="CZ165" s="2782"/>
      <c r="DA165" s="2782"/>
      <c r="DB165" s="2782"/>
      <c r="DC165" s="2782"/>
      <c r="DD165" s="2782"/>
      <c r="DE165" s="2782"/>
      <c r="DF165" s="2782"/>
      <c r="EL165" s="479"/>
      <c r="EM165" s="479"/>
      <c r="EN165" s="2782" t="str">
        <f>CE165</f>
        <v>Kamakhyanagar Block</v>
      </c>
      <c r="EO165" s="2782"/>
      <c r="EP165" s="2782"/>
      <c r="EQ165" s="2782"/>
      <c r="ER165" s="2782"/>
      <c r="ES165" s="2782"/>
      <c r="ET165" s="2782"/>
      <c r="EU165" s="2782"/>
      <c r="EV165" s="2782"/>
      <c r="EW165" s="2782"/>
      <c r="EX165" s="2782"/>
      <c r="EY165" s="2782"/>
      <c r="EZ165" s="2782"/>
      <c r="FA165" s="2782"/>
      <c r="FB165" s="2782"/>
      <c r="FC165" s="2782"/>
      <c r="FD165" s="2782"/>
      <c r="FE165" s="2782"/>
      <c r="FF165" s="2782"/>
      <c r="FG165" s="2782"/>
      <c r="FH165" s="2782"/>
      <c r="FI165" s="2782"/>
      <c r="FJ165" s="2782"/>
      <c r="FK165" s="2782"/>
      <c r="FL165" s="2782"/>
      <c r="FM165" s="2782"/>
      <c r="FN165" s="2782"/>
      <c r="FO165" s="2782"/>
      <c r="FP165" s="2782"/>
      <c r="FQ165" s="2782"/>
      <c r="FR165" s="2782"/>
      <c r="FS165" s="2782"/>
      <c r="FT165" s="2782"/>
      <c r="FU165" s="2782"/>
      <c r="FV165" s="479"/>
      <c r="FW165" s="479"/>
      <c r="HB165" s="2782"/>
      <c r="HC165" s="2782"/>
      <c r="HD165" s="2782"/>
      <c r="HE165" s="2782"/>
      <c r="HF165" s="2782"/>
      <c r="HG165" s="2782"/>
      <c r="HH165" s="2782"/>
      <c r="HI165" s="2782"/>
      <c r="HJ165" s="2782"/>
      <c r="HK165" s="2782"/>
      <c r="HL165" s="2782"/>
      <c r="HM165" s="2782"/>
      <c r="HN165" s="2782"/>
      <c r="HO165" s="2782"/>
      <c r="HP165" s="2782"/>
      <c r="HQ165" s="2782"/>
      <c r="HR165" s="2782"/>
      <c r="HS165" s="2782"/>
      <c r="HT165" s="2782"/>
      <c r="HU165" s="2782"/>
      <c r="HV165" s="2782"/>
      <c r="HW165" s="2782"/>
      <c r="HX165" s="2782"/>
      <c r="HY165" s="2782"/>
      <c r="HZ165" s="2782"/>
      <c r="IA165" s="2782"/>
      <c r="IB165" s="2782"/>
      <c r="IC165" s="2782"/>
      <c r="ID165" s="2782"/>
      <c r="IE165" s="2782"/>
      <c r="IF165" s="2782"/>
      <c r="IG165" s="2782"/>
      <c r="IH165" s="2782"/>
      <c r="II165" s="2782"/>
      <c r="IJ165" s="2782"/>
      <c r="IK165" s="2782"/>
    </row>
    <row r="166" spans="58:245" ht="4.1500000000000004" customHeight="1">
      <c r="CE166" s="2782"/>
      <c r="CF166" s="2782"/>
      <c r="CG166" s="2782"/>
      <c r="CH166" s="2782"/>
      <c r="CI166" s="2782"/>
      <c r="CJ166" s="2782"/>
      <c r="CK166" s="2782"/>
      <c r="CL166" s="2782"/>
      <c r="CM166" s="2782"/>
      <c r="CN166" s="2782"/>
      <c r="CO166" s="2782"/>
      <c r="CP166" s="2782"/>
      <c r="CQ166" s="2782"/>
      <c r="CR166" s="2782"/>
      <c r="CS166" s="2782"/>
      <c r="CT166" s="2782"/>
      <c r="CU166" s="2782"/>
      <c r="CV166" s="2782"/>
      <c r="CW166" s="2782"/>
      <c r="CX166" s="2782"/>
      <c r="CY166" s="2782"/>
      <c r="CZ166" s="2782"/>
      <c r="DA166" s="2782"/>
      <c r="DB166" s="2782"/>
      <c r="DC166" s="2782"/>
      <c r="DD166" s="2782"/>
      <c r="DE166" s="2782"/>
      <c r="DF166" s="2782"/>
      <c r="EL166" s="479"/>
      <c r="EM166" s="479"/>
      <c r="EN166" s="2782"/>
      <c r="EO166" s="2782"/>
      <c r="EP166" s="2782"/>
      <c r="EQ166" s="2782"/>
      <c r="ER166" s="2782"/>
      <c r="ES166" s="2782"/>
      <c r="ET166" s="2782"/>
      <c r="EU166" s="2782"/>
      <c r="EV166" s="2782"/>
      <c r="EW166" s="2782"/>
      <c r="EX166" s="2782"/>
      <c r="EY166" s="2782"/>
      <c r="EZ166" s="2782"/>
      <c r="FA166" s="2782"/>
      <c r="FB166" s="2782"/>
      <c r="FC166" s="2782"/>
      <c r="FD166" s="2782"/>
      <c r="FE166" s="2782"/>
      <c r="FF166" s="2782"/>
      <c r="FG166" s="2782"/>
      <c r="FH166" s="2782"/>
      <c r="FI166" s="2782"/>
      <c r="FJ166" s="2782"/>
      <c r="FK166" s="2782"/>
      <c r="FL166" s="2782"/>
      <c r="FM166" s="2782"/>
      <c r="FN166" s="2782"/>
      <c r="FO166" s="2782"/>
      <c r="FP166" s="2782"/>
      <c r="FQ166" s="2782"/>
      <c r="FR166" s="2782"/>
      <c r="FS166" s="2782"/>
      <c r="FT166" s="2782"/>
      <c r="FU166" s="2782"/>
      <c r="FV166" s="479"/>
      <c r="FW166" s="479"/>
      <c r="HB166" s="2782"/>
      <c r="HC166" s="2782"/>
      <c r="HD166" s="2782"/>
      <c r="HE166" s="2782"/>
      <c r="HF166" s="2782"/>
      <c r="HG166" s="2782"/>
      <c r="HH166" s="2782"/>
      <c r="HI166" s="2782"/>
      <c r="HJ166" s="2782"/>
      <c r="HK166" s="2782"/>
      <c r="HL166" s="2782"/>
      <c r="HM166" s="2782"/>
      <c r="HN166" s="2782"/>
      <c r="HO166" s="2782"/>
      <c r="HP166" s="2782"/>
      <c r="HQ166" s="2782"/>
      <c r="HR166" s="2782"/>
      <c r="HS166" s="2782"/>
      <c r="HT166" s="2782"/>
      <c r="HU166" s="2782"/>
      <c r="HV166" s="2782"/>
      <c r="HW166" s="2782"/>
      <c r="HX166" s="2782"/>
      <c r="HY166" s="2782"/>
      <c r="HZ166" s="2782"/>
      <c r="IA166" s="2782"/>
      <c r="IB166" s="2782"/>
      <c r="IC166" s="2782"/>
      <c r="ID166" s="2782"/>
      <c r="IE166" s="2782"/>
      <c r="IF166" s="2782"/>
      <c r="IG166" s="2782"/>
      <c r="IH166" s="2782"/>
      <c r="II166" s="2782"/>
      <c r="IJ166" s="2782"/>
      <c r="IK166" s="2782"/>
    </row>
    <row r="167" spans="58:245" ht="4.1500000000000004" customHeight="1">
      <c r="CE167" s="2782"/>
      <c r="CF167" s="2782"/>
      <c r="CG167" s="2782"/>
      <c r="CH167" s="2782"/>
      <c r="CI167" s="2782"/>
      <c r="CJ167" s="2782"/>
      <c r="CK167" s="2782"/>
      <c r="CL167" s="2782"/>
      <c r="CM167" s="2782"/>
      <c r="CN167" s="2782"/>
      <c r="CO167" s="2782"/>
      <c r="CP167" s="2782"/>
      <c r="CQ167" s="2782"/>
      <c r="CR167" s="2782"/>
      <c r="CS167" s="2782"/>
      <c r="CT167" s="2782"/>
      <c r="CU167" s="2782"/>
      <c r="CV167" s="2782"/>
      <c r="CW167" s="2782"/>
      <c r="CX167" s="2782"/>
      <c r="CY167" s="2782"/>
      <c r="CZ167" s="2782"/>
      <c r="DA167" s="2782"/>
      <c r="DB167" s="2782"/>
      <c r="DC167" s="2782"/>
      <c r="DD167" s="2782"/>
      <c r="DE167" s="2782"/>
      <c r="DF167" s="2782"/>
      <c r="EL167" s="479"/>
      <c r="EM167" s="479"/>
      <c r="EN167" s="2782"/>
      <c r="EO167" s="2782"/>
      <c r="EP167" s="2782"/>
      <c r="EQ167" s="2782"/>
      <c r="ER167" s="2782"/>
      <c r="ES167" s="2782"/>
      <c r="ET167" s="2782"/>
      <c r="EU167" s="2782"/>
      <c r="EV167" s="2782"/>
      <c r="EW167" s="2782"/>
      <c r="EX167" s="2782"/>
      <c r="EY167" s="2782"/>
      <c r="EZ167" s="2782"/>
      <c r="FA167" s="2782"/>
      <c r="FB167" s="2782"/>
      <c r="FC167" s="2782"/>
      <c r="FD167" s="2782"/>
      <c r="FE167" s="2782"/>
      <c r="FF167" s="2782"/>
      <c r="FG167" s="2782"/>
      <c r="FH167" s="2782"/>
      <c r="FI167" s="2782"/>
      <c r="FJ167" s="2782"/>
      <c r="FK167" s="2782"/>
      <c r="FL167" s="2782"/>
      <c r="FM167" s="2782"/>
      <c r="FN167" s="2782"/>
      <c r="FO167" s="2782"/>
      <c r="FP167" s="2782"/>
      <c r="FQ167" s="2782"/>
      <c r="FR167" s="2782"/>
      <c r="FS167" s="2782"/>
      <c r="FT167" s="2782"/>
      <c r="FU167" s="2782"/>
      <c r="FV167" s="479"/>
      <c r="FW167" s="479"/>
    </row>
  </sheetData>
  <mergeCells count="117">
    <mergeCell ref="AE2:FP7"/>
    <mergeCell ref="HO2:JB5"/>
    <mergeCell ref="HO6:JB9"/>
    <mergeCell ref="FP16:FS25"/>
    <mergeCell ref="FL27:FW29"/>
    <mergeCell ref="GA30:GD39"/>
    <mergeCell ref="EE31:EK33"/>
    <mergeCell ref="DS32:DV41"/>
    <mergeCell ref="FP35:FS44"/>
    <mergeCell ref="GS15:HC16"/>
    <mergeCell ref="GS21:HC23"/>
    <mergeCell ref="GS27:HC29"/>
    <mergeCell ref="GW36:GZ45"/>
    <mergeCell ref="GK13:GQ15"/>
    <mergeCell ref="IC30:IF39"/>
    <mergeCell ref="GI49:GO51"/>
    <mergeCell ref="FL53:FW55"/>
    <mergeCell ref="GB53:GE61"/>
    <mergeCell ref="EL56:EP61"/>
    <mergeCell ref="FL58:FW60"/>
    <mergeCell ref="AZ59:BM62"/>
    <mergeCell ref="GI59:GO61"/>
    <mergeCell ref="EJ62:ER66"/>
    <mergeCell ref="FL63:FW65"/>
    <mergeCell ref="HQ63:HT68"/>
    <mergeCell ref="AZ64:BM67"/>
    <mergeCell ref="II64:IS66"/>
    <mergeCell ref="EH67:ET71"/>
    <mergeCell ref="FL68:FW70"/>
    <mergeCell ref="GB68:GE77"/>
    <mergeCell ref="HE69:HO75"/>
    <mergeCell ref="HP69:HU71"/>
    <mergeCell ref="HV69:IF75"/>
    <mergeCell ref="AH70:AU73"/>
    <mergeCell ref="BT70:CG73"/>
    <mergeCell ref="II71:IS73"/>
    <mergeCell ref="EF72:EV76"/>
    <mergeCell ref="FL73:FW75"/>
    <mergeCell ref="ED77:EX79"/>
    <mergeCell ref="FL77:FW79"/>
    <mergeCell ref="II78:IS80"/>
    <mergeCell ref="ED80:EX82"/>
    <mergeCell ref="FL80:FW82"/>
    <mergeCell ref="CV85:CW91"/>
    <mergeCell ref="EH85:EU88"/>
    <mergeCell ref="II86:IS88"/>
    <mergeCell ref="HL91:HW93"/>
    <mergeCell ref="AW93:BN95"/>
    <mergeCell ref="DA93:DD102"/>
    <mergeCell ref="AW96:BC98"/>
    <mergeCell ref="BD96:BG98"/>
    <mergeCell ref="BH96:BN98"/>
    <mergeCell ref="EQ96:EW98"/>
    <mergeCell ref="EX96:FD98"/>
    <mergeCell ref="FE96:FK98"/>
    <mergeCell ref="DS97:DW99"/>
    <mergeCell ref="FK100:FS102"/>
    <mergeCell ref="GQ101:IO104"/>
    <mergeCell ref="DG103:DJ112"/>
    <mergeCell ref="FK103:FS105"/>
    <mergeCell ref="II83:IS85"/>
    <mergeCell ref="I104:L112"/>
    <mergeCell ref="GQ105:HB107"/>
    <mergeCell ref="HC105:HM107"/>
    <mergeCell ref="HN105:HQ107"/>
    <mergeCell ref="HR105:IB107"/>
    <mergeCell ref="IC105:IF107"/>
    <mergeCell ref="IG105:IO107"/>
    <mergeCell ref="ED106:EI108"/>
    <mergeCell ref="FK106:FS108"/>
    <mergeCell ref="GQ108:HB110"/>
    <mergeCell ref="HC108:HM110"/>
    <mergeCell ref="HN108:HQ110"/>
    <mergeCell ref="HR108:IB110"/>
    <mergeCell ref="IC108:IF110"/>
    <mergeCell ref="IG108:IO110"/>
    <mergeCell ref="ED109:EN112"/>
    <mergeCell ref="FL109:FS110"/>
    <mergeCell ref="FL111:FS112"/>
    <mergeCell ref="GQ111:HB113"/>
    <mergeCell ref="HC111:HM113"/>
    <mergeCell ref="HN111:HQ113"/>
    <mergeCell ref="HR111:IB113"/>
    <mergeCell ref="IC111:IF113"/>
    <mergeCell ref="IG111:IO113"/>
    <mergeCell ref="GQ114:HB116"/>
    <mergeCell ref="HC114:HM116"/>
    <mergeCell ref="HN114:HQ116"/>
    <mergeCell ref="HR114:IB116"/>
    <mergeCell ref="IC114:IF116"/>
    <mergeCell ref="IG114:IO116"/>
    <mergeCell ref="EQ115:FK117"/>
    <mergeCell ref="GQ117:HB119"/>
    <mergeCell ref="HC117:HM119"/>
    <mergeCell ref="HN117:HQ119"/>
    <mergeCell ref="HR117:IB119"/>
    <mergeCell ref="IC117:IF119"/>
    <mergeCell ref="IG117:IO119"/>
    <mergeCell ref="AP140:BC143"/>
    <mergeCell ref="HB161:IK163"/>
    <mergeCell ref="CE162:DF164"/>
    <mergeCell ref="EL162:FW164"/>
    <mergeCell ref="HB164:IK166"/>
    <mergeCell ref="CE165:DF167"/>
    <mergeCell ref="EN165:FU167"/>
    <mergeCell ref="JN117:KJ120"/>
    <mergeCell ref="AN120:BE122"/>
    <mergeCell ref="CF120:CS122"/>
    <mergeCell ref="DA120:DD129"/>
    <mergeCell ref="AN123:AT125"/>
    <mergeCell ref="AU123:AX125"/>
    <mergeCell ref="AY123:BE125"/>
    <mergeCell ref="CF123:CK125"/>
    <mergeCell ref="CL123:CM125"/>
    <mergeCell ref="CN123:CS125"/>
    <mergeCell ref="AU128:AX130"/>
    <mergeCell ref="BG128:BS130"/>
  </mergeCells>
  <pageMargins left="0.23622047244094491" right="0.23622047244094491" top="0.23622047244094491" bottom="0.23622047244094491" header="0.51181102362204722" footer="0.51181102362204722"/>
  <pageSetup paperSize="9" scale="80" orientation="landscape" r:id="rId1"/>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sheetPr>
    <tabColor rgb="FFFF0000"/>
  </sheetPr>
  <dimension ref="A1:IV5012"/>
  <sheetViews>
    <sheetView view="pageBreakPreview" zoomScaleSheetLayoutView="100" workbookViewId="0">
      <selection activeCell="K834" sqref="K834"/>
    </sheetView>
  </sheetViews>
  <sheetFormatPr defaultColWidth="9.140625" defaultRowHeight="13.5"/>
  <cols>
    <col min="1" max="1" width="4.28515625" style="836" customWidth="1"/>
    <col min="2" max="2" width="27.140625" style="722" customWidth="1"/>
    <col min="3" max="3" width="8.85546875" style="722" customWidth="1"/>
    <col min="4" max="4" width="6.7109375" style="722" customWidth="1"/>
    <col min="5" max="5" width="4.7109375" style="986" customWidth="1"/>
    <col min="6" max="6" width="8" style="986" customWidth="1"/>
    <col min="7" max="7" width="8.85546875" style="722" customWidth="1"/>
    <col min="8" max="8" width="7.85546875" style="722" customWidth="1"/>
    <col min="9" max="9" width="9" style="724" customWidth="1"/>
    <col min="10" max="10" width="8.42578125" style="722" customWidth="1"/>
    <col min="11" max="11" width="9.7109375" style="722" customWidth="1"/>
    <col min="12" max="12" width="4.42578125" style="723" customWidth="1"/>
    <col min="13" max="13" width="6.5703125" style="722" customWidth="1"/>
    <col min="14" max="14" width="6.28515625" style="722" customWidth="1"/>
    <col min="15" max="15" width="8" style="722" customWidth="1"/>
    <col min="16" max="16" width="6.42578125" style="722" customWidth="1"/>
    <col min="17" max="17" width="28.85546875" style="722" customWidth="1"/>
    <col min="18" max="18" width="12.42578125" style="722" customWidth="1"/>
    <col min="19" max="19" width="9.140625" style="722" customWidth="1"/>
    <col min="20" max="20" width="10.85546875" style="723" customWidth="1"/>
    <col min="21" max="21" width="9.140625" style="722" customWidth="1"/>
    <col min="22" max="23" width="9.140625" style="722" hidden="1" customWidth="1"/>
    <col min="24" max="24" width="32.28515625" style="722" customWidth="1"/>
    <col min="25" max="256" width="9.140625" style="722"/>
    <col min="257" max="257" width="4.28515625" style="722" customWidth="1"/>
    <col min="258" max="258" width="27.140625" style="722" customWidth="1"/>
    <col min="259" max="259" width="8.85546875" style="722" customWidth="1"/>
    <col min="260" max="260" width="6.7109375" style="722" customWidth="1"/>
    <col min="261" max="261" width="4.7109375" style="722" customWidth="1"/>
    <col min="262" max="262" width="8" style="722" customWidth="1"/>
    <col min="263" max="263" width="9.28515625" style="722" customWidth="1"/>
    <col min="264" max="264" width="8.5703125" style="722" customWidth="1"/>
    <col min="265" max="265" width="9.42578125" style="722" customWidth="1"/>
    <col min="266" max="266" width="8.85546875" style="722" customWidth="1"/>
    <col min="267" max="267" width="10.28515625" style="722" customWidth="1"/>
    <col min="268" max="268" width="4.42578125" style="722" customWidth="1"/>
    <col min="269" max="269" width="7.5703125" style="722" customWidth="1"/>
    <col min="270" max="270" width="7.85546875" style="722" customWidth="1"/>
    <col min="271" max="271" width="8" style="722" customWidth="1"/>
    <col min="272" max="272" width="6.42578125" style="722" customWidth="1"/>
    <col min="273" max="273" width="28.85546875" style="722" customWidth="1"/>
    <col min="274" max="274" width="12.42578125" style="722" customWidth="1"/>
    <col min="275" max="275" width="9.140625" style="722" customWidth="1"/>
    <col min="276" max="276" width="10.85546875" style="722" customWidth="1"/>
    <col min="277" max="277" width="9.140625" style="722" customWidth="1"/>
    <col min="278" max="279" width="0" style="722" hidden="1" customWidth="1"/>
    <col min="280" max="280" width="32.28515625" style="722" customWidth="1"/>
    <col min="281" max="512" width="9.140625" style="722"/>
    <col min="513" max="513" width="4.28515625" style="722" customWidth="1"/>
    <col min="514" max="514" width="27.140625" style="722" customWidth="1"/>
    <col min="515" max="515" width="8.85546875" style="722" customWidth="1"/>
    <col min="516" max="516" width="6.7109375" style="722" customWidth="1"/>
    <col min="517" max="517" width="4.7109375" style="722" customWidth="1"/>
    <col min="518" max="518" width="8" style="722" customWidth="1"/>
    <col min="519" max="519" width="9.28515625" style="722" customWidth="1"/>
    <col min="520" max="520" width="8.5703125" style="722" customWidth="1"/>
    <col min="521" max="521" width="9.42578125" style="722" customWidth="1"/>
    <col min="522" max="522" width="8.85546875" style="722" customWidth="1"/>
    <col min="523" max="523" width="10.28515625" style="722" customWidth="1"/>
    <col min="524" max="524" width="4.42578125" style="722" customWidth="1"/>
    <col min="525" max="525" width="7.5703125" style="722" customWidth="1"/>
    <col min="526" max="526" width="7.85546875" style="722" customWidth="1"/>
    <col min="527" max="527" width="8" style="722" customWidth="1"/>
    <col min="528" max="528" width="6.42578125" style="722" customWidth="1"/>
    <col min="529" max="529" width="28.85546875" style="722" customWidth="1"/>
    <col min="530" max="530" width="12.42578125" style="722" customWidth="1"/>
    <col min="531" max="531" width="9.140625" style="722" customWidth="1"/>
    <col min="532" max="532" width="10.85546875" style="722" customWidth="1"/>
    <col min="533" max="533" width="9.140625" style="722" customWidth="1"/>
    <col min="534" max="535" width="0" style="722" hidden="1" customWidth="1"/>
    <col min="536" max="536" width="32.28515625" style="722" customWidth="1"/>
    <col min="537" max="768" width="9.140625" style="722"/>
    <col min="769" max="769" width="4.28515625" style="722" customWidth="1"/>
    <col min="770" max="770" width="27.140625" style="722" customWidth="1"/>
    <col min="771" max="771" width="8.85546875" style="722" customWidth="1"/>
    <col min="772" max="772" width="6.7109375" style="722" customWidth="1"/>
    <col min="773" max="773" width="4.7109375" style="722" customWidth="1"/>
    <col min="774" max="774" width="8" style="722" customWidth="1"/>
    <col min="775" max="775" width="9.28515625" style="722" customWidth="1"/>
    <col min="776" max="776" width="8.5703125" style="722" customWidth="1"/>
    <col min="777" max="777" width="9.42578125" style="722" customWidth="1"/>
    <col min="778" max="778" width="8.85546875" style="722" customWidth="1"/>
    <col min="779" max="779" width="10.28515625" style="722" customWidth="1"/>
    <col min="780" max="780" width="4.42578125" style="722" customWidth="1"/>
    <col min="781" max="781" width="7.5703125" style="722" customWidth="1"/>
    <col min="782" max="782" width="7.85546875" style="722" customWidth="1"/>
    <col min="783" max="783" width="8" style="722" customWidth="1"/>
    <col min="784" max="784" width="6.42578125" style="722" customWidth="1"/>
    <col min="785" max="785" width="28.85546875" style="722" customWidth="1"/>
    <col min="786" max="786" width="12.42578125" style="722" customWidth="1"/>
    <col min="787" max="787" width="9.140625" style="722" customWidth="1"/>
    <col min="788" max="788" width="10.85546875" style="722" customWidth="1"/>
    <col min="789" max="789" width="9.140625" style="722" customWidth="1"/>
    <col min="790" max="791" width="0" style="722" hidden="1" customWidth="1"/>
    <col min="792" max="792" width="32.28515625" style="722" customWidth="1"/>
    <col min="793" max="1024" width="9.140625" style="722"/>
    <col min="1025" max="1025" width="4.28515625" style="722" customWidth="1"/>
    <col min="1026" max="1026" width="27.140625" style="722" customWidth="1"/>
    <col min="1027" max="1027" width="8.85546875" style="722" customWidth="1"/>
    <col min="1028" max="1028" width="6.7109375" style="722" customWidth="1"/>
    <col min="1029" max="1029" width="4.7109375" style="722" customWidth="1"/>
    <col min="1030" max="1030" width="8" style="722" customWidth="1"/>
    <col min="1031" max="1031" width="9.28515625" style="722" customWidth="1"/>
    <col min="1032" max="1032" width="8.5703125" style="722" customWidth="1"/>
    <col min="1033" max="1033" width="9.42578125" style="722" customWidth="1"/>
    <col min="1034" max="1034" width="8.85546875" style="722" customWidth="1"/>
    <col min="1035" max="1035" width="10.28515625" style="722" customWidth="1"/>
    <col min="1036" max="1036" width="4.42578125" style="722" customWidth="1"/>
    <col min="1037" max="1037" width="7.5703125" style="722" customWidth="1"/>
    <col min="1038" max="1038" width="7.85546875" style="722" customWidth="1"/>
    <col min="1039" max="1039" width="8" style="722" customWidth="1"/>
    <col min="1040" max="1040" width="6.42578125" style="722" customWidth="1"/>
    <col min="1041" max="1041" width="28.85546875" style="722" customWidth="1"/>
    <col min="1042" max="1042" width="12.42578125" style="722" customWidth="1"/>
    <col min="1043" max="1043" width="9.140625" style="722" customWidth="1"/>
    <col min="1044" max="1044" width="10.85546875" style="722" customWidth="1"/>
    <col min="1045" max="1045" width="9.140625" style="722" customWidth="1"/>
    <col min="1046" max="1047" width="0" style="722" hidden="1" customWidth="1"/>
    <col min="1048" max="1048" width="32.28515625" style="722" customWidth="1"/>
    <col min="1049" max="1280" width="9.140625" style="722"/>
    <col min="1281" max="1281" width="4.28515625" style="722" customWidth="1"/>
    <col min="1282" max="1282" width="27.140625" style="722" customWidth="1"/>
    <col min="1283" max="1283" width="8.85546875" style="722" customWidth="1"/>
    <col min="1284" max="1284" width="6.7109375" style="722" customWidth="1"/>
    <col min="1285" max="1285" width="4.7109375" style="722" customWidth="1"/>
    <col min="1286" max="1286" width="8" style="722" customWidth="1"/>
    <col min="1287" max="1287" width="9.28515625" style="722" customWidth="1"/>
    <col min="1288" max="1288" width="8.5703125" style="722" customWidth="1"/>
    <col min="1289" max="1289" width="9.42578125" style="722" customWidth="1"/>
    <col min="1290" max="1290" width="8.85546875" style="722" customWidth="1"/>
    <col min="1291" max="1291" width="10.28515625" style="722" customWidth="1"/>
    <col min="1292" max="1292" width="4.42578125" style="722" customWidth="1"/>
    <col min="1293" max="1293" width="7.5703125" style="722" customWidth="1"/>
    <col min="1294" max="1294" width="7.85546875" style="722" customWidth="1"/>
    <col min="1295" max="1295" width="8" style="722" customWidth="1"/>
    <col min="1296" max="1296" width="6.42578125" style="722" customWidth="1"/>
    <col min="1297" max="1297" width="28.85546875" style="722" customWidth="1"/>
    <col min="1298" max="1298" width="12.42578125" style="722" customWidth="1"/>
    <col min="1299" max="1299" width="9.140625" style="722" customWidth="1"/>
    <col min="1300" max="1300" width="10.85546875" style="722" customWidth="1"/>
    <col min="1301" max="1301" width="9.140625" style="722" customWidth="1"/>
    <col min="1302" max="1303" width="0" style="722" hidden="1" customWidth="1"/>
    <col min="1304" max="1304" width="32.28515625" style="722" customWidth="1"/>
    <col min="1305" max="1536" width="9.140625" style="722"/>
    <col min="1537" max="1537" width="4.28515625" style="722" customWidth="1"/>
    <col min="1538" max="1538" width="27.140625" style="722" customWidth="1"/>
    <col min="1539" max="1539" width="8.85546875" style="722" customWidth="1"/>
    <col min="1540" max="1540" width="6.7109375" style="722" customWidth="1"/>
    <col min="1541" max="1541" width="4.7109375" style="722" customWidth="1"/>
    <col min="1542" max="1542" width="8" style="722" customWidth="1"/>
    <col min="1543" max="1543" width="9.28515625" style="722" customWidth="1"/>
    <col min="1544" max="1544" width="8.5703125" style="722" customWidth="1"/>
    <col min="1545" max="1545" width="9.42578125" style="722" customWidth="1"/>
    <col min="1546" max="1546" width="8.85546875" style="722" customWidth="1"/>
    <col min="1547" max="1547" width="10.28515625" style="722" customWidth="1"/>
    <col min="1548" max="1548" width="4.42578125" style="722" customWidth="1"/>
    <col min="1549" max="1549" width="7.5703125" style="722" customWidth="1"/>
    <col min="1550" max="1550" width="7.85546875" style="722" customWidth="1"/>
    <col min="1551" max="1551" width="8" style="722" customWidth="1"/>
    <col min="1552" max="1552" width="6.42578125" style="722" customWidth="1"/>
    <col min="1553" max="1553" width="28.85546875" style="722" customWidth="1"/>
    <col min="1554" max="1554" width="12.42578125" style="722" customWidth="1"/>
    <col min="1555" max="1555" width="9.140625" style="722" customWidth="1"/>
    <col min="1556" max="1556" width="10.85546875" style="722" customWidth="1"/>
    <col min="1557" max="1557" width="9.140625" style="722" customWidth="1"/>
    <col min="1558" max="1559" width="0" style="722" hidden="1" customWidth="1"/>
    <col min="1560" max="1560" width="32.28515625" style="722" customWidth="1"/>
    <col min="1561" max="1792" width="9.140625" style="722"/>
    <col min="1793" max="1793" width="4.28515625" style="722" customWidth="1"/>
    <col min="1794" max="1794" width="27.140625" style="722" customWidth="1"/>
    <col min="1795" max="1795" width="8.85546875" style="722" customWidth="1"/>
    <col min="1796" max="1796" width="6.7109375" style="722" customWidth="1"/>
    <col min="1797" max="1797" width="4.7109375" style="722" customWidth="1"/>
    <col min="1798" max="1798" width="8" style="722" customWidth="1"/>
    <col min="1799" max="1799" width="9.28515625" style="722" customWidth="1"/>
    <col min="1800" max="1800" width="8.5703125" style="722" customWidth="1"/>
    <col min="1801" max="1801" width="9.42578125" style="722" customWidth="1"/>
    <col min="1802" max="1802" width="8.85546875" style="722" customWidth="1"/>
    <col min="1803" max="1803" width="10.28515625" style="722" customWidth="1"/>
    <col min="1804" max="1804" width="4.42578125" style="722" customWidth="1"/>
    <col min="1805" max="1805" width="7.5703125" style="722" customWidth="1"/>
    <col min="1806" max="1806" width="7.85546875" style="722" customWidth="1"/>
    <col min="1807" max="1807" width="8" style="722" customWidth="1"/>
    <col min="1808" max="1808" width="6.42578125" style="722" customWidth="1"/>
    <col min="1809" max="1809" width="28.85546875" style="722" customWidth="1"/>
    <col min="1810" max="1810" width="12.42578125" style="722" customWidth="1"/>
    <col min="1811" max="1811" width="9.140625" style="722" customWidth="1"/>
    <col min="1812" max="1812" width="10.85546875" style="722" customWidth="1"/>
    <col min="1813" max="1813" width="9.140625" style="722" customWidth="1"/>
    <col min="1814" max="1815" width="0" style="722" hidden="1" customWidth="1"/>
    <col min="1816" max="1816" width="32.28515625" style="722" customWidth="1"/>
    <col min="1817" max="2048" width="9.140625" style="722"/>
    <col min="2049" max="2049" width="4.28515625" style="722" customWidth="1"/>
    <col min="2050" max="2050" width="27.140625" style="722" customWidth="1"/>
    <col min="2051" max="2051" width="8.85546875" style="722" customWidth="1"/>
    <col min="2052" max="2052" width="6.7109375" style="722" customWidth="1"/>
    <col min="2053" max="2053" width="4.7109375" style="722" customWidth="1"/>
    <col min="2054" max="2054" width="8" style="722" customWidth="1"/>
    <col min="2055" max="2055" width="9.28515625" style="722" customWidth="1"/>
    <col min="2056" max="2056" width="8.5703125" style="722" customWidth="1"/>
    <col min="2057" max="2057" width="9.42578125" style="722" customWidth="1"/>
    <col min="2058" max="2058" width="8.85546875" style="722" customWidth="1"/>
    <col min="2059" max="2059" width="10.28515625" style="722" customWidth="1"/>
    <col min="2060" max="2060" width="4.42578125" style="722" customWidth="1"/>
    <col min="2061" max="2061" width="7.5703125" style="722" customWidth="1"/>
    <col min="2062" max="2062" width="7.85546875" style="722" customWidth="1"/>
    <col min="2063" max="2063" width="8" style="722" customWidth="1"/>
    <col min="2064" max="2064" width="6.42578125" style="722" customWidth="1"/>
    <col min="2065" max="2065" width="28.85546875" style="722" customWidth="1"/>
    <col min="2066" max="2066" width="12.42578125" style="722" customWidth="1"/>
    <col min="2067" max="2067" width="9.140625" style="722" customWidth="1"/>
    <col min="2068" max="2068" width="10.85546875" style="722" customWidth="1"/>
    <col min="2069" max="2069" width="9.140625" style="722" customWidth="1"/>
    <col min="2070" max="2071" width="0" style="722" hidden="1" customWidth="1"/>
    <col min="2072" max="2072" width="32.28515625" style="722" customWidth="1"/>
    <col min="2073" max="2304" width="9.140625" style="722"/>
    <col min="2305" max="2305" width="4.28515625" style="722" customWidth="1"/>
    <col min="2306" max="2306" width="27.140625" style="722" customWidth="1"/>
    <col min="2307" max="2307" width="8.85546875" style="722" customWidth="1"/>
    <col min="2308" max="2308" width="6.7109375" style="722" customWidth="1"/>
    <col min="2309" max="2309" width="4.7109375" style="722" customWidth="1"/>
    <col min="2310" max="2310" width="8" style="722" customWidth="1"/>
    <col min="2311" max="2311" width="9.28515625" style="722" customWidth="1"/>
    <col min="2312" max="2312" width="8.5703125" style="722" customWidth="1"/>
    <col min="2313" max="2313" width="9.42578125" style="722" customWidth="1"/>
    <col min="2314" max="2314" width="8.85546875" style="722" customWidth="1"/>
    <col min="2315" max="2315" width="10.28515625" style="722" customWidth="1"/>
    <col min="2316" max="2316" width="4.42578125" style="722" customWidth="1"/>
    <col min="2317" max="2317" width="7.5703125" style="722" customWidth="1"/>
    <col min="2318" max="2318" width="7.85546875" style="722" customWidth="1"/>
    <col min="2319" max="2319" width="8" style="722" customWidth="1"/>
    <col min="2320" max="2320" width="6.42578125" style="722" customWidth="1"/>
    <col min="2321" max="2321" width="28.85546875" style="722" customWidth="1"/>
    <col min="2322" max="2322" width="12.42578125" style="722" customWidth="1"/>
    <col min="2323" max="2323" width="9.140625" style="722" customWidth="1"/>
    <col min="2324" max="2324" width="10.85546875" style="722" customWidth="1"/>
    <col min="2325" max="2325" width="9.140625" style="722" customWidth="1"/>
    <col min="2326" max="2327" width="0" style="722" hidden="1" customWidth="1"/>
    <col min="2328" max="2328" width="32.28515625" style="722" customWidth="1"/>
    <col min="2329" max="2560" width="9.140625" style="722"/>
    <col min="2561" max="2561" width="4.28515625" style="722" customWidth="1"/>
    <col min="2562" max="2562" width="27.140625" style="722" customWidth="1"/>
    <col min="2563" max="2563" width="8.85546875" style="722" customWidth="1"/>
    <col min="2564" max="2564" width="6.7109375" style="722" customWidth="1"/>
    <col min="2565" max="2565" width="4.7109375" style="722" customWidth="1"/>
    <col min="2566" max="2566" width="8" style="722" customWidth="1"/>
    <col min="2567" max="2567" width="9.28515625" style="722" customWidth="1"/>
    <col min="2568" max="2568" width="8.5703125" style="722" customWidth="1"/>
    <col min="2569" max="2569" width="9.42578125" style="722" customWidth="1"/>
    <col min="2570" max="2570" width="8.85546875" style="722" customWidth="1"/>
    <col min="2571" max="2571" width="10.28515625" style="722" customWidth="1"/>
    <col min="2572" max="2572" width="4.42578125" style="722" customWidth="1"/>
    <col min="2573" max="2573" width="7.5703125" style="722" customWidth="1"/>
    <col min="2574" max="2574" width="7.85546875" style="722" customWidth="1"/>
    <col min="2575" max="2575" width="8" style="722" customWidth="1"/>
    <col min="2576" max="2576" width="6.42578125" style="722" customWidth="1"/>
    <col min="2577" max="2577" width="28.85546875" style="722" customWidth="1"/>
    <col min="2578" max="2578" width="12.42578125" style="722" customWidth="1"/>
    <col min="2579" max="2579" width="9.140625" style="722" customWidth="1"/>
    <col min="2580" max="2580" width="10.85546875" style="722" customWidth="1"/>
    <col min="2581" max="2581" width="9.140625" style="722" customWidth="1"/>
    <col min="2582" max="2583" width="0" style="722" hidden="1" customWidth="1"/>
    <col min="2584" max="2584" width="32.28515625" style="722" customWidth="1"/>
    <col min="2585" max="2816" width="9.140625" style="722"/>
    <col min="2817" max="2817" width="4.28515625" style="722" customWidth="1"/>
    <col min="2818" max="2818" width="27.140625" style="722" customWidth="1"/>
    <col min="2819" max="2819" width="8.85546875" style="722" customWidth="1"/>
    <col min="2820" max="2820" width="6.7109375" style="722" customWidth="1"/>
    <col min="2821" max="2821" width="4.7109375" style="722" customWidth="1"/>
    <col min="2822" max="2822" width="8" style="722" customWidth="1"/>
    <col min="2823" max="2823" width="9.28515625" style="722" customWidth="1"/>
    <col min="2824" max="2824" width="8.5703125" style="722" customWidth="1"/>
    <col min="2825" max="2825" width="9.42578125" style="722" customWidth="1"/>
    <col min="2826" max="2826" width="8.85546875" style="722" customWidth="1"/>
    <col min="2827" max="2827" width="10.28515625" style="722" customWidth="1"/>
    <col min="2828" max="2828" width="4.42578125" style="722" customWidth="1"/>
    <col min="2829" max="2829" width="7.5703125" style="722" customWidth="1"/>
    <col min="2830" max="2830" width="7.85546875" style="722" customWidth="1"/>
    <col min="2831" max="2831" width="8" style="722" customWidth="1"/>
    <col min="2832" max="2832" width="6.42578125" style="722" customWidth="1"/>
    <col min="2833" max="2833" width="28.85546875" style="722" customWidth="1"/>
    <col min="2834" max="2834" width="12.42578125" style="722" customWidth="1"/>
    <col min="2835" max="2835" width="9.140625" style="722" customWidth="1"/>
    <col min="2836" max="2836" width="10.85546875" style="722" customWidth="1"/>
    <col min="2837" max="2837" width="9.140625" style="722" customWidth="1"/>
    <col min="2838" max="2839" width="0" style="722" hidden="1" customWidth="1"/>
    <col min="2840" max="2840" width="32.28515625" style="722" customWidth="1"/>
    <col min="2841" max="3072" width="9.140625" style="722"/>
    <col min="3073" max="3073" width="4.28515625" style="722" customWidth="1"/>
    <col min="3074" max="3074" width="27.140625" style="722" customWidth="1"/>
    <col min="3075" max="3075" width="8.85546875" style="722" customWidth="1"/>
    <col min="3076" max="3076" width="6.7109375" style="722" customWidth="1"/>
    <col min="3077" max="3077" width="4.7109375" style="722" customWidth="1"/>
    <col min="3078" max="3078" width="8" style="722" customWidth="1"/>
    <col min="3079" max="3079" width="9.28515625" style="722" customWidth="1"/>
    <col min="3080" max="3080" width="8.5703125" style="722" customWidth="1"/>
    <col min="3081" max="3081" width="9.42578125" style="722" customWidth="1"/>
    <col min="3082" max="3082" width="8.85546875" style="722" customWidth="1"/>
    <col min="3083" max="3083" width="10.28515625" style="722" customWidth="1"/>
    <col min="3084" max="3084" width="4.42578125" style="722" customWidth="1"/>
    <col min="3085" max="3085" width="7.5703125" style="722" customWidth="1"/>
    <col min="3086" max="3086" width="7.85546875" style="722" customWidth="1"/>
    <col min="3087" max="3087" width="8" style="722" customWidth="1"/>
    <col min="3088" max="3088" width="6.42578125" style="722" customWidth="1"/>
    <col min="3089" max="3089" width="28.85546875" style="722" customWidth="1"/>
    <col min="3090" max="3090" width="12.42578125" style="722" customWidth="1"/>
    <col min="3091" max="3091" width="9.140625" style="722" customWidth="1"/>
    <col min="3092" max="3092" width="10.85546875" style="722" customWidth="1"/>
    <col min="3093" max="3093" width="9.140625" style="722" customWidth="1"/>
    <col min="3094" max="3095" width="0" style="722" hidden="1" customWidth="1"/>
    <col min="3096" max="3096" width="32.28515625" style="722" customWidth="1"/>
    <col min="3097" max="3328" width="9.140625" style="722"/>
    <col min="3329" max="3329" width="4.28515625" style="722" customWidth="1"/>
    <col min="3330" max="3330" width="27.140625" style="722" customWidth="1"/>
    <col min="3331" max="3331" width="8.85546875" style="722" customWidth="1"/>
    <col min="3332" max="3332" width="6.7109375" style="722" customWidth="1"/>
    <col min="3333" max="3333" width="4.7109375" style="722" customWidth="1"/>
    <col min="3334" max="3334" width="8" style="722" customWidth="1"/>
    <col min="3335" max="3335" width="9.28515625" style="722" customWidth="1"/>
    <col min="3336" max="3336" width="8.5703125" style="722" customWidth="1"/>
    <col min="3337" max="3337" width="9.42578125" style="722" customWidth="1"/>
    <col min="3338" max="3338" width="8.85546875" style="722" customWidth="1"/>
    <col min="3339" max="3339" width="10.28515625" style="722" customWidth="1"/>
    <col min="3340" max="3340" width="4.42578125" style="722" customWidth="1"/>
    <col min="3341" max="3341" width="7.5703125" style="722" customWidth="1"/>
    <col min="3342" max="3342" width="7.85546875" style="722" customWidth="1"/>
    <col min="3343" max="3343" width="8" style="722" customWidth="1"/>
    <col min="3344" max="3344" width="6.42578125" style="722" customWidth="1"/>
    <col min="3345" max="3345" width="28.85546875" style="722" customWidth="1"/>
    <col min="3346" max="3346" width="12.42578125" style="722" customWidth="1"/>
    <col min="3347" max="3347" width="9.140625" style="722" customWidth="1"/>
    <col min="3348" max="3348" width="10.85546875" style="722" customWidth="1"/>
    <col min="3349" max="3349" width="9.140625" style="722" customWidth="1"/>
    <col min="3350" max="3351" width="0" style="722" hidden="1" customWidth="1"/>
    <col min="3352" max="3352" width="32.28515625" style="722" customWidth="1"/>
    <col min="3353" max="3584" width="9.140625" style="722"/>
    <col min="3585" max="3585" width="4.28515625" style="722" customWidth="1"/>
    <col min="3586" max="3586" width="27.140625" style="722" customWidth="1"/>
    <col min="3587" max="3587" width="8.85546875" style="722" customWidth="1"/>
    <col min="3588" max="3588" width="6.7109375" style="722" customWidth="1"/>
    <col min="3589" max="3589" width="4.7109375" style="722" customWidth="1"/>
    <col min="3590" max="3590" width="8" style="722" customWidth="1"/>
    <col min="3591" max="3591" width="9.28515625" style="722" customWidth="1"/>
    <col min="3592" max="3592" width="8.5703125" style="722" customWidth="1"/>
    <col min="3593" max="3593" width="9.42578125" style="722" customWidth="1"/>
    <col min="3594" max="3594" width="8.85546875" style="722" customWidth="1"/>
    <col min="3595" max="3595" width="10.28515625" style="722" customWidth="1"/>
    <col min="3596" max="3596" width="4.42578125" style="722" customWidth="1"/>
    <col min="3597" max="3597" width="7.5703125" style="722" customWidth="1"/>
    <col min="3598" max="3598" width="7.85546875" style="722" customWidth="1"/>
    <col min="3599" max="3599" width="8" style="722" customWidth="1"/>
    <col min="3600" max="3600" width="6.42578125" style="722" customWidth="1"/>
    <col min="3601" max="3601" width="28.85546875" style="722" customWidth="1"/>
    <col min="3602" max="3602" width="12.42578125" style="722" customWidth="1"/>
    <col min="3603" max="3603" width="9.140625" style="722" customWidth="1"/>
    <col min="3604" max="3604" width="10.85546875" style="722" customWidth="1"/>
    <col min="3605" max="3605" width="9.140625" style="722" customWidth="1"/>
    <col min="3606" max="3607" width="0" style="722" hidden="1" customWidth="1"/>
    <col min="3608" max="3608" width="32.28515625" style="722" customWidth="1"/>
    <col min="3609" max="3840" width="9.140625" style="722"/>
    <col min="3841" max="3841" width="4.28515625" style="722" customWidth="1"/>
    <col min="3842" max="3842" width="27.140625" style="722" customWidth="1"/>
    <col min="3843" max="3843" width="8.85546875" style="722" customWidth="1"/>
    <col min="3844" max="3844" width="6.7109375" style="722" customWidth="1"/>
    <col min="3845" max="3845" width="4.7109375" style="722" customWidth="1"/>
    <col min="3846" max="3846" width="8" style="722" customWidth="1"/>
    <col min="3847" max="3847" width="9.28515625" style="722" customWidth="1"/>
    <col min="3848" max="3848" width="8.5703125" style="722" customWidth="1"/>
    <col min="3849" max="3849" width="9.42578125" style="722" customWidth="1"/>
    <col min="3850" max="3850" width="8.85546875" style="722" customWidth="1"/>
    <col min="3851" max="3851" width="10.28515625" style="722" customWidth="1"/>
    <col min="3852" max="3852" width="4.42578125" style="722" customWidth="1"/>
    <col min="3853" max="3853" width="7.5703125" style="722" customWidth="1"/>
    <col min="3854" max="3854" width="7.85546875" style="722" customWidth="1"/>
    <col min="3855" max="3855" width="8" style="722" customWidth="1"/>
    <col min="3856" max="3856" width="6.42578125" style="722" customWidth="1"/>
    <col min="3857" max="3857" width="28.85546875" style="722" customWidth="1"/>
    <col min="3858" max="3858" width="12.42578125" style="722" customWidth="1"/>
    <col min="3859" max="3859" width="9.140625" style="722" customWidth="1"/>
    <col min="3860" max="3860" width="10.85546875" style="722" customWidth="1"/>
    <col min="3861" max="3861" width="9.140625" style="722" customWidth="1"/>
    <col min="3862" max="3863" width="0" style="722" hidden="1" customWidth="1"/>
    <col min="3864" max="3864" width="32.28515625" style="722" customWidth="1"/>
    <col min="3865" max="4096" width="9.140625" style="722"/>
    <col min="4097" max="4097" width="4.28515625" style="722" customWidth="1"/>
    <col min="4098" max="4098" width="27.140625" style="722" customWidth="1"/>
    <col min="4099" max="4099" width="8.85546875" style="722" customWidth="1"/>
    <col min="4100" max="4100" width="6.7109375" style="722" customWidth="1"/>
    <col min="4101" max="4101" width="4.7109375" style="722" customWidth="1"/>
    <col min="4102" max="4102" width="8" style="722" customWidth="1"/>
    <col min="4103" max="4103" width="9.28515625" style="722" customWidth="1"/>
    <col min="4104" max="4104" width="8.5703125" style="722" customWidth="1"/>
    <col min="4105" max="4105" width="9.42578125" style="722" customWidth="1"/>
    <col min="4106" max="4106" width="8.85546875" style="722" customWidth="1"/>
    <col min="4107" max="4107" width="10.28515625" style="722" customWidth="1"/>
    <col min="4108" max="4108" width="4.42578125" style="722" customWidth="1"/>
    <col min="4109" max="4109" width="7.5703125" style="722" customWidth="1"/>
    <col min="4110" max="4110" width="7.85546875" style="722" customWidth="1"/>
    <col min="4111" max="4111" width="8" style="722" customWidth="1"/>
    <col min="4112" max="4112" width="6.42578125" style="722" customWidth="1"/>
    <col min="4113" max="4113" width="28.85546875" style="722" customWidth="1"/>
    <col min="4114" max="4114" width="12.42578125" style="722" customWidth="1"/>
    <col min="4115" max="4115" width="9.140625" style="722" customWidth="1"/>
    <col min="4116" max="4116" width="10.85546875" style="722" customWidth="1"/>
    <col min="4117" max="4117" width="9.140625" style="722" customWidth="1"/>
    <col min="4118" max="4119" width="0" style="722" hidden="1" customWidth="1"/>
    <col min="4120" max="4120" width="32.28515625" style="722" customWidth="1"/>
    <col min="4121" max="4352" width="9.140625" style="722"/>
    <col min="4353" max="4353" width="4.28515625" style="722" customWidth="1"/>
    <col min="4354" max="4354" width="27.140625" style="722" customWidth="1"/>
    <col min="4355" max="4355" width="8.85546875" style="722" customWidth="1"/>
    <col min="4356" max="4356" width="6.7109375" style="722" customWidth="1"/>
    <col min="4357" max="4357" width="4.7109375" style="722" customWidth="1"/>
    <col min="4358" max="4358" width="8" style="722" customWidth="1"/>
    <col min="4359" max="4359" width="9.28515625" style="722" customWidth="1"/>
    <col min="4360" max="4360" width="8.5703125" style="722" customWidth="1"/>
    <col min="4361" max="4361" width="9.42578125" style="722" customWidth="1"/>
    <col min="4362" max="4362" width="8.85546875" style="722" customWidth="1"/>
    <col min="4363" max="4363" width="10.28515625" style="722" customWidth="1"/>
    <col min="4364" max="4364" width="4.42578125" style="722" customWidth="1"/>
    <col min="4365" max="4365" width="7.5703125" style="722" customWidth="1"/>
    <col min="4366" max="4366" width="7.85546875" style="722" customWidth="1"/>
    <col min="4367" max="4367" width="8" style="722" customWidth="1"/>
    <col min="4368" max="4368" width="6.42578125" style="722" customWidth="1"/>
    <col min="4369" max="4369" width="28.85546875" style="722" customWidth="1"/>
    <col min="4370" max="4370" width="12.42578125" style="722" customWidth="1"/>
    <col min="4371" max="4371" width="9.140625" style="722" customWidth="1"/>
    <col min="4372" max="4372" width="10.85546875" style="722" customWidth="1"/>
    <col min="4373" max="4373" width="9.140625" style="722" customWidth="1"/>
    <col min="4374" max="4375" width="0" style="722" hidden="1" customWidth="1"/>
    <col min="4376" max="4376" width="32.28515625" style="722" customWidth="1"/>
    <col min="4377" max="4608" width="9.140625" style="722"/>
    <col min="4609" max="4609" width="4.28515625" style="722" customWidth="1"/>
    <col min="4610" max="4610" width="27.140625" style="722" customWidth="1"/>
    <col min="4611" max="4611" width="8.85546875" style="722" customWidth="1"/>
    <col min="4612" max="4612" width="6.7109375" style="722" customWidth="1"/>
    <col min="4613" max="4613" width="4.7109375" style="722" customWidth="1"/>
    <col min="4614" max="4614" width="8" style="722" customWidth="1"/>
    <col min="4615" max="4615" width="9.28515625" style="722" customWidth="1"/>
    <col min="4616" max="4616" width="8.5703125" style="722" customWidth="1"/>
    <col min="4617" max="4617" width="9.42578125" style="722" customWidth="1"/>
    <col min="4618" max="4618" width="8.85546875" style="722" customWidth="1"/>
    <col min="4619" max="4619" width="10.28515625" style="722" customWidth="1"/>
    <col min="4620" max="4620" width="4.42578125" style="722" customWidth="1"/>
    <col min="4621" max="4621" width="7.5703125" style="722" customWidth="1"/>
    <col min="4622" max="4622" width="7.85546875" style="722" customWidth="1"/>
    <col min="4623" max="4623" width="8" style="722" customWidth="1"/>
    <col min="4624" max="4624" width="6.42578125" style="722" customWidth="1"/>
    <col min="4625" max="4625" width="28.85546875" style="722" customWidth="1"/>
    <col min="4626" max="4626" width="12.42578125" style="722" customWidth="1"/>
    <col min="4627" max="4627" width="9.140625" style="722" customWidth="1"/>
    <col min="4628" max="4628" width="10.85546875" style="722" customWidth="1"/>
    <col min="4629" max="4629" width="9.140625" style="722" customWidth="1"/>
    <col min="4630" max="4631" width="0" style="722" hidden="1" customWidth="1"/>
    <col min="4632" max="4632" width="32.28515625" style="722" customWidth="1"/>
    <col min="4633" max="4864" width="9.140625" style="722"/>
    <col min="4865" max="4865" width="4.28515625" style="722" customWidth="1"/>
    <col min="4866" max="4866" width="27.140625" style="722" customWidth="1"/>
    <col min="4867" max="4867" width="8.85546875" style="722" customWidth="1"/>
    <col min="4868" max="4868" width="6.7109375" style="722" customWidth="1"/>
    <col min="4869" max="4869" width="4.7109375" style="722" customWidth="1"/>
    <col min="4870" max="4870" width="8" style="722" customWidth="1"/>
    <col min="4871" max="4871" width="9.28515625" style="722" customWidth="1"/>
    <col min="4872" max="4872" width="8.5703125" style="722" customWidth="1"/>
    <col min="4873" max="4873" width="9.42578125" style="722" customWidth="1"/>
    <col min="4874" max="4874" width="8.85546875" style="722" customWidth="1"/>
    <col min="4875" max="4875" width="10.28515625" style="722" customWidth="1"/>
    <col min="4876" max="4876" width="4.42578125" style="722" customWidth="1"/>
    <col min="4877" max="4877" width="7.5703125" style="722" customWidth="1"/>
    <col min="4878" max="4878" width="7.85546875" style="722" customWidth="1"/>
    <col min="4879" max="4879" width="8" style="722" customWidth="1"/>
    <col min="4880" max="4880" width="6.42578125" style="722" customWidth="1"/>
    <col min="4881" max="4881" width="28.85546875" style="722" customWidth="1"/>
    <col min="4882" max="4882" width="12.42578125" style="722" customWidth="1"/>
    <col min="4883" max="4883" width="9.140625" style="722" customWidth="1"/>
    <col min="4884" max="4884" width="10.85546875" style="722" customWidth="1"/>
    <col min="4885" max="4885" width="9.140625" style="722" customWidth="1"/>
    <col min="4886" max="4887" width="0" style="722" hidden="1" customWidth="1"/>
    <col min="4888" max="4888" width="32.28515625" style="722" customWidth="1"/>
    <col min="4889" max="5120" width="9.140625" style="722"/>
    <col min="5121" max="5121" width="4.28515625" style="722" customWidth="1"/>
    <col min="5122" max="5122" width="27.140625" style="722" customWidth="1"/>
    <col min="5123" max="5123" width="8.85546875" style="722" customWidth="1"/>
    <col min="5124" max="5124" width="6.7109375" style="722" customWidth="1"/>
    <col min="5125" max="5125" width="4.7109375" style="722" customWidth="1"/>
    <col min="5126" max="5126" width="8" style="722" customWidth="1"/>
    <col min="5127" max="5127" width="9.28515625" style="722" customWidth="1"/>
    <col min="5128" max="5128" width="8.5703125" style="722" customWidth="1"/>
    <col min="5129" max="5129" width="9.42578125" style="722" customWidth="1"/>
    <col min="5130" max="5130" width="8.85546875" style="722" customWidth="1"/>
    <col min="5131" max="5131" width="10.28515625" style="722" customWidth="1"/>
    <col min="5132" max="5132" width="4.42578125" style="722" customWidth="1"/>
    <col min="5133" max="5133" width="7.5703125" style="722" customWidth="1"/>
    <col min="5134" max="5134" width="7.85546875" style="722" customWidth="1"/>
    <col min="5135" max="5135" width="8" style="722" customWidth="1"/>
    <col min="5136" max="5136" width="6.42578125" style="722" customWidth="1"/>
    <col min="5137" max="5137" width="28.85546875" style="722" customWidth="1"/>
    <col min="5138" max="5138" width="12.42578125" style="722" customWidth="1"/>
    <col min="5139" max="5139" width="9.140625" style="722" customWidth="1"/>
    <col min="5140" max="5140" width="10.85546875" style="722" customWidth="1"/>
    <col min="5141" max="5141" width="9.140625" style="722" customWidth="1"/>
    <col min="5142" max="5143" width="0" style="722" hidden="1" customWidth="1"/>
    <col min="5144" max="5144" width="32.28515625" style="722" customWidth="1"/>
    <col min="5145" max="5376" width="9.140625" style="722"/>
    <col min="5377" max="5377" width="4.28515625" style="722" customWidth="1"/>
    <col min="5378" max="5378" width="27.140625" style="722" customWidth="1"/>
    <col min="5379" max="5379" width="8.85546875" style="722" customWidth="1"/>
    <col min="5380" max="5380" width="6.7109375" style="722" customWidth="1"/>
    <col min="5381" max="5381" width="4.7109375" style="722" customWidth="1"/>
    <col min="5382" max="5382" width="8" style="722" customWidth="1"/>
    <col min="5383" max="5383" width="9.28515625" style="722" customWidth="1"/>
    <col min="5384" max="5384" width="8.5703125" style="722" customWidth="1"/>
    <col min="5385" max="5385" width="9.42578125" style="722" customWidth="1"/>
    <col min="5386" max="5386" width="8.85546875" style="722" customWidth="1"/>
    <col min="5387" max="5387" width="10.28515625" style="722" customWidth="1"/>
    <col min="5388" max="5388" width="4.42578125" style="722" customWidth="1"/>
    <col min="5389" max="5389" width="7.5703125" style="722" customWidth="1"/>
    <col min="5390" max="5390" width="7.85546875" style="722" customWidth="1"/>
    <col min="5391" max="5391" width="8" style="722" customWidth="1"/>
    <col min="5392" max="5392" width="6.42578125" style="722" customWidth="1"/>
    <col min="5393" max="5393" width="28.85546875" style="722" customWidth="1"/>
    <col min="5394" max="5394" width="12.42578125" style="722" customWidth="1"/>
    <col min="5395" max="5395" width="9.140625" style="722" customWidth="1"/>
    <col min="5396" max="5396" width="10.85546875" style="722" customWidth="1"/>
    <col min="5397" max="5397" width="9.140625" style="722" customWidth="1"/>
    <col min="5398" max="5399" width="0" style="722" hidden="1" customWidth="1"/>
    <col min="5400" max="5400" width="32.28515625" style="722" customWidth="1"/>
    <col min="5401" max="5632" width="9.140625" style="722"/>
    <col min="5633" max="5633" width="4.28515625" style="722" customWidth="1"/>
    <col min="5634" max="5634" width="27.140625" style="722" customWidth="1"/>
    <col min="5635" max="5635" width="8.85546875" style="722" customWidth="1"/>
    <col min="5636" max="5636" width="6.7109375" style="722" customWidth="1"/>
    <col min="5637" max="5637" width="4.7109375" style="722" customWidth="1"/>
    <col min="5638" max="5638" width="8" style="722" customWidth="1"/>
    <col min="5639" max="5639" width="9.28515625" style="722" customWidth="1"/>
    <col min="5640" max="5640" width="8.5703125" style="722" customWidth="1"/>
    <col min="5641" max="5641" width="9.42578125" style="722" customWidth="1"/>
    <col min="5642" max="5642" width="8.85546875" style="722" customWidth="1"/>
    <col min="5643" max="5643" width="10.28515625" style="722" customWidth="1"/>
    <col min="5644" max="5644" width="4.42578125" style="722" customWidth="1"/>
    <col min="5645" max="5645" width="7.5703125" style="722" customWidth="1"/>
    <col min="5646" max="5646" width="7.85546875" style="722" customWidth="1"/>
    <col min="5647" max="5647" width="8" style="722" customWidth="1"/>
    <col min="5648" max="5648" width="6.42578125" style="722" customWidth="1"/>
    <col min="5649" max="5649" width="28.85546875" style="722" customWidth="1"/>
    <col min="5650" max="5650" width="12.42578125" style="722" customWidth="1"/>
    <col min="5651" max="5651" width="9.140625" style="722" customWidth="1"/>
    <col min="5652" max="5652" width="10.85546875" style="722" customWidth="1"/>
    <col min="5653" max="5653" width="9.140625" style="722" customWidth="1"/>
    <col min="5654" max="5655" width="0" style="722" hidden="1" customWidth="1"/>
    <col min="5656" max="5656" width="32.28515625" style="722" customWidth="1"/>
    <col min="5657" max="5888" width="9.140625" style="722"/>
    <col min="5889" max="5889" width="4.28515625" style="722" customWidth="1"/>
    <col min="5890" max="5890" width="27.140625" style="722" customWidth="1"/>
    <col min="5891" max="5891" width="8.85546875" style="722" customWidth="1"/>
    <col min="5892" max="5892" width="6.7109375" style="722" customWidth="1"/>
    <col min="5893" max="5893" width="4.7109375" style="722" customWidth="1"/>
    <col min="5894" max="5894" width="8" style="722" customWidth="1"/>
    <col min="5895" max="5895" width="9.28515625" style="722" customWidth="1"/>
    <col min="5896" max="5896" width="8.5703125" style="722" customWidth="1"/>
    <col min="5897" max="5897" width="9.42578125" style="722" customWidth="1"/>
    <col min="5898" max="5898" width="8.85546875" style="722" customWidth="1"/>
    <col min="5899" max="5899" width="10.28515625" style="722" customWidth="1"/>
    <col min="5900" max="5900" width="4.42578125" style="722" customWidth="1"/>
    <col min="5901" max="5901" width="7.5703125" style="722" customWidth="1"/>
    <col min="5902" max="5902" width="7.85546875" style="722" customWidth="1"/>
    <col min="5903" max="5903" width="8" style="722" customWidth="1"/>
    <col min="5904" max="5904" width="6.42578125" style="722" customWidth="1"/>
    <col min="5905" max="5905" width="28.85546875" style="722" customWidth="1"/>
    <col min="5906" max="5906" width="12.42578125" style="722" customWidth="1"/>
    <col min="5907" max="5907" width="9.140625" style="722" customWidth="1"/>
    <col min="5908" max="5908" width="10.85546875" style="722" customWidth="1"/>
    <col min="5909" max="5909" width="9.140625" style="722" customWidth="1"/>
    <col min="5910" max="5911" width="0" style="722" hidden="1" customWidth="1"/>
    <col min="5912" max="5912" width="32.28515625" style="722" customWidth="1"/>
    <col min="5913" max="6144" width="9.140625" style="722"/>
    <col min="6145" max="6145" width="4.28515625" style="722" customWidth="1"/>
    <col min="6146" max="6146" width="27.140625" style="722" customWidth="1"/>
    <col min="6147" max="6147" width="8.85546875" style="722" customWidth="1"/>
    <col min="6148" max="6148" width="6.7109375" style="722" customWidth="1"/>
    <col min="6149" max="6149" width="4.7109375" style="722" customWidth="1"/>
    <col min="6150" max="6150" width="8" style="722" customWidth="1"/>
    <col min="6151" max="6151" width="9.28515625" style="722" customWidth="1"/>
    <col min="6152" max="6152" width="8.5703125" style="722" customWidth="1"/>
    <col min="6153" max="6153" width="9.42578125" style="722" customWidth="1"/>
    <col min="6154" max="6154" width="8.85546875" style="722" customWidth="1"/>
    <col min="6155" max="6155" width="10.28515625" style="722" customWidth="1"/>
    <col min="6156" max="6156" width="4.42578125" style="722" customWidth="1"/>
    <col min="6157" max="6157" width="7.5703125" style="722" customWidth="1"/>
    <col min="6158" max="6158" width="7.85546875" style="722" customWidth="1"/>
    <col min="6159" max="6159" width="8" style="722" customWidth="1"/>
    <col min="6160" max="6160" width="6.42578125" style="722" customWidth="1"/>
    <col min="6161" max="6161" width="28.85546875" style="722" customWidth="1"/>
    <col min="6162" max="6162" width="12.42578125" style="722" customWidth="1"/>
    <col min="6163" max="6163" width="9.140625" style="722" customWidth="1"/>
    <col min="6164" max="6164" width="10.85546875" style="722" customWidth="1"/>
    <col min="6165" max="6165" width="9.140625" style="722" customWidth="1"/>
    <col min="6166" max="6167" width="0" style="722" hidden="1" customWidth="1"/>
    <col min="6168" max="6168" width="32.28515625" style="722" customWidth="1"/>
    <col min="6169" max="6400" width="9.140625" style="722"/>
    <col min="6401" max="6401" width="4.28515625" style="722" customWidth="1"/>
    <col min="6402" max="6402" width="27.140625" style="722" customWidth="1"/>
    <col min="6403" max="6403" width="8.85546875" style="722" customWidth="1"/>
    <col min="6404" max="6404" width="6.7109375" style="722" customWidth="1"/>
    <col min="6405" max="6405" width="4.7109375" style="722" customWidth="1"/>
    <col min="6406" max="6406" width="8" style="722" customWidth="1"/>
    <col min="6407" max="6407" width="9.28515625" style="722" customWidth="1"/>
    <col min="6408" max="6408" width="8.5703125" style="722" customWidth="1"/>
    <col min="6409" max="6409" width="9.42578125" style="722" customWidth="1"/>
    <col min="6410" max="6410" width="8.85546875" style="722" customWidth="1"/>
    <col min="6411" max="6411" width="10.28515625" style="722" customWidth="1"/>
    <col min="6412" max="6412" width="4.42578125" style="722" customWidth="1"/>
    <col min="6413" max="6413" width="7.5703125" style="722" customWidth="1"/>
    <col min="6414" max="6414" width="7.85546875" style="722" customWidth="1"/>
    <col min="6415" max="6415" width="8" style="722" customWidth="1"/>
    <col min="6416" max="6416" width="6.42578125" style="722" customWidth="1"/>
    <col min="6417" max="6417" width="28.85546875" style="722" customWidth="1"/>
    <col min="6418" max="6418" width="12.42578125" style="722" customWidth="1"/>
    <col min="6419" max="6419" width="9.140625" style="722" customWidth="1"/>
    <col min="6420" max="6420" width="10.85546875" style="722" customWidth="1"/>
    <col min="6421" max="6421" width="9.140625" style="722" customWidth="1"/>
    <col min="6422" max="6423" width="0" style="722" hidden="1" customWidth="1"/>
    <col min="6424" max="6424" width="32.28515625" style="722" customWidth="1"/>
    <col min="6425" max="6656" width="9.140625" style="722"/>
    <col min="6657" max="6657" width="4.28515625" style="722" customWidth="1"/>
    <col min="6658" max="6658" width="27.140625" style="722" customWidth="1"/>
    <col min="6659" max="6659" width="8.85546875" style="722" customWidth="1"/>
    <col min="6660" max="6660" width="6.7109375" style="722" customWidth="1"/>
    <col min="6661" max="6661" width="4.7109375" style="722" customWidth="1"/>
    <col min="6662" max="6662" width="8" style="722" customWidth="1"/>
    <col min="6663" max="6663" width="9.28515625" style="722" customWidth="1"/>
    <col min="6664" max="6664" width="8.5703125" style="722" customWidth="1"/>
    <col min="6665" max="6665" width="9.42578125" style="722" customWidth="1"/>
    <col min="6666" max="6666" width="8.85546875" style="722" customWidth="1"/>
    <col min="6667" max="6667" width="10.28515625" style="722" customWidth="1"/>
    <col min="6668" max="6668" width="4.42578125" style="722" customWidth="1"/>
    <col min="6669" max="6669" width="7.5703125" style="722" customWidth="1"/>
    <col min="6670" max="6670" width="7.85546875" style="722" customWidth="1"/>
    <col min="6671" max="6671" width="8" style="722" customWidth="1"/>
    <col min="6672" max="6672" width="6.42578125" style="722" customWidth="1"/>
    <col min="6673" max="6673" width="28.85546875" style="722" customWidth="1"/>
    <col min="6674" max="6674" width="12.42578125" style="722" customWidth="1"/>
    <col min="6675" max="6675" width="9.140625" style="722" customWidth="1"/>
    <col min="6676" max="6676" width="10.85546875" style="722" customWidth="1"/>
    <col min="6677" max="6677" width="9.140625" style="722" customWidth="1"/>
    <col min="6678" max="6679" width="0" style="722" hidden="1" customWidth="1"/>
    <col min="6680" max="6680" width="32.28515625" style="722" customWidth="1"/>
    <col min="6681" max="6912" width="9.140625" style="722"/>
    <col min="6913" max="6913" width="4.28515625" style="722" customWidth="1"/>
    <col min="6914" max="6914" width="27.140625" style="722" customWidth="1"/>
    <col min="6915" max="6915" width="8.85546875" style="722" customWidth="1"/>
    <col min="6916" max="6916" width="6.7109375" style="722" customWidth="1"/>
    <col min="6917" max="6917" width="4.7109375" style="722" customWidth="1"/>
    <col min="6918" max="6918" width="8" style="722" customWidth="1"/>
    <col min="6919" max="6919" width="9.28515625" style="722" customWidth="1"/>
    <col min="6920" max="6920" width="8.5703125" style="722" customWidth="1"/>
    <col min="6921" max="6921" width="9.42578125" style="722" customWidth="1"/>
    <col min="6922" max="6922" width="8.85546875" style="722" customWidth="1"/>
    <col min="6923" max="6923" width="10.28515625" style="722" customWidth="1"/>
    <col min="6924" max="6924" width="4.42578125" style="722" customWidth="1"/>
    <col min="6925" max="6925" width="7.5703125" style="722" customWidth="1"/>
    <col min="6926" max="6926" width="7.85546875" style="722" customWidth="1"/>
    <col min="6927" max="6927" width="8" style="722" customWidth="1"/>
    <col min="6928" max="6928" width="6.42578125" style="722" customWidth="1"/>
    <col min="6929" max="6929" width="28.85546875" style="722" customWidth="1"/>
    <col min="6930" max="6930" width="12.42578125" style="722" customWidth="1"/>
    <col min="6931" max="6931" width="9.140625" style="722" customWidth="1"/>
    <col min="6932" max="6932" width="10.85546875" style="722" customWidth="1"/>
    <col min="6933" max="6933" width="9.140625" style="722" customWidth="1"/>
    <col min="6934" max="6935" width="0" style="722" hidden="1" customWidth="1"/>
    <col min="6936" max="6936" width="32.28515625" style="722" customWidth="1"/>
    <col min="6937" max="7168" width="9.140625" style="722"/>
    <col min="7169" max="7169" width="4.28515625" style="722" customWidth="1"/>
    <col min="7170" max="7170" width="27.140625" style="722" customWidth="1"/>
    <col min="7171" max="7171" width="8.85546875" style="722" customWidth="1"/>
    <col min="7172" max="7172" width="6.7109375" style="722" customWidth="1"/>
    <col min="7173" max="7173" width="4.7109375" style="722" customWidth="1"/>
    <col min="7174" max="7174" width="8" style="722" customWidth="1"/>
    <col min="7175" max="7175" width="9.28515625" style="722" customWidth="1"/>
    <col min="7176" max="7176" width="8.5703125" style="722" customWidth="1"/>
    <col min="7177" max="7177" width="9.42578125" style="722" customWidth="1"/>
    <col min="7178" max="7178" width="8.85546875" style="722" customWidth="1"/>
    <col min="7179" max="7179" width="10.28515625" style="722" customWidth="1"/>
    <col min="7180" max="7180" width="4.42578125" style="722" customWidth="1"/>
    <col min="7181" max="7181" width="7.5703125" style="722" customWidth="1"/>
    <col min="7182" max="7182" width="7.85546875" style="722" customWidth="1"/>
    <col min="7183" max="7183" width="8" style="722" customWidth="1"/>
    <col min="7184" max="7184" width="6.42578125" style="722" customWidth="1"/>
    <col min="7185" max="7185" width="28.85546875" style="722" customWidth="1"/>
    <col min="7186" max="7186" width="12.42578125" style="722" customWidth="1"/>
    <col min="7187" max="7187" width="9.140625" style="722" customWidth="1"/>
    <col min="7188" max="7188" width="10.85546875" style="722" customWidth="1"/>
    <col min="7189" max="7189" width="9.140625" style="722" customWidth="1"/>
    <col min="7190" max="7191" width="0" style="722" hidden="1" customWidth="1"/>
    <col min="7192" max="7192" width="32.28515625" style="722" customWidth="1"/>
    <col min="7193" max="7424" width="9.140625" style="722"/>
    <col min="7425" max="7425" width="4.28515625" style="722" customWidth="1"/>
    <col min="7426" max="7426" width="27.140625" style="722" customWidth="1"/>
    <col min="7427" max="7427" width="8.85546875" style="722" customWidth="1"/>
    <col min="7428" max="7428" width="6.7109375" style="722" customWidth="1"/>
    <col min="7429" max="7429" width="4.7109375" style="722" customWidth="1"/>
    <col min="7430" max="7430" width="8" style="722" customWidth="1"/>
    <col min="7431" max="7431" width="9.28515625" style="722" customWidth="1"/>
    <col min="7432" max="7432" width="8.5703125" style="722" customWidth="1"/>
    <col min="7433" max="7433" width="9.42578125" style="722" customWidth="1"/>
    <col min="7434" max="7434" width="8.85546875" style="722" customWidth="1"/>
    <col min="7435" max="7435" width="10.28515625" style="722" customWidth="1"/>
    <col min="7436" max="7436" width="4.42578125" style="722" customWidth="1"/>
    <col min="7437" max="7437" width="7.5703125" style="722" customWidth="1"/>
    <col min="7438" max="7438" width="7.85546875" style="722" customWidth="1"/>
    <col min="7439" max="7439" width="8" style="722" customWidth="1"/>
    <col min="7440" max="7440" width="6.42578125" style="722" customWidth="1"/>
    <col min="7441" max="7441" width="28.85546875" style="722" customWidth="1"/>
    <col min="7442" max="7442" width="12.42578125" style="722" customWidth="1"/>
    <col min="7443" max="7443" width="9.140625" style="722" customWidth="1"/>
    <col min="7444" max="7444" width="10.85546875" style="722" customWidth="1"/>
    <col min="7445" max="7445" width="9.140625" style="722" customWidth="1"/>
    <col min="7446" max="7447" width="0" style="722" hidden="1" customWidth="1"/>
    <col min="7448" max="7448" width="32.28515625" style="722" customWidth="1"/>
    <col min="7449" max="7680" width="9.140625" style="722"/>
    <col min="7681" max="7681" width="4.28515625" style="722" customWidth="1"/>
    <col min="7682" max="7682" width="27.140625" style="722" customWidth="1"/>
    <col min="7683" max="7683" width="8.85546875" style="722" customWidth="1"/>
    <col min="7684" max="7684" width="6.7109375" style="722" customWidth="1"/>
    <col min="7685" max="7685" width="4.7109375" style="722" customWidth="1"/>
    <col min="7686" max="7686" width="8" style="722" customWidth="1"/>
    <col min="7687" max="7687" width="9.28515625" style="722" customWidth="1"/>
    <col min="7688" max="7688" width="8.5703125" style="722" customWidth="1"/>
    <col min="7689" max="7689" width="9.42578125" style="722" customWidth="1"/>
    <col min="7690" max="7690" width="8.85546875" style="722" customWidth="1"/>
    <col min="7691" max="7691" width="10.28515625" style="722" customWidth="1"/>
    <col min="7692" max="7692" width="4.42578125" style="722" customWidth="1"/>
    <col min="7693" max="7693" width="7.5703125" style="722" customWidth="1"/>
    <col min="7694" max="7694" width="7.85546875" style="722" customWidth="1"/>
    <col min="7695" max="7695" width="8" style="722" customWidth="1"/>
    <col min="7696" max="7696" width="6.42578125" style="722" customWidth="1"/>
    <col min="7697" max="7697" width="28.85546875" style="722" customWidth="1"/>
    <col min="7698" max="7698" width="12.42578125" style="722" customWidth="1"/>
    <col min="7699" max="7699" width="9.140625" style="722" customWidth="1"/>
    <col min="7700" max="7700" width="10.85546875" style="722" customWidth="1"/>
    <col min="7701" max="7701" width="9.140625" style="722" customWidth="1"/>
    <col min="7702" max="7703" width="0" style="722" hidden="1" customWidth="1"/>
    <col min="7704" max="7704" width="32.28515625" style="722" customWidth="1"/>
    <col min="7705" max="7936" width="9.140625" style="722"/>
    <col min="7937" max="7937" width="4.28515625" style="722" customWidth="1"/>
    <col min="7938" max="7938" width="27.140625" style="722" customWidth="1"/>
    <col min="7939" max="7939" width="8.85546875" style="722" customWidth="1"/>
    <col min="7940" max="7940" width="6.7109375" style="722" customWidth="1"/>
    <col min="7941" max="7941" width="4.7109375" style="722" customWidth="1"/>
    <col min="7942" max="7942" width="8" style="722" customWidth="1"/>
    <col min="7943" max="7943" width="9.28515625" style="722" customWidth="1"/>
    <col min="7944" max="7944" width="8.5703125" style="722" customWidth="1"/>
    <col min="7945" max="7945" width="9.42578125" style="722" customWidth="1"/>
    <col min="7946" max="7946" width="8.85546875" style="722" customWidth="1"/>
    <col min="7947" max="7947" width="10.28515625" style="722" customWidth="1"/>
    <col min="7948" max="7948" width="4.42578125" style="722" customWidth="1"/>
    <col min="7949" max="7949" width="7.5703125" style="722" customWidth="1"/>
    <col min="7950" max="7950" width="7.85546875" style="722" customWidth="1"/>
    <col min="7951" max="7951" width="8" style="722" customWidth="1"/>
    <col min="7952" max="7952" width="6.42578125" style="722" customWidth="1"/>
    <col min="7953" max="7953" width="28.85546875" style="722" customWidth="1"/>
    <col min="7954" max="7954" width="12.42578125" style="722" customWidth="1"/>
    <col min="7955" max="7955" width="9.140625" style="722" customWidth="1"/>
    <col min="7956" max="7956" width="10.85546875" style="722" customWidth="1"/>
    <col min="7957" max="7957" width="9.140625" style="722" customWidth="1"/>
    <col min="7958" max="7959" width="0" style="722" hidden="1" customWidth="1"/>
    <col min="7960" max="7960" width="32.28515625" style="722" customWidth="1"/>
    <col min="7961" max="8192" width="9.140625" style="722"/>
    <col min="8193" max="8193" width="4.28515625" style="722" customWidth="1"/>
    <col min="8194" max="8194" width="27.140625" style="722" customWidth="1"/>
    <col min="8195" max="8195" width="8.85546875" style="722" customWidth="1"/>
    <col min="8196" max="8196" width="6.7109375" style="722" customWidth="1"/>
    <col min="8197" max="8197" width="4.7109375" style="722" customWidth="1"/>
    <col min="8198" max="8198" width="8" style="722" customWidth="1"/>
    <col min="8199" max="8199" width="9.28515625" style="722" customWidth="1"/>
    <col min="8200" max="8200" width="8.5703125" style="722" customWidth="1"/>
    <col min="8201" max="8201" width="9.42578125" style="722" customWidth="1"/>
    <col min="8202" max="8202" width="8.85546875" style="722" customWidth="1"/>
    <col min="8203" max="8203" width="10.28515625" style="722" customWidth="1"/>
    <col min="8204" max="8204" width="4.42578125" style="722" customWidth="1"/>
    <col min="8205" max="8205" width="7.5703125" style="722" customWidth="1"/>
    <col min="8206" max="8206" width="7.85546875" style="722" customWidth="1"/>
    <col min="8207" max="8207" width="8" style="722" customWidth="1"/>
    <col min="8208" max="8208" width="6.42578125" style="722" customWidth="1"/>
    <col min="8209" max="8209" width="28.85546875" style="722" customWidth="1"/>
    <col min="8210" max="8210" width="12.42578125" style="722" customWidth="1"/>
    <col min="8211" max="8211" width="9.140625" style="722" customWidth="1"/>
    <col min="8212" max="8212" width="10.85546875" style="722" customWidth="1"/>
    <col min="8213" max="8213" width="9.140625" style="722" customWidth="1"/>
    <col min="8214" max="8215" width="0" style="722" hidden="1" customWidth="1"/>
    <col min="8216" max="8216" width="32.28515625" style="722" customWidth="1"/>
    <col min="8217" max="8448" width="9.140625" style="722"/>
    <col min="8449" max="8449" width="4.28515625" style="722" customWidth="1"/>
    <col min="8450" max="8450" width="27.140625" style="722" customWidth="1"/>
    <col min="8451" max="8451" width="8.85546875" style="722" customWidth="1"/>
    <col min="8452" max="8452" width="6.7109375" style="722" customWidth="1"/>
    <col min="8453" max="8453" width="4.7109375" style="722" customWidth="1"/>
    <col min="8454" max="8454" width="8" style="722" customWidth="1"/>
    <col min="8455" max="8455" width="9.28515625" style="722" customWidth="1"/>
    <col min="8456" max="8456" width="8.5703125" style="722" customWidth="1"/>
    <col min="8457" max="8457" width="9.42578125" style="722" customWidth="1"/>
    <col min="8458" max="8458" width="8.85546875" style="722" customWidth="1"/>
    <col min="8459" max="8459" width="10.28515625" style="722" customWidth="1"/>
    <col min="8460" max="8460" width="4.42578125" style="722" customWidth="1"/>
    <col min="8461" max="8461" width="7.5703125" style="722" customWidth="1"/>
    <col min="8462" max="8462" width="7.85546875" style="722" customWidth="1"/>
    <col min="8463" max="8463" width="8" style="722" customWidth="1"/>
    <col min="8464" max="8464" width="6.42578125" style="722" customWidth="1"/>
    <col min="8465" max="8465" width="28.85546875" style="722" customWidth="1"/>
    <col min="8466" max="8466" width="12.42578125" style="722" customWidth="1"/>
    <col min="8467" max="8467" width="9.140625" style="722" customWidth="1"/>
    <col min="8468" max="8468" width="10.85546875" style="722" customWidth="1"/>
    <col min="8469" max="8469" width="9.140625" style="722" customWidth="1"/>
    <col min="8470" max="8471" width="0" style="722" hidden="1" customWidth="1"/>
    <col min="8472" max="8472" width="32.28515625" style="722" customWidth="1"/>
    <col min="8473" max="8704" width="9.140625" style="722"/>
    <col min="8705" max="8705" width="4.28515625" style="722" customWidth="1"/>
    <col min="8706" max="8706" width="27.140625" style="722" customWidth="1"/>
    <col min="8707" max="8707" width="8.85546875" style="722" customWidth="1"/>
    <col min="8708" max="8708" width="6.7109375" style="722" customWidth="1"/>
    <col min="8709" max="8709" width="4.7109375" style="722" customWidth="1"/>
    <col min="8710" max="8710" width="8" style="722" customWidth="1"/>
    <col min="8711" max="8711" width="9.28515625" style="722" customWidth="1"/>
    <col min="8712" max="8712" width="8.5703125" style="722" customWidth="1"/>
    <col min="8713" max="8713" width="9.42578125" style="722" customWidth="1"/>
    <col min="8714" max="8714" width="8.85546875" style="722" customWidth="1"/>
    <col min="8715" max="8715" width="10.28515625" style="722" customWidth="1"/>
    <col min="8716" max="8716" width="4.42578125" style="722" customWidth="1"/>
    <col min="8717" max="8717" width="7.5703125" style="722" customWidth="1"/>
    <col min="8718" max="8718" width="7.85546875" style="722" customWidth="1"/>
    <col min="8719" max="8719" width="8" style="722" customWidth="1"/>
    <col min="8720" max="8720" width="6.42578125" style="722" customWidth="1"/>
    <col min="8721" max="8721" width="28.85546875" style="722" customWidth="1"/>
    <col min="8722" max="8722" width="12.42578125" style="722" customWidth="1"/>
    <col min="8723" max="8723" width="9.140625" style="722" customWidth="1"/>
    <col min="8724" max="8724" width="10.85546875" style="722" customWidth="1"/>
    <col min="8725" max="8725" width="9.140625" style="722" customWidth="1"/>
    <col min="8726" max="8727" width="0" style="722" hidden="1" customWidth="1"/>
    <col min="8728" max="8728" width="32.28515625" style="722" customWidth="1"/>
    <col min="8729" max="8960" width="9.140625" style="722"/>
    <col min="8961" max="8961" width="4.28515625" style="722" customWidth="1"/>
    <col min="8962" max="8962" width="27.140625" style="722" customWidth="1"/>
    <col min="8963" max="8963" width="8.85546875" style="722" customWidth="1"/>
    <col min="8964" max="8964" width="6.7109375" style="722" customWidth="1"/>
    <col min="8965" max="8965" width="4.7109375" style="722" customWidth="1"/>
    <col min="8966" max="8966" width="8" style="722" customWidth="1"/>
    <col min="8967" max="8967" width="9.28515625" style="722" customWidth="1"/>
    <col min="8968" max="8968" width="8.5703125" style="722" customWidth="1"/>
    <col min="8969" max="8969" width="9.42578125" style="722" customWidth="1"/>
    <col min="8970" max="8970" width="8.85546875" style="722" customWidth="1"/>
    <col min="8971" max="8971" width="10.28515625" style="722" customWidth="1"/>
    <col min="8972" max="8972" width="4.42578125" style="722" customWidth="1"/>
    <col min="8973" max="8973" width="7.5703125" style="722" customWidth="1"/>
    <col min="8974" max="8974" width="7.85546875" style="722" customWidth="1"/>
    <col min="8975" max="8975" width="8" style="722" customWidth="1"/>
    <col min="8976" max="8976" width="6.42578125" style="722" customWidth="1"/>
    <col min="8977" max="8977" width="28.85546875" style="722" customWidth="1"/>
    <col min="8978" max="8978" width="12.42578125" style="722" customWidth="1"/>
    <col min="8979" max="8979" width="9.140625" style="722" customWidth="1"/>
    <col min="8980" max="8980" width="10.85546875" style="722" customWidth="1"/>
    <col min="8981" max="8981" width="9.140625" style="722" customWidth="1"/>
    <col min="8982" max="8983" width="0" style="722" hidden="1" customWidth="1"/>
    <col min="8984" max="8984" width="32.28515625" style="722" customWidth="1"/>
    <col min="8985" max="9216" width="9.140625" style="722"/>
    <col min="9217" max="9217" width="4.28515625" style="722" customWidth="1"/>
    <col min="9218" max="9218" width="27.140625" style="722" customWidth="1"/>
    <col min="9219" max="9219" width="8.85546875" style="722" customWidth="1"/>
    <col min="9220" max="9220" width="6.7109375" style="722" customWidth="1"/>
    <col min="9221" max="9221" width="4.7109375" style="722" customWidth="1"/>
    <col min="9222" max="9222" width="8" style="722" customWidth="1"/>
    <col min="9223" max="9223" width="9.28515625" style="722" customWidth="1"/>
    <col min="9224" max="9224" width="8.5703125" style="722" customWidth="1"/>
    <col min="9225" max="9225" width="9.42578125" style="722" customWidth="1"/>
    <col min="9226" max="9226" width="8.85546875" style="722" customWidth="1"/>
    <col min="9227" max="9227" width="10.28515625" style="722" customWidth="1"/>
    <col min="9228" max="9228" width="4.42578125" style="722" customWidth="1"/>
    <col min="9229" max="9229" width="7.5703125" style="722" customWidth="1"/>
    <col min="9230" max="9230" width="7.85546875" style="722" customWidth="1"/>
    <col min="9231" max="9231" width="8" style="722" customWidth="1"/>
    <col min="9232" max="9232" width="6.42578125" style="722" customWidth="1"/>
    <col min="9233" max="9233" width="28.85546875" style="722" customWidth="1"/>
    <col min="9234" max="9234" width="12.42578125" style="722" customWidth="1"/>
    <col min="9235" max="9235" width="9.140625" style="722" customWidth="1"/>
    <col min="9236" max="9236" width="10.85546875" style="722" customWidth="1"/>
    <col min="9237" max="9237" width="9.140625" style="722" customWidth="1"/>
    <col min="9238" max="9239" width="0" style="722" hidden="1" customWidth="1"/>
    <col min="9240" max="9240" width="32.28515625" style="722" customWidth="1"/>
    <col min="9241" max="9472" width="9.140625" style="722"/>
    <col min="9473" max="9473" width="4.28515625" style="722" customWidth="1"/>
    <col min="9474" max="9474" width="27.140625" style="722" customWidth="1"/>
    <col min="9475" max="9475" width="8.85546875" style="722" customWidth="1"/>
    <col min="9476" max="9476" width="6.7109375" style="722" customWidth="1"/>
    <col min="9477" max="9477" width="4.7109375" style="722" customWidth="1"/>
    <col min="9478" max="9478" width="8" style="722" customWidth="1"/>
    <col min="9479" max="9479" width="9.28515625" style="722" customWidth="1"/>
    <col min="9480" max="9480" width="8.5703125" style="722" customWidth="1"/>
    <col min="9481" max="9481" width="9.42578125" style="722" customWidth="1"/>
    <col min="9482" max="9482" width="8.85546875" style="722" customWidth="1"/>
    <col min="9483" max="9483" width="10.28515625" style="722" customWidth="1"/>
    <col min="9484" max="9484" width="4.42578125" style="722" customWidth="1"/>
    <col min="9485" max="9485" width="7.5703125" style="722" customWidth="1"/>
    <col min="9486" max="9486" width="7.85546875" style="722" customWidth="1"/>
    <col min="9487" max="9487" width="8" style="722" customWidth="1"/>
    <col min="9488" max="9488" width="6.42578125" style="722" customWidth="1"/>
    <col min="9489" max="9489" width="28.85546875" style="722" customWidth="1"/>
    <col min="9490" max="9490" width="12.42578125" style="722" customWidth="1"/>
    <col min="9491" max="9491" width="9.140625" style="722" customWidth="1"/>
    <col min="9492" max="9492" width="10.85546875" style="722" customWidth="1"/>
    <col min="9493" max="9493" width="9.140625" style="722" customWidth="1"/>
    <col min="9494" max="9495" width="0" style="722" hidden="1" customWidth="1"/>
    <col min="9496" max="9496" width="32.28515625" style="722" customWidth="1"/>
    <col min="9497" max="9728" width="9.140625" style="722"/>
    <col min="9729" max="9729" width="4.28515625" style="722" customWidth="1"/>
    <col min="9730" max="9730" width="27.140625" style="722" customWidth="1"/>
    <col min="9731" max="9731" width="8.85546875" style="722" customWidth="1"/>
    <col min="9732" max="9732" width="6.7109375" style="722" customWidth="1"/>
    <col min="9733" max="9733" width="4.7109375" style="722" customWidth="1"/>
    <col min="9734" max="9734" width="8" style="722" customWidth="1"/>
    <col min="9735" max="9735" width="9.28515625" style="722" customWidth="1"/>
    <col min="9736" max="9736" width="8.5703125" style="722" customWidth="1"/>
    <col min="9737" max="9737" width="9.42578125" style="722" customWidth="1"/>
    <col min="9738" max="9738" width="8.85546875" style="722" customWidth="1"/>
    <col min="9739" max="9739" width="10.28515625" style="722" customWidth="1"/>
    <col min="9740" max="9740" width="4.42578125" style="722" customWidth="1"/>
    <col min="9741" max="9741" width="7.5703125" style="722" customWidth="1"/>
    <col min="9742" max="9742" width="7.85546875" style="722" customWidth="1"/>
    <col min="9743" max="9743" width="8" style="722" customWidth="1"/>
    <col min="9744" max="9744" width="6.42578125" style="722" customWidth="1"/>
    <col min="9745" max="9745" width="28.85546875" style="722" customWidth="1"/>
    <col min="9746" max="9746" width="12.42578125" style="722" customWidth="1"/>
    <col min="9747" max="9747" width="9.140625" style="722" customWidth="1"/>
    <col min="9748" max="9748" width="10.85546875" style="722" customWidth="1"/>
    <col min="9749" max="9749" width="9.140625" style="722" customWidth="1"/>
    <col min="9750" max="9751" width="0" style="722" hidden="1" customWidth="1"/>
    <col min="9752" max="9752" width="32.28515625" style="722" customWidth="1"/>
    <col min="9753" max="9984" width="9.140625" style="722"/>
    <col min="9985" max="9985" width="4.28515625" style="722" customWidth="1"/>
    <col min="9986" max="9986" width="27.140625" style="722" customWidth="1"/>
    <col min="9987" max="9987" width="8.85546875" style="722" customWidth="1"/>
    <col min="9988" max="9988" width="6.7109375" style="722" customWidth="1"/>
    <col min="9989" max="9989" width="4.7109375" style="722" customWidth="1"/>
    <col min="9990" max="9990" width="8" style="722" customWidth="1"/>
    <col min="9991" max="9991" width="9.28515625" style="722" customWidth="1"/>
    <col min="9992" max="9992" width="8.5703125" style="722" customWidth="1"/>
    <col min="9993" max="9993" width="9.42578125" style="722" customWidth="1"/>
    <col min="9994" max="9994" width="8.85546875" style="722" customWidth="1"/>
    <col min="9995" max="9995" width="10.28515625" style="722" customWidth="1"/>
    <col min="9996" max="9996" width="4.42578125" style="722" customWidth="1"/>
    <col min="9997" max="9997" width="7.5703125" style="722" customWidth="1"/>
    <col min="9998" max="9998" width="7.85546875" style="722" customWidth="1"/>
    <col min="9999" max="9999" width="8" style="722" customWidth="1"/>
    <col min="10000" max="10000" width="6.42578125" style="722" customWidth="1"/>
    <col min="10001" max="10001" width="28.85546875" style="722" customWidth="1"/>
    <col min="10002" max="10002" width="12.42578125" style="722" customWidth="1"/>
    <col min="10003" max="10003" width="9.140625" style="722" customWidth="1"/>
    <col min="10004" max="10004" width="10.85546875" style="722" customWidth="1"/>
    <col min="10005" max="10005" width="9.140625" style="722" customWidth="1"/>
    <col min="10006" max="10007" width="0" style="722" hidden="1" customWidth="1"/>
    <col min="10008" max="10008" width="32.28515625" style="722" customWidth="1"/>
    <col min="10009" max="10240" width="9.140625" style="722"/>
    <col min="10241" max="10241" width="4.28515625" style="722" customWidth="1"/>
    <col min="10242" max="10242" width="27.140625" style="722" customWidth="1"/>
    <col min="10243" max="10243" width="8.85546875" style="722" customWidth="1"/>
    <col min="10244" max="10244" width="6.7109375" style="722" customWidth="1"/>
    <col min="10245" max="10245" width="4.7109375" style="722" customWidth="1"/>
    <col min="10246" max="10246" width="8" style="722" customWidth="1"/>
    <col min="10247" max="10247" width="9.28515625" style="722" customWidth="1"/>
    <col min="10248" max="10248" width="8.5703125" style="722" customWidth="1"/>
    <col min="10249" max="10249" width="9.42578125" style="722" customWidth="1"/>
    <col min="10250" max="10250" width="8.85546875" style="722" customWidth="1"/>
    <col min="10251" max="10251" width="10.28515625" style="722" customWidth="1"/>
    <col min="10252" max="10252" width="4.42578125" style="722" customWidth="1"/>
    <col min="10253" max="10253" width="7.5703125" style="722" customWidth="1"/>
    <col min="10254" max="10254" width="7.85546875" style="722" customWidth="1"/>
    <col min="10255" max="10255" width="8" style="722" customWidth="1"/>
    <col min="10256" max="10256" width="6.42578125" style="722" customWidth="1"/>
    <col min="10257" max="10257" width="28.85546875" style="722" customWidth="1"/>
    <col min="10258" max="10258" width="12.42578125" style="722" customWidth="1"/>
    <col min="10259" max="10259" width="9.140625" style="722" customWidth="1"/>
    <col min="10260" max="10260" width="10.85546875" style="722" customWidth="1"/>
    <col min="10261" max="10261" width="9.140625" style="722" customWidth="1"/>
    <col min="10262" max="10263" width="0" style="722" hidden="1" customWidth="1"/>
    <col min="10264" max="10264" width="32.28515625" style="722" customWidth="1"/>
    <col min="10265" max="10496" width="9.140625" style="722"/>
    <col min="10497" max="10497" width="4.28515625" style="722" customWidth="1"/>
    <col min="10498" max="10498" width="27.140625" style="722" customWidth="1"/>
    <col min="10499" max="10499" width="8.85546875" style="722" customWidth="1"/>
    <col min="10500" max="10500" width="6.7109375" style="722" customWidth="1"/>
    <col min="10501" max="10501" width="4.7109375" style="722" customWidth="1"/>
    <col min="10502" max="10502" width="8" style="722" customWidth="1"/>
    <col min="10503" max="10503" width="9.28515625" style="722" customWidth="1"/>
    <col min="10504" max="10504" width="8.5703125" style="722" customWidth="1"/>
    <col min="10505" max="10505" width="9.42578125" style="722" customWidth="1"/>
    <col min="10506" max="10506" width="8.85546875" style="722" customWidth="1"/>
    <col min="10507" max="10507" width="10.28515625" style="722" customWidth="1"/>
    <col min="10508" max="10508" width="4.42578125" style="722" customWidth="1"/>
    <col min="10509" max="10509" width="7.5703125" style="722" customWidth="1"/>
    <col min="10510" max="10510" width="7.85546875" style="722" customWidth="1"/>
    <col min="10511" max="10511" width="8" style="722" customWidth="1"/>
    <col min="10512" max="10512" width="6.42578125" style="722" customWidth="1"/>
    <col min="10513" max="10513" width="28.85546875" style="722" customWidth="1"/>
    <col min="10514" max="10514" width="12.42578125" style="722" customWidth="1"/>
    <col min="10515" max="10515" width="9.140625" style="722" customWidth="1"/>
    <col min="10516" max="10516" width="10.85546875" style="722" customWidth="1"/>
    <col min="10517" max="10517" width="9.140625" style="722" customWidth="1"/>
    <col min="10518" max="10519" width="0" style="722" hidden="1" customWidth="1"/>
    <col min="10520" max="10520" width="32.28515625" style="722" customWidth="1"/>
    <col min="10521" max="10752" width="9.140625" style="722"/>
    <col min="10753" max="10753" width="4.28515625" style="722" customWidth="1"/>
    <col min="10754" max="10754" width="27.140625" style="722" customWidth="1"/>
    <col min="10755" max="10755" width="8.85546875" style="722" customWidth="1"/>
    <col min="10756" max="10756" width="6.7109375" style="722" customWidth="1"/>
    <col min="10757" max="10757" width="4.7109375" style="722" customWidth="1"/>
    <col min="10758" max="10758" width="8" style="722" customWidth="1"/>
    <col min="10759" max="10759" width="9.28515625" style="722" customWidth="1"/>
    <col min="10760" max="10760" width="8.5703125" style="722" customWidth="1"/>
    <col min="10761" max="10761" width="9.42578125" style="722" customWidth="1"/>
    <col min="10762" max="10762" width="8.85546875" style="722" customWidth="1"/>
    <col min="10763" max="10763" width="10.28515625" style="722" customWidth="1"/>
    <col min="10764" max="10764" width="4.42578125" style="722" customWidth="1"/>
    <col min="10765" max="10765" width="7.5703125" style="722" customWidth="1"/>
    <col min="10766" max="10766" width="7.85546875" style="722" customWidth="1"/>
    <col min="10767" max="10767" width="8" style="722" customWidth="1"/>
    <col min="10768" max="10768" width="6.42578125" style="722" customWidth="1"/>
    <col min="10769" max="10769" width="28.85546875" style="722" customWidth="1"/>
    <col min="10770" max="10770" width="12.42578125" style="722" customWidth="1"/>
    <col min="10771" max="10771" width="9.140625" style="722" customWidth="1"/>
    <col min="10772" max="10772" width="10.85546875" style="722" customWidth="1"/>
    <col min="10773" max="10773" width="9.140625" style="722" customWidth="1"/>
    <col min="10774" max="10775" width="0" style="722" hidden="1" customWidth="1"/>
    <col min="10776" max="10776" width="32.28515625" style="722" customWidth="1"/>
    <col min="10777" max="11008" width="9.140625" style="722"/>
    <col min="11009" max="11009" width="4.28515625" style="722" customWidth="1"/>
    <col min="11010" max="11010" width="27.140625" style="722" customWidth="1"/>
    <col min="11011" max="11011" width="8.85546875" style="722" customWidth="1"/>
    <col min="11012" max="11012" width="6.7109375" style="722" customWidth="1"/>
    <col min="11013" max="11013" width="4.7109375" style="722" customWidth="1"/>
    <col min="11014" max="11014" width="8" style="722" customWidth="1"/>
    <col min="11015" max="11015" width="9.28515625" style="722" customWidth="1"/>
    <col min="11016" max="11016" width="8.5703125" style="722" customWidth="1"/>
    <col min="11017" max="11017" width="9.42578125" style="722" customWidth="1"/>
    <col min="11018" max="11018" width="8.85546875" style="722" customWidth="1"/>
    <col min="11019" max="11019" width="10.28515625" style="722" customWidth="1"/>
    <col min="11020" max="11020" width="4.42578125" style="722" customWidth="1"/>
    <col min="11021" max="11021" width="7.5703125" style="722" customWidth="1"/>
    <col min="11022" max="11022" width="7.85546875" style="722" customWidth="1"/>
    <col min="11023" max="11023" width="8" style="722" customWidth="1"/>
    <col min="11024" max="11024" width="6.42578125" style="722" customWidth="1"/>
    <col min="11025" max="11025" width="28.85546875" style="722" customWidth="1"/>
    <col min="11026" max="11026" width="12.42578125" style="722" customWidth="1"/>
    <col min="11027" max="11027" width="9.140625" style="722" customWidth="1"/>
    <col min="11028" max="11028" width="10.85546875" style="722" customWidth="1"/>
    <col min="11029" max="11029" width="9.140625" style="722" customWidth="1"/>
    <col min="11030" max="11031" width="0" style="722" hidden="1" customWidth="1"/>
    <col min="11032" max="11032" width="32.28515625" style="722" customWidth="1"/>
    <col min="11033" max="11264" width="9.140625" style="722"/>
    <col min="11265" max="11265" width="4.28515625" style="722" customWidth="1"/>
    <col min="11266" max="11266" width="27.140625" style="722" customWidth="1"/>
    <col min="11267" max="11267" width="8.85546875" style="722" customWidth="1"/>
    <col min="11268" max="11268" width="6.7109375" style="722" customWidth="1"/>
    <col min="11269" max="11269" width="4.7109375" style="722" customWidth="1"/>
    <col min="11270" max="11270" width="8" style="722" customWidth="1"/>
    <col min="11271" max="11271" width="9.28515625" style="722" customWidth="1"/>
    <col min="11272" max="11272" width="8.5703125" style="722" customWidth="1"/>
    <col min="11273" max="11273" width="9.42578125" style="722" customWidth="1"/>
    <col min="11274" max="11274" width="8.85546875" style="722" customWidth="1"/>
    <col min="11275" max="11275" width="10.28515625" style="722" customWidth="1"/>
    <col min="11276" max="11276" width="4.42578125" style="722" customWidth="1"/>
    <col min="11277" max="11277" width="7.5703125" style="722" customWidth="1"/>
    <col min="11278" max="11278" width="7.85546875" style="722" customWidth="1"/>
    <col min="11279" max="11279" width="8" style="722" customWidth="1"/>
    <col min="11280" max="11280" width="6.42578125" style="722" customWidth="1"/>
    <col min="11281" max="11281" width="28.85546875" style="722" customWidth="1"/>
    <col min="11282" max="11282" width="12.42578125" style="722" customWidth="1"/>
    <col min="11283" max="11283" width="9.140625" style="722" customWidth="1"/>
    <col min="11284" max="11284" width="10.85546875" style="722" customWidth="1"/>
    <col min="11285" max="11285" width="9.140625" style="722" customWidth="1"/>
    <col min="11286" max="11287" width="0" style="722" hidden="1" customWidth="1"/>
    <col min="11288" max="11288" width="32.28515625" style="722" customWidth="1"/>
    <col min="11289" max="11520" width="9.140625" style="722"/>
    <col min="11521" max="11521" width="4.28515625" style="722" customWidth="1"/>
    <col min="11522" max="11522" width="27.140625" style="722" customWidth="1"/>
    <col min="11523" max="11523" width="8.85546875" style="722" customWidth="1"/>
    <col min="11524" max="11524" width="6.7109375" style="722" customWidth="1"/>
    <col min="11525" max="11525" width="4.7109375" style="722" customWidth="1"/>
    <col min="11526" max="11526" width="8" style="722" customWidth="1"/>
    <col min="11527" max="11527" width="9.28515625" style="722" customWidth="1"/>
    <col min="11528" max="11528" width="8.5703125" style="722" customWidth="1"/>
    <col min="11529" max="11529" width="9.42578125" style="722" customWidth="1"/>
    <col min="11530" max="11530" width="8.85546875" style="722" customWidth="1"/>
    <col min="11531" max="11531" width="10.28515625" style="722" customWidth="1"/>
    <col min="11532" max="11532" width="4.42578125" style="722" customWidth="1"/>
    <col min="11533" max="11533" width="7.5703125" style="722" customWidth="1"/>
    <col min="11534" max="11534" width="7.85546875" style="722" customWidth="1"/>
    <col min="11535" max="11535" width="8" style="722" customWidth="1"/>
    <col min="11536" max="11536" width="6.42578125" style="722" customWidth="1"/>
    <col min="11537" max="11537" width="28.85546875" style="722" customWidth="1"/>
    <col min="11538" max="11538" width="12.42578125" style="722" customWidth="1"/>
    <col min="11539" max="11539" width="9.140625" style="722" customWidth="1"/>
    <col min="11540" max="11540" width="10.85546875" style="722" customWidth="1"/>
    <col min="11541" max="11541" width="9.140625" style="722" customWidth="1"/>
    <col min="11542" max="11543" width="0" style="722" hidden="1" customWidth="1"/>
    <col min="11544" max="11544" width="32.28515625" style="722" customWidth="1"/>
    <col min="11545" max="11776" width="9.140625" style="722"/>
    <col min="11777" max="11777" width="4.28515625" style="722" customWidth="1"/>
    <col min="11778" max="11778" width="27.140625" style="722" customWidth="1"/>
    <col min="11779" max="11779" width="8.85546875" style="722" customWidth="1"/>
    <col min="11780" max="11780" width="6.7109375" style="722" customWidth="1"/>
    <col min="11781" max="11781" width="4.7109375" style="722" customWidth="1"/>
    <col min="11782" max="11782" width="8" style="722" customWidth="1"/>
    <col min="11783" max="11783" width="9.28515625" style="722" customWidth="1"/>
    <col min="11784" max="11784" width="8.5703125" style="722" customWidth="1"/>
    <col min="11785" max="11785" width="9.42578125" style="722" customWidth="1"/>
    <col min="11786" max="11786" width="8.85546875" style="722" customWidth="1"/>
    <col min="11787" max="11787" width="10.28515625" style="722" customWidth="1"/>
    <col min="11788" max="11788" width="4.42578125" style="722" customWidth="1"/>
    <col min="11789" max="11789" width="7.5703125" style="722" customWidth="1"/>
    <col min="11790" max="11790" width="7.85546875" style="722" customWidth="1"/>
    <col min="11791" max="11791" width="8" style="722" customWidth="1"/>
    <col min="11792" max="11792" width="6.42578125" style="722" customWidth="1"/>
    <col min="11793" max="11793" width="28.85546875" style="722" customWidth="1"/>
    <col min="11794" max="11794" width="12.42578125" style="722" customWidth="1"/>
    <col min="11795" max="11795" width="9.140625" style="722" customWidth="1"/>
    <col min="11796" max="11796" width="10.85546875" style="722" customWidth="1"/>
    <col min="11797" max="11797" width="9.140625" style="722" customWidth="1"/>
    <col min="11798" max="11799" width="0" style="722" hidden="1" customWidth="1"/>
    <col min="11800" max="11800" width="32.28515625" style="722" customWidth="1"/>
    <col min="11801" max="12032" width="9.140625" style="722"/>
    <col min="12033" max="12033" width="4.28515625" style="722" customWidth="1"/>
    <col min="12034" max="12034" width="27.140625" style="722" customWidth="1"/>
    <col min="12035" max="12035" width="8.85546875" style="722" customWidth="1"/>
    <col min="12036" max="12036" width="6.7109375" style="722" customWidth="1"/>
    <col min="12037" max="12037" width="4.7109375" style="722" customWidth="1"/>
    <col min="12038" max="12038" width="8" style="722" customWidth="1"/>
    <col min="12039" max="12039" width="9.28515625" style="722" customWidth="1"/>
    <col min="12040" max="12040" width="8.5703125" style="722" customWidth="1"/>
    <col min="12041" max="12041" width="9.42578125" style="722" customWidth="1"/>
    <col min="12042" max="12042" width="8.85546875" style="722" customWidth="1"/>
    <col min="12043" max="12043" width="10.28515625" style="722" customWidth="1"/>
    <col min="12044" max="12044" width="4.42578125" style="722" customWidth="1"/>
    <col min="12045" max="12045" width="7.5703125" style="722" customWidth="1"/>
    <col min="12046" max="12046" width="7.85546875" style="722" customWidth="1"/>
    <col min="12047" max="12047" width="8" style="722" customWidth="1"/>
    <col min="12048" max="12048" width="6.42578125" style="722" customWidth="1"/>
    <col min="12049" max="12049" width="28.85546875" style="722" customWidth="1"/>
    <col min="12050" max="12050" width="12.42578125" style="722" customWidth="1"/>
    <col min="12051" max="12051" width="9.140625" style="722" customWidth="1"/>
    <col min="12052" max="12052" width="10.85546875" style="722" customWidth="1"/>
    <col min="12053" max="12053" width="9.140625" style="722" customWidth="1"/>
    <col min="12054" max="12055" width="0" style="722" hidden="1" customWidth="1"/>
    <col min="12056" max="12056" width="32.28515625" style="722" customWidth="1"/>
    <col min="12057" max="12288" width="9.140625" style="722"/>
    <col min="12289" max="12289" width="4.28515625" style="722" customWidth="1"/>
    <col min="12290" max="12290" width="27.140625" style="722" customWidth="1"/>
    <col min="12291" max="12291" width="8.85546875" style="722" customWidth="1"/>
    <col min="12292" max="12292" width="6.7109375" style="722" customWidth="1"/>
    <col min="12293" max="12293" width="4.7109375" style="722" customWidth="1"/>
    <col min="12294" max="12294" width="8" style="722" customWidth="1"/>
    <col min="12295" max="12295" width="9.28515625" style="722" customWidth="1"/>
    <col min="12296" max="12296" width="8.5703125" style="722" customWidth="1"/>
    <col min="12297" max="12297" width="9.42578125" style="722" customWidth="1"/>
    <col min="12298" max="12298" width="8.85546875" style="722" customWidth="1"/>
    <col min="12299" max="12299" width="10.28515625" style="722" customWidth="1"/>
    <col min="12300" max="12300" width="4.42578125" style="722" customWidth="1"/>
    <col min="12301" max="12301" width="7.5703125" style="722" customWidth="1"/>
    <col min="12302" max="12302" width="7.85546875" style="722" customWidth="1"/>
    <col min="12303" max="12303" width="8" style="722" customWidth="1"/>
    <col min="12304" max="12304" width="6.42578125" style="722" customWidth="1"/>
    <col min="12305" max="12305" width="28.85546875" style="722" customWidth="1"/>
    <col min="12306" max="12306" width="12.42578125" style="722" customWidth="1"/>
    <col min="12307" max="12307" width="9.140625" style="722" customWidth="1"/>
    <col min="12308" max="12308" width="10.85546875" style="722" customWidth="1"/>
    <col min="12309" max="12309" width="9.140625" style="722" customWidth="1"/>
    <col min="12310" max="12311" width="0" style="722" hidden="1" customWidth="1"/>
    <col min="12312" max="12312" width="32.28515625" style="722" customWidth="1"/>
    <col min="12313" max="12544" width="9.140625" style="722"/>
    <col min="12545" max="12545" width="4.28515625" style="722" customWidth="1"/>
    <col min="12546" max="12546" width="27.140625" style="722" customWidth="1"/>
    <col min="12547" max="12547" width="8.85546875" style="722" customWidth="1"/>
    <col min="12548" max="12548" width="6.7109375" style="722" customWidth="1"/>
    <col min="12549" max="12549" width="4.7109375" style="722" customWidth="1"/>
    <col min="12550" max="12550" width="8" style="722" customWidth="1"/>
    <col min="12551" max="12551" width="9.28515625" style="722" customWidth="1"/>
    <col min="12552" max="12552" width="8.5703125" style="722" customWidth="1"/>
    <col min="12553" max="12553" width="9.42578125" style="722" customWidth="1"/>
    <col min="12554" max="12554" width="8.85546875" style="722" customWidth="1"/>
    <col min="12555" max="12555" width="10.28515625" style="722" customWidth="1"/>
    <col min="12556" max="12556" width="4.42578125" style="722" customWidth="1"/>
    <col min="12557" max="12557" width="7.5703125" style="722" customWidth="1"/>
    <col min="12558" max="12558" width="7.85546875" style="722" customWidth="1"/>
    <col min="12559" max="12559" width="8" style="722" customWidth="1"/>
    <col min="12560" max="12560" width="6.42578125" style="722" customWidth="1"/>
    <col min="12561" max="12561" width="28.85546875" style="722" customWidth="1"/>
    <col min="12562" max="12562" width="12.42578125" style="722" customWidth="1"/>
    <col min="12563" max="12563" width="9.140625" style="722" customWidth="1"/>
    <col min="12564" max="12564" width="10.85546875" style="722" customWidth="1"/>
    <col min="12565" max="12565" width="9.140625" style="722" customWidth="1"/>
    <col min="12566" max="12567" width="0" style="722" hidden="1" customWidth="1"/>
    <col min="12568" max="12568" width="32.28515625" style="722" customWidth="1"/>
    <col min="12569" max="12800" width="9.140625" style="722"/>
    <col min="12801" max="12801" width="4.28515625" style="722" customWidth="1"/>
    <col min="12802" max="12802" width="27.140625" style="722" customWidth="1"/>
    <col min="12803" max="12803" width="8.85546875" style="722" customWidth="1"/>
    <col min="12804" max="12804" width="6.7109375" style="722" customWidth="1"/>
    <col min="12805" max="12805" width="4.7109375" style="722" customWidth="1"/>
    <col min="12806" max="12806" width="8" style="722" customWidth="1"/>
    <col min="12807" max="12807" width="9.28515625" style="722" customWidth="1"/>
    <col min="12808" max="12808" width="8.5703125" style="722" customWidth="1"/>
    <col min="12809" max="12809" width="9.42578125" style="722" customWidth="1"/>
    <col min="12810" max="12810" width="8.85546875" style="722" customWidth="1"/>
    <col min="12811" max="12811" width="10.28515625" style="722" customWidth="1"/>
    <col min="12812" max="12812" width="4.42578125" style="722" customWidth="1"/>
    <col min="12813" max="12813" width="7.5703125" style="722" customWidth="1"/>
    <col min="12814" max="12814" width="7.85546875" style="722" customWidth="1"/>
    <col min="12815" max="12815" width="8" style="722" customWidth="1"/>
    <col min="12816" max="12816" width="6.42578125" style="722" customWidth="1"/>
    <col min="12817" max="12817" width="28.85546875" style="722" customWidth="1"/>
    <col min="12818" max="12818" width="12.42578125" style="722" customWidth="1"/>
    <col min="12819" max="12819" width="9.140625" style="722" customWidth="1"/>
    <col min="12820" max="12820" width="10.85546875" style="722" customWidth="1"/>
    <col min="12821" max="12821" width="9.140625" style="722" customWidth="1"/>
    <col min="12822" max="12823" width="0" style="722" hidden="1" customWidth="1"/>
    <col min="12824" max="12824" width="32.28515625" style="722" customWidth="1"/>
    <col min="12825" max="13056" width="9.140625" style="722"/>
    <col min="13057" max="13057" width="4.28515625" style="722" customWidth="1"/>
    <col min="13058" max="13058" width="27.140625" style="722" customWidth="1"/>
    <col min="13059" max="13059" width="8.85546875" style="722" customWidth="1"/>
    <col min="13060" max="13060" width="6.7109375" style="722" customWidth="1"/>
    <col min="13061" max="13061" width="4.7109375" style="722" customWidth="1"/>
    <col min="13062" max="13062" width="8" style="722" customWidth="1"/>
    <col min="13063" max="13063" width="9.28515625" style="722" customWidth="1"/>
    <col min="13064" max="13064" width="8.5703125" style="722" customWidth="1"/>
    <col min="13065" max="13065" width="9.42578125" style="722" customWidth="1"/>
    <col min="13066" max="13066" width="8.85546875" style="722" customWidth="1"/>
    <col min="13067" max="13067" width="10.28515625" style="722" customWidth="1"/>
    <col min="13068" max="13068" width="4.42578125" style="722" customWidth="1"/>
    <col min="13069" max="13069" width="7.5703125" style="722" customWidth="1"/>
    <col min="13070" max="13070" width="7.85546875" style="722" customWidth="1"/>
    <col min="13071" max="13071" width="8" style="722" customWidth="1"/>
    <col min="13072" max="13072" width="6.42578125" style="722" customWidth="1"/>
    <col min="13073" max="13073" width="28.85546875" style="722" customWidth="1"/>
    <col min="13074" max="13074" width="12.42578125" style="722" customWidth="1"/>
    <col min="13075" max="13075" width="9.140625" style="722" customWidth="1"/>
    <col min="13076" max="13076" width="10.85546875" style="722" customWidth="1"/>
    <col min="13077" max="13077" width="9.140625" style="722" customWidth="1"/>
    <col min="13078" max="13079" width="0" style="722" hidden="1" customWidth="1"/>
    <col min="13080" max="13080" width="32.28515625" style="722" customWidth="1"/>
    <col min="13081" max="13312" width="9.140625" style="722"/>
    <col min="13313" max="13313" width="4.28515625" style="722" customWidth="1"/>
    <col min="13314" max="13314" width="27.140625" style="722" customWidth="1"/>
    <col min="13315" max="13315" width="8.85546875" style="722" customWidth="1"/>
    <col min="13316" max="13316" width="6.7109375" style="722" customWidth="1"/>
    <col min="13317" max="13317" width="4.7109375" style="722" customWidth="1"/>
    <col min="13318" max="13318" width="8" style="722" customWidth="1"/>
    <col min="13319" max="13319" width="9.28515625" style="722" customWidth="1"/>
    <col min="13320" max="13320" width="8.5703125" style="722" customWidth="1"/>
    <col min="13321" max="13321" width="9.42578125" style="722" customWidth="1"/>
    <col min="13322" max="13322" width="8.85546875" style="722" customWidth="1"/>
    <col min="13323" max="13323" width="10.28515625" style="722" customWidth="1"/>
    <col min="13324" max="13324" width="4.42578125" style="722" customWidth="1"/>
    <col min="13325" max="13325" width="7.5703125" style="722" customWidth="1"/>
    <col min="13326" max="13326" width="7.85546875" style="722" customWidth="1"/>
    <col min="13327" max="13327" width="8" style="722" customWidth="1"/>
    <col min="13328" max="13328" width="6.42578125" style="722" customWidth="1"/>
    <col min="13329" max="13329" width="28.85546875" style="722" customWidth="1"/>
    <col min="13330" max="13330" width="12.42578125" style="722" customWidth="1"/>
    <col min="13331" max="13331" width="9.140625" style="722" customWidth="1"/>
    <col min="13332" max="13332" width="10.85546875" style="722" customWidth="1"/>
    <col min="13333" max="13333" width="9.140625" style="722" customWidth="1"/>
    <col min="13334" max="13335" width="0" style="722" hidden="1" customWidth="1"/>
    <col min="13336" max="13336" width="32.28515625" style="722" customWidth="1"/>
    <col min="13337" max="13568" width="9.140625" style="722"/>
    <col min="13569" max="13569" width="4.28515625" style="722" customWidth="1"/>
    <col min="13570" max="13570" width="27.140625" style="722" customWidth="1"/>
    <col min="13571" max="13571" width="8.85546875" style="722" customWidth="1"/>
    <col min="13572" max="13572" width="6.7109375" style="722" customWidth="1"/>
    <col min="13573" max="13573" width="4.7109375" style="722" customWidth="1"/>
    <col min="13574" max="13574" width="8" style="722" customWidth="1"/>
    <col min="13575" max="13575" width="9.28515625" style="722" customWidth="1"/>
    <col min="13576" max="13576" width="8.5703125" style="722" customWidth="1"/>
    <col min="13577" max="13577" width="9.42578125" style="722" customWidth="1"/>
    <col min="13578" max="13578" width="8.85546875" style="722" customWidth="1"/>
    <col min="13579" max="13579" width="10.28515625" style="722" customWidth="1"/>
    <col min="13580" max="13580" width="4.42578125" style="722" customWidth="1"/>
    <col min="13581" max="13581" width="7.5703125" style="722" customWidth="1"/>
    <col min="13582" max="13582" width="7.85546875" style="722" customWidth="1"/>
    <col min="13583" max="13583" width="8" style="722" customWidth="1"/>
    <col min="13584" max="13584" width="6.42578125" style="722" customWidth="1"/>
    <col min="13585" max="13585" width="28.85546875" style="722" customWidth="1"/>
    <col min="13586" max="13586" width="12.42578125" style="722" customWidth="1"/>
    <col min="13587" max="13587" width="9.140625" style="722" customWidth="1"/>
    <col min="13588" max="13588" width="10.85546875" style="722" customWidth="1"/>
    <col min="13589" max="13589" width="9.140625" style="722" customWidth="1"/>
    <col min="13590" max="13591" width="0" style="722" hidden="1" customWidth="1"/>
    <col min="13592" max="13592" width="32.28515625" style="722" customWidth="1"/>
    <col min="13593" max="13824" width="9.140625" style="722"/>
    <col min="13825" max="13825" width="4.28515625" style="722" customWidth="1"/>
    <col min="13826" max="13826" width="27.140625" style="722" customWidth="1"/>
    <col min="13827" max="13827" width="8.85546875" style="722" customWidth="1"/>
    <col min="13828" max="13828" width="6.7109375" style="722" customWidth="1"/>
    <col min="13829" max="13829" width="4.7109375" style="722" customWidth="1"/>
    <col min="13830" max="13830" width="8" style="722" customWidth="1"/>
    <col min="13831" max="13831" width="9.28515625" style="722" customWidth="1"/>
    <col min="13832" max="13832" width="8.5703125" style="722" customWidth="1"/>
    <col min="13833" max="13833" width="9.42578125" style="722" customWidth="1"/>
    <col min="13834" max="13834" width="8.85546875" style="722" customWidth="1"/>
    <col min="13835" max="13835" width="10.28515625" style="722" customWidth="1"/>
    <col min="13836" max="13836" width="4.42578125" style="722" customWidth="1"/>
    <col min="13837" max="13837" width="7.5703125" style="722" customWidth="1"/>
    <col min="13838" max="13838" width="7.85546875" style="722" customWidth="1"/>
    <col min="13839" max="13839" width="8" style="722" customWidth="1"/>
    <col min="13840" max="13840" width="6.42578125" style="722" customWidth="1"/>
    <col min="13841" max="13841" width="28.85546875" style="722" customWidth="1"/>
    <col min="13842" max="13842" width="12.42578125" style="722" customWidth="1"/>
    <col min="13843" max="13843" width="9.140625" style="722" customWidth="1"/>
    <col min="13844" max="13844" width="10.85546875" style="722" customWidth="1"/>
    <col min="13845" max="13845" width="9.140625" style="722" customWidth="1"/>
    <col min="13846" max="13847" width="0" style="722" hidden="1" customWidth="1"/>
    <col min="13848" max="13848" width="32.28515625" style="722" customWidth="1"/>
    <col min="13849" max="14080" width="9.140625" style="722"/>
    <col min="14081" max="14081" width="4.28515625" style="722" customWidth="1"/>
    <col min="14082" max="14082" width="27.140625" style="722" customWidth="1"/>
    <col min="14083" max="14083" width="8.85546875" style="722" customWidth="1"/>
    <col min="14084" max="14084" width="6.7109375" style="722" customWidth="1"/>
    <col min="14085" max="14085" width="4.7109375" style="722" customWidth="1"/>
    <col min="14086" max="14086" width="8" style="722" customWidth="1"/>
    <col min="14087" max="14087" width="9.28515625" style="722" customWidth="1"/>
    <col min="14088" max="14088" width="8.5703125" style="722" customWidth="1"/>
    <col min="14089" max="14089" width="9.42578125" style="722" customWidth="1"/>
    <col min="14090" max="14090" width="8.85546875" style="722" customWidth="1"/>
    <col min="14091" max="14091" width="10.28515625" style="722" customWidth="1"/>
    <col min="14092" max="14092" width="4.42578125" style="722" customWidth="1"/>
    <col min="14093" max="14093" width="7.5703125" style="722" customWidth="1"/>
    <col min="14094" max="14094" width="7.85546875" style="722" customWidth="1"/>
    <col min="14095" max="14095" width="8" style="722" customWidth="1"/>
    <col min="14096" max="14096" width="6.42578125" style="722" customWidth="1"/>
    <col min="14097" max="14097" width="28.85546875" style="722" customWidth="1"/>
    <col min="14098" max="14098" width="12.42578125" style="722" customWidth="1"/>
    <col min="14099" max="14099" width="9.140625" style="722" customWidth="1"/>
    <col min="14100" max="14100" width="10.85546875" style="722" customWidth="1"/>
    <col min="14101" max="14101" width="9.140625" style="722" customWidth="1"/>
    <col min="14102" max="14103" width="0" style="722" hidden="1" customWidth="1"/>
    <col min="14104" max="14104" width="32.28515625" style="722" customWidth="1"/>
    <col min="14105" max="14336" width="9.140625" style="722"/>
    <col min="14337" max="14337" width="4.28515625" style="722" customWidth="1"/>
    <col min="14338" max="14338" width="27.140625" style="722" customWidth="1"/>
    <col min="14339" max="14339" width="8.85546875" style="722" customWidth="1"/>
    <col min="14340" max="14340" width="6.7109375" style="722" customWidth="1"/>
    <col min="14341" max="14341" width="4.7109375" style="722" customWidth="1"/>
    <col min="14342" max="14342" width="8" style="722" customWidth="1"/>
    <col min="14343" max="14343" width="9.28515625" style="722" customWidth="1"/>
    <col min="14344" max="14344" width="8.5703125" style="722" customWidth="1"/>
    <col min="14345" max="14345" width="9.42578125" style="722" customWidth="1"/>
    <col min="14346" max="14346" width="8.85546875" style="722" customWidth="1"/>
    <col min="14347" max="14347" width="10.28515625" style="722" customWidth="1"/>
    <col min="14348" max="14348" width="4.42578125" style="722" customWidth="1"/>
    <col min="14349" max="14349" width="7.5703125" style="722" customWidth="1"/>
    <col min="14350" max="14350" width="7.85546875" style="722" customWidth="1"/>
    <col min="14351" max="14351" width="8" style="722" customWidth="1"/>
    <col min="14352" max="14352" width="6.42578125" style="722" customWidth="1"/>
    <col min="14353" max="14353" width="28.85546875" style="722" customWidth="1"/>
    <col min="14354" max="14354" width="12.42578125" style="722" customWidth="1"/>
    <col min="14355" max="14355" width="9.140625" style="722" customWidth="1"/>
    <col min="14356" max="14356" width="10.85546875" style="722" customWidth="1"/>
    <col min="14357" max="14357" width="9.140625" style="722" customWidth="1"/>
    <col min="14358" max="14359" width="0" style="722" hidden="1" customWidth="1"/>
    <col min="14360" max="14360" width="32.28515625" style="722" customWidth="1"/>
    <col min="14361" max="14592" width="9.140625" style="722"/>
    <col min="14593" max="14593" width="4.28515625" style="722" customWidth="1"/>
    <col min="14594" max="14594" width="27.140625" style="722" customWidth="1"/>
    <col min="14595" max="14595" width="8.85546875" style="722" customWidth="1"/>
    <col min="14596" max="14596" width="6.7109375" style="722" customWidth="1"/>
    <col min="14597" max="14597" width="4.7109375" style="722" customWidth="1"/>
    <col min="14598" max="14598" width="8" style="722" customWidth="1"/>
    <col min="14599" max="14599" width="9.28515625" style="722" customWidth="1"/>
    <col min="14600" max="14600" width="8.5703125" style="722" customWidth="1"/>
    <col min="14601" max="14601" width="9.42578125" style="722" customWidth="1"/>
    <col min="14602" max="14602" width="8.85546875" style="722" customWidth="1"/>
    <col min="14603" max="14603" width="10.28515625" style="722" customWidth="1"/>
    <col min="14604" max="14604" width="4.42578125" style="722" customWidth="1"/>
    <col min="14605" max="14605" width="7.5703125" style="722" customWidth="1"/>
    <col min="14606" max="14606" width="7.85546875" style="722" customWidth="1"/>
    <col min="14607" max="14607" width="8" style="722" customWidth="1"/>
    <col min="14608" max="14608" width="6.42578125" style="722" customWidth="1"/>
    <col min="14609" max="14609" width="28.85546875" style="722" customWidth="1"/>
    <col min="14610" max="14610" width="12.42578125" style="722" customWidth="1"/>
    <col min="14611" max="14611" width="9.140625" style="722" customWidth="1"/>
    <col min="14612" max="14612" width="10.85546875" style="722" customWidth="1"/>
    <col min="14613" max="14613" width="9.140625" style="722" customWidth="1"/>
    <col min="14614" max="14615" width="0" style="722" hidden="1" customWidth="1"/>
    <col min="14616" max="14616" width="32.28515625" style="722" customWidth="1"/>
    <col min="14617" max="14848" width="9.140625" style="722"/>
    <col min="14849" max="14849" width="4.28515625" style="722" customWidth="1"/>
    <col min="14850" max="14850" width="27.140625" style="722" customWidth="1"/>
    <col min="14851" max="14851" width="8.85546875" style="722" customWidth="1"/>
    <col min="14852" max="14852" width="6.7109375" style="722" customWidth="1"/>
    <col min="14853" max="14853" width="4.7109375" style="722" customWidth="1"/>
    <col min="14854" max="14854" width="8" style="722" customWidth="1"/>
    <col min="14855" max="14855" width="9.28515625" style="722" customWidth="1"/>
    <col min="14856" max="14856" width="8.5703125" style="722" customWidth="1"/>
    <col min="14857" max="14857" width="9.42578125" style="722" customWidth="1"/>
    <col min="14858" max="14858" width="8.85546875" style="722" customWidth="1"/>
    <col min="14859" max="14859" width="10.28515625" style="722" customWidth="1"/>
    <col min="14860" max="14860" width="4.42578125" style="722" customWidth="1"/>
    <col min="14861" max="14861" width="7.5703125" style="722" customWidth="1"/>
    <col min="14862" max="14862" width="7.85546875" style="722" customWidth="1"/>
    <col min="14863" max="14863" width="8" style="722" customWidth="1"/>
    <col min="14864" max="14864" width="6.42578125" style="722" customWidth="1"/>
    <col min="14865" max="14865" width="28.85546875" style="722" customWidth="1"/>
    <col min="14866" max="14866" width="12.42578125" style="722" customWidth="1"/>
    <col min="14867" max="14867" width="9.140625" style="722" customWidth="1"/>
    <col min="14868" max="14868" width="10.85546875" style="722" customWidth="1"/>
    <col min="14869" max="14869" width="9.140625" style="722" customWidth="1"/>
    <col min="14870" max="14871" width="0" style="722" hidden="1" customWidth="1"/>
    <col min="14872" max="14872" width="32.28515625" style="722" customWidth="1"/>
    <col min="14873" max="15104" width="9.140625" style="722"/>
    <col min="15105" max="15105" width="4.28515625" style="722" customWidth="1"/>
    <col min="15106" max="15106" width="27.140625" style="722" customWidth="1"/>
    <col min="15107" max="15107" width="8.85546875" style="722" customWidth="1"/>
    <col min="15108" max="15108" width="6.7109375" style="722" customWidth="1"/>
    <col min="15109" max="15109" width="4.7109375" style="722" customWidth="1"/>
    <col min="15110" max="15110" width="8" style="722" customWidth="1"/>
    <col min="15111" max="15111" width="9.28515625" style="722" customWidth="1"/>
    <col min="15112" max="15112" width="8.5703125" style="722" customWidth="1"/>
    <col min="15113" max="15113" width="9.42578125" style="722" customWidth="1"/>
    <col min="15114" max="15114" width="8.85546875" style="722" customWidth="1"/>
    <col min="15115" max="15115" width="10.28515625" style="722" customWidth="1"/>
    <col min="15116" max="15116" width="4.42578125" style="722" customWidth="1"/>
    <col min="15117" max="15117" width="7.5703125" style="722" customWidth="1"/>
    <col min="15118" max="15118" width="7.85546875" style="722" customWidth="1"/>
    <col min="15119" max="15119" width="8" style="722" customWidth="1"/>
    <col min="15120" max="15120" width="6.42578125" style="722" customWidth="1"/>
    <col min="15121" max="15121" width="28.85546875" style="722" customWidth="1"/>
    <col min="15122" max="15122" width="12.42578125" style="722" customWidth="1"/>
    <col min="15123" max="15123" width="9.140625" style="722" customWidth="1"/>
    <col min="15124" max="15124" width="10.85546875" style="722" customWidth="1"/>
    <col min="15125" max="15125" width="9.140625" style="722" customWidth="1"/>
    <col min="15126" max="15127" width="0" style="722" hidden="1" customWidth="1"/>
    <col min="15128" max="15128" width="32.28515625" style="722" customWidth="1"/>
    <col min="15129" max="15360" width="9.140625" style="722"/>
    <col min="15361" max="15361" width="4.28515625" style="722" customWidth="1"/>
    <col min="15362" max="15362" width="27.140625" style="722" customWidth="1"/>
    <col min="15363" max="15363" width="8.85546875" style="722" customWidth="1"/>
    <col min="15364" max="15364" width="6.7109375" style="722" customWidth="1"/>
    <col min="15365" max="15365" width="4.7109375" style="722" customWidth="1"/>
    <col min="15366" max="15366" width="8" style="722" customWidth="1"/>
    <col min="15367" max="15367" width="9.28515625" style="722" customWidth="1"/>
    <col min="15368" max="15368" width="8.5703125" style="722" customWidth="1"/>
    <col min="15369" max="15369" width="9.42578125" style="722" customWidth="1"/>
    <col min="15370" max="15370" width="8.85546875" style="722" customWidth="1"/>
    <col min="15371" max="15371" width="10.28515625" style="722" customWidth="1"/>
    <col min="15372" max="15372" width="4.42578125" style="722" customWidth="1"/>
    <col min="15373" max="15373" width="7.5703125" style="722" customWidth="1"/>
    <col min="15374" max="15374" width="7.85546875" style="722" customWidth="1"/>
    <col min="15375" max="15375" width="8" style="722" customWidth="1"/>
    <col min="15376" max="15376" width="6.42578125" style="722" customWidth="1"/>
    <col min="15377" max="15377" width="28.85546875" style="722" customWidth="1"/>
    <col min="15378" max="15378" width="12.42578125" style="722" customWidth="1"/>
    <col min="15379" max="15379" width="9.140625" style="722" customWidth="1"/>
    <col min="15380" max="15380" width="10.85546875" style="722" customWidth="1"/>
    <col min="15381" max="15381" width="9.140625" style="722" customWidth="1"/>
    <col min="15382" max="15383" width="0" style="722" hidden="1" customWidth="1"/>
    <col min="15384" max="15384" width="32.28515625" style="722" customWidth="1"/>
    <col min="15385" max="15616" width="9.140625" style="722"/>
    <col min="15617" max="15617" width="4.28515625" style="722" customWidth="1"/>
    <col min="15618" max="15618" width="27.140625" style="722" customWidth="1"/>
    <col min="15619" max="15619" width="8.85546875" style="722" customWidth="1"/>
    <col min="15620" max="15620" width="6.7109375" style="722" customWidth="1"/>
    <col min="15621" max="15621" width="4.7109375" style="722" customWidth="1"/>
    <col min="15622" max="15622" width="8" style="722" customWidth="1"/>
    <col min="15623" max="15623" width="9.28515625" style="722" customWidth="1"/>
    <col min="15624" max="15624" width="8.5703125" style="722" customWidth="1"/>
    <col min="15625" max="15625" width="9.42578125" style="722" customWidth="1"/>
    <col min="15626" max="15626" width="8.85546875" style="722" customWidth="1"/>
    <col min="15627" max="15627" width="10.28515625" style="722" customWidth="1"/>
    <col min="15628" max="15628" width="4.42578125" style="722" customWidth="1"/>
    <col min="15629" max="15629" width="7.5703125" style="722" customWidth="1"/>
    <col min="15630" max="15630" width="7.85546875" style="722" customWidth="1"/>
    <col min="15631" max="15631" width="8" style="722" customWidth="1"/>
    <col min="15632" max="15632" width="6.42578125" style="722" customWidth="1"/>
    <col min="15633" max="15633" width="28.85546875" style="722" customWidth="1"/>
    <col min="15634" max="15634" width="12.42578125" style="722" customWidth="1"/>
    <col min="15635" max="15635" width="9.140625" style="722" customWidth="1"/>
    <col min="15636" max="15636" width="10.85546875" style="722" customWidth="1"/>
    <col min="15637" max="15637" width="9.140625" style="722" customWidth="1"/>
    <col min="15638" max="15639" width="0" style="722" hidden="1" customWidth="1"/>
    <col min="15640" max="15640" width="32.28515625" style="722" customWidth="1"/>
    <col min="15641" max="15872" width="9.140625" style="722"/>
    <col min="15873" max="15873" width="4.28515625" style="722" customWidth="1"/>
    <col min="15874" max="15874" width="27.140625" style="722" customWidth="1"/>
    <col min="15875" max="15875" width="8.85546875" style="722" customWidth="1"/>
    <col min="15876" max="15876" width="6.7109375" style="722" customWidth="1"/>
    <col min="15877" max="15877" width="4.7109375" style="722" customWidth="1"/>
    <col min="15878" max="15878" width="8" style="722" customWidth="1"/>
    <col min="15879" max="15879" width="9.28515625" style="722" customWidth="1"/>
    <col min="15880" max="15880" width="8.5703125" style="722" customWidth="1"/>
    <col min="15881" max="15881" width="9.42578125" style="722" customWidth="1"/>
    <col min="15882" max="15882" width="8.85546875" style="722" customWidth="1"/>
    <col min="15883" max="15883" width="10.28515625" style="722" customWidth="1"/>
    <col min="15884" max="15884" width="4.42578125" style="722" customWidth="1"/>
    <col min="15885" max="15885" width="7.5703125" style="722" customWidth="1"/>
    <col min="15886" max="15886" width="7.85546875" style="722" customWidth="1"/>
    <col min="15887" max="15887" width="8" style="722" customWidth="1"/>
    <col min="15888" max="15888" width="6.42578125" style="722" customWidth="1"/>
    <col min="15889" max="15889" width="28.85546875" style="722" customWidth="1"/>
    <col min="15890" max="15890" width="12.42578125" style="722" customWidth="1"/>
    <col min="15891" max="15891" width="9.140625" style="722" customWidth="1"/>
    <col min="15892" max="15892" width="10.85546875" style="722" customWidth="1"/>
    <col min="15893" max="15893" width="9.140625" style="722" customWidth="1"/>
    <col min="15894" max="15895" width="0" style="722" hidden="1" customWidth="1"/>
    <col min="15896" max="15896" width="32.28515625" style="722" customWidth="1"/>
    <col min="15897" max="16128" width="9.140625" style="722"/>
    <col min="16129" max="16129" width="4.28515625" style="722" customWidth="1"/>
    <col min="16130" max="16130" width="27.140625" style="722" customWidth="1"/>
    <col min="16131" max="16131" width="8.85546875" style="722" customWidth="1"/>
    <col min="16132" max="16132" width="6.7109375" style="722" customWidth="1"/>
    <col min="16133" max="16133" width="4.7109375" style="722" customWidth="1"/>
    <col min="16134" max="16134" width="8" style="722" customWidth="1"/>
    <col min="16135" max="16135" width="9.28515625" style="722" customWidth="1"/>
    <col min="16136" max="16136" width="8.5703125" style="722" customWidth="1"/>
    <col min="16137" max="16137" width="9.42578125" style="722" customWidth="1"/>
    <col min="16138" max="16138" width="8.85546875" style="722" customWidth="1"/>
    <col min="16139" max="16139" width="10.28515625" style="722" customWidth="1"/>
    <col min="16140" max="16140" width="4.42578125" style="722" customWidth="1"/>
    <col min="16141" max="16141" width="7.5703125" style="722" customWidth="1"/>
    <col min="16142" max="16142" width="7.85546875" style="722" customWidth="1"/>
    <col min="16143" max="16143" width="8" style="722" customWidth="1"/>
    <col min="16144" max="16144" width="6.42578125" style="722" customWidth="1"/>
    <col min="16145" max="16145" width="28.85546875" style="722" customWidth="1"/>
    <col min="16146" max="16146" width="12.42578125" style="722" customWidth="1"/>
    <col min="16147" max="16147" width="9.140625" style="722" customWidth="1"/>
    <col min="16148" max="16148" width="10.85546875" style="722" customWidth="1"/>
    <col min="16149" max="16149" width="9.140625" style="722" customWidth="1"/>
    <col min="16150" max="16151" width="0" style="722" hidden="1" customWidth="1"/>
    <col min="16152" max="16152" width="32.28515625" style="722" customWidth="1"/>
    <col min="16153" max="16384" width="9.140625" style="722"/>
  </cols>
  <sheetData>
    <row r="1" spans="1:39">
      <c r="A1" s="3255" t="s">
        <v>0</v>
      </c>
      <c r="B1" s="3255"/>
      <c r="C1" s="3255"/>
      <c r="D1" s="3255"/>
      <c r="E1" s="3255"/>
      <c r="F1" s="3255"/>
      <c r="G1" s="3255"/>
      <c r="H1" s="3255"/>
      <c r="I1" s="3255"/>
      <c r="J1" s="3255"/>
      <c r="K1" s="3255"/>
      <c r="L1" s="3255"/>
      <c r="M1" s="3255"/>
      <c r="N1" s="3255"/>
      <c r="O1" s="721"/>
      <c r="P1" s="721"/>
      <c r="Y1" s="724" t="s">
        <v>1</v>
      </c>
      <c r="Z1" s="724" t="s">
        <v>2</v>
      </c>
      <c r="AA1" s="724" t="s">
        <v>3</v>
      </c>
      <c r="AB1" s="724" t="s">
        <v>4</v>
      </c>
      <c r="AC1" s="724" t="s">
        <v>5</v>
      </c>
      <c r="AD1" s="724" t="s">
        <v>6</v>
      </c>
      <c r="AE1" s="724" t="s">
        <v>7</v>
      </c>
      <c r="AF1" s="724" t="s">
        <v>8</v>
      </c>
      <c r="AG1" s="724" t="s">
        <v>9</v>
      </c>
      <c r="AH1" s="724" t="s">
        <v>10</v>
      </c>
      <c r="AI1" s="724" t="s">
        <v>11</v>
      </c>
      <c r="AJ1" s="724" t="s">
        <v>12</v>
      </c>
      <c r="AK1" s="724" t="s">
        <v>13</v>
      </c>
      <c r="AL1" s="724" t="s">
        <v>14</v>
      </c>
      <c r="AM1" s="724" t="s">
        <v>15</v>
      </c>
    </row>
    <row r="2" spans="1:39" ht="13.5" customHeight="1">
      <c r="A2" s="3256" t="s">
        <v>16</v>
      </c>
      <c r="B2" s="3256"/>
      <c r="C2" s="3256"/>
      <c r="D2" s="3257" t="s">
        <v>17</v>
      </c>
      <c r="E2" s="3257"/>
      <c r="F2" s="3257"/>
      <c r="G2" s="3257"/>
      <c r="H2" s="3257"/>
      <c r="I2" s="3257"/>
      <c r="J2" s="3257"/>
      <c r="K2" s="3257"/>
      <c r="L2" s="3257"/>
      <c r="M2" s="3257"/>
      <c r="N2" s="3257"/>
      <c r="O2" s="725"/>
      <c r="P2" s="725"/>
    </row>
    <row r="3" spans="1:39" ht="13.5" customHeight="1">
      <c r="A3" s="3256" t="s">
        <v>18</v>
      </c>
      <c r="B3" s="3256"/>
      <c r="C3" s="3256"/>
      <c r="D3" s="3257" t="s">
        <v>19</v>
      </c>
      <c r="E3" s="3257"/>
      <c r="F3" s="3257"/>
      <c r="G3" s="3257"/>
      <c r="H3" s="3257"/>
      <c r="I3" s="3257"/>
      <c r="J3" s="3257"/>
      <c r="K3" s="3257"/>
      <c r="L3" s="3257"/>
      <c r="M3" s="3257"/>
      <c r="N3" s="3257"/>
      <c r="O3" s="725"/>
      <c r="P3" s="725"/>
      <c r="Q3" s="726"/>
    </row>
    <row r="4" spans="1:39" ht="13.5" customHeight="1">
      <c r="A4" s="3256" t="s">
        <v>20</v>
      </c>
      <c r="B4" s="3256"/>
      <c r="C4" s="3256"/>
      <c r="D4" s="3258" t="s">
        <v>21</v>
      </c>
      <c r="E4" s="3258"/>
      <c r="F4" s="3258"/>
      <c r="G4" s="3258"/>
      <c r="H4" s="3258"/>
      <c r="I4" s="3258"/>
      <c r="J4" s="3258"/>
      <c r="K4" s="3258"/>
      <c r="L4" s="3258"/>
      <c r="M4" s="3258"/>
      <c r="N4" s="3257"/>
      <c r="O4" s="725"/>
      <c r="P4" s="725"/>
    </row>
    <row r="5" spans="1:39" s="731" customFormat="1" ht="12.75" customHeight="1">
      <c r="A5" s="727" t="s">
        <v>22</v>
      </c>
      <c r="B5" s="3251" t="s">
        <v>23</v>
      </c>
      <c r="C5" s="728" t="s">
        <v>24</v>
      </c>
      <c r="D5" s="3248" t="s">
        <v>25</v>
      </c>
      <c r="E5" s="3248"/>
      <c r="F5" s="729" t="s">
        <v>26</v>
      </c>
      <c r="G5" s="729" t="s">
        <v>27</v>
      </c>
      <c r="H5" s="3248" t="s">
        <v>28</v>
      </c>
      <c r="I5" s="3248"/>
      <c r="J5" s="728" t="s">
        <v>29</v>
      </c>
      <c r="K5" s="729" t="s">
        <v>30</v>
      </c>
      <c r="L5" s="3249" t="s">
        <v>31</v>
      </c>
      <c r="M5" s="3249"/>
      <c r="N5" s="3243" t="s">
        <v>32</v>
      </c>
      <c r="O5" s="3253" t="s">
        <v>33</v>
      </c>
      <c r="P5" s="3243" t="s">
        <v>34</v>
      </c>
      <c r="Q5" s="3245"/>
      <c r="R5" s="730"/>
      <c r="S5" s="730"/>
      <c r="T5" s="3247" t="s">
        <v>35</v>
      </c>
      <c r="U5" s="3247" t="s">
        <v>36</v>
      </c>
    </row>
    <row r="6" spans="1:39" s="731" customFormat="1" ht="12.75" customHeight="1">
      <c r="A6" s="732" t="s">
        <v>37</v>
      </c>
      <c r="B6" s="3252"/>
      <c r="C6" s="728" t="s">
        <v>38</v>
      </c>
      <c r="D6" s="3248" t="s">
        <v>39</v>
      </c>
      <c r="E6" s="3248"/>
      <c r="F6" s="729" t="s">
        <v>40</v>
      </c>
      <c r="G6" s="729" t="s">
        <v>41</v>
      </c>
      <c r="H6" s="732" t="s">
        <v>42</v>
      </c>
      <c r="I6" s="732" t="s">
        <v>43</v>
      </c>
      <c r="J6" s="728" t="s">
        <v>44</v>
      </c>
      <c r="K6" s="729" t="s">
        <v>45</v>
      </c>
      <c r="L6" s="3249" t="s">
        <v>44</v>
      </c>
      <c r="M6" s="3249"/>
      <c r="N6" s="3244"/>
      <c r="O6" s="3254"/>
      <c r="P6" s="3244"/>
      <c r="Q6" s="3246"/>
      <c r="R6" s="730"/>
      <c r="S6" s="730"/>
      <c r="T6" s="3247"/>
      <c r="U6" s="3247"/>
    </row>
    <row r="7" spans="1:39" s="733" customFormat="1" ht="12" customHeight="1">
      <c r="A7" s="728">
        <v>1</v>
      </c>
      <c r="B7" s="728">
        <v>2</v>
      </c>
      <c r="C7" s="728">
        <v>3</v>
      </c>
      <c r="D7" s="3248">
        <v>4</v>
      </c>
      <c r="E7" s="3248"/>
      <c r="F7" s="728">
        <v>5</v>
      </c>
      <c r="G7" s="728">
        <v>6</v>
      </c>
      <c r="H7" s="728">
        <v>7</v>
      </c>
      <c r="I7" s="728">
        <v>8</v>
      </c>
      <c r="J7" s="728">
        <v>9</v>
      </c>
      <c r="K7" s="728">
        <v>10</v>
      </c>
      <c r="L7" s="3248">
        <v>11</v>
      </c>
      <c r="M7" s="3248"/>
      <c r="N7" s="728">
        <v>12</v>
      </c>
      <c r="O7" s="728">
        <v>13</v>
      </c>
      <c r="P7" s="728">
        <v>14</v>
      </c>
      <c r="Q7" s="729">
        <v>15</v>
      </c>
      <c r="R7" s="3250" t="s">
        <v>46</v>
      </c>
      <c r="S7" s="3250"/>
      <c r="T7" s="3247"/>
      <c r="U7" s="3247"/>
      <c r="V7" s="3261" t="s">
        <v>47</v>
      </c>
      <c r="W7" s="3261"/>
    </row>
    <row r="8" spans="1:39" s="731" customFormat="1" ht="11.25" customHeight="1">
      <c r="A8" s="728">
        <v>1</v>
      </c>
      <c r="B8" s="730" t="s">
        <v>48</v>
      </c>
      <c r="C8" s="734" t="s">
        <v>49</v>
      </c>
      <c r="D8" s="3262" t="s">
        <v>50</v>
      </c>
      <c r="E8" s="3262"/>
      <c r="F8" s="735">
        <f>T8</f>
        <v>995.25</v>
      </c>
      <c r="G8" s="735">
        <f>F8+ROUND(F8*P8%,2)</f>
        <v>1045.01</v>
      </c>
      <c r="H8" s="736">
        <v>5</v>
      </c>
      <c r="I8" s="737">
        <f>IF(H8 &gt; 50,'LEAD OF MATL.'!B16+45*'LEAD OF MATL.'!B17+(H8-50)*'LEAD OF MATL.'!B18,'LEAD OF MATL.'!B16+(H8-5)*'LEAD OF MATL.'!B17)</f>
        <v>276.01</v>
      </c>
      <c r="J8" s="1182">
        <v>0</v>
      </c>
      <c r="K8" s="737">
        <f>I8+J8</f>
        <v>276.01</v>
      </c>
      <c r="L8" s="3260">
        <f>G8+K8</f>
        <v>1321.02</v>
      </c>
      <c r="M8" s="3260"/>
      <c r="N8" s="738">
        <f t="shared" ref="N8:N27" si="0">G8-F8</f>
        <v>49.759999999999991</v>
      </c>
      <c r="O8" s="738">
        <f>L8-J8</f>
        <v>1321.02</v>
      </c>
      <c r="P8" s="738">
        <v>5</v>
      </c>
      <c r="Q8" s="730" t="s">
        <v>48</v>
      </c>
      <c r="R8" s="739"/>
      <c r="T8" s="739">
        <f>'BASIC COST OF MATL'!K52</f>
        <v>995.25</v>
      </c>
      <c r="U8" s="740">
        <f>G8-N8</f>
        <v>995.25</v>
      </c>
      <c r="V8" s="741">
        <v>701</v>
      </c>
      <c r="X8" s="742">
        <f>G8+I8</f>
        <v>1321.02</v>
      </c>
    </row>
    <row r="9" spans="1:39" s="731" customFormat="1" ht="11.25" customHeight="1">
      <c r="A9" s="728">
        <f t="shared" ref="A9:A72" si="1">A8+1</f>
        <v>2</v>
      </c>
      <c r="B9" s="730" t="s">
        <v>51</v>
      </c>
      <c r="C9" s="734" t="s">
        <v>49</v>
      </c>
      <c r="D9" s="3259" t="str">
        <f>D8</f>
        <v>Gudiakateni</v>
      </c>
      <c r="E9" s="3259"/>
      <c r="F9" s="735">
        <f t="shared" ref="F9:F46" si="2">T9</f>
        <v>787.36</v>
      </c>
      <c r="G9" s="735">
        <f t="shared" ref="G9:G22" si="3">F9+ROUND(F9*P9%,2)</f>
        <v>826.73</v>
      </c>
      <c r="H9" s="743">
        <f>H8</f>
        <v>5</v>
      </c>
      <c r="I9" s="737">
        <f>IF(H9 &gt; 50,'LEAD OF MATL.'!B16+45*'LEAD OF MATL.'!B17+(H9-50)*'LEAD OF MATL.'!B18,'LEAD OF MATL.'!B16+(H9-5)*'LEAD OF MATL.'!B17)</f>
        <v>276.01</v>
      </c>
      <c r="J9" s="737">
        <f>J8</f>
        <v>0</v>
      </c>
      <c r="K9" s="737">
        <f t="shared" ref="K9:K60" si="4">I9+J9</f>
        <v>276.01</v>
      </c>
      <c r="L9" s="3260">
        <f t="shared" ref="L9:L27" si="5">G9+K9</f>
        <v>1102.74</v>
      </c>
      <c r="M9" s="3260"/>
      <c r="N9" s="738">
        <f t="shared" si="0"/>
        <v>39.370000000000005</v>
      </c>
      <c r="O9" s="738">
        <f t="shared" ref="O9:O75" si="6">L9-J9</f>
        <v>1102.74</v>
      </c>
      <c r="P9" s="738">
        <v>5</v>
      </c>
      <c r="Q9" s="730" t="s">
        <v>51</v>
      </c>
      <c r="R9" s="744"/>
      <c r="T9" s="744">
        <f>'BASIC COST OF MATL'!K53</f>
        <v>787.36</v>
      </c>
      <c r="U9" s="737">
        <f>G9-N9</f>
        <v>787.36</v>
      </c>
      <c r="V9" s="741">
        <v>561</v>
      </c>
      <c r="X9" s="742">
        <f t="shared" ref="X9:X102" si="7">G9+I9</f>
        <v>1102.74</v>
      </c>
    </row>
    <row r="10" spans="1:39" s="731" customFormat="1" ht="11.25" customHeight="1">
      <c r="A10" s="728">
        <f t="shared" si="1"/>
        <v>3</v>
      </c>
      <c r="B10" s="730" t="s">
        <v>52</v>
      </c>
      <c r="C10" s="734" t="s">
        <v>49</v>
      </c>
      <c r="D10" s="3259" t="str">
        <f>D9</f>
        <v>Gudiakateni</v>
      </c>
      <c r="E10" s="3259"/>
      <c r="F10" s="735">
        <f t="shared" si="2"/>
        <v>1135.74</v>
      </c>
      <c r="G10" s="735">
        <f t="shared" si="3"/>
        <v>1192.53</v>
      </c>
      <c r="H10" s="743">
        <f>H9</f>
        <v>5</v>
      </c>
      <c r="I10" s="737">
        <f>IF(H10 &gt; 50,'LEAD OF MATL.'!B16+45*'LEAD OF MATL.'!B17+(H10-50)*'LEAD OF MATL.'!B18,'LEAD OF MATL.'!B16+(H10-5)*'LEAD OF MATL.'!B17)</f>
        <v>276.01</v>
      </c>
      <c r="J10" s="737">
        <f>J8</f>
        <v>0</v>
      </c>
      <c r="K10" s="737">
        <f t="shared" si="4"/>
        <v>276.01</v>
      </c>
      <c r="L10" s="3260">
        <f t="shared" si="5"/>
        <v>1468.54</v>
      </c>
      <c r="M10" s="3260"/>
      <c r="N10" s="738">
        <f t="shared" si="0"/>
        <v>56.789999999999964</v>
      </c>
      <c r="O10" s="738">
        <f t="shared" si="6"/>
        <v>1468.54</v>
      </c>
      <c r="P10" s="738">
        <v>5</v>
      </c>
      <c r="Q10" s="730" t="s">
        <v>52</v>
      </c>
      <c r="R10" s="744"/>
      <c r="T10" s="744">
        <f>'BASIC COST OF MATL'!K58</f>
        <v>1135.74</v>
      </c>
      <c r="U10" s="737">
        <f t="shared" ref="U10:U93" si="8">G10-N10</f>
        <v>1135.74</v>
      </c>
      <c r="V10" s="741">
        <v>764</v>
      </c>
      <c r="X10" s="742">
        <f t="shared" si="7"/>
        <v>1468.54</v>
      </c>
    </row>
    <row r="11" spans="1:39" s="731" customFormat="1" ht="11.25" customHeight="1">
      <c r="A11" s="728">
        <f t="shared" si="1"/>
        <v>4</v>
      </c>
      <c r="B11" s="730" t="s">
        <v>53</v>
      </c>
      <c r="C11" s="734" t="s">
        <v>49</v>
      </c>
      <c r="D11" s="3259" t="str">
        <f>D10</f>
        <v>Gudiakateni</v>
      </c>
      <c r="E11" s="3259"/>
      <c r="F11" s="735">
        <f t="shared" si="2"/>
        <v>1382.29</v>
      </c>
      <c r="G11" s="735">
        <f t="shared" si="3"/>
        <v>1451.3999999999999</v>
      </c>
      <c r="H11" s="743">
        <f>H8</f>
        <v>5</v>
      </c>
      <c r="I11" s="737">
        <f>IF(H11 &gt; 50,'LEAD OF MATL.'!B16+45*'LEAD OF MATL.'!B17+(H11-50)*'LEAD OF MATL.'!B18,'LEAD OF MATL.'!B16+(H11-5)*'LEAD OF MATL.'!B17)</f>
        <v>276.01</v>
      </c>
      <c r="J11" s="737">
        <f>J8</f>
        <v>0</v>
      </c>
      <c r="K11" s="737">
        <f t="shared" si="4"/>
        <v>276.01</v>
      </c>
      <c r="L11" s="3260">
        <f t="shared" si="5"/>
        <v>1727.4099999999999</v>
      </c>
      <c r="M11" s="3260"/>
      <c r="N11" s="738">
        <f t="shared" si="0"/>
        <v>69.1099999999999</v>
      </c>
      <c r="O11" s="738">
        <f t="shared" si="6"/>
        <v>1727.4099999999999</v>
      </c>
      <c r="P11" s="738">
        <v>5</v>
      </c>
      <c r="Q11" s="730" t="s">
        <v>53</v>
      </c>
      <c r="R11" s="744"/>
      <c r="T11" s="744">
        <f>'BASIC COST OF MATL'!K64</f>
        <v>1382.29</v>
      </c>
      <c r="U11" s="737">
        <f>G11-N11</f>
        <v>1382.29</v>
      </c>
      <c r="V11" s="741">
        <v>998</v>
      </c>
      <c r="X11" s="742">
        <f t="shared" si="7"/>
        <v>1727.4099999999999</v>
      </c>
    </row>
    <row r="12" spans="1:39" s="731" customFormat="1" ht="11.25" customHeight="1">
      <c r="A12" s="728">
        <f t="shared" si="1"/>
        <v>5</v>
      </c>
      <c r="B12" s="730" t="s">
        <v>54</v>
      </c>
      <c r="C12" s="734" t="s">
        <v>49</v>
      </c>
      <c r="D12" s="3259" t="str">
        <f>D11</f>
        <v>Gudiakateni</v>
      </c>
      <c r="E12" s="3259"/>
      <c r="F12" s="735">
        <f t="shared" si="2"/>
        <v>1396.62</v>
      </c>
      <c r="G12" s="735">
        <f t="shared" si="3"/>
        <v>1466.4499999999998</v>
      </c>
      <c r="H12" s="743">
        <f>H8</f>
        <v>5</v>
      </c>
      <c r="I12" s="737">
        <f>IF(H12 &gt; 50,'LEAD OF MATL.'!B16+45*'LEAD OF MATL.'!B17+(H12-50)*'LEAD OF MATL.'!B28,'LEAD OF MATL.'!B16+(H12-5)*'LEAD OF MATL.'!B17)</f>
        <v>276.01</v>
      </c>
      <c r="J12" s="737">
        <f>J8</f>
        <v>0</v>
      </c>
      <c r="K12" s="737">
        <f t="shared" si="4"/>
        <v>276.01</v>
      </c>
      <c r="L12" s="3260">
        <f t="shared" si="5"/>
        <v>1742.4599999999998</v>
      </c>
      <c r="M12" s="3260"/>
      <c r="N12" s="738">
        <f t="shared" si="0"/>
        <v>69.829999999999927</v>
      </c>
      <c r="O12" s="738">
        <f t="shared" si="6"/>
        <v>1742.4599999999998</v>
      </c>
      <c r="P12" s="738">
        <v>5</v>
      </c>
      <c r="Q12" s="730" t="s">
        <v>54</v>
      </c>
      <c r="R12" s="744"/>
      <c r="T12" s="744">
        <f>'BASIC COST OF MATL'!K70</f>
        <v>1396.62</v>
      </c>
      <c r="U12" s="737">
        <f t="shared" si="8"/>
        <v>1396.62</v>
      </c>
      <c r="V12" s="741">
        <v>1031</v>
      </c>
      <c r="X12" s="742">
        <f t="shared" si="7"/>
        <v>1742.4599999999998</v>
      </c>
    </row>
    <row r="13" spans="1:39" s="731" customFormat="1" ht="11.25" customHeight="1">
      <c r="A13" s="728">
        <f t="shared" si="1"/>
        <v>6</v>
      </c>
      <c r="B13" s="730" t="s">
        <v>55</v>
      </c>
      <c r="C13" s="734" t="s">
        <v>49</v>
      </c>
      <c r="D13" s="3259" t="str">
        <f>D12</f>
        <v>Gudiakateni</v>
      </c>
      <c r="E13" s="3259"/>
      <c r="F13" s="735">
        <f t="shared" si="2"/>
        <v>1085.19</v>
      </c>
      <c r="G13" s="735">
        <f t="shared" si="3"/>
        <v>1139.45</v>
      </c>
      <c r="H13" s="743">
        <f>H9</f>
        <v>5</v>
      </c>
      <c r="I13" s="737">
        <f>IF(H13 &gt; 50,'LEAD OF MATL.'!B16+45*'LEAD OF MATL.'!B17+(H13-50)*'LEAD OF MATL.'!B18,'LEAD OF MATL.'!B16+(H13-5)*'LEAD OF MATL.'!B7)</f>
        <v>276.01</v>
      </c>
      <c r="J13" s="737">
        <f>J9</f>
        <v>0</v>
      </c>
      <c r="K13" s="737">
        <f t="shared" si="4"/>
        <v>276.01</v>
      </c>
      <c r="L13" s="3260">
        <f t="shared" si="5"/>
        <v>1415.46</v>
      </c>
      <c r="M13" s="3260"/>
      <c r="N13" s="738">
        <f t="shared" si="0"/>
        <v>54.259999999999991</v>
      </c>
      <c r="O13" s="738">
        <f t="shared" si="6"/>
        <v>1415.46</v>
      </c>
      <c r="P13" s="738">
        <v>5</v>
      </c>
      <c r="Q13" s="730" t="s">
        <v>55</v>
      </c>
      <c r="R13" s="744"/>
      <c r="T13" s="744">
        <f>'BASIC COST OF MATL'!K71</f>
        <v>1085.19</v>
      </c>
      <c r="U13" s="737">
        <f>G13-N13</f>
        <v>1085.19</v>
      </c>
      <c r="V13" s="741"/>
      <c r="X13" s="742"/>
    </row>
    <row r="14" spans="1:39" s="731" customFormat="1" ht="11.25" customHeight="1">
      <c r="A14" s="728">
        <f t="shared" si="1"/>
        <v>7</v>
      </c>
      <c r="B14" s="730" t="s">
        <v>56</v>
      </c>
      <c r="C14" s="734" t="s">
        <v>49</v>
      </c>
      <c r="D14" s="3259" t="str">
        <f>D12</f>
        <v>Gudiakateni</v>
      </c>
      <c r="E14" s="3259"/>
      <c r="F14" s="735">
        <f t="shared" si="2"/>
        <v>1402</v>
      </c>
      <c r="G14" s="735">
        <f t="shared" si="3"/>
        <v>1472.1</v>
      </c>
      <c r="H14" s="743">
        <f>H11</f>
        <v>5</v>
      </c>
      <c r="I14" s="737">
        <f>IF(H14 &gt; 50,'LEAD OF MATL.'!B16+45*'LEAD OF MATL.'!B17+(H14-50)*'LEAD OF MATL.'!B18,'LEAD OF MATL.'!B16+(H14-5)*'LEAD OF MATL.'!B17)</f>
        <v>276.01</v>
      </c>
      <c r="J14" s="737">
        <f>J8</f>
        <v>0</v>
      </c>
      <c r="K14" s="737">
        <f t="shared" si="4"/>
        <v>276.01</v>
      </c>
      <c r="L14" s="3260">
        <f t="shared" si="5"/>
        <v>1748.11</v>
      </c>
      <c r="M14" s="3260"/>
      <c r="N14" s="738">
        <f t="shared" si="0"/>
        <v>70.099999999999909</v>
      </c>
      <c r="O14" s="738">
        <f t="shared" si="6"/>
        <v>1748.11</v>
      </c>
      <c r="P14" s="738">
        <v>5</v>
      </c>
      <c r="Q14" s="730" t="s">
        <v>56</v>
      </c>
      <c r="R14" s="744"/>
      <c r="T14" s="744">
        <f>'BASIC COST OF MATL'!K76</f>
        <v>1402</v>
      </c>
      <c r="U14" s="737">
        <f t="shared" si="8"/>
        <v>1402</v>
      </c>
      <c r="V14" s="741">
        <v>1091</v>
      </c>
      <c r="X14" s="742">
        <f t="shared" si="7"/>
        <v>1748.11</v>
      </c>
    </row>
    <row r="15" spans="1:39" s="731" customFormat="1" ht="11.25" customHeight="1">
      <c r="A15" s="728">
        <f t="shared" si="1"/>
        <v>8</v>
      </c>
      <c r="B15" s="730" t="s">
        <v>57</v>
      </c>
      <c r="C15" s="734" t="s">
        <v>49</v>
      </c>
      <c r="D15" s="3259" t="str">
        <f t="shared" ref="D15:D23" si="9">D14</f>
        <v>Gudiakateni</v>
      </c>
      <c r="E15" s="3259"/>
      <c r="F15" s="735">
        <f t="shared" si="2"/>
        <v>957.46</v>
      </c>
      <c r="G15" s="735">
        <f t="shared" si="3"/>
        <v>1005.33</v>
      </c>
      <c r="H15" s="743">
        <f>H14</f>
        <v>5</v>
      </c>
      <c r="I15" s="737">
        <f>IF(H15 &gt; 50,'LEAD OF MATL.'!B16+45*'LEAD OF MATL.'!B17+(H15-50)*'LEAD OF MATL.'!B18,'LEAD OF MATL.'!B16+(H15-5)*'LEAD OF MATL.'!B17)</f>
        <v>276.01</v>
      </c>
      <c r="J15" s="737">
        <f>J9</f>
        <v>0</v>
      </c>
      <c r="K15" s="737">
        <f t="shared" si="4"/>
        <v>276.01</v>
      </c>
      <c r="L15" s="3260">
        <f t="shared" si="5"/>
        <v>1281.3400000000001</v>
      </c>
      <c r="M15" s="3260"/>
      <c r="N15" s="738">
        <f t="shared" si="0"/>
        <v>47.870000000000005</v>
      </c>
      <c r="O15" s="738">
        <f t="shared" si="6"/>
        <v>1281.3400000000001</v>
      </c>
      <c r="P15" s="738">
        <v>5</v>
      </c>
      <c r="Q15" s="730" t="s">
        <v>57</v>
      </c>
      <c r="R15" s="744"/>
      <c r="T15" s="744">
        <f>'BASIC COST OF MATL'!K78</f>
        <v>957.46</v>
      </c>
      <c r="U15" s="737">
        <f t="shared" si="8"/>
        <v>957.46</v>
      </c>
      <c r="V15" s="741">
        <v>708</v>
      </c>
      <c r="X15" s="742">
        <f t="shared" si="7"/>
        <v>1281.3400000000001</v>
      </c>
    </row>
    <row r="16" spans="1:39" s="731" customFormat="1" ht="11.25" customHeight="1">
      <c r="A16" s="728">
        <f t="shared" si="1"/>
        <v>9</v>
      </c>
      <c r="B16" s="730" t="s">
        <v>58</v>
      </c>
      <c r="C16" s="734" t="s">
        <v>49</v>
      </c>
      <c r="D16" s="3259" t="str">
        <f t="shared" si="9"/>
        <v>Gudiakateni</v>
      </c>
      <c r="E16" s="3259"/>
      <c r="F16" s="735">
        <f t="shared" si="2"/>
        <v>792.8</v>
      </c>
      <c r="G16" s="735">
        <f t="shared" si="3"/>
        <v>832.43999999999994</v>
      </c>
      <c r="H16" s="743">
        <f>H10</f>
        <v>5</v>
      </c>
      <c r="I16" s="737">
        <f>IF(H16 &gt; 50,'LEAD OF MATL.'!B16+45*'LEAD OF MATL.'!B17+(H16-50)*'LEAD OF MATL.'!B18,'LEAD OF MATL.'!B16+(H16-5)*'LEAD OF MATL.'!B17)</f>
        <v>276.01</v>
      </c>
      <c r="J16" s="737">
        <f>J8</f>
        <v>0</v>
      </c>
      <c r="K16" s="737">
        <f t="shared" si="4"/>
        <v>276.01</v>
      </c>
      <c r="L16" s="3260">
        <f t="shared" si="5"/>
        <v>1108.4499999999998</v>
      </c>
      <c r="M16" s="3260"/>
      <c r="N16" s="738">
        <f t="shared" si="0"/>
        <v>39.639999999999986</v>
      </c>
      <c r="O16" s="738">
        <f t="shared" si="6"/>
        <v>1108.4499999999998</v>
      </c>
      <c r="P16" s="738">
        <v>5</v>
      </c>
      <c r="Q16" s="730" t="s">
        <v>58</v>
      </c>
      <c r="R16" s="744"/>
      <c r="T16" s="744">
        <f>'BASIC COST OF MATL'!K80</f>
        <v>792.8</v>
      </c>
      <c r="U16" s="737">
        <f t="shared" si="8"/>
        <v>792.8</v>
      </c>
      <c r="V16" s="741">
        <v>656</v>
      </c>
      <c r="X16" s="742">
        <f t="shared" si="7"/>
        <v>1108.4499999999998</v>
      </c>
    </row>
    <row r="17" spans="1:24" s="731" customFormat="1" ht="11.25" customHeight="1">
      <c r="A17" s="728">
        <f t="shared" si="1"/>
        <v>10</v>
      </c>
      <c r="B17" s="730" t="s">
        <v>59</v>
      </c>
      <c r="C17" s="734" t="s">
        <v>49</v>
      </c>
      <c r="D17" s="3259" t="str">
        <f t="shared" si="9"/>
        <v>Gudiakateni</v>
      </c>
      <c r="E17" s="3259"/>
      <c r="F17" s="735">
        <f t="shared" si="2"/>
        <v>291.95999999999998</v>
      </c>
      <c r="G17" s="735">
        <f t="shared" si="3"/>
        <v>373.71</v>
      </c>
      <c r="H17" s="743">
        <f>H8</f>
        <v>5</v>
      </c>
      <c r="I17" s="737">
        <f>IF(H17 &gt; 50,'LEAD OF MATL.'!B16+45*'LEAD OF MATL.'!B17+(H17-50)*'LEAD OF MATL.'!B18,'LEAD OF MATL.'!B16+(H17-5)*'LEAD OF MATL.'!B17)</f>
        <v>276.01</v>
      </c>
      <c r="J17" s="737">
        <f>J10</f>
        <v>0</v>
      </c>
      <c r="K17" s="737">
        <f t="shared" si="4"/>
        <v>276.01</v>
      </c>
      <c r="L17" s="3260">
        <f t="shared" si="5"/>
        <v>649.72</v>
      </c>
      <c r="M17" s="3260"/>
      <c r="N17" s="738">
        <f t="shared" si="0"/>
        <v>81.75</v>
      </c>
      <c r="O17" s="738">
        <f t="shared" si="6"/>
        <v>649.72</v>
      </c>
      <c r="P17" s="738">
        <v>28</v>
      </c>
      <c r="Q17" s="730" t="s">
        <v>59</v>
      </c>
      <c r="R17" s="744"/>
      <c r="T17" s="744">
        <f>'BASIC COST OF MATL'!K39</f>
        <v>291.95999999999998</v>
      </c>
      <c r="U17" s="737">
        <f t="shared" si="8"/>
        <v>291.95999999999998</v>
      </c>
      <c r="V17" s="741">
        <v>245</v>
      </c>
      <c r="X17" s="742">
        <f t="shared" si="7"/>
        <v>649.72</v>
      </c>
    </row>
    <row r="18" spans="1:24" s="731" customFormat="1" ht="11.25" customHeight="1">
      <c r="A18" s="728">
        <f t="shared" si="1"/>
        <v>11</v>
      </c>
      <c r="B18" s="730" t="s">
        <v>60</v>
      </c>
      <c r="C18" s="734" t="s">
        <v>49</v>
      </c>
      <c r="D18" s="3259" t="str">
        <f t="shared" si="9"/>
        <v>Gudiakateni</v>
      </c>
      <c r="E18" s="3259"/>
      <c r="F18" s="735">
        <f t="shared" si="2"/>
        <v>258.83999999999997</v>
      </c>
      <c r="G18" s="735">
        <f t="shared" si="3"/>
        <v>271.77999999999997</v>
      </c>
      <c r="H18" s="743">
        <f>H9</f>
        <v>5</v>
      </c>
      <c r="I18" s="737">
        <f>IF(H18 &gt; 50,'LEAD OF MATL.'!B16+45*'LEAD OF MATL.'!B17+(H18-50)*'LEAD OF MATL.'!B18,'LEAD OF MATL.'!B16+(H18-5)*'LEAD OF MATL.'!B17)</f>
        <v>276.01</v>
      </c>
      <c r="J18" s="737">
        <f>J11</f>
        <v>0</v>
      </c>
      <c r="K18" s="737">
        <f t="shared" si="4"/>
        <v>276.01</v>
      </c>
      <c r="L18" s="3260">
        <f t="shared" si="5"/>
        <v>547.79</v>
      </c>
      <c r="M18" s="3260"/>
      <c r="N18" s="738">
        <f t="shared" si="0"/>
        <v>12.939999999999998</v>
      </c>
      <c r="O18" s="738">
        <f t="shared" si="6"/>
        <v>547.79</v>
      </c>
      <c r="P18" s="738">
        <v>5</v>
      </c>
      <c r="Q18" s="730" t="s">
        <v>61</v>
      </c>
      <c r="R18" s="744"/>
      <c r="T18" s="744">
        <f>'BASIC COST OF MATL'!K90</f>
        <v>258.83999999999997</v>
      </c>
      <c r="U18" s="737">
        <f t="shared" si="8"/>
        <v>258.83999999999997</v>
      </c>
      <c r="V18" s="741">
        <v>187</v>
      </c>
      <c r="X18" s="742">
        <f t="shared" si="7"/>
        <v>547.79</v>
      </c>
    </row>
    <row r="19" spans="1:24" s="731" customFormat="1" ht="11.25" customHeight="1">
      <c r="A19" s="728">
        <f t="shared" si="1"/>
        <v>12</v>
      </c>
      <c r="B19" s="730" t="str">
        <f>Q19</f>
        <v>I.R.C. Gr-I ( 90mm to 45mm )</v>
      </c>
      <c r="C19" s="734" t="s">
        <v>49</v>
      </c>
      <c r="D19" s="3259" t="str">
        <f t="shared" si="9"/>
        <v>Gudiakateni</v>
      </c>
      <c r="E19" s="3259"/>
      <c r="F19" s="735">
        <f>T19</f>
        <v>804.94</v>
      </c>
      <c r="G19" s="735">
        <f t="shared" si="3"/>
        <v>845.19</v>
      </c>
      <c r="H19" s="743">
        <f>H10</f>
        <v>5</v>
      </c>
      <c r="I19" s="737">
        <f>IF(H19 &gt; 50,'LEAD OF MATL.'!B16+45*'LEAD OF MATL.'!B17+(H19-50)*'LEAD OF MATL.'!B18,'LEAD OF MATL.'!B16+(H19-5)*'LEAD OF MATL.'!B17)</f>
        <v>276.01</v>
      </c>
      <c r="J19" s="737">
        <f>J12</f>
        <v>0</v>
      </c>
      <c r="K19" s="737">
        <f t="shared" si="4"/>
        <v>276.01</v>
      </c>
      <c r="L19" s="3260">
        <f>G19+K19</f>
        <v>1121.2</v>
      </c>
      <c r="M19" s="3260"/>
      <c r="N19" s="738">
        <f t="shared" si="0"/>
        <v>40.25</v>
      </c>
      <c r="O19" s="738">
        <f>L19-J19</f>
        <v>1121.2</v>
      </c>
      <c r="P19" s="738">
        <v>5</v>
      </c>
      <c r="Q19" s="730" t="s">
        <v>62</v>
      </c>
      <c r="R19" s="744"/>
      <c r="T19" s="744">
        <f>'BASIC COST OF MATL'!K91</f>
        <v>804.94</v>
      </c>
      <c r="U19" s="737">
        <f t="shared" si="8"/>
        <v>804.94</v>
      </c>
      <c r="V19" s="741"/>
      <c r="X19" s="742"/>
    </row>
    <row r="20" spans="1:24" s="731" customFormat="1" ht="11.25" customHeight="1">
      <c r="A20" s="728">
        <f t="shared" si="1"/>
        <v>13</v>
      </c>
      <c r="B20" s="730" t="str">
        <f>Q20</f>
        <v>I.R.C. Gr-II ( 63mm to 45mm )</v>
      </c>
      <c r="C20" s="734" t="s">
        <v>49</v>
      </c>
      <c r="D20" s="3259" t="str">
        <f t="shared" si="9"/>
        <v>Gudiakateni</v>
      </c>
      <c r="E20" s="3259"/>
      <c r="F20" s="735">
        <f t="shared" si="2"/>
        <v>888.78</v>
      </c>
      <c r="G20" s="735">
        <f t="shared" si="3"/>
        <v>933.22</v>
      </c>
      <c r="H20" s="743">
        <f>H11</f>
        <v>5</v>
      </c>
      <c r="I20" s="737">
        <f>IF(H20 &gt; 50,'LEAD OF MATL.'!B16+45*'LEAD OF MATL.'!B17+(H20-50)*'LEAD OF MATL.'!B18,'LEAD OF MATL.'!B16+(H20-5)*'LEAD OF MATL.'!B17)</f>
        <v>276.01</v>
      </c>
      <c r="J20" s="737">
        <f>J13</f>
        <v>0</v>
      </c>
      <c r="K20" s="737">
        <f t="shared" si="4"/>
        <v>276.01</v>
      </c>
      <c r="L20" s="3260">
        <f>G20+K20</f>
        <v>1209.23</v>
      </c>
      <c r="M20" s="3260"/>
      <c r="N20" s="738">
        <f t="shared" si="0"/>
        <v>44.440000000000055</v>
      </c>
      <c r="O20" s="738">
        <f>L20-J20</f>
        <v>1209.23</v>
      </c>
      <c r="P20" s="738">
        <v>5</v>
      </c>
      <c r="Q20" s="730" t="s">
        <v>63</v>
      </c>
      <c r="R20" s="744"/>
      <c r="T20" s="744">
        <f>'BASIC COST OF MATL'!K92</f>
        <v>888.78</v>
      </c>
      <c r="U20" s="737">
        <f t="shared" si="8"/>
        <v>888.78</v>
      </c>
      <c r="V20" s="741"/>
      <c r="X20" s="742"/>
    </row>
    <row r="21" spans="1:24" s="731" customFormat="1" ht="11.25" customHeight="1">
      <c r="A21" s="728">
        <f t="shared" si="1"/>
        <v>14</v>
      </c>
      <c r="B21" s="730" t="str">
        <f>Q21</f>
        <v>I.R.C. Gr-III ( 53mm to 22.4mm )</v>
      </c>
      <c r="C21" s="734" t="s">
        <v>49</v>
      </c>
      <c r="D21" s="3259" t="str">
        <f t="shared" si="9"/>
        <v>Gudiakateni</v>
      </c>
      <c r="E21" s="3259"/>
      <c r="F21" s="735">
        <f t="shared" si="2"/>
        <v>951</v>
      </c>
      <c r="G21" s="735">
        <f t="shared" si="3"/>
        <v>998.55</v>
      </c>
      <c r="H21" s="743">
        <f>H12</f>
        <v>5</v>
      </c>
      <c r="I21" s="737">
        <f>IF(H21 &gt; 50,'LEAD OF MATL.'!B16+45*'LEAD OF MATL.'!B17+(H21-50)*'LEAD OF MATL.'!B18,'LEAD OF MATL.'!B16+(H21-5)*'LEAD OF MATL.'!B17)</f>
        <v>276.01</v>
      </c>
      <c r="J21" s="737">
        <f>J14</f>
        <v>0</v>
      </c>
      <c r="K21" s="737">
        <f t="shared" si="4"/>
        <v>276.01</v>
      </c>
      <c r="L21" s="3260">
        <f>G21+K21</f>
        <v>1274.56</v>
      </c>
      <c r="M21" s="3260"/>
      <c r="N21" s="738">
        <f t="shared" si="0"/>
        <v>47.549999999999955</v>
      </c>
      <c r="O21" s="738">
        <f>L21-J21</f>
        <v>1274.56</v>
      </c>
      <c r="P21" s="738">
        <v>5</v>
      </c>
      <c r="Q21" s="730" t="s">
        <v>64</v>
      </c>
      <c r="R21" s="744"/>
      <c r="T21" s="744">
        <f>'BASIC COST OF MATL'!K93</f>
        <v>951</v>
      </c>
      <c r="U21" s="737">
        <f t="shared" si="8"/>
        <v>951</v>
      </c>
      <c r="V21" s="741"/>
      <c r="X21" s="742"/>
    </row>
    <row r="22" spans="1:24" s="731" customFormat="1" ht="11.25" customHeight="1">
      <c r="A22" s="728">
        <f t="shared" si="1"/>
        <v>15</v>
      </c>
      <c r="B22" s="730" t="s">
        <v>65</v>
      </c>
      <c r="C22" s="734" t="s">
        <v>49</v>
      </c>
      <c r="D22" s="3259" t="str">
        <f>D18</f>
        <v>Gudiakateni</v>
      </c>
      <c r="E22" s="3259"/>
      <c r="F22" s="735">
        <f t="shared" si="2"/>
        <v>353.65</v>
      </c>
      <c r="G22" s="735">
        <f t="shared" si="3"/>
        <v>371.33</v>
      </c>
      <c r="H22" s="743">
        <f>H10</f>
        <v>5</v>
      </c>
      <c r="I22" s="737">
        <f>IF(H22 &gt; 50,'LEAD OF MATL.'!B16+45*'LEAD OF MATL.'!B17+(H22-50)*'LEAD OF MATL.'!B18,'LEAD OF MATL.'!B16+(H22-5)*'LEAD OF MATL.'!B17)</f>
        <v>276.01</v>
      </c>
      <c r="J22" s="737">
        <f>J12</f>
        <v>0</v>
      </c>
      <c r="K22" s="737">
        <f t="shared" si="4"/>
        <v>276.01</v>
      </c>
      <c r="L22" s="3260">
        <f t="shared" si="5"/>
        <v>647.33999999999992</v>
      </c>
      <c r="M22" s="3260"/>
      <c r="N22" s="738">
        <f t="shared" si="0"/>
        <v>17.680000000000007</v>
      </c>
      <c r="O22" s="738">
        <f t="shared" si="6"/>
        <v>647.33999999999992</v>
      </c>
      <c r="P22" s="738">
        <v>5</v>
      </c>
      <c r="Q22" s="730" t="s">
        <v>65</v>
      </c>
      <c r="R22" s="744"/>
      <c r="T22" s="744">
        <f>'BASIC COST OF MATL'!K82</f>
        <v>353.65</v>
      </c>
      <c r="U22" s="737">
        <f t="shared" si="8"/>
        <v>353.65</v>
      </c>
      <c r="V22" s="741"/>
      <c r="X22" s="742">
        <f t="shared" si="7"/>
        <v>647.33999999999992</v>
      </c>
    </row>
    <row r="23" spans="1:24" s="731" customFormat="1" ht="11.25" customHeight="1">
      <c r="A23" s="728">
        <f>A22+1</f>
        <v>16</v>
      </c>
      <c r="B23" s="730" t="s">
        <v>66</v>
      </c>
      <c r="C23" s="734" t="s">
        <v>49</v>
      </c>
      <c r="D23" s="3259" t="str">
        <f t="shared" si="9"/>
        <v>Gudiakateni</v>
      </c>
      <c r="E23" s="3259"/>
      <c r="F23" s="735">
        <f t="shared" si="2"/>
        <v>700.88</v>
      </c>
      <c r="G23" s="735">
        <f>F23+ROUND(F23*P23%,2)</f>
        <v>735.92</v>
      </c>
      <c r="H23" s="743">
        <f>H11</f>
        <v>5</v>
      </c>
      <c r="I23" s="737">
        <f>IF(H23 &gt; 50,'LEAD OF MATL.'!B16+45*'LEAD OF MATL.'!B17+(H23-50)*'LEAD OF MATL.'!B18,'LEAD OF MATL.'!B16+(H23-5)*'LEAD OF MATL.'!B17)</f>
        <v>276.01</v>
      </c>
      <c r="J23" s="737">
        <f>J22</f>
        <v>0</v>
      </c>
      <c r="K23" s="737">
        <f t="shared" si="4"/>
        <v>276.01</v>
      </c>
      <c r="L23" s="3260">
        <f t="shared" si="5"/>
        <v>1011.93</v>
      </c>
      <c r="M23" s="3260"/>
      <c r="N23" s="738">
        <f t="shared" si="0"/>
        <v>35.039999999999964</v>
      </c>
      <c r="O23" s="738">
        <f t="shared" si="6"/>
        <v>1011.93</v>
      </c>
      <c r="P23" s="738">
        <v>5</v>
      </c>
      <c r="Q23" s="730" t="s">
        <v>66</v>
      </c>
      <c r="R23" s="744"/>
      <c r="T23" s="744">
        <f>'BASIC COST OF MATL'!K47</f>
        <v>700.88</v>
      </c>
      <c r="U23" s="737">
        <f t="shared" si="8"/>
        <v>700.88</v>
      </c>
      <c r="V23" s="741"/>
      <c r="X23" s="742">
        <f t="shared" si="7"/>
        <v>1011.93</v>
      </c>
    </row>
    <row r="24" spans="1:24" s="731" customFormat="1" ht="11.25" customHeight="1">
      <c r="A24" s="728">
        <f>A23+1</f>
        <v>17</v>
      </c>
      <c r="B24" s="730" t="s">
        <v>67</v>
      </c>
      <c r="C24" s="734" t="s">
        <v>68</v>
      </c>
      <c r="D24" s="3262" t="s">
        <v>69</v>
      </c>
      <c r="E24" s="3262"/>
      <c r="F24" s="735">
        <f t="shared" si="2"/>
        <v>5124.2</v>
      </c>
      <c r="G24" s="735">
        <f>F24+ROUND(F24*P24%,2)</f>
        <v>5739.0999999999995</v>
      </c>
      <c r="H24" s="736">
        <v>5</v>
      </c>
      <c r="I24" s="737">
        <f>IF(H24 &gt; 50,'LEAD OF MATL.'!C16/2+45*'LEAD OF MATL.'!C17/2+(H24-50)*'LEAD OF MATL.'!C18/2,'LEAD OF MATL.'!C16/2+(H24-5)*'LEAD OF MATL.'!C17/2)</f>
        <v>864.1</v>
      </c>
      <c r="J24" s="1182">
        <v>0</v>
      </c>
      <c r="K24" s="737">
        <f t="shared" si="4"/>
        <v>864.1</v>
      </c>
      <c r="L24" s="3260">
        <f t="shared" si="5"/>
        <v>6603.2</v>
      </c>
      <c r="M24" s="3260"/>
      <c r="N24" s="738">
        <f t="shared" si="0"/>
        <v>614.89999999999964</v>
      </c>
      <c r="O24" s="738">
        <f t="shared" si="6"/>
        <v>6603.2</v>
      </c>
      <c r="P24" s="738">
        <v>12</v>
      </c>
      <c r="Q24" s="730" t="s">
        <v>67</v>
      </c>
      <c r="R24" s="744"/>
      <c r="T24" s="744">
        <f>'BASIC COST OF MATL'!K7</f>
        <v>5124.2</v>
      </c>
      <c r="U24" s="737">
        <f t="shared" si="8"/>
        <v>5124.2</v>
      </c>
      <c r="V24" s="741">
        <v>4180</v>
      </c>
      <c r="X24" s="742">
        <f t="shared" si="7"/>
        <v>6603.2</v>
      </c>
    </row>
    <row r="25" spans="1:24" s="731" customFormat="1" ht="11.25" customHeight="1">
      <c r="A25" s="728">
        <f t="shared" si="1"/>
        <v>18</v>
      </c>
      <c r="B25" s="730" t="s">
        <v>70</v>
      </c>
      <c r="C25" s="734" t="s">
        <v>68</v>
      </c>
      <c r="D25" s="3259" t="str">
        <f>D24</f>
        <v>Kamakhya</v>
      </c>
      <c r="E25" s="3259"/>
      <c r="F25" s="735">
        <f t="shared" si="2"/>
        <v>6105.67</v>
      </c>
      <c r="G25" s="735">
        <f>F25+ROUND(F25*P25%,2)</f>
        <v>6410.95</v>
      </c>
      <c r="H25" s="743">
        <f>H24</f>
        <v>5</v>
      </c>
      <c r="I25" s="737">
        <f>IF(H25 &gt; 50,'LEAD OF MATL.'!C16/2+45*'LEAD OF MATL.'!C17/2+(H25-50)*'LEAD OF MATL.'!C18/2,'LEAD OF MATL.'!C16/2+(H25-5)*'LEAD OF MATL.'!C17/2)</f>
        <v>864.1</v>
      </c>
      <c r="J25" s="737">
        <f>J24</f>
        <v>0</v>
      </c>
      <c r="K25" s="737">
        <f t="shared" si="4"/>
        <v>864.1</v>
      </c>
      <c r="L25" s="3260">
        <f t="shared" si="5"/>
        <v>7275.05</v>
      </c>
      <c r="M25" s="3260"/>
      <c r="N25" s="738">
        <f t="shared" si="0"/>
        <v>305.27999999999975</v>
      </c>
      <c r="O25" s="738">
        <f t="shared" si="6"/>
        <v>7275.05</v>
      </c>
      <c r="P25" s="738">
        <v>5</v>
      </c>
      <c r="Q25" s="730" t="s">
        <v>70</v>
      </c>
      <c r="R25" s="744"/>
      <c r="T25" s="744">
        <f>'BASIC COST OF MATL'!K5</f>
        <v>6105.67</v>
      </c>
      <c r="U25" s="737">
        <f t="shared" si="8"/>
        <v>6105.67</v>
      </c>
      <c r="V25" s="741">
        <v>4019</v>
      </c>
      <c r="X25" s="742">
        <f t="shared" si="7"/>
        <v>7275.05</v>
      </c>
    </row>
    <row r="26" spans="1:24" s="731" customFormat="1" ht="11.25" customHeight="1">
      <c r="A26" s="728">
        <f t="shared" si="1"/>
        <v>19</v>
      </c>
      <c r="B26" s="730" t="s">
        <v>71</v>
      </c>
      <c r="C26" s="734" t="s">
        <v>68</v>
      </c>
      <c r="D26" s="3259" t="str">
        <f>D25</f>
        <v>Kamakhya</v>
      </c>
      <c r="E26" s="3259"/>
      <c r="F26" s="735">
        <f t="shared" si="2"/>
        <v>4231.96</v>
      </c>
      <c r="G26" s="735">
        <f>F26+ROUND(F26*P26%,2)</f>
        <v>4443.5600000000004</v>
      </c>
      <c r="H26" s="743">
        <f>H25</f>
        <v>5</v>
      </c>
      <c r="I26" s="737">
        <f>IF(H26 &gt; 50,'LEAD OF MATL.'!C16/2+45*'LEAD OF MATL.'!C17/2+(H26-50)*'LEAD OF MATL.'!C18/2,'LEAD OF MATL.'!C16/2+(H26-5)*'LEAD OF MATL.'!C17/2)</f>
        <v>864.1</v>
      </c>
      <c r="J26" s="737">
        <f>J25</f>
        <v>0</v>
      </c>
      <c r="K26" s="737">
        <f t="shared" si="4"/>
        <v>864.1</v>
      </c>
      <c r="L26" s="3260">
        <f t="shared" si="5"/>
        <v>5307.6600000000008</v>
      </c>
      <c r="M26" s="3260"/>
      <c r="N26" s="738">
        <f t="shared" si="0"/>
        <v>211.60000000000036</v>
      </c>
      <c r="O26" s="738">
        <f t="shared" si="6"/>
        <v>5307.6600000000008</v>
      </c>
      <c r="P26" s="738">
        <v>5</v>
      </c>
      <c r="Q26" s="730" t="s">
        <v>70</v>
      </c>
      <c r="R26" s="744"/>
      <c r="T26" s="744">
        <f>'BASIC COST OF MATL'!K3</f>
        <v>4231.96</v>
      </c>
      <c r="U26" s="737">
        <f t="shared" si="8"/>
        <v>4231.96</v>
      </c>
      <c r="V26" s="741">
        <v>3080</v>
      </c>
      <c r="X26" s="742">
        <f t="shared" si="7"/>
        <v>5307.6600000000008</v>
      </c>
    </row>
    <row r="27" spans="1:24" s="731" customFormat="1" ht="11.25" customHeight="1">
      <c r="A27" s="728">
        <f>A26+1</f>
        <v>20</v>
      </c>
      <c r="B27" s="730" t="s">
        <v>72</v>
      </c>
      <c r="C27" s="745" t="s">
        <v>38</v>
      </c>
      <c r="D27" s="3259" t="str">
        <f>D26</f>
        <v>Kamakhya</v>
      </c>
      <c r="E27" s="3259"/>
      <c r="F27" s="735">
        <f t="shared" si="2"/>
        <v>16.3</v>
      </c>
      <c r="G27" s="735">
        <f>F27+ROUND(F27*P27%,2)</f>
        <v>18.260000000000002</v>
      </c>
      <c r="H27" s="746">
        <f>H26</f>
        <v>5</v>
      </c>
      <c r="I27" s="737">
        <f>IF(H27&gt;50,'LEAD OF MATL.'!C16/550+45*'LEAD OF MATL.'!C17/550+(H27-50)*'LEAD OF MATL.'!C18/550,'LEAD OF MATL.'!C16/550+(H27-5)*'LEAD OF MATL.'!C17/550)</f>
        <v>3.1421818181818182</v>
      </c>
      <c r="J27" s="737">
        <f>ROUND(0.3*0.2*0.15*J42,2)</f>
        <v>0</v>
      </c>
      <c r="K27" s="737">
        <f t="shared" si="4"/>
        <v>3.1421818181818182</v>
      </c>
      <c r="L27" s="3260">
        <f t="shared" si="5"/>
        <v>21.40218181818182</v>
      </c>
      <c r="M27" s="3260"/>
      <c r="N27" s="738">
        <f t="shared" si="0"/>
        <v>1.9600000000000009</v>
      </c>
      <c r="O27" s="738">
        <f t="shared" si="6"/>
        <v>21.40218181818182</v>
      </c>
      <c r="P27" s="738">
        <v>12</v>
      </c>
      <c r="Q27" s="730" t="s">
        <v>72</v>
      </c>
      <c r="R27" s="744"/>
      <c r="T27" s="744">
        <f>'BASIC COST OF MATL'!K9</f>
        <v>16.3</v>
      </c>
      <c r="U27" s="737">
        <f t="shared" si="8"/>
        <v>16.3</v>
      </c>
      <c r="V27" s="741"/>
      <c r="X27" s="742"/>
    </row>
    <row r="28" spans="1:24" s="731" customFormat="1" ht="11.25" customHeight="1">
      <c r="A28" s="3251">
        <f>A27+1</f>
        <v>21</v>
      </c>
      <c r="B28" s="716" t="s">
        <v>73</v>
      </c>
      <c r="C28" s="745"/>
      <c r="D28" s="3264"/>
      <c r="E28" s="3265"/>
      <c r="F28" s="735"/>
      <c r="G28" s="735"/>
      <c r="H28" s="746"/>
      <c r="I28" s="737"/>
      <c r="J28" s="737"/>
      <c r="K28" s="747"/>
      <c r="L28" s="3266"/>
      <c r="M28" s="3267"/>
      <c r="N28" s="738"/>
      <c r="O28" s="738">
        <f t="shared" si="6"/>
        <v>0</v>
      </c>
      <c r="P28" s="738"/>
      <c r="Q28" s="730" t="s">
        <v>73</v>
      </c>
      <c r="R28" s="744"/>
      <c r="T28" s="744"/>
      <c r="U28" s="737"/>
      <c r="V28" s="741"/>
      <c r="X28" s="742"/>
    </row>
    <row r="29" spans="1:24" s="731" customFormat="1" ht="11.25" customHeight="1">
      <c r="A29" s="3263"/>
      <c r="B29" s="748" t="s">
        <v>74</v>
      </c>
      <c r="C29" s="745" t="s">
        <v>38</v>
      </c>
      <c r="D29" s="3268" t="str">
        <f>D27</f>
        <v>Kamakhya</v>
      </c>
      <c r="E29" s="3268"/>
      <c r="F29" s="735">
        <f t="shared" si="2"/>
        <v>29.89</v>
      </c>
      <c r="G29" s="735">
        <f t="shared" ref="G29:G34" si="10">F29+ROUND(F29*P29%,2)</f>
        <v>31.38</v>
      </c>
      <c r="H29" s="749">
        <v>5</v>
      </c>
      <c r="I29" s="737">
        <f>IF(H29&gt;50,'LEAD OF MATL.'!C16/300+45*'LEAD OF MATL.'!C17/300+(H29-50)*'LEAD OF MATL.'!C18/300,'LEAD OF MATL.'!C16/300+(H29-5)*'LEAD OF MATL.'!C17/300)</f>
        <v>5.7606666666666664</v>
      </c>
      <c r="J29" s="737">
        <f>ROUND(0.4*0.2*0.2*J42,2)</f>
        <v>0</v>
      </c>
      <c r="K29" s="737">
        <f t="shared" si="4"/>
        <v>5.7606666666666664</v>
      </c>
      <c r="L29" s="3260">
        <f t="shared" ref="L29:L34" si="11">G29+K29</f>
        <v>37.140666666666668</v>
      </c>
      <c r="M29" s="3260"/>
      <c r="N29" s="738">
        <f t="shared" ref="N29:N34" si="12">G29-F29</f>
        <v>1.4899999999999984</v>
      </c>
      <c r="O29" s="738">
        <f t="shared" si="6"/>
        <v>37.140666666666668</v>
      </c>
      <c r="P29" s="738">
        <v>5</v>
      </c>
      <c r="Q29" s="748" t="s">
        <v>74</v>
      </c>
      <c r="R29" s="744"/>
      <c r="T29" s="744">
        <f>'BASIC COST OF MATL'!K11</f>
        <v>29.89</v>
      </c>
      <c r="U29" s="737">
        <f t="shared" si="8"/>
        <v>29.89</v>
      </c>
      <c r="V29" s="741"/>
      <c r="X29" s="742"/>
    </row>
    <row r="30" spans="1:24" s="731" customFormat="1" ht="11.25" customHeight="1">
      <c r="A30" s="3263"/>
      <c r="B30" s="748" t="s">
        <v>75</v>
      </c>
      <c r="C30" s="745" t="s">
        <v>38</v>
      </c>
      <c r="D30" s="3259" t="str">
        <f>D29</f>
        <v>Kamakhya</v>
      </c>
      <c r="E30" s="3259"/>
      <c r="F30" s="735">
        <f t="shared" si="2"/>
        <v>24.32</v>
      </c>
      <c r="G30" s="735">
        <f t="shared" si="10"/>
        <v>25.54</v>
      </c>
      <c r="H30" s="746">
        <f>H29</f>
        <v>5</v>
      </c>
      <c r="I30" s="737">
        <f>IF(H30&gt;50,'LEAD OF MATL.'!C16/400+45*'LEAD OF MATL.'!C17/400+(H30-50)*'LEAD OF MATL.'!C18/400,'LEAD OF MATL.'!C16/400*(H30-5)+'LEAD OF MATL.'!C17/400)</f>
        <v>0.14727499999999999</v>
      </c>
      <c r="J30" s="737">
        <f>ROUND(0.4*0.15*0.2*J42,2)</f>
        <v>0</v>
      </c>
      <c r="K30" s="737">
        <f t="shared" si="4"/>
        <v>0.14727499999999999</v>
      </c>
      <c r="L30" s="3260">
        <f t="shared" si="11"/>
        <v>25.687275</v>
      </c>
      <c r="M30" s="3260"/>
      <c r="N30" s="738">
        <f t="shared" si="12"/>
        <v>1.2199999999999989</v>
      </c>
      <c r="O30" s="738">
        <f t="shared" si="6"/>
        <v>25.687275</v>
      </c>
      <c r="P30" s="738">
        <v>5</v>
      </c>
      <c r="Q30" s="748" t="s">
        <v>75</v>
      </c>
      <c r="R30" s="744"/>
      <c r="T30" s="744">
        <f>'BASIC COST OF MATL'!K12</f>
        <v>24.32</v>
      </c>
      <c r="U30" s="737">
        <f>G30-N30</f>
        <v>24.32</v>
      </c>
      <c r="V30" s="741"/>
      <c r="X30" s="742"/>
    </row>
    <row r="31" spans="1:24" s="731" customFormat="1" ht="11.25" customHeight="1">
      <c r="A31" s="3263"/>
      <c r="B31" s="748" t="s">
        <v>76</v>
      </c>
      <c r="C31" s="745" t="s">
        <v>38</v>
      </c>
      <c r="D31" s="3259" t="str">
        <f>D30</f>
        <v>Kamakhya</v>
      </c>
      <c r="E31" s="3259"/>
      <c r="F31" s="735">
        <f t="shared" si="2"/>
        <v>17</v>
      </c>
      <c r="G31" s="735">
        <f t="shared" si="10"/>
        <v>17.850000000000001</v>
      </c>
      <c r="H31" s="746">
        <f>H30</f>
        <v>5</v>
      </c>
      <c r="I31" s="737">
        <f>IF(H31&gt;50,'LEAD OF MATL.'!C16/600+45*'LEAD OF MATL.'!C17/600+(H31-50)*'LEAD OF MATL.'!C18/600,'LEAD OF MATL.'!C16/600+(H31-5)*'LEAD OF MATL.'!C17/600)</f>
        <v>2.8803333333333332</v>
      </c>
      <c r="J31" s="737">
        <f>ROUND(0.4*0.1*0.15*J42,2)</f>
        <v>0</v>
      </c>
      <c r="K31" s="737">
        <f t="shared" si="4"/>
        <v>2.8803333333333332</v>
      </c>
      <c r="L31" s="3260">
        <f t="shared" si="11"/>
        <v>20.730333333333334</v>
      </c>
      <c r="M31" s="3260"/>
      <c r="N31" s="738">
        <f t="shared" si="12"/>
        <v>0.85000000000000142</v>
      </c>
      <c r="O31" s="738">
        <f t="shared" si="6"/>
        <v>20.730333333333334</v>
      </c>
      <c r="P31" s="738">
        <v>5</v>
      </c>
      <c r="Q31" s="748" t="s">
        <v>76</v>
      </c>
      <c r="R31" s="744"/>
      <c r="T31" s="744">
        <f>'BASIC COST OF MATL'!K13</f>
        <v>17</v>
      </c>
      <c r="U31" s="737">
        <f t="shared" si="8"/>
        <v>17</v>
      </c>
      <c r="V31" s="741"/>
      <c r="X31" s="742"/>
    </row>
    <row r="32" spans="1:24" s="731" customFormat="1" ht="11.25" customHeight="1">
      <c r="A32" s="3263"/>
      <c r="B32" s="748" t="s">
        <v>77</v>
      </c>
      <c r="C32" s="745" t="s">
        <v>38</v>
      </c>
      <c r="D32" s="3259" t="str">
        <f>D31</f>
        <v>Kamakhya</v>
      </c>
      <c r="E32" s="3259"/>
      <c r="F32" s="735">
        <f t="shared" si="2"/>
        <v>19.21</v>
      </c>
      <c r="G32" s="735">
        <f t="shared" si="10"/>
        <v>20.170000000000002</v>
      </c>
      <c r="H32" s="746">
        <f>H31</f>
        <v>5</v>
      </c>
      <c r="I32" s="737">
        <f>IF(H32&gt;50,'LEAD OF MATL.'!C16/550+45*'LEAD OF MATL.'!C17/550+(H32-50)*'LEAD OF MATL.'!C18/550,'LEAD OF MATL.'!C16/550+(H32-5)*'LEAD OF MATL.'!C17/550)</f>
        <v>3.1421818181818182</v>
      </c>
      <c r="J32" s="737">
        <f>ROUND(0.3*0.2*0.15*J42,2)</f>
        <v>0</v>
      </c>
      <c r="K32" s="737">
        <f t="shared" si="4"/>
        <v>3.1421818181818182</v>
      </c>
      <c r="L32" s="3260">
        <f t="shared" si="11"/>
        <v>23.31218181818182</v>
      </c>
      <c r="M32" s="3260"/>
      <c r="N32" s="738">
        <f t="shared" si="12"/>
        <v>0.96000000000000085</v>
      </c>
      <c r="O32" s="738">
        <f t="shared" si="6"/>
        <v>23.31218181818182</v>
      </c>
      <c r="P32" s="738">
        <v>5</v>
      </c>
      <c r="Q32" s="748" t="s">
        <v>77</v>
      </c>
      <c r="R32" s="744"/>
      <c r="T32" s="744">
        <f>'BASIC COST OF MATL'!K14</f>
        <v>19.21</v>
      </c>
      <c r="U32" s="737">
        <f t="shared" si="8"/>
        <v>19.21</v>
      </c>
      <c r="V32" s="741"/>
      <c r="X32" s="742"/>
    </row>
    <row r="33" spans="1:24" s="731" customFormat="1" ht="11.25" customHeight="1">
      <c r="A33" s="3263"/>
      <c r="B33" s="748" t="s">
        <v>78</v>
      </c>
      <c r="C33" s="745" t="s">
        <v>38</v>
      </c>
      <c r="D33" s="3259" t="str">
        <f>D32</f>
        <v>Kamakhya</v>
      </c>
      <c r="E33" s="3259"/>
      <c r="F33" s="735">
        <f t="shared" si="2"/>
        <v>15.16</v>
      </c>
      <c r="G33" s="735">
        <f t="shared" si="10"/>
        <v>15.92</v>
      </c>
      <c r="H33" s="746">
        <f>H32</f>
        <v>5</v>
      </c>
      <c r="I33" s="737">
        <f>IF(H33&gt;50,'LEAD OF MATL.'!C16/730+45*'LEAD OF MATL.'!C17/730+(H33-50)*'LEAD OF MATL.'!C18/730,'LEAD OF MATL.'!C16/730+(H33-5)*'LEAD OF MATL.'!C17/730)</f>
        <v>2.3673972602739726</v>
      </c>
      <c r="J33" s="737">
        <f>ROUND(0.3*0.15*0.15*J42,2)</f>
        <v>0</v>
      </c>
      <c r="K33" s="737">
        <f t="shared" si="4"/>
        <v>2.3673972602739726</v>
      </c>
      <c r="L33" s="3260">
        <f t="shared" si="11"/>
        <v>18.287397260273973</v>
      </c>
      <c r="M33" s="3260"/>
      <c r="N33" s="738">
        <f t="shared" si="12"/>
        <v>0.75999999999999979</v>
      </c>
      <c r="O33" s="738">
        <f t="shared" si="6"/>
        <v>18.287397260273973</v>
      </c>
      <c r="P33" s="738">
        <v>5</v>
      </c>
      <c r="Q33" s="748" t="s">
        <v>78</v>
      </c>
      <c r="R33" s="744"/>
      <c r="T33" s="744">
        <f>'BASIC COST OF MATL'!K15</f>
        <v>15.16</v>
      </c>
      <c r="U33" s="737">
        <f t="shared" si="8"/>
        <v>15.16</v>
      </c>
      <c r="V33" s="741"/>
      <c r="X33" s="742"/>
    </row>
    <row r="34" spans="1:24" s="731" customFormat="1" ht="11.25" customHeight="1">
      <c r="A34" s="3252"/>
      <c r="B34" s="748" t="s">
        <v>79</v>
      </c>
      <c r="C34" s="745" t="s">
        <v>38</v>
      </c>
      <c r="D34" s="3259" t="str">
        <f>D33</f>
        <v>Kamakhya</v>
      </c>
      <c r="E34" s="3259"/>
      <c r="F34" s="735">
        <f t="shared" si="2"/>
        <v>13.89</v>
      </c>
      <c r="G34" s="735">
        <f t="shared" si="10"/>
        <v>14.58</v>
      </c>
      <c r="H34" s="746">
        <f>H33</f>
        <v>5</v>
      </c>
      <c r="I34" s="737">
        <f>IF(H34&gt;50,'LEAD OF MATL.'!C16/1100+45*'LEAD OF MATL.'!C17/1100+(H34-50)*'LEAD OF MATL.'!C18/1100,'LEAD OF MATL.'!C16/1100+(H34-5)*'LEAD OF MATL.'!C17/1100)</f>
        <v>1.5710909090909091</v>
      </c>
      <c r="J34" s="737">
        <f>ROUND(0.3*0.1*0.15*J42,2)</f>
        <v>0</v>
      </c>
      <c r="K34" s="737">
        <f t="shared" si="4"/>
        <v>1.5710909090909091</v>
      </c>
      <c r="L34" s="3260">
        <f t="shared" si="11"/>
        <v>16.151090909090911</v>
      </c>
      <c r="M34" s="3260"/>
      <c r="N34" s="738">
        <f t="shared" si="12"/>
        <v>0.6899999999999995</v>
      </c>
      <c r="O34" s="738">
        <f t="shared" si="6"/>
        <v>16.151090909090911</v>
      </c>
      <c r="P34" s="738">
        <v>5</v>
      </c>
      <c r="Q34" s="748" t="s">
        <v>79</v>
      </c>
      <c r="R34" s="744"/>
      <c r="T34" s="744">
        <f>'BASIC COST OF MATL'!K16</f>
        <v>13.89</v>
      </c>
      <c r="U34" s="737">
        <f t="shared" si="8"/>
        <v>13.89</v>
      </c>
      <c r="V34" s="741"/>
      <c r="X34" s="742"/>
    </row>
    <row r="35" spans="1:24" s="731" customFormat="1" ht="11.25" customHeight="1">
      <c r="A35" s="3251">
        <f>A28+1</f>
        <v>22</v>
      </c>
      <c r="B35" s="716" t="s">
        <v>80</v>
      </c>
      <c r="C35" s="745"/>
      <c r="D35" s="3264"/>
      <c r="E35" s="3269"/>
      <c r="F35" s="735"/>
      <c r="G35" s="735"/>
      <c r="H35" s="746"/>
      <c r="I35" s="737"/>
      <c r="J35" s="737"/>
      <c r="K35" s="747"/>
      <c r="L35" s="3266"/>
      <c r="M35" s="3267"/>
      <c r="N35" s="738"/>
      <c r="O35" s="738">
        <f t="shared" si="6"/>
        <v>0</v>
      </c>
      <c r="P35" s="738"/>
      <c r="Q35" s="730" t="s">
        <v>73</v>
      </c>
      <c r="R35" s="744"/>
      <c r="T35" s="744"/>
      <c r="U35" s="737"/>
      <c r="V35" s="741"/>
      <c r="X35" s="742"/>
    </row>
    <row r="36" spans="1:24" s="731" customFormat="1" ht="11.25" customHeight="1">
      <c r="A36" s="3263"/>
      <c r="B36" s="713" t="s">
        <v>74</v>
      </c>
      <c r="C36" s="745" t="s">
        <v>38</v>
      </c>
      <c r="D36" s="3268" t="str">
        <f>D34</f>
        <v>Kamakhya</v>
      </c>
      <c r="E36" s="3268"/>
      <c r="F36" s="735">
        <f t="shared" si="2"/>
        <v>26.84</v>
      </c>
      <c r="G36" s="735">
        <f t="shared" ref="G36:G99" si="13">F36+ROUND(F36*P36%,2)</f>
        <v>31.67</v>
      </c>
      <c r="H36" s="749">
        <v>5</v>
      </c>
      <c r="I36" s="737">
        <f>IF(H36&gt;50,'LEAD OF MATL.'!C16/300+45*'LEAD OF MATL.'!C17/300+(H36-50)*'LEAD OF MATL.'!C18/300,'LEAD OF MATL.'!C16/300+(H36-5)*'LEAD OF MATL.'!C17/300)</f>
        <v>5.7606666666666664</v>
      </c>
      <c r="J36" s="737">
        <f t="shared" ref="J36:J41" si="14">J29</f>
        <v>0</v>
      </c>
      <c r="K36" s="737">
        <f t="shared" si="4"/>
        <v>5.7606666666666664</v>
      </c>
      <c r="L36" s="3260">
        <f>G36+K36</f>
        <v>37.430666666666667</v>
      </c>
      <c r="M36" s="3260"/>
      <c r="N36" s="738">
        <f t="shared" ref="N36:N96" si="15">G36-F36</f>
        <v>4.8300000000000018</v>
      </c>
      <c r="O36" s="738">
        <f t="shared" si="6"/>
        <v>37.430666666666667</v>
      </c>
      <c r="P36" s="738">
        <v>18</v>
      </c>
      <c r="Q36" s="748" t="s">
        <v>74</v>
      </c>
      <c r="R36" s="744"/>
      <c r="T36" s="744">
        <f>'BASIC COST OF MATL'!K18</f>
        <v>26.84</v>
      </c>
      <c r="U36" s="737">
        <f>G36-N36</f>
        <v>26.84</v>
      </c>
      <c r="V36" s="741"/>
      <c r="X36" s="742"/>
    </row>
    <row r="37" spans="1:24" s="731" customFormat="1" ht="11.25" customHeight="1">
      <c r="A37" s="3263"/>
      <c r="B37" s="750" t="s">
        <v>75</v>
      </c>
      <c r="C37" s="745" t="s">
        <v>38</v>
      </c>
      <c r="D37" s="3259" t="str">
        <f>D36</f>
        <v>Kamakhya</v>
      </c>
      <c r="E37" s="3259"/>
      <c r="F37" s="735">
        <f t="shared" si="2"/>
        <v>20.3</v>
      </c>
      <c r="G37" s="735">
        <f t="shared" si="13"/>
        <v>23.95</v>
      </c>
      <c r="H37" s="746">
        <f>H36</f>
        <v>5</v>
      </c>
      <c r="I37" s="737">
        <f>IF(H37&gt;50,'LEAD OF MATL.'!C16/400+45*'LEAD OF MATL.'!C17/400+(H37-50)*'LEAD OF MATL.'!C18/400,'LEAD OF MATL.'!C16/400+(H37-5)*'LEAD OF MATL.'!C17/400)</f>
        <v>4.3205</v>
      </c>
      <c r="J37" s="737">
        <f t="shared" si="14"/>
        <v>0</v>
      </c>
      <c r="K37" s="737">
        <f t="shared" si="4"/>
        <v>4.3205</v>
      </c>
      <c r="L37" s="3260">
        <f t="shared" ref="L37:L57" si="16">G37+K37</f>
        <v>28.270499999999998</v>
      </c>
      <c r="M37" s="3260"/>
      <c r="N37" s="738">
        <f t="shared" si="15"/>
        <v>3.6499999999999986</v>
      </c>
      <c r="O37" s="738">
        <f t="shared" si="6"/>
        <v>28.270499999999998</v>
      </c>
      <c r="P37" s="738">
        <v>18</v>
      </c>
      <c r="Q37" s="748" t="s">
        <v>75</v>
      </c>
      <c r="R37" s="744"/>
      <c r="T37" s="744">
        <f>'BASIC COST OF MATL'!K19</f>
        <v>20.3</v>
      </c>
      <c r="U37" s="737">
        <f t="shared" si="8"/>
        <v>20.3</v>
      </c>
      <c r="V37" s="741"/>
      <c r="X37" s="742"/>
    </row>
    <row r="38" spans="1:24" s="731" customFormat="1" ht="11.25" customHeight="1">
      <c r="A38" s="3263"/>
      <c r="B38" s="750" t="s">
        <v>81</v>
      </c>
      <c r="C38" s="745" t="s">
        <v>38</v>
      </c>
      <c r="D38" s="3259" t="str">
        <f>D37</f>
        <v>Kamakhya</v>
      </c>
      <c r="E38" s="3259"/>
      <c r="F38" s="735">
        <f t="shared" si="2"/>
        <v>16.5</v>
      </c>
      <c r="G38" s="735">
        <f t="shared" si="13"/>
        <v>19.47</v>
      </c>
      <c r="H38" s="746">
        <f>H37</f>
        <v>5</v>
      </c>
      <c r="I38" s="737">
        <f>IF(H38&gt;50,'LEAD OF MATL.'!C16/600+45*'LEAD OF MATL.'!C17/600+(H38-50)*'LEAD OF MATL.'!C18/600,'LEAD OF MATL.'!C16/600+(H38-5)*'LEAD OF MATL.'!C17/600)</f>
        <v>2.8803333333333332</v>
      </c>
      <c r="J38" s="737">
        <f t="shared" si="14"/>
        <v>0</v>
      </c>
      <c r="K38" s="737">
        <f t="shared" si="4"/>
        <v>2.8803333333333332</v>
      </c>
      <c r="L38" s="3260">
        <f t="shared" si="16"/>
        <v>22.350333333333332</v>
      </c>
      <c r="M38" s="3260"/>
      <c r="N38" s="738">
        <f t="shared" si="15"/>
        <v>2.9699999999999989</v>
      </c>
      <c r="O38" s="738">
        <f t="shared" si="6"/>
        <v>22.350333333333332</v>
      </c>
      <c r="P38" s="738">
        <v>18</v>
      </c>
      <c r="Q38" s="748" t="s">
        <v>76</v>
      </c>
      <c r="R38" s="744"/>
      <c r="T38" s="744">
        <f>'BASIC COST OF MATL'!K20</f>
        <v>16.5</v>
      </c>
      <c r="U38" s="737">
        <f t="shared" si="8"/>
        <v>16.5</v>
      </c>
      <c r="V38" s="741"/>
      <c r="X38" s="742"/>
    </row>
    <row r="39" spans="1:24" s="731" customFormat="1" ht="11.25" customHeight="1">
      <c r="A39" s="3263"/>
      <c r="B39" s="750" t="s">
        <v>77</v>
      </c>
      <c r="C39" s="745" t="s">
        <v>38</v>
      </c>
      <c r="D39" s="3259" t="str">
        <f>D38</f>
        <v>Kamakhya</v>
      </c>
      <c r="E39" s="3259"/>
      <c r="F39" s="735">
        <f t="shared" si="2"/>
        <v>17</v>
      </c>
      <c r="G39" s="735">
        <f t="shared" si="13"/>
        <v>20.059999999999999</v>
      </c>
      <c r="H39" s="746">
        <f>H38</f>
        <v>5</v>
      </c>
      <c r="I39" s="737">
        <f>IF(H39&gt;50,'LEAD OF MATL.'!C16/550+45*'LEAD OF MATL.'!C17/550+(H39-50)*'LEAD OF MATL.'!C18/550,'LEAD OF MATL.'!C16/550+(H39-5)*'LEAD OF MATL.'!C17/550)</f>
        <v>3.1421818181818182</v>
      </c>
      <c r="J39" s="737">
        <f t="shared" si="14"/>
        <v>0</v>
      </c>
      <c r="K39" s="737">
        <f t="shared" si="4"/>
        <v>3.1421818181818182</v>
      </c>
      <c r="L39" s="3260">
        <f t="shared" si="16"/>
        <v>23.202181818181817</v>
      </c>
      <c r="M39" s="3260"/>
      <c r="N39" s="738">
        <f t="shared" si="15"/>
        <v>3.0599999999999987</v>
      </c>
      <c r="O39" s="738">
        <f t="shared" si="6"/>
        <v>23.202181818181817</v>
      </c>
      <c r="P39" s="738">
        <v>18</v>
      </c>
      <c r="Q39" s="748" t="s">
        <v>77</v>
      </c>
      <c r="R39" s="744"/>
      <c r="T39" s="744">
        <f>'BASIC COST OF MATL'!K21</f>
        <v>17</v>
      </c>
      <c r="U39" s="737">
        <f t="shared" si="8"/>
        <v>17</v>
      </c>
      <c r="V39" s="741"/>
      <c r="X39" s="742"/>
    </row>
    <row r="40" spans="1:24" s="731" customFormat="1" ht="11.25" customHeight="1">
      <c r="A40" s="3263"/>
      <c r="B40" s="750" t="s">
        <v>78</v>
      </c>
      <c r="C40" s="745" t="s">
        <v>38</v>
      </c>
      <c r="D40" s="3259" t="str">
        <f>D39</f>
        <v>Kamakhya</v>
      </c>
      <c r="E40" s="3259"/>
      <c r="F40" s="735">
        <f t="shared" si="2"/>
        <v>13.99</v>
      </c>
      <c r="G40" s="735">
        <f t="shared" si="13"/>
        <v>16.510000000000002</v>
      </c>
      <c r="H40" s="746">
        <f>H39</f>
        <v>5</v>
      </c>
      <c r="I40" s="737">
        <f>IF(H40&gt;50,'LEAD OF MATL.'!C16/730+45*'LEAD OF MATL.'!C17/730+(H40-50)*'LEAD OF MATL.'!C18/730,'LEAD OF MATL.'!C16/730+(H40-5)*'LEAD OF MATL.'!C17/730)</f>
        <v>2.3673972602739726</v>
      </c>
      <c r="J40" s="737">
        <f t="shared" si="14"/>
        <v>0</v>
      </c>
      <c r="K40" s="737">
        <f t="shared" si="4"/>
        <v>2.3673972602739726</v>
      </c>
      <c r="L40" s="3260">
        <f t="shared" si="16"/>
        <v>18.877397260273973</v>
      </c>
      <c r="M40" s="3260"/>
      <c r="N40" s="738">
        <f t="shared" si="15"/>
        <v>2.5200000000000014</v>
      </c>
      <c r="O40" s="738">
        <f t="shared" si="6"/>
        <v>18.877397260273973</v>
      </c>
      <c r="P40" s="738">
        <v>18</v>
      </c>
      <c r="Q40" s="748" t="s">
        <v>78</v>
      </c>
      <c r="R40" s="744"/>
      <c r="T40" s="744">
        <f>'BASIC COST OF MATL'!K22</f>
        <v>13.99</v>
      </c>
      <c r="U40" s="737">
        <f t="shared" si="8"/>
        <v>13.99</v>
      </c>
      <c r="V40" s="741"/>
      <c r="X40" s="742"/>
    </row>
    <row r="41" spans="1:24" s="731" customFormat="1" ht="11.25" customHeight="1">
      <c r="A41" s="3252"/>
      <c r="B41" s="714" t="s">
        <v>79</v>
      </c>
      <c r="C41" s="745" t="s">
        <v>38</v>
      </c>
      <c r="D41" s="3259" t="str">
        <f>D40</f>
        <v>Kamakhya</v>
      </c>
      <c r="E41" s="3259"/>
      <c r="F41" s="735">
        <f t="shared" si="2"/>
        <v>11.37</v>
      </c>
      <c r="G41" s="735">
        <f t="shared" si="13"/>
        <v>13.419999999999998</v>
      </c>
      <c r="H41" s="746">
        <f>H40</f>
        <v>5</v>
      </c>
      <c r="I41" s="737">
        <f>IF(H41&gt;50,'LEAD OF MATL.'!C16/1100+45*'LEAD OF MATL.'!C17/1100+(H41-50)*'LEAD OF MATL.'!C18/1100,'LEAD OF MATL.'!C16/1100+(H41-5)*'LEAD OF MATL.'!C17/1100)</f>
        <v>1.5710909090909091</v>
      </c>
      <c r="J41" s="737">
        <f t="shared" si="14"/>
        <v>0</v>
      </c>
      <c r="K41" s="737">
        <f t="shared" si="4"/>
        <v>1.5710909090909091</v>
      </c>
      <c r="L41" s="3260">
        <f t="shared" si="16"/>
        <v>14.991090909090907</v>
      </c>
      <c r="M41" s="3260"/>
      <c r="N41" s="738">
        <f t="shared" si="15"/>
        <v>2.0499999999999989</v>
      </c>
      <c r="O41" s="738">
        <f t="shared" si="6"/>
        <v>14.991090909090907</v>
      </c>
      <c r="P41" s="738">
        <v>18</v>
      </c>
      <c r="Q41" s="748" t="s">
        <v>79</v>
      </c>
      <c r="R41" s="744"/>
      <c r="T41" s="744">
        <f>'BASIC COST OF MATL'!K23</f>
        <v>11.37</v>
      </c>
      <c r="U41" s="737">
        <f t="shared" si="8"/>
        <v>11.37</v>
      </c>
      <c r="V41" s="741"/>
      <c r="X41" s="742"/>
    </row>
    <row r="42" spans="1:24" s="731" customFormat="1" ht="11.25" customHeight="1">
      <c r="A42" s="728">
        <f>A35+1</f>
        <v>23</v>
      </c>
      <c r="B42" s="730" t="s">
        <v>82</v>
      </c>
      <c r="C42" s="745" t="s">
        <v>49</v>
      </c>
      <c r="D42" s="3259" t="str">
        <f>D26</f>
        <v>Kamakhya</v>
      </c>
      <c r="E42" s="3259"/>
      <c r="F42" s="735">
        <f t="shared" si="2"/>
        <v>388.26</v>
      </c>
      <c r="G42" s="735">
        <f t="shared" si="13"/>
        <v>458.15</v>
      </c>
      <c r="H42" s="746">
        <f>H25</f>
        <v>5</v>
      </c>
      <c r="I42" s="737">
        <f>IF(H42 &gt; 50,'LEAD OF MATL.'!B16+45*'LEAD OF MATL.'!B17+(H42-50)*'LEAD OF MATL.'!B18,'LEAD OF MATL.'!B16+(H42-5)*'LEAD OF MATL.'!B17)</f>
        <v>276.01</v>
      </c>
      <c r="J42" s="1182">
        <v>0</v>
      </c>
      <c r="K42" s="737">
        <f t="shared" si="4"/>
        <v>276.01</v>
      </c>
      <c r="L42" s="3260">
        <f t="shared" si="16"/>
        <v>734.16</v>
      </c>
      <c r="M42" s="3260"/>
      <c r="N42" s="738">
        <f t="shared" si="15"/>
        <v>69.889999999999986</v>
      </c>
      <c r="O42" s="738">
        <f t="shared" si="6"/>
        <v>734.16</v>
      </c>
      <c r="P42" s="738">
        <v>18</v>
      </c>
      <c r="Q42" s="730" t="s">
        <v>82</v>
      </c>
      <c r="R42" s="751"/>
      <c r="T42" s="751">
        <f>'BASIC COST OF MATL'!K24</f>
        <v>388.26</v>
      </c>
      <c r="U42" s="737">
        <f t="shared" si="8"/>
        <v>388.26</v>
      </c>
      <c r="V42" s="752">
        <v>301</v>
      </c>
      <c r="X42" s="742">
        <f t="shared" si="7"/>
        <v>734.16</v>
      </c>
    </row>
    <row r="43" spans="1:24" s="731" customFormat="1" ht="11.25" customHeight="1">
      <c r="A43" s="728">
        <f t="shared" si="1"/>
        <v>24</v>
      </c>
      <c r="B43" s="730" t="s">
        <v>83</v>
      </c>
      <c r="C43" s="734" t="s">
        <v>49</v>
      </c>
      <c r="D43" s="3262" t="s">
        <v>84</v>
      </c>
      <c r="E43" s="3262"/>
      <c r="F43" s="735">
        <f t="shared" si="2"/>
        <v>71.94</v>
      </c>
      <c r="G43" s="735">
        <f t="shared" si="13"/>
        <v>75.539999999999992</v>
      </c>
      <c r="H43" s="736">
        <v>20</v>
      </c>
      <c r="I43" s="737">
        <f>IF(H43 &gt; 50,'LEAD OF MATL.'!B16+45*'LEAD OF MATL.'!B17+(H43-50)*'LEAD OF MATL.'!B18,'LEAD OF MATL.'!B16+(H43-5)*'LEAD OF MATL.'!B17)</f>
        <v>471.30999999999995</v>
      </c>
      <c r="J43" s="737">
        <f>J42</f>
        <v>0</v>
      </c>
      <c r="K43" s="737">
        <f t="shared" si="4"/>
        <v>471.30999999999995</v>
      </c>
      <c r="L43" s="3260">
        <f t="shared" si="16"/>
        <v>546.84999999999991</v>
      </c>
      <c r="M43" s="3260"/>
      <c r="N43" s="738">
        <f t="shared" si="15"/>
        <v>3.5999999999999943</v>
      </c>
      <c r="O43" s="738">
        <f t="shared" si="6"/>
        <v>546.84999999999991</v>
      </c>
      <c r="P43" s="738">
        <v>5</v>
      </c>
      <c r="Q43" s="730" t="s">
        <v>83</v>
      </c>
      <c r="R43" s="744"/>
      <c r="T43" s="744">
        <f>'BASIC COST OF MATL'!K34</f>
        <v>71.94</v>
      </c>
      <c r="U43" s="737">
        <f t="shared" si="8"/>
        <v>71.94</v>
      </c>
      <c r="V43" s="741">
        <v>49</v>
      </c>
      <c r="X43" s="742">
        <f t="shared" si="7"/>
        <v>546.84999999999991</v>
      </c>
    </row>
    <row r="44" spans="1:24" s="731" customFormat="1" ht="11.25" customHeight="1">
      <c r="A44" s="728">
        <f t="shared" si="1"/>
        <v>25</v>
      </c>
      <c r="B44" s="730" t="s">
        <v>85</v>
      </c>
      <c r="C44" s="734" t="s">
        <v>49</v>
      </c>
      <c r="D44" s="3262" t="s">
        <v>86</v>
      </c>
      <c r="E44" s="3262"/>
      <c r="F44" s="735">
        <f t="shared" si="2"/>
        <v>76.88</v>
      </c>
      <c r="G44" s="735">
        <f t="shared" si="13"/>
        <v>80.72</v>
      </c>
      <c r="H44" s="736">
        <v>40</v>
      </c>
      <c r="I44" s="737">
        <f>IF(H44 &gt; 50,'LEAD OF MATL.'!B16+45*'LEAD OF MATL.'!B17+(H44-50)*'LEAD OF MATL.'!B18,'LEAD OF MATL.'!B16+(H44-5)*'LEAD OF MATL.'!B17)</f>
        <v>731.71</v>
      </c>
      <c r="J44" s="737">
        <f>J43</f>
        <v>0</v>
      </c>
      <c r="K44" s="737">
        <f t="shared" si="4"/>
        <v>731.71</v>
      </c>
      <c r="L44" s="3260">
        <f t="shared" si="16"/>
        <v>812.43000000000006</v>
      </c>
      <c r="M44" s="3260"/>
      <c r="N44" s="738">
        <f t="shared" si="15"/>
        <v>3.8400000000000034</v>
      </c>
      <c r="O44" s="738">
        <f t="shared" si="6"/>
        <v>812.43000000000006</v>
      </c>
      <c r="P44" s="738">
        <v>5</v>
      </c>
      <c r="Q44" s="730" t="s">
        <v>85</v>
      </c>
      <c r="R44" s="744"/>
      <c r="T44" s="744">
        <f>'BASIC COST OF MATL'!K33</f>
        <v>76.88</v>
      </c>
      <c r="U44" s="737">
        <f t="shared" si="8"/>
        <v>76.88</v>
      </c>
      <c r="V44" s="741">
        <v>52</v>
      </c>
      <c r="X44" s="742">
        <f t="shared" si="7"/>
        <v>812.43000000000006</v>
      </c>
    </row>
    <row r="45" spans="1:24" s="731" customFormat="1" ht="11.25" customHeight="1">
      <c r="A45" s="728">
        <f t="shared" si="1"/>
        <v>26</v>
      </c>
      <c r="B45" s="730" t="s">
        <v>87</v>
      </c>
      <c r="C45" s="745" t="s">
        <v>49</v>
      </c>
      <c r="D45" s="3262" t="s">
        <v>88</v>
      </c>
      <c r="E45" s="3262"/>
      <c r="F45" s="735">
        <f t="shared" si="2"/>
        <v>749.2</v>
      </c>
      <c r="G45" s="735">
        <f t="shared" si="13"/>
        <v>786.66000000000008</v>
      </c>
      <c r="H45" s="749">
        <v>20</v>
      </c>
      <c r="I45" s="737">
        <f>IF(H45 &gt; 50,'LEAD OF MATL.'!B16+45*'LEAD OF MATL.'!B17+(H45-50)*'LEAD OF MATL.'!B18,'LEAD OF MATL.'!B16+(H45-5)*'LEAD OF MATL.'!B17)</f>
        <v>471.30999999999995</v>
      </c>
      <c r="J45" s="715">
        <v>0</v>
      </c>
      <c r="K45" s="737">
        <f t="shared" si="4"/>
        <v>471.30999999999995</v>
      </c>
      <c r="L45" s="3260">
        <f t="shared" si="16"/>
        <v>1257.97</v>
      </c>
      <c r="M45" s="3260"/>
      <c r="N45" s="738">
        <f t="shared" si="15"/>
        <v>37.460000000000036</v>
      </c>
      <c r="O45" s="738">
        <f t="shared" si="6"/>
        <v>1257.97</v>
      </c>
      <c r="P45" s="738">
        <v>5</v>
      </c>
      <c r="Q45" s="730" t="s">
        <v>87</v>
      </c>
      <c r="R45" s="751"/>
      <c r="T45" s="751">
        <f>'BASIC COST OF MATL'!K95</f>
        <v>749.2</v>
      </c>
      <c r="U45" s="737">
        <f t="shared" si="8"/>
        <v>749.2</v>
      </c>
      <c r="V45" s="752">
        <v>559</v>
      </c>
      <c r="X45" s="742">
        <f t="shared" si="7"/>
        <v>1257.97</v>
      </c>
    </row>
    <row r="46" spans="1:24" s="731" customFormat="1" ht="11.25" customHeight="1">
      <c r="A46" s="728">
        <f t="shared" si="1"/>
        <v>27</v>
      </c>
      <c r="B46" s="730" t="s">
        <v>11</v>
      </c>
      <c r="C46" s="745" t="s">
        <v>49</v>
      </c>
      <c r="D46" s="3262" t="s">
        <v>89</v>
      </c>
      <c r="E46" s="3262"/>
      <c r="F46" s="735">
        <f t="shared" si="2"/>
        <v>65.88</v>
      </c>
      <c r="G46" s="735">
        <f t="shared" si="13"/>
        <v>69.17</v>
      </c>
      <c r="H46" s="749">
        <v>5</v>
      </c>
      <c r="I46" s="737">
        <f>IF(H46 &gt; 50,'LEAD OF MATL.'!B16+45*'LEAD OF MATL.'!B17+(H46-50)*'LEAD OF MATL.'!B18,'LEAD OF MATL.'!B16+(H46-5)*'LEAD OF MATL.'!B17)</f>
        <v>276.01</v>
      </c>
      <c r="J46" s="737">
        <f>J44</f>
        <v>0</v>
      </c>
      <c r="K46" s="737">
        <f t="shared" si="4"/>
        <v>276.01</v>
      </c>
      <c r="L46" s="3260">
        <f t="shared" si="16"/>
        <v>345.18</v>
      </c>
      <c r="M46" s="3260"/>
      <c r="N46" s="738">
        <f t="shared" si="15"/>
        <v>3.2900000000000063</v>
      </c>
      <c r="O46" s="738">
        <f t="shared" si="6"/>
        <v>345.18</v>
      </c>
      <c r="P46" s="738">
        <v>5</v>
      </c>
      <c r="Q46" s="753" t="s">
        <v>11</v>
      </c>
      <c r="R46" s="751"/>
      <c r="T46" s="751">
        <f>'BASIC COST OF MATL'!K30</f>
        <v>65.88</v>
      </c>
      <c r="U46" s="737">
        <f t="shared" si="8"/>
        <v>65.88</v>
      </c>
      <c r="V46" s="752"/>
      <c r="X46" s="742">
        <f t="shared" si="7"/>
        <v>345.18</v>
      </c>
    </row>
    <row r="47" spans="1:24" s="731" customFormat="1" ht="11.25" customHeight="1">
      <c r="A47" s="728">
        <f t="shared" si="1"/>
        <v>28</v>
      </c>
      <c r="B47" s="754" t="s">
        <v>90</v>
      </c>
      <c r="C47" s="745" t="s">
        <v>49</v>
      </c>
      <c r="D47" s="3262" t="s">
        <v>89</v>
      </c>
      <c r="E47" s="3262"/>
      <c r="F47" s="735">
        <v>0</v>
      </c>
      <c r="G47" s="735">
        <f t="shared" si="13"/>
        <v>0</v>
      </c>
      <c r="H47" s="749">
        <v>5</v>
      </c>
      <c r="I47" s="737">
        <f>IF(H47 &gt; 50,'LEAD OF MATL.'!B16+45*'LEAD OF MATL.'!B17+(H47-50)*'LEAD OF MATL.'!B18,'LEAD OF MATL.'!B16+(H47-5)*'LEAD OF MATL.'!B17)</f>
        <v>276.01</v>
      </c>
      <c r="J47" s="740">
        <f>J46</f>
        <v>0</v>
      </c>
      <c r="K47" s="737">
        <f t="shared" si="4"/>
        <v>276.01</v>
      </c>
      <c r="L47" s="3260">
        <f t="shared" si="16"/>
        <v>276.01</v>
      </c>
      <c r="M47" s="3260"/>
      <c r="N47" s="738">
        <f t="shared" si="15"/>
        <v>0</v>
      </c>
      <c r="O47" s="738">
        <f t="shared" si="6"/>
        <v>276.01</v>
      </c>
      <c r="P47" s="738"/>
      <c r="Q47" s="753"/>
      <c r="R47" s="751"/>
      <c r="T47" s="751"/>
      <c r="U47" s="737">
        <f t="shared" si="8"/>
        <v>0</v>
      </c>
      <c r="V47" s="752"/>
      <c r="X47" s="742"/>
    </row>
    <row r="48" spans="1:24" s="731" customFormat="1" ht="11.25" customHeight="1">
      <c r="A48" s="728">
        <f t="shared" si="1"/>
        <v>29</v>
      </c>
      <c r="B48" s="730" t="s">
        <v>8</v>
      </c>
      <c r="C48" s="734" t="s">
        <v>91</v>
      </c>
      <c r="D48" s="3262" t="s">
        <v>69</v>
      </c>
      <c r="E48" s="3262"/>
      <c r="F48" s="755">
        <f>L115</f>
        <v>5000</v>
      </c>
      <c r="G48" s="735">
        <f>F48+ROUND(F48*P48%,2)</f>
        <v>6400</v>
      </c>
      <c r="H48" s="736">
        <v>5</v>
      </c>
      <c r="I48" s="737">
        <f>IF(H48 &gt; 50,'LEAD OF MATL.'!E16+45*'LEAD OF MATL.'!E17+(H48-50)*'LEAD OF MATL.'!E18,'LEAD OF MATL.'!E16+(H48-5)*'LEAD OF MATL.'!E17)</f>
        <v>247.87</v>
      </c>
      <c r="J48" s="737">
        <v>0</v>
      </c>
      <c r="K48" s="737">
        <f t="shared" si="4"/>
        <v>247.87</v>
      </c>
      <c r="L48" s="3260">
        <f t="shared" si="16"/>
        <v>6647.87</v>
      </c>
      <c r="M48" s="3260"/>
      <c r="N48" s="738">
        <f t="shared" si="15"/>
        <v>1400</v>
      </c>
      <c r="O48" s="738">
        <f>L48-J48</f>
        <v>6647.87</v>
      </c>
      <c r="P48" s="738">
        <v>28</v>
      </c>
      <c r="Q48" s="753"/>
      <c r="R48" s="756"/>
      <c r="T48" s="756"/>
      <c r="U48" s="737">
        <f t="shared" si="8"/>
        <v>5000</v>
      </c>
      <c r="V48" s="757"/>
      <c r="X48" s="742">
        <f t="shared" si="7"/>
        <v>6647.87</v>
      </c>
    </row>
    <row r="49" spans="1:24" s="731" customFormat="1" ht="11.25" customHeight="1">
      <c r="A49" s="728">
        <f t="shared" si="1"/>
        <v>30</v>
      </c>
      <c r="B49" s="730" t="s">
        <v>12</v>
      </c>
      <c r="C49" s="734" t="s">
        <v>91</v>
      </c>
      <c r="D49" s="3259" t="str">
        <f>D48</f>
        <v>Kamakhya</v>
      </c>
      <c r="E49" s="3259"/>
      <c r="F49" s="755">
        <f>L126</f>
        <v>65168.049999999996</v>
      </c>
      <c r="G49" s="735">
        <f t="shared" si="13"/>
        <v>76898.299999999988</v>
      </c>
      <c r="H49" s="743">
        <f>H48</f>
        <v>5</v>
      </c>
      <c r="I49" s="737">
        <f>IF(H49 &gt; 50,'LEAD OF MATL.'!E16+45*'LEAD OF MATL.'!E17+(H49-50)*'LEAD OF MATL.'!E18,'LEAD OF MATL.'!E16+(H49-5)*'LEAD OF MATL.'!E17)</f>
        <v>247.87</v>
      </c>
      <c r="J49" s="737">
        <v>0</v>
      </c>
      <c r="K49" s="737">
        <f t="shared" si="4"/>
        <v>247.87</v>
      </c>
      <c r="L49" s="3260">
        <f t="shared" si="16"/>
        <v>77146.169999999984</v>
      </c>
      <c r="M49" s="3260"/>
      <c r="N49" s="738">
        <f t="shared" si="15"/>
        <v>11730.249999999993</v>
      </c>
      <c r="O49" s="738">
        <f>L49-J49</f>
        <v>77146.169999999984</v>
      </c>
      <c r="P49" s="738">
        <v>18</v>
      </c>
      <c r="R49" s="756"/>
      <c r="T49" s="756"/>
      <c r="U49" s="737">
        <f t="shared" si="8"/>
        <v>65168.049999999996</v>
      </c>
      <c r="V49" s="757"/>
      <c r="X49" s="742">
        <f t="shared" si="7"/>
        <v>77146.169999999984</v>
      </c>
    </row>
    <row r="50" spans="1:24" s="731" customFormat="1" ht="11.25" customHeight="1">
      <c r="A50" s="3251">
        <f t="shared" si="1"/>
        <v>31</v>
      </c>
      <c r="B50" s="758" t="str">
        <f>B154</f>
        <v>Vertified tile ( 600x 600)Printed</v>
      </c>
      <c r="C50" s="734" t="s">
        <v>92</v>
      </c>
      <c r="D50" s="3262" t="s">
        <v>69</v>
      </c>
      <c r="E50" s="3262"/>
      <c r="F50" s="759">
        <f>G154</f>
        <v>695.76</v>
      </c>
      <c r="G50" s="735">
        <f>F50+ROUND(F50*P50%,2)</f>
        <v>821</v>
      </c>
      <c r="H50" s="736">
        <v>5</v>
      </c>
      <c r="I50" s="737">
        <f>IF(H50 &gt; 50,'LEAD OF MATL.'!C16/180+45*'LEAD OF MATL.'!C17/180+(H50-50)*'LEAD OF MATL.'!C18/180,'LEAD OF MATL.'!C16/180+(H50-5)*'LEAD OF MATL.'!C17/180)</f>
        <v>9.6011111111111109</v>
      </c>
      <c r="J50" s="737">
        <v>0</v>
      </c>
      <c r="K50" s="737">
        <f t="shared" si="4"/>
        <v>9.6011111111111109</v>
      </c>
      <c r="L50" s="3260">
        <f t="shared" si="16"/>
        <v>830.60111111111109</v>
      </c>
      <c r="M50" s="3260"/>
      <c r="N50" s="738">
        <f t="shared" si="15"/>
        <v>125.24000000000001</v>
      </c>
      <c r="O50" s="738">
        <f t="shared" si="6"/>
        <v>830.60111111111109</v>
      </c>
      <c r="P50" s="738">
        <v>18</v>
      </c>
      <c r="Q50" s="714">
        <f>IF(H50 &gt; 50,2284/180+(H50-50)*26.5/180,799/180+(H50-5)*33/180)</f>
        <v>4.4388888888888891</v>
      </c>
      <c r="T50" s="760"/>
      <c r="U50" s="737">
        <f t="shared" si="8"/>
        <v>695.76</v>
      </c>
      <c r="X50" s="742">
        <f t="shared" si="7"/>
        <v>830.60111111111109</v>
      </c>
    </row>
    <row r="51" spans="1:24" s="731" customFormat="1" ht="11.25" customHeight="1">
      <c r="A51" s="3263"/>
      <c r="B51" s="758" t="str">
        <f>B157</f>
        <v>Vertified tile ( 600x 600)Plain</v>
      </c>
      <c r="C51" s="734" t="s">
        <v>92</v>
      </c>
      <c r="D51" s="3259" t="str">
        <f>D50</f>
        <v>Kamakhya</v>
      </c>
      <c r="E51" s="3259"/>
      <c r="F51" s="759">
        <f>G157</f>
        <v>651.08000000000004</v>
      </c>
      <c r="G51" s="735">
        <f t="shared" si="13"/>
        <v>768.27</v>
      </c>
      <c r="H51" s="743">
        <f>H50</f>
        <v>5</v>
      </c>
      <c r="I51" s="737">
        <f>IF(H51 &gt; 50,'LEAD OF MATL.'!C16/180+45*'LEAD OF MATL.'!C17/180+(H51-50)*'LEAD OF MATL.'!C18/180,'LEAD OF MATL.'!C16/180+(H51-5)*'LEAD OF MATL.'!C17/180)</f>
        <v>9.6011111111111109</v>
      </c>
      <c r="J51" s="737">
        <v>0</v>
      </c>
      <c r="K51" s="737">
        <f t="shared" si="4"/>
        <v>9.6011111111111109</v>
      </c>
      <c r="L51" s="3260">
        <f t="shared" si="16"/>
        <v>777.87111111111108</v>
      </c>
      <c r="M51" s="3260"/>
      <c r="N51" s="738">
        <f t="shared" si="15"/>
        <v>117.18999999999994</v>
      </c>
      <c r="O51" s="738">
        <f t="shared" si="6"/>
        <v>777.87111111111108</v>
      </c>
      <c r="P51" s="738">
        <v>18</v>
      </c>
      <c r="Q51" s="761"/>
      <c r="T51" s="762"/>
      <c r="U51" s="742">
        <f t="shared" si="8"/>
        <v>651.08000000000004</v>
      </c>
      <c r="X51" s="742">
        <f t="shared" si="7"/>
        <v>777.87111111111108</v>
      </c>
    </row>
    <row r="52" spans="1:24" s="731" customFormat="1" ht="11.25" customHeight="1">
      <c r="A52" s="3263"/>
      <c r="B52" s="758" t="str">
        <f>I154</f>
        <v>Vertified industrial tile (300 x300)</v>
      </c>
      <c r="C52" s="734" t="s">
        <v>92</v>
      </c>
      <c r="D52" s="3259" t="str">
        <f>D51</f>
        <v>Kamakhya</v>
      </c>
      <c r="E52" s="3259"/>
      <c r="F52" s="759">
        <f>M154</f>
        <v>578.35</v>
      </c>
      <c r="G52" s="735">
        <f t="shared" si="13"/>
        <v>682.45</v>
      </c>
      <c r="H52" s="743">
        <f>H51</f>
        <v>5</v>
      </c>
      <c r="I52" s="737">
        <f>IF(H52 &gt; 50,'LEAD OF MATL.'!C16/180+45*'LEAD OF MATL.'!C17/180+(H52-50)*'LEAD OF MATL.'!C18/180,'LEAD OF MATL.'!C16/180+(H52-5)*'LEAD OF MATL.'!C17/180)</f>
        <v>9.6011111111111109</v>
      </c>
      <c r="J52" s="737">
        <v>0</v>
      </c>
      <c r="K52" s="737">
        <f t="shared" si="4"/>
        <v>9.6011111111111109</v>
      </c>
      <c r="L52" s="3260">
        <f t="shared" si="16"/>
        <v>692.05111111111114</v>
      </c>
      <c r="M52" s="3260"/>
      <c r="N52" s="738">
        <f t="shared" si="15"/>
        <v>104.10000000000002</v>
      </c>
      <c r="O52" s="738">
        <f t="shared" si="6"/>
        <v>692.05111111111114</v>
      </c>
      <c r="P52" s="738">
        <v>18</v>
      </c>
      <c r="Q52" s="761"/>
      <c r="T52" s="762"/>
      <c r="U52" s="742">
        <f t="shared" si="8"/>
        <v>578.35</v>
      </c>
      <c r="X52" s="742">
        <f t="shared" si="7"/>
        <v>692.05111111111114</v>
      </c>
    </row>
    <row r="53" spans="1:24" s="731" customFormat="1" ht="11.25" customHeight="1">
      <c r="A53" s="3263"/>
      <c r="B53" s="758" t="str">
        <f>I150</f>
        <v>Chequred tile</v>
      </c>
      <c r="C53" s="734" t="s">
        <v>92</v>
      </c>
      <c r="D53" s="3259" t="str">
        <f>D52</f>
        <v>Kamakhya</v>
      </c>
      <c r="E53" s="3259"/>
      <c r="F53" s="759">
        <f>M150</f>
        <v>254.75</v>
      </c>
      <c r="G53" s="735">
        <f t="shared" si="13"/>
        <v>326.08</v>
      </c>
      <c r="H53" s="743">
        <f>H50</f>
        <v>5</v>
      </c>
      <c r="I53" s="737">
        <f>IF(H53 &gt; 50,'LEAD OF MATL.'!C16/180+45*'LEAD OF MATL.'!C17/180+(H53-50)*'LEAD OF MATL.'!C18/180,'LEAD OF MATL.'!C16/180+(H53-5)*'LEAD OF MATL.'!C17/180)</f>
        <v>9.6011111111111109</v>
      </c>
      <c r="J53" s="737">
        <v>0</v>
      </c>
      <c r="K53" s="737">
        <f t="shared" si="4"/>
        <v>9.6011111111111109</v>
      </c>
      <c r="L53" s="3260">
        <f t="shared" si="16"/>
        <v>335.68111111111108</v>
      </c>
      <c r="M53" s="3260"/>
      <c r="N53" s="738">
        <f t="shared" si="15"/>
        <v>71.329999999999984</v>
      </c>
      <c r="O53" s="738">
        <f t="shared" si="6"/>
        <v>335.68111111111108</v>
      </c>
      <c r="P53" s="738">
        <v>28</v>
      </c>
      <c r="Q53" s="761"/>
      <c r="T53" s="762"/>
      <c r="U53" s="742">
        <f t="shared" si="8"/>
        <v>254.75</v>
      </c>
      <c r="X53" s="742">
        <f t="shared" si="7"/>
        <v>335.68111111111108</v>
      </c>
    </row>
    <row r="54" spans="1:24" s="731" customFormat="1" ht="11.25" customHeight="1">
      <c r="A54" s="3263"/>
      <c r="B54" s="758" t="str">
        <f>B153</f>
        <v>Ceramic floor tile</v>
      </c>
      <c r="C54" s="734" t="s">
        <v>92</v>
      </c>
      <c r="D54" s="3259" t="str">
        <f t="shared" ref="D54:D63" si="17">D53</f>
        <v>Kamakhya</v>
      </c>
      <c r="E54" s="3259"/>
      <c r="F54" s="759">
        <f>G153</f>
        <v>440</v>
      </c>
      <c r="G54" s="735">
        <f t="shared" si="13"/>
        <v>519.20000000000005</v>
      </c>
      <c r="H54" s="743">
        <f>H53</f>
        <v>5</v>
      </c>
      <c r="I54" s="737">
        <f>IF(H54 &gt; 50,'LEAD OF MATL.'!C16/180+45*'LEAD OF MATL.'!C17/180+(H54-50)*'LEAD OF MATL.'!C18/180,'LEAD OF MATL.'!C16/180+(H54-5)*'LEAD OF MATL.'!C17/180)</f>
        <v>9.6011111111111109</v>
      </c>
      <c r="J54" s="737">
        <v>0</v>
      </c>
      <c r="K54" s="737">
        <f t="shared" si="4"/>
        <v>9.6011111111111109</v>
      </c>
      <c r="L54" s="3260">
        <f t="shared" si="16"/>
        <v>528.80111111111114</v>
      </c>
      <c r="M54" s="3260"/>
      <c r="N54" s="738">
        <f t="shared" si="15"/>
        <v>79.200000000000045</v>
      </c>
      <c r="O54" s="738">
        <f t="shared" si="6"/>
        <v>528.80111111111114</v>
      </c>
      <c r="P54" s="738">
        <v>18</v>
      </c>
      <c r="Q54" s="761"/>
      <c r="T54" s="762"/>
      <c r="U54" s="742">
        <f t="shared" si="8"/>
        <v>440</v>
      </c>
      <c r="X54" s="742">
        <f t="shared" si="7"/>
        <v>528.80111111111114</v>
      </c>
    </row>
    <row r="55" spans="1:24" s="731" customFormat="1" ht="11.25" customHeight="1">
      <c r="A55" s="3263"/>
      <c r="B55" s="758" t="str">
        <f>I153</f>
        <v>Ceramic Wall tile</v>
      </c>
      <c r="C55" s="734" t="s">
        <v>92</v>
      </c>
      <c r="D55" s="3259" t="str">
        <f t="shared" si="17"/>
        <v>Kamakhya</v>
      </c>
      <c r="E55" s="3259"/>
      <c r="F55" s="759">
        <f>M153</f>
        <v>405.2</v>
      </c>
      <c r="G55" s="735">
        <f t="shared" si="13"/>
        <v>478.14</v>
      </c>
      <c r="H55" s="743">
        <f>H53</f>
        <v>5</v>
      </c>
      <c r="I55" s="737">
        <f>IF(H55 &gt; 50,'LEAD OF MATL.'!C16/180+45*'LEAD OF MATL.'!C17/180+(H55-50)*'LEAD OF MATL.'!C18/180,'LEAD OF MATL.'!C16/180+(H55-5)*'LEAD OF MATL.'!C17/180)</f>
        <v>9.6011111111111109</v>
      </c>
      <c r="J55" s="737">
        <v>0</v>
      </c>
      <c r="K55" s="737">
        <f t="shared" si="4"/>
        <v>9.6011111111111109</v>
      </c>
      <c r="L55" s="3260">
        <f t="shared" si="16"/>
        <v>487.74111111111108</v>
      </c>
      <c r="M55" s="3260"/>
      <c r="N55" s="738">
        <f t="shared" si="15"/>
        <v>72.94</v>
      </c>
      <c r="O55" s="738">
        <f t="shared" si="6"/>
        <v>487.74111111111108</v>
      </c>
      <c r="P55" s="738">
        <v>18</v>
      </c>
      <c r="Q55" s="761"/>
      <c r="T55" s="762"/>
      <c r="U55" s="742">
        <f t="shared" si="8"/>
        <v>405.2</v>
      </c>
      <c r="X55" s="742">
        <f t="shared" si="7"/>
        <v>487.74111111111108</v>
      </c>
    </row>
    <row r="56" spans="1:24" s="731" customFormat="1" ht="11.25" customHeight="1">
      <c r="A56" s="3263"/>
      <c r="B56" s="758" t="str">
        <f>I151</f>
        <v>Kota tile (size above 0.10sqm)</v>
      </c>
      <c r="C56" s="734" t="s">
        <v>92</v>
      </c>
      <c r="D56" s="3259" t="str">
        <f t="shared" si="17"/>
        <v>Kamakhya</v>
      </c>
      <c r="E56" s="3259"/>
      <c r="F56" s="759">
        <f>M151</f>
        <v>500.2</v>
      </c>
      <c r="G56" s="735">
        <f t="shared" si="13"/>
        <v>640.26</v>
      </c>
      <c r="H56" s="743">
        <f>H55</f>
        <v>5</v>
      </c>
      <c r="I56" s="737">
        <f>IF(H56 &gt; 50,'LEAD OF MATL.'!C16/180+45*'LEAD OF MATL.'!C17/180+(H56-50)*'LEAD OF MATL.'!C18/180,'LEAD OF MATL.'!C16/180+(H56-5)*'LEAD OF MATL.'!C17/180)</f>
        <v>9.6011111111111109</v>
      </c>
      <c r="J56" s="737">
        <v>0</v>
      </c>
      <c r="K56" s="737">
        <f t="shared" si="4"/>
        <v>9.6011111111111109</v>
      </c>
      <c r="L56" s="3260">
        <f t="shared" si="16"/>
        <v>649.86111111111109</v>
      </c>
      <c r="M56" s="3260"/>
      <c r="N56" s="738">
        <f t="shared" si="15"/>
        <v>140.06</v>
      </c>
      <c r="O56" s="738">
        <f t="shared" si="6"/>
        <v>649.86111111111109</v>
      </c>
      <c r="P56" s="738">
        <v>28</v>
      </c>
      <c r="Q56" s="761"/>
      <c r="T56" s="762"/>
      <c r="U56" s="742">
        <f t="shared" si="8"/>
        <v>500.2</v>
      </c>
      <c r="X56" s="742">
        <f t="shared" si="7"/>
        <v>649.86111111111109</v>
      </c>
    </row>
    <row r="57" spans="1:24" s="731" customFormat="1" ht="11.25" customHeight="1">
      <c r="A57" s="3263"/>
      <c r="B57" s="758" t="str">
        <f>I152</f>
        <v>Marble tle (0.4Sqm -1Sqm)</v>
      </c>
      <c r="C57" s="734" t="s">
        <v>92</v>
      </c>
      <c r="D57" s="3259" t="str">
        <f t="shared" si="17"/>
        <v>Kamakhya</v>
      </c>
      <c r="E57" s="3259"/>
      <c r="F57" s="759">
        <f>M152</f>
        <v>766.45</v>
      </c>
      <c r="G57" s="735">
        <f t="shared" si="13"/>
        <v>981.06000000000006</v>
      </c>
      <c r="H57" s="743">
        <f>H56</f>
        <v>5</v>
      </c>
      <c r="I57" s="737">
        <f>IF(H57 &gt; 50,'LEAD OF MATL.'!C16/180+45*'LEAD OF MATL.'!C17/180+(H57-50)*'LEAD OF MATL.'!C18/180,'LEAD OF MATL.'!C16/180+(H57-5)*'LEAD OF MATL.'!C17/180)</f>
        <v>9.6011111111111109</v>
      </c>
      <c r="J57" s="737">
        <v>0</v>
      </c>
      <c r="K57" s="737">
        <f t="shared" si="4"/>
        <v>9.6011111111111109</v>
      </c>
      <c r="L57" s="3260">
        <f t="shared" si="16"/>
        <v>990.66111111111115</v>
      </c>
      <c r="M57" s="3260"/>
      <c r="N57" s="738">
        <f t="shared" si="15"/>
        <v>214.61</v>
      </c>
      <c r="O57" s="738">
        <f t="shared" si="6"/>
        <v>990.66111111111115</v>
      </c>
      <c r="P57" s="738">
        <v>28</v>
      </c>
      <c r="Q57" s="761"/>
      <c r="T57" s="762"/>
      <c r="U57" s="742">
        <f t="shared" si="8"/>
        <v>766.45</v>
      </c>
      <c r="X57" s="742">
        <f t="shared" si="7"/>
        <v>990.66111111111115</v>
      </c>
    </row>
    <row r="58" spans="1:24" s="731" customFormat="1" ht="11.25" customHeight="1">
      <c r="A58" s="3263"/>
      <c r="B58" s="758" t="str">
        <f>B155</f>
        <v>Granite Tile upto 0.10 Sqm</v>
      </c>
      <c r="C58" s="734" t="s">
        <v>92</v>
      </c>
      <c r="D58" s="3259" t="str">
        <f t="shared" si="17"/>
        <v>Kamakhya</v>
      </c>
      <c r="E58" s="3259"/>
      <c r="F58" s="759">
        <f>G155</f>
        <v>1181.8499999999999</v>
      </c>
      <c r="G58" s="735">
        <f t="shared" si="13"/>
        <v>1512.77</v>
      </c>
      <c r="H58" s="743">
        <f t="shared" ref="H58:H63" si="18">H56</f>
        <v>5</v>
      </c>
      <c r="I58" s="737">
        <f>IF(H58 &gt; 50,'LEAD OF MATL.'!C16/180+45*'LEAD OF MATL.'!C17/180+(H58-50)*'LEAD OF MATL.'!C18/180,'LEAD OF MATL.'!C16/180+(H58-5)*'LEAD OF MATL.'!C17/180)</f>
        <v>9.6011111111111109</v>
      </c>
      <c r="J58" s="737">
        <v>0</v>
      </c>
      <c r="K58" s="737">
        <f>I58+J58</f>
        <v>9.6011111111111109</v>
      </c>
      <c r="L58" s="3260">
        <f>G58+K58</f>
        <v>1522.3711111111111</v>
      </c>
      <c r="M58" s="3260"/>
      <c r="N58" s="738">
        <f t="shared" si="15"/>
        <v>330.92000000000007</v>
      </c>
      <c r="O58" s="738">
        <f t="shared" si="6"/>
        <v>1522.3711111111111</v>
      </c>
      <c r="P58" s="738">
        <v>28</v>
      </c>
      <c r="Q58" s="761"/>
      <c r="T58" s="762"/>
      <c r="U58" s="742">
        <f t="shared" si="8"/>
        <v>1181.8499999999999</v>
      </c>
      <c r="X58" s="742">
        <f t="shared" si="7"/>
        <v>1522.3711111111111</v>
      </c>
    </row>
    <row r="59" spans="1:24" s="731" customFormat="1" ht="11.25" customHeight="1">
      <c r="A59" s="3263"/>
      <c r="B59" s="758" t="str">
        <f>B158</f>
        <v>Nuria Tile (20cmx25cm)</v>
      </c>
      <c r="C59" s="734" t="s">
        <v>93</v>
      </c>
      <c r="D59" s="3259" t="str">
        <f t="shared" si="17"/>
        <v>Kamakhya</v>
      </c>
      <c r="E59" s="3259"/>
      <c r="F59" s="759">
        <f>G158</f>
        <v>719.25</v>
      </c>
      <c r="G59" s="735">
        <f t="shared" si="13"/>
        <v>755.21</v>
      </c>
      <c r="H59" s="743">
        <f t="shared" si="18"/>
        <v>5</v>
      </c>
      <c r="I59" s="737"/>
      <c r="J59" s="737">
        <v>0</v>
      </c>
      <c r="K59" s="737">
        <f t="shared" si="4"/>
        <v>0</v>
      </c>
      <c r="L59" s="3260">
        <f>G59+K59</f>
        <v>755.21</v>
      </c>
      <c r="M59" s="3260"/>
      <c r="N59" s="738">
        <f t="shared" si="15"/>
        <v>35.960000000000036</v>
      </c>
      <c r="O59" s="738">
        <f t="shared" si="6"/>
        <v>755.21</v>
      </c>
      <c r="P59" s="738">
        <v>5</v>
      </c>
      <c r="Q59" s="761"/>
      <c r="T59" s="762"/>
      <c r="U59" s="742">
        <f t="shared" si="8"/>
        <v>719.25</v>
      </c>
      <c r="X59" s="742"/>
    </row>
    <row r="60" spans="1:24" s="731" customFormat="1" ht="11.25" customHeight="1">
      <c r="A60" s="3263"/>
      <c r="B60" s="758" t="str">
        <f>B160</f>
        <v>Ridge Tiles</v>
      </c>
      <c r="C60" s="734" t="s">
        <v>93</v>
      </c>
      <c r="D60" s="3259" t="str">
        <f t="shared" si="17"/>
        <v>Kamakhya</v>
      </c>
      <c r="E60" s="3259"/>
      <c r="F60" s="759">
        <f>G160</f>
        <v>1034.5899999999999</v>
      </c>
      <c r="G60" s="735">
        <f t="shared" si="13"/>
        <v>1086.32</v>
      </c>
      <c r="H60" s="743">
        <f t="shared" si="18"/>
        <v>5</v>
      </c>
      <c r="I60" s="737"/>
      <c r="J60" s="737">
        <v>0</v>
      </c>
      <c r="K60" s="737">
        <f t="shared" si="4"/>
        <v>0</v>
      </c>
      <c r="L60" s="3260">
        <f t="shared" ref="L60" si="19">G60+K60</f>
        <v>1086.32</v>
      </c>
      <c r="M60" s="3260"/>
      <c r="N60" s="738">
        <f t="shared" si="15"/>
        <v>51.730000000000018</v>
      </c>
      <c r="O60" s="738">
        <f t="shared" si="6"/>
        <v>1086.32</v>
      </c>
      <c r="P60" s="738">
        <v>5</v>
      </c>
      <c r="Q60" s="761"/>
      <c r="T60" s="762"/>
      <c r="U60" s="742">
        <f t="shared" si="8"/>
        <v>1034.5899999999999</v>
      </c>
      <c r="X60" s="742"/>
    </row>
    <row r="61" spans="1:24" s="731" customFormat="1" ht="11.25" customHeight="1">
      <c r="A61" s="3263"/>
      <c r="B61" s="758" t="str">
        <f>I158</f>
        <v>Kodapa tiles(0.1Sqm-0.4Sqm)</v>
      </c>
      <c r="C61" s="734" t="s">
        <v>92</v>
      </c>
      <c r="D61" s="3259" t="str">
        <f t="shared" si="17"/>
        <v>Kamakhya</v>
      </c>
      <c r="E61" s="3259"/>
      <c r="F61" s="759">
        <f>M158</f>
        <v>310.43</v>
      </c>
      <c r="G61" s="735">
        <f t="shared" si="13"/>
        <v>397.35</v>
      </c>
      <c r="H61" s="743">
        <f t="shared" si="18"/>
        <v>5</v>
      </c>
      <c r="I61" s="737">
        <f>IF(H61 &gt; 50,'LEAD OF MATL.'!C16/180+45*'LEAD OF MATL.'!C17/180+(H61-50)*'LEAD OF MATL.'!C18/180,'LEAD OF MATL.'!C16/180+(H61-5)*'LEAD OF MATL.'!C17/180)</f>
        <v>9.6011111111111109</v>
      </c>
      <c r="J61" s="737">
        <v>0</v>
      </c>
      <c r="K61" s="737">
        <f t="shared" ref="K61:K103" si="20">I61+J61</f>
        <v>9.6011111111111109</v>
      </c>
      <c r="L61" s="3260">
        <f>G61+K61</f>
        <v>406.95111111111112</v>
      </c>
      <c r="M61" s="3260"/>
      <c r="N61" s="738">
        <f t="shared" si="15"/>
        <v>86.920000000000016</v>
      </c>
      <c r="O61" s="738">
        <f t="shared" si="6"/>
        <v>406.95111111111112</v>
      </c>
      <c r="P61" s="738">
        <v>28</v>
      </c>
      <c r="Q61" s="761"/>
      <c r="T61" s="762"/>
      <c r="U61" s="742">
        <f t="shared" si="8"/>
        <v>310.43</v>
      </c>
      <c r="X61" s="742"/>
    </row>
    <row r="62" spans="1:24" s="731" customFormat="1" ht="11.25" customHeight="1">
      <c r="A62" s="3263"/>
      <c r="B62" s="758" t="str">
        <f>I160</f>
        <v>Terazoo Tiles (with White cement)</v>
      </c>
      <c r="C62" s="734" t="s">
        <v>92</v>
      </c>
      <c r="D62" s="3259" t="str">
        <f t="shared" si="17"/>
        <v>Kamakhya</v>
      </c>
      <c r="E62" s="3259"/>
      <c r="F62" s="759">
        <f>M160</f>
        <v>308.95999999999998</v>
      </c>
      <c r="G62" s="735">
        <f t="shared" si="13"/>
        <v>395.46999999999997</v>
      </c>
      <c r="H62" s="743">
        <f t="shared" si="18"/>
        <v>5</v>
      </c>
      <c r="I62" s="737">
        <f>IF(H62 &gt; 50,'LEAD OF MATL.'!C16/180+45*'LEAD OF MATL.'!C17/180+(H62-50)*'LEAD OF MATL.'!C18/180,'LEAD OF MATL.'!C16/180+(H62-5)*'LEAD OF MATL.'!C17/180)</f>
        <v>9.6011111111111109</v>
      </c>
      <c r="J62" s="737">
        <v>0</v>
      </c>
      <c r="K62" s="737">
        <f t="shared" si="20"/>
        <v>9.6011111111111109</v>
      </c>
      <c r="L62" s="3260">
        <f t="shared" ref="L62:L103" si="21">G62+K62</f>
        <v>405.07111111111107</v>
      </c>
      <c r="M62" s="3260"/>
      <c r="N62" s="738">
        <f t="shared" si="15"/>
        <v>86.509999999999991</v>
      </c>
      <c r="O62" s="738">
        <f t="shared" si="6"/>
        <v>405.07111111111107</v>
      </c>
      <c r="P62" s="738">
        <v>28</v>
      </c>
      <c r="Q62" s="761"/>
      <c r="T62" s="762"/>
      <c r="U62" s="742">
        <f t="shared" si="8"/>
        <v>308.95999999999998</v>
      </c>
      <c r="X62" s="742"/>
    </row>
    <row r="63" spans="1:24" s="731" customFormat="1" ht="11.25" customHeight="1">
      <c r="A63" s="3252"/>
      <c r="B63" s="758" t="s">
        <v>2065</v>
      </c>
      <c r="C63" s="734" t="s">
        <v>92</v>
      </c>
      <c r="D63" s="3259" t="str">
        <f t="shared" si="17"/>
        <v>Kamakhya</v>
      </c>
      <c r="E63" s="3259"/>
      <c r="F63" s="759">
        <f>M153</f>
        <v>405.2</v>
      </c>
      <c r="G63" s="735">
        <f t="shared" si="13"/>
        <v>518.66</v>
      </c>
      <c r="H63" s="743">
        <f t="shared" si="18"/>
        <v>5</v>
      </c>
      <c r="I63" s="737">
        <f>IF(H63 &gt; 50,'LEAD OF MATL.'!C16/180+45*'LEAD OF MATL.'!C17/180+(H63-50)*'LEAD OF MATL.'!C18/180,'LEAD OF MATL.'!C16/180+(H63-5)*'LEAD OF MATL.'!C17/180)</f>
        <v>9.6011111111111109</v>
      </c>
      <c r="J63" s="737">
        <v>0</v>
      </c>
      <c r="K63" s="737">
        <f t="shared" si="20"/>
        <v>9.6011111111111109</v>
      </c>
      <c r="L63" s="3260">
        <f t="shared" si="21"/>
        <v>528.26111111111106</v>
      </c>
      <c r="M63" s="3260"/>
      <c r="N63" s="738">
        <f t="shared" si="15"/>
        <v>113.45999999999998</v>
      </c>
      <c r="O63" s="738">
        <f t="shared" si="6"/>
        <v>528.26111111111106</v>
      </c>
      <c r="P63" s="738">
        <f>P62</f>
        <v>28</v>
      </c>
      <c r="Q63" s="761"/>
      <c r="T63" s="762"/>
      <c r="U63" s="742">
        <f t="shared" si="8"/>
        <v>405.2</v>
      </c>
      <c r="X63" s="742">
        <f t="shared" si="7"/>
        <v>528.26111111111106</v>
      </c>
    </row>
    <row r="64" spans="1:24" s="731" customFormat="1" ht="11.25" customHeight="1">
      <c r="A64" s="3251">
        <f>A50+1</f>
        <v>32</v>
      </c>
      <c r="B64" s="730" t="s">
        <v>854</v>
      </c>
      <c r="C64" s="734" t="s">
        <v>49</v>
      </c>
      <c r="D64" s="3262" t="s">
        <v>69</v>
      </c>
      <c r="E64" s="3262"/>
      <c r="F64" s="759">
        <f>G145</f>
        <v>58374.79</v>
      </c>
      <c r="G64" s="735">
        <f t="shared" si="13"/>
        <v>65379.76</v>
      </c>
      <c r="H64" s="736">
        <v>5</v>
      </c>
      <c r="I64" s="737">
        <f>IF(H64 &gt; 50,'LEAD OF MATL.'!E16/1.25+45*'LEAD OF MATL.'!E17/1.25+(H64-50)*'LEAD OF MATL.'!E18/1.25,'LEAD OF MATL.'!E16/1.25+(H64-5)*'LEAD OF MATL.'!E17/1.25)</f>
        <v>198.29599999999999</v>
      </c>
      <c r="J64" s="737">
        <v>0</v>
      </c>
      <c r="K64" s="737">
        <f t="shared" si="20"/>
        <v>198.29599999999999</v>
      </c>
      <c r="L64" s="3260">
        <f t="shared" si="21"/>
        <v>65578.055999999997</v>
      </c>
      <c r="M64" s="3260"/>
      <c r="N64" s="738">
        <f t="shared" si="15"/>
        <v>7004.9700000000012</v>
      </c>
      <c r="O64" s="738">
        <f>L64-J64</f>
        <v>65578.055999999997</v>
      </c>
      <c r="P64" s="738">
        <v>12</v>
      </c>
      <c r="Q64" s="714">
        <f>IF(H64 &gt; 50,2284/180+(H64-50)*26.5/180,799/180+(H64-5)*33/180)</f>
        <v>4.4388888888888891</v>
      </c>
      <c r="T64" s="762"/>
      <c r="U64" s="742">
        <f t="shared" si="8"/>
        <v>58374.79</v>
      </c>
      <c r="X64" s="742">
        <f>G64+I64</f>
        <v>65578.055999999997</v>
      </c>
    </row>
    <row r="65" spans="1:24" s="731" customFormat="1" ht="11.25" customHeight="1">
      <c r="A65" s="3263"/>
      <c r="B65" s="730" t="s">
        <v>866</v>
      </c>
      <c r="C65" s="734" t="s">
        <v>49</v>
      </c>
      <c r="D65" s="3259" t="str">
        <f>D64</f>
        <v>Kamakhya</v>
      </c>
      <c r="E65" s="3259"/>
      <c r="F65" s="759">
        <f>F64</f>
        <v>58374.79</v>
      </c>
      <c r="G65" s="735">
        <f t="shared" si="13"/>
        <v>65379.76</v>
      </c>
      <c r="H65" s="743">
        <f>H64</f>
        <v>5</v>
      </c>
      <c r="I65" s="737">
        <f>IF(H65 &gt; 50,'LEAD OF MATL.'!E16/1.25+45*'LEAD OF MATL.'!E17/1.25+(H65-50)*'LEAD OF MATL.'!E18/1.25,'LEAD OF MATL.'!E16/1.25+(H65-5)*'LEAD OF MATL.'!E17/1.25)</f>
        <v>198.29599999999999</v>
      </c>
      <c r="J65" s="737">
        <v>0</v>
      </c>
      <c r="K65" s="737">
        <f t="shared" si="20"/>
        <v>198.29599999999999</v>
      </c>
      <c r="L65" s="3260">
        <f t="shared" si="21"/>
        <v>65578.055999999997</v>
      </c>
      <c r="M65" s="3260"/>
      <c r="N65" s="738">
        <f t="shared" si="15"/>
        <v>7004.9700000000012</v>
      </c>
      <c r="O65" s="738">
        <f t="shared" si="6"/>
        <v>65578.055999999997</v>
      </c>
      <c r="P65" s="738">
        <v>12</v>
      </c>
      <c r="Q65" s="761"/>
      <c r="T65" s="762"/>
      <c r="U65" s="742">
        <f t="shared" si="8"/>
        <v>58374.79</v>
      </c>
      <c r="X65" s="742">
        <f>G65+I65</f>
        <v>65578.055999999997</v>
      </c>
    </row>
    <row r="66" spans="1:24" s="731" customFormat="1" ht="11.25" customHeight="1">
      <c r="A66" s="3252"/>
      <c r="B66" s="730" t="s">
        <v>855</v>
      </c>
      <c r="C66" s="734" t="s">
        <v>49</v>
      </c>
      <c r="D66" s="3259" t="str">
        <f>D65</f>
        <v>Kamakhya</v>
      </c>
      <c r="E66" s="3259"/>
      <c r="F66" s="759">
        <v>0</v>
      </c>
      <c r="G66" s="735">
        <f t="shared" si="13"/>
        <v>0</v>
      </c>
      <c r="H66" s="743">
        <f>H65</f>
        <v>5</v>
      </c>
      <c r="I66" s="737">
        <f>IF(H66 &gt; 50,'LEAD OF MATL.'!E16/1.25+45*'LEAD OF MATL.'!E17/1.25+(H66-50)*'LEAD OF MATL.'!E18/1.25,'LEAD OF MATL.'!E16/1.25+(H66-5)*'LEAD OF MATL.'!E17/1.25)</f>
        <v>198.29599999999999</v>
      </c>
      <c r="J66" s="737">
        <v>0</v>
      </c>
      <c r="K66" s="737">
        <f t="shared" si="20"/>
        <v>198.29599999999999</v>
      </c>
      <c r="L66" s="3260">
        <f t="shared" si="21"/>
        <v>198.29599999999999</v>
      </c>
      <c r="M66" s="3260"/>
      <c r="N66" s="738">
        <f t="shared" si="15"/>
        <v>0</v>
      </c>
      <c r="O66" s="738">
        <f t="shared" si="6"/>
        <v>198.29599999999999</v>
      </c>
      <c r="P66" s="738"/>
      <c r="Q66" s="761"/>
      <c r="T66" s="762"/>
      <c r="U66" s="742">
        <f t="shared" si="8"/>
        <v>0</v>
      </c>
      <c r="X66" s="742">
        <f>G66+I66</f>
        <v>198.29599999999999</v>
      </c>
    </row>
    <row r="67" spans="1:24" s="731" customFormat="1" ht="11.25" customHeight="1">
      <c r="A67" s="728">
        <f>A64+1</f>
        <v>33</v>
      </c>
      <c r="B67" s="730" t="s">
        <v>94</v>
      </c>
      <c r="C67" s="734" t="s">
        <v>95</v>
      </c>
      <c r="D67" s="3259" t="str">
        <f>D50</f>
        <v>Kamakhya</v>
      </c>
      <c r="E67" s="3259"/>
      <c r="F67" s="756">
        <f>G144</f>
        <v>90.1</v>
      </c>
      <c r="G67" s="735">
        <f t="shared" si="13"/>
        <v>106.32</v>
      </c>
      <c r="H67" s="743">
        <f>H50</f>
        <v>5</v>
      </c>
      <c r="I67" s="737">
        <f>IF(H67 &gt; 50,'LEAD OF MATL.'!E16/1000+45*'LEAD OF MATL.'!E17/1000+(H67-50)*'LEAD OF MATL.'!E18/1000,'LEAD OF MATL.'!E16/1000+(H67-5)*'LEAD OF MATL.'!E17/1000)</f>
        <v>0.24787000000000001</v>
      </c>
      <c r="J67" s="737">
        <v>0</v>
      </c>
      <c r="K67" s="737">
        <f t="shared" si="20"/>
        <v>0.24787000000000001</v>
      </c>
      <c r="L67" s="3260">
        <f t="shared" si="21"/>
        <v>106.56787</v>
      </c>
      <c r="M67" s="3260"/>
      <c r="N67" s="738">
        <f t="shared" si="15"/>
        <v>16.22</v>
      </c>
      <c r="O67" s="738">
        <f t="shared" si="6"/>
        <v>106.56787</v>
      </c>
      <c r="P67" s="738">
        <v>18</v>
      </c>
      <c r="Q67" s="761"/>
      <c r="T67" s="762"/>
      <c r="U67" s="742">
        <f t="shared" si="8"/>
        <v>90.1</v>
      </c>
      <c r="X67" s="742">
        <f t="shared" si="7"/>
        <v>106.56787</v>
      </c>
    </row>
    <row r="68" spans="1:24" s="731" customFormat="1" ht="11.25" customHeight="1">
      <c r="A68" s="728">
        <f t="shared" si="1"/>
        <v>34</v>
      </c>
      <c r="B68" s="730" t="s">
        <v>96</v>
      </c>
      <c r="C68" s="734" t="s">
        <v>97</v>
      </c>
      <c r="D68" s="3259" t="str">
        <f t="shared" ref="D68:D74" si="22">D67</f>
        <v>Kamakhya</v>
      </c>
      <c r="E68" s="3259"/>
      <c r="F68" s="756">
        <f>M144</f>
        <v>30.81</v>
      </c>
      <c r="G68" s="735">
        <f t="shared" si="13"/>
        <v>34.51</v>
      </c>
      <c r="H68" s="743">
        <f>H67</f>
        <v>5</v>
      </c>
      <c r="I68" s="737">
        <f>IF(H68 &gt; 50,'LEAD OF MATL.'!E16/1.25*0.005+45*'LEAD OF MATL.'!E17/1.25*0.005+(H68-50)*'LEAD OF MATL.'!E18/1.25*0.005,'LEAD OF MATL.'!E16/1.25*0.005+(H68-5)*'LEAD OF MATL.'!E17/1.25*0.005)</f>
        <v>0.99148000000000003</v>
      </c>
      <c r="J68" s="737">
        <v>0</v>
      </c>
      <c r="K68" s="737">
        <f t="shared" si="20"/>
        <v>0.99148000000000003</v>
      </c>
      <c r="L68" s="3260">
        <f t="shared" si="21"/>
        <v>35.501480000000001</v>
      </c>
      <c r="M68" s="3260"/>
      <c r="N68" s="738">
        <f t="shared" si="15"/>
        <v>3.6999999999999993</v>
      </c>
      <c r="O68" s="738">
        <f t="shared" si="6"/>
        <v>35.501480000000001</v>
      </c>
      <c r="P68" s="738">
        <v>12</v>
      </c>
      <c r="Q68" s="761"/>
      <c r="R68" s="763" t="s">
        <v>98</v>
      </c>
      <c r="T68" s="762"/>
      <c r="U68" s="742">
        <f t="shared" si="8"/>
        <v>30.81</v>
      </c>
      <c r="X68" s="742">
        <f t="shared" si="7"/>
        <v>35.501480000000001</v>
      </c>
    </row>
    <row r="69" spans="1:24" s="731" customFormat="1" ht="11.25" customHeight="1">
      <c r="A69" s="728">
        <f t="shared" si="1"/>
        <v>35</v>
      </c>
      <c r="B69" s="730" t="s">
        <v>99</v>
      </c>
      <c r="C69" s="734" t="s">
        <v>97</v>
      </c>
      <c r="D69" s="3259" t="str">
        <f t="shared" si="22"/>
        <v>Kamakhya</v>
      </c>
      <c r="E69" s="3259"/>
      <c r="F69" s="756">
        <f>M145</f>
        <v>41.81</v>
      </c>
      <c r="G69" s="735">
        <f t="shared" si="13"/>
        <v>46.83</v>
      </c>
      <c r="H69" s="743">
        <f t="shared" ref="H69:H76" si="23">H68</f>
        <v>5</v>
      </c>
      <c r="I69" s="737">
        <f>IF(H69 &gt; 50,'LEAD OF MATL.'!E16/1.25*0.0113+45*'LEAD OF MATL.'!E17/1.25*0.0113+(H69-50)*'LEAD OF MATL.'!E18/1.25*0.0113,'LEAD OF MATL.'!E16/1.25*0.0113+(H69-5)*'LEAD OF MATL.'!E17/1.25*0.0113)</f>
        <v>2.2407447999999999</v>
      </c>
      <c r="J69" s="737">
        <v>0</v>
      </c>
      <c r="K69" s="737">
        <f t="shared" si="20"/>
        <v>2.2407447999999999</v>
      </c>
      <c r="L69" s="3260">
        <f t="shared" si="21"/>
        <v>49.0707448</v>
      </c>
      <c r="M69" s="3260"/>
      <c r="N69" s="738">
        <f t="shared" si="15"/>
        <v>5.019999999999996</v>
      </c>
      <c r="O69" s="738">
        <f t="shared" si="6"/>
        <v>49.0707448</v>
      </c>
      <c r="P69" s="738">
        <v>12</v>
      </c>
      <c r="Q69" s="761"/>
      <c r="T69" s="762"/>
      <c r="U69" s="742">
        <f t="shared" si="8"/>
        <v>41.81</v>
      </c>
      <c r="X69" s="742">
        <f t="shared" si="7"/>
        <v>49.0707448</v>
      </c>
    </row>
    <row r="70" spans="1:24" s="731" customFormat="1" ht="11.25" customHeight="1">
      <c r="A70" s="728">
        <f t="shared" si="1"/>
        <v>36</v>
      </c>
      <c r="B70" s="730" t="s">
        <v>100</v>
      </c>
      <c r="C70" s="734" t="s">
        <v>97</v>
      </c>
      <c r="D70" s="3259" t="str">
        <f t="shared" si="22"/>
        <v>Kamakhya</v>
      </c>
      <c r="E70" s="3259"/>
      <c r="F70" s="756">
        <f>M143</f>
        <v>51.87</v>
      </c>
      <c r="G70" s="735">
        <f t="shared" si="13"/>
        <v>58.089999999999996</v>
      </c>
      <c r="H70" s="743">
        <f t="shared" si="23"/>
        <v>5</v>
      </c>
      <c r="I70" s="737">
        <f>IF(H70 &gt; 50,'LEAD OF MATL.'!E16/1.25*0.005+45*'LEAD OF MATL.'!E17/1.25*0.005+(H70-50)*'LEAD OF MATL.'!E18/1.25*0.005,'LEAD OF MATL.'!E16/1.25*0.005+(H70-5)*'LEAD OF MATL.'!E17/1.25*0.005)</f>
        <v>0.99148000000000003</v>
      </c>
      <c r="J70" s="737">
        <v>0</v>
      </c>
      <c r="K70" s="737">
        <f t="shared" si="20"/>
        <v>0.99148000000000003</v>
      </c>
      <c r="L70" s="3260">
        <f t="shared" si="21"/>
        <v>59.081479999999999</v>
      </c>
      <c r="M70" s="3260"/>
      <c r="N70" s="738">
        <f t="shared" si="15"/>
        <v>6.2199999999999989</v>
      </c>
      <c r="O70" s="738">
        <f t="shared" si="6"/>
        <v>59.081479999999999</v>
      </c>
      <c r="P70" s="738">
        <v>12</v>
      </c>
      <c r="Q70" s="761"/>
      <c r="S70" s="764" t="s">
        <v>101</v>
      </c>
      <c r="T70" s="762"/>
      <c r="U70" s="742">
        <f t="shared" si="8"/>
        <v>51.87</v>
      </c>
      <c r="X70" s="742">
        <f t="shared" si="7"/>
        <v>59.081479999999999</v>
      </c>
    </row>
    <row r="71" spans="1:24" s="731" customFormat="1" ht="11.25" customHeight="1">
      <c r="A71" s="728">
        <f t="shared" si="1"/>
        <v>37</v>
      </c>
      <c r="B71" s="730" t="s">
        <v>102</v>
      </c>
      <c r="C71" s="734" t="s">
        <v>97</v>
      </c>
      <c r="D71" s="3259" t="str">
        <f t="shared" si="22"/>
        <v>Kamakhya</v>
      </c>
      <c r="E71" s="3259"/>
      <c r="F71" s="756">
        <f>M143</f>
        <v>51.87</v>
      </c>
      <c r="G71" s="735">
        <f t="shared" si="13"/>
        <v>58.089999999999996</v>
      </c>
      <c r="H71" s="743">
        <f t="shared" si="23"/>
        <v>5</v>
      </c>
      <c r="I71" s="737">
        <f>IF(H71 &gt; 50,'LEAD OF MATL.'!E16/1.25*0.0113+45*'LEAD OF MATL.'!E17/1.25*0.0113+(H71-50)*'LEAD OF MATL.'!E18/1.25*0.0113,'LEAD OF MATL.'!E16/1.25*0.0113+(H71-5)*'LEAD OF MATL.'!E17/1.25*0.0113)</f>
        <v>2.2407447999999999</v>
      </c>
      <c r="J71" s="737">
        <v>0</v>
      </c>
      <c r="K71" s="737">
        <f t="shared" si="20"/>
        <v>2.2407447999999999</v>
      </c>
      <c r="L71" s="3260">
        <f t="shared" si="21"/>
        <v>60.330744799999998</v>
      </c>
      <c r="M71" s="3260"/>
      <c r="N71" s="738">
        <f t="shared" si="15"/>
        <v>6.2199999999999989</v>
      </c>
      <c r="O71" s="738">
        <f t="shared" si="6"/>
        <v>60.330744799999998</v>
      </c>
      <c r="P71" s="738">
        <f>P70</f>
        <v>12</v>
      </c>
      <c r="Q71" s="761"/>
      <c r="T71" s="762"/>
      <c r="U71" s="742">
        <f t="shared" si="8"/>
        <v>51.87</v>
      </c>
      <c r="X71" s="742">
        <f t="shared" si="7"/>
        <v>60.330744799999998</v>
      </c>
    </row>
    <row r="72" spans="1:24" s="731" customFormat="1" ht="11.25" customHeight="1">
      <c r="A72" s="728">
        <f t="shared" si="1"/>
        <v>38</v>
      </c>
      <c r="B72" s="730" t="s">
        <v>103</v>
      </c>
      <c r="C72" s="734" t="s">
        <v>49</v>
      </c>
      <c r="D72" s="3259" t="str">
        <f t="shared" si="22"/>
        <v>Kamakhya</v>
      </c>
      <c r="E72" s="3259"/>
      <c r="F72" s="756">
        <f>G145</f>
        <v>58374.79</v>
      </c>
      <c r="G72" s="735">
        <f t="shared" si="13"/>
        <v>65379.76</v>
      </c>
      <c r="H72" s="743">
        <f t="shared" si="23"/>
        <v>5</v>
      </c>
      <c r="I72" s="737">
        <f>IF(H72 &gt; 50,'LEAD OF MATL.'!E16/1.25+45*'LEAD OF MATL.'!E17/1.25+(H72-50)*'LEAD OF MATL.'!E18/1.25,'LEAD OF MATL.'!E16/1.25+(H72-5)*'LEAD OF MATL.'!E17/1.25)</f>
        <v>198.29599999999999</v>
      </c>
      <c r="J72" s="737">
        <v>0</v>
      </c>
      <c r="K72" s="737">
        <f t="shared" si="20"/>
        <v>198.29599999999999</v>
      </c>
      <c r="L72" s="3260">
        <f t="shared" si="21"/>
        <v>65578.055999999997</v>
      </c>
      <c r="M72" s="3260"/>
      <c r="N72" s="738">
        <f t="shared" si="15"/>
        <v>7004.9700000000012</v>
      </c>
      <c r="O72" s="738">
        <f t="shared" si="6"/>
        <v>65578.055999999997</v>
      </c>
      <c r="P72" s="738">
        <f>P65</f>
        <v>12</v>
      </c>
      <c r="Q72" s="761"/>
      <c r="T72" s="762"/>
      <c r="U72" s="742">
        <f t="shared" si="8"/>
        <v>58374.79</v>
      </c>
      <c r="X72" s="742">
        <f t="shared" si="7"/>
        <v>65578.055999999997</v>
      </c>
    </row>
    <row r="73" spans="1:24" s="731" customFormat="1" ht="11.25" customHeight="1">
      <c r="A73" s="728">
        <f t="shared" ref="A73:A103" si="24">A72+1</f>
        <v>39</v>
      </c>
      <c r="B73" s="730" t="s">
        <v>104</v>
      </c>
      <c r="C73" s="734" t="s">
        <v>49</v>
      </c>
      <c r="D73" s="3259" t="str">
        <f t="shared" si="22"/>
        <v>Kamakhya</v>
      </c>
      <c r="E73" s="3259"/>
      <c r="F73" s="756">
        <f>G145</f>
        <v>58374.79</v>
      </c>
      <c r="G73" s="735">
        <f t="shared" si="13"/>
        <v>65379.76</v>
      </c>
      <c r="H73" s="743">
        <f t="shared" si="23"/>
        <v>5</v>
      </c>
      <c r="I73" s="737">
        <f>IF(H73 &gt; 50,'LEAD OF MATL.'!E16/1.25+45*'LEAD OF MATL.'!E17/1.25+(H73-50)*'LEAD OF MATL.'!E18/1.25,'LEAD OF MATL.'!E16/1.25+(H73-5)*'LEAD OF MATL.'!E17/1.25)</f>
        <v>198.29599999999999</v>
      </c>
      <c r="J73" s="737">
        <v>0</v>
      </c>
      <c r="K73" s="737">
        <f t="shared" si="20"/>
        <v>198.29599999999999</v>
      </c>
      <c r="L73" s="3260">
        <f t="shared" si="21"/>
        <v>65578.055999999997</v>
      </c>
      <c r="M73" s="3260"/>
      <c r="N73" s="738">
        <f t="shared" si="15"/>
        <v>7004.9700000000012</v>
      </c>
      <c r="O73" s="738">
        <f t="shared" si="6"/>
        <v>65578.055999999997</v>
      </c>
      <c r="P73" s="738">
        <f>P72</f>
        <v>12</v>
      </c>
      <c r="Q73" s="761"/>
      <c r="T73" s="762"/>
      <c r="U73" s="742">
        <f t="shared" si="8"/>
        <v>58374.79</v>
      </c>
      <c r="X73" s="742">
        <f t="shared" si="7"/>
        <v>65578.055999999997</v>
      </c>
    </row>
    <row r="74" spans="1:24" s="731" customFormat="1" ht="11.25" customHeight="1">
      <c r="A74" s="728">
        <f t="shared" si="24"/>
        <v>40</v>
      </c>
      <c r="B74" s="730" t="s">
        <v>105</v>
      </c>
      <c r="C74" s="734" t="s">
        <v>49</v>
      </c>
      <c r="D74" s="3259" t="str">
        <f t="shared" si="22"/>
        <v>Kamakhya</v>
      </c>
      <c r="E74" s="3259"/>
      <c r="F74" s="756">
        <f>G162</f>
        <v>71150.5</v>
      </c>
      <c r="G74" s="735">
        <f t="shared" si="13"/>
        <v>79688.56</v>
      </c>
      <c r="H74" s="743">
        <f t="shared" si="23"/>
        <v>5</v>
      </c>
      <c r="I74" s="737">
        <f>IF(H74 &gt; 50,'LEAD OF MATL.'!E16/1.25+45*'LEAD OF MATL.'!E17/1.25+(H74-50)*'LEAD OF MATL.'!E18/1.25,'LEAD OF MATL.'!E16/1.25+(H74-5)*'LEAD OF MATL.'!E17/1.25)</f>
        <v>198.29599999999999</v>
      </c>
      <c r="J74" s="737">
        <v>0</v>
      </c>
      <c r="K74" s="737">
        <f t="shared" si="20"/>
        <v>198.29599999999999</v>
      </c>
      <c r="L74" s="3260">
        <f t="shared" si="21"/>
        <v>79886.856</v>
      </c>
      <c r="M74" s="3260"/>
      <c r="N74" s="738">
        <f t="shared" si="15"/>
        <v>8538.0599999999977</v>
      </c>
      <c r="O74" s="738">
        <f t="shared" si="6"/>
        <v>79886.856</v>
      </c>
      <c r="P74" s="738">
        <v>12</v>
      </c>
      <c r="Q74" s="761"/>
      <c r="T74" s="762"/>
      <c r="U74" s="742">
        <f t="shared" si="8"/>
        <v>71150.5</v>
      </c>
      <c r="X74" s="742"/>
    </row>
    <row r="75" spans="1:24" s="731" customFormat="1" ht="11.25" customHeight="1">
      <c r="A75" s="728">
        <f t="shared" si="24"/>
        <v>41</v>
      </c>
      <c r="B75" s="730" t="s">
        <v>106</v>
      </c>
      <c r="C75" s="734" t="s">
        <v>49</v>
      </c>
      <c r="D75" s="3259" t="str">
        <f>D73</f>
        <v>Kamakhya</v>
      </c>
      <c r="E75" s="3259"/>
      <c r="F75" s="756">
        <f>G163</f>
        <v>65533.5</v>
      </c>
      <c r="G75" s="735">
        <f t="shared" si="13"/>
        <v>73397.52</v>
      </c>
      <c r="H75" s="743">
        <f>H73</f>
        <v>5</v>
      </c>
      <c r="I75" s="737">
        <f>IF(H75 &gt; 50,'LEAD OF MATL.'!E16/1.25+45*'LEAD OF MATL.'!E17/1.25+(H75-50)*'LEAD OF MATL.'!E18/1.25,'LEAD OF MATL.'!E16/1.25+(H75-5)*'LEAD OF MATL.'!E17/1.25)</f>
        <v>198.29599999999999</v>
      </c>
      <c r="J75" s="737">
        <v>0</v>
      </c>
      <c r="K75" s="737">
        <f t="shared" si="20"/>
        <v>198.29599999999999</v>
      </c>
      <c r="L75" s="3260">
        <f t="shared" si="21"/>
        <v>73595.816000000006</v>
      </c>
      <c r="M75" s="3260"/>
      <c r="N75" s="738">
        <f t="shared" si="15"/>
        <v>7864.0200000000041</v>
      </c>
      <c r="O75" s="738">
        <f t="shared" si="6"/>
        <v>73595.816000000006</v>
      </c>
      <c r="P75" s="738">
        <v>12</v>
      </c>
      <c r="Q75" s="761"/>
      <c r="T75" s="762"/>
      <c r="U75" s="742">
        <f t="shared" si="8"/>
        <v>65533.5</v>
      </c>
      <c r="X75" s="742">
        <f t="shared" si="7"/>
        <v>73595.816000000006</v>
      </c>
    </row>
    <row r="76" spans="1:24" s="731" customFormat="1" ht="11.25" customHeight="1">
      <c r="A76" s="728">
        <f t="shared" si="24"/>
        <v>42</v>
      </c>
      <c r="B76" s="730" t="s">
        <v>107</v>
      </c>
      <c r="C76" s="734" t="s">
        <v>49</v>
      </c>
      <c r="D76" s="3259" t="str">
        <f>D75</f>
        <v>Kamakhya</v>
      </c>
      <c r="E76" s="3259"/>
      <c r="F76" s="756">
        <f>M163</f>
        <v>63839</v>
      </c>
      <c r="G76" s="735">
        <f t="shared" si="13"/>
        <v>71499.679999999993</v>
      </c>
      <c r="H76" s="743">
        <f t="shared" si="23"/>
        <v>5</v>
      </c>
      <c r="I76" s="737">
        <f>IF(H76 &gt; 50,'LEAD OF MATL.'!E16/1.25+45*'LEAD OF MATL.'!E17/1.25+(H76-50)*'LEAD OF MATL.'!E18/1.25,'LEAD OF MATL.'!E16/1.25+(H76-5)*'LEAD OF MATL.'!E17/1.25)</f>
        <v>198.29599999999999</v>
      </c>
      <c r="J76" s="737">
        <v>0</v>
      </c>
      <c r="K76" s="737">
        <f t="shared" si="20"/>
        <v>198.29599999999999</v>
      </c>
      <c r="L76" s="3260">
        <f t="shared" si="21"/>
        <v>71697.975999999995</v>
      </c>
      <c r="M76" s="3260"/>
      <c r="N76" s="738">
        <f t="shared" si="15"/>
        <v>7660.679999999993</v>
      </c>
      <c r="O76" s="738">
        <f t="shared" ref="O76:O103" si="25">L76-J76</f>
        <v>71697.975999999995</v>
      </c>
      <c r="P76" s="738">
        <v>12</v>
      </c>
      <c r="Q76" s="761"/>
      <c r="T76" s="762"/>
      <c r="U76" s="742">
        <f t="shared" si="8"/>
        <v>63839</v>
      </c>
      <c r="X76" s="742">
        <f t="shared" si="7"/>
        <v>71697.975999999995</v>
      </c>
    </row>
    <row r="77" spans="1:24" s="731" customFormat="1" ht="11.25" customHeight="1">
      <c r="A77" s="728">
        <f t="shared" si="24"/>
        <v>43</v>
      </c>
      <c r="B77" s="730" t="s">
        <v>108</v>
      </c>
      <c r="C77" s="734" t="s">
        <v>49</v>
      </c>
      <c r="D77" s="3259" t="str">
        <f>D76</f>
        <v>Kamakhya</v>
      </c>
      <c r="E77" s="3259"/>
      <c r="F77" s="756">
        <f>G146</f>
        <v>74369.67</v>
      </c>
      <c r="G77" s="735">
        <f t="shared" si="13"/>
        <v>83294.03</v>
      </c>
      <c r="H77" s="743">
        <f>H76</f>
        <v>5</v>
      </c>
      <c r="I77" s="737">
        <f>IF(H77 &gt; 50,'LEAD OF MATL.'!E16/1.25+45*'LEAD OF MATL.'!E17/1.25+(H77-50)*'LEAD OF MATL.'!E18/1.25,'LEAD OF MATL.'!E16/1.25+(H77-5)*'LEAD OF MATL.'!E17/1.25)</f>
        <v>198.29599999999999</v>
      </c>
      <c r="J77" s="737">
        <v>0</v>
      </c>
      <c r="K77" s="737">
        <f t="shared" si="20"/>
        <v>198.29599999999999</v>
      </c>
      <c r="L77" s="3260">
        <f t="shared" si="21"/>
        <v>83492.326000000001</v>
      </c>
      <c r="M77" s="3260"/>
      <c r="N77" s="738">
        <f t="shared" si="15"/>
        <v>8924.36</v>
      </c>
      <c r="O77" s="738">
        <f t="shared" si="25"/>
        <v>83492.326000000001</v>
      </c>
      <c r="P77" s="738">
        <v>12</v>
      </c>
      <c r="Q77" s="761"/>
      <c r="T77" s="762"/>
      <c r="U77" s="742">
        <f t="shared" si="8"/>
        <v>74369.67</v>
      </c>
      <c r="X77" s="742"/>
    </row>
    <row r="78" spans="1:24" s="731" customFormat="1" ht="11.25" customHeight="1">
      <c r="A78" s="728">
        <f t="shared" si="24"/>
        <v>44</v>
      </c>
      <c r="B78" s="730" t="s">
        <v>109</v>
      </c>
      <c r="C78" s="734" t="s">
        <v>49</v>
      </c>
      <c r="D78" s="3259" t="s">
        <v>89</v>
      </c>
      <c r="E78" s="3259"/>
      <c r="F78" s="756">
        <f>M147</f>
        <v>746.99</v>
      </c>
      <c r="G78" s="735">
        <f t="shared" si="13"/>
        <v>746.99</v>
      </c>
      <c r="H78" s="743">
        <v>5</v>
      </c>
      <c r="I78" s="737">
        <f>IF(H78 &gt; 50,'LEAD OF MATL.'!E16/1.25+45*'LEAD OF MATL.'!E17/1.25+(H78-50)*'LEAD OF MATL.'!E18/1.25,'LEAD OF MATL.'!E16/1.25+(H78-5)*'LEAD OF MATL.'!E17/1.25)</f>
        <v>198.29599999999999</v>
      </c>
      <c r="J78" s="737">
        <v>0</v>
      </c>
      <c r="K78" s="737">
        <f t="shared" si="20"/>
        <v>198.29599999999999</v>
      </c>
      <c r="L78" s="3260">
        <f t="shared" si="21"/>
        <v>945.28600000000006</v>
      </c>
      <c r="M78" s="3260"/>
      <c r="N78" s="738">
        <f t="shared" si="15"/>
        <v>0</v>
      </c>
      <c r="O78" s="738">
        <f t="shared" si="25"/>
        <v>945.28600000000006</v>
      </c>
      <c r="P78" s="738"/>
      <c r="Q78" s="761"/>
      <c r="T78" s="762"/>
      <c r="U78" s="742">
        <f t="shared" si="8"/>
        <v>746.99</v>
      </c>
      <c r="X78" s="742">
        <f t="shared" si="7"/>
        <v>945.28600000000006</v>
      </c>
    </row>
    <row r="79" spans="1:24" s="731" customFormat="1" ht="11.25" customHeight="1">
      <c r="A79" s="728">
        <f t="shared" si="24"/>
        <v>45</v>
      </c>
      <c r="B79" s="730" t="s">
        <v>110</v>
      </c>
      <c r="C79" s="734" t="s">
        <v>95</v>
      </c>
      <c r="D79" s="3259" t="str">
        <f>D77</f>
        <v>Kamakhya</v>
      </c>
      <c r="E79" s="3259"/>
      <c r="F79" s="765">
        <v>57.4</v>
      </c>
      <c r="G79" s="735">
        <f t="shared" si="13"/>
        <v>73.47</v>
      </c>
      <c r="H79" s="743">
        <f>H76</f>
        <v>5</v>
      </c>
      <c r="I79" s="737">
        <f>IF(H79 &gt; 50,'LEAD OF MATL.'!E16/1000+45*'LEAD OF MATL.'!E17/1000+(H79-50)*'LEAD OF MATL.'!E18/1000,'LEAD OF MATL.'!E16/1000+(H79-5)*'LEAD OF MATL.'!E17/1000)</f>
        <v>0.24787000000000001</v>
      </c>
      <c r="J79" s="737">
        <v>0</v>
      </c>
      <c r="K79" s="737">
        <f t="shared" si="20"/>
        <v>0.24787000000000001</v>
      </c>
      <c r="L79" s="3260">
        <f t="shared" si="21"/>
        <v>73.717870000000005</v>
      </c>
      <c r="M79" s="3260"/>
      <c r="N79" s="738">
        <f t="shared" si="15"/>
        <v>16.07</v>
      </c>
      <c r="O79" s="738">
        <f t="shared" si="25"/>
        <v>73.717870000000005</v>
      </c>
      <c r="P79" s="738">
        <v>28</v>
      </c>
      <c r="Q79" s="761"/>
      <c r="T79" s="762"/>
      <c r="U79" s="742">
        <f t="shared" si="8"/>
        <v>57.4</v>
      </c>
      <c r="X79" s="742">
        <f t="shared" si="7"/>
        <v>73.717870000000005</v>
      </c>
    </row>
    <row r="80" spans="1:24" s="731" customFormat="1" ht="11.25" customHeight="1">
      <c r="A80" s="728">
        <f t="shared" si="24"/>
        <v>46</v>
      </c>
      <c r="B80" s="730" t="s">
        <v>111</v>
      </c>
      <c r="C80" s="734" t="s">
        <v>95</v>
      </c>
      <c r="D80" s="3259" t="str">
        <f>D79</f>
        <v>Kamakhya</v>
      </c>
      <c r="E80" s="3259"/>
      <c r="F80" s="765">
        <f>F79</f>
        <v>57.4</v>
      </c>
      <c r="G80" s="735">
        <f t="shared" si="13"/>
        <v>73.47</v>
      </c>
      <c r="H80" s="743">
        <f>H79</f>
        <v>5</v>
      </c>
      <c r="I80" s="737">
        <f>IF(H80 &gt; 50,'LEAD OF MATL.'!E16/1000+45*'LEAD OF MATL.'!E17/1000+(H80-50)*'LEAD OF MATL.'!E18/1000,'LEAD OF MATL.'!E16/1000+(H80-5)*'LEAD OF MATL.'!E17/1000)</f>
        <v>0.24787000000000001</v>
      </c>
      <c r="J80" s="737">
        <v>0</v>
      </c>
      <c r="K80" s="737">
        <f t="shared" si="20"/>
        <v>0.24787000000000001</v>
      </c>
      <c r="L80" s="3260">
        <f t="shared" si="21"/>
        <v>73.717870000000005</v>
      </c>
      <c r="M80" s="3260"/>
      <c r="N80" s="738">
        <f t="shared" si="15"/>
        <v>16.07</v>
      </c>
      <c r="O80" s="738">
        <f t="shared" si="25"/>
        <v>73.717870000000005</v>
      </c>
      <c r="P80" s="738">
        <v>28</v>
      </c>
      <c r="Q80" s="761"/>
      <c r="T80" s="762"/>
      <c r="U80" s="742">
        <f t="shared" si="8"/>
        <v>57.4</v>
      </c>
      <c r="X80" s="742">
        <f t="shared" si="7"/>
        <v>73.717870000000005</v>
      </c>
    </row>
    <row r="81" spans="1:24" s="731" customFormat="1" ht="11.25" customHeight="1">
      <c r="A81" s="728">
        <f t="shared" si="24"/>
        <v>47</v>
      </c>
      <c r="B81" s="730" t="s">
        <v>112</v>
      </c>
      <c r="C81" s="734" t="s">
        <v>95</v>
      </c>
      <c r="D81" s="3259" t="str">
        <f>D80</f>
        <v>Kamakhya</v>
      </c>
      <c r="E81" s="3259"/>
      <c r="F81" s="756">
        <f>G186</f>
        <v>70.099999999999994</v>
      </c>
      <c r="G81" s="735">
        <f t="shared" si="13"/>
        <v>89.72999999999999</v>
      </c>
      <c r="H81" s="743">
        <f>H80</f>
        <v>5</v>
      </c>
      <c r="I81" s="737">
        <f>IF(H81 &gt; 50,'LEAD OF MATL.'!E16/1000+45*'LEAD OF MATL.'!E17/1000+(H81-50)*'LEAD OF MATL.'!E18/1000,'LEAD OF MATL.'!E16/1000+(H81-5)*'LEAD OF MATL.'!E17/1000)</f>
        <v>0.24787000000000001</v>
      </c>
      <c r="J81" s="737">
        <v>0</v>
      </c>
      <c r="K81" s="737">
        <f t="shared" si="20"/>
        <v>0.24787000000000001</v>
      </c>
      <c r="L81" s="3260">
        <f t="shared" si="21"/>
        <v>89.977869999999996</v>
      </c>
      <c r="M81" s="3260"/>
      <c r="N81" s="738">
        <f t="shared" si="15"/>
        <v>19.629999999999995</v>
      </c>
      <c r="O81" s="738">
        <f t="shared" si="25"/>
        <v>89.977869999999996</v>
      </c>
      <c r="P81" s="738">
        <v>28</v>
      </c>
      <c r="Q81" s="761"/>
      <c r="T81" s="762"/>
      <c r="U81" s="742">
        <f t="shared" si="8"/>
        <v>70.099999999999994</v>
      </c>
      <c r="X81" s="742">
        <f t="shared" si="7"/>
        <v>89.977869999999996</v>
      </c>
    </row>
    <row r="82" spans="1:24" s="731" customFormat="1" ht="11.25" customHeight="1">
      <c r="A82" s="728">
        <f t="shared" si="24"/>
        <v>48</v>
      </c>
      <c r="B82" s="730" t="s">
        <v>113</v>
      </c>
      <c r="C82" s="734" t="s">
        <v>95</v>
      </c>
      <c r="D82" s="3259" t="str">
        <f>D81</f>
        <v>Kamakhya</v>
      </c>
      <c r="E82" s="3259"/>
      <c r="F82" s="756">
        <f>G183</f>
        <v>47.83</v>
      </c>
      <c r="G82" s="735">
        <f t="shared" si="13"/>
        <v>61.22</v>
      </c>
      <c r="H82" s="743">
        <f t="shared" ref="H82:H92" si="26">H81</f>
        <v>5</v>
      </c>
      <c r="I82" s="737">
        <f>IF(H82 &gt; 50,'LEAD OF MATL.'!E16/1000+45*'LEAD OF MATL.'!E17/1000+(H82-50)*'LEAD OF MATL.'!E18/1000,'LEAD OF MATL.'!E16/1000+(H82-5)*'LEAD OF MATL.'!E17/1000)</f>
        <v>0.24787000000000001</v>
      </c>
      <c r="J82" s="737">
        <v>0</v>
      </c>
      <c r="K82" s="737">
        <f t="shared" si="20"/>
        <v>0.24787000000000001</v>
      </c>
      <c r="L82" s="3260">
        <f t="shared" si="21"/>
        <v>61.467869999999998</v>
      </c>
      <c r="M82" s="3260"/>
      <c r="N82" s="738">
        <f t="shared" si="15"/>
        <v>13.39</v>
      </c>
      <c r="O82" s="738">
        <f t="shared" si="25"/>
        <v>61.467869999999998</v>
      </c>
      <c r="P82" s="738">
        <v>28</v>
      </c>
      <c r="Q82" s="761"/>
      <c r="T82" s="762"/>
      <c r="U82" s="742">
        <f t="shared" si="8"/>
        <v>47.83</v>
      </c>
      <c r="X82" s="742">
        <f t="shared" si="7"/>
        <v>61.467869999999998</v>
      </c>
    </row>
    <row r="83" spans="1:24" s="731" customFormat="1" ht="11.25" customHeight="1">
      <c r="A83" s="728">
        <f t="shared" si="24"/>
        <v>49</v>
      </c>
      <c r="B83" s="730" t="s">
        <v>114</v>
      </c>
      <c r="C83" s="734" t="s">
        <v>95</v>
      </c>
      <c r="D83" s="3259" t="str">
        <f>D82</f>
        <v>Kamakhya</v>
      </c>
      <c r="E83" s="3259"/>
      <c r="F83" s="756">
        <f>G187</f>
        <v>250.34</v>
      </c>
      <c r="G83" s="735">
        <f t="shared" si="13"/>
        <v>320.44</v>
      </c>
      <c r="H83" s="743">
        <f t="shared" si="26"/>
        <v>5</v>
      </c>
      <c r="I83" s="737">
        <f>IF(H83 &gt; 50,'LEAD OF MATL.'!E16/1000+45*'LEAD OF MATL.'!E17/1000+(H83-50)*'LEAD OF MATL.'!E18/1000,'LEAD OF MATL.'!E16/1000+(H83-5)*'LEAD OF MATL.'!E17/1000)</f>
        <v>0.24787000000000001</v>
      </c>
      <c r="J83" s="737">
        <v>0</v>
      </c>
      <c r="K83" s="737">
        <f t="shared" si="20"/>
        <v>0.24787000000000001</v>
      </c>
      <c r="L83" s="3260">
        <f t="shared" si="21"/>
        <v>320.68786999999998</v>
      </c>
      <c r="M83" s="3260"/>
      <c r="N83" s="738">
        <f t="shared" si="15"/>
        <v>70.099999999999994</v>
      </c>
      <c r="O83" s="738">
        <f t="shared" si="25"/>
        <v>320.68786999999998</v>
      </c>
      <c r="P83" s="738">
        <v>28</v>
      </c>
      <c r="Q83" s="761"/>
      <c r="T83" s="762"/>
      <c r="U83" s="742">
        <f t="shared" si="8"/>
        <v>250.34</v>
      </c>
      <c r="X83" s="742">
        <f t="shared" si="7"/>
        <v>320.68786999999998</v>
      </c>
    </row>
    <row r="84" spans="1:24" s="731" customFormat="1" ht="11.25" customHeight="1">
      <c r="A84" s="728">
        <f t="shared" si="24"/>
        <v>50</v>
      </c>
      <c r="B84" s="730" t="s">
        <v>115</v>
      </c>
      <c r="C84" s="734" t="s">
        <v>116</v>
      </c>
      <c r="D84" s="3259" t="str">
        <f>D83</f>
        <v>Kamakhya</v>
      </c>
      <c r="E84" s="3259"/>
      <c r="F84" s="756">
        <f>G185</f>
        <v>249.34</v>
      </c>
      <c r="G84" s="735">
        <f t="shared" si="13"/>
        <v>319.15999999999997</v>
      </c>
      <c r="H84" s="743">
        <f t="shared" si="26"/>
        <v>5</v>
      </c>
      <c r="I84" s="737">
        <f>IF(H84 &gt; 50,'LEAD OF MATL.'!E16/1000+45*'LEAD OF MATL.'!E17/1000+(H84-50)*'LEAD OF MATL.'!E18/1000,'LEAD OF MATL.'!E16/1000+(H84-5)*'LEAD OF MATL.'!E17/1000)</f>
        <v>0.24787000000000001</v>
      </c>
      <c r="J84" s="737">
        <v>0</v>
      </c>
      <c r="K84" s="737">
        <f t="shared" si="20"/>
        <v>0.24787000000000001</v>
      </c>
      <c r="L84" s="3260">
        <f t="shared" si="21"/>
        <v>319.40786999999995</v>
      </c>
      <c r="M84" s="3260"/>
      <c r="N84" s="738">
        <f t="shared" si="15"/>
        <v>69.819999999999965</v>
      </c>
      <c r="O84" s="738">
        <f t="shared" si="25"/>
        <v>319.40786999999995</v>
      </c>
      <c r="P84" s="738">
        <v>28</v>
      </c>
      <c r="Q84" s="761"/>
      <c r="T84" s="762"/>
      <c r="U84" s="742">
        <f t="shared" si="8"/>
        <v>249.34</v>
      </c>
      <c r="X84" s="742">
        <f t="shared" si="7"/>
        <v>319.40786999999995</v>
      </c>
    </row>
    <row r="85" spans="1:24" s="731" customFormat="1" ht="11.25" customHeight="1">
      <c r="A85" s="728">
        <f t="shared" si="24"/>
        <v>51</v>
      </c>
      <c r="B85" s="730" t="s">
        <v>117</v>
      </c>
      <c r="C85" s="734" t="s">
        <v>116</v>
      </c>
      <c r="D85" s="3259" t="str">
        <f t="shared" ref="D85:D97" si="27">D84</f>
        <v>Kamakhya</v>
      </c>
      <c r="E85" s="3259"/>
      <c r="F85" s="756">
        <f>G189</f>
        <v>49.21</v>
      </c>
      <c r="G85" s="735">
        <f t="shared" si="13"/>
        <v>62.99</v>
      </c>
      <c r="H85" s="743">
        <f>H84</f>
        <v>5</v>
      </c>
      <c r="I85" s="737">
        <f>IF(H85 &gt; 50,'LEAD OF MATL.'!E16/1000+45*'LEAD OF MATL.'!E17/1000+(H85-50)*'LEAD OF MATL.'!E18/1000,'LEAD OF MATL.'!E16/1000+(H85-5)*'LEAD OF MATL.'!E17/1000)</f>
        <v>0.24787000000000001</v>
      </c>
      <c r="J85" s="737">
        <v>0</v>
      </c>
      <c r="K85" s="737">
        <f t="shared" si="20"/>
        <v>0.24787000000000001</v>
      </c>
      <c r="L85" s="3260">
        <f t="shared" si="21"/>
        <v>63.237870000000001</v>
      </c>
      <c r="M85" s="3260"/>
      <c r="N85" s="738">
        <f t="shared" si="15"/>
        <v>13.780000000000001</v>
      </c>
      <c r="O85" s="738">
        <f t="shared" si="25"/>
        <v>63.237870000000001</v>
      </c>
      <c r="P85" s="738">
        <v>28</v>
      </c>
      <c r="Q85" s="761"/>
      <c r="T85" s="762"/>
      <c r="U85" s="742">
        <f t="shared" si="8"/>
        <v>49.21</v>
      </c>
      <c r="X85" s="742">
        <f t="shared" si="7"/>
        <v>63.237870000000001</v>
      </c>
    </row>
    <row r="86" spans="1:24" s="731" customFormat="1" ht="11.25" customHeight="1">
      <c r="A86" s="728">
        <f t="shared" si="24"/>
        <v>52</v>
      </c>
      <c r="B86" s="730" t="s">
        <v>118</v>
      </c>
      <c r="C86" s="734" t="s">
        <v>95</v>
      </c>
      <c r="D86" s="3259" t="str">
        <f t="shared" si="27"/>
        <v>Kamakhya</v>
      </c>
      <c r="E86" s="3259"/>
      <c r="F86" s="756">
        <f>G190</f>
        <v>17.23</v>
      </c>
      <c r="G86" s="735">
        <f t="shared" si="13"/>
        <v>20.330000000000002</v>
      </c>
      <c r="H86" s="743">
        <f>H85</f>
        <v>5</v>
      </c>
      <c r="I86" s="737">
        <f>IF(H86 &gt; 50,'LEAD OF MATL.'!E16/1000+45*'LEAD OF MATL.'!E/1000+(H86-50)*'LEAD OF MATL.'!E18/1000,'LEAD OF MATL.'!E16/1000+(H86-5)*'LEAD OF MATL.'!E17/1000)</f>
        <v>0.24787000000000001</v>
      </c>
      <c r="J86" s="737">
        <v>0</v>
      </c>
      <c r="K86" s="737">
        <f t="shared" si="20"/>
        <v>0.24787000000000001</v>
      </c>
      <c r="L86" s="3260">
        <f t="shared" si="21"/>
        <v>20.577870000000001</v>
      </c>
      <c r="M86" s="3260"/>
      <c r="N86" s="738">
        <f t="shared" si="15"/>
        <v>3.1000000000000014</v>
      </c>
      <c r="O86" s="738">
        <f t="shared" si="25"/>
        <v>20.577870000000001</v>
      </c>
      <c r="P86" s="738">
        <v>18</v>
      </c>
      <c r="Q86" s="761"/>
      <c r="T86" s="762"/>
      <c r="U86" s="742">
        <f t="shared" si="8"/>
        <v>17.23</v>
      </c>
      <c r="X86" s="742">
        <f t="shared" si="7"/>
        <v>20.577870000000001</v>
      </c>
    </row>
    <row r="87" spans="1:24" s="731" customFormat="1" ht="11.25" customHeight="1">
      <c r="A87" s="728">
        <f t="shared" si="24"/>
        <v>53</v>
      </c>
      <c r="B87" s="730" t="s">
        <v>119</v>
      </c>
      <c r="C87" s="734" t="s">
        <v>95</v>
      </c>
      <c r="D87" s="3259" t="str">
        <f t="shared" si="27"/>
        <v>Kamakhya</v>
      </c>
      <c r="E87" s="3259"/>
      <c r="F87" s="756">
        <f>G184</f>
        <v>194.79</v>
      </c>
      <c r="G87" s="735">
        <f t="shared" si="13"/>
        <v>249.32999999999998</v>
      </c>
      <c r="H87" s="743">
        <f>H86</f>
        <v>5</v>
      </c>
      <c r="I87" s="737">
        <f>IF(H87 &gt; 50,'LEAD OF MATL.'!E16/1000+45*'LEAD OF MATL.'!E17/1000+(H87-50)*'LEAD OF MATL.'!E18/1000,'LEAD OF MATL.'!E16/1000+(H87-5)*'LEAD OF MATL.'!E17/1000)</f>
        <v>0.24787000000000001</v>
      </c>
      <c r="J87" s="737">
        <v>0</v>
      </c>
      <c r="K87" s="737">
        <f t="shared" si="20"/>
        <v>0.24787000000000001</v>
      </c>
      <c r="L87" s="3260">
        <f t="shared" si="21"/>
        <v>249.57786999999999</v>
      </c>
      <c r="M87" s="3260"/>
      <c r="N87" s="738">
        <f t="shared" si="15"/>
        <v>54.539999999999992</v>
      </c>
      <c r="O87" s="738">
        <f t="shared" si="25"/>
        <v>249.57786999999999</v>
      </c>
      <c r="P87" s="738">
        <v>28</v>
      </c>
      <c r="Q87" s="761"/>
      <c r="T87" s="762"/>
      <c r="U87" s="742">
        <f t="shared" si="8"/>
        <v>194.79</v>
      </c>
      <c r="X87" s="742">
        <f t="shared" si="7"/>
        <v>249.57786999999999</v>
      </c>
    </row>
    <row r="88" spans="1:24" s="731" customFormat="1" ht="11.25" customHeight="1">
      <c r="A88" s="728">
        <f t="shared" si="24"/>
        <v>54</v>
      </c>
      <c r="B88" s="730" t="s">
        <v>120</v>
      </c>
      <c r="C88" s="734" t="s">
        <v>116</v>
      </c>
      <c r="D88" s="3259" t="str">
        <f t="shared" si="27"/>
        <v>Kamakhya</v>
      </c>
      <c r="E88" s="3259"/>
      <c r="F88" s="756">
        <f>M185</f>
        <v>123.94</v>
      </c>
      <c r="G88" s="735">
        <f t="shared" si="13"/>
        <v>146.25</v>
      </c>
      <c r="H88" s="743">
        <f t="shared" si="26"/>
        <v>5</v>
      </c>
      <c r="I88" s="737">
        <f>IF(H88 &gt; 50,'LEAD OF MATL.'!E16/1000+45*'LEAD OF MATL.'!E17/1000+(H88-50)*'LEAD OF MATL.'!E18/1000,'LEAD OF MATL.'!E16/1000+(H88-5)*'LEAD OF MATL.'!E17/1000)</f>
        <v>0.24787000000000001</v>
      </c>
      <c r="J88" s="737">
        <v>0</v>
      </c>
      <c r="K88" s="737">
        <f t="shared" si="20"/>
        <v>0.24787000000000001</v>
      </c>
      <c r="L88" s="3260">
        <f t="shared" si="21"/>
        <v>146.49787000000001</v>
      </c>
      <c r="M88" s="3260"/>
      <c r="N88" s="738">
        <f t="shared" si="15"/>
        <v>22.310000000000002</v>
      </c>
      <c r="O88" s="738">
        <f t="shared" si="25"/>
        <v>146.49787000000001</v>
      </c>
      <c r="P88" s="738">
        <v>18</v>
      </c>
      <c r="Q88" s="761"/>
      <c r="T88" s="762"/>
      <c r="U88" s="742">
        <f t="shared" si="8"/>
        <v>123.94</v>
      </c>
      <c r="X88" s="742">
        <f t="shared" si="7"/>
        <v>146.49787000000001</v>
      </c>
    </row>
    <row r="89" spans="1:24" s="731" customFormat="1" ht="11.25" customHeight="1">
      <c r="A89" s="728">
        <f t="shared" si="24"/>
        <v>55</v>
      </c>
      <c r="B89" s="730" t="s">
        <v>121</v>
      </c>
      <c r="C89" s="734" t="s">
        <v>116</v>
      </c>
      <c r="D89" s="3259" t="str">
        <f t="shared" si="27"/>
        <v>Kamakhya</v>
      </c>
      <c r="E89" s="3259"/>
      <c r="F89" s="756">
        <f>M182</f>
        <v>159.03</v>
      </c>
      <c r="G89" s="735">
        <f t="shared" si="13"/>
        <v>203.56</v>
      </c>
      <c r="H89" s="743">
        <f>H88</f>
        <v>5</v>
      </c>
      <c r="I89" s="737">
        <f>IF(H89 &gt; 50,'LEAD OF MATL.'!E16/1000+45*'LEAD OF MATL.'!E17/1000+(H89-50)*'LEAD OF MATL.'!E18/1000,'LEAD OF MATL.'!E16/1000+(H89-5)*'LEAD OF MATL.'!E17/1000)</f>
        <v>0.24787000000000001</v>
      </c>
      <c r="J89" s="737">
        <v>0</v>
      </c>
      <c r="K89" s="737">
        <f t="shared" si="20"/>
        <v>0.24787000000000001</v>
      </c>
      <c r="L89" s="3260">
        <f t="shared" si="21"/>
        <v>203.80787000000001</v>
      </c>
      <c r="M89" s="3260"/>
      <c r="N89" s="738">
        <f t="shared" si="15"/>
        <v>44.53</v>
      </c>
      <c r="O89" s="738">
        <f t="shared" si="25"/>
        <v>203.80787000000001</v>
      </c>
      <c r="P89" s="738">
        <v>28</v>
      </c>
      <c r="Q89" s="761"/>
      <c r="T89" s="762"/>
      <c r="U89" s="742">
        <f t="shared" si="8"/>
        <v>159.03</v>
      </c>
      <c r="X89" s="742">
        <f t="shared" si="7"/>
        <v>203.80787000000001</v>
      </c>
    </row>
    <row r="90" spans="1:24" s="731" customFormat="1" ht="11.25" customHeight="1">
      <c r="A90" s="728">
        <f t="shared" si="24"/>
        <v>56</v>
      </c>
      <c r="B90" s="730" t="s">
        <v>122</v>
      </c>
      <c r="C90" s="734" t="s">
        <v>116</v>
      </c>
      <c r="D90" s="3259" t="str">
        <f t="shared" si="27"/>
        <v>Kamakhya</v>
      </c>
      <c r="E90" s="3259"/>
      <c r="F90" s="756">
        <f>M186</f>
        <v>155.08000000000001</v>
      </c>
      <c r="G90" s="735">
        <f t="shared" si="13"/>
        <v>198.5</v>
      </c>
      <c r="H90" s="743">
        <f t="shared" si="26"/>
        <v>5</v>
      </c>
      <c r="I90" s="737">
        <f>IF(H90 &gt; 50,'LEAD OF MATL.'!E16/1000+45*'LEAD OF MATL.'!E17/1000+(H90-50)*'LEAD OF MATL.'!E18/1000,'LEAD OF MATL.'!E16/1000+(H90-5)*'LEAD OF MATL.'!E17/1000)</f>
        <v>0.24787000000000001</v>
      </c>
      <c r="J90" s="737">
        <v>0</v>
      </c>
      <c r="K90" s="737">
        <f t="shared" si="20"/>
        <v>0.24787000000000001</v>
      </c>
      <c r="L90" s="3260">
        <f t="shared" si="21"/>
        <v>198.74787000000001</v>
      </c>
      <c r="M90" s="3260"/>
      <c r="N90" s="738">
        <f t="shared" si="15"/>
        <v>43.419999999999987</v>
      </c>
      <c r="O90" s="738">
        <f t="shared" si="25"/>
        <v>198.74787000000001</v>
      </c>
      <c r="P90" s="738">
        <v>28</v>
      </c>
      <c r="Q90" s="761"/>
      <c r="T90" s="762"/>
      <c r="U90" s="742">
        <f t="shared" si="8"/>
        <v>155.08000000000001</v>
      </c>
      <c r="X90" s="742">
        <f t="shared" si="7"/>
        <v>198.74787000000001</v>
      </c>
    </row>
    <row r="91" spans="1:24" s="731" customFormat="1" ht="11.25" customHeight="1">
      <c r="A91" s="728">
        <f t="shared" si="24"/>
        <v>57</v>
      </c>
      <c r="B91" s="730" t="s">
        <v>123</v>
      </c>
      <c r="C91" s="734" t="s">
        <v>95</v>
      </c>
      <c r="D91" s="3259" t="str">
        <f t="shared" si="27"/>
        <v>Kamakhya</v>
      </c>
      <c r="E91" s="3259"/>
      <c r="F91" s="756">
        <f>M183</f>
        <v>40</v>
      </c>
      <c r="G91" s="735">
        <f t="shared" si="13"/>
        <v>51.2</v>
      </c>
      <c r="H91" s="743">
        <f t="shared" si="26"/>
        <v>5</v>
      </c>
      <c r="I91" s="737">
        <f>IF(H91 &gt; 50,'LEAD OF MATL.'!E16/1000+45*'LEAD OF MATL.'!E17/1000+(H91-50)*'LEAD OF MATL.'!E18/1000,'LEAD OF MATL.'!E16/1000+(H91-5)*'LEAD OF MATL.'!E17/1000)</f>
        <v>0.24787000000000001</v>
      </c>
      <c r="J91" s="737">
        <v>0</v>
      </c>
      <c r="K91" s="737">
        <f t="shared" si="20"/>
        <v>0.24787000000000001</v>
      </c>
      <c r="L91" s="3260">
        <f t="shared" si="21"/>
        <v>51.447870000000002</v>
      </c>
      <c r="M91" s="3260"/>
      <c r="N91" s="738">
        <f t="shared" si="15"/>
        <v>11.200000000000003</v>
      </c>
      <c r="O91" s="738">
        <f t="shared" si="25"/>
        <v>51.447870000000002</v>
      </c>
      <c r="P91" s="738">
        <f>P90</f>
        <v>28</v>
      </c>
      <c r="Q91" s="761"/>
      <c r="T91" s="762"/>
      <c r="U91" s="742">
        <f t="shared" si="8"/>
        <v>40</v>
      </c>
      <c r="X91" s="742">
        <f t="shared" si="7"/>
        <v>51.447870000000002</v>
      </c>
    </row>
    <row r="92" spans="1:24" s="731" customFormat="1" ht="11.25" customHeight="1">
      <c r="A92" s="728">
        <f t="shared" si="24"/>
        <v>58</v>
      </c>
      <c r="B92" s="730" t="s">
        <v>124</v>
      </c>
      <c r="C92" s="734" t="s">
        <v>125</v>
      </c>
      <c r="D92" s="3259" t="str">
        <f t="shared" si="27"/>
        <v>Kamakhya</v>
      </c>
      <c r="E92" s="3259"/>
      <c r="F92" s="756">
        <f>M189</f>
        <v>2017.18</v>
      </c>
      <c r="G92" s="735">
        <f t="shared" si="13"/>
        <v>2581.9899999999998</v>
      </c>
      <c r="H92" s="743">
        <f t="shared" si="26"/>
        <v>5</v>
      </c>
      <c r="I92" s="737">
        <f>IF(H92 &gt; 50,'LEAD OF MATL.'!E16/10+45*'LEAD OF MATL.'!E17/10+(H92-50)*'LEAD OF MATL.'!E18/10,'LEAD OF MATL.'!E16/10+(H92-5)*'LEAD OF MATL.'!E17/10)</f>
        <v>24.786999999999999</v>
      </c>
      <c r="J92" s="737">
        <v>0</v>
      </c>
      <c r="K92" s="737">
        <f t="shared" si="20"/>
        <v>24.786999999999999</v>
      </c>
      <c r="L92" s="3260">
        <f t="shared" si="21"/>
        <v>2606.7769999999996</v>
      </c>
      <c r="M92" s="3260"/>
      <c r="N92" s="738">
        <f t="shared" si="15"/>
        <v>564.80999999999972</v>
      </c>
      <c r="O92" s="738">
        <f t="shared" si="25"/>
        <v>2606.7769999999996</v>
      </c>
      <c r="P92" s="738">
        <v>28</v>
      </c>
      <c r="Q92" s="761"/>
      <c r="T92" s="762"/>
      <c r="U92" s="742">
        <f t="shared" si="8"/>
        <v>2017.18</v>
      </c>
      <c r="X92" s="742">
        <f t="shared" si="7"/>
        <v>2606.7769999999996</v>
      </c>
    </row>
    <row r="93" spans="1:24" s="731" customFormat="1" ht="11.25" customHeight="1">
      <c r="A93" s="728">
        <f t="shared" si="24"/>
        <v>59</v>
      </c>
      <c r="B93" s="730" t="s">
        <v>126</v>
      </c>
      <c r="C93" s="734" t="s">
        <v>95</v>
      </c>
      <c r="D93" s="3259" t="str">
        <f t="shared" si="27"/>
        <v>Kamakhya</v>
      </c>
      <c r="E93" s="3259"/>
      <c r="F93" s="756">
        <f>M184</f>
        <v>24.19</v>
      </c>
      <c r="G93" s="735">
        <f t="shared" si="13"/>
        <v>25.400000000000002</v>
      </c>
      <c r="H93" s="743">
        <f>H89</f>
        <v>5</v>
      </c>
      <c r="I93" s="737">
        <f>IF(H93 &gt; 50,'LEAD OF MATL.'!E16/1000+45*'LEAD OF MATL.'!E17/1000+(H93-50)*'LEAD OF MATL.'!E18/1000,'LEAD OF MATL.'!E16/1000+(H93-5)*'LEAD OF MATL.'!E17/1000)</f>
        <v>0.24787000000000001</v>
      </c>
      <c r="J93" s="737">
        <v>0</v>
      </c>
      <c r="K93" s="737">
        <f t="shared" si="20"/>
        <v>0.24787000000000001</v>
      </c>
      <c r="L93" s="3260">
        <f t="shared" si="21"/>
        <v>25.647870000000001</v>
      </c>
      <c r="M93" s="3260"/>
      <c r="N93" s="738">
        <f t="shared" si="15"/>
        <v>1.2100000000000009</v>
      </c>
      <c r="O93" s="738">
        <f t="shared" si="25"/>
        <v>25.647870000000001</v>
      </c>
      <c r="P93" s="738">
        <v>5</v>
      </c>
      <c r="Q93" s="761"/>
      <c r="T93" s="762"/>
      <c r="U93" s="742">
        <f t="shared" si="8"/>
        <v>24.19</v>
      </c>
      <c r="X93" s="742">
        <f t="shared" si="7"/>
        <v>25.647870000000001</v>
      </c>
    </row>
    <row r="94" spans="1:24" s="731" customFormat="1" ht="11.25" customHeight="1">
      <c r="A94" s="728">
        <f t="shared" si="24"/>
        <v>60</v>
      </c>
      <c r="B94" s="730" t="s">
        <v>127</v>
      </c>
      <c r="C94" s="734" t="s">
        <v>92</v>
      </c>
      <c r="D94" s="3259" t="str">
        <f t="shared" si="27"/>
        <v>Kamakhya</v>
      </c>
      <c r="E94" s="3259"/>
      <c r="F94" s="756">
        <f>G149</f>
        <v>209.1</v>
      </c>
      <c r="G94" s="735">
        <f t="shared" si="13"/>
        <v>246.74</v>
      </c>
      <c r="H94" s="743">
        <f>H90</f>
        <v>5</v>
      </c>
      <c r="I94" s="737">
        <f>IF(H94 &gt; 50,'LEAD OF MATL.'!E16/1000*16.4+45*'LEAD OF MATL.'!E17/1000*16.4+(H94-50)*'LEAD OF MATL.'!E18/1000*16.4,'LEAD OF MATL.'!E16/1000*16.4+(H94-5)*'LEAD OF MATL.'!E17/1000*16.4)</f>
        <v>4.0650680000000001</v>
      </c>
      <c r="J94" s="737">
        <v>0</v>
      </c>
      <c r="K94" s="737">
        <f t="shared" si="20"/>
        <v>4.0650680000000001</v>
      </c>
      <c r="L94" s="3260">
        <f t="shared" si="21"/>
        <v>250.80506800000001</v>
      </c>
      <c r="M94" s="3260"/>
      <c r="N94" s="738">
        <f t="shared" si="15"/>
        <v>37.640000000000015</v>
      </c>
      <c r="O94" s="738">
        <f t="shared" si="25"/>
        <v>250.80506800000001</v>
      </c>
      <c r="P94" s="738">
        <v>18</v>
      </c>
      <c r="Q94" s="761"/>
      <c r="T94" s="762"/>
      <c r="U94" s="742">
        <f t="shared" ref="U94:U103" si="28">G94-N94</f>
        <v>209.1</v>
      </c>
      <c r="X94" s="742">
        <f t="shared" si="7"/>
        <v>250.80506800000001</v>
      </c>
    </row>
    <row r="95" spans="1:24" s="731" customFormat="1" ht="11.25" customHeight="1">
      <c r="A95" s="728">
        <f t="shared" si="24"/>
        <v>61</v>
      </c>
      <c r="B95" s="730" t="s">
        <v>128</v>
      </c>
      <c r="C95" s="734" t="s">
        <v>129</v>
      </c>
      <c r="D95" s="3259" t="str">
        <f t="shared" si="27"/>
        <v>Kamakhya</v>
      </c>
      <c r="E95" s="3259"/>
      <c r="F95" s="756">
        <f>M149</f>
        <v>207.69</v>
      </c>
      <c r="G95" s="735">
        <f t="shared" si="13"/>
        <v>245.07</v>
      </c>
      <c r="H95" s="743">
        <f>H93</f>
        <v>5</v>
      </c>
      <c r="I95" s="737">
        <f>IF(H95 &gt; 50,'LEAD OF MATL.'!E16/1000*16.4+45*'LEAD OF MATL.'!E17/1000*16.4+(H95-50)*'LEAD OF MATL.'!E18/1000*16.4,'LEAD OF MATL.'!E16/1000*16.4+(H95-5)*'LEAD OF MATL.'!E17/1000*16.4)</f>
        <v>4.0650680000000001</v>
      </c>
      <c r="J95" s="737">
        <v>0</v>
      </c>
      <c r="K95" s="737">
        <f t="shared" si="20"/>
        <v>4.0650680000000001</v>
      </c>
      <c r="L95" s="3260">
        <f t="shared" si="21"/>
        <v>249.13506799999999</v>
      </c>
      <c r="M95" s="3260"/>
      <c r="N95" s="738">
        <f t="shared" si="15"/>
        <v>37.379999999999995</v>
      </c>
      <c r="O95" s="738">
        <f t="shared" si="25"/>
        <v>249.13506799999999</v>
      </c>
      <c r="P95" s="738">
        <v>18</v>
      </c>
      <c r="Q95" s="761"/>
      <c r="T95" s="762"/>
      <c r="U95" s="742">
        <f t="shared" si="28"/>
        <v>207.69</v>
      </c>
      <c r="X95" s="742">
        <f t="shared" si="7"/>
        <v>249.13506799999999</v>
      </c>
    </row>
    <row r="96" spans="1:24" s="731" customFormat="1" ht="11.25" customHeight="1">
      <c r="A96" s="728">
        <f t="shared" si="24"/>
        <v>62</v>
      </c>
      <c r="B96" s="730" t="s">
        <v>130</v>
      </c>
      <c r="C96" s="734" t="s">
        <v>92</v>
      </c>
      <c r="D96" s="3259" t="str">
        <f t="shared" si="27"/>
        <v>Kamakhya</v>
      </c>
      <c r="E96" s="3259"/>
      <c r="F96" s="756">
        <f>M148</f>
        <v>317.5</v>
      </c>
      <c r="G96" s="735">
        <f t="shared" si="13"/>
        <v>374.65</v>
      </c>
      <c r="H96" s="743">
        <f>H94</f>
        <v>5</v>
      </c>
      <c r="I96" s="737">
        <f>IF(H96 &gt; 50,'LEAD OF MATL.'!E16/1000*8.6+45*'LEAD OF MATL.'!E17/1000*8.6+(H96-50)*'LEAD OF MATL.'!E18/1000*8.6,'LEAD OF MATL.'!E16/1000*8.6+(H96-5)*'LEAD OF MATL.'!E17/1000*8.6)</f>
        <v>2.1316820000000001</v>
      </c>
      <c r="J96" s="737">
        <v>0</v>
      </c>
      <c r="K96" s="737">
        <f t="shared" si="20"/>
        <v>2.1316820000000001</v>
      </c>
      <c r="L96" s="3260">
        <f t="shared" si="21"/>
        <v>376.78168199999999</v>
      </c>
      <c r="M96" s="3260"/>
      <c r="N96" s="738">
        <f t="shared" si="15"/>
        <v>57.149999999999977</v>
      </c>
      <c r="O96" s="738">
        <f t="shared" si="25"/>
        <v>376.78168199999999</v>
      </c>
      <c r="P96" s="738">
        <v>18</v>
      </c>
      <c r="Q96" s="824" t="s">
        <v>3166</v>
      </c>
      <c r="T96" s="762"/>
      <c r="U96" s="742">
        <f t="shared" si="28"/>
        <v>317.5</v>
      </c>
      <c r="X96" s="742">
        <f t="shared" si="7"/>
        <v>376.78168199999999</v>
      </c>
    </row>
    <row r="97" spans="1:24" s="731" customFormat="1" ht="11.25" customHeight="1">
      <c r="A97" s="728">
        <f t="shared" si="24"/>
        <v>63</v>
      </c>
      <c r="B97" s="730" t="s">
        <v>131</v>
      </c>
      <c r="C97" s="734" t="s">
        <v>95</v>
      </c>
      <c r="D97" s="3259" t="str">
        <f t="shared" si="27"/>
        <v>Kamakhya</v>
      </c>
      <c r="E97" s="3259"/>
      <c r="F97" s="756">
        <f>M181</f>
        <v>2.38</v>
      </c>
      <c r="G97" s="735">
        <f t="shared" si="13"/>
        <v>2.81</v>
      </c>
      <c r="H97" s="743"/>
      <c r="I97" s="737">
        <f>M181</f>
        <v>2.38</v>
      </c>
      <c r="J97" s="737">
        <v>0</v>
      </c>
      <c r="K97" s="737"/>
      <c r="L97" s="3260">
        <f>G97+K97</f>
        <v>2.81</v>
      </c>
      <c r="M97" s="3260"/>
      <c r="N97" s="738"/>
      <c r="O97" s="738">
        <f t="shared" si="25"/>
        <v>2.81</v>
      </c>
      <c r="P97" s="738">
        <v>18</v>
      </c>
      <c r="Q97" s="766" t="s">
        <v>132</v>
      </c>
      <c r="R97" s="728" t="s">
        <v>41</v>
      </c>
      <c r="S97" s="728" t="s">
        <v>133</v>
      </c>
      <c r="T97" s="728" t="s">
        <v>134</v>
      </c>
      <c r="U97" s="742">
        <f t="shared" si="28"/>
        <v>2.81</v>
      </c>
      <c r="X97" s="742">
        <f t="shared" si="7"/>
        <v>5.1899999999999995</v>
      </c>
    </row>
    <row r="98" spans="1:24" s="731" customFormat="1" ht="11.25" customHeight="1">
      <c r="A98" s="728">
        <f t="shared" si="24"/>
        <v>64</v>
      </c>
      <c r="B98" s="730" t="s">
        <v>135</v>
      </c>
      <c r="C98" s="734" t="s">
        <v>136</v>
      </c>
      <c r="D98" s="3283" t="s">
        <v>137</v>
      </c>
      <c r="E98" s="3283"/>
      <c r="F98" s="756">
        <f t="shared" ref="F98:F103" si="29">Q98-R98</f>
        <v>566.1</v>
      </c>
      <c r="G98" s="735">
        <f t="shared" si="13"/>
        <v>668</v>
      </c>
      <c r="H98" s="736">
        <v>50</v>
      </c>
      <c r="I98" s="737">
        <f>IF(H98 &gt; 50,'LEAD OF MATL.'!F16/12.5+45*'LEAD OF MATL.'!F17/12.5+(H98-50)*'LEAD OF MATL.'!F18/12.5,'LEAD OF MATL.'!F16/12.5+(H98-5)*'LEAD OF MATL.'!F17/12.5)</f>
        <v>409.87279999999998</v>
      </c>
      <c r="J98" s="737">
        <v>0</v>
      </c>
      <c r="K98" s="737">
        <f t="shared" si="20"/>
        <v>409.87279999999998</v>
      </c>
      <c r="L98" s="3260">
        <f t="shared" si="21"/>
        <v>1077.8728000000001</v>
      </c>
      <c r="M98" s="3260"/>
      <c r="N98" s="738">
        <f t="shared" ref="N98:N103" si="30">G98-F98</f>
        <v>101.89999999999998</v>
      </c>
      <c r="O98" s="738">
        <f t="shared" si="25"/>
        <v>1077.8728000000001</v>
      </c>
      <c r="P98" s="738">
        <v>18</v>
      </c>
      <c r="Q98" s="756">
        <v>668</v>
      </c>
      <c r="R98" s="767">
        <f t="shared" ref="R98:R103" si="31">ROUND(Q98*18/118,2)</f>
        <v>101.9</v>
      </c>
      <c r="S98" s="756">
        <v>427</v>
      </c>
      <c r="T98" s="756">
        <v>709</v>
      </c>
      <c r="U98" s="742">
        <f t="shared" si="28"/>
        <v>566.1</v>
      </c>
      <c r="X98" s="742">
        <f t="shared" si="7"/>
        <v>1077.8728000000001</v>
      </c>
    </row>
    <row r="99" spans="1:24" s="731" customFormat="1" ht="11.25" customHeight="1">
      <c r="A99" s="728">
        <f t="shared" si="24"/>
        <v>65</v>
      </c>
      <c r="B99" s="730" t="s">
        <v>138</v>
      </c>
      <c r="C99" s="734" t="s">
        <v>136</v>
      </c>
      <c r="D99" s="3259" t="str">
        <f>D98</f>
        <v>Dhenkanal</v>
      </c>
      <c r="E99" s="3259"/>
      <c r="F99" s="756">
        <f t="shared" si="29"/>
        <v>1094.07</v>
      </c>
      <c r="G99" s="735">
        <f t="shared" si="13"/>
        <v>1291</v>
      </c>
      <c r="H99" s="743">
        <f>H98</f>
        <v>50</v>
      </c>
      <c r="I99" s="737">
        <f>IF(H99 &gt; 50,'LEAD OF MATL.'!F16/12.5+45*'LEAD OF MATL.'!F17/12.5+(H99-50)*'LEAD OF MATL.'!F18/12.5,'LEAD OF MATL.'!F16/12.5+(H99-5)*'LEAD OF MATL.'!F17/12.5)</f>
        <v>409.87279999999998</v>
      </c>
      <c r="J99" s="737">
        <v>0</v>
      </c>
      <c r="K99" s="737">
        <f t="shared" si="20"/>
        <v>409.87279999999998</v>
      </c>
      <c r="L99" s="3260">
        <f t="shared" si="21"/>
        <v>1700.8728000000001</v>
      </c>
      <c r="M99" s="3260"/>
      <c r="N99" s="738">
        <f t="shared" si="30"/>
        <v>196.93000000000006</v>
      </c>
      <c r="O99" s="738">
        <f t="shared" si="25"/>
        <v>1700.8728000000001</v>
      </c>
      <c r="P99" s="738">
        <v>18</v>
      </c>
      <c r="Q99" s="756">
        <v>1291</v>
      </c>
      <c r="R99" s="767">
        <f t="shared" si="31"/>
        <v>196.93</v>
      </c>
      <c r="S99" s="756">
        <v>651</v>
      </c>
      <c r="T99" s="756">
        <v>1441</v>
      </c>
      <c r="U99" s="742">
        <f t="shared" si="28"/>
        <v>1094.07</v>
      </c>
      <c r="X99" s="742">
        <f t="shared" si="7"/>
        <v>1700.8728000000001</v>
      </c>
    </row>
    <row r="100" spans="1:24" s="731" customFormat="1" ht="11.25" customHeight="1">
      <c r="A100" s="728">
        <f t="shared" si="24"/>
        <v>66</v>
      </c>
      <c r="B100" s="730" t="s">
        <v>139</v>
      </c>
      <c r="C100" s="734" t="s">
        <v>136</v>
      </c>
      <c r="D100" s="3259" t="str">
        <f>D99</f>
        <v>Dhenkanal</v>
      </c>
      <c r="E100" s="3259"/>
      <c r="F100" s="756">
        <f t="shared" si="29"/>
        <v>1664.41</v>
      </c>
      <c r="G100" s="735">
        <f t="shared" ref="G100:G103" si="32">F100+ROUND(F100*P100%,2)</f>
        <v>1964</v>
      </c>
      <c r="H100" s="743">
        <f>H99</f>
        <v>50</v>
      </c>
      <c r="I100" s="737">
        <f>IF(H100 &gt; 50,'LEAD OF MATL.'!F16/12.5+45*'LEAD OF MATL.'!F17/12.5+(H100-50)*'LEAD OF MATL.'!F18/12.5,'LEAD OF MATL.'!F16/12.5+(H100-5)*'LEAD OF MATL.'!F17/12.5)</f>
        <v>409.87279999999998</v>
      </c>
      <c r="J100" s="737">
        <v>0</v>
      </c>
      <c r="K100" s="737">
        <f t="shared" si="20"/>
        <v>409.87279999999998</v>
      </c>
      <c r="L100" s="3260">
        <f t="shared" si="21"/>
        <v>2373.8728000000001</v>
      </c>
      <c r="M100" s="3260"/>
      <c r="N100" s="738">
        <f t="shared" si="30"/>
        <v>299.58999999999992</v>
      </c>
      <c r="O100" s="738">
        <f t="shared" si="25"/>
        <v>2373.8728000000001</v>
      </c>
      <c r="P100" s="738">
        <v>18</v>
      </c>
      <c r="Q100" s="756">
        <v>1964</v>
      </c>
      <c r="R100" s="767">
        <f t="shared" si="31"/>
        <v>299.58999999999997</v>
      </c>
      <c r="S100" s="756">
        <v>1034</v>
      </c>
      <c r="T100" s="756">
        <v>2400</v>
      </c>
      <c r="U100" s="742">
        <f t="shared" si="28"/>
        <v>1664.41</v>
      </c>
      <c r="X100" s="742">
        <f t="shared" si="7"/>
        <v>2373.8728000000001</v>
      </c>
    </row>
    <row r="101" spans="1:24" s="731" customFormat="1" ht="11.25" customHeight="1">
      <c r="A101" s="728">
        <f t="shared" si="24"/>
        <v>67</v>
      </c>
      <c r="B101" s="730" t="s">
        <v>140</v>
      </c>
      <c r="C101" s="734" t="s">
        <v>136</v>
      </c>
      <c r="D101" s="3259" t="str">
        <f>D100</f>
        <v>Dhenkanal</v>
      </c>
      <c r="E101" s="3259"/>
      <c r="F101" s="756">
        <f t="shared" si="29"/>
        <v>3219.49</v>
      </c>
      <c r="G101" s="735">
        <f t="shared" si="32"/>
        <v>3799</v>
      </c>
      <c r="H101" s="743">
        <f>H100</f>
        <v>50</v>
      </c>
      <c r="I101" s="737">
        <f>IF(H101 &gt; 50,'LEAD OF MATL.'!F16/7.5+45*'LEAD OF MATL.'!F17/7.5+(H101-50)*'LEAD OF MATL.'!F18/7.5,'LEAD OF MATL.'!F16/7.5+(H101-5)*'LEAD OF MATL.'!F17/7.5)</f>
        <v>683.12133333333327</v>
      </c>
      <c r="J101" s="737">
        <v>0</v>
      </c>
      <c r="K101" s="737">
        <f t="shared" si="20"/>
        <v>683.12133333333327</v>
      </c>
      <c r="L101" s="3260">
        <f t="shared" si="21"/>
        <v>4482.1213333333335</v>
      </c>
      <c r="M101" s="3260"/>
      <c r="N101" s="738">
        <f t="shared" si="30"/>
        <v>579.51000000000022</v>
      </c>
      <c r="O101" s="738">
        <f t="shared" si="25"/>
        <v>4482.1213333333335</v>
      </c>
      <c r="P101" s="738">
        <v>18</v>
      </c>
      <c r="Q101" s="756">
        <v>3799</v>
      </c>
      <c r="R101" s="767">
        <f t="shared" si="31"/>
        <v>579.51</v>
      </c>
      <c r="S101" s="756">
        <v>2065</v>
      </c>
      <c r="T101" s="756">
        <v>4695</v>
      </c>
      <c r="U101" s="742">
        <f t="shared" si="28"/>
        <v>3219.49</v>
      </c>
      <c r="X101" s="742">
        <f t="shared" si="7"/>
        <v>4482.1213333333335</v>
      </c>
    </row>
    <row r="102" spans="1:24" s="731" customFormat="1" ht="11.25" customHeight="1">
      <c r="A102" s="728">
        <f t="shared" si="24"/>
        <v>68</v>
      </c>
      <c r="B102" s="730" t="s">
        <v>141</v>
      </c>
      <c r="C102" s="734" t="s">
        <v>136</v>
      </c>
      <c r="D102" s="3259" t="str">
        <f>D101</f>
        <v>Dhenkanal</v>
      </c>
      <c r="E102" s="3259"/>
      <c r="F102" s="756">
        <f t="shared" si="29"/>
        <v>3927.12</v>
      </c>
      <c r="G102" s="735">
        <f t="shared" si="32"/>
        <v>4634</v>
      </c>
      <c r="H102" s="743">
        <f>H101</f>
        <v>50</v>
      </c>
      <c r="I102" s="737">
        <f>IF(H102 &gt; 50,'LEAD OF MATL.'!F16/7.5+45*'LEAD OF MATL.'!F17/7.5+(H102-50)*'LEAD OF MATL.'!F18/7.5,'LEAD OF MATL.'!F16/7.5+(H102-5)*'LEAD OF MATL.'!F17/7.5)</f>
        <v>683.12133333333327</v>
      </c>
      <c r="J102" s="737">
        <v>0</v>
      </c>
      <c r="K102" s="737">
        <f t="shared" si="20"/>
        <v>683.12133333333327</v>
      </c>
      <c r="L102" s="3260">
        <f t="shared" si="21"/>
        <v>5317.1213333333335</v>
      </c>
      <c r="M102" s="3260"/>
      <c r="N102" s="738">
        <f t="shared" si="30"/>
        <v>706.88000000000011</v>
      </c>
      <c r="O102" s="738">
        <f>L102-J102</f>
        <v>5317.1213333333335</v>
      </c>
      <c r="P102" s="738">
        <v>18</v>
      </c>
      <c r="Q102" s="756">
        <v>4634</v>
      </c>
      <c r="R102" s="767">
        <f t="shared" si="31"/>
        <v>706.88</v>
      </c>
      <c r="S102" s="756">
        <v>2480</v>
      </c>
      <c r="T102" s="756">
        <v>5954</v>
      </c>
      <c r="U102" s="742">
        <f t="shared" si="28"/>
        <v>3927.12</v>
      </c>
      <c r="X102" s="742">
        <f t="shared" si="7"/>
        <v>5317.1213333333335</v>
      </c>
    </row>
    <row r="103" spans="1:24" s="731" customFormat="1" ht="11.25" customHeight="1">
      <c r="A103" s="728">
        <f t="shared" si="24"/>
        <v>69</v>
      </c>
      <c r="B103" s="730" t="s">
        <v>142</v>
      </c>
      <c r="C103" s="734" t="s">
        <v>136</v>
      </c>
      <c r="D103" s="3259" t="str">
        <f>D102</f>
        <v>Dhenkanal</v>
      </c>
      <c r="E103" s="3259"/>
      <c r="F103" s="756">
        <f t="shared" si="29"/>
        <v>5140.68</v>
      </c>
      <c r="G103" s="735">
        <f t="shared" si="32"/>
        <v>6066</v>
      </c>
      <c r="H103" s="743">
        <f>H102</f>
        <v>50</v>
      </c>
      <c r="I103" s="737">
        <f>IF(H103 &gt; 50,'LEAD OF MATL.'!F16/7.5+45*'LEAD OF MATL.'!F17/7.5+(H103-50)*'LEAD OF MATL.'!F18/7.5,'LEAD OF MATL.'!F16/7.5+(H103-5)*'LEAD OF MATL.'!F17/7.5)</f>
        <v>683.12133333333327</v>
      </c>
      <c r="J103" s="737">
        <v>0</v>
      </c>
      <c r="K103" s="737">
        <f t="shared" si="20"/>
        <v>683.12133333333327</v>
      </c>
      <c r="L103" s="3260">
        <f t="shared" si="21"/>
        <v>6749.1213333333335</v>
      </c>
      <c r="M103" s="3260"/>
      <c r="N103" s="738">
        <f t="shared" si="30"/>
        <v>925.31999999999971</v>
      </c>
      <c r="O103" s="738">
        <f t="shared" si="25"/>
        <v>6749.1213333333335</v>
      </c>
      <c r="P103" s="738">
        <v>18</v>
      </c>
      <c r="Q103" s="756">
        <v>6066</v>
      </c>
      <c r="R103" s="767">
        <f t="shared" si="31"/>
        <v>925.32</v>
      </c>
      <c r="S103" s="756">
        <v>3256</v>
      </c>
      <c r="T103" s="756">
        <v>7882</v>
      </c>
      <c r="U103" s="742">
        <f t="shared" si="28"/>
        <v>5140.68</v>
      </c>
      <c r="X103" s="742">
        <f>G103+I103</f>
        <v>6749.1213333333335</v>
      </c>
    </row>
    <row r="104" spans="1:24" s="731" customFormat="1" ht="11.25" customHeight="1">
      <c r="A104" s="768"/>
      <c r="C104" s="764"/>
      <c r="D104" s="764"/>
      <c r="E104" s="764"/>
      <c r="F104" s="764"/>
      <c r="G104" s="769"/>
      <c r="H104" s="768"/>
      <c r="I104" s="742"/>
      <c r="J104" s="742"/>
      <c r="K104" s="742"/>
      <c r="L104" s="770"/>
      <c r="M104" s="770"/>
      <c r="N104" s="771"/>
      <c r="O104" s="771"/>
      <c r="P104" s="771"/>
      <c r="Q104" s="769"/>
      <c r="T104" s="762"/>
      <c r="X104" s="742"/>
    </row>
    <row r="105" spans="1:24" s="731" customFormat="1" ht="11.25" customHeight="1">
      <c r="A105" s="768"/>
      <c r="C105" s="764"/>
      <c r="D105" s="764"/>
      <c r="E105" s="764"/>
      <c r="F105" s="764"/>
      <c r="G105" s="769"/>
      <c r="H105" s="768"/>
      <c r="I105" s="742"/>
      <c r="J105" s="742"/>
      <c r="K105" s="742"/>
      <c r="L105" s="770"/>
      <c r="M105" s="770"/>
      <c r="N105" s="771"/>
      <c r="O105" s="771"/>
      <c r="P105" s="771"/>
      <c r="Q105" s="769"/>
      <c r="T105" s="762"/>
      <c r="X105" s="742"/>
    </row>
    <row r="106" spans="1:24" s="731" customFormat="1" ht="11.25" customHeight="1">
      <c r="A106" s="768"/>
      <c r="C106" s="764"/>
      <c r="D106" s="764"/>
      <c r="E106" s="764"/>
      <c r="F106" s="764"/>
      <c r="G106" s="769"/>
      <c r="H106" s="768"/>
      <c r="I106" s="742"/>
      <c r="J106" s="742"/>
      <c r="K106" s="742"/>
      <c r="L106" s="770"/>
      <c r="M106" s="770"/>
      <c r="N106" s="771"/>
      <c r="O106" s="771"/>
      <c r="P106" s="771"/>
      <c r="Q106" s="769"/>
      <c r="T106" s="762"/>
      <c r="X106" s="742"/>
    </row>
    <row r="107" spans="1:24" s="731" customFormat="1" ht="11.25" customHeight="1">
      <c r="A107" s="768"/>
      <c r="B107" s="3270" t="s">
        <v>143</v>
      </c>
      <c r="C107" s="3270"/>
      <c r="D107" s="3270"/>
      <c r="E107" s="3270"/>
      <c r="F107" s="3270"/>
      <c r="G107" s="3270"/>
      <c r="H107" s="3270"/>
      <c r="I107" s="3270"/>
      <c r="J107" s="3270"/>
      <c r="K107" s="3270"/>
      <c r="L107" s="3270"/>
      <c r="M107" s="3270"/>
      <c r="N107" s="3270"/>
      <c r="O107" s="772"/>
      <c r="P107" s="772"/>
      <c r="Q107" s="761"/>
      <c r="T107" s="762"/>
    </row>
    <row r="108" spans="1:24" s="731" customFormat="1" ht="11.25" customHeight="1">
      <c r="A108" s="3271" t="s">
        <v>144</v>
      </c>
      <c r="B108" s="3271"/>
      <c r="C108" s="3271"/>
      <c r="D108" s="3271"/>
      <c r="E108" s="3271"/>
      <c r="F108" s="3271"/>
      <c r="G108" s="3271"/>
      <c r="H108" s="3271"/>
      <c r="I108" s="3271"/>
      <c r="J108" s="3271"/>
      <c r="K108" s="3271"/>
      <c r="L108" s="3271"/>
      <c r="M108" s="3271"/>
      <c r="N108" s="773"/>
      <c r="O108" s="773"/>
      <c r="P108" s="773"/>
      <c r="R108" s="761"/>
      <c r="T108" s="762"/>
    </row>
    <row r="109" spans="1:24" s="731" customFormat="1" ht="11.25" customHeight="1">
      <c r="A109" s="774" t="s">
        <v>22</v>
      </c>
      <c r="B109" s="775" t="s">
        <v>145</v>
      </c>
      <c r="C109" s="775" t="s">
        <v>1</v>
      </c>
      <c r="D109" s="3272" t="s">
        <v>146</v>
      </c>
      <c r="E109" s="3273"/>
      <c r="F109" s="775"/>
      <c r="G109" s="775" t="s">
        <v>147</v>
      </c>
      <c r="H109" s="3274" t="s">
        <v>148</v>
      </c>
      <c r="I109" s="3275"/>
      <c r="J109" s="3276" t="s">
        <v>149</v>
      </c>
      <c r="K109" s="776"/>
      <c r="L109" s="3274" t="s">
        <v>150</v>
      </c>
      <c r="M109" s="3275"/>
      <c r="N109" s="777"/>
      <c r="O109" s="777"/>
      <c r="P109" s="777"/>
      <c r="R109" s="761"/>
      <c r="T109" s="762"/>
    </row>
    <row r="110" spans="1:24" s="731" customFormat="1" ht="11.25" customHeight="1">
      <c r="A110" s="778"/>
      <c r="B110" s="779"/>
      <c r="C110" s="779"/>
      <c r="D110" s="780"/>
      <c r="E110" s="779"/>
      <c r="F110" s="779"/>
      <c r="G110" s="779"/>
      <c r="H110" s="781"/>
      <c r="I110" s="781"/>
      <c r="J110" s="3277"/>
      <c r="K110" s="776"/>
      <c r="L110" s="781"/>
      <c r="M110" s="782"/>
      <c r="N110" s="777"/>
      <c r="O110" s="777"/>
      <c r="P110" s="777"/>
      <c r="R110" s="761"/>
      <c r="T110" s="762"/>
    </row>
    <row r="111" spans="1:24" s="731" customFormat="1" ht="11.25" customHeight="1">
      <c r="A111" s="783" t="s">
        <v>37</v>
      </c>
      <c r="B111" s="784"/>
      <c r="C111" s="784" t="s">
        <v>151</v>
      </c>
      <c r="D111" s="3279"/>
      <c r="E111" s="3280"/>
      <c r="F111" s="779"/>
      <c r="G111" s="784" t="s">
        <v>8</v>
      </c>
      <c r="H111" s="3281" t="s">
        <v>152</v>
      </c>
      <c r="I111" s="3282"/>
      <c r="J111" s="3278"/>
      <c r="K111" s="776"/>
      <c r="L111" s="3304" t="s">
        <v>44</v>
      </c>
      <c r="M111" s="3305"/>
      <c r="N111" s="785"/>
      <c r="O111" s="785"/>
      <c r="P111" s="785"/>
      <c r="R111" s="761"/>
      <c r="T111" s="762"/>
    </row>
    <row r="112" spans="1:24" s="731" customFormat="1" ht="11.25" customHeight="1">
      <c r="A112" s="786">
        <v>1</v>
      </c>
      <c r="B112" s="787" t="s">
        <v>153</v>
      </c>
      <c r="C112" s="788" t="s">
        <v>91</v>
      </c>
      <c r="D112" s="3295" t="s">
        <v>154</v>
      </c>
      <c r="E112" s="3295"/>
      <c r="F112" s="789"/>
      <c r="G112" s="789" t="s">
        <v>155</v>
      </c>
      <c r="H112" s="3296">
        <v>6400</v>
      </c>
      <c r="I112" s="3296"/>
      <c r="J112" s="790">
        <f>ROUND((H112*28/128),2)</f>
        <v>1400</v>
      </c>
      <c r="K112" s="776"/>
      <c r="L112" s="3306">
        <f>H112-J112</f>
        <v>5000</v>
      </c>
      <c r="M112" s="3307"/>
      <c r="N112" s="791"/>
      <c r="O112" s="791"/>
      <c r="P112" s="791"/>
      <c r="R112" s="761"/>
      <c r="T112" s="762"/>
    </row>
    <row r="113" spans="1:21" s="731" customFormat="1" ht="11.25" customHeight="1">
      <c r="A113" s="786">
        <v>2</v>
      </c>
      <c r="B113" s="787" t="s">
        <v>156</v>
      </c>
      <c r="C113" s="792" t="s">
        <v>91</v>
      </c>
      <c r="D113" s="3295" t="s">
        <v>154</v>
      </c>
      <c r="E113" s="3295"/>
      <c r="F113" s="789"/>
      <c r="G113" s="789" t="s">
        <v>155</v>
      </c>
      <c r="H113" s="3296">
        <f>H112</f>
        <v>6400</v>
      </c>
      <c r="I113" s="3296"/>
      <c r="J113" s="790">
        <f>ROUND((H113*28/128),2)</f>
        <v>1400</v>
      </c>
      <c r="K113" s="776"/>
      <c r="L113" s="3306">
        <f>H113-J113</f>
        <v>5000</v>
      </c>
      <c r="M113" s="3307"/>
      <c r="N113" s="791"/>
      <c r="O113" s="791"/>
      <c r="P113" s="791"/>
      <c r="R113" s="761"/>
      <c r="T113" s="762"/>
    </row>
    <row r="114" spans="1:21" s="731" customFormat="1" ht="11.25" customHeight="1">
      <c r="A114" s="786">
        <v>3</v>
      </c>
      <c r="B114" s="787" t="s">
        <v>157</v>
      </c>
      <c r="C114" s="792" t="s">
        <v>91</v>
      </c>
      <c r="D114" s="3295" t="s">
        <v>158</v>
      </c>
      <c r="E114" s="3295"/>
      <c r="F114" s="789"/>
      <c r="G114" s="789" t="s">
        <v>159</v>
      </c>
      <c r="H114" s="3296">
        <f>H113</f>
        <v>6400</v>
      </c>
      <c r="I114" s="3296"/>
      <c r="J114" s="790">
        <f>ROUND((H114*28/128),2)</f>
        <v>1400</v>
      </c>
      <c r="K114" s="776"/>
      <c r="L114" s="3297">
        <f>H114-J114</f>
        <v>5000</v>
      </c>
      <c r="M114" s="3298"/>
      <c r="N114" s="791"/>
      <c r="O114" s="791"/>
      <c r="P114" s="791"/>
      <c r="R114" s="761"/>
      <c r="T114" s="762"/>
    </row>
    <row r="115" spans="1:21" s="731" customFormat="1" ht="11.25" customHeight="1">
      <c r="A115" s="793"/>
      <c r="B115" s="794" t="s">
        <v>160</v>
      </c>
      <c r="C115" s="795"/>
      <c r="D115" s="796"/>
      <c r="E115" s="788" t="s">
        <v>161</v>
      </c>
      <c r="F115" s="788"/>
      <c r="G115" s="3299">
        <f>SUM(L112:L114)</f>
        <v>15000</v>
      </c>
      <c r="H115" s="3299"/>
      <c r="I115" s="3300" t="s">
        <v>162</v>
      </c>
      <c r="J115" s="3301"/>
      <c r="K115" s="776"/>
      <c r="L115" s="3302">
        <f>G115/3</f>
        <v>5000</v>
      </c>
      <c r="M115" s="3303"/>
      <c r="N115" s="797"/>
      <c r="O115" s="797"/>
      <c r="P115" s="797"/>
      <c r="R115" s="761"/>
      <c r="T115" s="762"/>
    </row>
    <row r="116" spans="1:21" s="731" customFormat="1" ht="11.25" customHeight="1">
      <c r="A116" s="798" t="s">
        <v>163</v>
      </c>
      <c r="B116" s="798"/>
      <c r="C116" s="798"/>
      <c r="D116" s="798"/>
      <c r="E116" s="799"/>
      <c r="F116" s="781"/>
      <c r="G116" s="800"/>
      <c r="H116" s="800"/>
      <c r="I116" s="800"/>
      <c r="J116" s="800"/>
      <c r="K116" s="801"/>
      <c r="L116" s="802"/>
      <c r="M116" s="802"/>
      <c r="N116" s="803"/>
      <c r="O116" s="803"/>
      <c r="P116" s="803"/>
      <c r="R116" s="761"/>
      <c r="T116" s="762"/>
    </row>
    <row r="117" spans="1:21" s="731" customFormat="1" ht="11.25" customHeight="1">
      <c r="A117" s="774" t="s">
        <v>22</v>
      </c>
      <c r="B117" s="775" t="s">
        <v>145</v>
      </c>
      <c r="C117" s="804" t="s">
        <v>1</v>
      </c>
      <c r="D117" s="3284" t="s">
        <v>146</v>
      </c>
      <c r="E117" s="3284"/>
      <c r="F117" s="805"/>
      <c r="G117" s="3285" t="s">
        <v>164</v>
      </c>
      <c r="H117" s="3288" t="s">
        <v>165</v>
      </c>
      <c r="I117" s="3290" t="s">
        <v>166</v>
      </c>
      <c r="J117" s="3276" t="s">
        <v>167</v>
      </c>
      <c r="K117" s="774"/>
      <c r="L117" s="3291" t="s">
        <v>150</v>
      </c>
      <c r="M117" s="3292"/>
      <c r="N117" s="806"/>
      <c r="O117" s="806"/>
      <c r="P117" s="806"/>
      <c r="R117" s="761"/>
      <c r="T117" s="762"/>
    </row>
    <row r="118" spans="1:21" s="731" customFormat="1" ht="11.25" customHeight="1">
      <c r="A118" s="778"/>
      <c r="B118" s="779"/>
      <c r="C118" s="785"/>
      <c r="D118" s="3284"/>
      <c r="E118" s="3284"/>
      <c r="F118" s="805"/>
      <c r="G118" s="3286"/>
      <c r="H118" s="3286"/>
      <c r="I118" s="3290"/>
      <c r="J118" s="3286"/>
      <c r="K118" s="778"/>
      <c r="L118" s="807"/>
      <c r="M118" s="808"/>
      <c r="N118" s="806"/>
      <c r="O118" s="806"/>
      <c r="P118" s="806"/>
      <c r="R118" s="761"/>
      <c r="T118" s="762"/>
    </row>
    <row r="119" spans="1:21" s="731" customFormat="1" ht="11.25" customHeight="1">
      <c r="A119" s="778" t="s">
        <v>37</v>
      </c>
      <c r="B119" s="779"/>
      <c r="C119" s="809" t="s">
        <v>151</v>
      </c>
      <c r="D119" s="3284"/>
      <c r="E119" s="3284"/>
      <c r="F119" s="805"/>
      <c r="G119" s="3287"/>
      <c r="H119" s="3289"/>
      <c r="I119" s="3290"/>
      <c r="J119" s="3278"/>
      <c r="K119" s="783"/>
      <c r="L119" s="3293" t="s">
        <v>44</v>
      </c>
      <c r="M119" s="3294"/>
      <c r="N119" s="810"/>
      <c r="O119" s="810"/>
      <c r="P119" s="810"/>
      <c r="R119" s="761"/>
      <c r="T119" s="762"/>
    </row>
    <row r="120" spans="1:21" s="731" customFormat="1" ht="11.25" customHeight="1">
      <c r="A120" s="811">
        <v>1</v>
      </c>
      <c r="B120" s="812" t="s">
        <v>168</v>
      </c>
      <c r="C120" s="813" t="s">
        <v>91</v>
      </c>
      <c r="D120" s="3314" t="s">
        <v>3207</v>
      </c>
      <c r="E120" s="3314"/>
      <c r="F120" s="814"/>
      <c r="G120" s="815" t="s">
        <v>169</v>
      </c>
      <c r="H120" s="816">
        <f>'Lead &amp; ANALYSIS'!H125</f>
        <v>76898.3</v>
      </c>
      <c r="I120" s="817"/>
      <c r="J120" s="790">
        <f>ROUND((H120*18/118),2)</f>
        <v>11730.25</v>
      </c>
      <c r="K120" s="818"/>
      <c r="L120" s="3315">
        <f t="shared" ref="L120:L125" si="33">H120-J120</f>
        <v>65168.05</v>
      </c>
      <c r="M120" s="3315"/>
      <c r="N120" s="819"/>
      <c r="O120" s="819"/>
      <c r="P120" s="819"/>
      <c r="R120" s="761"/>
      <c r="T120" s="762"/>
    </row>
    <row r="121" spans="1:21" s="731" customFormat="1" ht="11.25" customHeight="1">
      <c r="A121" s="820"/>
      <c r="B121" s="821"/>
      <c r="C121" s="813" t="s">
        <v>91</v>
      </c>
      <c r="D121" s="3314"/>
      <c r="E121" s="3314"/>
      <c r="F121" s="814"/>
      <c r="G121" s="815" t="s">
        <v>170</v>
      </c>
      <c r="H121" s="816">
        <f>H120</f>
        <v>76898.3</v>
      </c>
      <c r="I121" s="817"/>
      <c r="J121" s="790">
        <f t="shared" ref="J121:J125" si="34">ROUND((H121*18/118),2)</f>
        <v>11730.25</v>
      </c>
      <c r="K121" s="818"/>
      <c r="L121" s="3315">
        <f t="shared" si="33"/>
        <v>65168.05</v>
      </c>
      <c r="M121" s="3315"/>
      <c r="N121" s="819"/>
      <c r="O121" s="819"/>
      <c r="P121" s="819"/>
      <c r="R121" s="761"/>
      <c r="T121" s="762"/>
    </row>
    <row r="122" spans="1:21" s="731" customFormat="1" ht="11.25" customHeight="1">
      <c r="A122" s="820"/>
      <c r="B122" s="821"/>
      <c r="C122" s="813" t="s">
        <v>91</v>
      </c>
      <c r="D122" s="3314"/>
      <c r="E122" s="3314"/>
      <c r="F122" s="814"/>
      <c r="G122" s="815" t="s">
        <v>171</v>
      </c>
      <c r="H122" s="816">
        <f>H121</f>
        <v>76898.3</v>
      </c>
      <c r="I122" s="817"/>
      <c r="J122" s="790">
        <f t="shared" si="34"/>
        <v>11730.25</v>
      </c>
      <c r="K122" s="818"/>
      <c r="L122" s="3315">
        <f t="shared" si="33"/>
        <v>65168.05</v>
      </c>
      <c r="M122" s="3315"/>
      <c r="N122" s="819"/>
      <c r="O122" s="819"/>
      <c r="P122" s="819"/>
      <c r="R122" s="761"/>
      <c r="T122" s="768" t="s">
        <v>172</v>
      </c>
    </row>
    <row r="123" spans="1:21" s="731" customFormat="1" ht="11.25" customHeight="1">
      <c r="A123" s="822"/>
      <c r="B123" s="823"/>
      <c r="C123" s="813" t="s">
        <v>91</v>
      </c>
      <c r="D123" s="3314"/>
      <c r="E123" s="3314"/>
      <c r="F123" s="814"/>
      <c r="G123" s="815" t="s">
        <v>173</v>
      </c>
      <c r="H123" s="816">
        <f>H122</f>
        <v>76898.3</v>
      </c>
      <c r="I123" s="817"/>
      <c r="J123" s="790">
        <f t="shared" si="34"/>
        <v>11730.25</v>
      </c>
      <c r="K123" s="818"/>
      <c r="L123" s="3316">
        <f t="shared" si="33"/>
        <v>65168.05</v>
      </c>
      <c r="M123" s="3316"/>
      <c r="N123" s="819"/>
      <c r="O123" s="819"/>
      <c r="P123" s="819"/>
      <c r="R123" s="761"/>
      <c r="T123" s="762"/>
    </row>
    <row r="124" spans="1:21" s="731" customFormat="1" ht="11.25" customHeight="1">
      <c r="A124" s="822"/>
      <c r="B124" s="823"/>
      <c r="C124" s="813" t="s">
        <v>91</v>
      </c>
      <c r="D124" s="3314"/>
      <c r="E124" s="3314"/>
      <c r="F124" s="814"/>
      <c r="G124" s="815" t="s">
        <v>174</v>
      </c>
      <c r="H124" s="816">
        <f>H123</f>
        <v>76898.3</v>
      </c>
      <c r="I124" s="817"/>
      <c r="J124" s="790">
        <f t="shared" si="34"/>
        <v>11730.25</v>
      </c>
      <c r="K124" s="818"/>
      <c r="L124" s="3316">
        <f t="shared" si="33"/>
        <v>65168.05</v>
      </c>
      <c r="M124" s="3316"/>
      <c r="N124" s="819"/>
      <c r="O124" s="819"/>
      <c r="P124" s="819"/>
      <c r="R124" s="824"/>
      <c r="S124" s="768" t="s">
        <v>175</v>
      </c>
      <c r="T124" s="762"/>
      <c r="U124" s="768" t="s">
        <v>176</v>
      </c>
    </row>
    <row r="125" spans="1:21" s="731" customFormat="1" ht="11.25" customHeight="1">
      <c r="A125" s="825"/>
      <c r="B125" s="826"/>
      <c r="C125" s="813" t="s">
        <v>91</v>
      </c>
      <c r="D125" s="3314"/>
      <c r="E125" s="3314"/>
      <c r="F125" s="814"/>
      <c r="G125" s="815" t="s">
        <v>177</v>
      </c>
      <c r="H125" s="816">
        <f>H124</f>
        <v>76898.3</v>
      </c>
      <c r="I125" s="817"/>
      <c r="J125" s="790">
        <f t="shared" si="34"/>
        <v>11730.25</v>
      </c>
      <c r="K125" s="818"/>
      <c r="L125" s="3316">
        <f t="shared" si="33"/>
        <v>65168.05</v>
      </c>
      <c r="M125" s="3316"/>
      <c r="N125" s="819"/>
      <c r="O125" s="819"/>
      <c r="P125" s="819"/>
      <c r="R125" s="827" t="s">
        <v>178</v>
      </c>
      <c r="S125" s="762"/>
      <c r="T125" s="768" t="s">
        <v>179</v>
      </c>
      <c r="U125" s="762"/>
    </row>
    <row r="126" spans="1:21" s="731" customFormat="1" ht="11.25" customHeight="1">
      <c r="A126" s="793"/>
      <c r="B126" s="794" t="s">
        <v>160</v>
      </c>
      <c r="C126" s="795"/>
      <c r="D126" s="810" t="s">
        <v>161</v>
      </c>
      <c r="E126" s="3311">
        <f>SUM(L120:L125)</f>
        <v>391008.3</v>
      </c>
      <c r="F126" s="3311"/>
      <c r="G126" s="3311"/>
      <c r="H126" s="3312" t="s">
        <v>180</v>
      </c>
      <c r="I126" s="3312"/>
      <c r="J126" s="806"/>
      <c r="K126" s="806"/>
      <c r="L126" s="3313">
        <f>E126/6</f>
        <v>65168.049999999996</v>
      </c>
      <c r="M126" s="3313"/>
      <c r="N126" s="828"/>
      <c r="O126" s="828"/>
      <c r="P126" s="828"/>
      <c r="R126" s="761"/>
      <c r="T126" s="762"/>
    </row>
    <row r="127" spans="1:21" s="731" customFormat="1" ht="11.25" customHeight="1">
      <c r="A127" s="829"/>
      <c r="B127" s="830"/>
      <c r="C127" s="764"/>
      <c r="D127" s="831"/>
      <c r="E127" s="832"/>
      <c r="F127" s="832"/>
      <c r="G127" s="832"/>
      <c r="H127" s="768"/>
      <c r="I127" s="768"/>
      <c r="J127" s="770"/>
      <c r="K127" s="770"/>
      <c r="L127" s="833"/>
      <c r="M127" s="833"/>
      <c r="N127" s="834"/>
      <c r="O127" s="834"/>
      <c r="P127" s="834"/>
      <c r="R127" s="761"/>
      <c r="T127" s="762"/>
    </row>
    <row r="128" spans="1:21" s="731" customFormat="1" ht="11.25" customHeight="1">
      <c r="B128" s="835" t="s">
        <v>181</v>
      </c>
      <c r="C128" s="764"/>
      <c r="D128" s="831"/>
      <c r="E128" s="832"/>
      <c r="F128" s="832"/>
      <c r="G128" s="1183">
        <f>SUM(H120:H125)/6</f>
        <v>76898.3</v>
      </c>
      <c r="H128" s="768"/>
      <c r="I128" s="3269" t="s">
        <v>2</v>
      </c>
      <c r="J128" s="3269"/>
      <c r="K128" s="3269"/>
      <c r="L128" s="3249" t="s">
        <v>182</v>
      </c>
      <c r="M128" s="3249"/>
      <c r="N128" s="834"/>
      <c r="O128" s="834"/>
      <c r="P128" s="834"/>
      <c r="Q128" s="730" t="s">
        <v>183</v>
      </c>
      <c r="R128" s="766">
        <v>174</v>
      </c>
      <c r="S128" s="756">
        <v>176</v>
      </c>
      <c r="T128" s="756">
        <v>182</v>
      </c>
      <c r="U128" s="756">
        <f>T128</f>
        <v>182</v>
      </c>
    </row>
    <row r="129" spans="1:25" s="731" customFormat="1" ht="11.25" customHeight="1">
      <c r="C129" s="836"/>
      <c r="D129" s="830" t="s">
        <v>184</v>
      </c>
      <c r="I129" s="728" t="s">
        <v>161</v>
      </c>
      <c r="J129" s="839">
        <v>213.5</v>
      </c>
      <c r="K129" s="839"/>
      <c r="L129" s="3308">
        <v>182</v>
      </c>
      <c r="M129" s="3308"/>
      <c r="N129" s="770">
        <f>K129</f>
        <v>0</v>
      </c>
      <c r="O129" s="770"/>
      <c r="P129" s="770"/>
      <c r="Q129" s="756">
        <v>150</v>
      </c>
      <c r="R129" s="711">
        <v>200</v>
      </c>
      <c r="S129" s="756">
        <v>207.2</v>
      </c>
      <c r="T129" s="839">
        <v>213.5</v>
      </c>
      <c r="U129" s="712">
        <v>224.3</v>
      </c>
    </row>
    <row r="130" spans="1:25" s="731" customFormat="1" ht="11.25" customHeight="1">
      <c r="A130" s="768"/>
      <c r="D130" s="830" t="s">
        <v>185</v>
      </c>
      <c r="G130" s="1183"/>
      <c r="I130" s="728" t="s">
        <v>161</v>
      </c>
      <c r="J130" s="711">
        <v>233.5</v>
      </c>
      <c r="K130" s="713"/>
      <c r="L130" s="3308">
        <f>U130</f>
        <v>244.3</v>
      </c>
      <c r="M130" s="3308"/>
      <c r="N130" s="770">
        <f>K130</f>
        <v>0</v>
      </c>
      <c r="O130" s="770"/>
      <c r="P130" s="770"/>
      <c r="Q130" s="756">
        <v>170</v>
      </c>
      <c r="R130" s="711">
        <v>220</v>
      </c>
      <c r="S130" s="756">
        <f>R130+7.2</f>
        <v>227.2</v>
      </c>
      <c r="T130" s="711">
        <v>233.5</v>
      </c>
      <c r="U130" s="712">
        <v>244.3</v>
      </c>
    </row>
    <row r="131" spans="1:25" s="731" customFormat="1" ht="11.25" customHeight="1">
      <c r="A131" s="768"/>
      <c r="D131" s="830" t="s">
        <v>186</v>
      </c>
      <c r="G131" s="1183"/>
      <c r="I131" s="728" t="s">
        <v>161</v>
      </c>
      <c r="J131" s="711">
        <v>253.5</v>
      </c>
      <c r="K131" s="713"/>
      <c r="L131" s="3308">
        <f>U131</f>
        <v>264.3</v>
      </c>
      <c r="M131" s="3308"/>
      <c r="N131" s="770">
        <f>K131</f>
        <v>0</v>
      </c>
      <c r="O131" s="770"/>
      <c r="P131" s="770"/>
      <c r="Q131" s="756">
        <v>190</v>
      </c>
      <c r="R131" s="711">
        <v>240</v>
      </c>
      <c r="S131" s="756">
        <f>R131+7.2</f>
        <v>247.2</v>
      </c>
      <c r="T131" s="711">
        <v>253.5</v>
      </c>
      <c r="U131" s="712">
        <v>264.3</v>
      </c>
    </row>
    <row r="132" spans="1:25" s="731" customFormat="1" ht="11.25" customHeight="1">
      <c r="A132" s="768"/>
      <c r="D132" s="830" t="s">
        <v>187</v>
      </c>
      <c r="G132" s="1183"/>
      <c r="I132" s="728" t="s">
        <v>161</v>
      </c>
      <c r="J132" s="711">
        <v>273.5</v>
      </c>
      <c r="K132" s="713"/>
      <c r="L132" s="3308">
        <f>U132</f>
        <v>284.3</v>
      </c>
      <c r="M132" s="3308"/>
      <c r="N132" s="770">
        <f>K132</f>
        <v>0</v>
      </c>
      <c r="O132" s="770"/>
      <c r="P132" s="770"/>
      <c r="Q132" s="756">
        <v>205</v>
      </c>
      <c r="R132" s="711">
        <v>260</v>
      </c>
      <c r="S132" s="756">
        <f>R132+7.2</f>
        <v>267.2</v>
      </c>
      <c r="T132" s="711">
        <v>273.5</v>
      </c>
      <c r="U132" s="712">
        <v>284.3</v>
      </c>
    </row>
    <row r="133" spans="1:25" s="731" customFormat="1" ht="11.25" customHeight="1">
      <c r="A133" s="768"/>
      <c r="E133" s="768"/>
      <c r="F133" s="768"/>
      <c r="H133" s="762"/>
      <c r="I133" s="764"/>
      <c r="L133" s="762"/>
      <c r="T133" s="762"/>
    </row>
    <row r="134" spans="1:25" s="731" customFormat="1" ht="11.25" customHeight="1">
      <c r="A134" s="768"/>
      <c r="E134" s="768"/>
      <c r="F134" s="768"/>
      <c r="H134" s="762"/>
      <c r="I134" s="764"/>
      <c r="L134" s="762"/>
      <c r="T134" s="762"/>
    </row>
    <row r="135" spans="1:25" s="768" customFormat="1">
      <c r="B135" s="3309" t="s">
        <v>188</v>
      </c>
      <c r="C135" s="3309"/>
      <c r="H135" s="840" t="s">
        <v>189</v>
      </c>
      <c r="L135" s="840" t="s">
        <v>190</v>
      </c>
    </row>
    <row r="136" spans="1:25" s="768" customFormat="1">
      <c r="B136" s="3309" t="s">
        <v>191</v>
      </c>
      <c r="C136" s="3309"/>
      <c r="H136" s="840" t="str">
        <f>B136</f>
        <v>Kamakhyanagar Block</v>
      </c>
      <c r="L136" s="840" t="str">
        <f>H136</f>
        <v>Kamakhyanagar Block</v>
      </c>
    </row>
    <row r="137" spans="1:25" s="733" customFormat="1">
      <c r="A137" s="3310" t="s">
        <v>192</v>
      </c>
      <c r="B137" s="3310"/>
      <c r="C137" s="3310"/>
      <c r="D137" s="3310"/>
      <c r="E137" s="3310"/>
      <c r="F137" s="3310"/>
      <c r="G137" s="3310"/>
      <c r="H137" s="3310"/>
      <c r="I137" s="3310"/>
      <c r="J137" s="3310"/>
      <c r="K137" s="3310"/>
      <c r="L137" s="3310"/>
      <c r="M137" s="3310"/>
      <c r="N137" s="3310"/>
      <c r="O137" s="841"/>
      <c r="P137" s="841"/>
      <c r="T137" s="842"/>
    </row>
    <row r="138" spans="1:25" ht="15" customHeight="1">
      <c r="A138" s="3326" t="str">
        <f>A2</f>
        <v>NAME OF THE WORK:-</v>
      </c>
      <c r="B138" s="3326"/>
      <c r="C138" s="3326"/>
      <c r="D138" s="3327" t="str">
        <f>D2</f>
        <v>CONSTRUCTION OF</v>
      </c>
      <c r="E138" s="3327"/>
      <c r="F138" s="3327"/>
      <c r="G138" s="3327"/>
      <c r="H138" s="3327"/>
      <c r="I138" s="3327"/>
      <c r="J138" s="3327"/>
      <c r="K138" s="3327"/>
      <c r="L138" s="3327"/>
      <c r="M138" s="3327"/>
      <c r="N138" s="3327"/>
      <c r="O138" s="843"/>
      <c r="P138" s="843"/>
    </row>
    <row r="139" spans="1:25" ht="15" customHeight="1">
      <c r="A139" s="3326" t="str">
        <f>A3</f>
        <v>NAME OF THE G.P.:-</v>
      </c>
      <c r="B139" s="3326"/>
      <c r="C139" s="3326"/>
      <c r="D139" s="3327" t="str">
        <f>D3</f>
        <v>Badasuanlo</v>
      </c>
      <c r="E139" s="3327"/>
      <c r="F139" s="3327"/>
      <c r="G139" s="3327"/>
      <c r="H139" s="3327"/>
      <c r="I139" s="3327"/>
      <c r="J139" s="3327"/>
      <c r="K139" s="3327"/>
      <c r="L139" s="3327"/>
      <c r="M139" s="3327"/>
      <c r="N139" s="3327"/>
      <c r="O139" s="843"/>
      <c r="P139" s="843"/>
    </row>
    <row r="140" spans="1:25" ht="15" customHeight="1">
      <c r="A140" s="3326" t="str">
        <f>A4</f>
        <v>NAME OF THE SCHEME:-</v>
      </c>
      <c r="B140" s="3326"/>
      <c r="C140" s="3326"/>
      <c r="D140" s="3327" t="str">
        <f>D4</f>
        <v>4th SFC Devolution Fund</v>
      </c>
      <c r="E140" s="3327"/>
      <c r="F140" s="3327"/>
      <c r="G140" s="3327"/>
      <c r="H140" s="3327"/>
      <c r="I140" s="3327"/>
      <c r="J140" s="3327"/>
      <c r="K140" s="3327"/>
      <c r="L140" s="3327"/>
      <c r="M140" s="3327"/>
      <c r="N140" s="3327"/>
      <c r="O140" s="843"/>
      <c r="P140" s="843"/>
    </row>
    <row r="141" spans="1:25" s="733" customFormat="1" ht="17.25" customHeight="1">
      <c r="A141" s="800" t="s">
        <v>193</v>
      </c>
      <c r="B141" s="844"/>
      <c r="C141" s="795"/>
      <c r="D141" s="796"/>
      <c r="E141" s="795"/>
      <c r="F141" s="795"/>
      <c r="G141" s="796"/>
      <c r="H141" s="796"/>
      <c r="I141" s="796"/>
      <c r="J141" s="845"/>
      <c r="K141" s="796"/>
      <c r="L141" s="785"/>
      <c r="M141" s="846"/>
      <c r="N141" s="846"/>
      <c r="O141" s="846"/>
      <c r="P141" s="846"/>
      <c r="Q141" s="847"/>
      <c r="R141" s="3322" t="s">
        <v>194</v>
      </c>
      <c r="S141" s="3322"/>
      <c r="T141" s="3322" t="s">
        <v>195</v>
      </c>
      <c r="U141" s="3322"/>
      <c r="V141" s="3322" t="s">
        <v>196</v>
      </c>
      <c r="W141" s="3322"/>
      <c r="X141" s="847"/>
    </row>
    <row r="142" spans="1:25" s="733" customFormat="1" ht="12.75" customHeight="1">
      <c r="A142" s="774" t="s">
        <v>22</v>
      </c>
      <c r="B142" s="3272" t="s">
        <v>197</v>
      </c>
      <c r="C142" s="3323"/>
      <c r="D142" s="3273"/>
      <c r="E142" s="848" t="s">
        <v>198</v>
      </c>
      <c r="F142" s="849"/>
      <c r="G142" s="850" t="s">
        <v>199</v>
      </c>
      <c r="H142" s="851" t="s">
        <v>22</v>
      </c>
      <c r="I142" s="3301" t="s">
        <v>197</v>
      </c>
      <c r="J142" s="3324"/>
      <c r="K142" s="3325"/>
      <c r="L142" s="848" t="s">
        <v>200</v>
      </c>
      <c r="M142" s="850" t="s">
        <v>199</v>
      </c>
      <c r="N142" s="852"/>
      <c r="O142" s="714"/>
      <c r="P142" s="714"/>
      <c r="Q142" s="853" t="str">
        <f>I142</f>
        <v>Materials link with Analysis</v>
      </c>
      <c r="R142" s="854" t="s">
        <v>199</v>
      </c>
      <c r="S142" s="855" t="s">
        <v>199</v>
      </c>
      <c r="T142" s="854" t="s">
        <v>199</v>
      </c>
      <c r="U142" s="854" t="s">
        <v>199</v>
      </c>
      <c r="V142" s="854" t="s">
        <v>199</v>
      </c>
      <c r="W142" s="854" t="s">
        <v>199</v>
      </c>
      <c r="X142" s="730"/>
    </row>
    <row r="143" spans="1:25" s="733" customFormat="1" ht="12.75" customHeight="1">
      <c r="A143" s="856" t="s">
        <v>201</v>
      </c>
      <c r="B143" s="857" t="s">
        <v>202</v>
      </c>
      <c r="C143" s="857"/>
      <c r="D143" s="858"/>
      <c r="E143" s="858"/>
      <c r="F143" s="858"/>
      <c r="G143" s="856"/>
      <c r="H143" s="859">
        <v>1</v>
      </c>
      <c r="I143" s="860" t="str">
        <f>X143</f>
        <v>Sal bullah120mm dia</v>
      </c>
      <c r="J143" s="857"/>
      <c r="K143" s="861"/>
      <c r="L143" s="862" t="s">
        <v>136</v>
      </c>
      <c r="M143" s="863">
        <f>U143</f>
        <v>51.87</v>
      </c>
      <c r="N143" s="864"/>
      <c r="O143" s="714"/>
      <c r="P143" s="714"/>
      <c r="Q143" s="865" t="s">
        <v>203</v>
      </c>
      <c r="R143" s="760"/>
      <c r="S143" s="737">
        <f>'BASIC COST OF MATL'!J100</f>
        <v>92</v>
      </c>
      <c r="T143" s="866"/>
      <c r="U143" s="867">
        <f>'BASIC COST OF MATL'!K100</f>
        <v>51.87</v>
      </c>
      <c r="V143" s="760"/>
      <c r="W143" s="867">
        <v>94</v>
      </c>
      <c r="X143" s="868" t="s">
        <v>204</v>
      </c>
      <c r="Y143" s="869" t="s">
        <v>205</v>
      </c>
    </row>
    <row r="144" spans="1:25" s="733" customFormat="1" ht="12.75" customHeight="1">
      <c r="A144" s="859">
        <f t="shared" ref="A144:A149" si="35">H144-1</f>
        <v>2</v>
      </c>
      <c r="B144" s="870" t="str">
        <f t="shared" ref="B144:B149" si="36">Q144</f>
        <v xml:space="preserve">Binding Wire </v>
      </c>
      <c r="C144" s="870"/>
      <c r="D144" s="870"/>
      <c r="E144" s="862" t="s">
        <v>95</v>
      </c>
      <c r="F144" s="862"/>
      <c r="G144" s="871">
        <f>T144</f>
        <v>90.1</v>
      </c>
      <c r="H144" s="859">
        <f t="shared" ref="H144:H149" si="37">H143+2</f>
        <v>3</v>
      </c>
      <c r="I144" s="860" t="str">
        <f>X144</f>
        <v>Nonsal bullah 80mm dia</v>
      </c>
      <c r="J144" s="872"/>
      <c r="K144" s="861"/>
      <c r="L144" s="862" t="s">
        <v>136</v>
      </c>
      <c r="M144" s="863">
        <f t="shared" ref="M144:M187" si="38">U144</f>
        <v>30.81</v>
      </c>
      <c r="N144" s="864"/>
      <c r="O144" s="714"/>
      <c r="P144" s="714"/>
      <c r="Q144" s="868" t="s">
        <v>206</v>
      </c>
      <c r="R144" s="738">
        <v>60</v>
      </c>
      <c r="S144" s="737">
        <f>'BASIC COST OF MATL'!J108</f>
        <v>44</v>
      </c>
      <c r="T144" s="873">
        <f>'BASIC COST OF MATL'!K188</f>
        <v>90.1</v>
      </c>
      <c r="U144" s="867">
        <f>'BASIC COST OF MATL'!K108</f>
        <v>30.81</v>
      </c>
      <c r="V144" s="738">
        <v>60</v>
      </c>
      <c r="W144" s="867">
        <v>46</v>
      </c>
      <c r="X144" s="868" t="s">
        <v>207</v>
      </c>
      <c r="Y144" s="869" t="s">
        <v>205</v>
      </c>
    </row>
    <row r="145" spans="1:25" s="733" customFormat="1" ht="12.75" customHeight="1">
      <c r="A145" s="859">
        <f t="shared" si="35"/>
        <v>4</v>
      </c>
      <c r="B145" s="870" t="str">
        <f t="shared" si="36"/>
        <v>Nnonsal planks / scanting</v>
      </c>
      <c r="C145" s="857"/>
      <c r="D145" s="872"/>
      <c r="E145" s="862" t="s">
        <v>49</v>
      </c>
      <c r="F145" s="862"/>
      <c r="G145" s="871">
        <f>T145</f>
        <v>58374.79</v>
      </c>
      <c r="H145" s="859">
        <f t="shared" si="37"/>
        <v>5</v>
      </c>
      <c r="I145" s="860" t="str">
        <f>X145</f>
        <v>Nonsal bullah120mm dia</v>
      </c>
      <c r="J145" s="872"/>
      <c r="K145" s="861"/>
      <c r="L145" s="862" t="s">
        <v>136</v>
      </c>
      <c r="M145" s="863">
        <f t="shared" si="38"/>
        <v>41.81</v>
      </c>
      <c r="N145" s="864"/>
      <c r="O145" s="714"/>
      <c r="P145" s="714"/>
      <c r="Q145" s="868" t="s">
        <v>208</v>
      </c>
      <c r="R145" s="751">
        <v>16800</v>
      </c>
      <c r="S145" s="738">
        <v>66</v>
      </c>
      <c r="T145" s="874">
        <f>'BASIC COST OF MATL'!K120</f>
        <v>58374.79</v>
      </c>
      <c r="U145" s="738">
        <f>'BASIC COST OF MATL'!K110</f>
        <v>41.81</v>
      </c>
      <c r="V145" s="751">
        <v>16600</v>
      </c>
      <c r="W145" s="738">
        <v>71</v>
      </c>
      <c r="X145" s="868" t="s">
        <v>209</v>
      </c>
      <c r="Y145" s="869" t="s">
        <v>205</v>
      </c>
    </row>
    <row r="146" spans="1:25" s="733" customFormat="1" ht="12.75" customHeight="1">
      <c r="A146" s="859">
        <f t="shared" si="35"/>
        <v>6</v>
      </c>
      <c r="B146" s="870" t="str">
        <f t="shared" si="36"/>
        <v>Piasal wood Planks</v>
      </c>
      <c r="C146" s="875"/>
      <c r="D146" s="876"/>
      <c r="E146" s="862" t="s">
        <v>49</v>
      </c>
      <c r="F146" s="862"/>
      <c r="G146" s="871">
        <f>T146</f>
        <v>74369.67</v>
      </c>
      <c r="H146" s="859">
        <f t="shared" si="37"/>
        <v>7</v>
      </c>
      <c r="I146" s="860" t="str">
        <f>X146</f>
        <v>Teak wood Planks</v>
      </c>
      <c r="J146" s="872"/>
      <c r="K146" s="861"/>
      <c r="L146" s="862" t="s">
        <v>49</v>
      </c>
      <c r="M146" s="863">
        <f t="shared" si="38"/>
        <v>114414.94</v>
      </c>
      <c r="N146" s="864"/>
      <c r="O146" s="714"/>
      <c r="P146" s="714"/>
      <c r="Q146" s="868" t="s">
        <v>210</v>
      </c>
      <c r="R146" s="751">
        <v>47192</v>
      </c>
      <c r="S146" s="738">
        <v>62100</v>
      </c>
      <c r="T146" s="874">
        <f>'BASIC COST OF MATL'!K118</f>
        <v>74369.67</v>
      </c>
      <c r="U146" s="738">
        <f>'BASIC COST OF MATL'!K119</f>
        <v>114414.94</v>
      </c>
      <c r="V146" s="751">
        <v>47740</v>
      </c>
      <c r="W146" s="738">
        <v>67430</v>
      </c>
      <c r="X146" s="868" t="s">
        <v>211</v>
      </c>
      <c r="Y146" s="869"/>
    </row>
    <row r="147" spans="1:25" s="733" customFormat="1" ht="12.75" customHeight="1">
      <c r="A147" s="859">
        <f t="shared" si="35"/>
        <v>8</v>
      </c>
      <c r="B147" s="870" t="str">
        <f t="shared" si="36"/>
        <v>Non Sal reepers</v>
      </c>
      <c r="C147" s="875"/>
      <c r="D147" s="876"/>
      <c r="E147" s="862" t="s">
        <v>49</v>
      </c>
      <c r="F147" s="862"/>
      <c r="G147" s="871">
        <f>T147</f>
        <v>13268.45</v>
      </c>
      <c r="H147" s="859">
        <f t="shared" si="37"/>
        <v>9</v>
      </c>
      <c r="I147" s="860" t="str">
        <f>X147</f>
        <v>Fire wood</v>
      </c>
      <c r="J147" s="872"/>
      <c r="K147" s="861"/>
      <c r="L147" s="862" t="s">
        <v>49</v>
      </c>
      <c r="M147" s="863">
        <f>U147</f>
        <v>746.99</v>
      </c>
      <c r="N147" s="864"/>
      <c r="O147" s="714"/>
      <c r="P147" s="714"/>
      <c r="Q147" s="868" t="s">
        <v>212</v>
      </c>
      <c r="R147" s="751">
        <v>10941</v>
      </c>
      <c r="S147" s="738">
        <v>385</v>
      </c>
      <c r="T147" s="874">
        <f>'BASIC COST OF MATL'!K121</f>
        <v>13268.45</v>
      </c>
      <c r="U147" s="738">
        <f>'BASIC COST OF MATL'!K122</f>
        <v>746.99</v>
      </c>
      <c r="V147" s="751">
        <v>12100</v>
      </c>
      <c r="W147" s="738">
        <v>437</v>
      </c>
      <c r="X147" s="868" t="s">
        <v>213</v>
      </c>
      <c r="Y147" s="869"/>
    </row>
    <row r="148" spans="1:25" s="733" customFormat="1" ht="12.75" customHeight="1">
      <c r="A148" s="859">
        <f t="shared" si="35"/>
        <v>10</v>
      </c>
      <c r="B148" s="870" t="str">
        <f t="shared" si="36"/>
        <v xml:space="preserve">Bentonite Powder </v>
      </c>
      <c r="C148" s="876"/>
      <c r="D148" s="876"/>
      <c r="E148" s="862" t="s">
        <v>214</v>
      </c>
      <c r="F148" s="862"/>
      <c r="G148" s="871">
        <f t="shared" ref="G148:G188" si="39">T148</f>
        <v>168.935</v>
      </c>
      <c r="H148" s="859">
        <f t="shared" si="37"/>
        <v>11</v>
      </c>
      <c r="I148" s="860" t="s">
        <v>215</v>
      </c>
      <c r="J148" s="872"/>
      <c r="K148" s="861"/>
      <c r="L148" s="862" t="s">
        <v>92</v>
      </c>
      <c r="M148" s="863">
        <f t="shared" si="38"/>
        <v>317.5</v>
      </c>
      <c r="N148" s="864"/>
      <c r="O148" s="714"/>
      <c r="P148" s="714"/>
      <c r="Q148" s="868" t="s">
        <v>216</v>
      </c>
      <c r="R148" s="737">
        <v>111.5</v>
      </c>
      <c r="S148" s="737">
        <v>260</v>
      </c>
      <c r="T148" s="877">
        <f>'BASIC COST OF MATL'!K206/2</f>
        <v>168.935</v>
      </c>
      <c r="U148" s="737">
        <f>'BASIC COST OF MATL'!K175</f>
        <v>317.5</v>
      </c>
      <c r="V148" s="737">
        <v>111.5</v>
      </c>
      <c r="W148" s="737">
        <v>260</v>
      </c>
      <c r="X148" s="868" t="s">
        <v>217</v>
      </c>
      <c r="Y148" s="869" t="s">
        <v>205</v>
      </c>
    </row>
    <row r="149" spans="1:25" s="733" customFormat="1" ht="12.75" customHeight="1">
      <c r="A149" s="859">
        <f t="shared" si="35"/>
        <v>12</v>
      </c>
      <c r="B149" s="870" t="str">
        <f t="shared" si="36"/>
        <v>AC sheet</v>
      </c>
      <c r="C149" s="876"/>
      <c r="D149" s="876"/>
      <c r="E149" s="862" t="s">
        <v>92</v>
      </c>
      <c r="F149" s="878"/>
      <c r="G149" s="871">
        <f>T149</f>
        <v>209.1</v>
      </c>
      <c r="H149" s="859">
        <f t="shared" si="37"/>
        <v>13</v>
      </c>
      <c r="I149" s="860" t="s">
        <v>128</v>
      </c>
      <c r="J149" s="872"/>
      <c r="K149" s="861"/>
      <c r="L149" s="862" t="s">
        <v>218</v>
      </c>
      <c r="M149" s="863">
        <f>U149</f>
        <v>207.69</v>
      </c>
      <c r="N149" s="864"/>
      <c r="O149" s="714"/>
      <c r="P149" s="714"/>
      <c r="Q149" s="879" t="s">
        <v>219</v>
      </c>
      <c r="R149" s="737"/>
      <c r="S149" s="737">
        <v>171</v>
      </c>
      <c r="T149" s="877">
        <f>'BASIC COST OF MATL'!K177</f>
        <v>209.1</v>
      </c>
      <c r="U149" s="737">
        <f>'BASIC COST OF MATL'!K178</f>
        <v>207.69</v>
      </c>
      <c r="V149" s="737"/>
      <c r="W149" s="737">
        <v>171</v>
      </c>
      <c r="X149" s="868" t="s">
        <v>128</v>
      </c>
      <c r="Y149" s="869"/>
    </row>
    <row r="150" spans="1:25" s="733" customFormat="1" ht="12.75" customHeight="1">
      <c r="A150" s="880" t="s">
        <v>220</v>
      </c>
      <c r="B150" s="857" t="s">
        <v>221</v>
      </c>
      <c r="C150" s="857"/>
      <c r="D150" s="858"/>
      <c r="E150" s="858"/>
      <c r="F150" s="858"/>
      <c r="G150" s="871"/>
      <c r="H150" s="859">
        <f>H149+1</f>
        <v>14</v>
      </c>
      <c r="I150" s="881" t="s">
        <v>222</v>
      </c>
      <c r="J150" s="849"/>
      <c r="K150" s="848"/>
      <c r="L150" s="862" t="s">
        <v>92</v>
      </c>
      <c r="M150" s="863">
        <f t="shared" si="38"/>
        <v>254.75</v>
      </c>
      <c r="N150" s="864"/>
      <c r="O150" s="714"/>
      <c r="P150" s="714"/>
      <c r="Q150" s="865" t="s">
        <v>223</v>
      </c>
      <c r="R150" s="760"/>
      <c r="S150" s="737">
        <v>198</v>
      </c>
      <c r="T150" s="866"/>
      <c r="U150" s="737">
        <f>'BASIC COST OF MATL'!K158</f>
        <v>254.75</v>
      </c>
      <c r="V150" s="760"/>
      <c r="W150" s="737">
        <v>198</v>
      </c>
      <c r="X150" s="882" t="s">
        <v>222</v>
      </c>
      <c r="Y150" s="869" t="s">
        <v>205</v>
      </c>
    </row>
    <row r="151" spans="1:25" s="733" customFormat="1" ht="12.75" customHeight="1">
      <c r="A151" s="859">
        <f t="shared" ref="A151:A159" si="40">H151-1</f>
        <v>15</v>
      </c>
      <c r="B151" s="883" t="s">
        <v>224</v>
      </c>
      <c r="C151" s="809"/>
      <c r="D151" s="809"/>
      <c r="E151" s="862" t="s">
        <v>92</v>
      </c>
      <c r="F151" s="862"/>
      <c r="G151" s="871">
        <f t="shared" si="39"/>
        <v>677.95</v>
      </c>
      <c r="H151" s="859">
        <f t="shared" ref="H151:H190" si="41">H150+2</f>
        <v>16</v>
      </c>
      <c r="I151" s="881" t="s">
        <v>225</v>
      </c>
      <c r="J151" s="849"/>
      <c r="K151" s="848"/>
      <c r="L151" s="862" t="s">
        <v>92</v>
      </c>
      <c r="M151" s="863">
        <f t="shared" si="38"/>
        <v>500.2</v>
      </c>
      <c r="N151" s="864"/>
      <c r="O151" s="714"/>
      <c r="P151" s="714"/>
      <c r="Q151" s="882" t="s">
        <v>224</v>
      </c>
      <c r="R151" s="737">
        <v>550</v>
      </c>
      <c r="S151" s="737">
        <v>447</v>
      </c>
      <c r="T151" s="877">
        <f>'BASIC COST OF MATL'!K135</f>
        <v>677.95</v>
      </c>
      <c r="U151" s="737">
        <f>'BASIC COST OF MATL'!K139</f>
        <v>500.2</v>
      </c>
      <c r="V151" s="737">
        <v>550</v>
      </c>
      <c r="W151" s="737">
        <v>447</v>
      </c>
      <c r="X151" s="882" t="s">
        <v>225</v>
      </c>
      <c r="Y151" s="869" t="s">
        <v>205</v>
      </c>
    </row>
    <row r="152" spans="1:25" s="733" customFormat="1" ht="12.75" customHeight="1">
      <c r="A152" s="859">
        <f t="shared" si="40"/>
        <v>17</v>
      </c>
      <c r="B152" s="883" t="str">
        <f>Q152</f>
        <v>Marble tile upto 0.10Sqm</v>
      </c>
      <c r="C152" s="809"/>
      <c r="D152" s="809"/>
      <c r="E152" s="862" t="s">
        <v>92</v>
      </c>
      <c r="F152" s="862"/>
      <c r="G152" s="871">
        <f t="shared" si="39"/>
        <v>550.99</v>
      </c>
      <c r="H152" s="859">
        <f t="shared" si="41"/>
        <v>18</v>
      </c>
      <c r="I152" s="881" t="str">
        <f>X152</f>
        <v>Marble tle (0.4Sqm -1Sqm)</v>
      </c>
      <c r="J152" s="849"/>
      <c r="K152" s="848"/>
      <c r="L152" s="862" t="s">
        <v>92</v>
      </c>
      <c r="M152" s="863">
        <f t="shared" si="38"/>
        <v>766.45</v>
      </c>
      <c r="N152" s="864"/>
      <c r="O152" s="714"/>
      <c r="P152" s="714"/>
      <c r="Q152" s="882" t="s">
        <v>226</v>
      </c>
      <c r="R152" s="737"/>
      <c r="S152" s="737">
        <v>682</v>
      </c>
      <c r="T152" s="877">
        <f>'BASIC COST OF MATL'!K134</f>
        <v>550.99</v>
      </c>
      <c r="U152" s="737">
        <f>'BASIC COST OF MATL'!K136</f>
        <v>766.45</v>
      </c>
      <c r="V152" s="737"/>
      <c r="W152" s="737">
        <v>682</v>
      </c>
      <c r="X152" s="882" t="s">
        <v>227</v>
      </c>
      <c r="Y152" s="869"/>
    </row>
    <row r="153" spans="1:25" s="733" customFormat="1" ht="12.75" customHeight="1">
      <c r="A153" s="859">
        <f t="shared" si="40"/>
        <v>19</v>
      </c>
      <c r="B153" s="884" t="s">
        <v>228</v>
      </c>
      <c r="C153" s="849"/>
      <c r="D153" s="849"/>
      <c r="E153" s="862" t="s">
        <v>92</v>
      </c>
      <c r="F153" s="862"/>
      <c r="G153" s="871">
        <f t="shared" si="39"/>
        <v>440</v>
      </c>
      <c r="H153" s="859">
        <f t="shared" si="41"/>
        <v>20</v>
      </c>
      <c r="I153" s="881" t="s">
        <v>229</v>
      </c>
      <c r="J153" s="849"/>
      <c r="K153" s="848"/>
      <c r="L153" s="862" t="s">
        <v>92</v>
      </c>
      <c r="M153" s="863">
        <f t="shared" si="38"/>
        <v>405.2</v>
      </c>
      <c r="N153" s="864"/>
      <c r="O153" s="714"/>
      <c r="P153" s="714"/>
      <c r="Q153" s="882" t="s">
        <v>228</v>
      </c>
      <c r="R153" s="737">
        <v>355</v>
      </c>
      <c r="S153" s="737">
        <v>352</v>
      </c>
      <c r="T153" s="877">
        <f>'BASIC COST OF MATL'!K153</f>
        <v>440</v>
      </c>
      <c r="U153" s="737">
        <f>'BASIC COST OF MATL'!K151</f>
        <v>405.2</v>
      </c>
      <c r="V153" s="737">
        <v>355</v>
      </c>
      <c r="W153" s="737">
        <v>352</v>
      </c>
      <c r="X153" s="882" t="s">
        <v>229</v>
      </c>
      <c r="Y153" s="869" t="s">
        <v>205</v>
      </c>
    </row>
    <row r="154" spans="1:25" s="733" customFormat="1" ht="12.75" customHeight="1">
      <c r="A154" s="859">
        <f t="shared" si="40"/>
        <v>21</v>
      </c>
      <c r="B154" s="885" t="str">
        <f t="shared" ref="B154:B160" si="42">Q154</f>
        <v>Vertified tile ( 600x 600)Printed</v>
      </c>
      <c r="C154" s="804"/>
      <c r="D154" s="804"/>
      <c r="E154" s="862" t="s">
        <v>92</v>
      </c>
      <c r="F154" s="862"/>
      <c r="G154" s="871">
        <f t="shared" si="39"/>
        <v>695.76</v>
      </c>
      <c r="H154" s="859">
        <f t="shared" si="41"/>
        <v>22</v>
      </c>
      <c r="I154" s="881" t="str">
        <f t="shared" ref="I154:I160" si="43">X154</f>
        <v>Vertified industrial tile (300 x300)</v>
      </c>
      <c r="J154" s="849"/>
      <c r="K154" s="848"/>
      <c r="L154" s="862" t="s">
        <v>92</v>
      </c>
      <c r="M154" s="863">
        <f t="shared" si="38"/>
        <v>578.35</v>
      </c>
      <c r="N154" s="864"/>
      <c r="O154" s="714"/>
      <c r="P154" s="714"/>
      <c r="Q154" s="882" t="s">
        <v>230</v>
      </c>
      <c r="R154" s="737">
        <v>600</v>
      </c>
      <c r="S154" s="737">
        <v>550</v>
      </c>
      <c r="T154" s="877">
        <f>'BASIC COST OF MATL'!K156</f>
        <v>695.76</v>
      </c>
      <c r="U154" s="737">
        <f>'BASIC COST OF MATL'!K157</f>
        <v>578.35</v>
      </c>
      <c r="V154" s="737">
        <v>600</v>
      </c>
      <c r="W154" s="737">
        <v>550</v>
      </c>
      <c r="X154" s="882" t="s">
        <v>231</v>
      </c>
      <c r="Y154" s="869" t="s">
        <v>205</v>
      </c>
    </row>
    <row r="155" spans="1:25" s="733" customFormat="1" ht="12.75" customHeight="1">
      <c r="A155" s="859">
        <f t="shared" si="40"/>
        <v>23</v>
      </c>
      <c r="B155" s="885" t="str">
        <f t="shared" si="42"/>
        <v>Granite Tile upto 0.10 Sqm</v>
      </c>
      <c r="C155" s="804"/>
      <c r="D155" s="804"/>
      <c r="E155" s="862" t="s">
        <v>92</v>
      </c>
      <c r="F155" s="862"/>
      <c r="G155" s="871">
        <f t="shared" si="39"/>
        <v>1181.8499999999999</v>
      </c>
      <c r="H155" s="859">
        <f t="shared" si="41"/>
        <v>24</v>
      </c>
      <c r="I155" s="881" t="str">
        <f t="shared" si="43"/>
        <v>Granite tiles (0.10 Sqm-0.40Sqm)</v>
      </c>
      <c r="J155" s="849"/>
      <c r="K155" s="848"/>
      <c r="L155" s="862" t="s">
        <v>92</v>
      </c>
      <c r="M155" s="863">
        <f t="shared" si="38"/>
        <v>1328.07</v>
      </c>
      <c r="N155" s="864"/>
      <c r="O155" s="714"/>
      <c r="P155" s="714"/>
      <c r="Q155" s="882" t="s">
        <v>232</v>
      </c>
      <c r="R155" s="737"/>
      <c r="S155" s="737">
        <v>1210</v>
      </c>
      <c r="T155" s="877">
        <f>'BASIC COST OF MATL'!K142</f>
        <v>1181.8499999999999</v>
      </c>
      <c r="U155" s="737">
        <f>'BASIC COST OF MATL'!K144</f>
        <v>1328.07</v>
      </c>
      <c r="V155" s="737"/>
      <c r="W155" s="737">
        <v>1210</v>
      </c>
      <c r="X155" s="882" t="s">
        <v>233</v>
      </c>
      <c r="Y155" s="869"/>
    </row>
    <row r="156" spans="1:25" s="733" customFormat="1" ht="12.75" customHeight="1">
      <c r="A156" s="859">
        <f t="shared" si="40"/>
        <v>25</v>
      </c>
      <c r="B156" s="885" t="str">
        <f t="shared" si="42"/>
        <v>Khondolite (upto 0.06Sqm)</v>
      </c>
      <c r="C156" s="804"/>
      <c r="D156" s="804"/>
      <c r="E156" s="886" t="s">
        <v>92</v>
      </c>
      <c r="F156" s="878"/>
      <c r="G156" s="871">
        <f t="shared" si="39"/>
        <v>324.37</v>
      </c>
      <c r="H156" s="859">
        <f t="shared" si="41"/>
        <v>26</v>
      </c>
      <c r="I156" s="881" t="str">
        <f t="shared" si="43"/>
        <v>Kota tile upto (0.10Sqm)</v>
      </c>
      <c r="J156" s="849"/>
      <c r="K156" s="848"/>
      <c r="L156" s="862" t="s">
        <v>92</v>
      </c>
      <c r="M156" s="863">
        <f t="shared" si="38"/>
        <v>416.91</v>
      </c>
      <c r="N156" s="864"/>
      <c r="O156" s="714"/>
      <c r="P156" s="714"/>
      <c r="Q156" s="882" t="s">
        <v>234</v>
      </c>
      <c r="R156" s="737"/>
      <c r="S156" s="737">
        <v>366</v>
      </c>
      <c r="T156" s="877">
        <f>'BASIC COST OF MATL'!K140</f>
        <v>324.37</v>
      </c>
      <c r="U156" s="737">
        <f>'BASIC COST OF MATL'!K138</f>
        <v>416.91</v>
      </c>
      <c r="V156" s="737"/>
      <c r="W156" s="737">
        <v>366</v>
      </c>
      <c r="X156" s="882" t="s">
        <v>235</v>
      </c>
      <c r="Y156" s="869"/>
    </row>
    <row r="157" spans="1:25" s="733" customFormat="1" ht="12.75" customHeight="1">
      <c r="A157" s="859">
        <f t="shared" si="40"/>
        <v>27</v>
      </c>
      <c r="B157" s="885" t="str">
        <f t="shared" si="42"/>
        <v>Vertified tile ( 600x 600)Plain</v>
      </c>
      <c r="C157" s="804"/>
      <c r="D157" s="804"/>
      <c r="E157" s="886" t="s">
        <v>92</v>
      </c>
      <c r="F157" s="878"/>
      <c r="G157" s="871">
        <f t="shared" si="39"/>
        <v>651.08000000000004</v>
      </c>
      <c r="H157" s="859">
        <f t="shared" si="41"/>
        <v>28</v>
      </c>
      <c r="I157" s="881" t="str">
        <f t="shared" si="43"/>
        <v>Dholpuri stone tiles</v>
      </c>
      <c r="J157" s="849"/>
      <c r="K157" s="848"/>
      <c r="L157" s="862" t="s">
        <v>92</v>
      </c>
      <c r="M157" s="863">
        <f t="shared" si="38"/>
        <v>408.94</v>
      </c>
      <c r="N157" s="864"/>
      <c r="O157" s="714"/>
      <c r="P157" s="714"/>
      <c r="Q157" s="882" t="s">
        <v>236</v>
      </c>
      <c r="R157" s="737"/>
      <c r="S157" s="737">
        <v>363</v>
      </c>
      <c r="T157" s="877">
        <f>'BASIC COST OF MATL'!K155</f>
        <v>651.08000000000004</v>
      </c>
      <c r="U157" s="737">
        <f>'BASIC COST OF MATL'!K149</f>
        <v>408.94</v>
      </c>
      <c r="V157" s="737"/>
      <c r="W157" s="737">
        <v>363</v>
      </c>
      <c r="X157" s="882" t="s">
        <v>237</v>
      </c>
      <c r="Y157" s="869"/>
    </row>
    <row r="158" spans="1:25" s="733" customFormat="1" ht="12.75" customHeight="1">
      <c r="A158" s="859">
        <f t="shared" si="40"/>
        <v>29</v>
      </c>
      <c r="B158" s="885" t="str">
        <f t="shared" si="42"/>
        <v>Nuria Tile (20cmx25cm)</v>
      </c>
      <c r="C158" s="804"/>
      <c r="D158" s="804"/>
      <c r="E158" s="887" t="s">
        <v>68</v>
      </c>
      <c r="F158" s="878"/>
      <c r="G158" s="871">
        <f t="shared" si="39"/>
        <v>719.25</v>
      </c>
      <c r="H158" s="859">
        <f t="shared" si="41"/>
        <v>30</v>
      </c>
      <c r="I158" s="881" t="str">
        <f t="shared" si="43"/>
        <v>Kodapa tiles(0.1Sqm-0.4Sqm)</v>
      </c>
      <c r="J158" s="849"/>
      <c r="K158" s="848"/>
      <c r="L158" s="862" t="s">
        <v>92</v>
      </c>
      <c r="M158" s="863">
        <f t="shared" si="38"/>
        <v>310.43</v>
      </c>
      <c r="N158" s="864"/>
      <c r="O158" s="714"/>
      <c r="P158" s="714"/>
      <c r="Q158" s="882" t="s">
        <v>238</v>
      </c>
      <c r="R158" s="737"/>
      <c r="S158" s="737"/>
      <c r="T158" s="877">
        <f>'BASIC COST OF MATL'!K130</f>
        <v>719.25</v>
      </c>
      <c r="U158" s="737">
        <f>'BASIC COST OF MATL'!K147</f>
        <v>310.43</v>
      </c>
      <c r="V158" s="737"/>
      <c r="W158" s="737"/>
      <c r="X158" s="882" t="s">
        <v>239</v>
      </c>
      <c r="Y158" s="869"/>
    </row>
    <row r="159" spans="1:25" s="733" customFormat="1" ht="12.75" customHeight="1">
      <c r="A159" s="859">
        <f t="shared" si="40"/>
        <v>31</v>
      </c>
      <c r="B159" s="885" t="str">
        <f t="shared" si="42"/>
        <v>Nuria Tile (25cmx30cm)</v>
      </c>
      <c r="C159" s="804"/>
      <c r="D159" s="804"/>
      <c r="E159" s="887" t="s">
        <v>68</v>
      </c>
      <c r="F159" s="878"/>
      <c r="G159" s="871">
        <f t="shared" si="39"/>
        <v>912.84</v>
      </c>
      <c r="H159" s="859">
        <f t="shared" si="41"/>
        <v>32</v>
      </c>
      <c r="I159" s="881" t="str">
        <f t="shared" si="43"/>
        <v>Kodapa tiles(above 0.4Sqm)</v>
      </c>
      <c r="J159" s="849"/>
      <c r="K159" s="848"/>
      <c r="L159" s="862" t="s">
        <v>92</v>
      </c>
      <c r="M159" s="863">
        <f t="shared" si="38"/>
        <v>372.8</v>
      </c>
      <c r="N159" s="864"/>
      <c r="O159" s="714"/>
      <c r="P159" s="714"/>
      <c r="Q159" s="882" t="s">
        <v>240</v>
      </c>
      <c r="R159" s="737"/>
      <c r="S159" s="737"/>
      <c r="T159" s="877">
        <f>'BASIC COST OF MATL'!K131</f>
        <v>912.84</v>
      </c>
      <c r="U159" s="737">
        <f>'BASIC COST OF MATL'!K148</f>
        <v>372.8</v>
      </c>
      <c r="V159" s="737"/>
      <c r="W159" s="737"/>
      <c r="X159" s="882" t="s">
        <v>241</v>
      </c>
      <c r="Y159" s="869"/>
    </row>
    <row r="160" spans="1:25" s="733" customFormat="1" ht="12.75" customHeight="1">
      <c r="A160" s="859">
        <f>H160-1</f>
        <v>33</v>
      </c>
      <c r="B160" s="885" t="str">
        <f t="shared" si="42"/>
        <v>Ridge Tiles</v>
      </c>
      <c r="C160" s="804"/>
      <c r="D160" s="804"/>
      <c r="E160" s="887" t="s">
        <v>68</v>
      </c>
      <c r="F160" s="878"/>
      <c r="G160" s="871">
        <f t="shared" si="39"/>
        <v>1034.5899999999999</v>
      </c>
      <c r="H160" s="859">
        <f t="shared" si="41"/>
        <v>34</v>
      </c>
      <c r="I160" s="881" t="str">
        <f t="shared" si="43"/>
        <v>Terazoo Tiles (with White cement)</v>
      </c>
      <c r="J160" s="849"/>
      <c r="K160" s="848"/>
      <c r="L160" s="862" t="s">
        <v>92</v>
      </c>
      <c r="M160" s="863">
        <f t="shared" si="38"/>
        <v>308.95999999999998</v>
      </c>
      <c r="N160" s="864"/>
      <c r="O160" s="714"/>
      <c r="P160" s="714"/>
      <c r="Q160" s="882" t="s">
        <v>242</v>
      </c>
      <c r="R160" s="737"/>
      <c r="S160" s="737"/>
      <c r="T160" s="877">
        <f>'BASIC COST OF MATL'!K132</f>
        <v>1034.5899999999999</v>
      </c>
      <c r="U160" s="737">
        <f>'BASIC COST OF MATL'!K161</f>
        <v>308.95999999999998</v>
      </c>
      <c r="V160" s="737"/>
      <c r="W160" s="737"/>
      <c r="X160" s="882" t="s">
        <v>243</v>
      </c>
      <c r="Y160" s="869"/>
    </row>
    <row r="161" spans="1:28" s="733" customFormat="1" ht="12.75" customHeight="1">
      <c r="A161" s="880" t="s">
        <v>244</v>
      </c>
      <c r="B161" s="857" t="s">
        <v>245</v>
      </c>
      <c r="C161" s="857"/>
      <c r="D161" s="857"/>
      <c r="E161" s="887"/>
      <c r="F161" s="858"/>
      <c r="G161" s="871"/>
      <c r="H161" s="859">
        <f>H160+1</f>
        <v>35</v>
      </c>
      <c r="I161" s="860" t="s">
        <v>246</v>
      </c>
      <c r="J161" s="849"/>
      <c r="K161" s="848"/>
      <c r="L161" s="862" t="s">
        <v>247</v>
      </c>
      <c r="M161" s="863">
        <f t="shared" si="38"/>
        <v>5100</v>
      </c>
      <c r="N161" s="864"/>
      <c r="O161" s="714"/>
      <c r="P161" s="714"/>
      <c r="Q161" s="865" t="s">
        <v>248</v>
      </c>
      <c r="R161" s="760"/>
      <c r="S161" s="737">
        <v>5100</v>
      </c>
      <c r="T161" s="866"/>
      <c r="U161" s="888">
        <v>5100</v>
      </c>
      <c r="V161" s="889"/>
      <c r="W161" s="890">
        <v>5100</v>
      </c>
      <c r="X161" s="868" t="s">
        <v>246</v>
      </c>
      <c r="Y161" s="869" t="s">
        <v>205</v>
      </c>
    </row>
    <row r="162" spans="1:28" s="733" customFormat="1" ht="12.75" customHeight="1">
      <c r="A162" s="859">
        <f>H162-1</f>
        <v>36</v>
      </c>
      <c r="B162" s="870" t="s">
        <v>249</v>
      </c>
      <c r="C162" s="809"/>
      <c r="D162" s="809"/>
      <c r="E162" s="886" t="s">
        <v>49</v>
      </c>
      <c r="F162" s="878"/>
      <c r="G162" s="871">
        <f t="shared" si="39"/>
        <v>71150.5</v>
      </c>
      <c r="H162" s="859">
        <f>H161+2</f>
        <v>37</v>
      </c>
      <c r="I162" s="860" t="s">
        <v>250</v>
      </c>
      <c r="J162" s="872"/>
      <c r="K162" s="861"/>
      <c r="L162" s="862" t="s">
        <v>49</v>
      </c>
      <c r="M162" s="863">
        <f t="shared" si="38"/>
        <v>74369.67</v>
      </c>
      <c r="N162" s="864"/>
      <c r="O162" s="714"/>
      <c r="P162" s="714"/>
      <c r="Q162" s="868" t="s">
        <v>249</v>
      </c>
      <c r="R162" s="751">
        <v>30200</v>
      </c>
      <c r="S162" s="756">
        <v>47192</v>
      </c>
      <c r="T162" s="874">
        <f>'BASIC COST OF MATL'!K115</f>
        <v>71150.5</v>
      </c>
      <c r="U162" s="756">
        <f>'BASIC COST OF MATL'!K118</f>
        <v>74369.67</v>
      </c>
      <c r="V162" s="751">
        <v>29600</v>
      </c>
      <c r="W162" s="756">
        <v>47740</v>
      </c>
      <c r="X162" s="868" t="s">
        <v>250</v>
      </c>
      <c r="Y162" s="869" t="s">
        <v>205</v>
      </c>
    </row>
    <row r="163" spans="1:28" s="733" customFormat="1" ht="12.75" customHeight="1">
      <c r="A163" s="859">
        <f t="shared" ref="A163:A188" si="44">H163-1</f>
        <v>38</v>
      </c>
      <c r="B163" s="872" t="s">
        <v>251</v>
      </c>
      <c r="C163" s="809"/>
      <c r="D163" s="809"/>
      <c r="E163" s="886" t="s">
        <v>49</v>
      </c>
      <c r="F163" s="878"/>
      <c r="G163" s="871">
        <f>T163</f>
        <v>65533.5</v>
      </c>
      <c r="H163" s="859">
        <f>H162+2</f>
        <v>39</v>
      </c>
      <c r="I163" s="860" t="s">
        <v>252</v>
      </c>
      <c r="J163" s="872"/>
      <c r="K163" s="861"/>
      <c r="L163" s="862" t="s">
        <v>49</v>
      </c>
      <c r="M163" s="863">
        <f>U163</f>
        <v>63839</v>
      </c>
      <c r="N163" s="864"/>
      <c r="O163" s="714"/>
      <c r="P163" s="714"/>
      <c r="Q163" s="868" t="s">
        <v>251</v>
      </c>
      <c r="R163" s="751"/>
      <c r="S163" s="756"/>
      <c r="T163" s="874">
        <f>'BASIC COST OF MATL'!K116</f>
        <v>65533.5</v>
      </c>
      <c r="U163" s="756">
        <f>'BASIC COST OF MATL'!K117</f>
        <v>63839</v>
      </c>
      <c r="V163" s="751"/>
      <c r="W163" s="756"/>
      <c r="X163" s="868" t="s">
        <v>252</v>
      </c>
      <c r="Y163" s="869"/>
    </row>
    <row r="164" spans="1:28" s="733" customFormat="1" ht="12.75" customHeight="1">
      <c r="A164" s="859">
        <f>H164-1</f>
        <v>40</v>
      </c>
      <c r="B164" s="872" t="s">
        <v>253</v>
      </c>
      <c r="C164" s="872"/>
      <c r="D164" s="872"/>
      <c r="E164" s="862" t="s">
        <v>49</v>
      </c>
      <c r="F164" s="862"/>
      <c r="G164" s="871">
        <f t="shared" si="39"/>
        <v>1108</v>
      </c>
      <c r="H164" s="859">
        <f>H163+2</f>
        <v>41</v>
      </c>
      <c r="I164" s="860" t="s">
        <v>254</v>
      </c>
      <c r="J164" s="872"/>
      <c r="K164" s="861"/>
      <c r="L164" s="862" t="s">
        <v>92</v>
      </c>
      <c r="M164" s="863">
        <f t="shared" si="38"/>
        <v>5100</v>
      </c>
      <c r="N164" s="864"/>
      <c r="O164" s="714"/>
      <c r="P164" s="714"/>
      <c r="Q164" s="868" t="s">
        <v>253</v>
      </c>
      <c r="R164" s="738">
        <v>1108</v>
      </c>
      <c r="S164" s="737">
        <v>5100</v>
      </c>
      <c r="T164" s="873">
        <v>1108</v>
      </c>
      <c r="U164" s="888">
        <v>5100</v>
      </c>
      <c r="V164" s="891">
        <v>1108</v>
      </c>
      <c r="W164" s="890">
        <v>5100</v>
      </c>
      <c r="X164" s="868" t="s">
        <v>254</v>
      </c>
      <c r="Y164" s="869" t="s">
        <v>205</v>
      </c>
    </row>
    <row r="165" spans="1:28" s="733" customFormat="1" ht="12.75" customHeight="1">
      <c r="A165" s="859">
        <f t="shared" si="44"/>
        <v>42</v>
      </c>
      <c r="B165" s="860" t="s">
        <v>255</v>
      </c>
      <c r="C165" s="872"/>
      <c r="D165" s="872"/>
      <c r="E165" s="818" t="s">
        <v>136</v>
      </c>
      <c r="F165" s="818"/>
      <c r="G165" s="871">
        <f t="shared" si="39"/>
        <v>300</v>
      </c>
      <c r="H165" s="859">
        <f t="shared" si="41"/>
        <v>43</v>
      </c>
      <c r="I165" s="860" t="s">
        <v>256</v>
      </c>
      <c r="J165" s="872"/>
      <c r="K165" s="861"/>
      <c r="L165" s="862" t="s">
        <v>92</v>
      </c>
      <c r="M165" s="863">
        <f t="shared" si="38"/>
        <v>1900</v>
      </c>
      <c r="N165" s="864"/>
      <c r="O165" s="714"/>
      <c r="P165" s="714"/>
      <c r="Q165" s="868" t="s">
        <v>255</v>
      </c>
      <c r="R165" s="738">
        <v>300</v>
      </c>
      <c r="S165" s="738">
        <v>1900</v>
      </c>
      <c r="T165" s="873">
        <v>300</v>
      </c>
      <c r="U165" s="892">
        <v>1900</v>
      </c>
      <c r="V165" s="891">
        <v>300</v>
      </c>
      <c r="W165" s="891">
        <v>1900</v>
      </c>
      <c r="X165" s="868" t="s">
        <v>256</v>
      </c>
      <c r="Y165" s="869" t="s">
        <v>205</v>
      </c>
    </row>
    <row r="166" spans="1:28" s="733" customFormat="1" ht="12.75" customHeight="1">
      <c r="A166" s="859">
        <f t="shared" si="44"/>
        <v>44</v>
      </c>
      <c r="B166" s="860" t="s">
        <v>257</v>
      </c>
      <c r="C166" s="857"/>
      <c r="D166" s="872"/>
      <c r="E166" s="862" t="s">
        <v>92</v>
      </c>
      <c r="F166" s="862"/>
      <c r="G166" s="871">
        <f t="shared" si="39"/>
        <v>710.82</v>
      </c>
      <c r="H166" s="859">
        <f t="shared" si="41"/>
        <v>45</v>
      </c>
      <c r="I166" s="860" t="s">
        <v>258</v>
      </c>
      <c r="J166" s="872"/>
      <c r="K166" s="861"/>
      <c r="L166" s="862" t="s">
        <v>92</v>
      </c>
      <c r="M166" s="863">
        <f t="shared" si="38"/>
        <v>705.01</v>
      </c>
      <c r="N166" s="864"/>
      <c r="O166" s="714"/>
      <c r="P166" s="714"/>
      <c r="Q166" s="868" t="s">
        <v>257</v>
      </c>
      <c r="R166" s="737">
        <v>563</v>
      </c>
      <c r="S166" s="737">
        <v>590</v>
      </c>
      <c r="T166" s="877">
        <f>'BASIC COST OF MATL'!K337</f>
        <v>710.82</v>
      </c>
      <c r="U166" s="737">
        <f>'BASIC COST OF MATL'!K324</f>
        <v>705.01</v>
      </c>
      <c r="V166" s="737">
        <v>563</v>
      </c>
      <c r="W166" s="737">
        <v>590</v>
      </c>
      <c r="X166" s="868" t="s">
        <v>258</v>
      </c>
      <c r="Y166" s="869" t="s">
        <v>205</v>
      </c>
    </row>
    <row r="167" spans="1:28" s="733" customFormat="1" ht="12.75" customHeight="1">
      <c r="A167" s="859">
        <f t="shared" si="44"/>
        <v>46</v>
      </c>
      <c r="B167" s="860" t="s">
        <v>259</v>
      </c>
      <c r="C167" s="872"/>
      <c r="D167" s="872"/>
      <c r="E167" s="862" t="s">
        <v>37</v>
      </c>
      <c r="F167" s="862"/>
      <c r="G167" s="871">
        <f t="shared" si="39"/>
        <v>7</v>
      </c>
      <c r="H167" s="859">
        <f t="shared" si="41"/>
        <v>47</v>
      </c>
      <c r="I167" s="860" t="s">
        <v>260</v>
      </c>
      <c r="J167" s="872"/>
      <c r="K167" s="861"/>
      <c r="L167" s="862" t="s">
        <v>38</v>
      </c>
      <c r="M167" s="863">
        <f t="shared" si="38"/>
        <v>25</v>
      </c>
      <c r="N167" s="864"/>
      <c r="O167" s="714"/>
      <c r="P167" s="714"/>
      <c r="Q167" s="868" t="s">
        <v>259</v>
      </c>
      <c r="R167" s="737">
        <v>7</v>
      </c>
      <c r="S167" s="737">
        <v>25</v>
      </c>
      <c r="T167" s="893">
        <v>7</v>
      </c>
      <c r="U167" s="894">
        <v>25</v>
      </c>
      <c r="V167" s="890">
        <v>7</v>
      </c>
      <c r="W167" s="895">
        <v>25</v>
      </c>
      <c r="X167" s="868" t="s">
        <v>260</v>
      </c>
      <c r="Y167" s="869" t="s">
        <v>205</v>
      </c>
    </row>
    <row r="168" spans="1:28" s="733" customFormat="1" ht="12.75" customHeight="1">
      <c r="A168" s="859">
        <f t="shared" si="44"/>
        <v>48</v>
      </c>
      <c r="B168" s="860" t="s">
        <v>261</v>
      </c>
      <c r="C168" s="872"/>
      <c r="D168" s="872"/>
      <c r="E168" s="818" t="s">
        <v>262</v>
      </c>
      <c r="F168" s="818"/>
      <c r="G168" s="871">
        <f t="shared" si="39"/>
        <v>2</v>
      </c>
      <c r="H168" s="859">
        <f t="shared" si="41"/>
        <v>49</v>
      </c>
      <c r="I168" s="860" t="s">
        <v>263</v>
      </c>
      <c r="J168" s="872"/>
      <c r="K168" s="861"/>
      <c r="L168" s="862" t="s">
        <v>38</v>
      </c>
      <c r="M168" s="863">
        <f t="shared" si="38"/>
        <v>40</v>
      </c>
      <c r="N168" s="864"/>
      <c r="O168" s="714"/>
      <c r="P168" s="714"/>
      <c r="Q168" s="868" t="s">
        <v>261</v>
      </c>
      <c r="R168" s="738">
        <v>2</v>
      </c>
      <c r="S168" s="737">
        <v>40</v>
      </c>
      <c r="T168" s="896">
        <v>2</v>
      </c>
      <c r="U168" s="894">
        <v>40</v>
      </c>
      <c r="V168" s="738">
        <v>2</v>
      </c>
      <c r="W168" s="737">
        <v>40</v>
      </c>
      <c r="X168" s="868" t="s">
        <v>263</v>
      </c>
      <c r="Y168" s="869" t="s">
        <v>205</v>
      </c>
    </row>
    <row r="169" spans="1:28" s="733" customFormat="1" ht="12.75" customHeight="1">
      <c r="A169" s="859">
        <f>H169-1</f>
        <v>50</v>
      </c>
      <c r="B169" s="860" t="s">
        <v>264</v>
      </c>
      <c r="C169" s="872"/>
      <c r="D169" s="872"/>
      <c r="E169" s="862" t="s">
        <v>37</v>
      </c>
      <c r="F169" s="862"/>
      <c r="G169" s="871">
        <f t="shared" si="39"/>
        <v>0.875</v>
      </c>
      <c r="H169" s="859">
        <f t="shared" si="41"/>
        <v>51</v>
      </c>
      <c r="I169" s="860" t="s">
        <v>265</v>
      </c>
      <c r="J169" s="872"/>
      <c r="K169" s="861"/>
      <c r="L169" s="862" t="s">
        <v>38</v>
      </c>
      <c r="M169" s="863">
        <f t="shared" si="38"/>
        <v>40</v>
      </c>
      <c r="N169" s="864"/>
      <c r="O169" s="714"/>
      <c r="P169" s="714"/>
      <c r="Q169" s="868" t="s">
        <v>264</v>
      </c>
      <c r="R169" s="737">
        <v>0.64</v>
      </c>
      <c r="S169" s="737">
        <v>40</v>
      </c>
      <c r="T169" s="893">
        <f>'BASIC COST OF MATL'!K238/100</f>
        <v>0.875</v>
      </c>
      <c r="U169" s="894">
        <v>40</v>
      </c>
      <c r="V169" s="737">
        <v>0.64</v>
      </c>
      <c r="W169" s="737">
        <v>40</v>
      </c>
      <c r="X169" s="868" t="s">
        <v>265</v>
      </c>
      <c r="Y169" s="869" t="s">
        <v>205</v>
      </c>
      <c r="AB169" s="726"/>
    </row>
    <row r="170" spans="1:28" s="733" customFormat="1" ht="12.75" customHeight="1">
      <c r="A170" s="859">
        <f t="shared" si="44"/>
        <v>52</v>
      </c>
      <c r="B170" s="860" t="s">
        <v>266</v>
      </c>
      <c r="C170" s="857"/>
      <c r="D170" s="872"/>
      <c r="E170" s="862" t="s">
        <v>37</v>
      </c>
      <c r="F170" s="862"/>
      <c r="G170" s="871">
        <f t="shared" si="39"/>
        <v>39</v>
      </c>
      <c r="H170" s="859">
        <f t="shared" si="41"/>
        <v>53</v>
      </c>
      <c r="I170" s="860" t="s">
        <v>267</v>
      </c>
      <c r="J170" s="872"/>
      <c r="K170" s="861"/>
      <c r="L170" s="862" t="s">
        <v>38</v>
      </c>
      <c r="M170" s="863">
        <f t="shared" si="38"/>
        <v>122</v>
      </c>
      <c r="N170" s="864"/>
      <c r="O170" s="714"/>
      <c r="P170" s="714"/>
      <c r="Q170" s="868" t="s">
        <v>266</v>
      </c>
      <c r="R170" s="737">
        <v>39</v>
      </c>
      <c r="S170" s="737">
        <v>122</v>
      </c>
      <c r="T170" s="893">
        <v>39</v>
      </c>
      <c r="U170" s="894">
        <v>122</v>
      </c>
      <c r="V170" s="737">
        <v>39</v>
      </c>
      <c r="W170" s="737">
        <v>122</v>
      </c>
      <c r="X170" s="868" t="s">
        <v>267</v>
      </c>
      <c r="Y170" s="869" t="s">
        <v>205</v>
      </c>
      <c r="AB170" s="726"/>
    </row>
    <row r="171" spans="1:28" s="733" customFormat="1" ht="12.75" customHeight="1">
      <c r="A171" s="859">
        <f t="shared" si="44"/>
        <v>54</v>
      </c>
      <c r="B171" s="860" t="s">
        <v>268</v>
      </c>
      <c r="C171" s="857"/>
      <c r="D171" s="872"/>
      <c r="E171" s="862" t="s">
        <v>136</v>
      </c>
      <c r="F171" s="862"/>
      <c r="G171" s="871">
        <f t="shared" si="39"/>
        <v>7</v>
      </c>
      <c r="H171" s="859">
        <f t="shared" si="41"/>
        <v>55</v>
      </c>
      <c r="I171" s="860" t="s">
        <v>258</v>
      </c>
      <c r="J171" s="872"/>
      <c r="K171" s="861"/>
      <c r="L171" s="862" t="s">
        <v>92</v>
      </c>
      <c r="M171" s="863">
        <f t="shared" si="38"/>
        <v>608.4</v>
      </c>
      <c r="N171" s="864"/>
      <c r="O171" s="714"/>
      <c r="P171" s="714"/>
      <c r="Q171" s="868" t="s">
        <v>268</v>
      </c>
      <c r="R171" s="737">
        <v>7</v>
      </c>
      <c r="S171" s="737">
        <v>490</v>
      </c>
      <c r="T171" s="893">
        <v>7</v>
      </c>
      <c r="U171" s="737">
        <f>'BASIC COST OF MATL'!K323</f>
        <v>608.4</v>
      </c>
      <c r="V171" s="737">
        <v>7</v>
      </c>
      <c r="W171" s="737">
        <v>490</v>
      </c>
      <c r="X171" s="868" t="s">
        <v>269</v>
      </c>
      <c r="Y171" s="869" t="s">
        <v>205</v>
      </c>
      <c r="AB171" s="726"/>
    </row>
    <row r="172" spans="1:28" s="733" customFormat="1" ht="12.75" customHeight="1">
      <c r="A172" s="859">
        <f t="shared" si="44"/>
        <v>56</v>
      </c>
      <c r="B172" s="860" t="s">
        <v>270</v>
      </c>
      <c r="C172" s="857"/>
      <c r="D172" s="872"/>
      <c r="E172" s="862" t="s">
        <v>38</v>
      </c>
      <c r="F172" s="862"/>
      <c r="G172" s="871">
        <f t="shared" si="39"/>
        <v>25</v>
      </c>
      <c r="H172" s="859">
        <f t="shared" si="41"/>
        <v>57</v>
      </c>
      <c r="I172" s="860" t="s">
        <v>271</v>
      </c>
      <c r="J172" s="872"/>
      <c r="K172" s="861"/>
      <c r="L172" s="818" t="s">
        <v>262</v>
      </c>
      <c r="M172" s="863">
        <f t="shared" si="38"/>
        <v>55.67</v>
      </c>
      <c r="N172" s="864"/>
      <c r="O172" s="714"/>
      <c r="P172" s="714"/>
      <c r="Q172" s="868" t="s">
        <v>270</v>
      </c>
      <c r="R172" s="737">
        <v>25</v>
      </c>
      <c r="S172" s="738">
        <v>45</v>
      </c>
      <c r="T172" s="893">
        <v>25</v>
      </c>
      <c r="U172" s="738">
        <f>'BASIC COST OF MATL'!K258</f>
        <v>55.67</v>
      </c>
      <c r="V172" s="737">
        <v>25</v>
      </c>
      <c r="W172" s="738">
        <v>45</v>
      </c>
      <c r="X172" s="868" t="s">
        <v>271</v>
      </c>
      <c r="Y172" s="869" t="s">
        <v>205</v>
      </c>
      <c r="AB172" s="726"/>
    </row>
    <row r="173" spans="1:28" s="733" customFormat="1" ht="12.75" customHeight="1">
      <c r="A173" s="859">
        <f t="shared" si="44"/>
        <v>58</v>
      </c>
      <c r="B173" s="860" t="s">
        <v>272</v>
      </c>
      <c r="C173" s="857"/>
      <c r="D173" s="872"/>
      <c r="E173" s="862" t="s">
        <v>38</v>
      </c>
      <c r="F173" s="862"/>
      <c r="G173" s="871">
        <f t="shared" si="39"/>
        <v>62.5</v>
      </c>
      <c r="H173" s="859">
        <f t="shared" si="41"/>
        <v>59</v>
      </c>
      <c r="I173" s="860" t="s">
        <v>273</v>
      </c>
      <c r="J173" s="872"/>
      <c r="K173" s="861"/>
      <c r="L173" s="818" t="s">
        <v>262</v>
      </c>
      <c r="M173" s="863">
        <f t="shared" si="38"/>
        <v>31.31</v>
      </c>
      <c r="N173" s="864"/>
      <c r="O173" s="714"/>
      <c r="P173" s="714"/>
      <c r="Q173" s="868" t="s">
        <v>272</v>
      </c>
      <c r="R173" s="737">
        <v>62.5</v>
      </c>
      <c r="S173" s="738">
        <v>25</v>
      </c>
      <c r="T173" s="893">
        <v>62.5</v>
      </c>
      <c r="U173" s="738">
        <f>'BASIC COST OF MATL'!K264</f>
        <v>31.31</v>
      </c>
      <c r="V173" s="737">
        <v>62.5</v>
      </c>
      <c r="W173" s="738">
        <v>25</v>
      </c>
      <c r="X173" s="868" t="s">
        <v>273</v>
      </c>
      <c r="Y173" s="869" t="s">
        <v>205</v>
      </c>
      <c r="AB173" s="722"/>
    </row>
    <row r="174" spans="1:28" s="733" customFormat="1" ht="12.75" customHeight="1">
      <c r="A174" s="859">
        <f t="shared" si="44"/>
        <v>60</v>
      </c>
      <c r="B174" s="860" t="s">
        <v>274</v>
      </c>
      <c r="C174" s="857"/>
      <c r="D174" s="872"/>
      <c r="E174" s="862" t="s">
        <v>38</v>
      </c>
      <c r="F174" s="862"/>
      <c r="G174" s="871">
        <f t="shared" si="39"/>
        <v>400</v>
      </c>
      <c r="H174" s="859">
        <f t="shared" si="41"/>
        <v>61</v>
      </c>
      <c r="I174" s="860" t="s">
        <v>275</v>
      </c>
      <c r="J174" s="872"/>
      <c r="K174" s="861"/>
      <c r="L174" s="818" t="s">
        <v>262</v>
      </c>
      <c r="M174" s="863">
        <f>U174</f>
        <v>54.26</v>
      </c>
      <c r="N174" s="864"/>
      <c r="O174" s="714"/>
      <c r="P174" s="714"/>
      <c r="Q174" s="868" t="s">
        <v>274</v>
      </c>
      <c r="R174" s="737">
        <v>400</v>
      </c>
      <c r="S174" s="738">
        <v>42</v>
      </c>
      <c r="T174" s="893">
        <v>400</v>
      </c>
      <c r="U174" s="738">
        <f>'BASIC COST OF MATL'!K270</f>
        <v>54.26</v>
      </c>
      <c r="V174" s="737">
        <v>400</v>
      </c>
      <c r="W174" s="738">
        <v>42</v>
      </c>
      <c r="X174" s="868" t="s">
        <v>275</v>
      </c>
      <c r="Y174" s="869" t="s">
        <v>205</v>
      </c>
      <c r="AB174" s="722"/>
    </row>
    <row r="175" spans="1:28" s="733" customFormat="1" ht="12.75" customHeight="1">
      <c r="A175" s="859">
        <f t="shared" si="44"/>
        <v>62</v>
      </c>
      <c r="B175" s="860" t="s">
        <v>276</v>
      </c>
      <c r="C175" s="857"/>
      <c r="D175" s="872"/>
      <c r="E175" s="862" t="s">
        <v>38</v>
      </c>
      <c r="F175" s="862"/>
      <c r="G175" s="871">
        <f t="shared" si="39"/>
        <v>600</v>
      </c>
      <c r="H175" s="859">
        <f t="shared" si="41"/>
        <v>63</v>
      </c>
      <c r="I175" s="860" t="s">
        <v>277</v>
      </c>
      <c r="J175" s="872"/>
      <c r="K175" s="861"/>
      <c r="L175" s="818" t="s">
        <v>262</v>
      </c>
      <c r="M175" s="863">
        <f t="shared" si="38"/>
        <v>223.68</v>
      </c>
      <c r="N175" s="864"/>
      <c r="O175" s="714"/>
      <c r="P175" s="714"/>
      <c r="Q175" s="868" t="s">
        <v>276</v>
      </c>
      <c r="R175" s="737">
        <v>600</v>
      </c>
      <c r="S175" s="738">
        <v>190</v>
      </c>
      <c r="T175" s="893">
        <v>600</v>
      </c>
      <c r="U175" s="738">
        <f>'BASIC COST OF MATL'!K274</f>
        <v>223.68</v>
      </c>
      <c r="V175" s="737">
        <v>600</v>
      </c>
      <c r="W175" s="738">
        <v>190</v>
      </c>
      <c r="X175" s="868" t="s">
        <v>277</v>
      </c>
      <c r="Y175" s="869" t="s">
        <v>205</v>
      </c>
      <c r="AB175" s="722"/>
    </row>
    <row r="176" spans="1:28" s="733" customFormat="1" ht="12.75" customHeight="1">
      <c r="A176" s="859">
        <f t="shared" si="44"/>
        <v>64</v>
      </c>
      <c r="B176" s="860" t="s">
        <v>278</v>
      </c>
      <c r="C176" s="872"/>
      <c r="D176" s="872"/>
      <c r="E176" s="862" t="s">
        <v>92</v>
      </c>
      <c r="F176" s="862"/>
      <c r="G176" s="871">
        <f t="shared" si="39"/>
        <v>843.5</v>
      </c>
      <c r="H176" s="859">
        <f t="shared" si="41"/>
        <v>65</v>
      </c>
      <c r="I176" s="860" t="s">
        <v>279</v>
      </c>
      <c r="J176" s="872"/>
      <c r="K176" s="861"/>
      <c r="L176" s="818" t="s">
        <v>262</v>
      </c>
      <c r="M176" s="863">
        <f t="shared" si="38"/>
        <v>0.44</v>
      </c>
      <c r="N176" s="864"/>
      <c r="O176" s="714"/>
      <c r="P176" s="714"/>
      <c r="Q176" s="868" t="s">
        <v>278</v>
      </c>
      <c r="R176" s="737">
        <v>630</v>
      </c>
      <c r="S176" s="738">
        <v>0.4</v>
      </c>
      <c r="T176" s="893">
        <f>'BASIC COST OF MATL'!K325</f>
        <v>843.5</v>
      </c>
      <c r="U176" s="892">
        <v>0.44</v>
      </c>
      <c r="V176" s="737">
        <v>630</v>
      </c>
      <c r="W176" s="738">
        <v>0.4</v>
      </c>
      <c r="X176" s="868" t="s">
        <v>279</v>
      </c>
      <c r="Y176" s="869" t="s">
        <v>205</v>
      </c>
      <c r="AB176" s="722"/>
    </row>
    <row r="177" spans="1:28" s="733" customFormat="1" ht="12.75" customHeight="1">
      <c r="A177" s="859">
        <f t="shared" si="44"/>
        <v>66</v>
      </c>
      <c r="B177" s="860" t="s">
        <v>280</v>
      </c>
      <c r="C177" s="872"/>
      <c r="D177" s="872"/>
      <c r="E177" s="862" t="s">
        <v>95</v>
      </c>
      <c r="F177" s="862"/>
      <c r="G177" s="871">
        <f t="shared" si="39"/>
        <v>297.97000000000003</v>
      </c>
      <c r="H177" s="859">
        <f t="shared" si="41"/>
        <v>67</v>
      </c>
      <c r="I177" s="860" t="s">
        <v>281</v>
      </c>
      <c r="J177" s="872"/>
      <c r="K177" s="861"/>
      <c r="L177" s="862" t="s">
        <v>37</v>
      </c>
      <c r="M177" s="863">
        <f t="shared" si="38"/>
        <v>1.5</v>
      </c>
      <c r="N177" s="864"/>
      <c r="O177" s="714"/>
      <c r="P177" s="714"/>
      <c r="Q177" s="868" t="s">
        <v>280</v>
      </c>
      <c r="R177" s="737">
        <v>205</v>
      </c>
      <c r="S177" s="737">
        <v>1.5</v>
      </c>
      <c r="T177" s="893">
        <f>'BASIC COST OF MATL'!K366</f>
        <v>297.97000000000003</v>
      </c>
      <c r="U177" s="894">
        <v>1.5</v>
      </c>
      <c r="V177" s="737">
        <v>205</v>
      </c>
      <c r="W177" s="737">
        <v>1.5</v>
      </c>
      <c r="X177" s="868" t="s">
        <v>281</v>
      </c>
      <c r="Y177" s="869" t="s">
        <v>205</v>
      </c>
      <c r="AB177" s="722"/>
    </row>
    <row r="178" spans="1:28" s="733" customFormat="1" ht="12.75" customHeight="1">
      <c r="A178" s="859">
        <f t="shared" si="44"/>
        <v>68</v>
      </c>
      <c r="B178" s="860" t="s">
        <v>282</v>
      </c>
      <c r="C178" s="872"/>
      <c r="D178" s="872"/>
      <c r="E178" s="862" t="s">
        <v>37</v>
      </c>
      <c r="F178" s="862"/>
      <c r="G178" s="871">
        <f t="shared" si="39"/>
        <v>5.5</v>
      </c>
      <c r="H178" s="859">
        <f t="shared" si="41"/>
        <v>69</v>
      </c>
      <c r="I178" s="860" t="s">
        <v>264</v>
      </c>
      <c r="J178" s="872"/>
      <c r="K178" s="861"/>
      <c r="L178" s="862" t="s">
        <v>37</v>
      </c>
      <c r="M178" s="863">
        <f t="shared" si="38"/>
        <v>0.875</v>
      </c>
      <c r="N178" s="864"/>
      <c r="O178" s="714"/>
      <c r="P178" s="714"/>
      <c r="Q178" s="868" t="s">
        <v>282</v>
      </c>
      <c r="R178" s="737">
        <v>5.5</v>
      </c>
      <c r="S178" s="737">
        <v>0.64</v>
      </c>
      <c r="T178" s="893">
        <v>5.5</v>
      </c>
      <c r="U178" s="738">
        <f>'BASIC COST OF MATL'!K238/100</f>
        <v>0.875</v>
      </c>
      <c r="V178" s="737">
        <v>5.5</v>
      </c>
      <c r="W178" s="737">
        <v>0.64</v>
      </c>
      <c r="X178" s="868" t="s">
        <v>264</v>
      </c>
      <c r="Y178" s="869" t="s">
        <v>205</v>
      </c>
      <c r="AB178" s="722"/>
    </row>
    <row r="179" spans="1:28" s="733" customFormat="1" ht="12.75" customHeight="1">
      <c r="A179" s="859">
        <f t="shared" si="44"/>
        <v>70</v>
      </c>
      <c r="B179" s="860" t="s">
        <v>283</v>
      </c>
      <c r="C179" s="872"/>
      <c r="D179" s="872"/>
      <c r="E179" s="862" t="s">
        <v>284</v>
      </c>
      <c r="F179" s="862"/>
      <c r="G179" s="871">
        <f t="shared" si="39"/>
        <v>60</v>
      </c>
      <c r="H179" s="859">
        <f t="shared" si="41"/>
        <v>71</v>
      </c>
      <c r="I179" s="860" t="s">
        <v>285</v>
      </c>
      <c r="J179" s="872"/>
      <c r="K179" s="861"/>
      <c r="L179" s="862" t="s">
        <v>95</v>
      </c>
      <c r="M179" s="863">
        <f t="shared" si="38"/>
        <v>240.24</v>
      </c>
      <c r="N179" s="864"/>
      <c r="O179" s="714"/>
      <c r="P179" s="714"/>
      <c r="Q179" s="868" t="s">
        <v>283</v>
      </c>
      <c r="R179" s="737">
        <v>40</v>
      </c>
      <c r="S179" s="737">
        <v>240.24</v>
      </c>
      <c r="T179" s="893">
        <v>60</v>
      </c>
      <c r="U179" s="894">
        <v>240.24</v>
      </c>
      <c r="V179" s="737">
        <v>40</v>
      </c>
      <c r="W179" s="737">
        <v>240.24</v>
      </c>
      <c r="X179" s="868" t="s">
        <v>285</v>
      </c>
      <c r="Y179" s="869" t="s">
        <v>205</v>
      </c>
      <c r="AB179" s="722"/>
    </row>
    <row r="180" spans="1:28" s="733" customFormat="1" ht="12.75" customHeight="1">
      <c r="A180" s="859">
        <f>H180-1</f>
        <v>72</v>
      </c>
      <c r="B180" s="897" t="s">
        <v>286</v>
      </c>
      <c r="C180" s="876"/>
      <c r="D180" s="876"/>
      <c r="E180" s="862" t="s">
        <v>37</v>
      </c>
      <c r="F180" s="862"/>
      <c r="G180" s="871">
        <f t="shared" si="39"/>
        <v>0.6</v>
      </c>
      <c r="H180" s="859">
        <f t="shared" si="41"/>
        <v>73</v>
      </c>
      <c r="I180" s="860" t="s">
        <v>287</v>
      </c>
      <c r="J180" s="872"/>
      <c r="K180" s="861"/>
      <c r="L180" s="862" t="s">
        <v>95</v>
      </c>
      <c r="M180" s="863">
        <f t="shared" si="38"/>
        <v>256.62</v>
      </c>
      <c r="N180" s="864"/>
      <c r="O180" s="714"/>
      <c r="P180" s="714"/>
      <c r="Q180" s="868" t="s">
        <v>286</v>
      </c>
      <c r="R180" s="737">
        <v>0.6</v>
      </c>
      <c r="S180" s="737">
        <v>256.62</v>
      </c>
      <c r="T180" s="893">
        <v>0.6</v>
      </c>
      <c r="U180" s="894">
        <v>256.62</v>
      </c>
      <c r="V180" s="737">
        <v>0.6</v>
      </c>
      <c r="W180" s="737">
        <v>256.62</v>
      </c>
      <c r="X180" s="868" t="s">
        <v>287</v>
      </c>
      <c r="Y180" s="869" t="s">
        <v>205</v>
      </c>
      <c r="AB180" s="722"/>
    </row>
    <row r="181" spans="1:28" s="733" customFormat="1" ht="12.75" customHeight="1">
      <c r="A181" s="859">
        <f>A180+2</f>
        <v>74</v>
      </c>
      <c r="B181" s="897" t="str">
        <f>Q181</f>
        <v>12.5mm thick gypsum board</v>
      </c>
      <c r="C181" s="876"/>
      <c r="D181" s="876"/>
      <c r="E181" s="862" t="s">
        <v>288</v>
      </c>
      <c r="F181" s="862"/>
      <c r="G181" s="871">
        <f>T181</f>
        <v>398</v>
      </c>
      <c r="H181" s="859">
        <f t="shared" si="41"/>
        <v>75</v>
      </c>
      <c r="I181" s="860" t="s">
        <v>289</v>
      </c>
      <c r="J181" s="872"/>
      <c r="K181" s="861"/>
      <c r="L181" s="862" t="s">
        <v>37</v>
      </c>
      <c r="M181" s="863">
        <v>2.38</v>
      </c>
      <c r="N181" s="864"/>
      <c r="O181" s="714"/>
      <c r="P181" s="714"/>
      <c r="Q181" s="868" t="s">
        <v>290</v>
      </c>
      <c r="R181" s="737"/>
      <c r="S181" s="737"/>
      <c r="T181" s="893">
        <f>'BASIC COST OF MATL'!K403</f>
        <v>398</v>
      </c>
      <c r="U181" s="894"/>
      <c r="V181" s="737"/>
      <c r="W181" s="737"/>
      <c r="X181" s="868"/>
      <c r="Y181" s="869"/>
      <c r="AB181" s="722"/>
    </row>
    <row r="182" spans="1:28" s="733" customFormat="1" ht="12.75" customHeight="1">
      <c r="A182" s="880" t="s">
        <v>291</v>
      </c>
      <c r="B182" s="898" t="s">
        <v>292</v>
      </c>
      <c r="C182" s="857"/>
      <c r="D182" s="858"/>
      <c r="E182" s="858"/>
      <c r="F182" s="858"/>
      <c r="G182" s="871"/>
      <c r="H182" s="859">
        <f>H181+1</f>
        <v>76</v>
      </c>
      <c r="I182" s="860" t="s">
        <v>293</v>
      </c>
      <c r="J182" s="872"/>
      <c r="K182" s="861"/>
      <c r="L182" s="862" t="s">
        <v>294</v>
      </c>
      <c r="M182" s="863">
        <f t="shared" si="38"/>
        <v>159.03</v>
      </c>
      <c r="N182" s="864"/>
      <c r="O182" s="714"/>
      <c r="P182" s="714"/>
      <c r="Q182" s="865" t="s">
        <v>295</v>
      </c>
      <c r="R182" s="760"/>
      <c r="S182" s="737">
        <v>116</v>
      </c>
      <c r="T182" s="866"/>
      <c r="U182" s="899">
        <f>'BASIC COST OF MATL'!K302</f>
        <v>159.03</v>
      </c>
      <c r="V182" s="760"/>
      <c r="W182" s="737">
        <v>116</v>
      </c>
      <c r="X182" s="868" t="s">
        <v>293</v>
      </c>
      <c r="Y182" s="869" t="s">
        <v>205</v>
      </c>
      <c r="AB182" s="722"/>
    </row>
    <row r="183" spans="1:28" s="733" customFormat="1" ht="12.75" customHeight="1">
      <c r="A183" s="859">
        <f t="shared" si="44"/>
        <v>76</v>
      </c>
      <c r="B183" s="900" t="s">
        <v>296</v>
      </c>
      <c r="C183" s="870"/>
      <c r="D183" s="870"/>
      <c r="E183" s="862" t="s">
        <v>284</v>
      </c>
      <c r="F183" s="862"/>
      <c r="G183" s="871">
        <f t="shared" si="39"/>
        <v>47.83</v>
      </c>
      <c r="H183" s="859">
        <f>H182+1</f>
        <v>77</v>
      </c>
      <c r="I183" s="860" t="s">
        <v>297</v>
      </c>
      <c r="J183" s="872"/>
      <c r="K183" s="861"/>
      <c r="L183" s="862" t="s">
        <v>95</v>
      </c>
      <c r="M183" s="863">
        <f t="shared" si="38"/>
        <v>40</v>
      </c>
      <c r="N183" s="864"/>
      <c r="O183" s="714"/>
      <c r="P183" s="714"/>
      <c r="Q183" s="868" t="s">
        <v>296</v>
      </c>
      <c r="R183" s="737">
        <v>35</v>
      </c>
      <c r="S183" s="737">
        <v>30</v>
      </c>
      <c r="T183" s="877">
        <f>'BASIC COST OF MATL'!K168</f>
        <v>47.83</v>
      </c>
      <c r="U183" s="901">
        <v>40</v>
      </c>
      <c r="V183" s="737">
        <v>35</v>
      </c>
      <c r="W183" s="737">
        <v>30</v>
      </c>
      <c r="X183" s="868" t="s">
        <v>297</v>
      </c>
      <c r="Y183" s="869" t="s">
        <v>205</v>
      </c>
      <c r="AB183" s="722"/>
    </row>
    <row r="184" spans="1:28" s="733" customFormat="1" ht="12.75" customHeight="1">
      <c r="A184" s="859">
        <f t="shared" si="44"/>
        <v>78</v>
      </c>
      <c r="B184" s="860" t="s">
        <v>298</v>
      </c>
      <c r="C184" s="872"/>
      <c r="D184" s="872"/>
      <c r="E184" s="862" t="s">
        <v>294</v>
      </c>
      <c r="F184" s="862"/>
      <c r="G184" s="871">
        <f t="shared" si="39"/>
        <v>194.79</v>
      </c>
      <c r="H184" s="859">
        <f t="shared" si="41"/>
        <v>79</v>
      </c>
      <c r="I184" s="860" t="s">
        <v>126</v>
      </c>
      <c r="J184" s="872"/>
      <c r="K184" s="861"/>
      <c r="L184" s="862" t="s">
        <v>95</v>
      </c>
      <c r="M184" s="863">
        <f t="shared" si="38"/>
        <v>24.19</v>
      </c>
      <c r="N184" s="864"/>
      <c r="O184" s="714"/>
      <c r="P184" s="714"/>
      <c r="Q184" s="868" t="s">
        <v>298</v>
      </c>
      <c r="R184" s="737">
        <v>150</v>
      </c>
      <c r="S184" s="737">
        <v>14</v>
      </c>
      <c r="T184" s="877">
        <f>'BASIC COST OF MATL'!K304</f>
        <v>194.79</v>
      </c>
      <c r="U184" s="902">
        <f>'BASIC COST OF MATL'!K38</f>
        <v>24.19</v>
      </c>
      <c r="V184" s="737">
        <v>150</v>
      </c>
      <c r="W184" s="737">
        <v>14</v>
      </c>
      <c r="X184" s="868" t="s">
        <v>126</v>
      </c>
      <c r="Y184" s="869" t="s">
        <v>205</v>
      </c>
      <c r="AB184" s="722"/>
    </row>
    <row r="185" spans="1:28" s="733" customFormat="1" ht="12.75" customHeight="1">
      <c r="A185" s="859">
        <f t="shared" si="44"/>
        <v>80</v>
      </c>
      <c r="B185" s="860" t="s">
        <v>299</v>
      </c>
      <c r="C185" s="872"/>
      <c r="D185" s="872"/>
      <c r="E185" s="862" t="s">
        <v>294</v>
      </c>
      <c r="F185" s="862"/>
      <c r="G185" s="871">
        <f t="shared" si="39"/>
        <v>249.34</v>
      </c>
      <c r="H185" s="859">
        <f t="shared" si="41"/>
        <v>81</v>
      </c>
      <c r="I185" s="860" t="s">
        <v>300</v>
      </c>
      <c r="J185" s="872"/>
      <c r="K185" s="861"/>
      <c r="L185" s="862" t="s">
        <v>95</v>
      </c>
      <c r="M185" s="863">
        <f t="shared" si="38"/>
        <v>123.94</v>
      </c>
      <c r="N185" s="864"/>
      <c r="O185" s="714"/>
      <c r="P185" s="714"/>
      <c r="Q185" s="868" t="s">
        <v>299</v>
      </c>
      <c r="R185" s="737">
        <v>188</v>
      </c>
      <c r="S185" s="737">
        <v>98</v>
      </c>
      <c r="T185" s="877">
        <f>'BASIC COST OF MATL'!K165</f>
        <v>249.34</v>
      </c>
      <c r="U185" s="902">
        <f>'BASIC COST OF MATL'!K169</f>
        <v>123.94</v>
      </c>
      <c r="V185" s="737">
        <v>188</v>
      </c>
      <c r="W185" s="737">
        <v>98</v>
      </c>
      <c r="X185" s="868" t="s">
        <v>300</v>
      </c>
      <c r="Y185" s="869" t="s">
        <v>205</v>
      </c>
      <c r="AB185" s="722"/>
    </row>
    <row r="186" spans="1:28" s="733" customFormat="1" ht="12.75" customHeight="1">
      <c r="A186" s="859">
        <f t="shared" si="44"/>
        <v>82</v>
      </c>
      <c r="B186" s="860" t="s">
        <v>112</v>
      </c>
      <c r="C186" s="872"/>
      <c r="D186" s="872"/>
      <c r="E186" s="862" t="s">
        <v>284</v>
      </c>
      <c r="F186" s="862"/>
      <c r="G186" s="871">
        <f t="shared" si="39"/>
        <v>70.099999999999994</v>
      </c>
      <c r="H186" s="859">
        <f t="shared" si="41"/>
        <v>83</v>
      </c>
      <c r="I186" s="860" t="s">
        <v>122</v>
      </c>
      <c r="J186" s="872"/>
      <c r="K186" s="861"/>
      <c r="L186" s="862" t="s">
        <v>95</v>
      </c>
      <c r="M186" s="863">
        <f t="shared" si="38"/>
        <v>155.08000000000001</v>
      </c>
      <c r="N186" s="864"/>
      <c r="O186" s="714"/>
      <c r="P186" s="714"/>
      <c r="Q186" s="868" t="s">
        <v>112</v>
      </c>
      <c r="R186" s="737">
        <v>50</v>
      </c>
      <c r="S186" s="737">
        <v>110</v>
      </c>
      <c r="T186" s="877">
        <f>'BASIC COST OF MATL'!K167</f>
        <v>70.099999999999994</v>
      </c>
      <c r="U186" s="902">
        <f>'BASIC COST OF MATL'!K163</f>
        <v>155.08000000000001</v>
      </c>
      <c r="V186" s="737">
        <v>50</v>
      </c>
      <c r="W186" s="737">
        <v>110</v>
      </c>
      <c r="X186" s="868" t="s">
        <v>122</v>
      </c>
      <c r="Y186" s="869" t="s">
        <v>205</v>
      </c>
      <c r="AB186" s="722"/>
    </row>
    <row r="187" spans="1:28" s="733" customFormat="1" ht="12.75" customHeight="1">
      <c r="A187" s="859">
        <f t="shared" si="44"/>
        <v>84</v>
      </c>
      <c r="B187" s="860" t="s">
        <v>114</v>
      </c>
      <c r="C187" s="872"/>
      <c r="D187" s="872"/>
      <c r="E187" s="862" t="s">
        <v>294</v>
      </c>
      <c r="F187" s="862"/>
      <c r="G187" s="871">
        <f>T187</f>
        <v>250.34</v>
      </c>
      <c r="H187" s="859">
        <f t="shared" si="41"/>
        <v>85</v>
      </c>
      <c r="I187" s="860" t="s">
        <v>301</v>
      </c>
      <c r="J187" s="872"/>
      <c r="K187" s="861"/>
      <c r="L187" s="862" t="s">
        <v>3208</v>
      </c>
      <c r="M187" s="863">
        <f t="shared" si="38"/>
        <v>30</v>
      </c>
      <c r="N187" s="864"/>
      <c r="O187" s="714"/>
      <c r="P187" s="714"/>
      <c r="Q187" s="868" t="s">
        <v>114</v>
      </c>
      <c r="R187" s="737">
        <v>145</v>
      </c>
      <c r="S187" s="737">
        <v>30</v>
      </c>
      <c r="T187" s="877">
        <f>'BASIC COST OF MATL'!K166</f>
        <v>250.34</v>
      </c>
      <c r="U187" s="901">
        <v>30</v>
      </c>
      <c r="V187" s="737">
        <v>145</v>
      </c>
      <c r="W187" s="737">
        <v>30</v>
      </c>
      <c r="X187" s="868" t="s">
        <v>301</v>
      </c>
      <c r="Y187" s="869" t="s">
        <v>205</v>
      </c>
      <c r="AB187" s="722"/>
    </row>
    <row r="188" spans="1:28" s="733" customFormat="1" ht="12.75" customHeight="1">
      <c r="A188" s="859">
        <f t="shared" si="44"/>
        <v>86</v>
      </c>
      <c r="B188" s="860" t="s">
        <v>302</v>
      </c>
      <c r="C188" s="872"/>
      <c r="D188" s="872"/>
      <c r="E188" s="862" t="s">
        <v>92</v>
      </c>
      <c r="F188" s="862"/>
      <c r="G188" s="871">
        <f t="shared" si="39"/>
        <v>437.36</v>
      </c>
      <c r="H188" s="859">
        <f t="shared" si="41"/>
        <v>87</v>
      </c>
      <c r="I188" s="860" t="s">
        <v>303</v>
      </c>
      <c r="J188" s="872"/>
      <c r="K188" s="861"/>
      <c r="L188" s="862" t="s">
        <v>95</v>
      </c>
      <c r="M188" s="863">
        <f>U188</f>
        <v>217.4</v>
      </c>
      <c r="N188" s="864"/>
      <c r="O188" s="714"/>
      <c r="P188" s="714"/>
      <c r="Q188" s="868" t="s">
        <v>302</v>
      </c>
      <c r="R188" s="737">
        <v>305</v>
      </c>
      <c r="S188" s="737">
        <v>20</v>
      </c>
      <c r="T188" s="877">
        <f>'BASIC COST OF MATL'!K313</f>
        <v>437.36</v>
      </c>
      <c r="U188" s="899">
        <f>'BASIC COST OF MATL'!K305</f>
        <v>217.4</v>
      </c>
      <c r="V188" s="737">
        <v>305</v>
      </c>
      <c r="W188" s="737">
        <v>20</v>
      </c>
      <c r="X188" s="868" t="s">
        <v>303</v>
      </c>
      <c r="Y188" s="869" t="s">
        <v>205</v>
      </c>
      <c r="AB188" s="722"/>
    </row>
    <row r="189" spans="1:28" s="733" customFormat="1" ht="12.75" customHeight="1">
      <c r="A189" s="859">
        <f>H189-1</f>
        <v>88</v>
      </c>
      <c r="B189" s="860" t="s">
        <v>304</v>
      </c>
      <c r="C189" s="872"/>
      <c r="D189" s="872"/>
      <c r="E189" s="862" t="s">
        <v>305</v>
      </c>
      <c r="F189" s="862"/>
      <c r="G189" s="871">
        <f>T189</f>
        <v>49.21</v>
      </c>
      <c r="H189" s="859">
        <f t="shared" si="41"/>
        <v>89</v>
      </c>
      <c r="I189" s="860" t="s">
        <v>124</v>
      </c>
      <c r="J189" s="872"/>
      <c r="K189" s="861"/>
      <c r="L189" s="862" t="s">
        <v>247</v>
      </c>
      <c r="M189" s="863">
        <f>U189</f>
        <v>2017.18</v>
      </c>
      <c r="N189" s="864"/>
      <c r="O189" s="903"/>
      <c r="P189" s="903"/>
      <c r="Q189" s="904" t="s">
        <v>304</v>
      </c>
      <c r="R189" s="747"/>
      <c r="S189" s="747"/>
      <c r="T189" s="905">
        <f>'BASIC COST OF MATL'!K173</f>
        <v>49.21</v>
      </c>
      <c r="U189" s="906">
        <f>'BASIC COST OF MATL'!K201</f>
        <v>2017.18</v>
      </c>
      <c r="V189" s="742"/>
      <c r="W189" s="742"/>
      <c r="X189" s="879" t="s">
        <v>124</v>
      </c>
      <c r="Y189" s="869"/>
      <c r="AB189" s="722"/>
    </row>
    <row r="190" spans="1:28" s="733" customFormat="1" ht="12.75" customHeight="1">
      <c r="A190" s="859">
        <f>A189+2</f>
        <v>90</v>
      </c>
      <c r="B190" s="860" t="s">
        <v>118</v>
      </c>
      <c r="C190" s="872"/>
      <c r="D190" s="872"/>
      <c r="E190" s="862" t="s">
        <v>305</v>
      </c>
      <c r="F190" s="862"/>
      <c r="G190" s="871">
        <f>T190</f>
        <v>17.23</v>
      </c>
      <c r="H190" s="859">
        <f t="shared" si="41"/>
        <v>91</v>
      </c>
      <c r="I190" s="860" t="str">
        <f>X190</f>
        <v>Varnish</v>
      </c>
      <c r="J190" s="872"/>
      <c r="K190" s="861"/>
      <c r="L190" s="862" t="s">
        <v>95</v>
      </c>
      <c r="M190" s="863">
        <f>U190</f>
        <v>169.85</v>
      </c>
      <c r="N190" s="864"/>
      <c r="O190" s="903"/>
      <c r="P190" s="903"/>
      <c r="Q190" s="730" t="s">
        <v>118</v>
      </c>
      <c r="R190" s="737"/>
      <c r="S190" s="737"/>
      <c r="T190" s="877">
        <f>'BASIC COST OF MATL'!K172</f>
        <v>17.23</v>
      </c>
      <c r="U190" s="899">
        <f>'BASIC COST OF MATL'!K171</f>
        <v>169.85</v>
      </c>
      <c r="V190" s="737"/>
      <c r="W190" s="737"/>
      <c r="X190" s="730" t="s">
        <v>306</v>
      </c>
      <c r="Y190" s="869"/>
      <c r="AB190" s="722"/>
    </row>
    <row r="191" spans="1:28" s="733" customFormat="1" ht="12.75" customHeight="1">
      <c r="A191" s="859">
        <f>A190+2</f>
        <v>92</v>
      </c>
      <c r="B191" s="860" t="str">
        <f>Q191</f>
        <v>Alluminium Paint</v>
      </c>
      <c r="C191" s="872"/>
      <c r="D191" s="872"/>
      <c r="E191" s="862"/>
      <c r="F191" s="862"/>
      <c r="G191" s="871">
        <f>T191</f>
        <v>167.09</v>
      </c>
      <c r="H191" s="859"/>
      <c r="I191" s="860"/>
      <c r="J191" s="872"/>
      <c r="K191" s="861"/>
      <c r="L191" s="862"/>
      <c r="M191" s="863"/>
      <c r="N191" s="864"/>
      <c r="O191" s="903"/>
      <c r="P191" s="903"/>
      <c r="Q191" s="730" t="s">
        <v>307</v>
      </c>
      <c r="R191" s="737"/>
      <c r="S191" s="737"/>
      <c r="T191" s="877">
        <f>'BASIC COST OF MATL'!K303</f>
        <v>167.09</v>
      </c>
      <c r="U191" s="899"/>
      <c r="V191" s="737"/>
      <c r="W191" s="737"/>
      <c r="X191" s="730"/>
      <c r="Y191" s="869"/>
      <c r="AB191" s="722"/>
    </row>
    <row r="192" spans="1:28" s="733" customFormat="1" ht="12.75" customHeight="1">
      <c r="A192" s="907" t="s">
        <v>308</v>
      </c>
      <c r="B192" s="908" t="s">
        <v>309</v>
      </c>
      <c r="C192" s="909"/>
      <c r="D192" s="861"/>
      <c r="E192" s="910"/>
      <c r="F192" s="910"/>
      <c r="G192" s="792"/>
      <c r="H192" s="851"/>
      <c r="I192" s="860"/>
      <c r="J192" s="911"/>
      <c r="K192" s="912"/>
      <c r="L192" s="851"/>
      <c r="M192" s="913"/>
      <c r="N192" s="864"/>
      <c r="O192" s="903"/>
      <c r="P192" s="903"/>
      <c r="Q192" s="847"/>
      <c r="R192" s="914"/>
      <c r="S192" s="914"/>
      <c r="T192" s="915"/>
      <c r="U192" s="916"/>
      <c r="V192" s="714"/>
      <c r="W192" s="914"/>
      <c r="X192" s="714"/>
      <c r="Y192" s="869" t="s">
        <v>205</v>
      </c>
      <c r="AB192" s="722"/>
    </row>
    <row r="193" spans="1:28" s="733" customFormat="1" ht="12.75" customHeight="1">
      <c r="A193" s="859" t="s">
        <v>22</v>
      </c>
      <c r="B193" s="3301" t="s">
        <v>310</v>
      </c>
      <c r="C193" s="3324"/>
      <c r="D193" s="3324"/>
      <c r="E193" s="851" t="s">
        <v>198</v>
      </c>
      <c r="F193" s="851"/>
      <c r="G193" s="856" t="s">
        <v>199</v>
      </c>
      <c r="H193" s="851"/>
      <c r="I193" s="3301" t="s">
        <v>310</v>
      </c>
      <c r="J193" s="3324"/>
      <c r="K193" s="3325"/>
      <c r="L193" s="851" t="s">
        <v>200</v>
      </c>
      <c r="M193" s="898" t="s">
        <v>199</v>
      </c>
      <c r="N193" s="864"/>
      <c r="O193" s="903"/>
      <c r="P193" s="903"/>
      <c r="Q193" s="730" t="str">
        <f>B193</f>
        <v>Machineries link with Analysis</v>
      </c>
      <c r="R193" s="760" t="s">
        <v>199</v>
      </c>
      <c r="S193" s="728" t="s">
        <v>199</v>
      </c>
      <c r="T193" s="866" t="s">
        <v>199</v>
      </c>
      <c r="U193" s="743" t="s">
        <v>199</v>
      </c>
      <c r="V193" s="760" t="s">
        <v>199</v>
      </c>
      <c r="W193" s="728" t="s">
        <v>199</v>
      </c>
      <c r="X193" s="734"/>
      <c r="Y193" s="869" t="s">
        <v>205</v>
      </c>
      <c r="AB193" s="722"/>
    </row>
    <row r="194" spans="1:28" s="733" customFormat="1" ht="12.75" customHeight="1">
      <c r="A194" s="859">
        <f>H194-1</f>
        <v>1</v>
      </c>
      <c r="B194" s="860" t="s">
        <v>311</v>
      </c>
      <c r="C194" s="872"/>
      <c r="D194" s="909"/>
      <c r="E194" s="862" t="s">
        <v>312</v>
      </c>
      <c r="F194" s="862"/>
      <c r="G194" s="871">
        <f>T194</f>
        <v>229.55</v>
      </c>
      <c r="H194" s="859">
        <f>H193+2</f>
        <v>2</v>
      </c>
      <c r="I194" s="860" t="s">
        <v>313</v>
      </c>
      <c r="J194" s="872"/>
      <c r="K194" s="861"/>
      <c r="L194" s="862" t="s">
        <v>312</v>
      </c>
      <c r="M194" s="863">
        <f>U194</f>
        <v>700</v>
      </c>
      <c r="N194" s="864"/>
      <c r="O194" s="714"/>
      <c r="P194" s="714"/>
      <c r="Q194" s="868" t="s">
        <v>311</v>
      </c>
      <c r="R194" s="738">
        <v>177</v>
      </c>
      <c r="S194" s="738">
        <v>240</v>
      </c>
      <c r="T194" s="873">
        <f>'HIRE CHG OF MECH.'!F86</f>
        <v>229.55</v>
      </c>
      <c r="U194" s="917">
        <f>'HIRE CHG OF MECH.'!F99</f>
        <v>700</v>
      </c>
      <c r="V194" s="738">
        <v>177</v>
      </c>
      <c r="W194" s="738">
        <v>240</v>
      </c>
      <c r="X194" s="868" t="s">
        <v>313</v>
      </c>
      <c r="Y194" s="869" t="s">
        <v>205</v>
      </c>
      <c r="AB194" s="722"/>
    </row>
    <row r="195" spans="1:28" s="733" customFormat="1" ht="12.75" customHeight="1">
      <c r="A195" s="859">
        <f>H195-1</f>
        <v>3</v>
      </c>
      <c r="B195" s="860" t="s">
        <v>314</v>
      </c>
      <c r="C195" s="872"/>
      <c r="D195" s="872"/>
      <c r="E195" s="862" t="s">
        <v>315</v>
      </c>
      <c r="F195" s="862"/>
      <c r="G195" s="871">
        <f>T195</f>
        <v>483</v>
      </c>
      <c r="H195" s="859">
        <f>H194+2</f>
        <v>4</v>
      </c>
      <c r="I195" s="860" t="s">
        <v>316</v>
      </c>
      <c r="J195" s="872"/>
      <c r="K195" s="861"/>
      <c r="L195" s="862" t="s">
        <v>312</v>
      </c>
      <c r="M195" s="863">
        <f>U195</f>
        <v>600</v>
      </c>
      <c r="N195" s="864"/>
      <c r="O195" s="714"/>
      <c r="P195" s="714"/>
      <c r="Q195" s="868" t="s">
        <v>314</v>
      </c>
      <c r="R195" s="737">
        <v>110</v>
      </c>
      <c r="S195" s="737">
        <v>220</v>
      </c>
      <c r="T195" s="877">
        <f>'BASIC COST OF MATL'!K482</f>
        <v>483</v>
      </c>
      <c r="U195" s="902">
        <f>'HIRE CHG OF MECH.'!F83</f>
        <v>600</v>
      </c>
      <c r="V195" s="737">
        <v>110</v>
      </c>
      <c r="W195" s="737">
        <v>220</v>
      </c>
      <c r="X195" s="868" t="s">
        <v>316</v>
      </c>
      <c r="Y195" s="869" t="s">
        <v>205</v>
      </c>
      <c r="AB195" s="722"/>
    </row>
    <row r="196" spans="1:28" s="733" customFormat="1" ht="12.75" customHeight="1">
      <c r="A196" s="859">
        <f>H196-1</f>
        <v>5</v>
      </c>
      <c r="B196" s="860" t="s">
        <v>317</v>
      </c>
      <c r="C196" s="872"/>
      <c r="D196" s="872"/>
      <c r="E196" s="862" t="s">
        <v>315</v>
      </c>
      <c r="F196" s="862"/>
      <c r="G196" s="871">
        <f>T196</f>
        <v>450</v>
      </c>
      <c r="H196" s="859">
        <f>H195+2</f>
        <v>6</v>
      </c>
      <c r="I196" s="860" t="s">
        <v>318</v>
      </c>
      <c r="J196" s="857"/>
      <c r="K196" s="861"/>
      <c r="L196" s="862" t="s">
        <v>319</v>
      </c>
      <c r="M196" s="863">
        <f>U196</f>
        <v>100</v>
      </c>
      <c r="N196" s="864"/>
      <c r="O196" s="714"/>
      <c r="P196" s="714"/>
      <c r="Q196" s="868" t="s">
        <v>317</v>
      </c>
      <c r="R196" s="737">
        <v>450</v>
      </c>
      <c r="S196" s="737">
        <v>100</v>
      </c>
      <c r="T196" s="877">
        <v>450</v>
      </c>
      <c r="U196" s="888">
        <v>100</v>
      </c>
      <c r="V196" s="737">
        <v>450</v>
      </c>
      <c r="W196" s="737">
        <v>100</v>
      </c>
      <c r="X196" s="868" t="s">
        <v>318</v>
      </c>
      <c r="Y196" s="869" t="s">
        <v>205</v>
      </c>
    </row>
    <row r="197" spans="1:28" s="733" customFormat="1" ht="12.75" customHeight="1">
      <c r="A197" s="859">
        <f>H197-1</f>
        <v>7</v>
      </c>
      <c r="B197" s="860" t="s">
        <v>320</v>
      </c>
      <c r="C197" s="872"/>
      <c r="D197" s="872"/>
      <c r="E197" s="862" t="s">
        <v>95</v>
      </c>
      <c r="F197" s="862"/>
      <c r="G197" s="871">
        <f>T197</f>
        <v>10</v>
      </c>
      <c r="H197" s="859">
        <f>H196+2</f>
        <v>8</v>
      </c>
      <c r="I197" s="860" t="s">
        <v>321</v>
      </c>
      <c r="J197" s="857"/>
      <c r="K197" s="861"/>
      <c r="L197" s="862" t="s">
        <v>49</v>
      </c>
      <c r="M197" s="863">
        <f>U197</f>
        <v>33</v>
      </c>
      <c r="N197" s="864"/>
      <c r="O197" s="714"/>
      <c r="P197" s="714"/>
      <c r="Q197" s="868" t="s">
        <v>320</v>
      </c>
      <c r="R197" s="737">
        <v>10</v>
      </c>
      <c r="S197" s="737">
        <v>33</v>
      </c>
      <c r="T197" s="877">
        <v>10</v>
      </c>
      <c r="U197" s="888">
        <v>33</v>
      </c>
      <c r="V197" s="737">
        <v>10</v>
      </c>
      <c r="W197" s="737">
        <v>33</v>
      </c>
      <c r="X197" s="868" t="s">
        <v>321</v>
      </c>
      <c r="Y197" s="869" t="s">
        <v>205</v>
      </c>
    </row>
    <row r="198" spans="1:28" s="731" customFormat="1" ht="12.75" customHeight="1">
      <c r="A198" s="859">
        <f>A197+2</f>
        <v>9</v>
      </c>
      <c r="B198" s="860" t="s">
        <v>322</v>
      </c>
      <c r="C198" s="857"/>
      <c r="D198" s="872"/>
      <c r="E198" s="862" t="s">
        <v>49</v>
      </c>
      <c r="F198" s="862"/>
      <c r="G198" s="871">
        <f>T198</f>
        <v>41.9</v>
      </c>
      <c r="H198" s="876"/>
      <c r="I198" s="876"/>
      <c r="J198" s="918"/>
      <c r="K198" s="919"/>
      <c r="L198" s="919"/>
      <c r="M198" s="920"/>
      <c r="N198" s="864"/>
      <c r="O198" s="714"/>
      <c r="P198" s="714"/>
      <c r="Q198" s="868" t="s">
        <v>322</v>
      </c>
      <c r="R198" s="737">
        <v>41.9</v>
      </c>
      <c r="T198" s="877">
        <v>41.9</v>
      </c>
      <c r="U198" s="921"/>
      <c r="V198" s="737">
        <v>41.9</v>
      </c>
      <c r="X198" s="734"/>
      <c r="Y198" s="869" t="s">
        <v>205</v>
      </c>
      <c r="Z198" s="733"/>
      <c r="AA198" s="733"/>
    </row>
    <row r="199" spans="1:28" s="714" customFormat="1" ht="12.75" customHeight="1">
      <c r="A199" s="922">
        <v>1</v>
      </c>
      <c r="B199" s="923" t="s">
        <v>323</v>
      </c>
      <c r="C199" s="924"/>
      <c r="D199" s="925"/>
      <c r="E199" s="926" t="s">
        <v>312</v>
      </c>
      <c r="F199" s="927"/>
      <c r="G199" s="928">
        <f t="shared" ref="G199:G213" si="45">T199</f>
        <v>2834</v>
      </c>
      <c r="H199" s="922">
        <f>A199+1</f>
        <v>2</v>
      </c>
      <c r="I199" s="924" t="s">
        <v>324</v>
      </c>
      <c r="J199" s="924"/>
      <c r="K199" s="927"/>
      <c r="L199" s="929" t="s">
        <v>312</v>
      </c>
      <c r="M199" s="930">
        <f t="shared" ref="M199:M213" si="46">U199</f>
        <v>1071.0999999999999</v>
      </c>
      <c r="N199" s="864"/>
      <c r="Q199" s="931" t="s">
        <v>323</v>
      </c>
      <c r="R199" s="932">
        <v>1831</v>
      </c>
      <c r="S199" s="933">
        <v>692</v>
      </c>
      <c r="T199" s="934">
        <f>'HIRE CHG OF MECH.'!F5</f>
        <v>2834</v>
      </c>
      <c r="U199" s="935">
        <f>'HIRE CHG OF MECH.'!F42</f>
        <v>1071.0999999999999</v>
      </c>
      <c r="V199" s="932">
        <v>1831</v>
      </c>
      <c r="W199" s="933">
        <v>692</v>
      </c>
      <c r="X199" s="936" t="s">
        <v>324</v>
      </c>
      <c r="Y199" s="869" t="s">
        <v>205</v>
      </c>
      <c r="Z199" s="733"/>
      <c r="AA199" s="733"/>
    </row>
    <row r="200" spans="1:28" s="714" customFormat="1" ht="12.75" customHeight="1">
      <c r="A200" s="922">
        <f>A199+2</f>
        <v>3</v>
      </c>
      <c r="B200" s="923" t="s">
        <v>325</v>
      </c>
      <c r="C200" s="924"/>
      <c r="D200" s="925"/>
      <c r="E200" s="926" t="s">
        <v>312</v>
      </c>
      <c r="F200" s="927"/>
      <c r="G200" s="928">
        <f t="shared" si="45"/>
        <v>2391.39</v>
      </c>
      <c r="H200" s="922">
        <f t="shared" ref="H200:H213" si="47">A200+1</f>
        <v>4</v>
      </c>
      <c r="I200" s="924" t="s">
        <v>326</v>
      </c>
      <c r="J200" s="924"/>
      <c r="K200" s="927"/>
      <c r="L200" s="929" t="s">
        <v>312</v>
      </c>
      <c r="M200" s="930">
        <f t="shared" si="46"/>
        <v>798.68</v>
      </c>
      <c r="N200" s="864"/>
      <c r="Q200" s="931" t="s">
        <v>325</v>
      </c>
      <c r="R200" s="932">
        <v>1545</v>
      </c>
      <c r="S200" s="937">
        <v>516</v>
      </c>
      <c r="T200" s="934">
        <f>'HIRE CHG OF MECH.'!F11</f>
        <v>2391.39</v>
      </c>
      <c r="U200" s="938">
        <f>'HIRE CHG OF MECH.'!F43</f>
        <v>798.68</v>
      </c>
      <c r="V200" s="932">
        <v>1545</v>
      </c>
      <c r="W200" s="937">
        <v>516</v>
      </c>
      <c r="X200" s="936" t="s">
        <v>326</v>
      </c>
      <c r="Y200" s="869" t="s">
        <v>205</v>
      </c>
      <c r="Z200" s="733"/>
      <c r="AA200" s="733"/>
    </row>
    <row r="201" spans="1:28" s="714" customFormat="1" ht="12.75" customHeight="1">
      <c r="A201" s="922">
        <f t="shared" ref="A201:A213" si="48">A200+2</f>
        <v>5</v>
      </c>
      <c r="B201" s="923" t="s">
        <v>327</v>
      </c>
      <c r="C201" s="924"/>
      <c r="D201" s="925"/>
      <c r="E201" s="926" t="s">
        <v>312</v>
      </c>
      <c r="F201" s="927"/>
      <c r="G201" s="928">
        <f t="shared" si="45"/>
        <v>1300.1600000000001</v>
      </c>
      <c r="H201" s="922">
        <f t="shared" si="47"/>
        <v>6</v>
      </c>
      <c r="I201" s="924" t="s">
        <v>328</v>
      </c>
      <c r="J201" s="924"/>
      <c r="K201" s="927"/>
      <c r="L201" s="929" t="s">
        <v>312</v>
      </c>
      <c r="M201" s="930">
        <f t="shared" si="46"/>
        <v>17284.560000000001</v>
      </c>
      <c r="N201" s="864"/>
      <c r="Q201" s="931" t="s">
        <v>327</v>
      </c>
      <c r="R201" s="932">
        <v>840</v>
      </c>
      <c r="S201" s="939">
        <v>11167</v>
      </c>
      <c r="T201" s="934">
        <f>'HIRE CHG OF MECH.'!F16</f>
        <v>1300.1600000000001</v>
      </c>
      <c r="U201" s="940">
        <f>'HIRE CHG OF MECH.'!F45</f>
        <v>17284.560000000001</v>
      </c>
      <c r="V201" s="932">
        <v>840</v>
      </c>
      <c r="W201" s="939">
        <v>11167</v>
      </c>
      <c r="X201" s="936" t="s">
        <v>328</v>
      </c>
      <c r="Y201" s="869" t="s">
        <v>205</v>
      </c>
      <c r="Z201" s="733"/>
      <c r="AA201" s="733"/>
    </row>
    <row r="202" spans="1:28" s="714" customFormat="1" ht="12.75" customHeight="1">
      <c r="A202" s="922">
        <f t="shared" si="48"/>
        <v>7</v>
      </c>
      <c r="B202" s="923" t="s">
        <v>329</v>
      </c>
      <c r="C202" s="924"/>
      <c r="D202" s="925"/>
      <c r="E202" s="926" t="s">
        <v>312</v>
      </c>
      <c r="F202" s="927"/>
      <c r="G202" s="928">
        <f t="shared" si="45"/>
        <v>804.86</v>
      </c>
      <c r="H202" s="922">
        <f t="shared" si="47"/>
        <v>8</v>
      </c>
      <c r="I202" s="924" t="s">
        <v>330</v>
      </c>
      <c r="J202" s="924"/>
      <c r="K202" s="927"/>
      <c r="L202" s="929" t="s">
        <v>312</v>
      </c>
      <c r="M202" s="930">
        <f t="shared" si="46"/>
        <v>1724.97</v>
      </c>
      <c r="N202" s="864"/>
      <c r="Q202" s="931" t="s">
        <v>329</v>
      </c>
      <c r="R202" s="932">
        <v>520</v>
      </c>
      <c r="S202" s="937">
        <v>1725</v>
      </c>
      <c r="T202" s="934">
        <f>'HIRE CHG OF MECH.'!F20</f>
        <v>804.86</v>
      </c>
      <c r="U202" s="938">
        <f>'HIRE CHG OF MECH.'!F49</f>
        <v>1724.97</v>
      </c>
      <c r="V202" s="932">
        <v>520</v>
      </c>
      <c r="W202" s="937">
        <v>1725</v>
      </c>
      <c r="X202" s="936" t="s">
        <v>330</v>
      </c>
      <c r="Y202" s="869" t="s">
        <v>205</v>
      </c>
      <c r="Z202" s="733"/>
      <c r="AA202" s="733"/>
    </row>
    <row r="203" spans="1:28" s="714" customFormat="1" ht="12.75" customHeight="1">
      <c r="A203" s="922">
        <f t="shared" si="48"/>
        <v>9</v>
      </c>
      <c r="B203" s="923" t="s">
        <v>331</v>
      </c>
      <c r="C203" s="924"/>
      <c r="D203" s="925"/>
      <c r="E203" s="926" t="s">
        <v>312</v>
      </c>
      <c r="F203" s="927"/>
      <c r="G203" s="928">
        <f t="shared" si="45"/>
        <v>900.84</v>
      </c>
      <c r="H203" s="922">
        <f t="shared" si="47"/>
        <v>10</v>
      </c>
      <c r="I203" s="924" t="s">
        <v>332</v>
      </c>
      <c r="J203" s="924"/>
      <c r="K203" s="927"/>
      <c r="L203" s="929" t="s">
        <v>312</v>
      </c>
      <c r="M203" s="930">
        <f t="shared" si="46"/>
        <v>1143.9000000000001</v>
      </c>
      <c r="N203" s="864"/>
      <c r="Q203" s="931" t="s">
        <v>331</v>
      </c>
      <c r="R203" s="932">
        <v>582</v>
      </c>
      <c r="S203" s="937">
        <v>739</v>
      </c>
      <c r="T203" s="934">
        <f>'HIRE CHG OF MECH.'!F24</f>
        <v>900.84</v>
      </c>
      <c r="U203" s="938">
        <f>'HIRE CHG OF MECH.'!F50</f>
        <v>1143.9000000000001</v>
      </c>
      <c r="V203" s="932">
        <v>582</v>
      </c>
      <c r="W203" s="937">
        <v>739</v>
      </c>
      <c r="X203" s="936" t="s">
        <v>332</v>
      </c>
      <c r="Y203" s="869" t="s">
        <v>205</v>
      </c>
      <c r="Z203" s="733"/>
      <c r="AA203" s="733"/>
    </row>
    <row r="204" spans="1:28" s="714" customFormat="1" ht="12.75" customHeight="1">
      <c r="A204" s="922">
        <f t="shared" si="48"/>
        <v>11</v>
      </c>
      <c r="B204" s="923" t="s">
        <v>333</v>
      </c>
      <c r="C204" s="927"/>
      <c r="D204" s="925"/>
      <c r="E204" s="926" t="s">
        <v>334</v>
      </c>
      <c r="F204" s="927"/>
      <c r="G204" s="928">
        <f t="shared" si="45"/>
        <v>3.86</v>
      </c>
      <c r="H204" s="922">
        <f t="shared" si="47"/>
        <v>12</v>
      </c>
      <c r="I204" s="924" t="s">
        <v>335</v>
      </c>
      <c r="J204" s="924"/>
      <c r="K204" s="927"/>
      <c r="L204" s="929" t="s">
        <v>312</v>
      </c>
      <c r="M204" s="930">
        <f t="shared" si="46"/>
        <v>1480.62</v>
      </c>
      <c r="N204" s="864"/>
      <c r="Q204" s="931" t="s">
        <v>333</v>
      </c>
      <c r="R204" s="932">
        <v>2.5</v>
      </c>
      <c r="S204" s="933">
        <v>1700</v>
      </c>
      <c r="T204" s="934">
        <f>'HIRE CHG OF MECH.'!F23</f>
        <v>3.86</v>
      </c>
      <c r="U204" s="935">
        <f>'HIRE CHG OF MECH.'!F53</f>
        <v>1480.62</v>
      </c>
      <c r="V204" s="932">
        <v>2.5</v>
      </c>
      <c r="W204" s="933">
        <v>1700</v>
      </c>
      <c r="X204" s="936" t="s">
        <v>335</v>
      </c>
      <c r="Y204" s="869" t="s">
        <v>205</v>
      </c>
      <c r="Z204" s="733"/>
      <c r="AA204" s="733"/>
    </row>
    <row r="205" spans="1:28" s="714" customFormat="1" ht="12.75" customHeight="1">
      <c r="A205" s="922">
        <f t="shared" si="48"/>
        <v>13</v>
      </c>
      <c r="B205" s="923" t="s">
        <v>336</v>
      </c>
      <c r="C205" s="924"/>
      <c r="D205" s="925"/>
      <c r="E205" s="926" t="s">
        <v>312</v>
      </c>
      <c r="F205" s="927"/>
      <c r="G205" s="928">
        <f t="shared" si="45"/>
        <v>1538.54</v>
      </c>
      <c r="H205" s="922">
        <f t="shared" si="47"/>
        <v>14</v>
      </c>
      <c r="I205" s="924" t="s">
        <v>337</v>
      </c>
      <c r="J205" s="924"/>
      <c r="K205" s="927"/>
      <c r="L205" s="929" t="s">
        <v>312</v>
      </c>
      <c r="M205" s="930">
        <f t="shared" si="46"/>
        <v>1142.3</v>
      </c>
      <c r="N205" s="864"/>
      <c r="Q205" s="931" t="s">
        <v>336</v>
      </c>
      <c r="R205" s="932">
        <v>994</v>
      </c>
      <c r="S205" s="937">
        <v>738</v>
      </c>
      <c r="T205" s="934">
        <f>'HIRE CHG OF MECH.'!F25</f>
        <v>1538.54</v>
      </c>
      <c r="U205" s="938">
        <f>'HIRE CHG OF MECH.'!F54</f>
        <v>1142.3</v>
      </c>
      <c r="V205" s="932">
        <v>994</v>
      </c>
      <c r="W205" s="937">
        <v>738</v>
      </c>
      <c r="X205" s="936" t="s">
        <v>337</v>
      </c>
      <c r="Y205" s="869" t="s">
        <v>205</v>
      </c>
      <c r="Z205" s="733"/>
      <c r="AA205" s="733"/>
    </row>
    <row r="206" spans="1:28" s="714" customFormat="1" ht="12.75" customHeight="1">
      <c r="A206" s="922">
        <f t="shared" si="48"/>
        <v>15</v>
      </c>
      <c r="B206" s="923" t="s">
        <v>338</v>
      </c>
      <c r="C206" s="924"/>
      <c r="D206" s="925"/>
      <c r="E206" s="926" t="s">
        <v>312</v>
      </c>
      <c r="F206" s="927"/>
      <c r="G206" s="928">
        <f t="shared" si="45"/>
        <v>524.70000000000005</v>
      </c>
      <c r="H206" s="922">
        <f t="shared" si="47"/>
        <v>16</v>
      </c>
      <c r="I206" s="924" t="s">
        <v>339</v>
      </c>
      <c r="J206" s="924"/>
      <c r="K206" s="927"/>
      <c r="L206" s="929" t="s">
        <v>312</v>
      </c>
      <c r="M206" s="930">
        <f t="shared" si="46"/>
        <v>114.54</v>
      </c>
      <c r="N206" s="864"/>
      <c r="Q206" s="931" t="s">
        <v>338</v>
      </c>
      <c r="R206" s="932">
        <v>339</v>
      </c>
      <c r="S206" s="937">
        <v>74</v>
      </c>
      <c r="T206" s="934">
        <f>'HIRE CHG OF MECH.'!F28</f>
        <v>524.70000000000005</v>
      </c>
      <c r="U206" s="938">
        <f>'HIRE CHG OF MECH.'!F58</f>
        <v>114.54</v>
      </c>
      <c r="V206" s="932">
        <v>339</v>
      </c>
      <c r="W206" s="937">
        <v>74</v>
      </c>
      <c r="X206" s="936" t="s">
        <v>339</v>
      </c>
      <c r="Y206" s="869" t="s">
        <v>205</v>
      </c>
      <c r="Z206" s="733"/>
      <c r="AA206" s="733"/>
    </row>
    <row r="207" spans="1:28" s="714" customFormat="1" ht="12.75" customHeight="1">
      <c r="A207" s="922">
        <f t="shared" si="48"/>
        <v>17</v>
      </c>
      <c r="B207" s="923" t="s">
        <v>340</v>
      </c>
      <c r="C207" s="924"/>
      <c r="D207" s="925"/>
      <c r="E207" s="926" t="s">
        <v>312</v>
      </c>
      <c r="F207" s="927"/>
      <c r="G207" s="928">
        <f t="shared" si="45"/>
        <v>900.84</v>
      </c>
      <c r="H207" s="922">
        <f t="shared" si="47"/>
        <v>18</v>
      </c>
      <c r="I207" s="924" t="s">
        <v>311</v>
      </c>
      <c r="J207" s="924"/>
      <c r="K207" s="927"/>
      <c r="L207" s="929" t="s">
        <v>312</v>
      </c>
      <c r="M207" s="930">
        <f t="shared" si="46"/>
        <v>229.55</v>
      </c>
      <c r="N207" s="864"/>
      <c r="Q207" s="931" t="s">
        <v>340</v>
      </c>
      <c r="R207" s="932">
        <v>582</v>
      </c>
      <c r="S207" s="937">
        <v>177</v>
      </c>
      <c r="T207" s="934">
        <f>'HIRE CHG OF MECH.'!F31</f>
        <v>900.84</v>
      </c>
      <c r="U207" s="938">
        <f>'HIRE CHG OF MECH.'!F86</f>
        <v>229.55</v>
      </c>
      <c r="V207" s="932">
        <v>582</v>
      </c>
      <c r="W207" s="937">
        <v>177</v>
      </c>
      <c r="X207" s="936" t="s">
        <v>311</v>
      </c>
      <c r="Y207" s="869" t="s">
        <v>205</v>
      </c>
      <c r="Z207" s="733"/>
      <c r="AA207" s="733"/>
    </row>
    <row r="208" spans="1:28" s="714" customFormat="1" ht="12.75" customHeight="1">
      <c r="A208" s="922">
        <f t="shared" si="48"/>
        <v>19</v>
      </c>
      <c r="B208" s="923" t="s">
        <v>341</v>
      </c>
      <c r="C208" s="924"/>
      <c r="D208" s="925"/>
      <c r="E208" s="926" t="s">
        <v>312</v>
      </c>
      <c r="F208" s="927"/>
      <c r="G208" s="928">
        <f t="shared" si="45"/>
        <v>357.55</v>
      </c>
      <c r="H208" s="922">
        <f t="shared" si="47"/>
        <v>20</v>
      </c>
      <c r="I208" s="924" t="s">
        <v>342</v>
      </c>
      <c r="J208" s="924"/>
      <c r="K208" s="927"/>
      <c r="L208" s="929" t="s">
        <v>312</v>
      </c>
      <c r="M208" s="930">
        <f t="shared" si="46"/>
        <v>153.22999999999999</v>
      </c>
      <c r="N208" s="864"/>
      <c r="Q208" s="931" t="s">
        <v>341</v>
      </c>
      <c r="R208" s="932">
        <f>'HIRE CHG OF MECH.'!F32</f>
        <v>357.55</v>
      </c>
      <c r="S208" s="937">
        <v>106</v>
      </c>
      <c r="T208" s="934">
        <f>'HIRE CHG OF MECH.'!F32</f>
        <v>357.55</v>
      </c>
      <c r="U208" s="938">
        <f>'HIRE CHG OF MECH.'!F88</f>
        <v>153.22999999999999</v>
      </c>
      <c r="V208" s="932">
        <v>231</v>
      </c>
      <c r="W208" s="937">
        <v>106</v>
      </c>
      <c r="X208" s="936" t="s">
        <v>342</v>
      </c>
      <c r="Y208" s="869" t="s">
        <v>205</v>
      </c>
      <c r="Z208" s="733"/>
      <c r="AA208" s="733"/>
    </row>
    <row r="209" spans="1:27" s="714" customFormat="1" ht="12.75" customHeight="1">
      <c r="A209" s="922">
        <f t="shared" si="48"/>
        <v>21</v>
      </c>
      <c r="B209" s="923" t="s">
        <v>343</v>
      </c>
      <c r="C209" s="924"/>
      <c r="D209" s="925"/>
      <c r="E209" s="926" t="s">
        <v>312</v>
      </c>
      <c r="F209" s="927"/>
      <c r="G209" s="928">
        <f t="shared" si="45"/>
        <v>373.55</v>
      </c>
      <c r="H209" s="922">
        <f t="shared" si="47"/>
        <v>22</v>
      </c>
      <c r="I209" s="924" t="s">
        <v>344</v>
      </c>
      <c r="J209" s="924"/>
      <c r="K209" s="924"/>
      <c r="L209" s="929" t="s">
        <v>312</v>
      </c>
      <c r="M209" s="930">
        <f t="shared" si="46"/>
        <v>300</v>
      </c>
      <c r="N209" s="864"/>
      <c r="Q209" s="931" t="s">
        <v>343</v>
      </c>
      <c r="R209" s="932">
        <v>242</v>
      </c>
      <c r="S209" s="937">
        <v>300</v>
      </c>
      <c r="T209" s="934">
        <f>'HIRE CHG OF MECH.'!F32+'HIRE CHG OF MECH.'!F33</f>
        <v>373.55</v>
      </c>
      <c r="U209" s="941">
        <v>300</v>
      </c>
      <c r="V209" s="932">
        <v>242</v>
      </c>
      <c r="W209" s="937">
        <v>300</v>
      </c>
      <c r="X209" s="936" t="s">
        <v>344</v>
      </c>
      <c r="Y209" s="869" t="s">
        <v>205</v>
      </c>
      <c r="Z209" s="733"/>
      <c r="AA209" s="733"/>
    </row>
    <row r="210" spans="1:27" s="714" customFormat="1" ht="12.75" customHeight="1">
      <c r="A210" s="922">
        <f t="shared" si="48"/>
        <v>23</v>
      </c>
      <c r="B210" s="923" t="s">
        <v>345</v>
      </c>
      <c r="C210" s="924"/>
      <c r="D210" s="925"/>
      <c r="E210" s="926" t="s">
        <v>312</v>
      </c>
      <c r="F210" s="927"/>
      <c r="G210" s="928">
        <f t="shared" si="45"/>
        <v>378.55</v>
      </c>
      <c r="H210" s="922">
        <f t="shared" si="47"/>
        <v>24</v>
      </c>
      <c r="I210" s="942" t="s">
        <v>313</v>
      </c>
      <c r="J210" s="942"/>
      <c r="K210" s="924"/>
      <c r="L210" s="929" t="s">
        <v>312</v>
      </c>
      <c r="M210" s="930">
        <f t="shared" si="46"/>
        <v>700</v>
      </c>
      <c r="N210" s="864"/>
      <c r="Q210" s="931" t="s">
        <v>345</v>
      </c>
      <c r="R210" s="932">
        <v>249</v>
      </c>
      <c r="S210" s="937">
        <v>240</v>
      </c>
      <c r="T210" s="934">
        <f>'HIRE CHG OF MECH.'!F32+'HIRE CHG OF MECH.'!F34</f>
        <v>378.55</v>
      </c>
      <c r="U210" s="938">
        <f>'HIRE CHG OF MECH.'!F99</f>
        <v>700</v>
      </c>
      <c r="V210" s="932">
        <v>249</v>
      </c>
      <c r="W210" s="937">
        <v>240</v>
      </c>
      <c r="X210" s="943" t="s">
        <v>313</v>
      </c>
      <c r="Y210" s="869" t="s">
        <v>205</v>
      </c>
      <c r="Z210" s="733"/>
      <c r="AA210" s="733"/>
    </row>
    <row r="211" spans="1:27" s="714" customFormat="1" ht="12.75" customHeight="1">
      <c r="A211" s="922">
        <f t="shared" si="48"/>
        <v>25</v>
      </c>
      <c r="B211" s="923" t="s">
        <v>346</v>
      </c>
      <c r="C211" s="927"/>
      <c r="D211" s="925"/>
      <c r="E211" s="926" t="s">
        <v>312</v>
      </c>
      <c r="F211" s="927"/>
      <c r="G211" s="928">
        <f t="shared" si="45"/>
        <v>585</v>
      </c>
      <c r="H211" s="922">
        <f t="shared" si="47"/>
        <v>26</v>
      </c>
      <c r="I211" s="924" t="s">
        <v>347</v>
      </c>
      <c r="J211" s="924"/>
      <c r="K211" s="927"/>
      <c r="L211" s="929" t="s">
        <v>312</v>
      </c>
      <c r="M211" s="930">
        <f t="shared" si="46"/>
        <v>1341.16</v>
      </c>
      <c r="N211" s="864"/>
      <c r="Q211" s="931" t="s">
        <v>346</v>
      </c>
      <c r="R211" s="944">
        <v>206</v>
      </c>
      <c r="S211" s="937">
        <v>905</v>
      </c>
      <c r="T211" s="945">
        <f>'HIRE CHG OF MECH.'!F35</f>
        <v>585</v>
      </c>
      <c r="U211" s="938">
        <f>'HIRE CHG OF MECH.'!F101</f>
        <v>1341.16</v>
      </c>
      <c r="V211" s="944">
        <v>206</v>
      </c>
      <c r="W211" s="937">
        <v>905</v>
      </c>
      <c r="X211" s="936" t="s">
        <v>347</v>
      </c>
      <c r="Y211" s="869" t="s">
        <v>205</v>
      </c>
      <c r="Z211" s="733"/>
      <c r="AA211" s="733"/>
    </row>
    <row r="212" spans="1:27" s="714" customFormat="1" ht="12.75" customHeight="1">
      <c r="A212" s="922">
        <f t="shared" si="48"/>
        <v>27</v>
      </c>
      <c r="B212" s="923" t="s">
        <v>348</v>
      </c>
      <c r="C212" s="924"/>
      <c r="D212" s="925"/>
      <c r="E212" s="926" t="s">
        <v>312</v>
      </c>
      <c r="F212" s="927"/>
      <c r="G212" s="928">
        <f t="shared" si="45"/>
        <v>1700</v>
      </c>
      <c r="H212" s="922">
        <f t="shared" si="47"/>
        <v>28</v>
      </c>
      <c r="I212" s="924" t="s">
        <v>349</v>
      </c>
      <c r="J212" s="924"/>
      <c r="K212" s="927"/>
      <c r="L212" s="929" t="s">
        <v>312</v>
      </c>
      <c r="M212" s="930">
        <f t="shared" si="46"/>
        <v>1600</v>
      </c>
      <c r="N212" s="864"/>
      <c r="Q212" s="931" t="s">
        <v>348</v>
      </c>
      <c r="R212" s="932">
        <v>1036</v>
      </c>
      <c r="S212" s="937">
        <v>1125</v>
      </c>
      <c r="T212" s="934">
        <f>'HIRE CHG OF MECH.'!F40</f>
        <v>1700</v>
      </c>
      <c r="U212" s="938">
        <f>'HIRE CHG OF MECH.'!F98</f>
        <v>1600</v>
      </c>
      <c r="V212" s="932">
        <v>1036</v>
      </c>
      <c r="W212" s="937">
        <v>1125</v>
      </c>
      <c r="X212" s="936" t="s">
        <v>349</v>
      </c>
      <c r="Y212" s="869" t="s">
        <v>205</v>
      </c>
      <c r="Z212" s="733"/>
      <c r="AA212" s="733"/>
    </row>
    <row r="213" spans="1:27" s="714" customFormat="1" ht="12.75" customHeight="1">
      <c r="A213" s="922">
        <f t="shared" si="48"/>
        <v>29</v>
      </c>
      <c r="B213" s="923" t="s">
        <v>350</v>
      </c>
      <c r="C213" s="927"/>
      <c r="D213" s="925"/>
      <c r="E213" s="926" t="s">
        <v>312</v>
      </c>
      <c r="F213" s="927"/>
      <c r="G213" s="928">
        <f t="shared" si="45"/>
        <v>356</v>
      </c>
      <c r="H213" s="922">
        <f t="shared" si="47"/>
        <v>30</v>
      </c>
      <c r="I213" s="942" t="s">
        <v>351</v>
      </c>
      <c r="J213" s="942"/>
      <c r="K213" s="924"/>
      <c r="L213" s="929" t="s">
        <v>312</v>
      </c>
      <c r="M213" s="930">
        <f t="shared" si="46"/>
        <v>300</v>
      </c>
      <c r="N213" s="864"/>
      <c r="Q213" s="931" t="s">
        <v>350</v>
      </c>
      <c r="R213" s="944">
        <v>230</v>
      </c>
      <c r="S213" s="937">
        <v>60</v>
      </c>
      <c r="T213" s="945">
        <f>'HIRE CHG OF MECH.'!F41</f>
        <v>356</v>
      </c>
      <c r="U213" s="938">
        <f>'HIRE CHG OF MECH.'!F106</f>
        <v>300</v>
      </c>
      <c r="V213" s="944">
        <v>230</v>
      </c>
      <c r="W213" s="937">
        <v>60</v>
      </c>
      <c r="X213" s="943" t="s">
        <v>351</v>
      </c>
      <c r="Y213" s="869" t="s">
        <v>205</v>
      </c>
      <c r="Z213" s="733"/>
      <c r="AA213" s="733"/>
    </row>
    <row r="214" spans="1:27" s="714" customFormat="1" ht="12.75" customHeight="1">
      <c r="A214" s="946" t="s">
        <v>352</v>
      </c>
      <c r="B214" s="947" t="s">
        <v>353</v>
      </c>
      <c r="C214" s="948"/>
      <c r="D214" s="949"/>
      <c r="E214" s="950"/>
      <c r="F214" s="950"/>
      <c r="G214" s="949"/>
      <c r="H214" s="949"/>
      <c r="I214" s="949"/>
      <c r="J214" s="951"/>
      <c r="K214" s="781"/>
      <c r="L214" s="952"/>
      <c r="M214" s="953"/>
      <c r="N214" s="864"/>
      <c r="Q214" s="954"/>
      <c r="R214" s="3317" t="s">
        <v>194</v>
      </c>
      <c r="S214" s="3317"/>
      <c r="T214" s="3342" t="s">
        <v>195</v>
      </c>
      <c r="U214" s="3342"/>
      <c r="V214" s="3317" t="s">
        <v>196</v>
      </c>
      <c r="W214" s="3317"/>
      <c r="X214" s="713"/>
      <c r="Y214" s="869" t="s">
        <v>205</v>
      </c>
      <c r="Z214" s="733"/>
      <c r="AA214" s="733"/>
    </row>
    <row r="215" spans="1:27" s="967" customFormat="1" ht="12.75" customHeight="1">
      <c r="A215" s="955" t="s">
        <v>22</v>
      </c>
      <c r="B215" s="3318" t="s">
        <v>197</v>
      </c>
      <c r="C215" s="3318"/>
      <c r="D215" s="3318"/>
      <c r="E215" s="956" t="s">
        <v>198</v>
      </c>
      <c r="F215" s="814"/>
      <c r="G215" s="957" t="s">
        <v>199</v>
      </c>
      <c r="H215" s="955" t="s">
        <v>22</v>
      </c>
      <c r="I215" s="3319" t="s">
        <v>197</v>
      </c>
      <c r="J215" s="3320"/>
      <c r="K215" s="3320"/>
      <c r="L215" s="956" t="s">
        <v>200</v>
      </c>
      <c r="M215" s="957" t="s">
        <v>199</v>
      </c>
      <c r="N215" s="958"/>
      <c r="O215" s="714"/>
      <c r="P215" s="714"/>
      <c r="Q215" s="959" t="str">
        <f>I215</f>
        <v>Materials link with Analysis</v>
      </c>
      <c r="R215" s="960" t="s">
        <v>199</v>
      </c>
      <c r="S215" s="961" t="s">
        <v>199</v>
      </c>
      <c r="T215" s="962" t="s">
        <v>199</v>
      </c>
      <c r="U215" s="962" t="s">
        <v>199</v>
      </c>
      <c r="V215" s="960" t="s">
        <v>199</v>
      </c>
      <c r="W215" s="963" t="s">
        <v>199</v>
      </c>
      <c r="X215" s="964"/>
      <c r="Y215" s="965" t="s">
        <v>205</v>
      </c>
      <c r="Z215" s="966"/>
      <c r="AA215" s="966"/>
    </row>
    <row r="216" spans="1:27" s="714" customFormat="1" ht="12.75" customHeight="1">
      <c r="A216" s="922">
        <v>1</v>
      </c>
      <c r="B216" s="923" t="s">
        <v>354</v>
      </c>
      <c r="C216" s="924"/>
      <c r="D216" s="925"/>
      <c r="E216" s="929" t="s">
        <v>355</v>
      </c>
      <c r="F216" s="814"/>
      <c r="G216" s="928">
        <f t="shared" ref="G216:G225" si="49">T216</f>
        <v>10</v>
      </c>
      <c r="H216" s="922">
        <f>A216+1</f>
        <v>2</v>
      </c>
      <c r="I216" s="923" t="s">
        <v>206</v>
      </c>
      <c r="J216" s="924"/>
      <c r="K216" s="968"/>
      <c r="L216" s="929" t="s">
        <v>284</v>
      </c>
      <c r="M216" s="969">
        <f t="shared" ref="M216:M225" si="50">U216</f>
        <v>90.1</v>
      </c>
      <c r="N216" s="864"/>
      <c r="Q216" s="970" t="s">
        <v>354</v>
      </c>
      <c r="R216" s="932">
        <v>10</v>
      </c>
      <c r="S216" s="937">
        <v>60</v>
      </c>
      <c r="T216" s="934">
        <v>10</v>
      </c>
      <c r="U216" s="938">
        <f>'BASIC COST OF MATL'!K188</f>
        <v>90.1</v>
      </c>
      <c r="V216" s="932">
        <v>10</v>
      </c>
      <c r="W216" s="937">
        <v>60</v>
      </c>
      <c r="X216" s="931" t="s">
        <v>206</v>
      </c>
      <c r="Y216" s="869" t="s">
        <v>205</v>
      </c>
      <c r="Z216" s="733"/>
      <c r="AA216" s="733"/>
    </row>
    <row r="217" spans="1:27" s="714" customFormat="1" ht="12.75" customHeight="1">
      <c r="A217" s="922">
        <f>A216+2</f>
        <v>3</v>
      </c>
      <c r="B217" s="971" t="s">
        <v>356</v>
      </c>
      <c r="C217" s="972"/>
      <c r="D217" s="973"/>
      <c r="E217" s="929" t="s">
        <v>357</v>
      </c>
      <c r="F217" s="814"/>
      <c r="G217" s="928">
        <f t="shared" si="49"/>
        <v>3</v>
      </c>
      <c r="H217" s="922">
        <f>H216+2</f>
        <v>4</v>
      </c>
      <c r="I217" s="923" t="s">
        <v>358</v>
      </c>
      <c r="J217" s="924"/>
      <c r="K217" s="968"/>
      <c r="L217" s="929" t="s">
        <v>37</v>
      </c>
      <c r="M217" s="969">
        <f t="shared" si="50"/>
        <v>5</v>
      </c>
      <c r="N217" s="864"/>
      <c r="Q217" s="974" t="s">
        <v>356</v>
      </c>
      <c r="R217" s="932">
        <v>3</v>
      </c>
      <c r="S217" s="937">
        <v>5</v>
      </c>
      <c r="T217" s="934">
        <v>3</v>
      </c>
      <c r="U217" s="941">
        <v>5</v>
      </c>
      <c r="V217" s="932">
        <v>3</v>
      </c>
      <c r="W217" s="937">
        <v>5</v>
      </c>
      <c r="X217" s="931" t="s">
        <v>358</v>
      </c>
      <c r="Y217" s="869" t="s">
        <v>205</v>
      </c>
      <c r="Z217" s="733"/>
      <c r="AA217" s="733"/>
    </row>
    <row r="218" spans="1:27" s="714" customFormat="1" ht="12.75" customHeight="1">
      <c r="A218" s="922">
        <f t="shared" ref="A218:A225" si="51">A217+2</f>
        <v>5</v>
      </c>
      <c r="B218" s="971" t="s">
        <v>359</v>
      </c>
      <c r="C218" s="924"/>
      <c r="D218" s="925"/>
      <c r="E218" s="929" t="s">
        <v>91</v>
      </c>
      <c r="F218" s="814"/>
      <c r="G218" s="928">
        <f t="shared" si="49"/>
        <v>3000</v>
      </c>
      <c r="H218" s="922">
        <f t="shared" ref="H218:H225" si="52">H217+2</f>
        <v>6</v>
      </c>
      <c r="I218" s="923" t="s">
        <v>360</v>
      </c>
      <c r="J218" s="924"/>
      <c r="K218" s="968"/>
      <c r="L218" s="929" t="s">
        <v>116</v>
      </c>
      <c r="M218" s="969">
        <f t="shared" si="50"/>
        <v>40</v>
      </c>
      <c r="N218" s="864"/>
      <c r="Q218" s="974" t="s">
        <v>361</v>
      </c>
      <c r="R218" s="932">
        <v>3000</v>
      </c>
      <c r="S218" s="937">
        <v>40</v>
      </c>
      <c r="T218" s="934">
        <v>3000</v>
      </c>
      <c r="U218" s="941">
        <v>40</v>
      </c>
      <c r="V218" s="932">
        <v>3000</v>
      </c>
      <c r="W218" s="937">
        <v>40</v>
      </c>
      <c r="X218" s="931" t="s">
        <v>360</v>
      </c>
      <c r="Y218" s="869" t="s">
        <v>205</v>
      </c>
      <c r="Z218" s="733"/>
      <c r="AA218" s="733"/>
    </row>
    <row r="219" spans="1:27" s="714" customFormat="1" ht="12.75" customHeight="1">
      <c r="A219" s="922">
        <f t="shared" si="51"/>
        <v>7</v>
      </c>
      <c r="B219" s="923" t="s">
        <v>362</v>
      </c>
      <c r="C219" s="924"/>
      <c r="D219" s="925"/>
      <c r="E219" s="929" t="s">
        <v>116</v>
      </c>
      <c r="F219" s="814"/>
      <c r="G219" s="928">
        <f t="shared" si="49"/>
        <v>50</v>
      </c>
      <c r="H219" s="922">
        <f t="shared" si="52"/>
        <v>8</v>
      </c>
      <c r="I219" s="923" t="s">
        <v>363</v>
      </c>
      <c r="J219" s="924"/>
      <c r="K219" s="968"/>
      <c r="L219" s="929" t="s">
        <v>116</v>
      </c>
      <c r="M219" s="969">
        <f t="shared" si="50"/>
        <v>40</v>
      </c>
      <c r="N219" s="864"/>
      <c r="Q219" s="970" t="s">
        <v>362</v>
      </c>
      <c r="R219" s="932">
        <v>50</v>
      </c>
      <c r="S219" s="937">
        <v>40</v>
      </c>
      <c r="T219" s="934">
        <v>50</v>
      </c>
      <c r="U219" s="941">
        <v>40</v>
      </c>
      <c r="V219" s="932">
        <v>50</v>
      </c>
      <c r="W219" s="937">
        <v>40</v>
      </c>
      <c r="X219" s="931" t="s">
        <v>363</v>
      </c>
      <c r="Y219" s="869" t="s">
        <v>205</v>
      </c>
      <c r="Z219" s="733"/>
      <c r="AA219" s="733"/>
    </row>
    <row r="220" spans="1:27" s="714" customFormat="1" ht="12.75" customHeight="1">
      <c r="A220" s="922">
        <f t="shared" si="51"/>
        <v>9</v>
      </c>
      <c r="B220" s="923" t="s">
        <v>364</v>
      </c>
      <c r="C220" s="924"/>
      <c r="D220" s="925"/>
      <c r="E220" s="929" t="s">
        <v>136</v>
      </c>
      <c r="F220" s="814"/>
      <c r="G220" s="928">
        <f t="shared" si="49"/>
        <v>12</v>
      </c>
      <c r="H220" s="922">
        <f t="shared" si="52"/>
        <v>10</v>
      </c>
      <c r="I220" s="923" t="s">
        <v>365</v>
      </c>
      <c r="J220" s="924"/>
      <c r="K220" s="968"/>
      <c r="L220" s="929" t="s">
        <v>357</v>
      </c>
      <c r="M220" s="969">
        <f t="shared" si="50"/>
        <v>1048</v>
      </c>
      <c r="N220" s="864"/>
      <c r="Q220" s="970" t="s">
        <v>364</v>
      </c>
      <c r="R220" s="932">
        <v>12</v>
      </c>
      <c r="S220" s="937">
        <v>1048</v>
      </c>
      <c r="T220" s="934">
        <v>12</v>
      </c>
      <c r="U220" s="941">
        <v>1048</v>
      </c>
      <c r="V220" s="932">
        <v>12</v>
      </c>
      <c r="W220" s="937">
        <v>1048</v>
      </c>
      <c r="X220" s="931" t="s">
        <v>365</v>
      </c>
      <c r="Y220" s="869" t="s">
        <v>205</v>
      </c>
      <c r="Z220" s="733"/>
      <c r="AA220" s="733"/>
    </row>
    <row r="221" spans="1:27" s="714" customFormat="1" ht="12.75" customHeight="1">
      <c r="A221" s="922">
        <f t="shared" si="51"/>
        <v>11</v>
      </c>
      <c r="B221" s="923" t="s">
        <v>366</v>
      </c>
      <c r="C221" s="924"/>
      <c r="D221" s="925"/>
      <c r="E221" s="929" t="s">
        <v>136</v>
      </c>
      <c r="F221" s="814"/>
      <c r="G221" s="928">
        <f t="shared" si="49"/>
        <v>60</v>
      </c>
      <c r="H221" s="922">
        <f t="shared" si="52"/>
        <v>12</v>
      </c>
      <c r="I221" s="975" t="s">
        <v>367</v>
      </c>
      <c r="J221" s="924"/>
      <c r="K221" s="968"/>
      <c r="L221" s="976" t="s">
        <v>136</v>
      </c>
      <c r="M221" s="969">
        <f t="shared" si="50"/>
        <v>60</v>
      </c>
      <c r="N221" s="864"/>
      <c r="Q221" s="970" t="s">
        <v>366</v>
      </c>
      <c r="R221" s="932">
        <v>60</v>
      </c>
      <c r="S221" s="937">
        <v>60</v>
      </c>
      <c r="T221" s="934">
        <v>60</v>
      </c>
      <c r="U221" s="941">
        <v>60</v>
      </c>
      <c r="V221" s="932">
        <v>60</v>
      </c>
      <c r="W221" s="937">
        <v>60</v>
      </c>
      <c r="X221" s="977" t="s">
        <v>367</v>
      </c>
      <c r="Y221" s="869" t="s">
        <v>205</v>
      </c>
      <c r="Z221" s="733"/>
      <c r="AA221" s="733"/>
    </row>
    <row r="222" spans="1:27" s="714" customFormat="1" ht="12.75" customHeight="1">
      <c r="A222" s="922">
        <f t="shared" si="51"/>
        <v>13</v>
      </c>
      <c r="B222" s="975" t="s">
        <v>368</v>
      </c>
      <c r="C222" s="924"/>
      <c r="D222" s="925"/>
      <c r="E222" s="978" t="s">
        <v>369</v>
      </c>
      <c r="F222" s="814"/>
      <c r="G222" s="928">
        <f t="shared" si="49"/>
        <v>160</v>
      </c>
      <c r="H222" s="922">
        <f t="shared" si="52"/>
        <v>14</v>
      </c>
      <c r="I222" s="975" t="s">
        <v>370</v>
      </c>
      <c r="J222" s="924"/>
      <c r="K222" s="968"/>
      <c r="L222" s="976" t="s">
        <v>37</v>
      </c>
      <c r="M222" s="969">
        <f t="shared" si="50"/>
        <v>10</v>
      </c>
      <c r="N222" s="864"/>
      <c r="Q222" s="977" t="s">
        <v>368</v>
      </c>
      <c r="R222" s="932">
        <v>160</v>
      </c>
      <c r="S222" s="937">
        <v>10</v>
      </c>
      <c r="T222" s="934">
        <v>160</v>
      </c>
      <c r="U222" s="941">
        <v>10</v>
      </c>
      <c r="V222" s="932">
        <v>160</v>
      </c>
      <c r="W222" s="937">
        <v>10</v>
      </c>
      <c r="X222" s="977" t="s">
        <v>370</v>
      </c>
      <c r="Y222" s="869" t="s">
        <v>205</v>
      </c>
      <c r="Z222" s="733"/>
      <c r="AA222" s="733"/>
    </row>
    <row r="223" spans="1:27" s="714" customFormat="1" ht="12.75" customHeight="1">
      <c r="A223" s="922">
        <f t="shared" si="51"/>
        <v>15</v>
      </c>
      <c r="B223" s="975" t="s">
        <v>371</v>
      </c>
      <c r="C223" s="924"/>
      <c r="D223" s="925"/>
      <c r="E223" s="978" t="s">
        <v>284</v>
      </c>
      <c r="F223" s="814"/>
      <c r="G223" s="928">
        <f t="shared" si="49"/>
        <v>50</v>
      </c>
      <c r="H223" s="922">
        <f t="shared" si="52"/>
        <v>16</v>
      </c>
      <c r="I223" s="975" t="s">
        <v>372</v>
      </c>
      <c r="J223" s="924"/>
      <c r="K223" s="968"/>
      <c r="L223" s="976" t="s">
        <v>37</v>
      </c>
      <c r="M223" s="969">
        <f t="shared" si="50"/>
        <v>6</v>
      </c>
      <c r="N223" s="864"/>
      <c r="Q223" s="977" t="s">
        <v>371</v>
      </c>
      <c r="R223" s="932">
        <v>50</v>
      </c>
      <c r="S223" s="937">
        <v>6</v>
      </c>
      <c r="T223" s="934">
        <v>50</v>
      </c>
      <c r="U223" s="941">
        <v>6</v>
      </c>
      <c r="V223" s="932">
        <v>50</v>
      </c>
      <c r="W223" s="937">
        <v>6</v>
      </c>
      <c r="X223" s="977" t="s">
        <v>372</v>
      </c>
      <c r="Y223" s="869" t="s">
        <v>205</v>
      </c>
      <c r="Z223" s="733"/>
      <c r="AA223" s="733"/>
    </row>
    <row r="224" spans="1:27" s="714" customFormat="1" ht="12.75" customHeight="1">
      <c r="A224" s="922">
        <f t="shared" si="51"/>
        <v>17</v>
      </c>
      <c r="B224" s="923" t="s">
        <v>208</v>
      </c>
      <c r="C224" s="979"/>
      <c r="D224" s="925"/>
      <c r="E224" s="929" t="s">
        <v>49</v>
      </c>
      <c r="F224" s="814"/>
      <c r="G224" s="928">
        <f t="shared" si="49"/>
        <v>58374.79</v>
      </c>
      <c r="H224" s="922">
        <f t="shared" si="52"/>
        <v>18</v>
      </c>
      <c r="I224" s="923" t="s">
        <v>207</v>
      </c>
      <c r="J224" s="924"/>
      <c r="K224" s="968"/>
      <c r="L224" s="929" t="s">
        <v>136</v>
      </c>
      <c r="M224" s="969">
        <f t="shared" si="50"/>
        <v>30.81</v>
      </c>
      <c r="N224" s="864"/>
      <c r="Q224" s="931" t="s">
        <v>208</v>
      </c>
      <c r="R224" s="980">
        <v>16800</v>
      </c>
      <c r="S224" s="933">
        <v>40</v>
      </c>
      <c r="T224" s="981">
        <f>'BASIC COST OF MATL'!K120</f>
        <v>58374.79</v>
      </c>
      <c r="U224" s="982">
        <f>'BASIC COST OF MATL'!K108</f>
        <v>30.81</v>
      </c>
      <c r="V224" s="980">
        <v>16600</v>
      </c>
      <c r="W224" s="983">
        <v>42</v>
      </c>
      <c r="X224" s="931" t="s">
        <v>207</v>
      </c>
      <c r="Y224" s="869" t="s">
        <v>205</v>
      </c>
      <c r="Z224" s="733"/>
      <c r="AA224" s="733"/>
    </row>
    <row r="225" spans="1:27" s="714" customFormat="1" ht="12.75" customHeight="1">
      <c r="A225" s="922">
        <f t="shared" si="51"/>
        <v>19</v>
      </c>
      <c r="B225" s="923" t="s">
        <v>204</v>
      </c>
      <c r="C225" s="979"/>
      <c r="D225" s="925"/>
      <c r="E225" s="929" t="s">
        <v>136</v>
      </c>
      <c r="F225" s="814"/>
      <c r="G225" s="928">
        <f t="shared" si="49"/>
        <v>51.87</v>
      </c>
      <c r="H225" s="922">
        <f t="shared" si="52"/>
        <v>20</v>
      </c>
      <c r="I225" s="923" t="s">
        <v>209</v>
      </c>
      <c r="J225" s="924"/>
      <c r="K225" s="968"/>
      <c r="L225" s="929" t="s">
        <v>136</v>
      </c>
      <c r="M225" s="969">
        <f t="shared" si="50"/>
        <v>41.81</v>
      </c>
      <c r="N225" s="864"/>
      <c r="Q225" s="931" t="s">
        <v>204</v>
      </c>
      <c r="R225" s="984">
        <v>84</v>
      </c>
      <c r="S225" s="933">
        <v>60</v>
      </c>
      <c r="T225" s="981">
        <f>'BASIC COST OF MATL'!K100</f>
        <v>51.87</v>
      </c>
      <c r="U225" s="982">
        <f>'BASIC COST OF MATL'!K110</f>
        <v>41.81</v>
      </c>
      <c r="V225" s="984">
        <v>86</v>
      </c>
      <c r="W225" s="983">
        <v>65</v>
      </c>
      <c r="X225" s="931" t="s">
        <v>209</v>
      </c>
      <c r="Y225" s="869" t="s">
        <v>205</v>
      </c>
      <c r="Z225" s="733"/>
      <c r="AA225" s="733"/>
    </row>
    <row r="226" spans="1:27" s="731" customFormat="1">
      <c r="A226" s="785"/>
      <c r="B226" s="796"/>
      <c r="C226" s="794"/>
      <c r="D226" s="796"/>
      <c r="E226" s="985"/>
      <c r="F226" s="985"/>
      <c r="G226" s="796"/>
      <c r="H226" s="796"/>
      <c r="I226" s="796"/>
      <c r="J226" s="810"/>
      <c r="K226" s="806"/>
      <c r="L226" s="806"/>
      <c r="M226" s="846"/>
      <c r="N226" s="846"/>
      <c r="O226" s="846"/>
      <c r="P226" s="846"/>
      <c r="R226" s="722"/>
      <c r="S226" s="722"/>
      <c r="T226" s="723"/>
      <c r="U226" s="986"/>
      <c r="V226" s="987"/>
      <c r="W226" s="722"/>
      <c r="X226" s="724"/>
      <c r="Y226" s="726"/>
      <c r="Z226" s="726"/>
      <c r="AA226" s="726"/>
    </row>
    <row r="227" spans="1:27" s="731" customFormat="1">
      <c r="A227" s="785"/>
      <c r="B227" s="796"/>
      <c r="C227" s="794"/>
      <c r="D227" s="796"/>
      <c r="E227" s="985"/>
      <c r="F227" s="985"/>
      <c r="G227" s="796"/>
      <c r="H227" s="796"/>
      <c r="I227" s="796"/>
      <c r="J227" s="810"/>
      <c r="K227" s="806"/>
      <c r="L227" s="806"/>
      <c r="M227" s="846"/>
      <c r="N227" s="846"/>
      <c r="O227" s="846"/>
      <c r="P227" s="846"/>
      <c r="R227" s="722"/>
      <c r="S227" s="722"/>
      <c r="T227" s="723"/>
      <c r="U227" s="986"/>
      <c r="V227" s="987"/>
      <c r="W227" s="722"/>
      <c r="X227" s="724"/>
      <c r="Y227" s="726"/>
      <c r="Z227" s="726"/>
      <c r="AA227" s="726"/>
    </row>
    <row r="228" spans="1:27" s="731" customFormat="1">
      <c r="A228" s="785"/>
      <c r="B228" s="796"/>
      <c r="C228" s="794"/>
      <c r="D228" s="796"/>
      <c r="E228" s="985"/>
      <c r="F228" s="985"/>
      <c r="G228" s="796"/>
      <c r="H228" s="796"/>
      <c r="I228" s="796"/>
      <c r="J228" s="810"/>
      <c r="K228" s="806"/>
      <c r="L228" s="806"/>
      <c r="M228" s="846"/>
      <c r="N228" s="846"/>
      <c r="O228" s="846"/>
      <c r="P228" s="846"/>
      <c r="R228" s="722"/>
      <c r="S228" s="722"/>
      <c r="T228" s="723"/>
      <c r="U228" s="986"/>
      <c r="V228" s="987"/>
      <c r="W228" s="722"/>
      <c r="X228" s="724"/>
      <c r="Y228" s="726"/>
      <c r="Z228" s="726"/>
      <c r="AA228" s="726"/>
    </row>
    <row r="229" spans="1:27" s="731" customFormat="1">
      <c r="A229" s="785"/>
      <c r="B229" s="3321" t="str">
        <f>B135</f>
        <v>Junior Engineer/GPTA</v>
      </c>
      <c r="C229" s="3321"/>
      <c r="D229" s="795"/>
      <c r="E229" s="785"/>
      <c r="F229" s="785"/>
      <c r="G229" s="796"/>
      <c r="H229" s="795" t="str">
        <f>H135</f>
        <v>Assistant Executive Engineer</v>
      </c>
      <c r="I229" s="795"/>
      <c r="J229" s="795"/>
      <c r="K229" s="796"/>
      <c r="L229" s="795" t="str">
        <f>L135</f>
        <v>Block Development Officer</v>
      </c>
      <c r="M229" s="796"/>
      <c r="N229" s="796"/>
      <c r="O229" s="796"/>
      <c r="P229" s="796"/>
      <c r="T229" s="762"/>
    </row>
    <row r="230" spans="1:27" s="731" customFormat="1">
      <c r="A230" s="785"/>
      <c r="B230" s="3321" t="str">
        <f>B136</f>
        <v>Kamakhyanagar Block</v>
      </c>
      <c r="C230" s="3321"/>
      <c r="D230" s="795"/>
      <c r="E230" s="785"/>
      <c r="F230" s="785"/>
      <c r="G230" s="796"/>
      <c r="H230" s="795" t="str">
        <f>H136</f>
        <v>Kamakhyanagar Block</v>
      </c>
      <c r="I230" s="795"/>
      <c r="J230" s="795"/>
      <c r="K230" s="796"/>
      <c r="L230" s="795" t="str">
        <f>L136</f>
        <v>Kamakhyanagar Block</v>
      </c>
      <c r="M230" s="796"/>
      <c r="N230" s="796"/>
      <c r="O230" s="796"/>
      <c r="P230" s="796"/>
      <c r="R230" s="722"/>
      <c r="S230" s="722"/>
      <c r="T230" s="723"/>
      <c r="U230" s="986"/>
      <c r="V230" s="987"/>
      <c r="W230" s="722"/>
      <c r="X230" s="724"/>
      <c r="Y230" s="726"/>
      <c r="Z230" s="726"/>
      <c r="AA230" s="726"/>
    </row>
    <row r="231" spans="1:27" s="731" customFormat="1">
      <c r="A231" s="785"/>
      <c r="B231" s="3321"/>
      <c r="C231" s="3321"/>
      <c r="D231" s="795"/>
      <c r="E231" s="785"/>
      <c r="F231" s="785"/>
      <c r="G231" s="796"/>
      <c r="H231" s="795"/>
      <c r="I231" s="795"/>
      <c r="J231" s="795"/>
      <c r="K231" s="796"/>
      <c r="L231" s="795"/>
      <c r="M231" s="796"/>
      <c r="N231" s="796"/>
      <c r="O231" s="796"/>
      <c r="P231" s="796"/>
      <c r="R231" s="722"/>
      <c r="S231" s="722" t="s">
        <v>373</v>
      </c>
      <c r="T231" s="723"/>
      <c r="U231" s="986"/>
      <c r="V231" s="987"/>
      <c r="W231" s="722"/>
      <c r="X231" s="724"/>
      <c r="Y231" s="726"/>
      <c r="Z231" s="726"/>
      <c r="AA231" s="726"/>
    </row>
    <row r="232" spans="1:27" s="733" customFormat="1">
      <c r="A232" s="3341" t="s">
        <v>374</v>
      </c>
      <c r="B232" s="3341"/>
      <c r="C232" s="3341"/>
      <c r="D232" s="3341"/>
      <c r="E232" s="3341"/>
      <c r="F232" s="3341"/>
      <c r="G232" s="3341"/>
      <c r="H232" s="3341"/>
      <c r="I232" s="3341"/>
      <c r="J232" s="3341"/>
      <c r="K232" s="3341"/>
      <c r="L232" s="3341"/>
      <c r="M232" s="3341"/>
      <c r="N232" s="3341"/>
      <c r="O232" s="988"/>
      <c r="P232" s="988"/>
      <c r="T232" s="842"/>
    </row>
    <row r="233" spans="1:27" ht="18" customHeight="1">
      <c r="A233" s="3256" t="str">
        <f>A138</f>
        <v>NAME OF THE WORK:-</v>
      </c>
      <c r="B233" s="3256"/>
      <c r="C233" s="3256"/>
      <c r="D233" s="3328" t="str">
        <f>D2</f>
        <v>CONSTRUCTION OF</v>
      </c>
      <c r="E233" s="3328"/>
      <c r="F233" s="3328"/>
      <c r="G233" s="3328"/>
      <c r="H233" s="3328"/>
      <c r="I233" s="3328"/>
      <c r="J233" s="3328"/>
      <c r="K233" s="3328"/>
      <c r="L233" s="3328"/>
      <c r="M233" s="3328"/>
      <c r="N233" s="3328"/>
      <c r="O233" s="989"/>
      <c r="P233" s="989"/>
    </row>
    <row r="234" spans="1:27" ht="18" customHeight="1">
      <c r="A234" s="3256" t="str">
        <f>A139</f>
        <v>NAME OF THE G.P.:-</v>
      </c>
      <c r="B234" s="3256"/>
      <c r="C234" s="3256"/>
      <c r="D234" s="3328" t="str">
        <f>D3</f>
        <v>Badasuanlo</v>
      </c>
      <c r="E234" s="3328"/>
      <c r="F234" s="3328"/>
      <c r="G234" s="3328"/>
      <c r="H234" s="3328"/>
      <c r="I234" s="3328"/>
      <c r="J234" s="3328"/>
      <c r="K234" s="3328"/>
      <c r="L234" s="3328"/>
      <c r="M234" s="3328"/>
      <c r="N234" s="3328"/>
      <c r="O234" s="989"/>
      <c r="P234" s="989"/>
    </row>
    <row r="235" spans="1:27" ht="18" customHeight="1" thickBot="1">
      <c r="A235" s="3256" t="str">
        <f>A140</f>
        <v>NAME OF THE SCHEME:-</v>
      </c>
      <c r="B235" s="3256"/>
      <c r="C235" s="3256"/>
      <c r="D235" s="3328" t="str">
        <f>D4</f>
        <v>4th SFC Devolution Fund</v>
      </c>
      <c r="E235" s="3328"/>
      <c r="F235" s="3328"/>
      <c r="G235" s="3328"/>
      <c r="H235" s="3328"/>
      <c r="I235" s="3328"/>
      <c r="J235" s="3328"/>
      <c r="K235" s="3328"/>
      <c r="L235" s="3328"/>
      <c r="M235" s="3328"/>
      <c r="N235" s="3328"/>
      <c r="O235" s="989"/>
      <c r="P235" s="989"/>
    </row>
    <row r="236" spans="1:27" s="768" customFormat="1" ht="11.85" customHeight="1">
      <c r="A236" s="990" t="s">
        <v>375</v>
      </c>
      <c r="B236" s="3329" t="s">
        <v>376</v>
      </c>
      <c r="C236" s="3330"/>
      <c r="D236" s="3330"/>
      <c r="E236" s="3330"/>
      <c r="F236" s="3331"/>
      <c r="G236" s="3329" t="s">
        <v>1</v>
      </c>
      <c r="H236" s="3335"/>
      <c r="I236" s="3329" t="s">
        <v>377</v>
      </c>
      <c r="J236" s="3336"/>
      <c r="K236" s="3338" t="s">
        <v>378</v>
      </c>
      <c r="L236" s="3338"/>
      <c r="M236" s="3339"/>
    </row>
    <row r="237" spans="1:27" s="768" customFormat="1" ht="11.85" customHeight="1">
      <c r="A237" s="991" t="s">
        <v>37</v>
      </c>
      <c r="B237" s="3332"/>
      <c r="C237" s="3333"/>
      <c r="D237" s="3333"/>
      <c r="E237" s="3333"/>
      <c r="F237" s="3334"/>
      <c r="G237" s="3332"/>
      <c r="H237" s="3269"/>
      <c r="I237" s="3332"/>
      <c r="J237" s="3337"/>
      <c r="K237" s="728" t="s">
        <v>150</v>
      </c>
      <c r="L237" s="3248" t="s">
        <v>379</v>
      </c>
      <c r="M237" s="3340"/>
    </row>
    <row r="238" spans="1:27" s="762" customFormat="1" ht="11.25" customHeight="1">
      <c r="A238" s="992">
        <v>1</v>
      </c>
      <c r="B238" s="3347">
        <v>2</v>
      </c>
      <c r="C238" s="3348"/>
      <c r="D238" s="3348"/>
      <c r="E238" s="3348"/>
      <c r="F238" s="3349"/>
      <c r="G238" s="3347">
        <v>3</v>
      </c>
      <c r="H238" s="3349"/>
      <c r="I238" s="993">
        <v>4</v>
      </c>
      <c r="J238" s="728">
        <v>5</v>
      </c>
      <c r="K238" s="728">
        <v>6</v>
      </c>
      <c r="L238" s="3248">
        <v>7</v>
      </c>
      <c r="M238" s="3340"/>
      <c r="N238" s="768"/>
      <c r="O238" s="768"/>
      <c r="P238" s="768"/>
    </row>
    <row r="239" spans="1:27" s="731" customFormat="1">
      <c r="A239" s="994" t="s">
        <v>380</v>
      </c>
      <c r="B239" s="837"/>
      <c r="C239" s="995"/>
      <c r="D239" s="995"/>
      <c r="E239" s="995"/>
      <c r="F239" s="995"/>
      <c r="G239" s="3347"/>
      <c r="H239" s="3349"/>
      <c r="I239" s="730"/>
      <c r="J239" s="838"/>
      <c r="K239" s="728"/>
      <c r="L239" s="3347"/>
      <c r="M239" s="3350"/>
      <c r="N239" s="768"/>
      <c r="O239" s="768"/>
      <c r="P239" s="768"/>
      <c r="Q239" s="723" t="str">
        <f>A239</f>
        <v>A) Dismantling of Different Items</v>
      </c>
      <c r="T239" s="762"/>
    </row>
    <row r="240" spans="1:27" s="714" customFormat="1" ht="13.5" customHeight="1">
      <c r="A240" s="992">
        <v>1</v>
      </c>
      <c r="B240" s="996" t="s">
        <v>3209</v>
      </c>
      <c r="C240" s="997"/>
      <c r="D240" s="997"/>
      <c r="E240" s="997"/>
      <c r="F240" s="997"/>
      <c r="G240" s="3343" t="s">
        <v>381</v>
      </c>
      <c r="H240" s="3344"/>
      <c r="I240" s="738"/>
      <c r="J240" s="737"/>
      <c r="K240" s="737"/>
      <c r="L240" s="3345"/>
      <c r="M240" s="3346"/>
      <c r="O240" s="716" t="s">
        <v>382</v>
      </c>
      <c r="T240" s="716" t="s">
        <v>382</v>
      </c>
    </row>
    <row r="241" spans="1:20" s="731" customFormat="1" ht="13.5" customHeight="1">
      <c r="A241" s="998" t="s">
        <v>383</v>
      </c>
      <c r="B241" s="882" t="s">
        <v>384</v>
      </c>
      <c r="C241" s="997"/>
      <c r="D241" s="997"/>
      <c r="E241" s="997"/>
      <c r="F241" s="997"/>
      <c r="G241" s="3343" t="str">
        <f>G240</f>
        <v>Each Cum</v>
      </c>
      <c r="H241" s="3344"/>
      <c r="I241" s="738">
        <f>K947</f>
        <v>652.24</v>
      </c>
      <c r="J241" s="737"/>
      <c r="K241" s="737">
        <f>I241+J241</f>
        <v>652.24</v>
      </c>
      <c r="L241" s="3345">
        <f>ROUND(K241,1)</f>
        <v>652.20000000000005</v>
      </c>
      <c r="M241" s="3346"/>
      <c r="N241" s="770"/>
      <c r="O241" s="762"/>
      <c r="P241" s="770"/>
      <c r="Q241" s="769" t="s">
        <v>385</v>
      </c>
      <c r="R241" s="769"/>
      <c r="S241" s="769"/>
      <c r="T241" s="762"/>
    </row>
    <row r="242" spans="1:20" s="731" customFormat="1" ht="13.5" customHeight="1">
      <c r="A242" s="998" t="s">
        <v>386</v>
      </c>
      <c r="B242" s="882" t="s">
        <v>387</v>
      </c>
      <c r="C242" s="997"/>
      <c r="D242" s="997"/>
      <c r="E242" s="997"/>
      <c r="F242" s="997"/>
      <c r="G242" s="3343" t="str">
        <f>G241</f>
        <v>Each Cum</v>
      </c>
      <c r="H242" s="3344"/>
      <c r="I242" s="738">
        <f>K951</f>
        <v>684.21</v>
      </c>
      <c r="J242" s="737"/>
      <c r="K242" s="737">
        <f>I242+J242</f>
        <v>684.21</v>
      </c>
      <c r="L242" s="3345">
        <f>ROUND(K242,1)</f>
        <v>684.2</v>
      </c>
      <c r="M242" s="3346"/>
      <c r="N242" s="770"/>
      <c r="O242" s="769"/>
      <c r="P242" s="770"/>
      <c r="Q242" s="769"/>
      <c r="R242" s="769"/>
      <c r="S242" s="769"/>
      <c r="T242" s="769"/>
    </row>
    <row r="243" spans="1:20" s="714" customFormat="1" ht="13.5" customHeight="1">
      <c r="A243" s="992">
        <f>A240+1</f>
        <v>2</v>
      </c>
      <c r="B243" s="999" t="s">
        <v>3210</v>
      </c>
      <c r="C243" s="996"/>
      <c r="D243" s="996"/>
      <c r="E243" s="1000"/>
      <c r="F243" s="1000"/>
      <c r="G243" s="3343" t="s">
        <v>381</v>
      </c>
      <c r="H243" s="3344"/>
      <c r="I243" s="738"/>
      <c r="J243" s="737"/>
      <c r="K243" s="737"/>
      <c r="L243" s="3345"/>
      <c r="M243" s="3346"/>
      <c r="O243" s="716" t="s">
        <v>389</v>
      </c>
      <c r="Q243" s="716" t="s">
        <v>388</v>
      </c>
      <c r="T243" s="716" t="s">
        <v>389</v>
      </c>
    </row>
    <row r="244" spans="1:20" s="731" customFormat="1" ht="13.5" customHeight="1">
      <c r="A244" s="998" t="s">
        <v>383</v>
      </c>
      <c r="B244" s="882" t="s">
        <v>384</v>
      </c>
      <c r="C244" s="997"/>
      <c r="D244" s="997"/>
      <c r="E244" s="1001"/>
      <c r="F244" s="997"/>
      <c r="G244" s="3343" t="str">
        <f>G243</f>
        <v>Each Cum</v>
      </c>
      <c r="H244" s="3344"/>
      <c r="I244" s="738">
        <f>K961</f>
        <v>557.58000000000004</v>
      </c>
      <c r="J244" s="737"/>
      <c r="K244" s="737">
        <f>I244+J244</f>
        <v>557.58000000000004</v>
      </c>
      <c r="L244" s="3345">
        <f>ROUND(K244,1)</f>
        <v>557.6</v>
      </c>
      <c r="M244" s="3346"/>
      <c r="N244" s="770"/>
      <c r="O244" s="769"/>
      <c r="P244" s="770"/>
      <c r="Q244" s="769"/>
      <c r="R244" s="769"/>
      <c r="S244" s="769"/>
      <c r="T244" s="769"/>
    </row>
    <row r="245" spans="1:20" s="731" customFormat="1" ht="13.5" customHeight="1">
      <c r="A245" s="998" t="s">
        <v>386</v>
      </c>
      <c r="B245" s="882" t="s">
        <v>387</v>
      </c>
      <c r="C245" s="997"/>
      <c r="D245" s="997"/>
      <c r="E245" s="1001"/>
      <c r="F245" s="997"/>
      <c r="G245" s="3343" t="str">
        <f>G244</f>
        <v>Each Cum</v>
      </c>
      <c r="H245" s="3344"/>
      <c r="I245" s="738">
        <f>K965</f>
        <v>584.91000000000008</v>
      </c>
      <c r="J245" s="737"/>
      <c r="K245" s="737">
        <f>I245+J245</f>
        <v>584.91000000000008</v>
      </c>
      <c r="L245" s="3345">
        <f>ROUND(K245,1)</f>
        <v>584.9</v>
      </c>
      <c r="M245" s="3346"/>
      <c r="N245" s="770"/>
      <c r="O245" s="769"/>
      <c r="P245" s="770"/>
      <c r="Q245" s="769"/>
      <c r="R245" s="769"/>
      <c r="S245" s="769"/>
      <c r="T245" s="769"/>
    </row>
    <row r="246" spans="1:20" s="731" customFormat="1" ht="13.5" customHeight="1">
      <c r="A246" s="992">
        <f>A243+1</f>
        <v>3</v>
      </c>
      <c r="B246" s="882" t="s">
        <v>3211</v>
      </c>
      <c r="C246" s="997"/>
      <c r="D246" s="997"/>
      <c r="E246" s="1001"/>
      <c r="F246" s="997"/>
      <c r="G246" s="3343" t="s">
        <v>390</v>
      </c>
      <c r="H246" s="3344"/>
      <c r="I246" s="738"/>
      <c r="J246" s="737"/>
      <c r="K246" s="737"/>
      <c r="L246" s="3345"/>
      <c r="M246" s="3346"/>
      <c r="N246" s="770"/>
      <c r="O246" s="769"/>
      <c r="P246" s="770"/>
      <c r="Q246" s="769" t="s">
        <v>391</v>
      </c>
      <c r="R246" s="769"/>
      <c r="S246" s="769"/>
      <c r="T246" s="769"/>
    </row>
    <row r="247" spans="1:20" s="731" customFormat="1" ht="13.5" customHeight="1">
      <c r="A247" s="998" t="s">
        <v>383</v>
      </c>
      <c r="B247" s="882" t="s">
        <v>384</v>
      </c>
      <c r="C247" s="997"/>
      <c r="D247" s="997"/>
      <c r="E247" s="1001"/>
      <c r="F247" s="997"/>
      <c r="G247" s="3343" t="str">
        <f>G246</f>
        <v>Each Sqm</v>
      </c>
      <c r="H247" s="3344"/>
      <c r="I247" s="738">
        <f>K975</f>
        <v>39.92</v>
      </c>
      <c r="J247" s="737"/>
      <c r="K247" s="737">
        <f>I247+J247</f>
        <v>39.92</v>
      </c>
      <c r="L247" s="3345">
        <f>ROUND(K247,1)</f>
        <v>39.9</v>
      </c>
      <c r="M247" s="3346"/>
      <c r="N247" s="770"/>
      <c r="O247" s="769"/>
      <c r="P247" s="770"/>
      <c r="Q247" s="769"/>
      <c r="R247" s="769"/>
      <c r="S247" s="769"/>
      <c r="T247" s="769"/>
    </row>
    <row r="248" spans="1:20" s="731" customFormat="1" ht="13.5" customHeight="1">
      <c r="A248" s="998" t="s">
        <v>386</v>
      </c>
      <c r="B248" s="882" t="s">
        <v>387</v>
      </c>
      <c r="C248" s="997"/>
      <c r="D248" s="997"/>
      <c r="E248" s="1001"/>
      <c r="F248" s="997"/>
      <c r="G248" s="3343" t="str">
        <f>G247</f>
        <v>Each Sqm</v>
      </c>
      <c r="H248" s="3344"/>
      <c r="I248" s="738">
        <f>K979</f>
        <v>41.88</v>
      </c>
      <c r="J248" s="737"/>
      <c r="K248" s="737">
        <f>I248+J248</f>
        <v>41.88</v>
      </c>
      <c r="L248" s="3345">
        <f>ROUND(K248,1)</f>
        <v>41.9</v>
      </c>
      <c r="M248" s="3346"/>
      <c r="N248" s="770"/>
      <c r="O248" s="769"/>
      <c r="P248" s="770"/>
      <c r="Q248" s="769"/>
      <c r="R248" s="769"/>
      <c r="S248" s="769"/>
      <c r="T248" s="769"/>
    </row>
    <row r="249" spans="1:20" s="714" customFormat="1" ht="13.5" customHeight="1">
      <c r="A249" s="992">
        <f>A246+1</f>
        <v>4</v>
      </c>
      <c r="B249" s="996" t="s">
        <v>3212</v>
      </c>
      <c r="C249" s="996"/>
      <c r="D249" s="996"/>
      <c r="E249" s="996"/>
      <c r="F249" s="996"/>
      <c r="G249" s="3343" t="s">
        <v>390</v>
      </c>
      <c r="H249" s="3344"/>
      <c r="I249" s="738"/>
      <c r="J249" s="737"/>
      <c r="K249" s="737"/>
      <c r="L249" s="3345"/>
      <c r="M249" s="3346"/>
      <c r="O249" s="716" t="s">
        <v>393</v>
      </c>
      <c r="Q249" s="716" t="s">
        <v>392</v>
      </c>
      <c r="T249" s="716" t="s">
        <v>393</v>
      </c>
    </row>
    <row r="250" spans="1:20" s="731" customFormat="1" ht="13.5" customHeight="1">
      <c r="A250" s="998" t="s">
        <v>383</v>
      </c>
      <c r="B250" s="882" t="s">
        <v>384</v>
      </c>
      <c r="C250" s="997"/>
      <c r="D250" s="997"/>
      <c r="E250" s="997"/>
      <c r="F250" s="997"/>
      <c r="G250" s="3343" t="str">
        <f>G249</f>
        <v>Each Sqm</v>
      </c>
      <c r="H250" s="3344"/>
      <c r="I250" s="738">
        <f>K989</f>
        <v>19.96</v>
      </c>
      <c r="J250" s="737"/>
      <c r="K250" s="737">
        <f>I250+J250</f>
        <v>19.96</v>
      </c>
      <c r="L250" s="3345">
        <f>ROUND(K250,1)</f>
        <v>20</v>
      </c>
      <c r="M250" s="3346"/>
      <c r="N250" s="770"/>
      <c r="O250" s="770"/>
      <c r="P250" s="770"/>
      <c r="Q250" s="769"/>
      <c r="R250" s="769"/>
      <c r="S250" s="769"/>
      <c r="T250" s="769"/>
    </row>
    <row r="251" spans="1:20" s="731" customFormat="1" ht="13.5" customHeight="1">
      <c r="A251" s="998" t="s">
        <v>386</v>
      </c>
      <c r="B251" s="882" t="s">
        <v>387</v>
      </c>
      <c r="C251" s="997"/>
      <c r="D251" s="997"/>
      <c r="E251" s="997"/>
      <c r="F251" s="997"/>
      <c r="G251" s="3343" t="str">
        <f>G250</f>
        <v>Each Sqm</v>
      </c>
      <c r="H251" s="3344"/>
      <c r="I251" s="738">
        <f>K993</f>
        <v>20.94</v>
      </c>
      <c r="J251" s="737"/>
      <c r="K251" s="737">
        <f>I251+J251</f>
        <v>20.94</v>
      </c>
      <c r="L251" s="3345">
        <f>ROUND(K251,1)</f>
        <v>20.9</v>
      </c>
      <c r="M251" s="3346"/>
      <c r="N251" s="770"/>
      <c r="O251" s="770"/>
      <c r="P251" s="770"/>
      <c r="Q251" s="769"/>
      <c r="R251" s="769"/>
      <c r="S251" s="769"/>
      <c r="T251" s="769"/>
    </row>
    <row r="252" spans="1:20" s="731" customFormat="1" ht="13.5" customHeight="1">
      <c r="A252" s="992">
        <f>A249+1</f>
        <v>5</v>
      </c>
      <c r="B252" s="882" t="s">
        <v>3213</v>
      </c>
      <c r="C252" s="997"/>
      <c r="D252" s="997"/>
      <c r="E252" s="997"/>
      <c r="F252" s="997"/>
      <c r="G252" s="3343" t="s">
        <v>390</v>
      </c>
      <c r="H252" s="3344"/>
      <c r="I252" s="738"/>
      <c r="J252" s="737"/>
      <c r="K252" s="737"/>
      <c r="L252" s="3345"/>
      <c r="M252" s="3346"/>
      <c r="N252" s="770"/>
      <c r="O252" s="770"/>
      <c r="P252" s="770"/>
      <c r="Q252" s="769" t="s">
        <v>394</v>
      </c>
      <c r="R252" s="769"/>
      <c r="S252" s="769"/>
      <c r="T252" s="769"/>
    </row>
    <row r="253" spans="1:20" s="731" customFormat="1" ht="13.5" customHeight="1">
      <c r="A253" s="998" t="s">
        <v>383</v>
      </c>
      <c r="B253" s="882" t="s">
        <v>384</v>
      </c>
      <c r="C253" s="997"/>
      <c r="D253" s="997"/>
      <c r="E253" s="997"/>
      <c r="F253" s="997"/>
      <c r="G253" s="3343" t="str">
        <f>G252</f>
        <v>Each Sqm</v>
      </c>
      <c r="H253" s="3344"/>
      <c r="I253" s="738">
        <f>K1004</f>
        <v>37.19</v>
      </c>
      <c r="J253" s="737"/>
      <c r="K253" s="737">
        <f>I253+J253</f>
        <v>37.19</v>
      </c>
      <c r="L253" s="3345">
        <f>ROUND(K253,1)</f>
        <v>37.200000000000003</v>
      </c>
      <c r="M253" s="3346"/>
      <c r="N253" s="770"/>
      <c r="O253" s="770"/>
      <c r="P253" s="770"/>
      <c r="Q253" s="769"/>
      <c r="R253" s="769"/>
      <c r="S253" s="769"/>
      <c r="T253" s="769"/>
    </row>
    <row r="254" spans="1:20" s="731" customFormat="1" ht="13.5" customHeight="1">
      <c r="A254" s="998" t="s">
        <v>386</v>
      </c>
      <c r="B254" s="882" t="s">
        <v>387</v>
      </c>
      <c r="C254" s="997"/>
      <c r="D254" s="997"/>
      <c r="E254" s="997"/>
      <c r="F254" s="997"/>
      <c r="G254" s="3343" t="str">
        <f>G253</f>
        <v>Each Sqm</v>
      </c>
      <c r="H254" s="3344"/>
      <c r="I254" s="738">
        <f>K1008</f>
        <v>39.01</v>
      </c>
      <c r="J254" s="737"/>
      <c r="K254" s="737">
        <f>I254+J254</f>
        <v>39.01</v>
      </c>
      <c r="L254" s="3345">
        <f>ROUND(K254,1)</f>
        <v>39</v>
      </c>
      <c r="M254" s="3346"/>
      <c r="N254" s="770"/>
      <c r="O254" s="770"/>
      <c r="P254" s="770"/>
      <c r="Q254" s="769"/>
      <c r="R254" s="769"/>
      <c r="S254" s="769"/>
      <c r="T254" s="769"/>
    </row>
    <row r="255" spans="1:20" s="731" customFormat="1" ht="13.5" customHeight="1">
      <c r="A255" s="992">
        <f>A252+1</f>
        <v>6</v>
      </c>
      <c r="B255" s="882" t="s">
        <v>3214</v>
      </c>
      <c r="C255" s="997"/>
      <c r="D255" s="997"/>
      <c r="E255" s="997"/>
      <c r="F255" s="997"/>
      <c r="G255" s="3343" t="s">
        <v>381</v>
      </c>
      <c r="H255" s="3344"/>
      <c r="I255" s="738"/>
      <c r="J255" s="737"/>
      <c r="K255" s="737"/>
      <c r="L255" s="3345"/>
      <c r="M255" s="3346"/>
      <c r="N255" s="770"/>
      <c r="O255" s="770"/>
      <c r="P255" s="770"/>
      <c r="Q255" s="769" t="s">
        <v>395</v>
      </c>
      <c r="R255" s="769"/>
      <c r="S255" s="769"/>
      <c r="T255" s="769"/>
    </row>
    <row r="256" spans="1:20" s="731" customFormat="1" ht="13.5" customHeight="1">
      <c r="A256" s="998" t="s">
        <v>383</v>
      </c>
      <c r="B256" s="882" t="s">
        <v>384</v>
      </c>
      <c r="C256" s="997"/>
      <c r="D256" s="997"/>
      <c r="E256" s="997"/>
      <c r="F256" s="997"/>
      <c r="G256" s="3343" t="str">
        <f>G255</f>
        <v>Each Cum</v>
      </c>
      <c r="H256" s="3344"/>
      <c r="I256" s="738">
        <f>K1019</f>
        <v>548.05999999999995</v>
      </c>
      <c r="J256" s="737"/>
      <c r="K256" s="737">
        <f>I256+J256</f>
        <v>548.05999999999995</v>
      </c>
      <c r="L256" s="3345">
        <f>ROUND(K256,1)</f>
        <v>548.1</v>
      </c>
      <c r="M256" s="3346"/>
      <c r="N256" s="770"/>
      <c r="O256" s="770"/>
      <c r="P256" s="770"/>
      <c r="Q256" s="769"/>
      <c r="R256" s="769"/>
      <c r="S256" s="769"/>
      <c r="T256" s="769"/>
    </row>
    <row r="257" spans="1:20" s="731" customFormat="1" ht="13.5" customHeight="1">
      <c r="A257" s="998" t="s">
        <v>386</v>
      </c>
      <c r="B257" s="882" t="s">
        <v>387</v>
      </c>
      <c r="C257" s="997"/>
      <c r="D257" s="997"/>
      <c r="E257" s="997"/>
      <c r="F257" s="997"/>
      <c r="G257" s="3343" t="str">
        <f>G256</f>
        <v>Each Cum</v>
      </c>
      <c r="H257" s="3344"/>
      <c r="I257" s="738">
        <f>K1023</f>
        <v>574.92999999999995</v>
      </c>
      <c r="J257" s="737"/>
      <c r="K257" s="737">
        <f>I257+J257</f>
        <v>574.92999999999995</v>
      </c>
      <c r="L257" s="3345">
        <f>ROUND(K257,1)</f>
        <v>574.9</v>
      </c>
      <c r="M257" s="3346"/>
      <c r="N257" s="770"/>
      <c r="O257" s="770"/>
      <c r="P257" s="770"/>
      <c r="Q257" s="769"/>
      <c r="R257" s="769"/>
      <c r="S257" s="769"/>
      <c r="T257" s="769"/>
    </row>
    <row r="258" spans="1:20" s="714" customFormat="1" ht="13.5" customHeight="1">
      <c r="A258" s="992">
        <f>A255+1</f>
        <v>7</v>
      </c>
      <c r="B258" s="996" t="s">
        <v>3215</v>
      </c>
      <c r="C258" s="997"/>
      <c r="D258" s="997"/>
      <c r="E258" s="997"/>
      <c r="F258" s="997"/>
      <c r="G258" s="3343" t="s">
        <v>390</v>
      </c>
      <c r="H258" s="3344"/>
      <c r="I258" s="738"/>
      <c r="J258" s="737"/>
      <c r="K258" s="737"/>
      <c r="L258" s="3345"/>
      <c r="M258" s="3346"/>
      <c r="O258" s="716" t="s">
        <v>397</v>
      </c>
      <c r="Q258" s="716" t="s">
        <v>396</v>
      </c>
      <c r="T258" s="716" t="s">
        <v>397</v>
      </c>
    </row>
    <row r="259" spans="1:20" s="731" customFormat="1" ht="13.5" customHeight="1">
      <c r="A259" s="998" t="s">
        <v>383</v>
      </c>
      <c r="B259" s="882" t="s">
        <v>384</v>
      </c>
      <c r="C259" s="997"/>
      <c r="D259" s="997"/>
      <c r="E259" s="997"/>
      <c r="F259" s="997"/>
      <c r="G259" s="3343" t="str">
        <f>G258</f>
        <v>Each Sqm</v>
      </c>
      <c r="H259" s="3344"/>
      <c r="I259" s="738">
        <f>K1034</f>
        <v>166.08</v>
      </c>
      <c r="J259" s="737"/>
      <c r="K259" s="737">
        <f>I259+J259</f>
        <v>166.08</v>
      </c>
      <c r="L259" s="3345">
        <f>ROUND(K259,1)</f>
        <v>166.1</v>
      </c>
      <c r="M259" s="3346"/>
      <c r="N259" s="770"/>
      <c r="O259" s="770"/>
      <c r="P259" s="770"/>
      <c r="Q259" s="769"/>
      <c r="R259" s="769"/>
      <c r="S259" s="769"/>
      <c r="T259" s="769"/>
    </row>
    <row r="260" spans="1:20" s="731" customFormat="1" ht="13.5" customHeight="1">
      <c r="A260" s="998" t="s">
        <v>386</v>
      </c>
      <c r="B260" s="882" t="s">
        <v>387</v>
      </c>
      <c r="C260" s="997"/>
      <c r="D260" s="997"/>
      <c r="E260" s="997"/>
      <c r="F260" s="997"/>
      <c r="G260" s="3343" t="str">
        <f>G259</f>
        <v>Each Sqm</v>
      </c>
      <c r="H260" s="3344"/>
      <c r="I260" s="738">
        <f>K1038</f>
        <v>174.22000000000003</v>
      </c>
      <c r="J260" s="737"/>
      <c r="K260" s="737">
        <f>I260+J260</f>
        <v>174.22000000000003</v>
      </c>
      <c r="L260" s="3345">
        <f>ROUND(K260,1)</f>
        <v>174.2</v>
      </c>
      <c r="M260" s="3346"/>
      <c r="N260" s="770"/>
      <c r="O260" s="770"/>
      <c r="P260" s="770"/>
      <c r="Q260" s="769"/>
      <c r="R260" s="769"/>
      <c r="S260" s="769"/>
      <c r="T260" s="769"/>
    </row>
    <row r="261" spans="1:20" s="731" customFormat="1" ht="13.5" customHeight="1">
      <c r="A261" s="992">
        <f>A258+1</f>
        <v>8</v>
      </c>
      <c r="B261" s="882" t="s">
        <v>3216</v>
      </c>
      <c r="C261" s="997"/>
      <c r="D261" s="997"/>
      <c r="E261" s="997"/>
      <c r="F261" s="997"/>
      <c r="G261" s="3343" t="s">
        <v>390</v>
      </c>
      <c r="H261" s="3344"/>
      <c r="I261" s="738"/>
      <c r="J261" s="737"/>
      <c r="K261" s="737"/>
      <c r="L261" s="3345"/>
      <c r="M261" s="3346"/>
      <c r="N261" s="770"/>
      <c r="O261" s="770"/>
      <c r="P261" s="770"/>
      <c r="Q261" s="769" t="s">
        <v>398</v>
      </c>
      <c r="R261" s="769"/>
      <c r="S261" s="769"/>
      <c r="T261" s="769"/>
    </row>
    <row r="262" spans="1:20" s="731" customFormat="1" ht="13.5" customHeight="1">
      <c r="A262" s="998" t="s">
        <v>383</v>
      </c>
      <c r="B262" s="882" t="s">
        <v>384</v>
      </c>
      <c r="C262" s="997"/>
      <c r="D262" s="997"/>
      <c r="E262" s="997"/>
      <c r="F262" s="997"/>
      <c r="G262" s="3343" t="str">
        <f>G261</f>
        <v>Each Sqm</v>
      </c>
      <c r="H262" s="3344"/>
      <c r="I262" s="738">
        <f>K1048</f>
        <v>44.91</v>
      </c>
      <c r="J262" s="737"/>
      <c r="K262" s="737">
        <f>I262+J262</f>
        <v>44.91</v>
      </c>
      <c r="L262" s="3345">
        <f>ROUND(K262,1)</f>
        <v>44.9</v>
      </c>
      <c r="M262" s="3346"/>
      <c r="N262" s="770"/>
      <c r="O262" s="770"/>
      <c r="P262" s="770"/>
      <c r="Q262" s="769"/>
      <c r="R262" s="769"/>
      <c r="S262" s="769"/>
      <c r="T262" s="769"/>
    </row>
    <row r="263" spans="1:20" s="731" customFormat="1" ht="13.5" customHeight="1">
      <c r="A263" s="998" t="s">
        <v>386</v>
      </c>
      <c r="B263" s="882" t="s">
        <v>387</v>
      </c>
      <c r="C263" s="997"/>
      <c r="D263" s="997"/>
      <c r="E263" s="997"/>
      <c r="F263" s="997"/>
      <c r="G263" s="3343" t="str">
        <f>G262</f>
        <v>Each Sqm</v>
      </c>
      <c r="H263" s="3344"/>
      <c r="I263" s="738">
        <f>K1052</f>
        <v>47.11</v>
      </c>
      <c r="J263" s="737"/>
      <c r="K263" s="737">
        <f>I263+J263</f>
        <v>47.11</v>
      </c>
      <c r="L263" s="3345">
        <f>ROUND(K263,1)</f>
        <v>47.1</v>
      </c>
      <c r="M263" s="3346"/>
      <c r="N263" s="770"/>
      <c r="O263" s="770"/>
      <c r="P263" s="770"/>
      <c r="Q263" s="769"/>
      <c r="R263" s="769"/>
      <c r="S263" s="769"/>
      <c r="T263" s="769"/>
    </row>
    <row r="264" spans="1:20" s="731" customFormat="1" ht="13.5" customHeight="1">
      <c r="A264" s="992">
        <f>A261+1</f>
        <v>9</v>
      </c>
      <c r="B264" s="882" t="s">
        <v>3217</v>
      </c>
      <c r="C264" s="997"/>
      <c r="D264" s="997"/>
      <c r="E264" s="997"/>
      <c r="F264" s="997"/>
      <c r="G264" s="3343" t="s">
        <v>390</v>
      </c>
      <c r="H264" s="3344"/>
      <c r="I264" s="738"/>
      <c r="J264" s="737"/>
      <c r="K264" s="737"/>
      <c r="L264" s="3345"/>
      <c r="M264" s="3346"/>
      <c r="N264" s="770"/>
      <c r="O264" s="770"/>
      <c r="P264" s="770"/>
      <c r="Q264" s="769" t="s">
        <v>399</v>
      </c>
      <c r="R264" s="769"/>
      <c r="S264" s="769"/>
      <c r="T264" s="769"/>
    </row>
    <row r="265" spans="1:20" s="731" customFormat="1" ht="13.5" customHeight="1">
      <c r="A265" s="998" t="s">
        <v>383</v>
      </c>
      <c r="B265" s="882" t="s">
        <v>384</v>
      </c>
      <c r="C265" s="997"/>
      <c r="D265" s="997"/>
      <c r="E265" s="997"/>
      <c r="F265" s="997"/>
      <c r="G265" s="3343" t="str">
        <f>G264</f>
        <v>Each Sqm</v>
      </c>
      <c r="H265" s="3344"/>
      <c r="I265" s="738">
        <f>K1062</f>
        <v>30.94</v>
      </c>
      <c r="J265" s="737"/>
      <c r="K265" s="737">
        <f>I265+J265</f>
        <v>30.94</v>
      </c>
      <c r="L265" s="3345">
        <f>ROUND(K265,1)</f>
        <v>30.9</v>
      </c>
      <c r="M265" s="3346"/>
      <c r="N265" s="770"/>
      <c r="O265" s="770"/>
      <c r="P265" s="770"/>
      <c r="Q265" s="769"/>
      <c r="R265" s="769"/>
      <c r="S265" s="769"/>
      <c r="T265" s="769"/>
    </row>
    <row r="266" spans="1:20" s="731" customFormat="1" ht="13.5" customHeight="1">
      <c r="A266" s="998" t="s">
        <v>386</v>
      </c>
      <c r="B266" s="882" t="s">
        <v>387</v>
      </c>
      <c r="C266" s="997"/>
      <c r="D266" s="997"/>
      <c r="E266" s="997"/>
      <c r="F266" s="997"/>
      <c r="G266" s="3343" t="str">
        <f>G265</f>
        <v>Each Sqm</v>
      </c>
      <c r="H266" s="3344"/>
      <c r="I266" s="738">
        <f>K1066</f>
        <v>32.46</v>
      </c>
      <c r="J266" s="737"/>
      <c r="K266" s="737">
        <f>I266+J266</f>
        <v>32.46</v>
      </c>
      <c r="L266" s="3345">
        <f>ROUND(K266,1)</f>
        <v>32.5</v>
      </c>
      <c r="M266" s="3346"/>
      <c r="N266" s="770"/>
      <c r="O266" s="770"/>
      <c r="P266" s="770"/>
      <c r="Q266" s="769"/>
      <c r="R266" s="769"/>
      <c r="S266" s="769"/>
      <c r="T266" s="769"/>
    </row>
    <row r="267" spans="1:20" s="731" customFormat="1" ht="13.5" customHeight="1">
      <c r="A267" s="992">
        <f>A264+1</f>
        <v>10</v>
      </c>
      <c r="B267" s="882" t="s">
        <v>3218</v>
      </c>
      <c r="C267" s="997"/>
      <c r="D267" s="997"/>
      <c r="E267" s="997"/>
      <c r="F267" s="997"/>
      <c r="G267" s="3343" t="s">
        <v>381</v>
      </c>
      <c r="H267" s="3344"/>
      <c r="I267" s="738"/>
      <c r="J267" s="737"/>
      <c r="K267" s="737"/>
      <c r="L267" s="3345"/>
      <c r="M267" s="3346"/>
      <c r="N267" s="770"/>
      <c r="O267" s="770"/>
      <c r="P267" s="770"/>
      <c r="Q267" s="762" t="s">
        <v>400</v>
      </c>
      <c r="T267" s="762"/>
    </row>
    <row r="268" spans="1:20" s="731" customFormat="1" ht="13.5" customHeight="1">
      <c r="A268" s="998" t="s">
        <v>383</v>
      </c>
      <c r="B268" s="882" t="s">
        <v>384</v>
      </c>
      <c r="C268" s="997"/>
      <c r="D268" s="997"/>
      <c r="E268" s="997"/>
      <c r="F268" s="997"/>
      <c r="G268" s="3343" t="str">
        <f>G267</f>
        <v>Each Cum</v>
      </c>
      <c r="H268" s="3344"/>
      <c r="I268" s="738">
        <f>K1075</f>
        <v>297.02</v>
      </c>
      <c r="J268" s="737"/>
      <c r="K268" s="737">
        <f>I268+J268</f>
        <v>297.02</v>
      </c>
      <c r="L268" s="3345">
        <f>ROUND(K268,1)</f>
        <v>297</v>
      </c>
      <c r="M268" s="3346"/>
      <c r="N268" s="770"/>
      <c r="O268" s="770"/>
      <c r="P268" s="770"/>
      <c r="Q268" s="769"/>
      <c r="R268" s="769"/>
      <c r="S268" s="769"/>
      <c r="T268" s="769"/>
    </row>
    <row r="269" spans="1:20" s="731" customFormat="1" ht="13.5" customHeight="1">
      <c r="A269" s="998" t="s">
        <v>386</v>
      </c>
      <c r="B269" s="882" t="s">
        <v>387</v>
      </c>
      <c r="C269" s="997"/>
      <c r="D269" s="997"/>
      <c r="E269" s="997"/>
      <c r="F269" s="997"/>
      <c r="G269" s="3343" t="str">
        <f>G268</f>
        <v>Each Cum</v>
      </c>
      <c r="H269" s="3344"/>
      <c r="I269" s="738">
        <f>K1079</f>
        <v>311.58</v>
      </c>
      <c r="J269" s="737"/>
      <c r="K269" s="737">
        <f>I269+J269</f>
        <v>311.58</v>
      </c>
      <c r="L269" s="3345">
        <f>ROUND(K269,1)</f>
        <v>311.60000000000002</v>
      </c>
      <c r="M269" s="3346"/>
      <c r="N269" s="770"/>
      <c r="O269" s="770"/>
      <c r="P269" s="770"/>
      <c r="Q269" s="769"/>
      <c r="R269" s="769"/>
      <c r="S269" s="769"/>
      <c r="T269" s="769"/>
    </row>
    <row r="270" spans="1:20" s="731" customFormat="1" ht="13.5" customHeight="1">
      <c r="A270" s="992">
        <f>A267+1</f>
        <v>11</v>
      </c>
      <c r="B270" s="882" t="s">
        <v>3219</v>
      </c>
      <c r="C270" s="997"/>
      <c r="D270" s="997"/>
      <c r="E270" s="997"/>
      <c r="F270" s="997"/>
      <c r="G270" s="3343" t="s">
        <v>390</v>
      </c>
      <c r="H270" s="3344"/>
      <c r="I270" s="738"/>
      <c r="J270" s="737"/>
      <c r="K270" s="737"/>
      <c r="L270" s="3345"/>
      <c r="M270" s="3346"/>
      <c r="N270" s="770"/>
      <c r="O270" s="770"/>
      <c r="P270" s="770"/>
      <c r="Q270" s="762" t="s">
        <v>401</v>
      </c>
      <c r="T270" s="762"/>
    </row>
    <row r="271" spans="1:20" s="731" customFormat="1" ht="13.5" customHeight="1">
      <c r="A271" s="998" t="s">
        <v>383</v>
      </c>
      <c r="B271" s="882" t="s">
        <v>384</v>
      </c>
      <c r="C271" s="997"/>
      <c r="D271" s="997"/>
      <c r="E271" s="997"/>
      <c r="F271" s="997"/>
      <c r="G271" s="3343" t="str">
        <f>G270</f>
        <v>Each Sqm</v>
      </c>
      <c r="H271" s="3344"/>
      <c r="I271" s="738">
        <f>K1089</f>
        <v>69.86</v>
      </c>
      <c r="J271" s="737"/>
      <c r="K271" s="737">
        <f>I271+J271</f>
        <v>69.86</v>
      </c>
      <c r="L271" s="3345">
        <f>ROUND(K271,1)</f>
        <v>69.900000000000006</v>
      </c>
      <c r="M271" s="3346"/>
      <c r="N271" s="770"/>
      <c r="O271" s="770"/>
      <c r="P271" s="770"/>
      <c r="Q271" s="769"/>
      <c r="R271" s="769"/>
      <c r="S271" s="769"/>
      <c r="T271" s="769"/>
    </row>
    <row r="272" spans="1:20" s="731" customFormat="1" ht="13.5" customHeight="1">
      <c r="A272" s="998" t="s">
        <v>386</v>
      </c>
      <c r="B272" s="882" t="s">
        <v>387</v>
      </c>
      <c r="C272" s="997"/>
      <c r="D272" s="997"/>
      <c r="E272" s="997"/>
      <c r="F272" s="997"/>
      <c r="G272" s="3343" t="str">
        <f>G271</f>
        <v>Each Sqm</v>
      </c>
      <c r="H272" s="3344"/>
      <c r="I272" s="738">
        <f>K1093</f>
        <v>73.28</v>
      </c>
      <c r="J272" s="737"/>
      <c r="K272" s="737">
        <f>I272+J272</f>
        <v>73.28</v>
      </c>
      <c r="L272" s="3345">
        <f>ROUND(K272,1)</f>
        <v>73.3</v>
      </c>
      <c r="M272" s="3346"/>
      <c r="N272" s="770"/>
      <c r="O272" s="770"/>
      <c r="P272" s="770"/>
      <c r="Q272" s="769"/>
      <c r="R272" s="769"/>
      <c r="S272" s="769"/>
      <c r="T272" s="769"/>
    </row>
    <row r="273" spans="1:20" s="731" customFormat="1" ht="13.5" customHeight="1">
      <c r="A273" s="992">
        <f>A270+1</f>
        <v>12</v>
      </c>
      <c r="B273" s="882" t="s">
        <v>3220</v>
      </c>
      <c r="C273" s="997"/>
      <c r="D273" s="997"/>
      <c r="E273" s="997"/>
      <c r="F273" s="997"/>
      <c r="G273" s="3343" t="s">
        <v>390</v>
      </c>
      <c r="H273" s="3344"/>
      <c r="I273" s="738"/>
      <c r="J273" s="737"/>
      <c r="K273" s="737"/>
      <c r="L273" s="3345"/>
      <c r="M273" s="3346"/>
      <c r="N273" s="770"/>
      <c r="O273" s="770"/>
      <c r="P273" s="770"/>
      <c r="Q273" s="762" t="s">
        <v>402</v>
      </c>
      <c r="T273" s="762"/>
    </row>
    <row r="274" spans="1:20" s="731" customFormat="1" ht="13.5" customHeight="1">
      <c r="A274" s="998" t="s">
        <v>383</v>
      </c>
      <c r="B274" s="882" t="s">
        <v>384</v>
      </c>
      <c r="C274" s="997"/>
      <c r="D274" s="997"/>
      <c r="E274" s="997"/>
      <c r="F274" s="997"/>
      <c r="G274" s="3343" t="str">
        <f>G273</f>
        <v>Each Sqm</v>
      </c>
      <c r="H274" s="3344"/>
      <c r="I274" s="738">
        <f>K1103</f>
        <v>44.91</v>
      </c>
      <c r="J274" s="737"/>
      <c r="K274" s="737">
        <f>I274+J274</f>
        <v>44.91</v>
      </c>
      <c r="L274" s="3345">
        <f>ROUND(K274,1)</f>
        <v>44.9</v>
      </c>
      <c r="M274" s="3346"/>
      <c r="N274" s="770"/>
      <c r="O274" s="770"/>
      <c r="P274" s="770"/>
      <c r="Q274" s="769"/>
      <c r="R274" s="769"/>
      <c r="S274" s="769"/>
      <c r="T274" s="769"/>
    </row>
    <row r="275" spans="1:20" s="731" customFormat="1" ht="13.5" customHeight="1">
      <c r="A275" s="998" t="s">
        <v>386</v>
      </c>
      <c r="B275" s="882" t="s">
        <v>387</v>
      </c>
      <c r="C275" s="997"/>
      <c r="D275" s="997"/>
      <c r="E275" s="997"/>
      <c r="F275" s="997"/>
      <c r="G275" s="3343" t="str">
        <f>G274</f>
        <v>Each Sqm</v>
      </c>
      <c r="H275" s="3344"/>
      <c r="I275" s="738">
        <f>K1107</f>
        <v>47.11</v>
      </c>
      <c r="J275" s="737"/>
      <c r="K275" s="737">
        <f>I275+J275</f>
        <v>47.11</v>
      </c>
      <c r="L275" s="3345">
        <f>ROUND(K275,1)</f>
        <v>47.1</v>
      </c>
      <c r="M275" s="3346"/>
      <c r="N275" s="770"/>
      <c r="O275" s="770"/>
      <c r="P275" s="770"/>
      <c r="Q275" s="769"/>
      <c r="R275" s="769"/>
      <c r="S275" s="769"/>
      <c r="T275" s="769"/>
    </row>
    <row r="276" spans="1:20" s="731" customFormat="1" ht="13.5" customHeight="1">
      <c r="A276" s="992">
        <f>A273+1</f>
        <v>13</v>
      </c>
      <c r="B276" s="882" t="s">
        <v>3221</v>
      </c>
      <c r="C276" s="997"/>
      <c r="D276" s="997"/>
      <c r="E276" s="997"/>
      <c r="F276" s="997"/>
      <c r="G276" s="3343" t="s">
        <v>390</v>
      </c>
      <c r="H276" s="3344"/>
      <c r="I276" s="738"/>
      <c r="J276" s="737"/>
      <c r="K276" s="737"/>
      <c r="L276" s="3345"/>
      <c r="M276" s="3346"/>
      <c r="N276" s="770"/>
      <c r="O276" s="770"/>
      <c r="P276" s="770"/>
      <c r="Q276" s="762" t="s">
        <v>403</v>
      </c>
      <c r="T276" s="762"/>
    </row>
    <row r="277" spans="1:20" s="731" customFormat="1" ht="13.5" customHeight="1">
      <c r="A277" s="998" t="s">
        <v>383</v>
      </c>
      <c r="B277" s="882" t="s">
        <v>384</v>
      </c>
      <c r="C277" s="997"/>
      <c r="D277" s="997"/>
      <c r="E277" s="997"/>
      <c r="F277" s="997"/>
      <c r="G277" s="3343" t="str">
        <f>G276</f>
        <v>Each Sqm</v>
      </c>
      <c r="H277" s="3344"/>
      <c r="I277" s="738">
        <f>K1117</f>
        <v>21.96</v>
      </c>
      <c r="J277" s="737"/>
      <c r="K277" s="737">
        <f>I277+J277</f>
        <v>21.96</v>
      </c>
      <c r="L277" s="3345">
        <f>ROUND(K277,1)</f>
        <v>22</v>
      </c>
      <c r="M277" s="3346"/>
      <c r="N277" s="770"/>
      <c r="O277" s="770"/>
      <c r="P277" s="770"/>
      <c r="Q277" s="769"/>
      <c r="R277" s="769"/>
      <c r="S277" s="769"/>
      <c r="T277" s="769"/>
    </row>
    <row r="278" spans="1:20" s="731" customFormat="1" ht="13.5" customHeight="1">
      <c r="A278" s="998" t="s">
        <v>386</v>
      </c>
      <c r="B278" s="882" t="s">
        <v>387</v>
      </c>
      <c r="C278" s="997"/>
      <c r="D278" s="997"/>
      <c r="E278" s="997"/>
      <c r="F278" s="997"/>
      <c r="G278" s="3343" t="str">
        <f>G277</f>
        <v>Each Sqm</v>
      </c>
      <c r="H278" s="3344"/>
      <c r="I278" s="738">
        <f>K1121</f>
        <v>23.04</v>
      </c>
      <c r="J278" s="737"/>
      <c r="K278" s="737">
        <f>I278+J278</f>
        <v>23.04</v>
      </c>
      <c r="L278" s="3345">
        <f>ROUND(K278,1)</f>
        <v>23</v>
      </c>
      <c r="M278" s="3346"/>
      <c r="N278" s="770"/>
      <c r="O278" s="770"/>
      <c r="P278" s="770"/>
      <c r="Q278" s="769"/>
      <c r="R278" s="769"/>
      <c r="S278" s="769"/>
      <c r="T278" s="769"/>
    </row>
    <row r="279" spans="1:20" s="731" customFormat="1" ht="13.5" customHeight="1">
      <c r="A279" s="992">
        <f>A276+1</f>
        <v>14</v>
      </c>
      <c r="B279" s="882" t="s">
        <v>3222</v>
      </c>
      <c r="C279" s="997"/>
      <c r="D279" s="997"/>
      <c r="E279" s="997"/>
      <c r="F279" s="997"/>
      <c r="G279" s="3343" t="s">
        <v>390</v>
      </c>
      <c r="H279" s="3344"/>
      <c r="I279" s="738"/>
      <c r="J279" s="737"/>
      <c r="K279" s="737"/>
      <c r="L279" s="3345"/>
      <c r="M279" s="3346"/>
      <c r="N279" s="770"/>
      <c r="O279" s="770"/>
      <c r="P279" s="770"/>
      <c r="Q279" s="762" t="s">
        <v>404</v>
      </c>
      <c r="T279" s="762"/>
    </row>
    <row r="280" spans="1:20" s="731" customFormat="1" ht="13.5" customHeight="1">
      <c r="A280" s="998" t="s">
        <v>383</v>
      </c>
      <c r="B280" s="882" t="s">
        <v>384</v>
      </c>
      <c r="C280" s="997"/>
      <c r="D280" s="997"/>
      <c r="E280" s="997"/>
      <c r="F280" s="997"/>
      <c r="G280" s="3343" t="str">
        <f>G279</f>
        <v>Each Sqm</v>
      </c>
      <c r="H280" s="3344"/>
      <c r="I280" s="738">
        <f>K1131</f>
        <v>49.9</v>
      </c>
      <c r="J280" s="737"/>
      <c r="K280" s="737">
        <f>I280+J280</f>
        <v>49.9</v>
      </c>
      <c r="L280" s="3345">
        <f>ROUND(K280,1)</f>
        <v>49.9</v>
      </c>
      <c r="M280" s="3346"/>
      <c r="N280" s="770"/>
      <c r="O280" s="770"/>
      <c r="P280" s="770"/>
      <c r="Q280" s="769"/>
      <c r="R280" s="769"/>
      <c r="S280" s="769"/>
      <c r="T280" s="769"/>
    </row>
    <row r="281" spans="1:20" s="731" customFormat="1" ht="13.5" customHeight="1">
      <c r="A281" s="998" t="s">
        <v>386</v>
      </c>
      <c r="B281" s="882" t="s">
        <v>387</v>
      </c>
      <c r="C281" s="997"/>
      <c r="D281" s="997"/>
      <c r="E281" s="997"/>
      <c r="F281" s="997"/>
      <c r="G281" s="3343" t="str">
        <f>G280</f>
        <v>Each Sqm</v>
      </c>
      <c r="H281" s="3344"/>
      <c r="I281" s="738">
        <f>K1135</f>
        <v>52.35</v>
      </c>
      <c r="J281" s="737"/>
      <c r="K281" s="737">
        <f>I281+J281</f>
        <v>52.35</v>
      </c>
      <c r="L281" s="3345">
        <f>ROUND(K281,1)</f>
        <v>52.4</v>
      </c>
      <c r="M281" s="3346"/>
      <c r="N281" s="770"/>
      <c r="O281" s="770"/>
      <c r="P281" s="770"/>
      <c r="Q281" s="769"/>
      <c r="R281" s="769"/>
      <c r="S281" s="769"/>
      <c r="T281" s="769"/>
    </row>
    <row r="282" spans="1:20" s="731" customFormat="1" ht="13.5" customHeight="1">
      <c r="A282" s="992">
        <f>A279+1</f>
        <v>15</v>
      </c>
      <c r="B282" s="882" t="s">
        <v>3223</v>
      </c>
      <c r="C282" s="997"/>
      <c r="D282" s="997"/>
      <c r="E282" s="997"/>
      <c r="F282" s="997"/>
      <c r="G282" s="3343" t="s">
        <v>390</v>
      </c>
      <c r="H282" s="3344"/>
      <c r="I282" s="738"/>
      <c r="J282" s="737"/>
      <c r="K282" s="737"/>
      <c r="L282" s="3345"/>
      <c r="M282" s="3346"/>
      <c r="N282" s="770"/>
      <c r="O282" s="770"/>
      <c r="P282" s="770"/>
      <c r="Q282" s="762" t="s">
        <v>405</v>
      </c>
      <c r="T282" s="762"/>
    </row>
    <row r="283" spans="1:20" s="731" customFormat="1" ht="13.5" customHeight="1">
      <c r="A283" s="998" t="s">
        <v>383</v>
      </c>
      <c r="B283" s="882" t="s">
        <v>384</v>
      </c>
      <c r="C283" s="997"/>
      <c r="D283" s="997"/>
      <c r="E283" s="997"/>
      <c r="F283" s="997"/>
      <c r="G283" s="3343" t="str">
        <f>G282</f>
        <v>Each Sqm</v>
      </c>
      <c r="H283" s="3344"/>
      <c r="I283" s="738">
        <f>K1145</f>
        <v>25.95</v>
      </c>
      <c r="J283" s="737"/>
      <c r="K283" s="737">
        <f>I283+J283</f>
        <v>25.95</v>
      </c>
      <c r="L283" s="3345">
        <f>ROUND(K283,1)</f>
        <v>26</v>
      </c>
      <c r="M283" s="3346"/>
      <c r="N283" s="770"/>
      <c r="O283" s="770"/>
      <c r="P283" s="770"/>
      <c r="Q283" s="769"/>
      <c r="R283" s="769"/>
      <c r="S283" s="769"/>
      <c r="T283" s="769"/>
    </row>
    <row r="284" spans="1:20" s="731" customFormat="1" ht="13.5" customHeight="1">
      <c r="A284" s="998" t="s">
        <v>386</v>
      </c>
      <c r="B284" s="882" t="s">
        <v>387</v>
      </c>
      <c r="C284" s="997"/>
      <c r="D284" s="997"/>
      <c r="E284" s="997"/>
      <c r="F284" s="997"/>
      <c r="G284" s="3343" t="str">
        <f>G283</f>
        <v>Each Sqm</v>
      </c>
      <c r="H284" s="3344"/>
      <c r="I284" s="738">
        <f>K1149</f>
        <v>27.22</v>
      </c>
      <c r="J284" s="737"/>
      <c r="K284" s="737">
        <f>I284+J284</f>
        <v>27.22</v>
      </c>
      <c r="L284" s="3345">
        <f>ROUND(K284,1)</f>
        <v>27.2</v>
      </c>
      <c r="M284" s="3346"/>
      <c r="N284" s="770"/>
      <c r="O284" s="770"/>
      <c r="P284" s="770"/>
      <c r="Q284" s="769"/>
      <c r="R284" s="769"/>
      <c r="S284" s="769"/>
      <c r="T284" s="769"/>
    </row>
    <row r="285" spans="1:20" s="731" customFormat="1" ht="13.5" customHeight="1">
      <c r="A285" s="992">
        <f>A282+1</f>
        <v>16</v>
      </c>
      <c r="B285" s="882" t="s">
        <v>3224</v>
      </c>
      <c r="C285" s="997"/>
      <c r="D285" s="997"/>
      <c r="E285" s="997"/>
      <c r="F285" s="997"/>
      <c r="G285" s="3343" t="s">
        <v>390</v>
      </c>
      <c r="H285" s="3344"/>
      <c r="I285" s="738"/>
      <c r="J285" s="737"/>
      <c r="K285" s="737"/>
      <c r="L285" s="3345"/>
      <c r="M285" s="3346"/>
      <c r="N285" s="770"/>
      <c r="O285" s="770"/>
      <c r="P285" s="770"/>
      <c r="Q285" s="762" t="s">
        <v>406</v>
      </c>
      <c r="T285" s="762"/>
    </row>
    <row r="286" spans="1:20" s="731" customFormat="1" ht="13.5" customHeight="1">
      <c r="A286" s="998" t="s">
        <v>383</v>
      </c>
      <c r="B286" s="882" t="s">
        <v>384</v>
      </c>
      <c r="C286" s="997"/>
      <c r="D286" s="997"/>
      <c r="E286" s="997"/>
      <c r="F286" s="997"/>
      <c r="G286" s="3343" t="str">
        <f>G285</f>
        <v>Each Sqm</v>
      </c>
      <c r="H286" s="3344"/>
      <c r="I286" s="738">
        <f>K1159</f>
        <v>54.89</v>
      </c>
      <c r="J286" s="737"/>
      <c r="K286" s="737">
        <f>I286+J286</f>
        <v>54.89</v>
      </c>
      <c r="L286" s="3345">
        <f>ROUND(K286,1)</f>
        <v>54.9</v>
      </c>
      <c r="M286" s="3346"/>
      <c r="N286" s="770"/>
      <c r="O286" s="770"/>
      <c r="P286" s="770"/>
      <c r="Q286" s="769"/>
      <c r="R286" s="769"/>
      <c r="S286" s="769"/>
      <c r="T286" s="769"/>
    </row>
    <row r="287" spans="1:20" s="731" customFormat="1" ht="13.5" customHeight="1">
      <c r="A287" s="998" t="s">
        <v>386</v>
      </c>
      <c r="B287" s="882" t="s">
        <v>387</v>
      </c>
      <c r="C287" s="997"/>
      <c r="D287" s="997"/>
      <c r="E287" s="997"/>
      <c r="F287" s="997"/>
      <c r="G287" s="3343" t="str">
        <f>G286</f>
        <v>Each Sqm</v>
      </c>
      <c r="H287" s="3344"/>
      <c r="I287" s="738">
        <f>K1163</f>
        <v>57.58</v>
      </c>
      <c r="J287" s="737"/>
      <c r="K287" s="737">
        <f>I287+J287</f>
        <v>57.58</v>
      </c>
      <c r="L287" s="3345">
        <f>ROUND(K287,1)</f>
        <v>57.6</v>
      </c>
      <c r="M287" s="3346"/>
      <c r="N287" s="770"/>
      <c r="O287" s="770"/>
      <c r="P287" s="770"/>
      <c r="Q287" s="769"/>
      <c r="R287" s="769"/>
      <c r="S287" s="769"/>
      <c r="T287" s="769"/>
    </row>
    <row r="288" spans="1:20" s="731" customFormat="1" ht="13.5" customHeight="1">
      <c r="A288" s="992">
        <f>A285+1</f>
        <v>17</v>
      </c>
      <c r="B288" s="882" t="s">
        <v>3225</v>
      </c>
      <c r="C288" s="997"/>
      <c r="D288" s="997"/>
      <c r="E288" s="997"/>
      <c r="F288" s="997"/>
      <c r="G288" s="3343" t="s">
        <v>390</v>
      </c>
      <c r="H288" s="3344"/>
      <c r="I288" s="738"/>
      <c r="J288" s="737"/>
      <c r="K288" s="737"/>
      <c r="L288" s="3345"/>
      <c r="M288" s="3346"/>
      <c r="N288" s="770"/>
      <c r="O288" s="770"/>
      <c r="P288" s="770"/>
      <c r="Q288" s="762" t="s">
        <v>407</v>
      </c>
      <c r="T288" s="762"/>
    </row>
    <row r="289" spans="1:20" s="731" customFormat="1" ht="13.5" customHeight="1">
      <c r="A289" s="998" t="s">
        <v>383</v>
      </c>
      <c r="B289" s="882" t="s">
        <v>384</v>
      </c>
      <c r="C289" s="997"/>
      <c r="D289" s="997"/>
      <c r="E289" s="997"/>
      <c r="F289" s="997"/>
      <c r="G289" s="3343" t="str">
        <f>G288</f>
        <v>Each Sqm</v>
      </c>
      <c r="H289" s="3344"/>
      <c r="I289" s="738">
        <f>K1173</f>
        <v>104.8</v>
      </c>
      <c r="J289" s="737"/>
      <c r="K289" s="737">
        <f>I289+J289</f>
        <v>104.8</v>
      </c>
      <c r="L289" s="3345">
        <f>ROUND(K289,1)</f>
        <v>104.8</v>
      </c>
      <c r="M289" s="3346"/>
      <c r="N289" s="770"/>
      <c r="O289" s="770"/>
      <c r="P289" s="770"/>
      <c r="Q289" s="769"/>
      <c r="R289" s="769"/>
      <c r="S289" s="769"/>
      <c r="T289" s="769"/>
    </row>
    <row r="290" spans="1:20" s="731" customFormat="1" ht="13.5" customHeight="1">
      <c r="A290" s="998" t="s">
        <v>386</v>
      </c>
      <c r="B290" s="882" t="s">
        <v>387</v>
      </c>
      <c r="C290" s="997"/>
      <c r="D290" s="997"/>
      <c r="E290" s="997"/>
      <c r="F290" s="997"/>
      <c r="G290" s="3343" t="str">
        <f>G289</f>
        <v>Each Sqm</v>
      </c>
      <c r="H290" s="3344"/>
      <c r="I290" s="738">
        <f>K1177</f>
        <v>109.94</v>
      </c>
      <c r="J290" s="737"/>
      <c r="K290" s="737">
        <f>I290+J290</f>
        <v>109.94</v>
      </c>
      <c r="L290" s="3345">
        <f>ROUND(K290,1)</f>
        <v>109.9</v>
      </c>
      <c r="M290" s="3346"/>
      <c r="N290" s="770"/>
      <c r="O290" s="770"/>
      <c r="P290" s="770"/>
      <c r="Q290" s="769"/>
      <c r="R290" s="769"/>
      <c r="S290" s="769"/>
      <c r="T290" s="769"/>
    </row>
    <row r="291" spans="1:20" s="731" customFormat="1" ht="13.5" customHeight="1">
      <c r="A291" s="992">
        <f>A288+1</f>
        <v>18</v>
      </c>
      <c r="B291" s="882" t="s">
        <v>3226</v>
      </c>
      <c r="C291" s="997"/>
      <c r="D291" s="997"/>
      <c r="E291" s="997"/>
      <c r="F291" s="997"/>
      <c r="G291" s="3343" t="s">
        <v>390</v>
      </c>
      <c r="H291" s="3344"/>
      <c r="I291" s="738"/>
      <c r="J291" s="737"/>
      <c r="K291" s="737"/>
      <c r="L291" s="3345"/>
      <c r="M291" s="3346"/>
      <c r="N291" s="770"/>
      <c r="O291" s="770"/>
      <c r="P291" s="770"/>
      <c r="Q291" s="762" t="s">
        <v>408</v>
      </c>
      <c r="T291" s="762"/>
    </row>
    <row r="292" spans="1:20" s="731" customFormat="1" ht="13.5" customHeight="1">
      <c r="A292" s="998" t="s">
        <v>383</v>
      </c>
      <c r="B292" s="882" t="s">
        <v>384</v>
      </c>
      <c r="C292" s="997"/>
      <c r="D292" s="997"/>
      <c r="E292" s="997"/>
      <c r="F292" s="997"/>
      <c r="G292" s="3343" t="str">
        <f>G291</f>
        <v>Each Sqm</v>
      </c>
      <c r="H292" s="3344"/>
      <c r="I292" s="738">
        <f>K1188</f>
        <v>34.520000000000003</v>
      </c>
      <c r="J292" s="737"/>
      <c r="K292" s="737">
        <f>I292+J292</f>
        <v>34.520000000000003</v>
      </c>
      <c r="L292" s="3345">
        <f>ROUND(K292,1)</f>
        <v>34.5</v>
      </c>
      <c r="M292" s="3346"/>
      <c r="N292" s="770"/>
      <c r="O292" s="770"/>
      <c r="P292" s="770"/>
      <c r="Q292" s="769"/>
      <c r="R292" s="769"/>
      <c r="S292" s="769"/>
      <c r="T292" s="769"/>
    </row>
    <row r="293" spans="1:20" s="731" customFormat="1" ht="13.5" customHeight="1">
      <c r="A293" s="998" t="s">
        <v>386</v>
      </c>
      <c r="B293" s="882" t="s">
        <v>387</v>
      </c>
      <c r="C293" s="997"/>
      <c r="D293" s="997"/>
      <c r="E293" s="997"/>
      <c r="F293" s="997"/>
      <c r="G293" s="3343" t="str">
        <f>G292</f>
        <v>Each Sqm</v>
      </c>
      <c r="H293" s="3344"/>
      <c r="I293" s="738">
        <f>K1192</f>
        <v>36.21</v>
      </c>
      <c r="J293" s="737"/>
      <c r="K293" s="737">
        <f>I293+J293</f>
        <v>36.21</v>
      </c>
      <c r="L293" s="3345">
        <f>ROUND(K293,1)</f>
        <v>36.200000000000003</v>
      </c>
      <c r="M293" s="3346"/>
      <c r="N293" s="770"/>
      <c r="O293" s="770"/>
      <c r="P293" s="770"/>
      <c r="Q293" s="769"/>
      <c r="R293" s="769"/>
      <c r="S293" s="769"/>
      <c r="T293" s="769"/>
    </row>
    <row r="294" spans="1:20" s="731" customFormat="1" ht="13.5" customHeight="1">
      <c r="A294" s="992">
        <f>A291+1</f>
        <v>19</v>
      </c>
      <c r="B294" s="882" t="s">
        <v>3227</v>
      </c>
      <c r="C294" s="997"/>
      <c r="D294" s="997"/>
      <c r="E294" s="997"/>
      <c r="F294" s="997"/>
      <c r="G294" s="3343" t="s">
        <v>390</v>
      </c>
      <c r="H294" s="3344"/>
      <c r="I294" s="738"/>
      <c r="J294" s="737"/>
      <c r="K294" s="737"/>
      <c r="L294" s="3345"/>
      <c r="M294" s="3346"/>
      <c r="N294" s="770"/>
      <c r="O294" s="770"/>
      <c r="P294" s="770"/>
      <c r="Q294" s="762" t="s">
        <v>409</v>
      </c>
      <c r="T294" s="762"/>
    </row>
    <row r="295" spans="1:20" s="731" customFormat="1" ht="13.5" customHeight="1">
      <c r="A295" s="998" t="s">
        <v>383</v>
      </c>
      <c r="B295" s="882" t="s">
        <v>384</v>
      </c>
      <c r="C295" s="997"/>
      <c r="D295" s="997"/>
      <c r="E295" s="997"/>
      <c r="F295" s="997"/>
      <c r="G295" s="3343" t="str">
        <f>G294</f>
        <v>Each Sqm</v>
      </c>
      <c r="H295" s="3344"/>
      <c r="I295" s="738">
        <f>K1202</f>
        <v>34.93</v>
      </c>
      <c r="J295" s="737"/>
      <c r="K295" s="737">
        <f>I295+J295</f>
        <v>34.93</v>
      </c>
      <c r="L295" s="3345">
        <f>ROUND(K295,1)</f>
        <v>34.9</v>
      </c>
      <c r="M295" s="3346"/>
      <c r="N295" s="770"/>
      <c r="O295" s="770"/>
      <c r="P295" s="770"/>
      <c r="Q295" s="769"/>
      <c r="R295" s="769"/>
      <c r="S295" s="769"/>
      <c r="T295" s="769"/>
    </row>
    <row r="296" spans="1:20" s="731" customFormat="1" ht="13.5" customHeight="1">
      <c r="A296" s="998" t="s">
        <v>386</v>
      </c>
      <c r="B296" s="882" t="s">
        <v>387</v>
      </c>
      <c r="C296" s="997"/>
      <c r="D296" s="997"/>
      <c r="E296" s="997"/>
      <c r="F296" s="997"/>
      <c r="G296" s="3343" t="str">
        <f>G295</f>
        <v>Each Sqm</v>
      </c>
      <c r="H296" s="3344"/>
      <c r="I296" s="738">
        <f>K1206</f>
        <v>36.64</v>
      </c>
      <c r="J296" s="737"/>
      <c r="K296" s="737">
        <f>I296+J296</f>
        <v>36.64</v>
      </c>
      <c r="L296" s="3345">
        <f>ROUND(K296,1)</f>
        <v>36.6</v>
      </c>
      <c r="M296" s="3346"/>
      <c r="N296" s="770"/>
      <c r="O296" s="770"/>
      <c r="P296" s="770"/>
      <c r="Q296" s="769"/>
      <c r="R296" s="769"/>
      <c r="S296" s="769"/>
      <c r="T296" s="769"/>
    </row>
    <row r="297" spans="1:20" s="731" customFormat="1" ht="13.5" customHeight="1">
      <c r="A297" s="992">
        <f>A294+1</f>
        <v>20</v>
      </c>
      <c r="B297" s="1002" t="s">
        <v>3228</v>
      </c>
      <c r="C297" s="997"/>
      <c r="D297" s="997"/>
      <c r="E297" s="997"/>
      <c r="F297" s="997"/>
      <c r="G297" s="3343" t="s">
        <v>390</v>
      </c>
      <c r="H297" s="3344"/>
      <c r="I297" s="738"/>
      <c r="J297" s="737"/>
      <c r="K297" s="737"/>
      <c r="L297" s="3345"/>
      <c r="M297" s="3346"/>
      <c r="N297" s="770"/>
      <c r="O297" s="770"/>
      <c r="P297" s="770"/>
      <c r="Q297" s="762"/>
      <c r="T297" s="762"/>
    </row>
    <row r="298" spans="1:20" s="731" customFormat="1" ht="13.5" customHeight="1">
      <c r="A298" s="998" t="s">
        <v>383</v>
      </c>
      <c r="B298" s="882" t="s">
        <v>384</v>
      </c>
      <c r="C298" s="997"/>
      <c r="D298" s="997"/>
      <c r="E298" s="997"/>
      <c r="F298" s="997"/>
      <c r="G298" s="3343" t="str">
        <f>G297</f>
        <v>Each Sqm</v>
      </c>
      <c r="H298" s="3344"/>
      <c r="I298" s="738">
        <f>K1219</f>
        <v>8.82</v>
      </c>
      <c r="J298" s="737"/>
      <c r="K298" s="737">
        <f>I298+J298</f>
        <v>8.82</v>
      </c>
      <c r="L298" s="3345">
        <f>ROUND(K298,1)</f>
        <v>8.8000000000000007</v>
      </c>
      <c r="M298" s="3346"/>
      <c r="N298" s="770"/>
      <c r="O298" s="770"/>
      <c r="P298" s="770"/>
      <c r="Q298" s="769"/>
      <c r="R298" s="769"/>
      <c r="S298" s="769"/>
      <c r="T298" s="769"/>
    </row>
    <row r="299" spans="1:20" s="731" customFormat="1" ht="13.5" customHeight="1">
      <c r="A299" s="998" t="s">
        <v>386</v>
      </c>
      <c r="B299" s="882" t="s">
        <v>387</v>
      </c>
      <c r="C299" s="997"/>
      <c r="D299" s="997"/>
      <c r="E299" s="997"/>
      <c r="F299" s="997"/>
      <c r="G299" s="3343" t="str">
        <f>G298</f>
        <v>Each Sqm</v>
      </c>
      <c r="H299" s="3344"/>
      <c r="I299" s="738">
        <f>K1223</f>
        <v>9.2000000000000011</v>
      </c>
      <c r="J299" s="737"/>
      <c r="K299" s="737">
        <f>I299+J299</f>
        <v>9.2000000000000011</v>
      </c>
      <c r="L299" s="3345">
        <f>ROUND(K299,1)</f>
        <v>9.1999999999999993</v>
      </c>
      <c r="M299" s="3346"/>
      <c r="N299" s="770"/>
      <c r="O299" s="770"/>
      <c r="P299" s="770"/>
      <c r="Q299" s="769"/>
      <c r="R299" s="769"/>
      <c r="S299" s="769"/>
      <c r="T299" s="769"/>
    </row>
    <row r="300" spans="1:20" s="731" customFormat="1" ht="13.5" customHeight="1">
      <c r="A300" s="992">
        <f>A297+1</f>
        <v>21</v>
      </c>
      <c r="B300" s="1002" t="s">
        <v>3229</v>
      </c>
      <c r="C300" s="997"/>
      <c r="D300" s="997"/>
      <c r="E300" s="997"/>
      <c r="F300" s="997"/>
      <c r="G300" s="3343" t="s">
        <v>390</v>
      </c>
      <c r="H300" s="3344"/>
      <c r="I300" s="738"/>
      <c r="J300" s="737"/>
      <c r="K300" s="737"/>
      <c r="L300" s="3345"/>
      <c r="M300" s="3346"/>
      <c r="N300" s="770"/>
      <c r="O300" s="770"/>
      <c r="P300" s="770"/>
      <c r="Q300" s="762"/>
      <c r="T300" s="762"/>
    </row>
    <row r="301" spans="1:20" s="731" customFormat="1" ht="13.5" customHeight="1">
      <c r="A301" s="998" t="s">
        <v>383</v>
      </c>
      <c r="B301" s="882" t="s">
        <v>384</v>
      </c>
      <c r="C301" s="997"/>
      <c r="D301" s="997"/>
      <c r="E301" s="997"/>
      <c r="F301" s="997"/>
      <c r="G301" s="3343" t="str">
        <f>G300</f>
        <v>Each Sqm</v>
      </c>
      <c r="H301" s="3344"/>
      <c r="I301" s="738">
        <f>K1233</f>
        <v>0.67</v>
      </c>
      <c r="J301" s="737"/>
      <c r="K301" s="737">
        <f>I301+J301</f>
        <v>0.67</v>
      </c>
      <c r="L301" s="3345">
        <f>ROUND(K301,1)</f>
        <v>0.7</v>
      </c>
      <c r="M301" s="3346"/>
      <c r="N301" s="770"/>
      <c r="O301" s="770"/>
      <c r="P301" s="770"/>
      <c r="Q301" s="769"/>
      <c r="R301" s="769"/>
      <c r="S301" s="769"/>
      <c r="T301" s="769"/>
    </row>
    <row r="302" spans="1:20" s="731" customFormat="1" ht="13.5" customHeight="1">
      <c r="A302" s="998" t="s">
        <v>386</v>
      </c>
      <c r="B302" s="882" t="s">
        <v>387</v>
      </c>
      <c r="C302" s="997"/>
      <c r="D302" s="997"/>
      <c r="E302" s="997"/>
      <c r="F302" s="997"/>
      <c r="G302" s="3343" t="str">
        <f>G301</f>
        <v>Each Sqm</v>
      </c>
      <c r="H302" s="3344"/>
      <c r="I302" s="738">
        <f>K1237</f>
        <v>0.70000000000000007</v>
      </c>
      <c r="J302" s="737"/>
      <c r="K302" s="737">
        <f>I302+J302</f>
        <v>0.70000000000000007</v>
      </c>
      <c r="L302" s="3345">
        <f>ROUND(K302,1)</f>
        <v>0.7</v>
      </c>
      <c r="M302" s="3346"/>
      <c r="N302" s="770"/>
      <c r="O302" s="770"/>
      <c r="P302" s="770"/>
      <c r="Q302" s="769"/>
      <c r="R302" s="769"/>
      <c r="S302" s="769"/>
      <c r="T302" s="769"/>
    </row>
    <row r="303" spans="1:20" s="731" customFormat="1" ht="13.5" customHeight="1">
      <c r="A303" s="992">
        <f>A300+1</f>
        <v>22</v>
      </c>
      <c r="B303" s="1002" t="s">
        <v>3230</v>
      </c>
      <c r="C303" s="997"/>
      <c r="D303" s="997"/>
      <c r="E303" s="997"/>
      <c r="F303" s="997"/>
      <c r="G303" s="3343" t="s">
        <v>390</v>
      </c>
      <c r="H303" s="3344"/>
      <c r="I303" s="738"/>
      <c r="J303" s="737"/>
      <c r="K303" s="737"/>
      <c r="L303" s="3345"/>
      <c r="M303" s="3346"/>
      <c r="N303" s="770"/>
      <c r="O303" s="770"/>
      <c r="P303" s="770"/>
      <c r="Q303" s="762"/>
      <c r="T303" s="762"/>
    </row>
    <row r="304" spans="1:20" s="731" customFormat="1" ht="13.5" customHeight="1">
      <c r="A304" s="998" t="s">
        <v>383</v>
      </c>
      <c r="B304" s="882" t="s">
        <v>384</v>
      </c>
      <c r="C304" s="997"/>
      <c r="D304" s="997"/>
      <c r="E304" s="997"/>
      <c r="F304" s="997"/>
      <c r="G304" s="3343" t="str">
        <f>G303</f>
        <v>Each Sqm</v>
      </c>
      <c r="H304" s="3344"/>
      <c r="I304" s="738">
        <f>K1251</f>
        <v>340.28</v>
      </c>
      <c r="J304" s="737"/>
      <c r="K304" s="737">
        <f>I304+J304</f>
        <v>340.28</v>
      </c>
      <c r="L304" s="3345">
        <f>ROUND(K304,1)</f>
        <v>340.3</v>
      </c>
      <c r="M304" s="3346"/>
      <c r="N304" s="770"/>
      <c r="O304" s="770"/>
      <c r="P304" s="770"/>
      <c r="Q304" s="769"/>
      <c r="R304" s="769"/>
      <c r="S304" s="769"/>
      <c r="T304" s="769"/>
    </row>
    <row r="305" spans="1:31" s="731" customFormat="1" ht="13.5" customHeight="1">
      <c r="A305" s="998" t="s">
        <v>386</v>
      </c>
      <c r="B305" s="882" t="s">
        <v>387</v>
      </c>
      <c r="C305" s="997"/>
      <c r="D305" s="997"/>
      <c r="E305" s="997"/>
      <c r="F305" s="997"/>
      <c r="G305" s="3343" t="str">
        <f>G304</f>
        <v>Each Sqm</v>
      </c>
      <c r="H305" s="3344"/>
      <c r="I305" s="738">
        <f>K1255</f>
        <v>353.42999999999995</v>
      </c>
      <c r="J305" s="737"/>
      <c r="K305" s="737">
        <f>I305+J305</f>
        <v>353.42999999999995</v>
      </c>
      <c r="L305" s="3345">
        <f>ROUND(K305,1)</f>
        <v>353.4</v>
      </c>
      <c r="M305" s="3346"/>
      <c r="N305" s="770"/>
      <c r="O305" s="770"/>
      <c r="P305" s="770"/>
      <c r="Q305" s="769"/>
      <c r="R305" s="769"/>
      <c r="S305" s="769"/>
      <c r="T305" s="769"/>
    </row>
    <row r="306" spans="1:31" s="731" customFormat="1" ht="13.5" customHeight="1">
      <c r="A306" s="1003" t="s">
        <v>410</v>
      </c>
      <c r="B306" s="837"/>
      <c r="C306" s="995"/>
      <c r="D306" s="995"/>
      <c r="E306" s="995"/>
      <c r="F306" s="995"/>
      <c r="G306" s="993"/>
      <c r="H306" s="1004"/>
      <c r="I306" s="838"/>
      <c r="J306" s="838"/>
      <c r="K306" s="728"/>
      <c r="L306" s="1005"/>
      <c r="M306" s="1006"/>
      <c r="N306" s="768"/>
      <c r="O306" s="768"/>
      <c r="P306" s="768"/>
      <c r="Q306" s="1007" t="str">
        <f>A306</f>
        <v>B) Foundation, Substructure, Superstructure (All Masonry work, All PCC/RCC work)</v>
      </c>
      <c r="R306" s="838"/>
      <c r="S306" s="838"/>
      <c r="T306" s="1008"/>
      <c r="U306" s="838"/>
      <c r="V306" s="838"/>
      <c r="W306" s="838"/>
      <c r="X306" s="838"/>
      <c r="Y306" s="838"/>
      <c r="Z306" s="838"/>
      <c r="AA306" s="838"/>
      <c r="AB306" s="838"/>
      <c r="AC306" s="838"/>
      <c r="AD306" s="838"/>
      <c r="AE306" s="753"/>
    </row>
    <row r="307" spans="1:31" s="733" customFormat="1" ht="13.5" customHeight="1">
      <c r="A307" s="1009">
        <f>A303+1</f>
        <v>23</v>
      </c>
      <c r="B307" s="1010" t="s">
        <v>3231</v>
      </c>
      <c r="C307" s="1011"/>
      <c r="D307" s="1011"/>
      <c r="E307" s="1011"/>
      <c r="F307" s="1011"/>
      <c r="G307" s="3351" t="s">
        <v>381</v>
      </c>
      <c r="H307" s="3352"/>
      <c r="I307" s="1012">
        <f>K1267</f>
        <v>95.790199999999999</v>
      </c>
      <c r="J307" s="1013"/>
      <c r="K307" s="1013">
        <f t="shared" ref="K307:K319" si="53">I307+J307</f>
        <v>95.790199999999999</v>
      </c>
      <c r="L307" s="3353">
        <f>ROUND(K307,1)</f>
        <v>95.8</v>
      </c>
      <c r="M307" s="3354"/>
      <c r="N307" s="1014"/>
      <c r="O307" s="1015" t="s">
        <v>3198</v>
      </c>
      <c r="P307" s="1014"/>
      <c r="Q307" s="1016"/>
      <c r="R307" s="1016"/>
      <c r="S307" s="1016"/>
      <c r="T307" s="1016"/>
    </row>
    <row r="308" spans="1:31" s="733" customFormat="1" ht="13.5" customHeight="1">
      <c r="A308" s="1009">
        <f>A307+1</f>
        <v>24</v>
      </c>
      <c r="B308" s="1010" t="str">
        <f>B307</f>
        <v>E/W in excavation of foundation trenches in hard soil including dressing of sides and levelling the bed complete as directed by the Engineer in charge.</v>
      </c>
      <c r="C308" s="1011"/>
      <c r="D308" s="1011"/>
      <c r="E308" s="1011"/>
      <c r="F308" s="1011"/>
      <c r="G308" s="3351" t="s">
        <v>381</v>
      </c>
      <c r="H308" s="3352"/>
      <c r="I308" s="1017"/>
      <c r="J308" s="1017"/>
      <c r="K308" s="1017"/>
      <c r="L308" s="1017"/>
      <c r="M308" s="1017"/>
      <c r="N308" s="1014"/>
      <c r="O308" s="1014"/>
      <c r="P308" s="1014"/>
      <c r="Q308" s="1016" t="s">
        <v>411</v>
      </c>
      <c r="R308" s="1016" t="s">
        <v>412</v>
      </c>
      <c r="S308" s="1016"/>
    </row>
    <row r="309" spans="1:31" s="733" customFormat="1" ht="13.5" customHeight="1">
      <c r="A309" s="1009" t="s">
        <v>413</v>
      </c>
      <c r="B309" s="1010" t="s">
        <v>414</v>
      </c>
      <c r="C309" s="1011"/>
      <c r="D309" s="1011"/>
      <c r="E309" s="1011"/>
      <c r="F309" s="1011"/>
      <c r="G309" s="3351" t="s">
        <v>381</v>
      </c>
      <c r="H309" s="3352"/>
      <c r="I309" s="1012">
        <f>K1275</f>
        <v>131.19</v>
      </c>
      <c r="J309" s="1013"/>
      <c r="K309" s="1013">
        <f>I309+J309</f>
        <v>131.19</v>
      </c>
      <c r="L309" s="3353">
        <f>ROUND(K309,2)</f>
        <v>131.19</v>
      </c>
      <c r="M309" s="3354"/>
      <c r="N309" s="1014"/>
      <c r="O309" s="1015" t="s">
        <v>3198</v>
      </c>
      <c r="P309" s="1014"/>
      <c r="Q309" s="1016"/>
      <c r="R309" s="1016"/>
      <c r="S309" s="1016"/>
    </row>
    <row r="310" spans="1:31" s="733" customFormat="1" ht="13.5" customHeight="1">
      <c r="A310" s="1009" t="s">
        <v>415</v>
      </c>
      <c r="B310" s="1010" t="s">
        <v>416</v>
      </c>
      <c r="C310" s="1011"/>
      <c r="D310" s="1011"/>
      <c r="E310" s="1011"/>
      <c r="F310" s="1011"/>
      <c r="G310" s="3351" t="s">
        <v>381</v>
      </c>
      <c r="H310" s="3352"/>
      <c r="I310" s="1012">
        <f>K1278</f>
        <v>157.43</v>
      </c>
      <c r="J310" s="1013"/>
      <c r="K310" s="1013">
        <f t="shared" si="53"/>
        <v>157.43</v>
      </c>
      <c r="L310" s="3353">
        <f>ROUND(K310,2)</f>
        <v>157.43</v>
      </c>
      <c r="M310" s="3354"/>
      <c r="N310" s="1014"/>
      <c r="O310" s="1015" t="s">
        <v>3198</v>
      </c>
      <c r="P310" s="1014"/>
      <c r="Q310" s="1016"/>
      <c r="R310" s="1016" t="s">
        <v>417</v>
      </c>
      <c r="S310" s="1016"/>
    </row>
    <row r="311" spans="1:31" s="733" customFormat="1" ht="13.5" customHeight="1">
      <c r="A311" s="996">
        <f>A308+1</f>
        <v>25</v>
      </c>
      <c r="B311" s="1010" t="s">
        <v>3232</v>
      </c>
      <c r="C311" s="1011"/>
      <c r="D311" s="1011"/>
      <c r="E311" s="1011"/>
      <c r="F311" s="1011"/>
      <c r="G311" s="3351" t="s">
        <v>381</v>
      </c>
      <c r="H311" s="3352"/>
      <c r="I311" s="1012">
        <f>K1288</f>
        <v>71.285799999999995</v>
      </c>
      <c r="J311" s="1013"/>
      <c r="K311" s="1013">
        <f t="shared" si="53"/>
        <v>71.285799999999995</v>
      </c>
      <c r="L311" s="3353">
        <f t="shared" ref="L311:L319" si="54">ROUND(K311,1)</f>
        <v>71.3</v>
      </c>
      <c r="M311" s="3354"/>
      <c r="N311" s="1014"/>
      <c r="O311" s="1015" t="s">
        <v>3197</v>
      </c>
      <c r="P311" s="1014"/>
      <c r="Q311" s="1016"/>
      <c r="R311" s="1016"/>
      <c r="S311" s="1016"/>
    </row>
    <row r="312" spans="1:31" s="733" customFormat="1" ht="13.5" customHeight="1">
      <c r="A312" s="996">
        <f>A311+1</f>
        <v>26</v>
      </c>
      <c r="B312" s="1010" t="str">
        <f>B311</f>
        <v>E/W in excavation of foundation trenches in ordinary soil including dressing of sides and levelling the bed complete as directed by the Engineer in charge.</v>
      </c>
      <c r="C312" s="1011"/>
      <c r="D312" s="1011"/>
      <c r="E312" s="1011"/>
      <c r="F312" s="1011"/>
      <c r="G312" s="3351" t="s">
        <v>381</v>
      </c>
      <c r="H312" s="3352"/>
      <c r="I312" s="1017"/>
      <c r="J312" s="1017"/>
      <c r="K312" s="1017"/>
      <c r="L312" s="1017"/>
      <c r="M312" s="1017"/>
      <c r="N312" s="1014"/>
      <c r="O312" s="1014"/>
      <c r="P312" s="1014"/>
      <c r="Q312" s="1016" t="s">
        <v>411</v>
      </c>
      <c r="R312" s="1016" t="s">
        <v>412</v>
      </c>
      <c r="S312" s="1016"/>
    </row>
    <row r="313" spans="1:31" s="733" customFormat="1" ht="13.5" customHeight="1">
      <c r="A313" s="1009" t="s">
        <v>413</v>
      </c>
      <c r="B313" s="1010" t="s">
        <v>414</v>
      </c>
      <c r="C313" s="1011"/>
      <c r="D313" s="1011"/>
      <c r="E313" s="1011"/>
      <c r="F313" s="1011"/>
      <c r="G313" s="3351" t="s">
        <v>381</v>
      </c>
      <c r="H313" s="3352"/>
      <c r="I313" s="1012">
        <f>K1296</f>
        <v>105.59</v>
      </c>
      <c r="J313" s="1013"/>
      <c r="K313" s="1013">
        <f>I313+J313</f>
        <v>105.59</v>
      </c>
      <c r="L313" s="3353">
        <f>ROUND(K313,1)</f>
        <v>105.6</v>
      </c>
      <c r="M313" s="3354"/>
      <c r="N313" s="1014"/>
      <c r="O313" s="1015" t="s">
        <v>3197</v>
      </c>
      <c r="P313" s="1014"/>
      <c r="Q313" s="1016"/>
      <c r="R313" s="1016"/>
      <c r="S313" s="1016"/>
    </row>
    <row r="314" spans="1:31" s="733" customFormat="1" ht="13.5" customHeight="1">
      <c r="A314" s="1009" t="s">
        <v>415</v>
      </c>
      <c r="B314" s="1010" t="s">
        <v>416</v>
      </c>
      <c r="C314" s="996"/>
      <c r="D314" s="996"/>
      <c r="E314" s="996"/>
      <c r="F314" s="1000"/>
      <c r="G314" s="3355" t="s">
        <v>381</v>
      </c>
      <c r="H314" s="3355"/>
      <c r="I314" s="1012">
        <f>K1299</f>
        <v>126.71000000000001</v>
      </c>
      <c r="J314" s="1013"/>
      <c r="K314" s="1013">
        <f t="shared" si="53"/>
        <v>126.71000000000001</v>
      </c>
      <c r="L314" s="3353">
        <f t="shared" si="54"/>
        <v>126.7</v>
      </c>
      <c r="M314" s="3354"/>
      <c r="N314" s="1014"/>
      <c r="O314" s="1015" t="s">
        <v>3197</v>
      </c>
      <c r="P314" s="1014"/>
      <c r="Q314" s="1016"/>
      <c r="R314" s="1016" t="s">
        <v>417</v>
      </c>
      <c r="S314" s="1016"/>
    </row>
    <row r="315" spans="1:31" s="733" customFormat="1" ht="13.5" customHeight="1">
      <c r="A315" s="713">
        <f>A312+1</f>
        <v>27</v>
      </c>
      <c r="B315" s="999" t="s">
        <v>3233</v>
      </c>
      <c r="C315" s="996"/>
      <c r="D315" s="996"/>
      <c r="E315" s="996"/>
      <c r="F315" s="1000"/>
      <c r="G315" s="3355" t="s">
        <v>381</v>
      </c>
      <c r="H315" s="3355"/>
      <c r="I315" s="1012">
        <f>K1309</f>
        <v>98.017900000000012</v>
      </c>
      <c r="J315" s="1013"/>
      <c r="K315" s="1013">
        <f t="shared" si="53"/>
        <v>98.017900000000012</v>
      </c>
      <c r="L315" s="3353">
        <f t="shared" si="54"/>
        <v>98</v>
      </c>
      <c r="M315" s="3354"/>
      <c r="N315" s="1014"/>
      <c r="O315" s="1019" t="s">
        <v>3201</v>
      </c>
      <c r="P315" s="1014"/>
      <c r="Q315" s="1016"/>
      <c r="R315" s="1016"/>
      <c r="S315" s="1016"/>
    </row>
    <row r="316" spans="1:31" s="733" customFormat="1" ht="13.5" customHeight="1">
      <c r="A316" s="713">
        <f>A315+1</f>
        <v>28</v>
      </c>
      <c r="B316" s="999" t="str">
        <f>B315</f>
        <v>E/W in excavation of foundation trenches in slushy  soil including dressing of sides and levelling the bed complete as directed by the Engineer in charge.</v>
      </c>
      <c r="C316" s="996"/>
      <c r="D316" s="996"/>
      <c r="E316" s="996"/>
      <c r="F316" s="1000"/>
      <c r="G316" s="3355" t="s">
        <v>381</v>
      </c>
      <c r="H316" s="3355"/>
      <c r="I316" s="1017"/>
      <c r="J316" s="1017"/>
      <c r="K316" s="1017"/>
      <c r="L316" s="1017"/>
      <c r="M316" s="1017"/>
      <c r="N316" s="1014"/>
      <c r="O316" s="1019"/>
      <c r="P316" s="1014"/>
      <c r="Q316" s="1016" t="s">
        <v>411</v>
      </c>
      <c r="R316" s="1016" t="s">
        <v>412</v>
      </c>
      <c r="S316" s="1016"/>
    </row>
    <row r="317" spans="1:31" s="733" customFormat="1" ht="13.5" customHeight="1">
      <c r="A317" s="1009" t="s">
        <v>413</v>
      </c>
      <c r="B317" s="1010" t="s">
        <v>414</v>
      </c>
      <c r="C317" s="996"/>
      <c r="D317" s="996"/>
      <c r="E317" s="996"/>
      <c r="F317" s="1000"/>
      <c r="G317" s="3355" t="s">
        <v>381</v>
      </c>
      <c r="H317" s="3355"/>
      <c r="I317" s="1012">
        <f>K1317</f>
        <v>139.59</v>
      </c>
      <c r="J317" s="1013"/>
      <c r="K317" s="1013">
        <f>I317+J317</f>
        <v>139.59</v>
      </c>
      <c r="L317" s="3353">
        <f>ROUND(K317,1)</f>
        <v>139.6</v>
      </c>
      <c r="M317" s="3354"/>
      <c r="N317" s="1014"/>
      <c r="O317" s="1019" t="s">
        <v>3201</v>
      </c>
      <c r="P317" s="1014"/>
      <c r="Q317" s="1016"/>
      <c r="R317" s="1016"/>
      <c r="S317" s="1016"/>
    </row>
    <row r="318" spans="1:31" s="733" customFormat="1" ht="13.5" customHeight="1">
      <c r="A318" s="1009" t="s">
        <v>415</v>
      </c>
      <c r="B318" s="1010" t="s">
        <v>416</v>
      </c>
      <c r="C318" s="996"/>
      <c r="D318" s="996"/>
      <c r="E318" s="996"/>
      <c r="F318" s="1000"/>
      <c r="G318" s="3355" t="s">
        <v>381</v>
      </c>
      <c r="H318" s="3355"/>
      <c r="I318" s="1012">
        <f>K1320</f>
        <v>167.51</v>
      </c>
      <c r="J318" s="1013"/>
      <c r="K318" s="1013">
        <f t="shared" si="53"/>
        <v>167.51</v>
      </c>
      <c r="L318" s="3353">
        <f t="shared" si="54"/>
        <v>167.5</v>
      </c>
      <c r="M318" s="3354"/>
      <c r="N318" s="1014"/>
      <c r="O318" s="1019" t="s">
        <v>3201</v>
      </c>
      <c r="P318" s="1014"/>
      <c r="Q318" s="1016"/>
      <c r="R318" s="1016" t="s">
        <v>417</v>
      </c>
      <c r="S318" s="1016"/>
    </row>
    <row r="319" spans="1:31" s="733" customFormat="1" ht="13.5" customHeight="1">
      <c r="A319" s="964">
        <f>A316+1</f>
        <v>29</v>
      </c>
      <c r="B319" s="713" t="s">
        <v>3234</v>
      </c>
      <c r="C319" s="996"/>
      <c r="D319" s="996"/>
      <c r="E319" s="996"/>
      <c r="F319" s="1000"/>
      <c r="G319" s="3355" t="s">
        <v>381</v>
      </c>
      <c r="H319" s="3355"/>
      <c r="I319" s="1012">
        <f>K1330</f>
        <v>149.38819999999998</v>
      </c>
      <c r="J319" s="1013"/>
      <c r="K319" s="1013">
        <f t="shared" si="53"/>
        <v>149.38819999999998</v>
      </c>
      <c r="L319" s="3353">
        <f t="shared" si="54"/>
        <v>149.4</v>
      </c>
      <c r="M319" s="3354"/>
      <c r="N319" s="1014"/>
      <c r="O319" s="1015" t="s">
        <v>3199</v>
      </c>
      <c r="P319" s="1014"/>
      <c r="Q319" s="1016"/>
      <c r="R319" s="1016"/>
      <c r="S319" s="1016"/>
    </row>
    <row r="320" spans="1:31" s="714" customFormat="1" ht="13.5" customHeight="1">
      <c r="A320" s="729">
        <f>A319+1</f>
        <v>30</v>
      </c>
      <c r="B320" s="713" t="str">
        <f>B319</f>
        <v>E/W in excavation of foundation trenches in stoney earth including dressing of sides and levelling the bed complete as directed by the Engineer in charge.</v>
      </c>
      <c r="C320" s="713"/>
      <c r="D320" s="713"/>
      <c r="E320" s="999"/>
      <c r="F320" s="1000"/>
      <c r="G320" s="3355" t="s">
        <v>381</v>
      </c>
      <c r="H320" s="3355"/>
      <c r="I320" s="1020"/>
      <c r="J320" s="1021"/>
      <c r="K320" s="1021"/>
      <c r="L320" s="1022"/>
      <c r="M320" s="1021"/>
      <c r="O320" s="1014"/>
      <c r="Q320" s="716" t="s">
        <v>411</v>
      </c>
      <c r="R320" s="716" t="s">
        <v>412</v>
      </c>
      <c r="T320" s="723"/>
      <c r="X320" s="714" t="s">
        <v>418</v>
      </c>
    </row>
    <row r="321" spans="1:20" s="714" customFormat="1" ht="13.5" customHeight="1">
      <c r="A321" s="1009" t="s">
        <v>413</v>
      </c>
      <c r="B321" s="1010" t="s">
        <v>414</v>
      </c>
      <c r="C321" s="996"/>
      <c r="D321" s="996"/>
      <c r="E321" s="996"/>
      <c r="F321" s="1000"/>
      <c r="G321" s="3355" t="s">
        <v>381</v>
      </c>
      <c r="H321" s="3355"/>
      <c r="I321" s="713">
        <f>K1338</f>
        <v>181.98</v>
      </c>
      <c r="J321" s="713"/>
      <c r="K321" s="713">
        <f>I321+J321</f>
        <v>181.98</v>
      </c>
      <c r="L321" s="3356">
        <f>ROUND(K321,1)</f>
        <v>182</v>
      </c>
      <c r="M321" s="3357"/>
      <c r="O321" s="1015" t="s">
        <v>3199</v>
      </c>
      <c r="Q321" s="716"/>
      <c r="R321" s="716"/>
      <c r="T321" s="723"/>
    </row>
    <row r="322" spans="1:20" s="733" customFormat="1" ht="13.5" customHeight="1">
      <c r="A322" s="1009" t="s">
        <v>415</v>
      </c>
      <c r="B322" s="1010" t="s">
        <v>416</v>
      </c>
      <c r="C322" s="996"/>
      <c r="D322" s="996"/>
      <c r="E322" s="996"/>
      <c r="F322" s="1000"/>
      <c r="G322" s="3355" t="s">
        <v>381</v>
      </c>
      <c r="H322" s="3355"/>
      <c r="I322" s="1012">
        <f>K1341</f>
        <v>218.38</v>
      </c>
      <c r="J322" s="1013"/>
      <c r="K322" s="1013">
        <f>I322+J322</f>
        <v>218.38</v>
      </c>
      <c r="L322" s="3358">
        <f>ROUND(K322,1)</f>
        <v>218.4</v>
      </c>
      <c r="M322" s="3359"/>
      <c r="N322" s="1014"/>
      <c r="O322" s="1015" t="s">
        <v>3199</v>
      </c>
      <c r="P322" s="1014"/>
      <c r="Q322" s="1016"/>
      <c r="R322" s="1016" t="s">
        <v>417</v>
      </c>
      <c r="S322" s="1016"/>
    </row>
    <row r="323" spans="1:20" s="733" customFormat="1" ht="13.5" customHeight="1">
      <c r="A323" s="964">
        <f>A320+1</f>
        <v>31</v>
      </c>
      <c r="B323" s="999" t="s">
        <v>3235</v>
      </c>
      <c r="C323" s="996"/>
      <c r="D323" s="996"/>
      <c r="E323" s="996"/>
      <c r="F323" s="1000"/>
      <c r="G323" s="3355" t="s">
        <v>381</v>
      </c>
      <c r="H323" s="3355"/>
      <c r="I323" s="1012">
        <f>K1349</f>
        <v>694.29</v>
      </c>
      <c r="J323" s="1013"/>
      <c r="K323" s="1013">
        <f>I323+J323</f>
        <v>694.29</v>
      </c>
      <c r="L323" s="3358">
        <f>ROUND(K323,1)</f>
        <v>694.3</v>
      </c>
      <c r="M323" s="3359"/>
      <c r="N323" s="1014"/>
      <c r="O323" s="1014"/>
      <c r="P323" s="1014"/>
      <c r="Q323" s="1016"/>
      <c r="R323" s="1016"/>
      <c r="S323" s="1016"/>
    </row>
    <row r="324" spans="1:20" s="733" customFormat="1" ht="13.5" customHeight="1">
      <c r="A324" s="964">
        <f>A323+1</f>
        <v>32</v>
      </c>
      <c r="B324" s="996" t="s">
        <v>3236</v>
      </c>
      <c r="C324" s="996"/>
      <c r="D324" s="996"/>
      <c r="E324" s="996"/>
      <c r="F324" s="1000"/>
      <c r="G324" s="3355" t="s">
        <v>381</v>
      </c>
      <c r="H324" s="3355"/>
      <c r="I324" s="1012">
        <f>K1359</f>
        <v>202.35</v>
      </c>
      <c r="J324" s="1013"/>
      <c r="K324" s="1013">
        <f>I324+J324</f>
        <v>202.35</v>
      </c>
      <c r="L324" s="3358">
        <f>ROUND(K324,1)</f>
        <v>202.4</v>
      </c>
      <c r="M324" s="3359"/>
      <c r="N324" s="1014"/>
      <c r="O324" s="716" t="s">
        <v>3200</v>
      </c>
      <c r="P324" s="1014"/>
      <c r="Q324" s="1016"/>
      <c r="R324" s="1016"/>
      <c r="S324" s="1016"/>
    </row>
    <row r="325" spans="1:20" s="733" customFormat="1" ht="13.5" customHeight="1">
      <c r="A325" s="964">
        <f>A324+1</f>
        <v>33</v>
      </c>
      <c r="B325" s="999" t="s">
        <v>3237</v>
      </c>
      <c r="C325" s="996"/>
      <c r="D325" s="996"/>
      <c r="E325" s="996"/>
      <c r="F325" s="1000"/>
      <c r="G325" s="3355" t="s">
        <v>381</v>
      </c>
      <c r="H325" s="3355"/>
      <c r="I325" s="1012">
        <f>K1370</f>
        <v>569.79510000000005</v>
      </c>
      <c r="J325" s="1013"/>
      <c r="K325" s="1013">
        <f>I325+J325</f>
        <v>569.79510000000005</v>
      </c>
      <c r="L325" s="3358">
        <f>ROUND(K325,1)</f>
        <v>569.79999999999995</v>
      </c>
      <c r="M325" s="3359"/>
      <c r="N325" s="1014"/>
      <c r="O325" s="716" t="s">
        <v>420</v>
      </c>
      <c r="P325" s="1014"/>
      <c r="Q325" s="1016" t="s">
        <v>419</v>
      </c>
      <c r="R325" s="716" t="s">
        <v>420</v>
      </c>
      <c r="S325" s="1016"/>
    </row>
    <row r="326" spans="1:20" s="731" customFormat="1" ht="13.5" customHeight="1">
      <c r="A326" s="992">
        <f>A325+1</f>
        <v>34</v>
      </c>
      <c r="B326" s="758" t="s">
        <v>3238</v>
      </c>
      <c r="C326" s="758"/>
      <c r="D326" s="758"/>
      <c r="E326" s="882"/>
      <c r="F326" s="1001"/>
      <c r="G326" s="3355" t="s">
        <v>381</v>
      </c>
      <c r="H326" s="3360"/>
      <c r="I326" s="730"/>
      <c r="J326" s="730"/>
      <c r="K326" s="730"/>
      <c r="L326" s="3259"/>
      <c r="M326" s="3362"/>
      <c r="N326" s="1023"/>
      <c r="O326" s="769"/>
      <c r="P326" s="1023"/>
      <c r="Q326" s="769"/>
      <c r="R326" s="769"/>
      <c r="S326" s="769"/>
    </row>
    <row r="327" spans="1:20" s="714" customFormat="1" ht="13.5" customHeight="1">
      <c r="A327" s="992"/>
      <c r="B327" s="713" t="s">
        <v>421</v>
      </c>
      <c r="C327" s="996"/>
      <c r="D327" s="996"/>
      <c r="E327" s="996"/>
      <c r="F327" s="996"/>
      <c r="G327" s="3355" t="s">
        <v>381</v>
      </c>
      <c r="H327" s="3360"/>
      <c r="I327" s="738">
        <f>K1389</f>
        <v>3349.4</v>
      </c>
      <c r="J327" s="737"/>
      <c r="K327" s="737">
        <f>I327+J327</f>
        <v>3349.4</v>
      </c>
      <c r="L327" s="3361">
        <f>ROUND(K327,1)</f>
        <v>3349.4</v>
      </c>
      <c r="M327" s="3362"/>
      <c r="O327" s="716" t="s">
        <v>422</v>
      </c>
      <c r="R327" s="716" t="s">
        <v>422</v>
      </c>
      <c r="T327" s="723"/>
    </row>
    <row r="328" spans="1:20" s="714" customFormat="1" ht="13.5" customHeight="1">
      <c r="A328" s="992"/>
      <c r="B328" s="713" t="s">
        <v>423</v>
      </c>
      <c r="C328" s="713"/>
      <c r="D328" s="713"/>
      <c r="E328" s="713"/>
      <c r="F328" s="999"/>
      <c r="G328" s="3360" t="s">
        <v>381</v>
      </c>
      <c r="H328" s="3360"/>
      <c r="I328" s="738">
        <f>K1393</f>
        <v>3558.9500000000003</v>
      </c>
      <c r="J328" s="737"/>
      <c r="K328" s="737">
        <f>I328+J328</f>
        <v>3558.9500000000003</v>
      </c>
      <c r="L328" s="3361">
        <f>ROUND(K328,1)</f>
        <v>3559</v>
      </c>
      <c r="M328" s="3362"/>
      <c r="O328" s="716" t="s">
        <v>424</v>
      </c>
      <c r="R328" s="716" t="s">
        <v>424</v>
      </c>
      <c r="T328" s="723"/>
    </row>
    <row r="329" spans="1:20" s="731" customFormat="1" ht="13.5" customHeight="1">
      <c r="A329" s="992">
        <f>A326+1</f>
        <v>35</v>
      </c>
      <c r="B329" s="758" t="s">
        <v>3239</v>
      </c>
      <c r="C329" s="758"/>
      <c r="D329" s="758"/>
      <c r="E329" s="758"/>
      <c r="F329" s="882"/>
      <c r="G329" s="3360" t="s">
        <v>381</v>
      </c>
      <c r="H329" s="3360"/>
      <c r="I329" s="730"/>
      <c r="J329" s="730"/>
      <c r="K329" s="730"/>
      <c r="L329" s="3259"/>
      <c r="M329" s="3362"/>
      <c r="N329" s="1023"/>
      <c r="O329" s="769"/>
      <c r="P329" s="1023"/>
      <c r="Q329" s="769"/>
      <c r="R329" s="769"/>
      <c r="S329" s="769"/>
    </row>
    <row r="330" spans="1:20" s="714" customFormat="1" ht="13.5" customHeight="1">
      <c r="A330" s="992"/>
      <c r="B330" s="999" t="s">
        <v>421</v>
      </c>
      <c r="C330" s="996"/>
      <c r="D330" s="996"/>
      <c r="E330" s="1000"/>
      <c r="F330" s="996"/>
      <c r="G330" s="3360" t="s">
        <v>381</v>
      </c>
      <c r="H330" s="3360"/>
      <c r="I330" s="738">
        <f>K1412</f>
        <v>3728.33</v>
      </c>
      <c r="J330" s="737"/>
      <c r="K330" s="1024">
        <f>I330+J330</f>
        <v>3728.33</v>
      </c>
      <c r="L330" s="3361">
        <f>ROUND(K330,1)</f>
        <v>3728.3</v>
      </c>
      <c r="M330" s="3362"/>
      <c r="O330" s="716" t="s">
        <v>425</v>
      </c>
      <c r="R330" s="716" t="s">
        <v>425</v>
      </c>
      <c r="T330" s="723"/>
    </row>
    <row r="331" spans="1:20" s="714" customFormat="1" ht="13.5" customHeight="1">
      <c r="A331" s="992"/>
      <c r="B331" s="996" t="s">
        <v>423</v>
      </c>
      <c r="C331" s="996"/>
      <c r="D331" s="996"/>
      <c r="E331" s="1000"/>
      <c r="F331" s="996"/>
      <c r="G331" s="3360" t="s">
        <v>381</v>
      </c>
      <c r="H331" s="3360"/>
      <c r="I331" s="738">
        <f>K1416</f>
        <v>3937.88</v>
      </c>
      <c r="J331" s="737"/>
      <c r="K331" s="1024">
        <f>I331+J331</f>
        <v>3937.88</v>
      </c>
      <c r="L331" s="3361">
        <f>ROUND(K331,1)</f>
        <v>3937.9</v>
      </c>
      <c r="M331" s="3362"/>
      <c r="O331" s="716" t="s">
        <v>426</v>
      </c>
      <c r="R331" s="716" t="s">
        <v>426</v>
      </c>
      <c r="T331" s="723"/>
    </row>
    <row r="332" spans="1:20" s="714" customFormat="1" ht="13.5" customHeight="1">
      <c r="A332" s="992">
        <f>A329+1</f>
        <v>36</v>
      </c>
      <c r="B332" s="999" t="s">
        <v>3240</v>
      </c>
      <c r="C332" s="996"/>
      <c r="D332" s="996"/>
      <c r="E332" s="1000"/>
      <c r="F332" s="1000"/>
      <c r="G332" s="3360"/>
      <c r="H332" s="3360"/>
      <c r="I332" s="713"/>
      <c r="J332" s="713"/>
      <c r="K332" s="999"/>
      <c r="L332" s="3363"/>
      <c r="M332" s="3362"/>
      <c r="O332" s="716"/>
      <c r="R332" s="716"/>
      <c r="T332" s="723"/>
    </row>
    <row r="333" spans="1:20" s="714" customFormat="1" ht="13.5" customHeight="1">
      <c r="A333" s="992"/>
      <c r="B333" s="996" t="s">
        <v>421</v>
      </c>
      <c r="C333" s="996"/>
      <c r="D333" s="996"/>
      <c r="E333" s="1000"/>
      <c r="F333" s="996"/>
      <c r="G333" s="3364"/>
      <c r="H333" s="3365"/>
      <c r="I333" s="713"/>
      <c r="J333" s="713"/>
      <c r="K333" s="999"/>
      <c r="L333" s="3355"/>
      <c r="M333" s="3362"/>
      <c r="O333" s="716" t="s">
        <v>427</v>
      </c>
      <c r="R333" s="716" t="s">
        <v>427</v>
      </c>
      <c r="T333" s="723"/>
    </row>
    <row r="334" spans="1:20" s="731" customFormat="1" ht="13.5" customHeight="1">
      <c r="A334" s="998" t="s">
        <v>383</v>
      </c>
      <c r="B334" s="882" t="s">
        <v>384</v>
      </c>
      <c r="C334" s="997"/>
      <c r="D334" s="997"/>
      <c r="E334" s="1001"/>
      <c r="F334" s="1001"/>
      <c r="G334" s="3360" t="s">
        <v>381</v>
      </c>
      <c r="H334" s="3360"/>
      <c r="I334" s="738">
        <f>K1436</f>
        <v>4803.6899999999996</v>
      </c>
      <c r="J334" s="737"/>
      <c r="K334" s="1024">
        <f>I334+J334</f>
        <v>4803.6899999999996</v>
      </c>
      <c r="L334" s="3361">
        <f>ROUND(K334,1)</f>
        <v>4803.7</v>
      </c>
      <c r="M334" s="3362"/>
      <c r="N334" s="1025"/>
      <c r="O334" s="769"/>
      <c r="P334" s="1025"/>
      <c r="Q334" s="769"/>
      <c r="R334" s="769"/>
      <c r="S334" s="769"/>
    </row>
    <row r="335" spans="1:20" s="731" customFormat="1" ht="13.5" customHeight="1">
      <c r="A335" s="998" t="s">
        <v>386</v>
      </c>
      <c r="B335" s="882" t="s">
        <v>387</v>
      </c>
      <c r="C335" s="997"/>
      <c r="D335" s="997"/>
      <c r="E335" s="997"/>
      <c r="F335" s="997"/>
      <c r="G335" s="3360" t="s">
        <v>381</v>
      </c>
      <c r="H335" s="3360"/>
      <c r="I335" s="738">
        <f>K1440</f>
        <v>4956.2299999999996</v>
      </c>
      <c r="J335" s="737"/>
      <c r="K335" s="1024">
        <f>I335+J335</f>
        <v>4956.2299999999996</v>
      </c>
      <c r="L335" s="3361">
        <f>ROUND(K335,1)</f>
        <v>4956.2</v>
      </c>
      <c r="M335" s="3362"/>
      <c r="N335" s="1025"/>
      <c r="O335" s="769"/>
      <c r="P335" s="1025"/>
      <c r="Q335" s="769"/>
      <c r="R335" s="769"/>
      <c r="S335" s="769"/>
    </row>
    <row r="336" spans="1:20" s="714" customFormat="1" ht="13.5" customHeight="1">
      <c r="A336" s="964"/>
      <c r="B336" s="996" t="s">
        <v>423</v>
      </c>
      <c r="C336" s="996"/>
      <c r="D336" s="996"/>
      <c r="E336" s="996"/>
      <c r="F336" s="996"/>
      <c r="G336" s="999"/>
      <c r="H336" s="996"/>
      <c r="I336" s="738"/>
      <c r="J336" s="737"/>
      <c r="K336" s="1024"/>
      <c r="L336" s="3355"/>
      <c r="M336" s="3362"/>
      <c r="O336" s="716" t="s">
        <v>428</v>
      </c>
      <c r="R336" s="716" t="s">
        <v>428</v>
      </c>
      <c r="T336" s="723"/>
    </row>
    <row r="337" spans="1:20" s="731" customFormat="1" ht="13.5" customHeight="1">
      <c r="A337" s="734" t="s">
        <v>383</v>
      </c>
      <c r="B337" s="997" t="s">
        <v>384</v>
      </c>
      <c r="C337" s="997"/>
      <c r="D337" s="997"/>
      <c r="E337" s="997"/>
      <c r="F337" s="997"/>
      <c r="G337" s="3343" t="s">
        <v>381</v>
      </c>
      <c r="H337" s="3344"/>
      <c r="I337" s="738">
        <f>K1446</f>
        <v>5097.99</v>
      </c>
      <c r="J337" s="737"/>
      <c r="K337" s="737">
        <f>I337+J337</f>
        <v>5097.99</v>
      </c>
      <c r="L337" s="3361">
        <f>ROUND(K337,1)</f>
        <v>5098</v>
      </c>
      <c r="M337" s="3362"/>
      <c r="N337" s="1025"/>
      <c r="O337" s="1025"/>
      <c r="P337" s="1025"/>
      <c r="Q337" s="769"/>
      <c r="R337" s="769"/>
      <c r="S337" s="769"/>
    </row>
    <row r="338" spans="1:20" s="731" customFormat="1" ht="13.5" customHeight="1">
      <c r="A338" s="734" t="s">
        <v>386</v>
      </c>
      <c r="B338" s="997" t="s">
        <v>387</v>
      </c>
      <c r="C338" s="997"/>
      <c r="D338" s="997"/>
      <c r="E338" s="997"/>
      <c r="F338" s="997"/>
      <c r="G338" s="3343" t="s">
        <v>381</v>
      </c>
      <c r="H338" s="3344"/>
      <c r="I338" s="738">
        <f>K1450</f>
        <v>5250.53</v>
      </c>
      <c r="J338" s="737"/>
      <c r="K338" s="737">
        <f>I338+J338</f>
        <v>5250.53</v>
      </c>
      <c r="L338" s="3361">
        <f>ROUND(K338,1)</f>
        <v>5250.5</v>
      </c>
      <c r="M338" s="3362"/>
      <c r="N338" s="1025"/>
      <c r="O338" s="1025"/>
      <c r="P338" s="1025"/>
      <c r="Q338" s="769"/>
      <c r="R338" s="769"/>
      <c r="S338" s="769"/>
    </row>
    <row r="339" spans="1:20" s="731" customFormat="1" ht="13.5" customHeight="1">
      <c r="A339" s="728">
        <f>A332+1</f>
        <v>37</v>
      </c>
      <c r="B339" s="995" t="s">
        <v>3241</v>
      </c>
      <c r="C339" s="997"/>
      <c r="D339" s="997"/>
      <c r="E339" s="997"/>
      <c r="F339" s="997"/>
      <c r="G339" s="3343" t="s">
        <v>381</v>
      </c>
      <c r="H339" s="3344"/>
      <c r="I339" s="738"/>
      <c r="J339" s="737"/>
      <c r="K339" s="737"/>
      <c r="L339" s="3361"/>
      <c r="M339" s="3362"/>
      <c r="N339" s="1025"/>
      <c r="O339" s="1025"/>
      <c r="P339" s="1025"/>
      <c r="Q339" s="769"/>
      <c r="R339" s="769"/>
      <c r="S339" s="769"/>
    </row>
    <row r="340" spans="1:20" s="731" customFormat="1" ht="13.5" customHeight="1">
      <c r="A340" s="734" t="s">
        <v>383</v>
      </c>
      <c r="B340" s="997" t="s">
        <v>429</v>
      </c>
      <c r="C340" s="997"/>
      <c r="D340" s="997"/>
      <c r="E340" s="997"/>
      <c r="F340" s="997"/>
      <c r="G340" s="3343" t="str">
        <f>G339</f>
        <v>Each Cum</v>
      </c>
      <c r="H340" s="3344"/>
      <c r="I340" s="738">
        <f>K1470</f>
        <v>4354.29</v>
      </c>
      <c r="J340" s="737"/>
      <c r="K340" s="737">
        <f>I340+J340</f>
        <v>4354.29</v>
      </c>
      <c r="L340" s="3361">
        <f t="shared" ref="L340:L346" si="55">ROUND(K340,1)</f>
        <v>4354.3</v>
      </c>
      <c r="M340" s="3362"/>
      <c r="N340" s="1025"/>
      <c r="O340" s="1025"/>
      <c r="P340" s="1025"/>
      <c r="Q340" s="769"/>
      <c r="R340" s="769"/>
      <c r="S340" s="769"/>
    </row>
    <row r="341" spans="1:20" s="714" customFormat="1" ht="13.5" customHeight="1">
      <c r="A341" s="964" t="s">
        <v>386</v>
      </c>
      <c r="B341" s="996" t="s">
        <v>430</v>
      </c>
      <c r="C341" s="996"/>
      <c r="D341" s="996"/>
      <c r="E341" s="996"/>
      <c r="F341" s="996"/>
      <c r="G341" s="3343" t="str">
        <f>G339</f>
        <v>Each Cum</v>
      </c>
      <c r="H341" s="3344"/>
      <c r="I341" s="738">
        <f>K1474</f>
        <v>4387.29</v>
      </c>
      <c r="J341" s="737"/>
      <c r="K341" s="737">
        <f>I341+J341</f>
        <v>4387.29</v>
      </c>
      <c r="L341" s="3361">
        <f t="shared" si="55"/>
        <v>4387.3</v>
      </c>
      <c r="M341" s="3362"/>
      <c r="O341" s="716" t="s">
        <v>431</v>
      </c>
      <c r="R341" s="716" t="s">
        <v>431</v>
      </c>
      <c r="T341" s="723"/>
    </row>
    <row r="342" spans="1:20" s="731" customFormat="1" ht="13.5" customHeight="1">
      <c r="A342" s="734" t="s">
        <v>432</v>
      </c>
      <c r="B342" s="997" t="s">
        <v>433</v>
      </c>
      <c r="C342" s="997"/>
      <c r="D342" s="997"/>
      <c r="E342" s="997"/>
      <c r="F342" s="997"/>
      <c r="G342" s="3343" t="str">
        <f>G341</f>
        <v>Each Cum</v>
      </c>
      <c r="H342" s="3344"/>
      <c r="I342" s="738">
        <f>K1478</f>
        <v>4524.6499999999996</v>
      </c>
      <c r="J342" s="737"/>
      <c r="K342" s="737">
        <f>I342+J342</f>
        <v>4524.6499999999996</v>
      </c>
      <c r="L342" s="3361">
        <f t="shared" si="55"/>
        <v>4524.7</v>
      </c>
      <c r="M342" s="3362"/>
      <c r="N342" s="1025"/>
      <c r="O342" s="769"/>
      <c r="P342" s="1025"/>
      <c r="Q342" s="769"/>
      <c r="R342" s="769"/>
      <c r="S342" s="769"/>
    </row>
    <row r="343" spans="1:20" s="731" customFormat="1" ht="13.5" customHeight="1">
      <c r="A343" s="728">
        <f>A339+1</f>
        <v>38</v>
      </c>
      <c r="B343" s="995" t="s">
        <v>3242</v>
      </c>
      <c r="C343" s="997"/>
      <c r="D343" s="997"/>
      <c r="E343" s="997"/>
      <c r="F343" s="997"/>
      <c r="G343" s="3343" t="s">
        <v>381</v>
      </c>
      <c r="H343" s="3344"/>
      <c r="I343" s="738"/>
      <c r="J343" s="737"/>
      <c r="K343" s="737"/>
      <c r="L343" s="3361"/>
      <c r="M343" s="3362"/>
      <c r="N343" s="1025"/>
      <c r="O343" s="769"/>
      <c r="P343" s="1025"/>
      <c r="Q343" s="769"/>
      <c r="R343" s="769"/>
      <c r="S343" s="769"/>
    </row>
    <row r="344" spans="1:20" s="714" customFormat="1" ht="13.5" customHeight="1">
      <c r="A344" s="964" t="s">
        <v>383</v>
      </c>
      <c r="B344" s="996" t="s">
        <v>429</v>
      </c>
      <c r="C344" s="996"/>
      <c r="D344" s="996"/>
      <c r="E344" s="996"/>
      <c r="F344" s="996"/>
      <c r="G344" s="3343" t="str">
        <f>G343</f>
        <v>Each Cum</v>
      </c>
      <c r="H344" s="3344"/>
      <c r="I344" s="738">
        <f>K1498</f>
        <v>4136.24</v>
      </c>
      <c r="J344" s="737"/>
      <c r="K344" s="737">
        <f>I344+J344</f>
        <v>4136.24</v>
      </c>
      <c r="L344" s="3361">
        <f t="shared" si="55"/>
        <v>4136.2</v>
      </c>
      <c r="M344" s="3368"/>
      <c r="O344" s="716" t="s">
        <v>434</v>
      </c>
      <c r="R344" s="716" t="s">
        <v>434</v>
      </c>
      <c r="T344" s="723"/>
    </row>
    <row r="345" spans="1:20" s="714" customFormat="1" ht="13.5" customHeight="1">
      <c r="A345" s="964" t="s">
        <v>386</v>
      </c>
      <c r="B345" s="996" t="s">
        <v>430</v>
      </c>
      <c r="C345" s="996"/>
      <c r="D345" s="996"/>
      <c r="E345" s="996"/>
      <c r="F345" s="996"/>
      <c r="G345" s="3343" t="str">
        <f>G343</f>
        <v>Each Cum</v>
      </c>
      <c r="H345" s="3344"/>
      <c r="I345" s="738">
        <f>K1502</f>
        <v>4169.24</v>
      </c>
      <c r="J345" s="737"/>
      <c r="K345" s="737">
        <f>I345+J345</f>
        <v>4169.24</v>
      </c>
      <c r="L345" s="3345">
        <f t="shared" si="55"/>
        <v>4169.2</v>
      </c>
      <c r="M345" s="3346"/>
      <c r="O345" s="716" t="s">
        <v>435</v>
      </c>
      <c r="R345" s="716" t="s">
        <v>435</v>
      </c>
      <c r="T345" s="723"/>
    </row>
    <row r="346" spans="1:20" s="731" customFormat="1" ht="13.5" customHeight="1">
      <c r="A346" s="734" t="s">
        <v>432</v>
      </c>
      <c r="B346" s="997" t="s">
        <v>433</v>
      </c>
      <c r="C346" s="997"/>
      <c r="D346" s="997"/>
      <c r="E346" s="997"/>
      <c r="F346" s="997"/>
      <c r="G346" s="3343" t="str">
        <f>G345</f>
        <v>Each Cum</v>
      </c>
      <c r="H346" s="3344"/>
      <c r="I346" s="738">
        <f>K1506</f>
        <v>4306.5999999999995</v>
      </c>
      <c r="J346" s="737"/>
      <c r="K346" s="737">
        <f>I346+J346</f>
        <v>4306.5999999999995</v>
      </c>
      <c r="L346" s="3345">
        <f t="shared" si="55"/>
        <v>4306.6000000000004</v>
      </c>
      <c r="M346" s="3346"/>
      <c r="N346" s="1025"/>
      <c r="O346" s="769"/>
      <c r="P346" s="1025"/>
      <c r="Q346" s="769"/>
      <c r="R346" s="769"/>
      <c r="S346" s="769"/>
    </row>
    <row r="347" spans="1:20" s="731" customFormat="1" ht="13.5" customHeight="1">
      <c r="A347" s="728">
        <f>A343+1</f>
        <v>39</v>
      </c>
      <c r="B347" s="995" t="s">
        <v>3243</v>
      </c>
      <c r="C347" s="997"/>
      <c r="D347" s="997"/>
      <c r="E347" s="997"/>
      <c r="F347" s="997"/>
      <c r="G347" s="3343" t="s">
        <v>381</v>
      </c>
      <c r="H347" s="3344"/>
      <c r="I347" s="738"/>
      <c r="J347" s="737"/>
      <c r="K347" s="737"/>
      <c r="L347" s="3345"/>
      <c r="M347" s="3346"/>
      <c r="N347" s="1025"/>
      <c r="O347" s="769"/>
      <c r="P347" s="1025"/>
      <c r="Q347" s="769"/>
      <c r="R347" s="769"/>
      <c r="S347" s="769"/>
    </row>
    <row r="348" spans="1:20" s="714" customFormat="1" ht="13.5" customHeight="1">
      <c r="A348" s="964" t="s">
        <v>383</v>
      </c>
      <c r="B348" s="996" t="s">
        <v>429</v>
      </c>
      <c r="C348" s="997"/>
      <c r="D348" s="997"/>
      <c r="E348" s="997"/>
      <c r="F348" s="997"/>
      <c r="G348" s="3343" t="str">
        <f>G347</f>
        <v>Each Cum</v>
      </c>
      <c r="H348" s="3344"/>
      <c r="I348" s="738">
        <f>K1526</f>
        <v>3447.66</v>
      </c>
      <c r="J348" s="737"/>
      <c r="K348" s="737">
        <f>I348+J348</f>
        <v>3447.66</v>
      </c>
      <c r="L348" s="3345">
        <f>ROUND(K348,1)</f>
        <v>3447.7</v>
      </c>
      <c r="M348" s="3346"/>
      <c r="O348" s="716" t="s">
        <v>436</v>
      </c>
      <c r="R348" s="716" t="s">
        <v>436</v>
      </c>
      <c r="T348" s="723"/>
    </row>
    <row r="349" spans="1:20" s="714" customFormat="1" ht="13.5" customHeight="1">
      <c r="A349" s="964" t="s">
        <v>386</v>
      </c>
      <c r="B349" s="996" t="s">
        <v>430</v>
      </c>
      <c r="C349" s="996"/>
      <c r="D349" s="996"/>
      <c r="E349" s="996"/>
      <c r="F349" s="996"/>
      <c r="G349" s="3360" t="str">
        <f>G347</f>
        <v>Each Cum</v>
      </c>
      <c r="H349" s="3360"/>
      <c r="I349" s="738">
        <f>K1530</f>
        <v>3480.66</v>
      </c>
      <c r="J349" s="737"/>
      <c r="K349" s="737">
        <f>I349+J349</f>
        <v>3480.66</v>
      </c>
      <c r="L349" s="3345">
        <f>ROUND(K349,1)</f>
        <v>3480.7</v>
      </c>
      <c r="M349" s="3346"/>
      <c r="O349" s="716" t="s">
        <v>437</v>
      </c>
      <c r="R349" s="716" t="s">
        <v>437</v>
      </c>
      <c r="T349" s="723"/>
    </row>
    <row r="350" spans="1:20" s="731" customFormat="1" ht="13.5" customHeight="1">
      <c r="A350" s="734" t="s">
        <v>432</v>
      </c>
      <c r="B350" s="997" t="s">
        <v>433</v>
      </c>
      <c r="C350" s="997"/>
      <c r="D350" s="997"/>
      <c r="E350" s="997"/>
      <c r="F350" s="997"/>
      <c r="G350" s="3360" t="str">
        <f>G349</f>
        <v>Each Cum</v>
      </c>
      <c r="H350" s="3360"/>
      <c r="I350" s="738">
        <f>K1534</f>
        <v>3618.02</v>
      </c>
      <c r="J350" s="737"/>
      <c r="K350" s="737">
        <f>I350+J350</f>
        <v>3618.02</v>
      </c>
      <c r="L350" s="3345">
        <f>ROUND(K350,1)</f>
        <v>3618</v>
      </c>
      <c r="M350" s="3346"/>
      <c r="N350" s="1025"/>
      <c r="O350" s="769"/>
      <c r="P350" s="1025"/>
      <c r="Q350" s="769"/>
      <c r="R350" s="769"/>
      <c r="S350" s="769"/>
    </row>
    <row r="351" spans="1:20" s="731" customFormat="1" ht="13.5" customHeight="1">
      <c r="A351" s="964">
        <f>A347+1</f>
        <v>40</v>
      </c>
      <c r="B351" s="1026" t="s">
        <v>3244</v>
      </c>
      <c r="C351" s="713"/>
      <c r="D351" s="713"/>
      <c r="E351" s="713"/>
      <c r="F351" s="996"/>
      <c r="G351" s="3355" t="s">
        <v>381</v>
      </c>
      <c r="H351" s="3355"/>
      <c r="I351" s="713"/>
      <c r="J351" s="713"/>
      <c r="K351" s="713"/>
      <c r="L351" s="3366"/>
      <c r="M351" s="3367"/>
      <c r="N351" s="1025"/>
      <c r="O351" s="769"/>
      <c r="P351" s="1025"/>
      <c r="Q351" s="769"/>
      <c r="R351" s="769"/>
      <c r="S351" s="769"/>
    </row>
    <row r="352" spans="1:20" s="714" customFormat="1" ht="13.5" customHeight="1">
      <c r="A352" s="964" t="s">
        <v>383</v>
      </c>
      <c r="B352" s="996" t="s">
        <v>429</v>
      </c>
      <c r="C352" s="999"/>
      <c r="D352" s="996"/>
      <c r="E352" s="996"/>
      <c r="F352" s="1000"/>
      <c r="G352" s="3369" t="str">
        <f>G351</f>
        <v>Each Cum</v>
      </c>
      <c r="H352" s="3355"/>
      <c r="I352" s="713">
        <f>K1554</f>
        <v>3665.71</v>
      </c>
      <c r="J352" s="713"/>
      <c r="K352" s="713">
        <f>I352+J352</f>
        <v>3665.71</v>
      </c>
      <c r="L352" s="3356">
        <f>ROUND(K352,1)</f>
        <v>3665.7</v>
      </c>
      <c r="M352" s="3357"/>
      <c r="O352" s="716" t="s">
        <v>436</v>
      </c>
      <c r="R352" s="716" t="s">
        <v>436</v>
      </c>
      <c r="T352" s="723"/>
    </row>
    <row r="353" spans="1:20" s="714" customFormat="1" ht="13.5" customHeight="1">
      <c r="A353" s="964" t="s">
        <v>386</v>
      </c>
      <c r="B353" s="996" t="s">
        <v>430</v>
      </c>
      <c r="C353" s="999"/>
      <c r="D353" s="996"/>
      <c r="E353" s="996"/>
      <c r="F353" s="1000"/>
      <c r="G353" s="3369" t="str">
        <f>G351</f>
        <v>Each Cum</v>
      </c>
      <c r="H353" s="3355"/>
      <c r="I353" s="713">
        <f>K1558</f>
        <v>3698.71</v>
      </c>
      <c r="J353" s="713"/>
      <c r="K353" s="713">
        <f>I353+J353</f>
        <v>3698.71</v>
      </c>
      <c r="L353" s="3356">
        <f>ROUND(K353,1)</f>
        <v>3698.7</v>
      </c>
      <c r="M353" s="3357"/>
      <c r="O353" s="716" t="s">
        <v>437</v>
      </c>
      <c r="R353" s="716" t="s">
        <v>437</v>
      </c>
      <c r="T353" s="723"/>
    </row>
    <row r="354" spans="1:20" s="731" customFormat="1" ht="13.5" customHeight="1">
      <c r="A354" s="964" t="s">
        <v>432</v>
      </c>
      <c r="B354" s="996" t="s">
        <v>433</v>
      </c>
      <c r="C354" s="999"/>
      <c r="D354" s="996"/>
      <c r="E354" s="996"/>
      <c r="F354" s="1000"/>
      <c r="G354" s="3369" t="str">
        <f>G353</f>
        <v>Each Cum</v>
      </c>
      <c r="H354" s="3355"/>
      <c r="I354" s="713">
        <f>K1562</f>
        <v>3836.07</v>
      </c>
      <c r="J354" s="713"/>
      <c r="K354" s="713">
        <f>I354+J354</f>
        <v>3836.07</v>
      </c>
      <c r="L354" s="3356">
        <f>ROUND(K354,1)</f>
        <v>3836.1</v>
      </c>
      <c r="M354" s="3357"/>
      <c r="N354" s="1025"/>
      <c r="O354" s="769"/>
      <c r="P354" s="1025"/>
      <c r="Q354" s="769"/>
      <c r="R354" s="769"/>
      <c r="S354" s="769"/>
    </row>
    <row r="355" spans="1:20" s="714" customFormat="1" ht="13.5" customHeight="1">
      <c r="A355" s="728">
        <f>A351+1</f>
        <v>41</v>
      </c>
      <c r="B355" s="996" t="s">
        <v>1596</v>
      </c>
      <c r="C355" s="996"/>
      <c r="D355" s="996"/>
      <c r="E355" s="1000"/>
      <c r="F355" s="996"/>
      <c r="G355" s="3360" t="s">
        <v>381</v>
      </c>
      <c r="H355" s="3360"/>
      <c r="I355" s="738"/>
      <c r="J355" s="737"/>
      <c r="K355" s="737"/>
      <c r="L355" s="3361"/>
      <c r="M355" s="3368"/>
      <c r="O355" s="716"/>
      <c r="Q355" s="716" t="s">
        <v>438</v>
      </c>
      <c r="R355" s="716"/>
      <c r="T355" s="723"/>
    </row>
    <row r="356" spans="1:20" s="714" customFormat="1" ht="13.5" customHeight="1">
      <c r="A356" s="964" t="s">
        <v>383</v>
      </c>
      <c r="B356" s="996" t="s">
        <v>429</v>
      </c>
      <c r="C356" s="999"/>
      <c r="D356" s="996"/>
      <c r="E356" s="996"/>
      <c r="F356" s="1000"/>
      <c r="G356" s="3344" t="str">
        <f>G355</f>
        <v>Each Cum</v>
      </c>
      <c r="H356" s="3360"/>
      <c r="I356" s="738">
        <f>K1582</f>
        <v>3901.1</v>
      </c>
      <c r="J356" s="737"/>
      <c r="K356" s="737">
        <f>I356+J356</f>
        <v>3901.1</v>
      </c>
      <c r="L356" s="3345">
        <f>ROUND(K356,1)</f>
        <v>3901.1</v>
      </c>
      <c r="M356" s="3346"/>
      <c r="O356" s="716" t="s">
        <v>439</v>
      </c>
      <c r="R356" s="716" t="s">
        <v>439</v>
      </c>
      <c r="T356" s="723"/>
    </row>
    <row r="357" spans="1:20" s="714" customFormat="1" ht="13.5" customHeight="1">
      <c r="A357" s="964" t="s">
        <v>386</v>
      </c>
      <c r="B357" s="996" t="s">
        <v>430</v>
      </c>
      <c r="C357" s="996"/>
      <c r="D357" s="996"/>
      <c r="E357" s="996"/>
      <c r="F357" s="996"/>
      <c r="G357" s="3344" t="str">
        <f>G355</f>
        <v>Each Cum</v>
      </c>
      <c r="H357" s="3360"/>
      <c r="I357" s="738">
        <f>K1586</f>
        <v>3934.1</v>
      </c>
      <c r="J357" s="737"/>
      <c r="K357" s="737">
        <f>I357+J357</f>
        <v>3934.1</v>
      </c>
      <c r="L357" s="3345">
        <f>ROUND(K357,1)</f>
        <v>3934.1</v>
      </c>
      <c r="M357" s="3346"/>
      <c r="O357" s="716" t="s">
        <v>440</v>
      </c>
      <c r="R357" s="716" t="s">
        <v>440</v>
      </c>
      <c r="T357" s="723"/>
    </row>
    <row r="358" spans="1:20" s="731" customFormat="1" ht="13.5" customHeight="1">
      <c r="A358" s="964" t="s">
        <v>432</v>
      </c>
      <c r="B358" s="997" t="s">
        <v>433</v>
      </c>
      <c r="C358" s="882"/>
      <c r="D358" s="997"/>
      <c r="E358" s="997"/>
      <c r="F358" s="1001"/>
      <c r="G358" s="3344" t="str">
        <f>G357</f>
        <v>Each Cum</v>
      </c>
      <c r="H358" s="3360"/>
      <c r="I358" s="738">
        <f>K1590</f>
        <v>4071.46</v>
      </c>
      <c r="J358" s="737"/>
      <c r="K358" s="737">
        <f>I358+J358</f>
        <v>4071.46</v>
      </c>
      <c r="L358" s="3345">
        <f>ROUND(K358,1)</f>
        <v>4071.5</v>
      </c>
      <c r="M358" s="3346"/>
      <c r="N358" s="1025"/>
      <c r="O358" s="769"/>
      <c r="P358" s="1025"/>
      <c r="Q358" s="769"/>
      <c r="R358" s="769"/>
      <c r="S358" s="769"/>
    </row>
    <row r="359" spans="1:20" s="714" customFormat="1" ht="13.5" customHeight="1">
      <c r="A359" s="728">
        <f>A355+1</f>
        <v>42</v>
      </c>
      <c r="B359" s="995" t="s">
        <v>3245</v>
      </c>
      <c r="C359" s="996"/>
      <c r="D359" s="996"/>
      <c r="E359" s="996"/>
      <c r="F359" s="996"/>
      <c r="G359" s="3343" t="s">
        <v>381</v>
      </c>
      <c r="H359" s="3344"/>
      <c r="I359" s="738"/>
      <c r="J359" s="737"/>
      <c r="K359" s="737"/>
      <c r="L359" s="3345"/>
      <c r="M359" s="3346"/>
      <c r="O359" s="716"/>
      <c r="R359" s="716"/>
      <c r="T359" s="723"/>
    </row>
    <row r="360" spans="1:20" s="714" customFormat="1" ht="13.5" customHeight="1">
      <c r="A360" s="964" t="s">
        <v>383</v>
      </c>
      <c r="B360" s="996" t="s">
        <v>429</v>
      </c>
      <c r="C360" s="996"/>
      <c r="D360" s="996"/>
      <c r="E360" s="1000"/>
      <c r="F360" s="996"/>
      <c r="G360" s="3343" t="str">
        <f>G359</f>
        <v>Each Cum</v>
      </c>
      <c r="H360" s="3344"/>
      <c r="I360" s="738">
        <f>K1612</f>
        <v>3327.8799999999997</v>
      </c>
      <c r="J360" s="737"/>
      <c r="K360" s="737">
        <f t="shared" ref="K360:K369" si="56">I360+J360</f>
        <v>3327.8799999999997</v>
      </c>
      <c r="L360" s="3345">
        <f t="shared" ref="L360:L369" si="57">ROUND(K360,1)</f>
        <v>3327.9</v>
      </c>
      <c r="M360" s="3346"/>
      <c r="O360" s="716" t="s">
        <v>441</v>
      </c>
      <c r="R360" s="716" t="s">
        <v>441</v>
      </c>
      <c r="T360" s="723"/>
    </row>
    <row r="361" spans="1:20" s="731" customFormat="1" ht="13.5" customHeight="1">
      <c r="A361" s="964" t="s">
        <v>386</v>
      </c>
      <c r="B361" s="1001" t="s">
        <v>430</v>
      </c>
      <c r="C361" s="997"/>
      <c r="D361" s="997"/>
      <c r="E361" s="1001"/>
      <c r="F361" s="997"/>
      <c r="G361" s="3343" t="str">
        <f>G359</f>
        <v>Each Cum</v>
      </c>
      <c r="H361" s="3344"/>
      <c r="I361" s="738">
        <f>K1617</f>
        <v>3369.7799999999997</v>
      </c>
      <c r="J361" s="737"/>
      <c r="K361" s="737">
        <f t="shared" si="56"/>
        <v>3369.7799999999997</v>
      </c>
      <c r="L361" s="3345">
        <f t="shared" si="57"/>
        <v>3369.8</v>
      </c>
      <c r="M361" s="3346"/>
      <c r="N361" s="1025"/>
      <c r="O361" s="1025"/>
      <c r="P361" s="1025"/>
      <c r="Q361" s="769"/>
      <c r="R361" s="769"/>
      <c r="S361" s="769"/>
      <c r="T361" s="769"/>
    </row>
    <row r="362" spans="1:20" s="731" customFormat="1" ht="13.5" customHeight="1">
      <c r="A362" s="964" t="s">
        <v>432</v>
      </c>
      <c r="B362" s="1001" t="s">
        <v>442</v>
      </c>
      <c r="C362" s="997"/>
      <c r="D362" s="997"/>
      <c r="E362" s="1001"/>
      <c r="F362" s="997"/>
      <c r="G362" s="3343" t="str">
        <f>G360</f>
        <v>Each Cum</v>
      </c>
      <c r="H362" s="3344"/>
      <c r="I362" s="738">
        <f>K1622</f>
        <v>3594</v>
      </c>
      <c r="J362" s="737"/>
      <c r="K362" s="737">
        <f>I362+J362</f>
        <v>3594</v>
      </c>
      <c r="L362" s="3345">
        <f>ROUND(K362,1)</f>
        <v>3594</v>
      </c>
      <c r="M362" s="3346"/>
      <c r="N362" s="1025"/>
      <c r="O362" s="1025"/>
      <c r="P362" s="1025"/>
      <c r="Q362" s="769"/>
      <c r="R362" s="769"/>
      <c r="S362" s="769"/>
      <c r="T362" s="769"/>
    </row>
    <row r="363" spans="1:20" s="731" customFormat="1" ht="13.5" customHeight="1">
      <c r="A363" s="964" t="s">
        <v>443</v>
      </c>
      <c r="B363" s="1001" t="s">
        <v>444</v>
      </c>
      <c r="C363" s="997"/>
      <c r="D363" s="997"/>
      <c r="E363" s="1001"/>
      <c r="F363" s="997"/>
      <c r="G363" s="3343" t="str">
        <f>G361</f>
        <v>Each Cum</v>
      </c>
      <c r="H363" s="3344"/>
      <c r="I363" s="738">
        <f>K1626</f>
        <v>3399.5799999999995</v>
      </c>
      <c r="J363" s="737"/>
      <c r="K363" s="737">
        <f>I363+J363</f>
        <v>3399.5799999999995</v>
      </c>
      <c r="L363" s="3345">
        <f>ROUND(K363,1)</f>
        <v>3399.6</v>
      </c>
      <c r="M363" s="3346"/>
      <c r="N363" s="1025"/>
      <c r="O363" s="1025"/>
      <c r="P363" s="1025"/>
      <c r="Q363" s="769"/>
      <c r="R363" s="769"/>
      <c r="S363" s="769"/>
      <c r="T363" s="769"/>
    </row>
    <row r="364" spans="1:20" s="731" customFormat="1" ht="13.5" customHeight="1">
      <c r="A364" s="964" t="s">
        <v>445</v>
      </c>
      <c r="B364" s="1001" t="s">
        <v>446</v>
      </c>
      <c r="C364" s="997"/>
      <c r="D364" s="997"/>
      <c r="E364" s="1001"/>
      <c r="F364" s="997"/>
      <c r="G364" s="3343" t="str">
        <f>G362</f>
        <v>Each Cum</v>
      </c>
      <c r="H364" s="3344"/>
      <c r="I364" s="738">
        <f>K1630</f>
        <v>3623.7799999999993</v>
      </c>
      <c r="J364" s="737"/>
      <c r="K364" s="737">
        <f>I364+J364</f>
        <v>3623.7799999999993</v>
      </c>
      <c r="L364" s="3345">
        <f>ROUND(K364,1)</f>
        <v>3623.8</v>
      </c>
      <c r="M364" s="3346"/>
      <c r="N364" s="1025"/>
      <c r="O364" s="1025"/>
      <c r="P364" s="1025"/>
      <c r="Q364" s="769"/>
      <c r="R364" s="769"/>
      <c r="S364" s="769"/>
      <c r="T364" s="769"/>
    </row>
    <row r="365" spans="1:20" s="731" customFormat="1" ht="13.5" customHeight="1">
      <c r="A365" s="964" t="s">
        <v>447</v>
      </c>
      <c r="B365" s="1001" t="s">
        <v>448</v>
      </c>
      <c r="C365" s="997"/>
      <c r="D365" s="997"/>
      <c r="E365" s="1001"/>
      <c r="F365" s="997"/>
      <c r="G365" s="3343" t="str">
        <f>G363</f>
        <v>Each Cum</v>
      </c>
      <c r="H365" s="3344"/>
      <c r="I365" s="738">
        <f>K1634</f>
        <v>3698.5099999999993</v>
      </c>
      <c r="J365" s="737"/>
      <c r="K365" s="737">
        <f>I365+J365</f>
        <v>3698.5099999999993</v>
      </c>
      <c r="L365" s="3345">
        <f>ROUND(K365,1)</f>
        <v>3698.5</v>
      </c>
      <c r="M365" s="3346"/>
      <c r="N365" s="1025"/>
      <c r="O365" s="1025"/>
      <c r="P365" s="1025"/>
      <c r="Q365" s="769"/>
      <c r="R365" s="769"/>
      <c r="S365" s="769"/>
      <c r="T365" s="769"/>
    </row>
    <row r="366" spans="1:20" s="731" customFormat="1" ht="13.5" customHeight="1">
      <c r="A366" s="1027">
        <f>A359+1</f>
        <v>43</v>
      </c>
      <c r="B366" s="837" t="s">
        <v>3246</v>
      </c>
      <c r="C366" s="997"/>
      <c r="D366" s="997"/>
      <c r="E366" s="1001"/>
      <c r="F366" s="997"/>
      <c r="G366" s="3343" t="s">
        <v>381</v>
      </c>
      <c r="H366" s="3344"/>
      <c r="I366" s="738">
        <f>K1654</f>
        <v>2783.1600000000003</v>
      </c>
      <c r="J366" s="737"/>
      <c r="K366" s="737">
        <f t="shared" si="56"/>
        <v>2783.1600000000003</v>
      </c>
      <c r="L366" s="3345">
        <f t="shared" si="57"/>
        <v>2783.2</v>
      </c>
      <c r="M366" s="3346"/>
      <c r="N366" s="1025"/>
      <c r="O366" s="1025"/>
      <c r="P366" s="1025"/>
      <c r="Q366" s="769"/>
      <c r="R366" s="769"/>
      <c r="S366" s="769"/>
      <c r="T366" s="769"/>
    </row>
    <row r="367" spans="1:20" s="731" customFormat="1" ht="13.5" customHeight="1">
      <c r="A367" s="1027">
        <f>A366+1</f>
        <v>44</v>
      </c>
      <c r="B367" s="837" t="s">
        <v>3247</v>
      </c>
      <c r="C367" s="997"/>
      <c r="D367" s="997"/>
      <c r="E367" s="1001"/>
      <c r="F367" s="997"/>
      <c r="G367" s="3343" t="s">
        <v>381</v>
      </c>
      <c r="H367" s="3344"/>
      <c r="I367" s="738">
        <f>K1674</f>
        <v>2516.91</v>
      </c>
      <c r="J367" s="737"/>
      <c r="K367" s="737">
        <f t="shared" si="56"/>
        <v>2516.91</v>
      </c>
      <c r="L367" s="3345">
        <f t="shared" si="57"/>
        <v>2516.9</v>
      </c>
      <c r="M367" s="3346"/>
      <c r="N367" s="1025"/>
      <c r="O367" s="1028" t="s">
        <v>601</v>
      </c>
      <c r="P367" s="1025"/>
      <c r="Q367" s="769"/>
      <c r="R367" s="769"/>
      <c r="S367" s="769"/>
      <c r="T367" s="769"/>
    </row>
    <row r="368" spans="1:20" s="714" customFormat="1" ht="13.5" customHeight="1">
      <c r="A368" s="1027">
        <f>A367+1</f>
        <v>45</v>
      </c>
      <c r="B368" s="999" t="s">
        <v>3248</v>
      </c>
      <c r="C368" s="997"/>
      <c r="D368" s="997"/>
      <c r="E368" s="1001"/>
      <c r="F368" s="997"/>
      <c r="G368" s="3343" t="s">
        <v>390</v>
      </c>
      <c r="H368" s="3344"/>
      <c r="I368" s="738">
        <f>K1692</f>
        <v>194.76</v>
      </c>
      <c r="J368" s="737"/>
      <c r="K368" s="737">
        <f t="shared" si="56"/>
        <v>194.76</v>
      </c>
      <c r="L368" s="3345">
        <f t="shared" si="57"/>
        <v>194.8</v>
      </c>
      <c r="M368" s="3346"/>
      <c r="O368" s="716" t="s">
        <v>449</v>
      </c>
      <c r="R368" s="716" t="s">
        <v>449</v>
      </c>
      <c r="T368" s="723"/>
    </row>
    <row r="369" spans="1:20" s="714" customFormat="1" ht="13.5" customHeight="1">
      <c r="A369" s="1027">
        <f>A368+1</f>
        <v>46</v>
      </c>
      <c r="B369" s="837" t="s">
        <v>3249</v>
      </c>
      <c r="C369" s="997"/>
      <c r="D369" s="997"/>
      <c r="E369" s="1001"/>
      <c r="F369" s="997"/>
      <c r="G369" s="3343" t="s">
        <v>381</v>
      </c>
      <c r="H369" s="3344"/>
      <c r="I369" s="738">
        <f>K1694</f>
        <v>53.22</v>
      </c>
      <c r="J369" s="737"/>
      <c r="K369" s="737">
        <f t="shared" si="56"/>
        <v>53.22</v>
      </c>
      <c r="L369" s="3345">
        <f t="shared" si="57"/>
        <v>53.2</v>
      </c>
      <c r="M369" s="3346"/>
      <c r="O369" s="716" t="s">
        <v>450</v>
      </c>
      <c r="R369" s="716" t="s">
        <v>450</v>
      </c>
      <c r="T369" s="723"/>
    </row>
    <row r="370" spans="1:20" s="714" customFormat="1" ht="13.5" customHeight="1">
      <c r="A370" s="1027">
        <f>A369+1</f>
        <v>47</v>
      </c>
      <c r="B370" s="837" t="s">
        <v>3250</v>
      </c>
      <c r="C370" s="997"/>
      <c r="D370" s="997"/>
      <c r="E370" s="1001"/>
      <c r="F370" s="997"/>
      <c r="G370" s="3343" t="s">
        <v>381</v>
      </c>
      <c r="H370" s="3344"/>
      <c r="I370" s="738"/>
      <c r="J370" s="737"/>
      <c r="K370" s="737"/>
      <c r="L370" s="3345"/>
      <c r="M370" s="3346"/>
      <c r="O370" s="716"/>
      <c r="R370" s="716"/>
      <c r="T370" s="723"/>
    </row>
    <row r="371" spans="1:20" s="714" customFormat="1" ht="13.5" customHeight="1">
      <c r="A371" s="964" t="s">
        <v>383</v>
      </c>
      <c r="B371" s="999" t="s">
        <v>384</v>
      </c>
      <c r="C371" s="997"/>
      <c r="D371" s="997"/>
      <c r="E371" s="1001"/>
      <c r="F371" s="997"/>
      <c r="G371" s="3343" t="s">
        <v>381</v>
      </c>
      <c r="H371" s="3344"/>
      <c r="I371" s="738">
        <f>K1723</f>
        <v>4891.7</v>
      </c>
      <c r="J371" s="737"/>
      <c r="K371" s="737">
        <f>I371+J371</f>
        <v>4891.7</v>
      </c>
      <c r="L371" s="3345">
        <f>ROUND(K371,1)</f>
        <v>4891.7</v>
      </c>
      <c r="M371" s="3346"/>
      <c r="O371" s="716" t="s">
        <v>451</v>
      </c>
      <c r="R371" s="716" t="s">
        <v>451</v>
      </c>
      <c r="T371" s="723"/>
    </row>
    <row r="372" spans="1:20" s="714" customFormat="1" ht="13.5" customHeight="1">
      <c r="A372" s="964" t="s">
        <v>386</v>
      </c>
      <c r="B372" s="999" t="s">
        <v>387</v>
      </c>
      <c r="C372" s="997"/>
      <c r="D372" s="997"/>
      <c r="E372" s="1001"/>
      <c r="F372" s="997"/>
      <c r="G372" s="3343" t="s">
        <v>381</v>
      </c>
      <c r="H372" s="3344"/>
      <c r="I372" s="738">
        <f>K1727</f>
        <v>4934.17</v>
      </c>
      <c r="J372" s="737"/>
      <c r="K372" s="737">
        <f>I372+J372</f>
        <v>4934.17</v>
      </c>
      <c r="L372" s="3345">
        <f>ROUND(K372,1)</f>
        <v>4934.2</v>
      </c>
      <c r="M372" s="3346"/>
      <c r="O372" s="716" t="s">
        <v>452</v>
      </c>
      <c r="R372" s="716" t="s">
        <v>452</v>
      </c>
      <c r="T372" s="723"/>
    </row>
    <row r="373" spans="1:20" s="714" customFormat="1" ht="13.5" customHeight="1">
      <c r="A373" s="992">
        <f>A370+1</f>
        <v>48</v>
      </c>
      <c r="B373" s="837" t="s">
        <v>3251</v>
      </c>
      <c r="C373" s="997"/>
      <c r="D373" s="997"/>
      <c r="E373" s="1001"/>
      <c r="F373" s="997"/>
      <c r="G373" s="3343" t="s">
        <v>381</v>
      </c>
      <c r="H373" s="3344"/>
      <c r="I373" s="738"/>
      <c r="J373" s="737"/>
      <c r="K373" s="737"/>
      <c r="L373" s="3345"/>
      <c r="M373" s="3346"/>
      <c r="O373" s="716"/>
      <c r="R373" s="716"/>
      <c r="T373" s="723"/>
    </row>
    <row r="374" spans="1:20" s="714" customFormat="1" ht="13.5" customHeight="1">
      <c r="A374" s="964" t="s">
        <v>383</v>
      </c>
      <c r="B374" s="999" t="s">
        <v>384</v>
      </c>
      <c r="C374" s="997"/>
      <c r="D374" s="997"/>
      <c r="E374" s="1001"/>
      <c r="F374" s="997"/>
      <c r="G374" s="3343" t="s">
        <v>381</v>
      </c>
      <c r="H374" s="3344"/>
      <c r="I374" s="738">
        <f>K1756</f>
        <v>4444.09</v>
      </c>
      <c r="J374" s="737"/>
      <c r="K374" s="737">
        <f>I374+J374</f>
        <v>4444.09</v>
      </c>
      <c r="L374" s="3345">
        <f>ROUND(K374,1)</f>
        <v>4444.1000000000004</v>
      </c>
      <c r="M374" s="3346"/>
      <c r="O374" s="716" t="s">
        <v>453</v>
      </c>
      <c r="R374" s="716" t="s">
        <v>453</v>
      </c>
      <c r="T374" s="723"/>
    </row>
    <row r="375" spans="1:20" s="714" customFormat="1" ht="13.5" customHeight="1">
      <c r="A375" s="964" t="s">
        <v>386</v>
      </c>
      <c r="B375" s="999" t="s">
        <v>387</v>
      </c>
      <c r="C375" s="997"/>
      <c r="D375" s="997"/>
      <c r="E375" s="1001"/>
      <c r="F375" s="997"/>
      <c r="G375" s="3343" t="s">
        <v>381</v>
      </c>
      <c r="H375" s="3344"/>
      <c r="I375" s="738">
        <f>K1761</f>
        <v>4486.5700000000006</v>
      </c>
      <c r="J375" s="737"/>
      <c r="K375" s="737">
        <f>I375+J375</f>
        <v>4486.5700000000006</v>
      </c>
      <c r="L375" s="3345">
        <f>ROUND(K375,1)</f>
        <v>4486.6000000000004</v>
      </c>
      <c r="M375" s="3346"/>
      <c r="O375" s="716" t="s">
        <v>454</v>
      </c>
      <c r="R375" s="716" t="s">
        <v>454</v>
      </c>
      <c r="T375" s="723"/>
    </row>
    <row r="376" spans="1:20" s="731" customFormat="1" ht="13.5" customHeight="1">
      <c r="A376" s="992">
        <f>A373+1</f>
        <v>49</v>
      </c>
      <c r="B376" s="837" t="s">
        <v>3252</v>
      </c>
      <c r="C376" s="997"/>
      <c r="D376" s="997"/>
      <c r="E376" s="1001"/>
      <c r="F376" s="997"/>
      <c r="G376" s="3343" t="s">
        <v>381</v>
      </c>
      <c r="H376" s="3344"/>
      <c r="I376" s="738"/>
      <c r="J376" s="737"/>
      <c r="K376" s="737"/>
      <c r="L376" s="3345"/>
      <c r="M376" s="3346"/>
      <c r="N376" s="1025"/>
      <c r="O376" s="762"/>
      <c r="P376" s="1025"/>
      <c r="R376" s="762"/>
    </row>
    <row r="377" spans="1:20" s="731" customFormat="1" ht="13.5" customHeight="1">
      <c r="A377" s="964" t="s">
        <v>383</v>
      </c>
      <c r="B377" s="882" t="s">
        <v>384</v>
      </c>
      <c r="C377" s="997"/>
      <c r="D377" s="997"/>
      <c r="E377" s="1001"/>
      <c r="F377" s="997"/>
      <c r="G377" s="3343" t="s">
        <v>381</v>
      </c>
      <c r="H377" s="3344"/>
      <c r="I377" s="738">
        <f>K1790</f>
        <v>4891.6640000000007</v>
      </c>
      <c r="J377" s="737"/>
      <c r="K377" s="737">
        <f>I377+J377</f>
        <v>4891.6640000000007</v>
      </c>
      <c r="L377" s="3345">
        <f>ROUND(K377,1)</f>
        <v>4891.7</v>
      </c>
      <c r="M377" s="3346"/>
      <c r="N377" s="1025"/>
      <c r="O377" s="762"/>
      <c r="P377" s="1025"/>
      <c r="R377" s="762"/>
    </row>
    <row r="378" spans="1:20" s="731" customFormat="1" ht="13.5" customHeight="1">
      <c r="A378" s="964" t="s">
        <v>386</v>
      </c>
      <c r="B378" s="882" t="s">
        <v>387</v>
      </c>
      <c r="C378" s="997"/>
      <c r="D378" s="997"/>
      <c r="E378" s="1001"/>
      <c r="F378" s="997"/>
      <c r="G378" s="3343" t="s">
        <v>381</v>
      </c>
      <c r="H378" s="3344"/>
      <c r="I378" s="738">
        <f>K1795</f>
        <v>4934.1340000000009</v>
      </c>
      <c r="J378" s="737"/>
      <c r="K378" s="737">
        <f>I378+J378</f>
        <v>4934.1340000000009</v>
      </c>
      <c r="L378" s="3345">
        <f>ROUND(K378,1)</f>
        <v>4934.1000000000004</v>
      </c>
      <c r="M378" s="3346"/>
      <c r="N378" s="1025"/>
      <c r="O378" s="762"/>
      <c r="P378" s="1025"/>
      <c r="R378" s="762"/>
    </row>
    <row r="379" spans="1:20" s="714" customFormat="1" ht="13.5" customHeight="1">
      <c r="A379" s="992">
        <f>A376+1</f>
        <v>50</v>
      </c>
      <c r="B379" s="837" t="s">
        <v>3253</v>
      </c>
      <c r="C379" s="997"/>
      <c r="D379" s="997"/>
      <c r="E379" s="1001"/>
      <c r="F379" s="997"/>
      <c r="G379" s="3343" t="s">
        <v>381</v>
      </c>
      <c r="H379" s="3344"/>
      <c r="I379" s="738"/>
      <c r="J379" s="737"/>
      <c r="K379" s="737"/>
      <c r="L379" s="3361"/>
      <c r="M379" s="3367"/>
      <c r="O379" s="716" t="s">
        <v>455</v>
      </c>
      <c r="R379" s="716" t="s">
        <v>455</v>
      </c>
      <c r="T379" s="723"/>
    </row>
    <row r="380" spans="1:20" s="731" customFormat="1" ht="13.5" customHeight="1">
      <c r="A380" s="964" t="s">
        <v>383</v>
      </c>
      <c r="B380" s="882" t="s">
        <v>384</v>
      </c>
      <c r="C380" s="997"/>
      <c r="D380" s="997"/>
      <c r="E380" s="1001"/>
      <c r="F380" s="997"/>
      <c r="G380" s="3343" t="s">
        <v>381</v>
      </c>
      <c r="H380" s="3344"/>
      <c r="I380" s="738">
        <f>K1819</f>
        <v>5802.67</v>
      </c>
      <c r="J380" s="737"/>
      <c r="K380" s="737">
        <f>I380+J380</f>
        <v>5802.67</v>
      </c>
      <c r="L380" s="3361">
        <f>ROUND(K380,1)</f>
        <v>5802.7</v>
      </c>
      <c r="M380" s="3362"/>
      <c r="N380" s="1025"/>
      <c r="O380" s="762"/>
      <c r="P380" s="1025"/>
      <c r="R380" s="762"/>
    </row>
    <row r="381" spans="1:20" s="731" customFormat="1" ht="13.5" customHeight="1">
      <c r="A381" s="964" t="s">
        <v>386</v>
      </c>
      <c r="B381" s="882" t="s">
        <v>387</v>
      </c>
      <c r="C381" s="997"/>
      <c r="D381" s="997"/>
      <c r="E381" s="1001"/>
      <c r="F381" s="997"/>
      <c r="G381" s="3343" t="s">
        <v>381</v>
      </c>
      <c r="H381" s="3344"/>
      <c r="I381" s="738">
        <f>K1824</f>
        <v>5955.24</v>
      </c>
      <c r="J381" s="737"/>
      <c r="K381" s="737">
        <f>I381+J381</f>
        <v>5955.24</v>
      </c>
      <c r="L381" s="3361">
        <f>ROUND(K381,1)</f>
        <v>5955.2</v>
      </c>
      <c r="M381" s="3362"/>
      <c r="N381" s="1025"/>
      <c r="O381" s="762"/>
      <c r="P381" s="1025"/>
      <c r="R381" s="762"/>
    </row>
    <row r="382" spans="1:20" s="714" customFormat="1" ht="13.5" customHeight="1">
      <c r="A382" s="728">
        <f>A379+1</f>
        <v>51</v>
      </c>
      <c r="B382" s="999" t="s">
        <v>456</v>
      </c>
      <c r="C382" s="996"/>
      <c r="D382" s="996"/>
      <c r="E382" s="1000"/>
      <c r="F382" s="996"/>
      <c r="G382" s="3343" t="s">
        <v>390</v>
      </c>
      <c r="H382" s="3344"/>
      <c r="I382" s="738"/>
      <c r="J382" s="737"/>
      <c r="K382" s="737"/>
      <c r="L382" s="3361"/>
      <c r="M382" s="3363"/>
      <c r="O382" s="716" t="s">
        <v>457</v>
      </c>
      <c r="R382" s="716" t="s">
        <v>457</v>
      </c>
      <c r="T382" s="723"/>
    </row>
    <row r="383" spans="1:20" s="731" customFormat="1" ht="13.5" customHeight="1">
      <c r="A383" s="728" t="s">
        <v>458</v>
      </c>
      <c r="B383" s="837" t="str">
        <f>B1828</f>
        <v>RCC foundation and plinth bend bases of columns  mass concrete precast slab.</v>
      </c>
      <c r="C383" s="997"/>
      <c r="D383" s="997"/>
      <c r="E383" s="1001"/>
      <c r="F383" s="997"/>
      <c r="G383" s="3343"/>
      <c r="H383" s="3344"/>
      <c r="I383" s="738"/>
      <c r="J383" s="737"/>
      <c r="K383" s="737"/>
      <c r="L383" s="3369"/>
      <c r="M383" s="3367"/>
      <c r="N383" s="1025"/>
      <c r="O383" s="716" t="s">
        <v>457</v>
      </c>
      <c r="P383" s="1025"/>
      <c r="T383" s="762"/>
    </row>
    <row r="384" spans="1:20" s="731" customFormat="1" ht="13.5" customHeight="1">
      <c r="A384" s="964" t="s">
        <v>383</v>
      </c>
      <c r="B384" s="882" t="s">
        <v>384</v>
      </c>
      <c r="C384" s="997"/>
      <c r="D384" s="997"/>
      <c r="E384" s="1001"/>
      <c r="F384" s="997"/>
      <c r="G384" s="3343" t="s">
        <v>390</v>
      </c>
      <c r="H384" s="3344"/>
      <c r="I384" s="738">
        <f>K1844</f>
        <v>204.99</v>
      </c>
      <c r="J384" s="737"/>
      <c r="K384" s="737">
        <f>I384+J384</f>
        <v>204.99</v>
      </c>
      <c r="L384" s="3361">
        <f>ROUND(K384,1)</f>
        <v>205</v>
      </c>
      <c r="M384" s="3367"/>
      <c r="N384" s="1025"/>
      <c r="O384" s="1025"/>
      <c r="P384" s="1025"/>
      <c r="T384" s="762"/>
    </row>
    <row r="385" spans="1:20" s="731" customFormat="1" ht="13.5" customHeight="1">
      <c r="A385" s="964" t="s">
        <v>386</v>
      </c>
      <c r="B385" s="882" t="s">
        <v>387</v>
      </c>
      <c r="C385" s="997"/>
      <c r="D385" s="997"/>
      <c r="E385" s="1001"/>
      <c r="F385" s="997"/>
      <c r="G385" s="3343" t="s">
        <v>390</v>
      </c>
      <c r="H385" s="3344"/>
      <c r="I385" s="738">
        <f>K1849</f>
        <v>246</v>
      </c>
      <c r="J385" s="737"/>
      <c r="K385" s="737">
        <f>I385+J385</f>
        <v>246</v>
      </c>
      <c r="L385" s="3361">
        <f>ROUND(K385,1)</f>
        <v>246</v>
      </c>
      <c r="M385" s="3367"/>
      <c r="N385" s="1025"/>
      <c r="O385" s="1025"/>
      <c r="P385" s="1025"/>
      <c r="T385" s="762"/>
    </row>
    <row r="386" spans="1:20" s="731" customFormat="1" ht="13.5" customHeight="1">
      <c r="A386" s="728" t="s">
        <v>459</v>
      </c>
      <c r="B386" s="837" t="str">
        <f>B1851</f>
        <v>RCC floor &amp; roof slab,landing,balconies, projecting sunshade &amp; chajja upto 4.3m ht.</v>
      </c>
      <c r="C386" s="997"/>
      <c r="D386" s="997"/>
      <c r="E386" s="1001"/>
      <c r="F386" s="997"/>
      <c r="G386" s="3343"/>
      <c r="H386" s="3344"/>
      <c r="I386" s="738"/>
      <c r="J386" s="737"/>
      <c r="K386" s="737"/>
      <c r="L386" s="3361"/>
      <c r="M386" s="3367"/>
      <c r="N386" s="1025"/>
      <c r="O386" s="716" t="s">
        <v>457</v>
      </c>
      <c r="P386" s="1025"/>
      <c r="T386" s="762"/>
    </row>
    <row r="387" spans="1:20" s="731" customFormat="1" ht="13.5" customHeight="1">
      <c r="A387" s="964" t="s">
        <v>383</v>
      </c>
      <c r="B387" s="882" t="s">
        <v>384</v>
      </c>
      <c r="C387" s="997"/>
      <c r="D387" s="997"/>
      <c r="E387" s="1001"/>
      <c r="F387" s="997"/>
      <c r="G387" s="3343" t="s">
        <v>390</v>
      </c>
      <c r="H387" s="3344"/>
      <c r="I387" s="738">
        <f>K1865</f>
        <v>522.41999999999996</v>
      </c>
      <c r="J387" s="737"/>
      <c r="K387" s="737">
        <f>I387+J387</f>
        <v>522.41999999999996</v>
      </c>
      <c r="L387" s="3361">
        <f>ROUND(K387,1)</f>
        <v>522.4</v>
      </c>
      <c r="M387" s="3367"/>
      <c r="N387" s="1025"/>
      <c r="O387" s="1025"/>
      <c r="P387" s="1025"/>
      <c r="T387" s="762"/>
    </row>
    <row r="388" spans="1:20" s="731" customFormat="1" ht="13.5" customHeight="1">
      <c r="A388" s="964" t="s">
        <v>386</v>
      </c>
      <c r="B388" s="882" t="s">
        <v>387</v>
      </c>
      <c r="C388" s="997"/>
      <c r="D388" s="997"/>
      <c r="E388" s="1001"/>
      <c r="F388" s="997"/>
      <c r="G388" s="3343" t="s">
        <v>390</v>
      </c>
      <c r="H388" s="3344"/>
      <c r="I388" s="738">
        <f>K1870</f>
        <v>626.88</v>
      </c>
      <c r="J388" s="737"/>
      <c r="K388" s="737">
        <f>I388+J388</f>
        <v>626.88</v>
      </c>
      <c r="L388" s="3361">
        <f>ROUND(K388,1)</f>
        <v>626.9</v>
      </c>
      <c r="M388" s="3367"/>
      <c r="N388" s="1025"/>
      <c r="O388" s="1025"/>
      <c r="P388" s="1025"/>
      <c r="T388" s="762"/>
    </row>
    <row r="389" spans="1:20" s="731" customFormat="1" ht="13.5" customHeight="1">
      <c r="A389" s="728" t="s">
        <v>460</v>
      </c>
      <c r="B389" s="837" t="str">
        <f>B1872</f>
        <v>RCC stairs excluding landing, but including railing.</v>
      </c>
      <c r="C389" s="997"/>
      <c r="D389" s="997"/>
      <c r="E389" s="1001"/>
      <c r="F389" s="997"/>
      <c r="G389" s="3343"/>
      <c r="H389" s="3344"/>
      <c r="I389" s="738"/>
      <c r="J389" s="737"/>
      <c r="K389" s="737"/>
      <c r="L389" s="3345"/>
      <c r="M389" s="3346"/>
      <c r="N389" s="1025"/>
      <c r="O389" s="716" t="s">
        <v>457</v>
      </c>
      <c r="P389" s="1025"/>
      <c r="T389" s="762"/>
    </row>
    <row r="390" spans="1:20" s="731" customFormat="1" ht="13.5" customHeight="1">
      <c r="A390" s="964" t="s">
        <v>383</v>
      </c>
      <c r="B390" s="882" t="s">
        <v>384</v>
      </c>
      <c r="C390" s="997"/>
      <c r="D390" s="997"/>
      <c r="E390" s="1001"/>
      <c r="F390" s="997"/>
      <c r="G390" s="3343" t="s">
        <v>390</v>
      </c>
      <c r="H390" s="3344"/>
      <c r="I390" s="738">
        <f>K1886</f>
        <v>636.34</v>
      </c>
      <c r="J390" s="737"/>
      <c r="K390" s="737">
        <f>I390+J390</f>
        <v>636.34</v>
      </c>
      <c r="L390" s="3345">
        <f>ROUND(K390,1)</f>
        <v>636.29999999999995</v>
      </c>
      <c r="M390" s="3346"/>
      <c r="N390" s="1025"/>
      <c r="O390" s="1025"/>
      <c r="P390" s="1025"/>
      <c r="T390" s="762"/>
    </row>
    <row r="391" spans="1:20" s="731" customFormat="1" ht="13.5" customHeight="1">
      <c r="A391" s="964" t="s">
        <v>386</v>
      </c>
      <c r="B391" s="882" t="s">
        <v>387</v>
      </c>
      <c r="C391" s="997"/>
      <c r="D391" s="997"/>
      <c r="E391" s="1001"/>
      <c r="F391" s="997"/>
      <c r="G391" s="3343" t="s">
        <v>390</v>
      </c>
      <c r="H391" s="3344"/>
      <c r="I391" s="738">
        <f>K1891</f>
        <v>763.56</v>
      </c>
      <c r="J391" s="737"/>
      <c r="K391" s="737">
        <f>I391+J391</f>
        <v>763.56</v>
      </c>
      <c r="L391" s="3345">
        <f>ROUND(K391,1)</f>
        <v>763.6</v>
      </c>
      <c r="M391" s="3346"/>
      <c r="N391" s="1025"/>
      <c r="O391" s="1025"/>
      <c r="P391" s="1025"/>
      <c r="T391" s="762"/>
    </row>
    <row r="392" spans="1:20" s="731" customFormat="1" ht="13.5" customHeight="1">
      <c r="A392" s="728" t="s">
        <v>461</v>
      </c>
      <c r="B392" s="837" t="str">
        <f>B1893</f>
        <v>RCC beam, column, girder and bressmer etc.</v>
      </c>
      <c r="C392" s="997"/>
      <c r="D392" s="997"/>
      <c r="E392" s="1001"/>
      <c r="F392" s="997"/>
      <c r="G392" s="3343"/>
      <c r="H392" s="3344"/>
      <c r="I392" s="738"/>
      <c r="J392" s="737"/>
      <c r="K392" s="737"/>
      <c r="L392" s="3345"/>
      <c r="M392" s="3346"/>
      <c r="N392" s="1025"/>
      <c r="O392" s="716" t="s">
        <v>457</v>
      </c>
      <c r="P392" s="1025"/>
      <c r="T392" s="762"/>
    </row>
    <row r="393" spans="1:20" s="731" customFormat="1" ht="13.5" customHeight="1">
      <c r="A393" s="964" t="s">
        <v>383</v>
      </c>
      <c r="B393" s="882" t="s">
        <v>384</v>
      </c>
      <c r="C393" s="997"/>
      <c r="D393" s="997"/>
      <c r="E393" s="1001"/>
      <c r="F393" s="997"/>
      <c r="G393" s="3343" t="s">
        <v>390</v>
      </c>
      <c r="H393" s="3344"/>
      <c r="I393" s="738">
        <f>K1907</f>
        <v>706.61</v>
      </c>
      <c r="J393" s="737"/>
      <c r="K393" s="737">
        <f>I393+J393</f>
        <v>706.61</v>
      </c>
      <c r="L393" s="3345">
        <f>ROUND(K393,1)</f>
        <v>706.6</v>
      </c>
      <c r="M393" s="3346"/>
      <c r="N393" s="1025"/>
      <c r="O393" s="1025"/>
      <c r="P393" s="1025"/>
      <c r="T393" s="762"/>
    </row>
    <row r="394" spans="1:20" s="731" customFormat="1" ht="13.5" customHeight="1">
      <c r="A394" s="964" t="s">
        <v>386</v>
      </c>
      <c r="B394" s="882" t="s">
        <v>387</v>
      </c>
      <c r="C394" s="997"/>
      <c r="D394" s="997"/>
      <c r="E394" s="1001"/>
      <c r="F394" s="997"/>
      <c r="G394" s="3343" t="s">
        <v>390</v>
      </c>
      <c r="H394" s="3344"/>
      <c r="I394" s="738">
        <f>K1912</f>
        <v>847.92000000000007</v>
      </c>
      <c r="J394" s="737"/>
      <c r="K394" s="737">
        <f>I394+J394</f>
        <v>847.92000000000007</v>
      </c>
      <c r="L394" s="3345">
        <f>ROUND(K394,1)</f>
        <v>847.9</v>
      </c>
      <c r="M394" s="3346"/>
      <c r="N394" s="1025"/>
      <c r="O394" s="1025"/>
      <c r="P394" s="1025"/>
      <c r="T394" s="762"/>
    </row>
    <row r="395" spans="1:20" s="731" customFormat="1" ht="13.5" customHeight="1">
      <c r="A395" s="728" t="s">
        <v>462</v>
      </c>
      <c r="B395" s="837" t="str">
        <f>B1914</f>
        <v>RCC wall &amp;  Fins including attach pillaster</v>
      </c>
      <c r="C395" s="997"/>
      <c r="D395" s="997"/>
      <c r="E395" s="1001"/>
      <c r="F395" s="997"/>
      <c r="G395" s="3343"/>
      <c r="H395" s="3344"/>
      <c r="I395" s="738"/>
      <c r="J395" s="737"/>
      <c r="K395" s="737"/>
      <c r="L395" s="3345"/>
      <c r="M395" s="3346"/>
      <c r="N395" s="1025"/>
      <c r="O395" s="716" t="s">
        <v>457</v>
      </c>
      <c r="P395" s="1025"/>
      <c r="T395" s="762"/>
    </row>
    <row r="396" spans="1:20" s="731" customFormat="1" ht="13.5" customHeight="1">
      <c r="A396" s="964" t="s">
        <v>383</v>
      </c>
      <c r="B396" s="882" t="s">
        <v>384</v>
      </c>
      <c r="C396" s="997"/>
      <c r="D396" s="997"/>
      <c r="E396" s="1001"/>
      <c r="F396" s="997"/>
      <c r="G396" s="3343" t="s">
        <v>390</v>
      </c>
      <c r="H396" s="3344"/>
      <c r="I396" s="738">
        <f>K1927</f>
        <v>643.64</v>
      </c>
      <c r="J396" s="737"/>
      <c r="K396" s="737">
        <f>I396+J396</f>
        <v>643.64</v>
      </c>
      <c r="L396" s="3345">
        <f>ROUND(K396,1)</f>
        <v>643.6</v>
      </c>
      <c r="M396" s="3346"/>
      <c r="N396" s="1025"/>
      <c r="O396" s="1025"/>
      <c r="P396" s="1025"/>
      <c r="T396" s="762"/>
    </row>
    <row r="397" spans="1:20" s="731" customFormat="1" ht="13.5" customHeight="1">
      <c r="A397" s="964" t="s">
        <v>386</v>
      </c>
      <c r="B397" s="882" t="s">
        <v>387</v>
      </c>
      <c r="C397" s="997"/>
      <c r="D397" s="997"/>
      <c r="E397" s="1001"/>
      <c r="F397" s="997"/>
      <c r="G397" s="3343" t="s">
        <v>390</v>
      </c>
      <c r="H397" s="3344"/>
      <c r="I397" s="738">
        <f>K1932</f>
        <v>772.32</v>
      </c>
      <c r="J397" s="737"/>
      <c r="K397" s="737">
        <f>I397+J397</f>
        <v>772.32</v>
      </c>
      <c r="L397" s="3345">
        <f>ROUND(K397,1)</f>
        <v>772.3</v>
      </c>
      <c r="M397" s="3346"/>
      <c r="N397" s="1025"/>
      <c r="O397" s="1025"/>
      <c r="P397" s="1025"/>
      <c r="T397" s="762"/>
    </row>
    <row r="398" spans="1:20" s="731" customFormat="1" ht="13.5" customHeight="1">
      <c r="A398" s="728" t="s">
        <v>463</v>
      </c>
      <c r="B398" s="837" t="str">
        <f>B1934</f>
        <v>RCC lintels</v>
      </c>
      <c r="C398" s="997"/>
      <c r="D398" s="997"/>
      <c r="E398" s="1001"/>
      <c r="F398" s="997"/>
      <c r="G398" s="3343"/>
      <c r="H398" s="3344"/>
      <c r="I398" s="738"/>
      <c r="J398" s="737"/>
      <c r="K398" s="737"/>
      <c r="L398" s="3345"/>
      <c r="M398" s="3346"/>
      <c r="N398" s="1025"/>
      <c r="O398" s="716" t="s">
        <v>457</v>
      </c>
      <c r="P398" s="1025"/>
      <c r="T398" s="762"/>
    </row>
    <row r="399" spans="1:20" s="731" customFormat="1" ht="13.5" customHeight="1">
      <c r="A399" s="964" t="s">
        <v>383</v>
      </c>
      <c r="B399" s="882" t="s">
        <v>384</v>
      </c>
      <c r="C399" s="997"/>
      <c r="D399" s="997"/>
      <c r="E399" s="1001"/>
      <c r="F399" s="997"/>
      <c r="G399" s="3343" t="s">
        <v>390</v>
      </c>
      <c r="H399" s="3344"/>
      <c r="I399" s="738">
        <f>K1946</f>
        <v>442.04</v>
      </c>
      <c r="J399" s="737"/>
      <c r="K399" s="737">
        <f>I399+J399</f>
        <v>442.04</v>
      </c>
      <c r="L399" s="3345">
        <f>ROUND(K399,1)</f>
        <v>442</v>
      </c>
      <c r="M399" s="3346"/>
      <c r="N399" s="1025"/>
      <c r="O399" s="1025"/>
      <c r="P399" s="1025"/>
      <c r="T399" s="762"/>
    </row>
    <row r="400" spans="1:20" s="731" customFormat="1" ht="13.5" customHeight="1">
      <c r="A400" s="964" t="s">
        <v>386</v>
      </c>
      <c r="B400" s="882" t="s">
        <v>387</v>
      </c>
      <c r="C400" s="997"/>
      <c r="D400" s="997"/>
      <c r="E400" s="1001"/>
      <c r="F400" s="997"/>
      <c r="G400" s="3343" t="s">
        <v>390</v>
      </c>
      <c r="H400" s="3344"/>
      <c r="I400" s="738">
        <f>K1951</f>
        <v>530.4</v>
      </c>
      <c r="J400" s="737"/>
      <c r="K400" s="737">
        <f>I400+J400</f>
        <v>530.4</v>
      </c>
      <c r="L400" s="3345">
        <f>ROUND(K400,1)</f>
        <v>530.4</v>
      </c>
      <c r="M400" s="3346"/>
      <c r="N400" s="1025"/>
      <c r="O400" s="1025"/>
      <c r="P400" s="1025"/>
      <c r="T400" s="762"/>
    </row>
    <row r="401" spans="1:20" s="731" customFormat="1" ht="13.5" customHeight="1">
      <c r="A401" s="728" t="s">
        <v>464</v>
      </c>
      <c r="B401" s="837" t="str">
        <f>B1953</f>
        <v>Centering and shuttering for slope roof upto 3.6m height</v>
      </c>
      <c r="C401" s="997"/>
      <c r="D401" s="997"/>
      <c r="E401" s="1001"/>
      <c r="F401" s="997"/>
      <c r="G401" s="3343"/>
      <c r="H401" s="3344"/>
      <c r="I401" s="738"/>
      <c r="J401" s="737"/>
      <c r="K401" s="737"/>
      <c r="L401" s="3345"/>
      <c r="M401" s="3346"/>
      <c r="N401" s="1025"/>
      <c r="O401" s="716" t="s">
        <v>457</v>
      </c>
      <c r="P401" s="1025"/>
      <c r="T401" s="762"/>
    </row>
    <row r="402" spans="1:20" s="731" customFormat="1" ht="13.5" customHeight="1">
      <c r="A402" s="964" t="s">
        <v>383</v>
      </c>
      <c r="B402" s="882" t="s">
        <v>384</v>
      </c>
      <c r="C402" s="997"/>
      <c r="D402" s="997"/>
      <c r="E402" s="1001"/>
      <c r="F402" s="997"/>
      <c r="G402" s="3343" t="s">
        <v>390</v>
      </c>
      <c r="H402" s="3344"/>
      <c r="I402" s="738">
        <f>K1967</f>
        <v>558.79999999999995</v>
      </c>
      <c r="J402" s="737"/>
      <c r="K402" s="737">
        <f>I402+J402</f>
        <v>558.79999999999995</v>
      </c>
      <c r="L402" s="3345">
        <f>ROUND(K402,1)</f>
        <v>558.79999999999995</v>
      </c>
      <c r="M402" s="3346"/>
      <c r="N402" s="1025"/>
      <c r="O402" s="1025"/>
      <c r="P402" s="1025"/>
      <c r="T402" s="762"/>
    </row>
    <row r="403" spans="1:20" s="731" customFormat="1" ht="13.5" customHeight="1">
      <c r="A403" s="964" t="s">
        <v>386</v>
      </c>
      <c r="B403" s="882" t="s">
        <v>387</v>
      </c>
      <c r="C403" s="997"/>
      <c r="D403" s="997"/>
      <c r="E403" s="1001"/>
      <c r="F403" s="997"/>
      <c r="G403" s="3343" t="s">
        <v>390</v>
      </c>
      <c r="H403" s="3344"/>
      <c r="I403" s="738">
        <f>K1972</f>
        <v>670.56</v>
      </c>
      <c r="J403" s="737"/>
      <c r="K403" s="737">
        <f>I403+J403</f>
        <v>670.56</v>
      </c>
      <c r="L403" s="3345">
        <f>ROUND(K403,1)</f>
        <v>670.6</v>
      </c>
      <c r="M403" s="3346"/>
      <c r="N403" s="1025"/>
      <c r="O403" s="1025"/>
      <c r="P403" s="1025"/>
      <c r="T403" s="762"/>
    </row>
    <row r="404" spans="1:20" s="731" customFormat="1" ht="13.5" customHeight="1">
      <c r="A404" s="728" t="s">
        <v>465</v>
      </c>
      <c r="B404" s="837" t="s">
        <v>466</v>
      </c>
      <c r="C404" s="997"/>
      <c r="D404" s="997"/>
      <c r="E404" s="1001"/>
      <c r="F404" s="997"/>
      <c r="G404" s="3343"/>
      <c r="H404" s="3344"/>
      <c r="I404" s="738"/>
      <c r="J404" s="737"/>
      <c r="K404" s="737"/>
      <c r="L404" s="3345"/>
      <c r="M404" s="3346"/>
      <c r="N404" s="1025"/>
      <c r="O404" s="1025"/>
      <c r="P404" s="1025"/>
      <c r="T404" s="762"/>
    </row>
    <row r="405" spans="1:20" s="731" customFormat="1" ht="13.5" customHeight="1">
      <c r="A405" s="964" t="s">
        <v>383</v>
      </c>
      <c r="B405" s="837" t="s">
        <v>467</v>
      </c>
      <c r="C405" s="997"/>
      <c r="D405" s="997"/>
      <c r="E405" s="1001"/>
      <c r="F405" s="997"/>
      <c r="G405" s="3343" t="s">
        <v>390</v>
      </c>
      <c r="H405" s="3344"/>
      <c r="I405" s="738">
        <f>K1979</f>
        <v>626.9</v>
      </c>
      <c r="J405" s="737"/>
      <c r="K405" s="737">
        <f>I405+J405</f>
        <v>626.9</v>
      </c>
      <c r="L405" s="3345">
        <f>ROUND(K405,1)</f>
        <v>626.9</v>
      </c>
      <c r="M405" s="3346"/>
      <c r="N405" s="1025"/>
      <c r="O405" s="1025"/>
      <c r="P405" s="1025"/>
      <c r="T405" s="762"/>
    </row>
    <row r="406" spans="1:20" s="731" customFormat="1" ht="13.5" customHeight="1">
      <c r="A406" s="728" t="s">
        <v>468</v>
      </c>
      <c r="B406" s="837" t="s">
        <v>469</v>
      </c>
      <c r="C406" s="997"/>
      <c r="D406" s="997"/>
      <c r="E406" s="1001"/>
      <c r="F406" s="997"/>
      <c r="G406" s="3343" t="s">
        <v>381</v>
      </c>
      <c r="H406" s="3344"/>
      <c r="I406" s="738">
        <f>K1983</f>
        <v>6110.2</v>
      </c>
      <c r="J406" s="737"/>
      <c r="K406" s="737">
        <f>I406+J406</f>
        <v>6110.2</v>
      </c>
      <c r="L406" s="3345">
        <f t="shared" ref="L406:L422" si="58">ROUND(K406,1)</f>
        <v>6110.2</v>
      </c>
      <c r="M406" s="3346"/>
      <c r="N406" s="1025"/>
      <c r="O406" s="1025"/>
      <c r="P406" s="1025"/>
      <c r="T406" s="762"/>
    </row>
    <row r="407" spans="1:20" s="731" customFormat="1" ht="13.5" customHeight="1">
      <c r="A407" s="728" t="s">
        <v>470</v>
      </c>
      <c r="B407" s="837" t="s">
        <v>471</v>
      </c>
      <c r="C407" s="997"/>
      <c r="D407" s="997"/>
      <c r="E407" s="1001"/>
      <c r="F407" s="997"/>
      <c r="G407" s="3343" t="s">
        <v>381</v>
      </c>
      <c r="H407" s="3344"/>
      <c r="I407" s="738">
        <f>K1987</f>
        <v>6827.7</v>
      </c>
      <c r="J407" s="737"/>
      <c r="K407" s="737">
        <f>I407+J407</f>
        <v>6827.7</v>
      </c>
      <c r="L407" s="3345">
        <f t="shared" si="58"/>
        <v>6827.7</v>
      </c>
      <c r="M407" s="3346"/>
      <c r="N407" s="1025"/>
      <c r="O407" s="1025"/>
      <c r="P407" s="1025"/>
      <c r="T407" s="762"/>
    </row>
    <row r="408" spans="1:20" s="731" customFormat="1" ht="13.5" customHeight="1">
      <c r="A408" s="728" t="s">
        <v>472</v>
      </c>
      <c r="B408" s="837" t="s">
        <v>473</v>
      </c>
      <c r="C408" s="997"/>
      <c r="D408" s="997"/>
      <c r="E408" s="1001"/>
      <c r="F408" s="997"/>
      <c r="G408" s="3343" t="s">
        <v>381</v>
      </c>
      <c r="H408" s="3344"/>
      <c r="I408" s="738"/>
      <c r="J408" s="737"/>
      <c r="K408" s="737"/>
      <c r="L408" s="3345"/>
      <c r="M408" s="3346"/>
      <c r="N408" s="1025"/>
      <c r="O408" s="1025"/>
      <c r="P408" s="1025"/>
      <c r="T408" s="762"/>
    </row>
    <row r="409" spans="1:20" s="731" customFormat="1" ht="13.5" customHeight="1">
      <c r="A409" s="964" t="s">
        <v>383</v>
      </c>
      <c r="B409" s="882" t="s">
        <v>384</v>
      </c>
      <c r="C409" s="997"/>
      <c r="D409" s="997"/>
      <c r="E409" s="1001"/>
      <c r="F409" s="997"/>
      <c r="G409" s="3343" t="str">
        <f>G408</f>
        <v>Each Cum</v>
      </c>
      <c r="H409" s="3344"/>
      <c r="I409" s="738">
        <f>K1992</f>
        <v>11990.7</v>
      </c>
      <c r="J409" s="737"/>
      <c r="K409" s="737">
        <f>I409+J409</f>
        <v>11990.7</v>
      </c>
      <c r="L409" s="3345">
        <f t="shared" si="58"/>
        <v>11990.7</v>
      </c>
      <c r="M409" s="3346"/>
      <c r="N409" s="1025"/>
      <c r="O409" s="1025"/>
      <c r="P409" s="1025"/>
      <c r="Q409" s="769"/>
      <c r="R409" s="769"/>
      <c r="S409" s="769"/>
      <c r="T409" s="769"/>
    </row>
    <row r="410" spans="1:20" s="731" customFormat="1" ht="13.5" customHeight="1">
      <c r="A410" s="964" t="s">
        <v>386</v>
      </c>
      <c r="B410" s="882" t="s">
        <v>387</v>
      </c>
      <c r="C410" s="997"/>
      <c r="D410" s="997"/>
      <c r="E410" s="1001"/>
      <c r="F410" s="997"/>
      <c r="G410" s="3343" t="str">
        <f>G409</f>
        <v>Each Cum</v>
      </c>
      <c r="H410" s="3344"/>
      <c r="I410" s="738">
        <f>K1997</f>
        <v>7050.4692000000005</v>
      </c>
      <c r="J410" s="737"/>
      <c r="K410" s="737">
        <f>I410+J410</f>
        <v>7050.4692000000005</v>
      </c>
      <c r="L410" s="3345">
        <f t="shared" si="58"/>
        <v>7050.5</v>
      </c>
      <c r="M410" s="3346"/>
      <c r="N410" s="1025"/>
      <c r="O410" s="1025"/>
      <c r="P410" s="1025"/>
      <c r="Q410" s="769"/>
      <c r="R410" s="769"/>
      <c r="S410" s="769"/>
      <c r="T410" s="769"/>
    </row>
    <row r="411" spans="1:20" s="731" customFormat="1" ht="13.5" customHeight="1">
      <c r="A411" s="728" t="s">
        <v>474</v>
      </c>
      <c r="B411" s="995" t="s">
        <v>475</v>
      </c>
      <c r="C411" s="997"/>
      <c r="D411" s="997"/>
      <c r="E411" s="1001"/>
      <c r="F411" s="997"/>
      <c r="G411" s="3343" t="s">
        <v>381</v>
      </c>
      <c r="H411" s="3344"/>
      <c r="I411" s="738"/>
      <c r="J411" s="737"/>
      <c r="K411" s="737"/>
      <c r="L411" s="3345"/>
      <c r="M411" s="3346"/>
      <c r="N411" s="1025"/>
      <c r="O411" s="1025"/>
      <c r="P411" s="1025"/>
      <c r="T411" s="762"/>
    </row>
    <row r="412" spans="1:20" s="731" customFormat="1" ht="13.5" customHeight="1">
      <c r="A412" s="964" t="s">
        <v>383</v>
      </c>
      <c r="B412" s="997" t="s">
        <v>384</v>
      </c>
      <c r="C412" s="997"/>
      <c r="D412" s="997"/>
      <c r="E412" s="1001"/>
      <c r="F412" s="997"/>
      <c r="G412" s="3343" t="str">
        <f>G411</f>
        <v>Each Cum</v>
      </c>
      <c r="H412" s="3344"/>
      <c r="I412" s="738">
        <f>K2002</f>
        <v>12868.7</v>
      </c>
      <c r="J412" s="737"/>
      <c r="K412" s="737">
        <f>I412+J412</f>
        <v>12868.7</v>
      </c>
      <c r="L412" s="3345">
        <f t="shared" si="58"/>
        <v>12868.7</v>
      </c>
      <c r="M412" s="3346"/>
      <c r="N412" s="1025"/>
      <c r="O412" s="1025"/>
      <c r="P412" s="1025"/>
      <c r="Q412" s="769"/>
      <c r="R412" s="769"/>
      <c r="S412" s="769"/>
      <c r="T412" s="769"/>
    </row>
    <row r="413" spans="1:20" s="731" customFormat="1" ht="13.5" customHeight="1">
      <c r="A413" s="728" t="s">
        <v>476</v>
      </c>
      <c r="B413" s="995" t="s">
        <v>477</v>
      </c>
      <c r="C413" s="997"/>
      <c r="D413" s="997"/>
      <c r="E413" s="1001"/>
      <c r="F413" s="997"/>
      <c r="G413" s="3343" t="s">
        <v>381</v>
      </c>
      <c r="H413" s="3344"/>
      <c r="I413" s="738"/>
      <c r="J413" s="737"/>
      <c r="K413" s="737"/>
      <c r="L413" s="3345"/>
      <c r="M413" s="3346"/>
      <c r="N413" s="1025"/>
      <c r="O413" s="1025"/>
      <c r="P413" s="1025"/>
      <c r="T413" s="762"/>
    </row>
    <row r="414" spans="1:20" s="731" customFormat="1" ht="13.5" customHeight="1">
      <c r="A414" s="964" t="s">
        <v>383</v>
      </c>
      <c r="B414" s="997" t="s">
        <v>384</v>
      </c>
      <c r="C414" s="997"/>
      <c r="D414" s="997"/>
      <c r="E414" s="1001"/>
      <c r="F414" s="997"/>
      <c r="G414" s="3343" t="str">
        <f>G413</f>
        <v>Each Cum</v>
      </c>
      <c r="H414" s="3344"/>
      <c r="I414" s="738">
        <f>K2012</f>
        <v>11026.7</v>
      </c>
      <c r="J414" s="737"/>
      <c r="K414" s="737">
        <f>I414+J414</f>
        <v>11026.7</v>
      </c>
      <c r="L414" s="3345">
        <f t="shared" si="58"/>
        <v>11026.7</v>
      </c>
      <c r="M414" s="3346"/>
      <c r="N414" s="1025"/>
      <c r="O414" s="1025"/>
      <c r="P414" s="1025"/>
      <c r="Q414" s="769"/>
      <c r="R414" s="769"/>
      <c r="S414" s="769"/>
      <c r="T414" s="769"/>
    </row>
    <row r="415" spans="1:20" s="731" customFormat="1" ht="13.5" customHeight="1">
      <c r="A415" s="728" t="s">
        <v>478</v>
      </c>
      <c r="B415" s="995" t="s">
        <v>479</v>
      </c>
      <c r="C415" s="997"/>
      <c r="D415" s="997"/>
      <c r="E415" s="1001"/>
      <c r="F415" s="997"/>
      <c r="G415" s="3343" t="s">
        <v>381</v>
      </c>
      <c r="H415" s="3344"/>
      <c r="I415" s="738"/>
      <c r="J415" s="737"/>
      <c r="K415" s="737"/>
      <c r="L415" s="3345"/>
      <c r="M415" s="3346"/>
      <c r="N415" s="1025"/>
      <c r="O415" s="1025"/>
      <c r="P415" s="1025"/>
      <c r="T415" s="762"/>
    </row>
    <row r="416" spans="1:20" s="731" customFormat="1" ht="13.5" customHeight="1">
      <c r="A416" s="964" t="s">
        <v>383</v>
      </c>
      <c r="B416" s="997" t="s">
        <v>384</v>
      </c>
      <c r="C416" s="997"/>
      <c r="D416" s="997"/>
      <c r="E416" s="1001"/>
      <c r="F416" s="997"/>
      <c r="G416" s="3343" t="str">
        <f>G415</f>
        <v>Each Cum</v>
      </c>
      <c r="H416" s="3344"/>
      <c r="I416" s="738">
        <f>K2022</f>
        <v>11529.4</v>
      </c>
      <c r="J416" s="737"/>
      <c r="K416" s="737">
        <f>I416+J416</f>
        <v>11529.4</v>
      </c>
      <c r="L416" s="3345">
        <f t="shared" si="58"/>
        <v>11529.4</v>
      </c>
      <c r="M416" s="3346"/>
      <c r="N416" s="1025"/>
      <c r="O416" s="1025"/>
      <c r="P416" s="1025"/>
      <c r="Q416" s="769"/>
      <c r="R416" s="769"/>
      <c r="S416" s="769"/>
      <c r="T416" s="769"/>
    </row>
    <row r="417" spans="1:20" s="731" customFormat="1" ht="13.5" customHeight="1">
      <c r="A417" s="728" t="s">
        <v>480</v>
      </c>
      <c r="B417" s="995" t="s">
        <v>481</v>
      </c>
      <c r="C417" s="997"/>
      <c r="D417" s="997"/>
      <c r="E417" s="1001"/>
      <c r="F417" s="997"/>
      <c r="G417" s="3343" t="s">
        <v>390</v>
      </c>
      <c r="H417" s="3344"/>
      <c r="I417" s="738"/>
      <c r="J417" s="737"/>
      <c r="K417" s="737"/>
      <c r="L417" s="3345"/>
      <c r="M417" s="3346"/>
      <c r="N417" s="1025"/>
      <c r="O417" s="1025"/>
      <c r="P417" s="1025"/>
      <c r="T417" s="762"/>
    </row>
    <row r="418" spans="1:20" s="731" customFormat="1" ht="13.5" customHeight="1">
      <c r="A418" s="964" t="s">
        <v>383</v>
      </c>
      <c r="B418" s="997" t="s">
        <v>384</v>
      </c>
      <c r="C418" s="997"/>
      <c r="D418" s="997"/>
      <c r="E418" s="1001"/>
      <c r="F418" s="997"/>
      <c r="G418" s="3343" t="str">
        <f>G417</f>
        <v>Each Sqm</v>
      </c>
      <c r="H418" s="3344"/>
      <c r="I418" s="738">
        <f>K2032</f>
        <v>951.81549999999993</v>
      </c>
      <c r="J418" s="737"/>
      <c r="K418" s="737">
        <f>I418+J418</f>
        <v>951.81549999999993</v>
      </c>
      <c r="L418" s="3345">
        <f t="shared" si="58"/>
        <v>951.8</v>
      </c>
      <c r="M418" s="3346"/>
      <c r="N418" s="1025"/>
      <c r="O418" s="1025"/>
      <c r="P418" s="1025"/>
      <c r="Q418" s="769"/>
      <c r="R418" s="769"/>
      <c r="S418" s="769"/>
      <c r="T418" s="769"/>
    </row>
    <row r="419" spans="1:20" s="731" customFormat="1" ht="13.5" customHeight="1">
      <c r="A419" s="728" t="s">
        <v>482</v>
      </c>
      <c r="B419" s="995" t="s">
        <v>483</v>
      </c>
      <c r="C419" s="997"/>
      <c r="D419" s="997"/>
      <c r="E419" s="1001"/>
      <c r="F419" s="997"/>
      <c r="G419" s="3343" t="s">
        <v>390</v>
      </c>
      <c r="H419" s="3344"/>
      <c r="I419" s="738"/>
      <c r="J419" s="737"/>
      <c r="K419" s="737"/>
      <c r="L419" s="3345"/>
      <c r="M419" s="3346"/>
      <c r="N419" s="1025"/>
      <c r="O419" s="1025"/>
      <c r="P419" s="1025"/>
      <c r="T419" s="762"/>
    </row>
    <row r="420" spans="1:20" s="731" customFormat="1" ht="13.5" customHeight="1">
      <c r="A420" s="964" t="s">
        <v>383</v>
      </c>
      <c r="B420" s="997" t="s">
        <v>384</v>
      </c>
      <c r="C420" s="997"/>
      <c r="D420" s="997"/>
      <c r="E420" s="1001"/>
      <c r="F420" s="997"/>
      <c r="G420" s="3343" t="str">
        <f>G419</f>
        <v>Each Sqm</v>
      </c>
      <c r="H420" s="3344"/>
      <c r="I420" s="738">
        <f>K2042</f>
        <v>515.63499999999999</v>
      </c>
      <c r="J420" s="737"/>
      <c r="K420" s="737">
        <f>I420+J420</f>
        <v>515.63499999999999</v>
      </c>
      <c r="L420" s="3345">
        <f t="shared" si="58"/>
        <v>515.6</v>
      </c>
      <c r="M420" s="3346"/>
      <c r="N420" s="1025"/>
      <c r="O420" s="1025"/>
      <c r="P420" s="1025"/>
      <c r="Q420" s="769"/>
      <c r="R420" s="769"/>
      <c r="S420" s="769"/>
      <c r="T420" s="769"/>
    </row>
    <row r="421" spans="1:20" s="731" customFormat="1" ht="13.5" customHeight="1">
      <c r="A421" s="728" t="s">
        <v>484</v>
      </c>
      <c r="B421" s="995" t="s">
        <v>485</v>
      </c>
      <c r="C421" s="997"/>
      <c r="D421" s="997"/>
      <c r="E421" s="1001"/>
      <c r="F421" s="997"/>
      <c r="G421" s="3343" t="s">
        <v>390</v>
      </c>
      <c r="H421" s="3344"/>
      <c r="I421" s="738"/>
      <c r="J421" s="737"/>
      <c r="K421" s="737"/>
      <c r="L421" s="3345"/>
      <c r="M421" s="3346"/>
      <c r="N421" s="1025"/>
      <c r="O421" s="1025"/>
      <c r="P421" s="1025"/>
      <c r="T421" s="762"/>
    </row>
    <row r="422" spans="1:20" s="731" customFormat="1" ht="13.5" customHeight="1">
      <c r="A422" s="964" t="s">
        <v>383</v>
      </c>
      <c r="B422" s="997" t="s">
        <v>384</v>
      </c>
      <c r="C422" s="997"/>
      <c r="D422" s="997"/>
      <c r="E422" s="1001"/>
      <c r="F422" s="997"/>
      <c r="G422" s="3343" t="str">
        <f>G421</f>
        <v>Each Sqm</v>
      </c>
      <c r="H422" s="3344"/>
      <c r="I422" s="738">
        <f>K2052</f>
        <v>1751.4160000000002</v>
      </c>
      <c r="J422" s="737"/>
      <c r="K422" s="737">
        <f>I422+J422</f>
        <v>1751.4160000000002</v>
      </c>
      <c r="L422" s="3345">
        <f t="shared" si="58"/>
        <v>1751.4</v>
      </c>
      <c r="M422" s="3346"/>
      <c r="N422" s="1025"/>
      <c r="O422" s="1025"/>
      <c r="P422" s="1025"/>
      <c r="Q422" s="769"/>
      <c r="R422" s="769"/>
      <c r="S422" s="769"/>
      <c r="T422" s="769"/>
    </row>
    <row r="423" spans="1:20" s="714" customFormat="1" ht="13.5" customHeight="1">
      <c r="A423" s="728">
        <f>A382+1</f>
        <v>52</v>
      </c>
      <c r="B423" s="996" t="s">
        <v>1595</v>
      </c>
      <c r="C423" s="997"/>
      <c r="D423" s="997"/>
      <c r="E423" s="1001"/>
      <c r="F423" s="997"/>
      <c r="G423" s="3343" t="s">
        <v>486</v>
      </c>
      <c r="H423" s="3344"/>
      <c r="I423" s="738"/>
      <c r="J423" s="737"/>
      <c r="K423" s="737"/>
      <c r="L423" s="3345"/>
      <c r="M423" s="3346"/>
      <c r="O423" s="716" t="s">
        <v>487</v>
      </c>
      <c r="R423" s="716" t="s">
        <v>487</v>
      </c>
      <c r="T423" s="723"/>
    </row>
    <row r="424" spans="1:20" s="714" customFormat="1" ht="13.5" customHeight="1">
      <c r="A424" s="964" t="s">
        <v>383</v>
      </c>
      <c r="B424" s="996" t="s">
        <v>384</v>
      </c>
      <c r="C424" s="996"/>
      <c r="D424" s="996"/>
      <c r="E424" s="1000"/>
      <c r="F424" s="996"/>
      <c r="G424" s="3343" t="str">
        <f>G423</f>
        <v>Each Qtl</v>
      </c>
      <c r="H424" s="3344"/>
      <c r="I424" s="738">
        <f>K2077</f>
        <v>8427.2409999999982</v>
      </c>
      <c r="J424" s="737"/>
      <c r="K424" s="737">
        <f>I424+J424</f>
        <v>8427.2409999999982</v>
      </c>
      <c r="L424" s="3345">
        <f>ROUND(K424,1)</f>
        <v>8427.2000000000007</v>
      </c>
      <c r="M424" s="3346"/>
      <c r="T424" s="716"/>
    </row>
    <row r="425" spans="1:20" s="714" customFormat="1" ht="13.5" customHeight="1">
      <c r="A425" s="964" t="s">
        <v>386</v>
      </c>
      <c r="B425" s="996" t="s">
        <v>387</v>
      </c>
      <c r="C425" s="996"/>
      <c r="D425" s="996"/>
      <c r="E425" s="1000"/>
      <c r="F425" s="996"/>
      <c r="G425" s="3343" t="str">
        <f>G424</f>
        <v>Each Qtl</v>
      </c>
      <c r="H425" s="3344"/>
      <c r="I425" s="738">
        <f>K2081</f>
        <v>8439.3209999999981</v>
      </c>
      <c r="J425" s="737"/>
      <c r="K425" s="737">
        <f>I425+J425</f>
        <v>8439.3209999999981</v>
      </c>
      <c r="L425" s="3345">
        <f>ROUND(K425,1)</f>
        <v>8439.2999999999993</v>
      </c>
      <c r="M425" s="3346"/>
      <c r="T425" s="716"/>
    </row>
    <row r="426" spans="1:20" s="731" customFormat="1" ht="13.5" customHeight="1">
      <c r="A426" s="728">
        <f>A423+1</f>
        <v>53</v>
      </c>
      <c r="B426" s="1029" t="s">
        <v>3254</v>
      </c>
      <c r="C426" s="997"/>
      <c r="D426" s="997"/>
      <c r="E426" s="1001"/>
      <c r="F426" s="997"/>
      <c r="G426" s="3343" t="s">
        <v>488</v>
      </c>
      <c r="H426" s="3344"/>
      <c r="I426" s="738"/>
      <c r="J426" s="737"/>
      <c r="K426" s="737"/>
      <c r="L426" s="3345"/>
      <c r="M426" s="3346"/>
      <c r="N426" s="1025"/>
      <c r="O426" s="1025"/>
      <c r="P426" s="1025"/>
      <c r="T426" s="762"/>
    </row>
    <row r="427" spans="1:20" s="731" customFormat="1" ht="13.5" customHeight="1">
      <c r="A427" s="728" t="s">
        <v>468</v>
      </c>
      <c r="B427" s="1030" t="s">
        <v>489</v>
      </c>
      <c r="C427" s="997"/>
      <c r="D427" s="997"/>
      <c r="E427" s="1001"/>
      <c r="F427" s="997"/>
      <c r="G427" s="3343" t="s">
        <v>488</v>
      </c>
      <c r="H427" s="3344"/>
      <c r="I427" s="738">
        <f>K2115</f>
        <v>13900.2</v>
      </c>
      <c r="J427" s="737"/>
      <c r="K427" s="737">
        <f>I427+J427</f>
        <v>13900.2</v>
      </c>
      <c r="L427" s="3345">
        <f t="shared" ref="L427:L445" si="59">ROUND(K427,1)</f>
        <v>13900.2</v>
      </c>
      <c r="M427" s="3346"/>
      <c r="N427" s="1025"/>
      <c r="O427" s="1025"/>
      <c r="P427" s="1025"/>
      <c r="Q427" s="769"/>
      <c r="R427" s="769"/>
      <c r="S427" s="769"/>
      <c r="T427" s="769"/>
    </row>
    <row r="428" spans="1:20" s="731" customFormat="1" ht="13.5" customHeight="1">
      <c r="A428" s="964" t="s">
        <v>383</v>
      </c>
      <c r="B428" s="996" t="s">
        <v>490</v>
      </c>
      <c r="C428" s="997"/>
      <c r="D428" s="997"/>
      <c r="E428" s="1001"/>
      <c r="F428" s="997"/>
      <c r="G428" s="3343" t="str">
        <f>G427</f>
        <v>Each No</v>
      </c>
      <c r="H428" s="3344"/>
      <c r="I428" s="738">
        <f>K2107</f>
        <v>9311.7999999999993</v>
      </c>
      <c r="J428" s="737"/>
      <c r="K428" s="737">
        <f>I428+J428</f>
        <v>9311.7999999999993</v>
      </c>
      <c r="L428" s="3345">
        <f t="shared" si="59"/>
        <v>9311.7999999999993</v>
      </c>
      <c r="M428" s="3346"/>
      <c r="N428" s="1025"/>
      <c r="O428" s="1025"/>
      <c r="P428" s="1025"/>
      <c r="Q428" s="769"/>
      <c r="R428" s="769"/>
      <c r="S428" s="769"/>
      <c r="T428" s="769"/>
    </row>
    <row r="429" spans="1:20" s="731" customFormat="1" ht="13.5" customHeight="1">
      <c r="A429" s="964" t="s">
        <v>386</v>
      </c>
      <c r="B429" s="1011" t="s">
        <v>491</v>
      </c>
      <c r="C429" s="997"/>
      <c r="D429" s="997"/>
      <c r="E429" s="1001"/>
      <c r="F429" s="997"/>
      <c r="G429" s="3343" t="s">
        <v>492</v>
      </c>
      <c r="H429" s="3344"/>
      <c r="I429" s="738">
        <f>K2112</f>
        <v>1147.1031665625001</v>
      </c>
      <c r="J429" s="737"/>
      <c r="K429" s="737">
        <f>I429+J429</f>
        <v>1147.1031665625001</v>
      </c>
      <c r="L429" s="3345">
        <f t="shared" si="59"/>
        <v>1147.0999999999999</v>
      </c>
      <c r="M429" s="3346"/>
      <c r="N429" s="1025"/>
      <c r="O429" s="1025"/>
      <c r="P429" s="1025"/>
      <c r="Q429" s="769"/>
      <c r="R429" s="769"/>
      <c r="S429" s="769"/>
      <c r="T429" s="769"/>
    </row>
    <row r="430" spans="1:20" s="731" customFormat="1" ht="13.5" customHeight="1">
      <c r="A430" s="728" t="s">
        <v>470</v>
      </c>
      <c r="B430" s="1030" t="s">
        <v>493</v>
      </c>
      <c r="C430" s="997"/>
      <c r="D430" s="997"/>
      <c r="E430" s="1001"/>
      <c r="F430" s="997"/>
      <c r="G430" s="3343" t="s">
        <v>488</v>
      </c>
      <c r="H430" s="3344"/>
      <c r="I430" s="738">
        <f>K2140</f>
        <v>10390.799999999999</v>
      </c>
      <c r="J430" s="737"/>
      <c r="K430" s="737">
        <f t="shared" ref="K430:K435" si="60">I430+J430</f>
        <v>10390.799999999999</v>
      </c>
      <c r="L430" s="3345">
        <f t="shared" si="59"/>
        <v>10390.799999999999</v>
      </c>
      <c r="M430" s="3346"/>
      <c r="N430" s="1025"/>
      <c r="O430" s="1025"/>
      <c r="P430" s="1025"/>
      <c r="Q430" s="769"/>
      <c r="R430" s="769"/>
      <c r="S430" s="769"/>
      <c r="T430" s="769"/>
    </row>
    <row r="431" spans="1:20" s="731" customFormat="1" ht="13.5" customHeight="1">
      <c r="A431" s="964" t="s">
        <v>383</v>
      </c>
      <c r="B431" s="996" t="s">
        <v>494</v>
      </c>
      <c r="C431" s="997"/>
      <c r="D431" s="997"/>
      <c r="E431" s="1001"/>
      <c r="F431" s="997"/>
      <c r="G431" s="3343" t="str">
        <f>G430</f>
        <v>Each No</v>
      </c>
      <c r="H431" s="3344"/>
      <c r="I431" s="738">
        <f>K2132</f>
        <v>6787.7</v>
      </c>
      <c r="J431" s="737"/>
      <c r="K431" s="737">
        <f t="shared" si="60"/>
        <v>6787.7</v>
      </c>
      <c r="L431" s="3345">
        <f t="shared" si="59"/>
        <v>6787.7</v>
      </c>
      <c r="M431" s="3346"/>
      <c r="N431" s="1025"/>
      <c r="O431" s="1025"/>
      <c r="P431" s="1025"/>
      <c r="Q431" s="769"/>
      <c r="R431" s="769"/>
      <c r="S431" s="769"/>
      <c r="T431" s="769"/>
    </row>
    <row r="432" spans="1:20" s="731" customFormat="1" ht="13.5" customHeight="1">
      <c r="A432" s="964" t="s">
        <v>386</v>
      </c>
      <c r="B432" s="1011" t="s">
        <v>491</v>
      </c>
      <c r="C432" s="997"/>
      <c r="D432" s="997"/>
      <c r="E432" s="1001"/>
      <c r="F432" s="997"/>
      <c r="G432" s="3343" t="s">
        <v>492</v>
      </c>
      <c r="H432" s="3344"/>
      <c r="I432" s="738">
        <f>K2137</f>
        <v>900.78747433723379</v>
      </c>
      <c r="J432" s="737"/>
      <c r="K432" s="737">
        <f t="shared" si="60"/>
        <v>900.78747433723379</v>
      </c>
      <c r="L432" s="3345">
        <f t="shared" si="59"/>
        <v>900.8</v>
      </c>
      <c r="M432" s="3346"/>
      <c r="N432" s="1025"/>
      <c r="O432" s="1025"/>
      <c r="P432" s="1025"/>
      <c r="Q432" s="769"/>
      <c r="R432" s="769"/>
      <c r="S432" s="769"/>
      <c r="T432" s="769"/>
    </row>
    <row r="433" spans="1:25" s="731" customFormat="1" ht="13.5" customHeight="1">
      <c r="A433" s="728" t="s">
        <v>472</v>
      </c>
      <c r="B433" s="1030" t="s">
        <v>495</v>
      </c>
      <c r="C433" s="997"/>
      <c r="D433" s="997"/>
      <c r="E433" s="1001"/>
      <c r="F433" s="997"/>
      <c r="G433" s="3343" t="s">
        <v>488</v>
      </c>
      <c r="H433" s="3344"/>
      <c r="I433" s="738">
        <f>K2165</f>
        <v>8495.7999999999993</v>
      </c>
      <c r="J433" s="737"/>
      <c r="K433" s="737">
        <f t="shared" si="60"/>
        <v>8495.7999999999993</v>
      </c>
      <c r="L433" s="3345">
        <f t="shared" si="59"/>
        <v>8495.7999999999993</v>
      </c>
      <c r="M433" s="3346"/>
      <c r="N433" s="1025"/>
      <c r="O433" s="1025"/>
      <c r="P433" s="1025"/>
      <c r="Q433" s="769"/>
      <c r="R433" s="769"/>
      <c r="S433" s="769"/>
      <c r="T433" s="769"/>
    </row>
    <row r="434" spans="1:25" s="731" customFormat="1" ht="13.5" customHeight="1">
      <c r="A434" s="964" t="s">
        <v>383</v>
      </c>
      <c r="B434" s="996" t="s">
        <v>496</v>
      </c>
      <c r="C434" s="997"/>
      <c r="D434" s="997"/>
      <c r="E434" s="1001"/>
      <c r="F434" s="997"/>
      <c r="G434" s="3343" t="str">
        <f>G433</f>
        <v>Each No</v>
      </c>
      <c r="H434" s="3344"/>
      <c r="I434" s="738">
        <f>K2157</f>
        <v>5427.8</v>
      </c>
      <c r="J434" s="737"/>
      <c r="K434" s="737">
        <f t="shared" si="60"/>
        <v>5427.8</v>
      </c>
      <c r="L434" s="3345">
        <f t="shared" si="59"/>
        <v>5427.8</v>
      </c>
      <c r="M434" s="3346"/>
      <c r="N434" s="1025"/>
      <c r="O434" s="1025"/>
      <c r="P434" s="1025"/>
      <c r="Q434" s="769"/>
      <c r="R434" s="769"/>
      <c r="S434" s="769"/>
      <c r="T434" s="769"/>
    </row>
    <row r="435" spans="1:25" s="731" customFormat="1" ht="13.5" customHeight="1">
      <c r="A435" s="964" t="s">
        <v>386</v>
      </c>
      <c r="B435" s="1011" t="s">
        <v>491</v>
      </c>
      <c r="C435" s="997"/>
      <c r="D435" s="997"/>
      <c r="E435" s="1001"/>
      <c r="F435" s="997"/>
      <c r="G435" s="3343" t="s">
        <v>492</v>
      </c>
      <c r="H435" s="3344"/>
      <c r="I435" s="738">
        <f>K2162</f>
        <v>766.98632384530129</v>
      </c>
      <c r="J435" s="737"/>
      <c r="K435" s="737">
        <f t="shared" si="60"/>
        <v>766.98632384530129</v>
      </c>
      <c r="L435" s="3345">
        <f t="shared" si="59"/>
        <v>767</v>
      </c>
      <c r="M435" s="3346"/>
      <c r="N435" s="1025"/>
      <c r="O435" s="1025"/>
      <c r="P435" s="1025"/>
      <c r="Q435" s="769"/>
      <c r="R435" s="769"/>
      <c r="S435" s="769"/>
      <c r="T435" s="769"/>
    </row>
    <row r="436" spans="1:25" s="731" customFormat="1" ht="13.5" customHeight="1">
      <c r="A436" s="728">
        <f>A426+1</f>
        <v>54</v>
      </c>
      <c r="B436" s="1029" t="s">
        <v>3255</v>
      </c>
      <c r="C436" s="997"/>
      <c r="D436" s="997"/>
      <c r="E436" s="1001"/>
      <c r="F436" s="997"/>
      <c r="G436" s="3343" t="s">
        <v>488</v>
      </c>
      <c r="H436" s="3344"/>
      <c r="I436" s="738"/>
      <c r="J436" s="737"/>
      <c r="K436" s="737"/>
      <c r="L436" s="3345"/>
      <c r="M436" s="3346"/>
      <c r="N436" s="1025"/>
      <c r="O436" s="1025"/>
      <c r="P436" s="1025"/>
      <c r="T436" s="762"/>
    </row>
    <row r="437" spans="1:25" s="731" customFormat="1" ht="13.5" customHeight="1">
      <c r="A437" s="728" t="s">
        <v>468</v>
      </c>
      <c r="B437" s="1030" t="s">
        <v>489</v>
      </c>
      <c r="C437" s="997"/>
      <c r="D437" s="997"/>
      <c r="E437" s="1001"/>
      <c r="F437" s="997"/>
      <c r="G437" s="3343" t="s">
        <v>488</v>
      </c>
      <c r="H437" s="3344"/>
      <c r="I437" s="738">
        <f>K2200</f>
        <v>15253.4112</v>
      </c>
      <c r="J437" s="737"/>
      <c r="K437" s="737">
        <f t="shared" ref="K437:K445" si="61">I437+J437</f>
        <v>15253.4112</v>
      </c>
      <c r="L437" s="3345">
        <f t="shared" si="59"/>
        <v>15253.4</v>
      </c>
      <c r="M437" s="3346"/>
      <c r="N437" s="1025"/>
      <c r="O437" s="1025"/>
      <c r="P437" s="1025"/>
      <c r="Q437" s="769"/>
      <c r="R437" s="769"/>
      <c r="S437" s="769"/>
      <c r="T437" s="769"/>
    </row>
    <row r="438" spans="1:25" s="731" customFormat="1" ht="13.5" customHeight="1">
      <c r="A438" s="964" t="s">
        <v>383</v>
      </c>
      <c r="B438" s="996" t="s">
        <v>490</v>
      </c>
      <c r="C438" s="997"/>
      <c r="D438" s="997"/>
      <c r="E438" s="1001"/>
      <c r="F438" s="997"/>
      <c r="G438" s="3343" t="str">
        <f>G437</f>
        <v>Each No</v>
      </c>
      <c r="H438" s="3344"/>
      <c r="I438" s="738">
        <f>K2192</f>
        <v>10665</v>
      </c>
      <c r="J438" s="737"/>
      <c r="K438" s="737">
        <f t="shared" si="61"/>
        <v>10665</v>
      </c>
      <c r="L438" s="3345">
        <f t="shared" si="59"/>
        <v>10665</v>
      </c>
      <c r="M438" s="3346"/>
      <c r="N438" s="1025"/>
      <c r="O438" s="1025"/>
      <c r="P438" s="1025"/>
      <c r="Q438" s="769"/>
      <c r="R438" s="769"/>
      <c r="S438" s="769"/>
      <c r="T438" s="769"/>
    </row>
    <row r="439" spans="1:25" s="731" customFormat="1" ht="13.5" customHeight="1">
      <c r="A439" s="964" t="s">
        <v>386</v>
      </c>
      <c r="B439" s="1011" t="s">
        <v>491</v>
      </c>
      <c r="C439" s="997"/>
      <c r="D439" s="997"/>
      <c r="E439" s="1001"/>
      <c r="F439" s="997"/>
      <c r="G439" s="3343" t="s">
        <v>492</v>
      </c>
      <c r="H439" s="3344"/>
      <c r="I439" s="738">
        <f>K2198</f>
        <v>1147.1028000000001</v>
      </c>
      <c r="J439" s="737"/>
      <c r="K439" s="737">
        <f t="shared" si="61"/>
        <v>1147.1028000000001</v>
      </c>
      <c r="L439" s="3345">
        <f t="shared" si="59"/>
        <v>1147.0999999999999</v>
      </c>
      <c r="M439" s="3346"/>
      <c r="N439" s="1025"/>
      <c r="O439" s="1025"/>
      <c r="P439" s="1025"/>
      <c r="Q439" s="769"/>
      <c r="R439" s="769"/>
      <c r="S439" s="769"/>
      <c r="T439" s="769"/>
    </row>
    <row r="440" spans="1:25" s="731" customFormat="1" ht="13.5" customHeight="1">
      <c r="A440" s="728" t="s">
        <v>470</v>
      </c>
      <c r="B440" s="1030" t="s">
        <v>493</v>
      </c>
      <c r="C440" s="997"/>
      <c r="D440" s="997"/>
      <c r="E440" s="1001"/>
      <c r="F440" s="997"/>
      <c r="G440" s="3343" t="s">
        <v>488</v>
      </c>
      <c r="H440" s="3344"/>
      <c r="I440" s="738">
        <f>K2226</f>
        <v>11950.841199999999</v>
      </c>
      <c r="J440" s="737"/>
      <c r="K440" s="737">
        <f t="shared" si="61"/>
        <v>11950.841199999999</v>
      </c>
      <c r="L440" s="3345">
        <f t="shared" si="59"/>
        <v>11950.8</v>
      </c>
      <c r="M440" s="3346"/>
      <c r="N440" s="1025"/>
      <c r="O440" s="1025"/>
      <c r="P440" s="1025"/>
      <c r="Q440" s="769"/>
      <c r="R440" s="769"/>
      <c r="S440" s="769"/>
      <c r="T440" s="769"/>
    </row>
    <row r="441" spans="1:25" s="731" customFormat="1" ht="13.5" customHeight="1">
      <c r="A441" s="964" t="s">
        <v>383</v>
      </c>
      <c r="B441" s="996" t="s">
        <v>494</v>
      </c>
      <c r="C441" s="997"/>
      <c r="D441" s="997"/>
      <c r="E441" s="1001"/>
      <c r="F441" s="997"/>
      <c r="G441" s="3343" t="str">
        <f>G440</f>
        <v>Each No</v>
      </c>
      <c r="H441" s="3344"/>
      <c r="I441" s="738">
        <f>K2218</f>
        <v>8347.7099999999991</v>
      </c>
      <c r="J441" s="737"/>
      <c r="K441" s="737">
        <f t="shared" si="61"/>
        <v>8347.7099999999991</v>
      </c>
      <c r="L441" s="3345">
        <f t="shared" si="59"/>
        <v>8347.7000000000007</v>
      </c>
      <c r="M441" s="3346"/>
      <c r="N441" s="1025"/>
      <c r="O441" s="1025"/>
      <c r="P441" s="1025"/>
      <c r="Q441" s="769"/>
      <c r="R441" s="769"/>
      <c r="S441" s="769"/>
      <c r="T441" s="769"/>
    </row>
    <row r="442" spans="1:25" s="731" customFormat="1" ht="13.5" customHeight="1">
      <c r="A442" s="964" t="s">
        <v>386</v>
      </c>
      <c r="B442" s="1011" t="s">
        <v>491</v>
      </c>
      <c r="C442" s="997"/>
      <c r="D442" s="997"/>
      <c r="E442" s="1001"/>
      <c r="F442" s="997"/>
      <c r="G442" s="3343" t="s">
        <v>492</v>
      </c>
      <c r="H442" s="3344"/>
      <c r="I442" s="738">
        <f>K2224</f>
        <v>900.78279999999995</v>
      </c>
      <c r="J442" s="737"/>
      <c r="K442" s="737">
        <f t="shared" si="61"/>
        <v>900.78279999999995</v>
      </c>
      <c r="L442" s="3345">
        <f t="shared" si="59"/>
        <v>900.8</v>
      </c>
      <c r="M442" s="3346"/>
      <c r="N442" s="1025"/>
      <c r="O442" s="1025"/>
      <c r="P442" s="1025"/>
      <c r="Q442" s="769"/>
      <c r="R442" s="769"/>
      <c r="S442" s="769"/>
      <c r="T442" s="769"/>
    </row>
    <row r="443" spans="1:25" s="731" customFormat="1" ht="13.5" customHeight="1">
      <c r="A443" s="728" t="s">
        <v>472</v>
      </c>
      <c r="B443" s="1030" t="s">
        <v>495</v>
      </c>
      <c r="C443" s="997"/>
      <c r="D443" s="997"/>
      <c r="E443" s="1001"/>
      <c r="F443" s="997"/>
      <c r="G443" s="3343" t="s">
        <v>488</v>
      </c>
      <c r="H443" s="3344"/>
      <c r="I443" s="738">
        <f>K2252</f>
        <v>9693.8852000000006</v>
      </c>
      <c r="J443" s="737"/>
      <c r="K443" s="737">
        <f t="shared" si="61"/>
        <v>9693.8852000000006</v>
      </c>
      <c r="L443" s="3345">
        <f t="shared" si="59"/>
        <v>9693.9</v>
      </c>
      <c r="M443" s="3346"/>
      <c r="N443" s="1025"/>
      <c r="O443" s="1025"/>
      <c r="P443" s="1025"/>
      <c r="Q443" s="769"/>
      <c r="R443" s="769"/>
      <c r="S443" s="769"/>
      <c r="T443" s="769"/>
    </row>
    <row r="444" spans="1:25" s="731" customFormat="1" ht="13.5" customHeight="1">
      <c r="A444" s="964" t="s">
        <v>383</v>
      </c>
      <c r="B444" s="996" t="s">
        <v>496</v>
      </c>
      <c r="C444" s="997"/>
      <c r="D444" s="997"/>
      <c r="E444" s="1001"/>
      <c r="F444" s="997"/>
      <c r="G444" s="3343" t="str">
        <f>G443</f>
        <v>Each No</v>
      </c>
      <c r="H444" s="3344"/>
      <c r="I444" s="738">
        <f>K2244</f>
        <v>6625.9539999999997</v>
      </c>
      <c r="J444" s="737"/>
      <c r="K444" s="737">
        <f t="shared" si="61"/>
        <v>6625.9539999999997</v>
      </c>
      <c r="L444" s="3345">
        <f t="shared" si="59"/>
        <v>6626</v>
      </c>
      <c r="M444" s="3346"/>
      <c r="N444" s="1025"/>
      <c r="O444" s="1025"/>
      <c r="P444" s="1025"/>
      <c r="Q444" s="769"/>
      <c r="R444" s="769"/>
      <c r="S444" s="769"/>
      <c r="T444" s="769"/>
    </row>
    <row r="445" spans="1:25" s="731" customFormat="1" ht="13.5" customHeight="1">
      <c r="A445" s="964" t="s">
        <v>386</v>
      </c>
      <c r="B445" s="996" t="s">
        <v>491</v>
      </c>
      <c r="C445" s="997"/>
      <c r="D445" s="997"/>
      <c r="E445" s="996"/>
      <c r="F445" s="996"/>
      <c r="G445" s="3343" t="s">
        <v>492</v>
      </c>
      <c r="H445" s="3344"/>
      <c r="I445" s="738">
        <f>K2250</f>
        <v>766.9828</v>
      </c>
      <c r="J445" s="737"/>
      <c r="K445" s="737">
        <f t="shared" si="61"/>
        <v>766.9828</v>
      </c>
      <c r="L445" s="3345">
        <f t="shared" si="59"/>
        <v>767</v>
      </c>
      <c r="M445" s="3346"/>
      <c r="N445" s="1025"/>
      <c r="O445" s="1025"/>
      <c r="P445" s="1025"/>
      <c r="Q445" s="769"/>
      <c r="R445" s="769"/>
      <c r="S445" s="769"/>
      <c r="T445" s="769"/>
    </row>
    <row r="446" spans="1:25" s="731" customFormat="1" ht="13.5" customHeight="1">
      <c r="A446" s="996" t="s">
        <v>497</v>
      </c>
      <c r="B446" s="996"/>
      <c r="C446" s="996"/>
      <c r="D446" s="996"/>
      <c r="E446" s="996"/>
      <c r="F446" s="996"/>
      <c r="G446" s="996"/>
      <c r="H446" s="996"/>
      <c r="I446" s="838"/>
      <c r="J446" s="838"/>
      <c r="K446" s="728"/>
      <c r="L446" s="1005"/>
      <c r="M446" s="1006"/>
      <c r="N446" s="763"/>
      <c r="O446" s="763"/>
      <c r="P446" s="763"/>
      <c r="Q446" s="1007" t="str">
        <f>A446</f>
        <v>C) Plastering, Flooring &amp; Grading concrete</v>
      </c>
      <c r="R446" s="838"/>
      <c r="S446" s="838"/>
      <c r="T446" s="1008"/>
      <c r="U446" s="838"/>
      <c r="V446" s="838"/>
      <c r="W446" s="838"/>
      <c r="X446" s="838"/>
      <c r="Y446" s="753"/>
    </row>
    <row r="447" spans="1:25" s="714" customFormat="1" ht="13.5" customHeight="1">
      <c r="A447" s="1027">
        <f>A436+1</f>
        <v>55</v>
      </c>
      <c r="B447" s="999" t="s">
        <v>3256</v>
      </c>
      <c r="C447" s="997"/>
      <c r="D447" s="997"/>
      <c r="E447" s="1001"/>
      <c r="F447" s="997"/>
      <c r="G447" s="3343" t="s">
        <v>390</v>
      </c>
      <c r="H447" s="3344"/>
      <c r="I447" s="738"/>
      <c r="J447" s="737"/>
      <c r="K447" s="737"/>
      <c r="L447" s="3345"/>
      <c r="M447" s="3346"/>
      <c r="O447" s="716" t="s">
        <v>499</v>
      </c>
      <c r="Q447" s="716" t="s">
        <v>498</v>
      </c>
      <c r="R447" s="716" t="s">
        <v>499</v>
      </c>
      <c r="T447" s="723"/>
    </row>
    <row r="448" spans="1:25" s="731" customFormat="1" ht="13.5" customHeight="1">
      <c r="A448" s="728" t="s">
        <v>468</v>
      </c>
      <c r="B448" s="837" t="s">
        <v>500</v>
      </c>
      <c r="C448" s="997"/>
      <c r="D448" s="997"/>
      <c r="E448" s="1001"/>
      <c r="F448" s="997"/>
      <c r="G448" s="3343" t="s">
        <v>390</v>
      </c>
      <c r="H448" s="3344"/>
      <c r="I448" s="738"/>
      <c r="J448" s="737"/>
      <c r="K448" s="737"/>
      <c r="L448" s="1031"/>
      <c r="M448" s="1032"/>
      <c r="N448" s="763"/>
      <c r="O448" s="763"/>
      <c r="P448" s="763"/>
      <c r="Q448" s="769"/>
      <c r="R448" s="769"/>
      <c r="S448" s="769"/>
    </row>
    <row r="449" spans="1:20" s="731" customFormat="1" ht="13.5" customHeight="1">
      <c r="A449" s="964" t="s">
        <v>383</v>
      </c>
      <c r="B449" s="882" t="s">
        <v>384</v>
      </c>
      <c r="C449" s="997"/>
      <c r="D449" s="997"/>
      <c r="E449" s="1001"/>
      <c r="F449" s="997"/>
      <c r="G449" s="3343" t="str">
        <f>G448</f>
        <v>Each Sqm</v>
      </c>
      <c r="H449" s="3344"/>
      <c r="I449" s="738">
        <f>K2273</f>
        <v>94.830000000000013</v>
      </c>
      <c r="J449" s="737"/>
      <c r="K449" s="737">
        <f>I449+J449</f>
        <v>94.830000000000013</v>
      </c>
      <c r="L449" s="3345">
        <f t="shared" ref="L449:L455" si="62">ROUND(K449,1)</f>
        <v>94.8</v>
      </c>
      <c r="M449" s="3346"/>
      <c r="N449" s="763"/>
      <c r="O449" s="763"/>
      <c r="P449" s="763"/>
      <c r="Q449" s="769"/>
      <c r="R449" s="769"/>
      <c r="S449" s="769"/>
    </row>
    <row r="450" spans="1:20" s="731" customFormat="1" ht="13.5" customHeight="1">
      <c r="A450" s="964" t="s">
        <v>386</v>
      </c>
      <c r="B450" s="882" t="s">
        <v>387</v>
      </c>
      <c r="C450" s="997"/>
      <c r="D450" s="997"/>
      <c r="E450" s="1001"/>
      <c r="F450" s="997"/>
      <c r="G450" s="3343" t="str">
        <f>G449</f>
        <v>Each Sqm</v>
      </c>
      <c r="H450" s="3344"/>
      <c r="I450" s="738">
        <f>K2277</f>
        <v>96.600000000000009</v>
      </c>
      <c r="J450" s="737"/>
      <c r="K450" s="737">
        <f>I450+J450</f>
        <v>96.600000000000009</v>
      </c>
      <c r="L450" s="3345">
        <f t="shared" si="62"/>
        <v>96.6</v>
      </c>
      <c r="M450" s="3346"/>
      <c r="N450" s="763"/>
      <c r="O450" s="763"/>
      <c r="P450" s="763"/>
      <c r="Q450" s="769"/>
      <c r="R450" s="769"/>
      <c r="S450" s="769"/>
    </row>
    <row r="451" spans="1:20" s="731" customFormat="1" ht="13.5" customHeight="1">
      <c r="A451" s="728" t="s">
        <v>470</v>
      </c>
      <c r="B451" s="837" t="s">
        <v>501</v>
      </c>
      <c r="C451" s="997"/>
      <c r="D451" s="997"/>
      <c r="E451" s="1001"/>
      <c r="F451" s="997"/>
      <c r="G451" s="3343" t="s">
        <v>390</v>
      </c>
      <c r="H451" s="3344"/>
      <c r="I451" s="738"/>
      <c r="J451" s="737"/>
      <c r="K451" s="737"/>
      <c r="L451" s="1031"/>
      <c r="M451" s="1032"/>
      <c r="N451" s="763"/>
      <c r="O451" s="763"/>
      <c r="P451" s="763"/>
      <c r="Q451" s="769"/>
      <c r="R451" s="769"/>
      <c r="S451" s="769"/>
    </row>
    <row r="452" spans="1:20" s="731" customFormat="1" ht="13.5" customHeight="1">
      <c r="A452" s="734" t="s">
        <v>383</v>
      </c>
      <c r="B452" s="882" t="s">
        <v>384</v>
      </c>
      <c r="C452" s="997"/>
      <c r="D452" s="997"/>
      <c r="E452" s="1001"/>
      <c r="F452" s="997"/>
      <c r="G452" s="3343" t="str">
        <f>G451</f>
        <v>Each Sqm</v>
      </c>
      <c r="H452" s="3344"/>
      <c r="I452" s="738">
        <f>K2283</f>
        <v>94.830000000000013</v>
      </c>
      <c r="J452" s="737"/>
      <c r="K452" s="737">
        <f>I452+J452</f>
        <v>94.830000000000013</v>
      </c>
      <c r="L452" s="3345">
        <f t="shared" si="62"/>
        <v>94.8</v>
      </c>
      <c r="M452" s="3346"/>
      <c r="N452" s="763"/>
      <c r="O452" s="763"/>
      <c r="P452" s="763"/>
      <c r="Q452" s="769"/>
      <c r="R452" s="769"/>
      <c r="S452" s="769"/>
    </row>
    <row r="453" spans="1:20" s="731" customFormat="1" ht="13.5" customHeight="1">
      <c r="A453" s="734" t="s">
        <v>386</v>
      </c>
      <c r="B453" s="882" t="s">
        <v>387</v>
      </c>
      <c r="C453" s="997"/>
      <c r="D453" s="997"/>
      <c r="E453" s="1001"/>
      <c r="F453" s="997"/>
      <c r="G453" s="3343" t="str">
        <f>G452</f>
        <v>Each Sqm</v>
      </c>
      <c r="H453" s="3344"/>
      <c r="I453" s="738">
        <f>K2287</f>
        <v>97.77000000000001</v>
      </c>
      <c r="J453" s="737"/>
      <c r="K453" s="737">
        <f>I453+J453</f>
        <v>97.77000000000001</v>
      </c>
      <c r="L453" s="3345">
        <f t="shared" si="62"/>
        <v>97.8</v>
      </c>
      <c r="M453" s="3346"/>
      <c r="N453" s="763"/>
      <c r="O453" s="763"/>
      <c r="P453" s="763"/>
      <c r="Q453" s="769"/>
      <c r="R453" s="769"/>
      <c r="S453" s="769"/>
    </row>
    <row r="454" spans="1:20" s="714" customFormat="1" ht="13.5" customHeight="1">
      <c r="A454" s="728">
        <f>A447+1</f>
        <v>56</v>
      </c>
      <c r="B454" s="999" t="s">
        <v>3257</v>
      </c>
      <c r="C454" s="996"/>
      <c r="D454" s="996"/>
      <c r="E454" s="1000"/>
      <c r="F454" s="996"/>
      <c r="G454" s="3343" t="s">
        <v>390</v>
      </c>
      <c r="H454" s="3344"/>
      <c r="I454" s="738"/>
      <c r="J454" s="737"/>
      <c r="K454" s="737"/>
      <c r="L454" s="3345"/>
      <c r="M454" s="3346"/>
      <c r="O454" s="716" t="s">
        <v>503</v>
      </c>
      <c r="Q454" s="716" t="s">
        <v>502</v>
      </c>
      <c r="R454" s="716" t="s">
        <v>503</v>
      </c>
      <c r="T454" s="723"/>
    </row>
    <row r="455" spans="1:20" s="731" customFormat="1" ht="13.5" customHeight="1">
      <c r="A455" s="734" t="s">
        <v>383</v>
      </c>
      <c r="B455" s="882" t="s">
        <v>384</v>
      </c>
      <c r="C455" s="997"/>
      <c r="D455" s="997"/>
      <c r="E455" s="1001"/>
      <c r="F455" s="997"/>
      <c r="G455" s="3343" t="str">
        <f>G454</f>
        <v>Each Sqm</v>
      </c>
      <c r="H455" s="3344"/>
      <c r="I455" s="738">
        <f>K2304</f>
        <v>114.67999999999999</v>
      </c>
      <c r="J455" s="737"/>
      <c r="K455" s="737">
        <f>I455+J455</f>
        <v>114.67999999999999</v>
      </c>
      <c r="L455" s="3345">
        <f t="shared" si="62"/>
        <v>114.7</v>
      </c>
      <c r="M455" s="3346"/>
      <c r="N455" s="763"/>
      <c r="O455" s="769"/>
      <c r="P455" s="763"/>
      <c r="Q455" s="769"/>
      <c r="R455" s="769"/>
      <c r="S455" s="769"/>
    </row>
    <row r="456" spans="1:20" s="731" customFormat="1" ht="13.5" customHeight="1">
      <c r="A456" s="734" t="s">
        <v>386</v>
      </c>
      <c r="B456" s="882" t="s">
        <v>387</v>
      </c>
      <c r="C456" s="997"/>
      <c r="D456" s="997"/>
      <c r="E456" s="1001"/>
      <c r="F456" s="997"/>
      <c r="G456" s="3343" t="str">
        <f>G455</f>
        <v>Each Sqm</v>
      </c>
      <c r="H456" s="3344"/>
      <c r="I456" s="738">
        <f>K2308</f>
        <v>116.47</v>
      </c>
      <c r="J456" s="737"/>
      <c r="K456" s="737">
        <f>I456+J456</f>
        <v>116.47</v>
      </c>
      <c r="L456" s="3345">
        <f>ROUND(K456,1)</f>
        <v>116.5</v>
      </c>
      <c r="M456" s="3346"/>
      <c r="N456" s="763"/>
      <c r="O456" s="769"/>
      <c r="P456" s="763"/>
      <c r="Q456" s="769"/>
      <c r="R456" s="769"/>
      <c r="S456" s="769"/>
    </row>
    <row r="457" spans="1:20" s="714" customFormat="1" ht="13.5" customHeight="1">
      <c r="A457" s="728">
        <f>A454+1</f>
        <v>57</v>
      </c>
      <c r="B457" s="999" t="s">
        <v>3258</v>
      </c>
      <c r="C457" s="996"/>
      <c r="D457" s="996"/>
      <c r="E457" s="1000"/>
      <c r="F457" s="996"/>
      <c r="G457" s="3343" t="s">
        <v>390</v>
      </c>
      <c r="H457" s="3344"/>
      <c r="I457" s="738"/>
      <c r="J457" s="737"/>
      <c r="K457" s="737"/>
      <c r="L457" s="3345"/>
      <c r="M457" s="3346"/>
      <c r="O457" s="716" t="s">
        <v>505</v>
      </c>
      <c r="Q457" s="716" t="s">
        <v>504</v>
      </c>
      <c r="R457" s="716" t="s">
        <v>505</v>
      </c>
      <c r="T457" s="723"/>
    </row>
    <row r="458" spans="1:20" s="731" customFormat="1" ht="13.5" customHeight="1">
      <c r="A458" s="734" t="s">
        <v>383</v>
      </c>
      <c r="B458" s="882" t="s">
        <v>384</v>
      </c>
      <c r="C458" s="997"/>
      <c r="D458" s="997"/>
      <c r="E458" s="1001"/>
      <c r="F458" s="997"/>
      <c r="G458" s="3343" t="str">
        <f>G457</f>
        <v>Each Sqm</v>
      </c>
      <c r="H458" s="3344"/>
      <c r="I458" s="738">
        <f>K2322</f>
        <v>146.01999999999998</v>
      </c>
      <c r="J458" s="737"/>
      <c r="K458" s="737">
        <f>I458+J458</f>
        <v>146.01999999999998</v>
      </c>
      <c r="L458" s="3345">
        <f>ROUND(K458,1)</f>
        <v>146</v>
      </c>
      <c r="M458" s="3346"/>
      <c r="N458" s="763"/>
      <c r="O458" s="769"/>
      <c r="P458" s="763"/>
      <c r="Q458" s="769"/>
      <c r="R458" s="769"/>
      <c r="S458" s="769"/>
    </row>
    <row r="459" spans="1:20" s="731" customFormat="1" ht="13.5" customHeight="1">
      <c r="A459" s="734" t="s">
        <v>386</v>
      </c>
      <c r="B459" s="882" t="s">
        <v>387</v>
      </c>
      <c r="C459" s="997"/>
      <c r="D459" s="997"/>
      <c r="E459" s="1001"/>
      <c r="F459" s="997"/>
      <c r="G459" s="3343" t="str">
        <f>G458</f>
        <v>Each Sqm</v>
      </c>
      <c r="H459" s="3344"/>
      <c r="I459" s="738">
        <f>K2327</f>
        <v>148.4</v>
      </c>
      <c r="J459" s="737"/>
      <c r="K459" s="737">
        <f>I459+J459</f>
        <v>148.4</v>
      </c>
      <c r="L459" s="3345">
        <f>ROUND(K459,1)</f>
        <v>148.4</v>
      </c>
      <c r="M459" s="3346"/>
      <c r="N459" s="763"/>
      <c r="O459" s="769"/>
      <c r="P459" s="763"/>
      <c r="Q459" s="769"/>
      <c r="R459" s="769"/>
      <c r="S459" s="769"/>
    </row>
    <row r="460" spans="1:20" s="714" customFormat="1" ht="13.5" customHeight="1">
      <c r="A460" s="728">
        <f>A457+1</f>
        <v>58</v>
      </c>
      <c r="B460" s="999" t="s">
        <v>3259</v>
      </c>
      <c r="C460" s="996"/>
      <c r="D460" s="996"/>
      <c r="E460" s="1000"/>
      <c r="F460" s="996"/>
      <c r="G460" s="3343" t="s">
        <v>390</v>
      </c>
      <c r="H460" s="3344"/>
      <c r="I460" s="738"/>
      <c r="J460" s="737"/>
      <c r="K460" s="737"/>
      <c r="L460" s="3345"/>
      <c r="M460" s="3346"/>
      <c r="O460" s="716" t="s">
        <v>507</v>
      </c>
      <c r="Q460" s="716" t="s">
        <v>506</v>
      </c>
      <c r="R460" s="716" t="s">
        <v>507</v>
      </c>
      <c r="T460" s="723"/>
    </row>
    <row r="461" spans="1:20" s="731" customFormat="1" ht="13.5" customHeight="1">
      <c r="A461" s="734" t="s">
        <v>383</v>
      </c>
      <c r="B461" s="882" t="s">
        <v>384</v>
      </c>
      <c r="C461" s="997"/>
      <c r="D461" s="997"/>
      <c r="E461" s="1001"/>
      <c r="F461" s="997"/>
      <c r="G461" s="3343" t="str">
        <f>G460</f>
        <v>Each Sqm</v>
      </c>
      <c r="H461" s="3344"/>
      <c r="I461" s="738">
        <f>K2344</f>
        <v>129.18</v>
      </c>
      <c r="J461" s="737"/>
      <c r="K461" s="737">
        <f>I461+J461</f>
        <v>129.18</v>
      </c>
      <c r="L461" s="3345">
        <f>ROUND(K461,1)</f>
        <v>129.19999999999999</v>
      </c>
      <c r="M461" s="3346"/>
      <c r="N461" s="763"/>
      <c r="O461" s="769"/>
      <c r="P461" s="763"/>
      <c r="Q461" s="769"/>
      <c r="R461" s="769"/>
      <c r="S461" s="769"/>
    </row>
    <row r="462" spans="1:20" s="731" customFormat="1" ht="13.5" customHeight="1">
      <c r="A462" s="734" t="s">
        <v>386</v>
      </c>
      <c r="B462" s="882" t="s">
        <v>387</v>
      </c>
      <c r="C462" s="997"/>
      <c r="D462" s="997"/>
      <c r="E462" s="1001"/>
      <c r="F462" s="997"/>
      <c r="G462" s="3343" t="str">
        <f>G461</f>
        <v>Each Sqm</v>
      </c>
      <c r="H462" s="3344"/>
      <c r="I462" s="738">
        <f>K2348</f>
        <v>131.76000000000002</v>
      </c>
      <c r="J462" s="737"/>
      <c r="K462" s="737">
        <f>I462+J462</f>
        <v>131.76000000000002</v>
      </c>
      <c r="L462" s="3345">
        <f>ROUND(K462,1)</f>
        <v>131.80000000000001</v>
      </c>
      <c r="M462" s="3346"/>
      <c r="N462" s="763"/>
      <c r="O462" s="769"/>
      <c r="P462" s="763"/>
      <c r="Q462" s="769"/>
      <c r="R462" s="769"/>
      <c r="S462" s="769"/>
    </row>
    <row r="463" spans="1:20" s="714" customFormat="1" ht="13.5" customHeight="1">
      <c r="A463" s="728">
        <f>A460+1</f>
        <v>59</v>
      </c>
      <c r="B463" s="999" t="s">
        <v>3260</v>
      </c>
      <c r="C463" s="996"/>
      <c r="D463" s="996"/>
      <c r="E463" s="1000"/>
      <c r="F463" s="996"/>
      <c r="G463" s="3343" t="s">
        <v>390</v>
      </c>
      <c r="H463" s="3344"/>
      <c r="I463" s="738"/>
      <c r="J463" s="737"/>
      <c r="K463" s="737"/>
      <c r="L463" s="3345"/>
      <c r="M463" s="3346"/>
      <c r="O463" s="716" t="s">
        <v>509</v>
      </c>
      <c r="Q463" s="716" t="s">
        <v>508</v>
      </c>
      <c r="R463" s="716" t="s">
        <v>509</v>
      </c>
      <c r="T463" s="723"/>
    </row>
    <row r="464" spans="1:20" s="731" customFormat="1" ht="13.5" customHeight="1">
      <c r="A464" s="734" t="s">
        <v>383</v>
      </c>
      <c r="B464" s="882" t="s">
        <v>384</v>
      </c>
      <c r="C464" s="997"/>
      <c r="D464" s="997"/>
      <c r="E464" s="1001"/>
      <c r="F464" s="997"/>
      <c r="G464" s="3343" t="str">
        <f>G463</f>
        <v>Each Sqm</v>
      </c>
      <c r="H464" s="3344"/>
      <c r="I464" s="738">
        <f>K2365</f>
        <v>148.80000000000001</v>
      </c>
      <c r="J464" s="737"/>
      <c r="K464" s="737">
        <f>I464+J464</f>
        <v>148.80000000000001</v>
      </c>
      <c r="L464" s="3345">
        <f>ROUND(K464,1)</f>
        <v>148.80000000000001</v>
      </c>
      <c r="M464" s="3346"/>
      <c r="N464" s="763"/>
      <c r="O464" s="769"/>
      <c r="P464" s="763"/>
      <c r="Q464" s="769"/>
      <c r="R464" s="769"/>
      <c r="S464" s="769"/>
    </row>
    <row r="465" spans="1:20" s="731" customFormat="1" ht="13.5" customHeight="1">
      <c r="A465" s="734" t="s">
        <v>386</v>
      </c>
      <c r="B465" s="882" t="s">
        <v>387</v>
      </c>
      <c r="C465" s="997"/>
      <c r="D465" s="997"/>
      <c r="E465" s="1001"/>
      <c r="F465" s="997"/>
      <c r="G465" s="3343" t="str">
        <f>G464</f>
        <v>Each Sqm</v>
      </c>
      <c r="H465" s="3344"/>
      <c r="I465" s="738">
        <f>K2369</f>
        <v>151.74</v>
      </c>
      <c r="J465" s="737"/>
      <c r="K465" s="737">
        <f>I465+J465</f>
        <v>151.74</v>
      </c>
      <c r="L465" s="3345">
        <f>ROUND(K465,1)</f>
        <v>151.69999999999999</v>
      </c>
      <c r="M465" s="3346"/>
      <c r="N465" s="763"/>
      <c r="O465" s="769"/>
      <c r="P465" s="763"/>
      <c r="Q465" s="769"/>
      <c r="R465" s="769"/>
      <c r="S465" s="769"/>
    </row>
    <row r="466" spans="1:20" s="714" customFormat="1" ht="13.5" customHeight="1">
      <c r="A466" s="728">
        <f>A463+1</f>
        <v>60</v>
      </c>
      <c r="B466" s="996" t="s">
        <v>3261</v>
      </c>
      <c r="C466" s="996"/>
      <c r="D466" s="996"/>
      <c r="E466" s="996"/>
      <c r="F466" s="996"/>
      <c r="G466" s="3343" t="s">
        <v>390</v>
      </c>
      <c r="H466" s="3344"/>
      <c r="I466" s="738"/>
      <c r="J466" s="737"/>
      <c r="K466" s="737"/>
      <c r="L466" s="3345"/>
      <c r="M466" s="3346"/>
      <c r="O466" s="716" t="s">
        <v>511</v>
      </c>
      <c r="Q466" s="716" t="s">
        <v>510</v>
      </c>
      <c r="R466" s="716" t="s">
        <v>511</v>
      </c>
      <c r="T466" s="723"/>
    </row>
    <row r="467" spans="1:20" s="731" customFormat="1" ht="13.5" customHeight="1">
      <c r="A467" s="734" t="s">
        <v>383</v>
      </c>
      <c r="B467" s="882" t="s">
        <v>384</v>
      </c>
      <c r="C467" s="997"/>
      <c r="D467" s="997"/>
      <c r="E467" s="997"/>
      <c r="F467" s="997"/>
      <c r="G467" s="3343" t="str">
        <f>G466</f>
        <v>Each Sqm</v>
      </c>
      <c r="H467" s="3344"/>
      <c r="I467" s="738">
        <f>K2386</f>
        <v>98.77</v>
      </c>
      <c r="J467" s="737"/>
      <c r="K467" s="737">
        <f>I467+J467</f>
        <v>98.77</v>
      </c>
      <c r="L467" s="3345">
        <f>ROUND(K467,1)</f>
        <v>98.8</v>
      </c>
      <c r="M467" s="3346"/>
      <c r="N467" s="763"/>
      <c r="O467" s="769"/>
      <c r="P467" s="763"/>
      <c r="Q467" s="769"/>
      <c r="R467" s="769"/>
      <c r="S467" s="769"/>
    </row>
    <row r="468" spans="1:20" s="731" customFormat="1" ht="13.5" customHeight="1">
      <c r="A468" s="734" t="s">
        <v>386</v>
      </c>
      <c r="B468" s="882" t="s">
        <v>387</v>
      </c>
      <c r="C468" s="997"/>
      <c r="D468" s="997"/>
      <c r="E468" s="997"/>
      <c r="F468" s="997"/>
      <c r="G468" s="3343" t="str">
        <f>G467</f>
        <v>Each Sqm</v>
      </c>
      <c r="H468" s="3344"/>
      <c r="I468" s="738">
        <f>K2390</f>
        <v>100.81</v>
      </c>
      <c r="J468" s="737"/>
      <c r="K468" s="737">
        <f>I468+J468</f>
        <v>100.81</v>
      </c>
      <c r="L468" s="3345">
        <f>ROUND(K468,1)</f>
        <v>100.8</v>
      </c>
      <c r="M468" s="3346"/>
      <c r="N468" s="763"/>
      <c r="O468" s="769"/>
      <c r="P468" s="763"/>
      <c r="Q468" s="769"/>
      <c r="R468" s="769"/>
      <c r="S468" s="769"/>
    </row>
    <row r="469" spans="1:20" s="714" customFormat="1" ht="13.5" customHeight="1">
      <c r="A469" s="728">
        <f>A466+1</f>
        <v>61</v>
      </c>
      <c r="B469" s="996" t="s">
        <v>3262</v>
      </c>
      <c r="C469" s="996"/>
      <c r="D469" s="996"/>
      <c r="E469" s="996"/>
      <c r="F469" s="996"/>
      <c r="G469" s="3343" t="s">
        <v>390</v>
      </c>
      <c r="H469" s="3344"/>
      <c r="I469" s="738"/>
      <c r="J469" s="737"/>
      <c r="K469" s="737"/>
      <c r="L469" s="3345"/>
      <c r="M469" s="3346"/>
      <c r="O469" s="716" t="s">
        <v>512</v>
      </c>
      <c r="Q469" s="716" t="s">
        <v>399</v>
      </c>
      <c r="R469" s="716" t="s">
        <v>512</v>
      </c>
      <c r="T469" s="723"/>
    </row>
    <row r="470" spans="1:20" s="731" customFormat="1" ht="13.5" customHeight="1">
      <c r="A470" s="734" t="s">
        <v>383</v>
      </c>
      <c r="B470" s="882" t="s">
        <v>384</v>
      </c>
      <c r="C470" s="997"/>
      <c r="D470" s="997"/>
      <c r="E470" s="997"/>
      <c r="F470" s="997"/>
      <c r="G470" s="3343" t="str">
        <f>G469</f>
        <v>Each Sqm</v>
      </c>
      <c r="H470" s="3344"/>
      <c r="I470" s="738">
        <f>K2407</f>
        <v>152.5</v>
      </c>
      <c r="J470" s="737"/>
      <c r="K470" s="737">
        <f>I470+J470</f>
        <v>152.5</v>
      </c>
      <c r="L470" s="3345">
        <f>ROUND(K470,1)</f>
        <v>152.5</v>
      </c>
      <c r="M470" s="3346"/>
      <c r="N470" s="763"/>
      <c r="O470" s="769"/>
      <c r="P470" s="763"/>
      <c r="Q470" s="769"/>
      <c r="R470" s="769"/>
      <c r="S470" s="769"/>
    </row>
    <row r="471" spans="1:20" s="731" customFormat="1" ht="13.5" customHeight="1">
      <c r="A471" s="998" t="s">
        <v>386</v>
      </c>
      <c r="B471" s="882" t="s">
        <v>387</v>
      </c>
      <c r="C471" s="997"/>
      <c r="D471" s="997"/>
      <c r="E471" s="997"/>
      <c r="F471" s="997"/>
      <c r="G471" s="3343" t="str">
        <f>G470</f>
        <v>Each Sqm</v>
      </c>
      <c r="H471" s="3344"/>
      <c r="I471" s="738">
        <f>K2411</f>
        <v>155.08000000000001</v>
      </c>
      <c r="J471" s="737"/>
      <c r="K471" s="737">
        <f>I471+J471</f>
        <v>155.08000000000001</v>
      </c>
      <c r="L471" s="3345">
        <f>ROUND(K471,1)</f>
        <v>155.1</v>
      </c>
      <c r="M471" s="3346"/>
      <c r="N471" s="763"/>
      <c r="O471" s="769"/>
      <c r="P471" s="763"/>
      <c r="Q471" s="769"/>
      <c r="R471" s="769"/>
      <c r="S471" s="769"/>
    </row>
    <row r="472" spans="1:20" s="714" customFormat="1" ht="13.5" customHeight="1">
      <c r="A472" s="992">
        <f>A469+1</f>
        <v>62</v>
      </c>
      <c r="B472" s="996" t="s">
        <v>3263</v>
      </c>
      <c r="C472" s="996"/>
      <c r="D472" s="996"/>
      <c r="E472" s="996"/>
      <c r="F472" s="996"/>
      <c r="G472" s="3343" t="s">
        <v>390</v>
      </c>
      <c r="H472" s="3344"/>
      <c r="I472" s="738"/>
      <c r="J472" s="737"/>
      <c r="K472" s="737"/>
      <c r="L472" s="3345"/>
      <c r="M472" s="3346"/>
      <c r="O472" s="716" t="s">
        <v>513</v>
      </c>
      <c r="R472" s="716" t="s">
        <v>513</v>
      </c>
      <c r="T472" s="723"/>
    </row>
    <row r="473" spans="1:20" s="731" customFormat="1" ht="13.5" customHeight="1">
      <c r="A473" s="998" t="s">
        <v>383</v>
      </c>
      <c r="B473" s="882" t="s">
        <v>384</v>
      </c>
      <c r="C473" s="997"/>
      <c r="D473" s="997"/>
      <c r="E473" s="997"/>
      <c r="F473" s="997"/>
      <c r="G473" s="3343" t="str">
        <f>G472</f>
        <v>Each Sqm</v>
      </c>
      <c r="H473" s="3344"/>
      <c r="I473" s="738">
        <f>K2428</f>
        <v>140.93</v>
      </c>
      <c r="J473" s="737"/>
      <c r="K473" s="737">
        <f>I473+J473</f>
        <v>140.93</v>
      </c>
      <c r="L473" s="3345">
        <f>ROUND(K473,1)</f>
        <v>140.9</v>
      </c>
      <c r="M473" s="3346"/>
      <c r="N473" s="763"/>
      <c r="O473" s="763"/>
      <c r="P473" s="763"/>
      <c r="Q473" s="769" t="s">
        <v>506</v>
      </c>
      <c r="R473" s="769"/>
      <c r="S473" s="769"/>
    </row>
    <row r="474" spans="1:20" s="731" customFormat="1" ht="13.5" customHeight="1">
      <c r="A474" s="998" t="s">
        <v>386</v>
      </c>
      <c r="B474" s="882" t="s">
        <v>387</v>
      </c>
      <c r="C474" s="997"/>
      <c r="D474" s="997"/>
      <c r="E474" s="997"/>
      <c r="F474" s="997"/>
      <c r="G474" s="3343" t="str">
        <f>G473</f>
        <v>Each Sqm</v>
      </c>
      <c r="H474" s="3344"/>
      <c r="I474" s="738">
        <f>K2432</f>
        <v>143.51000000000002</v>
      </c>
      <c r="J474" s="737"/>
      <c r="K474" s="737">
        <f>I474+J474</f>
        <v>143.51000000000002</v>
      </c>
      <c r="L474" s="3345">
        <f>ROUND(K474,1)</f>
        <v>143.5</v>
      </c>
      <c r="M474" s="3346"/>
      <c r="N474" s="763"/>
      <c r="O474" s="763"/>
      <c r="P474" s="763"/>
      <c r="Q474" s="769"/>
      <c r="R474" s="769"/>
      <c r="S474" s="769"/>
    </row>
    <row r="475" spans="1:20" s="731" customFormat="1" ht="13.5" customHeight="1">
      <c r="A475" s="992">
        <f>A472+1</f>
        <v>63</v>
      </c>
      <c r="B475" s="882" t="s">
        <v>3264</v>
      </c>
      <c r="C475" s="997"/>
      <c r="D475" s="997"/>
      <c r="E475" s="997"/>
      <c r="F475" s="997"/>
      <c r="G475" s="3343" t="str">
        <f>G474</f>
        <v>Each Sqm</v>
      </c>
      <c r="H475" s="3344"/>
      <c r="I475" s="738"/>
      <c r="J475" s="737"/>
      <c r="K475" s="737"/>
      <c r="L475" s="1031"/>
      <c r="M475" s="1032"/>
      <c r="N475" s="763"/>
      <c r="O475" s="763"/>
      <c r="P475" s="763"/>
      <c r="Q475" s="769"/>
      <c r="R475" s="769"/>
      <c r="S475" s="769"/>
    </row>
    <row r="476" spans="1:20" s="731" customFormat="1" ht="13.5" customHeight="1">
      <c r="A476" s="998" t="s">
        <v>383</v>
      </c>
      <c r="B476" s="882" t="s">
        <v>384</v>
      </c>
      <c r="C476" s="997"/>
      <c r="D476" s="997"/>
      <c r="E476" s="997"/>
      <c r="F476" s="997"/>
      <c r="G476" s="3343" t="str">
        <f>G475</f>
        <v>Each Sqm</v>
      </c>
      <c r="H476" s="3344"/>
      <c r="I476" s="738">
        <f>K2441</f>
        <v>9.282</v>
      </c>
      <c r="J476" s="737"/>
      <c r="K476" s="737">
        <f>I476+J476</f>
        <v>9.282</v>
      </c>
      <c r="L476" s="3345">
        <f>ROUND(K476,1)</f>
        <v>9.3000000000000007</v>
      </c>
      <c r="M476" s="3346"/>
      <c r="N476" s="763"/>
      <c r="O476" s="763"/>
      <c r="P476" s="763"/>
      <c r="Q476" s="769" t="s">
        <v>514</v>
      </c>
      <c r="R476" s="769"/>
      <c r="S476" s="769"/>
    </row>
    <row r="477" spans="1:20" s="731" customFormat="1" ht="13.5" customHeight="1">
      <c r="A477" s="998" t="s">
        <v>386</v>
      </c>
      <c r="B477" s="882" t="s">
        <v>387</v>
      </c>
      <c r="C477" s="997"/>
      <c r="D477" s="997"/>
      <c r="E477" s="997"/>
      <c r="F477" s="997"/>
      <c r="G477" s="3343" t="str">
        <f>G476</f>
        <v>Each Sqm</v>
      </c>
      <c r="H477" s="3344"/>
      <c r="I477" s="738">
        <f>K2445</f>
        <v>12.012</v>
      </c>
      <c r="J477" s="737"/>
      <c r="K477" s="737">
        <f>I477+J477</f>
        <v>12.012</v>
      </c>
      <c r="L477" s="3345">
        <f>ROUND(K477,1)</f>
        <v>12</v>
      </c>
      <c r="M477" s="3346"/>
      <c r="N477" s="763"/>
      <c r="O477" s="763"/>
      <c r="P477" s="763"/>
      <c r="Q477" s="769"/>
      <c r="R477" s="769"/>
      <c r="S477" s="769"/>
    </row>
    <row r="478" spans="1:20" s="731" customFormat="1" ht="13.5" customHeight="1">
      <c r="A478" s="992">
        <f>A475+1</f>
        <v>64</v>
      </c>
      <c r="B478" s="837" t="s">
        <v>3265</v>
      </c>
      <c r="C478" s="997"/>
      <c r="D478" s="997"/>
      <c r="E478" s="997"/>
      <c r="F478" s="997"/>
      <c r="G478" s="3343" t="str">
        <f>G471</f>
        <v>Each Sqm</v>
      </c>
      <c r="H478" s="3344"/>
      <c r="I478" s="738">
        <f>K2459</f>
        <v>20.170000000000002</v>
      </c>
      <c r="J478" s="737"/>
      <c r="K478" s="737">
        <f>I478+J478</f>
        <v>20.170000000000002</v>
      </c>
      <c r="L478" s="3345">
        <f>ROUND(K478,1)</f>
        <v>20.2</v>
      </c>
      <c r="M478" s="3346"/>
      <c r="N478" s="763"/>
      <c r="O478" s="763"/>
      <c r="P478" s="763"/>
      <c r="Q478" s="769"/>
      <c r="R478" s="769"/>
      <c r="S478" s="769"/>
    </row>
    <row r="479" spans="1:20" s="714" customFormat="1" ht="13.5" customHeight="1">
      <c r="A479" s="992">
        <f>A478+1</f>
        <v>65</v>
      </c>
      <c r="B479" s="837" t="s">
        <v>3266</v>
      </c>
      <c r="C479" s="997"/>
      <c r="D479" s="997"/>
      <c r="E479" s="997"/>
      <c r="F479" s="997"/>
      <c r="G479" s="3343" t="s">
        <v>381</v>
      </c>
      <c r="H479" s="3344"/>
      <c r="I479" s="738">
        <f>K2473</f>
        <v>166.95999999999998</v>
      </c>
      <c r="J479" s="737"/>
      <c r="K479" s="737">
        <f>I479+J479</f>
        <v>166.95999999999998</v>
      </c>
      <c r="L479" s="3345">
        <f>ROUND(K479,1)</f>
        <v>167</v>
      </c>
      <c r="M479" s="3346"/>
      <c r="O479" s="716" t="s">
        <v>516</v>
      </c>
      <c r="Q479" s="716" t="s">
        <v>515</v>
      </c>
      <c r="R479" s="716" t="s">
        <v>516</v>
      </c>
      <c r="T479" s="723"/>
    </row>
    <row r="480" spans="1:20" s="714" customFormat="1" ht="13.5" customHeight="1">
      <c r="A480" s="992">
        <f>A479+1</f>
        <v>66</v>
      </c>
      <c r="B480" s="837" t="s">
        <v>3267</v>
      </c>
      <c r="C480" s="997"/>
      <c r="D480" s="997"/>
      <c r="E480" s="997"/>
      <c r="F480" s="997"/>
      <c r="G480" s="3343" t="s">
        <v>381</v>
      </c>
      <c r="H480" s="3344"/>
      <c r="I480" s="738">
        <f>K2487</f>
        <v>154.81</v>
      </c>
      <c r="J480" s="737"/>
      <c r="K480" s="737">
        <f>I480+J480</f>
        <v>154.81</v>
      </c>
      <c r="L480" s="3345">
        <f>ROUND(K480,1)</f>
        <v>154.80000000000001</v>
      </c>
      <c r="M480" s="3346"/>
      <c r="O480" s="716" t="s">
        <v>517</v>
      </c>
      <c r="Q480" s="716" t="s">
        <v>515</v>
      </c>
      <c r="R480" s="716" t="s">
        <v>517</v>
      </c>
      <c r="T480" s="723"/>
    </row>
    <row r="481" spans="1:20" s="714" customFormat="1" ht="13.5" customHeight="1">
      <c r="A481" s="992">
        <f>A480+1</f>
        <v>67</v>
      </c>
      <c r="B481" s="996" t="s">
        <v>3268</v>
      </c>
      <c r="C481" s="997"/>
      <c r="D481" s="997"/>
      <c r="E481" s="997"/>
      <c r="F481" s="997"/>
      <c r="G481" s="3343" t="s">
        <v>390</v>
      </c>
      <c r="H481" s="3344"/>
      <c r="I481" s="738"/>
      <c r="J481" s="737"/>
      <c r="K481" s="737"/>
      <c r="L481" s="3345"/>
      <c r="M481" s="3346"/>
      <c r="O481" s="716" t="s">
        <v>518</v>
      </c>
      <c r="Q481" s="716"/>
      <c r="R481" s="716" t="s">
        <v>518</v>
      </c>
      <c r="T481" s="723"/>
    </row>
    <row r="482" spans="1:20" s="731" customFormat="1" ht="13.5" customHeight="1">
      <c r="A482" s="998" t="s">
        <v>383</v>
      </c>
      <c r="B482" s="882" t="s">
        <v>384</v>
      </c>
      <c r="C482" s="997"/>
      <c r="D482" s="997"/>
      <c r="E482" s="997"/>
      <c r="F482" s="997"/>
      <c r="G482" s="3343" t="str">
        <f>G481</f>
        <v>Each Sqm</v>
      </c>
      <c r="H482" s="3344"/>
      <c r="I482" s="738">
        <f>K2506</f>
        <v>209.34999999999997</v>
      </c>
      <c r="J482" s="737"/>
      <c r="K482" s="737">
        <f>I482+J482</f>
        <v>209.34999999999997</v>
      </c>
      <c r="L482" s="3345">
        <f>ROUND(K482,1)</f>
        <v>209.4</v>
      </c>
      <c r="M482" s="3346"/>
      <c r="N482" s="763"/>
      <c r="O482" s="769"/>
      <c r="P482" s="763"/>
      <c r="Q482" s="769"/>
      <c r="R482" s="769"/>
      <c r="S482" s="769"/>
      <c r="T482" s="769"/>
    </row>
    <row r="483" spans="1:20" s="731" customFormat="1" ht="13.5" customHeight="1">
      <c r="A483" s="998" t="s">
        <v>386</v>
      </c>
      <c r="B483" s="882" t="s">
        <v>387</v>
      </c>
      <c r="C483" s="997"/>
      <c r="D483" s="997"/>
      <c r="E483" s="997"/>
      <c r="F483" s="997"/>
      <c r="G483" s="3343" t="str">
        <f>G482</f>
        <v>Each Sqm</v>
      </c>
      <c r="H483" s="3344"/>
      <c r="I483" s="738">
        <f>K2510</f>
        <v>214.47399999999996</v>
      </c>
      <c r="J483" s="737"/>
      <c r="K483" s="737">
        <f>I483+J483</f>
        <v>214.47399999999996</v>
      </c>
      <c r="L483" s="3345">
        <f>ROUND(K483,1)</f>
        <v>214.5</v>
      </c>
      <c r="M483" s="3346"/>
      <c r="N483" s="763"/>
      <c r="O483" s="769"/>
      <c r="P483" s="763"/>
      <c r="Q483" s="769"/>
      <c r="R483" s="769"/>
      <c r="S483" s="769"/>
      <c r="T483" s="769"/>
    </row>
    <row r="484" spans="1:20" s="731" customFormat="1" ht="13.5" customHeight="1">
      <c r="A484" s="992">
        <f>A481+1</f>
        <v>68</v>
      </c>
      <c r="B484" s="882" t="s">
        <v>3269</v>
      </c>
      <c r="C484" s="997"/>
      <c r="D484" s="997"/>
      <c r="E484" s="997"/>
      <c r="F484" s="997"/>
      <c r="G484" s="3343" t="s">
        <v>390</v>
      </c>
      <c r="H484" s="3344"/>
      <c r="I484" s="738"/>
      <c r="J484" s="737"/>
      <c r="K484" s="737"/>
      <c r="L484" s="3345"/>
      <c r="M484" s="3346"/>
      <c r="N484" s="763"/>
      <c r="O484" s="769"/>
      <c r="P484" s="763"/>
      <c r="Q484" s="769" t="s">
        <v>519</v>
      </c>
      <c r="R484" s="769"/>
      <c r="S484" s="769"/>
      <c r="T484" s="769"/>
    </row>
    <row r="485" spans="1:20" s="731" customFormat="1" ht="13.5" customHeight="1">
      <c r="A485" s="998" t="s">
        <v>383</v>
      </c>
      <c r="B485" s="882" t="s">
        <v>384</v>
      </c>
      <c r="C485" s="997"/>
      <c r="D485" s="997"/>
      <c r="E485" s="997"/>
      <c r="F485" s="997"/>
      <c r="G485" s="3343" t="str">
        <f>G484</f>
        <v>Each Sqm</v>
      </c>
      <c r="H485" s="3344"/>
      <c r="I485" s="738">
        <f>K2529</f>
        <v>206.71</v>
      </c>
      <c r="J485" s="737"/>
      <c r="K485" s="737">
        <f>I485+J485</f>
        <v>206.71</v>
      </c>
      <c r="L485" s="3345">
        <f>ROUND(K485,1)</f>
        <v>206.7</v>
      </c>
      <c r="M485" s="3346"/>
      <c r="N485" s="763"/>
      <c r="O485" s="769"/>
      <c r="P485" s="763"/>
      <c r="R485" s="769"/>
      <c r="S485" s="769"/>
      <c r="T485" s="769"/>
    </row>
    <row r="486" spans="1:20" s="731" customFormat="1" ht="13.5" customHeight="1">
      <c r="A486" s="998" t="s">
        <v>386</v>
      </c>
      <c r="B486" s="882" t="s">
        <v>387</v>
      </c>
      <c r="C486" s="997"/>
      <c r="D486" s="997"/>
      <c r="E486" s="997"/>
      <c r="F486" s="997"/>
      <c r="G486" s="3343" t="str">
        <f>G485</f>
        <v>Each Sqm</v>
      </c>
      <c r="H486" s="3344"/>
      <c r="I486" s="738">
        <f>K2533</f>
        <v>211.41</v>
      </c>
      <c r="J486" s="737"/>
      <c r="K486" s="737">
        <f>I486+J486</f>
        <v>211.41</v>
      </c>
      <c r="L486" s="3345">
        <f>ROUND(K486,1)</f>
        <v>211.4</v>
      </c>
      <c r="M486" s="3346"/>
      <c r="N486" s="763"/>
      <c r="O486" s="769"/>
      <c r="P486" s="763"/>
      <c r="Q486" s="769"/>
      <c r="R486" s="769"/>
      <c r="S486" s="769"/>
      <c r="T486" s="769"/>
    </row>
    <row r="487" spans="1:20" s="731" customFormat="1" ht="13.5" customHeight="1">
      <c r="A487" s="992">
        <f>A484+1</f>
        <v>69</v>
      </c>
      <c r="B487" s="882" t="s">
        <v>3270</v>
      </c>
      <c r="C487" s="997"/>
      <c r="D487" s="997"/>
      <c r="E487" s="997"/>
      <c r="F487" s="997"/>
      <c r="G487" s="3343" t="s">
        <v>390</v>
      </c>
      <c r="H487" s="3344"/>
      <c r="I487" s="738"/>
      <c r="J487" s="737"/>
      <c r="K487" s="737"/>
      <c r="L487" s="3345"/>
      <c r="M487" s="3346"/>
      <c r="N487" s="763"/>
      <c r="P487" s="763"/>
      <c r="Q487" s="762" t="s">
        <v>520</v>
      </c>
      <c r="T487" s="762"/>
    </row>
    <row r="488" spans="1:20" s="731" customFormat="1" ht="13.5" customHeight="1">
      <c r="A488" s="998" t="s">
        <v>383</v>
      </c>
      <c r="B488" s="882" t="s">
        <v>384</v>
      </c>
      <c r="C488" s="997"/>
      <c r="D488" s="997"/>
      <c r="E488" s="997"/>
      <c r="F488" s="997"/>
      <c r="G488" s="3343" t="str">
        <f>G487</f>
        <v>Each Sqm</v>
      </c>
      <c r="H488" s="3344"/>
      <c r="I488" s="738">
        <f>K2554</f>
        <v>381.87</v>
      </c>
      <c r="J488" s="737"/>
      <c r="K488" s="737">
        <f>I488+J488</f>
        <v>381.87</v>
      </c>
      <c r="L488" s="3345">
        <f>ROUND(K488,1)</f>
        <v>381.9</v>
      </c>
      <c r="M488" s="3346"/>
      <c r="N488" s="763"/>
      <c r="O488" s="769"/>
      <c r="P488" s="763"/>
      <c r="Q488" s="769"/>
      <c r="R488" s="769"/>
      <c r="S488" s="769"/>
      <c r="T488" s="769"/>
    </row>
    <row r="489" spans="1:20" s="731" customFormat="1" ht="13.5" customHeight="1">
      <c r="A489" s="998" t="s">
        <v>386</v>
      </c>
      <c r="B489" s="882" t="s">
        <v>387</v>
      </c>
      <c r="C489" s="997"/>
      <c r="D489" s="997"/>
      <c r="E489" s="997"/>
      <c r="F489" s="997"/>
      <c r="G489" s="3343" t="str">
        <f>G488</f>
        <v>Each Sqm</v>
      </c>
      <c r="H489" s="3344"/>
      <c r="I489" s="738">
        <f>K2558</f>
        <v>393.39</v>
      </c>
      <c r="J489" s="737"/>
      <c r="K489" s="737">
        <f>I489+J489</f>
        <v>393.39</v>
      </c>
      <c r="L489" s="3345">
        <f>ROUND(K489,1)</f>
        <v>393.4</v>
      </c>
      <c r="M489" s="3346"/>
      <c r="N489" s="763"/>
      <c r="O489" s="769"/>
      <c r="P489" s="763"/>
      <c r="Q489" s="769"/>
      <c r="R489" s="769"/>
      <c r="S489" s="769"/>
      <c r="T489" s="769"/>
    </row>
    <row r="490" spans="1:20" s="714" customFormat="1" ht="13.5" customHeight="1">
      <c r="A490" s="992">
        <f>A487+1</f>
        <v>70</v>
      </c>
      <c r="B490" s="837" t="s">
        <v>3271</v>
      </c>
      <c r="C490" s="997"/>
      <c r="D490" s="997"/>
      <c r="E490" s="997"/>
      <c r="F490" s="997"/>
      <c r="G490" s="3343" t="s">
        <v>390</v>
      </c>
      <c r="H490" s="3344"/>
      <c r="I490" s="738"/>
      <c r="J490" s="737"/>
      <c r="K490" s="737"/>
      <c r="L490" s="3345"/>
      <c r="M490" s="3346"/>
      <c r="O490" s="716" t="s">
        <v>522</v>
      </c>
      <c r="Q490" s="716" t="s">
        <v>521</v>
      </c>
      <c r="R490" s="716" t="s">
        <v>522</v>
      </c>
      <c r="T490" s="723"/>
    </row>
    <row r="491" spans="1:20" s="731" customFormat="1" ht="13.5" customHeight="1">
      <c r="A491" s="992" t="s">
        <v>468</v>
      </c>
      <c r="B491" s="837" t="str">
        <f>B154</f>
        <v>Vertified tile ( 600x 600)Printed</v>
      </c>
      <c r="C491" s="997"/>
      <c r="D491" s="997"/>
      <c r="E491" s="997"/>
      <c r="F491" s="997"/>
      <c r="G491" s="3343" t="s">
        <v>390</v>
      </c>
      <c r="H491" s="3344"/>
      <c r="I491" s="738"/>
      <c r="J491" s="737"/>
      <c r="K491" s="737"/>
      <c r="L491" s="1031"/>
      <c r="M491" s="1032"/>
      <c r="N491" s="763"/>
      <c r="O491" s="763"/>
      <c r="P491" s="763"/>
      <c r="T491" s="762"/>
    </row>
    <row r="492" spans="1:20" s="731" customFormat="1" ht="13.5" customHeight="1">
      <c r="A492" s="998" t="s">
        <v>383</v>
      </c>
      <c r="B492" s="882" t="s">
        <v>384</v>
      </c>
      <c r="C492" s="997"/>
      <c r="D492" s="997"/>
      <c r="E492" s="997"/>
      <c r="F492" s="997"/>
      <c r="G492" s="3343" t="str">
        <f>G491</f>
        <v>Each Sqm</v>
      </c>
      <c r="H492" s="3344"/>
      <c r="I492" s="738">
        <f>K2582</f>
        <v>1258.2</v>
      </c>
      <c r="J492" s="737"/>
      <c r="K492" s="737">
        <f>I492+J492</f>
        <v>1258.2</v>
      </c>
      <c r="L492" s="3345">
        <f>ROUND(K492,1)</f>
        <v>1258.2</v>
      </c>
      <c r="M492" s="3346"/>
      <c r="N492" s="763"/>
      <c r="O492" s="763"/>
      <c r="P492" s="763"/>
      <c r="Q492" s="769"/>
      <c r="R492" s="769"/>
      <c r="S492" s="769"/>
      <c r="T492" s="769"/>
    </row>
    <row r="493" spans="1:20" s="731" customFormat="1" ht="13.5" customHeight="1">
      <c r="A493" s="998" t="s">
        <v>386</v>
      </c>
      <c r="B493" s="882" t="s">
        <v>387</v>
      </c>
      <c r="C493" s="997"/>
      <c r="D493" s="997"/>
      <c r="E493" s="997"/>
      <c r="F493" s="997"/>
      <c r="G493" s="3343" t="str">
        <f>G492</f>
        <v>Each Sqm</v>
      </c>
      <c r="H493" s="3344"/>
      <c r="I493" s="738">
        <f>K2586</f>
        <v>1269.95</v>
      </c>
      <c r="J493" s="737"/>
      <c r="K493" s="737">
        <f>I493+J493</f>
        <v>1269.95</v>
      </c>
      <c r="L493" s="3345">
        <f>ROUND(K493,1)</f>
        <v>1270</v>
      </c>
      <c r="M493" s="3346"/>
      <c r="N493" s="763"/>
      <c r="O493" s="763"/>
      <c r="P493" s="763"/>
      <c r="Q493" s="769"/>
      <c r="R493" s="769"/>
      <c r="S493" s="769"/>
      <c r="T493" s="769"/>
    </row>
    <row r="494" spans="1:20" s="731" customFormat="1" ht="13.5" customHeight="1">
      <c r="A494" s="992" t="s">
        <v>470</v>
      </c>
      <c r="B494" s="837" t="str">
        <f>B157</f>
        <v>Vertified tile ( 600x 600)Plain</v>
      </c>
      <c r="C494" s="997"/>
      <c r="D494" s="997"/>
      <c r="E494" s="997"/>
      <c r="F494" s="997"/>
      <c r="G494" s="3343" t="s">
        <v>390</v>
      </c>
      <c r="H494" s="3344"/>
      <c r="I494" s="738"/>
      <c r="J494" s="737"/>
      <c r="K494" s="737"/>
      <c r="L494" s="1031"/>
      <c r="M494" s="1032"/>
      <c r="N494" s="763"/>
      <c r="O494" s="763"/>
      <c r="P494" s="763"/>
      <c r="T494" s="762"/>
    </row>
    <row r="495" spans="1:20" s="731" customFormat="1" ht="13.5" customHeight="1">
      <c r="A495" s="998" t="s">
        <v>383</v>
      </c>
      <c r="B495" s="882" t="s">
        <v>384</v>
      </c>
      <c r="C495" s="997"/>
      <c r="D495" s="997"/>
      <c r="E495" s="997"/>
      <c r="F495" s="997"/>
      <c r="G495" s="3343" t="str">
        <f>G494</f>
        <v>Each Sqm</v>
      </c>
      <c r="H495" s="3344"/>
      <c r="I495" s="738">
        <f>K2592</f>
        <v>1205.47</v>
      </c>
      <c r="J495" s="737"/>
      <c r="K495" s="737">
        <f>I495+J495</f>
        <v>1205.47</v>
      </c>
      <c r="L495" s="3345">
        <f>ROUND(K495,1)</f>
        <v>1205.5</v>
      </c>
      <c r="M495" s="3346"/>
      <c r="N495" s="763"/>
      <c r="O495" s="763"/>
      <c r="P495" s="763"/>
      <c r="Q495" s="769"/>
      <c r="R495" s="769"/>
      <c r="S495" s="769"/>
      <c r="T495" s="769"/>
    </row>
    <row r="496" spans="1:20" s="731" customFormat="1" ht="13.5" customHeight="1">
      <c r="A496" s="998" t="s">
        <v>386</v>
      </c>
      <c r="B496" s="882" t="s">
        <v>387</v>
      </c>
      <c r="C496" s="997"/>
      <c r="D496" s="997"/>
      <c r="E496" s="997"/>
      <c r="F496" s="997"/>
      <c r="G496" s="3343" t="str">
        <f>G495</f>
        <v>Each Sqm</v>
      </c>
      <c r="H496" s="3344"/>
      <c r="I496" s="738">
        <f>K2596</f>
        <v>1217.22</v>
      </c>
      <c r="J496" s="737"/>
      <c r="K496" s="737">
        <f>I496+J496</f>
        <v>1217.22</v>
      </c>
      <c r="L496" s="3345">
        <f>ROUND(K496,1)</f>
        <v>1217.2</v>
      </c>
      <c r="M496" s="3346"/>
      <c r="N496" s="763"/>
      <c r="O496" s="763"/>
      <c r="P496" s="763"/>
      <c r="Q496" s="769"/>
      <c r="R496" s="769"/>
      <c r="S496" s="769"/>
      <c r="T496" s="769"/>
    </row>
    <row r="497" spans="1:20" s="731" customFormat="1" ht="13.5" customHeight="1">
      <c r="A497" s="992" t="s">
        <v>472</v>
      </c>
      <c r="B497" s="837" t="str">
        <f>I154</f>
        <v>Vertified industrial tile (300 x300)</v>
      </c>
      <c r="C497" s="997"/>
      <c r="D497" s="997"/>
      <c r="E497" s="997"/>
      <c r="F497" s="997"/>
      <c r="G497" s="3343" t="s">
        <v>390</v>
      </c>
      <c r="H497" s="3344"/>
      <c r="I497" s="738"/>
      <c r="J497" s="737"/>
      <c r="K497" s="737"/>
      <c r="L497" s="1031"/>
      <c r="M497" s="1032"/>
      <c r="N497" s="763"/>
      <c r="O497" s="763"/>
      <c r="P497" s="763"/>
      <c r="T497" s="762"/>
    </row>
    <row r="498" spans="1:20" s="731" customFormat="1" ht="13.5" customHeight="1">
      <c r="A498" s="998" t="s">
        <v>383</v>
      </c>
      <c r="B498" s="882" t="s">
        <v>384</v>
      </c>
      <c r="C498" s="997"/>
      <c r="D498" s="997"/>
      <c r="E498" s="997"/>
      <c r="F498" s="997"/>
      <c r="G498" s="3343" t="str">
        <f>G497</f>
        <v>Each Sqm</v>
      </c>
      <c r="H498" s="3344"/>
      <c r="I498" s="738">
        <f>K2602</f>
        <v>1119.6500000000001</v>
      </c>
      <c r="J498" s="737"/>
      <c r="K498" s="737">
        <f>I498+J498</f>
        <v>1119.6500000000001</v>
      </c>
      <c r="L498" s="3345">
        <f>ROUND(K498,1)</f>
        <v>1119.7</v>
      </c>
      <c r="M498" s="3346"/>
      <c r="N498" s="763"/>
      <c r="O498" s="763"/>
      <c r="P498" s="763"/>
      <c r="Q498" s="769"/>
      <c r="R498" s="769"/>
      <c r="S498" s="769"/>
      <c r="T498" s="769"/>
    </row>
    <row r="499" spans="1:20" s="731" customFormat="1" ht="13.5" customHeight="1">
      <c r="A499" s="998" t="s">
        <v>386</v>
      </c>
      <c r="B499" s="882" t="s">
        <v>387</v>
      </c>
      <c r="C499" s="997"/>
      <c r="D499" s="997"/>
      <c r="E499" s="997"/>
      <c r="F499" s="997"/>
      <c r="G499" s="3343" t="str">
        <f>G498</f>
        <v>Each Sqm</v>
      </c>
      <c r="H499" s="3344"/>
      <c r="I499" s="738">
        <f>K2606</f>
        <v>1131.4000000000001</v>
      </c>
      <c r="J499" s="737"/>
      <c r="K499" s="737">
        <f>I499+J499</f>
        <v>1131.4000000000001</v>
      </c>
      <c r="L499" s="3345">
        <f>ROUND(K499,1)</f>
        <v>1131.4000000000001</v>
      </c>
      <c r="M499" s="3346"/>
      <c r="N499" s="763"/>
      <c r="O499" s="763"/>
      <c r="P499" s="763"/>
      <c r="Q499" s="769"/>
      <c r="R499" s="769"/>
      <c r="S499" s="769"/>
      <c r="T499" s="769"/>
    </row>
    <row r="500" spans="1:20" s="731" customFormat="1" ht="13.5" customHeight="1">
      <c r="A500" s="992" t="s">
        <v>474</v>
      </c>
      <c r="B500" s="837" t="str">
        <f>I150</f>
        <v>Chequred tile</v>
      </c>
      <c r="C500" s="997"/>
      <c r="D500" s="997"/>
      <c r="E500" s="997"/>
      <c r="F500" s="997"/>
      <c r="G500" s="3343" t="s">
        <v>390</v>
      </c>
      <c r="H500" s="3344"/>
      <c r="I500" s="738"/>
      <c r="J500" s="737"/>
      <c r="K500" s="737"/>
      <c r="L500" s="1031"/>
      <c r="M500" s="1032"/>
      <c r="N500" s="763"/>
      <c r="O500" s="763"/>
      <c r="P500" s="763"/>
      <c r="T500" s="762"/>
    </row>
    <row r="501" spans="1:20" s="731" customFormat="1" ht="13.5" customHeight="1">
      <c r="A501" s="998" t="s">
        <v>383</v>
      </c>
      <c r="B501" s="882" t="s">
        <v>384</v>
      </c>
      <c r="C501" s="997"/>
      <c r="D501" s="997"/>
      <c r="E501" s="997"/>
      <c r="F501" s="997"/>
      <c r="G501" s="3343" t="str">
        <f>G500</f>
        <v>Each Sqm</v>
      </c>
      <c r="H501" s="3344"/>
      <c r="I501" s="738">
        <f>K2612</f>
        <v>763.28</v>
      </c>
      <c r="J501" s="737"/>
      <c r="K501" s="737">
        <f>I501+J501</f>
        <v>763.28</v>
      </c>
      <c r="L501" s="3345">
        <f>ROUND(K501,1)</f>
        <v>763.3</v>
      </c>
      <c r="M501" s="3346"/>
      <c r="N501" s="763"/>
      <c r="O501" s="763"/>
      <c r="P501" s="763"/>
      <c r="Q501" s="769"/>
      <c r="R501" s="769"/>
      <c r="S501" s="769"/>
      <c r="T501" s="769"/>
    </row>
    <row r="502" spans="1:20" s="731" customFormat="1" ht="13.5" customHeight="1">
      <c r="A502" s="998" t="s">
        <v>386</v>
      </c>
      <c r="B502" s="882" t="s">
        <v>387</v>
      </c>
      <c r="C502" s="997"/>
      <c r="D502" s="997"/>
      <c r="E502" s="997"/>
      <c r="F502" s="997"/>
      <c r="G502" s="3343" t="str">
        <f>G501</f>
        <v>Each Sqm</v>
      </c>
      <c r="H502" s="3344"/>
      <c r="I502" s="738">
        <f>K2616</f>
        <v>775.03</v>
      </c>
      <c r="J502" s="737"/>
      <c r="K502" s="737">
        <f>I502+J502</f>
        <v>775.03</v>
      </c>
      <c r="L502" s="3345">
        <f>ROUND(K502,1)</f>
        <v>775</v>
      </c>
      <c r="M502" s="3346"/>
      <c r="N502" s="763"/>
      <c r="O502" s="763"/>
      <c r="P502" s="763"/>
      <c r="Q502" s="769"/>
      <c r="R502" s="769"/>
      <c r="S502" s="769"/>
      <c r="T502" s="769"/>
    </row>
    <row r="503" spans="1:20" s="731" customFormat="1" ht="13.5" customHeight="1">
      <c r="A503" s="992" t="s">
        <v>476</v>
      </c>
      <c r="B503" s="837" t="s">
        <v>228</v>
      </c>
      <c r="C503" s="997"/>
      <c r="D503" s="997"/>
      <c r="E503" s="997"/>
      <c r="F503" s="997"/>
      <c r="G503" s="3343" t="s">
        <v>390</v>
      </c>
      <c r="H503" s="3344"/>
      <c r="I503" s="738"/>
      <c r="J503" s="737"/>
      <c r="K503" s="737"/>
      <c r="L503" s="1031"/>
      <c r="M503" s="1032"/>
      <c r="N503" s="763"/>
      <c r="O503" s="763"/>
      <c r="P503" s="763"/>
      <c r="T503" s="762"/>
    </row>
    <row r="504" spans="1:20" s="731" customFormat="1" ht="13.5" customHeight="1">
      <c r="A504" s="998" t="s">
        <v>383</v>
      </c>
      <c r="B504" s="882" t="s">
        <v>384</v>
      </c>
      <c r="C504" s="997"/>
      <c r="D504" s="997"/>
      <c r="E504" s="997"/>
      <c r="F504" s="997"/>
      <c r="G504" s="3343" t="str">
        <f>G503</f>
        <v>Each Sqm</v>
      </c>
      <c r="H504" s="3344"/>
      <c r="I504" s="738">
        <f>K2622</f>
        <v>956.40000000000009</v>
      </c>
      <c r="J504" s="737"/>
      <c r="K504" s="737">
        <f>I504+J504</f>
        <v>956.40000000000009</v>
      </c>
      <c r="L504" s="3345">
        <f>ROUND(K504,1)</f>
        <v>956.4</v>
      </c>
      <c r="M504" s="3346"/>
      <c r="N504" s="763"/>
      <c r="O504" s="763"/>
      <c r="P504" s="763"/>
      <c r="Q504" s="769"/>
      <c r="R504" s="769"/>
      <c r="S504" s="769"/>
      <c r="T504" s="769" t="s">
        <v>373</v>
      </c>
    </row>
    <row r="505" spans="1:20" s="731" customFormat="1" ht="13.5" customHeight="1">
      <c r="A505" s="998" t="s">
        <v>386</v>
      </c>
      <c r="B505" s="882" t="s">
        <v>387</v>
      </c>
      <c r="C505" s="997"/>
      <c r="D505" s="997"/>
      <c r="E505" s="997"/>
      <c r="F505" s="997"/>
      <c r="G505" s="3343" t="str">
        <f>G504</f>
        <v>Each Sqm</v>
      </c>
      <c r="H505" s="3344"/>
      <c r="I505" s="738">
        <f>K2626</f>
        <v>968.15000000000009</v>
      </c>
      <c r="J505" s="737"/>
      <c r="K505" s="737">
        <f>I505+J505</f>
        <v>968.15000000000009</v>
      </c>
      <c r="L505" s="3345">
        <f>ROUND(K505,1)</f>
        <v>968.2</v>
      </c>
      <c r="M505" s="3346"/>
      <c r="N505" s="763"/>
      <c r="O505" s="763"/>
      <c r="P505" s="763"/>
      <c r="Q505" s="769"/>
      <c r="R505" s="769"/>
      <c r="S505" s="769"/>
      <c r="T505" s="769"/>
    </row>
    <row r="506" spans="1:20" s="731" customFormat="1" ht="13.5" customHeight="1">
      <c r="A506" s="992" t="s">
        <v>478</v>
      </c>
      <c r="B506" s="837" t="str">
        <f>I151</f>
        <v>Kota tile (size above 0.10sqm)</v>
      </c>
      <c r="C506" s="997"/>
      <c r="D506" s="997"/>
      <c r="E506" s="997"/>
      <c r="F506" s="997"/>
      <c r="G506" s="3343" t="s">
        <v>390</v>
      </c>
      <c r="H506" s="3344"/>
      <c r="I506" s="738"/>
      <c r="J506" s="737"/>
      <c r="K506" s="737"/>
      <c r="L506" s="1031"/>
      <c r="M506" s="1032"/>
      <c r="N506" s="763"/>
      <c r="O506" s="763"/>
      <c r="P506" s="763"/>
      <c r="T506" s="762"/>
    </row>
    <row r="507" spans="1:20" s="731" customFormat="1" ht="13.5" customHeight="1">
      <c r="A507" s="998" t="s">
        <v>383</v>
      </c>
      <c r="B507" s="882" t="s">
        <v>384</v>
      </c>
      <c r="C507" s="997"/>
      <c r="D507" s="997"/>
      <c r="E507" s="997"/>
      <c r="F507" s="997"/>
      <c r="G507" s="3343" t="str">
        <f>G506</f>
        <v>Each Sqm</v>
      </c>
      <c r="H507" s="3344"/>
      <c r="I507" s="738">
        <f>K2635</f>
        <v>1085.96</v>
      </c>
      <c r="J507" s="737"/>
      <c r="K507" s="737">
        <f>I507+J507</f>
        <v>1085.96</v>
      </c>
      <c r="L507" s="3345">
        <f>ROUND(K507,1)</f>
        <v>1086</v>
      </c>
      <c r="M507" s="3346"/>
      <c r="N507" s="763"/>
      <c r="O507" s="763"/>
      <c r="P507" s="763"/>
      <c r="Q507" s="769"/>
      <c r="R507" s="769"/>
      <c r="S507" s="769"/>
      <c r="T507" s="769"/>
    </row>
    <row r="508" spans="1:20" s="731" customFormat="1" ht="13.5" customHeight="1">
      <c r="A508" s="998" t="s">
        <v>386</v>
      </c>
      <c r="B508" s="882" t="s">
        <v>387</v>
      </c>
      <c r="C508" s="997"/>
      <c r="D508" s="997"/>
      <c r="E508" s="997"/>
      <c r="F508" s="997"/>
      <c r="G508" s="3343" t="str">
        <f>G507</f>
        <v>Each Sqm</v>
      </c>
      <c r="H508" s="3344"/>
      <c r="I508" s="738">
        <f>K2639</f>
        <v>1097.71</v>
      </c>
      <c r="J508" s="737"/>
      <c r="K508" s="737">
        <f>I508+J508</f>
        <v>1097.71</v>
      </c>
      <c r="L508" s="3345">
        <f>ROUND(K508,1)</f>
        <v>1097.7</v>
      </c>
      <c r="M508" s="3346"/>
      <c r="N508" s="763"/>
      <c r="O508" s="763"/>
      <c r="P508" s="763"/>
      <c r="Q508" s="769"/>
      <c r="R508" s="769"/>
      <c r="S508" s="769"/>
      <c r="T508" s="769"/>
    </row>
    <row r="509" spans="1:20" s="731" customFormat="1" ht="13.5" customHeight="1">
      <c r="A509" s="992">
        <f>A490+1</f>
        <v>71</v>
      </c>
      <c r="B509" s="837" t="s">
        <v>3272</v>
      </c>
      <c r="C509" s="997"/>
      <c r="D509" s="997"/>
      <c r="E509" s="997"/>
      <c r="F509" s="997"/>
      <c r="G509" s="3343" t="s">
        <v>390</v>
      </c>
      <c r="H509" s="3344"/>
      <c r="I509" s="738"/>
      <c r="J509" s="737"/>
      <c r="K509" s="737"/>
      <c r="L509" s="3345"/>
      <c r="M509" s="3346"/>
      <c r="N509" s="763"/>
      <c r="O509" s="716" t="s">
        <v>522</v>
      </c>
      <c r="P509" s="763"/>
      <c r="Q509" s="830" t="s">
        <v>523</v>
      </c>
      <c r="R509" s="716" t="s">
        <v>522</v>
      </c>
      <c r="T509" s="762"/>
    </row>
    <row r="510" spans="1:20" s="731" customFormat="1" ht="13.5" customHeight="1">
      <c r="A510" s="992" t="s">
        <v>468</v>
      </c>
      <c r="B510" s="837" t="str">
        <f>B491</f>
        <v>Vertified tile ( 600x 600)Printed</v>
      </c>
      <c r="C510" s="997"/>
      <c r="D510" s="997"/>
      <c r="E510" s="997"/>
      <c r="F510" s="997"/>
      <c r="G510" s="3343" t="s">
        <v>390</v>
      </c>
      <c r="H510" s="3344"/>
      <c r="I510" s="738"/>
      <c r="J510" s="737"/>
      <c r="K510" s="737"/>
      <c r="L510" s="3345"/>
      <c r="M510" s="3346"/>
      <c r="N510" s="763"/>
      <c r="O510" s="763"/>
      <c r="P510" s="763"/>
      <c r="T510" s="762"/>
    </row>
    <row r="511" spans="1:20" s="731" customFormat="1" ht="13.5" customHeight="1">
      <c r="A511" s="998" t="s">
        <v>383</v>
      </c>
      <c r="B511" s="882" t="s">
        <v>384</v>
      </c>
      <c r="C511" s="997"/>
      <c r="D511" s="997"/>
      <c r="E511" s="997"/>
      <c r="F511" s="997"/>
      <c r="G511" s="3343" t="str">
        <f>G510</f>
        <v>Each Sqm</v>
      </c>
      <c r="H511" s="3344"/>
      <c r="I511" s="738">
        <f>K2664</f>
        <v>1039.5899999999999</v>
      </c>
      <c r="J511" s="737"/>
      <c r="K511" s="737">
        <f>I511+J511</f>
        <v>1039.5899999999999</v>
      </c>
      <c r="L511" s="3345">
        <f>ROUND(K511,1)</f>
        <v>1039.5999999999999</v>
      </c>
      <c r="M511" s="3346"/>
      <c r="N511" s="763"/>
      <c r="O511" s="763"/>
      <c r="P511" s="763"/>
      <c r="Q511" s="769"/>
      <c r="R511" s="769"/>
      <c r="S511" s="769"/>
      <c r="T511" s="769"/>
    </row>
    <row r="512" spans="1:20" s="731" customFormat="1" ht="13.5" customHeight="1">
      <c r="A512" s="998" t="s">
        <v>386</v>
      </c>
      <c r="B512" s="882" t="s">
        <v>387</v>
      </c>
      <c r="C512" s="997"/>
      <c r="D512" s="997"/>
      <c r="E512" s="997"/>
      <c r="F512" s="997"/>
      <c r="G512" s="3343" t="str">
        <f>G511</f>
        <v>Each Sqm</v>
      </c>
      <c r="H512" s="3344"/>
      <c r="I512" s="738">
        <f>K2668</f>
        <v>1044.6299999999999</v>
      </c>
      <c r="J512" s="737"/>
      <c r="K512" s="737">
        <f>I512+J512</f>
        <v>1044.6299999999999</v>
      </c>
      <c r="L512" s="3345">
        <f>ROUND(K512,1)</f>
        <v>1044.5999999999999</v>
      </c>
      <c r="M512" s="3346"/>
      <c r="N512" s="763"/>
      <c r="O512" s="763"/>
      <c r="P512" s="763"/>
      <c r="Q512" s="769"/>
      <c r="R512" s="769"/>
      <c r="S512" s="769"/>
      <c r="T512" s="769"/>
    </row>
    <row r="513" spans="1:20" s="731" customFormat="1" ht="13.5" customHeight="1">
      <c r="A513" s="992" t="s">
        <v>470</v>
      </c>
      <c r="B513" s="837" t="str">
        <f>B157</f>
        <v>Vertified tile ( 600x 600)Plain</v>
      </c>
      <c r="C513" s="997"/>
      <c r="D513" s="997"/>
      <c r="E513" s="997"/>
      <c r="F513" s="997"/>
      <c r="G513" s="3343" t="s">
        <v>390</v>
      </c>
      <c r="H513" s="3344"/>
      <c r="I513" s="738"/>
      <c r="J513" s="737"/>
      <c r="K513" s="737"/>
      <c r="L513" s="1031"/>
      <c r="M513" s="1032"/>
      <c r="N513" s="763"/>
      <c r="O513" s="763"/>
      <c r="P513" s="763"/>
      <c r="T513" s="762"/>
    </row>
    <row r="514" spans="1:20" s="731" customFormat="1" ht="13.5" customHeight="1">
      <c r="A514" s="998" t="s">
        <v>383</v>
      </c>
      <c r="B514" s="882" t="s">
        <v>384</v>
      </c>
      <c r="C514" s="997"/>
      <c r="D514" s="997"/>
      <c r="E514" s="997"/>
      <c r="F514" s="997"/>
      <c r="G514" s="3343" t="str">
        <f>G513</f>
        <v>Each Sqm</v>
      </c>
      <c r="H514" s="3344"/>
      <c r="I514" s="738">
        <f>K2674</f>
        <v>986.86</v>
      </c>
      <c r="J514" s="737"/>
      <c r="K514" s="737">
        <f>I514+J514</f>
        <v>986.86</v>
      </c>
      <c r="L514" s="3345">
        <f>ROUND(K514,1)</f>
        <v>986.9</v>
      </c>
      <c r="M514" s="3346"/>
      <c r="N514" s="763"/>
      <c r="O514" s="763"/>
      <c r="P514" s="763"/>
      <c r="Q514" s="769"/>
      <c r="R514" s="769"/>
      <c r="S514" s="769"/>
      <c r="T514" s="769"/>
    </row>
    <row r="515" spans="1:20" s="731" customFormat="1" ht="13.5" customHeight="1">
      <c r="A515" s="998" t="s">
        <v>386</v>
      </c>
      <c r="B515" s="882" t="s">
        <v>387</v>
      </c>
      <c r="C515" s="997"/>
      <c r="D515" s="997"/>
      <c r="E515" s="997"/>
      <c r="F515" s="997"/>
      <c r="G515" s="3343" t="str">
        <f>G514</f>
        <v>Each Sqm</v>
      </c>
      <c r="H515" s="3344"/>
      <c r="I515" s="738">
        <f>K2678</f>
        <v>991.9</v>
      </c>
      <c r="J515" s="737"/>
      <c r="K515" s="737">
        <f>I515+J515</f>
        <v>991.9</v>
      </c>
      <c r="L515" s="3345">
        <f>ROUND(K515,1)</f>
        <v>991.9</v>
      </c>
      <c r="M515" s="3346"/>
      <c r="N515" s="763"/>
      <c r="O515" s="763"/>
      <c r="P515" s="763"/>
      <c r="Q515" s="769"/>
      <c r="R515" s="769"/>
      <c r="S515" s="769"/>
      <c r="T515" s="769"/>
    </row>
    <row r="516" spans="1:20" s="731" customFormat="1" ht="13.5" customHeight="1">
      <c r="A516" s="992" t="s">
        <v>472</v>
      </c>
      <c r="B516" s="837" t="str">
        <f>B497</f>
        <v>Vertified industrial tile (300 x300)</v>
      </c>
      <c r="C516" s="997"/>
      <c r="D516" s="997"/>
      <c r="E516" s="997"/>
      <c r="F516" s="997"/>
      <c r="G516" s="3343" t="s">
        <v>390</v>
      </c>
      <c r="H516" s="3344"/>
      <c r="I516" s="738"/>
      <c r="J516" s="737"/>
      <c r="K516" s="737"/>
      <c r="L516" s="1031"/>
      <c r="M516" s="1032"/>
      <c r="N516" s="763"/>
      <c r="O516" s="763"/>
      <c r="P516" s="763"/>
      <c r="T516" s="762"/>
    </row>
    <row r="517" spans="1:20" s="731" customFormat="1" ht="13.5" customHeight="1">
      <c r="A517" s="998" t="s">
        <v>383</v>
      </c>
      <c r="B517" s="882" t="s">
        <v>384</v>
      </c>
      <c r="C517" s="997"/>
      <c r="D517" s="997"/>
      <c r="E517" s="997"/>
      <c r="F517" s="997"/>
      <c r="G517" s="3343" t="str">
        <f>G516</f>
        <v>Each Sqm</v>
      </c>
      <c r="H517" s="3344"/>
      <c r="I517" s="738">
        <f>K2684</f>
        <v>901.04000000000008</v>
      </c>
      <c r="J517" s="737"/>
      <c r="K517" s="737">
        <f>I517+J517</f>
        <v>901.04000000000008</v>
      </c>
      <c r="L517" s="3345">
        <f>ROUND(K517,1)</f>
        <v>901</v>
      </c>
      <c r="M517" s="3346"/>
      <c r="N517" s="763"/>
      <c r="O517" s="763"/>
      <c r="P517" s="763"/>
      <c r="Q517" s="769"/>
      <c r="R517" s="769"/>
      <c r="S517" s="769"/>
      <c r="T517" s="769"/>
    </row>
    <row r="518" spans="1:20" s="731" customFormat="1" ht="13.5" customHeight="1">
      <c r="A518" s="998" t="s">
        <v>386</v>
      </c>
      <c r="B518" s="882" t="s">
        <v>387</v>
      </c>
      <c r="C518" s="997"/>
      <c r="D518" s="997"/>
      <c r="E518" s="997"/>
      <c r="F518" s="997"/>
      <c r="G518" s="3343" t="str">
        <f>G517</f>
        <v>Each Sqm</v>
      </c>
      <c r="H518" s="3344"/>
      <c r="I518" s="738">
        <f>K2688</f>
        <v>906.08</v>
      </c>
      <c r="J518" s="737"/>
      <c r="K518" s="737">
        <f>I518+J518</f>
        <v>906.08</v>
      </c>
      <c r="L518" s="3345">
        <f>ROUND(K518,1)</f>
        <v>906.1</v>
      </c>
      <c r="M518" s="3346"/>
      <c r="N518" s="763"/>
      <c r="O518" s="763"/>
      <c r="P518" s="763"/>
      <c r="Q518" s="769"/>
      <c r="R518" s="769"/>
      <c r="S518" s="769"/>
      <c r="T518" s="769"/>
    </row>
    <row r="519" spans="1:20" s="731" customFormat="1" ht="13.5" customHeight="1">
      <c r="A519" s="992" t="s">
        <v>474</v>
      </c>
      <c r="B519" s="837" t="str">
        <f>B500</f>
        <v>Chequred tile</v>
      </c>
      <c r="C519" s="997"/>
      <c r="D519" s="997"/>
      <c r="E519" s="997"/>
      <c r="F519" s="997"/>
      <c r="G519" s="3343" t="s">
        <v>390</v>
      </c>
      <c r="H519" s="3344"/>
      <c r="I519" s="738"/>
      <c r="J519" s="737"/>
      <c r="K519" s="737"/>
      <c r="L519" s="1031"/>
      <c r="M519" s="1032"/>
      <c r="N519" s="763"/>
      <c r="O519" s="763"/>
      <c r="P519" s="763"/>
      <c r="T519" s="762"/>
    </row>
    <row r="520" spans="1:20" s="731" customFormat="1" ht="13.5" customHeight="1">
      <c r="A520" s="998" t="s">
        <v>383</v>
      </c>
      <c r="B520" s="882" t="s">
        <v>384</v>
      </c>
      <c r="C520" s="997"/>
      <c r="D520" s="997"/>
      <c r="E520" s="997"/>
      <c r="F520" s="997"/>
      <c r="G520" s="3343" t="str">
        <f>G519</f>
        <v>Each Sqm</v>
      </c>
      <c r="H520" s="3344"/>
      <c r="I520" s="738">
        <f>K2694</f>
        <v>544.66999999999996</v>
      </c>
      <c r="J520" s="737"/>
      <c r="K520" s="737">
        <f>I520+J520</f>
        <v>544.66999999999996</v>
      </c>
      <c r="L520" s="3345">
        <f>ROUND(K520,1)</f>
        <v>544.70000000000005</v>
      </c>
      <c r="M520" s="3346"/>
      <c r="N520" s="763"/>
      <c r="O520" s="763"/>
      <c r="P520" s="763"/>
      <c r="Q520" s="769"/>
      <c r="R520" s="769"/>
      <c r="S520" s="769"/>
      <c r="T520" s="769"/>
    </row>
    <row r="521" spans="1:20" s="731" customFormat="1" ht="13.5" customHeight="1">
      <c r="A521" s="998" t="s">
        <v>386</v>
      </c>
      <c r="B521" s="882" t="s">
        <v>387</v>
      </c>
      <c r="C521" s="997"/>
      <c r="D521" s="997"/>
      <c r="E521" s="997"/>
      <c r="F521" s="997"/>
      <c r="G521" s="3343" t="str">
        <f>G520</f>
        <v>Each Sqm</v>
      </c>
      <c r="H521" s="3344"/>
      <c r="I521" s="738">
        <f>K2698</f>
        <v>549.70999999999992</v>
      </c>
      <c r="J521" s="737"/>
      <c r="K521" s="737">
        <f>I521+J521</f>
        <v>549.70999999999992</v>
      </c>
      <c r="L521" s="3345">
        <f>ROUND(K521,1)</f>
        <v>549.70000000000005</v>
      </c>
      <c r="M521" s="3346"/>
      <c r="N521" s="763"/>
      <c r="O521" s="763"/>
      <c r="P521" s="763"/>
      <c r="Q521" s="769"/>
      <c r="R521" s="769"/>
      <c r="S521" s="769"/>
      <c r="T521" s="769"/>
    </row>
    <row r="522" spans="1:20" s="731" customFormat="1" ht="13.5" customHeight="1">
      <c r="A522" s="992" t="s">
        <v>476</v>
      </c>
      <c r="B522" s="837" t="str">
        <f>B503</f>
        <v>Ceramic floor tile</v>
      </c>
      <c r="C522" s="997"/>
      <c r="D522" s="997"/>
      <c r="E522" s="997"/>
      <c r="F522" s="997"/>
      <c r="G522" s="3343" t="s">
        <v>390</v>
      </c>
      <c r="H522" s="3344"/>
      <c r="I522" s="738"/>
      <c r="J522" s="737"/>
      <c r="K522" s="737"/>
      <c r="L522" s="1031"/>
      <c r="M522" s="1032"/>
      <c r="N522" s="763"/>
      <c r="O522" s="763"/>
      <c r="P522" s="763"/>
      <c r="T522" s="762"/>
    </row>
    <row r="523" spans="1:20" s="731" customFormat="1" ht="13.5" customHeight="1">
      <c r="A523" s="998" t="s">
        <v>383</v>
      </c>
      <c r="B523" s="882" t="s">
        <v>384</v>
      </c>
      <c r="C523" s="997"/>
      <c r="D523" s="997"/>
      <c r="E523" s="997"/>
      <c r="F523" s="997"/>
      <c r="G523" s="3343" t="str">
        <f>G522</f>
        <v>Each Sqm</v>
      </c>
      <c r="H523" s="3344"/>
      <c r="I523" s="738">
        <f>K2704</f>
        <v>737.79000000000008</v>
      </c>
      <c r="J523" s="737"/>
      <c r="K523" s="737">
        <f>I523+J523</f>
        <v>737.79000000000008</v>
      </c>
      <c r="L523" s="3345">
        <f>ROUND(K523,1)</f>
        <v>737.8</v>
      </c>
      <c r="M523" s="3346"/>
      <c r="N523" s="763"/>
      <c r="O523" s="763"/>
      <c r="P523" s="763"/>
      <c r="Q523" s="769"/>
      <c r="R523" s="769"/>
      <c r="S523" s="769"/>
      <c r="T523" s="769"/>
    </row>
    <row r="524" spans="1:20" s="731" customFormat="1" ht="13.5" customHeight="1">
      <c r="A524" s="998" t="s">
        <v>386</v>
      </c>
      <c r="B524" s="882" t="s">
        <v>387</v>
      </c>
      <c r="C524" s="997"/>
      <c r="D524" s="997"/>
      <c r="E524" s="997"/>
      <c r="F524" s="997"/>
      <c r="G524" s="3343" t="str">
        <f>G523</f>
        <v>Each Sqm</v>
      </c>
      <c r="H524" s="3344"/>
      <c r="I524" s="738">
        <f>K2708</f>
        <v>742.83</v>
      </c>
      <c r="J524" s="737"/>
      <c r="K524" s="737">
        <f>I524+J524</f>
        <v>742.83</v>
      </c>
      <c r="L524" s="3345">
        <f>ROUND(K524,1)</f>
        <v>742.8</v>
      </c>
      <c r="M524" s="3346"/>
      <c r="N524" s="763"/>
      <c r="O524" s="763"/>
      <c r="P524" s="763"/>
      <c r="Q524" s="769"/>
      <c r="R524" s="769"/>
      <c r="S524" s="769"/>
      <c r="T524" s="769"/>
    </row>
    <row r="525" spans="1:20" s="731" customFormat="1" ht="13.5" customHeight="1">
      <c r="A525" s="992" t="s">
        <v>478</v>
      </c>
      <c r="B525" s="837" t="str">
        <f>B506</f>
        <v>Kota tile (size above 0.10sqm)</v>
      </c>
      <c r="C525" s="997"/>
      <c r="D525" s="997"/>
      <c r="E525" s="997"/>
      <c r="F525" s="997"/>
      <c r="G525" s="3343" t="s">
        <v>390</v>
      </c>
      <c r="H525" s="3344"/>
      <c r="I525" s="738"/>
      <c r="J525" s="737"/>
      <c r="K525" s="737"/>
      <c r="L525" s="1031"/>
      <c r="M525" s="1032"/>
      <c r="N525" s="763"/>
      <c r="O525" s="763"/>
      <c r="P525" s="763"/>
      <c r="T525" s="762"/>
    </row>
    <row r="526" spans="1:20" s="731" customFormat="1" ht="13.5" customHeight="1">
      <c r="A526" s="998" t="s">
        <v>383</v>
      </c>
      <c r="B526" s="882" t="s">
        <v>384</v>
      </c>
      <c r="C526" s="997"/>
      <c r="D526" s="997"/>
      <c r="E526" s="997"/>
      <c r="F526" s="997"/>
      <c r="G526" s="3343" t="str">
        <f>G525</f>
        <v>Each Sqm</v>
      </c>
      <c r="H526" s="3344"/>
      <c r="I526" s="738">
        <f>K2717</f>
        <v>867.35</v>
      </c>
      <c r="J526" s="737"/>
      <c r="K526" s="737">
        <f>I526+J526</f>
        <v>867.35</v>
      </c>
      <c r="L526" s="3345">
        <f>ROUND(K526,1)</f>
        <v>867.4</v>
      </c>
      <c r="M526" s="3346"/>
      <c r="N526" s="763"/>
      <c r="O526" s="763"/>
      <c r="P526" s="763"/>
      <c r="Q526" s="769"/>
      <c r="R526" s="769"/>
      <c r="S526" s="769"/>
      <c r="T526" s="769"/>
    </row>
    <row r="527" spans="1:20" s="731" customFormat="1" ht="13.5" customHeight="1">
      <c r="A527" s="998" t="s">
        <v>386</v>
      </c>
      <c r="B527" s="882" t="s">
        <v>387</v>
      </c>
      <c r="C527" s="997"/>
      <c r="D527" s="997"/>
      <c r="E527" s="997"/>
      <c r="F527" s="997"/>
      <c r="G527" s="3343" t="str">
        <f>G526</f>
        <v>Each Sqm</v>
      </c>
      <c r="H527" s="3344"/>
      <c r="I527" s="738">
        <f>K2721</f>
        <v>872.39</v>
      </c>
      <c r="J527" s="737"/>
      <c r="K527" s="737">
        <f>I527+J527</f>
        <v>872.39</v>
      </c>
      <c r="L527" s="3345">
        <f>ROUND(K527,1)</f>
        <v>872.4</v>
      </c>
      <c r="M527" s="3346"/>
      <c r="N527" s="763"/>
      <c r="O527" s="763"/>
      <c r="P527" s="763"/>
      <c r="Q527" s="769"/>
      <c r="R527" s="769"/>
      <c r="S527" s="769"/>
      <c r="T527" s="769"/>
    </row>
    <row r="528" spans="1:20" s="714" customFormat="1" ht="13.5" customHeight="1">
      <c r="A528" s="992">
        <f>A509+1</f>
        <v>72</v>
      </c>
      <c r="B528" s="837" t="s">
        <v>3273</v>
      </c>
      <c r="C528" s="997"/>
      <c r="D528" s="997"/>
      <c r="E528" s="997"/>
      <c r="F528" s="997"/>
      <c r="G528" s="3343" t="s">
        <v>390</v>
      </c>
      <c r="H528" s="3344"/>
      <c r="I528" s="738"/>
      <c r="J528" s="737"/>
      <c r="K528" s="737"/>
      <c r="L528" s="3345"/>
      <c r="M528" s="3346"/>
      <c r="O528" s="716" t="s">
        <v>525</v>
      </c>
      <c r="Q528" s="716" t="s">
        <v>524</v>
      </c>
      <c r="R528" s="716" t="s">
        <v>525</v>
      </c>
      <c r="T528" s="723"/>
    </row>
    <row r="529" spans="1:20" s="731" customFormat="1" ht="13.5" customHeight="1">
      <c r="A529" s="992" t="s">
        <v>468</v>
      </c>
      <c r="B529" s="837" t="str">
        <f>B154</f>
        <v>Vertified tile ( 600x 600)Printed</v>
      </c>
      <c r="C529" s="997"/>
      <c r="D529" s="997"/>
      <c r="E529" s="997"/>
      <c r="F529" s="997"/>
      <c r="G529" s="3343" t="s">
        <v>390</v>
      </c>
      <c r="H529" s="3344"/>
      <c r="I529" s="738"/>
      <c r="J529" s="737"/>
      <c r="K529" s="737"/>
      <c r="L529" s="1031"/>
      <c r="M529" s="1032"/>
      <c r="N529" s="763"/>
      <c r="O529" s="763"/>
      <c r="P529" s="763"/>
      <c r="Q529" s="762" t="s">
        <v>526</v>
      </c>
      <c r="T529" s="762"/>
    </row>
    <row r="530" spans="1:20" s="731" customFormat="1" ht="13.5" customHeight="1">
      <c r="A530" s="998" t="s">
        <v>383</v>
      </c>
      <c r="B530" s="882" t="s">
        <v>384</v>
      </c>
      <c r="C530" s="997"/>
      <c r="D530" s="997"/>
      <c r="E530" s="997"/>
      <c r="F530" s="997"/>
      <c r="G530" s="3343" t="str">
        <f>G529</f>
        <v>Each Sqm</v>
      </c>
      <c r="H530" s="3344"/>
      <c r="I530" s="738">
        <f>K2745</f>
        <v>1271.4100000000001</v>
      </c>
      <c r="J530" s="737"/>
      <c r="K530" s="737">
        <f>I530+J530</f>
        <v>1271.4100000000001</v>
      </c>
      <c r="L530" s="3345">
        <f>ROUND(K530,1)</f>
        <v>1271.4000000000001</v>
      </c>
      <c r="M530" s="3346"/>
      <c r="N530" s="763"/>
      <c r="O530" s="763"/>
      <c r="P530" s="763"/>
      <c r="Q530" s="769"/>
      <c r="R530" s="769"/>
      <c r="S530" s="769"/>
      <c r="T530" s="769"/>
    </row>
    <row r="531" spans="1:20" s="731" customFormat="1" ht="13.5" customHeight="1">
      <c r="A531" s="998" t="s">
        <v>386</v>
      </c>
      <c r="B531" s="882" t="s">
        <v>387</v>
      </c>
      <c r="C531" s="997"/>
      <c r="D531" s="997"/>
      <c r="E531" s="997"/>
      <c r="F531" s="997"/>
      <c r="G531" s="3343" t="str">
        <f>G530</f>
        <v>Each Sqm</v>
      </c>
      <c r="H531" s="3344"/>
      <c r="I531" s="738">
        <f>K2749</f>
        <v>1288.27</v>
      </c>
      <c r="J531" s="737"/>
      <c r="K531" s="737">
        <f>I531+J531</f>
        <v>1288.27</v>
      </c>
      <c r="L531" s="3345">
        <f>ROUND(K531,1)</f>
        <v>1288.3</v>
      </c>
      <c r="M531" s="3346"/>
      <c r="N531" s="763"/>
      <c r="O531" s="763"/>
      <c r="P531" s="763"/>
      <c r="Q531" s="769"/>
      <c r="R531" s="769"/>
      <c r="S531" s="769"/>
      <c r="T531" s="769"/>
    </row>
    <row r="532" spans="1:20" s="731" customFormat="1" ht="13.5" customHeight="1">
      <c r="A532" s="992" t="s">
        <v>470</v>
      </c>
      <c r="B532" s="837" t="str">
        <f>B157</f>
        <v>Vertified tile ( 600x 600)Plain</v>
      </c>
      <c r="C532" s="997"/>
      <c r="D532" s="997"/>
      <c r="E532" s="997"/>
      <c r="F532" s="997"/>
      <c r="G532" s="3343" t="s">
        <v>390</v>
      </c>
      <c r="H532" s="3344"/>
      <c r="I532" s="738"/>
      <c r="J532" s="737"/>
      <c r="K532" s="737"/>
      <c r="L532" s="1031"/>
      <c r="M532" s="1032"/>
      <c r="N532" s="763"/>
      <c r="O532" s="763"/>
      <c r="P532" s="763"/>
      <c r="Q532" s="762" t="s">
        <v>526</v>
      </c>
      <c r="T532" s="762"/>
    </row>
    <row r="533" spans="1:20" s="731" customFormat="1" ht="13.5" customHeight="1">
      <c r="A533" s="998" t="s">
        <v>383</v>
      </c>
      <c r="B533" s="882" t="s">
        <v>384</v>
      </c>
      <c r="C533" s="997"/>
      <c r="D533" s="997"/>
      <c r="E533" s="997"/>
      <c r="F533" s="997"/>
      <c r="G533" s="3343" t="str">
        <f>G532</f>
        <v>Each Sqm</v>
      </c>
      <c r="H533" s="3344"/>
      <c r="I533" s="738">
        <f>K2755</f>
        <v>1218.68</v>
      </c>
      <c r="J533" s="737"/>
      <c r="K533" s="737">
        <f>I533+J533</f>
        <v>1218.68</v>
      </c>
      <c r="L533" s="3345">
        <f>ROUND(K533,1)</f>
        <v>1218.7</v>
      </c>
      <c r="M533" s="3346"/>
      <c r="N533" s="763"/>
      <c r="O533" s="763"/>
      <c r="P533" s="763"/>
      <c r="Q533" s="769"/>
      <c r="R533" s="769"/>
      <c r="S533" s="769"/>
      <c r="T533" s="769"/>
    </row>
    <row r="534" spans="1:20" s="731" customFormat="1" ht="13.5" customHeight="1">
      <c r="A534" s="998" t="s">
        <v>386</v>
      </c>
      <c r="B534" s="882" t="s">
        <v>387</v>
      </c>
      <c r="C534" s="997"/>
      <c r="D534" s="997"/>
      <c r="E534" s="997"/>
      <c r="F534" s="997"/>
      <c r="G534" s="3343" t="str">
        <f>G533</f>
        <v>Each Sqm</v>
      </c>
      <c r="H534" s="3344"/>
      <c r="I534" s="738">
        <f>K2759</f>
        <v>1235.54</v>
      </c>
      <c r="J534" s="737"/>
      <c r="K534" s="737">
        <f>I534+J534</f>
        <v>1235.54</v>
      </c>
      <c r="L534" s="3345">
        <f>ROUND(K534,1)</f>
        <v>1235.5</v>
      </c>
      <c r="M534" s="3346"/>
      <c r="N534" s="763"/>
      <c r="O534" s="763"/>
      <c r="P534" s="763"/>
      <c r="Q534" s="769"/>
      <c r="R534" s="769"/>
      <c r="S534" s="769"/>
      <c r="T534" s="769"/>
    </row>
    <row r="535" spans="1:20" s="731" customFormat="1" ht="13.5" customHeight="1">
      <c r="A535" s="992" t="s">
        <v>470</v>
      </c>
      <c r="B535" s="837" t="str">
        <f>I154</f>
        <v>Vertified industrial tile (300 x300)</v>
      </c>
      <c r="C535" s="997"/>
      <c r="D535" s="997"/>
      <c r="E535" s="997"/>
      <c r="F535" s="997"/>
      <c r="G535" s="3343" t="s">
        <v>390</v>
      </c>
      <c r="H535" s="3344"/>
      <c r="I535" s="738"/>
      <c r="J535" s="737"/>
      <c r="K535" s="737"/>
      <c r="L535" s="1031"/>
      <c r="M535" s="1032"/>
      <c r="N535" s="763"/>
      <c r="O535" s="763"/>
      <c r="P535" s="763"/>
      <c r="Q535" s="762" t="s">
        <v>526</v>
      </c>
      <c r="T535" s="762"/>
    </row>
    <row r="536" spans="1:20" s="731" customFormat="1" ht="13.5" customHeight="1">
      <c r="A536" s="998" t="s">
        <v>383</v>
      </c>
      <c r="B536" s="882" t="s">
        <v>384</v>
      </c>
      <c r="C536" s="997"/>
      <c r="D536" s="997"/>
      <c r="E536" s="997"/>
      <c r="F536" s="997"/>
      <c r="G536" s="3343" t="str">
        <f>G535</f>
        <v>Each Sqm</v>
      </c>
      <c r="H536" s="3344"/>
      <c r="I536" s="738">
        <f>K2765</f>
        <v>1132.8600000000001</v>
      </c>
      <c r="J536" s="737"/>
      <c r="K536" s="737">
        <f>I536+J536</f>
        <v>1132.8600000000001</v>
      </c>
      <c r="L536" s="3345">
        <f>ROUND(K536,1)</f>
        <v>1132.9000000000001</v>
      </c>
      <c r="M536" s="3346"/>
      <c r="N536" s="763"/>
      <c r="O536" s="763"/>
      <c r="P536" s="763"/>
      <c r="Q536" s="769"/>
      <c r="R536" s="769"/>
      <c r="S536" s="769"/>
      <c r="T536" s="769"/>
    </row>
    <row r="537" spans="1:20" s="731" customFormat="1" ht="13.5" customHeight="1">
      <c r="A537" s="998" t="s">
        <v>386</v>
      </c>
      <c r="B537" s="882" t="s">
        <v>387</v>
      </c>
      <c r="C537" s="997"/>
      <c r="D537" s="997"/>
      <c r="E537" s="997"/>
      <c r="F537" s="997"/>
      <c r="G537" s="3343" t="str">
        <f>G536</f>
        <v>Each Sqm</v>
      </c>
      <c r="H537" s="3344"/>
      <c r="I537" s="738">
        <f>K2769</f>
        <v>1149.72</v>
      </c>
      <c r="J537" s="737"/>
      <c r="K537" s="737">
        <f>I537+J537</f>
        <v>1149.72</v>
      </c>
      <c r="L537" s="3345">
        <f>ROUND(K537,1)</f>
        <v>1149.7</v>
      </c>
      <c r="M537" s="3346"/>
      <c r="N537" s="763"/>
      <c r="O537" s="763"/>
      <c r="P537" s="763"/>
      <c r="Q537" s="769"/>
      <c r="R537" s="769"/>
      <c r="S537" s="769"/>
      <c r="T537" s="769"/>
    </row>
    <row r="538" spans="1:20" s="731" customFormat="1" ht="13.5" customHeight="1">
      <c r="A538" s="992" t="s">
        <v>472</v>
      </c>
      <c r="B538" s="837" t="str">
        <f>I151</f>
        <v>Kota tile (size above 0.10sqm)</v>
      </c>
      <c r="C538" s="997"/>
      <c r="D538" s="997"/>
      <c r="E538" s="997"/>
      <c r="F538" s="997"/>
      <c r="G538" s="3343" t="s">
        <v>390</v>
      </c>
      <c r="H538" s="3344"/>
      <c r="I538" s="738"/>
      <c r="J538" s="737"/>
      <c r="K538" s="737"/>
      <c r="L538" s="1031"/>
      <c r="M538" s="1032"/>
      <c r="N538" s="763"/>
      <c r="O538" s="763"/>
      <c r="P538" s="763"/>
      <c r="Q538" s="762" t="s">
        <v>526</v>
      </c>
      <c r="T538" s="762"/>
    </row>
    <row r="539" spans="1:20" s="731" customFormat="1" ht="13.5" customHeight="1">
      <c r="A539" s="998" t="s">
        <v>383</v>
      </c>
      <c r="B539" s="882" t="s">
        <v>384</v>
      </c>
      <c r="C539" s="997"/>
      <c r="D539" s="997"/>
      <c r="E539" s="997"/>
      <c r="F539" s="997"/>
      <c r="G539" s="3343" t="str">
        <f>G538</f>
        <v>Each Sqm</v>
      </c>
      <c r="H539" s="3344"/>
      <c r="I539" s="738">
        <f>K2798</f>
        <v>1099.17</v>
      </c>
      <c r="J539" s="737"/>
      <c r="K539" s="737">
        <f>I539+J539</f>
        <v>1099.17</v>
      </c>
      <c r="L539" s="3345">
        <f>ROUND(K539,1)</f>
        <v>1099.2</v>
      </c>
      <c r="M539" s="3346"/>
      <c r="N539" s="763"/>
      <c r="O539" s="763"/>
      <c r="P539" s="763"/>
      <c r="Q539" s="769"/>
      <c r="R539" s="769"/>
      <c r="S539" s="769"/>
      <c r="T539" s="769"/>
    </row>
    <row r="540" spans="1:20" s="731" customFormat="1" ht="13.5" customHeight="1">
      <c r="A540" s="998" t="s">
        <v>386</v>
      </c>
      <c r="B540" s="882" t="s">
        <v>387</v>
      </c>
      <c r="C540" s="997"/>
      <c r="D540" s="997"/>
      <c r="E540" s="997"/>
      <c r="F540" s="997"/>
      <c r="G540" s="3343" t="str">
        <f>G539</f>
        <v>Each Sqm</v>
      </c>
      <c r="H540" s="3344"/>
      <c r="I540" s="738">
        <f>K2802</f>
        <v>1116.03</v>
      </c>
      <c r="J540" s="737"/>
      <c r="K540" s="737">
        <f>I540+J540</f>
        <v>1116.03</v>
      </c>
      <c r="L540" s="3345">
        <f>ROUND(K540,1)</f>
        <v>1116</v>
      </c>
      <c r="M540" s="3346"/>
      <c r="N540" s="763"/>
      <c r="O540" s="763"/>
      <c r="P540" s="763"/>
      <c r="Q540" s="769"/>
      <c r="R540" s="769"/>
      <c r="S540" s="769"/>
      <c r="T540" s="769"/>
    </row>
    <row r="541" spans="1:20" s="731" customFormat="1" ht="13.5" customHeight="1">
      <c r="A541" s="992" t="s">
        <v>474</v>
      </c>
      <c r="B541" s="837" t="s">
        <v>527</v>
      </c>
      <c r="C541" s="997"/>
      <c r="D541" s="997"/>
      <c r="E541" s="997"/>
      <c r="F541" s="997"/>
      <c r="G541" s="3343" t="s">
        <v>390</v>
      </c>
      <c r="H541" s="3344"/>
      <c r="I541" s="738"/>
      <c r="J541" s="737"/>
      <c r="K541" s="737"/>
      <c r="L541" s="1031"/>
      <c r="M541" s="1032"/>
      <c r="N541" s="763"/>
      <c r="O541" s="763"/>
      <c r="P541" s="763"/>
      <c r="Q541" s="762" t="s">
        <v>526</v>
      </c>
      <c r="T541" s="762"/>
    </row>
    <row r="542" spans="1:20" s="731" customFormat="1" ht="13.5" customHeight="1">
      <c r="A542" s="998" t="s">
        <v>383</v>
      </c>
      <c r="B542" s="882" t="s">
        <v>384</v>
      </c>
      <c r="C542" s="997"/>
      <c r="D542" s="997"/>
      <c r="E542" s="997"/>
      <c r="F542" s="997"/>
      <c r="G542" s="3343" t="str">
        <f>G541</f>
        <v>Each Sqm</v>
      </c>
      <c r="H542" s="3344"/>
      <c r="I542" s="738">
        <f>K2775</f>
        <v>969.61000000000013</v>
      </c>
      <c r="J542" s="737"/>
      <c r="K542" s="737">
        <f>I542+J542</f>
        <v>969.61000000000013</v>
      </c>
      <c r="L542" s="3345">
        <f>ROUND(K542,1)</f>
        <v>969.6</v>
      </c>
      <c r="M542" s="3346"/>
      <c r="N542" s="763"/>
      <c r="O542" s="763"/>
      <c r="P542" s="763"/>
      <c r="Q542" s="769"/>
      <c r="R542" s="769"/>
      <c r="S542" s="769"/>
      <c r="T542" s="769"/>
    </row>
    <row r="543" spans="1:20" s="731" customFormat="1" ht="13.5" customHeight="1">
      <c r="A543" s="998" t="s">
        <v>386</v>
      </c>
      <c r="B543" s="882" t="s">
        <v>387</v>
      </c>
      <c r="C543" s="997"/>
      <c r="D543" s="997"/>
      <c r="E543" s="997"/>
      <c r="F543" s="997"/>
      <c r="G543" s="3343" t="str">
        <f>G542</f>
        <v>Each Sqm</v>
      </c>
      <c r="H543" s="3344"/>
      <c r="I543" s="738">
        <f>K2779</f>
        <v>986.47000000000014</v>
      </c>
      <c r="J543" s="737"/>
      <c r="K543" s="737">
        <f>I543+J543</f>
        <v>986.47000000000014</v>
      </c>
      <c r="L543" s="3345">
        <f>ROUND(K543,1)</f>
        <v>986.5</v>
      </c>
      <c r="M543" s="3346"/>
      <c r="N543" s="763"/>
      <c r="O543" s="763"/>
      <c r="P543" s="763"/>
      <c r="Q543" s="769"/>
      <c r="R543" s="769"/>
      <c r="S543" s="769"/>
      <c r="T543" s="769"/>
    </row>
    <row r="544" spans="1:20" s="731" customFormat="1" ht="13.5" customHeight="1">
      <c r="A544" s="992" t="s">
        <v>476</v>
      </c>
      <c r="B544" s="837" t="s">
        <v>528</v>
      </c>
      <c r="C544" s="997"/>
      <c r="D544" s="997"/>
      <c r="E544" s="997"/>
      <c r="F544" s="997"/>
      <c r="G544" s="3343" t="s">
        <v>390</v>
      </c>
      <c r="H544" s="3344"/>
      <c r="I544" s="738"/>
      <c r="J544" s="737"/>
      <c r="K544" s="737"/>
      <c r="L544" s="1031"/>
      <c r="M544" s="1032"/>
      <c r="N544" s="763"/>
      <c r="O544" s="763"/>
      <c r="P544" s="763"/>
      <c r="Q544" s="762" t="s">
        <v>529</v>
      </c>
      <c r="T544" s="762"/>
    </row>
    <row r="545" spans="1:25" s="731" customFormat="1" ht="13.5" customHeight="1">
      <c r="A545" s="998" t="s">
        <v>383</v>
      </c>
      <c r="B545" s="882" t="s">
        <v>384</v>
      </c>
      <c r="C545" s="997"/>
      <c r="D545" s="997"/>
      <c r="E545" s="997"/>
      <c r="F545" s="997"/>
      <c r="G545" s="3343" t="str">
        <f>G544</f>
        <v>Each Sqm</v>
      </c>
      <c r="H545" s="3344"/>
      <c r="I545" s="738">
        <f>K2785</f>
        <v>928.55</v>
      </c>
      <c r="J545" s="737"/>
      <c r="K545" s="737">
        <f>I545+J545</f>
        <v>928.55</v>
      </c>
      <c r="L545" s="3345">
        <f>ROUND(K545,1)</f>
        <v>928.6</v>
      </c>
      <c r="M545" s="3346"/>
      <c r="N545" s="763"/>
      <c r="O545" s="763"/>
      <c r="P545" s="763"/>
      <c r="Q545" s="769"/>
      <c r="R545" s="769"/>
      <c r="S545" s="769"/>
      <c r="T545" s="769"/>
    </row>
    <row r="546" spans="1:25" s="731" customFormat="1" ht="13.5" customHeight="1">
      <c r="A546" s="998" t="s">
        <v>386</v>
      </c>
      <c r="B546" s="882" t="s">
        <v>387</v>
      </c>
      <c r="C546" s="997"/>
      <c r="D546" s="997"/>
      <c r="E546" s="997"/>
      <c r="F546" s="997"/>
      <c r="G546" s="3343" t="str">
        <f>G545</f>
        <v>Each Sqm</v>
      </c>
      <c r="H546" s="3344"/>
      <c r="I546" s="738">
        <f>K2789</f>
        <v>945.41</v>
      </c>
      <c r="J546" s="737"/>
      <c r="K546" s="737">
        <f>I546+J546</f>
        <v>945.41</v>
      </c>
      <c r="L546" s="3345">
        <f>ROUND(K546,1)</f>
        <v>945.4</v>
      </c>
      <c r="M546" s="3346"/>
      <c r="N546" s="763"/>
      <c r="O546" s="763"/>
      <c r="P546" s="763"/>
      <c r="Q546" s="769"/>
      <c r="R546" s="769"/>
      <c r="S546" s="769"/>
      <c r="T546" s="769"/>
    </row>
    <row r="547" spans="1:25" s="731" customFormat="1" ht="13.5" customHeight="1">
      <c r="A547" s="992">
        <f>A528+1</f>
        <v>73</v>
      </c>
      <c r="B547" s="882" t="s">
        <v>3274</v>
      </c>
      <c r="C547" s="997"/>
      <c r="D547" s="997"/>
      <c r="E547" s="997"/>
      <c r="F547" s="997"/>
      <c r="G547" s="3343" t="s">
        <v>390</v>
      </c>
      <c r="H547" s="3344"/>
      <c r="I547" s="738"/>
      <c r="J547" s="737"/>
      <c r="K547" s="737"/>
      <c r="L547" s="3345"/>
      <c r="M547" s="3346"/>
      <c r="N547" s="763"/>
      <c r="O547" s="763"/>
      <c r="P547" s="763"/>
      <c r="Q547" s="769" t="s">
        <v>530</v>
      </c>
      <c r="T547" s="762"/>
    </row>
    <row r="548" spans="1:25" s="731" customFormat="1" ht="13.5" customHeight="1">
      <c r="A548" s="998" t="s">
        <v>383</v>
      </c>
      <c r="B548" s="882" t="s">
        <v>384</v>
      </c>
      <c r="C548" s="882" t="s">
        <v>531</v>
      </c>
      <c r="D548" s="997"/>
      <c r="E548" s="997"/>
      <c r="F548" s="997"/>
      <c r="G548" s="3343" t="str">
        <f>G547</f>
        <v>Each Sqm</v>
      </c>
      <c r="H548" s="3344"/>
      <c r="I548" s="738">
        <f>K2822</f>
        <v>1068.5289999999998</v>
      </c>
      <c r="J548" s="737"/>
      <c r="K548" s="737">
        <f>I548+J548</f>
        <v>1068.5289999999998</v>
      </c>
      <c r="L548" s="3345">
        <f>ROUND(K548,1)</f>
        <v>1068.5</v>
      </c>
      <c r="M548" s="3346"/>
      <c r="N548" s="763"/>
      <c r="O548" s="763"/>
      <c r="P548" s="763"/>
      <c r="R548" s="769"/>
      <c r="S548" s="769"/>
      <c r="T548" s="769"/>
    </row>
    <row r="549" spans="1:25" s="731" customFormat="1" ht="13.5" customHeight="1">
      <c r="A549" s="998"/>
      <c r="B549" s="882"/>
      <c r="C549" s="882" t="s">
        <v>532</v>
      </c>
      <c r="D549" s="997"/>
      <c r="E549" s="997"/>
      <c r="F549" s="997"/>
      <c r="G549" s="3343" t="str">
        <f>G548</f>
        <v>Each Sqm</v>
      </c>
      <c r="H549" s="3344"/>
      <c r="I549" s="738">
        <f>K2832</f>
        <v>1015.7989999999998</v>
      </c>
      <c r="J549" s="737"/>
      <c r="K549" s="737">
        <f>I549+J549</f>
        <v>1015.7989999999998</v>
      </c>
      <c r="L549" s="3345">
        <f>ROUND(K549,1)</f>
        <v>1015.8</v>
      </c>
      <c r="M549" s="3346"/>
      <c r="N549" s="763"/>
      <c r="O549" s="763"/>
      <c r="P549" s="763"/>
      <c r="Q549" s="769"/>
      <c r="R549" s="769"/>
      <c r="S549" s="769"/>
      <c r="T549" s="769"/>
    </row>
    <row r="550" spans="1:25" s="731" customFormat="1" ht="13.5" customHeight="1">
      <c r="A550" s="998" t="s">
        <v>386</v>
      </c>
      <c r="B550" s="882" t="s">
        <v>387</v>
      </c>
      <c r="C550" s="882" t="s">
        <v>531</v>
      </c>
      <c r="D550" s="882"/>
      <c r="E550" s="997"/>
      <c r="F550" s="1001"/>
      <c r="G550" s="3369" t="str">
        <f>G548</f>
        <v>Each Sqm</v>
      </c>
      <c r="H550" s="3344"/>
      <c r="I550" s="738">
        <f>K2826</f>
        <v>1073.5689999999997</v>
      </c>
      <c r="J550" s="737"/>
      <c r="K550" s="737">
        <f>I550+J550</f>
        <v>1073.5689999999997</v>
      </c>
      <c r="L550" s="3345">
        <f>ROUND(K550,1)</f>
        <v>1073.5999999999999</v>
      </c>
      <c r="M550" s="3346"/>
      <c r="N550" s="763"/>
      <c r="O550" s="763"/>
      <c r="P550" s="763"/>
      <c r="Q550" s="769"/>
      <c r="R550" s="769"/>
      <c r="S550" s="769"/>
      <c r="T550" s="769"/>
    </row>
    <row r="551" spans="1:25" s="731" customFormat="1" ht="13.5" customHeight="1">
      <c r="A551" s="998"/>
      <c r="B551" s="882"/>
      <c r="C551" s="882" t="s">
        <v>532</v>
      </c>
      <c r="D551" s="996"/>
      <c r="E551" s="996"/>
      <c r="F551" s="996"/>
      <c r="G551" s="3343" t="str">
        <f>G549</f>
        <v>Each Sqm</v>
      </c>
      <c r="H551" s="3344"/>
      <c r="I551" s="738">
        <f>K2836</f>
        <v>1020.8389999999997</v>
      </c>
      <c r="J551" s="737"/>
      <c r="K551" s="737">
        <f>I551+J551</f>
        <v>1020.8389999999997</v>
      </c>
      <c r="L551" s="3345">
        <f>ROUND(K551,1)</f>
        <v>1020.8</v>
      </c>
      <c r="M551" s="3346"/>
      <c r="N551" s="763"/>
      <c r="O551" s="763"/>
      <c r="P551" s="763"/>
      <c r="Q551" s="769"/>
      <c r="R551" s="769"/>
      <c r="S551" s="769"/>
      <c r="T551" s="769"/>
    </row>
    <row r="552" spans="1:25" s="731" customFormat="1" ht="13.5" customHeight="1">
      <c r="A552" s="992">
        <f>A547+1</f>
        <v>74</v>
      </c>
      <c r="B552" s="882" t="s">
        <v>3275</v>
      </c>
      <c r="C552" s="997"/>
      <c r="D552" s="997"/>
      <c r="E552" s="997"/>
      <c r="F552" s="997"/>
      <c r="G552" s="3343" t="s">
        <v>390</v>
      </c>
      <c r="H552" s="3344"/>
      <c r="I552" s="738"/>
      <c r="J552" s="737"/>
      <c r="K552" s="737"/>
      <c r="L552" s="3345"/>
      <c r="M552" s="3346"/>
      <c r="N552" s="763"/>
      <c r="O552" s="763"/>
      <c r="P552" s="763"/>
      <c r="Q552" s="762" t="s">
        <v>533</v>
      </c>
      <c r="T552" s="762"/>
    </row>
    <row r="553" spans="1:25" s="731" customFormat="1" ht="13.5" customHeight="1">
      <c r="A553" s="998" t="s">
        <v>383</v>
      </c>
      <c r="B553" s="882" t="s">
        <v>384</v>
      </c>
      <c r="C553" s="882" t="s">
        <v>531</v>
      </c>
      <c r="D553" s="997"/>
      <c r="E553" s="997"/>
      <c r="F553" s="997"/>
      <c r="G553" s="3343" t="str">
        <f>G552</f>
        <v>Each Sqm</v>
      </c>
      <c r="H553" s="3344"/>
      <c r="I553" s="738">
        <f>K2860</f>
        <v>1039.5899999999999</v>
      </c>
      <c r="J553" s="737"/>
      <c r="K553" s="737">
        <f>I553+J553</f>
        <v>1039.5899999999999</v>
      </c>
      <c r="L553" s="3345">
        <f>ROUND(K553,1)</f>
        <v>1039.5999999999999</v>
      </c>
      <c r="M553" s="3346"/>
      <c r="N553" s="763"/>
      <c r="O553" s="763"/>
      <c r="P553" s="763"/>
      <c r="R553" s="769"/>
      <c r="S553" s="769"/>
      <c r="T553" s="769"/>
    </row>
    <row r="554" spans="1:25" s="731" customFormat="1" ht="13.5" customHeight="1">
      <c r="A554" s="998"/>
      <c r="B554" s="882"/>
      <c r="C554" s="882" t="s">
        <v>532</v>
      </c>
      <c r="D554" s="997"/>
      <c r="E554" s="997"/>
      <c r="F554" s="997"/>
      <c r="G554" s="3343" t="str">
        <f>G553</f>
        <v>Each Sqm</v>
      </c>
      <c r="H554" s="3344"/>
      <c r="I554" s="738">
        <f>K2870</f>
        <v>986.8599999999999</v>
      </c>
      <c r="J554" s="737"/>
      <c r="K554" s="737">
        <f>I554+J554</f>
        <v>986.8599999999999</v>
      </c>
      <c r="L554" s="3345">
        <f>ROUND(K554,1)</f>
        <v>986.9</v>
      </c>
      <c r="M554" s="3346"/>
      <c r="N554" s="763"/>
      <c r="O554" s="763"/>
      <c r="P554" s="763"/>
      <c r="R554" s="769"/>
      <c r="S554" s="769"/>
      <c r="T554" s="769"/>
    </row>
    <row r="555" spans="1:25" s="731" customFormat="1" ht="13.5" customHeight="1">
      <c r="A555" s="998" t="s">
        <v>386</v>
      </c>
      <c r="B555" s="882" t="s">
        <v>387</v>
      </c>
      <c r="C555" s="882" t="s">
        <v>531</v>
      </c>
      <c r="D555" s="882"/>
      <c r="E555" s="997"/>
      <c r="F555" s="1001"/>
      <c r="G555" s="3369" t="str">
        <f>G553</f>
        <v>Each Sqm</v>
      </c>
      <c r="H555" s="3344"/>
      <c r="I555" s="738">
        <f>K2864</f>
        <v>1044.6299999999999</v>
      </c>
      <c r="J555" s="737"/>
      <c r="K555" s="737">
        <f>I555+J555</f>
        <v>1044.6299999999999</v>
      </c>
      <c r="L555" s="3345">
        <f>ROUND(K555,1)</f>
        <v>1044.5999999999999</v>
      </c>
      <c r="M555" s="3346"/>
      <c r="N555" s="763"/>
      <c r="O555" s="763"/>
      <c r="P555" s="763"/>
      <c r="Q555" s="769"/>
      <c r="R555" s="769"/>
      <c r="S555" s="769"/>
      <c r="T555" s="769"/>
    </row>
    <row r="556" spans="1:25" s="731" customFormat="1" ht="13.5" customHeight="1">
      <c r="A556" s="1033"/>
      <c r="B556" s="882"/>
      <c r="C556" s="882" t="s">
        <v>532</v>
      </c>
      <c r="D556" s="996"/>
      <c r="E556" s="996"/>
      <c r="F556" s="996"/>
      <c r="G556" s="3343" t="str">
        <f>G554</f>
        <v>Each Sqm</v>
      </c>
      <c r="H556" s="3344"/>
      <c r="I556" s="738">
        <f>K2874</f>
        <v>991.89999999999986</v>
      </c>
      <c r="J556" s="1024"/>
      <c r="K556" s="737">
        <f>I556+J556</f>
        <v>991.89999999999986</v>
      </c>
      <c r="L556" s="3345">
        <f>ROUND(K556,1)</f>
        <v>991.9</v>
      </c>
      <c r="M556" s="3346"/>
      <c r="N556" s="763"/>
      <c r="O556" s="763"/>
      <c r="P556" s="763"/>
      <c r="Q556" s="769"/>
      <c r="R556" s="769"/>
      <c r="S556" s="769"/>
      <c r="T556" s="769"/>
    </row>
    <row r="557" spans="1:25" s="731" customFormat="1" ht="13.5" customHeight="1">
      <c r="A557" s="994" t="s">
        <v>534</v>
      </c>
      <c r="B557" s="837"/>
      <c r="C557" s="995"/>
      <c r="D557" s="995"/>
      <c r="E557" s="995"/>
      <c r="F557" s="995"/>
      <c r="G557" s="1034"/>
      <c r="H557" s="1035"/>
      <c r="I557" s="838"/>
      <c r="J557" s="838"/>
      <c r="K557" s="728"/>
      <c r="L557" s="1005"/>
      <c r="M557" s="1006"/>
      <c r="N557" s="763"/>
      <c r="O557" s="763"/>
      <c r="P557" s="763"/>
      <c r="Q557" s="1007" t="str">
        <f>A557</f>
        <v>D) Doors, Windows, Ventilators, Railiings etc.</v>
      </c>
      <c r="R557" s="838"/>
      <c r="S557" s="838"/>
      <c r="T557" s="1008"/>
      <c r="U557" s="838"/>
      <c r="V557" s="838"/>
      <c r="W557" s="838"/>
      <c r="X557" s="838"/>
      <c r="Y557" s="753"/>
    </row>
    <row r="558" spans="1:25" s="731" customFormat="1" ht="13.5" customHeight="1">
      <c r="A558" s="992">
        <f>A552+1</f>
        <v>75</v>
      </c>
      <c r="B558" s="882" t="s">
        <v>3276</v>
      </c>
      <c r="C558" s="997"/>
      <c r="D558" s="997"/>
      <c r="E558" s="997"/>
      <c r="F558" s="997"/>
      <c r="G558" s="3343" t="s">
        <v>381</v>
      </c>
      <c r="H558" s="3344"/>
      <c r="I558" s="738">
        <f>K2887</f>
        <v>79477.142857142855</v>
      </c>
      <c r="J558" s="737"/>
      <c r="K558" s="737">
        <f>I558+J558</f>
        <v>79477.142857142855</v>
      </c>
      <c r="L558" s="3345">
        <f t="shared" ref="L558:L591" si="63">ROUND(K558,1)</f>
        <v>79477.100000000006</v>
      </c>
      <c r="M558" s="3346"/>
      <c r="N558" s="770"/>
      <c r="O558" s="770"/>
      <c r="P558" s="770"/>
      <c r="Q558" s="769" t="s">
        <v>535</v>
      </c>
      <c r="R558" s="769" t="s">
        <v>536</v>
      </c>
      <c r="S558" s="769"/>
      <c r="T558" s="769"/>
    </row>
    <row r="559" spans="1:25" s="714" customFormat="1" ht="13.5" customHeight="1">
      <c r="A559" s="992">
        <f>A558+1</f>
        <v>76</v>
      </c>
      <c r="B559" s="996" t="s">
        <v>3066</v>
      </c>
      <c r="C559" s="996"/>
      <c r="D559" s="996"/>
      <c r="E559" s="996"/>
      <c r="F559" s="996"/>
      <c r="G559" s="3343" t="s">
        <v>390</v>
      </c>
      <c r="H559" s="3344"/>
      <c r="I559" s="738">
        <f>K2902</f>
        <v>4256.8563829787236</v>
      </c>
      <c r="J559" s="737"/>
      <c r="K559" s="737">
        <f t="shared" ref="K559:K591" si="64">I559+J559</f>
        <v>4256.8563829787236</v>
      </c>
      <c r="L559" s="3345">
        <f t="shared" si="63"/>
        <v>4256.8999999999996</v>
      </c>
      <c r="M559" s="3346"/>
      <c r="O559" s="716" t="s">
        <v>538</v>
      </c>
      <c r="Q559" s="716" t="s">
        <v>537</v>
      </c>
      <c r="S559" s="716" t="s">
        <v>538</v>
      </c>
      <c r="T559" s="723"/>
    </row>
    <row r="560" spans="1:25" s="714" customFormat="1" ht="13.5" customHeight="1">
      <c r="A560" s="992">
        <f t="shared" ref="A560:A594" si="65">A559+1</f>
        <v>77</v>
      </c>
      <c r="B560" s="996" t="s">
        <v>3276</v>
      </c>
      <c r="C560" s="996"/>
      <c r="D560" s="996"/>
      <c r="E560" s="996"/>
      <c r="F560" s="996"/>
      <c r="G560" s="3343" t="s">
        <v>381</v>
      </c>
      <c r="H560" s="3344"/>
      <c r="I560" s="738">
        <f>K2919</f>
        <v>46546.426678445234</v>
      </c>
      <c r="J560" s="737"/>
      <c r="K560" s="737">
        <f t="shared" si="64"/>
        <v>46546.426678445234</v>
      </c>
      <c r="L560" s="3345">
        <f t="shared" si="63"/>
        <v>46546.400000000001</v>
      </c>
      <c r="M560" s="3346"/>
      <c r="O560" s="716" t="s">
        <v>540</v>
      </c>
      <c r="Q560" s="716" t="s">
        <v>535</v>
      </c>
      <c r="R560" s="714" t="s">
        <v>539</v>
      </c>
      <c r="S560" s="716" t="s">
        <v>540</v>
      </c>
      <c r="T560" s="723"/>
    </row>
    <row r="561" spans="1:21" s="731" customFormat="1" ht="13.5" customHeight="1">
      <c r="A561" s="992">
        <f t="shared" si="65"/>
        <v>78</v>
      </c>
      <c r="B561" s="837" t="s">
        <v>3277</v>
      </c>
      <c r="C561" s="997"/>
      <c r="D561" s="997"/>
      <c r="E561" s="997"/>
      <c r="F561" s="997"/>
      <c r="G561" s="3343" t="s">
        <v>390</v>
      </c>
      <c r="H561" s="3344"/>
      <c r="I561" s="738">
        <f>K2936</f>
        <v>55155.452270801368</v>
      </c>
      <c r="J561" s="737"/>
      <c r="K561" s="737">
        <f t="shared" si="64"/>
        <v>55155.452270801368</v>
      </c>
      <c r="L561" s="3345">
        <f t="shared" si="63"/>
        <v>55155.5</v>
      </c>
      <c r="M561" s="3346"/>
      <c r="N561" s="770"/>
      <c r="O561" s="769"/>
      <c r="P561" s="770"/>
      <c r="Q561" s="769" t="s">
        <v>537</v>
      </c>
      <c r="R561" s="769"/>
      <c r="S561" s="769"/>
    </row>
    <row r="562" spans="1:21" s="731" customFormat="1" ht="13.5" customHeight="1">
      <c r="A562" s="992">
        <f t="shared" si="65"/>
        <v>79</v>
      </c>
      <c r="B562" s="882" t="s">
        <v>3278</v>
      </c>
      <c r="C562" s="997"/>
      <c r="D562" s="997"/>
      <c r="E562" s="997"/>
      <c r="F562" s="997"/>
      <c r="G562" s="3343" t="s">
        <v>486</v>
      </c>
      <c r="H562" s="3344"/>
      <c r="I562" s="738">
        <f>K2945</f>
        <v>8760.3370588235302</v>
      </c>
      <c r="J562" s="737"/>
      <c r="K562" s="737">
        <f t="shared" si="64"/>
        <v>8760.3370588235302</v>
      </c>
      <c r="L562" s="3345">
        <f t="shared" si="63"/>
        <v>8760.2999999999993</v>
      </c>
      <c r="M562" s="3346"/>
      <c r="N562" s="1025"/>
      <c r="O562" s="769"/>
      <c r="P562" s="1025"/>
      <c r="Q562" s="769"/>
      <c r="R562" s="769"/>
      <c r="S562" s="769"/>
    </row>
    <row r="563" spans="1:21" s="714" customFormat="1" ht="13.5" customHeight="1">
      <c r="A563" s="992">
        <f t="shared" si="65"/>
        <v>80</v>
      </c>
      <c r="B563" s="996" t="s">
        <v>3279</v>
      </c>
      <c r="C563" s="996"/>
      <c r="D563" s="996"/>
      <c r="E563" s="996"/>
      <c r="F563" s="996"/>
      <c r="G563" s="3343" t="s">
        <v>486</v>
      </c>
      <c r="H563" s="3344"/>
      <c r="I563" s="738">
        <f>K2954</f>
        <v>8718.0378991596644</v>
      </c>
      <c r="J563" s="737"/>
      <c r="K563" s="737">
        <f>I563+J563</f>
        <v>8718.0378991596644</v>
      </c>
      <c r="L563" s="3345">
        <f t="shared" si="63"/>
        <v>8718</v>
      </c>
      <c r="M563" s="3346"/>
      <c r="O563" s="716" t="s">
        <v>541</v>
      </c>
      <c r="S563" s="716" t="s">
        <v>541</v>
      </c>
      <c r="T563" s="723"/>
    </row>
    <row r="564" spans="1:21" s="731" customFormat="1" ht="13.5" customHeight="1">
      <c r="A564" s="992">
        <f t="shared" si="65"/>
        <v>81</v>
      </c>
      <c r="B564" s="882" t="s">
        <v>3280</v>
      </c>
      <c r="C564" s="997"/>
      <c r="D564" s="997"/>
      <c r="E564" s="997"/>
      <c r="F564" s="997"/>
      <c r="G564" s="3343" t="s">
        <v>486</v>
      </c>
      <c r="H564" s="3344"/>
      <c r="I564" s="738">
        <f>K2965</f>
        <v>10366.86254901961</v>
      </c>
      <c r="J564" s="737"/>
      <c r="K564" s="737">
        <f>I564+J564</f>
        <v>10366.86254901961</v>
      </c>
      <c r="L564" s="3345">
        <f t="shared" si="63"/>
        <v>10366.9</v>
      </c>
      <c r="M564" s="3346"/>
      <c r="N564" s="1025"/>
      <c r="O564" s="1025"/>
      <c r="P564" s="1025"/>
      <c r="Q564" s="769"/>
      <c r="R564" s="769"/>
      <c r="S564" s="769"/>
      <c r="T564" s="769"/>
    </row>
    <row r="565" spans="1:21" s="731" customFormat="1" ht="13.5" customHeight="1">
      <c r="A565" s="992">
        <f t="shared" si="65"/>
        <v>82</v>
      </c>
      <c r="B565" s="882" t="s">
        <v>3281</v>
      </c>
      <c r="C565" s="997"/>
      <c r="D565" s="997"/>
      <c r="E565" s="997"/>
      <c r="F565" s="997"/>
      <c r="G565" s="3343" t="s">
        <v>390</v>
      </c>
      <c r="H565" s="3344"/>
      <c r="I565" s="738">
        <f>K2993</f>
        <v>3038.04</v>
      </c>
      <c r="J565" s="737"/>
      <c r="K565" s="737">
        <f>I565+J565</f>
        <v>3038.04</v>
      </c>
      <c r="L565" s="3345">
        <f t="shared" si="63"/>
        <v>3038</v>
      </c>
      <c r="M565" s="3346"/>
      <c r="N565" s="1025"/>
      <c r="O565" s="1025"/>
      <c r="P565" s="1025"/>
      <c r="Q565" s="1036" t="s">
        <v>523</v>
      </c>
      <c r="R565" s="769"/>
      <c r="S565" s="769"/>
      <c r="T565" s="769"/>
    </row>
    <row r="566" spans="1:21" s="731" customFormat="1" ht="13.5" customHeight="1">
      <c r="A566" s="992"/>
      <c r="B566" s="882"/>
      <c r="C566" s="997"/>
      <c r="D566" s="997"/>
      <c r="E566" s="997"/>
      <c r="F566" s="997"/>
      <c r="G566" s="3343" t="s">
        <v>542</v>
      </c>
      <c r="H566" s="3344"/>
      <c r="I566" s="738">
        <f>K2994</f>
        <v>592.90897908979093</v>
      </c>
      <c r="J566" s="737"/>
      <c r="K566" s="737">
        <f>I566+J566</f>
        <v>592.90897908979093</v>
      </c>
      <c r="L566" s="3345">
        <f>ROUND(K566,1)</f>
        <v>592.9</v>
      </c>
      <c r="M566" s="3346"/>
      <c r="N566" s="1025"/>
      <c r="O566" s="1025"/>
      <c r="P566" s="1025"/>
      <c r="Q566" s="1038" t="s">
        <v>523</v>
      </c>
      <c r="R566" s="769"/>
      <c r="S566" s="769"/>
      <c r="T566" s="769"/>
    </row>
    <row r="567" spans="1:21" s="731" customFormat="1" ht="13.5" customHeight="1">
      <c r="A567" s="992">
        <f>A565+1</f>
        <v>83</v>
      </c>
      <c r="B567" s="882" t="s">
        <v>3281</v>
      </c>
      <c r="C567" s="997"/>
      <c r="D567" s="997"/>
      <c r="E567" s="997"/>
      <c r="F567" s="997"/>
      <c r="G567" s="3343" t="s">
        <v>390</v>
      </c>
      <c r="H567" s="3344"/>
      <c r="I567" s="738">
        <f>K3020</f>
        <v>4255.0759243697485</v>
      </c>
      <c r="J567" s="737"/>
      <c r="K567" s="737">
        <f>I567+J567</f>
        <v>4255.0759243697485</v>
      </c>
      <c r="L567" s="3345">
        <f>ROUND(K567,1)</f>
        <v>4255.1000000000004</v>
      </c>
      <c r="M567" s="3346"/>
      <c r="N567" s="1025"/>
      <c r="O567" s="1025"/>
      <c r="P567" s="1025"/>
      <c r="Q567" s="1038" t="s">
        <v>521</v>
      </c>
      <c r="R567" s="769"/>
      <c r="S567" s="769"/>
      <c r="T567" s="769"/>
    </row>
    <row r="568" spans="1:21" s="731" customFormat="1" ht="13.5" customHeight="1">
      <c r="A568" s="992">
        <f>A567+1</f>
        <v>84</v>
      </c>
      <c r="B568" s="882" t="s">
        <v>3282</v>
      </c>
      <c r="C568" s="997"/>
      <c r="D568" s="997"/>
      <c r="E568" s="997"/>
      <c r="F568" s="997"/>
      <c r="G568" s="3343" t="s">
        <v>390</v>
      </c>
      <c r="H568" s="3344"/>
      <c r="I568" s="738">
        <f>K3051</f>
        <v>6311.38</v>
      </c>
      <c r="J568" s="737"/>
      <c r="K568" s="737">
        <f t="shared" si="64"/>
        <v>6311.38</v>
      </c>
      <c r="L568" s="3345">
        <f t="shared" si="63"/>
        <v>6311.4</v>
      </c>
      <c r="M568" s="3346"/>
      <c r="N568" s="1025"/>
      <c r="O568" s="1037" t="s">
        <v>543</v>
      </c>
      <c r="P568" s="1025"/>
      <c r="Q568" s="1036" t="s">
        <v>523</v>
      </c>
      <c r="R568" s="1037" t="s">
        <v>543</v>
      </c>
      <c r="S568" s="769"/>
      <c r="T568" s="769"/>
    </row>
    <row r="569" spans="1:21" s="731" customFormat="1" ht="13.5" customHeight="1">
      <c r="A569" s="992"/>
      <c r="B569" s="882"/>
      <c r="C569" s="997"/>
      <c r="D569" s="997"/>
      <c r="E569" s="997"/>
      <c r="F569" s="997"/>
      <c r="G569" s="3343" t="s">
        <v>542</v>
      </c>
      <c r="H569" s="3344"/>
      <c r="I569" s="738">
        <f>K3052</f>
        <v>502.49133800221159</v>
      </c>
      <c r="J569" s="737"/>
      <c r="K569" s="737">
        <f t="shared" si="64"/>
        <v>502.49133800221159</v>
      </c>
      <c r="L569" s="3345">
        <f>ROUND(K569,1)</f>
        <v>502.5</v>
      </c>
      <c r="M569" s="3346"/>
      <c r="N569" s="1025"/>
      <c r="O569" s="769"/>
      <c r="P569" s="1025"/>
      <c r="Q569" s="1038" t="s">
        <v>523</v>
      </c>
      <c r="R569" s="769"/>
      <c r="S569" s="769"/>
      <c r="T569" s="769"/>
    </row>
    <row r="570" spans="1:21" s="714" customFormat="1" ht="13.5" customHeight="1">
      <c r="A570" s="992">
        <f>A568+1</f>
        <v>85</v>
      </c>
      <c r="B570" s="996" t="s">
        <v>3283</v>
      </c>
      <c r="C570" s="996"/>
      <c r="D570" s="996"/>
      <c r="E570" s="996"/>
      <c r="F570" s="996"/>
      <c r="G570" s="3369" t="s">
        <v>390</v>
      </c>
      <c r="H570" s="3369"/>
      <c r="I570" s="738">
        <f>K3084</f>
        <v>6537.75</v>
      </c>
      <c r="J570" s="737"/>
      <c r="K570" s="737">
        <f t="shared" si="64"/>
        <v>6537.75</v>
      </c>
      <c r="L570" s="3345">
        <f t="shared" si="63"/>
        <v>6537.8</v>
      </c>
      <c r="M570" s="3346"/>
      <c r="O570" s="1037" t="s">
        <v>543</v>
      </c>
      <c r="Q570" s="716" t="s">
        <v>523</v>
      </c>
      <c r="R570" s="1037" t="s">
        <v>543</v>
      </c>
      <c r="S570" s="714" t="s">
        <v>544</v>
      </c>
      <c r="T570" s="723"/>
      <c r="U570" s="722"/>
    </row>
    <row r="571" spans="1:21" s="731" customFormat="1" ht="13.5" customHeight="1">
      <c r="A571" s="992"/>
      <c r="B571" s="882"/>
      <c r="C571" s="997"/>
      <c r="D571" s="997"/>
      <c r="E571" s="997"/>
      <c r="F571" s="997"/>
      <c r="G571" s="3343" t="s">
        <v>542</v>
      </c>
      <c r="H571" s="3344"/>
      <c r="I571" s="738">
        <f>K3085</f>
        <v>498.03535353535358</v>
      </c>
      <c r="J571" s="737"/>
      <c r="K571" s="737">
        <f t="shared" si="64"/>
        <v>498.03535353535358</v>
      </c>
      <c r="L571" s="3345">
        <f t="shared" si="63"/>
        <v>498</v>
      </c>
      <c r="M571" s="3346"/>
      <c r="N571" s="1025"/>
      <c r="O571" s="769"/>
      <c r="P571" s="1025"/>
      <c r="Q571" s="1038" t="s">
        <v>523</v>
      </c>
      <c r="R571" s="769"/>
      <c r="S571" s="769"/>
      <c r="T571" s="769"/>
    </row>
    <row r="572" spans="1:21" s="731" customFormat="1" ht="13.5" customHeight="1">
      <c r="A572" s="992">
        <f>A570+1</f>
        <v>86</v>
      </c>
      <c r="B572" s="882" t="s">
        <v>3282</v>
      </c>
      <c r="C572" s="997"/>
      <c r="D572" s="997"/>
      <c r="E572" s="997"/>
      <c r="F572" s="997"/>
      <c r="G572" s="3343" t="s">
        <v>390</v>
      </c>
      <c r="H572" s="3344"/>
      <c r="I572" s="738">
        <f>K3113</f>
        <v>6825.25</v>
      </c>
      <c r="J572" s="737"/>
      <c r="K572" s="737">
        <f t="shared" si="64"/>
        <v>6825.25</v>
      </c>
      <c r="L572" s="3345">
        <f t="shared" si="63"/>
        <v>6825.3</v>
      </c>
      <c r="M572" s="3346"/>
      <c r="N572" s="1025"/>
      <c r="O572" s="1037" t="s">
        <v>543</v>
      </c>
      <c r="P572" s="1025"/>
      <c r="Q572" s="1036" t="s">
        <v>521</v>
      </c>
      <c r="R572" s="1037" t="s">
        <v>543</v>
      </c>
      <c r="S572" s="769"/>
      <c r="T572" s="769"/>
    </row>
    <row r="573" spans="1:21" s="731" customFormat="1" ht="13.5" customHeight="1">
      <c r="A573" s="992"/>
      <c r="B573" s="882"/>
      <c r="C573" s="997"/>
      <c r="D573" s="997"/>
      <c r="E573" s="997"/>
      <c r="F573" s="997"/>
      <c r="G573" s="3343" t="s">
        <v>542</v>
      </c>
      <c r="H573" s="3344"/>
      <c r="I573" s="738">
        <f>K3114</f>
        <v>1013.9298486932601</v>
      </c>
      <c r="J573" s="737"/>
      <c r="K573" s="737">
        <f t="shared" si="64"/>
        <v>1013.9298486932601</v>
      </c>
      <c r="L573" s="3345">
        <f t="shared" si="63"/>
        <v>1013.9</v>
      </c>
      <c r="M573" s="3346"/>
      <c r="N573" s="1025"/>
      <c r="O573" s="769"/>
      <c r="P573" s="1025"/>
      <c r="Q573" s="1038" t="s">
        <v>521</v>
      </c>
      <c r="R573" s="769"/>
      <c r="S573" s="769"/>
      <c r="T573" s="769"/>
    </row>
    <row r="574" spans="1:21" s="731" customFormat="1" ht="13.5" customHeight="1">
      <c r="A574" s="992">
        <f>A572+1</f>
        <v>87</v>
      </c>
      <c r="B574" s="882" t="s">
        <v>3283</v>
      </c>
      <c r="C574" s="997"/>
      <c r="D574" s="997"/>
      <c r="E574" s="997"/>
      <c r="F574" s="997"/>
      <c r="G574" s="3343" t="s">
        <v>390</v>
      </c>
      <c r="H574" s="3344"/>
      <c r="I574" s="738">
        <f>K3143</f>
        <v>6074.01</v>
      </c>
      <c r="J574" s="737"/>
      <c r="K574" s="737">
        <f t="shared" si="64"/>
        <v>6074.01</v>
      </c>
      <c r="L574" s="3345">
        <f t="shared" si="63"/>
        <v>6074</v>
      </c>
      <c r="M574" s="3346"/>
      <c r="N574" s="1025"/>
      <c r="O574" s="1037" t="s">
        <v>543</v>
      </c>
      <c r="P574" s="1025"/>
      <c r="Q574" s="1038" t="s">
        <v>521</v>
      </c>
      <c r="R574" s="1037" t="s">
        <v>543</v>
      </c>
      <c r="S574" s="769"/>
      <c r="T574" s="769"/>
    </row>
    <row r="575" spans="1:21" s="731" customFormat="1" ht="13.5" customHeight="1">
      <c r="A575" s="992"/>
      <c r="B575" s="882"/>
      <c r="C575" s="997"/>
      <c r="D575" s="997"/>
      <c r="E575" s="997"/>
      <c r="F575" s="997"/>
      <c r="G575" s="3343" t="s">
        <v>542</v>
      </c>
      <c r="H575" s="3344"/>
      <c r="I575" s="738">
        <f>K3144</f>
        <v>821.06</v>
      </c>
      <c r="J575" s="737"/>
      <c r="K575" s="737">
        <f t="shared" si="64"/>
        <v>821.06</v>
      </c>
      <c r="L575" s="3345">
        <f t="shared" si="63"/>
        <v>821.1</v>
      </c>
      <c r="M575" s="3346"/>
      <c r="N575" s="1025"/>
      <c r="O575" s="1025"/>
      <c r="P575" s="1025"/>
      <c r="Q575" s="1038" t="s">
        <v>521</v>
      </c>
      <c r="R575" s="769"/>
      <c r="S575" s="769"/>
      <c r="T575" s="769"/>
    </row>
    <row r="576" spans="1:21" s="731" customFormat="1" ht="13.5" customHeight="1">
      <c r="A576" s="992">
        <f>A574+1</f>
        <v>88</v>
      </c>
      <c r="B576" s="882" t="s">
        <v>3284</v>
      </c>
      <c r="C576" s="997"/>
      <c r="D576" s="997"/>
      <c r="E576" s="997"/>
      <c r="F576" s="997"/>
      <c r="G576" s="3343" t="s">
        <v>390</v>
      </c>
      <c r="H576" s="3344"/>
      <c r="I576" s="738">
        <f>K3192</f>
        <v>4759.25</v>
      </c>
      <c r="J576" s="737"/>
      <c r="K576" s="737">
        <f>I576+J576</f>
        <v>4759.25</v>
      </c>
      <c r="L576" s="3345">
        <f t="shared" si="63"/>
        <v>4759.3</v>
      </c>
      <c r="M576" s="3346"/>
      <c r="N576" s="1025"/>
      <c r="O576" s="1025"/>
      <c r="P576" s="1025"/>
      <c r="Q576" s="1036" t="s">
        <v>521</v>
      </c>
      <c r="R576" s="769"/>
      <c r="S576" s="769"/>
      <c r="T576" s="769"/>
    </row>
    <row r="577" spans="1:20" s="731" customFormat="1" ht="13.5" customHeight="1">
      <c r="A577" s="992">
        <f t="shared" si="65"/>
        <v>89</v>
      </c>
      <c r="B577" s="882" t="s">
        <v>3285</v>
      </c>
      <c r="C577" s="997"/>
      <c r="D577" s="997"/>
      <c r="E577" s="997"/>
      <c r="F577" s="997"/>
      <c r="G577" s="3343" t="s">
        <v>390</v>
      </c>
      <c r="H577" s="3344"/>
      <c r="I577" s="738">
        <f>K3193</f>
        <v>3194.13</v>
      </c>
      <c r="J577" s="737"/>
      <c r="K577" s="737">
        <f t="shared" si="64"/>
        <v>3194.13</v>
      </c>
      <c r="L577" s="3345">
        <f t="shared" si="63"/>
        <v>3194.1</v>
      </c>
      <c r="M577" s="3346"/>
      <c r="N577" s="1025"/>
      <c r="O577" s="1025"/>
      <c r="P577" s="1025"/>
      <c r="Q577" s="1038" t="s">
        <v>523</v>
      </c>
      <c r="R577" s="769" t="s">
        <v>545</v>
      </c>
      <c r="S577" s="769"/>
      <c r="T577" s="769"/>
    </row>
    <row r="578" spans="1:20" s="731" customFormat="1" ht="13.5" customHeight="1">
      <c r="A578" s="992"/>
      <c r="B578" s="882"/>
      <c r="C578" s="997"/>
      <c r="D578" s="997"/>
      <c r="E578" s="997"/>
      <c r="F578" s="997"/>
      <c r="G578" s="3343" t="s">
        <v>542</v>
      </c>
      <c r="H578" s="3344"/>
      <c r="I578" s="738">
        <f>K3194</f>
        <v>653.74</v>
      </c>
      <c r="J578" s="737"/>
      <c r="K578" s="737">
        <f>I578+J578</f>
        <v>653.74</v>
      </c>
      <c r="L578" s="3345">
        <f t="shared" si="63"/>
        <v>653.70000000000005</v>
      </c>
      <c r="M578" s="3346"/>
      <c r="N578" s="1025"/>
      <c r="O578" s="1025"/>
      <c r="P578" s="1025"/>
      <c r="Q578" s="1039" t="s">
        <v>523</v>
      </c>
      <c r="R578" s="769"/>
      <c r="S578" s="769"/>
      <c r="T578" s="769"/>
    </row>
    <row r="579" spans="1:20" s="731" customFormat="1" ht="13.5" customHeight="1">
      <c r="A579" s="992">
        <f>A577+1</f>
        <v>90</v>
      </c>
      <c r="B579" s="882" t="s">
        <v>3286</v>
      </c>
      <c r="C579" s="997"/>
      <c r="D579" s="997"/>
      <c r="E579" s="997"/>
      <c r="F579" s="997"/>
      <c r="G579" s="3343" t="s">
        <v>390</v>
      </c>
      <c r="H579" s="3344"/>
      <c r="I579" s="738">
        <f>K3224</f>
        <v>3366.7</v>
      </c>
      <c r="J579" s="737"/>
      <c r="K579" s="737">
        <f>I579+J579</f>
        <v>3366.7</v>
      </c>
      <c r="L579" s="3345">
        <f t="shared" si="63"/>
        <v>3366.7</v>
      </c>
      <c r="M579" s="3346"/>
      <c r="N579" s="1025"/>
      <c r="O579" s="1025"/>
      <c r="P579" s="1025"/>
      <c r="Q579" s="1038" t="s">
        <v>523</v>
      </c>
      <c r="R579" s="769"/>
      <c r="S579" s="769"/>
      <c r="T579" s="769"/>
    </row>
    <row r="580" spans="1:20" s="731" customFormat="1" ht="13.5" customHeight="1">
      <c r="A580" s="992"/>
      <c r="B580" s="882"/>
      <c r="C580" s="997"/>
      <c r="D580" s="997"/>
      <c r="E580" s="997"/>
      <c r="F580" s="997"/>
      <c r="G580" s="3343" t="s">
        <v>542</v>
      </c>
      <c r="H580" s="3344"/>
      <c r="I580" s="738">
        <f>K3225</f>
        <v>712.31</v>
      </c>
      <c r="J580" s="737"/>
      <c r="K580" s="737">
        <f>I580+J580</f>
        <v>712.31</v>
      </c>
      <c r="L580" s="3345">
        <f>ROUND(K580,1)</f>
        <v>712.3</v>
      </c>
      <c r="M580" s="3346"/>
      <c r="N580" s="1025"/>
      <c r="O580" s="1025"/>
      <c r="P580" s="1025"/>
      <c r="Q580" s="1039" t="s">
        <v>523</v>
      </c>
      <c r="R580" s="769"/>
      <c r="S580" s="769"/>
      <c r="T580" s="769"/>
    </row>
    <row r="581" spans="1:20" s="731" customFormat="1" ht="13.5" customHeight="1">
      <c r="A581" s="992">
        <f>A579+1</f>
        <v>91</v>
      </c>
      <c r="B581" s="882" t="s">
        <v>3287</v>
      </c>
      <c r="C581" s="997"/>
      <c r="D581" s="997"/>
      <c r="E581" s="997"/>
      <c r="F581" s="997"/>
      <c r="G581" s="3343" t="s">
        <v>390</v>
      </c>
      <c r="H581" s="3344"/>
      <c r="I581" s="738">
        <f>K3247</f>
        <v>3931.05</v>
      </c>
      <c r="J581" s="737"/>
      <c r="K581" s="737">
        <f t="shared" si="64"/>
        <v>3931.05</v>
      </c>
      <c r="L581" s="3345">
        <f t="shared" si="63"/>
        <v>3931.1</v>
      </c>
      <c r="M581" s="3346"/>
      <c r="N581" s="1025"/>
      <c r="O581" s="1025"/>
      <c r="P581" s="1025"/>
      <c r="Q581" s="769"/>
      <c r="R581" s="769"/>
      <c r="S581" s="769"/>
      <c r="T581" s="769"/>
    </row>
    <row r="582" spans="1:20" s="731" customFormat="1" ht="13.5" customHeight="1">
      <c r="A582" s="992">
        <f t="shared" si="65"/>
        <v>92</v>
      </c>
      <c r="B582" s="882" t="s">
        <v>3288</v>
      </c>
      <c r="C582" s="997"/>
      <c r="D582" s="997"/>
      <c r="E582" s="997"/>
      <c r="F582" s="997"/>
      <c r="G582" s="3343" t="s">
        <v>390</v>
      </c>
      <c r="H582" s="3344"/>
      <c r="I582" s="738">
        <f>K3267</f>
        <v>4234.1000000000004</v>
      </c>
      <c r="J582" s="737"/>
      <c r="K582" s="737">
        <f t="shared" si="64"/>
        <v>4234.1000000000004</v>
      </c>
      <c r="L582" s="3345">
        <f t="shared" si="63"/>
        <v>4234.1000000000004</v>
      </c>
      <c r="M582" s="3346"/>
      <c r="N582" s="1025"/>
      <c r="O582" s="1025"/>
      <c r="P582" s="1025"/>
      <c r="Q582" s="769" t="s">
        <v>523</v>
      </c>
      <c r="R582" s="769"/>
      <c r="S582" s="769"/>
      <c r="T582" s="769"/>
    </row>
    <row r="583" spans="1:20" s="731" customFormat="1" ht="13.5" customHeight="1">
      <c r="A583" s="992">
        <f t="shared" si="65"/>
        <v>93</v>
      </c>
      <c r="B583" s="882" t="s">
        <v>3289</v>
      </c>
      <c r="C583" s="997"/>
      <c r="D583" s="997"/>
      <c r="E583" s="997"/>
      <c r="F583" s="997"/>
      <c r="G583" s="3343" t="s">
        <v>390</v>
      </c>
      <c r="H583" s="3344"/>
      <c r="I583" s="738">
        <f>K3292</f>
        <v>3932.1</v>
      </c>
      <c r="J583" s="737"/>
      <c r="K583" s="737">
        <f t="shared" si="64"/>
        <v>3932.1</v>
      </c>
      <c r="L583" s="3345">
        <f t="shared" si="63"/>
        <v>3932.1</v>
      </c>
      <c r="M583" s="3346"/>
      <c r="N583" s="1025"/>
      <c r="O583" s="1025"/>
      <c r="P583" s="1025"/>
      <c r="T583" s="762"/>
    </row>
    <row r="584" spans="1:20" s="731" customFormat="1" ht="13.5" customHeight="1">
      <c r="A584" s="992">
        <f t="shared" si="65"/>
        <v>94</v>
      </c>
      <c r="B584" s="882" t="s">
        <v>3290</v>
      </c>
      <c r="C584" s="997"/>
      <c r="D584" s="997"/>
      <c r="E584" s="997"/>
      <c r="F584" s="997"/>
      <c r="G584" s="3343" t="s">
        <v>390</v>
      </c>
      <c r="H584" s="3344"/>
      <c r="I584" s="738">
        <f>K3320</f>
        <v>5927.47</v>
      </c>
      <c r="J584" s="737"/>
      <c r="K584" s="737">
        <f t="shared" si="64"/>
        <v>5927.47</v>
      </c>
      <c r="L584" s="3345">
        <f t="shared" si="63"/>
        <v>5927.5</v>
      </c>
      <c r="M584" s="3346"/>
      <c r="N584" s="1025"/>
      <c r="O584" s="1025"/>
      <c r="P584" s="1025"/>
      <c r="T584" s="762"/>
    </row>
    <row r="585" spans="1:20" s="731" customFormat="1" ht="13.5" customHeight="1">
      <c r="A585" s="992">
        <f t="shared" si="65"/>
        <v>95</v>
      </c>
      <c r="B585" s="882" t="s">
        <v>3291</v>
      </c>
      <c r="C585" s="997"/>
      <c r="D585" s="997"/>
      <c r="E585" s="997"/>
      <c r="F585" s="997"/>
      <c r="G585" s="3343" t="s">
        <v>492</v>
      </c>
      <c r="H585" s="3344"/>
      <c r="I585" s="738">
        <f>K3335</f>
        <v>360.37</v>
      </c>
      <c r="J585" s="737"/>
      <c r="K585" s="737">
        <f t="shared" si="64"/>
        <v>360.37</v>
      </c>
      <c r="L585" s="3345">
        <f t="shared" si="63"/>
        <v>360.4</v>
      </c>
      <c r="M585" s="3346"/>
      <c r="N585" s="1025"/>
      <c r="O585" s="1025"/>
      <c r="P585" s="1025"/>
      <c r="T585" s="762"/>
    </row>
    <row r="586" spans="1:20" s="731" customFormat="1" ht="13.5" customHeight="1">
      <c r="A586" s="992">
        <f t="shared" si="65"/>
        <v>96</v>
      </c>
      <c r="B586" s="882" t="s">
        <v>3292</v>
      </c>
      <c r="C586" s="997"/>
      <c r="D586" s="997"/>
      <c r="E586" s="997"/>
      <c r="F586" s="997"/>
      <c r="G586" s="3343" t="s">
        <v>390</v>
      </c>
      <c r="H586" s="3344"/>
      <c r="I586" s="738">
        <f>K3356</f>
        <v>2785.73</v>
      </c>
      <c r="J586" s="737"/>
      <c r="K586" s="737">
        <f t="shared" si="64"/>
        <v>2785.73</v>
      </c>
      <c r="L586" s="3345">
        <f t="shared" si="63"/>
        <v>2785.7</v>
      </c>
      <c r="M586" s="3346"/>
      <c r="N586" s="1025"/>
      <c r="O586" s="1025"/>
      <c r="P586" s="1025"/>
      <c r="T586" s="762"/>
    </row>
    <row r="587" spans="1:20" s="731" customFormat="1" ht="13.5" customHeight="1">
      <c r="A587" s="992">
        <f t="shared" si="65"/>
        <v>97</v>
      </c>
      <c r="B587" s="882" t="s">
        <v>3293</v>
      </c>
      <c r="C587" s="997"/>
      <c r="D587" s="997"/>
      <c r="E587" s="997"/>
      <c r="F587" s="997"/>
      <c r="G587" s="3343" t="s">
        <v>492</v>
      </c>
      <c r="H587" s="3344"/>
      <c r="I587" s="738">
        <f>K3378</f>
        <v>2933.4</v>
      </c>
      <c r="J587" s="737"/>
      <c r="K587" s="737">
        <f t="shared" si="64"/>
        <v>2933.4</v>
      </c>
      <c r="L587" s="3345">
        <f t="shared" si="63"/>
        <v>2933.4</v>
      </c>
      <c r="M587" s="3346"/>
      <c r="N587" s="1025"/>
      <c r="O587" s="716" t="s">
        <v>3176</v>
      </c>
      <c r="P587" s="1025"/>
      <c r="Q587" s="769" t="s">
        <v>523</v>
      </c>
      <c r="T587" s="762"/>
    </row>
    <row r="588" spans="1:20" s="714" customFormat="1" ht="13.5" customHeight="1">
      <c r="A588" s="992">
        <f t="shared" si="65"/>
        <v>98</v>
      </c>
      <c r="B588" s="996" t="s">
        <v>3294</v>
      </c>
      <c r="C588" s="997"/>
      <c r="D588" s="997"/>
      <c r="E588" s="997"/>
      <c r="F588" s="997"/>
      <c r="G588" s="3343" t="s">
        <v>390</v>
      </c>
      <c r="H588" s="3344"/>
      <c r="I588" s="738">
        <f>K3392</f>
        <v>501.15</v>
      </c>
      <c r="J588" s="737"/>
      <c r="K588" s="737">
        <f t="shared" si="64"/>
        <v>501.15</v>
      </c>
      <c r="L588" s="3345">
        <f t="shared" si="63"/>
        <v>501.2</v>
      </c>
      <c r="M588" s="3346"/>
      <c r="O588" s="716" t="s">
        <v>546</v>
      </c>
      <c r="R588" s="716" t="s">
        <v>546</v>
      </c>
      <c r="T588" s="723"/>
    </row>
    <row r="589" spans="1:20" s="714" customFormat="1" ht="13.5" customHeight="1">
      <c r="A589" s="992">
        <f t="shared" si="65"/>
        <v>99</v>
      </c>
      <c r="B589" s="996" t="s">
        <v>3295</v>
      </c>
      <c r="C589" s="997"/>
      <c r="D589" s="997"/>
      <c r="E589" s="997"/>
      <c r="F589" s="997"/>
      <c r="G589" s="3343" t="s">
        <v>390</v>
      </c>
      <c r="H589" s="3344"/>
      <c r="I589" s="738">
        <f>K3404</f>
        <v>366.96</v>
      </c>
      <c r="J589" s="737"/>
      <c r="K589" s="737">
        <f>I589+J589</f>
        <v>366.96</v>
      </c>
      <c r="L589" s="3345">
        <f>ROUND(K589,1)</f>
        <v>367</v>
      </c>
      <c r="M589" s="3346"/>
      <c r="O589" s="716" t="s">
        <v>547</v>
      </c>
      <c r="R589" s="716" t="s">
        <v>547</v>
      </c>
      <c r="T589" s="723"/>
    </row>
    <row r="590" spans="1:20" s="731" customFormat="1" ht="13.5" customHeight="1">
      <c r="A590" s="992">
        <f t="shared" si="65"/>
        <v>100</v>
      </c>
      <c r="B590" s="882" t="s">
        <v>3296</v>
      </c>
      <c r="C590" s="997"/>
      <c r="D590" s="997"/>
      <c r="E590" s="997"/>
      <c r="F590" s="997"/>
      <c r="G590" s="3343" t="s">
        <v>390</v>
      </c>
      <c r="H590" s="3344"/>
      <c r="I590" s="738">
        <f>K3418</f>
        <v>475.3</v>
      </c>
      <c r="J590" s="737"/>
      <c r="K590" s="737">
        <f>I590+J590</f>
        <v>475.3</v>
      </c>
      <c r="L590" s="3345">
        <f>ROUND(K590,1)</f>
        <v>475.3</v>
      </c>
      <c r="M590" s="3346"/>
      <c r="N590" s="1025"/>
      <c r="O590" s="762"/>
      <c r="P590" s="1025"/>
      <c r="R590" s="762"/>
    </row>
    <row r="591" spans="1:20" s="731" customFormat="1" ht="13.5" customHeight="1">
      <c r="A591" s="992">
        <f t="shared" si="65"/>
        <v>101</v>
      </c>
      <c r="B591" s="882" t="s">
        <v>3297</v>
      </c>
      <c r="C591" s="997"/>
      <c r="D591" s="997"/>
      <c r="E591" s="997"/>
      <c r="F591" s="997"/>
      <c r="G591" s="3343" t="s">
        <v>390</v>
      </c>
      <c r="H591" s="3344"/>
      <c r="I591" s="738">
        <f>K3444</f>
        <v>1226.28</v>
      </c>
      <c r="J591" s="737"/>
      <c r="K591" s="737">
        <f t="shared" si="64"/>
        <v>1226.28</v>
      </c>
      <c r="L591" s="3345">
        <f t="shared" si="63"/>
        <v>1226.3</v>
      </c>
      <c r="M591" s="3346"/>
      <c r="N591" s="1025"/>
      <c r="O591" s="716" t="s">
        <v>549</v>
      </c>
      <c r="P591" s="1025"/>
      <c r="Q591" s="1040" t="s">
        <v>548</v>
      </c>
      <c r="R591" s="716" t="s">
        <v>549</v>
      </c>
    </row>
    <row r="592" spans="1:20" s="731" customFormat="1" ht="13.5" customHeight="1">
      <c r="A592" s="992">
        <f t="shared" si="65"/>
        <v>102</v>
      </c>
      <c r="B592" s="882" t="s">
        <v>3298</v>
      </c>
      <c r="C592" s="997"/>
      <c r="D592" s="997"/>
      <c r="E592" s="997"/>
      <c r="F592" s="997"/>
      <c r="G592" s="3343" t="s">
        <v>390</v>
      </c>
      <c r="H592" s="3344"/>
      <c r="I592" s="738">
        <f>K3470</f>
        <v>671.14</v>
      </c>
      <c r="J592" s="737"/>
      <c r="K592" s="737">
        <f>I592+J592</f>
        <v>671.14</v>
      </c>
      <c r="L592" s="3345">
        <f>ROUND(K592,1)</f>
        <v>671.1</v>
      </c>
      <c r="M592" s="3346"/>
      <c r="N592" s="1025"/>
      <c r="O592" s="716" t="s">
        <v>549</v>
      </c>
      <c r="P592" s="1025"/>
      <c r="Q592" s="1041" t="s">
        <v>550</v>
      </c>
      <c r="R592" s="716" t="s">
        <v>549</v>
      </c>
    </row>
    <row r="593" spans="1:20" s="714" customFormat="1" ht="13.5" customHeight="1">
      <c r="A593" s="992">
        <f t="shared" si="65"/>
        <v>103</v>
      </c>
      <c r="B593" s="999" t="s">
        <v>3299</v>
      </c>
      <c r="C593" s="997"/>
      <c r="D593" s="997"/>
      <c r="E593" s="997"/>
      <c r="F593" s="997"/>
      <c r="G593" s="3343" t="s">
        <v>390</v>
      </c>
      <c r="H593" s="3344"/>
      <c r="I593" s="738">
        <f>K3496</f>
        <v>1184.3900000000001</v>
      </c>
      <c r="J593" s="737"/>
      <c r="K593" s="737">
        <f>I593+J593</f>
        <v>1184.3900000000001</v>
      </c>
      <c r="L593" s="3345">
        <f>ROUND(K593,1)</f>
        <v>1184.4000000000001</v>
      </c>
      <c r="M593" s="3346"/>
      <c r="O593" s="716" t="s">
        <v>549</v>
      </c>
      <c r="Q593" s="1042" t="s">
        <v>551</v>
      </c>
      <c r="R593" s="716" t="s">
        <v>549</v>
      </c>
      <c r="T593" s="723"/>
    </row>
    <row r="594" spans="1:20" s="714" customFormat="1" ht="13.5" customHeight="1">
      <c r="A594" s="992">
        <f t="shared" si="65"/>
        <v>104</v>
      </c>
      <c r="B594" s="996" t="s">
        <v>3300</v>
      </c>
      <c r="C594" s="997"/>
      <c r="D594" s="997"/>
      <c r="E594" s="997"/>
      <c r="F594" s="997"/>
      <c r="G594" s="3343" t="s">
        <v>390</v>
      </c>
      <c r="H594" s="3344"/>
      <c r="I594" s="738">
        <f>K3522</f>
        <v>672.44</v>
      </c>
      <c r="J594" s="737"/>
      <c r="K594" s="737">
        <f>I594+J594</f>
        <v>672.44</v>
      </c>
      <c r="L594" s="3345">
        <f>ROUND(K594,1)</f>
        <v>672.4</v>
      </c>
      <c r="M594" s="3346"/>
      <c r="O594" s="716" t="s">
        <v>549</v>
      </c>
      <c r="Q594" s="1043" t="s">
        <v>552</v>
      </c>
      <c r="R594" s="716" t="s">
        <v>549</v>
      </c>
      <c r="T594" s="723"/>
    </row>
    <row r="595" spans="1:20" s="731" customFormat="1" ht="13.5" customHeight="1">
      <c r="A595" s="992">
        <f>A594+1</f>
        <v>105</v>
      </c>
      <c r="B595" s="882" t="s">
        <v>553</v>
      </c>
      <c r="C595" s="997"/>
      <c r="D595" s="997"/>
      <c r="E595" s="997"/>
      <c r="F595" s="997"/>
      <c r="G595" s="3343"/>
      <c r="H595" s="3344"/>
      <c r="I595" s="738"/>
      <c r="J595" s="737"/>
      <c r="K595" s="737"/>
      <c r="L595" s="3345"/>
      <c r="M595" s="3346"/>
      <c r="N595" s="1025"/>
      <c r="O595" s="1025"/>
      <c r="P595" s="1025"/>
      <c r="Q595" s="762"/>
      <c r="T595" s="762"/>
    </row>
    <row r="596" spans="1:20" s="731" customFormat="1" ht="13.5" customHeight="1">
      <c r="A596" s="992" t="s">
        <v>554</v>
      </c>
      <c r="B596" s="882" t="s">
        <v>555</v>
      </c>
      <c r="C596" s="997"/>
      <c r="D596" s="997"/>
      <c r="E596" s="997"/>
      <c r="F596" s="997"/>
      <c r="G596" s="3343" t="s">
        <v>542</v>
      </c>
      <c r="H596" s="3344"/>
      <c r="I596" s="738">
        <v>59.06</v>
      </c>
      <c r="J596" s="737"/>
      <c r="K596" s="737">
        <f t="shared" ref="K596:K604" si="66">I596+J596</f>
        <v>59.06</v>
      </c>
      <c r="L596" s="3345">
        <f t="shared" ref="L596:L604" si="67">ROUND(K596,1)</f>
        <v>59.1</v>
      </c>
      <c r="M596" s="3346"/>
      <c r="N596" s="1025"/>
      <c r="O596" s="1025"/>
      <c r="P596" s="1025"/>
      <c r="T596" s="762"/>
    </row>
    <row r="597" spans="1:20" s="731" customFormat="1" ht="13.5" customHeight="1">
      <c r="A597" s="992" t="s">
        <v>556</v>
      </c>
      <c r="B597" s="882" t="s">
        <v>557</v>
      </c>
      <c r="C597" s="997"/>
      <c r="D597" s="997"/>
      <c r="E597" s="997"/>
      <c r="F597" s="997"/>
      <c r="G597" s="3343" t="s">
        <v>542</v>
      </c>
      <c r="H597" s="3344"/>
      <c r="I597" s="738">
        <v>56.17</v>
      </c>
      <c r="J597" s="737"/>
      <c r="K597" s="737">
        <f t="shared" si="66"/>
        <v>56.17</v>
      </c>
      <c r="L597" s="3345">
        <f t="shared" si="67"/>
        <v>56.2</v>
      </c>
      <c r="M597" s="3346"/>
      <c r="N597" s="1025"/>
      <c r="O597" s="1025"/>
      <c r="P597" s="1025"/>
      <c r="T597" s="762"/>
    </row>
    <row r="598" spans="1:20" s="731" customFormat="1" ht="13.5" customHeight="1">
      <c r="A598" s="992" t="s">
        <v>558</v>
      </c>
      <c r="B598" s="882" t="s">
        <v>559</v>
      </c>
      <c r="C598" s="997"/>
      <c r="D598" s="997"/>
      <c r="E598" s="997"/>
      <c r="F598" s="997"/>
      <c r="G598" s="3343" t="s">
        <v>488</v>
      </c>
      <c r="H598" s="3344"/>
      <c r="I598" s="738">
        <v>17.32</v>
      </c>
      <c r="J598" s="737"/>
      <c r="K598" s="737">
        <f t="shared" si="66"/>
        <v>17.32</v>
      </c>
      <c r="L598" s="3345">
        <f t="shared" si="67"/>
        <v>17.3</v>
      </c>
      <c r="M598" s="3346"/>
      <c r="N598" s="1025"/>
      <c r="O598" s="1025"/>
      <c r="P598" s="1025"/>
      <c r="T598" s="762"/>
    </row>
    <row r="599" spans="1:20" s="731" customFormat="1" ht="13.5" customHeight="1">
      <c r="A599" s="992" t="s">
        <v>560</v>
      </c>
      <c r="B599" s="882" t="s">
        <v>561</v>
      </c>
      <c r="C599" s="997"/>
      <c r="D599" s="997"/>
      <c r="E599" s="997"/>
      <c r="F599" s="997"/>
      <c r="G599" s="3343" t="s">
        <v>488</v>
      </c>
      <c r="H599" s="3344"/>
      <c r="I599" s="738">
        <v>11.02</v>
      </c>
      <c r="J599" s="737"/>
      <c r="K599" s="737">
        <f t="shared" si="66"/>
        <v>11.02</v>
      </c>
      <c r="L599" s="3345">
        <f t="shared" si="67"/>
        <v>11</v>
      </c>
      <c r="M599" s="3346"/>
      <c r="N599" s="1025"/>
      <c r="O599" s="1025"/>
      <c r="P599" s="1025"/>
      <c r="T599" s="762"/>
    </row>
    <row r="600" spans="1:20" s="731" customFormat="1" ht="13.5" customHeight="1">
      <c r="A600" s="992" t="s">
        <v>562</v>
      </c>
      <c r="B600" s="882" t="s">
        <v>563</v>
      </c>
      <c r="C600" s="997"/>
      <c r="D600" s="997"/>
      <c r="E600" s="997"/>
      <c r="F600" s="997"/>
      <c r="G600" s="3343" t="s">
        <v>488</v>
      </c>
      <c r="H600" s="3344"/>
      <c r="I600" s="738">
        <v>77.95</v>
      </c>
      <c r="J600" s="737"/>
      <c r="K600" s="737">
        <f t="shared" si="66"/>
        <v>77.95</v>
      </c>
      <c r="L600" s="3345">
        <f t="shared" si="67"/>
        <v>78</v>
      </c>
      <c r="M600" s="3346"/>
      <c r="N600" s="1025"/>
      <c r="O600" s="1025"/>
      <c r="P600" s="1025"/>
      <c r="T600" s="762"/>
    </row>
    <row r="601" spans="1:20" s="731" customFormat="1" ht="13.5" customHeight="1">
      <c r="A601" s="992" t="s">
        <v>564</v>
      </c>
      <c r="B601" s="882" t="s">
        <v>565</v>
      </c>
      <c r="C601" s="997"/>
      <c r="D601" s="997"/>
      <c r="E601" s="997"/>
      <c r="F601" s="997"/>
      <c r="G601" s="3343" t="s">
        <v>488</v>
      </c>
      <c r="H601" s="3344"/>
      <c r="I601" s="738">
        <v>15.75</v>
      </c>
      <c r="J601" s="737"/>
      <c r="K601" s="737">
        <f t="shared" si="66"/>
        <v>15.75</v>
      </c>
      <c r="L601" s="3345">
        <f t="shared" si="67"/>
        <v>15.8</v>
      </c>
      <c r="M601" s="3346"/>
      <c r="N601" s="1025"/>
      <c r="O601" s="1025"/>
      <c r="P601" s="1025"/>
      <c r="T601" s="762"/>
    </row>
    <row r="602" spans="1:20" s="731" customFormat="1" ht="13.5" customHeight="1">
      <c r="A602" s="992" t="s">
        <v>464</v>
      </c>
      <c r="B602" s="882" t="s">
        <v>566</v>
      </c>
      <c r="C602" s="997"/>
      <c r="D602" s="997"/>
      <c r="E602" s="997"/>
      <c r="F602" s="997"/>
      <c r="G602" s="3343" t="s">
        <v>488</v>
      </c>
      <c r="H602" s="3344"/>
      <c r="I602" s="738">
        <v>11.02</v>
      </c>
      <c r="J602" s="737"/>
      <c r="K602" s="737">
        <f t="shared" si="66"/>
        <v>11.02</v>
      </c>
      <c r="L602" s="3345">
        <f t="shared" si="67"/>
        <v>11</v>
      </c>
      <c r="M602" s="3346"/>
      <c r="N602" s="1025"/>
      <c r="O602" s="1025"/>
      <c r="P602" s="1025"/>
      <c r="T602" s="762"/>
    </row>
    <row r="603" spans="1:20" s="731" customFormat="1" ht="13.5" customHeight="1">
      <c r="A603" s="992" t="s">
        <v>465</v>
      </c>
      <c r="B603" s="882" t="s">
        <v>567</v>
      </c>
      <c r="C603" s="997"/>
      <c r="D603" s="997"/>
      <c r="E603" s="997"/>
      <c r="F603" s="997"/>
      <c r="G603" s="3343" t="s">
        <v>488</v>
      </c>
      <c r="H603" s="3344"/>
      <c r="I603" s="738">
        <v>20.47</v>
      </c>
      <c r="J603" s="737"/>
      <c r="K603" s="737">
        <f t="shared" si="66"/>
        <v>20.47</v>
      </c>
      <c r="L603" s="3345">
        <f t="shared" si="67"/>
        <v>20.5</v>
      </c>
      <c r="M603" s="3346"/>
      <c r="N603" s="1025"/>
      <c r="O603" s="1025"/>
      <c r="P603" s="1025"/>
      <c r="T603" s="762"/>
    </row>
    <row r="604" spans="1:20" s="731" customFormat="1" ht="13.5" customHeight="1">
      <c r="A604" s="1027" t="s">
        <v>568</v>
      </c>
      <c r="B604" s="882" t="s">
        <v>569</v>
      </c>
      <c r="C604" s="997"/>
      <c r="D604" s="997"/>
      <c r="E604" s="997"/>
      <c r="F604" s="997"/>
      <c r="G604" s="3343" t="s">
        <v>488</v>
      </c>
      <c r="H604" s="3344"/>
      <c r="I604" s="738">
        <v>13.39</v>
      </c>
      <c r="J604" s="737"/>
      <c r="K604" s="737">
        <f t="shared" si="66"/>
        <v>13.39</v>
      </c>
      <c r="L604" s="3345">
        <f t="shared" si="67"/>
        <v>13.4</v>
      </c>
      <c r="M604" s="3346"/>
      <c r="N604" s="1025"/>
      <c r="O604" s="1025"/>
      <c r="P604" s="1025"/>
      <c r="T604" s="762"/>
    </row>
    <row r="605" spans="1:20" s="731" customFormat="1" ht="13.5" customHeight="1">
      <c r="A605" s="994" t="s">
        <v>570</v>
      </c>
      <c r="B605" s="837"/>
      <c r="C605" s="995"/>
      <c r="D605" s="995"/>
      <c r="E605" s="995"/>
      <c r="F605" s="995"/>
      <c r="G605" s="1034"/>
      <c r="H605" s="1035"/>
      <c r="I605" s="838"/>
      <c r="J605" s="838"/>
      <c r="K605" s="728"/>
      <c r="L605" s="1005"/>
      <c r="M605" s="1006"/>
      <c r="N605" s="763"/>
      <c r="O605" s="763"/>
      <c r="P605" s="763"/>
      <c r="Q605" s="1044" t="str">
        <f>A605</f>
        <v>E) Painting</v>
      </c>
      <c r="T605" s="762"/>
    </row>
    <row r="606" spans="1:20" s="714" customFormat="1" ht="13.5" customHeight="1">
      <c r="A606" s="992">
        <f>A594+1</f>
        <v>105</v>
      </c>
      <c r="B606" s="996" t="s">
        <v>3301</v>
      </c>
      <c r="C606" s="997"/>
      <c r="D606" s="997"/>
      <c r="E606" s="997"/>
      <c r="F606" s="997"/>
      <c r="G606" s="3343" t="s">
        <v>390</v>
      </c>
      <c r="H606" s="3344"/>
      <c r="I606" s="738"/>
      <c r="J606" s="737"/>
      <c r="K606" s="737"/>
      <c r="L606" s="3345"/>
      <c r="M606" s="3346"/>
      <c r="O606" s="716" t="s">
        <v>571</v>
      </c>
      <c r="R606" s="716" t="s">
        <v>571</v>
      </c>
      <c r="T606" s="723"/>
    </row>
    <row r="607" spans="1:20" s="731" customFormat="1" ht="13.5" customHeight="1">
      <c r="A607" s="1045" t="s">
        <v>468</v>
      </c>
      <c r="B607" s="837" t="s">
        <v>572</v>
      </c>
      <c r="C607" s="997"/>
      <c r="D607" s="997"/>
      <c r="E607" s="997"/>
      <c r="F607" s="997"/>
      <c r="G607" s="3343" t="s">
        <v>390</v>
      </c>
      <c r="H607" s="3344"/>
      <c r="I607" s="738"/>
      <c r="J607" s="737"/>
      <c r="K607" s="737"/>
      <c r="L607" s="1031"/>
      <c r="M607" s="1032"/>
      <c r="N607" s="1025"/>
      <c r="O607" s="1025"/>
      <c r="P607" s="1025"/>
      <c r="Q607" s="769"/>
      <c r="R607" s="769"/>
      <c r="S607" s="769"/>
      <c r="T607" s="769"/>
    </row>
    <row r="608" spans="1:20" s="731" customFormat="1" ht="13.5" customHeight="1">
      <c r="A608" s="1046" t="s">
        <v>383</v>
      </c>
      <c r="B608" s="882" t="s">
        <v>384</v>
      </c>
      <c r="C608" s="997"/>
      <c r="D608" s="997"/>
      <c r="E608" s="997"/>
      <c r="F608" s="997"/>
      <c r="G608" s="3343" t="str">
        <f>G607</f>
        <v>Each Sqm</v>
      </c>
      <c r="H608" s="3344"/>
      <c r="I608" s="738">
        <f>K3556</f>
        <v>11.24</v>
      </c>
      <c r="J608" s="737"/>
      <c r="K608" s="737">
        <f>I608+J608</f>
        <v>11.24</v>
      </c>
      <c r="L608" s="3345">
        <f>ROUND(K608,1)</f>
        <v>11.2</v>
      </c>
      <c r="M608" s="3346"/>
      <c r="N608" s="1025"/>
      <c r="O608" s="1025"/>
      <c r="P608" s="1025"/>
      <c r="Q608" s="769"/>
      <c r="R608" s="769"/>
      <c r="S608" s="769"/>
      <c r="T608" s="769"/>
    </row>
    <row r="609" spans="1:20" s="731" customFormat="1" ht="13.5" customHeight="1">
      <c r="A609" s="1046" t="s">
        <v>386</v>
      </c>
      <c r="B609" s="882" t="s">
        <v>387</v>
      </c>
      <c r="C609" s="997"/>
      <c r="D609" s="997"/>
      <c r="E609" s="997"/>
      <c r="F609" s="997"/>
      <c r="G609" s="3343" t="str">
        <f>G608</f>
        <v>Each Sqm</v>
      </c>
      <c r="H609" s="3344"/>
      <c r="I609" s="738">
        <f>K3560</f>
        <v>11.36</v>
      </c>
      <c r="J609" s="737"/>
      <c r="K609" s="737">
        <f>I609+J609</f>
        <v>11.36</v>
      </c>
      <c r="L609" s="3345">
        <f>ROUND(K609,1)</f>
        <v>11.4</v>
      </c>
      <c r="M609" s="3346"/>
      <c r="N609" s="1025"/>
      <c r="O609" s="1025"/>
      <c r="P609" s="1025"/>
      <c r="Q609" s="769"/>
      <c r="R609" s="769"/>
      <c r="S609" s="769"/>
      <c r="T609" s="769"/>
    </row>
    <row r="610" spans="1:20" s="731" customFormat="1" ht="13.5" customHeight="1">
      <c r="A610" s="1045" t="s">
        <v>470</v>
      </c>
      <c r="B610" s="837" t="s">
        <v>573</v>
      </c>
      <c r="C610" s="997"/>
      <c r="D610" s="997"/>
      <c r="E610" s="997"/>
      <c r="F610" s="997"/>
      <c r="G610" s="3343" t="s">
        <v>390</v>
      </c>
      <c r="H610" s="3344"/>
      <c r="I610" s="738"/>
      <c r="J610" s="737"/>
      <c r="K610" s="737"/>
      <c r="L610" s="1031"/>
      <c r="M610" s="1032"/>
      <c r="N610" s="1025"/>
      <c r="O610" s="1025"/>
      <c r="P610" s="1025"/>
      <c r="Q610" s="769"/>
      <c r="R610" s="769"/>
      <c r="S610" s="769"/>
      <c r="T610" s="769"/>
    </row>
    <row r="611" spans="1:20" s="731" customFormat="1" ht="13.5" customHeight="1">
      <c r="A611" s="1046" t="s">
        <v>383</v>
      </c>
      <c r="B611" s="882" t="s">
        <v>384</v>
      </c>
      <c r="C611" s="997"/>
      <c r="D611" s="997"/>
      <c r="E611" s="997"/>
      <c r="F611" s="997"/>
      <c r="G611" s="3343" t="str">
        <f>G610</f>
        <v>Each Sqm</v>
      </c>
      <c r="H611" s="3344"/>
      <c r="I611" s="738">
        <f>K3562</f>
        <v>11.24</v>
      </c>
      <c r="J611" s="737"/>
      <c r="K611" s="737">
        <f>I611+J611</f>
        <v>11.24</v>
      </c>
      <c r="L611" s="3345">
        <f>ROUND(K611,1)</f>
        <v>11.2</v>
      </c>
      <c r="M611" s="3346"/>
      <c r="N611" s="1025"/>
      <c r="O611" s="1025"/>
      <c r="P611" s="1025"/>
      <c r="Q611" s="769"/>
      <c r="R611" s="769"/>
      <c r="S611" s="769"/>
      <c r="T611" s="769"/>
    </row>
    <row r="612" spans="1:20" s="731" customFormat="1" ht="13.5" customHeight="1">
      <c r="A612" s="1046" t="s">
        <v>386</v>
      </c>
      <c r="B612" s="882" t="s">
        <v>387</v>
      </c>
      <c r="C612" s="997"/>
      <c r="D612" s="997"/>
      <c r="E612" s="997"/>
      <c r="F612" s="997"/>
      <c r="G612" s="3343" t="str">
        <f>G611</f>
        <v>Each Sqm</v>
      </c>
      <c r="H612" s="3344"/>
      <c r="I612" s="738">
        <f>K3566</f>
        <v>11.44</v>
      </c>
      <c r="J612" s="737"/>
      <c r="K612" s="737">
        <f>I612+J612</f>
        <v>11.44</v>
      </c>
      <c r="L612" s="3345">
        <f>ROUND(K612,1)</f>
        <v>11.4</v>
      </c>
      <c r="M612" s="3346"/>
      <c r="N612" s="1025"/>
      <c r="O612" s="1025"/>
      <c r="P612" s="1025"/>
      <c r="Q612" s="769"/>
      <c r="R612" s="769"/>
      <c r="S612" s="769"/>
      <c r="T612" s="769"/>
    </row>
    <row r="613" spans="1:20" s="731" customFormat="1" ht="13.5" customHeight="1">
      <c r="A613" s="992">
        <f>A606+1</f>
        <v>106</v>
      </c>
      <c r="B613" s="882" t="s">
        <v>3302</v>
      </c>
      <c r="C613" s="997"/>
      <c r="D613" s="997"/>
      <c r="E613" s="997"/>
      <c r="F613" s="997"/>
      <c r="G613" s="3343" t="s">
        <v>390</v>
      </c>
      <c r="H613" s="3344"/>
      <c r="I613" s="738"/>
      <c r="J613" s="737"/>
      <c r="K613" s="737"/>
      <c r="L613" s="3345"/>
      <c r="M613" s="3346"/>
      <c r="N613" s="1025"/>
      <c r="O613" s="1025"/>
      <c r="P613" s="1025"/>
      <c r="Q613" s="769" t="s">
        <v>574</v>
      </c>
      <c r="R613" s="769"/>
      <c r="S613" s="769"/>
      <c r="T613" s="769"/>
    </row>
    <row r="614" spans="1:20" s="731" customFormat="1" ht="13.5" customHeight="1">
      <c r="A614" s="1045" t="s">
        <v>468</v>
      </c>
      <c r="B614" s="837" t="s">
        <v>572</v>
      </c>
      <c r="C614" s="997"/>
      <c r="D614" s="997"/>
      <c r="E614" s="997"/>
      <c r="F614" s="997"/>
      <c r="G614" s="3343" t="s">
        <v>390</v>
      </c>
      <c r="H614" s="3344"/>
      <c r="I614" s="738"/>
      <c r="J614" s="737"/>
      <c r="K614" s="737"/>
      <c r="L614" s="1031"/>
      <c r="M614" s="1032"/>
      <c r="N614" s="1025"/>
      <c r="O614" s="1025"/>
      <c r="P614" s="1025"/>
      <c r="Q614" s="769"/>
      <c r="R614" s="769"/>
      <c r="S614" s="769"/>
      <c r="T614" s="769"/>
    </row>
    <row r="615" spans="1:20" s="731" customFormat="1" ht="13.5" customHeight="1">
      <c r="A615" s="1046" t="s">
        <v>383</v>
      </c>
      <c r="B615" s="882" t="s">
        <v>384</v>
      </c>
      <c r="C615" s="997"/>
      <c r="D615" s="997"/>
      <c r="E615" s="997"/>
      <c r="F615" s="997"/>
      <c r="G615" s="3343" t="str">
        <f>G614</f>
        <v>Each Sqm</v>
      </c>
      <c r="H615" s="3344"/>
      <c r="I615" s="738">
        <f>K3580</f>
        <v>40.900000000000006</v>
      </c>
      <c r="J615" s="737"/>
      <c r="K615" s="737">
        <f>I615+J615</f>
        <v>40.900000000000006</v>
      </c>
      <c r="L615" s="3345">
        <f>ROUND(K615,1)</f>
        <v>40.9</v>
      </c>
      <c r="M615" s="3346"/>
      <c r="N615" s="1025"/>
      <c r="O615" s="1025"/>
      <c r="P615" s="1025"/>
      <c r="Q615" s="769"/>
      <c r="R615" s="769"/>
      <c r="S615" s="769"/>
      <c r="T615" s="769"/>
    </row>
    <row r="616" spans="1:20" s="731" customFormat="1" ht="13.5" customHeight="1">
      <c r="A616" s="1046" t="s">
        <v>386</v>
      </c>
      <c r="B616" s="882" t="s">
        <v>387</v>
      </c>
      <c r="C616" s="997"/>
      <c r="D616" s="997"/>
      <c r="E616" s="997"/>
      <c r="F616" s="997"/>
      <c r="G616" s="3343" t="str">
        <f>G615</f>
        <v>Each Sqm</v>
      </c>
      <c r="H616" s="3344"/>
      <c r="I616" s="738">
        <f>K3584</f>
        <v>41.650000000000006</v>
      </c>
      <c r="J616" s="737"/>
      <c r="K616" s="737">
        <f>I616+J616</f>
        <v>41.650000000000006</v>
      </c>
      <c r="L616" s="3345">
        <f>ROUND(K616,1)</f>
        <v>41.7</v>
      </c>
      <c r="M616" s="3346"/>
      <c r="N616" s="1025"/>
      <c r="O616" s="1025"/>
      <c r="P616" s="1025"/>
      <c r="Q616" s="769"/>
      <c r="R616" s="769"/>
      <c r="S616" s="769"/>
      <c r="T616" s="769"/>
    </row>
    <row r="617" spans="1:20" s="731" customFormat="1" ht="13.5" customHeight="1">
      <c r="A617" s="1045" t="s">
        <v>470</v>
      </c>
      <c r="B617" s="837" t="s">
        <v>573</v>
      </c>
      <c r="C617" s="997"/>
      <c r="D617" s="997"/>
      <c r="E617" s="997"/>
      <c r="F617" s="997"/>
      <c r="G617" s="3343" t="s">
        <v>390</v>
      </c>
      <c r="H617" s="3344"/>
      <c r="I617" s="738"/>
      <c r="J617" s="737"/>
      <c r="K617" s="737"/>
      <c r="L617" s="1031"/>
      <c r="M617" s="1032"/>
      <c r="N617" s="1025"/>
      <c r="O617" s="1025"/>
      <c r="P617" s="1025"/>
      <c r="Q617" s="769"/>
      <c r="R617" s="769"/>
      <c r="S617" s="769"/>
      <c r="T617" s="769"/>
    </row>
    <row r="618" spans="1:20" s="731" customFormat="1" ht="13.5" customHeight="1">
      <c r="A618" s="1046" t="s">
        <v>383</v>
      </c>
      <c r="B618" s="882" t="s">
        <v>384</v>
      </c>
      <c r="C618" s="997"/>
      <c r="D618" s="997"/>
      <c r="E618" s="997"/>
      <c r="F618" s="997"/>
      <c r="G618" s="3343" t="str">
        <f>G617</f>
        <v>Each Sqm</v>
      </c>
      <c r="H618" s="3344"/>
      <c r="I618" s="738">
        <f>K3586</f>
        <v>40.900000000000006</v>
      </c>
      <c r="J618" s="737"/>
      <c r="K618" s="737">
        <f>I618+J618</f>
        <v>40.900000000000006</v>
      </c>
      <c r="L618" s="3345">
        <f>ROUND(K618,1)</f>
        <v>40.9</v>
      </c>
      <c r="M618" s="3346"/>
      <c r="N618" s="1025"/>
      <c r="O618" s="1025"/>
      <c r="P618" s="1025"/>
      <c r="Q618" s="769"/>
      <c r="R618" s="769"/>
      <c r="S618" s="769"/>
      <c r="T618" s="769"/>
    </row>
    <row r="619" spans="1:20" s="731" customFormat="1" ht="13.5" customHeight="1">
      <c r="A619" s="1046" t="s">
        <v>386</v>
      </c>
      <c r="B619" s="882" t="s">
        <v>387</v>
      </c>
      <c r="C619" s="997"/>
      <c r="D619" s="997"/>
      <c r="E619" s="997"/>
      <c r="F619" s="997"/>
      <c r="G619" s="3343" t="str">
        <f>G618</f>
        <v>Each Sqm</v>
      </c>
      <c r="H619" s="3344"/>
      <c r="I619" s="738">
        <f>K3590</f>
        <v>42.150000000000006</v>
      </c>
      <c r="J619" s="737"/>
      <c r="K619" s="737">
        <f>I619+J619</f>
        <v>42.150000000000006</v>
      </c>
      <c r="L619" s="3345">
        <f>ROUND(K619,1)</f>
        <v>42.2</v>
      </c>
      <c r="M619" s="3346"/>
      <c r="N619" s="1025"/>
      <c r="O619" s="1025"/>
      <c r="P619" s="1025"/>
      <c r="Q619" s="769"/>
      <c r="R619" s="769"/>
      <c r="S619" s="769"/>
      <c r="T619" s="769"/>
    </row>
    <row r="620" spans="1:20" s="731" customFormat="1" ht="13.5" customHeight="1">
      <c r="A620" s="992">
        <f>A613+1</f>
        <v>107</v>
      </c>
      <c r="B620" s="882" t="s">
        <v>3303</v>
      </c>
      <c r="C620" s="997"/>
      <c r="D620" s="997"/>
      <c r="E620" s="997"/>
      <c r="F620" s="997"/>
      <c r="G620" s="3343" t="s">
        <v>390</v>
      </c>
      <c r="H620" s="3344"/>
      <c r="I620" s="738"/>
      <c r="J620" s="737"/>
      <c r="K620" s="737"/>
      <c r="L620" s="3345"/>
      <c r="M620" s="3346"/>
      <c r="N620" s="1025"/>
      <c r="O620" s="716" t="s">
        <v>576</v>
      </c>
      <c r="P620" s="1025"/>
      <c r="Q620" s="769" t="s">
        <v>575</v>
      </c>
      <c r="R620" s="716" t="s">
        <v>576</v>
      </c>
      <c r="S620" s="769"/>
      <c r="T620" s="769"/>
    </row>
    <row r="621" spans="1:20" s="731" customFormat="1" ht="13.5" customHeight="1">
      <c r="A621" s="1045" t="s">
        <v>468</v>
      </c>
      <c r="B621" s="837" t="s">
        <v>572</v>
      </c>
      <c r="C621" s="997"/>
      <c r="D621" s="997"/>
      <c r="E621" s="997"/>
      <c r="F621" s="997"/>
      <c r="G621" s="3343" t="s">
        <v>390</v>
      </c>
      <c r="H621" s="3344"/>
      <c r="I621" s="738"/>
      <c r="J621" s="737"/>
      <c r="K621" s="737"/>
      <c r="L621" s="1031"/>
      <c r="M621" s="1032"/>
      <c r="N621" s="1025"/>
      <c r="O621" s="769"/>
      <c r="P621" s="1025"/>
      <c r="Q621" s="769"/>
      <c r="R621" s="769"/>
      <c r="S621" s="769"/>
      <c r="T621" s="769"/>
    </row>
    <row r="622" spans="1:20" s="731" customFormat="1" ht="13.5" customHeight="1">
      <c r="A622" s="1046" t="s">
        <v>383</v>
      </c>
      <c r="B622" s="882" t="s">
        <v>384</v>
      </c>
      <c r="C622" s="997"/>
      <c r="D622" s="997"/>
      <c r="E622" s="997"/>
      <c r="F622" s="997"/>
      <c r="G622" s="3343" t="str">
        <f>G621</f>
        <v>Each Sqm</v>
      </c>
      <c r="H622" s="3344"/>
      <c r="I622" s="738">
        <f>K3604</f>
        <v>18.63</v>
      </c>
      <c r="J622" s="737"/>
      <c r="K622" s="737">
        <f>I622+J622</f>
        <v>18.63</v>
      </c>
      <c r="L622" s="3345">
        <f>ROUND(K622,1)</f>
        <v>18.600000000000001</v>
      </c>
      <c r="M622" s="3346"/>
      <c r="N622" s="1025"/>
      <c r="O622" s="769"/>
      <c r="P622" s="1025"/>
      <c r="Q622" s="769"/>
      <c r="R622" s="769"/>
      <c r="S622" s="769"/>
      <c r="T622" s="769"/>
    </row>
    <row r="623" spans="1:20" s="731" customFormat="1" ht="13.5" customHeight="1">
      <c r="A623" s="1046" t="s">
        <v>386</v>
      </c>
      <c r="B623" s="882" t="s">
        <v>387</v>
      </c>
      <c r="C623" s="997"/>
      <c r="D623" s="997"/>
      <c r="E623" s="997"/>
      <c r="F623" s="997"/>
      <c r="G623" s="3343" t="str">
        <f>G622</f>
        <v>Each Sqm</v>
      </c>
      <c r="H623" s="3344"/>
      <c r="I623" s="738">
        <f>K3608</f>
        <v>18.88</v>
      </c>
      <c r="J623" s="737"/>
      <c r="K623" s="737">
        <f>I623+J623</f>
        <v>18.88</v>
      </c>
      <c r="L623" s="3345">
        <f>ROUND(K623,1)</f>
        <v>18.899999999999999</v>
      </c>
      <c r="M623" s="3346"/>
      <c r="N623" s="1025"/>
      <c r="O623" s="769"/>
      <c r="P623" s="1025"/>
      <c r="Q623" s="769"/>
      <c r="R623" s="769"/>
      <c r="S623" s="769"/>
      <c r="T623" s="769"/>
    </row>
    <row r="624" spans="1:20" s="731" customFormat="1" ht="13.5" customHeight="1">
      <c r="A624" s="1045" t="s">
        <v>470</v>
      </c>
      <c r="B624" s="837" t="s">
        <v>573</v>
      </c>
      <c r="C624" s="997"/>
      <c r="D624" s="997"/>
      <c r="E624" s="997"/>
      <c r="F624" s="997"/>
      <c r="G624" s="3343" t="s">
        <v>390</v>
      </c>
      <c r="H624" s="3344"/>
      <c r="I624" s="738"/>
      <c r="J624" s="737"/>
      <c r="K624" s="737"/>
      <c r="L624" s="1031"/>
      <c r="M624" s="1032"/>
      <c r="N624" s="1025"/>
      <c r="O624" s="769"/>
      <c r="P624" s="1025"/>
      <c r="Q624" s="769"/>
      <c r="R624" s="769"/>
      <c r="S624" s="769"/>
      <c r="T624" s="769"/>
    </row>
    <row r="625" spans="1:20" s="731" customFormat="1" ht="13.5" customHeight="1">
      <c r="A625" s="1046" t="s">
        <v>383</v>
      </c>
      <c r="B625" s="882" t="s">
        <v>384</v>
      </c>
      <c r="C625" s="997"/>
      <c r="D625" s="997"/>
      <c r="E625" s="997"/>
      <c r="F625" s="997"/>
      <c r="G625" s="3343" t="str">
        <f>G624</f>
        <v>Each Sqm</v>
      </c>
      <c r="H625" s="3344"/>
      <c r="I625" s="738">
        <f>K3610</f>
        <v>18.63</v>
      </c>
      <c r="J625" s="737"/>
      <c r="K625" s="737">
        <f>I625+J625</f>
        <v>18.63</v>
      </c>
      <c r="L625" s="3345">
        <f>ROUND(K625,1)</f>
        <v>18.600000000000001</v>
      </c>
      <c r="M625" s="3346"/>
      <c r="N625" s="1025"/>
      <c r="O625" s="769"/>
      <c r="P625" s="1025"/>
      <c r="Q625" s="769"/>
      <c r="R625" s="769"/>
      <c r="S625" s="769"/>
      <c r="T625" s="769"/>
    </row>
    <row r="626" spans="1:20" s="731" customFormat="1" ht="13.5" customHeight="1">
      <c r="A626" s="1046" t="s">
        <v>386</v>
      </c>
      <c r="B626" s="882" t="s">
        <v>387</v>
      </c>
      <c r="C626" s="997"/>
      <c r="D626" s="997"/>
      <c r="E626" s="997"/>
      <c r="F626" s="997"/>
      <c r="G626" s="3343" t="str">
        <f>G625</f>
        <v>Each Sqm</v>
      </c>
      <c r="H626" s="3344"/>
      <c r="I626" s="738">
        <f>K3614</f>
        <v>19.04</v>
      </c>
      <c r="J626" s="737"/>
      <c r="K626" s="737">
        <f>I626+J626</f>
        <v>19.04</v>
      </c>
      <c r="L626" s="3345">
        <f>ROUND(K626,1)</f>
        <v>19</v>
      </c>
      <c r="M626" s="3346"/>
      <c r="N626" s="1025"/>
      <c r="O626" s="769"/>
      <c r="P626" s="1025"/>
      <c r="Q626" s="769"/>
      <c r="R626" s="769"/>
      <c r="S626" s="769"/>
      <c r="T626" s="769"/>
    </row>
    <row r="627" spans="1:20" s="714" customFormat="1" ht="13.5" customHeight="1">
      <c r="A627" s="992">
        <f>A620+1</f>
        <v>108</v>
      </c>
      <c r="B627" s="999" t="s">
        <v>3304</v>
      </c>
      <c r="C627" s="996"/>
      <c r="D627" s="996"/>
      <c r="E627" s="996"/>
      <c r="F627" s="1000"/>
      <c r="G627" s="3343" t="s">
        <v>390</v>
      </c>
      <c r="H627" s="3344"/>
      <c r="I627" s="738"/>
      <c r="J627" s="737"/>
      <c r="K627" s="737"/>
      <c r="L627" s="3345"/>
      <c r="M627" s="3346"/>
      <c r="O627" s="716" t="s">
        <v>576</v>
      </c>
      <c r="Q627" s="716" t="s">
        <v>577</v>
      </c>
      <c r="R627" s="716" t="s">
        <v>576</v>
      </c>
      <c r="T627" s="723"/>
    </row>
    <row r="628" spans="1:20" s="731" customFormat="1" ht="13.5" customHeight="1">
      <c r="A628" s="992" t="s">
        <v>468</v>
      </c>
      <c r="B628" s="837" t="s">
        <v>572</v>
      </c>
      <c r="C628" s="997"/>
      <c r="D628" s="997"/>
      <c r="E628" s="997"/>
      <c r="F628" s="997"/>
      <c r="G628" s="3343" t="s">
        <v>390</v>
      </c>
      <c r="H628" s="3344"/>
      <c r="I628" s="738"/>
      <c r="J628" s="737"/>
      <c r="K628" s="737"/>
      <c r="L628" s="1031"/>
      <c r="M628" s="1032"/>
      <c r="N628" s="1025"/>
      <c r="O628" s="1025"/>
      <c r="P628" s="1025"/>
      <c r="Q628" s="769"/>
      <c r="R628" s="769"/>
      <c r="S628" s="769"/>
      <c r="T628" s="769"/>
    </row>
    <row r="629" spans="1:20" s="731" customFormat="1" ht="13.5" customHeight="1">
      <c r="A629" s="1046" t="s">
        <v>383</v>
      </c>
      <c r="B629" s="882" t="s">
        <v>384</v>
      </c>
      <c r="C629" s="997"/>
      <c r="D629" s="997"/>
      <c r="E629" s="997"/>
      <c r="F629" s="997"/>
      <c r="G629" s="3343" t="str">
        <f>G628</f>
        <v>Each Sqm</v>
      </c>
      <c r="H629" s="3344"/>
      <c r="I629" s="738">
        <f>K3628</f>
        <v>27.689999999999998</v>
      </c>
      <c r="J629" s="737"/>
      <c r="K629" s="737">
        <f>I629+J629</f>
        <v>27.689999999999998</v>
      </c>
      <c r="L629" s="3345">
        <f>ROUND(K629,1)</f>
        <v>27.7</v>
      </c>
      <c r="M629" s="3346"/>
      <c r="N629" s="1025"/>
      <c r="O629" s="1025"/>
      <c r="P629" s="1025"/>
      <c r="Q629" s="769"/>
      <c r="R629" s="769"/>
      <c r="S629" s="769"/>
      <c r="T629" s="769"/>
    </row>
    <row r="630" spans="1:20" s="731" customFormat="1" ht="13.5" customHeight="1">
      <c r="A630" s="1046" t="s">
        <v>386</v>
      </c>
      <c r="B630" s="882" t="s">
        <v>387</v>
      </c>
      <c r="C630" s="997"/>
      <c r="D630" s="997"/>
      <c r="E630" s="997"/>
      <c r="F630" s="997"/>
      <c r="G630" s="3343" t="str">
        <f>G629</f>
        <v>Each Sqm</v>
      </c>
      <c r="H630" s="3344"/>
      <c r="I630" s="738">
        <f>K3632</f>
        <v>28.049999999999997</v>
      </c>
      <c r="J630" s="737"/>
      <c r="K630" s="737">
        <f>I630+J630</f>
        <v>28.049999999999997</v>
      </c>
      <c r="L630" s="3345">
        <f>ROUND(K630,1)</f>
        <v>28.1</v>
      </c>
      <c r="M630" s="3346"/>
      <c r="N630" s="1025"/>
      <c r="O630" s="1025"/>
      <c r="P630" s="1025"/>
      <c r="Q630" s="769"/>
      <c r="R630" s="769"/>
      <c r="S630" s="769"/>
      <c r="T630" s="769"/>
    </row>
    <row r="631" spans="1:20" s="731" customFormat="1" ht="13.5" customHeight="1">
      <c r="A631" s="992" t="s">
        <v>470</v>
      </c>
      <c r="B631" s="837" t="s">
        <v>573</v>
      </c>
      <c r="C631" s="997"/>
      <c r="D631" s="997"/>
      <c r="E631" s="997"/>
      <c r="F631" s="997"/>
      <c r="G631" s="3343" t="s">
        <v>390</v>
      </c>
      <c r="H631" s="3344"/>
      <c r="I631" s="738"/>
      <c r="J631" s="737"/>
      <c r="K631" s="737"/>
      <c r="L631" s="1031"/>
      <c r="M631" s="1032"/>
      <c r="N631" s="1025"/>
      <c r="O631" s="1025"/>
      <c r="P631" s="1025"/>
      <c r="Q631" s="769"/>
      <c r="R631" s="769"/>
      <c r="S631" s="769"/>
      <c r="T631" s="769"/>
    </row>
    <row r="632" spans="1:20" s="731" customFormat="1" ht="13.5" customHeight="1">
      <c r="A632" s="1046" t="s">
        <v>383</v>
      </c>
      <c r="B632" s="882" t="s">
        <v>384</v>
      </c>
      <c r="C632" s="997"/>
      <c r="D632" s="997"/>
      <c r="E632" s="997"/>
      <c r="F632" s="997"/>
      <c r="G632" s="3343" t="str">
        <f>G631</f>
        <v>Each Sqm</v>
      </c>
      <c r="H632" s="3344"/>
      <c r="I632" s="738">
        <f>K3634</f>
        <v>27.689999999999998</v>
      </c>
      <c r="J632" s="737"/>
      <c r="K632" s="737">
        <f>I632+J632</f>
        <v>27.689999999999998</v>
      </c>
      <c r="L632" s="3345">
        <f>ROUND(K632,1)</f>
        <v>27.7</v>
      </c>
      <c r="M632" s="3346"/>
      <c r="N632" s="1025"/>
      <c r="O632" s="1025"/>
      <c r="P632" s="1025"/>
      <c r="Q632" s="769"/>
      <c r="R632" s="769"/>
      <c r="S632" s="769"/>
      <c r="T632" s="769"/>
    </row>
    <row r="633" spans="1:20" s="731" customFormat="1" ht="13.5" customHeight="1">
      <c r="A633" s="1046" t="s">
        <v>386</v>
      </c>
      <c r="B633" s="882" t="s">
        <v>387</v>
      </c>
      <c r="C633" s="997"/>
      <c r="D633" s="997"/>
      <c r="E633" s="997"/>
      <c r="F633" s="997"/>
      <c r="G633" s="3343" t="str">
        <f>G632</f>
        <v>Each Sqm</v>
      </c>
      <c r="H633" s="3344"/>
      <c r="I633" s="738">
        <f>K3638</f>
        <v>28.29</v>
      </c>
      <c r="J633" s="737"/>
      <c r="K633" s="737">
        <f>I633+J633</f>
        <v>28.29</v>
      </c>
      <c r="L633" s="3345">
        <f>ROUND(K633,1)</f>
        <v>28.3</v>
      </c>
      <c r="M633" s="3346"/>
      <c r="N633" s="1025"/>
      <c r="O633" s="1025"/>
      <c r="P633" s="1025"/>
      <c r="Q633" s="769"/>
      <c r="R633" s="769"/>
      <c r="S633" s="769"/>
      <c r="T633" s="769"/>
    </row>
    <row r="634" spans="1:20" s="731" customFormat="1" ht="13.5" customHeight="1">
      <c r="A634" s="992">
        <f>A627+1</f>
        <v>109</v>
      </c>
      <c r="B634" s="882" t="s">
        <v>3305</v>
      </c>
      <c r="C634" s="997"/>
      <c r="D634" s="997"/>
      <c r="E634" s="1001"/>
      <c r="F634" s="997"/>
      <c r="G634" s="3343" t="s">
        <v>390</v>
      </c>
      <c r="H634" s="3344"/>
      <c r="I634" s="738"/>
      <c r="J634" s="737"/>
      <c r="K634" s="737"/>
      <c r="L634" s="3345"/>
      <c r="M634" s="3346"/>
      <c r="N634" s="1025"/>
      <c r="O634" s="1025"/>
      <c r="P634" s="1025"/>
      <c r="Q634" s="769" t="s">
        <v>578</v>
      </c>
      <c r="R634" s="769"/>
      <c r="S634" s="769"/>
      <c r="T634" s="769"/>
    </row>
    <row r="635" spans="1:20" s="731" customFormat="1" ht="13.5" customHeight="1">
      <c r="A635" s="1046" t="s">
        <v>383</v>
      </c>
      <c r="B635" s="882" t="s">
        <v>384</v>
      </c>
      <c r="C635" s="997"/>
      <c r="D635" s="997"/>
      <c r="E635" s="1001"/>
      <c r="F635" s="997"/>
      <c r="G635" s="3343" t="str">
        <f>G634</f>
        <v>Each Sqm</v>
      </c>
      <c r="H635" s="3344"/>
      <c r="I635" s="738">
        <f>K3652</f>
        <v>58.739999999999995</v>
      </c>
      <c r="J635" s="737"/>
      <c r="K635" s="737">
        <f>I635+J635</f>
        <v>58.739999999999995</v>
      </c>
      <c r="L635" s="3345">
        <f>ROUND(K635,1)</f>
        <v>58.7</v>
      </c>
      <c r="M635" s="3346"/>
      <c r="N635" s="1025"/>
      <c r="O635" s="1025"/>
      <c r="P635" s="1025"/>
      <c r="Q635" s="769"/>
      <c r="R635" s="769"/>
      <c r="S635" s="769"/>
      <c r="T635" s="769"/>
    </row>
    <row r="636" spans="1:20" s="731" customFormat="1" ht="13.5" customHeight="1">
      <c r="A636" s="1046" t="s">
        <v>386</v>
      </c>
      <c r="B636" s="882" t="s">
        <v>387</v>
      </c>
      <c r="C636" s="997"/>
      <c r="D636" s="997"/>
      <c r="E636" s="1001"/>
      <c r="F636" s="997"/>
      <c r="G636" s="3343" t="str">
        <f>G635</f>
        <v>Each Sqm</v>
      </c>
      <c r="H636" s="3344"/>
      <c r="I636" s="738">
        <f>K3656</f>
        <v>60.089999999999996</v>
      </c>
      <c r="J636" s="737"/>
      <c r="K636" s="737">
        <f>I636+J636</f>
        <v>60.089999999999996</v>
      </c>
      <c r="L636" s="3345">
        <f>ROUND(K636,1)</f>
        <v>60.1</v>
      </c>
      <c r="M636" s="3346"/>
      <c r="N636" s="1025"/>
      <c r="O636" s="1025"/>
      <c r="P636" s="1025"/>
      <c r="Q636" s="769"/>
      <c r="R636" s="769"/>
      <c r="S636" s="769"/>
      <c r="T636" s="769"/>
    </row>
    <row r="637" spans="1:20" s="731" customFormat="1" ht="13.5" customHeight="1">
      <c r="A637" s="992">
        <f>A634+1</f>
        <v>110</v>
      </c>
      <c r="B637" s="882" t="s">
        <v>3306</v>
      </c>
      <c r="C637" s="997"/>
      <c r="D637" s="997"/>
      <c r="E637" s="1001"/>
      <c r="F637" s="997"/>
      <c r="G637" s="3343" t="s">
        <v>390</v>
      </c>
      <c r="H637" s="3344"/>
      <c r="I637" s="738"/>
      <c r="J637" s="737"/>
      <c r="K637" s="737"/>
      <c r="L637" s="3345"/>
      <c r="M637" s="3346"/>
      <c r="N637" s="1025"/>
      <c r="O637" s="1025"/>
      <c r="P637" s="1025"/>
      <c r="Q637" s="769" t="s">
        <v>579</v>
      </c>
      <c r="R637" s="769"/>
      <c r="S637" s="769"/>
      <c r="T637" s="769"/>
    </row>
    <row r="638" spans="1:20" s="731" customFormat="1" ht="13.5" customHeight="1">
      <c r="A638" s="1046" t="s">
        <v>383</v>
      </c>
      <c r="B638" s="882" t="s">
        <v>384</v>
      </c>
      <c r="C638" s="997"/>
      <c r="D638" s="997"/>
      <c r="E638" s="1001"/>
      <c r="F638" s="997"/>
      <c r="G638" s="3343" t="str">
        <f>G637</f>
        <v>Each Sqm</v>
      </c>
      <c r="H638" s="3344"/>
      <c r="I638" s="738">
        <f>K3670</f>
        <v>101.4</v>
      </c>
      <c r="J638" s="737"/>
      <c r="K638" s="737">
        <f>I638+J638</f>
        <v>101.4</v>
      </c>
      <c r="L638" s="3345">
        <f>ROUND(K638,1)</f>
        <v>101.4</v>
      </c>
      <c r="M638" s="3346"/>
      <c r="N638" s="1025"/>
      <c r="O638" s="1025"/>
      <c r="P638" s="1025"/>
      <c r="Q638" s="769"/>
      <c r="R638" s="769"/>
      <c r="S638" s="769"/>
      <c r="T638" s="769"/>
    </row>
    <row r="639" spans="1:20" s="731" customFormat="1" ht="13.5" customHeight="1">
      <c r="A639" s="1046" t="s">
        <v>386</v>
      </c>
      <c r="B639" s="882" t="s">
        <v>387</v>
      </c>
      <c r="C639" s="997"/>
      <c r="D639" s="997"/>
      <c r="E639" s="1001"/>
      <c r="F639" s="997"/>
      <c r="G639" s="3343" t="str">
        <f>G638</f>
        <v>Each Sqm</v>
      </c>
      <c r="H639" s="3344"/>
      <c r="I639" s="738">
        <f>K3674</f>
        <v>104</v>
      </c>
      <c r="J639" s="737"/>
      <c r="K639" s="737">
        <f>I639+J639</f>
        <v>104</v>
      </c>
      <c r="L639" s="3345">
        <f>ROUND(K639,1)</f>
        <v>104</v>
      </c>
      <c r="M639" s="3346"/>
      <c r="N639" s="1025"/>
      <c r="O639" s="1025"/>
      <c r="P639" s="1025"/>
      <c r="Q639" s="769"/>
      <c r="R639" s="769"/>
      <c r="S639" s="769"/>
      <c r="T639" s="769"/>
    </row>
    <row r="640" spans="1:20" s="731" customFormat="1" ht="13.5" customHeight="1">
      <c r="A640" s="992">
        <f>A637+1</f>
        <v>111</v>
      </c>
      <c r="B640" s="882" t="s">
        <v>3307</v>
      </c>
      <c r="C640" s="997"/>
      <c r="D640" s="997"/>
      <c r="E640" s="1001"/>
      <c r="F640" s="997"/>
      <c r="G640" s="3343" t="s">
        <v>390</v>
      </c>
      <c r="H640" s="3344"/>
      <c r="I640" s="738"/>
      <c r="J640" s="737"/>
      <c r="K640" s="737"/>
      <c r="L640" s="3345"/>
      <c r="M640" s="3346"/>
      <c r="N640" s="1025"/>
      <c r="O640" s="1025"/>
      <c r="P640" s="1025"/>
      <c r="Q640" s="769"/>
      <c r="R640" s="769"/>
      <c r="S640" s="769"/>
      <c r="T640" s="769"/>
    </row>
    <row r="641" spans="1:20" s="731" customFormat="1" ht="13.5" customHeight="1">
      <c r="A641" s="1046" t="s">
        <v>383</v>
      </c>
      <c r="B641" s="882" t="s">
        <v>384</v>
      </c>
      <c r="C641" s="997"/>
      <c r="D641" s="997"/>
      <c r="E641" s="1001"/>
      <c r="F641" s="997"/>
      <c r="G641" s="3343" t="str">
        <f>G640</f>
        <v>Each Sqm</v>
      </c>
      <c r="H641" s="3344"/>
      <c r="I641" s="738">
        <f>K3687</f>
        <v>40.049999999999997</v>
      </c>
      <c r="J641" s="737"/>
      <c r="K641" s="737">
        <f>I641+J641</f>
        <v>40.049999999999997</v>
      </c>
      <c r="L641" s="3345">
        <f>ROUND(K641,1)</f>
        <v>40.1</v>
      </c>
      <c r="M641" s="3346"/>
      <c r="N641" s="1025"/>
      <c r="O641" s="1025"/>
      <c r="P641" s="1025"/>
      <c r="Q641" s="769"/>
      <c r="R641" s="769"/>
      <c r="S641" s="769"/>
      <c r="T641" s="769"/>
    </row>
    <row r="642" spans="1:20" s="731" customFormat="1" ht="13.5" customHeight="1">
      <c r="A642" s="1046" t="s">
        <v>386</v>
      </c>
      <c r="B642" s="882" t="s">
        <v>387</v>
      </c>
      <c r="C642" s="997"/>
      <c r="D642" s="997"/>
      <c r="E642" s="1001"/>
      <c r="F642" s="997"/>
      <c r="G642" s="3343" t="str">
        <f>G641</f>
        <v>Each Sqm</v>
      </c>
      <c r="H642" s="3344"/>
      <c r="I642" s="738">
        <f>K3691</f>
        <v>40.76</v>
      </c>
      <c r="J642" s="737"/>
      <c r="K642" s="737">
        <f>I642+J642</f>
        <v>40.76</v>
      </c>
      <c r="L642" s="3345">
        <f>ROUND(K642,1)</f>
        <v>40.799999999999997</v>
      </c>
      <c r="M642" s="3346"/>
      <c r="N642" s="1025"/>
      <c r="O642" s="1025"/>
      <c r="P642" s="1025"/>
      <c r="Q642" s="769"/>
      <c r="R642" s="769"/>
      <c r="S642" s="769"/>
      <c r="T642" s="769"/>
    </row>
    <row r="643" spans="1:20" s="731" customFormat="1" ht="13.5" customHeight="1">
      <c r="A643" s="992">
        <f>A640+1</f>
        <v>112</v>
      </c>
      <c r="B643" s="882" t="s">
        <v>3308</v>
      </c>
      <c r="C643" s="997"/>
      <c r="D643" s="997"/>
      <c r="E643" s="1001"/>
      <c r="F643" s="997"/>
      <c r="G643" s="3343" t="s">
        <v>390</v>
      </c>
      <c r="H643" s="3344"/>
      <c r="I643" s="738"/>
      <c r="J643" s="737"/>
      <c r="K643" s="737"/>
      <c r="L643" s="3345"/>
      <c r="M643" s="3346"/>
      <c r="N643" s="1025"/>
      <c r="O643" s="716" t="s">
        <v>580</v>
      </c>
      <c r="P643" s="1025"/>
      <c r="Q643" s="769"/>
      <c r="R643" s="716" t="s">
        <v>580</v>
      </c>
      <c r="S643" s="769"/>
    </row>
    <row r="644" spans="1:20" s="731" customFormat="1" ht="13.5" customHeight="1">
      <c r="A644" s="1046" t="s">
        <v>383</v>
      </c>
      <c r="B644" s="882" t="s">
        <v>384</v>
      </c>
      <c r="C644" s="997"/>
      <c r="D644" s="997"/>
      <c r="E644" s="1001"/>
      <c r="F644" s="997"/>
      <c r="G644" s="3343" t="str">
        <f>G643</f>
        <v>Each Sqm</v>
      </c>
      <c r="H644" s="3344"/>
      <c r="I644" s="738">
        <f>K3704</f>
        <v>55.59</v>
      </c>
      <c r="J644" s="737"/>
      <c r="K644" s="737">
        <f>I644+J644</f>
        <v>55.59</v>
      </c>
      <c r="L644" s="3345">
        <f>ROUND(K644,1)</f>
        <v>55.6</v>
      </c>
      <c r="M644" s="3346"/>
      <c r="N644" s="1025"/>
      <c r="O644" s="769"/>
      <c r="P644" s="1025"/>
      <c r="Q644" s="769"/>
      <c r="R644" s="769"/>
      <c r="S644" s="769"/>
    </row>
    <row r="645" spans="1:20" s="731" customFormat="1" ht="13.5" customHeight="1">
      <c r="A645" s="1046" t="s">
        <v>386</v>
      </c>
      <c r="B645" s="882" t="s">
        <v>387</v>
      </c>
      <c r="C645" s="997"/>
      <c r="D645" s="997"/>
      <c r="E645" s="1001"/>
      <c r="F645" s="997"/>
      <c r="G645" s="3343" t="str">
        <f>G644</f>
        <v>Each Sqm</v>
      </c>
      <c r="H645" s="3344"/>
      <c r="I645" s="738">
        <f>K3708</f>
        <v>56.300000000000004</v>
      </c>
      <c r="J645" s="737"/>
      <c r="K645" s="737">
        <f>I645+J645</f>
        <v>56.300000000000004</v>
      </c>
      <c r="L645" s="3345">
        <f>ROUND(K645,1)</f>
        <v>56.3</v>
      </c>
      <c r="M645" s="3346"/>
      <c r="N645" s="1025"/>
      <c r="O645" s="769"/>
      <c r="P645" s="1025"/>
      <c r="Q645" s="769"/>
      <c r="R645" s="769"/>
      <c r="S645" s="769"/>
    </row>
    <row r="646" spans="1:20" s="731" customFormat="1" ht="13.5" customHeight="1">
      <c r="A646" s="992">
        <f>A643+1</f>
        <v>113</v>
      </c>
      <c r="B646" s="882" t="s">
        <v>3309</v>
      </c>
      <c r="C646" s="997"/>
      <c r="D646" s="997"/>
      <c r="E646" s="1001"/>
      <c r="F646" s="997"/>
      <c r="G646" s="3343" t="s">
        <v>390</v>
      </c>
      <c r="H646" s="3344"/>
      <c r="I646" s="738"/>
      <c r="J646" s="737"/>
      <c r="K646" s="737"/>
      <c r="L646" s="3345"/>
      <c r="M646" s="3346"/>
      <c r="N646" s="1025"/>
      <c r="O646" s="769"/>
      <c r="P646" s="1025"/>
      <c r="Q646" s="769" t="s">
        <v>578</v>
      </c>
      <c r="R646" s="769"/>
      <c r="S646" s="769"/>
    </row>
    <row r="647" spans="1:20" s="731" customFormat="1" ht="13.5" customHeight="1">
      <c r="A647" s="1046" t="s">
        <v>383</v>
      </c>
      <c r="B647" s="882" t="s">
        <v>384</v>
      </c>
      <c r="C647" s="997"/>
      <c r="D647" s="997"/>
      <c r="E647" s="1001"/>
      <c r="F647" s="997"/>
      <c r="G647" s="3343" t="str">
        <f>G646</f>
        <v>Each Sqm</v>
      </c>
      <c r="H647" s="3344"/>
      <c r="I647" s="738">
        <f>K3722</f>
        <v>67.47</v>
      </c>
      <c r="J647" s="737"/>
      <c r="K647" s="737">
        <f>I647+J647</f>
        <v>67.47</v>
      </c>
      <c r="L647" s="3345">
        <f>ROUND(K647,1)</f>
        <v>67.5</v>
      </c>
      <c r="M647" s="3346"/>
      <c r="N647" s="1025"/>
      <c r="O647" s="769"/>
      <c r="P647" s="1025"/>
      <c r="Q647" s="769"/>
      <c r="R647" s="769"/>
      <c r="S647" s="769"/>
    </row>
    <row r="648" spans="1:20" s="731" customFormat="1" ht="13.5" customHeight="1">
      <c r="A648" s="1046" t="s">
        <v>386</v>
      </c>
      <c r="B648" s="882" t="s">
        <v>387</v>
      </c>
      <c r="C648" s="997"/>
      <c r="D648" s="997"/>
      <c r="E648" s="1001"/>
      <c r="F648" s="997"/>
      <c r="G648" s="3343" t="str">
        <f>G647</f>
        <v>Each Sqm</v>
      </c>
      <c r="H648" s="3344"/>
      <c r="I648" s="738">
        <f>K3726</f>
        <v>68.28</v>
      </c>
      <c r="J648" s="737"/>
      <c r="K648" s="737">
        <f>I648+J648</f>
        <v>68.28</v>
      </c>
      <c r="L648" s="3345">
        <f>ROUND(K648,1)</f>
        <v>68.3</v>
      </c>
      <c r="M648" s="3346"/>
      <c r="N648" s="1025"/>
      <c r="O648" s="769"/>
      <c r="P648" s="1025"/>
      <c r="Q648" s="769"/>
      <c r="R648" s="769"/>
      <c r="S648" s="769"/>
    </row>
    <row r="649" spans="1:20" s="731" customFormat="1" ht="13.5" customHeight="1">
      <c r="A649" s="992">
        <f>A646+1</f>
        <v>114</v>
      </c>
      <c r="B649" s="882" t="s">
        <v>3310</v>
      </c>
      <c r="C649" s="997"/>
      <c r="D649" s="997"/>
      <c r="E649" s="1001"/>
      <c r="F649" s="997"/>
      <c r="G649" s="3343" t="s">
        <v>390</v>
      </c>
      <c r="H649" s="3344"/>
      <c r="I649" s="738"/>
      <c r="J649" s="737"/>
      <c r="K649" s="737"/>
      <c r="L649" s="3345"/>
      <c r="M649" s="3346"/>
      <c r="N649" s="1025"/>
      <c r="O649" s="769"/>
      <c r="P649" s="1025"/>
      <c r="Q649" s="769" t="s">
        <v>579</v>
      </c>
      <c r="R649" s="769"/>
      <c r="S649" s="769"/>
    </row>
    <row r="650" spans="1:20" s="731" customFormat="1" ht="13.5" customHeight="1">
      <c r="A650" s="1046" t="s">
        <v>383</v>
      </c>
      <c r="B650" s="882" t="s">
        <v>384</v>
      </c>
      <c r="C650" s="997"/>
      <c r="D650" s="997"/>
      <c r="E650" s="1001"/>
      <c r="F650" s="997"/>
      <c r="G650" s="3343" t="str">
        <f>G649</f>
        <v>Each Sqm</v>
      </c>
      <c r="H650" s="3344"/>
      <c r="I650" s="738">
        <f>K3740</f>
        <v>110.13</v>
      </c>
      <c r="J650" s="737"/>
      <c r="K650" s="737">
        <f>I650+J650</f>
        <v>110.13</v>
      </c>
      <c r="L650" s="3345">
        <f>ROUND(K650,1)</f>
        <v>110.1</v>
      </c>
      <c r="M650" s="3346"/>
      <c r="N650" s="1025"/>
      <c r="O650" s="769"/>
      <c r="P650" s="1025"/>
      <c r="Q650" s="769"/>
      <c r="R650" s="769"/>
      <c r="S650" s="769"/>
    </row>
    <row r="651" spans="1:20" s="731" customFormat="1" ht="13.5" customHeight="1">
      <c r="A651" s="1046" t="s">
        <v>386</v>
      </c>
      <c r="B651" s="882" t="s">
        <v>387</v>
      </c>
      <c r="C651" s="997"/>
      <c r="D651" s="997"/>
      <c r="E651" s="1001"/>
      <c r="F651" s="997"/>
      <c r="G651" s="3343" t="str">
        <f>G650</f>
        <v>Each Sqm</v>
      </c>
      <c r="H651" s="3344"/>
      <c r="I651" s="738">
        <f>K3744</f>
        <v>111.69</v>
      </c>
      <c r="J651" s="737"/>
      <c r="K651" s="737">
        <f>I651+J651</f>
        <v>111.69</v>
      </c>
      <c r="L651" s="3345">
        <f>ROUND(K651,1)</f>
        <v>111.7</v>
      </c>
      <c r="M651" s="3346"/>
      <c r="N651" s="1025"/>
      <c r="O651" s="769"/>
      <c r="P651" s="1025"/>
      <c r="Q651" s="769"/>
      <c r="R651" s="769"/>
      <c r="S651" s="769"/>
    </row>
    <row r="652" spans="1:20" s="714" customFormat="1" ht="13.5" customHeight="1">
      <c r="A652" s="992">
        <f>A649+1</f>
        <v>115</v>
      </c>
      <c r="B652" s="999" t="s">
        <v>3311</v>
      </c>
      <c r="C652" s="997"/>
      <c r="D652" s="997"/>
      <c r="E652" s="1001"/>
      <c r="F652" s="997"/>
      <c r="G652" s="3343" t="s">
        <v>390</v>
      </c>
      <c r="H652" s="3344"/>
      <c r="I652" s="738"/>
      <c r="J652" s="737"/>
      <c r="K652" s="737"/>
      <c r="L652" s="3345"/>
      <c r="M652" s="3346"/>
      <c r="O652" s="716" t="s">
        <v>581</v>
      </c>
      <c r="Q652" s="716" t="s">
        <v>575</v>
      </c>
      <c r="R652" s="716" t="s">
        <v>581</v>
      </c>
      <c r="T652" s="723"/>
    </row>
    <row r="653" spans="1:20" s="731" customFormat="1" ht="13.5" customHeight="1">
      <c r="A653" s="1046" t="s">
        <v>383</v>
      </c>
      <c r="B653" s="882" t="s">
        <v>384</v>
      </c>
      <c r="C653" s="997"/>
      <c r="D653" s="997"/>
      <c r="E653" s="1001"/>
      <c r="F653" s="997"/>
      <c r="G653" s="3343" t="str">
        <f>G652</f>
        <v>Each Sqm</v>
      </c>
      <c r="H653" s="3344"/>
      <c r="I653" s="738">
        <f>K3757</f>
        <v>31.939999999999998</v>
      </c>
      <c r="J653" s="737"/>
      <c r="K653" s="737">
        <f>I653+J653</f>
        <v>31.939999999999998</v>
      </c>
      <c r="L653" s="3345">
        <f>ROUND(K653,1)</f>
        <v>31.9</v>
      </c>
      <c r="M653" s="3346"/>
      <c r="N653" s="1025"/>
      <c r="O653" s="769"/>
      <c r="P653" s="1025"/>
      <c r="Q653" s="769"/>
      <c r="R653" s="769"/>
      <c r="S653" s="769"/>
    </row>
    <row r="654" spans="1:20" s="731" customFormat="1" ht="13.5" customHeight="1">
      <c r="A654" s="1046" t="s">
        <v>386</v>
      </c>
      <c r="B654" s="882" t="s">
        <v>387</v>
      </c>
      <c r="C654" s="997"/>
      <c r="D654" s="997"/>
      <c r="E654" s="1001"/>
      <c r="F654" s="997"/>
      <c r="G654" s="3343" t="str">
        <f>G653</f>
        <v>Each Sqm</v>
      </c>
      <c r="H654" s="3344"/>
      <c r="I654" s="738">
        <f>K3761</f>
        <v>32.44</v>
      </c>
      <c r="J654" s="737"/>
      <c r="K654" s="737">
        <f>I654+J654</f>
        <v>32.44</v>
      </c>
      <c r="L654" s="3345">
        <f>ROUND(K654,1)</f>
        <v>32.4</v>
      </c>
      <c r="M654" s="3346"/>
      <c r="N654" s="1025"/>
      <c r="O654" s="769"/>
      <c r="P654" s="1025"/>
      <c r="Q654" s="769"/>
      <c r="R654" s="769"/>
      <c r="S654" s="769"/>
    </row>
    <row r="655" spans="1:20" s="714" customFormat="1" ht="13.5" customHeight="1">
      <c r="A655" s="992">
        <f>A652+1</f>
        <v>116</v>
      </c>
      <c r="B655" s="999" t="s">
        <v>3312</v>
      </c>
      <c r="C655" s="997"/>
      <c r="D655" s="997"/>
      <c r="E655" s="1001"/>
      <c r="F655" s="997"/>
      <c r="G655" s="3343" t="s">
        <v>390</v>
      </c>
      <c r="H655" s="3344"/>
      <c r="I655" s="738"/>
      <c r="J655" s="737"/>
      <c r="K655" s="737"/>
      <c r="L655" s="3345"/>
      <c r="M655" s="3346"/>
      <c r="O655" s="716" t="s">
        <v>582</v>
      </c>
      <c r="Q655" s="716" t="s">
        <v>578</v>
      </c>
      <c r="R655" s="716" t="s">
        <v>582</v>
      </c>
      <c r="T655" s="723"/>
    </row>
    <row r="656" spans="1:20" s="731" customFormat="1" ht="13.5" customHeight="1">
      <c r="A656" s="1046" t="s">
        <v>383</v>
      </c>
      <c r="B656" s="882" t="s">
        <v>384</v>
      </c>
      <c r="C656" s="997"/>
      <c r="D656" s="997"/>
      <c r="E656" s="1001"/>
      <c r="F656" s="997"/>
      <c r="G656" s="3343" t="str">
        <f>G655</f>
        <v>Each Sqm</v>
      </c>
      <c r="H656" s="3344"/>
      <c r="I656" s="738">
        <f>K3774</f>
        <v>49.08</v>
      </c>
      <c r="J656" s="737"/>
      <c r="K656" s="737">
        <f>I656+J656</f>
        <v>49.08</v>
      </c>
      <c r="L656" s="3345">
        <f>ROUND(K656,1)</f>
        <v>49.1</v>
      </c>
      <c r="M656" s="3346"/>
      <c r="N656" s="1025"/>
      <c r="O656" s="769"/>
      <c r="P656" s="1025"/>
      <c r="Q656" s="769"/>
      <c r="R656" s="769"/>
      <c r="S656" s="769"/>
      <c r="T656" s="769"/>
    </row>
    <row r="657" spans="1:20" s="731" customFormat="1" ht="13.5" customHeight="1">
      <c r="A657" s="1046" t="s">
        <v>386</v>
      </c>
      <c r="B657" s="882" t="s">
        <v>387</v>
      </c>
      <c r="C657" s="997"/>
      <c r="D657" s="997"/>
      <c r="E657" s="1001"/>
      <c r="F657" s="997"/>
      <c r="G657" s="3343" t="str">
        <f>G656</f>
        <v>Each Sqm</v>
      </c>
      <c r="H657" s="3344"/>
      <c r="I657" s="738">
        <f>K3778</f>
        <v>49.86</v>
      </c>
      <c r="J657" s="737"/>
      <c r="K657" s="737">
        <f>I657+J657</f>
        <v>49.86</v>
      </c>
      <c r="L657" s="3345">
        <f>ROUND(K657,1)</f>
        <v>49.9</v>
      </c>
      <c r="M657" s="3346"/>
      <c r="N657" s="1025"/>
      <c r="O657" s="769"/>
      <c r="P657" s="1025"/>
      <c r="Q657" s="769"/>
      <c r="R657" s="769"/>
      <c r="S657" s="769"/>
      <c r="T657" s="769"/>
    </row>
    <row r="658" spans="1:20" s="714" customFormat="1" ht="13.5" customHeight="1">
      <c r="A658" s="992">
        <f>A655+1</f>
        <v>117</v>
      </c>
      <c r="B658" s="999" t="s">
        <v>3313</v>
      </c>
      <c r="C658" s="997"/>
      <c r="D658" s="997"/>
      <c r="E658" s="1001"/>
      <c r="F658" s="997"/>
      <c r="G658" s="3343" t="s">
        <v>390</v>
      </c>
      <c r="H658" s="3344"/>
      <c r="I658" s="738"/>
      <c r="J658" s="737"/>
      <c r="K658" s="737"/>
      <c r="L658" s="3345"/>
      <c r="M658" s="3346"/>
      <c r="O658" s="716" t="s">
        <v>582</v>
      </c>
      <c r="Q658" s="716" t="s">
        <v>579</v>
      </c>
      <c r="R658" s="716" t="s">
        <v>582</v>
      </c>
      <c r="T658" s="723"/>
    </row>
    <row r="659" spans="1:20" s="731" customFormat="1" ht="13.5" customHeight="1">
      <c r="A659" s="1046" t="s">
        <v>383</v>
      </c>
      <c r="B659" s="882" t="s">
        <v>384</v>
      </c>
      <c r="C659" s="997"/>
      <c r="D659" s="997"/>
      <c r="E659" s="1001"/>
      <c r="F659" s="997"/>
      <c r="G659" s="3343" t="str">
        <f>G658</f>
        <v>Each Sqm</v>
      </c>
      <c r="H659" s="3344"/>
      <c r="I659" s="738">
        <f>K3792</f>
        <v>91.740000000000009</v>
      </c>
      <c r="J659" s="737"/>
      <c r="K659" s="737">
        <f>I659+J659</f>
        <v>91.740000000000009</v>
      </c>
      <c r="L659" s="3345">
        <f>ROUND(K659,1)</f>
        <v>91.7</v>
      </c>
      <c r="M659" s="3346"/>
      <c r="N659" s="1025"/>
      <c r="O659" s="1025"/>
      <c r="P659" s="1025"/>
      <c r="Q659" s="769"/>
      <c r="R659" s="769"/>
      <c r="S659" s="769"/>
      <c r="T659" s="769"/>
    </row>
    <row r="660" spans="1:20" s="731" customFormat="1" ht="13.5" customHeight="1">
      <c r="A660" s="1046" t="s">
        <v>386</v>
      </c>
      <c r="B660" s="882" t="s">
        <v>387</v>
      </c>
      <c r="C660" s="997"/>
      <c r="D660" s="997"/>
      <c r="E660" s="1001"/>
      <c r="F660" s="997"/>
      <c r="G660" s="3343" t="str">
        <f>G659</f>
        <v>Each Sqm</v>
      </c>
      <c r="H660" s="3344"/>
      <c r="I660" s="738">
        <f>K3796</f>
        <v>93.27000000000001</v>
      </c>
      <c r="J660" s="737"/>
      <c r="K660" s="737">
        <f>I660+J660</f>
        <v>93.27000000000001</v>
      </c>
      <c r="L660" s="3345">
        <f>ROUND(K660,1)</f>
        <v>93.3</v>
      </c>
      <c r="M660" s="3346"/>
      <c r="N660" s="1025"/>
      <c r="O660" s="1025"/>
      <c r="P660" s="1025"/>
      <c r="Q660" s="769"/>
      <c r="R660" s="769"/>
      <c r="S660" s="769"/>
      <c r="T660" s="769"/>
    </row>
    <row r="661" spans="1:20" s="731" customFormat="1" ht="13.5" customHeight="1">
      <c r="A661" s="992">
        <f>A658+1</f>
        <v>118</v>
      </c>
      <c r="B661" s="837" t="s">
        <v>3314</v>
      </c>
      <c r="C661" s="997"/>
      <c r="D661" s="997"/>
      <c r="E661" s="1001"/>
      <c r="F661" s="997"/>
      <c r="G661" s="3343" t="s">
        <v>390</v>
      </c>
      <c r="H661" s="3344"/>
      <c r="I661" s="738"/>
      <c r="J661" s="737"/>
      <c r="K661" s="737"/>
      <c r="L661" s="3345"/>
      <c r="M661" s="3346"/>
      <c r="N661" s="1025"/>
      <c r="O661" s="1025"/>
      <c r="P661" s="1025"/>
      <c r="Q661" s="769"/>
      <c r="R661" s="769"/>
      <c r="S661" s="769"/>
      <c r="T661" s="769"/>
    </row>
    <row r="662" spans="1:20" s="731" customFormat="1" ht="13.5" customHeight="1">
      <c r="A662" s="1046" t="s">
        <v>383</v>
      </c>
      <c r="B662" s="882" t="s">
        <v>384</v>
      </c>
      <c r="C662" s="997"/>
      <c r="D662" s="997"/>
      <c r="E662" s="1001"/>
      <c r="F662" s="997"/>
      <c r="G662" s="3343" t="str">
        <f>G661</f>
        <v>Each Sqm</v>
      </c>
      <c r="H662" s="3344"/>
      <c r="I662" s="738">
        <f>K3809</f>
        <v>9.4600000000000009</v>
      </c>
      <c r="J662" s="737"/>
      <c r="K662" s="737">
        <f>I662+J662</f>
        <v>9.4600000000000009</v>
      </c>
      <c r="L662" s="3345">
        <f>ROUND(K662,1)</f>
        <v>9.5</v>
      </c>
      <c r="M662" s="3346"/>
      <c r="N662" s="1025"/>
      <c r="O662" s="1025"/>
      <c r="P662" s="1025"/>
      <c r="Q662" s="769"/>
      <c r="R662" s="769"/>
      <c r="S662" s="769"/>
      <c r="T662" s="769"/>
    </row>
    <row r="663" spans="1:20" s="731" customFormat="1" ht="13.5" customHeight="1">
      <c r="A663" s="1046" t="s">
        <v>386</v>
      </c>
      <c r="B663" s="882" t="s">
        <v>387</v>
      </c>
      <c r="C663" s="997"/>
      <c r="D663" s="997"/>
      <c r="E663" s="1001"/>
      <c r="F663" s="997"/>
      <c r="G663" s="3343" t="str">
        <f>G662</f>
        <v>Each Sqm</v>
      </c>
      <c r="H663" s="3344"/>
      <c r="I663" s="738">
        <f>K3813</f>
        <v>9.5900000000000016</v>
      </c>
      <c r="J663" s="737"/>
      <c r="K663" s="737">
        <f>I663+J663</f>
        <v>9.5900000000000016</v>
      </c>
      <c r="L663" s="3345">
        <f>ROUND(K663,1)</f>
        <v>9.6</v>
      </c>
      <c r="M663" s="3346"/>
      <c r="N663" s="1025"/>
      <c r="O663" s="1025"/>
      <c r="P663" s="1025"/>
      <c r="Q663" s="769"/>
      <c r="R663" s="769"/>
      <c r="S663" s="769"/>
      <c r="T663" s="769"/>
    </row>
    <row r="664" spans="1:20" s="731" customFormat="1" ht="13.5" customHeight="1">
      <c r="A664" s="992">
        <f>A661+1</f>
        <v>119</v>
      </c>
      <c r="B664" s="837" t="s">
        <v>3315</v>
      </c>
      <c r="C664" s="997"/>
      <c r="D664" s="997"/>
      <c r="E664" s="1001"/>
      <c r="F664" s="997"/>
      <c r="G664" s="3343" t="s">
        <v>390</v>
      </c>
      <c r="H664" s="3344"/>
      <c r="I664" s="738"/>
      <c r="J664" s="737"/>
      <c r="K664" s="737"/>
      <c r="L664" s="3345"/>
      <c r="M664" s="3346"/>
      <c r="N664" s="1025"/>
      <c r="O664" s="1025"/>
      <c r="P664" s="1025"/>
      <c r="Q664" s="769"/>
      <c r="R664" s="769"/>
      <c r="S664" s="769"/>
      <c r="T664" s="769"/>
    </row>
    <row r="665" spans="1:20" s="731" customFormat="1" ht="13.5" customHeight="1">
      <c r="A665" s="1046" t="s">
        <v>383</v>
      </c>
      <c r="B665" s="882" t="s">
        <v>384</v>
      </c>
      <c r="C665" s="997"/>
      <c r="D665" s="997"/>
      <c r="E665" s="1001"/>
      <c r="F665" s="997"/>
      <c r="G665" s="3343" t="str">
        <f>G664</f>
        <v>Each Sqm</v>
      </c>
      <c r="H665" s="3344"/>
      <c r="I665" s="738">
        <f>K3826</f>
        <v>12.65</v>
      </c>
      <c r="J665" s="737"/>
      <c r="K665" s="737">
        <f>I665+J665</f>
        <v>12.65</v>
      </c>
      <c r="L665" s="3345">
        <f>ROUND(K665,1)</f>
        <v>12.7</v>
      </c>
      <c r="M665" s="3346"/>
      <c r="N665" s="1025"/>
      <c r="O665" s="1025"/>
      <c r="P665" s="1025"/>
      <c r="Q665" s="769"/>
      <c r="R665" s="769"/>
      <c r="S665" s="769"/>
      <c r="T665" s="769"/>
    </row>
    <row r="666" spans="1:20" s="731" customFormat="1" ht="13.5" customHeight="1">
      <c r="A666" s="1046" t="s">
        <v>386</v>
      </c>
      <c r="B666" s="882" t="s">
        <v>387</v>
      </c>
      <c r="C666" s="997"/>
      <c r="D666" s="997"/>
      <c r="E666" s="1001"/>
      <c r="F666" s="997"/>
      <c r="G666" s="3343" t="str">
        <f>G665</f>
        <v>Each Sqm</v>
      </c>
      <c r="H666" s="3344"/>
      <c r="I666" s="738">
        <f>K3830</f>
        <v>12.84</v>
      </c>
      <c r="J666" s="737"/>
      <c r="K666" s="737">
        <f>I666+J666</f>
        <v>12.84</v>
      </c>
      <c r="L666" s="3345">
        <f>ROUND(K666,1)</f>
        <v>12.8</v>
      </c>
      <c r="M666" s="3346"/>
      <c r="N666" s="1025"/>
      <c r="O666" s="1025"/>
      <c r="P666" s="1025"/>
      <c r="Q666" s="769"/>
      <c r="R666" s="769"/>
      <c r="S666" s="769"/>
      <c r="T666" s="769"/>
    </row>
    <row r="667" spans="1:20" s="731" customFormat="1" ht="13.5" customHeight="1">
      <c r="A667" s="992">
        <f>A664+1</f>
        <v>120</v>
      </c>
      <c r="B667" s="837" t="s">
        <v>3316</v>
      </c>
      <c r="C667" s="997"/>
      <c r="D667" s="997"/>
      <c r="E667" s="1001"/>
      <c r="F667" s="997"/>
      <c r="G667" s="3343" t="s">
        <v>390</v>
      </c>
      <c r="H667" s="3344"/>
      <c r="I667" s="738"/>
      <c r="J667" s="737"/>
      <c r="K667" s="737"/>
      <c r="L667" s="3345"/>
      <c r="M667" s="3346"/>
      <c r="N667" s="1025"/>
      <c r="O667" s="1025"/>
      <c r="P667" s="1025"/>
      <c r="T667" s="762"/>
    </row>
    <row r="668" spans="1:20" s="731" customFormat="1" ht="13.5" customHeight="1">
      <c r="A668" s="1046" t="s">
        <v>383</v>
      </c>
      <c r="B668" s="882" t="s">
        <v>384</v>
      </c>
      <c r="C668" s="997"/>
      <c r="D668" s="997"/>
      <c r="E668" s="1001"/>
      <c r="F668" s="997"/>
      <c r="G668" s="3343" t="str">
        <f>G667</f>
        <v>Each Sqm</v>
      </c>
      <c r="H668" s="3344"/>
      <c r="I668" s="738">
        <f>K3837</f>
        <v>12.97</v>
      </c>
      <c r="J668" s="737"/>
      <c r="K668" s="737">
        <f>I668+J668</f>
        <v>12.97</v>
      </c>
      <c r="L668" s="3345">
        <f>ROUND(K668,1)</f>
        <v>13</v>
      </c>
      <c r="M668" s="3346"/>
      <c r="N668" s="1025"/>
      <c r="O668" s="1025"/>
      <c r="P668" s="1025"/>
      <c r="Q668" s="769"/>
      <c r="R668" s="769"/>
      <c r="S668" s="769"/>
      <c r="T668" s="769"/>
    </row>
    <row r="669" spans="1:20" s="731" customFormat="1" ht="13.5" customHeight="1">
      <c r="A669" s="1046" t="s">
        <v>386</v>
      </c>
      <c r="B669" s="882" t="s">
        <v>387</v>
      </c>
      <c r="C669" s="997"/>
      <c r="D669" s="997"/>
      <c r="E669" s="1001"/>
      <c r="F669" s="997"/>
      <c r="G669" s="3343" t="str">
        <f>G668</f>
        <v>Each Sqm</v>
      </c>
      <c r="H669" s="3344"/>
      <c r="I669" s="738">
        <f>K3841</f>
        <v>13.280000000000001</v>
      </c>
      <c r="J669" s="737"/>
      <c r="K669" s="737">
        <f>I669+J669</f>
        <v>13.280000000000001</v>
      </c>
      <c r="L669" s="3345">
        <f>ROUND(K669,1)</f>
        <v>13.3</v>
      </c>
      <c r="M669" s="3346"/>
      <c r="N669" s="1025"/>
      <c r="O669" s="1025"/>
      <c r="P669" s="1025"/>
      <c r="Q669" s="769"/>
      <c r="R669" s="769"/>
      <c r="S669" s="769"/>
      <c r="T669" s="769"/>
    </row>
    <row r="670" spans="1:20" s="731" customFormat="1" ht="13.5" customHeight="1">
      <c r="A670" s="992">
        <f>A667+1</f>
        <v>121</v>
      </c>
      <c r="B670" s="882" t="s">
        <v>3317</v>
      </c>
      <c r="C670" s="997"/>
      <c r="D670" s="997"/>
      <c r="E670" s="1001"/>
      <c r="F670" s="997"/>
      <c r="G670" s="3343" t="s">
        <v>390</v>
      </c>
      <c r="H670" s="3344"/>
      <c r="I670" s="738"/>
      <c r="J670" s="737"/>
      <c r="K670" s="737"/>
      <c r="L670" s="3345"/>
      <c r="M670" s="3346"/>
      <c r="N670" s="1025"/>
      <c r="O670" s="1025"/>
      <c r="P670" s="1025"/>
      <c r="Q670" s="762" t="s">
        <v>583</v>
      </c>
      <c r="R670" s="768" t="s">
        <v>584</v>
      </c>
      <c r="T670" s="762"/>
    </row>
    <row r="671" spans="1:20" s="731" customFormat="1" ht="13.5" customHeight="1">
      <c r="A671" s="1046" t="s">
        <v>383</v>
      </c>
      <c r="B671" s="882" t="s">
        <v>384</v>
      </c>
      <c r="C671" s="997"/>
      <c r="D671" s="997"/>
      <c r="E671" s="1001"/>
      <c r="F671" s="997"/>
      <c r="G671" s="3343" t="str">
        <f>G670</f>
        <v>Each Sqm</v>
      </c>
      <c r="H671" s="3344"/>
      <c r="I671" s="738">
        <f>K3855</f>
        <v>101.02000000000001</v>
      </c>
      <c r="J671" s="737"/>
      <c r="K671" s="737">
        <f>I671+J671</f>
        <v>101.02000000000001</v>
      </c>
      <c r="L671" s="3345">
        <f>ROUND(K671,1)</f>
        <v>101</v>
      </c>
      <c r="M671" s="3346"/>
      <c r="N671" s="1025"/>
      <c r="O671" s="1025"/>
      <c r="P671" s="1025"/>
      <c r="Q671" s="769"/>
      <c r="R671" s="1073"/>
      <c r="S671" s="769"/>
      <c r="T671" s="769"/>
    </row>
    <row r="672" spans="1:20" s="731" customFormat="1" ht="13.5" customHeight="1">
      <c r="A672" s="1046" t="s">
        <v>386</v>
      </c>
      <c r="B672" s="882" t="s">
        <v>387</v>
      </c>
      <c r="C672" s="997"/>
      <c r="D672" s="997"/>
      <c r="E672" s="1001"/>
      <c r="F672" s="997"/>
      <c r="G672" s="3343" t="str">
        <f>G671</f>
        <v>Each Sqm</v>
      </c>
      <c r="H672" s="3344"/>
      <c r="I672" s="738">
        <f>K3859</f>
        <v>102.81000000000002</v>
      </c>
      <c r="J672" s="737"/>
      <c r="K672" s="737">
        <f>I672+J672</f>
        <v>102.81000000000002</v>
      </c>
      <c r="L672" s="3345">
        <f>ROUND(K672,1)</f>
        <v>102.8</v>
      </c>
      <c r="M672" s="3346"/>
      <c r="N672" s="1025"/>
      <c r="O672" s="1025"/>
      <c r="P672" s="1025"/>
      <c r="Q672" s="769"/>
      <c r="R672" s="1073"/>
      <c r="S672" s="769"/>
      <c r="T672" s="769"/>
    </row>
    <row r="673" spans="1:20" s="714" customFormat="1" ht="13.5" customHeight="1">
      <c r="A673" s="992">
        <f>A670+1</f>
        <v>122</v>
      </c>
      <c r="B673" s="999" t="s">
        <v>3318</v>
      </c>
      <c r="C673" s="997"/>
      <c r="D673" s="997"/>
      <c r="E673" s="1001"/>
      <c r="F673" s="997"/>
      <c r="G673" s="3343" t="s">
        <v>390</v>
      </c>
      <c r="H673" s="3344"/>
      <c r="I673" s="738"/>
      <c r="J673" s="737"/>
      <c r="K673" s="737"/>
      <c r="L673" s="3345"/>
      <c r="M673" s="3346"/>
      <c r="O673" s="716" t="s">
        <v>586</v>
      </c>
      <c r="Q673" s="716" t="s">
        <v>585</v>
      </c>
      <c r="R673" s="714" t="s">
        <v>584</v>
      </c>
      <c r="S673" s="716" t="s">
        <v>586</v>
      </c>
      <c r="T673" s="723"/>
    </row>
    <row r="674" spans="1:20" s="731" customFormat="1" ht="13.5" customHeight="1">
      <c r="A674" s="1046" t="s">
        <v>383</v>
      </c>
      <c r="B674" s="882" t="s">
        <v>384</v>
      </c>
      <c r="C674" s="997"/>
      <c r="D674" s="997"/>
      <c r="E674" s="1001"/>
      <c r="F674" s="997"/>
      <c r="G674" s="3343" t="str">
        <f>G673</f>
        <v>Each Sqm</v>
      </c>
      <c r="H674" s="3344"/>
      <c r="I674" s="738">
        <f>K3872</f>
        <v>134.51</v>
      </c>
      <c r="J674" s="737"/>
      <c r="K674" s="737">
        <f>I674+J674</f>
        <v>134.51</v>
      </c>
      <c r="L674" s="3345">
        <f>ROUND(K674,1)</f>
        <v>134.5</v>
      </c>
      <c r="M674" s="3346"/>
      <c r="N674" s="1025"/>
      <c r="O674" s="769"/>
      <c r="P674" s="1025"/>
      <c r="Q674" s="769"/>
      <c r="R674" s="1073"/>
      <c r="S674" s="769"/>
    </row>
    <row r="675" spans="1:20" s="731" customFormat="1" ht="13.5" customHeight="1">
      <c r="A675" s="1046" t="s">
        <v>386</v>
      </c>
      <c r="B675" s="882" t="s">
        <v>387</v>
      </c>
      <c r="C675" s="997"/>
      <c r="D675" s="997"/>
      <c r="E675" s="1001"/>
      <c r="F675" s="997"/>
      <c r="G675" s="3343" t="str">
        <f>G674</f>
        <v>Each Sqm</v>
      </c>
      <c r="H675" s="3344"/>
      <c r="I675" s="738">
        <f>K3876</f>
        <v>137.04999999999998</v>
      </c>
      <c r="J675" s="737"/>
      <c r="K675" s="737">
        <f>I675+J675</f>
        <v>137.04999999999998</v>
      </c>
      <c r="L675" s="3345">
        <f>ROUND(K675,1)</f>
        <v>137.1</v>
      </c>
      <c r="M675" s="3346"/>
      <c r="N675" s="1025"/>
      <c r="O675" s="769"/>
      <c r="P675" s="1025"/>
      <c r="Q675" s="769"/>
      <c r="R675" s="1073"/>
      <c r="S675" s="769"/>
    </row>
    <row r="676" spans="1:20" s="731" customFormat="1" ht="13.5" customHeight="1">
      <c r="A676" s="992">
        <f>A673+1</f>
        <v>123</v>
      </c>
      <c r="B676" s="837" t="s">
        <v>3319</v>
      </c>
      <c r="C676" s="997"/>
      <c r="D676" s="997"/>
      <c r="E676" s="1001"/>
      <c r="F676" s="997"/>
      <c r="G676" s="3343" t="s">
        <v>390</v>
      </c>
      <c r="H676" s="3344"/>
      <c r="I676" s="738"/>
      <c r="J676" s="737"/>
      <c r="K676" s="737"/>
      <c r="L676" s="3345"/>
      <c r="M676" s="3346"/>
      <c r="N676" s="1025"/>
      <c r="O676" s="762"/>
      <c r="P676" s="1025"/>
      <c r="Q676" s="762"/>
      <c r="R676" s="768" t="s">
        <v>587</v>
      </c>
      <c r="S676" s="762"/>
    </row>
    <row r="677" spans="1:20" s="731" customFormat="1" ht="13.5" customHeight="1">
      <c r="A677" s="1046" t="s">
        <v>383</v>
      </c>
      <c r="B677" s="882" t="s">
        <v>384</v>
      </c>
      <c r="C677" s="997"/>
      <c r="D677" s="997"/>
      <c r="E677" s="1001"/>
      <c r="F677" s="997"/>
      <c r="G677" s="3343" t="str">
        <f>G676</f>
        <v>Each Sqm</v>
      </c>
      <c r="H677" s="3344"/>
      <c r="I677" s="738">
        <f>K3888</f>
        <v>27.7</v>
      </c>
      <c r="J677" s="737"/>
      <c r="K677" s="737">
        <f>I677+J677</f>
        <v>27.7</v>
      </c>
      <c r="L677" s="3345">
        <f>ROUND(K677,1)</f>
        <v>27.7</v>
      </c>
      <c r="M677" s="3346"/>
      <c r="N677" s="1025"/>
      <c r="O677" s="769"/>
      <c r="P677" s="1025"/>
      <c r="Q677" s="769"/>
      <c r="R677" s="769"/>
      <c r="S677" s="769"/>
    </row>
    <row r="678" spans="1:20" s="731" customFormat="1" ht="13.5" customHeight="1">
      <c r="A678" s="1046" t="s">
        <v>386</v>
      </c>
      <c r="B678" s="882" t="s">
        <v>387</v>
      </c>
      <c r="C678" s="997"/>
      <c r="D678" s="997"/>
      <c r="E678" s="1001"/>
      <c r="F678" s="997"/>
      <c r="G678" s="3343" t="str">
        <f>G677</f>
        <v>Each Sqm</v>
      </c>
      <c r="H678" s="3344"/>
      <c r="I678" s="738">
        <f>K3893</f>
        <v>28</v>
      </c>
      <c r="J678" s="1024"/>
      <c r="K678" s="756">
        <f>I678+J678</f>
        <v>28</v>
      </c>
      <c r="L678" s="3361">
        <f>ROUND(K678,1)</f>
        <v>28</v>
      </c>
      <c r="M678" s="3367"/>
      <c r="N678" s="1025"/>
      <c r="O678" s="769"/>
      <c r="P678" s="1025"/>
      <c r="Q678" s="769"/>
      <c r="R678" s="769"/>
      <c r="S678" s="769"/>
    </row>
    <row r="679" spans="1:20" s="714" customFormat="1" ht="13.5" customHeight="1">
      <c r="A679" s="992">
        <f>A676+1</f>
        <v>124</v>
      </c>
      <c r="B679" s="999" t="s">
        <v>3320</v>
      </c>
      <c r="C679" s="997"/>
      <c r="D679" s="997"/>
      <c r="E679" s="1001"/>
      <c r="F679" s="997"/>
      <c r="G679" s="3343" t="s">
        <v>390</v>
      </c>
      <c r="H679" s="3344"/>
      <c r="I679" s="738"/>
      <c r="J679" s="1024"/>
      <c r="K679" s="756"/>
      <c r="L679" s="3361"/>
      <c r="M679" s="3367"/>
      <c r="O679" s="716" t="s">
        <v>588</v>
      </c>
      <c r="R679" s="714" t="s">
        <v>587</v>
      </c>
      <c r="S679" s="716" t="s">
        <v>588</v>
      </c>
      <c r="T679" s="723"/>
    </row>
    <row r="680" spans="1:20" s="731" customFormat="1" ht="13.5" customHeight="1">
      <c r="A680" s="1046" t="s">
        <v>383</v>
      </c>
      <c r="B680" s="882" t="s">
        <v>384</v>
      </c>
      <c r="C680" s="997"/>
      <c r="D680" s="997"/>
      <c r="E680" s="1001"/>
      <c r="F680" s="997"/>
      <c r="G680" s="3343" t="str">
        <f>G679</f>
        <v>Each Sqm</v>
      </c>
      <c r="H680" s="3344"/>
      <c r="I680" s="738">
        <f>K3906</f>
        <v>36.6</v>
      </c>
      <c r="J680" s="1024"/>
      <c r="K680" s="756">
        <f>I680+J680</f>
        <v>36.6</v>
      </c>
      <c r="L680" s="3361">
        <f>ROUND(K680,1)</f>
        <v>36.6</v>
      </c>
      <c r="M680" s="3367"/>
      <c r="N680" s="1025"/>
      <c r="O680" s="769"/>
      <c r="P680" s="1025"/>
      <c r="Q680" s="769"/>
      <c r="R680" s="769"/>
      <c r="S680" s="769"/>
    </row>
    <row r="681" spans="1:20" s="731" customFormat="1" ht="13.5" customHeight="1">
      <c r="A681" s="1046" t="s">
        <v>386</v>
      </c>
      <c r="B681" s="882" t="s">
        <v>387</v>
      </c>
      <c r="C681" s="997"/>
      <c r="D681" s="997"/>
      <c r="E681" s="1001"/>
      <c r="F681" s="997"/>
      <c r="G681" s="3343" t="str">
        <f>G680</f>
        <v>Each Sqm</v>
      </c>
      <c r="H681" s="3344"/>
      <c r="I681" s="738">
        <f>K3911</f>
        <v>37.299999999999997</v>
      </c>
      <c r="J681" s="1024"/>
      <c r="K681" s="756">
        <f>I681+J681</f>
        <v>37.299999999999997</v>
      </c>
      <c r="L681" s="3361">
        <f>ROUND(K681,1)</f>
        <v>37.299999999999997</v>
      </c>
      <c r="M681" s="3367"/>
      <c r="N681" s="1025"/>
      <c r="O681" s="769"/>
      <c r="P681" s="1025"/>
      <c r="Q681" s="769"/>
      <c r="R681" s="769"/>
      <c r="S681" s="769"/>
    </row>
    <row r="682" spans="1:20" s="731" customFormat="1" ht="13.5" customHeight="1">
      <c r="A682" s="992">
        <f>A679+1</f>
        <v>125</v>
      </c>
      <c r="B682" s="882" t="s">
        <v>3321</v>
      </c>
      <c r="C682" s="997"/>
      <c r="D682" s="997"/>
      <c r="E682" s="1001"/>
      <c r="F682" s="997"/>
      <c r="G682" s="3343" t="s">
        <v>390</v>
      </c>
      <c r="H682" s="3344"/>
      <c r="I682" s="738"/>
      <c r="J682" s="1024"/>
      <c r="K682" s="756"/>
      <c r="L682" s="3361"/>
      <c r="M682" s="3367"/>
      <c r="N682" s="1025"/>
      <c r="O682" s="762"/>
      <c r="P682" s="1025"/>
      <c r="Q682" s="762" t="s">
        <v>589</v>
      </c>
      <c r="R682" s="768" t="s">
        <v>587</v>
      </c>
      <c r="S682" s="762"/>
    </row>
    <row r="683" spans="1:20" s="731" customFormat="1" ht="13.5" customHeight="1">
      <c r="A683" s="1046" t="s">
        <v>383</v>
      </c>
      <c r="B683" s="882" t="s">
        <v>384</v>
      </c>
      <c r="C683" s="997"/>
      <c r="D683" s="997"/>
      <c r="E683" s="1001"/>
      <c r="F683" s="997"/>
      <c r="G683" s="3343" t="str">
        <f>G682</f>
        <v>Each Sqm</v>
      </c>
      <c r="H683" s="3344"/>
      <c r="I683" s="738">
        <f>K3924</f>
        <v>101.02440860215053</v>
      </c>
      <c r="J683" s="1024"/>
      <c r="K683" s="756">
        <f>I683+J683</f>
        <v>101.02440860215053</v>
      </c>
      <c r="L683" s="3361">
        <f>ROUND(K683,1)</f>
        <v>101</v>
      </c>
      <c r="M683" s="3367"/>
      <c r="N683" s="1025"/>
      <c r="O683" s="769"/>
      <c r="P683" s="1025"/>
      <c r="Q683" s="769"/>
      <c r="R683" s="769"/>
      <c r="S683" s="769"/>
    </row>
    <row r="684" spans="1:20" s="731" customFormat="1" ht="13.5" customHeight="1">
      <c r="A684" s="1046" t="s">
        <v>386</v>
      </c>
      <c r="B684" s="882" t="s">
        <v>387</v>
      </c>
      <c r="C684" s="997"/>
      <c r="D684" s="997"/>
      <c r="E684" s="1001"/>
      <c r="F684" s="997"/>
      <c r="G684" s="3343" t="str">
        <f>G683</f>
        <v>Each Sqm</v>
      </c>
      <c r="H684" s="3344"/>
      <c r="I684" s="738">
        <f>K3928</f>
        <v>102.81660215053762</v>
      </c>
      <c r="J684" s="1024"/>
      <c r="K684" s="756">
        <f>I684+J684</f>
        <v>102.81660215053762</v>
      </c>
      <c r="L684" s="3361">
        <f>ROUND(K684,1)</f>
        <v>102.8</v>
      </c>
      <c r="M684" s="3367"/>
      <c r="N684" s="1025"/>
      <c r="O684" s="769"/>
      <c r="P684" s="1025"/>
      <c r="Q684" s="769"/>
      <c r="R684" s="769"/>
      <c r="S684" s="769"/>
    </row>
    <row r="685" spans="1:20" s="731" customFormat="1" ht="13.5" customHeight="1">
      <c r="A685" s="992">
        <f>A682+1</f>
        <v>126</v>
      </c>
      <c r="B685" s="882" t="s">
        <v>3322</v>
      </c>
      <c r="C685" s="997"/>
      <c r="D685" s="997"/>
      <c r="E685" s="1001"/>
      <c r="F685" s="997"/>
      <c r="G685" s="3343" t="s">
        <v>390</v>
      </c>
      <c r="H685" s="3344"/>
      <c r="I685" s="738"/>
      <c r="J685" s="1024"/>
      <c r="K685" s="756"/>
      <c r="L685" s="3361"/>
      <c r="M685" s="3367"/>
      <c r="N685" s="1025"/>
      <c r="O685" s="762"/>
      <c r="P685" s="1025"/>
      <c r="Q685" s="762" t="s">
        <v>590</v>
      </c>
      <c r="R685" s="768" t="s">
        <v>587</v>
      </c>
      <c r="S685" s="762"/>
    </row>
    <row r="686" spans="1:20" s="731" customFormat="1" ht="13.5" customHeight="1">
      <c r="A686" s="1046" t="s">
        <v>383</v>
      </c>
      <c r="B686" s="882" t="s">
        <v>384</v>
      </c>
      <c r="C686" s="997"/>
      <c r="D686" s="997"/>
      <c r="E686" s="1001"/>
      <c r="F686" s="997"/>
      <c r="G686" s="3343" t="str">
        <f t="shared" ref="G686:G692" si="68">G685</f>
        <v>Each Sqm</v>
      </c>
      <c r="H686" s="3344"/>
      <c r="I686" s="738">
        <f>K3941</f>
        <v>141.51</v>
      </c>
      <c r="J686" s="1024"/>
      <c r="K686" s="756">
        <f>I686+J686</f>
        <v>141.51</v>
      </c>
      <c r="L686" s="3361">
        <f>ROUND(K686,1)</f>
        <v>141.5</v>
      </c>
      <c r="M686" s="3367"/>
      <c r="N686" s="1025"/>
      <c r="O686" s="769"/>
      <c r="P686" s="1025"/>
      <c r="Q686" s="769"/>
      <c r="R686" s="769"/>
      <c r="S686" s="769"/>
    </row>
    <row r="687" spans="1:20" s="731" customFormat="1" ht="13.5" customHeight="1">
      <c r="A687" s="1046" t="s">
        <v>386</v>
      </c>
      <c r="B687" s="882" t="s">
        <v>387</v>
      </c>
      <c r="C687" s="997"/>
      <c r="D687" s="997"/>
      <c r="E687" s="1001"/>
      <c r="F687" s="997"/>
      <c r="G687" s="3343" t="str">
        <f t="shared" si="68"/>
        <v>Each Sqm</v>
      </c>
      <c r="H687" s="3344"/>
      <c r="I687" s="738">
        <f>K3945</f>
        <v>144.04999999999998</v>
      </c>
      <c r="J687" s="996"/>
      <c r="K687" s="711">
        <f>I687+J687</f>
        <v>144.04999999999998</v>
      </c>
      <c r="L687" s="3361">
        <f>ROUND(K687,1)</f>
        <v>144.1</v>
      </c>
      <c r="M687" s="3367"/>
      <c r="N687" s="1025"/>
      <c r="O687" s="769"/>
      <c r="P687" s="1025"/>
      <c r="Q687" s="769"/>
      <c r="R687" s="769"/>
      <c r="S687" s="769"/>
    </row>
    <row r="688" spans="1:20" s="714" customFormat="1" ht="13.5" customHeight="1">
      <c r="A688" s="713">
        <f>A685+1</f>
        <v>127</v>
      </c>
      <c r="B688" s="713" t="s">
        <v>3323</v>
      </c>
      <c r="C688" s="713"/>
      <c r="D688" s="713"/>
      <c r="E688" s="713"/>
      <c r="F688" s="713"/>
      <c r="G688" s="3355" t="str">
        <f>G686</f>
        <v>Each Sqm</v>
      </c>
      <c r="H688" s="3355"/>
      <c r="I688" s="713">
        <f>K3954</f>
        <v>1.86</v>
      </c>
      <c r="J688" s="999"/>
      <c r="K688" s="711">
        <f>I688+J688</f>
        <v>1.86</v>
      </c>
      <c r="L688" s="3370">
        <f>ROUND(K688,1)</f>
        <v>1.9</v>
      </c>
      <c r="M688" s="3371"/>
      <c r="O688" s="716" t="s">
        <v>592</v>
      </c>
      <c r="Q688" s="716" t="s">
        <v>591</v>
      </c>
      <c r="S688" s="716" t="s">
        <v>592</v>
      </c>
      <c r="T688" s="723"/>
    </row>
    <row r="689" spans="1:20" s="731" customFormat="1" ht="13.5" customHeight="1">
      <c r="A689" s="728">
        <f>A688+1</f>
        <v>128</v>
      </c>
      <c r="B689" s="758" t="s">
        <v>3324</v>
      </c>
      <c r="C689" s="758"/>
      <c r="D689" s="758"/>
      <c r="E689" s="758"/>
      <c r="F689" s="758"/>
      <c r="G689" s="3360" t="str">
        <f>G687</f>
        <v>Each Sqm</v>
      </c>
      <c r="H689" s="3360"/>
      <c r="I689" s="738">
        <f>K3963</f>
        <v>0.96</v>
      </c>
      <c r="J689" s="1024"/>
      <c r="K689" s="756">
        <f>I689+J689</f>
        <v>0.96</v>
      </c>
      <c r="L689" s="3361">
        <f>ROUND(K689,1)</f>
        <v>1</v>
      </c>
      <c r="M689" s="3367"/>
      <c r="N689" s="1025"/>
      <c r="O689" s="769"/>
      <c r="P689" s="1025"/>
      <c r="Q689" s="769"/>
      <c r="R689" s="769"/>
      <c r="S689" s="769"/>
    </row>
    <row r="690" spans="1:20" s="714" customFormat="1" ht="13.5" customHeight="1">
      <c r="A690" s="728">
        <f>A689+1</f>
        <v>129</v>
      </c>
      <c r="B690" s="713" t="s">
        <v>3325</v>
      </c>
      <c r="C690" s="758"/>
      <c r="D690" s="713"/>
      <c r="E690" s="713"/>
      <c r="F690" s="713"/>
      <c r="G690" s="3360" t="str">
        <f t="shared" si="68"/>
        <v>Each Sqm</v>
      </c>
      <c r="H690" s="3360"/>
      <c r="I690" s="713"/>
      <c r="J690" s="713"/>
      <c r="K690" s="711"/>
      <c r="L690" s="3366"/>
      <c r="M690" s="3367"/>
      <c r="O690" s="716" t="s">
        <v>593</v>
      </c>
      <c r="S690" s="716" t="s">
        <v>593</v>
      </c>
      <c r="T690" s="723"/>
    </row>
    <row r="691" spans="1:20" s="714" customFormat="1" ht="13.5" customHeight="1">
      <c r="A691" s="964" t="s">
        <v>413</v>
      </c>
      <c r="B691" s="999" t="s">
        <v>594</v>
      </c>
      <c r="C691" s="997"/>
      <c r="D691" s="997"/>
      <c r="E691" s="1000"/>
      <c r="F691" s="1000"/>
      <c r="G691" s="3360" t="str">
        <f t="shared" si="68"/>
        <v>Each Sqm</v>
      </c>
      <c r="H691" s="3360"/>
      <c r="I691" s="713">
        <f>K3977</f>
        <v>2.91</v>
      </c>
      <c r="J691" s="713"/>
      <c r="K691" s="711">
        <f t="shared" ref="K691:K706" si="69">I691+J691</f>
        <v>2.91</v>
      </c>
      <c r="L691" s="3370">
        <f t="shared" ref="L691:L732" si="70">ROUND(K691,1)</f>
        <v>2.9</v>
      </c>
      <c r="M691" s="3371"/>
      <c r="T691" s="716"/>
    </row>
    <row r="692" spans="1:20" s="714" customFormat="1" ht="13.5" customHeight="1">
      <c r="A692" s="1048" t="s">
        <v>415</v>
      </c>
      <c r="B692" s="999" t="s">
        <v>595</v>
      </c>
      <c r="C692" s="996"/>
      <c r="D692" s="996"/>
      <c r="E692" s="1000"/>
      <c r="F692" s="1000"/>
      <c r="G692" s="3360" t="str">
        <f t="shared" si="68"/>
        <v>Each Sqm</v>
      </c>
      <c r="H692" s="3360"/>
      <c r="I692" s="713">
        <f>K3989</f>
        <v>3.91</v>
      </c>
      <c r="J692" s="713"/>
      <c r="K692" s="711">
        <f t="shared" si="69"/>
        <v>3.91</v>
      </c>
      <c r="L692" s="3370">
        <f t="shared" si="70"/>
        <v>3.9</v>
      </c>
      <c r="M692" s="3371"/>
      <c r="T692" s="716"/>
    </row>
    <row r="693" spans="1:20" s="731" customFormat="1" ht="13.5" customHeight="1">
      <c r="A693" s="728">
        <f>A690+1</f>
        <v>130</v>
      </c>
      <c r="B693" s="758" t="s">
        <v>596</v>
      </c>
      <c r="C693" s="758"/>
      <c r="D693" s="758"/>
      <c r="E693" s="758"/>
      <c r="F693" s="758"/>
      <c r="G693" s="3374" t="s">
        <v>381</v>
      </c>
      <c r="H693" s="3374"/>
      <c r="I693" s="933">
        <f>K4002</f>
        <v>130.93</v>
      </c>
      <c r="J693" s="713"/>
      <c r="K693" s="711">
        <f t="shared" si="69"/>
        <v>130.93</v>
      </c>
      <c r="L693" s="3372">
        <f t="shared" si="70"/>
        <v>130.9</v>
      </c>
      <c r="M693" s="3373"/>
      <c r="N693" s="1025"/>
      <c r="O693" s="1025"/>
      <c r="P693" s="1025"/>
      <c r="Q693" s="769"/>
      <c r="R693" s="769"/>
      <c r="S693" s="769"/>
      <c r="T693" s="769"/>
    </row>
    <row r="694" spans="1:20" s="731" customFormat="1" ht="13.5" customHeight="1">
      <c r="A694" s="728">
        <f t="shared" ref="A694:A708" si="71">A693+1</f>
        <v>131</v>
      </c>
      <c r="B694" s="758" t="s">
        <v>597</v>
      </c>
      <c r="C694" s="758"/>
      <c r="D694" s="758"/>
      <c r="E694" s="758"/>
      <c r="F694" s="758"/>
      <c r="G694" s="3374" t="s">
        <v>381</v>
      </c>
      <c r="H694" s="3374"/>
      <c r="I694" s="933">
        <f>K4015</f>
        <v>138.6</v>
      </c>
      <c r="J694" s="713"/>
      <c r="K694" s="711">
        <f>I694+J694</f>
        <v>138.6</v>
      </c>
      <c r="L694" s="3372">
        <f t="shared" si="70"/>
        <v>138.6</v>
      </c>
      <c r="M694" s="3373"/>
      <c r="N694" s="1025"/>
      <c r="O694" s="1025"/>
      <c r="P694" s="1025"/>
      <c r="Q694" s="769"/>
      <c r="R694" s="769"/>
      <c r="S694" s="769"/>
      <c r="T694" s="769"/>
    </row>
    <row r="695" spans="1:20" s="731" customFormat="1" ht="13.5" customHeight="1">
      <c r="A695" s="992">
        <f t="shared" si="71"/>
        <v>132</v>
      </c>
      <c r="B695" s="882" t="s">
        <v>598</v>
      </c>
      <c r="C695" s="997"/>
      <c r="D695" s="997"/>
      <c r="E695" s="1001"/>
      <c r="F695" s="997"/>
      <c r="G695" s="3343" t="s">
        <v>488</v>
      </c>
      <c r="H695" s="3344"/>
      <c r="I695" s="933">
        <f>K4023</f>
        <v>0.67</v>
      </c>
      <c r="J695" s="713"/>
      <c r="K695" s="711">
        <f t="shared" si="69"/>
        <v>0.67</v>
      </c>
      <c r="L695" s="3372">
        <f t="shared" si="70"/>
        <v>0.7</v>
      </c>
      <c r="M695" s="3373"/>
      <c r="N695" s="1025"/>
      <c r="O695" s="1025"/>
      <c r="P695" s="1025"/>
      <c r="Q695" s="769"/>
      <c r="R695" s="769"/>
      <c r="S695" s="769"/>
      <c r="T695" s="769"/>
    </row>
    <row r="696" spans="1:20" s="731" customFormat="1" ht="13.5" customHeight="1">
      <c r="A696" s="992">
        <f t="shared" si="71"/>
        <v>133</v>
      </c>
      <c r="B696" s="882" t="s">
        <v>599</v>
      </c>
      <c r="C696" s="997"/>
      <c r="D696" s="997"/>
      <c r="E696" s="1001"/>
      <c r="F696" s="997"/>
      <c r="G696" s="3343" t="s">
        <v>488</v>
      </c>
      <c r="H696" s="3344"/>
      <c r="I696" s="933">
        <f>K4031</f>
        <v>0.24</v>
      </c>
      <c r="J696" s="713"/>
      <c r="K696" s="711">
        <f t="shared" si="69"/>
        <v>0.24</v>
      </c>
      <c r="L696" s="3372">
        <f>ROUND(K696,1)</f>
        <v>0.2</v>
      </c>
      <c r="M696" s="3373"/>
      <c r="N696" s="1025"/>
      <c r="O696" s="1025"/>
      <c r="P696" s="1025"/>
      <c r="Q696" s="769"/>
      <c r="R696" s="769"/>
      <c r="S696" s="769"/>
      <c r="T696" s="769"/>
    </row>
    <row r="697" spans="1:20" s="731" customFormat="1" ht="13.5" customHeight="1">
      <c r="A697" s="992">
        <f t="shared" si="71"/>
        <v>134</v>
      </c>
      <c r="B697" s="759" t="s">
        <v>600</v>
      </c>
      <c r="C697" s="997"/>
      <c r="D697" s="997"/>
      <c r="E697" s="1001"/>
      <c r="F697" s="996"/>
      <c r="G697" s="3374" t="s">
        <v>381</v>
      </c>
      <c r="H697" s="3374"/>
      <c r="I697" s="933">
        <f>K4045</f>
        <v>162.25</v>
      </c>
      <c r="J697" s="713"/>
      <c r="K697" s="711">
        <f t="shared" si="69"/>
        <v>162.25</v>
      </c>
      <c r="L697" s="3372">
        <f t="shared" si="70"/>
        <v>162.30000000000001</v>
      </c>
      <c r="M697" s="3373"/>
      <c r="N697" s="1025"/>
      <c r="O697" s="1025"/>
      <c r="P697" s="1025"/>
      <c r="Q697" s="769"/>
      <c r="R697" s="769"/>
      <c r="S697" s="769"/>
      <c r="T697" s="769"/>
    </row>
    <row r="698" spans="1:20" s="731" customFormat="1" ht="13.5" customHeight="1">
      <c r="A698" s="992">
        <f t="shared" si="71"/>
        <v>135</v>
      </c>
      <c r="B698" s="882" t="s">
        <v>3326</v>
      </c>
      <c r="C698" s="1049"/>
      <c r="D698" s="1049"/>
      <c r="E698" s="1004"/>
      <c r="F698" s="1004"/>
      <c r="G698" s="3360" t="s">
        <v>492</v>
      </c>
      <c r="H698" s="3360"/>
      <c r="I698" s="871">
        <v>139.5</v>
      </c>
      <c r="J698" s="713"/>
      <c r="K698" s="711">
        <f t="shared" si="69"/>
        <v>139.5</v>
      </c>
      <c r="L698" s="3370">
        <f t="shared" si="70"/>
        <v>139.5</v>
      </c>
      <c r="M698" s="3371"/>
      <c r="N698" s="1025"/>
      <c r="O698" s="1025"/>
      <c r="P698" s="1025"/>
      <c r="T698" s="762"/>
    </row>
    <row r="699" spans="1:20" s="714" customFormat="1" ht="13.5" customHeight="1">
      <c r="A699" s="729">
        <f t="shared" si="71"/>
        <v>136</v>
      </c>
      <c r="B699" s="713" t="s">
        <v>3111</v>
      </c>
      <c r="C699" s="713"/>
      <c r="D699" s="713"/>
      <c r="E699" s="713"/>
      <c r="F699" s="713"/>
      <c r="G699" s="3355" t="s">
        <v>381</v>
      </c>
      <c r="H699" s="3355"/>
      <c r="I699" s="713">
        <f>K4062</f>
        <v>2783.1600000000003</v>
      </c>
      <c r="J699" s="713"/>
      <c r="K699" s="711">
        <f t="shared" si="69"/>
        <v>2783.1600000000003</v>
      </c>
      <c r="L699" s="3370">
        <f t="shared" si="70"/>
        <v>2783.2</v>
      </c>
      <c r="M699" s="3371"/>
      <c r="O699" s="716" t="s">
        <v>601</v>
      </c>
      <c r="R699" s="716" t="s">
        <v>601</v>
      </c>
      <c r="T699" s="723"/>
    </row>
    <row r="700" spans="1:20" s="714" customFormat="1" ht="13.5" customHeight="1">
      <c r="A700" s="729">
        <f t="shared" si="71"/>
        <v>137</v>
      </c>
      <c r="B700" s="713" t="s">
        <v>3112</v>
      </c>
      <c r="C700" s="713"/>
      <c r="D700" s="713"/>
      <c r="E700" s="713"/>
      <c r="F700" s="713"/>
      <c r="G700" s="3355" t="s">
        <v>381</v>
      </c>
      <c r="H700" s="3355"/>
      <c r="I700" s="713">
        <f>K4076</f>
        <v>1603.1599999999999</v>
      </c>
      <c r="J700" s="713"/>
      <c r="K700" s="711">
        <f t="shared" si="69"/>
        <v>1603.1599999999999</v>
      </c>
      <c r="L700" s="3370">
        <f t="shared" si="70"/>
        <v>1603.2</v>
      </c>
      <c r="M700" s="3371"/>
      <c r="O700" s="716" t="s">
        <v>602</v>
      </c>
      <c r="R700" s="716" t="s">
        <v>602</v>
      </c>
      <c r="T700" s="723"/>
    </row>
    <row r="701" spans="1:20" s="1055" customFormat="1" ht="13.5" customHeight="1">
      <c r="A701" s="1027">
        <f t="shared" si="71"/>
        <v>138</v>
      </c>
      <c r="B701" s="1050" t="s">
        <v>3327</v>
      </c>
      <c r="C701" s="1051"/>
      <c r="D701" s="1051"/>
      <c r="E701" s="1051"/>
      <c r="F701" s="1051"/>
      <c r="G701" s="3374" t="s">
        <v>492</v>
      </c>
      <c r="H701" s="3374"/>
      <c r="I701" s="933">
        <f>K4108</f>
        <v>88.53</v>
      </c>
      <c r="J701" s="713"/>
      <c r="K701" s="711">
        <f t="shared" si="69"/>
        <v>88.53</v>
      </c>
      <c r="L701" s="3372">
        <f t="shared" si="70"/>
        <v>88.5</v>
      </c>
      <c r="M701" s="3373"/>
      <c r="N701" s="1052"/>
      <c r="O701" s="1053" t="s">
        <v>3175</v>
      </c>
      <c r="P701" s="1052"/>
      <c r="Q701" s="1054"/>
      <c r="R701" s="1053"/>
      <c r="S701" s="1054"/>
    </row>
    <row r="702" spans="1:20" s="1055" customFormat="1" ht="13.5" customHeight="1">
      <c r="A702" s="1027">
        <f t="shared" si="71"/>
        <v>139</v>
      </c>
      <c r="B702" s="1050" t="s">
        <v>3328</v>
      </c>
      <c r="C702" s="936"/>
      <c r="D702" s="936"/>
      <c r="E702" s="936"/>
      <c r="F702" s="936"/>
      <c r="G702" s="3374" t="s">
        <v>390</v>
      </c>
      <c r="H702" s="3374"/>
      <c r="I702" s="933">
        <f>K4138</f>
        <v>174.67000000000002</v>
      </c>
      <c r="J702" s="713"/>
      <c r="K702" s="711">
        <f t="shared" si="69"/>
        <v>174.67000000000002</v>
      </c>
      <c r="L702" s="3372">
        <f t="shared" si="70"/>
        <v>174.7</v>
      </c>
      <c r="M702" s="3373"/>
      <c r="N702" s="1052"/>
      <c r="O702" s="1053"/>
      <c r="P702" s="1052"/>
      <c r="Q702" s="1054"/>
      <c r="R702" s="1053"/>
      <c r="S702" s="1054"/>
    </row>
    <row r="703" spans="1:20" s="1055" customFormat="1" ht="13.5" customHeight="1">
      <c r="A703" s="1027">
        <f t="shared" si="71"/>
        <v>140</v>
      </c>
      <c r="B703" s="1050" t="s">
        <v>3329</v>
      </c>
      <c r="C703" s="936"/>
      <c r="D703" s="936"/>
      <c r="E703" s="936"/>
      <c r="F703" s="936"/>
      <c r="G703" s="3374" t="s">
        <v>381</v>
      </c>
      <c r="H703" s="3374"/>
      <c r="I703" s="933">
        <f>K4146</f>
        <v>538.09999999999991</v>
      </c>
      <c r="J703" s="713"/>
      <c r="K703" s="711">
        <f t="shared" si="69"/>
        <v>538.09999999999991</v>
      </c>
      <c r="L703" s="3372">
        <f t="shared" si="70"/>
        <v>538.1</v>
      </c>
      <c r="M703" s="3373"/>
      <c r="N703" s="1052"/>
      <c r="O703" s="1052" t="s">
        <v>373</v>
      </c>
      <c r="P703" s="1052"/>
      <c r="Q703" s="1052"/>
      <c r="R703" s="1052"/>
      <c r="S703" s="1052"/>
    </row>
    <row r="704" spans="1:20" s="1055" customFormat="1" ht="13.5" customHeight="1">
      <c r="A704" s="1027">
        <f t="shared" si="71"/>
        <v>141</v>
      </c>
      <c r="B704" s="1050" t="s">
        <v>603</v>
      </c>
      <c r="C704" s="936"/>
      <c r="D704" s="936"/>
      <c r="E704" s="936"/>
      <c r="F704" s="936"/>
      <c r="G704" s="3374" t="s">
        <v>381</v>
      </c>
      <c r="H704" s="3374"/>
      <c r="I704" s="933">
        <f>K4154</f>
        <v>1172.0899999999999</v>
      </c>
      <c r="J704" s="713"/>
      <c r="K704" s="711">
        <f>I704+J704</f>
        <v>1172.0899999999999</v>
      </c>
      <c r="L704" s="3372">
        <f>ROUND(K704,1)</f>
        <v>1172.0999999999999</v>
      </c>
      <c r="M704" s="3373"/>
      <c r="N704" s="1052"/>
      <c r="O704" s="1052"/>
      <c r="P704" s="1052"/>
      <c r="Q704" s="1052"/>
      <c r="R704" s="1052"/>
      <c r="S704" s="1052"/>
    </row>
    <row r="705" spans="1:256" s="714" customFormat="1" ht="13.5" customHeight="1">
      <c r="A705" s="1027">
        <f t="shared" si="71"/>
        <v>142</v>
      </c>
      <c r="B705" s="996" t="s">
        <v>3116</v>
      </c>
      <c r="C705" s="996"/>
      <c r="D705" s="996"/>
      <c r="E705" s="996"/>
      <c r="F705" s="996"/>
      <c r="G705" s="3355" t="s">
        <v>381</v>
      </c>
      <c r="H705" s="3355"/>
      <c r="I705" s="713">
        <f>K4165</f>
        <v>972.83999999999992</v>
      </c>
      <c r="J705" s="713"/>
      <c r="K705" s="711">
        <f t="shared" si="69"/>
        <v>972.83999999999992</v>
      </c>
      <c r="L705" s="3370">
        <f t="shared" si="70"/>
        <v>972.8</v>
      </c>
      <c r="M705" s="3371"/>
      <c r="O705" s="716" t="s">
        <v>604</v>
      </c>
      <c r="R705" s="716" t="s">
        <v>604</v>
      </c>
      <c r="T705" s="723"/>
    </row>
    <row r="706" spans="1:256" s="1055" customFormat="1" ht="13.5" customHeight="1">
      <c r="A706" s="1027">
        <f t="shared" si="71"/>
        <v>143</v>
      </c>
      <c r="B706" s="1050" t="s">
        <v>3330</v>
      </c>
      <c r="C706" s="936"/>
      <c r="D706" s="936"/>
      <c r="E706" s="936"/>
      <c r="F706" s="936"/>
      <c r="G706" s="3374" t="s">
        <v>390</v>
      </c>
      <c r="H706" s="3374"/>
      <c r="I706" s="933">
        <f>K4183</f>
        <v>165.27</v>
      </c>
      <c r="J706" s="713"/>
      <c r="K706" s="711">
        <f t="shared" si="69"/>
        <v>165.27</v>
      </c>
      <c r="L706" s="3372">
        <f t="shared" si="70"/>
        <v>165.3</v>
      </c>
      <c r="M706" s="3373"/>
      <c r="N706" s="1052"/>
      <c r="O706" s="1052"/>
      <c r="P706" s="1052"/>
      <c r="Q706" s="1052"/>
      <c r="R706" s="1052"/>
      <c r="S706" s="1052"/>
    </row>
    <row r="707" spans="1:256" s="714" customFormat="1" ht="13.5" customHeight="1">
      <c r="A707" s="996">
        <f t="shared" si="71"/>
        <v>144</v>
      </c>
      <c r="B707" s="999" t="s">
        <v>3331</v>
      </c>
      <c r="C707" s="996"/>
      <c r="D707" s="996"/>
      <c r="E707" s="996"/>
      <c r="F707" s="1000"/>
      <c r="G707" s="3355" t="s">
        <v>381</v>
      </c>
      <c r="H707" s="3355"/>
      <c r="I707" s="713">
        <f>K4197</f>
        <v>920.6</v>
      </c>
      <c r="J707" s="713"/>
      <c r="K707" s="711">
        <f>I707+J707</f>
        <v>920.6</v>
      </c>
      <c r="L707" s="3356">
        <f t="shared" si="70"/>
        <v>920.6</v>
      </c>
      <c r="M707" s="3356"/>
      <c r="O707" s="716" t="s">
        <v>605</v>
      </c>
      <c r="R707" s="716" t="s">
        <v>605</v>
      </c>
      <c r="T707" s="723"/>
    </row>
    <row r="708" spans="1:256" s="714" customFormat="1" ht="13.5" customHeight="1">
      <c r="A708" s="996">
        <f t="shared" si="71"/>
        <v>145</v>
      </c>
      <c r="B708" s="1050" t="s">
        <v>606</v>
      </c>
      <c r="C708" s="996"/>
      <c r="D708" s="996"/>
      <c r="E708" s="996"/>
      <c r="F708" s="1000"/>
      <c r="G708" s="3355" t="s">
        <v>381</v>
      </c>
      <c r="H708" s="3355"/>
      <c r="I708" s="713"/>
      <c r="J708" s="713"/>
      <c r="K708" s="711"/>
      <c r="L708" s="3356"/>
      <c r="M708" s="3356"/>
      <c r="O708" s="716"/>
      <c r="R708" s="716"/>
      <c r="T708" s="723"/>
    </row>
    <row r="709" spans="1:256" s="714" customFormat="1" ht="13.5" customHeight="1">
      <c r="A709" s="996" t="s">
        <v>201</v>
      </c>
      <c r="B709" s="999" t="s">
        <v>607</v>
      </c>
      <c r="C709" s="996"/>
      <c r="D709" s="996"/>
      <c r="E709" s="996"/>
      <c r="F709" s="1000"/>
      <c r="G709" s="3355" t="s">
        <v>381</v>
      </c>
      <c r="H709" s="3355"/>
      <c r="I709" s="1056">
        <f>K4213</f>
        <v>1782.02</v>
      </c>
      <c r="J709" s="713"/>
      <c r="K709" s="711">
        <f>I709+J709</f>
        <v>1782.02</v>
      </c>
      <c r="L709" s="3356">
        <f>ROUND(K709,1)</f>
        <v>1782</v>
      </c>
      <c r="M709" s="3356"/>
      <c r="O709" s="716" t="s">
        <v>3192</v>
      </c>
      <c r="R709" s="716"/>
      <c r="T709" s="723"/>
    </row>
    <row r="710" spans="1:256" s="714" customFormat="1" ht="13.5" customHeight="1">
      <c r="A710" s="996" t="s">
        <v>220</v>
      </c>
      <c r="B710" s="999" t="s">
        <v>608</v>
      </c>
      <c r="C710" s="996"/>
      <c r="D710" s="996"/>
      <c r="E710" s="996"/>
      <c r="F710" s="1000"/>
      <c r="G710" s="3355" t="s">
        <v>381</v>
      </c>
      <c r="H710" s="3355"/>
      <c r="I710" s="1056">
        <f>K4218</f>
        <v>1888.54</v>
      </c>
      <c r="J710" s="713"/>
      <c r="K710" s="711">
        <f>I710+J710</f>
        <v>1888.54</v>
      </c>
      <c r="L710" s="3356">
        <f>ROUND(K710,1)</f>
        <v>1888.5</v>
      </c>
      <c r="M710" s="3356"/>
      <c r="O710" s="716"/>
      <c r="R710" s="716"/>
      <c r="T710" s="723"/>
    </row>
    <row r="711" spans="1:256" s="714" customFormat="1" ht="13.5" customHeight="1">
      <c r="A711" s="996" t="s">
        <v>244</v>
      </c>
      <c r="B711" s="999" t="s">
        <v>609</v>
      </c>
      <c r="C711" s="996"/>
      <c r="D711" s="996"/>
      <c r="E711" s="996"/>
      <c r="F711" s="1000"/>
      <c r="G711" s="3355" t="s">
        <v>381</v>
      </c>
      <c r="H711" s="3355"/>
      <c r="I711" s="1056">
        <f>K4223</f>
        <v>1967.59</v>
      </c>
      <c r="J711" s="713"/>
      <c r="K711" s="711">
        <f>I711+J711</f>
        <v>1967.59</v>
      </c>
      <c r="L711" s="3356">
        <f>ROUND(K711,1)</f>
        <v>1967.6</v>
      </c>
      <c r="M711" s="3356"/>
      <c r="O711" s="716"/>
      <c r="R711" s="716"/>
      <c r="T711" s="723"/>
    </row>
    <row r="712" spans="1:256" s="1055" customFormat="1" ht="13.5" customHeight="1">
      <c r="A712" s="1057">
        <f>A708+1</f>
        <v>146</v>
      </c>
      <c r="B712" s="1058" t="s">
        <v>3332</v>
      </c>
      <c r="C712" s="1058"/>
      <c r="D712" s="1058"/>
      <c r="E712" s="1058"/>
      <c r="F712" s="1058"/>
      <c r="G712" s="3374" t="s">
        <v>381</v>
      </c>
      <c r="H712" s="3374"/>
      <c r="I712" s="933">
        <f>K4237</f>
        <v>303.16999999999996</v>
      </c>
      <c r="J712" s="713"/>
      <c r="K712" s="711">
        <f t="shared" ref="K712:K732" si="72">I712+J712</f>
        <v>303.16999999999996</v>
      </c>
      <c r="L712" s="3372">
        <f t="shared" si="70"/>
        <v>303.2</v>
      </c>
      <c r="M712" s="3373"/>
      <c r="N712" s="1059"/>
      <c r="O712" s="1059"/>
      <c r="P712" s="1059"/>
      <c r="Q712" s="1059"/>
      <c r="R712" s="1059"/>
      <c r="S712" s="1059"/>
      <c r="T712" s="1059"/>
      <c r="U712" s="1059"/>
      <c r="V712" s="1059"/>
      <c r="W712" s="1059"/>
      <c r="X712" s="1059"/>
      <c r="Y712" s="1059"/>
      <c r="Z712" s="1059"/>
      <c r="AA712" s="1059"/>
      <c r="AB712" s="1059"/>
      <c r="AC712" s="1059"/>
      <c r="AD712" s="1059"/>
      <c r="AE712" s="1059"/>
      <c r="AF712" s="1059"/>
      <c r="AG712" s="1059"/>
      <c r="AH712" s="1059"/>
      <c r="AI712" s="1059"/>
      <c r="AJ712" s="1059"/>
      <c r="AK712" s="1059"/>
      <c r="AL712" s="1059"/>
      <c r="AM712" s="1059"/>
      <c r="AN712" s="1059"/>
      <c r="AO712" s="1059"/>
      <c r="AP712" s="1059"/>
      <c r="AQ712" s="1059"/>
      <c r="AR712" s="1059"/>
      <c r="AS712" s="1059"/>
      <c r="AT712" s="1059"/>
      <c r="AU712" s="1059"/>
      <c r="AV712" s="1059"/>
      <c r="AW712" s="1059"/>
      <c r="AX712" s="1059"/>
      <c r="AY712" s="1059"/>
      <c r="AZ712" s="1059"/>
      <c r="BA712" s="1059"/>
      <c r="BB712" s="1059"/>
      <c r="BC712" s="1059"/>
      <c r="BD712" s="1059"/>
      <c r="BE712" s="1059"/>
      <c r="BF712" s="1059"/>
      <c r="BG712" s="1059"/>
      <c r="BH712" s="1059"/>
      <c r="BI712" s="1059"/>
      <c r="BJ712" s="1059"/>
      <c r="BK712" s="1059"/>
      <c r="BL712" s="1059"/>
      <c r="BM712" s="1059"/>
      <c r="BN712" s="1059"/>
      <c r="BO712" s="1059"/>
      <c r="BP712" s="1059"/>
      <c r="BQ712" s="1059"/>
      <c r="BR712" s="1059"/>
      <c r="BS712" s="1059"/>
      <c r="BT712" s="1059"/>
      <c r="BU712" s="1059"/>
      <c r="BV712" s="1059"/>
      <c r="BW712" s="1059"/>
      <c r="BX712" s="1059"/>
      <c r="BY712" s="1059"/>
      <c r="BZ712" s="1059"/>
      <c r="CA712" s="1059"/>
      <c r="CB712" s="1059"/>
      <c r="CC712" s="1059"/>
      <c r="CD712" s="1059"/>
      <c r="CE712" s="1059"/>
      <c r="CF712" s="1059"/>
      <c r="CG712" s="1059"/>
      <c r="CH712" s="1059"/>
      <c r="CI712" s="1059"/>
      <c r="CJ712" s="1059"/>
      <c r="CK712" s="1059"/>
      <c r="CL712" s="1059"/>
      <c r="CM712" s="1059"/>
      <c r="CN712" s="1059"/>
      <c r="CO712" s="1059"/>
      <c r="CP712" s="1059"/>
      <c r="CQ712" s="1059"/>
      <c r="CR712" s="1059"/>
      <c r="CS712" s="1059"/>
      <c r="CT712" s="1059"/>
      <c r="CU712" s="1059"/>
      <c r="CV712" s="1059"/>
      <c r="CW712" s="1059"/>
      <c r="CX712" s="1059"/>
      <c r="CY712" s="1059"/>
      <c r="CZ712" s="1059"/>
      <c r="DA712" s="1059"/>
      <c r="DB712" s="1059"/>
      <c r="DC712" s="1059"/>
      <c r="DD712" s="1059"/>
      <c r="DE712" s="1059"/>
      <c r="DF712" s="1059"/>
      <c r="DG712" s="1059"/>
      <c r="DH712" s="1059"/>
      <c r="DI712" s="1059"/>
      <c r="DJ712" s="1059"/>
      <c r="DK712" s="1059"/>
      <c r="DL712" s="1059"/>
      <c r="DM712" s="1059"/>
      <c r="DN712" s="1059"/>
      <c r="DO712" s="1059"/>
      <c r="DP712" s="1059"/>
      <c r="DQ712" s="1059"/>
      <c r="DR712" s="1059"/>
      <c r="DS712" s="1059"/>
      <c r="DT712" s="1059"/>
      <c r="DU712" s="1059"/>
      <c r="DV712" s="1059"/>
      <c r="DW712" s="1059"/>
      <c r="DX712" s="1059"/>
      <c r="DY712" s="1059"/>
      <c r="DZ712" s="1059"/>
      <c r="EA712" s="1059"/>
      <c r="EB712" s="1059"/>
      <c r="EC712" s="1059"/>
      <c r="ED712" s="1059"/>
      <c r="EE712" s="1059"/>
      <c r="EF712" s="1059"/>
      <c r="EG712" s="1059"/>
      <c r="EH712" s="1059"/>
      <c r="EI712" s="1059"/>
      <c r="EJ712" s="1059"/>
      <c r="EK712" s="1059"/>
      <c r="EL712" s="1059"/>
      <c r="EM712" s="1059"/>
      <c r="EN712" s="1059"/>
      <c r="EO712" s="1059"/>
      <c r="EP712" s="1059"/>
      <c r="EQ712" s="1059"/>
      <c r="ER712" s="1059"/>
      <c r="ES712" s="1059"/>
      <c r="ET712" s="1059"/>
      <c r="EU712" s="1059"/>
      <c r="EV712" s="1059"/>
      <c r="EW712" s="1059"/>
      <c r="EX712" s="1059"/>
      <c r="EY712" s="1059"/>
      <c r="EZ712" s="1059"/>
      <c r="FA712" s="1059"/>
      <c r="FB712" s="1059"/>
      <c r="FC712" s="1059"/>
      <c r="FD712" s="1059"/>
      <c r="FE712" s="1059"/>
      <c r="FF712" s="1059"/>
      <c r="FG712" s="1059"/>
      <c r="FH712" s="1059"/>
      <c r="FI712" s="1059"/>
      <c r="FJ712" s="1059"/>
      <c r="FK712" s="1059"/>
      <c r="FL712" s="1059"/>
      <c r="FM712" s="1059"/>
      <c r="FN712" s="1059"/>
      <c r="FO712" s="1059"/>
      <c r="FP712" s="1059"/>
      <c r="FQ712" s="1059"/>
      <c r="FR712" s="1059"/>
      <c r="FS712" s="1059"/>
      <c r="FT712" s="1059"/>
      <c r="FU712" s="1059"/>
      <c r="FV712" s="1059"/>
      <c r="FW712" s="1059"/>
      <c r="FX712" s="1059"/>
      <c r="FY712" s="1059"/>
      <c r="FZ712" s="1059"/>
      <c r="GA712" s="1059"/>
      <c r="GB712" s="1059"/>
      <c r="GC712" s="1059"/>
      <c r="GD712" s="1059"/>
      <c r="GE712" s="1059"/>
      <c r="GF712" s="1059"/>
      <c r="GG712" s="1059"/>
      <c r="GH712" s="1059"/>
      <c r="GI712" s="1059"/>
      <c r="GJ712" s="1059"/>
      <c r="GK712" s="1059"/>
      <c r="GL712" s="1059"/>
      <c r="GM712" s="1059"/>
      <c r="GN712" s="1059"/>
      <c r="GO712" s="1059"/>
      <c r="GP712" s="1059"/>
      <c r="GQ712" s="1059"/>
      <c r="GR712" s="1059"/>
      <c r="GS712" s="1059"/>
      <c r="GT712" s="1059"/>
      <c r="GU712" s="1059"/>
      <c r="GV712" s="1059"/>
      <c r="GW712" s="1059"/>
      <c r="GX712" s="1059"/>
      <c r="GY712" s="1059"/>
      <c r="GZ712" s="1059"/>
      <c r="HA712" s="1059"/>
      <c r="HB712" s="1059"/>
      <c r="HC712" s="1059"/>
      <c r="HD712" s="1059"/>
      <c r="HE712" s="1059"/>
      <c r="HF712" s="1059"/>
      <c r="HG712" s="1059"/>
      <c r="HH712" s="1059"/>
      <c r="HI712" s="1059"/>
      <c r="HJ712" s="1059"/>
      <c r="HK712" s="1059"/>
      <c r="HL712" s="1059"/>
      <c r="HM712" s="1059"/>
      <c r="HN712" s="1059"/>
      <c r="HO712" s="1059"/>
      <c r="HP712" s="1059"/>
      <c r="HQ712" s="1059"/>
      <c r="HR712" s="1059"/>
      <c r="HS712" s="1059"/>
      <c r="HT712" s="1059"/>
      <c r="HU712" s="1059"/>
      <c r="HV712" s="1059"/>
      <c r="HW712" s="1059"/>
      <c r="HX712" s="1059"/>
      <c r="HY712" s="1059"/>
      <c r="HZ712" s="1059"/>
      <c r="IA712" s="1059"/>
      <c r="IB712" s="1059"/>
      <c r="IC712" s="1059"/>
      <c r="ID712" s="1059"/>
      <c r="IE712" s="1059"/>
      <c r="IF712" s="1059"/>
      <c r="IG712" s="1059"/>
      <c r="IH712" s="1059"/>
      <c r="II712" s="1059"/>
      <c r="IJ712" s="1059"/>
      <c r="IK712" s="1059"/>
      <c r="IL712" s="1059"/>
      <c r="IM712" s="1059"/>
      <c r="IN712" s="1059"/>
      <c r="IO712" s="1059"/>
      <c r="IP712" s="1059"/>
      <c r="IQ712" s="1059"/>
      <c r="IR712" s="1059"/>
      <c r="IS712" s="1059"/>
      <c r="IT712" s="1059"/>
      <c r="IU712" s="1059"/>
      <c r="IV712" s="1059"/>
    </row>
    <row r="713" spans="1:256" s="1055" customFormat="1" ht="13.5" customHeight="1">
      <c r="A713" s="1060" t="s">
        <v>201</v>
      </c>
      <c r="B713" s="1058" t="s">
        <v>610</v>
      </c>
      <c r="C713" s="1061"/>
      <c r="D713" s="1061"/>
      <c r="E713" s="996"/>
      <c r="F713" s="996"/>
      <c r="G713" s="3364" t="s">
        <v>381</v>
      </c>
      <c r="H713" s="3374"/>
      <c r="I713" s="933">
        <f>K4244</f>
        <v>309.09999999999997</v>
      </c>
      <c r="J713" s="713"/>
      <c r="K713" s="713">
        <f t="shared" si="72"/>
        <v>309.09999999999997</v>
      </c>
      <c r="L713" s="3372">
        <f t="shared" si="70"/>
        <v>309.10000000000002</v>
      </c>
      <c r="M713" s="3373"/>
      <c r="N713" s="1059"/>
      <c r="O713" s="1059" t="s">
        <v>3178</v>
      </c>
      <c r="P713" s="1059"/>
      <c r="Q713" s="1059"/>
      <c r="R713" s="1059"/>
      <c r="S713" s="1059"/>
      <c r="T713" s="1059"/>
      <c r="U713" s="1059"/>
      <c r="V713" s="1059"/>
      <c r="W713" s="1059"/>
      <c r="X713" s="1059"/>
      <c r="Y713" s="1059"/>
      <c r="Z713" s="1059"/>
      <c r="AA713" s="1059"/>
      <c r="AB713" s="1059"/>
      <c r="AC713" s="1059"/>
      <c r="AD713" s="1059"/>
      <c r="AE713" s="1059"/>
      <c r="AF713" s="1059"/>
      <c r="AG713" s="1059"/>
      <c r="AH713" s="1059"/>
      <c r="AI713" s="1059"/>
      <c r="AJ713" s="1059"/>
      <c r="AK713" s="1059"/>
      <c r="AL713" s="1059"/>
      <c r="AM713" s="1059"/>
      <c r="AN713" s="1059"/>
      <c r="AO713" s="1059"/>
      <c r="AP713" s="1059"/>
      <c r="AQ713" s="1059"/>
      <c r="AR713" s="1059"/>
      <c r="AS713" s="1059"/>
      <c r="AT713" s="1059"/>
      <c r="AU713" s="1059"/>
      <c r="AV713" s="1059"/>
      <c r="AW713" s="1059"/>
      <c r="AX713" s="1059"/>
      <c r="AY713" s="1059"/>
      <c r="AZ713" s="1059"/>
      <c r="BA713" s="1059"/>
      <c r="BB713" s="1059"/>
      <c r="BC713" s="1059"/>
      <c r="BD713" s="1059"/>
      <c r="BE713" s="1059"/>
      <c r="BF713" s="1059"/>
      <c r="BG713" s="1059"/>
      <c r="BH713" s="1059"/>
      <c r="BI713" s="1059"/>
      <c r="BJ713" s="1059"/>
      <c r="BK713" s="1059"/>
      <c r="BL713" s="1059"/>
      <c r="BM713" s="1059"/>
      <c r="BN713" s="1059"/>
      <c r="BO713" s="1059"/>
      <c r="BP713" s="1059"/>
      <c r="BQ713" s="1059"/>
      <c r="BR713" s="1059"/>
      <c r="BS713" s="1059"/>
      <c r="BT713" s="1059"/>
      <c r="BU713" s="1059"/>
      <c r="BV713" s="1059"/>
      <c r="BW713" s="1059"/>
      <c r="BX713" s="1059"/>
      <c r="BY713" s="1059"/>
      <c r="BZ713" s="1059"/>
      <c r="CA713" s="1059"/>
      <c r="CB713" s="1059"/>
      <c r="CC713" s="1059"/>
      <c r="CD713" s="1059"/>
      <c r="CE713" s="1059"/>
      <c r="CF713" s="1059"/>
      <c r="CG713" s="1059"/>
      <c r="CH713" s="1059"/>
      <c r="CI713" s="1059"/>
      <c r="CJ713" s="1059"/>
      <c r="CK713" s="1059"/>
      <c r="CL713" s="1059"/>
      <c r="CM713" s="1059"/>
      <c r="CN713" s="1059"/>
      <c r="CO713" s="1059"/>
      <c r="CP713" s="1059"/>
      <c r="CQ713" s="1059"/>
      <c r="CR713" s="1059"/>
      <c r="CS713" s="1059"/>
      <c r="CT713" s="1059"/>
      <c r="CU713" s="1059"/>
      <c r="CV713" s="1059"/>
      <c r="CW713" s="1059"/>
      <c r="CX713" s="1059"/>
      <c r="CY713" s="1059"/>
      <c r="CZ713" s="1059"/>
      <c r="DA713" s="1059"/>
      <c r="DB713" s="1059"/>
      <c r="DC713" s="1059"/>
      <c r="DD713" s="1059"/>
      <c r="DE713" s="1059"/>
      <c r="DF713" s="1059"/>
      <c r="DG713" s="1059"/>
      <c r="DH713" s="1059"/>
      <c r="DI713" s="1059"/>
      <c r="DJ713" s="1059"/>
      <c r="DK713" s="1059"/>
      <c r="DL713" s="1059"/>
      <c r="DM713" s="1059"/>
      <c r="DN713" s="1059"/>
      <c r="DO713" s="1059"/>
      <c r="DP713" s="1059"/>
      <c r="DQ713" s="1059"/>
      <c r="DR713" s="1059"/>
      <c r="DS713" s="1059"/>
      <c r="DT713" s="1059"/>
      <c r="DU713" s="1059"/>
      <c r="DV713" s="1059"/>
      <c r="DW713" s="1059"/>
      <c r="DX713" s="1059"/>
      <c r="DY713" s="1059"/>
      <c r="DZ713" s="1059"/>
      <c r="EA713" s="1059"/>
      <c r="EB713" s="1059"/>
      <c r="EC713" s="1059"/>
      <c r="ED713" s="1059"/>
      <c r="EE713" s="1059"/>
      <c r="EF713" s="1059"/>
      <c r="EG713" s="1059"/>
      <c r="EH713" s="1059"/>
      <c r="EI713" s="1059"/>
      <c r="EJ713" s="1059"/>
      <c r="EK713" s="1059"/>
      <c r="EL713" s="1059"/>
      <c r="EM713" s="1059"/>
      <c r="EN713" s="1059"/>
      <c r="EO713" s="1059"/>
      <c r="EP713" s="1059"/>
      <c r="EQ713" s="1059"/>
      <c r="ER713" s="1059"/>
      <c r="ES713" s="1059"/>
      <c r="ET713" s="1059"/>
      <c r="EU713" s="1059"/>
      <c r="EV713" s="1059"/>
      <c r="EW713" s="1059"/>
      <c r="EX713" s="1059"/>
      <c r="EY713" s="1059"/>
      <c r="EZ713" s="1059"/>
      <c r="FA713" s="1059"/>
      <c r="FB713" s="1059"/>
      <c r="FC713" s="1059"/>
      <c r="FD713" s="1059"/>
      <c r="FE713" s="1059"/>
      <c r="FF713" s="1059"/>
      <c r="FG713" s="1059"/>
      <c r="FH713" s="1059"/>
      <c r="FI713" s="1059"/>
      <c r="FJ713" s="1059"/>
      <c r="FK713" s="1059"/>
      <c r="FL713" s="1059"/>
      <c r="FM713" s="1059"/>
      <c r="FN713" s="1059"/>
      <c r="FO713" s="1059"/>
      <c r="FP713" s="1059"/>
      <c r="FQ713" s="1059"/>
      <c r="FR713" s="1059"/>
      <c r="FS713" s="1059"/>
      <c r="FT713" s="1059"/>
      <c r="FU713" s="1059"/>
      <c r="FV713" s="1059"/>
      <c r="FW713" s="1059"/>
      <c r="FX713" s="1059"/>
      <c r="FY713" s="1059"/>
      <c r="FZ713" s="1059"/>
      <c r="GA713" s="1059"/>
      <c r="GB713" s="1059"/>
      <c r="GC713" s="1059"/>
      <c r="GD713" s="1059"/>
      <c r="GE713" s="1059"/>
      <c r="GF713" s="1059"/>
      <c r="GG713" s="1059"/>
      <c r="GH713" s="1059"/>
      <c r="GI713" s="1059"/>
      <c r="GJ713" s="1059"/>
      <c r="GK713" s="1059"/>
      <c r="GL713" s="1059"/>
      <c r="GM713" s="1059"/>
      <c r="GN713" s="1059"/>
      <c r="GO713" s="1059"/>
      <c r="GP713" s="1059"/>
      <c r="GQ713" s="1059"/>
      <c r="GR713" s="1059"/>
      <c r="GS713" s="1059"/>
      <c r="GT713" s="1059"/>
      <c r="GU713" s="1059"/>
      <c r="GV713" s="1059"/>
      <c r="GW713" s="1059"/>
      <c r="GX713" s="1059"/>
      <c r="GY713" s="1059"/>
      <c r="GZ713" s="1059"/>
      <c r="HA713" s="1059"/>
      <c r="HB713" s="1059"/>
      <c r="HC713" s="1059"/>
      <c r="HD713" s="1059"/>
      <c r="HE713" s="1059"/>
      <c r="HF713" s="1059"/>
      <c r="HG713" s="1059"/>
      <c r="HH713" s="1059"/>
      <c r="HI713" s="1059"/>
      <c r="HJ713" s="1059"/>
      <c r="HK713" s="1059"/>
      <c r="HL713" s="1059"/>
      <c r="HM713" s="1059"/>
      <c r="HN713" s="1059"/>
      <c r="HO713" s="1059"/>
      <c r="HP713" s="1059"/>
      <c r="HQ713" s="1059"/>
      <c r="HR713" s="1059"/>
      <c r="HS713" s="1059"/>
      <c r="HT713" s="1059"/>
      <c r="HU713" s="1059"/>
      <c r="HV713" s="1059"/>
      <c r="HW713" s="1059"/>
      <c r="HX713" s="1059"/>
      <c r="HY713" s="1059"/>
      <c r="HZ713" s="1059"/>
      <c r="IA713" s="1059"/>
      <c r="IB713" s="1059"/>
      <c r="IC713" s="1059"/>
      <c r="ID713" s="1059"/>
      <c r="IE713" s="1059"/>
      <c r="IF713" s="1059"/>
      <c r="IG713" s="1059"/>
      <c r="IH713" s="1059"/>
      <c r="II713" s="1059"/>
      <c r="IJ713" s="1059"/>
      <c r="IK713" s="1059"/>
      <c r="IL713" s="1059"/>
      <c r="IM713" s="1059"/>
      <c r="IN713" s="1059"/>
      <c r="IO713" s="1059"/>
      <c r="IP713" s="1059"/>
      <c r="IQ713" s="1059"/>
      <c r="IR713" s="1059"/>
      <c r="IS713" s="1059"/>
      <c r="IT713" s="1059"/>
      <c r="IU713" s="1059"/>
      <c r="IV713" s="1059"/>
    </row>
    <row r="714" spans="1:256" s="1055" customFormat="1" ht="13.5" customHeight="1">
      <c r="A714" s="1060" t="s">
        <v>220</v>
      </c>
      <c r="B714" s="1058" t="s">
        <v>611</v>
      </c>
      <c r="C714" s="1061"/>
      <c r="D714" s="1061"/>
      <c r="E714" s="996"/>
      <c r="F714" s="996"/>
      <c r="G714" s="3364" t="s">
        <v>381</v>
      </c>
      <c r="H714" s="3374"/>
      <c r="I714" s="933">
        <f>K4248</f>
        <v>311.36999999999995</v>
      </c>
      <c r="J714" s="713"/>
      <c r="K714" s="713">
        <f t="shared" si="72"/>
        <v>311.36999999999995</v>
      </c>
      <c r="L714" s="3372">
        <f t="shared" si="70"/>
        <v>311.39999999999998</v>
      </c>
      <c r="M714" s="3373"/>
      <c r="N714" s="1059"/>
      <c r="O714" s="1059"/>
      <c r="P714" s="1059"/>
      <c r="Q714" s="1059"/>
      <c r="R714" s="1059"/>
      <c r="S714" s="1059"/>
      <c r="T714" s="1059"/>
      <c r="U714" s="1059"/>
      <c r="V714" s="1059"/>
      <c r="W714" s="1059"/>
      <c r="X714" s="1059"/>
      <c r="Y714" s="1059"/>
      <c r="Z714" s="1059"/>
      <c r="AA714" s="1059"/>
      <c r="AB714" s="1059"/>
      <c r="AC714" s="1059"/>
      <c r="AD714" s="1059"/>
      <c r="AE714" s="1059"/>
      <c r="AF714" s="1059"/>
      <c r="AG714" s="1059"/>
      <c r="AH714" s="1059"/>
      <c r="AI714" s="1059"/>
      <c r="AJ714" s="1059"/>
      <c r="AK714" s="1059"/>
      <c r="AL714" s="1059"/>
      <c r="AM714" s="1059"/>
      <c r="AN714" s="1059"/>
      <c r="AO714" s="1059"/>
      <c r="AP714" s="1059"/>
      <c r="AQ714" s="1059"/>
      <c r="AR714" s="1059"/>
      <c r="AS714" s="1059"/>
      <c r="AT714" s="1059"/>
      <c r="AU714" s="1059"/>
      <c r="AV714" s="1059"/>
      <c r="AW714" s="1059"/>
      <c r="AX714" s="1059"/>
      <c r="AY714" s="1059"/>
      <c r="AZ714" s="1059"/>
      <c r="BA714" s="1059"/>
      <c r="BB714" s="1059"/>
      <c r="BC714" s="1059"/>
      <c r="BD714" s="1059"/>
      <c r="BE714" s="1059"/>
      <c r="BF714" s="1059"/>
      <c r="BG714" s="1059"/>
      <c r="BH714" s="1059"/>
      <c r="BI714" s="1059"/>
      <c r="BJ714" s="1059"/>
      <c r="BK714" s="1059"/>
      <c r="BL714" s="1059"/>
      <c r="BM714" s="1059"/>
      <c r="BN714" s="1059"/>
      <c r="BO714" s="1059"/>
      <c r="BP714" s="1059"/>
      <c r="BQ714" s="1059"/>
      <c r="BR714" s="1059"/>
      <c r="BS714" s="1059"/>
      <c r="BT714" s="1059"/>
      <c r="BU714" s="1059"/>
      <c r="BV714" s="1059"/>
      <c r="BW714" s="1059"/>
      <c r="BX714" s="1059"/>
      <c r="BY714" s="1059"/>
      <c r="BZ714" s="1059"/>
      <c r="CA714" s="1059"/>
      <c r="CB714" s="1059"/>
      <c r="CC714" s="1059"/>
      <c r="CD714" s="1059"/>
      <c r="CE714" s="1059"/>
      <c r="CF714" s="1059"/>
      <c r="CG714" s="1059"/>
      <c r="CH714" s="1059"/>
      <c r="CI714" s="1059"/>
      <c r="CJ714" s="1059"/>
      <c r="CK714" s="1059"/>
      <c r="CL714" s="1059"/>
      <c r="CM714" s="1059"/>
      <c r="CN714" s="1059"/>
      <c r="CO714" s="1059"/>
      <c r="CP714" s="1059"/>
      <c r="CQ714" s="1059"/>
      <c r="CR714" s="1059"/>
      <c r="CS714" s="1059"/>
      <c r="CT714" s="1059"/>
      <c r="CU714" s="1059"/>
      <c r="CV714" s="1059"/>
      <c r="CW714" s="1059"/>
      <c r="CX714" s="1059"/>
      <c r="CY714" s="1059"/>
      <c r="CZ714" s="1059"/>
      <c r="DA714" s="1059"/>
      <c r="DB714" s="1059"/>
      <c r="DC714" s="1059"/>
      <c r="DD714" s="1059"/>
      <c r="DE714" s="1059"/>
      <c r="DF714" s="1059"/>
      <c r="DG714" s="1059"/>
      <c r="DH714" s="1059"/>
      <c r="DI714" s="1059"/>
      <c r="DJ714" s="1059"/>
      <c r="DK714" s="1059"/>
      <c r="DL714" s="1059"/>
      <c r="DM714" s="1059"/>
      <c r="DN714" s="1059"/>
      <c r="DO714" s="1059"/>
      <c r="DP714" s="1059"/>
      <c r="DQ714" s="1059"/>
      <c r="DR714" s="1059"/>
      <c r="DS714" s="1059"/>
      <c r="DT714" s="1059"/>
      <c r="DU714" s="1059"/>
      <c r="DV714" s="1059"/>
      <c r="DW714" s="1059"/>
      <c r="DX714" s="1059"/>
      <c r="DY714" s="1059"/>
      <c r="DZ714" s="1059"/>
      <c r="EA714" s="1059"/>
      <c r="EB714" s="1059"/>
      <c r="EC714" s="1059"/>
      <c r="ED714" s="1059"/>
      <c r="EE714" s="1059"/>
      <c r="EF714" s="1059"/>
      <c r="EG714" s="1059"/>
      <c r="EH714" s="1059"/>
      <c r="EI714" s="1059"/>
      <c r="EJ714" s="1059"/>
      <c r="EK714" s="1059"/>
      <c r="EL714" s="1059"/>
      <c r="EM714" s="1059"/>
      <c r="EN714" s="1059"/>
      <c r="EO714" s="1059"/>
      <c r="EP714" s="1059"/>
      <c r="EQ714" s="1059"/>
      <c r="ER714" s="1059"/>
      <c r="ES714" s="1059"/>
      <c r="ET714" s="1059"/>
      <c r="EU714" s="1059"/>
      <c r="EV714" s="1059"/>
      <c r="EW714" s="1059"/>
      <c r="EX714" s="1059"/>
      <c r="EY714" s="1059"/>
      <c r="EZ714" s="1059"/>
      <c r="FA714" s="1059"/>
      <c r="FB714" s="1059"/>
      <c r="FC714" s="1059"/>
      <c r="FD714" s="1059"/>
      <c r="FE714" s="1059"/>
      <c r="FF714" s="1059"/>
      <c r="FG714" s="1059"/>
      <c r="FH714" s="1059"/>
      <c r="FI714" s="1059"/>
      <c r="FJ714" s="1059"/>
      <c r="FK714" s="1059"/>
      <c r="FL714" s="1059"/>
      <c r="FM714" s="1059"/>
      <c r="FN714" s="1059"/>
      <c r="FO714" s="1059"/>
      <c r="FP714" s="1059"/>
      <c r="FQ714" s="1059"/>
      <c r="FR714" s="1059"/>
      <c r="FS714" s="1059"/>
      <c r="FT714" s="1059"/>
      <c r="FU714" s="1059"/>
      <c r="FV714" s="1059"/>
      <c r="FW714" s="1059"/>
      <c r="FX714" s="1059"/>
      <c r="FY714" s="1059"/>
      <c r="FZ714" s="1059"/>
      <c r="GA714" s="1059"/>
      <c r="GB714" s="1059"/>
      <c r="GC714" s="1059"/>
      <c r="GD714" s="1059"/>
      <c r="GE714" s="1059"/>
      <c r="GF714" s="1059"/>
      <c r="GG714" s="1059"/>
      <c r="GH714" s="1059"/>
      <c r="GI714" s="1059"/>
      <c r="GJ714" s="1059"/>
      <c r="GK714" s="1059"/>
      <c r="GL714" s="1059"/>
      <c r="GM714" s="1059"/>
      <c r="GN714" s="1059"/>
      <c r="GO714" s="1059"/>
      <c r="GP714" s="1059"/>
      <c r="GQ714" s="1059"/>
      <c r="GR714" s="1059"/>
      <c r="GS714" s="1059"/>
      <c r="GT714" s="1059"/>
      <c r="GU714" s="1059"/>
      <c r="GV714" s="1059"/>
      <c r="GW714" s="1059"/>
      <c r="GX714" s="1059"/>
      <c r="GY714" s="1059"/>
      <c r="GZ714" s="1059"/>
      <c r="HA714" s="1059"/>
      <c r="HB714" s="1059"/>
      <c r="HC714" s="1059"/>
      <c r="HD714" s="1059"/>
      <c r="HE714" s="1059"/>
      <c r="HF714" s="1059"/>
      <c r="HG714" s="1059"/>
      <c r="HH714" s="1059"/>
      <c r="HI714" s="1059"/>
      <c r="HJ714" s="1059"/>
      <c r="HK714" s="1059"/>
      <c r="HL714" s="1059"/>
      <c r="HM714" s="1059"/>
      <c r="HN714" s="1059"/>
      <c r="HO714" s="1059"/>
      <c r="HP714" s="1059"/>
      <c r="HQ714" s="1059"/>
      <c r="HR714" s="1059"/>
      <c r="HS714" s="1059"/>
      <c r="HT714" s="1059"/>
      <c r="HU714" s="1059"/>
      <c r="HV714" s="1059"/>
      <c r="HW714" s="1059"/>
      <c r="HX714" s="1059"/>
      <c r="HY714" s="1059"/>
      <c r="HZ714" s="1059"/>
      <c r="IA714" s="1059"/>
      <c r="IB714" s="1059"/>
      <c r="IC714" s="1059"/>
      <c r="ID714" s="1059"/>
      <c r="IE714" s="1059"/>
      <c r="IF714" s="1059"/>
      <c r="IG714" s="1059"/>
      <c r="IH714" s="1059"/>
      <c r="II714" s="1059"/>
      <c r="IJ714" s="1059"/>
      <c r="IK714" s="1059"/>
      <c r="IL714" s="1059"/>
      <c r="IM714" s="1059"/>
      <c r="IN714" s="1059"/>
      <c r="IO714" s="1059"/>
      <c r="IP714" s="1059"/>
      <c r="IQ714" s="1059"/>
      <c r="IR714" s="1059"/>
      <c r="IS714" s="1059"/>
      <c r="IT714" s="1059"/>
      <c r="IU714" s="1059"/>
      <c r="IV714" s="1059"/>
    </row>
    <row r="715" spans="1:256" s="1055" customFormat="1" ht="13.5" customHeight="1">
      <c r="A715" s="1060" t="s">
        <v>244</v>
      </c>
      <c r="B715" s="1058" t="s">
        <v>612</v>
      </c>
      <c r="C715" s="1061"/>
      <c r="D715" s="1061"/>
      <c r="E715" s="996"/>
      <c r="F715" s="996"/>
      <c r="G715" s="3364" t="s">
        <v>381</v>
      </c>
      <c r="H715" s="3374"/>
      <c r="I715" s="933">
        <f>K4252</f>
        <v>347.87679999999995</v>
      </c>
      <c r="J715" s="713"/>
      <c r="K715" s="1062">
        <f t="shared" si="72"/>
        <v>347.87679999999995</v>
      </c>
      <c r="L715" s="3372">
        <f t="shared" si="70"/>
        <v>347.9</v>
      </c>
      <c r="M715" s="3373"/>
      <c r="N715" s="1059"/>
      <c r="O715" s="1059"/>
      <c r="P715" s="1059"/>
      <c r="Q715" s="1059"/>
      <c r="R715" s="1059"/>
      <c r="S715" s="1059"/>
      <c r="T715" s="1059"/>
      <c r="U715" s="1059"/>
      <c r="V715" s="1059"/>
      <c r="W715" s="1059"/>
      <c r="X715" s="1059"/>
      <c r="Y715" s="1059"/>
      <c r="Z715" s="1059"/>
      <c r="AA715" s="1059"/>
      <c r="AB715" s="1059"/>
      <c r="AC715" s="1059"/>
      <c r="AD715" s="1059"/>
      <c r="AE715" s="1059"/>
      <c r="AF715" s="1059"/>
      <c r="AG715" s="1059"/>
      <c r="AH715" s="1059"/>
      <c r="AI715" s="1059"/>
      <c r="AJ715" s="1059"/>
      <c r="AK715" s="1059"/>
      <c r="AL715" s="1059"/>
      <c r="AM715" s="1059"/>
      <c r="AN715" s="1059"/>
      <c r="AO715" s="1059"/>
      <c r="AP715" s="1059"/>
      <c r="AQ715" s="1059"/>
      <c r="AR715" s="1059"/>
      <c r="AS715" s="1059"/>
      <c r="AT715" s="1059"/>
      <c r="AU715" s="1059"/>
      <c r="AV715" s="1059"/>
      <c r="AW715" s="1059"/>
      <c r="AX715" s="1059"/>
      <c r="AY715" s="1059"/>
      <c r="AZ715" s="1059"/>
      <c r="BA715" s="1059"/>
      <c r="BB715" s="1059"/>
      <c r="BC715" s="1059"/>
      <c r="BD715" s="1059"/>
      <c r="BE715" s="1059"/>
      <c r="BF715" s="1059"/>
      <c r="BG715" s="1059"/>
      <c r="BH715" s="1059"/>
      <c r="BI715" s="1059"/>
      <c r="BJ715" s="1059"/>
      <c r="BK715" s="1059"/>
      <c r="BL715" s="1059"/>
      <c r="BM715" s="1059"/>
      <c r="BN715" s="1059"/>
      <c r="BO715" s="1059"/>
      <c r="BP715" s="1059"/>
      <c r="BQ715" s="1059"/>
      <c r="BR715" s="1059"/>
      <c r="BS715" s="1059"/>
      <c r="BT715" s="1059"/>
      <c r="BU715" s="1059"/>
      <c r="BV715" s="1059"/>
      <c r="BW715" s="1059"/>
      <c r="BX715" s="1059"/>
      <c r="BY715" s="1059"/>
      <c r="BZ715" s="1059"/>
      <c r="CA715" s="1059"/>
      <c r="CB715" s="1059"/>
      <c r="CC715" s="1059"/>
      <c r="CD715" s="1059"/>
      <c r="CE715" s="1059"/>
      <c r="CF715" s="1059"/>
      <c r="CG715" s="1059"/>
      <c r="CH715" s="1059"/>
      <c r="CI715" s="1059"/>
      <c r="CJ715" s="1059"/>
      <c r="CK715" s="1059"/>
      <c r="CL715" s="1059"/>
      <c r="CM715" s="1059"/>
      <c r="CN715" s="1059"/>
      <c r="CO715" s="1059"/>
      <c r="CP715" s="1059"/>
      <c r="CQ715" s="1059"/>
      <c r="CR715" s="1059"/>
      <c r="CS715" s="1059"/>
      <c r="CT715" s="1059"/>
      <c r="CU715" s="1059"/>
      <c r="CV715" s="1059"/>
      <c r="CW715" s="1059"/>
      <c r="CX715" s="1059"/>
      <c r="CY715" s="1059"/>
      <c r="CZ715" s="1059"/>
      <c r="DA715" s="1059"/>
      <c r="DB715" s="1059"/>
      <c r="DC715" s="1059"/>
      <c r="DD715" s="1059"/>
      <c r="DE715" s="1059"/>
      <c r="DF715" s="1059"/>
      <c r="DG715" s="1059"/>
      <c r="DH715" s="1059"/>
      <c r="DI715" s="1059"/>
      <c r="DJ715" s="1059"/>
      <c r="DK715" s="1059"/>
      <c r="DL715" s="1059"/>
      <c r="DM715" s="1059"/>
      <c r="DN715" s="1059"/>
      <c r="DO715" s="1059"/>
      <c r="DP715" s="1059"/>
      <c r="DQ715" s="1059"/>
      <c r="DR715" s="1059"/>
      <c r="DS715" s="1059"/>
      <c r="DT715" s="1059"/>
      <c r="DU715" s="1059"/>
      <c r="DV715" s="1059"/>
      <c r="DW715" s="1059"/>
      <c r="DX715" s="1059"/>
      <c r="DY715" s="1059"/>
      <c r="DZ715" s="1059"/>
      <c r="EA715" s="1059"/>
      <c r="EB715" s="1059"/>
      <c r="EC715" s="1059"/>
      <c r="ED715" s="1059"/>
      <c r="EE715" s="1059"/>
      <c r="EF715" s="1059"/>
      <c r="EG715" s="1059"/>
      <c r="EH715" s="1059"/>
      <c r="EI715" s="1059"/>
      <c r="EJ715" s="1059"/>
      <c r="EK715" s="1059"/>
      <c r="EL715" s="1059"/>
      <c r="EM715" s="1059"/>
      <c r="EN715" s="1059"/>
      <c r="EO715" s="1059"/>
      <c r="EP715" s="1059"/>
      <c r="EQ715" s="1059"/>
      <c r="ER715" s="1059"/>
      <c r="ES715" s="1059"/>
      <c r="ET715" s="1059"/>
      <c r="EU715" s="1059"/>
      <c r="EV715" s="1059"/>
      <c r="EW715" s="1059"/>
      <c r="EX715" s="1059"/>
      <c r="EY715" s="1059"/>
      <c r="EZ715" s="1059"/>
      <c r="FA715" s="1059"/>
      <c r="FB715" s="1059"/>
      <c r="FC715" s="1059"/>
      <c r="FD715" s="1059"/>
      <c r="FE715" s="1059"/>
      <c r="FF715" s="1059"/>
      <c r="FG715" s="1059"/>
      <c r="FH715" s="1059"/>
      <c r="FI715" s="1059"/>
      <c r="FJ715" s="1059"/>
      <c r="FK715" s="1059"/>
      <c r="FL715" s="1059"/>
      <c r="FM715" s="1059"/>
      <c r="FN715" s="1059"/>
      <c r="FO715" s="1059"/>
      <c r="FP715" s="1059"/>
      <c r="FQ715" s="1059"/>
      <c r="FR715" s="1059"/>
      <c r="FS715" s="1059"/>
      <c r="FT715" s="1059"/>
      <c r="FU715" s="1059"/>
      <c r="FV715" s="1059"/>
      <c r="FW715" s="1059"/>
      <c r="FX715" s="1059"/>
      <c r="FY715" s="1059"/>
      <c r="FZ715" s="1059"/>
      <c r="GA715" s="1059"/>
      <c r="GB715" s="1059"/>
      <c r="GC715" s="1059"/>
      <c r="GD715" s="1059"/>
      <c r="GE715" s="1059"/>
      <c r="GF715" s="1059"/>
      <c r="GG715" s="1059"/>
      <c r="GH715" s="1059"/>
      <c r="GI715" s="1059"/>
      <c r="GJ715" s="1059"/>
      <c r="GK715" s="1059"/>
      <c r="GL715" s="1059"/>
      <c r="GM715" s="1059"/>
      <c r="GN715" s="1059"/>
      <c r="GO715" s="1059"/>
      <c r="GP715" s="1059"/>
      <c r="GQ715" s="1059"/>
      <c r="GR715" s="1059"/>
      <c r="GS715" s="1059"/>
      <c r="GT715" s="1059"/>
      <c r="GU715" s="1059"/>
      <c r="GV715" s="1059"/>
      <c r="GW715" s="1059"/>
      <c r="GX715" s="1059"/>
      <c r="GY715" s="1059"/>
      <c r="GZ715" s="1059"/>
      <c r="HA715" s="1059"/>
      <c r="HB715" s="1059"/>
      <c r="HC715" s="1059"/>
      <c r="HD715" s="1059"/>
      <c r="HE715" s="1059"/>
      <c r="HF715" s="1059"/>
      <c r="HG715" s="1059"/>
      <c r="HH715" s="1059"/>
      <c r="HI715" s="1059"/>
      <c r="HJ715" s="1059"/>
      <c r="HK715" s="1059"/>
      <c r="HL715" s="1059"/>
      <c r="HM715" s="1059"/>
      <c r="HN715" s="1059"/>
      <c r="HO715" s="1059"/>
      <c r="HP715" s="1059"/>
      <c r="HQ715" s="1059"/>
      <c r="HR715" s="1059"/>
      <c r="HS715" s="1059"/>
      <c r="HT715" s="1059"/>
      <c r="HU715" s="1059"/>
      <c r="HV715" s="1059"/>
      <c r="HW715" s="1059"/>
      <c r="HX715" s="1059"/>
      <c r="HY715" s="1059"/>
      <c r="HZ715" s="1059"/>
      <c r="IA715" s="1059"/>
      <c r="IB715" s="1059"/>
      <c r="IC715" s="1059"/>
      <c r="ID715" s="1059"/>
      <c r="IE715" s="1059"/>
      <c r="IF715" s="1059"/>
      <c r="IG715" s="1059"/>
      <c r="IH715" s="1059"/>
      <c r="II715" s="1059"/>
      <c r="IJ715" s="1059"/>
      <c r="IK715" s="1059"/>
      <c r="IL715" s="1059"/>
      <c r="IM715" s="1059"/>
      <c r="IN715" s="1059"/>
      <c r="IO715" s="1059"/>
      <c r="IP715" s="1059"/>
      <c r="IQ715" s="1059"/>
      <c r="IR715" s="1059"/>
      <c r="IS715" s="1059"/>
      <c r="IT715" s="1059"/>
      <c r="IU715" s="1059"/>
      <c r="IV715" s="1059"/>
    </row>
    <row r="716" spans="1:256" s="1055" customFormat="1" ht="13.5" customHeight="1">
      <c r="A716" s="1057">
        <f>A712+1</f>
        <v>147</v>
      </c>
      <c r="B716" s="1058" t="s">
        <v>613</v>
      </c>
      <c r="C716" s="1061"/>
      <c r="D716" s="1061"/>
      <c r="E716" s="996"/>
      <c r="F716" s="996"/>
      <c r="G716" s="3364" t="s">
        <v>381</v>
      </c>
      <c r="H716" s="3374"/>
      <c r="I716" s="933">
        <f>K4263</f>
        <v>245.44</v>
      </c>
      <c r="J716" s="713"/>
      <c r="K716" s="1062">
        <f t="shared" si="72"/>
        <v>245.44</v>
      </c>
      <c r="L716" s="3372">
        <f t="shared" si="70"/>
        <v>245.4</v>
      </c>
      <c r="M716" s="3373"/>
      <c r="N716" s="1059"/>
      <c r="O716" s="1059"/>
      <c r="P716" s="1059"/>
      <c r="Q716" s="1059"/>
      <c r="R716" s="1059"/>
      <c r="S716" s="1059"/>
      <c r="T716" s="1059"/>
      <c r="U716" s="1059"/>
      <c r="V716" s="1059"/>
      <c r="W716" s="1059"/>
      <c r="X716" s="1059"/>
      <c r="Y716" s="1059"/>
      <c r="Z716" s="1059"/>
      <c r="AA716" s="1059"/>
      <c r="AB716" s="1059"/>
      <c r="AC716" s="1059"/>
      <c r="AD716" s="1059"/>
      <c r="AE716" s="1059"/>
      <c r="AF716" s="1059"/>
      <c r="AG716" s="1059"/>
      <c r="AH716" s="1059"/>
      <c r="AI716" s="1059"/>
      <c r="AJ716" s="1059"/>
      <c r="AK716" s="1059"/>
      <c r="AL716" s="1059"/>
      <c r="AM716" s="1059"/>
      <c r="AN716" s="1059"/>
      <c r="AO716" s="1059"/>
      <c r="AP716" s="1059"/>
      <c r="AQ716" s="1059"/>
      <c r="AR716" s="1059"/>
      <c r="AS716" s="1059"/>
      <c r="AT716" s="1059"/>
      <c r="AU716" s="1059"/>
      <c r="AV716" s="1059"/>
      <c r="AW716" s="1059"/>
      <c r="AX716" s="1059"/>
      <c r="AY716" s="1059"/>
      <c r="AZ716" s="1059"/>
      <c r="BA716" s="1059"/>
      <c r="BB716" s="1059"/>
      <c r="BC716" s="1059"/>
      <c r="BD716" s="1059"/>
      <c r="BE716" s="1059"/>
      <c r="BF716" s="1059"/>
      <c r="BG716" s="1059"/>
      <c r="BH716" s="1059"/>
      <c r="BI716" s="1059"/>
      <c r="BJ716" s="1059"/>
      <c r="BK716" s="1059"/>
      <c r="BL716" s="1059"/>
      <c r="BM716" s="1059"/>
      <c r="BN716" s="1059"/>
      <c r="BO716" s="1059"/>
      <c r="BP716" s="1059"/>
      <c r="BQ716" s="1059"/>
      <c r="BR716" s="1059"/>
      <c r="BS716" s="1059"/>
      <c r="BT716" s="1059"/>
      <c r="BU716" s="1059"/>
      <c r="BV716" s="1059"/>
      <c r="BW716" s="1059"/>
      <c r="BX716" s="1059"/>
      <c r="BY716" s="1059"/>
      <c r="BZ716" s="1059"/>
      <c r="CA716" s="1059"/>
      <c r="CB716" s="1059"/>
      <c r="CC716" s="1059"/>
      <c r="CD716" s="1059"/>
      <c r="CE716" s="1059"/>
      <c r="CF716" s="1059"/>
      <c r="CG716" s="1059"/>
      <c r="CH716" s="1059"/>
      <c r="CI716" s="1059"/>
      <c r="CJ716" s="1059"/>
      <c r="CK716" s="1059"/>
      <c r="CL716" s="1059"/>
      <c r="CM716" s="1059"/>
      <c r="CN716" s="1059"/>
      <c r="CO716" s="1059"/>
      <c r="CP716" s="1059"/>
      <c r="CQ716" s="1059"/>
      <c r="CR716" s="1059"/>
      <c r="CS716" s="1059"/>
      <c r="CT716" s="1059"/>
      <c r="CU716" s="1059"/>
      <c r="CV716" s="1059"/>
      <c r="CW716" s="1059"/>
      <c r="CX716" s="1059"/>
      <c r="CY716" s="1059"/>
      <c r="CZ716" s="1059"/>
      <c r="DA716" s="1059"/>
      <c r="DB716" s="1059"/>
      <c r="DC716" s="1059"/>
      <c r="DD716" s="1059"/>
      <c r="DE716" s="1059"/>
      <c r="DF716" s="1059"/>
      <c r="DG716" s="1059"/>
      <c r="DH716" s="1059"/>
      <c r="DI716" s="1059"/>
      <c r="DJ716" s="1059"/>
      <c r="DK716" s="1059"/>
      <c r="DL716" s="1059"/>
      <c r="DM716" s="1059"/>
      <c r="DN716" s="1059"/>
      <c r="DO716" s="1059"/>
      <c r="DP716" s="1059"/>
      <c r="DQ716" s="1059"/>
      <c r="DR716" s="1059"/>
      <c r="DS716" s="1059"/>
      <c r="DT716" s="1059"/>
      <c r="DU716" s="1059"/>
      <c r="DV716" s="1059"/>
      <c r="DW716" s="1059"/>
      <c r="DX716" s="1059"/>
      <c r="DY716" s="1059"/>
      <c r="DZ716" s="1059"/>
      <c r="EA716" s="1059"/>
      <c r="EB716" s="1059"/>
      <c r="EC716" s="1059"/>
      <c r="ED716" s="1059"/>
      <c r="EE716" s="1059"/>
      <c r="EF716" s="1059"/>
      <c r="EG716" s="1059"/>
      <c r="EH716" s="1059"/>
      <c r="EI716" s="1059"/>
      <c r="EJ716" s="1059"/>
      <c r="EK716" s="1059"/>
      <c r="EL716" s="1059"/>
      <c r="EM716" s="1059"/>
      <c r="EN716" s="1059"/>
      <c r="EO716" s="1059"/>
      <c r="EP716" s="1059"/>
      <c r="EQ716" s="1059"/>
      <c r="ER716" s="1059"/>
      <c r="ES716" s="1059"/>
      <c r="ET716" s="1059"/>
      <c r="EU716" s="1059"/>
      <c r="EV716" s="1059"/>
      <c r="EW716" s="1059"/>
      <c r="EX716" s="1059"/>
      <c r="EY716" s="1059"/>
      <c r="EZ716" s="1059"/>
      <c r="FA716" s="1059"/>
      <c r="FB716" s="1059"/>
      <c r="FC716" s="1059"/>
      <c r="FD716" s="1059"/>
      <c r="FE716" s="1059"/>
      <c r="FF716" s="1059"/>
      <c r="FG716" s="1059"/>
      <c r="FH716" s="1059"/>
      <c r="FI716" s="1059"/>
      <c r="FJ716" s="1059"/>
      <c r="FK716" s="1059"/>
      <c r="FL716" s="1059"/>
      <c r="FM716" s="1059"/>
      <c r="FN716" s="1059"/>
      <c r="FO716" s="1059"/>
      <c r="FP716" s="1059"/>
      <c r="FQ716" s="1059"/>
      <c r="FR716" s="1059"/>
      <c r="FS716" s="1059"/>
      <c r="FT716" s="1059"/>
      <c r="FU716" s="1059"/>
      <c r="FV716" s="1059"/>
      <c r="FW716" s="1059"/>
      <c r="FX716" s="1059"/>
      <c r="FY716" s="1059"/>
      <c r="FZ716" s="1059"/>
      <c r="GA716" s="1059"/>
      <c r="GB716" s="1059"/>
      <c r="GC716" s="1059"/>
      <c r="GD716" s="1059"/>
      <c r="GE716" s="1059"/>
      <c r="GF716" s="1059"/>
      <c r="GG716" s="1059"/>
      <c r="GH716" s="1059"/>
      <c r="GI716" s="1059"/>
      <c r="GJ716" s="1059"/>
      <c r="GK716" s="1059"/>
      <c r="GL716" s="1059"/>
      <c r="GM716" s="1059"/>
      <c r="GN716" s="1059"/>
      <c r="GO716" s="1059"/>
      <c r="GP716" s="1059"/>
      <c r="GQ716" s="1059"/>
      <c r="GR716" s="1059"/>
      <c r="GS716" s="1059"/>
      <c r="GT716" s="1059"/>
      <c r="GU716" s="1059"/>
      <c r="GV716" s="1059"/>
      <c r="GW716" s="1059"/>
      <c r="GX716" s="1059"/>
      <c r="GY716" s="1059"/>
      <c r="GZ716" s="1059"/>
      <c r="HA716" s="1059"/>
      <c r="HB716" s="1059"/>
      <c r="HC716" s="1059"/>
      <c r="HD716" s="1059"/>
      <c r="HE716" s="1059"/>
      <c r="HF716" s="1059"/>
      <c r="HG716" s="1059"/>
      <c r="HH716" s="1059"/>
      <c r="HI716" s="1059"/>
      <c r="HJ716" s="1059"/>
      <c r="HK716" s="1059"/>
      <c r="HL716" s="1059"/>
      <c r="HM716" s="1059"/>
      <c r="HN716" s="1059"/>
      <c r="HO716" s="1059"/>
      <c r="HP716" s="1059"/>
      <c r="HQ716" s="1059"/>
      <c r="HR716" s="1059"/>
      <c r="HS716" s="1059"/>
      <c r="HT716" s="1059"/>
      <c r="HU716" s="1059"/>
      <c r="HV716" s="1059"/>
      <c r="HW716" s="1059"/>
      <c r="HX716" s="1059"/>
      <c r="HY716" s="1059"/>
      <c r="HZ716" s="1059"/>
      <c r="IA716" s="1059"/>
      <c r="IB716" s="1059"/>
      <c r="IC716" s="1059"/>
      <c r="ID716" s="1059"/>
      <c r="IE716" s="1059"/>
      <c r="IF716" s="1059"/>
      <c r="IG716" s="1059"/>
      <c r="IH716" s="1059"/>
      <c r="II716" s="1059"/>
      <c r="IJ716" s="1059"/>
      <c r="IK716" s="1059"/>
      <c r="IL716" s="1059"/>
      <c r="IM716" s="1059"/>
      <c r="IN716" s="1059"/>
      <c r="IO716" s="1059"/>
      <c r="IP716" s="1059"/>
      <c r="IQ716" s="1059"/>
      <c r="IR716" s="1059"/>
      <c r="IS716" s="1059"/>
      <c r="IT716" s="1059"/>
      <c r="IU716" s="1059"/>
      <c r="IV716" s="1059"/>
    </row>
    <row r="717" spans="1:256" s="1055" customFormat="1" ht="13.5" customHeight="1">
      <c r="A717" s="1060" t="s">
        <v>201</v>
      </c>
      <c r="B717" s="1058" t="s">
        <v>610</v>
      </c>
      <c r="C717" s="1061"/>
      <c r="D717" s="1061"/>
      <c r="E717" s="996"/>
      <c r="F717" s="996"/>
      <c r="G717" s="3364" t="s">
        <v>381</v>
      </c>
      <c r="H717" s="3374"/>
      <c r="I717" s="933">
        <f>K4267</f>
        <v>251.37</v>
      </c>
      <c r="J717" s="713"/>
      <c r="K717" s="1062">
        <f t="shared" si="72"/>
        <v>251.37</v>
      </c>
      <c r="L717" s="3372">
        <f t="shared" si="70"/>
        <v>251.4</v>
      </c>
      <c r="M717" s="3373"/>
      <c r="N717" s="1059"/>
      <c r="O717" s="1059" t="s">
        <v>3178</v>
      </c>
      <c r="P717" s="1059"/>
      <c r="Q717" s="1059"/>
      <c r="R717" s="1059"/>
      <c r="S717" s="1059"/>
      <c r="T717" s="1059"/>
      <c r="U717" s="1059"/>
      <c r="V717" s="1059"/>
      <c r="W717" s="1059"/>
      <c r="X717" s="1059"/>
      <c r="Y717" s="1059"/>
      <c r="Z717" s="1059"/>
      <c r="AA717" s="1059"/>
      <c r="AB717" s="1059"/>
      <c r="AC717" s="1059"/>
      <c r="AD717" s="1059"/>
      <c r="AE717" s="1059"/>
      <c r="AF717" s="1059"/>
      <c r="AG717" s="1059"/>
      <c r="AH717" s="1059"/>
      <c r="AI717" s="1059"/>
      <c r="AJ717" s="1059"/>
      <c r="AK717" s="1059"/>
      <c r="AL717" s="1059"/>
      <c r="AM717" s="1059"/>
      <c r="AN717" s="1059"/>
      <c r="AO717" s="1059"/>
      <c r="AP717" s="1059"/>
      <c r="AQ717" s="1059"/>
      <c r="AR717" s="1059"/>
      <c r="AS717" s="1059"/>
      <c r="AT717" s="1059"/>
      <c r="AU717" s="1059"/>
      <c r="AV717" s="1059"/>
      <c r="AW717" s="1059"/>
      <c r="AX717" s="1059"/>
      <c r="AY717" s="1059"/>
      <c r="AZ717" s="1059"/>
      <c r="BA717" s="1059"/>
      <c r="BB717" s="1059"/>
      <c r="BC717" s="1059"/>
      <c r="BD717" s="1059"/>
      <c r="BE717" s="1059"/>
      <c r="BF717" s="1059"/>
      <c r="BG717" s="1059"/>
      <c r="BH717" s="1059"/>
      <c r="BI717" s="1059"/>
      <c r="BJ717" s="1059"/>
      <c r="BK717" s="1059"/>
      <c r="BL717" s="1059"/>
      <c r="BM717" s="1059"/>
      <c r="BN717" s="1059"/>
      <c r="BO717" s="1059"/>
      <c r="BP717" s="1059"/>
      <c r="BQ717" s="1059"/>
      <c r="BR717" s="1059"/>
      <c r="BS717" s="1059"/>
      <c r="BT717" s="1059"/>
      <c r="BU717" s="1059"/>
      <c r="BV717" s="1059"/>
      <c r="BW717" s="1059"/>
      <c r="BX717" s="1059"/>
      <c r="BY717" s="1059"/>
      <c r="BZ717" s="1059"/>
      <c r="CA717" s="1059"/>
      <c r="CB717" s="1059"/>
      <c r="CC717" s="1059"/>
      <c r="CD717" s="1059"/>
      <c r="CE717" s="1059"/>
      <c r="CF717" s="1059"/>
      <c r="CG717" s="1059"/>
      <c r="CH717" s="1059"/>
      <c r="CI717" s="1059"/>
      <c r="CJ717" s="1059"/>
      <c r="CK717" s="1059"/>
      <c r="CL717" s="1059"/>
      <c r="CM717" s="1059"/>
      <c r="CN717" s="1059"/>
      <c r="CO717" s="1059"/>
      <c r="CP717" s="1059"/>
      <c r="CQ717" s="1059"/>
      <c r="CR717" s="1059"/>
      <c r="CS717" s="1059"/>
      <c r="CT717" s="1059"/>
      <c r="CU717" s="1059"/>
      <c r="CV717" s="1059"/>
      <c r="CW717" s="1059"/>
      <c r="CX717" s="1059"/>
      <c r="CY717" s="1059"/>
      <c r="CZ717" s="1059"/>
      <c r="DA717" s="1059"/>
      <c r="DB717" s="1059"/>
      <c r="DC717" s="1059"/>
      <c r="DD717" s="1059"/>
      <c r="DE717" s="1059"/>
      <c r="DF717" s="1059"/>
      <c r="DG717" s="1059"/>
      <c r="DH717" s="1059"/>
      <c r="DI717" s="1059"/>
      <c r="DJ717" s="1059"/>
      <c r="DK717" s="1059"/>
      <c r="DL717" s="1059"/>
      <c r="DM717" s="1059"/>
      <c r="DN717" s="1059"/>
      <c r="DO717" s="1059"/>
      <c r="DP717" s="1059"/>
      <c r="DQ717" s="1059"/>
      <c r="DR717" s="1059"/>
      <c r="DS717" s="1059"/>
      <c r="DT717" s="1059"/>
      <c r="DU717" s="1059"/>
      <c r="DV717" s="1059"/>
      <c r="DW717" s="1059"/>
      <c r="DX717" s="1059"/>
      <c r="DY717" s="1059"/>
      <c r="DZ717" s="1059"/>
      <c r="EA717" s="1059"/>
      <c r="EB717" s="1059"/>
      <c r="EC717" s="1059"/>
      <c r="ED717" s="1059"/>
      <c r="EE717" s="1059"/>
      <c r="EF717" s="1059"/>
      <c r="EG717" s="1059"/>
      <c r="EH717" s="1059"/>
      <c r="EI717" s="1059"/>
      <c r="EJ717" s="1059"/>
      <c r="EK717" s="1059"/>
      <c r="EL717" s="1059"/>
      <c r="EM717" s="1059"/>
      <c r="EN717" s="1059"/>
      <c r="EO717" s="1059"/>
      <c r="EP717" s="1059"/>
      <c r="EQ717" s="1059"/>
      <c r="ER717" s="1059"/>
      <c r="ES717" s="1059"/>
      <c r="ET717" s="1059"/>
      <c r="EU717" s="1059"/>
      <c r="EV717" s="1059"/>
      <c r="EW717" s="1059"/>
      <c r="EX717" s="1059"/>
      <c r="EY717" s="1059"/>
      <c r="EZ717" s="1059"/>
      <c r="FA717" s="1059"/>
      <c r="FB717" s="1059"/>
      <c r="FC717" s="1059"/>
      <c r="FD717" s="1059"/>
      <c r="FE717" s="1059"/>
      <c r="FF717" s="1059"/>
      <c r="FG717" s="1059"/>
      <c r="FH717" s="1059"/>
      <c r="FI717" s="1059"/>
      <c r="FJ717" s="1059"/>
      <c r="FK717" s="1059"/>
      <c r="FL717" s="1059"/>
      <c r="FM717" s="1059"/>
      <c r="FN717" s="1059"/>
      <c r="FO717" s="1059"/>
      <c r="FP717" s="1059"/>
      <c r="FQ717" s="1059"/>
      <c r="FR717" s="1059"/>
      <c r="FS717" s="1059"/>
      <c r="FT717" s="1059"/>
      <c r="FU717" s="1059"/>
      <c r="FV717" s="1059"/>
      <c r="FW717" s="1059"/>
      <c r="FX717" s="1059"/>
      <c r="FY717" s="1059"/>
      <c r="FZ717" s="1059"/>
      <c r="GA717" s="1059"/>
      <c r="GB717" s="1059"/>
      <c r="GC717" s="1059"/>
      <c r="GD717" s="1059"/>
      <c r="GE717" s="1059"/>
      <c r="GF717" s="1059"/>
      <c r="GG717" s="1059"/>
      <c r="GH717" s="1059"/>
      <c r="GI717" s="1059"/>
      <c r="GJ717" s="1059"/>
      <c r="GK717" s="1059"/>
      <c r="GL717" s="1059"/>
      <c r="GM717" s="1059"/>
      <c r="GN717" s="1059"/>
      <c r="GO717" s="1059"/>
      <c r="GP717" s="1059"/>
      <c r="GQ717" s="1059"/>
      <c r="GR717" s="1059"/>
      <c r="GS717" s="1059"/>
      <c r="GT717" s="1059"/>
      <c r="GU717" s="1059"/>
      <c r="GV717" s="1059"/>
      <c r="GW717" s="1059"/>
      <c r="GX717" s="1059"/>
      <c r="GY717" s="1059"/>
      <c r="GZ717" s="1059"/>
      <c r="HA717" s="1059"/>
      <c r="HB717" s="1059"/>
      <c r="HC717" s="1059"/>
      <c r="HD717" s="1059"/>
      <c r="HE717" s="1059"/>
      <c r="HF717" s="1059"/>
      <c r="HG717" s="1059"/>
      <c r="HH717" s="1059"/>
      <c r="HI717" s="1059"/>
      <c r="HJ717" s="1059"/>
      <c r="HK717" s="1059"/>
      <c r="HL717" s="1059"/>
      <c r="HM717" s="1059"/>
      <c r="HN717" s="1059"/>
      <c r="HO717" s="1059"/>
      <c r="HP717" s="1059"/>
      <c r="HQ717" s="1059"/>
      <c r="HR717" s="1059"/>
      <c r="HS717" s="1059"/>
      <c r="HT717" s="1059"/>
      <c r="HU717" s="1059"/>
      <c r="HV717" s="1059"/>
      <c r="HW717" s="1059"/>
      <c r="HX717" s="1059"/>
      <c r="HY717" s="1059"/>
      <c r="HZ717" s="1059"/>
      <c r="IA717" s="1059"/>
      <c r="IB717" s="1059"/>
      <c r="IC717" s="1059"/>
      <c r="ID717" s="1059"/>
      <c r="IE717" s="1059"/>
      <c r="IF717" s="1059"/>
      <c r="IG717" s="1059"/>
      <c r="IH717" s="1059"/>
      <c r="II717" s="1059"/>
      <c r="IJ717" s="1059"/>
      <c r="IK717" s="1059"/>
      <c r="IL717" s="1059"/>
      <c r="IM717" s="1059"/>
      <c r="IN717" s="1059"/>
      <c r="IO717" s="1059"/>
      <c r="IP717" s="1059"/>
      <c r="IQ717" s="1059"/>
      <c r="IR717" s="1059"/>
      <c r="IS717" s="1059"/>
      <c r="IT717" s="1059"/>
      <c r="IU717" s="1059"/>
      <c r="IV717" s="1059"/>
    </row>
    <row r="718" spans="1:256" s="1055" customFormat="1" ht="13.5" customHeight="1">
      <c r="A718" s="1060" t="s">
        <v>220</v>
      </c>
      <c r="B718" s="1058" t="s">
        <v>611</v>
      </c>
      <c r="C718" s="1061"/>
      <c r="D718" s="1061"/>
      <c r="E718" s="996"/>
      <c r="F718" s="996"/>
      <c r="G718" s="3364" t="s">
        <v>381</v>
      </c>
      <c r="H718" s="3374"/>
      <c r="I718" s="933">
        <f>K4271</f>
        <v>253.64</v>
      </c>
      <c r="J718" s="713"/>
      <c r="K718" s="1062">
        <f t="shared" si="72"/>
        <v>253.64</v>
      </c>
      <c r="L718" s="3372">
        <f t="shared" si="70"/>
        <v>253.6</v>
      </c>
      <c r="M718" s="3373"/>
      <c r="N718" s="1059"/>
      <c r="O718" s="1059"/>
      <c r="P718" s="1059"/>
      <c r="Q718" s="1059"/>
      <c r="R718" s="1059"/>
      <c r="S718" s="1059"/>
      <c r="T718" s="1059"/>
      <c r="U718" s="1059"/>
      <c r="V718" s="1059"/>
      <c r="W718" s="1059"/>
      <c r="X718" s="1059"/>
      <c r="Y718" s="1059"/>
      <c r="Z718" s="1059"/>
      <c r="AA718" s="1059"/>
      <c r="AB718" s="1059"/>
      <c r="AC718" s="1059"/>
      <c r="AD718" s="1059"/>
      <c r="AE718" s="1059"/>
      <c r="AF718" s="1059"/>
      <c r="AG718" s="1059"/>
      <c r="AH718" s="1059"/>
      <c r="AI718" s="1059"/>
      <c r="AJ718" s="1059"/>
      <c r="AK718" s="1059"/>
      <c r="AL718" s="1059"/>
      <c r="AM718" s="1059"/>
      <c r="AN718" s="1059"/>
      <c r="AO718" s="1059"/>
      <c r="AP718" s="1059"/>
      <c r="AQ718" s="1059"/>
      <c r="AR718" s="1059"/>
      <c r="AS718" s="1059"/>
      <c r="AT718" s="1059"/>
      <c r="AU718" s="1059"/>
      <c r="AV718" s="1059"/>
      <c r="AW718" s="1059"/>
      <c r="AX718" s="1059"/>
      <c r="AY718" s="1059"/>
      <c r="AZ718" s="1059"/>
      <c r="BA718" s="1059"/>
      <c r="BB718" s="1059"/>
      <c r="BC718" s="1059"/>
      <c r="BD718" s="1059"/>
      <c r="BE718" s="1059"/>
      <c r="BF718" s="1059"/>
      <c r="BG718" s="1059"/>
      <c r="BH718" s="1059"/>
      <c r="BI718" s="1059"/>
      <c r="BJ718" s="1059"/>
      <c r="BK718" s="1059"/>
      <c r="BL718" s="1059"/>
      <c r="BM718" s="1059"/>
      <c r="BN718" s="1059"/>
      <c r="BO718" s="1059"/>
      <c r="BP718" s="1059"/>
      <c r="BQ718" s="1059"/>
      <c r="BR718" s="1059"/>
      <c r="BS718" s="1059"/>
      <c r="BT718" s="1059"/>
      <c r="BU718" s="1059"/>
      <c r="BV718" s="1059"/>
      <c r="BW718" s="1059"/>
      <c r="BX718" s="1059"/>
      <c r="BY718" s="1059"/>
      <c r="BZ718" s="1059"/>
      <c r="CA718" s="1059"/>
      <c r="CB718" s="1059"/>
      <c r="CC718" s="1059"/>
      <c r="CD718" s="1059"/>
      <c r="CE718" s="1059"/>
      <c r="CF718" s="1059"/>
      <c r="CG718" s="1059"/>
      <c r="CH718" s="1059"/>
      <c r="CI718" s="1059"/>
      <c r="CJ718" s="1059"/>
      <c r="CK718" s="1059"/>
      <c r="CL718" s="1059"/>
      <c r="CM718" s="1059"/>
      <c r="CN718" s="1059"/>
      <c r="CO718" s="1059"/>
      <c r="CP718" s="1059"/>
      <c r="CQ718" s="1059"/>
      <c r="CR718" s="1059"/>
      <c r="CS718" s="1059"/>
      <c r="CT718" s="1059"/>
      <c r="CU718" s="1059"/>
      <c r="CV718" s="1059"/>
      <c r="CW718" s="1059"/>
      <c r="CX718" s="1059"/>
      <c r="CY718" s="1059"/>
      <c r="CZ718" s="1059"/>
      <c r="DA718" s="1059"/>
      <c r="DB718" s="1059"/>
      <c r="DC718" s="1059"/>
      <c r="DD718" s="1059"/>
      <c r="DE718" s="1059"/>
      <c r="DF718" s="1059"/>
      <c r="DG718" s="1059"/>
      <c r="DH718" s="1059"/>
      <c r="DI718" s="1059"/>
      <c r="DJ718" s="1059"/>
      <c r="DK718" s="1059"/>
      <c r="DL718" s="1059"/>
      <c r="DM718" s="1059"/>
      <c r="DN718" s="1059"/>
      <c r="DO718" s="1059"/>
      <c r="DP718" s="1059"/>
      <c r="DQ718" s="1059"/>
      <c r="DR718" s="1059"/>
      <c r="DS718" s="1059"/>
      <c r="DT718" s="1059"/>
      <c r="DU718" s="1059"/>
      <c r="DV718" s="1059"/>
      <c r="DW718" s="1059"/>
      <c r="DX718" s="1059"/>
      <c r="DY718" s="1059"/>
      <c r="DZ718" s="1059"/>
      <c r="EA718" s="1059"/>
      <c r="EB718" s="1059"/>
      <c r="EC718" s="1059"/>
      <c r="ED718" s="1059"/>
      <c r="EE718" s="1059"/>
      <c r="EF718" s="1059"/>
      <c r="EG718" s="1059"/>
      <c r="EH718" s="1059"/>
      <c r="EI718" s="1059"/>
      <c r="EJ718" s="1059"/>
      <c r="EK718" s="1059"/>
      <c r="EL718" s="1059"/>
      <c r="EM718" s="1059"/>
      <c r="EN718" s="1059"/>
      <c r="EO718" s="1059"/>
      <c r="EP718" s="1059"/>
      <c r="EQ718" s="1059"/>
      <c r="ER718" s="1059"/>
      <c r="ES718" s="1059"/>
      <c r="ET718" s="1059"/>
      <c r="EU718" s="1059"/>
      <c r="EV718" s="1059"/>
      <c r="EW718" s="1059"/>
      <c r="EX718" s="1059"/>
      <c r="EY718" s="1059"/>
      <c r="EZ718" s="1059"/>
      <c r="FA718" s="1059"/>
      <c r="FB718" s="1059"/>
      <c r="FC718" s="1059"/>
      <c r="FD718" s="1059"/>
      <c r="FE718" s="1059"/>
      <c r="FF718" s="1059"/>
      <c r="FG718" s="1059"/>
      <c r="FH718" s="1059"/>
      <c r="FI718" s="1059"/>
      <c r="FJ718" s="1059"/>
      <c r="FK718" s="1059"/>
      <c r="FL718" s="1059"/>
      <c r="FM718" s="1059"/>
      <c r="FN718" s="1059"/>
      <c r="FO718" s="1059"/>
      <c r="FP718" s="1059"/>
      <c r="FQ718" s="1059"/>
      <c r="FR718" s="1059"/>
      <c r="FS718" s="1059"/>
      <c r="FT718" s="1059"/>
      <c r="FU718" s="1059"/>
      <c r="FV718" s="1059"/>
      <c r="FW718" s="1059"/>
      <c r="FX718" s="1059"/>
      <c r="FY718" s="1059"/>
      <c r="FZ718" s="1059"/>
      <c r="GA718" s="1059"/>
      <c r="GB718" s="1059"/>
      <c r="GC718" s="1059"/>
      <c r="GD718" s="1059"/>
      <c r="GE718" s="1059"/>
      <c r="GF718" s="1059"/>
      <c r="GG718" s="1059"/>
      <c r="GH718" s="1059"/>
      <c r="GI718" s="1059"/>
      <c r="GJ718" s="1059"/>
      <c r="GK718" s="1059"/>
      <c r="GL718" s="1059"/>
      <c r="GM718" s="1059"/>
      <c r="GN718" s="1059"/>
      <c r="GO718" s="1059"/>
      <c r="GP718" s="1059"/>
      <c r="GQ718" s="1059"/>
      <c r="GR718" s="1059"/>
      <c r="GS718" s="1059"/>
      <c r="GT718" s="1059"/>
      <c r="GU718" s="1059"/>
      <c r="GV718" s="1059"/>
      <c r="GW718" s="1059"/>
      <c r="GX718" s="1059"/>
      <c r="GY718" s="1059"/>
      <c r="GZ718" s="1059"/>
      <c r="HA718" s="1059"/>
      <c r="HB718" s="1059"/>
      <c r="HC718" s="1059"/>
      <c r="HD718" s="1059"/>
      <c r="HE718" s="1059"/>
      <c r="HF718" s="1059"/>
      <c r="HG718" s="1059"/>
      <c r="HH718" s="1059"/>
      <c r="HI718" s="1059"/>
      <c r="HJ718" s="1059"/>
      <c r="HK718" s="1059"/>
      <c r="HL718" s="1059"/>
      <c r="HM718" s="1059"/>
      <c r="HN718" s="1059"/>
      <c r="HO718" s="1059"/>
      <c r="HP718" s="1059"/>
      <c r="HQ718" s="1059"/>
      <c r="HR718" s="1059"/>
      <c r="HS718" s="1059"/>
      <c r="HT718" s="1059"/>
      <c r="HU718" s="1059"/>
      <c r="HV718" s="1059"/>
      <c r="HW718" s="1059"/>
      <c r="HX718" s="1059"/>
      <c r="HY718" s="1059"/>
      <c r="HZ718" s="1059"/>
      <c r="IA718" s="1059"/>
      <c r="IB718" s="1059"/>
      <c r="IC718" s="1059"/>
      <c r="ID718" s="1059"/>
      <c r="IE718" s="1059"/>
      <c r="IF718" s="1059"/>
      <c r="IG718" s="1059"/>
      <c r="IH718" s="1059"/>
      <c r="II718" s="1059"/>
      <c r="IJ718" s="1059"/>
      <c r="IK718" s="1059"/>
      <c r="IL718" s="1059"/>
      <c r="IM718" s="1059"/>
      <c r="IN718" s="1059"/>
      <c r="IO718" s="1059"/>
      <c r="IP718" s="1059"/>
      <c r="IQ718" s="1059"/>
      <c r="IR718" s="1059"/>
      <c r="IS718" s="1059"/>
      <c r="IT718" s="1059"/>
      <c r="IU718" s="1059"/>
      <c r="IV718" s="1059"/>
    </row>
    <row r="719" spans="1:256" s="1055" customFormat="1" ht="13.5" customHeight="1">
      <c r="A719" s="1060" t="s">
        <v>244</v>
      </c>
      <c r="B719" s="1058" t="s">
        <v>612</v>
      </c>
      <c r="C719" s="1061"/>
      <c r="D719" s="1061"/>
      <c r="E719" s="996"/>
      <c r="F719" s="996"/>
      <c r="G719" s="3364" t="s">
        <v>381</v>
      </c>
      <c r="H719" s="3374"/>
      <c r="I719" s="933">
        <f>K4275</f>
        <v>290.14679999999998</v>
      </c>
      <c r="J719" s="713"/>
      <c r="K719" s="1062">
        <f t="shared" si="72"/>
        <v>290.14679999999998</v>
      </c>
      <c r="L719" s="3372">
        <f t="shared" si="70"/>
        <v>290.10000000000002</v>
      </c>
      <c r="M719" s="3373"/>
      <c r="N719" s="1059"/>
      <c r="O719" s="1059"/>
      <c r="P719" s="1059"/>
      <c r="Q719" s="1059"/>
      <c r="R719" s="1059"/>
      <c r="S719" s="1059"/>
      <c r="T719" s="1059"/>
      <c r="U719" s="1059"/>
      <c r="V719" s="1059"/>
      <c r="W719" s="1059"/>
      <c r="X719" s="1059"/>
      <c r="Y719" s="1059"/>
      <c r="Z719" s="1059"/>
      <c r="AA719" s="1059"/>
      <c r="AB719" s="1059"/>
      <c r="AC719" s="1059"/>
      <c r="AD719" s="1059"/>
      <c r="AE719" s="1059"/>
      <c r="AF719" s="1059"/>
      <c r="AG719" s="1059"/>
      <c r="AH719" s="1059"/>
      <c r="AI719" s="1059"/>
      <c r="AJ719" s="1059"/>
      <c r="AK719" s="1059"/>
      <c r="AL719" s="1059"/>
      <c r="AM719" s="1059"/>
      <c r="AN719" s="1059"/>
      <c r="AO719" s="1059"/>
      <c r="AP719" s="1059"/>
      <c r="AQ719" s="1059"/>
      <c r="AR719" s="1059"/>
      <c r="AS719" s="1059"/>
      <c r="AT719" s="1059"/>
      <c r="AU719" s="1059"/>
      <c r="AV719" s="1059"/>
      <c r="AW719" s="1059"/>
      <c r="AX719" s="1059"/>
      <c r="AY719" s="1059"/>
      <c r="AZ719" s="1059"/>
      <c r="BA719" s="1059"/>
      <c r="BB719" s="1059"/>
      <c r="BC719" s="1059"/>
      <c r="BD719" s="1059"/>
      <c r="BE719" s="1059"/>
      <c r="BF719" s="1059"/>
      <c r="BG719" s="1059"/>
      <c r="BH719" s="1059"/>
      <c r="BI719" s="1059"/>
      <c r="BJ719" s="1059"/>
      <c r="BK719" s="1059"/>
      <c r="BL719" s="1059"/>
      <c r="BM719" s="1059"/>
      <c r="BN719" s="1059"/>
      <c r="BO719" s="1059"/>
      <c r="BP719" s="1059"/>
      <c r="BQ719" s="1059"/>
      <c r="BR719" s="1059"/>
      <c r="BS719" s="1059"/>
      <c r="BT719" s="1059"/>
      <c r="BU719" s="1059"/>
      <c r="BV719" s="1059"/>
      <c r="BW719" s="1059"/>
      <c r="BX719" s="1059"/>
      <c r="BY719" s="1059"/>
      <c r="BZ719" s="1059"/>
      <c r="CA719" s="1059"/>
      <c r="CB719" s="1059"/>
      <c r="CC719" s="1059"/>
      <c r="CD719" s="1059"/>
      <c r="CE719" s="1059"/>
      <c r="CF719" s="1059"/>
      <c r="CG719" s="1059"/>
      <c r="CH719" s="1059"/>
      <c r="CI719" s="1059"/>
      <c r="CJ719" s="1059"/>
      <c r="CK719" s="1059"/>
      <c r="CL719" s="1059"/>
      <c r="CM719" s="1059"/>
      <c r="CN719" s="1059"/>
      <c r="CO719" s="1059"/>
      <c r="CP719" s="1059"/>
      <c r="CQ719" s="1059"/>
      <c r="CR719" s="1059"/>
      <c r="CS719" s="1059"/>
      <c r="CT719" s="1059"/>
      <c r="CU719" s="1059"/>
      <c r="CV719" s="1059"/>
      <c r="CW719" s="1059"/>
      <c r="CX719" s="1059"/>
      <c r="CY719" s="1059"/>
      <c r="CZ719" s="1059"/>
      <c r="DA719" s="1059"/>
      <c r="DB719" s="1059"/>
      <c r="DC719" s="1059"/>
      <c r="DD719" s="1059"/>
      <c r="DE719" s="1059"/>
      <c r="DF719" s="1059"/>
      <c r="DG719" s="1059"/>
      <c r="DH719" s="1059"/>
      <c r="DI719" s="1059"/>
      <c r="DJ719" s="1059"/>
      <c r="DK719" s="1059"/>
      <c r="DL719" s="1059"/>
      <c r="DM719" s="1059"/>
      <c r="DN719" s="1059"/>
      <c r="DO719" s="1059"/>
      <c r="DP719" s="1059"/>
      <c r="DQ719" s="1059"/>
      <c r="DR719" s="1059"/>
      <c r="DS719" s="1059"/>
      <c r="DT719" s="1059"/>
      <c r="DU719" s="1059"/>
      <c r="DV719" s="1059"/>
      <c r="DW719" s="1059"/>
      <c r="DX719" s="1059"/>
      <c r="DY719" s="1059"/>
      <c r="DZ719" s="1059"/>
      <c r="EA719" s="1059"/>
      <c r="EB719" s="1059"/>
      <c r="EC719" s="1059"/>
      <c r="ED719" s="1059"/>
      <c r="EE719" s="1059"/>
      <c r="EF719" s="1059"/>
      <c r="EG719" s="1059"/>
      <c r="EH719" s="1059"/>
      <c r="EI719" s="1059"/>
      <c r="EJ719" s="1059"/>
      <c r="EK719" s="1059"/>
      <c r="EL719" s="1059"/>
      <c r="EM719" s="1059"/>
      <c r="EN719" s="1059"/>
      <c r="EO719" s="1059"/>
      <c r="EP719" s="1059"/>
      <c r="EQ719" s="1059"/>
      <c r="ER719" s="1059"/>
      <c r="ES719" s="1059"/>
      <c r="ET719" s="1059"/>
      <c r="EU719" s="1059"/>
      <c r="EV719" s="1059"/>
      <c r="EW719" s="1059"/>
      <c r="EX719" s="1059"/>
      <c r="EY719" s="1059"/>
      <c r="EZ719" s="1059"/>
      <c r="FA719" s="1059"/>
      <c r="FB719" s="1059"/>
      <c r="FC719" s="1059"/>
      <c r="FD719" s="1059"/>
      <c r="FE719" s="1059"/>
      <c r="FF719" s="1059"/>
      <c r="FG719" s="1059"/>
      <c r="FH719" s="1059"/>
      <c r="FI719" s="1059"/>
      <c r="FJ719" s="1059"/>
      <c r="FK719" s="1059"/>
      <c r="FL719" s="1059"/>
      <c r="FM719" s="1059"/>
      <c r="FN719" s="1059"/>
      <c r="FO719" s="1059"/>
      <c r="FP719" s="1059"/>
      <c r="FQ719" s="1059"/>
      <c r="FR719" s="1059"/>
      <c r="FS719" s="1059"/>
      <c r="FT719" s="1059"/>
      <c r="FU719" s="1059"/>
      <c r="FV719" s="1059"/>
      <c r="FW719" s="1059"/>
      <c r="FX719" s="1059"/>
      <c r="FY719" s="1059"/>
      <c r="FZ719" s="1059"/>
      <c r="GA719" s="1059"/>
      <c r="GB719" s="1059"/>
      <c r="GC719" s="1059"/>
      <c r="GD719" s="1059"/>
      <c r="GE719" s="1059"/>
      <c r="GF719" s="1059"/>
      <c r="GG719" s="1059"/>
      <c r="GH719" s="1059"/>
      <c r="GI719" s="1059"/>
      <c r="GJ719" s="1059"/>
      <c r="GK719" s="1059"/>
      <c r="GL719" s="1059"/>
      <c r="GM719" s="1059"/>
      <c r="GN719" s="1059"/>
      <c r="GO719" s="1059"/>
      <c r="GP719" s="1059"/>
      <c r="GQ719" s="1059"/>
      <c r="GR719" s="1059"/>
      <c r="GS719" s="1059"/>
      <c r="GT719" s="1059"/>
      <c r="GU719" s="1059"/>
      <c r="GV719" s="1059"/>
      <c r="GW719" s="1059"/>
      <c r="GX719" s="1059"/>
      <c r="GY719" s="1059"/>
      <c r="GZ719" s="1059"/>
      <c r="HA719" s="1059"/>
      <c r="HB719" s="1059"/>
      <c r="HC719" s="1059"/>
      <c r="HD719" s="1059"/>
      <c r="HE719" s="1059"/>
      <c r="HF719" s="1059"/>
      <c r="HG719" s="1059"/>
      <c r="HH719" s="1059"/>
      <c r="HI719" s="1059"/>
      <c r="HJ719" s="1059"/>
      <c r="HK719" s="1059"/>
      <c r="HL719" s="1059"/>
      <c r="HM719" s="1059"/>
      <c r="HN719" s="1059"/>
      <c r="HO719" s="1059"/>
      <c r="HP719" s="1059"/>
      <c r="HQ719" s="1059"/>
      <c r="HR719" s="1059"/>
      <c r="HS719" s="1059"/>
      <c r="HT719" s="1059"/>
      <c r="HU719" s="1059"/>
      <c r="HV719" s="1059"/>
      <c r="HW719" s="1059"/>
      <c r="HX719" s="1059"/>
      <c r="HY719" s="1059"/>
      <c r="HZ719" s="1059"/>
      <c r="IA719" s="1059"/>
      <c r="IB719" s="1059"/>
      <c r="IC719" s="1059"/>
      <c r="ID719" s="1059"/>
      <c r="IE719" s="1059"/>
      <c r="IF719" s="1059"/>
      <c r="IG719" s="1059"/>
      <c r="IH719" s="1059"/>
      <c r="II719" s="1059"/>
      <c r="IJ719" s="1059"/>
      <c r="IK719" s="1059"/>
      <c r="IL719" s="1059"/>
      <c r="IM719" s="1059"/>
      <c r="IN719" s="1059"/>
      <c r="IO719" s="1059"/>
      <c r="IP719" s="1059"/>
      <c r="IQ719" s="1059"/>
      <c r="IR719" s="1059"/>
      <c r="IS719" s="1059"/>
      <c r="IT719" s="1059"/>
      <c r="IU719" s="1059"/>
      <c r="IV719" s="1059"/>
    </row>
    <row r="720" spans="1:256" s="1055" customFormat="1" ht="13.5" customHeight="1">
      <c r="A720" s="1057">
        <f>A716+1</f>
        <v>148</v>
      </c>
      <c r="B720" s="1050" t="s">
        <v>3333</v>
      </c>
      <c r="C720" s="936"/>
      <c r="D720" s="936"/>
      <c r="E720" s="996"/>
      <c r="F720" s="996"/>
      <c r="G720" s="3364" t="s">
        <v>381</v>
      </c>
      <c r="H720" s="3374"/>
      <c r="I720" s="933">
        <f>K4299</f>
        <v>149.50130000000001</v>
      </c>
      <c r="J720" s="1062"/>
      <c r="K720" s="1062">
        <f t="shared" si="72"/>
        <v>149.50130000000001</v>
      </c>
      <c r="L720" s="3372">
        <f t="shared" si="70"/>
        <v>149.5</v>
      </c>
      <c r="M720" s="3373"/>
      <c r="N720" s="1052"/>
      <c r="O720" s="1052"/>
      <c r="P720" s="1052"/>
      <c r="Q720" s="1052" t="s">
        <v>614</v>
      </c>
      <c r="R720" s="1052"/>
      <c r="S720" s="1052"/>
      <c r="T720" s="1052"/>
    </row>
    <row r="721" spans="1:20" s="1055" customFormat="1" ht="13.5" customHeight="1">
      <c r="A721" s="1027">
        <f>A720+1</f>
        <v>149</v>
      </c>
      <c r="B721" s="1050" t="s">
        <v>3334</v>
      </c>
      <c r="C721" s="936"/>
      <c r="D721" s="936"/>
      <c r="E721" s="936"/>
      <c r="F721" s="936"/>
      <c r="G721" s="3374" t="s">
        <v>381</v>
      </c>
      <c r="H721" s="3374"/>
      <c r="I721" s="933">
        <f>K4315</f>
        <v>105.98020000000001</v>
      </c>
      <c r="J721" s="1062"/>
      <c r="K721" s="1062">
        <f t="shared" si="72"/>
        <v>105.98020000000001</v>
      </c>
      <c r="L721" s="3372">
        <f t="shared" si="70"/>
        <v>106</v>
      </c>
      <c r="M721" s="3373"/>
      <c r="N721" s="1052"/>
      <c r="O721" s="1052"/>
      <c r="P721" s="1052"/>
      <c r="Q721" s="1052" t="s">
        <v>614</v>
      </c>
      <c r="R721" s="1052"/>
      <c r="S721" s="1052"/>
      <c r="T721" s="1052"/>
    </row>
    <row r="722" spans="1:20" s="1055" customFormat="1" ht="13.5" customHeight="1">
      <c r="A722" s="1027">
        <f>A721+1</f>
        <v>150</v>
      </c>
      <c r="B722" s="931" t="s">
        <v>3335</v>
      </c>
      <c r="C722" s="936"/>
      <c r="D722" s="936"/>
      <c r="E722" s="936"/>
      <c r="F722" s="936"/>
      <c r="G722" s="3374" t="s">
        <v>381</v>
      </c>
      <c r="H722" s="3374"/>
      <c r="I722" s="933">
        <f>K4353</f>
        <v>48.6</v>
      </c>
      <c r="J722" s="1062"/>
      <c r="K722" s="1062">
        <f>I722+J722</f>
        <v>48.6</v>
      </c>
      <c r="L722" s="3372">
        <f>ROUND(K722,1)</f>
        <v>48.6</v>
      </c>
      <c r="M722" s="3373"/>
      <c r="N722" s="1052"/>
      <c r="O722" s="1052"/>
      <c r="P722" s="1052"/>
      <c r="Q722" s="1052" t="s">
        <v>615</v>
      </c>
      <c r="R722" s="1052"/>
      <c r="S722" s="1052"/>
      <c r="T722" s="1052"/>
    </row>
    <row r="723" spans="1:20" s="714" customFormat="1" ht="13.5" customHeight="1">
      <c r="A723" s="1063">
        <f>A722+1</f>
        <v>151</v>
      </c>
      <c r="B723" s="999" t="s">
        <v>3336</v>
      </c>
      <c r="C723" s="996"/>
      <c r="D723" s="996"/>
      <c r="E723" s="996"/>
      <c r="F723" s="996"/>
      <c r="G723" s="3355" t="s">
        <v>381</v>
      </c>
      <c r="H723" s="3355"/>
      <c r="I723" s="713">
        <f>K4360</f>
        <v>441.83000000000004</v>
      </c>
      <c r="J723" s="713"/>
      <c r="K723" s="713">
        <f t="shared" si="72"/>
        <v>441.83000000000004</v>
      </c>
      <c r="L723" s="3356">
        <f t="shared" si="70"/>
        <v>441.8</v>
      </c>
      <c r="M723" s="3356"/>
      <c r="O723" s="716" t="s">
        <v>616</v>
      </c>
      <c r="R723" s="716" t="s">
        <v>616</v>
      </c>
      <c r="T723" s="723"/>
    </row>
    <row r="724" spans="1:20" s="714" customFormat="1" ht="13.5" customHeight="1">
      <c r="A724" s="1063">
        <f t="shared" ref="A724:A730" si="73">A723+1</f>
        <v>152</v>
      </c>
      <c r="B724" s="999" t="s">
        <v>3337</v>
      </c>
      <c r="C724" s="996"/>
      <c r="D724" s="996"/>
      <c r="E724" s="996"/>
      <c r="F724" s="996"/>
      <c r="G724" s="3355" t="s">
        <v>381</v>
      </c>
      <c r="H724" s="3355"/>
      <c r="I724" s="713">
        <f>K4370</f>
        <v>99.8</v>
      </c>
      <c r="J724" s="713"/>
      <c r="K724" s="713">
        <f t="shared" si="72"/>
        <v>99.8</v>
      </c>
      <c r="L724" s="3356">
        <f t="shared" si="70"/>
        <v>99.8</v>
      </c>
      <c r="M724" s="3356"/>
      <c r="O724" s="716" t="s">
        <v>617</v>
      </c>
      <c r="Q724" s="716"/>
      <c r="R724" s="716" t="s">
        <v>617</v>
      </c>
      <c r="T724" s="723"/>
    </row>
    <row r="725" spans="1:20" s="714" customFormat="1" ht="13.5" customHeight="1">
      <c r="A725" s="1063">
        <f t="shared" si="73"/>
        <v>153</v>
      </c>
      <c r="B725" s="999" t="s">
        <v>618</v>
      </c>
      <c r="C725" s="996"/>
      <c r="D725" s="996"/>
      <c r="E725" s="996"/>
      <c r="F725" s="996"/>
      <c r="G725" s="3355" t="s">
        <v>381</v>
      </c>
      <c r="H725" s="3355"/>
      <c r="I725" s="713">
        <f>K4378</f>
        <v>196.79</v>
      </c>
      <c r="J725" s="713"/>
      <c r="K725" s="713">
        <f t="shared" si="72"/>
        <v>196.79</v>
      </c>
      <c r="L725" s="3356">
        <f t="shared" si="70"/>
        <v>196.8</v>
      </c>
      <c r="M725" s="3356"/>
      <c r="O725" s="716" t="s">
        <v>620</v>
      </c>
      <c r="Q725" s="716" t="s">
        <v>619</v>
      </c>
      <c r="R725" s="716" t="s">
        <v>620</v>
      </c>
      <c r="T725" s="723"/>
    </row>
    <row r="726" spans="1:20" s="1055" customFormat="1" ht="13.5" customHeight="1">
      <c r="A726" s="1027">
        <f>A725+1</f>
        <v>154</v>
      </c>
      <c r="B726" s="931" t="s">
        <v>621</v>
      </c>
      <c r="C726" s="936"/>
      <c r="D726" s="936"/>
      <c r="E726" s="936"/>
      <c r="F726" s="936"/>
      <c r="G726" s="3374" t="s">
        <v>390</v>
      </c>
      <c r="H726" s="3374"/>
      <c r="I726" s="933">
        <f>K4386</f>
        <v>2.4</v>
      </c>
      <c r="J726" s="1062"/>
      <c r="K726" s="1062">
        <f t="shared" si="72"/>
        <v>2.4</v>
      </c>
      <c r="L726" s="3372">
        <f>ROUND(K726,1)</f>
        <v>2.4</v>
      </c>
      <c r="M726" s="3372"/>
      <c r="N726" s="1052"/>
      <c r="O726" s="1052"/>
      <c r="P726" s="1052"/>
      <c r="Q726" s="1052"/>
      <c r="R726" s="1052"/>
      <c r="S726" s="1052"/>
    </row>
    <row r="727" spans="1:20" s="1055" customFormat="1" ht="13.5" customHeight="1">
      <c r="A727" s="1027">
        <f>A726+1</f>
        <v>155</v>
      </c>
      <c r="B727" s="931" t="s">
        <v>622</v>
      </c>
      <c r="C727" s="936"/>
      <c r="D727" s="936"/>
      <c r="E727" s="936"/>
      <c r="F727" s="936"/>
      <c r="G727" s="3374" t="s">
        <v>390</v>
      </c>
      <c r="H727" s="3374"/>
      <c r="I727" s="933">
        <f>K4394</f>
        <v>2</v>
      </c>
      <c r="J727" s="1062"/>
      <c r="K727" s="1062">
        <f t="shared" si="72"/>
        <v>2</v>
      </c>
      <c r="L727" s="3372">
        <f>ROUND(K727,1)</f>
        <v>2</v>
      </c>
      <c r="M727" s="3372"/>
      <c r="N727" s="1052"/>
      <c r="O727" s="1052"/>
      <c r="P727" s="1052"/>
      <c r="Q727" s="1052"/>
      <c r="R727" s="1052"/>
      <c r="S727" s="1052"/>
    </row>
    <row r="728" spans="1:20" s="714" customFormat="1" ht="13.5" customHeight="1">
      <c r="A728" s="1018">
        <f>A727+1</f>
        <v>156</v>
      </c>
      <c r="B728" s="999" t="s">
        <v>3338</v>
      </c>
      <c r="C728" s="996"/>
      <c r="D728" s="996"/>
      <c r="E728" s="996"/>
      <c r="F728" s="996"/>
      <c r="G728" s="3355" t="s">
        <v>381</v>
      </c>
      <c r="H728" s="3355"/>
      <c r="I728" s="713">
        <f>K4399</f>
        <v>541.63</v>
      </c>
      <c r="J728" s="713"/>
      <c r="K728" s="713">
        <f t="shared" si="72"/>
        <v>541.63</v>
      </c>
      <c r="L728" s="3356">
        <f t="shared" si="70"/>
        <v>541.6</v>
      </c>
      <c r="M728" s="3356"/>
      <c r="O728" s="716" t="s">
        <v>617</v>
      </c>
      <c r="Q728" s="716" t="s">
        <v>623</v>
      </c>
      <c r="R728" s="716" t="s">
        <v>617</v>
      </c>
      <c r="T728" s="723"/>
    </row>
    <row r="729" spans="1:20" s="714" customFormat="1" ht="13.5" customHeight="1">
      <c r="A729" s="1018">
        <f>A728+1</f>
        <v>157</v>
      </c>
      <c r="B729" s="999" t="s">
        <v>3339</v>
      </c>
      <c r="C729" s="996"/>
      <c r="D729" s="996"/>
      <c r="E729" s="996"/>
      <c r="F729" s="996"/>
      <c r="G729" s="3355" t="s">
        <v>381</v>
      </c>
      <c r="H729" s="3355"/>
      <c r="I729" s="713">
        <f>K4404</f>
        <v>551.5</v>
      </c>
      <c r="J729" s="713"/>
      <c r="K729" s="713">
        <f t="shared" si="72"/>
        <v>551.5</v>
      </c>
      <c r="L729" s="3356">
        <f t="shared" si="70"/>
        <v>551.5</v>
      </c>
      <c r="M729" s="3356"/>
      <c r="O729" s="716" t="s">
        <v>625</v>
      </c>
      <c r="Q729" s="716" t="s">
        <v>624</v>
      </c>
      <c r="R729" s="716" t="s">
        <v>625</v>
      </c>
      <c r="T729" s="723"/>
    </row>
    <row r="730" spans="1:20" s="1055" customFormat="1" ht="13.5" customHeight="1">
      <c r="A730" s="1027">
        <f t="shared" si="73"/>
        <v>158</v>
      </c>
      <c r="B730" s="931" t="s">
        <v>3340</v>
      </c>
      <c r="C730" s="936"/>
      <c r="D730" s="936"/>
      <c r="E730" s="936"/>
      <c r="F730" s="936"/>
      <c r="G730" s="3374" t="s">
        <v>381</v>
      </c>
      <c r="H730" s="3374"/>
      <c r="I730" s="933">
        <f>K4418</f>
        <v>615.89678445229674</v>
      </c>
      <c r="J730" s="1062"/>
      <c r="K730" s="1062">
        <f t="shared" si="72"/>
        <v>615.89678445229674</v>
      </c>
      <c r="L730" s="3372">
        <f t="shared" si="70"/>
        <v>615.9</v>
      </c>
      <c r="M730" s="3372"/>
      <c r="N730" s="1052"/>
      <c r="O730" s="1052"/>
      <c r="P730" s="1052"/>
      <c r="Q730" s="1052" t="s">
        <v>624</v>
      </c>
      <c r="R730" s="1052"/>
      <c r="S730" s="1052"/>
    </row>
    <row r="731" spans="1:20" s="714" customFormat="1" ht="13.5" customHeight="1">
      <c r="A731" s="1018">
        <f>A730+1</f>
        <v>159</v>
      </c>
      <c r="B731" s="999" t="s">
        <v>3127</v>
      </c>
      <c r="C731" s="996"/>
      <c r="D731" s="996"/>
      <c r="E731" s="996"/>
      <c r="F731" s="996"/>
      <c r="G731" s="3355" t="s">
        <v>390</v>
      </c>
      <c r="H731" s="3355"/>
      <c r="I731" s="713">
        <f>K4428</f>
        <v>22.02</v>
      </c>
      <c r="J731" s="713"/>
      <c r="K731" s="713">
        <f t="shared" si="72"/>
        <v>22.02</v>
      </c>
      <c r="L731" s="3356">
        <f t="shared" si="70"/>
        <v>22</v>
      </c>
      <c r="M731" s="3356"/>
      <c r="O731" s="716" t="s">
        <v>626</v>
      </c>
      <c r="Q731" s="716"/>
      <c r="R731" s="716" t="s">
        <v>626</v>
      </c>
      <c r="T731" s="723"/>
    </row>
    <row r="732" spans="1:20" s="1055" customFormat="1" ht="13.5" customHeight="1">
      <c r="A732" s="1027">
        <f>A731+1</f>
        <v>160</v>
      </c>
      <c r="B732" s="977" t="s">
        <v>3341</v>
      </c>
      <c r="C732" s="943"/>
      <c r="D732" s="943"/>
      <c r="E732" s="936"/>
      <c r="F732" s="936"/>
      <c r="G732" s="3374" t="s">
        <v>381</v>
      </c>
      <c r="H732" s="3374"/>
      <c r="I732" s="933">
        <f>K4433</f>
        <v>5.93</v>
      </c>
      <c r="J732" s="1062"/>
      <c r="K732" s="1062">
        <f t="shared" si="72"/>
        <v>5.93</v>
      </c>
      <c r="L732" s="3372">
        <f t="shared" si="70"/>
        <v>5.9</v>
      </c>
      <c r="M732" s="3372"/>
      <c r="N732" s="1052"/>
      <c r="O732" s="1052"/>
      <c r="P732" s="1052"/>
      <c r="Q732" s="1052"/>
      <c r="R732" s="1052"/>
      <c r="S732" s="1052"/>
    </row>
    <row r="733" spans="1:20" s="1055" customFormat="1" ht="13.5" customHeight="1">
      <c r="A733" s="1027">
        <f>A732+1</f>
        <v>161</v>
      </c>
      <c r="B733" s="931" t="s">
        <v>3342</v>
      </c>
      <c r="C733" s="936"/>
      <c r="D733" s="936"/>
      <c r="E733" s="936"/>
      <c r="F733" s="936"/>
      <c r="G733" s="3374"/>
      <c r="H733" s="3374"/>
      <c r="I733" s="933"/>
      <c r="J733" s="1062"/>
      <c r="K733" s="1062"/>
      <c r="L733" s="3372"/>
      <c r="M733" s="3372"/>
      <c r="N733" s="1052"/>
      <c r="O733" s="1052"/>
      <c r="P733" s="1052"/>
      <c r="Q733" s="1052"/>
      <c r="R733" s="1052"/>
      <c r="S733" s="1052"/>
    </row>
    <row r="734" spans="1:20" s="1055" customFormat="1" ht="13.5" customHeight="1">
      <c r="A734" s="1064" t="s">
        <v>627</v>
      </c>
      <c r="B734" s="931" t="str">
        <f>B4436</f>
        <v>Hire and running charges of PRR as per mechanical wings</v>
      </c>
      <c r="C734" s="936"/>
      <c r="D734" s="936"/>
      <c r="E734" s="936"/>
      <c r="F734" s="936"/>
      <c r="G734" s="3374" t="s">
        <v>381</v>
      </c>
      <c r="H734" s="3374"/>
      <c r="I734" s="933">
        <f>K4439</f>
        <v>9.8800000000000008</v>
      </c>
      <c r="J734" s="1062"/>
      <c r="K734" s="1062">
        <f>I734+J734</f>
        <v>9.8800000000000008</v>
      </c>
      <c r="L734" s="3372">
        <f>ROUND(K734,1)</f>
        <v>9.9</v>
      </c>
      <c r="M734" s="3372"/>
      <c r="N734" s="1052"/>
      <c r="O734" s="1052"/>
      <c r="P734" s="1052"/>
      <c r="Q734" s="1052"/>
      <c r="R734" s="1052"/>
      <c r="S734" s="1052"/>
    </row>
    <row r="735" spans="1:20" s="1055" customFormat="1" ht="13.5" customHeight="1">
      <c r="A735" s="1064" t="s">
        <v>628</v>
      </c>
      <c r="B735" s="931" t="str">
        <f>B4441</f>
        <v>cost of watering with an av. Lead of 5km by truck ( Cosidering carrying water 20nos of Maxphalt drums in each trip) 5trips of water required for 390 cum of earth.</v>
      </c>
      <c r="C735" s="936"/>
      <c r="D735" s="936"/>
      <c r="E735" s="936"/>
      <c r="F735" s="936"/>
      <c r="G735" s="3374" t="s">
        <v>381</v>
      </c>
      <c r="H735" s="3374"/>
      <c r="I735" s="933">
        <f>K4445</f>
        <v>1153.08</v>
      </c>
      <c r="J735" s="1062"/>
      <c r="K735" s="1062">
        <f>I735+J735</f>
        <v>1153.08</v>
      </c>
      <c r="L735" s="3372">
        <f>ROUND(K735,1)</f>
        <v>1153.0999999999999</v>
      </c>
      <c r="M735" s="3372"/>
      <c r="N735" s="1052"/>
      <c r="O735" s="1052"/>
      <c r="P735" s="1052"/>
      <c r="Q735" s="1052"/>
      <c r="R735" s="1052"/>
      <c r="S735" s="1052"/>
    </row>
    <row r="736" spans="1:20" s="1055" customFormat="1" ht="13.5" customHeight="1">
      <c r="A736" s="1064" t="s">
        <v>629</v>
      </c>
      <c r="B736" s="931" t="str">
        <f>B4446</f>
        <v>Labour chages of spinkling water,labour required for 390 cum 50 Nos</v>
      </c>
      <c r="C736" s="936"/>
      <c r="D736" s="936"/>
      <c r="E736" s="936"/>
      <c r="F736" s="936"/>
      <c r="G736" s="3374" t="s">
        <v>381</v>
      </c>
      <c r="H736" s="3374"/>
      <c r="I736" s="933">
        <f>K4449</f>
        <v>2329.6</v>
      </c>
      <c r="J736" s="1062"/>
      <c r="K736" s="1062">
        <f>I736+J736</f>
        <v>2329.6</v>
      </c>
      <c r="L736" s="3372">
        <f>ROUND(K736,1)</f>
        <v>2329.6</v>
      </c>
      <c r="M736" s="3372"/>
      <c r="N736" s="1052"/>
      <c r="O736" s="1052"/>
      <c r="P736" s="1052"/>
      <c r="Q736" s="1052"/>
      <c r="R736" s="1052"/>
      <c r="S736" s="1052"/>
    </row>
    <row r="737" spans="1:20" s="714" customFormat="1" ht="13.5" customHeight="1">
      <c r="A737" s="1018">
        <f>A733+1</f>
        <v>162</v>
      </c>
      <c r="B737" s="996" t="s">
        <v>3343</v>
      </c>
      <c r="C737" s="996"/>
      <c r="D737" s="996"/>
      <c r="E737" s="996"/>
      <c r="F737" s="996"/>
      <c r="G737" s="3364" t="s">
        <v>381</v>
      </c>
      <c r="H737" s="3365"/>
      <c r="I737" s="713">
        <f>K4459</f>
        <v>1.3922999999999999</v>
      </c>
      <c r="J737" s="713"/>
      <c r="K737" s="713">
        <f>I737+J737</f>
        <v>1.3922999999999999</v>
      </c>
      <c r="L737" s="3356">
        <f>ROUND(K737,1)</f>
        <v>1.4</v>
      </c>
      <c r="M737" s="3356"/>
      <c r="O737" s="716" t="s">
        <v>630</v>
      </c>
      <c r="R737" s="716" t="s">
        <v>630</v>
      </c>
      <c r="T737" s="723"/>
    </row>
    <row r="738" spans="1:20" s="1055" customFormat="1" ht="13.5" customHeight="1">
      <c r="A738" s="1027">
        <f>A737+1</f>
        <v>163</v>
      </c>
      <c r="B738" s="931" t="s">
        <v>3344</v>
      </c>
      <c r="C738" s="936"/>
      <c r="D738" s="936"/>
      <c r="E738" s="936"/>
      <c r="F738" s="936"/>
      <c r="G738" s="3374" t="s">
        <v>381</v>
      </c>
      <c r="H738" s="3374"/>
      <c r="I738" s="933">
        <f>K4468</f>
        <v>8.1999999999999993</v>
      </c>
      <c r="J738" s="1062"/>
      <c r="K738" s="1062">
        <f>I738+J738</f>
        <v>8.1999999999999993</v>
      </c>
      <c r="L738" s="3372">
        <f>ROUND(K738,1)</f>
        <v>8.1999999999999993</v>
      </c>
      <c r="M738" s="3373"/>
      <c r="N738" s="1052"/>
      <c r="O738" s="1052"/>
      <c r="P738" s="1052"/>
      <c r="Q738" s="1052"/>
      <c r="R738" s="1052"/>
      <c r="S738" s="1052"/>
      <c r="T738" s="1052"/>
    </row>
    <row r="739" spans="1:20" s="1055" customFormat="1" ht="13.5" customHeight="1">
      <c r="A739" s="1027">
        <f>A738+1</f>
        <v>164</v>
      </c>
      <c r="B739" s="931" t="s">
        <v>3345</v>
      </c>
      <c r="C739" s="936"/>
      <c r="D739" s="936"/>
      <c r="E739" s="936"/>
      <c r="F739" s="936"/>
      <c r="G739" s="3374" t="s">
        <v>381</v>
      </c>
      <c r="H739" s="3374"/>
      <c r="I739" s="933"/>
      <c r="J739" s="1062"/>
      <c r="K739" s="1062"/>
      <c r="L739" s="3372"/>
      <c r="M739" s="3373"/>
      <c r="N739" s="1052"/>
      <c r="O739" s="1052"/>
      <c r="P739" s="1052"/>
      <c r="Q739" s="1052"/>
      <c r="R739" s="1052"/>
      <c r="S739" s="1052"/>
      <c r="T739" s="1052"/>
    </row>
    <row r="740" spans="1:20" s="1055" customFormat="1" ht="13.5" customHeight="1">
      <c r="A740" s="1064" t="s">
        <v>554</v>
      </c>
      <c r="B740" s="931" t="str">
        <f>B4471</f>
        <v>50M to 75M</v>
      </c>
      <c r="C740" s="936"/>
      <c r="D740" s="936"/>
      <c r="E740" s="936"/>
      <c r="F740" s="936"/>
      <c r="G740" s="3374" t="s">
        <v>381</v>
      </c>
      <c r="H740" s="3374"/>
      <c r="I740" s="933">
        <f>K4477</f>
        <v>5.57</v>
      </c>
      <c r="J740" s="1062"/>
      <c r="K740" s="1062">
        <f t="shared" ref="K740:K749" si="74">I740+J740</f>
        <v>5.57</v>
      </c>
      <c r="L740" s="3372">
        <f t="shared" ref="L740:L745" si="75">ROUND(K740,1)</f>
        <v>5.6</v>
      </c>
      <c r="M740" s="3373"/>
      <c r="N740" s="1052"/>
      <c r="O740" s="1052"/>
      <c r="P740" s="1052"/>
      <c r="Q740" s="1052"/>
      <c r="R740" s="1052"/>
      <c r="S740" s="1052"/>
      <c r="T740" s="1052"/>
    </row>
    <row r="741" spans="1:20" s="1055" customFormat="1" ht="13.5" customHeight="1">
      <c r="A741" s="1064" t="s">
        <v>556</v>
      </c>
      <c r="B741" s="931" t="str">
        <f>B4478</f>
        <v>75M to 100M</v>
      </c>
      <c r="C741" s="936"/>
      <c r="D741" s="936"/>
      <c r="E741" s="936"/>
      <c r="F741" s="936"/>
      <c r="G741" s="3374" t="s">
        <v>381</v>
      </c>
      <c r="H741" s="3374"/>
      <c r="I741" s="933">
        <f>K4484</f>
        <v>6.5</v>
      </c>
      <c r="J741" s="1062"/>
      <c r="K741" s="1062">
        <f t="shared" si="74"/>
        <v>6.5</v>
      </c>
      <c r="L741" s="3375">
        <f t="shared" si="75"/>
        <v>6.5</v>
      </c>
      <c r="M741" s="3376"/>
      <c r="N741" s="1052"/>
      <c r="O741" s="1052"/>
      <c r="P741" s="1052"/>
      <c r="Q741" s="1052"/>
      <c r="R741" s="1052"/>
      <c r="S741" s="1052"/>
      <c r="T741" s="1052"/>
    </row>
    <row r="742" spans="1:20" s="1055" customFormat="1" ht="13.5" customHeight="1">
      <c r="A742" s="1064" t="s">
        <v>558</v>
      </c>
      <c r="B742" s="931" t="str">
        <f>B4485</f>
        <v>100M to 125M</v>
      </c>
      <c r="C742" s="936"/>
      <c r="D742" s="936"/>
      <c r="E742" s="936"/>
      <c r="F742" s="936"/>
      <c r="G742" s="3374" t="s">
        <v>381</v>
      </c>
      <c r="H742" s="3374"/>
      <c r="I742" s="933">
        <f>K4491</f>
        <v>7.43</v>
      </c>
      <c r="J742" s="1062"/>
      <c r="K742" s="1062">
        <f t="shared" si="74"/>
        <v>7.43</v>
      </c>
      <c r="L742" s="3375">
        <f t="shared" si="75"/>
        <v>7.4</v>
      </c>
      <c r="M742" s="3376"/>
      <c r="N742" s="1052"/>
      <c r="O742" s="1052"/>
      <c r="P742" s="1052"/>
      <c r="Q742" s="1052"/>
      <c r="R742" s="1052"/>
      <c r="S742" s="1052"/>
      <c r="T742" s="1052"/>
    </row>
    <row r="743" spans="1:20" s="1055" customFormat="1" ht="13.5" customHeight="1">
      <c r="A743" s="1064" t="s">
        <v>560</v>
      </c>
      <c r="B743" s="931" t="str">
        <f>B4492</f>
        <v>125M to 150M</v>
      </c>
      <c r="C743" s="936"/>
      <c r="D743" s="936"/>
      <c r="E743" s="936"/>
      <c r="F743" s="936"/>
      <c r="G743" s="3374" t="s">
        <v>381</v>
      </c>
      <c r="H743" s="3374"/>
      <c r="I743" s="933">
        <f>K4498</f>
        <v>8.35</v>
      </c>
      <c r="J743" s="1062"/>
      <c r="K743" s="1062">
        <f t="shared" si="74"/>
        <v>8.35</v>
      </c>
      <c r="L743" s="3375">
        <f t="shared" si="75"/>
        <v>8.4</v>
      </c>
      <c r="M743" s="3376"/>
      <c r="N743" s="1052"/>
      <c r="O743" s="1052"/>
      <c r="P743" s="1052"/>
      <c r="Q743" s="1052"/>
      <c r="R743" s="1052"/>
      <c r="S743" s="1052"/>
      <c r="T743" s="1052"/>
    </row>
    <row r="744" spans="1:20" s="1055" customFormat="1" ht="13.5" customHeight="1">
      <c r="A744" s="1064" t="s">
        <v>562</v>
      </c>
      <c r="B744" s="931" t="str">
        <f>B4499</f>
        <v>150M to 175M</v>
      </c>
      <c r="C744" s="936"/>
      <c r="D744" s="936"/>
      <c r="E744" s="936"/>
      <c r="F744" s="936"/>
      <c r="G744" s="3374" t="s">
        <v>381</v>
      </c>
      <c r="H744" s="3374"/>
      <c r="I744" s="933">
        <f>K4505</f>
        <v>9.2799999999999994</v>
      </c>
      <c r="J744" s="1062"/>
      <c r="K744" s="1062">
        <f t="shared" si="74"/>
        <v>9.2799999999999994</v>
      </c>
      <c r="L744" s="3375">
        <f t="shared" si="75"/>
        <v>9.3000000000000007</v>
      </c>
      <c r="M744" s="3376"/>
      <c r="N744" s="1052"/>
      <c r="O744" s="1052"/>
      <c r="P744" s="1052"/>
      <c r="Q744" s="1052"/>
      <c r="R744" s="1052"/>
      <c r="S744" s="1052"/>
      <c r="T744" s="1052"/>
    </row>
    <row r="745" spans="1:20" s="1055" customFormat="1" ht="13.5" customHeight="1">
      <c r="A745" s="1065">
        <f>A739+1</f>
        <v>165</v>
      </c>
      <c r="B745" s="931" t="s">
        <v>3346</v>
      </c>
      <c r="C745" s="936"/>
      <c r="D745" s="936"/>
      <c r="E745" s="936"/>
      <c r="F745" s="936"/>
      <c r="G745" s="3374" t="s">
        <v>381</v>
      </c>
      <c r="H745" s="3374"/>
      <c r="I745" s="933">
        <f>K4513</f>
        <v>7.61</v>
      </c>
      <c r="J745" s="1062"/>
      <c r="K745" s="1062">
        <f t="shared" si="74"/>
        <v>7.61</v>
      </c>
      <c r="L745" s="3375">
        <f t="shared" si="75"/>
        <v>7.6</v>
      </c>
      <c r="M745" s="3376"/>
      <c r="N745" s="1052"/>
      <c r="O745" s="1052"/>
      <c r="P745" s="1052"/>
      <c r="Q745" s="1052"/>
      <c r="R745" s="1052"/>
      <c r="S745" s="1052"/>
      <c r="T745" s="1052"/>
    </row>
    <row r="746" spans="1:20" s="1055" customFormat="1" ht="13.5" customHeight="1">
      <c r="A746" s="1018">
        <f>A745+1</f>
        <v>166</v>
      </c>
      <c r="B746" s="999" t="s">
        <v>631</v>
      </c>
      <c r="C746" s="936"/>
      <c r="D746" s="936"/>
      <c r="E746" s="996"/>
      <c r="F746" s="1000"/>
      <c r="G746" s="3377" t="s">
        <v>492</v>
      </c>
      <c r="H746" s="3377"/>
      <c r="I746" s="1066">
        <f>K4522</f>
        <v>1931.41</v>
      </c>
      <c r="J746" s="1067"/>
      <c r="K746" s="1067">
        <f t="shared" si="74"/>
        <v>1931.41</v>
      </c>
      <c r="L746" s="3378">
        <f>ROUND(K746,1)</f>
        <v>1931.4</v>
      </c>
      <c r="M746" s="3379"/>
      <c r="N746" s="1052"/>
      <c r="O746" s="1052"/>
      <c r="P746" s="1052"/>
      <c r="Q746" s="1052"/>
      <c r="R746" s="1052"/>
      <c r="S746" s="1052"/>
      <c r="T746" s="1052"/>
    </row>
    <row r="747" spans="1:20" s="1055" customFormat="1" ht="13.5" customHeight="1">
      <c r="A747" s="1018">
        <f>A746+1</f>
        <v>167</v>
      </c>
      <c r="B747" s="999" t="s">
        <v>632</v>
      </c>
      <c r="C747" s="936"/>
      <c r="D747" s="936"/>
      <c r="E747" s="996"/>
      <c r="F747" s="1000"/>
      <c r="G747" s="3377" t="s">
        <v>492</v>
      </c>
      <c r="H747" s="3377"/>
      <c r="I747" s="1066">
        <f>K4533</f>
        <v>2184.4299999999998</v>
      </c>
      <c r="J747" s="1067"/>
      <c r="K747" s="1067">
        <f t="shared" si="74"/>
        <v>2184.4299999999998</v>
      </c>
      <c r="L747" s="3378">
        <f>ROUND(K747,1)</f>
        <v>2184.4</v>
      </c>
      <c r="M747" s="3379"/>
      <c r="N747" s="1052"/>
      <c r="O747" s="1052"/>
      <c r="P747" s="1052"/>
      <c r="Q747" s="1052"/>
      <c r="R747" s="1052"/>
      <c r="S747" s="1052"/>
      <c r="T747" s="1052"/>
    </row>
    <row r="748" spans="1:20" s="1055" customFormat="1" ht="13.5" customHeight="1">
      <c r="A748" s="1018">
        <f>A747+1</f>
        <v>168</v>
      </c>
      <c r="B748" s="999" t="s">
        <v>631</v>
      </c>
      <c r="C748" s="936"/>
      <c r="D748" s="936"/>
      <c r="E748" s="996"/>
      <c r="F748" s="1000"/>
      <c r="G748" s="3377" t="s">
        <v>492</v>
      </c>
      <c r="H748" s="3377"/>
      <c r="I748" s="1066">
        <f>K4542</f>
        <v>2744.86</v>
      </c>
      <c r="J748" s="1067"/>
      <c r="K748" s="1067">
        <f t="shared" si="74"/>
        <v>2744.86</v>
      </c>
      <c r="L748" s="3378">
        <f>ROUND(K748,1)</f>
        <v>2744.9</v>
      </c>
      <c r="M748" s="3379"/>
      <c r="N748" s="1052"/>
      <c r="O748" s="1052"/>
      <c r="P748" s="1052"/>
      <c r="Q748" s="1052"/>
      <c r="R748" s="1052"/>
      <c r="S748" s="1052"/>
      <c r="T748" s="1052"/>
    </row>
    <row r="749" spans="1:20" s="1055" customFormat="1" ht="13.5" customHeight="1">
      <c r="A749" s="1018">
        <f>A748+1</f>
        <v>169</v>
      </c>
      <c r="B749" s="999" t="s">
        <v>632</v>
      </c>
      <c r="C749" s="936"/>
      <c r="D749" s="936"/>
      <c r="E749" s="996"/>
      <c r="F749" s="1000"/>
      <c r="G749" s="3377" t="s">
        <v>492</v>
      </c>
      <c r="H749" s="3377"/>
      <c r="I749" s="1066">
        <f>K4553</f>
        <v>3105.03</v>
      </c>
      <c r="J749" s="1067"/>
      <c r="K749" s="1067">
        <f t="shared" si="74"/>
        <v>3105.03</v>
      </c>
      <c r="L749" s="3378">
        <f>ROUND(K749,1)</f>
        <v>3105</v>
      </c>
      <c r="M749" s="3379"/>
      <c r="N749" s="1052"/>
      <c r="O749" s="1052"/>
      <c r="P749" s="1052"/>
      <c r="Q749" s="1052"/>
      <c r="R749" s="1052"/>
      <c r="S749" s="1052"/>
      <c r="T749" s="1052"/>
    </row>
    <row r="750" spans="1:20" s="1055" customFormat="1" ht="13.5" customHeight="1">
      <c r="A750" s="1027">
        <f>A749+1</f>
        <v>170</v>
      </c>
      <c r="B750" s="931" t="s">
        <v>633</v>
      </c>
      <c r="C750" s="936"/>
      <c r="D750" s="936"/>
      <c r="E750" s="936"/>
      <c r="F750" s="936"/>
      <c r="G750" s="3374"/>
      <c r="H750" s="3374"/>
      <c r="I750" s="933"/>
      <c r="J750" s="1062"/>
      <c r="K750" s="1062"/>
      <c r="L750" s="3375"/>
      <c r="M750" s="3376"/>
      <c r="N750" s="1052"/>
      <c r="O750" s="1052"/>
      <c r="P750" s="1052"/>
      <c r="Q750" s="1052"/>
      <c r="R750" s="1052"/>
      <c r="S750" s="1052"/>
      <c r="T750" s="1052"/>
    </row>
    <row r="751" spans="1:20" s="1055" customFormat="1" ht="13.5" customHeight="1">
      <c r="A751" s="1027" t="s">
        <v>634</v>
      </c>
      <c r="B751" s="1050" t="s">
        <v>635</v>
      </c>
      <c r="C751" s="936"/>
      <c r="D751" s="936"/>
      <c r="E751" s="936"/>
      <c r="F751" s="936"/>
      <c r="G751" s="3374"/>
      <c r="H751" s="3374"/>
      <c r="I751" s="933"/>
      <c r="J751" s="1062"/>
      <c r="K751" s="1062"/>
      <c r="L751" s="3375"/>
      <c r="M751" s="3376"/>
      <c r="N751" s="1052"/>
      <c r="O751" s="1052"/>
      <c r="P751" s="1052"/>
      <c r="Q751" s="1052"/>
      <c r="R751" s="1052"/>
      <c r="S751" s="1052"/>
      <c r="T751" s="1052"/>
    </row>
    <row r="752" spans="1:20" s="1055" customFormat="1" ht="13.5" customHeight="1">
      <c r="A752" s="1027" t="s">
        <v>413</v>
      </c>
      <c r="B752" s="931" t="s">
        <v>636</v>
      </c>
      <c r="C752" s="936"/>
      <c r="D752" s="936"/>
      <c r="E752" s="936"/>
      <c r="F752" s="936"/>
      <c r="G752" s="3374" t="s">
        <v>381</v>
      </c>
      <c r="H752" s="3374"/>
      <c r="I752" s="933">
        <f>K4557</f>
        <v>71.285799999999995</v>
      </c>
      <c r="J752" s="1062"/>
      <c r="K752" s="1062">
        <f>I752+J752</f>
        <v>71.285799999999995</v>
      </c>
      <c r="L752" s="3375">
        <f>ROUND(K752,1)</f>
        <v>71.3</v>
      </c>
      <c r="M752" s="3376"/>
      <c r="N752" s="1052"/>
      <c r="O752" s="1052" t="s">
        <v>3179</v>
      </c>
      <c r="P752" s="1052"/>
      <c r="Q752" s="1052"/>
      <c r="R752" s="1052"/>
      <c r="S752" s="1052"/>
      <c r="T752" s="1052"/>
    </row>
    <row r="753" spans="1:20" s="1055" customFormat="1" ht="13.5" customHeight="1">
      <c r="A753" s="1027" t="s">
        <v>415</v>
      </c>
      <c r="B753" s="931" t="s">
        <v>637</v>
      </c>
      <c r="C753" s="936"/>
      <c r="D753" s="936"/>
      <c r="E753" s="936"/>
      <c r="F753" s="936"/>
      <c r="G753" s="3374" t="s">
        <v>381</v>
      </c>
      <c r="H753" s="3374"/>
      <c r="I753" s="933">
        <f>K4558</f>
        <v>98.017900000000012</v>
      </c>
      <c r="J753" s="1062"/>
      <c r="K753" s="1062">
        <f>I753+J753</f>
        <v>98.017900000000012</v>
      </c>
      <c r="L753" s="3375">
        <f>ROUND(K753,1)</f>
        <v>98</v>
      </c>
      <c r="M753" s="3376"/>
      <c r="N753" s="1052"/>
      <c r="O753" s="1052" t="s">
        <v>3179</v>
      </c>
      <c r="P753" s="1052"/>
      <c r="Q753" s="1052"/>
      <c r="R753" s="1052"/>
      <c r="S753" s="1052"/>
      <c r="T753" s="1052"/>
    </row>
    <row r="754" spans="1:20" s="1055" customFormat="1" ht="13.5" customHeight="1">
      <c r="A754" s="1027" t="s">
        <v>638</v>
      </c>
      <c r="B754" s="931" t="s">
        <v>639</v>
      </c>
      <c r="C754" s="936"/>
      <c r="D754" s="936"/>
      <c r="E754" s="936"/>
      <c r="F754" s="936"/>
      <c r="G754" s="3374" t="s">
        <v>381</v>
      </c>
      <c r="H754" s="3374"/>
      <c r="I754" s="933">
        <f>K4559</f>
        <v>95.790199999999999</v>
      </c>
      <c r="J754" s="1062"/>
      <c r="K754" s="1062">
        <f>I754+J754</f>
        <v>95.790199999999999</v>
      </c>
      <c r="L754" s="3375">
        <f>ROUND(K754,1)</f>
        <v>95.8</v>
      </c>
      <c r="M754" s="3376"/>
      <c r="N754" s="1052"/>
      <c r="O754" s="1052" t="s">
        <v>3179</v>
      </c>
      <c r="P754" s="1052"/>
      <c r="Q754" s="1052"/>
      <c r="R754" s="1052"/>
      <c r="S754" s="1052"/>
      <c r="T754" s="1052"/>
    </row>
    <row r="755" spans="1:20" s="1055" customFormat="1" ht="13.5" customHeight="1">
      <c r="A755" s="1027" t="s">
        <v>640</v>
      </c>
      <c r="B755" s="931" t="s">
        <v>641</v>
      </c>
      <c r="C755" s="936"/>
      <c r="D755" s="936"/>
      <c r="E755" s="936"/>
      <c r="F755" s="936"/>
      <c r="G755" s="3374" t="s">
        <v>381</v>
      </c>
      <c r="H755" s="3374"/>
      <c r="I755" s="933">
        <f>K4560</f>
        <v>149.38819999999998</v>
      </c>
      <c r="J755" s="1062"/>
      <c r="K755" s="1062">
        <f>I755+J755</f>
        <v>149.38819999999998</v>
      </c>
      <c r="L755" s="3375">
        <f>ROUND(K755,1)</f>
        <v>149.4</v>
      </c>
      <c r="M755" s="3376"/>
      <c r="N755" s="1052"/>
      <c r="O755" s="1052" t="s">
        <v>3179</v>
      </c>
      <c r="P755" s="1052"/>
      <c r="Q755" s="1052"/>
      <c r="R755" s="1052"/>
      <c r="S755" s="1052"/>
      <c r="T755" s="1052"/>
    </row>
    <row r="756" spans="1:20" s="1055" customFormat="1" ht="13.5" customHeight="1">
      <c r="A756" s="1027" t="s">
        <v>642</v>
      </c>
      <c r="B756" s="931" t="s">
        <v>643</v>
      </c>
      <c r="C756" s="936"/>
      <c r="D756" s="936"/>
      <c r="E756" s="936"/>
      <c r="F756" s="936"/>
      <c r="G756" s="3374" t="s">
        <v>381</v>
      </c>
      <c r="H756" s="3374"/>
      <c r="I756" s="933">
        <f>K4561</f>
        <v>103.62052499999999</v>
      </c>
      <c r="J756" s="1062"/>
      <c r="K756" s="1062">
        <f>I756+J756</f>
        <v>103.62052499999999</v>
      </c>
      <c r="L756" s="3375">
        <f>ROUND(K756,1)</f>
        <v>103.6</v>
      </c>
      <c r="M756" s="3376"/>
      <c r="N756" s="1052"/>
      <c r="O756" s="1052" t="s">
        <v>3179</v>
      </c>
      <c r="P756" s="1052"/>
      <c r="Q756" s="1052"/>
      <c r="R756" s="1052"/>
      <c r="S756" s="1052"/>
      <c r="T756" s="1052"/>
    </row>
    <row r="757" spans="1:20" s="1055" customFormat="1" ht="13.5" customHeight="1">
      <c r="A757" s="1027" t="s">
        <v>644</v>
      </c>
      <c r="B757" s="1050" t="s">
        <v>645</v>
      </c>
      <c r="C757" s="936"/>
      <c r="D757" s="936"/>
      <c r="E757" s="936"/>
      <c r="F757" s="936"/>
      <c r="G757" s="3374"/>
      <c r="H757" s="3374"/>
      <c r="I757" s="933"/>
      <c r="J757" s="1062"/>
      <c r="K757" s="1062"/>
      <c r="L757" s="1068"/>
      <c r="M757" s="1069"/>
      <c r="N757" s="1052"/>
      <c r="O757" s="1052"/>
      <c r="P757" s="1052"/>
      <c r="Q757" s="1052"/>
      <c r="R757" s="1052"/>
      <c r="S757" s="1052"/>
      <c r="T757" s="1052"/>
    </row>
    <row r="758" spans="1:20" s="1055" customFormat="1" ht="13.5" customHeight="1">
      <c r="A758" s="1027" t="s">
        <v>413</v>
      </c>
      <c r="B758" s="931" t="s">
        <v>636</v>
      </c>
      <c r="C758" s="936"/>
      <c r="D758" s="936"/>
      <c r="E758" s="936"/>
      <c r="F758" s="936"/>
      <c r="G758" s="3374" t="s">
        <v>381</v>
      </c>
      <c r="H758" s="3374"/>
      <c r="I758" s="933">
        <f>K4565</f>
        <v>118.35000000000001</v>
      </c>
      <c r="J758" s="1062"/>
      <c r="K758" s="1062">
        <f>I758+J758</f>
        <v>118.35000000000001</v>
      </c>
      <c r="L758" s="3375">
        <f>ROUND(K758,1)</f>
        <v>118.4</v>
      </c>
      <c r="M758" s="3376"/>
      <c r="N758" s="1052"/>
      <c r="O758" s="1052" t="s">
        <v>3180</v>
      </c>
      <c r="P758" s="1052"/>
      <c r="Q758" s="1052"/>
      <c r="R758" s="1052"/>
      <c r="S758" s="1052"/>
      <c r="T758" s="1052"/>
    </row>
    <row r="759" spans="1:20" s="1055" customFormat="1" ht="13.5" customHeight="1">
      <c r="A759" s="1027" t="s">
        <v>415</v>
      </c>
      <c r="B759" s="931" t="s">
        <v>637</v>
      </c>
      <c r="C759" s="936"/>
      <c r="D759" s="936"/>
      <c r="E759" s="936"/>
      <c r="F759" s="936"/>
      <c r="G759" s="3374" t="s">
        <v>381</v>
      </c>
      <c r="H759" s="3374"/>
      <c r="I759" s="933">
        <f>K4568</f>
        <v>158.44999999999999</v>
      </c>
      <c r="J759" s="1062"/>
      <c r="K759" s="1062">
        <f>I759+J759</f>
        <v>158.44999999999999</v>
      </c>
      <c r="L759" s="3375">
        <f>ROUND(K759,1)</f>
        <v>158.5</v>
      </c>
      <c r="M759" s="3376"/>
      <c r="N759" s="1052"/>
      <c r="O759" s="1052" t="str">
        <f>O758</f>
        <v>ODACT208</v>
      </c>
      <c r="P759" s="1052"/>
      <c r="Q759" s="1052"/>
      <c r="R759" s="1052"/>
      <c r="S759" s="1052"/>
      <c r="T759" s="1052"/>
    </row>
    <row r="760" spans="1:20" s="1055" customFormat="1" ht="13.5" customHeight="1">
      <c r="A760" s="1027" t="s">
        <v>638</v>
      </c>
      <c r="B760" s="931" t="s">
        <v>639</v>
      </c>
      <c r="C760" s="936"/>
      <c r="D760" s="936"/>
      <c r="E760" s="936"/>
      <c r="F760" s="936"/>
      <c r="G760" s="3374" t="s">
        <v>381</v>
      </c>
      <c r="H760" s="3374"/>
      <c r="I760" s="933">
        <f>K4571</f>
        <v>155.10999999999999</v>
      </c>
      <c r="J760" s="1062"/>
      <c r="K760" s="1062">
        <f>I760+J760</f>
        <v>155.10999999999999</v>
      </c>
      <c r="L760" s="3375">
        <f>ROUND(K760,1)</f>
        <v>155.1</v>
      </c>
      <c r="M760" s="3376"/>
      <c r="N760" s="1052"/>
      <c r="O760" s="1052" t="str">
        <f t="shared" ref="O760:O762" si="76">O759</f>
        <v>ODACT208</v>
      </c>
      <c r="P760" s="1052"/>
      <c r="Q760" s="1052"/>
      <c r="R760" s="1052"/>
      <c r="S760" s="1052"/>
      <c r="T760" s="1052"/>
    </row>
    <row r="761" spans="1:20" s="1055" customFormat="1" ht="13.5" customHeight="1">
      <c r="A761" s="1027" t="s">
        <v>640</v>
      </c>
      <c r="B761" s="931" t="s">
        <v>641</v>
      </c>
      <c r="C761" s="936"/>
      <c r="D761" s="936"/>
      <c r="E761" s="936"/>
      <c r="F761" s="936"/>
      <c r="G761" s="3374" t="s">
        <v>381</v>
      </c>
      <c r="H761" s="3374"/>
      <c r="I761" s="933">
        <f>K4574</f>
        <v>235.5</v>
      </c>
      <c r="J761" s="1062"/>
      <c r="K761" s="1062">
        <f>I761+J761</f>
        <v>235.5</v>
      </c>
      <c r="L761" s="3375">
        <f>ROUND(K761,1)</f>
        <v>235.5</v>
      </c>
      <c r="M761" s="3376"/>
      <c r="N761" s="1052"/>
      <c r="O761" s="1052" t="str">
        <f t="shared" si="76"/>
        <v>ODACT208</v>
      </c>
      <c r="P761" s="1052"/>
      <c r="Q761" s="1052"/>
      <c r="R761" s="1052"/>
      <c r="S761" s="1052"/>
      <c r="T761" s="1052"/>
    </row>
    <row r="762" spans="1:20" s="1055" customFormat="1" ht="13.5" customHeight="1">
      <c r="A762" s="1027" t="s">
        <v>642</v>
      </c>
      <c r="B762" s="931" t="s">
        <v>643</v>
      </c>
      <c r="C762" s="936"/>
      <c r="D762" s="936"/>
      <c r="E762" s="936"/>
      <c r="F762" s="936"/>
      <c r="G762" s="3374" t="s">
        <v>381</v>
      </c>
      <c r="H762" s="3374"/>
      <c r="I762" s="933">
        <f>K4577</f>
        <v>166.85</v>
      </c>
      <c r="J762" s="1062"/>
      <c r="K762" s="1062">
        <f>I762+J762</f>
        <v>166.85</v>
      </c>
      <c r="L762" s="3375">
        <f>ROUND(K762,1)</f>
        <v>166.9</v>
      </c>
      <c r="M762" s="3376"/>
      <c r="N762" s="1052"/>
      <c r="O762" s="1052" t="str">
        <f t="shared" si="76"/>
        <v>ODACT208</v>
      </c>
      <c r="P762" s="1052"/>
      <c r="Q762" s="1052"/>
      <c r="R762" s="1052"/>
      <c r="S762" s="1052"/>
      <c r="T762" s="1052"/>
    </row>
    <row r="763" spans="1:20" s="1055" customFormat="1" ht="13.5" customHeight="1">
      <c r="A763" s="1027" t="s">
        <v>646</v>
      </c>
      <c r="B763" s="1050" t="s">
        <v>647</v>
      </c>
      <c r="C763" s="936"/>
      <c r="D763" s="936"/>
      <c r="E763" s="936"/>
      <c r="F763" s="936"/>
      <c r="G763" s="3374"/>
      <c r="H763" s="3374"/>
      <c r="I763" s="933"/>
      <c r="J763" s="1062"/>
      <c r="K763" s="1062"/>
      <c r="L763" s="1068"/>
      <c r="M763" s="1069"/>
      <c r="N763" s="1052"/>
      <c r="O763" s="1052"/>
      <c r="P763" s="1052"/>
      <c r="Q763" s="1052"/>
      <c r="R763" s="1052"/>
      <c r="S763" s="1052"/>
      <c r="T763" s="1052"/>
    </row>
    <row r="764" spans="1:20" s="1055" customFormat="1" ht="13.5" customHeight="1">
      <c r="A764" s="1027" t="s">
        <v>413</v>
      </c>
      <c r="B764" s="931" t="s">
        <v>636</v>
      </c>
      <c r="C764" s="936"/>
      <c r="D764" s="936"/>
      <c r="E764" s="936"/>
      <c r="F764" s="936"/>
      <c r="G764" s="3374" t="s">
        <v>381</v>
      </c>
      <c r="H764" s="3374"/>
      <c r="I764" s="933">
        <f>K4581</f>
        <v>161.6</v>
      </c>
      <c r="J764" s="1062"/>
      <c r="K764" s="1062">
        <f>I764+J764</f>
        <v>161.6</v>
      </c>
      <c r="L764" s="3375">
        <f>ROUND(K764,1)</f>
        <v>161.6</v>
      </c>
      <c r="M764" s="3376"/>
      <c r="N764" s="1052"/>
      <c r="O764" s="1052" t="s">
        <v>3181</v>
      </c>
      <c r="P764" s="1052"/>
      <c r="Q764" s="1052"/>
      <c r="R764" s="1052"/>
      <c r="S764" s="1052"/>
      <c r="T764" s="1052"/>
    </row>
    <row r="765" spans="1:20" s="1055" customFormat="1" ht="13.5" customHeight="1">
      <c r="A765" s="1027" t="s">
        <v>415</v>
      </c>
      <c r="B765" s="931" t="s">
        <v>637</v>
      </c>
      <c r="C765" s="936"/>
      <c r="D765" s="936"/>
      <c r="E765" s="936"/>
      <c r="F765" s="936"/>
      <c r="G765" s="3374" t="s">
        <v>381</v>
      </c>
      <c r="H765" s="3374"/>
      <c r="I765" s="933">
        <f>K4584</f>
        <v>215.07</v>
      </c>
      <c r="J765" s="1062"/>
      <c r="K765" s="1062">
        <f>I765+J765</f>
        <v>215.07</v>
      </c>
      <c r="L765" s="3375">
        <f>ROUND(K765,1)</f>
        <v>215.1</v>
      </c>
      <c r="M765" s="3376"/>
      <c r="N765" s="1052"/>
      <c r="O765" s="1052" t="str">
        <f>O764</f>
        <v>ODACT209</v>
      </c>
      <c r="P765" s="1052"/>
      <c r="Q765" s="1052"/>
      <c r="R765" s="1052"/>
      <c r="S765" s="1052"/>
      <c r="T765" s="1052"/>
    </row>
    <row r="766" spans="1:20" s="1055" customFormat="1" ht="13.5" customHeight="1">
      <c r="A766" s="1027" t="s">
        <v>638</v>
      </c>
      <c r="B766" s="931" t="s">
        <v>639</v>
      </c>
      <c r="C766" s="936"/>
      <c r="D766" s="936"/>
      <c r="E766" s="936"/>
      <c r="F766" s="936"/>
      <c r="G766" s="3374" t="s">
        <v>381</v>
      </c>
      <c r="H766" s="3374"/>
      <c r="I766" s="933">
        <f>K4587</f>
        <v>210.61</v>
      </c>
      <c r="J766" s="1062"/>
      <c r="K766" s="1062">
        <f>I766+J766</f>
        <v>210.61</v>
      </c>
      <c r="L766" s="3375">
        <f>ROUND(K766,1)</f>
        <v>210.6</v>
      </c>
      <c r="M766" s="3376"/>
      <c r="N766" s="1052"/>
      <c r="O766" s="1052" t="str">
        <f t="shared" ref="O766:O768" si="77">O765</f>
        <v>ODACT209</v>
      </c>
      <c r="P766" s="1052"/>
      <c r="Q766" s="1052"/>
      <c r="R766" s="1052"/>
      <c r="S766" s="1052"/>
      <c r="T766" s="1052"/>
    </row>
    <row r="767" spans="1:20" s="1055" customFormat="1" ht="13.5" customHeight="1">
      <c r="A767" s="1027" t="s">
        <v>640</v>
      </c>
      <c r="B767" s="931" t="s">
        <v>641</v>
      </c>
      <c r="C767" s="936"/>
      <c r="D767" s="936"/>
      <c r="E767" s="936"/>
      <c r="F767" s="936"/>
      <c r="G767" s="3374" t="s">
        <v>381</v>
      </c>
      <c r="H767" s="3374"/>
      <c r="I767" s="933">
        <f>K4590</f>
        <v>317.80999999999995</v>
      </c>
      <c r="J767" s="1062"/>
      <c r="K767" s="1062">
        <f>I767+J767</f>
        <v>317.80999999999995</v>
      </c>
      <c r="L767" s="3375">
        <f>ROUND(K767,1)</f>
        <v>317.8</v>
      </c>
      <c r="M767" s="3376"/>
      <c r="N767" s="1052"/>
      <c r="O767" s="1052" t="str">
        <f t="shared" si="77"/>
        <v>ODACT209</v>
      </c>
      <c r="P767" s="1052"/>
      <c r="Q767" s="1052"/>
      <c r="R767" s="1052"/>
      <c r="S767" s="1052"/>
      <c r="T767" s="1052"/>
    </row>
    <row r="768" spans="1:20" s="1055" customFormat="1" ht="13.5" customHeight="1">
      <c r="A768" s="1027" t="s">
        <v>642</v>
      </c>
      <c r="B768" s="931" t="s">
        <v>643</v>
      </c>
      <c r="C768" s="936"/>
      <c r="D768" s="936"/>
      <c r="E768" s="936"/>
      <c r="F768" s="936"/>
      <c r="G768" s="3374" t="s">
        <v>381</v>
      </c>
      <c r="H768" s="3374"/>
      <c r="I768" s="933">
        <f>K4593</f>
        <v>226.27</v>
      </c>
      <c r="J768" s="1062"/>
      <c r="K768" s="1062">
        <f>I768+J768</f>
        <v>226.27</v>
      </c>
      <c r="L768" s="3375">
        <f>ROUND(K768,1)</f>
        <v>226.3</v>
      </c>
      <c r="M768" s="3376"/>
      <c r="N768" s="1052"/>
      <c r="O768" s="1052" t="str">
        <f t="shared" si="77"/>
        <v>ODACT209</v>
      </c>
      <c r="P768" s="1052"/>
      <c r="Q768" s="1052"/>
      <c r="R768" s="1052"/>
      <c r="S768" s="1052"/>
      <c r="T768" s="1052"/>
    </row>
    <row r="769" spans="1:20" s="1055" customFormat="1" ht="13.5" customHeight="1">
      <c r="A769" s="1027" t="s">
        <v>648</v>
      </c>
      <c r="B769" s="1050" t="s">
        <v>649</v>
      </c>
      <c r="C769" s="936"/>
      <c r="D769" s="936"/>
      <c r="E769" s="936"/>
      <c r="F769" s="936"/>
      <c r="G769" s="3374"/>
      <c r="H769" s="3374"/>
      <c r="I769" s="933"/>
      <c r="J769" s="1062"/>
      <c r="K769" s="1062"/>
      <c r="L769" s="1068"/>
      <c r="M769" s="1069"/>
      <c r="N769" s="1052"/>
      <c r="O769" s="1052"/>
      <c r="P769" s="1052"/>
      <c r="Q769" s="1052"/>
      <c r="R769" s="1052"/>
      <c r="S769" s="1052"/>
      <c r="T769" s="1052"/>
    </row>
    <row r="770" spans="1:20" s="1055" customFormat="1" ht="13.5" customHeight="1">
      <c r="A770" s="1027" t="s">
        <v>413</v>
      </c>
      <c r="B770" s="931" t="s">
        <v>636</v>
      </c>
      <c r="C770" s="936"/>
      <c r="D770" s="936"/>
      <c r="E770" s="936"/>
      <c r="F770" s="936"/>
      <c r="G770" s="3374" t="s">
        <v>381</v>
      </c>
      <c r="H770" s="3374"/>
      <c r="I770" s="933">
        <f>K4597</f>
        <v>204.85000000000002</v>
      </c>
      <c r="J770" s="1062"/>
      <c r="K770" s="1062">
        <f>I770+J770</f>
        <v>204.85000000000002</v>
      </c>
      <c r="L770" s="3375">
        <f>ROUND(K770,1)</f>
        <v>204.9</v>
      </c>
      <c r="M770" s="3376"/>
      <c r="N770" s="1052"/>
      <c r="O770" s="1052" t="s">
        <v>3182</v>
      </c>
      <c r="P770" s="1052"/>
      <c r="Q770" s="1052"/>
      <c r="R770" s="1052"/>
      <c r="S770" s="1052"/>
      <c r="T770" s="1052"/>
    </row>
    <row r="771" spans="1:20" s="1055" customFormat="1" ht="13.5" customHeight="1">
      <c r="A771" s="1027" t="s">
        <v>415</v>
      </c>
      <c r="B771" s="931" t="s">
        <v>637</v>
      </c>
      <c r="C771" s="936"/>
      <c r="D771" s="936"/>
      <c r="E771" s="936"/>
      <c r="F771" s="936"/>
      <c r="G771" s="3374" t="s">
        <v>381</v>
      </c>
      <c r="H771" s="3374"/>
      <c r="I771" s="933">
        <f>K4600</f>
        <v>271.68</v>
      </c>
      <c r="J771" s="1062"/>
      <c r="K771" s="1062">
        <f>I771+J771</f>
        <v>271.68</v>
      </c>
      <c r="L771" s="3375">
        <f>ROUND(K771,1)</f>
        <v>271.7</v>
      </c>
      <c r="M771" s="3376"/>
      <c r="N771" s="1052"/>
      <c r="O771" s="1052" t="str">
        <f>O770</f>
        <v>ODACT210.</v>
      </c>
      <c r="P771" s="1052"/>
      <c r="Q771" s="1052"/>
      <c r="R771" s="1052"/>
      <c r="S771" s="1052"/>
      <c r="T771" s="1052"/>
    </row>
    <row r="772" spans="1:20" s="1055" customFormat="1" ht="13.5" customHeight="1">
      <c r="A772" s="1027" t="s">
        <v>638</v>
      </c>
      <c r="B772" s="931" t="s">
        <v>639</v>
      </c>
      <c r="C772" s="936"/>
      <c r="D772" s="936"/>
      <c r="E772" s="936"/>
      <c r="F772" s="936"/>
      <c r="G772" s="3374" t="s">
        <v>381</v>
      </c>
      <c r="H772" s="3374"/>
      <c r="I772" s="933">
        <f>K4603</f>
        <v>266.12</v>
      </c>
      <c r="J772" s="1062"/>
      <c r="K772" s="1062">
        <f>I772+J772</f>
        <v>266.12</v>
      </c>
      <c r="L772" s="3375">
        <f>ROUND(K772,1)</f>
        <v>266.10000000000002</v>
      </c>
      <c r="M772" s="3376"/>
      <c r="N772" s="1052"/>
      <c r="O772" s="1052" t="s">
        <v>3182</v>
      </c>
      <c r="P772" s="1052"/>
      <c r="Q772" s="1052"/>
      <c r="R772" s="1052"/>
      <c r="S772" s="1052"/>
      <c r="T772" s="1052"/>
    </row>
    <row r="773" spans="1:20" s="1055" customFormat="1" ht="13.5" customHeight="1">
      <c r="A773" s="1027" t="s">
        <v>640</v>
      </c>
      <c r="B773" s="931" t="s">
        <v>641</v>
      </c>
      <c r="C773" s="936"/>
      <c r="D773" s="936"/>
      <c r="E773" s="936"/>
      <c r="F773" s="936"/>
      <c r="G773" s="3374" t="s">
        <v>381</v>
      </c>
      <c r="H773" s="3374"/>
      <c r="I773" s="933">
        <f>K4606</f>
        <v>400.11</v>
      </c>
      <c r="J773" s="1062"/>
      <c r="K773" s="1062">
        <f>I773+J773</f>
        <v>400.11</v>
      </c>
      <c r="L773" s="3375">
        <f>ROUND(K773,1)</f>
        <v>400.1</v>
      </c>
      <c r="M773" s="3376"/>
      <c r="N773" s="1052"/>
      <c r="O773" s="1052" t="str">
        <f t="shared" ref="O773" si="78">O772</f>
        <v>ODACT210.</v>
      </c>
      <c r="P773" s="1052"/>
      <c r="Q773" s="1052"/>
      <c r="R773" s="1052"/>
      <c r="S773" s="1052"/>
      <c r="T773" s="1052"/>
    </row>
    <row r="774" spans="1:20" s="1055" customFormat="1" ht="13.5" customHeight="1">
      <c r="A774" s="1027" t="s">
        <v>642</v>
      </c>
      <c r="B774" s="931" t="s">
        <v>643</v>
      </c>
      <c r="C774" s="936"/>
      <c r="D774" s="936"/>
      <c r="E774" s="936"/>
      <c r="F774" s="936"/>
      <c r="G774" s="3374" t="s">
        <v>381</v>
      </c>
      <c r="H774" s="3374"/>
      <c r="I774" s="933">
        <f>K4609</f>
        <v>285.69</v>
      </c>
      <c r="J774" s="1062"/>
      <c r="K774" s="1062">
        <f>I774+J774</f>
        <v>285.69</v>
      </c>
      <c r="L774" s="3375">
        <f>ROUND(K774,1)</f>
        <v>285.7</v>
      </c>
      <c r="M774" s="3376"/>
      <c r="N774" s="1052"/>
      <c r="O774" s="1052" t="s">
        <v>3182</v>
      </c>
      <c r="P774" s="1052"/>
      <c r="Q774" s="1052"/>
      <c r="R774" s="1052"/>
      <c r="S774" s="1052"/>
      <c r="T774" s="1052"/>
    </row>
    <row r="775" spans="1:20" s="1055" customFormat="1" ht="13.5" customHeight="1">
      <c r="A775" s="1027" t="s">
        <v>650</v>
      </c>
      <c r="B775" s="1050" t="s">
        <v>651</v>
      </c>
      <c r="C775" s="936"/>
      <c r="D775" s="936"/>
      <c r="E775" s="936"/>
      <c r="F775" s="936"/>
      <c r="G775" s="3374"/>
      <c r="H775" s="3374"/>
      <c r="I775" s="933"/>
      <c r="J775" s="1062"/>
      <c r="K775" s="1062"/>
      <c r="L775" s="1068"/>
      <c r="M775" s="1069"/>
      <c r="N775" s="1052"/>
      <c r="O775" s="1052"/>
      <c r="P775" s="1052"/>
      <c r="Q775" s="1052"/>
      <c r="R775" s="1052"/>
      <c r="S775" s="1052"/>
      <c r="T775" s="1052"/>
    </row>
    <row r="776" spans="1:20" s="1055" customFormat="1" ht="13.5" customHeight="1">
      <c r="A776" s="1027" t="s">
        <v>413</v>
      </c>
      <c r="B776" s="931" t="s">
        <v>636</v>
      </c>
      <c r="C776" s="936"/>
      <c r="D776" s="936"/>
      <c r="E776" s="936"/>
      <c r="F776" s="936"/>
      <c r="G776" s="3374" t="s">
        <v>381</v>
      </c>
      <c r="H776" s="3374"/>
      <c r="I776" s="933">
        <f>K4613</f>
        <v>248.11</v>
      </c>
      <c r="J776" s="1062"/>
      <c r="K776" s="1062">
        <f>I776+J776</f>
        <v>248.11</v>
      </c>
      <c r="L776" s="3375">
        <f>ROUND(K776,1)</f>
        <v>248.1</v>
      </c>
      <c r="M776" s="3376"/>
      <c r="N776" s="1052"/>
      <c r="O776" s="1052" t="s">
        <v>3183</v>
      </c>
      <c r="P776" s="1052"/>
      <c r="Q776" s="1052"/>
      <c r="R776" s="1052"/>
      <c r="S776" s="1052"/>
      <c r="T776" s="1052"/>
    </row>
    <row r="777" spans="1:20" s="1055" customFormat="1" ht="13.5" customHeight="1">
      <c r="A777" s="1027" t="s">
        <v>415</v>
      </c>
      <c r="B777" s="931" t="s">
        <v>637</v>
      </c>
      <c r="C777" s="936"/>
      <c r="D777" s="936"/>
      <c r="E777" s="936"/>
      <c r="F777" s="936"/>
      <c r="G777" s="3374" t="s">
        <v>381</v>
      </c>
      <c r="H777" s="3374"/>
      <c r="I777" s="933">
        <f>K4616</f>
        <v>328.3</v>
      </c>
      <c r="J777" s="1062"/>
      <c r="K777" s="1062">
        <f>I777+J777</f>
        <v>328.3</v>
      </c>
      <c r="L777" s="3375">
        <f>ROUND(K777,1)</f>
        <v>328.3</v>
      </c>
      <c r="M777" s="3376"/>
      <c r="N777" s="1052"/>
      <c r="O777" s="1052" t="str">
        <f>O776</f>
        <v>ODACT211</v>
      </c>
      <c r="P777" s="1052"/>
      <c r="Q777" s="1052"/>
      <c r="R777" s="1052"/>
      <c r="S777" s="1052"/>
      <c r="T777" s="1052"/>
    </row>
    <row r="778" spans="1:20" s="1055" customFormat="1" ht="13.5" customHeight="1">
      <c r="A778" s="1027" t="s">
        <v>638</v>
      </c>
      <c r="B778" s="931" t="s">
        <v>639</v>
      </c>
      <c r="C778" s="936"/>
      <c r="D778" s="936"/>
      <c r="E778" s="936"/>
      <c r="F778" s="936"/>
      <c r="G778" s="3374" t="s">
        <v>381</v>
      </c>
      <c r="H778" s="3374"/>
      <c r="I778" s="933">
        <f>K4619</f>
        <v>321.62</v>
      </c>
      <c r="J778" s="1062"/>
      <c r="K778" s="1062">
        <f>I778+J778</f>
        <v>321.62</v>
      </c>
      <c r="L778" s="3375">
        <f>ROUND(K778,1)</f>
        <v>321.60000000000002</v>
      </c>
      <c r="M778" s="3376"/>
      <c r="N778" s="1052"/>
      <c r="O778" s="1052" t="str">
        <f t="shared" ref="O778:O780" si="79">O777</f>
        <v>ODACT211</v>
      </c>
      <c r="P778" s="1052"/>
      <c r="Q778" s="1052"/>
      <c r="R778" s="1052"/>
      <c r="S778" s="1052"/>
      <c r="T778" s="1052"/>
    </row>
    <row r="779" spans="1:20" s="1055" customFormat="1" ht="13.5" customHeight="1">
      <c r="A779" s="1027" t="s">
        <v>640</v>
      </c>
      <c r="B779" s="931" t="s">
        <v>641</v>
      </c>
      <c r="C779" s="936"/>
      <c r="D779" s="936"/>
      <c r="E779" s="936"/>
      <c r="F779" s="936"/>
      <c r="G779" s="3374" t="s">
        <v>381</v>
      </c>
      <c r="H779" s="3374"/>
      <c r="I779" s="933">
        <f>K4622</f>
        <v>482.41</v>
      </c>
      <c r="J779" s="1062"/>
      <c r="K779" s="1062">
        <f>I779+J779</f>
        <v>482.41</v>
      </c>
      <c r="L779" s="3375">
        <f>ROUND(K779,1)</f>
        <v>482.4</v>
      </c>
      <c r="M779" s="3376"/>
      <c r="N779" s="1052"/>
      <c r="O779" s="1052" t="str">
        <f t="shared" si="79"/>
        <v>ODACT211</v>
      </c>
      <c r="P779" s="1052"/>
      <c r="Q779" s="1052"/>
      <c r="R779" s="1052"/>
      <c r="S779" s="1052"/>
      <c r="T779" s="1052"/>
    </row>
    <row r="780" spans="1:20" s="1055" customFormat="1" ht="13.5" customHeight="1">
      <c r="A780" s="1027" t="s">
        <v>642</v>
      </c>
      <c r="B780" s="931" t="s">
        <v>643</v>
      </c>
      <c r="C780" s="936"/>
      <c r="D780" s="936"/>
      <c r="E780" s="936"/>
      <c r="F780" s="936"/>
      <c r="G780" s="3374" t="s">
        <v>381</v>
      </c>
      <c r="H780" s="3374"/>
      <c r="I780" s="933">
        <f>K4625</f>
        <v>345.11</v>
      </c>
      <c r="J780" s="1062"/>
      <c r="K780" s="1062">
        <f>I780+J780</f>
        <v>345.11</v>
      </c>
      <c r="L780" s="3375">
        <f>ROUND(K780,1)</f>
        <v>345.1</v>
      </c>
      <c r="M780" s="3376"/>
      <c r="N780" s="1052"/>
      <c r="O780" s="1052" t="str">
        <f t="shared" si="79"/>
        <v>ODACT211</v>
      </c>
      <c r="P780" s="1052"/>
      <c r="Q780" s="1052"/>
      <c r="R780" s="1052"/>
      <c r="S780" s="1052"/>
      <c r="T780" s="1052"/>
    </row>
    <row r="781" spans="1:20" s="1055" customFormat="1" ht="13.5" customHeight="1">
      <c r="A781" s="1027" t="s">
        <v>652</v>
      </c>
      <c r="B781" s="1050" t="s">
        <v>653</v>
      </c>
      <c r="C781" s="936"/>
      <c r="D781" s="936"/>
      <c r="E781" s="936"/>
      <c r="F781" s="936"/>
      <c r="G781" s="3374"/>
      <c r="H781" s="3374"/>
      <c r="I781" s="933"/>
      <c r="J781" s="1062"/>
      <c r="K781" s="1062"/>
      <c r="L781" s="1068"/>
      <c r="M781" s="1069"/>
      <c r="N781" s="1052"/>
      <c r="O781" s="1052"/>
      <c r="P781" s="1052"/>
      <c r="Q781" s="1052"/>
      <c r="R781" s="1052"/>
      <c r="S781" s="1052"/>
      <c r="T781" s="1052"/>
    </row>
    <row r="782" spans="1:20" s="1055" customFormat="1" ht="13.5" customHeight="1">
      <c r="A782" s="1027" t="s">
        <v>413</v>
      </c>
      <c r="B782" s="931" t="s">
        <v>636</v>
      </c>
      <c r="C782" s="936"/>
      <c r="D782" s="936"/>
      <c r="E782" s="936"/>
      <c r="F782" s="936"/>
      <c r="G782" s="3374" t="s">
        <v>381</v>
      </c>
      <c r="H782" s="3374"/>
      <c r="I782" s="933">
        <f>K4629</f>
        <v>291.36</v>
      </c>
      <c r="J782" s="1062"/>
      <c r="K782" s="1062">
        <f>I782+J782</f>
        <v>291.36</v>
      </c>
      <c r="L782" s="3375">
        <f>ROUND(K782,1)</f>
        <v>291.39999999999998</v>
      </c>
      <c r="M782" s="3376"/>
      <c r="N782" s="1052"/>
      <c r="O782" s="1052" t="s">
        <v>3184</v>
      </c>
      <c r="P782" s="1052"/>
      <c r="Q782" s="1052"/>
      <c r="R782" s="1052"/>
      <c r="S782" s="1052"/>
      <c r="T782" s="1052"/>
    </row>
    <row r="783" spans="1:20" s="1055" customFormat="1" ht="13.5" customHeight="1">
      <c r="A783" s="1027" t="s">
        <v>415</v>
      </c>
      <c r="B783" s="931" t="s">
        <v>637</v>
      </c>
      <c r="C783" s="936"/>
      <c r="D783" s="936"/>
      <c r="E783" s="936"/>
      <c r="F783" s="936"/>
      <c r="G783" s="3374" t="s">
        <v>381</v>
      </c>
      <c r="H783" s="3374"/>
      <c r="I783" s="933">
        <f>K4632</f>
        <v>384.92</v>
      </c>
      <c r="J783" s="1062"/>
      <c r="K783" s="1062">
        <f>I783+J783</f>
        <v>384.92</v>
      </c>
      <c r="L783" s="3375">
        <f>ROUND(K783,1)</f>
        <v>384.9</v>
      </c>
      <c r="M783" s="3376"/>
      <c r="N783" s="1052"/>
      <c r="O783" s="1052" t="str">
        <f>O782</f>
        <v>ODACT212</v>
      </c>
      <c r="P783" s="1052"/>
      <c r="Q783" s="1052"/>
      <c r="R783" s="1052"/>
      <c r="S783" s="1052"/>
      <c r="T783" s="1052"/>
    </row>
    <row r="784" spans="1:20" s="1055" customFormat="1" ht="13.5" customHeight="1">
      <c r="A784" s="1027" t="s">
        <v>638</v>
      </c>
      <c r="B784" s="931" t="s">
        <v>639</v>
      </c>
      <c r="C784" s="936"/>
      <c r="D784" s="936"/>
      <c r="E784" s="936"/>
      <c r="F784" s="936"/>
      <c r="G784" s="3374" t="s">
        <v>381</v>
      </c>
      <c r="H784" s="3374"/>
      <c r="I784" s="933">
        <f>K4635</f>
        <v>377.13</v>
      </c>
      <c r="J784" s="1062"/>
      <c r="K784" s="1062">
        <f>I784+J784</f>
        <v>377.13</v>
      </c>
      <c r="L784" s="3375">
        <f>ROUND(K784,1)</f>
        <v>377.1</v>
      </c>
      <c r="M784" s="3376"/>
      <c r="N784" s="1052"/>
      <c r="O784" s="1052" t="str">
        <f t="shared" ref="O784:O786" si="80">O783</f>
        <v>ODACT212</v>
      </c>
      <c r="P784" s="1052"/>
      <c r="Q784" s="1052"/>
      <c r="R784" s="1052"/>
      <c r="S784" s="1052"/>
      <c r="T784" s="1052"/>
    </row>
    <row r="785" spans="1:20" s="1055" customFormat="1" ht="13.5" customHeight="1">
      <c r="A785" s="1027" t="s">
        <v>640</v>
      </c>
      <c r="B785" s="931" t="s">
        <v>641</v>
      </c>
      <c r="C785" s="936"/>
      <c r="D785" s="936"/>
      <c r="E785" s="936"/>
      <c r="F785" s="936"/>
      <c r="G785" s="3374" t="s">
        <v>381</v>
      </c>
      <c r="H785" s="3374"/>
      <c r="I785" s="933">
        <f>K4638</f>
        <v>564.72</v>
      </c>
      <c r="J785" s="1062"/>
      <c r="K785" s="1062">
        <f>I785+J785</f>
        <v>564.72</v>
      </c>
      <c r="L785" s="3375">
        <f>ROUND(K785,1)</f>
        <v>564.70000000000005</v>
      </c>
      <c r="M785" s="3376"/>
      <c r="N785" s="1052"/>
      <c r="O785" s="1052" t="str">
        <f t="shared" si="80"/>
        <v>ODACT212</v>
      </c>
      <c r="P785" s="1052"/>
      <c r="Q785" s="1052"/>
      <c r="R785" s="1052"/>
      <c r="S785" s="1052"/>
      <c r="T785" s="1052"/>
    </row>
    <row r="786" spans="1:20" s="1055" customFormat="1" ht="13.5" customHeight="1">
      <c r="A786" s="1027" t="s">
        <v>642</v>
      </c>
      <c r="B786" s="931" t="s">
        <v>643</v>
      </c>
      <c r="C786" s="936"/>
      <c r="D786" s="936"/>
      <c r="E786" s="936"/>
      <c r="F786" s="936"/>
      <c r="G786" s="3374" t="s">
        <v>381</v>
      </c>
      <c r="H786" s="3374"/>
      <c r="I786" s="933">
        <f>K4641</f>
        <v>404.53000000000003</v>
      </c>
      <c r="J786" s="1062"/>
      <c r="K786" s="1062">
        <f>I786+J786</f>
        <v>404.53000000000003</v>
      </c>
      <c r="L786" s="3375">
        <f>ROUND(K786,1)</f>
        <v>404.5</v>
      </c>
      <c r="M786" s="3376"/>
      <c r="N786" s="1052"/>
      <c r="O786" s="1052" t="str">
        <f t="shared" si="80"/>
        <v>ODACT212</v>
      </c>
      <c r="P786" s="1052"/>
      <c r="Q786" s="1052"/>
      <c r="R786" s="1052"/>
      <c r="S786" s="1052"/>
      <c r="T786" s="1052"/>
    </row>
    <row r="787" spans="1:20" s="1055" customFormat="1" ht="13.5" customHeight="1">
      <c r="A787" s="1027" t="s">
        <v>654</v>
      </c>
      <c r="B787" s="1050" t="s">
        <v>655</v>
      </c>
      <c r="C787" s="936"/>
      <c r="D787" s="936"/>
      <c r="E787" s="936"/>
      <c r="F787" s="936"/>
      <c r="G787" s="3374"/>
      <c r="H787" s="3374"/>
      <c r="I787" s="933"/>
      <c r="J787" s="1062"/>
      <c r="K787" s="1062"/>
      <c r="L787" s="1068"/>
      <c r="M787" s="1069"/>
      <c r="N787" s="1052"/>
      <c r="O787" s="1052"/>
      <c r="P787" s="1052"/>
      <c r="Q787" s="1052"/>
      <c r="R787" s="1052"/>
      <c r="S787" s="1052"/>
      <c r="T787" s="1052"/>
    </row>
    <row r="788" spans="1:20" s="1055" customFormat="1" ht="13.5" customHeight="1">
      <c r="A788" s="1027" t="s">
        <v>413</v>
      </c>
      <c r="B788" s="931" t="s">
        <v>636</v>
      </c>
      <c r="C788" s="936"/>
      <c r="D788" s="936"/>
      <c r="E788" s="936"/>
      <c r="F788" s="936"/>
      <c r="G788" s="3374" t="s">
        <v>381</v>
      </c>
      <c r="H788" s="3374"/>
      <c r="I788" s="933">
        <f>K4645</f>
        <v>334.61</v>
      </c>
      <c r="J788" s="1062"/>
      <c r="K788" s="1062">
        <f>I788+J788</f>
        <v>334.61</v>
      </c>
      <c r="L788" s="3375">
        <f>ROUND(K788,1)</f>
        <v>334.6</v>
      </c>
      <c r="M788" s="3376"/>
      <c r="N788" s="1052"/>
      <c r="O788" s="1052" t="s">
        <v>3185</v>
      </c>
      <c r="P788" s="1052"/>
      <c r="Q788" s="1052"/>
      <c r="R788" s="1052"/>
      <c r="S788" s="1052"/>
      <c r="T788" s="1052"/>
    </row>
    <row r="789" spans="1:20" s="1055" customFormat="1" ht="13.5" customHeight="1">
      <c r="A789" s="1027" t="s">
        <v>415</v>
      </c>
      <c r="B789" s="931" t="s">
        <v>637</v>
      </c>
      <c r="C789" s="936"/>
      <c r="D789" s="936"/>
      <c r="E789" s="936"/>
      <c r="F789" s="936"/>
      <c r="G789" s="3374" t="s">
        <v>381</v>
      </c>
      <c r="H789" s="3374"/>
      <c r="I789" s="933">
        <f>K4648</f>
        <v>441.53999999999996</v>
      </c>
      <c r="J789" s="1062"/>
      <c r="K789" s="1062">
        <f>I789+J789</f>
        <v>441.53999999999996</v>
      </c>
      <c r="L789" s="3375">
        <f>ROUND(K789,1)</f>
        <v>441.5</v>
      </c>
      <c r="M789" s="3376"/>
      <c r="N789" s="1052"/>
      <c r="O789" s="1052" t="str">
        <f>O788</f>
        <v>ODACT213</v>
      </c>
      <c r="P789" s="1052"/>
      <c r="Q789" s="1052"/>
      <c r="R789" s="1052"/>
      <c r="S789" s="1052"/>
      <c r="T789" s="1052"/>
    </row>
    <row r="790" spans="1:20" s="1055" customFormat="1" ht="13.5" customHeight="1">
      <c r="A790" s="1027" t="s">
        <v>638</v>
      </c>
      <c r="B790" s="931" t="s">
        <v>639</v>
      </c>
      <c r="C790" s="936"/>
      <c r="D790" s="936"/>
      <c r="E790" s="936"/>
      <c r="F790" s="936"/>
      <c r="G790" s="3374" t="s">
        <v>381</v>
      </c>
      <c r="H790" s="3374"/>
      <c r="I790" s="933">
        <f>K4651</f>
        <v>432.63</v>
      </c>
      <c r="J790" s="1062"/>
      <c r="K790" s="1062">
        <f>I790+J790</f>
        <v>432.63</v>
      </c>
      <c r="L790" s="3375">
        <f>ROUND(K790,1)</f>
        <v>432.6</v>
      </c>
      <c r="M790" s="3376"/>
      <c r="N790" s="1052"/>
      <c r="O790" s="1052" t="str">
        <f t="shared" ref="O790:O792" si="81">O789</f>
        <v>ODACT213</v>
      </c>
      <c r="P790" s="1052"/>
      <c r="Q790" s="1052"/>
      <c r="R790" s="1052"/>
      <c r="S790" s="1052"/>
      <c r="T790" s="1052"/>
    </row>
    <row r="791" spans="1:20" s="1055" customFormat="1" ht="13.5" customHeight="1">
      <c r="A791" s="1027" t="s">
        <v>640</v>
      </c>
      <c r="B791" s="931" t="s">
        <v>641</v>
      </c>
      <c r="C791" s="936"/>
      <c r="D791" s="936"/>
      <c r="E791" s="936"/>
      <c r="F791" s="936"/>
      <c r="G791" s="3374" t="s">
        <v>381</v>
      </c>
      <c r="H791" s="3374"/>
      <c r="I791" s="933">
        <f>K4654</f>
        <v>647.02</v>
      </c>
      <c r="J791" s="1062"/>
      <c r="K791" s="1062">
        <f>I791+J791</f>
        <v>647.02</v>
      </c>
      <c r="L791" s="3375">
        <f>ROUND(K791,1)</f>
        <v>647</v>
      </c>
      <c r="M791" s="3376"/>
      <c r="N791" s="1052"/>
      <c r="O791" s="1052" t="str">
        <f t="shared" si="81"/>
        <v>ODACT213</v>
      </c>
      <c r="P791" s="1052"/>
      <c r="Q791" s="1052"/>
      <c r="R791" s="1052"/>
      <c r="S791" s="1052"/>
      <c r="T791" s="1052"/>
    </row>
    <row r="792" spans="1:20" s="1055" customFormat="1" ht="13.5" customHeight="1">
      <c r="A792" s="1027" t="s">
        <v>642</v>
      </c>
      <c r="B792" s="931" t="s">
        <v>643</v>
      </c>
      <c r="C792" s="936"/>
      <c r="D792" s="936"/>
      <c r="E792" s="936"/>
      <c r="F792" s="936"/>
      <c r="G792" s="3374" t="s">
        <v>381</v>
      </c>
      <c r="H792" s="3374"/>
      <c r="I792" s="933">
        <f>K4657</f>
        <v>463.95000000000005</v>
      </c>
      <c r="J792" s="1062"/>
      <c r="K792" s="1062">
        <f>I792+J792</f>
        <v>463.95000000000005</v>
      </c>
      <c r="L792" s="3375">
        <f>ROUND(K792,1)</f>
        <v>464</v>
      </c>
      <c r="M792" s="3376"/>
      <c r="N792" s="1052"/>
      <c r="O792" s="1052" t="str">
        <f t="shared" si="81"/>
        <v>ODACT213</v>
      </c>
      <c r="P792" s="1052"/>
      <c r="Q792" s="1052"/>
      <c r="R792" s="1052"/>
      <c r="S792" s="1052"/>
      <c r="T792" s="1052"/>
    </row>
    <row r="793" spans="1:20" s="1055" customFormat="1" ht="13.5" customHeight="1">
      <c r="A793" s="1027" t="s">
        <v>656</v>
      </c>
      <c r="B793" s="1050" t="s">
        <v>657</v>
      </c>
      <c r="C793" s="936"/>
      <c r="D793" s="936"/>
      <c r="E793" s="936"/>
      <c r="F793" s="936"/>
      <c r="G793" s="3374"/>
      <c r="H793" s="3374"/>
      <c r="I793" s="933"/>
      <c r="J793" s="1062"/>
      <c r="K793" s="1062"/>
      <c r="L793" s="1068"/>
      <c r="M793" s="1069"/>
      <c r="N793" s="1052"/>
      <c r="O793" s="1052"/>
      <c r="P793" s="1052"/>
      <c r="Q793" s="1052"/>
      <c r="R793" s="1052"/>
      <c r="S793" s="1052"/>
      <c r="T793" s="1052"/>
    </row>
    <row r="794" spans="1:20" s="1055" customFormat="1" ht="13.5" customHeight="1">
      <c r="A794" s="1027" t="s">
        <v>413</v>
      </c>
      <c r="B794" s="931" t="s">
        <v>636</v>
      </c>
      <c r="C794" s="936"/>
      <c r="D794" s="936"/>
      <c r="E794" s="936"/>
      <c r="F794" s="936"/>
      <c r="G794" s="3374" t="s">
        <v>381</v>
      </c>
      <c r="H794" s="3374"/>
      <c r="I794" s="933">
        <f>K4661</f>
        <v>377.87</v>
      </c>
      <c r="J794" s="1062"/>
      <c r="K794" s="1062">
        <f>I794+J794</f>
        <v>377.87</v>
      </c>
      <c r="L794" s="3375">
        <f>ROUND(K794,1)</f>
        <v>377.9</v>
      </c>
      <c r="M794" s="3376"/>
      <c r="N794" s="1052"/>
      <c r="O794" s="1052" t="s">
        <v>3186</v>
      </c>
      <c r="P794" s="1052"/>
      <c r="Q794" s="1052"/>
      <c r="R794" s="1052"/>
      <c r="S794" s="1052"/>
      <c r="T794" s="1052"/>
    </row>
    <row r="795" spans="1:20" s="1055" customFormat="1" ht="13.5" customHeight="1">
      <c r="A795" s="1027" t="s">
        <v>415</v>
      </c>
      <c r="B795" s="931" t="s">
        <v>637</v>
      </c>
      <c r="C795" s="936"/>
      <c r="D795" s="936"/>
      <c r="E795" s="936"/>
      <c r="F795" s="936"/>
      <c r="G795" s="3374" t="s">
        <v>381</v>
      </c>
      <c r="H795" s="3374"/>
      <c r="I795" s="933">
        <f>K4664</f>
        <v>498.15999999999997</v>
      </c>
      <c r="J795" s="1062"/>
      <c r="K795" s="1062">
        <f>I795+J795</f>
        <v>498.15999999999997</v>
      </c>
      <c r="L795" s="3375">
        <f>ROUND(K795,1)</f>
        <v>498.2</v>
      </c>
      <c r="M795" s="3376"/>
      <c r="N795" s="1052"/>
      <c r="O795" s="1052" t="str">
        <f>O794</f>
        <v>ODACT214</v>
      </c>
      <c r="P795" s="1052"/>
      <c r="Q795" s="1052"/>
      <c r="R795" s="1052"/>
      <c r="S795" s="1052"/>
      <c r="T795" s="1052"/>
    </row>
    <row r="796" spans="1:20" s="1055" customFormat="1" ht="13.5" customHeight="1">
      <c r="A796" s="1027" t="s">
        <v>638</v>
      </c>
      <c r="B796" s="931" t="s">
        <v>639</v>
      </c>
      <c r="C796" s="936"/>
      <c r="D796" s="936"/>
      <c r="E796" s="936"/>
      <c r="F796" s="936"/>
      <c r="G796" s="3374" t="s">
        <v>381</v>
      </c>
      <c r="H796" s="3374"/>
      <c r="I796" s="933">
        <f>K4667</f>
        <v>488.14</v>
      </c>
      <c r="J796" s="1062"/>
      <c r="K796" s="1062">
        <f>I796+J796</f>
        <v>488.14</v>
      </c>
      <c r="L796" s="3375">
        <f>ROUND(K796,1)</f>
        <v>488.1</v>
      </c>
      <c r="M796" s="3376"/>
      <c r="N796" s="1052"/>
      <c r="O796" s="1052" t="str">
        <f t="shared" ref="O796:O798" si="82">O795</f>
        <v>ODACT214</v>
      </c>
      <c r="P796" s="1052"/>
      <c r="Q796" s="1052"/>
      <c r="R796" s="1052"/>
      <c r="S796" s="1052"/>
      <c r="T796" s="1052"/>
    </row>
    <row r="797" spans="1:20" s="1055" customFormat="1" ht="13.5" customHeight="1">
      <c r="A797" s="1027" t="s">
        <v>640</v>
      </c>
      <c r="B797" s="931" t="s">
        <v>641</v>
      </c>
      <c r="C797" s="936"/>
      <c r="D797" s="936"/>
      <c r="E797" s="936"/>
      <c r="F797" s="936"/>
      <c r="G797" s="3374" t="s">
        <v>381</v>
      </c>
      <c r="H797" s="3374"/>
      <c r="I797" s="933">
        <f>K4670</f>
        <v>729.33</v>
      </c>
      <c r="J797" s="1062"/>
      <c r="K797" s="1062">
        <f>I797+J797</f>
        <v>729.33</v>
      </c>
      <c r="L797" s="3375">
        <f>ROUND(K797,1)</f>
        <v>729.3</v>
      </c>
      <c r="M797" s="3376"/>
      <c r="N797" s="1052"/>
      <c r="O797" s="1052" t="str">
        <f t="shared" si="82"/>
        <v>ODACT214</v>
      </c>
      <c r="P797" s="1052"/>
      <c r="Q797" s="1052"/>
      <c r="R797" s="1052"/>
      <c r="S797" s="1052"/>
      <c r="T797" s="1052"/>
    </row>
    <row r="798" spans="1:20" s="1055" customFormat="1" ht="13.5" customHeight="1">
      <c r="A798" s="1027" t="s">
        <v>642</v>
      </c>
      <c r="B798" s="931" t="s">
        <v>643</v>
      </c>
      <c r="C798" s="936"/>
      <c r="D798" s="936"/>
      <c r="E798" s="936"/>
      <c r="F798" s="936"/>
      <c r="G798" s="3374" t="s">
        <v>381</v>
      </c>
      <c r="H798" s="3374"/>
      <c r="I798" s="933">
        <f>K4673</f>
        <v>523.37</v>
      </c>
      <c r="J798" s="1062"/>
      <c r="K798" s="1062">
        <f>I798+J798</f>
        <v>523.37</v>
      </c>
      <c r="L798" s="3375">
        <f>ROUND(K798,1)</f>
        <v>523.4</v>
      </c>
      <c r="M798" s="3376"/>
      <c r="N798" s="1052"/>
      <c r="O798" s="1052" t="str">
        <f t="shared" si="82"/>
        <v>ODACT214</v>
      </c>
      <c r="P798" s="1052"/>
      <c r="Q798" s="1052"/>
      <c r="R798" s="1052"/>
      <c r="S798" s="1052"/>
      <c r="T798" s="1052"/>
    </row>
    <row r="799" spans="1:20" s="1055" customFormat="1" ht="13.5" customHeight="1">
      <c r="A799" s="1027">
        <f>A750+1</f>
        <v>171</v>
      </c>
      <c r="B799" s="931" t="s">
        <v>633</v>
      </c>
      <c r="C799" s="936"/>
      <c r="D799" s="936"/>
      <c r="E799" s="936"/>
      <c r="F799" s="936"/>
      <c r="G799" s="3374"/>
      <c r="H799" s="3374"/>
      <c r="I799" s="933"/>
      <c r="J799" s="1062"/>
      <c r="K799" s="1062"/>
      <c r="L799" s="3375"/>
      <c r="M799" s="3376"/>
      <c r="N799" s="1052"/>
      <c r="O799" s="1052" t="s">
        <v>183</v>
      </c>
      <c r="P799" s="1052"/>
      <c r="Q799" s="1052"/>
      <c r="R799" s="1052"/>
      <c r="S799" s="1052"/>
      <c r="T799" s="1052"/>
    </row>
    <row r="800" spans="1:20" s="1055" customFormat="1" ht="13.5" customHeight="1">
      <c r="A800" s="1027" t="s">
        <v>634</v>
      </c>
      <c r="B800" s="1050" t="s">
        <v>635</v>
      </c>
      <c r="C800" s="936"/>
      <c r="D800" s="936"/>
      <c r="E800" s="936"/>
      <c r="F800" s="936"/>
      <c r="G800" s="3374"/>
      <c r="H800" s="3374"/>
      <c r="I800" s="933"/>
      <c r="J800" s="1062"/>
      <c r="K800" s="1062"/>
      <c r="L800" s="3375"/>
      <c r="M800" s="3376"/>
      <c r="N800" s="1052"/>
      <c r="O800" s="1052"/>
      <c r="P800" s="1052"/>
      <c r="Q800" s="1052"/>
      <c r="R800" s="1052"/>
      <c r="S800" s="1052"/>
      <c r="T800" s="1052"/>
    </row>
    <row r="801" spans="1:20" s="1055" customFormat="1" ht="13.5" customHeight="1">
      <c r="A801" s="1027" t="s">
        <v>413</v>
      </c>
      <c r="B801" s="931" t="s">
        <v>636</v>
      </c>
      <c r="C801" s="936"/>
      <c r="D801" s="936"/>
      <c r="E801" s="936"/>
      <c r="F801" s="936"/>
      <c r="G801" s="3374" t="s">
        <v>381</v>
      </c>
      <c r="H801" s="3374"/>
      <c r="I801" s="933">
        <f>K4677</f>
        <v>126.71000000000001</v>
      </c>
      <c r="J801" s="1062"/>
      <c r="K801" s="1062">
        <f>I801+J801</f>
        <v>126.71000000000001</v>
      </c>
      <c r="L801" s="3375">
        <f>ROUND(K801,1)</f>
        <v>126.7</v>
      </c>
      <c r="M801" s="3376"/>
      <c r="N801" s="1052"/>
      <c r="O801" s="1052" t="s">
        <v>3179</v>
      </c>
      <c r="P801" s="1052"/>
      <c r="Q801" s="1052"/>
      <c r="R801" s="1052"/>
      <c r="S801" s="1052"/>
      <c r="T801" s="1052"/>
    </row>
    <row r="802" spans="1:20" s="1055" customFormat="1" ht="13.5" customHeight="1">
      <c r="A802" s="1027" t="s">
        <v>415</v>
      </c>
      <c r="B802" s="931" t="s">
        <v>637</v>
      </c>
      <c r="C802" s="936"/>
      <c r="D802" s="936"/>
      <c r="E802" s="936"/>
      <c r="F802" s="936"/>
      <c r="G802" s="3374" t="s">
        <v>381</v>
      </c>
      <c r="H802" s="3374"/>
      <c r="I802" s="933">
        <f>K4678</f>
        <v>167.51</v>
      </c>
      <c r="J802" s="1062"/>
      <c r="K802" s="1062">
        <f>I802+J802</f>
        <v>167.51</v>
      </c>
      <c r="L802" s="3375">
        <f>ROUND(K802,1)</f>
        <v>167.5</v>
      </c>
      <c r="M802" s="3376"/>
      <c r="N802" s="1052"/>
      <c r="O802" s="1052" t="s">
        <v>3179</v>
      </c>
      <c r="P802" s="1052"/>
      <c r="Q802" s="1052"/>
      <c r="R802" s="1052"/>
      <c r="S802" s="1052"/>
      <c r="T802" s="1052"/>
    </row>
    <row r="803" spans="1:20" s="1055" customFormat="1" ht="13.5" customHeight="1">
      <c r="A803" s="1027" t="s">
        <v>638</v>
      </c>
      <c r="B803" s="931" t="s">
        <v>639</v>
      </c>
      <c r="C803" s="936"/>
      <c r="D803" s="936"/>
      <c r="E803" s="936"/>
      <c r="F803" s="936"/>
      <c r="G803" s="3374" t="s">
        <v>381</v>
      </c>
      <c r="H803" s="3374"/>
      <c r="I803" s="933">
        <f>K4679</f>
        <v>157.43</v>
      </c>
      <c r="J803" s="1062"/>
      <c r="K803" s="1062">
        <f>I803+J803</f>
        <v>157.43</v>
      </c>
      <c r="L803" s="3375">
        <f>ROUND(K803,1)</f>
        <v>157.4</v>
      </c>
      <c r="M803" s="3376"/>
      <c r="N803" s="1052"/>
      <c r="O803" s="1052" t="s">
        <v>3179</v>
      </c>
      <c r="P803" s="1052"/>
      <c r="Q803" s="1052"/>
      <c r="R803" s="1052"/>
      <c r="S803" s="1052"/>
      <c r="T803" s="1052"/>
    </row>
    <row r="804" spans="1:20" s="1055" customFormat="1" ht="13.5" customHeight="1">
      <c r="A804" s="1027" t="s">
        <v>640</v>
      </c>
      <c r="B804" s="931" t="s">
        <v>641</v>
      </c>
      <c r="C804" s="936"/>
      <c r="D804" s="936"/>
      <c r="E804" s="936"/>
      <c r="F804" s="936"/>
      <c r="G804" s="3374" t="s">
        <v>381</v>
      </c>
      <c r="H804" s="3374"/>
      <c r="I804" s="933">
        <f>K4680</f>
        <v>218.38</v>
      </c>
      <c r="J804" s="1062"/>
      <c r="K804" s="1062">
        <f>I804+J804</f>
        <v>218.38</v>
      </c>
      <c r="L804" s="3375">
        <f>ROUND(K804,1)</f>
        <v>218.4</v>
      </c>
      <c r="M804" s="3376"/>
      <c r="N804" s="1052"/>
      <c r="O804" s="1052" t="s">
        <v>3179</v>
      </c>
      <c r="P804" s="1052"/>
      <c r="Q804" s="1052"/>
      <c r="R804" s="1052"/>
      <c r="S804" s="1052"/>
      <c r="T804" s="1052"/>
    </row>
    <row r="805" spans="1:20" s="1055" customFormat="1" ht="13.5" customHeight="1">
      <c r="A805" s="1027" t="s">
        <v>642</v>
      </c>
      <c r="B805" s="931" t="s">
        <v>643</v>
      </c>
      <c r="C805" s="936"/>
      <c r="D805" s="936"/>
      <c r="E805" s="936"/>
      <c r="F805" s="936"/>
      <c r="G805" s="3374" t="s">
        <v>381</v>
      </c>
      <c r="H805" s="3374"/>
      <c r="I805" s="933">
        <f>K4681</f>
        <v>167.51</v>
      </c>
      <c r="J805" s="1062"/>
      <c r="K805" s="1062">
        <f>I805+J805</f>
        <v>167.51</v>
      </c>
      <c r="L805" s="3375">
        <f>ROUND(K805,1)</f>
        <v>167.5</v>
      </c>
      <c r="M805" s="3376"/>
      <c r="N805" s="1052"/>
      <c r="O805" s="1052" t="s">
        <v>3179</v>
      </c>
      <c r="P805" s="1052"/>
      <c r="Q805" s="1052"/>
      <c r="R805" s="1052"/>
      <c r="S805" s="1052"/>
      <c r="T805" s="1052"/>
    </row>
    <row r="806" spans="1:20" s="1055" customFormat="1" ht="13.5" customHeight="1">
      <c r="A806" s="1027" t="s">
        <v>644</v>
      </c>
      <c r="B806" s="1050" t="s">
        <v>645</v>
      </c>
      <c r="C806" s="936"/>
      <c r="D806" s="936"/>
      <c r="E806" s="936"/>
      <c r="F806" s="936"/>
      <c r="G806" s="3374"/>
      <c r="H806" s="3374"/>
      <c r="I806" s="933"/>
      <c r="J806" s="1062"/>
      <c r="K806" s="1062"/>
      <c r="L806" s="1068"/>
      <c r="M806" s="1069"/>
      <c r="N806" s="1052"/>
      <c r="O806" s="1052"/>
      <c r="P806" s="1052"/>
      <c r="Q806" s="1052"/>
      <c r="R806" s="1052"/>
      <c r="S806" s="1052"/>
      <c r="T806" s="1052"/>
    </row>
    <row r="807" spans="1:20" s="1055" customFormat="1" ht="13.5" customHeight="1">
      <c r="A807" s="1027" t="s">
        <v>413</v>
      </c>
      <c r="B807" s="931" t="s">
        <v>636</v>
      </c>
      <c r="C807" s="936"/>
      <c r="D807" s="936"/>
      <c r="E807" s="936"/>
      <c r="F807" s="936"/>
      <c r="G807" s="3374" t="s">
        <v>381</v>
      </c>
      <c r="H807" s="3374"/>
      <c r="I807" s="933">
        <f>K4685</f>
        <v>201.48999999999998</v>
      </c>
      <c r="J807" s="1062"/>
      <c r="K807" s="1062">
        <f>I807+J807</f>
        <v>201.48999999999998</v>
      </c>
      <c r="L807" s="3375">
        <f>ROUND(K807,1)</f>
        <v>201.5</v>
      </c>
      <c r="M807" s="3376"/>
      <c r="N807" s="1052"/>
      <c r="O807" s="1052" t="s">
        <v>3180</v>
      </c>
      <c r="P807" s="1052"/>
      <c r="Q807" s="1052"/>
      <c r="R807" s="1052"/>
      <c r="S807" s="1052"/>
      <c r="T807" s="1052"/>
    </row>
    <row r="808" spans="1:20" s="1055" customFormat="1" ht="13.5" customHeight="1">
      <c r="A808" s="1027" t="s">
        <v>415</v>
      </c>
      <c r="B808" s="931" t="s">
        <v>637</v>
      </c>
      <c r="C808" s="936"/>
      <c r="D808" s="936"/>
      <c r="E808" s="936"/>
      <c r="F808" s="936"/>
      <c r="G808" s="3374" t="s">
        <v>381</v>
      </c>
      <c r="H808" s="3374"/>
      <c r="I808" s="933">
        <f>K4688</f>
        <v>262.69</v>
      </c>
      <c r="J808" s="1062"/>
      <c r="K808" s="1062">
        <f>I808+J808</f>
        <v>262.69</v>
      </c>
      <c r="L808" s="3375">
        <f>ROUND(K808,1)</f>
        <v>262.7</v>
      </c>
      <c r="M808" s="3376"/>
      <c r="N808" s="1052"/>
      <c r="O808" s="1052" t="str">
        <f>O807</f>
        <v>ODACT208</v>
      </c>
      <c r="P808" s="1052"/>
      <c r="Q808" s="1052"/>
      <c r="R808" s="1052"/>
      <c r="S808" s="1052"/>
      <c r="T808" s="1052"/>
    </row>
    <row r="809" spans="1:20" s="1055" customFormat="1" ht="13.5" customHeight="1">
      <c r="A809" s="1027" t="s">
        <v>638</v>
      </c>
      <c r="B809" s="931" t="s">
        <v>639</v>
      </c>
      <c r="C809" s="936"/>
      <c r="D809" s="936"/>
      <c r="E809" s="936"/>
      <c r="F809" s="936"/>
      <c r="G809" s="3374" t="s">
        <v>381</v>
      </c>
      <c r="H809" s="3374"/>
      <c r="I809" s="933">
        <f>K4691</f>
        <v>247.57</v>
      </c>
      <c r="J809" s="1062"/>
      <c r="K809" s="1062">
        <f>I809+J809</f>
        <v>247.57</v>
      </c>
      <c r="L809" s="3375">
        <f>ROUND(K809,1)</f>
        <v>247.6</v>
      </c>
      <c r="M809" s="3376"/>
      <c r="N809" s="1052"/>
      <c r="O809" s="1052" t="str">
        <f t="shared" ref="O809:O811" si="83">O808</f>
        <v>ODACT208</v>
      </c>
      <c r="P809" s="1052"/>
      <c r="Q809" s="1052"/>
      <c r="R809" s="1052"/>
      <c r="S809" s="1052"/>
      <c r="T809" s="1052"/>
    </row>
    <row r="810" spans="1:20" s="1055" customFormat="1" ht="13.5" customHeight="1">
      <c r="A810" s="1027" t="s">
        <v>640</v>
      </c>
      <c r="B810" s="931" t="s">
        <v>641</v>
      </c>
      <c r="C810" s="936"/>
      <c r="D810" s="936"/>
      <c r="E810" s="936"/>
      <c r="F810" s="936"/>
      <c r="G810" s="3374" t="s">
        <v>381</v>
      </c>
      <c r="H810" s="3374"/>
      <c r="I810" s="933">
        <f>K4694</f>
        <v>338.99</v>
      </c>
      <c r="J810" s="1062"/>
      <c r="K810" s="1062">
        <f>I810+J810</f>
        <v>338.99</v>
      </c>
      <c r="L810" s="3375">
        <f>ROUND(K810,1)</f>
        <v>339</v>
      </c>
      <c r="M810" s="3376"/>
      <c r="N810" s="1052"/>
      <c r="O810" s="1052" t="str">
        <f t="shared" si="83"/>
        <v>ODACT208</v>
      </c>
      <c r="P810" s="1052"/>
      <c r="Q810" s="1052"/>
      <c r="R810" s="1052"/>
      <c r="S810" s="1052"/>
      <c r="T810" s="1052"/>
    </row>
    <row r="811" spans="1:20" s="1055" customFormat="1" ht="13.5" customHeight="1">
      <c r="A811" s="1027" t="s">
        <v>642</v>
      </c>
      <c r="B811" s="931" t="s">
        <v>643</v>
      </c>
      <c r="C811" s="936"/>
      <c r="D811" s="936"/>
      <c r="E811" s="936"/>
      <c r="F811" s="936"/>
      <c r="G811" s="3374" t="s">
        <v>381</v>
      </c>
      <c r="H811" s="3374"/>
      <c r="I811" s="933">
        <f>K4697</f>
        <v>262.69</v>
      </c>
      <c r="J811" s="1062"/>
      <c r="K811" s="1062">
        <f>I811+J811</f>
        <v>262.69</v>
      </c>
      <c r="L811" s="3375">
        <f>ROUND(K811,1)</f>
        <v>262.7</v>
      </c>
      <c r="M811" s="3376"/>
      <c r="N811" s="1052"/>
      <c r="O811" s="1052" t="str">
        <f t="shared" si="83"/>
        <v>ODACT208</v>
      </c>
      <c r="P811" s="1052"/>
      <c r="Q811" s="1052"/>
      <c r="R811" s="1052"/>
      <c r="S811" s="1052"/>
      <c r="T811" s="1052"/>
    </row>
    <row r="812" spans="1:20" s="1055" customFormat="1" ht="13.5" customHeight="1">
      <c r="A812" s="1027" t="s">
        <v>646</v>
      </c>
      <c r="B812" s="1050" t="s">
        <v>647</v>
      </c>
      <c r="C812" s="936"/>
      <c r="D812" s="936"/>
      <c r="E812" s="936"/>
      <c r="F812" s="936"/>
      <c r="G812" s="3374"/>
      <c r="H812" s="3374"/>
      <c r="I812" s="933"/>
      <c r="J812" s="1062"/>
      <c r="K812" s="1062"/>
      <c r="L812" s="1068"/>
      <c r="M812" s="1069"/>
      <c r="N812" s="1052"/>
      <c r="O812" s="1052"/>
      <c r="P812" s="1052"/>
      <c r="Q812" s="1052"/>
      <c r="R812" s="1052"/>
      <c r="S812" s="1052"/>
      <c r="T812" s="1052"/>
    </row>
    <row r="813" spans="1:20" s="1055" customFormat="1" ht="13.5" customHeight="1">
      <c r="A813" s="1027" t="s">
        <v>413</v>
      </c>
      <c r="B813" s="931" t="s">
        <v>636</v>
      </c>
      <c r="C813" s="936"/>
      <c r="D813" s="936"/>
      <c r="E813" s="936"/>
      <c r="F813" s="936"/>
      <c r="G813" s="3374" t="s">
        <v>381</v>
      </c>
      <c r="H813" s="3374"/>
      <c r="I813" s="933">
        <f>K4701</f>
        <v>272.45</v>
      </c>
      <c r="J813" s="1062"/>
      <c r="K813" s="1062">
        <f>I813+J813</f>
        <v>272.45</v>
      </c>
      <c r="L813" s="3375">
        <f>ROUND(K813,1)</f>
        <v>272.5</v>
      </c>
      <c r="M813" s="3376"/>
      <c r="N813" s="1052"/>
      <c r="O813" s="1052" t="s">
        <v>3181</v>
      </c>
      <c r="P813" s="1052"/>
      <c r="Q813" s="1052"/>
      <c r="R813" s="1052"/>
      <c r="S813" s="1052"/>
      <c r="T813" s="1052"/>
    </row>
    <row r="814" spans="1:20" s="1055" customFormat="1" ht="13.5" customHeight="1">
      <c r="A814" s="1027" t="s">
        <v>415</v>
      </c>
      <c r="B814" s="931" t="s">
        <v>637</v>
      </c>
      <c r="C814" s="936"/>
      <c r="D814" s="936"/>
      <c r="E814" s="936"/>
      <c r="F814" s="936"/>
      <c r="G814" s="3374" t="s">
        <v>381</v>
      </c>
      <c r="H814" s="3374"/>
      <c r="I814" s="933">
        <f>K4704</f>
        <v>354.04999999999995</v>
      </c>
      <c r="J814" s="1062"/>
      <c r="K814" s="1062">
        <f>I814+J814</f>
        <v>354.04999999999995</v>
      </c>
      <c r="L814" s="3375">
        <f>ROUND(K814,1)</f>
        <v>354.1</v>
      </c>
      <c r="M814" s="3376"/>
      <c r="N814" s="1052"/>
      <c r="O814" s="1052" t="str">
        <f>O813</f>
        <v>ODACT209</v>
      </c>
      <c r="P814" s="1052"/>
      <c r="Q814" s="1052"/>
      <c r="R814" s="1052"/>
      <c r="S814" s="1052"/>
      <c r="T814" s="1052"/>
    </row>
    <row r="815" spans="1:20" s="1055" customFormat="1" ht="13.5" customHeight="1">
      <c r="A815" s="1027" t="s">
        <v>638</v>
      </c>
      <c r="B815" s="931" t="s">
        <v>639</v>
      </c>
      <c r="C815" s="936"/>
      <c r="D815" s="936"/>
      <c r="E815" s="936"/>
      <c r="F815" s="936"/>
      <c r="G815" s="3374" t="s">
        <v>381</v>
      </c>
      <c r="H815" s="3374"/>
      <c r="I815" s="933">
        <f>K4707</f>
        <v>333.89</v>
      </c>
      <c r="J815" s="1062"/>
      <c r="K815" s="1062">
        <f>I815+J815</f>
        <v>333.89</v>
      </c>
      <c r="L815" s="3375">
        <f>ROUND(K815,1)</f>
        <v>333.9</v>
      </c>
      <c r="M815" s="3376"/>
      <c r="N815" s="1052"/>
      <c r="O815" s="1052" t="str">
        <f t="shared" ref="O815:O817" si="84">O814</f>
        <v>ODACT209</v>
      </c>
      <c r="P815" s="1052"/>
      <c r="Q815" s="1052"/>
      <c r="R815" s="1052"/>
      <c r="S815" s="1052"/>
      <c r="T815" s="1052"/>
    </row>
    <row r="816" spans="1:20" s="1055" customFormat="1" ht="13.5" customHeight="1">
      <c r="A816" s="1027" t="s">
        <v>640</v>
      </c>
      <c r="B816" s="931" t="s">
        <v>641</v>
      </c>
      <c r="C816" s="936"/>
      <c r="D816" s="936"/>
      <c r="E816" s="936"/>
      <c r="F816" s="936"/>
      <c r="G816" s="3374" t="s">
        <v>381</v>
      </c>
      <c r="H816" s="3374"/>
      <c r="I816" s="933">
        <f>K4710</f>
        <v>455.78999999999996</v>
      </c>
      <c r="J816" s="1062"/>
      <c r="K816" s="1062">
        <f>I816+J816</f>
        <v>455.78999999999996</v>
      </c>
      <c r="L816" s="3375">
        <f>ROUND(K816,1)</f>
        <v>455.8</v>
      </c>
      <c r="M816" s="3376"/>
      <c r="N816" s="1052"/>
      <c r="O816" s="1052" t="str">
        <f t="shared" si="84"/>
        <v>ODACT209</v>
      </c>
      <c r="P816" s="1052"/>
      <c r="Q816" s="1052"/>
      <c r="R816" s="1052"/>
      <c r="S816" s="1052"/>
      <c r="T816" s="1052"/>
    </row>
    <row r="817" spans="1:20" s="1055" customFormat="1" ht="13.5" customHeight="1">
      <c r="A817" s="1027" t="s">
        <v>642</v>
      </c>
      <c r="B817" s="931" t="s">
        <v>643</v>
      </c>
      <c r="C817" s="936"/>
      <c r="D817" s="936"/>
      <c r="E817" s="936"/>
      <c r="F817" s="936"/>
      <c r="G817" s="3374" t="s">
        <v>381</v>
      </c>
      <c r="H817" s="3374"/>
      <c r="I817" s="933">
        <f>K4713</f>
        <v>354.04999999999995</v>
      </c>
      <c r="J817" s="1062"/>
      <c r="K817" s="1062">
        <f>I817+J817</f>
        <v>354.04999999999995</v>
      </c>
      <c r="L817" s="3375">
        <f>ROUND(K817,1)</f>
        <v>354.1</v>
      </c>
      <c r="M817" s="3376"/>
      <c r="N817" s="1052"/>
      <c r="O817" s="1052" t="str">
        <f t="shared" si="84"/>
        <v>ODACT209</v>
      </c>
      <c r="P817" s="1052"/>
      <c r="Q817" s="1052"/>
      <c r="R817" s="1052"/>
      <c r="S817" s="1052"/>
      <c r="T817" s="1052"/>
    </row>
    <row r="818" spans="1:20" s="1055" customFormat="1" ht="13.5" customHeight="1">
      <c r="A818" s="1027" t="s">
        <v>648</v>
      </c>
      <c r="B818" s="1050" t="s">
        <v>649</v>
      </c>
      <c r="C818" s="936"/>
      <c r="D818" s="936"/>
      <c r="E818" s="936"/>
      <c r="F818" s="936"/>
      <c r="G818" s="3374"/>
      <c r="H818" s="3374"/>
      <c r="I818" s="933"/>
      <c r="J818" s="1062"/>
      <c r="K818" s="1062"/>
      <c r="L818" s="1068"/>
      <c r="M818" s="1069"/>
      <c r="N818" s="1052"/>
      <c r="O818" s="1052"/>
      <c r="P818" s="1052"/>
      <c r="Q818" s="1052"/>
      <c r="R818" s="1052"/>
      <c r="S818" s="1052"/>
      <c r="T818" s="1052"/>
    </row>
    <row r="819" spans="1:20" s="1055" customFormat="1" ht="13.5" customHeight="1">
      <c r="A819" s="1027" t="s">
        <v>413</v>
      </c>
      <c r="B819" s="931" t="s">
        <v>636</v>
      </c>
      <c r="C819" s="936"/>
      <c r="D819" s="936"/>
      <c r="E819" s="936"/>
      <c r="F819" s="936"/>
      <c r="G819" s="3374" t="s">
        <v>381</v>
      </c>
      <c r="H819" s="3374"/>
      <c r="I819" s="933">
        <f>K4717</f>
        <v>343.41999999999996</v>
      </c>
      <c r="J819" s="1062"/>
      <c r="K819" s="1062">
        <f>I819+J819</f>
        <v>343.41999999999996</v>
      </c>
      <c r="L819" s="3375">
        <f>ROUND(K819,1)</f>
        <v>343.4</v>
      </c>
      <c r="M819" s="3376"/>
      <c r="N819" s="1052"/>
      <c r="O819" s="1052" t="s">
        <v>3182</v>
      </c>
      <c r="P819" s="1052"/>
      <c r="Q819" s="1052"/>
      <c r="R819" s="1052"/>
      <c r="S819" s="1052"/>
      <c r="T819" s="1052"/>
    </row>
    <row r="820" spans="1:20" s="1055" customFormat="1" ht="13.5" customHeight="1">
      <c r="A820" s="1027" t="s">
        <v>415</v>
      </c>
      <c r="B820" s="931" t="s">
        <v>637</v>
      </c>
      <c r="C820" s="936"/>
      <c r="D820" s="936"/>
      <c r="E820" s="936"/>
      <c r="F820" s="936"/>
      <c r="G820" s="3374" t="s">
        <v>381</v>
      </c>
      <c r="H820" s="3374"/>
      <c r="I820" s="933">
        <f>K4720</f>
        <v>445.41999999999996</v>
      </c>
      <c r="J820" s="1062"/>
      <c r="K820" s="1062">
        <f>I820+J820</f>
        <v>445.41999999999996</v>
      </c>
      <c r="L820" s="3375">
        <f>ROUND(K820,1)</f>
        <v>445.4</v>
      </c>
      <c r="M820" s="3376"/>
      <c r="N820" s="1052"/>
      <c r="O820" s="1052" t="str">
        <f>O819</f>
        <v>ODACT210.</v>
      </c>
      <c r="P820" s="1052"/>
      <c r="Q820" s="1052"/>
      <c r="R820" s="1052"/>
      <c r="S820" s="1052"/>
      <c r="T820" s="1052"/>
    </row>
    <row r="821" spans="1:20" s="1055" customFormat="1" ht="13.5" customHeight="1">
      <c r="A821" s="1027" t="s">
        <v>638</v>
      </c>
      <c r="B821" s="931" t="s">
        <v>639</v>
      </c>
      <c r="C821" s="936"/>
      <c r="D821" s="936"/>
      <c r="E821" s="936"/>
      <c r="F821" s="936"/>
      <c r="G821" s="3374" t="s">
        <v>381</v>
      </c>
      <c r="H821" s="3374"/>
      <c r="I821" s="933">
        <f>K4723</f>
        <v>420.21999999999997</v>
      </c>
      <c r="J821" s="1062"/>
      <c r="K821" s="1062">
        <f>I821+J821</f>
        <v>420.21999999999997</v>
      </c>
      <c r="L821" s="3375">
        <f>ROUND(K821,1)</f>
        <v>420.2</v>
      </c>
      <c r="M821" s="3376"/>
      <c r="N821" s="1052"/>
      <c r="O821" s="1052" t="s">
        <v>3182</v>
      </c>
      <c r="P821" s="1052"/>
      <c r="Q821" s="1052"/>
      <c r="R821" s="1052"/>
      <c r="S821" s="1052"/>
      <c r="T821" s="1052"/>
    </row>
    <row r="822" spans="1:20" s="1055" customFormat="1" ht="13.5" customHeight="1">
      <c r="A822" s="1027" t="s">
        <v>640</v>
      </c>
      <c r="B822" s="931" t="s">
        <v>641</v>
      </c>
      <c r="C822" s="936"/>
      <c r="D822" s="936"/>
      <c r="E822" s="936"/>
      <c r="F822" s="936"/>
      <c r="G822" s="3374" t="s">
        <v>381</v>
      </c>
      <c r="H822" s="3374"/>
      <c r="I822" s="933">
        <f>K4726</f>
        <v>572.59</v>
      </c>
      <c r="J822" s="1062"/>
      <c r="K822" s="1062">
        <f>I822+J822</f>
        <v>572.59</v>
      </c>
      <c r="L822" s="3375">
        <f>ROUND(K822,1)</f>
        <v>572.6</v>
      </c>
      <c r="M822" s="3376"/>
      <c r="N822" s="1052"/>
      <c r="O822" s="1052" t="str">
        <f t="shared" ref="O822" si="85">O821</f>
        <v>ODACT210.</v>
      </c>
      <c r="P822" s="1052"/>
      <c r="Q822" s="1052"/>
      <c r="R822" s="1052"/>
      <c r="S822" s="1052"/>
      <c r="T822" s="1052"/>
    </row>
    <row r="823" spans="1:20" s="1055" customFormat="1" ht="13.5" customHeight="1">
      <c r="A823" s="1027" t="s">
        <v>642</v>
      </c>
      <c r="B823" s="931" t="s">
        <v>643</v>
      </c>
      <c r="C823" s="936"/>
      <c r="D823" s="936"/>
      <c r="E823" s="936"/>
      <c r="F823" s="936"/>
      <c r="G823" s="3374" t="s">
        <v>381</v>
      </c>
      <c r="H823" s="3374"/>
      <c r="I823" s="933">
        <f>K4729</f>
        <v>445.41999999999996</v>
      </c>
      <c r="J823" s="1062"/>
      <c r="K823" s="1062">
        <f>I823+J823</f>
        <v>445.41999999999996</v>
      </c>
      <c r="L823" s="3375">
        <f>ROUND(K823,1)</f>
        <v>445.4</v>
      </c>
      <c r="M823" s="3376"/>
      <c r="N823" s="1052"/>
      <c r="O823" s="1052" t="s">
        <v>3182</v>
      </c>
      <c r="P823" s="1052"/>
      <c r="Q823" s="1052"/>
      <c r="R823" s="1052"/>
      <c r="S823" s="1052"/>
      <c r="T823" s="1052"/>
    </row>
    <row r="824" spans="1:20" s="1055" customFormat="1" ht="13.5" customHeight="1">
      <c r="A824" s="1027" t="s">
        <v>650</v>
      </c>
      <c r="B824" s="1050" t="s">
        <v>651</v>
      </c>
      <c r="C824" s="936"/>
      <c r="D824" s="936"/>
      <c r="E824" s="936"/>
      <c r="F824" s="936"/>
      <c r="G824" s="3374"/>
      <c r="H824" s="3374"/>
      <c r="I824" s="933"/>
      <c r="J824" s="1062"/>
      <c r="K824" s="1062"/>
      <c r="L824" s="1068"/>
      <c r="M824" s="1069"/>
      <c r="N824" s="1052"/>
      <c r="O824" s="1052"/>
      <c r="P824" s="1052"/>
      <c r="Q824" s="1052"/>
      <c r="R824" s="1052"/>
      <c r="S824" s="1052"/>
      <c r="T824" s="1052"/>
    </row>
    <row r="825" spans="1:20" s="1055" customFormat="1" ht="13.5" customHeight="1">
      <c r="A825" s="1027" t="s">
        <v>413</v>
      </c>
      <c r="B825" s="931" t="s">
        <v>636</v>
      </c>
      <c r="C825" s="936"/>
      <c r="D825" s="936"/>
      <c r="E825" s="936"/>
      <c r="F825" s="936"/>
      <c r="G825" s="3374" t="s">
        <v>381</v>
      </c>
      <c r="H825" s="3374"/>
      <c r="I825" s="933">
        <f>K4733</f>
        <v>414.38</v>
      </c>
      <c r="J825" s="1062"/>
      <c r="K825" s="1062">
        <f>I825+J825</f>
        <v>414.38</v>
      </c>
      <c r="L825" s="3375">
        <f>ROUND(K825,1)</f>
        <v>414.4</v>
      </c>
      <c r="M825" s="3376"/>
      <c r="N825" s="1052"/>
      <c r="O825" s="1052" t="s">
        <v>3183</v>
      </c>
      <c r="P825" s="1052"/>
      <c r="Q825" s="1052"/>
      <c r="R825" s="1052"/>
      <c r="S825" s="1052"/>
      <c r="T825" s="1052"/>
    </row>
    <row r="826" spans="1:20" s="1055" customFormat="1" ht="13.5" customHeight="1">
      <c r="A826" s="1027" t="s">
        <v>415</v>
      </c>
      <c r="B826" s="931" t="s">
        <v>637</v>
      </c>
      <c r="C826" s="936"/>
      <c r="D826" s="936"/>
      <c r="E826" s="936"/>
      <c r="F826" s="936"/>
      <c r="G826" s="3374" t="s">
        <v>381</v>
      </c>
      <c r="H826" s="3374"/>
      <c r="I826" s="933">
        <f>K4736</f>
        <v>536.78</v>
      </c>
      <c r="J826" s="1062"/>
      <c r="K826" s="1062">
        <f>I826+J826</f>
        <v>536.78</v>
      </c>
      <c r="L826" s="3375">
        <f>ROUND(K826,1)</f>
        <v>536.79999999999995</v>
      </c>
      <c r="M826" s="3376"/>
      <c r="N826" s="1052"/>
      <c r="O826" s="1052" t="str">
        <f>O825</f>
        <v>ODACT211</v>
      </c>
      <c r="P826" s="1052"/>
      <c r="Q826" s="1052"/>
      <c r="R826" s="1052"/>
      <c r="S826" s="1052"/>
      <c r="T826" s="1052"/>
    </row>
    <row r="827" spans="1:20" s="1055" customFormat="1" ht="13.5" customHeight="1">
      <c r="A827" s="1027" t="s">
        <v>638</v>
      </c>
      <c r="B827" s="931" t="s">
        <v>639</v>
      </c>
      <c r="C827" s="936"/>
      <c r="D827" s="936"/>
      <c r="E827" s="936"/>
      <c r="F827" s="936"/>
      <c r="G827" s="3374" t="s">
        <v>381</v>
      </c>
      <c r="H827" s="3374"/>
      <c r="I827" s="933">
        <f>K4739</f>
        <v>506.54</v>
      </c>
      <c r="J827" s="1062"/>
      <c r="K827" s="1062">
        <f>I827+J827</f>
        <v>506.54</v>
      </c>
      <c r="L827" s="3375">
        <f>ROUND(K827,1)</f>
        <v>506.5</v>
      </c>
      <c r="M827" s="3376"/>
      <c r="N827" s="1052"/>
      <c r="O827" s="1052" t="str">
        <f t="shared" ref="O827:O829" si="86">O826</f>
        <v>ODACT211</v>
      </c>
      <c r="P827" s="1052"/>
      <c r="Q827" s="1052"/>
      <c r="R827" s="1052"/>
      <c r="S827" s="1052"/>
      <c r="T827" s="1052"/>
    </row>
    <row r="828" spans="1:20" s="1055" customFormat="1" ht="13.5" customHeight="1">
      <c r="A828" s="1027" t="s">
        <v>640</v>
      </c>
      <c r="B828" s="931" t="s">
        <v>641</v>
      </c>
      <c r="C828" s="936"/>
      <c r="D828" s="936"/>
      <c r="E828" s="936"/>
      <c r="F828" s="936"/>
      <c r="G828" s="3374" t="s">
        <v>381</v>
      </c>
      <c r="H828" s="3374"/>
      <c r="I828" s="933">
        <f>K4742</f>
        <v>689.39</v>
      </c>
      <c r="J828" s="1062"/>
      <c r="K828" s="1062">
        <f>I828+J828</f>
        <v>689.39</v>
      </c>
      <c r="L828" s="3375">
        <f>ROUND(K828,1)</f>
        <v>689.4</v>
      </c>
      <c r="M828" s="3376"/>
      <c r="N828" s="1052"/>
      <c r="O828" s="1052" t="str">
        <f t="shared" si="86"/>
        <v>ODACT211</v>
      </c>
      <c r="P828" s="1052"/>
      <c r="Q828" s="1052"/>
      <c r="R828" s="1052"/>
      <c r="S828" s="1052"/>
      <c r="T828" s="1052"/>
    </row>
    <row r="829" spans="1:20" s="1055" customFormat="1" ht="13.5" customHeight="1">
      <c r="A829" s="1027" t="s">
        <v>642</v>
      </c>
      <c r="B829" s="931" t="s">
        <v>643</v>
      </c>
      <c r="C829" s="936"/>
      <c r="D829" s="936"/>
      <c r="E829" s="936"/>
      <c r="F829" s="936"/>
      <c r="G829" s="3374" t="s">
        <v>381</v>
      </c>
      <c r="H829" s="3374"/>
      <c r="I829" s="933">
        <f>K4745</f>
        <v>536.78</v>
      </c>
      <c r="J829" s="1062"/>
      <c r="K829" s="1062">
        <f>I829+J829</f>
        <v>536.78</v>
      </c>
      <c r="L829" s="3375">
        <f>ROUND(K829,1)</f>
        <v>536.79999999999995</v>
      </c>
      <c r="M829" s="3376"/>
      <c r="N829" s="1052"/>
      <c r="O829" s="1052" t="str">
        <f t="shared" si="86"/>
        <v>ODACT211</v>
      </c>
      <c r="P829" s="1052"/>
      <c r="Q829" s="1052"/>
      <c r="R829" s="1052"/>
      <c r="S829" s="1052"/>
      <c r="T829" s="1052"/>
    </row>
    <row r="830" spans="1:20" s="1055" customFormat="1" ht="13.5" customHeight="1">
      <c r="A830" s="1027" t="s">
        <v>652</v>
      </c>
      <c r="B830" s="1050" t="s">
        <v>653</v>
      </c>
      <c r="C830" s="936"/>
      <c r="D830" s="936"/>
      <c r="E830" s="936"/>
      <c r="F830" s="936"/>
      <c r="G830" s="3374"/>
      <c r="H830" s="3374"/>
      <c r="I830" s="933"/>
      <c r="J830" s="1062"/>
      <c r="K830" s="1062"/>
      <c r="L830" s="1068"/>
      <c r="M830" s="1069"/>
      <c r="N830" s="1052"/>
      <c r="O830" s="1052"/>
      <c r="P830" s="1052"/>
      <c r="Q830" s="1052"/>
      <c r="R830" s="1052"/>
      <c r="S830" s="1052"/>
      <c r="T830" s="1052"/>
    </row>
    <row r="831" spans="1:20" s="1055" customFormat="1" ht="13.5" customHeight="1">
      <c r="A831" s="1027" t="s">
        <v>413</v>
      </c>
      <c r="B831" s="931" t="s">
        <v>636</v>
      </c>
      <c r="C831" s="936"/>
      <c r="D831" s="936"/>
      <c r="E831" s="936"/>
      <c r="F831" s="936"/>
      <c r="G831" s="3374" t="s">
        <v>381</v>
      </c>
      <c r="H831" s="3374"/>
      <c r="I831" s="933">
        <f>K4749</f>
        <v>485.35</v>
      </c>
      <c r="J831" s="1062"/>
      <c r="K831" s="1062">
        <f>I831+J831</f>
        <v>485.35</v>
      </c>
      <c r="L831" s="3375">
        <f>ROUND(K831,1)</f>
        <v>485.4</v>
      </c>
      <c r="M831" s="3376"/>
      <c r="N831" s="1052"/>
      <c r="O831" s="1052" t="s">
        <v>3184</v>
      </c>
      <c r="P831" s="1052"/>
      <c r="Q831" s="1052"/>
      <c r="R831" s="1052"/>
      <c r="S831" s="1052"/>
      <c r="T831" s="1052"/>
    </row>
    <row r="832" spans="1:20" s="1055" customFormat="1" ht="13.5" customHeight="1">
      <c r="A832" s="1027" t="s">
        <v>415</v>
      </c>
      <c r="B832" s="931" t="s">
        <v>637</v>
      </c>
      <c r="C832" s="936"/>
      <c r="D832" s="936"/>
      <c r="E832" s="936"/>
      <c r="F832" s="936"/>
      <c r="G832" s="3374" t="s">
        <v>381</v>
      </c>
      <c r="H832" s="3374"/>
      <c r="I832" s="933">
        <f>K4752</f>
        <v>628.15</v>
      </c>
      <c r="J832" s="1062"/>
      <c r="K832" s="1062">
        <f>I832+J832</f>
        <v>628.15</v>
      </c>
      <c r="L832" s="3375">
        <f>ROUND(K832,1)</f>
        <v>628.20000000000005</v>
      </c>
      <c r="M832" s="3376"/>
      <c r="N832" s="1052"/>
      <c r="O832" s="1052" t="str">
        <f>O831</f>
        <v>ODACT212</v>
      </c>
      <c r="P832" s="1052"/>
      <c r="Q832" s="1052"/>
      <c r="R832" s="1052"/>
      <c r="S832" s="1052"/>
      <c r="T832" s="1052"/>
    </row>
    <row r="833" spans="1:20" s="1055" customFormat="1" ht="13.5" customHeight="1">
      <c r="A833" s="1027" t="s">
        <v>638</v>
      </c>
      <c r="B833" s="931" t="s">
        <v>639</v>
      </c>
      <c r="C833" s="936"/>
      <c r="D833" s="936"/>
      <c r="E833" s="936"/>
      <c r="F833" s="936"/>
      <c r="G833" s="3374" t="s">
        <v>381</v>
      </c>
      <c r="H833" s="3374"/>
      <c r="I833" s="933">
        <f>K4755</f>
        <v>592.87</v>
      </c>
      <c r="J833" s="1062"/>
      <c r="K833" s="1062">
        <f>I833+J833</f>
        <v>592.87</v>
      </c>
      <c r="L833" s="3375">
        <f>ROUND(K833,1)</f>
        <v>592.9</v>
      </c>
      <c r="M833" s="3376"/>
      <c r="N833" s="1052"/>
      <c r="O833" s="1052" t="str">
        <f t="shared" ref="O833:O835" si="87">O832</f>
        <v>ODACT212</v>
      </c>
      <c r="P833" s="1052"/>
      <c r="Q833" s="1052"/>
      <c r="R833" s="1052"/>
      <c r="S833" s="1052"/>
      <c r="T833" s="1052"/>
    </row>
    <row r="834" spans="1:20" s="1055" customFormat="1" ht="13.5" customHeight="1">
      <c r="A834" s="1027" t="s">
        <v>640</v>
      </c>
      <c r="B834" s="931" t="s">
        <v>641</v>
      </c>
      <c r="C834" s="936"/>
      <c r="D834" s="936"/>
      <c r="E834" s="936"/>
      <c r="F834" s="936"/>
      <c r="G834" s="3374" t="s">
        <v>381</v>
      </c>
      <c r="H834" s="3374"/>
      <c r="I834" s="933">
        <f>K4758</f>
        <v>806.19</v>
      </c>
      <c r="J834" s="1062"/>
      <c r="K834" s="1062">
        <f>I834+J834</f>
        <v>806.19</v>
      </c>
      <c r="L834" s="3375">
        <f>ROUND(K834,1)</f>
        <v>806.2</v>
      </c>
      <c r="M834" s="3376"/>
      <c r="N834" s="1052"/>
      <c r="O834" s="1052" t="str">
        <f t="shared" si="87"/>
        <v>ODACT212</v>
      </c>
      <c r="P834" s="1052"/>
      <c r="Q834" s="1052"/>
      <c r="R834" s="1052"/>
      <c r="S834" s="1052"/>
      <c r="T834" s="1052"/>
    </row>
    <row r="835" spans="1:20" s="1055" customFormat="1" ht="13.5" customHeight="1">
      <c r="A835" s="1027" t="s">
        <v>642</v>
      </c>
      <c r="B835" s="931" t="s">
        <v>643</v>
      </c>
      <c r="C835" s="936"/>
      <c r="D835" s="936"/>
      <c r="E835" s="936"/>
      <c r="F835" s="936"/>
      <c r="G835" s="3374" t="s">
        <v>381</v>
      </c>
      <c r="H835" s="3374"/>
      <c r="I835" s="933">
        <f>K4761</f>
        <v>628.15</v>
      </c>
      <c r="J835" s="1062"/>
      <c r="K835" s="1062">
        <f>I835+J835</f>
        <v>628.15</v>
      </c>
      <c r="L835" s="3375">
        <f>ROUND(K835,1)</f>
        <v>628.20000000000005</v>
      </c>
      <c r="M835" s="3376"/>
      <c r="N835" s="1052"/>
      <c r="O835" s="1052" t="str">
        <f t="shared" si="87"/>
        <v>ODACT212</v>
      </c>
      <c r="P835" s="1052"/>
      <c r="Q835" s="1052"/>
      <c r="R835" s="1052"/>
      <c r="S835" s="1052"/>
      <c r="T835" s="1052"/>
    </row>
    <row r="836" spans="1:20" s="1055" customFormat="1" ht="13.5" customHeight="1">
      <c r="A836" s="1027" t="s">
        <v>654</v>
      </c>
      <c r="B836" s="1050" t="s">
        <v>655</v>
      </c>
      <c r="C836" s="936"/>
      <c r="D836" s="936"/>
      <c r="E836" s="936"/>
      <c r="F836" s="936"/>
      <c r="G836" s="3374"/>
      <c r="H836" s="3374"/>
      <c r="I836" s="933"/>
      <c r="J836" s="1062"/>
      <c r="K836" s="1062"/>
      <c r="L836" s="1068"/>
      <c r="M836" s="1069"/>
      <c r="N836" s="1052"/>
      <c r="O836" s="1052"/>
      <c r="P836" s="1052"/>
      <c r="Q836" s="1052"/>
      <c r="R836" s="1052"/>
      <c r="S836" s="1052"/>
      <c r="T836" s="1052"/>
    </row>
    <row r="837" spans="1:20" s="1055" customFormat="1" ht="13.5" customHeight="1">
      <c r="A837" s="1027" t="s">
        <v>413</v>
      </c>
      <c r="B837" s="931" t="s">
        <v>636</v>
      </c>
      <c r="C837" s="936"/>
      <c r="D837" s="936"/>
      <c r="E837" s="936"/>
      <c r="F837" s="936"/>
      <c r="G837" s="3374" t="s">
        <v>381</v>
      </c>
      <c r="H837" s="3374"/>
      <c r="I837" s="933">
        <f>K4765</f>
        <v>556.30999999999995</v>
      </c>
      <c r="J837" s="1062"/>
      <c r="K837" s="1062">
        <f>I837+J837</f>
        <v>556.30999999999995</v>
      </c>
      <c r="L837" s="3375">
        <f>ROUND(K837,1)</f>
        <v>556.29999999999995</v>
      </c>
      <c r="M837" s="3376"/>
      <c r="N837" s="1052"/>
      <c r="O837" s="1052" t="s">
        <v>3185</v>
      </c>
      <c r="P837" s="1052"/>
      <c r="Q837" s="1052"/>
      <c r="R837" s="1052"/>
      <c r="S837" s="1052"/>
      <c r="T837" s="1052"/>
    </row>
    <row r="838" spans="1:20" s="1055" customFormat="1" ht="13.5" customHeight="1">
      <c r="A838" s="1027" t="s">
        <v>415</v>
      </c>
      <c r="B838" s="931" t="s">
        <v>637</v>
      </c>
      <c r="C838" s="936"/>
      <c r="D838" s="936"/>
      <c r="E838" s="936"/>
      <c r="F838" s="936"/>
      <c r="G838" s="3374" t="s">
        <v>381</v>
      </c>
      <c r="H838" s="3374"/>
      <c r="I838" s="933">
        <f>K4768</f>
        <v>719.51</v>
      </c>
      <c r="J838" s="1062"/>
      <c r="K838" s="1062">
        <f>I838+J838</f>
        <v>719.51</v>
      </c>
      <c r="L838" s="3375">
        <f>ROUND(K838,1)</f>
        <v>719.5</v>
      </c>
      <c r="M838" s="3376"/>
      <c r="N838" s="1052"/>
      <c r="O838" s="1052" t="str">
        <f>O837</f>
        <v>ODACT213</v>
      </c>
      <c r="P838" s="1052"/>
      <c r="Q838" s="1052"/>
      <c r="R838" s="1052"/>
      <c r="S838" s="1052"/>
      <c r="T838" s="1052"/>
    </row>
    <row r="839" spans="1:20" s="1055" customFormat="1" ht="13.5" customHeight="1">
      <c r="A839" s="1027" t="s">
        <v>638</v>
      </c>
      <c r="B839" s="931" t="s">
        <v>639</v>
      </c>
      <c r="C839" s="936"/>
      <c r="D839" s="936"/>
      <c r="E839" s="936"/>
      <c r="F839" s="936"/>
      <c r="G839" s="3374" t="s">
        <v>381</v>
      </c>
      <c r="H839" s="3374"/>
      <c r="I839" s="933">
        <f>K4771</f>
        <v>679.19</v>
      </c>
      <c r="J839" s="1062"/>
      <c r="K839" s="1062">
        <f>I839+J839</f>
        <v>679.19</v>
      </c>
      <c r="L839" s="3375">
        <f>ROUND(K839,1)</f>
        <v>679.2</v>
      </c>
      <c r="M839" s="3376"/>
      <c r="N839" s="1052"/>
      <c r="O839" s="1052" t="str">
        <f t="shared" ref="O839:O841" si="88">O838</f>
        <v>ODACT213</v>
      </c>
      <c r="P839" s="1052"/>
      <c r="Q839" s="1052"/>
      <c r="R839" s="1052"/>
      <c r="S839" s="1052"/>
      <c r="T839" s="1052"/>
    </row>
    <row r="840" spans="1:20" s="1055" customFormat="1" ht="13.5" customHeight="1">
      <c r="A840" s="1027" t="s">
        <v>640</v>
      </c>
      <c r="B840" s="931" t="s">
        <v>641</v>
      </c>
      <c r="C840" s="936"/>
      <c r="D840" s="936"/>
      <c r="E840" s="936"/>
      <c r="F840" s="936"/>
      <c r="G840" s="3374" t="s">
        <v>381</v>
      </c>
      <c r="H840" s="3374"/>
      <c r="I840" s="933">
        <f>K4774</f>
        <v>922.99</v>
      </c>
      <c r="J840" s="1062"/>
      <c r="K840" s="1062">
        <f>I840+J840</f>
        <v>922.99</v>
      </c>
      <c r="L840" s="3375">
        <f>ROUND(K840,1)</f>
        <v>923</v>
      </c>
      <c r="M840" s="3376"/>
      <c r="N840" s="1052"/>
      <c r="O840" s="1052" t="str">
        <f t="shared" si="88"/>
        <v>ODACT213</v>
      </c>
      <c r="P840" s="1052"/>
      <c r="Q840" s="1052"/>
      <c r="R840" s="1052"/>
      <c r="S840" s="1052"/>
      <c r="T840" s="1052"/>
    </row>
    <row r="841" spans="1:20" s="1055" customFormat="1" ht="13.5" customHeight="1">
      <c r="A841" s="1027" t="s">
        <v>642</v>
      </c>
      <c r="B841" s="931" t="s">
        <v>643</v>
      </c>
      <c r="C841" s="936"/>
      <c r="D841" s="936"/>
      <c r="E841" s="936"/>
      <c r="F841" s="936"/>
      <c r="G841" s="3374" t="s">
        <v>381</v>
      </c>
      <c r="H841" s="3374"/>
      <c r="I841" s="933">
        <f>K4777</f>
        <v>719.51</v>
      </c>
      <c r="J841" s="1062"/>
      <c r="K841" s="1062">
        <f>I841+J841</f>
        <v>719.51</v>
      </c>
      <c r="L841" s="3375">
        <f>ROUND(K841,1)</f>
        <v>719.5</v>
      </c>
      <c r="M841" s="3376"/>
      <c r="N841" s="1052"/>
      <c r="O841" s="1052" t="str">
        <f t="shared" si="88"/>
        <v>ODACT213</v>
      </c>
      <c r="P841" s="1052"/>
      <c r="Q841" s="1052"/>
      <c r="R841" s="1052"/>
      <c r="S841" s="1052"/>
      <c r="T841" s="1052"/>
    </row>
    <row r="842" spans="1:20" s="1055" customFormat="1" ht="13.5" customHeight="1">
      <c r="A842" s="1027" t="s">
        <v>656</v>
      </c>
      <c r="B842" s="1050" t="s">
        <v>657</v>
      </c>
      <c r="C842" s="936"/>
      <c r="D842" s="936"/>
      <c r="E842" s="936"/>
      <c r="F842" s="936"/>
      <c r="G842" s="3374"/>
      <c r="H842" s="3374"/>
      <c r="I842" s="933"/>
      <c r="J842" s="1062"/>
      <c r="K842" s="1062"/>
      <c r="L842" s="1068"/>
      <c r="M842" s="1069"/>
      <c r="N842" s="1052"/>
      <c r="O842" s="1052"/>
      <c r="P842" s="1052"/>
      <c r="Q842" s="1052"/>
      <c r="R842" s="1052"/>
      <c r="S842" s="1052"/>
      <c r="T842" s="1052"/>
    </row>
    <row r="843" spans="1:20" s="1055" customFormat="1" ht="13.5" customHeight="1">
      <c r="A843" s="1027" t="s">
        <v>413</v>
      </c>
      <c r="B843" s="931" t="s">
        <v>636</v>
      </c>
      <c r="C843" s="936"/>
      <c r="D843" s="936"/>
      <c r="E843" s="936"/>
      <c r="F843" s="936"/>
      <c r="G843" s="3374" t="s">
        <v>381</v>
      </c>
      <c r="H843" s="3374"/>
      <c r="I843" s="933">
        <f>K4781</f>
        <v>627.28000000000009</v>
      </c>
      <c r="J843" s="1062"/>
      <c r="K843" s="1062">
        <f>I843+J843</f>
        <v>627.28000000000009</v>
      </c>
      <c r="L843" s="3375">
        <f>ROUND(K843,1)</f>
        <v>627.29999999999995</v>
      </c>
      <c r="M843" s="3376"/>
      <c r="N843" s="1052"/>
      <c r="O843" s="1052" t="s">
        <v>3186</v>
      </c>
      <c r="P843" s="1052"/>
      <c r="Q843" s="1052"/>
      <c r="R843" s="1052"/>
      <c r="S843" s="1052"/>
      <c r="T843" s="1052"/>
    </row>
    <row r="844" spans="1:20" s="1055" customFormat="1" ht="13.5" customHeight="1">
      <c r="A844" s="1027" t="s">
        <v>415</v>
      </c>
      <c r="B844" s="931" t="s">
        <v>637</v>
      </c>
      <c r="C844" s="936"/>
      <c r="D844" s="936"/>
      <c r="E844" s="936"/>
      <c r="F844" s="936"/>
      <c r="G844" s="3374" t="s">
        <v>381</v>
      </c>
      <c r="H844" s="3374"/>
      <c r="I844" s="933">
        <f>K4784</f>
        <v>810.88</v>
      </c>
      <c r="J844" s="1062"/>
      <c r="K844" s="1062">
        <f>I844+J844</f>
        <v>810.88</v>
      </c>
      <c r="L844" s="3375">
        <f>ROUND(K844,1)</f>
        <v>810.9</v>
      </c>
      <c r="M844" s="3376"/>
      <c r="N844" s="1052"/>
      <c r="O844" s="1052" t="str">
        <f>O843</f>
        <v>ODACT214</v>
      </c>
      <c r="P844" s="1052"/>
      <c r="Q844" s="1052"/>
      <c r="R844" s="1052"/>
      <c r="S844" s="1052"/>
      <c r="T844" s="1052"/>
    </row>
    <row r="845" spans="1:20" s="1055" customFormat="1" ht="13.5" customHeight="1">
      <c r="A845" s="1027" t="s">
        <v>638</v>
      </c>
      <c r="B845" s="931" t="s">
        <v>639</v>
      </c>
      <c r="C845" s="936"/>
      <c r="D845" s="936"/>
      <c r="E845" s="936"/>
      <c r="F845" s="936"/>
      <c r="G845" s="3374" t="s">
        <v>381</v>
      </c>
      <c r="H845" s="3374"/>
      <c r="I845" s="933">
        <f>K4787</f>
        <v>765.5200000000001</v>
      </c>
      <c r="J845" s="1062"/>
      <c r="K845" s="1062">
        <f>I845+J845</f>
        <v>765.5200000000001</v>
      </c>
      <c r="L845" s="3375">
        <f>ROUND(K845,1)</f>
        <v>765.5</v>
      </c>
      <c r="M845" s="3376"/>
      <c r="N845" s="1052"/>
      <c r="O845" s="1052" t="str">
        <f t="shared" ref="O845:O847" si="89">O844</f>
        <v>ODACT214</v>
      </c>
      <c r="P845" s="1052"/>
      <c r="Q845" s="1052"/>
      <c r="R845" s="1052"/>
      <c r="S845" s="1052"/>
      <c r="T845" s="1052"/>
    </row>
    <row r="846" spans="1:20" s="1055" customFormat="1" ht="13.5" customHeight="1">
      <c r="A846" s="1027" t="s">
        <v>640</v>
      </c>
      <c r="B846" s="931" t="s">
        <v>641</v>
      </c>
      <c r="C846" s="936"/>
      <c r="D846" s="936"/>
      <c r="E846" s="936"/>
      <c r="F846" s="936"/>
      <c r="G846" s="3374" t="s">
        <v>381</v>
      </c>
      <c r="H846" s="3374"/>
      <c r="I846" s="933">
        <f>K4790</f>
        <v>1039.79</v>
      </c>
      <c r="J846" s="1062"/>
      <c r="K846" s="1062">
        <f>I846+J846</f>
        <v>1039.79</v>
      </c>
      <c r="L846" s="3375">
        <f>ROUND(K846,1)</f>
        <v>1039.8</v>
      </c>
      <c r="M846" s="3376"/>
      <c r="N846" s="1052"/>
      <c r="O846" s="1052" t="str">
        <f t="shared" si="89"/>
        <v>ODACT214</v>
      </c>
      <c r="P846" s="1052"/>
      <c r="Q846" s="1052"/>
      <c r="R846" s="1052"/>
      <c r="S846" s="1052"/>
      <c r="T846" s="1052"/>
    </row>
    <row r="847" spans="1:20" s="1055" customFormat="1" ht="13.5" customHeight="1">
      <c r="A847" s="1027" t="s">
        <v>642</v>
      </c>
      <c r="B847" s="931" t="s">
        <v>643</v>
      </c>
      <c r="C847" s="936"/>
      <c r="D847" s="936"/>
      <c r="E847" s="936"/>
      <c r="F847" s="936"/>
      <c r="G847" s="3374" t="s">
        <v>381</v>
      </c>
      <c r="H847" s="3374"/>
      <c r="I847" s="933">
        <f>K4793</f>
        <v>810.88</v>
      </c>
      <c r="J847" s="1062"/>
      <c r="K847" s="1062">
        <f>I847+J847</f>
        <v>810.88</v>
      </c>
      <c r="L847" s="3375">
        <f>ROUND(K847,1)</f>
        <v>810.9</v>
      </c>
      <c r="M847" s="3376"/>
      <c r="N847" s="1052"/>
      <c r="O847" s="1052" t="str">
        <f t="shared" si="89"/>
        <v>ODACT214</v>
      </c>
      <c r="P847" s="1052"/>
      <c r="Q847" s="1052"/>
      <c r="R847" s="1052"/>
      <c r="S847" s="1052"/>
      <c r="T847" s="1052"/>
    </row>
    <row r="848" spans="1:20" s="1055" customFormat="1" ht="13.5" customHeight="1">
      <c r="A848" s="1027"/>
      <c r="B848" s="931"/>
      <c r="C848" s="936"/>
      <c r="D848" s="936"/>
      <c r="E848" s="936"/>
      <c r="F848" s="936"/>
      <c r="G848" s="1070"/>
      <c r="H848" s="1070"/>
      <c r="I848" s="933"/>
      <c r="J848" s="1062"/>
      <c r="K848" s="1062"/>
      <c r="L848" s="1068"/>
      <c r="M848" s="1069"/>
      <c r="N848" s="1052"/>
      <c r="O848" s="1052"/>
      <c r="P848" s="1052"/>
      <c r="Q848" s="1052"/>
      <c r="R848" s="1052"/>
      <c r="S848" s="1052"/>
      <c r="T848" s="1052"/>
    </row>
    <row r="849" spans="1:20" s="1055" customFormat="1" ht="13.5" customHeight="1">
      <c r="A849" s="1027">
        <f>A799+1</f>
        <v>172</v>
      </c>
      <c r="B849" s="931" t="s">
        <v>658</v>
      </c>
      <c r="C849" s="936"/>
      <c r="D849" s="936"/>
      <c r="E849" s="936"/>
      <c r="F849" s="936"/>
      <c r="G849" s="3374"/>
      <c r="H849" s="3374"/>
      <c r="I849" s="933"/>
      <c r="J849" s="1062"/>
      <c r="K849" s="1062"/>
      <c r="L849" s="3375"/>
      <c r="M849" s="3376"/>
      <c r="N849" s="1052"/>
      <c r="O849" s="1052"/>
      <c r="P849" s="1052"/>
      <c r="Q849" s="1052"/>
      <c r="R849" s="1052"/>
      <c r="S849" s="1052"/>
      <c r="T849" s="1052"/>
    </row>
    <row r="850" spans="1:20" s="1055" customFormat="1" ht="13.5" customHeight="1">
      <c r="A850" s="1027" t="s">
        <v>634</v>
      </c>
      <c r="B850" s="1050" t="s">
        <v>635</v>
      </c>
      <c r="C850" s="936"/>
      <c r="D850" s="936"/>
      <c r="E850" s="936"/>
      <c r="F850" s="936"/>
      <c r="G850" s="3374"/>
      <c r="H850" s="3374"/>
      <c r="I850" s="933"/>
      <c r="J850" s="1062"/>
      <c r="K850" s="1062"/>
      <c r="L850" s="3375"/>
      <c r="M850" s="3376"/>
      <c r="N850" s="1052"/>
      <c r="O850" s="1052"/>
      <c r="P850" s="1052"/>
      <c r="Q850" s="1052"/>
      <c r="R850" s="1052"/>
      <c r="S850" s="1052"/>
      <c r="T850" s="1052"/>
    </row>
    <row r="851" spans="1:20" s="1055" customFormat="1" ht="13.5" customHeight="1">
      <c r="A851" s="1027" t="s">
        <v>413</v>
      </c>
      <c r="B851" s="931" t="s">
        <v>659</v>
      </c>
      <c r="C851" s="936"/>
      <c r="D851" s="936"/>
      <c r="E851" s="936"/>
      <c r="F851" s="936"/>
      <c r="G851" s="3374" t="s">
        <v>381</v>
      </c>
      <c r="H851" s="3374"/>
      <c r="I851" s="933">
        <f>K4797</f>
        <v>202.35</v>
      </c>
      <c r="J851" s="1062"/>
      <c r="K851" s="1062">
        <f>I851+J851</f>
        <v>202.35</v>
      </c>
      <c r="L851" s="3375">
        <f>ROUND(K851,1)</f>
        <v>202.4</v>
      </c>
      <c r="M851" s="3376"/>
      <c r="N851" s="1052"/>
      <c r="O851" s="1052"/>
      <c r="P851" s="1052"/>
      <c r="Q851" s="1052"/>
      <c r="R851" s="1052"/>
      <c r="S851" s="1052"/>
      <c r="T851" s="1052"/>
    </row>
    <row r="852" spans="1:20" s="1055" customFormat="1" ht="13.5" customHeight="1">
      <c r="A852" s="1027" t="s">
        <v>644</v>
      </c>
      <c r="B852" s="1050" t="s">
        <v>645</v>
      </c>
      <c r="C852" s="936"/>
      <c r="D852" s="936"/>
      <c r="E852" s="936"/>
      <c r="F852" s="936"/>
      <c r="G852" s="3374"/>
      <c r="H852" s="3374"/>
      <c r="I852" s="933"/>
      <c r="J852" s="1062"/>
      <c r="K852" s="1062"/>
      <c r="L852" s="1068"/>
      <c r="M852" s="1069"/>
      <c r="N852" s="1052"/>
      <c r="O852" s="1052"/>
      <c r="P852" s="1052"/>
      <c r="Q852" s="1052"/>
      <c r="R852" s="1052"/>
      <c r="S852" s="1052"/>
      <c r="T852" s="1052"/>
    </row>
    <row r="853" spans="1:20" s="1055" customFormat="1" ht="13.5" customHeight="1">
      <c r="A853" s="1027" t="s">
        <v>413</v>
      </c>
      <c r="B853" s="931" t="str">
        <f>B851</f>
        <v>i.Disintegrated Rock</v>
      </c>
      <c r="C853" s="936"/>
      <c r="D853" s="936"/>
      <c r="E853" s="936"/>
      <c r="F853" s="936"/>
      <c r="G853" s="3374" t="s">
        <v>381</v>
      </c>
      <c r="H853" s="3374"/>
      <c r="I853" s="933">
        <f>K4801</f>
        <v>314.95</v>
      </c>
      <c r="J853" s="1062"/>
      <c r="K853" s="1062">
        <f>I853+J853</f>
        <v>314.95</v>
      </c>
      <c r="L853" s="3375">
        <f>ROUND(K853,1)</f>
        <v>315</v>
      </c>
      <c r="M853" s="3376"/>
      <c r="N853" s="1052"/>
      <c r="O853" s="1052"/>
      <c r="P853" s="1052"/>
      <c r="Q853" s="1052"/>
      <c r="R853" s="1052"/>
      <c r="S853" s="1052"/>
      <c r="T853" s="1052"/>
    </row>
    <row r="854" spans="1:20" s="1055" customFormat="1" ht="13.5" customHeight="1">
      <c r="A854" s="1027" t="s">
        <v>646</v>
      </c>
      <c r="B854" s="1050" t="s">
        <v>660</v>
      </c>
      <c r="C854" s="936"/>
      <c r="D854" s="936"/>
      <c r="E854" s="936"/>
      <c r="F854" s="936"/>
      <c r="G854" s="3374"/>
      <c r="H854" s="3374"/>
      <c r="I854" s="933"/>
      <c r="J854" s="1062"/>
      <c r="K854" s="1062"/>
      <c r="L854" s="1068"/>
      <c r="M854" s="1069"/>
      <c r="N854" s="1052"/>
      <c r="O854" s="1052"/>
      <c r="P854" s="1052"/>
      <c r="Q854" s="1052"/>
      <c r="R854" s="1052"/>
      <c r="S854" s="1052"/>
      <c r="T854" s="1052"/>
    </row>
    <row r="855" spans="1:20" s="1055" customFormat="1" ht="13.5" customHeight="1">
      <c r="A855" s="1027" t="s">
        <v>413</v>
      </c>
      <c r="B855" s="931" t="str">
        <f>B853</f>
        <v>i.Disintegrated Rock</v>
      </c>
      <c r="C855" s="936"/>
      <c r="D855" s="936"/>
      <c r="E855" s="936"/>
      <c r="F855" s="936"/>
      <c r="G855" s="3374" t="s">
        <v>381</v>
      </c>
      <c r="H855" s="3374"/>
      <c r="I855" s="933">
        <f>K4805</f>
        <v>423.73</v>
      </c>
      <c r="J855" s="1062"/>
      <c r="K855" s="1062">
        <f>I855+J855</f>
        <v>423.73</v>
      </c>
      <c r="L855" s="3375">
        <f>ROUND(K855,1)</f>
        <v>423.7</v>
      </c>
      <c r="M855" s="3376"/>
      <c r="N855" s="1052"/>
      <c r="O855" s="1052"/>
      <c r="P855" s="1052"/>
      <c r="Q855" s="1052"/>
      <c r="R855" s="1052"/>
      <c r="S855" s="1052"/>
      <c r="T855" s="1052"/>
    </row>
    <row r="856" spans="1:20" s="1055" customFormat="1" ht="13.5" customHeight="1">
      <c r="A856" s="1027" t="s">
        <v>648</v>
      </c>
      <c r="B856" s="1050" t="s">
        <v>649</v>
      </c>
      <c r="C856" s="936"/>
      <c r="D856" s="936"/>
      <c r="E856" s="936"/>
      <c r="F856" s="936"/>
      <c r="G856" s="3374"/>
      <c r="H856" s="3374"/>
      <c r="I856" s="933"/>
      <c r="J856" s="1062"/>
      <c r="K856" s="1062"/>
      <c r="L856" s="1068"/>
      <c r="M856" s="1069"/>
      <c r="N856" s="1052"/>
      <c r="O856" s="1052"/>
      <c r="P856" s="1052"/>
      <c r="Q856" s="1052"/>
      <c r="R856" s="1052"/>
      <c r="S856" s="1052"/>
      <c r="T856" s="1052"/>
    </row>
    <row r="857" spans="1:20" s="1055" customFormat="1" ht="13.5" customHeight="1">
      <c r="A857" s="1027" t="s">
        <v>413</v>
      </c>
      <c r="B857" s="931" t="str">
        <f>B855</f>
        <v>i.Disintegrated Rock</v>
      </c>
      <c r="C857" s="936"/>
      <c r="D857" s="936"/>
      <c r="E857" s="936"/>
      <c r="F857" s="936"/>
      <c r="G857" s="3374" t="s">
        <v>381</v>
      </c>
      <c r="H857" s="3374"/>
      <c r="I857" s="933">
        <f>K4809</f>
        <v>532.52</v>
      </c>
      <c r="J857" s="1062"/>
      <c r="K857" s="1062">
        <f>I857+J857</f>
        <v>532.52</v>
      </c>
      <c r="L857" s="3375">
        <f>ROUND(K857,1)</f>
        <v>532.5</v>
      </c>
      <c r="M857" s="3376"/>
      <c r="N857" s="1052"/>
      <c r="O857" s="1052"/>
      <c r="P857" s="1052"/>
      <c r="Q857" s="1052"/>
      <c r="R857" s="1052"/>
      <c r="S857" s="1052"/>
      <c r="T857" s="1052"/>
    </row>
    <row r="858" spans="1:20" s="1055" customFormat="1" ht="13.5" customHeight="1">
      <c r="A858" s="1027" t="s">
        <v>650</v>
      </c>
      <c r="B858" s="1050" t="s">
        <v>651</v>
      </c>
      <c r="C858" s="936"/>
      <c r="D858" s="936"/>
      <c r="E858" s="936"/>
      <c r="F858" s="936"/>
      <c r="G858" s="3374"/>
      <c r="H858" s="3374"/>
      <c r="I858" s="933"/>
      <c r="J858" s="1062"/>
      <c r="K858" s="1062"/>
      <c r="L858" s="1068"/>
      <c r="M858" s="1069"/>
      <c r="N858" s="1052"/>
      <c r="O858" s="1052"/>
      <c r="P858" s="1052"/>
      <c r="Q858" s="1052"/>
      <c r="R858" s="1052"/>
      <c r="S858" s="1052"/>
      <c r="T858" s="1052"/>
    </row>
    <row r="859" spans="1:20" s="1055" customFormat="1" ht="13.5" customHeight="1">
      <c r="A859" s="1027" t="s">
        <v>413</v>
      </c>
      <c r="B859" s="931" t="str">
        <f>B857</f>
        <v>i.Disintegrated Rock</v>
      </c>
      <c r="C859" s="936"/>
      <c r="D859" s="936"/>
      <c r="E859" s="936"/>
      <c r="F859" s="936"/>
      <c r="G859" s="3374" t="s">
        <v>381</v>
      </c>
      <c r="H859" s="3374"/>
      <c r="I859" s="933">
        <f>K4813</f>
        <v>641.29999999999995</v>
      </c>
      <c r="J859" s="1062"/>
      <c r="K859" s="1062">
        <f>I859+J859</f>
        <v>641.29999999999995</v>
      </c>
      <c r="L859" s="3375">
        <f>ROUND(K859,1)</f>
        <v>641.29999999999995</v>
      </c>
      <c r="M859" s="3376"/>
      <c r="N859" s="1052"/>
      <c r="O859" s="1052"/>
      <c r="P859" s="1052"/>
      <c r="Q859" s="1052"/>
      <c r="R859" s="1052"/>
      <c r="S859" s="1052"/>
      <c r="T859" s="1052"/>
    </row>
    <row r="860" spans="1:20" s="1055" customFormat="1" ht="13.5" customHeight="1">
      <c r="A860" s="1027" t="s">
        <v>652</v>
      </c>
      <c r="B860" s="1050" t="s">
        <v>653</v>
      </c>
      <c r="C860" s="936"/>
      <c r="D860" s="936"/>
      <c r="E860" s="936"/>
      <c r="F860" s="936"/>
      <c r="G860" s="3374"/>
      <c r="H860" s="3374"/>
      <c r="I860" s="933"/>
      <c r="J860" s="1062"/>
      <c r="K860" s="1062"/>
      <c r="L860" s="1068"/>
      <c r="M860" s="1069"/>
      <c r="N860" s="1052"/>
      <c r="O860" s="1052"/>
      <c r="P860" s="1052"/>
      <c r="Q860" s="1052"/>
      <c r="R860" s="1052"/>
      <c r="S860" s="1052"/>
      <c r="T860" s="1052"/>
    </row>
    <row r="861" spans="1:20" s="1055" customFormat="1" ht="13.5" customHeight="1">
      <c r="A861" s="1027" t="s">
        <v>413</v>
      </c>
      <c r="B861" s="931" t="str">
        <f>B859</f>
        <v>i.Disintegrated Rock</v>
      </c>
      <c r="C861" s="936"/>
      <c r="D861" s="936"/>
      <c r="E861" s="936"/>
      <c r="F861" s="936"/>
      <c r="G861" s="3374" t="s">
        <v>381</v>
      </c>
      <c r="H861" s="3374"/>
      <c r="I861" s="933">
        <f>K4817</f>
        <v>750.09</v>
      </c>
      <c r="J861" s="1062"/>
      <c r="K861" s="1062">
        <f>I861+J861</f>
        <v>750.09</v>
      </c>
      <c r="L861" s="3375">
        <f>ROUND(K861,1)</f>
        <v>750.1</v>
      </c>
      <c r="M861" s="3376"/>
      <c r="N861" s="1052"/>
      <c r="O861" s="1052"/>
      <c r="P861" s="1052"/>
      <c r="Q861" s="1052"/>
      <c r="R861" s="1052"/>
      <c r="S861" s="1052"/>
      <c r="T861" s="1052"/>
    </row>
    <row r="862" spans="1:20" s="1055" customFormat="1" ht="13.5" customHeight="1">
      <c r="A862" s="1027" t="s">
        <v>654</v>
      </c>
      <c r="B862" s="1050" t="s">
        <v>655</v>
      </c>
      <c r="C862" s="936"/>
      <c r="D862" s="936"/>
      <c r="E862" s="936"/>
      <c r="F862" s="936"/>
      <c r="G862" s="3374"/>
      <c r="H862" s="3374"/>
      <c r="I862" s="933"/>
      <c r="J862" s="1062"/>
      <c r="K862" s="1062"/>
      <c r="L862" s="1068"/>
      <c r="M862" s="1069"/>
      <c r="N862" s="1052"/>
      <c r="O862" s="1052"/>
      <c r="P862" s="1052"/>
      <c r="Q862" s="1052"/>
      <c r="R862" s="1052"/>
      <c r="S862" s="1052"/>
      <c r="T862" s="1052"/>
    </row>
    <row r="863" spans="1:20" s="1055" customFormat="1" ht="13.5" customHeight="1">
      <c r="A863" s="1027" t="s">
        <v>413</v>
      </c>
      <c r="B863" s="931" t="str">
        <f>B861</f>
        <v>i.Disintegrated Rock</v>
      </c>
      <c r="C863" s="936"/>
      <c r="D863" s="936"/>
      <c r="E863" s="936"/>
      <c r="F863" s="936"/>
      <c r="G863" s="3374" t="s">
        <v>381</v>
      </c>
      <c r="H863" s="3374"/>
      <c r="I863" s="933">
        <f>K4821</f>
        <v>858.87</v>
      </c>
      <c r="J863" s="1062"/>
      <c r="K863" s="1062">
        <f>I863+J863</f>
        <v>858.87</v>
      </c>
      <c r="L863" s="3375">
        <f>ROUND(K863,1)</f>
        <v>858.9</v>
      </c>
      <c r="M863" s="3376"/>
      <c r="N863" s="1052"/>
      <c r="O863" s="1052"/>
      <c r="P863" s="1052"/>
      <c r="Q863" s="1052"/>
      <c r="R863" s="1052"/>
      <c r="S863" s="1052"/>
      <c r="T863" s="1052"/>
    </row>
    <row r="864" spans="1:20" s="1055" customFormat="1" ht="13.5" customHeight="1">
      <c r="A864" s="1027" t="s">
        <v>656</v>
      </c>
      <c r="B864" s="1050" t="s">
        <v>657</v>
      </c>
      <c r="C864" s="936"/>
      <c r="D864" s="936"/>
      <c r="E864" s="936"/>
      <c r="F864" s="936"/>
      <c r="G864" s="3374"/>
      <c r="H864" s="3374"/>
      <c r="I864" s="933"/>
      <c r="J864" s="1062"/>
      <c r="K864" s="1062"/>
      <c r="L864" s="1068"/>
      <c r="M864" s="1069"/>
      <c r="N864" s="1052"/>
      <c r="O864" s="1052"/>
      <c r="P864" s="1052"/>
      <c r="Q864" s="1052"/>
      <c r="R864" s="1052"/>
      <c r="S864" s="1052"/>
      <c r="T864" s="1052"/>
    </row>
    <row r="865" spans="1:20" s="1055" customFormat="1" ht="13.5" customHeight="1">
      <c r="A865" s="1027" t="s">
        <v>413</v>
      </c>
      <c r="B865" s="931" t="str">
        <f>B863</f>
        <v>i.Disintegrated Rock</v>
      </c>
      <c r="C865" s="936"/>
      <c r="D865" s="936"/>
      <c r="E865" s="936"/>
      <c r="F865" s="936"/>
      <c r="G865" s="3374" t="s">
        <v>381</v>
      </c>
      <c r="H865" s="3374"/>
      <c r="I865" s="933">
        <f>K4825</f>
        <v>967.66000000000008</v>
      </c>
      <c r="J865" s="1062"/>
      <c r="K865" s="1062">
        <f>I865+J865</f>
        <v>967.66000000000008</v>
      </c>
      <c r="L865" s="3375">
        <f>ROUND(K865,1)</f>
        <v>967.7</v>
      </c>
      <c r="M865" s="3376"/>
      <c r="N865" s="1052"/>
      <c r="O865" s="1052"/>
      <c r="P865" s="1052"/>
      <c r="Q865" s="1052"/>
      <c r="R865" s="1052"/>
      <c r="S865" s="1052"/>
      <c r="T865" s="1052"/>
    </row>
    <row r="866" spans="1:20" s="1055" customFormat="1" ht="13.5" customHeight="1">
      <c r="A866" s="1027"/>
      <c r="B866" s="931"/>
      <c r="C866" s="936"/>
      <c r="D866" s="936"/>
      <c r="E866" s="936"/>
      <c r="F866" s="936"/>
      <c r="G866" s="1070"/>
      <c r="H866" s="1070"/>
      <c r="I866" s="933"/>
      <c r="J866" s="1062"/>
      <c r="K866" s="1062"/>
      <c r="L866" s="1068"/>
      <c r="M866" s="1069"/>
      <c r="N866" s="1052"/>
      <c r="O866" s="1052"/>
      <c r="P866" s="1052"/>
      <c r="Q866" s="1052"/>
      <c r="R866" s="1052"/>
      <c r="S866" s="1052"/>
      <c r="T866" s="1052"/>
    </row>
    <row r="867" spans="1:20" s="1055" customFormat="1" ht="13.5" customHeight="1">
      <c r="A867" s="1027">
        <f>A849+1</f>
        <v>173</v>
      </c>
      <c r="B867" s="1050" t="s">
        <v>3347</v>
      </c>
      <c r="C867" s="936"/>
      <c r="D867" s="936"/>
      <c r="E867" s="936"/>
      <c r="F867" s="936"/>
      <c r="G867" s="3374" t="s">
        <v>381</v>
      </c>
      <c r="H867" s="3374"/>
      <c r="I867" s="933">
        <f>K4856</f>
        <v>4355.5</v>
      </c>
      <c r="J867" s="1062"/>
      <c r="K867" s="1062">
        <f t="shared" ref="K867:K883" si="90">I867+J867</f>
        <v>4355.5</v>
      </c>
      <c r="L867" s="3375">
        <f t="shared" ref="L867:L883" si="91">ROUND(K867,1)</f>
        <v>4355.5</v>
      </c>
      <c r="M867" s="3376"/>
      <c r="N867" s="1052"/>
      <c r="O867" s="1052"/>
      <c r="P867" s="1052"/>
      <c r="Q867" s="1052"/>
      <c r="R867" s="1052"/>
      <c r="S867" s="1052"/>
      <c r="T867" s="1052"/>
    </row>
    <row r="868" spans="1:20" s="1055" customFormat="1" ht="13.5" customHeight="1">
      <c r="A868" s="1027">
        <f t="shared" ref="A868:A916" si="92">A867+1</f>
        <v>174</v>
      </c>
      <c r="B868" s="1050" t="s">
        <v>3348</v>
      </c>
      <c r="C868" s="936"/>
      <c r="D868" s="936"/>
      <c r="E868" s="936"/>
      <c r="F868" s="936"/>
      <c r="G868" s="3374" t="s">
        <v>381</v>
      </c>
      <c r="H868" s="3374"/>
      <c r="I868" s="933">
        <f>K4887</f>
        <v>4908.2599999999993</v>
      </c>
      <c r="J868" s="1062"/>
      <c r="K868" s="1062">
        <f t="shared" si="90"/>
        <v>4908.2599999999993</v>
      </c>
      <c r="L868" s="3375">
        <f t="shared" si="91"/>
        <v>4908.3</v>
      </c>
      <c r="M868" s="3376"/>
      <c r="N868" s="1052"/>
      <c r="O868" s="1052"/>
      <c r="P868" s="1052"/>
      <c r="Q868" s="1052"/>
      <c r="R868" s="1052"/>
      <c r="S868" s="1052"/>
      <c r="T868" s="1052"/>
    </row>
    <row r="869" spans="1:20" s="1055" customFormat="1" ht="13.5" customHeight="1">
      <c r="A869" s="1027">
        <f t="shared" si="92"/>
        <v>175</v>
      </c>
      <c r="B869" s="1050" t="s">
        <v>3349</v>
      </c>
      <c r="C869" s="936"/>
      <c r="D869" s="936"/>
      <c r="E869" s="936"/>
      <c r="F869" s="936"/>
      <c r="G869" s="3374" t="s">
        <v>381</v>
      </c>
      <c r="H869" s="3374"/>
      <c r="I869" s="933">
        <f>K4916</f>
        <v>5474.5</v>
      </c>
      <c r="J869" s="1062"/>
      <c r="K869" s="1062">
        <f t="shared" si="90"/>
        <v>5474.5</v>
      </c>
      <c r="L869" s="3375">
        <f t="shared" si="91"/>
        <v>5474.5</v>
      </c>
      <c r="M869" s="3376"/>
      <c r="N869" s="1052"/>
      <c r="O869" s="1052"/>
      <c r="P869" s="1052"/>
      <c r="Q869" s="1052"/>
      <c r="R869" s="1052"/>
      <c r="S869" s="1052"/>
      <c r="T869" s="1052"/>
    </row>
    <row r="870" spans="1:20" s="1055" customFormat="1" ht="13.5" customHeight="1">
      <c r="A870" s="1027">
        <f t="shared" si="92"/>
        <v>176</v>
      </c>
      <c r="B870" s="1050" t="s">
        <v>3350</v>
      </c>
      <c r="C870" s="936"/>
      <c r="D870" s="936"/>
      <c r="E870" s="936"/>
      <c r="F870" s="936"/>
      <c r="G870" s="3374" t="s">
        <v>381</v>
      </c>
      <c r="H870" s="3374"/>
      <c r="I870" s="933">
        <f>K4944</f>
        <v>4891.66</v>
      </c>
      <c r="J870" s="1062"/>
      <c r="K870" s="1062">
        <f t="shared" si="90"/>
        <v>4891.66</v>
      </c>
      <c r="L870" s="3375">
        <f t="shared" si="91"/>
        <v>4891.7</v>
      </c>
      <c r="M870" s="3376"/>
      <c r="N870" s="1052"/>
      <c r="O870" s="1052"/>
      <c r="P870" s="1052"/>
      <c r="Q870" s="1052"/>
      <c r="R870" s="1052"/>
      <c r="S870" s="1052"/>
      <c r="T870" s="1052"/>
    </row>
    <row r="871" spans="1:20" s="1055" customFormat="1" ht="13.5" customHeight="1">
      <c r="A871" s="1027">
        <f t="shared" si="92"/>
        <v>177</v>
      </c>
      <c r="B871" s="1050" t="s">
        <v>3351</v>
      </c>
      <c r="C871" s="936"/>
      <c r="D871" s="936"/>
      <c r="E871" s="936"/>
      <c r="F871" s="936"/>
      <c r="G871" s="3374" t="s">
        <v>381</v>
      </c>
      <c r="H871" s="3374"/>
      <c r="I871" s="933">
        <f>K4971</f>
        <v>5286.1</v>
      </c>
      <c r="J871" s="1062"/>
      <c r="K871" s="1062">
        <f t="shared" si="90"/>
        <v>5286.1</v>
      </c>
      <c r="L871" s="3375">
        <f t="shared" si="91"/>
        <v>5286.1</v>
      </c>
      <c r="M871" s="3376"/>
      <c r="N871" s="1052"/>
      <c r="O871" s="1052"/>
      <c r="P871" s="1052"/>
      <c r="Q871" s="1052"/>
      <c r="R871" s="1052"/>
      <c r="S871" s="1052"/>
      <c r="T871" s="1052"/>
    </row>
    <row r="872" spans="1:20" s="1055" customFormat="1" ht="13.5" customHeight="1">
      <c r="A872" s="1027">
        <f t="shared" si="92"/>
        <v>178</v>
      </c>
      <c r="B872" s="931" t="s">
        <v>3352</v>
      </c>
      <c r="C872" s="936"/>
      <c r="D872" s="936"/>
      <c r="E872" s="936"/>
      <c r="F872" s="936"/>
      <c r="G872" s="3374" t="s">
        <v>492</v>
      </c>
      <c r="H872" s="3374"/>
      <c r="I872" s="933">
        <f>K4976</f>
        <v>1238.67</v>
      </c>
      <c r="J872" s="1062"/>
      <c r="K872" s="1062">
        <f t="shared" si="90"/>
        <v>1238.67</v>
      </c>
      <c r="L872" s="3375">
        <f t="shared" si="91"/>
        <v>1238.7</v>
      </c>
      <c r="M872" s="3376"/>
      <c r="N872" s="1052"/>
      <c r="O872" s="1052" t="s">
        <v>3187</v>
      </c>
      <c r="P872" s="1052"/>
      <c r="Q872" s="1052"/>
      <c r="R872" s="1052"/>
      <c r="S872" s="1052"/>
      <c r="T872" s="1052"/>
    </row>
    <row r="873" spans="1:20" s="1055" customFormat="1" ht="13.5" customHeight="1">
      <c r="A873" s="1027">
        <f t="shared" si="92"/>
        <v>179</v>
      </c>
      <c r="B873" s="931" t="s">
        <v>3353</v>
      </c>
      <c r="C873" s="936"/>
      <c r="D873" s="936"/>
      <c r="E873" s="936"/>
      <c r="F873" s="936"/>
      <c r="G873" s="3374" t="s">
        <v>492</v>
      </c>
      <c r="H873" s="3374"/>
      <c r="I873" s="933">
        <f>K4981</f>
        <v>1973.6</v>
      </c>
      <c r="J873" s="1062"/>
      <c r="K873" s="1062">
        <f t="shared" si="90"/>
        <v>1973.6</v>
      </c>
      <c r="L873" s="3375">
        <f t="shared" si="91"/>
        <v>1973.6</v>
      </c>
      <c r="M873" s="3376"/>
      <c r="N873" s="1052"/>
      <c r="O873" s="1052" t="str">
        <f>O872</f>
        <v>ODACT202</v>
      </c>
      <c r="P873" s="1052"/>
      <c r="Q873" s="1052"/>
      <c r="R873" s="1052"/>
      <c r="S873" s="1052"/>
      <c r="T873" s="1052"/>
    </row>
    <row r="874" spans="1:20" s="1055" customFormat="1" ht="13.5" customHeight="1">
      <c r="A874" s="1027">
        <f t="shared" si="92"/>
        <v>180</v>
      </c>
      <c r="B874" s="931" t="s">
        <v>3354</v>
      </c>
      <c r="C874" s="936"/>
      <c r="D874" s="936"/>
      <c r="E874" s="936"/>
      <c r="F874" s="936"/>
      <c r="G874" s="3374" t="s">
        <v>492</v>
      </c>
      <c r="H874" s="3374"/>
      <c r="I874" s="933">
        <f>K4986</f>
        <v>2766.46</v>
      </c>
      <c r="J874" s="1062"/>
      <c r="K874" s="1062">
        <f t="shared" si="90"/>
        <v>2766.46</v>
      </c>
      <c r="L874" s="3375">
        <f t="shared" si="91"/>
        <v>2766.5</v>
      </c>
      <c r="M874" s="3376"/>
      <c r="N874" s="1052"/>
      <c r="O874" s="1052" t="str">
        <f t="shared" ref="O874:O876" si="93">O873</f>
        <v>ODACT202</v>
      </c>
      <c r="P874" s="1052"/>
      <c r="Q874" s="1052"/>
      <c r="R874" s="1052"/>
      <c r="S874" s="1052"/>
      <c r="T874" s="1052"/>
    </row>
    <row r="875" spans="1:20" s="1055" customFormat="1" ht="13.5" customHeight="1">
      <c r="A875" s="1027">
        <f t="shared" si="92"/>
        <v>181</v>
      </c>
      <c r="B875" s="931" t="s">
        <v>3355</v>
      </c>
      <c r="C875" s="936"/>
      <c r="D875" s="936"/>
      <c r="E875" s="936"/>
      <c r="F875" s="936"/>
      <c r="G875" s="3374" t="s">
        <v>492</v>
      </c>
      <c r="H875" s="3374"/>
      <c r="I875" s="933">
        <f>K4991</f>
        <v>5201.2300000000005</v>
      </c>
      <c r="J875" s="1062"/>
      <c r="K875" s="1062">
        <f t="shared" si="90"/>
        <v>5201.2300000000005</v>
      </c>
      <c r="L875" s="3375">
        <f t="shared" si="91"/>
        <v>5201.2</v>
      </c>
      <c r="M875" s="3376"/>
      <c r="N875" s="1052"/>
      <c r="O875" s="1052" t="str">
        <f t="shared" si="93"/>
        <v>ODACT202</v>
      </c>
      <c r="P875" s="1052"/>
      <c r="Q875" s="1052"/>
      <c r="R875" s="1052"/>
      <c r="S875" s="1052"/>
      <c r="T875" s="1052"/>
    </row>
    <row r="876" spans="1:20" s="1055" customFormat="1" ht="13.5" customHeight="1">
      <c r="A876" s="1027">
        <f t="shared" si="92"/>
        <v>182</v>
      </c>
      <c r="B876" s="931" t="s">
        <v>3356</v>
      </c>
      <c r="C876" s="936"/>
      <c r="D876" s="936"/>
      <c r="E876" s="936"/>
      <c r="F876" s="936"/>
      <c r="G876" s="3374" t="s">
        <v>492</v>
      </c>
      <c r="H876" s="3374"/>
      <c r="I876" s="933">
        <f>K4996</f>
        <v>6163.6</v>
      </c>
      <c r="J876" s="1062"/>
      <c r="K876" s="1062">
        <f t="shared" si="90"/>
        <v>6163.6</v>
      </c>
      <c r="L876" s="3375">
        <f t="shared" si="91"/>
        <v>6163.6</v>
      </c>
      <c r="M876" s="3376"/>
      <c r="N876" s="1052"/>
      <c r="O876" s="1052" t="str">
        <f t="shared" si="93"/>
        <v>ODACT202</v>
      </c>
      <c r="P876" s="1052"/>
      <c r="Q876" s="1054"/>
      <c r="R876" s="1054"/>
      <c r="S876" s="1054"/>
      <c r="T876" s="1053"/>
    </row>
    <row r="877" spans="1:20" s="1055" customFormat="1" ht="13.5" customHeight="1">
      <c r="A877" s="992">
        <f t="shared" si="92"/>
        <v>183</v>
      </c>
      <c r="B877" s="936" t="s">
        <v>3357</v>
      </c>
      <c r="C877" s="936"/>
      <c r="D877" s="936"/>
      <c r="E877" s="1071"/>
      <c r="F877" s="1071"/>
      <c r="G877" s="3374" t="s">
        <v>492</v>
      </c>
      <c r="H877" s="3374"/>
      <c r="I877" s="933">
        <f>K5001</f>
        <v>7916.6399999999994</v>
      </c>
      <c r="J877" s="1062"/>
      <c r="K877" s="1062">
        <f t="shared" si="90"/>
        <v>7916.6399999999994</v>
      </c>
      <c r="L877" s="3375">
        <f t="shared" si="91"/>
        <v>7916.6</v>
      </c>
      <c r="M877" s="3376"/>
      <c r="N877" s="1052"/>
      <c r="O877" s="1052" t="str">
        <f>O876</f>
        <v>ODACT202</v>
      </c>
      <c r="P877" s="1052"/>
      <c r="Q877" s="1054"/>
      <c r="R877" s="1054"/>
      <c r="S877" s="1054"/>
      <c r="T877" s="1053"/>
    </row>
    <row r="878" spans="1:20" s="731" customFormat="1" ht="13.5" customHeight="1">
      <c r="A878" s="992">
        <f t="shared" si="92"/>
        <v>184</v>
      </c>
      <c r="B878" s="997" t="s">
        <v>661</v>
      </c>
      <c r="C878" s="1049"/>
      <c r="D878" s="1049"/>
      <c r="E878" s="1004"/>
      <c r="F878" s="1004"/>
      <c r="G878" s="3374" t="s">
        <v>390</v>
      </c>
      <c r="H878" s="3374"/>
      <c r="I878" s="933">
        <v>220</v>
      </c>
      <c r="J878" s="1062"/>
      <c r="K878" s="1062">
        <f t="shared" si="90"/>
        <v>220</v>
      </c>
      <c r="L878" s="3372">
        <f t="shared" si="91"/>
        <v>220</v>
      </c>
      <c r="M878" s="3373"/>
      <c r="N878" s="770"/>
      <c r="O878" s="762" t="s">
        <v>3177</v>
      </c>
      <c r="P878" s="770"/>
      <c r="T878" s="762"/>
    </row>
    <row r="879" spans="1:20" s="731" customFormat="1" ht="13.5" customHeight="1">
      <c r="A879" s="992">
        <f t="shared" si="92"/>
        <v>185</v>
      </c>
      <c r="B879" s="997" t="s">
        <v>662</v>
      </c>
      <c r="C879" s="1049"/>
      <c r="D879" s="1049"/>
      <c r="E879" s="1004"/>
      <c r="F879" s="1004"/>
      <c r="G879" s="3374" t="s">
        <v>390</v>
      </c>
      <c r="H879" s="3374"/>
      <c r="I879" s="933">
        <v>330</v>
      </c>
      <c r="J879" s="1062"/>
      <c r="K879" s="1062">
        <f t="shared" si="90"/>
        <v>330</v>
      </c>
      <c r="L879" s="3372">
        <f t="shared" si="91"/>
        <v>330</v>
      </c>
      <c r="M879" s="3373"/>
      <c r="N879" s="770"/>
      <c r="O879" s="770"/>
      <c r="P879" s="770"/>
      <c r="T879" s="762"/>
    </row>
    <row r="880" spans="1:20" s="731" customFormat="1" ht="13.5" customHeight="1">
      <c r="A880" s="992">
        <f t="shared" si="92"/>
        <v>186</v>
      </c>
      <c r="B880" s="997" t="s">
        <v>663</v>
      </c>
      <c r="C880" s="1049"/>
      <c r="D880" s="1049"/>
      <c r="E880" s="1004"/>
      <c r="F880" s="1004"/>
      <c r="G880" s="3374" t="s">
        <v>390</v>
      </c>
      <c r="H880" s="3374"/>
      <c r="I880" s="933">
        <v>210</v>
      </c>
      <c r="J880" s="1062"/>
      <c r="K880" s="1062">
        <f t="shared" si="90"/>
        <v>210</v>
      </c>
      <c r="L880" s="3372">
        <f t="shared" si="91"/>
        <v>210</v>
      </c>
      <c r="M880" s="3373"/>
      <c r="N880" s="770"/>
      <c r="O880" s="770"/>
      <c r="P880" s="770"/>
      <c r="Q880" s="762" t="s">
        <v>664</v>
      </c>
      <c r="T880" s="762"/>
    </row>
    <row r="881" spans="1:20" s="731" customFormat="1" ht="13.5" customHeight="1">
      <c r="A881" s="992">
        <f t="shared" si="92"/>
        <v>187</v>
      </c>
      <c r="B881" s="997" t="s">
        <v>665</v>
      </c>
      <c r="C881" s="1049"/>
      <c r="D881" s="1049"/>
      <c r="E881" s="1004"/>
      <c r="F881" s="1004"/>
      <c r="G881" s="3374" t="s">
        <v>666</v>
      </c>
      <c r="H881" s="3374"/>
      <c r="I881" s="933">
        <v>55</v>
      </c>
      <c r="J881" s="1062"/>
      <c r="K881" s="1062">
        <f t="shared" si="90"/>
        <v>55</v>
      </c>
      <c r="L881" s="3372">
        <f t="shared" si="91"/>
        <v>55</v>
      </c>
      <c r="M881" s="3373"/>
      <c r="N881" s="770"/>
      <c r="O881" s="770"/>
      <c r="P881" s="770"/>
      <c r="T881" s="762"/>
    </row>
    <row r="882" spans="1:20" s="731" customFormat="1" ht="13.5" customHeight="1">
      <c r="A882" s="992">
        <f t="shared" si="92"/>
        <v>188</v>
      </c>
      <c r="B882" s="997" t="s">
        <v>667</v>
      </c>
      <c r="C882" s="1049"/>
      <c r="D882" s="1049"/>
      <c r="E882" s="1004"/>
      <c r="F882" s="1004"/>
      <c r="G882" s="3374" t="s">
        <v>381</v>
      </c>
      <c r="H882" s="3374"/>
      <c r="I882" s="933">
        <v>4660</v>
      </c>
      <c r="J882" s="1062"/>
      <c r="K882" s="1062">
        <f t="shared" si="90"/>
        <v>4660</v>
      </c>
      <c r="L882" s="3372">
        <f t="shared" si="91"/>
        <v>4660</v>
      </c>
      <c r="M882" s="3373"/>
      <c r="N882" s="770"/>
      <c r="O882" s="770"/>
      <c r="P882" s="770"/>
      <c r="T882" s="762"/>
    </row>
    <row r="883" spans="1:20" s="731" customFormat="1" ht="13.5" customHeight="1">
      <c r="A883" s="992">
        <f t="shared" si="92"/>
        <v>189</v>
      </c>
      <c r="B883" s="997" t="s">
        <v>668</v>
      </c>
      <c r="C883" s="1049"/>
      <c r="D883" s="1049"/>
      <c r="E883" s="1004"/>
      <c r="F883" s="1004"/>
      <c r="G883" s="3374" t="s">
        <v>666</v>
      </c>
      <c r="H883" s="3374"/>
      <c r="I883" s="933">
        <v>70.5</v>
      </c>
      <c r="J883" s="1062"/>
      <c r="K883" s="1062">
        <f t="shared" si="90"/>
        <v>70.5</v>
      </c>
      <c r="L883" s="3372">
        <f t="shared" si="91"/>
        <v>70.5</v>
      </c>
      <c r="M883" s="3373"/>
      <c r="N883" s="770"/>
      <c r="O883" s="762" t="s">
        <v>450</v>
      </c>
      <c r="P883" s="770"/>
      <c r="T883" s="762"/>
    </row>
    <row r="884" spans="1:20" s="731" customFormat="1" ht="13.5" customHeight="1">
      <c r="A884" s="992">
        <f t="shared" si="92"/>
        <v>190</v>
      </c>
      <c r="B884" s="997" t="s">
        <v>669</v>
      </c>
      <c r="C884" s="1049"/>
      <c r="D884" s="1049"/>
      <c r="E884" s="1004"/>
      <c r="F884" s="1004"/>
      <c r="G884" s="3374" t="s">
        <v>666</v>
      </c>
      <c r="H884" s="3374"/>
      <c r="I884" s="933">
        <v>5.45</v>
      </c>
      <c r="J884" s="1062"/>
      <c r="K884" s="1062">
        <f>I884+J884</f>
        <v>5.45</v>
      </c>
      <c r="L884" s="3372">
        <f>ROUND(K884,1)</f>
        <v>5.5</v>
      </c>
      <c r="M884" s="3373"/>
      <c r="N884" s="770"/>
      <c r="O884" s="770"/>
      <c r="P884" s="770"/>
      <c r="T884" s="762"/>
    </row>
    <row r="885" spans="1:20" s="731" customFormat="1" ht="13.5" customHeight="1">
      <c r="A885" s="992">
        <f t="shared" si="92"/>
        <v>191</v>
      </c>
      <c r="B885" s="997" t="s">
        <v>670</v>
      </c>
      <c r="C885" s="1049"/>
      <c r="D885" s="1049"/>
      <c r="E885" s="1004"/>
      <c r="F885" s="1004"/>
      <c r="G885" s="3374" t="s">
        <v>671</v>
      </c>
      <c r="H885" s="3374"/>
      <c r="I885" s="933">
        <v>340.2</v>
      </c>
      <c r="J885" s="1062"/>
      <c r="K885" s="1062">
        <f>I885+J885</f>
        <v>340.2</v>
      </c>
      <c r="L885" s="3372">
        <f>ROUND(K885,1)</f>
        <v>340.2</v>
      </c>
      <c r="M885" s="3373"/>
      <c r="N885" s="770"/>
      <c r="O885" s="770"/>
      <c r="P885" s="770"/>
      <c r="T885" s="762"/>
    </row>
    <row r="886" spans="1:20" s="731" customFormat="1" ht="13.5" customHeight="1">
      <c r="A886" s="992">
        <f t="shared" si="92"/>
        <v>192</v>
      </c>
      <c r="B886" s="882" t="s">
        <v>672</v>
      </c>
      <c r="C886" s="1049"/>
      <c r="D886" s="1049"/>
      <c r="E886" s="1004"/>
      <c r="F886" s="1004"/>
      <c r="G886" s="3374" t="s">
        <v>390</v>
      </c>
      <c r="H886" s="3374"/>
      <c r="I886" s="933">
        <v>310</v>
      </c>
      <c r="J886" s="1062"/>
      <c r="K886" s="1062">
        <f>I886+J886</f>
        <v>310</v>
      </c>
      <c r="L886" s="3372">
        <f>ROUND(K886,1)</f>
        <v>310</v>
      </c>
      <c r="M886" s="3373"/>
      <c r="N886" s="770"/>
      <c r="O886" s="770"/>
      <c r="P886" s="770"/>
      <c r="T886" s="762"/>
    </row>
    <row r="887" spans="1:20" s="731" customFormat="1" ht="13.5" customHeight="1">
      <c r="A887" s="992">
        <f t="shared" si="92"/>
        <v>193</v>
      </c>
      <c r="B887" s="882" t="s">
        <v>673</v>
      </c>
      <c r="C887" s="1049"/>
      <c r="D887" s="1049"/>
      <c r="E887" s="1004"/>
      <c r="F887" s="1004"/>
      <c r="G887" s="3374" t="s">
        <v>38</v>
      </c>
      <c r="H887" s="3374"/>
      <c r="I887" s="933">
        <v>55.8</v>
      </c>
      <c r="J887" s="1062"/>
      <c r="K887" s="1062">
        <f t="shared" ref="K887:K912" si="94">I887+J887</f>
        <v>55.8</v>
      </c>
      <c r="L887" s="3372">
        <f t="shared" ref="L887:L912" si="95">ROUND(K887,1)</f>
        <v>55.8</v>
      </c>
      <c r="M887" s="3373"/>
      <c r="N887" s="770"/>
      <c r="O887" s="770"/>
      <c r="P887" s="770"/>
      <c r="T887" s="762"/>
    </row>
    <row r="888" spans="1:20" s="731" customFormat="1" ht="13.5" customHeight="1">
      <c r="A888" s="992">
        <f t="shared" si="92"/>
        <v>194</v>
      </c>
      <c r="B888" s="882" t="s">
        <v>674</v>
      </c>
      <c r="C888" s="1049"/>
      <c r="D888" s="1049"/>
      <c r="E888" s="1004"/>
      <c r="F888" s="1004"/>
      <c r="G888" s="3374" t="s">
        <v>38</v>
      </c>
      <c r="H888" s="3374"/>
      <c r="I888" s="933">
        <v>43.1</v>
      </c>
      <c r="J888" s="1062"/>
      <c r="K888" s="1062">
        <f t="shared" si="94"/>
        <v>43.1</v>
      </c>
      <c r="L888" s="3372">
        <f t="shared" si="95"/>
        <v>43.1</v>
      </c>
      <c r="M888" s="3373"/>
      <c r="N888" s="770"/>
      <c r="O888" s="770"/>
      <c r="P888" s="770"/>
      <c r="T888" s="762"/>
    </row>
    <row r="889" spans="1:20" s="731" customFormat="1" ht="13.5" customHeight="1">
      <c r="A889" s="992">
        <f t="shared" si="92"/>
        <v>195</v>
      </c>
      <c r="B889" s="882" t="s">
        <v>675</v>
      </c>
      <c r="C889" s="1049"/>
      <c r="D889" s="1049"/>
      <c r="E889" s="1004"/>
      <c r="F889" s="1004"/>
      <c r="G889" s="3374" t="s">
        <v>38</v>
      </c>
      <c r="H889" s="3374"/>
      <c r="I889" s="933">
        <v>53.7</v>
      </c>
      <c r="J889" s="1062"/>
      <c r="K889" s="1062">
        <f t="shared" si="94"/>
        <v>53.7</v>
      </c>
      <c r="L889" s="3372">
        <f t="shared" si="95"/>
        <v>53.7</v>
      </c>
      <c r="M889" s="3373"/>
      <c r="N889" s="770"/>
      <c r="O889" s="770"/>
      <c r="P889" s="770"/>
      <c r="Q889" s="762" t="s">
        <v>676</v>
      </c>
      <c r="T889" s="762"/>
    </row>
    <row r="890" spans="1:20" s="731" customFormat="1" ht="13.5" customHeight="1">
      <c r="A890" s="992">
        <f t="shared" si="92"/>
        <v>196</v>
      </c>
      <c r="B890" s="882" t="str">
        <f>B889</f>
        <v>Labour for taking out door &amp; window shutters and refixing the same after necessary repair including screws as may be required.</v>
      </c>
      <c r="C890" s="1049"/>
      <c r="D890" s="1049"/>
      <c r="E890" s="1004"/>
      <c r="F890" s="1004"/>
      <c r="G890" s="3374" t="s">
        <v>38</v>
      </c>
      <c r="H890" s="3374"/>
      <c r="I890" s="933">
        <v>32.700000000000003</v>
      </c>
      <c r="J890" s="1062"/>
      <c r="K890" s="1062">
        <f>I890+J890</f>
        <v>32.700000000000003</v>
      </c>
      <c r="L890" s="3372">
        <f t="shared" si="95"/>
        <v>32.700000000000003</v>
      </c>
      <c r="M890" s="3373"/>
      <c r="N890" s="770"/>
      <c r="O890" s="770"/>
      <c r="P890" s="770"/>
      <c r="Q890" s="762" t="s">
        <v>677</v>
      </c>
      <c r="T890" s="762"/>
    </row>
    <row r="891" spans="1:20" s="731" customFormat="1" ht="13.5" customHeight="1">
      <c r="A891" s="992">
        <f t="shared" si="92"/>
        <v>197</v>
      </c>
      <c r="B891" s="882" t="s">
        <v>678</v>
      </c>
      <c r="C891" s="1049"/>
      <c r="D891" s="1049"/>
      <c r="E891" s="1004"/>
      <c r="F891" s="1004"/>
      <c r="G891" s="3374" t="s">
        <v>38</v>
      </c>
      <c r="H891" s="3374"/>
      <c r="I891" s="933">
        <v>3.4</v>
      </c>
      <c r="J891" s="1062"/>
      <c r="K891" s="1062">
        <f t="shared" si="94"/>
        <v>3.4</v>
      </c>
      <c r="L891" s="3372">
        <f t="shared" si="95"/>
        <v>3.4</v>
      </c>
      <c r="M891" s="3373"/>
      <c r="N891" s="770"/>
      <c r="O891" s="770"/>
      <c r="P891" s="770"/>
      <c r="T891" s="762"/>
    </row>
    <row r="892" spans="1:20" s="731" customFormat="1" ht="13.5" customHeight="1">
      <c r="A892" s="992">
        <f t="shared" si="92"/>
        <v>198</v>
      </c>
      <c r="B892" s="882" t="s">
        <v>679</v>
      </c>
      <c r="C892" s="1049"/>
      <c r="D892" s="1049"/>
      <c r="E892" s="1004"/>
      <c r="F892" s="1004"/>
      <c r="G892" s="3374" t="s">
        <v>680</v>
      </c>
      <c r="H892" s="3374"/>
      <c r="I892" s="933">
        <v>90</v>
      </c>
      <c r="J892" s="1062"/>
      <c r="K892" s="1062">
        <f t="shared" si="94"/>
        <v>90</v>
      </c>
      <c r="L892" s="3372">
        <f t="shared" si="95"/>
        <v>90</v>
      </c>
      <c r="M892" s="3373"/>
      <c r="N892" s="770"/>
      <c r="O892" s="770"/>
      <c r="P892" s="770"/>
      <c r="T892" s="762"/>
    </row>
    <row r="893" spans="1:20" s="731" customFormat="1" ht="13.5" customHeight="1">
      <c r="A893" s="992">
        <f t="shared" si="92"/>
        <v>199</v>
      </c>
      <c r="B893" s="882" t="s">
        <v>681</v>
      </c>
      <c r="C893" s="1049"/>
      <c r="D893" s="1049"/>
      <c r="E893" s="1004"/>
      <c r="F893" s="1004"/>
      <c r="G893" s="3374" t="s">
        <v>38</v>
      </c>
      <c r="H893" s="3374"/>
      <c r="I893" s="933">
        <v>1.5</v>
      </c>
      <c r="J893" s="1062"/>
      <c r="K893" s="1062">
        <f t="shared" si="94"/>
        <v>1.5</v>
      </c>
      <c r="L893" s="3372">
        <f t="shared" si="95"/>
        <v>1.5</v>
      </c>
      <c r="M893" s="3373"/>
      <c r="N893" s="770"/>
      <c r="O893" s="770"/>
      <c r="P893" s="770"/>
      <c r="T893" s="762"/>
    </row>
    <row r="894" spans="1:20" s="731" customFormat="1" ht="13.5" customHeight="1">
      <c r="A894" s="992">
        <f t="shared" si="92"/>
        <v>200</v>
      </c>
      <c r="B894" s="882" t="s">
        <v>682</v>
      </c>
      <c r="C894" s="1049"/>
      <c r="D894" s="1049"/>
      <c r="E894" s="1004"/>
      <c r="F894" s="1004"/>
      <c r="G894" s="3374" t="s">
        <v>390</v>
      </c>
      <c r="H894" s="3374"/>
      <c r="I894" s="933">
        <v>15.2</v>
      </c>
      <c r="J894" s="1062"/>
      <c r="K894" s="1062">
        <f t="shared" si="94"/>
        <v>15.2</v>
      </c>
      <c r="L894" s="3372">
        <f t="shared" si="95"/>
        <v>15.2</v>
      </c>
      <c r="M894" s="3373"/>
      <c r="N894" s="770"/>
      <c r="O894" s="770"/>
      <c r="P894" s="770"/>
      <c r="T894" s="762"/>
    </row>
    <row r="895" spans="1:20" s="731" customFormat="1" ht="13.5" customHeight="1">
      <c r="A895" s="992">
        <f t="shared" si="92"/>
        <v>201</v>
      </c>
      <c r="B895" s="882" t="s">
        <v>683</v>
      </c>
      <c r="C895" s="1049"/>
      <c r="D895" s="1049"/>
      <c r="E895" s="1004"/>
      <c r="F895" s="1004"/>
      <c r="G895" s="3374" t="s">
        <v>684</v>
      </c>
      <c r="H895" s="3374"/>
      <c r="I895" s="933">
        <v>210.5</v>
      </c>
      <c r="J895" s="1062"/>
      <c r="K895" s="1062">
        <f t="shared" si="94"/>
        <v>210.5</v>
      </c>
      <c r="L895" s="3372">
        <f t="shared" si="95"/>
        <v>210.5</v>
      </c>
      <c r="M895" s="3373"/>
      <c r="N895" s="770"/>
      <c r="O895" s="770"/>
      <c r="P895" s="770"/>
      <c r="T895" s="762"/>
    </row>
    <row r="896" spans="1:20" s="731" customFormat="1" ht="13.5" customHeight="1">
      <c r="A896" s="992">
        <f t="shared" si="92"/>
        <v>202</v>
      </c>
      <c r="B896" s="882" t="s">
        <v>685</v>
      </c>
      <c r="C896" s="1049"/>
      <c r="D896" s="1049"/>
      <c r="E896" s="1004"/>
      <c r="F896" s="1004"/>
      <c r="G896" s="3374" t="s">
        <v>684</v>
      </c>
      <c r="H896" s="3374"/>
      <c r="I896" s="933">
        <v>270.8</v>
      </c>
      <c r="J896" s="1062"/>
      <c r="K896" s="1062">
        <f t="shared" si="94"/>
        <v>270.8</v>
      </c>
      <c r="L896" s="3372">
        <f t="shared" si="95"/>
        <v>270.8</v>
      </c>
      <c r="M896" s="3373"/>
      <c r="N896" s="770"/>
      <c r="O896" s="770"/>
      <c r="P896" s="770"/>
      <c r="T896" s="762"/>
    </row>
    <row r="897" spans="1:20" s="731" customFormat="1" ht="13.5" customHeight="1">
      <c r="A897" s="992">
        <f t="shared" si="92"/>
        <v>203</v>
      </c>
      <c r="B897" s="882" t="s">
        <v>686</v>
      </c>
      <c r="C897" s="1049"/>
      <c r="D897" s="1049"/>
      <c r="E897" s="1004"/>
      <c r="F897" s="1004"/>
      <c r="G897" s="3374" t="s">
        <v>390</v>
      </c>
      <c r="H897" s="3374"/>
      <c r="I897" s="933">
        <v>12.1</v>
      </c>
      <c r="J897" s="1062"/>
      <c r="K897" s="1062">
        <f t="shared" si="94"/>
        <v>12.1</v>
      </c>
      <c r="L897" s="3372">
        <f t="shared" si="95"/>
        <v>12.1</v>
      </c>
      <c r="M897" s="3373"/>
      <c r="N897" s="770"/>
      <c r="O897" s="770"/>
      <c r="P897" s="770"/>
      <c r="T897" s="762"/>
    </row>
    <row r="898" spans="1:20" s="731" customFormat="1" ht="13.5" customHeight="1">
      <c r="A898" s="992">
        <f t="shared" si="92"/>
        <v>204</v>
      </c>
      <c r="B898" s="882" t="s">
        <v>687</v>
      </c>
      <c r="C898" s="1049"/>
      <c r="D898" s="1049"/>
      <c r="E898" s="1004"/>
      <c r="F898" s="1004"/>
      <c r="G898" s="3374" t="s">
        <v>390</v>
      </c>
      <c r="H898" s="3374"/>
      <c r="I898" s="933">
        <v>70.099999999999994</v>
      </c>
      <c r="J898" s="1062"/>
      <c r="K898" s="1062">
        <f t="shared" si="94"/>
        <v>70.099999999999994</v>
      </c>
      <c r="L898" s="3372">
        <f t="shared" si="95"/>
        <v>70.099999999999994</v>
      </c>
      <c r="M898" s="3373"/>
      <c r="N898" s="770"/>
      <c r="O898" s="770"/>
      <c r="P898" s="770"/>
      <c r="T898" s="762"/>
    </row>
    <row r="899" spans="1:20" s="731" customFormat="1" ht="13.5" customHeight="1">
      <c r="A899" s="992">
        <f t="shared" si="92"/>
        <v>205</v>
      </c>
      <c r="B899" s="882" t="s">
        <v>688</v>
      </c>
      <c r="C899" s="1049"/>
      <c r="D899" s="1049"/>
      <c r="E899" s="1004"/>
      <c r="F899" s="1004"/>
      <c r="G899" s="3374" t="s">
        <v>689</v>
      </c>
      <c r="H899" s="3374"/>
      <c r="I899" s="933">
        <v>10.9</v>
      </c>
      <c r="J899" s="1062"/>
      <c r="K899" s="1062">
        <f t="shared" si="94"/>
        <v>10.9</v>
      </c>
      <c r="L899" s="3372">
        <f t="shared" si="95"/>
        <v>10.9</v>
      </c>
      <c r="M899" s="3373"/>
      <c r="N899" s="770"/>
      <c r="O899" s="770"/>
      <c r="P899" s="770"/>
      <c r="T899" s="762"/>
    </row>
    <row r="900" spans="1:20" s="731" customFormat="1" ht="13.5" customHeight="1">
      <c r="A900" s="992">
        <f t="shared" si="92"/>
        <v>206</v>
      </c>
      <c r="B900" s="882" t="s">
        <v>690</v>
      </c>
      <c r="C900" s="1049"/>
      <c r="D900" s="1049"/>
      <c r="E900" s="1004"/>
      <c r="F900" s="1004"/>
      <c r="G900" s="3374" t="s">
        <v>38</v>
      </c>
      <c r="H900" s="3374"/>
      <c r="I900" s="933">
        <v>1.2</v>
      </c>
      <c r="J900" s="1062"/>
      <c r="K900" s="1062">
        <f t="shared" si="94"/>
        <v>1.2</v>
      </c>
      <c r="L900" s="3372">
        <f t="shared" si="95"/>
        <v>1.2</v>
      </c>
      <c r="M900" s="3373"/>
      <c r="N900" s="770"/>
      <c r="O900" s="770"/>
      <c r="P900" s="770"/>
      <c r="T900" s="762"/>
    </row>
    <row r="901" spans="1:20" s="731" customFormat="1" ht="13.5" customHeight="1">
      <c r="A901" s="992">
        <f t="shared" si="92"/>
        <v>207</v>
      </c>
      <c r="B901" s="882" t="s">
        <v>691</v>
      </c>
      <c r="C901" s="1049"/>
      <c r="D901" s="1049"/>
      <c r="E901" s="1004"/>
      <c r="F901" s="1004"/>
      <c r="G901" s="3374" t="s">
        <v>390</v>
      </c>
      <c r="H901" s="3374"/>
      <c r="I901" s="933">
        <v>3.5</v>
      </c>
      <c r="J901" s="1062"/>
      <c r="K901" s="1062">
        <f t="shared" si="94"/>
        <v>3.5</v>
      </c>
      <c r="L901" s="3372">
        <f t="shared" si="95"/>
        <v>3.5</v>
      </c>
      <c r="M901" s="3373"/>
      <c r="N901" s="770"/>
      <c r="O901" s="770"/>
      <c r="P901" s="770"/>
      <c r="T901" s="762"/>
    </row>
    <row r="902" spans="1:20" s="731" customFormat="1" ht="13.5" customHeight="1">
      <c r="A902" s="996">
        <f t="shared" si="92"/>
        <v>208</v>
      </c>
      <c r="B902" s="882" t="s">
        <v>692</v>
      </c>
      <c r="C902" s="1049"/>
      <c r="D902" s="1049"/>
      <c r="E902" s="1004"/>
      <c r="F902" s="1004"/>
      <c r="G902" s="3374" t="s">
        <v>390</v>
      </c>
      <c r="H902" s="3374"/>
      <c r="I902" s="933">
        <v>325</v>
      </c>
      <c r="J902" s="1062"/>
      <c r="K902" s="1062">
        <f t="shared" si="94"/>
        <v>325</v>
      </c>
      <c r="L902" s="3372">
        <f t="shared" si="95"/>
        <v>325</v>
      </c>
      <c r="M902" s="3373"/>
      <c r="N902" s="770"/>
      <c r="O902" s="770"/>
      <c r="P902" s="770"/>
      <c r="T902" s="762"/>
    </row>
    <row r="903" spans="1:20" s="731" customFormat="1" ht="13.5" customHeight="1">
      <c r="A903" s="996" t="s">
        <v>413</v>
      </c>
      <c r="B903" s="882" t="s">
        <v>693</v>
      </c>
      <c r="C903" s="1049"/>
      <c r="D903" s="1049"/>
      <c r="E903" s="1004"/>
      <c r="F903" s="1004"/>
      <c r="G903" s="3374" t="s">
        <v>694</v>
      </c>
      <c r="H903" s="3374"/>
      <c r="I903" s="933">
        <v>9.1999999999999993</v>
      </c>
      <c r="J903" s="1062"/>
      <c r="K903" s="1062">
        <f t="shared" si="94"/>
        <v>9.1999999999999993</v>
      </c>
      <c r="L903" s="3372">
        <f t="shared" si="95"/>
        <v>9.1999999999999993</v>
      </c>
      <c r="M903" s="3373"/>
      <c r="N903" s="770"/>
      <c r="O903" s="770"/>
      <c r="P903" s="770"/>
      <c r="T903" s="762"/>
    </row>
    <row r="904" spans="1:20" s="731" customFormat="1" ht="13.5" customHeight="1">
      <c r="A904" s="996" t="s">
        <v>415</v>
      </c>
      <c r="B904" s="882" t="s">
        <v>695</v>
      </c>
      <c r="C904" s="1049"/>
      <c r="D904" s="1049"/>
      <c r="E904" s="1004"/>
      <c r="F904" s="1004"/>
      <c r="G904" s="3374" t="s">
        <v>694</v>
      </c>
      <c r="H904" s="3374"/>
      <c r="I904" s="933">
        <v>10.199999999999999</v>
      </c>
      <c r="J904" s="1062"/>
      <c r="K904" s="1062">
        <f t="shared" si="94"/>
        <v>10.199999999999999</v>
      </c>
      <c r="L904" s="3372">
        <f t="shared" si="95"/>
        <v>10.199999999999999</v>
      </c>
      <c r="M904" s="3373"/>
      <c r="N904" s="770"/>
      <c r="O904" s="770"/>
      <c r="P904" s="770"/>
      <c r="T904" s="762"/>
    </row>
    <row r="905" spans="1:20" s="731" customFormat="1" ht="13.5" customHeight="1">
      <c r="A905" s="996" t="s">
        <v>638</v>
      </c>
      <c r="B905" s="882" t="s">
        <v>696</v>
      </c>
      <c r="C905" s="1049"/>
      <c r="D905" s="1049"/>
      <c r="E905" s="1004"/>
      <c r="F905" s="1004"/>
      <c r="G905" s="3374" t="s">
        <v>694</v>
      </c>
      <c r="H905" s="3374"/>
      <c r="I905" s="933">
        <v>15.2</v>
      </c>
      <c r="J905" s="1062"/>
      <c r="K905" s="1062">
        <f t="shared" si="94"/>
        <v>15.2</v>
      </c>
      <c r="L905" s="3372">
        <f t="shared" si="95"/>
        <v>15.2</v>
      </c>
      <c r="M905" s="3373"/>
      <c r="N905" s="770"/>
      <c r="O905" s="770"/>
      <c r="P905" s="770"/>
      <c r="T905" s="762"/>
    </row>
    <row r="906" spans="1:20" s="731" customFormat="1" ht="13.5" customHeight="1">
      <c r="A906" s="996" t="s">
        <v>640</v>
      </c>
      <c r="B906" s="882" t="s">
        <v>697</v>
      </c>
      <c r="C906" s="1049"/>
      <c r="D906" s="1049"/>
      <c r="E906" s="1004"/>
      <c r="F906" s="1004"/>
      <c r="G906" s="3374" t="s">
        <v>694</v>
      </c>
      <c r="H906" s="3374"/>
      <c r="I906" s="933">
        <v>17.8</v>
      </c>
      <c r="J906" s="1062"/>
      <c r="K906" s="1062">
        <f t="shared" si="94"/>
        <v>17.8</v>
      </c>
      <c r="L906" s="3372">
        <f t="shared" si="95"/>
        <v>17.8</v>
      </c>
      <c r="M906" s="3373"/>
      <c r="N906" s="770"/>
      <c r="O906" s="770"/>
      <c r="P906" s="770"/>
      <c r="T906" s="762"/>
    </row>
    <row r="907" spans="1:20" s="731" customFormat="1" ht="13.5" customHeight="1">
      <c r="A907" s="996" t="s">
        <v>642</v>
      </c>
      <c r="B907" s="882" t="s">
        <v>698</v>
      </c>
      <c r="C907" s="1049"/>
      <c r="D907" s="1049"/>
      <c r="E907" s="1004"/>
      <c r="F907" s="1004"/>
      <c r="G907" s="3374" t="s">
        <v>694</v>
      </c>
      <c r="H907" s="3374"/>
      <c r="I907" s="933">
        <v>22.9</v>
      </c>
      <c r="J907" s="1062"/>
      <c r="K907" s="1062">
        <f t="shared" si="94"/>
        <v>22.9</v>
      </c>
      <c r="L907" s="3372">
        <f t="shared" si="95"/>
        <v>22.9</v>
      </c>
      <c r="M907" s="3373"/>
      <c r="N907" s="770"/>
      <c r="O907" s="770"/>
      <c r="P907" s="770"/>
      <c r="T907" s="762"/>
    </row>
    <row r="908" spans="1:20" s="731" customFormat="1" ht="13.5" customHeight="1">
      <c r="A908" s="996" t="s">
        <v>699</v>
      </c>
      <c r="B908" s="882" t="s">
        <v>700</v>
      </c>
      <c r="C908" s="1049"/>
      <c r="D908" s="1049"/>
      <c r="E908" s="1004"/>
      <c r="F908" s="1004"/>
      <c r="G908" s="3374" t="s">
        <v>694</v>
      </c>
      <c r="H908" s="3374"/>
      <c r="I908" s="933">
        <v>28.1</v>
      </c>
      <c r="J908" s="1062"/>
      <c r="K908" s="1062">
        <f t="shared" si="94"/>
        <v>28.1</v>
      </c>
      <c r="L908" s="3372">
        <f t="shared" si="95"/>
        <v>28.1</v>
      </c>
      <c r="M908" s="3373"/>
      <c r="N908" s="770"/>
      <c r="O908" s="770"/>
      <c r="P908" s="770"/>
      <c r="T908" s="762"/>
    </row>
    <row r="909" spans="1:20" s="731" customFormat="1" ht="13.5" customHeight="1">
      <c r="A909" s="996" t="s">
        <v>701</v>
      </c>
      <c r="B909" s="882" t="s">
        <v>702</v>
      </c>
      <c r="C909" s="1049"/>
      <c r="D909" s="1049"/>
      <c r="E909" s="1004"/>
      <c r="F909" s="1004"/>
      <c r="G909" s="3374" t="s">
        <v>694</v>
      </c>
      <c r="H909" s="3374"/>
      <c r="I909" s="933">
        <v>42.2</v>
      </c>
      <c r="J909" s="1062"/>
      <c r="K909" s="1062">
        <f t="shared" si="94"/>
        <v>42.2</v>
      </c>
      <c r="L909" s="3372">
        <f t="shared" si="95"/>
        <v>42.2</v>
      </c>
      <c r="M909" s="3373"/>
      <c r="N909" s="770"/>
      <c r="O909" s="770"/>
      <c r="P909" s="770"/>
      <c r="T909" s="762"/>
    </row>
    <row r="910" spans="1:20" s="731" customFormat="1" ht="13.5" customHeight="1">
      <c r="A910" s="996" t="s">
        <v>703</v>
      </c>
      <c r="B910" s="882" t="s">
        <v>704</v>
      </c>
      <c r="C910" s="1049"/>
      <c r="D910" s="1049"/>
      <c r="E910" s="1004"/>
      <c r="F910" s="1004"/>
      <c r="G910" s="3374" t="s">
        <v>694</v>
      </c>
      <c r="H910" s="3374"/>
      <c r="I910" s="933">
        <v>73.2</v>
      </c>
      <c r="J910" s="1062"/>
      <c r="K910" s="1062">
        <f t="shared" si="94"/>
        <v>73.2</v>
      </c>
      <c r="L910" s="3372">
        <f t="shared" si="95"/>
        <v>73.2</v>
      </c>
      <c r="M910" s="3373"/>
      <c r="N910" s="770"/>
      <c r="O910" s="770"/>
      <c r="P910" s="770"/>
      <c r="T910" s="762"/>
    </row>
    <row r="911" spans="1:20" s="731" customFormat="1" ht="13.5" customHeight="1">
      <c r="A911" s="992">
        <f>A902+1</f>
        <v>209</v>
      </c>
      <c r="B911" s="882" t="s">
        <v>3358</v>
      </c>
      <c r="C911" s="1049"/>
      <c r="D911" s="1049"/>
      <c r="E911" s="1004"/>
      <c r="F911" s="1004"/>
      <c r="G911" s="3374" t="s">
        <v>390</v>
      </c>
      <c r="H911" s="3374"/>
      <c r="I911" s="933">
        <v>326</v>
      </c>
      <c r="J911" s="1062"/>
      <c r="K911" s="1062">
        <f t="shared" si="94"/>
        <v>326</v>
      </c>
      <c r="L911" s="3372">
        <f t="shared" si="95"/>
        <v>326</v>
      </c>
      <c r="M911" s="3373"/>
      <c r="N911" s="770"/>
      <c r="O911" s="770"/>
      <c r="P911" s="770"/>
      <c r="T911" s="762"/>
    </row>
    <row r="912" spans="1:20" s="731" customFormat="1" ht="13.5" customHeight="1" thickBot="1">
      <c r="A912" s="1184">
        <f t="shared" si="92"/>
        <v>210</v>
      </c>
      <c r="B912" s="1185" t="s">
        <v>3358</v>
      </c>
      <c r="C912" s="1186"/>
      <c r="D912" s="1186"/>
      <c r="E912" s="1187"/>
      <c r="F912" s="1187"/>
      <c r="G912" s="3383" t="s">
        <v>390</v>
      </c>
      <c r="H912" s="3383"/>
      <c r="I912" s="1188">
        <v>327</v>
      </c>
      <c r="J912" s="1189"/>
      <c r="K912" s="1189">
        <f t="shared" si="94"/>
        <v>327</v>
      </c>
      <c r="L912" s="3384">
        <f t="shared" si="95"/>
        <v>327</v>
      </c>
      <c r="M912" s="3385"/>
      <c r="N912" s="770"/>
      <c r="O912" s="770"/>
      <c r="P912" s="770"/>
      <c r="T912" s="762"/>
    </row>
    <row r="913" spans="1:20" s="731" customFormat="1">
      <c r="A913" s="728">
        <f t="shared" si="92"/>
        <v>211</v>
      </c>
      <c r="B913" s="758" t="s">
        <v>3189</v>
      </c>
      <c r="C913" s="734"/>
      <c r="D913" s="734"/>
      <c r="E913" s="728"/>
      <c r="F913" s="728"/>
      <c r="G913" s="3374" t="s">
        <v>3191</v>
      </c>
      <c r="H913" s="3374"/>
      <c r="I913" s="738"/>
      <c r="J913" s="737"/>
      <c r="K913" s="737"/>
      <c r="L913" s="3372"/>
      <c r="M913" s="3372"/>
      <c r="N913" s="770"/>
      <c r="O913" s="762" t="s">
        <v>3190</v>
      </c>
      <c r="P913" s="770"/>
      <c r="T913" s="762"/>
    </row>
    <row r="914" spans="1:20" s="731" customFormat="1">
      <c r="A914" s="728">
        <f t="shared" si="92"/>
        <v>212</v>
      </c>
      <c r="B914" s="758" t="s">
        <v>3194</v>
      </c>
      <c r="C914" s="734"/>
      <c r="D914" s="734"/>
      <c r="E914" s="728"/>
      <c r="F914" s="728"/>
      <c r="G914" s="3374" t="s">
        <v>3196</v>
      </c>
      <c r="H914" s="3374"/>
      <c r="I914" s="738"/>
      <c r="J914" s="737"/>
      <c r="K914" s="737"/>
      <c r="L914" s="3372"/>
      <c r="M914" s="3372"/>
      <c r="N914" s="770"/>
      <c r="O914" s="1047" t="s">
        <v>3195</v>
      </c>
      <c r="P914" s="770"/>
      <c r="T914" s="762"/>
    </row>
    <row r="915" spans="1:20" s="731" customFormat="1">
      <c r="A915" s="728">
        <f t="shared" si="92"/>
        <v>213</v>
      </c>
      <c r="B915" s="758" t="s">
        <v>3202</v>
      </c>
      <c r="C915" s="734"/>
      <c r="D915" s="734"/>
      <c r="E915" s="728"/>
      <c r="F915" s="728"/>
      <c r="G915" s="3374" t="s">
        <v>3191</v>
      </c>
      <c r="H915" s="3374"/>
      <c r="I915" s="738"/>
      <c r="J915" s="737"/>
      <c r="K915" s="737"/>
      <c r="L915" s="3372"/>
      <c r="M915" s="3372"/>
      <c r="N915" s="770"/>
      <c r="O915" s="1047" t="s">
        <v>3203</v>
      </c>
      <c r="P915" s="770"/>
      <c r="T915" s="762"/>
    </row>
    <row r="916" spans="1:20" s="731" customFormat="1">
      <c r="A916" s="728">
        <f t="shared" si="92"/>
        <v>214</v>
      </c>
      <c r="B916" s="758" t="s">
        <v>3204</v>
      </c>
      <c r="C916" s="734"/>
      <c r="D916" s="734"/>
      <c r="E916" s="728"/>
      <c r="F916" s="728"/>
      <c r="G916" s="3374" t="s">
        <v>3191</v>
      </c>
      <c r="H916" s="3374"/>
      <c r="I916" s="738"/>
      <c r="J916" s="737"/>
      <c r="K916" s="737"/>
      <c r="L916" s="3372"/>
      <c r="M916" s="3372"/>
      <c r="N916" s="770"/>
      <c r="O916" s="1047" t="s">
        <v>3205</v>
      </c>
      <c r="P916" s="770"/>
      <c r="T916" s="762"/>
    </row>
    <row r="917" spans="1:20" s="731" customFormat="1">
      <c r="A917" s="768"/>
      <c r="B917" s="1072"/>
      <c r="C917" s="764"/>
      <c r="D917" s="764"/>
      <c r="E917" s="768"/>
      <c r="F917" s="768"/>
      <c r="G917" s="1073"/>
      <c r="H917" s="1073"/>
      <c r="I917" s="771"/>
      <c r="J917" s="742"/>
      <c r="K917" s="742"/>
      <c r="L917" s="770"/>
      <c r="M917" s="770"/>
      <c r="N917" s="770"/>
      <c r="O917" s="770"/>
      <c r="P917" s="770"/>
      <c r="T917" s="762"/>
    </row>
    <row r="918" spans="1:20" s="731" customFormat="1">
      <c r="A918" s="768"/>
      <c r="B918" s="1072"/>
      <c r="C918" s="764"/>
      <c r="D918" s="764"/>
      <c r="E918" s="768"/>
      <c r="F918" s="768"/>
      <c r="G918" s="1073"/>
      <c r="H918" s="1073"/>
      <c r="I918" s="771"/>
      <c r="J918" s="742"/>
      <c r="K918" s="742"/>
      <c r="L918" s="770"/>
      <c r="M918" s="770"/>
      <c r="N918" s="770"/>
      <c r="O918" s="770"/>
      <c r="P918" s="770"/>
      <c r="T918" s="762"/>
    </row>
    <row r="919" spans="1:20" s="731" customFormat="1">
      <c r="A919" s="768"/>
      <c r="B919" s="1072"/>
      <c r="C919" s="764"/>
      <c r="D919" s="764"/>
      <c r="E919" s="768"/>
      <c r="F919" s="768"/>
      <c r="G919" s="1073"/>
      <c r="H919" s="1073"/>
      <c r="I919" s="771"/>
      <c r="J919" s="742"/>
      <c r="K919" s="742"/>
      <c r="L919" s="770"/>
      <c r="M919" s="770"/>
      <c r="N919" s="770"/>
      <c r="O919" s="770"/>
      <c r="P919" s="770"/>
      <c r="T919" s="762"/>
    </row>
    <row r="920" spans="1:20" s="731" customFormat="1">
      <c r="A920" s="768"/>
      <c r="B920" s="1072"/>
      <c r="C920" s="764"/>
      <c r="D920" s="764"/>
      <c r="E920" s="768"/>
      <c r="F920" s="768"/>
      <c r="G920" s="1073"/>
      <c r="H920" s="1073"/>
      <c r="I920" s="771"/>
      <c r="J920" s="742"/>
      <c r="K920" s="742"/>
      <c r="L920" s="770"/>
      <c r="M920" s="770"/>
      <c r="N920" s="770"/>
      <c r="O920" s="770"/>
      <c r="P920" s="770"/>
      <c r="T920" s="762"/>
    </row>
    <row r="921" spans="1:20" s="731" customFormat="1">
      <c r="A921" s="768"/>
      <c r="B921" s="1072"/>
      <c r="C921" s="764"/>
      <c r="D921" s="764"/>
      <c r="E921" s="768"/>
      <c r="F921" s="768"/>
      <c r="G921" s="1073"/>
      <c r="H921" s="1073"/>
      <c r="I921" s="771"/>
      <c r="J921" s="742"/>
      <c r="K921" s="742"/>
      <c r="L921" s="770"/>
      <c r="M921" s="770"/>
      <c r="N921" s="770"/>
      <c r="O921" s="770"/>
      <c r="P921" s="770"/>
      <c r="T921" s="762"/>
    </row>
    <row r="922" spans="1:20" s="731" customFormat="1">
      <c r="A922" s="768"/>
      <c r="B922" s="1072"/>
      <c r="C922" s="764"/>
      <c r="D922" s="764"/>
      <c r="E922" s="768"/>
      <c r="F922" s="768"/>
      <c r="G922" s="1073"/>
      <c r="H922" s="1073"/>
      <c r="I922" s="771"/>
      <c r="J922" s="742"/>
      <c r="K922" s="742"/>
      <c r="L922" s="770"/>
      <c r="M922" s="770"/>
      <c r="N922" s="770"/>
      <c r="O922" s="770"/>
      <c r="P922" s="770"/>
      <c r="T922" s="762"/>
    </row>
    <row r="923" spans="1:20" s="731" customFormat="1">
      <c r="A923" s="768"/>
      <c r="B923" s="1072"/>
      <c r="C923" s="764"/>
      <c r="D923" s="764"/>
      <c r="E923" s="768"/>
      <c r="F923" s="768"/>
      <c r="G923" s="1073"/>
      <c r="H923" s="1073"/>
      <c r="I923" s="771"/>
      <c r="J923" s="742"/>
      <c r="K923" s="742"/>
      <c r="L923" s="770"/>
      <c r="M923" s="770"/>
      <c r="N923" s="770"/>
      <c r="O923" s="770"/>
      <c r="P923" s="770"/>
      <c r="T923" s="762"/>
    </row>
    <row r="924" spans="1:20" s="731" customFormat="1">
      <c r="A924" s="768"/>
      <c r="B924" s="1072"/>
      <c r="C924" s="764"/>
      <c r="D924" s="764"/>
      <c r="E924" s="768"/>
      <c r="F924" s="768"/>
      <c r="G924" s="1073"/>
      <c r="H924" s="1073"/>
      <c r="I924" s="771"/>
      <c r="J924" s="742"/>
      <c r="K924" s="742"/>
      <c r="L924" s="770"/>
      <c r="M924" s="770"/>
      <c r="N924" s="770"/>
      <c r="O924" s="770"/>
      <c r="P924" s="770"/>
      <c r="T924" s="762"/>
    </row>
    <row r="925" spans="1:20" s="731" customFormat="1">
      <c r="A925" s="768"/>
      <c r="B925" s="1072"/>
      <c r="C925" s="764"/>
      <c r="D925" s="764"/>
      <c r="E925" s="768"/>
      <c r="F925" s="768"/>
      <c r="G925" s="1073"/>
      <c r="H925" s="1073"/>
      <c r="I925" s="771"/>
      <c r="J925" s="742"/>
      <c r="K925" s="742"/>
      <c r="L925" s="770"/>
      <c r="M925" s="770"/>
      <c r="N925" s="770"/>
      <c r="O925" s="770"/>
      <c r="P925" s="770"/>
      <c r="T925" s="762"/>
    </row>
    <row r="926" spans="1:20" s="731" customFormat="1">
      <c r="A926" s="768"/>
      <c r="B926" s="1072"/>
      <c r="C926" s="764"/>
      <c r="D926" s="764"/>
      <c r="E926" s="768"/>
      <c r="F926" s="768"/>
      <c r="G926" s="1073"/>
      <c r="H926" s="1073"/>
      <c r="I926" s="771"/>
      <c r="J926" s="742"/>
      <c r="K926" s="742"/>
      <c r="L926" s="770"/>
      <c r="M926" s="770"/>
      <c r="N926" s="770"/>
      <c r="O926" s="770"/>
      <c r="P926" s="770"/>
      <c r="T926" s="762"/>
    </row>
    <row r="927" spans="1:20" s="762" customFormat="1">
      <c r="A927" s="768"/>
      <c r="B927" s="3380" t="str">
        <f>B135</f>
        <v>Junior Engineer/GPTA</v>
      </c>
      <c r="C927" s="3380"/>
      <c r="D927" s="768"/>
      <c r="E927" s="768"/>
      <c r="F927" s="768"/>
      <c r="H927" s="768" t="str">
        <f>H135</f>
        <v>Assistant Executive Engineer</v>
      </c>
      <c r="I927" s="768"/>
      <c r="J927" s="768"/>
      <c r="L927" s="768" t="str">
        <f>L135</f>
        <v>Block Development Officer</v>
      </c>
    </row>
    <row r="928" spans="1:20" s="762" customFormat="1">
      <c r="A928" s="768"/>
      <c r="B928" s="3380" t="str">
        <f>B136</f>
        <v>Kamakhyanagar Block</v>
      </c>
      <c r="C928" s="3380"/>
      <c r="D928" s="768"/>
      <c r="E928" s="768"/>
      <c r="F928" s="768"/>
      <c r="H928" s="768" t="str">
        <f>H136</f>
        <v>Kamakhyanagar Block</v>
      </c>
      <c r="I928" s="768"/>
      <c r="J928" s="768"/>
      <c r="L928" s="768" t="str">
        <f>L136</f>
        <v>Kamakhyanagar Block</v>
      </c>
    </row>
    <row r="929" spans="1:20" s="731" customFormat="1">
      <c r="A929" s="768"/>
      <c r="B929" s="764"/>
      <c r="C929" s="764"/>
      <c r="D929" s="764"/>
      <c r="E929" s="768"/>
      <c r="F929" s="768"/>
      <c r="H929" s="764"/>
      <c r="I929" s="764"/>
      <c r="J929" s="764"/>
      <c r="L929" s="764"/>
      <c r="T929" s="762"/>
    </row>
    <row r="930" spans="1:20" ht="21.75" customHeight="1">
      <c r="A930" s="3255" t="s">
        <v>705</v>
      </c>
      <c r="B930" s="3255"/>
      <c r="C930" s="3255"/>
      <c r="D930" s="3255"/>
      <c r="E930" s="3255"/>
      <c r="F930" s="3255"/>
      <c r="G930" s="3255"/>
      <c r="H930" s="3255"/>
      <c r="I930" s="3255"/>
      <c r="J930" s="3255"/>
      <c r="K930" s="3255"/>
      <c r="L930" s="3255"/>
      <c r="M930" s="3255"/>
      <c r="N930" s="721"/>
      <c r="O930" s="721"/>
      <c r="P930" s="721"/>
    </row>
    <row r="931" spans="1:20" ht="18" customHeight="1">
      <c r="A931" s="3381" t="str">
        <f>A2</f>
        <v>NAME OF THE WORK:-</v>
      </c>
      <c r="B931" s="3381"/>
      <c r="C931" s="3381"/>
      <c r="D931" s="3382" t="str">
        <f>D2</f>
        <v>CONSTRUCTION OF</v>
      </c>
      <c r="E931" s="3382"/>
      <c r="F931" s="3382"/>
      <c r="G931" s="3382"/>
      <c r="H931" s="3382"/>
      <c r="I931" s="3382"/>
      <c r="J931" s="3382"/>
      <c r="K931" s="3382"/>
      <c r="L931" s="3382"/>
      <c r="M931" s="3382"/>
      <c r="N931" s="1074"/>
      <c r="O931" s="1074"/>
      <c r="P931" s="1074"/>
    </row>
    <row r="932" spans="1:20" ht="18" customHeight="1">
      <c r="A932" s="3381" t="str">
        <f>A3</f>
        <v>NAME OF THE G.P.:-</v>
      </c>
      <c r="B932" s="3381"/>
      <c r="C932" s="3381"/>
      <c r="D932" s="3382" t="str">
        <f>D3</f>
        <v>Badasuanlo</v>
      </c>
      <c r="E932" s="3382"/>
      <c r="F932" s="3382"/>
      <c r="G932" s="3382"/>
      <c r="H932" s="3382"/>
      <c r="I932" s="3382"/>
      <c r="J932" s="3382"/>
      <c r="K932" s="3382"/>
      <c r="L932" s="3382"/>
      <c r="M932" s="3382"/>
      <c r="N932" s="1074"/>
      <c r="O932" s="1074"/>
      <c r="P932" s="1074"/>
    </row>
    <row r="933" spans="1:20" ht="18" customHeight="1">
      <c r="A933" s="3381" t="str">
        <f>A4</f>
        <v>NAME OF THE SCHEME:-</v>
      </c>
      <c r="B933" s="3381"/>
      <c r="C933" s="3381"/>
      <c r="D933" s="3382" t="str">
        <f>D4</f>
        <v>4th SFC Devolution Fund</v>
      </c>
      <c r="E933" s="3382"/>
      <c r="F933" s="3382"/>
      <c r="G933" s="3382"/>
      <c r="H933" s="3382"/>
      <c r="I933" s="3382"/>
      <c r="J933" s="3382"/>
      <c r="K933" s="3382"/>
      <c r="L933" s="3382"/>
      <c r="M933" s="3382"/>
      <c r="N933" s="1074"/>
      <c r="O933" s="1074"/>
      <c r="P933" s="1074"/>
    </row>
    <row r="934" spans="1:20" ht="12" customHeight="1">
      <c r="A934" s="1075" t="s">
        <v>375</v>
      </c>
      <c r="B934" s="3390" t="s">
        <v>706</v>
      </c>
      <c r="C934" s="3391"/>
      <c r="D934" s="3392"/>
      <c r="E934" s="3396" t="s">
        <v>1</v>
      </c>
      <c r="F934" s="713"/>
      <c r="G934" s="3390" t="s">
        <v>707</v>
      </c>
      <c r="H934" s="3392"/>
      <c r="I934" s="1075" t="s">
        <v>1</v>
      </c>
      <c r="J934" s="1076" t="s">
        <v>708</v>
      </c>
      <c r="K934" s="1076" t="s">
        <v>709</v>
      </c>
      <c r="L934" s="3390" t="s">
        <v>710</v>
      </c>
      <c r="M934" s="3392"/>
      <c r="N934" s="836"/>
      <c r="O934" s="836"/>
      <c r="P934" s="836"/>
    </row>
    <row r="935" spans="1:20" ht="12.75" customHeight="1">
      <c r="A935" s="1077" t="s">
        <v>37</v>
      </c>
      <c r="B935" s="3393"/>
      <c r="C935" s="3394"/>
      <c r="D935" s="3395"/>
      <c r="E935" s="3397"/>
      <c r="F935" s="713"/>
      <c r="G935" s="3393"/>
      <c r="H935" s="3395"/>
      <c r="I935" s="1077" t="s">
        <v>151</v>
      </c>
      <c r="J935" s="1078" t="s">
        <v>44</v>
      </c>
      <c r="K935" s="1078" t="s">
        <v>44</v>
      </c>
      <c r="L935" s="1079"/>
      <c r="M935" s="1080"/>
      <c r="N935" s="1081"/>
      <c r="O935" s="1081"/>
      <c r="P935" s="1081"/>
    </row>
    <row r="936" spans="1:20">
      <c r="A936" s="1082">
        <v>1</v>
      </c>
      <c r="B936" s="3387">
        <v>2</v>
      </c>
      <c r="C936" s="3388"/>
      <c r="D936" s="3389"/>
      <c r="E936" s="1083">
        <v>3</v>
      </c>
      <c r="F936" s="713"/>
      <c r="G936" s="3387">
        <v>4</v>
      </c>
      <c r="H936" s="3389"/>
      <c r="I936" s="1082">
        <v>5</v>
      </c>
      <c r="J936" s="1084">
        <v>6</v>
      </c>
      <c r="K936" s="1084">
        <v>7</v>
      </c>
      <c r="L936" s="3387">
        <v>8</v>
      </c>
      <c r="M936" s="3389"/>
      <c r="N936" s="836"/>
      <c r="O936" s="836"/>
      <c r="P936" s="836"/>
      <c r="Q936" s="722" t="s">
        <v>711</v>
      </c>
    </row>
    <row r="937" spans="1:20">
      <c r="A937" s="1085" t="s">
        <v>712</v>
      </c>
      <c r="B937" s="1085"/>
      <c r="C937" s="1085"/>
      <c r="D937" s="1085"/>
      <c r="G937" s="836"/>
      <c r="H937" s="836"/>
      <c r="I937" s="836"/>
      <c r="J937" s="836"/>
      <c r="K937" s="836"/>
      <c r="L937" s="836"/>
      <c r="M937" s="836"/>
      <c r="N937" s="836"/>
      <c r="O937" s="836"/>
      <c r="P937" s="836"/>
      <c r="Q937" s="1085" t="s">
        <v>713</v>
      </c>
    </row>
    <row r="938" spans="1:20" ht="51.75" customHeight="1">
      <c r="A938" s="836">
        <f>A240</f>
        <v>1</v>
      </c>
      <c r="B938" s="3386" t="str">
        <f>B240</f>
        <v>Dismantling &amp; removing RCC Columns / Beams / Slab including stacking the useful materials for reuse  &amp;  removing the debris within 50m lead  with  cost  of  all labour etc. complete.</v>
      </c>
      <c r="C938" s="3386"/>
      <c r="D938" s="3386"/>
      <c r="E938" s="1086" t="str">
        <f>G240</f>
        <v>Each Cum</v>
      </c>
      <c r="F938" s="1086"/>
      <c r="G938" s="1081"/>
      <c r="H938" s="1081"/>
      <c r="J938" s="1081"/>
      <c r="K938" s="1081"/>
      <c r="L938" s="1087"/>
      <c r="M938" s="1081"/>
      <c r="N938" s="1081"/>
      <c r="O938" s="1081"/>
      <c r="P938" s="1081"/>
    </row>
    <row r="939" spans="1:20">
      <c r="A939" s="836" t="str">
        <f>A241</f>
        <v>(i)</v>
      </c>
      <c r="B939" s="723" t="str">
        <f>B241</f>
        <v>Ground Floor</v>
      </c>
      <c r="C939" s="1088"/>
      <c r="D939" s="1088"/>
      <c r="E939" s="1089" t="str">
        <f>E938</f>
        <v>Each Cum</v>
      </c>
      <c r="F939" s="1089"/>
      <c r="G939" s="1081"/>
      <c r="H939" s="1081"/>
      <c r="J939" s="1081"/>
      <c r="K939" s="1081"/>
      <c r="L939" s="1087"/>
      <c r="M939" s="1081"/>
      <c r="N939" s="1081"/>
      <c r="O939" s="1081"/>
      <c r="P939" s="1081"/>
    </row>
    <row r="940" spans="1:20">
      <c r="B940" s="723" t="s">
        <v>714</v>
      </c>
      <c r="E940" s="1090"/>
      <c r="F940" s="1090"/>
      <c r="H940" s="1081"/>
      <c r="L940" s="1087"/>
      <c r="M940" s="1081"/>
      <c r="N940" s="1081"/>
      <c r="O940" s="1081"/>
      <c r="P940" s="1081"/>
    </row>
    <row r="941" spans="1:20">
      <c r="B941" s="723" t="s">
        <v>715</v>
      </c>
      <c r="C941" s="723"/>
      <c r="E941" s="1090"/>
      <c r="F941" s="1090"/>
      <c r="H941" s="1081"/>
      <c r="L941" s="1087"/>
      <c r="M941" s="1081"/>
      <c r="N941" s="1081"/>
      <c r="O941" s="1081"/>
      <c r="P941" s="1081"/>
    </row>
    <row r="942" spans="1:20">
      <c r="B942" s="722" t="s">
        <v>716</v>
      </c>
      <c r="E942" s="1090"/>
      <c r="F942" s="1090"/>
      <c r="G942" s="987">
        <v>1.5</v>
      </c>
      <c r="H942" s="1081" t="s">
        <v>262</v>
      </c>
      <c r="I942" s="724" t="s">
        <v>38</v>
      </c>
      <c r="J942" s="726">
        <f>L130</f>
        <v>244.3</v>
      </c>
      <c r="K942" s="726">
        <f>ROUND(G942*J942,2)</f>
        <v>366.45</v>
      </c>
      <c r="L942" s="1087"/>
      <c r="M942" s="1081"/>
      <c r="N942" s="1081"/>
      <c r="O942" s="1081"/>
      <c r="P942" s="1081"/>
    </row>
    <row r="943" spans="1:20">
      <c r="B943" s="722" t="s">
        <v>717</v>
      </c>
      <c r="E943" s="1090"/>
      <c r="F943" s="1090"/>
      <c r="G943" s="987">
        <v>1.5</v>
      </c>
      <c r="H943" s="1081" t="s">
        <v>262</v>
      </c>
      <c r="I943" s="724" t="s">
        <v>38</v>
      </c>
      <c r="J943" s="726">
        <f>L129</f>
        <v>182</v>
      </c>
      <c r="K943" s="726">
        <f>ROUND(G943*J943,2)</f>
        <v>273</v>
      </c>
      <c r="L943" s="1087"/>
      <c r="M943" s="1081"/>
      <c r="N943" s="1081"/>
      <c r="O943" s="1081"/>
      <c r="P943" s="1081"/>
    </row>
    <row r="944" spans="1:20">
      <c r="E944" s="1090"/>
      <c r="F944" s="1090"/>
      <c r="G944" s="987"/>
      <c r="H944" s="1081"/>
      <c r="J944" s="836" t="s">
        <v>718</v>
      </c>
      <c r="K944" s="1091">
        <f>K942+K943</f>
        <v>639.45000000000005</v>
      </c>
      <c r="L944" s="1087"/>
      <c r="M944" s="1081"/>
      <c r="N944" s="1081"/>
      <c r="O944" s="1081"/>
      <c r="P944" s="1081"/>
    </row>
    <row r="945" spans="1:27">
      <c r="B945" s="723"/>
      <c r="E945" s="1090"/>
      <c r="F945" s="1090"/>
      <c r="H945" s="1081"/>
      <c r="K945" s="1091"/>
      <c r="L945" s="1087"/>
      <c r="M945" s="1081"/>
      <c r="N945" s="1081"/>
      <c r="O945" s="1081"/>
      <c r="P945" s="1081"/>
    </row>
    <row r="946" spans="1:27">
      <c r="B946" s="723" t="s">
        <v>719</v>
      </c>
      <c r="E946" s="1090"/>
      <c r="F946" s="1090"/>
      <c r="H946" s="1081"/>
      <c r="K946" s="1091">
        <f>ROUND(K944*2%,2)</f>
        <v>12.79</v>
      </c>
      <c r="L946" s="1087"/>
      <c r="M946" s="1081"/>
      <c r="N946" s="1081"/>
      <c r="O946" s="1081"/>
      <c r="P946" s="1081"/>
    </row>
    <row r="947" spans="1:27">
      <c r="B947" s="722" t="s">
        <v>720</v>
      </c>
      <c r="E947" s="1090"/>
      <c r="F947" s="1090"/>
      <c r="H947" s="1081"/>
      <c r="J947" s="836" t="s">
        <v>718</v>
      </c>
      <c r="K947" s="1091">
        <f>SUM(K944:K946)</f>
        <v>652.24</v>
      </c>
      <c r="L947" s="723" t="s">
        <v>721</v>
      </c>
      <c r="M947" s="1081"/>
      <c r="N947" s="1081"/>
      <c r="O947" s="1081"/>
      <c r="P947" s="1081"/>
      <c r="Y947" s="722" t="s">
        <v>49</v>
      </c>
      <c r="Z947" s="726">
        <f>K944</f>
        <v>639.45000000000005</v>
      </c>
      <c r="AA947" s="726">
        <f>K946</f>
        <v>12.79</v>
      </c>
    </row>
    <row r="948" spans="1:27">
      <c r="A948" s="836" t="str">
        <f>A242</f>
        <v>(ii)</v>
      </c>
      <c r="B948" s="1087" t="str">
        <f>B242</f>
        <v>First Floor</v>
      </c>
      <c r="E948" s="1089" t="str">
        <f>E938</f>
        <v>Each Cum</v>
      </c>
      <c r="F948" s="1089"/>
      <c r="G948" s="987"/>
      <c r="J948" s="726"/>
      <c r="K948" s="726"/>
    </row>
    <row r="949" spans="1:27">
      <c r="B949" s="722" t="s">
        <v>722</v>
      </c>
      <c r="G949" s="987"/>
      <c r="J949" s="726"/>
      <c r="K949" s="726">
        <f>K947</f>
        <v>652.24</v>
      </c>
    </row>
    <row r="950" spans="1:27">
      <c r="B950" s="722" t="s">
        <v>723</v>
      </c>
      <c r="G950" s="987"/>
      <c r="J950" s="726"/>
      <c r="K950" s="726">
        <f>ROUND(K944*1*5%,2)</f>
        <v>31.97</v>
      </c>
    </row>
    <row r="951" spans="1:27">
      <c r="G951" s="987"/>
      <c r="J951" s="827" t="s">
        <v>718</v>
      </c>
      <c r="K951" s="1091">
        <f>SUM(K949:K950)</f>
        <v>684.21</v>
      </c>
      <c r="L951" s="723" t="s">
        <v>721</v>
      </c>
      <c r="Y951" s="722" t="s">
        <v>49</v>
      </c>
      <c r="Z951" s="726">
        <f>Z947+K950</f>
        <v>671.42000000000007</v>
      </c>
      <c r="AA951" s="726">
        <f>K946</f>
        <v>12.79</v>
      </c>
    </row>
    <row r="952" spans="1:27" ht="48.75" customHeight="1">
      <c r="A952" s="836">
        <f>A243</f>
        <v>2</v>
      </c>
      <c r="B952" s="3386" t="str">
        <f>B243</f>
        <v>Dismantling &amp; removing Brick / Stone Masonry in C.M./L.M. including stacking the useful materials for reuse  &amp;  removing the debris within 50m lead  with  cost  of  all labour etc. complete.</v>
      </c>
      <c r="C952" s="3386"/>
      <c r="D952" s="3386"/>
      <c r="E952" s="1086" t="str">
        <f>G243</f>
        <v>Each Cum</v>
      </c>
      <c r="F952" s="1086"/>
      <c r="G952" s="1081"/>
      <c r="H952" s="1081"/>
      <c r="J952" s="836"/>
      <c r="K952" s="1081"/>
      <c r="L952" s="1087"/>
      <c r="M952" s="1081"/>
      <c r="N952" s="1081"/>
      <c r="O952" s="1081"/>
      <c r="P952" s="1081"/>
    </row>
    <row r="953" spans="1:27">
      <c r="A953" s="836" t="str">
        <f>A244</f>
        <v>(i)</v>
      </c>
      <c r="B953" s="723" t="str">
        <f>B244</f>
        <v>Ground Floor</v>
      </c>
      <c r="C953" s="1088"/>
      <c r="D953" s="1088"/>
      <c r="E953" s="1089" t="str">
        <f>E952</f>
        <v>Each Cum</v>
      </c>
      <c r="F953" s="1089"/>
      <c r="G953" s="1081"/>
      <c r="H953" s="1081"/>
      <c r="J953" s="1081"/>
      <c r="K953" s="1081"/>
      <c r="L953" s="1087"/>
      <c r="M953" s="1081"/>
      <c r="N953" s="1081"/>
      <c r="O953" s="1081"/>
      <c r="P953" s="1081"/>
    </row>
    <row r="954" spans="1:27">
      <c r="B954" s="722" t="s">
        <v>724</v>
      </c>
      <c r="E954" s="1090"/>
      <c r="F954" s="1090"/>
      <c r="H954" s="1081"/>
      <c r="L954" s="1087"/>
      <c r="M954" s="1081"/>
      <c r="N954" s="1081"/>
      <c r="O954" s="1081"/>
      <c r="P954" s="1081"/>
    </row>
    <row r="955" spans="1:27">
      <c r="B955" s="723" t="s">
        <v>715</v>
      </c>
      <c r="C955" s="723"/>
      <c r="E955" s="1090"/>
      <c r="F955" s="1090"/>
      <c r="H955" s="1081"/>
      <c r="L955" s="1087"/>
      <c r="M955" s="1081"/>
      <c r="N955" s="1081"/>
      <c r="O955" s="1081"/>
      <c r="P955" s="1081"/>
    </row>
    <row r="956" spans="1:27">
      <c r="B956" s="722" t="s">
        <v>717</v>
      </c>
      <c r="E956" s="1090"/>
      <c r="F956" s="1090"/>
      <c r="G956" s="987">
        <v>8.5</v>
      </c>
      <c r="H956" s="1081" t="s">
        <v>262</v>
      </c>
      <c r="I956" s="724" t="s">
        <v>38</v>
      </c>
      <c r="J956" s="726">
        <f>L129</f>
        <v>182</v>
      </c>
      <c r="K956" s="726">
        <f>ROUND(G956*J956,2)</f>
        <v>1547</v>
      </c>
      <c r="L956" s="1087"/>
      <c r="M956" s="1081"/>
      <c r="N956" s="1081"/>
      <c r="O956" s="1081"/>
      <c r="P956" s="1081"/>
    </row>
    <row r="957" spans="1:27">
      <c r="E957" s="1090"/>
      <c r="F957" s="1090"/>
      <c r="G957" s="987"/>
      <c r="H957" s="1081"/>
      <c r="J957" s="836" t="s">
        <v>718</v>
      </c>
      <c r="K957" s="1091">
        <f>K956</f>
        <v>1547</v>
      </c>
      <c r="L957" s="1087"/>
      <c r="M957" s="1081"/>
      <c r="N957" s="1081"/>
      <c r="O957" s="1081"/>
      <c r="P957" s="1081"/>
    </row>
    <row r="958" spans="1:27">
      <c r="B958" s="723"/>
      <c r="E958" s="1090"/>
      <c r="F958" s="1090"/>
      <c r="H958" s="1081"/>
      <c r="K958" s="1091"/>
      <c r="L958" s="1087"/>
      <c r="M958" s="1081"/>
      <c r="N958" s="1081"/>
      <c r="O958" s="1081"/>
      <c r="P958" s="1081"/>
    </row>
    <row r="959" spans="1:27">
      <c r="B959" s="723" t="s">
        <v>719</v>
      </c>
      <c r="E959" s="1090"/>
      <c r="F959" s="1090"/>
      <c r="H959" s="1081"/>
      <c r="K959" s="1091">
        <f>ROUND(K957*2%,2)</f>
        <v>30.94</v>
      </c>
      <c r="L959" s="1087"/>
      <c r="M959" s="1081"/>
      <c r="N959" s="1081"/>
      <c r="O959" s="1081"/>
      <c r="P959" s="1081"/>
    </row>
    <row r="960" spans="1:27">
      <c r="B960" s="723" t="s">
        <v>725</v>
      </c>
      <c r="E960" s="1090"/>
      <c r="F960" s="1090"/>
      <c r="H960" s="1081"/>
      <c r="K960" s="1091">
        <f>SUM(K957:K959)</f>
        <v>1577.94</v>
      </c>
      <c r="L960" s="1087"/>
      <c r="M960" s="1081"/>
      <c r="N960" s="1081"/>
      <c r="O960" s="1081"/>
      <c r="P960" s="1081"/>
    </row>
    <row r="961" spans="1:27">
      <c r="B961" s="723" t="s">
        <v>726</v>
      </c>
      <c r="E961" s="1090"/>
      <c r="F961" s="1090"/>
      <c r="H961" s="1081"/>
      <c r="J961" s="836" t="s">
        <v>718</v>
      </c>
      <c r="K961" s="1091">
        <f>ROUND(K960/2.83,2)</f>
        <v>557.58000000000004</v>
      </c>
      <c r="L961" s="723" t="s">
        <v>721</v>
      </c>
      <c r="M961" s="1081"/>
      <c r="N961" s="1081"/>
      <c r="O961" s="1081"/>
      <c r="P961" s="1081"/>
      <c r="Y961" s="722" t="s">
        <v>49</v>
      </c>
      <c r="Z961" s="722">
        <f>K957/2.83</f>
        <v>546.64310954063603</v>
      </c>
      <c r="AA961" s="726">
        <f>K959/2.83</f>
        <v>10.93286219081272</v>
      </c>
    </row>
    <row r="962" spans="1:27">
      <c r="A962" s="836" t="str">
        <f>A245</f>
        <v>(ii)</v>
      </c>
      <c r="B962" s="723" t="str">
        <f>B245</f>
        <v>First Floor</v>
      </c>
      <c r="E962" s="1089" t="str">
        <f>E952</f>
        <v>Each Cum</v>
      </c>
      <c r="F962" s="1089"/>
      <c r="G962" s="987"/>
      <c r="J962" s="726"/>
      <c r="K962" s="726"/>
    </row>
    <row r="963" spans="1:27">
      <c r="B963" s="722" t="s">
        <v>722</v>
      </c>
      <c r="G963" s="987"/>
      <c r="J963" s="726"/>
      <c r="K963" s="726">
        <f>K961</f>
        <v>557.58000000000004</v>
      </c>
    </row>
    <row r="964" spans="1:27">
      <c r="B964" s="722" t="s">
        <v>723</v>
      </c>
      <c r="G964" s="987"/>
      <c r="J964" s="827"/>
      <c r="K964" s="726">
        <f>ROUND(K957/2.83*1*5%,2)</f>
        <v>27.33</v>
      </c>
      <c r="Y964" s="722" t="s">
        <v>49</v>
      </c>
      <c r="Z964" s="726">
        <f>Z961+K964</f>
        <v>573.97310954063607</v>
      </c>
      <c r="AA964" s="726">
        <f>AA961</f>
        <v>10.93286219081272</v>
      </c>
    </row>
    <row r="965" spans="1:27">
      <c r="G965" s="987"/>
      <c r="J965" s="827" t="s">
        <v>718</v>
      </c>
      <c r="K965" s="1091">
        <f>SUM(K963:K964)</f>
        <v>584.91000000000008</v>
      </c>
      <c r="L965" s="723" t="s">
        <v>721</v>
      </c>
    </row>
    <row r="966" spans="1:27" ht="53.25" customHeight="1">
      <c r="A966" s="836">
        <f>A246</f>
        <v>3</v>
      </c>
      <c r="B966" s="3386" t="str">
        <f>B246</f>
        <v>Dismantling &amp; removing 2.5cm thick A.S. Flooring including stacking the useful materials for reuse  &amp;  removing the debris within 50m lead  with  cost  of  all labour etc. complete.</v>
      </c>
      <c r="C966" s="3386"/>
      <c r="D966" s="3386"/>
      <c r="E966" s="1086" t="str">
        <f>G246</f>
        <v>Each Sqm</v>
      </c>
      <c r="F966" s="1086"/>
      <c r="G966" s="1081"/>
      <c r="H966" s="1081"/>
      <c r="J966" s="1081"/>
      <c r="K966" s="1081"/>
      <c r="L966" s="1087"/>
      <c r="M966" s="1081"/>
      <c r="N966" s="1081"/>
      <c r="O966" s="1081"/>
      <c r="P966" s="1081"/>
    </row>
    <row r="967" spans="1:27">
      <c r="A967" s="836" t="str">
        <f>A247</f>
        <v>(i)</v>
      </c>
      <c r="B967" s="723" t="str">
        <f>B247</f>
        <v>Ground Floor</v>
      </c>
      <c r="C967" s="1088"/>
      <c r="D967" s="1088"/>
      <c r="E967" s="1089" t="str">
        <f>E966</f>
        <v>Each Sqm</v>
      </c>
      <c r="F967" s="1089"/>
      <c r="G967" s="1081"/>
      <c r="H967" s="1081"/>
      <c r="J967" s="1081"/>
      <c r="K967" s="1081"/>
      <c r="L967" s="1087"/>
      <c r="M967" s="1081"/>
      <c r="N967" s="1081"/>
      <c r="O967" s="1081"/>
      <c r="P967" s="1081"/>
    </row>
    <row r="968" spans="1:27">
      <c r="B968" s="723" t="s">
        <v>727</v>
      </c>
      <c r="E968" s="1090"/>
      <c r="F968" s="1090"/>
      <c r="H968" s="1081"/>
      <c r="L968" s="1087"/>
      <c r="M968" s="1081"/>
      <c r="N968" s="1081"/>
      <c r="O968" s="1081"/>
      <c r="P968" s="1081"/>
    </row>
    <row r="969" spans="1:27">
      <c r="B969" s="723" t="s">
        <v>715</v>
      </c>
      <c r="C969" s="723"/>
      <c r="E969" s="1090"/>
      <c r="F969" s="1090"/>
      <c r="H969" s="1081"/>
      <c r="L969" s="1087"/>
      <c r="M969" s="1081"/>
      <c r="N969" s="1081"/>
      <c r="O969" s="1081"/>
      <c r="P969" s="1081"/>
    </row>
    <row r="970" spans="1:27">
      <c r="B970" s="722" t="s">
        <v>717</v>
      </c>
      <c r="E970" s="1090"/>
      <c r="F970" s="1090"/>
      <c r="G970" s="987">
        <v>2</v>
      </c>
      <c r="H970" s="1081" t="s">
        <v>262</v>
      </c>
      <c r="I970" s="724" t="s">
        <v>38</v>
      </c>
      <c r="J970" s="726">
        <f>L129</f>
        <v>182</v>
      </c>
      <c r="K970" s="726">
        <f>ROUND(G970*J970,2)</f>
        <v>364</v>
      </c>
      <c r="L970" s="1087"/>
      <c r="M970" s="1081"/>
      <c r="N970" s="1081"/>
      <c r="O970" s="1081"/>
      <c r="P970" s="1081"/>
    </row>
    <row r="971" spans="1:27">
      <c r="E971" s="1090"/>
      <c r="F971" s="1090"/>
      <c r="G971" s="987"/>
      <c r="H971" s="1081"/>
      <c r="J971" s="836" t="s">
        <v>718</v>
      </c>
      <c r="K971" s="1091">
        <f>K970</f>
        <v>364</v>
      </c>
      <c r="L971" s="1087"/>
      <c r="M971" s="1081"/>
      <c r="N971" s="1081"/>
      <c r="O971" s="1081"/>
      <c r="P971" s="1081"/>
    </row>
    <row r="972" spans="1:27">
      <c r="B972" s="723"/>
      <c r="E972" s="1090"/>
      <c r="F972" s="1090"/>
      <c r="H972" s="1081"/>
      <c r="K972" s="1091"/>
      <c r="L972" s="1087"/>
      <c r="M972" s="1081"/>
      <c r="N972" s="1081"/>
      <c r="O972" s="1081"/>
      <c r="P972" s="1081"/>
    </row>
    <row r="973" spans="1:27">
      <c r="B973" s="723" t="s">
        <v>719</v>
      </c>
      <c r="E973" s="1090"/>
      <c r="F973" s="1090"/>
      <c r="H973" s="1081"/>
      <c r="K973" s="1091">
        <f>ROUND(K971*2%,2)</f>
        <v>7.28</v>
      </c>
      <c r="L973" s="1087"/>
      <c r="M973" s="1081"/>
      <c r="N973" s="1081"/>
      <c r="O973" s="1081"/>
      <c r="P973" s="1081"/>
    </row>
    <row r="974" spans="1:27">
      <c r="B974" s="723" t="s">
        <v>728</v>
      </c>
      <c r="E974" s="1090"/>
      <c r="F974" s="1090"/>
      <c r="H974" s="1081"/>
      <c r="K974" s="1091">
        <f>SUM(K971:K973)</f>
        <v>371.28</v>
      </c>
      <c r="L974" s="1087"/>
      <c r="M974" s="1081"/>
      <c r="N974" s="1081"/>
      <c r="O974" s="1081"/>
      <c r="P974" s="1081"/>
    </row>
    <row r="975" spans="1:27">
      <c r="B975" s="722" t="s">
        <v>729</v>
      </c>
      <c r="E975" s="1090"/>
      <c r="F975" s="1090"/>
      <c r="H975" s="1081"/>
      <c r="J975" s="836" t="s">
        <v>718</v>
      </c>
      <c r="K975" s="1091">
        <f>ROUND(K974/9.3,2)</f>
        <v>39.92</v>
      </c>
      <c r="L975" s="723" t="s">
        <v>730</v>
      </c>
      <c r="M975" s="1081"/>
      <c r="N975" s="1081"/>
      <c r="O975" s="1081"/>
      <c r="P975" s="1081"/>
      <c r="Y975" s="722" t="s">
        <v>92</v>
      </c>
      <c r="Z975" s="722">
        <f>ROUND(K971/9.3,2)</f>
        <v>39.14</v>
      </c>
      <c r="AA975" s="726">
        <f>K975-Z975</f>
        <v>0.78000000000000114</v>
      </c>
    </row>
    <row r="976" spans="1:27">
      <c r="A976" s="836" t="str">
        <f>A248</f>
        <v>(ii)</v>
      </c>
      <c r="B976" s="723" t="str">
        <f>B248</f>
        <v>First Floor</v>
      </c>
      <c r="E976" s="1089" t="str">
        <f>E966</f>
        <v>Each Sqm</v>
      </c>
      <c r="F976" s="1089"/>
      <c r="G976" s="987"/>
      <c r="J976" s="726"/>
      <c r="K976" s="726"/>
    </row>
    <row r="977" spans="1:27">
      <c r="B977" s="722" t="s">
        <v>722</v>
      </c>
      <c r="G977" s="987"/>
      <c r="J977" s="726"/>
      <c r="K977" s="726">
        <f>K975</f>
        <v>39.92</v>
      </c>
    </row>
    <row r="978" spans="1:27">
      <c r="B978" s="722" t="s">
        <v>723</v>
      </c>
      <c r="G978" s="987"/>
      <c r="J978" s="726"/>
      <c r="K978" s="726">
        <f>ROUND(K971/9.3*1*5%,2)</f>
        <v>1.96</v>
      </c>
    </row>
    <row r="979" spans="1:27">
      <c r="G979" s="987"/>
      <c r="J979" s="827" t="s">
        <v>718</v>
      </c>
      <c r="K979" s="1091">
        <f>SUM(K977:K978)</f>
        <v>41.88</v>
      </c>
      <c r="L979" s="723" t="s">
        <v>730</v>
      </c>
      <c r="Y979" s="722" t="s">
        <v>92</v>
      </c>
      <c r="Z979" s="726">
        <f>Z975+K978</f>
        <v>41.1</v>
      </c>
      <c r="AA979" s="726">
        <f>K979-Z979</f>
        <v>0.78000000000000114</v>
      </c>
    </row>
    <row r="980" spans="1:27" ht="46.5" customHeight="1">
      <c r="A980" s="836">
        <f>A249</f>
        <v>4</v>
      </c>
      <c r="B980" s="3386" t="str">
        <f>B249</f>
        <v>Removing Old lime or cement plaster including raking out joints 12mm deep and removing the debris within 50m lead  with  cost  of  all labour etc. complete.</v>
      </c>
      <c r="C980" s="3386"/>
      <c r="D980" s="3386"/>
      <c r="E980" s="1086" t="str">
        <f>G249</f>
        <v>Each Sqm</v>
      </c>
      <c r="F980" s="1086"/>
      <c r="G980" s="1081"/>
      <c r="H980" s="1081"/>
      <c r="J980" s="1081"/>
      <c r="K980" s="1081"/>
      <c r="L980" s="1087"/>
      <c r="M980" s="1081"/>
      <c r="N980" s="1081"/>
      <c r="O980" s="1081"/>
      <c r="P980" s="1081"/>
    </row>
    <row r="981" spans="1:27">
      <c r="A981" s="836" t="str">
        <f>A250</f>
        <v>(i)</v>
      </c>
      <c r="B981" s="723" t="str">
        <f>B250</f>
        <v>Ground Floor</v>
      </c>
      <c r="C981" s="1088"/>
      <c r="D981" s="1088"/>
      <c r="E981" s="1089" t="str">
        <f>E980</f>
        <v>Each Sqm</v>
      </c>
      <c r="F981" s="1089"/>
      <c r="G981" s="1081"/>
      <c r="H981" s="1081"/>
      <c r="J981" s="1081"/>
      <c r="K981" s="1081"/>
      <c r="L981" s="1087"/>
      <c r="M981" s="1081"/>
      <c r="N981" s="1081"/>
      <c r="O981" s="1081"/>
      <c r="P981" s="1081"/>
    </row>
    <row r="982" spans="1:27">
      <c r="B982" s="723" t="s">
        <v>727</v>
      </c>
      <c r="E982" s="1090"/>
      <c r="F982" s="1090"/>
      <c r="H982" s="1081"/>
      <c r="L982" s="1087"/>
      <c r="M982" s="1081"/>
      <c r="N982" s="1081"/>
      <c r="O982" s="1081"/>
      <c r="P982" s="1081"/>
    </row>
    <row r="983" spans="1:27">
      <c r="B983" s="723" t="s">
        <v>715</v>
      </c>
      <c r="C983" s="723"/>
      <c r="E983" s="1090"/>
      <c r="F983" s="1090"/>
      <c r="H983" s="1081"/>
      <c r="L983" s="1087"/>
      <c r="M983" s="1081"/>
      <c r="N983" s="1081"/>
      <c r="O983" s="1081"/>
      <c r="P983" s="1081"/>
    </row>
    <row r="984" spans="1:27">
      <c r="B984" s="722" t="s">
        <v>717</v>
      </c>
      <c r="E984" s="1090"/>
      <c r="F984" s="1090"/>
      <c r="G984" s="987">
        <v>1</v>
      </c>
      <c r="H984" s="1081" t="s">
        <v>262</v>
      </c>
      <c r="I984" s="724" t="s">
        <v>38</v>
      </c>
      <c r="J984" s="726">
        <f>L129</f>
        <v>182</v>
      </c>
      <c r="K984" s="726">
        <f>ROUND(G984*J984,2)</f>
        <v>182</v>
      </c>
      <c r="L984" s="1087"/>
      <c r="M984" s="1081"/>
      <c r="N984" s="1081"/>
      <c r="O984" s="1081"/>
      <c r="P984" s="1081"/>
    </row>
    <row r="985" spans="1:27">
      <c r="E985" s="1090"/>
      <c r="F985" s="1090"/>
      <c r="G985" s="987"/>
      <c r="H985" s="1081"/>
      <c r="J985" s="836" t="s">
        <v>718</v>
      </c>
      <c r="K985" s="1091">
        <f>K984</f>
        <v>182</v>
      </c>
      <c r="L985" s="1087"/>
      <c r="M985" s="1081"/>
      <c r="N985" s="1081"/>
      <c r="O985" s="1081"/>
      <c r="P985" s="1081"/>
    </row>
    <row r="986" spans="1:27">
      <c r="B986" s="723"/>
      <c r="E986" s="1090"/>
      <c r="F986" s="1090"/>
      <c r="H986" s="1081"/>
      <c r="K986" s="1091"/>
      <c r="L986" s="1087"/>
      <c r="M986" s="1081"/>
      <c r="N986" s="1081"/>
      <c r="O986" s="1081"/>
      <c r="P986" s="1081"/>
    </row>
    <row r="987" spans="1:27">
      <c r="B987" s="723" t="s">
        <v>719</v>
      </c>
      <c r="E987" s="1090"/>
      <c r="F987" s="1090"/>
      <c r="H987" s="1081"/>
      <c r="K987" s="1091">
        <f>ROUND(K985*2%,2)</f>
        <v>3.64</v>
      </c>
      <c r="L987" s="1087"/>
      <c r="M987" s="1081"/>
      <c r="N987" s="1081"/>
      <c r="O987" s="1081"/>
      <c r="P987" s="1081"/>
    </row>
    <row r="988" spans="1:27">
      <c r="B988" s="723" t="s">
        <v>728</v>
      </c>
      <c r="E988" s="1090"/>
      <c r="F988" s="1090"/>
      <c r="H988" s="1081"/>
      <c r="K988" s="1091">
        <f>SUM(K985:K987)</f>
        <v>185.64</v>
      </c>
      <c r="L988" s="1087"/>
      <c r="M988" s="1081"/>
      <c r="N988" s="1081"/>
      <c r="O988" s="1081"/>
      <c r="P988" s="1081"/>
    </row>
    <row r="989" spans="1:27">
      <c r="B989" s="722" t="s">
        <v>729</v>
      </c>
      <c r="E989" s="1090"/>
      <c r="F989" s="1090"/>
      <c r="H989" s="1081"/>
      <c r="J989" s="836" t="s">
        <v>718</v>
      </c>
      <c r="K989" s="1091">
        <f>ROUND(K988/9.3,2)</f>
        <v>19.96</v>
      </c>
      <c r="L989" s="723" t="s">
        <v>730</v>
      </c>
      <c r="M989" s="1081"/>
      <c r="N989" s="1081"/>
      <c r="O989" s="1081"/>
      <c r="P989" s="1081"/>
      <c r="Y989" s="722" t="s">
        <v>92</v>
      </c>
      <c r="Z989" s="722">
        <f>ROUND(K985/9.3,2)</f>
        <v>19.57</v>
      </c>
      <c r="AA989" s="726">
        <f>K989-Z989</f>
        <v>0.39000000000000057</v>
      </c>
    </row>
    <row r="990" spans="1:27">
      <c r="A990" s="836" t="str">
        <f>A251</f>
        <v>(ii)</v>
      </c>
      <c r="B990" s="723" t="str">
        <f>B251</f>
        <v>First Floor</v>
      </c>
      <c r="E990" s="1089" t="str">
        <f>E980</f>
        <v>Each Sqm</v>
      </c>
      <c r="F990" s="1089"/>
      <c r="G990" s="987"/>
      <c r="J990" s="726"/>
      <c r="K990" s="726"/>
    </row>
    <row r="991" spans="1:27">
      <c r="B991" s="722" t="s">
        <v>722</v>
      </c>
      <c r="G991" s="987"/>
      <c r="J991" s="726"/>
      <c r="K991" s="726">
        <f>K989</f>
        <v>19.96</v>
      </c>
    </row>
    <row r="992" spans="1:27">
      <c r="B992" s="722" t="s">
        <v>723</v>
      </c>
      <c r="G992" s="987"/>
      <c r="J992" s="726"/>
      <c r="K992" s="726">
        <f>ROUND(K985/9.3*1*5%,2)</f>
        <v>0.98</v>
      </c>
    </row>
    <row r="993" spans="1:27">
      <c r="G993" s="987"/>
      <c r="J993" s="836" t="s">
        <v>718</v>
      </c>
      <c r="K993" s="1091">
        <f>SUM(K991:K992)</f>
        <v>20.94</v>
      </c>
      <c r="L993" s="723" t="s">
        <v>730</v>
      </c>
      <c r="Y993" s="722" t="s">
        <v>92</v>
      </c>
      <c r="Z993" s="726">
        <f>Z989+K992</f>
        <v>20.55</v>
      </c>
      <c r="AA993" s="726">
        <f>K993-Z993</f>
        <v>0.39000000000000057</v>
      </c>
    </row>
    <row r="994" spans="1:27" ht="59.25" customHeight="1">
      <c r="A994" s="836">
        <f>A252</f>
        <v>5</v>
      </c>
      <c r="B994" s="3386" t="str">
        <f>B252</f>
        <v>Dismantling G.C.I. Sheet or A.C. Sheet roofing after carefully removing nuts &amp; bolts including stacking the useful materials for reuse  &amp;  removing the debris within 50m lead  with  cost  of  all labour etc. complete.</v>
      </c>
      <c r="C994" s="3386"/>
      <c r="D994" s="3386"/>
      <c r="E994" s="1086" t="str">
        <f>G252</f>
        <v>Each Sqm</v>
      </c>
      <c r="F994" s="1086"/>
      <c r="G994" s="1081"/>
      <c r="H994" s="1081"/>
      <c r="J994" s="1081"/>
      <c r="K994" s="1081"/>
      <c r="L994" s="1087"/>
      <c r="M994" s="1081"/>
      <c r="N994" s="1081"/>
      <c r="O994" s="1081"/>
      <c r="P994" s="1081"/>
    </row>
    <row r="995" spans="1:27">
      <c r="A995" s="836" t="str">
        <f>A253</f>
        <v>(i)</v>
      </c>
      <c r="B995" s="723" t="str">
        <f>B253</f>
        <v>Ground Floor</v>
      </c>
      <c r="C995" s="1088"/>
      <c r="D995" s="1088"/>
      <c r="E995" s="1089" t="str">
        <f>G253</f>
        <v>Each Sqm</v>
      </c>
      <c r="F995" s="1089"/>
      <c r="G995" s="1081"/>
      <c r="H995" s="1081"/>
      <c r="J995" s="1081"/>
      <c r="K995" s="1081"/>
      <c r="L995" s="1087"/>
      <c r="M995" s="1081"/>
      <c r="N995" s="1081"/>
      <c r="O995" s="1081"/>
      <c r="P995" s="1081"/>
    </row>
    <row r="996" spans="1:27">
      <c r="B996" s="723" t="s">
        <v>727</v>
      </c>
      <c r="E996" s="1090"/>
      <c r="F996" s="1090"/>
      <c r="H996" s="1081"/>
      <c r="L996" s="1087"/>
      <c r="M996" s="1081"/>
      <c r="N996" s="1081"/>
      <c r="O996" s="1081"/>
      <c r="P996" s="1081"/>
    </row>
    <row r="997" spans="1:27">
      <c r="B997" s="723" t="s">
        <v>715</v>
      </c>
      <c r="C997" s="723"/>
      <c r="E997" s="1090"/>
      <c r="F997" s="1090"/>
      <c r="H997" s="1081"/>
      <c r="L997" s="1087"/>
      <c r="M997" s="1081"/>
      <c r="N997" s="1081"/>
      <c r="O997" s="1081"/>
      <c r="P997" s="1081"/>
    </row>
    <row r="998" spans="1:27">
      <c r="B998" s="722" t="s">
        <v>731</v>
      </c>
      <c r="E998" s="1090"/>
      <c r="F998" s="1090"/>
      <c r="G998" s="987">
        <v>0.25</v>
      </c>
      <c r="H998" s="1081" t="s">
        <v>262</v>
      </c>
      <c r="I998" s="724" t="s">
        <v>38</v>
      </c>
      <c r="J998" s="726">
        <f>L131</f>
        <v>264.3</v>
      </c>
      <c r="K998" s="726">
        <f>ROUND(G998*J998,2)</f>
        <v>66.08</v>
      </c>
      <c r="L998" s="1087"/>
      <c r="M998" s="1081"/>
      <c r="N998" s="1081"/>
      <c r="O998" s="1081"/>
      <c r="P998" s="1081"/>
      <c r="Q998" s="1092">
        <f>G998/9.3</f>
        <v>2.6881720430107524E-2</v>
      </c>
      <c r="T998" s="1093">
        <f>G998*2%/9.3</f>
        <v>5.3763440860215054E-4</v>
      </c>
      <c r="U998" s="1094">
        <f>Q998+T998</f>
        <v>2.7419354838709675E-2</v>
      </c>
      <c r="X998" s="1095">
        <f>U998*J998</f>
        <v>7.246935483870967</v>
      </c>
    </row>
    <row r="999" spans="1:27">
      <c r="B999" s="722" t="s">
        <v>717</v>
      </c>
      <c r="E999" s="1090"/>
      <c r="F999" s="1090"/>
      <c r="G999" s="987">
        <v>1.5</v>
      </c>
      <c r="H999" s="1081" t="s">
        <v>262</v>
      </c>
      <c r="I999" s="724" t="s">
        <v>38</v>
      </c>
      <c r="J999" s="726">
        <f>L129</f>
        <v>182</v>
      </c>
      <c r="K999" s="726">
        <f>ROUND(G999*J999,2)</f>
        <v>273</v>
      </c>
      <c r="L999" s="1087"/>
      <c r="M999" s="1081"/>
      <c r="N999" s="1081"/>
      <c r="O999" s="1081"/>
      <c r="P999" s="1081"/>
      <c r="Q999" s="722">
        <f>G999/9.3</f>
        <v>0.16129032258064516</v>
      </c>
      <c r="T999" s="1093">
        <f>G999*2%/9.3</f>
        <v>3.2258064516129028E-3</v>
      </c>
      <c r="U999" s="1094">
        <f>Q999+T999</f>
        <v>0.16451612903225807</v>
      </c>
      <c r="X999" s="1095">
        <f>U999*J999</f>
        <v>29.941935483870967</v>
      </c>
    </row>
    <row r="1000" spans="1:27">
      <c r="E1000" s="1090"/>
      <c r="F1000" s="1090"/>
      <c r="G1000" s="987"/>
      <c r="H1000" s="1081"/>
      <c r="J1000" s="836" t="s">
        <v>718</v>
      </c>
      <c r="K1000" s="1091">
        <f>SUM(K998:K999)</f>
        <v>339.08</v>
      </c>
      <c r="L1000" s="1087"/>
      <c r="M1000" s="1081"/>
      <c r="N1000" s="1081"/>
      <c r="O1000" s="1081"/>
      <c r="P1000" s="1081"/>
      <c r="U1000" s="726"/>
      <c r="X1000" s="1095">
        <f>SUM(X998:X999)</f>
        <v>37.188870967741934</v>
      </c>
    </row>
    <row r="1001" spans="1:27">
      <c r="B1001" s="723"/>
      <c r="E1001" s="1090"/>
      <c r="F1001" s="1090"/>
      <c r="H1001" s="1081"/>
      <c r="K1001" s="1091"/>
      <c r="L1001" s="1087"/>
      <c r="M1001" s="1081"/>
      <c r="N1001" s="1081"/>
      <c r="O1001" s="1081"/>
      <c r="P1001" s="1081"/>
    </row>
    <row r="1002" spans="1:27">
      <c r="B1002" s="723" t="s">
        <v>719</v>
      </c>
      <c r="E1002" s="1090"/>
      <c r="F1002" s="1090"/>
      <c r="H1002" s="1081"/>
      <c r="K1002" s="1091">
        <f>ROUND(K1000*2%,2)</f>
        <v>6.78</v>
      </c>
      <c r="L1002" s="1087"/>
      <c r="M1002" s="1081"/>
      <c r="N1002" s="1081"/>
      <c r="O1002" s="1081"/>
      <c r="P1002" s="1081"/>
    </row>
    <row r="1003" spans="1:27">
      <c r="B1003" s="723" t="s">
        <v>728</v>
      </c>
      <c r="E1003" s="1090"/>
      <c r="F1003" s="1090"/>
      <c r="H1003" s="1081"/>
      <c r="K1003" s="1091">
        <f>SUM(K1000:K1002)</f>
        <v>345.85999999999996</v>
      </c>
      <c r="L1003" s="1087"/>
      <c r="M1003" s="1081"/>
      <c r="N1003" s="1081"/>
      <c r="O1003" s="1081"/>
      <c r="P1003" s="1081"/>
    </row>
    <row r="1004" spans="1:27">
      <c r="B1004" s="722" t="s">
        <v>729</v>
      </c>
      <c r="E1004" s="1089"/>
      <c r="F1004" s="1089"/>
      <c r="H1004" s="1081"/>
      <c r="J1004" s="836" t="s">
        <v>718</v>
      </c>
      <c r="K1004" s="1091">
        <f>ROUND(K1003/9.3,2)</f>
        <v>37.19</v>
      </c>
      <c r="L1004" s="723" t="s">
        <v>730</v>
      </c>
      <c r="M1004" s="1081"/>
      <c r="N1004" s="1081"/>
      <c r="O1004" s="1081"/>
      <c r="P1004" s="1081"/>
      <c r="Y1004" s="722" t="s">
        <v>92</v>
      </c>
      <c r="Z1004" s="722">
        <f>ROUND(K1000/9.3,2)</f>
        <v>36.46</v>
      </c>
      <c r="AA1004" s="726">
        <f>K1004-Z1004</f>
        <v>0.72999999999999687</v>
      </c>
    </row>
    <row r="1005" spans="1:27">
      <c r="A1005" s="836" t="str">
        <f>A254</f>
        <v>(ii)</v>
      </c>
      <c r="B1005" s="723" t="str">
        <f>B254</f>
        <v>First Floor</v>
      </c>
      <c r="E1005" s="1089" t="str">
        <f>E995</f>
        <v>Each Sqm</v>
      </c>
      <c r="F1005" s="1089"/>
      <c r="G1005" s="987"/>
      <c r="J1005" s="726"/>
      <c r="K1005" s="726"/>
    </row>
    <row r="1006" spans="1:27">
      <c r="B1006" s="722" t="s">
        <v>722</v>
      </c>
      <c r="G1006" s="987"/>
      <c r="J1006" s="726"/>
      <c r="K1006" s="726">
        <f>K1004</f>
        <v>37.19</v>
      </c>
    </row>
    <row r="1007" spans="1:27">
      <c r="B1007" s="722" t="s">
        <v>723</v>
      </c>
      <c r="G1007" s="987"/>
      <c r="J1007" s="726"/>
      <c r="K1007" s="726">
        <f>ROUND(K1000/9.3*1*5%,2)</f>
        <v>1.82</v>
      </c>
    </row>
    <row r="1008" spans="1:27">
      <c r="E1008" s="1089"/>
      <c r="F1008" s="1089"/>
      <c r="G1008" s="987"/>
      <c r="J1008" s="836" t="s">
        <v>718</v>
      </c>
      <c r="K1008" s="1091">
        <f>SUM(K1006:K1007)</f>
        <v>39.01</v>
      </c>
      <c r="L1008" s="723" t="s">
        <v>730</v>
      </c>
      <c r="Y1008" s="722" t="s">
        <v>92</v>
      </c>
      <c r="Z1008" s="726">
        <f>Z1004+K1007</f>
        <v>38.28</v>
      </c>
      <c r="AA1008" s="726">
        <f>K1008-Z1008</f>
        <v>0.72999999999999687</v>
      </c>
    </row>
    <row r="1009" spans="1:29" ht="61.5" customHeight="1">
      <c r="A1009" s="836">
        <f>A255</f>
        <v>6</v>
      </c>
      <c r="B1009" s="3386" t="str">
        <f>B255</f>
        <v>Dismantling wrought and framed timber in roof frame work or floors after carefully removing nails, nuts &amp; bolts including stacking the useful materials for reuse  &amp;  removing the debris within 50m lead  with  cost  of  all labour etc. complete.</v>
      </c>
      <c r="C1009" s="3386"/>
      <c r="D1009" s="3386"/>
      <c r="E1009" s="1086" t="str">
        <f>G255</f>
        <v>Each Cum</v>
      </c>
      <c r="F1009" s="1086"/>
      <c r="G1009" s="1081"/>
      <c r="H1009" s="1081"/>
      <c r="J1009" s="1081"/>
      <c r="K1009" s="1081"/>
      <c r="L1009" s="1087"/>
      <c r="M1009" s="1081"/>
      <c r="N1009" s="1081"/>
      <c r="O1009" s="1081"/>
      <c r="P1009" s="1081"/>
    </row>
    <row r="1010" spans="1:29">
      <c r="A1010" s="836" t="str">
        <f>A256</f>
        <v>(i)</v>
      </c>
      <c r="B1010" s="723" t="str">
        <f>B256</f>
        <v>Ground Floor</v>
      </c>
      <c r="C1010" s="1088"/>
      <c r="D1010" s="1088"/>
      <c r="E1010" s="1089" t="str">
        <f>E1009</f>
        <v>Each Cum</v>
      </c>
      <c r="F1010" s="1089"/>
      <c r="G1010" s="1081"/>
      <c r="H1010" s="1081"/>
      <c r="J1010" s="1081"/>
      <c r="K1010" s="1081"/>
      <c r="L1010" s="1087"/>
      <c r="M1010" s="1081"/>
      <c r="N1010" s="1081"/>
      <c r="O1010" s="1081"/>
      <c r="P1010" s="1081"/>
    </row>
    <row r="1011" spans="1:29">
      <c r="B1011" s="723" t="s">
        <v>732</v>
      </c>
      <c r="E1011" s="1090"/>
      <c r="F1011" s="1090"/>
      <c r="H1011" s="1081"/>
      <c r="L1011" s="1087"/>
      <c r="M1011" s="1081"/>
      <c r="N1011" s="1081"/>
      <c r="O1011" s="1081"/>
      <c r="P1011" s="1081"/>
    </row>
    <row r="1012" spans="1:29">
      <c r="B1012" s="723" t="s">
        <v>715</v>
      </c>
      <c r="C1012" s="723"/>
      <c r="E1012" s="1090"/>
      <c r="F1012" s="1090"/>
      <c r="H1012" s="1081"/>
      <c r="L1012" s="1087"/>
      <c r="M1012" s="1081"/>
      <c r="N1012" s="1081"/>
      <c r="O1012" s="1081"/>
      <c r="P1012" s="1081"/>
    </row>
    <row r="1013" spans="1:29">
      <c r="B1013" s="722" t="s">
        <v>733</v>
      </c>
      <c r="E1013" s="1090"/>
      <c r="F1013" s="1090"/>
      <c r="G1013" s="987">
        <v>0.03</v>
      </c>
      <c r="H1013" s="1081" t="s">
        <v>262</v>
      </c>
      <c r="I1013" s="724" t="s">
        <v>38</v>
      </c>
      <c r="J1013" s="726">
        <f>L131</f>
        <v>264.3</v>
      </c>
      <c r="K1013" s="726">
        <f>ROUND(G1013*J1013,2)</f>
        <v>7.93</v>
      </c>
      <c r="L1013" s="1087"/>
      <c r="M1013" s="1081"/>
      <c r="N1013" s="1081"/>
      <c r="O1013" s="1081"/>
      <c r="P1013" s="1081"/>
      <c r="Q1013" s="1092">
        <f>G1013/0.0283</f>
        <v>1.0600706713780919</v>
      </c>
      <c r="T1013" s="1093">
        <f>G1013*2%/0.0283</f>
        <v>2.1201413427561835E-2</v>
      </c>
      <c r="U1013" s="1094">
        <f>Q1013+T1013</f>
        <v>1.0812720848056536</v>
      </c>
      <c r="X1013" s="1095">
        <f>U1013*J1013</f>
        <v>285.78021201413429</v>
      </c>
    </row>
    <row r="1014" spans="1:29">
      <c r="B1014" s="722" t="s">
        <v>717</v>
      </c>
      <c r="E1014" s="1090"/>
      <c r="F1014" s="1090"/>
      <c r="G1014" s="987">
        <v>0.04</v>
      </c>
      <c r="H1014" s="1081" t="s">
        <v>262</v>
      </c>
      <c r="I1014" s="724" t="s">
        <v>38</v>
      </c>
      <c r="J1014" s="726">
        <f>L129</f>
        <v>182</v>
      </c>
      <c r="K1014" s="726">
        <f>ROUND(G1014*J1014,2)</f>
        <v>7.28</v>
      </c>
      <c r="L1014" s="1087"/>
      <c r="M1014" s="1081"/>
      <c r="N1014" s="1081"/>
      <c r="O1014" s="1081"/>
      <c r="P1014" s="1081"/>
      <c r="Q1014" s="722">
        <f>G1014/0.0283</f>
        <v>1.4134275618374559</v>
      </c>
      <c r="T1014" s="1093">
        <f>G1014*2%/0.0283</f>
        <v>2.826855123674912E-2</v>
      </c>
      <c r="U1014" s="1094">
        <f>Q1014+T1014</f>
        <v>1.441696113074205</v>
      </c>
      <c r="X1014" s="1095">
        <f>U1014*J1014</f>
        <v>262.38869257950529</v>
      </c>
    </row>
    <row r="1015" spans="1:29">
      <c r="E1015" s="1090"/>
      <c r="F1015" s="1090"/>
      <c r="G1015" s="987"/>
      <c r="H1015" s="1081"/>
      <c r="J1015" s="836" t="s">
        <v>718</v>
      </c>
      <c r="K1015" s="1091">
        <f>SUM(K1013:K1014)</f>
        <v>15.21</v>
      </c>
      <c r="L1015" s="1087"/>
      <c r="M1015" s="1081"/>
      <c r="N1015" s="1081"/>
      <c r="O1015" s="1081"/>
      <c r="P1015" s="1081"/>
      <c r="U1015" s="726"/>
      <c r="X1015" s="1095">
        <f>SUM(X1013:X1014)</f>
        <v>548.16890459363958</v>
      </c>
    </row>
    <row r="1016" spans="1:29">
      <c r="B1016" s="723"/>
      <c r="E1016" s="1090"/>
      <c r="F1016" s="1090"/>
      <c r="H1016" s="1081"/>
      <c r="K1016" s="1091"/>
      <c r="L1016" s="1087"/>
      <c r="M1016" s="1081"/>
      <c r="N1016" s="1081"/>
      <c r="O1016" s="1081"/>
      <c r="P1016" s="1081"/>
    </row>
    <row r="1017" spans="1:29">
      <c r="B1017" s="723" t="s">
        <v>719</v>
      </c>
      <c r="E1017" s="1090"/>
      <c r="F1017" s="1090"/>
      <c r="H1017" s="1081"/>
      <c r="K1017" s="1091">
        <f>ROUND(K1015*2%,2)</f>
        <v>0.3</v>
      </c>
      <c r="L1017" s="1087"/>
      <c r="M1017" s="1081"/>
      <c r="N1017" s="1081"/>
      <c r="O1017" s="1081"/>
      <c r="P1017" s="1081"/>
    </row>
    <row r="1018" spans="1:29">
      <c r="B1018" s="723" t="s">
        <v>734</v>
      </c>
      <c r="E1018" s="1090"/>
      <c r="F1018" s="1090"/>
      <c r="H1018" s="1081"/>
      <c r="J1018" s="836" t="s">
        <v>718</v>
      </c>
      <c r="K1018" s="1091">
        <f>SUM(K1015:K1017)</f>
        <v>15.510000000000002</v>
      </c>
      <c r="L1018" s="1087"/>
      <c r="M1018" s="1081"/>
      <c r="N1018" s="1081"/>
      <c r="O1018" s="1081"/>
      <c r="P1018" s="1081"/>
    </row>
    <row r="1019" spans="1:29">
      <c r="B1019" s="723" t="s">
        <v>735</v>
      </c>
      <c r="E1019" s="1089"/>
      <c r="F1019" s="1089"/>
      <c r="H1019" s="1081"/>
      <c r="J1019" s="836" t="s">
        <v>718</v>
      </c>
      <c r="K1019" s="1091">
        <f>ROUND(K1018/0.0283,2)</f>
        <v>548.05999999999995</v>
      </c>
      <c r="L1019" s="723" t="s">
        <v>721</v>
      </c>
      <c r="M1019" s="1081"/>
      <c r="N1019" s="1081"/>
      <c r="O1019" s="1081"/>
      <c r="P1019" s="1081"/>
      <c r="Y1019" s="722" t="s">
        <v>49</v>
      </c>
      <c r="Z1019" s="722">
        <f>ROUND(K1015/0.0283,2)</f>
        <v>537.46</v>
      </c>
      <c r="AA1019" s="726">
        <f>K1019-Z1019</f>
        <v>10.599999999999909</v>
      </c>
      <c r="AC1019" s="726"/>
    </row>
    <row r="1020" spans="1:29">
      <c r="A1020" s="836" t="str">
        <f>A257</f>
        <v>(ii)</v>
      </c>
      <c r="B1020" s="723" t="str">
        <f>B257</f>
        <v>First Floor</v>
      </c>
      <c r="E1020" s="1089" t="str">
        <f>E1010</f>
        <v>Each Cum</v>
      </c>
      <c r="F1020" s="1089"/>
      <c r="G1020" s="987"/>
      <c r="J1020" s="726"/>
      <c r="K1020" s="726"/>
    </row>
    <row r="1021" spans="1:29">
      <c r="B1021" s="722" t="s">
        <v>722</v>
      </c>
      <c r="G1021" s="987"/>
      <c r="J1021" s="726"/>
      <c r="K1021" s="726">
        <f>K1019</f>
        <v>548.05999999999995</v>
      </c>
    </row>
    <row r="1022" spans="1:29">
      <c r="B1022" s="722" t="s">
        <v>723</v>
      </c>
      <c r="G1022" s="987"/>
      <c r="J1022" s="726"/>
      <c r="K1022" s="726">
        <f>ROUND(K1015/0.0283*1*5%,2)</f>
        <v>26.87</v>
      </c>
    </row>
    <row r="1023" spans="1:29">
      <c r="E1023" s="1089"/>
      <c r="F1023" s="1089"/>
      <c r="G1023" s="987"/>
      <c r="J1023" s="836" t="s">
        <v>718</v>
      </c>
      <c r="K1023" s="1091">
        <f>SUM(K1021:K1022)</f>
        <v>574.92999999999995</v>
      </c>
      <c r="L1023" s="723" t="s">
        <v>721</v>
      </c>
      <c r="Y1023" s="722" t="s">
        <v>49</v>
      </c>
      <c r="Z1023" s="726">
        <f>Z1019+K1022</f>
        <v>564.33000000000004</v>
      </c>
      <c r="AA1023" s="726">
        <f>K1023-Z1023</f>
        <v>10.599999999999909</v>
      </c>
    </row>
    <row r="1024" spans="1:29" ht="63" customHeight="1">
      <c r="A1024" s="836">
        <f>A258</f>
        <v>7</v>
      </c>
      <c r="B1024" s="3386" t="str">
        <f>B258</f>
        <v>Dismantling &amp; removing doors, windows &amp; ventilators including removal of frame, hinges, fastening  and stacking the useful materials for reuse  &amp;  removing the debris within 50m lead  with  cost  of  all labour etc. complete.</v>
      </c>
      <c r="C1024" s="3386"/>
      <c r="D1024" s="3386"/>
      <c r="E1024" s="1086" t="str">
        <f>G258</f>
        <v>Each Sqm</v>
      </c>
      <c r="F1024" s="1086"/>
      <c r="G1024" s="1081"/>
      <c r="H1024" s="1081"/>
      <c r="J1024" s="1081"/>
      <c r="K1024" s="1081"/>
      <c r="L1024" s="1087"/>
      <c r="M1024" s="1081"/>
      <c r="N1024" s="1081"/>
      <c r="O1024" s="1081"/>
      <c r="P1024" s="1081"/>
    </row>
    <row r="1025" spans="1:27">
      <c r="A1025" s="836" t="str">
        <f>A259</f>
        <v>(i)</v>
      </c>
      <c r="B1025" s="723" t="str">
        <f>B259</f>
        <v>Ground Floor</v>
      </c>
      <c r="C1025" s="1088"/>
      <c r="D1025" s="1088"/>
      <c r="E1025" s="1089" t="str">
        <f>E1024</f>
        <v>Each Sqm</v>
      </c>
      <c r="F1025" s="1089"/>
      <c r="G1025" s="1081"/>
      <c r="H1025" s="1081"/>
      <c r="J1025" s="1081"/>
      <c r="K1025" s="1081"/>
      <c r="L1025" s="1087"/>
      <c r="M1025" s="1081"/>
      <c r="N1025" s="1081"/>
      <c r="O1025" s="1081"/>
      <c r="P1025" s="1081"/>
    </row>
    <row r="1026" spans="1:27">
      <c r="B1026" s="723" t="s">
        <v>736</v>
      </c>
      <c r="E1026" s="1090"/>
      <c r="F1026" s="1090"/>
      <c r="H1026" s="1081"/>
      <c r="L1026" s="1087"/>
      <c r="M1026" s="1081"/>
      <c r="N1026" s="1081"/>
      <c r="O1026" s="1081"/>
      <c r="P1026" s="1081"/>
    </row>
    <row r="1027" spans="1:27">
      <c r="B1027" s="723" t="s">
        <v>715</v>
      </c>
      <c r="C1027" s="723"/>
      <c r="E1027" s="1090"/>
      <c r="F1027" s="1090"/>
      <c r="H1027" s="1081"/>
      <c r="L1027" s="1087"/>
      <c r="M1027" s="1081"/>
      <c r="N1027" s="1081"/>
      <c r="O1027" s="1081"/>
      <c r="P1027" s="1081"/>
    </row>
    <row r="1028" spans="1:27">
      <c r="B1028" s="722" t="s">
        <v>733</v>
      </c>
      <c r="E1028" s="1090"/>
      <c r="F1028" s="1090"/>
      <c r="G1028" s="987">
        <v>0.5</v>
      </c>
      <c r="H1028" s="1081" t="s">
        <v>262</v>
      </c>
      <c r="I1028" s="724" t="s">
        <v>38</v>
      </c>
      <c r="J1028" s="726">
        <f>L131</f>
        <v>264.3</v>
      </c>
      <c r="K1028" s="726">
        <f>ROUND(G1028*J1028,2)</f>
        <v>132.15</v>
      </c>
      <c r="L1028" s="1087"/>
      <c r="M1028" s="1081"/>
      <c r="N1028" s="1081"/>
      <c r="O1028" s="1081"/>
      <c r="P1028" s="1081"/>
    </row>
    <row r="1029" spans="1:27">
      <c r="B1029" s="722" t="s">
        <v>717</v>
      </c>
      <c r="E1029" s="1090"/>
      <c r="F1029" s="1090"/>
      <c r="G1029" s="987">
        <v>1.6</v>
      </c>
      <c r="H1029" s="1081" t="s">
        <v>262</v>
      </c>
      <c r="I1029" s="724" t="s">
        <v>38</v>
      </c>
      <c r="J1029" s="726">
        <f>L129</f>
        <v>182</v>
      </c>
      <c r="K1029" s="726">
        <f>ROUND(G1029*J1029,2)</f>
        <v>291.2</v>
      </c>
      <c r="L1029" s="1087"/>
      <c r="M1029" s="1081"/>
      <c r="N1029" s="1081"/>
      <c r="O1029" s="1081"/>
      <c r="P1029" s="1081"/>
    </row>
    <row r="1030" spans="1:27">
      <c r="E1030" s="1090"/>
      <c r="F1030" s="1090"/>
      <c r="G1030" s="987"/>
      <c r="H1030" s="1081"/>
      <c r="J1030" s="836" t="s">
        <v>718</v>
      </c>
      <c r="K1030" s="1091">
        <f>SUM(K1028:K1029)</f>
        <v>423.35</v>
      </c>
      <c r="L1030" s="1087"/>
      <c r="M1030" s="1081"/>
      <c r="N1030" s="1081"/>
      <c r="O1030" s="1081"/>
      <c r="P1030" s="1081"/>
    </row>
    <row r="1031" spans="1:27">
      <c r="B1031" s="723"/>
      <c r="E1031" s="1090"/>
      <c r="F1031" s="1090"/>
      <c r="H1031" s="1081"/>
      <c r="K1031" s="1091"/>
      <c r="L1031" s="1087"/>
      <c r="M1031" s="1081"/>
      <c r="N1031" s="1081"/>
      <c r="O1031" s="1081"/>
      <c r="P1031" s="1081"/>
    </row>
    <row r="1032" spans="1:27">
      <c r="B1032" s="723" t="s">
        <v>719</v>
      </c>
      <c r="E1032" s="1090"/>
      <c r="F1032" s="1090"/>
      <c r="H1032" s="1081"/>
      <c r="K1032" s="1091">
        <f>ROUND(K1030*2%,2)</f>
        <v>8.4700000000000006</v>
      </c>
      <c r="L1032" s="1087"/>
      <c r="M1032" s="1081"/>
      <c r="N1032" s="1081"/>
      <c r="O1032" s="1081"/>
      <c r="P1032" s="1081"/>
    </row>
    <row r="1033" spans="1:27">
      <c r="B1033" s="723" t="s">
        <v>737</v>
      </c>
      <c r="E1033" s="1090"/>
      <c r="F1033" s="1090"/>
      <c r="H1033" s="1081"/>
      <c r="K1033" s="1091">
        <f>SUM(K1030:K1032)</f>
        <v>431.82000000000005</v>
      </c>
      <c r="L1033" s="1087"/>
      <c r="M1033" s="1081"/>
      <c r="N1033" s="1081"/>
      <c r="O1033" s="1081"/>
      <c r="P1033" s="1081"/>
    </row>
    <row r="1034" spans="1:27">
      <c r="B1034" s="722" t="s">
        <v>738</v>
      </c>
      <c r="E1034" s="1089"/>
      <c r="F1034" s="1089"/>
      <c r="H1034" s="1081"/>
      <c r="J1034" s="836" t="s">
        <v>718</v>
      </c>
      <c r="K1034" s="1091">
        <f>ROUND(K1033/2.6,2)</f>
        <v>166.08</v>
      </c>
      <c r="L1034" s="723" t="s">
        <v>730</v>
      </c>
      <c r="M1034" s="1081"/>
      <c r="N1034" s="1081"/>
      <c r="O1034" s="1081"/>
      <c r="P1034" s="1081"/>
      <c r="Y1034" s="722" t="s">
        <v>92</v>
      </c>
      <c r="Z1034" s="722">
        <f>ROUND(K1030/2.6,2)</f>
        <v>162.83000000000001</v>
      </c>
      <c r="AA1034" s="726">
        <f>K1034-Z1034</f>
        <v>3.25</v>
      </c>
    </row>
    <row r="1035" spans="1:27">
      <c r="A1035" s="836" t="str">
        <f>A260</f>
        <v>(ii)</v>
      </c>
      <c r="B1035" s="723" t="str">
        <f>B260</f>
        <v>First Floor</v>
      </c>
      <c r="E1035" s="1089" t="str">
        <f>E1025</f>
        <v>Each Sqm</v>
      </c>
      <c r="F1035" s="1089"/>
      <c r="G1035" s="987"/>
      <c r="J1035" s="726"/>
      <c r="K1035" s="726"/>
    </row>
    <row r="1036" spans="1:27">
      <c r="B1036" s="722" t="s">
        <v>722</v>
      </c>
      <c r="G1036" s="987"/>
      <c r="J1036" s="726"/>
      <c r="K1036" s="726">
        <f>K1034</f>
        <v>166.08</v>
      </c>
    </row>
    <row r="1037" spans="1:27">
      <c r="B1037" s="722" t="s">
        <v>723</v>
      </c>
      <c r="G1037" s="987"/>
      <c r="J1037" s="726"/>
      <c r="K1037" s="726">
        <f>ROUND(K1030/2.6*1*5%,2)</f>
        <v>8.14</v>
      </c>
    </row>
    <row r="1038" spans="1:27">
      <c r="E1038" s="1089"/>
      <c r="F1038" s="1089"/>
      <c r="G1038" s="987"/>
      <c r="J1038" s="836" t="s">
        <v>718</v>
      </c>
      <c r="K1038" s="1091">
        <f>SUM(K1036:K1037)</f>
        <v>174.22000000000003</v>
      </c>
      <c r="L1038" s="723" t="s">
        <v>730</v>
      </c>
      <c r="Y1038" s="722" t="s">
        <v>92</v>
      </c>
      <c r="Z1038" s="726">
        <f>Z1034+K1037</f>
        <v>170.97000000000003</v>
      </c>
      <c r="AA1038" s="726">
        <f>K1038-Z1038</f>
        <v>3.25</v>
      </c>
    </row>
    <row r="1039" spans="1:27" ht="49.5" customHeight="1">
      <c r="A1039" s="836">
        <f>A261</f>
        <v>8</v>
      </c>
      <c r="B1039" s="3386" t="str">
        <f>B261</f>
        <v>Dismantling &amp; Removing 2.5cm thick grading concrete from roof slab including removing the debris within 50m lead  with  cost  of  all labour etc. complete.</v>
      </c>
      <c r="C1039" s="3386"/>
      <c r="D1039" s="3386"/>
      <c r="E1039" s="1086" t="str">
        <f>G261</f>
        <v>Each Sqm</v>
      </c>
      <c r="F1039" s="1086"/>
      <c r="G1039" s="1081"/>
      <c r="H1039" s="1081"/>
      <c r="J1039" s="1081"/>
      <c r="K1039" s="1081"/>
      <c r="L1039" s="1087"/>
      <c r="M1039" s="1081"/>
      <c r="N1039" s="1081"/>
      <c r="O1039" s="1081"/>
      <c r="P1039" s="1081"/>
    </row>
    <row r="1040" spans="1:27">
      <c r="A1040" s="836" t="str">
        <f>A262</f>
        <v>(i)</v>
      </c>
      <c r="B1040" s="723" t="str">
        <f>B262</f>
        <v>Ground Floor</v>
      </c>
      <c r="C1040" s="1088"/>
      <c r="D1040" s="1088"/>
      <c r="E1040" s="986" t="str">
        <f>E1039</f>
        <v>Each Sqm</v>
      </c>
      <c r="G1040" s="1081"/>
      <c r="H1040" s="1081"/>
      <c r="J1040" s="1081"/>
      <c r="K1040" s="1081"/>
      <c r="L1040" s="1087"/>
      <c r="M1040" s="1081"/>
      <c r="N1040" s="1081"/>
      <c r="O1040" s="1081"/>
      <c r="P1040" s="1081"/>
    </row>
    <row r="1041" spans="1:27">
      <c r="B1041" s="723" t="s">
        <v>727</v>
      </c>
      <c r="E1041" s="1090"/>
      <c r="F1041" s="1090"/>
      <c r="H1041" s="1081"/>
      <c r="L1041" s="1087"/>
      <c r="M1041" s="1081"/>
      <c r="N1041" s="1081"/>
      <c r="O1041" s="1081"/>
      <c r="P1041" s="1081"/>
    </row>
    <row r="1042" spans="1:27">
      <c r="B1042" s="723" t="s">
        <v>715</v>
      </c>
      <c r="C1042" s="723"/>
      <c r="E1042" s="1090"/>
      <c r="F1042" s="1090"/>
      <c r="H1042" s="1081"/>
      <c r="L1042" s="1087"/>
      <c r="M1042" s="1081"/>
      <c r="N1042" s="1081"/>
      <c r="O1042" s="1081"/>
      <c r="P1042" s="1081"/>
    </row>
    <row r="1043" spans="1:27">
      <c r="B1043" s="722" t="s">
        <v>717</v>
      </c>
      <c r="E1043" s="1090"/>
      <c r="F1043" s="1090"/>
      <c r="G1043" s="987">
        <v>2.25</v>
      </c>
      <c r="H1043" s="1081" t="s">
        <v>262</v>
      </c>
      <c r="I1043" s="724" t="s">
        <v>38</v>
      </c>
      <c r="J1043" s="726">
        <f>L129</f>
        <v>182</v>
      </c>
      <c r="K1043" s="726">
        <f>ROUND(G1043*J1043,2)</f>
        <v>409.5</v>
      </c>
      <c r="L1043" s="1087"/>
      <c r="M1043" s="1081"/>
      <c r="N1043" s="1081"/>
      <c r="O1043" s="1081"/>
      <c r="P1043" s="1081"/>
    </row>
    <row r="1044" spans="1:27">
      <c r="E1044" s="1090"/>
      <c r="F1044" s="1090"/>
      <c r="G1044" s="987"/>
      <c r="H1044" s="1081"/>
      <c r="J1044" s="836" t="s">
        <v>718</v>
      </c>
      <c r="K1044" s="1091">
        <f>K1043</f>
        <v>409.5</v>
      </c>
      <c r="L1044" s="1087"/>
      <c r="M1044" s="1081"/>
      <c r="N1044" s="1081"/>
      <c r="O1044" s="1081"/>
      <c r="P1044" s="1081"/>
    </row>
    <row r="1045" spans="1:27">
      <c r="B1045" s="723"/>
      <c r="E1045" s="1090"/>
      <c r="F1045" s="1090"/>
      <c r="H1045" s="1081"/>
      <c r="K1045" s="1091"/>
      <c r="L1045" s="1087"/>
      <c r="M1045" s="1081"/>
      <c r="N1045" s="1081"/>
      <c r="O1045" s="1081"/>
      <c r="P1045" s="1081"/>
    </row>
    <row r="1046" spans="1:27">
      <c r="B1046" s="723" t="s">
        <v>719</v>
      </c>
      <c r="E1046" s="1090"/>
      <c r="F1046" s="1090"/>
      <c r="H1046" s="1081"/>
      <c r="K1046" s="1091">
        <f>ROUND(K1044*2%,2)</f>
        <v>8.19</v>
      </c>
      <c r="L1046" s="1087"/>
      <c r="M1046" s="1081"/>
      <c r="N1046" s="1081"/>
      <c r="O1046" s="1081"/>
      <c r="P1046" s="1081"/>
    </row>
    <row r="1047" spans="1:27">
      <c r="B1047" s="723" t="s">
        <v>728</v>
      </c>
      <c r="E1047" s="1090"/>
      <c r="F1047" s="1090"/>
      <c r="H1047" s="1081"/>
      <c r="K1047" s="1091">
        <f>SUM(K1044:K1046)</f>
        <v>417.69</v>
      </c>
      <c r="L1047" s="1087"/>
      <c r="M1047" s="1081"/>
      <c r="N1047" s="1081"/>
      <c r="O1047" s="1081"/>
      <c r="P1047" s="1081"/>
    </row>
    <row r="1048" spans="1:27">
      <c r="B1048" s="722" t="s">
        <v>729</v>
      </c>
      <c r="E1048" s="1090"/>
      <c r="F1048" s="1090"/>
      <c r="H1048" s="1081"/>
      <c r="J1048" s="836" t="s">
        <v>718</v>
      </c>
      <c r="K1048" s="1091">
        <f>ROUND(K1047/9.3,2)</f>
        <v>44.91</v>
      </c>
      <c r="L1048" s="723" t="s">
        <v>730</v>
      </c>
      <c r="M1048" s="1081"/>
      <c r="N1048" s="1081"/>
      <c r="O1048" s="1081"/>
      <c r="P1048" s="1081"/>
      <c r="Y1048" s="722" t="s">
        <v>92</v>
      </c>
      <c r="Z1048" s="722">
        <f>ROUND(K1044/9.3,2)</f>
        <v>44.03</v>
      </c>
      <c r="AA1048" s="726">
        <f>K1048-Z1048</f>
        <v>0.87999999999999545</v>
      </c>
    </row>
    <row r="1049" spans="1:27">
      <c r="A1049" s="836" t="str">
        <f>A263</f>
        <v>(ii)</v>
      </c>
      <c r="B1049" s="723" t="str">
        <f>B263</f>
        <v>First Floor</v>
      </c>
      <c r="E1049" s="986" t="str">
        <f>E1040</f>
        <v>Each Sqm</v>
      </c>
      <c r="G1049" s="987"/>
      <c r="J1049" s="726"/>
      <c r="K1049" s="726"/>
    </row>
    <row r="1050" spans="1:27">
      <c r="B1050" s="722" t="s">
        <v>722</v>
      </c>
      <c r="G1050" s="987"/>
      <c r="J1050" s="726"/>
      <c r="K1050" s="726">
        <f>K1048</f>
        <v>44.91</v>
      </c>
    </row>
    <row r="1051" spans="1:27">
      <c r="B1051" s="722" t="s">
        <v>723</v>
      </c>
      <c r="G1051" s="987"/>
      <c r="J1051" s="726"/>
      <c r="K1051" s="726">
        <f>ROUND(K1044/9.3*1*5%,2)</f>
        <v>2.2000000000000002</v>
      </c>
    </row>
    <row r="1052" spans="1:27">
      <c r="G1052" s="987"/>
      <c r="J1052" s="836" t="s">
        <v>718</v>
      </c>
      <c r="K1052" s="1091">
        <f>SUM(K1050:K1051)</f>
        <v>47.11</v>
      </c>
      <c r="L1052" s="723" t="s">
        <v>730</v>
      </c>
      <c r="Y1052" s="722" t="s">
        <v>92</v>
      </c>
      <c r="Z1052" s="726">
        <f>Z1048+K1051</f>
        <v>46.230000000000004</v>
      </c>
      <c r="AA1052" s="726">
        <f>K1052-Z1052</f>
        <v>0.87999999999999545</v>
      </c>
    </row>
    <row r="1053" spans="1:27" ht="39" customHeight="1">
      <c r="A1053" s="836">
        <f>A264</f>
        <v>9</v>
      </c>
      <c r="B1053" s="3386" t="str">
        <f>B264</f>
        <v>Removing grading plaster from roof slab including removing the debris within 50m lead  with  cost  of  all labour etc. complete.</v>
      </c>
      <c r="C1053" s="3386"/>
      <c r="D1053" s="3386"/>
      <c r="E1053" s="1086" t="str">
        <f>G264</f>
        <v>Each Sqm</v>
      </c>
      <c r="F1053" s="1086"/>
      <c r="G1053" s="1081"/>
      <c r="H1053" s="1081"/>
      <c r="J1053" s="1081"/>
      <c r="K1053" s="1081"/>
      <c r="L1053" s="1087"/>
      <c r="M1053" s="1081"/>
      <c r="N1053" s="1081"/>
      <c r="O1053" s="1081"/>
      <c r="P1053" s="1081"/>
    </row>
    <row r="1054" spans="1:27">
      <c r="A1054" s="836" t="str">
        <f>A265</f>
        <v>(i)</v>
      </c>
      <c r="B1054" s="723" t="str">
        <f>B265</f>
        <v>Ground Floor</v>
      </c>
      <c r="C1054" s="1088"/>
      <c r="D1054" s="1088"/>
      <c r="E1054" s="986" t="str">
        <f>E1053</f>
        <v>Each Sqm</v>
      </c>
      <c r="G1054" s="1081"/>
      <c r="H1054" s="1081"/>
      <c r="J1054" s="1081"/>
      <c r="K1054" s="1081"/>
      <c r="L1054" s="1087"/>
      <c r="M1054" s="1081"/>
      <c r="N1054" s="1081"/>
      <c r="O1054" s="1081"/>
      <c r="P1054" s="1081"/>
    </row>
    <row r="1055" spans="1:27">
      <c r="B1055" s="723" t="s">
        <v>727</v>
      </c>
      <c r="E1055" s="1090"/>
      <c r="F1055" s="1090"/>
      <c r="H1055" s="1081"/>
      <c r="L1055" s="1087"/>
      <c r="M1055" s="1081"/>
      <c r="N1055" s="1081"/>
      <c r="O1055" s="1081"/>
      <c r="P1055" s="1081"/>
    </row>
    <row r="1056" spans="1:27">
      <c r="B1056" s="723" t="s">
        <v>715</v>
      </c>
      <c r="C1056" s="723"/>
      <c r="E1056" s="1090"/>
      <c r="F1056" s="1090"/>
      <c r="H1056" s="1081"/>
      <c r="L1056" s="1087"/>
      <c r="M1056" s="1081"/>
      <c r="N1056" s="1081"/>
      <c r="O1056" s="1081"/>
      <c r="P1056" s="1081"/>
    </row>
    <row r="1057" spans="1:27">
      <c r="B1057" s="722" t="s">
        <v>717</v>
      </c>
      <c r="E1057" s="1090"/>
      <c r="F1057" s="1090"/>
      <c r="G1057" s="987">
        <v>1.55</v>
      </c>
      <c r="H1057" s="1081" t="s">
        <v>262</v>
      </c>
      <c r="I1057" s="724" t="s">
        <v>38</v>
      </c>
      <c r="J1057" s="726">
        <f>L129</f>
        <v>182</v>
      </c>
      <c r="K1057" s="726">
        <f>ROUND(G1057*J1057,2)</f>
        <v>282.10000000000002</v>
      </c>
      <c r="L1057" s="1087"/>
      <c r="M1057" s="1081"/>
      <c r="N1057" s="1081"/>
      <c r="O1057" s="1081"/>
      <c r="P1057" s="1081"/>
    </row>
    <row r="1058" spans="1:27">
      <c r="E1058" s="1090"/>
      <c r="F1058" s="1090"/>
      <c r="G1058" s="987"/>
      <c r="H1058" s="1081"/>
      <c r="J1058" s="836" t="s">
        <v>718</v>
      </c>
      <c r="K1058" s="1091">
        <f>K1057</f>
        <v>282.10000000000002</v>
      </c>
      <c r="L1058" s="1087"/>
      <c r="M1058" s="1081"/>
      <c r="N1058" s="1081"/>
      <c r="O1058" s="1081"/>
      <c r="P1058" s="1081"/>
    </row>
    <row r="1059" spans="1:27">
      <c r="B1059" s="723"/>
      <c r="E1059" s="1090"/>
      <c r="F1059" s="1090"/>
      <c r="H1059" s="1081"/>
      <c r="K1059" s="1091"/>
      <c r="L1059" s="1087"/>
      <c r="M1059" s="1081"/>
      <c r="N1059" s="1081"/>
      <c r="O1059" s="1081"/>
      <c r="P1059" s="1081"/>
    </row>
    <row r="1060" spans="1:27">
      <c r="B1060" s="723" t="s">
        <v>719</v>
      </c>
      <c r="E1060" s="1090"/>
      <c r="F1060" s="1090"/>
      <c r="H1060" s="1081"/>
      <c r="K1060" s="1091">
        <f>ROUND(K1058*2%,2)</f>
        <v>5.64</v>
      </c>
      <c r="L1060" s="1087"/>
      <c r="M1060" s="1081"/>
      <c r="N1060" s="1081"/>
      <c r="O1060" s="1081"/>
      <c r="P1060" s="1081"/>
    </row>
    <row r="1061" spans="1:27">
      <c r="B1061" s="723" t="s">
        <v>728</v>
      </c>
      <c r="E1061" s="1090"/>
      <c r="F1061" s="1090"/>
      <c r="H1061" s="1081"/>
      <c r="K1061" s="1091">
        <f>SUM(K1058:K1060)</f>
        <v>287.74</v>
      </c>
      <c r="L1061" s="1087"/>
      <c r="M1061" s="1081"/>
      <c r="N1061" s="1081"/>
      <c r="O1061" s="1081"/>
      <c r="P1061" s="1081"/>
    </row>
    <row r="1062" spans="1:27">
      <c r="B1062" s="722" t="s">
        <v>729</v>
      </c>
      <c r="E1062" s="1090"/>
      <c r="F1062" s="1090"/>
      <c r="H1062" s="1081"/>
      <c r="J1062" s="836" t="s">
        <v>718</v>
      </c>
      <c r="K1062" s="1091">
        <f>ROUND(K1061/9.3,2)</f>
        <v>30.94</v>
      </c>
      <c r="L1062" s="723" t="s">
        <v>730</v>
      </c>
      <c r="M1062" s="1081"/>
      <c r="N1062" s="1081"/>
      <c r="O1062" s="1081"/>
      <c r="P1062" s="1081"/>
      <c r="Y1062" s="722" t="s">
        <v>92</v>
      </c>
      <c r="Z1062" s="726">
        <f>ROUND(K1058/9.3,2)</f>
        <v>30.33</v>
      </c>
      <c r="AA1062" s="726">
        <f>K1062-Z1062</f>
        <v>0.61000000000000298</v>
      </c>
    </row>
    <row r="1063" spans="1:27">
      <c r="A1063" s="836" t="str">
        <f>A266</f>
        <v>(ii)</v>
      </c>
      <c r="B1063" s="723" t="str">
        <f>B266</f>
        <v>First Floor</v>
      </c>
      <c r="E1063" s="986" t="str">
        <f>E1054</f>
        <v>Each Sqm</v>
      </c>
      <c r="G1063" s="987"/>
      <c r="J1063" s="726"/>
      <c r="K1063" s="726"/>
    </row>
    <row r="1064" spans="1:27">
      <c r="B1064" s="722" t="s">
        <v>722</v>
      </c>
      <c r="G1064" s="987"/>
      <c r="J1064" s="726"/>
      <c r="K1064" s="726">
        <f>K1062</f>
        <v>30.94</v>
      </c>
    </row>
    <row r="1065" spans="1:27">
      <c r="B1065" s="722" t="s">
        <v>723</v>
      </c>
      <c r="G1065" s="987"/>
      <c r="J1065" s="726"/>
      <c r="K1065" s="726">
        <f>ROUND(K1058/9.3*1*5%,2)</f>
        <v>1.52</v>
      </c>
    </row>
    <row r="1066" spans="1:27">
      <c r="G1066" s="987"/>
      <c r="J1066" s="836" t="s">
        <v>718</v>
      </c>
      <c r="K1066" s="1091">
        <f>SUM(K1064:K1065)</f>
        <v>32.46</v>
      </c>
      <c r="L1066" s="723" t="s">
        <v>730</v>
      </c>
      <c r="Y1066" s="722" t="s">
        <v>92</v>
      </c>
      <c r="Z1066" s="726">
        <f>Z1062+K1065</f>
        <v>31.849999999999998</v>
      </c>
      <c r="AA1066" s="726">
        <f>K1066-Z1066</f>
        <v>0.61000000000000298</v>
      </c>
    </row>
    <row r="1067" spans="1:27" ht="51.75" customHeight="1">
      <c r="A1067" s="836">
        <f>A267</f>
        <v>10</v>
      </c>
      <c r="B1067" s="3386" t="str">
        <f>B267</f>
        <v>Dismantling &amp; Removing cement concrete including stacking the useful materials for reuse and removing the debris within 50m lead  with  cost  of  all labour etc. complete.</v>
      </c>
      <c r="C1067" s="3386"/>
      <c r="D1067" s="3386"/>
      <c r="E1067" s="1086" t="str">
        <f>G267</f>
        <v>Each Cum</v>
      </c>
      <c r="F1067" s="1086"/>
      <c r="G1067" s="1081"/>
      <c r="H1067" s="1081"/>
      <c r="J1067" s="1081"/>
      <c r="K1067" s="1081"/>
      <c r="L1067" s="1087"/>
      <c r="M1067" s="1081"/>
      <c r="N1067" s="1081"/>
      <c r="O1067" s="1081"/>
      <c r="P1067" s="1081"/>
    </row>
    <row r="1068" spans="1:27">
      <c r="A1068" s="836" t="str">
        <f>A268</f>
        <v>(i)</v>
      </c>
      <c r="B1068" s="723" t="str">
        <f>B268</f>
        <v>Ground Floor</v>
      </c>
      <c r="C1068" s="1088"/>
      <c r="D1068" s="1088"/>
      <c r="E1068" s="986" t="str">
        <f>E1067</f>
        <v>Each Cum</v>
      </c>
      <c r="G1068" s="1081"/>
      <c r="H1068" s="1081"/>
      <c r="J1068" s="1081"/>
      <c r="K1068" s="1081"/>
      <c r="L1068" s="1087"/>
      <c r="M1068" s="1081"/>
      <c r="N1068" s="1081"/>
      <c r="O1068" s="1081"/>
      <c r="P1068" s="1081"/>
    </row>
    <row r="1069" spans="1:27">
      <c r="B1069" s="723" t="s">
        <v>739</v>
      </c>
      <c r="E1069" s="1090"/>
      <c r="F1069" s="1090"/>
      <c r="H1069" s="1081"/>
      <c r="L1069" s="1087"/>
      <c r="M1069" s="1081"/>
      <c r="N1069" s="1081"/>
      <c r="O1069" s="1081"/>
      <c r="P1069" s="1081"/>
    </row>
    <row r="1070" spans="1:27">
      <c r="B1070" s="723" t="s">
        <v>715</v>
      </c>
      <c r="C1070" s="723"/>
      <c r="E1070" s="1090"/>
      <c r="F1070" s="1090"/>
      <c r="H1070" s="1081"/>
      <c r="L1070" s="1087"/>
      <c r="M1070" s="1081"/>
      <c r="N1070" s="1081"/>
      <c r="O1070" s="1081"/>
      <c r="P1070" s="1081"/>
    </row>
    <row r="1071" spans="1:27">
      <c r="B1071" s="722" t="s">
        <v>717</v>
      </c>
      <c r="E1071" s="1090"/>
      <c r="F1071" s="1090"/>
      <c r="G1071" s="987">
        <v>1.6</v>
      </c>
      <c r="H1071" s="1081" t="s">
        <v>262</v>
      </c>
      <c r="I1071" s="724" t="s">
        <v>38</v>
      </c>
      <c r="J1071" s="726">
        <f>L129</f>
        <v>182</v>
      </c>
      <c r="K1071" s="726">
        <f>ROUND(G1071*J1071,2)</f>
        <v>291.2</v>
      </c>
      <c r="L1071" s="1087"/>
      <c r="M1071" s="1081"/>
      <c r="N1071" s="1081"/>
      <c r="O1071" s="1081"/>
      <c r="P1071" s="1081"/>
    </row>
    <row r="1072" spans="1:27">
      <c r="E1072" s="1090"/>
      <c r="F1072" s="1090"/>
      <c r="G1072" s="987"/>
      <c r="H1072" s="1081"/>
      <c r="J1072" s="836" t="s">
        <v>718</v>
      </c>
      <c r="K1072" s="1091">
        <f>K1071</f>
        <v>291.2</v>
      </c>
      <c r="L1072" s="1087"/>
      <c r="M1072" s="1081"/>
      <c r="N1072" s="1081"/>
      <c r="O1072" s="1081"/>
      <c r="P1072" s="1081"/>
    </row>
    <row r="1073" spans="1:27">
      <c r="B1073" s="723"/>
      <c r="E1073" s="1090"/>
      <c r="F1073" s="1090"/>
      <c r="H1073" s="1081"/>
      <c r="K1073" s="1091"/>
      <c r="L1073" s="1087"/>
      <c r="M1073" s="1081"/>
      <c r="N1073" s="1081"/>
      <c r="O1073" s="1081"/>
      <c r="P1073" s="1081"/>
    </row>
    <row r="1074" spans="1:27">
      <c r="B1074" s="723" t="s">
        <v>719</v>
      </c>
      <c r="E1074" s="1090"/>
      <c r="F1074" s="1090"/>
      <c r="H1074" s="1081"/>
      <c r="K1074" s="1091">
        <f>ROUND(K1072*2%,2)</f>
        <v>5.82</v>
      </c>
      <c r="L1074" s="1087"/>
      <c r="M1074" s="1081"/>
      <c r="N1074" s="1081"/>
      <c r="O1074" s="1081"/>
      <c r="P1074" s="1081"/>
    </row>
    <row r="1075" spans="1:27">
      <c r="B1075" s="722" t="s">
        <v>740</v>
      </c>
      <c r="E1075" s="1090"/>
      <c r="F1075" s="1090"/>
      <c r="H1075" s="1081"/>
      <c r="J1075" s="836" t="s">
        <v>718</v>
      </c>
      <c r="K1075" s="1091">
        <f>SUM(K1072:K1074)</f>
        <v>297.02</v>
      </c>
      <c r="L1075" s="1087" t="s">
        <v>721</v>
      </c>
      <c r="M1075" s="1081"/>
      <c r="N1075" s="1081"/>
      <c r="O1075" s="1081"/>
      <c r="P1075" s="1081"/>
      <c r="Y1075" s="722" t="s">
        <v>49</v>
      </c>
      <c r="Z1075" s="726">
        <f>ROUND(K1072/1,2)</f>
        <v>291.2</v>
      </c>
      <c r="AA1075" s="726">
        <f>K1075-Z1075</f>
        <v>5.8199999999999932</v>
      </c>
    </row>
    <row r="1076" spans="1:27">
      <c r="A1076" s="836" t="str">
        <f>A269</f>
        <v>(ii)</v>
      </c>
      <c r="B1076" s="723" t="str">
        <f>B269</f>
        <v>First Floor</v>
      </c>
      <c r="E1076" s="986" t="str">
        <f>E1068</f>
        <v>Each Cum</v>
      </c>
      <c r="G1076" s="987"/>
      <c r="J1076" s="726"/>
      <c r="K1076" s="726"/>
    </row>
    <row r="1077" spans="1:27">
      <c r="B1077" s="722" t="s">
        <v>722</v>
      </c>
      <c r="G1077" s="987"/>
      <c r="J1077" s="726"/>
      <c r="K1077" s="726">
        <f>K1075</f>
        <v>297.02</v>
      </c>
    </row>
    <row r="1078" spans="1:27">
      <c r="B1078" s="722" t="s">
        <v>723</v>
      </c>
      <c r="G1078" s="987"/>
      <c r="J1078" s="726"/>
      <c r="K1078" s="726">
        <f>ROUND(K1072*1*5%,2)</f>
        <v>14.56</v>
      </c>
    </row>
    <row r="1079" spans="1:27">
      <c r="G1079" s="987"/>
      <c r="J1079" s="827" t="s">
        <v>718</v>
      </c>
      <c r="K1079" s="1091">
        <f>SUM(K1077:K1078)</f>
        <v>311.58</v>
      </c>
      <c r="L1079" s="1087" t="s">
        <v>721</v>
      </c>
      <c r="Y1079" s="722" t="s">
        <v>49</v>
      </c>
      <c r="Z1079" s="726">
        <f>Z1075+K1078</f>
        <v>305.76</v>
      </c>
      <c r="AA1079" s="726">
        <f>K1079-Z1079</f>
        <v>5.8199999999999932</v>
      </c>
    </row>
    <row r="1080" spans="1:27" ht="48.75" customHeight="1">
      <c r="A1080" s="836">
        <f>A270</f>
        <v>11</v>
      </c>
      <c r="B1080" s="3386" t="str">
        <f>B270</f>
        <v>Dismantling &amp; Removing RCC Chajja, Shelve, Fins including stacking the useful materials for reuse and removing the debris within 50m lead  with  cost  of  all labour etc. complete.</v>
      </c>
      <c r="C1080" s="3386"/>
      <c r="D1080" s="3386"/>
      <c r="E1080" s="1086" t="str">
        <f>G270</f>
        <v>Each Sqm</v>
      </c>
      <c r="F1080" s="1086"/>
      <c r="G1080" s="1081"/>
      <c r="H1080" s="1081"/>
      <c r="J1080" s="1081"/>
      <c r="K1080" s="1081"/>
      <c r="L1080" s="1087"/>
      <c r="M1080" s="1081"/>
      <c r="N1080" s="1081"/>
      <c r="O1080" s="1081"/>
      <c r="P1080" s="1081"/>
    </row>
    <row r="1081" spans="1:27">
      <c r="A1081" s="836" t="str">
        <f>A271</f>
        <v>(i)</v>
      </c>
      <c r="B1081" s="723" t="str">
        <f>B271</f>
        <v>Ground Floor</v>
      </c>
      <c r="C1081" s="1088"/>
      <c r="D1081" s="1088"/>
      <c r="E1081" s="986" t="str">
        <f>E1080</f>
        <v>Each Sqm</v>
      </c>
      <c r="G1081" s="1081"/>
      <c r="H1081" s="1081"/>
      <c r="J1081" s="1081"/>
      <c r="K1081" s="1081"/>
      <c r="L1081" s="1087"/>
      <c r="M1081" s="1081"/>
      <c r="N1081" s="1081"/>
      <c r="O1081" s="1081"/>
      <c r="P1081" s="1081"/>
    </row>
    <row r="1082" spans="1:27">
      <c r="B1082" s="723" t="s">
        <v>727</v>
      </c>
      <c r="E1082" s="1090"/>
      <c r="F1082" s="1090"/>
      <c r="H1082" s="1081"/>
      <c r="L1082" s="1087"/>
      <c r="M1082" s="1081"/>
      <c r="N1082" s="1081"/>
      <c r="O1082" s="1081"/>
      <c r="P1082" s="1081"/>
    </row>
    <row r="1083" spans="1:27">
      <c r="B1083" s="723" t="s">
        <v>715</v>
      </c>
      <c r="C1083" s="723"/>
      <c r="E1083" s="1090"/>
      <c r="F1083" s="1090"/>
      <c r="H1083" s="1081"/>
      <c r="L1083" s="1087"/>
      <c r="M1083" s="1081"/>
      <c r="N1083" s="1081"/>
      <c r="O1083" s="1081"/>
      <c r="P1083" s="1081"/>
    </row>
    <row r="1084" spans="1:27">
      <c r="B1084" s="722" t="s">
        <v>717</v>
      </c>
      <c r="E1084" s="1090"/>
      <c r="F1084" s="1090"/>
      <c r="G1084" s="987">
        <v>3.5</v>
      </c>
      <c r="H1084" s="1081" t="s">
        <v>262</v>
      </c>
      <c r="I1084" s="724" t="s">
        <v>38</v>
      </c>
      <c r="J1084" s="726">
        <f>L129</f>
        <v>182</v>
      </c>
      <c r="K1084" s="726">
        <f>ROUND(G1084*J1084,2)</f>
        <v>637</v>
      </c>
      <c r="L1084" s="1087"/>
      <c r="M1084" s="1081"/>
      <c r="N1084" s="1081"/>
      <c r="O1084" s="1081"/>
      <c r="P1084" s="1081"/>
    </row>
    <row r="1085" spans="1:27">
      <c r="E1085" s="1090"/>
      <c r="F1085" s="1090"/>
      <c r="G1085" s="987"/>
      <c r="H1085" s="1081"/>
      <c r="J1085" s="836" t="s">
        <v>718</v>
      </c>
      <c r="K1085" s="1091">
        <f>K1084</f>
        <v>637</v>
      </c>
      <c r="L1085" s="1087"/>
      <c r="M1085" s="1081"/>
      <c r="N1085" s="1081"/>
      <c r="O1085" s="1081"/>
      <c r="P1085" s="1081"/>
    </row>
    <row r="1086" spans="1:27">
      <c r="B1086" s="723"/>
      <c r="E1086" s="1090"/>
      <c r="F1086" s="1090"/>
      <c r="H1086" s="1081"/>
      <c r="K1086" s="1091"/>
      <c r="L1086" s="1087"/>
      <c r="M1086" s="1081"/>
      <c r="N1086" s="1081"/>
      <c r="O1086" s="1081"/>
      <c r="P1086" s="1081"/>
    </row>
    <row r="1087" spans="1:27">
      <c r="B1087" s="723" t="s">
        <v>719</v>
      </c>
      <c r="E1087" s="1090"/>
      <c r="F1087" s="1090"/>
      <c r="H1087" s="1081"/>
      <c r="K1087" s="1091">
        <f>ROUND(K1085*2%,2)</f>
        <v>12.74</v>
      </c>
      <c r="L1087" s="1087"/>
      <c r="M1087" s="1081"/>
      <c r="N1087" s="1081"/>
      <c r="O1087" s="1081"/>
      <c r="P1087" s="1081"/>
    </row>
    <row r="1088" spans="1:27">
      <c r="B1088" s="723" t="s">
        <v>728</v>
      </c>
      <c r="E1088" s="1090"/>
      <c r="F1088" s="1090"/>
      <c r="H1088" s="1081"/>
      <c r="K1088" s="1091">
        <f>SUM(K1085:K1087)</f>
        <v>649.74</v>
      </c>
      <c r="L1088" s="1087"/>
      <c r="M1088" s="1081"/>
      <c r="N1088" s="1081"/>
      <c r="O1088" s="1081"/>
      <c r="P1088" s="1081"/>
    </row>
    <row r="1089" spans="1:27">
      <c r="B1089" s="722" t="s">
        <v>729</v>
      </c>
      <c r="E1089" s="1090"/>
      <c r="F1089" s="1090"/>
      <c r="H1089" s="1081"/>
      <c r="J1089" s="836" t="s">
        <v>718</v>
      </c>
      <c r="K1089" s="1091">
        <f>ROUND(K1088/9.3,2)</f>
        <v>69.86</v>
      </c>
      <c r="L1089" s="723" t="s">
        <v>730</v>
      </c>
      <c r="M1089" s="1081"/>
      <c r="N1089" s="1081"/>
      <c r="O1089" s="1081"/>
      <c r="P1089" s="1081"/>
      <c r="Y1089" s="722" t="s">
        <v>92</v>
      </c>
      <c r="Z1089" s="726">
        <f>ROUND(K1085/9.3,2)</f>
        <v>68.489999999999995</v>
      </c>
      <c r="AA1089" s="726">
        <f>K1089-Z1089</f>
        <v>1.3700000000000045</v>
      </c>
    </row>
    <row r="1090" spans="1:27">
      <c r="A1090" s="836" t="str">
        <f>A272</f>
        <v>(ii)</v>
      </c>
      <c r="B1090" s="723" t="str">
        <f>B272</f>
        <v>First Floor</v>
      </c>
      <c r="E1090" s="986" t="str">
        <f>E1081</f>
        <v>Each Sqm</v>
      </c>
      <c r="G1090" s="987"/>
      <c r="J1090" s="726"/>
      <c r="K1090" s="726"/>
    </row>
    <row r="1091" spans="1:27">
      <c r="B1091" s="722" t="s">
        <v>722</v>
      </c>
      <c r="G1091" s="987"/>
      <c r="J1091" s="726"/>
      <c r="K1091" s="726">
        <f>K1089</f>
        <v>69.86</v>
      </c>
    </row>
    <row r="1092" spans="1:27">
      <c r="B1092" s="722" t="s">
        <v>741</v>
      </c>
      <c r="G1092" s="987"/>
      <c r="J1092" s="726"/>
      <c r="K1092" s="726">
        <f>ROUND(K1085/9.3*1*5%,2)</f>
        <v>3.42</v>
      </c>
    </row>
    <row r="1093" spans="1:27">
      <c r="G1093" s="987"/>
      <c r="J1093" s="836" t="s">
        <v>718</v>
      </c>
      <c r="K1093" s="1091">
        <f>SUM(K1091:K1092)</f>
        <v>73.28</v>
      </c>
      <c r="L1093" s="723" t="s">
        <v>730</v>
      </c>
      <c r="Y1093" s="722" t="s">
        <v>92</v>
      </c>
      <c r="Z1093" s="726">
        <f>Z1089+K1092</f>
        <v>71.91</v>
      </c>
      <c r="AA1093" s="726">
        <f>K1093-Z1093</f>
        <v>1.3700000000000045</v>
      </c>
    </row>
    <row r="1094" spans="1:27" ht="49.5" customHeight="1">
      <c r="A1094" s="836">
        <f>A273</f>
        <v>12</v>
      </c>
      <c r="B1094" s="3386" t="str">
        <f>B273</f>
        <v>Dismantling &amp; Removing marble chips flooring including stacking the useful materials for reuse and removing the debris within 50m lead  with  cost  of  all labour etc. complete.</v>
      </c>
      <c r="C1094" s="3386"/>
      <c r="D1094" s="3386"/>
      <c r="E1094" s="1086" t="str">
        <f>G273</f>
        <v>Each Sqm</v>
      </c>
      <c r="F1094" s="1086"/>
      <c r="G1094" s="1081"/>
      <c r="H1094" s="1081"/>
      <c r="J1094" s="1081"/>
      <c r="K1094" s="1081"/>
      <c r="L1094" s="1087"/>
      <c r="M1094" s="1081"/>
      <c r="N1094" s="1081"/>
      <c r="O1094" s="1081"/>
      <c r="P1094" s="1081"/>
    </row>
    <row r="1095" spans="1:27">
      <c r="A1095" s="836" t="str">
        <f>A274</f>
        <v>(i)</v>
      </c>
      <c r="B1095" s="723" t="str">
        <f>B274</f>
        <v>Ground Floor</v>
      </c>
      <c r="C1095" s="1088"/>
      <c r="D1095" s="1088"/>
      <c r="E1095" s="986" t="str">
        <f>E1094</f>
        <v>Each Sqm</v>
      </c>
      <c r="G1095" s="1081"/>
      <c r="H1095" s="1081"/>
      <c r="J1095" s="1081"/>
      <c r="K1095" s="1081"/>
      <c r="L1095" s="1087"/>
      <c r="M1095" s="1081"/>
      <c r="N1095" s="1081"/>
      <c r="O1095" s="1081"/>
      <c r="P1095" s="1081"/>
    </row>
    <row r="1096" spans="1:27">
      <c r="B1096" s="723" t="s">
        <v>727</v>
      </c>
      <c r="E1096" s="1090"/>
      <c r="F1096" s="1090"/>
      <c r="H1096" s="1081"/>
      <c r="L1096" s="1087"/>
      <c r="M1096" s="1081"/>
      <c r="N1096" s="1081"/>
      <c r="O1096" s="1081"/>
      <c r="P1096" s="1081"/>
    </row>
    <row r="1097" spans="1:27">
      <c r="B1097" s="723" t="s">
        <v>715</v>
      </c>
      <c r="C1097" s="723"/>
      <c r="E1097" s="1090"/>
      <c r="F1097" s="1090"/>
      <c r="H1097" s="1081"/>
      <c r="L1097" s="1087"/>
      <c r="M1097" s="1081"/>
      <c r="N1097" s="1081"/>
      <c r="O1097" s="1081"/>
      <c r="P1097" s="1081"/>
    </row>
    <row r="1098" spans="1:27">
      <c r="B1098" s="722" t="s">
        <v>717</v>
      </c>
      <c r="E1098" s="1090"/>
      <c r="F1098" s="1090"/>
      <c r="G1098" s="987">
        <v>2.25</v>
      </c>
      <c r="H1098" s="1081" t="s">
        <v>262</v>
      </c>
      <c r="I1098" s="724" t="s">
        <v>38</v>
      </c>
      <c r="J1098" s="726">
        <f>L129</f>
        <v>182</v>
      </c>
      <c r="K1098" s="726">
        <f>ROUND(G1098*J1098,2)</f>
        <v>409.5</v>
      </c>
      <c r="L1098" s="1087"/>
      <c r="M1098" s="1081"/>
      <c r="N1098" s="1081"/>
      <c r="O1098" s="1081"/>
      <c r="P1098" s="1081"/>
    </row>
    <row r="1099" spans="1:27">
      <c r="E1099" s="1090"/>
      <c r="F1099" s="1090"/>
      <c r="G1099" s="987"/>
      <c r="H1099" s="1081"/>
      <c r="J1099" s="836" t="s">
        <v>718</v>
      </c>
      <c r="K1099" s="1091">
        <f>K1098</f>
        <v>409.5</v>
      </c>
      <c r="L1099" s="1087"/>
      <c r="M1099" s="1081"/>
      <c r="N1099" s="1081"/>
      <c r="O1099" s="1081"/>
      <c r="P1099" s="1081"/>
    </row>
    <row r="1100" spans="1:27">
      <c r="B1100" s="723"/>
      <c r="E1100" s="1090"/>
      <c r="F1100" s="1090"/>
      <c r="H1100" s="1081"/>
      <c r="K1100" s="1091"/>
      <c r="L1100" s="1087"/>
      <c r="M1100" s="1081"/>
      <c r="N1100" s="1081"/>
      <c r="O1100" s="1081"/>
      <c r="P1100" s="1081"/>
    </row>
    <row r="1101" spans="1:27">
      <c r="B1101" s="723" t="s">
        <v>719</v>
      </c>
      <c r="E1101" s="1090"/>
      <c r="F1101" s="1090"/>
      <c r="H1101" s="1081"/>
      <c r="K1101" s="1091">
        <f>ROUND(K1099*2%,2)</f>
        <v>8.19</v>
      </c>
      <c r="L1101" s="1087"/>
      <c r="M1101" s="1081"/>
      <c r="N1101" s="1081"/>
      <c r="O1101" s="1081"/>
      <c r="P1101" s="1081"/>
    </row>
    <row r="1102" spans="1:27">
      <c r="B1102" s="723" t="s">
        <v>728</v>
      </c>
      <c r="E1102" s="1090"/>
      <c r="F1102" s="1090"/>
      <c r="H1102" s="1081"/>
      <c r="K1102" s="1091">
        <f>SUM(K1099:K1101)</f>
        <v>417.69</v>
      </c>
      <c r="L1102" s="1087"/>
      <c r="M1102" s="1081"/>
      <c r="N1102" s="1081"/>
      <c r="O1102" s="1081"/>
      <c r="P1102" s="1081"/>
    </row>
    <row r="1103" spans="1:27">
      <c r="B1103" s="722" t="s">
        <v>729</v>
      </c>
      <c r="E1103" s="1090"/>
      <c r="F1103" s="1090"/>
      <c r="H1103" s="1081"/>
      <c r="J1103" s="836" t="s">
        <v>718</v>
      </c>
      <c r="K1103" s="1091">
        <f>ROUND(K1102/9.3,2)</f>
        <v>44.91</v>
      </c>
      <c r="L1103" s="723" t="s">
        <v>730</v>
      </c>
      <c r="M1103" s="1081"/>
      <c r="N1103" s="1081"/>
      <c r="O1103" s="1081"/>
      <c r="P1103" s="1081"/>
      <c r="Y1103" s="722" t="s">
        <v>92</v>
      </c>
      <c r="Z1103" s="726">
        <f>ROUND(K1099/9.3,2)</f>
        <v>44.03</v>
      </c>
      <c r="AA1103" s="726">
        <f>K1103-Z1103</f>
        <v>0.87999999999999545</v>
      </c>
    </row>
    <row r="1104" spans="1:27">
      <c r="A1104" s="836" t="str">
        <f>A275</f>
        <v>(ii)</v>
      </c>
      <c r="B1104" s="723" t="str">
        <f>B275</f>
        <v>First Floor</v>
      </c>
      <c r="E1104" s="986" t="str">
        <f>E1095</f>
        <v>Each Sqm</v>
      </c>
      <c r="G1104" s="987"/>
      <c r="J1104" s="726"/>
      <c r="K1104" s="726"/>
    </row>
    <row r="1105" spans="1:27">
      <c r="B1105" s="722" t="s">
        <v>722</v>
      </c>
      <c r="G1105" s="987"/>
      <c r="J1105" s="726"/>
      <c r="K1105" s="726">
        <f>K1103</f>
        <v>44.91</v>
      </c>
    </row>
    <row r="1106" spans="1:27">
      <c r="B1106" s="722" t="s">
        <v>741</v>
      </c>
      <c r="G1106" s="987"/>
      <c r="J1106" s="726"/>
      <c r="K1106" s="726">
        <f>ROUND(K1099/9.3*1*5%,2)</f>
        <v>2.2000000000000002</v>
      </c>
    </row>
    <row r="1107" spans="1:27">
      <c r="G1107" s="987"/>
      <c r="J1107" s="836" t="s">
        <v>718</v>
      </c>
      <c r="K1107" s="1091">
        <f>SUM(K1105:K1106)</f>
        <v>47.11</v>
      </c>
      <c r="L1107" s="723" t="s">
        <v>730</v>
      </c>
      <c r="Y1107" s="722" t="s">
        <v>92</v>
      </c>
      <c r="Z1107" s="726">
        <f>Z1103+K1106</f>
        <v>46.230000000000004</v>
      </c>
      <c r="AA1107" s="726">
        <f>K1107-Z1107</f>
        <v>0.87999999999999545</v>
      </c>
    </row>
    <row r="1108" spans="1:27" ht="50.25" customHeight="1">
      <c r="A1108" s="836">
        <f>A276</f>
        <v>13</v>
      </c>
      <c r="B1108" s="3386" t="str">
        <f>B276</f>
        <v>Dismantling &amp; Removing marble chips dadoos &amp; skirting including stacking the useful materials for reuse and removing the debris within 50m lead  with  cost  of  all labour etc. complete.</v>
      </c>
      <c r="C1108" s="3386"/>
      <c r="D1108" s="3386"/>
      <c r="E1108" s="1086" t="str">
        <f>G276</f>
        <v>Each Sqm</v>
      </c>
      <c r="F1108" s="1086"/>
      <c r="G1108" s="1081"/>
      <c r="H1108" s="1081"/>
      <c r="J1108" s="1081"/>
      <c r="K1108" s="1081"/>
      <c r="L1108" s="1087"/>
      <c r="M1108" s="1081"/>
      <c r="N1108" s="1081"/>
      <c r="O1108" s="1081"/>
      <c r="P1108" s="1081"/>
    </row>
    <row r="1109" spans="1:27">
      <c r="A1109" s="836" t="str">
        <f>A277</f>
        <v>(i)</v>
      </c>
      <c r="B1109" s="723" t="str">
        <f>B277</f>
        <v>Ground Floor</v>
      </c>
      <c r="C1109" s="1088"/>
      <c r="D1109" s="1088"/>
      <c r="E1109" s="986" t="str">
        <f>E1108</f>
        <v>Each Sqm</v>
      </c>
      <c r="G1109" s="1081"/>
      <c r="H1109" s="1081"/>
      <c r="J1109" s="1081"/>
      <c r="K1109" s="1081"/>
      <c r="L1109" s="1087"/>
      <c r="M1109" s="1081"/>
      <c r="N1109" s="1081"/>
      <c r="O1109" s="1081"/>
      <c r="P1109" s="1081"/>
    </row>
    <row r="1110" spans="1:27">
      <c r="B1110" s="723" t="s">
        <v>727</v>
      </c>
      <c r="E1110" s="1090"/>
      <c r="F1110" s="1090"/>
      <c r="H1110" s="1081"/>
      <c r="L1110" s="1087"/>
      <c r="M1110" s="1081"/>
      <c r="N1110" s="1081"/>
      <c r="O1110" s="1081"/>
      <c r="P1110" s="1081"/>
    </row>
    <row r="1111" spans="1:27">
      <c r="B1111" s="723" t="s">
        <v>715</v>
      </c>
      <c r="C1111" s="723"/>
      <c r="E1111" s="1090"/>
      <c r="F1111" s="1090"/>
      <c r="H1111" s="1081"/>
      <c r="L1111" s="1087"/>
      <c r="M1111" s="1081"/>
      <c r="N1111" s="1081"/>
      <c r="O1111" s="1081"/>
      <c r="P1111" s="1081"/>
    </row>
    <row r="1112" spans="1:27">
      <c r="B1112" s="722" t="s">
        <v>717</v>
      </c>
      <c r="E1112" s="1090"/>
      <c r="F1112" s="1090"/>
      <c r="G1112" s="987">
        <v>1.1000000000000001</v>
      </c>
      <c r="H1112" s="1081" t="s">
        <v>262</v>
      </c>
      <c r="I1112" s="724" t="s">
        <v>38</v>
      </c>
      <c r="J1112" s="726">
        <f>L129</f>
        <v>182</v>
      </c>
      <c r="K1112" s="726">
        <f>ROUND(G1112*J1112,2)</f>
        <v>200.2</v>
      </c>
      <c r="L1112" s="1087"/>
      <c r="M1112" s="1081"/>
      <c r="N1112" s="1081"/>
      <c r="O1112" s="1081"/>
      <c r="P1112" s="1081"/>
    </row>
    <row r="1113" spans="1:27">
      <c r="E1113" s="1090"/>
      <c r="F1113" s="1090"/>
      <c r="G1113" s="987"/>
      <c r="H1113" s="1081"/>
      <c r="J1113" s="836" t="s">
        <v>718</v>
      </c>
      <c r="K1113" s="1091">
        <f>K1112</f>
        <v>200.2</v>
      </c>
      <c r="L1113" s="1087"/>
      <c r="M1113" s="1081"/>
      <c r="N1113" s="1081"/>
      <c r="O1113" s="1081"/>
      <c r="P1113" s="1081"/>
    </row>
    <row r="1114" spans="1:27">
      <c r="B1114" s="723"/>
      <c r="E1114" s="1090"/>
      <c r="F1114" s="1090"/>
      <c r="H1114" s="1081"/>
      <c r="K1114" s="1091"/>
      <c r="L1114" s="1087"/>
      <c r="M1114" s="1081"/>
      <c r="N1114" s="1081"/>
      <c r="O1114" s="1081"/>
      <c r="P1114" s="1081"/>
    </row>
    <row r="1115" spans="1:27">
      <c r="B1115" s="723" t="s">
        <v>719</v>
      </c>
      <c r="E1115" s="1090"/>
      <c r="F1115" s="1090"/>
      <c r="H1115" s="1081"/>
      <c r="K1115" s="1091">
        <f>ROUND(K1113*2%,2)</f>
        <v>4</v>
      </c>
      <c r="L1115" s="1087"/>
      <c r="M1115" s="1081"/>
      <c r="N1115" s="1081"/>
      <c r="O1115" s="1081"/>
      <c r="P1115" s="1081"/>
    </row>
    <row r="1116" spans="1:27">
      <c r="B1116" s="722" t="s">
        <v>728</v>
      </c>
      <c r="E1116" s="1090"/>
      <c r="F1116" s="1090"/>
      <c r="H1116" s="1081"/>
      <c r="K1116" s="1091">
        <f>SUM(K1113:K1115)</f>
        <v>204.2</v>
      </c>
      <c r="L1116" s="1087"/>
      <c r="M1116" s="1081"/>
      <c r="N1116" s="1081"/>
      <c r="O1116" s="1081"/>
      <c r="P1116" s="1081"/>
    </row>
    <row r="1117" spans="1:27">
      <c r="B1117" s="722" t="s">
        <v>729</v>
      </c>
      <c r="E1117" s="1090"/>
      <c r="F1117" s="1090"/>
      <c r="H1117" s="1081"/>
      <c r="J1117" s="836" t="s">
        <v>718</v>
      </c>
      <c r="K1117" s="1091">
        <f>ROUND(K1116/9.3,2)</f>
        <v>21.96</v>
      </c>
      <c r="L1117" s="723" t="s">
        <v>730</v>
      </c>
      <c r="M1117" s="1081"/>
      <c r="N1117" s="1081"/>
      <c r="O1117" s="1081"/>
      <c r="P1117" s="1081"/>
      <c r="Y1117" s="722" t="s">
        <v>92</v>
      </c>
      <c r="Z1117" s="726">
        <f>ROUND(K1113/9.3,2)</f>
        <v>21.53</v>
      </c>
      <c r="AA1117" s="726">
        <f>K1117-Z1117</f>
        <v>0.42999999999999972</v>
      </c>
    </row>
    <row r="1118" spans="1:27">
      <c r="A1118" s="836" t="str">
        <f>A278</f>
        <v>(ii)</v>
      </c>
      <c r="B1118" s="723" t="str">
        <f>B1104</f>
        <v>First Floor</v>
      </c>
      <c r="E1118" s="986" t="str">
        <f>E1109</f>
        <v>Each Sqm</v>
      </c>
      <c r="G1118" s="987"/>
      <c r="J1118" s="726"/>
      <c r="K1118" s="726"/>
    </row>
    <row r="1119" spans="1:27">
      <c r="B1119" s="722" t="s">
        <v>722</v>
      </c>
      <c r="G1119" s="987"/>
      <c r="J1119" s="726"/>
      <c r="K1119" s="726">
        <f>K1117</f>
        <v>21.96</v>
      </c>
    </row>
    <row r="1120" spans="1:27">
      <c r="B1120" s="722" t="s">
        <v>741</v>
      </c>
      <c r="G1120" s="987"/>
      <c r="J1120" s="726"/>
      <c r="K1120" s="726">
        <f>ROUND(K1113/9.3*1*5%,2)</f>
        <v>1.08</v>
      </c>
    </row>
    <row r="1121" spans="1:27">
      <c r="G1121" s="987"/>
      <c r="J1121" s="836" t="s">
        <v>718</v>
      </c>
      <c r="K1121" s="1091">
        <f>SUM(K1119:K1120)</f>
        <v>23.04</v>
      </c>
      <c r="L1121" s="723" t="s">
        <v>730</v>
      </c>
      <c r="Y1121" s="722" t="s">
        <v>92</v>
      </c>
      <c r="Z1121" s="726">
        <f>Z1117+K1120</f>
        <v>22.61</v>
      </c>
      <c r="AA1121" s="726">
        <f>K1121-Z1121</f>
        <v>0.42999999999999972</v>
      </c>
    </row>
    <row r="1122" spans="1:27" ht="49.5" customHeight="1">
      <c r="A1122" s="836">
        <f>A279</f>
        <v>14</v>
      </c>
      <c r="B1122" s="3386" t="str">
        <f>B279</f>
        <v>Dismantling &amp; Removing old tile flooring including stacking the useful materials for reuse and removing the debris within 50m lead  with  cost  of  all labour etc. complete.</v>
      </c>
      <c r="C1122" s="3386"/>
      <c r="D1122" s="3386"/>
      <c r="E1122" s="1086" t="str">
        <f>G279</f>
        <v>Each Sqm</v>
      </c>
      <c r="F1122" s="1086"/>
      <c r="G1122" s="1081"/>
      <c r="H1122" s="1081"/>
      <c r="J1122" s="1081"/>
      <c r="K1122" s="1081"/>
      <c r="L1122" s="1087"/>
      <c r="M1122" s="1081"/>
      <c r="N1122" s="1081"/>
      <c r="O1122" s="1081"/>
      <c r="P1122" s="1081"/>
    </row>
    <row r="1123" spans="1:27">
      <c r="A1123" s="836" t="str">
        <f>A280</f>
        <v>(i)</v>
      </c>
      <c r="B1123" s="723" t="str">
        <f>B280</f>
        <v>Ground Floor</v>
      </c>
      <c r="C1123" s="1088"/>
      <c r="D1123" s="1088"/>
      <c r="E1123" s="986" t="str">
        <f>E1122</f>
        <v>Each Sqm</v>
      </c>
      <c r="G1123" s="1081"/>
      <c r="H1123" s="1081"/>
      <c r="J1123" s="1081"/>
      <c r="K1123" s="1081"/>
      <c r="L1123" s="1087"/>
      <c r="M1123" s="1081"/>
      <c r="N1123" s="1081"/>
      <c r="O1123" s="1081"/>
      <c r="P1123" s="1081"/>
    </row>
    <row r="1124" spans="1:27">
      <c r="B1124" s="722" t="s">
        <v>727</v>
      </c>
      <c r="E1124" s="1090"/>
      <c r="F1124" s="1090"/>
      <c r="H1124" s="1081"/>
      <c r="L1124" s="1087"/>
      <c r="M1124" s="1081"/>
      <c r="N1124" s="1081"/>
      <c r="O1124" s="1081"/>
      <c r="P1124" s="1081"/>
    </row>
    <row r="1125" spans="1:27">
      <c r="B1125" s="723" t="s">
        <v>715</v>
      </c>
      <c r="C1125" s="723"/>
      <c r="E1125" s="1090"/>
      <c r="F1125" s="1090"/>
      <c r="H1125" s="1081"/>
      <c r="L1125" s="1087"/>
      <c r="M1125" s="1081"/>
      <c r="N1125" s="1081"/>
      <c r="O1125" s="1081"/>
      <c r="P1125" s="1081"/>
    </row>
    <row r="1126" spans="1:27">
      <c r="B1126" s="722" t="s">
        <v>717</v>
      </c>
      <c r="E1126" s="1090"/>
      <c r="F1126" s="1090"/>
      <c r="G1126" s="987">
        <v>2.5</v>
      </c>
      <c r="H1126" s="1081" t="s">
        <v>262</v>
      </c>
      <c r="I1126" s="724" t="s">
        <v>38</v>
      </c>
      <c r="J1126" s="726">
        <f>L129</f>
        <v>182</v>
      </c>
      <c r="K1126" s="726">
        <f>ROUND(G1126*J1126,2)</f>
        <v>455</v>
      </c>
      <c r="L1126" s="1087"/>
      <c r="M1126" s="1081"/>
      <c r="N1126" s="1081"/>
      <c r="O1126" s="1081"/>
      <c r="P1126" s="1081"/>
    </row>
    <row r="1127" spans="1:27">
      <c r="E1127" s="1090"/>
      <c r="F1127" s="1090"/>
      <c r="G1127" s="987"/>
      <c r="H1127" s="1081"/>
      <c r="J1127" s="836" t="s">
        <v>718</v>
      </c>
      <c r="K1127" s="1091">
        <f>K1126</f>
        <v>455</v>
      </c>
      <c r="L1127" s="1087"/>
      <c r="M1127" s="1081"/>
      <c r="N1127" s="1081"/>
      <c r="O1127" s="1081"/>
      <c r="P1127" s="1081"/>
    </row>
    <row r="1128" spans="1:27">
      <c r="B1128" s="723"/>
      <c r="E1128" s="1090"/>
      <c r="F1128" s="1090"/>
      <c r="H1128" s="1081"/>
      <c r="K1128" s="1091"/>
      <c r="L1128" s="1087"/>
      <c r="M1128" s="1081"/>
      <c r="N1128" s="1081"/>
      <c r="O1128" s="1081"/>
      <c r="P1128" s="1081"/>
    </row>
    <row r="1129" spans="1:27">
      <c r="B1129" s="723" t="s">
        <v>719</v>
      </c>
      <c r="E1129" s="1090"/>
      <c r="F1129" s="1090"/>
      <c r="H1129" s="1081"/>
      <c r="K1129" s="1091">
        <f>ROUND(K1127*2%,2)</f>
        <v>9.1</v>
      </c>
      <c r="L1129" s="1087"/>
      <c r="M1129" s="1081"/>
      <c r="N1129" s="1081"/>
      <c r="O1129" s="1081"/>
      <c r="P1129" s="1081"/>
    </row>
    <row r="1130" spans="1:27">
      <c r="B1130" s="722" t="s">
        <v>728</v>
      </c>
      <c r="E1130" s="1090"/>
      <c r="F1130" s="1090"/>
      <c r="H1130" s="1081"/>
      <c r="K1130" s="1091">
        <f>SUM(K1127:K1129)</f>
        <v>464.1</v>
      </c>
      <c r="L1130" s="1087"/>
      <c r="M1130" s="1081"/>
      <c r="N1130" s="1081"/>
      <c r="O1130" s="1081"/>
      <c r="P1130" s="1081"/>
    </row>
    <row r="1131" spans="1:27">
      <c r="B1131" s="722" t="s">
        <v>729</v>
      </c>
      <c r="E1131" s="1090"/>
      <c r="F1131" s="1090"/>
      <c r="H1131" s="1081"/>
      <c r="J1131" s="836" t="s">
        <v>718</v>
      </c>
      <c r="K1131" s="1091">
        <f>ROUND(K1130/9.3,2)</f>
        <v>49.9</v>
      </c>
      <c r="L1131" s="723" t="s">
        <v>730</v>
      </c>
      <c r="M1131" s="1081"/>
      <c r="N1131" s="1081"/>
      <c r="O1131" s="1081"/>
      <c r="P1131" s="1081"/>
      <c r="Y1131" s="722" t="s">
        <v>92</v>
      </c>
      <c r="Z1131" s="726">
        <f>ROUND(K1127/9.3,2)</f>
        <v>48.92</v>
      </c>
      <c r="AA1131" s="726">
        <f>K1131-Z1131</f>
        <v>0.97999999999999687</v>
      </c>
    </row>
    <row r="1132" spans="1:27">
      <c r="A1132" s="836" t="str">
        <f>A281</f>
        <v>(ii)</v>
      </c>
      <c r="B1132" s="723" t="str">
        <f>B281</f>
        <v>First Floor</v>
      </c>
      <c r="E1132" s="986" t="str">
        <f>E1123</f>
        <v>Each Sqm</v>
      </c>
      <c r="G1132" s="987"/>
      <c r="J1132" s="726"/>
      <c r="K1132" s="726"/>
    </row>
    <row r="1133" spans="1:27">
      <c r="B1133" s="722" t="s">
        <v>722</v>
      </c>
      <c r="G1133" s="987"/>
      <c r="J1133" s="726"/>
      <c r="K1133" s="726">
        <f>K1131</f>
        <v>49.9</v>
      </c>
    </row>
    <row r="1134" spans="1:27">
      <c r="B1134" s="722" t="s">
        <v>741</v>
      </c>
      <c r="G1134" s="987"/>
      <c r="J1134" s="726"/>
      <c r="K1134" s="726">
        <f>ROUND(K1127/9.3*1*5%,2)</f>
        <v>2.4500000000000002</v>
      </c>
    </row>
    <row r="1135" spans="1:27">
      <c r="G1135" s="987"/>
      <c r="J1135" s="836" t="s">
        <v>718</v>
      </c>
      <c r="K1135" s="1091">
        <f>SUM(K1133:K1134)</f>
        <v>52.35</v>
      </c>
      <c r="L1135" s="723" t="s">
        <v>730</v>
      </c>
      <c r="Y1135" s="722" t="s">
        <v>92</v>
      </c>
      <c r="Z1135" s="726">
        <f>Z1131+K1134</f>
        <v>51.370000000000005</v>
      </c>
      <c r="AA1135" s="726">
        <f>K1135-Z1135</f>
        <v>0.97999999999999687</v>
      </c>
    </row>
    <row r="1136" spans="1:27" ht="50.25" customHeight="1">
      <c r="A1136" s="836">
        <f>A282</f>
        <v>15</v>
      </c>
      <c r="B1136" s="3386" t="str">
        <f>B282</f>
        <v>Dismantling &amp; Removing old tile cladding from walls including stacking the useful materials for reuse and removing the debris within 50m lead  with  cost  of  all labour etc. complete.</v>
      </c>
      <c r="C1136" s="3386"/>
      <c r="D1136" s="3386"/>
      <c r="E1136" s="1086" t="str">
        <f>G282</f>
        <v>Each Sqm</v>
      </c>
      <c r="F1136" s="1086"/>
      <c r="G1136" s="1081"/>
      <c r="H1136" s="1081"/>
      <c r="J1136" s="1081"/>
      <c r="K1136" s="1081"/>
      <c r="L1136" s="1087"/>
      <c r="M1136" s="1081"/>
      <c r="N1136" s="1081"/>
      <c r="O1136" s="1081"/>
      <c r="P1136" s="1081"/>
    </row>
    <row r="1137" spans="1:27">
      <c r="A1137" s="836" t="str">
        <f>A283</f>
        <v>(i)</v>
      </c>
      <c r="B1137" s="723" t="str">
        <f>B283</f>
        <v>Ground Floor</v>
      </c>
      <c r="C1137" s="1088"/>
      <c r="D1137" s="1088"/>
      <c r="E1137" s="986" t="str">
        <f>E1136</f>
        <v>Each Sqm</v>
      </c>
      <c r="G1137" s="1081"/>
      <c r="H1137" s="1081"/>
      <c r="J1137" s="1081"/>
      <c r="K1137" s="1081"/>
      <c r="L1137" s="1087"/>
      <c r="M1137" s="1081"/>
      <c r="N1137" s="1081"/>
      <c r="O1137" s="1081"/>
      <c r="P1137" s="1081"/>
    </row>
    <row r="1138" spans="1:27">
      <c r="B1138" s="722" t="s">
        <v>727</v>
      </c>
      <c r="E1138" s="1090"/>
      <c r="F1138" s="1090"/>
      <c r="H1138" s="1081"/>
      <c r="L1138" s="1087"/>
      <c r="M1138" s="1081"/>
      <c r="N1138" s="1081"/>
      <c r="O1138" s="1081"/>
      <c r="P1138" s="1081"/>
    </row>
    <row r="1139" spans="1:27">
      <c r="B1139" s="723" t="s">
        <v>715</v>
      </c>
      <c r="C1139" s="723"/>
      <c r="E1139" s="1090"/>
      <c r="F1139" s="1090"/>
      <c r="H1139" s="1081"/>
      <c r="L1139" s="1087"/>
      <c r="M1139" s="1081"/>
      <c r="N1139" s="1081"/>
      <c r="O1139" s="1081"/>
      <c r="P1139" s="1081"/>
    </row>
    <row r="1140" spans="1:27">
      <c r="B1140" s="722" t="s">
        <v>717</v>
      </c>
      <c r="E1140" s="1090"/>
      <c r="F1140" s="1090"/>
      <c r="G1140" s="987">
        <v>1.3</v>
      </c>
      <c r="H1140" s="1081" t="s">
        <v>262</v>
      </c>
      <c r="I1140" s="724" t="s">
        <v>38</v>
      </c>
      <c r="J1140" s="726">
        <f>L129</f>
        <v>182</v>
      </c>
      <c r="K1140" s="726">
        <f>ROUND(G1140*J1140,2)</f>
        <v>236.6</v>
      </c>
      <c r="L1140" s="1087"/>
      <c r="M1140" s="1081"/>
      <c r="N1140" s="1081"/>
      <c r="O1140" s="1081"/>
      <c r="P1140" s="1081"/>
    </row>
    <row r="1141" spans="1:27">
      <c r="E1141" s="1090"/>
      <c r="F1141" s="1090"/>
      <c r="G1141" s="987"/>
      <c r="H1141" s="1081"/>
      <c r="J1141" s="836" t="s">
        <v>718</v>
      </c>
      <c r="K1141" s="1091">
        <f>K1140</f>
        <v>236.6</v>
      </c>
      <c r="L1141" s="1087"/>
      <c r="M1141" s="1081"/>
      <c r="N1141" s="1081"/>
      <c r="O1141" s="1081"/>
      <c r="P1141" s="1081"/>
    </row>
    <row r="1142" spans="1:27">
      <c r="B1142" s="723"/>
      <c r="E1142" s="1090"/>
      <c r="F1142" s="1090"/>
      <c r="H1142" s="1081"/>
      <c r="K1142" s="1091"/>
      <c r="L1142" s="1087"/>
      <c r="M1142" s="1081"/>
      <c r="N1142" s="1081"/>
      <c r="O1142" s="1081"/>
      <c r="P1142" s="1081"/>
    </row>
    <row r="1143" spans="1:27">
      <c r="B1143" s="723" t="s">
        <v>719</v>
      </c>
      <c r="E1143" s="1090"/>
      <c r="F1143" s="1090"/>
      <c r="H1143" s="1081"/>
      <c r="K1143" s="1091">
        <f>ROUND(K1141*2%,2)</f>
        <v>4.7300000000000004</v>
      </c>
      <c r="L1143" s="1087"/>
      <c r="M1143" s="1081"/>
      <c r="N1143" s="1081"/>
      <c r="O1143" s="1081"/>
      <c r="P1143" s="1081"/>
    </row>
    <row r="1144" spans="1:27">
      <c r="B1144" s="722" t="s">
        <v>728</v>
      </c>
      <c r="E1144" s="1090"/>
      <c r="F1144" s="1090"/>
      <c r="H1144" s="1081"/>
      <c r="K1144" s="1091">
        <f>SUM(K1141:K1143)</f>
        <v>241.32999999999998</v>
      </c>
      <c r="L1144" s="1087"/>
      <c r="M1144" s="1081"/>
      <c r="N1144" s="1081"/>
      <c r="O1144" s="1081"/>
      <c r="P1144" s="1081"/>
    </row>
    <row r="1145" spans="1:27">
      <c r="B1145" s="722" t="s">
        <v>729</v>
      </c>
      <c r="E1145" s="1090"/>
      <c r="F1145" s="1090"/>
      <c r="H1145" s="1081"/>
      <c r="J1145" s="836" t="s">
        <v>718</v>
      </c>
      <c r="K1145" s="1091">
        <f>ROUND(K1144/9.3,2)</f>
        <v>25.95</v>
      </c>
      <c r="L1145" s="723" t="s">
        <v>730</v>
      </c>
      <c r="M1145" s="1081"/>
      <c r="N1145" s="1081"/>
      <c r="O1145" s="1081"/>
      <c r="P1145" s="1081"/>
      <c r="Y1145" s="722" t="s">
        <v>92</v>
      </c>
      <c r="Z1145" s="726">
        <f>ROUND(K1141/9.3,2)</f>
        <v>25.44</v>
      </c>
      <c r="AA1145" s="726">
        <f>K1145-Z1145</f>
        <v>0.50999999999999801</v>
      </c>
    </row>
    <row r="1146" spans="1:27">
      <c r="A1146" s="836" t="str">
        <f>A284</f>
        <v>(ii)</v>
      </c>
      <c r="B1146" s="723" t="str">
        <f>B284</f>
        <v>First Floor</v>
      </c>
      <c r="E1146" s="986" t="str">
        <f>E1137</f>
        <v>Each Sqm</v>
      </c>
      <c r="G1146" s="987"/>
      <c r="J1146" s="726"/>
      <c r="K1146" s="726"/>
    </row>
    <row r="1147" spans="1:27">
      <c r="B1147" s="722" t="s">
        <v>722</v>
      </c>
      <c r="G1147" s="987"/>
      <c r="J1147" s="726"/>
      <c r="K1147" s="726">
        <f>K1145</f>
        <v>25.95</v>
      </c>
    </row>
    <row r="1148" spans="1:27">
      <c r="B1148" s="722" t="s">
        <v>741</v>
      </c>
      <c r="G1148" s="987"/>
      <c r="J1148" s="726"/>
      <c r="K1148" s="726">
        <f>ROUND(K1141/9.3*1*5%,2)</f>
        <v>1.27</v>
      </c>
    </row>
    <row r="1149" spans="1:27">
      <c r="G1149" s="987"/>
      <c r="J1149" s="836" t="s">
        <v>718</v>
      </c>
      <c r="K1149" s="1091">
        <f>SUM(K1147:K1148)</f>
        <v>27.22</v>
      </c>
      <c r="L1149" s="723" t="s">
        <v>730</v>
      </c>
      <c r="Y1149" s="722" t="s">
        <v>92</v>
      </c>
      <c r="Z1149" s="726">
        <f>Z1145+K1148</f>
        <v>26.71</v>
      </c>
      <c r="AA1149" s="726">
        <f>K1149-Z1149</f>
        <v>0.50999999999999801</v>
      </c>
    </row>
    <row r="1150" spans="1:27" ht="60" customHeight="1">
      <c r="A1150" s="836">
        <f>A285</f>
        <v>16</v>
      </c>
      <c r="B1150" s="3386" t="str">
        <f>B285</f>
        <v>Dismantling &amp; Removing pan or single nuria or Mangalore tile roofing (Tiles only)  including stacking the useful materials for reuse and removing the debris within 50m lead  with  cost  of  all labour etc. complete.</v>
      </c>
      <c r="C1150" s="3386"/>
      <c r="D1150" s="3386"/>
      <c r="E1150" s="1086" t="str">
        <f>G307</f>
        <v>Each Cum</v>
      </c>
      <c r="F1150" s="1086"/>
      <c r="G1150" s="1081"/>
      <c r="H1150" s="1081"/>
      <c r="J1150" s="1081"/>
      <c r="K1150" s="1081"/>
      <c r="L1150" s="1087"/>
      <c r="M1150" s="1081"/>
      <c r="N1150" s="1081"/>
      <c r="O1150" s="1081"/>
      <c r="P1150" s="1081"/>
    </row>
    <row r="1151" spans="1:27">
      <c r="A1151" s="836" t="str">
        <f>A286</f>
        <v>(i)</v>
      </c>
      <c r="B1151" s="723" t="str">
        <f>B286</f>
        <v>Ground Floor</v>
      </c>
      <c r="C1151" s="1088"/>
      <c r="D1151" s="1088"/>
      <c r="E1151" s="986" t="str">
        <f>E1150</f>
        <v>Each Cum</v>
      </c>
      <c r="G1151" s="1081"/>
      <c r="H1151" s="1081"/>
      <c r="J1151" s="1081"/>
      <c r="K1151" s="1081"/>
      <c r="L1151" s="1087"/>
      <c r="M1151" s="1081"/>
      <c r="N1151" s="1081"/>
      <c r="O1151" s="1081"/>
      <c r="P1151" s="1081"/>
    </row>
    <row r="1152" spans="1:27">
      <c r="B1152" s="723" t="s">
        <v>727</v>
      </c>
      <c r="E1152" s="1090"/>
      <c r="F1152" s="1090"/>
      <c r="H1152" s="1081"/>
      <c r="L1152" s="1087"/>
      <c r="M1152" s="1081"/>
      <c r="N1152" s="1081"/>
      <c r="O1152" s="1081"/>
      <c r="P1152" s="1081"/>
    </row>
    <row r="1153" spans="1:27">
      <c r="B1153" s="723" t="s">
        <v>715</v>
      </c>
      <c r="C1153" s="723"/>
      <c r="E1153" s="1090"/>
      <c r="F1153" s="1090"/>
      <c r="H1153" s="1081"/>
      <c r="L1153" s="1087"/>
      <c r="M1153" s="1081"/>
      <c r="N1153" s="1081"/>
      <c r="O1153" s="1081"/>
      <c r="P1153" s="1081"/>
    </row>
    <row r="1154" spans="1:27">
      <c r="B1154" s="722" t="s">
        <v>717</v>
      </c>
      <c r="E1154" s="1090"/>
      <c r="F1154" s="1090"/>
      <c r="G1154" s="987">
        <v>2.75</v>
      </c>
      <c r="H1154" s="1081" t="s">
        <v>262</v>
      </c>
      <c r="I1154" s="724" t="s">
        <v>38</v>
      </c>
      <c r="J1154" s="726">
        <f>L129</f>
        <v>182</v>
      </c>
      <c r="K1154" s="726">
        <f>ROUND(G1154*J1154,2)</f>
        <v>500.5</v>
      </c>
      <c r="L1154" s="1087"/>
      <c r="M1154" s="1081"/>
      <c r="N1154" s="1081"/>
      <c r="O1154" s="1081"/>
      <c r="P1154" s="1081"/>
    </row>
    <row r="1155" spans="1:27">
      <c r="E1155" s="1090"/>
      <c r="F1155" s="1090"/>
      <c r="G1155" s="987"/>
      <c r="H1155" s="1081"/>
      <c r="J1155" s="836" t="s">
        <v>718</v>
      </c>
      <c r="K1155" s="1091">
        <f>SUM(K1154:K1154)</f>
        <v>500.5</v>
      </c>
      <c r="L1155" s="1087"/>
      <c r="M1155" s="1081"/>
      <c r="N1155" s="1081"/>
      <c r="O1155" s="1081"/>
      <c r="P1155" s="1081"/>
    </row>
    <row r="1156" spans="1:27">
      <c r="B1156" s="723"/>
      <c r="E1156" s="1090"/>
      <c r="F1156" s="1090"/>
      <c r="H1156" s="1081"/>
      <c r="K1156" s="1091"/>
      <c r="L1156" s="1087"/>
      <c r="M1156" s="1081"/>
      <c r="N1156" s="1081"/>
      <c r="O1156" s="1081"/>
      <c r="P1156" s="1081"/>
    </row>
    <row r="1157" spans="1:27">
      <c r="B1157" s="723" t="s">
        <v>719</v>
      </c>
      <c r="E1157" s="1090"/>
      <c r="F1157" s="1090"/>
      <c r="H1157" s="1081"/>
      <c r="K1157" s="1091">
        <f>ROUND(K1155*2%,2)</f>
        <v>10.01</v>
      </c>
      <c r="L1157" s="1087"/>
      <c r="M1157" s="1081"/>
      <c r="N1157" s="1081"/>
      <c r="O1157" s="1081"/>
      <c r="P1157" s="1081"/>
    </row>
    <row r="1158" spans="1:27">
      <c r="B1158" s="722" t="s">
        <v>728</v>
      </c>
      <c r="E1158" s="1090"/>
      <c r="F1158" s="1090"/>
      <c r="H1158" s="1081"/>
      <c r="K1158" s="1091">
        <f>SUM(K1155:K1157)</f>
        <v>510.51</v>
      </c>
      <c r="L1158" s="1087"/>
      <c r="M1158" s="1081"/>
      <c r="N1158" s="1081"/>
      <c r="O1158" s="1081"/>
      <c r="P1158" s="1081"/>
    </row>
    <row r="1159" spans="1:27">
      <c r="B1159" s="722" t="s">
        <v>729</v>
      </c>
      <c r="E1159" s="1090"/>
      <c r="F1159" s="1090"/>
      <c r="H1159" s="1081"/>
      <c r="J1159" s="836" t="s">
        <v>718</v>
      </c>
      <c r="K1159" s="1091">
        <f>ROUND(K1158/9.3,2)</f>
        <v>54.89</v>
      </c>
      <c r="L1159" s="723" t="s">
        <v>730</v>
      </c>
      <c r="M1159" s="1081"/>
      <c r="N1159" s="1081"/>
      <c r="O1159" s="1081"/>
      <c r="P1159" s="1081"/>
      <c r="Y1159" s="722" t="s">
        <v>92</v>
      </c>
      <c r="Z1159" s="726">
        <f>ROUND(K1155/9.3,2)</f>
        <v>53.82</v>
      </c>
      <c r="AA1159" s="726">
        <f>K1159-Z1159</f>
        <v>1.0700000000000003</v>
      </c>
    </row>
    <row r="1160" spans="1:27">
      <c r="A1160" s="836" t="str">
        <f>A287</f>
        <v>(ii)</v>
      </c>
      <c r="B1160" s="723" t="str">
        <f>B287</f>
        <v>First Floor</v>
      </c>
      <c r="E1160" s="986" t="str">
        <f>E1151</f>
        <v>Each Cum</v>
      </c>
      <c r="G1160" s="987"/>
      <c r="J1160" s="726"/>
      <c r="K1160" s="726"/>
    </row>
    <row r="1161" spans="1:27">
      <c r="B1161" s="722" t="s">
        <v>722</v>
      </c>
      <c r="G1161" s="987"/>
      <c r="J1161" s="726"/>
      <c r="K1161" s="726">
        <f>K1159</f>
        <v>54.89</v>
      </c>
    </row>
    <row r="1162" spans="1:27">
      <c r="B1162" s="722" t="s">
        <v>741</v>
      </c>
      <c r="G1162" s="987"/>
      <c r="J1162" s="726"/>
      <c r="K1162" s="726">
        <f>ROUND(K1155/9.3*1*5%,2)</f>
        <v>2.69</v>
      </c>
    </row>
    <row r="1163" spans="1:27">
      <c r="G1163" s="987"/>
      <c r="J1163" s="836" t="s">
        <v>718</v>
      </c>
      <c r="K1163" s="1091">
        <f>SUM(K1161:K1162)</f>
        <v>57.58</v>
      </c>
      <c r="L1163" s="723" t="s">
        <v>730</v>
      </c>
      <c r="Y1163" s="722" t="s">
        <v>92</v>
      </c>
      <c r="Z1163" s="726">
        <f>Z1159+K1162</f>
        <v>56.51</v>
      </c>
      <c r="AA1163" s="726">
        <f>K1163-Z1163</f>
        <v>1.0700000000000003</v>
      </c>
    </row>
    <row r="1164" spans="1:27" ht="50.25" customHeight="1">
      <c r="A1164" s="836">
        <f>A288</f>
        <v>17</v>
      </c>
      <c r="B1164" s="3386" t="str">
        <f>B288</f>
        <v>Dismantling &amp; Removing flat and pan tile roofing (Tiles only)  including stacking the useful materials for reuse and removing the debris within 50m lead  with  cost  of  all labour etc. complete.</v>
      </c>
      <c r="C1164" s="3386"/>
      <c r="D1164" s="3386"/>
      <c r="E1164" s="1086" t="str">
        <f>G342</f>
        <v>Each Cum</v>
      </c>
      <c r="F1164" s="1086"/>
      <c r="G1164" s="1081"/>
      <c r="H1164" s="1081"/>
      <c r="J1164" s="1081"/>
      <c r="K1164" s="1081"/>
      <c r="L1164" s="1087"/>
      <c r="M1164" s="1081"/>
      <c r="N1164" s="1081"/>
      <c r="O1164" s="1081"/>
      <c r="P1164" s="1081"/>
    </row>
    <row r="1165" spans="1:27">
      <c r="A1165" s="836" t="str">
        <f>A289</f>
        <v>(i)</v>
      </c>
      <c r="B1165" s="723" t="str">
        <f>B289</f>
        <v>Ground Floor</v>
      </c>
      <c r="C1165" s="1088"/>
      <c r="D1165" s="1088"/>
      <c r="E1165" s="986" t="str">
        <f>E1164</f>
        <v>Each Cum</v>
      </c>
      <c r="G1165" s="1081"/>
      <c r="H1165" s="1081"/>
      <c r="J1165" s="1081"/>
      <c r="K1165" s="1081"/>
      <c r="L1165" s="1087"/>
      <c r="M1165" s="1081"/>
      <c r="N1165" s="1081"/>
      <c r="O1165" s="1081"/>
      <c r="P1165" s="1081"/>
    </row>
    <row r="1166" spans="1:27">
      <c r="B1166" s="723" t="s">
        <v>727</v>
      </c>
      <c r="E1166" s="1090"/>
      <c r="F1166" s="1090"/>
      <c r="H1166" s="1081"/>
      <c r="L1166" s="1087"/>
      <c r="M1166" s="1081"/>
      <c r="N1166" s="1081"/>
      <c r="O1166" s="1081"/>
      <c r="P1166" s="1081"/>
    </row>
    <row r="1167" spans="1:27">
      <c r="B1167" s="723" t="s">
        <v>715</v>
      </c>
      <c r="C1167" s="723"/>
      <c r="E1167" s="1090"/>
      <c r="F1167" s="1090"/>
      <c r="H1167" s="1081"/>
      <c r="L1167" s="1087"/>
      <c r="M1167" s="1081"/>
      <c r="N1167" s="1081"/>
      <c r="O1167" s="1081"/>
      <c r="P1167" s="1081"/>
    </row>
    <row r="1168" spans="1:27">
      <c r="B1168" s="722" t="s">
        <v>717</v>
      </c>
      <c r="E1168" s="1090"/>
      <c r="F1168" s="1090"/>
      <c r="G1168" s="987">
        <v>5.25</v>
      </c>
      <c r="H1168" s="1081" t="s">
        <v>262</v>
      </c>
      <c r="I1168" s="724" t="s">
        <v>38</v>
      </c>
      <c r="J1168" s="726">
        <f>L129</f>
        <v>182</v>
      </c>
      <c r="K1168" s="726">
        <f>ROUND(G1168*J1168,2)</f>
        <v>955.5</v>
      </c>
      <c r="L1168" s="1087"/>
      <c r="M1168" s="1081"/>
      <c r="N1168" s="1081"/>
      <c r="O1168" s="1081"/>
      <c r="P1168" s="1081"/>
    </row>
    <row r="1169" spans="1:27">
      <c r="E1169" s="1090"/>
      <c r="F1169" s="1090"/>
      <c r="G1169" s="987"/>
      <c r="H1169" s="1081"/>
      <c r="J1169" s="836" t="s">
        <v>718</v>
      </c>
      <c r="K1169" s="1091">
        <f>K1168</f>
        <v>955.5</v>
      </c>
      <c r="L1169" s="1087"/>
      <c r="M1169" s="1081"/>
      <c r="N1169" s="1081"/>
      <c r="O1169" s="1081"/>
      <c r="P1169" s="1081"/>
    </row>
    <row r="1170" spans="1:27">
      <c r="B1170" s="723"/>
      <c r="E1170" s="1090"/>
      <c r="F1170" s="1090"/>
      <c r="H1170" s="1081"/>
      <c r="K1170" s="1091"/>
      <c r="L1170" s="1087"/>
      <c r="M1170" s="1081"/>
      <c r="N1170" s="1081"/>
      <c r="O1170" s="1081"/>
      <c r="P1170" s="1081"/>
    </row>
    <row r="1171" spans="1:27">
      <c r="B1171" s="723" t="s">
        <v>719</v>
      </c>
      <c r="E1171" s="1090"/>
      <c r="F1171" s="1090"/>
      <c r="H1171" s="1081"/>
      <c r="K1171" s="1091">
        <f>ROUND(K1169*2%,2)</f>
        <v>19.11</v>
      </c>
      <c r="L1171" s="1087"/>
      <c r="M1171" s="1081"/>
      <c r="N1171" s="1081"/>
      <c r="O1171" s="1081"/>
      <c r="P1171" s="1081"/>
    </row>
    <row r="1172" spans="1:27">
      <c r="B1172" s="722" t="s">
        <v>728</v>
      </c>
      <c r="E1172" s="1090"/>
      <c r="F1172" s="1090"/>
      <c r="H1172" s="1081"/>
      <c r="K1172" s="1091">
        <f>SUM(K1169:K1171)</f>
        <v>974.61</v>
      </c>
      <c r="L1172" s="1087"/>
      <c r="M1172" s="1081"/>
      <c r="N1172" s="1081"/>
      <c r="O1172" s="1081"/>
      <c r="P1172" s="1081"/>
    </row>
    <row r="1173" spans="1:27">
      <c r="B1173" s="722" t="s">
        <v>729</v>
      </c>
      <c r="E1173" s="1090"/>
      <c r="F1173" s="1090"/>
      <c r="H1173" s="1081"/>
      <c r="J1173" s="836" t="s">
        <v>718</v>
      </c>
      <c r="K1173" s="1091">
        <f>ROUND(K1172/9.3,2)</f>
        <v>104.8</v>
      </c>
      <c r="L1173" s="723" t="s">
        <v>730</v>
      </c>
      <c r="M1173" s="1081"/>
      <c r="N1173" s="1081"/>
      <c r="O1173" s="1081"/>
      <c r="P1173" s="1081"/>
      <c r="Y1173" s="722" t="s">
        <v>92</v>
      </c>
      <c r="Z1173" s="726">
        <f>ROUND(K1169/9.3,2)</f>
        <v>102.74</v>
      </c>
      <c r="AA1173" s="726">
        <f>K1173-Z1173</f>
        <v>2.0600000000000023</v>
      </c>
    </row>
    <row r="1174" spans="1:27">
      <c r="A1174" s="836" t="str">
        <f>A290</f>
        <v>(ii)</v>
      </c>
      <c r="B1174" s="723" t="str">
        <f>B290</f>
        <v>First Floor</v>
      </c>
      <c r="E1174" s="986" t="str">
        <f>E1165</f>
        <v>Each Cum</v>
      </c>
      <c r="G1174" s="987"/>
      <c r="J1174" s="726"/>
      <c r="K1174" s="726"/>
    </row>
    <row r="1175" spans="1:27">
      <c r="B1175" s="722" t="s">
        <v>722</v>
      </c>
      <c r="G1175" s="987"/>
      <c r="J1175" s="726"/>
      <c r="K1175" s="726">
        <f>K1173</f>
        <v>104.8</v>
      </c>
    </row>
    <row r="1176" spans="1:27">
      <c r="B1176" s="722" t="s">
        <v>741</v>
      </c>
      <c r="G1176" s="987"/>
      <c r="J1176" s="726"/>
      <c r="K1176" s="726">
        <f>ROUND(K1169/9.3*1*5%,2)</f>
        <v>5.14</v>
      </c>
    </row>
    <row r="1177" spans="1:27">
      <c r="G1177" s="987"/>
      <c r="J1177" s="836" t="s">
        <v>718</v>
      </c>
      <c r="K1177" s="1091">
        <f>SUM(K1175:K1176)</f>
        <v>109.94</v>
      </c>
      <c r="L1177" s="723" t="s">
        <v>730</v>
      </c>
      <c r="Y1177" s="722" t="s">
        <v>92</v>
      </c>
      <c r="Z1177" s="726">
        <f>Z1173+K1176</f>
        <v>107.88</v>
      </c>
      <c r="AA1177" s="726">
        <f>K1177-Z1177</f>
        <v>2.0600000000000023</v>
      </c>
    </row>
    <row r="1178" spans="1:27" ht="62.25" customHeight="1">
      <c r="A1178" s="836">
        <f>A291</f>
        <v>18</v>
      </c>
      <c r="B1178" s="3386" t="str">
        <f>B291</f>
        <v>Dismantling reepers under tiled roof ( Pan, flat or nuria tiles after careful removal of nails including stacking the useful materials for reuse and removing the debris within 50m lead  with  cost  of  all labour etc. complete.</v>
      </c>
      <c r="C1178" s="3386"/>
      <c r="D1178" s="3386"/>
      <c r="E1178" s="1086" t="str">
        <f>G359</f>
        <v>Each Cum</v>
      </c>
      <c r="F1178" s="1086"/>
      <c r="G1178" s="1081"/>
      <c r="H1178" s="1081"/>
      <c r="J1178" s="1081"/>
      <c r="K1178" s="1081"/>
      <c r="L1178" s="1087"/>
      <c r="M1178" s="1081"/>
      <c r="N1178" s="1081"/>
      <c r="O1178" s="1081"/>
      <c r="P1178" s="1081"/>
    </row>
    <row r="1179" spans="1:27">
      <c r="A1179" s="836" t="str">
        <f>A292</f>
        <v>(i)</v>
      </c>
      <c r="B1179" s="723" t="str">
        <f>B292</f>
        <v>Ground Floor</v>
      </c>
      <c r="C1179" s="1088"/>
      <c r="D1179" s="1088"/>
      <c r="E1179" s="986" t="str">
        <f>E1178</f>
        <v>Each Cum</v>
      </c>
      <c r="G1179" s="1081"/>
      <c r="H1179" s="1081"/>
      <c r="J1179" s="1081"/>
      <c r="K1179" s="1081"/>
      <c r="L1179" s="1087"/>
      <c r="M1179" s="1081"/>
      <c r="N1179" s="1081"/>
      <c r="O1179" s="1081"/>
      <c r="P1179" s="1081"/>
    </row>
    <row r="1180" spans="1:27">
      <c r="B1180" s="722" t="s">
        <v>727</v>
      </c>
      <c r="E1180" s="1090"/>
      <c r="F1180" s="1090"/>
      <c r="H1180" s="1081"/>
      <c r="L1180" s="1087"/>
      <c r="M1180" s="1081"/>
      <c r="N1180" s="1081"/>
      <c r="O1180" s="1081"/>
      <c r="P1180" s="1081"/>
    </row>
    <row r="1181" spans="1:27">
      <c r="B1181" s="723" t="s">
        <v>715</v>
      </c>
      <c r="C1181" s="723"/>
      <c r="E1181" s="1090"/>
      <c r="F1181" s="1090"/>
      <c r="H1181" s="1081"/>
      <c r="L1181" s="1087"/>
      <c r="M1181" s="1081"/>
      <c r="N1181" s="1081"/>
      <c r="O1181" s="1081"/>
      <c r="P1181" s="1081"/>
    </row>
    <row r="1182" spans="1:27">
      <c r="B1182" s="722" t="s">
        <v>717</v>
      </c>
      <c r="E1182" s="1090"/>
      <c r="F1182" s="1090"/>
      <c r="G1182" s="987">
        <v>1.25</v>
      </c>
      <c r="H1182" s="1081" t="s">
        <v>262</v>
      </c>
      <c r="I1182" s="724" t="s">
        <v>38</v>
      </c>
      <c r="J1182" s="726">
        <f>L129</f>
        <v>182</v>
      </c>
      <c r="K1182" s="726">
        <f>ROUND(G1182*J1182,2)</f>
        <v>227.5</v>
      </c>
      <c r="L1182" s="1087"/>
      <c r="M1182" s="1081"/>
      <c r="N1182" s="1081"/>
      <c r="O1182" s="1081"/>
      <c r="P1182" s="1081"/>
    </row>
    <row r="1183" spans="1:27">
      <c r="B1183" s="722" t="s">
        <v>742</v>
      </c>
      <c r="E1183" s="1090"/>
      <c r="F1183" s="1090"/>
      <c r="G1183" s="987">
        <v>0.33</v>
      </c>
      <c r="H1183" s="1081" t="s">
        <v>262</v>
      </c>
      <c r="I1183" s="724" t="s">
        <v>38</v>
      </c>
      <c r="J1183" s="726">
        <f>L131</f>
        <v>264.3</v>
      </c>
      <c r="K1183" s="726">
        <f>ROUND(G1183*J1183,2)</f>
        <v>87.22</v>
      </c>
      <c r="L1183" s="1087"/>
      <c r="M1183" s="1081"/>
      <c r="N1183" s="1081"/>
      <c r="O1183" s="1081"/>
      <c r="P1183" s="1081"/>
    </row>
    <row r="1184" spans="1:27">
      <c r="E1184" s="1090"/>
      <c r="F1184" s="1090"/>
      <c r="G1184" s="987"/>
      <c r="H1184" s="1081"/>
      <c r="J1184" s="836" t="s">
        <v>718</v>
      </c>
      <c r="K1184" s="1091">
        <f>SUM(K1182:K1183)</f>
        <v>314.72000000000003</v>
      </c>
      <c r="L1184" s="1087"/>
      <c r="M1184" s="1081"/>
      <c r="N1184" s="1081"/>
      <c r="O1184" s="1081"/>
      <c r="P1184" s="1081"/>
    </row>
    <row r="1185" spans="1:27">
      <c r="B1185" s="723"/>
      <c r="E1185" s="1090"/>
      <c r="F1185" s="1090"/>
      <c r="H1185" s="1081"/>
      <c r="K1185" s="1091"/>
      <c r="L1185" s="1087"/>
      <c r="M1185" s="1081"/>
      <c r="N1185" s="1081"/>
      <c r="O1185" s="1081"/>
      <c r="P1185" s="1081"/>
    </row>
    <row r="1186" spans="1:27">
      <c r="B1186" s="723" t="s">
        <v>719</v>
      </c>
      <c r="E1186" s="1090"/>
      <c r="F1186" s="1090"/>
      <c r="H1186" s="1081"/>
      <c r="K1186" s="1091">
        <f>K1184*2%</f>
        <v>6.2944000000000004</v>
      </c>
      <c r="L1186" s="1087"/>
      <c r="M1186" s="1081"/>
      <c r="N1186" s="1081"/>
      <c r="O1186" s="1081"/>
      <c r="P1186" s="1081"/>
    </row>
    <row r="1187" spans="1:27">
      <c r="B1187" s="722" t="s">
        <v>728</v>
      </c>
      <c r="E1187" s="1090"/>
      <c r="F1187" s="1090"/>
      <c r="H1187" s="1081"/>
      <c r="K1187" s="1091">
        <f>SUM(K1184:K1186)</f>
        <v>321.01440000000002</v>
      </c>
      <c r="L1187" s="1087"/>
      <c r="M1187" s="1081"/>
      <c r="N1187" s="1081"/>
      <c r="O1187" s="1081"/>
      <c r="P1187" s="1081"/>
    </row>
    <row r="1188" spans="1:27">
      <c r="B1188" s="722" t="s">
        <v>729</v>
      </c>
      <c r="E1188" s="1090"/>
      <c r="F1188" s="1090"/>
      <c r="H1188" s="1081"/>
      <c r="J1188" s="836" t="s">
        <v>718</v>
      </c>
      <c r="K1188" s="1091">
        <f>ROUND(K1187/9.3,2)</f>
        <v>34.520000000000003</v>
      </c>
      <c r="L1188" s="723" t="s">
        <v>730</v>
      </c>
      <c r="M1188" s="1081"/>
      <c r="N1188" s="1081"/>
      <c r="O1188" s="1081"/>
      <c r="P1188" s="1081"/>
      <c r="Y1188" s="722" t="s">
        <v>92</v>
      </c>
      <c r="Z1188" s="726">
        <f>ROUND(K1184/9.3,2)</f>
        <v>33.840000000000003</v>
      </c>
      <c r="AA1188" s="726">
        <f>K1188-Z1188</f>
        <v>0.67999999999999972</v>
      </c>
    </row>
    <row r="1189" spans="1:27">
      <c r="A1189" s="836" t="str">
        <f>A293</f>
        <v>(ii)</v>
      </c>
      <c r="B1189" s="723" t="str">
        <f>B293</f>
        <v>First Floor</v>
      </c>
      <c r="E1189" s="986" t="str">
        <f>E1179</f>
        <v>Each Cum</v>
      </c>
      <c r="G1189" s="987"/>
      <c r="J1189" s="726"/>
      <c r="K1189" s="726"/>
    </row>
    <row r="1190" spans="1:27">
      <c r="B1190" s="722" t="s">
        <v>722</v>
      </c>
      <c r="G1190" s="987"/>
      <c r="J1190" s="726"/>
      <c r="K1190" s="726">
        <f>K1188</f>
        <v>34.520000000000003</v>
      </c>
    </row>
    <row r="1191" spans="1:27">
      <c r="B1191" s="722" t="s">
        <v>741</v>
      </c>
      <c r="G1191" s="987"/>
      <c r="J1191" s="726"/>
      <c r="K1191" s="726">
        <f>ROUND(K1184/9.3*1*5%,2)</f>
        <v>1.69</v>
      </c>
    </row>
    <row r="1192" spans="1:27">
      <c r="G1192" s="987"/>
      <c r="J1192" s="836" t="s">
        <v>718</v>
      </c>
      <c r="K1192" s="1091">
        <f>SUM(K1190:K1191)</f>
        <v>36.21</v>
      </c>
      <c r="L1192" s="723" t="s">
        <v>730</v>
      </c>
      <c r="Y1192" s="722" t="s">
        <v>92</v>
      </c>
      <c r="Z1192" s="726">
        <f>Z1188+K1191</f>
        <v>35.53</v>
      </c>
      <c r="AA1192" s="726">
        <f>K1192-Z1192</f>
        <v>0.67999999999999972</v>
      </c>
    </row>
    <row r="1193" spans="1:27" ht="50.25" customHeight="1">
      <c r="A1193" s="836">
        <f>A294</f>
        <v>19</v>
      </c>
      <c r="B1193" s="3386" t="str">
        <f>B294</f>
        <v>Dismantling and removing old tarfelt from roof slab, cleaning the surface,lowering and removing the debris within 50m lead etc complete as per specification and direction of Engineer-in-Charge.</v>
      </c>
      <c r="C1193" s="3386"/>
      <c r="D1193" s="3386"/>
      <c r="E1193" s="1086" t="str">
        <f>G384</f>
        <v>Each Sqm</v>
      </c>
      <c r="F1193" s="1086"/>
      <c r="G1193" s="1081"/>
      <c r="H1193" s="1081"/>
      <c r="J1193" s="1081"/>
      <c r="K1193" s="1081"/>
      <c r="L1193" s="1087"/>
      <c r="M1193" s="1081"/>
      <c r="N1193" s="1081"/>
      <c r="O1193" s="1081"/>
      <c r="P1193" s="1081"/>
    </row>
    <row r="1194" spans="1:27">
      <c r="A1194" s="836" t="str">
        <f>A340</f>
        <v>(i)</v>
      </c>
      <c r="B1194" s="723" t="str">
        <f>B295</f>
        <v>Ground Floor</v>
      </c>
      <c r="C1194" s="1088"/>
      <c r="D1194" s="1088"/>
      <c r="E1194" s="986" t="str">
        <f>E1193</f>
        <v>Each Sqm</v>
      </c>
      <c r="G1194" s="1081"/>
      <c r="H1194" s="1081"/>
      <c r="J1194" s="1081"/>
      <c r="K1194" s="1081"/>
      <c r="L1194" s="1087"/>
      <c r="M1194" s="1081"/>
      <c r="N1194" s="1081"/>
      <c r="O1194" s="1081"/>
      <c r="P1194" s="1081"/>
    </row>
    <row r="1195" spans="1:27">
      <c r="B1195" s="722" t="s">
        <v>727</v>
      </c>
      <c r="E1195" s="1090"/>
      <c r="F1195" s="1090"/>
      <c r="H1195" s="1081"/>
      <c r="L1195" s="1087"/>
      <c r="M1195" s="1081"/>
      <c r="N1195" s="1081"/>
      <c r="O1195" s="1081"/>
      <c r="P1195" s="1081"/>
    </row>
    <row r="1196" spans="1:27">
      <c r="B1196" s="723" t="s">
        <v>715</v>
      </c>
      <c r="C1196" s="723"/>
      <c r="E1196" s="1090"/>
      <c r="F1196" s="1090"/>
      <c r="H1196" s="1081"/>
      <c r="L1196" s="1087"/>
      <c r="M1196" s="1081"/>
      <c r="N1196" s="1081"/>
      <c r="O1196" s="1081"/>
      <c r="P1196" s="1081"/>
    </row>
    <row r="1197" spans="1:27">
      <c r="B1197" s="722" t="s">
        <v>717</v>
      </c>
      <c r="E1197" s="1090"/>
      <c r="F1197" s="1090"/>
      <c r="G1197" s="987">
        <v>1.75</v>
      </c>
      <c r="H1197" s="1081" t="s">
        <v>262</v>
      </c>
      <c r="I1197" s="724" t="s">
        <v>38</v>
      </c>
      <c r="J1197" s="726">
        <f>L129</f>
        <v>182</v>
      </c>
      <c r="K1197" s="726">
        <f>ROUND(G1197*J1197,2)</f>
        <v>318.5</v>
      </c>
      <c r="L1197" s="1087"/>
      <c r="M1197" s="1081"/>
      <c r="N1197" s="1081"/>
      <c r="O1197" s="1081"/>
      <c r="P1197" s="1081"/>
    </row>
    <row r="1198" spans="1:27">
      <c r="E1198" s="1090"/>
      <c r="F1198" s="1090"/>
      <c r="G1198" s="987"/>
      <c r="H1198" s="1081"/>
      <c r="J1198" s="836" t="s">
        <v>718</v>
      </c>
      <c r="K1198" s="1091">
        <f>SUM(K1197:K1197)</f>
        <v>318.5</v>
      </c>
      <c r="L1198" s="1087"/>
      <c r="M1198" s="1081"/>
      <c r="N1198" s="1081"/>
      <c r="O1198" s="1081"/>
      <c r="P1198" s="1081"/>
    </row>
    <row r="1199" spans="1:27">
      <c r="B1199" s="723"/>
      <c r="E1199" s="1090"/>
      <c r="F1199" s="1090"/>
      <c r="H1199" s="1081"/>
      <c r="K1199" s="1091"/>
      <c r="L1199" s="1087"/>
      <c r="M1199" s="1081"/>
      <c r="N1199" s="1081"/>
      <c r="O1199" s="1081"/>
      <c r="P1199" s="1081"/>
    </row>
    <row r="1200" spans="1:27">
      <c r="B1200" s="723" t="s">
        <v>719</v>
      </c>
      <c r="E1200" s="1090"/>
      <c r="F1200" s="1090"/>
      <c r="H1200" s="1081"/>
      <c r="K1200" s="1091">
        <f>K1198*2%</f>
        <v>6.37</v>
      </c>
      <c r="L1200" s="1087"/>
      <c r="M1200" s="1081"/>
      <c r="N1200" s="1081"/>
      <c r="O1200" s="1081"/>
      <c r="P1200" s="1081"/>
    </row>
    <row r="1201" spans="1:27">
      <c r="B1201" s="722" t="s">
        <v>728</v>
      </c>
      <c r="E1201" s="1090"/>
      <c r="F1201" s="1090"/>
      <c r="H1201" s="1081"/>
      <c r="K1201" s="1091">
        <f>SUM(K1198:K1200)</f>
        <v>324.87</v>
      </c>
      <c r="L1201" s="1087"/>
      <c r="M1201" s="1081"/>
      <c r="N1201" s="1081"/>
      <c r="O1201" s="1081"/>
      <c r="P1201" s="1081"/>
    </row>
    <row r="1202" spans="1:27">
      <c r="B1202" s="722" t="s">
        <v>729</v>
      </c>
      <c r="E1202" s="1090"/>
      <c r="F1202" s="1090"/>
      <c r="H1202" s="1081"/>
      <c r="J1202" s="836" t="s">
        <v>718</v>
      </c>
      <c r="K1202" s="1091">
        <f>ROUND(K1201/9.3,2)</f>
        <v>34.93</v>
      </c>
      <c r="L1202" s="723" t="s">
        <v>730</v>
      </c>
      <c r="M1202" s="1081"/>
      <c r="N1202" s="1081"/>
      <c r="O1202" s="1081"/>
      <c r="P1202" s="1081"/>
      <c r="Y1202" s="722" t="s">
        <v>92</v>
      </c>
      <c r="Z1202" s="726">
        <f>ROUND(K1198/9.3,2)</f>
        <v>34.25</v>
      </c>
      <c r="AA1202" s="726">
        <f>K1202-Z1202</f>
        <v>0.67999999999999972</v>
      </c>
    </row>
    <row r="1203" spans="1:27">
      <c r="A1203" s="836" t="str">
        <f>A341</f>
        <v>(ii)</v>
      </c>
      <c r="B1203" s="723" t="str">
        <f>B296</f>
        <v>First Floor</v>
      </c>
      <c r="E1203" s="986" t="str">
        <f>E1194</f>
        <v>Each Sqm</v>
      </c>
      <c r="G1203" s="987"/>
      <c r="J1203" s="726"/>
      <c r="K1203" s="726"/>
    </row>
    <row r="1204" spans="1:27">
      <c r="B1204" s="722" t="s">
        <v>722</v>
      </c>
      <c r="G1204" s="987"/>
      <c r="J1204" s="726"/>
      <c r="K1204" s="726">
        <f>K1202</f>
        <v>34.93</v>
      </c>
    </row>
    <row r="1205" spans="1:27">
      <c r="B1205" s="722" t="s">
        <v>741</v>
      </c>
      <c r="G1205" s="987"/>
      <c r="J1205" s="726"/>
      <c r="K1205" s="726">
        <f>ROUND(K1198/9.3*1*5%,2)</f>
        <v>1.71</v>
      </c>
    </row>
    <row r="1206" spans="1:27">
      <c r="G1206" s="987"/>
      <c r="J1206" s="836" t="s">
        <v>718</v>
      </c>
      <c r="K1206" s="1091">
        <f>SUM(K1204:K1205)</f>
        <v>36.64</v>
      </c>
      <c r="L1206" s="723" t="s">
        <v>730</v>
      </c>
      <c r="Y1206" s="722" t="s">
        <v>92</v>
      </c>
      <c r="Z1206" s="726">
        <f>Z1202+K1205</f>
        <v>35.96</v>
      </c>
      <c r="AA1206" s="726">
        <f>K1206-Z1206</f>
        <v>0.67999999999999972</v>
      </c>
    </row>
    <row r="1207" spans="1:27" ht="71.25" customHeight="1">
      <c r="A1207" s="836">
        <f>A297</f>
        <v>20</v>
      </c>
      <c r="B1207" s="3386" t="str">
        <f>B297</f>
        <v>Scarping Plaster in Lime or Cement Mortar from Brick/ Stone Masonry including T&amp;P, sorting the dismantled material, disposal of unserviceable material and stacking the serviceable material with all lifts and lead of 1000 metres etc complete as per specification and direction of Engineer-in-Charge.</v>
      </c>
      <c r="C1207" s="3386"/>
      <c r="D1207" s="3386"/>
      <c r="E1207" s="1086" t="str">
        <f>G297</f>
        <v>Each Sqm</v>
      </c>
      <c r="F1207" s="1086"/>
      <c r="G1207" s="1081"/>
      <c r="H1207" s="1081"/>
      <c r="J1207" s="1081"/>
      <c r="K1207" s="1081"/>
      <c r="L1207" s="1087"/>
      <c r="M1207" s="1081"/>
      <c r="N1207" s="1081"/>
      <c r="O1207" s="1081"/>
      <c r="P1207" s="1081"/>
    </row>
    <row r="1208" spans="1:27">
      <c r="A1208" s="836" t="str">
        <f>A298</f>
        <v>(i)</v>
      </c>
      <c r="B1208" s="723" t="str">
        <f>B298</f>
        <v>Ground Floor</v>
      </c>
      <c r="C1208" s="1088"/>
      <c r="D1208" s="1088"/>
      <c r="E1208" s="986" t="str">
        <f>E1207</f>
        <v>Each Sqm</v>
      </c>
      <c r="G1208" s="1081"/>
      <c r="H1208" s="1081"/>
      <c r="J1208" s="1081"/>
      <c r="K1208" s="1081"/>
      <c r="L1208" s="1087"/>
      <c r="M1208" s="1081"/>
      <c r="N1208" s="1081"/>
      <c r="O1208" s="1081"/>
      <c r="P1208" s="1081"/>
    </row>
    <row r="1209" spans="1:27">
      <c r="B1209" s="722" t="s">
        <v>743</v>
      </c>
      <c r="E1209" s="1090"/>
      <c r="F1209" s="1090"/>
      <c r="H1209" s="1081"/>
      <c r="L1209" s="1087"/>
      <c r="M1209" s="1081"/>
      <c r="N1209" s="1081"/>
      <c r="O1209" s="1081"/>
      <c r="P1209" s="1081"/>
    </row>
    <row r="1210" spans="1:27">
      <c r="B1210" s="723" t="s">
        <v>715</v>
      </c>
      <c r="C1210" s="723"/>
      <c r="E1210" s="1090"/>
      <c r="F1210" s="1090"/>
      <c r="H1210" s="1081"/>
      <c r="L1210" s="1087"/>
      <c r="M1210" s="1081"/>
      <c r="N1210" s="1081"/>
      <c r="O1210" s="1081"/>
      <c r="P1210" s="1081"/>
    </row>
    <row r="1211" spans="1:27">
      <c r="B1211" s="722" t="s">
        <v>744</v>
      </c>
      <c r="E1211" s="1090"/>
      <c r="F1211" s="1090"/>
      <c r="G1211" s="987">
        <v>0.16</v>
      </c>
      <c r="H1211" s="1081" t="s">
        <v>262</v>
      </c>
      <c r="I1211" s="724" t="s">
        <v>38</v>
      </c>
      <c r="J1211" s="726">
        <f>L130</f>
        <v>244.3</v>
      </c>
      <c r="K1211" s="726">
        <f>ROUND(G1211*J1211,2)</f>
        <v>39.090000000000003</v>
      </c>
      <c r="L1211" s="1087"/>
      <c r="M1211" s="1081"/>
      <c r="N1211" s="1081"/>
      <c r="O1211" s="1081"/>
      <c r="P1211" s="1081"/>
    </row>
    <row r="1212" spans="1:27">
      <c r="B1212" s="722" t="s">
        <v>717</v>
      </c>
      <c r="E1212" s="1090"/>
      <c r="F1212" s="1090"/>
      <c r="G1212" s="987">
        <v>4</v>
      </c>
      <c r="H1212" s="1081" t="s">
        <v>262</v>
      </c>
      <c r="I1212" s="724" t="s">
        <v>38</v>
      </c>
      <c r="J1212" s="726">
        <f>L129</f>
        <v>182</v>
      </c>
      <c r="K1212" s="726">
        <f>ROUND(G1212*J1212,2)</f>
        <v>728</v>
      </c>
      <c r="L1212" s="1087"/>
      <c r="M1212" s="1081"/>
      <c r="N1212" s="1081"/>
      <c r="O1212" s="1081"/>
      <c r="P1212" s="1081"/>
    </row>
    <row r="1213" spans="1:27">
      <c r="E1213" s="1090"/>
      <c r="F1213" s="1090"/>
      <c r="G1213" s="987"/>
      <c r="H1213" s="1081"/>
      <c r="J1213" s="836" t="s">
        <v>718</v>
      </c>
      <c r="K1213" s="1091">
        <f>SUM(K1211:K1212)</f>
        <v>767.09</v>
      </c>
      <c r="L1213" s="1087"/>
      <c r="M1213" s="1081"/>
      <c r="N1213" s="1081"/>
      <c r="O1213" s="1081"/>
      <c r="P1213" s="1081"/>
    </row>
    <row r="1214" spans="1:27">
      <c r="B1214" s="723"/>
      <c r="E1214" s="1090"/>
      <c r="F1214" s="1090"/>
      <c r="H1214" s="1081"/>
      <c r="K1214" s="1091"/>
      <c r="L1214" s="1087"/>
      <c r="M1214" s="1081"/>
      <c r="N1214" s="1081"/>
      <c r="O1214" s="1081"/>
      <c r="P1214" s="1081"/>
    </row>
    <row r="1215" spans="1:27">
      <c r="B1215" s="723" t="s">
        <v>745</v>
      </c>
      <c r="E1215" s="1090"/>
      <c r="F1215" s="1090"/>
      <c r="H1215" s="1081"/>
      <c r="K1215" s="1091"/>
      <c r="L1215" s="1087"/>
      <c r="M1215" s="1081"/>
      <c r="N1215" s="1081"/>
      <c r="O1215" s="1081"/>
      <c r="P1215" s="1081"/>
    </row>
    <row r="1216" spans="1:27">
      <c r="B1216" s="723" t="s">
        <v>746</v>
      </c>
      <c r="E1216" s="1090"/>
      <c r="F1216" s="1090"/>
      <c r="G1216" s="987">
        <v>0.32</v>
      </c>
      <c r="H1216" s="1081" t="s">
        <v>747</v>
      </c>
      <c r="I1216" s="724" t="s">
        <v>747</v>
      </c>
      <c r="J1216" s="726">
        <f>G208</f>
        <v>357.55</v>
      </c>
      <c r="K1216" s="726">
        <f>ROUND(G1216*J1216,2)</f>
        <v>114.42</v>
      </c>
      <c r="L1216" s="1087"/>
      <c r="M1216" s="1081"/>
      <c r="N1216" s="1081"/>
      <c r="O1216" s="1081"/>
      <c r="P1216" s="1081"/>
    </row>
    <row r="1217" spans="1:27">
      <c r="B1217" s="723"/>
      <c r="E1217" s="1090"/>
      <c r="F1217" s="1090"/>
      <c r="H1217" s="1081"/>
      <c r="K1217" s="1091"/>
      <c r="L1217" s="1087"/>
      <c r="M1217" s="1081"/>
      <c r="N1217" s="1081"/>
      <c r="O1217" s="1081"/>
      <c r="P1217" s="1081"/>
    </row>
    <row r="1218" spans="1:27">
      <c r="B1218" s="722" t="s">
        <v>748</v>
      </c>
      <c r="E1218" s="1090"/>
      <c r="F1218" s="1090"/>
      <c r="H1218" s="1081"/>
      <c r="K1218" s="1091">
        <f>SUM(K1213:K1216)</f>
        <v>881.51</v>
      </c>
      <c r="L1218" s="1087"/>
      <c r="M1218" s="1081"/>
      <c r="N1218" s="1081"/>
      <c r="O1218" s="1081"/>
      <c r="P1218" s="1081"/>
    </row>
    <row r="1219" spans="1:27">
      <c r="B1219" s="722" t="s">
        <v>749</v>
      </c>
      <c r="E1219" s="1090"/>
      <c r="F1219" s="1090"/>
      <c r="H1219" s="1081"/>
      <c r="J1219" s="836" t="s">
        <v>718</v>
      </c>
      <c r="K1219" s="1091">
        <f>ROUND(K1218/100,2)</f>
        <v>8.82</v>
      </c>
      <c r="L1219" s="723" t="s">
        <v>730</v>
      </c>
      <c r="M1219" s="1081"/>
      <c r="N1219" s="1081"/>
      <c r="O1219" s="1081"/>
      <c r="P1219" s="1081"/>
      <c r="Y1219" s="722" t="s">
        <v>92</v>
      </c>
      <c r="Z1219" s="726">
        <f>ROUND(K1213/9.3,2)</f>
        <v>82.48</v>
      </c>
      <c r="AA1219" s="726">
        <f>K1219-Z1219</f>
        <v>-73.66</v>
      </c>
    </row>
    <row r="1220" spans="1:27">
      <c r="A1220" s="836" t="str">
        <f>A299</f>
        <v>(ii)</v>
      </c>
      <c r="B1220" s="723" t="str">
        <f>B299</f>
        <v>First Floor</v>
      </c>
      <c r="E1220" s="986" t="str">
        <f>E1208</f>
        <v>Each Sqm</v>
      </c>
      <c r="G1220" s="987"/>
      <c r="J1220" s="726"/>
      <c r="K1220" s="726"/>
    </row>
    <row r="1221" spans="1:27">
      <c r="B1221" s="722" t="s">
        <v>722</v>
      </c>
      <c r="G1221" s="987"/>
      <c r="J1221" s="726"/>
      <c r="K1221" s="726">
        <f>K1219</f>
        <v>8.82</v>
      </c>
    </row>
    <row r="1222" spans="1:27">
      <c r="B1222" s="722" t="s">
        <v>741</v>
      </c>
      <c r="G1222" s="987"/>
      <c r="J1222" s="726"/>
      <c r="K1222" s="726">
        <f>ROUND(K1213/100*1*5%,2)</f>
        <v>0.38</v>
      </c>
    </row>
    <row r="1223" spans="1:27">
      <c r="G1223" s="987"/>
      <c r="J1223" s="836" t="s">
        <v>718</v>
      </c>
      <c r="K1223" s="1091">
        <f>SUM(K1221:K1222)</f>
        <v>9.2000000000000011</v>
      </c>
      <c r="L1223" s="723" t="s">
        <v>730</v>
      </c>
      <c r="Y1223" s="722" t="s">
        <v>92</v>
      </c>
      <c r="Z1223" s="726">
        <f>Z1219+K1222</f>
        <v>82.86</v>
      </c>
      <c r="AA1223" s="726">
        <f>K1223-Z1223</f>
        <v>-73.66</v>
      </c>
    </row>
    <row r="1224" spans="1:27" ht="76.5" customHeight="1">
      <c r="A1224" s="836">
        <f>A300</f>
        <v>21</v>
      </c>
      <c r="B1224" s="3386" t="str">
        <f>B300</f>
        <v>Scraping of Bricks dismantled from Brick Work in lime or cement mortar including T&amp;P, sorting the dismantled material, disposal of unserviceable material and stacking the serviceable material with all lifts and lead of 1000 metres etc complete as per specification and direction of Engineer-in-Charge.</v>
      </c>
      <c r="C1224" s="3386"/>
      <c r="D1224" s="3386"/>
      <c r="E1224" s="1086" t="str">
        <f>G300</f>
        <v>Each Sqm</v>
      </c>
      <c r="F1224" s="1086"/>
      <c r="G1224" s="1081"/>
      <c r="H1224" s="1081"/>
      <c r="J1224" s="1081"/>
      <c r="K1224" s="1081"/>
      <c r="L1224" s="1087"/>
      <c r="M1224" s="1081"/>
      <c r="N1224" s="1081"/>
      <c r="O1224" s="1081"/>
      <c r="P1224" s="1081"/>
    </row>
    <row r="1225" spans="1:27">
      <c r="A1225" s="836" t="str">
        <f>A301</f>
        <v>(i)</v>
      </c>
      <c r="B1225" s="723" t="str">
        <f>B301</f>
        <v>Ground Floor</v>
      </c>
      <c r="C1225" s="1088"/>
      <c r="D1225" s="1088"/>
      <c r="E1225" s="986" t="str">
        <f>E1224</f>
        <v>Each Sqm</v>
      </c>
      <c r="G1225" s="1081"/>
      <c r="H1225" s="1081"/>
      <c r="J1225" s="1081"/>
      <c r="K1225" s="1081"/>
      <c r="L1225" s="1087"/>
      <c r="M1225" s="1081"/>
      <c r="N1225" s="1081"/>
      <c r="O1225" s="1081"/>
      <c r="P1225" s="1081"/>
    </row>
    <row r="1226" spans="1:27">
      <c r="B1226" s="722" t="s">
        <v>750</v>
      </c>
      <c r="E1226" s="1090"/>
      <c r="F1226" s="1090"/>
      <c r="H1226" s="1081"/>
      <c r="L1226" s="1087"/>
      <c r="M1226" s="1081"/>
      <c r="N1226" s="1081"/>
      <c r="O1226" s="1081"/>
      <c r="P1226" s="1081"/>
    </row>
    <row r="1227" spans="1:27">
      <c r="B1227" s="723" t="s">
        <v>715</v>
      </c>
      <c r="C1227" s="723"/>
      <c r="E1227" s="1090"/>
      <c r="F1227" s="1090"/>
      <c r="H1227" s="1081"/>
      <c r="L1227" s="1087"/>
      <c r="M1227" s="1081"/>
      <c r="N1227" s="1081"/>
      <c r="O1227" s="1081"/>
      <c r="P1227" s="1081"/>
    </row>
    <row r="1228" spans="1:27">
      <c r="B1228" s="722" t="s">
        <v>744</v>
      </c>
      <c r="E1228" s="1090"/>
      <c r="F1228" s="1090"/>
      <c r="G1228" s="987">
        <v>0.14000000000000001</v>
      </c>
      <c r="H1228" s="1081" t="s">
        <v>262</v>
      </c>
      <c r="I1228" s="724" t="s">
        <v>38</v>
      </c>
      <c r="J1228" s="726">
        <f>L130</f>
        <v>244.3</v>
      </c>
      <c r="K1228" s="726">
        <f>ROUND(G1228*J1228,2)</f>
        <v>34.200000000000003</v>
      </c>
      <c r="L1228" s="1087"/>
      <c r="M1228" s="1081"/>
      <c r="N1228" s="1081"/>
      <c r="O1228" s="1081"/>
      <c r="P1228" s="1081"/>
    </row>
    <row r="1229" spans="1:27">
      <c r="B1229" s="722" t="s">
        <v>717</v>
      </c>
      <c r="E1229" s="1090"/>
      <c r="F1229" s="1090"/>
      <c r="G1229" s="987">
        <v>3.5</v>
      </c>
      <c r="H1229" s="1081" t="s">
        <v>262</v>
      </c>
      <c r="I1229" s="724" t="s">
        <v>38</v>
      </c>
      <c r="J1229" s="726">
        <f>L129</f>
        <v>182</v>
      </c>
      <c r="K1229" s="726">
        <f>ROUND(G1229*J1229,2)</f>
        <v>637</v>
      </c>
      <c r="L1229" s="1087"/>
      <c r="M1229" s="1081"/>
      <c r="N1229" s="1081"/>
      <c r="O1229" s="1081"/>
      <c r="P1229" s="1081"/>
    </row>
    <row r="1230" spans="1:27">
      <c r="E1230" s="1090"/>
      <c r="F1230" s="1090"/>
      <c r="G1230" s="987"/>
      <c r="H1230" s="1081"/>
      <c r="J1230" s="836" t="s">
        <v>718</v>
      </c>
      <c r="K1230" s="1091">
        <f>SUM(K1228:K1229)</f>
        <v>671.2</v>
      </c>
      <c r="L1230" s="1087"/>
      <c r="M1230" s="1081"/>
      <c r="N1230" s="1081"/>
      <c r="O1230" s="1081"/>
      <c r="P1230" s="1081"/>
    </row>
    <row r="1231" spans="1:27">
      <c r="B1231" s="723"/>
      <c r="E1231" s="1090"/>
      <c r="F1231" s="1090"/>
      <c r="H1231" s="1081"/>
      <c r="K1231" s="1091"/>
      <c r="L1231" s="1087"/>
      <c r="M1231" s="1081"/>
      <c r="N1231" s="1081"/>
      <c r="O1231" s="1081"/>
      <c r="P1231" s="1081"/>
    </row>
    <row r="1232" spans="1:27">
      <c r="B1232" s="722" t="s">
        <v>751</v>
      </c>
      <c r="E1232" s="1090"/>
      <c r="F1232" s="1090"/>
      <c r="H1232" s="1081"/>
      <c r="K1232" s="1091">
        <f>SUM(K1230:K1230)</f>
        <v>671.2</v>
      </c>
      <c r="L1232" s="1087"/>
      <c r="M1232" s="1081"/>
      <c r="N1232" s="1081"/>
      <c r="O1232" s="1081"/>
      <c r="P1232" s="1081"/>
    </row>
    <row r="1233" spans="1:27">
      <c r="B1233" s="722" t="s">
        <v>752</v>
      </c>
      <c r="E1233" s="1090"/>
      <c r="F1233" s="1090"/>
      <c r="H1233" s="1081"/>
      <c r="J1233" s="836" t="s">
        <v>718</v>
      </c>
      <c r="K1233" s="1091">
        <f>ROUND(K1232/1000,2)</f>
        <v>0.67</v>
      </c>
      <c r="L1233" s="723" t="s">
        <v>753</v>
      </c>
      <c r="M1233" s="1081"/>
      <c r="N1233" s="1081"/>
      <c r="O1233" s="1081"/>
      <c r="P1233" s="1081"/>
      <c r="Y1233" s="722" t="s">
        <v>92</v>
      </c>
      <c r="Z1233" s="726">
        <f>ROUND(K1230/9.3,2)</f>
        <v>72.17</v>
      </c>
      <c r="AA1233" s="726">
        <f>K1233-Z1233</f>
        <v>-71.5</v>
      </c>
    </row>
    <row r="1234" spans="1:27">
      <c r="A1234" s="836" t="str">
        <f>A302</f>
        <v>(ii)</v>
      </c>
      <c r="B1234" s="723" t="str">
        <f>B302</f>
        <v>First Floor</v>
      </c>
      <c r="E1234" s="986" t="str">
        <f>E1225</f>
        <v>Each Sqm</v>
      </c>
      <c r="G1234" s="987"/>
      <c r="J1234" s="726"/>
      <c r="K1234" s="726"/>
    </row>
    <row r="1235" spans="1:27">
      <c r="B1235" s="722" t="s">
        <v>722</v>
      </c>
      <c r="G1235" s="987"/>
      <c r="J1235" s="726"/>
      <c r="K1235" s="726">
        <f>K1233</f>
        <v>0.67</v>
      </c>
    </row>
    <row r="1236" spans="1:27">
      <c r="B1236" s="722" t="s">
        <v>741</v>
      </c>
      <c r="G1236" s="987"/>
      <c r="J1236" s="726"/>
      <c r="K1236" s="726">
        <f>ROUND(K1230/1000*1*5%,2)</f>
        <v>0.03</v>
      </c>
    </row>
    <row r="1237" spans="1:27">
      <c r="G1237" s="987"/>
      <c r="J1237" s="836" t="s">
        <v>718</v>
      </c>
      <c r="K1237" s="1091">
        <f>SUM(K1235:K1236)</f>
        <v>0.70000000000000007</v>
      </c>
      <c r="L1237" s="723" t="s">
        <v>753</v>
      </c>
      <c r="Y1237" s="722" t="s">
        <v>92</v>
      </c>
      <c r="Z1237" s="726">
        <f>Z1233+K1236</f>
        <v>72.2</v>
      </c>
      <c r="AA1237" s="726">
        <f>K1237-Z1237</f>
        <v>-71.5</v>
      </c>
    </row>
    <row r="1238" spans="1:27" ht="94.5" customHeight="1">
      <c r="A1238" s="836">
        <f>A303</f>
        <v>22</v>
      </c>
      <c r="B1238" s="3386" t="str">
        <f>B303</f>
        <v>Dismantling Wood Work wrought framed and fixed in frames of trusses upto a height of 5 m above plinth level including T&amp;P and scaffolding wherever necessary, sorting the dismantled material, disposal of unserviceable material and stacking the serviceable material with all lifts and lead of 1000 metres etc complete as per specification and direction of Engineer-in-Charge.</v>
      </c>
      <c r="C1238" s="3386"/>
      <c r="D1238" s="3386"/>
      <c r="E1238" s="1086" t="str">
        <f>G334</f>
        <v>Each Cum</v>
      </c>
      <c r="F1238" s="1086"/>
      <c r="G1238" s="1081"/>
      <c r="H1238" s="1081"/>
      <c r="J1238" s="1081"/>
      <c r="K1238" s="1081"/>
      <c r="L1238" s="1087"/>
      <c r="M1238" s="1081"/>
      <c r="N1238" s="1081"/>
      <c r="O1238" s="1081"/>
      <c r="P1238" s="1081"/>
    </row>
    <row r="1239" spans="1:27">
      <c r="A1239" s="836" t="str">
        <f>A304</f>
        <v>(i)</v>
      </c>
      <c r="B1239" s="723" t="str">
        <f>B304</f>
        <v>Ground Floor</v>
      </c>
      <c r="C1239" s="1088"/>
      <c r="D1239" s="1088"/>
      <c r="E1239" s="986" t="str">
        <f>E1238</f>
        <v>Each Cum</v>
      </c>
      <c r="G1239" s="1081"/>
      <c r="H1239" s="1081"/>
      <c r="J1239" s="1081"/>
      <c r="K1239" s="1081"/>
      <c r="L1239" s="1087"/>
      <c r="M1239" s="1081"/>
      <c r="N1239" s="1081"/>
      <c r="O1239" s="1081"/>
      <c r="P1239" s="1081"/>
    </row>
    <row r="1240" spans="1:27">
      <c r="B1240" s="722" t="s">
        <v>754</v>
      </c>
      <c r="E1240" s="1090"/>
      <c r="F1240" s="1090"/>
      <c r="H1240" s="1081"/>
      <c r="L1240" s="1087"/>
      <c r="M1240" s="1081"/>
      <c r="N1240" s="1081"/>
      <c r="O1240" s="1081"/>
      <c r="P1240" s="1081"/>
    </row>
    <row r="1241" spans="1:27">
      <c r="B1241" s="723" t="s">
        <v>715</v>
      </c>
      <c r="C1241" s="723"/>
      <c r="E1241" s="1090"/>
      <c r="F1241" s="1090"/>
      <c r="H1241" s="1081"/>
      <c r="L1241" s="1087"/>
      <c r="M1241" s="1081"/>
      <c r="N1241" s="1081"/>
      <c r="O1241" s="1081"/>
      <c r="P1241" s="1081"/>
    </row>
    <row r="1242" spans="1:27">
      <c r="B1242" s="722" t="s">
        <v>744</v>
      </c>
      <c r="E1242" s="1090"/>
      <c r="F1242" s="1090"/>
      <c r="G1242" s="987">
        <v>0.06</v>
      </c>
      <c r="H1242" s="1081" t="s">
        <v>262</v>
      </c>
      <c r="I1242" s="724" t="s">
        <v>38</v>
      </c>
      <c r="J1242" s="726">
        <f>L130</f>
        <v>244.3</v>
      </c>
      <c r="K1242" s="726">
        <f>ROUND(G1242*J1242,2)</f>
        <v>14.66</v>
      </c>
      <c r="L1242" s="1087"/>
      <c r="M1242" s="1081"/>
      <c r="N1242" s="1081"/>
      <c r="O1242" s="1081"/>
      <c r="P1242" s="1081"/>
    </row>
    <row r="1243" spans="1:27">
      <c r="B1243" s="722" t="s">
        <v>733</v>
      </c>
      <c r="E1243" s="1090"/>
      <c r="F1243" s="1090"/>
      <c r="G1243" s="987">
        <v>0.5</v>
      </c>
      <c r="H1243" s="1081" t="s">
        <v>262</v>
      </c>
      <c r="I1243" s="724" t="s">
        <v>38</v>
      </c>
      <c r="J1243" s="726">
        <f>L131</f>
        <v>264.3</v>
      </c>
      <c r="K1243" s="726">
        <f>ROUND(G1243*J1243,2)</f>
        <v>132.15</v>
      </c>
      <c r="L1243" s="1087"/>
      <c r="M1243" s="1081"/>
      <c r="N1243" s="1081"/>
      <c r="O1243" s="1081"/>
      <c r="P1243" s="1081"/>
    </row>
    <row r="1244" spans="1:27">
      <c r="B1244" s="722" t="s">
        <v>717</v>
      </c>
      <c r="E1244" s="1090"/>
      <c r="F1244" s="1090"/>
      <c r="G1244" s="987">
        <v>1</v>
      </c>
      <c r="H1244" s="1081" t="s">
        <v>262</v>
      </c>
      <c r="I1244" s="724" t="s">
        <v>38</v>
      </c>
      <c r="J1244" s="726">
        <f>L129</f>
        <v>182</v>
      </c>
      <c r="K1244" s="726">
        <f>ROUND(G1244*J1244,2)</f>
        <v>182</v>
      </c>
      <c r="L1244" s="1087"/>
      <c r="M1244" s="1081"/>
      <c r="N1244" s="1081"/>
      <c r="O1244" s="1081"/>
      <c r="P1244" s="1081"/>
    </row>
    <row r="1245" spans="1:27">
      <c r="E1245" s="1090"/>
      <c r="F1245" s="1090"/>
      <c r="G1245" s="987"/>
      <c r="H1245" s="1081"/>
      <c r="J1245" s="836" t="s">
        <v>718</v>
      </c>
      <c r="K1245" s="1091">
        <f>SUM(K1242:K1244)</f>
        <v>328.81</v>
      </c>
      <c r="L1245" s="1087"/>
      <c r="M1245" s="1081"/>
      <c r="N1245" s="1081"/>
      <c r="O1245" s="1081"/>
      <c r="P1245" s="1081"/>
    </row>
    <row r="1246" spans="1:27">
      <c r="B1246" s="723"/>
      <c r="E1246" s="1090"/>
      <c r="F1246" s="1090"/>
      <c r="H1246" s="1081"/>
      <c r="K1246" s="1091"/>
      <c r="L1246" s="1087"/>
      <c r="M1246" s="1081"/>
      <c r="N1246" s="1081"/>
      <c r="O1246" s="1081"/>
      <c r="P1246" s="1081"/>
    </row>
    <row r="1247" spans="1:27">
      <c r="B1247" s="723" t="s">
        <v>745</v>
      </c>
      <c r="E1247" s="1090"/>
      <c r="F1247" s="1090"/>
      <c r="H1247" s="1081"/>
      <c r="K1247" s="1091"/>
      <c r="L1247" s="1087"/>
      <c r="M1247" s="1081"/>
      <c r="N1247" s="1081"/>
      <c r="O1247" s="1081"/>
      <c r="P1247" s="1081"/>
    </row>
    <row r="1248" spans="1:27">
      <c r="B1248" s="723" t="s">
        <v>746</v>
      </c>
      <c r="E1248" s="1090"/>
      <c r="F1248" s="1090"/>
      <c r="G1248" s="987">
        <v>0.27</v>
      </c>
      <c r="H1248" s="1081" t="s">
        <v>747</v>
      </c>
      <c r="I1248" s="724" t="s">
        <v>747</v>
      </c>
      <c r="J1248" s="726">
        <f>G208</f>
        <v>357.55</v>
      </c>
      <c r="K1248" s="726">
        <f>ROUND(G1248*J1248,2)</f>
        <v>96.54</v>
      </c>
      <c r="L1248" s="1087"/>
      <c r="M1248" s="1081"/>
      <c r="N1248" s="1081"/>
      <c r="O1248" s="1081"/>
      <c r="P1248" s="1081"/>
    </row>
    <row r="1249" spans="1:27">
      <c r="B1249" s="723"/>
      <c r="E1249" s="1090"/>
      <c r="F1249" s="1090"/>
      <c r="H1249" s="1081"/>
      <c r="K1249" s="1091"/>
      <c r="L1249" s="1087"/>
      <c r="M1249" s="1081"/>
      <c r="N1249" s="1081"/>
      <c r="O1249" s="1081"/>
      <c r="P1249" s="1081"/>
    </row>
    <row r="1250" spans="1:27">
      <c r="B1250" s="722" t="s">
        <v>755</v>
      </c>
      <c r="E1250" s="1090"/>
      <c r="F1250" s="1090"/>
      <c r="H1250" s="1081"/>
      <c r="K1250" s="1091">
        <f>SUM(K1245:K1248)</f>
        <v>425.35</v>
      </c>
      <c r="L1250" s="1087"/>
      <c r="M1250" s="1081"/>
      <c r="N1250" s="1081"/>
      <c r="O1250" s="1081"/>
      <c r="P1250" s="1081"/>
    </row>
    <row r="1251" spans="1:27">
      <c r="B1251" s="722" t="s">
        <v>756</v>
      </c>
      <c r="E1251" s="1090"/>
      <c r="F1251" s="1090"/>
      <c r="H1251" s="1081"/>
      <c r="J1251" s="836" t="s">
        <v>718</v>
      </c>
      <c r="K1251" s="1091">
        <f>ROUND(K1250/1.25,2)</f>
        <v>340.28</v>
      </c>
      <c r="L1251" s="723" t="s">
        <v>730</v>
      </c>
      <c r="M1251" s="1081"/>
      <c r="N1251" s="1081"/>
      <c r="O1251" s="1081"/>
      <c r="P1251" s="1081"/>
      <c r="Y1251" s="722" t="s">
        <v>92</v>
      </c>
      <c r="Z1251" s="726">
        <f>ROUND(K1245/9.3,2)</f>
        <v>35.36</v>
      </c>
      <c r="AA1251" s="726">
        <f>K1251-Z1251</f>
        <v>304.91999999999996</v>
      </c>
    </row>
    <row r="1252" spans="1:27">
      <c r="A1252" s="836" t="str">
        <f>A305</f>
        <v>(ii)</v>
      </c>
      <c r="B1252" s="723" t="str">
        <f>B305</f>
        <v>First Floor</v>
      </c>
      <c r="E1252" s="986" t="str">
        <f>E1239</f>
        <v>Each Cum</v>
      </c>
      <c r="G1252" s="987"/>
      <c r="J1252" s="726"/>
      <c r="K1252" s="726"/>
    </row>
    <row r="1253" spans="1:27">
      <c r="B1253" s="722" t="s">
        <v>722</v>
      </c>
      <c r="G1253" s="987"/>
      <c r="J1253" s="726"/>
      <c r="K1253" s="726">
        <f>K1251</f>
        <v>340.28</v>
      </c>
    </row>
    <row r="1254" spans="1:27">
      <c r="B1254" s="722" t="s">
        <v>741</v>
      </c>
      <c r="G1254" s="987"/>
      <c r="J1254" s="726"/>
      <c r="K1254" s="726">
        <f>ROUND(K1245/1.25*1*5%,2)</f>
        <v>13.15</v>
      </c>
    </row>
    <row r="1255" spans="1:27">
      <c r="G1255" s="987"/>
      <c r="J1255" s="836" t="s">
        <v>718</v>
      </c>
      <c r="K1255" s="1091">
        <f>SUM(K1253:K1254)</f>
        <v>353.42999999999995</v>
      </c>
      <c r="L1255" s="723" t="s">
        <v>730</v>
      </c>
      <c r="Y1255" s="722" t="s">
        <v>92</v>
      </c>
      <c r="Z1255" s="726">
        <f>Z1251+K1254</f>
        <v>48.51</v>
      </c>
      <c r="AA1255" s="726">
        <f>K1255-Z1255</f>
        <v>304.91999999999996</v>
      </c>
    </row>
    <row r="1256" spans="1:27">
      <c r="A1256" s="3255" t="s">
        <v>757</v>
      </c>
      <c r="B1256" s="3255"/>
      <c r="C1256" s="3255"/>
      <c r="D1256" s="3255"/>
      <c r="G1256" s="987"/>
      <c r="J1256" s="1091"/>
      <c r="K1256" s="1091"/>
    </row>
    <row r="1257" spans="1:27">
      <c r="A1257" s="836" t="s">
        <v>468</v>
      </c>
      <c r="B1257" s="1087" t="s">
        <v>758</v>
      </c>
      <c r="C1257" s="721"/>
      <c r="D1257" s="721"/>
      <c r="G1257" s="987"/>
      <c r="J1257" s="1091"/>
      <c r="K1257" s="1091"/>
      <c r="Q1257" s="836" t="s">
        <v>468</v>
      </c>
      <c r="R1257" s="1087" t="s">
        <v>758</v>
      </c>
    </row>
    <row r="1258" spans="1:27" ht="39" customHeight="1">
      <c r="A1258" s="836">
        <f>A307</f>
        <v>23</v>
      </c>
      <c r="B1258" s="3386" t="str">
        <f>B307</f>
        <v>E/W in excavation of foundation trenches in hard soil including dressing of sides and levelling the bed complete as directed by the Engineer in charge.</v>
      </c>
      <c r="C1258" s="3386"/>
      <c r="D1258" s="3386"/>
      <c r="E1258" s="1086" t="str">
        <f>G307</f>
        <v>Each Cum</v>
      </c>
      <c r="F1258" s="1086"/>
      <c r="Q1258" s="723"/>
    </row>
    <row r="1259" spans="1:27">
      <c r="B1259" s="723" t="s">
        <v>759</v>
      </c>
    </row>
    <row r="1260" spans="1:27" s="723" customFormat="1">
      <c r="A1260" s="836"/>
      <c r="B1260" s="723" t="s">
        <v>715</v>
      </c>
      <c r="E1260" s="986"/>
      <c r="F1260" s="986"/>
      <c r="I1260" s="836"/>
    </row>
    <row r="1261" spans="1:27">
      <c r="B1261" s="722" t="s">
        <v>717</v>
      </c>
      <c r="G1261" s="987">
        <v>43</v>
      </c>
      <c r="H1261" s="722" t="s">
        <v>262</v>
      </c>
      <c r="I1261" s="724" t="s">
        <v>38</v>
      </c>
      <c r="J1261" s="726">
        <f>L129</f>
        <v>182</v>
      </c>
      <c r="K1261" s="726">
        <f>ROUND(G1261*J1261,2)</f>
        <v>7826</v>
      </c>
    </row>
    <row r="1262" spans="1:27">
      <c r="G1262" s="987"/>
      <c r="J1262" s="726"/>
      <c r="K1262" s="726"/>
    </row>
    <row r="1263" spans="1:27">
      <c r="B1263" s="723" t="s">
        <v>719</v>
      </c>
      <c r="G1263" s="987"/>
      <c r="J1263" s="726"/>
      <c r="K1263" s="726">
        <f>ROUND(K1261*2%,2)</f>
        <v>156.52000000000001</v>
      </c>
    </row>
    <row r="1264" spans="1:27">
      <c r="B1264" s="723" t="s">
        <v>760</v>
      </c>
      <c r="G1264" s="987"/>
      <c r="J1264" s="1096" t="s">
        <v>718</v>
      </c>
      <c r="K1264" s="726">
        <f>SUM(K1261:K1263)</f>
        <v>7982.52</v>
      </c>
      <c r="L1264" s="723" t="s">
        <v>458</v>
      </c>
    </row>
    <row r="1265" spans="1:25">
      <c r="B1265" s="723" t="s">
        <v>761</v>
      </c>
      <c r="G1265" s="987"/>
      <c r="J1265" s="1096"/>
      <c r="K1265" s="726">
        <f>ROUND(K1264*20%,2)</f>
        <v>1596.5</v>
      </c>
    </row>
    <row r="1266" spans="1:25">
      <c r="B1266" s="723" t="s">
        <v>762</v>
      </c>
      <c r="G1266" s="987"/>
      <c r="J1266" s="1096" t="s">
        <v>718</v>
      </c>
      <c r="K1266" s="726">
        <f>SUM(K1264:K1265)</f>
        <v>9579.02</v>
      </c>
    </row>
    <row r="1267" spans="1:25">
      <c r="B1267" s="723" t="s">
        <v>763</v>
      </c>
      <c r="G1267" s="987"/>
      <c r="J1267" s="827" t="s">
        <v>718</v>
      </c>
      <c r="K1267" s="1091">
        <f>K1266/100</f>
        <v>95.790199999999999</v>
      </c>
      <c r="L1267" s="723" t="s">
        <v>721</v>
      </c>
      <c r="Y1267" s="722" t="s">
        <v>49</v>
      </c>
    </row>
    <row r="1268" spans="1:25" ht="39" customHeight="1">
      <c r="A1268" s="836">
        <f>A308</f>
        <v>24</v>
      </c>
      <c r="B1268" s="3386" t="str">
        <f>B308</f>
        <v>E/W in excavation of foundation trenches in hard soil including dressing of sides and levelling the bed complete as directed by the Engineer in charge.</v>
      </c>
      <c r="C1268" s="3386"/>
      <c r="D1268" s="3386"/>
      <c r="E1268" s="1086" t="str">
        <f>G331</f>
        <v>Each Cum</v>
      </c>
      <c r="F1268" s="1086"/>
      <c r="Q1268" s="830" t="s">
        <v>411</v>
      </c>
    </row>
    <row r="1269" spans="1:25">
      <c r="B1269" s="723" t="s">
        <v>764</v>
      </c>
    </row>
    <row r="1270" spans="1:25" s="723" customFormat="1">
      <c r="A1270" s="836"/>
      <c r="B1270" s="723" t="s">
        <v>715</v>
      </c>
      <c r="E1270" s="986"/>
      <c r="F1270" s="986"/>
      <c r="I1270" s="836"/>
    </row>
    <row r="1271" spans="1:25">
      <c r="B1271" s="722" t="s">
        <v>717</v>
      </c>
      <c r="G1271" s="987">
        <v>70.67</v>
      </c>
      <c r="H1271" s="722" t="s">
        <v>262</v>
      </c>
      <c r="I1271" s="724" t="s">
        <v>38</v>
      </c>
      <c r="J1271" s="726">
        <f>L129</f>
        <v>182</v>
      </c>
      <c r="K1271" s="726">
        <f>ROUND(G1271*J1271,2)</f>
        <v>12861.94</v>
      </c>
    </row>
    <row r="1272" spans="1:25">
      <c r="G1272" s="987"/>
      <c r="J1272" s="726"/>
      <c r="K1272" s="726"/>
    </row>
    <row r="1273" spans="1:25">
      <c r="B1273" s="723" t="s">
        <v>719</v>
      </c>
      <c r="G1273" s="987"/>
      <c r="J1273" s="726"/>
      <c r="K1273" s="726">
        <f>ROUND(K1271*2%,2)</f>
        <v>257.24</v>
      </c>
    </row>
    <row r="1274" spans="1:25">
      <c r="B1274" s="723" t="s">
        <v>760</v>
      </c>
      <c r="G1274" s="987"/>
      <c r="J1274" s="1096" t="s">
        <v>718</v>
      </c>
      <c r="K1274" s="726">
        <f>SUM(K1271:K1273)</f>
        <v>13119.18</v>
      </c>
      <c r="L1274" s="723" t="s">
        <v>458</v>
      </c>
    </row>
    <row r="1275" spans="1:25">
      <c r="G1275" s="987"/>
      <c r="J1275" s="1096"/>
      <c r="K1275" s="1091">
        <f>ROUND(K1274/100,2)</f>
        <v>131.19</v>
      </c>
      <c r="L1275" s="723" t="s">
        <v>721</v>
      </c>
      <c r="Q1275" s="723" t="s">
        <v>765</v>
      </c>
    </row>
    <row r="1276" spans="1:25">
      <c r="B1276" s="723" t="s">
        <v>761</v>
      </c>
      <c r="G1276" s="987"/>
      <c r="J1276" s="1096"/>
      <c r="K1276" s="726">
        <f>ROUND(K1275*20%,2)</f>
        <v>26.24</v>
      </c>
    </row>
    <row r="1277" spans="1:25">
      <c r="B1277" s="723" t="s">
        <v>766</v>
      </c>
      <c r="G1277" s="987"/>
      <c r="J1277" s="1096" t="s">
        <v>718</v>
      </c>
      <c r="K1277" s="726">
        <f>SUM(K1275:K1276)</f>
        <v>157.43</v>
      </c>
    </row>
    <row r="1278" spans="1:25">
      <c r="B1278" s="723" t="s">
        <v>763</v>
      </c>
      <c r="G1278" s="987"/>
      <c r="J1278" s="827" t="s">
        <v>718</v>
      </c>
      <c r="K1278" s="1091">
        <f>K1277</f>
        <v>157.43</v>
      </c>
      <c r="L1278" s="723" t="s">
        <v>721</v>
      </c>
      <c r="Q1278" s="723" t="s">
        <v>767</v>
      </c>
      <c r="Y1278" s="722" t="s">
        <v>49</v>
      </c>
    </row>
    <row r="1279" spans="1:25" ht="41.25" customHeight="1">
      <c r="A1279" s="836">
        <f>A311</f>
        <v>25</v>
      </c>
      <c r="B1279" s="3386" t="str">
        <f>B311</f>
        <v>E/W in excavation of foundation trenches in ordinary soil including dressing of sides and levelling the bed complete as directed by the Engineer in charge.</v>
      </c>
      <c r="C1279" s="3386"/>
      <c r="D1279" s="3386"/>
      <c r="E1279" s="1086" t="str">
        <f>G342</f>
        <v>Each Cum</v>
      </c>
      <c r="F1279" s="1086"/>
    </row>
    <row r="1280" spans="1:25">
      <c r="B1280" s="723" t="s">
        <v>764</v>
      </c>
    </row>
    <row r="1281" spans="1:17" s="723" customFormat="1">
      <c r="A1281" s="836"/>
      <c r="B1281" s="723" t="s">
        <v>715</v>
      </c>
      <c r="E1281" s="986"/>
      <c r="F1281" s="986"/>
      <c r="I1281" s="836"/>
    </row>
    <row r="1282" spans="1:17">
      <c r="B1282" s="722" t="s">
        <v>717</v>
      </c>
      <c r="G1282" s="987">
        <v>32</v>
      </c>
      <c r="H1282" s="722" t="s">
        <v>262</v>
      </c>
      <c r="I1282" s="724" t="s">
        <v>38</v>
      </c>
      <c r="J1282" s="726">
        <f>L129</f>
        <v>182</v>
      </c>
      <c r="K1282" s="726">
        <f>ROUND(G1282*J1282,2)</f>
        <v>5824</v>
      </c>
    </row>
    <row r="1283" spans="1:17">
      <c r="G1283" s="987"/>
      <c r="J1283" s="726"/>
      <c r="K1283" s="726"/>
    </row>
    <row r="1284" spans="1:17">
      <c r="B1284" s="723" t="s">
        <v>719</v>
      </c>
      <c r="G1284" s="987"/>
      <c r="J1284" s="726"/>
      <c r="K1284" s="726">
        <f>ROUND(K1282*2%,2)</f>
        <v>116.48</v>
      </c>
    </row>
    <row r="1285" spans="1:17">
      <c r="B1285" s="722" t="s">
        <v>760</v>
      </c>
      <c r="G1285" s="987"/>
      <c r="J1285" s="1096" t="s">
        <v>718</v>
      </c>
      <c r="K1285" s="726">
        <f>SUM(K1282:K1284)</f>
        <v>5940.48</v>
      </c>
      <c r="L1285" s="723" t="s">
        <v>458</v>
      </c>
    </row>
    <row r="1286" spans="1:17">
      <c r="B1286" s="723" t="s">
        <v>761</v>
      </c>
      <c r="G1286" s="987"/>
      <c r="J1286" s="1096"/>
      <c r="K1286" s="726">
        <f>ROUND(K1285*20%,2)</f>
        <v>1188.0999999999999</v>
      </c>
    </row>
    <row r="1287" spans="1:17">
      <c r="B1287" s="723" t="s">
        <v>762</v>
      </c>
      <c r="G1287" s="987"/>
      <c r="J1287" s="1096" t="s">
        <v>718</v>
      </c>
      <c r="K1287" s="726">
        <f>SUM(K1285:K1286)</f>
        <v>7128.58</v>
      </c>
    </row>
    <row r="1288" spans="1:17">
      <c r="B1288" s="723" t="s">
        <v>763</v>
      </c>
      <c r="G1288" s="987"/>
      <c r="J1288" s="827" t="s">
        <v>718</v>
      </c>
      <c r="K1288" s="1091">
        <f>K1287/100</f>
        <v>71.285799999999995</v>
      </c>
      <c r="L1288" s="723" t="s">
        <v>721</v>
      </c>
    </row>
    <row r="1289" spans="1:17" ht="38.25" customHeight="1">
      <c r="A1289" s="836">
        <f>A312</f>
        <v>26</v>
      </c>
      <c r="B1289" s="3386" t="str">
        <f>B312</f>
        <v>E/W in excavation of foundation trenches in ordinary soil including dressing of sides and levelling the bed complete as directed by the Engineer in charge.</v>
      </c>
      <c r="C1289" s="3386"/>
      <c r="D1289" s="3386"/>
      <c r="E1289" s="1086" t="str">
        <f>G356</f>
        <v>Each Cum</v>
      </c>
      <c r="F1289" s="1086"/>
      <c r="Q1289" s="723" t="s">
        <v>411</v>
      </c>
    </row>
    <row r="1290" spans="1:17">
      <c r="B1290" s="723" t="s">
        <v>764</v>
      </c>
    </row>
    <row r="1291" spans="1:17" s="723" customFormat="1">
      <c r="A1291" s="836"/>
      <c r="B1291" s="723" t="s">
        <v>715</v>
      </c>
      <c r="E1291" s="986"/>
      <c r="F1291" s="986"/>
      <c r="I1291" s="836"/>
    </row>
    <row r="1292" spans="1:17">
      <c r="B1292" s="722" t="s">
        <v>717</v>
      </c>
      <c r="G1292" s="987">
        <v>56.88</v>
      </c>
      <c r="H1292" s="722" t="s">
        <v>262</v>
      </c>
      <c r="I1292" s="724" t="s">
        <v>38</v>
      </c>
      <c r="J1292" s="726">
        <f>L129</f>
        <v>182</v>
      </c>
      <c r="K1292" s="726">
        <f>ROUND(G1292*J1292,2)</f>
        <v>10352.16</v>
      </c>
    </row>
    <row r="1293" spans="1:17">
      <c r="G1293" s="987"/>
      <c r="J1293" s="726"/>
      <c r="K1293" s="726"/>
    </row>
    <row r="1294" spans="1:17">
      <c r="B1294" s="723" t="s">
        <v>719</v>
      </c>
      <c r="G1294" s="987"/>
      <c r="J1294" s="726"/>
      <c r="K1294" s="726">
        <f>ROUND(K1292*2%,2)</f>
        <v>207.04</v>
      </c>
    </row>
    <row r="1295" spans="1:17">
      <c r="B1295" s="722" t="s">
        <v>760</v>
      </c>
      <c r="G1295" s="987"/>
      <c r="J1295" s="1096" t="s">
        <v>718</v>
      </c>
      <c r="K1295" s="726">
        <f>SUM(K1292:K1294)</f>
        <v>10559.2</v>
      </c>
      <c r="L1295" s="723" t="s">
        <v>458</v>
      </c>
    </row>
    <row r="1296" spans="1:17">
      <c r="G1296" s="987"/>
      <c r="J1296" s="1096"/>
      <c r="K1296" s="1091">
        <f>ROUND(K1295/100,2)</f>
        <v>105.59</v>
      </c>
      <c r="L1296" s="723" t="s">
        <v>721</v>
      </c>
      <c r="Q1296" s="723" t="s">
        <v>765</v>
      </c>
    </row>
    <row r="1297" spans="1:17">
      <c r="B1297" s="723" t="s">
        <v>761</v>
      </c>
      <c r="G1297" s="987"/>
      <c r="J1297" s="1096"/>
      <c r="K1297" s="726">
        <f>ROUND(K1296*20%,2)</f>
        <v>21.12</v>
      </c>
    </row>
    <row r="1298" spans="1:17">
      <c r="B1298" s="723" t="s">
        <v>762</v>
      </c>
      <c r="G1298" s="987"/>
      <c r="J1298" s="1096" t="s">
        <v>718</v>
      </c>
      <c r="K1298" s="726">
        <f>SUM(K1296:K1297)</f>
        <v>126.71000000000001</v>
      </c>
    </row>
    <row r="1299" spans="1:17">
      <c r="B1299" s="723" t="s">
        <v>763</v>
      </c>
      <c r="G1299" s="987"/>
      <c r="J1299" s="827" t="s">
        <v>718</v>
      </c>
      <c r="K1299" s="1091">
        <f>K1298</f>
        <v>126.71000000000001</v>
      </c>
      <c r="L1299" s="723" t="s">
        <v>721</v>
      </c>
      <c r="Q1299" s="723" t="s">
        <v>767</v>
      </c>
    </row>
    <row r="1300" spans="1:17" ht="40.5" customHeight="1">
      <c r="A1300" s="836">
        <f>A315</f>
        <v>27</v>
      </c>
      <c r="B1300" s="3386" t="str">
        <f>B315</f>
        <v>E/W in excavation of foundation trenches in slushy  soil including dressing of sides and levelling the bed complete as directed by the Engineer in charge.</v>
      </c>
      <c r="C1300" s="3386"/>
      <c r="D1300" s="3386"/>
      <c r="E1300" s="1086" t="str">
        <f>G356</f>
        <v>Each Cum</v>
      </c>
      <c r="F1300" s="1086"/>
    </row>
    <row r="1301" spans="1:17">
      <c r="B1301" s="723" t="s">
        <v>764</v>
      </c>
    </row>
    <row r="1302" spans="1:17" s="723" customFormat="1">
      <c r="A1302" s="836"/>
      <c r="B1302" s="723" t="s">
        <v>715</v>
      </c>
      <c r="E1302" s="986"/>
      <c r="F1302" s="986"/>
      <c r="I1302" s="836"/>
    </row>
    <row r="1303" spans="1:17">
      <c r="B1303" s="722" t="s">
        <v>717</v>
      </c>
      <c r="G1303" s="987">
        <v>44</v>
      </c>
      <c r="H1303" s="722" t="s">
        <v>262</v>
      </c>
      <c r="I1303" s="724" t="s">
        <v>38</v>
      </c>
      <c r="J1303" s="726">
        <f>L129</f>
        <v>182</v>
      </c>
      <c r="K1303" s="726">
        <f>ROUND(G1303*J1303,2)</f>
        <v>8008</v>
      </c>
    </row>
    <row r="1304" spans="1:17">
      <c r="G1304" s="987"/>
      <c r="J1304" s="726"/>
      <c r="K1304" s="726"/>
    </row>
    <row r="1305" spans="1:17">
      <c r="B1305" s="723" t="s">
        <v>719</v>
      </c>
      <c r="G1305" s="987"/>
      <c r="J1305" s="726"/>
      <c r="K1305" s="726">
        <f>ROUND(K1303*2%,2)</f>
        <v>160.16</v>
      </c>
    </row>
    <row r="1306" spans="1:17">
      <c r="B1306" s="722" t="s">
        <v>760</v>
      </c>
      <c r="G1306" s="987"/>
      <c r="J1306" s="1096" t="s">
        <v>718</v>
      </c>
      <c r="K1306" s="726">
        <f>SUM(K1303:K1305)</f>
        <v>8168.16</v>
      </c>
      <c r="L1306" s="723" t="s">
        <v>458</v>
      </c>
    </row>
    <row r="1307" spans="1:17">
      <c r="B1307" s="723" t="s">
        <v>761</v>
      </c>
      <c r="G1307" s="987"/>
      <c r="J1307" s="1096"/>
      <c r="K1307" s="726">
        <f>ROUND(K1306*20%,2)</f>
        <v>1633.63</v>
      </c>
    </row>
    <row r="1308" spans="1:17">
      <c r="B1308" s="723" t="s">
        <v>762</v>
      </c>
      <c r="G1308" s="987"/>
      <c r="J1308" s="1096" t="s">
        <v>718</v>
      </c>
      <c r="K1308" s="726">
        <f>SUM(K1306:K1307)</f>
        <v>9801.7900000000009</v>
      </c>
    </row>
    <row r="1309" spans="1:17">
      <c r="B1309" s="723" t="s">
        <v>763</v>
      </c>
      <c r="G1309" s="987"/>
      <c r="J1309" s="827" t="s">
        <v>718</v>
      </c>
      <c r="K1309" s="1091">
        <f>K1308/100</f>
        <v>98.017900000000012</v>
      </c>
      <c r="L1309" s="723" t="s">
        <v>721</v>
      </c>
    </row>
    <row r="1310" spans="1:17" ht="41.25" customHeight="1">
      <c r="A1310" s="836">
        <f>A316</f>
        <v>28</v>
      </c>
      <c r="B1310" s="3386" t="str">
        <f>B316</f>
        <v>E/W in excavation of foundation trenches in slushy  soil including dressing of sides and levelling the bed complete as directed by the Engineer in charge.</v>
      </c>
      <c r="C1310" s="3386"/>
      <c r="D1310" s="3386"/>
      <c r="E1310" s="1086" t="str">
        <f>G356</f>
        <v>Each Cum</v>
      </c>
      <c r="F1310" s="1086"/>
      <c r="Q1310" s="723" t="s">
        <v>411</v>
      </c>
    </row>
    <row r="1311" spans="1:17">
      <c r="B1311" s="723" t="s">
        <v>764</v>
      </c>
    </row>
    <row r="1312" spans="1:17" s="723" customFormat="1">
      <c r="A1312" s="836"/>
      <c r="B1312" s="723" t="s">
        <v>715</v>
      </c>
      <c r="E1312" s="986"/>
      <c r="F1312" s="986"/>
      <c r="I1312" s="836"/>
    </row>
    <row r="1313" spans="1:17">
      <c r="B1313" s="722" t="s">
        <v>717</v>
      </c>
      <c r="G1313" s="987">
        <f>(G1271+G1292+G1334)/3</f>
        <v>75.193333333333342</v>
      </c>
      <c r="H1313" s="722" t="s">
        <v>262</v>
      </c>
      <c r="I1313" s="724" t="s">
        <v>38</v>
      </c>
      <c r="J1313" s="726">
        <f>L129</f>
        <v>182</v>
      </c>
      <c r="K1313" s="726">
        <f>ROUND(G1313*J1313,2)</f>
        <v>13685.19</v>
      </c>
    </row>
    <row r="1314" spans="1:17">
      <c r="G1314" s="987"/>
      <c r="J1314" s="726"/>
      <c r="K1314" s="726"/>
    </row>
    <row r="1315" spans="1:17">
      <c r="B1315" s="723" t="s">
        <v>719</v>
      </c>
      <c r="G1315" s="987"/>
      <c r="J1315" s="726"/>
      <c r="K1315" s="726">
        <f>ROUND(K1313*2%,2)</f>
        <v>273.7</v>
      </c>
    </row>
    <row r="1316" spans="1:17">
      <c r="B1316" s="722" t="s">
        <v>760</v>
      </c>
      <c r="G1316" s="987"/>
      <c r="J1316" s="1096" t="s">
        <v>718</v>
      </c>
      <c r="K1316" s="726">
        <f>SUM(K1313:K1315)</f>
        <v>13958.890000000001</v>
      </c>
      <c r="L1316" s="723" t="s">
        <v>458</v>
      </c>
    </row>
    <row r="1317" spans="1:17">
      <c r="G1317" s="987"/>
      <c r="J1317" s="1096"/>
      <c r="K1317" s="1091">
        <f>ROUND(K1316/100,2)</f>
        <v>139.59</v>
      </c>
      <c r="L1317" s="723" t="s">
        <v>721</v>
      </c>
      <c r="Q1317" s="723" t="s">
        <v>765</v>
      </c>
    </row>
    <row r="1318" spans="1:17">
      <c r="B1318" s="723" t="s">
        <v>761</v>
      </c>
      <c r="G1318" s="987"/>
      <c r="J1318" s="1096"/>
      <c r="K1318" s="726">
        <f>ROUND(K1317*20%,2)</f>
        <v>27.92</v>
      </c>
    </row>
    <row r="1319" spans="1:17">
      <c r="B1319" s="723" t="s">
        <v>762</v>
      </c>
      <c r="G1319" s="987"/>
      <c r="J1319" s="1096" t="s">
        <v>718</v>
      </c>
      <c r="K1319" s="726">
        <f>SUM(K1317:K1318)</f>
        <v>167.51</v>
      </c>
    </row>
    <row r="1320" spans="1:17">
      <c r="B1320" s="723" t="s">
        <v>763</v>
      </c>
      <c r="G1320" s="987"/>
      <c r="J1320" s="827" t="s">
        <v>718</v>
      </c>
      <c r="K1320" s="1091">
        <f>K1319</f>
        <v>167.51</v>
      </c>
      <c r="L1320" s="723" t="s">
        <v>721</v>
      </c>
      <c r="Q1320" s="723" t="s">
        <v>767</v>
      </c>
    </row>
    <row r="1321" spans="1:17" ht="38.25" customHeight="1">
      <c r="A1321" s="836">
        <f>A319</f>
        <v>29</v>
      </c>
      <c r="B1321" s="3386" t="str">
        <f>B319</f>
        <v>E/W in excavation of foundation trenches in stoney earth including dressing of sides and levelling the bed complete as directed by the Engineer in charge.</v>
      </c>
      <c r="C1321" s="3386"/>
      <c r="D1321" s="3386"/>
      <c r="E1321" s="1086" t="str">
        <f>G371</f>
        <v>Each Cum</v>
      </c>
      <c r="F1321" s="1086"/>
    </row>
    <row r="1322" spans="1:17">
      <c r="B1322" s="723" t="s">
        <v>764</v>
      </c>
    </row>
    <row r="1323" spans="1:17" s="723" customFormat="1">
      <c r="A1323" s="836"/>
      <c r="B1323" s="723" t="s">
        <v>715</v>
      </c>
      <c r="E1323" s="986"/>
      <c r="F1323" s="986"/>
      <c r="I1323" s="836"/>
    </row>
    <row r="1324" spans="1:17">
      <c r="B1324" s="722" t="s">
        <v>717</v>
      </c>
      <c r="G1324" s="987">
        <v>67.06</v>
      </c>
      <c r="H1324" s="722" t="s">
        <v>262</v>
      </c>
      <c r="I1324" s="724" t="s">
        <v>38</v>
      </c>
      <c r="J1324" s="726">
        <f>L129</f>
        <v>182</v>
      </c>
      <c r="K1324" s="726">
        <f>ROUND(G1324*J1324,2)</f>
        <v>12204.92</v>
      </c>
    </row>
    <row r="1325" spans="1:17">
      <c r="G1325" s="987"/>
      <c r="J1325" s="726"/>
      <c r="K1325" s="726"/>
    </row>
    <row r="1326" spans="1:17">
      <c r="B1326" s="723" t="s">
        <v>719</v>
      </c>
      <c r="G1326" s="987"/>
      <c r="J1326" s="726"/>
      <c r="K1326" s="726">
        <f>ROUND(K1324*2%,2)</f>
        <v>244.1</v>
      </c>
    </row>
    <row r="1327" spans="1:17">
      <c r="B1327" s="722" t="s">
        <v>760</v>
      </c>
      <c r="G1327" s="987"/>
      <c r="J1327" s="1096" t="s">
        <v>718</v>
      </c>
      <c r="K1327" s="726">
        <f>SUM(K1324:K1326)</f>
        <v>12449.02</v>
      </c>
      <c r="L1327" s="723" t="s">
        <v>458</v>
      </c>
    </row>
    <row r="1328" spans="1:17">
      <c r="B1328" s="723" t="s">
        <v>761</v>
      </c>
      <c r="G1328" s="987"/>
      <c r="J1328" s="1096"/>
      <c r="K1328" s="726">
        <f>ROUND(K1327*20%,2)</f>
        <v>2489.8000000000002</v>
      </c>
    </row>
    <row r="1329" spans="1:17">
      <c r="B1329" s="723" t="s">
        <v>762</v>
      </c>
      <c r="G1329" s="987"/>
      <c r="J1329" s="1096" t="s">
        <v>718</v>
      </c>
      <c r="K1329" s="726">
        <f>SUM(K1327:K1328)</f>
        <v>14938.82</v>
      </c>
    </row>
    <row r="1330" spans="1:17">
      <c r="B1330" s="723" t="s">
        <v>763</v>
      </c>
      <c r="G1330" s="987"/>
      <c r="J1330" s="827" t="s">
        <v>718</v>
      </c>
      <c r="K1330" s="1091">
        <f>K1329/100</f>
        <v>149.38819999999998</v>
      </c>
      <c r="L1330" s="723" t="s">
        <v>721</v>
      </c>
    </row>
    <row r="1331" spans="1:17" ht="41.25" customHeight="1">
      <c r="A1331" s="836">
        <f>A320</f>
        <v>30</v>
      </c>
      <c r="B1331" s="3386" t="str">
        <f>B320</f>
        <v>E/W in excavation of foundation trenches in stoney earth including dressing of sides and levelling the bed complete as directed by the Engineer in charge.</v>
      </c>
      <c r="C1331" s="3386"/>
      <c r="D1331" s="3386"/>
      <c r="E1331" s="1086" t="str">
        <f>G381</f>
        <v>Each Cum</v>
      </c>
      <c r="F1331" s="1086"/>
      <c r="Q1331" s="723" t="s">
        <v>411</v>
      </c>
    </row>
    <row r="1332" spans="1:17">
      <c r="B1332" s="723" t="s">
        <v>764</v>
      </c>
    </row>
    <row r="1333" spans="1:17" s="723" customFormat="1">
      <c r="A1333" s="836"/>
      <c r="B1333" s="723" t="s">
        <v>715</v>
      </c>
      <c r="E1333" s="986"/>
      <c r="F1333" s="986"/>
      <c r="I1333" s="836"/>
    </row>
    <row r="1334" spans="1:17">
      <c r="B1334" s="722" t="s">
        <v>717</v>
      </c>
      <c r="G1334" s="987">
        <v>98.03</v>
      </c>
      <c r="H1334" s="722" t="s">
        <v>262</v>
      </c>
      <c r="I1334" s="724" t="s">
        <v>38</v>
      </c>
      <c r="J1334" s="726">
        <f>L129</f>
        <v>182</v>
      </c>
      <c r="K1334" s="726">
        <f>ROUND(G1334*J1334,2)</f>
        <v>17841.46</v>
      </c>
    </row>
    <row r="1335" spans="1:17">
      <c r="G1335" s="987"/>
      <c r="J1335" s="726"/>
      <c r="K1335" s="726"/>
    </row>
    <row r="1336" spans="1:17">
      <c r="B1336" s="723" t="s">
        <v>719</v>
      </c>
      <c r="G1336" s="987"/>
      <c r="J1336" s="726"/>
      <c r="K1336" s="726">
        <f>ROUND(K1334*2%,2)</f>
        <v>356.83</v>
      </c>
    </row>
    <row r="1337" spans="1:17">
      <c r="B1337" s="722" t="s">
        <v>760</v>
      </c>
      <c r="G1337" s="987"/>
      <c r="J1337" s="1096" t="s">
        <v>718</v>
      </c>
      <c r="K1337" s="726">
        <f>SUM(K1334:K1336)</f>
        <v>18198.29</v>
      </c>
      <c r="L1337" s="723" t="s">
        <v>458</v>
      </c>
    </row>
    <row r="1338" spans="1:17">
      <c r="G1338" s="987"/>
      <c r="J1338" s="1096"/>
      <c r="K1338" s="1091">
        <f>ROUND(K1337/100,2)</f>
        <v>181.98</v>
      </c>
      <c r="L1338" s="723" t="s">
        <v>721</v>
      </c>
      <c r="Q1338" s="723" t="s">
        <v>765</v>
      </c>
    </row>
    <row r="1339" spans="1:17">
      <c r="B1339" s="723" t="s">
        <v>761</v>
      </c>
      <c r="G1339" s="987"/>
      <c r="J1339" s="1096"/>
      <c r="K1339" s="726">
        <f>ROUND(K1338*20%,2)</f>
        <v>36.4</v>
      </c>
    </row>
    <row r="1340" spans="1:17">
      <c r="B1340" s="723" t="s">
        <v>762</v>
      </c>
      <c r="G1340" s="987"/>
      <c r="J1340" s="1096" t="s">
        <v>718</v>
      </c>
      <c r="K1340" s="726">
        <f>SUM(K1338:K1339)</f>
        <v>218.38</v>
      </c>
    </row>
    <row r="1341" spans="1:17">
      <c r="B1341" s="723" t="s">
        <v>763</v>
      </c>
      <c r="G1341" s="987"/>
      <c r="J1341" s="827" t="s">
        <v>718</v>
      </c>
      <c r="K1341" s="1091">
        <f>K1340</f>
        <v>218.38</v>
      </c>
      <c r="L1341" s="723" t="s">
        <v>721</v>
      </c>
      <c r="Q1341" s="723" t="s">
        <v>767</v>
      </c>
    </row>
    <row r="1342" spans="1:17" ht="75" customHeight="1">
      <c r="A1342" s="836">
        <f>A323</f>
        <v>31</v>
      </c>
      <c r="B1342" s="3386" t="str">
        <f>B323</f>
        <v>E/W in excavation of foundation trenches in Laterite rock or any hard rock other than granite removed by  chiselling including dressing of sides and levelling the bed not exceeding 1.5m in depth and depositing the soil within initial lead of 50m  complete as directed by the Engineer in charge.</v>
      </c>
      <c r="C1342" s="3386"/>
      <c r="D1342" s="3386"/>
      <c r="E1342" s="1086" t="str">
        <f>G381</f>
        <v>Each Cum</v>
      </c>
      <c r="F1342" s="1086"/>
    </row>
    <row r="1343" spans="1:17">
      <c r="B1343" s="723" t="s">
        <v>714</v>
      </c>
    </row>
    <row r="1344" spans="1:17" s="723" customFormat="1">
      <c r="A1344" s="836"/>
      <c r="B1344" s="723" t="s">
        <v>715</v>
      </c>
      <c r="E1344" s="986"/>
      <c r="F1344" s="986"/>
      <c r="I1344" s="836"/>
    </row>
    <row r="1345" spans="1:12">
      <c r="B1345" s="722" t="s">
        <v>768</v>
      </c>
      <c r="G1345" s="987">
        <v>3.74</v>
      </c>
      <c r="H1345" s="722" t="s">
        <v>262</v>
      </c>
      <c r="I1345" s="724" t="s">
        <v>38</v>
      </c>
      <c r="J1345" s="726">
        <f>L129</f>
        <v>182</v>
      </c>
      <c r="K1345" s="726">
        <f>ROUND(G1345*J1345,2)</f>
        <v>680.68</v>
      </c>
    </row>
    <row r="1346" spans="1:12">
      <c r="G1346" s="987"/>
      <c r="J1346" s="726"/>
      <c r="K1346" s="726"/>
    </row>
    <row r="1347" spans="1:12">
      <c r="B1347" s="723" t="s">
        <v>719</v>
      </c>
      <c r="G1347" s="987"/>
      <c r="J1347" s="726"/>
      <c r="K1347" s="726">
        <f>ROUND(K1345*2%,2)</f>
        <v>13.61</v>
      </c>
    </row>
    <row r="1348" spans="1:12">
      <c r="B1348" s="723" t="s">
        <v>760</v>
      </c>
      <c r="G1348" s="987"/>
      <c r="J1348" s="1096" t="s">
        <v>718</v>
      </c>
      <c r="K1348" s="726">
        <f>SUM(K1345:K1347)</f>
        <v>694.29</v>
      </c>
      <c r="L1348" s="723" t="s">
        <v>458</v>
      </c>
    </row>
    <row r="1349" spans="1:12">
      <c r="B1349" s="723" t="s">
        <v>763</v>
      </c>
      <c r="G1349" s="987"/>
      <c r="J1349" s="827" t="s">
        <v>718</v>
      </c>
      <c r="K1349" s="1091">
        <f>K1348</f>
        <v>694.29</v>
      </c>
      <c r="L1349" s="723" t="s">
        <v>721</v>
      </c>
    </row>
    <row r="1350" spans="1:12" ht="87.75" customHeight="1">
      <c r="A1350" s="836">
        <f>A324</f>
        <v>32</v>
      </c>
      <c r="B1350" s="3398" t="str">
        <f>B324</f>
        <v>Cutting in disintegrated rock not requiring blasting to be removed by pick axes and crow bars and depositing materials within 50m initial lead and 1.5m initial lift including rough dressing as per direction and specification of the department including stacking the useful materials separately as ordered.</v>
      </c>
      <c r="C1350" s="3398"/>
      <c r="D1350" s="3398"/>
      <c r="E1350" s="1086">
        <f>G389</f>
        <v>0</v>
      </c>
      <c r="F1350" s="1086"/>
    </row>
    <row r="1351" spans="1:12">
      <c r="B1351" s="723" t="s">
        <v>769</v>
      </c>
    </row>
    <row r="1352" spans="1:12" s="723" customFormat="1">
      <c r="A1352" s="836"/>
      <c r="B1352" s="723" t="s">
        <v>715</v>
      </c>
      <c r="E1352" s="986"/>
      <c r="F1352" s="986"/>
      <c r="I1352" s="836"/>
    </row>
    <row r="1353" spans="1:12">
      <c r="B1353" s="722" t="s">
        <v>768</v>
      </c>
      <c r="G1353" s="987">
        <v>55</v>
      </c>
      <c r="H1353" s="722" t="s">
        <v>262</v>
      </c>
      <c r="I1353" s="724" t="s">
        <v>38</v>
      </c>
      <c r="J1353" s="726">
        <f>L129</f>
        <v>182</v>
      </c>
      <c r="K1353" s="726">
        <f>ROUND(G1353*J1353,2)</f>
        <v>10010</v>
      </c>
    </row>
    <row r="1354" spans="1:12">
      <c r="B1354" s="722" t="s">
        <v>770</v>
      </c>
      <c r="G1354" s="987">
        <v>54</v>
      </c>
      <c r="H1354" s="722" t="s">
        <v>262</v>
      </c>
      <c r="I1354" s="724" t="s">
        <v>38</v>
      </c>
      <c r="J1354" s="726">
        <f>L129</f>
        <v>182</v>
      </c>
      <c r="K1354" s="1097">
        <f>ROUND(G1354*J1354,2)</f>
        <v>9828</v>
      </c>
    </row>
    <row r="1355" spans="1:12">
      <c r="G1355" s="987"/>
      <c r="J1355" s="726"/>
      <c r="K1355" s="1091">
        <f>SUM(K1353:K1354)</f>
        <v>19838</v>
      </c>
    </row>
    <row r="1356" spans="1:12">
      <c r="G1356" s="987"/>
      <c r="J1356" s="726"/>
      <c r="K1356" s="726"/>
    </row>
    <row r="1357" spans="1:12">
      <c r="B1357" s="723" t="s">
        <v>719</v>
      </c>
      <c r="G1357" s="987"/>
      <c r="J1357" s="726"/>
      <c r="K1357" s="726">
        <f>ROUND(K1355*2%,2)</f>
        <v>396.76</v>
      </c>
    </row>
    <row r="1358" spans="1:12">
      <c r="B1358" s="723" t="s">
        <v>771</v>
      </c>
      <c r="G1358" s="987"/>
      <c r="J1358" s="1096" t="s">
        <v>718</v>
      </c>
      <c r="K1358" s="726">
        <f>SUM(K1355:K1357)</f>
        <v>20234.759999999998</v>
      </c>
      <c r="L1358" s="723" t="s">
        <v>772</v>
      </c>
    </row>
    <row r="1359" spans="1:12">
      <c r="B1359" s="723" t="s">
        <v>763</v>
      </c>
      <c r="G1359" s="987"/>
      <c r="J1359" s="827" t="s">
        <v>718</v>
      </c>
      <c r="K1359" s="1091">
        <f>ROUND(K1358/100,2)</f>
        <v>202.35</v>
      </c>
      <c r="L1359" s="723" t="s">
        <v>721</v>
      </c>
    </row>
    <row r="1360" spans="1:12" ht="49.5" customHeight="1">
      <c r="A1360" s="836">
        <f>A325</f>
        <v>33</v>
      </c>
      <c r="B1360" s="3386" t="str">
        <f>B325</f>
        <v>Supplying and filling in foundation trenches and plinth, ditches with sand well watered and rammed  etc. complete in all respect as per direction by the Engineer in charge.</v>
      </c>
      <c r="C1360" s="3386"/>
      <c r="D1360" s="3386"/>
      <c r="E1360" s="1086" t="str">
        <f>G325</f>
        <v>Each Cum</v>
      </c>
      <c r="F1360" s="1086"/>
      <c r="G1360" s="987"/>
      <c r="J1360" s="1091"/>
      <c r="K1360" s="1091"/>
    </row>
    <row r="1361" spans="1:12">
      <c r="B1361" s="723" t="s">
        <v>764</v>
      </c>
      <c r="G1361" s="987"/>
      <c r="J1361" s="726"/>
      <c r="K1361" s="726"/>
    </row>
    <row r="1362" spans="1:12" s="723" customFormat="1">
      <c r="A1362" s="836"/>
      <c r="B1362" s="723" t="s">
        <v>715</v>
      </c>
      <c r="E1362" s="986"/>
      <c r="F1362" s="986"/>
      <c r="G1362" s="1098"/>
      <c r="I1362" s="836"/>
      <c r="J1362" s="1091"/>
      <c r="K1362" s="1091"/>
    </row>
    <row r="1363" spans="1:12">
      <c r="B1363" s="722" t="s">
        <v>717</v>
      </c>
      <c r="G1363" s="987">
        <v>12.36</v>
      </c>
      <c r="H1363" s="722" t="s">
        <v>262</v>
      </c>
      <c r="I1363" s="724" t="s">
        <v>38</v>
      </c>
      <c r="J1363" s="726">
        <f>L129</f>
        <v>182</v>
      </c>
      <c r="K1363" s="726">
        <f>ROUND(G1363*J1363,2)</f>
        <v>2249.52</v>
      </c>
    </row>
    <row r="1364" spans="1:12">
      <c r="G1364" s="987"/>
      <c r="J1364" s="726"/>
      <c r="K1364" s="726"/>
    </row>
    <row r="1365" spans="1:12">
      <c r="B1365" s="723" t="s">
        <v>719</v>
      </c>
      <c r="G1365" s="987"/>
      <c r="J1365" s="726"/>
      <c r="K1365" s="726">
        <f>ROUND(K1363*2%,2)</f>
        <v>44.99</v>
      </c>
    </row>
    <row r="1366" spans="1:12">
      <c r="G1366" s="987"/>
      <c r="I1366" s="724" t="s">
        <v>773</v>
      </c>
      <c r="J1366" s="1096" t="s">
        <v>718</v>
      </c>
      <c r="K1366" s="726">
        <f>SUM(K1363:K1365)</f>
        <v>2294.5099999999998</v>
      </c>
    </row>
    <row r="1367" spans="1:12" s="723" customFormat="1">
      <c r="A1367" s="836"/>
      <c r="B1367" s="723" t="s">
        <v>774</v>
      </c>
      <c r="E1367" s="986"/>
      <c r="F1367" s="986"/>
      <c r="G1367" s="1098"/>
      <c r="I1367" s="836"/>
      <c r="J1367" s="1091"/>
      <c r="K1367" s="1091"/>
    </row>
    <row r="1368" spans="1:12">
      <c r="B1368" s="722" t="s">
        <v>775</v>
      </c>
      <c r="G1368" s="726">
        <v>100</v>
      </c>
      <c r="H1368" s="722" t="s">
        <v>49</v>
      </c>
      <c r="I1368" s="724" t="s">
        <v>49</v>
      </c>
      <c r="J1368" s="726">
        <f>L43</f>
        <v>546.84999999999991</v>
      </c>
      <c r="K1368" s="726">
        <f>ROUND(G1368*J1368,2)</f>
        <v>54685</v>
      </c>
    </row>
    <row r="1369" spans="1:12">
      <c r="B1369" s="723" t="s">
        <v>776</v>
      </c>
      <c r="G1369" s="987"/>
      <c r="J1369" s="1096" t="s">
        <v>718</v>
      </c>
      <c r="K1369" s="1091">
        <f>SUM(K1366:K1368)</f>
        <v>56979.51</v>
      </c>
    </row>
    <row r="1370" spans="1:12">
      <c r="B1370" s="723" t="s">
        <v>763</v>
      </c>
      <c r="G1370" s="987"/>
      <c r="J1370" s="726"/>
      <c r="K1370" s="1091">
        <f>K1369/100</f>
        <v>569.79510000000005</v>
      </c>
      <c r="L1370" s="723" t="s">
        <v>721</v>
      </c>
    </row>
    <row r="1371" spans="1:12" ht="61.5" customHeight="1">
      <c r="A1371" s="836">
        <f>A326</f>
        <v>34</v>
      </c>
      <c r="B1371" s="3386" t="str">
        <f>B326</f>
        <v>Providing and laying P.C.C. (1:4:8) in foundation and floors using 4 cm. size black hard Hand broken granite stone metal and screened and washed sharp sand for mortar  etc complete as per the direction of the Engineer -in –charge.</v>
      </c>
      <c r="C1371" s="3386"/>
      <c r="D1371" s="3386"/>
      <c r="E1371" s="1086" t="str">
        <f>G327</f>
        <v>Each Cum</v>
      </c>
      <c r="F1371" s="1086"/>
      <c r="G1371" s="987"/>
      <c r="J1371" s="1091"/>
      <c r="K1371" s="1091"/>
    </row>
    <row r="1372" spans="1:12">
      <c r="B1372" s="723" t="s">
        <v>777</v>
      </c>
      <c r="G1372" s="987"/>
      <c r="J1372" s="726"/>
      <c r="K1372" s="726"/>
    </row>
    <row r="1373" spans="1:12">
      <c r="A1373" s="836" t="s">
        <v>201</v>
      </c>
      <c r="B1373" s="723" t="s">
        <v>778</v>
      </c>
      <c r="G1373" s="987"/>
      <c r="J1373" s="726"/>
      <c r="K1373" s="726"/>
    </row>
    <row r="1374" spans="1:12">
      <c r="B1374" s="723" t="s">
        <v>779</v>
      </c>
      <c r="C1374" s="723"/>
      <c r="D1374" s="723"/>
      <c r="G1374" s="1098"/>
      <c r="H1374" s="723"/>
      <c r="I1374" s="836"/>
      <c r="J1374" s="1091"/>
      <c r="K1374" s="1091"/>
    </row>
    <row r="1375" spans="1:12">
      <c r="B1375" s="722" t="s">
        <v>780</v>
      </c>
      <c r="G1375" s="987">
        <v>0.96</v>
      </c>
      <c r="H1375" s="722" t="s">
        <v>49</v>
      </c>
      <c r="I1375" s="724" t="s">
        <v>49</v>
      </c>
      <c r="J1375" s="726">
        <f>G9</f>
        <v>826.73</v>
      </c>
      <c r="K1375" s="726">
        <f>ROUND(G1375*J1375,2)</f>
        <v>793.66</v>
      </c>
    </row>
    <row r="1376" spans="1:12">
      <c r="B1376" s="722" t="s">
        <v>775</v>
      </c>
      <c r="G1376" s="987">
        <v>0.48</v>
      </c>
      <c r="H1376" s="722" t="s">
        <v>49</v>
      </c>
      <c r="I1376" s="724" t="s">
        <v>49</v>
      </c>
      <c r="J1376" s="726">
        <f>G44</f>
        <v>80.72</v>
      </c>
      <c r="K1376" s="726">
        <f>ROUND(G1376*J1376,2)</f>
        <v>38.75</v>
      </c>
    </row>
    <row r="1377" spans="1:12">
      <c r="B1377" s="722" t="s">
        <v>8</v>
      </c>
      <c r="G1377" s="987">
        <v>1.72</v>
      </c>
      <c r="H1377" s="722" t="s">
        <v>247</v>
      </c>
      <c r="I1377" s="724" t="s">
        <v>247</v>
      </c>
      <c r="J1377" s="726">
        <f>G48/10</f>
        <v>640</v>
      </c>
      <c r="K1377" s="726">
        <f>ROUND(G1377*J1377,2)</f>
        <v>1100.8</v>
      </c>
    </row>
    <row r="1378" spans="1:12">
      <c r="G1378" s="987"/>
      <c r="J1378" s="827" t="s">
        <v>718</v>
      </c>
      <c r="K1378" s="1091">
        <f>SUM(K1375:K1377)</f>
        <v>1933.21</v>
      </c>
    </row>
    <row r="1379" spans="1:12">
      <c r="B1379" s="723" t="s">
        <v>781</v>
      </c>
      <c r="C1379" s="723"/>
      <c r="D1379" s="723"/>
      <c r="G1379" s="1098"/>
      <c r="H1379" s="723"/>
      <c r="I1379" s="836"/>
      <c r="J1379" s="1091"/>
      <c r="K1379" s="1091"/>
    </row>
    <row r="1380" spans="1:12">
      <c r="B1380" s="722" t="s">
        <v>782</v>
      </c>
      <c r="G1380" s="987">
        <v>0.18</v>
      </c>
      <c r="H1380" s="722" t="s">
        <v>262</v>
      </c>
      <c r="I1380" s="724" t="s">
        <v>38</v>
      </c>
      <c r="J1380" s="726">
        <f>L131</f>
        <v>264.3</v>
      </c>
      <c r="K1380" s="726">
        <f>ROUND(G1380*J1380,2)</f>
        <v>47.57</v>
      </c>
    </row>
    <row r="1381" spans="1:12">
      <c r="B1381" s="722" t="s">
        <v>717</v>
      </c>
      <c r="G1381" s="987">
        <v>3.9</v>
      </c>
      <c r="H1381" s="722" t="s">
        <v>262</v>
      </c>
      <c r="I1381" s="724" t="s">
        <v>38</v>
      </c>
      <c r="J1381" s="726">
        <f>L129</f>
        <v>182</v>
      </c>
      <c r="K1381" s="726">
        <f>ROUND(G1381*J1381,2)</f>
        <v>709.8</v>
      </c>
    </row>
    <row r="1382" spans="1:12">
      <c r="G1382" s="987"/>
      <c r="J1382" s="827" t="s">
        <v>718</v>
      </c>
      <c r="K1382" s="1091">
        <f>SUM(K1380:K1381)</f>
        <v>757.37</v>
      </c>
    </row>
    <row r="1383" spans="1:12">
      <c r="B1383" s="723"/>
      <c r="C1383" s="723"/>
      <c r="D1383" s="723"/>
      <c r="G1383" s="1098"/>
      <c r="H1383" s="723"/>
      <c r="I1383" s="836"/>
      <c r="J1383" s="1091"/>
      <c r="K1383" s="1091"/>
    </row>
    <row r="1384" spans="1:12">
      <c r="B1384" s="723" t="s">
        <v>783</v>
      </c>
      <c r="C1384" s="723"/>
      <c r="D1384" s="723"/>
      <c r="G1384" s="1098"/>
      <c r="H1384" s="723"/>
      <c r="I1384" s="836"/>
      <c r="J1384" s="1091"/>
      <c r="K1384" s="1091"/>
    </row>
    <row r="1385" spans="1:12">
      <c r="B1385" s="722" t="s">
        <v>784</v>
      </c>
      <c r="G1385" s="987">
        <v>0.96</v>
      </c>
      <c r="H1385" s="722" t="s">
        <v>49</v>
      </c>
      <c r="I1385" s="724" t="s">
        <v>49</v>
      </c>
      <c r="J1385" s="726">
        <f>K9</f>
        <v>276.01</v>
      </c>
      <c r="K1385" s="726">
        <f>ROUND(G1385*J1385,2)</f>
        <v>264.97000000000003</v>
      </c>
    </row>
    <row r="1386" spans="1:12">
      <c r="B1386" s="722" t="s">
        <v>775</v>
      </c>
      <c r="G1386" s="987">
        <v>0.48</v>
      </c>
      <c r="H1386" s="722" t="s">
        <v>49</v>
      </c>
      <c r="I1386" s="724" t="s">
        <v>49</v>
      </c>
      <c r="J1386" s="726">
        <f>K44</f>
        <v>731.71</v>
      </c>
      <c r="K1386" s="726">
        <f>ROUND(G1386*J1386,2)</f>
        <v>351.22</v>
      </c>
    </row>
    <row r="1387" spans="1:12">
      <c r="B1387" s="722" t="s">
        <v>8</v>
      </c>
      <c r="G1387" s="987">
        <v>1.72</v>
      </c>
      <c r="H1387" s="722" t="s">
        <v>247</v>
      </c>
      <c r="I1387" s="724" t="s">
        <v>247</v>
      </c>
      <c r="J1387" s="726">
        <f>K48/10</f>
        <v>24.786999999999999</v>
      </c>
      <c r="K1387" s="726">
        <f>ROUND(G1387*J1387,2)</f>
        <v>42.63</v>
      </c>
    </row>
    <row r="1388" spans="1:12">
      <c r="G1388" s="987"/>
      <c r="J1388" s="827" t="s">
        <v>718</v>
      </c>
      <c r="K1388" s="1091">
        <f>SUM(K1385:K1387)</f>
        <v>658.82</v>
      </c>
    </row>
    <row r="1389" spans="1:12">
      <c r="B1389" s="723" t="s">
        <v>785</v>
      </c>
      <c r="G1389" s="987"/>
      <c r="J1389" s="726"/>
      <c r="K1389" s="1091">
        <f>K1378+K1382+K1383+K1388</f>
        <v>3349.4</v>
      </c>
      <c r="L1389" s="723" t="s">
        <v>721</v>
      </c>
    </row>
    <row r="1390" spans="1:12">
      <c r="A1390" s="836" t="s">
        <v>220</v>
      </c>
      <c r="B1390" s="723" t="s">
        <v>786</v>
      </c>
      <c r="G1390" s="987"/>
      <c r="J1390" s="726"/>
      <c r="K1390" s="1091"/>
    </row>
    <row r="1391" spans="1:12">
      <c r="B1391" s="722" t="s">
        <v>787</v>
      </c>
      <c r="G1391" s="987"/>
      <c r="J1391" s="726"/>
      <c r="K1391" s="1091">
        <f>K1389</f>
        <v>3349.4</v>
      </c>
    </row>
    <row r="1392" spans="1:12">
      <c r="B1392" s="722" t="s">
        <v>788</v>
      </c>
      <c r="G1392" s="987">
        <v>0.96</v>
      </c>
      <c r="H1392" s="722" t="s">
        <v>49</v>
      </c>
      <c r="I1392" s="724" t="s">
        <v>49</v>
      </c>
      <c r="J1392" s="726">
        <f>G8-G9</f>
        <v>218.27999999999997</v>
      </c>
      <c r="K1392" s="726">
        <f>ROUND(G1392*J1392,2)</f>
        <v>209.55</v>
      </c>
    </row>
    <row r="1393" spans="1:28">
      <c r="G1393" s="987"/>
      <c r="J1393" s="726"/>
      <c r="K1393" s="1091">
        <f>SUM(K1391:K1392)</f>
        <v>3558.9500000000003</v>
      </c>
      <c r="L1393" s="723" t="s">
        <v>721</v>
      </c>
    </row>
    <row r="1394" spans="1:28" ht="62.25" customHeight="1">
      <c r="A1394" s="836">
        <f>A329</f>
        <v>35</v>
      </c>
      <c r="B1394" s="3386" t="str">
        <f>B329</f>
        <v>Providing and laying P.C.C. (1:3:6) in foundation and floors using 4 cm. size black hard crusher broken granite stone metal and screened and washed sharp sand for mortar  etc complete as per the direction of the Engineer -in –charge.</v>
      </c>
      <c r="C1394" s="3386"/>
      <c r="D1394" s="3386"/>
      <c r="E1394" s="1086" t="str">
        <f>G330</f>
        <v>Each Cum</v>
      </c>
      <c r="F1394" s="1086"/>
      <c r="G1394" s="987"/>
      <c r="J1394" s="1091"/>
      <c r="K1394" s="1091"/>
    </row>
    <row r="1395" spans="1:28" s="723" customFormat="1">
      <c r="A1395" s="836"/>
      <c r="B1395" s="723" t="s">
        <v>777</v>
      </c>
      <c r="C1395" s="722"/>
      <c r="D1395" s="722"/>
      <c r="E1395" s="986"/>
      <c r="F1395" s="986"/>
      <c r="G1395" s="987"/>
      <c r="H1395" s="722"/>
      <c r="I1395" s="724"/>
      <c r="J1395" s="726"/>
      <c r="K1395" s="726"/>
      <c r="M1395" s="722"/>
      <c r="N1395" s="722"/>
      <c r="O1395" s="722"/>
      <c r="P1395" s="722"/>
      <c r="Q1395" s="722"/>
      <c r="R1395" s="722"/>
      <c r="S1395" s="722"/>
      <c r="U1395" s="722"/>
      <c r="V1395" s="722"/>
      <c r="W1395" s="722"/>
      <c r="X1395" s="722"/>
      <c r="Y1395" s="722"/>
      <c r="Z1395" s="722"/>
      <c r="AA1395" s="722"/>
      <c r="AB1395" s="722"/>
    </row>
    <row r="1396" spans="1:28" s="723" customFormat="1">
      <c r="A1396" s="836" t="s">
        <v>201</v>
      </c>
      <c r="B1396" s="723" t="s">
        <v>778</v>
      </c>
      <c r="C1396" s="722"/>
      <c r="D1396" s="722"/>
      <c r="E1396" s="986"/>
      <c r="F1396" s="986"/>
      <c r="G1396" s="987"/>
      <c r="H1396" s="722"/>
      <c r="I1396" s="724"/>
      <c r="J1396" s="726"/>
      <c r="K1396" s="726"/>
      <c r="M1396" s="722"/>
      <c r="N1396" s="722"/>
      <c r="O1396" s="722"/>
      <c r="P1396" s="722"/>
      <c r="Q1396" s="722"/>
      <c r="R1396" s="722"/>
      <c r="S1396" s="722"/>
      <c r="U1396" s="722"/>
      <c r="V1396" s="722"/>
      <c r="W1396" s="722"/>
      <c r="X1396" s="722"/>
      <c r="Y1396" s="722"/>
      <c r="Z1396" s="722"/>
      <c r="AA1396" s="722"/>
      <c r="AB1396" s="722"/>
    </row>
    <row r="1397" spans="1:28" s="723" customFormat="1">
      <c r="A1397" s="836"/>
      <c r="B1397" s="723" t="s">
        <v>779</v>
      </c>
      <c r="E1397" s="986"/>
      <c r="F1397" s="986"/>
      <c r="G1397" s="1098"/>
      <c r="I1397" s="836"/>
      <c r="J1397" s="1091"/>
      <c r="K1397" s="1091"/>
      <c r="M1397" s="722"/>
      <c r="N1397" s="722"/>
      <c r="O1397" s="722"/>
      <c r="P1397" s="722"/>
      <c r="Q1397" s="722"/>
      <c r="R1397" s="722"/>
      <c r="S1397" s="722"/>
      <c r="U1397" s="722"/>
      <c r="V1397" s="722"/>
      <c r="W1397" s="722"/>
      <c r="X1397" s="722"/>
      <c r="Y1397" s="722"/>
      <c r="Z1397" s="722"/>
      <c r="AA1397" s="722"/>
      <c r="AB1397" s="722"/>
    </row>
    <row r="1398" spans="1:28" s="723" customFormat="1">
      <c r="A1398" s="836"/>
      <c r="B1398" s="722" t="s">
        <v>789</v>
      </c>
      <c r="C1398" s="722"/>
      <c r="D1398" s="722"/>
      <c r="E1398" s="986"/>
      <c r="F1398" s="986"/>
      <c r="G1398" s="987">
        <v>0.96</v>
      </c>
      <c r="H1398" s="722" t="s">
        <v>49</v>
      </c>
      <c r="I1398" s="724" t="s">
        <v>49</v>
      </c>
      <c r="J1398" s="726">
        <f>G9</f>
        <v>826.73</v>
      </c>
      <c r="K1398" s="726">
        <f>ROUND(G1398*J1398,2)</f>
        <v>793.66</v>
      </c>
      <c r="M1398" s="722"/>
      <c r="N1398" s="722"/>
      <c r="O1398" s="722"/>
      <c r="P1398" s="722"/>
      <c r="Q1398" s="722"/>
      <c r="R1398" s="722"/>
      <c r="S1398" s="722"/>
      <c r="U1398" s="722"/>
      <c r="V1398" s="722"/>
      <c r="W1398" s="722"/>
      <c r="X1398" s="722"/>
      <c r="Y1398" s="722"/>
      <c r="Z1398" s="722"/>
      <c r="AA1398" s="722"/>
      <c r="AB1398" s="722"/>
    </row>
    <row r="1399" spans="1:28" s="723" customFormat="1">
      <c r="A1399" s="836"/>
      <c r="B1399" s="722" t="s">
        <v>775</v>
      </c>
      <c r="C1399" s="722"/>
      <c r="D1399" s="722"/>
      <c r="E1399" s="986"/>
      <c r="F1399" s="986"/>
      <c r="G1399" s="987">
        <v>0.48</v>
      </c>
      <c r="H1399" s="722" t="s">
        <v>49</v>
      </c>
      <c r="I1399" s="724" t="s">
        <v>49</v>
      </c>
      <c r="J1399" s="726">
        <f>G44</f>
        <v>80.72</v>
      </c>
      <c r="K1399" s="726">
        <f>ROUND(G1399*J1399,2)</f>
        <v>38.75</v>
      </c>
      <c r="M1399" s="722"/>
      <c r="N1399" s="722"/>
      <c r="O1399" s="722"/>
      <c r="P1399" s="722"/>
      <c r="Q1399" s="722"/>
      <c r="R1399" s="722"/>
      <c r="S1399" s="722"/>
      <c r="U1399" s="722"/>
      <c r="V1399" s="722"/>
      <c r="W1399" s="722"/>
      <c r="X1399" s="722"/>
      <c r="Y1399" s="722"/>
      <c r="Z1399" s="722"/>
      <c r="AA1399" s="722"/>
      <c r="AB1399" s="722"/>
    </row>
    <row r="1400" spans="1:28" s="723" customFormat="1">
      <c r="A1400" s="836"/>
      <c r="B1400" s="722" t="s">
        <v>8</v>
      </c>
      <c r="C1400" s="722"/>
      <c r="D1400" s="722"/>
      <c r="E1400" s="986"/>
      <c r="F1400" s="986"/>
      <c r="G1400" s="987">
        <v>2.29</v>
      </c>
      <c r="H1400" s="722" t="s">
        <v>247</v>
      </c>
      <c r="I1400" s="724" t="s">
        <v>247</v>
      </c>
      <c r="J1400" s="726">
        <f>G48/10</f>
        <v>640</v>
      </c>
      <c r="K1400" s="726">
        <f>ROUND(G1400*J1400,2)</f>
        <v>1465.6</v>
      </c>
      <c r="M1400" s="722"/>
      <c r="N1400" s="722"/>
      <c r="O1400" s="722"/>
      <c r="P1400" s="722"/>
      <c r="Q1400" s="722"/>
      <c r="R1400" s="722"/>
      <c r="S1400" s="722"/>
      <c r="U1400" s="722"/>
      <c r="V1400" s="722"/>
      <c r="W1400" s="722"/>
      <c r="X1400" s="722"/>
      <c r="Y1400" s="722"/>
      <c r="Z1400" s="722"/>
      <c r="AA1400" s="722"/>
      <c r="AB1400" s="722"/>
    </row>
    <row r="1401" spans="1:28" s="723" customFormat="1">
      <c r="A1401" s="836"/>
      <c r="B1401" s="722"/>
      <c r="C1401" s="722"/>
      <c r="D1401" s="722"/>
      <c r="E1401" s="986"/>
      <c r="F1401" s="986"/>
      <c r="G1401" s="987"/>
      <c r="H1401" s="722"/>
      <c r="I1401" s="724"/>
      <c r="J1401" s="1096" t="s">
        <v>718</v>
      </c>
      <c r="K1401" s="726">
        <f>SUM(K1398:K1400)</f>
        <v>2298.0099999999998</v>
      </c>
      <c r="M1401" s="722"/>
      <c r="N1401" s="722"/>
      <c r="O1401" s="722"/>
      <c r="P1401" s="722"/>
      <c r="Q1401" s="722"/>
      <c r="R1401" s="722"/>
      <c r="S1401" s="722"/>
      <c r="U1401" s="722"/>
      <c r="V1401" s="722"/>
      <c r="W1401" s="722"/>
      <c r="X1401" s="722"/>
      <c r="Y1401" s="722"/>
      <c r="Z1401" s="722"/>
      <c r="AA1401" s="722"/>
      <c r="AB1401" s="722"/>
    </row>
    <row r="1402" spans="1:28" s="723" customFormat="1">
      <c r="A1402" s="836"/>
      <c r="B1402" s="723" t="s">
        <v>781</v>
      </c>
      <c r="E1402" s="986"/>
      <c r="F1402" s="986"/>
      <c r="G1402" s="1098"/>
      <c r="I1402" s="836"/>
      <c r="J1402" s="1091"/>
      <c r="K1402" s="1091"/>
      <c r="M1402" s="722"/>
      <c r="N1402" s="722"/>
      <c r="O1402" s="722"/>
      <c r="P1402" s="722"/>
      <c r="Q1402" s="722"/>
      <c r="R1402" s="722"/>
      <c r="S1402" s="722"/>
      <c r="U1402" s="722"/>
      <c r="V1402" s="722"/>
      <c r="W1402" s="722"/>
      <c r="X1402" s="722"/>
      <c r="Y1402" s="722"/>
      <c r="Z1402" s="722"/>
      <c r="AA1402" s="722"/>
      <c r="AB1402" s="722"/>
    </row>
    <row r="1403" spans="1:28" s="723" customFormat="1">
      <c r="A1403" s="836"/>
      <c r="B1403" s="722" t="s">
        <v>782</v>
      </c>
      <c r="C1403" s="722"/>
      <c r="D1403" s="722"/>
      <c r="E1403" s="986"/>
      <c r="F1403" s="986"/>
      <c r="G1403" s="987">
        <v>0.18</v>
      </c>
      <c r="H1403" s="722" t="s">
        <v>262</v>
      </c>
      <c r="I1403" s="724" t="s">
        <v>38</v>
      </c>
      <c r="J1403" s="726">
        <f>L131</f>
        <v>264.3</v>
      </c>
      <c r="K1403" s="726">
        <f>ROUND(G1403*J1403,2)</f>
        <v>47.57</v>
      </c>
      <c r="M1403" s="722"/>
      <c r="N1403" s="722"/>
      <c r="O1403" s="722"/>
      <c r="P1403" s="722"/>
      <c r="Q1403" s="722"/>
      <c r="R1403" s="722"/>
      <c r="S1403" s="722"/>
      <c r="U1403" s="722"/>
      <c r="V1403" s="722"/>
      <c r="W1403" s="722"/>
      <c r="X1403" s="722"/>
      <c r="Y1403" s="722"/>
      <c r="Z1403" s="722"/>
      <c r="AA1403" s="722"/>
      <c r="AB1403" s="722"/>
    </row>
    <row r="1404" spans="1:28" s="723" customFormat="1">
      <c r="A1404" s="836"/>
      <c r="B1404" s="722" t="s">
        <v>717</v>
      </c>
      <c r="C1404" s="722"/>
      <c r="D1404" s="722"/>
      <c r="E1404" s="986"/>
      <c r="F1404" s="986"/>
      <c r="G1404" s="987">
        <v>3.9</v>
      </c>
      <c r="H1404" s="722" t="s">
        <v>262</v>
      </c>
      <c r="I1404" s="724" t="s">
        <v>38</v>
      </c>
      <c r="J1404" s="726">
        <f>L129</f>
        <v>182</v>
      </c>
      <c r="K1404" s="726">
        <f>ROUND(G1404*J1404,2)</f>
        <v>709.8</v>
      </c>
      <c r="M1404" s="722"/>
      <c r="N1404" s="722"/>
      <c r="O1404" s="722"/>
      <c r="P1404" s="722"/>
      <c r="Q1404" s="722"/>
      <c r="R1404" s="722"/>
      <c r="S1404" s="722"/>
      <c r="U1404" s="722"/>
      <c r="V1404" s="722"/>
      <c r="W1404" s="722"/>
      <c r="X1404" s="722"/>
      <c r="Y1404" s="722"/>
      <c r="Z1404" s="722"/>
      <c r="AA1404" s="722"/>
      <c r="AB1404" s="722"/>
    </row>
    <row r="1405" spans="1:28" s="723" customFormat="1">
      <c r="A1405" s="836"/>
      <c r="B1405" s="722"/>
      <c r="C1405" s="722"/>
      <c r="D1405" s="722"/>
      <c r="E1405" s="986"/>
      <c r="F1405" s="986"/>
      <c r="G1405" s="987"/>
      <c r="H1405" s="722"/>
      <c r="I1405" s="724"/>
      <c r="J1405" s="1096" t="s">
        <v>718</v>
      </c>
      <c r="K1405" s="726">
        <f>SUM(K1403:K1404)</f>
        <v>757.37</v>
      </c>
      <c r="M1405" s="722"/>
      <c r="N1405" s="722"/>
      <c r="O1405" s="722"/>
      <c r="P1405" s="722"/>
      <c r="Q1405" s="722"/>
      <c r="R1405" s="722"/>
      <c r="S1405" s="722"/>
      <c r="U1405" s="722"/>
      <c r="V1405" s="722"/>
      <c r="W1405" s="722"/>
      <c r="X1405" s="722"/>
      <c r="Y1405" s="722"/>
      <c r="Z1405" s="722"/>
      <c r="AA1405" s="722"/>
      <c r="AB1405" s="722"/>
    </row>
    <row r="1406" spans="1:28" s="723" customFormat="1">
      <c r="A1406" s="836"/>
      <c r="E1406" s="986"/>
      <c r="F1406" s="986"/>
      <c r="G1406" s="1098"/>
      <c r="I1406" s="836"/>
      <c r="J1406" s="1091"/>
      <c r="K1406" s="726"/>
      <c r="M1406" s="722"/>
      <c r="N1406" s="722"/>
      <c r="O1406" s="722"/>
      <c r="P1406" s="722"/>
      <c r="Q1406" s="722"/>
      <c r="R1406" s="722"/>
      <c r="S1406" s="722"/>
      <c r="U1406" s="722"/>
      <c r="V1406" s="722"/>
      <c r="W1406" s="722"/>
      <c r="X1406" s="722"/>
      <c r="Y1406" s="722"/>
      <c r="Z1406" s="722"/>
      <c r="AA1406" s="722"/>
      <c r="AB1406" s="722"/>
    </row>
    <row r="1407" spans="1:28" s="723" customFormat="1">
      <c r="A1407" s="836"/>
      <c r="B1407" s="723" t="s">
        <v>783</v>
      </c>
      <c r="E1407" s="986"/>
      <c r="F1407" s="986"/>
      <c r="G1407" s="1098"/>
      <c r="I1407" s="836"/>
      <c r="J1407" s="1091"/>
      <c r="K1407" s="1091"/>
      <c r="M1407" s="722"/>
      <c r="N1407" s="722"/>
      <c r="O1407" s="722"/>
      <c r="P1407" s="722"/>
      <c r="Q1407" s="722"/>
      <c r="R1407" s="722"/>
      <c r="S1407" s="722"/>
      <c r="U1407" s="722"/>
      <c r="V1407" s="722"/>
      <c r="W1407" s="722"/>
      <c r="X1407" s="722"/>
      <c r="Y1407" s="722"/>
      <c r="Z1407" s="722"/>
      <c r="AA1407" s="722"/>
      <c r="AB1407" s="722"/>
    </row>
    <row r="1408" spans="1:28" s="723" customFormat="1">
      <c r="A1408" s="836"/>
      <c r="B1408" s="722" t="s">
        <v>784</v>
      </c>
      <c r="C1408" s="722"/>
      <c r="D1408" s="722"/>
      <c r="E1408" s="986"/>
      <c r="F1408" s="986"/>
      <c r="G1408" s="987">
        <v>0.96</v>
      </c>
      <c r="H1408" s="722" t="s">
        <v>49</v>
      </c>
      <c r="I1408" s="724" t="s">
        <v>49</v>
      </c>
      <c r="J1408" s="726">
        <f>K9</f>
        <v>276.01</v>
      </c>
      <c r="K1408" s="726">
        <f>ROUND(G1408*J1408,2)</f>
        <v>264.97000000000003</v>
      </c>
      <c r="M1408" s="722"/>
      <c r="N1408" s="722"/>
      <c r="O1408" s="722"/>
      <c r="P1408" s="722"/>
      <c r="Q1408" s="722"/>
      <c r="R1408" s="722"/>
      <c r="S1408" s="722"/>
      <c r="U1408" s="722"/>
      <c r="V1408" s="722"/>
      <c r="W1408" s="722"/>
      <c r="X1408" s="722"/>
      <c r="Y1408" s="722"/>
      <c r="Z1408" s="722"/>
      <c r="AA1408" s="722"/>
      <c r="AB1408" s="722"/>
    </row>
    <row r="1409" spans="1:28" s="723" customFormat="1">
      <c r="A1409" s="836"/>
      <c r="B1409" s="722" t="s">
        <v>775</v>
      </c>
      <c r="C1409" s="722"/>
      <c r="D1409" s="722"/>
      <c r="E1409" s="986"/>
      <c r="F1409" s="986"/>
      <c r="G1409" s="987">
        <v>0.48</v>
      </c>
      <c r="H1409" s="722" t="s">
        <v>49</v>
      </c>
      <c r="I1409" s="724" t="s">
        <v>49</v>
      </c>
      <c r="J1409" s="726">
        <f>K44</f>
        <v>731.71</v>
      </c>
      <c r="K1409" s="726">
        <f>ROUND(G1409*J1409,2)</f>
        <v>351.22</v>
      </c>
      <c r="M1409" s="722"/>
      <c r="N1409" s="722"/>
      <c r="O1409" s="722"/>
      <c r="P1409" s="722"/>
      <c r="Q1409" s="722"/>
      <c r="R1409" s="722"/>
      <c r="S1409" s="722"/>
      <c r="U1409" s="722"/>
      <c r="V1409" s="722"/>
      <c r="W1409" s="722"/>
      <c r="X1409" s="722"/>
      <c r="Y1409" s="722"/>
      <c r="Z1409" s="722"/>
      <c r="AA1409" s="722"/>
      <c r="AB1409" s="722"/>
    </row>
    <row r="1410" spans="1:28" s="723" customFormat="1">
      <c r="A1410" s="836"/>
      <c r="B1410" s="722" t="s">
        <v>8</v>
      </c>
      <c r="C1410" s="722"/>
      <c r="D1410" s="722"/>
      <c r="E1410" s="986"/>
      <c r="F1410" s="986"/>
      <c r="G1410" s="987">
        <v>2.29</v>
      </c>
      <c r="H1410" s="722" t="s">
        <v>247</v>
      </c>
      <c r="I1410" s="724" t="s">
        <v>247</v>
      </c>
      <c r="J1410" s="726">
        <f>K48/10</f>
        <v>24.786999999999999</v>
      </c>
      <c r="K1410" s="726">
        <f>ROUND(G1410*J1410,2)</f>
        <v>56.76</v>
      </c>
      <c r="M1410" s="722"/>
      <c r="N1410" s="722"/>
      <c r="O1410" s="722"/>
      <c r="P1410" s="722"/>
      <c r="Q1410" s="722"/>
      <c r="R1410" s="722"/>
      <c r="S1410" s="722"/>
      <c r="U1410" s="722"/>
      <c r="V1410" s="722"/>
      <c r="W1410" s="722"/>
      <c r="X1410" s="722"/>
      <c r="Y1410" s="722"/>
      <c r="Z1410" s="722"/>
      <c r="AA1410" s="722"/>
      <c r="AB1410" s="722"/>
    </row>
    <row r="1411" spans="1:28" s="723" customFormat="1">
      <c r="A1411" s="836"/>
      <c r="B1411" s="722"/>
      <c r="C1411" s="722"/>
      <c r="D1411" s="722"/>
      <c r="E1411" s="986"/>
      <c r="F1411" s="986"/>
      <c r="G1411" s="987"/>
      <c r="H1411" s="722"/>
      <c r="I1411" s="724"/>
      <c r="J1411" s="1096" t="s">
        <v>718</v>
      </c>
      <c r="K1411" s="726">
        <f>SUM(K1408:K1410)</f>
        <v>672.95</v>
      </c>
      <c r="M1411" s="722"/>
      <c r="N1411" s="722"/>
      <c r="O1411" s="722"/>
      <c r="P1411" s="722"/>
      <c r="Q1411" s="722"/>
      <c r="R1411" s="722"/>
      <c r="S1411" s="722"/>
      <c r="U1411" s="722"/>
      <c r="V1411" s="722"/>
      <c r="W1411" s="722"/>
      <c r="X1411" s="722"/>
      <c r="Y1411" s="722"/>
      <c r="Z1411" s="722"/>
      <c r="AA1411" s="722"/>
      <c r="AB1411" s="722"/>
    </row>
    <row r="1412" spans="1:28">
      <c r="B1412" s="723" t="s">
        <v>785</v>
      </c>
      <c r="G1412" s="987"/>
      <c r="J1412" s="726"/>
      <c r="K1412" s="1091">
        <f>K1401+K1405+K1406+K1411</f>
        <v>3728.33</v>
      </c>
      <c r="L1412" s="723" t="s">
        <v>721</v>
      </c>
    </row>
    <row r="1413" spans="1:28">
      <c r="A1413" s="836" t="s">
        <v>220</v>
      </c>
      <c r="B1413" s="723" t="s">
        <v>786</v>
      </c>
      <c r="G1413" s="987"/>
      <c r="J1413" s="726"/>
      <c r="K1413" s="1091"/>
    </row>
    <row r="1414" spans="1:28">
      <c r="B1414" s="722" t="s">
        <v>787</v>
      </c>
      <c r="G1414" s="987"/>
      <c r="J1414" s="726"/>
      <c r="K1414" s="1091">
        <f>K1412</f>
        <v>3728.33</v>
      </c>
    </row>
    <row r="1415" spans="1:28">
      <c r="B1415" s="722" t="s">
        <v>788</v>
      </c>
      <c r="G1415" s="987">
        <v>0.96</v>
      </c>
      <c r="H1415" s="722" t="s">
        <v>49</v>
      </c>
      <c r="I1415" s="724" t="s">
        <v>49</v>
      </c>
      <c r="J1415" s="726">
        <f>G8-G9</f>
        <v>218.27999999999997</v>
      </c>
      <c r="K1415" s="726">
        <f>ROUND(G1415*J1415,2)</f>
        <v>209.55</v>
      </c>
    </row>
    <row r="1416" spans="1:28">
      <c r="G1416" s="987"/>
      <c r="J1416" s="726"/>
      <c r="K1416" s="1091">
        <f>SUM(K1414:K1415)</f>
        <v>3937.88</v>
      </c>
      <c r="L1416" s="723" t="s">
        <v>721</v>
      </c>
    </row>
    <row r="1417" spans="1:28" ht="61.5" customHeight="1">
      <c r="A1417" s="836">
        <f>A332</f>
        <v>36</v>
      </c>
      <c r="B1417" s="3386" t="str">
        <f>B332</f>
        <v>Providing and laying P.C.C. (1:2:4) in foundation and floors using 12 mm. size black hard crusher broken granite stone chips and screened and washed sharp sand for mortar  etc complete as per the direction of the Engineer -in –charge.</v>
      </c>
      <c r="C1417" s="3386"/>
      <c r="D1417" s="3386"/>
      <c r="E1417" s="1086" t="str">
        <f>G334</f>
        <v>Each Cum</v>
      </c>
      <c r="F1417" s="1086"/>
      <c r="G1417" s="987"/>
      <c r="J1417" s="1091"/>
      <c r="K1417" s="1091"/>
    </row>
    <row r="1418" spans="1:28" ht="14.25" customHeight="1">
      <c r="A1418" s="836" t="s">
        <v>201</v>
      </c>
      <c r="B1418" s="714" t="s">
        <v>790</v>
      </c>
      <c r="C1418" s="1088"/>
      <c r="D1418" s="1088"/>
      <c r="E1418" s="1086"/>
      <c r="F1418" s="1086"/>
      <c r="G1418" s="987"/>
      <c r="J1418" s="1091"/>
      <c r="K1418" s="1091"/>
    </row>
    <row r="1419" spans="1:28" ht="14.25" customHeight="1">
      <c r="A1419" s="836" t="str">
        <f>A259</f>
        <v>(i)</v>
      </c>
      <c r="B1419" s="1074" t="s">
        <v>384</v>
      </c>
      <c r="C1419" s="1088"/>
      <c r="D1419" s="1088"/>
      <c r="E1419" s="1086"/>
      <c r="F1419" s="1086"/>
      <c r="G1419" s="987"/>
      <c r="J1419" s="1091"/>
      <c r="K1419" s="1091"/>
    </row>
    <row r="1420" spans="1:28" s="733" customFormat="1">
      <c r="A1420" s="1099"/>
      <c r="B1420" s="762" t="s">
        <v>777</v>
      </c>
      <c r="C1420" s="731"/>
      <c r="D1420" s="731"/>
      <c r="E1420" s="1090"/>
      <c r="F1420" s="1090"/>
      <c r="G1420" s="731"/>
      <c r="H1420" s="1072"/>
      <c r="I1420" s="764"/>
      <c r="J1420" s="731"/>
      <c r="K1420" s="731"/>
      <c r="L1420" s="830"/>
      <c r="T1420" s="842"/>
    </row>
    <row r="1421" spans="1:28" s="733" customFormat="1">
      <c r="A1421" s="1099"/>
      <c r="B1421" s="762" t="s">
        <v>779</v>
      </c>
      <c r="C1421" s="731"/>
      <c r="D1421" s="731"/>
      <c r="E1421" s="1090"/>
      <c r="F1421" s="1090"/>
      <c r="G1421" s="1100"/>
      <c r="H1421" s="1072"/>
      <c r="I1421" s="764"/>
      <c r="J1421" s="742"/>
      <c r="K1421" s="742"/>
      <c r="L1421" s="830"/>
      <c r="T1421" s="842"/>
    </row>
    <row r="1422" spans="1:28" s="733" customFormat="1">
      <c r="A1422" s="1099"/>
      <c r="B1422" s="1072" t="s">
        <v>791</v>
      </c>
      <c r="C1422" s="731"/>
      <c r="D1422" s="731"/>
      <c r="E1422" s="1090"/>
      <c r="F1422" s="1090"/>
      <c r="G1422" s="1100">
        <v>0.9</v>
      </c>
      <c r="H1422" s="1072" t="s">
        <v>49</v>
      </c>
      <c r="I1422" s="764" t="s">
        <v>49</v>
      </c>
      <c r="J1422" s="742">
        <f>G13</f>
        <v>1139.45</v>
      </c>
      <c r="K1422" s="726">
        <f>ROUND(G1422*J1422,2)</f>
        <v>1025.51</v>
      </c>
      <c r="L1422" s="830"/>
      <c r="N1422" s="3269">
        <f>J1422+J1445</f>
        <v>1466.4499999999998</v>
      </c>
      <c r="O1422" s="3269"/>
      <c r="P1422" s="714"/>
      <c r="Q1422" s="726">
        <f>ROUND(G1422*N1422,2)</f>
        <v>1319.81</v>
      </c>
      <c r="T1422" s="842"/>
    </row>
    <row r="1423" spans="1:28" s="733" customFormat="1">
      <c r="A1423" s="1099"/>
      <c r="B1423" s="731" t="s">
        <v>775</v>
      </c>
      <c r="C1423" s="731"/>
      <c r="D1423" s="731"/>
      <c r="E1423" s="1090"/>
      <c r="F1423" s="1090"/>
      <c r="G1423" s="1100">
        <v>0.45</v>
      </c>
      <c r="H1423" s="1072" t="s">
        <v>49</v>
      </c>
      <c r="I1423" s="764" t="s">
        <v>49</v>
      </c>
      <c r="J1423" s="742">
        <f>G44</f>
        <v>80.72</v>
      </c>
      <c r="K1423" s="726">
        <f>ROUND(G1423*J1423,2)</f>
        <v>36.32</v>
      </c>
      <c r="L1423" s="830"/>
      <c r="Q1423" s="714">
        <f>K1423</f>
        <v>36.32</v>
      </c>
      <c r="T1423" s="842"/>
    </row>
    <row r="1424" spans="1:28" s="733" customFormat="1">
      <c r="A1424" s="1099"/>
      <c r="B1424" s="731" t="s">
        <v>8</v>
      </c>
      <c r="C1424" s="731"/>
      <c r="D1424" s="731"/>
      <c r="E1424" s="1090"/>
      <c r="F1424" s="1090"/>
      <c r="G1424" s="1100">
        <v>3.23</v>
      </c>
      <c r="H1424" s="1072" t="s">
        <v>247</v>
      </c>
      <c r="I1424" s="764" t="s">
        <v>247</v>
      </c>
      <c r="J1424" s="742">
        <f>G48/10</f>
        <v>640</v>
      </c>
      <c r="K1424" s="726">
        <f>ROUND(G1424*J1424,2)</f>
        <v>2067.1999999999998</v>
      </c>
      <c r="L1424" s="830"/>
      <c r="Q1424" s="714">
        <f>K1424</f>
        <v>2067.1999999999998</v>
      </c>
      <c r="T1424" s="842"/>
    </row>
    <row r="1425" spans="1:20" s="733" customFormat="1">
      <c r="A1425" s="1099"/>
      <c r="B1425" s="731"/>
      <c r="C1425" s="731"/>
      <c r="D1425" s="731"/>
      <c r="E1425" s="1090"/>
      <c r="F1425" s="1090"/>
      <c r="G1425" s="1100"/>
      <c r="H1425" s="1072"/>
      <c r="I1425" s="764"/>
      <c r="J1425" s="1073" t="s">
        <v>718</v>
      </c>
      <c r="K1425" s="769">
        <f>SUM(K1422:K1424)</f>
        <v>3129.0299999999997</v>
      </c>
      <c r="L1425" s="830"/>
      <c r="Q1425" s="714">
        <f>SUM(Q1422:Q1424)</f>
        <v>3423.33</v>
      </c>
      <c r="T1425" s="842"/>
    </row>
    <row r="1426" spans="1:20" s="733" customFormat="1">
      <c r="A1426" s="1099"/>
      <c r="B1426" s="762" t="s">
        <v>781</v>
      </c>
      <c r="C1426" s="731"/>
      <c r="D1426" s="731"/>
      <c r="E1426" s="1090"/>
      <c r="F1426" s="1090"/>
      <c r="G1426" s="1100"/>
      <c r="H1426" s="1072"/>
      <c r="I1426" s="764"/>
      <c r="J1426" s="742"/>
      <c r="K1426" s="742"/>
      <c r="L1426" s="830"/>
      <c r="T1426" s="842"/>
    </row>
    <row r="1427" spans="1:20" s="733" customFormat="1">
      <c r="A1427" s="1099"/>
      <c r="B1427" s="731" t="s">
        <v>782</v>
      </c>
      <c r="C1427" s="731"/>
      <c r="D1427" s="731"/>
      <c r="E1427" s="1090"/>
      <c r="F1427" s="1090"/>
      <c r="G1427" s="1100">
        <v>0.68</v>
      </c>
      <c r="H1427" s="1072" t="s">
        <v>262</v>
      </c>
      <c r="I1427" s="764" t="s">
        <v>38</v>
      </c>
      <c r="J1427" s="742">
        <f>L131</f>
        <v>264.3</v>
      </c>
      <c r="K1427" s="726">
        <f>ROUND(G1427*J1427,2)</f>
        <v>179.72</v>
      </c>
      <c r="L1427" s="830"/>
      <c r="T1427" s="842"/>
    </row>
    <row r="1428" spans="1:20" s="733" customFormat="1">
      <c r="A1428" s="1099"/>
      <c r="B1428" s="731" t="s">
        <v>717</v>
      </c>
      <c r="C1428" s="731"/>
      <c r="D1428" s="731"/>
      <c r="E1428" s="1090"/>
      <c r="F1428" s="1090"/>
      <c r="G1428" s="1100">
        <v>4.5999999999999996</v>
      </c>
      <c r="H1428" s="1072" t="s">
        <v>262</v>
      </c>
      <c r="I1428" s="764" t="s">
        <v>38</v>
      </c>
      <c r="J1428" s="742">
        <f>L129</f>
        <v>182</v>
      </c>
      <c r="K1428" s="726">
        <f>ROUND(G1428*J1428,2)</f>
        <v>837.2</v>
      </c>
      <c r="L1428" s="830"/>
      <c r="Q1428" s="714">
        <f>K1429</f>
        <v>1016.9200000000001</v>
      </c>
      <c r="T1428" s="842"/>
    </row>
    <row r="1429" spans="1:20" s="733" customFormat="1">
      <c r="A1429" s="1099"/>
      <c r="B1429" s="731"/>
      <c r="C1429" s="731"/>
      <c r="D1429" s="731"/>
      <c r="E1429" s="1090"/>
      <c r="F1429" s="1090"/>
      <c r="G1429" s="1100"/>
      <c r="H1429" s="1072"/>
      <c r="I1429" s="764"/>
      <c r="J1429" s="1073" t="s">
        <v>718</v>
      </c>
      <c r="K1429" s="769">
        <f>SUM(K1427:K1428)</f>
        <v>1016.9200000000001</v>
      </c>
      <c r="L1429" s="830"/>
      <c r="T1429" s="842"/>
    </row>
    <row r="1430" spans="1:20" s="733" customFormat="1">
      <c r="A1430" s="1099"/>
      <c r="B1430" s="762"/>
      <c r="C1430" s="731"/>
      <c r="D1430" s="731"/>
      <c r="E1430" s="1090"/>
      <c r="F1430" s="1090"/>
      <c r="G1430" s="1100"/>
      <c r="H1430" s="1072"/>
      <c r="I1430" s="764"/>
      <c r="J1430" s="742"/>
      <c r="K1430" s="769"/>
      <c r="L1430" s="830"/>
      <c r="T1430" s="842"/>
    </row>
    <row r="1431" spans="1:20" s="733" customFormat="1">
      <c r="A1431" s="1099"/>
      <c r="B1431" s="762" t="s">
        <v>792</v>
      </c>
      <c r="C1431" s="731"/>
      <c r="D1431" s="731"/>
      <c r="E1431" s="1090"/>
      <c r="F1431" s="1090"/>
      <c r="G1431" s="1100"/>
      <c r="H1431" s="1072"/>
      <c r="I1431" s="764"/>
      <c r="J1431" s="742"/>
      <c r="K1431" s="742"/>
      <c r="L1431" s="830"/>
      <c r="T1431" s="842"/>
    </row>
    <row r="1432" spans="1:20" s="733" customFormat="1">
      <c r="A1432" s="1099"/>
      <c r="B1432" s="1072" t="str">
        <f>B1422</f>
        <v>B.h.g.c.b. Chips</v>
      </c>
      <c r="C1432" s="731"/>
      <c r="D1432" s="731"/>
      <c r="E1432" s="1090"/>
      <c r="F1432" s="1090"/>
      <c r="G1432" s="1100">
        <f>G1422</f>
        <v>0.9</v>
      </c>
      <c r="H1432" s="1072" t="s">
        <v>49</v>
      </c>
      <c r="I1432" s="764" t="s">
        <v>49</v>
      </c>
      <c r="J1432" s="742">
        <f>K13</f>
        <v>276.01</v>
      </c>
      <c r="K1432" s="726">
        <f>ROUND(G1432*J1432,2)</f>
        <v>248.41</v>
      </c>
      <c r="L1432" s="830"/>
      <c r="N1432" s="1101">
        <f>K12</f>
        <v>276.01</v>
      </c>
      <c r="T1432" s="842"/>
    </row>
    <row r="1433" spans="1:20" s="733" customFormat="1">
      <c r="A1433" s="1099"/>
      <c r="B1433" s="731" t="s">
        <v>775</v>
      </c>
      <c r="C1433" s="731"/>
      <c r="D1433" s="731"/>
      <c r="E1433" s="1090"/>
      <c r="F1433" s="1090"/>
      <c r="G1433" s="1100">
        <f>G1423</f>
        <v>0.45</v>
      </c>
      <c r="H1433" s="1072" t="s">
        <v>49</v>
      </c>
      <c r="I1433" s="764" t="s">
        <v>49</v>
      </c>
      <c r="J1433" s="742">
        <f>K44</f>
        <v>731.71</v>
      </c>
      <c r="K1433" s="726">
        <f>ROUND(G1433*J1433,2)</f>
        <v>329.27</v>
      </c>
      <c r="L1433" s="830"/>
      <c r="T1433" s="842"/>
    </row>
    <row r="1434" spans="1:20" s="733" customFormat="1">
      <c r="A1434" s="1099"/>
      <c r="B1434" s="731" t="s">
        <v>8</v>
      </c>
      <c r="C1434" s="731"/>
      <c r="D1434" s="731"/>
      <c r="E1434" s="1090"/>
      <c r="F1434" s="1090"/>
      <c r="G1434" s="1100">
        <f>G1424</f>
        <v>3.23</v>
      </c>
      <c r="H1434" s="1072" t="s">
        <v>247</v>
      </c>
      <c r="I1434" s="764" t="s">
        <v>247</v>
      </c>
      <c r="J1434" s="742">
        <f>K48/10</f>
        <v>24.786999999999999</v>
      </c>
      <c r="K1434" s="726">
        <f>ROUND(G1434*J1434,2)</f>
        <v>80.06</v>
      </c>
      <c r="L1434" s="830"/>
      <c r="T1434" s="842"/>
    </row>
    <row r="1435" spans="1:20" s="733" customFormat="1">
      <c r="A1435" s="1099"/>
      <c r="B1435" s="731"/>
      <c r="C1435" s="731"/>
      <c r="D1435" s="731"/>
      <c r="E1435" s="1090"/>
      <c r="F1435" s="1090"/>
      <c r="G1435" s="1100"/>
      <c r="H1435" s="1072"/>
      <c r="I1435" s="764"/>
      <c r="J1435" s="1073" t="s">
        <v>718</v>
      </c>
      <c r="K1435" s="769">
        <f>SUM(K1432:K1434)</f>
        <v>657.74</v>
      </c>
      <c r="L1435" s="830"/>
      <c r="T1435" s="842"/>
    </row>
    <row r="1436" spans="1:20" s="842" customFormat="1">
      <c r="A1436" s="1102"/>
      <c r="B1436" s="762" t="s">
        <v>793</v>
      </c>
      <c r="C1436" s="762"/>
      <c r="D1436" s="762"/>
      <c r="E1436" s="1103"/>
      <c r="F1436" s="1103"/>
      <c r="G1436" s="1104"/>
      <c r="H1436" s="830"/>
      <c r="I1436" s="768"/>
      <c r="J1436" s="769"/>
      <c r="K1436" s="769">
        <f>K1425+K1429+K1430+K1435</f>
        <v>4803.6899999999996</v>
      </c>
      <c r="L1436" s="830" t="s">
        <v>721</v>
      </c>
      <c r="M1436" s="733"/>
      <c r="N1436" s="733"/>
      <c r="O1436" s="733"/>
      <c r="P1436" s="733"/>
    </row>
    <row r="1437" spans="1:20" s="723" customFormat="1">
      <c r="A1437" s="836" t="str">
        <f>A260</f>
        <v>(ii)</v>
      </c>
      <c r="B1437" s="723" t="str">
        <f>B260</f>
        <v>First Floor</v>
      </c>
      <c r="E1437" s="1089" t="str">
        <f>G260</f>
        <v>Each Sqm</v>
      </c>
      <c r="F1437" s="1089"/>
      <c r="G1437" s="1098"/>
      <c r="I1437" s="836"/>
      <c r="J1437" s="1091"/>
      <c r="K1437" s="1091"/>
    </row>
    <row r="1438" spans="1:20">
      <c r="B1438" s="722" t="s">
        <v>794</v>
      </c>
      <c r="G1438" s="987"/>
      <c r="J1438" s="726"/>
      <c r="K1438" s="726">
        <f>K1436</f>
        <v>4803.6899999999996</v>
      </c>
    </row>
    <row r="1439" spans="1:20">
      <c r="B1439" s="722" t="s">
        <v>795</v>
      </c>
      <c r="G1439" s="987"/>
      <c r="J1439" s="726"/>
      <c r="K1439" s="726">
        <f>ROUND(K1429*15%,2)</f>
        <v>152.54</v>
      </c>
    </row>
    <row r="1440" spans="1:20">
      <c r="G1440" s="987"/>
      <c r="J1440" s="827" t="s">
        <v>718</v>
      </c>
      <c r="K1440" s="1091">
        <f>SUM(K1438:K1439)</f>
        <v>4956.2299999999996</v>
      </c>
      <c r="L1440" s="723" t="s">
        <v>721</v>
      </c>
    </row>
    <row r="1441" spans="1:16">
      <c r="G1441" s="987"/>
      <c r="J1441" s="827"/>
      <c r="K1441" s="1091"/>
    </row>
    <row r="1442" spans="1:16">
      <c r="A1442" s="716" t="s">
        <v>220</v>
      </c>
      <c r="B1442" s="716" t="s">
        <v>790</v>
      </c>
      <c r="C1442" s="714"/>
      <c r="D1442" s="714"/>
      <c r="E1442" s="714"/>
      <c r="F1442" s="714"/>
      <c r="G1442" s="714"/>
      <c r="H1442" s="714"/>
      <c r="I1442" s="714"/>
      <c r="J1442" s="714"/>
      <c r="K1442" s="714"/>
      <c r="L1442" s="714"/>
      <c r="M1442" s="714"/>
      <c r="N1442" s="714"/>
      <c r="O1442" s="714"/>
      <c r="P1442" s="714"/>
    </row>
    <row r="1443" spans="1:16" ht="14.25" customHeight="1">
      <c r="A1443" s="714" t="str">
        <f>A283</f>
        <v>(i)</v>
      </c>
      <c r="B1443" s="714" t="s">
        <v>384</v>
      </c>
      <c r="C1443" s="714"/>
      <c r="D1443" s="714"/>
      <c r="E1443" s="714"/>
      <c r="F1443" s="714"/>
      <c r="G1443" s="714"/>
      <c r="H1443" s="714"/>
      <c r="I1443" s="714"/>
      <c r="J1443" s="714"/>
      <c r="K1443" s="714"/>
      <c r="L1443" s="714"/>
      <c r="M1443" s="714"/>
      <c r="N1443" s="714"/>
      <c r="O1443" s="714"/>
      <c r="P1443" s="714"/>
    </row>
    <row r="1444" spans="1:16">
      <c r="A1444" s="714"/>
      <c r="B1444" s="714" t="s">
        <v>787</v>
      </c>
      <c r="C1444" s="714"/>
      <c r="D1444" s="714"/>
      <c r="E1444" s="714"/>
      <c r="F1444" s="714"/>
      <c r="G1444" s="714"/>
      <c r="H1444" s="714"/>
      <c r="I1444" s="714"/>
      <c r="J1444" s="714"/>
      <c r="K1444" s="714">
        <f>K1436</f>
        <v>4803.6899999999996</v>
      </c>
      <c r="L1444" s="714"/>
      <c r="M1444" s="714"/>
      <c r="N1444" s="714"/>
      <c r="O1444" s="714"/>
      <c r="P1444" s="714"/>
    </row>
    <row r="1445" spans="1:16">
      <c r="A1445" s="714"/>
      <c r="B1445" s="714" t="s">
        <v>788</v>
      </c>
      <c r="C1445" s="714"/>
      <c r="D1445" s="714"/>
      <c r="E1445" s="714"/>
      <c r="F1445" s="714"/>
      <c r="G1445" s="714">
        <f>G1432</f>
        <v>0.9</v>
      </c>
      <c r="H1445" s="714" t="s">
        <v>49</v>
      </c>
      <c r="I1445" s="714" t="s">
        <v>49</v>
      </c>
      <c r="J1445" s="714">
        <f>G12-G13</f>
        <v>326.99999999999977</v>
      </c>
      <c r="K1445" s="714">
        <f>ROUND(G1445*J1445,2)</f>
        <v>294.3</v>
      </c>
      <c r="L1445" s="714"/>
      <c r="M1445" s="714"/>
      <c r="N1445" s="714"/>
      <c r="O1445" s="714"/>
      <c r="P1445" s="714"/>
    </row>
    <row r="1446" spans="1:16">
      <c r="A1446" s="714"/>
      <c r="B1446" s="714"/>
      <c r="C1446" s="714"/>
      <c r="D1446" s="714"/>
      <c r="E1446" s="714"/>
      <c r="F1446" s="714"/>
      <c r="G1446" s="714"/>
      <c r="H1446" s="714"/>
      <c r="I1446" s="714"/>
      <c r="J1446" s="714"/>
      <c r="K1446" s="716">
        <f>SUM(K1444:K1445)</f>
        <v>5097.99</v>
      </c>
      <c r="L1446" s="716" t="s">
        <v>721</v>
      </c>
      <c r="M1446" s="714"/>
      <c r="N1446" s="714"/>
      <c r="O1446" s="714"/>
      <c r="P1446" s="714"/>
    </row>
    <row r="1447" spans="1:16" s="723" customFormat="1">
      <c r="A1447" s="714" t="str">
        <f>A269</f>
        <v>(ii)</v>
      </c>
      <c r="B1447" s="714" t="str">
        <f>B269</f>
        <v>First Floor</v>
      </c>
      <c r="C1447" s="714"/>
      <c r="D1447" s="714"/>
      <c r="E1447" s="714" t="str">
        <f>G269</f>
        <v>Each Cum</v>
      </c>
      <c r="F1447" s="714"/>
      <c r="G1447" s="714"/>
      <c r="H1447" s="714"/>
      <c r="I1447" s="714"/>
      <c r="J1447" s="714"/>
      <c r="K1447" s="714"/>
      <c r="L1447" s="714"/>
      <c r="M1447" s="714"/>
      <c r="N1447" s="714"/>
      <c r="O1447" s="714"/>
      <c r="P1447" s="714"/>
    </row>
    <row r="1448" spans="1:16">
      <c r="A1448" s="714"/>
      <c r="B1448" s="714" t="s">
        <v>794</v>
      </c>
      <c r="C1448" s="714"/>
      <c r="D1448" s="714"/>
      <c r="E1448" s="714"/>
      <c r="F1448" s="714"/>
      <c r="G1448" s="714"/>
      <c r="H1448" s="714"/>
      <c r="I1448" s="714"/>
      <c r="J1448" s="714"/>
      <c r="K1448" s="714">
        <f>K1446</f>
        <v>5097.99</v>
      </c>
      <c r="L1448" s="714"/>
      <c r="M1448" s="714"/>
      <c r="N1448" s="714"/>
      <c r="O1448" s="714"/>
      <c r="P1448" s="714"/>
    </row>
    <row r="1449" spans="1:16">
      <c r="A1449" s="714"/>
      <c r="B1449" s="714" t="s">
        <v>795</v>
      </c>
      <c r="C1449" s="714"/>
      <c r="D1449" s="714"/>
      <c r="E1449" s="714"/>
      <c r="F1449" s="714"/>
      <c r="G1449" s="714"/>
      <c r="H1449" s="714"/>
      <c r="I1449" s="714"/>
      <c r="J1449" s="714"/>
      <c r="K1449" s="714">
        <f>ROUND(K1429*15%,2)</f>
        <v>152.54</v>
      </c>
      <c r="L1449" s="714"/>
      <c r="M1449" s="714"/>
      <c r="N1449" s="714"/>
      <c r="O1449" s="714"/>
      <c r="P1449" s="714"/>
    </row>
    <row r="1450" spans="1:16">
      <c r="A1450" s="714"/>
      <c r="B1450" s="714"/>
      <c r="C1450" s="714"/>
      <c r="D1450" s="714"/>
      <c r="E1450" s="714"/>
      <c r="F1450" s="714"/>
      <c r="G1450" s="714"/>
      <c r="H1450" s="714"/>
      <c r="I1450" s="714"/>
      <c r="J1450" s="714" t="s">
        <v>718</v>
      </c>
      <c r="K1450" s="716">
        <f>SUM(K1448:K1449)</f>
        <v>5250.53</v>
      </c>
      <c r="L1450" s="716" t="s">
        <v>721</v>
      </c>
      <c r="M1450" s="714"/>
      <c r="N1450" s="714"/>
      <c r="O1450" s="714"/>
      <c r="P1450" s="714"/>
    </row>
    <row r="1451" spans="1:16" ht="39" customHeight="1">
      <c r="A1451" s="836">
        <f>A339</f>
        <v>37</v>
      </c>
      <c r="B1451" s="3386" t="str">
        <f>B339</f>
        <v>W.B.K.B brick masonry in cement mortar (1:4) using kiln Burnt bricks of 10” size etc. complete in all respect as directed by the Engineer-in-charge.</v>
      </c>
      <c r="C1451" s="3386"/>
      <c r="D1451" s="3386"/>
      <c r="E1451" s="1086" t="str">
        <f>G339</f>
        <v>Each Cum</v>
      </c>
      <c r="F1451" s="1086"/>
      <c r="G1451" s="987"/>
      <c r="J1451" s="1091"/>
      <c r="K1451" s="1091"/>
    </row>
    <row r="1452" spans="1:16">
      <c r="B1452" s="723" t="s">
        <v>777</v>
      </c>
      <c r="C1452" s="723"/>
      <c r="D1452" s="723"/>
      <c r="G1452" s="1098"/>
      <c r="H1452" s="723"/>
      <c r="I1452" s="836"/>
      <c r="J1452" s="1091"/>
      <c r="K1452" s="1091"/>
      <c r="M1452" s="726"/>
    </row>
    <row r="1453" spans="1:16">
      <c r="A1453" s="836" t="str">
        <f>A340</f>
        <v>(i)</v>
      </c>
      <c r="B1453" s="723" t="str">
        <f>B340</f>
        <v>Foundation &amp; Plinth</v>
      </c>
      <c r="E1453" s="1089" t="str">
        <f>G340</f>
        <v>Each Cum</v>
      </c>
      <c r="F1453" s="1089"/>
      <c r="G1453" s="987"/>
      <c r="J1453" s="726"/>
      <c r="K1453" s="726"/>
    </row>
    <row r="1454" spans="1:16">
      <c r="B1454" s="723" t="s">
        <v>779</v>
      </c>
      <c r="G1454" s="987"/>
      <c r="J1454" s="726"/>
      <c r="K1454" s="726"/>
    </row>
    <row r="1455" spans="1:16">
      <c r="B1455" s="722" t="s">
        <v>796</v>
      </c>
      <c r="G1455" s="726">
        <v>350</v>
      </c>
      <c r="H1455" s="722" t="s">
        <v>262</v>
      </c>
      <c r="I1455" s="724" t="s">
        <v>262</v>
      </c>
      <c r="J1455" s="987">
        <f>G25/1000</f>
        <v>6.4109499999999997</v>
      </c>
      <c r="K1455" s="726">
        <f>ROUND(G1455*J1455,2)</f>
        <v>2243.83</v>
      </c>
    </row>
    <row r="1456" spans="1:16">
      <c r="B1456" s="722" t="s">
        <v>775</v>
      </c>
      <c r="G1456" s="987">
        <v>0.28000000000000003</v>
      </c>
      <c r="H1456" s="722" t="s">
        <v>49</v>
      </c>
      <c r="I1456" s="724" t="s">
        <v>49</v>
      </c>
      <c r="J1456" s="726">
        <f>G44</f>
        <v>80.72</v>
      </c>
      <c r="K1456" s="726">
        <f>ROUND(G1456*J1456,2)</f>
        <v>22.6</v>
      </c>
    </row>
    <row r="1457" spans="1:12">
      <c r="B1457" s="722" t="s">
        <v>8</v>
      </c>
      <c r="G1457" s="987">
        <v>1</v>
      </c>
      <c r="H1457" s="722" t="s">
        <v>247</v>
      </c>
      <c r="I1457" s="724" t="s">
        <v>247</v>
      </c>
      <c r="J1457" s="726">
        <f>G48/10</f>
        <v>640</v>
      </c>
      <c r="K1457" s="726">
        <f>ROUND(G1457*J1457,2)</f>
        <v>640</v>
      </c>
    </row>
    <row r="1458" spans="1:12">
      <c r="G1458" s="987"/>
      <c r="J1458" s="827" t="s">
        <v>718</v>
      </c>
      <c r="K1458" s="1091">
        <f>SUM(K1455:K1457)</f>
        <v>2906.43</v>
      </c>
    </row>
    <row r="1459" spans="1:12">
      <c r="B1459" s="723" t="s">
        <v>781</v>
      </c>
      <c r="G1459" s="987"/>
      <c r="J1459" s="726"/>
      <c r="K1459" s="726"/>
    </row>
    <row r="1460" spans="1:12">
      <c r="B1460" s="722" t="s">
        <v>797</v>
      </c>
      <c r="G1460" s="987">
        <v>0.35</v>
      </c>
      <c r="H1460" s="722" t="s">
        <v>262</v>
      </c>
      <c r="I1460" s="724" t="s">
        <v>38</v>
      </c>
      <c r="J1460" s="726">
        <f>L132</f>
        <v>284.3</v>
      </c>
      <c r="K1460" s="726">
        <f>ROUND(G1460*J1460,2)</f>
        <v>99.51</v>
      </c>
    </row>
    <row r="1461" spans="1:12">
      <c r="B1461" s="722" t="s">
        <v>782</v>
      </c>
      <c r="G1461" s="987">
        <v>1.05</v>
      </c>
      <c r="H1461" s="722" t="s">
        <v>262</v>
      </c>
      <c r="I1461" s="724" t="s">
        <v>38</v>
      </c>
      <c r="J1461" s="726">
        <f>L131</f>
        <v>264.3</v>
      </c>
      <c r="K1461" s="726">
        <f>ROUND(G1461*J1461,2)</f>
        <v>277.52</v>
      </c>
    </row>
    <row r="1462" spans="1:12">
      <c r="B1462" s="722" t="s">
        <v>717</v>
      </c>
      <c r="G1462" s="987">
        <v>2.96</v>
      </c>
      <c r="H1462" s="722" t="s">
        <v>262</v>
      </c>
      <c r="I1462" s="724" t="s">
        <v>38</v>
      </c>
      <c r="J1462" s="726">
        <f>L129</f>
        <v>182</v>
      </c>
      <c r="K1462" s="726">
        <f>ROUND(G1462*J1462,2)</f>
        <v>538.72</v>
      </c>
    </row>
    <row r="1463" spans="1:12">
      <c r="G1463" s="987"/>
      <c r="J1463" s="1096" t="s">
        <v>718</v>
      </c>
      <c r="K1463" s="1091">
        <f>SUM(K1460:K1462)</f>
        <v>915.75</v>
      </c>
    </row>
    <row r="1464" spans="1:12">
      <c r="B1464" s="723"/>
      <c r="G1464" s="987"/>
      <c r="J1464" s="726"/>
      <c r="K1464" s="726"/>
    </row>
    <row r="1465" spans="1:12">
      <c r="B1465" s="723" t="s">
        <v>798</v>
      </c>
      <c r="G1465" s="987"/>
      <c r="J1465" s="726"/>
      <c r="K1465" s="726"/>
    </row>
    <row r="1466" spans="1:12">
      <c r="B1466" s="722" t="str">
        <f>B1455</f>
        <v>W.B.K.B. brick 25cm x 12cm x 8cm size</v>
      </c>
      <c r="G1466" s="726">
        <f>G1455</f>
        <v>350</v>
      </c>
      <c r="H1466" s="722" t="s">
        <v>262</v>
      </c>
      <c r="I1466" s="724" t="s">
        <v>262</v>
      </c>
      <c r="J1466" s="987">
        <f>K25/1000</f>
        <v>0.86409999999999998</v>
      </c>
      <c r="K1466" s="726">
        <f>ROUND(G1466*J1466,2)</f>
        <v>302.44</v>
      </c>
    </row>
    <row r="1467" spans="1:12">
      <c r="B1467" s="722" t="s">
        <v>775</v>
      </c>
      <c r="G1467" s="987">
        <f>G1456</f>
        <v>0.28000000000000003</v>
      </c>
      <c r="H1467" s="722" t="s">
        <v>49</v>
      </c>
      <c r="I1467" s="724" t="s">
        <v>49</v>
      </c>
      <c r="J1467" s="726">
        <f>K44</f>
        <v>731.71</v>
      </c>
      <c r="K1467" s="726">
        <f>ROUND(G1467*J1467,2)</f>
        <v>204.88</v>
      </c>
    </row>
    <row r="1468" spans="1:12">
      <c r="B1468" s="722" t="s">
        <v>8</v>
      </c>
      <c r="G1468" s="987">
        <f>G1457</f>
        <v>1</v>
      </c>
      <c r="H1468" s="722" t="s">
        <v>247</v>
      </c>
      <c r="I1468" s="724" t="s">
        <v>247</v>
      </c>
      <c r="J1468" s="726">
        <f>K48/10</f>
        <v>24.786999999999999</v>
      </c>
      <c r="K1468" s="726">
        <f>ROUND(G1468*J1468,2)</f>
        <v>24.79</v>
      </c>
    </row>
    <row r="1469" spans="1:12">
      <c r="G1469" s="987"/>
      <c r="J1469" s="1096" t="s">
        <v>718</v>
      </c>
      <c r="K1469" s="726">
        <f>SUM(K1466:K1468)</f>
        <v>532.11</v>
      </c>
    </row>
    <row r="1470" spans="1:12">
      <c r="B1470" s="723" t="s">
        <v>793</v>
      </c>
      <c r="G1470" s="987"/>
      <c r="J1470" s="726"/>
      <c r="K1470" s="1091">
        <f>K1458+K1463+K1464+K1469</f>
        <v>4354.29</v>
      </c>
      <c r="L1470" s="723" t="s">
        <v>721</v>
      </c>
    </row>
    <row r="1471" spans="1:12" s="723" customFormat="1">
      <c r="A1471" s="836" t="str">
        <f>A341</f>
        <v>(ii)</v>
      </c>
      <c r="B1471" s="723" t="str">
        <f>B341</f>
        <v>Superstructure of Ground Floor</v>
      </c>
      <c r="E1471" s="1089" t="str">
        <f>G341</f>
        <v>Each Cum</v>
      </c>
      <c r="F1471" s="1089"/>
      <c r="G1471" s="1098"/>
      <c r="I1471" s="836"/>
      <c r="J1471" s="1091"/>
      <c r="K1471" s="1091"/>
    </row>
    <row r="1472" spans="1:12">
      <c r="B1472" s="722" t="s">
        <v>799</v>
      </c>
      <c r="G1472" s="987"/>
      <c r="J1472" s="726"/>
      <c r="K1472" s="726">
        <f>K1470</f>
        <v>4354.29</v>
      </c>
    </row>
    <row r="1473" spans="1:18">
      <c r="B1473" s="722" t="s">
        <v>800</v>
      </c>
      <c r="G1473" s="987"/>
      <c r="J1473" s="726"/>
      <c r="K1473" s="726">
        <f>M197</f>
        <v>33</v>
      </c>
    </row>
    <row r="1474" spans="1:18">
      <c r="G1474" s="987"/>
      <c r="J1474" s="827" t="s">
        <v>718</v>
      </c>
      <c r="K1474" s="1091">
        <f>SUM(K1472:K1473)</f>
        <v>4387.29</v>
      </c>
      <c r="L1474" s="723" t="s">
        <v>721</v>
      </c>
    </row>
    <row r="1475" spans="1:18" s="723" customFormat="1">
      <c r="A1475" s="836" t="str">
        <f>A342</f>
        <v>(iii)</v>
      </c>
      <c r="B1475" s="723" t="str">
        <f>B342</f>
        <v>Superstructure of First Floor</v>
      </c>
      <c r="E1475" s="1089" t="str">
        <f>G342</f>
        <v>Each Cum</v>
      </c>
      <c r="F1475" s="1089"/>
      <c r="G1475" s="1098"/>
      <c r="I1475" s="836"/>
      <c r="J1475" s="1091"/>
      <c r="K1475" s="1091"/>
    </row>
    <row r="1476" spans="1:18">
      <c r="B1476" s="722" t="s">
        <v>801</v>
      </c>
      <c r="G1476" s="987"/>
      <c r="J1476" s="726"/>
      <c r="K1476" s="726">
        <f>K1474</f>
        <v>4387.29</v>
      </c>
    </row>
    <row r="1477" spans="1:18">
      <c r="B1477" s="722" t="s">
        <v>795</v>
      </c>
      <c r="G1477" s="987"/>
      <c r="J1477" s="726"/>
      <c r="K1477" s="726">
        <f>ROUND(K1463*15%,2)</f>
        <v>137.36000000000001</v>
      </c>
    </row>
    <row r="1478" spans="1:18">
      <c r="G1478" s="987"/>
      <c r="J1478" s="827" t="s">
        <v>718</v>
      </c>
      <c r="K1478" s="1091">
        <f>SUM(K1476:K1477)</f>
        <v>4524.6499999999996</v>
      </c>
      <c r="L1478" s="723" t="s">
        <v>721</v>
      </c>
    </row>
    <row r="1479" spans="1:18" ht="38.25" customHeight="1">
      <c r="A1479" s="836">
        <f>A343</f>
        <v>38</v>
      </c>
      <c r="B1479" s="3386" t="str">
        <f>B343</f>
        <v>W.B.K.B brick masonry in cement mortar (1:6) using kiln Burnt bricks of 10”  etc. complete in all respect as directed by the Engineer-in-charge.</v>
      </c>
      <c r="C1479" s="3386"/>
      <c r="D1479" s="3386"/>
      <c r="E1479" s="1086" t="str">
        <f>G343</f>
        <v>Each Cum</v>
      </c>
      <c r="F1479" s="1086"/>
      <c r="G1479" s="987"/>
      <c r="J1479" s="1091"/>
      <c r="K1479" s="1091"/>
      <c r="M1479" s="726"/>
    </row>
    <row r="1480" spans="1:18">
      <c r="B1480" s="723" t="s">
        <v>777</v>
      </c>
      <c r="G1480" s="987"/>
      <c r="J1480" s="726"/>
      <c r="K1480" s="726"/>
    </row>
    <row r="1481" spans="1:18" s="723" customFormat="1">
      <c r="A1481" s="836" t="str">
        <f>A344</f>
        <v>(i)</v>
      </c>
      <c r="B1481" s="723" t="str">
        <f>B344</f>
        <v>Foundation &amp; Plinth</v>
      </c>
      <c r="E1481" s="1089" t="str">
        <f>G344</f>
        <v>Each Cum</v>
      </c>
      <c r="F1481" s="1089"/>
      <c r="G1481" s="1098"/>
      <c r="I1481" s="836"/>
      <c r="J1481" s="1091"/>
      <c r="K1481" s="1091"/>
      <c r="M1481" s="722"/>
      <c r="N1481" s="722"/>
      <c r="O1481" s="722"/>
      <c r="P1481" s="722"/>
      <c r="Q1481" s="722"/>
      <c r="R1481" s="722"/>
    </row>
    <row r="1482" spans="1:18">
      <c r="B1482" s="723" t="s">
        <v>779</v>
      </c>
      <c r="G1482" s="987"/>
      <c r="J1482" s="726"/>
      <c r="K1482" s="726"/>
    </row>
    <row r="1483" spans="1:18">
      <c r="B1483" s="722" t="s">
        <v>796</v>
      </c>
      <c r="G1483" s="726">
        <v>350</v>
      </c>
      <c r="H1483" s="722" t="s">
        <v>262</v>
      </c>
      <c r="I1483" s="724" t="s">
        <v>262</v>
      </c>
      <c r="J1483" s="987">
        <f>G25/1000</f>
        <v>6.4109499999999997</v>
      </c>
      <c r="K1483" s="726">
        <f>ROUND(G1483*J1483,2)</f>
        <v>2243.83</v>
      </c>
    </row>
    <row r="1484" spans="1:18">
      <c r="B1484" s="722" t="s">
        <v>775</v>
      </c>
      <c r="G1484" s="987">
        <v>0.28000000000000003</v>
      </c>
      <c r="H1484" s="722" t="s">
        <v>49</v>
      </c>
      <c r="I1484" s="724" t="s">
        <v>49</v>
      </c>
      <c r="J1484" s="726">
        <f>G44</f>
        <v>80.72</v>
      </c>
      <c r="K1484" s="726">
        <f>ROUND(G1484*J1484,2)</f>
        <v>22.6</v>
      </c>
    </row>
    <row r="1485" spans="1:18">
      <c r="B1485" s="722" t="s">
        <v>8</v>
      </c>
      <c r="G1485" s="987">
        <v>0.67200000000000004</v>
      </c>
      <c r="H1485" s="722" t="s">
        <v>247</v>
      </c>
      <c r="I1485" s="724" t="s">
        <v>247</v>
      </c>
      <c r="J1485" s="726">
        <f>G48/10</f>
        <v>640</v>
      </c>
      <c r="K1485" s="726">
        <f>ROUND(G1485*J1485,2)</f>
        <v>430.08</v>
      </c>
    </row>
    <row r="1486" spans="1:18">
      <c r="G1486" s="987"/>
      <c r="J1486" s="1096" t="s">
        <v>718</v>
      </c>
      <c r="K1486" s="726">
        <f>SUM(K1483:K1485)</f>
        <v>2696.5099999999998</v>
      </c>
    </row>
    <row r="1487" spans="1:18">
      <c r="B1487" s="723" t="s">
        <v>781</v>
      </c>
      <c r="G1487" s="987"/>
      <c r="J1487" s="726"/>
      <c r="K1487" s="726"/>
    </row>
    <row r="1488" spans="1:18">
      <c r="B1488" s="722" t="s">
        <v>797</v>
      </c>
      <c r="G1488" s="987">
        <v>0.35</v>
      </c>
      <c r="H1488" s="722" t="s">
        <v>262</v>
      </c>
      <c r="I1488" s="724" t="s">
        <v>38</v>
      </c>
      <c r="J1488" s="726">
        <f>L132</f>
        <v>284.3</v>
      </c>
      <c r="K1488" s="726">
        <f>ROUND(G1488*J1488,2)</f>
        <v>99.51</v>
      </c>
    </row>
    <row r="1489" spans="1:12">
      <c r="B1489" s="722" t="s">
        <v>782</v>
      </c>
      <c r="G1489" s="987">
        <v>1.05</v>
      </c>
      <c r="H1489" s="722" t="s">
        <v>262</v>
      </c>
      <c r="I1489" s="724" t="s">
        <v>38</v>
      </c>
      <c r="J1489" s="726">
        <f>L131</f>
        <v>264.3</v>
      </c>
      <c r="K1489" s="726">
        <f>ROUND(G1489*J1489,2)</f>
        <v>277.52</v>
      </c>
    </row>
    <row r="1490" spans="1:12">
      <c r="B1490" s="722" t="s">
        <v>717</v>
      </c>
      <c r="G1490" s="987">
        <v>2.96</v>
      </c>
      <c r="H1490" s="722" t="s">
        <v>262</v>
      </c>
      <c r="I1490" s="724" t="s">
        <v>38</v>
      </c>
      <c r="J1490" s="726">
        <f>L129</f>
        <v>182</v>
      </c>
      <c r="K1490" s="726">
        <f>ROUND(G1490*J1490,2)</f>
        <v>538.72</v>
      </c>
    </row>
    <row r="1491" spans="1:12">
      <c r="G1491" s="987"/>
      <c r="J1491" s="1096" t="s">
        <v>718</v>
      </c>
      <c r="K1491" s="726">
        <f>SUM(K1488:K1490)</f>
        <v>915.75</v>
      </c>
    </row>
    <row r="1492" spans="1:12">
      <c r="B1492" s="723"/>
      <c r="G1492" s="987"/>
      <c r="J1492" s="726"/>
      <c r="K1492" s="726"/>
    </row>
    <row r="1493" spans="1:12">
      <c r="B1493" s="723" t="s">
        <v>783</v>
      </c>
      <c r="G1493" s="987"/>
      <c r="J1493" s="726"/>
      <c r="K1493" s="726"/>
    </row>
    <row r="1494" spans="1:12">
      <c r="B1494" s="722" t="str">
        <f>B1483</f>
        <v>W.B.K.B. brick 25cm x 12cm x 8cm size</v>
      </c>
      <c r="G1494" s="726">
        <f>G1483</f>
        <v>350</v>
      </c>
      <c r="H1494" s="722" t="s">
        <v>262</v>
      </c>
      <c r="I1494" s="724" t="s">
        <v>262</v>
      </c>
      <c r="J1494" s="987">
        <f>K25/1000</f>
        <v>0.86409999999999998</v>
      </c>
      <c r="K1494" s="726">
        <f>ROUND(G1494*J1494,2)</f>
        <v>302.44</v>
      </c>
    </row>
    <row r="1495" spans="1:12">
      <c r="B1495" s="722" t="s">
        <v>775</v>
      </c>
      <c r="G1495" s="987">
        <f>G1484</f>
        <v>0.28000000000000003</v>
      </c>
      <c r="H1495" s="722" t="s">
        <v>49</v>
      </c>
      <c r="I1495" s="724" t="s">
        <v>49</v>
      </c>
      <c r="J1495" s="726">
        <f>K44</f>
        <v>731.71</v>
      </c>
      <c r="K1495" s="726">
        <f>ROUND(G1495*J1495,2)</f>
        <v>204.88</v>
      </c>
    </row>
    <row r="1496" spans="1:12">
      <c r="B1496" s="722" t="s">
        <v>8</v>
      </c>
      <c r="G1496" s="987">
        <f>G1485</f>
        <v>0.67200000000000004</v>
      </c>
      <c r="H1496" s="722" t="s">
        <v>247</v>
      </c>
      <c r="I1496" s="724" t="s">
        <v>247</v>
      </c>
      <c r="J1496" s="726">
        <f>K48/10</f>
        <v>24.786999999999999</v>
      </c>
      <c r="K1496" s="726">
        <f>ROUND(G1496*J1496,2)</f>
        <v>16.66</v>
      </c>
    </row>
    <row r="1497" spans="1:12">
      <c r="G1497" s="987"/>
      <c r="J1497" s="1096" t="s">
        <v>718</v>
      </c>
      <c r="K1497" s="726">
        <f>SUM(K1494:K1496)</f>
        <v>523.98</v>
      </c>
    </row>
    <row r="1498" spans="1:12">
      <c r="B1498" s="722" t="s">
        <v>785</v>
      </c>
      <c r="G1498" s="987"/>
      <c r="J1498" s="726"/>
      <c r="K1498" s="1091">
        <f>K1486+K1491+K1492+K1497</f>
        <v>4136.24</v>
      </c>
      <c r="L1498" s="723" t="s">
        <v>721</v>
      </c>
    </row>
    <row r="1499" spans="1:12" s="723" customFormat="1">
      <c r="A1499" s="836" t="str">
        <f>A345</f>
        <v>(ii)</v>
      </c>
      <c r="B1499" s="723" t="str">
        <f>B345</f>
        <v>Superstructure of Ground Floor</v>
      </c>
      <c r="E1499" s="1089" t="str">
        <f>G345</f>
        <v>Each Cum</v>
      </c>
      <c r="F1499" s="1089"/>
      <c r="G1499" s="1098"/>
      <c r="I1499" s="836"/>
      <c r="J1499" s="1091"/>
      <c r="K1499" s="1091"/>
    </row>
    <row r="1500" spans="1:12">
      <c r="B1500" s="722" t="s">
        <v>799</v>
      </c>
      <c r="G1500" s="987"/>
      <c r="J1500" s="726"/>
      <c r="K1500" s="726">
        <f>K1498</f>
        <v>4136.24</v>
      </c>
    </row>
    <row r="1501" spans="1:12">
      <c r="B1501" s="722" t="s">
        <v>800</v>
      </c>
      <c r="G1501" s="987"/>
      <c r="J1501" s="726"/>
      <c r="K1501" s="726">
        <f>M197</f>
        <v>33</v>
      </c>
    </row>
    <row r="1502" spans="1:12">
      <c r="G1502" s="987"/>
      <c r="J1502" s="827" t="s">
        <v>718</v>
      </c>
      <c r="K1502" s="1091">
        <f>SUM(K1500:K1501)</f>
        <v>4169.24</v>
      </c>
      <c r="L1502" s="723" t="s">
        <v>721</v>
      </c>
    </row>
    <row r="1503" spans="1:12" s="723" customFormat="1">
      <c r="A1503" s="836" t="str">
        <f>A346</f>
        <v>(iii)</v>
      </c>
      <c r="B1503" s="723" t="str">
        <f>B346</f>
        <v>Superstructure of First Floor</v>
      </c>
      <c r="E1503" s="1089" t="str">
        <f>G346</f>
        <v>Each Cum</v>
      </c>
      <c r="F1503" s="1089"/>
      <c r="G1503" s="1098"/>
      <c r="I1503" s="836"/>
      <c r="J1503" s="1091"/>
      <c r="K1503" s="1091"/>
    </row>
    <row r="1504" spans="1:12">
      <c r="B1504" s="722" t="s">
        <v>801</v>
      </c>
      <c r="G1504" s="987"/>
      <c r="J1504" s="726"/>
      <c r="K1504" s="726">
        <f>K1502</f>
        <v>4169.24</v>
      </c>
    </row>
    <row r="1505" spans="1:18">
      <c r="B1505" s="722" t="s">
        <v>795</v>
      </c>
      <c r="G1505" s="987"/>
      <c r="J1505" s="726"/>
      <c r="K1505" s="726">
        <f>ROUND(K1491*15%,2)</f>
        <v>137.36000000000001</v>
      </c>
    </row>
    <row r="1506" spans="1:18">
      <c r="G1506" s="987"/>
      <c r="J1506" s="827" t="s">
        <v>718</v>
      </c>
      <c r="K1506" s="1091">
        <f>SUM(K1504:K1505)</f>
        <v>4306.5999999999995</v>
      </c>
      <c r="L1506" s="723" t="s">
        <v>721</v>
      </c>
    </row>
    <row r="1507" spans="1:18" ht="38.25" customHeight="1">
      <c r="A1507" s="836">
        <f>A347</f>
        <v>39</v>
      </c>
      <c r="B1507" s="3386" t="str">
        <f>B347</f>
        <v>W.B.C.B brick masonry in cement mortar (1:6) using kiln Burnt bricks of 10”  etc. complete in all respect as directed by the Engineer-in-charge.</v>
      </c>
      <c r="C1507" s="3386"/>
      <c r="D1507" s="3386"/>
      <c r="E1507" s="1086" t="str">
        <f>G415</f>
        <v>Each Cum</v>
      </c>
      <c r="F1507" s="1086"/>
      <c r="G1507" s="987"/>
      <c r="J1507" s="1091"/>
      <c r="K1507" s="1091"/>
    </row>
    <row r="1508" spans="1:18">
      <c r="B1508" s="722" t="s">
        <v>777</v>
      </c>
      <c r="G1508" s="987"/>
      <c r="J1508" s="726"/>
      <c r="K1508" s="726"/>
    </row>
    <row r="1509" spans="1:18" s="723" customFormat="1">
      <c r="A1509" s="836" t="str">
        <f>A416</f>
        <v>(i)</v>
      </c>
      <c r="B1509" s="723" t="str">
        <f>B416</f>
        <v>Ground Floor</v>
      </c>
      <c r="E1509" s="1089" t="str">
        <f>G416</f>
        <v>Each Cum</v>
      </c>
      <c r="F1509" s="1089"/>
      <c r="G1509" s="1098"/>
      <c r="I1509" s="836"/>
      <c r="J1509" s="1091"/>
      <c r="K1509" s="1091"/>
      <c r="M1509" s="722"/>
      <c r="N1509" s="722"/>
      <c r="O1509" s="722"/>
      <c r="P1509" s="722"/>
      <c r="Q1509" s="722"/>
      <c r="R1509" s="722"/>
    </row>
    <row r="1510" spans="1:18">
      <c r="B1510" s="723" t="s">
        <v>779</v>
      </c>
      <c r="G1510" s="987"/>
      <c r="J1510" s="726"/>
      <c r="K1510" s="726"/>
    </row>
    <row r="1511" spans="1:18">
      <c r="B1511" s="722" t="s">
        <v>802</v>
      </c>
      <c r="G1511" s="726">
        <v>350</v>
      </c>
      <c r="H1511" s="722" t="s">
        <v>262</v>
      </c>
      <c r="I1511" s="724" t="s">
        <v>262</v>
      </c>
      <c r="J1511" s="987">
        <f>G26/1000</f>
        <v>4.4435600000000006</v>
      </c>
      <c r="K1511" s="726">
        <f>ROUND(G1511*J1511,2)</f>
        <v>1555.25</v>
      </c>
    </row>
    <row r="1512" spans="1:18">
      <c r="B1512" s="722" t="s">
        <v>775</v>
      </c>
      <c r="G1512" s="987">
        <v>0.28000000000000003</v>
      </c>
      <c r="H1512" s="722" t="s">
        <v>49</v>
      </c>
      <c r="I1512" s="724" t="s">
        <v>49</v>
      </c>
      <c r="J1512" s="726">
        <f>G44</f>
        <v>80.72</v>
      </c>
      <c r="K1512" s="726">
        <f>ROUND(G1512*J1512,2)</f>
        <v>22.6</v>
      </c>
    </row>
    <row r="1513" spans="1:18">
      <c r="B1513" s="722" t="s">
        <v>8</v>
      </c>
      <c r="G1513" s="987">
        <v>0.67200000000000004</v>
      </c>
      <c r="H1513" s="722" t="s">
        <v>247</v>
      </c>
      <c r="I1513" s="724" t="s">
        <v>247</v>
      </c>
      <c r="J1513" s="726">
        <f>G48/10</f>
        <v>640</v>
      </c>
      <c r="K1513" s="726">
        <f>ROUND(G1513*J1513,2)</f>
        <v>430.08</v>
      </c>
    </row>
    <row r="1514" spans="1:18">
      <c r="G1514" s="987"/>
      <c r="J1514" s="1096" t="s">
        <v>718</v>
      </c>
      <c r="K1514" s="726">
        <f>SUM(K1511:K1513)</f>
        <v>2007.9299999999998</v>
      </c>
    </row>
    <row r="1515" spans="1:18">
      <c r="B1515" s="723" t="s">
        <v>781</v>
      </c>
      <c r="G1515" s="987"/>
      <c r="J1515" s="726"/>
      <c r="K1515" s="726"/>
    </row>
    <row r="1516" spans="1:18">
      <c r="B1516" s="722" t="s">
        <v>797</v>
      </c>
      <c r="G1516" s="987">
        <v>0.35</v>
      </c>
      <c r="H1516" s="722" t="s">
        <v>262</v>
      </c>
      <c r="I1516" s="724" t="s">
        <v>38</v>
      </c>
      <c r="J1516" s="726">
        <f>L132</f>
        <v>284.3</v>
      </c>
      <c r="K1516" s="726">
        <f>ROUND(G1516*J1516,2)</f>
        <v>99.51</v>
      </c>
    </row>
    <row r="1517" spans="1:18">
      <c r="B1517" s="722" t="s">
        <v>782</v>
      </c>
      <c r="G1517" s="987">
        <v>1.05</v>
      </c>
      <c r="H1517" s="722" t="s">
        <v>262</v>
      </c>
      <c r="I1517" s="724" t="s">
        <v>38</v>
      </c>
      <c r="J1517" s="726">
        <f>L131</f>
        <v>264.3</v>
      </c>
      <c r="K1517" s="726">
        <f>ROUND(G1517*J1517,2)</f>
        <v>277.52</v>
      </c>
    </row>
    <row r="1518" spans="1:18">
      <c r="B1518" s="722" t="s">
        <v>717</v>
      </c>
      <c r="G1518" s="987">
        <v>2.96</v>
      </c>
      <c r="H1518" s="722" t="s">
        <v>262</v>
      </c>
      <c r="I1518" s="724" t="s">
        <v>38</v>
      </c>
      <c r="J1518" s="726">
        <f>L129</f>
        <v>182</v>
      </c>
      <c r="K1518" s="726">
        <f>ROUND(G1518*J1518,2)</f>
        <v>538.72</v>
      </c>
    </row>
    <row r="1519" spans="1:18">
      <c r="G1519" s="987"/>
      <c r="J1519" s="1096" t="s">
        <v>718</v>
      </c>
      <c r="K1519" s="726">
        <f>SUM(K1516:K1518)</f>
        <v>915.75</v>
      </c>
    </row>
    <row r="1520" spans="1:18">
      <c r="B1520" s="723"/>
      <c r="G1520" s="987"/>
      <c r="J1520" s="726"/>
      <c r="K1520" s="726"/>
    </row>
    <row r="1521" spans="1:12">
      <c r="B1521" s="723" t="s">
        <v>783</v>
      </c>
      <c r="G1521" s="987"/>
      <c r="J1521" s="726"/>
      <c r="K1521" s="726"/>
    </row>
    <row r="1522" spans="1:12">
      <c r="B1522" s="722" t="str">
        <f>B1511</f>
        <v>W.B.C.B. brick 25cm x 12cm x 8cm size</v>
      </c>
      <c r="G1522" s="726">
        <f>G1511</f>
        <v>350</v>
      </c>
      <c r="H1522" s="722" t="s">
        <v>262</v>
      </c>
      <c r="I1522" s="724" t="s">
        <v>262</v>
      </c>
      <c r="J1522" s="987">
        <f>K26/1000</f>
        <v>0.86409999999999998</v>
      </c>
      <c r="K1522" s="726">
        <f>ROUND(G1522*J1522,2)</f>
        <v>302.44</v>
      </c>
    </row>
    <row r="1523" spans="1:12">
      <c r="B1523" s="722" t="s">
        <v>775</v>
      </c>
      <c r="G1523" s="987">
        <f>G1512</f>
        <v>0.28000000000000003</v>
      </c>
      <c r="H1523" s="722" t="s">
        <v>49</v>
      </c>
      <c r="I1523" s="724" t="s">
        <v>49</v>
      </c>
      <c r="J1523" s="726">
        <f>K44</f>
        <v>731.71</v>
      </c>
      <c r="K1523" s="726">
        <f>ROUND(G1523*J1523,2)</f>
        <v>204.88</v>
      </c>
    </row>
    <row r="1524" spans="1:12">
      <c r="B1524" s="722" t="s">
        <v>8</v>
      </c>
      <c r="G1524" s="987">
        <f>G1513</f>
        <v>0.67200000000000004</v>
      </c>
      <c r="H1524" s="722" t="s">
        <v>247</v>
      </c>
      <c r="I1524" s="724" t="s">
        <v>247</v>
      </c>
      <c r="J1524" s="726">
        <f>K48/10</f>
        <v>24.786999999999999</v>
      </c>
      <c r="K1524" s="726">
        <f>ROUND(G1524*J1524,2)</f>
        <v>16.66</v>
      </c>
    </row>
    <row r="1525" spans="1:12">
      <c r="G1525" s="987"/>
      <c r="J1525" s="1096" t="s">
        <v>718</v>
      </c>
      <c r="K1525" s="726">
        <f>SUM(K1522:K1524)</f>
        <v>523.98</v>
      </c>
    </row>
    <row r="1526" spans="1:12">
      <c r="B1526" s="722" t="s">
        <v>785</v>
      </c>
      <c r="G1526" s="987"/>
      <c r="J1526" s="726"/>
      <c r="K1526" s="1091">
        <f>K1514+K1519+K1520+K1525</f>
        <v>3447.66</v>
      </c>
      <c r="L1526" s="723" t="s">
        <v>721</v>
      </c>
    </row>
    <row r="1527" spans="1:12" s="723" customFormat="1">
      <c r="A1527" s="836" t="str">
        <f>A1499</f>
        <v>(ii)</v>
      </c>
      <c r="B1527" s="723" t="str">
        <f>B1499</f>
        <v>Superstructure of Ground Floor</v>
      </c>
      <c r="E1527" s="1089" t="str">
        <f>E1509</f>
        <v>Each Cum</v>
      </c>
      <c r="F1527" s="1089"/>
      <c r="G1527" s="1098"/>
      <c r="I1527" s="836"/>
      <c r="J1527" s="1091"/>
      <c r="K1527" s="1091"/>
    </row>
    <row r="1528" spans="1:12">
      <c r="B1528" s="722" t="s">
        <v>799</v>
      </c>
      <c r="G1528" s="987"/>
      <c r="J1528" s="726"/>
      <c r="K1528" s="726">
        <f>K1526</f>
        <v>3447.66</v>
      </c>
    </row>
    <row r="1529" spans="1:12">
      <c r="B1529" s="722" t="s">
        <v>800</v>
      </c>
      <c r="G1529" s="987"/>
      <c r="J1529" s="726"/>
      <c r="K1529" s="726">
        <f>K1501</f>
        <v>33</v>
      </c>
    </row>
    <row r="1530" spans="1:12">
      <c r="G1530" s="987"/>
      <c r="J1530" s="827" t="s">
        <v>718</v>
      </c>
      <c r="K1530" s="1091">
        <f>SUM(K1528:K1529)</f>
        <v>3480.66</v>
      </c>
      <c r="L1530" s="723" t="s">
        <v>721</v>
      </c>
    </row>
    <row r="1531" spans="1:12" s="723" customFormat="1">
      <c r="A1531" s="836" t="str">
        <f>A1503</f>
        <v>(iii)</v>
      </c>
      <c r="B1531" s="723" t="str">
        <f>B1503</f>
        <v>Superstructure of First Floor</v>
      </c>
      <c r="E1531" s="1089" t="str">
        <f>E1527</f>
        <v>Each Cum</v>
      </c>
      <c r="F1531" s="1089"/>
      <c r="G1531" s="1098"/>
      <c r="I1531" s="836"/>
      <c r="J1531" s="1091"/>
      <c r="K1531" s="1091"/>
    </row>
    <row r="1532" spans="1:12">
      <c r="B1532" s="722" t="s">
        <v>801</v>
      </c>
      <c r="G1532" s="987"/>
      <c r="J1532" s="726"/>
      <c r="K1532" s="726">
        <f>K1530</f>
        <v>3480.66</v>
      </c>
    </row>
    <row r="1533" spans="1:12">
      <c r="B1533" s="722" t="s">
        <v>795</v>
      </c>
      <c r="G1533" s="987"/>
      <c r="J1533" s="726"/>
      <c r="K1533" s="726">
        <f>ROUND(K1519*15%,2)</f>
        <v>137.36000000000001</v>
      </c>
    </row>
    <row r="1534" spans="1:12">
      <c r="G1534" s="987"/>
      <c r="J1534" s="827" t="s">
        <v>718</v>
      </c>
      <c r="K1534" s="1091">
        <f>SUM(K1532:K1533)</f>
        <v>3618.02</v>
      </c>
      <c r="L1534" s="723" t="s">
        <v>721</v>
      </c>
    </row>
    <row r="1535" spans="1:12" ht="38.25" customHeight="1">
      <c r="A1535" s="836">
        <f>A351</f>
        <v>40</v>
      </c>
      <c r="B1535" s="3386" t="str">
        <f>B351</f>
        <v>W.B.C.B brick masonry in cement mortar (1:4) using kiln Burnt bricks of 10”  etc. complete in all respect as directed by the Engineer-in-charge.</v>
      </c>
      <c r="C1535" s="3386"/>
      <c r="D1535" s="3386"/>
      <c r="E1535" s="1086" t="str">
        <f>E1507</f>
        <v>Each Cum</v>
      </c>
      <c r="F1535" s="1086"/>
      <c r="G1535" s="987"/>
      <c r="J1535" s="1091"/>
      <c r="K1535" s="1091"/>
    </row>
    <row r="1536" spans="1:12">
      <c r="B1536" s="722" t="s">
        <v>777</v>
      </c>
      <c r="G1536" s="987"/>
      <c r="J1536" s="726"/>
      <c r="K1536" s="726"/>
    </row>
    <row r="1537" spans="1:18" s="723" customFormat="1">
      <c r="A1537" s="836" t="str">
        <f>A444</f>
        <v>(i)</v>
      </c>
      <c r="B1537" s="723" t="str">
        <f>B1481</f>
        <v>Foundation &amp; Plinth</v>
      </c>
      <c r="E1537" s="1089" t="str">
        <f>E1535</f>
        <v>Each Cum</v>
      </c>
      <c r="F1537" s="1089"/>
      <c r="G1537" s="1098"/>
      <c r="I1537" s="836"/>
      <c r="J1537" s="1091"/>
      <c r="K1537" s="1091"/>
      <c r="M1537" s="722"/>
      <c r="N1537" s="722"/>
      <c r="O1537" s="722"/>
      <c r="P1537" s="722"/>
      <c r="Q1537" s="722"/>
      <c r="R1537" s="722"/>
    </row>
    <row r="1538" spans="1:18">
      <c r="B1538" s="723" t="s">
        <v>779</v>
      </c>
      <c r="G1538" s="987"/>
      <c r="J1538" s="726"/>
      <c r="K1538" s="726"/>
    </row>
    <row r="1539" spans="1:18">
      <c r="B1539" s="722" t="s">
        <v>802</v>
      </c>
      <c r="G1539" s="726">
        <v>350</v>
      </c>
      <c r="H1539" s="722" t="s">
        <v>262</v>
      </c>
      <c r="I1539" s="724" t="s">
        <v>262</v>
      </c>
      <c r="J1539" s="987">
        <f>G26/1000</f>
        <v>4.4435600000000006</v>
      </c>
      <c r="K1539" s="726">
        <f>ROUND(G1539*J1539,2)</f>
        <v>1555.25</v>
      </c>
    </row>
    <row r="1540" spans="1:18">
      <c r="B1540" s="722" t="s">
        <v>775</v>
      </c>
      <c r="G1540" s="987">
        <v>0.28000000000000003</v>
      </c>
      <c r="H1540" s="722" t="s">
        <v>49</v>
      </c>
      <c r="I1540" s="724" t="s">
        <v>49</v>
      </c>
      <c r="J1540" s="726">
        <f>G44</f>
        <v>80.72</v>
      </c>
      <c r="K1540" s="726">
        <f>ROUND(G1540*J1540,2)</f>
        <v>22.6</v>
      </c>
    </row>
    <row r="1541" spans="1:18">
      <c r="B1541" s="722" t="s">
        <v>8</v>
      </c>
      <c r="G1541" s="987">
        <v>1</v>
      </c>
      <c r="H1541" s="722" t="s">
        <v>247</v>
      </c>
      <c r="I1541" s="724" t="s">
        <v>247</v>
      </c>
      <c r="J1541" s="726">
        <f>G48/10</f>
        <v>640</v>
      </c>
      <c r="K1541" s="726">
        <f>ROUND(G1541*J1541,2)</f>
        <v>640</v>
      </c>
    </row>
    <row r="1542" spans="1:18">
      <c r="G1542" s="987"/>
      <c r="J1542" s="1096" t="s">
        <v>718</v>
      </c>
      <c r="K1542" s="726">
        <f>SUM(K1539:K1541)</f>
        <v>2217.85</v>
      </c>
    </row>
    <row r="1543" spans="1:18">
      <c r="B1543" s="723" t="s">
        <v>781</v>
      </c>
      <c r="G1543" s="987"/>
      <c r="J1543" s="726"/>
      <c r="K1543" s="726"/>
    </row>
    <row r="1544" spans="1:18">
      <c r="B1544" s="722" t="s">
        <v>797</v>
      </c>
      <c r="G1544" s="987">
        <v>0.35</v>
      </c>
      <c r="H1544" s="722" t="s">
        <v>262</v>
      </c>
      <c r="I1544" s="724" t="s">
        <v>38</v>
      </c>
      <c r="J1544" s="726">
        <f>L132</f>
        <v>284.3</v>
      </c>
      <c r="K1544" s="726">
        <f>ROUND(G1544*J1544,2)</f>
        <v>99.51</v>
      </c>
    </row>
    <row r="1545" spans="1:18">
      <c r="B1545" s="722" t="s">
        <v>782</v>
      </c>
      <c r="G1545" s="987">
        <v>1.05</v>
      </c>
      <c r="H1545" s="722" t="s">
        <v>262</v>
      </c>
      <c r="I1545" s="724" t="s">
        <v>38</v>
      </c>
      <c r="J1545" s="726">
        <f>L131</f>
        <v>264.3</v>
      </c>
      <c r="K1545" s="726">
        <f>ROUND(G1545*J1545,2)</f>
        <v>277.52</v>
      </c>
    </row>
    <row r="1546" spans="1:18">
      <c r="B1546" s="722" t="s">
        <v>717</v>
      </c>
      <c r="G1546" s="987">
        <v>2.96</v>
      </c>
      <c r="H1546" s="722" t="s">
        <v>262</v>
      </c>
      <c r="I1546" s="724" t="s">
        <v>38</v>
      </c>
      <c r="J1546" s="726">
        <f>L129</f>
        <v>182</v>
      </c>
      <c r="K1546" s="726">
        <f>ROUND(G1546*J1546,2)</f>
        <v>538.72</v>
      </c>
    </row>
    <row r="1547" spans="1:18">
      <c r="G1547" s="987"/>
      <c r="J1547" s="1096" t="s">
        <v>718</v>
      </c>
      <c r="K1547" s="726">
        <f>SUM(K1544:K1546)</f>
        <v>915.75</v>
      </c>
    </row>
    <row r="1548" spans="1:18">
      <c r="B1548" s="723"/>
      <c r="G1548" s="987"/>
      <c r="J1548" s="726"/>
      <c r="K1548" s="726"/>
    </row>
    <row r="1549" spans="1:18">
      <c r="B1549" s="723" t="s">
        <v>783</v>
      </c>
      <c r="G1549" s="987"/>
      <c r="J1549" s="726"/>
      <c r="K1549" s="726"/>
    </row>
    <row r="1550" spans="1:18">
      <c r="B1550" s="722" t="str">
        <f>B1539</f>
        <v>W.B.C.B. brick 25cm x 12cm x 8cm size</v>
      </c>
      <c r="G1550" s="726">
        <f>G1539</f>
        <v>350</v>
      </c>
      <c r="H1550" s="722" t="s">
        <v>262</v>
      </c>
      <c r="I1550" s="724" t="s">
        <v>262</v>
      </c>
      <c r="J1550" s="987">
        <f>K26/1000</f>
        <v>0.86409999999999998</v>
      </c>
      <c r="K1550" s="726">
        <f>ROUND(G1550*J1550,2)</f>
        <v>302.44</v>
      </c>
    </row>
    <row r="1551" spans="1:18">
      <c r="B1551" s="722" t="s">
        <v>775</v>
      </c>
      <c r="G1551" s="987">
        <f>G1540</f>
        <v>0.28000000000000003</v>
      </c>
      <c r="H1551" s="722" t="s">
        <v>49</v>
      </c>
      <c r="I1551" s="724" t="s">
        <v>49</v>
      </c>
      <c r="J1551" s="726">
        <f>K44</f>
        <v>731.71</v>
      </c>
      <c r="K1551" s="726">
        <f>ROUND(G1551*J1551,2)</f>
        <v>204.88</v>
      </c>
    </row>
    <row r="1552" spans="1:18">
      <c r="B1552" s="722" t="s">
        <v>8</v>
      </c>
      <c r="G1552" s="987">
        <f>G1541</f>
        <v>1</v>
      </c>
      <c r="H1552" s="722" t="s">
        <v>247</v>
      </c>
      <c r="I1552" s="724" t="s">
        <v>247</v>
      </c>
      <c r="J1552" s="726">
        <f>K48/10</f>
        <v>24.786999999999999</v>
      </c>
      <c r="K1552" s="726">
        <f>ROUND(G1552*J1552,2)</f>
        <v>24.79</v>
      </c>
    </row>
    <row r="1553" spans="1:18">
      <c r="G1553" s="987"/>
      <c r="J1553" s="1096" t="s">
        <v>718</v>
      </c>
      <c r="K1553" s="726">
        <f>SUM(K1550:K1552)</f>
        <v>532.11</v>
      </c>
    </row>
    <row r="1554" spans="1:18">
      <c r="B1554" s="722" t="s">
        <v>785</v>
      </c>
      <c r="G1554" s="987"/>
      <c r="J1554" s="726"/>
      <c r="K1554" s="1091">
        <f>K1542+K1547+K1548+K1553</f>
        <v>3665.71</v>
      </c>
      <c r="L1554" s="723" t="s">
        <v>721</v>
      </c>
    </row>
    <row r="1555" spans="1:18" s="723" customFormat="1">
      <c r="A1555" s="836" t="str">
        <f>A1527</f>
        <v>(ii)</v>
      </c>
      <c r="B1555" s="723" t="str">
        <f>B1527</f>
        <v>Superstructure of Ground Floor</v>
      </c>
      <c r="E1555" s="1089" t="str">
        <f>E1537</f>
        <v>Each Cum</v>
      </c>
      <c r="F1555" s="1089"/>
      <c r="G1555" s="1098"/>
      <c r="I1555" s="836"/>
      <c r="J1555" s="1091"/>
      <c r="K1555" s="1091"/>
    </row>
    <row r="1556" spans="1:18">
      <c r="B1556" s="722" t="s">
        <v>799</v>
      </c>
      <c r="G1556" s="987"/>
      <c r="J1556" s="726"/>
      <c r="K1556" s="726">
        <f>K1554</f>
        <v>3665.71</v>
      </c>
    </row>
    <row r="1557" spans="1:18">
      <c r="B1557" s="722" t="s">
        <v>800</v>
      </c>
      <c r="G1557" s="987"/>
      <c r="J1557" s="726"/>
      <c r="K1557" s="726">
        <f>K1529</f>
        <v>33</v>
      </c>
    </row>
    <row r="1558" spans="1:18">
      <c r="G1558" s="987"/>
      <c r="J1558" s="827" t="s">
        <v>718</v>
      </c>
      <c r="K1558" s="1091">
        <f>SUM(K1556:K1557)</f>
        <v>3698.71</v>
      </c>
      <c r="L1558" s="723" t="s">
        <v>721</v>
      </c>
    </row>
    <row r="1559" spans="1:18" s="723" customFormat="1">
      <c r="A1559" s="836" t="str">
        <f>A1531</f>
        <v>(iii)</v>
      </c>
      <c r="B1559" s="723" t="str">
        <f>B1531</f>
        <v>Superstructure of First Floor</v>
      </c>
      <c r="E1559" s="1089" t="str">
        <f>E1555</f>
        <v>Each Cum</v>
      </c>
      <c r="F1559" s="1089"/>
      <c r="G1559" s="1098"/>
      <c r="I1559" s="836"/>
      <c r="J1559" s="1091"/>
      <c r="K1559" s="1091"/>
    </row>
    <row r="1560" spans="1:18">
      <c r="B1560" s="722" t="s">
        <v>801</v>
      </c>
      <c r="G1560" s="987"/>
      <c r="J1560" s="726"/>
      <c r="K1560" s="726">
        <f>K1558</f>
        <v>3698.71</v>
      </c>
    </row>
    <row r="1561" spans="1:18">
      <c r="B1561" s="722" t="s">
        <v>795</v>
      </c>
      <c r="G1561" s="987"/>
      <c r="J1561" s="726"/>
      <c r="K1561" s="726">
        <f>ROUND(K1547*15%,2)</f>
        <v>137.36000000000001</v>
      </c>
    </row>
    <row r="1562" spans="1:18">
      <c r="G1562" s="987"/>
      <c r="J1562" s="827" t="s">
        <v>718</v>
      </c>
      <c r="K1562" s="1091">
        <f>SUM(K1560:K1561)</f>
        <v>3836.07</v>
      </c>
      <c r="L1562" s="723" t="s">
        <v>721</v>
      </c>
    </row>
    <row r="1563" spans="1:18" ht="38.25" customHeight="1">
      <c r="A1563" s="836">
        <f>A355</f>
        <v>41</v>
      </c>
      <c r="B1563" s="3386" t="str">
        <f>B355</f>
        <v>Fly Ash brick masonry in cement mortar (1:6) using kiln Burnt bricks of 10”  etc. complete in all respect as directed by the Engineer-in-charge.</v>
      </c>
      <c r="C1563" s="3386"/>
      <c r="D1563" s="3386"/>
      <c r="E1563" s="1086"/>
      <c r="F1563" s="1086"/>
      <c r="G1563" s="987"/>
      <c r="J1563" s="1091"/>
      <c r="K1563" s="1091"/>
    </row>
    <row r="1564" spans="1:18">
      <c r="B1564" s="722" t="s">
        <v>777</v>
      </c>
      <c r="G1564" s="987"/>
      <c r="J1564" s="726"/>
      <c r="K1564" s="726"/>
    </row>
    <row r="1565" spans="1:18" s="723" customFormat="1">
      <c r="A1565" s="836" t="str">
        <f>A1481</f>
        <v>(i)</v>
      </c>
      <c r="B1565" s="723" t="str">
        <f>B1481</f>
        <v>Foundation &amp; Plinth</v>
      </c>
      <c r="E1565" s="1089" t="str">
        <f>G426</f>
        <v>Each No</v>
      </c>
      <c r="F1565" s="1089"/>
      <c r="G1565" s="1098"/>
      <c r="I1565" s="836"/>
      <c r="J1565" s="1091"/>
      <c r="K1565" s="1091"/>
      <c r="M1565" s="722"/>
      <c r="N1565" s="722"/>
      <c r="O1565" s="722"/>
      <c r="P1565" s="722"/>
      <c r="Q1565" s="722"/>
      <c r="R1565" s="722"/>
    </row>
    <row r="1566" spans="1:18">
      <c r="B1566" s="723" t="s">
        <v>779</v>
      </c>
      <c r="G1566" s="987"/>
      <c r="J1566" s="726"/>
      <c r="K1566" s="726"/>
    </row>
    <row r="1567" spans="1:18">
      <c r="B1567" s="722" t="s">
        <v>803</v>
      </c>
      <c r="G1567" s="726">
        <v>350</v>
      </c>
      <c r="H1567" s="722" t="s">
        <v>262</v>
      </c>
      <c r="I1567" s="724" t="s">
        <v>262</v>
      </c>
      <c r="J1567" s="987">
        <f>G24/1000</f>
        <v>5.7390999999999996</v>
      </c>
      <c r="K1567" s="726">
        <f>ROUND(G1567*J1567,2)</f>
        <v>2008.69</v>
      </c>
    </row>
    <row r="1568" spans="1:18">
      <c r="B1568" s="722" t="s">
        <v>775</v>
      </c>
      <c r="G1568" s="987">
        <v>0.28000000000000003</v>
      </c>
      <c r="H1568" s="722" t="s">
        <v>49</v>
      </c>
      <c r="I1568" s="724" t="s">
        <v>49</v>
      </c>
      <c r="J1568" s="726">
        <f>G44</f>
        <v>80.72</v>
      </c>
      <c r="K1568" s="726">
        <f>ROUND(G1568*J1568,2)</f>
        <v>22.6</v>
      </c>
    </row>
    <row r="1569" spans="1:12">
      <c r="B1569" s="722" t="s">
        <v>8</v>
      </c>
      <c r="G1569" s="987">
        <v>0.67200000000000004</v>
      </c>
      <c r="H1569" s="722" t="s">
        <v>247</v>
      </c>
      <c r="I1569" s="724" t="s">
        <v>247</v>
      </c>
      <c r="J1569" s="726">
        <f>G48/10</f>
        <v>640</v>
      </c>
      <c r="K1569" s="726">
        <f>ROUND(G1569*J1569,2)</f>
        <v>430.08</v>
      </c>
    </row>
    <row r="1570" spans="1:12">
      <c r="G1570" s="987"/>
      <c r="J1570" s="1096" t="s">
        <v>718</v>
      </c>
      <c r="K1570" s="1091">
        <f>SUM(K1567:K1569)</f>
        <v>2461.37</v>
      </c>
    </row>
    <row r="1571" spans="1:12">
      <c r="B1571" s="723" t="s">
        <v>781</v>
      </c>
      <c r="G1571" s="987"/>
      <c r="J1571" s="726"/>
      <c r="K1571" s="726"/>
    </row>
    <row r="1572" spans="1:12">
      <c r="B1572" s="722" t="s">
        <v>804</v>
      </c>
      <c r="G1572" s="987">
        <v>0.35</v>
      </c>
      <c r="H1572" s="722" t="s">
        <v>262</v>
      </c>
      <c r="I1572" s="724" t="s">
        <v>38</v>
      </c>
      <c r="J1572" s="726">
        <f>L132</f>
        <v>284.3</v>
      </c>
      <c r="K1572" s="726">
        <f>ROUND(G1572*J1572,2)</f>
        <v>99.51</v>
      </c>
    </row>
    <row r="1573" spans="1:12">
      <c r="B1573" s="722" t="s">
        <v>782</v>
      </c>
      <c r="G1573" s="987">
        <v>1.05</v>
      </c>
      <c r="H1573" s="722" t="s">
        <v>262</v>
      </c>
      <c r="I1573" s="724" t="s">
        <v>38</v>
      </c>
      <c r="J1573" s="726">
        <f>L131</f>
        <v>264.3</v>
      </c>
      <c r="K1573" s="726">
        <f>ROUND(G1573*J1573,2)</f>
        <v>277.52</v>
      </c>
    </row>
    <row r="1574" spans="1:12">
      <c r="B1574" s="722" t="s">
        <v>717</v>
      </c>
      <c r="G1574" s="987">
        <v>2.96</v>
      </c>
      <c r="H1574" s="722" t="s">
        <v>262</v>
      </c>
      <c r="I1574" s="724" t="s">
        <v>38</v>
      </c>
      <c r="J1574" s="726">
        <f>L129</f>
        <v>182</v>
      </c>
      <c r="K1574" s="726">
        <f>ROUND(G1574*J1574,2)</f>
        <v>538.72</v>
      </c>
    </row>
    <row r="1575" spans="1:12">
      <c r="G1575" s="987"/>
      <c r="J1575" s="1096" t="s">
        <v>718</v>
      </c>
      <c r="K1575" s="1091">
        <f>SUM(K1572:K1574)</f>
        <v>915.75</v>
      </c>
    </row>
    <row r="1576" spans="1:12">
      <c r="B1576" s="723"/>
      <c r="G1576" s="987"/>
      <c r="J1576" s="726"/>
      <c r="K1576" s="726"/>
    </row>
    <row r="1577" spans="1:12">
      <c r="B1577" s="723" t="s">
        <v>783</v>
      </c>
      <c r="G1577" s="987"/>
      <c r="J1577" s="726"/>
      <c r="K1577" s="726"/>
    </row>
    <row r="1578" spans="1:12">
      <c r="B1578" s="722" t="str">
        <f>B1567</f>
        <v>Fly Ash  brick 25cm x 12cm x 8cm size</v>
      </c>
      <c r="G1578" s="726">
        <f>G1567</f>
        <v>350</v>
      </c>
      <c r="H1578" s="722" t="s">
        <v>262</v>
      </c>
      <c r="I1578" s="724" t="s">
        <v>262</v>
      </c>
      <c r="J1578" s="987">
        <f>K24/1000</f>
        <v>0.86409999999999998</v>
      </c>
      <c r="K1578" s="726">
        <f>ROUND(G1578*J1578,2)</f>
        <v>302.44</v>
      </c>
    </row>
    <row r="1579" spans="1:12">
      <c r="B1579" s="722" t="s">
        <v>775</v>
      </c>
      <c r="G1579" s="987">
        <f>G1568</f>
        <v>0.28000000000000003</v>
      </c>
      <c r="H1579" s="722" t="s">
        <v>49</v>
      </c>
      <c r="I1579" s="724" t="s">
        <v>49</v>
      </c>
      <c r="J1579" s="726">
        <f>K44</f>
        <v>731.71</v>
      </c>
      <c r="K1579" s="726">
        <f>ROUND(G1579*J1579,2)</f>
        <v>204.88</v>
      </c>
    </row>
    <row r="1580" spans="1:12">
      <c r="B1580" s="722" t="s">
        <v>8</v>
      </c>
      <c r="G1580" s="987">
        <f>G1569</f>
        <v>0.67200000000000004</v>
      </c>
      <c r="H1580" s="722" t="s">
        <v>247</v>
      </c>
      <c r="I1580" s="724" t="s">
        <v>247</v>
      </c>
      <c r="J1580" s="726">
        <f>K48/10</f>
        <v>24.786999999999999</v>
      </c>
      <c r="K1580" s="726">
        <f>ROUND(G1580*J1580,2)</f>
        <v>16.66</v>
      </c>
    </row>
    <row r="1581" spans="1:12">
      <c r="G1581" s="987"/>
      <c r="J1581" s="1096" t="s">
        <v>718</v>
      </c>
      <c r="K1581" s="726">
        <f>SUM(K1578:K1580)</f>
        <v>523.98</v>
      </c>
    </row>
    <row r="1582" spans="1:12">
      <c r="B1582" s="722" t="s">
        <v>785</v>
      </c>
      <c r="G1582" s="987"/>
      <c r="J1582" s="726"/>
      <c r="K1582" s="1091">
        <f>K1570+K1575+K1576+K1581</f>
        <v>3901.1</v>
      </c>
      <c r="L1582" s="723" t="s">
        <v>721</v>
      </c>
    </row>
    <row r="1583" spans="1:12" s="723" customFormat="1">
      <c r="A1583" s="836" t="str">
        <f>A1499</f>
        <v>(ii)</v>
      </c>
      <c r="B1583" s="723" t="str">
        <f>B1499</f>
        <v>Superstructure of Ground Floor</v>
      </c>
      <c r="E1583" s="1089" t="str">
        <f>G427</f>
        <v>Each No</v>
      </c>
      <c r="F1583" s="1089"/>
      <c r="G1583" s="1098"/>
      <c r="I1583" s="836"/>
      <c r="J1583" s="1091"/>
      <c r="K1583" s="1091"/>
    </row>
    <row r="1584" spans="1:12">
      <c r="B1584" s="722" t="s">
        <v>799</v>
      </c>
      <c r="G1584" s="987"/>
      <c r="J1584" s="726"/>
      <c r="K1584" s="726">
        <f>K1582</f>
        <v>3901.1</v>
      </c>
    </row>
    <row r="1585" spans="1:16">
      <c r="B1585" s="722" t="s">
        <v>800</v>
      </c>
      <c r="G1585" s="987"/>
      <c r="J1585" s="726"/>
      <c r="K1585" s="726">
        <f>K1501</f>
        <v>33</v>
      </c>
    </row>
    <row r="1586" spans="1:16">
      <c r="G1586" s="987"/>
      <c r="J1586" s="827" t="s">
        <v>718</v>
      </c>
      <c r="K1586" s="1091">
        <f>SUM(K1584:K1585)</f>
        <v>3934.1</v>
      </c>
      <c r="L1586" s="723" t="s">
        <v>721</v>
      </c>
    </row>
    <row r="1587" spans="1:16" s="723" customFormat="1">
      <c r="A1587" s="836" t="str">
        <f>A1503</f>
        <v>(iii)</v>
      </c>
      <c r="B1587" s="723" t="str">
        <f>B1503</f>
        <v>Superstructure of First Floor</v>
      </c>
      <c r="E1587" s="1089" t="str">
        <f>G428</f>
        <v>Each No</v>
      </c>
      <c r="F1587" s="1089"/>
      <c r="G1587" s="1098"/>
      <c r="I1587" s="836"/>
      <c r="J1587" s="1091"/>
      <c r="K1587" s="1091"/>
    </row>
    <row r="1588" spans="1:16">
      <c r="B1588" s="722" t="s">
        <v>801</v>
      </c>
      <c r="G1588" s="987"/>
      <c r="J1588" s="726"/>
      <c r="K1588" s="726">
        <f>K1586</f>
        <v>3934.1</v>
      </c>
    </row>
    <row r="1589" spans="1:16">
      <c r="B1589" s="722" t="s">
        <v>795</v>
      </c>
      <c r="G1589" s="987"/>
      <c r="J1589" s="726"/>
      <c r="K1589" s="726">
        <f>ROUND(K1575*15%,2)</f>
        <v>137.36000000000001</v>
      </c>
    </row>
    <row r="1590" spans="1:16">
      <c r="G1590" s="987"/>
      <c r="J1590" s="827" t="s">
        <v>718</v>
      </c>
      <c r="K1590" s="1091">
        <f>SUM(K1588:K1589)</f>
        <v>4071.46</v>
      </c>
      <c r="L1590" s="723" t="s">
        <v>721</v>
      </c>
    </row>
    <row r="1591" spans="1:16" ht="48.75" customHeight="1">
      <c r="A1591" s="836">
        <f>A359</f>
        <v>42</v>
      </c>
      <c r="B1591" s="3386" t="str">
        <f>B359</f>
        <v>Laterite stone masonry in cement mortar (1:6) using laterite stone of approved quality from approved quarry  etc. complete in all respect as directed by the Engineer-in-charge.</v>
      </c>
      <c r="C1591" s="3386"/>
      <c r="D1591" s="3386"/>
      <c r="E1591" s="1086" t="str">
        <f>G359</f>
        <v>Each Cum</v>
      </c>
      <c r="F1591" s="1086"/>
      <c r="G1591" s="987"/>
      <c r="J1591" s="1091"/>
      <c r="K1591" s="1091"/>
    </row>
    <row r="1592" spans="1:16">
      <c r="A1592" s="723" t="str">
        <f>A360</f>
        <v>(i)</v>
      </c>
      <c r="B1592" s="723" t="str">
        <f>B360</f>
        <v>Foundation &amp; Plinth</v>
      </c>
      <c r="E1592" s="1089" t="str">
        <f>G360</f>
        <v>Each Cum</v>
      </c>
      <c r="F1592" s="1089"/>
      <c r="H1592" s="1081"/>
      <c r="J1592" s="836"/>
      <c r="K1592" s="1091"/>
      <c r="L1592" s="1087"/>
      <c r="M1592" s="724"/>
      <c r="N1592" s="724"/>
      <c r="O1592" s="724"/>
      <c r="P1592" s="724"/>
    </row>
    <row r="1593" spans="1:16">
      <c r="A1593" s="722"/>
      <c r="B1593" s="722" t="s">
        <v>777</v>
      </c>
      <c r="H1593" s="1081"/>
      <c r="L1593" s="1087"/>
      <c r="M1593" s="724"/>
      <c r="N1593" s="724"/>
      <c r="O1593" s="724"/>
      <c r="P1593" s="724"/>
    </row>
    <row r="1594" spans="1:16">
      <c r="A1594" s="722"/>
      <c r="B1594" s="723" t="s">
        <v>779</v>
      </c>
      <c r="G1594" s="987"/>
      <c r="H1594" s="1081"/>
      <c r="J1594" s="726"/>
      <c r="K1594" s="726"/>
      <c r="L1594" s="1087"/>
      <c r="M1594" s="724"/>
      <c r="N1594" s="724"/>
      <c r="O1594" s="724"/>
      <c r="P1594" s="724"/>
    </row>
    <row r="1595" spans="1:16">
      <c r="A1595" s="722"/>
      <c r="B1595" s="1081" t="s">
        <v>805</v>
      </c>
      <c r="G1595" s="726">
        <v>1</v>
      </c>
      <c r="H1595" s="1081" t="s">
        <v>49</v>
      </c>
      <c r="I1595" s="724" t="s">
        <v>49</v>
      </c>
      <c r="J1595" s="726">
        <f>G45</f>
        <v>786.66000000000008</v>
      </c>
      <c r="K1595" s="726">
        <f>ROUND(G1595*J1595,2)</f>
        <v>786.66</v>
      </c>
      <c r="L1595" s="1087"/>
      <c r="M1595" s="724"/>
      <c r="N1595" s="724"/>
      <c r="O1595" s="724"/>
      <c r="P1595" s="724"/>
    </row>
    <row r="1596" spans="1:16">
      <c r="A1596" s="722"/>
      <c r="B1596" s="722" t="s">
        <v>775</v>
      </c>
      <c r="G1596" s="987">
        <v>0.24</v>
      </c>
      <c r="H1596" s="1081" t="s">
        <v>49</v>
      </c>
      <c r="I1596" s="724" t="s">
        <v>49</v>
      </c>
      <c r="J1596" s="726">
        <f>G44</f>
        <v>80.72</v>
      </c>
      <c r="K1596" s="726">
        <f>ROUND(G1596*J1596,2)</f>
        <v>19.37</v>
      </c>
      <c r="L1596" s="1087"/>
      <c r="M1596" s="724"/>
      <c r="N1596" s="724"/>
      <c r="O1596" s="724"/>
      <c r="P1596" s="724"/>
    </row>
    <row r="1597" spans="1:16">
      <c r="A1597" s="722"/>
      <c r="B1597" s="722" t="s">
        <v>8</v>
      </c>
      <c r="G1597" s="987">
        <v>0.57199999999999995</v>
      </c>
      <c r="H1597" s="1081" t="s">
        <v>247</v>
      </c>
      <c r="I1597" s="724" t="s">
        <v>247</v>
      </c>
      <c r="J1597" s="726">
        <f>G48/10</f>
        <v>640</v>
      </c>
      <c r="K1597" s="726">
        <f>ROUND(G1597*J1597,2)</f>
        <v>366.08</v>
      </c>
      <c r="L1597" s="1087"/>
      <c r="M1597" s="724"/>
      <c r="N1597" s="724"/>
      <c r="O1597" s="724"/>
      <c r="P1597" s="724"/>
    </row>
    <row r="1598" spans="1:16">
      <c r="A1598" s="722"/>
      <c r="G1598" s="987"/>
      <c r="H1598" s="1081"/>
      <c r="J1598" s="827" t="s">
        <v>718</v>
      </c>
      <c r="K1598" s="1091">
        <f>SUM(K1595:K1597)</f>
        <v>1172.1099999999999</v>
      </c>
      <c r="L1598" s="1087"/>
      <c r="M1598" s="724"/>
      <c r="N1598" s="724"/>
      <c r="O1598" s="724"/>
      <c r="P1598" s="724"/>
    </row>
    <row r="1599" spans="1:16">
      <c r="A1599" s="722"/>
      <c r="B1599" s="723" t="s">
        <v>781</v>
      </c>
      <c r="G1599" s="987"/>
      <c r="H1599" s="1081"/>
      <c r="J1599" s="726"/>
      <c r="K1599" s="726"/>
      <c r="L1599" s="1087"/>
      <c r="M1599" s="724"/>
      <c r="N1599" s="724"/>
      <c r="O1599" s="724"/>
      <c r="P1599" s="724"/>
    </row>
    <row r="1600" spans="1:16">
      <c r="A1600" s="722"/>
      <c r="B1600" s="722" t="s">
        <v>806</v>
      </c>
      <c r="G1600" s="987">
        <v>2.12</v>
      </c>
      <c r="H1600" s="1081" t="s">
        <v>262</v>
      </c>
      <c r="I1600" s="724" t="s">
        <v>38</v>
      </c>
      <c r="J1600" s="726">
        <f>L132</f>
        <v>284.3</v>
      </c>
      <c r="K1600" s="726">
        <f>ROUND(G1600*J1600,2)</f>
        <v>602.72</v>
      </c>
      <c r="L1600" s="1087"/>
      <c r="M1600" s="724"/>
      <c r="N1600" s="724"/>
      <c r="O1600" s="724"/>
      <c r="P1600" s="724"/>
    </row>
    <row r="1601" spans="1:16">
      <c r="A1601" s="722"/>
      <c r="B1601" s="722" t="s">
        <v>807</v>
      </c>
      <c r="G1601" s="987">
        <v>1.41</v>
      </c>
      <c r="H1601" s="1081" t="s">
        <v>262</v>
      </c>
      <c r="I1601" s="724" t="s">
        <v>38</v>
      </c>
      <c r="J1601" s="726">
        <f>L130</f>
        <v>244.3</v>
      </c>
      <c r="K1601" s="726">
        <f>ROUND(G1601*J1601,2)</f>
        <v>344.46</v>
      </c>
      <c r="L1601" s="1087"/>
      <c r="M1601" s="724"/>
      <c r="N1601" s="724"/>
      <c r="O1601" s="724"/>
      <c r="P1601" s="724"/>
    </row>
    <row r="1602" spans="1:16">
      <c r="A1602" s="722"/>
      <c r="B1602" s="722" t="s">
        <v>797</v>
      </c>
      <c r="G1602" s="987">
        <v>0.17499999999999999</v>
      </c>
      <c r="H1602" s="1081" t="s">
        <v>262</v>
      </c>
      <c r="I1602" s="724" t="s">
        <v>38</v>
      </c>
      <c r="J1602" s="726">
        <f>L132</f>
        <v>284.3</v>
      </c>
      <c r="K1602" s="726">
        <f>ROUND(G1602*J1602,2)</f>
        <v>49.75</v>
      </c>
      <c r="L1602" s="1087"/>
      <c r="M1602" s="724"/>
      <c r="N1602" s="724"/>
      <c r="O1602" s="724"/>
      <c r="P1602" s="724"/>
    </row>
    <row r="1603" spans="1:16">
      <c r="A1603" s="722"/>
      <c r="B1603" s="722" t="s">
        <v>782</v>
      </c>
      <c r="G1603" s="987">
        <v>1.05</v>
      </c>
      <c r="H1603" s="1081" t="s">
        <v>262</v>
      </c>
      <c r="I1603" s="724" t="s">
        <v>38</v>
      </c>
      <c r="J1603" s="726">
        <f>L131</f>
        <v>264.3</v>
      </c>
      <c r="K1603" s="726">
        <f>ROUND(G1603*J1603,2)</f>
        <v>277.52</v>
      </c>
      <c r="L1603" s="1087"/>
      <c r="M1603" s="724"/>
      <c r="N1603" s="724"/>
      <c r="O1603" s="724"/>
      <c r="P1603" s="724"/>
    </row>
    <row r="1604" spans="1:16">
      <c r="A1604" s="722"/>
      <c r="B1604" s="722" t="s">
        <v>717</v>
      </c>
      <c r="G1604" s="987">
        <v>1.21</v>
      </c>
      <c r="H1604" s="1081" t="s">
        <v>262</v>
      </c>
      <c r="I1604" s="724" t="s">
        <v>38</v>
      </c>
      <c r="J1604" s="726">
        <f>L129</f>
        <v>182</v>
      </c>
      <c r="K1604" s="726">
        <f>ROUND(G1604*J1604,2)</f>
        <v>220.22</v>
      </c>
      <c r="L1604" s="1087"/>
      <c r="M1604" s="724"/>
      <c r="N1604" s="724"/>
      <c r="O1604" s="724"/>
      <c r="P1604" s="724"/>
    </row>
    <row r="1605" spans="1:16">
      <c r="A1605" s="722"/>
      <c r="G1605" s="987"/>
      <c r="H1605" s="1081"/>
      <c r="J1605" s="827" t="s">
        <v>718</v>
      </c>
      <c r="K1605" s="1091">
        <f>SUM(K1600:K1604)</f>
        <v>1494.67</v>
      </c>
      <c r="L1605" s="1087"/>
      <c r="M1605" s="724"/>
      <c r="N1605" s="724"/>
      <c r="O1605" s="724"/>
      <c r="P1605" s="724"/>
    </row>
    <row r="1606" spans="1:16">
      <c r="A1606" s="722"/>
      <c r="B1606" s="723"/>
      <c r="G1606" s="987"/>
      <c r="H1606" s="1081"/>
      <c r="J1606" s="726"/>
      <c r="K1606" s="1091"/>
      <c r="L1606" s="1087"/>
      <c r="M1606" s="724"/>
      <c r="N1606" s="724"/>
      <c r="O1606" s="724"/>
      <c r="P1606" s="724"/>
    </row>
    <row r="1607" spans="1:16">
      <c r="A1607" s="722"/>
      <c r="B1607" s="723" t="s">
        <v>783</v>
      </c>
      <c r="G1607" s="987"/>
      <c r="H1607" s="1081"/>
      <c r="J1607" s="726"/>
      <c r="K1607" s="726"/>
      <c r="L1607" s="1087"/>
      <c r="M1607" s="724"/>
      <c r="N1607" s="724"/>
      <c r="O1607" s="724"/>
      <c r="P1607" s="724"/>
    </row>
    <row r="1608" spans="1:16">
      <c r="A1608" s="722"/>
      <c r="B1608" s="1081" t="str">
        <f>B1595</f>
        <v>Laterite stone</v>
      </c>
      <c r="G1608" s="726">
        <f>G1595</f>
        <v>1</v>
      </c>
      <c r="H1608" s="1081" t="s">
        <v>262</v>
      </c>
      <c r="I1608" s="724" t="s">
        <v>262</v>
      </c>
      <c r="J1608" s="726">
        <f>K45</f>
        <v>471.30999999999995</v>
      </c>
      <c r="K1608" s="726">
        <f>ROUND(G1608*J1608,2)</f>
        <v>471.31</v>
      </c>
      <c r="L1608" s="1087"/>
      <c r="M1608" s="724"/>
      <c r="N1608" s="724"/>
      <c r="O1608" s="724"/>
      <c r="P1608" s="724"/>
    </row>
    <row r="1609" spans="1:16">
      <c r="A1609" s="722"/>
      <c r="B1609" s="722" t="s">
        <v>775</v>
      </c>
      <c r="G1609" s="987">
        <f>G1596</f>
        <v>0.24</v>
      </c>
      <c r="H1609" s="1081" t="s">
        <v>49</v>
      </c>
      <c r="I1609" s="724" t="s">
        <v>49</v>
      </c>
      <c r="J1609" s="726">
        <f>K44</f>
        <v>731.71</v>
      </c>
      <c r="K1609" s="726">
        <f>ROUND(G1609*J1609,2)</f>
        <v>175.61</v>
      </c>
      <c r="L1609" s="1087"/>
      <c r="M1609" s="724"/>
      <c r="N1609" s="724"/>
      <c r="O1609" s="724"/>
      <c r="P1609" s="724"/>
    </row>
    <row r="1610" spans="1:16">
      <c r="A1610" s="722"/>
      <c r="B1610" s="722" t="s">
        <v>8</v>
      </c>
      <c r="G1610" s="987">
        <f>G1597</f>
        <v>0.57199999999999995</v>
      </c>
      <c r="H1610" s="1081" t="s">
        <v>247</v>
      </c>
      <c r="I1610" s="724" t="s">
        <v>247</v>
      </c>
      <c r="J1610" s="726">
        <f>K48/10</f>
        <v>24.786999999999999</v>
      </c>
      <c r="K1610" s="726">
        <f>ROUND(G1610*J1610,2)</f>
        <v>14.18</v>
      </c>
      <c r="L1610" s="1087"/>
      <c r="M1610" s="724"/>
      <c r="N1610" s="724"/>
      <c r="O1610" s="724"/>
      <c r="P1610" s="724"/>
    </row>
    <row r="1611" spans="1:16">
      <c r="A1611" s="722"/>
      <c r="G1611" s="987"/>
      <c r="H1611" s="1081"/>
      <c r="J1611" s="827" t="s">
        <v>718</v>
      </c>
      <c r="K1611" s="1091">
        <f>SUM(K1608:K1610)</f>
        <v>661.1</v>
      </c>
      <c r="L1611" s="1087"/>
      <c r="M1611" s="724"/>
      <c r="N1611" s="724"/>
      <c r="O1611" s="724"/>
      <c r="P1611" s="724"/>
    </row>
    <row r="1612" spans="1:16">
      <c r="A1612" s="722"/>
      <c r="B1612" s="723" t="s">
        <v>785</v>
      </c>
      <c r="G1612" s="1105"/>
      <c r="H1612" s="1081"/>
      <c r="J1612" s="726"/>
      <c r="K1612" s="1091">
        <f>K1598+K1605+K1606+K1611</f>
        <v>3327.8799999999997</v>
      </c>
      <c r="L1612" s="1087"/>
      <c r="M1612" s="724"/>
      <c r="N1612" s="724"/>
      <c r="O1612" s="724"/>
      <c r="P1612" s="724"/>
    </row>
    <row r="1613" spans="1:16">
      <c r="A1613" s="722"/>
      <c r="B1613" s="723"/>
      <c r="G1613" s="1105"/>
      <c r="H1613" s="1081"/>
      <c r="J1613" s="723" t="s">
        <v>379</v>
      </c>
      <c r="K1613" s="1091">
        <f>ROUND(K1612,1)</f>
        <v>3327.9</v>
      </c>
      <c r="L1613" s="1087" t="s">
        <v>721</v>
      </c>
      <c r="M1613" s="724"/>
      <c r="N1613" s="724"/>
      <c r="O1613" s="724"/>
      <c r="P1613" s="724"/>
    </row>
    <row r="1614" spans="1:16">
      <c r="A1614" s="723" t="str">
        <f>A361</f>
        <v>(ii)</v>
      </c>
      <c r="B1614" s="723" t="str">
        <f>B361</f>
        <v>Superstructure of Ground Floor</v>
      </c>
      <c r="E1614" s="1089" t="str">
        <f>G361</f>
        <v>Each Cum</v>
      </c>
      <c r="F1614" s="1089"/>
      <c r="H1614" s="1081"/>
      <c r="J1614" s="836"/>
      <c r="K1614" s="1091"/>
      <c r="L1614" s="1087"/>
      <c r="M1614" s="724"/>
      <c r="N1614" s="724"/>
      <c r="O1614" s="724"/>
      <c r="P1614" s="724"/>
    </row>
    <row r="1615" spans="1:16">
      <c r="A1615" s="722"/>
      <c r="B1615" s="722" t="s">
        <v>799</v>
      </c>
      <c r="H1615" s="1081"/>
      <c r="J1615" s="836"/>
      <c r="K1615" s="1091">
        <f>K1612</f>
        <v>3327.8799999999997</v>
      </c>
      <c r="L1615" s="1087"/>
      <c r="M1615" s="724"/>
      <c r="N1615" s="724"/>
      <c r="O1615" s="724"/>
      <c r="P1615" s="724"/>
    </row>
    <row r="1616" spans="1:16">
      <c r="A1616" s="722"/>
      <c r="B1616" s="722" t="s">
        <v>800</v>
      </c>
      <c r="H1616" s="1081"/>
      <c r="J1616" s="836"/>
      <c r="K1616" s="1091">
        <f>G198</f>
        <v>41.9</v>
      </c>
      <c r="L1616" s="1087"/>
      <c r="M1616" s="724"/>
      <c r="N1616" s="724"/>
      <c r="O1616" s="724"/>
      <c r="P1616" s="724"/>
    </row>
    <row r="1617" spans="1:16">
      <c r="A1617" s="722"/>
      <c r="H1617" s="1081"/>
      <c r="J1617" s="827" t="s">
        <v>718</v>
      </c>
      <c r="K1617" s="1091">
        <f>SUM(K1615:K1616)</f>
        <v>3369.7799999999997</v>
      </c>
      <c r="L1617" s="1087"/>
      <c r="M1617" s="724"/>
      <c r="N1617" s="724"/>
      <c r="O1617" s="724"/>
      <c r="P1617" s="724"/>
    </row>
    <row r="1618" spans="1:16">
      <c r="A1618" s="722"/>
      <c r="H1618" s="1081"/>
      <c r="J1618" s="723" t="s">
        <v>379</v>
      </c>
      <c r="K1618" s="1091">
        <f>ROUND(K1617,1)</f>
        <v>3369.8</v>
      </c>
      <c r="L1618" s="1087" t="s">
        <v>721</v>
      </c>
      <c r="M1618" s="724"/>
      <c r="N1618" s="724"/>
      <c r="O1618" s="724"/>
      <c r="P1618" s="724"/>
    </row>
    <row r="1619" spans="1:16" s="723" customFormat="1">
      <c r="A1619" s="836" t="str">
        <f>A362</f>
        <v>(iii)</v>
      </c>
      <c r="B1619" s="723" t="str">
        <f>B1587</f>
        <v>Superstructure of First Floor</v>
      </c>
      <c r="E1619" s="1089" t="str">
        <f>G460</f>
        <v>Each Sqm</v>
      </c>
      <c r="F1619" s="1089"/>
      <c r="G1619" s="1098"/>
      <c r="I1619" s="836"/>
      <c r="J1619" s="1091"/>
      <c r="K1619" s="1091"/>
    </row>
    <row r="1620" spans="1:16">
      <c r="B1620" s="722" t="s">
        <v>801</v>
      </c>
      <c r="G1620" s="987"/>
      <c r="J1620" s="726"/>
      <c r="K1620" s="726">
        <f>K1618</f>
        <v>3369.8</v>
      </c>
    </row>
    <row r="1621" spans="1:16">
      <c r="B1621" s="722" t="s">
        <v>795</v>
      </c>
      <c r="G1621" s="987"/>
      <c r="J1621" s="726"/>
      <c r="K1621" s="726">
        <f>ROUND(K1605*15%,2)</f>
        <v>224.2</v>
      </c>
    </row>
    <row r="1622" spans="1:16">
      <c r="G1622" s="987"/>
      <c r="J1622" s="827" t="s">
        <v>718</v>
      </c>
      <c r="K1622" s="1091">
        <f>SUM(K1620:K1621)</f>
        <v>3594</v>
      </c>
      <c r="L1622" s="723" t="s">
        <v>721</v>
      </c>
    </row>
    <row r="1623" spans="1:16" s="723" customFormat="1">
      <c r="A1623" s="836" t="str">
        <f>A363</f>
        <v>(iv)</v>
      </c>
      <c r="B1623" s="723" t="s">
        <v>808</v>
      </c>
      <c r="E1623" s="1089" t="str">
        <f>G464</f>
        <v>Each Sqm</v>
      </c>
      <c r="F1623" s="1089"/>
      <c r="G1623" s="1098"/>
      <c r="I1623" s="836"/>
      <c r="J1623" s="1091"/>
      <c r="K1623" s="1091"/>
    </row>
    <row r="1624" spans="1:16">
      <c r="B1624" s="722" t="s">
        <v>799</v>
      </c>
      <c r="G1624" s="987"/>
      <c r="J1624" s="726"/>
      <c r="K1624" s="726">
        <f>K1612</f>
        <v>3327.8799999999997</v>
      </c>
    </row>
    <row r="1625" spans="1:16">
      <c r="B1625" s="722" t="s">
        <v>809</v>
      </c>
      <c r="G1625" s="987"/>
      <c r="J1625" s="726"/>
      <c r="K1625" s="726">
        <v>71.7</v>
      </c>
    </row>
    <row r="1626" spans="1:16">
      <c r="G1626" s="987"/>
      <c r="J1626" s="827" t="s">
        <v>718</v>
      </c>
      <c r="K1626" s="1091">
        <f>SUM(K1624:K1625)</f>
        <v>3399.5799999999995</v>
      </c>
      <c r="L1626" s="723" t="s">
        <v>721</v>
      </c>
    </row>
    <row r="1627" spans="1:16" s="723" customFormat="1">
      <c r="A1627" s="836" t="str">
        <f>A364</f>
        <v>(v)</v>
      </c>
      <c r="B1627" s="723" t="s">
        <v>810</v>
      </c>
      <c r="E1627" s="1089" t="str">
        <f>G468</f>
        <v>Each Sqm</v>
      </c>
      <c r="F1627" s="1089"/>
      <c r="G1627" s="1098"/>
      <c r="I1627" s="836"/>
      <c r="J1627" s="1091"/>
      <c r="K1627" s="1091"/>
    </row>
    <row r="1628" spans="1:16">
      <c r="B1628" s="722" t="s">
        <v>799</v>
      </c>
      <c r="G1628" s="987"/>
      <c r="J1628" s="726"/>
      <c r="K1628" s="726">
        <f>K1626</f>
        <v>3399.5799999999995</v>
      </c>
    </row>
    <row r="1629" spans="1:16">
      <c r="B1629" s="722" t="s">
        <v>795</v>
      </c>
      <c r="G1629" s="987"/>
      <c r="J1629" s="726"/>
      <c r="K1629" s="726">
        <f>ROUND(K1605*15%,2)</f>
        <v>224.2</v>
      </c>
    </row>
    <row r="1630" spans="1:16">
      <c r="G1630" s="987"/>
      <c r="J1630" s="827" t="s">
        <v>718</v>
      </c>
      <c r="K1630" s="1091">
        <f>SUM(K1628:K1629)</f>
        <v>3623.7799999999993</v>
      </c>
      <c r="L1630" s="723" t="s">
        <v>721</v>
      </c>
    </row>
    <row r="1631" spans="1:16" s="723" customFormat="1">
      <c r="A1631" s="836" t="str">
        <f>A365</f>
        <v>(vi)</v>
      </c>
      <c r="B1631" s="723" t="s">
        <v>811</v>
      </c>
      <c r="E1631" s="1089" t="str">
        <f>G472</f>
        <v>Each Sqm</v>
      </c>
      <c r="F1631" s="1089"/>
      <c r="G1631" s="1098"/>
      <c r="I1631" s="836"/>
      <c r="J1631" s="1091"/>
      <c r="K1631" s="1091"/>
    </row>
    <row r="1632" spans="1:16">
      <c r="B1632" s="722" t="s">
        <v>799</v>
      </c>
      <c r="G1632" s="987"/>
      <c r="J1632" s="726"/>
      <c r="K1632" s="726">
        <f>K1628</f>
        <v>3399.5799999999995</v>
      </c>
    </row>
    <row r="1633" spans="1:20">
      <c r="B1633" s="722" t="s">
        <v>812</v>
      </c>
      <c r="G1633" s="987"/>
      <c r="J1633" s="726"/>
      <c r="K1633" s="726">
        <f>ROUND(K1605*20%,2)</f>
        <v>298.93</v>
      </c>
    </row>
    <row r="1634" spans="1:20">
      <c r="G1634" s="987"/>
      <c r="J1634" s="827" t="s">
        <v>718</v>
      </c>
      <c r="K1634" s="1091">
        <f>SUM(K1632:K1633)</f>
        <v>3698.5099999999993</v>
      </c>
      <c r="L1634" s="723" t="s">
        <v>721</v>
      </c>
    </row>
    <row r="1635" spans="1:20" s="733" customFormat="1" ht="59.25" customHeight="1">
      <c r="A1635" s="829">
        <f>A366</f>
        <v>43</v>
      </c>
      <c r="B1635" s="3386" t="str">
        <f>B366</f>
        <v>R.R.H.G. Stone Masonry in cement mortar (1:4) in foundation &amp; plinth including cost,conveyance &amp; royality of all materials and labour charges etc. complete. in all respect as directed by the Engineer-in-charge.</v>
      </c>
      <c r="C1635" s="3386"/>
      <c r="D1635" s="3386"/>
      <c r="E1635" s="1086" t="str">
        <f>G366</f>
        <v>Each Cum</v>
      </c>
      <c r="F1635" s="1086"/>
      <c r="G1635" s="731"/>
      <c r="H1635" s="1072"/>
      <c r="I1635" s="764"/>
      <c r="J1635" s="731"/>
      <c r="K1635" s="731"/>
      <c r="L1635" s="830"/>
      <c r="M1635" s="1101"/>
      <c r="T1635" s="842"/>
    </row>
    <row r="1636" spans="1:20" s="733" customFormat="1">
      <c r="A1636" s="1099"/>
      <c r="B1636" s="762" t="s">
        <v>813</v>
      </c>
      <c r="C1636" s="762"/>
      <c r="D1636" s="731"/>
      <c r="E1636" s="1090"/>
      <c r="F1636" s="1090"/>
      <c r="G1636" s="731"/>
      <c r="H1636" s="1072"/>
      <c r="I1636" s="764"/>
      <c r="J1636" s="731"/>
      <c r="K1636" s="731"/>
      <c r="L1636" s="830"/>
      <c r="T1636" s="842"/>
    </row>
    <row r="1637" spans="1:20" s="733" customFormat="1">
      <c r="A1637" s="1099"/>
      <c r="B1637" s="731" t="s">
        <v>814</v>
      </c>
      <c r="C1637" s="731"/>
      <c r="D1637" s="731"/>
      <c r="E1637" s="1090"/>
      <c r="F1637" s="1090"/>
      <c r="G1637" s="1100">
        <v>1</v>
      </c>
      <c r="H1637" s="1072" t="s">
        <v>49</v>
      </c>
      <c r="I1637" s="764" t="s">
        <v>49</v>
      </c>
      <c r="J1637" s="742">
        <f>G17</f>
        <v>373.71</v>
      </c>
      <c r="K1637" s="726">
        <f>ROUND(G1637*J1637,2)</f>
        <v>373.71</v>
      </c>
      <c r="L1637" s="830"/>
      <c r="T1637" s="842"/>
    </row>
    <row r="1638" spans="1:20" s="733" customFormat="1">
      <c r="A1638" s="1099"/>
      <c r="B1638" s="731" t="s">
        <v>775</v>
      </c>
      <c r="C1638" s="731"/>
      <c r="D1638" s="731"/>
      <c r="E1638" s="1090"/>
      <c r="F1638" s="1090"/>
      <c r="G1638" s="1100">
        <v>0.34</v>
      </c>
      <c r="H1638" s="1072" t="s">
        <v>49</v>
      </c>
      <c r="I1638" s="764" t="s">
        <v>49</v>
      </c>
      <c r="J1638" s="742">
        <f>G44</f>
        <v>80.72</v>
      </c>
      <c r="K1638" s="726">
        <f>ROUND(G1638*J1638,2)</f>
        <v>27.44</v>
      </c>
      <c r="L1638" s="830"/>
      <c r="T1638" s="842"/>
    </row>
    <row r="1639" spans="1:20" s="733" customFormat="1">
      <c r="A1639" s="1099"/>
      <c r="B1639" s="731" t="s">
        <v>815</v>
      </c>
      <c r="C1639" s="731"/>
      <c r="D1639" s="731"/>
      <c r="E1639" s="1090"/>
      <c r="F1639" s="1090"/>
      <c r="G1639" s="1106">
        <v>0.12156</v>
      </c>
      <c r="H1639" s="1072" t="s">
        <v>91</v>
      </c>
      <c r="I1639" s="764" t="s">
        <v>91</v>
      </c>
      <c r="J1639" s="742">
        <f>G48</f>
        <v>6400</v>
      </c>
      <c r="K1639" s="726">
        <f>ROUND(G1639*J1639,2)</f>
        <v>777.98</v>
      </c>
      <c r="L1639" s="830"/>
      <c r="T1639" s="842"/>
    </row>
    <row r="1640" spans="1:20" s="733" customFormat="1">
      <c r="A1640" s="1099"/>
      <c r="B1640" s="731"/>
      <c r="C1640" s="731"/>
      <c r="D1640" s="731"/>
      <c r="E1640" s="1090"/>
      <c r="F1640" s="1090"/>
      <c r="G1640" s="1106"/>
      <c r="H1640" s="1072"/>
      <c r="I1640" s="764"/>
      <c r="J1640" s="1073" t="s">
        <v>718</v>
      </c>
      <c r="K1640" s="769">
        <f>SUM(K1637:K1639)</f>
        <v>1179.1300000000001</v>
      </c>
      <c r="L1640" s="830"/>
      <c r="T1640" s="842"/>
    </row>
    <row r="1641" spans="1:20" s="733" customFormat="1">
      <c r="A1641" s="1099"/>
      <c r="B1641" s="762" t="s">
        <v>816</v>
      </c>
      <c r="C1641" s="731"/>
      <c r="D1641" s="731"/>
      <c r="E1641" s="1090"/>
      <c r="F1641" s="1090"/>
      <c r="G1641" s="1106"/>
      <c r="H1641" s="1072"/>
      <c r="I1641" s="764"/>
      <c r="J1641" s="742"/>
      <c r="K1641" s="742"/>
      <c r="L1641" s="830"/>
      <c r="T1641" s="842"/>
    </row>
    <row r="1642" spans="1:20" s="733" customFormat="1">
      <c r="A1642" s="1099"/>
      <c r="B1642" s="731" t="s">
        <v>817</v>
      </c>
      <c r="C1642" s="731"/>
      <c r="D1642" s="731"/>
      <c r="E1642" s="1090"/>
      <c r="F1642" s="1090"/>
      <c r="G1642" s="1100">
        <v>0.35</v>
      </c>
      <c r="H1642" s="1072" t="s">
        <v>262</v>
      </c>
      <c r="I1642" s="764" t="s">
        <v>38</v>
      </c>
      <c r="J1642" s="742">
        <f>L132</f>
        <v>284.3</v>
      </c>
      <c r="K1642" s="726">
        <f>ROUND(G1642*J1642,2)</f>
        <v>99.51</v>
      </c>
      <c r="L1642" s="830"/>
      <c r="T1642" s="842"/>
    </row>
    <row r="1643" spans="1:20" s="733" customFormat="1">
      <c r="A1643" s="1099"/>
      <c r="B1643" s="731" t="s">
        <v>818</v>
      </c>
      <c r="C1643" s="731"/>
      <c r="D1643" s="731"/>
      <c r="E1643" s="1090"/>
      <c r="F1643" s="1090"/>
      <c r="G1643" s="1100">
        <v>1.41</v>
      </c>
      <c r="H1643" s="1072" t="s">
        <v>262</v>
      </c>
      <c r="I1643" s="764" t="s">
        <v>38</v>
      </c>
      <c r="J1643" s="742">
        <f>L131</f>
        <v>264.3</v>
      </c>
      <c r="K1643" s="726">
        <f>ROUND(G1643*J1643,2)</f>
        <v>372.66</v>
      </c>
      <c r="L1643" s="830"/>
      <c r="T1643" s="842"/>
    </row>
    <row r="1644" spans="1:20" s="733" customFormat="1">
      <c r="A1644" s="1099"/>
      <c r="B1644" s="731" t="s">
        <v>717</v>
      </c>
      <c r="C1644" s="731"/>
      <c r="D1644" s="731"/>
      <c r="E1644" s="1090"/>
      <c r="F1644" s="1090"/>
      <c r="G1644" s="1100">
        <v>3.17</v>
      </c>
      <c r="H1644" s="1072" t="s">
        <v>262</v>
      </c>
      <c r="I1644" s="764" t="s">
        <v>38</v>
      </c>
      <c r="J1644" s="742">
        <f>L129</f>
        <v>182</v>
      </c>
      <c r="K1644" s="726">
        <f>ROUND(G1644*J1644,2)</f>
        <v>576.94000000000005</v>
      </c>
      <c r="L1644" s="830"/>
      <c r="T1644" s="842"/>
    </row>
    <row r="1645" spans="1:20" s="733" customFormat="1">
      <c r="A1645" s="1099"/>
      <c r="B1645" s="731"/>
      <c r="C1645" s="731"/>
      <c r="D1645" s="731"/>
      <c r="E1645" s="1090"/>
      <c r="F1645" s="1090"/>
      <c r="G1645" s="1100"/>
      <c r="H1645" s="1072"/>
      <c r="I1645" s="764"/>
      <c r="J1645" s="1073" t="s">
        <v>718</v>
      </c>
      <c r="K1645" s="769">
        <f>SUM(K1642:K1644)</f>
        <v>1049.1100000000001</v>
      </c>
      <c r="L1645" s="830"/>
      <c r="T1645" s="842"/>
    </row>
    <row r="1646" spans="1:20" s="733" customFormat="1">
      <c r="A1646" s="1099"/>
      <c r="B1646" s="731"/>
      <c r="C1646" s="731"/>
      <c r="D1646" s="731"/>
      <c r="E1646" s="1090"/>
      <c r="F1646" s="1090"/>
      <c r="G1646" s="731"/>
      <c r="H1646" s="1072"/>
      <c r="I1646" s="768" t="s">
        <v>773</v>
      </c>
      <c r="J1646" s="1073" t="s">
        <v>718</v>
      </c>
      <c r="K1646" s="769">
        <f>K1640+K1645</f>
        <v>2228.2400000000002</v>
      </c>
      <c r="L1646" s="830"/>
      <c r="T1646" s="842"/>
    </row>
    <row r="1647" spans="1:20" s="733" customFormat="1">
      <c r="A1647" s="1099"/>
      <c r="B1647" s="731"/>
      <c r="C1647" s="731"/>
      <c r="D1647" s="731"/>
      <c r="E1647" s="1090"/>
      <c r="F1647" s="1090"/>
      <c r="G1647" s="731"/>
      <c r="H1647" s="1072"/>
      <c r="I1647" s="764"/>
      <c r="J1647" s="731"/>
      <c r="K1647" s="742"/>
      <c r="L1647" s="830"/>
      <c r="T1647" s="842"/>
    </row>
    <row r="1648" spans="1:20" s="733" customFormat="1">
      <c r="A1648" s="1099"/>
      <c r="B1648" s="731"/>
      <c r="C1648" s="731"/>
      <c r="D1648" s="731"/>
      <c r="E1648" s="1090"/>
      <c r="F1648" s="1090"/>
      <c r="G1648" s="731"/>
      <c r="H1648" s="1072"/>
      <c r="I1648" s="764"/>
      <c r="J1648" s="1073" t="s">
        <v>718</v>
      </c>
      <c r="K1648" s="769">
        <f>SUM(K1646:K1647)</f>
        <v>2228.2400000000002</v>
      </c>
      <c r="L1648" s="830"/>
      <c r="T1648" s="842"/>
    </row>
    <row r="1649" spans="1:20" s="733" customFormat="1">
      <c r="A1649" s="1099"/>
      <c r="B1649" s="762" t="s">
        <v>819</v>
      </c>
      <c r="C1649" s="762"/>
      <c r="D1649" s="731"/>
      <c r="E1649" s="1090"/>
      <c r="F1649" s="1090"/>
      <c r="G1649" s="731"/>
      <c r="H1649" s="1072"/>
      <c r="I1649" s="764"/>
      <c r="J1649" s="731"/>
      <c r="K1649" s="731"/>
      <c r="L1649" s="830"/>
      <c r="T1649" s="842"/>
    </row>
    <row r="1650" spans="1:20" s="733" customFormat="1">
      <c r="A1650" s="1099"/>
      <c r="B1650" s="731" t="str">
        <f>B1637</f>
        <v>H.G. stone</v>
      </c>
      <c r="C1650" s="731"/>
      <c r="D1650" s="731"/>
      <c r="E1650" s="1090"/>
      <c r="F1650" s="1090"/>
      <c r="G1650" s="1100">
        <v>1</v>
      </c>
      <c r="H1650" s="1072" t="s">
        <v>49</v>
      </c>
      <c r="I1650" s="764" t="s">
        <v>49</v>
      </c>
      <c r="J1650" s="742">
        <f>K17</f>
        <v>276.01</v>
      </c>
      <c r="K1650" s="726">
        <f>ROUND(G1650*J1650,2)</f>
        <v>276.01</v>
      </c>
      <c r="L1650" s="830"/>
      <c r="T1650" s="842"/>
    </row>
    <row r="1651" spans="1:20" s="733" customFormat="1">
      <c r="A1651" s="1099"/>
      <c r="B1651" s="731" t="str">
        <f>B1638</f>
        <v>Sand</v>
      </c>
      <c r="C1651" s="731"/>
      <c r="D1651" s="731"/>
      <c r="E1651" s="1090"/>
      <c r="F1651" s="1090"/>
      <c r="G1651" s="1100">
        <v>0.34</v>
      </c>
      <c r="H1651" s="1072" t="s">
        <v>49</v>
      </c>
      <c r="I1651" s="764" t="s">
        <v>49</v>
      </c>
      <c r="J1651" s="742">
        <f>K44</f>
        <v>731.71</v>
      </c>
      <c r="K1651" s="726">
        <f>ROUND(G1651*J1651,2)</f>
        <v>248.78</v>
      </c>
      <c r="L1651" s="830"/>
      <c r="T1651" s="842"/>
    </row>
    <row r="1652" spans="1:20" s="733" customFormat="1">
      <c r="A1652" s="1099"/>
      <c r="B1652" s="731" t="str">
        <f>B1639</f>
        <v>cement</v>
      </c>
      <c r="C1652" s="731"/>
      <c r="D1652" s="731"/>
      <c r="E1652" s="1090"/>
      <c r="F1652" s="1090"/>
      <c r="G1652" s="1106">
        <v>0.12156</v>
      </c>
      <c r="H1652" s="1072" t="s">
        <v>91</v>
      </c>
      <c r="I1652" s="764" t="s">
        <v>91</v>
      </c>
      <c r="J1652" s="742">
        <f>K48</f>
        <v>247.87</v>
      </c>
      <c r="K1652" s="726">
        <f>ROUND(G1652*J1652,2)</f>
        <v>30.13</v>
      </c>
      <c r="L1652" s="830"/>
      <c r="T1652" s="842"/>
    </row>
    <row r="1653" spans="1:20" s="733" customFormat="1">
      <c r="A1653" s="1099"/>
      <c r="B1653" s="731"/>
      <c r="C1653" s="731"/>
      <c r="D1653" s="731"/>
      <c r="E1653" s="1090"/>
      <c r="F1653" s="1090"/>
      <c r="G1653" s="731"/>
      <c r="H1653" s="1072"/>
      <c r="I1653" s="764"/>
      <c r="J1653" s="1073" t="s">
        <v>718</v>
      </c>
      <c r="K1653" s="769">
        <f>SUM(K1650:K1652)</f>
        <v>554.91999999999996</v>
      </c>
      <c r="L1653" s="830"/>
      <c r="T1653" s="842"/>
    </row>
    <row r="1654" spans="1:20" s="842" customFormat="1">
      <c r="A1654" s="1102"/>
      <c r="B1654" s="762" t="s">
        <v>820</v>
      </c>
      <c r="C1654" s="762"/>
      <c r="D1654" s="762"/>
      <c r="E1654" s="1103"/>
      <c r="F1654" s="1103"/>
      <c r="G1654" s="762"/>
      <c r="H1654" s="830"/>
      <c r="I1654" s="768"/>
      <c r="J1654" s="762"/>
      <c r="K1654" s="769">
        <f>K1648+K1653</f>
        <v>2783.1600000000003</v>
      </c>
      <c r="L1654" s="830" t="s">
        <v>721</v>
      </c>
      <c r="M1654" s="733"/>
      <c r="N1654" s="733"/>
      <c r="O1654" s="733"/>
      <c r="P1654" s="733"/>
    </row>
    <row r="1655" spans="1:20" s="733" customFormat="1" ht="59.25" customHeight="1">
      <c r="A1655" s="829">
        <f>A367</f>
        <v>44</v>
      </c>
      <c r="B1655" s="3386" t="str">
        <f>B367</f>
        <v>R.R.H.G. Stone Masonry in cement mortar (1:6) in foundation &amp; plinth including cost,conveyance &amp; royality of all materials and labour charges etc. complete. in all respect as directed by the Engineer-in-charge.</v>
      </c>
      <c r="C1655" s="3386"/>
      <c r="D1655" s="3386"/>
      <c r="E1655" s="1086" t="str">
        <f>G387</f>
        <v>Each Sqm</v>
      </c>
      <c r="F1655" s="1086"/>
      <c r="G1655" s="731"/>
      <c r="H1655" s="1072"/>
      <c r="I1655" s="764"/>
      <c r="J1655" s="731"/>
      <c r="K1655" s="731"/>
      <c r="L1655" s="830"/>
      <c r="T1655" s="842"/>
    </row>
    <row r="1656" spans="1:20" s="733" customFormat="1">
      <c r="A1656" s="1099"/>
      <c r="B1656" s="762" t="s">
        <v>813</v>
      </c>
      <c r="C1656" s="762"/>
      <c r="D1656" s="731"/>
      <c r="E1656" s="1090"/>
      <c r="F1656" s="1090"/>
      <c r="G1656" s="731"/>
      <c r="H1656" s="1072"/>
      <c r="I1656" s="764"/>
      <c r="J1656" s="731"/>
      <c r="K1656" s="731"/>
      <c r="L1656" s="830"/>
      <c r="T1656" s="842"/>
    </row>
    <row r="1657" spans="1:20" s="733" customFormat="1">
      <c r="A1657" s="1099"/>
      <c r="B1657" s="731" t="s">
        <v>814</v>
      </c>
      <c r="C1657" s="731"/>
      <c r="D1657" s="731"/>
      <c r="E1657" s="1090"/>
      <c r="F1657" s="1090"/>
      <c r="G1657" s="1100">
        <v>1</v>
      </c>
      <c r="H1657" s="1072" t="s">
        <v>49</v>
      </c>
      <c r="I1657" s="764" t="s">
        <v>49</v>
      </c>
      <c r="J1657" s="742">
        <f>G17</f>
        <v>373.71</v>
      </c>
      <c r="K1657" s="726">
        <f>ROUND(G1657*J1657,2)</f>
        <v>373.71</v>
      </c>
      <c r="L1657" s="830"/>
      <c r="T1657" s="842"/>
    </row>
    <row r="1658" spans="1:20" s="733" customFormat="1">
      <c r="A1658" s="1099"/>
      <c r="B1658" s="731" t="s">
        <v>775</v>
      </c>
      <c r="C1658" s="731"/>
      <c r="D1658" s="731"/>
      <c r="E1658" s="1090"/>
      <c r="F1658" s="1090"/>
      <c r="G1658" s="1100">
        <v>0.34</v>
      </c>
      <c r="H1658" s="1072" t="s">
        <v>49</v>
      </c>
      <c r="I1658" s="764" t="s">
        <v>49</v>
      </c>
      <c r="J1658" s="742">
        <f>G44</f>
        <v>80.72</v>
      </c>
      <c r="K1658" s="726">
        <f>ROUND(G1658*J1658,2)</f>
        <v>27.44</v>
      </c>
      <c r="L1658" s="830"/>
      <c r="T1658" s="842"/>
    </row>
    <row r="1659" spans="1:20" s="733" customFormat="1">
      <c r="A1659" s="1099"/>
      <c r="B1659" s="731" t="s">
        <v>815</v>
      </c>
      <c r="C1659" s="731"/>
      <c r="D1659" s="731"/>
      <c r="E1659" s="1090"/>
      <c r="F1659" s="1090"/>
      <c r="G1659" s="1106">
        <v>8.1509999999999999E-2</v>
      </c>
      <c r="H1659" s="1072" t="s">
        <v>91</v>
      </c>
      <c r="I1659" s="764" t="s">
        <v>91</v>
      </c>
      <c r="J1659" s="742">
        <f>G48</f>
        <v>6400</v>
      </c>
      <c r="K1659" s="726">
        <f>ROUND(G1659*J1659,2)</f>
        <v>521.66</v>
      </c>
      <c r="L1659" s="830"/>
      <c r="T1659" s="842"/>
    </row>
    <row r="1660" spans="1:20" s="733" customFormat="1">
      <c r="A1660" s="1099"/>
      <c r="B1660" s="731"/>
      <c r="C1660" s="731"/>
      <c r="D1660" s="731"/>
      <c r="E1660" s="1090"/>
      <c r="F1660" s="1090"/>
      <c r="G1660" s="1106"/>
      <c r="H1660" s="1072"/>
      <c r="I1660" s="764"/>
      <c r="J1660" s="1073" t="s">
        <v>718</v>
      </c>
      <c r="K1660" s="769">
        <f>SUM(K1657:K1659)</f>
        <v>922.81</v>
      </c>
      <c r="L1660" s="830"/>
      <c r="T1660" s="842"/>
    </row>
    <row r="1661" spans="1:20" s="733" customFormat="1">
      <c r="A1661" s="1099"/>
      <c r="B1661" s="762" t="s">
        <v>816</v>
      </c>
      <c r="C1661" s="731"/>
      <c r="D1661" s="731"/>
      <c r="E1661" s="1090"/>
      <c r="F1661" s="1090"/>
      <c r="G1661" s="1106"/>
      <c r="H1661" s="1072"/>
      <c r="I1661" s="764"/>
      <c r="J1661" s="742"/>
      <c r="K1661" s="742"/>
      <c r="L1661" s="830"/>
      <c r="T1661" s="842"/>
    </row>
    <row r="1662" spans="1:20" s="733" customFormat="1">
      <c r="A1662" s="1099"/>
      <c r="B1662" s="731" t="s">
        <v>817</v>
      </c>
      <c r="C1662" s="731"/>
      <c r="D1662" s="731"/>
      <c r="E1662" s="1090"/>
      <c r="F1662" s="1090"/>
      <c r="G1662" s="1100">
        <v>0.35</v>
      </c>
      <c r="H1662" s="1072" t="s">
        <v>262</v>
      </c>
      <c r="I1662" s="764" t="s">
        <v>38</v>
      </c>
      <c r="J1662" s="742">
        <f>L132</f>
        <v>284.3</v>
      </c>
      <c r="K1662" s="726">
        <f>ROUND(G1662*J1662,2)</f>
        <v>99.51</v>
      </c>
      <c r="L1662" s="830"/>
      <c r="T1662" s="842"/>
    </row>
    <row r="1663" spans="1:20" s="733" customFormat="1">
      <c r="A1663" s="1099"/>
      <c r="B1663" s="731" t="s">
        <v>818</v>
      </c>
      <c r="C1663" s="731"/>
      <c r="D1663" s="731"/>
      <c r="E1663" s="1090"/>
      <c r="F1663" s="1090"/>
      <c r="G1663" s="1100">
        <v>1.41</v>
      </c>
      <c r="H1663" s="1072" t="s">
        <v>262</v>
      </c>
      <c r="I1663" s="764" t="s">
        <v>38</v>
      </c>
      <c r="J1663" s="742">
        <f>L131</f>
        <v>264.3</v>
      </c>
      <c r="K1663" s="726">
        <f>ROUND(G1663*J1663,2)</f>
        <v>372.66</v>
      </c>
      <c r="L1663" s="830"/>
      <c r="T1663" s="842"/>
    </row>
    <row r="1664" spans="1:20" s="733" customFormat="1">
      <c r="A1664" s="1099"/>
      <c r="B1664" s="731" t="s">
        <v>717</v>
      </c>
      <c r="C1664" s="731"/>
      <c r="D1664" s="731"/>
      <c r="E1664" s="1090"/>
      <c r="F1664" s="1090"/>
      <c r="G1664" s="1100">
        <v>3.17</v>
      </c>
      <c r="H1664" s="1072" t="s">
        <v>262</v>
      </c>
      <c r="I1664" s="764" t="s">
        <v>38</v>
      </c>
      <c r="J1664" s="742">
        <f>L129</f>
        <v>182</v>
      </c>
      <c r="K1664" s="726">
        <f>ROUND(G1664*J1664,2)</f>
        <v>576.94000000000005</v>
      </c>
      <c r="L1664" s="830"/>
      <c r="T1664" s="842"/>
    </row>
    <row r="1665" spans="1:20" s="733" customFormat="1">
      <c r="A1665" s="1099"/>
      <c r="B1665" s="731"/>
      <c r="C1665" s="731"/>
      <c r="D1665" s="731"/>
      <c r="E1665" s="1090"/>
      <c r="F1665" s="1090"/>
      <c r="G1665" s="1100"/>
      <c r="H1665" s="1072"/>
      <c r="I1665" s="764"/>
      <c r="J1665" s="1073" t="s">
        <v>718</v>
      </c>
      <c r="K1665" s="769">
        <f>SUM(K1662:K1664)</f>
        <v>1049.1100000000001</v>
      </c>
      <c r="L1665" s="830"/>
      <c r="T1665" s="842"/>
    </row>
    <row r="1666" spans="1:20" s="733" customFormat="1">
      <c r="A1666" s="1099"/>
      <c r="B1666" s="731"/>
      <c r="C1666" s="731"/>
      <c r="D1666" s="731"/>
      <c r="E1666" s="1090"/>
      <c r="F1666" s="1090"/>
      <c r="G1666" s="731"/>
      <c r="H1666" s="1072"/>
      <c r="I1666" s="768" t="s">
        <v>773</v>
      </c>
      <c r="J1666" s="1073" t="s">
        <v>718</v>
      </c>
      <c r="K1666" s="769">
        <f>K1660+K1665</f>
        <v>1971.92</v>
      </c>
      <c r="L1666" s="830"/>
      <c r="T1666" s="842"/>
    </row>
    <row r="1667" spans="1:20" s="733" customFormat="1">
      <c r="A1667" s="1099"/>
      <c r="B1667" s="731"/>
      <c r="C1667" s="731"/>
      <c r="D1667" s="731"/>
      <c r="E1667" s="1090"/>
      <c r="F1667" s="1090"/>
      <c r="G1667" s="731"/>
      <c r="H1667" s="1072"/>
      <c r="I1667" s="764"/>
      <c r="J1667" s="731"/>
      <c r="K1667" s="742"/>
      <c r="L1667" s="830"/>
      <c r="T1667" s="842"/>
    </row>
    <row r="1668" spans="1:20" s="733" customFormat="1">
      <c r="A1668" s="1099"/>
      <c r="B1668" s="731"/>
      <c r="C1668" s="731"/>
      <c r="D1668" s="731"/>
      <c r="E1668" s="1090"/>
      <c r="F1668" s="1090"/>
      <c r="G1668" s="731"/>
      <c r="H1668" s="1072"/>
      <c r="I1668" s="764"/>
      <c r="J1668" s="1073" t="s">
        <v>718</v>
      </c>
      <c r="K1668" s="769">
        <f>SUM(K1666:K1667)</f>
        <v>1971.92</v>
      </c>
      <c r="L1668" s="830"/>
      <c r="T1668" s="842"/>
    </row>
    <row r="1669" spans="1:20" s="733" customFormat="1">
      <c r="A1669" s="1099"/>
      <c r="B1669" s="762" t="s">
        <v>819</v>
      </c>
      <c r="C1669" s="762"/>
      <c r="D1669" s="731"/>
      <c r="E1669" s="1090"/>
      <c r="F1669" s="1090"/>
      <c r="G1669" s="731"/>
      <c r="H1669" s="1072"/>
      <c r="I1669" s="764"/>
      <c r="J1669" s="731"/>
      <c r="K1669" s="731"/>
      <c r="L1669" s="830"/>
      <c r="T1669" s="842"/>
    </row>
    <row r="1670" spans="1:20" s="733" customFormat="1">
      <c r="A1670" s="1099"/>
      <c r="B1670" s="731" t="str">
        <f>B1657</f>
        <v>H.G. stone</v>
      </c>
      <c r="C1670" s="731"/>
      <c r="D1670" s="731"/>
      <c r="E1670" s="1090"/>
      <c r="F1670" s="1090"/>
      <c r="G1670" s="1100">
        <f>G1657</f>
        <v>1</v>
      </c>
      <c r="H1670" s="1072" t="s">
        <v>49</v>
      </c>
      <c r="I1670" s="764" t="s">
        <v>49</v>
      </c>
      <c r="J1670" s="742">
        <f>K17</f>
        <v>276.01</v>
      </c>
      <c r="K1670" s="726">
        <f>ROUND(G1670*J1670,2)</f>
        <v>276.01</v>
      </c>
      <c r="L1670" s="830"/>
      <c r="T1670" s="842"/>
    </row>
    <row r="1671" spans="1:20" s="733" customFormat="1">
      <c r="A1671" s="1099"/>
      <c r="B1671" s="731" t="str">
        <f>B1658</f>
        <v>Sand</v>
      </c>
      <c r="C1671" s="731"/>
      <c r="D1671" s="731"/>
      <c r="E1671" s="1090"/>
      <c r="F1671" s="1090"/>
      <c r="G1671" s="1100">
        <f>G1658</f>
        <v>0.34</v>
      </c>
      <c r="H1671" s="1072" t="s">
        <v>49</v>
      </c>
      <c r="I1671" s="764" t="s">
        <v>49</v>
      </c>
      <c r="J1671" s="742">
        <f>K44</f>
        <v>731.71</v>
      </c>
      <c r="K1671" s="726">
        <f>ROUND(G1671*J1671,2)</f>
        <v>248.78</v>
      </c>
      <c r="L1671" s="830"/>
      <c r="T1671" s="842"/>
    </row>
    <row r="1672" spans="1:20" s="733" customFormat="1">
      <c r="A1672" s="1099"/>
      <c r="B1672" s="731" t="str">
        <f>B1659</f>
        <v>cement</v>
      </c>
      <c r="C1672" s="731"/>
      <c r="D1672" s="731"/>
      <c r="E1672" s="1090"/>
      <c r="F1672" s="1090"/>
      <c r="G1672" s="1106">
        <f>G1659</f>
        <v>8.1509999999999999E-2</v>
      </c>
      <c r="H1672" s="1072" t="s">
        <v>91</v>
      </c>
      <c r="I1672" s="764" t="s">
        <v>91</v>
      </c>
      <c r="J1672" s="742">
        <f>K48</f>
        <v>247.87</v>
      </c>
      <c r="K1672" s="726">
        <f>ROUND(G1672*J1672,2)</f>
        <v>20.2</v>
      </c>
      <c r="L1672" s="830"/>
      <c r="T1672" s="842"/>
    </row>
    <row r="1673" spans="1:20" s="733" customFormat="1">
      <c r="A1673" s="1099"/>
      <c r="B1673" s="731"/>
      <c r="C1673" s="731"/>
      <c r="D1673" s="731"/>
      <c r="E1673" s="1090"/>
      <c r="F1673" s="1090"/>
      <c r="G1673" s="731"/>
      <c r="H1673" s="1072"/>
      <c r="I1673" s="764"/>
      <c r="J1673" s="1073" t="s">
        <v>718</v>
      </c>
      <c r="K1673" s="769">
        <f>SUM(K1670:K1672)</f>
        <v>544.99</v>
      </c>
      <c r="L1673" s="830"/>
      <c r="T1673" s="842"/>
    </row>
    <row r="1674" spans="1:20" s="842" customFormat="1">
      <c r="A1674" s="1102"/>
      <c r="B1674" s="762" t="s">
        <v>820</v>
      </c>
      <c r="C1674" s="762"/>
      <c r="D1674" s="762"/>
      <c r="E1674" s="1103"/>
      <c r="F1674" s="1103"/>
      <c r="G1674" s="762"/>
      <c r="H1674" s="830"/>
      <c r="I1674" s="768"/>
      <c r="J1674" s="762"/>
      <c r="K1674" s="769">
        <f>K1668+K1673</f>
        <v>2516.91</v>
      </c>
      <c r="L1674" s="830" t="s">
        <v>721</v>
      </c>
      <c r="M1674" s="733"/>
      <c r="N1674" s="733"/>
      <c r="O1674" s="733"/>
      <c r="P1674" s="733"/>
    </row>
    <row r="1675" spans="1:20" ht="60.75" customHeight="1">
      <c r="A1675" s="836">
        <f>A368</f>
        <v>45</v>
      </c>
      <c r="B1675" s="3386" t="str">
        <f>B368</f>
        <v>Providing 2.5cm thick Damp Proof Course with cement concrete (1:2:4) using 12mm size black hard granite crusher broken chips and screened &amp; washed sharp sand for mortar  etc. complete in all respect as directed by the Engineer in charge.</v>
      </c>
      <c r="C1675" s="3386"/>
      <c r="D1675" s="3386"/>
      <c r="E1675" s="1086" t="str">
        <f>G368</f>
        <v>Each Sqm</v>
      </c>
      <c r="F1675" s="1086"/>
      <c r="G1675" s="1105"/>
      <c r="H1675" s="1081"/>
      <c r="J1675" s="726"/>
      <c r="K1675" s="1091"/>
      <c r="L1675" s="1087"/>
    </row>
    <row r="1676" spans="1:20">
      <c r="A1676" s="722"/>
      <c r="B1676" s="722" t="s">
        <v>821</v>
      </c>
      <c r="G1676" s="987"/>
      <c r="H1676" s="1081"/>
      <c r="J1676" s="726"/>
      <c r="K1676" s="726"/>
      <c r="L1676" s="1087"/>
    </row>
    <row r="1677" spans="1:20">
      <c r="A1677" s="722"/>
      <c r="B1677" s="723" t="s">
        <v>822</v>
      </c>
      <c r="H1677" s="1081"/>
      <c r="L1677" s="1087"/>
    </row>
    <row r="1678" spans="1:20">
      <c r="A1678" s="722"/>
      <c r="B1678" s="1081" t="s">
        <v>823</v>
      </c>
      <c r="G1678" s="1092">
        <v>2.3E-2</v>
      </c>
      <c r="H1678" s="1081" t="s">
        <v>49</v>
      </c>
      <c r="I1678" s="724" t="s">
        <v>49</v>
      </c>
      <c r="J1678" s="726">
        <f>G12</f>
        <v>1466.4499999999998</v>
      </c>
      <c r="K1678" s="726">
        <f>ROUND(G1678*J1678,2)</f>
        <v>33.729999999999997</v>
      </c>
      <c r="L1678" s="1087"/>
    </row>
    <row r="1679" spans="1:20">
      <c r="A1679" s="722"/>
      <c r="B1679" s="722" t="s">
        <v>775</v>
      </c>
      <c r="G1679" s="1092">
        <v>1.2E-2</v>
      </c>
      <c r="H1679" s="1081" t="s">
        <v>49</v>
      </c>
      <c r="I1679" s="724" t="s">
        <v>49</v>
      </c>
      <c r="J1679" s="726">
        <f>G44</f>
        <v>80.72</v>
      </c>
      <c r="K1679" s="726">
        <f>ROUND(G1679*J1679,2)</f>
        <v>0.97</v>
      </c>
      <c r="L1679" s="1087"/>
    </row>
    <row r="1680" spans="1:20">
      <c r="A1680" s="722"/>
      <c r="B1680" s="722" t="s">
        <v>8</v>
      </c>
      <c r="G1680" s="1092">
        <v>7.5399999999999995E-2</v>
      </c>
      <c r="H1680" s="1081" t="s">
        <v>247</v>
      </c>
      <c r="I1680" s="724" t="s">
        <v>247</v>
      </c>
      <c r="J1680" s="726">
        <f>G48/10</f>
        <v>640</v>
      </c>
      <c r="K1680" s="726">
        <f>ROUND(G1680*J1680,2)</f>
        <v>48.26</v>
      </c>
      <c r="L1680" s="1087"/>
    </row>
    <row r="1681" spans="1:13">
      <c r="A1681" s="722"/>
      <c r="G1681" s="987"/>
      <c r="H1681" s="1081"/>
      <c r="J1681" s="827" t="s">
        <v>718</v>
      </c>
      <c r="K1681" s="1091">
        <f>SUM(K1678:K1680)</f>
        <v>82.96</v>
      </c>
      <c r="L1681" s="1087"/>
    </row>
    <row r="1682" spans="1:13">
      <c r="A1682" s="722"/>
      <c r="B1682" s="723" t="s">
        <v>781</v>
      </c>
      <c r="G1682" s="987"/>
      <c r="H1682" s="1081"/>
      <c r="J1682" s="726"/>
      <c r="K1682" s="726"/>
      <c r="L1682" s="1087"/>
    </row>
    <row r="1683" spans="1:13">
      <c r="A1683" s="722"/>
      <c r="B1683" s="722" t="s">
        <v>824</v>
      </c>
      <c r="G1683" s="987">
        <v>0.10299999999999999</v>
      </c>
      <c r="H1683" s="1081" t="s">
        <v>262</v>
      </c>
      <c r="I1683" s="724" t="s">
        <v>38</v>
      </c>
      <c r="J1683" s="726">
        <f>L132</f>
        <v>284.3</v>
      </c>
      <c r="K1683" s="726">
        <f>ROUND(G1683*J1683,2)</f>
        <v>29.28</v>
      </c>
      <c r="L1683" s="1087"/>
    </row>
    <row r="1684" spans="1:13">
      <c r="A1684" s="722"/>
      <c r="B1684" s="722" t="s">
        <v>717</v>
      </c>
      <c r="G1684" s="987">
        <v>0.36</v>
      </c>
      <c r="H1684" s="1081" t="s">
        <v>262</v>
      </c>
      <c r="I1684" s="724" t="s">
        <v>38</v>
      </c>
      <c r="J1684" s="726">
        <f>L129</f>
        <v>182</v>
      </c>
      <c r="K1684" s="726">
        <f>ROUND(G1684*J1684,2)</f>
        <v>65.52</v>
      </c>
      <c r="L1684" s="1087"/>
    </row>
    <row r="1685" spans="1:13">
      <c r="A1685" s="722"/>
      <c r="G1685" s="987"/>
      <c r="H1685" s="1081"/>
      <c r="J1685" s="827" t="s">
        <v>718</v>
      </c>
      <c r="K1685" s="1091">
        <f>SUM(K1683:K1684)</f>
        <v>94.8</v>
      </c>
      <c r="L1685" s="1087"/>
    </row>
    <row r="1686" spans="1:13">
      <c r="A1686" s="722"/>
      <c r="B1686" s="723"/>
      <c r="G1686" s="987"/>
      <c r="H1686" s="1081"/>
      <c r="J1686" s="726"/>
      <c r="K1686" s="1091"/>
      <c r="L1686" s="1087"/>
    </row>
    <row r="1687" spans="1:13">
      <c r="A1687" s="722"/>
      <c r="B1687" s="723" t="s">
        <v>783</v>
      </c>
      <c r="G1687" s="987"/>
      <c r="H1687" s="1081"/>
      <c r="J1687" s="1096"/>
      <c r="K1687" s="726"/>
      <c r="L1687" s="1087"/>
    </row>
    <row r="1688" spans="1:13">
      <c r="A1688" s="722"/>
      <c r="B1688" s="1081" t="str">
        <f>B1678</f>
        <v>B.h.g.c.b. chips</v>
      </c>
      <c r="G1688" s="1092">
        <f>G1678</f>
        <v>2.3E-2</v>
      </c>
      <c r="H1688" s="1081" t="s">
        <v>49</v>
      </c>
      <c r="I1688" s="724" t="s">
        <v>49</v>
      </c>
      <c r="J1688" s="726">
        <f>K12</f>
        <v>276.01</v>
      </c>
      <c r="K1688" s="726">
        <f>ROUND(G1688*J1688,2)</f>
        <v>6.35</v>
      </c>
      <c r="L1688" s="1087"/>
    </row>
    <row r="1689" spans="1:13">
      <c r="A1689" s="722"/>
      <c r="B1689" s="722" t="s">
        <v>775</v>
      </c>
      <c r="G1689" s="1092">
        <f>G1679</f>
        <v>1.2E-2</v>
      </c>
      <c r="H1689" s="1081" t="s">
        <v>49</v>
      </c>
      <c r="I1689" s="724" t="s">
        <v>49</v>
      </c>
      <c r="J1689" s="726">
        <f>K44</f>
        <v>731.71</v>
      </c>
      <c r="K1689" s="726">
        <f>ROUND(G1689*J1689,2)</f>
        <v>8.7799999999999994</v>
      </c>
      <c r="L1689" s="1087"/>
    </row>
    <row r="1690" spans="1:13">
      <c r="A1690" s="722"/>
      <c r="B1690" s="722" t="s">
        <v>8</v>
      </c>
      <c r="G1690" s="1092">
        <f>G1680</f>
        <v>7.5399999999999995E-2</v>
      </c>
      <c r="H1690" s="1081" t="s">
        <v>247</v>
      </c>
      <c r="I1690" s="724" t="s">
        <v>247</v>
      </c>
      <c r="J1690" s="726">
        <f>K48/10</f>
        <v>24.786999999999999</v>
      </c>
      <c r="K1690" s="726">
        <f>ROUND(G1690*J1690,2)</f>
        <v>1.87</v>
      </c>
      <c r="L1690" s="1087"/>
    </row>
    <row r="1691" spans="1:13">
      <c r="A1691" s="722"/>
      <c r="G1691" s="987"/>
      <c r="H1691" s="1081"/>
      <c r="J1691" s="827" t="s">
        <v>718</v>
      </c>
      <c r="K1691" s="1091">
        <f>SUM(K1688:K1690)</f>
        <v>17</v>
      </c>
      <c r="L1691" s="1087"/>
    </row>
    <row r="1692" spans="1:13">
      <c r="A1692" s="722"/>
      <c r="B1692" s="723" t="s">
        <v>825</v>
      </c>
      <c r="G1692" s="1105"/>
      <c r="H1692" s="1081"/>
      <c r="J1692" s="726"/>
      <c r="K1692" s="1091">
        <f>K1681+K1685+K1686+K1691</f>
        <v>194.76</v>
      </c>
      <c r="L1692" s="1087" t="s">
        <v>730</v>
      </c>
    </row>
    <row r="1693" spans="1:13" ht="49.5" customHeight="1">
      <c r="A1693" s="836">
        <f>A369</f>
        <v>46</v>
      </c>
      <c r="B1693" s="3386" t="str">
        <f>B369</f>
        <v>Back Filling of surplus excavated earth at work site by initial lead of 50.00mtr and initial lift of 1.50mtr including cost of all labour T&amp;P required for the work etc. complete as directed by Engineer-In-Charge</v>
      </c>
      <c r="C1693" s="3386"/>
      <c r="D1693" s="3386"/>
      <c r="E1693" s="1086" t="str">
        <f>G369</f>
        <v>Each Cum</v>
      </c>
      <c r="F1693" s="1086"/>
      <c r="G1693" s="987"/>
      <c r="J1693" s="1091"/>
      <c r="K1693" s="1091"/>
    </row>
    <row r="1694" spans="1:13">
      <c r="B1694" s="722" t="s">
        <v>826</v>
      </c>
      <c r="G1694" s="987" t="s">
        <v>827</v>
      </c>
      <c r="J1694" s="726"/>
      <c r="K1694" s="1091">
        <f>ROUND(K1264/300*2,2)</f>
        <v>53.22</v>
      </c>
      <c r="L1694" s="723" t="s">
        <v>721</v>
      </c>
    </row>
    <row r="1695" spans="1:13" ht="52.5" customHeight="1">
      <c r="A1695" s="836">
        <f>A370</f>
        <v>47</v>
      </c>
      <c r="B1695" s="3386" t="str">
        <f>B370</f>
        <v>R.C.C. M20  using  20 mm to 10mm  size black hard crusher broken granite stone chips of approved quality and from approved quarry  etc. complete in all respect .</v>
      </c>
      <c r="C1695" s="3386"/>
      <c r="D1695" s="3386"/>
      <c r="E1695" s="1086" t="str">
        <f>G282</f>
        <v>Each Sqm</v>
      </c>
      <c r="F1695" s="1086"/>
      <c r="G1695" s="987"/>
      <c r="J1695" s="1091"/>
      <c r="K1695" s="1091"/>
    </row>
    <row r="1696" spans="1:13" s="723" customFormat="1">
      <c r="A1696" s="836" t="str">
        <f>A371</f>
        <v>(i)</v>
      </c>
      <c r="B1696" s="723" t="s">
        <v>384</v>
      </c>
      <c r="E1696" s="986"/>
      <c r="F1696" s="986"/>
      <c r="G1696" s="1098"/>
      <c r="I1696" s="836"/>
      <c r="J1696" s="1091"/>
      <c r="K1696" s="1091"/>
      <c r="M1696" s="722"/>
    </row>
    <row r="1697" spans="1:28">
      <c r="B1697" s="723" t="s">
        <v>828</v>
      </c>
      <c r="G1697" s="987"/>
      <c r="J1697" s="726"/>
      <c r="K1697" s="726"/>
    </row>
    <row r="1698" spans="1:28">
      <c r="B1698" s="723" t="s">
        <v>829</v>
      </c>
      <c r="G1698" s="987"/>
      <c r="J1698" s="726"/>
      <c r="K1698" s="726"/>
    </row>
    <row r="1699" spans="1:28">
      <c r="B1699" s="722" t="s">
        <v>830</v>
      </c>
      <c r="G1699" s="987">
        <v>8.1</v>
      </c>
      <c r="H1699" s="722" t="s">
        <v>49</v>
      </c>
      <c r="I1699" s="724" t="s">
        <v>49</v>
      </c>
      <c r="J1699" s="726">
        <f>G11</f>
        <v>1451.3999999999999</v>
      </c>
      <c r="K1699" s="726">
        <f>ROUND(G1699*J1699,2)</f>
        <v>11756.34</v>
      </c>
    </row>
    <row r="1700" spans="1:28">
      <c r="B1700" s="722" t="s">
        <v>831</v>
      </c>
      <c r="G1700" s="987">
        <v>5.4</v>
      </c>
      <c r="H1700" s="722" t="s">
        <v>49</v>
      </c>
      <c r="I1700" s="724" t="s">
        <v>49</v>
      </c>
      <c r="J1700" s="726">
        <f>G14</f>
        <v>1472.1</v>
      </c>
      <c r="K1700" s="726">
        <f>ROUND(G1700*J1700,2)</f>
        <v>7949.34</v>
      </c>
    </row>
    <row r="1701" spans="1:28">
      <c r="B1701" s="722" t="s">
        <v>832</v>
      </c>
      <c r="G1701" s="987">
        <v>6.75</v>
      </c>
      <c r="H1701" s="722" t="s">
        <v>49</v>
      </c>
      <c r="I1701" s="724" t="s">
        <v>49</v>
      </c>
      <c r="J1701" s="726">
        <f>G44</f>
        <v>80.72</v>
      </c>
      <c r="K1701" s="726">
        <f>ROUND(G1701*J1701,2)</f>
        <v>544.86</v>
      </c>
    </row>
    <row r="1702" spans="1:28" s="723" customFormat="1">
      <c r="A1702" s="836"/>
      <c r="B1702" s="722" t="s">
        <v>8</v>
      </c>
      <c r="C1702" s="722"/>
      <c r="D1702" s="722"/>
      <c r="E1702" s="986"/>
      <c r="F1702" s="986"/>
      <c r="G1702" s="987">
        <v>5.21</v>
      </c>
      <c r="H1702" s="722" t="s">
        <v>91</v>
      </c>
      <c r="I1702" s="724" t="s">
        <v>91</v>
      </c>
      <c r="J1702" s="726">
        <f>G48</f>
        <v>6400</v>
      </c>
      <c r="K1702" s="726">
        <f>ROUND(G1702*J1702,2)</f>
        <v>33344</v>
      </c>
      <c r="M1702" s="722"/>
      <c r="N1702" s="722"/>
      <c r="O1702" s="722"/>
      <c r="P1702" s="722"/>
      <c r="Q1702" s="722"/>
      <c r="R1702" s="722"/>
      <c r="S1702" s="722"/>
      <c r="U1702" s="722"/>
      <c r="V1702" s="722"/>
      <c r="W1702" s="722"/>
      <c r="X1702" s="722"/>
      <c r="Y1702" s="722"/>
      <c r="Z1702" s="722"/>
      <c r="AA1702" s="722"/>
      <c r="AB1702" s="722"/>
    </row>
    <row r="1703" spans="1:28" s="723" customFormat="1">
      <c r="A1703" s="836"/>
      <c r="B1703" s="722"/>
      <c r="C1703" s="722"/>
      <c r="D1703" s="722"/>
      <c r="E1703" s="986"/>
      <c r="F1703" s="986"/>
      <c r="G1703" s="987"/>
      <c r="H1703" s="722"/>
      <c r="I1703" s="724"/>
      <c r="J1703" s="1096" t="s">
        <v>718</v>
      </c>
      <c r="K1703" s="726">
        <f>SUM(K1699:K1702)</f>
        <v>53594.54</v>
      </c>
      <c r="M1703" s="722"/>
      <c r="N1703" s="722"/>
      <c r="O1703" s="722"/>
      <c r="P1703" s="722"/>
      <c r="Q1703" s="722"/>
      <c r="R1703" s="722"/>
      <c r="S1703" s="722"/>
      <c r="U1703" s="722"/>
      <c r="V1703" s="722"/>
      <c r="W1703" s="722"/>
      <c r="X1703" s="722"/>
      <c r="Y1703" s="722"/>
      <c r="Z1703" s="722"/>
      <c r="AA1703" s="722"/>
      <c r="AB1703" s="722"/>
    </row>
    <row r="1704" spans="1:28" s="723" customFormat="1">
      <c r="A1704" s="836"/>
      <c r="B1704" s="723" t="s">
        <v>816</v>
      </c>
      <c r="C1704" s="722"/>
      <c r="D1704" s="722"/>
      <c r="E1704" s="986"/>
      <c r="F1704" s="986"/>
      <c r="G1704" s="987"/>
      <c r="H1704" s="722"/>
      <c r="I1704" s="724"/>
      <c r="J1704" s="726"/>
      <c r="K1704" s="726"/>
      <c r="M1704" s="722"/>
      <c r="N1704" s="722"/>
      <c r="O1704" s="722"/>
      <c r="P1704" s="722"/>
      <c r="Q1704" s="722"/>
      <c r="R1704" s="722"/>
      <c r="S1704" s="722"/>
      <c r="U1704" s="722"/>
      <c r="V1704" s="722"/>
      <c r="W1704" s="722"/>
      <c r="X1704" s="722"/>
      <c r="Y1704" s="722"/>
      <c r="Z1704" s="722"/>
      <c r="AA1704" s="722"/>
      <c r="AB1704" s="722"/>
    </row>
    <row r="1705" spans="1:28" s="723" customFormat="1">
      <c r="A1705" s="836"/>
      <c r="B1705" s="722" t="s">
        <v>744</v>
      </c>
      <c r="C1705" s="722"/>
      <c r="D1705" s="722"/>
      <c r="E1705" s="986"/>
      <c r="F1705" s="986"/>
      <c r="G1705" s="987">
        <v>0.86</v>
      </c>
      <c r="H1705" s="722" t="s">
        <v>262</v>
      </c>
      <c r="I1705" s="724" t="s">
        <v>315</v>
      </c>
      <c r="J1705" s="726">
        <f>L130</f>
        <v>244.3</v>
      </c>
      <c r="K1705" s="726">
        <f>ROUND(G1705*J1705,2)</f>
        <v>210.1</v>
      </c>
      <c r="M1705" s="722"/>
      <c r="N1705" s="722"/>
      <c r="O1705" s="722"/>
      <c r="P1705" s="722"/>
      <c r="Q1705" s="722"/>
      <c r="R1705" s="722"/>
      <c r="S1705" s="722"/>
      <c r="U1705" s="722"/>
      <c r="V1705" s="722"/>
      <c r="W1705" s="722"/>
      <c r="X1705" s="722"/>
      <c r="Y1705" s="722"/>
      <c r="Z1705" s="722"/>
      <c r="AA1705" s="722"/>
      <c r="AB1705" s="722"/>
    </row>
    <row r="1706" spans="1:28" s="723" customFormat="1">
      <c r="A1706" s="836"/>
      <c r="B1706" s="722" t="s">
        <v>818</v>
      </c>
      <c r="C1706" s="722"/>
      <c r="D1706" s="722"/>
      <c r="E1706" s="986"/>
      <c r="F1706" s="986"/>
      <c r="G1706" s="987">
        <v>1.5</v>
      </c>
      <c r="H1706" s="722" t="s">
        <v>262</v>
      </c>
      <c r="I1706" s="724" t="s">
        <v>315</v>
      </c>
      <c r="J1706" s="726">
        <f>L131</f>
        <v>264.3</v>
      </c>
      <c r="K1706" s="726">
        <f>ROUND(G1706*J1706,2)</f>
        <v>396.45</v>
      </c>
      <c r="M1706" s="722"/>
      <c r="N1706" s="722"/>
      <c r="O1706" s="722"/>
      <c r="P1706" s="722"/>
      <c r="Q1706" s="722"/>
      <c r="R1706" s="722"/>
      <c r="S1706" s="722"/>
      <c r="U1706" s="722"/>
      <c r="V1706" s="722"/>
      <c r="W1706" s="722"/>
      <c r="X1706" s="722"/>
      <c r="Y1706" s="722"/>
      <c r="Z1706" s="722"/>
      <c r="AA1706" s="722"/>
      <c r="AB1706" s="722"/>
    </row>
    <row r="1707" spans="1:28" s="723" customFormat="1">
      <c r="A1707" s="836"/>
      <c r="B1707" s="722" t="s">
        <v>717</v>
      </c>
      <c r="C1707" s="722"/>
      <c r="D1707" s="722"/>
      <c r="E1707" s="986"/>
      <c r="F1707" s="986"/>
      <c r="G1707" s="987">
        <v>20</v>
      </c>
      <c r="H1707" s="722" t="s">
        <v>262</v>
      </c>
      <c r="I1707" s="724" t="s">
        <v>315</v>
      </c>
      <c r="J1707" s="726">
        <f>L129</f>
        <v>182</v>
      </c>
      <c r="K1707" s="726">
        <f>ROUND(G1707*J1707,2)</f>
        <v>3640</v>
      </c>
      <c r="M1707" s="722"/>
      <c r="N1707" s="722"/>
      <c r="O1707" s="722"/>
      <c r="P1707" s="722"/>
      <c r="Q1707" s="722"/>
      <c r="R1707" s="722"/>
      <c r="S1707" s="722"/>
      <c r="U1707" s="722"/>
      <c r="V1707" s="722"/>
      <c r="W1707" s="722"/>
      <c r="X1707" s="722"/>
      <c r="Y1707" s="722"/>
      <c r="Z1707" s="722"/>
      <c r="AA1707" s="722"/>
      <c r="AB1707" s="722"/>
    </row>
    <row r="1708" spans="1:28" s="723" customFormat="1">
      <c r="A1708" s="836"/>
      <c r="B1708" s="722"/>
      <c r="C1708" s="722"/>
      <c r="D1708" s="722"/>
      <c r="E1708" s="986"/>
      <c r="F1708" s="986"/>
      <c r="G1708" s="987"/>
      <c r="H1708" s="722"/>
      <c r="I1708" s="724"/>
      <c r="J1708" s="1096" t="s">
        <v>718</v>
      </c>
      <c r="K1708" s="726">
        <f>SUM(K1705:K1707)</f>
        <v>4246.55</v>
      </c>
      <c r="M1708" s="722"/>
      <c r="N1708" s="722"/>
      <c r="O1708" s="722"/>
      <c r="P1708" s="722"/>
      <c r="Q1708" s="722"/>
      <c r="R1708" s="722"/>
      <c r="S1708" s="722"/>
      <c r="U1708" s="722"/>
      <c r="V1708" s="722"/>
      <c r="W1708" s="722"/>
      <c r="X1708" s="722"/>
      <c r="Y1708" s="722"/>
      <c r="Z1708" s="722"/>
      <c r="AA1708" s="722"/>
      <c r="AB1708" s="722"/>
    </row>
    <row r="1709" spans="1:28" s="723" customFormat="1">
      <c r="A1709" s="836"/>
      <c r="B1709" s="723" t="s">
        <v>833</v>
      </c>
      <c r="C1709" s="722"/>
      <c r="D1709" s="722"/>
      <c r="E1709" s="986"/>
      <c r="F1709" s="986"/>
      <c r="G1709" s="987"/>
      <c r="H1709" s="722"/>
      <c r="I1709" s="724"/>
      <c r="J1709" s="726"/>
      <c r="K1709" s="726"/>
      <c r="M1709" s="722"/>
      <c r="N1709" s="722"/>
      <c r="O1709" s="722"/>
      <c r="P1709" s="722"/>
      <c r="Q1709" s="722"/>
      <c r="R1709" s="722"/>
      <c r="S1709" s="722"/>
      <c r="U1709" s="722"/>
      <c r="V1709" s="722"/>
      <c r="W1709" s="722"/>
      <c r="X1709" s="722"/>
      <c r="Y1709" s="722"/>
      <c r="Z1709" s="722"/>
      <c r="AA1709" s="722"/>
      <c r="AB1709" s="722"/>
    </row>
    <row r="1710" spans="1:28" s="723" customFormat="1">
      <c r="A1710" s="836"/>
      <c r="B1710" s="722" t="s">
        <v>834</v>
      </c>
      <c r="C1710" s="722"/>
      <c r="D1710" s="722"/>
      <c r="E1710" s="986"/>
      <c r="F1710" s="986"/>
      <c r="G1710" s="987">
        <v>6</v>
      </c>
      <c r="H1710" s="722" t="s">
        <v>312</v>
      </c>
      <c r="I1710" s="724" t="s">
        <v>312</v>
      </c>
      <c r="J1710" s="726">
        <f>G194</f>
        <v>229.55</v>
      </c>
      <c r="K1710" s="726">
        <f>ROUND(G1710*J1710,2)</f>
        <v>1377.3</v>
      </c>
      <c r="M1710" s="722"/>
      <c r="N1710" s="722"/>
      <c r="O1710" s="722"/>
      <c r="P1710" s="722"/>
      <c r="Q1710" s="722"/>
      <c r="R1710" s="722"/>
      <c r="S1710" s="722"/>
      <c r="U1710" s="722"/>
      <c r="V1710" s="722"/>
      <c r="W1710" s="722"/>
      <c r="X1710" s="722"/>
      <c r="Y1710" s="722"/>
      <c r="Z1710" s="722"/>
      <c r="AA1710" s="722"/>
      <c r="AB1710" s="722"/>
    </row>
    <row r="1711" spans="1:28" s="723" customFormat="1">
      <c r="A1711" s="836"/>
      <c r="B1711" s="722" t="s">
        <v>313</v>
      </c>
      <c r="C1711" s="722"/>
      <c r="D1711" s="722"/>
      <c r="E1711" s="986"/>
      <c r="F1711" s="986"/>
      <c r="G1711" s="987">
        <v>6</v>
      </c>
      <c r="H1711" s="722" t="s">
        <v>312</v>
      </c>
      <c r="I1711" s="724" t="s">
        <v>312</v>
      </c>
      <c r="J1711" s="726">
        <f>M210</f>
        <v>700</v>
      </c>
      <c r="K1711" s="726">
        <f>ROUND(G1711*J1711,2)</f>
        <v>4200</v>
      </c>
      <c r="M1711" s="722"/>
      <c r="N1711" s="722"/>
      <c r="O1711" s="722"/>
      <c r="P1711" s="722"/>
      <c r="Q1711" s="722"/>
      <c r="R1711" s="722"/>
      <c r="S1711" s="722"/>
      <c r="U1711" s="722"/>
      <c r="V1711" s="722"/>
      <c r="W1711" s="722"/>
      <c r="X1711" s="722"/>
      <c r="Y1711" s="722"/>
      <c r="Z1711" s="722"/>
      <c r="AA1711" s="722"/>
      <c r="AB1711" s="722"/>
    </row>
    <row r="1712" spans="1:28" s="723" customFormat="1">
      <c r="A1712" s="836"/>
      <c r="B1712" s="722"/>
      <c r="C1712" s="722"/>
      <c r="D1712" s="722"/>
      <c r="E1712" s="986"/>
      <c r="F1712" s="986"/>
      <c r="G1712" s="987"/>
      <c r="H1712" s="722"/>
      <c r="I1712" s="724"/>
      <c r="J1712" s="1096" t="s">
        <v>718</v>
      </c>
      <c r="K1712" s="726">
        <f>K1711+K1710</f>
        <v>5577.3</v>
      </c>
      <c r="M1712" s="722"/>
      <c r="N1712" s="722"/>
      <c r="O1712" s="722"/>
      <c r="P1712" s="722"/>
      <c r="Q1712" s="722"/>
      <c r="R1712" s="722"/>
      <c r="S1712" s="722"/>
      <c r="U1712" s="722"/>
      <c r="V1712" s="722"/>
      <c r="W1712" s="722"/>
      <c r="X1712" s="722"/>
      <c r="Y1712" s="722"/>
      <c r="Z1712" s="722"/>
      <c r="AA1712" s="722"/>
      <c r="AB1712" s="722"/>
    </row>
    <row r="1713" spans="1:28" s="723" customFormat="1">
      <c r="A1713" s="836"/>
      <c r="C1713" s="722"/>
      <c r="D1713" s="722"/>
      <c r="E1713" s="986"/>
      <c r="F1713" s="986"/>
      <c r="G1713" s="987"/>
      <c r="H1713" s="722"/>
      <c r="I1713" s="724"/>
      <c r="J1713" s="1096"/>
      <c r="K1713" s="726"/>
      <c r="M1713" s="722"/>
      <c r="N1713" s="722"/>
      <c r="O1713" s="722"/>
      <c r="P1713" s="722"/>
      <c r="Q1713" s="722"/>
      <c r="R1713" s="722"/>
      <c r="S1713" s="722"/>
      <c r="U1713" s="722"/>
      <c r="V1713" s="722"/>
      <c r="W1713" s="722"/>
      <c r="X1713" s="722"/>
      <c r="Y1713" s="722"/>
      <c r="Z1713" s="722"/>
      <c r="AA1713" s="722"/>
      <c r="AB1713" s="722"/>
    </row>
    <row r="1714" spans="1:28" s="723" customFormat="1">
      <c r="A1714" s="836"/>
      <c r="B1714" s="722" t="s">
        <v>835</v>
      </c>
      <c r="C1714" s="722"/>
      <c r="D1714" s="722"/>
      <c r="E1714" s="986"/>
      <c r="F1714" s="986"/>
      <c r="G1714" s="987"/>
      <c r="H1714" s="722"/>
      <c r="I1714" s="724"/>
      <c r="J1714" s="1096" t="s">
        <v>718</v>
      </c>
      <c r="K1714" s="726">
        <f>K1703+K1708+K1712+K1713</f>
        <v>63418.390000000007</v>
      </c>
      <c r="M1714" s="722"/>
      <c r="N1714" s="722"/>
      <c r="O1714" s="722"/>
      <c r="P1714" s="722"/>
      <c r="Q1714" s="722"/>
      <c r="R1714" s="722"/>
      <c r="S1714" s="722"/>
      <c r="U1714" s="722"/>
      <c r="V1714" s="722"/>
      <c r="W1714" s="722"/>
      <c r="X1714" s="722"/>
      <c r="Y1714" s="722"/>
      <c r="Z1714" s="722"/>
      <c r="AA1714" s="722"/>
      <c r="AB1714" s="722"/>
    </row>
    <row r="1715" spans="1:28" s="723" customFormat="1">
      <c r="A1715" s="836"/>
      <c r="B1715" s="723" t="s">
        <v>836</v>
      </c>
      <c r="C1715" s="722"/>
      <c r="D1715" s="722"/>
      <c r="E1715" s="986"/>
      <c r="F1715" s="986"/>
      <c r="G1715" s="987"/>
      <c r="H1715" s="722"/>
      <c r="I1715" s="724"/>
      <c r="J1715" s="726"/>
      <c r="K1715" s="726"/>
      <c r="M1715" s="722"/>
      <c r="N1715" s="722"/>
      <c r="O1715" s="722"/>
      <c r="P1715" s="722"/>
      <c r="Q1715" s="722"/>
      <c r="R1715" s="722"/>
      <c r="S1715" s="722"/>
      <c r="U1715" s="722"/>
      <c r="V1715" s="722"/>
      <c r="W1715" s="722"/>
      <c r="X1715" s="722"/>
      <c r="Y1715" s="722"/>
      <c r="Z1715" s="722"/>
      <c r="AA1715" s="722"/>
      <c r="AB1715" s="722"/>
    </row>
    <row r="1716" spans="1:28" s="723" customFormat="1">
      <c r="A1716" s="836"/>
      <c r="B1716" s="722" t="s">
        <v>830</v>
      </c>
      <c r="C1716" s="722"/>
      <c r="D1716" s="722"/>
      <c r="E1716" s="986"/>
      <c r="F1716" s="986"/>
      <c r="G1716" s="987">
        <f>G1699</f>
        <v>8.1</v>
      </c>
      <c r="H1716" s="722" t="s">
        <v>49</v>
      </c>
      <c r="I1716" s="724" t="s">
        <v>49</v>
      </c>
      <c r="J1716" s="726">
        <f>K11</f>
        <v>276.01</v>
      </c>
      <c r="K1716" s="726">
        <f>ROUND(G1716*J1716,2)</f>
        <v>2235.6799999999998</v>
      </c>
      <c r="M1716" s="722"/>
      <c r="N1716" s="722"/>
      <c r="O1716" s="722"/>
      <c r="P1716" s="722"/>
      <c r="Q1716" s="722"/>
      <c r="R1716" s="722"/>
      <c r="S1716" s="722"/>
      <c r="U1716" s="722"/>
      <c r="V1716" s="722"/>
      <c r="W1716" s="722"/>
      <c r="X1716" s="722"/>
      <c r="Y1716" s="722"/>
      <c r="Z1716" s="722"/>
      <c r="AA1716" s="722"/>
      <c r="AB1716" s="722"/>
    </row>
    <row r="1717" spans="1:28" s="723" customFormat="1">
      <c r="A1717" s="836"/>
      <c r="B1717" s="722" t="s">
        <v>831</v>
      </c>
      <c r="C1717" s="722"/>
      <c r="D1717" s="722"/>
      <c r="E1717" s="986"/>
      <c r="F1717" s="986"/>
      <c r="G1717" s="987">
        <f>G1700</f>
        <v>5.4</v>
      </c>
      <c r="H1717" s="722" t="s">
        <v>49</v>
      </c>
      <c r="I1717" s="724" t="s">
        <v>49</v>
      </c>
      <c r="J1717" s="726">
        <f>J1716</f>
        <v>276.01</v>
      </c>
      <c r="K1717" s="726">
        <f>ROUND(G1717*J1717,2)</f>
        <v>1490.45</v>
      </c>
      <c r="M1717" s="722"/>
      <c r="N1717" s="722"/>
      <c r="O1717" s="722"/>
      <c r="P1717" s="722"/>
      <c r="Q1717" s="722"/>
      <c r="R1717" s="722"/>
      <c r="S1717" s="722"/>
      <c r="U1717" s="722"/>
      <c r="V1717" s="722"/>
      <c r="W1717" s="722"/>
      <c r="X1717" s="722"/>
      <c r="Y1717" s="722"/>
      <c r="Z1717" s="722"/>
      <c r="AA1717" s="722"/>
      <c r="AB1717" s="722"/>
    </row>
    <row r="1718" spans="1:28">
      <c r="B1718" s="722" t="s">
        <v>832</v>
      </c>
      <c r="G1718" s="987">
        <f>G1701</f>
        <v>6.75</v>
      </c>
      <c r="H1718" s="722" t="s">
        <v>49</v>
      </c>
      <c r="I1718" s="724" t="s">
        <v>49</v>
      </c>
      <c r="J1718" s="726">
        <f>K44</f>
        <v>731.71</v>
      </c>
      <c r="K1718" s="726">
        <f>ROUND(G1718*J1718,2)</f>
        <v>4939.04</v>
      </c>
    </row>
    <row r="1719" spans="1:28">
      <c r="B1719" s="722" t="s">
        <v>8</v>
      </c>
      <c r="G1719" s="987">
        <f>G1702</f>
        <v>5.21</v>
      </c>
      <c r="H1719" s="722" t="s">
        <v>91</v>
      </c>
      <c r="I1719" s="724" t="s">
        <v>91</v>
      </c>
      <c r="J1719" s="726">
        <f>K48</f>
        <v>247.87</v>
      </c>
      <c r="K1719" s="726">
        <f>ROUND(G1719*J1719,2)</f>
        <v>1291.4000000000001</v>
      </c>
    </row>
    <row r="1720" spans="1:28">
      <c r="G1720" s="987"/>
      <c r="J1720" s="1096" t="s">
        <v>718</v>
      </c>
      <c r="K1720" s="726">
        <f>SUM(K1716:K1719)</f>
        <v>9956.57</v>
      </c>
    </row>
    <row r="1721" spans="1:28">
      <c r="B1721" s="722" t="s">
        <v>837</v>
      </c>
      <c r="G1721" s="987"/>
      <c r="J1721" s="726"/>
      <c r="K1721" s="726">
        <f>K1714+K1720</f>
        <v>73374.960000000006</v>
      </c>
    </row>
    <row r="1722" spans="1:28">
      <c r="B1722" s="722" t="s">
        <v>838</v>
      </c>
      <c r="G1722" s="987"/>
      <c r="J1722" s="726"/>
      <c r="K1722" s="726">
        <f>ROUND(K1721/15,2)</f>
        <v>4891.66</v>
      </c>
    </row>
    <row r="1723" spans="1:28">
      <c r="G1723" s="987"/>
      <c r="J1723" s="1091" t="s">
        <v>839</v>
      </c>
      <c r="K1723" s="1091">
        <f>ROUND(K1722,1)</f>
        <v>4891.7</v>
      </c>
      <c r="L1723" s="723" t="s">
        <v>721</v>
      </c>
    </row>
    <row r="1724" spans="1:28">
      <c r="A1724" s="836" t="str">
        <f>A372</f>
        <v>(ii)</v>
      </c>
      <c r="B1724" s="723" t="s">
        <v>387</v>
      </c>
      <c r="G1724" s="987"/>
      <c r="J1724" s="1091"/>
      <c r="K1724" s="1091"/>
    </row>
    <row r="1725" spans="1:28">
      <c r="B1725" s="722" t="s">
        <v>840</v>
      </c>
      <c r="G1725" s="987"/>
      <c r="J1725" s="1091"/>
      <c r="K1725" s="1091">
        <f>K1723</f>
        <v>4891.7</v>
      </c>
      <c r="L1725" s="722"/>
    </row>
    <row r="1726" spans="1:28">
      <c r="B1726" s="722" t="s">
        <v>841</v>
      </c>
      <c r="G1726" s="987"/>
      <c r="J1726" s="1091"/>
      <c r="K1726" s="1091">
        <f>ROUND(K1708*15%/15,2)</f>
        <v>42.47</v>
      </c>
    </row>
    <row r="1727" spans="1:28">
      <c r="G1727" s="987"/>
      <c r="J1727" s="1091"/>
      <c r="K1727" s="1091">
        <f>SUM(K1725:K1726)</f>
        <v>4934.17</v>
      </c>
      <c r="L1727" s="723" t="s">
        <v>721</v>
      </c>
    </row>
    <row r="1728" spans="1:28">
      <c r="G1728" s="987"/>
      <c r="J1728" s="1091" t="s">
        <v>839</v>
      </c>
      <c r="K1728" s="1091">
        <f>ROUND(K1727,1)</f>
        <v>4934.2</v>
      </c>
      <c r="L1728" s="723" t="s">
        <v>721</v>
      </c>
    </row>
    <row r="1729" spans="1:28" ht="51.75" customHeight="1">
      <c r="A1729" s="836">
        <f>A373</f>
        <v>48</v>
      </c>
      <c r="B1729" s="3386" t="str">
        <f>B373</f>
        <v>R.C.C. M15  using   20 mm to 10mm  size black hard crusher broken granite stone chips of approved quality and from approved quarry  etc. complete in all respect .</v>
      </c>
      <c r="C1729" s="3386"/>
      <c r="D1729" s="3386"/>
      <c r="E1729" s="1086" t="str">
        <f>G373</f>
        <v>Each Cum</v>
      </c>
      <c r="F1729" s="1086"/>
      <c r="G1729" s="987"/>
      <c r="J1729" s="1091"/>
      <c r="K1729" s="1091"/>
    </row>
    <row r="1730" spans="1:28" s="723" customFormat="1">
      <c r="A1730" s="836" t="str">
        <f>A374</f>
        <v>(i)</v>
      </c>
      <c r="B1730" s="723" t="s">
        <v>384</v>
      </c>
      <c r="E1730" s="986"/>
      <c r="F1730" s="986"/>
      <c r="G1730" s="1098"/>
      <c r="I1730" s="836"/>
      <c r="J1730" s="1091"/>
      <c r="K1730" s="1091"/>
      <c r="M1730" s="722"/>
    </row>
    <row r="1731" spans="1:28">
      <c r="B1731" s="722" t="s">
        <v>842</v>
      </c>
      <c r="G1731" s="987"/>
      <c r="J1731" s="726"/>
      <c r="K1731" s="726"/>
    </row>
    <row r="1732" spans="1:28">
      <c r="B1732" s="723" t="s">
        <v>829</v>
      </c>
      <c r="G1732" s="987"/>
      <c r="J1732" s="726"/>
      <c r="K1732" s="726"/>
    </row>
    <row r="1733" spans="1:28">
      <c r="B1733" s="722" t="s">
        <v>830</v>
      </c>
      <c r="G1733" s="987">
        <v>0.54</v>
      </c>
      <c r="H1733" s="722" t="s">
        <v>49</v>
      </c>
      <c r="I1733" s="724" t="s">
        <v>49</v>
      </c>
      <c r="J1733" s="726">
        <f>G11</f>
        <v>1451.3999999999999</v>
      </c>
      <c r="K1733" s="726">
        <f>ROUND(G1733*J1733,2)</f>
        <v>783.76</v>
      </c>
    </row>
    <row r="1734" spans="1:28">
      <c r="B1734" s="722" t="s">
        <v>831</v>
      </c>
      <c r="G1734" s="987">
        <v>0.36</v>
      </c>
      <c r="H1734" s="722" t="s">
        <v>49</v>
      </c>
      <c r="I1734" s="724" t="s">
        <v>49</v>
      </c>
      <c r="J1734" s="726">
        <f>G14</f>
        <v>1472.1</v>
      </c>
      <c r="K1734" s="726">
        <f>ROUND(G1734*J1734,2)</f>
        <v>529.96</v>
      </c>
    </row>
    <row r="1735" spans="1:28">
      <c r="B1735" s="722" t="s">
        <v>832</v>
      </c>
      <c r="G1735" s="987">
        <v>0.45</v>
      </c>
      <c r="H1735" s="722" t="s">
        <v>49</v>
      </c>
      <c r="I1735" s="724" t="s">
        <v>49</v>
      </c>
      <c r="J1735" s="726">
        <f>G44</f>
        <v>80.72</v>
      </c>
      <c r="K1735" s="726">
        <f>ROUND(G1735*J1735,2)</f>
        <v>36.32</v>
      </c>
    </row>
    <row r="1736" spans="1:28" s="723" customFormat="1">
      <c r="A1736" s="836"/>
      <c r="B1736" s="722" t="s">
        <v>8</v>
      </c>
      <c r="C1736" s="722"/>
      <c r="D1736" s="722"/>
      <c r="E1736" s="986"/>
      <c r="F1736" s="986"/>
      <c r="G1736" s="987">
        <v>2.8</v>
      </c>
      <c r="H1736" s="722" t="s">
        <v>125</v>
      </c>
      <c r="I1736" s="724" t="s">
        <v>125</v>
      </c>
      <c r="J1736" s="726">
        <f>G48/10</f>
        <v>640</v>
      </c>
      <c r="K1736" s="726">
        <f>ROUND(G1736*J1736,2)</f>
        <v>1792</v>
      </c>
      <c r="M1736" s="722"/>
      <c r="N1736" s="722"/>
      <c r="O1736" s="722"/>
      <c r="P1736" s="722"/>
      <c r="Q1736" s="722"/>
      <c r="R1736" s="722"/>
      <c r="S1736" s="722"/>
      <c r="U1736" s="722"/>
      <c r="V1736" s="722"/>
      <c r="W1736" s="722"/>
      <c r="X1736" s="722"/>
      <c r="Y1736" s="722"/>
      <c r="Z1736" s="722"/>
      <c r="AA1736" s="722"/>
      <c r="AB1736" s="722"/>
    </row>
    <row r="1737" spans="1:28" s="723" customFormat="1">
      <c r="A1737" s="836"/>
      <c r="B1737" s="722"/>
      <c r="C1737" s="722"/>
      <c r="D1737" s="722"/>
      <c r="E1737" s="986"/>
      <c r="F1737" s="986"/>
      <c r="G1737" s="987"/>
      <c r="H1737" s="722"/>
      <c r="I1737" s="724"/>
      <c r="J1737" s="827" t="s">
        <v>718</v>
      </c>
      <c r="K1737" s="1091">
        <f>SUM(K1733:K1736)</f>
        <v>3142.04</v>
      </c>
      <c r="M1737" s="722"/>
      <c r="N1737" s="722"/>
      <c r="O1737" s="722"/>
      <c r="P1737" s="722"/>
      <c r="Q1737" s="722"/>
      <c r="R1737" s="722"/>
      <c r="S1737" s="722"/>
      <c r="U1737" s="722"/>
      <c r="V1737" s="722"/>
      <c r="W1737" s="722"/>
      <c r="X1737" s="722"/>
      <c r="Y1737" s="722"/>
      <c r="Z1737" s="722"/>
      <c r="AA1737" s="722"/>
      <c r="AB1737" s="722"/>
    </row>
    <row r="1738" spans="1:28" s="723" customFormat="1">
      <c r="A1738" s="836"/>
      <c r="B1738" s="723" t="s">
        <v>816</v>
      </c>
      <c r="C1738" s="722"/>
      <c r="D1738" s="722"/>
      <c r="E1738" s="986"/>
      <c r="F1738" s="986"/>
      <c r="G1738" s="987"/>
      <c r="H1738" s="722"/>
      <c r="I1738" s="724"/>
      <c r="J1738" s="726"/>
      <c r="K1738" s="726"/>
      <c r="M1738" s="722"/>
      <c r="N1738" s="722"/>
      <c r="O1738" s="722"/>
      <c r="P1738" s="722"/>
      <c r="Q1738" s="722"/>
      <c r="R1738" s="722"/>
      <c r="S1738" s="722"/>
      <c r="U1738" s="722"/>
      <c r="V1738" s="722"/>
      <c r="W1738" s="722"/>
      <c r="X1738" s="722"/>
      <c r="Y1738" s="722"/>
      <c r="Z1738" s="722"/>
      <c r="AA1738" s="722"/>
      <c r="AB1738" s="722"/>
    </row>
    <row r="1739" spans="1:28" s="723" customFormat="1">
      <c r="A1739" s="836"/>
      <c r="B1739" s="722" t="s">
        <v>744</v>
      </c>
      <c r="C1739" s="722"/>
      <c r="D1739" s="722"/>
      <c r="E1739" s="986"/>
      <c r="F1739" s="986"/>
      <c r="G1739" s="987">
        <v>0.06</v>
      </c>
      <c r="H1739" s="722" t="s">
        <v>262</v>
      </c>
      <c r="I1739" s="724" t="s">
        <v>315</v>
      </c>
      <c r="J1739" s="726">
        <f>L130</f>
        <v>244.3</v>
      </c>
      <c r="K1739" s="726">
        <f>ROUND(G1739*J1739,2)</f>
        <v>14.66</v>
      </c>
      <c r="M1739" s="722"/>
      <c r="N1739" s="722"/>
      <c r="O1739" s="722"/>
      <c r="P1739" s="722"/>
      <c r="Q1739" s="722"/>
      <c r="R1739" s="722"/>
      <c r="S1739" s="722"/>
      <c r="U1739" s="722"/>
      <c r="V1739" s="722"/>
      <c r="W1739" s="722"/>
      <c r="X1739" s="722"/>
      <c r="Y1739" s="722"/>
      <c r="Z1739" s="722"/>
      <c r="AA1739" s="722"/>
      <c r="AB1739" s="722"/>
    </row>
    <row r="1740" spans="1:28" s="723" customFormat="1">
      <c r="A1740" s="836"/>
      <c r="B1740" s="722" t="s">
        <v>818</v>
      </c>
      <c r="C1740" s="722"/>
      <c r="D1740" s="722"/>
      <c r="E1740" s="986"/>
      <c r="F1740" s="986"/>
      <c r="G1740" s="987">
        <v>0.1</v>
      </c>
      <c r="H1740" s="722" t="s">
        <v>262</v>
      </c>
      <c r="I1740" s="724" t="s">
        <v>315</v>
      </c>
      <c r="J1740" s="726">
        <f>L131</f>
        <v>264.3</v>
      </c>
      <c r="K1740" s="726">
        <f>ROUND(G1740*J1740,2)</f>
        <v>26.43</v>
      </c>
      <c r="M1740" s="722"/>
      <c r="N1740" s="722"/>
      <c r="O1740" s="722"/>
      <c r="P1740" s="722"/>
      <c r="Q1740" s="722"/>
      <c r="R1740" s="722"/>
      <c r="S1740" s="722"/>
      <c r="U1740" s="722"/>
      <c r="V1740" s="722"/>
      <c r="W1740" s="722"/>
      <c r="X1740" s="722"/>
      <c r="Y1740" s="722"/>
      <c r="Z1740" s="722"/>
      <c r="AA1740" s="722"/>
      <c r="AB1740" s="722"/>
    </row>
    <row r="1741" spans="1:28" s="723" customFormat="1">
      <c r="A1741" s="836"/>
      <c r="B1741" s="722" t="s">
        <v>717</v>
      </c>
      <c r="C1741" s="722"/>
      <c r="D1741" s="722"/>
      <c r="E1741" s="986"/>
      <c r="F1741" s="986"/>
      <c r="G1741" s="987">
        <v>1.33</v>
      </c>
      <c r="H1741" s="722" t="s">
        <v>262</v>
      </c>
      <c r="I1741" s="724" t="s">
        <v>315</v>
      </c>
      <c r="J1741" s="726">
        <f>L129</f>
        <v>182</v>
      </c>
      <c r="K1741" s="726">
        <f>ROUND(G1741*J1741,2)</f>
        <v>242.06</v>
      </c>
      <c r="M1741" s="722"/>
      <c r="N1741" s="722"/>
      <c r="O1741" s="722"/>
      <c r="P1741" s="722"/>
      <c r="Q1741" s="722"/>
      <c r="R1741" s="722"/>
      <c r="S1741" s="722"/>
      <c r="U1741" s="722"/>
      <c r="V1741" s="722"/>
      <c r="W1741" s="722"/>
      <c r="X1741" s="722"/>
      <c r="Y1741" s="722"/>
      <c r="Z1741" s="722"/>
      <c r="AA1741" s="722"/>
      <c r="AB1741" s="722"/>
    </row>
    <row r="1742" spans="1:28" s="723" customFormat="1">
      <c r="A1742" s="836"/>
      <c r="B1742" s="722"/>
      <c r="C1742" s="722"/>
      <c r="D1742" s="722"/>
      <c r="E1742" s="986"/>
      <c r="F1742" s="986"/>
      <c r="G1742" s="987"/>
      <c r="H1742" s="722"/>
      <c r="I1742" s="724"/>
      <c r="J1742" s="827" t="s">
        <v>718</v>
      </c>
      <c r="K1742" s="1091">
        <f>SUM(K1739:K1741)</f>
        <v>283.14999999999998</v>
      </c>
      <c r="M1742" s="722"/>
      <c r="N1742" s="722"/>
      <c r="O1742" s="722"/>
      <c r="P1742" s="722"/>
      <c r="Q1742" s="722"/>
      <c r="R1742" s="722"/>
      <c r="S1742" s="722"/>
      <c r="U1742" s="722"/>
      <c r="V1742" s="722"/>
      <c r="W1742" s="722"/>
      <c r="X1742" s="722"/>
      <c r="Y1742" s="722"/>
      <c r="Z1742" s="722"/>
      <c r="AA1742" s="722"/>
      <c r="AB1742" s="722"/>
    </row>
    <row r="1743" spans="1:28" s="723" customFormat="1">
      <c r="A1743" s="836"/>
      <c r="B1743" s="723" t="s">
        <v>833</v>
      </c>
      <c r="C1743" s="722"/>
      <c r="D1743" s="722"/>
      <c r="E1743" s="986"/>
      <c r="F1743" s="986"/>
      <c r="G1743" s="987"/>
      <c r="H1743" s="722"/>
      <c r="I1743" s="724"/>
      <c r="J1743" s="726"/>
      <c r="K1743" s="726"/>
      <c r="M1743" s="722"/>
      <c r="N1743" s="722"/>
      <c r="O1743" s="722"/>
      <c r="P1743" s="722"/>
      <c r="Q1743" s="722"/>
      <c r="R1743" s="722"/>
      <c r="S1743" s="722"/>
      <c r="U1743" s="722"/>
      <c r="V1743" s="722"/>
      <c r="W1743" s="722"/>
      <c r="X1743" s="722"/>
      <c r="Y1743" s="722"/>
      <c r="Z1743" s="722"/>
      <c r="AA1743" s="722"/>
      <c r="AB1743" s="722"/>
    </row>
    <row r="1744" spans="1:28" s="723" customFormat="1">
      <c r="A1744" s="836"/>
      <c r="B1744" s="722" t="s">
        <v>834</v>
      </c>
      <c r="C1744" s="722"/>
      <c r="D1744" s="722"/>
      <c r="E1744" s="986"/>
      <c r="F1744" s="986"/>
      <c r="G1744" s="987">
        <v>0.4</v>
      </c>
      <c r="H1744" s="722" t="s">
        <v>312</v>
      </c>
      <c r="I1744" s="724" t="s">
        <v>312</v>
      </c>
      <c r="J1744" s="726">
        <f>G194</f>
        <v>229.55</v>
      </c>
      <c r="K1744" s="726">
        <f>ROUND(G1744*J1744,2)</f>
        <v>91.82</v>
      </c>
      <c r="M1744" s="722"/>
      <c r="N1744" s="722"/>
      <c r="O1744" s="722"/>
      <c r="P1744" s="722"/>
      <c r="Q1744" s="722"/>
      <c r="R1744" s="722"/>
      <c r="S1744" s="722"/>
      <c r="U1744" s="722"/>
      <c r="V1744" s="722"/>
      <c r="W1744" s="722"/>
      <c r="X1744" s="722"/>
      <c r="Y1744" s="722"/>
      <c r="Z1744" s="722"/>
      <c r="AA1744" s="722"/>
      <c r="AB1744" s="722"/>
    </row>
    <row r="1745" spans="1:28" s="723" customFormat="1">
      <c r="A1745" s="836"/>
      <c r="B1745" s="722" t="s">
        <v>313</v>
      </c>
      <c r="C1745" s="722"/>
      <c r="D1745" s="722"/>
      <c r="E1745" s="986"/>
      <c r="F1745" s="986"/>
      <c r="G1745" s="987">
        <v>0.4</v>
      </c>
      <c r="H1745" s="722" t="s">
        <v>312</v>
      </c>
      <c r="I1745" s="724" t="s">
        <v>312</v>
      </c>
      <c r="J1745" s="726">
        <f>M210</f>
        <v>700</v>
      </c>
      <c r="K1745" s="726">
        <f>ROUND(G1745*J1745,2)</f>
        <v>280</v>
      </c>
      <c r="M1745" s="722"/>
      <c r="N1745" s="722"/>
      <c r="O1745" s="722"/>
      <c r="P1745" s="722"/>
      <c r="Q1745" s="722"/>
      <c r="R1745" s="722"/>
      <c r="S1745" s="722"/>
      <c r="U1745" s="722"/>
      <c r="V1745" s="722"/>
      <c r="W1745" s="722"/>
      <c r="X1745" s="722"/>
      <c r="Y1745" s="722"/>
      <c r="Z1745" s="722"/>
      <c r="AA1745" s="722"/>
      <c r="AB1745" s="722"/>
    </row>
    <row r="1746" spans="1:28" s="723" customFormat="1">
      <c r="A1746" s="836"/>
      <c r="B1746" s="722"/>
      <c r="C1746" s="722"/>
      <c r="D1746" s="722"/>
      <c r="E1746" s="986"/>
      <c r="F1746" s="986"/>
      <c r="G1746" s="987"/>
      <c r="H1746" s="722"/>
      <c r="I1746" s="724"/>
      <c r="J1746" s="827" t="s">
        <v>718</v>
      </c>
      <c r="K1746" s="1091">
        <f>K1745+K1744</f>
        <v>371.82</v>
      </c>
      <c r="M1746" s="722"/>
      <c r="N1746" s="722"/>
      <c r="O1746" s="722"/>
      <c r="P1746" s="722"/>
      <c r="Q1746" s="722"/>
      <c r="R1746" s="722"/>
      <c r="S1746" s="722"/>
      <c r="U1746" s="722"/>
      <c r="V1746" s="722"/>
      <c r="W1746" s="722"/>
      <c r="X1746" s="722"/>
      <c r="Y1746" s="722"/>
      <c r="Z1746" s="722"/>
      <c r="AA1746" s="722"/>
      <c r="AB1746" s="722"/>
    </row>
    <row r="1747" spans="1:28" s="723" customFormat="1">
      <c r="A1747" s="836"/>
      <c r="C1747" s="722"/>
      <c r="D1747" s="722"/>
      <c r="E1747" s="986"/>
      <c r="F1747" s="986"/>
      <c r="G1747" s="987"/>
      <c r="H1747" s="722"/>
      <c r="I1747" s="724"/>
      <c r="J1747" s="1096"/>
      <c r="K1747" s="726"/>
      <c r="M1747" s="722"/>
      <c r="N1747" s="722"/>
      <c r="O1747" s="722"/>
      <c r="P1747" s="722"/>
      <c r="Q1747" s="722"/>
      <c r="R1747" s="722"/>
      <c r="S1747" s="722"/>
      <c r="U1747" s="722"/>
      <c r="V1747" s="722"/>
      <c r="W1747" s="722"/>
      <c r="X1747" s="722"/>
      <c r="Y1747" s="722"/>
      <c r="Z1747" s="722"/>
      <c r="AA1747" s="722"/>
      <c r="AB1747" s="722"/>
    </row>
    <row r="1748" spans="1:28" s="723" customFormat="1">
      <c r="A1748" s="836"/>
      <c r="B1748" s="722" t="s">
        <v>835</v>
      </c>
      <c r="C1748" s="722"/>
      <c r="D1748" s="722"/>
      <c r="E1748" s="986"/>
      <c r="F1748" s="986"/>
      <c r="G1748" s="987"/>
      <c r="H1748" s="722"/>
      <c r="I1748" s="724"/>
      <c r="J1748" s="827" t="s">
        <v>718</v>
      </c>
      <c r="K1748" s="1091">
        <f>K1737+K1742+K1746+K1747</f>
        <v>3797.01</v>
      </c>
      <c r="M1748" s="722"/>
      <c r="N1748" s="722"/>
      <c r="O1748" s="722"/>
      <c r="P1748" s="722"/>
      <c r="Q1748" s="722"/>
      <c r="R1748" s="722"/>
      <c r="S1748" s="722"/>
      <c r="U1748" s="722"/>
      <c r="V1748" s="722"/>
      <c r="W1748" s="722"/>
      <c r="X1748" s="722"/>
      <c r="Y1748" s="722"/>
      <c r="Z1748" s="722"/>
      <c r="AA1748" s="722"/>
      <c r="AB1748" s="722"/>
    </row>
    <row r="1749" spans="1:28" s="723" customFormat="1">
      <c r="A1749" s="836"/>
      <c r="B1749" s="723" t="s">
        <v>836</v>
      </c>
      <c r="C1749" s="722"/>
      <c r="D1749" s="722"/>
      <c r="E1749" s="986"/>
      <c r="F1749" s="986"/>
      <c r="G1749" s="987"/>
      <c r="H1749" s="722"/>
      <c r="I1749" s="724"/>
      <c r="J1749" s="726"/>
      <c r="K1749" s="726"/>
      <c r="M1749" s="722"/>
      <c r="N1749" s="722"/>
      <c r="O1749" s="722"/>
      <c r="P1749" s="722"/>
      <c r="Q1749" s="722"/>
      <c r="R1749" s="722"/>
      <c r="S1749" s="722"/>
      <c r="U1749" s="722"/>
      <c r="V1749" s="722"/>
      <c r="W1749" s="722"/>
      <c r="X1749" s="722"/>
      <c r="Y1749" s="722"/>
      <c r="Z1749" s="722"/>
      <c r="AA1749" s="722"/>
      <c r="AB1749" s="722"/>
    </row>
    <row r="1750" spans="1:28" s="723" customFormat="1">
      <c r="A1750" s="836"/>
      <c r="B1750" s="722" t="s">
        <v>830</v>
      </c>
      <c r="C1750" s="722"/>
      <c r="D1750" s="722"/>
      <c r="E1750" s="986"/>
      <c r="F1750" s="986"/>
      <c r="G1750" s="987">
        <f>G1733</f>
        <v>0.54</v>
      </c>
      <c r="H1750" s="722" t="s">
        <v>49</v>
      </c>
      <c r="I1750" s="724" t="s">
        <v>49</v>
      </c>
      <c r="J1750" s="726">
        <f>K11</f>
        <v>276.01</v>
      </c>
      <c r="K1750" s="726">
        <f>ROUND(G1750*J1750,2)</f>
        <v>149.05000000000001</v>
      </c>
      <c r="M1750" s="722"/>
      <c r="N1750" s="722"/>
      <c r="O1750" s="722"/>
      <c r="P1750" s="722"/>
      <c r="Q1750" s="722"/>
      <c r="R1750" s="722"/>
      <c r="S1750" s="722"/>
      <c r="U1750" s="722"/>
      <c r="V1750" s="722"/>
      <c r="W1750" s="722"/>
      <c r="X1750" s="722"/>
      <c r="Y1750" s="722"/>
      <c r="Z1750" s="722"/>
      <c r="AA1750" s="722"/>
      <c r="AB1750" s="722"/>
    </row>
    <row r="1751" spans="1:28" s="723" customFormat="1">
      <c r="A1751" s="836"/>
      <c r="B1751" s="722" t="s">
        <v>831</v>
      </c>
      <c r="C1751" s="722"/>
      <c r="D1751" s="722"/>
      <c r="E1751" s="986"/>
      <c r="F1751" s="986"/>
      <c r="G1751" s="987">
        <f>G1734</f>
        <v>0.36</v>
      </c>
      <c r="H1751" s="722" t="s">
        <v>49</v>
      </c>
      <c r="I1751" s="724" t="s">
        <v>49</v>
      </c>
      <c r="J1751" s="726">
        <f>K14</f>
        <v>276.01</v>
      </c>
      <c r="K1751" s="726">
        <f>ROUND(G1751*J1751,2)</f>
        <v>99.36</v>
      </c>
      <c r="M1751" s="722"/>
      <c r="N1751" s="722"/>
      <c r="O1751" s="722"/>
      <c r="P1751" s="722"/>
      <c r="Q1751" s="722"/>
      <c r="R1751" s="722"/>
      <c r="S1751" s="722"/>
      <c r="U1751" s="722"/>
      <c r="V1751" s="722"/>
      <c r="W1751" s="722"/>
      <c r="X1751" s="722"/>
      <c r="Y1751" s="722"/>
      <c r="Z1751" s="722"/>
      <c r="AA1751" s="722"/>
      <c r="AB1751" s="722"/>
    </row>
    <row r="1752" spans="1:28">
      <c r="B1752" s="722" t="s">
        <v>832</v>
      </c>
      <c r="G1752" s="987">
        <f>G1735</f>
        <v>0.45</v>
      </c>
      <c r="H1752" s="722" t="s">
        <v>49</v>
      </c>
      <c r="I1752" s="724" t="s">
        <v>49</v>
      </c>
      <c r="J1752" s="726">
        <f>K44</f>
        <v>731.71</v>
      </c>
      <c r="K1752" s="726">
        <f>ROUND(G1752*J1752,2)</f>
        <v>329.27</v>
      </c>
    </row>
    <row r="1753" spans="1:28">
      <c r="B1753" s="722" t="s">
        <v>8</v>
      </c>
      <c r="G1753" s="987">
        <f>G1736</f>
        <v>2.8</v>
      </c>
      <c r="H1753" s="722" t="s">
        <v>125</v>
      </c>
      <c r="I1753" s="724" t="s">
        <v>125</v>
      </c>
      <c r="J1753" s="726">
        <f>K48/10</f>
        <v>24.786999999999999</v>
      </c>
      <c r="K1753" s="726">
        <f>ROUND(G1753*J1753,2)</f>
        <v>69.400000000000006</v>
      </c>
    </row>
    <row r="1754" spans="1:28">
      <c r="G1754" s="987"/>
      <c r="J1754" s="827" t="s">
        <v>718</v>
      </c>
      <c r="K1754" s="1091">
        <f>SUM(K1750:K1753)</f>
        <v>647.08000000000004</v>
      </c>
    </row>
    <row r="1755" spans="1:28">
      <c r="B1755" s="722" t="s">
        <v>843</v>
      </c>
      <c r="G1755" s="987"/>
      <c r="J1755" s="726"/>
      <c r="K1755" s="1091">
        <f>K1748+K1754</f>
        <v>4444.09</v>
      </c>
    </row>
    <row r="1756" spans="1:28">
      <c r="B1756" s="722" t="s">
        <v>844</v>
      </c>
      <c r="G1756" s="987"/>
      <c r="J1756" s="726"/>
      <c r="K1756" s="1091">
        <f>K1755</f>
        <v>4444.09</v>
      </c>
    </row>
    <row r="1757" spans="1:28">
      <c r="G1757" s="987"/>
      <c r="J1757" s="1091" t="s">
        <v>839</v>
      </c>
      <c r="K1757" s="1091">
        <f>ROUND(K1756,1)</f>
        <v>4444.1000000000004</v>
      </c>
      <c r="L1757" s="723" t="s">
        <v>721</v>
      </c>
    </row>
    <row r="1758" spans="1:28">
      <c r="A1758" s="836" t="str">
        <f>A375</f>
        <v>(ii)</v>
      </c>
      <c r="B1758" s="723" t="s">
        <v>387</v>
      </c>
      <c r="G1758" s="987"/>
      <c r="J1758" s="1091"/>
      <c r="K1758" s="1091"/>
    </row>
    <row r="1759" spans="1:28">
      <c r="B1759" s="722" t="s">
        <v>840</v>
      </c>
      <c r="G1759" s="987"/>
      <c r="J1759" s="1091"/>
      <c r="K1759" s="1091">
        <f>K1757</f>
        <v>4444.1000000000004</v>
      </c>
      <c r="L1759" s="722"/>
    </row>
    <row r="1760" spans="1:28">
      <c r="B1760" s="722" t="s">
        <v>841</v>
      </c>
      <c r="G1760" s="987"/>
      <c r="J1760" s="1091"/>
      <c r="K1760" s="1091">
        <f>ROUND(K1742*15%,2)</f>
        <v>42.47</v>
      </c>
    </row>
    <row r="1761" spans="1:28">
      <c r="G1761" s="987"/>
      <c r="J1761" s="1091"/>
      <c r="K1761" s="1091">
        <f>SUM(K1759:K1760)</f>
        <v>4486.5700000000006</v>
      </c>
      <c r="L1761" s="723" t="s">
        <v>721</v>
      </c>
    </row>
    <row r="1762" spans="1:28">
      <c r="G1762" s="987"/>
      <c r="J1762" s="1091" t="s">
        <v>839</v>
      </c>
      <c r="K1762" s="1091">
        <f>ROUND(K1761,1)</f>
        <v>4486.6000000000004</v>
      </c>
      <c r="L1762" s="723" t="s">
        <v>721</v>
      </c>
    </row>
    <row r="1763" spans="1:28" ht="49.5" customHeight="1">
      <c r="A1763" s="836">
        <f>A376</f>
        <v>49</v>
      </c>
      <c r="B1763" s="3386" t="str">
        <f>B376</f>
        <v>R.C.C. M25  using   20 mm to 10mm  size black hard crusher broken granite stone chips of approved quality and from approved quarry  etc. complete in all respect .</v>
      </c>
      <c r="C1763" s="3386"/>
      <c r="D1763" s="3386"/>
      <c r="E1763" s="1086" t="str">
        <f>G376</f>
        <v>Each Cum</v>
      </c>
      <c r="F1763" s="1086"/>
      <c r="G1763" s="987"/>
      <c r="J1763" s="1091"/>
      <c r="K1763" s="1091"/>
    </row>
    <row r="1764" spans="1:28" s="723" customFormat="1">
      <c r="A1764" s="836" t="str">
        <f>A377</f>
        <v>(i)</v>
      </c>
      <c r="B1764" s="723" t="s">
        <v>384</v>
      </c>
      <c r="E1764" s="986"/>
      <c r="F1764" s="986"/>
      <c r="G1764" s="1098"/>
      <c r="I1764" s="836"/>
      <c r="J1764" s="1091"/>
      <c r="K1764" s="1091"/>
      <c r="M1764" s="722"/>
    </row>
    <row r="1765" spans="1:28">
      <c r="B1765" s="722" t="s">
        <v>828</v>
      </c>
      <c r="G1765" s="987"/>
      <c r="J1765" s="726"/>
      <c r="K1765" s="726"/>
    </row>
    <row r="1766" spans="1:28">
      <c r="B1766" s="723" t="s">
        <v>829</v>
      </c>
      <c r="G1766" s="987"/>
      <c r="J1766" s="726"/>
      <c r="K1766" s="726"/>
    </row>
    <row r="1767" spans="1:28">
      <c r="B1767" s="722" t="s">
        <v>830</v>
      </c>
      <c r="G1767" s="987">
        <v>8.1</v>
      </c>
      <c r="H1767" s="722" t="s">
        <v>49</v>
      </c>
      <c r="I1767" s="724" t="s">
        <v>49</v>
      </c>
      <c r="J1767" s="726">
        <f>G11</f>
        <v>1451.3999999999999</v>
      </c>
      <c r="K1767" s="726">
        <f>ROUND(G1767*J1767,2)</f>
        <v>11756.34</v>
      </c>
    </row>
    <row r="1768" spans="1:28">
      <c r="B1768" s="722" t="s">
        <v>831</v>
      </c>
      <c r="G1768" s="987">
        <v>5.4</v>
      </c>
      <c r="H1768" s="722" t="s">
        <v>49</v>
      </c>
      <c r="I1768" s="724" t="s">
        <v>49</v>
      </c>
      <c r="J1768" s="726">
        <f>G14</f>
        <v>1472.1</v>
      </c>
      <c r="K1768" s="726">
        <f>ROUND(G1768*J1768,2)</f>
        <v>7949.34</v>
      </c>
    </row>
    <row r="1769" spans="1:28">
      <c r="B1769" s="722" t="s">
        <v>832</v>
      </c>
      <c r="G1769" s="987">
        <v>6.75</v>
      </c>
      <c r="H1769" s="722" t="s">
        <v>49</v>
      </c>
      <c r="I1769" s="724" t="s">
        <v>49</v>
      </c>
      <c r="J1769" s="726">
        <f>G44</f>
        <v>80.72</v>
      </c>
      <c r="K1769" s="726">
        <f>ROUND(G1769*J1769,2)</f>
        <v>544.86</v>
      </c>
    </row>
    <row r="1770" spans="1:28" s="723" customFormat="1">
      <c r="A1770" s="836"/>
      <c r="B1770" s="722" t="s">
        <v>8</v>
      </c>
      <c r="C1770" s="722"/>
      <c r="D1770" s="722"/>
      <c r="E1770" s="986"/>
      <c r="F1770" s="986"/>
      <c r="G1770" s="987">
        <v>5.21</v>
      </c>
      <c r="H1770" s="722" t="s">
        <v>91</v>
      </c>
      <c r="I1770" s="724" t="s">
        <v>91</v>
      </c>
      <c r="J1770" s="726">
        <f>G48</f>
        <v>6400</v>
      </c>
      <c r="K1770" s="726">
        <f>ROUND(G1770*J1770,2)</f>
        <v>33344</v>
      </c>
      <c r="M1770" s="722"/>
      <c r="N1770" s="722"/>
      <c r="O1770" s="722"/>
      <c r="P1770" s="722"/>
      <c r="Q1770" s="722"/>
      <c r="R1770" s="722"/>
      <c r="S1770" s="722"/>
      <c r="U1770" s="722"/>
      <c r="V1770" s="722"/>
      <c r="W1770" s="722"/>
      <c r="X1770" s="722"/>
      <c r="Y1770" s="722"/>
      <c r="Z1770" s="722"/>
      <c r="AA1770" s="722"/>
      <c r="AB1770" s="722"/>
    </row>
    <row r="1771" spans="1:28" s="723" customFormat="1">
      <c r="A1771" s="836"/>
      <c r="B1771" s="722"/>
      <c r="C1771" s="722"/>
      <c r="D1771" s="722"/>
      <c r="E1771" s="986"/>
      <c r="F1771" s="986"/>
      <c r="G1771" s="987"/>
      <c r="H1771" s="722"/>
      <c r="I1771" s="724"/>
      <c r="J1771" s="1096" t="s">
        <v>718</v>
      </c>
      <c r="K1771" s="726">
        <f>SUM(K1767:K1770)</f>
        <v>53594.54</v>
      </c>
      <c r="M1771" s="722"/>
      <c r="N1771" s="722"/>
      <c r="O1771" s="722"/>
      <c r="P1771" s="722"/>
      <c r="Q1771" s="722"/>
      <c r="R1771" s="722"/>
      <c r="S1771" s="722"/>
      <c r="U1771" s="722"/>
      <c r="V1771" s="722"/>
      <c r="W1771" s="722"/>
      <c r="X1771" s="722"/>
      <c r="Y1771" s="722"/>
      <c r="Z1771" s="722"/>
      <c r="AA1771" s="722"/>
      <c r="AB1771" s="722"/>
    </row>
    <row r="1772" spans="1:28" s="723" customFormat="1">
      <c r="A1772" s="836"/>
      <c r="B1772" s="723" t="s">
        <v>816</v>
      </c>
      <c r="C1772" s="722"/>
      <c r="D1772" s="722"/>
      <c r="E1772" s="986"/>
      <c r="F1772" s="986"/>
      <c r="G1772" s="987"/>
      <c r="H1772" s="722"/>
      <c r="I1772" s="724"/>
      <c r="J1772" s="726"/>
      <c r="K1772" s="726"/>
      <c r="M1772" s="722"/>
      <c r="N1772" s="722"/>
      <c r="O1772" s="722"/>
      <c r="P1772" s="722"/>
      <c r="Q1772" s="722"/>
      <c r="R1772" s="722"/>
      <c r="S1772" s="722"/>
      <c r="U1772" s="722"/>
      <c r="V1772" s="722"/>
      <c r="W1772" s="722"/>
      <c r="X1772" s="722"/>
      <c r="Y1772" s="722"/>
      <c r="Z1772" s="722"/>
      <c r="AA1772" s="722"/>
      <c r="AB1772" s="722"/>
    </row>
    <row r="1773" spans="1:28" s="723" customFormat="1">
      <c r="A1773" s="836"/>
      <c r="B1773" s="722" t="s">
        <v>744</v>
      </c>
      <c r="C1773" s="722"/>
      <c r="D1773" s="722"/>
      <c r="E1773" s="986"/>
      <c r="F1773" s="986"/>
      <c r="G1773" s="987">
        <v>0.86</v>
      </c>
      <c r="H1773" s="722" t="s">
        <v>262</v>
      </c>
      <c r="I1773" s="724" t="s">
        <v>315</v>
      </c>
      <c r="J1773" s="726">
        <f>L130</f>
        <v>244.3</v>
      </c>
      <c r="K1773" s="726">
        <f>ROUND(G1773*J1773,2)</f>
        <v>210.1</v>
      </c>
      <c r="M1773" s="722"/>
      <c r="N1773" s="722"/>
      <c r="O1773" s="722"/>
      <c r="P1773" s="722"/>
      <c r="Q1773" s="722"/>
      <c r="R1773" s="722"/>
      <c r="S1773" s="722"/>
      <c r="U1773" s="722"/>
      <c r="V1773" s="722"/>
      <c r="W1773" s="722"/>
      <c r="X1773" s="722"/>
      <c r="Y1773" s="722"/>
      <c r="Z1773" s="722"/>
      <c r="AA1773" s="722"/>
      <c r="AB1773" s="722"/>
    </row>
    <row r="1774" spans="1:28" s="723" customFormat="1">
      <c r="A1774" s="836"/>
      <c r="B1774" s="722" t="s">
        <v>818</v>
      </c>
      <c r="C1774" s="722"/>
      <c r="D1774" s="722"/>
      <c r="E1774" s="986"/>
      <c r="F1774" s="986"/>
      <c r="G1774" s="987">
        <v>1.5</v>
      </c>
      <c r="H1774" s="722" t="s">
        <v>262</v>
      </c>
      <c r="I1774" s="724" t="s">
        <v>315</v>
      </c>
      <c r="J1774" s="726">
        <f>L131</f>
        <v>264.3</v>
      </c>
      <c r="K1774" s="726">
        <f>ROUND(G1774*J1774,2)</f>
        <v>396.45</v>
      </c>
      <c r="M1774" s="722"/>
      <c r="N1774" s="722"/>
      <c r="O1774" s="722"/>
      <c r="P1774" s="722"/>
      <c r="Q1774" s="722"/>
      <c r="R1774" s="722"/>
      <c r="S1774" s="722"/>
      <c r="U1774" s="722"/>
      <c r="V1774" s="722"/>
      <c r="W1774" s="722"/>
      <c r="X1774" s="722"/>
      <c r="Y1774" s="722"/>
      <c r="Z1774" s="722"/>
      <c r="AA1774" s="722"/>
      <c r="AB1774" s="722"/>
    </row>
    <row r="1775" spans="1:28" s="723" customFormat="1">
      <c r="A1775" s="836"/>
      <c r="B1775" s="722" t="s">
        <v>717</v>
      </c>
      <c r="C1775" s="722"/>
      <c r="D1775" s="722"/>
      <c r="E1775" s="986"/>
      <c r="F1775" s="986"/>
      <c r="G1775" s="987">
        <v>20</v>
      </c>
      <c r="H1775" s="722" t="s">
        <v>262</v>
      </c>
      <c r="I1775" s="724" t="s">
        <v>315</v>
      </c>
      <c r="J1775" s="726">
        <f>L129</f>
        <v>182</v>
      </c>
      <c r="K1775" s="726">
        <f>ROUND(G1775*J1775,2)</f>
        <v>3640</v>
      </c>
      <c r="M1775" s="722"/>
      <c r="N1775" s="722"/>
      <c r="O1775" s="722"/>
      <c r="P1775" s="722"/>
      <c r="Q1775" s="722"/>
      <c r="R1775" s="722"/>
      <c r="S1775" s="722"/>
      <c r="U1775" s="722"/>
      <c r="V1775" s="722"/>
      <c r="W1775" s="722"/>
      <c r="X1775" s="722"/>
      <c r="Y1775" s="722"/>
      <c r="Z1775" s="722"/>
      <c r="AA1775" s="722"/>
      <c r="AB1775" s="722"/>
    </row>
    <row r="1776" spans="1:28" s="723" customFormat="1">
      <c r="A1776" s="836"/>
      <c r="B1776" s="722"/>
      <c r="C1776" s="722"/>
      <c r="D1776" s="722"/>
      <c r="E1776" s="986"/>
      <c r="F1776" s="986"/>
      <c r="G1776" s="987"/>
      <c r="H1776" s="722"/>
      <c r="I1776" s="724"/>
      <c r="J1776" s="1096" t="s">
        <v>718</v>
      </c>
      <c r="K1776" s="726">
        <f>SUM(K1773:K1775)</f>
        <v>4246.55</v>
      </c>
      <c r="M1776" s="722"/>
      <c r="N1776" s="722"/>
      <c r="O1776" s="722"/>
      <c r="P1776" s="722"/>
      <c r="Q1776" s="722"/>
      <c r="R1776" s="722"/>
      <c r="S1776" s="722"/>
      <c r="U1776" s="722"/>
      <c r="V1776" s="722"/>
      <c r="W1776" s="722"/>
      <c r="X1776" s="722"/>
      <c r="Y1776" s="722"/>
      <c r="Z1776" s="722"/>
      <c r="AA1776" s="722"/>
      <c r="AB1776" s="722"/>
    </row>
    <row r="1777" spans="1:28" s="723" customFormat="1">
      <c r="A1777" s="836"/>
      <c r="B1777" s="723" t="s">
        <v>833</v>
      </c>
      <c r="C1777" s="722"/>
      <c r="D1777" s="722"/>
      <c r="E1777" s="986"/>
      <c r="F1777" s="986"/>
      <c r="G1777" s="987"/>
      <c r="H1777" s="722"/>
      <c r="I1777" s="724"/>
      <c r="J1777" s="726"/>
      <c r="K1777" s="726"/>
      <c r="M1777" s="722"/>
      <c r="N1777" s="722"/>
      <c r="O1777" s="722"/>
      <c r="P1777" s="722"/>
      <c r="Q1777" s="722"/>
      <c r="R1777" s="722"/>
      <c r="S1777" s="722"/>
      <c r="U1777" s="722"/>
      <c r="V1777" s="722"/>
      <c r="W1777" s="722"/>
      <c r="X1777" s="722"/>
      <c r="Y1777" s="722"/>
      <c r="Z1777" s="722"/>
      <c r="AA1777" s="722"/>
      <c r="AB1777" s="722"/>
    </row>
    <row r="1778" spans="1:28" s="723" customFormat="1">
      <c r="A1778" s="836"/>
      <c r="B1778" s="722" t="s">
        <v>834</v>
      </c>
      <c r="C1778" s="722"/>
      <c r="D1778" s="722"/>
      <c r="E1778" s="986"/>
      <c r="F1778" s="986"/>
      <c r="G1778" s="987">
        <v>6</v>
      </c>
      <c r="H1778" s="722" t="s">
        <v>312</v>
      </c>
      <c r="I1778" s="724" t="s">
        <v>312</v>
      </c>
      <c r="J1778" s="726">
        <f>G194</f>
        <v>229.55</v>
      </c>
      <c r="K1778" s="726">
        <f>ROUND(G1778*J1778,2)</f>
        <v>1377.3</v>
      </c>
      <c r="M1778" s="722"/>
      <c r="N1778" s="722"/>
      <c r="O1778" s="722"/>
      <c r="P1778" s="722"/>
      <c r="Q1778" s="722"/>
      <c r="R1778" s="722"/>
      <c r="S1778" s="722"/>
      <c r="U1778" s="722"/>
      <c r="V1778" s="722"/>
      <c r="W1778" s="722"/>
      <c r="X1778" s="722"/>
      <c r="Y1778" s="722"/>
      <c r="Z1778" s="722"/>
      <c r="AA1778" s="722"/>
      <c r="AB1778" s="722"/>
    </row>
    <row r="1779" spans="1:28" s="723" customFormat="1">
      <c r="A1779" s="836"/>
      <c r="B1779" s="722" t="s">
        <v>313</v>
      </c>
      <c r="C1779" s="722"/>
      <c r="D1779" s="722"/>
      <c r="E1779" s="986"/>
      <c r="F1779" s="986"/>
      <c r="G1779" s="987">
        <v>6</v>
      </c>
      <c r="H1779" s="722" t="s">
        <v>312</v>
      </c>
      <c r="I1779" s="724" t="s">
        <v>312</v>
      </c>
      <c r="J1779" s="726">
        <f>M210</f>
        <v>700</v>
      </c>
      <c r="K1779" s="726">
        <f>ROUND(G1779*J1779,2)</f>
        <v>4200</v>
      </c>
      <c r="M1779" s="722"/>
      <c r="N1779" s="722"/>
      <c r="O1779" s="722"/>
      <c r="P1779" s="722"/>
      <c r="Q1779" s="722"/>
      <c r="R1779" s="722"/>
      <c r="S1779" s="722"/>
      <c r="U1779" s="722"/>
      <c r="V1779" s="722"/>
      <c r="W1779" s="722"/>
      <c r="X1779" s="722"/>
      <c r="Y1779" s="722"/>
      <c r="Z1779" s="722"/>
      <c r="AA1779" s="722"/>
      <c r="AB1779" s="722"/>
    </row>
    <row r="1780" spans="1:28" s="723" customFormat="1">
      <c r="A1780" s="836"/>
      <c r="B1780" s="722"/>
      <c r="C1780" s="722"/>
      <c r="D1780" s="722"/>
      <c r="E1780" s="986"/>
      <c r="F1780" s="986"/>
      <c r="G1780" s="987"/>
      <c r="H1780" s="722"/>
      <c r="I1780" s="724"/>
      <c r="J1780" s="1096" t="s">
        <v>718</v>
      </c>
      <c r="K1780" s="726">
        <f>K1779+K1778</f>
        <v>5577.3</v>
      </c>
      <c r="M1780" s="722"/>
      <c r="N1780" s="722"/>
      <c r="O1780" s="722"/>
      <c r="P1780" s="722"/>
      <c r="Q1780" s="722"/>
      <c r="R1780" s="722"/>
      <c r="S1780" s="722"/>
      <c r="U1780" s="722"/>
      <c r="V1780" s="722"/>
      <c r="W1780" s="722"/>
      <c r="X1780" s="722"/>
      <c r="Y1780" s="722"/>
      <c r="Z1780" s="722"/>
      <c r="AA1780" s="722"/>
      <c r="AB1780" s="722"/>
    </row>
    <row r="1781" spans="1:28" s="723" customFormat="1">
      <c r="A1781" s="836"/>
      <c r="C1781" s="722"/>
      <c r="D1781" s="722"/>
      <c r="E1781" s="986"/>
      <c r="F1781" s="986"/>
      <c r="G1781" s="987"/>
      <c r="H1781" s="722"/>
      <c r="I1781" s="724"/>
      <c r="J1781" s="1096"/>
      <c r="K1781" s="726"/>
      <c r="M1781" s="722"/>
      <c r="N1781" s="722"/>
      <c r="O1781" s="722"/>
      <c r="P1781" s="722"/>
      <c r="Q1781" s="722"/>
      <c r="R1781" s="722"/>
      <c r="S1781" s="722"/>
      <c r="U1781" s="722"/>
      <c r="V1781" s="722"/>
      <c r="W1781" s="722"/>
      <c r="X1781" s="722"/>
      <c r="Y1781" s="722"/>
      <c r="Z1781" s="722"/>
      <c r="AA1781" s="722"/>
      <c r="AB1781" s="722"/>
    </row>
    <row r="1782" spans="1:28" s="723" customFormat="1">
      <c r="A1782" s="836"/>
      <c r="B1782" s="722" t="s">
        <v>835</v>
      </c>
      <c r="C1782" s="722"/>
      <c r="D1782" s="722"/>
      <c r="E1782" s="986"/>
      <c r="F1782" s="986"/>
      <c r="G1782" s="987"/>
      <c r="H1782" s="722"/>
      <c r="I1782" s="724"/>
      <c r="J1782" s="1096" t="s">
        <v>718</v>
      </c>
      <c r="K1782" s="726">
        <f>K1771+K1776+K1780+K1781</f>
        <v>63418.390000000007</v>
      </c>
      <c r="M1782" s="722"/>
      <c r="N1782" s="722"/>
      <c r="O1782" s="722"/>
      <c r="P1782" s="722"/>
      <c r="Q1782" s="722"/>
      <c r="R1782" s="722"/>
      <c r="S1782" s="722"/>
      <c r="U1782" s="722"/>
      <c r="V1782" s="722"/>
      <c r="W1782" s="722"/>
      <c r="X1782" s="722"/>
      <c r="Y1782" s="722"/>
      <c r="Z1782" s="722"/>
      <c r="AA1782" s="722"/>
      <c r="AB1782" s="722"/>
    </row>
    <row r="1783" spans="1:28" s="723" customFormat="1">
      <c r="A1783" s="836"/>
      <c r="B1783" s="723" t="s">
        <v>836</v>
      </c>
      <c r="C1783" s="722"/>
      <c r="D1783" s="722"/>
      <c r="E1783" s="986"/>
      <c r="F1783" s="986"/>
      <c r="G1783" s="987"/>
      <c r="H1783" s="722"/>
      <c r="I1783" s="724"/>
      <c r="J1783" s="726"/>
      <c r="K1783" s="726"/>
      <c r="M1783" s="722"/>
      <c r="N1783" s="722"/>
      <c r="O1783" s="722"/>
      <c r="P1783" s="722"/>
      <c r="Q1783" s="722"/>
      <c r="R1783" s="722"/>
      <c r="S1783" s="722"/>
      <c r="U1783" s="722"/>
      <c r="V1783" s="722"/>
      <c r="W1783" s="722"/>
      <c r="X1783" s="722"/>
      <c r="Y1783" s="722"/>
      <c r="Z1783" s="722"/>
      <c r="AA1783" s="722"/>
      <c r="AB1783" s="722"/>
    </row>
    <row r="1784" spans="1:28" s="723" customFormat="1">
      <c r="A1784" s="836"/>
      <c r="B1784" s="722" t="s">
        <v>830</v>
      </c>
      <c r="C1784" s="722"/>
      <c r="D1784" s="722"/>
      <c r="E1784" s="986"/>
      <c r="F1784" s="986"/>
      <c r="G1784" s="987">
        <f>G1767</f>
        <v>8.1</v>
      </c>
      <c r="H1784" s="722" t="s">
        <v>49</v>
      </c>
      <c r="I1784" s="724" t="s">
        <v>49</v>
      </c>
      <c r="J1784" s="726">
        <f>K11</f>
        <v>276.01</v>
      </c>
      <c r="K1784" s="726">
        <f>ROUND(G1784*J1784,2)</f>
        <v>2235.6799999999998</v>
      </c>
      <c r="M1784" s="722"/>
      <c r="N1784" s="722"/>
      <c r="O1784" s="722"/>
      <c r="P1784" s="722"/>
      <c r="Q1784" s="722"/>
      <c r="R1784" s="722"/>
      <c r="S1784" s="722"/>
      <c r="U1784" s="722"/>
      <c r="V1784" s="722"/>
      <c r="W1784" s="722"/>
      <c r="X1784" s="722"/>
      <c r="Y1784" s="722"/>
      <c r="Z1784" s="722"/>
      <c r="AA1784" s="722"/>
      <c r="AB1784" s="722"/>
    </row>
    <row r="1785" spans="1:28" s="723" customFormat="1">
      <c r="A1785" s="836"/>
      <c r="B1785" s="722" t="s">
        <v>831</v>
      </c>
      <c r="C1785" s="722"/>
      <c r="D1785" s="722"/>
      <c r="E1785" s="986"/>
      <c r="F1785" s="986"/>
      <c r="G1785" s="987">
        <f>G1768</f>
        <v>5.4</v>
      </c>
      <c r="H1785" s="722" t="s">
        <v>49</v>
      </c>
      <c r="I1785" s="724" t="s">
        <v>49</v>
      </c>
      <c r="J1785" s="726">
        <f>K14</f>
        <v>276.01</v>
      </c>
      <c r="K1785" s="726">
        <f>ROUND(G1785*J1785,2)</f>
        <v>1490.45</v>
      </c>
      <c r="M1785" s="722"/>
      <c r="N1785" s="722"/>
      <c r="O1785" s="722"/>
      <c r="P1785" s="722"/>
      <c r="Q1785" s="722"/>
      <c r="R1785" s="722"/>
      <c r="S1785" s="722"/>
      <c r="U1785" s="722"/>
      <c r="V1785" s="722"/>
      <c r="W1785" s="722"/>
      <c r="X1785" s="722"/>
      <c r="Y1785" s="722"/>
      <c r="Z1785" s="722"/>
      <c r="AA1785" s="722"/>
      <c r="AB1785" s="722"/>
    </row>
    <row r="1786" spans="1:28">
      <c r="B1786" s="722" t="s">
        <v>832</v>
      </c>
      <c r="G1786" s="987">
        <f>G1769</f>
        <v>6.75</v>
      </c>
      <c r="H1786" s="722" t="s">
        <v>49</v>
      </c>
      <c r="I1786" s="724" t="s">
        <v>49</v>
      </c>
      <c r="J1786" s="726">
        <f>K44</f>
        <v>731.71</v>
      </c>
      <c r="K1786" s="726">
        <f>ROUND(G1786*J1786,2)</f>
        <v>4939.04</v>
      </c>
    </row>
    <row r="1787" spans="1:28">
      <c r="B1787" s="722" t="s">
        <v>8</v>
      </c>
      <c r="G1787" s="987">
        <f>G1770</f>
        <v>5.21</v>
      </c>
      <c r="H1787" s="722" t="s">
        <v>91</v>
      </c>
      <c r="I1787" s="724" t="s">
        <v>91</v>
      </c>
      <c r="J1787" s="726">
        <f>K48</f>
        <v>247.87</v>
      </c>
      <c r="K1787" s="726">
        <f>ROUND(G1787*J1787,2)</f>
        <v>1291.4000000000001</v>
      </c>
    </row>
    <row r="1788" spans="1:28">
      <c r="G1788" s="987"/>
      <c r="J1788" s="1096" t="s">
        <v>718</v>
      </c>
      <c r="K1788" s="726">
        <f>SUM(K1784:K1787)</f>
        <v>9956.57</v>
      </c>
    </row>
    <row r="1789" spans="1:28">
      <c r="B1789" s="722" t="s">
        <v>837</v>
      </c>
      <c r="G1789" s="987"/>
      <c r="J1789" s="726"/>
      <c r="K1789" s="726">
        <f>K1782+K1788</f>
        <v>73374.960000000006</v>
      </c>
    </row>
    <row r="1790" spans="1:28">
      <c r="B1790" s="722" t="s">
        <v>838</v>
      </c>
      <c r="G1790" s="987"/>
      <c r="J1790" s="726"/>
      <c r="K1790" s="726">
        <f>K1789/15</f>
        <v>4891.6640000000007</v>
      </c>
    </row>
    <row r="1791" spans="1:28">
      <c r="G1791" s="987"/>
      <c r="J1791" s="1091" t="s">
        <v>839</v>
      </c>
      <c r="K1791" s="1091">
        <f>ROUND(K1790,1)</f>
        <v>4891.7</v>
      </c>
      <c r="L1791" s="723" t="s">
        <v>721</v>
      </c>
    </row>
    <row r="1792" spans="1:28">
      <c r="A1792" s="836" t="str">
        <f>A378</f>
        <v>(ii)</v>
      </c>
      <c r="B1792" s="723" t="s">
        <v>387</v>
      </c>
      <c r="G1792" s="987"/>
      <c r="J1792" s="1091"/>
      <c r="K1792" s="1091"/>
    </row>
    <row r="1793" spans="1:28">
      <c r="B1793" s="722" t="s">
        <v>840</v>
      </c>
      <c r="G1793" s="987"/>
      <c r="J1793" s="1091"/>
      <c r="K1793" s="1091">
        <f>K1790</f>
        <v>4891.6640000000007</v>
      </c>
      <c r="L1793" s="722"/>
    </row>
    <row r="1794" spans="1:28">
      <c r="B1794" s="722" t="s">
        <v>841</v>
      </c>
      <c r="G1794" s="987"/>
      <c r="J1794" s="1091"/>
      <c r="K1794" s="1091">
        <f>ROUND(K1776*15%/15,2)</f>
        <v>42.47</v>
      </c>
    </row>
    <row r="1795" spans="1:28">
      <c r="G1795" s="987"/>
      <c r="J1795" s="1091"/>
      <c r="K1795" s="1091">
        <f>SUM(K1793:K1794)</f>
        <v>4934.1340000000009</v>
      </c>
      <c r="L1795" s="723" t="s">
        <v>721</v>
      </c>
    </row>
    <row r="1796" spans="1:28">
      <c r="G1796" s="987"/>
      <c r="J1796" s="1091" t="s">
        <v>839</v>
      </c>
      <c r="K1796" s="1091">
        <f>ROUND(K1795,1)</f>
        <v>4934.1000000000004</v>
      </c>
      <c r="L1796" s="723" t="s">
        <v>721</v>
      </c>
    </row>
    <row r="1797" spans="1:28" ht="48.75" customHeight="1">
      <c r="A1797" s="836">
        <f>A379</f>
        <v>50</v>
      </c>
      <c r="B1797" s="3386" t="str">
        <f>B379</f>
        <v>R.C.C. work of (1:1.5:3)  using  12 mm  size black hard crusher broken granite stone chips of approved quality and from approved quarry  etc. complete in all respect .</v>
      </c>
      <c r="C1797" s="3386"/>
      <c r="D1797" s="3386"/>
      <c r="E1797" s="1086" t="str">
        <f>G379</f>
        <v>Each Cum</v>
      </c>
      <c r="F1797" s="1086"/>
      <c r="G1797" s="987"/>
      <c r="J1797" s="1091"/>
      <c r="K1797" s="1091"/>
    </row>
    <row r="1798" spans="1:28" s="723" customFormat="1">
      <c r="A1798" s="836" t="s">
        <v>845</v>
      </c>
      <c r="B1798" s="723" t="s">
        <v>846</v>
      </c>
      <c r="E1798" s="986"/>
      <c r="F1798" s="986"/>
      <c r="G1798" s="1098"/>
      <c r="I1798" s="836"/>
      <c r="J1798" s="1091"/>
      <c r="K1798" s="1091"/>
    </row>
    <row r="1799" spans="1:28">
      <c r="A1799" s="836" t="str">
        <f>A380</f>
        <v>(i)</v>
      </c>
      <c r="B1799" s="723" t="s">
        <v>384</v>
      </c>
      <c r="C1799" s="723"/>
      <c r="D1799" s="723"/>
      <c r="G1799" s="1098"/>
      <c r="H1799" s="723"/>
      <c r="I1799" s="836"/>
      <c r="J1799" s="1091"/>
      <c r="K1799" s="1091"/>
    </row>
    <row r="1800" spans="1:28">
      <c r="B1800" s="722" t="s">
        <v>842</v>
      </c>
      <c r="G1800" s="987"/>
      <c r="J1800" s="726"/>
      <c r="K1800" s="726"/>
    </row>
    <row r="1801" spans="1:28">
      <c r="B1801" s="723" t="s">
        <v>829</v>
      </c>
      <c r="G1801" s="987"/>
      <c r="J1801" s="726"/>
      <c r="K1801" s="726"/>
    </row>
    <row r="1802" spans="1:28" s="723" customFormat="1">
      <c r="A1802" s="836"/>
      <c r="B1802" s="722" t="s">
        <v>847</v>
      </c>
      <c r="C1802" s="722"/>
      <c r="D1802" s="722"/>
      <c r="E1802" s="986"/>
      <c r="F1802" s="986"/>
      <c r="G1802" s="987">
        <v>0.9</v>
      </c>
      <c r="H1802" s="722" t="s">
        <v>49</v>
      </c>
      <c r="I1802" s="724" t="s">
        <v>49</v>
      </c>
      <c r="J1802" s="726">
        <f>G12</f>
        <v>1466.4499999999998</v>
      </c>
      <c r="K1802" s="726">
        <f>ROUND(G1802*J1802,2)</f>
        <v>1319.81</v>
      </c>
      <c r="M1802" s="722"/>
      <c r="N1802" s="722"/>
      <c r="O1802" s="722"/>
      <c r="P1802" s="722"/>
      <c r="Q1802" s="722"/>
      <c r="R1802" s="722"/>
      <c r="S1802" s="722"/>
      <c r="U1802" s="722"/>
      <c r="V1802" s="722"/>
      <c r="W1802" s="722"/>
      <c r="X1802" s="722"/>
      <c r="Y1802" s="722"/>
      <c r="Z1802" s="722"/>
      <c r="AA1802" s="722"/>
      <c r="AB1802" s="722"/>
    </row>
    <row r="1803" spans="1:28" s="723" customFormat="1">
      <c r="A1803" s="836"/>
      <c r="B1803" s="722" t="s">
        <v>832</v>
      </c>
      <c r="C1803" s="722"/>
      <c r="D1803" s="722"/>
      <c r="E1803" s="986"/>
      <c r="F1803" s="986"/>
      <c r="G1803" s="987">
        <v>0.45</v>
      </c>
      <c r="H1803" s="722" t="s">
        <v>49</v>
      </c>
      <c r="I1803" s="724" t="s">
        <v>49</v>
      </c>
      <c r="J1803" s="726">
        <f>G44</f>
        <v>80.72</v>
      </c>
      <c r="K1803" s="726">
        <f>ROUND(G1803*J1803,2)</f>
        <v>36.32</v>
      </c>
      <c r="M1803" s="722"/>
      <c r="N1803" s="722"/>
      <c r="O1803" s="722"/>
      <c r="P1803" s="722"/>
      <c r="Q1803" s="722"/>
      <c r="R1803" s="722"/>
      <c r="S1803" s="722"/>
      <c r="U1803" s="722"/>
      <c r="V1803" s="722"/>
      <c r="W1803" s="722"/>
      <c r="X1803" s="722"/>
      <c r="Y1803" s="722"/>
      <c r="Z1803" s="722"/>
      <c r="AA1803" s="722"/>
      <c r="AB1803" s="722"/>
    </row>
    <row r="1804" spans="1:28" s="723" customFormat="1">
      <c r="A1804" s="836"/>
      <c r="B1804" s="722" t="s">
        <v>8</v>
      </c>
      <c r="C1804" s="722"/>
      <c r="D1804" s="722"/>
      <c r="E1804" s="986"/>
      <c r="F1804" s="986"/>
      <c r="G1804" s="987">
        <v>4.29</v>
      </c>
      <c r="H1804" s="722" t="s">
        <v>247</v>
      </c>
      <c r="I1804" s="724" t="s">
        <v>247</v>
      </c>
      <c r="J1804" s="726">
        <f>G48/10</f>
        <v>640</v>
      </c>
      <c r="K1804" s="726">
        <f>ROUND(G1804*J1804,2)</f>
        <v>2745.6</v>
      </c>
      <c r="M1804" s="722"/>
      <c r="N1804" s="722"/>
      <c r="O1804" s="722"/>
      <c r="P1804" s="722"/>
      <c r="Q1804" s="722"/>
      <c r="R1804" s="722"/>
      <c r="S1804" s="722"/>
      <c r="U1804" s="722"/>
      <c r="V1804" s="722"/>
      <c r="W1804" s="722"/>
      <c r="X1804" s="722"/>
      <c r="Y1804" s="722"/>
      <c r="Z1804" s="722"/>
      <c r="AA1804" s="722"/>
      <c r="AB1804" s="722"/>
    </row>
    <row r="1805" spans="1:28" s="723" customFormat="1">
      <c r="A1805" s="836"/>
      <c r="B1805" s="722"/>
      <c r="C1805" s="722"/>
      <c r="D1805" s="722"/>
      <c r="E1805" s="986"/>
      <c r="F1805" s="986"/>
      <c r="G1805" s="987"/>
      <c r="H1805" s="722"/>
      <c r="I1805" s="724"/>
      <c r="J1805" s="1096" t="s">
        <v>718</v>
      </c>
      <c r="K1805" s="726">
        <f>SUM(K1802:K1804)</f>
        <v>4101.7299999999996</v>
      </c>
      <c r="M1805" s="722"/>
      <c r="N1805" s="722"/>
      <c r="O1805" s="722"/>
      <c r="P1805" s="722"/>
      <c r="Q1805" s="722"/>
      <c r="R1805" s="722"/>
      <c r="S1805" s="722"/>
      <c r="U1805" s="722"/>
      <c r="V1805" s="722"/>
      <c r="W1805" s="722"/>
      <c r="X1805" s="722"/>
      <c r="Y1805" s="722"/>
      <c r="Z1805" s="722"/>
      <c r="AA1805" s="722"/>
      <c r="AB1805" s="722"/>
    </row>
    <row r="1806" spans="1:28" s="723" customFormat="1">
      <c r="A1806" s="836"/>
      <c r="B1806" s="723" t="s">
        <v>816</v>
      </c>
      <c r="C1806" s="722"/>
      <c r="D1806" s="722"/>
      <c r="E1806" s="986"/>
      <c r="F1806" s="986"/>
      <c r="G1806" s="987"/>
      <c r="H1806" s="722"/>
      <c r="I1806" s="724"/>
      <c r="J1806" s="726"/>
      <c r="K1806" s="726"/>
      <c r="M1806" s="722"/>
      <c r="N1806" s="722"/>
      <c r="O1806" s="722"/>
      <c r="P1806" s="722"/>
      <c r="Q1806" s="722"/>
      <c r="R1806" s="722"/>
      <c r="S1806" s="722"/>
      <c r="U1806" s="722"/>
      <c r="V1806" s="722"/>
      <c r="W1806" s="722"/>
      <c r="X1806" s="722"/>
      <c r="Y1806" s="722"/>
      <c r="Z1806" s="722"/>
      <c r="AA1806" s="722"/>
      <c r="AB1806" s="722"/>
    </row>
    <row r="1807" spans="1:28" s="723" customFormat="1">
      <c r="A1807" s="836"/>
      <c r="B1807" s="722" t="s">
        <v>818</v>
      </c>
      <c r="C1807" s="722"/>
      <c r="D1807" s="722"/>
      <c r="E1807" s="986"/>
      <c r="F1807" s="986"/>
      <c r="G1807" s="987">
        <v>0.68</v>
      </c>
      <c r="H1807" s="722" t="s">
        <v>262</v>
      </c>
      <c r="I1807" s="724" t="s">
        <v>315</v>
      </c>
      <c r="J1807" s="726">
        <f>L131</f>
        <v>264.3</v>
      </c>
      <c r="K1807" s="726">
        <f>ROUND(G1807*J1807,2)</f>
        <v>179.72</v>
      </c>
      <c r="M1807" s="722"/>
      <c r="N1807" s="722"/>
      <c r="O1807" s="722"/>
      <c r="P1807" s="722"/>
      <c r="Q1807" s="722"/>
      <c r="R1807" s="722"/>
      <c r="S1807" s="722"/>
      <c r="U1807" s="722"/>
      <c r="V1807" s="722"/>
      <c r="W1807" s="722"/>
      <c r="X1807" s="722"/>
      <c r="Y1807" s="722"/>
      <c r="Z1807" s="722"/>
      <c r="AA1807" s="722"/>
      <c r="AB1807" s="722"/>
    </row>
    <row r="1808" spans="1:28" s="723" customFormat="1">
      <c r="A1808" s="836"/>
      <c r="B1808" s="722" t="s">
        <v>717</v>
      </c>
      <c r="C1808" s="722"/>
      <c r="D1808" s="722"/>
      <c r="E1808" s="986"/>
      <c r="F1808" s="986"/>
      <c r="G1808" s="987">
        <v>4.5999999999999996</v>
      </c>
      <c r="H1808" s="722" t="s">
        <v>262</v>
      </c>
      <c r="I1808" s="724" t="s">
        <v>315</v>
      </c>
      <c r="J1808" s="726">
        <f>L129</f>
        <v>182</v>
      </c>
      <c r="K1808" s="726">
        <f>ROUND(G1808*J1808,2)</f>
        <v>837.2</v>
      </c>
      <c r="M1808" s="722"/>
      <c r="N1808" s="722"/>
      <c r="O1808" s="722"/>
      <c r="P1808" s="722"/>
      <c r="Q1808" s="722"/>
      <c r="R1808" s="722"/>
      <c r="S1808" s="722"/>
      <c r="U1808" s="722"/>
      <c r="V1808" s="722"/>
      <c r="W1808" s="722"/>
      <c r="X1808" s="722"/>
      <c r="Y1808" s="722"/>
      <c r="Z1808" s="722"/>
      <c r="AA1808" s="722"/>
      <c r="AB1808" s="722"/>
    </row>
    <row r="1809" spans="1:28" s="723" customFormat="1">
      <c r="A1809" s="836"/>
      <c r="B1809" s="722"/>
      <c r="C1809" s="722"/>
      <c r="D1809" s="722"/>
      <c r="E1809" s="986"/>
      <c r="F1809" s="986"/>
      <c r="G1809" s="987"/>
      <c r="H1809" s="722"/>
      <c r="I1809" s="724"/>
      <c r="J1809" s="1096" t="s">
        <v>718</v>
      </c>
      <c r="K1809" s="726">
        <f>SUM(K1807:K1808)</f>
        <v>1016.9200000000001</v>
      </c>
      <c r="M1809" s="722"/>
      <c r="N1809" s="722"/>
      <c r="O1809" s="722"/>
      <c r="P1809" s="722"/>
      <c r="Q1809" s="722"/>
      <c r="R1809" s="722"/>
      <c r="S1809" s="722"/>
      <c r="U1809" s="722"/>
      <c r="V1809" s="722"/>
      <c r="W1809" s="722"/>
      <c r="X1809" s="722"/>
      <c r="Y1809" s="722"/>
      <c r="Z1809" s="722"/>
      <c r="AA1809" s="722"/>
      <c r="AB1809" s="722"/>
    </row>
    <row r="1810" spans="1:28" s="723" customFormat="1">
      <c r="A1810" s="836"/>
      <c r="C1810" s="722"/>
      <c r="D1810" s="722"/>
      <c r="E1810" s="986"/>
      <c r="F1810" s="986"/>
      <c r="G1810" s="987"/>
      <c r="H1810" s="722"/>
      <c r="I1810" s="724"/>
      <c r="J1810" s="1096"/>
      <c r="K1810" s="726"/>
      <c r="M1810" s="722"/>
      <c r="N1810" s="722"/>
      <c r="O1810" s="722"/>
      <c r="P1810" s="722"/>
      <c r="Q1810" s="722"/>
      <c r="R1810" s="722"/>
      <c r="S1810" s="722"/>
      <c r="U1810" s="722"/>
      <c r="V1810" s="722"/>
      <c r="W1810" s="722"/>
      <c r="X1810" s="722"/>
      <c r="Y1810" s="722"/>
      <c r="Z1810" s="722"/>
      <c r="AA1810" s="722"/>
      <c r="AB1810" s="722"/>
    </row>
    <row r="1811" spans="1:28" s="723" customFormat="1">
      <c r="A1811" s="836"/>
      <c r="B1811" s="722" t="s">
        <v>835</v>
      </c>
      <c r="C1811" s="722"/>
      <c r="D1811" s="722"/>
      <c r="E1811" s="986"/>
      <c r="F1811" s="986"/>
      <c r="G1811" s="987"/>
      <c r="H1811" s="722"/>
      <c r="I1811" s="724"/>
      <c r="J1811" s="1096" t="s">
        <v>718</v>
      </c>
      <c r="K1811" s="726">
        <f>K1805+K1809+K1810</f>
        <v>5118.6499999999996</v>
      </c>
      <c r="M1811" s="722"/>
      <c r="N1811" s="722"/>
      <c r="O1811" s="722"/>
      <c r="P1811" s="722"/>
      <c r="Q1811" s="722"/>
      <c r="R1811" s="722"/>
      <c r="S1811" s="722"/>
      <c r="U1811" s="722"/>
      <c r="V1811" s="722"/>
      <c r="W1811" s="722"/>
      <c r="X1811" s="722"/>
      <c r="Y1811" s="722"/>
      <c r="Z1811" s="722"/>
      <c r="AA1811" s="722"/>
      <c r="AB1811" s="722"/>
    </row>
    <row r="1812" spans="1:28" s="723" customFormat="1">
      <c r="A1812" s="836"/>
      <c r="B1812" s="723" t="s">
        <v>836</v>
      </c>
      <c r="C1812" s="722"/>
      <c r="D1812" s="722"/>
      <c r="E1812" s="986"/>
      <c r="F1812" s="986"/>
      <c r="G1812" s="987"/>
      <c r="H1812" s="722"/>
      <c r="I1812" s="724"/>
      <c r="J1812" s="726"/>
      <c r="K1812" s="726"/>
      <c r="M1812" s="722"/>
      <c r="N1812" s="722"/>
      <c r="O1812" s="722"/>
      <c r="P1812" s="722"/>
      <c r="Q1812" s="722"/>
      <c r="R1812" s="722"/>
      <c r="S1812" s="722"/>
      <c r="U1812" s="722"/>
      <c r="V1812" s="722"/>
      <c r="W1812" s="722"/>
      <c r="X1812" s="722"/>
      <c r="Y1812" s="722"/>
      <c r="Z1812" s="722"/>
      <c r="AA1812" s="722"/>
      <c r="AB1812" s="722"/>
    </row>
    <row r="1813" spans="1:28" s="723" customFormat="1">
      <c r="A1813" s="836"/>
      <c r="B1813" s="722" t="s">
        <v>847</v>
      </c>
      <c r="C1813" s="722"/>
      <c r="D1813" s="722"/>
      <c r="E1813" s="986"/>
      <c r="F1813" s="986"/>
      <c r="G1813" s="987">
        <f>G1802</f>
        <v>0.9</v>
      </c>
      <c r="H1813" s="722" t="s">
        <v>49</v>
      </c>
      <c r="I1813" s="724" t="s">
        <v>49</v>
      </c>
      <c r="J1813" s="726">
        <f>K12</f>
        <v>276.01</v>
      </c>
      <c r="K1813" s="726">
        <f>ROUND(G1813*J1813,2)</f>
        <v>248.41</v>
      </c>
      <c r="M1813" s="722"/>
      <c r="N1813" s="722"/>
      <c r="O1813" s="722"/>
      <c r="P1813" s="722"/>
      <c r="Q1813" s="722"/>
      <c r="R1813" s="722"/>
      <c r="S1813" s="722"/>
      <c r="U1813" s="722"/>
      <c r="V1813" s="722"/>
      <c r="W1813" s="722"/>
      <c r="X1813" s="722"/>
      <c r="Y1813" s="722"/>
      <c r="Z1813" s="722"/>
      <c r="AA1813" s="722"/>
      <c r="AB1813" s="722"/>
    </row>
    <row r="1814" spans="1:28" s="723" customFormat="1">
      <c r="A1814" s="836"/>
      <c r="B1814" s="722"/>
      <c r="C1814" s="722"/>
      <c r="D1814" s="722"/>
      <c r="E1814" s="986"/>
      <c r="F1814" s="986"/>
      <c r="G1814" s="987"/>
      <c r="H1814" s="722"/>
      <c r="I1814" s="724"/>
      <c r="J1814" s="726"/>
      <c r="K1814" s="726"/>
      <c r="M1814" s="722"/>
      <c r="N1814" s="722"/>
      <c r="O1814" s="722"/>
      <c r="P1814" s="722"/>
      <c r="Q1814" s="722"/>
      <c r="R1814" s="722"/>
      <c r="S1814" s="722"/>
      <c r="U1814" s="722"/>
      <c r="V1814" s="722"/>
      <c r="W1814" s="722"/>
      <c r="X1814" s="722"/>
      <c r="Y1814" s="722"/>
      <c r="Z1814" s="722"/>
      <c r="AA1814" s="722"/>
      <c r="AB1814" s="722"/>
    </row>
    <row r="1815" spans="1:28" s="723" customFormat="1">
      <c r="A1815" s="836"/>
      <c r="B1815" s="722" t="s">
        <v>832</v>
      </c>
      <c r="C1815" s="722"/>
      <c r="D1815" s="722"/>
      <c r="E1815" s="986"/>
      <c r="F1815" s="986"/>
      <c r="G1815" s="987">
        <f>G1803</f>
        <v>0.45</v>
      </c>
      <c r="H1815" s="722" t="s">
        <v>49</v>
      </c>
      <c r="I1815" s="724" t="s">
        <v>49</v>
      </c>
      <c r="J1815" s="726">
        <f>K44</f>
        <v>731.71</v>
      </c>
      <c r="K1815" s="726">
        <f>ROUND(G1815*J1815,2)</f>
        <v>329.27</v>
      </c>
      <c r="M1815" s="722"/>
      <c r="N1815" s="722"/>
      <c r="O1815" s="722"/>
      <c r="P1815" s="722"/>
      <c r="Q1815" s="722"/>
      <c r="R1815" s="722"/>
      <c r="S1815" s="722"/>
      <c r="U1815" s="722"/>
      <c r="V1815" s="722"/>
      <c r="W1815" s="722"/>
      <c r="X1815" s="722"/>
      <c r="Y1815" s="722"/>
      <c r="Z1815" s="722"/>
      <c r="AA1815" s="722"/>
      <c r="AB1815" s="722"/>
    </row>
    <row r="1816" spans="1:28" s="723" customFormat="1">
      <c r="A1816" s="836"/>
      <c r="B1816" s="722" t="s">
        <v>8</v>
      </c>
      <c r="C1816" s="722"/>
      <c r="D1816" s="722"/>
      <c r="E1816" s="986"/>
      <c r="F1816" s="986"/>
      <c r="G1816" s="987">
        <f>G1804</f>
        <v>4.29</v>
      </c>
      <c r="H1816" s="722" t="s">
        <v>91</v>
      </c>
      <c r="I1816" s="724" t="s">
        <v>91</v>
      </c>
      <c r="J1816" s="726">
        <f>K48/10</f>
        <v>24.786999999999999</v>
      </c>
      <c r="K1816" s="726">
        <f>ROUND(G1816*J1816,2)</f>
        <v>106.34</v>
      </c>
      <c r="M1816" s="722"/>
      <c r="N1816" s="722"/>
      <c r="O1816" s="722"/>
      <c r="P1816" s="722"/>
      <c r="Q1816" s="722"/>
      <c r="R1816" s="722"/>
      <c r="S1816" s="722"/>
      <c r="U1816" s="722"/>
      <c r="V1816" s="722"/>
      <c r="W1816" s="722"/>
      <c r="X1816" s="722"/>
      <c r="Y1816" s="722"/>
      <c r="Z1816" s="722"/>
      <c r="AA1816" s="722"/>
      <c r="AB1816" s="722"/>
    </row>
    <row r="1817" spans="1:28" s="723" customFormat="1">
      <c r="A1817" s="836"/>
      <c r="B1817" s="722"/>
      <c r="C1817" s="722"/>
      <c r="D1817" s="722"/>
      <c r="E1817" s="986"/>
      <c r="F1817" s="986"/>
      <c r="G1817" s="987"/>
      <c r="H1817" s="722"/>
      <c r="I1817" s="724"/>
      <c r="J1817" s="1096" t="s">
        <v>718</v>
      </c>
      <c r="K1817" s="726">
        <f>SUM(K1813:K1816)</f>
        <v>684.02</v>
      </c>
      <c r="M1817" s="722"/>
      <c r="N1817" s="722"/>
      <c r="O1817" s="722"/>
      <c r="P1817" s="722"/>
      <c r="Q1817" s="722"/>
      <c r="R1817" s="722"/>
      <c r="S1817" s="722"/>
      <c r="U1817" s="722"/>
      <c r="V1817" s="722"/>
      <c r="W1817" s="722"/>
      <c r="X1817" s="722"/>
      <c r="Y1817" s="722"/>
      <c r="Z1817" s="722"/>
      <c r="AA1817" s="722"/>
      <c r="AB1817" s="722"/>
    </row>
    <row r="1818" spans="1:28">
      <c r="B1818" s="722" t="s">
        <v>843</v>
      </c>
      <c r="G1818" s="987"/>
      <c r="J1818" s="726"/>
      <c r="K1818" s="726">
        <f>K1811+K1817</f>
        <v>5802.67</v>
      </c>
    </row>
    <row r="1819" spans="1:28">
      <c r="B1819" s="722" t="s">
        <v>843</v>
      </c>
      <c r="G1819" s="987"/>
      <c r="J1819" s="726"/>
      <c r="K1819" s="726">
        <f>K1818</f>
        <v>5802.67</v>
      </c>
    </row>
    <row r="1820" spans="1:28">
      <c r="G1820" s="987"/>
      <c r="J1820" s="1091" t="s">
        <v>839</v>
      </c>
      <c r="K1820" s="1091">
        <f>ROUND(K1819,1)</f>
        <v>5802.7</v>
      </c>
      <c r="L1820" s="723" t="s">
        <v>721</v>
      </c>
    </row>
    <row r="1821" spans="1:28">
      <c r="A1821" s="836" t="str">
        <f>A381</f>
        <v>(ii)</v>
      </c>
      <c r="B1821" s="723" t="s">
        <v>387</v>
      </c>
      <c r="G1821" s="987"/>
      <c r="J1821" s="1091"/>
      <c r="K1821" s="1091"/>
    </row>
    <row r="1822" spans="1:28">
      <c r="B1822" s="722" t="s">
        <v>840</v>
      </c>
      <c r="G1822" s="987"/>
      <c r="J1822" s="1091"/>
      <c r="K1822" s="1091">
        <f>K1820</f>
        <v>5802.7</v>
      </c>
      <c r="L1822" s="723" t="s">
        <v>721</v>
      </c>
    </row>
    <row r="1823" spans="1:28">
      <c r="B1823" s="722" t="s">
        <v>841</v>
      </c>
      <c r="G1823" s="987"/>
      <c r="J1823" s="1091"/>
      <c r="K1823" s="1091">
        <f>ROUND(K1809*15%,2)</f>
        <v>152.54</v>
      </c>
      <c r="L1823" s="723" t="s">
        <v>721</v>
      </c>
    </row>
    <row r="1824" spans="1:28">
      <c r="G1824" s="987"/>
      <c r="J1824" s="1091"/>
      <c r="K1824" s="1091">
        <f>SUM(K1822:K1823)</f>
        <v>5955.24</v>
      </c>
      <c r="L1824" s="723" t="s">
        <v>721</v>
      </c>
    </row>
    <row r="1825" spans="1:18">
      <c r="G1825" s="987"/>
      <c r="J1825" s="1091" t="s">
        <v>839</v>
      </c>
      <c r="K1825" s="1091">
        <f>ROUND(K1824,1)</f>
        <v>5955.2</v>
      </c>
      <c r="L1825" s="723" t="s">
        <v>721</v>
      </c>
    </row>
    <row r="1826" spans="1:18" s="723" customFormat="1">
      <c r="A1826" s="836">
        <f>A382</f>
        <v>51</v>
      </c>
      <c r="B1826" s="723" t="s">
        <v>848</v>
      </c>
      <c r="E1826" s="986" t="s">
        <v>38</v>
      </c>
      <c r="F1826" s="986"/>
      <c r="G1826" s="1098"/>
      <c r="I1826" s="836"/>
      <c r="J1826" s="1091"/>
      <c r="K1826" s="1091"/>
      <c r="M1826" s="722"/>
      <c r="N1826" s="722"/>
      <c r="O1826" s="722"/>
      <c r="P1826" s="722"/>
      <c r="Q1826" s="722"/>
      <c r="R1826" s="722"/>
    </row>
    <row r="1827" spans="1:18">
      <c r="B1827" s="722" t="s">
        <v>849</v>
      </c>
      <c r="E1827" s="986" t="s">
        <v>92</v>
      </c>
      <c r="G1827" s="987"/>
      <c r="J1827" s="726"/>
      <c r="K1827" s="726"/>
    </row>
    <row r="1828" spans="1:18">
      <c r="A1828" s="836" t="str">
        <f>A383</f>
        <v>a</v>
      </c>
      <c r="B1828" s="3382" t="s">
        <v>850</v>
      </c>
      <c r="C1828" s="3382"/>
      <c r="G1828" s="987"/>
      <c r="J1828" s="726"/>
      <c r="K1828" s="726"/>
    </row>
    <row r="1829" spans="1:18">
      <c r="B1829" s="3382"/>
      <c r="C1829" s="3382"/>
      <c r="G1829" s="987"/>
      <c r="J1829" s="726"/>
      <c r="K1829" s="726"/>
    </row>
    <row r="1830" spans="1:18">
      <c r="B1830" s="723" t="s">
        <v>851</v>
      </c>
      <c r="G1830" s="987"/>
      <c r="J1830" s="726"/>
      <c r="K1830" s="726"/>
    </row>
    <row r="1831" spans="1:18">
      <c r="A1831" s="836" t="str">
        <f>A384</f>
        <v>(i)</v>
      </c>
      <c r="B1831" s="723" t="s">
        <v>852</v>
      </c>
      <c r="G1831" s="987"/>
      <c r="J1831" s="726"/>
      <c r="K1831" s="726"/>
    </row>
    <row r="1832" spans="1:18">
      <c r="B1832" s="723" t="s">
        <v>853</v>
      </c>
      <c r="G1832" s="987"/>
      <c r="J1832" s="726"/>
      <c r="K1832" s="726"/>
    </row>
    <row r="1833" spans="1:18">
      <c r="B1833" s="722" t="s">
        <v>854</v>
      </c>
      <c r="G1833" s="987">
        <v>0.26700000000000002</v>
      </c>
      <c r="H1833" s="722" t="s">
        <v>49</v>
      </c>
      <c r="I1833" s="724" t="s">
        <v>49</v>
      </c>
      <c r="J1833" s="726">
        <f>G64</f>
        <v>65379.76</v>
      </c>
      <c r="K1833" s="726">
        <f>ROUND(G1833*J1833,2)</f>
        <v>17456.400000000001</v>
      </c>
    </row>
    <row r="1834" spans="1:18">
      <c r="B1834" s="722" t="s">
        <v>207</v>
      </c>
      <c r="G1834" s="987">
        <v>12.6</v>
      </c>
      <c r="H1834" s="722" t="s">
        <v>136</v>
      </c>
      <c r="I1834" s="724" t="s">
        <v>136</v>
      </c>
      <c r="J1834" s="726">
        <f>G68</f>
        <v>34.51</v>
      </c>
      <c r="K1834" s="726">
        <f>ROUND(G1834*J1834,2)</f>
        <v>434.83</v>
      </c>
    </row>
    <row r="1835" spans="1:18">
      <c r="B1835" s="722" t="s">
        <v>855</v>
      </c>
      <c r="G1835" s="987">
        <v>0.32840000000000003</v>
      </c>
      <c r="H1835" s="722" t="s">
        <v>49</v>
      </c>
      <c r="I1835" s="724" t="s">
        <v>49</v>
      </c>
      <c r="J1835" s="726">
        <f>I72</f>
        <v>198.29599999999999</v>
      </c>
      <c r="K1835" s="726">
        <f>ROUND(G1835*J1835,2)</f>
        <v>65.12</v>
      </c>
    </row>
    <row r="1836" spans="1:18">
      <c r="G1836" s="987"/>
      <c r="J1836" s="1096" t="s">
        <v>718</v>
      </c>
      <c r="K1836" s="726">
        <f>SUM(K1833:K1835)</f>
        <v>17956.350000000002</v>
      </c>
    </row>
    <row r="1837" spans="1:18">
      <c r="B1837" s="722" t="s">
        <v>856</v>
      </c>
      <c r="G1837" s="987"/>
      <c r="J1837" s="726"/>
      <c r="K1837" s="726">
        <f>K1836/10</f>
        <v>1795.6350000000002</v>
      </c>
    </row>
    <row r="1838" spans="1:18">
      <c r="B1838" s="723" t="s">
        <v>857</v>
      </c>
      <c r="G1838" s="987"/>
      <c r="J1838" s="726"/>
      <c r="K1838" s="726"/>
    </row>
    <row r="1839" spans="1:18">
      <c r="B1839" s="722" t="s">
        <v>742</v>
      </c>
      <c r="G1839" s="987">
        <v>0.5</v>
      </c>
      <c r="H1839" s="722" t="s">
        <v>262</v>
      </c>
      <c r="I1839" s="724" t="s">
        <v>38</v>
      </c>
      <c r="J1839" s="726">
        <f>L131</f>
        <v>264.3</v>
      </c>
      <c r="K1839" s="726">
        <f>ROUND(G1839*J1839,2)</f>
        <v>132.15</v>
      </c>
    </row>
    <row r="1840" spans="1:18">
      <c r="B1840" s="722" t="s">
        <v>858</v>
      </c>
      <c r="G1840" s="987">
        <v>0.5</v>
      </c>
      <c r="H1840" s="722" t="s">
        <v>262</v>
      </c>
      <c r="I1840" s="724" t="s">
        <v>38</v>
      </c>
      <c r="J1840" s="726">
        <f>L130</f>
        <v>244.3</v>
      </c>
      <c r="K1840" s="726">
        <f>ROUND(G1840*J1840,2)</f>
        <v>122.15</v>
      </c>
    </row>
    <row r="1841" spans="1:19">
      <c r="G1841" s="987"/>
      <c r="J1841" s="1096" t="s">
        <v>718</v>
      </c>
      <c r="K1841" s="726">
        <f>SUM(K1837:K1840)</f>
        <v>2049.9350000000004</v>
      </c>
    </row>
    <row r="1842" spans="1:19">
      <c r="G1842" s="987"/>
      <c r="J1842" s="1096"/>
      <c r="K1842" s="726"/>
    </row>
    <row r="1843" spans="1:19">
      <c r="G1843" s="987"/>
      <c r="J1843" s="1096" t="s">
        <v>718</v>
      </c>
      <c r="K1843" s="726">
        <f>SUM(K1841:K1842)</f>
        <v>2049.9350000000004</v>
      </c>
    </row>
    <row r="1844" spans="1:19">
      <c r="B1844" s="722" t="s">
        <v>859</v>
      </c>
      <c r="G1844" s="987"/>
      <c r="J1844" s="726"/>
      <c r="K1844" s="726">
        <f>ROUND(K1843/10,2)</f>
        <v>204.99</v>
      </c>
    </row>
    <row r="1845" spans="1:19">
      <c r="G1845" s="987"/>
      <c r="J1845" s="1091" t="s">
        <v>839</v>
      </c>
      <c r="K1845" s="1091">
        <f>ROUND(K1844,1)</f>
        <v>205</v>
      </c>
      <c r="L1845" s="723" t="s">
        <v>730</v>
      </c>
      <c r="R1845" s="723">
        <f>K1844/1.1</f>
        <v>186.35454545454544</v>
      </c>
      <c r="S1845" s="722">
        <f>R1845*1.2</f>
        <v>223.62545454545452</v>
      </c>
    </row>
    <row r="1846" spans="1:19">
      <c r="A1846" s="836" t="str">
        <f>A385</f>
        <v>(ii)</v>
      </c>
      <c r="B1846" s="723" t="s">
        <v>860</v>
      </c>
      <c r="G1846" s="987"/>
      <c r="J1846" s="726"/>
      <c r="K1846" s="726"/>
    </row>
    <row r="1847" spans="1:19">
      <c r="B1847" s="722" t="s">
        <v>861</v>
      </c>
      <c r="G1847" s="987"/>
      <c r="J1847" s="1091"/>
      <c r="K1847" s="726">
        <f>K1845</f>
        <v>205</v>
      </c>
      <c r="L1847" s="723" t="str">
        <f>L1845</f>
        <v>Per Sqm</v>
      </c>
      <c r="R1847" s="723"/>
    </row>
    <row r="1848" spans="1:19">
      <c r="B1848" s="722" t="s">
        <v>862</v>
      </c>
      <c r="G1848" s="987"/>
      <c r="J1848" s="1091"/>
      <c r="K1848" s="726">
        <f>ROUND(K1847*20%,2)</f>
        <v>41</v>
      </c>
      <c r="L1848" s="723" t="str">
        <f>L1847</f>
        <v>Per Sqm</v>
      </c>
      <c r="R1848" s="723"/>
    </row>
    <row r="1849" spans="1:19">
      <c r="G1849" s="987"/>
      <c r="J1849" s="1091"/>
      <c r="K1849" s="726">
        <f>SUM(K1847:K1848)</f>
        <v>246</v>
      </c>
      <c r="L1849" s="723" t="str">
        <f>L1847</f>
        <v>Per Sqm</v>
      </c>
      <c r="R1849" s="723"/>
    </row>
    <row r="1850" spans="1:19">
      <c r="G1850" s="987"/>
      <c r="J1850" s="1091" t="s">
        <v>839</v>
      </c>
      <c r="K1850" s="1091">
        <f>ROUND(K1849,1)</f>
        <v>246</v>
      </c>
      <c r="L1850" s="723" t="s">
        <v>730</v>
      </c>
      <c r="R1850" s="723"/>
    </row>
    <row r="1851" spans="1:19">
      <c r="A1851" s="836" t="str">
        <f>A386</f>
        <v>b</v>
      </c>
      <c r="B1851" s="3382" t="s">
        <v>863</v>
      </c>
      <c r="C1851" s="3382"/>
      <c r="D1851" s="3382"/>
      <c r="E1851" s="986" t="s">
        <v>38</v>
      </c>
      <c r="G1851" s="987"/>
      <c r="J1851" s="726"/>
      <c r="K1851" s="726"/>
    </row>
    <row r="1852" spans="1:19">
      <c r="B1852" s="3382"/>
      <c r="C1852" s="3382"/>
      <c r="D1852" s="3382"/>
      <c r="E1852" s="986" t="s">
        <v>92</v>
      </c>
      <c r="G1852" s="987"/>
      <c r="J1852" s="726"/>
      <c r="K1852" s="726"/>
    </row>
    <row r="1853" spans="1:19">
      <c r="A1853" s="836" t="str">
        <f>A387</f>
        <v>(i)</v>
      </c>
      <c r="B1853" s="722" t="s">
        <v>864</v>
      </c>
      <c r="G1853" s="987"/>
      <c r="J1853" s="726"/>
      <c r="K1853" s="726"/>
    </row>
    <row r="1854" spans="1:19">
      <c r="B1854" s="722" t="s">
        <v>865</v>
      </c>
      <c r="G1854" s="987">
        <v>0.112</v>
      </c>
      <c r="H1854" s="722" t="s">
        <v>49</v>
      </c>
      <c r="I1854" s="724" t="s">
        <v>49</v>
      </c>
      <c r="J1854" s="726">
        <f>G72</f>
        <v>65379.76</v>
      </c>
      <c r="K1854" s="726">
        <f>ROUND(G1854*J1854,2)</f>
        <v>7322.53</v>
      </c>
    </row>
    <row r="1855" spans="1:19">
      <c r="B1855" s="722" t="s">
        <v>866</v>
      </c>
      <c r="G1855" s="987">
        <v>0.34</v>
      </c>
      <c r="H1855" s="722" t="s">
        <v>49</v>
      </c>
      <c r="I1855" s="724" t="s">
        <v>49</v>
      </c>
      <c r="J1855" s="726">
        <f>G65</f>
        <v>65379.76</v>
      </c>
      <c r="K1855" s="726">
        <f>ROUND(G1855*J1855,2)</f>
        <v>22229.119999999999</v>
      </c>
    </row>
    <row r="1856" spans="1:19">
      <c r="B1856" s="722" t="s">
        <v>204</v>
      </c>
      <c r="G1856" s="987">
        <v>56</v>
      </c>
      <c r="H1856" s="722" t="s">
        <v>136</v>
      </c>
      <c r="I1856" s="724" t="s">
        <v>136</v>
      </c>
      <c r="J1856" s="726">
        <f>G71</f>
        <v>58.089999999999996</v>
      </c>
      <c r="K1856" s="726">
        <f>ROUND(G1856*J1856,2)</f>
        <v>3253.04</v>
      </c>
    </row>
    <row r="1857" spans="1:19">
      <c r="B1857" s="722" t="s">
        <v>855</v>
      </c>
      <c r="G1857" s="987">
        <v>1.1419999999999999</v>
      </c>
      <c r="H1857" s="722" t="s">
        <v>49</v>
      </c>
      <c r="I1857" s="724" t="s">
        <v>49</v>
      </c>
      <c r="J1857" s="726">
        <f>J1835</f>
        <v>198.29599999999999</v>
      </c>
      <c r="K1857" s="726">
        <f>ROUND(G1857*J1857,2)</f>
        <v>226.45</v>
      </c>
    </row>
    <row r="1858" spans="1:19">
      <c r="G1858" s="987"/>
      <c r="J1858" s="1096" t="s">
        <v>718</v>
      </c>
      <c r="K1858" s="726">
        <f>SUM(K1854:K1857)</f>
        <v>33031.139999999992</v>
      </c>
    </row>
    <row r="1859" spans="1:19">
      <c r="B1859" s="722" t="s">
        <v>856</v>
      </c>
      <c r="G1859" s="987"/>
      <c r="J1859" s="726"/>
      <c r="K1859" s="726">
        <f>K1858/10</f>
        <v>3303.1139999999991</v>
      </c>
    </row>
    <row r="1860" spans="1:19">
      <c r="B1860" s="722" t="s">
        <v>742</v>
      </c>
      <c r="G1860" s="987">
        <v>2.75</v>
      </c>
      <c r="H1860" s="722" t="s">
        <v>262</v>
      </c>
      <c r="I1860" s="724" t="s">
        <v>38</v>
      </c>
      <c r="J1860" s="726">
        <f>L131</f>
        <v>264.3</v>
      </c>
      <c r="K1860" s="726">
        <f>ROUND(G1860*J1860,2)</f>
        <v>726.83</v>
      </c>
    </row>
    <row r="1861" spans="1:19">
      <c r="B1861" s="722" t="s">
        <v>858</v>
      </c>
      <c r="G1861" s="987">
        <v>2.75</v>
      </c>
      <c r="H1861" s="722" t="s">
        <v>262</v>
      </c>
      <c r="I1861" s="724" t="s">
        <v>38</v>
      </c>
      <c r="J1861" s="726">
        <f>L130</f>
        <v>244.3</v>
      </c>
      <c r="K1861" s="726">
        <f>ROUND(G1861*J1861,2)</f>
        <v>671.83</v>
      </c>
    </row>
    <row r="1862" spans="1:19">
      <c r="G1862" s="987"/>
      <c r="J1862" s="1096" t="s">
        <v>718</v>
      </c>
      <c r="K1862" s="726">
        <f>SUM(K1859:K1861)</f>
        <v>4701.7739999999994</v>
      </c>
    </row>
    <row r="1863" spans="1:19">
      <c r="G1863" s="987"/>
      <c r="J1863" s="1096"/>
      <c r="K1863" s="726"/>
    </row>
    <row r="1864" spans="1:19">
      <c r="G1864" s="987"/>
      <c r="J1864" s="1096" t="s">
        <v>718</v>
      </c>
      <c r="K1864" s="726">
        <f>SUM(K1862:K1863)</f>
        <v>4701.7739999999994</v>
      </c>
    </row>
    <row r="1865" spans="1:19">
      <c r="B1865" s="722" t="s">
        <v>859</v>
      </c>
      <c r="G1865" s="987"/>
      <c r="J1865" s="726"/>
      <c r="K1865" s="726">
        <f>ROUND(K1864/9,2)</f>
        <v>522.41999999999996</v>
      </c>
    </row>
    <row r="1866" spans="1:19">
      <c r="G1866" s="987"/>
      <c r="J1866" s="1091" t="s">
        <v>839</v>
      </c>
      <c r="K1866" s="1091">
        <f>ROUND(K1865,1)</f>
        <v>522.4</v>
      </c>
      <c r="L1866" s="723" t="s">
        <v>730</v>
      </c>
      <c r="R1866" s="723">
        <f>K1865/1.1</f>
        <v>474.92727272727268</v>
      </c>
      <c r="S1866" s="722">
        <f>R1866*1.2</f>
        <v>569.91272727272724</v>
      </c>
    </row>
    <row r="1867" spans="1:19">
      <c r="A1867" s="836" t="str">
        <f>A388</f>
        <v>(ii)</v>
      </c>
      <c r="B1867" s="723" t="s">
        <v>860</v>
      </c>
      <c r="G1867" s="987"/>
      <c r="J1867" s="726"/>
      <c r="K1867" s="726"/>
    </row>
    <row r="1868" spans="1:19">
      <c r="B1868" s="722" t="s">
        <v>861</v>
      </c>
      <c r="G1868" s="987"/>
      <c r="J1868" s="1091"/>
      <c r="K1868" s="726">
        <f>K1866</f>
        <v>522.4</v>
      </c>
      <c r="L1868" s="722" t="str">
        <f>L1866</f>
        <v>Per Sqm</v>
      </c>
      <c r="R1868" s="723"/>
    </row>
    <row r="1869" spans="1:19">
      <c r="B1869" s="722" t="s">
        <v>862</v>
      </c>
      <c r="G1869" s="987"/>
      <c r="J1869" s="1091"/>
      <c r="K1869" s="726">
        <f>ROUND(K1868*20%,2)</f>
        <v>104.48</v>
      </c>
      <c r="L1869" s="722" t="str">
        <f>L1868</f>
        <v>Per Sqm</v>
      </c>
      <c r="R1869" s="723"/>
    </row>
    <row r="1870" spans="1:19">
      <c r="G1870" s="987"/>
      <c r="J1870" s="1091"/>
      <c r="K1870" s="726">
        <f>SUM(K1868:K1869)</f>
        <v>626.88</v>
      </c>
      <c r="L1870" s="722" t="str">
        <f>L1868</f>
        <v>Per Sqm</v>
      </c>
      <c r="R1870" s="723"/>
    </row>
    <row r="1871" spans="1:19">
      <c r="G1871" s="987"/>
      <c r="J1871" s="1091" t="s">
        <v>839</v>
      </c>
      <c r="K1871" s="1091">
        <f>ROUND(K1870,1)</f>
        <v>626.9</v>
      </c>
      <c r="L1871" s="723" t="s">
        <v>730</v>
      </c>
      <c r="R1871" s="723"/>
    </row>
    <row r="1872" spans="1:19">
      <c r="A1872" s="836" t="s">
        <v>867</v>
      </c>
      <c r="B1872" s="723" t="s">
        <v>868</v>
      </c>
      <c r="E1872" s="986" t="s">
        <v>38</v>
      </c>
      <c r="G1872" s="987"/>
      <c r="J1872" s="726"/>
      <c r="K1872" s="726"/>
    </row>
    <row r="1873" spans="1:19">
      <c r="E1873" s="986" t="s">
        <v>92</v>
      </c>
      <c r="G1873" s="987"/>
      <c r="J1873" s="726"/>
      <c r="K1873" s="726"/>
    </row>
    <row r="1874" spans="1:19">
      <c r="B1874" s="722" t="s">
        <v>869</v>
      </c>
      <c r="G1874" s="987"/>
      <c r="J1874" s="726"/>
      <c r="K1874" s="726"/>
    </row>
    <row r="1875" spans="1:19">
      <c r="B1875" s="722" t="s">
        <v>865</v>
      </c>
      <c r="G1875" s="987">
        <v>3.9E-2</v>
      </c>
      <c r="H1875" s="722" t="s">
        <v>49</v>
      </c>
      <c r="I1875" s="724" t="s">
        <v>49</v>
      </c>
      <c r="J1875" s="726">
        <f>G72</f>
        <v>65379.76</v>
      </c>
      <c r="K1875" s="726">
        <f>ROUND(G1875*J1875,2)</f>
        <v>2549.81</v>
      </c>
    </row>
    <row r="1876" spans="1:19">
      <c r="B1876" s="722" t="s">
        <v>866</v>
      </c>
      <c r="G1876" s="987">
        <v>0.22800000000000001</v>
      </c>
      <c r="H1876" s="722" t="s">
        <v>49</v>
      </c>
      <c r="I1876" s="724" t="s">
        <v>49</v>
      </c>
      <c r="J1876" s="726">
        <f>G65</f>
        <v>65379.76</v>
      </c>
      <c r="K1876" s="726">
        <f>ROUND(G1876*J1876,2)</f>
        <v>14906.59</v>
      </c>
    </row>
    <row r="1877" spans="1:19">
      <c r="B1877" s="722" t="s">
        <v>870</v>
      </c>
      <c r="G1877" s="987">
        <v>6.5</v>
      </c>
      <c r="H1877" s="722" t="s">
        <v>136</v>
      </c>
      <c r="I1877" s="724" t="s">
        <v>136</v>
      </c>
      <c r="J1877" s="726">
        <f>G69</f>
        <v>46.83</v>
      </c>
      <c r="K1877" s="726">
        <f>ROUND(G1877*J1877,2)</f>
        <v>304.39999999999998</v>
      </c>
    </row>
    <row r="1878" spans="1:19">
      <c r="B1878" s="722" t="s">
        <v>855</v>
      </c>
      <c r="G1878" s="987">
        <v>0.35</v>
      </c>
      <c r="H1878" s="722" t="s">
        <v>49</v>
      </c>
      <c r="I1878" s="724" t="s">
        <v>49</v>
      </c>
      <c r="J1878" s="726">
        <f>J1857</f>
        <v>198.29599999999999</v>
      </c>
      <c r="K1878" s="726">
        <f>ROUND(G1878*J1878,2)</f>
        <v>69.400000000000006</v>
      </c>
    </row>
    <row r="1879" spans="1:19">
      <c r="G1879" s="987"/>
      <c r="J1879" s="1096" t="s">
        <v>718</v>
      </c>
      <c r="K1879" s="726">
        <f>SUM(K1875:K1878)</f>
        <v>17830.200000000004</v>
      </c>
    </row>
    <row r="1880" spans="1:19">
      <c r="B1880" s="722" t="s">
        <v>856</v>
      </c>
      <c r="G1880" s="987"/>
      <c r="J1880" s="726"/>
      <c r="K1880" s="726">
        <f>K1879/10</f>
        <v>1783.0200000000004</v>
      </c>
    </row>
    <row r="1881" spans="1:19">
      <c r="B1881" s="722" t="s">
        <v>742</v>
      </c>
      <c r="G1881" s="987">
        <v>2.75</v>
      </c>
      <c r="H1881" s="722" t="s">
        <v>262</v>
      </c>
      <c r="I1881" s="724" t="s">
        <v>38</v>
      </c>
      <c r="J1881" s="726">
        <f>L131</f>
        <v>264.3</v>
      </c>
      <c r="K1881" s="726">
        <f>ROUND(G1881*J1881,2)</f>
        <v>726.83</v>
      </c>
    </row>
    <row r="1882" spans="1:19">
      <c r="B1882" s="722" t="s">
        <v>858</v>
      </c>
      <c r="G1882" s="987">
        <v>2.75</v>
      </c>
      <c r="H1882" s="722" t="s">
        <v>262</v>
      </c>
      <c r="I1882" s="724" t="s">
        <v>38</v>
      </c>
      <c r="J1882" s="726">
        <f>L130</f>
        <v>244.3</v>
      </c>
      <c r="K1882" s="726">
        <f>ROUND(G1882*J1882,2)</f>
        <v>671.83</v>
      </c>
    </row>
    <row r="1883" spans="1:19">
      <c r="G1883" s="987"/>
      <c r="J1883" s="1096" t="s">
        <v>718</v>
      </c>
      <c r="K1883" s="726">
        <f>SUM(K1880:K1882)</f>
        <v>3181.6800000000003</v>
      </c>
    </row>
    <row r="1884" spans="1:19">
      <c r="G1884" s="987"/>
      <c r="J1884" s="1096"/>
      <c r="K1884" s="726"/>
    </row>
    <row r="1885" spans="1:19">
      <c r="G1885" s="987"/>
      <c r="J1885" s="1096" t="s">
        <v>718</v>
      </c>
      <c r="K1885" s="726">
        <f>SUM(K1883:K1884)</f>
        <v>3181.6800000000003</v>
      </c>
    </row>
    <row r="1886" spans="1:19">
      <c r="B1886" s="722" t="s">
        <v>859</v>
      </c>
      <c r="G1886" s="987"/>
      <c r="J1886" s="726"/>
      <c r="K1886" s="726">
        <f>ROUND(K1885/5,2)</f>
        <v>636.34</v>
      </c>
    </row>
    <row r="1887" spans="1:19">
      <c r="G1887" s="987"/>
      <c r="J1887" s="1091" t="s">
        <v>839</v>
      </c>
      <c r="K1887" s="1091">
        <f>ROUND(K1886,1)</f>
        <v>636.29999999999995</v>
      </c>
      <c r="L1887" s="723" t="s">
        <v>730</v>
      </c>
      <c r="R1887" s="723">
        <f>K1886/1.1</f>
        <v>578.4909090909091</v>
      </c>
      <c r="S1887" s="722">
        <f>R1887*1.2</f>
        <v>694.18909090909085</v>
      </c>
    </row>
    <row r="1888" spans="1:19">
      <c r="A1888" s="836" t="s">
        <v>415</v>
      </c>
      <c r="B1888" s="723" t="s">
        <v>860</v>
      </c>
      <c r="G1888" s="987"/>
      <c r="J1888" s="726"/>
      <c r="K1888" s="726"/>
    </row>
    <row r="1889" spans="1:18">
      <c r="B1889" s="722" t="s">
        <v>861</v>
      </c>
      <c r="G1889" s="987"/>
      <c r="J1889" s="1091"/>
      <c r="K1889" s="726">
        <f>K1887</f>
        <v>636.29999999999995</v>
      </c>
      <c r="L1889" s="722" t="str">
        <f>L1887</f>
        <v>Per Sqm</v>
      </c>
      <c r="R1889" s="723"/>
    </row>
    <row r="1890" spans="1:18">
      <c r="B1890" s="722" t="s">
        <v>862</v>
      </c>
      <c r="G1890" s="987"/>
      <c r="J1890" s="1091"/>
      <c r="K1890" s="726">
        <f>ROUND(K1889*20%,2)</f>
        <v>127.26</v>
      </c>
      <c r="L1890" s="722" t="str">
        <f>L1889</f>
        <v>Per Sqm</v>
      </c>
      <c r="R1890" s="723"/>
    </row>
    <row r="1891" spans="1:18">
      <c r="G1891" s="987"/>
      <c r="J1891" s="1091"/>
      <c r="K1891" s="726">
        <f>SUM(K1889:K1890)</f>
        <v>763.56</v>
      </c>
      <c r="L1891" s="722" t="str">
        <f>L1889</f>
        <v>Per Sqm</v>
      </c>
      <c r="R1891" s="723"/>
    </row>
    <row r="1892" spans="1:18">
      <c r="G1892" s="987"/>
      <c r="J1892" s="1091" t="s">
        <v>839</v>
      </c>
      <c r="K1892" s="1091">
        <f>ROUND(K1891,1)</f>
        <v>763.6</v>
      </c>
      <c r="L1892" s="723" t="s">
        <v>730</v>
      </c>
      <c r="R1892" s="723"/>
    </row>
    <row r="1893" spans="1:18">
      <c r="A1893" s="836" t="s">
        <v>871</v>
      </c>
      <c r="B1893" s="723" t="s">
        <v>872</v>
      </c>
      <c r="C1893" s="723"/>
      <c r="D1893" s="723"/>
      <c r="E1893" s="986" t="s">
        <v>38</v>
      </c>
      <c r="G1893" s="987"/>
      <c r="J1893" s="726"/>
      <c r="K1893" s="726"/>
    </row>
    <row r="1894" spans="1:18">
      <c r="B1894" s="723"/>
      <c r="C1894" s="723"/>
      <c r="D1894" s="723"/>
      <c r="E1894" s="986" t="s">
        <v>92</v>
      </c>
      <c r="G1894" s="987"/>
      <c r="J1894" s="726"/>
      <c r="K1894" s="726"/>
    </row>
    <row r="1895" spans="1:18">
      <c r="B1895" s="722" t="s">
        <v>873</v>
      </c>
      <c r="G1895" s="987"/>
      <c r="J1895" s="726"/>
      <c r="K1895" s="726"/>
    </row>
    <row r="1896" spans="1:18">
      <c r="B1896" s="722" t="s">
        <v>866</v>
      </c>
      <c r="G1896" s="987">
        <v>0.218</v>
      </c>
      <c r="H1896" s="722" t="s">
        <v>49</v>
      </c>
      <c r="I1896" s="724" t="s">
        <v>49</v>
      </c>
      <c r="J1896" s="726">
        <f>G65</f>
        <v>65379.76</v>
      </c>
      <c r="K1896" s="726">
        <f>ROUND(G1896*J1896,2)</f>
        <v>14252.79</v>
      </c>
    </row>
    <row r="1897" spans="1:18">
      <c r="B1897" s="722" t="s">
        <v>204</v>
      </c>
      <c r="G1897" s="987">
        <v>15.2</v>
      </c>
      <c r="H1897" s="722" t="s">
        <v>136</v>
      </c>
      <c r="I1897" s="724" t="s">
        <v>136</v>
      </c>
      <c r="J1897" s="726">
        <f>G71</f>
        <v>58.089999999999996</v>
      </c>
      <c r="K1897" s="726">
        <f>ROUND(G1897*J1897,2)</f>
        <v>882.97</v>
      </c>
    </row>
    <row r="1898" spans="1:18">
      <c r="B1898" s="722" t="s">
        <v>874</v>
      </c>
      <c r="G1898" s="987">
        <v>8</v>
      </c>
      <c r="H1898" s="722" t="s">
        <v>136</v>
      </c>
      <c r="I1898" s="724" t="s">
        <v>136</v>
      </c>
      <c r="J1898" s="726">
        <f>G70</f>
        <v>58.089999999999996</v>
      </c>
      <c r="K1898" s="726">
        <f>ROUND(G1898*J1898,2)</f>
        <v>464.72</v>
      </c>
    </row>
    <row r="1899" spans="1:18">
      <c r="B1899" s="722" t="s">
        <v>855</v>
      </c>
      <c r="G1899" s="987">
        <v>0.45600000000000002</v>
      </c>
      <c r="H1899" s="722" t="s">
        <v>49</v>
      </c>
      <c r="I1899" s="724" t="s">
        <v>49</v>
      </c>
      <c r="J1899" s="726">
        <f>J1878</f>
        <v>198.29599999999999</v>
      </c>
      <c r="K1899" s="726">
        <f>ROUND(G1899*J1899,2)</f>
        <v>90.42</v>
      </c>
    </row>
    <row r="1900" spans="1:18">
      <c r="G1900" s="987"/>
      <c r="J1900" s="1096" t="s">
        <v>718</v>
      </c>
      <c r="K1900" s="726">
        <f>SUM(K1896:K1899)</f>
        <v>15690.9</v>
      </c>
    </row>
    <row r="1901" spans="1:18">
      <c r="B1901" s="722" t="s">
        <v>856</v>
      </c>
      <c r="G1901" s="987"/>
      <c r="J1901" s="726"/>
      <c r="K1901" s="726">
        <f>K1900/10</f>
        <v>1569.09</v>
      </c>
    </row>
    <row r="1902" spans="1:18">
      <c r="B1902" s="722" t="s">
        <v>742</v>
      </c>
      <c r="G1902" s="987">
        <v>2.75</v>
      </c>
      <c r="H1902" s="722" t="s">
        <v>262</v>
      </c>
      <c r="I1902" s="724" t="s">
        <v>38</v>
      </c>
      <c r="J1902" s="726">
        <f>L131</f>
        <v>264.3</v>
      </c>
      <c r="K1902" s="726">
        <f>ROUND(G1902*J1902,2)</f>
        <v>726.83</v>
      </c>
    </row>
    <row r="1903" spans="1:18">
      <c r="B1903" s="722" t="s">
        <v>858</v>
      </c>
      <c r="G1903" s="987">
        <v>2.75</v>
      </c>
      <c r="H1903" s="722" t="s">
        <v>262</v>
      </c>
      <c r="I1903" s="724" t="s">
        <v>38</v>
      </c>
      <c r="J1903" s="726">
        <f>L130</f>
        <v>244.3</v>
      </c>
      <c r="K1903" s="726">
        <f>ROUND(G1903*J1903,2)</f>
        <v>671.83</v>
      </c>
    </row>
    <row r="1904" spans="1:18">
      <c r="G1904" s="987"/>
      <c r="J1904" s="1096" t="s">
        <v>718</v>
      </c>
      <c r="K1904" s="726">
        <f>SUM(K1901:K1903)</f>
        <v>2967.75</v>
      </c>
    </row>
    <row r="1905" spans="1:19">
      <c r="G1905" s="987"/>
      <c r="J1905" s="1096"/>
      <c r="K1905" s="726"/>
    </row>
    <row r="1906" spans="1:19">
      <c r="G1906" s="987"/>
      <c r="J1906" s="1096" t="s">
        <v>718</v>
      </c>
      <c r="K1906" s="726">
        <f>SUM(K1904:K1905)</f>
        <v>2967.75</v>
      </c>
    </row>
    <row r="1907" spans="1:19">
      <c r="B1907" s="722" t="s">
        <v>859</v>
      </c>
      <c r="G1907" s="987"/>
      <c r="J1907" s="726"/>
      <c r="K1907" s="726">
        <f>ROUND(K1906/4.2,2)</f>
        <v>706.61</v>
      </c>
    </row>
    <row r="1908" spans="1:19">
      <c r="G1908" s="987"/>
      <c r="J1908" s="1091" t="s">
        <v>839</v>
      </c>
      <c r="K1908" s="1091">
        <f>ROUND(K1907,1)</f>
        <v>706.6</v>
      </c>
      <c r="L1908" s="723" t="s">
        <v>730</v>
      </c>
      <c r="R1908" s="723">
        <f>K1907/1.1</f>
        <v>642.37272727272727</v>
      </c>
      <c r="S1908" s="722">
        <f>R1908*1.2</f>
        <v>770.84727272727275</v>
      </c>
    </row>
    <row r="1909" spans="1:19">
      <c r="A1909" s="836" t="s">
        <v>415</v>
      </c>
      <c r="B1909" s="723" t="s">
        <v>860</v>
      </c>
      <c r="G1909" s="987"/>
      <c r="J1909" s="726"/>
      <c r="K1909" s="726"/>
    </row>
    <row r="1910" spans="1:19">
      <c r="B1910" s="722" t="s">
        <v>861</v>
      </c>
      <c r="G1910" s="987"/>
      <c r="J1910" s="1091"/>
      <c r="K1910" s="726">
        <f>K1908</f>
        <v>706.6</v>
      </c>
      <c r="L1910" s="722" t="str">
        <f>L1908</f>
        <v>Per Sqm</v>
      </c>
      <c r="R1910" s="723"/>
    </row>
    <row r="1911" spans="1:19">
      <c r="B1911" s="722" t="s">
        <v>862</v>
      </c>
      <c r="G1911" s="987"/>
      <c r="J1911" s="1091"/>
      <c r="K1911" s="726">
        <f>ROUND(K1910*20%,2)</f>
        <v>141.32</v>
      </c>
      <c r="L1911" s="722" t="str">
        <f>L1910</f>
        <v>Per Sqm</v>
      </c>
      <c r="R1911" s="723"/>
    </row>
    <row r="1912" spans="1:19">
      <c r="G1912" s="987"/>
      <c r="J1912" s="1091"/>
      <c r="K1912" s="726">
        <f>SUM(K1910:K1911)</f>
        <v>847.92000000000007</v>
      </c>
      <c r="L1912" s="722" t="str">
        <f>L1910</f>
        <v>Per Sqm</v>
      </c>
      <c r="R1912" s="723"/>
    </row>
    <row r="1913" spans="1:19">
      <c r="G1913" s="987"/>
      <c r="J1913" s="1091" t="s">
        <v>839</v>
      </c>
      <c r="K1913" s="1091">
        <f>ROUND(K1912,1)</f>
        <v>847.9</v>
      </c>
      <c r="L1913" s="723" t="s">
        <v>730</v>
      </c>
      <c r="R1913" s="723"/>
    </row>
    <row r="1914" spans="1:19">
      <c r="A1914" s="836" t="s">
        <v>875</v>
      </c>
      <c r="B1914" s="723" t="s">
        <v>876</v>
      </c>
      <c r="E1914" s="986" t="s">
        <v>38</v>
      </c>
      <c r="G1914" s="987"/>
      <c r="J1914" s="726"/>
      <c r="K1914" s="726"/>
    </row>
    <row r="1915" spans="1:19">
      <c r="B1915" s="722" t="s">
        <v>877</v>
      </c>
      <c r="E1915" s="986" t="s">
        <v>92</v>
      </c>
      <c r="G1915" s="987"/>
      <c r="J1915" s="726"/>
      <c r="K1915" s="726"/>
    </row>
    <row r="1916" spans="1:19">
      <c r="B1916" s="722" t="s">
        <v>865</v>
      </c>
      <c r="G1916" s="987">
        <v>0.95399999999999996</v>
      </c>
      <c r="H1916" s="722" t="s">
        <v>49</v>
      </c>
      <c r="I1916" s="724" t="s">
        <v>49</v>
      </c>
      <c r="J1916" s="726">
        <f>G72</f>
        <v>65379.76</v>
      </c>
      <c r="K1916" s="726">
        <f>ROUND(G1916*J1916,2)</f>
        <v>62372.29</v>
      </c>
    </row>
    <row r="1917" spans="1:19">
      <c r="B1917" s="722" t="s">
        <v>866</v>
      </c>
      <c r="G1917" s="987">
        <v>0.26900000000000002</v>
      </c>
      <c r="H1917" s="722" t="s">
        <v>49</v>
      </c>
      <c r="I1917" s="724" t="s">
        <v>49</v>
      </c>
      <c r="J1917" s="726">
        <f>G65</f>
        <v>65379.76</v>
      </c>
      <c r="K1917" s="726">
        <f>ROUND(G1917*J1917,2)</f>
        <v>17587.16</v>
      </c>
    </row>
    <row r="1918" spans="1:19">
      <c r="B1918" s="722" t="s">
        <v>209</v>
      </c>
      <c r="G1918" s="726">
        <v>100.8</v>
      </c>
      <c r="H1918" s="722" t="s">
        <v>136</v>
      </c>
      <c r="I1918" s="724" t="s">
        <v>136</v>
      </c>
      <c r="J1918" s="726">
        <f>G69</f>
        <v>46.83</v>
      </c>
      <c r="K1918" s="726">
        <f>ROUND(G1918*J1918,2)</f>
        <v>4720.46</v>
      </c>
    </row>
    <row r="1919" spans="1:19">
      <c r="B1919" s="722" t="s">
        <v>855</v>
      </c>
      <c r="G1919" s="987">
        <v>2.4609999999999999</v>
      </c>
      <c r="H1919" s="722" t="s">
        <v>49</v>
      </c>
      <c r="I1919" s="724" t="s">
        <v>49</v>
      </c>
      <c r="J1919" s="726">
        <f>J1899</f>
        <v>198.29599999999999</v>
      </c>
      <c r="K1919" s="726">
        <f>ROUND(G1919*J1919,2)</f>
        <v>488.01</v>
      </c>
    </row>
    <row r="1920" spans="1:19">
      <c r="G1920" s="987"/>
      <c r="J1920" s="1096" t="s">
        <v>718</v>
      </c>
      <c r="K1920" s="726">
        <f>SUM(K1916:K1919)</f>
        <v>85167.92</v>
      </c>
    </row>
    <row r="1921" spans="1:19">
      <c r="B1921" s="722" t="s">
        <v>856</v>
      </c>
      <c r="G1921" s="987"/>
      <c r="J1921" s="1096"/>
      <c r="K1921" s="726">
        <f>K1920/10</f>
        <v>8516.7919999999995</v>
      </c>
    </row>
    <row r="1922" spans="1:19">
      <c r="B1922" s="722" t="s">
        <v>742</v>
      </c>
      <c r="G1922" s="987">
        <v>13.5</v>
      </c>
      <c r="H1922" s="722" t="s">
        <v>262</v>
      </c>
      <c r="I1922" s="724" t="s">
        <v>38</v>
      </c>
      <c r="J1922" s="726">
        <f>L131</f>
        <v>264.3</v>
      </c>
      <c r="K1922" s="726">
        <f>ROUND(G1922*J1922,2)</f>
        <v>3568.05</v>
      </c>
    </row>
    <row r="1923" spans="1:19">
      <c r="B1923" s="722" t="s">
        <v>858</v>
      </c>
      <c r="G1923" s="987">
        <v>13.5</v>
      </c>
      <c r="H1923" s="722" t="s">
        <v>262</v>
      </c>
      <c r="I1923" s="724" t="s">
        <v>38</v>
      </c>
      <c r="J1923" s="726">
        <f>L130</f>
        <v>244.3</v>
      </c>
      <c r="K1923" s="726">
        <f>ROUND(G1923*J1923,2)</f>
        <v>3298.05</v>
      </c>
    </row>
    <row r="1924" spans="1:19">
      <c r="G1924" s="987"/>
      <c r="J1924" s="1096" t="s">
        <v>718</v>
      </c>
      <c r="K1924" s="726">
        <f>SUM(K1921:K1923)</f>
        <v>15382.892</v>
      </c>
    </row>
    <row r="1925" spans="1:19">
      <c r="G1925" s="987"/>
      <c r="J1925" s="1096"/>
      <c r="K1925" s="726"/>
    </row>
    <row r="1926" spans="1:19">
      <c r="G1926" s="987"/>
      <c r="J1926" s="1096" t="s">
        <v>718</v>
      </c>
      <c r="K1926" s="726">
        <f>SUM(K1924:K1925)</f>
        <v>15382.892</v>
      </c>
    </row>
    <row r="1927" spans="1:19">
      <c r="B1927" s="722" t="s">
        <v>859</v>
      </c>
      <c r="G1927" s="987"/>
      <c r="J1927" s="726"/>
      <c r="K1927" s="726">
        <f>ROUND(K1926/23.9,2)</f>
        <v>643.64</v>
      </c>
    </row>
    <row r="1928" spans="1:19">
      <c r="G1928" s="987"/>
      <c r="J1928" s="1091" t="s">
        <v>839</v>
      </c>
      <c r="K1928" s="1091">
        <f>ROUND(K1927,1)</f>
        <v>643.6</v>
      </c>
      <c r="L1928" s="723" t="s">
        <v>730</v>
      </c>
      <c r="R1928" s="723">
        <f>K1927/1.1</f>
        <v>585.12727272727261</v>
      </c>
      <c r="S1928" s="722">
        <f>R1928*1.2</f>
        <v>702.15272727272713</v>
      </c>
    </row>
    <row r="1929" spans="1:19">
      <c r="A1929" s="836" t="s">
        <v>415</v>
      </c>
      <c r="B1929" s="723" t="s">
        <v>860</v>
      </c>
      <c r="G1929" s="987"/>
      <c r="J1929" s="726"/>
      <c r="K1929" s="726"/>
    </row>
    <row r="1930" spans="1:19">
      <c r="B1930" s="722" t="s">
        <v>861</v>
      </c>
      <c r="G1930" s="987"/>
      <c r="J1930" s="1091"/>
      <c r="K1930" s="726">
        <f>K1928</f>
        <v>643.6</v>
      </c>
      <c r="L1930" s="722" t="str">
        <f>L1928</f>
        <v>Per Sqm</v>
      </c>
      <c r="R1930" s="723"/>
    </row>
    <row r="1931" spans="1:19">
      <c r="B1931" s="722" t="s">
        <v>862</v>
      </c>
      <c r="G1931" s="987"/>
      <c r="J1931" s="1091"/>
      <c r="K1931" s="726">
        <f>ROUND(K1930*20%,2)</f>
        <v>128.72</v>
      </c>
      <c r="L1931" s="722" t="str">
        <f>L1930</f>
        <v>Per Sqm</v>
      </c>
      <c r="R1931" s="723"/>
    </row>
    <row r="1932" spans="1:19">
      <c r="G1932" s="987"/>
      <c r="J1932" s="1091"/>
      <c r="K1932" s="726">
        <f>SUM(K1930:K1931)</f>
        <v>772.32</v>
      </c>
      <c r="L1932" s="722" t="str">
        <f>L1930</f>
        <v>Per Sqm</v>
      </c>
      <c r="R1932" s="723"/>
    </row>
    <row r="1933" spans="1:19">
      <c r="G1933" s="987"/>
      <c r="J1933" s="1091" t="s">
        <v>839</v>
      </c>
      <c r="K1933" s="1091">
        <f>ROUND(K1932,1)</f>
        <v>772.3</v>
      </c>
      <c r="L1933" s="723" t="s">
        <v>730</v>
      </c>
      <c r="R1933" s="723"/>
    </row>
    <row r="1934" spans="1:19">
      <c r="A1934" s="836" t="s">
        <v>878</v>
      </c>
      <c r="B1934" s="723" t="s">
        <v>879</v>
      </c>
      <c r="E1934" s="986" t="s">
        <v>38</v>
      </c>
      <c r="G1934" s="987"/>
      <c r="J1934" s="726"/>
      <c r="K1934" s="726"/>
    </row>
    <row r="1935" spans="1:19">
      <c r="B1935" s="722" t="s">
        <v>880</v>
      </c>
      <c r="E1935" s="986" t="s">
        <v>92</v>
      </c>
      <c r="G1935" s="987"/>
      <c r="J1935" s="726"/>
      <c r="K1935" s="726"/>
    </row>
    <row r="1936" spans="1:19">
      <c r="B1936" s="722" t="s">
        <v>866</v>
      </c>
      <c r="G1936" s="987">
        <v>0.41299999999999998</v>
      </c>
      <c r="H1936" s="722" t="s">
        <v>49</v>
      </c>
      <c r="I1936" s="724" t="s">
        <v>49</v>
      </c>
      <c r="J1936" s="726">
        <f>G65</f>
        <v>65379.76</v>
      </c>
      <c r="K1936" s="726">
        <f>ROUND(G1936*J1936,2)</f>
        <v>27001.84</v>
      </c>
    </row>
    <row r="1937" spans="1:19">
      <c r="B1937" s="722" t="s">
        <v>209</v>
      </c>
      <c r="G1937" s="987">
        <v>21</v>
      </c>
      <c r="H1937" s="722" t="s">
        <v>136</v>
      </c>
      <c r="I1937" s="724" t="s">
        <v>136</v>
      </c>
      <c r="J1937" s="726">
        <f>G69</f>
        <v>46.83</v>
      </c>
      <c r="K1937" s="726">
        <f>ROUND(G1937*J1937,2)</f>
        <v>983.43</v>
      </c>
    </row>
    <row r="1938" spans="1:19">
      <c r="B1938" s="722" t="s">
        <v>855</v>
      </c>
      <c r="G1938" s="987">
        <v>0.68899999999999995</v>
      </c>
      <c r="H1938" s="722" t="s">
        <v>49</v>
      </c>
      <c r="I1938" s="724" t="s">
        <v>49</v>
      </c>
      <c r="J1938" s="726">
        <f>J1919</f>
        <v>198.29599999999999</v>
      </c>
      <c r="K1938" s="726">
        <f>ROUND(G1938*J1938,2)</f>
        <v>136.63</v>
      </c>
    </row>
    <row r="1939" spans="1:19">
      <c r="G1939" s="987"/>
      <c r="J1939" s="1096" t="s">
        <v>718</v>
      </c>
      <c r="K1939" s="726">
        <f>SUM(K1936:K1938)</f>
        <v>28121.9</v>
      </c>
    </row>
    <row r="1940" spans="1:19">
      <c r="B1940" s="722" t="s">
        <v>856</v>
      </c>
      <c r="G1940" s="987"/>
      <c r="J1940" s="726"/>
      <c r="K1940" s="726">
        <f>K1939/10</f>
        <v>2812.19</v>
      </c>
    </row>
    <row r="1941" spans="1:19">
      <c r="B1941" s="722" t="s">
        <v>742</v>
      </c>
      <c r="G1941" s="987">
        <v>1.25</v>
      </c>
      <c r="H1941" s="722" t="s">
        <v>262</v>
      </c>
      <c r="I1941" s="724" t="s">
        <v>38</v>
      </c>
      <c r="J1941" s="726">
        <f>L131</f>
        <v>264.3</v>
      </c>
      <c r="K1941" s="726">
        <f>ROUND(G1941*J1941,2)</f>
        <v>330.38</v>
      </c>
    </row>
    <row r="1942" spans="1:19">
      <c r="B1942" s="722" t="s">
        <v>858</v>
      </c>
      <c r="G1942" s="987">
        <v>1.25</v>
      </c>
      <c r="H1942" s="722" t="s">
        <v>262</v>
      </c>
      <c r="I1942" s="724" t="s">
        <v>38</v>
      </c>
      <c r="J1942" s="726">
        <f>L130</f>
        <v>244.3</v>
      </c>
      <c r="K1942" s="726">
        <f>ROUND(G1942*J1942,2)</f>
        <v>305.38</v>
      </c>
    </row>
    <row r="1943" spans="1:19">
      <c r="G1943" s="987"/>
      <c r="J1943" s="1096" t="s">
        <v>718</v>
      </c>
      <c r="K1943" s="726">
        <f>SUM(K1940:K1942)</f>
        <v>3447.9500000000003</v>
      </c>
    </row>
    <row r="1944" spans="1:19">
      <c r="G1944" s="987"/>
      <c r="J1944" s="1096"/>
      <c r="K1944" s="726"/>
    </row>
    <row r="1945" spans="1:19">
      <c r="G1945" s="987"/>
      <c r="J1945" s="1096" t="s">
        <v>718</v>
      </c>
      <c r="K1945" s="726">
        <f>SUM(K1943:K1944)</f>
        <v>3447.9500000000003</v>
      </c>
    </row>
    <row r="1946" spans="1:19">
      <c r="B1946" s="722" t="s">
        <v>859</v>
      </c>
      <c r="G1946" s="987"/>
      <c r="J1946" s="726"/>
      <c r="K1946" s="726">
        <f>ROUND(K1945/7.8,2)</f>
        <v>442.04</v>
      </c>
    </row>
    <row r="1947" spans="1:19">
      <c r="G1947" s="987"/>
      <c r="J1947" s="1091" t="s">
        <v>839</v>
      </c>
      <c r="K1947" s="1091">
        <f>ROUND(K1946,1)</f>
        <v>442</v>
      </c>
      <c r="L1947" s="723" t="s">
        <v>730</v>
      </c>
      <c r="R1947" s="723">
        <f>K1946/1.1</f>
        <v>401.85454545454542</v>
      </c>
      <c r="S1947" s="722">
        <f>R1947*1.2</f>
        <v>482.22545454545445</v>
      </c>
    </row>
    <row r="1948" spans="1:19">
      <c r="A1948" s="836" t="s">
        <v>415</v>
      </c>
      <c r="B1948" s="723" t="s">
        <v>860</v>
      </c>
      <c r="G1948" s="987"/>
      <c r="J1948" s="726"/>
      <c r="K1948" s="726"/>
    </row>
    <row r="1949" spans="1:19">
      <c r="B1949" s="722" t="s">
        <v>861</v>
      </c>
      <c r="G1949" s="987"/>
      <c r="J1949" s="1091"/>
      <c r="K1949" s="726">
        <f>K1947</f>
        <v>442</v>
      </c>
      <c r="L1949" s="722" t="str">
        <f>L1947</f>
        <v>Per Sqm</v>
      </c>
      <c r="R1949" s="723"/>
    </row>
    <row r="1950" spans="1:19">
      <c r="B1950" s="722" t="s">
        <v>862</v>
      </c>
      <c r="G1950" s="987"/>
      <c r="J1950" s="1091"/>
      <c r="K1950" s="726">
        <f>ROUND(K1949*20%,2)</f>
        <v>88.4</v>
      </c>
      <c r="L1950" s="722" t="str">
        <f>L1949</f>
        <v>Per Sqm</v>
      </c>
      <c r="R1950" s="723"/>
    </row>
    <row r="1951" spans="1:19">
      <c r="G1951" s="987"/>
      <c r="J1951" s="1091"/>
      <c r="K1951" s="726">
        <f>SUM(K1949:K1950)</f>
        <v>530.4</v>
      </c>
      <c r="L1951" s="722" t="str">
        <f>L1949</f>
        <v>Per Sqm</v>
      </c>
      <c r="R1951" s="723"/>
    </row>
    <row r="1952" spans="1:19">
      <c r="G1952" s="987"/>
      <c r="J1952" s="1091" t="s">
        <v>839</v>
      </c>
      <c r="K1952" s="1091">
        <f>ROUND(K1951,1)</f>
        <v>530.4</v>
      </c>
      <c r="L1952" s="723" t="s">
        <v>730</v>
      </c>
      <c r="Q1952" s="722" t="s">
        <v>881</v>
      </c>
      <c r="R1952" s="723"/>
    </row>
    <row r="1953" spans="1:19">
      <c r="A1953" s="836" t="s">
        <v>882</v>
      </c>
      <c r="B1953" s="723" t="s">
        <v>883</v>
      </c>
      <c r="E1953" s="986" t="s">
        <v>38</v>
      </c>
      <c r="G1953" s="987"/>
      <c r="J1953" s="726"/>
      <c r="K1953" s="726"/>
    </row>
    <row r="1954" spans="1:19">
      <c r="B1954" s="722" t="s">
        <v>884</v>
      </c>
      <c r="E1954" s="986" t="s">
        <v>92</v>
      </c>
      <c r="G1954" s="987"/>
      <c r="J1954" s="726"/>
      <c r="K1954" s="726"/>
    </row>
    <row r="1955" spans="1:19">
      <c r="B1955" s="722" t="s">
        <v>866</v>
      </c>
      <c r="G1955" s="987">
        <v>0.39400000000000002</v>
      </c>
      <c r="H1955" s="722" t="s">
        <v>49</v>
      </c>
      <c r="I1955" s="724" t="s">
        <v>49</v>
      </c>
      <c r="J1955" s="726">
        <f>G65</f>
        <v>65379.76</v>
      </c>
      <c r="K1955" s="726">
        <f>ROUND(G1955*J1955,2)</f>
        <v>25759.63</v>
      </c>
    </row>
    <row r="1956" spans="1:19">
      <c r="B1956" s="722" t="s">
        <v>885</v>
      </c>
      <c r="G1956" s="987">
        <v>73.17</v>
      </c>
      <c r="H1956" s="722" t="s">
        <v>136</v>
      </c>
      <c r="I1956" s="724" t="s">
        <v>136</v>
      </c>
      <c r="J1956" s="726">
        <f>G69</f>
        <v>46.83</v>
      </c>
      <c r="K1956" s="726">
        <f>ROUND(G1956*J1956,2)</f>
        <v>3426.55</v>
      </c>
    </row>
    <row r="1957" spans="1:19">
      <c r="B1957" s="722" t="s">
        <v>886</v>
      </c>
      <c r="G1957" s="987">
        <v>14.02</v>
      </c>
      <c r="H1957" s="722" t="s">
        <v>136</v>
      </c>
      <c r="I1957" s="724" t="s">
        <v>136</v>
      </c>
      <c r="J1957" s="726">
        <f>G68</f>
        <v>34.51</v>
      </c>
      <c r="K1957" s="726">
        <f>ROUND(G1957*J1957,2)</f>
        <v>483.83</v>
      </c>
    </row>
    <row r="1958" spans="1:19">
      <c r="B1958" s="722" t="s">
        <v>887</v>
      </c>
      <c r="G1958" s="1092">
        <v>7.0099999999999996E-2</v>
      </c>
      <c r="H1958" s="722" t="s">
        <v>49</v>
      </c>
      <c r="I1958" s="724" t="s">
        <v>49</v>
      </c>
      <c r="J1958" s="726">
        <f>G64</f>
        <v>65379.76</v>
      </c>
      <c r="K1958" s="726">
        <f>ROUND(G1958*J1958,2)</f>
        <v>4583.12</v>
      </c>
    </row>
    <row r="1959" spans="1:19">
      <c r="B1959" s="722" t="s">
        <v>855</v>
      </c>
      <c r="G1959" s="1092">
        <v>1.3612</v>
      </c>
      <c r="H1959" s="722" t="s">
        <v>49</v>
      </c>
      <c r="I1959" s="724" t="s">
        <v>49</v>
      </c>
      <c r="J1959" s="726">
        <f>J1938</f>
        <v>198.29599999999999</v>
      </c>
      <c r="K1959" s="726">
        <f>ROUND(G1959*J1959,2)</f>
        <v>269.92</v>
      </c>
    </row>
    <row r="1960" spans="1:19">
      <c r="G1960" s="987"/>
      <c r="J1960" s="1096" t="s">
        <v>718</v>
      </c>
      <c r="K1960" s="726">
        <f>SUM(K1955:K1959)</f>
        <v>34523.050000000003</v>
      </c>
    </row>
    <row r="1961" spans="1:19">
      <c r="B1961" s="722" t="s">
        <v>856</v>
      </c>
      <c r="G1961" s="987"/>
      <c r="J1961" s="1096"/>
      <c r="K1961" s="726">
        <f>K1960/10</f>
        <v>3452.3050000000003</v>
      </c>
    </row>
    <row r="1962" spans="1:19">
      <c r="B1962" s="722" t="s">
        <v>742</v>
      </c>
      <c r="G1962" s="987">
        <v>3.43</v>
      </c>
      <c r="H1962" s="722" t="s">
        <v>262</v>
      </c>
      <c r="I1962" s="724" t="s">
        <v>38</v>
      </c>
      <c r="J1962" s="726">
        <f>L131</f>
        <v>264.3</v>
      </c>
      <c r="K1962" s="726">
        <f>ROUND(G1962*J1962,2)</f>
        <v>906.55</v>
      </c>
    </row>
    <row r="1963" spans="1:19">
      <c r="B1963" s="722" t="s">
        <v>858</v>
      </c>
      <c r="G1963" s="987">
        <v>3.43</v>
      </c>
      <c r="H1963" s="722" t="s">
        <v>262</v>
      </c>
      <c r="I1963" s="724" t="s">
        <v>38</v>
      </c>
      <c r="J1963" s="726">
        <f>L130</f>
        <v>244.3</v>
      </c>
      <c r="K1963" s="726">
        <f>ROUND(G1963*J1963,2)</f>
        <v>837.95</v>
      </c>
    </row>
    <row r="1964" spans="1:19">
      <c r="G1964" s="987"/>
      <c r="J1964" s="1096" t="s">
        <v>718</v>
      </c>
      <c r="K1964" s="726">
        <f>SUM(K1961:K1963)</f>
        <v>5196.8050000000003</v>
      </c>
    </row>
    <row r="1965" spans="1:19">
      <c r="G1965" s="987"/>
      <c r="J1965" s="1096"/>
      <c r="K1965" s="726"/>
    </row>
    <row r="1966" spans="1:19">
      <c r="G1966" s="987"/>
      <c r="J1966" s="1096" t="s">
        <v>718</v>
      </c>
      <c r="K1966" s="726">
        <f>SUM(K1964:K1965)</f>
        <v>5196.8050000000003</v>
      </c>
    </row>
    <row r="1967" spans="1:19">
      <c r="B1967" s="722" t="s">
        <v>859</v>
      </c>
      <c r="G1967" s="987"/>
      <c r="J1967" s="726"/>
      <c r="K1967" s="726">
        <f>ROUND(K1966/9.3,2)</f>
        <v>558.79999999999995</v>
      </c>
    </row>
    <row r="1968" spans="1:19">
      <c r="G1968" s="987"/>
      <c r="J1968" s="1091" t="s">
        <v>839</v>
      </c>
      <c r="K1968" s="1091">
        <f>ROUND(K1967,1)</f>
        <v>558.79999999999995</v>
      </c>
      <c r="L1968" s="723" t="s">
        <v>730</v>
      </c>
      <c r="R1968" s="723">
        <f>K1967/1.1</f>
        <v>507.99999999999994</v>
      </c>
      <c r="S1968" s="722">
        <f>R1968*1.2</f>
        <v>609.59999999999991</v>
      </c>
    </row>
    <row r="1969" spans="1:18">
      <c r="A1969" s="836" t="s">
        <v>415</v>
      </c>
      <c r="B1969" s="723" t="s">
        <v>860</v>
      </c>
      <c r="G1969" s="987"/>
      <c r="J1969" s="726"/>
      <c r="K1969" s="726"/>
    </row>
    <row r="1970" spans="1:18">
      <c r="B1970" s="722" t="s">
        <v>861</v>
      </c>
      <c r="G1970" s="987"/>
      <c r="J1970" s="1091"/>
      <c r="K1970" s="726">
        <f>K1968</f>
        <v>558.79999999999995</v>
      </c>
      <c r="L1970" s="722" t="str">
        <f>L1968</f>
        <v>Per Sqm</v>
      </c>
      <c r="R1970" s="723"/>
    </row>
    <row r="1971" spans="1:18">
      <c r="B1971" s="722" t="s">
        <v>862</v>
      </c>
      <c r="G1971" s="987"/>
      <c r="J1971" s="1091"/>
      <c r="K1971" s="726">
        <f>ROUND(K1970*20%,2)</f>
        <v>111.76</v>
      </c>
      <c r="L1971" s="722" t="str">
        <f>L1970</f>
        <v>Per Sqm</v>
      </c>
      <c r="R1971" s="723"/>
    </row>
    <row r="1972" spans="1:18">
      <c r="G1972" s="987"/>
      <c r="J1972" s="1091"/>
      <c r="K1972" s="726">
        <f>SUM(K1970:K1971)</f>
        <v>670.56</v>
      </c>
      <c r="L1972" s="722" t="str">
        <f>L1970</f>
        <v>Per Sqm</v>
      </c>
      <c r="R1972" s="723"/>
    </row>
    <row r="1973" spans="1:18">
      <c r="G1973" s="987"/>
      <c r="J1973" s="1091" t="s">
        <v>839</v>
      </c>
      <c r="K1973" s="1091">
        <f>ROUND(K1972,1)</f>
        <v>670.6</v>
      </c>
      <c r="L1973" s="723" t="s">
        <v>730</v>
      </c>
      <c r="Q1973" s="722" t="s">
        <v>881</v>
      </c>
      <c r="R1973" s="723"/>
    </row>
    <row r="1974" spans="1:18">
      <c r="A1974" s="836" t="s">
        <v>888</v>
      </c>
      <c r="B1974" s="3382" t="s">
        <v>889</v>
      </c>
      <c r="C1974" s="3382"/>
      <c r="D1974" s="3382"/>
      <c r="E1974" s="986" t="s">
        <v>38</v>
      </c>
      <c r="J1974" s="726"/>
      <c r="K1974" s="726"/>
    </row>
    <row r="1975" spans="1:18">
      <c r="B1975" s="3382"/>
      <c r="C1975" s="3382"/>
      <c r="D1975" s="3382"/>
      <c r="G1975" s="987"/>
      <c r="J1975" s="726"/>
      <c r="K1975" s="726"/>
    </row>
    <row r="1976" spans="1:18">
      <c r="B1976" s="722" t="s">
        <v>890</v>
      </c>
      <c r="G1976" s="987"/>
      <c r="J1976" s="1091"/>
      <c r="K1976" s="1091">
        <f>K1865</f>
        <v>522.41999999999996</v>
      </c>
      <c r="L1976" s="723" t="str">
        <f>L1970</f>
        <v>Per Sqm</v>
      </c>
      <c r="R1976" s="723"/>
    </row>
    <row r="1977" spans="1:18">
      <c r="B1977" s="722" t="s">
        <v>891</v>
      </c>
      <c r="G1977" s="987"/>
      <c r="J1977" s="1091"/>
      <c r="K1977" s="726">
        <f>ROUND(K1976*20%,2)</f>
        <v>104.48</v>
      </c>
      <c r="L1977" s="722" t="str">
        <f>L1976</f>
        <v>Per Sqm</v>
      </c>
      <c r="R1977" s="723"/>
    </row>
    <row r="1978" spans="1:18">
      <c r="G1978" s="987"/>
      <c r="J1978" s="1091"/>
      <c r="K1978" s="726">
        <f>SUM(K1976:K1977)</f>
        <v>626.9</v>
      </c>
      <c r="L1978" s="722" t="str">
        <f>L1976</f>
        <v>Per Sqm</v>
      </c>
      <c r="R1978" s="723"/>
    </row>
    <row r="1979" spans="1:18">
      <c r="G1979" s="987"/>
      <c r="J1979" s="1091" t="s">
        <v>839</v>
      </c>
      <c r="K1979" s="1091">
        <f>ROUND(K1978,1)</f>
        <v>626.9</v>
      </c>
      <c r="L1979" s="723" t="s">
        <v>730</v>
      </c>
      <c r="Q1979" s="722" t="s">
        <v>881</v>
      </c>
      <c r="R1979" s="723"/>
    </row>
    <row r="1980" spans="1:18">
      <c r="A1980" s="836" t="str">
        <f>A406</f>
        <v>A)</v>
      </c>
      <c r="B1980" s="723" t="str">
        <f>B406</f>
        <v>Foundation Raft,Column base / Pilecaps</v>
      </c>
      <c r="C1980" s="723"/>
      <c r="E1980" s="1089" t="str">
        <f>G406</f>
        <v>Each Cum</v>
      </c>
      <c r="F1980" s="1089"/>
      <c r="G1980" s="987"/>
      <c r="J1980" s="726"/>
      <c r="K1980" s="726"/>
    </row>
    <row r="1981" spans="1:18">
      <c r="B1981" s="722" t="s">
        <v>892</v>
      </c>
      <c r="G1981" s="987"/>
      <c r="J1981" s="726"/>
      <c r="K1981" s="726">
        <f>K1820</f>
        <v>5802.7</v>
      </c>
    </row>
    <row r="1982" spans="1:18">
      <c r="B1982" s="722" t="s">
        <v>893</v>
      </c>
      <c r="G1982" s="987">
        <v>1.5</v>
      </c>
      <c r="H1982" s="722" t="s">
        <v>894</v>
      </c>
      <c r="J1982" s="726">
        <f>K1845</f>
        <v>205</v>
      </c>
      <c r="K1982" s="726">
        <f>G1982*J1982</f>
        <v>307.5</v>
      </c>
    </row>
    <row r="1983" spans="1:18">
      <c r="G1983" s="987"/>
      <c r="J1983" s="827" t="s">
        <v>718</v>
      </c>
      <c r="K1983" s="1091">
        <f>SUM(K1981:K1982)</f>
        <v>6110.2</v>
      </c>
      <c r="L1983" s="723" t="s">
        <v>721</v>
      </c>
    </row>
    <row r="1984" spans="1:18">
      <c r="A1984" s="836" t="str">
        <f>A407</f>
        <v>B)</v>
      </c>
      <c r="B1984" s="1107" t="str">
        <f>B407</f>
        <v>Plinth Band</v>
      </c>
      <c r="E1984" s="1089" t="str">
        <f>G407</f>
        <v>Each Cum</v>
      </c>
      <c r="F1984" s="1089"/>
      <c r="G1984" s="987"/>
      <c r="J1984" s="726"/>
      <c r="K1984" s="726"/>
    </row>
    <row r="1985" spans="1:12">
      <c r="B1985" s="722" t="s">
        <v>892</v>
      </c>
      <c r="G1985" s="987"/>
      <c r="J1985" s="726"/>
      <c r="K1985" s="726">
        <f>K1820</f>
        <v>5802.7</v>
      </c>
    </row>
    <row r="1986" spans="1:12">
      <c r="B1986" s="722" t="s">
        <v>893</v>
      </c>
      <c r="G1986" s="987">
        <v>5</v>
      </c>
      <c r="H1986" s="722" t="s">
        <v>895</v>
      </c>
      <c r="J1986" s="726">
        <f>K1845</f>
        <v>205</v>
      </c>
      <c r="K1986" s="726">
        <f>G1986*J1986</f>
        <v>1025</v>
      </c>
    </row>
    <row r="1987" spans="1:12">
      <c r="G1987" s="987"/>
      <c r="J1987" s="827" t="s">
        <v>718</v>
      </c>
      <c r="K1987" s="1091">
        <f>SUM(K1985:K1986)</f>
        <v>6827.7</v>
      </c>
      <c r="L1987" s="723" t="s">
        <v>721</v>
      </c>
    </row>
    <row r="1988" spans="1:12">
      <c r="A1988" s="836" t="str">
        <f>A408</f>
        <v>C)</v>
      </c>
      <c r="B1988" s="1107" t="str">
        <f>B408</f>
        <v>Lintel</v>
      </c>
      <c r="E1988" s="1089" t="str">
        <f>G408</f>
        <v>Each Cum</v>
      </c>
      <c r="F1988" s="1089"/>
      <c r="G1988" s="987"/>
      <c r="J1988" s="726"/>
      <c r="K1988" s="726"/>
    </row>
    <row r="1989" spans="1:12">
      <c r="A1989" s="836" t="str">
        <f>A409</f>
        <v>(i)</v>
      </c>
      <c r="B1989" s="723" t="str">
        <f>B409</f>
        <v>Ground Floor</v>
      </c>
      <c r="E1989" s="1089" t="str">
        <f>G409</f>
        <v>Each Cum</v>
      </c>
      <c r="F1989" s="1089"/>
      <c r="G1989" s="987"/>
      <c r="J1989" s="726"/>
      <c r="K1989" s="726"/>
    </row>
    <row r="1990" spans="1:12">
      <c r="B1990" s="722" t="s">
        <v>892</v>
      </c>
      <c r="G1990" s="987"/>
      <c r="J1990" s="726"/>
      <c r="K1990" s="726">
        <f>K1820</f>
        <v>5802.7</v>
      </c>
    </row>
    <row r="1991" spans="1:12">
      <c r="B1991" s="722" t="s">
        <v>893</v>
      </c>
      <c r="G1991" s="987">
        <v>14</v>
      </c>
      <c r="H1991" s="722" t="s">
        <v>894</v>
      </c>
      <c r="J1991" s="726">
        <f>K1947</f>
        <v>442</v>
      </c>
      <c r="K1991" s="726">
        <f>G1991*J1991</f>
        <v>6188</v>
      </c>
    </row>
    <row r="1992" spans="1:12">
      <c r="G1992" s="987"/>
      <c r="J1992" s="827" t="s">
        <v>718</v>
      </c>
      <c r="K1992" s="1091">
        <f>SUM(K1990:K1991)</f>
        <v>11990.7</v>
      </c>
      <c r="L1992" s="723" t="s">
        <v>721</v>
      </c>
    </row>
    <row r="1993" spans="1:12" s="723" customFormat="1">
      <c r="A1993" s="836" t="str">
        <f>A410</f>
        <v>(ii)</v>
      </c>
      <c r="B1993" s="723" t="str">
        <f>B410</f>
        <v>First Floor</v>
      </c>
      <c r="E1993" s="1089" t="str">
        <f>G410</f>
        <v>Each Cum</v>
      </c>
      <c r="F1993" s="1089"/>
      <c r="G1993" s="1098"/>
      <c r="I1993" s="836"/>
      <c r="J1993" s="1091"/>
      <c r="K1993" s="1091"/>
    </row>
    <row r="1994" spans="1:12">
      <c r="B1994" s="722" t="s">
        <v>896</v>
      </c>
      <c r="G1994" s="987"/>
      <c r="J1994" s="726"/>
      <c r="K1994" s="726">
        <f>K1990</f>
        <v>5802.7</v>
      </c>
    </row>
    <row r="1995" spans="1:12">
      <c r="B1995" s="722" t="s">
        <v>897</v>
      </c>
      <c r="G1995" s="987"/>
      <c r="J1995" s="726"/>
      <c r="K1995" s="726">
        <f>K1991*20%</f>
        <v>1237.6000000000001</v>
      </c>
    </row>
    <row r="1996" spans="1:12">
      <c r="B1996" s="722" t="s">
        <v>898</v>
      </c>
      <c r="G1996" s="987"/>
      <c r="J1996" s="726"/>
      <c r="K1996" s="726">
        <f>K1809*1*15%/15</f>
        <v>10.1692</v>
      </c>
    </row>
    <row r="1997" spans="1:12">
      <c r="G1997" s="987"/>
      <c r="J1997" s="827" t="s">
        <v>718</v>
      </c>
      <c r="K1997" s="1091">
        <f>SUM(K1994:K1996)</f>
        <v>7050.4692000000005</v>
      </c>
      <c r="L1997" s="723" t="s">
        <v>721</v>
      </c>
    </row>
    <row r="1998" spans="1:12">
      <c r="A1998" s="836" t="str">
        <f>A411</f>
        <v>D)</v>
      </c>
      <c r="B1998" s="1107" t="str">
        <f>B411</f>
        <v>Column &amp; Beam</v>
      </c>
      <c r="E1998" s="1089" t="str">
        <f>G411</f>
        <v>Each Cum</v>
      </c>
      <c r="F1998" s="1089"/>
      <c r="G1998" s="987"/>
      <c r="J1998" s="726"/>
      <c r="K1998" s="726"/>
    </row>
    <row r="1999" spans="1:12">
      <c r="A1999" s="836" t="str">
        <f>A412</f>
        <v>(i)</v>
      </c>
      <c r="B1999" s="723" t="str">
        <f>B412</f>
        <v>Ground Floor</v>
      </c>
      <c r="E1999" s="1089" t="str">
        <f>G412</f>
        <v>Each Cum</v>
      </c>
      <c r="F1999" s="1089"/>
      <c r="G1999" s="987"/>
      <c r="J1999" s="726"/>
      <c r="K1999" s="726"/>
    </row>
    <row r="2000" spans="1:12">
      <c r="B2000" s="722" t="s">
        <v>892</v>
      </c>
      <c r="G2000" s="987"/>
      <c r="J2000" s="726"/>
      <c r="K2000" s="726">
        <f>K1820</f>
        <v>5802.7</v>
      </c>
    </row>
    <row r="2001" spans="1:12">
      <c r="B2001" s="722" t="s">
        <v>893</v>
      </c>
      <c r="G2001" s="987">
        <v>10</v>
      </c>
      <c r="H2001" s="722" t="s">
        <v>894</v>
      </c>
      <c r="J2001" s="726">
        <f>K1908</f>
        <v>706.6</v>
      </c>
      <c r="K2001" s="726">
        <f>G2001*J2001</f>
        <v>7066</v>
      </c>
    </row>
    <row r="2002" spans="1:12">
      <c r="G2002" s="987"/>
      <c r="J2002" s="827" t="s">
        <v>718</v>
      </c>
      <c r="K2002" s="1091">
        <f>SUM(K1999:K2001)</f>
        <v>12868.7</v>
      </c>
      <c r="L2002" s="723" t="s">
        <v>721</v>
      </c>
    </row>
    <row r="2003" spans="1:12">
      <c r="A2003" s="836" t="str">
        <f>A1993</f>
        <v>(ii)</v>
      </c>
      <c r="B2003" s="723" t="str">
        <f>B1993</f>
        <v>First Floor</v>
      </c>
      <c r="E2003" s="1089" t="str">
        <f>E1999</f>
        <v>Each Cum</v>
      </c>
      <c r="F2003" s="1089"/>
      <c r="G2003" s="987"/>
      <c r="J2003" s="726"/>
      <c r="K2003" s="726"/>
    </row>
    <row r="2004" spans="1:12">
      <c r="B2004" s="722" t="s">
        <v>896</v>
      </c>
      <c r="G2004" s="987"/>
      <c r="J2004" s="726"/>
      <c r="K2004" s="726">
        <f>K2002</f>
        <v>12868.7</v>
      </c>
    </row>
    <row r="2005" spans="1:12">
      <c r="B2005" s="722" t="s">
        <v>897</v>
      </c>
      <c r="G2005" s="987"/>
      <c r="J2005" s="726"/>
      <c r="K2005" s="726">
        <f>K2001*20%</f>
        <v>1413.2</v>
      </c>
    </row>
    <row r="2006" spans="1:12">
      <c r="B2006" s="722" t="s">
        <v>899</v>
      </c>
      <c r="G2006" s="987"/>
      <c r="J2006" s="726"/>
      <c r="K2006" s="726">
        <f>K1996</f>
        <v>10.1692</v>
      </c>
    </row>
    <row r="2007" spans="1:12">
      <c r="G2007" s="987"/>
      <c r="J2007" s="827" t="s">
        <v>718</v>
      </c>
      <c r="K2007" s="1091">
        <f>SUM(K2004:K2006)</f>
        <v>14292.069200000002</v>
      </c>
      <c r="L2007" s="723" t="s">
        <v>721</v>
      </c>
    </row>
    <row r="2008" spans="1:12">
      <c r="A2008" s="836" t="str">
        <f>A413</f>
        <v>E)</v>
      </c>
      <c r="B2008" s="1107" t="str">
        <f>B413</f>
        <v>Roof Slab</v>
      </c>
      <c r="E2008" s="1089" t="str">
        <f>G413</f>
        <v>Each Cum</v>
      </c>
      <c r="F2008" s="1089"/>
      <c r="G2008" s="987"/>
      <c r="J2008" s="726"/>
      <c r="K2008" s="726"/>
    </row>
    <row r="2009" spans="1:12">
      <c r="A2009" s="836" t="str">
        <f>A414</f>
        <v>(i)</v>
      </c>
      <c r="B2009" s="723" t="str">
        <f>B414</f>
        <v>Ground Floor</v>
      </c>
      <c r="E2009" s="1089" t="str">
        <f>G414</f>
        <v>Each Cum</v>
      </c>
      <c r="F2009" s="1089"/>
      <c r="G2009" s="987"/>
      <c r="J2009" s="726"/>
      <c r="K2009" s="726"/>
    </row>
    <row r="2010" spans="1:12">
      <c r="B2010" s="722" t="s">
        <v>892</v>
      </c>
      <c r="G2010" s="987"/>
      <c r="J2010" s="726"/>
      <c r="K2010" s="726">
        <f>K1820</f>
        <v>5802.7</v>
      </c>
    </row>
    <row r="2011" spans="1:12">
      <c r="B2011" s="722" t="s">
        <v>893</v>
      </c>
      <c r="G2011" s="987">
        <v>10</v>
      </c>
      <c r="H2011" s="722" t="s">
        <v>894</v>
      </c>
      <c r="J2011" s="726">
        <f>K1866</f>
        <v>522.4</v>
      </c>
      <c r="K2011" s="726">
        <f>G2011*J2011</f>
        <v>5224</v>
      </c>
    </row>
    <row r="2012" spans="1:12">
      <c r="G2012" s="987"/>
      <c r="J2012" s="827" t="s">
        <v>718</v>
      </c>
      <c r="K2012" s="1091">
        <f>SUM(K2009:K2011)</f>
        <v>11026.7</v>
      </c>
      <c r="L2012" s="723" t="s">
        <v>721</v>
      </c>
    </row>
    <row r="2013" spans="1:12">
      <c r="A2013" s="836" t="str">
        <f>A2003</f>
        <v>(ii)</v>
      </c>
      <c r="B2013" s="723" t="str">
        <f>B2003</f>
        <v>First Floor</v>
      </c>
      <c r="E2013" s="1089" t="str">
        <f>E2009</f>
        <v>Each Cum</v>
      </c>
      <c r="F2013" s="1089"/>
      <c r="G2013" s="987"/>
      <c r="J2013" s="726"/>
      <c r="K2013" s="726"/>
    </row>
    <row r="2014" spans="1:12">
      <c r="B2014" s="722" t="s">
        <v>896</v>
      </c>
      <c r="G2014" s="987"/>
      <c r="J2014" s="726"/>
      <c r="K2014" s="726">
        <f>K2012</f>
        <v>11026.7</v>
      </c>
    </row>
    <row r="2015" spans="1:12">
      <c r="B2015" s="722" t="s">
        <v>897</v>
      </c>
      <c r="G2015" s="987"/>
      <c r="J2015" s="726"/>
      <c r="K2015" s="726">
        <f>K2011*20%</f>
        <v>1044.8</v>
      </c>
    </row>
    <row r="2016" spans="1:12">
      <c r="B2016" s="722" t="s">
        <v>900</v>
      </c>
      <c r="G2016" s="987"/>
      <c r="J2016" s="726"/>
      <c r="K2016" s="726">
        <f>K2006</f>
        <v>10.1692</v>
      </c>
    </row>
    <row r="2017" spans="1:12">
      <c r="G2017" s="987"/>
      <c r="J2017" s="827" t="s">
        <v>718</v>
      </c>
      <c r="K2017" s="1091">
        <f>SUM(K2014:K2016)</f>
        <v>12081.6692</v>
      </c>
      <c r="L2017" s="723" t="s">
        <v>721</v>
      </c>
    </row>
    <row r="2018" spans="1:12">
      <c r="A2018" s="836" t="str">
        <f>A415</f>
        <v>F)</v>
      </c>
      <c r="B2018" s="1107" t="str">
        <f>B415</f>
        <v>Stair Case</v>
      </c>
      <c r="E2018" s="1089" t="str">
        <f>G415</f>
        <v>Each Cum</v>
      </c>
      <c r="F2018" s="1089"/>
      <c r="G2018" s="987"/>
      <c r="J2018" s="726"/>
      <c r="K2018" s="726"/>
    </row>
    <row r="2019" spans="1:12">
      <c r="A2019" s="836" t="str">
        <f>A416</f>
        <v>(i)</v>
      </c>
      <c r="B2019" s="723" t="str">
        <f>B416</f>
        <v>Ground Floor</v>
      </c>
      <c r="E2019" s="1089" t="str">
        <f>G416</f>
        <v>Each Cum</v>
      </c>
      <c r="F2019" s="1089"/>
      <c r="G2019" s="987"/>
      <c r="J2019" s="726"/>
      <c r="K2019" s="726"/>
    </row>
    <row r="2020" spans="1:12">
      <c r="B2020" s="722" t="s">
        <v>892</v>
      </c>
      <c r="G2020" s="987"/>
      <c r="J2020" s="726"/>
      <c r="K2020" s="726">
        <f>K1820</f>
        <v>5802.7</v>
      </c>
    </row>
    <row r="2021" spans="1:12">
      <c r="B2021" s="722" t="s">
        <v>893</v>
      </c>
      <c r="G2021" s="987">
        <v>9</v>
      </c>
      <c r="H2021" s="722" t="s">
        <v>894</v>
      </c>
      <c r="J2021" s="726">
        <f>K1887</f>
        <v>636.29999999999995</v>
      </c>
      <c r="K2021" s="726">
        <f>G2021*J2021</f>
        <v>5726.7</v>
      </c>
    </row>
    <row r="2022" spans="1:12">
      <c r="G2022" s="987"/>
      <c r="J2022" s="827" t="s">
        <v>718</v>
      </c>
      <c r="K2022" s="1091">
        <f>SUM(K2019:K2021)</f>
        <v>11529.4</v>
      </c>
      <c r="L2022" s="723" t="s">
        <v>721</v>
      </c>
    </row>
    <row r="2023" spans="1:12">
      <c r="A2023" s="836" t="str">
        <f>A2013</f>
        <v>(ii)</v>
      </c>
      <c r="B2023" s="723" t="str">
        <f>B2013</f>
        <v>First Floor</v>
      </c>
      <c r="E2023" s="1089" t="str">
        <f>G420</f>
        <v>Each Sqm</v>
      </c>
      <c r="F2023" s="1089"/>
      <c r="G2023" s="987"/>
      <c r="J2023" s="726"/>
      <c r="K2023" s="726"/>
    </row>
    <row r="2024" spans="1:12">
      <c r="B2024" s="722" t="s">
        <v>896</v>
      </c>
      <c r="G2024" s="987"/>
      <c r="J2024" s="726"/>
      <c r="K2024" s="726">
        <f>K2022</f>
        <v>11529.4</v>
      </c>
    </row>
    <row r="2025" spans="1:12">
      <c r="B2025" s="722" t="s">
        <v>897</v>
      </c>
      <c r="G2025" s="987"/>
      <c r="J2025" s="726"/>
      <c r="K2025" s="726">
        <f>K2021*20%</f>
        <v>1145.3399999999999</v>
      </c>
    </row>
    <row r="2026" spans="1:12">
      <c r="B2026" s="722" t="s">
        <v>900</v>
      </c>
      <c r="G2026" s="987"/>
      <c r="J2026" s="726"/>
      <c r="K2026" s="726">
        <f>K2016</f>
        <v>10.1692</v>
      </c>
    </row>
    <row r="2027" spans="1:12">
      <c r="G2027" s="987"/>
      <c r="J2027" s="827" t="s">
        <v>718</v>
      </c>
      <c r="K2027" s="1091">
        <f>SUM(K2024:K2026)</f>
        <v>12684.9092</v>
      </c>
      <c r="L2027" s="723" t="s">
        <v>721</v>
      </c>
    </row>
    <row r="2028" spans="1:12">
      <c r="A2028" s="836" t="str">
        <f>A417</f>
        <v>G)</v>
      </c>
      <c r="B2028" s="1107" t="str">
        <f>B417</f>
        <v>Chajja</v>
      </c>
      <c r="E2028" s="1089" t="str">
        <f>G417</f>
        <v>Each Sqm</v>
      </c>
      <c r="F2028" s="1089"/>
      <c r="G2028" s="987"/>
      <c r="J2028" s="726"/>
      <c r="K2028" s="726"/>
    </row>
    <row r="2029" spans="1:12">
      <c r="A2029" s="836" t="str">
        <f>A418</f>
        <v>(i)</v>
      </c>
      <c r="B2029" s="723" t="str">
        <f>B418</f>
        <v>Ground Floor</v>
      </c>
      <c r="E2029" s="1089" t="str">
        <f>G418</f>
        <v>Each Sqm</v>
      </c>
      <c r="F2029" s="1089"/>
      <c r="G2029" s="987"/>
      <c r="J2029" s="726"/>
      <c r="K2029" s="726"/>
    </row>
    <row r="2030" spans="1:12">
      <c r="B2030" s="722" t="s">
        <v>892</v>
      </c>
      <c r="G2030" s="726">
        <f>K1820</f>
        <v>5802.7</v>
      </c>
      <c r="H2030" s="722" t="s">
        <v>901</v>
      </c>
      <c r="I2030" s="724" t="s">
        <v>901</v>
      </c>
      <c r="J2030" s="987">
        <v>6.5000000000000002E-2</v>
      </c>
      <c r="K2030" s="726">
        <f>G2030*J2030</f>
        <v>377.1755</v>
      </c>
    </row>
    <row r="2031" spans="1:12">
      <c r="B2031" s="722" t="s">
        <v>893</v>
      </c>
      <c r="G2031" s="987">
        <v>1.1000000000000001</v>
      </c>
      <c r="H2031" s="722" t="s">
        <v>894</v>
      </c>
      <c r="J2031" s="726">
        <f>K1866</f>
        <v>522.4</v>
      </c>
      <c r="K2031" s="726">
        <f>G2031*J2031</f>
        <v>574.64</v>
      </c>
    </row>
    <row r="2032" spans="1:12">
      <c r="G2032" s="987"/>
      <c r="J2032" s="827" t="s">
        <v>718</v>
      </c>
      <c r="K2032" s="1091">
        <f>SUM(K2029:K2031)</f>
        <v>951.81549999999993</v>
      </c>
      <c r="L2032" s="723" t="s">
        <v>730</v>
      </c>
    </row>
    <row r="2033" spans="1:12">
      <c r="A2033" s="836" t="str">
        <f>A2023</f>
        <v>(ii)</v>
      </c>
      <c r="B2033" s="723" t="str">
        <f>B2023</f>
        <v>First Floor</v>
      </c>
      <c r="E2033" s="1089" t="str">
        <f>E2029</f>
        <v>Each Sqm</v>
      </c>
      <c r="F2033" s="1089"/>
      <c r="G2033" s="987"/>
      <c r="J2033" s="726"/>
      <c r="K2033" s="726"/>
    </row>
    <row r="2034" spans="1:12">
      <c r="B2034" s="722" t="s">
        <v>896</v>
      </c>
      <c r="G2034" s="987"/>
      <c r="J2034" s="726"/>
      <c r="K2034" s="726">
        <f>K2032</f>
        <v>951.81549999999993</v>
      </c>
    </row>
    <row r="2035" spans="1:12">
      <c r="B2035" s="722" t="s">
        <v>897</v>
      </c>
      <c r="G2035" s="987"/>
      <c r="J2035" s="726"/>
      <c r="K2035" s="726">
        <f>K2031*20%</f>
        <v>114.928</v>
      </c>
    </row>
    <row r="2036" spans="1:12">
      <c r="B2036" s="722" t="s">
        <v>899</v>
      </c>
      <c r="G2036" s="987"/>
      <c r="J2036" s="726"/>
      <c r="K2036" s="726">
        <f>K2026*0.065</f>
        <v>0.66099799999999997</v>
      </c>
    </row>
    <row r="2037" spans="1:12">
      <c r="G2037" s="987"/>
      <c r="J2037" s="827" t="s">
        <v>718</v>
      </c>
      <c r="K2037" s="1091">
        <f>SUM(K2034:K2036)</f>
        <v>1067.4044980000001</v>
      </c>
      <c r="L2037" s="723" t="s">
        <v>730</v>
      </c>
    </row>
    <row r="2038" spans="1:12">
      <c r="A2038" s="836" t="str">
        <f>A419</f>
        <v>H)</v>
      </c>
      <c r="B2038" s="1107" t="str">
        <f>B419</f>
        <v>Shelve</v>
      </c>
      <c r="E2038" s="1089" t="str">
        <f>G419</f>
        <v>Each Sqm</v>
      </c>
      <c r="F2038" s="1089"/>
      <c r="G2038" s="987"/>
      <c r="J2038" s="726"/>
      <c r="K2038" s="726"/>
    </row>
    <row r="2039" spans="1:12">
      <c r="A2039" s="836" t="str">
        <f>A420</f>
        <v>(i)</v>
      </c>
      <c r="B2039" s="723" t="str">
        <f>B420</f>
        <v>Ground Floor</v>
      </c>
      <c r="E2039" s="1089" t="str">
        <f>G420</f>
        <v>Each Sqm</v>
      </c>
      <c r="F2039" s="1089"/>
      <c r="G2039" s="987"/>
      <c r="J2039" s="726"/>
      <c r="K2039" s="726"/>
    </row>
    <row r="2040" spans="1:12">
      <c r="B2040" s="722" t="s">
        <v>892</v>
      </c>
      <c r="G2040" s="726">
        <f>K1820</f>
        <v>5802.7</v>
      </c>
      <c r="H2040" s="722" t="s">
        <v>901</v>
      </c>
      <c r="I2040" s="724" t="s">
        <v>901</v>
      </c>
      <c r="J2040" s="987">
        <v>0.05</v>
      </c>
      <c r="K2040" s="726">
        <f>G2040*J2040</f>
        <v>290.13499999999999</v>
      </c>
    </row>
    <row r="2041" spans="1:12">
      <c r="B2041" s="722" t="s">
        <v>893</v>
      </c>
      <c r="G2041" s="987">
        <v>1.1000000000000001</v>
      </c>
      <c r="H2041" s="722" t="s">
        <v>894</v>
      </c>
      <c r="J2041" s="726">
        <f>K1845</f>
        <v>205</v>
      </c>
      <c r="K2041" s="726">
        <f>G2041*J2041</f>
        <v>225.50000000000003</v>
      </c>
    </row>
    <row r="2042" spans="1:12">
      <c r="G2042" s="987"/>
      <c r="J2042" s="827" t="s">
        <v>718</v>
      </c>
      <c r="K2042" s="1091">
        <f>SUM(K2039:K2041)</f>
        <v>515.63499999999999</v>
      </c>
      <c r="L2042" s="723" t="s">
        <v>730</v>
      </c>
    </row>
    <row r="2043" spans="1:12">
      <c r="A2043" s="836" t="str">
        <f>A2033</f>
        <v>(ii)</v>
      </c>
      <c r="B2043" s="723" t="str">
        <f>B2033</f>
        <v>First Floor</v>
      </c>
      <c r="E2043" s="1089" t="str">
        <f>E2039</f>
        <v>Each Sqm</v>
      </c>
      <c r="F2043" s="1089"/>
      <c r="G2043" s="987"/>
      <c r="J2043" s="726"/>
      <c r="K2043" s="726"/>
    </row>
    <row r="2044" spans="1:12">
      <c r="B2044" s="722" t="s">
        <v>896</v>
      </c>
      <c r="G2044" s="987"/>
      <c r="J2044" s="726"/>
      <c r="K2044" s="726">
        <f>K2042</f>
        <v>515.63499999999999</v>
      </c>
    </row>
    <row r="2045" spans="1:12">
      <c r="B2045" s="722" t="s">
        <v>897</v>
      </c>
      <c r="G2045" s="987"/>
      <c r="J2045" s="726"/>
      <c r="K2045" s="726">
        <f>K2041*20%</f>
        <v>45.100000000000009</v>
      </c>
    </row>
    <row r="2046" spans="1:12">
      <c r="B2046" s="722" t="s">
        <v>900</v>
      </c>
      <c r="G2046" s="987"/>
      <c r="J2046" s="726"/>
      <c r="K2046" s="726">
        <f>K2036*0.05/0.065</f>
        <v>0.50846000000000002</v>
      </c>
    </row>
    <row r="2047" spans="1:12" ht="12.75" customHeight="1">
      <c r="G2047" s="987"/>
      <c r="J2047" s="827" t="s">
        <v>718</v>
      </c>
      <c r="K2047" s="1091">
        <f>SUM(K2044:K2046)</f>
        <v>561.24346000000003</v>
      </c>
      <c r="L2047" s="723" t="s">
        <v>730</v>
      </c>
    </row>
    <row r="2048" spans="1:12" ht="12.75" customHeight="1">
      <c r="A2048" s="836" t="str">
        <f>A421</f>
        <v>I)</v>
      </c>
      <c r="B2048" s="3382" t="str">
        <f>B421</f>
        <v>Fins, Parapet and Hand Rail</v>
      </c>
      <c r="C2048" s="3382"/>
      <c r="E2048" s="1089" t="str">
        <f>G421</f>
        <v>Each Sqm</v>
      </c>
      <c r="F2048" s="1089"/>
      <c r="G2048" s="987"/>
      <c r="J2048" s="726"/>
      <c r="K2048" s="726"/>
    </row>
    <row r="2049" spans="1:12">
      <c r="A2049" s="836" t="str">
        <f>A422</f>
        <v>(i)</v>
      </c>
      <c r="B2049" s="723" t="str">
        <f>B422</f>
        <v>Ground Floor</v>
      </c>
      <c r="E2049" s="1089" t="str">
        <f>G422</f>
        <v>Each Sqm</v>
      </c>
      <c r="F2049" s="1089"/>
      <c r="G2049" s="987"/>
      <c r="J2049" s="726"/>
      <c r="K2049" s="726"/>
    </row>
    <row r="2050" spans="1:12">
      <c r="B2050" s="722" t="s">
        <v>892</v>
      </c>
      <c r="G2050" s="726">
        <f>K1820</f>
        <v>5802.7</v>
      </c>
      <c r="H2050" s="722" t="s">
        <v>901</v>
      </c>
      <c r="I2050" s="724" t="s">
        <v>901</v>
      </c>
      <c r="J2050" s="987">
        <v>0.08</v>
      </c>
      <c r="K2050" s="726">
        <f>G2050*J2050</f>
        <v>464.21600000000001</v>
      </c>
    </row>
    <row r="2051" spans="1:12">
      <c r="B2051" s="722" t="s">
        <v>893</v>
      </c>
      <c r="G2051" s="987">
        <v>2</v>
      </c>
      <c r="H2051" s="722" t="s">
        <v>894</v>
      </c>
      <c r="J2051" s="726">
        <f>K1928</f>
        <v>643.6</v>
      </c>
      <c r="K2051" s="726">
        <f>G2051*J2051</f>
        <v>1287.2</v>
      </c>
    </row>
    <row r="2052" spans="1:12">
      <c r="G2052" s="987"/>
      <c r="J2052" s="827" t="s">
        <v>718</v>
      </c>
      <c r="K2052" s="1091">
        <f>SUM(K2049:K2051)</f>
        <v>1751.4160000000002</v>
      </c>
      <c r="L2052" s="723" t="s">
        <v>730</v>
      </c>
    </row>
    <row r="2053" spans="1:12">
      <c r="A2053" s="836" t="str">
        <f>A2043</f>
        <v>(ii)</v>
      </c>
      <c r="B2053" s="723" t="str">
        <f>B2043</f>
        <v>First Floor</v>
      </c>
      <c r="E2053" s="1089" t="str">
        <f>E2049</f>
        <v>Each Sqm</v>
      </c>
      <c r="F2053" s="1089"/>
      <c r="G2053" s="987"/>
      <c r="J2053" s="726"/>
      <c r="K2053" s="726"/>
    </row>
    <row r="2054" spans="1:12">
      <c r="B2054" s="722" t="s">
        <v>896</v>
      </c>
      <c r="G2054" s="987"/>
      <c r="J2054" s="726"/>
      <c r="K2054" s="726">
        <f>K2052</f>
        <v>1751.4160000000002</v>
      </c>
    </row>
    <row r="2055" spans="1:12">
      <c r="B2055" s="722" t="s">
        <v>897</v>
      </c>
      <c r="G2055" s="987"/>
      <c r="J2055" s="726"/>
      <c r="K2055" s="726">
        <f>K2051*20%</f>
        <v>257.44</v>
      </c>
    </row>
    <row r="2056" spans="1:12">
      <c r="B2056" s="722" t="s">
        <v>899</v>
      </c>
      <c r="G2056" s="987"/>
      <c r="J2056" s="726"/>
      <c r="K2056" s="726">
        <f>K2026*0.08</f>
        <v>0.81353600000000004</v>
      </c>
    </row>
    <row r="2057" spans="1:12">
      <c r="G2057" s="987"/>
      <c r="J2057" s="827" t="s">
        <v>718</v>
      </c>
      <c r="K2057" s="1091">
        <f>SUM(K2054:K2056)</f>
        <v>2009.6695360000003</v>
      </c>
      <c r="L2057" s="723" t="s">
        <v>730</v>
      </c>
    </row>
    <row r="2058" spans="1:12">
      <c r="G2058" s="987"/>
      <c r="J2058" s="1091"/>
      <c r="K2058" s="1091"/>
    </row>
    <row r="2059" spans="1:12" ht="48" customHeight="1">
      <c r="A2059" s="836">
        <f>A423</f>
        <v>52</v>
      </c>
      <c r="B2059" s="3386" t="str">
        <f>B423</f>
        <v>Straightening cutting, bending bent up or coiled rods, including cranking, hooking, welding or jointing the M.S. rodsetc. complete as directed by the Engineer- in-Charge.</v>
      </c>
      <c r="C2059" s="3386"/>
      <c r="D2059" s="3386"/>
      <c r="E2059" s="1086" t="str">
        <f>G423</f>
        <v>Each Qtl</v>
      </c>
      <c r="F2059" s="1086"/>
      <c r="G2059" s="987"/>
      <c r="J2059" s="1091"/>
      <c r="K2059" s="1091"/>
    </row>
    <row r="2060" spans="1:12">
      <c r="B2060" s="722" t="s">
        <v>902</v>
      </c>
    </row>
    <row r="2061" spans="1:12">
      <c r="A2061" s="836" t="str">
        <f>A424</f>
        <v>(i)</v>
      </c>
      <c r="B2061" s="723" t="str">
        <f>B424</f>
        <v>Ground Floor</v>
      </c>
      <c r="C2061" s="723"/>
      <c r="D2061" s="723"/>
      <c r="E2061" s="1089" t="str">
        <f>G424</f>
        <v>Each Qtl</v>
      </c>
      <c r="F2061" s="1089"/>
      <c r="G2061" s="1098"/>
      <c r="H2061" s="723"/>
      <c r="I2061" s="836"/>
      <c r="J2061" s="1091"/>
      <c r="K2061" s="1091"/>
    </row>
    <row r="2062" spans="1:12">
      <c r="B2062" s="723" t="s">
        <v>822</v>
      </c>
      <c r="G2062" s="987"/>
      <c r="J2062" s="726"/>
      <c r="K2062" s="726"/>
    </row>
    <row r="2063" spans="1:12">
      <c r="B2063" s="722" t="s">
        <v>903</v>
      </c>
      <c r="G2063" s="987">
        <v>1.05</v>
      </c>
      <c r="H2063" s="722" t="s">
        <v>91</v>
      </c>
      <c r="I2063" s="724" t="s">
        <v>91</v>
      </c>
      <c r="J2063" s="726">
        <f>G49</f>
        <v>76898.299999999988</v>
      </c>
      <c r="K2063" s="726">
        <f>ROUND(G2063*J2063,2)</f>
        <v>80743.22</v>
      </c>
    </row>
    <row r="2064" spans="1:12">
      <c r="B2064" s="722" t="s">
        <v>206</v>
      </c>
      <c r="G2064" s="987">
        <v>8</v>
      </c>
      <c r="H2064" s="722" t="s">
        <v>95</v>
      </c>
      <c r="I2064" s="724" t="s">
        <v>95</v>
      </c>
      <c r="J2064" s="726">
        <f>G67</f>
        <v>106.32</v>
      </c>
      <c r="K2064" s="726">
        <f>ROUND(G2064*J2064,2)</f>
        <v>850.56</v>
      </c>
    </row>
    <row r="2065" spans="1:12">
      <c r="G2065" s="987"/>
      <c r="J2065" s="1096" t="s">
        <v>718</v>
      </c>
      <c r="K2065" s="1091">
        <f>SUM(K2063:K2064)</f>
        <v>81593.78</v>
      </c>
    </row>
    <row r="2066" spans="1:12">
      <c r="B2066" s="723" t="s">
        <v>904</v>
      </c>
      <c r="G2066" s="987"/>
      <c r="J2066" s="726"/>
      <c r="K2066" s="726"/>
    </row>
    <row r="2067" spans="1:12">
      <c r="B2067" s="722" t="s">
        <v>744</v>
      </c>
      <c r="G2067" s="987">
        <v>0.44</v>
      </c>
      <c r="H2067" s="722" t="s">
        <v>315</v>
      </c>
      <c r="I2067" s="724" t="s">
        <v>315</v>
      </c>
      <c r="J2067" s="726">
        <f>L130</f>
        <v>244.3</v>
      </c>
      <c r="K2067" s="726">
        <f>ROUND(G2067*J2067,2)</f>
        <v>107.49</v>
      </c>
    </row>
    <row r="2068" spans="1:12">
      <c r="B2068" s="722" t="s">
        <v>905</v>
      </c>
      <c r="G2068" s="987">
        <v>3</v>
      </c>
      <c r="H2068" s="722" t="s">
        <v>315</v>
      </c>
      <c r="I2068" s="724" t="s">
        <v>315</v>
      </c>
      <c r="J2068" s="726">
        <f>L132</f>
        <v>284.3</v>
      </c>
      <c r="K2068" s="726">
        <f>ROUND(G2068*J2068,2)</f>
        <v>852.9</v>
      </c>
    </row>
    <row r="2069" spans="1:12">
      <c r="B2069" s="722" t="s">
        <v>906</v>
      </c>
      <c r="G2069" s="987">
        <v>8</v>
      </c>
      <c r="H2069" s="722" t="s">
        <v>315</v>
      </c>
      <c r="I2069" s="724" t="s">
        <v>315</v>
      </c>
      <c r="J2069" s="726">
        <f>L129</f>
        <v>182</v>
      </c>
      <c r="K2069" s="726">
        <f>ROUND(G2069*J2069,2)</f>
        <v>1456</v>
      </c>
    </row>
    <row r="2070" spans="1:12">
      <c r="G2070" s="987"/>
      <c r="J2070" s="1096" t="s">
        <v>718</v>
      </c>
      <c r="K2070" s="1091">
        <f>SUM(K2067:K2069)</f>
        <v>2416.39</v>
      </c>
    </row>
    <row r="2071" spans="1:12">
      <c r="B2071" s="723" t="s">
        <v>907</v>
      </c>
      <c r="G2071" s="987"/>
      <c r="J2071" s="726"/>
      <c r="K2071" s="1091">
        <f>K2065+K2070</f>
        <v>84010.17</v>
      </c>
    </row>
    <row r="2072" spans="1:12">
      <c r="B2072" s="723"/>
      <c r="G2072" s="987"/>
      <c r="J2072" s="726"/>
      <c r="K2072" s="726"/>
    </row>
    <row r="2073" spans="1:12">
      <c r="B2073" s="723" t="s">
        <v>908</v>
      </c>
      <c r="G2073" s="987"/>
      <c r="J2073" s="726"/>
      <c r="K2073" s="726"/>
    </row>
    <row r="2074" spans="1:12">
      <c r="B2074" s="722" t="s">
        <v>903</v>
      </c>
      <c r="G2074" s="987">
        <v>1.05</v>
      </c>
      <c r="H2074" s="722" t="s">
        <v>91</v>
      </c>
      <c r="I2074" s="724" t="s">
        <v>91</v>
      </c>
      <c r="J2074" s="726">
        <f>I49</f>
        <v>247.87</v>
      </c>
      <c r="K2074" s="726">
        <f>ROUND(G2074*J2074,2)</f>
        <v>260.26</v>
      </c>
    </row>
    <row r="2075" spans="1:12">
      <c r="B2075" s="722" t="str">
        <f>B2064</f>
        <v xml:space="preserve">Binding Wire </v>
      </c>
      <c r="G2075" s="987">
        <v>8</v>
      </c>
      <c r="H2075" s="722" t="s">
        <v>95</v>
      </c>
      <c r="I2075" s="724" t="s">
        <v>95</v>
      </c>
      <c r="J2075" s="726">
        <f>I67</f>
        <v>0.24787000000000001</v>
      </c>
      <c r="K2075" s="726">
        <f>ROUND(G2075*J2075,2)</f>
        <v>1.98</v>
      </c>
    </row>
    <row r="2076" spans="1:12">
      <c r="B2076" s="723" t="s">
        <v>909</v>
      </c>
      <c r="G2076" s="987"/>
      <c r="J2076" s="726"/>
      <c r="K2076" s="726">
        <f>K2071+K2072+K2074+K2075</f>
        <v>84272.409999999989</v>
      </c>
    </row>
    <row r="2077" spans="1:12">
      <c r="B2077" s="723" t="s">
        <v>910</v>
      </c>
      <c r="G2077" s="987"/>
      <c r="J2077" s="827" t="s">
        <v>718</v>
      </c>
      <c r="K2077" s="1091">
        <f>K2076/10</f>
        <v>8427.2409999999982</v>
      </c>
      <c r="L2077" s="723" t="s">
        <v>911</v>
      </c>
    </row>
    <row r="2078" spans="1:12">
      <c r="A2078" s="836" t="str">
        <f>A2053</f>
        <v>(ii)</v>
      </c>
      <c r="B2078" s="723" t="str">
        <f>B2053</f>
        <v>First Floor</v>
      </c>
      <c r="E2078" s="1089" t="str">
        <f>E2061</f>
        <v>Each Qtl</v>
      </c>
      <c r="F2078" s="1089"/>
      <c r="G2078" s="987"/>
      <c r="J2078" s="726"/>
      <c r="K2078" s="726"/>
    </row>
    <row r="2079" spans="1:12">
      <c r="B2079" s="722" t="s">
        <v>912</v>
      </c>
      <c r="G2079" s="987"/>
      <c r="J2079" s="726"/>
      <c r="K2079" s="726">
        <f>K2077</f>
        <v>8427.2409999999982</v>
      </c>
    </row>
    <row r="2080" spans="1:12">
      <c r="B2080" s="722" t="s">
        <v>913</v>
      </c>
      <c r="G2080" s="987"/>
      <c r="J2080" s="726"/>
      <c r="K2080" s="726">
        <f>ROUND(K2070*5%/10,2)</f>
        <v>12.08</v>
      </c>
    </row>
    <row r="2081" spans="1:20">
      <c r="G2081" s="987"/>
      <c r="J2081" s="827" t="s">
        <v>718</v>
      </c>
      <c r="K2081" s="1091">
        <f>SUM(K2079:K2080)</f>
        <v>8439.3209999999981</v>
      </c>
      <c r="L2081" s="723" t="s">
        <v>911</v>
      </c>
    </row>
    <row r="2082" spans="1:20" ht="76.5" customHeight="1">
      <c r="A2082" s="836">
        <f t="shared" ref="A2082:B2084" si="96">A426</f>
        <v>53</v>
      </c>
      <c r="B2082" s="3386" t="str">
        <f t="shared" si="96"/>
        <v>Single Under reamed Bore Compacted Piles of different size in foundation with RCC M-20 including cost of boaring, all cost of RCC work excluding cost of steel with labour for bending binding etc.complete as per the instruction of Engineer-in-Charge .</v>
      </c>
      <c r="C2082" s="3386"/>
      <c r="D2082" s="3386"/>
      <c r="E2082" s="1086" t="str">
        <f>G426</f>
        <v>Each No</v>
      </c>
      <c r="F2082" s="1086"/>
      <c r="G2082" s="987"/>
      <c r="J2082" s="1091"/>
      <c r="K2082" s="1091"/>
    </row>
    <row r="2083" spans="1:20">
      <c r="A2083" s="836" t="str">
        <f t="shared" si="96"/>
        <v>A)</v>
      </c>
      <c r="B2083" s="723" t="str">
        <f t="shared" si="96"/>
        <v>375mm dia 10.00m long</v>
      </c>
      <c r="E2083" s="986" t="s">
        <v>488</v>
      </c>
      <c r="H2083" s="1081"/>
      <c r="L2083" s="1087"/>
      <c r="M2083" s="724"/>
      <c r="N2083" s="724"/>
      <c r="O2083" s="724"/>
      <c r="P2083" s="724"/>
    </row>
    <row r="2084" spans="1:20">
      <c r="A2084" s="836" t="str">
        <f t="shared" si="96"/>
        <v>(i)</v>
      </c>
      <c r="B2084" s="723" t="str">
        <f t="shared" si="96"/>
        <v xml:space="preserve"> 375mm dia 6.00m long</v>
      </c>
      <c r="E2084" s="1089" t="str">
        <f>G428</f>
        <v>Each No</v>
      </c>
      <c r="F2084" s="1089"/>
      <c r="H2084" s="1081"/>
      <c r="L2084" s="1087"/>
      <c r="M2084" s="724"/>
      <c r="N2084" s="724"/>
      <c r="O2084" s="724"/>
      <c r="P2084" s="724"/>
    </row>
    <row r="2085" spans="1:20">
      <c r="B2085" s="723" t="s">
        <v>914</v>
      </c>
      <c r="E2085" s="1089"/>
      <c r="F2085" s="1089"/>
      <c r="H2085" s="1081"/>
      <c r="L2085" s="1087"/>
      <c r="M2085" s="724"/>
      <c r="N2085" s="724"/>
      <c r="O2085" s="724"/>
      <c r="P2085" s="724"/>
    </row>
    <row r="2086" spans="1:20">
      <c r="B2086" s="723" t="s">
        <v>915</v>
      </c>
      <c r="H2086" s="1081"/>
      <c r="J2086" s="723"/>
      <c r="K2086" s="1091"/>
      <c r="L2086" s="1087"/>
      <c r="M2086" s="724"/>
      <c r="N2086" s="724"/>
      <c r="O2086" s="724"/>
      <c r="P2086" s="724"/>
    </row>
    <row r="2087" spans="1:20">
      <c r="B2087" s="722" t="s">
        <v>916</v>
      </c>
      <c r="G2087" s="987">
        <v>2</v>
      </c>
      <c r="H2087" s="1081" t="s">
        <v>262</v>
      </c>
      <c r="I2087" s="724" t="s">
        <v>38</v>
      </c>
      <c r="J2087" s="726">
        <f>L132</f>
        <v>284.3</v>
      </c>
      <c r="K2087" s="726">
        <f>ROUND(G2087*J2087,2)</f>
        <v>568.6</v>
      </c>
      <c r="L2087" s="1087"/>
      <c r="M2087" s="724"/>
      <c r="N2087" s="724"/>
      <c r="O2087" s="724"/>
      <c r="P2087" s="724"/>
    </row>
    <row r="2088" spans="1:20">
      <c r="B2088" s="722" t="s">
        <v>314</v>
      </c>
      <c r="G2088" s="987">
        <v>0.5</v>
      </c>
      <c r="H2088" s="1081" t="s">
        <v>262</v>
      </c>
      <c r="I2088" s="724" t="s">
        <v>38</v>
      </c>
      <c r="J2088" s="726">
        <f>G195</f>
        <v>483</v>
      </c>
      <c r="K2088" s="726">
        <f>ROUND(G2088*J2088,2)</f>
        <v>241.5</v>
      </c>
      <c r="L2088" s="1087"/>
      <c r="M2088" s="724"/>
      <c r="N2088" s="724"/>
      <c r="O2088" s="724"/>
      <c r="P2088" s="724"/>
      <c r="T2088" s="1091"/>
    </row>
    <row r="2089" spans="1:20">
      <c r="B2089" s="722" t="s">
        <v>317</v>
      </c>
      <c r="G2089" s="987">
        <v>0.5</v>
      </c>
      <c r="H2089" s="1081" t="s">
        <v>319</v>
      </c>
      <c r="I2089" s="724" t="s">
        <v>319</v>
      </c>
      <c r="J2089" s="726">
        <f>G196</f>
        <v>450</v>
      </c>
      <c r="K2089" s="726">
        <f>ROUND(G2089*J2089,2)</f>
        <v>225</v>
      </c>
      <c r="L2089" s="1087"/>
      <c r="M2089" s="724"/>
      <c r="N2089" s="724"/>
      <c r="O2089" s="724"/>
      <c r="P2089" s="724"/>
      <c r="T2089" s="1091"/>
    </row>
    <row r="2090" spans="1:20">
      <c r="B2090" s="722" t="s">
        <v>316</v>
      </c>
      <c r="G2090" s="987">
        <v>4</v>
      </c>
      <c r="H2090" s="1081" t="s">
        <v>917</v>
      </c>
      <c r="I2090" s="724" t="s">
        <v>917</v>
      </c>
      <c r="J2090" s="726">
        <f>M195</f>
        <v>600</v>
      </c>
      <c r="K2090" s="726">
        <f>ROUND(G2090*J2090,2)</f>
        <v>2400</v>
      </c>
      <c r="L2090" s="1087"/>
      <c r="M2090" s="724"/>
      <c r="N2090" s="724"/>
      <c r="O2090" s="724"/>
      <c r="P2090" s="724"/>
      <c r="T2090" s="1091"/>
    </row>
    <row r="2091" spans="1:20">
      <c r="B2091" s="722" t="s">
        <v>216</v>
      </c>
      <c r="G2091" s="987">
        <v>2.5</v>
      </c>
      <c r="H2091" s="1081" t="s">
        <v>214</v>
      </c>
      <c r="I2091" s="724" t="s">
        <v>214</v>
      </c>
      <c r="J2091" s="726">
        <f>G148</f>
        <v>168.935</v>
      </c>
      <c r="K2091" s="726">
        <f>ROUND(G2091*J2091,2)</f>
        <v>422.34</v>
      </c>
      <c r="L2091" s="1087"/>
      <c r="M2091" s="724"/>
      <c r="N2091" s="724"/>
      <c r="O2091" s="724"/>
      <c r="P2091" s="724"/>
      <c r="T2091" s="1091"/>
    </row>
    <row r="2092" spans="1:20">
      <c r="H2092" s="1081"/>
      <c r="J2092" s="827" t="s">
        <v>718</v>
      </c>
      <c r="K2092" s="1091">
        <f>SUM(K2087:K2091)</f>
        <v>3857.44</v>
      </c>
      <c r="L2092" s="1087"/>
      <c r="M2092" s="724"/>
      <c r="N2092" s="724"/>
      <c r="O2092" s="724"/>
      <c r="P2092" s="724"/>
    </row>
    <row r="2093" spans="1:20">
      <c r="B2093" s="723"/>
      <c r="G2093" s="987"/>
      <c r="H2093" s="1081"/>
      <c r="J2093" s="726"/>
      <c r="K2093" s="1091"/>
      <c r="L2093" s="1087"/>
      <c r="M2093" s="724"/>
      <c r="N2093" s="724"/>
      <c r="O2093" s="724"/>
      <c r="P2093" s="724"/>
    </row>
    <row r="2094" spans="1:20">
      <c r="H2094" s="1081"/>
      <c r="J2094" s="827" t="s">
        <v>718</v>
      </c>
      <c r="K2094" s="1091">
        <f>SUM(K2092:K2093)</f>
        <v>3857.44</v>
      </c>
      <c r="L2094" s="836" t="s">
        <v>918</v>
      </c>
      <c r="M2094" s="724"/>
      <c r="N2094" s="724"/>
      <c r="O2094" s="724"/>
      <c r="P2094" s="724"/>
    </row>
    <row r="2095" spans="1:20">
      <c r="B2095" s="723" t="s">
        <v>919</v>
      </c>
      <c r="H2095" s="1081"/>
      <c r="J2095" s="723"/>
      <c r="K2095" s="1091"/>
      <c r="L2095" s="1087"/>
      <c r="M2095" s="724"/>
      <c r="N2095" s="724"/>
      <c r="O2095" s="724"/>
      <c r="P2095" s="724"/>
    </row>
    <row r="2096" spans="1:20">
      <c r="B2096" s="723" t="s">
        <v>920</v>
      </c>
      <c r="H2096" s="1081"/>
      <c r="J2096" s="723"/>
      <c r="K2096" s="1091"/>
      <c r="L2096" s="1087"/>
      <c r="M2096" s="724"/>
      <c r="N2096" s="724"/>
      <c r="O2096" s="724"/>
      <c r="P2096" s="724"/>
    </row>
    <row r="2097" spans="1:18">
      <c r="B2097" s="722" t="s">
        <v>921</v>
      </c>
      <c r="H2097" s="1081"/>
      <c r="J2097" s="723"/>
      <c r="K2097" s="1091">
        <f>K1727</f>
        <v>4934.17</v>
      </c>
      <c r="L2097" s="1087"/>
      <c r="M2097" s="724"/>
      <c r="N2097" s="724"/>
      <c r="O2097" s="724"/>
      <c r="P2097" s="724"/>
    </row>
    <row r="2098" spans="1:18">
      <c r="B2098" s="722" t="s">
        <v>922</v>
      </c>
      <c r="G2098" s="722">
        <v>0.34733000000000003</v>
      </c>
      <c r="H2098" s="1081" t="s">
        <v>247</v>
      </c>
      <c r="I2098" s="724" t="s">
        <v>247</v>
      </c>
      <c r="J2098" s="726">
        <f>L48/10</f>
        <v>664.78700000000003</v>
      </c>
      <c r="K2098" s="726">
        <f>ROUND(G2098*J2098,2)</f>
        <v>230.9</v>
      </c>
      <c r="L2098" s="1087"/>
      <c r="M2098" s="724"/>
      <c r="N2098" s="724"/>
      <c r="O2098" s="724"/>
      <c r="P2098" s="724"/>
    </row>
    <row r="2099" spans="1:18">
      <c r="H2099" s="1081"/>
      <c r="J2099" s="827" t="s">
        <v>718</v>
      </c>
      <c r="K2099" s="1091">
        <f>SUM(K2097:K2098)</f>
        <v>5165.07</v>
      </c>
      <c r="L2099" s="1087"/>
      <c r="M2099" s="724"/>
      <c r="N2099" s="724"/>
      <c r="O2099" s="724"/>
      <c r="P2099" s="724"/>
    </row>
    <row r="2100" spans="1:18" ht="15.75">
      <c r="B2100" s="723" t="s">
        <v>923</v>
      </c>
      <c r="C2100" s="722" t="s">
        <v>3359</v>
      </c>
      <c r="H2100" s="1081"/>
      <c r="J2100" s="723"/>
      <c r="K2100" s="1091"/>
      <c r="L2100" s="1087"/>
      <c r="M2100" s="724"/>
      <c r="N2100" s="724"/>
      <c r="O2100" s="724"/>
      <c r="P2100" s="724"/>
      <c r="R2100" s="1098">
        <v>0.375</v>
      </c>
    </row>
    <row r="2101" spans="1:18">
      <c r="C2101" s="722" t="s">
        <v>924</v>
      </c>
      <c r="D2101" s="987">
        <f>(R2100*R2100*3.14/4)*6</f>
        <v>0.66234375000000001</v>
      </c>
      <c r="E2101" s="966" t="s">
        <v>925</v>
      </c>
      <c r="F2101" s="966"/>
      <c r="G2101" s="987">
        <f>(R2100*R2100*R2100*4.13)</f>
        <v>0.21779296874999998</v>
      </c>
      <c r="H2101" s="1081" t="s">
        <v>926</v>
      </c>
      <c r="J2101" s="1098">
        <f>D2101+G2101</f>
        <v>0.88013671874999999</v>
      </c>
      <c r="K2101" s="1091" t="s">
        <v>49</v>
      </c>
      <c r="L2101" s="1087"/>
      <c r="M2101" s="724"/>
      <c r="N2101" s="724"/>
      <c r="O2101" s="724"/>
      <c r="P2101" s="724"/>
    </row>
    <row r="2102" spans="1:18">
      <c r="B2102" s="722" t="s">
        <v>927</v>
      </c>
      <c r="E2102" s="966"/>
      <c r="F2102" s="966"/>
      <c r="G2102" s="987"/>
      <c r="J2102" s="987">
        <f>J2101*20%</f>
        <v>0.17602734375000001</v>
      </c>
      <c r="K2102" s="726" t="s">
        <v>49</v>
      </c>
      <c r="L2102" s="1087"/>
      <c r="M2102" s="724"/>
      <c r="N2102" s="724"/>
      <c r="O2102" s="724"/>
      <c r="P2102" s="724"/>
    </row>
    <row r="2103" spans="1:18">
      <c r="E2103" s="966"/>
      <c r="F2103" s="966"/>
      <c r="G2103" s="987"/>
      <c r="I2103" s="724" t="s">
        <v>928</v>
      </c>
      <c r="J2103" s="987">
        <f>SUM(J2101:J2102)</f>
        <v>1.0561640624999999</v>
      </c>
      <c r="K2103" s="726" t="s">
        <v>49</v>
      </c>
      <c r="L2103" s="1087"/>
      <c r="M2103" s="724"/>
      <c r="N2103" s="724"/>
      <c r="O2103" s="724"/>
      <c r="P2103" s="724"/>
    </row>
    <row r="2104" spans="1:18">
      <c r="B2104" s="723" t="s">
        <v>929</v>
      </c>
      <c r="H2104" s="1081"/>
      <c r="J2104" s="723"/>
      <c r="K2104" s="1091"/>
      <c r="L2104" s="1087"/>
      <c r="M2104" s="724"/>
      <c r="N2104" s="724"/>
      <c r="O2104" s="724"/>
      <c r="P2104" s="724"/>
    </row>
    <row r="2105" spans="1:18">
      <c r="D2105" s="987">
        <f>ROUND(J2103,3)</f>
        <v>1.056</v>
      </c>
      <c r="E2105" s="722" t="s">
        <v>930</v>
      </c>
      <c r="F2105" s="722"/>
      <c r="G2105" s="1108"/>
      <c r="H2105" s="726">
        <f>K2099</f>
        <v>5165.07</v>
      </c>
      <c r="I2105" s="1081" t="s">
        <v>931</v>
      </c>
      <c r="J2105" s="1109" t="s">
        <v>932</v>
      </c>
      <c r="K2105" s="1091">
        <f>D2105*H2105</f>
        <v>5454.3139199999996</v>
      </c>
      <c r="L2105" s="1087"/>
      <c r="M2105" s="724"/>
      <c r="N2105" s="724"/>
      <c r="O2105" s="724"/>
      <c r="P2105" s="724"/>
    </row>
    <row r="2106" spans="1:18">
      <c r="B2106" s="723" t="s">
        <v>933</v>
      </c>
      <c r="H2106" s="1081"/>
      <c r="J2106" s="723"/>
      <c r="K2106" s="1091">
        <f>K2094+K2105</f>
        <v>9311.7539199999992</v>
      </c>
      <c r="L2106" s="1087"/>
      <c r="M2106" s="724"/>
      <c r="N2106" s="724"/>
      <c r="O2106" s="724"/>
      <c r="P2106" s="724"/>
    </row>
    <row r="2107" spans="1:18">
      <c r="B2107" s="723"/>
      <c r="H2107" s="1081"/>
      <c r="J2107" s="723" t="s">
        <v>379</v>
      </c>
      <c r="K2107" s="1091">
        <f>ROUND(K2106,1)</f>
        <v>9311.7999999999993</v>
      </c>
      <c r="L2107" s="1087" t="s">
        <v>934</v>
      </c>
      <c r="M2107" s="724"/>
      <c r="N2107" s="724"/>
      <c r="O2107" s="724"/>
      <c r="P2107" s="724"/>
    </row>
    <row r="2108" spans="1:18">
      <c r="A2108" s="836" t="str">
        <f>A429</f>
        <v>(ii)</v>
      </c>
      <c r="B2108" s="723" t="str">
        <f>B429</f>
        <v>For additional / less depth of 1.00m beyond initial depth</v>
      </c>
      <c r="H2108" s="1081"/>
      <c r="J2108" s="723"/>
      <c r="K2108" s="1091"/>
      <c r="L2108" s="1087"/>
      <c r="M2108" s="724"/>
      <c r="N2108" s="724"/>
      <c r="O2108" s="724"/>
      <c r="P2108" s="724"/>
    </row>
    <row r="2109" spans="1:18">
      <c r="B2109" s="723" t="s">
        <v>915</v>
      </c>
      <c r="H2109" s="1081"/>
      <c r="J2109" s="723"/>
      <c r="K2109" s="1091"/>
      <c r="L2109" s="1087"/>
      <c r="M2109" s="724"/>
      <c r="N2109" s="724"/>
      <c r="O2109" s="724"/>
      <c r="P2109" s="724"/>
    </row>
    <row r="2110" spans="1:18">
      <c r="B2110" s="722" t="s">
        <v>935</v>
      </c>
      <c r="H2110" s="1081"/>
      <c r="J2110" s="723"/>
      <c r="K2110" s="1110">
        <f>K2094*12%</f>
        <v>462.89279999999997</v>
      </c>
      <c r="M2110" s="724"/>
      <c r="N2110" s="724"/>
      <c r="O2110" s="724"/>
      <c r="P2110" s="724"/>
    </row>
    <row r="2111" spans="1:18">
      <c r="B2111" s="723" t="s">
        <v>936</v>
      </c>
      <c r="D2111" s="987">
        <f>(R2100*R2100*3.14/4)*1.2</f>
        <v>0.13246875</v>
      </c>
      <c r="E2111" s="722" t="s">
        <v>930</v>
      </c>
      <c r="F2111" s="722"/>
      <c r="G2111" s="1108"/>
      <c r="H2111" s="726">
        <f>H2105</f>
        <v>5165.07</v>
      </c>
      <c r="I2111" s="1081" t="s">
        <v>931</v>
      </c>
      <c r="J2111" s="1109" t="s">
        <v>932</v>
      </c>
      <c r="K2111" s="1091">
        <f>D2111*H2111</f>
        <v>684.21036656249998</v>
      </c>
      <c r="L2111" s="1087"/>
      <c r="M2111" s="724"/>
      <c r="N2111" s="724"/>
      <c r="O2111" s="724"/>
      <c r="P2111" s="724"/>
    </row>
    <row r="2112" spans="1:18">
      <c r="H2112" s="1081"/>
      <c r="J2112" s="827" t="s">
        <v>718</v>
      </c>
      <c r="K2112" s="1091">
        <f>SUM(K2110:K2111)</f>
        <v>1147.1031665625001</v>
      </c>
      <c r="L2112" s="1087" t="s">
        <v>937</v>
      </c>
      <c r="M2112" s="724"/>
      <c r="N2112" s="724"/>
      <c r="O2112" s="724"/>
      <c r="P2112" s="724"/>
    </row>
    <row r="2113" spans="1:18">
      <c r="B2113" s="723" t="s">
        <v>938</v>
      </c>
      <c r="H2113" s="836">
        <v>4</v>
      </c>
      <c r="I2113" s="836" t="s">
        <v>901</v>
      </c>
      <c r="J2113" s="1091">
        <f>K2112</f>
        <v>1147.1031665625001</v>
      </c>
      <c r="K2113" s="1091">
        <f>J2113*H2113</f>
        <v>4588.4126662500003</v>
      </c>
      <c r="L2113" s="1087"/>
      <c r="M2113" s="724"/>
      <c r="N2113" s="724"/>
      <c r="O2113" s="724"/>
      <c r="P2113" s="724"/>
    </row>
    <row r="2114" spans="1:18">
      <c r="B2114" s="723" t="s">
        <v>939</v>
      </c>
      <c r="G2114" s="836"/>
      <c r="H2114" s="1087"/>
      <c r="I2114" s="836"/>
      <c r="J2114" s="1091"/>
      <c r="K2114" s="1091">
        <f>K2106+K2113</f>
        <v>13900.166586249999</v>
      </c>
      <c r="L2114" s="1087"/>
      <c r="M2114" s="724"/>
      <c r="N2114" s="724"/>
      <c r="O2114" s="724"/>
      <c r="P2114" s="724"/>
    </row>
    <row r="2115" spans="1:18">
      <c r="B2115" s="723"/>
      <c r="G2115" s="836"/>
      <c r="H2115" s="1087"/>
      <c r="I2115" s="836"/>
      <c r="J2115" s="723" t="s">
        <v>379</v>
      </c>
      <c r="K2115" s="1091">
        <f>ROUND(K2114,1)</f>
        <v>13900.2</v>
      </c>
      <c r="L2115" s="1087" t="s">
        <v>934</v>
      </c>
      <c r="M2115" s="724"/>
      <c r="N2115" s="724"/>
      <c r="O2115" s="724"/>
      <c r="P2115" s="724"/>
    </row>
    <row r="2116" spans="1:18">
      <c r="A2116" s="836" t="str">
        <f>A430</f>
        <v>B)</v>
      </c>
      <c r="B2116" s="723" t="str">
        <f>B430</f>
        <v>300mm dia 10.00m long</v>
      </c>
      <c r="E2116" s="1089" t="str">
        <f>G430</f>
        <v>Each No</v>
      </c>
      <c r="F2116" s="1089"/>
      <c r="H2116" s="1081"/>
      <c r="L2116" s="1087"/>
      <c r="M2116" s="724"/>
      <c r="N2116" s="724"/>
      <c r="O2116" s="724"/>
      <c r="P2116" s="724"/>
    </row>
    <row r="2117" spans="1:18">
      <c r="A2117" s="836" t="str">
        <f>A431</f>
        <v>(i)</v>
      </c>
      <c r="B2117" s="723" t="str">
        <f>B431</f>
        <v xml:space="preserve"> 300mm dia 6.00m long</v>
      </c>
      <c r="E2117" s="1089" t="str">
        <f>G431</f>
        <v>Each No</v>
      </c>
      <c r="F2117" s="1089"/>
      <c r="H2117" s="1081"/>
      <c r="L2117" s="1087"/>
      <c r="M2117" s="724"/>
      <c r="N2117" s="724"/>
      <c r="O2117" s="724"/>
      <c r="P2117" s="724"/>
    </row>
    <row r="2118" spans="1:18">
      <c r="B2118" s="723" t="s">
        <v>915</v>
      </c>
      <c r="H2118" s="1081"/>
      <c r="J2118" s="723"/>
      <c r="K2118" s="1091">
        <f>K2094</f>
        <v>3857.44</v>
      </c>
      <c r="L2118" s="1087"/>
      <c r="M2118" s="724"/>
      <c r="N2118" s="724"/>
      <c r="O2118" s="724"/>
      <c r="P2118" s="724"/>
    </row>
    <row r="2119" spans="1:18">
      <c r="B2119" s="723" t="s">
        <v>940</v>
      </c>
      <c r="H2119" s="1081"/>
      <c r="J2119" s="827" t="s">
        <v>718</v>
      </c>
      <c r="K2119" s="1091">
        <f>K2118*0.9</f>
        <v>3471.6959999999999</v>
      </c>
      <c r="L2119" s="836"/>
      <c r="M2119" s="724"/>
      <c r="N2119" s="724"/>
      <c r="O2119" s="724"/>
      <c r="P2119" s="724"/>
    </row>
    <row r="2120" spans="1:18">
      <c r="B2120" s="723" t="s">
        <v>919</v>
      </c>
      <c r="H2120" s="1081"/>
      <c r="J2120" s="723"/>
      <c r="K2120" s="1091"/>
      <c r="L2120" s="1087"/>
      <c r="M2120" s="724"/>
      <c r="N2120" s="724"/>
      <c r="O2120" s="724"/>
      <c r="P2120" s="724"/>
    </row>
    <row r="2121" spans="1:18">
      <c r="B2121" s="723" t="s">
        <v>920</v>
      </c>
      <c r="H2121" s="1081"/>
      <c r="J2121" s="723"/>
      <c r="K2121" s="1091"/>
      <c r="L2121" s="1087"/>
      <c r="M2121" s="724"/>
      <c r="N2121" s="724"/>
      <c r="O2121" s="724"/>
      <c r="P2121" s="724"/>
    </row>
    <row r="2122" spans="1:18">
      <c r="B2122" s="722" t="s">
        <v>921</v>
      </c>
      <c r="H2122" s="1081"/>
      <c r="J2122" s="723"/>
      <c r="K2122" s="1091">
        <f>K1727</f>
        <v>4934.17</v>
      </c>
      <c r="L2122" s="1087"/>
      <c r="M2122" s="724"/>
      <c r="N2122" s="724"/>
      <c r="O2122" s="724"/>
      <c r="P2122" s="724"/>
    </row>
    <row r="2123" spans="1:18">
      <c r="B2123" s="722" t="s">
        <v>922</v>
      </c>
      <c r="G2123" s="722">
        <v>0.34733000000000003</v>
      </c>
      <c r="H2123" s="1081" t="s">
        <v>247</v>
      </c>
      <c r="I2123" s="724" t="s">
        <v>247</v>
      </c>
      <c r="J2123" s="726">
        <f>L48/10</f>
        <v>664.78700000000003</v>
      </c>
      <c r="K2123" s="1091">
        <f>G2123*J2123</f>
        <v>230.90046871000004</v>
      </c>
      <c r="L2123" s="1087"/>
      <c r="M2123" s="724"/>
      <c r="N2123" s="724"/>
      <c r="O2123" s="724"/>
      <c r="P2123" s="724"/>
    </row>
    <row r="2124" spans="1:18">
      <c r="H2124" s="1081"/>
      <c r="J2124" s="827" t="s">
        <v>718</v>
      </c>
      <c r="K2124" s="1091">
        <f>SUM(K2122:K2123)</f>
        <v>5165.0704687100006</v>
      </c>
      <c r="L2124" s="1087"/>
      <c r="M2124" s="724"/>
      <c r="N2124" s="724"/>
      <c r="O2124" s="724"/>
      <c r="P2124" s="724"/>
    </row>
    <row r="2125" spans="1:18" ht="15.75">
      <c r="B2125" s="723" t="s">
        <v>923</v>
      </c>
      <c r="C2125" s="722" t="s">
        <v>3360</v>
      </c>
      <c r="H2125" s="1081"/>
      <c r="J2125" s="723"/>
      <c r="K2125" s="1091"/>
      <c r="L2125" s="1087"/>
      <c r="M2125" s="724"/>
      <c r="N2125" s="724"/>
      <c r="O2125" s="724"/>
      <c r="P2125" s="724"/>
      <c r="R2125" s="1098">
        <v>0.3</v>
      </c>
    </row>
    <row r="2126" spans="1:18">
      <c r="C2126" s="722" t="s">
        <v>924</v>
      </c>
      <c r="D2126" s="987">
        <f>(R2125*R2125*3.14/4)*6</f>
        <v>0.42390000000000005</v>
      </c>
      <c r="E2126" s="966" t="s">
        <v>925</v>
      </c>
      <c r="F2126" s="966"/>
      <c r="G2126" s="987">
        <f>(R2125*R2125*R2125*4.13)</f>
        <v>0.11151</v>
      </c>
      <c r="H2126" s="1081" t="s">
        <v>926</v>
      </c>
      <c r="J2126" s="1098">
        <f>D2126+G2126</f>
        <v>0.53541000000000005</v>
      </c>
      <c r="K2126" s="1091" t="s">
        <v>49</v>
      </c>
      <c r="L2126" s="1087"/>
      <c r="M2126" s="724"/>
      <c r="N2126" s="724"/>
      <c r="O2126" s="724"/>
      <c r="P2126" s="724"/>
    </row>
    <row r="2127" spans="1:18">
      <c r="B2127" s="722" t="s">
        <v>927</v>
      </c>
      <c r="E2127" s="966"/>
      <c r="F2127" s="966"/>
      <c r="G2127" s="987"/>
      <c r="J2127" s="987">
        <f>J2126*20%</f>
        <v>0.10708200000000001</v>
      </c>
      <c r="K2127" s="726" t="s">
        <v>49</v>
      </c>
      <c r="L2127" s="1087"/>
      <c r="M2127" s="724"/>
      <c r="N2127" s="724"/>
      <c r="O2127" s="724"/>
      <c r="P2127" s="724"/>
    </row>
    <row r="2128" spans="1:18">
      <c r="E2128" s="966"/>
      <c r="F2128" s="966"/>
      <c r="G2128" s="987"/>
      <c r="I2128" s="724" t="s">
        <v>928</v>
      </c>
      <c r="J2128" s="987">
        <f>SUM(J2126:J2127)</f>
        <v>0.64249200000000006</v>
      </c>
      <c r="K2128" s="726" t="s">
        <v>49</v>
      </c>
      <c r="L2128" s="1087"/>
      <c r="M2128" s="724"/>
      <c r="N2128" s="724"/>
      <c r="O2128" s="724"/>
      <c r="P2128" s="724"/>
    </row>
    <row r="2129" spans="1:16">
      <c r="B2129" s="723" t="s">
        <v>929</v>
      </c>
      <c r="H2129" s="1081"/>
      <c r="J2129" s="723"/>
      <c r="K2129" s="1091"/>
      <c r="L2129" s="1087"/>
      <c r="M2129" s="724"/>
      <c r="N2129" s="724"/>
      <c r="O2129" s="724"/>
      <c r="P2129" s="724"/>
    </row>
    <row r="2130" spans="1:16">
      <c r="D2130" s="987">
        <f>ROUND(J2128,3)</f>
        <v>0.64200000000000002</v>
      </c>
      <c r="E2130" s="722" t="s">
        <v>930</v>
      </c>
      <c r="F2130" s="722"/>
      <c r="H2130" s="726">
        <f>K2124</f>
        <v>5165.0704687100006</v>
      </c>
      <c r="I2130" s="1081" t="s">
        <v>931</v>
      </c>
      <c r="J2130" s="1109" t="s">
        <v>932</v>
      </c>
      <c r="K2130" s="1091">
        <f>D2130*H2130</f>
        <v>3315.9752409118205</v>
      </c>
      <c r="L2130" s="1087"/>
      <c r="M2130" s="724"/>
      <c r="N2130" s="724"/>
      <c r="O2130" s="724"/>
      <c r="P2130" s="724"/>
    </row>
    <row r="2131" spans="1:16">
      <c r="B2131" s="723" t="s">
        <v>933</v>
      </c>
      <c r="H2131" s="1081"/>
      <c r="J2131" s="723"/>
      <c r="K2131" s="1091">
        <f>K2119+K2130</f>
        <v>6787.6712409118209</v>
      </c>
      <c r="L2131" s="1087"/>
      <c r="M2131" s="724"/>
      <c r="N2131" s="724"/>
      <c r="O2131" s="724"/>
      <c r="P2131" s="724"/>
    </row>
    <row r="2132" spans="1:16">
      <c r="B2132" s="723"/>
      <c r="H2132" s="1081"/>
      <c r="J2132" s="723" t="s">
        <v>379</v>
      </c>
      <c r="K2132" s="1091">
        <f>ROUND(K2131,1)</f>
        <v>6787.7</v>
      </c>
      <c r="L2132" s="1087" t="s">
        <v>934</v>
      </c>
      <c r="M2132" s="724"/>
      <c r="N2132" s="724"/>
      <c r="O2132" s="724"/>
      <c r="P2132" s="724"/>
    </row>
    <row r="2133" spans="1:16">
      <c r="A2133" s="836" t="str">
        <f>A432</f>
        <v>(ii)</v>
      </c>
      <c r="B2133" s="723" t="str">
        <f>B432</f>
        <v>For additional / less depth of 1.00m beyond initial depth</v>
      </c>
      <c r="H2133" s="1081"/>
      <c r="J2133" s="723"/>
      <c r="K2133" s="1091"/>
      <c r="L2133" s="1087"/>
      <c r="M2133" s="724"/>
      <c r="N2133" s="724"/>
      <c r="O2133" s="724"/>
      <c r="P2133" s="724"/>
    </row>
    <row r="2134" spans="1:16">
      <c r="B2134" s="723" t="s">
        <v>915</v>
      </c>
      <c r="H2134" s="1081"/>
      <c r="J2134" s="723"/>
      <c r="K2134" s="1091"/>
      <c r="L2134" s="1087"/>
      <c r="M2134" s="724"/>
      <c r="N2134" s="724"/>
      <c r="O2134" s="724"/>
      <c r="P2134" s="724"/>
    </row>
    <row r="2135" spans="1:16">
      <c r="B2135" s="722" t="s">
        <v>935</v>
      </c>
      <c r="H2135" s="1081"/>
      <c r="J2135" s="723"/>
      <c r="K2135" s="1110">
        <f>K2094*12%</f>
        <v>462.89279999999997</v>
      </c>
      <c r="M2135" s="724"/>
      <c r="N2135" s="724"/>
      <c r="O2135" s="724"/>
      <c r="P2135" s="724"/>
    </row>
    <row r="2136" spans="1:16">
      <c r="B2136" s="723" t="s">
        <v>936</v>
      </c>
      <c r="D2136" s="987">
        <f>(R2125*R2125*3.14/4)*1.2</f>
        <v>8.4780000000000008E-2</v>
      </c>
      <c r="E2136" s="722" t="s">
        <v>930</v>
      </c>
      <c r="F2136" s="722"/>
      <c r="G2136" s="1108"/>
      <c r="H2136" s="726">
        <f>H2130</f>
        <v>5165.0704687100006</v>
      </c>
      <c r="I2136" s="1081" t="s">
        <v>931</v>
      </c>
      <c r="J2136" s="1109" t="s">
        <v>932</v>
      </c>
      <c r="K2136" s="1091">
        <f>D2136*H2136</f>
        <v>437.89467433723388</v>
      </c>
      <c r="L2136" s="1087"/>
      <c r="M2136" s="724"/>
      <c r="N2136" s="724"/>
      <c r="O2136" s="724"/>
      <c r="P2136" s="724"/>
    </row>
    <row r="2137" spans="1:16">
      <c r="H2137" s="1081"/>
      <c r="J2137" s="827" t="s">
        <v>718</v>
      </c>
      <c r="K2137" s="1091">
        <f>SUM(K2135:K2136)</f>
        <v>900.78747433723379</v>
      </c>
      <c r="L2137" s="1087" t="s">
        <v>937</v>
      </c>
      <c r="M2137" s="724"/>
      <c r="N2137" s="724"/>
      <c r="O2137" s="724"/>
      <c r="P2137" s="724"/>
    </row>
    <row r="2138" spans="1:16">
      <c r="B2138" s="723" t="s">
        <v>938</v>
      </c>
      <c r="H2138" s="836">
        <v>4</v>
      </c>
      <c r="I2138" s="836" t="s">
        <v>901</v>
      </c>
      <c r="J2138" s="1091">
        <f>K2137</f>
        <v>900.78747433723379</v>
      </c>
      <c r="K2138" s="1091">
        <f>J2138*H2138</f>
        <v>3603.1498973489352</v>
      </c>
      <c r="L2138" s="1087"/>
      <c r="M2138" s="724"/>
      <c r="N2138" s="724"/>
      <c r="O2138" s="724"/>
      <c r="P2138" s="724"/>
    </row>
    <row r="2139" spans="1:16">
      <c r="B2139" s="723" t="s">
        <v>939</v>
      </c>
      <c r="G2139" s="836"/>
      <c r="H2139" s="1087"/>
      <c r="I2139" s="836"/>
      <c r="J2139" s="1091"/>
      <c r="K2139" s="1091">
        <f>K2131+K2138</f>
        <v>10390.821138260755</v>
      </c>
      <c r="L2139" s="1087"/>
      <c r="M2139" s="724"/>
      <c r="N2139" s="724"/>
      <c r="O2139" s="724"/>
      <c r="P2139" s="724"/>
    </row>
    <row r="2140" spans="1:16">
      <c r="B2140" s="723"/>
      <c r="G2140" s="836"/>
      <c r="H2140" s="1087"/>
      <c r="I2140" s="836"/>
      <c r="J2140" s="723" t="s">
        <v>379</v>
      </c>
      <c r="K2140" s="1091">
        <f>ROUND(K2139,1)</f>
        <v>10390.799999999999</v>
      </c>
      <c r="L2140" s="1087" t="s">
        <v>934</v>
      </c>
      <c r="M2140" s="724"/>
      <c r="N2140" s="724"/>
      <c r="O2140" s="724"/>
      <c r="P2140" s="724"/>
    </row>
    <row r="2141" spans="1:16">
      <c r="A2141" s="836" t="str">
        <f>A433</f>
        <v>C)</v>
      </c>
      <c r="B2141" s="723" t="str">
        <f>B433</f>
        <v>250mm dia 10.00m long</v>
      </c>
      <c r="E2141" s="1089" t="str">
        <f>G433</f>
        <v>Each No</v>
      </c>
      <c r="F2141" s="1089"/>
      <c r="H2141" s="1081"/>
      <c r="L2141" s="1087"/>
      <c r="M2141" s="724"/>
      <c r="N2141" s="724"/>
      <c r="O2141" s="724"/>
      <c r="P2141" s="724"/>
    </row>
    <row r="2142" spans="1:16">
      <c r="A2142" s="836" t="str">
        <f>A434</f>
        <v>(i)</v>
      </c>
      <c r="B2142" s="723" t="str">
        <f>B434</f>
        <v xml:space="preserve"> 250mm dia 6.00m long</v>
      </c>
      <c r="H2142" s="1081"/>
      <c r="L2142" s="1087"/>
      <c r="M2142" s="724"/>
      <c r="N2142" s="724"/>
      <c r="O2142" s="724"/>
      <c r="P2142" s="724"/>
    </row>
    <row r="2143" spans="1:16">
      <c r="B2143" s="723" t="s">
        <v>915</v>
      </c>
      <c r="H2143" s="1081"/>
      <c r="J2143" s="723"/>
      <c r="K2143" s="1091">
        <f>K2094</f>
        <v>3857.44</v>
      </c>
      <c r="L2143" s="1087"/>
      <c r="M2143" s="724"/>
      <c r="N2143" s="724"/>
      <c r="O2143" s="724"/>
      <c r="P2143" s="724"/>
    </row>
    <row r="2144" spans="1:16">
      <c r="B2144" s="723" t="s">
        <v>941</v>
      </c>
      <c r="H2144" s="1081"/>
      <c r="J2144" s="827" t="s">
        <v>718</v>
      </c>
      <c r="K2144" s="1091">
        <f>K2143*0.83</f>
        <v>3201.6751999999997</v>
      </c>
      <c r="L2144" s="836"/>
      <c r="M2144" s="724"/>
      <c r="N2144" s="724"/>
      <c r="O2144" s="724"/>
      <c r="P2144" s="724"/>
    </row>
    <row r="2145" spans="1:18">
      <c r="B2145" s="723" t="s">
        <v>919</v>
      </c>
      <c r="H2145" s="1081"/>
      <c r="J2145" s="723"/>
      <c r="K2145" s="1091"/>
      <c r="L2145" s="1087"/>
      <c r="M2145" s="724"/>
      <c r="N2145" s="724"/>
      <c r="O2145" s="724"/>
      <c r="P2145" s="724"/>
    </row>
    <row r="2146" spans="1:18">
      <c r="B2146" s="723" t="s">
        <v>920</v>
      </c>
      <c r="H2146" s="1081"/>
      <c r="J2146" s="723"/>
      <c r="K2146" s="1091"/>
      <c r="L2146" s="1087"/>
      <c r="M2146" s="724"/>
      <c r="N2146" s="724"/>
      <c r="O2146" s="724"/>
      <c r="P2146" s="724"/>
    </row>
    <row r="2147" spans="1:18">
      <c r="B2147" s="722" t="s">
        <v>921</v>
      </c>
      <c r="H2147" s="1081"/>
      <c r="J2147" s="723"/>
      <c r="K2147" s="1091">
        <f>K1727</f>
        <v>4934.17</v>
      </c>
      <c r="L2147" s="1087"/>
      <c r="M2147" s="724"/>
      <c r="N2147" s="724"/>
      <c r="O2147" s="724"/>
      <c r="P2147" s="724"/>
    </row>
    <row r="2148" spans="1:18">
      <c r="B2148" s="722" t="s">
        <v>922</v>
      </c>
      <c r="G2148" s="722">
        <v>0.34733000000000003</v>
      </c>
      <c r="H2148" s="1081" t="s">
        <v>247</v>
      </c>
      <c r="I2148" s="724" t="s">
        <v>247</v>
      </c>
      <c r="J2148" s="726">
        <f>L48/10</f>
        <v>664.78700000000003</v>
      </c>
      <c r="K2148" s="1091">
        <f>G2148*J2148</f>
        <v>230.90046871000004</v>
      </c>
      <c r="L2148" s="1087"/>
      <c r="M2148" s="724"/>
      <c r="N2148" s="724"/>
      <c r="O2148" s="724"/>
      <c r="P2148" s="724"/>
    </row>
    <row r="2149" spans="1:18">
      <c r="H2149" s="1081"/>
      <c r="J2149" s="827" t="s">
        <v>718</v>
      </c>
      <c r="K2149" s="1091">
        <f>SUM(K2147:K2148)</f>
        <v>5165.0704687100006</v>
      </c>
      <c r="L2149" s="1087"/>
      <c r="M2149" s="724"/>
      <c r="N2149" s="724"/>
      <c r="O2149" s="724"/>
      <c r="P2149" s="724"/>
    </row>
    <row r="2150" spans="1:18" ht="15.75">
      <c r="B2150" s="723" t="s">
        <v>923</v>
      </c>
      <c r="C2150" s="722" t="s">
        <v>3361</v>
      </c>
      <c r="H2150" s="1081"/>
      <c r="J2150" s="723"/>
      <c r="K2150" s="1091"/>
      <c r="L2150" s="1087"/>
      <c r="M2150" s="724"/>
      <c r="N2150" s="724"/>
      <c r="O2150" s="724"/>
      <c r="P2150" s="724"/>
      <c r="R2150" s="1098">
        <v>0.25</v>
      </c>
    </row>
    <row r="2151" spans="1:18">
      <c r="C2151" s="722" t="s">
        <v>924</v>
      </c>
      <c r="D2151" s="987">
        <f>(R2150*R2150*3.14/4)*6</f>
        <v>0.294375</v>
      </c>
      <c r="E2151" s="966" t="s">
        <v>925</v>
      </c>
      <c r="F2151" s="966"/>
      <c r="G2151" s="987">
        <f>(R2150*R2150*R2150*4.13)</f>
        <v>6.4531249999999998E-2</v>
      </c>
      <c r="H2151" s="1081" t="s">
        <v>926</v>
      </c>
      <c r="J2151" s="1098">
        <f>D2151+G2151</f>
        <v>0.35890624999999998</v>
      </c>
      <c r="K2151" s="1091" t="s">
        <v>49</v>
      </c>
      <c r="L2151" s="1087"/>
      <c r="M2151" s="724"/>
      <c r="N2151" s="724"/>
      <c r="O2151" s="724"/>
      <c r="P2151" s="724"/>
    </row>
    <row r="2152" spans="1:18">
      <c r="B2152" s="722" t="s">
        <v>927</v>
      </c>
      <c r="E2152" s="966"/>
      <c r="F2152" s="966"/>
      <c r="G2152" s="987"/>
      <c r="J2152" s="987">
        <f>J2151*20%</f>
        <v>7.1781250000000005E-2</v>
      </c>
      <c r="K2152" s="726" t="s">
        <v>49</v>
      </c>
      <c r="L2152" s="1087"/>
      <c r="M2152" s="724"/>
      <c r="N2152" s="724"/>
      <c r="O2152" s="724"/>
      <c r="P2152" s="724"/>
    </row>
    <row r="2153" spans="1:18">
      <c r="E2153" s="966"/>
      <c r="F2153" s="966"/>
      <c r="G2153" s="987"/>
      <c r="I2153" s="724" t="s">
        <v>928</v>
      </c>
      <c r="J2153" s="987">
        <f>SUM(J2151:J2152)</f>
        <v>0.4306875</v>
      </c>
      <c r="K2153" s="726" t="s">
        <v>49</v>
      </c>
      <c r="L2153" s="1087"/>
      <c r="M2153" s="724"/>
      <c r="N2153" s="724"/>
      <c r="O2153" s="724"/>
      <c r="P2153" s="724"/>
    </row>
    <row r="2154" spans="1:18">
      <c r="B2154" s="723" t="s">
        <v>929</v>
      </c>
      <c r="H2154" s="1081"/>
      <c r="J2154" s="723"/>
      <c r="K2154" s="1091"/>
      <c r="L2154" s="1087"/>
      <c r="M2154" s="724"/>
      <c r="N2154" s="724"/>
      <c r="O2154" s="724"/>
      <c r="P2154" s="724"/>
    </row>
    <row r="2155" spans="1:18">
      <c r="D2155" s="987">
        <f>ROUND(J2153,3)</f>
        <v>0.43099999999999999</v>
      </c>
      <c r="E2155" s="722" t="s">
        <v>930</v>
      </c>
      <c r="F2155" s="722"/>
      <c r="G2155" s="1108"/>
      <c r="H2155" s="726">
        <f>K2149</f>
        <v>5165.0704687100006</v>
      </c>
      <c r="I2155" s="1081" t="s">
        <v>931</v>
      </c>
      <c r="J2155" s="1109" t="s">
        <v>932</v>
      </c>
      <c r="K2155" s="1091">
        <f>D2155*H2155</f>
        <v>2226.1453720140103</v>
      </c>
      <c r="L2155" s="1087"/>
      <c r="M2155" s="724"/>
      <c r="N2155" s="724"/>
      <c r="O2155" s="724"/>
      <c r="P2155" s="724"/>
    </row>
    <row r="2156" spans="1:18">
      <c r="B2156" s="723" t="s">
        <v>933</v>
      </c>
      <c r="H2156" s="1081"/>
      <c r="J2156" s="723"/>
      <c r="K2156" s="1091">
        <f>K2144+K2155</f>
        <v>5427.8205720140104</v>
      </c>
      <c r="L2156" s="1087"/>
      <c r="M2156" s="724"/>
      <c r="N2156" s="724"/>
      <c r="O2156" s="724"/>
      <c r="P2156" s="724"/>
    </row>
    <row r="2157" spans="1:18">
      <c r="B2157" s="723"/>
      <c r="H2157" s="1081"/>
      <c r="J2157" s="723" t="s">
        <v>379</v>
      </c>
      <c r="K2157" s="1091">
        <f>ROUND(K2156,1)</f>
        <v>5427.8</v>
      </c>
      <c r="L2157" s="1087" t="s">
        <v>934</v>
      </c>
      <c r="M2157" s="724"/>
      <c r="N2157" s="724"/>
      <c r="O2157" s="724"/>
      <c r="P2157" s="724"/>
    </row>
    <row r="2158" spans="1:18">
      <c r="A2158" s="836" t="str">
        <f>A435</f>
        <v>(ii)</v>
      </c>
      <c r="B2158" s="723" t="str">
        <f>B435</f>
        <v>For additional / less depth of 1.00m beyond initial depth</v>
      </c>
      <c r="H2158" s="1081"/>
      <c r="J2158" s="723"/>
      <c r="K2158" s="1091"/>
      <c r="L2158" s="1087"/>
      <c r="M2158" s="724"/>
      <c r="N2158" s="724"/>
      <c r="O2158" s="724"/>
      <c r="P2158" s="724"/>
    </row>
    <row r="2159" spans="1:18">
      <c r="B2159" s="723" t="s">
        <v>915</v>
      </c>
      <c r="H2159" s="1081"/>
      <c r="J2159" s="723"/>
      <c r="K2159" s="1091"/>
      <c r="L2159" s="1087"/>
      <c r="M2159" s="724"/>
      <c r="N2159" s="724"/>
      <c r="O2159" s="724"/>
      <c r="P2159" s="724"/>
    </row>
    <row r="2160" spans="1:18">
      <c r="B2160" s="722" t="s">
        <v>935</v>
      </c>
      <c r="H2160" s="1081"/>
      <c r="J2160" s="723"/>
      <c r="K2160" s="1110">
        <f>K2094*12%</f>
        <v>462.89279999999997</v>
      </c>
      <c r="M2160" s="724"/>
      <c r="N2160" s="724"/>
      <c r="O2160" s="724"/>
      <c r="P2160" s="724"/>
    </row>
    <row r="2161" spans="1:16">
      <c r="B2161" s="723" t="s">
        <v>936</v>
      </c>
      <c r="D2161" s="987">
        <f>(R2150*R2150*3.14/4)*1.2</f>
        <v>5.8874999999999997E-2</v>
      </c>
      <c r="E2161" s="722" t="s">
        <v>930</v>
      </c>
      <c r="F2161" s="722"/>
      <c r="G2161" s="1108"/>
      <c r="H2161" s="726">
        <f>H2155</f>
        <v>5165.0704687100006</v>
      </c>
      <c r="I2161" s="1081" t="s">
        <v>931</v>
      </c>
      <c r="J2161" s="1109" t="s">
        <v>932</v>
      </c>
      <c r="K2161" s="1091">
        <f>D2161*H2161</f>
        <v>304.09352384530126</v>
      </c>
      <c r="L2161" s="1087"/>
      <c r="M2161" s="724"/>
      <c r="N2161" s="724"/>
      <c r="O2161" s="724"/>
      <c r="P2161" s="724"/>
    </row>
    <row r="2162" spans="1:16">
      <c r="H2162" s="1081"/>
      <c r="J2162" s="827" t="s">
        <v>718</v>
      </c>
      <c r="K2162" s="1091">
        <f>SUM(K2160:K2161)</f>
        <v>766.98632384530129</v>
      </c>
      <c r="L2162" s="1087" t="s">
        <v>937</v>
      </c>
      <c r="M2162" s="724"/>
      <c r="N2162" s="724"/>
      <c r="O2162" s="724"/>
      <c r="P2162" s="724"/>
    </row>
    <row r="2163" spans="1:16">
      <c r="B2163" s="723" t="s">
        <v>938</v>
      </c>
      <c r="H2163" s="836">
        <v>4</v>
      </c>
      <c r="I2163" s="836" t="s">
        <v>901</v>
      </c>
      <c r="J2163" s="1091">
        <f>K2162</f>
        <v>766.98632384530129</v>
      </c>
      <c r="K2163" s="1091">
        <f>J2163*H2163</f>
        <v>3067.9452953812051</v>
      </c>
      <c r="L2163" s="1087"/>
      <c r="M2163" s="724"/>
      <c r="N2163" s="724"/>
      <c r="O2163" s="724"/>
      <c r="P2163" s="724"/>
    </row>
    <row r="2164" spans="1:16">
      <c r="B2164" s="723" t="s">
        <v>939</v>
      </c>
      <c r="G2164" s="836"/>
      <c r="H2164" s="1087"/>
      <c r="I2164" s="836"/>
      <c r="J2164" s="1091"/>
      <c r="K2164" s="1091">
        <f>K2156+K2163</f>
        <v>8495.7658673952155</v>
      </c>
      <c r="L2164" s="1087"/>
      <c r="M2164" s="724"/>
      <c r="N2164" s="724"/>
      <c r="O2164" s="724"/>
      <c r="P2164" s="724"/>
    </row>
    <row r="2165" spans="1:16">
      <c r="B2165" s="723"/>
      <c r="G2165" s="836"/>
      <c r="H2165" s="1087"/>
      <c r="I2165" s="836"/>
      <c r="J2165" s="723" t="s">
        <v>379</v>
      </c>
      <c r="K2165" s="1091">
        <f>ROUND(K2164,1)</f>
        <v>8495.7999999999993</v>
      </c>
      <c r="L2165" s="1087" t="s">
        <v>934</v>
      </c>
      <c r="M2165" s="724"/>
      <c r="N2165" s="724"/>
      <c r="O2165" s="724"/>
      <c r="P2165" s="724"/>
    </row>
    <row r="2166" spans="1:16" ht="73.5" customHeight="1">
      <c r="A2166" s="836">
        <f t="shared" ref="A2166:B2168" si="97">A436</f>
        <v>54</v>
      </c>
      <c r="B2166" s="3386" t="str">
        <f t="shared" si="97"/>
        <v>Double Under reamed Bore Compacted Piles of different size in foundation with RCC M-20 including cost of boaring, all cost of RCC work excluding cost of steel with labour for bending binding etc.complete as per the instruction of Engineer-in-Charge .</v>
      </c>
      <c r="C2166" s="3386"/>
      <c r="D2166" s="3386"/>
      <c r="E2166" s="1103" t="s">
        <v>942</v>
      </c>
      <c r="F2166" s="1103"/>
      <c r="G2166" s="987"/>
      <c r="J2166" s="1091"/>
      <c r="K2166" s="1091"/>
    </row>
    <row r="2167" spans="1:16">
      <c r="A2167" s="836" t="str">
        <f t="shared" si="97"/>
        <v>A)</v>
      </c>
      <c r="B2167" s="723" t="str">
        <f t="shared" si="97"/>
        <v>375mm dia 10.00m long</v>
      </c>
      <c r="E2167" s="986" t="s">
        <v>488</v>
      </c>
      <c r="H2167" s="1081"/>
      <c r="L2167" s="1087"/>
      <c r="M2167" s="724"/>
      <c r="N2167" s="724"/>
      <c r="O2167" s="724"/>
      <c r="P2167" s="724"/>
    </row>
    <row r="2168" spans="1:16">
      <c r="A2168" s="836" t="str">
        <f t="shared" si="97"/>
        <v>(i)</v>
      </c>
      <c r="B2168" s="723" t="str">
        <f t="shared" si="97"/>
        <v xml:space="preserve"> 375mm dia 6.00m long</v>
      </c>
      <c r="H2168" s="1081"/>
      <c r="L2168" s="1087"/>
      <c r="M2168" s="724"/>
      <c r="N2168" s="724"/>
      <c r="O2168" s="724"/>
      <c r="P2168" s="724"/>
    </row>
    <row r="2169" spans="1:16">
      <c r="B2169" s="723" t="s">
        <v>914</v>
      </c>
      <c r="H2169" s="1081"/>
      <c r="L2169" s="1087"/>
      <c r="M2169" s="724"/>
      <c r="N2169" s="724"/>
      <c r="O2169" s="724"/>
      <c r="P2169" s="724"/>
    </row>
    <row r="2170" spans="1:16">
      <c r="B2170" s="723" t="s">
        <v>915</v>
      </c>
      <c r="H2170" s="1081"/>
      <c r="J2170" s="723"/>
      <c r="K2170" s="1091"/>
      <c r="L2170" s="1087"/>
      <c r="M2170" s="724"/>
      <c r="N2170" s="724"/>
      <c r="O2170" s="724"/>
      <c r="P2170" s="724"/>
    </row>
    <row r="2171" spans="1:16">
      <c r="B2171" s="722" t="s">
        <v>916</v>
      </c>
      <c r="G2171" s="987">
        <v>2</v>
      </c>
      <c r="H2171" s="1081" t="s">
        <v>262</v>
      </c>
      <c r="I2171" s="724" t="s">
        <v>38</v>
      </c>
      <c r="J2171" s="726">
        <f>L132</f>
        <v>284.3</v>
      </c>
      <c r="K2171" s="726">
        <f>ROUND(G2171*J2171,2)</f>
        <v>568.6</v>
      </c>
      <c r="L2171" s="1087"/>
      <c r="M2171" s="724"/>
      <c r="N2171" s="724"/>
      <c r="O2171" s="724"/>
      <c r="P2171" s="724"/>
    </row>
    <row r="2172" spans="1:16">
      <c r="B2172" s="722" t="s">
        <v>314</v>
      </c>
      <c r="G2172" s="987">
        <v>0.5</v>
      </c>
      <c r="H2172" s="1081" t="s">
        <v>262</v>
      </c>
      <c r="I2172" s="724" t="s">
        <v>38</v>
      </c>
      <c r="J2172" s="726">
        <f>G195</f>
        <v>483</v>
      </c>
      <c r="K2172" s="726">
        <f>ROUND(G2172*J2172,2)</f>
        <v>241.5</v>
      </c>
      <c r="L2172" s="1087"/>
      <c r="M2172" s="724"/>
      <c r="N2172" s="724"/>
      <c r="O2172" s="724"/>
      <c r="P2172" s="724"/>
    </row>
    <row r="2173" spans="1:16">
      <c r="B2173" s="722" t="s">
        <v>317</v>
      </c>
      <c r="G2173" s="987">
        <v>0.5</v>
      </c>
      <c r="H2173" s="1081" t="s">
        <v>319</v>
      </c>
      <c r="I2173" s="724" t="s">
        <v>319</v>
      </c>
      <c r="J2173" s="726">
        <f>G196</f>
        <v>450</v>
      </c>
      <c r="K2173" s="726">
        <f>ROUND(G2173*J2173,2)</f>
        <v>225</v>
      </c>
      <c r="L2173" s="1087"/>
      <c r="M2173" s="724"/>
      <c r="N2173" s="724"/>
      <c r="O2173" s="724"/>
      <c r="P2173" s="724"/>
    </row>
    <row r="2174" spans="1:16">
      <c r="B2174" s="722" t="s">
        <v>316</v>
      </c>
      <c r="G2174" s="987">
        <v>4</v>
      </c>
      <c r="H2174" s="1081" t="s">
        <v>917</v>
      </c>
      <c r="I2174" s="724" t="s">
        <v>917</v>
      </c>
      <c r="J2174" s="726">
        <f>M195</f>
        <v>600</v>
      </c>
      <c r="K2174" s="726">
        <f>ROUND(G2174*J2174,2)</f>
        <v>2400</v>
      </c>
      <c r="L2174" s="1087"/>
      <c r="M2174" s="724"/>
      <c r="N2174" s="724"/>
      <c r="O2174" s="724"/>
      <c r="P2174" s="724"/>
    </row>
    <row r="2175" spans="1:16">
      <c r="B2175" s="722" t="s">
        <v>216</v>
      </c>
      <c r="G2175" s="987">
        <v>2.5</v>
      </c>
      <c r="H2175" s="1081" t="s">
        <v>214</v>
      </c>
      <c r="I2175" s="724" t="s">
        <v>214</v>
      </c>
      <c r="J2175" s="726">
        <f>G148</f>
        <v>168.935</v>
      </c>
      <c r="K2175" s="726">
        <f>ROUND(G2175*J2175,2)</f>
        <v>422.34</v>
      </c>
      <c r="L2175" s="1087"/>
      <c r="M2175" s="724"/>
      <c r="N2175" s="724"/>
      <c r="O2175" s="724"/>
      <c r="P2175" s="724"/>
    </row>
    <row r="2176" spans="1:16">
      <c r="H2176" s="1081"/>
      <c r="J2176" s="827" t="s">
        <v>718</v>
      </c>
      <c r="K2176" s="1091">
        <f>SUM(K2171:K2175)</f>
        <v>3857.44</v>
      </c>
      <c r="L2176" s="1087"/>
      <c r="M2176" s="724"/>
      <c r="N2176" s="724"/>
      <c r="O2176" s="724"/>
      <c r="P2176" s="724"/>
    </row>
    <row r="2177" spans="2:18">
      <c r="B2177" s="723"/>
      <c r="G2177" s="987"/>
      <c r="H2177" s="1081"/>
      <c r="J2177" s="726"/>
      <c r="K2177" s="1091"/>
      <c r="L2177" s="1087"/>
      <c r="M2177" s="724"/>
      <c r="N2177" s="724"/>
      <c r="O2177" s="724"/>
      <c r="P2177" s="724"/>
    </row>
    <row r="2178" spans="2:18">
      <c r="H2178" s="1081"/>
      <c r="J2178" s="827" t="s">
        <v>718</v>
      </c>
      <c r="K2178" s="1091">
        <f>SUM(K2176:K2177)</f>
        <v>3857.44</v>
      </c>
      <c r="L2178" s="836"/>
      <c r="M2178" s="724"/>
      <c r="N2178" s="724"/>
      <c r="O2178" s="724"/>
      <c r="P2178" s="724"/>
    </row>
    <row r="2179" spans="2:18">
      <c r="B2179" s="722" t="s">
        <v>943</v>
      </c>
      <c r="H2179" s="1081"/>
      <c r="J2179" s="827"/>
      <c r="K2179" s="1091">
        <f>K2178*25%</f>
        <v>964.36</v>
      </c>
      <c r="L2179" s="836"/>
      <c r="M2179" s="724"/>
      <c r="N2179" s="724"/>
      <c r="O2179" s="724"/>
      <c r="P2179" s="724"/>
    </row>
    <row r="2180" spans="2:18">
      <c r="H2180" s="1081"/>
      <c r="J2180" s="827" t="s">
        <v>718</v>
      </c>
      <c r="K2180" s="1091">
        <f>SUM(K2178:K2179)</f>
        <v>4821.8</v>
      </c>
      <c r="L2180" s="836" t="s">
        <v>918</v>
      </c>
      <c r="M2180" s="724"/>
      <c r="N2180" s="724"/>
      <c r="O2180" s="724"/>
      <c r="P2180" s="724"/>
    </row>
    <row r="2181" spans="2:18">
      <c r="B2181" s="723" t="s">
        <v>919</v>
      </c>
      <c r="H2181" s="1081"/>
      <c r="J2181" s="723"/>
      <c r="K2181" s="1091"/>
      <c r="L2181" s="1087"/>
      <c r="M2181" s="724"/>
      <c r="N2181" s="724"/>
      <c r="O2181" s="724"/>
      <c r="P2181" s="724"/>
    </row>
    <row r="2182" spans="2:18">
      <c r="B2182" s="723" t="s">
        <v>920</v>
      </c>
      <c r="H2182" s="1081"/>
      <c r="J2182" s="723"/>
      <c r="K2182" s="1091"/>
      <c r="L2182" s="1087"/>
      <c r="M2182" s="724"/>
      <c r="N2182" s="724"/>
      <c r="O2182" s="724"/>
      <c r="P2182" s="724"/>
    </row>
    <row r="2183" spans="2:18">
      <c r="B2183" s="722" t="s">
        <v>921</v>
      </c>
      <c r="H2183" s="1081"/>
      <c r="J2183" s="723"/>
      <c r="K2183" s="1091">
        <f>K1727</f>
        <v>4934.17</v>
      </c>
      <c r="L2183" s="1087"/>
      <c r="M2183" s="724"/>
      <c r="N2183" s="724"/>
      <c r="O2183" s="724"/>
      <c r="P2183" s="724"/>
    </row>
    <row r="2184" spans="2:18">
      <c r="B2184" s="722" t="s">
        <v>922</v>
      </c>
      <c r="G2184" s="722">
        <v>0.34733000000000003</v>
      </c>
      <c r="H2184" s="1081" t="s">
        <v>247</v>
      </c>
      <c r="I2184" s="724" t="s">
        <v>247</v>
      </c>
      <c r="J2184" s="726">
        <f>L48/10</f>
        <v>664.78700000000003</v>
      </c>
      <c r="K2184" s="726">
        <f>ROUND(G2184*J2184,2)</f>
        <v>230.9</v>
      </c>
      <c r="L2184" s="1087"/>
      <c r="M2184" s="724"/>
      <c r="N2184" s="724"/>
      <c r="O2184" s="724"/>
      <c r="P2184" s="724"/>
    </row>
    <row r="2185" spans="2:18">
      <c r="H2185" s="1081"/>
      <c r="J2185" s="827" t="s">
        <v>718</v>
      </c>
      <c r="K2185" s="1091">
        <f>SUM(K2183:K2184)</f>
        <v>5165.07</v>
      </c>
      <c r="L2185" s="1087"/>
      <c r="M2185" s="724"/>
      <c r="N2185" s="724"/>
      <c r="O2185" s="724"/>
      <c r="P2185" s="724"/>
    </row>
    <row r="2186" spans="2:18" ht="15.75">
      <c r="B2186" s="723" t="s">
        <v>923</v>
      </c>
      <c r="C2186" s="722" t="s">
        <v>3362</v>
      </c>
      <c r="H2186" s="1081"/>
      <c r="J2186" s="723"/>
      <c r="K2186" s="1091"/>
      <c r="L2186" s="1087"/>
      <c r="M2186" s="724"/>
      <c r="N2186" s="724"/>
      <c r="O2186" s="724"/>
      <c r="P2186" s="724"/>
      <c r="R2186" s="1098">
        <v>0.375</v>
      </c>
    </row>
    <row r="2187" spans="2:18">
      <c r="C2187" s="722" t="s">
        <v>924</v>
      </c>
      <c r="D2187" s="987">
        <f>(R2186*R2186*3.14/4)*6</f>
        <v>0.66234375000000001</v>
      </c>
      <c r="E2187" s="966" t="s">
        <v>925</v>
      </c>
      <c r="F2187" s="966"/>
      <c r="G2187" s="987">
        <f>(R2186*R2186*R2186*8.26)</f>
        <v>0.43558593749999996</v>
      </c>
      <c r="H2187" s="1081" t="s">
        <v>926</v>
      </c>
      <c r="J2187" s="1098">
        <f>D2187+G2187</f>
        <v>1.0979296875</v>
      </c>
      <c r="K2187" s="1091" t="s">
        <v>49</v>
      </c>
      <c r="L2187" s="1087"/>
      <c r="M2187" s="724"/>
      <c r="N2187" s="724"/>
      <c r="O2187" s="724"/>
      <c r="P2187" s="724"/>
    </row>
    <row r="2188" spans="2:18">
      <c r="B2188" s="722" t="s">
        <v>927</v>
      </c>
      <c r="E2188" s="966"/>
      <c r="F2188" s="966"/>
      <c r="G2188" s="987"/>
      <c r="J2188" s="987">
        <f>J2187*20%</f>
        <v>0.21958593749999999</v>
      </c>
      <c r="K2188" s="726" t="s">
        <v>49</v>
      </c>
      <c r="L2188" s="1087"/>
      <c r="M2188" s="724"/>
      <c r="N2188" s="724"/>
      <c r="O2188" s="724"/>
      <c r="P2188" s="724"/>
    </row>
    <row r="2189" spans="2:18">
      <c r="E2189" s="966"/>
      <c r="F2189" s="966"/>
      <c r="G2189" s="987"/>
      <c r="I2189" s="724" t="s">
        <v>928</v>
      </c>
      <c r="J2189" s="987">
        <f>SUM(J2187:J2188)</f>
        <v>1.317515625</v>
      </c>
      <c r="K2189" s="726" t="s">
        <v>49</v>
      </c>
      <c r="L2189" s="1087"/>
      <c r="M2189" s="724"/>
      <c r="N2189" s="724"/>
      <c r="O2189" s="724"/>
      <c r="P2189" s="724"/>
    </row>
    <row r="2190" spans="2:18">
      <c r="B2190" s="723" t="s">
        <v>929</v>
      </c>
      <c r="H2190" s="1081"/>
      <c r="J2190" s="723"/>
      <c r="K2190" s="1091"/>
      <c r="L2190" s="1087"/>
      <c r="M2190" s="724"/>
      <c r="N2190" s="724"/>
      <c r="O2190" s="724"/>
      <c r="P2190" s="724"/>
    </row>
    <row r="2191" spans="2:18">
      <c r="D2191" s="987">
        <f>ROUND(J2189,3)</f>
        <v>1.3180000000000001</v>
      </c>
      <c r="E2191" s="722" t="s">
        <v>930</v>
      </c>
      <c r="F2191" s="722"/>
      <c r="G2191" s="1108"/>
      <c r="H2191" s="726">
        <f>K2185</f>
        <v>5165.07</v>
      </c>
      <c r="I2191" s="1081" t="s">
        <v>931</v>
      </c>
      <c r="J2191" s="1109" t="s">
        <v>932</v>
      </c>
      <c r="K2191" s="1091">
        <f>ROUND(D2191*H2191,2)</f>
        <v>6807.56</v>
      </c>
      <c r="L2191" s="1087"/>
      <c r="M2191" s="724"/>
      <c r="N2191" s="724"/>
      <c r="O2191" s="724"/>
      <c r="P2191" s="724"/>
    </row>
    <row r="2192" spans="2:18">
      <c r="B2192" s="723" t="s">
        <v>933</v>
      </c>
      <c r="H2192" s="1081"/>
      <c r="J2192" s="723"/>
      <c r="K2192" s="1091">
        <f>K2178+K2191</f>
        <v>10665</v>
      </c>
      <c r="L2192" s="1087"/>
      <c r="M2192" s="724"/>
      <c r="N2192" s="724"/>
      <c r="O2192" s="724"/>
      <c r="P2192" s="724"/>
    </row>
    <row r="2193" spans="1:16">
      <c r="B2193" s="723"/>
      <c r="H2193" s="1081"/>
      <c r="J2193" s="723" t="s">
        <v>379</v>
      </c>
      <c r="K2193" s="1091">
        <f>ROUND(K2192,1)</f>
        <v>10665</v>
      </c>
      <c r="L2193" s="1087" t="s">
        <v>934</v>
      </c>
      <c r="M2193" s="724"/>
      <c r="N2193" s="724"/>
      <c r="O2193" s="724"/>
      <c r="P2193" s="724"/>
    </row>
    <row r="2194" spans="1:16">
      <c r="A2194" s="836" t="str">
        <f>A439</f>
        <v>(ii)</v>
      </c>
      <c r="B2194" s="723" t="str">
        <f>B439</f>
        <v>For additional / less depth of 1.00m beyond initial depth</v>
      </c>
      <c r="H2194" s="1081"/>
      <c r="J2194" s="723"/>
      <c r="K2194" s="1091"/>
      <c r="L2194" s="1087"/>
      <c r="M2194" s="724"/>
      <c r="N2194" s="724"/>
      <c r="O2194" s="724"/>
      <c r="P2194" s="724"/>
    </row>
    <row r="2195" spans="1:16">
      <c r="B2195" s="723" t="s">
        <v>915</v>
      </c>
      <c r="H2195" s="1081"/>
      <c r="J2195" s="723"/>
      <c r="K2195" s="1091"/>
      <c r="L2195" s="1087"/>
      <c r="M2195" s="724"/>
      <c r="N2195" s="724"/>
      <c r="O2195" s="724"/>
      <c r="P2195" s="724"/>
    </row>
    <row r="2196" spans="1:16">
      <c r="B2196" s="722" t="s">
        <v>935</v>
      </c>
      <c r="H2196" s="1081"/>
      <c r="J2196" s="723"/>
      <c r="K2196" s="1110">
        <f>K2178*12%</f>
        <v>462.89279999999997</v>
      </c>
      <c r="M2196" s="724"/>
      <c r="N2196" s="724"/>
      <c r="O2196" s="724"/>
      <c r="P2196" s="724"/>
    </row>
    <row r="2197" spans="1:16">
      <c r="B2197" s="723" t="s">
        <v>936</v>
      </c>
      <c r="D2197" s="987">
        <f>(R2186*R2186*3.14/4)*1.2</f>
        <v>0.13246875</v>
      </c>
      <c r="E2197" s="722" t="s">
        <v>930</v>
      </c>
      <c r="F2197" s="722"/>
      <c r="G2197" s="1108"/>
      <c r="H2197" s="726">
        <f>H2191</f>
        <v>5165.07</v>
      </c>
      <c r="I2197" s="1081" t="s">
        <v>931</v>
      </c>
      <c r="J2197" s="1109" t="s">
        <v>932</v>
      </c>
      <c r="K2197" s="1091">
        <f>ROUND(D2197*H2197,2)</f>
        <v>684.21</v>
      </c>
      <c r="L2197" s="1087"/>
      <c r="M2197" s="724"/>
      <c r="N2197" s="724"/>
      <c r="O2197" s="724"/>
      <c r="P2197" s="724"/>
    </row>
    <row r="2198" spans="1:16">
      <c r="H2198" s="1081"/>
      <c r="J2198" s="827" t="s">
        <v>718</v>
      </c>
      <c r="K2198" s="1091">
        <f>SUM(K2196:K2197)</f>
        <v>1147.1028000000001</v>
      </c>
      <c r="L2198" s="1087" t="s">
        <v>937</v>
      </c>
      <c r="M2198" s="724"/>
      <c r="N2198" s="724"/>
      <c r="O2198" s="724"/>
      <c r="P2198" s="724"/>
    </row>
    <row r="2199" spans="1:16">
      <c r="B2199" s="723" t="s">
        <v>938</v>
      </c>
      <c r="H2199" s="836">
        <v>4</v>
      </c>
      <c r="I2199" s="836" t="s">
        <v>901</v>
      </c>
      <c r="J2199" s="1091">
        <f>K2198</f>
        <v>1147.1028000000001</v>
      </c>
      <c r="K2199" s="1091">
        <f>J2199*H2199</f>
        <v>4588.4112000000005</v>
      </c>
      <c r="L2199" s="1087"/>
      <c r="M2199" s="724"/>
      <c r="N2199" s="724"/>
      <c r="O2199" s="724"/>
      <c r="P2199" s="724"/>
    </row>
    <row r="2200" spans="1:16">
      <c r="B2200" s="723" t="s">
        <v>939</v>
      </c>
      <c r="G2200" s="836"/>
      <c r="H2200" s="1087"/>
      <c r="I2200" s="836"/>
      <c r="J2200" s="1091"/>
      <c r="K2200" s="1091">
        <f>K2192+K2199</f>
        <v>15253.4112</v>
      </c>
      <c r="L2200" s="1087"/>
      <c r="M2200" s="724"/>
      <c r="N2200" s="724"/>
      <c r="O2200" s="724"/>
      <c r="P2200" s="724"/>
    </row>
    <row r="2201" spans="1:16">
      <c r="B2201" s="723"/>
      <c r="G2201" s="836"/>
      <c r="H2201" s="1087"/>
      <c r="I2201" s="836"/>
      <c r="J2201" s="723" t="s">
        <v>379</v>
      </c>
      <c r="K2201" s="1091">
        <f>ROUND(K2200,1)</f>
        <v>15253.4</v>
      </c>
      <c r="L2201" s="1087" t="s">
        <v>934</v>
      </c>
      <c r="M2201" s="724"/>
      <c r="N2201" s="724"/>
      <c r="O2201" s="724"/>
      <c r="P2201" s="724"/>
    </row>
    <row r="2202" spans="1:16">
      <c r="A2202" s="836" t="str">
        <f>A440</f>
        <v>B)</v>
      </c>
      <c r="B2202" s="723" t="str">
        <f>B440</f>
        <v>300mm dia 10.00m long</v>
      </c>
      <c r="E2202" s="1089" t="str">
        <f>G440</f>
        <v>Each No</v>
      </c>
      <c r="F2202" s="1089"/>
      <c r="H2202" s="1081"/>
      <c r="L2202" s="1087"/>
      <c r="M2202" s="724"/>
      <c r="N2202" s="724"/>
      <c r="O2202" s="724"/>
      <c r="P2202" s="724"/>
    </row>
    <row r="2203" spans="1:16">
      <c r="A2203" s="836" t="str">
        <f>A441</f>
        <v>(i)</v>
      </c>
      <c r="B2203" s="723" t="str">
        <f>B441</f>
        <v xml:space="preserve"> 300mm dia 6.00m long</v>
      </c>
      <c r="H2203" s="1081"/>
      <c r="L2203" s="1087"/>
      <c r="M2203" s="724"/>
      <c r="N2203" s="724"/>
      <c r="O2203" s="724"/>
      <c r="P2203" s="724"/>
    </row>
    <row r="2204" spans="1:16">
      <c r="B2204" s="723" t="s">
        <v>914</v>
      </c>
      <c r="H2204" s="1081"/>
      <c r="L2204" s="1087"/>
      <c r="M2204" s="724"/>
      <c r="N2204" s="724"/>
      <c r="O2204" s="724"/>
      <c r="P2204" s="724"/>
    </row>
    <row r="2205" spans="1:16">
      <c r="B2205" s="723" t="s">
        <v>915</v>
      </c>
      <c r="H2205" s="1081"/>
      <c r="J2205" s="723"/>
      <c r="K2205" s="1091">
        <f>K2180</f>
        <v>4821.8</v>
      </c>
      <c r="L2205" s="1087"/>
      <c r="M2205" s="724"/>
      <c r="N2205" s="724"/>
      <c r="O2205" s="724"/>
      <c r="P2205" s="724"/>
    </row>
    <row r="2206" spans="1:16">
      <c r="B2206" s="723" t="s">
        <v>940</v>
      </c>
      <c r="H2206" s="1081"/>
      <c r="J2206" s="827" t="s">
        <v>718</v>
      </c>
      <c r="K2206" s="1091">
        <f>K2205*0.9</f>
        <v>4339.62</v>
      </c>
      <c r="L2206" s="836"/>
      <c r="M2206" s="724"/>
      <c r="N2206" s="724"/>
      <c r="O2206" s="724"/>
      <c r="P2206" s="724"/>
    </row>
    <row r="2207" spans="1:16">
      <c r="B2207" s="723" t="s">
        <v>919</v>
      </c>
      <c r="H2207" s="1081"/>
      <c r="J2207" s="723"/>
      <c r="K2207" s="1091"/>
      <c r="L2207" s="1087"/>
      <c r="M2207" s="724"/>
      <c r="N2207" s="724"/>
      <c r="O2207" s="724"/>
      <c r="P2207" s="724"/>
    </row>
    <row r="2208" spans="1:16">
      <c r="B2208" s="723" t="s">
        <v>920</v>
      </c>
      <c r="H2208" s="1081"/>
      <c r="J2208" s="723"/>
      <c r="K2208" s="1091"/>
      <c r="L2208" s="1087"/>
      <c r="M2208" s="724"/>
      <c r="N2208" s="724"/>
      <c r="O2208" s="724"/>
      <c r="P2208" s="724"/>
    </row>
    <row r="2209" spans="1:18">
      <c r="B2209" s="722" t="s">
        <v>921</v>
      </c>
      <c r="H2209" s="1081"/>
      <c r="J2209" s="723"/>
      <c r="K2209" s="1091">
        <f>K1727</f>
        <v>4934.17</v>
      </c>
      <c r="L2209" s="1087"/>
      <c r="M2209" s="724"/>
      <c r="N2209" s="724"/>
      <c r="O2209" s="724"/>
      <c r="P2209" s="724"/>
    </row>
    <row r="2210" spans="1:18">
      <c r="B2210" s="722" t="s">
        <v>922</v>
      </c>
      <c r="G2210" s="722">
        <v>0.34733000000000003</v>
      </c>
      <c r="H2210" s="1081" t="s">
        <v>247</v>
      </c>
      <c r="I2210" s="724" t="s">
        <v>247</v>
      </c>
      <c r="J2210" s="726">
        <f>L48/10</f>
        <v>664.78700000000003</v>
      </c>
      <c r="K2210" s="1091">
        <f>ROUND(G2210*J2210,2)</f>
        <v>230.9</v>
      </c>
      <c r="L2210" s="1087"/>
      <c r="M2210" s="724"/>
      <c r="N2210" s="724"/>
      <c r="O2210" s="724"/>
      <c r="P2210" s="724"/>
    </row>
    <row r="2211" spans="1:18">
      <c r="H2211" s="1081"/>
      <c r="J2211" s="827" t="s">
        <v>718</v>
      </c>
      <c r="K2211" s="1091">
        <f>SUM(K2209:K2210)</f>
        <v>5165.07</v>
      </c>
      <c r="L2211" s="1087"/>
      <c r="M2211" s="724"/>
      <c r="N2211" s="724"/>
      <c r="O2211" s="724"/>
      <c r="P2211" s="724"/>
    </row>
    <row r="2212" spans="1:18" ht="15.75">
      <c r="B2212" s="723" t="s">
        <v>923</v>
      </c>
      <c r="C2212" s="722" t="s">
        <v>3363</v>
      </c>
      <c r="H2212" s="1081"/>
      <c r="J2212" s="723"/>
      <c r="K2212" s="1091"/>
      <c r="L2212" s="1087"/>
      <c r="M2212" s="724"/>
      <c r="N2212" s="724"/>
      <c r="O2212" s="724"/>
      <c r="P2212" s="724"/>
      <c r="R2212" s="1098">
        <v>0.3</v>
      </c>
    </row>
    <row r="2213" spans="1:18">
      <c r="C2213" s="722" t="s">
        <v>924</v>
      </c>
      <c r="D2213" s="987">
        <f>(R2212*R2212*3.14/4)*6</f>
        <v>0.42390000000000005</v>
      </c>
      <c r="E2213" s="966" t="s">
        <v>925</v>
      </c>
      <c r="F2213" s="966"/>
      <c r="G2213" s="987">
        <f>(R2212*R2212*R2212*8.26)</f>
        <v>0.22302</v>
      </c>
      <c r="H2213" s="1081" t="s">
        <v>926</v>
      </c>
      <c r="J2213" s="1098">
        <f>D2213+G2213</f>
        <v>0.64692000000000005</v>
      </c>
      <c r="K2213" s="1091" t="s">
        <v>49</v>
      </c>
      <c r="L2213" s="1087"/>
      <c r="M2213" s="724"/>
      <c r="N2213" s="724"/>
      <c r="O2213" s="724"/>
      <c r="P2213" s="724"/>
    </row>
    <row r="2214" spans="1:18">
      <c r="B2214" s="722" t="s">
        <v>927</v>
      </c>
      <c r="E2214" s="966"/>
      <c r="F2214" s="966"/>
      <c r="G2214" s="987"/>
      <c r="J2214" s="987">
        <f>J2213*20%</f>
        <v>0.12938400000000003</v>
      </c>
      <c r="K2214" s="726" t="s">
        <v>49</v>
      </c>
      <c r="L2214" s="1087"/>
      <c r="M2214" s="724"/>
      <c r="N2214" s="724"/>
      <c r="O2214" s="724"/>
      <c r="P2214" s="724"/>
    </row>
    <row r="2215" spans="1:18">
      <c r="E2215" s="966"/>
      <c r="F2215" s="966"/>
      <c r="G2215" s="987"/>
      <c r="I2215" s="724" t="s">
        <v>928</v>
      </c>
      <c r="J2215" s="987">
        <f>SUM(J2213:J2214)</f>
        <v>0.77630400000000011</v>
      </c>
      <c r="K2215" s="726" t="s">
        <v>49</v>
      </c>
      <c r="L2215" s="1087"/>
      <c r="M2215" s="724"/>
      <c r="N2215" s="724"/>
      <c r="O2215" s="724"/>
      <c r="P2215" s="724"/>
    </row>
    <row r="2216" spans="1:18">
      <c r="B2216" s="723" t="s">
        <v>929</v>
      </c>
      <c r="H2216" s="1081"/>
      <c r="J2216" s="723"/>
      <c r="K2216" s="1091"/>
      <c r="L2216" s="1087"/>
      <c r="M2216" s="724"/>
      <c r="N2216" s="724"/>
      <c r="O2216" s="724"/>
      <c r="P2216" s="724"/>
    </row>
    <row r="2217" spans="1:18">
      <c r="D2217" s="987">
        <f>ROUND(J2215,3)</f>
        <v>0.77600000000000002</v>
      </c>
      <c r="E2217" s="722" t="s">
        <v>930</v>
      </c>
      <c r="F2217" s="722"/>
      <c r="G2217" s="1108"/>
      <c r="H2217" s="726">
        <f>K2211</f>
        <v>5165.07</v>
      </c>
      <c r="I2217" s="1081" t="s">
        <v>931</v>
      </c>
      <c r="J2217" s="1109" t="s">
        <v>932</v>
      </c>
      <c r="K2217" s="1091">
        <f>ROUND(D2217*H2217,2)</f>
        <v>4008.09</v>
      </c>
      <c r="L2217" s="1087"/>
      <c r="M2217" s="724"/>
      <c r="N2217" s="724"/>
      <c r="O2217" s="724"/>
      <c r="P2217" s="724"/>
    </row>
    <row r="2218" spans="1:18">
      <c r="B2218" s="723" t="s">
        <v>933</v>
      </c>
      <c r="H2218" s="1081"/>
      <c r="J2218" s="723"/>
      <c r="K2218" s="1091">
        <f>K2206+K2217</f>
        <v>8347.7099999999991</v>
      </c>
      <c r="L2218" s="1087"/>
      <c r="M2218" s="724"/>
      <c r="N2218" s="724"/>
      <c r="O2218" s="724"/>
      <c r="P2218" s="724"/>
    </row>
    <row r="2219" spans="1:18">
      <c r="B2219" s="723"/>
      <c r="H2219" s="1081"/>
      <c r="J2219" s="723" t="s">
        <v>379</v>
      </c>
      <c r="K2219" s="1091">
        <f>ROUND(K2218,1)</f>
        <v>8347.7000000000007</v>
      </c>
      <c r="L2219" s="1087" t="s">
        <v>934</v>
      </c>
      <c r="M2219" s="724"/>
      <c r="N2219" s="724"/>
      <c r="O2219" s="724"/>
      <c r="P2219" s="724"/>
    </row>
    <row r="2220" spans="1:18">
      <c r="A2220" s="836" t="str">
        <f>A442</f>
        <v>(ii)</v>
      </c>
      <c r="B2220" s="723" t="str">
        <f>B442</f>
        <v>For additional / less depth of 1.00m beyond initial depth</v>
      </c>
      <c r="H2220" s="1081"/>
      <c r="J2220" s="723"/>
      <c r="K2220" s="1091"/>
      <c r="L2220" s="1087"/>
      <c r="M2220" s="724"/>
      <c r="N2220" s="724"/>
      <c r="O2220" s="724"/>
      <c r="P2220" s="724"/>
    </row>
    <row r="2221" spans="1:18">
      <c r="B2221" s="723" t="s">
        <v>915</v>
      </c>
      <c r="H2221" s="1081"/>
      <c r="J2221" s="723"/>
      <c r="K2221" s="1091"/>
      <c r="L2221" s="1087"/>
      <c r="M2221" s="724"/>
      <c r="N2221" s="724"/>
      <c r="O2221" s="724"/>
      <c r="P2221" s="724"/>
    </row>
    <row r="2222" spans="1:18">
      <c r="B2222" s="722" t="s">
        <v>935</v>
      </c>
      <c r="H2222" s="1081"/>
      <c r="J2222" s="723"/>
      <c r="K2222" s="1110">
        <f>K2178*12%</f>
        <v>462.89279999999997</v>
      </c>
      <c r="M2222" s="724"/>
      <c r="N2222" s="724"/>
      <c r="O2222" s="724"/>
      <c r="P2222" s="724"/>
    </row>
    <row r="2223" spans="1:18">
      <c r="B2223" s="723" t="s">
        <v>936</v>
      </c>
      <c r="D2223" s="987">
        <f>(R2212*R2212*3.14/4)*1.2</f>
        <v>8.4780000000000008E-2</v>
      </c>
      <c r="E2223" s="722" t="s">
        <v>930</v>
      </c>
      <c r="F2223" s="722"/>
      <c r="G2223" s="1108"/>
      <c r="H2223" s="726">
        <f>H2217</f>
        <v>5165.07</v>
      </c>
      <c r="I2223" s="1081" t="s">
        <v>931</v>
      </c>
      <c r="J2223" s="1109" t="s">
        <v>932</v>
      </c>
      <c r="K2223" s="1091">
        <f>ROUND(D2223*H2223,2)</f>
        <v>437.89</v>
      </c>
      <c r="L2223" s="1087"/>
      <c r="M2223" s="724"/>
      <c r="N2223" s="724"/>
      <c r="O2223" s="724"/>
      <c r="P2223" s="724"/>
    </row>
    <row r="2224" spans="1:18">
      <c r="H2224" s="1081"/>
      <c r="J2224" s="827" t="s">
        <v>718</v>
      </c>
      <c r="K2224" s="1091">
        <f>SUM(K2222:K2223)</f>
        <v>900.78279999999995</v>
      </c>
      <c r="L2224" s="1087" t="s">
        <v>937</v>
      </c>
      <c r="M2224" s="724"/>
      <c r="N2224" s="724"/>
      <c r="O2224" s="724"/>
      <c r="P2224" s="724"/>
    </row>
    <row r="2225" spans="1:18">
      <c r="B2225" s="723" t="s">
        <v>938</v>
      </c>
      <c r="H2225" s="836">
        <v>4</v>
      </c>
      <c r="I2225" s="836" t="s">
        <v>901</v>
      </c>
      <c r="J2225" s="1091">
        <f>K2224</f>
        <v>900.78279999999995</v>
      </c>
      <c r="K2225" s="1091">
        <f>J2225*H2225</f>
        <v>3603.1311999999998</v>
      </c>
      <c r="L2225" s="1087"/>
      <c r="M2225" s="724"/>
      <c r="N2225" s="724"/>
      <c r="O2225" s="724"/>
      <c r="P2225" s="724"/>
    </row>
    <row r="2226" spans="1:18">
      <c r="B2226" s="723" t="s">
        <v>939</v>
      </c>
      <c r="G2226" s="836"/>
      <c r="H2226" s="1087"/>
      <c r="I2226" s="836"/>
      <c r="J2226" s="1091"/>
      <c r="K2226" s="1091">
        <f>K2218+K2225</f>
        <v>11950.841199999999</v>
      </c>
      <c r="L2226" s="1087"/>
      <c r="M2226" s="724"/>
      <c r="N2226" s="724"/>
      <c r="O2226" s="724"/>
      <c r="P2226" s="724"/>
    </row>
    <row r="2227" spans="1:18">
      <c r="B2227" s="723"/>
      <c r="G2227" s="836"/>
      <c r="H2227" s="1087"/>
      <c r="I2227" s="836"/>
      <c r="J2227" s="723" t="s">
        <v>379</v>
      </c>
      <c r="K2227" s="1091">
        <f>ROUND(K2226,1)</f>
        <v>11950.8</v>
      </c>
      <c r="L2227" s="1087" t="s">
        <v>934</v>
      </c>
      <c r="M2227" s="724"/>
      <c r="N2227" s="724"/>
      <c r="O2227" s="724"/>
      <c r="P2227" s="724"/>
    </row>
    <row r="2228" spans="1:18">
      <c r="A2228" s="836" t="str">
        <f>A443</f>
        <v>C)</v>
      </c>
      <c r="B2228" s="723" t="str">
        <f>B443</f>
        <v>250mm dia 10.00m long</v>
      </c>
      <c r="E2228" s="1089" t="str">
        <f>G443</f>
        <v>Each No</v>
      </c>
      <c r="F2228" s="1089"/>
      <c r="H2228" s="1081"/>
      <c r="L2228" s="1087"/>
      <c r="M2228" s="724"/>
      <c r="N2228" s="724"/>
      <c r="O2228" s="724"/>
      <c r="P2228" s="724"/>
    </row>
    <row r="2229" spans="1:18">
      <c r="A2229" s="836" t="str">
        <f>A444</f>
        <v>(i)</v>
      </c>
      <c r="B2229" s="723" t="str">
        <f>B444</f>
        <v xml:space="preserve"> 250mm dia 6.00m long</v>
      </c>
      <c r="E2229" s="1089" t="str">
        <f>G444</f>
        <v>Each No</v>
      </c>
      <c r="F2229" s="1089"/>
      <c r="H2229" s="1081"/>
      <c r="L2229" s="1087"/>
      <c r="M2229" s="724"/>
      <c r="N2229" s="724"/>
      <c r="O2229" s="724"/>
      <c r="P2229" s="724"/>
    </row>
    <row r="2230" spans="1:18">
      <c r="B2230" s="723" t="s">
        <v>944</v>
      </c>
      <c r="H2230" s="1081"/>
      <c r="L2230" s="1087"/>
      <c r="M2230" s="724"/>
      <c r="N2230" s="724"/>
      <c r="O2230" s="724"/>
      <c r="P2230" s="724"/>
    </row>
    <row r="2231" spans="1:18">
      <c r="B2231" s="723" t="s">
        <v>915</v>
      </c>
      <c r="H2231" s="1081"/>
      <c r="J2231" s="723"/>
      <c r="K2231" s="1091">
        <f>K2180</f>
        <v>4821.8</v>
      </c>
      <c r="L2231" s="1087"/>
      <c r="M2231" s="724"/>
      <c r="N2231" s="724"/>
      <c r="O2231" s="724"/>
      <c r="P2231" s="724"/>
    </row>
    <row r="2232" spans="1:18">
      <c r="B2232" s="723" t="s">
        <v>941</v>
      </c>
      <c r="H2232" s="1081"/>
      <c r="J2232" s="827" t="s">
        <v>718</v>
      </c>
      <c r="K2232" s="1091">
        <f>K2231*0.83</f>
        <v>4002.0940000000001</v>
      </c>
      <c r="L2232" s="836"/>
      <c r="M2232" s="724"/>
      <c r="N2232" s="724"/>
      <c r="O2232" s="724"/>
      <c r="P2232" s="724"/>
    </row>
    <row r="2233" spans="1:18">
      <c r="B2233" s="723" t="s">
        <v>919</v>
      </c>
      <c r="H2233" s="1081"/>
      <c r="J2233" s="723"/>
      <c r="K2233" s="1091"/>
      <c r="L2233" s="1087"/>
      <c r="M2233" s="724"/>
      <c r="N2233" s="724"/>
      <c r="O2233" s="724"/>
      <c r="P2233" s="724"/>
    </row>
    <row r="2234" spans="1:18">
      <c r="B2234" s="723" t="s">
        <v>920</v>
      </c>
      <c r="H2234" s="1081"/>
      <c r="J2234" s="723"/>
      <c r="K2234" s="1091"/>
      <c r="L2234" s="1087"/>
      <c r="M2234" s="724"/>
      <c r="N2234" s="724"/>
      <c r="O2234" s="724"/>
      <c r="P2234" s="724"/>
    </row>
    <row r="2235" spans="1:18">
      <c r="B2235" s="722" t="s">
        <v>921</v>
      </c>
      <c r="H2235" s="1081"/>
      <c r="J2235" s="723"/>
      <c r="K2235" s="1091">
        <f>K1727</f>
        <v>4934.17</v>
      </c>
      <c r="L2235" s="1087"/>
      <c r="M2235" s="724"/>
      <c r="N2235" s="724"/>
      <c r="O2235" s="724"/>
      <c r="P2235" s="724"/>
    </row>
    <row r="2236" spans="1:18">
      <c r="B2236" s="722" t="s">
        <v>922</v>
      </c>
      <c r="G2236" s="722">
        <v>0.34733000000000003</v>
      </c>
      <c r="H2236" s="1081" t="s">
        <v>247</v>
      </c>
      <c r="I2236" s="724" t="s">
        <v>247</v>
      </c>
      <c r="J2236" s="726">
        <f>L48/10</f>
        <v>664.78700000000003</v>
      </c>
      <c r="K2236" s="1091">
        <f>ROUND(G2236*J2236,2)</f>
        <v>230.9</v>
      </c>
      <c r="L2236" s="1087"/>
      <c r="M2236" s="724"/>
      <c r="N2236" s="724"/>
      <c r="O2236" s="724"/>
      <c r="P2236" s="724"/>
    </row>
    <row r="2237" spans="1:18">
      <c r="H2237" s="1081"/>
      <c r="J2237" s="827" t="s">
        <v>718</v>
      </c>
      <c r="K2237" s="1091">
        <f>SUM(K2235:K2236)</f>
        <v>5165.07</v>
      </c>
      <c r="L2237" s="1087"/>
      <c r="M2237" s="724"/>
      <c r="N2237" s="724"/>
      <c r="O2237" s="724"/>
      <c r="P2237" s="724"/>
    </row>
    <row r="2238" spans="1:18" ht="15.75">
      <c r="B2238" s="723" t="s">
        <v>923</v>
      </c>
      <c r="C2238" s="722" t="s">
        <v>3364</v>
      </c>
      <c r="H2238" s="1081"/>
      <c r="J2238" s="723"/>
      <c r="K2238" s="1091"/>
      <c r="L2238" s="1087"/>
      <c r="M2238" s="724"/>
      <c r="N2238" s="724"/>
      <c r="O2238" s="724"/>
      <c r="P2238" s="724"/>
      <c r="R2238" s="1098">
        <v>0.25</v>
      </c>
    </row>
    <row r="2239" spans="1:18">
      <c r="C2239" s="722" t="s">
        <v>924</v>
      </c>
      <c r="D2239" s="987">
        <f>(R2238*R2238*3.14/4)*6</f>
        <v>0.294375</v>
      </c>
      <c r="E2239" s="966" t="s">
        <v>925</v>
      </c>
      <c r="F2239" s="966"/>
      <c r="G2239" s="987">
        <f>(R2238*R2238*R2238*8.26)</f>
        <v>0.1290625</v>
      </c>
      <c r="H2239" s="1081" t="s">
        <v>926</v>
      </c>
      <c r="J2239" s="1098">
        <f>D2239+G2239</f>
        <v>0.42343750000000002</v>
      </c>
      <c r="K2239" s="1091" t="s">
        <v>49</v>
      </c>
      <c r="L2239" s="1087"/>
      <c r="M2239" s="724"/>
      <c r="N2239" s="724"/>
      <c r="O2239" s="724"/>
      <c r="P2239" s="724"/>
    </row>
    <row r="2240" spans="1:18">
      <c r="B2240" s="722" t="s">
        <v>927</v>
      </c>
      <c r="E2240" s="966"/>
      <c r="F2240" s="966"/>
      <c r="G2240" s="987"/>
      <c r="J2240" s="987">
        <f>J2239*20%</f>
        <v>8.4687500000000013E-2</v>
      </c>
      <c r="K2240" s="726" t="s">
        <v>49</v>
      </c>
      <c r="L2240" s="1087"/>
      <c r="M2240" s="724"/>
      <c r="N2240" s="724"/>
      <c r="O2240" s="724"/>
      <c r="P2240" s="724"/>
    </row>
    <row r="2241" spans="1:17">
      <c r="E2241" s="966"/>
      <c r="F2241" s="966"/>
      <c r="G2241" s="987"/>
      <c r="I2241" s="724" t="s">
        <v>928</v>
      </c>
      <c r="J2241" s="987">
        <f>SUM(J2239:J2240)</f>
        <v>0.50812500000000005</v>
      </c>
      <c r="K2241" s="726" t="s">
        <v>49</v>
      </c>
      <c r="L2241" s="1087"/>
      <c r="M2241" s="724"/>
      <c r="N2241" s="724"/>
      <c r="O2241" s="724"/>
      <c r="P2241" s="724"/>
    </row>
    <row r="2242" spans="1:17">
      <c r="B2242" s="723" t="s">
        <v>929</v>
      </c>
      <c r="H2242" s="1081"/>
      <c r="J2242" s="723"/>
      <c r="K2242" s="1091"/>
      <c r="L2242" s="1087"/>
      <c r="M2242" s="724"/>
      <c r="N2242" s="724"/>
      <c r="O2242" s="724"/>
      <c r="P2242" s="724"/>
    </row>
    <row r="2243" spans="1:17">
      <c r="D2243" s="987">
        <f>ROUND(J2241,3)</f>
        <v>0.50800000000000001</v>
      </c>
      <c r="E2243" s="722" t="s">
        <v>930</v>
      </c>
      <c r="F2243" s="722"/>
      <c r="G2243" s="1108"/>
      <c r="H2243" s="726">
        <f>K2237</f>
        <v>5165.07</v>
      </c>
      <c r="I2243" s="1081" t="s">
        <v>931</v>
      </c>
      <c r="J2243" s="1109" t="s">
        <v>932</v>
      </c>
      <c r="K2243" s="1091">
        <f>ROUND(D2243*H2243,2)</f>
        <v>2623.86</v>
      </c>
      <c r="L2243" s="1087"/>
      <c r="M2243" s="724"/>
      <c r="N2243" s="724"/>
      <c r="O2243" s="724"/>
      <c r="P2243" s="724"/>
    </row>
    <row r="2244" spans="1:17">
      <c r="B2244" s="723" t="s">
        <v>933</v>
      </c>
      <c r="H2244" s="1081"/>
      <c r="J2244" s="723"/>
      <c r="K2244" s="1091">
        <f>K2232+K2243</f>
        <v>6625.9539999999997</v>
      </c>
      <c r="L2244" s="1087"/>
      <c r="M2244" s="724"/>
      <c r="N2244" s="724"/>
      <c r="O2244" s="724"/>
      <c r="P2244" s="724"/>
    </row>
    <row r="2245" spans="1:17">
      <c r="B2245" s="723"/>
      <c r="H2245" s="1081"/>
      <c r="J2245" s="723" t="s">
        <v>379</v>
      </c>
      <c r="K2245" s="1091">
        <f>ROUND(K2244,1)</f>
        <v>6626</v>
      </c>
      <c r="L2245" s="1087" t="s">
        <v>934</v>
      </c>
      <c r="M2245" s="724"/>
      <c r="N2245" s="724"/>
      <c r="O2245" s="724"/>
      <c r="P2245" s="724"/>
    </row>
    <row r="2246" spans="1:17">
      <c r="A2246" s="836" t="str">
        <f>A445</f>
        <v>(ii)</v>
      </c>
      <c r="B2246" s="723" t="str">
        <f>B445</f>
        <v>For additional / less depth of 1.00m beyond initial depth</v>
      </c>
      <c r="H2246" s="1081"/>
      <c r="J2246" s="723"/>
      <c r="K2246" s="1091"/>
      <c r="L2246" s="1087"/>
      <c r="M2246" s="724"/>
      <c r="N2246" s="724"/>
      <c r="O2246" s="724"/>
      <c r="P2246" s="724"/>
    </row>
    <row r="2247" spans="1:17">
      <c r="B2247" s="723" t="s">
        <v>915</v>
      </c>
      <c r="H2247" s="1081"/>
      <c r="J2247" s="723"/>
      <c r="K2247" s="1091"/>
      <c r="L2247" s="1087"/>
      <c r="M2247" s="724"/>
      <c r="N2247" s="724"/>
      <c r="O2247" s="724"/>
      <c r="P2247" s="724"/>
    </row>
    <row r="2248" spans="1:17">
      <c r="B2248" s="722" t="s">
        <v>935</v>
      </c>
      <c r="H2248" s="1081"/>
      <c r="J2248" s="723"/>
      <c r="K2248" s="1110">
        <f>K2178*12%</f>
        <v>462.89279999999997</v>
      </c>
      <c r="M2248" s="724"/>
      <c r="N2248" s="724"/>
      <c r="O2248" s="724"/>
      <c r="P2248" s="724"/>
    </row>
    <row r="2249" spans="1:17">
      <c r="B2249" s="723" t="s">
        <v>936</v>
      </c>
      <c r="D2249" s="987">
        <f>(R2238*R2238*3.14/4)*1.2</f>
        <v>5.8874999999999997E-2</v>
      </c>
      <c r="E2249" s="722" t="s">
        <v>930</v>
      </c>
      <c r="F2249" s="722"/>
      <c r="G2249" s="1108"/>
      <c r="H2249" s="726">
        <f>H2243</f>
        <v>5165.07</v>
      </c>
      <c r="I2249" s="1081" t="s">
        <v>931</v>
      </c>
      <c r="J2249" s="1109" t="s">
        <v>932</v>
      </c>
      <c r="K2249" s="1091">
        <f>ROUND(D2249*H2249,2)</f>
        <v>304.08999999999997</v>
      </c>
      <c r="L2249" s="1087"/>
      <c r="M2249" s="724"/>
      <c r="N2249" s="724"/>
      <c r="O2249" s="724"/>
      <c r="P2249" s="724"/>
    </row>
    <row r="2250" spans="1:17">
      <c r="H2250" s="1081"/>
      <c r="J2250" s="827" t="s">
        <v>718</v>
      </c>
      <c r="K2250" s="1091">
        <f>SUM(K2248:K2249)</f>
        <v>766.9828</v>
      </c>
      <c r="L2250" s="1087" t="s">
        <v>937</v>
      </c>
      <c r="M2250" s="724"/>
      <c r="N2250" s="724"/>
      <c r="O2250" s="724"/>
      <c r="P2250" s="724"/>
    </row>
    <row r="2251" spans="1:17">
      <c r="B2251" s="723" t="s">
        <v>938</v>
      </c>
      <c r="H2251" s="836">
        <v>4</v>
      </c>
      <c r="I2251" s="836" t="s">
        <v>901</v>
      </c>
      <c r="J2251" s="1091">
        <f>K2250</f>
        <v>766.9828</v>
      </c>
      <c r="K2251" s="1091">
        <f>J2251*H2251</f>
        <v>3067.9312</v>
      </c>
      <c r="L2251" s="1087"/>
      <c r="M2251" s="724"/>
      <c r="N2251" s="724"/>
      <c r="O2251" s="724"/>
      <c r="P2251" s="724"/>
    </row>
    <row r="2252" spans="1:17">
      <c r="B2252" s="723" t="s">
        <v>939</v>
      </c>
      <c r="G2252" s="836"/>
      <c r="H2252" s="1087"/>
      <c r="I2252" s="836"/>
      <c r="J2252" s="1091"/>
      <c r="K2252" s="1091">
        <f>K2244+K2251</f>
        <v>9693.8852000000006</v>
      </c>
      <c r="L2252" s="1087"/>
      <c r="M2252" s="724"/>
      <c r="N2252" s="724"/>
      <c r="O2252" s="724"/>
      <c r="P2252" s="724"/>
    </row>
    <row r="2253" spans="1:17">
      <c r="B2253" s="723"/>
      <c r="G2253" s="836"/>
      <c r="H2253" s="1087"/>
      <c r="I2253" s="836"/>
      <c r="J2253" s="723" t="s">
        <v>379</v>
      </c>
      <c r="K2253" s="1091">
        <f>ROUND(K2252,1)</f>
        <v>9693.9</v>
      </c>
      <c r="L2253" s="1087" t="s">
        <v>934</v>
      </c>
      <c r="M2253" s="724"/>
      <c r="N2253" s="724"/>
      <c r="O2253" s="724"/>
      <c r="P2253" s="724"/>
    </row>
    <row r="2254" spans="1:17">
      <c r="A2254" s="836" t="s">
        <v>470</v>
      </c>
      <c r="B2254" s="723" t="s">
        <v>945</v>
      </c>
      <c r="G2254" s="836"/>
      <c r="H2254" s="1087"/>
      <c r="I2254" s="836"/>
      <c r="J2254" s="723"/>
      <c r="K2254" s="1091"/>
      <c r="L2254" s="1087"/>
      <c r="M2254" s="724"/>
      <c r="N2254" s="724"/>
      <c r="O2254" s="724"/>
      <c r="P2254" s="724"/>
    </row>
    <row r="2255" spans="1:17">
      <c r="B2255" s="723" t="s">
        <v>946</v>
      </c>
      <c r="G2255" s="836"/>
      <c r="H2255" s="1087"/>
      <c r="I2255" s="836"/>
      <c r="J2255" s="723"/>
      <c r="K2255" s="1091"/>
      <c r="L2255" s="1087"/>
      <c r="M2255" s="724"/>
      <c r="N2255" s="724"/>
      <c r="O2255" s="724"/>
      <c r="P2255" s="724"/>
      <c r="Q2255" s="723" t="s">
        <v>947</v>
      </c>
    </row>
    <row r="2256" spans="1:17" ht="60.75" customHeight="1">
      <c r="A2256" s="836">
        <f t="shared" ref="A2256:B2258" si="98">A447</f>
        <v>55</v>
      </c>
      <c r="B2256" s="3386" t="str">
        <f t="shared" si="98"/>
        <v>Providing 12 mm thick C.P. with C.M. (1:6) with screened and washed sharp sand for mortar and finished smooth to the rough surface of walls in all heights after racking out joints etc. complete in all respect as directed by the Engineer in charge.</v>
      </c>
      <c r="C2256" s="3386"/>
      <c r="D2256" s="3386"/>
      <c r="E2256" s="1086" t="str">
        <f>G447</f>
        <v>Each Sqm</v>
      </c>
      <c r="F2256" s="1086"/>
      <c r="G2256" s="987"/>
      <c r="J2256" s="1091"/>
      <c r="K2256" s="1091"/>
    </row>
    <row r="2257" spans="1:11">
      <c r="A2257" s="836" t="str">
        <f t="shared" si="98"/>
        <v>A)</v>
      </c>
      <c r="B2257" s="1107" t="str">
        <f t="shared" si="98"/>
        <v>Inside Plastering</v>
      </c>
      <c r="G2257" s="987"/>
      <c r="J2257" s="726"/>
      <c r="K2257" s="726"/>
    </row>
    <row r="2258" spans="1:11">
      <c r="A2258" s="836" t="str">
        <f t="shared" si="98"/>
        <v>(i)</v>
      </c>
      <c r="B2258" s="723" t="str">
        <f t="shared" si="98"/>
        <v>Ground Floor</v>
      </c>
      <c r="E2258" s="1089" t="str">
        <f>G449</f>
        <v>Each Sqm</v>
      </c>
      <c r="F2258" s="1089"/>
      <c r="G2258" s="987"/>
      <c r="J2258" s="726"/>
      <c r="K2258" s="726"/>
    </row>
    <row r="2259" spans="1:11">
      <c r="B2259" s="722" t="s">
        <v>821</v>
      </c>
      <c r="G2259" s="987"/>
      <c r="J2259" s="726"/>
      <c r="K2259" s="726"/>
    </row>
    <row r="2260" spans="1:11">
      <c r="B2260" s="723" t="s">
        <v>822</v>
      </c>
      <c r="G2260" s="987"/>
      <c r="J2260" s="726"/>
      <c r="K2260" s="726"/>
    </row>
    <row r="2261" spans="1:11">
      <c r="B2261" s="722" t="s">
        <v>775</v>
      </c>
      <c r="G2261" s="987">
        <v>1.4999999999999999E-2</v>
      </c>
      <c r="H2261" s="722" t="s">
        <v>49</v>
      </c>
      <c r="I2261" s="724" t="s">
        <v>49</v>
      </c>
      <c r="J2261" s="726">
        <f>G44</f>
        <v>80.72</v>
      </c>
      <c r="K2261" s="726">
        <f>ROUND(G2261*J2261,2)</f>
        <v>1.21</v>
      </c>
    </row>
    <row r="2262" spans="1:11">
      <c r="B2262" s="722" t="s">
        <v>8</v>
      </c>
      <c r="G2262" s="1092">
        <v>3.5799999999999998E-2</v>
      </c>
      <c r="H2262" s="722" t="s">
        <v>247</v>
      </c>
      <c r="I2262" s="724" t="s">
        <v>247</v>
      </c>
      <c r="J2262" s="726">
        <f>G48/10</f>
        <v>640</v>
      </c>
      <c r="K2262" s="726">
        <f>ROUND(G2262*J2262,2)</f>
        <v>22.91</v>
      </c>
    </row>
    <row r="2263" spans="1:11">
      <c r="G2263" s="987"/>
      <c r="J2263" s="1096" t="s">
        <v>718</v>
      </c>
      <c r="K2263" s="726">
        <f>SUM(K2261:K2262)</f>
        <v>24.12</v>
      </c>
    </row>
    <row r="2264" spans="1:11">
      <c r="B2264" s="723" t="s">
        <v>781</v>
      </c>
      <c r="G2264" s="987"/>
      <c r="J2264" s="726"/>
      <c r="K2264" s="726"/>
    </row>
    <row r="2265" spans="1:11">
      <c r="B2265" s="722" t="s">
        <v>782</v>
      </c>
      <c r="G2265" s="987">
        <v>0.14000000000000001</v>
      </c>
      <c r="H2265" s="722" t="s">
        <v>262</v>
      </c>
      <c r="I2265" s="724" t="s">
        <v>38</v>
      </c>
      <c r="J2265" s="726">
        <f>L131</f>
        <v>264.3</v>
      </c>
      <c r="K2265" s="726">
        <f>ROUND(G2265*J2265,2)</f>
        <v>37</v>
      </c>
    </row>
    <row r="2266" spans="1:11">
      <c r="B2266" s="722" t="s">
        <v>717</v>
      </c>
      <c r="G2266" s="987">
        <v>0.12</v>
      </c>
      <c r="H2266" s="722" t="s">
        <v>262</v>
      </c>
      <c r="I2266" s="724" t="s">
        <v>38</v>
      </c>
      <c r="J2266" s="726">
        <f>L129</f>
        <v>182</v>
      </c>
      <c r="K2266" s="726">
        <f>ROUND(G2266*J2266,2)</f>
        <v>21.84</v>
      </c>
    </row>
    <row r="2267" spans="1:11">
      <c r="G2267" s="987"/>
      <c r="J2267" s="1096" t="s">
        <v>718</v>
      </c>
      <c r="K2267" s="726">
        <f>SUM(K2265:K2266)</f>
        <v>58.84</v>
      </c>
    </row>
    <row r="2268" spans="1:11">
      <c r="B2268" s="723"/>
      <c r="G2268" s="987"/>
      <c r="J2268" s="726"/>
      <c r="K2268" s="726"/>
    </row>
    <row r="2269" spans="1:11">
      <c r="B2269" s="723" t="s">
        <v>783</v>
      </c>
      <c r="G2269" s="987"/>
      <c r="J2269" s="726"/>
      <c r="K2269" s="726"/>
    </row>
    <row r="2270" spans="1:11">
      <c r="B2270" s="722" t="s">
        <v>775</v>
      </c>
      <c r="G2270" s="987">
        <f>G2261</f>
        <v>1.4999999999999999E-2</v>
      </c>
      <c r="H2270" s="722" t="s">
        <v>49</v>
      </c>
      <c r="I2270" s="724" t="s">
        <v>49</v>
      </c>
      <c r="J2270" s="726">
        <f>K44</f>
        <v>731.71</v>
      </c>
      <c r="K2270" s="726">
        <f>ROUND(G2270*J2270,2)</f>
        <v>10.98</v>
      </c>
    </row>
    <row r="2271" spans="1:11">
      <c r="B2271" s="722" t="s">
        <v>8</v>
      </c>
      <c r="G2271" s="1092">
        <f>G2262</f>
        <v>3.5799999999999998E-2</v>
      </c>
      <c r="H2271" s="722" t="s">
        <v>247</v>
      </c>
      <c r="I2271" s="724" t="s">
        <v>247</v>
      </c>
      <c r="J2271" s="726">
        <f>K48/10</f>
        <v>24.786999999999999</v>
      </c>
      <c r="K2271" s="726">
        <f>ROUND(G2271*J2271,2)</f>
        <v>0.89</v>
      </c>
    </row>
    <row r="2272" spans="1:11">
      <c r="G2272" s="987"/>
      <c r="J2272" s="1096" t="s">
        <v>718</v>
      </c>
      <c r="K2272" s="726">
        <f>SUM(K2270:K2271)</f>
        <v>11.870000000000001</v>
      </c>
    </row>
    <row r="2273" spans="1:12">
      <c r="B2273" s="722" t="s">
        <v>825</v>
      </c>
      <c r="G2273" s="987"/>
      <c r="J2273" s="827" t="s">
        <v>718</v>
      </c>
      <c r="K2273" s="1091">
        <f>K2263+K2267+K2268+K2272</f>
        <v>94.830000000000013</v>
      </c>
      <c r="L2273" s="723" t="s">
        <v>730</v>
      </c>
    </row>
    <row r="2274" spans="1:12">
      <c r="A2274" s="836" t="str">
        <f>A450</f>
        <v>(ii)</v>
      </c>
      <c r="B2274" s="723" t="str">
        <f>B450</f>
        <v>First Floor</v>
      </c>
      <c r="E2274" s="1089" t="str">
        <f>G449</f>
        <v>Each Sqm</v>
      </c>
      <c r="F2274" s="1089"/>
      <c r="G2274" s="987"/>
      <c r="J2274" s="726"/>
      <c r="K2274" s="726"/>
    </row>
    <row r="2275" spans="1:12">
      <c r="B2275" s="722" t="s">
        <v>722</v>
      </c>
      <c r="G2275" s="987"/>
      <c r="J2275" s="726"/>
      <c r="K2275" s="726">
        <f>K2273</f>
        <v>94.830000000000013</v>
      </c>
    </row>
    <row r="2276" spans="1:12">
      <c r="B2276" s="722" t="s">
        <v>948</v>
      </c>
      <c r="G2276" s="987"/>
      <c r="J2276" s="726"/>
      <c r="K2276" s="726">
        <f>ROUND(K2267*3%,2)</f>
        <v>1.77</v>
      </c>
    </row>
    <row r="2277" spans="1:12">
      <c r="G2277" s="987"/>
      <c r="J2277" s="827" t="s">
        <v>718</v>
      </c>
      <c r="K2277" s="1091">
        <f>SUM(K2275:K2276)</f>
        <v>96.600000000000009</v>
      </c>
      <c r="L2277" s="723" t="s">
        <v>730</v>
      </c>
    </row>
    <row r="2278" spans="1:12">
      <c r="A2278" s="836" t="str">
        <f>A450</f>
        <v>(ii)</v>
      </c>
      <c r="B2278" s="723" t="s">
        <v>949</v>
      </c>
      <c r="E2278" s="1089" t="str">
        <f>G450</f>
        <v>Each Sqm</v>
      </c>
      <c r="F2278" s="1089"/>
      <c r="G2278" s="987"/>
      <c r="J2278" s="726"/>
      <c r="K2278" s="726"/>
    </row>
    <row r="2279" spans="1:12">
      <c r="B2279" s="722" t="s">
        <v>950</v>
      </c>
      <c r="G2279" s="987"/>
      <c r="J2279" s="726"/>
      <c r="K2279" s="726">
        <f>K2277</f>
        <v>96.600000000000009</v>
      </c>
    </row>
    <row r="2280" spans="1:12">
      <c r="B2280" s="722" t="s">
        <v>948</v>
      </c>
      <c r="G2280" s="987"/>
      <c r="J2280" s="726"/>
      <c r="K2280" s="726">
        <f>ROUND(K2276+K2276*3%,2)</f>
        <v>1.82</v>
      </c>
    </row>
    <row r="2281" spans="1:12">
      <c r="G2281" s="987"/>
      <c r="J2281" s="827" t="s">
        <v>718</v>
      </c>
      <c r="K2281" s="1091">
        <f>SUM(K2279:K2280)</f>
        <v>98.42</v>
      </c>
      <c r="L2281" s="723" t="s">
        <v>730</v>
      </c>
    </row>
    <row r="2282" spans="1:12">
      <c r="A2282" s="836" t="str">
        <f t="shared" ref="A2282:B2284" si="99">A451</f>
        <v>B)</v>
      </c>
      <c r="B2282" s="723" t="str">
        <f t="shared" si="99"/>
        <v>Outside Plastering</v>
      </c>
      <c r="E2282" s="1089" t="str">
        <f>G451</f>
        <v>Each Sqm</v>
      </c>
      <c r="F2282" s="1089"/>
      <c r="G2282" s="987"/>
      <c r="J2282" s="726"/>
      <c r="K2282" s="1091"/>
    </row>
    <row r="2283" spans="1:12">
      <c r="A2283" s="836" t="str">
        <f t="shared" si="99"/>
        <v>(i)</v>
      </c>
      <c r="B2283" s="723" t="str">
        <f t="shared" si="99"/>
        <v>Ground Floor</v>
      </c>
      <c r="E2283" s="1089" t="str">
        <f>G452</f>
        <v>Each Sqm</v>
      </c>
      <c r="F2283" s="1089"/>
      <c r="G2283" s="987"/>
      <c r="J2283" s="726"/>
      <c r="K2283" s="1091">
        <f>K2273</f>
        <v>94.830000000000013</v>
      </c>
      <c r="L2283" s="723" t="s">
        <v>730</v>
      </c>
    </row>
    <row r="2284" spans="1:12">
      <c r="A2284" s="836" t="str">
        <f t="shared" si="99"/>
        <v>(ii)</v>
      </c>
      <c r="B2284" s="723" t="str">
        <f t="shared" si="99"/>
        <v>First Floor</v>
      </c>
      <c r="E2284" s="1089" t="str">
        <f>G453</f>
        <v>Each Sqm</v>
      </c>
      <c r="F2284" s="1089"/>
      <c r="G2284" s="987"/>
      <c r="J2284" s="726"/>
      <c r="K2284" s="726"/>
    </row>
    <row r="2285" spans="1:12">
      <c r="B2285" s="722" t="s">
        <v>722</v>
      </c>
      <c r="G2285" s="987"/>
      <c r="J2285" s="726"/>
      <c r="K2285" s="726">
        <f>K2273</f>
        <v>94.830000000000013</v>
      </c>
    </row>
    <row r="2286" spans="1:12">
      <c r="B2286" s="722" t="s">
        <v>723</v>
      </c>
      <c r="G2286" s="987"/>
      <c r="J2286" s="726"/>
      <c r="K2286" s="726">
        <f>ROUND(K2267*5%,2)</f>
        <v>2.94</v>
      </c>
    </row>
    <row r="2287" spans="1:12">
      <c r="G2287" s="987"/>
      <c r="J2287" s="827" t="s">
        <v>718</v>
      </c>
      <c r="K2287" s="1091">
        <f>SUM(K2285:K2286)</f>
        <v>97.77000000000001</v>
      </c>
      <c r="L2287" s="723" t="s">
        <v>730</v>
      </c>
    </row>
    <row r="2288" spans="1:12" ht="72.75" customHeight="1">
      <c r="A2288" s="836">
        <f>A454</f>
        <v>56</v>
      </c>
      <c r="B2288" s="3386" t="str">
        <f>B454</f>
        <v>Providing 12 mm thick CP with CM (1:4) and punning  for skirting in walls for dadoo with screened and washed sharp sand for mortar and finished smooth to the rough surface of walls including watering and curing etc. complete in all respect as directed by the Engineer in charge.</v>
      </c>
      <c r="C2288" s="3386"/>
      <c r="D2288" s="3386"/>
      <c r="E2288" s="1086" t="str">
        <f>G454</f>
        <v>Each Sqm</v>
      </c>
      <c r="F2288" s="1086"/>
      <c r="G2288" s="987"/>
      <c r="J2288" s="1091"/>
      <c r="K2288" s="1091"/>
    </row>
    <row r="2289" spans="1:12">
      <c r="A2289" s="836" t="str">
        <f>A455</f>
        <v>(i)</v>
      </c>
      <c r="B2289" s="723" t="str">
        <f>B455</f>
        <v>Ground Floor</v>
      </c>
      <c r="E2289" s="1089" t="str">
        <f>G455</f>
        <v>Each Sqm</v>
      </c>
      <c r="F2289" s="1089"/>
      <c r="G2289" s="987"/>
      <c r="J2289" s="726"/>
      <c r="K2289" s="726"/>
    </row>
    <row r="2290" spans="1:12">
      <c r="B2290" s="722" t="s">
        <v>821</v>
      </c>
      <c r="G2290" s="987"/>
      <c r="J2290" s="726"/>
      <c r="K2290" s="726"/>
    </row>
    <row r="2291" spans="1:12">
      <c r="B2291" s="723" t="s">
        <v>822</v>
      </c>
      <c r="G2291" s="987"/>
      <c r="J2291" s="726"/>
      <c r="K2291" s="726"/>
    </row>
    <row r="2292" spans="1:12">
      <c r="B2292" s="722" t="s">
        <v>775</v>
      </c>
      <c r="G2292" s="987">
        <v>1.4999999999999999E-2</v>
      </c>
      <c r="H2292" s="722" t="s">
        <v>49</v>
      </c>
      <c r="I2292" s="724" t="s">
        <v>49</v>
      </c>
      <c r="J2292" s="726">
        <f>G44</f>
        <v>80.72</v>
      </c>
      <c r="K2292" s="726">
        <f>ROUND(G2292*J2292,2)</f>
        <v>1.21</v>
      </c>
    </row>
    <row r="2293" spans="1:12">
      <c r="B2293" s="722" t="s">
        <v>8</v>
      </c>
      <c r="G2293" s="1092">
        <v>6.4399999999999999E-2</v>
      </c>
      <c r="H2293" s="722" t="s">
        <v>247</v>
      </c>
      <c r="I2293" s="724" t="s">
        <v>247</v>
      </c>
      <c r="J2293" s="726">
        <f>G48/10</f>
        <v>640</v>
      </c>
      <c r="K2293" s="726">
        <f>ROUND(G2293*J2293,2)</f>
        <v>41.22</v>
      </c>
    </row>
    <row r="2294" spans="1:12">
      <c r="G2294" s="987"/>
      <c r="J2294" s="1096" t="s">
        <v>718</v>
      </c>
      <c r="K2294" s="726">
        <f>SUM(K2292:K2293)</f>
        <v>42.43</v>
      </c>
    </row>
    <row r="2295" spans="1:12">
      <c r="B2295" s="723" t="s">
        <v>781</v>
      </c>
      <c r="G2295" s="987"/>
      <c r="J2295" s="726"/>
      <c r="K2295" s="726"/>
    </row>
    <row r="2296" spans="1:12">
      <c r="B2296" s="722" t="s">
        <v>782</v>
      </c>
      <c r="G2296" s="987">
        <v>0.15</v>
      </c>
      <c r="H2296" s="722" t="s">
        <v>262</v>
      </c>
      <c r="I2296" s="724" t="s">
        <v>38</v>
      </c>
      <c r="J2296" s="726">
        <f>L131</f>
        <v>264.3</v>
      </c>
      <c r="K2296" s="726">
        <f>ROUND(G2296*J2296,2)</f>
        <v>39.65</v>
      </c>
    </row>
    <row r="2297" spans="1:12">
      <c r="B2297" s="722" t="s">
        <v>717</v>
      </c>
      <c r="G2297" s="987">
        <v>0.11</v>
      </c>
      <c r="H2297" s="722" t="s">
        <v>262</v>
      </c>
      <c r="I2297" s="724" t="s">
        <v>38</v>
      </c>
      <c r="J2297" s="726">
        <f>L129</f>
        <v>182</v>
      </c>
      <c r="K2297" s="726">
        <f>ROUND(G2297*J2297,2)</f>
        <v>20.02</v>
      </c>
    </row>
    <row r="2298" spans="1:12">
      <c r="G2298" s="987"/>
      <c r="J2298" s="1096" t="s">
        <v>718</v>
      </c>
      <c r="K2298" s="726">
        <f>SUM(K2296:K2297)</f>
        <v>59.67</v>
      </c>
    </row>
    <row r="2299" spans="1:12">
      <c r="B2299" s="723"/>
      <c r="G2299" s="987"/>
      <c r="J2299" s="726"/>
      <c r="K2299" s="726"/>
    </row>
    <row r="2300" spans="1:12">
      <c r="B2300" s="723" t="s">
        <v>783</v>
      </c>
      <c r="G2300" s="987"/>
      <c r="J2300" s="726"/>
      <c r="K2300" s="726"/>
    </row>
    <row r="2301" spans="1:12">
      <c r="B2301" s="722" t="s">
        <v>775</v>
      </c>
      <c r="G2301" s="987">
        <f>G2292</f>
        <v>1.4999999999999999E-2</v>
      </c>
      <c r="H2301" s="722" t="s">
        <v>49</v>
      </c>
      <c r="I2301" s="724" t="s">
        <v>49</v>
      </c>
      <c r="J2301" s="726">
        <f>K44</f>
        <v>731.71</v>
      </c>
      <c r="K2301" s="726">
        <f>ROUND(G2301*J2301,2)</f>
        <v>10.98</v>
      </c>
    </row>
    <row r="2302" spans="1:12">
      <c r="B2302" s="722" t="s">
        <v>8</v>
      </c>
      <c r="G2302" s="1092">
        <f>G2293</f>
        <v>6.4399999999999999E-2</v>
      </c>
      <c r="H2302" s="722" t="s">
        <v>247</v>
      </c>
      <c r="I2302" s="724" t="s">
        <v>247</v>
      </c>
      <c r="J2302" s="726">
        <f>K48/10</f>
        <v>24.786999999999999</v>
      </c>
      <c r="K2302" s="726">
        <f>ROUND(G2302*J2302,2)</f>
        <v>1.6</v>
      </c>
    </row>
    <row r="2303" spans="1:12">
      <c r="G2303" s="987"/>
      <c r="J2303" s="1096" t="s">
        <v>718</v>
      </c>
      <c r="K2303" s="726">
        <f>SUM(K2301:K2302)</f>
        <v>12.58</v>
      </c>
    </row>
    <row r="2304" spans="1:12">
      <c r="B2304" s="722" t="s">
        <v>825</v>
      </c>
      <c r="G2304" s="987"/>
      <c r="J2304" s="827" t="s">
        <v>718</v>
      </c>
      <c r="K2304" s="1091">
        <f>K2294+K2298+K2299+K2303</f>
        <v>114.67999999999999</v>
      </c>
      <c r="L2304" s="723" t="s">
        <v>730</v>
      </c>
    </row>
    <row r="2305" spans="1:16">
      <c r="A2305" s="836" t="str">
        <f>A2274</f>
        <v>(ii)</v>
      </c>
      <c r="B2305" s="723" t="str">
        <f>B2274</f>
        <v>First Floor</v>
      </c>
      <c r="E2305" s="1089" t="str">
        <f>E2289</f>
        <v>Each Sqm</v>
      </c>
      <c r="F2305" s="1089"/>
      <c r="G2305" s="987"/>
      <c r="J2305" s="726"/>
      <c r="K2305" s="726"/>
    </row>
    <row r="2306" spans="1:16">
      <c r="B2306" s="722" t="s">
        <v>722</v>
      </c>
      <c r="G2306" s="987"/>
      <c r="J2306" s="726"/>
      <c r="K2306" s="726">
        <f>K2304</f>
        <v>114.67999999999999</v>
      </c>
    </row>
    <row r="2307" spans="1:16">
      <c r="B2307" s="722" t="s">
        <v>948</v>
      </c>
      <c r="G2307" s="987"/>
      <c r="J2307" s="726"/>
      <c r="K2307" s="726">
        <f>ROUND(K2298*3%,2)</f>
        <v>1.79</v>
      </c>
    </row>
    <row r="2308" spans="1:16">
      <c r="G2308" s="987"/>
      <c r="J2308" s="827" t="s">
        <v>718</v>
      </c>
      <c r="K2308" s="1091">
        <f>SUM(K2306:K2307)</f>
        <v>116.47</v>
      </c>
      <c r="L2308" s="723" t="s">
        <v>730</v>
      </c>
    </row>
    <row r="2309" spans="1:16" ht="72.75" customHeight="1">
      <c r="A2309" s="836">
        <f>A457</f>
        <v>57</v>
      </c>
      <c r="B2309" s="3386" t="str">
        <f>B457</f>
        <v>Providing 12 mm thick CP with CM (1:4)punning &amp; coaltaring onecoat on top of wall surface with screened and washed sharp sand for mortar and finished smooth to the rough surface of walls  including watering and curing  etc. complete in all respect as directed by the Engineer in charge.</v>
      </c>
      <c r="C2309" s="3386"/>
      <c r="D2309" s="3386"/>
      <c r="E2309" s="1086" t="str">
        <f>G457</f>
        <v>Each Sqm</v>
      </c>
      <c r="F2309" s="1086"/>
      <c r="G2309" s="987"/>
      <c r="J2309" s="1091"/>
      <c r="K2309" s="1091"/>
    </row>
    <row r="2310" spans="1:16">
      <c r="A2310" s="836" t="str">
        <f>A458</f>
        <v>(i)</v>
      </c>
      <c r="B2310" s="723" t="str">
        <f>B458</f>
        <v>Ground Floor</v>
      </c>
      <c r="E2310" s="1089" t="str">
        <f>G458</f>
        <v>Each Sqm</v>
      </c>
      <c r="F2310" s="1089"/>
      <c r="G2310" s="987"/>
      <c r="J2310" s="726"/>
      <c r="K2310" s="726"/>
    </row>
    <row r="2311" spans="1:16">
      <c r="B2311" s="722" t="s">
        <v>951</v>
      </c>
      <c r="E2311" s="966"/>
      <c r="F2311" s="966"/>
      <c r="G2311" s="987"/>
      <c r="H2311" s="1081"/>
      <c r="J2311" s="761"/>
      <c r="K2311" s="1091">
        <f>K2304</f>
        <v>114.67999999999999</v>
      </c>
      <c r="L2311" s="723" t="s">
        <v>730</v>
      </c>
      <c r="M2311" s="724"/>
      <c r="N2311" s="724"/>
      <c r="O2311" s="724"/>
      <c r="P2311" s="724"/>
    </row>
    <row r="2312" spans="1:16">
      <c r="B2312" s="723" t="s">
        <v>952</v>
      </c>
      <c r="E2312" s="966"/>
      <c r="F2312" s="966"/>
      <c r="G2312" s="987"/>
      <c r="H2312" s="1081"/>
      <c r="J2312" s="761"/>
      <c r="K2312" s="726"/>
      <c r="L2312" s="1087"/>
      <c r="M2312" s="724"/>
      <c r="N2312" s="724"/>
      <c r="O2312" s="724"/>
      <c r="P2312" s="724"/>
    </row>
    <row r="2313" spans="1:16">
      <c r="B2313" s="722" t="s">
        <v>953</v>
      </c>
      <c r="E2313" s="966"/>
      <c r="F2313" s="966"/>
      <c r="G2313" s="987"/>
      <c r="H2313" s="1081"/>
      <c r="J2313" s="761"/>
      <c r="K2313" s="726"/>
      <c r="L2313" s="1087"/>
      <c r="M2313" s="724"/>
      <c r="N2313" s="724"/>
      <c r="O2313" s="724"/>
      <c r="P2313" s="724"/>
    </row>
    <row r="2314" spans="1:16">
      <c r="B2314" s="723" t="s">
        <v>954</v>
      </c>
      <c r="G2314" s="987"/>
      <c r="J2314" s="726"/>
      <c r="K2314" s="726"/>
    </row>
    <row r="2315" spans="1:16">
      <c r="B2315" s="722" t="s">
        <v>717</v>
      </c>
      <c r="G2315" s="987">
        <v>1</v>
      </c>
      <c r="H2315" s="722" t="s">
        <v>262</v>
      </c>
      <c r="I2315" s="724" t="s">
        <v>38</v>
      </c>
      <c r="J2315" s="726">
        <f>L129</f>
        <v>182</v>
      </c>
      <c r="K2315" s="726">
        <f>ROUND(G2315*J2315,2)</f>
        <v>182</v>
      </c>
    </row>
    <row r="2316" spans="1:16">
      <c r="B2316" s="723"/>
      <c r="G2316" s="987"/>
      <c r="J2316" s="726"/>
      <c r="K2316" s="726"/>
    </row>
    <row r="2317" spans="1:16">
      <c r="B2317" s="723" t="s">
        <v>955</v>
      </c>
      <c r="E2317" s="966"/>
      <c r="F2317" s="966"/>
      <c r="G2317" s="987"/>
      <c r="H2317" s="1081"/>
      <c r="J2317" s="761"/>
      <c r="K2317" s="726">
        <f>ROUND(K2315*2%,2)</f>
        <v>3.64</v>
      </c>
      <c r="L2317" s="1087"/>
      <c r="M2317" s="724"/>
      <c r="N2317" s="724"/>
      <c r="O2317" s="724"/>
      <c r="P2317" s="724"/>
    </row>
    <row r="2318" spans="1:16">
      <c r="B2318" s="723" t="s">
        <v>956</v>
      </c>
      <c r="E2318" s="966"/>
      <c r="F2318" s="966"/>
      <c r="G2318" s="987"/>
      <c r="H2318" s="1081"/>
      <c r="J2318" s="827" t="s">
        <v>718</v>
      </c>
      <c r="K2318" s="726">
        <f>SUM(K2315:K2317)</f>
        <v>185.64</v>
      </c>
      <c r="L2318" s="1087"/>
      <c r="M2318" s="724"/>
      <c r="N2318" s="724"/>
      <c r="O2318" s="724"/>
      <c r="P2318" s="724"/>
    </row>
    <row r="2319" spans="1:16">
      <c r="B2319" s="723" t="s">
        <v>957</v>
      </c>
      <c r="E2319" s="966"/>
      <c r="F2319" s="966"/>
      <c r="G2319" s="987"/>
      <c r="H2319" s="1081"/>
      <c r="J2319" s="761"/>
      <c r="K2319" s="726">
        <f>ROUND(K2318/9.3,2)</f>
        <v>19.96</v>
      </c>
      <c r="L2319" s="1087"/>
      <c r="M2319" s="724"/>
      <c r="N2319" s="724"/>
      <c r="O2319" s="724"/>
      <c r="P2319" s="724"/>
    </row>
    <row r="2320" spans="1:16">
      <c r="B2320" s="723" t="s">
        <v>958</v>
      </c>
      <c r="E2320" s="966"/>
      <c r="F2320" s="966"/>
      <c r="G2320" s="987">
        <v>0.18</v>
      </c>
      <c r="H2320" s="722" t="s">
        <v>294</v>
      </c>
      <c r="I2320" s="724" t="s">
        <v>294</v>
      </c>
      <c r="J2320" s="726">
        <f>L85</f>
        <v>63.237870000000001</v>
      </c>
      <c r="K2320" s="726">
        <f>ROUND(G2320*J2320,2)</f>
        <v>11.38</v>
      </c>
      <c r="L2320" s="1087"/>
      <c r="M2320" s="724"/>
      <c r="N2320" s="724"/>
      <c r="O2320" s="724"/>
      <c r="P2320" s="724"/>
    </row>
    <row r="2321" spans="1:16">
      <c r="B2321" s="722" t="s">
        <v>959</v>
      </c>
      <c r="E2321" s="966"/>
      <c r="F2321" s="966"/>
      <c r="G2321" s="987"/>
      <c r="H2321" s="1081"/>
      <c r="J2321" s="761"/>
      <c r="K2321" s="1091">
        <f>K2319+K2320</f>
        <v>31.340000000000003</v>
      </c>
      <c r="L2321" s="1087"/>
      <c r="M2321" s="724"/>
      <c r="N2321" s="724"/>
      <c r="O2321" s="724"/>
      <c r="P2321" s="724"/>
    </row>
    <row r="2322" spans="1:16">
      <c r="G2322" s="987"/>
      <c r="H2322" s="1081"/>
      <c r="J2322" s="827" t="s">
        <v>718</v>
      </c>
      <c r="K2322" s="1091">
        <f>K2311+K2321</f>
        <v>146.01999999999998</v>
      </c>
      <c r="L2322" s="723" t="s">
        <v>730</v>
      </c>
      <c r="M2322" s="724"/>
      <c r="N2322" s="724"/>
      <c r="O2322" s="724"/>
      <c r="P2322" s="724"/>
    </row>
    <row r="2323" spans="1:16">
      <c r="A2323" s="836" t="str">
        <f>A2305</f>
        <v>(ii)</v>
      </c>
      <c r="B2323" s="723" t="str">
        <f>B2305</f>
        <v>First Floor</v>
      </c>
      <c r="E2323" s="1089" t="str">
        <f>E2310</f>
        <v>Each Sqm</v>
      </c>
      <c r="F2323" s="1089"/>
      <c r="G2323" s="987"/>
      <c r="J2323" s="726"/>
      <c r="K2323" s="726"/>
    </row>
    <row r="2324" spans="1:16">
      <c r="B2324" s="722" t="s">
        <v>951</v>
      </c>
      <c r="G2324" s="987"/>
      <c r="J2324" s="726"/>
      <c r="K2324" s="726">
        <f>K2308</f>
        <v>116.47</v>
      </c>
    </row>
    <row r="2325" spans="1:16">
      <c r="B2325" s="722" t="s">
        <v>960</v>
      </c>
      <c r="C2325" s="722" t="s">
        <v>961</v>
      </c>
      <c r="G2325" s="987"/>
      <c r="J2325" s="726"/>
      <c r="K2325" s="726">
        <f>K2321</f>
        <v>31.340000000000003</v>
      </c>
    </row>
    <row r="2326" spans="1:16">
      <c r="B2326" s="722" t="s">
        <v>948</v>
      </c>
      <c r="G2326" s="987"/>
      <c r="J2326" s="726"/>
      <c r="K2326" s="726">
        <f>ROUND(K2315/9.3*3%,2)</f>
        <v>0.59</v>
      </c>
    </row>
    <row r="2327" spans="1:16">
      <c r="G2327" s="987"/>
      <c r="J2327" s="827" t="s">
        <v>718</v>
      </c>
      <c r="K2327" s="1091">
        <f>SUM(K2324:K2326)</f>
        <v>148.4</v>
      </c>
      <c r="L2327" s="723" t="s">
        <v>730</v>
      </c>
    </row>
    <row r="2328" spans="1:16" ht="60" customHeight="1">
      <c r="A2328" s="836">
        <f>A460</f>
        <v>58</v>
      </c>
      <c r="B2328" s="3386" t="str">
        <f>B460</f>
        <v>Providing 16 mm thick C.P. with C.M. (1:6) with screened and washed sharp sand for mortar and finished smooth to the rough surface of walls in all heights after racking out joints  etc. complete in all respect as directed by the Engineer in charge.</v>
      </c>
      <c r="C2328" s="3386"/>
      <c r="D2328" s="3386"/>
      <c r="E2328" s="1086" t="str">
        <f>G460</f>
        <v>Each Sqm</v>
      </c>
      <c r="F2328" s="1086"/>
      <c r="G2328" s="987"/>
      <c r="J2328" s="1091"/>
      <c r="K2328" s="1091"/>
    </row>
    <row r="2329" spans="1:16">
      <c r="A2329" s="836" t="str">
        <f>A461</f>
        <v>(i)</v>
      </c>
      <c r="B2329" s="723" t="str">
        <f>B461</f>
        <v>Ground Floor</v>
      </c>
      <c r="C2329" s="723"/>
      <c r="D2329" s="723"/>
      <c r="E2329" s="1089" t="str">
        <f>G461</f>
        <v>Each Sqm</v>
      </c>
      <c r="F2329" s="1089"/>
      <c r="G2329" s="1098"/>
      <c r="H2329" s="723"/>
      <c r="I2329" s="836"/>
      <c r="J2329" s="1091"/>
      <c r="K2329" s="1091"/>
    </row>
    <row r="2330" spans="1:16">
      <c r="B2330" s="722" t="s">
        <v>821</v>
      </c>
      <c r="G2330" s="987"/>
      <c r="J2330" s="726"/>
      <c r="K2330" s="726"/>
    </row>
    <row r="2331" spans="1:16">
      <c r="B2331" s="723" t="s">
        <v>822</v>
      </c>
      <c r="G2331" s="987"/>
      <c r="J2331" s="726"/>
      <c r="K2331" s="726"/>
    </row>
    <row r="2332" spans="1:16">
      <c r="B2332" s="722" t="s">
        <v>775</v>
      </c>
      <c r="G2332" s="987">
        <v>1.7999999999999999E-2</v>
      </c>
      <c r="H2332" s="722" t="s">
        <v>49</v>
      </c>
      <c r="I2332" s="724" t="s">
        <v>49</v>
      </c>
      <c r="J2332" s="726">
        <f>G44</f>
        <v>80.72</v>
      </c>
      <c r="K2332" s="726">
        <f>ROUND(G2332*J2332,2)</f>
        <v>1.45</v>
      </c>
    </row>
    <row r="2333" spans="1:16">
      <c r="B2333" s="722" t="s">
        <v>8</v>
      </c>
      <c r="G2333" s="987">
        <v>4.2999999999999997E-2</v>
      </c>
      <c r="H2333" s="722" t="s">
        <v>247</v>
      </c>
      <c r="I2333" s="724" t="s">
        <v>247</v>
      </c>
      <c r="J2333" s="726">
        <f>G48/10</f>
        <v>640</v>
      </c>
      <c r="K2333" s="726">
        <f>ROUND(G2333*J2333,2)</f>
        <v>27.52</v>
      </c>
    </row>
    <row r="2334" spans="1:16">
      <c r="G2334" s="987"/>
      <c r="J2334" s="1096" t="s">
        <v>718</v>
      </c>
      <c r="K2334" s="726">
        <f>SUM(K2332:K2333)</f>
        <v>28.97</v>
      </c>
    </row>
    <row r="2335" spans="1:16">
      <c r="B2335" s="723" t="s">
        <v>781</v>
      </c>
      <c r="G2335" s="987"/>
      <c r="J2335" s="726"/>
      <c r="K2335" s="726"/>
    </row>
    <row r="2336" spans="1:16">
      <c r="B2336" s="722" t="s">
        <v>782</v>
      </c>
      <c r="G2336" s="987">
        <v>0.16</v>
      </c>
      <c r="H2336" s="722" t="s">
        <v>262</v>
      </c>
      <c r="I2336" s="724" t="s">
        <v>38</v>
      </c>
      <c r="J2336" s="726">
        <f>L131</f>
        <v>264.3</v>
      </c>
      <c r="K2336" s="726">
        <f>ROUND(G2336*J2336,2)</f>
        <v>42.29</v>
      </c>
    </row>
    <row r="2337" spans="1:12">
      <c r="B2337" s="722" t="s">
        <v>717</v>
      </c>
      <c r="G2337" s="987">
        <v>0.24</v>
      </c>
      <c r="H2337" s="722" t="s">
        <v>262</v>
      </c>
      <c r="I2337" s="724" t="s">
        <v>38</v>
      </c>
      <c r="J2337" s="726">
        <f>L129</f>
        <v>182</v>
      </c>
      <c r="K2337" s="726">
        <f>ROUND(G2337*J2337,2)</f>
        <v>43.68</v>
      </c>
    </row>
    <row r="2338" spans="1:12">
      <c r="G2338" s="987"/>
      <c r="J2338" s="1096" t="s">
        <v>718</v>
      </c>
      <c r="K2338" s="726">
        <f>SUM(K2336:K2337)</f>
        <v>85.97</v>
      </c>
    </row>
    <row r="2339" spans="1:12">
      <c r="B2339" s="723"/>
      <c r="G2339" s="987"/>
      <c r="J2339" s="726"/>
      <c r="K2339" s="726"/>
    </row>
    <row r="2340" spans="1:12">
      <c r="B2340" s="723" t="s">
        <v>783</v>
      </c>
      <c r="G2340" s="987"/>
      <c r="J2340" s="726"/>
      <c r="K2340" s="726"/>
    </row>
    <row r="2341" spans="1:12">
      <c r="B2341" s="722" t="s">
        <v>775</v>
      </c>
      <c r="G2341" s="987">
        <f>G2332</f>
        <v>1.7999999999999999E-2</v>
      </c>
      <c r="H2341" s="722" t="s">
        <v>49</v>
      </c>
      <c r="I2341" s="724" t="s">
        <v>49</v>
      </c>
      <c r="J2341" s="726">
        <f>K44</f>
        <v>731.71</v>
      </c>
      <c r="K2341" s="726">
        <f>ROUND(G2341*J2341,2)</f>
        <v>13.17</v>
      </c>
    </row>
    <row r="2342" spans="1:12">
      <c r="B2342" s="722" t="s">
        <v>8</v>
      </c>
      <c r="G2342" s="987">
        <f>G2333</f>
        <v>4.2999999999999997E-2</v>
      </c>
      <c r="H2342" s="722" t="s">
        <v>247</v>
      </c>
      <c r="I2342" s="724" t="s">
        <v>247</v>
      </c>
      <c r="J2342" s="726">
        <f>K48/10</f>
        <v>24.786999999999999</v>
      </c>
      <c r="K2342" s="726">
        <f>ROUND(G2342*J2342,2)</f>
        <v>1.07</v>
      </c>
    </row>
    <row r="2343" spans="1:12">
      <c r="G2343" s="987"/>
      <c r="J2343" s="1096" t="s">
        <v>718</v>
      </c>
      <c r="K2343" s="726">
        <f>SUM(K2341:K2342)</f>
        <v>14.24</v>
      </c>
    </row>
    <row r="2344" spans="1:12">
      <c r="B2344" s="722" t="s">
        <v>825</v>
      </c>
      <c r="G2344" s="987"/>
      <c r="J2344" s="827" t="s">
        <v>718</v>
      </c>
      <c r="K2344" s="1091">
        <f>K2334+K2338+K2339+K2343</f>
        <v>129.18</v>
      </c>
      <c r="L2344" s="723" t="s">
        <v>730</v>
      </c>
    </row>
    <row r="2345" spans="1:12">
      <c r="A2345" s="836" t="str">
        <f>A462</f>
        <v>(ii)</v>
      </c>
      <c r="B2345" s="723" t="str">
        <f>B462</f>
        <v>First Floor</v>
      </c>
      <c r="E2345" s="1089" t="str">
        <f>G462</f>
        <v>Each Sqm</v>
      </c>
      <c r="F2345" s="1089"/>
      <c r="G2345" s="987"/>
      <c r="J2345" s="726"/>
      <c r="K2345" s="726"/>
    </row>
    <row r="2346" spans="1:12">
      <c r="B2346" s="722" t="s">
        <v>722</v>
      </c>
      <c r="G2346" s="987"/>
      <c r="J2346" s="726"/>
      <c r="K2346" s="726">
        <f>K2344</f>
        <v>129.18</v>
      </c>
    </row>
    <row r="2347" spans="1:12">
      <c r="B2347" s="722" t="s">
        <v>948</v>
      </c>
      <c r="G2347" s="987"/>
      <c r="J2347" s="726"/>
      <c r="K2347" s="726">
        <f>ROUND(K2338*3%,2)</f>
        <v>2.58</v>
      </c>
    </row>
    <row r="2348" spans="1:12">
      <c r="G2348" s="987"/>
      <c r="J2348" s="827" t="s">
        <v>718</v>
      </c>
      <c r="K2348" s="1091">
        <f>SUM(K2346:K2347)</f>
        <v>131.76000000000002</v>
      </c>
      <c r="L2348" s="723" t="s">
        <v>730</v>
      </c>
    </row>
    <row r="2349" spans="1:12" ht="75" customHeight="1">
      <c r="A2349" s="836">
        <f>A463</f>
        <v>59</v>
      </c>
      <c r="B2349" s="3386" t="str">
        <f>B463</f>
        <v>Providing 16 mm thick C.P. with C.M. (1:6) with Punning with screened and washed sharp sand for mortar and finished smooth to the rough surface of walls in all heights after racking out joints  etc. complete in all respect as directed by the Engineer in charge.</v>
      </c>
      <c r="C2349" s="3386"/>
      <c r="D2349" s="3386"/>
      <c r="E2349" s="1086" t="str">
        <f>G497</f>
        <v>Each Sqm</v>
      </c>
      <c r="F2349" s="1086"/>
      <c r="G2349" s="987"/>
      <c r="J2349" s="1091"/>
      <c r="K2349" s="1091"/>
    </row>
    <row r="2350" spans="1:12">
      <c r="A2350" s="836" t="str">
        <f>A498</f>
        <v>(i)</v>
      </c>
      <c r="B2350" s="723" t="str">
        <f>B498</f>
        <v>Ground Floor</v>
      </c>
      <c r="C2350" s="723"/>
      <c r="D2350" s="723"/>
      <c r="E2350" s="1089" t="str">
        <f>G498</f>
        <v>Each Sqm</v>
      </c>
      <c r="F2350" s="1089"/>
      <c r="G2350" s="1098"/>
      <c r="H2350" s="723"/>
      <c r="I2350" s="836"/>
      <c r="J2350" s="1091"/>
      <c r="K2350" s="1091"/>
    </row>
    <row r="2351" spans="1:12">
      <c r="B2351" s="722" t="s">
        <v>821</v>
      </c>
      <c r="G2351" s="987"/>
      <c r="J2351" s="726"/>
      <c r="K2351" s="726"/>
    </row>
    <row r="2352" spans="1:12">
      <c r="B2352" s="723" t="s">
        <v>822</v>
      </c>
      <c r="G2352" s="987"/>
      <c r="J2352" s="726"/>
      <c r="K2352" s="726"/>
    </row>
    <row r="2353" spans="1:12">
      <c r="B2353" s="722" t="s">
        <v>775</v>
      </c>
      <c r="G2353" s="987">
        <v>1.7999999999999999E-2</v>
      </c>
      <c r="H2353" s="722" t="s">
        <v>49</v>
      </c>
      <c r="I2353" s="724" t="s">
        <v>49</v>
      </c>
      <c r="J2353" s="726">
        <f>G44</f>
        <v>80.72</v>
      </c>
      <c r="K2353" s="726">
        <f>ROUND(G2353*J2353,2)</f>
        <v>1.45</v>
      </c>
    </row>
    <row r="2354" spans="1:12">
      <c r="B2354" s="722" t="s">
        <v>8</v>
      </c>
      <c r="G2354" s="1092">
        <v>5.4399999999999997E-2</v>
      </c>
      <c r="H2354" s="722" t="s">
        <v>247</v>
      </c>
      <c r="I2354" s="724" t="s">
        <v>247</v>
      </c>
      <c r="J2354" s="726">
        <f>G48/10</f>
        <v>640</v>
      </c>
      <c r="K2354" s="726">
        <f>ROUND(G2354*J2354,2)</f>
        <v>34.82</v>
      </c>
    </row>
    <row r="2355" spans="1:12">
      <c r="G2355" s="987"/>
      <c r="J2355" s="1096" t="s">
        <v>718</v>
      </c>
      <c r="K2355" s="726">
        <f>SUM(K2353:K2354)</f>
        <v>36.270000000000003</v>
      </c>
    </row>
    <row r="2356" spans="1:12">
      <c r="B2356" s="723" t="s">
        <v>781</v>
      </c>
      <c r="G2356" s="987"/>
      <c r="J2356" s="726"/>
      <c r="K2356" s="726"/>
    </row>
    <row r="2357" spans="1:12">
      <c r="B2357" s="722" t="s">
        <v>782</v>
      </c>
      <c r="G2357" s="987">
        <v>0.187</v>
      </c>
      <c r="H2357" s="722" t="s">
        <v>262</v>
      </c>
      <c r="I2357" s="724" t="s">
        <v>38</v>
      </c>
      <c r="J2357" s="726">
        <f>L131</f>
        <v>264.3</v>
      </c>
      <c r="K2357" s="726">
        <f>ROUND(G2357*J2357,2)</f>
        <v>49.42</v>
      </c>
    </row>
    <row r="2358" spans="1:12">
      <c r="B2358" s="722" t="s">
        <v>717</v>
      </c>
      <c r="G2358" s="987">
        <v>0.26700000000000002</v>
      </c>
      <c r="H2358" s="722" t="s">
        <v>262</v>
      </c>
      <c r="I2358" s="724" t="s">
        <v>38</v>
      </c>
      <c r="J2358" s="726">
        <f>L129</f>
        <v>182</v>
      </c>
      <c r="K2358" s="726">
        <f>ROUND(G2358*J2358,2)</f>
        <v>48.59</v>
      </c>
    </row>
    <row r="2359" spans="1:12">
      <c r="G2359" s="987"/>
      <c r="J2359" s="1096" t="s">
        <v>718</v>
      </c>
      <c r="K2359" s="726">
        <f>SUM(K2357:K2358)</f>
        <v>98.01</v>
      </c>
    </row>
    <row r="2360" spans="1:12">
      <c r="B2360" s="723"/>
      <c r="G2360" s="987"/>
      <c r="J2360" s="726"/>
      <c r="K2360" s="726"/>
    </row>
    <row r="2361" spans="1:12">
      <c r="B2361" s="723" t="s">
        <v>783</v>
      </c>
      <c r="G2361" s="987"/>
      <c r="J2361" s="726"/>
      <c r="K2361" s="726"/>
    </row>
    <row r="2362" spans="1:12">
      <c r="B2362" s="722" t="s">
        <v>775</v>
      </c>
      <c r="G2362" s="987">
        <f>G2353</f>
        <v>1.7999999999999999E-2</v>
      </c>
      <c r="H2362" s="722" t="s">
        <v>49</v>
      </c>
      <c r="I2362" s="724" t="s">
        <v>49</v>
      </c>
      <c r="J2362" s="726">
        <f>K44</f>
        <v>731.71</v>
      </c>
      <c r="K2362" s="726">
        <f>ROUND(G2362*J2362,2)</f>
        <v>13.17</v>
      </c>
    </row>
    <row r="2363" spans="1:12">
      <c r="B2363" s="722" t="s">
        <v>8</v>
      </c>
      <c r="G2363" s="1092">
        <f>G2354</f>
        <v>5.4399999999999997E-2</v>
      </c>
      <c r="H2363" s="722" t="s">
        <v>247</v>
      </c>
      <c r="I2363" s="724" t="s">
        <v>247</v>
      </c>
      <c r="J2363" s="726">
        <f>K48/10</f>
        <v>24.786999999999999</v>
      </c>
      <c r="K2363" s="726">
        <f>ROUND(G2363*J2363,2)</f>
        <v>1.35</v>
      </c>
    </row>
    <row r="2364" spans="1:12">
      <c r="G2364" s="987"/>
      <c r="J2364" s="1096" t="s">
        <v>718</v>
      </c>
      <c r="K2364" s="726">
        <f>SUM(K2362:K2363)</f>
        <v>14.52</v>
      </c>
    </row>
    <row r="2365" spans="1:12">
      <c r="B2365" s="722" t="s">
        <v>825</v>
      </c>
      <c r="G2365" s="987"/>
      <c r="J2365" s="827" t="s">
        <v>718</v>
      </c>
      <c r="K2365" s="1091">
        <f>K2355+K2359+K2360+K2364</f>
        <v>148.80000000000001</v>
      </c>
      <c r="L2365" s="723" t="s">
        <v>730</v>
      </c>
    </row>
    <row r="2366" spans="1:12">
      <c r="A2366" s="836" t="str">
        <f>A2345</f>
        <v>(ii)</v>
      </c>
      <c r="B2366" s="723" t="str">
        <f>B2345</f>
        <v>First Floor</v>
      </c>
      <c r="E2366" s="1089" t="str">
        <f>G500</f>
        <v>Each Sqm</v>
      </c>
      <c r="F2366" s="1089"/>
      <c r="G2366" s="987"/>
      <c r="J2366" s="726"/>
      <c r="K2366" s="726"/>
    </row>
    <row r="2367" spans="1:12">
      <c r="B2367" s="722" t="s">
        <v>722</v>
      </c>
      <c r="G2367" s="987"/>
      <c r="J2367" s="726"/>
      <c r="K2367" s="726">
        <f>K2365</f>
        <v>148.80000000000001</v>
      </c>
    </row>
    <row r="2368" spans="1:12">
      <c r="B2368" s="722" t="s">
        <v>948</v>
      </c>
      <c r="G2368" s="987"/>
      <c r="J2368" s="726"/>
      <c r="K2368" s="726">
        <f>ROUND(K2359*3%,2)</f>
        <v>2.94</v>
      </c>
    </row>
    <row r="2369" spans="1:12">
      <c r="G2369" s="987"/>
      <c r="J2369" s="827" t="s">
        <v>718</v>
      </c>
      <c r="K2369" s="1091">
        <f>SUM(K2367:K2368)</f>
        <v>151.74</v>
      </c>
      <c r="L2369" s="723" t="s">
        <v>730</v>
      </c>
    </row>
    <row r="2370" spans="1:12" ht="75" customHeight="1">
      <c r="A2370" s="836">
        <f>A466</f>
        <v>60</v>
      </c>
      <c r="B2370" s="3386" t="str">
        <f>B466</f>
        <v>Providing 6 mm thick C.P. with C.M. (1:4) with screened and washed sharp sand for mortar and finished smooth to R.C.C. work after closed deep chipping &amp; slurry treatment including watering and curing,  etc. complete in all respect as directed by the Engineer in charge.</v>
      </c>
      <c r="C2370" s="3386"/>
      <c r="D2370" s="3386"/>
      <c r="E2370" s="1086" t="str">
        <f>G466</f>
        <v>Each Sqm</v>
      </c>
      <c r="F2370" s="1086"/>
      <c r="G2370" s="987"/>
      <c r="J2370" s="1091"/>
      <c r="K2370" s="1091"/>
    </row>
    <row r="2371" spans="1:12">
      <c r="A2371" s="836" t="str">
        <f>A467</f>
        <v>(i)</v>
      </c>
      <c r="B2371" s="723" t="str">
        <f>B467</f>
        <v>Ground Floor</v>
      </c>
      <c r="E2371" s="1089" t="str">
        <f>G467</f>
        <v>Each Sqm</v>
      </c>
      <c r="F2371" s="1089"/>
      <c r="G2371" s="987"/>
      <c r="J2371" s="726"/>
      <c r="K2371" s="726"/>
    </row>
    <row r="2372" spans="1:12">
      <c r="B2372" s="722" t="s">
        <v>821</v>
      </c>
      <c r="G2372" s="987"/>
      <c r="J2372" s="726"/>
      <c r="K2372" s="726"/>
    </row>
    <row r="2373" spans="1:12">
      <c r="B2373" s="723" t="s">
        <v>822</v>
      </c>
      <c r="G2373" s="987"/>
      <c r="J2373" s="726"/>
      <c r="K2373" s="726"/>
    </row>
    <row r="2374" spans="1:12">
      <c r="B2374" s="722" t="s">
        <v>775</v>
      </c>
      <c r="G2374" s="1092">
        <v>7.4999999999999997E-3</v>
      </c>
      <c r="H2374" s="722" t="s">
        <v>49</v>
      </c>
      <c r="I2374" s="724" t="s">
        <v>49</v>
      </c>
      <c r="J2374" s="726">
        <f>G44</f>
        <v>80.72</v>
      </c>
      <c r="K2374" s="726">
        <f>ROUND(G2374*J2374,2)</f>
        <v>0.61</v>
      </c>
    </row>
    <row r="2375" spans="1:12">
      <c r="B2375" s="722" t="s">
        <v>8</v>
      </c>
      <c r="G2375" s="1092">
        <v>3.7199999999999997E-2</v>
      </c>
      <c r="H2375" s="722" t="s">
        <v>247</v>
      </c>
      <c r="I2375" s="724" t="s">
        <v>247</v>
      </c>
      <c r="J2375" s="726">
        <f>G48/10</f>
        <v>640</v>
      </c>
      <c r="K2375" s="726">
        <f>ROUND(G2375*J2375,2)</f>
        <v>23.81</v>
      </c>
    </row>
    <row r="2376" spans="1:12">
      <c r="G2376" s="987"/>
      <c r="J2376" s="1096" t="s">
        <v>718</v>
      </c>
      <c r="K2376" s="726">
        <f>SUM(K2374:K2375)</f>
        <v>24.419999999999998</v>
      </c>
    </row>
    <row r="2377" spans="1:12">
      <c r="B2377" s="723" t="s">
        <v>781</v>
      </c>
      <c r="G2377" s="987"/>
      <c r="J2377" s="726"/>
      <c r="K2377" s="726"/>
    </row>
    <row r="2378" spans="1:12">
      <c r="B2378" s="722" t="s">
        <v>782</v>
      </c>
      <c r="G2378" s="987">
        <v>0.14000000000000001</v>
      </c>
      <c r="H2378" s="722" t="s">
        <v>262</v>
      </c>
      <c r="I2378" s="724" t="s">
        <v>38</v>
      </c>
      <c r="J2378" s="726">
        <f>L131</f>
        <v>264.3</v>
      </c>
      <c r="K2378" s="726">
        <f>ROUND(G2378*J2378,2)</f>
        <v>37</v>
      </c>
    </row>
    <row r="2379" spans="1:12">
      <c r="B2379" s="722" t="s">
        <v>717</v>
      </c>
      <c r="G2379" s="987">
        <v>0.17</v>
      </c>
      <c r="H2379" s="722" t="s">
        <v>262</v>
      </c>
      <c r="I2379" s="724" t="s">
        <v>38</v>
      </c>
      <c r="J2379" s="726">
        <f>L129</f>
        <v>182</v>
      </c>
      <c r="K2379" s="726">
        <f>ROUND(G2379*J2379,2)</f>
        <v>30.94</v>
      </c>
    </row>
    <row r="2380" spans="1:12">
      <c r="G2380" s="987"/>
      <c r="J2380" s="1096" t="s">
        <v>718</v>
      </c>
      <c r="K2380" s="726">
        <f>SUM(K2378:K2379)</f>
        <v>67.94</v>
      </c>
    </row>
    <row r="2381" spans="1:12">
      <c r="B2381" s="723"/>
      <c r="G2381" s="987"/>
      <c r="J2381" s="726"/>
      <c r="K2381" s="726"/>
    </row>
    <row r="2382" spans="1:12">
      <c r="B2382" s="723" t="s">
        <v>962</v>
      </c>
      <c r="G2382" s="987"/>
      <c r="J2382" s="726"/>
      <c r="K2382" s="726"/>
    </row>
    <row r="2383" spans="1:12">
      <c r="B2383" s="722" t="s">
        <v>775</v>
      </c>
      <c r="G2383" s="1092">
        <f>G2374</f>
        <v>7.4999999999999997E-3</v>
      </c>
      <c r="H2383" s="722" t="s">
        <v>49</v>
      </c>
      <c r="I2383" s="724" t="s">
        <v>49</v>
      </c>
      <c r="J2383" s="726">
        <f>K44</f>
        <v>731.71</v>
      </c>
      <c r="K2383" s="726">
        <f>ROUND(G2383*J2383,2)</f>
        <v>5.49</v>
      </c>
    </row>
    <row r="2384" spans="1:12">
      <c r="B2384" s="722" t="s">
        <v>8</v>
      </c>
      <c r="G2384" s="1092">
        <f>G2375</f>
        <v>3.7199999999999997E-2</v>
      </c>
      <c r="H2384" s="722" t="s">
        <v>247</v>
      </c>
      <c r="I2384" s="724" t="s">
        <v>247</v>
      </c>
      <c r="J2384" s="726">
        <f>K48/10</f>
        <v>24.786999999999999</v>
      </c>
      <c r="K2384" s="726">
        <f>ROUND(G2384*J2384,2)</f>
        <v>0.92</v>
      </c>
    </row>
    <row r="2385" spans="1:28">
      <c r="G2385" s="987"/>
      <c r="J2385" s="1096" t="s">
        <v>718</v>
      </c>
      <c r="K2385" s="726">
        <f>SUM(K2383:K2384)</f>
        <v>6.41</v>
      </c>
    </row>
    <row r="2386" spans="1:28">
      <c r="B2386" s="722" t="s">
        <v>825</v>
      </c>
      <c r="G2386" s="987"/>
      <c r="J2386" s="827" t="s">
        <v>718</v>
      </c>
      <c r="K2386" s="1091">
        <f>K2376+K2380+K2381+K2385</f>
        <v>98.77</v>
      </c>
      <c r="L2386" s="723" t="s">
        <v>730</v>
      </c>
    </row>
    <row r="2387" spans="1:28">
      <c r="A2387" s="836" t="str">
        <f>A468</f>
        <v>(ii)</v>
      </c>
      <c r="B2387" s="723" t="str">
        <f>B468</f>
        <v>First Floor</v>
      </c>
      <c r="E2387" s="1089" t="str">
        <f>G468</f>
        <v>Each Sqm</v>
      </c>
      <c r="F2387" s="1089"/>
      <c r="G2387" s="987"/>
      <c r="J2387" s="726"/>
      <c r="K2387" s="726"/>
    </row>
    <row r="2388" spans="1:28">
      <c r="B2388" s="722" t="s">
        <v>722</v>
      </c>
      <c r="G2388" s="987"/>
      <c r="J2388" s="726"/>
      <c r="K2388" s="726">
        <f>K2386</f>
        <v>98.77</v>
      </c>
    </row>
    <row r="2389" spans="1:28">
      <c r="B2389" s="722" t="s">
        <v>948</v>
      </c>
      <c r="G2389" s="987"/>
      <c r="J2389" s="726"/>
      <c r="K2389" s="726">
        <f>ROUND(K2380*3%,2)</f>
        <v>2.04</v>
      </c>
    </row>
    <row r="2390" spans="1:28">
      <c r="G2390" s="987"/>
      <c r="J2390" s="827" t="s">
        <v>718</v>
      </c>
      <c r="K2390" s="1091">
        <f>SUM(K2388:K2389)</f>
        <v>100.81</v>
      </c>
      <c r="L2390" s="723" t="s">
        <v>730</v>
      </c>
    </row>
    <row r="2391" spans="1:28" s="723" customFormat="1" ht="60" customHeight="1">
      <c r="A2391" s="836">
        <f>A469</f>
        <v>61</v>
      </c>
      <c r="B2391" s="3386" t="str">
        <f>B469</f>
        <v>Providing 20 mm thick C.P. with C.M. (1:4) with screened and washed sharp sand for mortar and finished smooth to the rough surface of walls in all heights after racking out joints  etc. complete in all respect as directed by the Engineer in charge.</v>
      </c>
      <c r="C2391" s="3386"/>
      <c r="D2391" s="3386"/>
      <c r="E2391" s="1086" t="str">
        <f>G469</f>
        <v>Each Sqm</v>
      </c>
      <c r="F2391" s="1086"/>
      <c r="G2391" s="987"/>
      <c r="H2391" s="722"/>
      <c r="I2391" s="724"/>
      <c r="J2391" s="1091"/>
      <c r="K2391" s="1091"/>
      <c r="M2391" s="722"/>
      <c r="N2391" s="722"/>
      <c r="O2391" s="722"/>
      <c r="P2391" s="722"/>
      <c r="Q2391" s="722"/>
      <c r="R2391" s="722"/>
      <c r="S2391" s="722"/>
      <c r="U2391" s="722"/>
      <c r="V2391" s="722"/>
      <c r="W2391" s="722"/>
      <c r="X2391" s="722"/>
      <c r="Y2391" s="722"/>
      <c r="Z2391" s="722"/>
      <c r="AA2391" s="722"/>
      <c r="AB2391" s="722"/>
    </row>
    <row r="2392" spans="1:28" s="723" customFormat="1">
      <c r="A2392" s="836" t="str">
        <f>A470</f>
        <v>(i)</v>
      </c>
      <c r="B2392" s="723" t="str">
        <f>B470</f>
        <v>Ground Floor</v>
      </c>
      <c r="C2392" s="722"/>
      <c r="D2392" s="722"/>
      <c r="E2392" s="1089" t="str">
        <f>G470</f>
        <v>Each Sqm</v>
      </c>
      <c r="F2392" s="1089"/>
      <c r="G2392" s="987"/>
      <c r="H2392" s="722"/>
      <c r="I2392" s="724"/>
      <c r="J2392" s="726"/>
      <c r="K2392" s="726"/>
      <c r="M2392" s="722"/>
      <c r="N2392" s="722"/>
      <c r="O2392" s="722"/>
      <c r="P2392" s="722"/>
      <c r="Q2392" s="722"/>
      <c r="R2392" s="722"/>
      <c r="S2392" s="722"/>
      <c r="U2392" s="722"/>
      <c r="V2392" s="722"/>
      <c r="W2392" s="722"/>
      <c r="X2392" s="722"/>
      <c r="Y2392" s="722"/>
      <c r="Z2392" s="722"/>
      <c r="AA2392" s="722"/>
      <c r="AB2392" s="722"/>
    </row>
    <row r="2393" spans="1:28" s="723" customFormat="1">
      <c r="A2393" s="836"/>
      <c r="B2393" s="722" t="s">
        <v>821</v>
      </c>
      <c r="C2393" s="722"/>
      <c r="D2393" s="722"/>
      <c r="E2393" s="986"/>
      <c r="F2393" s="986"/>
      <c r="G2393" s="987"/>
      <c r="H2393" s="722"/>
      <c r="I2393" s="724"/>
      <c r="J2393" s="726"/>
      <c r="K2393" s="726"/>
      <c r="M2393" s="722"/>
      <c r="N2393" s="722"/>
      <c r="O2393" s="722"/>
      <c r="P2393" s="722"/>
      <c r="Q2393" s="722"/>
      <c r="R2393" s="722"/>
      <c r="S2393" s="722"/>
      <c r="U2393" s="722"/>
      <c r="V2393" s="722"/>
      <c r="W2393" s="722"/>
      <c r="X2393" s="722"/>
      <c r="Y2393" s="722"/>
      <c r="Z2393" s="722"/>
      <c r="AA2393" s="722"/>
      <c r="AB2393" s="722"/>
    </row>
    <row r="2394" spans="1:28" s="723" customFormat="1">
      <c r="A2394" s="836"/>
      <c r="B2394" s="723" t="s">
        <v>822</v>
      </c>
      <c r="C2394" s="722"/>
      <c r="D2394" s="722"/>
      <c r="E2394" s="986"/>
      <c r="F2394" s="986"/>
      <c r="G2394" s="987"/>
      <c r="H2394" s="722"/>
      <c r="I2394" s="724"/>
      <c r="J2394" s="726"/>
      <c r="K2394" s="726"/>
      <c r="M2394" s="722"/>
      <c r="N2394" s="722"/>
      <c r="O2394" s="722"/>
      <c r="P2394" s="722"/>
      <c r="Q2394" s="722"/>
      <c r="R2394" s="722"/>
      <c r="S2394" s="722"/>
      <c r="U2394" s="722"/>
      <c r="V2394" s="722"/>
      <c r="W2394" s="722"/>
      <c r="X2394" s="722"/>
      <c r="Y2394" s="722"/>
      <c r="Z2394" s="722"/>
      <c r="AA2394" s="722"/>
      <c r="AB2394" s="722"/>
    </row>
    <row r="2395" spans="1:28" s="723" customFormat="1">
      <c r="A2395" s="836"/>
      <c r="B2395" s="722" t="s">
        <v>775</v>
      </c>
      <c r="C2395" s="722"/>
      <c r="D2395" s="722"/>
      <c r="E2395" s="986"/>
      <c r="F2395" s="986"/>
      <c r="G2395" s="987">
        <v>2.1000000000000001E-2</v>
      </c>
      <c r="H2395" s="722" t="s">
        <v>49</v>
      </c>
      <c r="I2395" s="724" t="s">
        <v>49</v>
      </c>
      <c r="J2395" s="726">
        <f>G44</f>
        <v>80.72</v>
      </c>
      <c r="K2395" s="726">
        <f>ROUND(G2395*J2395,2)</f>
        <v>1.7</v>
      </c>
      <c r="M2395" s="722"/>
      <c r="N2395" s="722"/>
      <c r="O2395" s="722"/>
      <c r="P2395" s="722"/>
      <c r="Q2395" s="722"/>
      <c r="R2395" s="722"/>
      <c r="S2395" s="722"/>
      <c r="U2395" s="722"/>
      <c r="V2395" s="722"/>
      <c r="W2395" s="722"/>
      <c r="X2395" s="722"/>
      <c r="Y2395" s="722"/>
      <c r="Z2395" s="722"/>
      <c r="AA2395" s="722"/>
      <c r="AB2395" s="722"/>
    </row>
    <row r="2396" spans="1:28" s="723" customFormat="1">
      <c r="A2396" s="836"/>
      <c r="B2396" s="722" t="s">
        <v>8</v>
      </c>
      <c r="C2396" s="722"/>
      <c r="D2396" s="722"/>
      <c r="E2396" s="986"/>
      <c r="F2396" s="986"/>
      <c r="G2396" s="1092">
        <v>7.4399999999999994E-2</v>
      </c>
      <c r="H2396" s="722" t="s">
        <v>247</v>
      </c>
      <c r="I2396" s="724" t="s">
        <v>247</v>
      </c>
      <c r="J2396" s="726">
        <f>G48/10</f>
        <v>640</v>
      </c>
      <c r="K2396" s="726">
        <f>ROUND(G2396*J2396,2)</f>
        <v>47.62</v>
      </c>
      <c r="M2396" s="722"/>
      <c r="N2396" s="722"/>
      <c r="O2396" s="722"/>
      <c r="P2396" s="722"/>
      <c r="Q2396" s="722"/>
      <c r="R2396" s="722"/>
      <c r="S2396" s="722"/>
      <c r="U2396" s="722"/>
      <c r="V2396" s="722"/>
      <c r="W2396" s="722"/>
      <c r="X2396" s="722"/>
      <c r="Y2396" s="722"/>
      <c r="Z2396" s="722"/>
      <c r="AA2396" s="722"/>
      <c r="AB2396" s="722"/>
    </row>
    <row r="2397" spans="1:28" s="723" customFormat="1">
      <c r="A2397" s="836"/>
      <c r="B2397" s="722"/>
      <c r="C2397" s="722"/>
      <c r="D2397" s="722"/>
      <c r="E2397" s="986"/>
      <c r="F2397" s="986"/>
      <c r="G2397" s="987"/>
      <c r="H2397" s="722"/>
      <c r="I2397" s="724"/>
      <c r="J2397" s="1096" t="s">
        <v>718</v>
      </c>
      <c r="K2397" s="726">
        <f>SUM(K2395:K2396)</f>
        <v>49.32</v>
      </c>
      <c r="M2397" s="722"/>
      <c r="N2397" s="722"/>
      <c r="O2397" s="722"/>
      <c r="P2397" s="722"/>
      <c r="Q2397" s="722"/>
      <c r="R2397" s="722"/>
      <c r="S2397" s="722"/>
      <c r="U2397" s="722"/>
      <c r="V2397" s="722"/>
      <c r="W2397" s="722"/>
      <c r="X2397" s="722"/>
      <c r="Y2397" s="722"/>
      <c r="Z2397" s="722"/>
      <c r="AA2397" s="722"/>
      <c r="AB2397" s="722"/>
    </row>
    <row r="2398" spans="1:28" s="723" customFormat="1">
      <c r="A2398" s="836"/>
      <c r="B2398" s="723" t="s">
        <v>781</v>
      </c>
      <c r="C2398" s="722"/>
      <c r="D2398" s="722"/>
      <c r="E2398" s="986"/>
      <c r="F2398" s="986"/>
      <c r="G2398" s="987"/>
      <c r="H2398" s="722"/>
      <c r="I2398" s="724"/>
      <c r="J2398" s="726"/>
      <c r="K2398" s="726"/>
      <c r="M2398" s="722"/>
      <c r="N2398" s="722"/>
      <c r="O2398" s="722"/>
      <c r="P2398" s="722"/>
      <c r="Q2398" s="722"/>
      <c r="R2398" s="722"/>
      <c r="S2398" s="722"/>
      <c r="U2398" s="722"/>
      <c r="V2398" s="722"/>
      <c r="W2398" s="722"/>
      <c r="X2398" s="722"/>
      <c r="Y2398" s="722"/>
      <c r="Z2398" s="722"/>
      <c r="AA2398" s="722"/>
      <c r="AB2398" s="722"/>
    </row>
    <row r="2399" spans="1:28" s="723" customFormat="1">
      <c r="A2399" s="836"/>
      <c r="B2399" s="722" t="s">
        <v>782</v>
      </c>
      <c r="C2399" s="722"/>
      <c r="D2399" s="722"/>
      <c r="E2399" s="986"/>
      <c r="F2399" s="986"/>
      <c r="G2399" s="987">
        <v>0.16</v>
      </c>
      <c r="H2399" s="722" t="s">
        <v>262</v>
      </c>
      <c r="I2399" s="724" t="s">
        <v>38</v>
      </c>
      <c r="J2399" s="726">
        <f>L131</f>
        <v>264.3</v>
      </c>
      <c r="K2399" s="726">
        <f>ROUND(G2399*J2399,2)</f>
        <v>42.29</v>
      </c>
      <c r="M2399" s="722"/>
      <c r="N2399" s="722"/>
      <c r="O2399" s="722"/>
      <c r="P2399" s="722"/>
      <c r="Q2399" s="722"/>
      <c r="R2399" s="722"/>
      <c r="S2399" s="722"/>
      <c r="U2399" s="722"/>
      <c r="V2399" s="722"/>
      <c r="W2399" s="722"/>
      <c r="X2399" s="722"/>
      <c r="Y2399" s="722"/>
      <c r="Z2399" s="722"/>
      <c r="AA2399" s="722"/>
      <c r="AB2399" s="722"/>
    </row>
    <row r="2400" spans="1:28" s="723" customFormat="1">
      <c r="A2400" s="836"/>
      <c r="B2400" s="722" t="s">
        <v>717</v>
      </c>
      <c r="C2400" s="722"/>
      <c r="D2400" s="722"/>
      <c r="E2400" s="986"/>
      <c r="F2400" s="986"/>
      <c r="G2400" s="987">
        <v>0.24</v>
      </c>
      <c r="H2400" s="722" t="s">
        <v>262</v>
      </c>
      <c r="I2400" s="724" t="s">
        <v>38</v>
      </c>
      <c r="J2400" s="726">
        <f>L129</f>
        <v>182</v>
      </c>
      <c r="K2400" s="726">
        <f>ROUND(G2400*J2400,2)</f>
        <v>43.68</v>
      </c>
      <c r="M2400" s="722"/>
      <c r="N2400" s="722"/>
      <c r="O2400" s="722"/>
      <c r="P2400" s="722"/>
      <c r="Q2400" s="722"/>
      <c r="R2400" s="722"/>
      <c r="S2400" s="722"/>
      <c r="U2400" s="722"/>
      <c r="V2400" s="722"/>
      <c r="W2400" s="722"/>
      <c r="X2400" s="722"/>
      <c r="Y2400" s="722"/>
      <c r="Z2400" s="722"/>
      <c r="AA2400" s="722"/>
      <c r="AB2400" s="722"/>
    </row>
    <row r="2401" spans="1:28" s="723" customFormat="1">
      <c r="A2401" s="836"/>
      <c r="B2401" s="722"/>
      <c r="C2401" s="722"/>
      <c r="D2401" s="722"/>
      <c r="E2401" s="986"/>
      <c r="F2401" s="986"/>
      <c r="G2401" s="987"/>
      <c r="H2401" s="722"/>
      <c r="I2401" s="724"/>
      <c r="J2401" s="1096" t="s">
        <v>718</v>
      </c>
      <c r="K2401" s="726">
        <f>SUM(K2399:K2400)</f>
        <v>85.97</v>
      </c>
      <c r="M2401" s="722"/>
      <c r="N2401" s="722"/>
      <c r="O2401" s="722"/>
      <c r="P2401" s="722"/>
      <c r="Q2401" s="722"/>
      <c r="R2401" s="722"/>
      <c r="S2401" s="722"/>
      <c r="U2401" s="722"/>
      <c r="V2401" s="722"/>
      <c r="W2401" s="722"/>
      <c r="X2401" s="722"/>
      <c r="Y2401" s="722"/>
      <c r="Z2401" s="722"/>
      <c r="AA2401" s="722"/>
      <c r="AB2401" s="722"/>
    </row>
    <row r="2402" spans="1:28" s="723" customFormat="1">
      <c r="A2402" s="836"/>
      <c r="C2402" s="722"/>
      <c r="D2402" s="722"/>
      <c r="E2402" s="986"/>
      <c r="F2402" s="986"/>
      <c r="G2402" s="987"/>
      <c r="H2402" s="722"/>
      <c r="I2402" s="724"/>
      <c r="J2402" s="726"/>
      <c r="K2402" s="726"/>
      <c r="M2402" s="722"/>
      <c r="N2402" s="722"/>
      <c r="O2402" s="722"/>
      <c r="P2402" s="722"/>
      <c r="Q2402" s="722"/>
      <c r="R2402" s="722"/>
      <c r="S2402" s="722"/>
      <c r="U2402" s="722"/>
      <c r="V2402" s="722"/>
      <c r="W2402" s="722"/>
      <c r="X2402" s="722"/>
      <c r="Y2402" s="722"/>
      <c r="Z2402" s="722"/>
      <c r="AA2402" s="722"/>
      <c r="AB2402" s="722"/>
    </row>
    <row r="2403" spans="1:28" s="723" customFormat="1">
      <c r="A2403" s="836"/>
      <c r="B2403" s="723" t="s">
        <v>792</v>
      </c>
      <c r="C2403" s="722"/>
      <c r="D2403" s="722"/>
      <c r="E2403" s="986"/>
      <c r="F2403" s="986"/>
      <c r="G2403" s="987"/>
      <c r="H2403" s="722"/>
      <c r="I2403" s="724"/>
      <c r="J2403" s="726"/>
      <c r="K2403" s="726"/>
      <c r="M2403" s="722"/>
      <c r="N2403" s="722"/>
      <c r="O2403" s="722"/>
      <c r="P2403" s="722"/>
      <c r="Q2403" s="722"/>
      <c r="R2403" s="722"/>
      <c r="S2403" s="722"/>
      <c r="U2403" s="722"/>
      <c r="V2403" s="722"/>
      <c r="W2403" s="722"/>
      <c r="X2403" s="722"/>
      <c r="Y2403" s="722"/>
      <c r="Z2403" s="722"/>
      <c r="AA2403" s="722"/>
      <c r="AB2403" s="722"/>
    </row>
    <row r="2404" spans="1:28" s="723" customFormat="1">
      <c r="A2404" s="836"/>
      <c r="B2404" s="722" t="s">
        <v>775</v>
      </c>
      <c r="C2404" s="722"/>
      <c r="D2404" s="722"/>
      <c r="E2404" s="986"/>
      <c r="F2404" s="986"/>
      <c r="G2404" s="987">
        <f>G2395</f>
        <v>2.1000000000000001E-2</v>
      </c>
      <c r="H2404" s="722" t="s">
        <v>49</v>
      </c>
      <c r="I2404" s="724" t="s">
        <v>49</v>
      </c>
      <c r="J2404" s="726">
        <f>K44</f>
        <v>731.71</v>
      </c>
      <c r="K2404" s="726">
        <f>ROUND(G2404*J2404,2)</f>
        <v>15.37</v>
      </c>
      <c r="M2404" s="722"/>
      <c r="N2404" s="722"/>
      <c r="O2404" s="722"/>
      <c r="P2404" s="722"/>
      <c r="Q2404" s="722"/>
      <c r="R2404" s="722"/>
      <c r="S2404" s="722"/>
      <c r="U2404" s="722"/>
      <c r="V2404" s="722"/>
      <c r="W2404" s="722"/>
      <c r="X2404" s="722"/>
      <c r="Y2404" s="722"/>
      <c r="Z2404" s="722"/>
      <c r="AA2404" s="722"/>
      <c r="AB2404" s="722"/>
    </row>
    <row r="2405" spans="1:28" s="723" customFormat="1">
      <c r="A2405" s="836"/>
      <c r="B2405" s="722" t="s">
        <v>8</v>
      </c>
      <c r="C2405" s="722"/>
      <c r="D2405" s="722"/>
      <c r="E2405" s="986"/>
      <c r="F2405" s="986"/>
      <c r="G2405" s="1092">
        <f>G2396</f>
        <v>7.4399999999999994E-2</v>
      </c>
      <c r="H2405" s="722" t="s">
        <v>247</v>
      </c>
      <c r="I2405" s="724" t="s">
        <v>247</v>
      </c>
      <c r="J2405" s="726">
        <f>K48/10</f>
        <v>24.786999999999999</v>
      </c>
      <c r="K2405" s="726">
        <f>ROUND(G2405*J2405,2)</f>
        <v>1.84</v>
      </c>
      <c r="M2405" s="722"/>
      <c r="N2405" s="722"/>
      <c r="O2405" s="722"/>
      <c r="P2405" s="722"/>
      <c r="Q2405" s="722"/>
      <c r="R2405" s="722"/>
      <c r="S2405" s="722"/>
      <c r="U2405" s="722"/>
      <c r="V2405" s="722"/>
      <c r="W2405" s="722"/>
      <c r="X2405" s="722"/>
      <c r="Y2405" s="722"/>
      <c r="Z2405" s="722"/>
      <c r="AA2405" s="722"/>
      <c r="AB2405" s="722"/>
    </row>
    <row r="2406" spans="1:28" s="723" customFormat="1">
      <c r="A2406" s="836"/>
      <c r="B2406" s="722"/>
      <c r="C2406" s="722"/>
      <c r="D2406" s="722"/>
      <c r="E2406" s="986"/>
      <c r="F2406" s="986"/>
      <c r="G2406" s="987"/>
      <c r="H2406" s="722"/>
      <c r="I2406" s="724"/>
      <c r="J2406" s="1096" t="s">
        <v>718</v>
      </c>
      <c r="K2406" s="726">
        <f>SUM(K2404:K2405)</f>
        <v>17.21</v>
      </c>
      <c r="M2406" s="722"/>
      <c r="N2406" s="722"/>
      <c r="O2406" s="722"/>
      <c r="P2406" s="722"/>
      <c r="Q2406" s="722"/>
      <c r="R2406" s="722"/>
      <c r="S2406" s="722"/>
      <c r="U2406" s="722"/>
      <c r="V2406" s="722"/>
      <c r="W2406" s="722"/>
      <c r="X2406" s="722"/>
      <c r="Y2406" s="722"/>
      <c r="Z2406" s="722"/>
      <c r="AA2406" s="722"/>
      <c r="AB2406" s="722"/>
    </row>
    <row r="2407" spans="1:28">
      <c r="B2407" s="722" t="s">
        <v>963</v>
      </c>
      <c r="G2407" s="987"/>
      <c r="J2407" s="827" t="s">
        <v>718</v>
      </c>
      <c r="K2407" s="1091">
        <f>K2397+K2401+K2402+K2406</f>
        <v>152.5</v>
      </c>
      <c r="L2407" s="723" t="s">
        <v>730</v>
      </c>
    </row>
    <row r="2408" spans="1:28">
      <c r="A2408" s="836" t="str">
        <f>A471</f>
        <v>(ii)</v>
      </c>
      <c r="B2408" s="723" t="str">
        <f>B471</f>
        <v>First Floor</v>
      </c>
      <c r="E2408" s="1089" t="str">
        <f>G471</f>
        <v>Each Sqm</v>
      </c>
      <c r="F2408" s="1089"/>
      <c r="G2408" s="987"/>
      <c r="J2408" s="726"/>
      <c r="K2408" s="726"/>
    </row>
    <row r="2409" spans="1:28">
      <c r="B2409" s="722" t="s">
        <v>722</v>
      </c>
      <c r="G2409" s="987"/>
      <c r="J2409" s="726"/>
      <c r="K2409" s="726">
        <f>K2407</f>
        <v>152.5</v>
      </c>
    </row>
    <row r="2410" spans="1:28">
      <c r="B2410" s="722" t="s">
        <v>948</v>
      </c>
      <c r="G2410" s="987"/>
      <c r="J2410" s="726"/>
      <c r="K2410" s="726">
        <f>ROUND(K2401*3%,2)</f>
        <v>2.58</v>
      </c>
    </row>
    <row r="2411" spans="1:28">
      <c r="G2411" s="987"/>
      <c r="J2411" s="827" t="s">
        <v>718</v>
      </c>
      <c r="K2411" s="1091">
        <f>SUM(K2409:K2410)</f>
        <v>155.08000000000001</v>
      </c>
      <c r="L2411" s="723" t="s">
        <v>730</v>
      </c>
    </row>
    <row r="2412" spans="1:28" s="723" customFormat="1" ht="60" customHeight="1">
      <c r="A2412" s="836">
        <f>A472</f>
        <v>62</v>
      </c>
      <c r="B2412" s="3386" t="str">
        <f>B472</f>
        <v>Providing 20 mm thick C.P. with C.M. (1:6) with screened and washed sharp sand for mortar and finished smooth to the rough surface of walls in all heights after racking out joints  etc. complete in all respect as directed by the Engineer in charge.</v>
      </c>
      <c r="C2412" s="3386"/>
      <c r="D2412" s="3386"/>
      <c r="E2412" s="1086" t="str">
        <f>G500</f>
        <v>Each Sqm</v>
      </c>
      <c r="F2412" s="1086"/>
      <c r="G2412" s="987"/>
      <c r="H2412" s="722"/>
      <c r="I2412" s="724"/>
      <c r="J2412" s="1091"/>
      <c r="K2412" s="1091"/>
      <c r="M2412" s="722"/>
      <c r="N2412" s="722"/>
      <c r="O2412" s="722"/>
      <c r="P2412" s="722"/>
      <c r="Q2412" s="722"/>
      <c r="R2412" s="722"/>
      <c r="S2412" s="722"/>
      <c r="U2412" s="722"/>
      <c r="V2412" s="722"/>
      <c r="W2412" s="722"/>
      <c r="X2412" s="722"/>
      <c r="Y2412" s="722"/>
      <c r="Z2412" s="722"/>
      <c r="AA2412" s="722"/>
      <c r="AB2412" s="722"/>
    </row>
    <row r="2413" spans="1:28" s="723" customFormat="1">
      <c r="A2413" s="836" t="str">
        <f>A501</f>
        <v>(i)</v>
      </c>
      <c r="B2413" s="723" t="str">
        <f>B501</f>
        <v>Ground Floor</v>
      </c>
      <c r="C2413" s="722"/>
      <c r="D2413" s="722"/>
      <c r="E2413" s="1089" t="str">
        <f>G501</f>
        <v>Each Sqm</v>
      </c>
      <c r="F2413" s="1089"/>
      <c r="G2413" s="987"/>
      <c r="H2413" s="722"/>
      <c r="I2413" s="724"/>
      <c r="J2413" s="726"/>
      <c r="K2413" s="726"/>
      <c r="M2413" s="722"/>
      <c r="N2413" s="722"/>
      <c r="O2413" s="722"/>
      <c r="P2413" s="722"/>
      <c r="Q2413" s="722"/>
      <c r="R2413" s="722"/>
      <c r="S2413" s="722"/>
      <c r="U2413" s="722"/>
      <c r="V2413" s="722"/>
      <c r="W2413" s="722"/>
      <c r="X2413" s="722"/>
      <c r="Y2413" s="722"/>
      <c r="Z2413" s="722"/>
      <c r="AA2413" s="722"/>
      <c r="AB2413" s="722"/>
    </row>
    <row r="2414" spans="1:28" s="723" customFormat="1">
      <c r="A2414" s="836"/>
      <c r="B2414" s="723" t="s">
        <v>821</v>
      </c>
      <c r="C2414" s="722"/>
      <c r="D2414" s="722"/>
      <c r="E2414" s="986"/>
      <c r="F2414" s="986"/>
      <c r="G2414" s="987"/>
      <c r="H2414" s="722"/>
      <c r="I2414" s="724"/>
      <c r="J2414" s="726"/>
      <c r="K2414" s="726"/>
      <c r="M2414" s="722"/>
      <c r="N2414" s="722"/>
      <c r="O2414" s="722"/>
      <c r="P2414" s="722"/>
      <c r="Q2414" s="722"/>
      <c r="R2414" s="722"/>
      <c r="S2414" s="722"/>
      <c r="U2414" s="722"/>
      <c r="V2414" s="722"/>
      <c r="W2414" s="722"/>
      <c r="X2414" s="722"/>
      <c r="Y2414" s="722"/>
      <c r="Z2414" s="722"/>
      <c r="AA2414" s="722"/>
      <c r="AB2414" s="722"/>
    </row>
    <row r="2415" spans="1:28" s="723" customFormat="1">
      <c r="A2415" s="836"/>
      <c r="B2415" s="723" t="s">
        <v>822</v>
      </c>
      <c r="C2415" s="722"/>
      <c r="D2415" s="722"/>
      <c r="E2415" s="986"/>
      <c r="F2415" s="986"/>
      <c r="G2415" s="987"/>
      <c r="H2415" s="722"/>
      <c r="I2415" s="724"/>
      <c r="J2415" s="726"/>
      <c r="K2415" s="726"/>
      <c r="M2415" s="722"/>
      <c r="N2415" s="722"/>
      <c r="O2415" s="722"/>
      <c r="P2415" s="722"/>
      <c r="Q2415" s="722"/>
      <c r="R2415" s="722"/>
      <c r="S2415" s="722"/>
      <c r="U2415" s="722"/>
      <c r="V2415" s="722"/>
      <c r="W2415" s="722"/>
      <c r="X2415" s="722"/>
      <c r="Y2415" s="722"/>
      <c r="Z2415" s="722"/>
      <c r="AA2415" s="722"/>
      <c r="AB2415" s="722"/>
    </row>
    <row r="2416" spans="1:28" s="723" customFormat="1">
      <c r="A2416" s="836"/>
      <c r="B2416" s="722" t="s">
        <v>775</v>
      </c>
      <c r="C2416" s="722"/>
      <c r="D2416" s="722"/>
      <c r="E2416" s="986"/>
      <c r="F2416" s="986"/>
      <c r="G2416" s="987">
        <v>2.1000000000000001E-2</v>
      </c>
      <c r="H2416" s="722" t="s">
        <v>49</v>
      </c>
      <c r="I2416" s="724" t="s">
        <v>49</v>
      </c>
      <c r="J2416" s="726">
        <f>G44</f>
        <v>80.72</v>
      </c>
      <c r="K2416" s="726">
        <f>ROUND(G2416*J2416,2)</f>
        <v>1.7</v>
      </c>
      <c r="M2416" s="722"/>
      <c r="N2416" s="722"/>
      <c r="O2416" s="722"/>
      <c r="P2416" s="722"/>
      <c r="Q2416" s="722"/>
      <c r="R2416" s="722"/>
      <c r="S2416" s="722"/>
      <c r="U2416" s="722"/>
      <c r="V2416" s="722"/>
      <c r="W2416" s="722"/>
      <c r="X2416" s="722"/>
      <c r="Y2416" s="722"/>
      <c r="Z2416" s="722"/>
      <c r="AA2416" s="722"/>
      <c r="AB2416" s="722"/>
    </row>
    <row r="2417" spans="1:28" s="723" customFormat="1">
      <c r="A2417" s="836"/>
      <c r="B2417" s="722" t="s">
        <v>8</v>
      </c>
      <c r="C2417" s="722"/>
      <c r="D2417" s="722"/>
      <c r="E2417" s="986"/>
      <c r="F2417" s="986"/>
      <c r="G2417" s="987">
        <v>5.7000000000000002E-2</v>
      </c>
      <c r="H2417" s="722" t="s">
        <v>247</v>
      </c>
      <c r="I2417" s="724" t="s">
        <v>247</v>
      </c>
      <c r="J2417" s="726">
        <f>G48/10</f>
        <v>640</v>
      </c>
      <c r="K2417" s="726">
        <f>ROUND(G2417*J2417,2)</f>
        <v>36.479999999999997</v>
      </c>
      <c r="M2417" s="722"/>
      <c r="N2417" s="722"/>
      <c r="O2417" s="722"/>
      <c r="P2417" s="722"/>
      <c r="Q2417" s="722"/>
      <c r="R2417" s="722"/>
      <c r="S2417" s="722"/>
      <c r="U2417" s="722"/>
      <c r="V2417" s="722"/>
      <c r="W2417" s="722"/>
      <c r="X2417" s="722"/>
      <c r="Y2417" s="722"/>
      <c r="Z2417" s="722"/>
      <c r="AA2417" s="722"/>
      <c r="AB2417" s="722"/>
    </row>
    <row r="2418" spans="1:28" s="723" customFormat="1">
      <c r="A2418" s="836"/>
      <c r="B2418" s="722"/>
      <c r="C2418" s="722"/>
      <c r="D2418" s="722"/>
      <c r="E2418" s="986"/>
      <c r="F2418" s="986"/>
      <c r="G2418" s="987"/>
      <c r="H2418" s="722"/>
      <c r="I2418" s="724"/>
      <c r="J2418" s="1096" t="s">
        <v>718</v>
      </c>
      <c r="K2418" s="726">
        <f>SUM(K2416:K2417)</f>
        <v>38.18</v>
      </c>
      <c r="M2418" s="722"/>
      <c r="N2418" s="722"/>
      <c r="O2418" s="722"/>
      <c r="P2418" s="722"/>
      <c r="Q2418" s="722"/>
      <c r="R2418" s="722"/>
      <c r="S2418" s="722"/>
      <c r="U2418" s="722"/>
      <c r="V2418" s="722"/>
      <c r="W2418" s="722"/>
      <c r="X2418" s="722"/>
      <c r="Y2418" s="722"/>
      <c r="Z2418" s="722"/>
      <c r="AA2418" s="722"/>
      <c r="AB2418" s="722"/>
    </row>
    <row r="2419" spans="1:28" s="723" customFormat="1">
      <c r="A2419" s="836"/>
      <c r="B2419" s="723" t="s">
        <v>781</v>
      </c>
      <c r="C2419" s="722"/>
      <c r="D2419" s="722"/>
      <c r="E2419" s="986"/>
      <c r="F2419" s="986"/>
      <c r="G2419" s="987"/>
      <c r="H2419" s="722"/>
      <c r="I2419" s="724"/>
      <c r="J2419" s="726"/>
      <c r="K2419" s="726"/>
      <c r="M2419" s="722"/>
      <c r="N2419" s="722"/>
      <c r="O2419" s="722"/>
      <c r="P2419" s="722"/>
      <c r="Q2419" s="722"/>
      <c r="R2419" s="722"/>
      <c r="S2419" s="722"/>
      <c r="U2419" s="722"/>
      <c r="V2419" s="722"/>
      <c r="W2419" s="722"/>
      <c r="X2419" s="722"/>
      <c r="Y2419" s="722"/>
      <c r="Z2419" s="722"/>
      <c r="AA2419" s="722"/>
      <c r="AB2419" s="722"/>
    </row>
    <row r="2420" spans="1:28" s="723" customFormat="1">
      <c r="A2420" s="836"/>
      <c r="B2420" s="722" t="s">
        <v>782</v>
      </c>
      <c r="C2420" s="722"/>
      <c r="D2420" s="722"/>
      <c r="E2420" s="986"/>
      <c r="F2420" s="986"/>
      <c r="G2420" s="987">
        <v>0.16</v>
      </c>
      <c r="H2420" s="722" t="s">
        <v>262</v>
      </c>
      <c r="I2420" s="724" t="s">
        <v>38</v>
      </c>
      <c r="J2420" s="726">
        <f>L131</f>
        <v>264.3</v>
      </c>
      <c r="K2420" s="726">
        <f>ROUND(G2420*J2420,2)</f>
        <v>42.29</v>
      </c>
      <c r="M2420" s="722"/>
      <c r="N2420" s="722"/>
      <c r="O2420" s="722"/>
      <c r="P2420" s="722"/>
      <c r="Q2420" s="722"/>
      <c r="R2420" s="722"/>
      <c r="S2420" s="722"/>
      <c r="U2420" s="722"/>
      <c r="V2420" s="722"/>
      <c r="W2420" s="722"/>
      <c r="X2420" s="722"/>
      <c r="Y2420" s="722"/>
      <c r="Z2420" s="722"/>
      <c r="AA2420" s="722"/>
      <c r="AB2420" s="722"/>
    </row>
    <row r="2421" spans="1:28" s="723" customFormat="1">
      <c r="A2421" s="836"/>
      <c r="B2421" s="722" t="s">
        <v>717</v>
      </c>
      <c r="C2421" s="722"/>
      <c r="D2421" s="722"/>
      <c r="E2421" s="986"/>
      <c r="F2421" s="986"/>
      <c r="G2421" s="987">
        <v>0.24</v>
      </c>
      <c r="H2421" s="722" t="s">
        <v>262</v>
      </c>
      <c r="I2421" s="724" t="s">
        <v>38</v>
      </c>
      <c r="J2421" s="726">
        <f>L129</f>
        <v>182</v>
      </c>
      <c r="K2421" s="726">
        <f>ROUND(G2421*J2421,2)</f>
        <v>43.68</v>
      </c>
      <c r="M2421" s="722"/>
      <c r="N2421" s="722"/>
      <c r="O2421" s="722"/>
      <c r="P2421" s="722"/>
      <c r="Q2421" s="722"/>
      <c r="R2421" s="722"/>
      <c r="S2421" s="722"/>
      <c r="U2421" s="722"/>
      <c r="V2421" s="722"/>
      <c r="W2421" s="722"/>
      <c r="X2421" s="722"/>
      <c r="Y2421" s="722"/>
      <c r="Z2421" s="722"/>
      <c r="AA2421" s="722"/>
      <c r="AB2421" s="722"/>
    </row>
    <row r="2422" spans="1:28" s="723" customFormat="1">
      <c r="A2422" s="836"/>
      <c r="B2422" s="722"/>
      <c r="C2422" s="722"/>
      <c r="D2422" s="722"/>
      <c r="E2422" s="986"/>
      <c r="F2422" s="986"/>
      <c r="G2422" s="987"/>
      <c r="H2422" s="722"/>
      <c r="I2422" s="724"/>
      <c r="J2422" s="1096" t="s">
        <v>718</v>
      </c>
      <c r="K2422" s="726">
        <f>SUM(K2420:K2421)</f>
        <v>85.97</v>
      </c>
      <c r="M2422" s="722"/>
      <c r="N2422" s="722"/>
      <c r="O2422" s="722"/>
      <c r="P2422" s="722"/>
      <c r="Q2422" s="722"/>
      <c r="R2422" s="722"/>
      <c r="S2422" s="722"/>
      <c r="U2422" s="722"/>
      <c r="V2422" s="722"/>
      <c r="W2422" s="722"/>
      <c r="X2422" s="722"/>
      <c r="Y2422" s="722"/>
      <c r="Z2422" s="722"/>
      <c r="AA2422" s="722"/>
      <c r="AB2422" s="722"/>
    </row>
    <row r="2423" spans="1:28" s="723" customFormat="1">
      <c r="A2423" s="836"/>
      <c r="C2423" s="722"/>
      <c r="D2423" s="722"/>
      <c r="E2423" s="986"/>
      <c r="F2423" s="986"/>
      <c r="G2423" s="987"/>
      <c r="H2423" s="722"/>
      <c r="I2423" s="724"/>
      <c r="J2423" s="726"/>
      <c r="K2423" s="726"/>
      <c r="M2423" s="722"/>
      <c r="N2423" s="722"/>
      <c r="O2423" s="722"/>
      <c r="P2423" s="722"/>
      <c r="Q2423" s="722"/>
      <c r="R2423" s="722"/>
      <c r="S2423" s="722"/>
      <c r="U2423" s="722"/>
      <c r="V2423" s="722"/>
      <c r="W2423" s="722"/>
      <c r="X2423" s="722"/>
      <c r="Y2423" s="722"/>
      <c r="Z2423" s="722"/>
      <c r="AA2423" s="722"/>
      <c r="AB2423" s="722"/>
    </row>
    <row r="2424" spans="1:28" s="723" customFormat="1">
      <c r="A2424" s="836"/>
      <c r="B2424" s="723" t="s">
        <v>783</v>
      </c>
      <c r="C2424" s="722"/>
      <c r="D2424" s="722"/>
      <c r="E2424" s="986"/>
      <c r="F2424" s="986"/>
      <c r="G2424" s="987"/>
      <c r="H2424" s="722"/>
      <c r="I2424" s="724"/>
      <c r="J2424" s="726"/>
      <c r="K2424" s="726"/>
      <c r="M2424" s="722"/>
      <c r="N2424" s="722"/>
      <c r="O2424" s="722"/>
      <c r="P2424" s="722"/>
      <c r="Q2424" s="722"/>
      <c r="R2424" s="722"/>
      <c r="S2424" s="722"/>
      <c r="U2424" s="722"/>
      <c r="V2424" s="722"/>
      <c r="W2424" s="722"/>
      <c r="X2424" s="722"/>
      <c r="Y2424" s="722"/>
      <c r="Z2424" s="722"/>
      <c r="AA2424" s="722"/>
      <c r="AB2424" s="722"/>
    </row>
    <row r="2425" spans="1:28" s="723" customFormat="1">
      <c r="A2425" s="836"/>
      <c r="B2425" s="722" t="s">
        <v>775</v>
      </c>
      <c r="C2425" s="722"/>
      <c r="D2425" s="722"/>
      <c r="E2425" s="986"/>
      <c r="F2425" s="986"/>
      <c r="G2425" s="987">
        <f>G2416</f>
        <v>2.1000000000000001E-2</v>
      </c>
      <c r="H2425" s="722" t="s">
        <v>49</v>
      </c>
      <c r="I2425" s="724" t="s">
        <v>49</v>
      </c>
      <c r="J2425" s="726">
        <f>K44</f>
        <v>731.71</v>
      </c>
      <c r="K2425" s="726">
        <f>ROUND(G2425*J2425,2)</f>
        <v>15.37</v>
      </c>
      <c r="M2425" s="722"/>
      <c r="N2425" s="722"/>
      <c r="O2425" s="722"/>
      <c r="P2425" s="722"/>
      <c r="Q2425" s="722"/>
      <c r="R2425" s="722"/>
      <c r="S2425" s="722"/>
      <c r="U2425" s="722"/>
      <c r="V2425" s="722"/>
      <c r="W2425" s="722"/>
      <c r="X2425" s="722"/>
      <c r="Y2425" s="722"/>
      <c r="Z2425" s="722"/>
      <c r="AA2425" s="722"/>
      <c r="AB2425" s="722"/>
    </row>
    <row r="2426" spans="1:28" s="723" customFormat="1">
      <c r="A2426" s="836"/>
      <c r="B2426" s="722" t="s">
        <v>8</v>
      </c>
      <c r="C2426" s="722"/>
      <c r="D2426" s="722"/>
      <c r="E2426" s="986"/>
      <c r="F2426" s="986"/>
      <c r="G2426" s="987">
        <f>G2417</f>
        <v>5.7000000000000002E-2</v>
      </c>
      <c r="H2426" s="722" t="s">
        <v>247</v>
      </c>
      <c r="I2426" s="724" t="s">
        <v>247</v>
      </c>
      <c r="J2426" s="726">
        <f>K48/10</f>
        <v>24.786999999999999</v>
      </c>
      <c r="K2426" s="726">
        <f>ROUND(G2426*J2426,2)</f>
        <v>1.41</v>
      </c>
      <c r="M2426" s="722"/>
      <c r="N2426" s="722"/>
      <c r="O2426" s="722"/>
      <c r="P2426" s="722"/>
      <c r="Q2426" s="722"/>
      <c r="R2426" s="722"/>
      <c r="S2426" s="722"/>
      <c r="U2426" s="722"/>
      <c r="V2426" s="722"/>
      <c r="W2426" s="722"/>
      <c r="X2426" s="722"/>
      <c r="Y2426" s="722"/>
      <c r="Z2426" s="722"/>
      <c r="AA2426" s="722"/>
      <c r="AB2426" s="722"/>
    </row>
    <row r="2427" spans="1:28" s="723" customFormat="1">
      <c r="A2427" s="836"/>
      <c r="B2427" s="722"/>
      <c r="C2427" s="722"/>
      <c r="D2427" s="722"/>
      <c r="E2427" s="986"/>
      <c r="F2427" s="986"/>
      <c r="G2427" s="987"/>
      <c r="H2427" s="722"/>
      <c r="I2427" s="724"/>
      <c r="J2427" s="1096" t="s">
        <v>718</v>
      </c>
      <c r="K2427" s="726">
        <f>SUM(K2425:K2426)</f>
        <v>16.779999999999998</v>
      </c>
      <c r="M2427" s="722"/>
      <c r="N2427" s="722"/>
      <c r="O2427" s="722"/>
      <c r="P2427" s="722"/>
      <c r="Q2427" s="722"/>
      <c r="R2427" s="722"/>
      <c r="S2427" s="722"/>
      <c r="U2427" s="722"/>
      <c r="V2427" s="722"/>
      <c r="W2427" s="722"/>
      <c r="X2427" s="722"/>
      <c r="Y2427" s="722"/>
      <c r="Z2427" s="722"/>
      <c r="AA2427" s="722"/>
      <c r="AB2427" s="722"/>
    </row>
    <row r="2428" spans="1:28">
      <c r="B2428" s="722" t="s">
        <v>825</v>
      </c>
      <c r="G2428" s="987"/>
      <c r="J2428" s="827" t="s">
        <v>718</v>
      </c>
      <c r="K2428" s="1091">
        <f>K2418+K2422+K2423+K2427</f>
        <v>140.93</v>
      </c>
      <c r="L2428" s="723" t="s">
        <v>730</v>
      </c>
    </row>
    <row r="2429" spans="1:28">
      <c r="A2429" s="836" t="str">
        <f>A502</f>
        <v>(ii)</v>
      </c>
      <c r="B2429" s="723" t="str">
        <f>B502</f>
        <v>First Floor</v>
      </c>
      <c r="E2429" s="1089" t="str">
        <f>G502</f>
        <v>Each Sqm</v>
      </c>
      <c r="F2429" s="1089"/>
      <c r="G2429" s="987"/>
      <c r="J2429" s="726"/>
      <c r="K2429" s="726"/>
    </row>
    <row r="2430" spans="1:28">
      <c r="B2430" s="722" t="s">
        <v>722</v>
      </c>
      <c r="G2430" s="987"/>
      <c r="J2430" s="726"/>
      <c r="K2430" s="726">
        <f>K2428</f>
        <v>140.93</v>
      </c>
    </row>
    <row r="2431" spans="1:28">
      <c r="B2431" s="722" t="s">
        <v>948</v>
      </c>
      <c r="G2431" s="987"/>
      <c r="J2431" s="726"/>
      <c r="K2431" s="726">
        <f>ROUND(K2422*3%,2)</f>
        <v>2.58</v>
      </c>
    </row>
    <row r="2432" spans="1:28">
      <c r="G2432" s="987"/>
      <c r="J2432" s="827" t="s">
        <v>718</v>
      </c>
      <c r="K2432" s="1091">
        <f>SUM(K2430:K2431)</f>
        <v>143.51000000000002</v>
      </c>
      <c r="L2432" s="723" t="s">
        <v>730</v>
      </c>
    </row>
    <row r="2433" spans="1:28" s="723" customFormat="1" ht="29.25" customHeight="1">
      <c r="A2433" s="836">
        <f>A475</f>
        <v>63</v>
      </c>
      <c r="B2433" s="3386" t="str">
        <f>B475</f>
        <v>Closed deep chipping and cleaning to R.C.C surface for receiving cement plaster per 1</v>
      </c>
      <c r="C2433" s="3386"/>
      <c r="D2433" s="3386"/>
      <c r="E2433" s="1086" t="str">
        <f>G521</f>
        <v>Each Sqm</v>
      </c>
      <c r="F2433" s="1086"/>
      <c r="G2433" s="987"/>
      <c r="H2433" s="722"/>
      <c r="I2433" s="724"/>
      <c r="J2433" s="1091"/>
      <c r="K2433" s="1091"/>
      <c r="M2433" s="722"/>
      <c r="N2433" s="722"/>
      <c r="O2433" s="722"/>
      <c r="P2433" s="722"/>
      <c r="Q2433" s="722"/>
      <c r="R2433" s="722"/>
      <c r="S2433" s="722"/>
      <c r="U2433" s="722"/>
      <c r="V2433" s="722"/>
      <c r="W2433" s="722"/>
      <c r="X2433" s="722"/>
      <c r="Y2433" s="722"/>
      <c r="Z2433" s="722"/>
      <c r="AA2433" s="722"/>
      <c r="AB2433" s="722"/>
    </row>
    <row r="2434" spans="1:28" s="723" customFormat="1">
      <c r="A2434" s="836"/>
      <c r="B2434" s="723" t="s">
        <v>964</v>
      </c>
      <c r="C2434" s="722"/>
      <c r="D2434" s="722"/>
      <c r="E2434" s="986"/>
      <c r="F2434" s="986"/>
      <c r="G2434" s="987"/>
      <c r="H2434" s="722"/>
      <c r="I2434" s="724"/>
      <c r="J2434" s="726"/>
      <c r="K2434" s="726"/>
      <c r="M2434" s="722"/>
      <c r="N2434" s="722"/>
      <c r="O2434" s="722"/>
      <c r="P2434" s="722"/>
      <c r="Q2434" s="722"/>
      <c r="R2434" s="722"/>
      <c r="S2434" s="722"/>
      <c r="U2434" s="722"/>
      <c r="V2434" s="722"/>
      <c r="W2434" s="722"/>
      <c r="X2434" s="722"/>
      <c r="Y2434" s="722"/>
      <c r="Z2434" s="722"/>
      <c r="AA2434" s="722"/>
      <c r="AB2434" s="722"/>
    </row>
    <row r="2435" spans="1:28" s="723" customFormat="1">
      <c r="A2435" s="836" t="str">
        <f>A2413</f>
        <v>(i)</v>
      </c>
      <c r="B2435" s="723" t="str">
        <f>B2413</f>
        <v>Ground Floor</v>
      </c>
      <c r="C2435" s="722"/>
      <c r="D2435" s="722"/>
      <c r="E2435" s="986"/>
      <c r="F2435" s="986"/>
      <c r="G2435" s="987"/>
      <c r="H2435" s="722"/>
      <c r="I2435" s="724"/>
      <c r="J2435" s="726"/>
      <c r="K2435" s="726"/>
      <c r="M2435" s="722"/>
      <c r="N2435" s="722"/>
      <c r="O2435" s="722"/>
      <c r="P2435" s="722"/>
      <c r="Q2435" s="722"/>
      <c r="R2435" s="722"/>
      <c r="S2435" s="722"/>
      <c r="U2435" s="722"/>
      <c r="V2435" s="722"/>
      <c r="W2435" s="722"/>
      <c r="X2435" s="722"/>
      <c r="Y2435" s="722"/>
      <c r="Z2435" s="722"/>
      <c r="AA2435" s="722"/>
      <c r="AB2435" s="722"/>
    </row>
    <row r="2436" spans="1:28" s="723" customFormat="1">
      <c r="A2436" s="836"/>
      <c r="B2436" s="723" t="s">
        <v>965</v>
      </c>
      <c r="C2436" s="722"/>
      <c r="D2436" s="722"/>
      <c r="E2436" s="986"/>
      <c r="F2436" s="986"/>
      <c r="G2436" s="987"/>
      <c r="H2436" s="722"/>
      <c r="I2436" s="724"/>
      <c r="J2436" s="726"/>
      <c r="K2436" s="726"/>
      <c r="M2436" s="722"/>
      <c r="N2436" s="722"/>
      <c r="O2436" s="722"/>
      <c r="P2436" s="722"/>
      <c r="Q2436" s="722"/>
      <c r="R2436" s="722"/>
      <c r="S2436" s="722"/>
      <c r="U2436" s="722"/>
      <c r="V2436" s="722"/>
      <c r="W2436" s="722"/>
      <c r="X2436" s="722"/>
      <c r="Y2436" s="722"/>
      <c r="Z2436" s="722"/>
      <c r="AA2436" s="722"/>
      <c r="AB2436" s="722"/>
    </row>
    <row r="2437" spans="1:28" s="723" customFormat="1">
      <c r="A2437" s="836"/>
      <c r="B2437" s="722" t="s">
        <v>717</v>
      </c>
      <c r="C2437" s="722"/>
      <c r="D2437" s="722"/>
      <c r="E2437" s="986"/>
      <c r="F2437" s="986"/>
      <c r="G2437" s="987">
        <v>0.5</v>
      </c>
      <c r="H2437" s="722" t="s">
        <v>262</v>
      </c>
      <c r="I2437" s="724" t="s">
        <v>38</v>
      </c>
      <c r="J2437" s="726">
        <f>L129</f>
        <v>182</v>
      </c>
      <c r="K2437" s="726">
        <f>ROUND(G2437*J2437,2)</f>
        <v>91</v>
      </c>
      <c r="M2437" s="722"/>
      <c r="N2437" s="722"/>
      <c r="O2437" s="722"/>
      <c r="P2437" s="722"/>
      <c r="Q2437" s="722"/>
      <c r="R2437" s="722"/>
      <c r="S2437" s="722"/>
      <c r="U2437" s="722"/>
      <c r="V2437" s="722"/>
      <c r="W2437" s="722"/>
      <c r="X2437" s="722"/>
      <c r="Y2437" s="722"/>
      <c r="Z2437" s="722"/>
      <c r="AA2437" s="722"/>
      <c r="AB2437" s="722"/>
    </row>
    <row r="2438" spans="1:28" s="723" customFormat="1">
      <c r="A2438" s="836"/>
      <c r="B2438" s="722"/>
      <c r="C2438" s="722"/>
      <c r="D2438" s="722"/>
      <c r="E2438" s="986"/>
      <c r="F2438" s="986"/>
      <c r="G2438" s="987"/>
      <c r="H2438" s="722"/>
      <c r="I2438" s="724"/>
      <c r="J2438" s="1096" t="s">
        <v>718</v>
      </c>
      <c r="K2438" s="726">
        <f>SUM(K2437:K2437)</f>
        <v>91</v>
      </c>
      <c r="M2438" s="722"/>
      <c r="N2438" s="722"/>
      <c r="O2438" s="722"/>
      <c r="P2438" s="722"/>
      <c r="Q2438" s="722"/>
      <c r="R2438" s="722"/>
      <c r="S2438" s="722"/>
      <c r="U2438" s="722"/>
      <c r="V2438" s="722"/>
      <c r="W2438" s="722"/>
      <c r="X2438" s="722"/>
      <c r="Y2438" s="722"/>
      <c r="Z2438" s="722"/>
      <c r="AA2438" s="722"/>
      <c r="AB2438" s="722"/>
    </row>
    <row r="2439" spans="1:28" s="723" customFormat="1">
      <c r="A2439" s="836"/>
      <c r="B2439" s="723" t="s">
        <v>966</v>
      </c>
      <c r="C2439" s="722"/>
      <c r="D2439" s="722"/>
      <c r="E2439" s="986"/>
      <c r="F2439" s="986"/>
      <c r="G2439" s="987"/>
      <c r="H2439" s="722"/>
      <c r="I2439" s="724"/>
      <c r="J2439" s="726"/>
      <c r="K2439" s="726">
        <f>ROUND(K2438*2%,2)</f>
        <v>1.82</v>
      </c>
      <c r="M2439" s="722"/>
      <c r="N2439" s="722"/>
      <c r="O2439" s="722"/>
      <c r="P2439" s="722"/>
      <c r="Q2439" s="722"/>
      <c r="R2439" s="722"/>
      <c r="S2439" s="722"/>
      <c r="U2439" s="722"/>
      <c r="V2439" s="722"/>
      <c r="W2439" s="722"/>
      <c r="X2439" s="722"/>
      <c r="Y2439" s="722"/>
      <c r="Z2439" s="722"/>
      <c r="AA2439" s="722"/>
      <c r="AB2439" s="722"/>
    </row>
    <row r="2440" spans="1:28">
      <c r="B2440" s="722" t="s">
        <v>967</v>
      </c>
      <c r="G2440" s="987"/>
      <c r="J2440" s="827" t="s">
        <v>718</v>
      </c>
      <c r="K2440" s="1091">
        <f>SUM(K2438:K2439)</f>
        <v>92.82</v>
      </c>
      <c r="L2440" s="723" t="s">
        <v>730</v>
      </c>
    </row>
    <row r="2441" spans="1:28">
      <c r="B2441" s="722" t="s">
        <v>968</v>
      </c>
      <c r="G2441" s="987"/>
      <c r="J2441" s="827"/>
      <c r="K2441" s="1091">
        <f>K2440/10</f>
        <v>9.282</v>
      </c>
      <c r="L2441" s="723" t="s">
        <v>730</v>
      </c>
    </row>
    <row r="2442" spans="1:28">
      <c r="A2442" s="836" t="str">
        <f>A2429</f>
        <v>(ii)</v>
      </c>
      <c r="B2442" s="723" t="str">
        <f>B2429</f>
        <v>First Floor</v>
      </c>
      <c r="E2442" s="1089" t="str">
        <f>G523</f>
        <v>Each Sqm</v>
      </c>
      <c r="F2442" s="1089"/>
      <c r="G2442" s="987"/>
      <c r="J2442" s="726"/>
      <c r="K2442" s="726"/>
    </row>
    <row r="2443" spans="1:28">
      <c r="B2443" s="722" t="s">
        <v>722</v>
      </c>
      <c r="G2443" s="987"/>
      <c r="J2443" s="726"/>
      <c r="K2443" s="726">
        <f>K2441</f>
        <v>9.282</v>
      </c>
    </row>
    <row r="2444" spans="1:28">
      <c r="B2444" s="722" t="s">
        <v>948</v>
      </c>
      <c r="G2444" s="987"/>
      <c r="J2444" s="726"/>
      <c r="K2444" s="726">
        <f>ROUND(K2438*3%,2)</f>
        <v>2.73</v>
      </c>
    </row>
    <row r="2445" spans="1:28">
      <c r="G2445" s="987"/>
      <c r="J2445" s="827" t="s">
        <v>718</v>
      </c>
      <c r="K2445" s="1091">
        <f>SUM(K2443:K2444)</f>
        <v>12.012</v>
      </c>
      <c r="L2445" s="723" t="s">
        <v>730</v>
      </c>
    </row>
    <row r="2446" spans="1:28" ht="24" customHeight="1">
      <c r="A2446" s="836">
        <f>A478</f>
        <v>64</v>
      </c>
      <c r="B2446" s="3386" t="str">
        <f>B478</f>
        <v>Providing Cement Punning to the plastered surface of wall etc complete.</v>
      </c>
      <c r="C2446" s="3386"/>
      <c r="D2446" s="3386"/>
      <c r="E2446" s="1016" t="str">
        <f>G504</f>
        <v>Each Sqm</v>
      </c>
      <c r="F2446" s="1016"/>
      <c r="G2446" s="987"/>
      <c r="J2446" s="1091"/>
      <c r="K2446" s="1091"/>
    </row>
    <row r="2447" spans="1:28">
      <c r="B2447" s="722" t="s">
        <v>821</v>
      </c>
      <c r="G2447" s="987"/>
      <c r="J2447" s="726"/>
      <c r="K2447" s="726"/>
    </row>
    <row r="2448" spans="1:28">
      <c r="B2448" s="723" t="s">
        <v>822</v>
      </c>
      <c r="G2448" s="987"/>
      <c r="J2448" s="726"/>
      <c r="K2448" s="726"/>
    </row>
    <row r="2449" spans="1:16">
      <c r="B2449" s="722" t="s">
        <v>8</v>
      </c>
      <c r="G2449" s="1092">
        <v>1.14E-2</v>
      </c>
      <c r="H2449" s="722" t="s">
        <v>247</v>
      </c>
      <c r="I2449" s="724" t="s">
        <v>247</v>
      </c>
      <c r="J2449" s="726">
        <f>G48/10</f>
        <v>640</v>
      </c>
      <c r="K2449" s="726">
        <f>ROUND(G2449*J2449,2)</f>
        <v>7.3</v>
      </c>
    </row>
    <row r="2450" spans="1:16">
      <c r="G2450" s="987"/>
      <c r="J2450" s="1096" t="s">
        <v>718</v>
      </c>
      <c r="K2450" s="726">
        <f>SUM(K2449:K2449)</f>
        <v>7.3</v>
      </c>
    </row>
    <row r="2451" spans="1:16">
      <c r="B2451" s="723" t="s">
        <v>781</v>
      </c>
      <c r="G2451" s="987"/>
      <c r="J2451" s="726"/>
      <c r="K2451" s="726"/>
    </row>
    <row r="2452" spans="1:16">
      <c r="B2452" s="722" t="s">
        <v>969</v>
      </c>
      <c r="G2452" s="987">
        <v>2.7E-2</v>
      </c>
      <c r="H2452" s="722" t="s">
        <v>262</v>
      </c>
      <c r="I2452" s="724" t="s">
        <v>38</v>
      </c>
      <c r="J2452" s="726">
        <f>L132</f>
        <v>284.3</v>
      </c>
      <c r="K2452" s="726">
        <f>ROUND(G2452*J2452,2)</f>
        <v>7.68</v>
      </c>
    </row>
    <row r="2453" spans="1:16">
      <c r="B2453" s="722" t="s">
        <v>717</v>
      </c>
      <c r="G2453" s="987">
        <v>2.7E-2</v>
      </c>
      <c r="H2453" s="722" t="s">
        <v>262</v>
      </c>
      <c r="I2453" s="724" t="s">
        <v>38</v>
      </c>
      <c r="J2453" s="726">
        <f>L129</f>
        <v>182</v>
      </c>
      <c r="K2453" s="726">
        <f>ROUND(G2453*J2453,2)</f>
        <v>4.91</v>
      </c>
    </row>
    <row r="2454" spans="1:16">
      <c r="G2454" s="987"/>
      <c r="J2454" s="1096" t="s">
        <v>718</v>
      </c>
      <c r="K2454" s="726">
        <f>SUM(K2452:K2453)</f>
        <v>12.59</v>
      </c>
    </row>
    <row r="2455" spans="1:16">
      <c r="B2455" s="723"/>
      <c r="G2455" s="987"/>
      <c r="J2455" s="726"/>
      <c r="K2455" s="726"/>
    </row>
    <row r="2456" spans="1:16">
      <c r="B2456" s="723" t="s">
        <v>783</v>
      </c>
      <c r="G2456" s="987"/>
      <c r="J2456" s="726"/>
      <c r="K2456" s="726"/>
    </row>
    <row r="2457" spans="1:16">
      <c r="B2457" s="722" t="s">
        <v>8</v>
      </c>
      <c r="G2457" s="1092">
        <f>G2449</f>
        <v>1.14E-2</v>
      </c>
      <c r="H2457" s="722" t="s">
        <v>247</v>
      </c>
      <c r="I2457" s="724" t="s">
        <v>247</v>
      </c>
      <c r="J2457" s="726">
        <f>J2405</f>
        <v>24.786999999999999</v>
      </c>
      <c r="K2457" s="726">
        <f>ROUND(G2457*J2457,2)</f>
        <v>0.28000000000000003</v>
      </c>
    </row>
    <row r="2458" spans="1:16">
      <c r="G2458" s="987"/>
      <c r="J2458" s="1096" t="s">
        <v>718</v>
      </c>
      <c r="K2458" s="726">
        <f>SUM(K2457:K2457)</f>
        <v>0.28000000000000003</v>
      </c>
    </row>
    <row r="2459" spans="1:16">
      <c r="B2459" s="722" t="s">
        <v>825</v>
      </c>
      <c r="G2459" s="987"/>
      <c r="J2459" s="827" t="s">
        <v>718</v>
      </c>
      <c r="K2459" s="1091">
        <f>K2450+K2454+K2455+K2458</f>
        <v>20.170000000000002</v>
      </c>
      <c r="L2459" s="723" t="s">
        <v>730</v>
      </c>
    </row>
    <row r="2460" spans="1:16" ht="61.5" customHeight="1">
      <c r="A2460" s="836">
        <f>A479</f>
        <v>65</v>
      </c>
      <c r="B2460" s="3386" t="str">
        <f>B479</f>
        <v xml:space="preserve">10cm  thick  dry  brick  khoa  using 4cm size including well watered  &amp; rammed to receive A.S. Flooring with cost, conveyance of  brick khoa and cost of labour etc. complete as per the direction of the Engineer-in-charge. </v>
      </c>
      <c r="C2460" s="3386"/>
      <c r="D2460" s="3386"/>
      <c r="E2460" s="1086" t="str">
        <f>G479</f>
        <v>Each Cum</v>
      </c>
      <c r="F2460" s="1086"/>
      <c r="H2460" s="1081"/>
      <c r="J2460" s="824"/>
      <c r="K2460" s="1091"/>
      <c r="L2460" s="1087"/>
      <c r="M2460" s="724"/>
      <c r="N2460" s="724"/>
      <c r="O2460" s="724"/>
      <c r="P2460" s="724"/>
    </row>
    <row r="2461" spans="1:16">
      <c r="B2461" s="723" t="s">
        <v>821</v>
      </c>
      <c r="G2461" s="987"/>
      <c r="H2461" s="1081"/>
      <c r="J2461" s="726"/>
      <c r="K2461" s="726"/>
      <c r="L2461" s="1087"/>
      <c r="M2461" s="724"/>
      <c r="N2461" s="724"/>
      <c r="O2461" s="724"/>
      <c r="P2461" s="724"/>
    </row>
    <row r="2462" spans="1:16">
      <c r="B2462" s="723" t="s">
        <v>822</v>
      </c>
      <c r="H2462" s="1081"/>
      <c r="L2462" s="1087"/>
      <c r="M2462" s="724"/>
      <c r="N2462" s="724"/>
      <c r="O2462" s="724"/>
      <c r="P2462" s="724"/>
    </row>
    <row r="2463" spans="1:16">
      <c r="B2463" s="722" t="s">
        <v>82</v>
      </c>
      <c r="G2463" s="987">
        <v>0.14000000000000001</v>
      </c>
      <c r="H2463" s="1081" t="s">
        <v>49</v>
      </c>
      <c r="I2463" s="724" t="s">
        <v>49</v>
      </c>
      <c r="J2463" s="726">
        <f>G42</f>
        <v>458.15</v>
      </c>
      <c r="K2463" s="726">
        <f>ROUND(G2463*J2463,2)</f>
        <v>64.14</v>
      </c>
      <c r="L2463" s="1087"/>
      <c r="M2463" s="724"/>
      <c r="N2463" s="724"/>
      <c r="O2463" s="724"/>
      <c r="P2463" s="724"/>
    </row>
    <row r="2464" spans="1:16">
      <c r="G2464" s="987"/>
      <c r="H2464" s="1081"/>
      <c r="J2464" s="827" t="s">
        <v>718</v>
      </c>
      <c r="K2464" s="1091">
        <f>SUM(K2463:K2463)</f>
        <v>64.14</v>
      </c>
      <c r="L2464" s="1087"/>
      <c r="M2464" s="724"/>
      <c r="N2464" s="724"/>
      <c r="O2464" s="724"/>
      <c r="P2464" s="724"/>
    </row>
    <row r="2465" spans="1:16">
      <c r="B2465" s="723" t="s">
        <v>781</v>
      </c>
      <c r="G2465" s="987"/>
      <c r="H2465" s="1081"/>
      <c r="J2465" s="726"/>
      <c r="K2465" s="726"/>
      <c r="L2465" s="1087"/>
      <c r="M2465" s="724"/>
      <c r="N2465" s="724"/>
      <c r="O2465" s="724"/>
      <c r="P2465" s="724"/>
    </row>
    <row r="2466" spans="1:16">
      <c r="B2466" s="722" t="s">
        <v>782</v>
      </c>
      <c r="G2466" s="987">
        <v>0.05</v>
      </c>
      <c r="H2466" s="1081" t="s">
        <v>262</v>
      </c>
      <c r="I2466" s="724" t="s">
        <v>38</v>
      </c>
      <c r="J2466" s="726">
        <f>L131</f>
        <v>264.3</v>
      </c>
      <c r="K2466" s="726">
        <f>ROUND(G2466*J2466,2)</f>
        <v>13.22</v>
      </c>
      <c r="L2466" s="1087"/>
      <c r="M2466" s="724"/>
      <c r="N2466" s="724"/>
      <c r="O2466" s="724"/>
      <c r="P2466" s="724"/>
    </row>
    <row r="2467" spans="1:16">
      <c r="B2467" s="722" t="s">
        <v>717</v>
      </c>
      <c r="G2467" s="987">
        <v>0.28000000000000003</v>
      </c>
      <c r="H2467" s="1081" t="s">
        <v>262</v>
      </c>
      <c r="I2467" s="724" t="s">
        <v>38</v>
      </c>
      <c r="J2467" s="726">
        <f>L129</f>
        <v>182</v>
      </c>
      <c r="K2467" s="726">
        <f>ROUND(G2467*J2467,2)</f>
        <v>50.96</v>
      </c>
      <c r="L2467" s="1087"/>
      <c r="M2467" s="724"/>
      <c r="N2467" s="724"/>
      <c r="O2467" s="724"/>
      <c r="P2467" s="724"/>
    </row>
    <row r="2468" spans="1:16">
      <c r="G2468" s="987"/>
      <c r="H2468" s="1081"/>
      <c r="J2468" s="827" t="s">
        <v>718</v>
      </c>
      <c r="K2468" s="1091">
        <f>SUM(K2466:K2467)</f>
        <v>64.180000000000007</v>
      </c>
      <c r="L2468" s="1087"/>
      <c r="M2468" s="724"/>
      <c r="N2468" s="724"/>
      <c r="O2468" s="724"/>
      <c r="P2468" s="724"/>
    </row>
    <row r="2469" spans="1:16">
      <c r="B2469" s="723"/>
      <c r="G2469" s="987"/>
      <c r="H2469" s="1081"/>
      <c r="J2469" s="726"/>
      <c r="K2469" s="1091"/>
      <c r="L2469" s="1087"/>
      <c r="M2469" s="724"/>
      <c r="N2469" s="724"/>
      <c r="O2469" s="724"/>
      <c r="P2469" s="724"/>
    </row>
    <row r="2470" spans="1:16">
      <c r="B2470" s="723" t="s">
        <v>783</v>
      </c>
      <c r="G2470" s="987"/>
      <c r="H2470" s="1081"/>
      <c r="J2470" s="1096"/>
      <c r="K2470" s="726"/>
      <c r="L2470" s="1087"/>
      <c r="M2470" s="724"/>
      <c r="N2470" s="724"/>
      <c r="O2470" s="724"/>
      <c r="P2470" s="724"/>
    </row>
    <row r="2471" spans="1:16">
      <c r="B2471" s="722" t="str">
        <f>B2463</f>
        <v>K.B. Brick Khoa</v>
      </c>
      <c r="G2471" s="987">
        <f>G2463</f>
        <v>0.14000000000000001</v>
      </c>
      <c r="H2471" s="1081" t="s">
        <v>49</v>
      </c>
      <c r="I2471" s="724" t="s">
        <v>49</v>
      </c>
      <c r="J2471" s="726">
        <f>K42</f>
        <v>276.01</v>
      </c>
      <c r="K2471" s="726">
        <f>ROUND(G2471*J2471,2)</f>
        <v>38.64</v>
      </c>
      <c r="L2471" s="1087"/>
      <c r="M2471" s="724"/>
      <c r="N2471" s="724"/>
      <c r="O2471" s="724"/>
      <c r="P2471" s="724"/>
    </row>
    <row r="2472" spans="1:16">
      <c r="G2472" s="987"/>
      <c r="H2472" s="1081"/>
      <c r="J2472" s="827" t="s">
        <v>718</v>
      </c>
      <c r="K2472" s="1091">
        <f>SUM(K2471:K2471)</f>
        <v>38.64</v>
      </c>
      <c r="L2472" s="1087"/>
      <c r="M2472" s="724"/>
      <c r="N2472" s="724"/>
      <c r="O2472" s="724"/>
      <c r="P2472" s="724"/>
    </row>
    <row r="2473" spans="1:16">
      <c r="B2473" s="723" t="s">
        <v>970</v>
      </c>
      <c r="G2473" s="1105"/>
      <c r="H2473" s="1081"/>
      <c r="J2473" s="827" t="s">
        <v>718</v>
      </c>
      <c r="K2473" s="1091">
        <f>K2464+K2468+K2469+K2472</f>
        <v>166.95999999999998</v>
      </c>
      <c r="L2473" s="1087" t="s">
        <v>730</v>
      </c>
      <c r="M2473" s="724"/>
      <c r="N2473" s="724"/>
      <c r="O2473" s="724"/>
      <c r="P2473" s="724"/>
    </row>
    <row r="2474" spans="1:16" ht="61.5" customHeight="1">
      <c r="A2474" s="836">
        <f>A480</f>
        <v>66</v>
      </c>
      <c r="B2474" s="3386" t="str">
        <f>B480</f>
        <v xml:space="preserve">10cm  thick  dry  epidorite metal or any other hard metal using 4cm size including well watered  &amp; rammed to receive A.S. Flooring with cost, conveyance of epidorite metal/any hard metal and cost of labour etc. complete as per the direction of the Engineer-in-charge. </v>
      </c>
      <c r="C2474" s="3386"/>
      <c r="D2474" s="3386"/>
      <c r="E2474" s="1086" t="str">
        <f>G493</f>
        <v>Each Sqm</v>
      </c>
      <c r="F2474" s="1086"/>
      <c r="H2474" s="1081"/>
      <c r="J2474" s="824"/>
      <c r="K2474" s="1091"/>
      <c r="L2474" s="1087"/>
      <c r="M2474" s="724"/>
      <c r="N2474" s="724"/>
      <c r="O2474" s="724"/>
      <c r="P2474" s="724"/>
    </row>
    <row r="2475" spans="1:16">
      <c r="B2475" s="723" t="s">
        <v>821</v>
      </c>
      <c r="G2475" s="987"/>
      <c r="H2475" s="1081"/>
      <c r="J2475" s="726"/>
      <c r="K2475" s="726"/>
      <c r="L2475" s="1087"/>
      <c r="M2475" s="724"/>
      <c r="N2475" s="724"/>
      <c r="O2475" s="724"/>
      <c r="P2475" s="724"/>
    </row>
    <row r="2476" spans="1:16">
      <c r="B2476" s="723" t="s">
        <v>822</v>
      </c>
      <c r="H2476" s="1081"/>
      <c r="L2476" s="1087"/>
      <c r="M2476" s="724"/>
      <c r="N2476" s="724"/>
      <c r="O2476" s="724"/>
      <c r="P2476" s="724"/>
    </row>
    <row r="2477" spans="1:16">
      <c r="B2477" s="722" t="s">
        <v>971</v>
      </c>
      <c r="G2477" s="987">
        <v>0.14000000000000001</v>
      </c>
      <c r="H2477" s="1081" t="s">
        <v>49</v>
      </c>
      <c r="I2477" s="724" t="s">
        <v>49</v>
      </c>
      <c r="J2477" s="726">
        <f>G22</f>
        <v>371.33</v>
      </c>
      <c r="K2477" s="726">
        <f>ROUND(G2477*J2477,2)</f>
        <v>51.99</v>
      </c>
      <c r="L2477" s="1087"/>
      <c r="M2477" s="724"/>
      <c r="N2477" s="724"/>
      <c r="O2477" s="724"/>
      <c r="P2477" s="724"/>
    </row>
    <row r="2478" spans="1:16">
      <c r="G2478" s="987"/>
      <c r="H2478" s="1081"/>
      <c r="J2478" s="827" t="s">
        <v>718</v>
      </c>
      <c r="K2478" s="1091">
        <f>SUM(K2477:K2477)</f>
        <v>51.99</v>
      </c>
      <c r="L2478" s="1087"/>
      <c r="M2478" s="724"/>
      <c r="N2478" s="724"/>
      <c r="O2478" s="724"/>
      <c r="P2478" s="724"/>
    </row>
    <row r="2479" spans="1:16">
      <c r="B2479" s="723" t="s">
        <v>781</v>
      </c>
      <c r="G2479" s="987"/>
      <c r="H2479" s="1081"/>
      <c r="J2479" s="726"/>
      <c r="K2479" s="726"/>
      <c r="L2479" s="1087"/>
      <c r="M2479" s="724"/>
      <c r="N2479" s="724"/>
      <c r="O2479" s="724"/>
      <c r="P2479" s="724"/>
    </row>
    <row r="2480" spans="1:16">
      <c r="B2480" s="722" t="s">
        <v>782</v>
      </c>
      <c r="G2480" s="987">
        <v>0.05</v>
      </c>
      <c r="H2480" s="1081" t="s">
        <v>262</v>
      </c>
      <c r="I2480" s="724" t="s">
        <v>38</v>
      </c>
      <c r="J2480" s="726">
        <f>L131</f>
        <v>264.3</v>
      </c>
      <c r="K2480" s="726">
        <f>ROUND(G2480*J2480,2)</f>
        <v>13.22</v>
      </c>
      <c r="L2480" s="1087"/>
      <c r="M2480" s="724"/>
      <c r="N2480" s="724"/>
      <c r="O2480" s="724"/>
      <c r="P2480" s="724"/>
    </row>
    <row r="2481" spans="1:16">
      <c r="B2481" s="722" t="s">
        <v>717</v>
      </c>
      <c r="G2481" s="987">
        <v>0.28000000000000003</v>
      </c>
      <c r="H2481" s="1081" t="s">
        <v>262</v>
      </c>
      <c r="I2481" s="724" t="s">
        <v>38</v>
      </c>
      <c r="J2481" s="726">
        <f>L129</f>
        <v>182</v>
      </c>
      <c r="K2481" s="726">
        <f>ROUND(G2481*J2481,2)</f>
        <v>50.96</v>
      </c>
      <c r="L2481" s="1087"/>
      <c r="M2481" s="724"/>
      <c r="N2481" s="724"/>
      <c r="O2481" s="724"/>
      <c r="P2481" s="724"/>
    </row>
    <row r="2482" spans="1:16">
      <c r="G2482" s="987"/>
      <c r="H2482" s="1081"/>
      <c r="J2482" s="827" t="s">
        <v>718</v>
      </c>
      <c r="K2482" s="1091">
        <f>SUM(K2480:K2481)</f>
        <v>64.180000000000007</v>
      </c>
      <c r="L2482" s="1087"/>
      <c r="M2482" s="724"/>
      <c r="N2482" s="724"/>
      <c r="O2482" s="724"/>
      <c r="P2482" s="724"/>
    </row>
    <row r="2483" spans="1:16">
      <c r="B2483" s="723"/>
      <c r="G2483" s="987"/>
      <c r="H2483" s="1081"/>
      <c r="J2483" s="726"/>
      <c r="K2483" s="1091"/>
      <c r="L2483" s="1087"/>
      <c r="M2483" s="724"/>
      <c r="N2483" s="724"/>
      <c r="O2483" s="724"/>
      <c r="P2483" s="724"/>
    </row>
    <row r="2484" spans="1:16">
      <c r="B2484" s="723" t="s">
        <v>783</v>
      </c>
      <c r="G2484" s="987"/>
      <c r="H2484" s="1081"/>
      <c r="J2484" s="1096"/>
      <c r="K2484" s="726"/>
      <c r="L2484" s="1087"/>
      <c r="M2484" s="724"/>
      <c r="N2484" s="724"/>
      <c r="O2484" s="724"/>
      <c r="P2484" s="724"/>
    </row>
    <row r="2485" spans="1:16">
      <c r="B2485" s="722" t="str">
        <f>B2477</f>
        <v>Epidorite metal/Hard metal</v>
      </c>
      <c r="G2485" s="987">
        <f>G2477</f>
        <v>0.14000000000000001</v>
      </c>
      <c r="H2485" s="1081" t="s">
        <v>49</v>
      </c>
      <c r="I2485" s="724" t="s">
        <v>49</v>
      </c>
      <c r="J2485" s="726">
        <f>K22</f>
        <v>276.01</v>
      </c>
      <c r="K2485" s="726">
        <f>ROUND(G2485*J2485,2)</f>
        <v>38.64</v>
      </c>
      <c r="L2485" s="1087"/>
      <c r="M2485" s="724"/>
      <c r="N2485" s="724"/>
      <c r="O2485" s="724"/>
      <c r="P2485" s="724"/>
    </row>
    <row r="2486" spans="1:16">
      <c r="G2486" s="987"/>
      <c r="H2486" s="1081"/>
      <c r="J2486" s="827" t="s">
        <v>718</v>
      </c>
      <c r="K2486" s="1091">
        <f>SUM(K2485:K2485)</f>
        <v>38.64</v>
      </c>
      <c r="L2486" s="1087"/>
      <c r="M2486" s="724"/>
      <c r="N2486" s="724"/>
      <c r="O2486" s="724"/>
      <c r="P2486" s="724"/>
    </row>
    <row r="2487" spans="1:16">
      <c r="B2487" s="723" t="s">
        <v>970</v>
      </c>
      <c r="G2487" s="1105"/>
      <c r="H2487" s="1081"/>
      <c r="J2487" s="827" t="s">
        <v>718</v>
      </c>
      <c r="K2487" s="1091">
        <f>K2478+K2482+K2483+K2486</f>
        <v>154.81</v>
      </c>
      <c r="L2487" s="1087" t="s">
        <v>730</v>
      </c>
      <c r="M2487" s="724"/>
      <c r="N2487" s="724"/>
      <c r="O2487" s="724"/>
      <c r="P2487" s="724"/>
    </row>
    <row r="2488" spans="1:16" ht="83.25" customHeight="1">
      <c r="A2488" s="836">
        <f>A481</f>
        <v>67</v>
      </c>
      <c r="B2488" s="3386" t="str">
        <f>B481</f>
        <v>Providing 2.5cm thick A.S. Flooring with cement concrete (1:2:4) using 12mm size black hard granite crusher broken chips and screened &amp; washed sharp sand for mortar and finished smooth to the rough surface of floor and punning including watering and curing  etc. complete in all respect as directed by the Engineer in charge.</v>
      </c>
      <c r="C2488" s="3386"/>
      <c r="D2488" s="3386"/>
      <c r="E2488" s="1086" t="str">
        <f>G481</f>
        <v>Each Sqm</v>
      </c>
      <c r="F2488" s="1086"/>
      <c r="G2488" s="987"/>
      <c r="J2488" s="1091"/>
      <c r="K2488" s="1091"/>
    </row>
    <row r="2489" spans="1:16">
      <c r="A2489" s="836" t="str">
        <f>A482</f>
        <v>(i)</v>
      </c>
      <c r="B2489" s="723" t="str">
        <f>B482</f>
        <v>Ground Floor</v>
      </c>
      <c r="C2489" s="1088"/>
      <c r="D2489" s="1088"/>
      <c r="E2489" s="1089" t="str">
        <f>G482</f>
        <v>Each Sqm</v>
      </c>
      <c r="F2489" s="1089"/>
      <c r="G2489" s="987"/>
      <c r="J2489" s="1091"/>
      <c r="K2489" s="1091"/>
    </row>
    <row r="2490" spans="1:16">
      <c r="A2490" s="722"/>
      <c r="B2490" s="723" t="s">
        <v>821</v>
      </c>
      <c r="G2490" s="987"/>
      <c r="H2490" s="1081"/>
      <c r="J2490" s="726"/>
      <c r="K2490" s="726"/>
      <c r="L2490" s="1087"/>
    </row>
    <row r="2491" spans="1:16">
      <c r="A2491" s="722"/>
      <c r="B2491" s="723" t="s">
        <v>822</v>
      </c>
      <c r="H2491" s="1081"/>
      <c r="L2491" s="1087"/>
    </row>
    <row r="2492" spans="1:16">
      <c r="A2492" s="722"/>
      <c r="B2492" s="1081" t="s">
        <v>823</v>
      </c>
      <c r="G2492" s="987">
        <v>2.3E-2</v>
      </c>
      <c r="H2492" s="1081" t="s">
        <v>49</v>
      </c>
      <c r="I2492" s="724" t="s">
        <v>49</v>
      </c>
      <c r="J2492" s="726">
        <f>G12</f>
        <v>1466.4499999999998</v>
      </c>
      <c r="K2492" s="726">
        <f>ROUND(G2492*J2492,2)</f>
        <v>33.729999999999997</v>
      </c>
      <c r="L2492" s="1087"/>
    </row>
    <row r="2493" spans="1:16">
      <c r="A2493" s="722"/>
      <c r="B2493" s="722" t="s">
        <v>775</v>
      </c>
      <c r="G2493" s="987">
        <v>1.2E-2</v>
      </c>
      <c r="H2493" s="1081" t="s">
        <v>49</v>
      </c>
      <c r="I2493" s="724" t="s">
        <v>49</v>
      </c>
      <c r="J2493" s="726">
        <f>G44</f>
        <v>80.72</v>
      </c>
      <c r="K2493" s="726">
        <f>ROUND(G2493*J2493,2)</f>
        <v>0.97</v>
      </c>
      <c r="L2493" s="1087"/>
    </row>
    <row r="2494" spans="1:16">
      <c r="A2494" s="722"/>
      <c r="B2494" s="722" t="s">
        <v>8</v>
      </c>
      <c r="G2494" s="1092">
        <v>8.5800000000000001E-2</v>
      </c>
      <c r="H2494" s="1081" t="s">
        <v>247</v>
      </c>
      <c r="I2494" s="724" t="s">
        <v>247</v>
      </c>
      <c r="J2494" s="726">
        <f>G48/10</f>
        <v>640</v>
      </c>
      <c r="K2494" s="726">
        <f>ROUND(G2494*J2494,2)</f>
        <v>54.91</v>
      </c>
      <c r="L2494" s="1087"/>
    </row>
    <row r="2495" spans="1:16">
      <c r="A2495" s="722"/>
      <c r="G2495" s="987"/>
      <c r="H2495" s="1081"/>
      <c r="J2495" s="827" t="s">
        <v>718</v>
      </c>
      <c r="K2495" s="1091">
        <f>SUM(K2492:K2494)</f>
        <v>89.609999999999985</v>
      </c>
      <c r="L2495" s="1087"/>
    </row>
    <row r="2496" spans="1:16">
      <c r="A2496" s="722"/>
      <c r="B2496" s="723" t="s">
        <v>781</v>
      </c>
      <c r="G2496" s="987"/>
      <c r="H2496" s="1081"/>
      <c r="J2496" s="726"/>
      <c r="K2496" s="726"/>
      <c r="L2496" s="1087"/>
    </row>
    <row r="2497" spans="1:12">
      <c r="A2497" s="722"/>
      <c r="B2497" s="722" t="s">
        <v>824</v>
      </c>
      <c r="G2497" s="987">
        <v>0.13</v>
      </c>
      <c r="H2497" s="1081" t="s">
        <v>262</v>
      </c>
      <c r="I2497" s="724" t="s">
        <v>38</v>
      </c>
      <c r="J2497" s="726">
        <f>L132</f>
        <v>284.3</v>
      </c>
      <c r="K2497" s="726">
        <f>ROUND(G2497*J2497,2)</f>
        <v>36.96</v>
      </c>
      <c r="L2497" s="1087"/>
    </row>
    <row r="2498" spans="1:12">
      <c r="A2498" s="722"/>
      <c r="B2498" s="722" t="s">
        <v>717</v>
      </c>
      <c r="G2498" s="987">
        <v>0.36</v>
      </c>
      <c r="H2498" s="1081" t="s">
        <v>262</v>
      </c>
      <c r="I2498" s="724" t="s">
        <v>38</v>
      </c>
      <c r="J2498" s="726">
        <f>L129</f>
        <v>182</v>
      </c>
      <c r="K2498" s="726">
        <f>ROUND(G2498*J2498,2)</f>
        <v>65.52</v>
      </c>
      <c r="L2498" s="1087"/>
    </row>
    <row r="2499" spans="1:12">
      <c r="A2499" s="722"/>
      <c r="G2499" s="987"/>
      <c r="H2499" s="1081"/>
      <c r="J2499" s="827" t="s">
        <v>718</v>
      </c>
      <c r="K2499" s="1091">
        <f>SUM(K2497:K2498)</f>
        <v>102.47999999999999</v>
      </c>
      <c r="L2499" s="1087"/>
    </row>
    <row r="2500" spans="1:12">
      <c r="A2500" s="722"/>
      <c r="B2500" s="723"/>
      <c r="G2500" s="987"/>
      <c r="H2500" s="1081"/>
      <c r="J2500" s="726"/>
      <c r="K2500" s="1091"/>
      <c r="L2500" s="1087"/>
    </row>
    <row r="2501" spans="1:12">
      <c r="A2501" s="722"/>
      <c r="B2501" s="723" t="s">
        <v>783</v>
      </c>
      <c r="G2501" s="987"/>
      <c r="H2501" s="1081"/>
      <c r="J2501" s="1096"/>
      <c r="K2501" s="726"/>
      <c r="L2501" s="1087"/>
    </row>
    <row r="2502" spans="1:12">
      <c r="A2502" s="722"/>
      <c r="B2502" s="1081" t="str">
        <f>B2492</f>
        <v>B.h.g.c.b. chips</v>
      </c>
      <c r="G2502" s="987">
        <v>2.3E-2</v>
      </c>
      <c r="H2502" s="1081" t="s">
        <v>49</v>
      </c>
      <c r="I2502" s="724" t="s">
        <v>49</v>
      </c>
      <c r="J2502" s="726">
        <f>K12</f>
        <v>276.01</v>
      </c>
      <c r="K2502" s="726">
        <f>ROUND(G2502*J2502,2)</f>
        <v>6.35</v>
      </c>
      <c r="L2502" s="1087"/>
    </row>
    <row r="2503" spans="1:12">
      <c r="A2503" s="722"/>
      <c r="B2503" s="722" t="s">
        <v>775</v>
      </c>
      <c r="G2503" s="987">
        <v>1.2E-2</v>
      </c>
      <c r="H2503" s="1081" t="s">
        <v>49</v>
      </c>
      <c r="I2503" s="724" t="s">
        <v>49</v>
      </c>
      <c r="J2503" s="726">
        <f>K44</f>
        <v>731.71</v>
      </c>
      <c r="K2503" s="726">
        <f>ROUND(G2503*J2503,2)</f>
        <v>8.7799999999999994</v>
      </c>
      <c r="L2503" s="1087"/>
    </row>
    <row r="2504" spans="1:12">
      <c r="A2504" s="722"/>
      <c r="B2504" s="722" t="s">
        <v>8</v>
      </c>
      <c r="G2504" s="1092">
        <v>8.5800000000000001E-2</v>
      </c>
      <c r="H2504" s="1081" t="s">
        <v>247</v>
      </c>
      <c r="I2504" s="724" t="s">
        <v>247</v>
      </c>
      <c r="J2504" s="726">
        <f>K48/10</f>
        <v>24.786999999999999</v>
      </c>
      <c r="K2504" s="726">
        <f>ROUND(G2504*J2504,2)</f>
        <v>2.13</v>
      </c>
      <c r="L2504" s="1087"/>
    </row>
    <row r="2505" spans="1:12">
      <c r="A2505" s="722"/>
      <c r="G2505" s="987"/>
      <c r="H2505" s="1081"/>
      <c r="J2505" s="827" t="s">
        <v>718</v>
      </c>
      <c r="K2505" s="1091">
        <f>SUM(K2502:K2504)</f>
        <v>17.259999999999998</v>
      </c>
      <c r="L2505" s="1087"/>
    </row>
    <row r="2506" spans="1:12">
      <c r="A2506" s="722"/>
      <c r="B2506" s="723" t="s">
        <v>825</v>
      </c>
      <c r="G2506" s="1105"/>
      <c r="H2506" s="1081"/>
      <c r="J2506" s="827" t="s">
        <v>718</v>
      </c>
      <c r="K2506" s="1091">
        <f>K2495+K2499+K2500+K2505</f>
        <v>209.34999999999997</v>
      </c>
      <c r="L2506" s="1087" t="s">
        <v>730</v>
      </c>
    </row>
    <row r="2507" spans="1:12">
      <c r="A2507" s="836" t="str">
        <f>A2408</f>
        <v>(ii)</v>
      </c>
      <c r="B2507" s="723" t="str">
        <f>B2408</f>
        <v>First Floor</v>
      </c>
      <c r="E2507" s="1089" t="str">
        <f>E2489</f>
        <v>Each Sqm</v>
      </c>
      <c r="F2507" s="1089"/>
      <c r="G2507" s="987"/>
      <c r="J2507" s="726"/>
      <c r="K2507" s="726"/>
    </row>
    <row r="2508" spans="1:12">
      <c r="B2508" s="722" t="s">
        <v>722</v>
      </c>
      <c r="G2508" s="987"/>
      <c r="J2508" s="726"/>
      <c r="K2508" s="726">
        <f>K2506</f>
        <v>209.34999999999997</v>
      </c>
    </row>
    <row r="2509" spans="1:12">
      <c r="B2509" s="722" t="s">
        <v>723</v>
      </c>
      <c r="G2509" s="987"/>
      <c r="J2509" s="726"/>
      <c r="K2509" s="726">
        <f>K2499*5%</f>
        <v>5.1239999999999997</v>
      </c>
    </row>
    <row r="2510" spans="1:12">
      <c r="G2510" s="987"/>
      <c r="J2510" s="827" t="s">
        <v>718</v>
      </c>
      <c r="K2510" s="1091">
        <f>SUM(K2508:K2509)</f>
        <v>214.47399999999996</v>
      </c>
      <c r="L2510" s="723" t="s">
        <v>730</v>
      </c>
    </row>
    <row r="2511" spans="1:12" ht="84" customHeight="1">
      <c r="A2511" s="836">
        <f>A484</f>
        <v>68</v>
      </c>
      <c r="B2511" s="3386" t="str">
        <f>B484</f>
        <v>Providing 2.5cm thick Grading Concrete over roof slab with cement concrete (1:2:2) using 6mm size black hard granite crusher broken chips and screened &amp; washed sharp sand for mortar and finished smooth to the rough surface of slab including watering and curing  etc. complete in all respect as directed by the Engineer in charge.</v>
      </c>
      <c r="C2511" s="3386"/>
      <c r="D2511" s="3386"/>
      <c r="E2511" s="1086" t="str">
        <f>G484</f>
        <v>Each Sqm</v>
      </c>
      <c r="F2511" s="1086"/>
      <c r="G2511" s="1105"/>
      <c r="H2511" s="1081"/>
      <c r="J2511" s="726"/>
      <c r="K2511" s="1091"/>
      <c r="L2511" s="1087"/>
    </row>
    <row r="2512" spans="1:12">
      <c r="A2512" s="836" t="str">
        <f>A485</f>
        <v>(i)</v>
      </c>
      <c r="B2512" s="723" t="str">
        <f>B485</f>
        <v>Ground Floor</v>
      </c>
      <c r="C2512" s="1088"/>
      <c r="D2512" s="1088"/>
      <c r="E2512" s="1089" t="str">
        <f>G485</f>
        <v>Each Sqm</v>
      </c>
      <c r="F2512" s="1089"/>
      <c r="G2512" s="987"/>
      <c r="J2512" s="1091"/>
      <c r="K2512" s="1091"/>
    </row>
    <row r="2513" spans="1:12">
      <c r="A2513" s="722"/>
      <c r="B2513" s="723" t="s">
        <v>821</v>
      </c>
      <c r="G2513" s="987"/>
      <c r="H2513" s="1081"/>
      <c r="J2513" s="726"/>
      <c r="K2513" s="726"/>
      <c r="L2513" s="1087"/>
    </row>
    <row r="2514" spans="1:12">
      <c r="A2514" s="722"/>
      <c r="B2514" s="723" t="s">
        <v>822</v>
      </c>
      <c r="H2514" s="1081"/>
      <c r="L2514" s="1087"/>
    </row>
    <row r="2515" spans="1:12">
      <c r="A2515" s="722"/>
      <c r="B2515" s="1081" t="s">
        <v>972</v>
      </c>
      <c r="G2515" s="1092">
        <v>1.6899999999999998E-2</v>
      </c>
      <c r="H2515" s="1081" t="s">
        <v>49</v>
      </c>
      <c r="I2515" s="724" t="s">
        <v>49</v>
      </c>
      <c r="J2515" s="726">
        <f>G16</f>
        <v>832.43999999999994</v>
      </c>
      <c r="K2515" s="726">
        <f>ROUND(G2515*J2515,2)</f>
        <v>14.07</v>
      </c>
      <c r="L2515" s="1087"/>
    </row>
    <row r="2516" spans="1:12">
      <c r="A2516" s="722"/>
      <c r="B2516" s="722" t="s">
        <v>775</v>
      </c>
      <c r="G2516" s="1092">
        <f>G2515</f>
        <v>1.6899999999999998E-2</v>
      </c>
      <c r="H2516" s="1081" t="s">
        <v>49</v>
      </c>
      <c r="I2516" s="724" t="s">
        <v>49</v>
      </c>
      <c r="J2516" s="726">
        <f>G44</f>
        <v>80.72</v>
      </c>
      <c r="K2516" s="726">
        <f>ROUND(G2516*J2516,2)</f>
        <v>1.36</v>
      </c>
      <c r="L2516" s="1087"/>
    </row>
    <row r="2517" spans="1:12">
      <c r="A2517" s="722"/>
      <c r="B2517" s="722" t="s">
        <v>8</v>
      </c>
      <c r="G2517" s="1092">
        <v>0.1208</v>
      </c>
      <c r="H2517" s="1081" t="s">
        <v>247</v>
      </c>
      <c r="I2517" s="724" t="s">
        <v>247</v>
      </c>
      <c r="J2517" s="726">
        <f>G48/10</f>
        <v>640</v>
      </c>
      <c r="K2517" s="726">
        <f>ROUND(G2517*J2517,2)</f>
        <v>77.31</v>
      </c>
      <c r="L2517" s="1087"/>
    </row>
    <row r="2518" spans="1:12">
      <c r="A2518" s="722"/>
      <c r="G2518" s="987"/>
      <c r="H2518" s="1081"/>
      <c r="J2518" s="827" t="s">
        <v>718</v>
      </c>
      <c r="K2518" s="1091">
        <f>SUM(K2515:K2517)</f>
        <v>92.740000000000009</v>
      </c>
      <c r="L2518" s="1087"/>
    </row>
    <row r="2519" spans="1:12">
      <c r="A2519" s="722"/>
      <c r="B2519" s="723" t="s">
        <v>781</v>
      </c>
      <c r="G2519" s="987"/>
      <c r="H2519" s="1081"/>
      <c r="J2519" s="726"/>
      <c r="K2519" s="726"/>
      <c r="L2519" s="1087"/>
    </row>
    <row r="2520" spans="1:12">
      <c r="A2520" s="722"/>
      <c r="B2520" s="722" t="s">
        <v>824</v>
      </c>
      <c r="G2520" s="987">
        <v>0.1</v>
      </c>
      <c r="H2520" s="1081" t="s">
        <v>262</v>
      </c>
      <c r="I2520" s="724" t="s">
        <v>38</v>
      </c>
      <c r="J2520" s="726">
        <f>L132</f>
        <v>284.3</v>
      </c>
      <c r="K2520" s="726">
        <f>ROUND(G2520*J2520,2)</f>
        <v>28.43</v>
      </c>
      <c r="L2520" s="1087"/>
    </row>
    <row r="2521" spans="1:12">
      <c r="A2521" s="722"/>
      <c r="B2521" s="722" t="s">
        <v>717</v>
      </c>
      <c r="G2521" s="987">
        <v>0.36</v>
      </c>
      <c r="H2521" s="1081" t="s">
        <v>262</v>
      </c>
      <c r="I2521" s="724" t="s">
        <v>38</v>
      </c>
      <c r="J2521" s="726">
        <f>L129</f>
        <v>182</v>
      </c>
      <c r="K2521" s="726">
        <f>ROUND(G2521*J2521,2)</f>
        <v>65.52</v>
      </c>
      <c r="L2521" s="1087"/>
    </row>
    <row r="2522" spans="1:12">
      <c r="A2522" s="722"/>
      <c r="G2522" s="987"/>
      <c r="H2522" s="1081"/>
      <c r="J2522" s="827" t="s">
        <v>718</v>
      </c>
      <c r="K2522" s="1091">
        <f>SUM(K2520:K2521)</f>
        <v>93.949999999999989</v>
      </c>
      <c r="L2522" s="1087"/>
    </row>
    <row r="2523" spans="1:12">
      <c r="A2523" s="722"/>
      <c r="B2523" s="723"/>
      <c r="G2523" s="987"/>
      <c r="H2523" s="1081"/>
      <c r="J2523" s="726"/>
      <c r="K2523" s="1091"/>
      <c r="L2523" s="1087"/>
    </row>
    <row r="2524" spans="1:12">
      <c r="A2524" s="722"/>
      <c r="B2524" s="723" t="s">
        <v>783</v>
      </c>
      <c r="G2524" s="987"/>
      <c r="H2524" s="1081"/>
      <c r="J2524" s="1096"/>
      <c r="K2524" s="726"/>
      <c r="L2524" s="1087"/>
    </row>
    <row r="2525" spans="1:12">
      <c r="A2525" s="722"/>
      <c r="B2525" s="1081" t="str">
        <f>B2515</f>
        <v>B.h.g.c.b. chips 4.7mm size</v>
      </c>
      <c r="G2525" s="1092">
        <f>G2515</f>
        <v>1.6899999999999998E-2</v>
      </c>
      <c r="H2525" s="1081" t="s">
        <v>49</v>
      </c>
      <c r="I2525" s="724" t="s">
        <v>49</v>
      </c>
      <c r="J2525" s="726">
        <f>K16</f>
        <v>276.01</v>
      </c>
      <c r="K2525" s="726">
        <f>ROUND(G2525*J2525,2)</f>
        <v>4.66</v>
      </c>
      <c r="L2525" s="1087"/>
    </row>
    <row r="2526" spans="1:12">
      <c r="A2526" s="722"/>
      <c r="B2526" s="722" t="s">
        <v>775</v>
      </c>
      <c r="G2526" s="1092">
        <f>G2525</f>
        <v>1.6899999999999998E-2</v>
      </c>
      <c r="H2526" s="1081" t="s">
        <v>49</v>
      </c>
      <c r="I2526" s="724" t="s">
        <v>49</v>
      </c>
      <c r="J2526" s="726">
        <f>K44</f>
        <v>731.71</v>
      </c>
      <c r="K2526" s="726">
        <f>ROUND(G2526*J2526,2)</f>
        <v>12.37</v>
      </c>
      <c r="L2526" s="1087"/>
    </row>
    <row r="2527" spans="1:12">
      <c r="A2527" s="722"/>
      <c r="B2527" s="722" t="s">
        <v>8</v>
      </c>
      <c r="G2527" s="1092">
        <f>G2517</f>
        <v>0.1208</v>
      </c>
      <c r="H2527" s="1081" t="s">
        <v>247</v>
      </c>
      <c r="I2527" s="724" t="s">
        <v>247</v>
      </c>
      <c r="J2527" s="726">
        <f>K48/10</f>
        <v>24.786999999999999</v>
      </c>
      <c r="K2527" s="726">
        <f>ROUND(G2527*J2527,2)</f>
        <v>2.99</v>
      </c>
      <c r="L2527" s="1087"/>
    </row>
    <row r="2528" spans="1:12">
      <c r="A2528" s="722"/>
      <c r="G2528" s="987"/>
      <c r="H2528" s="1081"/>
      <c r="J2528" s="827" t="s">
        <v>718</v>
      </c>
      <c r="K2528" s="1091">
        <f>SUM(K2525:K2527)</f>
        <v>20.020000000000003</v>
      </c>
      <c r="L2528" s="1087"/>
    </row>
    <row r="2529" spans="1:12">
      <c r="A2529" s="722"/>
      <c r="B2529" s="723" t="s">
        <v>825</v>
      </c>
      <c r="G2529" s="1105"/>
      <c r="H2529" s="1081"/>
      <c r="J2529" s="827" t="s">
        <v>718</v>
      </c>
      <c r="K2529" s="1091">
        <f>K2518+K2522+K2523+K2528</f>
        <v>206.71</v>
      </c>
      <c r="L2529" s="1087" t="s">
        <v>730</v>
      </c>
    </row>
    <row r="2530" spans="1:12">
      <c r="A2530" s="836" t="str">
        <f>A2507</f>
        <v>(ii)</v>
      </c>
      <c r="B2530" s="723" t="str">
        <f>B2507</f>
        <v>First Floor</v>
      </c>
      <c r="E2530" s="1089" t="str">
        <f>E2512</f>
        <v>Each Sqm</v>
      </c>
      <c r="F2530" s="1089"/>
      <c r="G2530" s="987"/>
      <c r="J2530" s="726"/>
      <c r="K2530" s="726"/>
    </row>
    <row r="2531" spans="1:12">
      <c r="B2531" s="722" t="s">
        <v>722</v>
      </c>
      <c r="G2531" s="987"/>
      <c r="J2531" s="726"/>
      <c r="K2531" s="726">
        <f>K2529</f>
        <v>206.71</v>
      </c>
    </row>
    <row r="2532" spans="1:12">
      <c r="B2532" s="722" t="s">
        <v>723</v>
      </c>
      <c r="G2532" s="987"/>
      <c r="J2532" s="726"/>
      <c r="K2532" s="726">
        <f>ROUND(K2522*5%,2)</f>
        <v>4.7</v>
      </c>
    </row>
    <row r="2533" spans="1:12">
      <c r="G2533" s="987"/>
      <c r="J2533" s="827" t="s">
        <v>718</v>
      </c>
      <c r="K2533" s="1091">
        <f>SUM(K2531:K2532)</f>
        <v>211.41</v>
      </c>
      <c r="L2533" s="723" t="s">
        <v>730</v>
      </c>
    </row>
    <row r="2534" spans="1:12" ht="108.75" customHeight="1">
      <c r="A2534" s="836">
        <f>A487</f>
        <v>69</v>
      </c>
      <c r="B2534" s="3386" t="str">
        <f>B487</f>
        <v>Providing 4cm thick Grading Concrete over roof slab with cement concrete (1:2:4) using 12mm size black hard granite crusher broken chips and screened &amp; washed sharp sand for mortar and finished smooth to the rough surface of slab including watering and curing with cost, conveyance, royalties and taxes of all materials with cost of all labour, and T&amp;P required for the work etc. complete in all respect as directed by the Engineer in charge.</v>
      </c>
      <c r="C2534" s="3386"/>
      <c r="D2534" s="3386"/>
      <c r="E2534" s="1086" t="str">
        <f>G487</f>
        <v>Each Sqm</v>
      </c>
      <c r="F2534" s="1086"/>
      <c r="G2534" s="1105"/>
      <c r="H2534" s="1081"/>
      <c r="J2534" s="726"/>
      <c r="K2534" s="1091"/>
      <c r="L2534" s="1087"/>
    </row>
    <row r="2535" spans="1:12">
      <c r="A2535" s="836" t="str">
        <f>A488</f>
        <v>(i)</v>
      </c>
      <c r="B2535" s="723" t="str">
        <f>B488</f>
        <v>Ground Floor</v>
      </c>
      <c r="C2535" s="1088"/>
      <c r="D2535" s="1088"/>
      <c r="E2535" s="1089" t="str">
        <f>G488</f>
        <v>Each Sqm</v>
      </c>
      <c r="F2535" s="1089"/>
      <c r="G2535" s="987"/>
      <c r="J2535" s="1091"/>
      <c r="K2535" s="1091"/>
    </row>
    <row r="2536" spans="1:12">
      <c r="A2536" s="722"/>
      <c r="B2536" s="723" t="s">
        <v>821</v>
      </c>
      <c r="G2536" s="987"/>
      <c r="H2536" s="1081"/>
      <c r="J2536" s="726"/>
      <c r="K2536" s="726"/>
      <c r="L2536" s="1087"/>
    </row>
    <row r="2537" spans="1:12">
      <c r="A2537" s="722"/>
      <c r="B2537" s="723" t="s">
        <v>822</v>
      </c>
      <c r="H2537" s="1081"/>
      <c r="L2537" s="1087"/>
    </row>
    <row r="2538" spans="1:12">
      <c r="A2538" s="722"/>
      <c r="B2538" s="1081" t="s">
        <v>973</v>
      </c>
      <c r="G2538" s="1092">
        <v>1.7999999999999999E-2</v>
      </c>
      <c r="H2538" s="1081" t="s">
        <v>49</v>
      </c>
      <c r="I2538" s="724" t="s">
        <v>49</v>
      </c>
      <c r="J2538" s="726">
        <f>G12</f>
        <v>1466.4499999999998</v>
      </c>
      <c r="K2538" s="726">
        <f>ROUND(G2538*J2538,2)</f>
        <v>26.4</v>
      </c>
      <c r="L2538" s="1087"/>
    </row>
    <row r="2539" spans="1:12">
      <c r="A2539" s="722"/>
      <c r="B2539" s="1081" t="s">
        <v>972</v>
      </c>
      <c r="G2539" s="1092">
        <v>1.7999999999999999E-2</v>
      </c>
      <c r="H2539" s="1081" t="s">
        <v>49</v>
      </c>
      <c r="I2539" s="724" t="s">
        <v>49</v>
      </c>
      <c r="J2539" s="726">
        <f>G16</f>
        <v>832.43999999999994</v>
      </c>
      <c r="K2539" s="726">
        <f>ROUND(G2539*J2539,2)</f>
        <v>14.98</v>
      </c>
      <c r="L2539" s="1087"/>
    </row>
    <row r="2540" spans="1:12">
      <c r="A2540" s="722"/>
      <c r="B2540" s="722" t="s">
        <v>775</v>
      </c>
      <c r="G2540" s="1092">
        <f>G2538</f>
        <v>1.7999999999999999E-2</v>
      </c>
      <c r="H2540" s="1081" t="s">
        <v>49</v>
      </c>
      <c r="I2540" s="724" t="s">
        <v>49</v>
      </c>
      <c r="J2540" s="726">
        <f>G44</f>
        <v>80.72</v>
      </c>
      <c r="K2540" s="726">
        <f>ROUND(G2540*J2540,2)</f>
        <v>1.45</v>
      </c>
      <c r="L2540" s="1087"/>
    </row>
    <row r="2541" spans="1:12">
      <c r="A2541" s="722"/>
      <c r="B2541" s="722" t="s">
        <v>8</v>
      </c>
      <c r="G2541" s="1092">
        <v>0.12870000000000001</v>
      </c>
      <c r="H2541" s="1081" t="s">
        <v>247</v>
      </c>
      <c r="I2541" s="724" t="s">
        <v>247</v>
      </c>
      <c r="J2541" s="726">
        <f>G48/10</f>
        <v>640</v>
      </c>
      <c r="K2541" s="726">
        <f>ROUND(G2541*J2541,2)</f>
        <v>82.37</v>
      </c>
      <c r="L2541" s="1087"/>
    </row>
    <row r="2542" spans="1:12">
      <c r="A2542" s="722"/>
      <c r="G2542" s="987"/>
      <c r="H2542" s="1081"/>
      <c r="J2542" s="827" t="s">
        <v>718</v>
      </c>
      <c r="K2542" s="1091">
        <f>SUM(K2538:K2541)</f>
        <v>125.2</v>
      </c>
      <c r="L2542" s="1087"/>
    </row>
    <row r="2543" spans="1:12">
      <c r="A2543" s="722"/>
      <c r="B2543" s="723" t="s">
        <v>781</v>
      </c>
      <c r="G2543" s="987"/>
      <c r="H2543" s="1081"/>
      <c r="J2543" s="726"/>
      <c r="K2543" s="726"/>
      <c r="L2543" s="1087"/>
    </row>
    <row r="2544" spans="1:12">
      <c r="A2544" s="722"/>
      <c r="B2544" s="722" t="s">
        <v>824</v>
      </c>
      <c r="G2544" s="987">
        <v>0.16500000000000001</v>
      </c>
      <c r="H2544" s="1081" t="s">
        <v>262</v>
      </c>
      <c r="I2544" s="724" t="s">
        <v>38</v>
      </c>
      <c r="J2544" s="726">
        <f>L132</f>
        <v>284.3</v>
      </c>
      <c r="K2544" s="726">
        <f>ROUND(G2544*J2544,2)</f>
        <v>46.91</v>
      </c>
      <c r="L2544" s="1087"/>
    </row>
    <row r="2545" spans="1:20">
      <c r="A2545" s="722"/>
      <c r="B2545" s="722" t="s">
        <v>717</v>
      </c>
      <c r="G2545" s="987">
        <v>1.008</v>
      </c>
      <c r="H2545" s="1081" t="s">
        <v>262</v>
      </c>
      <c r="I2545" s="724" t="s">
        <v>38</v>
      </c>
      <c r="J2545" s="726">
        <f>L129</f>
        <v>182</v>
      </c>
      <c r="K2545" s="726">
        <f>ROUND(G2545*J2545,2)</f>
        <v>183.46</v>
      </c>
      <c r="L2545" s="1087"/>
    </row>
    <row r="2546" spans="1:20">
      <c r="A2546" s="722"/>
      <c r="G2546" s="987"/>
      <c r="H2546" s="1081"/>
      <c r="J2546" s="827" t="s">
        <v>718</v>
      </c>
      <c r="K2546" s="1091">
        <f>SUM(K2544:K2545)</f>
        <v>230.37</v>
      </c>
      <c r="L2546" s="1087"/>
    </row>
    <row r="2547" spans="1:20">
      <c r="A2547" s="722"/>
      <c r="B2547" s="723"/>
      <c r="G2547" s="987"/>
      <c r="H2547" s="1081"/>
      <c r="J2547" s="726"/>
      <c r="K2547" s="1091"/>
      <c r="L2547" s="1087"/>
    </row>
    <row r="2548" spans="1:20">
      <c r="A2548" s="722"/>
      <c r="B2548" s="723" t="s">
        <v>783</v>
      </c>
      <c r="G2548" s="987"/>
      <c r="H2548" s="1081"/>
      <c r="J2548" s="1096"/>
      <c r="K2548" s="726"/>
      <c r="L2548" s="1087"/>
    </row>
    <row r="2549" spans="1:20">
      <c r="A2549" s="722"/>
      <c r="B2549" s="1081" t="s">
        <v>973</v>
      </c>
      <c r="G2549" s="1092">
        <f>G2538</f>
        <v>1.7999999999999999E-2</v>
      </c>
      <c r="H2549" s="1081" t="s">
        <v>49</v>
      </c>
      <c r="I2549" s="724" t="s">
        <v>49</v>
      </c>
      <c r="J2549" s="726">
        <f>K12</f>
        <v>276.01</v>
      </c>
      <c r="K2549" s="726">
        <f>ROUND(G2549*J2549,2)</f>
        <v>4.97</v>
      </c>
      <c r="L2549" s="1087"/>
    </row>
    <row r="2550" spans="1:20">
      <c r="A2550" s="722"/>
      <c r="B2550" s="1081" t="s">
        <v>972</v>
      </c>
      <c r="G2550" s="1092">
        <f>G2539</f>
        <v>1.7999999999999999E-2</v>
      </c>
      <c r="H2550" s="1081" t="s">
        <v>49</v>
      </c>
      <c r="I2550" s="724" t="s">
        <v>49</v>
      </c>
      <c r="J2550" s="726">
        <f>K16</f>
        <v>276.01</v>
      </c>
      <c r="K2550" s="726">
        <f>ROUND(G2550*J2550,2)</f>
        <v>4.97</v>
      </c>
      <c r="L2550" s="1087"/>
    </row>
    <row r="2551" spans="1:20">
      <c r="A2551" s="722"/>
      <c r="B2551" s="722" t="s">
        <v>775</v>
      </c>
      <c r="G2551" s="1092">
        <f>G2549</f>
        <v>1.7999999999999999E-2</v>
      </c>
      <c r="H2551" s="1081" t="s">
        <v>49</v>
      </c>
      <c r="I2551" s="724" t="s">
        <v>49</v>
      </c>
      <c r="J2551" s="726">
        <f>K44</f>
        <v>731.71</v>
      </c>
      <c r="K2551" s="726">
        <f>ROUND(G2551*J2551,2)</f>
        <v>13.17</v>
      </c>
      <c r="L2551" s="1087"/>
    </row>
    <row r="2552" spans="1:20">
      <c r="A2552" s="722"/>
      <c r="B2552" s="722" t="s">
        <v>8</v>
      </c>
      <c r="G2552" s="1092">
        <f>G2541</f>
        <v>0.12870000000000001</v>
      </c>
      <c r="H2552" s="1081" t="s">
        <v>247</v>
      </c>
      <c r="I2552" s="724" t="s">
        <v>247</v>
      </c>
      <c r="J2552" s="726">
        <f>K48/10</f>
        <v>24.786999999999999</v>
      </c>
      <c r="K2552" s="726">
        <f>ROUND(G2552*J2552,2)</f>
        <v>3.19</v>
      </c>
      <c r="L2552" s="1087"/>
    </row>
    <row r="2553" spans="1:20">
      <c r="A2553" s="722"/>
      <c r="G2553" s="987"/>
      <c r="H2553" s="1081"/>
      <c r="J2553" s="827" t="s">
        <v>718</v>
      </c>
      <c r="K2553" s="1091">
        <f>SUM(K2549:K2552)</f>
        <v>26.3</v>
      </c>
      <c r="L2553" s="1087"/>
    </row>
    <row r="2554" spans="1:20">
      <c r="A2554" s="722"/>
      <c r="B2554" s="723" t="s">
        <v>825</v>
      </c>
      <c r="G2554" s="1105"/>
      <c r="H2554" s="1081"/>
      <c r="J2554" s="827" t="s">
        <v>718</v>
      </c>
      <c r="K2554" s="1091">
        <f>K2542+K2546+K2547+K2553</f>
        <v>381.87</v>
      </c>
      <c r="L2554" s="1087" t="s">
        <v>730</v>
      </c>
    </row>
    <row r="2555" spans="1:20">
      <c r="A2555" s="836" t="str">
        <f>A489</f>
        <v>(ii)</v>
      </c>
      <c r="B2555" s="723" t="str">
        <f>B489</f>
        <v>First Floor</v>
      </c>
      <c r="E2555" s="1089" t="str">
        <f>G489</f>
        <v>Each Sqm</v>
      </c>
      <c r="F2555" s="1089"/>
      <c r="G2555" s="987"/>
      <c r="J2555" s="726"/>
      <c r="K2555" s="726"/>
    </row>
    <row r="2556" spans="1:20">
      <c r="B2556" s="722" t="s">
        <v>722</v>
      </c>
      <c r="G2556" s="987"/>
      <c r="J2556" s="726"/>
      <c r="K2556" s="726">
        <f>K2554</f>
        <v>381.87</v>
      </c>
    </row>
    <row r="2557" spans="1:20">
      <c r="B2557" s="722" t="s">
        <v>723</v>
      </c>
      <c r="G2557" s="987"/>
      <c r="J2557" s="726"/>
      <c r="K2557" s="726">
        <f>ROUND(K2546*5%,2)</f>
        <v>11.52</v>
      </c>
    </row>
    <row r="2558" spans="1:20">
      <c r="G2558" s="987"/>
      <c r="J2558" s="827" t="s">
        <v>718</v>
      </c>
      <c r="K2558" s="1091">
        <f>SUM(K2556:K2557)</f>
        <v>393.39</v>
      </c>
      <c r="L2558" s="723" t="s">
        <v>730</v>
      </c>
    </row>
    <row r="2559" spans="1:20" ht="71.25" customHeight="1">
      <c r="A2559" s="836">
        <f t="shared" ref="A2559:B2561" si="100">A490</f>
        <v>70</v>
      </c>
      <c r="B2559" s="3386" t="str">
        <f t="shared" si="100"/>
        <v xml:space="preserve">Supplying, fitting, fixing of tile in floors marbonite or equivalent make in all floors over 25mm thick bed of cement mortar (1:1) jointed with neat cement slurry mixed with pigment to match the shades of the tiles  etc. complete as per the direction of the Engineer-in-charge. </v>
      </c>
      <c r="C2559" s="3386"/>
      <c r="D2559" s="3386"/>
      <c r="E2559" s="1086" t="str">
        <f>G490</f>
        <v>Each Sqm</v>
      </c>
      <c r="F2559" s="1086"/>
      <c r="G2559" s="987"/>
      <c r="J2559" s="1091"/>
      <c r="K2559" s="1091"/>
      <c r="Q2559" s="723" t="s">
        <v>974</v>
      </c>
    </row>
    <row r="2560" spans="1:20" s="731" customFormat="1">
      <c r="A2560" s="768" t="str">
        <f t="shared" si="100"/>
        <v>A)</v>
      </c>
      <c r="B2560" s="1111" t="str">
        <f t="shared" si="100"/>
        <v>Vertified tile ( 600x 600)Printed</v>
      </c>
      <c r="E2560" s="768"/>
      <c r="F2560" s="768"/>
      <c r="G2560" s="1100"/>
      <c r="I2560" s="764"/>
      <c r="J2560" s="742"/>
      <c r="K2560" s="742"/>
      <c r="L2560" s="762"/>
      <c r="T2560" s="762"/>
    </row>
    <row r="2561" spans="1:11">
      <c r="A2561" s="836" t="str">
        <f t="shared" si="100"/>
        <v>(i)</v>
      </c>
      <c r="B2561" s="723" t="str">
        <f t="shared" si="100"/>
        <v>Ground Floor</v>
      </c>
      <c r="E2561" s="1089" t="str">
        <f>G492</f>
        <v>Each Sqm</v>
      </c>
      <c r="F2561" s="1089"/>
      <c r="G2561" s="987"/>
      <c r="J2561" s="726"/>
      <c r="K2561" s="726"/>
    </row>
    <row r="2562" spans="1:11">
      <c r="B2562" s="722" t="s">
        <v>964</v>
      </c>
      <c r="G2562" s="987"/>
      <c r="J2562" s="726"/>
      <c r="K2562" s="726"/>
    </row>
    <row r="2563" spans="1:11">
      <c r="B2563" s="723" t="s">
        <v>822</v>
      </c>
      <c r="G2563" s="987"/>
      <c r="J2563" s="726"/>
      <c r="K2563" s="726"/>
    </row>
    <row r="2564" spans="1:11">
      <c r="B2564" s="722" t="s">
        <v>775</v>
      </c>
      <c r="G2564" s="987">
        <v>0.13</v>
      </c>
      <c r="H2564" s="722" t="s">
        <v>49</v>
      </c>
      <c r="I2564" s="724" t="s">
        <v>49</v>
      </c>
      <c r="J2564" s="726">
        <f>G44</f>
        <v>80.72</v>
      </c>
      <c r="K2564" s="726">
        <f>ROUND(G2564*J2564,2)</f>
        <v>10.49</v>
      </c>
    </row>
    <row r="2565" spans="1:11">
      <c r="B2565" s="722" t="s">
        <v>8</v>
      </c>
      <c r="G2565" s="987">
        <v>2.7370000000000001</v>
      </c>
      <c r="H2565" s="722" t="s">
        <v>247</v>
      </c>
      <c r="I2565" s="724" t="s">
        <v>247</v>
      </c>
      <c r="J2565" s="726">
        <f>G48/10</f>
        <v>640</v>
      </c>
      <c r="K2565" s="726">
        <f>ROUND(G2565*J2565,2)</f>
        <v>1751.68</v>
      </c>
    </row>
    <row r="2566" spans="1:11">
      <c r="G2566" s="987"/>
      <c r="J2566" s="1096" t="s">
        <v>718</v>
      </c>
      <c r="K2566" s="726">
        <f>SUM(K2564:K2565)</f>
        <v>1762.17</v>
      </c>
    </row>
    <row r="2567" spans="1:11">
      <c r="B2567" s="723" t="s">
        <v>781</v>
      </c>
      <c r="G2567" s="987"/>
      <c r="J2567" s="726"/>
      <c r="K2567" s="726"/>
    </row>
    <row r="2568" spans="1:11">
      <c r="B2568" s="722" t="s">
        <v>975</v>
      </c>
      <c r="G2568" s="987">
        <v>2.16</v>
      </c>
      <c r="H2568" s="722" t="s">
        <v>262</v>
      </c>
      <c r="I2568" s="724" t="s">
        <v>38</v>
      </c>
      <c r="J2568" s="726">
        <f>L132</f>
        <v>284.3</v>
      </c>
      <c r="K2568" s="726">
        <f>ROUND(G2568*J2568,2)</f>
        <v>614.09</v>
      </c>
    </row>
    <row r="2569" spans="1:11">
      <c r="B2569" s="722" t="s">
        <v>976</v>
      </c>
      <c r="G2569" s="987">
        <v>5.5</v>
      </c>
      <c r="H2569" s="722" t="s">
        <v>262</v>
      </c>
      <c r="I2569" s="724" t="s">
        <v>38</v>
      </c>
      <c r="J2569" s="726">
        <f>L130</f>
        <v>244.3</v>
      </c>
      <c r="K2569" s="726">
        <f>ROUND(G2569*J2569,2)</f>
        <v>1343.65</v>
      </c>
    </row>
    <row r="2570" spans="1:11">
      <c r="B2570" s="722" t="s">
        <v>717</v>
      </c>
      <c r="G2570" s="987">
        <v>2.16</v>
      </c>
      <c r="H2570" s="722" t="s">
        <v>262</v>
      </c>
      <c r="I2570" s="724" t="s">
        <v>38</v>
      </c>
      <c r="J2570" s="726">
        <f>L129</f>
        <v>182</v>
      </c>
      <c r="K2570" s="726">
        <f>ROUND(G2570*J2570,2)</f>
        <v>393.12</v>
      </c>
    </row>
    <row r="2571" spans="1:11">
      <c r="G2571" s="987"/>
      <c r="J2571" s="1096" t="s">
        <v>718</v>
      </c>
      <c r="K2571" s="726">
        <f>SUM(K2568:K2570)</f>
        <v>2350.86</v>
      </c>
    </row>
    <row r="2572" spans="1:11">
      <c r="B2572" s="723"/>
      <c r="G2572" s="987"/>
      <c r="J2572" s="726"/>
      <c r="K2572" s="726"/>
    </row>
    <row r="2573" spans="1:11">
      <c r="B2573" s="723" t="s">
        <v>783</v>
      </c>
      <c r="G2573" s="987"/>
      <c r="J2573" s="726"/>
      <c r="K2573" s="726"/>
    </row>
    <row r="2574" spans="1:11">
      <c r="B2574" s="722" t="s">
        <v>775</v>
      </c>
      <c r="G2574" s="987">
        <f>G2564</f>
        <v>0.13</v>
      </c>
      <c r="H2574" s="722" t="s">
        <v>49</v>
      </c>
      <c r="I2574" s="724" t="s">
        <v>49</v>
      </c>
      <c r="J2574" s="726">
        <f>K44</f>
        <v>731.71</v>
      </c>
      <c r="K2574" s="726">
        <f>ROUND(G2574*J2574,2)</f>
        <v>95.12</v>
      </c>
    </row>
    <row r="2575" spans="1:11">
      <c r="B2575" s="722" t="s">
        <v>8</v>
      </c>
      <c r="G2575" s="987">
        <f>G2565</f>
        <v>2.7370000000000001</v>
      </c>
      <c r="H2575" s="722" t="s">
        <v>247</v>
      </c>
      <c r="I2575" s="724" t="s">
        <v>247</v>
      </c>
      <c r="J2575" s="726">
        <f>K48/10</f>
        <v>24.786999999999999</v>
      </c>
      <c r="K2575" s="726">
        <f>ROUND(G2575*J2575,2)</f>
        <v>67.84</v>
      </c>
    </row>
    <row r="2576" spans="1:11">
      <c r="B2576" s="722" t="s">
        <v>13</v>
      </c>
      <c r="G2576" s="987">
        <v>10</v>
      </c>
      <c r="H2576" s="722" t="s">
        <v>92</v>
      </c>
      <c r="I2576" s="724" t="s">
        <v>92</v>
      </c>
      <c r="J2576" s="726">
        <f>K50</f>
        <v>9.6011111111111109</v>
      </c>
      <c r="K2576" s="726">
        <f>ROUND(G2576*J2576,2)</f>
        <v>96.01</v>
      </c>
    </row>
    <row r="2577" spans="1:20">
      <c r="G2577" s="987"/>
      <c r="J2577" s="1096" t="s">
        <v>718</v>
      </c>
      <c r="K2577" s="726">
        <f>SUM(K2574:K2576)</f>
        <v>258.97000000000003</v>
      </c>
    </row>
    <row r="2578" spans="1:20">
      <c r="B2578" s="722" t="s">
        <v>977</v>
      </c>
      <c r="G2578" s="987"/>
      <c r="J2578" s="726"/>
      <c r="K2578" s="726">
        <f>K2566+K2571+K2572+K2577</f>
        <v>4372.0000000000009</v>
      </c>
    </row>
    <row r="2579" spans="1:20">
      <c r="B2579" s="722" t="s">
        <v>978</v>
      </c>
      <c r="G2579" s="987"/>
      <c r="J2579" s="827" t="s">
        <v>718</v>
      </c>
      <c r="K2579" s="1091">
        <f>ROUND(K2578/10,2)</f>
        <v>437.2</v>
      </c>
      <c r="L2579" s="723" t="s">
        <v>730</v>
      </c>
    </row>
    <row r="2580" spans="1:20">
      <c r="B2580" s="722" t="s">
        <v>979</v>
      </c>
      <c r="G2580" s="987"/>
      <c r="J2580" s="726"/>
      <c r="K2580" s="726">
        <f>G50</f>
        <v>821</v>
      </c>
    </row>
    <row r="2581" spans="1:20">
      <c r="G2581" s="987"/>
      <c r="J2581" s="726"/>
      <c r="K2581" s="726"/>
    </row>
    <row r="2582" spans="1:20">
      <c r="G2582" s="987"/>
      <c r="J2582" s="827" t="s">
        <v>718</v>
      </c>
      <c r="K2582" s="1091">
        <f>SUM(K2579:K2581)</f>
        <v>1258.2</v>
      </c>
      <c r="L2582" s="723" t="s">
        <v>730</v>
      </c>
    </row>
    <row r="2583" spans="1:20">
      <c r="A2583" s="836" t="str">
        <f>A493</f>
        <v>(ii)</v>
      </c>
      <c r="B2583" s="723" t="str">
        <f>B493</f>
        <v>First Floor</v>
      </c>
      <c r="E2583" s="1089" t="str">
        <f>G493</f>
        <v>Each Sqm</v>
      </c>
      <c r="F2583" s="1089"/>
      <c r="G2583" s="987"/>
      <c r="J2583" s="726"/>
      <c r="K2583" s="726"/>
    </row>
    <row r="2584" spans="1:20">
      <c r="B2584" s="722" t="s">
        <v>722</v>
      </c>
      <c r="G2584" s="987"/>
      <c r="J2584" s="726"/>
      <c r="K2584" s="726">
        <f>K2582</f>
        <v>1258.2</v>
      </c>
    </row>
    <row r="2585" spans="1:20">
      <c r="B2585" s="722" t="s">
        <v>723</v>
      </c>
      <c r="G2585" s="987"/>
      <c r="J2585" s="726"/>
      <c r="K2585" s="726">
        <f>ROUND(K2571/10*5%,2)</f>
        <v>11.75</v>
      </c>
    </row>
    <row r="2586" spans="1:20">
      <c r="G2586" s="987"/>
      <c r="J2586" s="827" t="s">
        <v>718</v>
      </c>
      <c r="K2586" s="1091">
        <f>SUM(K2584:K2585)</f>
        <v>1269.95</v>
      </c>
      <c r="L2586" s="723" t="s">
        <v>730</v>
      </c>
    </row>
    <row r="2587" spans="1:20" s="731" customFormat="1">
      <c r="A2587" s="768" t="str">
        <f>A494</f>
        <v>B)</v>
      </c>
      <c r="B2587" s="1111" t="str">
        <f>B494</f>
        <v>Vertified tile ( 600x 600)Plain</v>
      </c>
      <c r="E2587" s="768"/>
      <c r="F2587" s="768"/>
      <c r="G2587" s="1100"/>
      <c r="I2587" s="764"/>
      <c r="J2587" s="742"/>
      <c r="K2587" s="742"/>
      <c r="L2587" s="762"/>
      <c r="T2587" s="762"/>
    </row>
    <row r="2588" spans="1:20">
      <c r="A2588" s="836" t="str">
        <f>A495</f>
        <v>(i)</v>
      </c>
      <c r="B2588" s="723" t="str">
        <f>B495</f>
        <v>Ground Floor</v>
      </c>
      <c r="E2588" s="1089" t="str">
        <f>G483</f>
        <v>Each Sqm</v>
      </c>
      <c r="F2588" s="1089"/>
      <c r="G2588" s="987"/>
      <c r="J2588" s="726"/>
      <c r="K2588" s="726"/>
    </row>
    <row r="2589" spans="1:20">
      <c r="B2589" s="722" t="s">
        <v>980</v>
      </c>
      <c r="G2589" s="987"/>
      <c r="J2589" s="726"/>
      <c r="K2589" s="726">
        <f>K2579</f>
        <v>437.2</v>
      </c>
      <c r="L2589" s="722" t="s">
        <v>730</v>
      </c>
    </row>
    <row r="2590" spans="1:20">
      <c r="B2590" s="722" t="s">
        <v>979</v>
      </c>
      <c r="G2590" s="987"/>
      <c r="J2590" s="726"/>
      <c r="K2590" s="726">
        <f>G51</f>
        <v>768.27</v>
      </c>
    </row>
    <row r="2591" spans="1:20">
      <c r="G2591" s="987"/>
      <c r="J2591" s="726"/>
      <c r="K2591" s="726"/>
    </row>
    <row r="2592" spans="1:20">
      <c r="G2592" s="987"/>
      <c r="J2592" s="827" t="s">
        <v>718</v>
      </c>
      <c r="K2592" s="1091">
        <f>SUM(K2589:K2591)</f>
        <v>1205.47</v>
      </c>
      <c r="L2592" s="723" t="s">
        <v>730</v>
      </c>
    </row>
    <row r="2593" spans="1:20">
      <c r="A2593" s="836" t="str">
        <f>A496</f>
        <v>(ii)</v>
      </c>
      <c r="B2593" s="723" t="str">
        <f>B496</f>
        <v>First Floor</v>
      </c>
      <c r="E2593" s="1089" t="str">
        <f>E2588</f>
        <v>Each Sqm</v>
      </c>
      <c r="F2593" s="1089"/>
      <c r="G2593" s="987"/>
      <c r="J2593" s="726"/>
      <c r="K2593" s="726"/>
    </row>
    <row r="2594" spans="1:20">
      <c r="B2594" s="722" t="s">
        <v>722</v>
      </c>
      <c r="G2594" s="987"/>
      <c r="J2594" s="726"/>
      <c r="K2594" s="726">
        <f>K2592</f>
        <v>1205.47</v>
      </c>
    </row>
    <row r="2595" spans="1:20">
      <c r="B2595" s="722" t="s">
        <v>723</v>
      </c>
      <c r="G2595" s="987"/>
      <c r="J2595" s="726"/>
      <c r="K2595" s="726">
        <f>ROUND(K2571/10*5%,2)</f>
        <v>11.75</v>
      </c>
    </row>
    <row r="2596" spans="1:20">
      <c r="G2596" s="987"/>
      <c r="J2596" s="827" t="s">
        <v>718</v>
      </c>
      <c r="K2596" s="1091">
        <f>SUM(K2594:K2595)</f>
        <v>1217.22</v>
      </c>
      <c r="L2596" s="723" t="s">
        <v>730</v>
      </c>
    </row>
    <row r="2597" spans="1:20" s="731" customFormat="1">
      <c r="A2597" s="768" t="str">
        <f>A497</f>
        <v>C)</v>
      </c>
      <c r="B2597" s="835" t="str">
        <f>B497</f>
        <v>Vertified industrial tile (300 x300)</v>
      </c>
      <c r="E2597" s="768"/>
      <c r="F2597" s="768"/>
      <c r="G2597" s="1100"/>
      <c r="I2597" s="764"/>
      <c r="J2597" s="742"/>
      <c r="K2597" s="742"/>
      <c r="L2597" s="762"/>
      <c r="T2597" s="762"/>
    </row>
    <row r="2598" spans="1:20">
      <c r="A2598" s="836" t="str">
        <f>A498</f>
        <v>(i)</v>
      </c>
      <c r="B2598" s="723" t="str">
        <f>B498</f>
        <v>Ground Floor</v>
      </c>
      <c r="E2598" s="1089" t="str">
        <f>G498</f>
        <v>Each Sqm</v>
      </c>
      <c r="F2598" s="1089"/>
      <c r="G2598" s="987"/>
      <c r="J2598" s="726"/>
      <c r="K2598" s="726"/>
    </row>
    <row r="2599" spans="1:20">
      <c r="B2599" s="722" t="s">
        <v>980</v>
      </c>
      <c r="G2599" s="987"/>
      <c r="J2599" s="726"/>
      <c r="K2599" s="726">
        <f>K2579</f>
        <v>437.2</v>
      </c>
      <c r="L2599" s="722" t="s">
        <v>730</v>
      </c>
    </row>
    <row r="2600" spans="1:20">
      <c r="B2600" s="722" t="s">
        <v>979</v>
      </c>
      <c r="G2600" s="987"/>
      <c r="J2600" s="726"/>
      <c r="K2600" s="726">
        <f>G52</f>
        <v>682.45</v>
      </c>
    </row>
    <row r="2601" spans="1:20">
      <c r="G2601" s="987"/>
      <c r="J2601" s="726"/>
      <c r="K2601" s="726"/>
    </row>
    <row r="2602" spans="1:20">
      <c r="G2602" s="987"/>
      <c r="J2602" s="827" t="s">
        <v>718</v>
      </c>
      <c r="K2602" s="1091">
        <f>SUM(K2599:K2601)</f>
        <v>1119.6500000000001</v>
      </c>
      <c r="L2602" s="723" t="s">
        <v>730</v>
      </c>
    </row>
    <row r="2603" spans="1:20">
      <c r="A2603" s="836" t="str">
        <f>A2583</f>
        <v>(ii)</v>
      </c>
      <c r="B2603" s="723" t="str">
        <f>B2583</f>
        <v>First Floor</v>
      </c>
      <c r="E2603" s="1089" t="str">
        <f>E2598</f>
        <v>Each Sqm</v>
      </c>
      <c r="F2603" s="1089"/>
      <c r="G2603" s="987"/>
      <c r="J2603" s="726"/>
      <c r="K2603" s="726"/>
    </row>
    <row r="2604" spans="1:20">
      <c r="B2604" s="722" t="s">
        <v>722</v>
      </c>
      <c r="G2604" s="987"/>
      <c r="J2604" s="726"/>
      <c r="K2604" s="726">
        <f>K2602</f>
        <v>1119.6500000000001</v>
      </c>
    </row>
    <row r="2605" spans="1:20">
      <c r="B2605" s="722" t="s">
        <v>723</v>
      </c>
      <c r="G2605" s="987"/>
      <c r="J2605" s="726"/>
      <c r="K2605" s="726">
        <f>ROUND(K2571/10*5%,2)</f>
        <v>11.75</v>
      </c>
    </row>
    <row r="2606" spans="1:20">
      <c r="G2606" s="987"/>
      <c r="J2606" s="827" t="s">
        <v>718</v>
      </c>
      <c r="K2606" s="1091">
        <f>SUM(K2604:K2605)</f>
        <v>1131.4000000000001</v>
      </c>
      <c r="L2606" s="723" t="s">
        <v>730</v>
      </c>
    </row>
    <row r="2607" spans="1:20" s="731" customFormat="1">
      <c r="A2607" s="768" t="str">
        <f>A500</f>
        <v>D)</v>
      </c>
      <c r="B2607" s="835" t="str">
        <f>B500</f>
        <v>Chequred tile</v>
      </c>
      <c r="E2607" s="768"/>
      <c r="F2607" s="768"/>
      <c r="G2607" s="1100"/>
      <c r="I2607" s="764"/>
      <c r="J2607" s="742"/>
      <c r="K2607" s="742"/>
      <c r="L2607" s="762"/>
      <c r="T2607" s="762"/>
    </row>
    <row r="2608" spans="1:20">
      <c r="A2608" s="836" t="str">
        <f>A501</f>
        <v>(i)</v>
      </c>
      <c r="B2608" s="723" t="str">
        <f>B501</f>
        <v>Ground Floor</v>
      </c>
      <c r="E2608" s="1089" t="str">
        <f>G501</f>
        <v>Each Sqm</v>
      </c>
      <c r="F2608" s="1089"/>
      <c r="G2608" s="987"/>
      <c r="J2608" s="726"/>
      <c r="K2608" s="726"/>
    </row>
    <row r="2609" spans="1:20">
      <c r="B2609" s="722" t="s">
        <v>980</v>
      </c>
      <c r="G2609" s="987"/>
      <c r="J2609" s="726"/>
      <c r="K2609" s="726">
        <f>K2599</f>
        <v>437.2</v>
      </c>
      <c r="L2609" s="722" t="s">
        <v>730</v>
      </c>
    </row>
    <row r="2610" spans="1:20">
      <c r="B2610" s="722" t="s">
        <v>979</v>
      </c>
      <c r="G2610" s="987"/>
      <c r="J2610" s="726"/>
      <c r="K2610" s="726">
        <f>G53</f>
        <v>326.08</v>
      </c>
    </row>
    <row r="2611" spans="1:20">
      <c r="G2611" s="987"/>
      <c r="J2611" s="726"/>
      <c r="K2611" s="726"/>
    </row>
    <row r="2612" spans="1:20">
      <c r="G2612" s="987"/>
      <c r="J2612" s="827" t="s">
        <v>718</v>
      </c>
      <c r="K2612" s="1091">
        <f>SUM(K2609:K2611)</f>
        <v>763.28</v>
      </c>
      <c r="L2612" s="723" t="s">
        <v>730</v>
      </c>
    </row>
    <row r="2613" spans="1:20">
      <c r="A2613" s="836" t="str">
        <f>A2603</f>
        <v>(ii)</v>
      </c>
      <c r="B2613" s="723" t="str">
        <f>B2603</f>
        <v>First Floor</v>
      </c>
      <c r="E2613" s="1089" t="str">
        <f>E2608</f>
        <v>Each Sqm</v>
      </c>
      <c r="F2613" s="1089"/>
      <c r="G2613" s="987"/>
      <c r="J2613" s="726"/>
      <c r="K2613" s="726"/>
    </row>
    <row r="2614" spans="1:20">
      <c r="B2614" s="722" t="s">
        <v>722</v>
      </c>
      <c r="G2614" s="987"/>
      <c r="J2614" s="726"/>
      <c r="K2614" s="726">
        <f>K2612</f>
        <v>763.28</v>
      </c>
    </row>
    <row r="2615" spans="1:20">
      <c r="B2615" s="722" t="s">
        <v>723</v>
      </c>
      <c r="G2615" s="987"/>
      <c r="J2615" s="726"/>
      <c r="K2615" s="726">
        <f>ROUND(K2571/10*5%,2)</f>
        <v>11.75</v>
      </c>
    </row>
    <row r="2616" spans="1:20">
      <c r="G2616" s="987"/>
      <c r="J2616" s="827" t="s">
        <v>718</v>
      </c>
      <c r="K2616" s="1091">
        <f>SUM(K2614:K2615)</f>
        <v>775.03</v>
      </c>
      <c r="L2616" s="723" t="s">
        <v>730</v>
      </c>
    </row>
    <row r="2617" spans="1:20" s="731" customFormat="1">
      <c r="A2617" s="768" t="str">
        <f>A503</f>
        <v>E)</v>
      </c>
      <c r="B2617" s="835" t="str">
        <f>B503</f>
        <v>Ceramic floor tile</v>
      </c>
      <c r="E2617" s="768"/>
      <c r="F2617" s="768"/>
      <c r="G2617" s="1100"/>
      <c r="I2617" s="764"/>
      <c r="J2617" s="742"/>
      <c r="K2617" s="742"/>
      <c r="L2617" s="762"/>
      <c r="T2617" s="762"/>
    </row>
    <row r="2618" spans="1:20">
      <c r="A2618" s="836" t="str">
        <f>A2608</f>
        <v>(i)</v>
      </c>
      <c r="B2618" s="723" t="str">
        <f>B2608</f>
        <v>Ground Floor</v>
      </c>
      <c r="E2618" s="1089" t="str">
        <f>G538</f>
        <v>Each Sqm</v>
      </c>
      <c r="F2618" s="1089"/>
      <c r="G2618" s="987"/>
      <c r="J2618" s="726"/>
      <c r="K2618" s="726"/>
    </row>
    <row r="2619" spans="1:20">
      <c r="B2619" s="722" t="s">
        <v>980</v>
      </c>
      <c r="G2619" s="987"/>
      <c r="J2619" s="726"/>
      <c r="K2619" s="726">
        <f>K2609</f>
        <v>437.2</v>
      </c>
      <c r="L2619" s="722" t="s">
        <v>730</v>
      </c>
    </row>
    <row r="2620" spans="1:20">
      <c r="B2620" s="722" t="s">
        <v>979</v>
      </c>
      <c r="G2620" s="987"/>
      <c r="J2620" s="726"/>
      <c r="K2620" s="726">
        <f>G54</f>
        <v>519.20000000000005</v>
      </c>
    </row>
    <row r="2621" spans="1:20">
      <c r="G2621" s="987"/>
      <c r="J2621" s="726"/>
      <c r="K2621" s="726"/>
    </row>
    <row r="2622" spans="1:20">
      <c r="G2622" s="987"/>
      <c r="J2622" s="827" t="s">
        <v>718</v>
      </c>
      <c r="K2622" s="1091">
        <f>SUM(K2619:K2621)</f>
        <v>956.40000000000009</v>
      </c>
      <c r="L2622" s="723" t="s">
        <v>730</v>
      </c>
    </row>
    <row r="2623" spans="1:20">
      <c r="A2623" s="836" t="str">
        <f>A2613</f>
        <v>(ii)</v>
      </c>
      <c r="B2623" s="723" t="str">
        <f>B2613</f>
        <v>First Floor</v>
      </c>
      <c r="E2623" s="1089" t="str">
        <f>E2618</f>
        <v>Each Sqm</v>
      </c>
      <c r="F2623" s="1089"/>
      <c r="G2623" s="987"/>
      <c r="J2623" s="726"/>
      <c r="K2623" s="726"/>
    </row>
    <row r="2624" spans="1:20">
      <c r="B2624" s="722" t="s">
        <v>722</v>
      </c>
      <c r="G2624" s="987"/>
      <c r="J2624" s="726"/>
      <c r="K2624" s="726">
        <f>K2622</f>
        <v>956.40000000000009</v>
      </c>
    </row>
    <row r="2625" spans="1:20">
      <c r="B2625" s="722" t="s">
        <v>723</v>
      </c>
      <c r="G2625" s="987"/>
      <c r="J2625" s="726"/>
      <c r="K2625" s="726">
        <f>ROUND(K2571/10*5%,2)</f>
        <v>11.75</v>
      </c>
    </row>
    <row r="2626" spans="1:20">
      <c r="G2626" s="987"/>
      <c r="J2626" s="827" t="s">
        <v>718</v>
      </c>
      <c r="K2626" s="1091">
        <f>SUM(K2624:K2625)</f>
        <v>968.15000000000009</v>
      </c>
      <c r="L2626" s="723" t="s">
        <v>730</v>
      </c>
    </row>
    <row r="2627" spans="1:20" s="731" customFormat="1">
      <c r="A2627" s="768" t="str">
        <f>A506</f>
        <v>F)</v>
      </c>
      <c r="B2627" s="835" t="str">
        <f>B506</f>
        <v>Kota tile (size above 0.10sqm)</v>
      </c>
      <c r="E2627" s="768"/>
      <c r="F2627" s="768"/>
      <c r="G2627" s="1100"/>
      <c r="I2627" s="764"/>
      <c r="J2627" s="742"/>
      <c r="K2627" s="742"/>
      <c r="L2627" s="762"/>
      <c r="T2627" s="762"/>
    </row>
    <row r="2628" spans="1:20">
      <c r="A2628" s="836" t="str">
        <f>A507</f>
        <v>(i)</v>
      </c>
      <c r="B2628" s="723" t="str">
        <f>B507</f>
        <v>Ground Floor</v>
      </c>
      <c r="E2628" s="1089" t="str">
        <f>G507</f>
        <v>Each Sqm</v>
      </c>
      <c r="F2628" s="1089"/>
      <c r="G2628" s="987"/>
      <c r="J2628" s="726"/>
      <c r="K2628" s="726"/>
    </row>
    <row r="2629" spans="1:20">
      <c r="B2629" s="722" t="s">
        <v>980</v>
      </c>
      <c r="G2629" s="987"/>
      <c r="J2629" s="726"/>
      <c r="K2629" s="726">
        <f>K2579</f>
        <v>437.2</v>
      </c>
      <c r="L2629" s="722" t="s">
        <v>730</v>
      </c>
    </row>
    <row r="2630" spans="1:20">
      <c r="B2630" s="722" t="s">
        <v>981</v>
      </c>
      <c r="G2630" s="987"/>
      <c r="J2630" s="726"/>
      <c r="K2630" s="1112">
        <v>8.5</v>
      </c>
      <c r="L2630" s="722" t="s">
        <v>730</v>
      </c>
    </row>
    <row r="2631" spans="1:20">
      <c r="B2631" s="722" t="s">
        <v>716</v>
      </c>
      <c r="G2631" s="987"/>
      <c r="H2631" s="722" t="s">
        <v>262</v>
      </c>
      <c r="I2631" s="724" t="s">
        <v>38</v>
      </c>
      <c r="J2631" s="726">
        <f>L130</f>
        <v>244.3</v>
      </c>
      <c r="K2631" s="726">
        <f>G2631*J2631</f>
        <v>0</v>
      </c>
      <c r="L2631" s="722" t="s">
        <v>730</v>
      </c>
    </row>
    <row r="2632" spans="1:20">
      <c r="G2632" s="987"/>
      <c r="J2632" s="726"/>
      <c r="K2632" s="726"/>
      <c r="L2632" s="722"/>
    </row>
    <row r="2633" spans="1:20">
      <c r="B2633" s="722" t="s">
        <v>979</v>
      </c>
      <c r="G2633" s="987"/>
      <c r="J2633" s="726"/>
      <c r="K2633" s="726">
        <f>G56</f>
        <v>640.26</v>
      </c>
      <c r="L2633" s="722" t="s">
        <v>730</v>
      </c>
    </row>
    <row r="2634" spans="1:20">
      <c r="G2634" s="987"/>
      <c r="J2634" s="726"/>
      <c r="K2634" s="726"/>
    </row>
    <row r="2635" spans="1:20">
      <c r="G2635" s="987"/>
      <c r="J2635" s="827" t="s">
        <v>718</v>
      </c>
      <c r="K2635" s="1091">
        <f>SUM(K2629:K2634)</f>
        <v>1085.96</v>
      </c>
      <c r="L2635" s="723" t="s">
        <v>730</v>
      </c>
    </row>
    <row r="2636" spans="1:20">
      <c r="A2636" s="836" t="str">
        <f>A2623</f>
        <v>(ii)</v>
      </c>
      <c r="B2636" s="723" t="str">
        <f>B2623</f>
        <v>First Floor</v>
      </c>
      <c r="E2636" s="1089" t="str">
        <f>E2628</f>
        <v>Each Sqm</v>
      </c>
      <c r="F2636" s="1089"/>
      <c r="G2636" s="987"/>
      <c r="J2636" s="726"/>
      <c r="K2636" s="726"/>
    </row>
    <row r="2637" spans="1:20">
      <c r="B2637" s="722" t="s">
        <v>722</v>
      </c>
      <c r="G2637" s="987"/>
      <c r="J2637" s="726"/>
      <c r="K2637" s="726">
        <f>K2635</f>
        <v>1085.96</v>
      </c>
    </row>
    <row r="2638" spans="1:20">
      <c r="B2638" s="722" t="s">
        <v>723</v>
      </c>
      <c r="G2638" s="987"/>
      <c r="J2638" s="726"/>
      <c r="K2638" s="726">
        <f>ROUND((K2571/10+K2631)*5%,2)</f>
        <v>11.75</v>
      </c>
    </row>
    <row r="2639" spans="1:20">
      <c r="G2639" s="987"/>
      <c r="J2639" s="827" t="s">
        <v>718</v>
      </c>
      <c r="K2639" s="1091">
        <f>SUM(K2637:K2638)</f>
        <v>1097.71</v>
      </c>
      <c r="L2639" s="723" t="s">
        <v>730</v>
      </c>
    </row>
    <row r="2640" spans="1:20" ht="75" customHeight="1">
      <c r="A2640" s="836">
        <f>A509</f>
        <v>71</v>
      </c>
      <c r="B2640" s="3386" t="str">
        <f>B509</f>
        <v xml:space="preserve">Supplying, fitting, fixing of tile in floors marbonite or equivalent make in all floors over 25mm thick bed of cement mortar (1:4) jointed with neat cement slurry mixed with pigment to match the shades of the tiles  etc. complete as per the direction of the Engineer-in-charge. </v>
      </c>
      <c r="C2640" s="3386"/>
      <c r="D2640" s="3386"/>
      <c r="E2640" s="1086" t="str">
        <f>G607</f>
        <v>Each Sqm</v>
      </c>
      <c r="F2640" s="1086"/>
      <c r="G2640" s="987"/>
      <c r="J2640" s="1091"/>
      <c r="K2640" s="1091"/>
      <c r="Q2640" s="723" t="s">
        <v>982</v>
      </c>
    </row>
    <row r="2641" spans="1:20" s="731" customFormat="1">
      <c r="A2641" s="768" t="str">
        <f>A510</f>
        <v>A)</v>
      </c>
      <c r="B2641" s="1111" t="str">
        <f>B510</f>
        <v>Vertified tile ( 600x 600)Printed</v>
      </c>
      <c r="E2641" s="768"/>
      <c r="F2641" s="768"/>
      <c r="G2641" s="1100"/>
      <c r="I2641" s="764"/>
      <c r="J2641" s="742"/>
      <c r="K2641" s="742"/>
      <c r="L2641" s="762"/>
      <c r="T2641" s="762"/>
    </row>
    <row r="2642" spans="1:20">
      <c r="A2642" s="836" t="str">
        <f>A511</f>
        <v>(i)</v>
      </c>
      <c r="B2642" s="723" t="str">
        <f>B2561</f>
        <v>Ground Floor</v>
      </c>
      <c r="E2642" s="1089" t="str">
        <f>G609</f>
        <v>Each Sqm</v>
      </c>
      <c r="F2642" s="1089"/>
      <c r="G2642" s="987"/>
      <c r="J2642" s="726"/>
      <c r="K2642" s="726"/>
    </row>
    <row r="2643" spans="1:20">
      <c r="B2643" s="722" t="s">
        <v>964</v>
      </c>
      <c r="G2643" s="987"/>
      <c r="J2643" s="726"/>
      <c r="K2643" s="726"/>
    </row>
    <row r="2644" spans="1:20">
      <c r="B2644" s="723" t="s">
        <v>822</v>
      </c>
      <c r="G2644" s="987"/>
      <c r="J2644" s="726"/>
      <c r="K2644" s="726"/>
    </row>
    <row r="2645" spans="1:20">
      <c r="B2645" s="722" t="s">
        <v>775</v>
      </c>
      <c r="G2645" s="987">
        <v>0.21</v>
      </c>
      <c r="H2645" s="722" t="s">
        <v>49</v>
      </c>
      <c r="I2645" s="724" t="s">
        <v>49</v>
      </c>
      <c r="J2645" s="726">
        <f>G44</f>
        <v>80.72</v>
      </c>
      <c r="K2645" s="726">
        <f>ROUND(G2645*J2645,2)</f>
        <v>16.95</v>
      </c>
    </row>
    <row r="2646" spans="1:20">
      <c r="B2646" s="722" t="s">
        <v>8</v>
      </c>
      <c r="G2646" s="987">
        <v>1.0740000000000001</v>
      </c>
      <c r="H2646" s="722" t="s">
        <v>247</v>
      </c>
      <c r="I2646" s="724" t="s">
        <v>247</v>
      </c>
      <c r="J2646" s="726">
        <f>G48/10</f>
        <v>640</v>
      </c>
      <c r="K2646" s="726">
        <f>ROUND(G2646*J2646,2)</f>
        <v>687.36</v>
      </c>
    </row>
    <row r="2647" spans="1:20">
      <c r="B2647" s="722" t="s">
        <v>124</v>
      </c>
      <c r="G2647" s="987">
        <v>7.5999999999999998E-2</v>
      </c>
      <c r="H2647" s="722" t="s">
        <v>247</v>
      </c>
      <c r="I2647" s="724" t="s">
        <v>247</v>
      </c>
      <c r="J2647" s="726">
        <f>G92</f>
        <v>2581.9899999999998</v>
      </c>
      <c r="K2647" s="726">
        <f>ROUND(G2647*J2647,2)</f>
        <v>196.23</v>
      </c>
    </row>
    <row r="2648" spans="1:20">
      <c r="G2648" s="987"/>
      <c r="J2648" s="827" t="s">
        <v>718</v>
      </c>
      <c r="K2648" s="1091">
        <f>SUM(K2645:K2647)</f>
        <v>900.54000000000008</v>
      </c>
    </row>
    <row r="2649" spans="1:20">
      <c r="B2649" s="723" t="s">
        <v>781</v>
      </c>
      <c r="G2649" s="987"/>
      <c r="J2649" s="726"/>
      <c r="K2649" s="726"/>
    </row>
    <row r="2650" spans="1:20">
      <c r="B2650" s="722" t="s">
        <v>975</v>
      </c>
      <c r="G2650" s="987">
        <v>2.16</v>
      </c>
      <c r="H2650" s="722" t="s">
        <v>262</v>
      </c>
      <c r="I2650" s="724" t="s">
        <v>38</v>
      </c>
      <c r="J2650" s="726">
        <f>L132</f>
        <v>284.3</v>
      </c>
      <c r="K2650" s="726">
        <f>ROUND(G2650*J2650,2)</f>
        <v>614.09</v>
      </c>
    </row>
    <row r="2651" spans="1:20">
      <c r="B2651" s="722" t="s">
        <v>717</v>
      </c>
      <c r="G2651" s="987">
        <v>2.16</v>
      </c>
      <c r="H2651" s="722" t="s">
        <v>262</v>
      </c>
      <c r="I2651" s="724" t="s">
        <v>38</v>
      </c>
      <c r="J2651" s="726">
        <f>L129</f>
        <v>182</v>
      </c>
      <c r="K2651" s="726">
        <f>ROUND(G2651*J2651,2)</f>
        <v>393.12</v>
      </c>
    </row>
    <row r="2652" spans="1:20">
      <c r="G2652" s="987"/>
      <c r="J2652" s="827" t="s">
        <v>718</v>
      </c>
      <c r="K2652" s="1091">
        <f>SUM(K2650:K2651)</f>
        <v>1007.21</v>
      </c>
    </row>
    <row r="2653" spans="1:20">
      <c r="B2653" s="723"/>
      <c r="G2653" s="987"/>
      <c r="J2653" s="726"/>
      <c r="K2653" s="726"/>
    </row>
    <row r="2654" spans="1:20">
      <c r="B2654" s="723" t="s">
        <v>783</v>
      </c>
      <c r="G2654" s="987"/>
      <c r="J2654" s="726"/>
      <c r="K2654" s="726"/>
    </row>
    <row r="2655" spans="1:20">
      <c r="B2655" s="722" t="s">
        <v>775</v>
      </c>
      <c r="G2655" s="987">
        <f>G2645</f>
        <v>0.21</v>
      </c>
      <c r="H2655" s="722" t="s">
        <v>49</v>
      </c>
      <c r="I2655" s="724" t="s">
        <v>49</v>
      </c>
      <c r="J2655" s="726">
        <f>K44</f>
        <v>731.71</v>
      </c>
      <c r="K2655" s="726">
        <f>ROUND(G2655*J2655,2)</f>
        <v>153.66</v>
      </c>
    </row>
    <row r="2656" spans="1:20">
      <c r="B2656" s="722" t="s">
        <v>8</v>
      </c>
      <c r="G2656" s="987">
        <f>G2646</f>
        <v>1.0740000000000001</v>
      </c>
      <c r="H2656" s="722" t="s">
        <v>247</v>
      </c>
      <c r="I2656" s="724" t="s">
        <v>247</v>
      </c>
      <c r="J2656" s="726">
        <f>K48/10</f>
        <v>24.786999999999999</v>
      </c>
      <c r="K2656" s="726">
        <f>ROUND(G2656*J2656,2)</f>
        <v>26.62</v>
      </c>
    </row>
    <row r="2657" spans="1:20">
      <c r="B2657" s="722" t="s">
        <v>124</v>
      </c>
      <c r="G2657" s="987">
        <f>G2647</f>
        <v>7.5999999999999998E-2</v>
      </c>
      <c r="H2657" s="722" t="s">
        <v>247</v>
      </c>
      <c r="I2657" s="724" t="s">
        <v>247</v>
      </c>
      <c r="J2657" s="726">
        <f>K92</f>
        <v>24.786999999999999</v>
      </c>
      <c r="K2657" s="726">
        <f>ROUND(G2657*J2657,2)</f>
        <v>1.88</v>
      </c>
    </row>
    <row r="2658" spans="1:20">
      <c r="B2658" s="722" t="s">
        <v>13</v>
      </c>
      <c r="G2658" s="987">
        <v>10</v>
      </c>
      <c r="H2658" s="722" t="s">
        <v>92</v>
      </c>
      <c r="I2658" s="724" t="s">
        <v>92</v>
      </c>
      <c r="J2658" s="726">
        <f>K50</f>
        <v>9.6011111111111109</v>
      </c>
      <c r="K2658" s="726">
        <f>ROUND(G2658*J2658,2)</f>
        <v>96.01</v>
      </c>
    </row>
    <row r="2659" spans="1:20">
      <c r="G2659" s="987"/>
      <c r="J2659" s="827" t="s">
        <v>718</v>
      </c>
      <c r="K2659" s="1091">
        <f>SUM(K2655:K2658)</f>
        <v>278.17</v>
      </c>
    </row>
    <row r="2660" spans="1:20">
      <c r="B2660" s="722" t="s">
        <v>977</v>
      </c>
      <c r="G2660" s="987"/>
      <c r="J2660" s="726"/>
      <c r="K2660" s="726">
        <f>K2648+K2652+K2653+K2659</f>
        <v>2185.92</v>
      </c>
    </row>
    <row r="2661" spans="1:20">
      <c r="B2661" s="722" t="s">
        <v>978</v>
      </c>
      <c r="G2661" s="987"/>
      <c r="J2661" s="827" t="s">
        <v>718</v>
      </c>
      <c r="K2661" s="1091">
        <f>ROUND(K2660/10,2)</f>
        <v>218.59</v>
      </c>
      <c r="L2661" s="723" t="s">
        <v>730</v>
      </c>
    </row>
    <row r="2662" spans="1:20">
      <c r="B2662" s="722" t="s">
        <v>979</v>
      </c>
      <c r="G2662" s="987"/>
      <c r="J2662" s="726"/>
      <c r="K2662" s="726">
        <f>G50</f>
        <v>821</v>
      </c>
    </row>
    <row r="2663" spans="1:20">
      <c r="G2663" s="987"/>
      <c r="J2663" s="726"/>
      <c r="K2663" s="726"/>
    </row>
    <row r="2664" spans="1:20">
      <c r="G2664" s="987"/>
      <c r="J2664" s="827" t="s">
        <v>718</v>
      </c>
      <c r="K2664" s="1091">
        <f>SUM(K2661:K2663)</f>
        <v>1039.5899999999999</v>
      </c>
      <c r="L2664" s="723" t="s">
        <v>730</v>
      </c>
    </row>
    <row r="2665" spans="1:20">
      <c r="A2665" s="836" t="str">
        <f>A512</f>
        <v>(ii)</v>
      </c>
      <c r="B2665" s="723" t="str">
        <f>B2583</f>
        <v>First Floor</v>
      </c>
      <c r="E2665" s="1089" t="str">
        <f>G610</f>
        <v>Each Sqm</v>
      </c>
      <c r="F2665" s="1089"/>
      <c r="G2665" s="987"/>
      <c r="J2665" s="726"/>
      <c r="K2665" s="726"/>
    </row>
    <row r="2666" spans="1:20">
      <c r="B2666" s="722" t="s">
        <v>722</v>
      </c>
      <c r="G2666" s="987"/>
      <c r="J2666" s="726"/>
      <c r="K2666" s="726">
        <f>K2664</f>
        <v>1039.5899999999999</v>
      </c>
    </row>
    <row r="2667" spans="1:20">
      <c r="B2667" s="722" t="s">
        <v>723</v>
      </c>
      <c r="G2667" s="987"/>
      <c r="J2667" s="726"/>
      <c r="K2667" s="726">
        <f>ROUND(K2652/10*5%,2)</f>
        <v>5.04</v>
      </c>
    </row>
    <row r="2668" spans="1:20">
      <c r="G2668" s="987"/>
      <c r="J2668" s="827" t="s">
        <v>718</v>
      </c>
      <c r="K2668" s="1091">
        <f>SUM(K2666:K2667)</f>
        <v>1044.6299999999999</v>
      </c>
      <c r="L2668" s="723" t="s">
        <v>730</v>
      </c>
    </row>
    <row r="2669" spans="1:20" s="731" customFormat="1">
      <c r="A2669" s="768" t="str">
        <f>A513</f>
        <v>B)</v>
      </c>
      <c r="B2669" s="1111" t="str">
        <f>B2587</f>
        <v>Vertified tile ( 600x 600)Plain</v>
      </c>
      <c r="E2669" s="768"/>
      <c r="F2669" s="768"/>
      <c r="G2669" s="1100"/>
      <c r="I2669" s="764"/>
      <c r="J2669" s="742"/>
      <c r="K2669" s="742"/>
      <c r="L2669" s="762"/>
      <c r="T2669" s="762"/>
    </row>
    <row r="2670" spans="1:20">
      <c r="A2670" s="836" t="str">
        <f>A2588</f>
        <v>(i)</v>
      </c>
      <c r="B2670" s="723" t="str">
        <f>B2588</f>
        <v>Ground Floor</v>
      </c>
      <c r="E2670" s="1089" t="str">
        <f>G585</f>
        <v>Each Mtr</v>
      </c>
      <c r="F2670" s="1089"/>
      <c r="G2670" s="987"/>
      <c r="J2670" s="726"/>
      <c r="K2670" s="726"/>
    </row>
    <row r="2671" spans="1:20">
      <c r="B2671" s="722" t="s">
        <v>980</v>
      </c>
      <c r="G2671" s="987"/>
      <c r="J2671" s="726"/>
      <c r="K2671" s="726">
        <f>K2661</f>
        <v>218.59</v>
      </c>
      <c r="L2671" s="722" t="s">
        <v>730</v>
      </c>
    </row>
    <row r="2672" spans="1:20">
      <c r="B2672" s="722" t="s">
        <v>979</v>
      </c>
      <c r="G2672" s="987"/>
      <c r="J2672" s="726"/>
      <c r="K2672" s="726">
        <f>G51</f>
        <v>768.27</v>
      </c>
    </row>
    <row r="2673" spans="1:20">
      <c r="G2673" s="987"/>
      <c r="J2673" s="726"/>
      <c r="K2673" s="726"/>
    </row>
    <row r="2674" spans="1:20">
      <c r="G2674" s="987"/>
      <c r="J2674" s="827" t="s">
        <v>718</v>
      </c>
      <c r="K2674" s="1091">
        <f>SUM(K2671:K2673)</f>
        <v>986.86</v>
      </c>
      <c r="L2674" s="723" t="s">
        <v>730</v>
      </c>
    </row>
    <row r="2675" spans="1:20">
      <c r="A2675" s="836" t="str">
        <f>A2593</f>
        <v>(ii)</v>
      </c>
      <c r="B2675" s="723" t="str">
        <f>B2593</f>
        <v>First Floor</v>
      </c>
      <c r="E2675" s="1089" t="str">
        <f>E2670</f>
        <v>Each Mtr</v>
      </c>
      <c r="F2675" s="1089"/>
      <c r="G2675" s="987"/>
      <c r="J2675" s="726"/>
      <c r="K2675" s="726"/>
    </row>
    <row r="2676" spans="1:20">
      <c r="B2676" s="722" t="s">
        <v>722</v>
      </c>
      <c r="G2676" s="987"/>
      <c r="J2676" s="726"/>
      <c r="K2676" s="726">
        <f>K2674</f>
        <v>986.86</v>
      </c>
    </row>
    <row r="2677" spans="1:20">
      <c r="B2677" s="722" t="s">
        <v>723</v>
      </c>
      <c r="G2677" s="987"/>
      <c r="J2677" s="726"/>
      <c r="K2677" s="726">
        <f>ROUND(K2652/10*5%,2)</f>
        <v>5.04</v>
      </c>
    </row>
    <row r="2678" spans="1:20">
      <c r="G2678" s="987"/>
      <c r="J2678" s="827" t="s">
        <v>718</v>
      </c>
      <c r="K2678" s="1091">
        <f>SUM(K2676:K2677)</f>
        <v>991.9</v>
      </c>
      <c r="L2678" s="723" t="s">
        <v>730</v>
      </c>
    </row>
    <row r="2679" spans="1:20" s="731" customFormat="1">
      <c r="A2679" s="768" t="str">
        <f>A516</f>
        <v>C)</v>
      </c>
      <c r="B2679" s="835" t="str">
        <f>B516</f>
        <v>Vertified industrial tile (300 x300)</v>
      </c>
      <c r="E2679" s="768"/>
      <c r="F2679" s="768"/>
      <c r="G2679" s="1100"/>
      <c r="I2679" s="764"/>
      <c r="J2679" s="742"/>
      <c r="K2679" s="742"/>
      <c r="L2679" s="762"/>
      <c r="T2679" s="762"/>
    </row>
    <row r="2680" spans="1:20">
      <c r="A2680" s="836" t="str">
        <f>A517</f>
        <v>(i)</v>
      </c>
      <c r="B2680" s="723" t="str">
        <f>B612</f>
        <v>First Floor</v>
      </c>
      <c r="E2680" s="1089" t="str">
        <f>G612</f>
        <v>Each Sqm</v>
      </c>
      <c r="F2680" s="1089"/>
      <c r="G2680" s="987"/>
      <c r="J2680" s="726"/>
      <c r="K2680" s="726"/>
    </row>
    <row r="2681" spans="1:20">
      <c r="B2681" s="722" t="s">
        <v>980</v>
      </c>
      <c r="G2681" s="987"/>
      <c r="J2681" s="726"/>
      <c r="K2681" s="726">
        <f>K2661</f>
        <v>218.59</v>
      </c>
      <c r="L2681" s="722" t="s">
        <v>730</v>
      </c>
    </row>
    <row r="2682" spans="1:20">
      <c r="B2682" s="722" t="s">
        <v>979</v>
      </c>
      <c r="G2682" s="987"/>
      <c r="J2682" s="726"/>
      <c r="K2682" s="726">
        <f>G52</f>
        <v>682.45</v>
      </c>
    </row>
    <row r="2683" spans="1:20">
      <c r="G2683" s="987"/>
      <c r="J2683" s="726"/>
      <c r="K2683" s="726"/>
    </row>
    <row r="2684" spans="1:20">
      <c r="G2684" s="987"/>
      <c r="J2684" s="827" t="s">
        <v>718</v>
      </c>
      <c r="K2684" s="1091">
        <f>SUM(K2681:K2683)</f>
        <v>901.04000000000008</v>
      </c>
      <c r="L2684" s="723" t="s">
        <v>730</v>
      </c>
    </row>
    <row r="2685" spans="1:20">
      <c r="A2685" s="836" t="str">
        <f>A518</f>
        <v>(ii)</v>
      </c>
      <c r="B2685" s="723" t="str">
        <f>B2665</f>
        <v>First Floor</v>
      </c>
      <c r="E2685" s="1089" t="str">
        <f>E2680</f>
        <v>Each Sqm</v>
      </c>
      <c r="F2685" s="1089"/>
      <c r="G2685" s="987"/>
      <c r="J2685" s="726"/>
      <c r="K2685" s="726"/>
    </row>
    <row r="2686" spans="1:20">
      <c r="B2686" s="722" t="s">
        <v>722</v>
      </c>
      <c r="G2686" s="987"/>
      <c r="J2686" s="726"/>
      <c r="K2686" s="726">
        <f>K2684</f>
        <v>901.04000000000008</v>
      </c>
    </row>
    <row r="2687" spans="1:20">
      <c r="B2687" s="722" t="s">
        <v>723</v>
      </c>
      <c r="G2687" s="987"/>
      <c r="J2687" s="726"/>
      <c r="K2687" s="726">
        <f>ROUND(K2652/10*5%,2)</f>
        <v>5.04</v>
      </c>
    </row>
    <row r="2688" spans="1:20">
      <c r="G2688" s="987"/>
      <c r="J2688" s="827" t="s">
        <v>718</v>
      </c>
      <c r="K2688" s="1091">
        <f>SUM(K2686:K2687)</f>
        <v>906.08</v>
      </c>
      <c r="L2688" s="723" t="s">
        <v>730</v>
      </c>
    </row>
    <row r="2689" spans="1:20" s="731" customFormat="1">
      <c r="A2689" s="768" t="str">
        <f>A519</f>
        <v>D)</v>
      </c>
      <c r="B2689" s="835" t="str">
        <f>B519</f>
        <v>Chequred tile</v>
      </c>
      <c r="E2689" s="768"/>
      <c r="F2689" s="768"/>
      <c r="G2689" s="1100"/>
      <c r="I2689" s="764"/>
      <c r="J2689" s="742"/>
      <c r="K2689" s="742"/>
      <c r="L2689" s="762"/>
      <c r="T2689" s="762"/>
    </row>
    <row r="2690" spans="1:20">
      <c r="A2690" s="836" t="str">
        <f>A520</f>
        <v>(i)</v>
      </c>
      <c r="B2690" s="723" t="str">
        <f>B615</f>
        <v>Ground Floor</v>
      </c>
      <c r="E2690" s="1089" t="str">
        <f>G615</f>
        <v>Each Sqm</v>
      </c>
      <c r="F2690" s="1089"/>
      <c r="G2690" s="987"/>
      <c r="J2690" s="726"/>
      <c r="K2690" s="726"/>
    </row>
    <row r="2691" spans="1:20">
      <c r="B2691" s="722" t="s">
        <v>980</v>
      </c>
      <c r="G2691" s="987"/>
      <c r="J2691" s="726"/>
      <c r="K2691" s="726">
        <f>K2681</f>
        <v>218.59</v>
      </c>
      <c r="L2691" s="722" t="s">
        <v>730</v>
      </c>
    </row>
    <row r="2692" spans="1:20">
      <c r="B2692" s="722" t="s">
        <v>979</v>
      </c>
      <c r="G2692" s="987"/>
      <c r="J2692" s="726"/>
      <c r="K2692" s="726">
        <f>G53</f>
        <v>326.08</v>
      </c>
    </row>
    <row r="2693" spans="1:20">
      <c r="G2693" s="987"/>
      <c r="J2693" s="726"/>
      <c r="K2693" s="726"/>
    </row>
    <row r="2694" spans="1:20">
      <c r="G2694" s="987"/>
      <c r="J2694" s="827" t="s">
        <v>718</v>
      </c>
      <c r="K2694" s="1091">
        <f>SUM(K2691:K2693)</f>
        <v>544.66999999999996</v>
      </c>
      <c r="L2694" s="723" t="s">
        <v>730</v>
      </c>
    </row>
    <row r="2695" spans="1:20">
      <c r="A2695" s="836" t="str">
        <f>A521</f>
        <v>(ii)</v>
      </c>
      <c r="B2695" s="723" t="str">
        <f>B2685</f>
        <v>First Floor</v>
      </c>
      <c r="E2695" s="1089" t="str">
        <f>E2690</f>
        <v>Each Sqm</v>
      </c>
      <c r="F2695" s="1089"/>
      <c r="G2695" s="987"/>
      <c r="J2695" s="726"/>
      <c r="K2695" s="726"/>
    </row>
    <row r="2696" spans="1:20">
      <c r="B2696" s="722" t="s">
        <v>722</v>
      </c>
      <c r="G2696" s="987"/>
      <c r="J2696" s="726"/>
      <c r="K2696" s="726">
        <f>K2694</f>
        <v>544.66999999999996</v>
      </c>
    </row>
    <row r="2697" spans="1:20">
      <c r="B2697" s="722" t="s">
        <v>723</v>
      </c>
      <c r="G2697" s="987"/>
      <c r="J2697" s="726"/>
      <c r="K2697" s="726">
        <f>ROUND(K2652/10*5%,2)</f>
        <v>5.04</v>
      </c>
    </row>
    <row r="2698" spans="1:20">
      <c r="G2698" s="987"/>
      <c r="J2698" s="827" t="s">
        <v>718</v>
      </c>
      <c r="K2698" s="1091">
        <f>SUM(K2696:K2697)</f>
        <v>549.70999999999992</v>
      </c>
      <c r="L2698" s="723" t="s">
        <v>730</v>
      </c>
    </row>
    <row r="2699" spans="1:20" s="731" customFormat="1">
      <c r="A2699" s="768" t="str">
        <f>A522</f>
        <v>E)</v>
      </c>
      <c r="B2699" s="835" t="str">
        <f>B522</f>
        <v>Ceramic floor tile</v>
      </c>
      <c r="E2699" s="768"/>
      <c r="F2699" s="768"/>
      <c r="G2699" s="1100"/>
      <c r="I2699" s="764"/>
      <c r="J2699" s="742"/>
      <c r="K2699" s="742"/>
      <c r="L2699" s="762"/>
      <c r="T2699" s="762"/>
    </row>
    <row r="2700" spans="1:20">
      <c r="A2700" s="836" t="str">
        <f>A523</f>
        <v>(i)</v>
      </c>
      <c r="B2700" s="723" t="str">
        <f>B2618</f>
        <v>Ground Floor</v>
      </c>
      <c r="E2700" s="1089" t="str">
        <f>G643</f>
        <v>Each Sqm</v>
      </c>
      <c r="F2700" s="1089"/>
      <c r="G2700" s="987"/>
      <c r="J2700" s="726"/>
      <c r="K2700" s="726"/>
    </row>
    <row r="2701" spans="1:20">
      <c r="B2701" s="722" t="s">
        <v>980</v>
      </c>
      <c r="G2701" s="987"/>
      <c r="J2701" s="726"/>
      <c r="K2701" s="726">
        <f>K2691</f>
        <v>218.59</v>
      </c>
      <c r="L2701" s="722" t="s">
        <v>730</v>
      </c>
    </row>
    <row r="2702" spans="1:20">
      <c r="B2702" s="722" t="s">
        <v>979</v>
      </c>
      <c r="G2702" s="987"/>
      <c r="J2702" s="726"/>
      <c r="K2702" s="726">
        <f>G54</f>
        <v>519.20000000000005</v>
      </c>
    </row>
    <row r="2703" spans="1:20">
      <c r="G2703" s="987"/>
      <c r="J2703" s="726"/>
      <c r="K2703" s="726"/>
    </row>
    <row r="2704" spans="1:20">
      <c r="G2704" s="987"/>
      <c r="J2704" s="827" t="s">
        <v>718</v>
      </c>
      <c r="K2704" s="1091">
        <f>SUM(K2701:K2703)</f>
        <v>737.79000000000008</v>
      </c>
      <c r="L2704" s="723" t="s">
        <v>730</v>
      </c>
    </row>
    <row r="2705" spans="1:20">
      <c r="A2705" s="836" t="str">
        <f>A2695</f>
        <v>(ii)</v>
      </c>
      <c r="B2705" s="723" t="str">
        <f>B2695</f>
        <v>First Floor</v>
      </c>
      <c r="E2705" s="1089" t="str">
        <f>E2700</f>
        <v>Each Sqm</v>
      </c>
      <c r="F2705" s="1089"/>
      <c r="G2705" s="987"/>
      <c r="J2705" s="726"/>
      <c r="K2705" s="726"/>
    </row>
    <row r="2706" spans="1:20">
      <c r="B2706" s="722" t="s">
        <v>722</v>
      </c>
      <c r="G2706" s="987"/>
      <c r="J2706" s="726"/>
      <c r="K2706" s="726">
        <f>K2704</f>
        <v>737.79000000000008</v>
      </c>
    </row>
    <row r="2707" spans="1:20">
      <c r="B2707" s="722" t="s">
        <v>723</v>
      </c>
      <c r="G2707" s="987"/>
      <c r="J2707" s="726"/>
      <c r="K2707" s="726">
        <f>ROUND(K2652/10*5%,2)</f>
        <v>5.04</v>
      </c>
    </row>
    <row r="2708" spans="1:20">
      <c r="G2708" s="987"/>
      <c r="J2708" s="827" t="s">
        <v>718</v>
      </c>
      <c r="K2708" s="1091">
        <f>SUM(K2706:K2707)</f>
        <v>742.83</v>
      </c>
      <c r="L2708" s="723" t="s">
        <v>730</v>
      </c>
    </row>
    <row r="2709" spans="1:20" s="731" customFormat="1">
      <c r="A2709" s="768" t="str">
        <f>A525</f>
        <v>F)</v>
      </c>
      <c r="B2709" s="835" t="str">
        <f>B525</f>
        <v>Kota tile (size above 0.10sqm)</v>
      </c>
      <c r="E2709" s="768"/>
      <c r="F2709" s="768"/>
      <c r="G2709" s="1100"/>
      <c r="I2709" s="764"/>
      <c r="J2709" s="742"/>
      <c r="K2709" s="742"/>
      <c r="L2709" s="762"/>
      <c r="T2709" s="762"/>
    </row>
    <row r="2710" spans="1:20">
      <c r="A2710" s="836" t="str">
        <f>A526</f>
        <v>(i)</v>
      </c>
      <c r="B2710" s="723" t="str">
        <f>B628</f>
        <v>Inside Surface</v>
      </c>
      <c r="E2710" s="1089" t="str">
        <f>G628</f>
        <v>Each Sqm</v>
      </c>
      <c r="F2710" s="1089"/>
      <c r="G2710" s="987"/>
      <c r="J2710" s="726"/>
      <c r="K2710" s="726"/>
    </row>
    <row r="2711" spans="1:20">
      <c r="B2711" s="722" t="s">
        <v>980</v>
      </c>
      <c r="G2711" s="987"/>
      <c r="J2711" s="726"/>
      <c r="K2711" s="726">
        <f>K2661</f>
        <v>218.59</v>
      </c>
      <c r="L2711" s="722" t="s">
        <v>730</v>
      </c>
    </row>
    <row r="2712" spans="1:20">
      <c r="B2712" s="722" t="s">
        <v>983</v>
      </c>
      <c r="G2712" s="987"/>
      <c r="J2712" s="726"/>
      <c r="K2712" s="726">
        <v>8.5</v>
      </c>
    </row>
    <row r="2713" spans="1:20">
      <c r="B2713" s="722" t="s">
        <v>716</v>
      </c>
      <c r="G2713" s="987"/>
      <c r="H2713" s="722" t="s">
        <v>262</v>
      </c>
      <c r="I2713" s="724" t="s">
        <v>38</v>
      </c>
      <c r="J2713" s="726">
        <f>L130</f>
        <v>244.3</v>
      </c>
      <c r="K2713" s="726">
        <f>G2713*J2713</f>
        <v>0</v>
      </c>
    </row>
    <row r="2714" spans="1:20">
      <c r="G2714" s="987"/>
      <c r="J2714" s="726"/>
      <c r="K2714" s="726"/>
    </row>
    <row r="2715" spans="1:20">
      <c r="B2715" s="722" t="s">
        <v>979</v>
      </c>
      <c r="G2715" s="987"/>
      <c r="J2715" s="726"/>
      <c r="K2715" s="726">
        <f>G56</f>
        <v>640.26</v>
      </c>
    </row>
    <row r="2716" spans="1:20">
      <c r="G2716" s="987"/>
      <c r="J2716" s="726"/>
      <c r="K2716" s="726"/>
    </row>
    <row r="2717" spans="1:20">
      <c r="G2717" s="987"/>
      <c r="J2717" s="827" t="s">
        <v>718</v>
      </c>
      <c r="K2717" s="1091">
        <f>SUM(K2711:K2716)</f>
        <v>867.35</v>
      </c>
      <c r="L2717" s="723" t="s">
        <v>730</v>
      </c>
    </row>
    <row r="2718" spans="1:20">
      <c r="A2718" s="836" t="str">
        <f>A2705</f>
        <v>(ii)</v>
      </c>
      <c r="B2718" s="723" t="str">
        <f>B2705</f>
        <v>First Floor</v>
      </c>
      <c r="E2718" s="1089" t="str">
        <f>E2710</f>
        <v>Each Sqm</v>
      </c>
      <c r="F2718" s="1089"/>
      <c r="G2718" s="987"/>
      <c r="J2718" s="726"/>
      <c r="K2718" s="726"/>
    </row>
    <row r="2719" spans="1:20">
      <c r="B2719" s="722" t="s">
        <v>722</v>
      </c>
      <c r="G2719" s="987"/>
      <c r="J2719" s="726"/>
      <c r="K2719" s="726">
        <f>K2717</f>
        <v>867.35</v>
      </c>
    </row>
    <row r="2720" spans="1:20">
      <c r="B2720" s="722" t="s">
        <v>723</v>
      </c>
      <c r="G2720" s="987"/>
      <c r="J2720" s="726"/>
      <c r="K2720" s="726">
        <f>ROUND((K2652/10+K2713)*5%,2)</f>
        <v>5.04</v>
      </c>
    </row>
    <row r="2721" spans="1:20">
      <c r="G2721" s="987"/>
      <c r="J2721" s="827" t="s">
        <v>718</v>
      </c>
      <c r="K2721" s="1091">
        <f>SUM(K2719:K2720)</f>
        <v>872.39</v>
      </c>
      <c r="L2721" s="723" t="s">
        <v>730</v>
      </c>
    </row>
    <row r="2722" spans="1:20" ht="75" customHeight="1">
      <c r="A2722" s="836">
        <f t="shared" ref="A2722:B2724" si="101">A528</f>
        <v>72</v>
      </c>
      <c r="B2722" s="3386" t="str">
        <f t="shared" si="101"/>
        <v xml:space="preserve">Supplying, fitting, fixing of tile in dadoo marbonite or equivalent make in all floors over 12mm thick cement plaster (1:3) jointed with neat cement slurry mixed with pigment to match the shades of the tiles  etc. complete as per the direction of the Engineer-in-charge. </v>
      </c>
      <c r="C2722" s="3386"/>
      <c r="D2722" s="3386"/>
      <c r="E2722" s="1086" t="str">
        <f>G528</f>
        <v>Each Sqm</v>
      </c>
      <c r="F2722" s="1086"/>
      <c r="G2722" s="987"/>
      <c r="J2722" s="1091"/>
      <c r="K2722" s="1091"/>
      <c r="Q2722" s="723" t="s">
        <v>974</v>
      </c>
    </row>
    <row r="2723" spans="1:20" s="731" customFormat="1">
      <c r="A2723" s="768" t="str">
        <f t="shared" si="101"/>
        <v>A)</v>
      </c>
      <c r="B2723" s="835" t="str">
        <f>B529</f>
        <v>Vertified tile ( 600x 600)Printed</v>
      </c>
      <c r="E2723" s="768"/>
      <c r="F2723" s="768"/>
      <c r="G2723" s="1100"/>
      <c r="I2723" s="764"/>
      <c r="J2723" s="742"/>
      <c r="K2723" s="742"/>
      <c r="L2723" s="762"/>
      <c r="T2723" s="762"/>
    </row>
    <row r="2724" spans="1:20">
      <c r="A2724" s="836" t="str">
        <f t="shared" si="101"/>
        <v>(i)</v>
      </c>
      <c r="B2724" s="723" t="str">
        <f t="shared" si="101"/>
        <v>Ground Floor</v>
      </c>
      <c r="E2724" s="1089" t="str">
        <f>G530</f>
        <v>Each Sqm</v>
      </c>
      <c r="F2724" s="1089"/>
      <c r="G2724" s="987"/>
      <c r="J2724" s="726"/>
      <c r="K2724" s="726"/>
    </row>
    <row r="2725" spans="1:20">
      <c r="B2725" s="722" t="s">
        <v>964</v>
      </c>
      <c r="G2725" s="987"/>
      <c r="J2725" s="726"/>
      <c r="K2725" s="726"/>
    </row>
    <row r="2726" spans="1:20">
      <c r="B2726" s="723" t="s">
        <v>822</v>
      </c>
      <c r="G2726" s="987"/>
      <c r="J2726" s="726"/>
      <c r="K2726" s="726"/>
    </row>
    <row r="2727" spans="1:20">
      <c r="B2727" s="722" t="s">
        <v>775</v>
      </c>
      <c r="G2727" s="987">
        <v>0.15</v>
      </c>
      <c r="H2727" s="722" t="s">
        <v>49</v>
      </c>
      <c r="I2727" s="724" t="s">
        <v>49</v>
      </c>
      <c r="J2727" s="726">
        <f>G44</f>
        <v>80.72</v>
      </c>
      <c r="K2727" s="726">
        <f>ROUND(G2727*J2727,2)</f>
        <v>12.11</v>
      </c>
    </row>
    <row r="2728" spans="1:20">
      <c r="B2728" s="722" t="s">
        <v>8</v>
      </c>
      <c r="G2728" s="987">
        <v>1.375</v>
      </c>
      <c r="H2728" s="722" t="s">
        <v>247</v>
      </c>
      <c r="I2728" s="724" t="s">
        <v>247</v>
      </c>
      <c r="J2728" s="726">
        <f>G48/10</f>
        <v>640</v>
      </c>
      <c r="K2728" s="726">
        <f>ROUND(G2728*J2728,2)</f>
        <v>880</v>
      </c>
    </row>
    <row r="2729" spans="1:20">
      <c r="G2729" s="987"/>
      <c r="J2729" s="1096" t="s">
        <v>718</v>
      </c>
      <c r="K2729" s="726">
        <f>SUM(K2727:K2728)</f>
        <v>892.11</v>
      </c>
    </row>
    <row r="2730" spans="1:20">
      <c r="B2730" s="723" t="s">
        <v>781</v>
      </c>
      <c r="G2730" s="987"/>
      <c r="J2730" s="726"/>
      <c r="K2730" s="726"/>
    </row>
    <row r="2731" spans="1:20">
      <c r="B2731" s="722" t="s">
        <v>975</v>
      </c>
      <c r="G2731" s="987">
        <v>3.25</v>
      </c>
      <c r="H2731" s="722" t="s">
        <v>262</v>
      </c>
      <c r="I2731" s="724" t="s">
        <v>38</v>
      </c>
      <c r="J2731" s="726">
        <f>L132</f>
        <v>284.3</v>
      </c>
      <c r="K2731" s="726">
        <f>ROUND(G2731*J2731,2)</f>
        <v>923.98</v>
      </c>
    </row>
    <row r="2732" spans="1:20">
      <c r="B2732" s="722" t="s">
        <v>976</v>
      </c>
      <c r="G2732" s="987">
        <v>7.6</v>
      </c>
      <c r="H2732" s="722" t="s">
        <v>262</v>
      </c>
      <c r="I2732" s="724" t="s">
        <v>38</v>
      </c>
      <c r="J2732" s="726">
        <f>L130</f>
        <v>244.3</v>
      </c>
      <c r="K2732" s="726">
        <f>ROUND(G2732*J2732,2)</f>
        <v>1856.68</v>
      </c>
    </row>
    <row r="2733" spans="1:20">
      <c r="B2733" s="722" t="s">
        <v>717</v>
      </c>
      <c r="G2733" s="987">
        <v>3.25</v>
      </c>
      <c r="H2733" s="722" t="s">
        <v>262</v>
      </c>
      <c r="I2733" s="724" t="s">
        <v>38</v>
      </c>
      <c r="J2733" s="726">
        <f>L129</f>
        <v>182</v>
      </c>
      <c r="K2733" s="726">
        <f>ROUND(G2733*J2733,2)</f>
        <v>591.5</v>
      </c>
    </row>
    <row r="2734" spans="1:20">
      <c r="G2734" s="987"/>
      <c r="J2734" s="1096" t="s">
        <v>718</v>
      </c>
      <c r="K2734" s="726">
        <f>SUM(K2731:K2733)</f>
        <v>3372.16</v>
      </c>
    </row>
    <row r="2735" spans="1:20">
      <c r="B2735" s="723"/>
      <c r="G2735" s="987"/>
      <c r="J2735" s="726"/>
      <c r="K2735" s="726"/>
    </row>
    <row r="2736" spans="1:20">
      <c r="B2736" s="723" t="s">
        <v>783</v>
      </c>
      <c r="G2736" s="987"/>
      <c r="J2736" s="726"/>
      <c r="K2736" s="726"/>
    </row>
    <row r="2737" spans="1:12">
      <c r="B2737" s="722" t="s">
        <v>775</v>
      </c>
      <c r="G2737" s="987">
        <f>G2727</f>
        <v>0.15</v>
      </c>
      <c r="H2737" s="722" t="s">
        <v>49</v>
      </c>
      <c r="I2737" s="724" t="s">
        <v>49</v>
      </c>
      <c r="J2737" s="726">
        <f>K44</f>
        <v>731.71</v>
      </c>
      <c r="K2737" s="726">
        <f>ROUND(G2737*J2737,2)</f>
        <v>109.76</v>
      </c>
    </row>
    <row r="2738" spans="1:12">
      <c r="B2738" s="722" t="s">
        <v>8</v>
      </c>
      <c r="G2738" s="987">
        <f>G2728</f>
        <v>1.375</v>
      </c>
      <c r="H2738" s="722" t="s">
        <v>247</v>
      </c>
      <c r="I2738" s="724" t="s">
        <v>247</v>
      </c>
      <c r="J2738" s="726">
        <f>K48/10</f>
        <v>24.786999999999999</v>
      </c>
      <c r="K2738" s="726">
        <f>ROUND(G2738*J2738,2)</f>
        <v>34.08</v>
      </c>
    </row>
    <row r="2739" spans="1:12">
      <c r="B2739" s="722" t="s">
        <v>13</v>
      </c>
      <c r="G2739" s="987">
        <v>10</v>
      </c>
      <c r="H2739" s="722" t="s">
        <v>92</v>
      </c>
      <c r="I2739" s="724" t="s">
        <v>92</v>
      </c>
      <c r="J2739" s="726">
        <f>K50</f>
        <v>9.6011111111111109</v>
      </c>
      <c r="K2739" s="726">
        <f>ROUND(G2739*J2739,2)</f>
        <v>96.01</v>
      </c>
    </row>
    <row r="2740" spans="1:12">
      <c r="G2740" s="987"/>
      <c r="J2740" s="1096" t="s">
        <v>718</v>
      </c>
      <c r="K2740" s="726">
        <f>SUM(K2737:K2739)</f>
        <v>239.85000000000002</v>
      </c>
    </row>
    <row r="2741" spans="1:12">
      <c r="B2741" s="722" t="s">
        <v>984</v>
      </c>
      <c r="G2741" s="987"/>
      <c r="J2741" s="726"/>
      <c r="K2741" s="726">
        <f>K2729+K2734+K2735+K2740</f>
        <v>4504.12</v>
      </c>
    </row>
    <row r="2742" spans="1:12">
      <c r="B2742" s="722" t="s">
        <v>985</v>
      </c>
      <c r="G2742" s="987"/>
      <c r="J2742" s="827" t="s">
        <v>718</v>
      </c>
      <c r="K2742" s="1091">
        <f>ROUND(K2741/10,2)</f>
        <v>450.41</v>
      </c>
      <c r="L2742" s="723" t="s">
        <v>730</v>
      </c>
    </row>
    <row r="2743" spans="1:12">
      <c r="B2743" s="722" t="s">
        <v>979</v>
      </c>
      <c r="G2743" s="987"/>
      <c r="J2743" s="726"/>
      <c r="K2743" s="726">
        <f>G50</f>
        <v>821</v>
      </c>
    </row>
    <row r="2744" spans="1:12">
      <c r="G2744" s="987"/>
      <c r="J2744" s="726"/>
      <c r="K2744" s="726"/>
    </row>
    <row r="2745" spans="1:12">
      <c r="G2745" s="987"/>
      <c r="J2745" s="827" t="s">
        <v>718</v>
      </c>
      <c r="K2745" s="1091">
        <f>SUM(K2742:K2744)</f>
        <v>1271.4100000000001</v>
      </c>
      <c r="L2745" s="723" t="s">
        <v>730</v>
      </c>
    </row>
    <row r="2746" spans="1:12">
      <c r="A2746" s="836" t="str">
        <f>A2636</f>
        <v>(ii)</v>
      </c>
      <c r="B2746" s="723" t="str">
        <f>B2636</f>
        <v>First Floor</v>
      </c>
      <c r="E2746" s="1089" t="str">
        <f>E2724</f>
        <v>Each Sqm</v>
      </c>
      <c r="F2746" s="1089"/>
      <c r="G2746" s="987"/>
      <c r="J2746" s="726"/>
      <c r="K2746" s="726"/>
    </row>
    <row r="2747" spans="1:12">
      <c r="B2747" s="722" t="s">
        <v>722</v>
      </c>
      <c r="G2747" s="987"/>
      <c r="J2747" s="726"/>
      <c r="K2747" s="726">
        <f>K2745</f>
        <v>1271.4100000000001</v>
      </c>
    </row>
    <row r="2748" spans="1:12">
      <c r="B2748" s="722" t="s">
        <v>723</v>
      </c>
      <c r="G2748" s="987"/>
      <c r="J2748" s="726"/>
      <c r="K2748" s="726">
        <f>ROUND(K2734/10*5%,2)</f>
        <v>16.86</v>
      </c>
    </row>
    <row r="2749" spans="1:12">
      <c r="G2749" s="987"/>
      <c r="J2749" s="827" t="s">
        <v>718</v>
      </c>
      <c r="K2749" s="1091">
        <f>SUM(K2747:K2748)</f>
        <v>1288.27</v>
      </c>
      <c r="L2749" s="723" t="s">
        <v>730</v>
      </c>
    </row>
    <row r="2750" spans="1:12">
      <c r="A2750" s="836" t="str">
        <f>A532</f>
        <v>B)</v>
      </c>
      <c r="B2750" s="1107" t="str">
        <f>B2669</f>
        <v>Vertified tile ( 600x 600)Plain</v>
      </c>
      <c r="G2750" s="987"/>
      <c r="J2750" s="726"/>
      <c r="K2750" s="726"/>
    </row>
    <row r="2751" spans="1:12">
      <c r="A2751" s="836" t="str">
        <f>A523</f>
        <v>(i)</v>
      </c>
      <c r="B2751" s="723" t="str">
        <f>B523</f>
        <v>Ground Floor</v>
      </c>
      <c r="E2751" s="1089" t="str">
        <f>G523</f>
        <v>Each Sqm</v>
      </c>
      <c r="F2751" s="1089"/>
      <c r="G2751" s="987"/>
      <c r="J2751" s="726"/>
      <c r="K2751" s="726"/>
    </row>
    <row r="2752" spans="1:12">
      <c r="B2752" s="722" t="s">
        <v>980</v>
      </c>
      <c r="G2752" s="987"/>
      <c r="J2752" s="1096" t="s">
        <v>718</v>
      </c>
      <c r="K2752" s="726">
        <f>K2742</f>
        <v>450.41</v>
      </c>
      <c r="L2752" s="723" t="s">
        <v>730</v>
      </c>
    </row>
    <row r="2753" spans="1:12">
      <c r="B2753" s="722" t="s">
        <v>979</v>
      </c>
      <c r="G2753" s="987"/>
      <c r="J2753" s="726"/>
      <c r="K2753" s="726">
        <f>G51</f>
        <v>768.27</v>
      </c>
    </row>
    <row r="2754" spans="1:12">
      <c r="G2754" s="987"/>
      <c r="J2754" s="726"/>
      <c r="K2754" s="726"/>
    </row>
    <row r="2755" spans="1:12">
      <c r="G2755" s="987"/>
      <c r="J2755" s="827" t="s">
        <v>718</v>
      </c>
      <c r="K2755" s="1091">
        <f>SUM(K2752:K2754)</f>
        <v>1218.68</v>
      </c>
      <c r="L2755" s="723" t="s">
        <v>730</v>
      </c>
    </row>
    <row r="2756" spans="1:12">
      <c r="A2756" s="836" t="str">
        <f>A2746</f>
        <v>(ii)</v>
      </c>
      <c r="B2756" s="723" t="str">
        <f>B2746</f>
        <v>First Floor</v>
      </c>
      <c r="E2756" s="1089" t="str">
        <f>E2751</f>
        <v>Each Sqm</v>
      </c>
      <c r="F2756" s="1089"/>
      <c r="G2756" s="987"/>
      <c r="J2756" s="726"/>
      <c r="K2756" s="726"/>
    </row>
    <row r="2757" spans="1:12">
      <c r="B2757" s="722" t="s">
        <v>722</v>
      </c>
      <c r="G2757" s="987"/>
      <c r="J2757" s="726"/>
      <c r="K2757" s="726">
        <f>K2755</f>
        <v>1218.68</v>
      </c>
    </row>
    <row r="2758" spans="1:12">
      <c r="B2758" s="722" t="s">
        <v>723</v>
      </c>
      <c r="G2758" s="987"/>
      <c r="J2758" s="726"/>
      <c r="K2758" s="726">
        <f>ROUND(K2734/10*5%,2)</f>
        <v>16.86</v>
      </c>
    </row>
    <row r="2759" spans="1:12">
      <c r="G2759" s="987"/>
      <c r="J2759" s="827" t="s">
        <v>718</v>
      </c>
      <c r="K2759" s="1091">
        <f>SUM(K2757:K2758)</f>
        <v>1235.54</v>
      </c>
      <c r="L2759" s="723" t="s">
        <v>730</v>
      </c>
    </row>
    <row r="2760" spans="1:12">
      <c r="A2760" s="836" t="str">
        <f>A535</f>
        <v>B)</v>
      </c>
      <c r="B2760" s="1107" t="str">
        <f>B535</f>
        <v>Vertified industrial tile (300 x300)</v>
      </c>
      <c r="G2760" s="987"/>
      <c r="J2760" s="726"/>
      <c r="K2760" s="726"/>
    </row>
    <row r="2761" spans="1:12">
      <c r="A2761" s="836" t="str">
        <f>A536</f>
        <v>(i)</v>
      </c>
      <c r="B2761" s="723" t="str">
        <f>B536</f>
        <v>Ground Floor</v>
      </c>
      <c r="E2761" s="1089" t="str">
        <f>G536</f>
        <v>Each Sqm</v>
      </c>
      <c r="F2761" s="1089"/>
      <c r="G2761" s="987"/>
      <c r="J2761" s="726"/>
      <c r="K2761" s="726"/>
    </row>
    <row r="2762" spans="1:12">
      <c r="B2762" s="722" t="s">
        <v>980</v>
      </c>
      <c r="G2762" s="987"/>
      <c r="J2762" s="1096" t="s">
        <v>718</v>
      </c>
      <c r="K2762" s="726">
        <f>K2742</f>
        <v>450.41</v>
      </c>
      <c r="L2762" s="723" t="s">
        <v>730</v>
      </c>
    </row>
    <row r="2763" spans="1:12">
      <c r="B2763" s="722" t="s">
        <v>979</v>
      </c>
      <c r="G2763" s="987"/>
      <c r="J2763" s="726"/>
      <c r="K2763" s="726">
        <f>G52</f>
        <v>682.45</v>
      </c>
    </row>
    <row r="2764" spans="1:12">
      <c r="G2764" s="987"/>
      <c r="J2764" s="726"/>
      <c r="K2764" s="726"/>
    </row>
    <row r="2765" spans="1:12">
      <c r="G2765" s="987"/>
      <c r="J2765" s="827" t="s">
        <v>718</v>
      </c>
      <c r="K2765" s="1091">
        <f>SUM(K2762:K2764)</f>
        <v>1132.8600000000001</v>
      </c>
      <c r="L2765" s="723" t="s">
        <v>730</v>
      </c>
    </row>
    <row r="2766" spans="1:12">
      <c r="A2766" s="836" t="str">
        <f>A2746</f>
        <v>(ii)</v>
      </c>
      <c r="B2766" s="723" t="str">
        <f>B2746</f>
        <v>First Floor</v>
      </c>
      <c r="E2766" s="1089" t="str">
        <f>E2761</f>
        <v>Each Sqm</v>
      </c>
      <c r="F2766" s="1089"/>
      <c r="G2766" s="987"/>
      <c r="J2766" s="726"/>
      <c r="K2766" s="726"/>
    </row>
    <row r="2767" spans="1:12">
      <c r="B2767" s="722" t="s">
        <v>722</v>
      </c>
      <c r="G2767" s="987"/>
      <c r="J2767" s="726"/>
      <c r="K2767" s="726">
        <f>K2765</f>
        <v>1132.8600000000001</v>
      </c>
    </row>
    <row r="2768" spans="1:12">
      <c r="B2768" s="722" t="s">
        <v>723</v>
      </c>
      <c r="G2768" s="987"/>
      <c r="J2768" s="726"/>
      <c r="K2768" s="726">
        <f>ROUND(K2734/10*5%,2)</f>
        <v>16.86</v>
      </c>
    </row>
    <row r="2769" spans="1:12">
      <c r="G2769" s="987"/>
      <c r="J2769" s="827" t="s">
        <v>718</v>
      </c>
      <c r="K2769" s="1091">
        <f>SUM(K2767:K2768)</f>
        <v>1149.72</v>
      </c>
      <c r="L2769" s="723" t="s">
        <v>730</v>
      </c>
    </row>
    <row r="2770" spans="1:12">
      <c r="A2770" s="836" t="str">
        <f>A538</f>
        <v>C)</v>
      </c>
      <c r="B2770" s="1107" t="str">
        <f>B2617</f>
        <v>Ceramic floor tile</v>
      </c>
      <c r="G2770" s="987"/>
      <c r="J2770" s="726"/>
      <c r="K2770" s="726"/>
    </row>
    <row r="2771" spans="1:12">
      <c r="A2771" s="836" t="str">
        <f>A2761</f>
        <v>(i)</v>
      </c>
      <c r="B2771" s="723" t="str">
        <f>B2618</f>
        <v>Ground Floor</v>
      </c>
      <c r="E2771" s="1089" t="str">
        <f>G560</f>
        <v>Each Cum</v>
      </c>
      <c r="F2771" s="1089"/>
      <c r="G2771" s="987"/>
      <c r="J2771" s="726"/>
      <c r="K2771" s="726"/>
    </row>
    <row r="2772" spans="1:12">
      <c r="B2772" s="722" t="s">
        <v>980</v>
      </c>
      <c r="G2772" s="987"/>
      <c r="J2772" s="1096" t="s">
        <v>718</v>
      </c>
      <c r="K2772" s="726">
        <f>K2762</f>
        <v>450.41</v>
      </c>
      <c r="L2772" s="723" t="s">
        <v>730</v>
      </c>
    </row>
    <row r="2773" spans="1:12">
      <c r="B2773" s="722" t="s">
        <v>979</v>
      </c>
      <c r="G2773" s="987"/>
      <c r="J2773" s="1096"/>
      <c r="K2773" s="726">
        <f>G54</f>
        <v>519.20000000000005</v>
      </c>
    </row>
    <row r="2774" spans="1:12">
      <c r="G2774" s="987"/>
      <c r="J2774" s="1096"/>
      <c r="K2774" s="726"/>
    </row>
    <row r="2775" spans="1:12">
      <c r="G2775" s="987"/>
      <c r="J2775" s="827" t="s">
        <v>718</v>
      </c>
      <c r="K2775" s="1091">
        <f>SUM(K2772:K2774)</f>
        <v>969.61000000000013</v>
      </c>
      <c r="L2775" s="723" t="s">
        <v>730</v>
      </c>
    </row>
    <row r="2776" spans="1:12">
      <c r="A2776" s="836" t="str">
        <f>A2766</f>
        <v>(ii)</v>
      </c>
      <c r="B2776" s="723" t="str">
        <f>B2766</f>
        <v>First Floor</v>
      </c>
      <c r="E2776" s="1089" t="str">
        <f>E2771</f>
        <v>Each Cum</v>
      </c>
      <c r="F2776" s="1089"/>
      <c r="G2776" s="987"/>
      <c r="J2776" s="1096"/>
      <c r="K2776" s="726"/>
    </row>
    <row r="2777" spans="1:12">
      <c r="B2777" s="722" t="s">
        <v>722</v>
      </c>
      <c r="G2777" s="987"/>
      <c r="J2777" s="1096"/>
      <c r="K2777" s="726">
        <f>K2775</f>
        <v>969.61000000000013</v>
      </c>
    </row>
    <row r="2778" spans="1:12">
      <c r="B2778" s="722" t="s">
        <v>723</v>
      </c>
      <c r="G2778" s="987"/>
      <c r="J2778" s="1096"/>
      <c r="K2778" s="726">
        <f>ROUND(K2734/10*5%,2)</f>
        <v>16.86</v>
      </c>
    </row>
    <row r="2779" spans="1:12">
      <c r="G2779" s="987"/>
      <c r="J2779" s="827" t="s">
        <v>718</v>
      </c>
      <c r="K2779" s="1091">
        <f>SUM(K2777:K2778)</f>
        <v>986.47000000000014</v>
      </c>
      <c r="L2779" s="723" t="s">
        <v>730</v>
      </c>
    </row>
    <row r="2780" spans="1:12">
      <c r="A2780" s="836" t="str">
        <f>A541</f>
        <v>D)</v>
      </c>
      <c r="B2780" s="1107" t="s">
        <v>229</v>
      </c>
      <c r="G2780" s="987"/>
      <c r="J2780" s="1096"/>
      <c r="K2780" s="726"/>
    </row>
    <row r="2781" spans="1:12">
      <c r="A2781" s="836" t="str">
        <f>A2771</f>
        <v>(i)</v>
      </c>
      <c r="B2781" s="723" t="s">
        <v>986</v>
      </c>
      <c r="E2781" s="1089" t="str">
        <f>G581</f>
        <v>Each Sqm</v>
      </c>
      <c r="F2781" s="1089"/>
      <c r="G2781" s="987"/>
      <c r="J2781" s="1096"/>
      <c r="K2781" s="726"/>
    </row>
    <row r="2782" spans="1:12">
      <c r="B2782" s="722" t="s">
        <v>980</v>
      </c>
      <c r="G2782" s="987"/>
      <c r="J2782" s="1096" t="s">
        <v>718</v>
      </c>
      <c r="K2782" s="726">
        <f>K2772</f>
        <v>450.41</v>
      </c>
      <c r="L2782" s="723" t="s">
        <v>730</v>
      </c>
    </row>
    <row r="2783" spans="1:12">
      <c r="B2783" s="722" t="s">
        <v>979</v>
      </c>
      <c r="G2783" s="987"/>
      <c r="J2783" s="726"/>
      <c r="K2783" s="726">
        <f>G55</f>
        <v>478.14</v>
      </c>
    </row>
    <row r="2784" spans="1:12">
      <c r="G2784" s="987"/>
      <c r="J2784" s="726"/>
      <c r="K2784" s="726"/>
    </row>
    <row r="2785" spans="1:12">
      <c r="G2785" s="987"/>
      <c r="J2785" s="827" t="s">
        <v>718</v>
      </c>
      <c r="K2785" s="1091">
        <f>SUM(K2782:K2784)</f>
        <v>928.55</v>
      </c>
      <c r="L2785" s="723" t="s">
        <v>730</v>
      </c>
    </row>
    <row r="2786" spans="1:12">
      <c r="A2786" s="836" t="str">
        <f>A2776</f>
        <v>(ii)</v>
      </c>
      <c r="B2786" s="723" t="str">
        <f>B2776</f>
        <v>First Floor</v>
      </c>
      <c r="E2786" s="1089" t="str">
        <f>E2781</f>
        <v>Each Sqm</v>
      </c>
      <c r="F2786" s="1089"/>
      <c r="G2786" s="987"/>
      <c r="J2786" s="726"/>
      <c r="K2786" s="726"/>
    </row>
    <row r="2787" spans="1:12">
      <c r="B2787" s="722" t="s">
        <v>722</v>
      </c>
      <c r="G2787" s="987"/>
      <c r="J2787" s="726"/>
      <c r="K2787" s="726">
        <f>K2785</f>
        <v>928.55</v>
      </c>
    </row>
    <row r="2788" spans="1:12">
      <c r="B2788" s="722" t="s">
        <v>723</v>
      </c>
      <c r="G2788" s="987"/>
      <c r="J2788" s="726"/>
      <c r="K2788" s="726">
        <f>ROUND(K2734/10*5%,2)</f>
        <v>16.86</v>
      </c>
    </row>
    <row r="2789" spans="1:12">
      <c r="G2789" s="987"/>
      <c r="J2789" s="827" t="s">
        <v>718</v>
      </c>
      <c r="K2789" s="1091">
        <f>SUM(K2787:K2788)</f>
        <v>945.41</v>
      </c>
      <c r="L2789" s="723" t="s">
        <v>730</v>
      </c>
    </row>
    <row r="2790" spans="1:12">
      <c r="A2790" s="836" t="str">
        <f>A544</f>
        <v>E)</v>
      </c>
      <c r="B2790" s="1107" t="str">
        <f>B538</f>
        <v>Kota tile (size above 0.10sqm)</v>
      </c>
      <c r="G2790" s="987"/>
      <c r="J2790" s="726"/>
      <c r="K2790" s="726"/>
    </row>
    <row r="2791" spans="1:12">
      <c r="A2791" s="836" t="str">
        <f>A539</f>
        <v>(i)</v>
      </c>
      <c r="B2791" s="723" t="str">
        <f>B539</f>
        <v>Ground Floor</v>
      </c>
      <c r="E2791" s="1089" t="str">
        <f>G539</f>
        <v>Each Sqm</v>
      </c>
      <c r="F2791" s="1089"/>
      <c r="G2791" s="987"/>
      <c r="J2791" s="726"/>
      <c r="K2791" s="726"/>
    </row>
    <row r="2792" spans="1:12">
      <c r="B2792" s="722" t="s">
        <v>980</v>
      </c>
      <c r="G2792" s="987"/>
      <c r="J2792" s="1096" t="s">
        <v>718</v>
      </c>
      <c r="K2792" s="726">
        <f>K2742</f>
        <v>450.41</v>
      </c>
      <c r="L2792" s="723" t="s">
        <v>730</v>
      </c>
    </row>
    <row r="2793" spans="1:12">
      <c r="B2793" s="722" t="s">
        <v>983</v>
      </c>
      <c r="G2793" s="987"/>
      <c r="J2793" s="726"/>
      <c r="K2793" s="726">
        <v>8.5</v>
      </c>
    </row>
    <row r="2794" spans="1:12">
      <c r="B2794" s="722" t="s">
        <v>716</v>
      </c>
      <c r="G2794" s="987"/>
      <c r="H2794" s="722" t="s">
        <v>262</v>
      </c>
      <c r="I2794" s="724" t="s">
        <v>38</v>
      </c>
      <c r="J2794" s="726">
        <f>L130</f>
        <v>244.3</v>
      </c>
      <c r="K2794" s="726">
        <f>G2794*J2794</f>
        <v>0</v>
      </c>
    </row>
    <row r="2795" spans="1:12">
      <c r="G2795" s="987"/>
      <c r="J2795" s="726"/>
      <c r="K2795" s="726"/>
    </row>
    <row r="2796" spans="1:12">
      <c r="B2796" s="722" t="s">
        <v>979</v>
      </c>
      <c r="G2796" s="987"/>
      <c r="J2796" s="726"/>
      <c r="K2796" s="726">
        <f>G56</f>
        <v>640.26</v>
      </c>
    </row>
    <row r="2797" spans="1:12">
      <c r="G2797" s="987"/>
      <c r="J2797" s="726"/>
      <c r="K2797" s="726"/>
    </row>
    <row r="2798" spans="1:12">
      <c r="G2798" s="987"/>
      <c r="J2798" s="827" t="s">
        <v>718</v>
      </c>
      <c r="K2798" s="1091">
        <f>SUM(K2792:K2797)</f>
        <v>1099.17</v>
      </c>
      <c r="L2798" s="723" t="s">
        <v>730</v>
      </c>
    </row>
    <row r="2799" spans="1:12">
      <c r="A2799" s="836" t="str">
        <f>A2766</f>
        <v>(ii)</v>
      </c>
      <c r="B2799" s="723" t="str">
        <f>B2766</f>
        <v>First Floor</v>
      </c>
      <c r="E2799" s="1089" t="str">
        <f>E2791</f>
        <v>Each Sqm</v>
      </c>
      <c r="F2799" s="1089"/>
      <c r="G2799" s="987"/>
      <c r="J2799" s="726"/>
      <c r="K2799" s="726"/>
    </row>
    <row r="2800" spans="1:12">
      <c r="B2800" s="722" t="s">
        <v>722</v>
      </c>
      <c r="G2800" s="987"/>
      <c r="J2800" s="726"/>
      <c r="K2800" s="726">
        <f>K2798</f>
        <v>1099.17</v>
      </c>
    </row>
    <row r="2801" spans="1:17">
      <c r="B2801" s="722" t="s">
        <v>723</v>
      </c>
      <c r="G2801" s="987"/>
      <c r="J2801" s="726"/>
      <c r="K2801" s="726">
        <f>ROUND((K2734/10+K2794)*5%,2)</f>
        <v>16.86</v>
      </c>
    </row>
    <row r="2802" spans="1:17">
      <c r="G2802" s="987"/>
      <c r="J2802" s="827" t="s">
        <v>718</v>
      </c>
      <c r="K2802" s="1091">
        <f>SUM(K2800:K2801)</f>
        <v>1116.03</v>
      </c>
      <c r="L2802" s="723" t="s">
        <v>730</v>
      </c>
    </row>
    <row r="2803" spans="1:17" ht="111" customHeight="1">
      <c r="A2803" s="836">
        <f>A547</f>
        <v>73</v>
      </c>
      <c r="B2803" s="3386" t="str">
        <f>B547</f>
        <v xml:space="preserve">Supplying, fitting, fixing of vertified tile in floors of size 600mm x 600mm of approved make Confirming to IS-13755 with application of polymer modified cement based water resistant adhesive bed of required thickness of 3mm and filling joints with epoxy grout of approved quality including cost, conveyance and taxes of all materials, cost of all labour, T&amp;P etc. complete as per the direction of the Engineer-in-charge. </v>
      </c>
      <c r="C2803" s="3386"/>
      <c r="D2803" s="3386"/>
      <c r="E2803" s="1086" t="str">
        <f>G547</f>
        <v>Each Sqm</v>
      </c>
      <c r="F2803" s="1086"/>
      <c r="G2803" s="987"/>
      <c r="J2803" s="827"/>
      <c r="K2803" s="1091"/>
      <c r="Q2803" s="830" t="s">
        <v>987</v>
      </c>
    </row>
    <row r="2804" spans="1:17" ht="12" customHeight="1">
      <c r="A2804" s="836" t="s">
        <v>468</v>
      </c>
      <c r="B2804" s="1107" t="str">
        <f>B2723</f>
        <v>Vertified tile ( 600x 600)Printed</v>
      </c>
      <c r="D2804" s="723" t="s">
        <v>988</v>
      </c>
      <c r="E2804" s="1086"/>
      <c r="F2804" s="1086"/>
      <c r="G2804" s="987"/>
      <c r="J2804" s="827"/>
      <c r="K2804" s="1091"/>
      <c r="Q2804" s="764"/>
    </row>
    <row r="2805" spans="1:17">
      <c r="A2805" s="836" t="str">
        <f>A548</f>
        <v>(i)</v>
      </c>
      <c r="B2805" s="723" t="str">
        <f>B548</f>
        <v>Ground Floor</v>
      </c>
      <c r="E2805" s="1089" t="str">
        <f>G548</f>
        <v>Each Sqm</v>
      </c>
      <c r="F2805" s="1089"/>
      <c r="G2805" s="987"/>
      <c r="J2805" s="827"/>
      <c r="K2805" s="1091"/>
    </row>
    <row r="2806" spans="1:17">
      <c r="B2806" s="722" t="s">
        <v>964</v>
      </c>
      <c r="G2806" s="987"/>
      <c r="J2806" s="726"/>
      <c r="K2806" s="726"/>
    </row>
    <row r="2807" spans="1:17">
      <c r="B2807" s="723" t="s">
        <v>822</v>
      </c>
      <c r="G2807" s="987"/>
      <c r="J2807" s="726"/>
      <c r="K2807" s="726"/>
    </row>
    <row r="2808" spans="1:17">
      <c r="B2808" s="722" t="s">
        <v>13</v>
      </c>
      <c r="G2808" s="987">
        <v>10</v>
      </c>
      <c r="H2808" s="722" t="s">
        <v>92</v>
      </c>
      <c r="I2808" s="724" t="s">
        <v>92</v>
      </c>
      <c r="J2808" s="726">
        <f>G50</f>
        <v>821</v>
      </c>
      <c r="K2808" s="726">
        <f>ROUND(G2808*J2808,2)</f>
        <v>8210</v>
      </c>
    </row>
    <row r="2809" spans="1:17">
      <c r="B2809" s="722" t="s">
        <v>303</v>
      </c>
      <c r="G2809" s="987">
        <v>54</v>
      </c>
      <c r="H2809" s="722" t="s">
        <v>284</v>
      </c>
      <c r="I2809" s="724" t="s">
        <v>95</v>
      </c>
      <c r="J2809" s="726">
        <f>M188/10</f>
        <v>21.740000000000002</v>
      </c>
      <c r="K2809" s="726">
        <f>ROUND(G2809*J2809,2)</f>
        <v>1173.96</v>
      </c>
    </row>
    <row r="2810" spans="1:17">
      <c r="B2810" s="722" t="s">
        <v>989</v>
      </c>
      <c r="G2810" s="987">
        <v>7.5999999999999998E-2</v>
      </c>
      <c r="H2810" s="722" t="s">
        <v>247</v>
      </c>
      <c r="I2810" s="724" t="s">
        <v>247</v>
      </c>
      <c r="J2810" s="726">
        <f>G92</f>
        <v>2581.9899999999998</v>
      </c>
      <c r="K2810" s="726">
        <f>ROUND(G2810*J2810,2)</f>
        <v>196.23</v>
      </c>
    </row>
    <row r="2811" spans="1:17">
      <c r="G2811" s="987"/>
      <c r="J2811" s="1096" t="s">
        <v>718</v>
      </c>
      <c r="K2811" s="726">
        <f>SUM(K2808:K2810)</f>
        <v>9580.1899999999987</v>
      </c>
    </row>
    <row r="2812" spans="1:17">
      <c r="B2812" s="723" t="s">
        <v>781</v>
      </c>
      <c r="G2812" s="987"/>
      <c r="J2812" s="726"/>
      <c r="K2812" s="726"/>
    </row>
    <row r="2813" spans="1:17">
      <c r="B2813" s="722" t="s">
        <v>975</v>
      </c>
      <c r="G2813" s="987">
        <v>2.16</v>
      </c>
      <c r="H2813" s="722" t="s">
        <v>262</v>
      </c>
      <c r="I2813" s="724" t="s">
        <v>38</v>
      </c>
      <c r="J2813" s="726">
        <f>L132</f>
        <v>284.3</v>
      </c>
      <c r="K2813" s="726">
        <f>ROUND(G2813*J2813,2)</f>
        <v>614.09</v>
      </c>
    </row>
    <row r="2814" spans="1:17">
      <c r="B2814" s="722" t="s">
        <v>717</v>
      </c>
      <c r="G2814" s="987">
        <v>2.16</v>
      </c>
      <c r="H2814" s="722" t="s">
        <v>262</v>
      </c>
      <c r="I2814" s="724" t="s">
        <v>38</v>
      </c>
      <c r="J2814" s="726">
        <f>L129</f>
        <v>182</v>
      </c>
      <c r="K2814" s="726">
        <f>ROUND(G2814*J2814,2)</f>
        <v>393.12</v>
      </c>
    </row>
    <row r="2815" spans="1:17">
      <c r="G2815" s="987"/>
      <c r="J2815" s="1096" t="s">
        <v>718</v>
      </c>
      <c r="K2815" s="726">
        <f>SUM(K2813:K2814)</f>
        <v>1007.21</v>
      </c>
    </row>
    <row r="2816" spans="1:17">
      <c r="B2816" s="723"/>
      <c r="G2816" s="987"/>
      <c r="J2816" s="726"/>
      <c r="K2816" s="726"/>
    </row>
    <row r="2817" spans="1:12">
      <c r="B2817" s="723" t="s">
        <v>783</v>
      </c>
      <c r="G2817" s="987"/>
      <c r="J2817" s="726"/>
      <c r="K2817" s="726"/>
    </row>
    <row r="2818" spans="1:12">
      <c r="B2818" s="722" t="s">
        <v>13</v>
      </c>
      <c r="G2818" s="987">
        <v>10</v>
      </c>
      <c r="H2818" s="722" t="s">
        <v>92</v>
      </c>
      <c r="I2818" s="724" t="s">
        <v>92</v>
      </c>
      <c r="J2818" s="726">
        <f>K50</f>
        <v>9.6011111111111109</v>
      </c>
      <c r="K2818" s="726">
        <f>ROUND(G2818*J2818,2)</f>
        <v>96.01</v>
      </c>
    </row>
    <row r="2819" spans="1:12">
      <c r="B2819" s="722" t="s">
        <v>124</v>
      </c>
      <c r="G2819" s="987">
        <f>G2810</f>
        <v>7.5999999999999998E-2</v>
      </c>
      <c r="H2819" s="722" t="s">
        <v>247</v>
      </c>
      <c r="I2819" s="724" t="str">
        <f>I2810</f>
        <v>Qtl</v>
      </c>
      <c r="J2819" s="726">
        <f>K92</f>
        <v>24.786999999999999</v>
      </c>
      <c r="K2819" s="726">
        <f>ROUND(G2819*J2819,2)</f>
        <v>1.88</v>
      </c>
    </row>
    <row r="2820" spans="1:12">
      <c r="G2820" s="987"/>
      <c r="J2820" s="1113" t="s">
        <v>718</v>
      </c>
      <c r="K2820" s="726">
        <f>SUM(K2818:K2819)</f>
        <v>97.89</v>
      </c>
    </row>
    <row r="2821" spans="1:12">
      <c r="B2821" s="722" t="s">
        <v>977</v>
      </c>
      <c r="G2821" s="987"/>
      <c r="J2821" s="726"/>
      <c r="K2821" s="726">
        <f>K2811+K2815+K2816+K2820</f>
        <v>10685.289999999997</v>
      </c>
    </row>
    <row r="2822" spans="1:12">
      <c r="B2822" s="722" t="s">
        <v>978</v>
      </c>
      <c r="G2822" s="987"/>
      <c r="J2822" s="827" t="s">
        <v>718</v>
      </c>
      <c r="K2822" s="1091">
        <f>K2821/10</f>
        <v>1068.5289999999998</v>
      </c>
      <c r="L2822" s="723" t="s">
        <v>730</v>
      </c>
    </row>
    <row r="2823" spans="1:12">
      <c r="A2823" s="836" t="str">
        <f>A2799</f>
        <v>(ii)</v>
      </c>
      <c r="B2823" s="723" t="str">
        <f>B2799</f>
        <v>First Floor</v>
      </c>
      <c r="E2823" s="1089" t="str">
        <f>E2805</f>
        <v>Each Sqm</v>
      </c>
      <c r="F2823" s="1089"/>
      <c r="G2823" s="987"/>
      <c r="J2823" s="827"/>
      <c r="K2823" s="1091"/>
    </row>
    <row r="2824" spans="1:12">
      <c r="B2824" s="722" t="s">
        <v>722</v>
      </c>
      <c r="G2824" s="987"/>
      <c r="J2824" s="726"/>
      <c r="K2824" s="726">
        <f>K2822</f>
        <v>1068.5289999999998</v>
      </c>
    </row>
    <row r="2825" spans="1:12">
      <c r="B2825" s="722" t="s">
        <v>723</v>
      </c>
      <c r="G2825" s="987"/>
      <c r="J2825" s="726"/>
      <c r="K2825" s="726">
        <f>ROUND((K2815/10)*5%,2)</f>
        <v>5.04</v>
      </c>
    </row>
    <row r="2826" spans="1:12">
      <c r="G2826" s="987"/>
      <c r="J2826" s="827" t="s">
        <v>718</v>
      </c>
      <c r="K2826" s="1091">
        <f>SUM(K2824:K2825)</f>
        <v>1073.5689999999997</v>
      </c>
      <c r="L2826" s="723" t="s">
        <v>730</v>
      </c>
    </row>
    <row r="2827" spans="1:12">
      <c r="A2827" s="836" t="s">
        <v>470</v>
      </c>
      <c r="B2827" s="1107" t="str">
        <f>B2750</f>
        <v>Vertified tile ( 600x 600)Plain</v>
      </c>
      <c r="G2827" s="987"/>
      <c r="J2827" s="1096"/>
      <c r="K2827" s="726"/>
    </row>
    <row r="2828" spans="1:12">
      <c r="A2828" s="836" t="str">
        <f>A2805</f>
        <v>(i)</v>
      </c>
      <c r="B2828" s="723" t="str">
        <f>B2805</f>
        <v>Ground Floor</v>
      </c>
      <c r="E2828" s="1089" t="str">
        <f>G631</f>
        <v>Each Sqm</v>
      </c>
      <c r="F2828" s="1089"/>
      <c r="G2828" s="987"/>
      <c r="J2828" s="1096"/>
      <c r="K2828" s="726"/>
    </row>
    <row r="2829" spans="1:12">
      <c r="B2829" s="722" t="s">
        <v>990</v>
      </c>
      <c r="G2829" s="987"/>
      <c r="J2829" s="1096" t="s">
        <v>718</v>
      </c>
      <c r="K2829" s="726">
        <f>K2822</f>
        <v>1068.5289999999998</v>
      </c>
      <c r="L2829" s="723" t="s">
        <v>730</v>
      </c>
    </row>
    <row r="2830" spans="1:12">
      <c r="B2830" s="722" t="s">
        <v>991</v>
      </c>
      <c r="G2830" s="987"/>
      <c r="J2830" s="726"/>
      <c r="K2830" s="726">
        <f>-(G50-G51)</f>
        <v>-52.730000000000018</v>
      </c>
      <c r="L2830" s="723" t="s">
        <v>730</v>
      </c>
    </row>
    <row r="2831" spans="1:12">
      <c r="G2831" s="987"/>
      <c r="J2831" s="726"/>
      <c r="K2831" s="726"/>
    </row>
    <row r="2832" spans="1:12">
      <c r="G2832" s="987"/>
      <c r="J2832" s="827" t="s">
        <v>718</v>
      </c>
      <c r="K2832" s="1091">
        <f>SUM(K2829:K2831)</f>
        <v>1015.7989999999998</v>
      </c>
      <c r="L2832" s="723" t="s">
        <v>730</v>
      </c>
    </row>
    <row r="2833" spans="1:17">
      <c r="A2833" s="836" t="str">
        <f>A2823</f>
        <v>(ii)</v>
      </c>
      <c r="B2833" s="723" t="str">
        <f>B2823</f>
        <v>First Floor</v>
      </c>
      <c r="E2833" s="1089" t="str">
        <f>E2828</f>
        <v>Each Sqm</v>
      </c>
      <c r="F2833" s="1089"/>
      <c r="G2833" s="987"/>
      <c r="J2833" s="726"/>
      <c r="K2833" s="726"/>
    </row>
    <row r="2834" spans="1:17">
      <c r="B2834" s="722" t="s">
        <v>722</v>
      </c>
      <c r="G2834" s="987"/>
      <c r="J2834" s="726"/>
      <c r="K2834" s="726">
        <f>K2832</f>
        <v>1015.7989999999998</v>
      </c>
    </row>
    <row r="2835" spans="1:17">
      <c r="B2835" s="722" t="s">
        <v>723</v>
      </c>
      <c r="G2835" s="987"/>
      <c r="J2835" s="726"/>
      <c r="K2835" s="726">
        <f>ROUND(K2815/10*5%,2)</f>
        <v>5.04</v>
      </c>
    </row>
    <row r="2836" spans="1:17">
      <c r="G2836" s="987"/>
      <c r="J2836" s="827" t="s">
        <v>718</v>
      </c>
      <c r="K2836" s="1091">
        <f>SUM(K2834:K2835)</f>
        <v>1020.8389999999997</v>
      </c>
      <c r="L2836" s="723" t="s">
        <v>730</v>
      </c>
    </row>
    <row r="2837" spans="1:17" ht="97.5" customHeight="1">
      <c r="A2837" s="836">
        <f>A552</f>
        <v>74</v>
      </c>
      <c r="B2837" s="3386" t="str">
        <f>B552</f>
        <v xml:space="preserve">Supplying, fitting, fixing of vertified tile in floors of size 600mm x 600mm of approved make conforming to IS-13755 laid on 20mm thick  bed of cement mortar (1:4) and filling joints with white cementt of approved quality including cost, conveyance and taxes of all materials, cost of all labour, T&amp;P etc. complete as per the direction of the Engineer-in-charge. </v>
      </c>
      <c r="C2837" s="3386"/>
      <c r="D2837" s="3386"/>
      <c r="E2837" s="1086" t="str">
        <f>E2803</f>
        <v>Each Sqm</v>
      </c>
      <c r="F2837" s="1086"/>
      <c r="G2837" s="987"/>
      <c r="J2837" s="827"/>
      <c r="K2837" s="1091"/>
      <c r="Q2837" s="768" t="s">
        <v>992</v>
      </c>
    </row>
    <row r="2838" spans="1:17" ht="13.5" customHeight="1">
      <c r="A2838" s="836" t="s">
        <v>468</v>
      </c>
      <c r="B2838" s="1107" t="str">
        <f>B2804</f>
        <v>Vertified tile ( 600x 600)Printed</v>
      </c>
      <c r="D2838" s="723" t="s">
        <v>993</v>
      </c>
      <c r="E2838" s="1086"/>
      <c r="F2838" s="1086"/>
      <c r="G2838" s="987"/>
      <c r="J2838" s="827"/>
      <c r="K2838" s="1091"/>
      <c r="Q2838" s="768"/>
    </row>
    <row r="2839" spans="1:17">
      <c r="A2839" s="836" t="str">
        <f>A2805</f>
        <v>(i)</v>
      </c>
      <c r="B2839" s="1087" t="str">
        <f>B2805</f>
        <v>Ground Floor</v>
      </c>
      <c r="E2839" s="1089" t="str">
        <f>G588</f>
        <v>Each Sqm</v>
      </c>
      <c r="F2839" s="1089"/>
      <c r="G2839" s="987"/>
      <c r="J2839" s="827"/>
      <c r="K2839" s="1091"/>
    </row>
    <row r="2840" spans="1:17">
      <c r="B2840" s="723" t="s">
        <v>964</v>
      </c>
      <c r="G2840" s="987"/>
      <c r="J2840" s="726"/>
      <c r="K2840" s="726"/>
    </row>
    <row r="2841" spans="1:17">
      <c r="B2841" s="723" t="s">
        <v>822</v>
      </c>
      <c r="G2841" s="987"/>
      <c r="J2841" s="726"/>
      <c r="K2841" s="726"/>
    </row>
    <row r="2842" spans="1:17">
      <c r="B2842" s="722" t="s">
        <v>13</v>
      </c>
      <c r="G2842" s="987">
        <v>10</v>
      </c>
      <c r="H2842" s="722" t="s">
        <v>92</v>
      </c>
      <c r="I2842" s="724" t="s">
        <v>92</v>
      </c>
      <c r="J2842" s="726">
        <f>G50</f>
        <v>821</v>
      </c>
      <c r="K2842" s="726">
        <f>ROUND(G2842*J2842,2)</f>
        <v>8210</v>
      </c>
    </row>
    <row r="2843" spans="1:17">
      <c r="B2843" s="722" t="s">
        <v>775</v>
      </c>
      <c r="G2843" s="987">
        <v>0.21</v>
      </c>
      <c r="H2843" s="722" t="s">
        <v>49</v>
      </c>
      <c r="I2843" s="724" t="s">
        <v>49</v>
      </c>
      <c r="J2843" s="726">
        <f>G44</f>
        <v>80.72</v>
      </c>
      <c r="K2843" s="726">
        <f>ROUND(G2843*J2843,2)</f>
        <v>16.95</v>
      </c>
    </row>
    <row r="2844" spans="1:17">
      <c r="B2844" s="722" t="s">
        <v>8</v>
      </c>
      <c r="G2844" s="987">
        <v>0.74399999999999999</v>
      </c>
      <c r="H2844" s="722" t="s">
        <v>247</v>
      </c>
      <c r="I2844" s="724" t="s">
        <v>247</v>
      </c>
      <c r="J2844" s="726">
        <f>G48/10</f>
        <v>640</v>
      </c>
      <c r="K2844" s="726">
        <f>ROUND(G2844*J2844,2)</f>
        <v>476.16</v>
      </c>
    </row>
    <row r="2845" spans="1:17">
      <c r="B2845" s="722" t="s">
        <v>994</v>
      </c>
      <c r="G2845" s="987">
        <v>0.33</v>
      </c>
      <c r="H2845" s="722" t="s">
        <v>247</v>
      </c>
      <c r="I2845" s="724" t="s">
        <v>247</v>
      </c>
      <c r="J2845" s="726">
        <f>J2844</f>
        <v>640</v>
      </c>
      <c r="K2845" s="726">
        <f>ROUND(G2845*J2845,2)</f>
        <v>211.2</v>
      </c>
    </row>
    <row r="2846" spans="1:17">
      <c r="B2846" s="722" t="s">
        <v>989</v>
      </c>
      <c r="G2846" s="987">
        <v>7.5999999999999998E-2</v>
      </c>
      <c r="H2846" s="722" t="s">
        <v>247</v>
      </c>
      <c r="I2846" s="724" t="s">
        <v>247</v>
      </c>
      <c r="J2846" s="726">
        <f>G92</f>
        <v>2581.9899999999998</v>
      </c>
      <c r="K2846" s="726">
        <f>ROUND(G2846*J2846,2)</f>
        <v>196.23</v>
      </c>
    </row>
    <row r="2847" spans="1:17">
      <c r="G2847" s="987"/>
      <c r="J2847" s="1096" t="s">
        <v>718</v>
      </c>
      <c r="K2847" s="726">
        <f>SUM(K2842:K2846)</f>
        <v>9110.5400000000009</v>
      </c>
    </row>
    <row r="2848" spans="1:17">
      <c r="B2848" s="723" t="s">
        <v>781</v>
      </c>
      <c r="G2848" s="987"/>
      <c r="J2848" s="726"/>
      <c r="K2848" s="726"/>
    </row>
    <row r="2849" spans="1:12">
      <c r="B2849" s="722" t="s">
        <v>975</v>
      </c>
      <c r="G2849" s="987">
        <v>2.16</v>
      </c>
      <c r="H2849" s="722" t="s">
        <v>262</v>
      </c>
      <c r="I2849" s="724" t="s">
        <v>38</v>
      </c>
      <c r="J2849" s="726">
        <f>L132</f>
        <v>284.3</v>
      </c>
      <c r="K2849" s="726">
        <f>ROUND(G2849*J2849,2)</f>
        <v>614.09</v>
      </c>
    </row>
    <row r="2850" spans="1:12">
      <c r="B2850" s="722" t="s">
        <v>717</v>
      </c>
      <c r="G2850" s="987">
        <v>2.16</v>
      </c>
      <c r="H2850" s="722" t="s">
        <v>262</v>
      </c>
      <c r="I2850" s="724" t="s">
        <v>38</v>
      </c>
      <c r="J2850" s="726">
        <f>L129</f>
        <v>182</v>
      </c>
      <c r="K2850" s="726">
        <f>ROUND(G2850*J2850,2)</f>
        <v>393.12</v>
      </c>
    </row>
    <row r="2851" spans="1:12">
      <c r="G2851" s="987"/>
      <c r="J2851" s="1096" t="s">
        <v>718</v>
      </c>
      <c r="K2851" s="726">
        <f>SUM(K2849:K2850)</f>
        <v>1007.21</v>
      </c>
    </row>
    <row r="2852" spans="1:12">
      <c r="B2852" s="723"/>
      <c r="G2852" s="987"/>
      <c r="J2852" s="726"/>
      <c r="K2852" s="726"/>
    </row>
    <row r="2853" spans="1:12">
      <c r="B2853" s="723" t="s">
        <v>783</v>
      </c>
      <c r="G2853" s="987"/>
      <c r="J2853" s="726"/>
      <c r="K2853" s="726"/>
    </row>
    <row r="2854" spans="1:12">
      <c r="B2854" s="722" t="str">
        <f>B2842</f>
        <v>Tile</v>
      </c>
      <c r="G2854" s="987">
        <f>G2842</f>
        <v>10</v>
      </c>
      <c r="H2854" s="722" t="s">
        <v>92</v>
      </c>
      <c r="I2854" s="722" t="s">
        <v>92</v>
      </c>
      <c r="J2854" s="726">
        <f>K51</f>
        <v>9.6011111111111109</v>
      </c>
      <c r="K2854" s="726">
        <f>ROUND(G2854*J2854,2)</f>
        <v>96.01</v>
      </c>
    </row>
    <row r="2855" spans="1:12">
      <c r="B2855" s="722" t="str">
        <f>B2843</f>
        <v>Sand</v>
      </c>
      <c r="G2855" s="987">
        <f>G2843</f>
        <v>0.21</v>
      </c>
      <c r="H2855" s="722" t="s">
        <v>49</v>
      </c>
      <c r="I2855" s="722" t="s">
        <v>49</v>
      </c>
      <c r="J2855" s="726">
        <f>K44</f>
        <v>731.71</v>
      </c>
      <c r="K2855" s="726">
        <f>ROUND(G2855*J2855,2)</f>
        <v>153.66</v>
      </c>
    </row>
    <row r="2856" spans="1:12">
      <c r="B2856" s="722" t="str">
        <f>B2844</f>
        <v>Cement</v>
      </c>
      <c r="G2856" s="987">
        <f>G2844+G2845</f>
        <v>1.0740000000000001</v>
      </c>
      <c r="H2856" s="722" t="s">
        <v>247</v>
      </c>
      <c r="I2856" s="722" t="s">
        <v>247</v>
      </c>
      <c r="J2856" s="726">
        <f>K48/10</f>
        <v>24.786999999999999</v>
      </c>
      <c r="K2856" s="726">
        <f>ROUND(G2856*J2856,2)</f>
        <v>26.62</v>
      </c>
    </row>
    <row r="2857" spans="1:12">
      <c r="B2857" s="722" t="s">
        <v>124</v>
      </c>
      <c r="G2857" s="987">
        <f>G2846</f>
        <v>7.5999999999999998E-2</v>
      </c>
      <c r="H2857" s="722" t="s">
        <v>247</v>
      </c>
      <c r="I2857" s="722" t="s">
        <v>247</v>
      </c>
      <c r="J2857" s="726">
        <f>K92</f>
        <v>24.786999999999999</v>
      </c>
      <c r="K2857" s="726">
        <f>ROUND(G2857*J2857,2)</f>
        <v>1.88</v>
      </c>
    </row>
    <row r="2858" spans="1:12">
      <c r="G2858" s="987"/>
      <c r="J2858" s="1113" t="s">
        <v>718</v>
      </c>
      <c r="K2858" s="726">
        <f>SUM(K2854:K2857)</f>
        <v>278.17</v>
      </c>
    </row>
    <row r="2859" spans="1:12">
      <c r="B2859" s="723" t="s">
        <v>977</v>
      </c>
      <c r="G2859" s="987"/>
      <c r="J2859" s="726"/>
      <c r="K2859" s="1091">
        <f>K2847+K2851+K2852+K2858</f>
        <v>10395.92</v>
      </c>
    </row>
    <row r="2860" spans="1:12">
      <c r="B2860" s="723" t="s">
        <v>978</v>
      </c>
      <c r="G2860" s="987"/>
      <c r="J2860" s="827" t="s">
        <v>718</v>
      </c>
      <c r="K2860" s="1091">
        <f>ROUND(K2859/10,2)</f>
        <v>1039.5899999999999</v>
      </c>
      <c r="L2860" s="723" t="s">
        <v>730</v>
      </c>
    </row>
    <row r="2861" spans="1:12">
      <c r="A2861" s="836" t="str">
        <f>A2823</f>
        <v>(ii)</v>
      </c>
      <c r="B2861" s="723" t="str">
        <f>B2823</f>
        <v>First Floor</v>
      </c>
      <c r="E2861" s="1089" t="str">
        <f>E2839</f>
        <v>Each Sqm</v>
      </c>
      <c r="F2861" s="1089"/>
      <c r="G2861" s="987"/>
      <c r="J2861" s="827"/>
      <c r="K2861" s="1091"/>
    </row>
    <row r="2862" spans="1:12">
      <c r="B2862" s="722" t="s">
        <v>722</v>
      </c>
      <c r="G2862" s="987"/>
      <c r="J2862" s="726"/>
      <c r="K2862" s="726">
        <f>K2860</f>
        <v>1039.5899999999999</v>
      </c>
    </row>
    <row r="2863" spans="1:12">
      <c r="B2863" s="722" t="s">
        <v>723</v>
      </c>
      <c r="G2863" s="987"/>
      <c r="J2863" s="726"/>
      <c r="K2863" s="726">
        <f>ROUND((K2851/10)*5%,2)</f>
        <v>5.04</v>
      </c>
    </row>
    <row r="2864" spans="1:12">
      <c r="G2864" s="987"/>
      <c r="J2864" s="827" t="s">
        <v>718</v>
      </c>
      <c r="K2864" s="1091">
        <f>SUM(K2862:K2863)</f>
        <v>1044.6299999999999</v>
      </c>
      <c r="L2864" s="723" t="s">
        <v>730</v>
      </c>
    </row>
    <row r="2865" spans="1:19">
      <c r="A2865" s="836" t="s">
        <v>470</v>
      </c>
      <c r="B2865" s="1107" t="str">
        <f>B2827</f>
        <v>Vertified tile ( 600x 600)Plain</v>
      </c>
      <c r="G2865" s="987"/>
      <c r="J2865" s="1096"/>
      <c r="K2865" s="726"/>
    </row>
    <row r="2866" spans="1:19">
      <c r="A2866" s="836" t="str">
        <f>A2828</f>
        <v>(i)</v>
      </c>
      <c r="B2866" s="723" t="str">
        <f>B2828</f>
        <v>Ground Floor</v>
      </c>
      <c r="E2866" s="1089" t="str">
        <f>G668</f>
        <v>Each Sqm</v>
      </c>
      <c r="F2866" s="1089"/>
      <c r="G2866" s="987"/>
      <c r="J2866" s="1096"/>
      <c r="K2866" s="726"/>
    </row>
    <row r="2867" spans="1:19">
      <c r="B2867" s="722" t="s">
        <v>990</v>
      </c>
      <c r="G2867" s="987"/>
      <c r="J2867" s="1096" t="s">
        <v>718</v>
      </c>
      <c r="K2867" s="726">
        <f>K2860</f>
        <v>1039.5899999999999</v>
      </c>
      <c r="L2867" s="723" t="s">
        <v>730</v>
      </c>
    </row>
    <row r="2868" spans="1:19">
      <c r="B2868" s="722" t="s">
        <v>991</v>
      </c>
      <c r="G2868" s="987"/>
      <c r="J2868" s="726"/>
      <c r="K2868" s="726">
        <f>-(G50-G51)</f>
        <v>-52.730000000000018</v>
      </c>
      <c r="L2868" s="723" t="s">
        <v>730</v>
      </c>
    </row>
    <row r="2869" spans="1:19">
      <c r="G2869" s="987"/>
      <c r="J2869" s="726"/>
      <c r="K2869" s="726"/>
    </row>
    <row r="2870" spans="1:19">
      <c r="G2870" s="987"/>
      <c r="J2870" s="827" t="s">
        <v>718</v>
      </c>
      <c r="K2870" s="1091">
        <f>SUM(K2867:K2869)</f>
        <v>986.8599999999999</v>
      </c>
      <c r="L2870" s="723" t="s">
        <v>730</v>
      </c>
    </row>
    <row r="2871" spans="1:19">
      <c r="A2871" s="836" t="str">
        <f>A2861</f>
        <v>(ii)</v>
      </c>
      <c r="B2871" s="723" t="str">
        <f>B2861</f>
        <v>First Floor</v>
      </c>
      <c r="E2871" s="1089" t="str">
        <f>E2866</f>
        <v>Each Sqm</v>
      </c>
      <c r="F2871" s="1089"/>
      <c r="G2871" s="987"/>
      <c r="J2871" s="726"/>
      <c r="K2871" s="726"/>
    </row>
    <row r="2872" spans="1:19">
      <c r="B2872" s="722" t="s">
        <v>722</v>
      </c>
      <c r="G2872" s="987"/>
      <c r="J2872" s="726"/>
      <c r="K2872" s="726">
        <f>K2870</f>
        <v>986.8599999999999</v>
      </c>
    </row>
    <row r="2873" spans="1:19">
      <c r="B2873" s="722" t="s">
        <v>723</v>
      </c>
      <c r="G2873" s="987"/>
      <c r="J2873" s="726"/>
      <c r="K2873" s="726">
        <f>ROUND(K2851/10*5%,2)</f>
        <v>5.04</v>
      </c>
    </row>
    <row r="2874" spans="1:19">
      <c r="G2874" s="987"/>
      <c r="J2874" s="827" t="s">
        <v>718</v>
      </c>
      <c r="K2874" s="1091">
        <f>SUM(K2872:K2873)</f>
        <v>991.89999999999986</v>
      </c>
      <c r="L2874" s="723" t="s">
        <v>730</v>
      </c>
    </row>
    <row r="2875" spans="1:19">
      <c r="A2875" s="836" t="s">
        <v>472</v>
      </c>
      <c r="B2875" s="723" t="s">
        <v>995</v>
      </c>
      <c r="G2875" s="836"/>
      <c r="H2875" s="1087"/>
      <c r="I2875" s="836"/>
      <c r="J2875" s="723"/>
      <c r="K2875" s="1091"/>
      <c r="L2875" s="1087"/>
      <c r="M2875" s="724"/>
      <c r="N2875" s="724"/>
      <c r="O2875" s="724"/>
      <c r="P2875" s="724"/>
      <c r="Q2875" s="723" t="s">
        <v>996</v>
      </c>
    </row>
    <row r="2876" spans="1:19" ht="60.75" customHeight="1">
      <c r="A2876" s="836">
        <f>A558</f>
        <v>75</v>
      </c>
      <c r="B2876" s="3386" t="str">
        <f>B558</f>
        <v>Dressed seasoned sal wood work framed &amp; fixed in frames of doors &amp; windows including cost,conveyance of all materials and cost of labour for fitting, fixing etc.complete as per the instruction of Engineer-in-Charge .</v>
      </c>
      <c r="C2876" s="3386"/>
      <c r="D2876" s="3386"/>
      <c r="E2876" s="1086" t="str">
        <f>G558</f>
        <v>Each Cum</v>
      </c>
      <c r="F2876" s="1086"/>
      <c r="G2876" s="987"/>
      <c r="J2876" s="1091"/>
      <c r="K2876" s="1091"/>
    </row>
    <row r="2877" spans="1:19">
      <c r="B2877" s="723" t="s">
        <v>997</v>
      </c>
      <c r="G2877" s="836"/>
      <c r="H2877" s="1087"/>
      <c r="I2877" s="836"/>
      <c r="J2877" s="1091"/>
      <c r="K2877" s="1091"/>
      <c r="L2877" s="1087"/>
      <c r="M2877" s="724"/>
      <c r="N2877" s="724"/>
      <c r="O2877" s="724"/>
      <c r="P2877" s="724"/>
    </row>
    <row r="2878" spans="1:19">
      <c r="B2878" s="723" t="s">
        <v>822</v>
      </c>
      <c r="G2878" s="836"/>
      <c r="H2878" s="1087"/>
      <c r="I2878" s="836"/>
      <c r="J2878" s="1091"/>
      <c r="K2878" s="1091"/>
      <c r="L2878" s="1087"/>
      <c r="M2878" s="724"/>
      <c r="N2878" s="724"/>
      <c r="O2878" s="724"/>
      <c r="P2878" s="724"/>
    </row>
    <row r="2879" spans="1:19">
      <c r="B2879" s="722" t="s">
        <v>998</v>
      </c>
      <c r="G2879" s="987">
        <v>2.8000000000000001E-2</v>
      </c>
      <c r="H2879" s="1081" t="s">
        <v>49</v>
      </c>
      <c r="I2879" s="724" t="s">
        <v>49</v>
      </c>
      <c r="J2879" s="726">
        <f>G162</f>
        <v>71150.5</v>
      </c>
      <c r="K2879" s="726">
        <f>ROUND(G2879*J2879,2)</f>
        <v>1992.21</v>
      </c>
      <c r="L2879" s="1087"/>
      <c r="M2879" s="724"/>
      <c r="N2879" s="724"/>
      <c r="O2879" s="724"/>
      <c r="P2879" s="724"/>
      <c r="S2879" s="726"/>
    </row>
    <row r="2880" spans="1:19">
      <c r="G2880" s="987"/>
      <c r="H2880" s="1081"/>
      <c r="J2880" s="827" t="s">
        <v>718</v>
      </c>
      <c r="K2880" s="1091">
        <f>SUM(K2879:K2879)</f>
        <v>1992.21</v>
      </c>
      <c r="L2880" s="1087"/>
      <c r="M2880" s="724"/>
      <c r="N2880" s="724"/>
      <c r="O2880" s="724"/>
      <c r="P2880" s="724"/>
      <c r="S2880" s="726"/>
    </row>
    <row r="2881" spans="1:19">
      <c r="B2881" s="723" t="s">
        <v>954</v>
      </c>
      <c r="G2881" s="987"/>
      <c r="H2881" s="1081"/>
      <c r="J2881" s="726"/>
      <c r="K2881" s="726"/>
      <c r="L2881" s="1087"/>
      <c r="M2881" s="724"/>
      <c r="N2881" s="724"/>
      <c r="O2881" s="724"/>
      <c r="P2881" s="724"/>
      <c r="S2881" s="761"/>
    </row>
    <row r="2882" spans="1:19">
      <c r="B2882" s="722" t="s">
        <v>999</v>
      </c>
      <c r="G2882" s="987">
        <v>0.5</v>
      </c>
      <c r="H2882" s="1081" t="s">
        <v>262</v>
      </c>
      <c r="I2882" s="724" t="s">
        <v>38</v>
      </c>
      <c r="J2882" s="726">
        <f>L132</f>
        <v>284.3</v>
      </c>
      <c r="K2882" s="726">
        <f>ROUND(G2882*J2882,2)</f>
        <v>142.15</v>
      </c>
      <c r="L2882" s="1087"/>
      <c r="M2882" s="724"/>
      <c r="N2882" s="724"/>
      <c r="O2882" s="724"/>
      <c r="P2882" s="724"/>
      <c r="S2882" s="726"/>
    </row>
    <row r="2883" spans="1:19">
      <c r="B2883" s="722" t="s">
        <v>717</v>
      </c>
      <c r="G2883" s="987">
        <v>0.5</v>
      </c>
      <c r="H2883" s="1081" t="s">
        <v>262</v>
      </c>
      <c r="I2883" s="724" t="s">
        <v>38</v>
      </c>
      <c r="J2883" s="726">
        <f>L129</f>
        <v>182</v>
      </c>
      <c r="K2883" s="726">
        <f>ROUND(G2883*J2883,2)</f>
        <v>91</v>
      </c>
      <c r="L2883" s="1087"/>
      <c r="M2883" s="724"/>
      <c r="N2883" s="724"/>
      <c r="O2883" s="724"/>
      <c r="P2883" s="724"/>
      <c r="S2883" s="726"/>
    </row>
    <row r="2884" spans="1:19">
      <c r="G2884" s="987"/>
      <c r="H2884" s="1081"/>
      <c r="J2884" s="827" t="s">
        <v>718</v>
      </c>
      <c r="K2884" s="1091">
        <f>SUM(K2882:K2883)</f>
        <v>233.15</v>
      </c>
      <c r="L2884" s="1087"/>
      <c r="M2884" s="724"/>
      <c r="N2884" s="724"/>
      <c r="O2884" s="724"/>
      <c r="P2884" s="724"/>
    </row>
    <row r="2885" spans="1:19">
      <c r="A2885" s="722"/>
      <c r="B2885" s="723"/>
      <c r="G2885" s="836"/>
      <c r="H2885" s="1087"/>
      <c r="I2885" s="836"/>
      <c r="J2885" s="1091"/>
      <c r="K2885" s="1091"/>
      <c r="L2885" s="1087"/>
      <c r="M2885" s="724"/>
      <c r="N2885" s="724"/>
      <c r="O2885" s="724"/>
      <c r="P2885" s="724"/>
    </row>
    <row r="2886" spans="1:19">
      <c r="A2886" s="722"/>
      <c r="B2886" s="723" t="s">
        <v>835</v>
      </c>
      <c r="G2886" s="836"/>
      <c r="H2886" s="1087"/>
      <c r="I2886" s="836"/>
      <c r="J2886" s="1091"/>
      <c r="K2886" s="1091">
        <f>K2880+K2884+K2885</f>
        <v>2225.36</v>
      </c>
      <c r="L2886" s="1087"/>
      <c r="M2886" s="724"/>
      <c r="N2886" s="724"/>
      <c r="O2886" s="724"/>
      <c r="P2886" s="724"/>
    </row>
    <row r="2887" spans="1:19">
      <c r="A2887" s="722"/>
      <c r="B2887" s="723" t="s">
        <v>1000</v>
      </c>
      <c r="G2887" s="836"/>
      <c r="H2887" s="1087"/>
      <c r="I2887" s="836"/>
      <c r="J2887" s="1091"/>
      <c r="K2887" s="1091">
        <f>K2886/0.028</f>
        <v>79477.142857142855</v>
      </c>
      <c r="L2887" s="1087" t="s">
        <v>721</v>
      </c>
      <c r="M2887" s="724"/>
      <c r="N2887" s="724"/>
      <c r="O2887" s="724"/>
      <c r="P2887" s="724"/>
    </row>
    <row r="2888" spans="1:19" ht="60.75" customHeight="1">
      <c r="A2888" s="836">
        <f>A559</f>
        <v>76</v>
      </c>
      <c r="B2888" s="3386" t="str">
        <f>B559</f>
        <v>32mm piasal wood panelled shutters (of 32mm style  with  18mm panel) including cost conveyance of all materials and labour for fitting, fixing excluding  cost  of  iron fittings  etc.complete as per the instruction of Engineer-in-Charge .</v>
      </c>
      <c r="C2888" s="3386"/>
      <c r="D2888" s="3386"/>
      <c r="E2888" s="1086" t="str">
        <f>G559</f>
        <v>Each Sqm</v>
      </c>
      <c r="F2888" s="1086"/>
      <c r="G2888" s="987"/>
      <c r="J2888" s="1091"/>
      <c r="K2888" s="1091"/>
    </row>
    <row r="2889" spans="1:19">
      <c r="B2889" s="723" t="s">
        <v>1001</v>
      </c>
      <c r="G2889" s="836"/>
      <c r="H2889" s="1087"/>
      <c r="I2889" s="836"/>
      <c r="J2889" s="1091"/>
      <c r="K2889" s="1091"/>
      <c r="L2889" s="1087"/>
      <c r="M2889" s="724"/>
      <c r="N2889" s="724"/>
      <c r="O2889" s="724"/>
      <c r="P2889" s="724"/>
    </row>
    <row r="2890" spans="1:19">
      <c r="B2890" s="723" t="s">
        <v>822</v>
      </c>
      <c r="G2890" s="836"/>
      <c r="H2890" s="1087"/>
      <c r="I2890" s="836"/>
      <c r="J2890" s="1091"/>
      <c r="K2890" s="1091"/>
      <c r="L2890" s="1087"/>
      <c r="M2890" s="724"/>
      <c r="N2890" s="724"/>
      <c r="O2890" s="724"/>
      <c r="P2890" s="724"/>
    </row>
    <row r="2891" spans="1:19">
      <c r="B2891" s="722" t="s">
        <v>250</v>
      </c>
      <c r="G2891" s="1114">
        <v>6.6559999999999994E-2</v>
      </c>
      <c r="H2891" s="1081" t="s">
        <v>49</v>
      </c>
      <c r="I2891" s="724" t="s">
        <v>49</v>
      </c>
      <c r="J2891" s="726">
        <f>G77</f>
        <v>83294.03</v>
      </c>
      <c r="K2891" s="726">
        <f>ROUND(G2891*J2891,2)</f>
        <v>5544.05</v>
      </c>
      <c r="L2891" s="1087"/>
      <c r="M2891" s="724"/>
      <c r="N2891" s="724"/>
      <c r="O2891" s="724"/>
      <c r="P2891" s="724"/>
    </row>
    <row r="2892" spans="1:19">
      <c r="B2892" s="722" t="s">
        <v>1002</v>
      </c>
      <c r="G2892" s="987">
        <v>2</v>
      </c>
      <c r="H2892" s="1081" t="s">
        <v>262</v>
      </c>
      <c r="I2892" s="724" t="s">
        <v>37</v>
      </c>
      <c r="J2892" s="1112">
        <v>12.5</v>
      </c>
      <c r="K2892" s="726">
        <f>ROUND(G2892*J2892,2)</f>
        <v>25</v>
      </c>
      <c r="L2892" s="1087"/>
      <c r="M2892" s="724"/>
      <c r="N2892" s="724"/>
      <c r="O2892" s="724"/>
      <c r="P2892" s="724"/>
    </row>
    <row r="2893" spans="1:19">
      <c r="G2893" s="987"/>
      <c r="H2893" s="1081"/>
      <c r="J2893" s="827" t="s">
        <v>718</v>
      </c>
      <c r="K2893" s="1091">
        <f>SUM(K2891:K2892)</f>
        <v>5569.05</v>
      </c>
      <c r="L2893" s="1087"/>
      <c r="M2893" s="724"/>
      <c r="N2893" s="724"/>
      <c r="O2893" s="724"/>
      <c r="P2893" s="724"/>
    </row>
    <row r="2894" spans="1:19">
      <c r="B2894" s="723" t="s">
        <v>781</v>
      </c>
      <c r="G2894" s="987"/>
      <c r="H2894" s="1081"/>
      <c r="J2894" s="726"/>
      <c r="K2894" s="726"/>
      <c r="L2894" s="1087"/>
      <c r="M2894" s="724"/>
      <c r="N2894" s="724"/>
      <c r="O2894" s="724"/>
      <c r="P2894" s="724"/>
    </row>
    <row r="2895" spans="1:19">
      <c r="B2895" s="722" t="s">
        <v>999</v>
      </c>
      <c r="G2895" s="987">
        <v>3.76</v>
      </c>
      <c r="H2895" s="1081" t="s">
        <v>262</v>
      </c>
      <c r="I2895" s="724" t="s">
        <v>38</v>
      </c>
      <c r="J2895" s="726">
        <f>L132</f>
        <v>284.3</v>
      </c>
      <c r="K2895" s="726">
        <f>ROUND(G2895*J2895,2)</f>
        <v>1068.97</v>
      </c>
      <c r="L2895" s="1087"/>
      <c r="M2895" s="724"/>
      <c r="N2895" s="724"/>
      <c r="O2895" s="724"/>
      <c r="P2895" s="724"/>
    </row>
    <row r="2896" spans="1:19">
      <c r="B2896" s="722" t="s">
        <v>1003</v>
      </c>
      <c r="G2896" s="987">
        <v>3.76</v>
      </c>
      <c r="H2896" s="1081" t="s">
        <v>262</v>
      </c>
      <c r="I2896" s="724" t="s">
        <v>38</v>
      </c>
      <c r="J2896" s="726">
        <f>L130</f>
        <v>244.3</v>
      </c>
      <c r="K2896" s="726">
        <f>ROUND(G2896*J2896,2)</f>
        <v>918.57</v>
      </c>
      <c r="L2896" s="1087"/>
      <c r="M2896" s="724"/>
      <c r="N2896" s="724"/>
      <c r="O2896" s="724"/>
      <c r="P2896" s="724"/>
    </row>
    <row r="2897" spans="1:16">
      <c r="B2897" s="722" t="s">
        <v>733</v>
      </c>
      <c r="G2897" s="987">
        <v>1</v>
      </c>
      <c r="H2897" s="1081" t="s">
        <v>262</v>
      </c>
      <c r="I2897" s="724" t="s">
        <v>38</v>
      </c>
      <c r="J2897" s="726">
        <f>L131</f>
        <v>264.3</v>
      </c>
      <c r="K2897" s="726">
        <f>ROUND(G2897*J2897,2)</f>
        <v>264.3</v>
      </c>
      <c r="L2897" s="1087"/>
      <c r="M2897" s="724"/>
      <c r="N2897" s="724"/>
      <c r="O2897" s="724"/>
      <c r="P2897" s="724"/>
    </row>
    <row r="2898" spans="1:16">
      <c r="B2898" s="722" t="s">
        <v>717</v>
      </c>
      <c r="G2898" s="987">
        <v>1</v>
      </c>
      <c r="H2898" s="1081" t="s">
        <v>262</v>
      </c>
      <c r="I2898" s="724" t="s">
        <v>38</v>
      </c>
      <c r="J2898" s="726">
        <f>L129</f>
        <v>182</v>
      </c>
      <c r="K2898" s="726">
        <f>ROUND(G2898*J2898,2)</f>
        <v>182</v>
      </c>
      <c r="L2898" s="1087"/>
      <c r="M2898" s="724"/>
      <c r="N2898" s="724"/>
      <c r="O2898" s="724"/>
      <c r="P2898" s="724"/>
    </row>
    <row r="2899" spans="1:16">
      <c r="G2899" s="987"/>
      <c r="H2899" s="1081"/>
      <c r="J2899" s="827" t="s">
        <v>718</v>
      </c>
      <c r="K2899" s="1091">
        <f>SUM(K2895:K2898)</f>
        <v>2433.84</v>
      </c>
      <c r="L2899" s="1087"/>
      <c r="M2899" s="724"/>
      <c r="N2899" s="724"/>
      <c r="O2899" s="724"/>
      <c r="P2899" s="724"/>
    </row>
    <row r="2900" spans="1:16">
      <c r="B2900" s="723"/>
      <c r="G2900" s="836"/>
      <c r="H2900" s="1087"/>
      <c r="I2900" s="836"/>
      <c r="J2900" s="1091"/>
      <c r="K2900" s="1091"/>
      <c r="L2900" s="1087"/>
      <c r="M2900" s="724"/>
      <c r="N2900" s="724"/>
      <c r="O2900" s="724"/>
      <c r="P2900" s="724"/>
    </row>
    <row r="2901" spans="1:16">
      <c r="B2901" s="723" t="s">
        <v>760</v>
      </c>
      <c r="G2901" s="836"/>
      <c r="H2901" s="1087"/>
      <c r="I2901" s="836"/>
      <c r="J2901" s="1091"/>
      <c r="K2901" s="1091">
        <f>K2893+K2899+K2900</f>
        <v>8002.89</v>
      </c>
      <c r="L2901" s="1087"/>
      <c r="M2901" s="724"/>
      <c r="N2901" s="724"/>
      <c r="O2901" s="724"/>
      <c r="P2901" s="724"/>
    </row>
    <row r="2902" spans="1:16">
      <c r="B2902" s="723" t="s">
        <v>1004</v>
      </c>
      <c r="G2902" s="836"/>
      <c r="H2902" s="1087"/>
      <c r="I2902" s="836"/>
      <c r="J2902" s="1091"/>
      <c r="K2902" s="1091">
        <f>K2901/1.88</f>
        <v>4256.8563829787236</v>
      </c>
      <c r="L2902" s="1087" t="s">
        <v>730</v>
      </c>
      <c r="M2902" s="724"/>
      <c r="N2902" s="724"/>
      <c r="O2902" s="724"/>
      <c r="P2902" s="724"/>
    </row>
    <row r="2903" spans="1:16" ht="62.25" customHeight="1">
      <c r="A2903" s="836">
        <f>A560</f>
        <v>77</v>
      </c>
      <c r="B2903" s="3386" t="str">
        <f>B560</f>
        <v>Dressed seasoned sal wood work framed &amp; fixed in frames of doors &amp; windows including cost,conveyance of all materials and cost of labour for fitting, fixing etc.complete as per the instruction of Engineer-in-Charge .</v>
      </c>
      <c r="C2903" s="3386"/>
      <c r="D2903" s="3386"/>
      <c r="E2903" s="1086" t="str">
        <f>G560</f>
        <v>Each Cum</v>
      </c>
      <c r="F2903" s="1086"/>
      <c r="G2903" s="987"/>
      <c r="J2903" s="1091"/>
      <c r="K2903" s="1091"/>
    </row>
    <row r="2904" spans="1:16">
      <c r="A2904" s="836" t="s">
        <v>468</v>
      </c>
      <c r="B2904" s="723" t="s">
        <v>1005</v>
      </c>
      <c r="G2904" s="1110"/>
      <c r="H2904" s="1115">
        <f>G164</f>
        <v>1108</v>
      </c>
      <c r="I2904" s="723" t="s">
        <v>1006</v>
      </c>
      <c r="J2904" s="723"/>
      <c r="K2904" s="1091"/>
      <c r="L2904" s="1087"/>
      <c r="M2904" s="724"/>
      <c r="N2904" s="724"/>
      <c r="O2904" s="724"/>
      <c r="P2904" s="724"/>
    </row>
    <row r="2905" spans="1:16">
      <c r="A2905" s="722"/>
      <c r="B2905" s="723" t="s">
        <v>1007</v>
      </c>
      <c r="H2905" s="1081"/>
      <c r="J2905" s="723"/>
      <c r="K2905" s="1091">
        <f>H2904/0.0283</f>
        <v>39151.943462897529</v>
      </c>
      <c r="L2905" s="1087"/>
      <c r="M2905" s="724"/>
      <c r="N2905" s="724"/>
      <c r="O2905" s="724"/>
      <c r="P2905" s="724"/>
    </row>
    <row r="2906" spans="1:16">
      <c r="A2906" s="722"/>
      <c r="B2906" s="723" t="s">
        <v>1008</v>
      </c>
      <c r="H2906" s="1081"/>
      <c r="J2906" s="723"/>
      <c r="K2906" s="1091">
        <f>K2905*12%</f>
        <v>4698.2332155477034</v>
      </c>
      <c r="L2906" s="1087"/>
      <c r="M2906" s="724"/>
      <c r="N2906" s="724"/>
      <c r="O2906" s="724"/>
      <c r="P2906" s="724"/>
    </row>
    <row r="2907" spans="1:16">
      <c r="A2907" s="722"/>
      <c r="H2907" s="1081"/>
      <c r="J2907" s="827" t="s">
        <v>718</v>
      </c>
      <c r="K2907" s="1091">
        <f>SUM(K2905:K2906)</f>
        <v>43850.176678445234</v>
      </c>
      <c r="L2907" s="1087"/>
      <c r="M2907" s="724"/>
      <c r="N2907" s="724"/>
      <c r="O2907" s="724"/>
      <c r="P2907" s="724"/>
    </row>
    <row r="2908" spans="1:16">
      <c r="A2908" s="836" t="s">
        <v>470</v>
      </c>
      <c r="B2908" s="723" t="s">
        <v>1009</v>
      </c>
      <c r="H2908" s="1081"/>
      <c r="J2908" s="723"/>
      <c r="K2908" s="1091"/>
      <c r="L2908" s="1087"/>
      <c r="M2908" s="724"/>
      <c r="N2908" s="724"/>
      <c r="O2908" s="724"/>
      <c r="P2908" s="724"/>
    </row>
    <row r="2909" spans="1:16">
      <c r="A2909" s="722"/>
      <c r="B2909" s="723" t="s">
        <v>997</v>
      </c>
      <c r="C2909" s="723"/>
      <c r="D2909" s="724"/>
      <c r="E2909" s="1116"/>
      <c r="F2909" s="1116"/>
      <c r="G2909" s="724"/>
      <c r="H2909" s="1095"/>
      <c r="I2909" s="1096"/>
      <c r="J2909" s="726"/>
      <c r="K2909" s="726"/>
      <c r="M2909" s="724"/>
      <c r="N2909" s="724"/>
      <c r="O2909" s="724"/>
      <c r="P2909" s="724"/>
    </row>
    <row r="2910" spans="1:16">
      <c r="A2910" s="722"/>
      <c r="B2910" s="723" t="s">
        <v>1010</v>
      </c>
      <c r="C2910" s="723"/>
      <c r="D2910" s="724"/>
      <c r="E2910" s="1116"/>
      <c r="F2910" s="1116"/>
      <c r="G2910" s="724"/>
      <c r="H2910" s="1095"/>
      <c r="I2910" s="1096"/>
      <c r="J2910" s="726"/>
      <c r="K2910" s="726"/>
      <c r="M2910" s="724"/>
      <c r="N2910" s="724"/>
      <c r="O2910" s="724"/>
      <c r="P2910" s="724"/>
    </row>
    <row r="2911" spans="1:16">
      <c r="A2911" s="722"/>
      <c r="B2911" s="722" t="s">
        <v>1011</v>
      </c>
      <c r="G2911" s="987">
        <v>0.5</v>
      </c>
      <c r="H2911" s="1081" t="s">
        <v>262</v>
      </c>
      <c r="I2911" s="724" t="s">
        <v>38</v>
      </c>
      <c r="J2911" s="726">
        <f>L132</f>
        <v>284.3</v>
      </c>
      <c r="K2911" s="726">
        <f>ROUND(G2911*J2911,2)</f>
        <v>142.15</v>
      </c>
      <c r="M2911" s="724"/>
      <c r="N2911" s="724"/>
      <c r="O2911" s="724"/>
      <c r="P2911" s="724"/>
    </row>
    <row r="2912" spans="1:16">
      <c r="A2912" s="722"/>
      <c r="B2912" s="722" t="s">
        <v>717</v>
      </c>
      <c r="G2912" s="987">
        <v>0.5</v>
      </c>
      <c r="H2912" s="1081" t="s">
        <v>262</v>
      </c>
      <c r="I2912" s="724" t="s">
        <v>38</v>
      </c>
      <c r="J2912" s="726">
        <f>L129</f>
        <v>182</v>
      </c>
      <c r="K2912" s="726">
        <f>ROUND(G2912*J2912,2)</f>
        <v>91</v>
      </c>
      <c r="M2912" s="724"/>
      <c r="N2912" s="724"/>
      <c r="O2912" s="724"/>
      <c r="P2912" s="724"/>
    </row>
    <row r="2913" spans="1:16">
      <c r="A2913" s="722"/>
      <c r="G2913" s="987"/>
      <c r="H2913" s="1081"/>
      <c r="J2913" s="827" t="s">
        <v>718</v>
      </c>
      <c r="K2913" s="1091">
        <f>SUM(K2911:K2912)</f>
        <v>233.15</v>
      </c>
      <c r="M2913" s="724"/>
      <c r="N2913" s="724"/>
      <c r="O2913" s="724"/>
      <c r="P2913" s="724"/>
    </row>
    <row r="2914" spans="1:16">
      <c r="A2914" s="722"/>
      <c r="B2914" s="723" t="s">
        <v>1012</v>
      </c>
      <c r="G2914" s="987"/>
      <c r="H2914" s="1081"/>
      <c r="J2914" s="827"/>
      <c r="K2914" s="1091">
        <f>K2913*1*30%</f>
        <v>69.944999999999993</v>
      </c>
      <c r="M2914" s="724"/>
      <c r="N2914" s="724"/>
      <c r="O2914" s="724"/>
      <c r="P2914" s="724"/>
    </row>
    <row r="2915" spans="1:16">
      <c r="A2915" s="722"/>
      <c r="B2915" s="723"/>
      <c r="C2915" s="723"/>
      <c r="G2915" s="987"/>
      <c r="H2915" s="1081"/>
      <c r="J2915" s="726"/>
      <c r="K2915" s="1091"/>
      <c r="M2915" s="724"/>
      <c r="N2915" s="724"/>
      <c r="O2915" s="724"/>
      <c r="P2915" s="724"/>
    </row>
    <row r="2916" spans="1:16">
      <c r="A2916" s="722"/>
      <c r="B2916" s="723" t="s">
        <v>1013</v>
      </c>
      <c r="C2916" s="723"/>
      <c r="G2916" s="722">
        <v>2.8000000000000001E-2</v>
      </c>
      <c r="H2916" s="1081" t="s">
        <v>49</v>
      </c>
      <c r="I2916" s="724" t="s">
        <v>49</v>
      </c>
      <c r="J2916" s="726">
        <f>I78</f>
        <v>198.29599999999999</v>
      </c>
      <c r="K2916" s="726">
        <f>ROUND(G2916*J2916,2)</f>
        <v>5.55</v>
      </c>
      <c r="M2916" s="724"/>
      <c r="N2916" s="724"/>
      <c r="O2916" s="724"/>
      <c r="P2916" s="724"/>
    </row>
    <row r="2917" spans="1:16">
      <c r="A2917" s="722"/>
      <c r="B2917" s="723" t="s">
        <v>1014</v>
      </c>
      <c r="C2917" s="723"/>
      <c r="H2917" s="1081"/>
      <c r="J2917" s="726"/>
      <c r="K2917" s="1091">
        <f>K2914+K2915+K2916</f>
        <v>75.49499999999999</v>
      </c>
      <c r="M2917" s="724"/>
      <c r="N2917" s="724"/>
      <c r="O2917" s="724"/>
      <c r="P2917" s="724"/>
    </row>
    <row r="2918" spans="1:16">
      <c r="A2918" s="722"/>
      <c r="B2918" s="723" t="s">
        <v>1015</v>
      </c>
      <c r="C2918" s="723"/>
      <c r="G2918" s="761">
        <f>K2917</f>
        <v>75.49499999999999</v>
      </c>
      <c r="H2918" s="1081" t="s">
        <v>1016</v>
      </c>
      <c r="I2918" s="724" t="s">
        <v>1016</v>
      </c>
      <c r="J2918" s="722">
        <v>2.8000000000000001E-2</v>
      </c>
      <c r="K2918" s="1091">
        <f>G2918/J2918</f>
        <v>2696.2499999999995</v>
      </c>
      <c r="M2918" s="724"/>
      <c r="N2918" s="724"/>
      <c r="O2918" s="724"/>
      <c r="P2918" s="724"/>
    </row>
    <row r="2919" spans="1:16">
      <c r="A2919" s="722"/>
      <c r="B2919" s="723" t="s">
        <v>1017</v>
      </c>
      <c r="C2919" s="723"/>
      <c r="G2919" s="761"/>
      <c r="H2919" s="1081"/>
      <c r="J2919" s="827" t="s">
        <v>718</v>
      </c>
      <c r="K2919" s="1091">
        <f>K2907+K2918</f>
        <v>46546.426678445234</v>
      </c>
      <c r="L2919" s="1087" t="s">
        <v>721</v>
      </c>
      <c r="M2919" s="724"/>
      <c r="N2919" s="724"/>
      <c r="O2919" s="724"/>
      <c r="P2919" s="724"/>
    </row>
    <row r="2920" spans="1:16" ht="62.25" customHeight="1">
      <c r="A2920" s="836">
        <f>A561</f>
        <v>78</v>
      </c>
      <c r="B2920" s="3386" t="str">
        <f>B561</f>
        <v>32mm piasal wood panelled shutters (of 32mm style  with  18mm panel) including cost conveyance of all materials and labour for fitting, fixing excluding  cost  of  iron fittings  etc.complete as per the instruction of Engineer-in-Charge .</v>
      </c>
      <c r="C2920" s="3386"/>
      <c r="D2920" s="3386"/>
      <c r="E2920" s="1086" t="str">
        <f>G561</f>
        <v>Each Sqm</v>
      </c>
      <c r="F2920" s="1086"/>
      <c r="G2920" s="987"/>
      <c r="J2920" s="1091"/>
      <c r="K2920" s="1091"/>
    </row>
    <row r="2921" spans="1:16">
      <c r="A2921" s="836" t="s">
        <v>468</v>
      </c>
      <c r="B2921" s="723" t="s">
        <v>1018</v>
      </c>
      <c r="G2921" s="1110"/>
      <c r="H2921" s="1117">
        <f>M164</f>
        <v>5100</v>
      </c>
      <c r="I2921" s="836" t="s">
        <v>1019</v>
      </c>
      <c r="J2921" s="723"/>
      <c r="K2921" s="1091"/>
      <c r="L2921" s="1087"/>
      <c r="M2921" s="724"/>
      <c r="N2921" s="724"/>
      <c r="O2921" s="724"/>
      <c r="P2921" s="724"/>
    </row>
    <row r="2922" spans="1:16">
      <c r="A2922" s="722"/>
      <c r="B2922" s="722" t="s">
        <v>1020</v>
      </c>
      <c r="H2922" s="1081"/>
      <c r="J2922" s="723"/>
      <c r="K2922" s="1091">
        <f>H2921/0.0929</f>
        <v>54897.739504843921</v>
      </c>
      <c r="L2922" s="1087"/>
      <c r="M2922" s="724"/>
      <c r="N2922" s="724"/>
      <c r="O2922" s="724"/>
      <c r="P2922" s="724"/>
    </row>
    <row r="2923" spans="1:16">
      <c r="A2923" s="722"/>
      <c r="B2923" s="722" t="s">
        <v>1008</v>
      </c>
      <c r="H2923" s="1081"/>
      <c r="J2923" s="723"/>
      <c r="K2923" s="1091">
        <f>K2922*12%</f>
        <v>6587.7287405812704</v>
      </c>
      <c r="L2923" s="1087"/>
      <c r="M2923" s="724"/>
      <c r="N2923" s="724"/>
      <c r="O2923" s="724"/>
      <c r="P2923" s="724"/>
    </row>
    <row r="2924" spans="1:16">
      <c r="A2924" s="722"/>
      <c r="H2924" s="1081"/>
      <c r="J2924" s="827" t="s">
        <v>718</v>
      </c>
      <c r="K2924" s="1091">
        <f>SUM(K2922:K2923)</f>
        <v>61485.468245425189</v>
      </c>
      <c r="L2924" s="1087"/>
      <c r="M2924" s="724"/>
      <c r="N2924" s="724"/>
      <c r="O2924" s="724"/>
      <c r="P2924" s="724"/>
    </row>
    <row r="2925" spans="1:16">
      <c r="A2925" s="836" t="s">
        <v>470</v>
      </c>
      <c r="B2925" s="723" t="s">
        <v>1009</v>
      </c>
      <c r="H2925" s="1081"/>
      <c r="J2925" s="827"/>
      <c r="K2925" s="1091"/>
      <c r="L2925" s="1087"/>
      <c r="M2925" s="724"/>
      <c r="N2925" s="724"/>
      <c r="O2925" s="724"/>
      <c r="P2925" s="724"/>
    </row>
    <row r="2926" spans="1:16">
      <c r="B2926" s="723" t="s">
        <v>1021</v>
      </c>
      <c r="C2926" s="723"/>
      <c r="D2926" s="724"/>
      <c r="E2926" s="1116"/>
      <c r="F2926" s="1116"/>
      <c r="G2926" s="724"/>
      <c r="H2926" s="1095"/>
      <c r="I2926" s="1096"/>
      <c r="J2926" s="726"/>
      <c r="K2926" s="726"/>
      <c r="M2926" s="724"/>
      <c r="N2926" s="724"/>
      <c r="O2926" s="724"/>
      <c r="P2926" s="724"/>
    </row>
    <row r="2927" spans="1:16">
      <c r="B2927" s="723" t="s">
        <v>954</v>
      </c>
      <c r="C2927" s="723"/>
      <c r="D2927" s="724"/>
      <c r="E2927" s="1116"/>
      <c r="F2927" s="1116"/>
      <c r="G2927" s="724"/>
      <c r="H2927" s="1095"/>
      <c r="I2927" s="1096"/>
      <c r="J2927" s="726"/>
      <c r="K2927" s="726"/>
      <c r="M2927" s="724"/>
      <c r="N2927" s="724"/>
      <c r="O2927" s="724"/>
      <c r="P2927" s="724"/>
    </row>
    <row r="2928" spans="1:16">
      <c r="B2928" s="722" t="s">
        <v>733</v>
      </c>
      <c r="G2928" s="987">
        <v>1</v>
      </c>
      <c r="H2928" s="1081" t="s">
        <v>262</v>
      </c>
      <c r="I2928" s="724" t="s">
        <v>38</v>
      </c>
      <c r="J2928" s="726">
        <f>L131</f>
        <v>264.3</v>
      </c>
      <c r="K2928" s="726">
        <f>ROUND(G2928*J2928,2)</f>
        <v>264.3</v>
      </c>
      <c r="M2928" s="724"/>
      <c r="N2928" s="724"/>
      <c r="O2928" s="724"/>
      <c r="P2928" s="724"/>
    </row>
    <row r="2929" spans="1:20">
      <c r="B2929" s="722" t="s">
        <v>717</v>
      </c>
      <c r="G2929" s="987">
        <v>1</v>
      </c>
      <c r="H2929" s="1081" t="s">
        <v>262</v>
      </c>
      <c r="I2929" s="724" t="s">
        <v>38</v>
      </c>
      <c r="J2929" s="726">
        <f>L129</f>
        <v>182</v>
      </c>
      <c r="K2929" s="726">
        <f>ROUND(G2929*J2929,2)</f>
        <v>182</v>
      </c>
      <c r="M2929" s="724"/>
      <c r="N2929" s="724"/>
      <c r="O2929" s="724"/>
      <c r="P2929" s="724"/>
    </row>
    <row r="2930" spans="1:20">
      <c r="G2930" s="987"/>
      <c r="H2930" s="1081"/>
      <c r="J2930" s="827" t="s">
        <v>718</v>
      </c>
      <c r="K2930" s="1091">
        <f>SUM(K2928:K2929)</f>
        <v>446.3</v>
      </c>
      <c r="M2930" s="724"/>
      <c r="N2930" s="724"/>
      <c r="O2930" s="724"/>
      <c r="P2930" s="724"/>
    </row>
    <row r="2931" spans="1:20">
      <c r="A2931" s="722"/>
      <c r="B2931" s="723"/>
      <c r="C2931" s="723"/>
      <c r="G2931" s="987"/>
      <c r="H2931" s="1081"/>
      <c r="J2931" s="726"/>
      <c r="K2931" s="1091"/>
      <c r="M2931" s="724"/>
      <c r="N2931" s="724"/>
      <c r="O2931" s="724"/>
      <c r="P2931" s="724"/>
    </row>
    <row r="2932" spans="1:20">
      <c r="A2932" s="722"/>
      <c r="B2932" s="723" t="s">
        <v>1013</v>
      </c>
      <c r="C2932" s="723"/>
      <c r="G2932" s="722">
        <v>6.6559999999999994E-2</v>
      </c>
      <c r="H2932" s="1081" t="s">
        <v>49</v>
      </c>
      <c r="I2932" s="724" t="s">
        <v>49</v>
      </c>
      <c r="J2932" s="726">
        <f>I78</f>
        <v>198.29599999999999</v>
      </c>
      <c r="K2932" s="726">
        <f>ROUND(G2932*J2932,2)</f>
        <v>13.2</v>
      </c>
      <c r="M2932" s="724"/>
      <c r="N2932" s="724"/>
      <c r="O2932" s="724"/>
      <c r="P2932" s="724"/>
    </row>
    <row r="2933" spans="1:20">
      <c r="A2933" s="722"/>
      <c r="B2933" s="723" t="s">
        <v>1022</v>
      </c>
      <c r="G2933" s="987">
        <v>2</v>
      </c>
      <c r="H2933" s="1081" t="s">
        <v>262</v>
      </c>
      <c r="I2933" s="724" t="s">
        <v>262</v>
      </c>
      <c r="J2933" s="1112">
        <v>12.5</v>
      </c>
      <c r="K2933" s="726">
        <f>ROUND(G2933*J2933,2)</f>
        <v>25</v>
      </c>
      <c r="M2933" s="724"/>
      <c r="N2933" s="724"/>
      <c r="O2933" s="724"/>
      <c r="P2933" s="724"/>
    </row>
    <row r="2934" spans="1:20">
      <c r="A2934" s="722"/>
      <c r="B2934" s="723" t="s">
        <v>1023</v>
      </c>
      <c r="C2934" s="723"/>
      <c r="H2934" s="1081"/>
      <c r="J2934" s="726"/>
      <c r="K2934" s="1091">
        <f>K2930+K2931+K2932+K2933</f>
        <v>484.5</v>
      </c>
      <c r="M2934" s="724"/>
      <c r="N2934" s="724"/>
      <c r="O2934" s="724"/>
      <c r="P2934" s="724"/>
    </row>
    <row r="2935" spans="1:20">
      <c r="A2935" s="722"/>
      <c r="B2935" s="723" t="s">
        <v>1024</v>
      </c>
      <c r="C2935" s="723"/>
      <c r="G2935" s="761">
        <f>K2934</f>
        <v>484.5</v>
      </c>
      <c r="H2935" s="1081" t="s">
        <v>1016</v>
      </c>
      <c r="I2935" s="724" t="s">
        <v>1016</v>
      </c>
      <c r="J2935" s="722">
        <v>1.88</v>
      </c>
      <c r="K2935" s="1091">
        <f>G2935/J2935</f>
        <v>257.71276595744683</v>
      </c>
      <c r="M2935" s="724"/>
      <c r="N2935" s="724"/>
      <c r="O2935" s="724"/>
      <c r="P2935" s="724"/>
    </row>
    <row r="2936" spans="1:20">
      <c r="A2936" s="722"/>
      <c r="B2936" s="723" t="s">
        <v>1017</v>
      </c>
      <c r="C2936" s="723"/>
      <c r="G2936" s="761"/>
      <c r="H2936" s="1081"/>
      <c r="J2936" s="827" t="s">
        <v>718</v>
      </c>
      <c r="K2936" s="1091">
        <f>K2922+K2935</f>
        <v>55155.452270801368</v>
      </c>
      <c r="L2936" s="1087" t="s">
        <v>730</v>
      </c>
      <c r="M2936" s="724"/>
      <c r="N2936" s="724"/>
      <c r="O2936" s="724"/>
      <c r="P2936" s="724"/>
    </row>
    <row r="2937" spans="1:20" ht="36.75" customHeight="1">
      <c r="A2937" s="836">
        <f>A562</f>
        <v>79</v>
      </c>
      <c r="B2937" s="3386" t="str">
        <f>B562</f>
        <v>Supplying of M.S. Grills etc including cost,conveyance of all materials etc.complete as per the instruction of Engineer-in-Charge .</v>
      </c>
      <c r="C2937" s="3386"/>
      <c r="D2937" s="3386"/>
      <c r="E2937" s="1086" t="str">
        <f>G562</f>
        <v>Each Qtl</v>
      </c>
      <c r="F2937" s="1086"/>
      <c r="G2937" s="987"/>
      <c r="J2937" s="1091"/>
      <c r="K2937" s="1091"/>
    </row>
    <row r="2938" spans="1:20">
      <c r="A2938" s="722"/>
      <c r="B2938" s="723" t="s">
        <v>1025</v>
      </c>
      <c r="C2938" s="723"/>
      <c r="G2938" s="724"/>
      <c r="H2938" s="1081"/>
    </row>
    <row r="2939" spans="1:20">
      <c r="A2939" s="722"/>
      <c r="B2939" s="723" t="s">
        <v>1026</v>
      </c>
      <c r="E2939" s="1116"/>
      <c r="F2939" s="1116"/>
      <c r="G2939" s="1109">
        <v>1</v>
      </c>
      <c r="H2939" s="1095" t="s">
        <v>247</v>
      </c>
      <c r="I2939" s="724" t="s">
        <v>247</v>
      </c>
      <c r="J2939" s="1112">
        <v>7500</v>
      </c>
      <c r="K2939" s="726">
        <f>ROUND(G2939*J2939,2)</f>
        <v>7500</v>
      </c>
    </row>
    <row r="2940" spans="1:20">
      <c r="A2940" s="722"/>
      <c r="B2940" s="723" t="s">
        <v>1027</v>
      </c>
      <c r="E2940" s="1116"/>
      <c r="F2940" s="1116"/>
      <c r="G2940" s="1109"/>
      <c r="H2940" s="1095"/>
      <c r="J2940" s="726"/>
      <c r="K2940" s="726">
        <f>K2939*14.5%</f>
        <v>1087.5</v>
      </c>
    </row>
    <row r="2941" spans="1:20">
      <c r="A2941" s="722"/>
      <c r="B2941" s="723" t="s">
        <v>1028</v>
      </c>
      <c r="E2941" s="1116"/>
      <c r="F2941" s="1116"/>
      <c r="G2941" s="1109">
        <f>G2939</f>
        <v>1</v>
      </c>
      <c r="H2941" s="1095" t="s">
        <v>247</v>
      </c>
      <c r="I2941" s="724" t="s">
        <v>247</v>
      </c>
      <c r="J2941" s="726">
        <f>I49/10</f>
        <v>24.786999999999999</v>
      </c>
      <c r="K2941" s="726">
        <f>ROUND(G2941*J2941,2)</f>
        <v>24.79</v>
      </c>
    </row>
    <row r="2942" spans="1:20">
      <c r="A2942" s="722"/>
      <c r="B2942" s="723" t="s">
        <v>1029</v>
      </c>
      <c r="E2942" s="1116"/>
      <c r="F2942" s="1116"/>
      <c r="G2942" s="724"/>
      <c r="H2942" s="1118"/>
      <c r="I2942" s="827"/>
      <c r="J2942" s="836"/>
      <c r="K2942" s="1091"/>
    </row>
    <row r="2943" spans="1:20">
      <c r="A2943" s="722"/>
      <c r="B2943" s="722" t="s">
        <v>1030</v>
      </c>
      <c r="C2943" s="723"/>
      <c r="E2943" s="1116"/>
      <c r="F2943" s="1116"/>
      <c r="G2943" s="724"/>
      <c r="H2943" s="1095"/>
      <c r="I2943" s="1119">
        <f>T2945</f>
        <v>37.011764705882349</v>
      </c>
      <c r="J2943" s="726"/>
      <c r="K2943" s="1091"/>
      <c r="Q2943" s="722">
        <v>85</v>
      </c>
      <c r="T2943" s="1091">
        <v>12.1</v>
      </c>
    </row>
    <row r="2944" spans="1:20">
      <c r="A2944" s="722"/>
      <c r="B2944" s="723" t="s">
        <v>910</v>
      </c>
      <c r="C2944" s="723"/>
      <c r="G2944" s="1096">
        <f>I2943</f>
        <v>37.011764705882349</v>
      </c>
      <c r="H2944" s="1096" t="s">
        <v>1016</v>
      </c>
      <c r="I2944" s="1096"/>
      <c r="J2944" s="726">
        <v>0.25</v>
      </c>
      <c r="K2944" s="726">
        <f>G2944/J2944</f>
        <v>148.0470588235294</v>
      </c>
      <c r="Q2944" s="722">
        <v>1</v>
      </c>
      <c r="T2944" s="723">
        <f>T2943/Q2943</f>
        <v>0.14235294117647057</v>
      </c>
    </row>
    <row r="2945" spans="1:20">
      <c r="A2945" s="722"/>
      <c r="B2945" s="723" t="s">
        <v>1031</v>
      </c>
      <c r="C2945" s="723"/>
      <c r="G2945" s="1096"/>
      <c r="H2945" s="1095"/>
      <c r="I2945" s="1096"/>
      <c r="J2945" s="827" t="s">
        <v>718</v>
      </c>
      <c r="K2945" s="1091">
        <f>SUM(K2939:K2944)</f>
        <v>8760.3370588235302</v>
      </c>
      <c r="L2945" s="1087" t="s">
        <v>911</v>
      </c>
      <c r="Q2945" s="722">
        <v>260</v>
      </c>
      <c r="T2945" s="1091">
        <f>T2944*Q2945</f>
        <v>37.011764705882349</v>
      </c>
    </row>
    <row r="2946" spans="1:20" ht="36.75" customHeight="1">
      <c r="A2946" s="836">
        <f>A563</f>
        <v>80</v>
      </c>
      <c r="B2946" s="3386" t="str">
        <f>B563</f>
        <v>Supplying of M.S.Doors, M.S. Gate etc including cost, conveyance of all materials etc.complete as per the instruction of Engineer-in-Charge .</v>
      </c>
      <c r="C2946" s="3386"/>
      <c r="D2946" s="3386"/>
      <c r="E2946" s="1086" t="str">
        <f>G563</f>
        <v>Each Qtl</v>
      </c>
      <c r="F2946" s="1086"/>
      <c r="G2946" s="987"/>
      <c r="J2946" s="1091"/>
      <c r="K2946" s="1091"/>
    </row>
    <row r="2947" spans="1:20">
      <c r="A2947" s="722"/>
      <c r="B2947" s="723" t="s">
        <v>1025</v>
      </c>
      <c r="C2947" s="723"/>
      <c r="G2947" s="724"/>
      <c r="H2947" s="1081"/>
    </row>
    <row r="2948" spans="1:20">
      <c r="A2948" s="722"/>
      <c r="B2948" s="723" t="s">
        <v>1026</v>
      </c>
      <c r="E2948" s="1116"/>
      <c r="F2948" s="1116"/>
      <c r="G2948" s="1109">
        <v>1</v>
      </c>
      <c r="H2948" s="1095" t="s">
        <v>247</v>
      </c>
      <c r="I2948" s="724" t="s">
        <v>247</v>
      </c>
      <c r="J2948" s="1112">
        <f>J2939</f>
        <v>7500</v>
      </c>
      <c r="K2948" s="726">
        <f>ROUND(G2948*J2948,2)</f>
        <v>7500</v>
      </c>
    </row>
    <row r="2949" spans="1:20">
      <c r="A2949" s="722"/>
      <c r="B2949" s="723" t="s">
        <v>1027</v>
      </c>
      <c r="E2949" s="1116"/>
      <c r="F2949" s="1116"/>
      <c r="G2949" s="1109"/>
      <c r="H2949" s="1095"/>
      <c r="J2949" s="726"/>
      <c r="K2949" s="726">
        <f>K2948*14.5%</f>
        <v>1087.5</v>
      </c>
    </row>
    <row r="2950" spans="1:20">
      <c r="A2950" s="722"/>
      <c r="B2950" s="723" t="s">
        <v>1032</v>
      </c>
      <c r="E2950" s="1116"/>
      <c r="F2950" s="1116"/>
      <c r="G2950" s="1109">
        <f>G2948</f>
        <v>1</v>
      </c>
      <c r="H2950" s="1095" t="s">
        <v>247</v>
      </c>
      <c r="I2950" s="724" t="s">
        <v>247</v>
      </c>
      <c r="J2950" s="726">
        <f>J2941</f>
        <v>24.786999999999999</v>
      </c>
      <c r="K2950" s="726">
        <f>ROUND(G2950*J2950,2)</f>
        <v>24.79</v>
      </c>
    </row>
    <row r="2951" spans="1:20">
      <c r="A2951" s="722"/>
      <c r="B2951" s="723" t="s">
        <v>1029</v>
      </c>
      <c r="E2951" s="1116"/>
      <c r="F2951" s="1116"/>
      <c r="G2951" s="724"/>
      <c r="H2951" s="1118"/>
      <c r="I2951" s="827"/>
      <c r="J2951" s="836"/>
      <c r="K2951" s="1091"/>
    </row>
    <row r="2952" spans="1:20">
      <c r="A2952" s="722"/>
      <c r="B2952" s="722" t="s">
        <v>1033</v>
      </c>
      <c r="C2952" s="723"/>
      <c r="E2952" s="1116"/>
      <c r="F2952" s="1116"/>
      <c r="G2952" s="724"/>
      <c r="H2952" s="1095"/>
      <c r="I2952" s="1119">
        <f>I2943</f>
        <v>37.011764705882349</v>
      </c>
      <c r="J2952" s="726"/>
      <c r="K2952" s="1091"/>
    </row>
    <row r="2953" spans="1:20">
      <c r="A2953" s="722"/>
      <c r="B2953" s="723" t="s">
        <v>910</v>
      </c>
      <c r="C2953" s="723"/>
      <c r="G2953" s="1096">
        <f>I2952</f>
        <v>37.011764705882349</v>
      </c>
      <c r="H2953" s="1096" t="s">
        <v>1016</v>
      </c>
      <c r="I2953" s="1096"/>
      <c r="J2953" s="726">
        <v>0.35</v>
      </c>
      <c r="K2953" s="726">
        <f>G2953/J2953</f>
        <v>105.74789915966386</v>
      </c>
    </row>
    <row r="2954" spans="1:20">
      <c r="A2954" s="722"/>
      <c r="B2954" s="723" t="s">
        <v>1031</v>
      </c>
      <c r="C2954" s="723"/>
      <c r="G2954" s="1096"/>
      <c r="H2954" s="1095"/>
      <c r="I2954" s="1096"/>
      <c r="J2954" s="827" t="s">
        <v>718</v>
      </c>
      <c r="K2954" s="1091">
        <f>SUM(K2948:K2953)</f>
        <v>8718.0378991596644</v>
      </c>
      <c r="L2954" s="1087" t="s">
        <v>911</v>
      </c>
    </row>
    <row r="2955" spans="1:20" ht="59.25" customHeight="1">
      <c r="A2955" s="836">
        <f>A564</f>
        <v>81</v>
      </c>
      <c r="B2955" s="3386" t="str">
        <f>B564</f>
        <v>Supplying of M.S.Windows/ Ventilator of fully glazed etc including cost, conveyance of all materials etc.complete as per the instruction of Engineer-in-Charge (Weight taken for measurement without glass)</v>
      </c>
      <c r="C2955" s="3386"/>
      <c r="D2955" s="3386"/>
      <c r="E2955" s="1086" t="str">
        <f>G564</f>
        <v>Each Qtl</v>
      </c>
      <c r="F2955" s="1086"/>
      <c r="G2955" s="987"/>
      <c r="J2955" s="1091"/>
      <c r="K2955" s="1091"/>
    </row>
    <row r="2956" spans="1:20">
      <c r="A2956" s="722"/>
      <c r="B2956" s="723" t="s">
        <v>1025</v>
      </c>
      <c r="C2956" s="723"/>
      <c r="G2956" s="724"/>
      <c r="H2956" s="1081"/>
    </row>
    <row r="2957" spans="1:20">
      <c r="A2957" s="722"/>
      <c r="B2957" s="723" t="s">
        <v>1026</v>
      </c>
      <c r="E2957" s="1116"/>
      <c r="F2957" s="1116"/>
      <c r="G2957" s="1109">
        <v>1</v>
      </c>
      <c r="H2957" s="1095" t="s">
        <v>247</v>
      </c>
      <c r="I2957" s="724" t="s">
        <v>247</v>
      </c>
      <c r="J2957" s="1112">
        <f>J2948</f>
        <v>7500</v>
      </c>
      <c r="K2957" s="726">
        <f>ROUND(G2957*J2957,2)</f>
        <v>7500</v>
      </c>
    </row>
    <row r="2958" spans="1:20">
      <c r="A2958" s="722"/>
      <c r="B2958" s="723" t="s">
        <v>1027</v>
      </c>
      <c r="E2958" s="1116"/>
      <c r="F2958" s="1116"/>
      <c r="G2958" s="1109"/>
      <c r="H2958" s="1095"/>
      <c r="J2958" s="726"/>
      <c r="K2958" s="726">
        <f>K2957*14.5%</f>
        <v>1087.5</v>
      </c>
    </row>
    <row r="2959" spans="1:20">
      <c r="A2959" s="722"/>
      <c r="B2959" s="723" t="s">
        <v>1032</v>
      </c>
      <c r="E2959" s="1116"/>
      <c r="F2959" s="1116"/>
      <c r="G2959" s="1109">
        <f>G2957</f>
        <v>1</v>
      </c>
      <c r="H2959" s="1095" t="s">
        <v>247</v>
      </c>
      <c r="I2959" s="724" t="s">
        <v>247</v>
      </c>
      <c r="J2959" s="726">
        <f>J2950</f>
        <v>24.786999999999999</v>
      </c>
      <c r="K2959" s="726">
        <f>ROUND(G2959*J2959,2)</f>
        <v>24.79</v>
      </c>
    </row>
    <row r="2960" spans="1:20">
      <c r="A2960" s="722"/>
      <c r="B2960" s="723" t="s">
        <v>1029</v>
      </c>
      <c r="E2960" s="1116"/>
      <c r="F2960" s="1116"/>
      <c r="G2960" s="724"/>
      <c r="H2960" s="1118"/>
      <c r="I2960" s="827"/>
      <c r="J2960" s="836"/>
      <c r="K2960" s="1091"/>
    </row>
    <row r="2961" spans="1:12">
      <c r="A2961" s="722"/>
      <c r="B2961" s="722" t="s">
        <v>1034</v>
      </c>
      <c r="C2961" s="723"/>
      <c r="E2961" s="1116"/>
      <c r="F2961" s="1116"/>
      <c r="G2961" s="724"/>
      <c r="H2961" s="1095"/>
      <c r="I2961" s="1119">
        <f>I2952</f>
        <v>37.011764705882349</v>
      </c>
      <c r="J2961" s="726"/>
      <c r="K2961" s="1091"/>
    </row>
    <row r="2962" spans="1:12">
      <c r="A2962" s="722"/>
      <c r="B2962" s="723" t="s">
        <v>910</v>
      </c>
      <c r="C2962" s="723"/>
      <c r="G2962" s="1096">
        <f>I2961</f>
        <v>37.011764705882349</v>
      </c>
      <c r="H2962" s="1096" t="s">
        <v>1016</v>
      </c>
      <c r="I2962" s="1096"/>
      <c r="J2962" s="726">
        <v>0.3</v>
      </c>
      <c r="K2962" s="726">
        <f>G2962/J2962</f>
        <v>123.37254901960783</v>
      </c>
    </row>
    <row r="2963" spans="1:12">
      <c r="A2963" s="722"/>
      <c r="B2963" s="723" t="s">
        <v>1035</v>
      </c>
      <c r="C2963" s="723"/>
      <c r="G2963" s="1096">
        <f>G188</f>
        <v>437.36</v>
      </c>
      <c r="H2963" s="1096" t="s">
        <v>1016</v>
      </c>
      <c r="I2963" s="1096"/>
      <c r="J2963" s="726">
        <v>0.3</v>
      </c>
      <c r="K2963" s="726">
        <f>G2963/J2963</f>
        <v>1457.8666666666668</v>
      </c>
    </row>
    <row r="2964" spans="1:12">
      <c r="A2964" s="722"/>
      <c r="B2964" s="723"/>
      <c r="C2964" s="723"/>
      <c r="G2964" s="1096">
        <v>52</v>
      </c>
      <c r="H2964" s="1096" t="s">
        <v>1016</v>
      </c>
      <c r="I2964" s="1096"/>
      <c r="J2964" s="726">
        <v>0.3</v>
      </c>
      <c r="K2964" s="726">
        <f>G2964/J2964</f>
        <v>173.33333333333334</v>
      </c>
    </row>
    <row r="2965" spans="1:12">
      <c r="A2965" s="722"/>
      <c r="B2965" s="723" t="s">
        <v>1031</v>
      </c>
      <c r="C2965" s="723"/>
      <c r="G2965" s="1096"/>
      <c r="H2965" s="1095"/>
      <c r="I2965" s="1096"/>
      <c r="J2965" s="827" t="s">
        <v>718</v>
      </c>
      <c r="K2965" s="1091">
        <f>SUM(K2957:K2964)</f>
        <v>10366.86254901961</v>
      </c>
      <c r="L2965" s="1087" t="s">
        <v>911</v>
      </c>
    </row>
    <row r="2966" spans="1:12" ht="109.5" customHeight="1">
      <c r="A2966" s="836">
        <f>A565</f>
        <v>82</v>
      </c>
      <c r="B2966" s="3399" t="str">
        <f>B565</f>
        <v>Providing fitting, fixing of partition walling OEL anodized Al. section of 9210 and 9207 as single groove and double groove respectively as horizontal and vertical member and OEL section 4660 as tapered clip for fixing of 12mm thick pre-laminated board and jointing angle no 1855 etc. including all cost of labour, T&amp;P, hire charges of drilling machine, labour charges etc. complete as per direction of Engineer-in-charge.</v>
      </c>
      <c r="C2966" s="3399"/>
      <c r="D2966" s="3399"/>
      <c r="E2966" s="1086" t="str">
        <f>G565</f>
        <v>Each Sqm</v>
      </c>
      <c r="F2966" s="1086"/>
      <c r="G2966" s="987"/>
      <c r="J2966" s="1091"/>
      <c r="K2966" s="1091"/>
    </row>
    <row r="2967" spans="1:12">
      <c r="A2967" s="722"/>
      <c r="B2967" s="723" t="s">
        <v>1036</v>
      </c>
      <c r="D2967" s="723">
        <v>24.39</v>
      </c>
      <c r="E2967" s="723" t="s">
        <v>95</v>
      </c>
      <c r="F2967" s="723"/>
      <c r="G2967" s="1096"/>
      <c r="H2967" s="1095"/>
      <c r="I2967" s="1096"/>
      <c r="J2967" s="827"/>
      <c r="K2967" s="1091"/>
    </row>
    <row r="2968" spans="1:12">
      <c r="A2968" s="722"/>
      <c r="B2968" s="723" t="s">
        <v>822</v>
      </c>
      <c r="C2968" s="723"/>
      <c r="G2968" s="1096"/>
      <c r="H2968" s="1095"/>
      <c r="I2968" s="1096"/>
      <c r="J2968" s="726"/>
      <c r="K2968" s="726"/>
    </row>
    <row r="2969" spans="1:12">
      <c r="A2969" s="722"/>
      <c r="B2969" s="723" t="s">
        <v>1037</v>
      </c>
      <c r="C2969" s="723"/>
      <c r="G2969" s="1096"/>
      <c r="H2969" s="1095"/>
      <c r="I2969" s="1096"/>
      <c r="J2969" s="726"/>
      <c r="K2969" s="726"/>
    </row>
    <row r="2970" spans="1:12">
      <c r="A2970" s="722"/>
      <c r="B2970" s="723" t="s">
        <v>1038</v>
      </c>
      <c r="C2970" s="723"/>
      <c r="E2970" s="986" t="s">
        <v>1039</v>
      </c>
      <c r="G2970" s="761">
        <v>11.97</v>
      </c>
      <c r="H2970" s="1095" t="s">
        <v>95</v>
      </c>
      <c r="I2970" s="1096"/>
      <c r="J2970" s="726"/>
      <c r="K2970" s="726"/>
    </row>
    <row r="2971" spans="1:12">
      <c r="A2971" s="722"/>
      <c r="B2971" s="723" t="s">
        <v>1040</v>
      </c>
      <c r="C2971" s="723"/>
      <c r="G2971" s="1096"/>
      <c r="H2971" s="1095"/>
      <c r="I2971" s="1096"/>
      <c r="J2971" s="726"/>
      <c r="K2971" s="726"/>
    </row>
    <row r="2972" spans="1:12">
      <c r="A2972" s="722"/>
      <c r="B2972" s="723" t="s">
        <v>1041</v>
      </c>
      <c r="C2972" s="723"/>
      <c r="E2972" s="986" t="s">
        <v>1039</v>
      </c>
      <c r="G2972" s="761">
        <v>6.21</v>
      </c>
      <c r="H2972" s="1095" t="s">
        <v>95</v>
      </c>
      <c r="I2972" s="1096"/>
      <c r="J2972" s="726"/>
      <c r="K2972" s="726"/>
    </row>
    <row r="2973" spans="1:12">
      <c r="A2973" s="722"/>
      <c r="B2973" s="723" t="s">
        <v>1042</v>
      </c>
      <c r="C2973" s="723"/>
      <c r="G2973" s="761">
        <v>5.9</v>
      </c>
      <c r="H2973" s="1095" t="s">
        <v>95</v>
      </c>
      <c r="I2973" s="1096"/>
      <c r="J2973" s="726"/>
      <c r="K2973" s="726"/>
    </row>
    <row r="2974" spans="1:12">
      <c r="A2974" s="722"/>
      <c r="B2974" s="723" t="s">
        <v>1043</v>
      </c>
      <c r="C2974" s="723"/>
      <c r="G2974" s="761">
        <v>0.31</v>
      </c>
      <c r="H2974" s="1095" t="s">
        <v>95</v>
      </c>
      <c r="I2974" s="1096"/>
      <c r="J2974" s="726"/>
      <c r="K2974" s="726"/>
    </row>
    <row r="2975" spans="1:12">
      <c r="A2975" s="722"/>
      <c r="B2975" s="723" t="s">
        <v>928</v>
      </c>
      <c r="C2975" s="723"/>
      <c r="G2975" s="761">
        <f>SUM(G2970:G2974)</f>
        <v>24.389999999999997</v>
      </c>
      <c r="H2975" s="1095" t="s">
        <v>95</v>
      </c>
      <c r="I2975" s="1096"/>
      <c r="J2975" s="726"/>
      <c r="K2975" s="726"/>
    </row>
    <row r="2976" spans="1:12">
      <c r="A2976" s="722"/>
      <c r="B2976" s="723" t="s">
        <v>1044</v>
      </c>
      <c r="C2976" s="723"/>
      <c r="G2976" s="761">
        <f>ROUND(G2975*5%,2)</f>
        <v>1.22</v>
      </c>
      <c r="H2976" s="1095" t="s">
        <v>95</v>
      </c>
      <c r="I2976" s="1096"/>
      <c r="J2976" s="726"/>
      <c r="K2976" s="726"/>
    </row>
    <row r="2977" spans="1:16">
      <c r="A2977" s="722"/>
      <c r="B2977" s="723"/>
      <c r="C2977" s="723"/>
      <c r="G2977" s="827">
        <f>SUM(G2975:G2976)</f>
        <v>25.609999999999996</v>
      </c>
      <c r="H2977" s="1118" t="s">
        <v>95</v>
      </c>
      <c r="I2977" s="1096"/>
      <c r="J2977" s="726"/>
      <c r="K2977" s="726"/>
    </row>
    <row r="2978" spans="1:16">
      <c r="A2978" s="722"/>
      <c r="B2978" s="722" t="s">
        <v>280</v>
      </c>
      <c r="C2978" s="723"/>
      <c r="G2978" s="987">
        <v>25.61</v>
      </c>
      <c r="H2978" s="1081" t="s">
        <v>95</v>
      </c>
      <c r="I2978" s="724" t="s">
        <v>95</v>
      </c>
      <c r="J2978" s="726">
        <f>G177</f>
        <v>297.97000000000003</v>
      </c>
      <c r="K2978" s="726">
        <f t="shared" ref="K2978:K2989" si="102">ROUND(G2978*J2978,2)</f>
        <v>7631.01</v>
      </c>
    </row>
    <row r="2979" spans="1:16">
      <c r="A2979" s="722"/>
      <c r="B2979" s="722" t="s">
        <v>1045</v>
      </c>
      <c r="C2979" s="723"/>
      <c r="G2979" s="987">
        <v>5.24</v>
      </c>
      <c r="H2979" s="1081" t="s">
        <v>92</v>
      </c>
      <c r="I2979" s="724" t="s">
        <v>92</v>
      </c>
      <c r="J2979" s="726">
        <f>G166</f>
        <v>710.82</v>
      </c>
      <c r="K2979" s="726">
        <f t="shared" si="102"/>
        <v>3724.7</v>
      </c>
    </row>
    <row r="2980" spans="1:16">
      <c r="A2980" s="722"/>
      <c r="B2980" s="722" t="s">
        <v>1046</v>
      </c>
      <c r="C2980" s="723"/>
      <c r="G2980" s="987">
        <v>34.94</v>
      </c>
      <c r="H2980" s="1081" t="s">
        <v>136</v>
      </c>
      <c r="I2980" s="724" t="s">
        <v>136</v>
      </c>
      <c r="J2980" s="726">
        <v>10</v>
      </c>
      <c r="K2980" s="726">
        <f t="shared" si="102"/>
        <v>349.4</v>
      </c>
    </row>
    <row r="2981" spans="1:16">
      <c r="B2981" s="722" t="s">
        <v>259</v>
      </c>
      <c r="G2981" s="1120">
        <v>40</v>
      </c>
      <c r="H2981" s="722" t="s">
        <v>262</v>
      </c>
      <c r="I2981" s="724" t="s">
        <v>37</v>
      </c>
      <c r="J2981" s="726">
        <f>G167</f>
        <v>7</v>
      </c>
      <c r="K2981" s="726">
        <f t="shared" si="102"/>
        <v>280</v>
      </c>
    </row>
    <row r="2982" spans="1:16">
      <c r="A2982" s="722"/>
      <c r="B2982" s="722" t="s">
        <v>261</v>
      </c>
      <c r="G2982" s="724">
        <v>10</v>
      </c>
      <c r="H2982" s="1095" t="s">
        <v>262</v>
      </c>
      <c r="I2982" s="1096" t="s">
        <v>262</v>
      </c>
      <c r="J2982" s="726">
        <f>G168</f>
        <v>2</v>
      </c>
      <c r="K2982" s="726">
        <f t="shared" si="102"/>
        <v>20</v>
      </c>
    </row>
    <row r="2983" spans="1:16">
      <c r="B2983" s="722" t="s">
        <v>264</v>
      </c>
      <c r="G2983" s="1120">
        <v>30</v>
      </c>
      <c r="H2983" s="1081" t="s">
        <v>262</v>
      </c>
      <c r="I2983" s="724" t="s">
        <v>37</v>
      </c>
      <c r="J2983" s="726">
        <f>G169</f>
        <v>0.875</v>
      </c>
      <c r="K2983" s="726">
        <f t="shared" si="102"/>
        <v>26.25</v>
      </c>
      <c r="L2983" s="1087"/>
      <c r="M2983" s="724"/>
      <c r="N2983" s="724"/>
      <c r="O2983" s="724"/>
      <c r="P2983" s="724"/>
    </row>
    <row r="2984" spans="1:16">
      <c r="A2984" s="722"/>
      <c r="B2984" s="722" t="s">
        <v>318</v>
      </c>
      <c r="C2984" s="723"/>
      <c r="G2984" s="1120">
        <v>2</v>
      </c>
      <c r="H2984" s="1081" t="s">
        <v>319</v>
      </c>
      <c r="I2984" s="724" t="s">
        <v>319</v>
      </c>
      <c r="J2984" s="726">
        <f>M196</f>
        <v>100</v>
      </c>
      <c r="K2984" s="726">
        <f t="shared" si="102"/>
        <v>200</v>
      </c>
    </row>
    <row r="2985" spans="1:16">
      <c r="A2985" s="722"/>
      <c r="B2985" s="723" t="s">
        <v>904</v>
      </c>
      <c r="C2985" s="723"/>
      <c r="G2985" s="987"/>
      <c r="H2985" s="1081"/>
      <c r="J2985" s="726"/>
      <c r="K2985" s="726"/>
    </row>
    <row r="2986" spans="1:16">
      <c r="A2986" s="722"/>
      <c r="B2986" s="722" t="s">
        <v>1047</v>
      </c>
      <c r="C2986" s="723"/>
      <c r="G2986" s="1096">
        <v>1.5</v>
      </c>
      <c r="H2986" s="1081" t="s">
        <v>262</v>
      </c>
      <c r="I2986" s="724" t="s">
        <v>38</v>
      </c>
      <c r="J2986" s="726">
        <f>L132</f>
        <v>284.3</v>
      </c>
      <c r="K2986" s="726">
        <f t="shared" si="102"/>
        <v>426.45</v>
      </c>
    </row>
    <row r="2987" spans="1:16">
      <c r="A2987" s="722"/>
      <c r="B2987" s="722" t="s">
        <v>1048</v>
      </c>
      <c r="C2987" s="723"/>
      <c r="G2987" s="1096">
        <v>1.5</v>
      </c>
      <c r="H2987" s="1081" t="s">
        <v>262</v>
      </c>
      <c r="I2987" s="724" t="s">
        <v>38</v>
      </c>
      <c r="J2987" s="726">
        <f>L131</f>
        <v>264.3</v>
      </c>
      <c r="K2987" s="726">
        <f t="shared" si="102"/>
        <v>396.45</v>
      </c>
    </row>
    <row r="2988" spans="1:16">
      <c r="A2988" s="722"/>
      <c r="B2988" s="722" t="s">
        <v>1049</v>
      </c>
      <c r="C2988" s="723"/>
      <c r="G2988" s="1096">
        <v>3.3</v>
      </c>
      <c r="H2988" s="1081" t="s">
        <v>262</v>
      </c>
      <c r="I2988" s="724" t="s">
        <v>38</v>
      </c>
      <c r="J2988" s="726">
        <f>L130</f>
        <v>244.3</v>
      </c>
      <c r="K2988" s="726">
        <f t="shared" si="102"/>
        <v>806.19</v>
      </c>
    </row>
    <row r="2989" spans="1:16">
      <c r="A2989" s="722"/>
      <c r="B2989" s="722" t="s">
        <v>717</v>
      </c>
      <c r="C2989" s="723"/>
      <c r="G2989" s="1096">
        <v>3.3</v>
      </c>
      <c r="H2989" s="1081" t="s">
        <v>262</v>
      </c>
      <c r="I2989" s="724" t="s">
        <v>38</v>
      </c>
      <c r="J2989" s="726">
        <f>L129</f>
        <v>182</v>
      </c>
      <c r="K2989" s="726">
        <f t="shared" si="102"/>
        <v>600.6</v>
      </c>
    </row>
    <row r="2990" spans="1:16">
      <c r="A2990" s="722"/>
      <c r="C2990" s="723"/>
      <c r="G2990" s="987"/>
      <c r="H2990" s="1081"/>
      <c r="J2990" s="726"/>
      <c r="K2990" s="726">
        <f>SUM(K2978:K2989)</f>
        <v>14461.050000000001</v>
      </c>
    </row>
    <row r="2991" spans="1:16">
      <c r="A2991" s="722"/>
      <c r="B2991" s="723"/>
      <c r="C2991" s="723"/>
      <c r="G2991" s="1096"/>
      <c r="H2991" s="1095"/>
      <c r="I2991" s="1096"/>
      <c r="J2991" s="726"/>
      <c r="K2991" s="726"/>
    </row>
    <row r="2992" spans="1:16">
      <c r="A2992" s="722"/>
      <c r="B2992" s="723" t="s">
        <v>1050</v>
      </c>
      <c r="C2992" s="723"/>
      <c r="G2992" s="1096"/>
      <c r="H2992" s="1095"/>
      <c r="I2992" s="1096"/>
      <c r="J2992" s="726"/>
      <c r="K2992" s="726">
        <f>K2990+K2991</f>
        <v>14461.050000000001</v>
      </c>
    </row>
    <row r="2993" spans="1:17">
      <c r="A2993" s="722"/>
      <c r="B2993" s="723" t="s">
        <v>1051</v>
      </c>
      <c r="C2993" s="723"/>
      <c r="G2993" s="1096"/>
      <c r="H2993" s="1095"/>
      <c r="I2993" s="1096"/>
      <c r="J2993" s="726"/>
      <c r="K2993" s="1091">
        <f>ROUND(K2992/4.76,2)</f>
        <v>3038.04</v>
      </c>
      <c r="L2993" s="1087" t="s">
        <v>730</v>
      </c>
      <c r="Q2993" s="1121" t="s">
        <v>1052</v>
      </c>
    </row>
    <row r="2994" spans="1:17">
      <c r="A2994" s="722"/>
      <c r="B2994" s="723" t="s">
        <v>1053</v>
      </c>
      <c r="C2994" s="723"/>
      <c r="G2994" s="1096"/>
      <c r="H2994" s="1095"/>
      <c r="I2994" s="1096"/>
      <c r="J2994" s="726"/>
      <c r="K2994" s="1091">
        <f>K2992/24.39</f>
        <v>592.90897908979093</v>
      </c>
      <c r="L2994" s="1087" t="s">
        <v>1054</v>
      </c>
      <c r="Q2994" s="1121" t="s">
        <v>1052</v>
      </c>
    </row>
    <row r="2995" spans="1:17" ht="109.5" customHeight="1">
      <c r="A2995" s="836">
        <f>A567</f>
        <v>83</v>
      </c>
      <c r="B2995" s="3399" t="str">
        <f>B567</f>
        <v>Providing fitting, fixing of partition walling OEL anodized Al. section of 9210 and 9207 as single groove and double groove respectively as horizontal and vertical member and OEL section 4660 as tapered clip for fixing of 12mm thick pre-laminated board and jointing angle no 1855 etc. including all cost of labour, T&amp;P, hire charges of drilling machine, labour charges etc. complete as per direction of Engineer-in-charge.</v>
      </c>
      <c r="C2995" s="3399"/>
      <c r="D2995" s="3399"/>
      <c r="E2995" s="1086" t="str">
        <f>G602</f>
        <v>Each No</v>
      </c>
      <c r="F2995" s="1086"/>
      <c r="G2995" s="987"/>
      <c r="J2995" s="1091"/>
      <c r="K2995" s="1091"/>
    </row>
    <row r="2996" spans="1:17">
      <c r="A2996" s="722"/>
      <c r="B2996" s="723" t="s">
        <v>1036</v>
      </c>
      <c r="D2996" s="723"/>
      <c r="E2996" s="723"/>
      <c r="F2996" s="723"/>
      <c r="G2996" s="1096"/>
      <c r="H2996" s="1095"/>
      <c r="I2996" s="1096"/>
      <c r="J2996" s="827"/>
      <c r="K2996" s="1091"/>
    </row>
    <row r="2997" spans="1:17">
      <c r="A2997" s="722"/>
      <c r="B2997" s="723" t="s">
        <v>822</v>
      </c>
      <c r="C2997" s="723"/>
      <c r="G2997" s="1096"/>
      <c r="H2997" s="1095"/>
      <c r="I2997" s="1096"/>
      <c r="J2997" s="726"/>
      <c r="K2997" s="726"/>
    </row>
    <row r="2998" spans="1:17">
      <c r="A2998" s="722"/>
      <c r="B2998" s="723" t="s">
        <v>1055</v>
      </c>
      <c r="C2998" s="723"/>
      <c r="E2998" s="986" t="s">
        <v>1039</v>
      </c>
      <c r="G2998" s="761">
        <v>12.03</v>
      </c>
      <c r="H2998" s="1095" t="s">
        <v>95</v>
      </c>
      <c r="I2998" s="1096"/>
      <c r="J2998" s="726"/>
      <c r="K2998" s="726"/>
    </row>
    <row r="2999" spans="1:17">
      <c r="A2999" s="722"/>
      <c r="B2999" s="723" t="s">
        <v>1056</v>
      </c>
      <c r="C2999" s="723"/>
      <c r="E2999" s="986" t="s">
        <v>1039</v>
      </c>
      <c r="G2999" s="761">
        <v>6.22</v>
      </c>
      <c r="H2999" s="1095" t="s">
        <v>95</v>
      </c>
      <c r="I2999" s="1096"/>
      <c r="J2999" s="726"/>
      <c r="K2999" s="726"/>
    </row>
    <row r="3000" spans="1:17">
      <c r="A3000" s="722"/>
      <c r="B3000" s="723" t="s">
        <v>1042</v>
      </c>
      <c r="C3000" s="723"/>
      <c r="G3000" s="761">
        <v>5.9</v>
      </c>
      <c r="H3000" s="1095" t="s">
        <v>95</v>
      </c>
      <c r="I3000" s="1096"/>
      <c r="J3000" s="726"/>
      <c r="K3000" s="726"/>
    </row>
    <row r="3001" spans="1:17">
      <c r="A3001" s="722"/>
      <c r="B3001" s="723" t="s">
        <v>1057</v>
      </c>
      <c r="C3001" s="723"/>
      <c r="G3001" s="1122">
        <v>2.5299999999999998</v>
      </c>
      <c r="H3001" s="1095" t="s">
        <v>95</v>
      </c>
      <c r="I3001" s="1096"/>
      <c r="J3001" s="726"/>
      <c r="K3001" s="726"/>
    </row>
    <row r="3002" spans="1:17">
      <c r="A3002" s="722"/>
      <c r="B3002" s="723" t="s">
        <v>928</v>
      </c>
      <c r="C3002" s="723"/>
      <c r="G3002" s="761">
        <f>SUM(G2998:G3001)</f>
        <v>26.68</v>
      </c>
      <c r="H3002" s="1095" t="s">
        <v>95</v>
      </c>
      <c r="I3002" s="1096"/>
      <c r="J3002" s="726"/>
      <c r="K3002" s="726"/>
    </row>
    <row r="3003" spans="1:17">
      <c r="A3003" s="722"/>
      <c r="B3003" s="723"/>
      <c r="C3003" s="723"/>
      <c r="G3003" s="1122"/>
      <c r="H3003" s="1095"/>
      <c r="I3003" s="1096"/>
      <c r="J3003" s="726"/>
      <c r="K3003" s="726"/>
    </row>
    <row r="3004" spans="1:17">
      <c r="A3004" s="722"/>
      <c r="B3004" s="723" t="s">
        <v>1058</v>
      </c>
      <c r="C3004" s="723"/>
      <c r="G3004" s="827">
        <f>SUM(G3002:G3003)</f>
        <v>26.68</v>
      </c>
      <c r="H3004" s="1118" t="s">
        <v>95</v>
      </c>
      <c r="I3004" s="1096"/>
      <c r="J3004" s="726"/>
      <c r="K3004" s="726"/>
    </row>
    <row r="3005" spans="1:17">
      <c r="A3005" s="722"/>
      <c r="B3005" s="722" t="s">
        <v>280</v>
      </c>
      <c r="C3005" s="723"/>
      <c r="G3005" s="987">
        <f>G3004</f>
        <v>26.68</v>
      </c>
      <c r="H3005" s="1081" t="s">
        <v>95</v>
      </c>
      <c r="I3005" s="724" t="s">
        <v>95</v>
      </c>
      <c r="J3005" s="726">
        <f>G177</f>
        <v>297.97000000000003</v>
      </c>
      <c r="K3005" s="726">
        <f t="shared" ref="K3005:K3011" si="103">G3005*J3005</f>
        <v>7949.8396000000002</v>
      </c>
    </row>
    <row r="3006" spans="1:17">
      <c r="A3006" s="722"/>
      <c r="B3006" s="722" t="s">
        <v>1045</v>
      </c>
      <c r="C3006" s="723"/>
      <c r="G3006" s="987">
        <v>5.24</v>
      </c>
      <c r="H3006" s="1081" t="s">
        <v>92</v>
      </c>
      <c r="I3006" s="724" t="s">
        <v>92</v>
      </c>
      <c r="J3006" s="726">
        <f>G166</f>
        <v>710.82</v>
      </c>
      <c r="K3006" s="726">
        <f t="shared" si="103"/>
        <v>3724.6968000000006</v>
      </c>
    </row>
    <row r="3007" spans="1:17">
      <c r="A3007" s="722"/>
      <c r="B3007" s="722" t="s">
        <v>1059</v>
      </c>
      <c r="C3007" s="723"/>
      <c r="G3007" s="987">
        <v>34.94</v>
      </c>
      <c r="H3007" s="1081" t="s">
        <v>136</v>
      </c>
      <c r="I3007" s="724" t="s">
        <v>136</v>
      </c>
      <c r="J3007" s="726">
        <f>J2980</f>
        <v>10</v>
      </c>
      <c r="K3007" s="726">
        <f t="shared" si="103"/>
        <v>349.4</v>
      </c>
    </row>
    <row r="3008" spans="1:17">
      <c r="B3008" s="722" t="s">
        <v>259</v>
      </c>
      <c r="G3008" s="1120">
        <v>10</v>
      </c>
      <c r="H3008" s="722" t="s">
        <v>262</v>
      </c>
      <c r="I3008" s="724" t="s">
        <v>37</v>
      </c>
      <c r="J3008" s="726">
        <f>J2981</f>
        <v>7</v>
      </c>
      <c r="K3008" s="726">
        <f t="shared" si="103"/>
        <v>70</v>
      </c>
    </row>
    <row r="3009" spans="1:16">
      <c r="A3009" s="722"/>
      <c r="B3009" s="722" t="s">
        <v>261</v>
      </c>
      <c r="G3009" s="724">
        <v>10</v>
      </c>
      <c r="H3009" s="1095" t="s">
        <v>262</v>
      </c>
      <c r="I3009" s="1096" t="s">
        <v>262</v>
      </c>
      <c r="J3009" s="726">
        <f>G168</f>
        <v>2</v>
      </c>
      <c r="K3009" s="726">
        <f t="shared" si="103"/>
        <v>20</v>
      </c>
    </row>
    <row r="3010" spans="1:16">
      <c r="B3010" s="722" t="s">
        <v>264</v>
      </c>
      <c r="G3010" s="1120">
        <v>15</v>
      </c>
      <c r="H3010" s="1081" t="s">
        <v>262</v>
      </c>
      <c r="I3010" s="724" t="s">
        <v>37</v>
      </c>
      <c r="J3010" s="726">
        <f>G169</f>
        <v>0.875</v>
      </c>
      <c r="K3010" s="726">
        <f t="shared" si="103"/>
        <v>13.125</v>
      </c>
      <c r="L3010" s="1087"/>
      <c r="M3010" s="724"/>
      <c r="N3010" s="724"/>
      <c r="O3010" s="724"/>
      <c r="P3010" s="724"/>
    </row>
    <row r="3011" spans="1:16">
      <c r="A3011" s="722"/>
      <c r="B3011" s="722" t="s">
        <v>318</v>
      </c>
      <c r="C3011" s="723"/>
      <c r="G3011" s="1120">
        <v>2</v>
      </c>
      <c r="H3011" s="1081" t="s">
        <v>319</v>
      </c>
      <c r="I3011" s="724" t="s">
        <v>319</v>
      </c>
      <c r="J3011" s="726">
        <f>M196</f>
        <v>100</v>
      </c>
      <c r="K3011" s="726">
        <f t="shared" si="103"/>
        <v>200</v>
      </c>
    </row>
    <row r="3012" spans="1:16">
      <c r="A3012" s="722"/>
      <c r="C3012" s="723"/>
      <c r="G3012" s="1120"/>
      <c r="H3012" s="1081"/>
      <c r="J3012" s="827" t="s">
        <v>1060</v>
      </c>
      <c r="K3012" s="1091">
        <f>SUM(K3005:K3011)</f>
        <v>12327.061400000001</v>
      </c>
    </row>
    <row r="3013" spans="1:16">
      <c r="A3013" s="722"/>
      <c r="B3013" s="723" t="s">
        <v>904</v>
      </c>
      <c r="C3013" s="723"/>
      <c r="G3013" s="987"/>
      <c r="H3013" s="1081"/>
      <c r="J3013" s="726"/>
      <c r="K3013" s="726"/>
    </row>
    <row r="3014" spans="1:16">
      <c r="A3014" s="722"/>
      <c r="B3014" s="722" t="s">
        <v>1047</v>
      </c>
      <c r="C3014" s="723"/>
      <c r="G3014" s="1096">
        <v>17</v>
      </c>
      <c r="H3014" s="1081" t="s">
        <v>262</v>
      </c>
      <c r="I3014" s="724" t="s">
        <v>38</v>
      </c>
      <c r="J3014" s="726">
        <f>L132</f>
        <v>284.3</v>
      </c>
      <c r="K3014" s="726">
        <f>G3014*J3014</f>
        <v>4833.1000000000004</v>
      </c>
    </row>
    <row r="3015" spans="1:16">
      <c r="A3015" s="722"/>
      <c r="B3015" s="722" t="s">
        <v>717</v>
      </c>
      <c r="C3015" s="723"/>
      <c r="G3015" s="1096">
        <v>17</v>
      </c>
      <c r="H3015" s="1081" t="s">
        <v>262</v>
      </c>
      <c r="I3015" s="724" t="s">
        <v>38</v>
      </c>
      <c r="J3015" s="726">
        <f>L129</f>
        <v>182</v>
      </c>
      <c r="K3015" s="726">
        <f>G3015*J3015</f>
        <v>3094</v>
      </c>
    </row>
    <row r="3016" spans="1:16">
      <c r="A3016" s="722"/>
      <c r="C3016" s="723"/>
      <c r="G3016" s="1096"/>
      <c r="H3016" s="1081"/>
      <c r="J3016" s="1096" t="s">
        <v>1061</v>
      </c>
      <c r="K3016" s="726">
        <f>SUM(K3014:K3015)</f>
        <v>7927.1</v>
      </c>
    </row>
    <row r="3017" spans="1:16">
      <c r="A3017" s="722"/>
      <c r="C3017" s="723"/>
      <c r="G3017" s="987"/>
      <c r="H3017" s="1081"/>
      <c r="J3017" s="726"/>
      <c r="K3017" s="1091">
        <f>K3012+K3016</f>
        <v>20254.161400000001</v>
      </c>
    </row>
    <row r="3018" spans="1:16">
      <c r="A3018" s="722"/>
      <c r="B3018" s="723"/>
      <c r="C3018" s="723"/>
      <c r="G3018" s="1096"/>
      <c r="H3018" s="1095"/>
      <c r="I3018" s="1096"/>
      <c r="J3018" s="726"/>
      <c r="K3018" s="1091"/>
    </row>
    <row r="3019" spans="1:16">
      <c r="A3019" s="722"/>
      <c r="B3019" s="723" t="s">
        <v>1062</v>
      </c>
      <c r="C3019" s="723"/>
      <c r="G3019" s="1096"/>
      <c r="H3019" s="1095"/>
      <c r="I3019" s="1096"/>
      <c r="J3019" s="726"/>
      <c r="K3019" s="1091">
        <f>K3017+K3018</f>
        <v>20254.161400000001</v>
      </c>
    </row>
    <row r="3020" spans="1:16">
      <c r="A3020" s="722"/>
      <c r="B3020" s="723" t="s">
        <v>1063</v>
      </c>
      <c r="C3020" s="723"/>
      <c r="G3020" s="1096"/>
      <c r="H3020" s="1095"/>
      <c r="I3020" s="1096"/>
      <c r="J3020" s="726"/>
      <c r="K3020" s="1091">
        <f>K3019/4.76</f>
        <v>4255.0759243697485</v>
      </c>
      <c r="L3020" s="1087" t="s">
        <v>730</v>
      </c>
    </row>
    <row r="3021" spans="1:16" ht="132.75" customHeight="1">
      <c r="A3021" s="836">
        <f>A568</f>
        <v>84</v>
      </c>
      <c r="B3021" s="3399" t="str">
        <f>B568</f>
        <v>Providing fitting, fixing of Aluminium Door with OEL anodized Al. door section of 9202 as vertical member, 9200 as top  and   bottom  member.  9232 as middle member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3021" s="3399"/>
      <c r="D3021" s="3399"/>
      <c r="E3021" s="1086" t="str">
        <f>G568</f>
        <v>Each Sqm</v>
      </c>
      <c r="F3021" s="1086"/>
      <c r="G3021" s="987"/>
      <c r="J3021" s="1091"/>
      <c r="K3021" s="1091"/>
    </row>
    <row r="3022" spans="1:16">
      <c r="A3022" s="722"/>
      <c r="B3022" s="723" t="s">
        <v>1064</v>
      </c>
      <c r="C3022" s="723"/>
      <c r="D3022" s="726">
        <f>G3029</f>
        <v>27.133010000000002</v>
      </c>
      <c r="E3022" s="986" t="s">
        <v>95</v>
      </c>
      <c r="G3022" s="1096"/>
      <c r="H3022" s="1095"/>
      <c r="I3022" s="1096"/>
      <c r="J3022" s="827"/>
      <c r="K3022" s="1091"/>
    </row>
    <row r="3023" spans="1:16">
      <c r="A3023" s="722"/>
      <c r="B3023" s="722" t="s">
        <v>1065</v>
      </c>
      <c r="C3023" s="723"/>
      <c r="G3023" s="1096">
        <f>4.06*1.201</f>
        <v>4.8760599999999998</v>
      </c>
      <c r="H3023" s="1095" t="s">
        <v>95</v>
      </c>
      <c r="I3023" s="1096"/>
      <c r="J3023" s="827"/>
      <c r="K3023" s="1091"/>
    </row>
    <row r="3024" spans="1:16">
      <c r="A3024" s="722"/>
      <c r="B3024" s="722" t="s">
        <v>1066</v>
      </c>
      <c r="C3024" s="723"/>
      <c r="G3024" s="1096">
        <f>2.14*1.97</f>
        <v>4.2157999999999998</v>
      </c>
      <c r="H3024" s="1095" t="s">
        <v>95</v>
      </c>
      <c r="I3024" s="1096"/>
      <c r="J3024" s="827"/>
      <c r="K3024" s="1091"/>
    </row>
    <row r="3025" spans="1:11">
      <c r="A3025" s="722"/>
      <c r="B3025" s="722" t="s">
        <v>1067</v>
      </c>
      <c r="C3025" s="723"/>
      <c r="G3025" s="1096">
        <f>2.13*1.298</f>
        <v>2.7647399999999998</v>
      </c>
      <c r="H3025" s="1095" t="s">
        <v>95</v>
      </c>
      <c r="I3025" s="1096"/>
      <c r="J3025" s="827"/>
      <c r="K3025" s="1091"/>
    </row>
    <row r="3026" spans="1:11">
      <c r="A3026" s="722"/>
      <c r="B3026" s="722" t="s">
        <v>1068</v>
      </c>
      <c r="C3026" s="723"/>
      <c r="G3026" s="1096">
        <f>16.65*0.169</f>
        <v>2.81385</v>
      </c>
      <c r="H3026" s="1095" t="s">
        <v>95</v>
      </c>
      <c r="I3026" s="1096"/>
      <c r="J3026" s="827"/>
      <c r="K3026" s="1091"/>
    </row>
    <row r="3027" spans="1:11">
      <c r="A3027" s="722"/>
      <c r="B3027" s="722" t="s">
        <v>1069</v>
      </c>
      <c r="C3027" s="723"/>
      <c r="G3027" s="1096">
        <f>0.42*0.518</f>
        <v>0.21756</v>
      </c>
      <c r="H3027" s="1095" t="s">
        <v>95</v>
      </c>
      <c r="I3027" s="1096"/>
      <c r="J3027" s="827"/>
      <c r="K3027" s="1091"/>
    </row>
    <row r="3028" spans="1:11">
      <c r="A3028" s="722"/>
      <c r="B3028" s="722" t="s">
        <v>1070</v>
      </c>
      <c r="C3028" s="723"/>
      <c r="G3028" s="1123">
        <f>6.2*1.975</f>
        <v>12.245000000000001</v>
      </c>
      <c r="H3028" s="1095" t="s">
        <v>95</v>
      </c>
      <c r="I3028" s="1096"/>
      <c r="J3028" s="827"/>
      <c r="K3028" s="1091"/>
    </row>
    <row r="3029" spans="1:11">
      <c r="A3029" s="722"/>
      <c r="C3029" s="723"/>
      <c r="G3029" s="1096">
        <f>SUM(G3023:G3028)</f>
        <v>27.133010000000002</v>
      </c>
      <c r="H3029" s="1095" t="s">
        <v>95</v>
      </c>
      <c r="I3029" s="1096"/>
      <c r="J3029" s="827"/>
      <c r="K3029" s="1091"/>
    </row>
    <row r="3030" spans="1:11">
      <c r="A3030" s="722"/>
      <c r="C3030" s="723" t="s">
        <v>1071</v>
      </c>
      <c r="G3030" s="1123">
        <f>G3029*5%</f>
        <v>1.3566505000000002</v>
      </c>
      <c r="H3030" s="1095" t="s">
        <v>95</v>
      </c>
      <c r="I3030" s="1096"/>
      <c r="J3030" s="827"/>
      <c r="K3030" s="1091"/>
    </row>
    <row r="3031" spans="1:11">
      <c r="A3031" s="722"/>
      <c r="C3031" s="723"/>
      <c r="G3031" s="827">
        <f>SUM(G3029:G3030)</f>
        <v>28.489660500000003</v>
      </c>
      <c r="H3031" s="1118" t="s">
        <v>95</v>
      </c>
      <c r="I3031" s="1096"/>
      <c r="J3031" s="827"/>
      <c r="K3031" s="1091"/>
    </row>
    <row r="3032" spans="1:11">
      <c r="A3032" s="722"/>
      <c r="B3032" s="723" t="s">
        <v>1072</v>
      </c>
      <c r="C3032" s="723"/>
      <c r="G3032" s="1096"/>
      <c r="H3032" s="1095"/>
      <c r="I3032" s="1096"/>
      <c r="J3032" s="726"/>
      <c r="K3032" s="726"/>
    </row>
    <row r="3033" spans="1:11">
      <c r="A3033" s="722"/>
      <c r="B3033" s="722" t="s">
        <v>280</v>
      </c>
      <c r="C3033" s="723"/>
      <c r="G3033" s="987">
        <v>28.49</v>
      </c>
      <c r="H3033" s="1081" t="s">
        <v>95</v>
      </c>
      <c r="I3033" s="724" t="s">
        <v>95</v>
      </c>
      <c r="J3033" s="726">
        <f>G177</f>
        <v>297.97000000000003</v>
      </c>
      <c r="K3033" s="726">
        <f t="shared" ref="K3033:K3041" si="104">ROUND(G3033*J3033,2)</f>
        <v>8489.17</v>
      </c>
    </row>
    <row r="3034" spans="1:11">
      <c r="A3034" s="722"/>
      <c r="B3034" s="722" t="s">
        <v>257</v>
      </c>
      <c r="C3034" s="723"/>
      <c r="G3034" s="987">
        <v>2.38</v>
      </c>
      <c r="H3034" s="1081" t="s">
        <v>92</v>
      </c>
      <c r="I3034" s="724" t="s">
        <v>92</v>
      </c>
      <c r="J3034" s="726">
        <f>G166</f>
        <v>710.82</v>
      </c>
      <c r="K3034" s="726">
        <f t="shared" si="104"/>
        <v>1691.75</v>
      </c>
    </row>
    <row r="3035" spans="1:11">
      <c r="A3035" s="722"/>
      <c r="B3035" s="722" t="s">
        <v>266</v>
      </c>
      <c r="C3035" s="723"/>
      <c r="G3035" s="987">
        <v>4</v>
      </c>
      <c r="H3035" s="1081" t="s">
        <v>37</v>
      </c>
      <c r="I3035" s="724" t="s">
        <v>37</v>
      </c>
      <c r="J3035" s="726">
        <f>G170</f>
        <v>39</v>
      </c>
      <c r="K3035" s="726">
        <f t="shared" si="104"/>
        <v>156</v>
      </c>
    </row>
    <row r="3036" spans="1:11">
      <c r="A3036" s="722"/>
      <c r="B3036" s="722" t="s">
        <v>268</v>
      </c>
      <c r="C3036" s="723"/>
      <c r="G3036" s="987">
        <v>18.29</v>
      </c>
      <c r="H3036" s="1081" t="s">
        <v>136</v>
      </c>
      <c r="I3036" s="724" t="s">
        <v>136</v>
      </c>
      <c r="J3036" s="1112">
        <v>15</v>
      </c>
      <c r="K3036" s="726">
        <f t="shared" si="104"/>
        <v>274.35000000000002</v>
      </c>
    </row>
    <row r="3037" spans="1:11">
      <c r="A3037" s="722"/>
      <c r="B3037" s="722" t="s">
        <v>270</v>
      </c>
      <c r="C3037" s="723"/>
      <c r="G3037" s="987">
        <v>1</v>
      </c>
      <c r="H3037" s="1081" t="s">
        <v>262</v>
      </c>
      <c r="I3037" s="724" t="s">
        <v>38</v>
      </c>
      <c r="J3037" s="726">
        <f>G172</f>
        <v>25</v>
      </c>
      <c r="K3037" s="726">
        <f t="shared" si="104"/>
        <v>25</v>
      </c>
    </row>
    <row r="3038" spans="1:11">
      <c r="A3038" s="722"/>
      <c r="B3038" s="722" t="s">
        <v>272</v>
      </c>
      <c r="C3038" s="723"/>
      <c r="G3038" s="987">
        <v>2</v>
      </c>
      <c r="H3038" s="1081" t="s">
        <v>262</v>
      </c>
      <c r="I3038" s="724" t="s">
        <v>38</v>
      </c>
      <c r="J3038" s="726">
        <f>G173</f>
        <v>62.5</v>
      </c>
      <c r="K3038" s="726">
        <f t="shared" si="104"/>
        <v>125</v>
      </c>
    </row>
    <row r="3039" spans="1:11">
      <c r="A3039" s="722"/>
      <c r="B3039" s="722" t="s">
        <v>274</v>
      </c>
      <c r="C3039" s="723"/>
      <c r="G3039" s="987">
        <v>1</v>
      </c>
      <c r="H3039" s="1081" t="s">
        <v>262</v>
      </c>
      <c r="I3039" s="724" t="s">
        <v>38</v>
      </c>
      <c r="J3039" s="726">
        <f>G174</f>
        <v>400</v>
      </c>
      <c r="K3039" s="726">
        <f t="shared" si="104"/>
        <v>400</v>
      </c>
    </row>
    <row r="3040" spans="1:11">
      <c r="A3040" s="722"/>
      <c r="B3040" s="722" t="s">
        <v>276</v>
      </c>
      <c r="C3040" s="723"/>
      <c r="G3040" s="987">
        <v>1</v>
      </c>
      <c r="H3040" s="1081" t="s">
        <v>262</v>
      </c>
      <c r="I3040" s="724" t="s">
        <v>38</v>
      </c>
      <c r="J3040" s="726">
        <f>G175</f>
        <v>600</v>
      </c>
      <c r="K3040" s="726">
        <f t="shared" si="104"/>
        <v>600</v>
      </c>
    </row>
    <row r="3041" spans="1:12">
      <c r="A3041" s="722"/>
      <c r="B3041" s="722" t="s">
        <v>318</v>
      </c>
      <c r="C3041" s="723"/>
      <c r="G3041" s="987">
        <v>1.5</v>
      </c>
      <c r="H3041" s="1081" t="s">
        <v>319</v>
      </c>
      <c r="I3041" s="724" t="s">
        <v>319</v>
      </c>
      <c r="J3041" s="726">
        <f>M196</f>
        <v>100</v>
      </c>
      <c r="K3041" s="726">
        <f t="shared" si="104"/>
        <v>150</v>
      </c>
    </row>
    <row r="3042" spans="1:12">
      <c r="A3042" s="722"/>
      <c r="B3042" s="722" t="s">
        <v>1073</v>
      </c>
      <c r="C3042" s="723"/>
      <c r="G3042" s="987"/>
      <c r="H3042" s="1081"/>
      <c r="J3042" s="1096" t="s">
        <v>1074</v>
      </c>
      <c r="K3042" s="726">
        <v>50</v>
      </c>
    </row>
    <row r="3043" spans="1:12">
      <c r="A3043" s="722"/>
      <c r="B3043" s="723" t="s">
        <v>904</v>
      </c>
      <c r="C3043" s="723"/>
      <c r="G3043" s="987"/>
      <c r="H3043" s="1081"/>
      <c r="J3043" s="726"/>
      <c r="K3043" s="726"/>
    </row>
    <row r="3044" spans="1:12">
      <c r="A3044" s="722"/>
      <c r="B3044" s="722" t="s">
        <v>1047</v>
      </c>
      <c r="C3044" s="723"/>
      <c r="G3044" s="987">
        <v>0.42</v>
      </c>
      <c r="H3044" s="1081" t="s">
        <v>262</v>
      </c>
      <c r="I3044" s="724" t="s">
        <v>38</v>
      </c>
      <c r="J3044" s="726">
        <f>L132</f>
        <v>284.3</v>
      </c>
      <c r="K3044" s="726">
        <f>ROUND(G3044*J3044,2)</f>
        <v>119.41</v>
      </c>
    </row>
    <row r="3045" spans="1:12">
      <c r="A3045" s="722"/>
      <c r="B3045" s="722" t="s">
        <v>1048</v>
      </c>
      <c r="C3045" s="723"/>
      <c r="G3045" s="987">
        <v>1.68</v>
      </c>
      <c r="H3045" s="1081" t="s">
        <v>262</v>
      </c>
      <c r="I3045" s="724" t="s">
        <v>38</v>
      </c>
      <c r="J3045" s="726">
        <f>L131</f>
        <v>264.3</v>
      </c>
      <c r="K3045" s="726">
        <f>ROUND(G3045*J3045,2)</f>
        <v>444.02</v>
      </c>
    </row>
    <row r="3046" spans="1:12">
      <c r="A3046" s="722"/>
      <c r="B3046" s="722" t="s">
        <v>1049</v>
      </c>
      <c r="C3046" s="723"/>
      <c r="G3046" s="987">
        <v>2.2999999999999998</v>
      </c>
      <c r="H3046" s="1081" t="s">
        <v>262</v>
      </c>
      <c r="I3046" s="724" t="s">
        <v>38</v>
      </c>
      <c r="J3046" s="726">
        <f>L130</f>
        <v>244.3</v>
      </c>
      <c r="K3046" s="726">
        <f>ROUND(G3046*J3046,2)</f>
        <v>561.89</v>
      </c>
    </row>
    <row r="3047" spans="1:12">
      <c r="A3047" s="722"/>
      <c r="B3047" s="722" t="s">
        <v>717</v>
      </c>
      <c r="C3047" s="723"/>
      <c r="G3047" s="987">
        <v>3</v>
      </c>
      <c r="H3047" s="1081" t="s">
        <v>262</v>
      </c>
      <c r="I3047" s="724" t="s">
        <v>38</v>
      </c>
      <c r="J3047" s="726">
        <f>L129</f>
        <v>182</v>
      </c>
      <c r="K3047" s="726">
        <f>ROUND(G3047*J3047,2)</f>
        <v>546</v>
      </c>
    </row>
    <row r="3048" spans="1:12">
      <c r="A3048" s="722"/>
      <c r="C3048" s="723"/>
      <c r="G3048" s="987"/>
      <c r="H3048" s="1081"/>
      <c r="J3048" s="726"/>
      <c r="K3048" s="726">
        <f>SUM(K3033:K3047)</f>
        <v>13632.59</v>
      </c>
    </row>
    <row r="3049" spans="1:12">
      <c r="A3049" s="722"/>
      <c r="B3049" s="723"/>
      <c r="C3049" s="723"/>
      <c r="G3049" s="1096"/>
      <c r="H3049" s="1095"/>
      <c r="I3049" s="1096"/>
      <c r="J3049" s="726"/>
      <c r="K3049" s="726"/>
    </row>
    <row r="3050" spans="1:12">
      <c r="A3050" s="722"/>
      <c r="B3050" s="723" t="s">
        <v>1075</v>
      </c>
      <c r="C3050" s="723"/>
      <c r="G3050" s="1096"/>
      <c r="H3050" s="1095"/>
      <c r="I3050" s="1096"/>
      <c r="J3050" s="726"/>
      <c r="K3050" s="726">
        <f>K3048+K3049</f>
        <v>13632.59</v>
      </c>
    </row>
    <row r="3051" spans="1:12">
      <c r="A3051" s="722"/>
      <c r="B3051" s="723" t="s">
        <v>1076</v>
      </c>
      <c r="C3051" s="723"/>
      <c r="G3051" s="1096"/>
      <c r="H3051" s="1095"/>
      <c r="I3051" s="1096"/>
      <c r="J3051" s="726"/>
      <c r="K3051" s="1091">
        <f>ROUND(K3050/2.16,2)</f>
        <v>6311.38</v>
      </c>
      <c r="L3051" s="1087" t="s">
        <v>730</v>
      </c>
    </row>
    <row r="3052" spans="1:12">
      <c r="A3052" s="722"/>
      <c r="B3052" s="723" t="s">
        <v>1077</v>
      </c>
      <c r="C3052" s="723"/>
      <c r="G3052" s="1096"/>
      <c r="H3052" s="1095"/>
      <c r="I3052" s="1096"/>
      <c r="J3052" s="726"/>
      <c r="K3052" s="1091">
        <f>K3050/27.13</f>
        <v>502.49133800221159</v>
      </c>
      <c r="L3052" s="1087" t="s">
        <v>1054</v>
      </c>
    </row>
    <row r="3053" spans="1:12" ht="146.25" customHeight="1">
      <c r="A3053" s="836">
        <f>A570</f>
        <v>85</v>
      </c>
      <c r="B3053" s="3399" t="str">
        <f>B570</f>
        <v>Providing fitting, fixing of Aluminium Door with OEL anodized Al. door section of 9202 as vertical member, 9201 as top  and 9200 as bottom  and middle member and 6mm black glass in top portion with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3053" s="3386"/>
      <c r="D3053" s="3386"/>
      <c r="E3053" s="1086" t="str">
        <f>G570</f>
        <v>Each Sqm</v>
      </c>
      <c r="F3053" s="1086"/>
      <c r="G3053" s="987"/>
      <c r="J3053" s="1091"/>
      <c r="K3053" s="1091"/>
    </row>
    <row r="3054" spans="1:12">
      <c r="A3054" s="722"/>
      <c r="B3054" s="830" t="s">
        <v>1078</v>
      </c>
      <c r="C3054" s="768"/>
      <c r="D3054" s="1073">
        <f>G3061</f>
        <v>23.764960000000002</v>
      </c>
      <c r="E3054" s="768" t="s">
        <v>95</v>
      </c>
      <c r="F3054" s="768"/>
      <c r="G3054" s="1096"/>
      <c r="H3054" s="1095"/>
      <c r="I3054" s="1096"/>
      <c r="J3054" s="827"/>
      <c r="K3054" s="1091"/>
    </row>
    <row r="3055" spans="1:12">
      <c r="A3055" s="722"/>
      <c r="B3055" s="722" t="s">
        <v>1079</v>
      </c>
      <c r="C3055" s="723"/>
      <c r="G3055" s="1096">
        <f>3.96*1.201</f>
        <v>4.75596</v>
      </c>
      <c r="H3055" s="1095" t="s">
        <v>95</v>
      </c>
      <c r="I3055" s="1096"/>
      <c r="J3055" s="827"/>
      <c r="K3055" s="1091"/>
    </row>
    <row r="3056" spans="1:12">
      <c r="A3056" s="722"/>
      <c r="B3056" s="722" t="s">
        <v>1080</v>
      </c>
      <c r="C3056" s="723"/>
      <c r="G3056" s="1096">
        <f>1.82*1.974</f>
        <v>3.5926800000000001</v>
      </c>
      <c r="H3056" s="1095" t="s">
        <v>95</v>
      </c>
      <c r="I3056" s="1096"/>
      <c r="J3056" s="827"/>
      <c r="K3056" s="1091"/>
    </row>
    <row r="3057" spans="1:11">
      <c r="A3057" s="722"/>
      <c r="B3057" s="722" t="s">
        <v>1081</v>
      </c>
      <c r="C3057" s="723"/>
      <c r="G3057" s="1096">
        <f>0.9*1.298</f>
        <v>1.1682000000000001</v>
      </c>
      <c r="H3057" s="1095" t="s">
        <v>95</v>
      </c>
      <c r="I3057" s="1096"/>
      <c r="J3057" s="827"/>
      <c r="K3057" s="1091"/>
    </row>
    <row r="3058" spans="1:11">
      <c r="A3058" s="722"/>
      <c r="B3058" s="722" t="s">
        <v>1082</v>
      </c>
      <c r="C3058" s="723"/>
      <c r="G3058" s="1096">
        <f>15.24*0.169</f>
        <v>2.5755600000000003</v>
      </c>
      <c r="H3058" s="1095" t="s">
        <v>95</v>
      </c>
      <c r="I3058" s="1096"/>
      <c r="J3058" s="827"/>
      <c r="K3058" s="1091"/>
    </row>
    <row r="3059" spans="1:11">
      <c r="A3059" s="722"/>
      <c r="B3059" s="722" t="s">
        <v>1069</v>
      </c>
      <c r="C3059" s="723"/>
      <c r="G3059" s="1096">
        <f>0.42*0.518</f>
        <v>0.21756</v>
      </c>
      <c r="H3059" s="1095" t="s">
        <v>95</v>
      </c>
      <c r="I3059" s="1096"/>
      <c r="J3059" s="827"/>
      <c r="K3059" s="1091"/>
    </row>
    <row r="3060" spans="1:11">
      <c r="A3060" s="722"/>
      <c r="B3060" s="722" t="s">
        <v>1083</v>
      </c>
      <c r="C3060" s="723"/>
      <c r="G3060" s="1123">
        <f>5.8*1.975</f>
        <v>11.455</v>
      </c>
      <c r="H3060" s="1095" t="s">
        <v>95</v>
      </c>
      <c r="I3060" s="1096"/>
      <c r="J3060" s="827"/>
      <c r="K3060" s="1091"/>
    </row>
    <row r="3061" spans="1:11">
      <c r="A3061" s="722"/>
      <c r="C3061" s="723"/>
      <c r="G3061" s="1096">
        <f>SUM(G3055:G3060)</f>
        <v>23.764960000000002</v>
      </c>
      <c r="H3061" s="1095" t="s">
        <v>95</v>
      </c>
      <c r="I3061" s="1096"/>
      <c r="J3061" s="827"/>
      <c r="K3061" s="1091"/>
    </row>
    <row r="3062" spans="1:11">
      <c r="A3062" s="722"/>
      <c r="C3062" s="723" t="s">
        <v>1071</v>
      </c>
      <c r="G3062" s="1123">
        <f>G3061*5%</f>
        <v>1.1882480000000002</v>
      </c>
      <c r="H3062" s="1095" t="s">
        <v>95</v>
      </c>
      <c r="I3062" s="1096"/>
      <c r="J3062" s="827"/>
      <c r="K3062" s="1091"/>
    </row>
    <row r="3063" spans="1:11">
      <c r="A3063" s="722"/>
      <c r="C3063" s="723"/>
      <c r="G3063" s="827">
        <f>SUM(G3061:G3062)</f>
        <v>24.953208000000004</v>
      </c>
      <c r="H3063" s="1118" t="s">
        <v>95</v>
      </c>
      <c r="I3063" s="1096"/>
      <c r="J3063" s="827"/>
      <c r="K3063" s="1091"/>
    </row>
    <row r="3064" spans="1:11">
      <c r="A3064" s="722"/>
      <c r="B3064" s="723" t="s">
        <v>822</v>
      </c>
      <c r="C3064" s="723"/>
      <c r="G3064" s="1096"/>
      <c r="H3064" s="1095"/>
      <c r="I3064" s="1096"/>
      <c r="J3064" s="726"/>
      <c r="K3064" s="726"/>
    </row>
    <row r="3065" spans="1:11">
      <c r="A3065" s="722"/>
      <c r="B3065" s="722" t="s">
        <v>280</v>
      </c>
      <c r="C3065" s="723"/>
      <c r="G3065" s="987">
        <v>24.95</v>
      </c>
      <c r="H3065" s="1081" t="s">
        <v>95</v>
      </c>
      <c r="I3065" s="724" t="s">
        <v>95</v>
      </c>
      <c r="J3065" s="726">
        <f>G177</f>
        <v>297.97000000000003</v>
      </c>
      <c r="K3065" s="726">
        <f t="shared" ref="K3065:K3074" si="105">ROUND(G3065*J3065,2)</f>
        <v>7434.35</v>
      </c>
    </row>
    <row r="3066" spans="1:11">
      <c r="A3066" s="722"/>
      <c r="B3066" s="722" t="s">
        <v>257</v>
      </c>
      <c r="C3066" s="723"/>
      <c r="G3066" s="987">
        <v>1.07</v>
      </c>
      <c r="H3066" s="1081" t="s">
        <v>92</v>
      </c>
      <c r="I3066" s="724" t="s">
        <v>92</v>
      </c>
      <c r="J3066" s="726">
        <f>G166</f>
        <v>710.82</v>
      </c>
      <c r="K3066" s="726">
        <f t="shared" si="105"/>
        <v>760.58</v>
      </c>
    </row>
    <row r="3067" spans="1:11">
      <c r="B3067" s="722" t="s">
        <v>278</v>
      </c>
      <c r="G3067" s="987">
        <v>0.92</v>
      </c>
      <c r="H3067" s="722" t="s">
        <v>92</v>
      </c>
      <c r="I3067" s="724" t="s">
        <v>92</v>
      </c>
      <c r="J3067" s="726">
        <f>G176</f>
        <v>843.5</v>
      </c>
      <c r="K3067" s="726">
        <f t="shared" si="105"/>
        <v>776.02</v>
      </c>
    </row>
    <row r="3068" spans="1:11">
      <c r="A3068" s="722"/>
      <c r="B3068" s="722" t="s">
        <v>266</v>
      </c>
      <c r="C3068" s="723"/>
      <c r="G3068" s="987">
        <v>4</v>
      </c>
      <c r="H3068" s="1081" t="s">
        <v>37</v>
      </c>
      <c r="I3068" s="724" t="s">
        <v>37</v>
      </c>
      <c r="J3068" s="726">
        <f>G170</f>
        <v>39</v>
      </c>
      <c r="K3068" s="726">
        <f t="shared" si="105"/>
        <v>156</v>
      </c>
    </row>
    <row r="3069" spans="1:11">
      <c r="A3069" s="722"/>
      <c r="B3069" s="722" t="s">
        <v>268</v>
      </c>
      <c r="C3069" s="723"/>
      <c r="G3069" s="987">
        <v>18.29</v>
      </c>
      <c r="H3069" s="1081" t="s">
        <v>136</v>
      </c>
      <c r="I3069" s="724" t="s">
        <v>136</v>
      </c>
      <c r="J3069" s="1112">
        <v>15</v>
      </c>
      <c r="K3069" s="726">
        <f t="shared" si="105"/>
        <v>274.35000000000002</v>
      </c>
    </row>
    <row r="3070" spans="1:11">
      <c r="A3070" s="722"/>
      <c r="B3070" s="722" t="s">
        <v>270</v>
      </c>
      <c r="C3070" s="723"/>
      <c r="G3070" s="987">
        <v>1</v>
      </c>
      <c r="H3070" s="1081" t="s">
        <v>262</v>
      </c>
      <c r="I3070" s="724" t="s">
        <v>38</v>
      </c>
      <c r="J3070" s="726">
        <f>G172</f>
        <v>25</v>
      </c>
      <c r="K3070" s="726">
        <f t="shared" si="105"/>
        <v>25</v>
      </c>
    </row>
    <row r="3071" spans="1:11">
      <c r="A3071" s="722"/>
      <c r="B3071" s="722" t="s">
        <v>272</v>
      </c>
      <c r="C3071" s="723"/>
      <c r="G3071" s="987">
        <v>2</v>
      </c>
      <c r="H3071" s="1081" t="s">
        <v>262</v>
      </c>
      <c r="I3071" s="724" t="s">
        <v>38</v>
      </c>
      <c r="J3071" s="726">
        <f>G173</f>
        <v>62.5</v>
      </c>
      <c r="K3071" s="726">
        <f t="shared" si="105"/>
        <v>125</v>
      </c>
    </row>
    <row r="3072" spans="1:11">
      <c r="A3072" s="722"/>
      <c r="B3072" s="722" t="s">
        <v>274</v>
      </c>
      <c r="C3072" s="723"/>
      <c r="G3072" s="987">
        <v>1</v>
      </c>
      <c r="H3072" s="1081" t="s">
        <v>262</v>
      </c>
      <c r="I3072" s="724" t="s">
        <v>38</v>
      </c>
      <c r="J3072" s="726">
        <f>G174</f>
        <v>400</v>
      </c>
      <c r="K3072" s="726">
        <f t="shared" si="105"/>
        <v>400</v>
      </c>
    </row>
    <row r="3073" spans="1:12">
      <c r="A3073" s="722"/>
      <c r="B3073" s="722" t="s">
        <v>276</v>
      </c>
      <c r="C3073" s="723"/>
      <c r="G3073" s="987">
        <v>1</v>
      </c>
      <c r="H3073" s="1081" t="s">
        <v>262</v>
      </c>
      <c r="I3073" s="724" t="s">
        <v>38</v>
      </c>
      <c r="J3073" s="726">
        <f>G175</f>
        <v>600</v>
      </c>
      <c r="K3073" s="726">
        <f t="shared" si="105"/>
        <v>600</v>
      </c>
    </row>
    <row r="3074" spans="1:12">
      <c r="A3074" s="722"/>
      <c r="B3074" s="722" t="s">
        <v>318</v>
      </c>
      <c r="C3074" s="723"/>
      <c r="G3074" s="987">
        <v>1.5</v>
      </c>
      <c r="H3074" s="1081" t="s">
        <v>319</v>
      </c>
      <c r="I3074" s="724" t="s">
        <v>319</v>
      </c>
      <c r="J3074" s="726">
        <f>M196</f>
        <v>100</v>
      </c>
      <c r="K3074" s="726">
        <f t="shared" si="105"/>
        <v>150</v>
      </c>
    </row>
    <row r="3075" spans="1:12">
      <c r="A3075" s="722"/>
      <c r="B3075" s="722" t="s">
        <v>1073</v>
      </c>
      <c r="C3075" s="723"/>
      <c r="G3075" s="987"/>
      <c r="H3075" s="1081"/>
      <c r="J3075" s="1096" t="s">
        <v>1074</v>
      </c>
      <c r="K3075" s="726">
        <v>50</v>
      </c>
    </row>
    <row r="3076" spans="1:12">
      <c r="A3076" s="722"/>
      <c r="B3076" s="723" t="s">
        <v>904</v>
      </c>
      <c r="C3076" s="723"/>
      <c r="G3076" s="987"/>
      <c r="H3076" s="1081"/>
      <c r="J3076" s="726"/>
      <c r="K3076" s="726"/>
    </row>
    <row r="3077" spans="1:12">
      <c r="A3077" s="722"/>
      <c r="B3077" s="722" t="s">
        <v>1047</v>
      </c>
      <c r="C3077" s="723"/>
      <c r="G3077" s="987">
        <v>0.42</v>
      </c>
      <c r="H3077" s="1081" t="s">
        <v>262</v>
      </c>
      <c r="I3077" s="724" t="s">
        <v>38</v>
      </c>
      <c r="J3077" s="726">
        <f>L132</f>
        <v>284.3</v>
      </c>
      <c r="K3077" s="726">
        <f>ROUND(G3077*J3077,2)</f>
        <v>119.41</v>
      </c>
    </row>
    <row r="3078" spans="1:12">
      <c r="A3078" s="722"/>
      <c r="B3078" s="722" t="s">
        <v>1048</v>
      </c>
      <c r="C3078" s="723"/>
      <c r="G3078" s="987">
        <v>1.5</v>
      </c>
      <c r="H3078" s="1081" t="s">
        <v>262</v>
      </c>
      <c r="I3078" s="724" t="s">
        <v>38</v>
      </c>
      <c r="J3078" s="726">
        <f>L131</f>
        <v>264.3</v>
      </c>
      <c r="K3078" s="726">
        <f>ROUND(G3078*J3078,2)</f>
        <v>396.45</v>
      </c>
    </row>
    <row r="3079" spans="1:12">
      <c r="A3079" s="722"/>
      <c r="B3079" s="722" t="s">
        <v>1049</v>
      </c>
      <c r="C3079" s="723"/>
      <c r="G3079" s="987">
        <v>1.2</v>
      </c>
      <c r="H3079" s="1081" t="s">
        <v>262</v>
      </c>
      <c r="I3079" s="724" t="s">
        <v>38</v>
      </c>
      <c r="J3079" s="726">
        <f>L130</f>
        <v>244.3</v>
      </c>
      <c r="K3079" s="726">
        <f>ROUND(G3079*J3079,2)</f>
        <v>293.16000000000003</v>
      </c>
    </row>
    <row r="3080" spans="1:12">
      <c r="A3080" s="722"/>
      <c r="B3080" s="722" t="s">
        <v>717</v>
      </c>
      <c r="C3080" s="723"/>
      <c r="G3080" s="987">
        <v>1.5</v>
      </c>
      <c r="H3080" s="1081" t="s">
        <v>262</v>
      </c>
      <c r="I3080" s="724" t="s">
        <v>38</v>
      </c>
      <c r="J3080" s="726">
        <f>L129</f>
        <v>182</v>
      </c>
      <c r="K3080" s="726">
        <f>ROUND(G3080*J3080,2)</f>
        <v>273</v>
      </c>
    </row>
    <row r="3081" spans="1:12">
      <c r="A3081" s="722"/>
      <c r="C3081" s="723"/>
      <c r="G3081" s="987"/>
      <c r="H3081" s="1081"/>
      <c r="J3081" s="726"/>
      <c r="K3081" s="726">
        <f>SUM(K3065:K3080)</f>
        <v>11833.320000000002</v>
      </c>
    </row>
    <row r="3082" spans="1:12">
      <c r="A3082" s="722"/>
      <c r="B3082" s="723"/>
      <c r="C3082" s="723"/>
      <c r="G3082" s="1096"/>
      <c r="H3082" s="1095"/>
      <c r="I3082" s="1096"/>
      <c r="J3082" s="726"/>
      <c r="K3082" s="726"/>
    </row>
    <row r="3083" spans="1:12">
      <c r="A3083" s="722"/>
      <c r="B3083" s="723" t="s">
        <v>1084</v>
      </c>
      <c r="C3083" s="723"/>
      <c r="G3083" s="1096"/>
      <c r="H3083" s="1095"/>
      <c r="I3083" s="1096"/>
      <c r="J3083" s="726"/>
      <c r="K3083" s="726">
        <f>K3081+K3082</f>
        <v>11833.320000000002</v>
      </c>
    </row>
    <row r="3084" spans="1:12">
      <c r="A3084" s="722"/>
      <c r="B3084" s="723" t="s">
        <v>1085</v>
      </c>
      <c r="C3084" s="723"/>
      <c r="G3084" s="1096"/>
      <c r="H3084" s="1095"/>
      <c r="I3084" s="1096"/>
      <c r="J3084" s="726"/>
      <c r="K3084" s="1091">
        <f>ROUND(K3083/1.81,2)</f>
        <v>6537.75</v>
      </c>
      <c r="L3084" s="1087" t="s">
        <v>730</v>
      </c>
    </row>
    <row r="3085" spans="1:12">
      <c r="A3085" s="722"/>
      <c r="B3085" s="723" t="s">
        <v>1086</v>
      </c>
      <c r="C3085" s="723"/>
      <c r="G3085" s="1096"/>
      <c r="H3085" s="1095"/>
      <c r="I3085" s="1096"/>
      <c r="J3085" s="726"/>
      <c r="K3085" s="1091">
        <f>K3083/23.76</f>
        <v>498.03535353535358</v>
      </c>
      <c r="L3085" s="1087" t="s">
        <v>1054</v>
      </c>
    </row>
    <row r="3086" spans="1:12" ht="132.75" customHeight="1">
      <c r="A3086" s="836">
        <f>A572</f>
        <v>86</v>
      </c>
      <c r="B3086" s="3399" t="str">
        <f>B572</f>
        <v>Providing fitting, fixing of Aluminium Door with OEL anodized Al. door section of 9202 as vertical member, 9200 as top  and   bottom  member.  9232 as middle member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3086" s="3399"/>
      <c r="D3086" s="3399"/>
      <c r="E3086" s="1086" t="str">
        <f>G621</f>
        <v>Each Sqm</v>
      </c>
      <c r="F3086" s="1086"/>
      <c r="G3086" s="987"/>
      <c r="J3086" s="1091"/>
      <c r="K3086" s="1091"/>
    </row>
    <row r="3087" spans="1:12">
      <c r="A3087" s="722"/>
      <c r="B3087" s="722" t="s">
        <v>1087</v>
      </c>
      <c r="C3087" s="723"/>
      <c r="D3087" s="726">
        <f>G3093</f>
        <v>14.540000000000001</v>
      </c>
      <c r="E3087" s="986" t="s">
        <v>95</v>
      </c>
      <c r="G3087" s="1096"/>
      <c r="H3087" s="1095"/>
      <c r="I3087" s="1096"/>
      <c r="J3087" s="827"/>
      <c r="K3087" s="1091"/>
    </row>
    <row r="3088" spans="1:12">
      <c r="A3088" s="722"/>
      <c r="B3088" s="722" t="s">
        <v>1088</v>
      </c>
      <c r="C3088" s="723"/>
      <c r="G3088" s="1096">
        <f>ROUND(4.06*1.202,2)</f>
        <v>4.88</v>
      </c>
      <c r="H3088" s="1095" t="s">
        <v>95</v>
      </c>
      <c r="I3088" s="1096"/>
      <c r="J3088" s="827"/>
      <c r="K3088" s="1091"/>
    </row>
    <row r="3089" spans="1:11">
      <c r="A3089" s="722"/>
      <c r="B3089" s="722" t="s">
        <v>1089</v>
      </c>
      <c r="C3089" s="723"/>
      <c r="G3089" s="1096">
        <f>ROUND(2.13*1.974,2)</f>
        <v>4.2</v>
      </c>
      <c r="H3089" s="1095" t="s">
        <v>95</v>
      </c>
      <c r="I3089" s="1096"/>
      <c r="J3089" s="827"/>
      <c r="K3089" s="1091"/>
    </row>
    <row r="3090" spans="1:11">
      <c r="A3090" s="722"/>
      <c r="B3090" s="722" t="s">
        <v>1090</v>
      </c>
      <c r="C3090" s="723"/>
      <c r="G3090" s="1096">
        <f>ROUND(1.07*1.299,2)</f>
        <v>1.39</v>
      </c>
      <c r="H3090" s="1095" t="s">
        <v>95</v>
      </c>
      <c r="I3090" s="1096"/>
      <c r="J3090" s="827"/>
      <c r="K3090" s="1091"/>
    </row>
    <row r="3091" spans="1:11">
      <c r="A3091" s="722"/>
      <c r="B3091" s="722" t="s">
        <v>1068</v>
      </c>
      <c r="C3091" s="723"/>
      <c r="G3091" s="1096">
        <f>ROUND(16.65*0.169,2)</f>
        <v>2.81</v>
      </c>
      <c r="H3091" s="1095" t="s">
        <v>95</v>
      </c>
      <c r="I3091" s="1096"/>
      <c r="J3091" s="827"/>
      <c r="K3091" s="1091"/>
    </row>
    <row r="3092" spans="1:11">
      <c r="A3092" s="722"/>
      <c r="B3092" s="722" t="s">
        <v>1091</v>
      </c>
      <c r="C3092" s="723"/>
      <c r="G3092" s="1123">
        <f>ROUND(2.44*0.518,2)</f>
        <v>1.26</v>
      </c>
      <c r="H3092" s="1095" t="s">
        <v>95</v>
      </c>
      <c r="I3092" s="1096"/>
      <c r="J3092" s="827"/>
      <c r="K3092" s="1091"/>
    </row>
    <row r="3093" spans="1:11">
      <c r="A3093" s="722"/>
      <c r="C3093" s="723"/>
      <c r="G3093" s="1096">
        <f>SUM(G3088:G3092)</f>
        <v>14.540000000000001</v>
      </c>
      <c r="H3093" s="1095" t="s">
        <v>95</v>
      </c>
      <c r="I3093" s="1096"/>
      <c r="J3093" s="827"/>
      <c r="K3093" s="1091"/>
    </row>
    <row r="3094" spans="1:11">
      <c r="A3094" s="722"/>
      <c r="C3094" s="723" t="s">
        <v>1092</v>
      </c>
      <c r="G3094" s="1123">
        <f>ROUND(G3093*10%,2)</f>
        <v>1.45</v>
      </c>
      <c r="H3094" s="1095" t="s">
        <v>95</v>
      </c>
      <c r="I3094" s="1096"/>
      <c r="J3094" s="827"/>
      <c r="K3094" s="1091"/>
    </row>
    <row r="3095" spans="1:11">
      <c r="A3095" s="722"/>
      <c r="C3095" s="723"/>
      <c r="G3095" s="827">
        <f>SUM(G3093:G3094)</f>
        <v>15.99</v>
      </c>
      <c r="H3095" s="1118" t="s">
        <v>95</v>
      </c>
      <c r="I3095" s="1096"/>
      <c r="J3095" s="827"/>
      <c r="K3095" s="1091"/>
    </row>
    <row r="3096" spans="1:11">
      <c r="A3096" s="722"/>
      <c r="B3096" s="723" t="s">
        <v>1072</v>
      </c>
      <c r="C3096" s="723"/>
      <c r="G3096" s="1096"/>
      <c r="H3096" s="1095"/>
      <c r="I3096" s="1096"/>
      <c r="J3096" s="726"/>
      <c r="K3096" s="726"/>
    </row>
    <row r="3097" spans="1:11">
      <c r="A3097" s="722"/>
      <c r="B3097" s="722" t="s">
        <v>280</v>
      </c>
      <c r="C3097" s="723"/>
      <c r="G3097" s="987">
        <f>G3095</f>
        <v>15.99</v>
      </c>
      <c r="H3097" s="1081" t="s">
        <v>95</v>
      </c>
      <c r="I3097" s="724" t="s">
        <v>95</v>
      </c>
      <c r="J3097" s="726">
        <f>G177</f>
        <v>297.97000000000003</v>
      </c>
      <c r="K3097" s="726">
        <f t="shared" ref="K3097:K3105" si="106">ROUND(G3097*J3097,2)</f>
        <v>4764.54</v>
      </c>
    </row>
    <row r="3098" spans="1:11">
      <c r="A3098" s="722"/>
      <c r="B3098" s="722" t="s">
        <v>257</v>
      </c>
      <c r="C3098" s="723"/>
      <c r="G3098" s="987">
        <v>2.38</v>
      </c>
      <c r="H3098" s="1081" t="s">
        <v>92</v>
      </c>
      <c r="I3098" s="724" t="s">
        <v>92</v>
      </c>
      <c r="J3098" s="726">
        <f>G166</f>
        <v>710.82</v>
      </c>
      <c r="K3098" s="726">
        <f t="shared" si="106"/>
        <v>1691.75</v>
      </c>
    </row>
    <row r="3099" spans="1:11">
      <c r="A3099" s="722"/>
      <c r="B3099" s="722" t="s">
        <v>266</v>
      </c>
      <c r="C3099" s="723"/>
      <c r="G3099" s="987">
        <v>4</v>
      </c>
      <c r="H3099" s="1081" t="s">
        <v>37</v>
      </c>
      <c r="I3099" s="724" t="s">
        <v>37</v>
      </c>
      <c r="J3099" s="726">
        <f>G176</f>
        <v>843.5</v>
      </c>
      <c r="K3099" s="726">
        <f t="shared" si="106"/>
        <v>3374</v>
      </c>
    </row>
    <row r="3100" spans="1:11">
      <c r="A3100" s="722"/>
      <c r="B3100" s="722" t="s">
        <v>268</v>
      </c>
      <c r="C3100" s="723"/>
      <c r="G3100" s="987">
        <v>18.29</v>
      </c>
      <c r="H3100" s="1081" t="s">
        <v>136</v>
      </c>
      <c r="I3100" s="724" t="s">
        <v>136</v>
      </c>
      <c r="J3100" s="726">
        <v>15</v>
      </c>
      <c r="K3100" s="726">
        <f t="shared" si="106"/>
        <v>274.35000000000002</v>
      </c>
    </row>
    <row r="3101" spans="1:11">
      <c r="A3101" s="722"/>
      <c r="B3101" s="722" t="s">
        <v>270</v>
      </c>
      <c r="C3101" s="723"/>
      <c r="G3101" s="987">
        <v>1</v>
      </c>
      <c r="H3101" s="1081" t="s">
        <v>262</v>
      </c>
      <c r="I3101" s="724" t="s">
        <v>38</v>
      </c>
      <c r="J3101" s="726">
        <f>G172</f>
        <v>25</v>
      </c>
      <c r="K3101" s="726">
        <f t="shared" si="106"/>
        <v>25</v>
      </c>
    </row>
    <row r="3102" spans="1:11">
      <c r="A3102" s="722"/>
      <c r="B3102" s="722" t="s">
        <v>272</v>
      </c>
      <c r="C3102" s="723"/>
      <c r="G3102" s="987">
        <v>2</v>
      </c>
      <c r="H3102" s="1081" t="s">
        <v>262</v>
      </c>
      <c r="I3102" s="724" t="s">
        <v>38</v>
      </c>
      <c r="J3102" s="726">
        <f>G173</f>
        <v>62.5</v>
      </c>
      <c r="K3102" s="726">
        <f t="shared" si="106"/>
        <v>125</v>
      </c>
    </row>
    <row r="3103" spans="1:11">
      <c r="A3103" s="722"/>
      <c r="B3103" s="722" t="s">
        <v>274</v>
      </c>
      <c r="C3103" s="723"/>
      <c r="G3103" s="987">
        <v>1</v>
      </c>
      <c r="H3103" s="1081" t="s">
        <v>262</v>
      </c>
      <c r="I3103" s="724" t="s">
        <v>38</v>
      </c>
      <c r="J3103" s="726">
        <f>G174</f>
        <v>400</v>
      </c>
      <c r="K3103" s="726">
        <f t="shared" si="106"/>
        <v>400</v>
      </c>
    </row>
    <row r="3104" spans="1:11">
      <c r="A3104" s="722"/>
      <c r="B3104" s="722" t="s">
        <v>276</v>
      </c>
      <c r="C3104" s="723"/>
      <c r="G3104" s="987">
        <v>1</v>
      </c>
      <c r="H3104" s="1081" t="s">
        <v>262</v>
      </c>
      <c r="I3104" s="724" t="s">
        <v>38</v>
      </c>
      <c r="J3104" s="726">
        <f>G175</f>
        <v>600</v>
      </c>
      <c r="K3104" s="726">
        <f t="shared" si="106"/>
        <v>600</v>
      </c>
    </row>
    <row r="3105" spans="1:12">
      <c r="A3105" s="722"/>
      <c r="B3105" s="722" t="s">
        <v>318</v>
      </c>
      <c r="C3105" s="723"/>
      <c r="G3105" s="987">
        <v>1.5</v>
      </c>
      <c r="H3105" s="1081" t="s">
        <v>319</v>
      </c>
      <c r="I3105" s="724" t="s">
        <v>319</v>
      </c>
      <c r="J3105" s="726">
        <f>M196</f>
        <v>100</v>
      </c>
      <c r="K3105" s="726">
        <f t="shared" si="106"/>
        <v>150</v>
      </c>
    </row>
    <row r="3106" spans="1:12">
      <c r="A3106" s="722"/>
      <c r="B3106" s="722" t="s">
        <v>1073</v>
      </c>
      <c r="C3106" s="723"/>
      <c r="G3106" s="987"/>
      <c r="H3106" s="1081"/>
      <c r="J3106" s="1096" t="s">
        <v>1074</v>
      </c>
      <c r="K3106" s="726">
        <v>50</v>
      </c>
    </row>
    <row r="3107" spans="1:12">
      <c r="A3107" s="722"/>
      <c r="B3107" s="723" t="s">
        <v>904</v>
      </c>
      <c r="C3107" s="723"/>
      <c r="G3107" s="987"/>
      <c r="H3107" s="1081"/>
      <c r="J3107" s="726"/>
      <c r="K3107" s="726"/>
    </row>
    <row r="3108" spans="1:12">
      <c r="A3108" s="722"/>
      <c r="B3108" s="722" t="s">
        <v>1093</v>
      </c>
      <c r="C3108" s="723"/>
      <c r="G3108" s="987">
        <v>6.22</v>
      </c>
      <c r="H3108" s="1081" t="s">
        <v>262</v>
      </c>
      <c r="I3108" s="724" t="s">
        <v>38</v>
      </c>
      <c r="J3108" s="726">
        <f>L132</f>
        <v>284.3</v>
      </c>
      <c r="K3108" s="726">
        <f>ROUND(G3108*J3108,2)</f>
        <v>1768.35</v>
      </c>
    </row>
    <row r="3109" spans="1:12">
      <c r="A3109" s="722"/>
      <c r="B3109" s="722" t="s">
        <v>1094</v>
      </c>
      <c r="C3109" s="723"/>
      <c r="G3109" s="987">
        <v>6.22</v>
      </c>
      <c r="H3109" s="1081" t="s">
        <v>262</v>
      </c>
      <c r="I3109" s="724" t="s">
        <v>38</v>
      </c>
      <c r="J3109" s="726">
        <f>L130</f>
        <v>244.3</v>
      </c>
      <c r="K3109" s="726">
        <f>ROUND(G3109*J3109,2)</f>
        <v>1519.55</v>
      </c>
    </row>
    <row r="3110" spans="1:12">
      <c r="A3110" s="722"/>
      <c r="C3110" s="723"/>
      <c r="G3110" s="987"/>
      <c r="H3110" s="1081"/>
      <c r="J3110" s="726"/>
      <c r="K3110" s="726">
        <f>SUM(K3097:K3109)</f>
        <v>14742.54</v>
      </c>
    </row>
    <row r="3111" spans="1:12">
      <c r="A3111" s="722"/>
      <c r="B3111" s="723"/>
      <c r="C3111" s="723"/>
      <c r="G3111" s="1096"/>
      <c r="H3111" s="1095"/>
      <c r="I3111" s="1096"/>
      <c r="J3111" s="726"/>
      <c r="K3111" s="726"/>
    </row>
    <row r="3112" spans="1:12">
      <c r="A3112" s="722"/>
      <c r="B3112" s="723" t="s">
        <v>1095</v>
      </c>
      <c r="C3112" s="723"/>
      <c r="G3112" s="1096"/>
      <c r="H3112" s="1095"/>
      <c r="I3112" s="1096"/>
      <c r="J3112" s="726"/>
      <c r="K3112" s="726">
        <f>K3110+K3111</f>
        <v>14742.54</v>
      </c>
    </row>
    <row r="3113" spans="1:12">
      <c r="A3113" s="722"/>
      <c r="B3113" s="723" t="s">
        <v>1076</v>
      </c>
      <c r="C3113" s="723"/>
      <c r="G3113" s="1096"/>
      <c r="H3113" s="1095"/>
      <c r="I3113" s="1096"/>
      <c r="J3113" s="726"/>
      <c r="K3113" s="1091">
        <f>ROUND(K3112/2.16,2)</f>
        <v>6825.25</v>
      </c>
      <c r="L3113" s="1087" t="s">
        <v>730</v>
      </c>
    </row>
    <row r="3114" spans="1:12">
      <c r="A3114" s="722"/>
      <c r="B3114" s="723" t="s">
        <v>1096</v>
      </c>
      <c r="C3114" s="723"/>
      <c r="G3114" s="1096"/>
      <c r="H3114" s="1095"/>
      <c r="I3114" s="1096"/>
      <c r="J3114" s="726"/>
      <c r="K3114" s="1091">
        <f>K3112/14.54</f>
        <v>1013.9298486932601</v>
      </c>
      <c r="L3114" s="1087" t="s">
        <v>1054</v>
      </c>
    </row>
    <row r="3115" spans="1:12" ht="146.25" customHeight="1">
      <c r="A3115" s="836">
        <f>A574</f>
        <v>87</v>
      </c>
      <c r="B3115" s="3399" t="str">
        <f>B574</f>
        <v>Providing fitting, fixing of Aluminium Door with OEL anodized Al. door section of 9202 as vertical member, 9201 as top  and 9200 as bottom  and middle member and 6mm black glass in top portion with 12mm thick pre-laminated board  fixed on door frame by means of tapered clip No. 4660 and the frame to be completed by means of jointing angle No. 1855 with Automatic Door closure, 6 Lever mortice Lock, Door Stopper, Handle etc. including all cost of labour, T&amp;P, hire charges of drilling machine, labour charges etc. complete as per direction of Engineer-in-charge.</v>
      </c>
      <c r="C3115" s="3386"/>
      <c r="D3115" s="3386"/>
      <c r="E3115" s="1086" t="str">
        <f>G622</f>
        <v>Each Sqm</v>
      </c>
      <c r="F3115" s="1086"/>
      <c r="G3115" s="987"/>
      <c r="J3115" s="1091"/>
      <c r="K3115" s="1091"/>
    </row>
    <row r="3116" spans="1:12">
      <c r="A3116" s="722"/>
      <c r="B3116" s="830" t="s">
        <v>1078</v>
      </c>
      <c r="C3116" s="768"/>
      <c r="D3116" s="1073">
        <f>G3122</f>
        <v>13.389999999999999</v>
      </c>
      <c r="E3116" s="768" t="s">
        <v>95</v>
      </c>
      <c r="F3116" s="768"/>
      <c r="G3116" s="1096"/>
      <c r="H3116" s="1095"/>
      <c r="I3116" s="1096"/>
      <c r="J3116" s="827"/>
      <c r="K3116" s="1091"/>
    </row>
    <row r="3117" spans="1:12">
      <c r="A3117" s="722"/>
      <c r="B3117" s="722" t="s">
        <v>1097</v>
      </c>
      <c r="C3117" s="723"/>
      <c r="G3117" s="1096">
        <f>ROUND(3.96*1.202,2)</f>
        <v>4.76</v>
      </c>
      <c r="H3117" s="1095" t="s">
        <v>95</v>
      </c>
      <c r="I3117" s="1096"/>
      <c r="J3117" s="827"/>
      <c r="K3117" s="1091"/>
    </row>
    <row r="3118" spans="1:12">
      <c r="A3118" s="722"/>
      <c r="B3118" s="722" t="s">
        <v>1098</v>
      </c>
      <c r="C3118" s="723"/>
      <c r="G3118" s="1096">
        <f>ROUND(1.83*1.974,2)</f>
        <v>3.61</v>
      </c>
      <c r="H3118" s="1095" t="s">
        <v>95</v>
      </c>
      <c r="I3118" s="1096"/>
      <c r="J3118" s="827"/>
      <c r="K3118" s="1091"/>
    </row>
    <row r="3119" spans="1:12">
      <c r="A3119" s="722"/>
      <c r="B3119" s="722" t="s">
        <v>1099</v>
      </c>
      <c r="C3119" s="723"/>
      <c r="G3119" s="1096">
        <f>ROUND(0.91*1.299,2)</f>
        <v>1.18</v>
      </c>
      <c r="H3119" s="1095" t="s">
        <v>95</v>
      </c>
      <c r="I3119" s="1096"/>
      <c r="J3119" s="827"/>
      <c r="K3119" s="1091"/>
    </row>
    <row r="3120" spans="1:12">
      <c r="A3120" s="722"/>
      <c r="B3120" s="722" t="s">
        <v>1082</v>
      </c>
      <c r="C3120" s="723"/>
      <c r="G3120" s="1096">
        <f>ROUND(15.24*0.169,2)</f>
        <v>2.58</v>
      </c>
      <c r="H3120" s="1095" t="s">
        <v>95</v>
      </c>
      <c r="I3120" s="1096"/>
      <c r="J3120" s="827"/>
      <c r="K3120" s="1091"/>
    </row>
    <row r="3121" spans="1:11">
      <c r="A3121" s="722"/>
      <c r="B3121" s="722" t="s">
        <v>1091</v>
      </c>
      <c r="C3121" s="723"/>
      <c r="G3121" s="1123">
        <f>ROUND(2.44*0.518,2)</f>
        <v>1.26</v>
      </c>
      <c r="H3121" s="1095" t="s">
        <v>95</v>
      </c>
      <c r="I3121" s="1096"/>
      <c r="J3121" s="827"/>
      <c r="K3121" s="1091"/>
    </row>
    <row r="3122" spans="1:11">
      <c r="A3122" s="722"/>
      <c r="C3122" s="723"/>
      <c r="G3122" s="1096">
        <f>SUM(G3117:G3121)</f>
        <v>13.389999999999999</v>
      </c>
      <c r="H3122" s="1095" t="s">
        <v>95</v>
      </c>
      <c r="I3122" s="1096"/>
      <c r="J3122" s="827"/>
      <c r="K3122" s="1091"/>
    </row>
    <row r="3123" spans="1:11">
      <c r="A3123" s="722"/>
      <c r="C3123" s="723" t="s">
        <v>1092</v>
      </c>
      <c r="G3123" s="1123">
        <f>ROUND(G3122*10%,2)</f>
        <v>1.34</v>
      </c>
      <c r="H3123" s="1095" t="s">
        <v>95</v>
      </c>
      <c r="I3123" s="1096"/>
      <c r="J3123" s="827"/>
      <c r="K3123" s="1091"/>
    </row>
    <row r="3124" spans="1:11">
      <c r="A3124" s="722"/>
      <c r="C3124" s="723"/>
      <c r="G3124" s="827">
        <f>SUM(G3122:G3123)</f>
        <v>14.729999999999999</v>
      </c>
      <c r="H3124" s="1118" t="s">
        <v>95</v>
      </c>
      <c r="I3124" s="1096"/>
      <c r="J3124" s="827"/>
      <c r="K3124" s="1091"/>
    </row>
    <row r="3125" spans="1:11">
      <c r="A3125" s="722"/>
      <c r="B3125" s="723" t="s">
        <v>822</v>
      </c>
      <c r="C3125" s="723"/>
      <c r="G3125" s="1096"/>
      <c r="H3125" s="1095"/>
      <c r="I3125" s="1096"/>
      <c r="J3125" s="726"/>
      <c r="K3125" s="726"/>
    </row>
    <row r="3126" spans="1:11">
      <c r="A3126" s="722"/>
      <c r="B3126" s="722" t="s">
        <v>280</v>
      </c>
      <c r="C3126" s="723"/>
      <c r="G3126" s="987">
        <f>G3124</f>
        <v>14.729999999999999</v>
      </c>
      <c r="H3126" s="1081" t="s">
        <v>95</v>
      </c>
      <c r="I3126" s="724" t="s">
        <v>95</v>
      </c>
      <c r="J3126" s="726">
        <f>G177</f>
        <v>297.97000000000003</v>
      </c>
      <c r="K3126" s="726">
        <f t="shared" ref="K3126:K3135" si="107">ROUND(G3126*J3126,2)</f>
        <v>4389.1000000000004</v>
      </c>
    </row>
    <row r="3127" spans="1:11">
      <c r="A3127" s="722"/>
      <c r="B3127" s="722" t="s">
        <v>257</v>
      </c>
      <c r="C3127" s="723"/>
      <c r="G3127" s="987">
        <v>1.07</v>
      </c>
      <c r="H3127" s="1081" t="s">
        <v>92</v>
      </c>
      <c r="I3127" s="724" t="s">
        <v>92</v>
      </c>
      <c r="J3127" s="726">
        <f>G166</f>
        <v>710.82</v>
      </c>
      <c r="K3127" s="726">
        <f t="shared" si="107"/>
        <v>760.58</v>
      </c>
    </row>
    <row r="3128" spans="1:11">
      <c r="B3128" s="722" t="s">
        <v>278</v>
      </c>
      <c r="G3128" s="987">
        <v>0.92</v>
      </c>
      <c r="H3128" s="722" t="s">
        <v>92</v>
      </c>
      <c r="I3128" s="724" t="s">
        <v>92</v>
      </c>
      <c r="J3128" s="726">
        <f>G176</f>
        <v>843.5</v>
      </c>
      <c r="K3128" s="726">
        <f t="shared" si="107"/>
        <v>776.02</v>
      </c>
    </row>
    <row r="3129" spans="1:11">
      <c r="A3129" s="722"/>
      <c r="B3129" s="722" t="s">
        <v>266</v>
      </c>
      <c r="C3129" s="723"/>
      <c r="G3129" s="987">
        <v>4</v>
      </c>
      <c r="H3129" s="1081" t="s">
        <v>37</v>
      </c>
      <c r="I3129" s="724" t="s">
        <v>37</v>
      </c>
      <c r="J3129" s="726">
        <f>G170</f>
        <v>39</v>
      </c>
      <c r="K3129" s="726">
        <f t="shared" si="107"/>
        <v>156</v>
      </c>
    </row>
    <row r="3130" spans="1:11">
      <c r="A3130" s="722"/>
      <c r="B3130" s="722" t="s">
        <v>268</v>
      </c>
      <c r="C3130" s="723"/>
      <c r="G3130" s="987">
        <v>18.29</v>
      </c>
      <c r="H3130" s="1081" t="s">
        <v>136</v>
      </c>
      <c r="I3130" s="724" t="s">
        <v>136</v>
      </c>
      <c r="J3130" s="726">
        <v>15</v>
      </c>
      <c r="K3130" s="726">
        <f t="shared" si="107"/>
        <v>274.35000000000002</v>
      </c>
    </row>
    <row r="3131" spans="1:11">
      <c r="A3131" s="722"/>
      <c r="B3131" s="722" t="s">
        <v>270</v>
      </c>
      <c r="C3131" s="723"/>
      <c r="G3131" s="987">
        <v>1</v>
      </c>
      <c r="H3131" s="1081" t="s">
        <v>262</v>
      </c>
      <c r="I3131" s="724" t="s">
        <v>38</v>
      </c>
      <c r="J3131" s="726">
        <f>G172</f>
        <v>25</v>
      </c>
      <c r="K3131" s="726">
        <f t="shared" si="107"/>
        <v>25</v>
      </c>
    </row>
    <row r="3132" spans="1:11">
      <c r="A3132" s="722"/>
      <c r="B3132" s="722" t="s">
        <v>272</v>
      </c>
      <c r="C3132" s="723"/>
      <c r="G3132" s="987">
        <v>2</v>
      </c>
      <c r="H3132" s="1081" t="s">
        <v>262</v>
      </c>
      <c r="I3132" s="724" t="s">
        <v>38</v>
      </c>
      <c r="J3132" s="726">
        <f>G173</f>
        <v>62.5</v>
      </c>
      <c r="K3132" s="726">
        <f t="shared" si="107"/>
        <v>125</v>
      </c>
    </row>
    <row r="3133" spans="1:11">
      <c r="A3133" s="722"/>
      <c r="B3133" s="722" t="s">
        <v>274</v>
      </c>
      <c r="C3133" s="723"/>
      <c r="G3133" s="987">
        <v>1</v>
      </c>
      <c r="H3133" s="1081" t="s">
        <v>262</v>
      </c>
      <c r="I3133" s="724" t="s">
        <v>38</v>
      </c>
      <c r="J3133" s="726">
        <f>G174</f>
        <v>400</v>
      </c>
      <c r="K3133" s="726">
        <f t="shared" si="107"/>
        <v>400</v>
      </c>
    </row>
    <row r="3134" spans="1:11">
      <c r="A3134" s="722"/>
      <c r="B3134" s="722" t="s">
        <v>276</v>
      </c>
      <c r="C3134" s="723"/>
      <c r="G3134" s="987">
        <v>1</v>
      </c>
      <c r="H3134" s="1081" t="s">
        <v>262</v>
      </c>
      <c r="I3134" s="724" t="s">
        <v>38</v>
      </c>
      <c r="J3134" s="726">
        <f>G175</f>
        <v>600</v>
      </c>
      <c r="K3134" s="726">
        <f t="shared" si="107"/>
        <v>600</v>
      </c>
    </row>
    <row r="3135" spans="1:11">
      <c r="A3135" s="722"/>
      <c r="B3135" s="722" t="s">
        <v>318</v>
      </c>
      <c r="C3135" s="723"/>
      <c r="G3135" s="987">
        <v>1.5</v>
      </c>
      <c r="H3135" s="1081" t="s">
        <v>319</v>
      </c>
      <c r="I3135" s="724" t="s">
        <v>319</v>
      </c>
      <c r="J3135" s="726">
        <f>M196</f>
        <v>100</v>
      </c>
      <c r="K3135" s="726">
        <f t="shared" si="107"/>
        <v>150</v>
      </c>
    </row>
    <row r="3136" spans="1:11">
      <c r="A3136" s="722"/>
      <c r="B3136" s="722" t="s">
        <v>1073</v>
      </c>
      <c r="C3136" s="723"/>
      <c r="G3136" s="987"/>
      <c r="H3136" s="1081"/>
      <c r="J3136" s="1096" t="s">
        <v>1074</v>
      </c>
      <c r="K3136" s="726">
        <v>50</v>
      </c>
    </row>
    <row r="3137" spans="1:12">
      <c r="A3137" s="722"/>
      <c r="B3137" s="723" t="s">
        <v>904</v>
      </c>
      <c r="C3137" s="723"/>
      <c r="G3137" s="987"/>
      <c r="H3137" s="1081"/>
      <c r="J3137" s="726"/>
      <c r="K3137" s="726"/>
    </row>
    <row r="3138" spans="1:12">
      <c r="A3138" s="722"/>
      <c r="B3138" s="722" t="s">
        <v>1093</v>
      </c>
      <c r="C3138" s="723"/>
      <c r="G3138" s="987">
        <v>6.22</v>
      </c>
      <c r="H3138" s="1081" t="s">
        <v>262</v>
      </c>
      <c r="I3138" s="724" t="s">
        <v>38</v>
      </c>
      <c r="J3138" s="726">
        <f>L132</f>
        <v>284.3</v>
      </c>
      <c r="K3138" s="726">
        <f>ROUND(G3138*J3138,2)</f>
        <v>1768.35</v>
      </c>
    </row>
    <row r="3139" spans="1:12">
      <c r="A3139" s="722"/>
      <c r="B3139" s="722" t="s">
        <v>1094</v>
      </c>
      <c r="C3139" s="723"/>
      <c r="G3139" s="987">
        <v>6.22</v>
      </c>
      <c r="H3139" s="1081" t="s">
        <v>262</v>
      </c>
      <c r="I3139" s="724" t="s">
        <v>38</v>
      </c>
      <c r="J3139" s="726">
        <f>L130</f>
        <v>244.3</v>
      </c>
      <c r="K3139" s="726">
        <f>ROUND(G3139*J3139,2)</f>
        <v>1519.55</v>
      </c>
    </row>
    <row r="3140" spans="1:12">
      <c r="A3140" s="722"/>
      <c r="C3140" s="723"/>
      <c r="G3140" s="987"/>
      <c r="H3140" s="1081"/>
      <c r="J3140" s="726"/>
      <c r="K3140" s="726">
        <f>SUM(K3126:K3139)</f>
        <v>10993.95</v>
      </c>
    </row>
    <row r="3141" spans="1:12">
      <c r="A3141" s="722"/>
      <c r="B3141" s="723"/>
      <c r="C3141" s="723"/>
      <c r="G3141" s="1096"/>
      <c r="H3141" s="1095"/>
      <c r="I3141" s="1096"/>
      <c r="J3141" s="726"/>
      <c r="K3141" s="726"/>
    </row>
    <row r="3142" spans="1:12">
      <c r="A3142" s="722"/>
      <c r="B3142" s="723" t="s">
        <v>1100</v>
      </c>
      <c r="C3142" s="723"/>
      <c r="G3142" s="1096"/>
      <c r="H3142" s="1095"/>
      <c r="I3142" s="1096"/>
      <c r="J3142" s="726"/>
      <c r="K3142" s="726">
        <f>K3140+K3141</f>
        <v>10993.95</v>
      </c>
    </row>
    <row r="3143" spans="1:12">
      <c r="A3143" s="722"/>
      <c r="B3143" s="723" t="s">
        <v>1085</v>
      </c>
      <c r="C3143" s="723"/>
      <c r="G3143" s="1096"/>
      <c r="H3143" s="1095"/>
      <c r="I3143" s="1096"/>
      <c r="J3143" s="726"/>
      <c r="K3143" s="1091">
        <f>ROUND(K3142/1.81,2)</f>
        <v>6074.01</v>
      </c>
      <c r="L3143" s="1087" t="s">
        <v>730</v>
      </c>
    </row>
    <row r="3144" spans="1:12">
      <c r="A3144" s="722"/>
      <c r="B3144" s="723" t="s">
        <v>1101</v>
      </c>
      <c r="C3144" s="723"/>
      <c r="G3144" s="1096"/>
      <c r="H3144" s="1095"/>
      <c r="I3144" s="1096"/>
      <c r="J3144" s="726"/>
      <c r="K3144" s="1091">
        <f>ROUND(K3142/13.39,2)</f>
        <v>821.06</v>
      </c>
      <c r="L3144" s="1087" t="s">
        <v>1054</v>
      </c>
    </row>
    <row r="3145" spans="1:12" ht="96.75" customHeight="1">
      <c r="A3145" s="836">
        <f>A576</f>
        <v>88</v>
      </c>
      <c r="B3145" s="3399" t="str">
        <f>B576</f>
        <v>Supplying, fitting, fixing of Window (Sliding type) made of aluminium section 151-154, 151-155, as window frame section No-151-155, 151-153 and 151-167 as shutter frame with 5mm thick black glass as panel fitted with rubber beading including locking arrangement including cost of materials all taxes labour, T&amp;P etc.complete as per direction of Engineer-in-charge.</v>
      </c>
      <c r="C3145" s="3386"/>
      <c r="D3145" s="3386"/>
      <c r="E3145" s="1086" t="str">
        <f>G539</f>
        <v>Each Sqm</v>
      </c>
      <c r="F3145" s="1086"/>
      <c r="G3145" s="987"/>
      <c r="J3145" s="1091"/>
      <c r="K3145" s="1091"/>
    </row>
    <row r="3146" spans="1:12">
      <c r="B3146" s="723" t="s">
        <v>1102</v>
      </c>
      <c r="C3146" s="722" t="s">
        <v>1103</v>
      </c>
      <c r="G3146" s="987"/>
      <c r="J3146" s="726"/>
      <c r="K3146" s="726"/>
    </row>
    <row r="3147" spans="1:12">
      <c r="B3147" s="723" t="s">
        <v>829</v>
      </c>
      <c r="G3147" s="987"/>
      <c r="J3147" s="726"/>
      <c r="K3147" s="726"/>
    </row>
    <row r="3148" spans="1:12">
      <c r="B3148" s="722" t="s">
        <v>280</v>
      </c>
      <c r="G3148" s="987">
        <v>8.5299999999999994</v>
      </c>
      <c r="H3148" s="722" t="s">
        <v>95</v>
      </c>
      <c r="I3148" s="724" t="s">
        <v>95</v>
      </c>
      <c r="J3148" s="726">
        <f>G177</f>
        <v>297.97000000000003</v>
      </c>
      <c r="K3148" s="726">
        <f t="shared" ref="K3148:K3155" si="108">ROUND(G3148*J3148,2)</f>
        <v>2541.6799999999998</v>
      </c>
    </row>
    <row r="3149" spans="1:12">
      <c r="B3149" s="722" t="s">
        <v>281</v>
      </c>
      <c r="G3149" s="761">
        <v>8</v>
      </c>
      <c r="H3149" s="722" t="s">
        <v>262</v>
      </c>
      <c r="I3149" s="724" t="s">
        <v>37</v>
      </c>
      <c r="J3149" s="726">
        <f>M177</f>
        <v>1.5</v>
      </c>
      <c r="K3149" s="726">
        <f t="shared" si="108"/>
        <v>12</v>
      </c>
    </row>
    <row r="3150" spans="1:12">
      <c r="B3150" s="722" t="s">
        <v>1104</v>
      </c>
      <c r="G3150" s="1124" t="s">
        <v>1074</v>
      </c>
      <c r="J3150" s="726"/>
      <c r="K3150" s="726">
        <v>30</v>
      </c>
    </row>
    <row r="3151" spans="1:12">
      <c r="B3151" s="722" t="s">
        <v>268</v>
      </c>
      <c r="G3151" s="1124">
        <v>9.75</v>
      </c>
      <c r="H3151" s="722" t="s">
        <v>136</v>
      </c>
      <c r="I3151" s="724" t="s">
        <v>136</v>
      </c>
      <c r="J3151" s="1112">
        <v>15</v>
      </c>
      <c r="K3151" s="726">
        <f t="shared" si="108"/>
        <v>146.25</v>
      </c>
    </row>
    <row r="3152" spans="1:12">
      <c r="B3152" s="722" t="s">
        <v>258</v>
      </c>
      <c r="G3152" s="1124">
        <v>1.64</v>
      </c>
      <c r="H3152" s="722" t="s">
        <v>92</v>
      </c>
      <c r="I3152" s="724" t="s">
        <v>92</v>
      </c>
      <c r="J3152" s="726">
        <f>M171</f>
        <v>608.4</v>
      </c>
      <c r="K3152" s="726">
        <f t="shared" si="108"/>
        <v>997.78</v>
      </c>
    </row>
    <row r="3153" spans="1:17">
      <c r="B3153" s="722" t="s">
        <v>260</v>
      </c>
      <c r="G3153" s="761">
        <v>8</v>
      </c>
      <c r="H3153" s="722" t="s">
        <v>262</v>
      </c>
      <c r="I3153" s="724" t="s">
        <v>38</v>
      </c>
      <c r="J3153" s="726">
        <f>M167</f>
        <v>25</v>
      </c>
      <c r="K3153" s="726">
        <f t="shared" si="108"/>
        <v>200</v>
      </c>
    </row>
    <row r="3154" spans="1:17">
      <c r="B3154" s="722" t="s">
        <v>263</v>
      </c>
      <c r="G3154" s="761">
        <v>2</v>
      </c>
      <c r="H3154" s="722" t="s">
        <v>262</v>
      </c>
      <c r="I3154" s="724" t="s">
        <v>38</v>
      </c>
      <c r="J3154" s="726">
        <f>M168</f>
        <v>40</v>
      </c>
      <c r="K3154" s="726">
        <f t="shared" si="108"/>
        <v>80</v>
      </c>
    </row>
    <row r="3155" spans="1:17">
      <c r="B3155" s="722" t="s">
        <v>318</v>
      </c>
      <c r="G3155" s="761">
        <v>1</v>
      </c>
      <c r="H3155" s="722" t="s">
        <v>319</v>
      </c>
      <c r="I3155" s="724" t="s">
        <v>319</v>
      </c>
      <c r="J3155" s="726">
        <f>M196</f>
        <v>100</v>
      </c>
      <c r="K3155" s="726">
        <f t="shared" si="108"/>
        <v>100</v>
      </c>
    </row>
    <row r="3156" spans="1:17">
      <c r="G3156" s="987"/>
      <c r="J3156" s="1091" t="s">
        <v>718</v>
      </c>
      <c r="K3156" s="1091">
        <f>SUM(K3148:K3155)</f>
        <v>4107.71</v>
      </c>
    </row>
    <row r="3157" spans="1:17">
      <c r="B3157" s="723" t="s">
        <v>904</v>
      </c>
      <c r="G3157" s="987"/>
      <c r="J3157" s="726"/>
      <c r="K3157" s="726"/>
    </row>
    <row r="3158" spans="1:17">
      <c r="B3158" s="722" t="s">
        <v>1047</v>
      </c>
      <c r="G3158" s="987">
        <v>5.33</v>
      </c>
      <c r="H3158" s="722" t="s">
        <v>262</v>
      </c>
      <c r="I3158" s="724" t="s">
        <v>38</v>
      </c>
      <c r="J3158" s="726">
        <f>L132</f>
        <v>284.3</v>
      </c>
      <c r="K3158" s="726">
        <f>ROUND(G3158*J3158,2)</f>
        <v>1515.32</v>
      </c>
    </row>
    <row r="3159" spans="1:17">
      <c r="B3159" s="722" t="s">
        <v>1049</v>
      </c>
      <c r="G3159" s="987">
        <v>5.33</v>
      </c>
      <c r="H3159" s="722" t="s">
        <v>262</v>
      </c>
      <c r="I3159" s="724" t="s">
        <v>38</v>
      </c>
      <c r="J3159" s="726">
        <f>L130</f>
        <v>244.3</v>
      </c>
      <c r="K3159" s="726">
        <f>ROUND(G3159*J3159,2)</f>
        <v>1302.1199999999999</v>
      </c>
    </row>
    <row r="3160" spans="1:17">
      <c r="G3160" s="987"/>
      <c r="J3160" s="1091" t="s">
        <v>718</v>
      </c>
      <c r="K3160" s="1091">
        <f>SUM(K3158:K3159)</f>
        <v>2817.4399999999996</v>
      </c>
    </row>
    <row r="3161" spans="1:17">
      <c r="B3161" s="723"/>
      <c r="G3161" s="987"/>
      <c r="J3161" s="726"/>
      <c r="K3161" s="726"/>
    </row>
    <row r="3162" spans="1:17">
      <c r="B3162" s="722" t="s">
        <v>1105</v>
      </c>
      <c r="G3162" s="987"/>
      <c r="J3162" s="726"/>
      <c r="K3162" s="726">
        <f>K3156+K3160+K3161</f>
        <v>6925.15</v>
      </c>
    </row>
    <row r="3163" spans="1:17">
      <c r="B3163" s="722" t="s">
        <v>1106</v>
      </c>
      <c r="G3163" s="987"/>
      <c r="J3163" s="726"/>
      <c r="K3163" s="1091">
        <f>ROUND(K3162/1.49,2)</f>
        <v>4647.75</v>
      </c>
      <c r="L3163" s="1087" t="s">
        <v>730</v>
      </c>
    </row>
    <row r="3164" spans="1:17">
      <c r="B3164" s="722" t="s">
        <v>1107</v>
      </c>
      <c r="G3164" s="987"/>
      <c r="J3164" s="726"/>
      <c r="K3164" s="1091">
        <f>ROUND(K3162/8.53,2)</f>
        <v>811.86</v>
      </c>
      <c r="L3164" s="1087" t="s">
        <v>1054</v>
      </c>
      <c r="Q3164" s="723" t="s">
        <v>1108</v>
      </c>
    </row>
    <row r="3165" spans="1:17" ht="96.75" customHeight="1">
      <c r="A3165" s="836">
        <f>A577</f>
        <v>89</v>
      </c>
      <c r="B3165" s="3399" t="str">
        <f>B577</f>
        <v>Supplying, fitting, fixing of Window (Sliding type) made of aluminium section 9778 as window frame section No-4095,4096 and 9777,3994 as shutter frame with 5mm thick black glass as panel fitted with rubber beading including locking arrangement including cost of materials all taxes labour, T&amp;P etc.complete as per direction of Engineer-in-charge.</v>
      </c>
      <c r="C3165" s="3386"/>
      <c r="D3165" s="3386"/>
      <c r="E3165" s="1086" t="str">
        <f>G577</f>
        <v>Each Sqm</v>
      </c>
      <c r="F3165" s="1086"/>
      <c r="G3165" s="987"/>
      <c r="J3165" s="1091"/>
      <c r="K3165" s="1091"/>
    </row>
    <row r="3166" spans="1:17">
      <c r="B3166" s="723" t="s">
        <v>1109</v>
      </c>
      <c r="D3166" s="723">
        <v>7.28</v>
      </c>
      <c r="E3166" s="723" t="s">
        <v>95</v>
      </c>
      <c r="F3166" s="723"/>
      <c r="G3166" s="987"/>
      <c r="J3166" s="726"/>
      <c r="K3166" s="726"/>
    </row>
    <row r="3167" spans="1:17">
      <c r="A3167" s="722"/>
      <c r="B3167" s="722" t="s">
        <v>1110</v>
      </c>
      <c r="C3167" s="723"/>
      <c r="G3167" s="1096">
        <f>ROUND(1.2*0.875,2)</f>
        <v>1.05</v>
      </c>
      <c r="H3167" s="1095" t="s">
        <v>95</v>
      </c>
      <c r="I3167" s="1096"/>
      <c r="J3167" s="827"/>
      <c r="K3167" s="1091"/>
    </row>
    <row r="3168" spans="1:17">
      <c r="A3168" s="722"/>
      <c r="B3168" s="722" t="s">
        <v>1111</v>
      </c>
      <c r="C3168" s="723"/>
      <c r="G3168" s="1096">
        <f>ROUND(3.6*0.747,2)</f>
        <v>2.69</v>
      </c>
      <c r="H3168" s="1095" t="s">
        <v>95</v>
      </c>
      <c r="I3168" s="1096"/>
      <c r="J3168" s="827"/>
      <c r="K3168" s="1091"/>
    </row>
    <row r="3169" spans="1:11">
      <c r="A3169" s="722"/>
      <c r="B3169" s="722" t="s">
        <v>1112</v>
      </c>
      <c r="C3169" s="723"/>
      <c r="G3169" s="1096">
        <f>ROUND(2.4*0.609,2)</f>
        <v>1.46</v>
      </c>
      <c r="H3169" s="1095" t="s">
        <v>95</v>
      </c>
      <c r="I3169" s="1096"/>
      <c r="J3169" s="827"/>
      <c r="K3169" s="1091"/>
    </row>
    <row r="3170" spans="1:11">
      <c r="A3170" s="722"/>
      <c r="B3170" s="722" t="s">
        <v>1113</v>
      </c>
      <c r="C3170" s="723"/>
      <c r="G3170" s="1096">
        <f>ROUND(2.4*0.379,2)</f>
        <v>0.91</v>
      </c>
      <c r="H3170" s="1095" t="s">
        <v>95</v>
      </c>
      <c r="I3170" s="1096"/>
      <c r="J3170" s="827"/>
      <c r="K3170" s="1091"/>
    </row>
    <row r="3171" spans="1:11">
      <c r="A3171" s="722"/>
      <c r="B3171" s="722" t="s">
        <v>1114</v>
      </c>
      <c r="C3171" s="723"/>
      <c r="G3171" s="1123">
        <f>ROUND(2.4*0.489,2)</f>
        <v>1.17</v>
      </c>
      <c r="H3171" s="1095" t="s">
        <v>95</v>
      </c>
      <c r="I3171" s="1096"/>
      <c r="J3171" s="827"/>
      <c r="K3171" s="1091"/>
    </row>
    <row r="3172" spans="1:11">
      <c r="A3172" s="722"/>
      <c r="C3172" s="723"/>
      <c r="G3172" s="1096">
        <f>SUM(G3167:G3171)</f>
        <v>7.28</v>
      </c>
      <c r="H3172" s="1095" t="s">
        <v>95</v>
      </c>
      <c r="I3172" s="1096"/>
      <c r="J3172" s="827"/>
      <c r="K3172" s="1091"/>
    </row>
    <row r="3173" spans="1:11">
      <c r="A3173" s="722"/>
      <c r="C3173" s="723" t="s">
        <v>1071</v>
      </c>
      <c r="G3173" s="1123">
        <f>ROUND(G3172*5%,2)</f>
        <v>0.36</v>
      </c>
      <c r="H3173" s="1095" t="s">
        <v>95</v>
      </c>
      <c r="I3173" s="1096"/>
      <c r="J3173" s="827"/>
      <c r="K3173" s="1091"/>
    </row>
    <row r="3174" spans="1:11">
      <c r="A3174" s="722"/>
      <c r="C3174" s="723"/>
      <c r="G3174" s="827">
        <f>SUM(G3172:G3173)</f>
        <v>7.6400000000000006</v>
      </c>
      <c r="H3174" s="1118" t="s">
        <v>95</v>
      </c>
      <c r="I3174" s="1096"/>
      <c r="J3174" s="827"/>
      <c r="K3174" s="1091"/>
    </row>
    <row r="3175" spans="1:11">
      <c r="B3175" s="723" t="s">
        <v>829</v>
      </c>
      <c r="G3175" s="987"/>
      <c r="J3175" s="726"/>
      <c r="K3175" s="726"/>
    </row>
    <row r="3176" spans="1:11">
      <c r="B3176" s="722" t="s">
        <v>280</v>
      </c>
      <c r="G3176" s="987">
        <v>7.65</v>
      </c>
      <c r="H3176" s="722" t="s">
        <v>95</v>
      </c>
      <c r="I3176" s="724" t="s">
        <v>95</v>
      </c>
      <c r="J3176" s="726">
        <f>G177</f>
        <v>297.97000000000003</v>
      </c>
      <c r="K3176" s="726">
        <f t="shared" ref="K3176:K3183" si="109">ROUND(G3176*J3176,2)</f>
        <v>2279.4699999999998</v>
      </c>
    </row>
    <row r="3177" spans="1:11">
      <c r="B3177" s="722" t="s">
        <v>281</v>
      </c>
      <c r="G3177" s="761">
        <v>8</v>
      </c>
      <c r="H3177" s="722" t="s">
        <v>262</v>
      </c>
      <c r="I3177" s="724" t="s">
        <v>37</v>
      </c>
      <c r="J3177" s="726">
        <f>M177</f>
        <v>1.5</v>
      </c>
      <c r="K3177" s="726">
        <f t="shared" si="109"/>
        <v>12</v>
      </c>
    </row>
    <row r="3178" spans="1:11">
      <c r="B3178" s="722" t="s">
        <v>1104</v>
      </c>
      <c r="G3178" s="1124" t="s">
        <v>1074</v>
      </c>
      <c r="J3178" s="726"/>
      <c r="K3178" s="726">
        <v>30</v>
      </c>
    </row>
    <row r="3179" spans="1:11">
      <c r="B3179" s="722" t="s">
        <v>268</v>
      </c>
      <c r="G3179" s="1124">
        <v>9.75</v>
      </c>
      <c r="H3179" s="722" t="s">
        <v>136</v>
      </c>
      <c r="I3179" s="724" t="s">
        <v>136</v>
      </c>
      <c r="J3179" s="1112">
        <v>15</v>
      </c>
      <c r="K3179" s="726">
        <f t="shared" si="109"/>
        <v>146.25</v>
      </c>
    </row>
    <row r="3180" spans="1:11">
      <c r="B3180" s="722" t="s">
        <v>258</v>
      </c>
      <c r="G3180" s="1124">
        <v>1.64</v>
      </c>
      <c r="H3180" s="722" t="s">
        <v>92</v>
      </c>
      <c r="I3180" s="724" t="s">
        <v>92</v>
      </c>
      <c r="J3180" s="726">
        <f>M171</f>
        <v>608.4</v>
      </c>
      <c r="K3180" s="726">
        <f t="shared" si="109"/>
        <v>997.78</v>
      </c>
    </row>
    <row r="3181" spans="1:11">
      <c r="B3181" s="722" t="s">
        <v>260</v>
      </c>
      <c r="G3181" s="761">
        <v>8</v>
      </c>
      <c r="H3181" s="722" t="s">
        <v>262</v>
      </c>
      <c r="I3181" s="724" t="s">
        <v>38</v>
      </c>
      <c r="J3181" s="726">
        <f>M167</f>
        <v>25</v>
      </c>
      <c r="K3181" s="726">
        <f t="shared" si="109"/>
        <v>200</v>
      </c>
    </row>
    <row r="3182" spans="1:11">
      <c r="B3182" s="722" t="s">
        <v>263</v>
      </c>
      <c r="G3182" s="761">
        <v>2</v>
      </c>
      <c r="H3182" s="722" t="s">
        <v>262</v>
      </c>
      <c r="I3182" s="724" t="s">
        <v>38</v>
      </c>
      <c r="J3182" s="726">
        <f>M168</f>
        <v>40</v>
      </c>
      <c r="K3182" s="726">
        <f t="shared" si="109"/>
        <v>80</v>
      </c>
    </row>
    <row r="3183" spans="1:11">
      <c r="B3183" s="722" t="s">
        <v>318</v>
      </c>
      <c r="G3183" s="761">
        <v>1</v>
      </c>
      <c r="H3183" s="722" t="s">
        <v>319</v>
      </c>
      <c r="I3183" s="724" t="s">
        <v>319</v>
      </c>
      <c r="J3183" s="726">
        <f>M196</f>
        <v>100</v>
      </c>
      <c r="K3183" s="1097">
        <f t="shared" si="109"/>
        <v>100</v>
      </c>
    </row>
    <row r="3184" spans="1:11">
      <c r="G3184" s="987"/>
      <c r="J3184" s="1091" t="s">
        <v>718</v>
      </c>
      <c r="K3184" s="1091">
        <f>SUM(K3176:K3183)</f>
        <v>3845.5</v>
      </c>
    </row>
    <row r="3185" spans="1:17">
      <c r="B3185" s="723" t="s">
        <v>904</v>
      </c>
      <c r="G3185" s="987"/>
      <c r="J3185" s="726"/>
      <c r="K3185" s="726"/>
    </row>
    <row r="3186" spans="1:17">
      <c r="B3186" s="722" t="s">
        <v>1047</v>
      </c>
      <c r="G3186" s="987">
        <v>0.5</v>
      </c>
      <c r="H3186" s="722" t="s">
        <v>262</v>
      </c>
      <c r="I3186" s="724" t="s">
        <v>38</v>
      </c>
      <c r="J3186" s="726">
        <f>L132</f>
        <v>284.3</v>
      </c>
      <c r="K3186" s="726">
        <f>ROUND(G3186*J3186,2)</f>
        <v>142.15</v>
      </c>
    </row>
    <row r="3187" spans="1:17">
      <c r="B3187" s="722" t="s">
        <v>1048</v>
      </c>
      <c r="G3187" s="987">
        <v>0.5</v>
      </c>
      <c r="H3187" s="722" t="s">
        <v>262</v>
      </c>
      <c r="I3187" s="724" t="s">
        <v>38</v>
      </c>
      <c r="J3187" s="726">
        <f>L131</f>
        <v>264.3</v>
      </c>
      <c r="K3187" s="726">
        <f>ROUND(G3187*J3187,2)</f>
        <v>132.15</v>
      </c>
    </row>
    <row r="3188" spans="1:17">
      <c r="B3188" s="722" t="s">
        <v>1049</v>
      </c>
      <c r="G3188" s="987">
        <v>1.5</v>
      </c>
      <c r="H3188" s="722" t="s">
        <v>262</v>
      </c>
      <c r="I3188" s="724" t="s">
        <v>38</v>
      </c>
      <c r="J3188" s="726">
        <f>L130</f>
        <v>244.3</v>
      </c>
      <c r="K3188" s="726">
        <f>ROUND(G3188*J3188,2)</f>
        <v>366.45</v>
      </c>
    </row>
    <row r="3189" spans="1:17">
      <c r="B3189" s="722" t="s">
        <v>717</v>
      </c>
      <c r="G3189" s="987">
        <v>1.5</v>
      </c>
      <c r="H3189" s="722" t="s">
        <v>262</v>
      </c>
      <c r="I3189" s="724" t="s">
        <v>38</v>
      </c>
      <c r="J3189" s="726">
        <f>L129</f>
        <v>182</v>
      </c>
      <c r="K3189" s="1097">
        <f>ROUND(G3189*J3189,2)</f>
        <v>273</v>
      </c>
    </row>
    <row r="3190" spans="1:17">
      <c r="G3190" s="987"/>
      <c r="J3190" s="1091" t="s">
        <v>718</v>
      </c>
      <c r="K3190" s="1091">
        <f>SUM(K3186:K3189)</f>
        <v>913.75</v>
      </c>
    </row>
    <row r="3191" spans="1:17">
      <c r="B3191" s="723"/>
      <c r="G3191" s="987"/>
      <c r="J3191" s="726"/>
      <c r="K3191" s="726"/>
    </row>
    <row r="3192" spans="1:17">
      <c r="B3192" s="723" t="s">
        <v>1105</v>
      </c>
      <c r="C3192" s="723"/>
      <c r="D3192" s="723"/>
      <c r="G3192" s="1098"/>
      <c r="H3192" s="723"/>
      <c r="I3192" s="836"/>
      <c r="J3192" s="1091"/>
      <c r="K3192" s="1091">
        <f>K3184+K3190+K3191</f>
        <v>4759.25</v>
      </c>
    </row>
    <row r="3193" spans="1:17">
      <c r="B3193" s="723" t="s">
        <v>1106</v>
      </c>
      <c r="C3193" s="723"/>
      <c r="D3193" s="723"/>
      <c r="G3193" s="1098"/>
      <c r="H3193" s="723"/>
      <c r="I3193" s="836"/>
      <c r="J3193" s="1091"/>
      <c r="K3193" s="1091">
        <f>ROUND(K3192/1.49,2)</f>
        <v>3194.13</v>
      </c>
      <c r="L3193" s="1087" t="s">
        <v>730</v>
      </c>
    </row>
    <row r="3194" spans="1:17">
      <c r="B3194" s="723" t="s">
        <v>1115</v>
      </c>
      <c r="C3194" s="723"/>
      <c r="D3194" s="723"/>
      <c r="G3194" s="1098"/>
      <c r="H3194" s="723"/>
      <c r="I3194" s="836"/>
      <c r="J3194" s="1091"/>
      <c r="K3194" s="1091">
        <f>ROUND(K3192/7.28,2)</f>
        <v>653.74</v>
      </c>
      <c r="L3194" s="1087" t="s">
        <v>1054</v>
      </c>
      <c r="Q3194" s="723" t="s">
        <v>1116</v>
      </c>
    </row>
    <row r="3195" spans="1:17" ht="108.75" customHeight="1">
      <c r="A3195" s="836">
        <f>A579</f>
        <v>90</v>
      </c>
      <c r="B3195" s="3399" t="str">
        <f>B579</f>
        <v>Supplying, fitting, fixing of  fully glazed openable window using 15 micron anidized OEL aluminum section 2062 as out section, 9139 as mullion section, 4124 as a shutter section framed with tapered clip of section 4125, aluminum angle, rubber beading, friction stay and handle etc with 5mm black glass including cost of materials all taxes labour, T&amp;P etc.complete as per direction of Engineer-in-charge.</v>
      </c>
      <c r="C3195" s="3399"/>
      <c r="D3195" s="3399"/>
      <c r="E3195" s="1086" t="str">
        <f>G579</f>
        <v>Each Sqm</v>
      </c>
      <c r="F3195" s="1086"/>
      <c r="G3195" s="987"/>
      <c r="J3195" s="1091"/>
      <c r="K3195" s="1091"/>
    </row>
    <row r="3196" spans="1:17">
      <c r="B3196" s="723" t="s">
        <v>1117</v>
      </c>
      <c r="G3196" s="987"/>
      <c r="J3196" s="726"/>
      <c r="K3196" s="726"/>
    </row>
    <row r="3197" spans="1:17">
      <c r="A3197" s="722"/>
      <c r="B3197" s="830" t="s">
        <v>1118</v>
      </c>
      <c r="C3197" s="768"/>
      <c r="D3197" s="1073">
        <v>10.54</v>
      </c>
      <c r="E3197" s="768" t="s">
        <v>95</v>
      </c>
      <c r="F3197" s="768"/>
      <c r="G3197" s="1096"/>
      <c r="H3197" s="1095"/>
      <c r="I3197" s="1096"/>
      <c r="J3197" s="827"/>
      <c r="K3197" s="1091"/>
    </row>
    <row r="3198" spans="1:17">
      <c r="A3198" s="722"/>
      <c r="B3198" s="722" t="s">
        <v>1119</v>
      </c>
      <c r="C3198" s="723"/>
      <c r="G3198" s="1096">
        <f>ROUND(6.09*0.554,2)</f>
        <v>3.37</v>
      </c>
      <c r="H3198" s="1095" t="s">
        <v>95</v>
      </c>
      <c r="I3198" s="1096"/>
      <c r="J3198" s="827"/>
      <c r="K3198" s="1091"/>
    </row>
    <row r="3199" spans="1:17">
      <c r="A3199" s="722"/>
      <c r="B3199" s="722" t="s">
        <v>1120</v>
      </c>
      <c r="C3199" s="723"/>
      <c r="G3199" s="1096">
        <f>ROUND(2.44*0.81,2)</f>
        <v>1.98</v>
      </c>
      <c r="H3199" s="1095" t="s">
        <v>95</v>
      </c>
      <c r="I3199" s="1096"/>
      <c r="J3199" s="827"/>
      <c r="K3199" s="1091"/>
    </row>
    <row r="3200" spans="1:17">
      <c r="A3200" s="722"/>
      <c r="B3200" s="722" t="s">
        <v>1121</v>
      </c>
      <c r="C3200" s="723"/>
      <c r="G3200" s="1096">
        <f>ROUND(6.09*0.493,2)</f>
        <v>3</v>
      </c>
      <c r="H3200" s="1095" t="s">
        <v>95</v>
      </c>
      <c r="I3200" s="1096"/>
      <c r="J3200" s="827"/>
      <c r="K3200" s="1091"/>
    </row>
    <row r="3201" spans="1:28">
      <c r="A3201" s="722"/>
      <c r="B3201" s="722" t="s">
        <v>1122</v>
      </c>
      <c r="C3201" s="723"/>
      <c r="G3201" s="1096">
        <f>ROUND(10.97*0.183,2)</f>
        <v>2.0099999999999998</v>
      </c>
      <c r="H3201" s="1095" t="s">
        <v>95</v>
      </c>
      <c r="I3201" s="1096"/>
      <c r="J3201" s="827"/>
      <c r="K3201" s="1091"/>
    </row>
    <row r="3202" spans="1:28">
      <c r="A3202" s="722"/>
      <c r="B3202" s="722" t="s">
        <v>1123</v>
      </c>
      <c r="C3202" s="723"/>
      <c r="G3202" s="1123">
        <f>ROUND(0.28*0.64,2)</f>
        <v>0.18</v>
      </c>
      <c r="H3202" s="1095" t="s">
        <v>95</v>
      </c>
      <c r="I3202" s="1096"/>
      <c r="J3202" s="827"/>
      <c r="K3202" s="1091"/>
    </row>
    <row r="3203" spans="1:28">
      <c r="A3203" s="722"/>
      <c r="C3203" s="723"/>
      <c r="G3203" s="1096">
        <f>SUM(G3198:G3202)</f>
        <v>10.54</v>
      </c>
      <c r="H3203" s="1095" t="s">
        <v>95</v>
      </c>
      <c r="I3203" s="1096"/>
      <c r="J3203" s="827"/>
      <c r="K3203" s="1091"/>
    </row>
    <row r="3204" spans="1:28">
      <c r="A3204" s="722"/>
      <c r="C3204" s="723" t="s">
        <v>1071</v>
      </c>
      <c r="G3204" s="1123">
        <f>ROUND(G3203*5%,2)</f>
        <v>0.53</v>
      </c>
      <c r="H3204" s="1095" t="s">
        <v>95</v>
      </c>
      <c r="I3204" s="1096"/>
      <c r="J3204" s="827"/>
      <c r="K3204" s="1091"/>
    </row>
    <row r="3205" spans="1:28">
      <c r="A3205" s="722"/>
      <c r="C3205" s="723"/>
      <c r="G3205" s="827">
        <f>SUM(G3203:G3204)</f>
        <v>11.069999999999999</v>
      </c>
      <c r="H3205" s="1118" t="s">
        <v>95</v>
      </c>
      <c r="I3205" s="1096"/>
      <c r="J3205" s="827"/>
      <c r="K3205" s="1091"/>
    </row>
    <row r="3206" spans="1:28">
      <c r="B3206" s="723" t="s">
        <v>829</v>
      </c>
      <c r="G3206" s="987"/>
      <c r="J3206" s="726"/>
      <c r="K3206" s="726"/>
    </row>
    <row r="3207" spans="1:28">
      <c r="B3207" s="722" t="s">
        <v>280</v>
      </c>
      <c r="G3207" s="987">
        <v>11.07</v>
      </c>
      <c r="H3207" s="722" t="s">
        <v>95</v>
      </c>
      <c r="I3207" s="724" t="s">
        <v>95</v>
      </c>
      <c r="J3207" s="726">
        <f>G177</f>
        <v>297.97000000000003</v>
      </c>
      <c r="K3207" s="726">
        <f t="shared" ref="K3207:K3214" si="110">ROUND(G3207*J3207,2)</f>
        <v>3298.53</v>
      </c>
    </row>
    <row r="3208" spans="1:28" s="723" customFormat="1">
      <c r="A3208" s="836"/>
      <c r="B3208" s="722" t="s">
        <v>268</v>
      </c>
      <c r="C3208" s="722"/>
      <c r="D3208" s="722"/>
      <c r="E3208" s="986"/>
      <c r="F3208" s="986"/>
      <c r="G3208" s="987">
        <v>10.97</v>
      </c>
      <c r="H3208" s="722" t="s">
        <v>136</v>
      </c>
      <c r="I3208" s="724" t="s">
        <v>136</v>
      </c>
      <c r="J3208" s="1112">
        <v>15</v>
      </c>
      <c r="K3208" s="726">
        <f t="shared" si="110"/>
        <v>164.55</v>
      </c>
      <c r="M3208" s="722"/>
      <c r="N3208" s="722"/>
      <c r="O3208" s="722"/>
      <c r="P3208" s="722"/>
      <c r="Q3208" s="722"/>
      <c r="R3208" s="722"/>
      <c r="S3208" s="722"/>
      <c r="U3208" s="722"/>
      <c r="V3208" s="722"/>
      <c r="W3208" s="722"/>
      <c r="X3208" s="722"/>
      <c r="Y3208" s="722"/>
      <c r="Z3208" s="722"/>
      <c r="AA3208" s="722"/>
      <c r="AB3208" s="722"/>
    </row>
    <row r="3209" spans="1:28" s="723" customFormat="1">
      <c r="A3209" s="836"/>
      <c r="B3209" s="722" t="s">
        <v>265</v>
      </c>
      <c r="C3209" s="722"/>
      <c r="D3209" s="722"/>
      <c r="E3209" s="986"/>
      <c r="F3209" s="986"/>
      <c r="G3209" s="1120">
        <v>2</v>
      </c>
      <c r="H3209" s="722" t="s">
        <v>262</v>
      </c>
      <c r="I3209" s="724" t="s">
        <v>38</v>
      </c>
      <c r="J3209" s="726">
        <f>M169</f>
        <v>40</v>
      </c>
      <c r="K3209" s="726">
        <f t="shared" si="110"/>
        <v>80</v>
      </c>
      <c r="M3209" s="722"/>
      <c r="N3209" s="722"/>
      <c r="O3209" s="722"/>
      <c r="P3209" s="722"/>
      <c r="Q3209" s="722"/>
      <c r="R3209" s="722"/>
      <c r="S3209" s="722"/>
      <c r="U3209" s="722"/>
      <c r="V3209" s="722"/>
      <c r="W3209" s="722"/>
      <c r="X3209" s="722"/>
      <c r="Y3209" s="722"/>
      <c r="Z3209" s="722"/>
      <c r="AA3209" s="722"/>
      <c r="AB3209" s="722"/>
    </row>
    <row r="3210" spans="1:28" s="723" customFormat="1">
      <c r="A3210" s="836"/>
      <c r="B3210" s="722" t="s">
        <v>267</v>
      </c>
      <c r="C3210" s="722"/>
      <c r="D3210" s="722"/>
      <c r="E3210" s="986"/>
      <c r="F3210" s="986"/>
      <c r="G3210" s="1120">
        <v>4</v>
      </c>
      <c r="H3210" s="722" t="s">
        <v>262</v>
      </c>
      <c r="I3210" s="724" t="s">
        <v>38</v>
      </c>
      <c r="J3210" s="726">
        <f>M170</f>
        <v>122</v>
      </c>
      <c r="K3210" s="726">
        <f t="shared" si="110"/>
        <v>488</v>
      </c>
      <c r="M3210" s="722"/>
      <c r="N3210" s="722"/>
      <c r="O3210" s="722"/>
      <c r="P3210" s="722"/>
      <c r="Q3210" s="722"/>
      <c r="R3210" s="722"/>
      <c r="S3210" s="722"/>
      <c r="U3210" s="722"/>
      <c r="V3210" s="722"/>
      <c r="W3210" s="722"/>
      <c r="X3210" s="722"/>
      <c r="Y3210" s="722"/>
      <c r="Z3210" s="722"/>
      <c r="AA3210" s="722"/>
      <c r="AB3210" s="722"/>
    </row>
    <row r="3211" spans="1:28" s="723" customFormat="1">
      <c r="A3211" s="836"/>
      <c r="B3211" s="722" t="s">
        <v>258</v>
      </c>
      <c r="C3211" s="722"/>
      <c r="D3211" s="722"/>
      <c r="E3211" s="986"/>
      <c r="F3211" s="986"/>
      <c r="G3211" s="987">
        <v>2.4500000000000002</v>
      </c>
      <c r="H3211" s="722" t="s">
        <v>92</v>
      </c>
      <c r="I3211" s="724" t="s">
        <v>92</v>
      </c>
      <c r="J3211" s="726">
        <f>M171</f>
        <v>608.4</v>
      </c>
      <c r="K3211" s="726">
        <f t="shared" si="110"/>
        <v>1490.58</v>
      </c>
      <c r="M3211" s="722"/>
      <c r="N3211" s="722"/>
      <c r="O3211" s="722"/>
      <c r="P3211" s="722"/>
      <c r="Q3211" s="722"/>
      <c r="R3211" s="722"/>
      <c r="S3211" s="722"/>
      <c r="U3211" s="722"/>
      <c r="V3211" s="722"/>
      <c r="W3211" s="722"/>
      <c r="X3211" s="722"/>
      <c r="Y3211" s="722"/>
      <c r="Z3211" s="722"/>
      <c r="AA3211" s="722"/>
      <c r="AB3211" s="722"/>
    </row>
    <row r="3212" spans="1:28" s="723" customFormat="1">
      <c r="A3212" s="836"/>
      <c r="B3212" s="722" t="s">
        <v>1124</v>
      </c>
      <c r="C3212" s="722"/>
      <c r="D3212" s="722"/>
      <c r="E3212" s="986"/>
      <c r="F3212" s="986"/>
      <c r="G3212" s="1120">
        <v>15</v>
      </c>
      <c r="H3212" s="722" t="s">
        <v>262</v>
      </c>
      <c r="I3212" s="724" t="s">
        <v>37</v>
      </c>
      <c r="J3212" s="726">
        <f>G167</f>
        <v>7</v>
      </c>
      <c r="K3212" s="726">
        <f t="shared" si="110"/>
        <v>105</v>
      </c>
      <c r="M3212" s="722"/>
      <c r="N3212" s="722"/>
      <c r="O3212" s="722"/>
      <c r="P3212" s="722"/>
      <c r="Q3212" s="722"/>
      <c r="R3212" s="722"/>
      <c r="S3212" s="722"/>
      <c r="U3212" s="722"/>
      <c r="V3212" s="722"/>
      <c r="W3212" s="722"/>
      <c r="X3212" s="722"/>
      <c r="Y3212" s="722"/>
      <c r="Z3212" s="722"/>
      <c r="AA3212" s="722"/>
      <c r="AB3212" s="722"/>
    </row>
    <row r="3213" spans="1:28" s="723" customFormat="1">
      <c r="A3213" s="836"/>
      <c r="B3213" s="722" t="s">
        <v>1104</v>
      </c>
      <c r="C3213" s="722"/>
      <c r="D3213" s="722"/>
      <c r="E3213" s="986"/>
      <c r="F3213" s="986"/>
      <c r="G3213" s="987" t="s">
        <v>1074</v>
      </c>
      <c r="H3213" s="722"/>
      <c r="I3213" s="724"/>
      <c r="J3213" s="726"/>
      <c r="K3213" s="726">
        <v>50</v>
      </c>
      <c r="M3213" s="722"/>
      <c r="N3213" s="722"/>
      <c r="O3213" s="722"/>
      <c r="P3213" s="722"/>
      <c r="Q3213" s="722"/>
      <c r="R3213" s="722"/>
      <c r="S3213" s="722"/>
      <c r="U3213" s="722"/>
      <c r="V3213" s="722"/>
      <c r="W3213" s="722"/>
      <c r="X3213" s="722"/>
      <c r="Y3213" s="722"/>
      <c r="Z3213" s="722"/>
      <c r="AA3213" s="722"/>
      <c r="AB3213" s="722"/>
    </row>
    <row r="3214" spans="1:28" s="723" customFormat="1">
      <c r="A3214" s="836"/>
      <c r="B3214" s="722" t="s">
        <v>318</v>
      </c>
      <c r="C3214" s="722"/>
      <c r="D3214" s="722"/>
      <c r="E3214" s="986"/>
      <c r="F3214" s="986"/>
      <c r="G3214" s="1125">
        <v>1</v>
      </c>
      <c r="H3214" s="722" t="s">
        <v>319</v>
      </c>
      <c r="I3214" s="724" t="s">
        <v>319</v>
      </c>
      <c r="J3214" s="726">
        <f>M196</f>
        <v>100</v>
      </c>
      <c r="K3214" s="1097">
        <f t="shared" si="110"/>
        <v>100</v>
      </c>
      <c r="M3214" s="722"/>
      <c r="N3214" s="722"/>
      <c r="O3214" s="722"/>
      <c r="P3214" s="722"/>
      <c r="Q3214" s="722"/>
      <c r="R3214" s="722"/>
      <c r="S3214" s="722"/>
      <c r="U3214" s="722"/>
      <c r="V3214" s="722"/>
      <c r="W3214" s="722"/>
      <c r="X3214" s="722"/>
      <c r="Y3214" s="722"/>
      <c r="Z3214" s="722"/>
      <c r="AA3214" s="722"/>
      <c r="AB3214" s="722"/>
    </row>
    <row r="3215" spans="1:28" s="723" customFormat="1">
      <c r="A3215" s="836"/>
      <c r="B3215" s="722"/>
      <c r="C3215" s="722"/>
      <c r="D3215" s="722"/>
      <c r="E3215" s="986"/>
      <c r="F3215" s="986"/>
      <c r="G3215" s="987"/>
      <c r="H3215" s="722"/>
      <c r="I3215" s="724"/>
      <c r="J3215" s="726" t="s">
        <v>718</v>
      </c>
      <c r="K3215" s="726">
        <f>SUM(K3207:K3214)</f>
        <v>5776.66</v>
      </c>
      <c r="M3215" s="722"/>
      <c r="N3215" s="722"/>
      <c r="O3215" s="722"/>
      <c r="P3215" s="722"/>
      <c r="Q3215" s="722"/>
      <c r="R3215" s="722"/>
      <c r="S3215" s="722"/>
      <c r="U3215" s="722"/>
      <c r="V3215" s="722"/>
      <c r="W3215" s="722"/>
      <c r="X3215" s="722"/>
      <c r="Y3215" s="722"/>
      <c r="Z3215" s="722"/>
      <c r="AA3215" s="722"/>
      <c r="AB3215" s="722"/>
    </row>
    <row r="3216" spans="1:28" s="723" customFormat="1">
      <c r="A3216" s="836"/>
      <c r="B3216" s="723" t="s">
        <v>904</v>
      </c>
      <c r="C3216" s="722"/>
      <c r="D3216" s="722"/>
      <c r="E3216" s="986"/>
      <c r="F3216" s="986"/>
      <c r="G3216" s="987"/>
      <c r="H3216" s="722"/>
      <c r="I3216" s="724"/>
      <c r="J3216" s="726"/>
      <c r="K3216" s="726"/>
      <c r="M3216" s="722"/>
      <c r="N3216" s="722"/>
      <c r="O3216" s="722"/>
      <c r="P3216" s="722"/>
      <c r="Q3216" s="722"/>
      <c r="R3216" s="722"/>
      <c r="S3216" s="722"/>
      <c r="U3216" s="722"/>
      <c r="V3216" s="722"/>
      <c r="W3216" s="722"/>
      <c r="X3216" s="722"/>
      <c r="Y3216" s="722"/>
      <c r="Z3216" s="722"/>
      <c r="AA3216" s="722"/>
      <c r="AB3216" s="722"/>
    </row>
    <row r="3217" spans="1:28" s="723" customFormat="1">
      <c r="A3217" s="836"/>
      <c r="B3217" s="722" t="s">
        <v>1047</v>
      </c>
      <c r="C3217" s="722"/>
      <c r="D3217" s="722"/>
      <c r="E3217" s="986"/>
      <c r="F3217" s="986"/>
      <c r="G3217" s="987">
        <v>0.6</v>
      </c>
      <c r="H3217" s="722" t="s">
        <v>262</v>
      </c>
      <c r="I3217" s="724" t="s">
        <v>38</v>
      </c>
      <c r="J3217" s="726">
        <f>L132</f>
        <v>284.3</v>
      </c>
      <c r="K3217" s="726">
        <f>ROUND(G3217*J3217,2)</f>
        <v>170.58</v>
      </c>
      <c r="M3217" s="722"/>
      <c r="N3217" s="722"/>
      <c r="O3217" s="722"/>
      <c r="P3217" s="722"/>
      <c r="Q3217" s="722"/>
      <c r="R3217" s="722"/>
      <c r="S3217" s="722"/>
      <c r="U3217" s="722"/>
      <c r="V3217" s="722"/>
      <c r="W3217" s="722"/>
      <c r="X3217" s="722"/>
      <c r="Y3217" s="722"/>
      <c r="Z3217" s="722"/>
      <c r="AA3217" s="722"/>
      <c r="AB3217" s="722"/>
    </row>
    <row r="3218" spans="1:28" s="723" customFormat="1">
      <c r="A3218" s="836"/>
      <c r="B3218" s="722" t="s">
        <v>1048</v>
      </c>
      <c r="C3218" s="722"/>
      <c r="D3218" s="722"/>
      <c r="E3218" s="986"/>
      <c r="F3218" s="986"/>
      <c r="G3218" s="987">
        <v>1.62</v>
      </c>
      <c r="H3218" s="722" t="s">
        <v>262</v>
      </c>
      <c r="I3218" s="724" t="s">
        <v>38</v>
      </c>
      <c r="J3218" s="726">
        <f>L131</f>
        <v>264.3</v>
      </c>
      <c r="K3218" s="726">
        <f>ROUND(G3218*J3218,2)</f>
        <v>428.17</v>
      </c>
      <c r="M3218" s="722"/>
      <c r="N3218" s="722"/>
      <c r="O3218" s="722"/>
      <c r="P3218" s="722"/>
      <c r="Q3218" s="722"/>
      <c r="R3218" s="722"/>
      <c r="S3218" s="722"/>
      <c r="U3218" s="722"/>
      <c r="V3218" s="722"/>
      <c r="W3218" s="722"/>
      <c r="X3218" s="722"/>
      <c r="Y3218" s="722"/>
      <c r="Z3218" s="722"/>
      <c r="AA3218" s="722"/>
      <c r="AB3218" s="722"/>
    </row>
    <row r="3219" spans="1:28" s="723" customFormat="1">
      <c r="A3219" s="836"/>
      <c r="B3219" s="722" t="s">
        <v>1049</v>
      </c>
      <c r="C3219" s="722"/>
      <c r="D3219" s="722"/>
      <c r="E3219" s="986"/>
      <c r="F3219" s="986"/>
      <c r="G3219" s="987">
        <v>2.4</v>
      </c>
      <c r="H3219" s="722" t="s">
        <v>262</v>
      </c>
      <c r="I3219" s="724" t="s">
        <v>38</v>
      </c>
      <c r="J3219" s="726">
        <f>L130</f>
        <v>244.3</v>
      </c>
      <c r="K3219" s="726">
        <f>ROUND(G3219*J3219,2)</f>
        <v>586.32000000000005</v>
      </c>
      <c r="M3219" s="722"/>
      <c r="N3219" s="722"/>
      <c r="O3219" s="722"/>
      <c r="P3219" s="722"/>
      <c r="Q3219" s="722"/>
      <c r="R3219" s="722"/>
      <c r="S3219" s="722"/>
      <c r="U3219" s="722"/>
      <c r="V3219" s="722"/>
      <c r="W3219" s="722"/>
      <c r="X3219" s="722"/>
      <c r="Y3219" s="722"/>
      <c r="Z3219" s="722"/>
      <c r="AA3219" s="722"/>
      <c r="AB3219" s="722"/>
    </row>
    <row r="3220" spans="1:28" s="723" customFormat="1">
      <c r="A3220" s="836"/>
      <c r="B3220" s="722" t="s">
        <v>717</v>
      </c>
      <c r="C3220" s="722"/>
      <c r="D3220" s="722"/>
      <c r="E3220" s="986"/>
      <c r="F3220" s="986"/>
      <c r="G3220" s="987">
        <v>3</v>
      </c>
      <c r="H3220" s="722" t="s">
        <v>262</v>
      </c>
      <c r="I3220" s="724" t="s">
        <v>38</v>
      </c>
      <c r="J3220" s="726">
        <f>L129</f>
        <v>182</v>
      </c>
      <c r="K3220" s="1097">
        <f>ROUND(G3220*J3220,2)</f>
        <v>546</v>
      </c>
      <c r="M3220" s="722"/>
      <c r="N3220" s="722"/>
      <c r="O3220" s="722"/>
      <c r="P3220" s="722"/>
      <c r="Q3220" s="722"/>
      <c r="R3220" s="722"/>
      <c r="S3220" s="722"/>
      <c r="U3220" s="722"/>
      <c r="V3220" s="722"/>
      <c r="W3220" s="722"/>
      <c r="X3220" s="722"/>
      <c r="Y3220" s="722"/>
      <c r="Z3220" s="722"/>
      <c r="AA3220" s="722"/>
      <c r="AB3220" s="722"/>
    </row>
    <row r="3221" spans="1:28" s="723" customFormat="1">
      <c r="A3221" s="836"/>
      <c r="B3221" s="722"/>
      <c r="C3221" s="722"/>
      <c r="D3221" s="722"/>
      <c r="E3221" s="986"/>
      <c r="F3221" s="986"/>
      <c r="G3221" s="987"/>
      <c r="H3221" s="722"/>
      <c r="I3221" s="724"/>
      <c r="J3221" s="726" t="s">
        <v>718</v>
      </c>
      <c r="K3221" s="726">
        <f>SUM(K3217:K3220)</f>
        <v>1731.0700000000002</v>
      </c>
      <c r="M3221" s="722"/>
      <c r="N3221" s="722"/>
      <c r="O3221" s="722"/>
      <c r="P3221" s="722"/>
      <c r="Q3221" s="722"/>
      <c r="R3221" s="722"/>
      <c r="S3221" s="722"/>
      <c r="U3221" s="722"/>
      <c r="V3221" s="722"/>
      <c r="W3221" s="722"/>
      <c r="X3221" s="722"/>
      <c r="Y3221" s="722"/>
      <c r="Z3221" s="722"/>
      <c r="AA3221" s="722"/>
      <c r="AB3221" s="722"/>
    </row>
    <row r="3222" spans="1:28" s="723" customFormat="1">
      <c r="A3222" s="836"/>
      <c r="C3222" s="722"/>
      <c r="D3222" s="722"/>
      <c r="E3222" s="986"/>
      <c r="F3222" s="986"/>
      <c r="G3222" s="987"/>
      <c r="H3222" s="722"/>
      <c r="I3222" s="724"/>
      <c r="J3222" s="726"/>
      <c r="K3222" s="726"/>
      <c r="M3222" s="722"/>
      <c r="N3222" s="722"/>
      <c r="O3222" s="722"/>
      <c r="P3222" s="722"/>
      <c r="Q3222" s="722"/>
      <c r="R3222" s="722"/>
      <c r="S3222" s="722"/>
      <c r="U3222" s="722"/>
      <c r="V3222" s="722"/>
      <c r="W3222" s="722"/>
      <c r="X3222" s="722"/>
      <c r="Y3222" s="722"/>
      <c r="Z3222" s="722"/>
      <c r="AA3222" s="722"/>
      <c r="AB3222" s="722"/>
    </row>
    <row r="3223" spans="1:28" s="723" customFormat="1">
      <c r="A3223" s="836"/>
      <c r="B3223" s="723" t="s">
        <v>1105</v>
      </c>
      <c r="C3223" s="722"/>
      <c r="D3223" s="722"/>
      <c r="E3223" s="986"/>
      <c r="F3223" s="986"/>
      <c r="G3223" s="987"/>
      <c r="H3223" s="722"/>
      <c r="I3223" s="724"/>
      <c r="J3223" s="726"/>
      <c r="K3223" s="1091">
        <f>K3215+K3221+K3222</f>
        <v>7507.73</v>
      </c>
      <c r="M3223" s="722"/>
      <c r="N3223" s="722"/>
      <c r="O3223" s="722"/>
      <c r="P3223" s="722"/>
      <c r="Q3223" s="722"/>
      <c r="R3223" s="722"/>
      <c r="S3223" s="722"/>
      <c r="U3223" s="722"/>
      <c r="V3223" s="722"/>
      <c r="W3223" s="722"/>
      <c r="X3223" s="722"/>
      <c r="Y3223" s="722"/>
      <c r="Z3223" s="722"/>
      <c r="AA3223" s="722"/>
      <c r="AB3223" s="722"/>
    </row>
    <row r="3224" spans="1:28">
      <c r="B3224" s="723" t="s">
        <v>1125</v>
      </c>
      <c r="G3224" s="987"/>
      <c r="J3224" s="726"/>
      <c r="K3224" s="1091">
        <f>ROUND(K3223/2.23,2)</f>
        <v>3366.7</v>
      </c>
      <c r="L3224" s="1087" t="s">
        <v>730</v>
      </c>
      <c r="Q3224" s="722" t="s">
        <v>1126</v>
      </c>
    </row>
    <row r="3225" spans="1:28">
      <c r="B3225" s="723" t="s">
        <v>1127</v>
      </c>
      <c r="G3225" s="987"/>
      <c r="J3225" s="726"/>
      <c r="K3225" s="1091">
        <f>ROUND(K3223/10.54,2)</f>
        <v>712.31</v>
      </c>
      <c r="L3225" s="1087" t="s">
        <v>1054</v>
      </c>
    </row>
    <row r="3226" spans="1:28" ht="264.75" customHeight="1">
      <c r="A3226" s="836">
        <f>A581</f>
        <v>91</v>
      </c>
      <c r="B3226" s="3399" t="str">
        <f>B581</f>
        <v xml:space="preserve">Providing and fixing of Sliding windows of approved make to be fabricated from roll formed sections made of pre-painted steel (base steel as per IS-513 of 0.6 mm thick “D” quality, galvanized as per IS-277with zinc of 120 Gm/Sq.mtr) with total coated thickness of 0.55 mm.  Sections for external frame bottom and top should be of 79 x 45 mm. external frame sides should be of 69 x 24 mm, guide for top and bottom should be of 69 x 26mm (Stainless Steel).Section for shutter should be of 26 x 30 mm, Sash bar should be of 23 x 57mm.Accessories / gaskets are to be used as per the manufacturer’s supply and specification like gasket will be made of EPDM. All corner brackets for internal and external are to be made of glass filled nylon. The sections are to be cut to length jointed  and assembled by means of corner bracket and frames are fixed to the concrete/masonry walls by means of self expanding screws and glass to be used of 5 mm reflective with cost, conveyance and taxes of all materials, cost of all labour, T&amp;P etc. complete as per the direction of the Engineer-in-charge. </v>
      </c>
      <c r="C3226" s="3399"/>
      <c r="D3226" s="3399"/>
      <c r="E3226" s="1086" t="str">
        <f>G581</f>
        <v>Each Sqm</v>
      </c>
      <c r="F3226" s="1086"/>
      <c r="G3226" s="987"/>
      <c r="J3226" s="1091"/>
      <c r="K3226" s="1091"/>
    </row>
    <row r="3227" spans="1:28">
      <c r="A3227" s="722"/>
      <c r="B3227" s="723" t="s">
        <v>1128</v>
      </c>
      <c r="C3227" s="723"/>
      <c r="G3227" s="1096"/>
      <c r="H3227" s="1095"/>
      <c r="I3227" s="1096"/>
      <c r="J3227" s="726"/>
      <c r="K3227" s="726"/>
    </row>
    <row r="3228" spans="1:28">
      <c r="A3228" s="722"/>
      <c r="B3228" s="723" t="s">
        <v>1072</v>
      </c>
      <c r="C3228" s="723"/>
      <c r="G3228" s="1096"/>
      <c r="H3228" s="1095"/>
      <c r="I3228" s="1096"/>
      <c r="J3228" s="726"/>
      <c r="K3228" s="726"/>
    </row>
    <row r="3229" spans="1:28">
      <c r="A3229" s="722"/>
      <c r="B3229" s="722" t="s">
        <v>1129</v>
      </c>
      <c r="C3229" s="723"/>
      <c r="G3229" s="987">
        <v>4.5750000000000002</v>
      </c>
      <c r="H3229" s="1081" t="s">
        <v>136</v>
      </c>
      <c r="I3229" s="724" t="s">
        <v>136</v>
      </c>
      <c r="J3229" s="1112">
        <v>189</v>
      </c>
      <c r="K3229" s="726">
        <f t="shared" ref="K3229:K3243" si="111">ROUND(G3229*J3229,2)</f>
        <v>864.68</v>
      </c>
    </row>
    <row r="3230" spans="1:28">
      <c r="A3230" s="722"/>
      <c r="B3230" s="722" t="s">
        <v>1130</v>
      </c>
      <c r="C3230" s="723"/>
      <c r="G3230" s="987">
        <v>1.5249999999999999</v>
      </c>
      <c r="H3230" s="1081" t="s">
        <v>136</v>
      </c>
      <c r="I3230" s="724" t="s">
        <v>136</v>
      </c>
      <c r="J3230" s="1112">
        <v>126</v>
      </c>
      <c r="K3230" s="726">
        <f t="shared" si="111"/>
        <v>192.15</v>
      </c>
    </row>
    <row r="3231" spans="1:28">
      <c r="A3231" s="722"/>
      <c r="B3231" s="722" t="s">
        <v>1131</v>
      </c>
      <c r="C3231" s="723"/>
      <c r="G3231" s="987">
        <v>9.15</v>
      </c>
      <c r="H3231" s="1081" t="s">
        <v>136</v>
      </c>
      <c r="I3231" s="724" t="s">
        <v>136</v>
      </c>
      <c r="J3231" s="1112">
        <v>152</v>
      </c>
      <c r="K3231" s="726">
        <f t="shared" si="111"/>
        <v>1390.8</v>
      </c>
    </row>
    <row r="3232" spans="1:28">
      <c r="A3232" s="722"/>
      <c r="B3232" s="722" t="s">
        <v>1132</v>
      </c>
      <c r="C3232" s="723"/>
      <c r="G3232" s="987">
        <v>3.05</v>
      </c>
      <c r="H3232" s="1081" t="s">
        <v>136</v>
      </c>
      <c r="I3232" s="724" t="s">
        <v>136</v>
      </c>
      <c r="J3232" s="1112">
        <v>494</v>
      </c>
      <c r="K3232" s="726">
        <f t="shared" si="111"/>
        <v>1506.7</v>
      </c>
    </row>
    <row r="3233" spans="1:12">
      <c r="A3233" s="722"/>
      <c r="B3233" s="722" t="s">
        <v>1133</v>
      </c>
      <c r="C3233" s="723"/>
      <c r="G3233" s="987">
        <v>1.5249999999999999</v>
      </c>
      <c r="H3233" s="1081" t="s">
        <v>136</v>
      </c>
      <c r="I3233" s="724" t="s">
        <v>136</v>
      </c>
      <c r="J3233" s="1112">
        <v>253</v>
      </c>
      <c r="K3233" s="726">
        <f t="shared" si="111"/>
        <v>385.83</v>
      </c>
    </row>
    <row r="3234" spans="1:12">
      <c r="A3234" s="722"/>
      <c r="B3234" s="723" t="s">
        <v>1134</v>
      </c>
      <c r="C3234" s="723"/>
      <c r="G3234" s="987"/>
      <c r="H3234" s="1081"/>
      <c r="J3234" s="726"/>
      <c r="K3234" s="726"/>
    </row>
    <row r="3235" spans="1:12">
      <c r="A3235" s="722"/>
      <c r="B3235" s="722" t="s">
        <v>1135</v>
      </c>
      <c r="C3235" s="723"/>
      <c r="G3235" s="987">
        <v>1</v>
      </c>
      <c r="H3235" s="1081" t="s">
        <v>262</v>
      </c>
      <c r="I3235" s="724" t="s">
        <v>38</v>
      </c>
      <c r="J3235" s="1112">
        <v>245</v>
      </c>
      <c r="K3235" s="726">
        <f t="shared" si="111"/>
        <v>245</v>
      </c>
    </row>
    <row r="3236" spans="1:12">
      <c r="A3236" s="722"/>
      <c r="B3236" s="722" t="s">
        <v>1136</v>
      </c>
      <c r="C3236" s="723"/>
      <c r="G3236" s="987">
        <v>2</v>
      </c>
      <c r="H3236" s="1081" t="s">
        <v>262</v>
      </c>
      <c r="I3236" s="724" t="s">
        <v>38</v>
      </c>
      <c r="J3236" s="1112">
        <v>299</v>
      </c>
      <c r="K3236" s="726">
        <f t="shared" si="111"/>
        <v>598</v>
      </c>
    </row>
    <row r="3237" spans="1:12">
      <c r="A3237" s="722"/>
      <c r="B3237" s="722" t="s">
        <v>1137</v>
      </c>
      <c r="C3237" s="723"/>
      <c r="G3237" s="987">
        <v>2</v>
      </c>
      <c r="H3237" s="1081" t="s">
        <v>262</v>
      </c>
      <c r="I3237" s="724" t="s">
        <v>38</v>
      </c>
      <c r="J3237" s="1112">
        <v>16</v>
      </c>
      <c r="K3237" s="726">
        <f t="shared" si="111"/>
        <v>32</v>
      </c>
    </row>
    <row r="3238" spans="1:12">
      <c r="A3238" s="722"/>
      <c r="B3238" s="722" t="s">
        <v>1138</v>
      </c>
      <c r="C3238" s="723"/>
      <c r="G3238" s="987">
        <v>10</v>
      </c>
      <c r="H3238" s="1081" t="s">
        <v>262</v>
      </c>
      <c r="I3238" s="724" t="s">
        <v>38</v>
      </c>
      <c r="J3238" s="1112">
        <v>25</v>
      </c>
      <c r="K3238" s="726">
        <f t="shared" si="111"/>
        <v>250</v>
      </c>
    </row>
    <row r="3239" spans="1:12">
      <c r="A3239" s="722"/>
      <c r="B3239" s="723" t="s">
        <v>1139</v>
      </c>
      <c r="C3239" s="723"/>
      <c r="G3239" s="987">
        <v>9.15</v>
      </c>
      <c r="H3239" s="1081" t="s">
        <v>136</v>
      </c>
      <c r="I3239" s="724" t="s">
        <v>136</v>
      </c>
      <c r="J3239" s="1112">
        <v>35</v>
      </c>
      <c r="K3239" s="726">
        <f t="shared" si="111"/>
        <v>320.25</v>
      </c>
    </row>
    <row r="3240" spans="1:12">
      <c r="A3240" s="722"/>
      <c r="B3240" s="723" t="s">
        <v>1140</v>
      </c>
      <c r="C3240" s="723"/>
      <c r="G3240" s="987">
        <v>2.3199999999999998</v>
      </c>
      <c r="H3240" s="1081" t="s">
        <v>92</v>
      </c>
      <c r="I3240" s="724" t="s">
        <v>92</v>
      </c>
      <c r="J3240" s="1112">
        <v>870</v>
      </c>
      <c r="K3240" s="726">
        <f t="shared" si="111"/>
        <v>2018.4</v>
      </c>
    </row>
    <row r="3241" spans="1:12">
      <c r="A3241" s="722"/>
      <c r="B3241" s="723" t="s">
        <v>1141</v>
      </c>
      <c r="C3241" s="723"/>
      <c r="G3241" s="987"/>
      <c r="H3241" s="1081"/>
      <c r="J3241" s="726"/>
      <c r="K3241" s="726"/>
    </row>
    <row r="3242" spans="1:12">
      <c r="A3242" s="722"/>
      <c r="B3242" s="722" t="s">
        <v>1093</v>
      </c>
      <c r="C3242" s="723"/>
      <c r="G3242" s="987">
        <v>2.4900000000000002</v>
      </c>
      <c r="H3242" s="1081" t="s">
        <v>262</v>
      </c>
      <c r="I3242" s="724" t="s">
        <v>38</v>
      </c>
      <c r="J3242" s="726">
        <f>L132</f>
        <v>284.3</v>
      </c>
      <c r="K3242" s="726">
        <f t="shared" si="111"/>
        <v>707.91</v>
      </c>
    </row>
    <row r="3243" spans="1:12">
      <c r="A3243" s="722"/>
      <c r="B3243" s="722" t="s">
        <v>1142</v>
      </c>
      <c r="C3243" s="723"/>
      <c r="G3243" s="987">
        <v>2.4900000000000002</v>
      </c>
      <c r="H3243" s="1081" t="s">
        <v>262</v>
      </c>
      <c r="I3243" s="724" t="s">
        <v>38</v>
      </c>
      <c r="J3243" s="726">
        <f>L130</f>
        <v>244.3</v>
      </c>
      <c r="K3243" s="726">
        <f t="shared" si="111"/>
        <v>608.30999999999995</v>
      </c>
    </row>
    <row r="3244" spans="1:12">
      <c r="A3244" s="722"/>
      <c r="B3244" s="723"/>
      <c r="C3244" s="723"/>
      <c r="G3244" s="1096"/>
      <c r="H3244" s="1095"/>
      <c r="I3244" s="1096"/>
      <c r="J3244" s="827" t="s">
        <v>718</v>
      </c>
      <c r="K3244" s="726">
        <f>SUM(K3229:K3243)</f>
        <v>9120.0299999999988</v>
      </c>
    </row>
    <row r="3245" spans="1:12">
      <c r="A3245" s="722"/>
      <c r="B3245" s="723"/>
      <c r="C3245" s="723"/>
      <c r="G3245" s="1096"/>
      <c r="H3245" s="1095"/>
      <c r="I3245" s="1096"/>
      <c r="J3245" s="726"/>
      <c r="K3245" s="726"/>
    </row>
    <row r="3246" spans="1:12">
      <c r="A3246" s="722"/>
      <c r="B3246" s="723" t="s">
        <v>1143</v>
      </c>
      <c r="C3246" s="723"/>
      <c r="G3246" s="1096"/>
      <c r="H3246" s="1095"/>
      <c r="I3246" s="1096"/>
      <c r="J3246" s="726"/>
      <c r="K3246" s="726">
        <f>K3244+K3245</f>
        <v>9120.0299999999988</v>
      </c>
    </row>
    <row r="3247" spans="1:12">
      <c r="A3247" s="722"/>
      <c r="B3247" s="723" t="s">
        <v>1144</v>
      </c>
      <c r="C3247" s="723"/>
      <c r="G3247" s="1096"/>
      <c r="H3247" s="1095"/>
      <c r="I3247" s="1096"/>
      <c r="J3247" s="726"/>
      <c r="K3247" s="1091">
        <f>ROUND(K3246/2.32,2)</f>
        <v>3931.05</v>
      </c>
      <c r="L3247" s="1087" t="s">
        <v>730</v>
      </c>
    </row>
    <row r="3248" spans="1:12" ht="278.25" customHeight="1">
      <c r="A3248" s="836">
        <f>A582</f>
        <v>92</v>
      </c>
      <c r="B3248" s="3399" t="str">
        <f>B582</f>
        <v xml:space="preserve">Providing and fixing of Fixed Ventilators of approved make to be fabricated from roll formed sections made of pre-painted steel (base steel as per IS-513 of 0.6 mm thick “D” quality, galvanized as per IS-277 with zinc of 120 Gm/Sq.mtr) with paint specification being with primer of 5-7 microns and finished paint with polyster paint of 12-16 microns along with the alkyd backer at the back of 5-7 microns and the sizes of outer frame being of 46x52 mm and with all vertical and horizontal mullions are of 46x70 mm and fixed beadings are of 18x25 mm.Accessories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 mm reflective with cost, conveyance and taxes of all materials, cost of all labour, T&amp;P etc. complete as per the direction of the Engineer-in-charge. </v>
      </c>
      <c r="C3248" s="3386"/>
      <c r="D3248" s="3386"/>
      <c r="E3248" s="1103"/>
      <c r="F3248" s="1103"/>
      <c r="G3248" s="987"/>
      <c r="J3248" s="1091"/>
      <c r="K3248" s="1091"/>
    </row>
    <row r="3249" spans="1:11">
      <c r="A3249" s="722"/>
      <c r="B3249" s="723" t="s">
        <v>1145</v>
      </c>
      <c r="C3249" s="723"/>
      <c r="G3249" s="1096"/>
      <c r="H3249" s="1095"/>
      <c r="I3249" s="1096"/>
      <c r="J3249" s="726"/>
      <c r="K3249" s="726"/>
    </row>
    <row r="3250" spans="1:11">
      <c r="A3250" s="722"/>
      <c r="B3250" s="723" t="s">
        <v>1072</v>
      </c>
      <c r="C3250" s="723"/>
      <c r="G3250" s="1096"/>
      <c r="H3250" s="1095"/>
      <c r="I3250" s="1096"/>
      <c r="J3250" s="726"/>
      <c r="K3250" s="726"/>
    </row>
    <row r="3251" spans="1:11">
      <c r="A3251" s="722"/>
      <c r="B3251" s="722" t="s">
        <v>1146</v>
      </c>
      <c r="C3251" s="723"/>
      <c r="G3251" s="987">
        <v>5.0999999999999996</v>
      </c>
      <c r="H3251" s="1081" t="s">
        <v>136</v>
      </c>
      <c r="I3251" s="724" t="s">
        <v>136</v>
      </c>
      <c r="J3251" s="1112">
        <v>300</v>
      </c>
      <c r="K3251" s="726">
        <f t="shared" ref="K3251:K3263" si="112">ROUND(G3251*J3251,2)</f>
        <v>1530</v>
      </c>
    </row>
    <row r="3252" spans="1:11">
      <c r="A3252" s="722"/>
      <c r="B3252" s="722" t="s">
        <v>1147</v>
      </c>
      <c r="C3252" s="723"/>
      <c r="G3252" s="987">
        <v>1.5</v>
      </c>
      <c r="H3252" s="1081" t="s">
        <v>136</v>
      </c>
      <c r="I3252" s="724" t="s">
        <v>136</v>
      </c>
      <c r="J3252" s="1112">
        <v>336</v>
      </c>
      <c r="K3252" s="726">
        <f t="shared" si="112"/>
        <v>504</v>
      </c>
    </row>
    <row r="3253" spans="1:11">
      <c r="A3253" s="722"/>
      <c r="B3253" s="722" t="s">
        <v>1148</v>
      </c>
      <c r="C3253" s="723"/>
      <c r="G3253" s="987">
        <v>8.1999999999999993</v>
      </c>
      <c r="H3253" s="1081" t="s">
        <v>136</v>
      </c>
      <c r="I3253" s="724" t="s">
        <v>136</v>
      </c>
      <c r="J3253" s="1112">
        <v>124</v>
      </c>
      <c r="K3253" s="726">
        <f t="shared" si="112"/>
        <v>1016.8</v>
      </c>
    </row>
    <row r="3254" spans="1:11">
      <c r="A3254" s="722"/>
      <c r="B3254" s="723" t="s">
        <v>1134</v>
      </c>
      <c r="C3254" s="723"/>
      <c r="G3254" s="987"/>
      <c r="H3254" s="1081"/>
      <c r="J3254" s="726"/>
      <c r="K3254" s="726"/>
    </row>
    <row r="3255" spans="1:11">
      <c r="A3255" s="722"/>
      <c r="B3255" s="722" t="s">
        <v>1149</v>
      </c>
      <c r="C3255" s="723"/>
      <c r="G3255" s="987">
        <v>4</v>
      </c>
      <c r="H3255" s="1081" t="s">
        <v>262</v>
      </c>
      <c r="I3255" s="724" t="s">
        <v>262</v>
      </c>
      <c r="J3255" s="1112">
        <v>38</v>
      </c>
      <c r="K3255" s="726">
        <f t="shared" si="112"/>
        <v>152</v>
      </c>
    </row>
    <row r="3256" spans="1:11">
      <c r="A3256" s="722"/>
      <c r="B3256" s="722" t="s">
        <v>1150</v>
      </c>
      <c r="C3256" s="723"/>
      <c r="G3256" s="987">
        <v>2</v>
      </c>
      <c r="H3256" s="1081" t="s">
        <v>262</v>
      </c>
      <c r="I3256" s="724" t="s">
        <v>262</v>
      </c>
      <c r="J3256" s="1112">
        <v>48</v>
      </c>
      <c r="K3256" s="726">
        <f t="shared" si="112"/>
        <v>96</v>
      </c>
    </row>
    <row r="3257" spans="1:11">
      <c r="A3257" s="722"/>
      <c r="B3257" s="722" t="s">
        <v>1151</v>
      </c>
      <c r="C3257" s="723"/>
      <c r="G3257" s="987">
        <v>3</v>
      </c>
      <c r="H3257" s="1081" t="s">
        <v>262</v>
      </c>
      <c r="I3257" s="724" t="s">
        <v>262</v>
      </c>
      <c r="J3257" s="1112">
        <v>95</v>
      </c>
      <c r="K3257" s="726">
        <f t="shared" si="112"/>
        <v>285</v>
      </c>
    </row>
    <row r="3258" spans="1:11">
      <c r="A3258" s="722"/>
      <c r="B3258" s="722" t="s">
        <v>1138</v>
      </c>
      <c r="C3258" s="723"/>
      <c r="G3258" s="987">
        <v>5</v>
      </c>
      <c r="H3258" s="1081" t="s">
        <v>262</v>
      </c>
      <c r="I3258" s="724" t="s">
        <v>262</v>
      </c>
      <c r="J3258" s="1112">
        <v>25</v>
      </c>
      <c r="K3258" s="726">
        <f t="shared" si="112"/>
        <v>125</v>
      </c>
    </row>
    <row r="3259" spans="1:11">
      <c r="A3259" s="722"/>
      <c r="B3259" s="723" t="s">
        <v>1139</v>
      </c>
      <c r="C3259" s="723"/>
      <c r="G3259" s="987">
        <v>8.1999999999999993</v>
      </c>
      <c r="H3259" s="1081" t="s">
        <v>136</v>
      </c>
      <c r="I3259" s="724" t="s">
        <v>136</v>
      </c>
      <c r="J3259" s="1112">
        <v>46</v>
      </c>
      <c r="K3259" s="726">
        <f t="shared" si="112"/>
        <v>377.2</v>
      </c>
    </row>
    <row r="3260" spans="1:11">
      <c r="A3260" s="722"/>
      <c r="B3260" s="723" t="s">
        <v>1140</v>
      </c>
      <c r="C3260" s="723"/>
      <c r="G3260" s="987">
        <v>1.4</v>
      </c>
      <c r="H3260" s="1081" t="s">
        <v>92</v>
      </c>
      <c r="I3260" s="724" t="s">
        <v>92</v>
      </c>
      <c r="J3260" s="1112">
        <v>870</v>
      </c>
      <c r="K3260" s="726">
        <f t="shared" si="112"/>
        <v>1218</v>
      </c>
    </row>
    <row r="3261" spans="1:11">
      <c r="A3261" s="722"/>
      <c r="B3261" s="723" t="s">
        <v>1141</v>
      </c>
      <c r="C3261" s="723"/>
      <c r="G3261" s="987"/>
      <c r="H3261" s="1081"/>
      <c r="J3261" s="726"/>
      <c r="K3261" s="726"/>
    </row>
    <row r="3262" spans="1:11">
      <c r="A3262" s="722"/>
      <c r="B3262" s="722" t="s">
        <v>1093</v>
      </c>
      <c r="C3262" s="723"/>
      <c r="G3262" s="987">
        <v>1.18</v>
      </c>
      <c r="H3262" s="1081" t="s">
        <v>262</v>
      </c>
      <c r="I3262" s="724" t="s">
        <v>38</v>
      </c>
      <c r="J3262" s="726">
        <f>L132</f>
        <v>284.3</v>
      </c>
      <c r="K3262" s="726">
        <f t="shared" si="112"/>
        <v>335.47</v>
      </c>
    </row>
    <row r="3263" spans="1:11">
      <c r="A3263" s="722"/>
      <c r="B3263" s="722" t="s">
        <v>1142</v>
      </c>
      <c r="C3263" s="723"/>
      <c r="G3263" s="987">
        <v>1.18</v>
      </c>
      <c r="H3263" s="1081" t="s">
        <v>262</v>
      </c>
      <c r="I3263" s="724" t="s">
        <v>38</v>
      </c>
      <c r="J3263" s="726">
        <f>L130</f>
        <v>244.3</v>
      </c>
      <c r="K3263" s="726">
        <f t="shared" si="112"/>
        <v>288.27</v>
      </c>
    </row>
    <row r="3264" spans="1:11">
      <c r="A3264" s="722"/>
      <c r="B3264" s="723"/>
      <c r="C3264" s="723"/>
      <c r="G3264" s="1096"/>
      <c r="H3264" s="1095"/>
      <c r="I3264" s="1096"/>
      <c r="J3264" s="827" t="s">
        <v>718</v>
      </c>
      <c r="K3264" s="726">
        <f>SUM(K3251:K3263)</f>
        <v>5927.74</v>
      </c>
    </row>
    <row r="3265" spans="1:12">
      <c r="A3265" s="722"/>
      <c r="B3265" s="723"/>
      <c r="C3265" s="723"/>
      <c r="G3265" s="1096"/>
      <c r="H3265" s="1095"/>
      <c r="I3265" s="1096"/>
      <c r="J3265" s="726"/>
      <c r="K3265" s="726"/>
    </row>
    <row r="3266" spans="1:12">
      <c r="A3266" s="722"/>
      <c r="B3266" s="723" t="s">
        <v>1152</v>
      </c>
      <c r="C3266" s="723"/>
      <c r="G3266" s="1096"/>
      <c r="H3266" s="1095"/>
      <c r="I3266" s="1096"/>
      <c r="J3266" s="726"/>
      <c r="K3266" s="726">
        <f>K3264+K3265</f>
        <v>5927.74</v>
      </c>
    </row>
    <row r="3267" spans="1:12">
      <c r="A3267" s="722"/>
      <c r="B3267" s="723" t="s">
        <v>1153</v>
      </c>
      <c r="C3267" s="723"/>
      <c r="G3267" s="1096"/>
      <c r="H3267" s="1095"/>
      <c r="I3267" s="1096"/>
      <c r="J3267" s="726"/>
      <c r="K3267" s="1091">
        <f>ROUND(K3266/1.4,2)</f>
        <v>4234.1000000000004</v>
      </c>
      <c r="L3267" s="1087" t="s">
        <v>730</v>
      </c>
    </row>
    <row r="3268" spans="1:12" ht="327.75" customHeight="1">
      <c r="A3268" s="836">
        <f>A583</f>
        <v>93</v>
      </c>
      <c r="B3268" s="3399" t="str">
        <f>B583</f>
        <v xml:space="preserve">Providing and fixing of Partly fixed, partly top hung and partly louvered windows of approved make to be fabricated from roll formed sections made of pre-painted steel (base steel as per IS- 513 of 0.6 mm thick “D” quality, galvanized as per IS-277 with zinc of 120 Gm/Sq.mtr) with paint pecification being with primer of 5-7 microns and finished paint with polyster paint of 12-16 microns alongwith the alkyd backer at the back of 5-7 microns and the sizes of outer frame being of 46x52 mm and with all vertical and horizontal mullions are of 46x70 mm and fixed beadings are of 18x25 mm. Section for internal top and bottom frames in the louvered areas should be 18 x 40 mm.Top hung shutter should be of 46 x 46 mm. Accessories / gaskets are to be used as per the manufacturer’s supply and specification like handle being made of high grade aluminium powder coated and with nylon receiver and gasket will be made of EPDM. All corner brackets are to be made of CRCA with zinc phosphating.  The sections are to be cut to length ,mitre joined with corner bracket and frames are fixed to the concrete/masonry walls by means of self expanding screws and glass to be used of 5mm reflective with cost, conveyance and taxes of all materials, cost of all labour, T&amp;P etc. complete as per the direction of the Engineer-in-charge. </v>
      </c>
      <c r="C3268" s="3386"/>
      <c r="D3268" s="3386"/>
      <c r="E3268" s="1086" t="str">
        <f>G584</f>
        <v>Each Sqm</v>
      </c>
      <c r="F3268" s="1086"/>
      <c r="G3268" s="987"/>
      <c r="J3268" s="1091"/>
      <c r="K3268" s="1091"/>
    </row>
    <row r="3269" spans="1:12">
      <c r="A3269" s="722"/>
      <c r="B3269" s="723" t="s">
        <v>1128</v>
      </c>
      <c r="C3269" s="723"/>
      <c r="G3269" s="1096"/>
      <c r="H3269" s="1095"/>
      <c r="I3269" s="1096"/>
      <c r="J3269" s="726"/>
      <c r="K3269" s="726"/>
    </row>
    <row r="3270" spans="1:12">
      <c r="A3270" s="722"/>
      <c r="B3270" s="723" t="s">
        <v>1072</v>
      </c>
      <c r="C3270" s="723"/>
      <c r="G3270" s="1096"/>
      <c r="H3270" s="1095"/>
      <c r="I3270" s="1096"/>
      <c r="J3270" s="726"/>
      <c r="K3270" s="726"/>
    </row>
    <row r="3271" spans="1:12">
      <c r="A3271" s="722"/>
      <c r="B3271" s="722" t="s">
        <v>1146</v>
      </c>
      <c r="C3271" s="723"/>
      <c r="G3271" s="987">
        <v>6.1</v>
      </c>
      <c r="H3271" s="1081" t="s">
        <v>136</v>
      </c>
      <c r="I3271" s="724" t="s">
        <v>136</v>
      </c>
      <c r="J3271" s="1112">
        <v>300</v>
      </c>
      <c r="K3271" s="726">
        <f t="shared" ref="K3271:K3288" si="113">ROUND(G3271*J3271,2)</f>
        <v>1830</v>
      </c>
    </row>
    <row r="3272" spans="1:12">
      <c r="A3272" s="722"/>
      <c r="B3272" s="722" t="s">
        <v>1147</v>
      </c>
      <c r="C3272" s="723"/>
      <c r="G3272" s="987">
        <v>2.1349999999999998</v>
      </c>
      <c r="H3272" s="1081" t="s">
        <v>136</v>
      </c>
      <c r="I3272" s="724" t="s">
        <v>136</v>
      </c>
      <c r="J3272" s="1112">
        <v>336</v>
      </c>
      <c r="K3272" s="726">
        <f t="shared" si="113"/>
        <v>717.36</v>
      </c>
    </row>
    <row r="3273" spans="1:12">
      <c r="A3273" s="722"/>
      <c r="B3273" s="722" t="s">
        <v>1154</v>
      </c>
      <c r="C3273" s="723"/>
      <c r="G3273" s="987">
        <v>2.7450000000000001</v>
      </c>
      <c r="H3273" s="1081" t="s">
        <v>136</v>
      </c>
      <c r="I3273" s="724" t="s">
        <v>136</v>
      </c>
      <c r="J3273" s="1112">
        <v>249</v>
      </c>
      <c r="K3273" s="726">
        <f t="shared" si="113"/>
        <v>683.51</v>
      </c>
    </row>
    <row r="3274" spans="1:12">
      <c r="A3274" s="722"/>
      <c r="B3274" s="722" t="s">
        <v>1155</v>
      </c>
      <c r="C3274" s="723"/>
      <c r="G3274" s="987">
        <v>6.407</v>
      </c>
      <c r="H3274" s="1081" t="s">
        <v>136</v>
      </c>
      <c r="I3274" s="724" t="s">
        <v>136</v>
      </c>
      <c r="J3274" s="1112">
        <v>124</v>
      </c>
      <c r="K3274" s="726">
        <f t="shared" si="113"/>
        <v>794.47</v>
      </c>
    </row>
    <row r="3275" spans="1:12">
      <c r="A3275" s="722"/>
      <c r="C3275" s="723"/>
      <c r="G3275" s="987">
        <v>1.22</v>
      </c>
      <c r="H3275" s="1081" t="s">
        <v>136</v>
      </c>
      <c r="I3275" s="724" t="s">
        <v>136</v>
      </c>
      <c r="J3275" s="1112">
        <v>126</v>
      </c>
      <c r="K3275" s="726">
        <f t="shared" si="113"/>
        <v>153.72</v>
      </c>
    </row>
    <row r="3276" spans="1:12">
      <c r="A3276" s="722"/>
      <c r="B3276" s="723" t="s">
        <v>1134</v>
      </c>
      <c r="C3276" s="723"/>
      <c r="G3276" s="987"/>
      <c r="H3276" s="1081"/>
      <c r="J3276" s="726"/>
      <c r="K3276" s="726"/>
    </row>
    <row r="3277" spans="1:12">
      <c r="A3277" s="722"/>
      <c r="B3277" s="722" t="s">
        <v>1156</v>
      </c>
      <c r="C3277" s="723"/>
      <c r="G3277" s="987">
        <v>4</v>
      </c>
      <c r="H3277" s="1081" t="s">
        <v>262</v>
      </c>
      <c r="I3277" s="724" t="s">
        <v>262</v>
      </c>
      <c r="J3277" s="1112">
        <v>38</v>
      </c>
      <c r="K3277" s="726">
        <f t="shared" si="113"/>
        <v>152</v>
      </c>
    </row>
    <row r="3278" spans="1:12">
      <c r="A3278" s="722"/>
      <c r="B3278" s="722" t="s">
        <v>1157</v>
      </c>
      <c r="C3278" s="723"/>
      <c r="G3278" s="987">
        <v>1</v>
      </c>
      <c r="H3278" s="1081" t="s">
        <v>262</v>
      </c>
      <c r="I3278" s="724" t="s">
        <v>262</v>
      </c>
      <c r="J3278" s="1112">
        <v>325</v>
      </c>
      <c r="K3278" s="726">
        <f t="shared" si="113"/>
        <v>325</v>
      </c>
    </row>
    <row r="3279" spans="1:12">
      <c r="A3279" s="722"/>
      <c r="B3279" s="722" t="s">
        <v>1150</v>
      </c>
      <c r="C3279" s="723"/>
      <c r="G3279" s="987">
        <v>2</v>
      </c>
      <c r="H3279" s="1081" t="s">
        <v>262</v>
      </c>
      <c r="I3279" s="724" t="s">
        <v>262</v>
      </c>
      <c r="J3279" s="1112">
        <v>48</v>
      </c>
      <c r="K3279" s="726">
        <f t="shared" si="113"/>
        <v>96</v>
      </c>
    </row>
    <row r="3280" spans="1:12">
      <c r="A3280" s="722"/>
      <c r="B3280" s="722" t="s">
        <v>1151</v>
      </c>
      <c r="C3280" s="723"/>
      <c r="G3280" s="987">
        <v>1</v>
      </c>
      <c r="H3280" s="1081" t="s">
        <v>262</v>
      </c>
      <c r="I3280" s="724" t="s">
        <v>262</v>
      </c>
      <c r="J3280" s="1112">
        <v>95</v>
      </c>
      <c r="K3280" s="726">
        <f t="shared" si="113"/>
        <v>95</v>
      </c>
    </row>
    <row r="3281" spans="1:12">
      <c r="A3281" s="722"/>
      <c r="B3281" s="722" t="s">
        <v>1158</v>
      </c>
      <c r="C3281" s="723"/>
      <c r="G3281" s="987">
        <v>12</v>
      </c>
      <c r="H3281" s="1081" t="s">
        <v>262</v>
      </c>
      <c r="I3281" s="724" t="s">
        <v>262</v>
      </c>
      <c r="J3281" s="1112">
        <v>25</v>
      </c>
      <c r="K3281" s="726">
        <f t="shared" si="113"/>
        <v>300</v>
      </c>
    </row>
    <row r="3282" spans="1:12">
      <c r="A3282" s="722"/>
      <c r="B3282" s="722" t="s">
        <v>1138</v>
      </c>
      <c r="C3282" s="723"/>
      <c r="G3282" s="987">
        <v>10</v>
      </c>
      <c r="H3282" s="1081" t="s">
        <v>262</v>
      </c>
      <c r="I3282" s="724" t="s">
        <v>262</v>
      </c>
      <c r="J3282" s="1112">
        <v>25</v>
      </c>
      <c r="K3282" s="726">
        <f t="shared" si="113"/>
        <v>250</v>
      </c>
    </row>
    <row r="3283" spans="1:12">
      <c r="A3283" s="722"/>
      <c r="B3283" s="723" t="s">
        <v>1139</v>
      </c>
      <c r="C3283" s="723"/>
      <c r="G3283" s="987">
        <v>2.7450000000000001</v>
      </c>
      <c r="H3283" s="1081" t="s">
        <v>136</v>
      </c>
      <c r="I3283" s="724" t="s">
        <v>136</v>
      </c>
      <c r="J3283" s="1112">
        <v>35</v>
      </c>
      <c r="K3283" s="726">
        <f t="shared" si="113"/>
        <v>96.08</v>
      </c>
    </row>
    <row r="3284" spans="1:12">
      <c r="A3284" s="722"/>
      <c r="B3284" s="723" t="s">
        <v>1159</v>
      </c>
      <c r="C3284" s="723"/>
      <c r="G3284" s="987">
        <v>6.407</v>
      </c>
      <c r="H3284" s="1081" t="s">
        <v>136</v>
      </c>
      <c r="I3284" s="724" t="s">
        <v>136</v>
      </c>
      <c r="J3284" s="1112">
        <v>46</v>
      </c>
      <c r="K3284" s="726">
        <f t="shared" si="113"/>
        <v>294.72000000000003</v>
      </c>
    </row>
    <row r="3285" spans="1:12">
      <c r="A3285" s="722"/>
      <c r="B3285" s="723" t="s">
        <v>1140</v>
      </c>
      <c r="C3285" s="723"/>
      <c r="G3285" s="987">
        <v>2.3199999999999998</v>
      </c>
      <c r="H3285" s="1081" t="s">
        <v>92</v>
      </c>
      <c r="I3285" s="724" t="s">
        <v>92</v>
      </c>
      <c r="J3285" s="1112">
        <v>870</v>
      </c>
      <c r="K3285" s="726">
        <f t="shared" si="113"/>
        <v>2018.4</v>
      </c>
    </row>
    <row r="3286" spans="1:12">
      <c r="A3286" s="722"/>
      <c r="B3286" s="723" t="s">
        <v>1141</v>
      </c>
      <c r="C3286" s="723"/>
      <c r="G3286" s="987"/>
      <c r="H3286" s="1081"/>
      <c r="J3286" s="726"/>
      <c r="K3286" s="726"/>
    </row>
    <row r="3287" spans="1:12">
      <c r="A3287" s="722"/>
      <c r="B3287" s="722" t="s">
        <v>1093</v>
      </c>
      <c r="C3287" s="723"/>
      <c r="G3287" s="987">
        <v>2.4900000000000002</v>
      </c>
      <c r="H3287" s="1081" t="s">
        <v>262</v>
      </c>
      <c r="I3287" s="724" t="s">
        <v>38</v>
      </c>
      <c r="J3287" s="726">
        <f>L132</f>
        <v>284.3</v>
      </c>
      <c r="K3287" s="726">
        <f t="shared" si="113"/>
        <v>707.91</v>
      </c>
    </row>
    <row r="3288" spans="1:12">
      <c r="A3288" s="722"/>
      <c r="B3288" s="722" t="s">
        <v>1142</v>
      </c>
      <c r="C3288" s="723"/>
      <c r="G3288" s="987">
        <v>2.4900000000000002</v>
      </c>
      <c r="H3288" s="1081" t="s">
        <v>262</v>
      </c>
      <c r="I3288" s="724" t="s">
        <v>38</v>
      </c>
      <c r="J3288" s="726">
        <f>L130</f>
        <v>244.3</v>
      </c>
      <c r="K3288" s="726">
        <f t="shared" si="113"/>
        <v>608.30999999999995</v>
      </c>
    </row>
    <row r="3289" spans="1:12">
      <c r="A3289" s="722"/>
      <c r="B3289" s="723"/>
      <c r="C3289" s="723"/>
      <c r="G3289" s="1096"/>
      <c r="H3289" s="1095"/>
      <c r="I3289" s="1096"/>
      <c r="J3289" s="827" t="s">
        <v>718</v>
      </c>
      <c r="K3289" s="726">
        <f>SUM(K3271:K3288)</f>
        <v>9122.48</v>
      </c>
    </row>
    <row r="3290" spans="1:12">
      <c r="A3290" s="722"/>
      <c r="B3290" s="723"/>
      <c r="C3290" s="723"/>
      <c r="G3290" s="1096"/>
      <c r="H3290" s="1095"/>
      <c r="I3290" s="1096"/>
      <c r="J3290" s="726"/>
      <c r="K3290" s="726"/>
    </row>
    <row r="3291" spans="1:12">
      <c r="A3291" s="722"/>
      <c r="B3291" s="723" t="s">
        <v>1143</v>
      </c>
      <c r="C3291" s="723"/>
      <c r="G3291" s="1096"/>
      <c r="H3291" s="1095"/>
      <c r="I3291" s="1096"/>
      <c r="J3291" s="726"/>
      <c r="K3291" s="726">
        <f>K3289+K3290</f>
        <v>9122.48</v>
      </c>
    </row>
    <row r="3292" spans="1:12">
      <c r="A3292" s="722"/>
      <c r="B3292" s="723" t="s">
        <v>1144</v>
      </c>
      <c r="C3292" s="723"/>
      <c r="G3292" s="1096"/>
      <c r="H3292" s="1095"/>
      <c r="I3292" s="1096"/>
      <c r="J3292" s="726"/>
      <c r="K3292" s="1091">
        <f>ROUND(K3291/2.32,2)</f>
        <v>3932.1</v>
      </c>
      <c r="L3292" s="1087" t="s">
        <v>730</v>
      </c>
    </row>
    <row r="3293" spans="1:12" ht="266.25" customHeight="1">
      <c r="A3293" s="836">
        <f>A584</f>
        <v>94</v>
      </c>
      <c r="B3293" s="3399" t="str">
        <f>B584</f>
        <v>Providing and fixing of Swing Door of approved make  to be fabricated from roll formed sections made of pre-painted steel (base steel as per IS-513 of 0.6 mm thick “D” quality, galvanized as per IS-277with zinc of 120 Gm/Sq.mtr) with paint specification being with primer of 5-7 microns and finished paint with polyster paint (Black /Pearl white/ Chocolate Brown) of 12-16 microns along with the alkyd backer at the back of 5-7 microns and sizes of outer frame being of 33 x 57 mm and shutter being of 46x52mm and 46x46mm and lock rail should be of 23x130mm Accessories / gaskets are to be used as per the manufacturer’s supply and specification like handle, lock and floor spring of approved quality. Gasket will be made of EPDM. All corner brackets are to be made of CRCA wth zinc phosphating.The sectio are to be  cut to length, mitre jointed with corner bracket and frames are fixed to the concrete/masonry walls by means of self expanding screws and glass to be used of 6 mm clear taxes etc. complete as per the direction of the Engineer-in-charge.</v>
      </c>
      <c r="C3293" s="3386"/>
      <c r="D3293" s="3386"/>
      <c r="E3293" s="1086" t="str">
        <f>G584</f>
        <v>Each Sqm</v>
      </c>
      <c r="F3293" s="1086"/>
      <c r="G3293" s="987"/>
      <c r="J3293" s="1091"/>
      <c r="K3293" s="1091"/>
    </row>
    <row r="3294" spans="1:12">
      <c r="A3294" s="722"/>
      <c r="B3294" s="723" t="s">
        <v>1160</v>
      </c>
      <c r="C3294" s="723"/>
      <c r="G3294" s="1096"/>
      <c r="H3294" s="1095"/>
      <c r="I3294" s="1096"/>
      <c r="J3294" s="726"/>
      <c r="K3294" s="726"/>
    </row>
    <row r="3295" spans="1:12">
      <c r="A3295" s="722"/>
      <c r="B3295" s="723" t="s">
        <v>1072</v>
      </c>
      <c r="C3295" s="723"/>
      <c r="G3295" s="1096"/>
      <c r="H3295" s="1095"/>
      <c r="I3295" s="1096"/>
      <c r="J3295" s="726"/>
      <c r="K3295" s="726"/>
    </row>
    <row r="3296" spans="1:12">
      <c r="A3296" s="722"/>
      <c r="B3296" s="722" t="s">
        <v>1146</v>
      </c>
      <c r="C3296" s="723"/>
      <c r="G3296" s="987">
        <v>12.2</v>
      </c>
      <c r="H3296" s="1081" t="s">
        <v>136</v>
      </c>
      <c r="I3296" s="724" t="s">
        <v>136</v>
      </c>
      <c r="J3296" s="1112">
        <v>300</v>
      </c>
      <c r="K3296" s="726">
        <f t="shared" ref="K3296:K3316" si="114">ROUND(G3296*J3296,2)</f>
        <v>3660</v>
      </c>
    </row>
    <row r="3297" spans="1:11">
      <c r="A3297" s="722"/>
      <c r="B3297" s="722" t="s">
        <v>1161</v>
      </c>
      <c r="C3297" s="723"/>
      <c r="G3297" s="987">
        <v>12.2</v>
      </c>
      <c r="H3297" s="1081" t="s">
        <v>136</v>
      </c>
      <c r="I3297" s="724" t="s">
        <v>136</v>
      </c>
      <c r="J3297" s="1112">
        <v>249</v>
      </c>
      <c r="K3297" s="726">
        <f t="shared" si="114"/>
        <v>3037.8</v>
      </c>
    </row>
    <row r="3298" spans="1:11">
      <c r="A3298" s="722"/>
      <c r="B3298" s="722" t="s">
        <v>1162</v>
      </c>
      <c r="C3298" s="723"/>
      <c r="G3298" s="987">
        <v>8.5</v>
      </c>
      <c r="H3298" s="1081" t="s">
        <v>136</v>
      </c>
      <c r="I3298" s="724" t="s">
        <v>136</v>
      </c>
      <c r="J3298" s="1112">
        <v>305</v>
      </c>
      <c r="K3298" s="726">
        <f t="shared" si="114"/>
        <v>2592.5</v>
      </c>
    </row>
    <row r="3299" spans="1:11">
      <c r="A3299" s="722"/>
      <c r="B3299" s="722" t="s">
        <v>1148</v>
      </c>
      <c r="C3299" s="723"/>
      <c r="G3299" s="987">
        <v>7.9</v>
      </c>
      <c r="H3299" s="1081" t="s">
        <v>136</v>
      </c>
      <c r="I3299" s="724" t="s">
        <v>136</v>
      </c>
      <c r="J3299" s="1112">
        <v>124</v>
      </c>
      <c r="K3299" s="726">
        <f t="shared" si="114"/>
        <v>979.6</v>
      </c>
    </row>
    <row r="3300" spans="1:11">
      <c r="A3300" s="722"/>
      <c r="B3300" s="722" t="s">
        <v>1163</v>
      </c>
      <c r="C3300" s="723"/>
      <c r="G3300" s="987">
        <v>3</v>
      </c>
      <c r="H3300" s="1081" t="s">
        <v>136</v>
      </c>
      <c r="I3300" s="724" t="s">
        <v>136</v>
      </c>
      <c r="J3300" s="1112">
        <v>467</v>
      </c>
      <c r="K3300" s="726">
        <f t="shared" si="114"/>
        <v>1401</v>
      </c>
    </row>
    <row r="3301" spans="1:11">
      <c r="A3301" s="722"/>
      <c r="B3301" s="723" t="s">
        <v>1134</v>
      </c>
      <c r="C3301" s="723"/>
      <c r="G3301" s="987"/>
      <c r="H3301" s="1081"/>
      <c r="J3301" s="726"/>
      <c r="K3301" s="726"/>
    </row>
    <row r="3302" spans="1:11">
      <c r="A3302" s="722"/>
      <c r="B3302" s="722" t="s">
        <v>1156</v>
      </c>
      <c r="C3302" s="723"/>
      <c r="G3302" s="987">
        <v>2</v>
      </c>
      <c r="H3302" s="1081" t="s">
        <v>262</v>
      </c>
      <c r="I3302" s="724" t="s">
        <v>262</v>
      </c>
      <c r="J3302" s="1112">
        <v>38</v>
      </c>
      <c r="K3302" s="726">
        <f t="shared" si="114"/>
        <v>76</v>
      </c>
    </row>
    <row r="3303" spans="1:11">
      <c r="A3303" s="722"/>
      <c r="B3303" s="722" t="s">
        <v>1164</v>
      </c>
      <c r="C3303" s="723"/>
      <c r="G3303" s="987">
        <v>2</v>
      </c>
      <c r="H3303" s="1081" t="s">
        <v>262</v>
      </c>
      <c r="I3303" s="724" t="s">
        <v>262</v>
      </c>
      <c r="J3303" s="1112">
        <v>186</v>
      </c>
      <c r="K3303" s="726">
        <f t="shared" si="114"/>
        <v>372</v>
      </c>
    </row>
    <row r="3304" spans="1:11">
      <c r="A3304" s="722"/>
      <c r="B3304" s="722" t="s">
        <v>1165</v>
      </c>
      <c r="C3304" s="723"/>
      <c r="G3304" s="987">
        <v>2</v>
      </c>
      <c r="H3304" s="1081" t="s">
        <v>262</v>
      </c>
      <c r="I3304" s="724" t="s">
        <v>262</v>
      </c>
      <c r="J3304" s="1112">
        <v>335</v>
      </c>
      <c r="K3304" s="726">
        <f t="shared" si="114"/>
        <v>670</v>
      </c>
    </row>
    <row r="3305" spans="1:11">
      <c r="A3305" s="722"/>
      <c r="B3305" s="722" t="s">
        <v>1166</v>
      </c>
      <c r="C3305" s="723"/>
      <c r="G3305" s="987">
        <v>4</v>
      </c>
      <c r="H3305" s="1081" t="s">
        <v>262</v>
      </c>
      <c r="I3305" s="724" t="s">
        <v>262</v>
      </c>
      <c r="J3305" s="1112">
        <v>16</v>
      </c>
      <c r="K3305" s="726">
        <f t="shared" si="114"/>
        <v>64</v>
      </c>
    </row>
    <row r="3306" spans="1:11">
      <c r="A3306" s="722"/>
      <c r="B3306" s="722" t="s">
        <v>1138</v>
      </c>
      <c r="C3306" s="723"/>
      <c r="G3306" s="987">
        <v>8</v>
      </c>
      <c r="H3306" s="1081" t="s">
        <v>262</v>
      </c>
      <c r="I3306" s="724" t="s">
        <v>262</v>
      </c>
      <c r="J3306" s="1112">
        <v>25</v>
      </c>
      <c r="K3306" s="726">
        <f t="shared" si="114"/>
        <v>200</v>
      </c>
    </row>
    <row r="3307" spans="1:11">
      <c r="A3307" s="722"/>
      <c r="B3307" s="722" t="s">
        <v>1151</v>
      </c>
      <c r="C3307" s="723"/>
      <c r="G3307" s="987">
        <v>1</v>
      </c>
      <c r="H3307" s="1081" t="s">
        <v>262</v>
      </c>
      <c r="I3307" s="724" t="s">
        <v>262</v>
      </c>
      <c r="J3307" s="1112">
        <v>95</v>
      </c>
      <c r="K3307" s="726">
        <f t="shared" si="114"/>
        <v>95</v>
      </c>
    </row>
    <row r="3308" spans="1:11">
      <c r="A3308" s="722"/>
      <c r="B3308" s="722" t="s">
        <v>1167</v>
      </c>
      <c r="C3308" s="723"/>
      <c r="G3308" s="987">
        <v>2</v>
      </c>
      <c r="H3308" s="1081" t="s">
        <v>262</v>
      </c>
      <c r="I3308" s="724" t="s">
        <v>262</v>
      </c>
      <c r="J3308" s="1112">
        <v>2769</v>
      </c>
      <c r="K3308" s="726">
        <f t="shared" si="114"/>
        <v>5538</v>
      </c>
    </row>
    <row r="3309" spans="1:11">
      <c r="A3309" s="722"/>
      <c r="B3309" s="723" t="s">
        <v>1168</v>
      </c>
      <c r="C3309" s="723"/>
      <c r="G3309" s="987"/>
      <c r="H3309" s="1081"/>
      <c r="J3309" s="726"/>
      <c r="K3309" s="726"/>
    </row>
    <row r="3310" spans="1:11">
      <c r="A3310" s="722"/>
      <c r="B3310" s="722" t="s">
        <v>1169</v>
      </c>
      <c r="C3310" s="723"/>
      <c r="G3310" s="987">
        <v>3</v>
      </c>
      <c r="H3310" s="1081" t="s">
        <v>136</v>
      </c>
      <c r="I3310" s="724" t="s">
        <v>136</v>
      </c>
      <c r="J3310" s="1112">
        <v>102</v>
      </c>
      <c r="K3310" s="726">
        <f t="shared" si="114"/>
        <v>306</v>
      </c>
    </row>
    <row r="3311" spans="1:11">
      <c r="A3311" s="722"/>
      <c r="B3311" s="722" t="s">
        <v>1170</v>
      </c>
      <c r="C3311" s="723"/>
      <c r="G3311" s="987">
        <v>12</v>
      </c>
      <c r="H3311" s="1081" t="s">
        <v>136</v>
      </c>
      <c r="I3311" s="724" t="s">
        <v>136</v>
      </c>
      <c r="J3311" s="1112">
        <v>35</v>
      </c>
      <c r="K3311" s="726">
        <f t="shared" si="114"/>
        <v>420</v>
      </c>
    </row>
    <row r="3312" spans="1:11">
      <c r="A3312" s="722"/>
      <c r="B3312" s="722" t="s">
        <v>1148</v>
      </c>
      <c r="C3312" s="723"/>
      <c r="G3312" s="987">
        <v>7.9</v>
      </c>
      <c r="H3312" s="1081" t="s">
        <v>136</v>
      </c>
      <c r="I3312" s="724" t="s">
        <v>136</v>
      </c>
      <c r="J3312" s="1112">
        <v>46</v>
      </c>
      <c r="K3312" s="726">
        <f t="shared" si="114"/>
        <v>363.4</v>
      </c>
    </row>
    <row r="3313" spans="1:12">
      <c r="A3313" s="722"/>
      <c r="B3313" s="723" t="s">
        <v>1171</v>
      </c>
      <c r="C3313" s="723"/>
      <c r="G3313" s="987">
        <v>4.18</v>
      </c>
      <c r="H3313" s="1081" t="s">
        <v>92</v>
      </c>
      <c r="I3313" s="724" t="s">
        <v>92</v>
      </c>
      <c r="J3313" s="1112">
        <v>630</v>
      </c>
      <c r="K3313" s="726">
        <f t="shared" si="114"/>
        <v>2633.4</v>
      </c>
    </row>
    <row r="3314" spans="1:12">
      <c r="A3314" s="722"/>
      <c r="B3314" s="723" t="s">
        <v>1141</v>
      </c>
      <c r="C3314" s="723"/>
      <c r="G3314" s="987"/>
      <c r="H3314" s="1081"/>
      <c r="J3314" s="726"/>
      <c r="K3314" s="726"/>
    </row>
    <row r="3315" spans="1:12">
      <c r="A3315" s="722"/>
      <c r="B3315" s="722" t="s">
        <v>1093</v>
      </c>
      <c r="C3315" s="723"/>
      <c r="G3315" s="987">
        <v>4.4800000000000004</v>
      </c>
      <c r="H3315" s="1081" t="s">
        <v>262</v>
      </c>
      <c r="I3315" s="724" t="s">
        <v>38</v>
      </c>
      <c r="J3315" s="726">
        <f>L132</f>
        <v>284.3</v>
      </c>
      <c r="K3315" s="726">
        <f t="shared" si="114"/>
        <v>1273.6600000000001</v>
      </c>
    </row>
    <row r="3316" spans="1:12">
      <c r="A3316" s="722"/>
      <c r="B3316" s="722" t="s">
        <v>1142</v>
      </c>
      <c r="C3316" s="723"/>
      <c r="G3316" s="987">
        <v>4.4800000000000004</v>
      </c>
      <c r="H3316" s="1081" t="s">
        <v>262</v>
      </c>
      <c r="I3316" s="724" t="s">
        <v>38</v>
      </c>
      <c r="J3316" s="726">
        <f>L130</f>
        <v>244.3</v>
      </c>
      <c r="K3316" s="726">
        <f t="shared" si="114"/>
        <v>1094.46</v>
      </c>
    </row>
    <row r="3317" spans="1:12">
      <c r="A3317" s="722"/>
      <c r="B3317" s="723"/>
      <c r="C3317" s="723"/>
      <c r="G3317" s="1096"/>
      <c r="H3317" s="1095"/>
      <c r="I3317" s="1096"/>
      <c r="J3317" s="827" t="s">
        <v>718</v>
      </c>
      <c r="K3317" s="726">
        <f>SUM(K3296:K3316)</f>
        <v>24776.820000000003</v>
      </c>
    </row>
    <row r="3318" spans="1:12">
      <c r="A3318" s="722"/>
      <c r="B3318" s="723"/>
      <c r="C3318" s="723"/>
      <c r="G3318" s="1096"/>
      <c r="H3318" s="1095"/>
      <c r="I3318" s="1096"/>
      <c r="J3318" s="726"/>
      <c r="K3318" s="726"/>
    </row>
    <row r="3319" spans="1:12">
      <c r="A3319" s="722"/>
      <c r="B3319" s="723" t="s">
        <v>1172</v>
      </c>
      <c r="C3319" s="723"/>
      <c r="G3319" s="1096"/>
      <c r="H3319" s="1095"/>
      <c r="I3319" s="1096"/>
      <c r="J3319" s="726"/>
      <c r="K3319" s="726">
        <f>K3317+K3318</f>
        <v>24776.820000000003</v>
      </c>
    </row>
    <row r="3320" spans="1:12">
      <c r="A3320" s="722"/>
      <c r="B3320" s="723" t="s">
        <v>1173</v>
      </c>
      <c r="C3320" s="723"/>
      <c r="G3320" s="1096"/>
      <c r="H3320" s="1095"/>
      <c r="I3320" s="1096"/>
      <c r="J3320" s="726"/>
      <c r="K3320" s="1091">
        <f>ROUND(K3319/4.18,2)</f>
        <v>5927.47</v>
      </c>
      <c r="L3320" s="1087" t="s">
        <v>730</v>
      </c>
    </row>
    <row r="3321" spans="1:12" ht="254.25" customHeight="1">
      <c r="A3321" s="836">
        <f>A585</f>
        <v>95</v>
      </c>
      <c r="B3321" s="3399" t="str">
        <f>B585</f>
        <v xml:space="preserve">Factory made FRP Door / Window frame (alternately called GRP) of size 75mmx100mm fabricated using E-glass Chopped Strand Mat (CSM) U.V stabilised Inopthalic Gel coat and impregnated with Inopthalic resin. The thickness of the GRP skins shall not be less than 2.00mm. The doorframe consists of four segments, which are provided with plug-in-socket arrangement in-situ in the mould. The segments are plugged in and are joined together by means of screw. The GRP frame shall be provided with wooden reinforcement on six locations for high screw holding capacity for for fixing metallic hold fast and shall be consolidated by filling with medium density foam/plaster of paris with fibre reinforcement. The material and process for manufacturing the door frames shall conform to RV-TIFAC composites Design Centre's standards and specifications. The finish of door frame will be plain and different colour using high quality pigments complete in all respect as per specification and direction of the Engineer in charge. </v>
      </c>
      <c r="C3321" s="3386"/>
      <c r="D3321" s="3386"/>
      <c r="E3321" s="1086" t="str">
        <f>G585</f>
        <v>Each Mtr</v>
      </c>
      <c r="F3321" s="1086"/>
      <c r="G3321" s="987"/>
      <c r="J3321" s="1091"/>
      <c r="K3321" s="1091"/>
    </row>
    <row r="3322" spans="1:12">
      <c r="A3322" s="722"/>
      <c r="B3322" s="723" t="s">
        <v>3365</v>
      </c>
      <c r="G3322" s="724"/>
      <c r="H3322" s="1095"/>
      <c r="I3322" s="1096"/>
      <c r="J3322" s="1096"/>
      <c r="K3322" s="726"/>
    </row>
    <row r="3323" spans="1:12">
      <c r="A3323" s="722"/>
      <c r="B3323" s="723" t="s">
        <v>3366</v>
      </c>
      <c r="E3323" s="1089"/>
      <c r="F3323" s="1089"/>
      <c r="G3323" s="1095">
        <f>G165</f>
        <v>300</v>
      </c>
      <c r="H3323" s="1081" t="s">
        <v>1174</v>
      </c>
      <c r="J3323" s="1096"/>
      <c r="K3323" s="1091">
        <f>G3323*1.125</f>
        <v>337.5</v>
      </c>
    </row>
    <row r="3324" spans="1:12">
      <c r="A3324" s="722"/>
      <c r="B3324" s="722" t="s">
        <v>1175</v>
      </c>
      <c r="G3324" s="987">
        <v>4.72</v>
      </c>
      <c r="H3324" s="1081" t="s">
        <v>136</v>
      </c>
      <c r="I3324" s="724" t="s">
        <v>136</v>
      </c>
      <c r="J3324" s="726">
        <f>K3323</f>
        <v>337.5</v>
      </c>
      <c r="K3324" s="726">
        <f>ROUND(G3324*J3324,2)</f>
        <v>1593</v>
      </c>
    </row>
    <row r="3325" spans="1:12">
      <c r="A3325" s="722"/>
      <c r="B3325" s="722" t="s">
        <v>1176</v>
      </c>
      <c r="G3325" s="761">
        <v>8</v>
      </c>
      <c r="H3325" s="1095" t="s">
        <v>262</v>
      </c>
      <c r="I3325" s="1096" t="s">
        <v>262</v>
      </c>
      <c r="J3325" s="761">
        <f>M177</f>
        <v>1.5</v>
      </c>
      <c r="K3325" s="726">
        <f>ROUND(G3325*J3325,2)</f>
        <v>12</v>
      </c>
    </row>
    <row r="3326" spans="1:12">
      <c r="A3326" s="722"/>
      <c r="B3326" s="722" t="s">
        <v>261</v>
      </c>
      <c r="G3326" s="761">
        <v>8</v>
      </c>
      <c r="H3326" s="1095" t="s">
        <v>262</v>
      </c>
      <c r="I3326" s="1096" t="s">
        <v>262</v>
      </c>
      <c r="J3326" s="761">
        <f>G168</f>
        <v>2</v>
      </c>
      <c r="K3326" s="726">
        <f>ROUND(G3326*J3326,2)</f>
        <v>16</v>
      </c>
    </row>
    <row r="3327" spans="1:12">
      <c r="A3327" s="722"/>
      <c r="B3327" s="722" t="s">
        <v>1177</v>
      </c>
      <c r="G3327" s="761">
        <v>0.1</v>
      </c>
      <c r="H3327" s="1095" t="s">
        <v>319</v>
      </c>
      <c r="I3327" s="1096" t="s">
        <v>319</v>
      </c>
      <c r="J3327" s="761">
        <f>M196</f>
        <v>100</v>
      </c>
      <c r="K3327" s="726">
        <f>ROUND(G3327*J3327,2)</f>
        <v>10</v>
      </c>
    </row>
    <row r="3328" spans="1:12">
      <c r="A3328" s="722"/>
      <c r="G3328" s="724"/>
      <c r="H3328" s="1095"/>
      <c r="I3328" s="1096"/>
      <c r="J3328" s="827" t="s">
        <v>718</v>
      </c>
      <c r="K3328" s="1091">
        <f>SUM(K3324:K3327)</f>
        <v>1631</v>
      </c>
    </row>
    <row r="3329" spans="1:24">
      <c r="A3329" s="722"/>
      <c r="B3329" s="723" t="s">
        <v>1178</v>
      </c>
      <c r="C3329" s="723"/>
      <c r="D3329" s="724"/>
      <c r="E3329" s="1116"/>
      <c r="F3329" s="1116"/>
      <c r="G3329" s="724"/>
      <c r="H3329" s="1095"/>
      <c r="I3329" s="1096"/>
    </row>
    <row r="3330" spans="1:24">
      <c r="A3330" s="722"/>
      <c r="B3330" s="722" t="s">
        <v>1011</v>
      </c>
      <c r="G3330" s="987">
        <v>0.5</v>
      </c>
      <c r="H3330" s="1081" t="s">
        <v>262</v>
      </c>
      <c r="I3330" s="724" t="s">
        <v>38</v>
      </c>
      <c r="J3330" s="726">
        <f>L132</f>
        <v>284.3</v>
      </c>
      <c r="K3330" s="726">
        <f>ROUND(G3330*J3330,2)</f>
        <v>142.15</v>
      </c>
    </row>
    <row r="3331" spans="1:24">
      <c r="A3331" s="722"/>
      <c r="B3331" s="722" t="s">
        <v>717</v>
      </c>
      <c r="G3331" s="987">
        <v>0.5</v>
      </c>
      <c r="H3331" s="1081" t="s">
        <v>262</v>
      </c>
      <c r="I3331" s="724" t="s">
        <v>38</v>
      </c>
      <c r="J3331" s="726">
        <f>L129</f>
        <v>182</v>
      </c>
      <c r="K3331" s="726">
        <f>ROUND(G3331*J3331,2)</f>
        <v>91</v>
      </c>
    </row>
    <row r="3332" spans="1:24">
      <c r="A3332" s="722"/>
      <c r="G3332" s="987"/>
      <c r="H3332" s="1081"/>
      <c r="J3332" s="827" t="s">
        <v>718</v>
      </c>
      <c r="K3332" s="726">
        <f>SUM(K3330:K3331)</f>
        <v>233.15</v>
      </c>
    </row>
    <row r="3333" spans="1:24">
      <c r="A3333" s="722"/>
      <c r="B3333" s="723" t="s">
        <v>1012</v>
      </c>
      <c r="G3333" s="987"/>
      <c r="H3333" s="1081"/>
      <c r="J3333" s="827"/>
      <c r="K3333" s="1091">
        <f>ROUND(K3332*1*30%,2)</f>
        <v>69.95</v>
      </c>
    </row>
    <row r="3334" spans="1:24">
      <c r="A3334" s="722"/>
      <c r="B3334" s="723" t="s">
        <v>1179</v>
      </c>
      <c r="G3334" s="724"/>
      <c r="H3334" s="1095"/>
      <c r="I3334" s="1096"/>
      <c r="J3334" s="1096"/>
      <c r="K3334" s="726">
        <f>K3328+K3333</f>
        <v>1700.95</v>
      </c>
    </row>
    <row r="3335" spans="1:24">
      <c r="A3335" s="722"/>
      <c r="B3335" s="723" t="s">
        <v>1180</v>
      </c>
      <c r="G3335" s="724"/>
      <c r="H3335" s="1095"/>
      <c r="I3335" s="1096"/>
      <c r="J3335" s="1096"/>
      <c r="K3335" s="1091">
        <f>ROUND(K3334/4.72,2)</f>
        <v>360.37</v>
      </c>
      <c r="L3335" s="1087" t="s">
        <v>937</v>
      </c>
    </row>
    <row r="3336" spans="1:24" ht="299.25" customHeight="1">
      <c r="A3336" s="836">
        <f>A586</f>
        <v>96</v>
      </c>
      <c r="B3336" s="3399" t="str">
        <f>B586</f>
        <v xml:space="preserve">Factory made single leaf rigid FRP sandwich composite door / window shutter (alternately called GRP) of 32mm thick laminated with two GRP skins with wood grain finish fabricated using UV-stabilised Isopthalic Gelcoat and one layer of 450 gsm E-glass Chopped Strand Mat (CSM) mpregnated with orthopthalic polyester resin. The thickness of the skins shall not be less than 1.50mm Expanded Polystyrone (EPS) structural foam panel of 29mm thickness and a density of 20kg/cu.mtr shall be used as core material. Wooden reinforcements made of seasoned sal wood block of cross section not less than 28mm x 32mm and also necessary sal wood reinforcements for fitting the metal fittings such as tower bolts, aldrops, handles etc shall be provided. A structural adhesive compatible with (EPS) foam shall be used for bending the core material. The material and process for manufacturing the door shutters shall conform to RV-TIFAC composites Design Centre's standards and specifications and the door shutters tested in conformation to IS: 4020-1998. The finish of door shutter will be plain colour as per specification and direction of the Engineer in charge. </v>
      </c>
      <c r="C3336" s="3386"/>
      <c r="D3336" s="3386"/>
      <c r="E3336" s="1086" t="str">
        <f>G586</f>
        <v>Each Sqm</v>
      </c>
      <c r="F3336" s="1086"/>
      <c r="G3336" s="987"/>
      <c r="J3336" s="1091"/>
      <c r="K3336" s="1091"/>
    </row>
    <row r="3337" spans="1:24">
      <c r="A3337" s="836" t="s">
        <v>468</v>
      </c>
      <c r="B3337" s="723" t="s">
        <v>1009</v>
      </c>
      <c r="H3337" s="1081"/>
      <c r="J3337" s="827"/>
      <c r="K3337" s="1091"/>
      <c r="T3337" s="986"/>
      <c r="U3337" s="987"/>
      <c r="V3337" s="1081"/>
      <c r="W3337" s="724"/>
      <c r="X3337" s="726"/>
    </row>
    <row r="3338" spans="1:24">
      <c r="B3338" s="723" t="s">
        <v>1021</v>
      </c>
      <c r="C3338" s="723"/>
      <c r="D3338" s="724"/>
      <c r="E3338" s="1116"/>
      <c r="F3338" s="1116"/>
      <c r="G3338" s="724"/>
      <c r="H3338" s="1095"/>
      <c r="I3338" s="1096"/>
      <c r="J3338" s="726"/>
      <c r="K3338" s="726"/>
      <c r="T3338" s="986"/>
      <c r="U3338" s="1126"/>
      <c r="V3338" s="1081"/>
      <c r="W3338" s="724"/>
      <c r="X3338" s="726"/>
    </row>
    <row r="3339" spans="1:24">
      <c r="B3339" s="723" t="s">
        <v>954</v>
      </c>
      <c r="C3339" s="723"/>
      <c r="D3339" s="724"/>
      <c r="E3339" s="1116"/>
      <c r="F3339" s="1116"/>
      <c r="G3339" s="724"/>
      <c r="H3339" s="1095"/>
      <c r="I3339" s="1096"/>
      <c r="J3339" s="726"/>
      <c r="K3339" s="726"/>
      <c r="T3339" s="986"/>
      <c r="U3339" s="1126"/>
      <c r="V3339" s="1081"/>
      <c r="W3339" s="724"/>
      <c r="X3339" s="726"/>
    </row>
    <row r="3340" spans="1:24">
      <c r="B3340" s="722" t="s">
        <v>733</v>
      </c>
      <c r="G3340" s="987">
        <v>1</v>
      </c>
      <c r="H3340" s="1081" t="s">
        <v>38</v>
      </c>
      <c r="I3340" s="724" t="s">
        <v>38</v>
      </c>
      <c r="J3340" s="726">
        <f>L131</f>
        <v>264.3</v>
      </c>
      <c r="K3340" s="726">
        <f>ROUND(G3340*J3340,2)</f>
        <v>264.3</v>
      </c>
      <c r="T3340" s="986"/>
      <c r="U3340" s="987"/>
      <c r="V3340" s="1081"/>
      <c r="W3340" s="724"/>
      <c r="X3340" s="726"/>
    </row>
    <row r="3341" spans="1:24">
      <c r="B3341" s="722" t="s">
        <v>717</v>
      </c>
      <c r="G3341" s="987">
        <v>1</v>
      </c>
      <c r="H3341" s="1081" t="s">
        <v>38</v>
      </c>
      <c r="I3341" s="724" t="s">
        <v>38</v>
      </c>
      <c r="J3341" s="726">
        <f>L129</f>
        <v>182</v>
      </c>
      <c r="K3341" s="726">
        <f>ROUND(G3341*J3341,2)</f>
        <v>182</v>
      </c>
      <c r="T3341" s="986"/>
      <c r="U3341" s="987"/>
      <c r="V3341" s="1081"/>
      <c r="W3341" s="724"/>
      <c r="X3341" s="726"/>
    </row>
    <row r="3342" spans="1:24">
      <c r="G3342" s="987"/>
      <c r="H3342" s="1081"/>
      <c r="J3342" s="827" t="s">
        <v>718</v>
      </c>
      <c r="K3342" s="1091">
        <f>SUM(K3340:K3341)</f>
        <v>446.3</v>
      </c>
      <c r="T3342" s="986"/>
      <c r="U3342" s="1126"/>
      <c r="V3342" s="1081"/>
      <c r="W3342" s="724"/>
      <c r="X3342" s="726"/>
    </row>
    <row r="3343" spans="1:24">
      <c r="A3343" s="722"/>
      <c r="B3343" s="723"/>
      <c r="C3343" s="723"/>
      <c r="G3343" s="987"/>
      <c r="H3343" s="1081"/>
      <c r="J3343" s="726"/>
      <c r="K3343" s="1091"/>
      <c r="T3343" s="986"/>
      <c r="U3343" s="1126"/>
      <c r="V3343" s="1081"/>
      <c r="W3343" s="724"/>
      <c r="X3343" s="726"/>
    </row>
    <row r="3344" spans="1:24">
      <c r="A3344" s="722"/>
      <c r="B3344" s="722" t="s">
        <v>1181</v>
      </c>
      <c r="G3344" s="724"/>
      <c r="H3344" s="1095"/>
      <c r="I3344" s="1096"/>
      <c r="J3344" s="1096"/>
      <c r="K3344" s="726">
        <f>K3342+K3343</f>
        <v>446.3</v>
      </c>
    </row>
    <row r="3345" spans="1:17">
      <c r="A3345" s="722"/>
      <c r="B3345" s="723" t="s">
        <v>1182</v>
      </c>
      <c r="G3345" s="724"/>
      <c r="H3345" s="1095"/>
      <c r="I3345" s="1096"/>
      <c r="J3345" s="1096"/>
      <c r="K3345" s="1091">
        <f>ROUND(K3344/1.88,2)</f>
        <v>237.39</v>
      </c>
    </row>
    <row r="3346" spans="1:17">
      <c r="A3346" s="836" t="s">
        <v>470</v>
      </c>
      <c r="B3346" s="723" t="s">
        <v>1183</v>
      </c>
      <c r="C3346" s="723" t="s">
        <v>3367</v>
      </c>
      <c r="G3346" s="724"/>
      <c r="H3346" s="1095"/>
      <c r="I3346" s="1096"/>
      <c r="J3346" s="1096"/>
      <c r="K3346" s="726"/>
    </row>
    <row r="3347" spans="1:17">
      <c r="A3347" s="722"/>
      <c r="B3347" s="723" t="s">
        <v>3368</v>
      </c>
      <c r="E3347" s="1089"/>
      <c r="F3347" s="1089"/>
      <c r="G3347" s="1095">
        <f>M165</f>
        <v>1900</v>
      </c>
      <c r="H3347" s="1081" t="s">
        <v>1174</v>
      </c>
      <c r="J3347" s="1096"/>
      <c r="K3347" s="1091">
        <f>G3347*1.125</f>
        <v>2137.5</v>
      </c>
    </row>
    <row r="3348" spans="1:17">
      <c r="A3348" s="722"/>
      <c r="B3348" s="722" t="s">
        <v>1183</v>
      </c>
      <c r="G3348" s="987">
        <v>1.274</v>
      </c>
      <c r="H3348" s="1081" t="s">
        <v>357</v>
      </c>
      <c r="I3348" s="724" t="s">
        <v>357</v>
      </c>
      <c r="J3348" s="726">
        <f>K3347</f>
        <v>2137.5</v>
      </c>
      <c r="K3348" s="726">
        <f t="shared" ref="K3348:K3353" si="115">ROUND(G3348*J3348,2)</f>
        <v>2723.18</v>
      </c>
    </row>
    <row r="3349" spans="1:17">
      <c r="A3349" s="722"/>
      <c r="B3349" s="722" t="s">
        <v>271</v>
      </c>
      <c r="G3349" s="724">
        <v>3</v>
      </c>
      <c r="H3349" s="1095" t="s">
        <v>262</v>
      </c>
      <c r="I3349" s="1096" t="s">
        <v>262</v>
      </c>
      <c r="J3349" s="761">
        <f>M172</f>
        <v>55.67</v>
      </c>
      <c r="K3349" s="726">
        <f t="shared" si="115"/>
        <v>167.01</v>
      </c>
    </row>
    <row r="3350" spans="1:17">
      <c r="A3350" s="722"/>
      <c r="B3350" s="722" t="s">
        <v>273</v>
      </c>
      <c r="G3350" s="724">
        <v>2</v>
      </c>
      <c r="H3350" s="1095" t="s">
        <v>262</v>
      </c>
      <c r="I3350" s="1096" t="s">
        <v>262</v>
      </c>
      <c r="J3350" s="761">
        <f>M173</f>
        <v>31.31</v>
      </c>
      <c r="K3350" s="726">
        <f t="shared" si="115"/>
        <v>62.62</v>
      </c>
    </row>
    <row r="3351" spans="1:17">
      <c r="A3351" s="722"/>
      <c r="B3351" s="722" t="s">
        <v>275</v>
      </c>
      <c r="G3351" s="724">
        <v>1</v>
      </c>
      <c r="H3351" s="1095" t="s">
        <v>262</v>
      </c>
      <c r="I3351" s="1096" t="s">
        <v>262</v>
      </c>
      <c r="J3351" s="761">
        <f>M174</f>
        <v>54.26</v>
      </c>
      <c r="K3351" s="726">
        <f t="shared" si="115"/>
        <v>54.26</v>
      </c>
    </row>
    <row r="3352" spans="1:17">
      <c r="A3352" s="722"/>
      <c r="B3352" s="722" t="s">
        <v>277</v>
      </c>
      <c r="G3352" s="724">
        <v>1</v>
      </c>
      <c r="H3352" s="1095" t="s">
        <v>262</v>
      </c>
      <c r="I3352" s="1096" t="s">
        <v>262</v>
      </c>
      <c r="J3352" s="761">
        <f>M175</f>
        <v>223.68</v>
      </c>
      <c r="K3352" s="726">
        <f t="shared" si="115"/>
        <v>223.68</v>
      </c>
    </row>
    <row r="3353" spans="1:17">
      <c r="A3353" s="722"/>
      <c r="B3353" s="722" t="s">
        <v>279</v>
      </c>
      <c r="G3353" s="724">
        <v>36</v>
      </c>
      <c r="H3353" s="1095" t="s">
        <v>262</v>
      </c>
      <c r="I3353" s="1096" t="s">
        <v>262</v>
      </c>
      <c r="J3353" s="761">
        <f>M176</f>
        <v>0.44</v>
      </c>
      <c r="K3353" s="726">
        <f t="shared" si="115"/>
        <v>15.84</v>
      </c>
    </row>
    <row r="3354" spans="1:17">
      <c r="A3354" s="722"/>
      <c r="G3354" s="724"/>
      <c r="H3354" s="1095"/>
      <c r="I3354" s="1096"/>
      <c r="J3354" s="827" t="s">
        <v>718</v>
      </c>
      <c r="K3354" s="1091">
        <f>SUM(K3348:K3353)</f>
        <v>3246.5899999999997</v>
      </c>
    </row>
    <row r="3355" spans="1:17">
      <c r="A3355" s="722"/>
      <c r="B3355" s="723" t="s">
        <v>1184</v>
      </c>
      <c r="G3355" s="1096">
        <f>K3354</f>
        <v>3246.5899999999997</v>
      </c>
      <c r="H3355" s="1096" t="s">
        <v>1016</v>
      </c>
      <c r="I3355" s="1105">
        <v>1.274</v>
      </c>
      <c r="J3355" s="1109" t="s">
        <v>1185</v>
      </c>
      <c r="K3355" s="1091">
        <f>ROUND(G3355/I3355,2)</f>
        <v>2548.34</v>
      </c>
    </row>
    <row r="3356" spans="1:17">
      <c r="A3356" s="722"/>
      <c r="B3356" s="723" t="s">
        <v>1186</v>
      </c>
      <c r="G3356" s="724"/>
      <c r="H3356" s="1095"/>
      <c r="I3356" s="1096"/>
      <c r="J3356" s="1096"/>
      <c r="K3356" s="1091">
        <f>K3355+K3345</f>
        <v>2785.73</v>
      </c>
      <c r="L3356" s="1087" t="s">
        <v>730</v>
      </c>
    </row>
    <row r="3357" spans="1:17" ht="121.5" customHeight="1">
      <c r="A3357" s="836">
        <f>A587</f>
        <v>97</v>
      </c>
      <c r="B3357" s="3399" t="str">
        <f>B587</f>
        <v xml:space="preserve">Supplying, fitting and fixing hand railing of Stainless steel of 304 grade using 50mm dia of 2mm thick circular pipe with Balustrade of size 32mm x 32mm x 2mm @ 0.90mtr. C/C and stainless square pipe bracing of size 32mm x 32mm x 2mm in 3 rows in stair case as per approved design and specification, buffing, polishing etc with cost, conveyance, taxes of all materials, cost of all labour, T&amp;P etc. required for the complete in all respect as per direction of the Engineer-in-charge. </v>
      </c>
      <c r="C3357" s="3386"/>
      <c r="D3357" s="3386"/>
      <c r="E3357" s="1086" t="str">
        <f>G587</f>
        <v>Each Mtr</v>
      </c>
      <c r="F3357" s="1086"/>
      <c r="G3357" s="987"/>
      <c r="J3357" s="1091"/>
      <c r="K3357" s="1091"/>
      <c r="Q3357" s="723" t="s">
        <v>1116</v>
      </c>
    </row>
    <row r="3358" spans="1:17">
      <c r="B3358" s="723" t="s">
        <v>1187</v>
      </c>
      <c r="C3358" s="723"/>
      <c r="D3358" s="724"/>
      <c r="E3358" s="1116"/>
      <c r="F3358" s="1116"/>
      <c r="G3358" s="724"/>
      <c r="H3358" s="1095"/>
      <c r="I3358" s="1096"/>
      <c r="J3358" s="726"/>
      <c r="K3358" s="726"/>
    </row>
    <row r="3359" spans="1:17">
      <c r="B3359" s="723" t="s">
        <v>822</v>
      </c>
      <c r="C3359" s="723"/>
      <c r="D3359" s="724"/>
      <c r="E3359" s="1116"/>
      <c r="F3359" s="1116"/>
      <c r="G3359" s="724"/>
      <c r="H3359" s="1095"/>
      <c r="I3359" s="1096"/>
      <c r="J3359" s="726"/>
      <c r="K3359" s="726"/>
    </row>
    <row r="3360" spans="1:17">
      <c r="B3360" s="722" t="s">
        <v>285</v>
      </c>
      <c r="G3360" s="987"/>
      <c r="H3360" s="1081"/>
      <c r="J3360" s="726"/>
      <c r="K3360" s="726"/>
    </row>
    <row r="3361" spans="2:11">
      <c r="B3361" s="722" t="s">
        <v>1188</v>
      </c>
      <c r="G3361" s="987">
        <v>11.41</v>
      </c>
      <c r="H3361" s="1081" t="s">
        <v>95</v>
      </c>
      <c r="I3361" s="724" t="s">
        <v>95</v>
      </c>
      <c r="J3361" s="726">
        <f>M179</f>
        <v>240.24</v>
      </c>
      <c r="K3361" s="726">
        <f>ROUND(G3361*J3361,2)</f>
        <v>2741.14</v>
      </c>
    </row>
    <row r="3362" spans="2:11">
      <c r="B3362" s="722" t="s">
        <v>1189</v>
      </c>
      <c r="G3362" s="987"/>
      <c r="H3362" s="1081"/>
      <c r="J3362" s="726"/>
      <c r="K3362" s="726"/>
    </row>
    <row r="3363" spans="2:11">
      <c r="B3363" s="722" t="s">
        <v>1190</v>
      </c>
      <c r="G3363" s="987">
        <v>6.12</v>
      </c>
      <c r="H3363" s="1081" t="s">
        <v>95</v>
      </c>
      <c r="I3363" s="724" t="s">
        <v>95</v>
      </c>
      <c r="J3363" s="726">
        <f>M180</f>
        <v>256.62</v>
      </c>
      <c r="K3363" s="726">
        <f>ROUND(G3363*J3363,2)</f>
        <v>1570.51</v>
      </c>
    </row>
    <row r="3364" spans="2:11">
      <c r="B3364" s="722" t="s">
        <v>1191</v>
      </c>
      <c r="G3364" s="987"/>
      <c r="H3364" s="1081"/>
      <c r="J3364" s="726"/>
      <c r="K3364" s="726"/>
    </row>
    <row r="3365" spans="2:11">
      <c r="B3365" s="722" t="s">
        <v>1192</v>
      </c>
      <c r="G3365" s="987"/>
      <c r="H3365" s="1081"/>
      <c r="J3365" s="726"/>
      <c r="K3365" s="726"/>
    </row>
    <row r="3366" spans="2:11">
      <c r="B3366" s="722" t="s">
        <v>1193</v>
      </c>
      <c r="G3366" s="987">
        <v>16.63</v>
      </c>
      <c r="H3366" s="1081" t="s">
        <v>95</v>
      </c>
      <c r="I3366" s="724" t="s">
        <v>95</v>
      </c>
      <c r="J3366" s="726">
        <f>M180</f>
        <v>256.62</v>
      </c>
      <c r="K3366" s="726">
        <f>ROUND(G3366*J3366,2)</f>
        <v>4267.59</v>
      </c>
    </row>
    <row r="3367" spans="2:11">
      <c r="G3367" s="987"/>
      <c r="H3367" s="1081"/>
      <c r="J3367" s="827" t="s">
        <v>718</v>
      </c>
      <c r="K3367" s="726">
        <f>SUM(K3359:K3366)</f>
        <v>8579.24</v>
      </c>
    </row>
    <row r="3368" spans="2:11">
      <c r="B3368" s="722" t="s">
        <v>1194</v>
      </c>
      <c r="G3368" s="987">
        <f>SUM(G3361:G3366)</f>
        <v>34.159999999999997</v>
      </c>
      <c r="H3368" s="1081" t="s">
        <v>95</v>
      </c>
      <c r="I3368" s="724" t="s">
        <v>95</v>
      </c>
      <c r="J3368" s="726">
        <f>G197</f>
        <v>10</v>
      </c>
      <c r="K3368" s="726">
        <f>ROUND(G3368*J3368,2)</f>
        <v>341.6</v>
      </c>
    </row>
    <row r="3369" spans="2:11">
      <c r="B3369" s="722" t="s">
        <v>1195</v>
      </c>
      <c r="G3369" s="987"/>
      <c r="H3369" s="1081"/>
      <c r="J3369" s="726"/>
      <c r="K3369" s="726">
        <f>K3367*2%</f>
        <v>171.5848</v>
      </c>
    </row>
    <row r="3370" spans="2:11">
      <c r="G3370" s="987"/>
      <c r="H3370" s="1081"/>
      <c r="J3370" s="827" t="s">
        <v>718</v>
      </c>
      <c r="K3370" s="1091">
        <f>K3367+K3368+K3369</f>
        <v>9092.4248000000007</v>
      </c>
    </row>
    <row r="3371" spans="2:11">
      <c r="B3371" s="723" t="s">
        <v>904</v>
      </c>
      <c r="G3371" s="987"/>
      <c r="H3371" s="1081"/>
      <c r="J3371" s="827"/>
      <c r="K3371" s="1091"/>
    </row>
    <row r="3372" spans="2:11">
      <c r="B3372" s="722" t="s">
        <v>187</v>
      </c>
      <c r="G3372" s="987">
        <v>0.89</v>
      </c>
      <c r="H3372" s="1081" t="s">
        <v>262</v>
      </c>
      <c r="I3372" s="724" t="s">
        <v>38</v>
      </c>
      <c r="J3372" s="726">
        <f>L132</f>
        <v>284.3</v>
      </c>
      <c r="K3372" s="726">
        <f>ROUND(G3372*J3372,2)</f>
        <v>253.03</v>
      </c>
    </row>
    <row r="3373" spans="2:11">
      <c r="B3373" s="722" t="s">
        <v>185</v>
      </c>
      <c r="G3373" s="987">
        <v>0.89</v>
      </c>
      <c r="H3373" s="1081" t="s">
        <v>262</v>
      </c>
      <c r="I3373" s="724" t="s">
        <v>38</v>
      </c>
      <c r="J3373" s="726">
        <f>L130</f>
        <v>244.3</v>
      </c>
      <c r="K3373" s="726">
        <f>ROUND(G3373*J3373,2)</f>
        <v>217.43</v>
      </c>
    </row>
    <row r="3374" spans="2:11">
      <c r="G3374" s="987"/>
      <c r="H3374" s="1081"/>
      <c r="J3374" s="827" t="s">
        <v>718</v>
      </c>
      <c r="K3374" s="1091">
        <f>SUM(K3372:K3373)</f>
        <v>470.46000000000004</v>
      </c>
    </row>
    <row r="3375" spans="2:11">
      <c r="B3375" s="723" t="s">
        <v>760</v>
      </c>
      <c r="G3375" s="987"/>
      <c r="H3375" s="1081"/>
      <c r="J3375" s="827"/>
      <c r="K3375" s="1091">
        <f>K3370+K3374</f>
        <v>9562.8847999999998</v>
      </c>
    </row>
    <row r="3376" spans="2:11">
      <c r="B3376" s="723"/>
      <c r="C3376" s="723"/>
      <c r="G3376" s="987"/>
      <c r="H3376" s="1081"/>
      <c r="J3376" s="726"/>
      <c r="K3376" s="1091"/>
    </row>
    <row r="3377" spans="1:22">
      <c r="B3377" s="723" t="s">
        <v>1196</v>
      </c>
      <c r="G3377" s="987"/>
      <c r="H3377" s="1081"/>
      <c r="J3377" s="827"/>
      <c r="K3377" s="1091">
        <f>K3375+K3376</f>
        <v>9562.8847999999998</v>
      </c>
    </row>
    <row r="3378" spans="1:22">
      <c r="B3378" s="723" t="s">
        <v>1197</v>
      </c>
      <c r="G3378" s="987"/>
      <c r="H3378" s="1081"/>
      <c r="J3378" s="827"/>
      <c r="K3378" s="1091">
        <f>ROUND(K3377/3.26,2)</f>
        <v>2933.4</v>
      </c>
      <c r="L3378" s="1087" t="s">
        <v>937</v>
      </c>
    </row>
    <row r="3379" spans="1:22">
      <c r="B3379" s="723" t="s">
        <v>1198</v>
      </c>
      <c r="G3379" s="987"/>
      <c r="H3379" s="1081"/>
      <c r="J3379" s="827"/>
      <c r="K3379" s="1091">
        <f>ROUND(K3377/34.16,2)</f>
        <v>279.94</v>
      </c>
      <c r="L3379" s="1087" t="s">
        <v>1054</v>
      </c>
    </row>
    <row r="3380" spans="1:22" ht="69" customHeight="1">
      <c r="A3380" s="836">
        <f>A588</f>
        <v>98</v>
      </c>
      <c r="B3380" s="3386" t="str">
        <f>B588</f>
        <v>Supplying, Fitting &amp; Fixing  GCI Sheet of 0.4mm thick in Roofing including cost, conveyance of all materials  and labour for fitting fixing etc.complete as per the instruction of Engineer-in-Charge .</v>
      </c>
      <c r="C3380" s="3386"/>
      <c r="D3380" s="3386"/>
      <c r="E3380" s="1086" t="str">
        <f>G588</f>
        <v>Each Sqm</v>
      </c>
      <c r="F3380" s="1086"/>
      <c r="G3380" s="987"/>
      <c r="J3380" s="1091"/>
      <c r="K3380" s="1091"/>
    </row>
    <row r="3381" spans="1:22">
      <c r="A3381" s="722"/>
      <c r="B3381" s="723" t="s">
        <v>884</v>
      </c>
      <c r="E3381" s="733"/>
      <c r="F3381" s="733"/>
      <c r="I3381" s="722"/>
      <c r="L3381" s="722"/>
      <c r="Q3381" s="723"/>
      <c r="S3381" s="836"/>
      <c r="T3381" s="1127"/>
      <c r="U3381" s="1098"/>
      <c r="V3381" s="1128"/>
    </row>
    <row r="3382" spans="1:22">
      <c r="A3382" s="722"/>
      <c r="B3382" s="723" t="s">
        <v>954</v>
      </c>
      <c r="G3382" s="987"/>
      <c r="H3382" s="1081"/>
      <c r="J3382" s="726"/>
      <c r="K3382" s="726"/>
      <c r="L3382" s="1087"/>
    </row>
    <row r="3383" spans="1:22">
      <c r="A3383" s="722"/>
      <c r="B3383" s="722" t="s">
        <v>1011</v>
      </c>
      <c r="G3383" s="987">
        <v>0.5</v>
      </c>
      <c r="H3383" s="1081" t="s">
        <v>262</v>
      </c>
      <c r="I3383" s="724" t="s">
        <v>38</v>
      </c>
      <c r="J3383" s="726">
        <f>L132</f>
        <v>284.3</v>
      </c>
      <c r="K3383" s="726">
        <f>ROUND(G3383*J3383,2)</f>
        <v>142.15</v>
      </c>
      <c r="L3383" s="1087"/>
    </row>
    <row r="3384" spans="1:22">
      <c r="A3384" s="722"/>
      <c r="B3384" s="722" t="s">
        <v>1199</v>
      </c>
      <c r="G3384" s="987">
        <v>1</v>
      </c>
      <c r="H3384" s="1081" t="s">
        <v>262</v>
      </c>
      <c r="I3384" s="724" t="s">
        <v>38</v>
      </c>
      <c r="J3384" s="726">
        <f>J3383</f>
        <v>284.3</v>
      </c>
      <c r="K3384" s="726">
        <f>ROUND(G3384*J3384,2)</f>
        <v>284.3</v>
      </c>
      <c r="L3384" s="1087"/>
    </row>
    <row r="3385" spans="1:22">
      <c r="A3385" s="722"/>
      <c r="B3385" s="722" t="s">
        <v>717</v>
      </c>
      <c r="G3385" s="987">
        <v>2</v>
      </c>
      <c r="H3385" s="1081" t="s">
        <v>262</v>
      </c>
      <c r="I3385" s="724" t="s">
        <v>38</v>
      </c>
      <c r="J3385" s="726">
        <f>L129</f>
        <v>182</v>
      </c>
      <c r="K3385" s="726">
        <f>ROUND(G3385*J3385,2)</f>
        <v>364</v>
      </c>
      <c r="L3385" s="1087"/>
    </row>
    <row r="3386" spans="1:22">
      <c r="A3386" s="722"/>
      <c r="G3386" s="987"/>
      <c r="H3386" s="1081"/>
      <c r="J3386" s="827" t="s">
        <v>718</v>
      </c>
      <c r="K3386" s="1091">
        <f>SUM(K3383:K3385)</f>
        <v>790.45</v>
      </c>
      <c r="L3386" s="1087"/>
    </row>
    <row r="3387" spans="1:22">
      <c r="A3387" s="722"/>
      <c r="B3387" s="723"/>
      <c r="G3387" s="987"/>
      <c r="H3387" s="1081"/>
      <c r="J3387" s="726"/>
      <c r="K3387" s="1091"/>
      <c r="L3387" s="1087"/>
    </row>
    <row r="3388" spans="1:22">
      <c r="A3388" s="722"/>
      <c r="B3388" s="723" t="s">
        <v>1200</v>
      </c>
      <c r="E3388" s="733"/>
      <c r="F3388" s="733"/>
      <c r="I3388" s="722"/>
      <c r="K3388" s="722">
        <f>ROUND(K3386*2%,2)</f>
        <v>15.81</v>
      </c>
      <c r="L3388" s="722"/>
    </row>
    <row r="3389" spans="1:22">
      <c r="A3389" s="722"/>
      <c r="E3389" s="733"/>
      <c r="F3389" s="733"/>
      <c r="I3389" s="722"/>
      <c r="K3389" s="726">
        <f>SUM(K3386:K3388)</f>
        <v>806.26</v>
      </c>
      <c r="L3389" s="722"/>
    </row>
    <row r="3390" spans="1:22">
      <c r="A3390" s="722"/>
      <c r="B3390" s="722" t="s">
        <v>1201</v>
      </c>
      <c r="E3390" s="733"/>
      <c r="F3390" s="733"/>
      <c r="I3390" s="722"/>
      <c r="K3390" s="726">
        <f>ROUND(K3389/9.3,2)</f>
        <v>86.69</v>
      </c>
      <c r="L3390" s="722"/>
    </row>
    <row r="3391" spans="1:22">
      <c r="A3391" s="722"/>
      <c r="B3391" s="722" t="s">
        <v>1202</v>
      </c>
      <c r="E3391" s="733"/>
      <c r="F3391" s="733"/>
      <c r="G3391" s="987">
        <v>1.1000000000000001</v>
      </c>
      <c r="H3391" s="1081" t="s">
        <v>92</v>
      </c>
      <c r="I3391" s="724" t="s">
        <v>92</v>
      </c>
      <c r="J3391" s="726">
        <f>L96</f>
        <v>376.78168199999999</v>
      </c>
      <c r="K3391" s="726">
        <f>ROUND(G3391*J3391,2)</f>
        <v>414.46</v>
      </c>
      <c r="L3391" s="722"/>
    </row>
    <row r="3392" spans="1:22">
      <c r="A3392" s="722"/>
      <c r="E3392" s="733"/>
      <c r="F3392" s="733"/>
      <c r="I3392" s="722"/>
      <c r="J3392" s="723" t="s">
        <v>928</v>
      </c>
      <c r="K3392" s="1091">
        <f>SUM(K3390:K3391)</f>
        <v>501.15</v>
      </c>
      <c r="L3392" s="1087" t="s">
        <v>730</v>
      </c>
    </row>
    <row r="3393" spans="1:22" ht="52.5" customHeight="1">
      <c r="A3393" s="836">
        <f>A589</f>
        <v>99</v>
      </c>
      <c r="B3393" s="3386" t="str">
        <f>B589</f>
        <v>Supplying, Fitting &amp; Fixing  AC Sheet in Roofing including cost, conveyance of all materials  and labour for fitting fixing etc.complete as per the instruction of Engineer-in-Charge .</v>
      </c>
      <c r="C3393" s="3386"/>
      <c r="D3393" s="3386"/>
      <c r="E3393" s="1086" t="str">
        <f>G606</f>
        <v>Each Sqm</v>
      </c>
      <c r="F3393" s="1086"/>
      <c r="G3393" s="987"/>
      <c r="J3393" s="1091"/>
      <c r="K3393" s="1091"/>
    </row>
    <row r="3394" spans="1:22">
      <c r="A3394" s="722"/>
      <c r="B3394" s="723" t="s">
        <v>884</v>
      </c>
      <c r="E3394" s="733"/>
      <c r="F3394" s="733"/>
      <c r="I3394" s="722"/>
      <c r="L3394" s="722"/>
      <c r="Q3394" s="723"/>
      <c r="S3394" s="836"/>
      <c r="T3394" s="1127"/>
      <c r="U3394" s="1098"/>
      <c r="V3394" s="1128"/>
    </row>
    <row r="3395" spans="1:22">
      <c r="A3395" s="722"/>
      <c r="B3395" s="723" t="s">
        <v>954</v>
      </c>
      <c r="G3395" s="987"/>
      <c r="H3395" s="1081"/>
      <c r="J3395" s="726"/>
      <c r="K3395" s="726"/>
      <c r="L3395" s="1087"/>
    </row>
    <row r="3396" spans="1:22">
      <c r="A3396" s="722"/>
      <c r="B3396" s="722" t="s">
        <v>1011</v>
      </c>
      <c r="G3396" s="987">
        <v>1</v>
      </c>
      <c r="H3396" s="1081" t="s">
        <v>262</v>
      </c>
      <c r="I3396" s="724" t="s">
        <v>38</v>
      </c>
      <c r="J3396" s="726">
        <f>L132</f>
        <v>284.3</v>
      </c>
      <c r="K3396" s="726">
        <f>ROUND(G3396*J3396,2)</f>
        <v>284.3</v>
      </c>
      <c r="L3396" s="1087"/>
    </row>
    <row r="3397" spans="1:22">
      <c r="A3397" s="722"/>
      <c r="B3397" s="722" t="s">
        <v>717</v>
      </c>
      <c r="G3397" s="987">
        <v>3</v>
      </c>
      <c r="H3397" s="1081" t="s">
        <v>262</v>
      </c>
      <c r="I3397" s="724" t="s">
        <v>38</v>
      </c>
      <c r="J3397" s="726">
        <f>L129</f>
        <v>182</v>
      </c>
      <c r="K3397" s="726">
        <f>ROUND(G3397*J3397,2)</f>
        <v>546</v>
      </c>
      <c r="L3397" s="1087"/>
    </row>
    <row r="3398" spans="1:22">
      <c r="A3398" s="722"/>
      <c r="G3398" s="987"/>
      <c r="H3398" s="1081"/>
      <c r="J3398" s="827" t="s">
        <v>718</v>
      </c>
      <c r="K3398" s="1091">
        <f>SUM(K3396:K3397)</f>
        <v>830.3</v>
      </c>
      <c r="L3398" s="1087"/>
    </row>
    <row r="3399" spans="1:22">
      <c r="A3399" s="722"/>
      <c r="B3399" s="723"/>
      <c r="G3399" s="987"/>
      <c r="H3399" s="1081"/>
      <c r="J3399" s="726"/>
      <c r="K3399" s="1091"/>
      <c r="L3399" s="1087"/>
    </row>
    <row r="3400" spans="1:22">
      <c r="A3400" s="722"/>
      <c r="B3400" s="723" t="s">
        <v>1203</v>
      </c>
      <c r="E3400" s="733"/>
      <c r="F3400" s="733"/>
      <c r="I3400" s="722"/>
      <c r="K3400" s="722">
        <f>ROUND(K3398*2%,2)</f>
        <v>16.61</v>
      </c>
      <c r="L3400" s="722"/>
    </row>
    <row r="3401" spans="1:22">
      <c r="A3401" s="722"/>
      <c r="E3401" s="733"/>
      <c r="F3401" s="733"/>
      <c r="I3401" s="722"/>
      <c r="K3401" s="726">
        <f>SUM(K3398:K3400)</f>
        <v>846.91</v>
      </c>
      <c r="L3401" s="722"/>
    </row>
    <row r="3402" spans="1:22">
      <c r="A3402" s="722"/>
      <c r="B3402" s="722" t="s">
        <v>1201</v>
      </c>
      <c r="E3402" s="733"/>
      <c r="F3402" s="733"/>
      <c r="I3402" s="722"/>
      <c r="K3402" s="726">
        <f>ROUND(K3401/9.3,2)</f>
        <v>91.07</v>
      </c>
      <c r="L3402" s="722"/>
    </row>
    <row r="3403" spans="1:22">
      <c r="A3403" s="722"/>
      <c r="B3403" s="722" t="s">
        <v>1204</v>
      </c>
      <c r="E3403" s="733"/>
      <c r="F3403" s="733"/>
      <c r="G3403" s="987">
        <v>1.1000000000000001</v>
      </c>
      <c r="H3403" s="1081" t="s">
        <v>92</v>
      </c>
      <c r="I3403" s="724" t="s">
        <v>92</v>
      </c>
      <c r="J3403" s="726">
        <f>L94</f>
        <v>250.80506800000001</v>
      </c>
      <c r="K3403" s="726">
        <f>ROUND(G3403*J3403,2)</f>
        <v>275.89</v>
      </c>
      <c r="L3403" s="722"/>
    </row>
    <row r="3404" spans="1:22">
      <c r="A3404" s="722"/>
      <c r="E3404" s="733"/>
      <c r="F3404" s="733"/>
      <c r="I3404" s="722"/>
      <c r="J3404" s="723" t="s">
        <v>928</v>
      </c>
      <c r="K3404" s="1091">
        <f>SUM(K3402:K3403)</f>
        <v>366.96</v>
      </c>
      <c r="L3404" s="1087" t="s">
        <v>730</v>
      </c>
    </row>
    <row r="3405" spans="1:22" ht="52.5" customHeight="1">
      <c r="A3405" s="836">
        <f>A590</f>
        <v>100</v>
      </c>
      <c r="B3405" s="3386" t="str">
        <f>B590</f>
        <v>Supplying, Fitting &amp; Fixing  Asbestos sheet ridges or valleys (double) per RM  and labour for fitting fixing etc.complete as per the instruction of Engineer-in-Charge .</v>
      </c>
      <c r="C3405" s="3386"/>
      <c r="D3405" s="3386"/>
      <c r="E3405" s="1086" t="str">
        <f>G629</f>
        <v>Each Sqm</v>
      </c>
      <c r="F3405" s="1086"/>
      <c r="G3405" s="987"/>
      <c r="J3405" s="1091"/>
      <c r="K3405" s="1091"/>
    </row>
    <row r="3406" spans="1:22">
      <c r="A3406" s="722"/>
      <c r="B3406" s="723" t="s">
        <v>1205</v>
      </c>
      <c r="E3406" s="733"/>
      <c r="F3406" s="733"/>
      <c r="I3406" s="722"/>
      <c r="L3406" s="722"/>
      <c r="Q3406" s="723"/>
      <c r="S3406" s="836"/>
      <c r="T3406" s="1127"/>
      <c r="U3406" s="1098"/>
      <c r="V3406" s="1128"/>
    </row>
    <row r="3407" spans="1:22">
      <c r="A3407" s="722"/>
      <c r="B3407" s="723" t="s">
        <v>954</v>
      </c>
      <c r="G3407" s="987"/>
      <c r="H3407" s="1081"/>
      <c r="J3407" s="726"/>
      <c r="K3407" s="726"/>
      <c r="L3407" s="1087"/>
    </row>
    <row r="3408" spans="1:22">
      <c r="A3408" s="722"/>
      <c r="B3408" s="722" t="s">
        <v>1011</v>
      </c>
      <c r="G3408" s="987">
        <v>0.5</v>
      </c>
      <c r="H3408" s="1081" t="s">
        <v>262</v>
      </c>
      <c r="I3408" s="724" t="s">
        <v>38</v>
      </c>
      <c r="J3408" s="726">
        <f>L132</f>
        <v>284.3</v>
      </c>
      <c r="K3408" s="726">
        <f>ROUND(G3408*J3408,2)</f>
        <v>142.15</v>
      </c>
      <c r="L3408" s="1087"/>
    </row>
    <row r="3409" spans="1:16">
      <c r="A3409" s="722"/>
      <c r="B3409" s="722" t="s">
        <v>742</v>
      </c>
      <c r="G3409" s="987">
        <v>1.5</v>
      </c>
      <c r="H3409" s="1081" t="s">
        <v>262</v>
      </c>
      <c r="I3409" s="724" t="s">
        <v>38</v>
      </c>
      <c r="J3409" s="726">
        <f>L131</f>
        <v>264.3</v>
      </c>
      <c r="K3409" s="726">
        <f>ROUND(G3409*J3409,2)</f>
        <v>396.45</v>
      </c>
      <c r="L3409" s="1087"/>
    </row>
    <row r="3410" spans="1:16">
      <c r="A3410" s="722"/>
      <c r="B3410" s="722" t="s">
        <v>1206</v>
      </c>
      <c r="G3410" s="987">
        <v>3</v>
      </c>
      <c r="H3410" s="1081" t="s">
        <v>262</v>
      </c>
      <c r="I3410" s="724" t="s">
        <v>38</v>
      </c>
      <c r="J3410" s="726">
        <f>L132</f>
        <v>284.3</v>
      </c>
      <c r="K3410" s="726">
        <f>ROUND(G3410*J3410,2)</f>
        <v>852.9</v>
      </c>
      <c r="L3410" s="1087"/>
    </row>
    <row r="3411" spans="1:16">
      <c r="A3411" s="722"/>
      <c r="B3411" s="722" t="s">
        <v>717</v>
      </c>
      <c r="G3411" s="987">
        <v>4</v>
      </c>
      <c r="H3411" s="1081" t="s">
        <v>262</v>
      </c>
      <c r="I3411" s="724" t="s">
        <v>38</v>
      </c>
      <c r="J3411" s="726">
        <f>L129</f>
        <v>182</v>
      </c>
      <c r="K3411" s="726">
        <f>ROUND(G3411*J3411,2)</f>
        <v>728</v>
      </c>
      <c r="L3411" s="1087"/>
    </row>
    <row r="3412" spans="1:16">
      <c r="A3412" s="722"/>
      <c r="G3412" s="987"/>
      <c r="H3412" s="1081"/>
      <c r="J3412" s="827" t="s">
        <v>718</v>
      </c>
      <c r="K3412" s="1091">
        <f>SUM(K3408:K3411)</f>
        <v>2119.5</v>
      </c>
      <c r="L3412" s="1087"/>
    </row>
    <row r="3413" spans="1:16">
      <c r="A3413" s="722"/>
      <c r="B3413" s="723"/>
      <c r="G3413" s="987"/>
      <c r="H3413" s="1081"/>
      <c r="J3413" s="726"/>
      <c r="K3413" s="1091"/>
      <c r="L3413" s="1087"/>
    </row>
    <row r="3414" spans="1:16">
      <c r="A3414" s="722"/>
      <c r="B3414" s="723" t="s">
        <v>1200</v>
      </c>
      <c r="E3414" s="733"/>
      <c r="F3414" s="733"/>
      <c r="I3414" s="722"/>
      <c r="K3414" s="722">
        <f>ROUND(K3412*2%,2)</f>
        <v>42.39</v>
      </c>
      <c r="L3414" s="722"/>
    </row>
    <row r="3415" spans="1:16">
      <c r="A3415" s="722"/>
      <c r="E3415" s="733"/>
      <c r="F3415" s="733"/>
      <c r="I3415" s="722"/>
      <c r="K3415" s="726">
        <f>SUM(K3412:K3414)</f>
        <v>2161.89</v>
      </c>
      <c r="L3415" s="722"/>
    </row>
    <row r="3416" spans="1:16">
      <c r="A3416" s="722"/>
      <c r="B3416" s="722" t="s">
        <v>1201</v>
      </c>
      <c r="E3416" s="733"/>
      <c r="F3416" s="733"/>
      <c r="I3416" s="722"/>
      <c r="K3416" s="726">
        <f>ROUND(K3415/30.48,2)</f>
        <v>70.930000000000007</v>
      </c>
      <c r="L3416" s="722"/>
    </row>
    <row r="3417" spans="1:16">
      <c r="A3417" s="722"/>
      <c r="B3417" s="722" t="s">
        <v>1207</v>
      </c>
      <c r="E3417" s="733"/>
      <c r="F3417" s="733"/>
      <c r="G3417" s="987">
        <v>1.65</v>
      </c>
      <c r="H3417" s="1081" t="s">
        <v>1208</v>
      </c>
      <c r="I3417" s="724" t="s">
        <v>1208</v>
      </c>
      <c r="J3417" s="726">
        <f>G95</f>
        <v>245.07</v>
      </c>
      <c r="K3417" s="726">
        <f>ROUND(G3417*J3417,2)</f>
        <v>404.37</v>
      </c>
      <c r="L3417" s="722"/>
    </row>
    <row r="3418" spans="1:16">
      <c r="A3418" s="722"/>
      <c r="E3418" s="733"/>
      <c r="F3418" s="733"/>
      <c r="I3418" s="722"/>
      <c r="J3418" s="723" t="s">
        <v>928</v>
      </c>
      <c r="K3418" s="1091">
        <f>SUM(K3416:K3417)</f>
        <v>475.3</v>
      </c>
      <c r="L3418" s="1087" t="s">
        <v>730</v>
      </c>
    </row>
    <row r="3419" spans="1:16" ht="123.75" customHeight="1">
      <c r="A3419" s="836">
        <f>A591</f>
        <v>101</v>
      </c>
      <c r="B3419" s="3386" t="str">
        <f>B591</f>
        <v>Providing, Fitting &amp; Fixing of False Ceiling  with 12 mm thick pre-laminated Novapan board,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3419" s="3386"/>
      <c r="D3419" s="3386"/>
      <c r="E3419" s="1086" t="str">
        <f>G591</f>
        <v>Each Sqm</v>
      </c>
      <c r="F3419" s="1086"/>
      <c r="G3419" s="987"/>
      <c r="J3419" s="1091"/>
      <c r="K3419" s="1091"/>
    </row>
    <row r="3420" spans="1:16">
      <c r="B3420" s="723" t="s">
        <v>1209</v>
      </c>
      <c r="G3420" s="987"/>
      <c r="H3420" s="1081"/>
      <c r="J3420" s="726"/>
      <c r="K3420" s="726"/>
      <c r="L3420" s="1087"/>
      <c r="M3420" s="724"/>
      <c r="N3420" s="724"/>
      <c r="O3420" s="724"/>
      <c r="P3420" s="724"/>
    </row>
    <row r="3421" spans="1:16">
      <c r="A3421" s="722"/>
      <c r="B3421" s="830" t="s">
        <v>1210</v>
      </c>
      <c r="C3421" s="768"/>
      <c r="D3421" s="1073"/>
      <c r="E3421" s="768"/>
      <c r="F3421" s="768"/>
      <c r="G3421" s="1096"/>
      <c r="H3421" s="1095"/>
      <c r="I3421" s="1096"/>
      <c r="J3421" s="827"/>
      <c r="K3421" s="1091"/>
    </row>
    <row r="3422" spans="1:16">
      <c r="A3422" s="722"/>
      <c r="B3422" s="722" t="s">
        <v>1211</v>
      </c>
      <c r="C3422" s="723"/>
      <c r="G3422" s="1096">
        <f>ROUND(70.56*0.258,2)</f>
        <v>18.2</v>
      </c>
      <c r="H3422" s="1095" t="s">
        <v>95</v>
      </c>
      <c r="I3422" s="1096"/>
      <c r="J3422" s="827"/>
      <c r="K3422" s="1091"/>
    </row>
    <row r="3423" spans="1:16">
      <c r="A3423" s="722"/>
      <c r="B3423" s="722" t="s">
        <v>1212</v>
      </c>
      <c r="C3423" s="723"/>
      <c r="G3423" s="1123">
        <f>ROUND(17.64*0.233,2)</f>
        <v>4.1100000000000003</v>
      </c>
      <c r="H3423" s="1095" t="s">
        <v>95</v>
      </c>
      <c r="I3423" s="1096"/>
      <c r="J3423" s="827"/>
      <c r="K3423" s="1091"/>
    </row>
    <row r="3424" spans="1:16">
      <c r="A3424" s="722"/>
      <c r="C3424" s="723"/>
      <c r="G3424" s="1096">
        <f>SUM(G3422:G3423)</f>
        <v>22.31</v>
      </c>
      <c r="H3424" s="1095" t="s">
        <v>95</v>
      </c>
      <c r="I3424" s="1096"/>
      <c r="J3424" s="827"/>
      <c r="K3424" s="1091"/>
    </row>
    <row r="3425" spans="1:16">
      <c r="A3425" s="722"/>
      <c r="C3425" s="723" t="s">
        <v>1071</v>
      </c>
      <c r="G3425" s="1123">
        <f>ROUND(G3424*5%,2)</f>
        <v>1.1200000000000001</v>
      </c>
      <c r="H3425" s="1095" t="s">
        <v>95</v>
      </c>
      <c r="I3425" s="1096"/>
      <c r="J3425" s="827"/>
      <c r="K3425" s="1091"/>
    </row>
    <row r="3426" spans="1:16">
      <c r="A3426" s="722"/>
      <c r="C3426" s="723"/>
      <c r="G3426" s="827">
        <f>SUM(G3424:G3425)</f>
        <v>23.43</v>
      </c>
      <c r="H3426" s="1118" t="s">
        <v>95</v>
      </c>
      <c r="I3426" s="1096"/>
      <c r="J3426" s="827"/>
      <c r="K3426" s="1091"/>
    </row>
    <row r="3427" spans="1:16">
      <c r="B3427" s="723" t="s">
        <v>822</v>
      </c>
      <c r="H3427" s="1081"/>
      <c r="L3427" s="1087"/>
      <c r="M3427" s="724"/>
      <c r="N3427" s="724"/>
      <c r="O3427" s="724"/>
      <c r="P3427" s="724"/>
    </row>
    <row r="3428" spans="1:16">
      <c r="B3428" s="722" t="s">
        <v>1213</v>
      </c>
      <c r="G3428" s="987">
        <v>23.43</v>
      </c>
      <c r="H3428" s="1081" t="s">
        <v>284</v>
      </c>
      <c r="I3428" s="724" t="s">
        <v>95</v>
      </c>
      <c r="J3428" s="1112">
        <v>226</v>
      </c>
      <c r="K3428" s="726">
        <f t="shared" ref="K3428:K3436" si="116">ROUND(G3428*J3428,2)</f>
        <v>5295.18</v>
      </c>
      <c r="L3428" s="1087"/>
      <c r="M3428" s="724"/>
      <c r="N3428" s="724"/>
      <c r="O3428" s="724"/>
      <c r="P3428" s="724"/>
    </row>
    <row r="3429" spans="1:16">
      <c r="B3429" s="722" t="s">
        <v>1214</v>
      </c>
      <c r="G3429" s="987">
        <v>3.62</v>
      </c>
      <c r="H3429" s="1081" t="s">
        <v>284</v>
      </c>
      <c r="I3429" s="724" t="s">
        <v>95</v>
      </c>
      <c r="J3429" s="1112">
        <f>J3428</f>
        <v>226</v>
      </c>
      <c r="K3429" s="726">
        <f t="shared" si="116"/>
        <v>818.12</v>
      </c>
      <c r="L3429" s="1087"/>
      <c r="M3429" s="724"/>
      <c r="N3429" s="724"/>
      <c r="O3429" s="724"/>
      <c r="P3429" s="724"/>
    </row>
    <row r="3430" spans="1:16">
      <c r="B3430" s="722" t="s">
        <v>1215</v>
      </c>
      <c r="G3430" s="1126">
        <v>42</v>
      </c>
      <c r="H3430" s="1081" t="s">
        <v>262</v>
      </c>
      <c r="I3430" s="724" t="s">
        <v>37</v>
      </c>
      <c r="J3430" s="726">
        <f>G167</f>
        <v>7</v>
      </c>
      <c r="K3430" s="726">
        <f t="shared" si="116"/>
        <v>294</v>
      </c>
      <c r="L3430" s="1087"/>
      <c r="M3430" s="724"/>
      <c r="N3430" s="724"/>
      <c r="O3430" s="724"/>
      <c r="P3430" s="724"/>
    </row>
    <row r="3431" spans="1:16">
      <c r="B3431" s="722" t="s">
        <v>282</v>
      </c>
      <c r="G3431" s="1126">
        <v>42</v>
      </c>
      <c r="H3431" s="1081" t="s">
        <v>262</v>
      </c>
      <c r="I3431" s="724" t="s">
        <v>37</v>
      </c>
      <c r="J3431" s="726">
        <f>G178</f>
        <v>5.5</v>
      </c>
      <c r="K3431" s="726">
        <f t="shared" si="116"/>
        <v>231</v>
      </c>
      <c r="L3431" s="1087"/>
      <c r="M3431" s="724"/>
      <c r="N3431" s="724"/>
      <c r="O3431" s="724"/>
      <c r="P3431" s="724"/>
    </row>
    <row r="3432" spans="1:16">
      <c r="B3432" s="722" t="s">
        <v>283</v>
      </c>
      <c r="G3432" s="987">
        <v>2</v>
      </c>
      <c r="H3432" s="1081" t="s">
        <v>284</v>
      </c>
      <c r="I3432" s="724" t="s">
        <v>95</v>
      </c>
      <c r="J3432" s="726">
        <f>G179</f>
        <v>60</v>
      </c>
      <c r="K3432" s="726">
        <f t="shared" si="116"/>
        <v>120</v>
      </c>
      <c r="L3432" s="1087"/>
      <c r="M3432" s="724"/>
      <c r="N3432" s="724"/>
      <c r="O3432" s="724"/>
      <c r="P3432" s="724"/>
    </row>
    <row r="3433" spans="1:16">
      <c r="B3433" s="722" t="s">
        <v>257</v>
      </c>
      <c r="G3433" s="987">
        <v>20.59</v>
      </c>
      <c r="H3433" s="1081" t="s">
        <v>92</v>
      </c>
      <c r="I3433" s="724" t="s">
        <v>92</v>
      </c>
      <c r="J3433" s="726">
        <f>G166</f>
        <v>710.82</v>
      </c>
      <c r="K3433" s="726">
        <f t="shared" si="116"/>
        <v>14635.78</v>
      </c>
      <c r="L3433" s="1087"/>
      <c r="M3433" s="724"/>
      <c r="N3433" s="724"/>
      <c r="O3433" s="724"/>
      <c r="P3433" s="724"/>
    </row>
    <row r="3434" spans="1:16">
      <c r="B3434" s="722" t="s">
        <v>286</v>
      </c>
      <c r="G3434" s="1126">
        <v>50</v>
      </c>
      <c r="H3434" s="1081" t="s">
        <v>262</v>
      </c>
      <c r="I3434" s="724" t="s">
        <v>37</v>
      </c>
      <c r="J3434" s="726">
        <f>G180</f>
        <v>0.6</v>
      </c>
      <c r="K3434" s="726">
        <f t="shared" si="116"/>
        <v>30</v>
      </c>
      <c r="L3434" s="1087"/>
      <c r="M3434" s="724"/>
      <c r="N3434" s="724"/>
      <c r="O3434" s="724"/>
      <c r="P3434" s="724"/>
    </row>
    <row r="3435" spans="1:16">
      <c r="B3435" s="722" t="s">
        <v>264</v>
      </c>
      <c r="G3435" s="1126">
        <v>50</v>
      </c>
      <c r="H3435" s="1081" t="s">
        <v>262</v>
      </c>
      <c r="I3435" s="724" t="s">
        <v>37</v>
      </c>
      <c r="J3435" s="726">
        <f>M178</f>
        <v>0.875</v>
      </c>
      <c r="K3435" s="726">
        <f t="shared" si="116"/>
        <v>43.75</v>
      </c>
      <c r="L3435" s="1087"/>
      <c r="M3435" s="724"/>
      <c r="N3435" s="724"/>
      <c r="O3435" s="724"/>
      <c r="P3435" s="724"/>
    </row>
    <row r="3436" spans="1:16">
      <c r="B3436" s="722" t="s">
        <v>1177</v>
      </c>
      <c r="G3436" s="987">
        <v>1.5</v>
      </c>
      <c r="H3436" s="1081" t="s">
        <v>315</v>
      </c>
      <c r="I3436" s="724" t="s">
        <v>315</v>
      </c>
      <c r="J3436" s="726">
        <f>M196</f>
        <v>100</v>
      </c>
      <c r="K3436" s="726">
        <f t="shared" si="116"/>
        <v>150</v>
      </c>
      <c r="L3436" s="1087"/>
      <c r="M3436" s="724"/>
      <c r="N3436" s="724"/>
      <c r="O3436" s="724"/>
      <c r="P3436" s="724"/>
    </row>
    <row r="3437" spans="1:16">
      <c r="G3437" s="987"/>
      <c r="H3437" s="1081"/>
      <c r="J3437" s="827" t="s">
        <v>718</v>
      </c>
      <c r="K3437" s="1091">
        <f>SUM(K3428:K3436)</f>
        <v>21617.83</v>
      </c>
      <c r="L3437" s="1087"/>
      <c r="M3437" s="724"/>
      <c r="N3437" s="724"/>
      <c r="O3437" s="724"/>
      <c r="P3437" s="724"/>
    </row>
    <row r="3438" spans="1:16">
      <c r="B3438" s="723" t="s">
        <v>781</v>
      </c>
      <c r="G3438" s="987"/>
      <c r="H3438" s="1081"/>
      <c r="J3438" s="726"/>
      <c r="K3438" s="726"/>
      <c r="L3438" s="1087"/>
      <c r="M3438" s="724"/>
      <c r="N3438" s="724"/>
      <c r="O3438" s="724"/>
      <c r="P3438" s="724"/>
    </row>
    <row r="3439" spans="1:16">
      <c r="B3439" s="722" t="s">
        <v>1047</v>
      </c>
      <c r="G3439" s="987">
        <v>5</v>
      </c>
      <c r="H3439" s="1081" t="s">
        <v>262</v>
      </c>
      <c r="I3439" s="724" t="s">
        <v>38</v>
      </c>
      <c r="J3439" s="726">
        <f>L132</f>
        <v>284.3</v>
      </c>
      <c r="K3439" s="726">
        <f>ROUND(G3439*J3439,2)</f>
        <v>1421.5</v>
      </c>
      <c r="L3439" s="1087"/>
      <c r="M3439" s="724"/>
      <c r="N3439" s="724"/>
      <c r="O3439" s="724"/>
      <c r="P3439" s="724"/>
    </row>
    <row r="3440" spans="1:16">
      <c r="B3440" s="722" t="s">
        <v>717</v>
      </c>
      <c r="G3440" s="987">
        <v>5</v>
      </c>
      <c r="H3440" s="1081" t="s">
        <v>262</v>
      </c>
      <c r="I3440" s="724" t="s">
        <v>38</v>
      </c>
      <c r="J3440" s="726">
        <f>L129</f>
        <v>182</v>
      </c>
      <c r="K3440" s="726">
        <f>ROUND(G3440*J3440,2)</f>
        <v>910</v>
      </c>
      <c r="L3440" s="1087"/>
      <c r="M3440" s="724"/>
      <c r="N3440" s="724"/>
      <c r="O3440" s="724"/>
      <c r="P3440" s="724"/>
    </row>
    <row r="3441" spans="1:17">
      <c r="G3441" s="987"/>
      <c r="H3441" s="1081"/>
      <c r="J3441" s="827" t="s">
        <v>718</v>
      </c>
      <c r="K3441" s="1091">
        <f>SUM(K3439:K3440)</f>
        <v>2331.5</v>
      </c>
      <c r="L3441" s="1087"/>
      <c r="M3441" s="724"/>
      <c r="N3441" s="724"/>
      <c r="O3441" s="724"/>
      <c r="P3441" s="724"/>
    </row>
    <row r="3442" spans="1:17">
      <c r="B3442" s="723"/>
      <c r="G3442" s="987"/>
      <c r="H3442" s="1081"/>
      <c r="J3442" s="726"/>
      <c r="K3442" s="1091"/>
      <c r="L3442" s="1087"/>
      <c r="M3442" s="724"/>
      <c r="N3442" s="724"/>
      <c r="O3442" s="724"/>
      <c r="P3442" s="724"/>
    </row>
    <row r="3443" spans="1:17">
      <c r="B3443" s="723" t="s">
        <v>1216</v>
      </c>
      <c r="G3443" s="987"/>
      <c r="H3443" s="1081"/>
      <c r="J3443" s="1096"/>
      <c r="K3443" s="726">
        <f>K3437+K3441+K3442</f>
        <v>23949.33</v>
      </c>
      <c r="L3443" s="1087"/>
      <c r="M3443" s="724"/>
      <c r="N3443" s="724"/>
      <c r="O3443" s="724"/>
      <c r="P3443" s="724"/>
    </row>
    <row r="3444" spans="1:17">
      <c r="B3444" s="723" t="s">
        <v>1217</v>
      </c>
      <c r="G3444" s="1105"/>
      <c r="H3444" s="1081"/>
      <c r="J3444" s="726"/>
      <c r="K3444" s="1091">
        <f>ROUND(K3443/19.53,2)</f>
        <v>1226.28</v>
      </c>
      <c r="L3444" s="1087" t="s">
        <v>730</v>
      </c>
      <c r="M3444" s="724"/>
      <c r="N3444" s="724"/>
      <c r="O3444" s="724"/>
      <c r="P3444" s="724"/>
      <c r="Q3444" s="723" t="s">
        <v>548</v>
      </c>
    </row>
    <row r="3445" spans="1:17" ht="123.75" customHeight="1">
      <c r="A3445" s="836">
        <f>A592</f>
        <v>102</v>
      </c>
      <c r="B3445" s="3386" t="str">
        <f>B592</f>
        <v>Providing, Fitting &amp; Fixing of False Ceiling  with 12.5 mm thick Gypsum board, Aluminum anodized T section No -3215 with 2ft center to center L section No-1705 up to 15micron on four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3445" s="3386"/>
      <c r="D3445" s="3386"/>
      <c r="E3445" s="1086" t="str">
        <f>G592</f>
        <v>Each Sqm</v>
      </c>
      <c r="F3445" s="1086"/>
      <c r="G3445" s="987"/>
      <c r="J3445" s="1091"/>
      <c r="K3445" s="1091"/>
    </row>
    <row r="3446" spans="1:17">
      <c r="B3446" s="723" t="s">
        <v>1209</v>
      </c>
      <c r="G3446" s="987"/>
      <c r="H3446" s="1081"/>
      <c r="J3446" s="726"/>
      <c r="K3446" s="726"/>
      <c r="L3446" s="1087"/>
      <c r="M3446" s="724"/>
      <c r="N3446" s="724"/>
      <c r="O3446" s="724"/>
      <c r="P3446" s="724"/>
    </row>
    <row r="3447" spans="1:17">
      <c r="A3447" s="722"/>
      <c r="B3447" s="830" t="s">
        <v>1210</v>
      </c>
      <c r="C3447" s="768"/>
      <c r="D3447" s="1073"/>
      <c r="E3447" s="768"/>
      <c r="F3447" s="768"/>
      <c r="G3447" s="1096"/>
      <c r="H3447" s="1095"/>
      <c r="I3447" s="1096"/>
      <c r="J3447" s="827"/>
      <c r="K3447" s="1091"/>
    </row>
    <row r="3448" spans="1:17">
      <c r="A3448" s="722"/>
      <c r="B3448" s="722" t="s">
        <v>1211</v>
      </c>
      <c r="C3448" s="723"/>
      <c r="G3448" s="1096">
        <f>ROUND(70.56*0.258,2)</f>
        <v>18.2</v>
      </c>
      <c r="H3448" s="1095" t="s">
        <v>95</v>
      </c>
      <c r="I3448" s="1096"/>
      <c r="J3448" s="827"/>
      <c r="K3448" s="1091"/>
    </row>
    <row r="3449" spans="1:17">
      <c r="A3449" s="722"/>
      <c r="B3449" s="722" t="s">
        <v>1212</v>
      </c>
      <c r="C3449" s="723"/>
      <c r="G3449" s="1123">
        <f>ROUND(17.64*0.233,2)</f>
        <v>4.1100000000000003</v>
      </c>
      <c r="H3449" s="1095" t="s">
        <v>95</v>
      </c>
      <c r="I3449" s="1096"/>
      <c r="J3449" s="827"/>
      <c r="K3449" s="1091"/>
    </row>
    <row r="3450" spans="1:17">
      <c r="A3450" s="722"/>
      <c r="C3450" s="723"/>
      <c r="G3450" s="1096">
        <f>SUM(G3448:G3449)</f>
        <v>22.31</v>
      </c>
      <c r="H3450" s="1095" t="s">
        <v>95</v>
      </c>
      <c r="I3450" s="1096"/>
      <c r="J3450" s="827"/>
      <c r="K3450" s="1091"/>
    </row>
    <row r="3451" spans="1:17">
      <c r="A3451" s="722"/>
      <c r="C3451" s="723" t="s">
        <v>1071</v>
      </c>
      <c r="G3451" s="1123">
        <f>ROUND(G3450*5%,2)</f>
        <v>1.1200000000000001</v>
      </c>
      <c r="H3451" s="1095" t="s">
        <v>95</v>
      </c>
      <c r="I3451" s="1096"/>
      <c r="J3451" s="827"/>
      <c r="K3451" s="1091"/>
    </row>
    <row r="3452" spans="1:17">
      <c r="A3452" s="722"/>
      <c r="C3452" s="723"/>
      <c r="G3452" s="827">
        <f>SUM(G3450:G3451)</f>
        <v>23.43</v>
      </c>
      <c r="H3452" s="1118" t="s">
        <v>95</v>
      </c>
      <c r="I3452" s="1096"/>
      <c r="J3452" s="827"/>
      <c r="K3452" s="1091"/>
    </row>
    <row r="3453" spans="1:17">
      <c r="B3453" s="723" t="s">
        <v>822</v>
      </c>
      <c r="H3453" s="1081"/>
      <c r="L3453" s="1087"/>
      <c r="M3453" s="724"/>
      <c r="N3453" s="724"/>
      <c r="O3453" s="724"/>
      <c r="P3453" s="724"/>
    </row>
    <row r="3454" spans="1:17">
      <c r="B3454" s="722" t="s">
        <v>1213</v>
      </c>
      <c r="G3454" s="987">
        <v>23.43</v>
      </c>
      <c r="H3454" s="1081" t="s">
        <v>284</v>
      </c>
      <c r="I3454" s="724" t="s">
        <v>95</v>
      </c>
      <c r="J3454" s="726">
        <v>226</v>
      </c>
      <c r="K3454" s="726">
        <f t="shared" ref="K3454:K3462" si="117">ROUND(G3454*J3454,2)</f>
        <v>5295.18</v>
      </c>
      <c r="L3454" s="1087"/>
      <c r="M3454" s="724"/>
      <c r="N3454" s="724"/>
      <c r="O3454" s="724"/>
      <c r="P3454" s="724"/>
    </row>
    <row r="3455" spans="1:17">
      <c r="B3455" s="722" t="s">
        <v>1214</v>
      </c>
      <c r="G3455" s="987">
        <v>3.62</v>
      </c>
      <c r="H3455" s="1081" t="s">
        <v>284</v>
      </c>
      <c r="I3455" s="724" t="s">
        <v>95</v>
      </c>
      <c r="J3455" s="726">
        <f>J3454</f>
        <v>226</v>
      </c>
      <c r="K3455" s="726">
        <f t="shared" si="117"/>
        <v>818.12</v>
      </c>
      <c r="L3455" s="1087"/>
      <c r="M3455" s="724"/>
      <c r="N3455" s="724"/>
      <c r="O3455" s="724"/>
      <c r="P3455" s="724"/>
    </row>
    <row r="3456" spans="1:17">
      <c r="B3456" s="722" t="s">
        <v>1215</v>
      </c>
      <c r="G3456" s="1126">
        <v>42</v>
      </c>
      <c r="H3456" s="1081" t="s">
        <v>262</v>
      </c>
      <c r="I3456" s="724" t="s">
        <v>37</v>
      </c>
      <c r="J3456" s="726">
        <f>G167</f>
        <v>7</v>
      </c>
      <c r="K3456" s="726">
        <f t="shared" si="117"/>
        <v>294</v>
      </c>
      <c r="L3456" s="1087"/>
      <c r="M3456" s="724"/>
      <c r="N3456" s="724"/>
      <c r="O3456" s="724"/>
      <c r="P3456" s="724"/>
    </row>
    <row r="3457" spans="1:17">
      <c r="B3457" s="722" t="s">
        <v>282</v>
      </c>
      <c r="G3457" s="1126">
        <v>42</v>
      </c>
      <c r="H3457" s="1081" t="s">
        <v>262</v>
      </c>
      <c r="I3457" s="724" t="s">
        <v>37</v>
      </c>
      <c r="J3457" s="726">
        <f>G178</f>
        <v>5.5</v>
      </c>
      <c r="K3457" s="726">
        <f t="shared" si="117"/>
        <v>231</v>
      </c>
      <c r="L3457" s="1087"/>
      <c r="M3457" s="724"/>
      <c r="N3457" s="724"/>
      <c r="O3457" s="724"/>
      <c r="P3457" s="724"/>
    </row>
    <row r="3458" spans="1:17">
      <c r="B3458" s="722" t="s">
        <v>283</v>
      </c>
      <c r="G3458" s="987">
        <v>2</v>
      </c>
      <c r="H3458" s="1081" t="s">
        <v>284</v>
      </c>
      <c r="I3458" s="724" t="s">
        <v>95</v>
      </c>
      <c r="J3458" s="726">
        <f>G179</f>
        <v>60</v>
      </c>
      <c r="K3458" s="726">
        <f t="shared" si="117"/>
        <v>120</v>
      </c>
      <c r="L3458" s="1087"/>
      <c r="M3458" s="724"/>
      <c r="N3458" s="724"/>
      <c r="O3458" s="724"/>
      <c r="P3458" s="724"/>
    </row>
    <row r="3459" spans="1:17">
      <c r="B3459" s="722" t="s">
        <v>1218</v>
      </c>
      <c r="G3459" s="987">
        <v>20.59</v>
      </c>
      <c r="H3459" s="1081" t="s">
        <v>92</v>
      </c>
      <c r="I3459" s="724" t="s">
        <v>92</v>
      </c>
      <c r="J3459" s="726">
        <f>G181/2.16</f>
        <v>184.25925925925924</v>
      </c>
      <c r="K3459" s="726">
        <f t="shared" si="117"/>
        <v>3793.9</v>
      </c>
      <c r="L3459" s="1087"/>
      <c r="M3459" s="724"/>
      <c r="N3459" s="724"/>
      <c r="O3459" s="724"/>
      <c r="P3459" s="724"/>
    </row>
    <row r="3460" spans="1:17">
      <c r="B3460" s="722" t="s">
        <v>286</v>
      </c>
      <c r="G3460" s="1126">
        <v>50</v>
      </c>
      <c r="H3460" s="1081" t="s">
        <v>262</v>
      </c>
      <c r="I3460" s="724" t="s">
        <v>37</v>
      </c>
      <c r="J3460" s="726">
        <f>G180</f>
        <v>0.6</v>
      </c>
      <c r="K3460" s="726">
        <f t="shared" si="117"/>
        <v>30</v>
      </c>
      <c r="L3460" s="1087"/>
      <c r="M3460" s="724"/>
      <c r="N3460" s="724"/>
      <c r="O3460" s="724"/>
      <c r="P3460" s="724"/>
    </row>
    <row r="3461" spans="1:17">
      <c r="B3461" s="722" t="s">
        <v>264</v>
      </c>
      <c r="G3461" s="1126">
        <v>50</v>
      </c>
      <c r="H3461" s="1081" t="s">
        <v>262</v>
      </c>
      <c r="I3461" s="724" t="s">
        <v>37</v>
      </c>
      <c r="J3461" s="726">
        <f>M178</f>
        <v>0.875</v>
      </c>
      <c r="K3461" s="726">
        <f t="shared" si="117"/>
        <v>43.75</v>
      </c>
      <c r="L3461" s="1087"/>
      <c r="M3461" s="724"/>
      <c r="N3461" s="724"/>
      <c r="O3461" s="724"/>
      <c r="P3461" s="724"/>
    </row>
    <row r="3462" spans="1:17">
      <c r="B3462" s="722" t="s">
        <v>1177</v>
      </c>
      <c r="G3462" s="987">
        <v>1.5</v>
      </c>
      <c r="H3462" s="1081" t="s">
        <v>315</v>
      </c>
      <c r="I3462" s="724" t="s">
        <v>315</v>
      </c>
      <c r="J3462" s="726">
        <f>M196</f>
        <v>100</v>
      </c>
      <c r="K3462" s="726">
        <f t="shared" si="117"/>
        <v>150</v>
      </c>
      <c r="L3462" s="1087"/>
      <c r="M3462" s="724"/>
      <c r="N3462" s="724"/>
      <c r="O3462" s="724"/>
      <c r="P3462" s="724"/>
    </row>
    <row r="3463" spans="1:17">
      <c r="G3463" s="987"/>
      <c r="H3463" s="1081"/>
      <c r="J3463" s="827" t="s">
        <v>718</v>
      </c>
      <c r="K3463" s="1091">
        <f>SUM(K3454:K3462)</f>
        <v>10775.95</v>
      </c>
      <c r="L3463" s="1087"/>
      <c r="M3463" s="724"/>
      <c r="N3463" s="724"/>
      <c r="O3463" s="724"/>
      <c r="P3463" s="724"/>
    </row>
    <row r="3464" spans="1:17">
      <c r="B3464" s="723" t="s">
        <v>781</v>
      </c>
      <c r="G3464" s="987"/>
      <c r="H3464" s="1081"/>
      <c r="J3464" s="726"/>
      <c r="K3464" s="726"/>
      <c r="L3464" s="1087"/>
      <c r="M3464" s="724"/>
      <c r="N3464" s="724"/>
      <c r="O3464" s="724"/>
      <c r="P3464" s="724"/>
    </row>
    <row r="3465" spans="1:17">
      <c r="B3465" s="722" t="s">
        <v>1047</v>
      </c>
      <c r="G3465" s="987">
        <v>5</v>
      </c>
      <c r="H3465" s="1081" t="s">
        <v>262</v>
      </c>
      <c r="I3465" s="724" t="s">
        <v>38</v>
      </c>
      <c r="J3465" s="726">
        <f>L132</f>
        <v>284.3</v>
      </c>
      <c r="K3465" s="726">
        <f>ROUND(G3465*J3465,2)</f>
        <v>1421.5</v>
      </c>
      <c r="L3465" s="1087"/>
      <c r="M3465" s="724"/>
      <c r="N3465" s="724"/>
      <c r="O3465" s="724"/>
      <c r="P3465" s="724"/>
    </row>
    <row r="3466" spans="1:17">
      <c r="B3466" s="722" t="s">
        <v>717</v>
      </c>
      <c r="G3466" s="987">
        <v>5</v>
      </c>
      <c r="H3466" s="1081" t="s">
        <v>262</v>
      </c>
      <c r="I3466" s="724" t="s">
        <v>38</v>
      </c>
      <c r="J3466" s="726">
        <f>L129</f>
        <v>182</v>
      </c>
      <c r="K3466" s="726">
        <f>ROUND(G3466*J3466,2)</f>
        <v>910</v>
      </c>
      <c r="L3466" s="1087"/>
      <c r="M3466" s="724"/>
      <c r="N3466" s="724"/>
      <c r="O3466" s="724"/>
      <c r="P3466" s="724"/>
    </row>
    <row r="3467" spans="1:17">
      <c r="G3467" s="987"/>
      <c r="H3467" s="1081"/>
      <c r="J3467" s="827" t="s">
        <v>718</v>
      </c>
      <c r="K3467" s="1091">
        <f>SUM(K3465:K3466)</f>
        <v>2331.5</v>
      </c>
      <c r="L3467" s="1087"/>
      <c r="M3467" s="724"/>
      <c r="N3467" s="724"/>
      <c r="O3467" s="724"/>
      <c r="P3467" s="724"/>
    </row>
    <row r="3468" spans="1:17">
      <c r="B3468" s="723"/>
      <c r="G3468" s="987"/>
      <c r="H3468" s="1081"/>
      <c r="J3468" s="726"/>
      <c r="K3468" s="1091"/>
      <c r="L3468" s="1087"/>
      <c r="M3468" s="724"/>
      <c r="N3468" s="724"/>
      <c r="O3468" s="724"/>
      <c r="P3468" s="724"/>
    </row>
    <row r="3469" spans="1:17">
      <c r="B3469" s="723" t="s">
        <v>1216</v>
      </c>
      <c r="G3469" s="987"/>
      <c r="H3469" s="1081"/>
      <c r="J3469" s="1096"/>
      <c r="K3469" s="726">
        <f>K3463+K3467+K3468</f>
        <v>13107.45</v>
      </c>
      <c r="L3469" s="1087"/>
      <c r="M3469" s="724"/>
      <c r="N3469" s="724"/>
      <c r="O3469" s="724"/>
      <c r="P3469" s="724"/>
    </row>
    <row r="3470" spans="1:17">
      <c r="B3470" s="723" t="s">
        <v>1217</v>
      </c>
      <c r="G3470" s="1105"/>
      <c r="H3470" s="1081"/>
      <c r="J3470" s="726"/>
      <c r="K3470" s="1091">
        <f>ROUND(K3469/19.53,2)</f>
        <v>671.14</v>
      </c>
      <c r="L3470" s="1087" t="s">
        <v>730</v>
      </c>
      <c r="M3470" s="724"/>
      <c r="N3470" s="724"/>
      <c r="O3470" s="724"/>
      <c r="P3470" s="724"/>
      <c r="Q3470" s="723" t="s">
        <v>550</v>
      </c>
    </row>
    <row r="3471" spans="1:17" ht="123.75" customHeight="1">
      <c r="A3471" s="836">
        <f>A593</f>
        <v>103</v>
      </c>
      <c r="B3471" s="3386" t="str">
        <f>B593</f>
        <v>Providing, Fitting &amp; Fixing of False Ceiling  with 12 mm thick pre-laminated Novapan board,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3471" s="3386"/>
      <c r="D3471" s="3386"/>
      <c r="E3471" s="1086" t="str">
        <f>G614</f>
        <v>Each Sqm</v>
      </c>
      <c r="F3471" s="1086"/>
      <c r="G3471" s="987"/>
      <c r="J3471" s="1091"/>
      <c r="K3471" s="1091"/>
    </row>
    <row r="3472" spans="1:17">
      <c r="B3472" s="723" t="s">
        <v>1209</v>
      </c>
      <c r="G3472" s="987"/>
      <c r="H3472" s="1081"/>
      <c r="J3472" s="726"/>
      <c r="K3472" s="726"/>
      <c r="L3472" s="1087"/>
      <c r="M3472" s="724"/>
      <c r="N3472" s="724"/>
      <c r="O3472" s="724"/>
      <c r="P3472" s="724"/>
    </row>
    <row r="3473" spans="1:16">
      <c r="A3473" s="722"/>
      <c r="B3473" s="830" t="s">
        <v>1210</v>
      </c>
      <c r="C3473" s="768"/>
      <c r="D3473" s="1073"/>
      <c r="E3473" s="768"/>
      <c r="F3473" s="768"/>
      <c r="G3473" s="1096"/>
      <c r="H3473" s="1095"/>
      <c r="I3473" s="1096"/>
      <c r="J3473" s="827"/>
      <c r="K3473" s="1091"/>
    </row>
    <row r="3474" spans="1:16">
      <c r="A3474" s="722"/>
      <c r="B3474" s="722" t="s">
        <v>1211</v>
      </c>
      <c r="C3474" s="723"/>
      <c r="G3474" s="1096">
        <f>ROUND(70.56*0.258,2)</f>
        <v>18.2</v>
      </c>
      <c r="H3474" s="1095" t="s">
        <v>95</v>
      </c>
      <c r="I3474" s="1096"/>
      <c r="J3474" s="827"/>
      <c r="K3474" s="1091"/>
    </row>
    <row r="3475" spans="1:16">
      <c r="A3475" s="722"/>
      <c r="B3475" s="722" t="s">
        <v>1212</v>
      </c>
      <c r="C3475" s="723"/>
      <c r="G3475" s="1123">
        <f>ROUND(17.64*0.233,2)</f>
        <v>4.1100000000000003</v>
      </c>
      <c r="H3475" s="1095" t="s">
        <v>95</v>
      </c>
      <c r="I3475" s="1096"/>
      <c r="J3475" s="827"/>
      <c r="K3475" s="1091"/>
    </row>
    <row r="3476" spans="1:16">
      <c r="A3476" s="722"/>
      <c r="C3476" s="723"/>
      <c r="G3476" s="1096">
        <f>SUM(G3474:G3475)</f>
        <v>22.31</v>
      </c>
      <c r="H3476" s="1095" t="s">
        <v>95</v>
      </c>
      <c r="I3476" s="1096"/>
      <c r="J3476" s="827"/>
      <c r="K3476" s="1091"/>
    </row>
    <row r="3477" spans="1:16">
      <c r="A3477" s="722"/>
      <c r="C3477" s="723" t="s">
        <v>1071</v>
      </c>
      <c r="G3477" s="1123">
        <f>ROUND(G3476*5%,2)</f>
        <v>1.1200000000000001</v>
      </c>
      <c r="H3477" s="1095" t="s">
        <v>95</v>
      </c>
      <c r="I3477" s="1096"/>
      <c r="J3477" s="827"/>
      <c r="K3477" s="1091"/>
    </row>
    <row r="3478" spans="1:16">
      <c r="A3478" s="722"/>
      <c r="C3478" s="723"/>
      <c r="G3478" s="827">
        <f>SUM(G3476:G3477)</f>
        <v>23.43</v>
      </c>
      <c r="H3478" s="1118" t="s">
        <v>95</v>
      </c>
      <c r="I3478" s="1096"/>
      <c r="J3478" s="827"/>
      <c r="K3478" s="1091"/>
    </row>
    <row r="3479" spans="1:16">
      <c r="B3479" s="723" t="s">
        <v>822</v>
      </c>
      <c r="H3479" s="1081"/>
      <c r="L3479" s="1087"/>
      <c r="M3479" s="724"/>
      <c r="N3479" s="724"/>
      <c r="O3479" s="724"/>
      <c r="P3479" s="724"/>
    </row>
    <row r="3480" spans="1:16">
      <c r="B3480" s="722" t="s">
        <v>1213</v>
      </c>
      <c r="G3480" s="987">
        <v>23.43</v>
      </c>
      <c r="H3480" s="1081" t="s">
        <v>284</v>
      </c>
      <c r="I3480" s="724" t="s">
        <v>95</v>
      </c>
      <c r="J3480" s="726">
        <v>226</v>
      </c>
      <c r="K3480" s="726">
        <f t="shared" ref="K3480:K3488" si="118">ROUND(G3480*J3480,2)</f>
        <v>5295.18</v>
      </c>
      <c r="L3480" s="1087"/>
      <c r="M3480" s="724"/>
      <c r="N3480" s="724"/>
      <c r="O3480" s="724"/>
      <c r="P3480" s="724"/>
    </row>
    <row r="3481" spans="1:16">
      <c r="B3481" s="1129" t="s">
        <v>1214</v>
      </c>
      <c r="C3481" s="1129"/>
      <c r="D3481" s="1129"/>
      <c r="E3481" s="1130"/>
      <c r="F3481" s="1130"/>
      <c r="G3481" s="1131"/>
      <c r="H3481" s="1132" t="s">
        <v>284</v>
      </c>
      <c r="I3481" s="1133" t="s">
        <v>95</v>
      </c>
      <c r="J3481" s="1112">
        <f>J3480</f>
        <v>226</v>
      </c>
      <c r="K3481" s="1112">
        <f t="shared" si="118"/>
        <v>0</v>
      </c>
      <c r="L3481" s="1087"/>
      <c r="M3481" s="724"/>
      <c r="N3481" s="724"/>
      <c r="O3481" s="724"/>
      <c r="P3481" s="724"/>
    </row>
    <row r="3482" spans="1:16">
      <c r="B3482" s="722" t="s">
        <v>1215</v>
      </c>
      <c r="G3482" s="1126">
        <v>42</v>
      </c>
      <c r="H3482" s="1081" t="s">
        <v>262</v>
      </c>
      <c r="I3482" s="724" t="s">
        <v>37</v>
      </c>
      <c r="J3482" s="726">
        <f>G167</f>
        <v>7</v>
      </c>
      <c r="K3482" s="726">
        <f t="shared" si="118"/>
        <v>294</v>
      </c>
      <c r="L3482" s="1087"/>
      <c r="M3482" s="724"/>
      <c r="N3482" s="724"/>
      <c r="O3482" s="724"/>
      <c r="P3482" s="724"/>
    </row>
    <row r="3483" spans="1:16">
      <c r="B3483" s="722" t="s">
        <v>282</v>
      </c>
      <c r="G3483" s="1126">
        <v>42</v>
      </c>
      <c r="H3483" s="1081" t="s">
        <v>262</v>
      </c>
      <c r="I3483" s="724" t="s">
        <v>37</v>
      </c>
      <c r="J3483" s="726">
        <f>G178</f>
        <v>5.5</v>
      </c>
      <c r="K3483" s="726">
        <f t="shared" si="118"/>
        <v>231</v>
      </c>
      <c r="L3483" s="1087"/>
      <c r="M3483" s="724"/>
      <c r="N3483" s="724"/>
      <c r="O3483" s="724"/>
      <c r="P3483" s="724"/>
    </row>
    <row r="3484" spans="1:16">
      <c r="B3484" s="722" t="s">
        <v>283</v>
      </c>
      <c r="G3484" s="987">
        <v>2</v>
      </c>
      <c r="H3484" s="1081" t="s">
        <v>284</v>
      </c>
      <c r="I3484" s="724" t="s">
        <v>95</v>
      </c>
      <c r="J3484" s="726">
        <f>G179</f>
        <v>60</v>
      </c>
      <c r="K3484" s="726">
        <f t="shared" si="118"/>
        <v>120</v>
      </c>
      <c r="L3484" s="1087"/>
      <c r="M3484" s="724"/>
      <c r="N3484" s="724"/>
      <c r="O3484" s="724"/>
      <c r="P3484" s="724"/>
    </row>
    <row r="3485" spans="1:16">
      <c r="B3485" s="722" t="s">
        <v>257</v>
      </c>
      <c r="G3485" s="987">
        <v>20.59</v>
      </c>
      <c r="H3485" s="1081" t="s">
        <v>92</v>
      </c>
      <c r="I3485" s="724" t="s">
        <v>92</v>
      </c>
      <c r="J3485" s="726">
        <f>G166</f>
        <v>710.82</v>
      </c>
      <c r="K3485" s="726">
        <f t="shared" si="118"/>
        <v>14635.78</v>
      </c>
      <c r="L3485" s="1087"/>
      <c r="M3485" s="724"/>
      <c r="N3485" s="724"/>
      <c r="O3485" s="724"/>
      <c r="P3485" s="724"/>
    </row>
    <row r="3486" spans="1:16">
      <c r="B3486" s="722" t="s">
        <v>286</v>
      </c>
      <c r="G3486" s="1126">
        <v>50</v>
      </c>
      <c r="H3486" s="1081" t="s">
        <v>262</v>
      </c>
      <c r="I3486" s="724" t="s">
        <v>37</v>
      </c>
      <c r="J3486" s="726">
        <f>G180</f>
        <v>0.6</v>
      </c>
      <c r="K3486" s="726">
        <f t="shared" si="118"/>
        <v>30</v>
      </c>
      <c r="L3486" s="1087"/>
      <c r="M3486" s="724"/>
      <c r="N3486" s="724"/>
      <c r="O3486" s="724"/>
      <c r="P3486" s="724"/>
    </row>
    <row r="3487" spans="1:16">
      <c r="B3487" s="722" t="s">
        <v>264</v>
      </c>
      <c r="G3487" s="1126">
        <v>50</v>
      </c>
      <c r="H3487" s="1081" t="s">
        <v>262</v>
      </c>
      <c r="I3487" s="724" t="s">
        <v>37</v>
      </c>
      <c r="J3487" s="726">
        <f>M178</f>
        <v>0.875</v>
      </c>
      <c r="K3487" s="726">
        <f t="shared" si="118"/>
        <v>43.75</v>
      </c>
      <c r="L3487" s="1087"/>
      <c r="M3487" s="724"/>
      <c r="N3487" s="724"/>
      <c r="O3487" s="724"/>
      <c r="P3487" s="724"/>
    </row>
    <row r="3488" spans="1:16">
      <c r="B3488" s="722" t="s">
        <v>1177</v>
      </c>
      <c r="G3488" s="987">
        <v>1.5</v>
      </c>
      <c r="H3488" s="1081" t="s">
        <v>315</v>
      </c>
      <c r="I3488" s="724" t="s">
        <v>315</v>
      </c>
      <c r="J3488" s="726">
        <f>M196</f>
        <v>100</v>
      </c>
      <c r="K3488" s="726">
        <f t="shared" si="118"/>
        <v>150</v>
      </c>
      <c r="L3488" s="1087"/>
      <c r="M3488" s="724"/>
      <c r="N3488" s="724"/>
      <c r="O3488" s="724"/>
      <c r="P3488" s="724"/>
    </row>
    <row r="3489" spans="1:17">
      <c r="G3489" s="987"/>
      <c r="H3489" s="1081"/>
      <c r="J3489" s="827" t="s">
        <v>718</v>
      </c>
      <c r="K3489" s="1091">
        <f>SUM(K3480:K3488)</f>
        <v>20799.71</v>
      </c>
      <c r="L3489" s="1087"/>
      <c r="M3489" s="724"/>
      <c r="N3489" s="724"/>
      <c r="O3489" s="724"/>
      <c r="P3489" s="724"/>
    </row>
    <row r="3490" spans="1:17">
      <c r="B3490" s="723" t="s">
        <v>781</v>
      </c>
      <c r="G3490" s="987"/>
      <c r="H3490" s="1081"/>
      <c r="J3490" s="726"/>
      <c r="K3490" s="726"/>
      <c r="L3490" s="1087"/>
      <c r="M3490" s="724"/>
      <c r="N3490" s="724"/>
      <c r="O3490" s="724"/>
      <c r="P3490" s="724"/>
    </row>
    <row r="3491" spans="1:17">
      <c r="B3491" s="722" t="s">
        <v>1047</v>
      </c>
      <c r="G3491" s="987">
        <v>5</v>
      </c>
      <c r="H3491" s="1081" t="s">
        <v>262</v>
      </c>
      <c r="I3491" s="724" t="s">
        <v>38</v>
      </c>
      <c r="J3491" s="726">
        <f>L132</f>
        <v>284.3</v>
      </c>
      <c r="K3491" s="726">
        <f>ROUND(G3491*J3491,2)</f>
        <v>1421.5</v>
      </c>
      <c r="L3491" s="1087"/>
      <c r="M3491" s="724"/>
      <c r="N3491" s="724"/>
      <c r="O3491" s="724"/>
      <c r="P3491" s="724"/>
    </row>
    <row r="3492" spans="1:17">
      <c r="B3492" s="722" t="s">
        <v>717</v>
      </c>
      <c r="G3492" s="987">
        <v>5</v>
      </c>
      <c r="H3492" s="1081" t="s">
        <v>262</v>
      </c>
      <c r="I3492" s="724" t="s">
        <v>38</v>
      </c>
      <c r="J3492" s="726">
        <f>L129</f>
        <v>182</v>
      </c>
      <c r="K3492" s="726">
        <f>ROUND(G3492*J3492,2)</f>
        <v>910</v>
      </c>
      <c r="L3492" s="1087"/>
      <c r="M3492" s="724"/>
      <c r="N3492" s="724"/>
      <c r="O3492" s="724"/>
      <c r="P3492" s="724"/>
    </row>
    <row r="3493" spans="1:17">
      <c r="G3493" s="987"/>
      <c r="H3493" s="1081"/>
      <c r="J3493" s="827" t="s">
        <v>718</v>
      </c>
      <c r="K3493" s="1091">
        <f>SUM(K3491:K3492)</f>
        <v>2331.5</v>
      </c>
      <c r="L3493" s="1087"/>
      <c r="M3493" s="724"/>
      <c r="N3493" s="724"/>
      <c r="O3493" s="724"/>
      <c r="P3493" s="724"/>
    </row>
    <row r="3494" spans="1:17">
      <c r="B3494" s="723"/>
      <c r="G3494" s="987"/>
      <c r="H3494" s="1081"/>
      <c r="J3494" s="726"/>
      <c r="K3494" s="1091"/>
      <c r="L3494" s="1087"/>
      <c r="M3494" s="724"/>
      <c r="N3494" s="724"/>
      <c r="O3494" s="724"/>
      <c r="P3494" s="724"/>
    </row>
    <row r="3495" spans="1:17">
      <c r="B3495" s="723" t="s">
        <v>1216</v>
      </c>
      <c r="G3495" s="987"/>
      <c r="H3495" s="1081"/>
      <c r="J3495" s="1096"/>
      <c r="K3495" s="726">
        <f>K3489+K3493+K3494</f>
        <v>23131.21</v>
      </c>
      <c r="L3495" s="1087"/>
      <c r="M3495" s="724"/>
      <c r="N3495" s="724"/>
      <c r="O3495" s="724"/>
      <c r="P3495" s="724"/>
    </row>
    <row r="3496" spans="1:17">
      <c r="B3496" s="723" t="s">
        <v>1217</v>
      </c>
      <c r="G3496" s="1105"/>
      <c r="H3496" s="1081"/>
      <c r="J3496" s="726"/>
      <c r="K3496" s="1091">
        <f>ROUND(K3495/19.53,2)</f>
        <v>1184.3900000000001</v>
      </c>
      <c r="L3496" s="1087" t="s">
        <v>730</v>
      </c>
      <c r="M3496" s="724"/>
      <c r="N3496" s="724"/>
      <c r="O3496" s="724"/>
      <c r="P3496" s="724"/>
      <c r="Q3496" s="723" t="s">
        <v>551</v>
      </c>
    </row>
    <row r="3497" spans="1:17" ht="123.75" customHeight="1">
      <c r="A3497" s="836">
        <f>A594</f>
        <v>104</v>
      </c>
      <c r="B3497" s="3386" t="str">
        <f>B594</f>
        <v>Providing, Fitting &amp; Fixing of False Ceiling  with 12.5 mm thick Gypsum board, Aluminum anodized T section No -3215 with 2'-0" center to center L section No-1705 up to 15micron on 4 walls to be fixed by means of steel screw and PVC plug and Aluminum grid 2'-0"x2'-0" suspended from ceiling including cost, conveyance, royalties and taxes of all materials with cost of all labour, and T&amp;P required for the work etc. complete in all respect as directed by the Engineer in charge.</v>
      </c>
      <c r="C3497" s="3386"/>
      <c r="D3497" s="3386"/>
      <c r="E3497" s="1086" t="str">
        <f>G632</f>
        <v>Each Sqm</v>
      </c>
      <c r="F3497" s="1086"/>
      <c r="G3497" s="987"/>
      <c r="J3497" s="1091"/>
      <c r="K3497" s="1091"/>
    </row>
    <row r="3498" spans="1:17">
      <c r="B3498" s="723" t="s">
        <v>1209</v>
      </c>
      <c r="G3498" s="987"/>
      <c r="H3498" s="1081"/>
      <c r="J3498" s="726"/>
      <c r="K3498" s="726"/>
      <c r="L3498" s="1087"/>
      <c r="M3498" s="724"/>
      <c r="N3498" s="724"/>
      <c r="O3498" s="724"/>
      <c r="P3498" s="724"/>
    </row>
    <row r="3499" spans="1:17">
      <c r="A3499" s="722"/>
      <c r="B3499" s="830" t="s">
        <v>1210</v>
      </c>
      <c r="C3499" s="768"/>
      <c r="D3499" s="1073"/>
      <c r="E3499" s="768"/>
      <c r="F3499" s="768"/>
      <c r="G3499" s="1096"/>
      <c r="H3499" s="1095"/>
      <c r="I3499" s="1096"/>
      <c r="J3499" s="827"/>
      <c r="K3499" s="1091"/>
    </row>
    <row r="3500" spans="1:17">
      <c r="A3500" s="722"/>
      <c r="B3500" s="722" t="s">
        <v>1211</v>
      </c>
      <c r="C3500" s="723"/>
      <c r="G3500" s="1096">
        <f>ROUND(70.56*0.258,2)</f>
        <v>18.2</v>
      </c>
      <c r="H3500" s="1095" t="s">
        <v>95</v>
      </c>
      <c r="I3500" s="1096"/>
      <c r="J3500" s="827"/>
      <c r="K3500" s="1091"/>
    </row>
    <row r="3501" spans="1:17">
      <c r="A3501" s="722"/>
      <c r="B3501" s="722" t="s">
        <v>1212</v>
      </c>
      <c r="C3501" s="723"/>
      <c r="G3501" s="1123">
        <f>ROUND(17.64*0.233,2)</f>
        <v>4.1100000000000003</v>
      </c>
      <c r="H3501" s="1095" t="s">
        <v>95</v>
      </c>
      <c r="I3501" s="1096"/>
      <c r="J3501" s="827"/>
      <c r="K3501" s="1091"/>
    </row>
    <row r="3502" spans="1:17">
      <c r="A3502" s="722"/>
      <c r="C3502" s="723"/>
      <c r="G3502" s="1096">
        <f>SUM(G3500:G3501)</f>
        <v>22.31</v>
      </c>
      <c r="H3502" s="1095" t="s">
        <v>95</v>
      </c>
      <c r="I3502" s="1096"/>
      <c r="J3502" s="827"/>
      <c r="K3502" s="1091"/>
    </row>
    <row r="3503" spans="1:17">
      <c r="A3503" s="722"/>
      <c r="C3503" s="723" t="s">
        <v>1071</v>
      </c>
      <c r="G3503" s="1123">
        <f>ROUND(G3502*5%,2)</f>
        <v>1.1200000000000001</v>
      </c>
      <c r="H3503" s="1095" t="s">
        <v>95</v>
      </c>
      <c r="I3503" s="1096"/>
      <c r="J3503" s="827"/>
      <c r="K3503" s="1091"/>
    </row>
    <row r="3504" spans="1:17">
      <c r="A3504" s="722"/>
      <c r="C3504" s="723"/>
      <c r="G3504" s="827">
        <f>SUM(G3502:G3503)</f>
        <v>23.43</v>
      </c>
      <c r="H3504" s="1118" t="s">
        <v>95</v>
      </c>
      <c r="I3504" s="1096"/>
      <c r="J3504" s="827"/>
      <c r="K3504" s="1091"/>
    </row>
    <row r="3505" spans="2:16">
      <c r="B3505" s="723" t="s">
        <v>822</v>
      </c>
      <c r="H3505" s="1081"/>
      <c r="L3505" s="1087"/>
      <c r="M3505" s="724"/>
      <c r="N3505" s="724"/>
      <c r="O3505" s="724"/>
      <c r="P3505" s="724"/>
    </row>
    <row r="3506" spans="2:16">
      <c r="B3506" s="722" t="s">
        <v>1213</v>
      </c>
      <c r="G3506" s="987">
        <v>23.43</v>
      </c>
      <c r="H3506" s="1081" t="s">
        <v>284</v>
      </c>
      <c r="I3506" s="724" t="s">
        <v>95</v>
      </c>
      <c r="J3506" s="726">
        <v>262</v>
      </c>
      <c r="K3506" s="726">
        <f t="shared" ref="K3506:K3514" si="119">ROUND(G3506*J3506,2)</f>
        <v>6138.66</v>
      </c>
      <c r="L3506" s="1087"/>
      <c r="M3506" s="724"/>
      <c r="N3506" s="724"/>
      <c r="O3506" s="724"/>
      <c r="P3506" s="724"/>
    </row>
    <row r="3507" spans="2:16">
      <c r="B3507" s="722" t="s">
        <v>1214</v>
      </c>
      <c r="G3507" s="987"/>
      <c r="H3507" s="1081" t="s">
        <v>284</v>
      </c>
      <c r="I3507" s="724" t="s">
        <v>95</v>
      </c>
      <c r="J3507" s="726">
        <f>J3506</f>
        <v>262</v>
      </c>
      <c r="K3507" s="726">
        <f t="shared" si="119"/>
        <v>0</v>
      </c>
      <c r="L3507" s="1087"/>
      <c r="M3507" s="724"/>
      <c r="N3507" s="724"/>
      <c r="O3507" s="724"/>
      <c r="P3507" s="724"/>
    </row>
    <row r="3508" spans="2:16">
      <c r="B3508" s="722" t="s">
        <v>1215</v>
      </c>
      <c r="G3508" s="1126">
        <v>42</v>
      </c>
      <c r="H3508" s="1081" t="s">
        <v>262</v>
      </c>
      <c r="I3508" s="724" t="s">
        <v>37</v>
      </c>
      <c r="J3508" s="726">
        <f>G167</f>
        <v>7</v>
      </c>
      <c r="K3508" s="726">
        <f t="shared" si="119"/>
        <v>294</v>
      </c>
      <c r="L3508" s="1087"/>
      <c r="M3508" s="724"/>
      <c r="N3508" s="724"/>
      <c r="O3508" s="724"/>
      <c r="P3508" s="724"/>
    </row>
    <row r="3509" spans="2:16">
      <c r="B3509" s="722" t="s">
        <v>282</v>
      </c>
      <c r="G3509" s="1126">
        <v>42</v>
      </c>
      <c r="H3509" s="1081" t="s">
        <v>262</v>
      </c>
      <c r="I3509" s="724" t="s">
        <v>37</v>
      </c>
      <c r="J3509" s="726">
        <f>G178</f>
        <v>5.5</v>
      </c>
      <c r="K3509" s="726">
        <f t="shared" si="119"/>
        <v>231</v>
      </c>
      <c r="L3509" s="1087"/>
      <c r="M3509" s="724"/>
      <c r="N3509" s="724"/>
      <c r="O3509" s="724"/>
      <c r="P3509" s="724"/>
    </row>
    <row r="3510" spans="2:16">
      <c r="B3510" s="722" t="s">
        <v>283</v>
      </c>
      <c r="G3510" s="987">
        <v>2</v>
      </c>
      <c r="H3510" s="1081" t="s">
        <v>284</v>
      </c>
      <c r="I3510" s="724" t="s">
        <v>95</v>
      </c>
      <c r="J3510" s="726">
        <f>G179</f>
        <v>60</v>
      </c>
      <c r="K3510" s="726">
        <f t="shared" si="119"/>
        <v>120</v>
      </c>
      <c r="L3510" s="1087"/>
      <c r="M3510" s="724"/>
      <c r="N3510" s="724"/>
      <c r="O3510" s="724"/>
      <c r="P3510" s="724"/>
    </row>
    <row r="3511" spans="2:16">
      <c r="B3511" s="722" t="s">
        <v>1218</v>
      </c>
      <c r="G3511" s="987">
        <v>20.59</v>
      </c>
      <c r="H3511" s="1081" t="s">
        <v>92</v>
      </c>
      <c r="I3511" s="724" t="s">
        <v>92</v>
      </c>
      <c r="J3511" s="726">
        <f>G181/2.16</f>
        <v>184.25925925925924</v>
      </c>
      <c r="K3511" s="726">
        <f t="shared" si="119"/>
        <v>3793.9</v>
      </c>
      <c r="L3511" s="1087"/>
      <c r="M3511" s="724"/>
      <c r="N3511" s="724"/>
      <c r="O3511" s="724"/>
      <c r="P3511" s="724"/>
    </row>
    <row r="3512" spans="2:16">
      <c r="B3512" s="722" t="s">
        <v>286</v>
      </c>
      <c r="G3512" s="1126">
        <v>50</v>
      </c>
      <c r="H3512" s="1081" t="s">
        <v>262</v>
      </c>
      <c r="I3512" s="724" t="s">
        <v>37</v>
      </c>
      <c r="J3512" s="726">
        <f>G180</f>
        <v>0.6</v>
      </c>
      <c r="K3512" s="726">
        <f t="shared" si="119"/>
        <v>30</v>
      </c>
      <c r="L3512" s="1087"/>
      <c r="M3512" s="724"/>
      <c r="N3512" s="724"/>
      <c r="O3512" s="724"/>
      <c r="P3512" s="724"/>
    </row>
    <row r="3513" spans="2:16">
      <c r="B3513" s="722" t="s">
        <v>264</v>
      </c>
      <c r="G3513" s="1126">
        <v>50</v>
      </c>
      <c r="H3513" s="1081" t="s">
        <v>262</v>
      </c>
      <c r="I3513" s="724" t="s">
        <v>37</v>
      </c>
      <c r="J3513" s="726">
        <f>M178</f>
        <v>0.875</v>
      </c>
      <c r="K3513" s="726">
        <f t="shared" si="119"/>
        <v>43.75</v>
      </c>
      <c r="L3513" s="1087"/>
      <c r="M3513" s="724"/>
      <c r="N3513" s="724"/>
      <c r="O3513" s="724"/>
      <c r="P3513" s="724"/>
    </row>
    <row r="3514" spans="2:16">
      <c r="B3514" s="722" t="s">
        <v>1177</v>
      </c>
      <c r="G3514" s="987">
        <v>1.5</v>
      </c>
      <c r="H3514" s="1081" t="s">
        <v>315</v>
      </c>
      <c r="I3514" s="724" t="s">
        <v>315</v>
      </c>
      <c r="J3514" s="726">
        <f>M196</f>
        <v>100</v>
      </c>
      <c r="K3514" s="726">
        <f t="shared" si="119"/>
        <v>150</v>
      </c>
      <c r="L3514" s="1087"/>
      <c r="M3514" s="724"/>
      <c r="N3514" s="724"/>
      <c r="O3514" s="724"/>
      <c r="P3514" s="724"/>
    </row>
    <row r="3515" spans="2:16">
      <c r="G3515" s="987"/>
      <c r="H3515" s="1081"/>
      <c r="J3515" s="827" t="s">
        <v>718</v>
      </c>
      <c r="K3515" s="1091">
        <f>SUM(K3506:K3514)</f>
        <v>10801.31</v>
      </c>
      <c r="L3515" s="1087"/>
      <c r="M3515" s="724"/>
      <c r="N3515" s="724"/>
      <c r="O3515" s="724"/>
      <c r="P3515" s="724"/>
    </row>
    <row r="3516" spans="2:16">
      <c r="B3516" s="723" t="s">
        <v>781</v>
      </c>
      <c r="G3516" s="987"/>
      <c r="H3516" s="1081"/>
      <c r="J3516" s="726"/>
      <c r="K3516" s="726"/>
      <c r="L3516" s="1087"/>
      <c r="M3516" s="724"/>
      <c r="N3516" s="724"/>
      <c r="O3516" s="724"/>
      <c r="P3516" s="724"/>
    </row>
    <row r="3517" spans="2:16">
      <c r="B3517" s="722" t="s">
        <v>1047</v>
      </c>
      <c r="G3517" s="987">
        <v>5</v>
      </c>
      <c r="H3517" s="1081" t="s">
        <v>262</v>
      </c>
      <c r="I3517" s="724" t="s">
        <v>38</v>
      </c>
      <c r="J3517" s="726">
        <f>L132</f>
        <v>284.3</v>
      </c>
      <c r="K3517" s="726">
        <f>ROUND(G3517*J3517,2)</f>
        <v>1421.5</v>
      </c>
      <c r="L3517" s="1087"/>
      <c r="M3517" s="724"/>
      <c r="N3517" s="724"/>
      <c r="O3517" s="724"/>
      <c r="P3517" s="724"/>
    </row>
    <row r="3518" spans="2:16">
      <c r="B3518" s="722" t="s">
        <v>717</v>
      </c>
      <c r="G3518" s="987">
        <v>5</v>
      </c>
      <c r="H3518" s="1081" t="s">
        <v>262</v>
      </c>
      <c r="I3518" s="724" t="s">
        <v>38</v>
      </c>
      <c r="J3518" s="726">
        <f>L129</f>
        <v>182</v>
      </c>
      <c r="K3518" s="726">
        <f>ROUND(G3518*J3518,2)</f>
        <v>910</v>
      </c>
      <c r="L3518" s="1087"/>
      <c r="M3518" s="724"/>
      <c r="N3518" s="724"/>
      <c r="O3518" s="724"/>
      <c r="P3518" s="724"/>
    </row>
    <row r="3519" spans="2:16">
      <c r="G3519" s="987"/>
      <c r="H3519" s="1081"/>
      <c r="J3519" s="827" t="s">
        <v>718</v>
      </c>
      <c r="K3519" s="1091">
        <f>SUM(K3517:K3518)</f>
        <v>2331.5</v>
      </c>
      <c r="L3519" s="1087"/>
      <c r="M3519" s="724"/>
      <c r="N3519" s="724"/>
      <c r="O3519" s="724"/>
      <c r="P3519" s="724"/>
    </row>
    <row r="3520" spans="2:16">
      <c r="B3520" s="723"/>
      <c r="G3520" s="987"/>
      <c r="H3520" s="1081"/>
      <c r="J3520" s="726"/>
      <c r="K3520" s="1091"/>
      <c r="L3520" s="1087"/>
      <c r="M3520" s="724"/>
      <c r="N3520" s="724"/>
      <c r="O3520" s="724"/>
      <c r="P3520" s="724"/>
    </row>
    <row r="3521" spans="1:22">
      <c r="B3521" s="723" t="s">
        <v>1216</v>
      </c>
      <c r="G3521" s="987"/>
      <c r="H3521" s="1081"/>
      <c r="J3521" s="1096"/>
      <c r="K3521" s="1091">
        <f>K3515+K3519+K3520</f>
        <v>13132.81</v>
      </c>
      <c r="L3521" s="1087"/>
      <c r="M3521" s="724"/>
      <c r="N3521" s="724"/>
      <c r="O3521" s="724"/>
      <c r="P3521" s="724"/>
    </row>
    <row r="3522" spans="1:22">
      <c r="B3522" s="723" t="s">
        <v>1217</v>
      </c>
      <c r="G3522" s="1105"/>
      <c r="H3522" s="1081"/>
      <c r="J3522" s="726"/>
      <c r="K3522" s="1091">
        <f>ROUND(K3521/19.53,2)</f>
        <v>672.44</v>
      </c>
      <c r="L3522" s="1087" t="s">
        <v>730</v>
      </c>
      <c r="M3522" s="724"/>
      <c r="N3522" s="724"/>
      <c r="O3522" s="724"/>
      <c r="P3522" s="724"/>
      <c r="Q3522" s="723" t="s">
        <v>552</v>
      </c>
    </row>
    <row r="3523" spans="1:22" ht="52.5" customHeight="1">
      <c r="A3523" s="714" t="str">
        <f>A713</f>
        <v>A</v>
      </c>
      <c r="B3523" s="3269" t="s">
        <v>1219</v>
      </c>
      <c r="C3523" s="3269"/>
      <c r="D3523" s="3269"/>
      <c r="E3523" s="714" t="str">
        <f>G756</f>
        <v>Each Cum</v>
      </c>
      <c r="F3523" s="714"/>
      <c r="G3523" s="714"/>
      <c r="H3523" s="714"/>
      <c r="I3523" s="714"/>
      <c r="J3523" s="714"/>
      <c r="K3523" s="714"/>
      <c r="L3523" s="714"/>
      <c r="M3523" s="714"/>
      <c r="N3523" s="714"/>
      <c r="O3523" s="714"/>
      <c r="P3523" s="714"/>
    </row>
    <row r="3524" spans="1:22">
      <c r="A3524" s="714"/>
      <c r="B3524" s="714" t="s">
        <v>1220</v>
      </c>
      <c r="C3524" s="714"/>
      <c r="D3524" s="714"/>
      <c r="E3524" s="714"/>
      <c r="F3524" s="714"/>
      <c r="G3524" s="714"/>
      <c r="H3524" s="714"/>
      <c r="I3524" s="714"/>
      <c r="J3524" s="714"/>
      <c r="K3524" s="714"/>
      <c r="L3524" s="714"/>
      <c r="M3524" s="714"/>
      <c r="N3524" s="714"/>
      <c r="O3524" s="714"/>
      <c r="P3524" s="714"/>
      <c r="Q3524" s="723"/>
      <c r="S3524" s="836"/>
      <c r="T3524" s="1127"/>
      <c r="U3524" s="1098"/>
      <c r="V3524" s="1128"/>
    </row>
    <row r="3525" spans="1:22">
      <c r="A3525" s="714"/>
      <c r="B3525" s="714" t="s">
        <v>954</v>
      </c>
      <c r="C3525" s="714"/>
      <c r="D3525" s="714"/>
      <c r="E3525" s="714"/>
      <c r="F3525" s="714"/>
      <c r="G3525" s="714"/>
      <c r="H3525" s="714"/>
      <c r="I3525" s="714"/>
      <c r="J3525" s="714"/>
      <c r="K3525" s="714"/>
      <c r="L3525" s="714"/>
      <c r="M3525" s="714"/>
      <c r="N3525" s="714"/>
      <c r="O3525" s="714"/>
      <c r="P3525" s="714"/>
    </row>
    <row r="3526" spans="1:22">
      <c r="A3526" s="714"/>
      <c r="B3526" s="714" t="s">
        <v>1221</v>
      </c>
      <c r="C3526" s="714"/>
      <c r="D3526" s="714"/>
      <c r="E3526" s="714"/>
      <c r="F3526" s="714"/>
      <c r="G3526" s="714">
        <v>1</v>
      </c>
      <c r="H3526" s="714" t="s">
        <v>262</v>
      </c>
      <c r="I3526" s="714" t="s">
        <v>38</v>
      </c>
      <c r="J3526" s="714">
        <f>L131</f>
        <v>264.3</v>
      </c>
      <c r="K3526" s="714">
        <f>ROUND(G3526*J3526,2)</f>
        <v>264.3</v>
      </c>
      <c r="L3526" s="714"/>
      <c r="M3526" s="714"/>
      <c r="N3526" s="714"/>
      <c r="O3526" s="714"/>
      <c r="P3526" s="714"/>
    </row>
    <row r="3527" spans="1:22">
      <c r="A3527" s="714"/>
      <c r="B3527" s="714" t="s">
        <v>717</v>
      </c>
      <c r="C3527" s="714"/>
      <c r="D3527" s="714"/>
      <c r="E3527" s="714"/>
      <c r="F3527" s="714"/>
      <c r="G3527" s="714">
        <v>4</v>
      </c>
      <c r="H3527" s="714" t="s">
        <v>262</v>
      </c>
      <c r="I3527" s="714" t="s">
        <v>38</v>
      </c>
      <c r="J3527" s="714">
        <f>L129</f>
        <v>182</v>
      </c>
      <c r="K3527" s="714">
        <f>ROUND(G3527*J3527,2)</f>
        <v>728</v>
      </c>
      <c r="L3527" s="714"/>
      <c r="M3527" s="714"/>
      <c r="N3527" s="714"/>
      <c r="O3527" s="714"/>
      <c r="P3527" s="714"/>
    </row>
    <row r="3528" spans="1:22">
      <c r="A3528" s="714"/>
      <c r="B3528" s="714"/>
      <c r="C3528" s="714"/>
      <c r="D3528" s="714"/>
      <c r="E3528" s="714"/>
      <c r="F3528" s="714"/>
      <c r="G3528" s="714"/>
      <c r="H3528" s="714"/>
      <c r="I3528" s="714"/>
      <c r="J3528" s="714" t="s">
        <v>718</v>
      </c>
      <c r="K3528" s="714">
        <f>SUM(K3526:K3527)</f>
        <v>992.3</v>
      </c>
      <c r="L3528" s="714"/>
      <c r="M3528" s="714"/>
      <c r="N3528" s="714"/>
      <c r="O3528" s="714"/>
      <c r="P3528" s="714"/>
    </row>
    <row r="3529" spans="1:22">
      <c r="A3529" s="714"/>
      <c r="B3529" s="714" t="s">
        <v>1222</v>
      </c>
      <c r="C3529" s="714"/>
      <c r="D3529" s="714"/>
      <c r="E3529" s="714"/>
      <c r="F3529" s="714"/>
      <c r="G3529" s="714"/>
      <c r="H3529" s="714"/>
      <c r="I3529" s="714"/>
      <c r="J3529" s="714"/>
      <c r="K3529" s="714"/>
      <c r="L3529" s="714"/>
      <c r="M3529" s="714"/>
      <c r="N3529" s="714"/>
      <c r="O3529" s="714"/>
      <c r="P3529" s="714"/>
    </row>
    <row r="3530" spans="1:22">
      <c r="A3530" s="714"/>
      <c r="B3530" s="714" t="s">
        <v>1223</v>
      </c>
      <c r="C3530" s="714"/>
      <c r="D3530" s="714"/>
      <c r="E3530" s="714"/>
      <c r="F3530" s="714"/>
      <c r="G3530" s="714"/>
      <c r="H3530" s="714"/>
      <c r="I3530" s="714"/>
      <c r="J3530" s="714"/>
      <c r="K3530" s="714"/>
      <c r="L3530" s="714"/>
      <c r="M3530" s="714"/>
      <c r="N3530" s="714"/>
      <c r="O3530" s="714"/>
      <c r="P3530" s="714"/>
    </row>
    <row r="3531" spans="1:22">
      <c r="A3531" s="714"/>
      <c r="B3531" s="714" t="s">
        <v>1224</v>
      </c>
      <c r="C3531" s="714"/>
      <c r="D3531" s="714"/>
      <c r="E3531" s="714"/>
      <c r="F3531" s="714"/>
      <c r="G3531" s="714">
        <v>1.06</v>
      </c>
      <c r="H3531" s="714" t="s">
        <v>92</v>
      </c>
      <c r="I3531" s="714" t="s">
        <v>92</v>
      </c>
      <c r="J3531" s="714">
        <v>135</v>
      </c>
      <c r="K3531" s="714">
        <f>ROUND(G3531*J3531,2)</f>
        <v>143.1</v>
      </c>
      <c r="L3531" s="714"/>
      <c r="M3531" s="714"/>
      <c r="N3531" s="714"/>
      <c r="O3531" s="714"/>
      <c r="P3531" s="714"/>
    </row>
    <row r="3532" spans="1:22">
      <c r="A3532" s="714"/>
      <c r="B3532" s="714" t="s">
        <v>1225</v>
      </c>
      <c r="C3532" s="714"/>
      <c r="D3532" s="714"/>
      <c r="E3532" s="714"/>
      <c r="F3532" s="714"/>
      <c r="G3532" s="714">
        <v>1.135</v>
      </c>
      <c r="H3532" s="714" t="s">
        <v>95</v>
      </c>
      <c r="I3532" s="714" t="s">
        <v>95</v>
      </c>
      <c r="J3532" s="714">
        <v>36</v>
      </c>
      <c r="K3532" s="714">
        <f>ROUND(G3532*J3532,2)</f>
        <v>40.86</v>
      </c>
      <c r="L3532" s="714"/>
      <c r="M3532" s="714"/>
      <c r="N3532" s="714"/>
      <c r="O3532" s="714"/>
      <c r="P3532" s="714"/>
    </row>
    <row r="3533" spans="1:22">
      <c r="A3533" s="714"/>
      <c r="B3533" s="714" t="s">
        <v>1226</v>
      </c>
      <c r="C3533" s="714"/>
      <c r="D3533" s="714"/>
      <c r="E3533" s="714"/>
      <c r="F3533" s="714"/>
      <c r="G3533" s="714">
        <v>100</v>
      </c>
      <c r="H3533" s="714" t="s">
        <v>262</v>
      </c>
      <c r="I3533" s="714" t="s">
        <v>38</v>
      </c>
      <c r="J3533" s="714">
        <v>0.63</v>
      </c>
      <c r="K3533" s="714">
        <f>ROUND(G3533*J3533,2)</f>
        <v>63</v>
      </c>
      <c r="L3533" s="714"/>
      <c r="M3533" s="714"/>
      <c r="N3533" s="714"/>
      <c r="O3533" s="714"/>
      <c r="P3533" s="714"/>
    </row>
    <row r="3534" spans="1:22">
      <c r="A3534" s="714"/>
      <c r="B3534" s="714"/>
      <c r="C3534" s="714"/>
      <c r="D3534" s="714"/>
      <c r="E3534" s="714"/>
      <c r="F3534" s="714"/>
      <c r="G3534" s="714"/>
      <c r="H3534" s="714"/>
      <c r="I3534" s="714"/>
      <c r="J3534" s="714" t="s">
        <v>718</v>
      </c>
      <c r="K3534" s="714">
        <f>SUM(K3531:K3533)</f>
        <v>246.95999999999998</v>
      </c>
      <c r="L3534" s="714"/>
      <c r="M3534" s="714"/>
      <c r="N3534" s="714"/>
      <c r="O3534" s="714"/>
      <c r="P3534" s="714"/>
    </row>
    <row r="3535" spans="1:22">
      <c r="A3535" s="714"/>
      <c r="B3535" s="714"/>
      <c r="C3535" s="714"/>
      <c r="D3535" s="714"/>
      <c r="E3535" s="714"/>
      <c r="F3535" s="714"/>
      <c r="G3535" s="714"/>
      <c r="H3535" s="714"/>
      <c r="I3535" s="714"/>
      <c r="J3535" s="714"/>
      <c r="K3535" s="714">
        <f>SUM(K3534)+K3528</f>
        <v>1239.26</v>
      </c>
      <c r="L3535" s="714"/>
      <c r="M3535" s="714"/>
      <c r="N3535" s="714"/>
      <c r="O3535" s="714"/>
      <c r="P3535" s="714"/>
    </row>
    <row r="3536" spans="1:22">
      <c r="A3536" s="714"/>
      <c r="B3536" s="714" t="s">
        <v>1201</v>
      </c>
      <c r="C3536" s="714"/>
      <c r="D3536" s="714"/>
      <c r="E3536" s="714"/>
      <c r="F3536" s="714"/>
      <c r="G3536" s="714"/>
      <c r="H3536" s="714"/>
      <c r="I3536" s="714"/>
      <c r="J3536" s="714"/>
      <c r="K3536" s="714">
        <f>ROUND(K3535/9.3,2)</f>
        <v>133.25</v>
      </c>
      <c r="L3536" s="714"/>
      <c r="M3536" s="714"/>
      <c r="N3536" s="714"/>
      <c r="O3536" s="714"/>
      <c r="P3536" s="714"/>
    </row>
    <row r="3537" spans="1:17">
      <c r="A3537" s="714"/>
      <c r="B3537" s="714" t="s">
        <v>1207</v>
      </c>
      <c r="C3537" s="714"/>
      <c r="D3537" s="714"/>
      <c r="E3537" s="714"/>
      <c r="F3537" s="714"/>
      <c r="G3537" s="714">
        <v>1.65</v>
      </c>
      <c r="H3537" s="714" t="s">
        <v>1208</v>
      </c>
      <c r="I3537" s="714" t="s">
        <v>1208</v>
      </c>
      <c r="J3537" s="714">
        <f>G216</f>
        <v>10</v>
      </c>
      <c r="K3537" s="714">
        <f>ROUND(G3537*J3537,2)</f>
        <v>16.5</v>
      </c>
      <c r="L3537" s="714"/>
      <c r="M3537" s="714"/>
      <c r="N3537" s="714"/>
      <c r="O3537" s="714"/>
      <c r="P3537" s="714"/>
    </row>
    <row r="3538" spans="1:17">
      <c r="A3538" s="714"/>
      <c r="B3538" s="714"/>
      <c r="C3538" s="714"/>
      <c r="D3538" s="714"/>
      <c r="E3538" s="714"/>
      <c r="F3538" s="714"/>
      <c r="G3538" s="714"/>
      <c r="H3538" s="714"/>
      <c r="I3538" s="714"/>
      <c r="J3538" s="714" t="s">
        <v>928</v>
      </c>
      <c r="K3538" s="714">
        <f>SUM(K3536:K3537)</f>
        <v>149.75</v>
      </c>
      <c r="L3538" s="714" t="s">
        <v>730</v>
      </c>
      <c r="M3538" s="714"/>
      <c r="N3538" s="714"/>
      <c r="O3538" s="714"/>
      <c r="P3538" s="714"/>
    </row>
    <row r="3539" spans="1:17">
      <c r="A3539" s="836" t="s">
        <v>474</v>
      </c>
      <c r="B3539" s="723" t="s">
        <v>1227</v>
      </c>
      <c r="G3539" s="987"/>
      <c r="H3539" s="1081"/>
      <c r="J3539" s="723"/>
      <c r="K3539" s="1091"/>
      <c r="L3539" s="1087"/>
      <c r="Q3539" s="723" t="str">
        <f>B3539</f>
        <v>Painting</v>
      </c>
    </row>
    <row r="3540" spans="1:17" ht="51" customHeight="1">
      <c r="A3540" s="836">
        <f t="shared" ref="A3540:B3542" si="120">A606</f>
        <v>105</v>
      </c>
      <c r="B3540" s="3386" t="str">
        <f t="shared" si="120"/>
        <v xml:space="preserve">Finishing plastered surfaces with cement washing one coat using cement  etc. required for the work complete in all respect as per the direction of the Engineer-in-charge. </v>
      </c>
      <c r="C3540" s="3386"/>
      <c r="D3540" s="3386"/>
      <c r="E3540" s="1086" t="str">
        <f>G606</f>
        <v>Each Sqm</v>
      </c>
      <c r="F3540" s="1086"/>
      <c r="G3540" s="987"/>
      <c r="J3540" s="1091"/>
      <c r="K3540" s="1091"/>
    </row>
    <row r="3541" spans="1:17">
      <c r="A3541" s="723" t="str">
        <f t="shared" si="120"/>
        <v>A)</v>
      </c>
      <c r="B3541" s="723" t="str">
        <f t="shared" si="120"/>
        <v>Inside Surface</v>
      </c>
      <c r="C3541" s="723"/>
      <c r="D3541" s="723"/>
      <c r="E3541" s="723"/>
      <c r="F3541" s="723"/>
      <c r="G3541" s="987"/>
      <c r="J3541" s="1091"/>
      <c r="K3541" s="1091"/>
    </row>
    <row r="3542" spans="1:17">
      <c r="A3542" s="836" t="str">
        <f t="shared" si="120"/>
        <v>(i)</v>
      </c>
      <c r="B3542" s="723" t="str">
        <f t="shared" si="120"/>
        <v>Ground Floor</v>
      </c>
      <c r="E3542" s="1089" t="str">
        <f>G608</f>
        <v>Each Sqm</v>
      </c>
      <c r="F3542" s="1089"/>
      <c r="G3542" s="987"/>
      <c r="J3542" s="726"/>
      <c r="K3542" s="726"/>
    </row>
    <row r="3543" spans="1:17">
      <c r="B3543" s="723" t="s">
        <v>1228</v>
      </c>
      <c r="G3543" s="987"/>
      <c r="J3543" s="726"/>
      <c r="K3543" s="726"/>
    </row>
    <row r="3544" spans="1:17">
      <c r="B3544" s="723" t="s">
        <v>822</v>
      </c>
      <c r="G3544" s="987"/>
      <c r="J3544" s="726"/>
      <c r="K3544" s="726"/>
    </row>
    <row r="3545" spans="1:17">
      <c r="B3545" s="722" t="s">
        <v>8</v>
      </c>
      <c r="G3545" s="987">
        <v>1.0009999999999999</v>
      </c>
      <c r="H3545" s="722" t="s">
        <v>247</v>
      </c>
      <c r="I3545" s="724" t="s">
        <v>247</v>
      </c>
      <c r="J3545" s="726">
        <f>G48/10</f>
        <v>640</v>
      </c>
      <c r="K3545" s="726">
        <f>ROUND(G3545*J3545,2)</f>
        <v>640.64</v>
      </c>
    </row>
    <row r="3546" spans="1:17">
      <c r="G3546" s="987"/>
      <c r="J3546" s="726" t="s">
        <v>718</v>
      </c>
      <c r="K3546" s="726">
        <f>SUM(K3545:K3545)</f>
        <v>640.64</v>
      </c>
    </row>
    <row r="3547" spans="1:17">
      <c r="B3547" s="723" t="s">
        <v>781</v>
      </c>
      <c r="G3547" s="987"/>
      <c r="J3547" s="726"/>
      <c r="K3547" s="726"/>
    </row>
    <row r="3548" spans="1:17">
      <c r="B3548" s="722" t="s">
        <v>1229</v>
      </c>
      <c r="G3548" s="987">
        <v>0.75</v>
      </c>
      <c r="H3548" s="722" t="s">
        <v>262</v>
      </c>
      <c r="I3548" s="724" t="s">
        <v>38</v>
      </c>
      <c r="J3548" s="726">
        <f>L131</f>
        <v>264.3</v>
      </c>
      <c r="K3548" s="726">
        <f>ROUND(G3548*J3548,2)</f>
        <v>198.23</v>
      </c>
    </row>
    <row r="3549" spans="1:17">
      <c r="B3549" s="722" t="s">
        <v>717</v>
      </c>
      <c r="G3549" s="987">
        <v>1</v>
      </c>
      <c r="H3549" s="722" t="s">
        <v>262</v>
      </c>
      <c r="I3549" s="724" t="s">
        <v>38</v>
      </c>
      <c r="J3549" s="726">
        <f>L129</f>
        <v>182</v>
      </c>
      <c r="K3549" s="726">
        <f>ROUND(G3549*J3549,2)</f>
        <v>182</v>
      </c>
    </row>
    <row r="3550" spans="1:17">
      <c r="G3550" s="987"/>
      <c r="J3550" s="726" t="s">
        <v>718</v>
      </c>
      <c r="K3550" s="726">
        <f>SUM(K3548:K3549)</f>
        <v>380.23</v>
      </c>
    </row>
    <row r="3551" spans="1:17">
      <c r="B3551" s="723"/>
      <c r="G3551" s="987"/>
      <c r="J3551" s="726"/>
      <c r="K3551" s="726"/>
    </row>
    <row r="3552" spans="1:17">
      <c r="B3552" s="723" t="s">
        <v>783</v>
      </c>
      <c r="G3552" s="987"/>
      <c r="J3552" s="726"/>
      <c r="K3552" s="726"/>
    </row>
    <row r="3553" spans="1:12">
      <c r="B3553" s="722" t="s">
        <v>8</v>
      </c>
      <c r="G3553" s="987">
        <f>G3545</f>
        <v>1.0009999999999999</v>
      </c>
      <c r="H3553" s="722" t="s">
        <v>247</v>
      </c>
      <c r="I3553" s="724" t="s">
        <v>247</v>
      </c>
      <c r="J3553" s="726">
        <f>K48/10</f>
        <v>24.786999999999999</v>
      </c>
      <c r="K3553" s="726">
        <f>ROUND(G3553*J3553,2)</f>
        <v>24.81</v>
      </c>
    </row>
    <row r="3554" spans="1:12">
      <c r="G3554" s="987"/>
      <c r="J3554" s="726" t="s">
        <v>718</v>
      </c>
      <c r="K3554" s="726">
        <f>SUM(K3553:K3553)</f>
        <v>24.81</v>
      </c>
    </row>
    <row r="3555" spans="1:12">
      <c r="B3555" s="722" t="s">
        <v>1230</v>
      </c>
      <c r="G3555" s="987"/>
      <c r="J3555" s="726"/>
      <c r="K3555" s="726">
        <f>K3546+K3550+K3551+K3554</f>
        <v>1045.68</v>
      </c>
    </row>
    <row r="3556" spans="1:12">
      <c r="B3556" s="722" t="s">
        <v>1231</v>
      </c>
      <c r="G3556" s="987"/>
      <c r="J3556" s="726"/>
      <c r="K3556" s="1091">
        <f>ROUND(K3555/93,2)</f>
        <v>11.24</v>
      </c>
      <c r="L3556" s="723" t="s">
        <v>730</v>
      </c>
    </row>
    <row r="3557" spans="1:12">
      <c r="A3557" s="836" t="s">
        <v>386</v>
      </c>
      <c r="B3557" s="723" t="s">
        <v>1232</v>
      </c>
      <c r="E3557" s="1089" t="str">
        <f>E3542</f>
        <v>Each Sqm</v>
      </c>
      <c r="F3557" s="1089"/>
      <c r="G3557" s="987"/>
      <c r="J3557" s="726"/>
      <c r="K3557" s="726"/>
    </row>
    <row r="3558" spans="1:12">
      <c r="B3558" s="722" t="s">
        <v>722</v>
      </c>
      <c r="G3558" s="987"/>
      <c r="J3558" s="726"/>
      <c r="K3558" s="726">
        <f>K3556</f>
        <v>11.24</v>
      </c>
    </row>
    <row r="3559" spans="1:12" ht="11.25" customHeight="1">
      <c r="B3559" s="722" t="s">
        <v>948</v>
      </c>
      <c r="G3559" s="987"/>
      <c r="J3559" s="726"/>
      <c r="K3559" s="726">
        <f>ROUND(K3550/93*3%,2)</f>
        <v>0.12</v>
      </c>
    </row>
    <row r="3560" spans="1:12">
      <c r="G3560" s="987"/>
      <c r="J3560" s="827" t="s">
        <v>718</v>
      </c>
      <c r="K3560" s="1091">
        <f>SUM(K3558:K3559)</f>
        <v>11.36</v>
      </c>
      <c r="L3560" s="723" t="s">
        <v>730</v>
      </c>
    </row>
    <row r="3561" spans="1:12">
      <c r="A3561" s="723" t="str">
        <f>A610</f>
        <v>B)</v>
      </c>
      <c r="B3561" s="723" t="str">
        <f>B610</f>
        <v>Outside Surface</v>
      </c>
      <c r="C3561" s="723"/>
      <c r="D3561" s="723"/>
      <c r="E3561" s="723"/>
      <c r="F3561" s="723"/>
      <c r="G3561" s="987"/>
      <c r="J3561" s="1091"/>
      <c r="K3561" s="1091"/>
    </row>
    <row r="3562" spans="1:12">
      <c r="A3562" s="836" t="str">
        <f>A611</f>
        <v>(i)</v>
      </c>
      <c r="B3562" s="723" t="str">
        <f>B611</f>
        <v>Ground Floor</v>
      </c>
      <c r="E3562" s="1089" t="str">
        <f>G611</f>
        <v>Each Sqm</v>
      </c>
      <c r="F3562" s="1089"/>
      <c r="G3562" s="987"/>
      <c r="J3562" s="726"/>
      <c r="K3562" s="1091">
        <f>K3556</f>
        <v>11.24</v>
      </c>
      <c r="L3562" s="723" t="s">
        <v>730</v>
      </c>
    </row>
    <row r="3563" spans="1:12">
      <c r="A3563" s="836" t="str">
        <f>A3557</f>
        <v>(ii)</v>
      </c>
      <c r="B3563" s="723" t="str">
        <f>B3557</f>
        <v>1st Floor</v>
      </c>
      <c r="E3563" s="1089" t="str">
        <f>E3562</f>
        <v>Each Sqm</v>
      </c>
      <c r="F3563" s="1089"/>
      <c r="G3563" s="987"/>
      <c r="J3563" s="726"/>
      <c r="K3563" s="726"/>
    </row>
    <row r="3564" spans="1:12">
      <c r="B3564" s="722" t="s">
        <v>722</v>
      </c>
      <c r="G3564" s="987"/>
      <c r="J3564" s="726"/>
      <c r="K3564" s="726">
        <f>K3556</f>
        <v>11.24</v>
      </c>
    </row>
    <row r="3565" spans="1:12">
      <c r="B3565" s="722" t="s">
        <v>723</v>
      </c>
      <c r="G3565" s="987"/>
      <c r="J3565" s="726"/>
      <c r="K3565" s="726">
        <f>ROUND(K3550/93*5%,2)</f>
        <v>0.2</v>
      </c>
    </row>
    <row r="3566" spans="1:12">
      <c r="G3566" s="987"/>
      <c r="J3566" s="827" t="s">
        <v>718</v>
      </c>
      <c r="K3566" s="1091">
        <f>SUM(K3564:K3565)</f>
        <v>11.44</v>
      </c>
      <c r="L3566" s="723" t="s">
        <v>730</v>
      </c>
    </row>
    <row r="3567" spans="1:12" ht="47.25" customHeight="1">
      <c r="A3567" s="836">
        <f t="shared" ref="A3567:B3569" si="121">A613</f>
        <v>106</v>
      </c>
      <c r="B3567" s="3386" t="str">
        <f t="shared" si="121"/>
        <v xml:space="preserve">Finishing plastered surfaces with wall primer one coat using cement including  etc. required for the work complete in all respect as per the direction of the Engineer-in-charge. </v>
      </c>
      <c r="C3567" s="3386"/>
      <c r="D3567" s="3386"/>
      <c r="E3567" s="1086" t="str">
        <f>G613</f>
        <v>Each Sqm</v>
      </c>
      <c r="F3567" s="1086"/>
      <c r="G3567" s="987"/>
      <c r="J3567" s="1091"/>
      <c r="K3567" s="1091"/>
    </row>
    <row r="3568" spans="1:12">
      <c r="A3568" s="836" t="str">
        <f t="shared" si="121"/>
        <v>A)</v>
      </c>
      <c r="B3568" s="723" t="str">
        <f t="shared" si="121"/>
        <v>Inside Surface</v>
      </c>
      <c r="C3568" s="723"/>
      <c r="D3568" s="723"/>
      <c r="E3568" s="1089" t="str">
        <f>G614</f>
        <v>Each Sqm</v>
      </c>
      <c r="F3568" s="1089"/>
      <c r="G3568" s="987"/>
      <c r="J3568" s="1091"/>
      <c r="K3568" s="1091"/>
    </row>
    <row r="3569" spans="1:12">
      <c r="A3569" s="836" t="str">
        <f t="shared" si="121"/>
        <v>(i)</v>
      </c>
      <c r="B3569" s="723" t="str">
        <f t="shared" si="121"/>
        <v>Ground Floor</v>
      </c>
      <c r="C3569" s="723"/>
      <c r="D3569" s="723"/>
      <c r="E3569" s="1089" t="str">
        <f>G615</f>
        <v>Each Sqm</v>
      </c>
      <c r="F3569" s="1089"/>
      <c r="G3569" s="987"/>
      <c r="J3569" s="726"/>
      <c r="K3569" s="726"/>
    </row>
    <row r="3570" spans="1:12">
      <c r="B3570" s="723" t="s">
        <v>884</v>
      </c>
      <c r="G3570" s="987"/>
      <c r="J3570" s="726"/>
      <c r="K3570" s="726"/>
    </row>
    <row r="3571" spans="1:12">
      <c r="B3571" s="723" t="s">
        <v>954</v>
      </c>
      <c r="G3571" s="987"/>
      <c r="J3571" s="726"/>
      <c r="K3571" s="726"/>
    </row>
    <row r="3572" spans="1:12">
      <c r="B3572" s="722" t="s">
        <v>1233</v>
      </c>
      <c r="G3572" s="987">
        <v>0.5</v>
      </c>
      <c r="H3572" s="722" t="s">
        <v>262</v>
      </c>
      <c r="I3572" s="724" t="s">
        <v>38</v>
      </c>
      <c r="J3572" s="726">
        <f>L132</f>
        <v>284.3</v>
      </c>
      <c r="K3572" s="726">
        <f>ROUND(G3572*J3572,2)</f>
        <v>142.15</v>
      </c>
    </row>
    <row r="3573" spans="1:12">
      <c r="B3573" s="722" t="s">
        <v>717</v>
      </c>
      <c r="G3573" s="987">
        <v>0.5</v>
      </c>
      <c r="H3573" s="722" t="s">
        <v>262</v>
      </c>
      <c r="I3573" s="724" t="s">
        <v>38</v>
      </c>
      <c r="J3573" s="726">
        <f>L129</f>
        <v>182</v>
      </c>
      <c r="K3573" s="726">
        <f>ROUND(G3573*J3573,2)</f>
        <v>91</v>
      </c>
    </row>
    <row r="3574" spans="1:12">
      <c r="G3574" s="987"/>
      <c r="J3574" s="726" t="s">
        <v>718</v>
      </c>
      <c r="K3574" s="726">
        <f>SUM(K3572:K3573)</f>
        <v>233.15</v>
      </c>
    </row>
    <row r="3575" spans="1:12">
      <c r="B3575" s="723"/>
      <c r="G3575" s="987"/>
      <c r="J3575" s="726"/>
      <c r="K3575" s="726"/>
    </row>
    <row r="3576" spans="1:12">
      <c r="B3576" s="723" t="s">
        <v>1234</v>
      </c>
      <c r="G3576" s="987"/>
      <c r="J3576" s="726"/>
      <c r="K3576" s="726">
        <f>ROUND(K3574*2%,2)</f>
        <v>4.66</v>
      </c>
    </row>
    <row r="3577" spans="1:12">
      <c r="B3577" s="723" t="s">
        <v>967</v>
      </c>
      <c r="G3577" s="987"/>
      <c r="J3577" s="726"/>
      <c r="K3577" s="726">
        <f>K3575+K3574+K3576</f>
        <v>237.81</v>
      </c>
    </row>
    <row r="3578" spans="1:12">
      <c r="B3578" s="723" t="s">
        <v>1235</v>
      </c>
      <c r="G3578" s="987"/>
      <c r="J3578" s="726"/>
      <c r="K3578" s="726">
        <f>ROUND(K3577/10,2)</f>
        <v>23.78</v>
      </c>
    </row>
    <row r="3579" spans="1:12">
      <c r="B3579" s="722" t="s">
        <v>1236</v>
      </c>
      <c r="G3579" s="987">
        <v>8.4000000000000005E-2</v>
      </c>
      <c r="H3579" s="722" t="s">
        <v>294</v>
      </c>
      <c r="I3579" s="724" t="s">
        <v>294</v>
      </c>
      <c r="J3579" s="726">
        <f>L89</f>
        <v>203.80787000000001</v>
      </c>
      <c r="K3579" s="726">
        <f>ROUND(G3579*J3579,2)</f>
        <v>17.12</v>
      </c>
    </row>
    <row r="3580" spans="1:12">
      <c r="G3580" s="987"/>
      <c r="J3580" s="827" t="s">
        <v>718</v>
      </c>
      <c r="K3580" s="1091">
        <f>SUM(K3578:K3579)</f>
        <v>40.900000000000006</v>
      </c>
      <c r="L3580" s="723" t="s">
        <v>730</v>
      </c>
    </row>
    <row r="3581" spans="1:12">
      <c r="A3581" s="836" t="str">
        <f>A3563</f>
        <v>(ii)</v>
      </c>
      <c r="B3581" s="723" t="str">
        <f>B3563</f>
        <v>1st Floor</v>
      </c>
      <c r="E3581" s="1089" t="str">
        <f>E3569</f>
        <v>Each Sqm</v>
      </c>
      <c r="F3581" s="1089"/>
      <c r="G3581" s="987"/>
      <c r="J3581" s="726"/>
      <c r="K3581" s="726"/>
    </row>
    <row r="3582" spans="1:12">
      <c r="B3582" s="722" t="s">
        <v>722</v>
      </c>
      <c r="G3582" s="987"/>
      <c r="J3582" s="726"/>
      <c r="K3582" s="726">
        <f>K3580</f>
        <v>40.900000000000006</v>
      </c>
    </row>
    <row r="3583" spans="1:12">
      <c r="B3583" s="722" t="s">
        <v>948</v>
      </c>
      <c r="G3583" s="987"/>
      <c r="J3583" s="726"/>
      <c r="K3583" s="726">
        <f>ROUND(K3574/9.3*3%,2)</f>
        <v>0.75</v>
      </c>
    </row>
    <row r="3584" spans="1:12">
      <c r="G3584" s="987"/>
      <c r="J3584" s="827" t="s">
        <v>718</v>
      </c>
      <c r="K3584" s="1091">
        <f>SUM(K3582:K3583)</f>
        <v>41.650000000000006</v>
      </c>
      <c r="L3584" s="723" t="s">
        <v>730</v>
      </c>
    </row>
    <row r="3585" spans="1:12">
      <c r="A3585" s="723" t="str">
        <f>A617</f>
        <v>B)</v>
      </c>
      <c r="B3585" s="723" t="str">
        <f>B617</f>
        <v>Outside Surface</v>
      </c>
      <c r="C3585" s="723"/>
      <c r="D3585" s="723"/>
      <c r="E3585" s="723"/>
      <c r="F3585" s="723"/>
      <c r="G3585" s="987"/>
      <c r="J3585" s="1091"/>
      <c r="K3585" s="1091"/>
    </row>
    <row r="3586" spans="1:12">
      <c r="A3586" s="836" t="str">
        <f>A618</f>
        <v>(i)</v>
      </c>
      <c r="B3586" s="723" t="str">
        <f>B618</f>
        <v>Ground Floor</v>
      </c>
      <c r="E3586" s="1089" t="str">
        <f>G618</f>
        <v>Each Sqm</v>
      </c>
      <c r="F3586" s="1089"/>
      <c r="G3586" s="987"/>
      <c r="J3586" s="726"/>
      <c r="K3586" s="1091">
        <f>K3580</f>
        <v>40.900000000000006</v>
      </c>
      <c r="L3586" s="723" t="s">
        <v>730</v>
      </c>
    </row>
    <row r="3587" spans="1:12">
      <c r="A3587" s="836" t="str">
        <f>A3581</f>
        <v>(ii)</v>
      </c>
      <c r="B3587" s="723" t="str">
        <f>B3581</f>
        <v>1st Floor</v>
      </c>
      <c r="E3587" s="1089" t="str">
        <f>E3586</f>
        <v>Each Sqm</v>
      </c>
      <c r="F3587" s="1089"/>
      <c r="G3587" s="987"/>
      <c r="J3587" s="726"/>
      <c r="K3587" s="726"/>
    </row>
    <row r="3588" spans="1:12">
      <c r="B3588" s="722" t="s">
        <v>722</v>
      </c>
      <c r="G3588" s="987"/>
      <c r="J3588" s="726"/>
      <c r="K3588" s="726">
        <f>K3580</f>
        <v>40.900000000000006</v>
      </c>
    </row>
    <row r="3589" spans="1:12">
      <c r="B3589" s="722" t="s">
        <v>723</v>
      </c>
      <c r="G3589" s="987"/>
      <c r="J3589" s="726"/>
      <c r="K3589" s="726">
        <f>ROUND(K3574/9.3*5%,2)</f>
        <v>1.25</v>
      </c>
    </row>
    <row r="3590" spans="1:12">
      <c r="G3590" s="987"/>
      <c r="J3590" s="827" t="s">
        <v>718</v>
      </c>
      <c r="K3590" s="1091">
        <f>SUM(K3588:K3589)</f>
        <v>42.150000000000006</v>
      </c>
      <c r="L3590" s="723" t="s">
        <v>730</v>
      </c>
    </row>
    <row r="3591" spans="1:12" ht="72.75" customHeight="1">
      <c r="A3591" s="836">
        <f t="shared" ref="A3591:B3593" si="122">A620</f>
        <v>107</v>
      </c>
      <c r="B3591" s="3386" t="str">
        <f>B620</f>
        <v xml:space="preserve">Finishing plastered surfaces one coat with water proofing cement paint  of approved shade on old work in all floors, all heights with staging wherever necessary  etc. required for the work complete in all respect as per the direction of the Engineer-in-charge. </v>
      </c>
      <c r="C3591" s="3386"/>
      <c r="D3591" s="3386"/>
      <c r="E3591" s="1086" t="str">
        <f>G620</f>
        <v>Each Sqm</v>
      </c>
      <c r="F3591" s="1086"/>
      <c r="G3591" s="987"/>
      <c r="J3591" s="1091"/>
      <c r="K3591" s="1091"/>
    </row>
    <row r="3592" spans="1:12">
      <c r="A3592" s="723" t="str">
        <f t="shared" si="122"/>
        <v>A)</v>
      </c>
      <c r="B3592" s="723" t="str">
        <f t="shared" si="122"/>
        <v>Inside Surface</v>
      </c>
      <c r="C3592" s="723"/>
      <c r="D3592" s="723"/>
      <c r="E3592" s="723"/>
      <c r="F3592" s="723"/>
      <c r="G3592" s="987"/>
      <c r="J3592" s="1091"/>
      <c r="K3592" s="1091"/>
    </row>
    <row r="3593" spans="1:12">
      <c r="A3593" s="836" t="str">
        <f t="shared" si="122"/>
        <v>(i)</v>
      </c>
      <c r="B3593" s="723" t="str">
        <f t="shared" si="122"/>
        <v>Ground Floor</v>
      </c>
      <c r="E3593" s="1089" t="str">
        <f>G598</f>
        <v>Each No</v>
      </c>
      <c r="F3593" s="1089"/>
      <c r="G3593" s="987"/>
      <c r="J3593" s="726"/>
      <c r="K3593" s="726"/>
    </row>
    <row r="3594" spans="1:12">
      <c r="B3594" s="723" t="s">
        <v>964</v>
      </c>
      <c r="G3594" s="987"/>
      <c r="J3594" s="726"/>
      <c r="K3594" s="726"/>
    </row>
    <row r="3595" spans="1:12">
      <c r="B3595" s="723" t="s">
        <v>954</v>
      </c>
      <c r="G3595" s="987"/>
      <c r="J3595" s="726"/>
      <c r="K3595" s="726"/>
    </row>
    <row r="3596" spans="1:12">
      <c r="B3596" s="722" t="s">
        <v>1237</v>
      </c>
      <c r="G3596" s="987">
        <v>0.15</v>
      </c>
      <c r="H3596" s="722" t="s">
        <v>262</v>
      </c>
      <c r="I3596" s="724" t="s">
        <v>38</v>
      </c>
      <c r="J3596" s="726">
        <f>L132</f>
        <v>284.3</v>
      </c>
      <c r="K3596" s="726">
        <f>ROUND(G3596*J3596,2)</f>
        <v>42.65</v>
      </c>
    </row>
    <row r="3597" spans="1:12">
      <c r="B3597" s="722" t="s">
        <v>717</v>
      </c>
      <c r="G3597" s="987">
        <v>0.22</v>
      </c>
      <c r="H3597" s="722" t="s">
        <v>262</v>
      </c>
      <c r="I3597" s="724" t="s">
        <v>38</v>
      </c>
      <c r="J3597" s="726">
        <f>L129</f>
        <v>182</v>
      </c>
      <c r="K3597" s="726">
        <f>ROUND(G3597*J3597,2)</f>
        <v>40.04</v>
      </c>
    </row>
    <row r="3598" spans="1:12">
      <c r="G3598" s="987"/>
      <c r="J3598" s="726" t="s">
        <v>718</v>
      </c>
      <c r="K3598" s="726">
        <f>SUM(K3596:K3597)</f>
        <v>82.69</v>
      </c>
    </row>
    <row r="3599" spans="1:12">
      <c r="B3599" s="723"/>
      <c r="G3599" s="987"/>
      <c r="J3599" s="726"/>
      <c r="K3599" s="726"/>
    </row>
    <row r="3600" spans="1:12">
      <c r="B3600" s="723" t="s">
        <v>1238</v>
      </c>
      <c r="G3600" s="987"/>
      <c r="J3600" s="726"/>
      <c r="K3600" s="726">
        <f>ROUND(K3598*2%,2)</f>
        <v>1.65</v>
      </c>
    </row>
    <row r="3601" spans="1:27">
      <c r="B3601" s="722" t="s">
        <v>967</v>
      </c>
      <c r="G3601" s="987"/>
      <c r="J3601" s="726"/>
      <c r="K3601" s="726">
        <f>K3598+K3599+K3600</f>
        <v>84.34</v>
      </c>
    </row>
    <row r="3602" spans="1:27">
      <c r="B3602" s="722" t="s">
        <v>1235</v>
      </c>
      <c r="G3602" s="987"/>
      <c r="J3602" s="726"/>
      <c r="K3602" s="726">
        <f>ROUND(K3601/10,2)</f>
        <v>8.43</v>
      </c>
    </row>
    <row r="3603" spans="1:27">
      <c r="B3603" s="722" t="s">
        <v>1239</v>
      </c>
      <c r="G3603" s="987">
        <v>0.16600000000000001</v>
      </c>
      <c r="H3603" s="722" t="s">
        <v>95</v>
      </c>
      <c r="I3603" s="724" t="s">
        <v>95</v>
      </c>
      <c r="J3603" s="726">
        <f>L82</f>
        <v>61.467869999999998</v>
      </c>
      <c r="K3603" s="726">
        <f>ROUND(G3603*J3603,2)</f>
        <v>10.199999999999999</v>
      </c>
      <c r="Q3603" s="726">
        <f>G150</f>
        <v>0</v>
      </c>
      <c r="Y3603" s="726"/>
      <c r="Z3603" s="726"/>
      <c r="AA3603" s="726"/>
    </row>
    <row r="3604" spans="1:27">
      <c r="G3604" s="987"/>
      <c r="J3604" s="827" t="s">
        <v>718</v>
      </c>
      <c r="K3604" s="1091">
        <f>K3602+K3603</f>
        <v>18.63</v>
      </c>
      <c r="L3604" s="723" t="s">
        <v>730</v>
      </c>
    </row>
    <row r="3605" spans="1:27">
      <c r="A3605" s="836" t="str">
        <f>A3563</f>
        <v>(ii)</v>
      </c>
      <c r="B3605" s="723" t="str">
        <f>B3563</f>
        <v>1st Floor</v>
      </c>
      <c r="E3605" s="1089" t="str">
        <f>E3593</f>
        <v>Each No</v>
      </c>
      <c r="F3605" s="1089"/>
      <c r="G3605" s="987"/>
      <c r="J3605" s="726"/>
      <c r="K3605" s="726"/>
    </row>
    <row r="3606" spans="1:27">
      <c r="B3606" s="722" t="s">
        <v>722</v>
      </c>
      <c r="G3606" s="987"/>
      <c r="J3606" s="726"/>
      <c r="K3606" s="726">
        <f>K3604</f>
        <v>18.63</v>
      </c>
    </row>
    <row r="3607" spans="1:27">
      <c r="B3607" s="722" t="s">
        <v>948</v>
      </c>
      <c r="G3607" s="987"/>
      <c r="J3607" s="726"/>
      <c r="K3607" s="726">
        <f>ROUND(K3598/10*3%,2)</f>
        <v>0.25</v>
      </c>
    </row>
    <row r="3608" spans="1:27">
      <c r="G3608" s="987"/>
      <c r="J3608" s="827" t="s">
        <v>718</v>
      </c>
      <c r="K3608" s="1091">
        <f>SUM(K3606:K3607)</f>
        <v>18.88</v>
      </c>
      <c r="L3608" s="723" t="s">
        <v>730</v>
      </c>
    </row>
    <row r="3609" spans="1:27">
      <c r="A3609" s="723" t="str">
        <f>A624</f>
        <v>B)</v>
      </c>
      <c r="B3609" s="723" t="str">
        <f>B624</f>
        <v>Outside Surface</v>
      </c>
      <c r="C3609" s="723"/>
      <c r="D3609" s="723"/>
      <c r="E3609" s="723"/>
      <c r="F3609" s="723"/>
      <c r="G3609" s="987"/>
      <c r="J3609" s="1091"/>
      <c r="K3609" s="1091"/>
    </row>
    <row r="3610" spans="1:27">
      <c r="A3610" s="836" t="str">
        <f>A625</f>
        <v>(i)</v>
      </c>
      <c r="B3610" s="723" t="str">
        <f>B625</f>
        <v>Ground Floor</v>
      </c>
      <c r="E3610" s="1089" t="str">
        <f>G601</f>
        <v>Each No</v>
      </c>
      <c r="F3610" s="1089"/>
      <c r="G3610" s="987"/>
      <c r="J3610" s="726"/>
      <c r="K3610" s="1091">
        <f>K3604</f>
        <v>18.63</v>
      </c>
      <c r="L3610" s="723" t="s">
        <v>730</v>
      </c>
    </row>
    <row r="3611" spans="1:27">
      <c r="A3611" s="836" t="str">
        <f>A3605</f>
        <v>(ii)</v>
      </c>
      <c r="B3611" s="723" t="str">
        <f>B3605</f>
        <v>1st Floor</v>
      </c>
      <c r="E3611" s="1089" t="str">
        <f>E3610</f>
        <v>Each No</v>
      </c>
      <c r="F3611" s="1089"/>
      <c r="G3611" s="987"/>
      <c r="J3611" s="726"/>
      <c r="K3611" s="726"/>
    </row>
    <row r="3612" spans="1:27">
      <c r="B3612" s="722" t="s">
        <v>722</v>
      </c>
      <c r="G3612" s="987"/>
      <c r="J3612" s="726"/>
      <c r="K3612" s="726">
        <f>K3604</f>
        <v>18.63</v>
      </c>
    </row>
    <row r="3613" spans="1:27">
      <c r="B3613" s="722" t="s">
        <v>723</v>
      </c>
      <c r="G3613" s="987"/>
      <c r="J3613" s="726"/>
      <c r="K3613" s="726">
        <f>ROUND(K3598/10*5%,2)</f>
        <v>0.41</v>
      </c>
    </row>
    <row r="3614" spans="1:27">
      <c r="G3614" s="987"/>
      <c r="J3614" s="827" t="s">
        <v>718</v>
      </c>
      <c r="K3614" s="1091">
        <f>SUM(K3612:K3613)</f>
        <v>19.04</v>
      </c>
      <c r="L3614" s="723" t="s">
        <v>730</v>
      </c>
    </row>
    <row r="3615" spans="1:27" ht="72.75" customHeight="1">
      <c r="A3615" s="836">
        <f t="shared" ref="A3615:B3617" si="123">A627</f>
        <v>108</v>
      </c>
      <c r="B3615" s="3386" t="str">
        <f t="shared" si="123"/>
        <v xml:space="preserve">Finishing plastered surfaces two coats with water proofing cement paint of approved shade on new work  in all floors, all heights with staging wherever necessary  etc. required for the work complete in all respect as per the direction of the Engineer-in-charge. </v>
      </c>
      <c r="C3615" s="3386"/>
      <c r="D3615" s="3386"/>
      <c r="E3615" s="1086" t="str">
        <f>G627</f>
        <v>Each Sqm</v>
      </c>
      <c r="F3615" s="1086"/>
      <c r="G3615" s="987"/>
      <c r="J3615" s="1091"/>
      <c r="K3615" s="1091"/>
    </row>
    <row r="3616" spans="1:27">
      <c r="A3616" s="723" t="str">
        <f t="shared" si="123"/>
        <v>A)</v>
      </c>
      <c r="B3616" s="723" t="str">
        <f t="shared" si="123"/>
        <v>Inside Surface</v>
      </c>
      <c r="C3616" s="723"/>
      <c r="D3616" s="723"/>
      <c r="E3616" s="723"/>
      <c r="F3616" s="723"/>
      <c r="G3616" s="987"/>
      <c r="J3616" s="1091"/>
      <c r="K3616" s="1091"/>
    </row>
    <row r="3617" spans="1:27">
      <c r="A3617" s="836" t="str">
        <f t="shared" si="123"/>
        <v>(i)</v>
      </c>
      <c r="B3617" s="723" t="str">
        <f t="shared" si="123"/>
        <v>Ground Floor</v>
      </c>
      <c r="E3617" s="1089" t="str">
        <f>G629</f>
        <v>Each Sqm</v>
      </c>
      <c r="F3617" s="1089"/>
      <c r="G3617" s="987"/>
      <c r="J3617" s="726"/>
      <c r="K3617" s="726"/>
    </row>
    <row r="3618" spans="1:27">
      <c r="B3618" s="723" t="s">
        <v>964</v>
      </c>
      <c r="G3618" s="987"/>
      <c r="J3618" s="726"/>
      <c r="K3618" s="726"/>
    </row>
    <row r="3619" spans="1:27">
      <c r="B3619" s="723" t="s">
        <v>954</v>
      </c>
      <c r="G3619" s="987"/>
      <c r="J3619" s="726"/>
      <c r="K3619" s="726"/>
    </row>
    <row r="3620" spans="1:27">
      <c r="B3620" s="722" t="s">
        <v>1237</v>
      </c>
      <c r="G3620" s="987">
        <v>0.22</v>
      </c>
      <c r="H3620" s="722" t="s">
        <v>262</v>
      </c>
      <c r="I3620" s="724" t="s">
        <v>38</v>
      </c>
      <c r="J3620" s="726">
        <f>L132</f>
        <v>284.3</v>
      </c>
      <c r="K3620" s="726">
        <f>ROUND(G3620*J3620,2)</f>
        <v>62.55</v>
      </c>
    </row>
    <row r="3621" spans="1:27">
      <c r="B3621" s="722" t="s">
        <v>717</v>
      </c>
      <c r="G3621" s="987">
        <v>0.32</v>
      </c>
      <c r="H3621" s="722" t="s">
        <v>262</v>
      </c>
      <c r="I3621" s="724" t="s">
        <v>38</v>
      </c>
      <c r="J3621" s="726">
        <f>L129</f>
        <v>182</v>
      </c>
      <c r="K3621" s="726">
        <f>ROUND(G3621*J3621,2)</f>
        <v>58.24</v>
      </c>
    </row>
    <row r="3622" spans="1:27">
      <c r="G3622" s="987"/>
      <c r="J3622" s="726" t="s">
        <v>718</v>
      </c>
      <c r="K3622" s="726">
        <f>SUM(K3620:K3621)</f>
        <v>120.78999999999999</v>
      </c>
    </row>
    <row r="3623" spans="1:27">
      <c r="B3623" s="723"/>
      <c r="G3623" s="987"/>
      <c r="J3623" s="726"/>
      <c r="K3623" s="726"/>
    </row>
    <row r="3624" spans="1:27">
      <c r="B3624" s="723" t="s">
        <v>1238</v>
      </c>
      <c r="G3624" s="987"/>
      <c r="J3624" s="726"/>
      <c r="K3624" s="726">
        <f>ROUND(K3622*2%,2)</f>
        <v>2.42</v>
      </c>
    </row>
    <row r="3625" spans="1:27">
      <c r="B3625" s="722" t="s">
        <v>967</v>
      </c>
      <c r="G3625" s="987"/>
      <c r="J3625" s="726"/>
      <c r="K3625" s="726">
        <f>K3622+K3623+K3624</f>
        <v>123.21</v>
      </c>
    </row>
    <row r="3626" spans="1:27">
      <c r="B3626" s="722" t="s">
        <v>1235</v>
      </c>
      <c r="G3626" s="987"/>
      <c r="J3626" s="726"/>
      <c r="K3626" s="726">
        <f>ROUND(K3625/10,2)</f>
        <v>12.32</v>
      </c>
    </row>
    <row r="3627" spans="1:27">
      <c r="B3627" s="722" t="s">
        <v>1239</v>
      </c>
      <c r="G3627" s="987">
        <v>0.25</v>
      </c>
      <c r="H3627" s="722" t="s">
        <v>95</v>
      </c>
      <c r="I3627" s="724" t="s">
        <v>95</v>
      </c>
      <c r="J3627" s="726">
        <f>L82</f>
        <v>61.467869999999998</v>
      </c>
      <c r="K3627" s="726">
        <f>ROUND(G3627*J3627,2)</f>
        <v>15.37</v>
      </c>
      <c r="Q3627" s="726">
        <f>G183</f>
        <v>47.83</v>
      </c>
      <c r="Y3627" s="726"/>
      <c r="Z3627" s="726"/>
      <c r="AA3627" s="726"/>
    </row>
    <row r="3628" spans="1:27">
      <c r="G3628" s="987"/>
      <c r="J3628" s="827" t="s">
        <v>718</v>
      </c>
      <c r="K3628" s="1091">
        <f>K3626+K3627</f>
        <v>27.689999999999998</v>
      </c>
      <c r="L3628" s="723" t="s">
        <v>730</v>
      </c>
    </row>
    <row r="3629" spans="1:27">
      <c r="A3629" s="836" t="str">
        <f>A3587</f>
        <v>(ii)</v>
      </c>
      <c r="B3629" s="723" t="str">
        <f>B3587</f>
        <v>1st Floor</v>
      </c>
      <c r="E3629" s="1089" t="str">
        <f>E3617</f>
        <v>Each Sqm</v>
      </c>
      <c r="F3629" s="1089"/>
      <c r="G3629" s="987"/>
      <c r="J3629" s="726"/>
      <c r="K3629" s="726"/>
    </row>
    <row r="3630" spans="1:27">
      <c r="B3630" s="722" t="s">
        <v>722</v>
      </c>
      <c r="G3630" s="987"/>
      <c r="J3630" s="726"/>
      <c r="K3630" s="726">
        <f>K3628</f>
        <v>27.689999999999998</v>
      </c>
    </row>
    <row r="3631" spans="1:27">
      <c r="B3631" s="722" t="s">
        <v>948</v>
      </c>
      <c r="G3631" s="987"/>
      <c r="J3631" s="726"/>
      <c r="K3631" s="726">
        <f>ROUND(K3622/10*3%,2)</f>
        <v>0.36</v>
      </c>
    </row>
    <row r="3632" spans="1:27">
      <c r="G3632" s="987"/>
      <c r="J3632" s="827" t="s">
        <v>718</v>
      </c>
      <c r="K3632" s="1091">
        <f>SUM(K3630:K3631)</f>
        <v>28.049999999999997</v>
      </c>
      <c r="L3632" s="723" t="s">
        <v>730</v>
      </c>
    </row>
    <row r="3633" spans="1:12">
      <c r="A3633" s="723" t="str">
        <f>A631</f>
        <v>B)</v>
      </c>
      <c r="B3633" s="723" t="str">
        <f>B631</f>
        <v>Outside Surface</v>
      </c>
      <c r="C3633" s="723"/>
      <c r="D3633" s="723"/>
      <c r="E3633" s="723"/>
      <c r="F3633" s="723"/>
      <c r="G3633" s="987"/>
      <c r="J3633" s="1091"/>
      <c r="K3633" s="1091"/>
    </row>
    <row r="3634" spans="1:12">
      <c r="A3634" s="836" t="str">
        <f>A632</f>
        <v>(i)</v>
      </c>
      <c r="B3634" s="723" t="str">
        <f>B632</f>
        <v>Ground Floor</v>
      </c>
      <c r="E3634" s="1089" t="str">
        <f>G632</f>
        <v>Each Sqm</v>
      </c>
      <c r="F3634" s="1089"/>
      <c r="G3634" s="987"/>
      <c r="J3634" s="726"/>
      <c r="K3634" s="1091">
        <f>K3628</f>
        <v>27.689999999999998</v>
      </c>
      <c r="L3634" s="723" t="s">
        <v>730</v>
      </c>
    </row>
    <row r="3635" spans="1:12">
      <c r="A3635" s="836" t="str">
        <f>A3629</f>
        <v>(ii)</v>
      </c>
      <c r="B3635" s="723" t="str">
        <f>B3629</f>
        <v>1st Floor</v>
      </c>
      <c r="E3635" s="1089" t="str">
        <f>E3634</f>
        <v>Each Sqm</v>
      </c>
      <c r="F3635" s="1089"/>
      <c r="G3635" s="987"/>
      <c r="J3635" s="726"/>
      <c r="K3635" s="726"/>
    </row>
    <row r="3636" spans="1:12">
      <c r="B3636" s="722" t="s">
        <v>722</v>
      </c>
      <c r="G3636" s="987"/>
      <c r="J3636" s="726"/>
      <c r="K3636" s="726">
        <f>K3628</f>
        <v>27.689999999999998</v>
      </c>
    </row>
    <row r="3637" spans="1:12">
      <c r="B3637" s="722" t="s">
        <v>723</v>
      </c>
      <c r="G3637" s="987"/>
      <c r="J3637" s="726"/>
      <c r="K3637" s="726">
        <f>ROUND(K3622/10*5%,2)</f>
        <v>0.6</v>
      </c>
    </row>
    <row r="3638" spans="1:12">
      <c r="G3638" s="987"/>
      <c r="J3638" s="827" t="s">
        <v>718</v>
      </c>
      <c r="K3638" s="1091">
        <f>SUM(K3636:K3637)</f>
        <v>28.29</v>
      </c>
      <c r="L3638" s="723" t="s">
        <v>730</v>
      </c>
    </row>
    <row r="3639" spans="1:12" ht="60.75" customHeight="1">
      <c r="A3639" s="836">
        <f>A634</f>
        <v>109</v>
      </c>
      <c r="B3639" s="3386" t="str">
        <f>B634</f>
        <v>Painting two coats with approved weather seal paints of approved colour, shade on wall surface  including sand papering, polishing the surface,  etc, complete as per specification &amp; direction of Engineer-in-charge.</v>
      </c>
      <c r="C3639" s="3386"/>
      <c r="D3639" s="3386"/>
      <c r="E3639" s="1086" t="str">
        <f>G634</f>
        <v>Each Sqm</v>
      </c>
      <c r="F3639" s="1086"/>
      <c r="G3639" s="987"/>
      <c r="J3639" s="1091"/>
      <c r="K3639" s="1091"/>
    </row>
    <row r="3640" spans="1:12">
      <c r="A3640" s="836" t="str">
        <f>A635</f>
        <v>(i)</v>
      </c>
      <c r="B3640" s="723" t="str">
        <f>B635</f>
        <v>Ground Floor</v>
      </c>
      <c r="E3640" s="1089" t="str">
        <f>G610</f>
        <v>Each Sqm</v>
      </c>
      <c r="F3640" s="1089"/>
      <c r="G3640" s="987"/>
      <c r="J3640" s="726"/>
      <c r="K3640" s="726"/>
    </row>
    <row r="3641" spans="1:12">
      <c r="B3641" s="723" t="s">
        <v>964</v>
      </c>
      <c r="G3641" s="987"/>
      <c r="J3641" s="726"/>
      <c r="K3641" s="726"/>
    </row>
    <row r="3642" spans="1:12">
      <c r="B3642" s="723" t="s">
        <v>954</v>
      </c>
      <c r="G3642" s="987"/>
      <c r="J3642" s="726"/>
      <c r="K3642" s="726"/>
    </row>
    <row r="3643" spans="1:12">
      <c r="B3643" s="722" t="s">
        <v>1237</v>
      </c>
      <c r="G3643" s="987">
        <v>0.54</v>
      </c>
      <c r="H3643" s="722" t="s">
        <v>262</v>
      </c>
      <c r="I3643" s="724" t="s">
        <v>38</v>
      </c>
      <c r="J3643" s="726">
        <f>L132</f>
        <v>284.3</v>
      </c>
      <c r="K3643" s="726">
        <f>ROUND(G3643*J3643,2)</f>
        <v>153.52000000000001</v>
      </c>
    </row>
    <row r="3644" spans="1:12">
      <c r="B3644" s="722" t="s">
        <v>717</v>
      </c>
      <c r="G3644" s="987">
        <v>0.64</v>
      </c>
      <c r="H3644" s="722" t="s">
        <v>262</v>
      </c>
      <c r="I3644" s="724" t="s">
        <v>38</v>
      </c>
      <c r="J3644" s="726">
        <f>L129</f>
        <v>182</v>
      </c>
      <c r="K3644" s="726">
        <f>ROUND(G3644*J3644,2)</f>
        <v>116.48</v>
      </c>
    </row>
    <row r="3645" spans="1:12">
      <c r="G3645" s="987"/>
      <c r="J3645" s="726" t="s">
        <v>718</v>
      </c>
      <c r="K3645" s="726">
        <f>SUM(K3643:K3644)</f>
        <v>270</v>
      </c>
    </row>
    <row r="3646" spans="1:12">
      <c r="B3646" s="723"/>
      <c r="G3646" s="987"/>
      <c r="J3646" s="726"/>
      <c r="K3646" s="726"/>
    </row>
    <row r="3647" spans="1:12">
      <c r="B3647" s="723" t="s">
        <v>1234</v>
      </c>
      <c r="G3647" s="987"/>
      <c r="J3647" s="726"/>
      <c r="K3647" s="726">
        <f>ROUND(K3645*2%,2)</f>
        <v>5.4</v>
      </c>
    </row>
    <row r="3648" spans="1:12">
      <c r="B3648" s="722" t="s">
        <v>967</v>
      </c>
      <c r="G3648" s="987"/>
      <c r="J3648" s="726"/>
      <c r="K3648" s="726">
        <f>K3645+K3646+K3647</f>
        <v>275.39999999999998</v>
      </c>
    </row>
    <row r="3649" spans="1:17">
      <c r="B3649" s="722" t="s">
        <v>1235</v>
      </c>
      <c r="G3649" s="987"/>
      <c r="J3649" s="726"/>
      <c r="K3649" s="726">
        <f>ROUND(K3648/10,2)</f>
        <v>27.54</v>
      </c>
    </row>
    <row r="3650" spans="1:17">
      <c r="G3650" s="987"/>
      <c r="J3650" s="726"/>
      <c r="K3650" s="726"/>
      <c r="Q3650" s="726"/>
    </row>
    <row r="3651" spans="1:17">
      <c r="B3651" s="722" t="s">
        <v>1240</v>
      </c>
      <c r="G3651" s="987">
        <v>0.125</v>
      </c>
      <c r="H3651" s="722" t="s">
        <v>294</v>
      </c>
      <c r="I3651" s="724" t="s">
        <v>294</v>
      </c>
      <c r="J3651" s="726">
        <f>L87</f>
        <v>249.57786999999999</v>
      </c>
      <c r="K3651" s="726">
        <f>ROUND(G3651*J3651,2)</f>
        <v>31.2</v>
      </c>
      <c r="Q3651" s="726">
        <f>M165</f>
        <v>1900</v>
      </c>
    </row>
    <row r="3652" spans="1:17">
      <c r="G3652" s="987"/>
      <c r="J3652" s="827" t="s">
        <v>718</v>
      </c>
      <c r="K3652" s="1091">
        <f>K3649+K3651+K3650</f>
        <v>58.739999999999995</v>
      </c>
      <c r="L3652" s="723" t="s">
        <v>730</v>
      </c>
    </row>
    <row r="3653" spans="1:17">
      <c r="A3653" s="836" t="str">
        <f>A636</f>
        <v>(ii)</v>
      </c>
      <c r="B3653" s="723" t="str">
        <f>B636</f>
        <v>First Floor</v>
      </c>
      <c r="E3653" s="1089" t="str">
        <f>E3640</f>
        <v>Each Sqm</v>
      </c>
      <c r="F3653" s="1089"/>
      <c r="G3653" s="987"/>
      <c r="J3653" s="726"/>
      <c r="K3653" s="726"/>
    </row>
    <row r="3654" spans="1:17">
      <c r="B3654" s="722" t="s">
        <v>722</v>
      </c>
      <c r="G3654" s="987"/>
      <c r="J3654" s="726"/>
      <c r="K3654" s="726">
        <f>K3652</f>
        <v>58.739999999999995</v>
      </c>
    </row>
    <row r="3655" spans="1:17">
      <c r="B3655" s="722" t="s">
        <v>723</v>
      </c>
      <c r="G3655" s="987"/>
      <c r="J3655" s="726"/>
      <c r="K3655" s="726">
        <f>ROUND(K3645/10*5%,2)</f>
        <v>1.35</v>
      </c>
    </row>
    <row r="3656" spans="1:17">
      <c r="G3656" s="987"/>
      <c r="J3656" s="827" t="s">
        <v>718</v>
      </c>
      <c r="K3656" s="1091">
        <f>SUM(K3654:K3655)</f>
        <v>60.089999999999996</v>
      </c>
      <c r="L3656" s="723" t="s">
        <v>730</v>
      </c>
    </row>
    <row r="3657" spans="1:17" ht="60.75" customHeight="1">
      <c r="A3657" s="836">
        <f>A637</f>
        <v>110</v>
      </c>
      <c r="B3657" s="3386" t="str">
        <f>B637</f>
        <v>Painting two coats with approved weather seal paints of approved colour, shade on wall surface over a coat of wall primer including sand papering, polishing the surface,  etc, complete as per specification &amp; direction of Engineer-in-charge.</v>
      </c>
      <c r="C3657" s="3386"/>
      <c r="D3657" s="3386"/>
      <c r="E3657" s="1086" t="str">
        <f>G637</f>
        <v>Each Sqm</v>
      </c>
      <c r="F3657" s="1086"/>
      <c r="G3657" s="987"/>
      <c r="J3657" s="1091"/>
      <c r="K3657" s="1091"/>
    </row>
    <row r="3658" spans="1:17">
      <c r="A3658" s="836" t="str">
        <f>A638</f>
        <v>(i)</v>
      </c>
      <c r="B3658" s="723" t="str">
        <f>B638</f>
        <v>Ground Floor</v>
      </c>
      <c r="E3658" s="1089" t="str">
        <f>G638</f>
        <v>Each Sqm</v>
      </c>
      <c r="F3658" s="1089"/>
      <c r="G3658" s="987"/>
      <c r="J3658" s="726"/>
      <c r="K3658" s="726"/>
    </row>
    <row r="3659" spans="1:17">
      <c r="B3659" s="723" t="s">
        <v>964</v>
      </c>
      <c r="G3659" s="987"/>
      <c r="J3659" s="726"/>
      <c r="K3659" s="726"/>
    </row>
    <row r="3660" spans="1:17">
      <c r="B3660" s="723" t="s">
        <v>954</v>
      </c>
      <c r="G3660" s="987"/>
      <c r="J3660" s="726"/>
      <c r="K3660" s="726"/>
    </row>
    <row r="3661" spans="1:17">
      <c r="B3661" s="722" t="s">
        <v>1237</v>
      </c>
      <c r="G3661" s="987">
        <v>1.077</v>
      </c>
      <c r="H3661" s="722" t="s">
        <v>262</v>
      </c>
      <c r="I3661" s="724" t="s">
        <v>38</v>
      </c>
      <c r="J3661" s="726">
        <f>L132</f>
        <v>284.3</v>
      </c>
      <c r="K3661" s="726">
        <f>ROUND(G3661*J3661,2)</f>
        <v>306.19</v>
      </c>
    </row>
    <row r="3662" spans="1:17">
      <c r="B3662" s="722" t="s">
        <v>717</v>
      </c>
      <c r="G3662" s="987">
        <v>1.177</v>
      </c>
      <c r="H3662" s="722" t="s">
        <v>262</v>
      </c>
      <c r="I3662" s="724" t="s">
        <v>38</v>
      </c>
      <c r="J3662" s="726">
        <f>L129</f>
        <v>182</v>
      </c>
      <c r="K3662" s="726">
        <f>ROUND(G3662*J3662,2)</f>
        <v>214.21</v>
      </c>
    </row>
    <row r="3663" spans="1:17">
      <c r="G3663" s="987"/>
      <c r="J3663" s="726" t="s">
        <v>718</v>
      </c>
      <c r="K3663" s="726">
        <f>SUM(K3661:K3662)</f>
        <v>520.4</v>
      </c>
    </row>
    <row r="3664" spans="1:17">
      <c r="B3664" s="723"/>
      <c r="G3664" s="987"/>
      <c r="J3664" s="726"/>
      <c r="K3664" s="726"/>
    </row>
    <row r="3665" spans="1:17">
      <c r="B3665" s="723" t="s">
        <v>1234</v>
      </c>
      <c r="G3665" s="987"/>
      <c r="J3665" s="726"/>
      <c r="K3665" s="726">
        <f>ROUND(K3663*2%,2)</f>
        <v>10.41</v>
      </c>
    </row>
    <row r="3666" spans="1:17">
      <c r="B3666" s="722" t="s">
        <v>967</v>
      </c>
      <c r="G3666" s="987"/>
      <c r="J3666" s="726"/>
      <c r="K3666" s="726">
        <f>K3663+K3664+K3665</f>
        <v>530.80999999999995</v>
      </c>
    </row>
    <row r="3667" spans="1:17">
      <c r="B3667" s="722" t="s">
        <v>1235</v>
      </c>
      <c r="G3667" s="987"/>
      <c r="J3667" s="726"/>
      <c r="K3667" s="726">
        <f>ROUND(K3666/10,2)</f>
        <v>53.08</v>
      </c>
    </row>
    <row r="3668" spans="1:17">
      <c r="B3668" s="722" t="s">
        <v>1241</v>
      </c>
      <c r="G3668" s="987">
        <v>8.4000000000000005E-2</v>
      </c>
      <c r="H3668" s="722" t="s">
        <v>294</v>
      </c>
      <c r="I3668" s="724" t="s">
        <v>294</v>
      </c>
      <c r="J3668" s="726">
        <f>L89</f>
        <v>203.80787000000001</v>
      </c>
      <c r="K3668" s="726">
        <f>ROUND(G3668*J3668,2)</f>
        <v>17.12</v>
      </c>
      <c r="Q3668" s="726">
        <f>M182</f>
        <v>159.03</v>
      </c>
    </row>
    <row r="3669" spans="1:17">
      <c r="B3669" s="722" t="s">
        <v>1240</v>
      </c>
      <c r="G3669" s="987">
        <v>0.125</v>
      </c>
      <c r="H3669" s="722" t="s">
        <v>294</v>
      </c>
      <c r="I3669" s="724" t="s">
        <v>294</v>
      </c>
      <c r="J3669" s="726">
        <f>L87</f>
        <v>249.57786999999999</v>
      </c>
      <c r="K3669" s="726">
        <f>ROUND(G3669*J3669,2)</f>
        <v>31.2</v>
      </c>
      <c r="Q3669" s="726">
        <f>M184</f>
        <v>24.19</v>
      </c>
    </row>
    <row r="3670" spans="1:17">
      <c r="G3670" s="987"/>
      <c r="J3670" s="827" t="s">
        <v>718</v>
      </c>
      <c r="K3670" s="1091">
        <f>K3667+K3669+K3668</f>
        <v>101.4</v>
      </c>
      <c r="L3670" s="723" t="s">
        <v>730</v>
      </c>
    </row>
    <row r="3671" spans="1:17">
      <c r="A3671" s="836" t="str">
        <f>A3635</f>
        <v>(ii)</v>
      </c>
      <c r="B3671" s="723" t="str">
        <f>B3635</f>
        <v>1st Floor</v>
      </c>
      <c r="E3671" s="1089" t="str">
        <f>E3658</f>
        <v>Each Sqm</v>
      </c>
      <c r="F3671" s="1089"/>
      <c r="G3671" s="987"/>
      <c r="J3671" s="726"/>
      <c r="K3671" s="726"/>
    </row>
    <row r="3672" spans="1:17">
      <c r="B3672" s="722" t="s">
        <v>722</v>
      </c>
      <c r="G3672" s="987"/>
      <c r="J3672" s="726"/>
      <c r="K3672" s="726">
        <f>K3670</f>
        <v>101.4</v>
      </c>
    </row>
    <row r="3673" spans="1:17">
      <c r="B3673" s="722" t="s">
        <v>723</v>
      </c>
      <c r="G3673" s="987"/>
      <c r="J3673" s="726"/>
      <c r="K3673" s="726">
        <f>ROUND(K3663/10*5%,2)</f>
        <v>2.6</v>
      </c>
    </row>
    <row r="3674" spans="1:17">
      <c r="G3674" s="987"/>
      <c r="J3674" s="827" t="s">
        <v>718</v>
      </c>
      <c r="K3674" s="1091">
        <f>SUM(K3672:K3673)</f>
        <v>104</v>
      </c>
      <c r="L3674" s="723" t="s">
        <v>730</v>
      </c>
    </row>
    <row r="3675" spans="1:17" ht="99" customHeight="1">
      <c r="A3675" s="836">
        <f>A640</f>
        <v>111</v>
      </c>
      <c r="B3675" s="3386" t="str">
        <f>B640</f>
        <v xml:space="preserve">Finishing plastered surfaces with Plaster of Paris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v>
      </c>
      <c r="C3675" s="3386"/>
      <c r="D3675" s="3386"/>
      <c r="E3675" s="1086" t="str">
        <f>G640</f>
        <v>Each Sqm</v>
      </c>
      <c r="F3675" s="1086"/>
      <c r="G3675" s="987"/>
      <c r="J3675" s="1091"/>
      <c r="K3675" s="1091"/>
    </row>
    <row r="3676" spans="1:17">
      <c r="A3676" s="836" t="str">
        <f>A641</f>
        <v>(i)</v>
      </c>
      <c r="B3676" s="723" t="str">
        <f>B641</f>
        <v>Ground Floor</v>
      </c>
      <c r="E3676" s="1089" t="str">
        <f>G627</f>
        <v>Each Sqm</v>
      </c>
      <c r="F3676" s="1089"/>
      <c r="G3676" s="987"/>
      <c r="J3676" s="726"/>
      <c r="K3676" s="726"/>
    </row>
    <row r="3677" spans="1:17">
      <c r="B3677" s="723" t="s">
        <v>1242</v>
      </c>
      <c r="G3677" s="987"/>
      <c r="J3677" s="726"/>
      <c r="K3677" s="726"/>
    </row>
    <row r="3678" spans="1:17">
      <c r="B3678" s="723" t="s">
        <v>822</v>
      </c>
      <c r="G3678" s="987"/>
      <c r="J3678" s="726"/>
      <c r="K3678" s="726"/>
    </row>
    <row r="3679" spans="1:17">
      <c r="B3679" s="722" t="s">
        <v>118</v>
      </c>
      <c r="G3679" s="987">
        <v>8</v>
      </c>
      <c r="H3679" s="722" t="s">
        <v>95</v>
      </c>
      <c r="I3679" s="724" t="s">
        <v>95</v>
      </c>
      <c r="J3679" s="726">
        <f>L86</f>
        <v>20.577870000000001</v>
      </c>
      <c r="K3679" s="726">
        <f>ROUND(G3679*J3679,2)</f>
        <v>164.62</v>
      </c>
    </row>
    <row r="3680" spans="1:17">
      <c r="B3680" s="723" t="s">
        <v>904</v>
      </c>
      <c r="G3680" s="987"/>
      <c r="J3680" s="726"/>
      <c r="K3680" s="726"/>
    </row>
    <row r="3681" spans="1:17">
      <c r="B3681" s="722" t="s">
        <v>1243</v>
      </c>
      <c r="G3681" s="987">
        <v>0.5</v>
      </c>
      <c r="H3681" s="722" t="s">
        <v>262</v>
      </c>
      <c r="I3681" s="724" t="s">
        <v>38</v>
      </c>
      <c r="J3681" s="726">
        <f>L131</f>
        <v>264.3</v>
      </c>
      <c r="K3681" s="726">
        <f>ROUND(G3681*J3681,2)</f>
        <v>132.15</v>
      </c>
    </row>
    <row r="3682" spans="1:17">
      <c r="B3682" s="722" t="s">
        <v>717</v>
      </c>
      <c r="G3682" s="987">
        <v>0.56999999999999995</v>
      </c>
      <c r="H3682" s="722" t="s">
        <v>262</v>
      </c>
      <c r="I3682" s="724" t="s">
        <v>38</v>
      </c>
      <c r="J3682" s="726">
        <f>L129</f>
        <v>182</v>
      </c>
      <c r="K3682" s="726">
        <f>ROUND(G3682*J3682,2)</f>
        <v>103.74</v>
      </c>
    </row>
    <row r="3683" spans="1:17">
      <c r="G3683" s="987"/>
      <c r="J3683" s="726" t="s">
        <v>718</v>
      </c>
      <c r="K3683" s="726">
        <f>SUM(K3681:K3682)</f>
        <v>235.89</v>
      </c>
    </row>
    <row r="3684" spans="1:17">
      <c r="B3684" s="723" t="s">
        <v>760</v>
      </c>
      <c r="G3684" s="987"/>
      <c r="J3684" s="726"/>
      <c r="K3684" s="726">
        <f>K3679+K3683</f>
        <v>400.51</v>
      </c>
    </row>
    <row r="3685" spans="1:17">
      <c r="B3685" s="723"/>
      <c r="G3685" s="987"/>
      <c r="J3685" s="726"/>
      <c r="K3685" s="726"/>
    </row>
    <row r="3686" spans="1:17">
      <c r="B3686" s="722" t="s">
        <v>1244</v>
      </c>
      <c r="G3686" s="987"/>
      <c r="J3686" s="726"/>
      <c r="K3686" s="726">
        <f>K3684+K3685</f>
        <v>400.51</v>
      </c>
    </row>
    <row r="3687" spans="1:17">
      <c r="B3687" s="722" t="s">
        <v>1245</v>
      </c>
      <c r="G3687" s="987"/>
      <c r="J3687" s="726"/>
      <c r="K3687" s="1091">
        <f>ROUND(K3686/10,2)</f>
        <v>40.049999999999997</v>
      </c>
      <c r="L3687" s="723" t="s">
        <v>730</v>
      </c>
    </row>
    <row r="3688" spans="1:17">
      <c r="A3688" s="836" t="str">
        <f>A642</f>
        <v>(ii)</v>
      </c>
      <c r="B3688" s="723" t="str">
        <f>B642</f>
        <v>First Floor</v>
      </c>
      <c r="E3688" s="1089" t="str">
        <f>G628</f>
        <v>Each Sqm</v>
      </c>
      <c r="F3688" s="1089"/>
      <c r="G3688" s="987"/>
      <c r="J3688" s="726"/>
      <c r="K3688" s="726"/>
    </row>
    <row r="3689" spans="1:17">
      <c r="B3689" s="722" t="s">
        <v>722</v>
      </c>
      <c r="G3689" s="987"/>
      <c r="J3689" s="726"/>
      <c r="K3689" s="726">
        <f>K3687</f>
        <v>40.049999999999997</v>
      </c>
    </row>
    <row r="3690" spans="1:17">
      <c r="B3690" s="722" t="s">
        <v>948</v>
      </c>
      <c r="G3690" s="987"/>
      <c r="J3690" s="726"/>
      <c r="K3690" s="726">
        <f>ROUND(K3683/10*3%,2)</f>
        <v>0.71</v>
      </c>
    </row>
    <row r="3691" spans="1:17">
      <c r="G3691" s="987"/>
      <c r="J3691" s="827" t="s">
        <v>718</v>
      </c>
      <c r="K3691" s="1091">
        <f>SUM(K3689:K3690)</f>
        <v>40.76</v>
      </c>
      <c r="L3691" s="723" t="s">
        <v>730</v>
      </c>
    </row>
    <row r="3692" spans="1:17" ht="99" customHeight="1">
      <c r="A3692" s="836">
        <f>A643</f>
        <v>112</v>
      </c>
      <c r="B3692" s="3386" t="str">
        <f>B643</f>
        <v xml:space="preserve">Finishing plastered surfaces with cement putty (water based) of approved make and finishing the surface smooth and even by sand papering to receive paint in walls, at all heights with staging wherever necessary with cost, conveyance, taxes of all materials, cost of all labour, all T&amp;P etc. required for the work complete in all respect as per the direction of the Engineer-in-charge. </v>
      </c>
      <c r="C3692" s="3386"/>
      <c r="D3692" s="3386"/>
      <c r="E3692" s="1086" t="str">
        <f>G643</f>
        <v>Each Sqm</v>
      </c>
      <c r="F3692" s="1086"/>
      <c r="G3692" s="987"/>
      <c r="J3692" s="1091"/>
      <c r="K3692" s="1091"/>
      <c r="Q3692" s="723" t="s">
        <v>1246</v>
      </c>
    </row>
    <row r="3693" spans="1:17">
      <c r="A3693" s="836" t="str">
        <f>A644</f>
        <v>(i)</v>
      </c>
      <c r="B3693" s="723" t="str">
        <f>B644</f>
        <v>Ground Floor</v>
      </c>
      <c r="E3693" s="1089" t="str">
        <f>G644</f>
        <v>Each Sqm</v>
      </c>
      <c r="F3693" s="1089"/>
      <c r="G3693" s="987"/>
      <c r="J3693" s="726"/>
      <c r="K3693" s="726"/>
    </row>
    <row r="3694" spans="1:17">
      <c r="B3694" s="723" t="s">
        <v>1242</v>
      </c>
      <c r="G3694" s="987"/>
      <c r="J3694" s="726"/>
      <c r="K3694" s="726"/>
    </row>
    <row r="3695" spans="1:17">
      <c r="B3695" s="723" t="s">
        <v>822</v>
      </c>
      <c r="G3695" s="987"/>
      <c r="J3695" s="726"/>
      <c r="K3695" s="726"/>
    </row>
    <row r="3696" spans="1:17">
      <c r="B3696" s="722" t="s">
        <v>1247</v>
      </c>
      <c r="G3696" s="987">
        <v>8</v>
      </c>
      <c r="H3696" s="722" t="s">
        <v>95</v>
      </c>
      <c r="I3696" s="724" t="s">
        <v>95</v>
      </c>
      <c r="J3696" s="1112">
        <f>M183</f>
        <v>40</v>
      </c>
      <c r="K3696" s="726">
        <f>ROUND(G3696*J3696,2)</f>
        <v>320</v>
      </c>
    </row>
    <row r="3697" spans="1:12">
      <c r="B3697" s="723" t="s">
        <v>904</v>
      </c>
      <c r="G3697" s="987"/>
      <c r="J3697" s="726"/>
      <c r="K3697" s="726"/>
    </row>
    <row r="3698" spans="1:12">
      <c r="B3698" s="722" t="s">
        <v>1243</v>
      </c>
      <c r="G3698" s="987">
        <v>0.5</v>
      </c>
      <c r="H3698" s="722" t="s">
        <v>262</v>
      </c>
      <c r="I3698" s="724" t="s">
        <v>38</v>
      </c>
      <c r="J3698" s="726">
        <f>L131</f>
        <v>264.3</v>
      </c>
      <c r="K3698" s="726">
        <f>ROUND(G3698*J3698,2)</f>
        <v>132.15</v>
      </c>
    </row>
    <row r="3699" spans="1:12">
      <c r="B3699" s="722" t="s">
        <v>717</v>
      </c>
      <c r="G3699" s="987">
        <v>0.56999999999999995</v>
      </c>
      <c r="H3699" s="722" t="s">
        <v>262</v>
      </c>
      <c r="I3699" s="724" t="s">
        <v>38</v>
      </c>
      <c r="J3699" s="726">
        <f>L129</f>
        <v>182</v>
      </c>
      <c r="K3699" s="726">
        <f>ROUND(G3699*J3699,2)</f>
        <v>103.74</v>
      </c>
    </row>
    <row r="3700" spans="1:12">
      <c r="G3700" s="987"/>
      <c r="J3700" s="1091" t="s">
        <v>718</v>
      </c>
      <c r="K3700" s="1091">
        <f>SUM(K3698:K3699)</f>
        <v>235.89</v>
      </c>
    </row>
    <row r="3701" spans="1:12">
      <c r="B3701" s="723" t="s">
        <v>760</v>
      </c>
      <c r="G3701" s="987"/>
      <c r="J3701" s="726"/>
      <c r="K3701" s="1091">
        <f>K3696+K3700</f>
        <v>555.89</v>
      </c>
    </row>
    <row r="3702" spans="1:12">
      <c r="B3702" s="723"/>
      <c r="G3702" s="987"/>
      <c r="J3702" s="726"/>
      <c r="K3702" s="726"/>
    </row>
    <row r="3703" spans="1:12">
      <c r="B3703" s="723" t="s">
        <v>1244</v>
      </c>
      <c r="G3703" s="987"/>
      <c r="J3703" s="726"/>
      <c r="K3703" s="726">
        <f>K3701+K3702</f>
        <v>555.89</v>
      </c>
    </row>
    <row r="3704" spans="1:12">
      <c r="B3704" s="723" t="s">
        <v>1245</v>
      </c>
      <c r="G3704" s="987"/>
      <c r="J3704" s="726"/>
      <c r="K3704" s="1091">
        <f>ROUND(K3703/10,2)</f>
        <v>55.59</v>
      </c>
      <c r="L3704" s="723" t="s">
        <v>730</v>
      </c>
    </row>
    <row r="3705" spans="1:12">
      <c r="A3705" s="836" t="str">
        <f>A645</f>
        <v>(ii)</v>
      </c>
      <c r="B3705" s="723" t="str">
        <f>B645</f>
        <v>First Floor</v>
      </c>
      <c r="E3705" s="1089" t="str">
        <f>G645</f>
        <v>Each Sqm</v>
      </c>
      <c r="F3705" s="1089"/>
      <c r="G3705" s="987"/>
      <c r="J3705" s="726"/>
      <c r="K3705" s="726"/>
    </row>
    <row r="3706" spans="1:12">
      <c r="B3706" s="722" t="s">
        <v>722</v>
      </c>
      <c r="G3706" s="987"/>
      <c r="J3706" s="726"/>
      <c r="K3706" s="726">
        <f>K3704</f>
        <v>55.59</v>
      </c>
    </row>
    <row r="3707" spans="1:12">
      <c r="B3707" s="722" t="s">
        <v>948</v>
      </c>
      <c r="G3707" s="987"/>
      <c r="J3707" s="726"/>
      <c r="K3707" s="726">
        <f>ROUND(K3700/10*3%,2)</f>
        <v>0.71</v>
      </c>
    </row>
    <row r="3708" spans="1:12">
      <c r="G3708" s="987"/>
      <c r="J3708" s="827" t="s">
        <v>718</v>
      </c>
      <c r="K3708" s="1091">
        <f>SUM(K3706:K3707)</f>
        <v>56.300000000000004</v>
      </c>
      <c r="L3708" s="723" t="s">
        <v>730</v>
      </c>
    </row>
    <row r="3709" spans="1:12" ht="98.25" customHeight="1">
      <c r="A3709" s="836">
        <f>A646</f>
        <v>113</v>
      </c>
      <c r="B3709" s="3386" t="str">
        <f>B646</f>
        <v xml:space="preserve">Painting two coats with plastic emulsion paint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v>
      </c>
      <c r="C3709" s="3386"/>
      <c r="D3709" s="3386"/>
      <c r="E3709" s="1086" t="str">
        <f>G646</f>
        <v>Each Sqm</v>
      </c>
      <c r="F3709" s="1086"/>
      <c r="G3709" s="987"/>
      <c r="J3709" s="1091"/>
      <c r="K3709" s="1091"/>
    </row>
    <row r="3710" spans="1:12">
      <c r="A3710" s="836" t="str">
        <f>A629</f>
        <v>(i)</v>
      </c>
      <c r="B3710" s="723" t="str">
        <f>B629</f>
        <v>Ground Floor</v>
      </c>
      <c r="E3710" s="1089" t="str">
        <f>G629</f>
        <v>Each Sqm</v>
      </c>
      <c r="F3710" s="1089"/>
      <c r="G3710" s="987"/>
      <c r="J3710" s="726"/>
      <c r="K3710" s="726"/>
    </row>
    <row r="3711" spans="1:12">
      <c r="B3711" s="723" t="s">
        <v>964</v>
      </c>
      <c r="G3711" s="987"/>
      <c r="J3711" s="726"/>
      <c r="K3711" s="726"/>
    </row>
    <row r="3712" spans="1:12">
      <c r="B3712" s="723" t="s">
        <v>954</v>
      </c>
      <c r="G3712" s="987"/>
      <c r="J3712" s="726"/>
      <c r="K3712" s="726"/>
    </row>
    <row r="3713" spans="1:12">
      <c r="B3713" s="722" t="s">
        <v>1237</v>
      </c>
      <c r="G3713" s="987">
        <v>0.54</v>
      </c>
      <c r="H3713" s="722" t="s">
        <v>262</v>
      </c>
      <c r="I3713" s="724" t="s">
        <v>38</v>
      </c>
      <c r="J3713" s="726">
        <f>L132</f>
        <v>284.3</v>
      </c>
      <c r="K3713" s="726">
        <f>ROUND(G3713*J3713,2)</f>
        <v>153.52000000000001</v>
      </c>
    </row>
    <row r="3714" spans="1:12">
      <c r="B3714" s="722" t="s">
        <v>717</v>
      </c>
      <c r="G3714" s="987">
        <v>0.64</v>
      </c>
      <c r="H3714" s="722" t="s">
        <v>262</v>
      </c>
      <c r="I3714" s="724" t="s">
        <v>38</v>
      </c>
      <c r="J3714" s="726">
        <f>L129</f>
        <v>182</v>
      </c>
      <c r="K3714" s="726">
        <f>ROUND(G3714*J3714,2)</f>
        <v>116.48</v>
      </c>
    </row>
    <row r="3715" spans="1:12">
      <c r="G3715" s="987"/>
      <c r="J3715" s="726" t="s">
        <v>718</v>
      </c>
      <c r="K3715" s="726">
        <f>SUM(K3713:K3714)</f>
        <v>270</v>
      </c>
    </row>
    <row r="3716" spans="1:12">
      <c r="B3716" s="723"/>
      <c r="G3716" s="987"/>
      <c r="J3716" s="726"/>
      <c r="K3716" s="726"/>
    </row>
    <row r="3717" spans="1:12">
      <c r="B3717" s="723" t="s">
        <v>1234</v>
      </c>
      <c r="G3717" s="987"/>
      <c r="J3717" s="726"/>
      <c r="K3717" s="726">
        <f>ROUND(K3715*2%,2)</f>
        <v>5.4</v>
      </c>
    </row>
    <row r="3718" spans="1:12">
      <c r="B3718" s="722" t="s">
        <v>967</v>
      </c>
      <c r="G3718" s="987"/>
      <c r="J3718" s="726"/>
      <c r="K3718" s="726">
        <f>K3715+K3716+K3717</f>
        <v>275.39999999999998</v>
      </c>
    </row>
    <row r="3719" spans="1:12">
      <c r="B3719" s="722" t="s">
        <v>1235</v>
      </c>
      <c r="G3719" s="987"/>
      <c r="J3719" s="726"/>
      <c r="K3719" s="726">
        <f>ROUND(K3718/10,2)</f>
        <v>27.54</v>
      </c>
    </row>
    <row r="3720" spans="1:12">
      <c r="G3720" s="987"/>
      <c r="J3720" s="726"/>
      <c r="K3720" s="726"/>
    </row>
    <row r="3721" spans="1:12">
      <c r="B3721" s="722" t="s">
        <v>1248</v>
      </c>
      <c r="G3721" s="987">
        <v>0.125</v>
      </c>
      <c r="H3721" s="722" t="s">
        <v>294</v>
      </c>
      <c r="I3721" s="724" t="s">
        <v>294</v>
      </c>
      <c r="J3721" s="726">
        <f>L84</f>
        <v>319.40786999999995</v>
      </c>
      <c r="K3721" s="726">
        <f>ROUND(G3721*J3721,2)</f>
        <v>39.93</v>
      </c>
    </row>
    <row r="3722" spans="1:12">
      <c r="G3722" s="987"/>
      <c r="J3722" s="827" t="s">
        <v>718</v>
      </c>
      <c r="K3722" s="1091">
        <f>K3719+K3721+K3720</f>
        <v>67.47</v>
      </c>
      <c r="L3722" s="723" t="s">
        <v>730</v>
      </c>
    </row>
    <row r="3723" spans="1:12">
      <c r="A3723" s="836" t="str">
        <f>A630</f>
        <v>(ii)</v>
      </c>
      <c r="B3723" s="723" t="str">
        <f>B630</f>
        <v>First Floor</v>
      </c>
      <c r="E3723" s="1089" t="str">
        <f>G630</f>
        <v>Each Sqm</v>
      </c>
      <c r="F3723" s="1089"/>
      <c r="G3723" s="987"/>
      <c r="J3723" s="726"/>
      <c r="K3723" s="726"/>
    </row>
    <row r="3724" spans="1:12">
      <c r="B3724" s="722" t="s">
        <v>722</v>
      </c>
      <c r="G3724" s="987"/>
      <c r="J3724" s="726"/>
      <c r="K3724" s="726">
        <f>K3722</f>
        <v>67.47</v>
      </c>
    </row>
    <row r="3725" spans="1:12">
      <c r="B3725" s="722" t="s">
        <v>948</v>
      </c>
      <c r="G3725" s="987"/>
      <c r="J3725" s="726"/>
      <c r="K3725" s="726">
        <f>ROUND(K3715/10*3%,2)</f>
        <v>0.81</v>
      </c>
    </row>
    <row r="3726" spans="1:12">
      <c r="G3726" s="987"/>
      <c r="J3726" s="827" t="s">
        <v>718</v>
      </c>
      <c r="K3726" s="1091">
        <f>SUM(K3724:K3725)</f>
        <v>68.28</v>
      </c>
      <c r="L3726" s="723" t="s">
        <v>730</v>
      </c>
    </row>
    <row r="3727" spans="1:12" ht="109.5" customHeight="1">
      <c r="A3727" s="836">
        <f>A649</f>
        <v>114</v>
      </c>
      <c r="B3727" s="3386" t="str">
        <f>B649</f>
        <v xml:space="preserve">Painting two coats with plastic emulsion paint over a coat of water bond cement primer to make an even finished surface in all floors and heights to wall surface of approved make and shade including sand papering, applying putty wherever necessary &amp; cost of scaffolding, staging charges with cost, conveyance, taxes of all materials, cost of all labour, T&amp;P etc. complete as per the direction of the Engineer-in-charge. </v>
      </c>
      <c r="C3727" s="3386"/>
      <c r="D3727" s="3386"/>
      <c r="E3727" s="1086" t="str">
        <f>G649</f>
        <v>Each Sqm</v>
      </c>
      <c r="F3727" s="1086"/>
      <c r="G3727" s="987"/>
      <c r="J3727" s="1091"/>
      <c r="K3727" s="1091"/>
    </row>
    <row r="3728" spans="1:12">
      <c r="A3728" s="836" t="str">
        <f>A650</f>
        <v>(i)</v>
      </c>
      <c r="B3728" s="723" t="str">
        <f>B650</f>
        <v>Ground Floor</v>
      </c>
      <c r="E3728" s="1089" t="str">
        <f>G650</f>
        <v>Each Sqm</v>
      </c>
      <c r="F3728" s="1089"/>
      <c r="G3728" s="987"/>
      <c r="J3728" s="726"/>
      <c r="K3728" s="726"/>
    </row>
    <row r="3729" spans="1:12">
      <c r="B3729" s="723" t="s">
        <v>964</v>
      </c>
      <c r="G3729" s="987"/>
      <c r="J3729" s="726"/>
      <c r="K3729" s="726"/>
    </row>
    <row r="3730" spans="1:12">
      <c r="B3730" s="723" t="s">
        <v>954</v>
      </c>
      <c r="G3730" s="987"/>
      <c r="J3730" s="726"/>
      <c r="K3730" s="726"/>
    </row>
    <row r="3731" spans="1:12">
      <c r="B3731" s="722" t="s">
        <v>1237</v>
      </c>
      <c r="G3731" s="987">
        <v>1.077</v>
      </c>
      <c r="H3731" s="722" t="s">
        <v>262</v>
      </c>
      <c r="I3731" s="724" t="s">
        <v>38</v>
      </c>
      <c r="J3731" s="726">
        <f>L132</f>
        <v>284.3</v>
      </c>
      <c r="K3731" s="726">
        <f>ROUND(G3731*J3731,2)</f>
        <v>306.19</v>
      </c>
    </row>
    <row r="3732" spans="1:12">
      <c r="B3732" s="722" t="s">
        <v>717</v>
      </c>
      <c r="G3732" s="987">
        <v>1.177</v>
      </c>
      <c r="H3732" s="722" t="s">
        <v>262</v>
      </c>
      <c r="I3732" s="724" t="s">
        <v>38</v>
      </c>
      <c r="J3732" s="726">
        <f>L129</f>
        <v>182</v>
      </c>
      <c r="K3732" s="726">
        <f>ROUND(G3732*J3732,2)</f>
        <v>214.21</v>
      </c>
    </row>
    <row r="3733" spans="1:12">
      <c r="G3733" s="987"/>
      <c r="J3733" s="726" t="s">
        <v>718</v>
      </c>
      <c r="K3733" s="726">
        <f>SUM(K3731:K3732)</f>
        <v>520.4</v>
      </c>
    </row>
    <row r="3734" spans="1:12">
      <c r="B3734" s="723"/>
      <c r="G3734" s="987"/>
      <c r="J3734" s="726"/>
      <c r="K3734" s="726"/>
    </row>
    <row r="3735" spans="1:12">
      <c r="B3735" s="723" t="s">
        <v>1234</v>
      </c>
      <c r="G3735" s="987"/>
      <c r="J3735" s="726"/>
      <c r="K3735" s="726">
        <f>ROUND(K3733*2%,2)</f>
        <v>10.41</v>
      </c>
    </row>
    <row r="3736" spans="1:12">
      <c r="B3736" s="723" t="s">
        <v>967</v>
      </c>
      <c r="G3736" s="987"/>
      <c r="J3736" s="726"/>
      <c r="K3736" s="726">
        <f>K3733+K3734+K3735</f>
        <v>530.80999999999995</v>
      </c>
    </row>
    <row r="3737" spans="1:12">
      <c r="B3737" s="723" t="s">
        <v>1235</v>
      </c>
      <c r="G3737" s="987"/>
      <c r="J3737" s="726"/>
      <c r="K3737" s="726">
        <f>ROUND(K3736/10,2)</f>
        <v>53.08</v>
      </c>
    </row>
    <row r="3738" spans="1:12">
      <c r="B3738" s="722" t="s">
        <v>1241</v>
      </c>
      <c r="G3738" s="987">
        <v>8.4000000000000005E-2</v>
      </c>
      <c r="H3738" s="722" t="s">
        <v>294</v>
      </c>
      <c r="I3738" s="724" t="s">
        <v>294</v>
      </c>
      <c r="J3738" s="726">
        <f>L89</f>
        <v>203.80787000000001</v>
      </c>
      <c r="K3738" s="726">
        <f>ROUND(G3738*J3738,2)</f>
        <v>17.12</v>
      </c>
    </row>
    <row r="3739" spans="1:12">
      <c r="B3739" s="722" t="s">
        <v>1248</v>
      </c>
      <c r="G3739" s="987">
        <v>0.125</v>
      </c>
      <c r="H3739" s="722" t="s">
        <v>294</v>
      </c>
      <c r="I3739" s="724" t="s">
        <v>294</v>
      </c>
      <c r="J3739" s="726">
        <f>L84</f>
        <v>319.40786999999995</v>
      </c>
      <c r="K3739" s="726">
        <f>ROUND(G3739*J3739,2)</f>
        <v>39.93</v>
      </c>
    </row>
    <row r="3740" spans="1:12">
      <c r="G3740" s="987"/>
      <c r="J3740" s="827" t="s">
        <v>718</v>
      </c>
      <c r="K3740" s="1091">
        <f>K3737+K3739+K3738</f>
        <v>110.13</v>
      </c>
      <c r="L3740" s="723" t="s">
        <v>730</v>
      </c>
    </row>
    <row r="3741" spans="1:12">
      <c r="A3741" s="836" t="str">
        <f>A651</f>
        <v>(ii)</v>
      </c>
      <c r="B3741" s="723" t="str">
        <f>B651</f>
        <v>First Floor</v>
      </c>
      <c r="E3741" s="1089" t="str">
        <f>G651</f>
        <v>Each Sqm</v>
      </c>
      <c r="F3741" s="1089"/>
      <c r="G3741" s="987"/>
      <c r="J3741" s="726"/>
      <c r="K3741" s="726"/>
    </row>
    <row r="3742" spans="1:12">
      <c r="B3742" s="722" t="s">
        <v>722</v>
      </c>
      <c r="G3742" s="987"/>
      <c r="J3742" s="726"/>
      <c r="K3742" s="726">
        <f>K3740</f>
        <v>110.13</v>
      </c>
    </row>
    <row r="3743" spans="1:12">
      <c r="B3743" s="722" t="s">
        <v>948</v>
      </c>
      <c r="G3743" s="987"/>
      <c r="J3743" s="726"/>
      <c r="K3743" s="726">
        <f>ROUND(K3733/10*3%,2)</f>
        <v>1.56</v>
      </c>
    </row>
    <row r="3744" spans="1:12">
      <c r="G3744" s="987"/>
      <c r="J3744" s="827" t="s">
        <v>718</v>
      </c>
      <c r="K3744" s="1091">
        <f>SUM(K3742:K3743)</f>
        <v>111.69</v>
      </c>
      <c r="L3744" s="723" t="s">
        <v>730</v>
      </c>
    </row>
    <row r="3745" spans="1:17" ht="72.75" customHeight="1">
      <c r="A3745" s="836">
        <f>A652</f>
        <v>115</v>
      </c>
      <c r="B3745" s="3386" t="str">
        <f>B652</f>
        <v xml:space="preserve">Painting one coats with distemper  on old work to make an even finished surface in all floors and heights to wall surface of approved make and shade including sand papering, applying putty wherever necessary &amp; cost of scaffolding, staging charges  etc. complete as per the direction of the Engineer-in-charge. </v>
      </c>
      <c r="C3745" s="3386"/>
      <c r="D3745" s="3386"/>
      <c r="E3745" s="1086" t="str">
        <f>G652</f>
        <v>Each Sqm</v>
      </c>
      <c r="F3745" s="1086"/>
      <c r="G3745" s="987"/>
      <c r="J3745" s="1091"/>
      <c r="K3745" s="1091"/>
    </row>
    <row r="3746" spans="1:17">
      <c r="A3746" s="836" t="str">
        <f>A653</f>
        <v>(i)</v>
      </c>
      <c r="B3746" s="723" t="str">
        <f>B653</f>
        <v>Ground Floor</v>
      </c>
      <c r="E3746" s="1089" t="str">
        <f>G633</f>
        <v>Each Sqm</v>
      </c>
      <c r="F3746" s="1089"/>
      <c r="G3746" s="987"/>
      <c r="J3746" s="726"/>
      <c r="K3746" s="726"/>
    </row>
    <row r="3747" spans="1:17">
      <c r="A3747" s="722"/>
      <c r="B3747" s="723" t="s">
        <v>964</v>
      </c>
      <c r="G3747" s="987"/>
      <c r="H3747" s="1081"/>
      <c r="J3747" s="726"/>
      <c r="K3747" s="726"/>
      <c r="L3747" s="1087"/>
    </row>
    <row r="3748" spans="1:17">
      <c r="A3748" s="722"/>
      <c r="B3748" s="723" t="s">
        <v>954</v>
      </c>
      <c r="G3748" s="987"/>
      <c r="H3748" s="1081"/>
      <c r="J3748" s="726"/>
      <c r="K3748" s="726"/>
      <c r="L3748" s="1087"/>
    </row>
    <row r="3749" spans="1:17">
      <c r="A3749" s="722"/>
      <c r="B3749" s="722" t="s">
        <v>1237</v>
      </c>
      <c r="G3749" s="987">
        <v>0.33</v>
      </c>
      <c r="H3749" s="1081" t="s">
        <v>262</v>
      </c>
      <c r="I3749" s="724" t="s">
        <v>38</v>
      </c>
      <c r="J3749" s="726">
        <f>L132</f>
        <v>284.3</v>
      </c>
      <c r="K3749" s="726">
        <f>ROUND(G3749*J3749,2)</f>
        <v>93.82</v>
      </c>
      <c r="L3749" s="1087"/>
    </row>
    <row r="3750" spans="1:17">
      <c r="A3750" s="722"/>
      <c r="B3750" s="722" t="s">
        <v>717</v>
      </c>
      <c r="G3750" s="987">
        <v>0.4</v>
      </c>
      <c r="H3750" s="1081" t="s">
        <v>262</v>
      </c>
      <c r="I3750" s="724" t="s">
        <v>38</v>
      </c>
      <c r="J3750" s="726">
        <f>L129</f>
        <v>182</v>
      </c>
      <c r="K3750" s="726">
        <f>ROUND(G3750*J3750,2)</f>
        <v>72.8</v>
      </c>
      <c r="L3750" s="1087"/>
    </row>
    <row r="3751" spans="1:17">
      <c r="A3751" s="722"/>
      <c r="G3751" s="987"/>
      <c r="H3751" s="1081"/>
      <c r="J3751" s="827" t="s">
        <v>718</v>
      </c>
      <c r="K3751" s="1091">
        <f>SUM(K3749:K3750)</f>
        <v>166.62</v>
      </c>
      <c r="L3751" s="1087"/>
    </row>
    <row r="3752" spans="1:17">
      <c r="A3752" s="722"/>
      <c r="B3752" s="723"/>
      <c r="G3752" s="987"/>
      <c r="H3752" s="1081"/>
      <c r="J3752" s="726"/>
      <c r="K3752" s="1091"/>
      <c r="L3752" s="1087"/>
    </row>
    <row r="3753" spans="1:17">
      <c r="A3753" s="722"/>
      <c r="B3753" s="723" t="s">
        <v>1234</v>
      </c>
      <c r="G3753" s="987"/>
      <c r="H3753" s="1081"/>
      <c r="J3753" s="1096"/>
      <c r="K3753" s="1091">
        <f>ROUND(K3751*2%,2)</f>
        <v>3.33</v>
      </c>
      <c r="L3753" s="1087"/>
    </row>
    <row r="3754" spans="1:17">
      <c r="A3754" s="722"/>
      <c r="B3754" s="723" t="s">
        <v>967</v>
      </c>
      <c r="G3754" s="1105"/>
      <c r="H3754" s="1081"/>
      <c r="J3754" s="726"/>
      <c r="K3754" s="1091">
        <f>K3751+K3752+K3753</f>
        <v>169.95000000000002</v>
      </c>
      <c r="L3754" s="1087"/>
    </row>
    <row r="3755" spans="1:17">
      <c r="A3755" s="722"/>
      <c r="B3755" s="723" t="s">
        <v>1235</v>
      </c>
      <c r="G3755" s="1105"/>
      <c r="H3755" s="1081"/>
      <c r="J3755" s="726"/>
      <c r="K3755" s="1091">
        <f>ROUND(K3754/10,2)</f>
        <v>17</v>
      </c>
      <c r="L3755" s="1087"/>
    </row>
    <row r="3756" spans="1:17">
      <c r="B3756" s="723" t="s">
        <v>1249</v>
      </c>
      <c r="G3756" s="987">
        <v>0.16600000000000001</v>
      </c>
      <c r="H3756" s="1081" t="s">
        <v>95</v>
      </c>
      <c r="I3756" s="724" t="s">
        <v>95</v>
      </c>
      <c r="J3756" s="726">
        <f>L81</f>
        <v>89.977869999999996</v>
      </c>
      <c r="K3756" s="726">
        <f>ROUND(G3756*J3756,2)</f>
        <v>14.94</v>
      </c>
      <c r="L3756" s="1087"/>
      <c r="M3756" s="724"/>
      <c r="N3756" s="724"/>
      <c r="O3756" s="724"/>
      <c r="P3756" s="724"/>
      <c r="Q3756" s="726">
        <f>G168</f>
        <v>2</v>
      </c>
    </row>
    <row r="3757" spans="1:17">
      <c r="B3757" s="723" t="s">
        <v>1201</v>
      </c>
      <c r="G3757" s="987"/>
      <c r="H3757" s="1081"/>
      <c r="J3757" s="827" t="s">
        <v>718</v>
      </c>
      <c r="K3757" s="1091">
        <f>K3755+K3756</f>
        <v>31.939999999999998</v>
      </c>
      <c r="L3757" s="1087" t="s">
        <v>730</v>
      </c>
      <c r="M3757" s="724"/>
      <c r="N3757" s="724"/>
      <c r="O3757" s="724"/>
      <c r="P3757" s="724"/>
    </row>
    <row r="3758" spans="1:17">
      <c r="A3758" s="836" t="str">
        <f>A654</f>
        <v>(ii)</v>
      </c>
      <c r="B3758" s="723" t="str">
        <f>B654</f>
        <v>First Floor</v>
      </c>
      <c r="E3758" s="1089" t="str">
        <f>E3746</f>
        <v>Each Sqm</v>
      </c>
      <c r="F3758" s="1089"/>
      <c r="G3758" s="987"/>
      <c r="J3758" s="726"/>
      <c r="K3758" s="726"/>
    </row>
    <row r="3759" spans="1:17">
      <c r="B3759" s="722" t="s">
        <v>722</v>
      </c>
      <c r="G3759" s="987"/>
      <c r="J3759" s="726"/>
      <c r="K3759" s="726">
        <f>K3757</f>
        <v>31.939999999999998</v>
      </c>
    </row>
    <row r="3760" spans="1:17">
      <c r="B3760" s="722" t="s">
        <v>948</v>
      </c>
      <c r="G3760" s="987"/>
      <c r="J3760" s="726"/>
      <c r="K3760" s="726">
        <f>ROUND(K3751/10*3%,2)</f>
        <v>0.5</v>
      </c>
    </row>
    <row r="3761" spans="1:17">
      <c r="G3761" s="987"/>
      <c r="J3761" s="827" t="s">
        <v>718</v>
      </c>
      <c r="K3761" s="1091">
        <f>SUM(K3759:K3760)</f>
        <v>32.44</v>
      </c>
      <c r="L3761" s="723" t="s">
        <v>730</v>
      </c>
    </row>
    <row r="3762" spans="1:17" ht="84" customHeight="1">
      <c r="A3762" s="836">
        <f>A655</f>
        <v>116</v>
      </c>
      <c r="B3762" s="3386" t="str">
        <f>B655</f>
        <v xml:space="preserve">Painting two coats with distemper  on new work to make an even finished surface in all floors and heights to wall surface of approved make and shade including sand papering, applying putty wherever necessary &amp; cost of scaffolding, staging charges  etc. complete as per the direction of the Engineer-in-charge. </v>
      </c>
      <c r="C3762" s="3386"/>
      <c r="D3762" s="3386"/>
      <c r="E3762" s="1086" t="str">
        <f>G655</f>
        <v>Each Sqm</v>
      </c>
      <c r="F3762" s="1086"/>
      <c r="G3762" s="987"/>
      <c r="J3762" s="1091"/>
      <c r="K3762" s="1091"/>
    </row>
    <row r="3763" spans="1:17">
      <c r="A3763" s="836" t="str">
        <f>A656</f>
        <v>(i)</v>
      </c>
      <c r="B3763" s="723" t="str">
        <f>B656</f>
        <v>Ground Floor</v>
      </c>
      <c r="E3763" s="1089" t="str">
        <f>G656</f>
        <v>Each Sqm</v>
      </c>
      <c r="F3763" s="1089"/>
      <c r="G3763" s="987"/>
      <c r="J3763" s="726"/>
      <c r="K3763" s="726"/>
    </row>
    <row r="3764" spans="1:17">
      <c r="A3764" s="722"/>
      <c r="B3764" s="723" t="s">
        <v>964</v>
      </c>
      <c r="G3764" s="987"/>
      <c r="H3764" s="1081"/>
      <c r="J3764" s="726"/>
      <c r="K3764" s="726"/>
      <c r="L3764" s="1087"/>
    </row>
    <row r="3765" spans="1:17">
      <c r="A3765" s="722"/>
      <c r="B3765" s="723" t="s">
        <v>954</v>
      </c>
      <c r="G3765" s="987"/>
      <c r="H3765" s="1081"/>
      <c r="J3765" s="726"/>
      <c r="K3765" s="726"/>
      <c r="L3765" s="1087"/>
    </row>
    <row r="3766" spans="1:17">
      <c r="A3766" s="722"/>
      <c r="B3766" s="722" t="s">
        <v>1237</v>
      </c>
      <c r="G3766" s="987">
        <v>0.52</v>
      </c>
      <c r="H3766" s="1081" t="s">
        <v>262</v>
      </c>
      <c r="I3766" s="724" t="s">
        <v>38</v>
      </c>
      <c r="J3766" s="726">
        <f>L132</f>
        <v>284.3</v>
      </c>
      <c r="K3766" s="726">
        <f>ROUND(G3766*J3766,2)</f>
        <v>147.84</v>
      </c>
      <c r="L3766" s="1087"/>
    </row>
    <row r="3767" spans="1:17">
      <c r="A3767" s="722"/>
      <c r="B3767" s="722" t="s">
        <v>717</v>
      </c>
      <c r="G3767" s="987">
        <v>0.62</v>
      </c>
      <c r="H3767" s="1081" t="s">
        <v>262</v>
      </c>
      <c r="I3767" s="724" t="s">
        <v>38</v>
      </c>
      <c r="J3767" s="726">
        <f>L129</f>
        <v>182</v>
      </c>
      <c r="K3767" s="726">
        <f>ROUND(G3767*J3767,2)</f>
        <v>112.84</v>
      </c>
      <c r="L3767" s="1087"/>
    </row>
    <row r="3768" spans="1:17">
      <c r="A3768" s="722"/>
      <c r="G3768" s="987"/>
      <c r="H3768" s="1081"/>
      <c r="J3768" s="827" t="s">
        <v>718</v>
      </c>
      <c r="K3768" s="1091">
        <f>SUM(K3766:K3767)</f>
        <v>260.68</v>
      </c>
      <c r="L3768" s="1087"/>
    </row>
    <row r="3769" spans="1:17">
      <c r="A3769" s="722"/>
      <c r="B3769" s="723"/>
      <c r="G3769" s="987"/>
      <c r="H3769" s="1081"/>
      <c r="J3769" s="726"/>
      <c r="K3769" s="1091"/>
      <c r="L3769" s="1087"/>
    </row>
    <row r="3770" spans="1:17">
      <c r="A3770" s="722"/>
      <c r="B3770" s="723" t="s">
        <v>1234</v>
      </c>
      <c r="G3770" s="987"/>
      <c r="H3770" s="1081"/>
      <c r="J3770" s="1096"/>
      <c r="K3770" s="1091">
        <f>ROUND(K3768*2%,2)</f>
        <v>5.21</v>
      </c>
      <c r="L3770" s="1087"/>
    </row>
    <row r="3771" spans="1:17">
      <c r="A3771" s="722"/>
      <c r="B3771" s="723" t="s">
        <v>967</v>
      </c>
      <c r="G3771" s="1105"/>
      <c r="H3771" s="1081"/>
      <c r="J3771" s="726"/>
      <c r="K3771" s="1091">
        <f>K3768+K3769+K3770</f>
        <v>265.89</v>
      </c>
      <c r="L3771" s="1087"/>
    </row>
    <row r="3772" spans="1:17">
      <c r="A3772" s="722"/>
      <c r="B3772" s="723" t="s">
        <v>1235</v>
      </c>
      <c r="G3772" s="1105"/>
      <c r="H3772" s="1081"/>
      <c r="J3772" s="726"/>
      <c r="K3772" s="1091">
        <f>ROUND(K3771/10,2)</f>
        <v>26.59</v>
      </c>
      <c r="L3772" s="1087"/>
    </row>
    <row r="3773" spans="1:17">
      <c r="B3773" s="723" t="s">
        <v>1249</v>
      </c>
      <c r="G3773" s="987">
        <v>0.25</v>
      </c>
      <c r="H3773" s="1081" t="s">
        <v>95</v>
      </c>
      <c r="I3773" s="724" t="s">
        <v>95</v>
      </c>
      <c r="J3773" s="726">
        <f>L81</f>
        <v>89.977869999999996</v>
      </c>
      <c r="K3773" s="726">
        <f>ROUND(G3773*J3773,2)</f>
        <v>22.49</v>
      </c>
      <c r="L3773" s="1087"/>
      <c r="M3773" s="724"/>
      <c r="N3773" s="724"/>
      <c r="O3773" s="724"/>
      <c r="P3773" s="724"/>
      <c r="Q3773" s="726">
        <f>G186</f>
        <v>70.099999999999994</v>
      </c>
    </row>
    <row r="3774" spans="1:17">
      <c r="B3774" s="723" t="s">
        <v>1201</v>
      </c>
      <c r="G3774" s="987"/>
      <c r="H3774" s="1081"/>
      <c r="J3774" s="827" t="s">
        <v>718</v>
      </c>
      <c r="K3774" s="1091">
        <f>K3772+K3773</f>
        <v>49.08</v>
      </c>
      <c r="L3774" s="1087" t="s">
        <v>730</v>
      </c>
      <c r="M3774" s="724"/>
      <c r="N3774" s="724"/>
      <c r="O3774" s="724"/>
      <c r="P3774" s="724"/>
    </row>
    <row r="3775" spans="1:17">
      <c r="A3775" s="836" t="str">
        <f>A3741</f>
        <v>(ii)</v>
      </c>
      <c r="B3775" s="723" t="str">
        <f>B3741</f>
        <v>First Floor</v>
      </c>
      <c r="E3775" s="1089" t="str">
        <f>E3763</f>
        <v>Each Sqm</v>
      </c>
      <c r="F3775" s="1089"/>
      <c r="G3775" s="987"/>
      <c r="J3775" s="726"/>
      <c r="K3775" s="726"/>
    </row>
    <row r="3776" spans="1:17">
      <c r="B3776" s="722" t="s">
        <v>722</v>
      </c>
      <c r="G3776" s="987"/>
      <c r="J3776" s="726"/>
      <c r="K3776" s="726">
        <f>K3774</f>
        <v>49.08</v>
      </c>
    </row>
    <row r="3777" spans="1:16">
      <c r="B3777" s="722" t="s">
        <v>948</v>
      </c>
      <c r="G3777" s="987"/>
      <c r="J3777" s="726"/>
      <c r="K3777" s="726">
        <f>ROUND(K3768/10*3%,2)</f>
        <v>0.78</v>
      </c>
    </row>
    <row r="3778" spans="1:16">
      <c r="G3778" s="987"/>
      <c r="J3778" s="827" t="s">
        <v>718</v>
      </c>
      <c r="K3778" s="1091">
        <f>SUM(K3776:K3777)</f>
        <v>49.86</v>
      </c>
      <c r="L3778" s="723" t="s">
        <v>730</v>
      </c>
    </row>
    <row r="3779" spans="1:16" ht="72.75" customHeight="1">
      <c r="A3779" s="836">
        <f>A658</f>
        <v>117</v>
      </c>
      <c r="B3779" s="3386" t="str">
        <f>B658</f>
        <v xml:space="preserve">Painting two coats with distemper over one coat of primer to make an even finished surface in all floors and heights to wall surface of approved make and shade including sand papering, applying putty wherever necessary  etc. complete as per the direction of the Engineer-in-charge. </v>
      </c>
      <c r="C3779" s="3386"/>
      <c r="D3779" s="3386"/>
      <c r="E3779" s="1086" t="str">
        <f>G658</f>
        <v>Each Sqm</v>
      </c>
      <c r="F3779" s="1086"/>
      <c r="G3779" s="987"/>
      <c r="J3779" s="1091"/>
      <c r="K3779" s="1091"/>
    </row>
    <row r="3780" spans="1:16">
      <c r="A3780" s="836" t="str">
        <f>A659</f>
        <v>(i)</v>
      </c>
      <c r="B3780" s="723" t="str">
        <f>B659</f>
        <v>Ground Floor</v>
      </c>
      <c r="E3780" s="1089" t="str">
        <f>G659</f>
        <v>Each Sqm</v>
      </c>
      <c r="F3780" s="1089"/>
      <c r="G3780" s="987"/>
      <c r="J3780" s="726"/>
      <c r="K3780" s="726"/>
    </row>
    <row r="3781" spans="1:16">
      <c r="A3781" s="722"/>
      <c r="B3781" s="723" t="s">
        <v>964</v>
      </c>
      <c r="G3781" s="987"/>
      <c r="H3781" s="1081"/>
      <c r="J3781" s="726"/>
      <c r="K3781" s="726"/>
      <c r="L3781" s="1087"/>
    </row>
    <row r="3782" spans="1:16">
      <c r="A3782" s="722"/>
      <c r="B3782" s="723" t="s">
        <v>954</v>
      </c>
      <c r="G3782" s="987"/>
      <c r="H3782" s="1081"/>
      <c r="J3782" s="726"/>
      <c r="K3782" s="726"/>
      <c r="L3782" s="1087"/>
    </row>
    <row r="3783" spans="1:16">
      <c r="A3783" s="722"/>
      <c r="B3783" s="722" t="s">
        <v>1237</v>
      </c>
      <c r="G3783" s="987">
        <v>1.0569999999999999</v>
      </c>
      <c r="H3783" s="1081" t="s">
        <v>262</v>
      </c>
      <c r="I3783" s="724" t="s">
        <v>38</v>
      </c>
      <c r="J3783" s="726">
        <f>L132</f>
        <v>284.3</v>
      </c>
      <c r="K3783" s="726">
        <f>ROUND(G3783*J3783,2)</f>
        <v>300.51</v>
      </c>
      <c r="L3783" s="1087"/>
    </row>
    <row r="3784" spans="1:16">
      <c r="A3784" s="722"/>
      <c r="B3784" s="722" t="s">
        <v>717</v>
      </c>
      <c r="G3784" s="987">
        <v>1.157</v>
      </c>
      <c r="H3784" s="1081" t="s">
        <v>262</v>
      </c>
      <c r="I3784" s="724" t="s">
        <v>38</v>
      </c>
      <c r="J3784" s="726">
        <f>L129</f>
        <v>182</v>
      </c>
      <c r="K3784" s="726">
        <f>ROUND(G3784*J3784,2)</f>
        <v>210.57</v>
      </c>
      <c r="L3784" s="1087"/>
    </row>
    <row r="3785" spans="1:16">
      <c r="A3785" s="722"/>
      <c r="G3785" s="987"/>
      <c r="H3785" s="1081"/>
      <c r="J3785" s="827" t="s">
        <v>718</v>
      </c>
      <c r="K3785" s="1091">
        <f>SUM(K3783:K3784)</f>
        <v>511.08</v>
      </c>
      <c r="L3785" s="1087"/>
    </row>
    <row r="3786" spans="1:16">
      <c r="A3786" s="722"/>
      <c r="B3786" s="723"/>
      <c r="G3786" s="987"/>
      <c r="H3786" s="1081"/>
      <c r="J3786" s="726"/>
      <c r="K3786" s="1091"/>
      <c r="L3786" s="1087"/>
    </row>
    <row r="3787" spans="1:16">
      <c r="A3787" s="722"/>
      <c r="B3787" s="723" t="s">
        <v>1250</v>
      </c>
      <c r="G3787" s="987"/>
      <c r="H3787" s="1081"/>
      <c r="J3787" s="1096"/>
      <c r="K3787" s="1091">
        <f>ROUND(K3785*2%,2)</f>
        <v>10.220000000000001</v>
      </c>
      <c r="L3787" s="1087"/>
    </row>
    <row r="3788" spans="1:16">
      <c r="A3788" s="722"/>
      <c r="B3788" s="723" t="s">
        <v>967</v>
      </c>
      <c r="G3788" s="1105"/>
      <c r="H3788" s="1081"/>
      <c r="J3788" s="726"/>
      <c r="K3788" s="1091">
        <f>K3785+K3786+K3787</f>
        <v>521.29999999999995</v>
      </c>
      <c r="L3788" s="1087"/>
    </row>
    <row r="3789" spans="1:16">
      <c r="A3789" s="722"/>
      <c r="B3789" s="723" t="s">
        <v>1235</v>
      </c>
      <c r="G3789" s="1105"/>
      <c r="H3789" s="1081"/>
      <c r="J3789" s="726"/>
      <c r="K3789" s="1091">
        <f>ROUND(K3788/10,2)</f>
        <v>52.13</v>
      </c>
      <c r="L3789" s="1087"/>
    </row>
    <row r="3790" spans="1:16">
      <c r="B3790" s="723" t="s">
        <v>1249</v>
      </c>
      <c r="G3790" s="987">
        <v>0.25</v>
      </c>
      <c r="H3790" s="1081" t="s">
        <v>95</v>
      </c>
      <c r="I3790" s="724" t="s">
        <v>95</v>
      </c>
      <c r="J3790" s="726">
        <f>L81</f>
        <v>89.977869999999996</v>
      </c>
      <c r="K3790" s="726">
        <f>ROUND(G3790*J3790,2)</f>
        <v>22.49</v>
      </c>
      <c r="L3790" s="1087"/>
      <c r="M3790" s="724"/>
      <c r="N3790" s="724"/>
      <c r="O3790" s="724"/>
      <c r="P3790" s="724"/>
    </row>
    <row r="3791" spans="1:16">
      <c r="B3791" s="723" t="s">
        <v>1241</v>
      </c>
      <c r="E3791" s="836"/>
      <c r="F3791" s="836"/>
      <c r="G3791" s="987">
        <v>8.4000000000000005E-2</v>
      </c>
      <c r="H3791" s="1081" t="s">
        <v>116</v>
      </c>
      <c r="I3791" s="724" t="s">
        <v>116</v>
      </c>
      <c r="J3791" s="726">
        <f>L89</f>
        <v>203.80787000000001</v>
      </c>
      <c r="K3791" s="726">
        <f>ROUND(G3791*J3791,2)</f>
        <v>17.12</v>
      </c>
      <c r="L3791" s="1087"/>
      <c r="M3791" s="724"/>
      <c r="N3791" s="724"/>
      <c r="O3791" s="724"/>
      <c r="P3791" s="724"/>
    </row>
    <row r="3792" spans="1:16">
      <c r="B3792" s="723" t="s">
        <v>1201</v>
      </c>
      <c r="G3792" s="987"/>
      <c r="H3792" s="1081"/>
      <c r="J3792" s="827" t="s">
        <v>718</v>
      </c>
      <c r="K3792" s="1091">
        <f>K3789+K3790+K3791</f>
        <v>91.740000000000009</v>
      </c>
      <c r="L3792" s="1087" t="s">
        <v>730</v>
      </c>
      <c r="M3792" s="724"/>
      <c r="N3792" s="724"/>
      <c r="O3792" s="724"/>
      <c r="P3792" s="724"/>
    </row>
    <row r="3793" spans="1:12">
      <c r="A3793" s="836" t="str">
        <f>A3775</f>
        <v>(ii)</v>
      </c>
      <c r="B3793" s="723" t="str">
        <f>B3775</f>
        <v>First Floor</v>
      </c>
      <c r="E3793" s="1089" t="str">
        <f>E3780</f>
        <v>Each Sqm</v>
      </c>
      <c r="F3793" s="1089"/>
      <c r="G3793" s="987"/>
      <c r="J3793" s="726"/>
      <c r="K3793" s="726"/>
    </row>
    <row r="3794" spans="1:12">
      <c r="B3794" s="722" t="s">
        <v>722</v>
      </c>
      <c r="G3794" s="987"/>
      <c r="J3794" s="726"/>
      <c r="K3794" s="726">
        <f>K3792</f>
        <v>91.740000000000009</v>
      </c>
    </row>
    <row r="3795" spans="1:12">
      <c r="B3795" s="722" t="s">
        <v>948</v>
      </c>
      <c r="G3795" s="987"/>
      <c r="J3795" s="726"/>
      <c r="K3795" s="726">
        <f>ROUND(K3785/10*3%,2)</f>
        <v>1.53</v>
      </c>
    </row>
    <row r="3796" spans="1:12">
      <c r="G3796" s="987"/>
      <c r="J3796" s="827" t="s">
        <v>718</v>
      </c>
      <c r="K3796" s="1091">
        <f>SUM(K3794:K3795)</f>
        <v>93.27000000000001</v>
      </c>
      <c r="L3796" s="723" t="s">
        <v>730</v>
      </c>
    </row>
    <row r="3797" spans="1:12" ht="50.25" customHeight="1">
      <c r="A3797" s="836">
        <f>A661</f>
        <v>118</v>
      </c>
      <c r="B3797" s="3399" t="str">
        <f>B661</f>
        <v xml:space="preserve">White washing two coat using shell lime with cost,conveyance of shell lime and cost of  all  labour etc. complete in all respect as per direction of the Engineer-in-charge. </v>
      </c>
      <c r="C3797" s="3386"/>
      <c r="D3797" s="3386"/>
      <c r="E3797" s="1086" t="str">
        <f>G661</f>
        <v>Each Sqm</v>
      </c>
      <c r="F3797" s="1086"/>
      <c r="G3797" s="987"/>
      <c r="J3797" s="1091"/>
      <c r="K3797" s="1091"/>
    </row>
    <row r="3798" spans="1:12">
      <c r="A3798" s="836" t="str">
        <f>A662</f>
        <v>(i)</v>
      </c>
      <c r="B3798" s="723" t="str">
        <f>B645</f>
        <v>First Floor</v>
      </c>
      <c r="E3798" s="1089" t="str">
        <f>G645</f>
        <v>Each Sqm</v>
      </c>
      <c r="F3798" s="1089"/>
      <c r="G3798" s="987"/>
      <c r="J3798" s="726"/>
      <c r="K3798" s="726"/>
    </row>
    <row r="3799" spans="1:12">
      <c r="B3799" s="723" t="s">
        <v>1251</v>
      </c>
      <c r="C3799" s="1107"/>
      <c r="E3799" s="733"/>
      <c r="F3799" s="733"/>
      <c r="G3799" s="724"/>
      <c r="I3799" s="722"/>
    </row>
    <row r="3800" spans="1:12">
      <c r="B3800" s="723" t="s">
        <v>822</v>
      </c>
      <c r="E3800" s="1134"/>
      <c r="F3800" s="1134"/>
      <c r="G3800" s="724"/>
      <c r="H3800" s="726"/>
      <c r="I3800" s="726"/>
      <c r="J3800" s="726"/>
    </row>
    <row r="3801" spans="1:12">
      <c r="B3801" s="722" t="s">
        <v>1252</v>
      </c>
      <c r="G3801" s="987">
        <v>18.66</v>
      </c>
      <c r="H3801" s="1081" t="s">
        <v>95</v>
      </c>
      <c r="I3801" s="724" t="s">
        <v>95</v>
      </c>
      <c r="J3801" s="726">
        <f>L93</f>
        <v>25.647870000000001</v>
      </c>
      <c r="K3801" s="726">
        <f>ROUND(G3801*J3801,2)</f>
        <v>478.59</v>
      </c>
    </row>
    <row r="3802" spans="1:12">
      <c r="G3802" s="987"/>
      <c r="H3802" s="1081"/>
      <c r="J3802" s="827" t="s">
        <v>718</v>
      </c>
      <c r="K3802" s="1091">
        <f>K3801</f>
        <v>478.59</v>
      </c>
    </row>
    <row r="3803" spans="1:12">
      <c r="B3803" s="723" t="s">
        <v>781</v>
      </c>
      <c r="G3803" s="987"/>
      <c r="H3803" s="1081"/>
      <c r="J3803" s="726"/>
      <c r="K3803" s="726"/>
    </row>
    <row r="3804" spans="1:12">
      <c r="B3804" s="722" t="s">
        <v>1229</v>
      </c>
      <c r="G3804" s="987">
        <v>1</v>
      </c>
      <c r="H3804" s="1081" t="s">
        <v>262</v>
      </c>
      <c r="I3804" s="724" t="s">
        <v>38</v>
      </c>
      <c r="J3804" s="726">
        <f>L131</f>
        <v>264.3</v>
      </c>
      <c r="K3804" s="726">
        <f>ROUND(G3804*J3804,2)</f>
        <v>264.3</v>
      </c>
    </row>
    <row r="3805" spans="1:12">
      <c r="B3805" s="722" t="s">
        <v>717</v>
      </c>
      <c r="G3805" s="987">
        <v>0.75</v>
      </c>
      <c r="H3805" s="1081" t="s">
        <v>262</v>
      </c>
      <c r="I3805" s="724" t="s">
        <v>38</v>
      </c>
      <c r="J3805" s="726">
        <f>L129</f>
        <v>182</v>
      </c>
      <c r="K3805" s="726">
        <f>ROUND(G3805*J3805,2)</f>
        <v>136.5</v>
      </c>
    </row>
    <row r="3806" spans="1:12">
      <c r="G3806" s="987"/>
      <c r="H3806" s="724"/>
      <c r="I3806" s="1096"/>
      <c r="J3806" s="836" t="s">
        <v>718</v>
      </c>
      <c r="K3806" s="1091">
        <f>SUM(K3804:K3805)</f>
        <v>400.8</v>
      </c>
    </row>
    <row r="3807" spans="1:12">
      <c r="B3807" s="723"/>
      <c r="G3807" s="987"/>
      <c r="H3807" s="724"/>
      <c r="I3807" s="726"/>
      <c r="J3807" s="726"/>
      <c r="K3807" s="1091"/>
    </row>
    <row r="3808" spans="1:12">
      <c r="B3808" s="723" t="s">
        <v>1253</v>
      </c>
      <c r="I3808" s="722"/>
      <c r="K3808" s="726">
        <f>K3802+K3806+K3807</f>
        <v>879.39</v>
      </c>
    </row>
    <row r="3809" spans="1:12">
      <c r="B3809" s="723" t="s">
        <v>1254</v>
      </c>
      <c r="I3809" s="722"/>
      <c r="K3809" s="1091">
        <f>ROUND(K3808/93,2)</f>
        <v>9.4600000000000009</v>
      </c>
      <c r="L3809" s="1087" t="s">
        <v>730</v>
      </c>
    </row>
    <row r="3810" spans="1:12">
      <c r="A3810" s="836" t="str">
        <f>A663</f>
        <v>(ii)</v>
      </c>
      <c r="B3810" s="723" t="str">
        <f>B663</f>
        <v>First Floor</v>
      </c>
      <c r="E3810" s="1089" t="str">
        <f>G646</f>
        <v>Each Sqm</v>
      </c>
      <c r="F3810" s="1089"/>
      <c r="G3810" s="987"/>
      <c r="J3810" s="726"/>
      <c r="K3810" s="726"/>
    </row>
    <row r="3811" spans="1:12">
      <c r="B3811" s="722" t="s">
        <v>722</v>
      </c>
      <c r="G3811" s="987"/>
      <c r="J3811" s="726"/>
      <c r="K3811" s="726">
        <f>K3809</f>
        <v>9.4600000000000009</v>
      </c>
    </row>
    <row r="3812" spans="1:12">
      <c r="B3812" s="722" t="s">
        <v>948</v>
      </c>
      <c r="G3812" s="987"/>
      <c r="J3812" s="726"/>
      <c r="K3812" s="726">
        <f>ROUND(K3806/93*3%,2)</f>
        <v>0.13</v>
      </c>
    </row>
    <row r="3813" spans="1:12">
      <c r="G3813" s="987"/>
      <c r="J3813" s="827" t="s">
        <v>718</v>
      </c>
      <c r="K3813" s="1091">
        <f>SUM(K3811:K3812)</f>
        <v>9.5900000000000016</v>
      </c>
      <c r="L3813" s="723" t="s">
        <v>730</v>
      </c>
    </row>
    <row r="3814" spans="1:12" ht="50.25" customHeight="1">
      <c r="A3814" s="836">
        <f>A664</f>
        <v>119</v>
      </c>
      <c r="B3814" s="3399" t="str">
        <f>B664</f>
        <v xml:space="preserve">White washing three coat using shell lime with cost,conveyance of shell lime and cost of  all  labour etc. complete in all respect as per direction of the Engineer-in-charge. </v>
      </c>
      <c r="C3814" s="3386"/>
      <c r="D3814" s="3386"/>
      <c r="E3814" s="1086" t="str">
        <f>G664</f>
        <v>Each Sqm</v>
      </c>
      <c r="F3814" s="1086"/>
      <c r="G3814" s="987"/>
      <c r="J3814" s="1091"/>
      <c r="K3814" s="1091"/>
    </row>
    <row r="3815" spans="1:12">
      <c r="A3815" s="836" t="str">
        <f>A665</f>
        <v>(i)</v>
      </c>
      <c r="B3815" s="723" t="str">
        <f>B665</f>
        <v>Ground Floor</v>
      </c>
      <c r="E3815" s="1089" t="str">
        <f>G665</f>
        <v>Each Sqm</v>
      </c>
      <c r="F3815" s="1089"/>
      <c r="G3815" s="987"/>
      <c r="J3815" s="726"/>
      <c r="K3815" s="726"/>
    </row>
    <row r="3816" spans="1:12">
      <c r="B3816" s="723" t="s">
        <v>1251</v>
      </c>
      <c r="C3816" s="1107"/>
      <c r="E3816" s="733"/>
      <c r="F3816" s="733"/>
      <c r="G3816" s="724"/>
      <c r="I3816" s="722"/>
    </row>
    <row r="3817" spans="1:12">
      <c r="B3817" s="723" t="s">
        <v>822</v>
      </c>
      <c r="E3817" s="1134"/>
      <c r="F3817" s="1134"/>
      <c r="G3817" s="724"/>
      <c r="H3817" s="726"/>
      <c r="I3817" s="726"/>
      <c r="J3817" s="726"/>
    </row>
    <row r="3818" spans="1:12">
      <c r="B3818" s="722" t="s">
        <v>1252</v>
      </c>
      <c r="G3818" s="987">
        <v>23.32</v>
      </c>
      <c r="H3818" s="1081" t="s">
        <v>95</v>
      </c>
      <c r="I3818" s="724" t="s">
        <v>95</v>
      </c>
      <c r="J3818" s="726">
        <f>L93</f>
        <v>25.647870000000001</v>
      </c>
      <c r="K3818" s="726">
        <f>ROUND(G3818*J3818,2)</f>
        <v>598.11</v>
      </c>
    </row>
    <row r="3819" spans="1:12">
      <c r="G3819" s="987"/>
      <c r="H3819" s="1081"/>
      <c r="J3819" s="827" t="s">
        <v>718</v>
      </c>
      <c r="K3819" s="1091">
        <f>K3818</f>
        <v>598.11</v>
      </c>
    </row>
    <row r="3820" spans="1:12">
      <c r="B3820" s="723" t="s">
        <v>781</v>
      </c>
      <c r="G3820" s="987"/>
      <c r="H3820" s="1081"/>
      <c r="J3820" s="726"/>
      <c r="K3820" s="726"/>
    </row>
    <row r="3821" spans="1:12">
      <c r="B3821" s="722" t="s">
        <v>1229</v>
      </c>
      <c r="G3821" s="987">
        <v>1.5</v>
      </c>
      <c r="H3821" s="1081" t="s">
        <v>262</v>
      </c>
      <c r="I3821" s="724" t="s">
        <v>38</v>
      </c>
      <c r="J3821" s="726">
        <f>L131</f>
        <v>264.3</v>
      </c>
      <c r="K3821" s="726">
        <f>ROUND(G3821*J3821,2)</f>
        <v>396.45</v>
      </c>
    </row>
    <row r="3822" spans="1:12">
      <c r="B3822" s="722" t="s">
        <v>717</v>
      </c>
      <c r="G3822" s="987">
        <v>1</v>
      </c>
      <c r="H3822" s="1081" t="s">
        <v>262</v>
      </c>
      <c r="I3822" s="724" t="s">
        <v>38</v>
      </c>
      <c r="J3822" s="726">
        <f>L129</f>
        <v>182</v>
      </c>
      <c r="K3822" s="726">
        <f>ROUND(G3822*J3822,2)</f>
        <v>182</v>
      </c>
    </row>
    <row r="3823" spans="1:12">
      <c r="G3823" s="987"/>
      <c r="H3823" s="724"/>
      <c r="I3823" s="1096"/>
      <c r="J3823" s="836" t="s">
        <v>718</v>
      </c>
      <c r="K3823" s="1091">
        <f>SUM(K3821:K3822)</f>
        <v>578.45000000000005</v>
      </c>
    </row>
    <row r="3824" spans="1:12">
      <c r="B3824" s="723"/>
      <c r="G3824" s="987"/>
      <c r="H3824" s="724"/>
      <c r="I3824" s="726"/>
      <c r="J3824" s="726"/>
      <c r="K3824" s="1091"/>
    </row>
    <row r="3825" spans="1:12">
      <c r="B3825" s="723" t="s">
        <v>1253</v>
      </c>
      <c r="I3825" s="722"/>
      <c r="K3825" s="726">
        <f>K3819+K3823+K3824</f>
        <v>1176.56</v>
      </c>
    </row>
    <row r="3826" spans="1:12">
      <c r="B3826" s="723" t="s">
        <v>1254</v>
      </c>
      <c r="I3826" s="722"/>
      <c r="K3826" s="1091">
        <f>ROUND(K3825/93,2)</f>
        <v>12.65</v>
      </c>
      <c r="L3826" s="1087" t="s">
        <v>730</v>
      </c>
    </row>
    <row r="3827" spans="1:12">
      <c r="A3827" s="836" t="str">
        <f>A666</f>
        <v>(ii)</v>
      </c>
      <c r="B3827" s="723" t="str">
        <f>B666</f>
        <v>First Floor</v>
      </c>
      <c r="E3827" s="1089" t="str">
        <f>G666</f>
        <v>Each Sqm</v>
      </c>
      <c r="F3827" s="1089"/>
      <c r="G3827" s="987"/>
      <c r="J3827" s="726"/>
      <c r="K3827" s="726"/>
    </row>
    <row r="3828" spans="1:12">
      <c r="B3828" s="722" t="s">
        <v>722</v>
      </c>
      <c r="G3828" s="987"/>
      <c r="J3828" s="726"/>
      <c r="K3828" s="726">
        <f>K3826</f>
        <v>12.65</v>
      </c>
    </row>
    <row r="3829" spans="1:12">
      <c r="B3829" s="722" t="s">
        <v>948</v>
      </c>
      <c r="G3829" s="987"/>
      <c r="J3829" s="726"/>
      <c r="K3829" s="726">
        <f>ROUND(K3823/93*3%,2)</f>
        <v>0.19</v>
      </c>
    </row>
    <row r="3830" spans="1:12">
      <c r="G3830" s="987"/>
      <c r="J3830" s="827" t="s">
        <v>718</v>
      </c>
      <c r="K3830" s="1091">
        <f>SUM(K3828:K3829)</f>
        <v>12.84</v>
      </c>
      <c r="L3830" s="723" t="s">
        <v>730</v>
      </c>
    </row>
    <row r="3831" spans="1:12" ht="49.5" customHeight="1">
      <c r="A3831" s="836">
        <f>A667</f>
        <v>120</v>
      </c>
      <c r="B3831" s="3399" t="str">
        <f>B667</f>
        <v>Colour washing three coat using shell lime with cost, conveyance of shell lime,colouring materials and cost of labour etc complete in all respect as per direction of the Engineer-in-charge.</v>
      </c>
      <c r="C3831" s="3386"/>
      <c r="D3831" s="3386"/>
      <c r="E3831" s="1086" t="str">
        <f>G667</f>
        <v>Each Sqm</v>
      </c>
      <c r="F3831" s="1086"/>
      <c r="G3831" s="987"/>
      <c r="J3831" s="1091"/>
      <c r="K3831" s="1091"/>
    </row>
    <row r="3832" spans="1:12">
      <c r="A3832" s="836" t="str">
        <f>A668</f>
        <v>(i)</v>
      </c>
      <c r="B3832" s="723" t="str">
        <f>B668</f>
        <v>Ground Floor</v>
      </c>
      <c r="E3832" s="1089" t="str">
        <f>G668</f>
        <v>Each Sqm</v>
      </c>
      <c r="F3832" s="1089"/>
      <c r="G3832" s="987"/>
      <c r="J3832" s="726"/>
      <c r="K3832" s="726"/>
    </row>
    <row r="3833" spans="1:12">
      <c r="B3833" s="723" t="s">
        <v>1251</v>
      </c>
      <c r="I3833" s="824"/>
      <c r="J3833" s="824"/>
      <c r="K3833" s="1091"/>
    </row>
    <row r="3834" spans="1:12">
      <c r="B3834" s="723" t="s">
        <v>1255</v>
      </c>
      <c r="I3834" s="824"/>
      <c r="J3834" s="824"/>
      <c r="K3834" s="1091">
        <f>K3825</f>
        <v>1176.56</v>
      </c>
    </row>
    <row r="3835" spans="1:12">
      <c r="B3835" s="723" t="s">
        <v>1256</v>
      </c>
      <c r="I3835" s="824"/>
      <c r="J3835" s="824"/>
      <c r="K3835" s="726">
        <f>M187</f>
        <v>30</v>
      </c>
    </row>
    <row r="3836" spans="1:12">
      <c r="B3836" s="723" t="s">
        <v>1253</v>
      </c>
      <c r="I3836" s="824"/>
      <c r="J3836" s="836" t="s">
        <v>718</v>
      </c>
      <c r="K3836" s="726">
        <f>K3834+K3835</f>
        <v>1206.56</v>
      </c>
    </row>
    <row r="3837" spans="1:12">
      <c r="B3837" s="723" t="s">
        <v>1254</v>
      </c>
      <c r="I3837" s="824"/>
      <c r="J3837" s="824"/>
      <c r="K3837" s="1091">
        <f>ROUND(K3836/93,2)</f>
        <v>12.97</v>
      </c>
      <c r="L3837" s="1087" t="s">
        <v>730</v>
      </c>
    </row>
    <row r="3838" spans="1:12">
      <c r="A3838" s="836" t="str">
        <f>A669</f>
        <v>(ii)</v>
      </c>
      <c r="B3838" s="723" t="str">
        <f>B669</f>
        <v>First Floor</v>
      </c>
      <c r="E3838" s="1089" t="str">
        <f>G669</f>
        <v>Each Sqm</v>
      </c>
      <c r="F3838" s="1089"/>
      <c r="G3838" s="987"/>
      <c r="J3838" s="726"/>
      <c r="K3838" s="726"/>
    </row>
    <row r="3839" spans="1:12">
      <c r="B3839" s="722" t="s">
        <v>722</v>
      </c>
      <c r="G3839" s="987"/>
      <c r="J3839" s="726"/>
      <c r="K3839" s="726">
        <f>K3837</f>
        <v>12.97</v>
      </c>
    </row>
    <row r="3840" spans="1:12">
      <c r="B3840" s="722" t="s">
        <v>723</v>
      </c>
      <c r="G3840" s="987"/>
      <c r="J3840" s="726"/>
      <c r="K3840" s="726">
        <f>ROUND(K3823/93*5%,2)</f>
        <v>0.31</v>
      </c>
    </row>
    <row r="3841" spans="1:12">
      <c r="G3841" s="987"/>
      <c r="J3841" s="827" t="s">
        <v>718</v>
      </c>
      <c r="K3841" s="1091">
        <f>SUM(K3839:K3840)</f>
        <v>13.280000000000001</v>
      </c>
      <c r="L3841" s="723" t="s">
        <v>730</v>
      </c>
    </row>
    <row r="3842" spans="1:12">
      <c r="G3842" s="987"/>
      <c r="J3842" s="827" t="s">
        <v>718</v>
      </c>
      <c r="K3842" s="1091">
        <f>SUM(K3841)</f>
        <v>13.280000000000001</v>
      </c>
      <c r="L3842" s="723" t="s">
        <v>730</v>
      </c>
    </row>
    <row r="3843" spans="1:12" ht="60" customHeight="1">
      <c r="A3843" s="836">
        <f>A670</f>
        <v>121</v>
      </c>
      <c r="B3843" s="3386" t="str">
        <f>B670</f>
        <v>Painting two coats with approved enamel paints of approved colour, shade  over old Iron work including sand papering, polishing the surface, etc, complete as per specification &amp; direction of Engineer-in-charge.</v>
      </c>
      <c r="C3843" s="3386"/>
      <c r="D3843" s="3386"/>
      <c r="E3843" s="1086" t="str">
        <f>G670</f>
        <v>Each Sqm</v>
      </c>
      <c r="F3843" s="1086"/>
      <c r="G3843" s="987"/>
      <c r="J3843" s="1091"/>
      <c r="K3843" s="1091"/>
    </row>
    <row r="3844" spans="1:12">
      <c r="A3844" s="836" t="str">
        <f>A671</f>
        <v>(i)</v>
      </c>
      <c r="B3844" s="723" t="str">
        <f>B671</f>
        <v>Ground Floor</v>
      </c>
      <c r="E3844" s="1089" t="str">
        <f>G645</f>
        <v>Each Sqm</v>
      </c>
      <c r="F3844" s="1089"/>
      <c r="G3844" s="987"/>
      <c r="J3844" s="726"/>
      <c r="K3844" s="726"/>
    </row>
    <row r="3845" spans="1:12">
      <c r="B3845" s="723" t="s">
        <v>1257</v>
      </c>
      <c r="G3845" s="987"/>
      <c r="J3845" s="726"/>
      <c r="K3845" s="726"/>
    </row>
    <row r="3846" spans="1:12">
      <c r="B3846" s="722" t="s">
        <v>1258</v>
      </c>
      <c r="G3846" s="987">
        <v>1.25</v>
      </c>
      <c r="H3846" s="722" t="s">
        <v>262</v>
      </c>
      <c r="I3846" s="724" t="s">
        <v>38</v>
      </c>
      <c r="J3846" s="726">
        <f>L132</f>
        <v>284.3</v>
      </c>
      <c r="K3846" s="726">
        <f>ROUND(G3846*J3846,2)</f>
        <v>355.38</v>
      </c>
    </row>
    <row r="3847" spans="1:12">
      <c r="B3847" s="722" t="s">
        <v>717</v>
      </c>
      <c r="G3847" s="987">
        <v>1.1000000000000001</v>
      </c>
      <c r="H3847" s="722" t="s">
        <v>262</v>
      </c>
      <c r="I3847" s="724" t="s">
        <v>38</v>
      </c>
      <c r="J3847" s="726">
        <f>L129</f>
        <v>182</v>
      </c>
      <c r="K3847" s="726">
        <f>ROUND(G3847*J3847,2)</f>
        <v>200.2</v>
      </c>
    </row>
    <row r="3848" spans="1:12">
      <c r="G3848" s="987"/>
      <c r="J3848" s="726" t="s">
        <v>718</v>
      </c>
      <c r="K3848" s="726">
        <f>SUM(K3846:K3847)</f>
        <v>555.57999999999993</v>
      </c>
    </row>
    <row r="3849" spans="1:12">
      <c r="G3849" s="987"/>
      <c r="J3849" s="726"/>
      <c r="K3849" s="726"/>
    </row>
    <row r="3850" spans="1:12">
      <c r="B3850" s="722" t="s">
        <v>1259</v>
      </c>
      <c r="G3850" s="987"/>
      <c r="J3850" s="726"/>
      <c r="K3850" s="726">
        <f>ROUND(K3848*2%,2)</f>
        <v>11.11</v>
      </c>
    </row>
    <row r="3851" spans="1:12">
      <c r="G3851" s="987"/>
      <c r="J3851" s="726" t="s">
        <v>718</v>
      </c>
      <c r="K3851" s="726">
        <f>SUM(K3848:K3850)</f>
        <v>566.68999999999994</v>
      </c>
    </row>
    <row r="3852" spans="1:12">
      <c r="B3852" s="722" t="s">
        <v>1024</v>
      </c>
      <c r="G3852" s="987"/>
      <c r="J3852" s="726"/>
      <c r="K3852" s="726">
        <f>ROUND(K3851/9.3,2)</f>
        <v>60.93</v>
      </c>
    </row>
    <row r="3853" spans="1:12">
      <c r="G3853" s="987"/>
      <c r="J3853" s="726"/>
      <c r="K3853" s="726"/>
    </row>
    <row r="3854" spans="1:12">
      <c r="B3854" s="722" t="s">
        <v>1260</v>
      </c>
      <c r="G3854" s="987">
        <v>0.125</v>
      </c>
      <c r="H3854" s="722" t="s">
        <v>95</v>
      </c>
      <c r="I3854" s="724" t="s">
        <v>95</v>
      </c>
      <c r="J3854" s="726">
        <f>L83</f>
        <v>320.68786999999998</v>
      </c>
      <c r="K3854" s="726">
        <f>ROUND(G3854*J3854,2)</f>
        <v>40.090000000000003</v>
      </c>
    </row>
    <row r="3855" spans="1:12">
      <c r="B3855" s="722" t="s">
        <v>1261</v>
      </c>
      <c r="G3855" s="987"/>
      <c r="J3855" s="827" t="s">
        <v>718</v>
      </c>
      <c r="K3855" s="1091">
        <f>SUM(K3852:K3854)</f>
        <v>101.02000000000001</v>
      </c>
      <c r="L3855" s="723" t="s">
        <v>730</v>
      </c>
    </row>
    <row r="3856" spans="1:12">
      <c r="A3856" s="836" t="str">
        <f>A672</f>
        <v>(ii)</v>
      </c>
      <c r="B3856" s="723" t="str">
        <f>B672</f>
        <v>First Floor</v>
      </c>
      <c r="E3856" s="1089" t="str">
        <f>E3844</f>
        <v>Each Sqm</v>
      </c>
      <c r="F3856" s="1089"/>
      <c r="G3856" s="987"/>
      <c r="J3856" s="726"/>
      <c r="K3856" s="726"/>
    </row>
    <row r="3857" spans="1:12">
      <c r="B3857" s="722" t="s">
        <v>722</v>
      </c>
      <c r="G3857" s="987"/>
      <c r="J3857" s="726"/>
      <c r="K3857" s="726">
        <f>K3855</f>
        <v>101.02000000000001</v>
      </c>
    </row>
    <row r="3858" spans="1:12">
      <c r="B3858" s="722" t="s">
        <v>948</v>
      </c>
      <c r="G3858" s="987"/>
      <c r="J3858" s="726"/>
      <c r="K3858" s="726">
        <f>ROUND(K3848/9.3*3%,2)</f>
        <v>1.79</v>
      </c>
    </row>
    <row r="3859" spans="1:12">
      <c r="G3859" s="987"/>
      <c r="J3859" s="827" t="s">
        <v>718</v>
      </c>
      <c r="K3859" s="1091">
        <f>SUM(K3857:K3858)</f>
        <v>102.81000000000002</v>
      </c>
      <c r="L3859" s="723" t="s">
        <v>730</v>
      </c>
    </row>
    <row r="3860" spans="1:12" ht="60" customHeight="1">
      <c r="A3860" s="836">
        <f>A673</f>
        <v>122</v>
      </c>
      <c r="B3860" s="3386" t="str">
        <f>B673</f>
        <v>Painting two coats with approved enamel paints of approved colour, shade over a coat of  primer over new Iron work including sand papering, polishing the surface, etc, complete as per specification &amp; direction of Engineer-in-charge.</v>
      </c>
      <c r="C3860" s="3386"/>
      <c r="D3860" s="3386"/>
      <c r="E3860" s="1086" t="str">
        <f>G673</f>
        <v>Each Sqm</v>
      </c>
      <c r="F3860" s="1086"/>
      <c r="G3860" s="987"/>
      <c r="J3860" s="1091"/>
      <c r="K3860" s="1091"/>
    </row>
    <row r="3861" spans="1:12">
      <c r="A3861" s="836" t="str">
        <f>A674</f>
        <v>(i)</v>
      </c>
      <c r="B3861" s="723" t="str">
        <f>B674</f>
        <v>Ground Floor</v>
      </c>
      <c r="E3861" s="1089" t="str">
        <f>G674</f>
        <v>Each Sqm</v>
      </c>
      <c r="F3861" s="1089"/>
      <c r="G3861" s="987"/>
      <c r="J3861" s="726"/>
      <c r="K3861" s="726"/>
    </row>
    <row r="3862" spans="1:12">
      <c r="B3862" s="723" t="s">
        <v>1257</v>
      </c>
      <c r="G3862" s="987"/>
      <c r="J3862" s="726"/>
      <c r="K3862" s="726"/>
    </row>
    <row r="3863" spans="1:12">
      <c r="B3863" s="722" t="s">
        <v>1258</v>
      </c>
      <c r="G3863" s="987">
        <v>1.75</v>
      </c>
      <c r="H3863" s="722" t="s">
        <v>262</v>
      </c>
      <c r="I3863" s="724" t="s">
        <v>38</v>
      </c>
      <c r="J3863" s="726">
        <f>L132</f>
        <v>284.3</v>
      </c>
      <c r="K3863" s="726">
        <f>ROUND(G3863*J3863,2)</f>
        <v>497.53</v>
      </c>
    </row>
    <row r="3864" spans="1:12">
      <c r="B3864" s="722" t="s">
        <v>717</v>
      </c>
      <c r="G3864" s="987">
        <v>1.6</v>
      </c>
      <c r="H3864" s="722" t="s">
        <v>262</v>
      </c>
      <c r="I3864" s="724" t="s">
        <v>38</v>
      </c>
      <c r="J3864" s="726">
        <f>L129</f>
        <v>182</v>
      </c>
      <c r="K3864" s="726">
        <f>ROUND(G3864*J3864,2)</f>
        <v>291.2</v>
      </c>
    </row>
    <row r="3865" spans="1:12">
      <c r="G3865" s="987"/>
      <c r="J3865" s="726" t="s">
        <v>718</v>
      </c>
      <c r="K3865" s="726">
        <f>SUM(K3863:K3864)</f>
        <v>788.73</v>
      </c>
    </row>
    <row r="3866" spans="1:12">
      <c r="G3866" s="987"/>
      <c r="J3866" s="726"/>
      <c r="K3866" s="726"/>
    </row>
    <row r="3867" spans="1:12">
      <c r="B3867" s="722" t="s">
        <v>1259</v>
      </c>
      <c r="G3867" s="987"/>
      <c r="J3867" s="726"/>
      <c r="K3867" s="726">
        <f>ROUND(K3865*2%,2)</f>
        <v>15.77</v>
      </c>
    </row>
    <row r="3868" spans="1:12">
      <c r="G3868" s="987"/>
      <c r="J3868" s="726" t="s">
        <v>718</v>
      </c>
      <c r="K3868" s="726">
        <f>SUM(K3865:K3867)</f>
        <v>804.5</v>
      </c>
    </row>
    <row r="3869" spans="1:12">
      <c r="B3869" s="722" t="s">
        <v>1024</v>
      </c>
      <c r="G3869" s="987"/>
      <c r="J3869" s="726"/>
      <c r="K3869" s="726">
        <f>ROUND(K3868/9.3,2)</f>
        <v>86.51</v>
      </c>
    </row>
    <row r="3870" spans="1:12">
      <c r="B3870" s="722" t="s">
        <v>1262</v>
      </c>
      <c r="G3870" s="987">
        <v>5.3999999999999999E-2</v>
      </c>
      <c r="H3870" s="722" t="s">
        <v>95</v>
      </c>
      <c r="I3870" s="724" t="s">
        <v>95</v>
      </c>
      <c r="J3870" s="726">
        <f>L88</f>
        <v>146.49787000000001</v>
      </c>
      <c r="K3870" s="726">
        <f>ROUND(G3870*J3870,2)</f>
        <v>7.91</v>
      </c>
    </row>
    <row r="3871" spans="1:12">
      <c r="B3871" s="722" t="s">
        <v>1260</v>
      </c>
      <c r="G3871" s="987">
        <v>0.125</v>
      </c>
      <c r="H3871" s="722" t="s">
        <v>95</v>
      </c>
      <c r="I3871" s="724" t="s">
        <v>95</v>
      </c>
      <c r="J3871" s="726">
        <f>L83</f>
        <v>320.68786999999998</v>
      </c>
      <c r="K3871" s="726">
        <f>ROUND(G3871*J3871,2)</f>
        <v>40.090000000000003</v>
      </c>
    </row>
    <row r="3872" spans="1:12">
      <c r="B3872" s="722" t="s">
        <v>1261</v>
      </c>
      <c r="G3872" s="987"/>
      <c r="J3872" s="827" t="s">
        <v>718</v>
      </c>
      <c r="K3872" s="1091">
        <f>SUM(K3869:K3871)</f>
        <v>134.51</v>
      </c>
      <c r="L3872" s="723" t="s">
        <v>730</v>
      </c>
    </row>
    <row r="3873" spans="1:12">
      <c r="A3873" s="836" t="str">
        <f>A3838</f>
        <v>(ii)</v>
      </c>
      <c r="B3873" s="723" t="str">
        <f>B3838</f>
        <v>First Floor</v>
      </c>
      <c r="E3873" s="1089" t="str">
        <f>E3861</f>
        <v>Each Sqm</v>
      </c>
      <c r="F3873" s="1089"/>
      <c r="G3873" s="987"/>
      <c r="J3873" s="726"/>
      <c r="K3873" s="726"/>
    </row>
    <row r="3874" spans="1:12">
      <c r="B3874" s="722" t="s">
        <v>722</v>
      </c>
      <c r="G3874" s="987"/>
      <c r="J3874" s="726"/>
      <c r="K3874" s="726">
        <f>K3872</f>
        <v>134.51</v>
      </c>
    </row>
    <row r="3875" spans="1:12">
      <c r="B3875" s="722" t="s">
        <v>948</v>
      </c>
      <c r="G3875" s="987"/>
      <c r="J3875" s="726"/>
      <c r="K3875" s="726">
        <f>ROUND(K3865/9.3*3%,2)</f>
        <v>2.54</v>
      </c>
    </row>
    <row r="3876" spans="1:12">
      <c r="G3876" s="987"/>
      <c r="J3876" s="827" t="s">
        <v>718</v>
      </c>
      <c r="K3876" s="1091">
        <f>SUM(K3874:K3875)</f>
        <v>137.04999999999998</v>
      </c>
      <c r="L3876" s="723" t="s">
        <v>730</v>
      </c>
    </row>
    <row r="3877" spans="1:12" ht="28.5" customHeight="1">
      <c r="A3877" s="836">
        <f>A676</f>
        <v>123</v>
      </c>
      <c r="B3877" s="3386" t="str">
        <f>B676</f>
        <v>Coaltaring two coat on wood surface used in purlin and rafter for AC sheet roofing etc complete.</v>
      </c>
      <c r="C3877" s="3386"/>
      <c r="D3877" s="3386"/>
      <c r="E3877" s="1086" t="str">
        <f>G676</f>
        <v>Each Sqm</v>
      </c>
      <c r="F3877" s="1086"/>
      <c r="G3877" s="987"/>
      <c r="J3877" s="1091"/>
      <c r="K3877" s="1091"/>
    </row>
    <row r="3878" spans="1:12">
      <c r="A3878" s="836" t="str">
        <f>A677</f>
        <v>(i)</v>
      </c>
      <c r="B3878" s="723" t="str">
        <f>B677</f>
        <v>Ground Floor</v>
      </c>
      <c r="E3878" s="1089" t="str">
        <f>G600</f>
        <v>Each No</v>
      </c>
      <c r="F3878" s="1089"/>
      <c r="G3878" s="987"/>
      <c r="J3878" s="726"/>
      <c r="K3878" s="726"/>
    </row>
    <row r="3879" spans="1:12">
      <c r="B3879" s="722" t="s">
        <v>1257</v>
      </c>
      <c r="G3879" s="987"/>
      <c r="J3879" s="726"/>
      <c r="K3879" s="726"/>
    </row>
    <row r="3880" spans="1:12">
      <c r="B3880" s="722" t="s">
        <v>717</v>
      </c>
      <c r="G3880" s="987">
        <v>0.5</v>
      </c>
      <c r="H3880" s="722" t="s">
        <v>262</v>
      </c>
      <c r="I3880" s="724" t="s">
        <v>38</v>
      </c>
      <c r="J3880" s="726">
        <f>L129</f>
        <v>182</v>
      </c>
      <c r="K3880" s="726">
        <f>ROUND(G3880*J3880,2)</f>
        <v>91</v>
      </c>
    </row>
    <row r="3881" spans="1:12">
      <c r="G3881" s="987"/>
      <c r="J3881" s="726" t="s">
        <v>718</v>
      </c>
      <c r="K3881" s="726">
        <f>SUM(K3880:K3880)</f>
        <v>91</v>
      </c>
    </row>
    <row r="3882" spans="1:12">
      <c r="G3882" s="987"/>
      <c r="J3882" s="726"/>
      <c r="K3882" s="726"/>
    </row>
    <row r="3883" spans="1:12">
      <c r="B3883" s="722" t="s">
        <v>1259</v>
      </c>
      <c r="G3883" s="987"/>
      <c r="J3883" s="726"/>
      <c r="K3883" s="726">
        <f>K3881*2%</f>
        <v>1.82</v>
      </c>
    </row>
    <row r="3884" spans="1:12">
      <c r="G3884" s="987"/>
      <c r="J3884" s="726" t="s">
        <v>718</v>
      </c>
      <c r="K3884" s="726">
        <f>SUM(K3881:K3883)</f>
        <v>92.82</v>
      </c>
    </row>
    <row r="3885" spans="1:12">
      <c r="B3885" s="722" t="s">
        <v>1024</v>
      </c>
      <c r="G3885" s="987"/>
      <c r="J3885" s="726"/>
      <c r="K3885" s="726">
        <f>K3884/9.3</f>
        <v>9.9806451612903206</v>
      </c>
    </row>
    <row r="3886" spans="1:12">
      <c r="B3886" s="722" t="s">
        <v>1263</v>
      </c>
      <c r="G3886" s="987">
        <v>0.28000000000000003</v>
      </c>
      <c r="H3886" s="722" t="s">
        <v>116</v>
      </c>
      <c r="I3886" s="724" t="s">
        <v>116</v>
      </c>
      <c r="J3886" s="726">
        <f>L85</f>
        <v>63.237870000000001</v>
      </c>
      <c r="K3886" s="726">
        <f>ROUND(G3886*J3886,2)</f>
        <v>17.71</v>
      </c>
    </row>
    <row r="3887" spans="1:12">
      <c r="B3887" s="722" t="s">
        <v>1261</v>
      </c>
      <c r="G3887" s="987"/>
      <c r="J3887" s="827" t="s">
        <v>718</v>
      </c>
      <c r="K3887" s="1091">
        <f>SUM(K3885:K3886)</f>
        <v>27.69064516129032</v>
      </c>
      <c r="L3887" s="723" t="s">
        <v>730</v>
      </c>
    </row>
    <row r="3888" spans="1:12">
      <c r="G3888" s="987"/>
      <c r="J3888" s="827" t="s">
        <v>1264</v>
      </c>
      <c r="K3888" s="1091">
        <f>ROUND(K3887,1)</f>
        <v>27.7</v>
      </c>
      <c r="L3888" s="723" t="s">
        <v>730</v>
      </c>
    </row>
    <row r="3889" spans="1:12">
      <c r="A3889" s="836" t="str">
        <f>A678</f>
        <v>(ii)</v>
      </c>
      <c r="B3889" s="723" t="str">
        <f>B678</f>
        <v>First Floor</v>
      </c>
      <c r="E3889" s="1089" t="str">
        <f>E3878</f>
        <v>Each No</v>
      </c>
      <c r="F3889" s="1089"/>
      <c r="G3889" s="987"/>
      <c r="J3889" s="726"/>
      <c r="K3889" s="726"/>
    </row>
    <row r="3890" spans="1:12">
      <c r="B3890" s="722" t="s">
        <v>722</v>
      </c>
      <c r="G3890" s="987"/>
      <c r="J3890" s="726"/>
      <c r="K3890" s="726">
        <f>K3887</f>
        <v>27.69064516129032</v>
      </c>
    </row>
    <row r="3891" spans="1:12">
      <c r="B3891" s="722" t="s">
        <v>948</v>
      </c>
      <c r="G3891" s="987"/>
      <c r="J3891" s="726"/>
      <c r="K3891" s="726">
        <f>ROUND(K3881/9.3*3%,2)</f>
        <v>0.28999999999999998</v>
      </c>
    </row>
    <row r="3892" spans="1:12">
      <c r="G3892" s="987"/>
      <c r="J3892" s="827" t="s">
        <v>718</v>
      </c>
      <c r="K3892" s="1091">
        <f>SUM(K3890:K3891)</f>
        <v>27.980645161290319</v>
      </c>
      <c r="L3892" s="723" t="s">
        <v>730</v>
      </c>
    </row>
    <row r="3893" spans="1:12">
      <c r="G3893" s="987"/>
      <c r="J3893" s="827" t="s">
        <v>1264</v>
      </c>
      <c r="K3893" s="1091">
        <f>ROUND(K3892,1)</f>
        <v>28</v>
      </c>
      <c r="L3893" s="723" t="s">
        <v>730</v>
      </c>
    </row>
    <row r="3894" spans="1:12" ht="28.5" customHeight="1">
      <c r="A3894" s="836">
        <f>A679</f>
        <v>124</v>
      </c>
      <c r="B3894" s="3386" t="str">
        <f>B679</f>
        <v>Priming One coat on iron work with red oxide primer etc complete.</v>
      </c>
      <c r="C3894" s="3386"/>
      <c r="D3894" s="3386"/>
      <c r="E3894" s="1086" t="str">
        <f>G679</f>
        <v>Each Sqm</v>
      </c>
      <c r="F3894" s="1086"/>
      <c r="G3894" s="987"/>
      <c r="J3894" s="1091"/>
      <c r="K3894" s="1091"/>
    </row>
    <row r="3895" spans="1:12">
      <c r="A3895" s="836" t="str">
        <f>A618</f>
        <v>(i)</v>
      </c>
      <c r="B3895" s="723" t="str">
        <f>B618</f>
        <v>Ground Floor</v>
      </c>
      <c r="E3895" s="1089" t="str">
        <f>G618</f>
        <v>Each Sqm</v>
      </c>
      <c r="F3895" s="1089"/>
      <c r="G3895" s="987"/>
      <c r="J3895" s="726"/>
      <c r="K3895" s="726"/>
    </row>
    <row r="3896" spans="1:12">
      <c r="B3896" s="722" t="s">
        <v>1257</v>
      </c>
      <c r="G3896" s="987"/>
      <c r="J3896" s="726"/>
      <c r="K3896" s="726"/>
    </row>
    <row r="3897" spans="1:12">
      <c r="B3897" s="722" t="s">
        <v>1258</v>
      </c>
      <c r="G3897" s="987">
        <v>0.5</v>
      </c>
      <c r="H3897" s="722" t="s">
        <v>262</v>
      </c>
      <c r="I3897" s="724" t="s">
        <v>38</v>
      </c>
      <c r="J3897" s="726">
        <f>L132</f>
        <v>284.3</v>
      </c>
      <c r="K3897" s="726">
        <f>ROUND(G3897*J3897,2)</f>
        <v>142.15</v>
      </c>
    </row>
    <row r="3898" spans="1:12">
      <c r="B3898" s="722" t="s">
        <v>717</v>
      </c>
      <c r="G3898" s="987">
        <v>0.5</v>
      </c>
      <c r="H3898" s="722" t="s">
        <v>262</v>
      </c>
      <c r="I3898" s="724" t="s">
        <v>38</v>
      </c>
      <c r="J3898" s="726">
        <f>L129</f>
        <v>182</v>
      </c>
      <c r="K3898" s="726">
        <f>ROUND(G3898*J3898,2)</f>
        <v>91</v>
      </c>
    </row>
    <row r="3899" spans="1:12">
      <c r="G3899" s="987"/>
      <c r="J3899" s="726" t="s">
        <v>718</v>
      </c>
      <c r="K3899" s="726">
        <f>SUM(K3897:K3898)</f>
        <v>233.15</v>
      </c>
    </row>
    <row r="3900" spans="1:12">
      <c r="G3900" s="987"/>
      <c r="J3900" s="726"/>
      <c r="K3900" s="726"/>
    </row>
    <row r="3901" spans="1:12">
      <c r="B3901" s="722" t="s">
        <v>1259</v>
      </c>
      <c r="G3901" s="987"/>
      <c r="J3901" s="726"/>
      <c r="K3901" s="726">
        <f>ROUND(K3899*2%,2)</f>
        <v>4.66</v>
      </c>
    </row>
    <row r="3902" spans="1:12">
      <c r="G3902" s="987"/>
      <c r="J3902" s="726" t="s">
        <v>718</v>
      </c>
      <c r="K3902" s="726">
        <f>SUM(K3899:K3901)</f>
        <v>237.81</v>
      </c>
    </row>
    <row r="3903" spans="1:12">
      <c r="B3903" s="722" t="s">
        <v>1024</v>
      </c>
      <c r="G3903" s="987"/>
      <c r="J3903" s="726"/>
      <c r="K3903" s="726">
        <f>ROUND(K3902/9.3,2)</f>
        <v>25.57</v>
      </c>
    </row>
    <row r="3904" spans="1:12">
      <c r="B3904" s="722" t="s">
        <v>1262</v>
      </c>
      <c r="G3904" s="987">
        <v>7.4999999999999997E-2</v>
      </c>
      <c r="H3904" s="722" t="s">
        <v>95</v>
      </c>
      <c r="I3904" s="724" t="s">
        <v>95</v>
      </c>
      <c r="J3904" s="726">
        <f>L88</f>
        <v>146.49787000000001</v>
      </c>
      <c r="K3904" s="726">
        <f>ROUND(G3904*J3904,2)</f>
        <v>10.99</v>
      </c>
    </row>
    <row r="3905" spans="1:12">
      <c r="B3905" s="722" t="s">
        <v>1261</v>
      </c>
      <c r="G3905" s="987"/>
      <c r="J3905" s="827" t="s">
        <v>718</v>
      </c>
      <c r="K3905" s="1091">
        <f>SUM(K3903:K3904)</f>
        <v>36.56</v>
      </c>
      <c r="L3905" s="723" t="s">
        <v>730</v>
      </c>
    </row>
    <row r="3906" spans="1:12">
      <c r="G3906" s="987"/>
      <c r="J3906" s="827" t="s">
        <v>1264</v>
      </c>
      <c r="K3906" s="1091">
        <f>ROUND(K3905,1)</f>
        <v>36.6</v>
      </c>
      <c r="L3906" s="723" t="s">
        <v>730</v>
      </c>
    </row>
    <row r="3907" spans="1:12">
      <c r="A3907" s="836" t="str">
        <f>A3873</f>
        <v>(ii)</v>
      </c>
      <c r="B3907" s="723" t="str">
        <f>B3873</f>
        <v>First Floor</v>
      </c>
      <c r="E3907" s="1089" t="str">
        <f>E3895</f>
        <v>Each Sqm</v>
      </c>
      <c r="F3907" s="1089"/>
      <c r="G3907" s="987"/>
      <c r="J3907" s="726"/>
      <c r="K3907" s="726"/>
    </row>
    <row r="3908" spans="1:12">
      <c r="B3908" s="722" t="s">
        <v>722</v>
      </c>
      <c r="G3908" s="987"/>
      <c r="J3908" s="726"/>
      <c r="K3908" s="726">
        <f>K3905</f>
        <v>36.56</v>
      </c>
    </row>
    <row r="3909" spans="1:12">
      <c r="B3909" s="722" t="s">
        <v>948</v>
      </c>
      <c r="G3909" s="987"/>
      <c r="J3909" s="726"/>
      <c r="K3909" s="726">
        <f>ROUND(K3899/9.3*3%,2)</f>
        <v>0.75</v>
      </c>
    </row>
    <row r="3910" spans="1:12">
      <c r="G3910" s="987"/>
      <c r="J3910" s="827" t="s">
        <v>718</v>
      </c>
      <c r="K3910" s="1091">
        <f>SUM(K3908:K3909)</f>
        <v>37.31</v>
      </c>
      <c r="L3910" s="723" t="s">
        <v>730</v>
      </c>
    </row>
    <row r="3911" spans="1:12">
      <c r="G3911" s="987"/>
      <c r="J3911" s="827" t="s">
        <v>1264</v>
      </c>
      <c r="K3911" s="1091">
        <f>ROUND(K3910,1)</f>
        <v>37.299999999999997</v>
      </c>
      <c r="L3911" s="723" t="s">
        <v>730</v>
      </c>
    </row>
    <row r="3912" spans="1:12" ht="60.75" customHeight="1">
      <c r="A3912" s="836">
        <f>A682</f>
        <v>125</v>
      </c>
      <c r="B3912" s="3386" t="str">
        <f>B682</f>
        <v>Painting two coats with approved enamel paints of approved colour, shade  over old Wood work including sand papering, polishing the surface,  etc, complete as per specification &amp; direction of Engineer-in-charge.</v>
      </c>
      <c r="C3912" s="3386"/>
      <c r="D3912" s="3386"/>
      <c r="E3912" s="1086" t="str">
        <f>G682</f>
        <v>Each Sqm</v>
      </c>
      <c r="F3912" s="1086"/>
      <c r="G3912" s="987"/>
      <c r="J3912" s="1091"/>
      <c r="K3912" s="1091"/>
    </row>
    <row r="3913" spans="1:12">
      <c r="A3913" s="836" t="str">
        <f>A683</f>
        <v>(i)</v>
      </c>
      <c r="B3913" s="723" t="str">
        <f>B666</f>
        <v>First Floor</v>
      </c>
      <c r="E3913" s="1089" t="str">
        <f>G666</f>
        <v>Each Sqm</v>
      </c>
      <c r="F3913" s="1089"/>
      <c r="G3913" s="987"/>
      <c r="J3913" s="726"/>
      <c r="K3913" s="726"/>
    </row>
    <row r="3914" spans="1:12">
      <c r="B3914" s="723" t="s">
        <v>1257</v>
      </c>
      <c r="G3914" s="987"/>
      <c r="J3914" s="726"/>
      <c r="K3914" s="726"/>
    </row>
    <row r="3915" spans="1:12">
      <c r="B3915" s="722" t="s">
        <v>1258</v>
      </c>
      <c r="G3915" s="987">
        <v>1.25</v>
      </c>
      <c r="H3915" s="722" t="s">
        <v>262</v>
      </c>
      <c r="I3915" s="724" t="s">
        <v>38</v>
      </c>
      <c r="J3915" s="726">
        <f>L132</f>
        <v>284.3</v>
      </c>
      <c r="K3915" s="726">
        <f>ROUND(G3915*J3915,2)</f>
        <v>355.38</v>
      </c>
    </row>
    <row r="3916" spans="1:12">
      <c r="B3916" s="722" t="s">
        <v>717</v>
      </c>
      <c r="G3916" s="987">
        <v>1.1000000000000001</v>
      </c>
      <c r="H3916" s="722" t="s">
        <v>262</v>
      </c>
      <c r="I3916" s="724" t="s">
        <v>38</v>
      </c>
      <c r="J3916" s="726">
        <f>L129</f>
        <v>182</v>
      </c>
      <c r="K3916" s="726">
        <f>ROUND(G3916*J3916,2)</f>
        <v>200.2</v>
      </c>
    </row>
    <row r="3917" spans="1:12">
      <c r="G3917" s="987"/>
      <c r="J3917" s="726" t="s">
        <v>718</v>
      </c>
      <c r="K3917" s="726">
        <f>SUM(K3915:K3916)</f>
        <v>555.57999999999993</v>
      </c>
    </row>
    <row r="3918" spans="1:12">
      <c r="G3918" s="987"/>
      <c r="J3918" s="726"/>
      <c r="K3918" s="726"/>
    </row>
    <row r="3919" spans="1:12">
      <c r="B3919" s="722" t="s">
        <v>1259</v>
      </c>
      <c r="G3919" s="987"/>
      <c r="J3919" s="726"/>
      <c r="K3919" s="726">
        <f>ROUND(K3917*2%,2)</f>
        <v>11.11</v>
      </c>
    </row>
    <row r="3920" spans="1:12">
      <c r="G3920" s="987"/>
      <c r="J3920" s="726" t="s">
        <v>718</v>
      </c>
      <c r="K3920" s="726">
        <f>SUM(K3917:K3919)</f>
        <v>566.68999999999994</v>
      </c>
    </row>
    <row r="3921" spans="1:12">
      <c r="B3921" s="722" t="s">
        <v>1024</v>
      </c>
      <c r="G3921" s="987"/>
      <c r="J3921" s="726"/>
      <c r="K3921" s="726">
        <f>K3920/9.3</f>
        <v>60.934408602150526</v>
      </c>
    </row>
    <row r="3922" spans="1:12">
      <c r="G3922" s="987"/>
      <c r="J3922" s="726"/>
      <c r="K3922" s="726"/>
    </row>
    <row r="3923" spans="1:12">
      <c r="B3923" s="722" t="s">
        <v>1260</v>
      </c>
      <c r="G3923" s="987">
        <v>0.125</v>
      </c>
      <c r="H3923" s="722" t="s">
        <v>95</v>
      </c>
      <c r="I3923" s="724" t="s">
        <v>95</v>
      </c>
      <c r="J3923" s="726">
        <f>L83</f>
        <v>320.68786999999998</v>
      </c>
      <c r="K3923" s="726">
        <f>ROUND(G3923*J3923,2)</f>
        <v>40.090000000000003</v>
      </c>
    </row>
    <row r="3924" spans="1:12">
      <c r="B3924" s="722" t="s">
        <v>1261</v>
      </c>
      <c r="G3924" s="987"/>
      <c r="J3924" s="827" t="s">
        <v>718</v>
      </c>
      <c r="K3924" s="1091">
        <f>SUM(K3921:K3923)</f>
        <v>101.02440860215053</v>
      </c>
      <c r="L3924" s="723" t="s">
        <v>730</v>
      </c>
    </row>
    <row r="3925" spans="1:12">
      <c r="A3925" s="836" t="str">
        <f>A684</f>
        <v>(ii)</v>
      </c>
      <c r="B3925" s="723" t="str">
        <f>B3873</f>
        <v>First Floor</v>
      </c>
      <c r="E3925" s="1089" t="str">
        <f>E3913</f>
        <v>Each Sqm</v>
      </c>
      <c r="F3925" s="1089"/>
      <c r="G3925" s="987"/>
      <c r="J3925" s="726"/>
      <c r="K3925" s="726"/>
    </row>
    <row r="3926" spans="1:12">
      <c r="B3926" s="722" t="s">
        <v>722</v>
      </c>
      <c r="G3926" s="987"/>
      <c r="J3926" s="726"/>
      <c r="K3926" s="726">
        <f>K3924</f>
        <v>101.02440860215053</v>
      </c>
    </row>
    <row r="3927" spans="1:12">
      <c r="B3927" s="722" t="s">
        <v>948</v>
      </c>
      <c r="G3927" s="987"/>
      <c r="J3927" s="726"/>
      <c r="K3927" s="726">
        <f>K3917/9.3*1*3%</f>
        <v>1.7921935483870963</v>
      </c>
    </row>
    <row r="3928" spans="1:12">
      <c r="G3928" s="987"/>
      <c r="J3928" s="827" t="s">
        <v>718</v>
      </c>
      <c r="K3928" s="1091">
        <f>SUM(K3926:K3927)</f>
        <v>102.81660215053762</v>
      </c>
      <c r="L3928" s="723" t="s">
        <v>730</v>
      </c>
    </row>
    <row r="3929" spans="1:12" ht="63.75" customHeight="1">
      <c r="A3929" s="836">
        <f>A685</f>
        <v>126</v>
      </c>
      <c r="B3929" s="3386" t="str">
        <f>B685</f>
        <v>Painting two coats with approved enamel paints of approved colour, shade over a coat of  primer over new Wood work including sand papering, polishing the surface,  etc, complete as per specification &amp; direction of Engineer-in-charge.</v>
      </c>
      <c r="C3929" s="3386"/>
      <c r="D3929" s="3386"/>
      <c r="E3929" s="1086" t="str">
        <f>G685</f>
        <v>Each Sqm</v>
      </c>
      <c r="F3929" s="1086"/>
      <c r="G3929" s="987"/>
      <c r="J3929" s="1091"/>
      <c r="K3929" s="1091"/>
    </row>
    <row r="3930" spans="1:12">
      <c r="A3930" s="836" t="str">
        <f>A686</f>
        <v>(i)</v>
      </c>
      <c r="B3930" s="723" t="str">
        <f>B686</f>
        <v>Ground Floor</v>
      </c>
      <c r="E3930" s="1089" t="str">
        <f>G686</f>
        <v>Each Sqm</v>
      </c>
      <c r="F3930" s="1089"/>
      <c r="G3930" s="987"/>
      <c r="J3930" s="726"/>
      <c r="K3930" s="726"/>
    </row>
    <row r="3931" spans="1:12">
      <c r="B3931" s="722" t="s">
        <v>1257</v>
      </c>
      <c r="G3931" s="987"/>
      <c r="J3931" s="726"/>
      <c r="K3931" s="726"/>
    </row>
    <row r="3932" spans="1:12">
      <c r="B3932" s="722" t="s">
        <v>1258</v>
      </c>
      <c r="G3932" s="987">
        <v>1.75</v>
      </c>
      <c r="H3932" s="722" t="s">
        <v>262</v>
      </c>
      <c r="I3932" s="724" t="s">
        <v>38</v>
      </c>
      <c r="J3932" s="726">
        <f>L132</f>
        <v>284.3</v>
      </c>
      <c r="K3932" s="1054">
        <f>ROUND(G3932*J3932,2)</f>
        <v>497.53</v>
      </c>
    </row>
    <row r="3933" spans="1:12">
      <c r="B3933" s="722" t="s">
        <v>717</v>
      </c>
      <c r="G3933" s="987">
        <v>1.6</v>
      </c>
      <c r="H3933" s="722" t="s">
        <v>262</v>
      </c>
      <c r="I3933" s="724" t="s">
        <v>38</v>
      </c>
      <c r="J3933" s="726">
        <f>L129</f>
        <v>182</v>
      </c>
      <c r="K3933" s="1054">
        <f>ROUND(G3933*J3933,2)</f>
        <v>291.2</v>
      </c>
    </row>
    <row r="3934" spans="1:12">
      <c r="G3934" s="987"/>
      <c r="J3934" s="726" t="s">
        <v>718</v>
      </c>
      <c r="K3934" s="1091">
        <f>SUM(K3932:K3933)</f>
        <v>788.73</v>
      </c>
    </row>
    <row r="3935" spans="1:12">
      <c r="G3935" s="987"/>
      <c r="J3935" s="726"/>
      <c r="K3935" s="726"/>
    </row>
    <row r="3936" spans="1:12">
      <c r="B3936" s="722" t="s">
        <v>1259</v>
      </c>
      <c r="G3936" s="987"/>
      <c r="J3936" s="726"/>
      <c r="K3936" s="726">
        <f>ROUND(K3934*2%,2)</f>
        <v>15.77</v>
      </c>
    </row>
    <row r="3937" spans="1:20">
      <c r="G3937" s="987"/>
      <c r="J3937" s="726" t="s">
        <v>718</v>
      </c>
      <c r="K3937" s="726">
        <f>SUM(K3934:K3936)</f>
        <v>804.5</v>
      </c>
    </row>
    <row r="3938" spans="1:20">
      <c r="B3938" s="722" t="s">
        <v>1024</v>
      </c>
      <c r="G3938" s="987"/>
      <c r="J3938" s="726"/>
      <c r="K3938" s="726">
        <f>ROUND(K3937/9.3,2)</f>
        <v>86.51</v>
      </c>
    </row>
    <row r="3939" spans="1:20">
      <c r="B3939" s="722" t="s">
        <v>1262</v>
      </c>
      <c r="G3939" s="987">
        <v>7.4999999999999997E-2</v>
      </c>
      <c r="H3939" s="722" t="s">
        <v>95</v>
      </c>
      <c r="I3939" s="724" t="s">
        <v>95</v>
      </c>
      <c r="J3939" s="726">
        <f>L90</f>
        <v>198.74787000000001</v>
      </c>
      <c r="K3939" s="1054">
        <f>ROUND(G3939*J3939,2)</f>
        <v>14.91</v>
      </c>
    </row>
    <row r="3940" spans="1:20">
      <c r="B3940" s="722" t="s">
        <v>1260</v>
      </c>
      <c r="G3940" s="987">
        <v>0.125</v>
      </c>
      <c r="H3940" s="722" t="s">
        <v>95</v>
      </c>
      <c r="I3940" s="724" t="s">
        <v>95</v>
      </c>
      <c r="J3940" s="726">
        <f>L83</f>
        <v>320.68786999999998</v>
      </c>
      <c r="K3940" s="1054">
        <f>ROUND(G3940*J3940,2)</f>
        <v>40.090000000000003</v>
      </c>
    </row>
    <row r="3941" spans="1:20">
      <c r="B3941" s="722" t="s">
        <v>1261</v>
      </c>
      <c r="G3941" s="987"/>
      <c r="J3941" s="827" t="s">
        <v>718</v>
      </c>
      <c r="K3941" s="1091">
        <f>SUM(K3938:K3940)</f>
        <v>141.51</v>
      </c>
      <c r="L3941" s="723" t="s">
        <v>730</v>
      </c>
    </row>
    <row r="3942" spans="1:20">
      <c r="A3942" s="836" t="str">
        <f>A3907</f>
        <v>(ii)</v>
      </c>
      <c r="B3942" s="723" t="str">
        <f>B3907</f>
        <v>First Floor</v>
      </c>
      <c r="E3942" s="1089" t="str">
        <f>E3930</f>
        <v>Each Sqm</v>
      </c>
      <c r="F3942" s="1089"/>
      <c r="G3942" s="987"/>
      <c r="J3942" s="726"/>
      <c r="K3942" s="726"/>
    </row>
    <row r="3943" spans="1:20">
      <c r="B3943" s="722" t="s">
        <v>722</v>
      </c>
      <c r="G3943" s="987"/>
      <c r="J3943" s="726"/>
      <c r="K3943" s="726">
        <f>K3941</f>
        <v>141.51</v>
      </c>
    </row>
    <row r="3944" spans="1:20">
      <c r="B3944" s="722" t="s">
        <v>948</v>
      </c>
      <c r="G3944" s="987"/>
      <c r="J3944" s="726"/>
      <c r="K3944" s="726">
        <f>ROUND(K3934/9.3*1*3%,2)</f>
        <v>2.54</v>
      </c>
    </row>
    <row r="3945" spans="1:20">
      <c r="G3945" s="987"/>
      <c r="J3945" s="827" t="s">
        <v>718</v>
      </c>
      <c r="K3945" s="1091">
        <f>SUM(K3943:K3944)</f>
        <v>144.04999999999998</v>
      </c>
      <c r="L3945" s="723" t="s">
        <v>730</v>
      </c>
    </row>
    <row r="3946" spans="1:20" s="714" customFormat="1" ht="48.75" customHeight="1">
      <c r="A3946" s="836">
        <f>A688</f>
        <v>127</v>
      </c>
      <c r="B3946" s="3400" t="str">
        <f>B688</f>
        <v>Fine dressing of earth work in Ordinary or Hard Soil in road formation according to the direction of the department including cutting or filling earth upto 0.15m depth of surface.</v>
      </c>
      <c r="C3946" s="3400"/>
      <c r="D3946" s="3400"/>
      <c r="E3946" s="1135" t="str">
        <f>G679</f>
        <v>Each Sqm</v>
      </c>
      <c r="F3946" s="1135"/>
      <c r="G3946" s="1136"/>
      <c r="H3946" s="1136"/>
      <c r="I3946" s="1137"/>
      <c r="J3946" s="1136"/>
      <c r="K3946" s="1136"/>
      <c r="L3946" s="1059"/>
      <c r="M3946" s="1136"/>
      <c r="T3946" s="716"/>
    </row>
    <row r="3947" spans="1:20" s="714" customFormat="1">
      <c r="A3947" s="1138"/>
      <c r="B3947" s="1055" t="s">
        <v>1265</v>
      </c>
      <c r="C3947" s="1055"/>
      <c r="D3947" s="1055"/>
      <c r="E3947" s="1139"/>
      <c r="F3947" s="1139"/>
      <c r="G3947" s="1055"/>
      <c r="H3947" s="1136"/>
      <c r="I3947" s="1137"/>
      <c r="J3947" s="1055"/>
      <c r="K3947" s="1055"/>
      <c r="L3947" s="1059"/>
      <c r="M3947" s="1136"/>
      <c r="T3947" s="716"/>
    </row>
    <row r="3948" spans="1:20" s="714" customFormat="1">
      <c r="A3948" s="1138"/>
      <c r="B3948" s="1053" t="s">
        <v>715</v>
      </c>
      <c r="C3948" s="1053"/>
      <c r="D3948" s="1055"/>
      <c r="E3948" s="1139"/>
      <c r="F3948" s="1139"/>
      <c r="G3948" s="1055"/>
      <c r="H3948" s="1136"/>
      <c r="I3948" s="1137"/>
      <c r="J3948" s="1055"/>
      <c r="K3948" s="1055"/>
      <c r="L3948" s="1059"/>
      <c r="M3948" s="1136"/>
      <c r="T3948" s="716"/>
    </row>
    <row r="3949" spans="1:20" s="714" customFormat="1">
      <c r="A3949" s="1138"/>
      <c r="B3949" s="1055" t="s">
        <v>1266</v>
      </c>
      <c r="C3949" s="1055"/>
      <c r="D3949" s="1055"/>
      <c r="E3949" s="1139"/>
      <c r="F3949" s="1139"/>
      <c r="G3949" s="1140">
        <v>1</v>
      </c>
      <c r="H3949" s="1136" t="s">
        <v>262</v>
      </c>
      <c r="I3949" s="1137" t="s">
        <v>38</v>
      </c>
      <c r="J3949" s="1054">
        <f>L129</f>
        <v>182</v>
      </c>
      <c r="K3949" s="1054">
        <f>ROUND(G3949*J3949,2)</f>
        <v>182</v>
      </c>
      <c r="L3949" s="1059"/>
      <c r="T3949" s="716"/>
    </row>
    <row r="3950" spans="1:20">
      <c r="B3950" s="722" t="s">
        <v>1259</v>
      </c>
      <c r="G3950" s="987"/>
      <c r="J3950" s="726"/>
      <c r="K3950" s="726">
        <f>K3949*2%</f>
        <v>3.64</v>
      </c>
    </row>
    <row r="3951" spans="1:20" s="714" customFormat="1">
      <c r="A3951" s="1138"/>
      <c r="B3951" s="1055"/>
      <c r="C3951" s="1055"/>
      <c r="D3951" s="1055"/>
      <c r="E3951" s="1139"/>
      <c r="F3951" s="1139"/>
      <c r="G3951" s="1140"/>
      <c r="H3951" s="1136"/>
      <c r="I3951" s="1137"/>
      <c r="J3951" s="1141" t="s">
        <v>718</v>
      </c>
      <c r="K3951" s="1052">
        <f>SUM(K3949:K3950)</f>
        <v>185.64</v>
      </c>
      <c r="L3951" s="1059"/>
      <c r="T3951" s="716"/>
    </row>
    <row r="3952" spans="1:20" s="714" customFormat="1">
      <c r="A3952" s="1138"/>
      <c r="B3952" s="1053"/>
      <c r="C3952" s="1053"/>
      <c r="D3952" s="1055"/>
      <c r="E3952" s="1139"/>
      <c r="F3952" s="1139"/>
      <c r="G3952" s="1140"/>
      <c r="H3952" s="1136"/>
      <c r="I3952" s="1137"/>
      <c r="J3952" s="1141"/>
      <c r="K3952" s="1052"/>
      <c r="L3952" s="1059"/>
      <c r="T3952" s="716"/>
    </row>
    <row r="3953" spans="1:20" s="714" customFormat="1">
      <c r="A3953" s="1138"/>
      <c r="B3953" s="1055" t="s">
        <v>1267</v>
      </c>
      <c r="C3953" s="1055"/>
      <c r="D3953" s="1055"/>
      <c r="E3953" s="1139"/>
      <c r="F3953" s="1139"/>
      <c r="G3953" s="1140"/>
      <c r="H3953" s="1136"/>
      <c r="I3953" s="1137"/>
      <c r="J3953" s="1141"/>
      <c r="K3953" s="1052">
        <f>K3951+K3952</f>
        <v>185.64</v>
      </c>
      <c r="L3953" s="1059"/>
      <c r="T3953" s="716"/>
    </row>
    <row r="3954" spans="1:20" s="714" customFormat="1">
      <c r="A3954" s="1138"/>
      <c r="B3954" s="1053" t="s">
        <v>1254</v>
      </c>
      <c r="C3954" s="1053"/>
      <c r="D3954" s="1053"/>
      <c r="E3954" s="1142"/>
      <c r="F3954" s="1142"/>
      <c r="G3954" s="1143"/>
      <c r="H3954" s="1059"/>
      <c r="I3954" s="1144"/>
      <c r="J3954" s="1141"/>
      <c r="K3954" s="1052">
        <f>ROUND(K3953/100,2)</f>
        <v>1.86</v>
      </c>
      <c r="L3954" s="1059" t="s">
        <v>730</v>
      </c>
      <c r="M3954" s="716"/>
      <c r="T3954" s="716"/>
    </row>
    <row r="3955" spans="1:20" s="714" customFormat="1" ht="36.75" customHeight="1">
      <c r="A3955" s="836">
        <f>A689</f>
        <v>128</v>
      </c>
      <c r="B3955" s="3400" t="str">
        <f>B689</f>
        <v>Cleaning grass and removal of rubbish upto a distance of 50metres outside the peryphery of the area etc complete as per specification.</v>
      </c>
      <c r="C3955" s="3400"/>
      <c r="D3955" s="3400"/>
      <c r="E3955" s="1135" t="str">
        <f>G689</f>
        <v>Each Sqm</v>
      </c>
      <c r="F3955" s="1135"/>
      <c r="G3955" s="1136"/>
      <c r="H3955" s="1136"/>
      <c r="I3955" s="1137"/>
      <c r="J3955" s="1136"/>
      <c r="K3955" s="1136"/>
      <c r="L3955" s="1059"/>
      <c r="M3955" s="1136"/>
      <c r="T3955" s="716"/>
    </row>
    <row r="3956" spans="1:20" s="714" customFormat="1">
      <c r="A3956" s="1138"/>
      <c r="B3956" s="1055" t="s">
        <v>1268</v>
      </c>
      <c r="C3956" s="1055"/>
      <c r="D3956" s="1055"/>
      <c r="E3956" s="1139"/>
      <c r="F3956" s="1139"/>
      <c r="G3956" s="1055"/>
      <c r="H3956" s="1136"/>
      <c r="I3956" s="1137"/>
      <c r="J3956" s="1055"/>
      <c r="K3956" s="1055"/>
      <c r="L3956" s="1059"/>
      <c r="M3956" s="1136"/>
      <c r="T3956" s="716"/>
    </row>
    <row r="3957" spans="1:20" s="714" customFormat="1">
      <c r="A3957" s="1138"/>
      <c r="B3957" s="1053" t="s">
        <v>715</v>
      </c>
      <c r="C3957" s="1053"/>
      <c r="D3957" s="1055"/>
      <c r="E3957" s="1139"/>
      <c r="F3957" s="1139"/>
      <c r="G3957" s="1055"/>
      <c r="H3957" s="1136"/>
      <c r="I3957" s="1137"/>
      <c r="J3957" s="1055"/>
      <c r="K3957" s="1055"/>
      <c r="L3957" s="1059"/>
      <c r="M3957" s="1136"/>
      <c r="T3957" s="716"/>
    </row>
    <row r="3958" spans="1:20" s="714" customFormat="1">
      <c r="A3958" s="1138"/>
      <c r="B3958" s="1055" t="s">
        <v>744</v>
      </c>
      <c r="C3958" s="1055"/>
      <c r="D3958" s="1055"/>
      <c r="E3958" s="1139"/>
      <c r="F3958" s="1139"/>
      <c r="G3958" s="1140">
        <v>2</v>
      </c>
      <c r="H3958" s="1136" t="s">
        <v>262</v>
      </c>
      <c r="I3958" s="1137" t="s">
        <v>38</v>
      </c>
      <c r="J3958" s="1054">
        <f>L130</f>
        <v>244.3</v>
      </c>
      <c r="K3958" s="1054">
        <f>ROUND(G3958*J3958,2)</f>
        <v>488.6</v>
      </c>
      <c r="L3958" s="1059"/>
      <c r="T3958" s="716"/>
    </row>
    <row r="3959" spans="1:20" s="714" customFormat="1">
      <c r="A3959" s="1138"/>
      <c r="B3959" s="1055" t="s">
        <v>1266</v>
      </c>
      <c r="C3959" s="1055"/>
      <c r="D3959" s="1055"/>
      <c r="E3959" s="1139"/>
      <c r="F3959" s="1139"/>
      <c r="G3959" s="1140">
        <v>50</v>
      </c>
      <c r="H3959" s="1136" t="s">
        <v>262</v>
      </c>
      <c r="I3959" s="1137" t="s">
        <v>38</v>
      </c>
      <c r="J3959" s="1054">
        <f>L129</f>
        <v>182</v>
      </c>
      <c r="K3959" s="1054">
        <f>ROUND(G3959*J3959,2)</f>
        <v>9100</v>
      </c>
      <c r="L3959" s="1059"/>
      <c r="T3959" s="716"/>
    </row>
    <row r="3960" spans="1:20" s="714" customFormat="1">
      <c r="A3960" s="1138"/>
      <c r="B3960" s="1055"/>
      <c r="C3960" s="1055"/>
      <c r="D3960" s="1055"/>
      <c r="E3960" s="1139"/>
      <c r="F3960" s="1139"/>
      <c r="G3960" s="1140"/>
      <c r="H3960" s="1136"/>
      <c r="I3960" s="1137"/>
      <c r="J3960" s="1141" t="s">
        <v>718</v>
      </c>
      <c r="K3960" s="1052">
        <f>K3958+K3959</f>
        <v>9588.6</v>
      </c>
      <c r="L3960" s="1059"/>
      <c r="T3960" s="716"/>
    </row>
    <row r="3961" spans="1:20" s="714" customFormat="1">
      <c r="A3961" s="1138"/>
      <c r="B3961" s="1053"/>
      <c r="C3961" s="1053"/>
      <c r="D3961" s="1055"/>
      <c r="E3961" s="1139"/>
      <c r="F3961" s="1139"/>
      <c r="G3961" s="1140"/>
      <c r="H3961" s="1136"/>
      <c r="I3961" s="1137"/>
      <c r="J3961" s="1141"/>
      <c r="K3961" s="1052"/>
      <c r="L3961" s="1059"/>
      <c r="T3961" s="716"/>
    </row>
    <row r="3962" spans="1:20" s="714" customFormat="1">
      <c r="A3962" s="1138"/>
      <c r="B3962" s="1055" t="s">
        <v>1269</v>
      </c>
      <c r="C3962" s="1055"/>
      <c r="D3962" s="1055"/>
      <c r="E3962" s="1139"/>
      <c r="F3962" s="1139"/>
      <c r="G3962" s="1140"/>
      <c r="H3962" s="1136"/>
      <c r="I3962" s="1137"/>
      <c r="J3962" s="1141"/>
      <c r="K3962" s="1052">
        <f>K3960+K3961</f>
        <v>9588.6</v>
      </c>
      <c r="L3962" s="1059"/>
      <c r="T3962" s="716"/>
    </row>
    <row r="3963" spans="1:20" s="714" customFormat="1">
      <c r="A3963" s="1138"/>
      <c r="B3963" s="1053" t="s">
        <v>1254</v>
      </c>
      <c r="C3963" s="1053"/>
      <c r="D3963" s="1053"/>
      <c r="E3963" s="1142"/>
      <c r="F3963" s="1142"/>
      <c r="G3963" s="1143"/>
      <c r="H3963" s="1059"/>
      <c r="I3963" s="1144"/>
      <c r="J3963" s="1141"/>
      <c r="K3963" s="1052">
        <f>ROUND(K3962/10000,2)</f>
        <v>0.96</v>
      </c>
      <c r="L3963" s="1059" t="s">
        <v>730</v>
      </c>
      <c r="M3963" s="716"/>
      <c r="T3963" s="716"/>
    </row>
    <row r="3964" spans="1:20" s="714" customFormat="1" ht="110.25" customHeight="1">
      <c r="A3964" s="1138">
        <f>A690</f>
        <v>129</v>
      </c>
      <c r="B3964" s="3400" t="str">
        <f>B690</f>
        <v>Cleaning and grubbing road land including uprooting rank vegetation, grass, bushes, shrubs, sapling and trees girth up to 300mm, removal of stumps of trees cut earlier and disposal of unserviceable materials and stacking of serviceable materials to be used or auctioned, up to lead of 1000m including removal and disposal of top organic soil not exceeding 150mm in thickness. (in area of light jungle)</v>
      </c>
      <c r="C3964" s="3400"/>
      <c r="D3964" s="3400"/>
      <c r="E3964" s="1135" t="str">
        <f>G690</f>
        <v>Each Sqm</v>
      </c>
      <c r="F3964" s="1135"/>
      <c r="G3964" s="1136"/>
      <c r="H3964" s="1136"/>
      <c r="I3964" s="1137"/>
      <c r="J3964" s="1136"/>
      <c r="K3964" s="1136"/>
      <c r="L3964" s="1059"/>
      <c r="M3964" s="1136"/>
      <c r="T3964" s="716"/>
    </row>
    <row r="3965" spans="1:20" s="714" customFormat="1" ht="13.5" customHeight="1">
      <c r="A3965" s="1138" t="str">
        <f>A691</f>
        <v>i</v>
      </c>
      <c r="B3965" s="1145" t="str">
        <f>B691</f>
        <v>Light Jungle</v>
      </c>
      <c r="C3965" s="1146"/>
      <c r="D3965" s="1146"/>
      <c r="E3965" s="1135"/>
      <c r="F3965" s="1135"/>
      <c r="G3965" s="1136"/>
      <c r="H3965" s="1136"/>
      <c r="I3965" s="1137"/>
      <c r="J3965" s="1136"/>
      <c r="K3965" s="1136"/>
      <c r="L3965" s="1059"/>
      <c r="M3965" s="1136"/>
      <c r="T3965" s="716"/>
    </row>
    <row r="3966" spans="1:20" s="714" customFormat="1">
      <c r="B3966" s="1053" t="s">
        <v>1268</v>
      </c>
      <c r="C3966" s="1055"/>
      <c r="D3966" s="1055"/>
      <c r="E3966" s="1139"/>
      <c r="F3966" s="1139"/>
      <c r="G3966" s="1055"/>
      <c r="H3966" s="1136"/>
      <c r="I3966" s="1137"/>
      <c r="J3966" s="1055"/>
      <c r="K3966" s="1055"/>
      <c r="L3966" s="1059"/>
      <c r="M3966" s="1136"/>
      <c r="T3966" s="716"/>
    </row>
    <row r="3967" spans="1:20" s="714" customFormat="1">
      <c r="A3967" s="1138"/>
      <c r="B3967" s="1053" t="s">
        <v>715</v>
      </c>
      <c r="C3967" s="1053"/>
      <c r="D3967" s="1055"/>
      <c r="E3967" s="1139"/>
      <c r="F3967" s="1139"/>
      <c r="G3967" s="1055"/>
      <c r="H3967" s="1136"/>
      <c r="I3967" s="1137"/>
      <c r="J3967" s="1055"/>
      <c r="K3967" s="1055"/>
      <c r="L3967" s="1059"/>
      <c r="M3967" s="1136"/>
      <c r="T3967" s="716"/>
    </row>
    <row r="3968" spans="1:20" s="714" customFormat="1">
      <c r="A3968" s="1138"/>
      <c r="B3968" s="1055" t="s">
        <v>744</v>
      </c>
      <c r="C3968" s="1055"/>
      <c r="D3968" s="1055"/>
      <c r="E3968" s="1139"/>
      <c r="F3968" s="1139"/>
      <c r="G3968" s="1140">
        <v>6</v>
      </c>
      <c r="H3968" s="1136" t="s">
        <v>262</v>
      </c>
      <c r="I3968" s="1137" t="s">
        <v>38</v>
      </c>
      <c r="J3968" s="1054">
        <f>L130</f>
        <v>244.3</v>
      </c>
      <c r="K3968" s="1054">
        <f>ROUND(G3968*J3968,2)</f>
        <v>1465.8</v>
      </c>
      <c r="L3968" s="1059"/>
      <c r="T3968" s="716"/>
    </row>
    <row r="3969" spans="1:20" s="714" customFormat="1">
      <c r="A3969" s="1138"/>
      <c r="B3969" s="1055" t="s">
        <v>1266</v>
      </c>
      <c r="C3969" s="1055"/>
      <c r="D3969" s="1055"/>
      <c r="E3969" s="1139"/>
      <c r="F3969" s="1139"/>
      <c r="G3969" s="1140">
        <v>150</v>
      </c>
      <c r="H3969" s="1136" t="s">
        <v>262</v>
      </c>
      <c r="I3969" s="1137" t="s">
        <v>38</v>
      </c>
      <c r="J3969" s="1054">
        <f>L129</f>
        <v>182</v>
      </c>
      <c r="K3969" s="1054">
        <f>ROUND(G3969*J3969,2)</f>
        <v>27300</v>
      </c>
      <c r="L3969" s="1059"/>
      <c r="T3969" s="716"/>
    </row>
    <row r="3970" spans="1:20" s="714" customFormat="1">
      <c r="A3970" s="1138"/>
      <c r="B3970" s="1055"/>
      <c r="C3970" s="1055"/>
      <c r="D3970" s="1055"/>
      <c r="E3970" s="1139"/>
      <c r="F3970" s="1139"/>
      <c r="G3970" s="1140"/>
      <c r="H3970" s="1136"/>
      <c r="I3970" s="1137"/>
      <c r="J3970" s="1141" t="s">
        <v>718</v>
      </c>
      <c r="K3970" s="1052">
        <f>K3968+K3969</f>
        <v>28765.8</v>
      </c>
      <c r="L3970" s="1059"/>
      <c r="T3970" s="716"/>
    </row>
    <row r="3971" spans="1:20" s="714" customFormat="1">
      <c r="A3971" s="1138"/>
      <c r="B3971" s="1053" t="s">
        <v>745</v>
      </c>
      <c r="C3971" s="1053"/>
      <c r="D3971" s="1055"/>
      <c r="E3971" s="1139"/>
      <c r="F3971" s="1139"/>
      <c r="G3971" s="1140"/>
      <c r="H3971" s="1136"/>
      <c r="I3971" s="1137"/>
      <c r="J3971" s="1054"/>
      <c r="K3971" s="1052"/>
      <c r="L3971" s="1059"/>
      <c r="T3971" s="716"/>
    </row>
    <row r="3972" spans="1:20" s="714" customFormat="1">
      <c r="A3972" s="1138"/>
      <c r="B3972" s="1055" t="s">
        <v>1270</v>
      </c>
      <c r="C3972" s="1055"/>
      <c r="D3972" s="1055"/>
      <c r="E3972" s="1139"/>
      <c r="F3972" s="1139"/>
      <c r="G3972" s="1140">
        <v>1</v>
      </c>
      <c r="H3972" s="1136" t="s">
        <v>312</v>
      </c>
      <c r="I3972" s="1137" t="s">
        <v>312</v>
      </c>
      <c r="J3972" s="1054">
        <f>G208</f>
        <v>357.55</v>
      </c>
      <c r="K3972" s="1054">
        <f>ROUND(G3972*J3972,2)</f>
        <v>357.55</v>
      </c>
      <c r="L3972" s="1059"/>
      <c r="T3972" s="716"/>
    </row>
    <row r="3973" spans="1:20" s="714" customFormat="1">
      <c r="A3973" s="1138"/>
      <c r="B3973" s="1055"/>
      <c r="C3973" s="1055"/>
      <c r="D3973" s="1055"/>
      <c r="E3973" s="1139"/>
      <c r="F3973" s="1139"/>
      <c r="G3973" s="1140"/>
      <c r="H3973" s="1136"/>
      <c r="I3973" s="1137"/>
      <c r="J3973" s="1141" t="s">
        <v>718</v>
      </c>
      <c r="K3973" s="1052">
        <f>SUM(K3972:K3972)</f>
        <v>357.55</v>
      </c>
      <c r="L3973" s="1059"/>
      <c r="T3973" s="716"/>
    </row>
    <row r="3974" spans="1:20" s="714" customFormat="1">
      <c r="A3974" s="1138"/>
      <c r="B3974" s="1055" t="s">
        <v>760</v>
      </c>
      <c r="C3974" s="1055"/>
      <c r="D3974" s="1055"/>
      <c r="E3974" s="1139"/>
      <c r="F3974" s="1139"/>
      <c r="G3974" s="1140"/>
      <c r="H3974" s="1136"/>
      <c r="I3974" s="1137"/>
      <c r="J3974" s="1141"/>
      <c r="K3974" s="1052">
        <f>K3970+K3973</f>
        <v>29123.35</v>
      </c>
      <c r="L3974" s="1059"/>
      <c r="T3974" s="716"/>
    </row>
    <row r="3975" spans="1:20" s="714" customFormat="1">
      <c r="A3975" s="1138"/>
      <c r="B3975" s="1053"/>
      <c r="C3975" s="1053"/>
      <c r="D3975" s="1055"/>
      <c r="E3975" s="1139"/>
      <c r="F3975" s="1139"/>
      <c r="G3975" s="1140"/>
      <c r="H3975" s="1136"/>
      <c r="I3975" s="1137"/>
      <c r="J3975" s="1141"/>
      <c r="K3975" s="1052"/>
      <c r="L3975" s="1059"/>
      <c r="T3975" s="716"/>
    </row>
    <row r="3976" spans="1:20" s="714" customFormat="1">
      <c r="A3976" s="1138"/>
      <c r="B3976" s="1053" t="s">
        <v>1269</v>
      </c>
      <c r="C3976" s="1055"/>
      <c r="D3976" s="1055"/>
      <c r="E3976" s="1139"/>
      <c r="F3976" s="1139"/>
      <c r="G3976" s="1140"/>
      <c r="H3976" s="1136"/>
      <c r="I3976" s="1137"/>
      <c r="J3976" s="1141"/>
      <c r="K3976" s="1052">
        <f>K3974+K3975</f>
        <v>29123.35</v>
      </c>
      <c r="L3976" s="1059"/>
      <c r="T3976" s="716"/>
    </row>
    <row r="3977" spans="1:20" s="714" customFormat="1">
      <c r="A3977" s="1138"/>
      <c r="B3977" s="1053" t="s">
        <v>1254</v>
      </c>
      <c r="C3977" s="1053"/>
      <c r="D3977" s="1053"/>
      <c r="E3977" s="1142"/>
      <c r="F3977" s="1142"/>
      <c r="G3977" s="1143"/>
      <c r="H3977" s="1059"/>
      <c r="I3977" s="1144"/>
      <c r="J3977" s="1141"/>
      <c r="K3977" s="1052">
        <f>ROUND(K3976/10000,2)</f>
        <v>2.91</v>
      </c>
      <c r="L3977" s="1059" t="s">
        <v>730</v>
      </c>
      <c r="M3977" s="716"/>
      <c r="T3977" s="716"/>
    </row>
    <row r="3978" spans="1:20" s="714" customFormat="1">
      <c r="A3978" s="1138" t="str">
        <f>A692</f>
        <v>ii</v>
      </c>
      <c r="B3978" s="1053" t="str">
        <f>B692</f>
        <v>Thorney Jungle</v>
      </c>
      <c r="C3978" s="1055"/>
      <c r="D3978" s="1055"/>
      <c r="E3978" s="1139"/>
      <c r="F3978" s="1139"/>
      <c r="G3978" s="1055"/>
      <c r="H3978" s="1136"/>
      <c r="I3978" s="1137"/>
      <c r="J3978" s="1055"/>
      <c r="K3978" s="1055"/>
      <c r="L3978" s="1059"/>
      <c r="M3978" s="1136"/>
      <c r="T3978" s="716"/>
    </row>
    <row r="3979" spans="1:20" s="714" customFormat="1">
      <c r="A3979" s="1138"/>
      <c r="B3979" s="1053" t="s">
        <v>715</v>
      </c>
      <c r="C3979" s="1053"/>
      <c r="D3979" s="1055"/>
      <c r="E3979" s="1139"/>
      <c r="F3979" s="1139"/>
      <c r="G3979" s="1055"/>
      <c r="H3979" s="1136"/>
      <c r="I3979" s="1137"/>
      <c r="J3979" s="1055"/>
      <c r="K3979" s="1055"/>
      <c r="L3979" s="1059"/>
      <c r="M3979" s="1136"/>
      <c r="T3979" s="716"/>
    </row>
    <row r="3980" spans="1:20" s="714" customFormat="1">
      <c r="A3980" s="1138"/>
      <c r="B3980" s="1055" t="s">
        <v>744</v>
      </c>
      <c r="C3980" s="1055"/>
      <c r="D3980" s="1055"/>
      <c r="E3980" s="1139"/>
      <c r="F3980" s="1139"/>
      <c r="G3980" s="1140">
        <v>8</v>
      </c>
      <c r="H3980" s="1136" t="s">
        <v>262</v>
      </c>
      <c r="I3980" s="1137" t="s">
        <v>38</v>
      </c>
      <c r="J3980" s="1054">
        <f>L130</f>
        <v>244.3</v>
      </c>
      <c r="K3980" s="1054">
        <f>ROUND(G3980*J3980,2)</f>
        <v>1954.4</v>
      </c>
      <c r="L3980" s="1059"/>
      <c r="T3980" s="716"/>
    </row>
    <row r="3981" spans="1:20" s="714" customFormat="1">
      <c r="A3981" s="1138"/>
      <c r="B3981" s="1055" t="s">
        <v>1266</v>
      </c>
      <c r="C3981" s="1055"/>
      <c r="D3981" s="1055"/>
      <c r="E3981" s="1139"/>
      <c r="F3981" s="1139"/>
      <c r="G3981" s="1140">
        <v>200</v>
      </c>
      <c r="H3981" s="1136" t="s">
        <v>262</v>
      </c>
      <c r="I3981" s="1137" t="s">
        <v>38</v>
      </c>
      <c r="J3981" s="1054">
        <f>L129</f>
        <v>182</v>
      </c>
      <c r="K3981" s="1054">
        <f>ROUND(G3981*J3981,2)</f>
        <v>36400</v>
      </c>
      <c r="L3981" s="1059"/>
      <c r="T3981" s="716"/>
    </row>
    <row r="3982" spans="1:20" s="714" customFormat="1">
      <c r="A3982" s="1138"/>
      <c r="B3982" s="1055"/>
      <c r="C3982" s="1055"/>
      <c r="D3982" s="1055"/>
      <c r="E3982" s="1139"/>
      <c r="F3982" s="1139"/>
      <c r="G3982" s="1140"/>
      <c r="H3982" s="1136"/>
      <c r="I3982" s="1137"/>
      <c r="J3982" s="1141" t="s">
        <v>718</v>
      </c>
      <c r="K3982" s="1052">
        <f>K3980+K3981</f>
        <v>38354.400000000001</v>
      </c>
      <c r="L3982" s="1059"/>
      <c r="T3982" s="716"/>
    </row>
    <row r="3983" spans="1:20" s="714" customFormat="1">
      <c r="A3983" s="1138"/>
      <c r="B3983" s="1053" t="s">
        <v>745</v>
      </c>
      <c r="C3983" s="1053"/>
      <c r="D3983" s="1055"/>
      <c r="E3983" s="1139"/>
      <c r="F3983" s="1139"/>
      <c r="G3983" s="1140"/>
      <c r="H3983" s="1136"/>
      <c r="I3983" s="1137"/>
      <c r="J3983" s="1054"/>
      <c r="K3983" s="1052"/>
      <c r="L3983" s="1059"/>
      <c r="T3983" s="716"/>
    </row>
    <row r="3984" spans="1:20" s="714" customFormat="1">
      <c r="A3984" s="1138"/>
      <c r="B3984" s="1055" t="s">
        <v>1270</v>
      </c>
      <c r="C3984" s="1055"/>
      <c r="D3984" s="1055"/>
      <c r="E3984" s="1139"/>
      <c r="F3984" s="1139"/>
      <c r="G3984" s="1140">
        <v>2</v>
      </c>
      <c r="H3984" s="1136" t="s">
        <v>312</v>
      </c>
      <c r="I3984" s="1137" t="s">
        <v>312</v>
      </c>
      <c r="J3984" s="1054">
        <f>G208</f>
        <v>357.55</v>
      </c>
      <c r="K3984" s="1054">
        <f>ROUND(G3984*J3984,2)</f>
        <v>715.1</v>
      </c>
      <c r="L3984" s="1059"/>
      <c r="T3984" s="716"/>
    </row>
    <row r="3985" spans="1:20" s="714" customFormat="1">
      <c r="A3985" s="1138"/>
      <c r="B3985" s="1055"/>
      <c r="C3985" s="1055"/>
      <c r="D3985" s="1055"/>
      <c r="E3985" s="1139"/>
      <c r="F3985" s="1139"/>
      <c r="G3985" s="1140"/>
      <c r="H3985" s="1136"/>
      <c r="I3985" s="1137"/>
      <c r="J3985" s="1141" t="s">
        <v>718</v>
      </c>
      <c r="K3985" s="1052">
        <f>SUM(K3984:K3984)</f>
        <v>715.1</v>
      </c>
      <c r="L3985" s="1059"/>
      <c r="T3985" s="716"/>
    </row>
    <row r="3986" spans="1:20" s="714" customFormat="1">
      <c r="A3986" s="1138"/>
      <c r="B3986" s="1055" t="s">
        <v>760</v>
      </c>
      <c r="C3986" s="1055"/>
      <c r="D3986" s="1055"/>
      <c r="E3986" s="1139"/>
      <c r="F3986" s="1139"/>
      <c r="G3986" s="1140"/>
      <c r="H3986" s="1136"/>
      <c r="I3986" s="1137"/>
      <c r="J3986" s="1141"/>
      <c r="K3986" s="1052">
        <f>K3982+K3985</f>
        <v>39069.5</v>
      </c>
      <c r="L3986" s="1059"/>
      <c r="T3986" s="716"/>
    </row>
    <row r="3987" spans="1:20" s="714" customFormat="1">
      <c r="A3987" s="1138"/>
      <c r="B3987" s="1053"/>
      <c r="C3987" s="1053"/>
      <c r="D3987" s="1055"/>
      <c r="E3987" s="1139"/>
      <c r="F3987" s="1139"/>
      <c r="G3987" s="1140"/>
      <c r="H3987" s="1136"/>
      <c r="I3987" s="1137"/>
      <c r="J3987" s="1141"/>
      <c r="K3987" s="1052"/>
      <c r="L3987" s="1059"/>
      <c r="T3987" s="716"/>
    </row>
    <row r="3988" spans="1:20" s="714" customFormat="1">
      <c r="A3988" s="1138"/>
      <c r="B3988" s="1055" t="s">
        <v>1269</v>
      </c>
      <c r="C3988" s="1055"/>
      <c r="D3988" s="1055"/>
      <c r="E3988" s="1139"/>
      <c r="F3988" s="1139"/>
      <c r="G3988" s="1140"/>
      <c r="H3988" s="1136"/>
      <c r="I3988" s="1137"/>
      <c r="J3988" s="1141"/>
      <c r="K3988" s="1052">
        <f>K3986+K3987</f>
        <v>39069.5</v>
      </c>
      <c r="L3988" s="1059"/>
      <c r="T3988" s="716"/>
    </row>
    <row r="3989" spans="1:20" s="714" customFormat="1">
      <c r="A3989" s="1138"/>
      <c r="B3989" s="1053" t="s">
        <v>1254</v>
      </c>
      <c r="C3989" s="1053"/>
      <c r="D3989" s="1053"/>
      <c r="E3989" s="1142"/>
      <c r="F3989" s="1142"/>
      <c r="G3989" s="1143"/>
      <c r="H3989" s="1059"/>
      <c r="I3989" s="1144"/>
      <c r="J3989" s="1141"/>
      <c r="K3989" s="1052">
        <f>ROUND(K3988/10000,2)</f>
        <v>3.91</v>
      </c>
      <c r="L3989" s="1059" t="s">
        <v>730</v>
      </c>
      <c r="M3989" s="716"/>
      <c r="T3989" s="716"/>
    </row>
    <row r="3990" spans="1:20" s="714" customFormat="1" ht="62.25" customHeight="1">
      <c r="A3990" s="1138">
        <f>A693</f>
        <v>130</v>
      </c>
      <c r="B3990" s="3400" t="str">
        <f>B693</f>
        <v>Dismantling dry brick pitching or brick soling including T&amp;P, sorting the dismantled material , disposal of unseviceable material and stacking the serviciable material with all lifts and lead of 1000 mtres.</v>
      </c>
      <c r="C3990" s="3400"/>
      <c r="D3990" s="3400"/>
      <c r="E3990" s="1135" t="str">
        <f>G693</f>
        <v>Each Cum</v>
      </c>
      <c r="F3990" s="1135"/>
      <c r="G3990" s="1136"/>
      <c r="H3990" s="1136"/>
      <c r="I3990" s="1137"/>
      <c r="J3990" s="1136"/>
      <c r="K3990" s="1136"/>
      <c r="L3990" s="1059"/>
      <c r="M3990" s="1136"/>
      <c r="T3990" s="716"/>
    </row>
    <row r="3991" spans="1:20" s="714" customFormat="1">
      <c r="A3991" s="1138" t="s">
        <v>413</v>
      </c>
      <c r="B3991" s="1053" t="s">
        <v>1271</v>
      </c>
      <c r="C3991" s="1055"/>
      <c r="D3991" s="1055"/>
      <c r="E3991" s="1139"/>
      <c r="F3991" s="1139"/>
      <c r="G3991" s="1055"/>
      <c r="H3991" s="1136"/>
      <c r="I3991" s="1137"/>
      <c r="J3991" s="1055"/>
      <c r="K3991" s="1055"/>
      <c r="L3991" s="1059"/>
      <c r="M3991" s="1136"/>
      <c r="T3991" s="716"/>
    </row>
    <row r="3992" spans="1:20" s="714" customFormat="1">
      <c r="A3992" s="1138"/>
      <c r="B3992" s="1053" t="s">
        <v>715</v>
      </c>
      <c r="C3992" s="1053"/>
      <c r="D3992" s="1055"/>
      <c r="E3992" s="1139"/>
      <c r="F3992" s="1139"/>
      <c r="G3992" s="1055"/>
      <c r="H3992" s="1136"/>
      <c r="I3992" s="1137"/>
      <c r="J3992" s="1055"/>
      <c r="K3992" s="1055"/>
      <c r="L3992" s="1059"/>
      <c r="M3992" s="1136"/>
      <c r="T3992" s="716"/>
    </row>
    <row r="3993" spans="1:20" s="714" customFormat="1">
      <c r="A3993" s="1138"/>
      <c r="B3993" s="1055" t="s">
        <v>744</v>
      </c>
      <c r="C3993" s="1055"/>
      <c r="D3993" s="1055"/>
      <c r="E3993" s="1139"/>
      <c r="F3993" s="1139"/>
      <c r="G3993" s="1140">
        <v>1.4E-2</v>
      </c>
      <c r="H3993" s="1136" t="s">
        <v>262</v>
      </c>
      <c r="I3993" s="1137" t="s">
        <v>38</v>
      </c>
      <c r="J3993" s="1054">
        <f>L130</f>
        <v>244.3</v>
      </c>
      <c r="K3993" s="1054">
        <f>ROUND(G3993*J3993,2)</f>
        <v>3.42</v>
      </c>
      <c r="L3993" s="1059"/>
      <c r="T3993" s="716"/>
    </row>
    <row r="3994" spans="1:20" s="714" customFormat="1">
      <c r="A3994" s="1138"/>
      <c r="B3994" s="1055" t="s">
        <v>1266</v>
      </c>
      <c r="C3994" s="1055"/>
      <c r="D3994" s="1055"/>
      <c r="E3994" s="1139"/>
      <c r="F3994" s="1139"/>
      <c r="G3994" s="1140">
        <v>0.35</v>
      </c>
      <c r="H3994" s="1136" t="s">
        <v>262</v>
      </c>
      <c r="I3994" s="1137" t="s">
        <v>38</v>
      </c>
      <c r="J3994" s="1054">
        <f>L129</f>
        <v>182</v>
      </c>
      <c r="K3994" s="1054">
        <f>ROUND(G3994*J3994,2)</f>
        <v>63.7</v>
      </c>
      <c r="L3994" s="1059"/>
      <c r="T3994" s="716"/>
    </row>
    <row r="3995" spans="1:20" s="714" customFormat="1">
      <c r="A3995" s="1138"/>
      <c r="B3995" s="1055"/>
      <c r="C3995" s="1055"/>
      <c r="D3995" s="1055"/>
      <c r="E3995" s="1139"/>
      <c r="F3995" s="1139"/>
      <c r="G3995" s="1140"/>
      <c r="H3995" s="1136"/>
      <c r="I3995" s="1137"/>
      <c r="J3995" s="1141" t="s">
        <v>718</v>
      </c>
      <c r="K3995" s="1052">
        <f>K3993+K3994</f>
        <v>67.12</v>
      </c>
      <c r="L3995" s="1059"/>
      <c r="T3995" s="716"/>
    </row>
    <row r="3996" spans="1:20" s="714" customFormat="1">
      <c r="A3996" s="1138"/>
      <c r="B3996" s="1053" t="s">
        <v>745</v>
      </c>
      <c r="C3996" s="1053"/>
      <c r="D3996" s="1055"/>
      <c r="E3996" s="1139"/>
      <c r="F3996" s="1139"/>
      <c r="G3996" s="1140"/>
      <c r="H3996" s="1136"/>
      <c r="I3996" s="1137"/>
      <c r="J3996" s="1054"/>
      <c r="K3996" s="1052"/>
      <c r="L3996" s="1059"/>
      <c r="T3996" s="716"/>
    </row>
    <row r="3997" spans="1:20" s="714" customFormat="1">
      <c r="A3997" s="1138"/>
      <c r="B3997" s="1055" t="s">
        <v>1270</v>
      </c>
      <c r="C3997" s="1055"/>
      <c r="D3997" s="1055"/>
      <c r="E3997" s="1139"/>
      <c r="F3997" s="1139"/>
      <c r="G3997" s="1140">
        <v>0.27</v>
      </c>
      <c r="H3997" s="1136" t="s">
        <v>312</v>
      </c>
      <c r="I3997" s="1137" t="s">
        <v>312</v>
      </c>
      <c r="J3997" s="1054">
        <f>G208</f>
        <v>357.55</v>
      </c>
      <c r="K3997" s="1054">
        <f>ROUND(G3997*J3997,2)</f>
        <v>96.54</v>
      </c>
      <c r="L3997" s="1059"/>
      <c r="T3997" s="716"/>
    </row>
    <row r="3998" spans="1:20" s="714" customFormat="1">
      <c r="A3998" s="1138"/>
      <c r="B3998" s="1055"/>
      <c r="C3998" s="1055"/>
      <c r="D3998" s="1055"/>
      <c r="E3998" s="1139"/>
      <c r="F3998" s="1139"/>
      <c r="G3998" s="1140"/>
      <c r="H3998" s="1136"/>
      <c r="I3998" s="1137"/>
      <c r="J3998" s="1141" t="s">
        <v>718</v>
      </c>
      <c r="K3998" s="1052">
        <f>SUM(K3997:K3997)</f>
        <v>96.54</v>
      </c>
      <c r="L3998" s="1059"/>
      <c r="T3998" s="716"/>
    </row>
    <row r="3999" spans="1:20" s="714" customFormat="1">
      <c r="A3999" s="1138"/>
      <c r="B3999" s="1055" t="s">
        <v>760</v>
      </c>
      <c r="C3999" s="1055"/>
      <c r="D3999" s="1055"/>
      <c r="E3999" s="1139"/>
      <c r="F3999" s="1139"/>
      <c r="G3999" s="1140"/>
      <c r="H3999" s="1136"/>
      <c r="I3999" s="1137"/>
      <c r="J3999" s="1141"/>
      <c r="K3999" s="1052">
        <f>K3995+K3998</f>
        <v>163.66000000000003</v>
      </c>
      <c r="L3999" s="1059"/>
      <c r="T3999" s="716"/>
    </row>
    <row r="4000" spans="1:20" s="714" customFormat="1">
      <c r="A4000" s="1138"/>
      <c r="B4000" s="1053"/>
      <c r="C4000" s="1053"/>
      <c r="D4000" s="1055"/>
      <c r="E4000" s="1139"/>
      <c r="F4000" s="1139"/>
      <c r="G4000" s="1140"/>
      <c r="H4000" s="1136"/>
      <c r="I4000" s="1137"/>
      <c r="J4000" s="1141"/>
      <c r="K4000" s="1052"/>
      <c r="L4000" s="1059"/>
      <c r="T4000" s="716"/>
    </row>
    <row r="4001" spans="1:20" s="714" customFormat="1">
      <c r="A4001" s="1138"/>
      <c r="B4001" s="1053" t="s">
        <v>1272</v>
      </c>
      <c r="C4001" s="1055"/>
      <c r="D4001" s="1055"/>
      <c r="E4001" s="1139"/>
      <c r="F4001" s="1139"/>
      <c r="G4001" s="1140"/>
      <c r="H4001" s="1136"/>
      <c r="I4001" s="1137"/>
      <c r="J4001" s="1141"/>
      <c r="K4001" s="1052">
        <f>K3999+K4000</f>
        <v>163.66000000000003</v>
      </c>
      <c r="L4001" s="1059"/>
      <c r="T4001" s="716"/>
    </row>
    <row r="4002" spans="1:20" s="714" customFormat="1">
      <c r="A4002" s="1138"/>
      <c r="B4002" s="1053" t="s">
        <v>763</v>
      </c>
      <c r="C4002" s="1053"/>
      <c r="D4002" s="1053"/>
      <c r="E4002" s="1142"/>
      <c r="F4002" s="1142"/>
      <c r="G4002" s="1143"/>
      <c r="H4002" s="1059"/>
      <c r="I4002" s="1144"/>
      <c r="J4002" s="1141"/>
      <c r="K4002" s="1052">
        <f>ROUND(K4001/1.25,2)</f>
        <v>130.93</v>
      </c>
      <c r="L4002" s="1059" t="s">
        <v>730</v>
      </c>
      <c r="M4002" s="716"/>
      <c r="T4002" s="716"/>
    </row>
    <row r="4003" spans="1:20" s="714" customFormat="1" ht="63" customHeight="1">
      <c r="A4003" s="1138">
        <f>A694</f>
        <v>131</v>
      </c>
      <c r="B4003" s="3400" t="str">
        <f>B694</f>
        <v>Dismantling Stone pitching /dry stone spalls including T&amp;P, sorting the dismantled material disposal of unservicible material and stacking the serviciable material with all lifts and lead of 1000 mtres.</v>
      </c>
      <c r="C4003" s="3400"/>
      <c r="D4003" s="3400"/>
      <c r="E4003" s="1135" t="str">
        <f>G694</f>
        <v>Each Cum</v>
      </c>
      <c r="F4003" s="1135"/>
      <c r="G4003" s="1136"/>
      <c r="H4003" s="1136"/>
      <c r="I4003" s="1137"/>
      <c r="J4003" s="1136"/>
      <c r="K4003" s="1136"/>
      <c r="L4003" s="1059"/>
      <c r="M4003" s="1136"/>
      <c r="T4003" s="716"/>
    </row>
    <row r="4004" spans="1:20" s="714" customFormat="1">
      <c r="A4004" s="1138" t="s">
        <v>413</v>
      </c>
      <c r="B4004" s="1053" t="s">
        <v>1271</v>
      </c>
      <c r="C4004" s="1055"/>
      <c r="D4004" s="1055"/>
      <c r="E4004" s="1139"/>
      <c r="F4004" s="1139"/>
      <c r="G4004" s="1055"/>
      <c r="H4004" s="1136"/>
      <c r="I4004" s="1137"/>
      <c r="J4004" s="1055"/>
      <c r="K4004" s="1055"/>
      <c r="L4004" s="1059"/>
      <c r="M4004" s="1136"/>
      <c r="T4004" s="716"/>
    </row>
    <row r="4005" spans="1:20" s="714" customFormat="1">
      <c r="A4005" s="1138"/>
      <c r="B4005" s="1053" t="s">
        <v>715</v>
      </c>
      <c r="C4005" s="1053"/>
      <c r="D4005" s="1055"/>
      <c r="E4005" s="1139"/>
      <c r="F4005" s="1139"/>
      <c r="G4005" s="1055"/>
      <c r="H4005" s="1136"/>
      <c r="I4005" s="1137"/>
      <c r="J4005" s="1055"/>
      <c r="K4005" s="1055"/>
      <c r="L4005" s="1059"/>
      <c r="M4005" s="1136"/>
      <c r="T4005" s="716"/>
    </row>
    <row r="4006" spans="1:20" s="714" customFormat="1">
      <c r="A4006" s="1138"/>
      <c r="B4006" s="1055" t="s">
        <v>744</v>
      </c>
      <c r="C4006" s="1055"/>
      <c r="D4006" s="1055"/>
      <c r="E4006" s="1139"/>
      <c r="F4006" s="1139"/>
      <c r="G4006" s="1140">
        <v>1.6E-2</v>
      </c>
      <c r="H4006" s="1136" t="s">
        <v>262</v>
      </c>
      <c r="I4006" s="1137" t="s">
        <v>38</v>
      </c>
      <c r="J4006" s="1054">
        <f>L130</f>
        <v>244.3</v>
      </c>
      <c r="K4006" s="1054">
        <f>ROUND(G4006*J4006,2)</f>
        <v>3.91</v>
      </c>
      <c r="L4006" s="1059"/>
      <c r="T4006" s="716"/>
    </row>
    <row r="4007" spans="1:20" s="714" customFormat="1">
      <c r="A4007" s="1138"/>
      <c r="B4007" s="1055" t="s">
        <v>1266</v>
      </c>
      <c r="C4007" s="1055"/>
      <c r="D4007" s="1055"/>
      <c r="E4007" s="1139"/>
      <c r="F4007" s="1139"/>
      <c r="G4007" s="1140">
        <v>0.4</v>
      </c>
      <c r="H4007" s="1136" t="s">
        <v>262</v>
      </c>
      <c r="I4007" s="1137" t="s">
        <v>38</v>
      </c>
      <c r="J4007" s="1054">
        <f>L129</f>
        <v>182</v>
      </c>
      <c r="K4007" s="1054">
        <f>ROUND(G4007*J4007,2)</f>
        <v>72.8</v>
      </c>
      <c r="L4007" s="1059"/>
      <c r="T4007" s="716"/>
    </row>
    <row r="4008" spans="1:20" s="714" customFormat="1">
      <c r="A4008" s="1138"/>
      <c r="B4008" s="1055"/>
      <c r="C4008" s="1055"/>
      <c r="D4008" s="1055"/>
      <c r="E4008" s="1139"/>
      <c r="F4008" s="1139"/>
      <c r="G4008" s="1140"/>
      <c r="H4008" s="1136"/>
      <c r="I4008" s="1137"/>
      <c r="J4008" s="1141" t="s">
        <v>718</v>
      </c>
      <c r="K4008" s="1052">
        <f>K4006+K4007</f>
        <v>76.709999999999994</v>
      </c>
      <c r="L4008" s="1059"/>
      <c r="T4008" s="716"/>
    </row>
    <row r="4009" spans="1:20" s="714" customFormat="1">
      <c r="A4009" s="1138"/>
      <c r="B4009" s="1053" t="s">
        <v>745</v>
      </c>
      <c r="C4009" s="1053"/>
      <c r="D4009" s="1055"/>
      <c r="E4009" s="1139"/>
      <c r="F4009" s="1139"/>
      <c r="G4009" s="1140"/>
      <c r="H4009" s="1136"/>
      <c r="I4009" s="1137"/>
      <c r="J4009" s="1054"/>
      <c r="K4009" s="1052"/>
      <c r="L4009" s="1059"/>
      <c r="T4009" s="716"/>
    </row>
    <row r="4010" spans="1:20" s="714" customFormat="1">
      <c r="A4010" s="1138"/>
      <c r="B4010" s="1055" t="s">
        <v>1270</v>
      </c>
      <c r="C4010" s="1055"/>
      <c r="D4010" s="1055"/>
      <c r="E4010" s="1139"/>
      <c r="F4010" s="1139"/>
      <c r="G4010" s="1140">
        <v>0.27</v>
      </c>
      <c r="H4010" s="1136" t="s">
        <v>312</v>
      </c>
      <c r="I4010" s="1137" t="s">
        <v>312</v>
      </c>
      <c r="J4010" s="1054">
        <f>G208</f>
        <v>357.55</v>
      </c>
      <c r="K4010" s="1054">
        <f>ROUND(G4010*J4010,2)</f>
        <v>96.54</v>
      </c>
      <c r="L4010" s="1059"/>
      <c r="T4010" s="716"/>
    </row>
    <row r="4011" spans="1:20" s="714" customFormat="1">
      <c r="A4011" s="1138"/>
      <c r="B4011" s="1055"/>
      <c r="C4011" s="1055"/>
      <c r="D4011" s="1055"/>
      <c r="E4011" s="1139"/>
      <c r="F4011" s="1139"/>
      <c r="G4011" s="1140"/>
      <c r="H4011" s="1136"/>
      <c r="I4011" s="1137"/>
      <c r="J4011" s="1141" t="s">
        <v>718</v>
      </c>
      <c r="K4011" s="1052">
        <f>SUM(K4010:K4010)</f>
        <v>96.54</v>
      </c>
      <c r="L4011" s="1059"/>
      <c r="T4011" s="716"/>
    </row>
    <row r="4012" spans="1:20" s="714" customFormat="1">
      <c r="A4012" s="1138"/>
      <c r="B4012" s="1055" t="s">
        <v>760</v>
      </c>
      <c r="C4012" s="1055"/>
      <c r="D4012" s="1055"/>
      <c r="E4012" s="1139"/>
      <c r="F4012" s="1139"/>
      <c r="G4012" s="1140"/>
      <c r="H4012" s="1136"/>
      <c r="I4012" s="1137"/>
      <c r="J4012" s="1141"/>
      <c r="K4012" s="1052">
        <f>K4008+K4011</f>
        <v>173.25</v>
      </c>
      <c r="L4012" s="1059"/>
      <c r="T4012" s="716"/>
    </row>
    <row r="4013" spans="1:20" s="714" customFormat="1">
      <c r="A4013" s="1138"/>
      <c r="B4013" s="1053"/>
      <c r="C4013" s="1053"/>
      <c r="D4013" s="1055"/>
      <c r="E4013" s="1139"/>
      <c r="F4013" s="1139"/>
      <c r="G4013" s="1140"/>
      <c r="H4013" s="1136"/>
      <c r="I4013" s="1137"/>
      <c r="J4013" s="1141"/>
      <c r="K4013" s="1052"/>
      <c r="L4013" s="1059"/>
      <c r="T4013" s="716"/>
    </row>
    <row r="4014" spans="1:20" s="714" customFormat="1">
      <c r="A4014" s="1138"/>
      <c r="B4014" s="1053" t="s">
        <v>1272</v>
      </c>
      <c r="C4014" s="1055"/>
      <c r="D4014" s="1055"/>
      <c r="E4014" s="1139"/>
      <c r="F4014" s="1139"/>
      <c r="G4014" s="1140"/>
      <c r="H4014" s="1136"/>
      <c r="I4014" s="1137"/>
      <c r="J4014" s="1141"/>
      <c r="K4014" s="1052">
        <f>K4012+K4013</f>
        <v>173.25</v>
      </c>
      <c r="L4014" s="1059"/>
      <c r="T4014" s="716"/>
    </row>
    <row r="4015" spans="1:20" s="714" customFormat="1">
      <c r="A4015" s="1138"/>
      <c r="B4015" s="1053" t="s">
        <v>763</v>
      </c>
      <c r="C4015" s="1053"/>
      <c r="D4015" s="1053"/>
      <c r="E4015" s="1142"/>
      <c r="F4015" s="1142"/>
      <c r="G4015" s="1143"/>
      <c r="H4015" s="1059"/>
      <c r="I4015" s="1144"/>
      <c r="J4015" s="1141"/>
      <c r="K4015" s="1052">
        <f>ROUND(K4014/1.25,2)</f>
        <v>138.6</v>
      </c>
      <c r="L4015" s="1059" t="s">
        <v>721</v>
      </c>
      <c r="M4015" s="716"/>
      <c r="T4015" s="716"/>
    </row>
    <row r="4016" spans="1:20" s="714" customFormat="1" ht="62.25" customHeight="1">
      <c r="A4016" s="1138">
        <f>A695</f>
        <v>132</v>
      </c>
      <c r="B4016" s="3400" t="str">
        <f>B695</f>
        <v>Scraping of bricks dismantled from brick workin cement mortar including T&amp;P sorting the material disposal of unserviciable material and stacking the serviciable material with all lifts and lead of 1000mtres</v>
      </c>
      <c r="C4016" s="3400"/>
      <c r="D4016" s="3400"/>
      <c r="E4016" s="1147" t="str">
        <f>G695</f>
        <v>Each No</v>
      </c>
      <c r="F4016" s="1147"/>
      <c r="G4016" s="1136"/>
      <c r="H4016" s="1136"/>
      <c r="I4016" s="1137"/>
      <c r="J4016" s="1136"/>
      <c r="K4016" s="1136"/>
      <c r="L4016" s="1059"/>
      <c r="M4016" s="1136"/>
      <c r="T4016" s="716"/>
    </row>
    <row r="4017" spans="1:20" s="714" customFormat="1">
      <c r="A4017" s="1138" t="s">
        <v>413</v>
      </c>
      <c r="B4017" s="1053" t="s">
        <v>1273</v>
      </c>
      <c r="C4017" s="1055"/>
      <c r="D4017" s="1055"/>
      <c r="E4017" s="1139"/>
      <c r="F4017" s="1139"/>
      <c r="G4017" s="1055"/>
      <c r="H4017" s="1136"/>
      <c r="I4017" s="1137"/>
      <c r="J4017" s="1055"/>
      <c r="K4017" s="1055"/>
      <c r="L4017" s="1059"/>
      <c r="M4017" s="1136"/>
      <c r="T4017" s="716"/>
    </row>
    <row r="4018" spans="1:20" s="714" customFormat="1">
      <c r="A4018" s="1138"/>
      <c r="B4018" s="1053" t="s">
        <v>715</v>
      </c>
      <c r="C4018" s="1053"/>
      <c r="D4018" s="1055"/>
      <c r="E4018" s="1139"/>
      <c r="F4018" s="1139"/>
      <c r="G4018" s="1055"/>
      <c r="H4018" s="1136"/>
      <c r="I4018" s="1137"/>
      <c r="J4018" s="1055"/>
      <c r="K4018" s="1055"/>
      <c r="L4018" s="1059"/>
      <c r="M4018" s="1136"/>
      <c r="T4018" s="716"/>
    </row>
    <row r="4019" spans="1:20" s="714" customFormat="1">
      <c r="A4019" s="1138"/>
      <c r="B4019" s="1055" t="s">
        <v>744</v>
      </c>
      <c r="C4019" s="1055"/>
      <c r="D4019" s="1055"/>
      <c r="E4019" s="1139"/>
      <c r="F4019" s="1139"/>
      <c r="G4019" s="1140">
        <v>0.14000000000000001</v>
      </c>
      <c r="H4019" s="1136" t="s">
        <v>262</v>
      </c>
      <c r="I4019" s="1137" t="s">
        <v>38</v>
      </c>
      <c r="J4019" s="1054">
        <f>L130</f>
        <v>244.3</v>
      </c>
      <c r="K4019" s="1054">
        <f>ROUND(G4019*J4019,2)</f>
        <v>34.200000000000003</v>
      </c>
      <c r="L4019" s="1059"/>
      <c r="T4019" s="716"/>
    </row>
    <row r="4020" spans="1:20" s="714" customFormat="1">
      <c r="A4020" s="1138"/>
      <c r="B4020" s="1055" t="s">
        <v>1266</v>
      </c>
      <c r="C4020" s="1055"/>
      <c r="D4020" s="1055"/>
      <c r="E4020" s="1139"/>
      <c r="F4020" s="1139"/>
      <c r="G4020" s="1140">
        <v>3.5</v>
      </c>
      <c r="H4020" s="1136" t="s">
        <v>262</v>
      </c>
      <c r="I4020" s="1137" t="s">
        <v>38</v>
      </c>
      <c r="J4020" s="1054">
        <f>L129</f>
        <v>182</v>
      </c>
      <c r="K4020" s="1054">
        <f>ROUND(G4020*J4020,2)</f>
        <v>637</v>
      </c>
      <c r="L4020" s="1059"/>
      <c r="T4020" s="716"/>
    </row>
    <row r="4021" spans="1:20" s="714" customFormat="1">
      <c r="A4021" s="1138"/>
      <c r="B4021" s="1055"/>
      <c r="C4021" s="1055"/>
      <c r="D4021" s="1055"/>
      <c r="E4021" s="1139"/>
      <c r="F4021" s="1139"/>
      <c r="G4021" s="1140"/>
      <c r="H4021" s="1136"/>
      <c r="I4021" s="1137"/>
      <c r="J4021" s="1141" t="s">
        <v>718</v>
      </c>
      <c r="K4021" s="1052">
        <f>K4019+K4020</f>
        <v>671.2</v>
      </c>
      <c r="L4021" s="1059"/>
      <c r="T4021" s="716"/>
    </row>
    <row r="4022" spans="1:20" s="714" customFormat="1">
      <c r="A4022" s="1138"/>
      <c r="B4022" s="1053" t="s">
        <v>1274</v>
      </c>
      <c r="C4022" s="1055"/>
      <c r="D4022" s="1055"/>
      <c r="E4022" s="1139"/>
      <c r="F4022" s="1139"/>
      <c r="G4022" s="1140"/>
      <c r="H4022" s="1136"/>
      <c r="I4022" s="1137"/>
      <c r="J4022" s="1141"/>
      <c r="K4022" s="1052">
        <f>K4021</f>
        <v>671.2</v>
      </c>
      <c r="L4022" s="1059"/>
      <c r="T4022" s="716"/>
    </row>
    <row r="4023" spans="1:20" s="714" customFormat="1">
      <c r="A4023" s="1138"/>
      <c r="B4023" s="1053" t="s">
        <v>1275</v>
      </c>
      <c r="C4023" s="1053"/>
      <c r="D4023" s="1053"/>
      <c r="E4023" s="1142"/>
      <c r="F4023" s="1142"/>
      <c r="G4023" s="1143"/>
      <c r="H4023" s="1059"/>
      <c r="I4023" s="1144"/>
      <c r="J4023" s="1141"/>
      <c r="K4023" s="1052">
        <f>ROUND(K4022/1000,2)</f>
        <v>0.67</v>
      </c>
      <c r="L4023" s="1059" t="s">
        <v>753</v>
      </c>
      <c r="M4023" s="716"/>
      <c r="T4023" s="716"/>
    </row>
    <row r="4024" spans="1:20" s="714" customFormat="1" ht="50.25" customHeight="1">
      <c r="A4024" s="1138">
        <f>A696</f>
        <v>133</v>
      </c>
      <c r="B4024" s="3400" t="str">
        <f>B696</f>
        <v>Scraping of bricks dismantled from brick workin mud mortar including T&amp;P sorting the material disposal of unserviciable material and stacking the serviciable material with all lifts and lead of 1000mtres</v>
      </c>
      <c r="C4024" s="3400"/>
      <c r="D4024" s="3400"/>
      <c r="E4024" s="1147" t="str">
        <f>G705</f>
        <v>Each Cum</v>
      </c>
      <c r="F4024" s="1147"/>
      <c r="G4024" s="1136"/>
      <c r="H4024" s="1136"/>
      <c r="I4024" s="1137"/>
      <c r="J4024" s="1136"/>
      <c r="K4024" s="1136"/>
      <c r="L4024" s="1059"/>
      <c r="M4024" s="1136"/>
      <c r="T4024" s="716"/>
    </row>
    <row r="4025" spans="1:20" s="714" customFormat="1">
      <c r="A4025" s="1138" t="s">
        <v>413</v>
      </c>
      <c r="B4025" s="1053" t="s">
        <v>1273</v>
      </c>
      <c r="C4025" s="1055"/>
      <c r="D4025" s="1055"/>
      <c r="E4025" s="1139"/>
      <c r="F4025" s="1139"/>
      <c r="G4025" s="1055"/>
      <c r="H4025" s="1136"/>
      <c r="I4025" s="1137"/>
      <c r="J4025" s="1055"/>
      <c r="K4025" s="1055"/>
      <c r="L4025" s="1059"/>
      <c r="M4025" s="1136"/>
      <c r="T4025" s="716"/>
    </row>
    <row r="4026" spans="1:20" s="714" customFormat="1">
      <c r="A4026" s="1138"/>
      <c r="B4026" s="1053" t="s">
        <v>715</v>
      </c>
      <c r="C4026" s="1053"/>
      <c r="D4026" s="1055"/>
      <c r="E4026" s="1139"/>
      <c r="F4026" s="1139"/>
      <c r="G4026" s="1055"/>
      <c r="H4026" s="1136"/>
      <c r="I4026" s="1137"/>
      <c r="J4026" s="1055"/>
      <c r="K4026" s="1055"/>
      <c r="L4026" s="1059"/>
      <c r="M4026" s="1136"/>
      <c r="T4026" s="716"/>
    </row>
    <row r="4027" spans="1:20" s="714" customFormat="1">
      <c r="A4027" s="1138"/>
      <c r="B4027" s="1055" t="s">
        <v>744</v>
      </c>
      <c r="C4027" s="1055"/>
      <c r="D4027" s="1055"/>
      <c r="E4027" s="1139"/>
      <c r="F4027" s="1139"/>
      <c r="G4027" s="1140">
        <v>0.05</v>
      </c>
      <c r="H4027" s="1136" t="s">
        <v>262</v>
      </c>
      <c r="I4027" s="1137" t="s">
        <v>38</v>
      </c>
      <c r="J4027" s="1054">
        <f>L130</f>
        <v>244.3</v>
      </c>
      <c r="K4027" s="1054">
        <f>ROUND(G4027*J4027,2)</f>
        <v>12.22</v>
      </c>
      <c r="L4027" s="1059"/>
      <c r="T4027" s="716"/>
    </row>
    <row r="4028" spans="1:20" s="714" customFormat="1">
      <c r="A4028" s="1138"/>
      <c r="B4028" s="1055" t="s">
        <v>1266</v>
      </c>
      <c r="C4028" s="1055"/>
      <c r="D4028" s="1055"/>
      <c r="E4028" s="1139"/>
      <c r="F4028" s="1139"/>
      <c r="G4028" s="1140">
        <v>1.25</v>
      </c>
      <c r="H4028" s="1136" t="s">
        <v>262</v>
      </c>
      <c r="I4028" s="1137" t="s">
        <v>38</v>
      </c>
      <c r="J4028" s="1054">
        <f>L129</f>
        <v>182</v>
      </c>
      <c r="K4028" s="1054">
        <f>ROUND(G4028*J4028,2)</f>
        <v>227.5</v>
      </c>
      <c r="L4028" s="1059"/>
      <c r="T4028" s="716"/>
    </row>
    <row r="4029" spans="1:20" s="714" customFormat="1">
      <c r="A4029" s="1138"/>
      <c r="B4029" s="1055"/>
      <c r="C4029" s="1055"/>
      <c r="D4029" s="1055"/>
      <c r="E4029" s="1139"/>
      <c r="F4029" s="1139"/>
      <c r="G4029" s="1140"/>
      <c r="H4029" s="1136"/>
      <c r="I4029" s="1137"/>
      <c r="J4029" s="1141" t="s">
        <v>718</v>
      </c>
      <c r="K4029" s="1052">
        <f>K4027+K4028</f>
        <v>239.72</v>
      </c>
      <c r="L4029" s="1059"/>
      <c r="T4029" s="716"/>
    </row>
    <row r="4030" spans="1:20" s="714" customFormat="1">
      <c r="A4030" s="1138"/>
      <c r="B4030" s="1053" t="s">
        <v>1274</v>
      </c>
      <c r="C4030" s="1055"/>
      <c r="D4030" s="1055"/>
      <c r="E4030" s="1139"/>
      <c r="F4030" s="1139"/>
      <c r="G4030" s="1140"/>
      <c r="H4030" s="1136"/>
      <c r="I4030" s="1137"/>
      <c r="J4030" s="1141"/>
      <c r="K4030" s="1052">
        <f>K4029</f>
        <v>239.72</v>
      </c>
      <c r="L4030" s="1059"/>
      <c r="T4030" s="716"/>
    </row>
    <row r="4031" spans="1:20" s="714" customFormat="1">
      <c r="A4031" s="1138"/>
      <c r="B4031" s="1053" t="s">
        <v>1275</v>
      </c>
      <c r="C4031" s="1053"/>
      <c r="D4031" s="1053"/>
      <c r="E4031" s="1142"/>
      <c r="F4031" s="1142"/>
      <c r="G4031" s="1143"/>
      <c r="H4031" s="1059"/>
      <c r="I4031" s="1144"/>
      <c r="J4031" s="1141"/>
      <c r="K4031" s="1052">
        <f>ROUND(K4030/1000,2)</f>
        <v>0.24</v>
      </c>
      <c r="L4031" s="1059" t="s">
        <v>753</v>
      </c>
      <c r="M4031" s="716"/>
      <c r="T4031" s="716"/>
    </row>
    <row r="4032" spans="1:20" s="714" customFormat="1" ht="54" customHeight="1">
      <c r="A4032" s="1138">
        <f>A697</f>
        <v>134</v>
      </c>
      <c r="B4032" s="3401" t="str">
        <f>B697</f>
        <v>Rolling and compacting to sub grade or formation loosening by cutting hard soil for 0.15m depth including watering and rolling by PRR as per specifications and direction of Engineer-in-Charge.</v>
      </c>
      <c r="C4032" s="3400"/>
      <c r="D4032" s="3400"/>
      <c r="E4032" s="1135" t="str">
        <f>G697</f>
        <v>Each Cum</v>
      </c>
      <c r="F4032" s="1135"/>
      <c r="G4032" s="1055"/>
      <c r="H4032" s="1136"/>
      <c r="I4032" s="1137"/>
      <c r="J4032" s="1144"/>
      <c r="K4032" s="1052"/>
      <c r="L4032" s="1059"/>
      <c r="T4032" s="716"/>
    </row>
    <row r="4033" spans="1:20" s="714" customFormat="1">
      <c r="A4033" s="1148"/>
      <c r="B4033" s="1053" t="s">
        <v>1276</v>
      </c>
      <c r="C4033" s="1055"/>
      <c r="D4033" s="1055"/>
      <c r="E4033" s="1139"/>
      <c r="F4033" s="1139"/>
      <c r="G4033" s="1055"/>
      <c r="H4033" s="1136"/>
      <c r="I4033" s="1137"/>
      <c r="J4033" s="1144"/>
      <c r="K4033" s="1052"/>
      <c r="L4033" s="1059"/>
      <c r="T4033" s="716"/>
    </row>
    <row r="4034" spans="1:20" s="714" customFormat="1">
      <c r="A4034" s="1148"/>
      <c r="B4034" s="1053" t="s">
        <v>1277</v>
      </c>
      <c r="C4034" s="1053"/>
      <c r="D4034" s="1055"/>
      <c r="E4034" s="1139"/>
      <c r="F4034" s="1139"/>
      <c r="G4034" s="1055"/>
      <c r="H4034" s="1136"/>
      <c r="I4034" s="1137"/>
      <c r="J4034" s="1144"/>
      <c r="K4034" s="1052"/>
      <c r="L4034" s="1059"/>
      <c r="T4034" s="716"/>
    </row>
    <row r="4035" spans="1:20" s="714" customFormat="1">
      <c r="A4035" s="1148"/>
      <c r="B4035" s="1055" t="s">
        <v>1278</v>
      </c>
      <c r="C4035" s="1055"/>
      <c r="D4035" s="1055"/>
      <c r="E4035" s="1139"/>
      <c r="F4035" s="1139"/>
      <c r="G4035" s="1140">
        <v>15</v>
      </c>
      <c r="H4035" s="1136" t="s">
        <v>49</v>
      </c>
      <c r="I4035" s="1137" t="s">
        <v>1279</v>
      </c>
      <c r="J4035" s="1149">
        <f>K1264</f>
        <v>7982.52</v>
      </c>
      <c r="K4035" s="1052">
        <f>ROUND(J4035*G4035/100,2)</f>
        <v>1197.3800000000001</v>
      </c>
      <c r="L4035" s="1059"/>
      <c r="T4035" s="716"/>
    </row>
    <row r="4036" spans="1:20" s="714" customFormat="1">
      <c r="A4036" s="1148"/>
      <c r="B4036" s="1053" t="s">
        <v>1280</v>
      </c>
      <c r="C4036" s="1053"/>
      <c r="D4036" s="1055"/>
      <c r="E4036" s="1139"/>
      <c r="F4036" s="1139"/>
      <c r="G4036" s="1055"/>
      <c r="H4036" s="1136"/>
      <c r="I4036" s="1137"/>
      <c r="J4036" s="1144"/>
      <c r="K4036" s="1052"/>
      <c r="L4036" s="1059"/>
      <c r="T4036" s="716"/>
    </row>
    <row r="4037" spans="1:20" s="714" customFormat="1">
      <c r="A4037" s="1148"/>
      <c r="B4037" s="1053" t="s">
        <v>1281</v>
      </c>
      <c r="C4037" s="1053"/>
      <c r="D4037" s="1055"/>
      <c r="E4037" s="1139"/>
      <c r="F4037" s="1139"/>
      <c r="G4037" s="1140">
        <f>ROUND(G206*8/425,2)</f>
        <v>9.8800000000000008</v>
      </c>
      <c r="H4037" s="1136"/>
      <c r="I4037" s="1137"/>
      <c r="J4037" s="1055"/>
      <c r="K4037" s="1054">
        <f>ROUND(339*8/425,2)</f>
        <v>6.38</v>
      </c>
      <c r="L4037" s="1059"/>
      <c r="T4037" s="716"/>
    </row>
    <row r="4038" spans="1:20" s="714" customFormat="1">
      <c r="A4038" s="1148"/>
      <c r="B4038" s="1053" t="s">
        <v>1282</v>
      </c>
      <c r="C4038" s="1053"/>
      <c r="D4038" s="1055"/>
      <c r="E4038" s="1139"/>
      <c r="F4038" s="1139"/>
      <c r="G4038" s="1150">
        <v>1.2800000000000001E-2</v>
      </c>
      <c r="H4038" s="1136" t="s">
        <v>1283</v>
      </c>
      <c r="I4038" s="1137" t="s">
        <v>1283</v>
      </c>
      <c r="J4038" s="1054">
        <f>G207</f>
        <v>900.84</v>
      </c>
      <c r="K4038" s="1054">
        <f>ROUND(G4038*J4038,2)</f>
        <v>11.53</v>
      </c>
      <c r="L4038" s="1059"/>
      <c r="T4038" s="716"/>
    </row>
    <row r="4039" spans="1:20" s="714" customFormat="1">
      <c r="A4039" s="1148"/>
      <c r="B4039" s="1053" t="s">
        <v>1284</v>
      </c>
      <c r="C4039" s="1053"/>
      <c r="D4039" s="1055"/>
      <c r="E4039" s="1139"/>
      <c r="F4039" s="1139"/>
      <c r="G4039" s="1055">
        <v>0.128</v>
      </c>
      <c r="H4039" s="1136" t="s">
        <v>262</v>
      </c>
      <c r="I4039" s="1137" t="s">
        <v>38</v>
      </c>
      <c r="J4039" s="1054">
        <f>L129</f>
        <v>182</v>
      </c>
      <c r="K4039" s="1054">
        <f>ROUND(G4039*J4039,2)</f>
        <v>23.3</v>
      </c>
      <c r="L4039" s="1059"/>
      <c r="T4039" s="716"/>
    </row>
    <row r="4040" spans="1:20" s="714" customFormat="1">
      <c r="A4040" s="1148"/>
      <c r="B4040" s="1053"/>
      <c r="C4040" s="1053"/>
      <c r="D4040" s="1055"/>
      <c r="E4040" s="1139"/>
      <c r="F4040" s="1139"/>
      <c r="G4040" s="1055"/>
      <c r="H4040" s="1136"/>
      <c r="I4040" s="1137"/>
      <c r="J4040" s="1144" t="s">
        <v>718</v>
      </c>
      <c r="K4040" s="1054">
        <f>SUM(K4037:K4039)</f>
        <v>41.21</v>
      </c>
      <c r="L4040" s="1059"/>
      <c r="T4040" s="716"/>
    </row>
    <row r="4041" spans="1:20" s="714" customFormat="1">
      <c r="A4041" s="1148"/>
      <c r="B4041" s="1055"/>
      <c r="C4041" s="1055"/>
      <c r="D4041" s="1055"/>
      <c r="E4041" s="1139"/>
      <c r="F4041" s="1139"/>
      <c r="G4041" s="1055"/>
      <c r="H4041" s="1136"/>
      <c r="I4041" s="1137"/>
      <c r="J4041" s="1055"/>
      <c r="K4041" s="1054"/>
      <c r="L4041" s="1059"/>
      <c r="T4041" s="716"/>
    </row>
    <row r="4042" spans="1:20" s="714" customFormat="1">
      <c r="A4042" s="1148"/>
      <c r="B4042" s="1055" t="s">
        <v>1285</v>
      </c>
      <c r="C4042" s="1055"/>
      <c r="D4042" s="1055"/>
      <c r="E4042" s="1139"/>
      <c r="F4042" s="1139"/>
      <c r="G4042" s="1055"/>
      <c r="H4042" s="1136"/>
      <c r="I4042" s="1137"/>
      <c r="J4042" s="1137"/>
      <c r="K4042" s="1052">
        <f>SUM(K4037:K4041)</f>
        <v>82.42</v>
      </c>
      <c r="L4042" s="1136"/>
      <c r="T4042" s="716"/>
    </row>
    <row r="4043" spans="1:20" s="714" customFormat="1">
      <c r="A4043" s="1148"/>
      <c r="B4043" s="1053" t="s">
        <v>1286</v>
      </c>
      <c r="C4043" s="1055"/>
      <c r="D4043" s="1055"/>
      <c r="E4043" s="1139"/>
      <c r="F4043" s="1139"/>
      <c r="G4043" s="1140">
        <v>15</v>
      </c>
      <c r="H4043" s="1136" t="s">
        <v>49</v>
      </c>
      <c r="I4043" s="1137" t="s">
        <v>49</v>
      </c>
      <c r="J4043" s="1149">
        <f>K4042</f>
        <v>82.42</v>
      </c>
      <c r="K4043" s="1054">
        <f>ROUND(G4043*J4043,2)</f>
        <v>1236.3</v>
      </c>
      <c r="L4043" s="1059"/>
      <c r="T4043" s="716"/>
    </row>
    <row r="4044" spans="1:20" s="714" customFormat="1">
      <c r="A4044" s="1148"/>
      <c r="B4044" s="1053" t="s">
        <v>1287</v>
      </c>
      <c r="C4044" s="1055"/>
      <c r="D4044" s="1055"/>
      <c r="E4044" s="1139"/>
      <c r="F4044" s="1139"/>
      <c r="G4044" s="1055"/>
      <c r="H4044" s="1136"/>
      <c r="I4044" s="1137"/>
      <c r="J4044" s="1144"/>
      <c r="K4044" s="1052">
        <f>K4035+K4043</f>
        <v>2433.6800000000003</v>
      </c>
      <c r="L4044" s="1059"/>
      <c r="T4044" s="716"/>
    </row>
    <row r="4045" spans="1:20" s="716" customFormat="1">
      <c r="A4045" s="1151"/>
      <c r="B4045" s="1053" t="s">
        <v>1288</v>
      </c>
      <c r="C4045" s="1053"/>
      <c r="D4045" s="1053"/>
      <c r="E4045" s="1142"/>
      <c r="F4045" s="1142"/>
      <c r="G4045" s="1143"/>
      <c r="H4045" s="1059"/>
      <c r="I4045" s="1144"/>
      <c r="J4045" s="1141"/>
      <c r="K4045" s="1052">
        <f>ROUND(K4044/15,2)</f>
        <v>162.25</v>
      </c>
      <c r="L4045" s="1059" t="s">
        <v>721</v>
      </c>
    </row>
    <row r="4046" spans="1:20" s="714" customFormat="1" ht="50.25" customHeight="1">
      <c r="A4046" s="1138">
        <f>A699</f>
        <v>136</v>
      </c>
      <c r="B4046" s="3400" t="str">
        <f>B699</f>
        <v>Random Ruble hard granite stone masonry in cement mortar(1:4) as per approved drawing &amp; technical specifications including cost, conveyance and royalty of all materials etc complete.</v>
      </c>
      <c r="C4046" s="3400"/>
      <c r="D4046" s="3400"/>
      <c r="E4046" s="1135" t="str">
        <f>G699</f>
        <v>Each Cum</v>
      </c>
      <c r="F4046" s="1135"/>
      <c r="G4046" s="1055"/>
      <c r="H4046" s="1136"/>
      <c r="I4046" s="1137"/>
      <c r="J4046" s="1055"/>
      <c r="K4046" s="1055"/>
      <c r="L4046" s="1059"/>
      <c r="T4046" s="716"/>
    </row>
    <row r="4047" spans="1:20" s="714" customFormat="1">
      <c r="A4047" s="1148"/>
      <c r="B4047" s="1053" t="s">
        <v>1289</v>
      </c>
      <c r="C4047" s="1053"/>
      <c r="D4047" s="1055"/>
      <c r="E4047" s="1139"/>
      <c r="F4047" s="1139"/>
      <c r="G4047" s="1055"/>
      <c r="H4047" s="1136"/>
      <c r="I4047" s="1137"/>
      <c r="J4047" s="1055"/>
      <c r="K4047" s="1055"/>
      <c r="L4047" s="1059"/>
      <c r="Q4047" s="1100"/>
      <c r="T4047" s="716"/>
    </row>
    <row r="4048" spans="1:20" s="714" customFormat="1">
      <c r="A4048" s="1148"/>
      <c r="B4048" s="1055" t="s">
        <v>814</v>
      </c>
      <c r="C4048" s="1055"/>
      <c r="D4048" s="1055"/>
      <c r="E4048" s="1139"/>
      <c r="F4048" s="1139"/>
      <c r="G4048" s="1140">
        <v>1</v>
      </c>
      <c r="H4048" s="1136" t="s">
        <v>49</v>
      </c>
      <c r="I4048" s="1137" t="s">
        <v>49</v>
      </c>
      <c r="J4048" s="1054">
        <f>G17</f>
        <v>373.71</v>
      </c>
      <c r="K4048" s="1054">
        <f t="shared" ref="K4048:K4053" si="124">ROUND(G4048*J4048,2)</f>
        <v>373.71</v>
      </c>
      <c r="L4048" s="1059"/>
      <c r="Q4048" s="1100"/>
      <c r="T4048" s="716"/>
    </row>
    <row r="4049" spans="1:20" s="714" customFormat="1">
      <c r="A4049" s="1148"/>
      <c r="B4049" s="1055" t="s">
        <v>775</v>
      </c>
      <c r="C4049" s="1055"/>
      <c r="D4049" s="1055"/>
      <c r="E4049" s="1139"/>
      <c r="F4049" s="1139"/>
      <c r="G4049" s="1140">
        <v>0.34</v>
      </c>
      <c r="H4049" s="1136" t="s">
        <v>49</v>
      </c>
      <c r="I4049" s="1137" t="s">
        <v>49</v>
      </c>
      <c r="J4049" s="1054">
        <f>G44</f>
        <v>80.72</v>
      </c>
      <c r="K4049" s="1054">
        <f t="shared" si="124"/>
        <v>27.44</v>
      </c>
      <c r="L4049" s="1059"/>
      <c r="Q4049" s="1106"/>
      <c r="T4049" s="716"/>
    </row>
    <row r="4050" spans="1:20" s="714" customFormat="1">
      <c r="A4050" s="1148"/>
      <c r="B4050" s="1055" t="s">
        <v>815</v>
      </c>
      <c r="C4050" s="1055"/>
      <c r="D4050" s="1055"/>
      <c r="E4050" s="1139"/>
      <c r="F4050" s="1139"/>
      <c r="G4050" s="1152">
        <v>0.12156</v>
      </c>
      <c r="H4050" s="1136" t="s">
        <v>91</v>
      </c>
      <c r="I4050" s="1137" t="s">
        <v>91</v>
      </c>
      <c r="J4050" s="1054">
        <f>G48</f>
        <v>6400</v>
      </c>
      <c r="K4050" s="1054">
        <f t="shared" si="124"/>
        <v>777.98</v>
      </c>
      <c r="L4050" s="1059"/>
      <c r="Q4050" s="1106"/>
      <c r="T4050" s="716"/>
    </row>
    <row r="4051" spans="1:20" s="714" customFormat="1">
      <c r="A4051" s="1148"/>
      <c r="B4051" s="1055" t="s">
        <v>817</v>
      </c>
      <c r="C4051" s="1055"/>
      <c r="D4051" s="1055"/>
      <c r="E4051" s="1139"/>
      <c r="F4051" s="1139"/>
      <c r="G4051" s="1140">
        <v>0.35</v>
      </c>
      <c r="H4051" s="1136" t="s">
        <v>262</v>
      </c>
      <c r="I4051" s="1137" t="s">
        <v>38</v>
      </c>
      <c r="J4051" s="1054">
        <f>L132</f>
        <v>284.3</v>
      </c>
      <c r="K4051" s="1054">
        <f t="shared" si="124"/>
        <v>99.51</v>
      </c>
      <c r="L4051" s="1059"/>
      <c r="Q4051" s="1106"/>
      <c r="T4051" s="716"/>
    </row>
    <row r="4052" spans="1:20" s="714" customFormat="1">
      <c r="A4052" s="1148"/>
      <c r="B4052" s="1055" t="s">
        <v>818</v>
      </c>
      <c r="C4052" s="1055"/>
      <c r="D4052" s="1055"/>
      <c r="E4052" s="1139"/>
      <c r="F4052" s="1139"/>
      <c r="G4052" s="1140">
        <v>1.41</v>
      </c>
      <c r="H4052" s="1136" t="s">
        <v>262</v>
      </c>
      <c r="I4052" s="1137" t="s">
        <v>38</v>
      </c>
      <c r="J4052" s="1054">
        <f>L131</f>
        <v>264.3</v>
      </c>
      <c r="K4052" s="1054">
        <f t="shared" si="124"/>
        <v>372.66</v>
      </c>
      <c r="L4052" s="1059"/>
      <c r="Q4052" s="1100"/>
      <c r="T4052" s="716"/>
    </row>
    <row r="4053" spans="1:20" s="714" customFormat="1">
      <c r="A4053" s="1148"/>
      <c r="B4053" s="1055" t="s">
        <v>717</v>
      </c>
      <c r="C4053" s="1055"/>
      <c r="D4053" s="1055"/>
      <c r="E4053" s="1139"/>
      <c r="F4053" s="1139"/>
      <c r="G4053" s="1140">
        <v>3.17</v>
      </c>
      <c r="H4053" s="1136" t="s">
        <v>262</v>
      </c>
      <c r="I4053" s="1137" t="s">
        <v>38</v>
      </c>
      <c r="J4053" s="1054">
        <f>L129</f>
        <v>182</v>
      </c>
      <c r="K4053" s="1054">
        <f t="shared" si="124"/>
        <v>576.94000000000005</v>
      </c>
      <c r="L4053" s="1059"/>
      <c r="Q4053" s="1100"/>
      <c r="T4053" s="716"/>
    </row>
    <row r="4054" spans="1:20" s="714" customFormat="1">
      <c r="A4054" s="1148"/>
      <c r="B4054" s="1055"/>
      <c r="C4054" s="1055"/>
      <c r="D4054" s="1055"/>
      <c r="E4054" s="1139"/>
      <c r="F4054" s="1139"/>
      <c r="G4054" s="1055"/>
      <c r="H4054" s="1136"/>
      <c r="I4054" s="1137"/>
      <c r="J4054" s="1141" t="s">
        <v>718</v>
      </c>
      <c r="K4054" s="1054">
        <f>SUM(K4048:K4053)</f>
        <v>2228.2400000000002</v>
      </c>
      <c r="L4054" s="1059"/>
      <c r="Q4054" s="1100"/>
      <c r="T4054" s="716"/>
    </row>
    <row r="4055" spans="1:20" s="714" customFormat="1">
      <c r="A4055" s="1148"/>
      <c r="B4055" s="1055"/>
      <c r="C4055" s="1055"/>
      <c r="D4055" s="1055"/>
      <c r="E4055" s="1139"/>
      <c r="F4055" s="1139"/>
      <c r="G4055" s="1055"/>
      <c r="H4055" s="1136"/>
      <c r="I4055" s="1137"/>
      <c r="J4055" s="1055"/>
      <c r="K4055" s="1054"/>
      <c r="L4055" s="1059"/>
      <c r="Q4055" s="1100"/>
      <c r="T4055" s="716"/>
    </row>
    <row r="4056" spans="1:20" s="714" customFormat="1">
      <c r="A4056" s="1148"/>
      <c r="B4056" s="1055"/>
      <c r="C4056" s="1055"/>
      <c r="D4056" s="1055"/>
      <c r="E4056" s="1139"/>
      <c r="F4056" s="1139"/>
      <c r="G4056" s="1055"/>
      <c r="H4056" s="1136"/>
      <c r="I4056" s="1137"/>
      <c r="J4056" s="1141" t="s">
        <v>718</v>
      </c>
      <c r="K4056" s="1052">
        <f>SUM(K4054:K4055)</f>
        <v>2228.2400000000002</v>
      </c>
      <c r="L4056" s="1059"/>
      <c r="Q4056" s="731"/>
      <c r="T4056" s="716"/>
    </row>
    <row r="4057" spans="1:20" s="714" customFormat="1">
      <c r="A4057" s="1148"/>
      <c r="B4057" s="1053" t="s">
        <v>1290</v>
      </c>
      <c r="C4057" s="1053"/>
      <c r="D4057" s="1055"/>
      <c r="E4057" s="1139"/>
      <c r="F4057" s="1139"/>
      <c r="G4057" s="1055"/>
      <c r="H4057" s="1136"/>
      <c r="I4057" s="1137"/>
      <c r="J4057" s="1055"/>
      <c r="K4057" s="1055"/>
      <c r="L4057" s="1059"/>
      <c r="Q4057" s="731"/>
      <c r="T4057" s="716"/>
    </row>
    <row r="4058" spans="1:20" s="714" customFormat="1">
      <c r="A4058" s="1148"/>
      <c r="B4058" s="1055" t="str">
        <f>B4048</f>
        <v>H.G. stone</v>
      </c>
      <c r="C4058" s="1055"/>
      <c r="D4058" s="1055"/>
      <c r="E4058" s="1139"/>
      <c r="F4058" s="1139"/>
      <c r="G4058" s="1140">
        <v>1</v>
      </c>
      <c r="H4058" s="1136" t="s">
        <v>49</v>
      </c>
      <c r="I4058" s="1137" t="s">
        <v>49</v>
      </c>
      <c r="J4058" s="1054">
        <f>K17</f>
        <v>276.01</v>
      </c>
      <c r="K4058" s="1054">
        <f>ROUND(G4058*J4058,2)</f>
        <v>276.01</v>
      </c>
      <c r="L4058" s="1059"/>
      <c r="Q4058" s="731"/>
      <c r="T4058" s="716"/>
    </row>
    <row r="4059" spans="1:20" s="714" customFormat="1">
      <c r="A4059" s="1148"/>
      <c r="B4059" s="1055" t="str">
        <f>B4049</f>
        <v>Sand</v>
      </c>
      <c r="C4059" s="1055"/>
      <c r="D4059" s="1055"/>
      <c r="E4059" s="1139"/>
      <c r="F4059" s="1139"/>
      <c r="G4059" s="1140">
        <v>0.34</v>
      </c>
      <c r="H4059" s="1136" t="s">
        <v>49</v>
      </c>
      <c r="I4059" s="1137" t="s">
        <v>49</v>
      </c>
      <c r="J4059" s="1054">
        <f>K44</f>
        <v>731.71</v>
      </c>
      <c r="K4059" s="1054">
        <f>ROUND(G4059*J4059,2)</f>
        <v>248.78</v>
      </c>
      <c r="L4059" s="1059"/>
      <c r="Q4059" s="731"/>
      <c r="T4059" s="716"/>
    </row>
    <row r="4060" spans="1:20" s="714" customFormat="1">
      <c r="A4060" s="1148"/>
      <c r="B4060" s="1055" t="str">
        <f>B4050</f>
        <v>cement</v>
      </c>
      <c r="C4060" s="1055"/>
      <c r="D4060" s="1055"/>
      <c r="E4060" s="1139"/>
      <c r="F4060" s="1139"/>
      <c r="G4060" s="1152">
        <v>0.12156</v>
      </c>
      <c r="H4060" s="1136" t="s">
        <v>91</v>
      </c>
      <c r="I4060" s="1137" t="s">
        <v>91</v>
      </c>
      <c r="J4060" s="1054">
        <f>K48</f>
        <v>247.87</v>
      </c>
      <c r="K4060" s="1054">
        <f>ROUND(G4060*J4060,2)</f>
        <v>30.13</v>
      </c>
      <c r="L4060" s="1059"/>
      <c r="Q4060" s="1100"/>
      <c r="T4060" s="716"/>
    </row>
    <row r="4061" spans="1:20" s="714" customFormat="1">
      <c r="A4061" s="1148"/>
      <c r="B4061" s="1055"/>
      <c r="C4061" s="1055"/>
      <c r="D4061" s="1055"/>
      <c r="E4061" s="1139"/>
      <c r="F4061" s="1139"/>
      <c r="G4061" s="1055"/>
      <c r="H4061" s="1136"/>
      <c r="I4061" s="1137"/>
      <c r="J4061" s="1141" t="s">
        <v>718</v>
      </c>
      <c r="K4061" s="1052">
        <f>SUM(K4058:K4060)</f>
        <v>554.91999999999996</v>
      </c>
      <c r="L4061" s="1059"/>
      <c r="Q4061" s="1100"/>
      <c r="T4061" s="716"/>
    </row>
    <row r="4062" spans="1:20" s="716" customFormat="1">
      <c r="A4062" s="1151"/>
      <c r="B4062" s="1053" t="s">
        <v>1291</v>
      </c>
      <c r="C4062" s="1053"/>
      <c r="D4062" s="1053"/>
      <c r="E4062" s="1142"/>
      <c r="F4062" s="1142"/>
      <c r="G4062" s="1053"/>
      <c r="H4062" s="1059" t="s">
        <v>1292</v>
      </c>
      <c r="I4062" s="1144" t="s">
        <v>1292</v>
      </c>
      <c r="J4062" s="1053"/>
      <c r="K4062" s="1052">
        <f>K4056+K4061</f>
        <v>2783.1600000000003</v>
      </c>
      <c r="L4062" s="1059" t="s">
        <v>721</v>
      </c>
      <c r="M4062" s="714"/>
      <c r="Q4062" s="1106"/>
    </row>
    <row r="4063" spans="1:20" s="714" customFormat="1" ht="52.5" customHeight="1">
      <c r="A4063" s="1138">
        <f>A700</f>
        <v>137</v>
      </c>
      <c r="B4063" s="3400" t="str">
        <f>B700</f>
        <v>Rough stone dry masonry with sand grouted for the walls with hard granite stones as per approved drawing &amp; technical specifications including all cost of labour and material etc complete.</v>
      </c>
      <c r="C4063" s="3400"/>
      <c r="D4063" s="3400"/>
      <c r="E4063" s="1135" t="str">
        <f>G700</f>
        <v>Each Cum</v>
      </c>
      <c r="F4063" s="1135"/>
      <c r="G4063" s="1055"/>
      <c r="H4063" s="1136"/>
      <c r="I4063" s="1137"/>
      <c r="J4063" s="1055"/>
      <c r="K4063" s="1055"/>
      <c r="L4063" s="1059"/>
      <c r="T4063" s="716"/>
    </row>
    <row r="4064" spans="1:20" s="714" customFormat="1">
      <c r="A4064" s="1148"/>
      <c r="B4064" s="1053" t="s">
        <v>1289</v>
      </c>
      <c r="C4064" s="1053"/>
      <c r="D4064" s="1055"/>
      <c r="E4064" s="1139"/>
      <c r="F4064" s="1139"/>
      <c r="G4064" s="1055"/>
      <c r="H4064" s="1136"/>
      <c r="I4064" s="1137"/>
      <c r="J4064" s="1055"/>
      <c r="K4064" s="1055"/>
      <c r="L4064" s="1059"/>
      <c r="T4064" s="716"/>
    </row>
    <row r="4065" spans="1:20" s="714" customFormat="1">
      <c r="A4065" s="1148"/>
      <c r="B4065" s="1055" t="s">
        <v>814</v>
      </c>
      <c r="C4065" s="1055"/>
      <c r="D4065" s="1055"/>
      <c r="E4065" s="1139"/>
      <c r="F4065" s="1139"/>
      <c r="G4065" s="1140">
        <v>1</v>
      </c>
      <c r="H4065" s="1136" t="s">
        <v>49</v>
      </c>
      <c r="I4065" s="1137" t="s">
        <v>49</v>
      </c>
      <c r="J4065" s="1054">
        <f>G17</f>
        <v>373.71</v>
      </c>
      <c r="K4065" s="1054">
        <f>ROUND(G4065*J4065,2)</f>
        <v>373.71</v>
      </c>
      <c r="L4065" s="1059"/>
      <c r="Q4065" s="1100"/>
      <c r="T4065" s="716"/>
    </row>
    <row r="4066" spans="1:20" s="714" customFormat="1">
      <c r="A4066" s="1148"/>
      <c r="B4066" s="1055" t="s">
        <v>775</v>
      </c>
      <c r="C4066" s="1055"/>
      <c r="D4066" s="1055"/>
      <c r="E4066" s="1139"/>
      <c r="F4066" s="1139"/>
      <c r="G4066" s="1140">
        <v>0.24</v>
      </c>
      <c r="H4066" s="1136" t="s">
        <v>49</v>
      </c>
      <c r="I4066" s="1137" t="s">
        <v>49</v>
      </c>
      <c r="J4066" s="1054">
        <f>G43</f>
        <v>75.539999999999992</v>
      </c>
      <c r="K4066" s="1054">
        <f>ROUND(G4066*J4066,2)</f>
        <v>18.13</v>
      </c>
      <c r="L4066" s="1059"/>
      <c r="Q4066" s="1100"/>
      <c r="T4066" s="716"/>
    </row>
    <row r="4067" spans="1:20" s="714" customFormat="1">
      <c r="A4067" s="1148"/>
      <c r="B4067" s="1055" t="s">
        <v>818</v>
      </c>
      <c r="C4067" s="1055"/>
      <c r="D4067" s="1055"/>
      <c r="E4067" s="1139"/>
      <c r="F4067" s="1139"/>
      <c r="G4067" s="1140">
        <v>1.41</v>
      </c>
      <c r="H4067" s="1136" t="s">
        <v>262</v>
      </c>
      <c r="I4067" s="1137" t="s">
        <v>38</v>
      </c>
      <c r="J4067" s="1054">
        <f>L131</f>
        <v>264.3</v>
      </c>
      <c r="K4067" s="1054">
        <f>ROUND(G4067*J4067,2)</f>
        <v>372.66</v>
      </c>
      <c r="L4067" s="1059"/>
      <c r="Q4067" s="1106"/>
      <c r="T4067" s="716"/>
    </row>
    <row r="4068" spans="1:20" s="714" customFormat="1">
      <c r="A4068" s="1148"/>
      <c r="B4068" s="1055" t="s">
        <v>717</v>
      </c>
      <c r="C4068" s="1055"/>
      <c r="D4068" s="1055"/>
      <c r="E4068" s="1139"/>
      <c r="F4068" s="1139"/>
      <c r="G4068" s="1140">
        <v>2.4700000000000002</v>
      </c>
      <c r="H4068" s="1136" t="s">
        <v>262</v>
      </c>
      <c r="I4068" s="1137" t="s">
        <v>38</v>
      </c>
      <c r="J4068" s="1054">
        <f>L129</f>
        <v>182</v>
      </c>
      <c r="K4068" s="1054">
        <f>ROUND(G4068*J4068,2)</f>
        <v>449.54</v>
      </c>
      <c r="L4068" s="1059"/>
      <c r="Q4068" s="1106"/>
      <c r="T4068" s="716"/>
    </row>
    <row r="4069" spans="1:20" s="714" customFormat="1">
      <c r="A4069" s="1148"/>
      <c r="B4069" s="1055"/>
      <c r="C4069" s="1055"/>
      <c r="D4069" s="1055"/>
      <c r="E4069" s="1139"/>
      <c r="F4069" s="1139"/>
      <c r="G4069" s="1055"/>
      <c r="H4069" s="1136"/>
      <c r="I4069" s="1137"/>
      <c r="J4069" s="1141" t="s">
        <v>718</v>
      </c>
      <c r="K4069" s="1054">
        <f>SUM(K4065:K4068)</f>
        <v>1214.04</v>
      </c>
      <c r="L4069" s="1059"/>
      <c r="Q4069" s="1106"/>
      <c r="T4069" s="716"/>
    </row>
    <row r="4070" spans="1:20" s="714" customFormat="1">
      <c r="A4070" s="1148"/>
      <c r="B4070" s="1055"/>
      <c r="C4070" s="1055"/>
      <c r="D4070" s="1055"/>
      <c r="E4070" s="1139"/>
      <c r="F4070" s="1139"/>
      <c r="G4070" s="1055"/>
      <c r="H4070" s="1136"/>
      <c r="I4070" s="1137"/>
      <c r="J4070" s="1055"/>
      <c r="K4070" s="1054"/>
      <c r="L4070" s="1059"/>
      <c r="Q4070" s="1100"/>
      <c r="T4070" s="716"/>
    </row>
    <row r="4071" spans="1:20" s="714" customFormat="1">
      <c r="A4071" s="1148"/>
      <c r="B4071" s="1055"/>
      <c r="C4071" s="1055"/>
      <c r="D4071" s="1055"/>
      <c r="E4071" s="1139"/>
      <c r="F4071" s="1139"/>
      <c r="G4071" s="1055"/>
      <c r="H4071" s="1136"/>
      <c r="I4071" s="1137"/>
      <c r="J4071" s="1141" t="s">
        <v>718</v>
      </c>
      <c r="K4071" s="1052">
        <f>SUM(K4069:K4070)</f>
        <v>1214.04</v>
      </c>
      <c r="L4071" s="1059"/>
      <c r="Q4071" s="1100"/>
      <c r="T4071" s="716"/>
    </row>
    <row r="4072" spans="1:20" s="714" customFormat="1">
      <c r="A4072" s="1148"/>
      <c r="B4072" s="1053" t="s">
        <v>1290</v>
      </c>
      <c r="C4072" s="1053"/>
      <c r="D4072" s="1055"/>
      <c r="E4072" s="1139"/>
      <c r="F4072" s="1139"/>
      <c r="G4072" s="1055"/>
      <c r="H4072" s="1136"/>
      <c r="I4072" s="1137"/>
      <c r="J4072" s="1055"/>
      <c r="K4072" s="1055"/>
      <c r="L4072" s="1059"/>
      <c r="Q4072" s="1100"/>
      <c r="T4072" s="716"/>
    </row>
    <row r="4073" spans="1:20" s="714" customFormat="1">
      <c r="A4073" s="1148"/>
      <c r="B4073" s="1055" t="str">
        <f>B4065</f>
        <v>H.G. stone</v>
      </c>
      <c r="C4073" s="1055"/>
      <c r="D4073" s="1055"/>
      <c r="E4073" s="1139"/>
      <c r="F4073" s="1139"/>
      <c r="G4073" s="1140">
        <v>1</v>
      </c>
      <c r="H4073" s="1136" t="s">
        <v>49</v>
      </c>
      <c r="I4073" s="1137" t="s">
        <v>49</v>
      </c>
      <c r="J4073" s="1054">
        <f>K17</f>
        <v>276.01</v>
      </c>
      <c r="K4073" s="1054">
        <f>ROUND(G4073*J4073,2)</f>
        <v>276.01</v>
      </c>
      <c r="L4073" s="1059"/>
      <c r="Q4073" s="1100"/>
      <c r="T4073" s="716"/>
    </row>
    <row r="4074" spans="1:20" s="714" customFormat="1">
      <c r="A4074" s="1148"/>
      <c r="B4074" s="1055" t="str">
        <f>B4066</f>
        <v>Sand</v>
      </c>
      <c r="C4074" s="1055"/>
      <c r="D4074" s="1055"/>
      <c r="E4074" s="1139"/>
      <c r="F4074" s="1139"/>
      <c r="G4074" s="1140">
        <v>0.24</v>
      </c>
      <c r="H4074" s="1136" t="s">
        <v>49</v>
      </c>
      <c r="I4074" s="1137" t="s">
        <v>49</v>
      </c>
      <c r="J4074" s="1054">
        <f>K43</f>
        <v>471.30999999999995</v>
      </c>
      <c r="K4074" s="1054">
        <f>ROUND(G4074*J4074,2)</f>
        <v>113.11</v>
      </c>
      <c r="L4074" s="1059"/>
      <c r="Q4074" s="731"/>
      <c r="T4074" s="716"/>
    </row>
    <row r="4075" spans="1:20" s="714" customFormat="1">
      <c r="A4075" s="1148"/>
      <c r="B4075" s="1055"/>
      <c r="C4075" s="1055"/>
      <c r="D4075" s="1055"/>
      <c r="E4075" s="1139"/>
      <c r="F4075" s="1139"/>
      <c r="G4075" s="1055"/>
      <c r="H4075" s="1136"/>
      <c r="I4075" s="1137"/>
      <c r="J4075" s="1141" t="s">
        <v>718</v>
      </c>
      <c r="K4075" s="1052">
        <f>SUM(K4073:K4074)</f>
        <v>389.12</v>
      </c>
      <c r="L4075" s="1059"/>
      <c r="Q4075" s="731"/>
      <c r="T4075" s="716"/>
    </row>
    <row r="4076" spans="1:20" s="716" customFormat="1">
      <c r="A4076" s="1151"/>
      <c r="B4076" s="1053" t="s">
        <v>1291</v>
      </c>
      <c r="C4076" s="1053"/>
      <c r="D4076" s="1053"/>
      <c r="E4076" s="1142"/>
      <c r="F4076" s="1142"/>
      <c r="G4076" s="1053"/>
      <c r="H4076" s="1059" t="s">
        <v>1292</v>
      </c>
      <c r="I4076" s="1144" t="s">
        <v>1292</v>
      </c>
      <c r="J4076" s="1053"/>
      <c r="K4076" s="1052">
        <f>K4071+K4075</f>
        <v>1603.1599999999999</v>
      </c>
      <c r="L4076" s="1059" t="s">
        <v>721</v>
      </c>
      <c r="M4076" s="714"/>
      <c r="Q4076" s="731"/>
    </row>
    <row r="4077" spans="1:20" s="714" customFormat="1" ht="75.75" customHeight="1">
      <c r="A4077" s="1138">
        <f>A701</f>
        <v>138</v>
      </c>
      <c r="B4077" s="3400" t="str">
        <f>B701</f>
        <v>Providing Weep Holes in Brick Masonry / Plain / Reinforced cement concrete abutment, wing wall, return wall with 100mm dia A.C. Pipe, extending through the full width of the structure with slope1:20 etc complete as per drawing and Technical specifications</v>
      </c>
      <c r="C4077" s="3400"/>
      <c r="D4077" s="3400"/>
      <c r="E4077" s="1135" t="str">
        <f>G701</f>
        <v>Each Mtr</v>
      </c>
      <c r="F4077" s="1135"/>
      <c r="G4077" s="1055"/>
      <c r="H4077" s="1136"/>
      <c r="I4077" s="1137"/>
      <c r="J4077" s="1055"/>
      <c r="K4077" s="1055"/>
      <c r="L4077" s="1059"/>
      <c r="Q4077" s="731"/>
      <c r="T4077" s="716"/>
    </row>
    <row r="4078" spans="1:20" s="709" customFormat="1">
      <c r="A4078" s="1153"/>
      <c r="B4078" s="710" t="s">
        <v>1293</v>
      </c>
      <c r="E4078" s="1153"/>
      <c r="F4078" s="1153"/>
      <c r="G4078" s="1154"/>
      <c r="I4078" s="1155"/>
      <c r="J4078" s="1156"/>
      <c r="K4078" s="1156"/>
      <c r="L4078" s="710"/>
      <c r="Q4078" s="1100"/>
      <c r="T4078" s="710"/>
    </row>
    <row r="4079" spans="1:20" s="709" customFormat="1">
      <c r="A4079" s="1153"/>
      <c r="B4079" s="710" t="s">
        <v>842</v>
      </c>
      <c r="E4079" s="1153"/>
      <c r="F4079" s="1153"/>
      <c r="G4079" s="1154"/>
      <c r="I4079" s="1155"/>
      <c r="J4079" s="1156"/>
      <c r="K4079" s="1156"/>
      <c r="L4079" s="710"/>
      <c r="Q4079" s="1100"/>
      <c r="T4079" s="710"/>
    </row>
    <row r="4080" spans="1:20" s="709" customFormat="1">
      <c r="A4080" s="1153"/>
      <c r="B4080" s="710" t="s">
        <v>822</v>
      </c>
      <c r="E4080" s="1153"/>
      <c r="F4080" s="1153"/>
      <c r="G4080" s="1154"/>
      <c r="I4080" s="1155"/>
      <c r="J4080" s="1156"/>
      <c r="K4080" s="1156"/>
      <c r="L4080" s="710"/>
      <c r="Q4080" s="1106"/>
      <c r="T4080" s="710"/>
    </row>
    <row r="4081" spans="1:20" s="709" customFormat="1">
      <c r="A4081" s="1153"/>
      <c r="B4081" s="709" t="s">
        <v>8</v>
      </c>
      <c r="E4081" s="1153"/>
      <c r="F4081" s="1153"/>
      <c r="G4081" s="1154">
        <v>0.51</v>
      </c>
      <c r="H4081" s="709" t="s">
        <v>91</v>
      </c>
      <c r="I4081" s="1155" t="s">
        <v>91</v>
      </c>
      <c r="J4081" s="1156">
        <f>G48</f>
        <v>6400</v>
      </c>
      <c r="K4081" s="1054">
        <f>ROUND(G4081*J4081,2)</f>
        <v>3264</v>
      </c>
      <c r="L4081" s="710"/>
      <c r="T4081" s="710"/>
    </row>
    <row r="4082" spans="1:20" s="709" customFormat="1">
      <c r="A4082" s="1153"/>
      <c r="B4082" s="709" t="s">
        <v>775</v>
      </c>
      <c r="E4082" s="1153"/>
      <c r="F4082" s="1153"/>
      <c r="G4082" s="1154">
        <v>1.05</v>
      </c>
      <c r="H4082" s="709" t="s">
        <v>49</v>
      </c>
      <c r="I4082" s="1155" t="s">
        <v>49</v>
      </c>
      <c r="J4082" s="1156">
        <f>G44</f>
        <v>80.72</v>
      </c>
      <c r="K4082" s="1054">
        <f>ROUND(G4082*J4082,2)</f>
        <v>84.76</v>
      </c>
      <c r="L4082" s="710"/>
      <c r="T4082" s="710"/>
    </row>
    <row r="4083" spans="1:20" s="709" customFormat="1">
      <c r="A4083" s="1153"/>
      <c r="E4083" s="1153"/>
      <c r="F4083" s="1153"/>
      <c r="G4083" s="1154"/>
      <c r="I4083" s="1155"/>
      <c r="J4083" s="1157" t="s">
        <v>718</v>
      </c>
      <c r="K4083" s="1156">
        <f>SUM(K4081:K4082)</f>
        <v>3348.76</v>
      </c>
      <c r="L4083" s="710"/>
      <c r="T4083" s="710"/>
    </row>
    <row r="4084" spans="1:20" s="709" customFormat="1">
      <c r="A4084" s="1153"/>
      <c r="B4084" s="710" t="s">
        <v>781</v>
      </c>
      <c r="E4084" s="1153"/>
      <c r="F4084" s="1153"/>
      <c r="G4084" s="1154"/>
      <c r="I4084" s="1155"/>
      <c r="J4084" s="1156"/>
      <c r="K4084" s="1156"/>
      <c r="L4084" s="710"/>
      <c r="T4084" s="710"/>
    </row>
    <row r="4085" spans="1:20" s="709" customFormat="1">
      <c r="A4085" s="1153"/>
      <c r="B4085" s="709" t="s">
        <v>744</v>
      </c>
      <c r="E4085" s="1153"/>
      <c r="F4085" s="1153"/>
      <c r="G4085" s="1154">
        <v>0.04</v>
      </c>
      <c r="H4085" s="709" t="s">
        <v>262</v>
      </c>
      <c r="I4085" s="1155" t="s">
        <v>38</v>
      </c>
      <c r="J4085" s="1156">
        <f>L130</f>
        <v>244.3</v>
      </c>
      <c r="K4085" s="1054">
        <f>ROUND(G4085*J4085,2)</f>
        <v>9.77</v>
      </c>
      <c r="L4085" s="710"/>
      <c r="T4085" s="710"/>
    </row>
    <row r="4086" spans="1:20" s="709" customFormat="1">
      <c r="A4086" s="1153"/>
      <c r="B4086" s="709" t="s">
        <v>1294</v>
      </c>
      <c r="E4086" s="1153"/>
      <c r="F4086" s="1153"/>
      <c r="G4086" s="1154">
        <v>0.9</v>
      </c>
      <c r="H4086" s="709" t="s">
        <v>262</v>
      </c>
      <c r="I4086" s="1155" t="s">
        <v>38</v>
      </c>
      <c r="J4086" s="1156">
        <f>L129</f>
        <v>182</v>
      </c>
      <c r="K4086" s="1054">
        <f>ROUND(G4086*J4086,2)</f>
        <v>163.80000000000001</v>
      </c>
      <c r="L4086" s="710"/>
      <c r="T4086" s="710"/>
    </row>
    <row r="4087" spans="1:20" s="709" customFormat="1">
      <c r="A4087" s="1153"/>
      <c r="E4087" s="1153"/>
      <c r="F4087" s="1153"/>
      <c r="G4087" s="1154"/>
      <c r="I4087" s="1155"/>
      <c r="J4087" s="1157" t="s">
        <v>718</v>
      </c>
      <c r="K4087" s="1156">
        <f>SUM(K4085:K4086)</f>
        <v>173.57000000000002</v>
      </c>
      <c r="L4087" s="710"/>
      <c r="T4087" s="710"/>
    </row>
    <row r="4088" spans="1:20" s="709" customFormat="1">
      <c r="A4088" s="1153"/>
      <c r="B4088" s="710" t="s">
        <v>783</v>
      </c>
      <c r="E4088" s="1153"/>
      <c r="F4088" s="1153"/>
      <c r="G4088" s="1154"/>
      <c r="I4088" s="1155"/>
      <c r="J4088" s="1156"/>
      <c r="K4088" s="1156"/>
      <c r="L4088" s="710"/>
      <c r="T4088" s="710"/>
    </row>
    <row r="4089" spans="1:20" s="709" customFormat="1">
      <c r="A4089" s="1153"/>
      <c r="B4089" s="709" t="str">
        <f>B4081</f>
        <v>Cement</v>
      </c>
      <c r="E4089" s="1153"/>
      <c r="F4089" s="1153"/>
      <c r="G4089" s="1154">
        <f t="shared" ref="G4089:I4090" si="125">G4081</f>
        <v>0.51</v>
      </c>
      <c r="H4089" s="1154" t="str">
        <f t="shared" si="125"/>
        <v>Mt</v>
      </c>
      <c r="I4089" s="1158" t="str">
        <f t="shared" si="125"/>
        <v>Mt</v>
      </c>
      <c r="J4089" s="1156">
        <f>K48</f>
        <v>247.87</v>
      </c>
      <c r="K4089" s="1054">
        <f>ROUND(G4089*J4089,2)</f>
        <v>126.41</v>
      </c>
      <c r="L4089" s="710"/>
      <c r="T4089" s="710"/>
    </row>
    <row r="4090" spans="1:20" s="709" customFormat="1">
      <c r="A4090" s="1153"/>
      <c r="B4090" s="709" t="str">
        <f>B4082</f>
        <v>Sand</v>
      </c>
      <c r="E4090" s="1153"/>
      <c r="F4090" s="1153"/>
      <c r="G4090" s="1154">
        <f t="shared" si="125"/>
        <v>1.05</v>
      </c>
      <c r="H4090" s="1154" t="str">
        <f t="shared" si="125"/>
        <v>Cum</v>
      </c>
      <c r="I4090" s="1158" t="str">
        <f t="shared" si="125"/>
        <v>Cum</v>
      </c>
      <c r="J4090" s="1156">
        <f>K44</f>
        <v>731.71</v>
      </c>
      <c r="K4090" s="1054">
        <f>ROUND(G4090*J4090,2)</f>
        <v>768.3</v>
      </c>
      <c r="L4090" s="710"/>
      <c r="T4090" s="710"/>
    </row>
    <row r="4091" spans="1:20" s="709" customFormat="1">
      <c r="A4091" s="1153"/>
      <c r="E4091" s="1153"/>
      <c r="F4091" s="1153"/>
      <c r="G4091" s="1154"/>
      <c r="I4091" s="1155"/>
      <c r="J4091" s="1157" t="s">
        <v>718</v>
      </c>
      <c r="K4091" s="1156">
        <f>SUM(K4089:K4090)</f>
        <v>894.70999999999992</v>
      </c>
      <c r="L4091" s="710"/>
      <c r="T4091" s="710"/>
    </row>
    <row r="4092" spans="1:20" s="709" customFormat="1">
      <c r="A4092" s="1153"/>
      <c r="B4092" s="709" t="s">
        <v>1295</v>
      </c>
      <c r="E4092" s="1153"/>
      <c r="F4092" s="1153"/>
      <c r="G4092" s="1154"/>
      <c r="I4092" s="1155"/>
      <c r="J4092" s="1156"/>
      <c r="K4092" s="1159">
        <f>K4083+K4087+K4091</f>
        <v>4417.04</v>
      </c>
      <c r="L4092" s="710" t="s">
        <v>721</v>
      </c>
      <c r="T4092" s="710"/>
    </row>
    <row r="4093" spans="1:20" s="709" customFormat="1">
      <c r="A4093" s="1153"/>
      <c r="B4093" s="710" t="s">
        <v>1296</v>
      </c>
      <c r="E4093" s="1153"/>
      <c r="F4093" s="1153"/>
      <c r="G4093" s="1154"/>
      <c r="I4093" s="1155"/>
      <c r="J4093" s="1156"/>
      <c r="K4093" s="1156"/>
      <c r="L4093" s="710"/>
      <c r="T4093" s="710"/>
    </row>
    <row r="4094" spans="1:20" s="709" customFormat="1">
      <c r="A4094" s="1153"/>
      <c r="B4094" s="709" t="s">
        <v>1297</v>
      </c>
      <c r="E4094" s="1153"/>
      <c r="F4094" s="1153"/>
      <c r="G4094" s="1154"/>
      <c r="I4094" s="1155"/>
      <c r="J4094" s="1156"/>
      <c r="K4094" s="1156"/>
      <c r="L4094" s="710"/>
      <c r="T4094" s="710"/>
    </row>
    <row r="4095" spans="1:20" s="709" customFormat="1">
      <c r="A4095" s="1153"/>
      <c r="B4095" s="710" t="s">
        <v>822</v>
      </c>
      <c r="E4095" s="1153"/>
      <c r="F4095" s="1153"/>
      <c r="G4095" s="1154"/>
      <c r="I4095" s="1155"/>
      <c r="J4095" s="1156"/>
      <c r="K4095" s="1156"/>
      <c r="L4095" s="710"/>
      <c r="T4095" s="710"/>
    </row>
    <row r="4096" spans="1:20" s="709" customFormat="1">
      <c r="A4096" s="1153"/>
      <c r="B4096" s="709" t="s">
        <v>1298</v>
      </c>
      <c r="E4096" s="1160" t="s">
        <v>1299</v>
      </c>
      <c r="F4096" s="1160"/>
      <c r="G4096" s="1154">
        <v>31.5</v>
      </c>
      <c r="H4096" s="709" t="s">
        <v>136</v>
      </c>
      <c r="I4096" s="1155" t="str">
        <f>H4096</f>
        <v>Mtr</v>
      </c>
      <c r="J4096" s="1156">
        <f>M221</f>
        <v>60</v>
      </c>
      <c r="K4096" s="1054">
        <f>ROUND(G4096*J4096,2)</f>
        <v>1890</v>
      </c>
      <c r="L4096" s="710"/>
      <c r="T4096" s="710"/>
    </row>
    <row r="4097" spans="1:20" s="709" customFormat="1">
      <c r="A4097" s="1153"/>
      <c r="B4097" s="709" t="s">
        <v>1300</v>
      </c>
      <c r="E4097" s="1153"/>
      <c r="F4097" s="1153"/>
      <c r="G4097" s="1161">
        <v>30</v>
      </c>
      <c r="H4097" s="709" t="s">
        <v>262</v>
      </c>
      <c r="I4097" s="1155" t="s">
        <v>37</v>
      </c>
      <c r="J4097" s="1156">
        <f>M222</f>
        <v>10</v>
      </c>
      <c r="K4097" s="1054">
        <f>ROUND(G4097*J4097,2)</f>
        <v>300</v>
      </c>
      <c r="L4097" s="710"/>
      <c r="T4097" s="710"/>
    </row>
    <row r="4098" spans="1:20" s="709" customFormat="1">
      <c r="A4098" s="1153"/>
      <c r="B4098" s="709" t="s">
        <v>1301</v>
      </c>
      <c r="E4098" s="1153"/>
      <c r="F4098" s="1153"/>
      <c r="G4098" s="1161">
        <v>10</v>
      </c>
      <c r="H4098" s="709" t="s">
        <v>262</v>
      </c>
      <c r="I4098" s="1155" t="s">
        <v>37</v>
      </c>
      <c r="J4098" s="1156">
        <f>M223</f>
        <v>6</v>
      </c>
      <c r="K4098" s="1054">
        <f>ROUND(G4098*J4098,2)</f>
        <v>60</v>
      </c>
      <c r="L4098" s="710"/>
      <c r="T4098" s="710"/>
    </row>
    <row r="4099" spans="1:20" s="709" customFormat="1">
      <c r="A4099" s="1153"/>
      <c r="B4099" s="709" t="s">
        <v>1293</v>
      </c>
      <c r="E4099" s="1153"/>
      <c r="F4099" s="1153"/>
      <c r="G4099" s="1154">
        <v>0.05</v>
      </c>
      <c r="H4099" s="709" t="s">
        <v>49</v>
      </c>
      <c r="I4099" s="1155" t="str">
        <f>H4099</f>
        <v>Cum</v>
      </c>
      <c r="J4099" s="1156">
        <f>K4092</f>
        <v>4417.04</v>
      </c>
      <c r="K4099" s="1054">
        <f>ROUND(G4099*J4099,2)</f>
        <v>220.85</v>
      </c>
      <c r="L4099" s="710"/>
      <c r="T4099" s="710"/>
    </row>
    <row r="4100" spans="1:20" s="709" customFormat="1">
      <c r="A4100" s="1153"/>
      <c r="E4100" s="1153"/>
      <c r="F4100" s="1153"/>
      <c r="G4100" s="1154"/>
      <c r="I4100" s="1155"/>
      <c r="J4100" s="1156" t="s">
        <v>718</v>
      </c>
      <c r="K4100" s="1159">
        <f>SUM(K4096:K4099)</f>
        <v>2470.85</v>
      </c>
      <c r="L4100" s="710"/>
      <c r="T4100" s="710"/>
    </row>
    <row r="4101" spans="1:20" s="709" customFormat="1">
      <c r="A4101" s="1153"/>
      <c r="B4101" s="710" t="s">
        <v>781</v>
      </c>
      <c r="E4101" s="1153"/>
      <c r="F4101" s="1153"/>
      <c r="G4101" s="1154"/>
      <c r="I4101" s="1155"/>
      <c r="J4101" s="1156"/>
      <c r="K4101" s="1156"/>
      <c r="L4101" s="710"/>
      <c r="T4101" s="710"/>
    </row>
    <row r="4102" spans="1:20" s="709" customFormat="1">
      <c r="A4102" s="1153"/>
      <c r="B4102" s="709" t="s">
        <v>744</v>
      </c>
      <c r="E4102" s="1153"/>
      <c r="F4102" s="1153"/>
      <c r="G4102" s="1154">
        <v>0.03</v>
      </c>
      <c r="H4102" s="709" t="s">
        <v>262</v>
      </c>
      <c r="I4102" s="1155" t="s">
        <v>38</v>
      </c>
      <c r="J4102" s="1156">
        <f>L130</f>
        <v>244.3</v>
      </c>
      <c r="K4102" s="1054">
        <f>ROUND(G4102*J4102,2)</f>
        <v>7.33</v>
      </c>
      <c r="L4102" s="710"/>
      <c r="T4102" s="710"/>
    </row>
    <row r="4103" spans="1:20" s="709" customFormat="1">
      <c r="A4103" s="1153"/>
      <c r="B4103" s="709" t="s">
        <v>782</v>
      </c>
      <c r="E4103" s="1153"/>
      <c r="F4103" s="1153"/>
      <c r="G4103" s="1154">
        <v>0.5</v>
      </c>
      <c r="H4103" s="709" t="s">
        <v>262</v>
      </c>
      <c r="I4103" s="1155" t="s">
        <v>38</v>
      </c>
      <c r="J4103" s="1156">
        <f>L131</f>
        <v>264.3</v>
      </c>
      <c r="K4103" s="1054">
        <f>ROUND(G4103*J4103,2)</f>
        <v>132.15</v>
      </c>
      <c r="L4103" s="710"/>
      <c r="T4103" s="710"/>
    </row>
    <row r="4104" spans="1:20" s="709" customFormat="1">
      <c r="A4104" s="1153"/>
      <c r="B4104" s="709" t="s">
        <v>717</v>
      </c>
      <c r="E4104" s="1153"/>
      <c r="F4104" s="1153"/>
      <c r="G4104" s="1154">
        <v>0.25</v>
      </c>
      <c r="H4104" s="709" t="s">
        <v>262</v>
      </c>
      <c r="I4104" s="1155" t="s">
        <v>38</v>
      </c>
      <c r="J4104" s="1156">
        <f>L129</f>
        <v>182</v>
      </c>
      <c r="K4104" s="1054">
        <f>ROUND(G4104*J4104,2)</f>
        <v>45.5</v>
      </c>
      <c r="L4104" s="710"/>
      <c r="T4104" s="710"/>
    </row>
    <row r="4105" spans="1:20" s="709" customFormat="1">
      <c r="A4105" s="1153"/>
      <c r="E4105" s="1153"/>
      <c r="F4105" s="1153"/>
      <c r="G4105" s="1154"/>
      <c r="I4105" s="1155"/>
      <c r="J4105" s="1156" t="s">
        <v>718</v>
      </c>
      <c r="K4105" s="1159">
        <f>SUM(K4102:K4104)</f>
        <v>184.98000000000002</v>
      </c>
      <c r="L4105" s="710"/>
      <c r="T4105" s="710"/>
    </row>
    <row r="4106" spans="1:20" s="709" customFormat="1">
      <c r="A4106" s="1153"/>
      <c r="B4106" s="710"/>
      <c r="E4106" s="1153"/>
      <c r="F4106" s="1153"/>
      <c r="G4106" s="1154"/>
      <c r="I4106" s="1155"/>
      <c r="J4106" s="1156"/>
      <c r="K4106" s="1156"/>
      <c r="L4106" s="710"/>
      <c r="T4106" s="710"/>
    </row>
    <row r="4107" spans="1:20" s="709" customFormat="1">
      <c r="A4107" s="1153"/>
      <c r="B4107" s="709" t="s">
        <v>1302</v>
      </c>
      <c r="E4107" s="1153"/>
      <c r="F4107" s="1153"/>
      <c r="G4107" s="1154"/>
      <c r="I4107" s="1155"/>
      <c r="J4107" s="1156"/>
      <c r="K4107" s="1159">
        <f>K4100+K4105+K4106</f>
        <v>2655.83</v>
      </c>
      <c r="L4107" s="710"/>
      <c r="T4107" s="710"/>
    </row>
    <row r="4108" spans="1:20" s="709" customFormat="1">
      <c r="A4108" s="1153"/>
      <c r="B4108" s="709" t="s">
        <v>1303</v>
      </c>
      <c r="E4108" s="1153"/>
      <c r="F4108" s="1153"/>
      <c r="G4108" s="1154"/>
      <c r="I4108" s="1155"/>
      <c r="J4108" s="1156"/>
      <c r="K4108" s="1159">
        <f>ROUND(K4107/30,2)</f>
        <v>88.53</v>
      </c>
      <c r="L4108" s="710" t="s">
        <v>937</v>
      </c>
      <c r="T4108" s="710"/>
    </row>
    <row r="4109" spans="1:20" s="716" customFormat="1" ht="39.75" customHeight="1">
      <c r="A4109" s="1138">
        <f>A702</f>
        <v>139</v>
      </c>
      <c r="B4109" s="3400" t="str">
        <f>B702</f>
        <v>20mm thick cement plaster (1:4) with punning over stone masonry including all cost of labour and material etc complete as per specification.</v>
      </c>
      <c r="C4109" s="3400"/>
      <c r="D4109" s="3400"/>
      <c r="E4109" s="1135" t="str">
        <f>G702</f>
        <v>Each Sqm</v>
      </c>
      <c r="F4109" s="1135"/>
      <c r="G4109" s="1055"/>
      <c r="H4109" s="1136"/>
      <c r="I4109" s="1137"/>
      <c r="J4109" s="1055"/>
      <c r="K4109" s="1055"/>
      <c r="L4109" s="1059"/>
      <c r="M4109" s="714"/>
    </row>
    <row r="4110" spans="1:20" s="714" customFormat="1">
      <c r="A4110" s="1148"/>
      <c r="B4110" s="1053" t="s">
        <v>1304</v>
      </c>
      <c r="C4110" s="1055"/>
      <c r="D4110" s="1055"/>
      <c r="E4110" s="1139"/>
      <c r="F4110" s="1139"/>
      <c r="G4110" s="1140"/>
      <c r="H4110" s="1136"/>
      <c r="I4110" s="1137"/>
      <c r="J4110" s="1054"/>
      <c r="K4110" s="1054"/>
      <c r="L4110" s="1059"/>
      <c r="T4110" s="716"/>
    </row>
    <row r="4111" spans="1:20" s="714" customFormat="1">
      <c r="A4111" s="1148"/>
      <c r="B4111" s="1053" t="s">
        <v>822</v>
      </c>
      <c r="C4111" s="1055"/>
      <c r="D4111" s="1055"/>
      <c r="E4111" s="1139"/>
      <c r="F4111" s="1139"/>
      <c r="G4111" s="1055"/>
      <c r="H4111" s="1136"/>
      <c r="I4111" s="1137"/>
      <c r="J4111" s="1055"/>
      <c r="K4111" s="1055"/>
      <c r="L4111" s="1059"/>
      <c r="T4111" s="716"/>
    </row>
    <row r="4112" spans="1:20" s="714" customFormat="1">
      <c r="A4112" s="1148"/>
      <c r="B4112" s="1055" t="s">
        <v>775</v>
      </c>
      <c r="C4112" s="1055"/>
      <c r="D4112" s="1055"/>
      <c r="E4112" s="1139"/>
      <c r="F4112" s="1139"/>
      <c r="G4112" s="1140">
        <v>2.1000000000000001E-2</v>
      </c>
      <c r="H4112" s="1136" t="s">
        <v>49</v>
      </c>
      <c r="I4112" s="1137" t="s">
        <v>49</v>
      </c>
      <c r="J4112" s="1054">
        <f>G44</f>
        <v>80.72</v>
      </c>
      <c r="K4112" s="1054">
        <f>ROUND(G4112*J4112,2)</f>
        <v>1.7</v>
      </c>
      <c r="L4112" s="1059"/>
      <c r="T4112" s="716"/>
    </row>
    <row r="4113" spans="1:20" s="714" customFormat="1">
      <c r="A4113" s="1148"/>
      <c r="B4113" s="1055" t="s">
        <v>8</v>
      </c>
      <c r="C4113" s="1055"/>
      <c r="D4113" s="1055"/>
      <c r="E4113" s="1139"/>
      <c r="F4113" s="1139"/>
      <c r="G4113" s="1150">
        <v>7.4399999999999994E-2</v>
      </c>
      <c r="H4113" s="1136" t="s">
        <v>247</v>
      </c>
      <c r="I4113" s="1137" t="s">
        <v>247</v>
      </c>
      <c r="J4113" s="1054">
        <f>G48/10</f>
        <v>640</v>
      </c>
      <c r="K4113" s="1054">
        <f>ROUND(G4113*J4113,2)</f>
        <v>47.62</v>
      </c>
      <c r="L4113" s="1059"/>
      <c r="T4113" s="716"/>
    </row>
    <row r="4114" spans="1:20" s="714" customFormat="1">
      <c r="A4114" s="1148"/>
      <c r="B4114" s="1055"/>
      <c r="C4114" s="1055"/>
      <c r="D4114" s="1055"/>
      <c r="E4114" s="1139"/>
      <c r="F4114" s="1139"/>
      <c r="G4114" s="1140"/>
      <c r="H4114" s="1136"/>
      <c r="I4114" s="1137"/>
      <c r="J4114" s="1141" t="s">
        <v>718</v>
      </c>
      <c r="K4114" s="1052">
        <f>SUM(K4112:K4113)</f>
        <v>49.32</v>
      </c>
      <c r="L4114" s="1059"/>
      <c r="T4114" s="716"/>
    </row>
    <row r="4115" spans="1:20" s="714" customFormat="1">
      <c r="A4115" s="1148"/>
      <c r="B4115" s="1053" t="s">
        <v>781</v>
      </c>
      <c r="C4115" s="1055"/>
      <c r="D4115" s="1055"/>
      <c r="E4115" s="1139"/>
      <c r="F4115" s="1139"/>
      <c r="G4115" s="1140"/>
      <c r="H4115" s="1136"/>
      <c r="I4115" s="1137"/>
      <c r="J4115" s="1054"/>
      <c r="K4115" s="1054"/>
      <c r="L4115" s="1059"/>
      <c r="T4115" s="716"/>
    </row>
    <row r="4116" spans="1:20" s="714" customFormat="1">
      <c r="A4116" s="1148"/>
      <c r="B4116" s="1055" t="s">
        <v>782</v>
      </c>
      <c r="C4116" s="1055"/>
      <c r="D4116" s="1055"/>
      <c r="E4116" s="1139"/>
      <c r="F4116" s="1139"/>
      <c r="G4116" s="1140">
        <v>0.16</v>
      </c>
      <c r="H4116" s="1136" t="s">
        <v>262</v>
      </c>
      <c r="I4116" s="1137" t="s">
        <v>38</v>
      </c>
      <c r="J4116" s="1054">
        <f>L131</f>
        <v>264.3</v>
      </c>
      <c r="K4116" s="1054">
        <f>ROUND(G4116*J4116,2)</f>
        <v>42.29</v>
      </c>
      <c r="L4116" s="1059"/>
      <c r="T4116" s="716"/>
    </row>
    <row r="4117" spans="1:20" s="714" customFormat="1">
      <c r="A4117" s="1148"/>
      <c r="B4117" s="1055" t="s">
        <v>717</v>
      </c>
      <c r="C4117" s="1055"/>
      <c r="D4117" s="1055"/>
      <c r="E4117" s="1139"/>
      <c r="F4117" s="1139"/>
      <c r="G4117" s="1140">
        <v>0.24</v>
      </c>
      <c r="H4117" s="1136" t="s">
        <v>262</v>
      </c>
      <c r="I4117" s="1137" t="s">
        <v>38</v>
      </c>
      <c r="J4117" s="1054">
        <f>L129</f>
        <v>182</v>
      </c>
      <c r="K4117" s="1054">
        <f>ROUND(G4117*J4117,2)</f>
        <v>43.68</v>
      </c>
      <c r="L4117" s="1059"/>
      <c r="T4117" s="716"/>
    </row>
    <row r="4118" spans="1:20" s="714" customFormat="1">
      <c r="A4118" s="1148"/>
      <c r="B4118" s="1055"/>
      <c r="C4118" s="1055"/>
      <c r="D4118" s="1055"/>
      <c r="E4118" s="1139"/>
      <c r="F4118" s="1139"/>
      <c r="G4118" s="1140"/>
      <c r="H4118" s="1136"/>
      <c r="I4118" s="1137"/>
      <c r="J4118" s="1141" t="s">
        <v>718</v>
      </c>
      <c r="K4118" s="1052">
        <f>SUM(K4116:K4117)</f>
        <v>85.97</v>
      </c>
      <c r="L4118" s="1059"/>
      <c r="T4118" s="716"/>
    </row>
    <row r="4119" spans="1:20" s="714" customFormat="1">
      <c r="A4119" s="1148"/>
      <c r="B4119" s="1053"/>
      <c r="C4119" s="1055"/>
      <c r="D4119" s="1055"/>
      <c r="E4119" s="1139"/>
      <c r="F4119" s="1139"/>
      <c r="G4119" s="1140"/>
      <c r="H4119" s="1136"/>
      <c r="I4119" s="1137"/>
      <c r="J4119" s="1054"/>
      <c r="K4119" s="1052"/>
      <c r="L4119" s="1059"/>
      <c r="T4119" s="716"/>
    </row>
    <row r="4120" spans="1:20" s="714" customFormat="1">
      <c r="A4120" s="1148"/>
      <c r="B4120" s="1053" t="s">
        <v>792</v>
      </c>
      <c r="C4120" s="1055"/>
      <c r="D4120" s="1055"/>
      <c r="E4120" s="1139"/>
      <c r="F4120" s="1139"/>
      <c r="G4120" s="1140"/>
      <c r="H4120" s="1136"/>
      <c r="I4120" s="1137"/>
      <c r="J4120" s="1162"/>
      <c r="K4120" s="1054"/>
      <c r="L4120" s="1059"/>
      <c r="T4120" s="716"/>
    </row>
    <row r="4121" spans="1:20" s="714" customFormat="1">
      <c r="A4121" s="1148"/>
      <c r="B4121" s="1055" t="s">
        <v>775</v>
      </c>
      <c r="C4121" s="1055"/>
      <c r="D4121" s="1055"/>
      <c r="E4121" s="1139"/>
      <c r="F4121" s="1139"/>
      <c r="G4121" s="1140">
        <f>G4112</f>
        <v>2.1000000000000001E-2</v>
      </c>
      <c r="H4121" s="1136" t="s">
        <v>49</v>
      </c>
      <c r="I4121" s="1137" t="s">
        <v>49</v>
      </c>
      <c r="J4121" s="1054">
        <f>K44</f>
        <v>731.71</v>
      </c>
      <c r="K4121" s="1054">
        <f>ROUND(G4121*J4121,2)</f>
        <v>15.37</v>
      </c>
      <c r="L4121" s="1059"/>
      <c r="T4121" s="716"/>
    </row>
    <row r="4122" spans="1:20" s="714" customFormat="1">
      <c r="A4122" s="1148"/>
      <c r="B4122" s="1055" t="s">
        <v>8</v>
      </c>
      <c r="C4122" s="1055"/>
      <c r="D4122" s="1055"/>
      <c r="E4122" s="1139"/>
      <c r="F4122" s="1139"/>
      <c r="G4122" s="1150">
        <f>G4113</f>
        <v>7.4399999999999994E-2</v>
      </c>
      <c r="H4122" s="1136" t="s">
        <v>247</v>
      </c>
      <c r="I4122" s="1137" t="s">
        <v>247</v>
      </c>
      <c r="J4122" s="1054">
        <f>K48/10</f>
        <v>24.786999999999999</v>
      </c>
      <c r="K4122" s="1054">
        <f>ROUND(G4122*J4122,2)</f>
        <v>1.84</v>
      </c>
      <c r="L4122" s="1059"/>
      <c r="T4122" s="716"/>
    </row>
    <row r="4123" spans="1:20" s="714" customFormat="1">
      <c r="A4123" s="1148"/>
      <c r="B4123" s="1055"/>
      <c r="C4123" s="1055"/>
      <c r="D4123" s="1055"/>
      <c r="E4123" s="1139"/>
      <c r="F4123" s="1139"/>
      <c r="G4123" s="1140"/>
      <c r="H4123" s="1136"/>
      <c r="I4123" s="1137"/>
      <c r="J4123" s="1141" t="s">
        <v>718</v>
      </c>
      <c r="K4123" s="1052">
        <f>SUM(K4121:K4122)</f>
        <v>17.21</v>
      </c>
      <c r="L4123" s="1059"/>
      <c r="T4123" s="716"/>
    </row>
    <row r="4124" spans="1:20" s="714" customFormat="1">
      <c r="A4124" s="1148"/>
      <c r="B4124" s="1053" t="s">
        <v>963</v>
      </c>
      <c r="C4124" s="1055"/>
      <c r="D4124" s="1055"/>
      <c r="E4124" s="1139"/>
      <c r="F4124" s="1139"/>
      <c r="G4124" s="1163"/>
      <c r="H4124" s="1136"/>
      <c r="I4124" s="1137"/>
      <c r="J4124" s="1054"/>
      <c r="K4124" s="1052">
        <f>K4114+K4118+K4119+K4123</f>
        <v>152.5</v>
      </c>
      <c r="L4124" s="1059"/>
      <c r="T4124" s="716"/>
    </row>
    <row r="4125" spans="1:20" s="714" customFormat="1">
      <c r="A4125" s="1148"/>
      <c r="B4125" s="1164" t="s">
        <v>1305</v>
      </c>
      <c r="C4125" s="1055"/>
      <c r="D4125" s="1055"/>
      <c r="E4125" s="1139"/>
      <c r="F4125" s="1139"/>
      <c r="G4125" s="1140"/>
      <c r="H4125" s="1136"/>
      <c r="I4125" s="1137"/>
      <c r="J4125" s="1054"/>
      <c r="K4125" s="1054"/>
      <c r="L4125" s="1059"/>
      <c r="T4125" s="716"/>
    </row>
    <row r="4126" spans="1:20" s="714" customFormat="1">
      <c r="A4126" s="1148"/>
      <c r="B4126" s="1053" t="s">
        <v>822</v>
      </c>
      <c r="C4126" s="1055"/>
      <c r="D4126" s="1055"/>
      <c r="E4126" s="1139"/>
      <c r="F4126" s="1139"/>
      <c r="G4126" s="1055"/>
      <c r="H4126" s="1136"/>
      <c r="I4126" s="1137"/>
      <c r="J4126" s="1055"/>
      <c r="K4126" s="1055"/>
      <c r="L4126" s="1059"/>
      <c r="T4126" s="716"/>
    </row>
    <row r="4127" spans="1:20" s="714" customFormat="1">
      <c r="A4127" s="1148"/>
      <c r="B4127" s="1055" t="s">
        <v>8</v>
      </c>
      <c r="C4127" s="1055"/>
      <c r="D4127" s="1055"/>
      <c r="E4127" s="1139"/>
      <c r="F4127" s="1139"/>
      <c r="G4127" s="1150">
        <v>1.44E-2</v>
      </c>
      <c r="H4127" s="1136" t="s">
        <v>247</v>
      </c>
      <c r="I4127" s="1137" t="s">
        <v>247</v>
      </c>
      <c r="J4127" s="1054">
        <f>J4113</f>
        <v>640</v>
      </c>
      <c r="K4127" s="1054">
        <f>ROUND(G4127*J4127,2)</f>
        <v>9.2200000000000006</v>
      </c>
      <c r="L4127" s="1059"/>
      <c r="T4127" s="716"/>
    </row>
    <row r="4128" spans="1:20" s="714" customFormat="1">
      <c r="A4128" s="1148"/>
      <c r="B4128" s="1055"/>
      <c r="C4128" s="1055"/>
      <c r="D4128" s="1055"/>
      <c r="E4128" s="1139"/>
      <c r="F4128" s="1139"/>
      <c r="G4128" s="1140"/>
      <c r="H4128" s="1136"/>
      <c r="I4128" s="1137"/>
      <c r="J4128" s="1141" t="s">
        <v>718</v>
      </c>
      <c r="K4128" s="1052">
        <f>SUM(K4127:K4127)</f>
        <v>9.2200000000000006</v>
      </c>
      <c r="L4128" s="1059"/>
      <c r="T4128" s="716"/>
    </row>
    <row r="4129" spans="1:20" s="714" customFormat="1">
      <c r="A4129" s="1148"/>
      <c r="B4129" s="1053" t="s">
        <v>781</v>
      </c>
      <c r="C4129" s="1055"/>
      <c r="D4129" s="1055"/>
      <c r="E4129" s="1139"/>
      <c r="F4129" s="1139"/>
      <c r="G4129" s="1140"/>
      <c r="H4129" s="1136"/>
      <c r="I4129" s="1137"/>
      <c r="J4129" s="1054"/>
      <c r="K4129" s="1054"/>
      <c r="L4129" s="1059"/>
      <c r="T4129" s="716"/>
    </row>
    <row r="4130" spans="1:20" s="714" customFormat="1">
      <c r="A4130" s="1148"/>
      <c r="B4130" s="1055" t="s">
        <v>804</v>
      </c>
      <c r="C4130" s="1055"/>
      <c r="D4130" s="1055"/>
      <c r="E4130" s="1139"/>
      <c r="F4130" s="1139"/>
      <c r="G4130" s="1140">
        <v>2.7E-2</v>
      </c>
      <c r="H4130" s="1136" t="s">
        <v>262</v>
      </c>
      <c r="I4130" s="1137" t="s">
        <v>38</v>
      </c>
      <c r="J4130" s="1054">
        <f>L132</f>
        <v>284.3</v>
      </c>
      <c r="K4130" s="1054">
        <f>ROUND(G4130*J4130,2)</f>
        <v>7.68</v>
      </c>
      <c r="L4130" s="1059"/>
      <c r="T4130" s="716"/>
    </row>
    <row r="4131" spans="1:20" s="714" customFormat="1">
      <c r="A4131" s="1148"/>
      <c r="B4131" s="1055" t="s">
        <v>717</v>
      </c>
      <c r="C4131" s="1055"/>
      <c r="D4131" s="1055"/>
      <c r="E4131" s="1139"/>
      <c r="F4131" s="1139"/>
      <c r="G4131" s="1140">
        <v>2.7E-2</v>
      </c>
      <c r="H4131" s="1136" t="s">
        <v>262</v>
      </c>
      <c r="I4131" s="1137" t="s">
        <v>38</v>
      </c>
      <c r="J4131" s="1054">
        <f>L129</f>
        <v>182</v>
      </c>
      <c r="K4131" s="1054">
        <f>ROUND(G4131*J4131,2)</f>
        <v>4.91</v>
      </c>
      <c r="L4131" s="1059"/>
      <c r="T4131" s="716"/>
    </row>
    <row r="4132" spans="1:20" s="714" customFormat="1">
      <c r="A4132" s="1148"/>
      <c r="B4132" s="1055"/>
      <c r="C4132" s="1055"/>
      <c r="D4132" s="1055"/>
      <c r="E4132" s="1139"/>
      <c r="F4132" s="1139"/>
      <c r="G4132" s="1140"/>
      <c r="H4132" s="1136"/>
      <c r="I4132" s="1137"/>
      <c r="J4132" s="1141" t="s">
        <v>718</v>
      </c>
      <c r="K4132" s="1052">
        <f>SUM(K4130:K4131)</f>
        <v>12.59</v>
      </c>
      <c r="L4132" s="1059"/>
      <c r="T4132" s="716"/>
    </row>
    <row r="4133" spans="1:20" s="714" customFormat="1">
      <c r="A4133" s="1148"/>
      <c r="B4133" s="1053"/>
      <c r="C4133" s="1055"/>
      <c r="D4133" s="1055"/>
      <c r="E4133" s="1139"/>
      <c r="F4133" s="1139"/>
      <c r="G4133" s="1140"/>
      <c r="H4133" s="1136"/>
      <c r="I4133" s="1137"/>
      <c r="J4133" s="1054"/>
      <c r="K4133" s="1052"/>
      <c r="L4133" s="1059"/>
      <c r="T4133" s="716"/>
    </row>
    <row r="4134" spans="1:20" s="714" customFormat="1">
      <c r="A4134" s="1148"/>
      <c r="B4134" s="1053" t="s">
        <v>792</v>
      </c>
      <c r="C4134" s="1055"/>
      <c r="D4134" s="1055"/>
      <c r="E4134" s="1139"/>
      <c r="F4134" s="1139"/>
      <c r="G4134" s="1140"/>
      <c r="H4134" s="1136"/>
      <c r="I4134" s="1137"/>
      <c r="J4134" s="1162"/>
      <c r="K4134" s="1054"/>
      <c r="L4134" s="1059"/>
      <c r="T4134" s="716"/>
    </row>
    <row r="4135" spans="1:20" s="714" customFormat="1">
      <c r="A4135" s="1148"/>
      <c r="B4135" s="1055" t="s">
        <v>8</v>
      </c>
      <c r="C4135" s="1055"/>
      <c r="D4135" s="1055"/>
      <c r="E4135" s="1139"/>
      <c r="F4135" s="1139"/>
      <c r="G4135" s="1150">
        <f>G4127</f>
        <v>1.44E-2</v>
      </c>
      <c r="H4135" s="1136" t="s">
        <v>247</v>
      </c>
      <c r="I4135" s="1137" t="s">
        <v>247</v>
      </c>
      <c r="J4135" s="1054">
        <f>J4122</f>
        <v>24.786999999999999</v>
      </c>
      <c r="K4135" s="1054">
        <f>ROUND(G4135*J4135,2)</f>
        <v>0.36</v>
      </c>
      <c r="L4135" s="1059"/>
      <c r="T4135" s="716"/>
    </row>
    <row r="4136" spans="1:20" s="714" customFormat="1">
      <c r="A4136" s="1148"/>
      <c r="B4136" s="1055"/>
      <c r="C4136" s="1055"/>
      <c r="D4136" s="1055"/>
      <c r="E4136" s="1139"/>
      <c r="F4136" s="1139"/>
      <c r="G4136" s="1140"/>
      <c r="H4136" s="1136"/>
      <c r="I4136" s="1137"/>
      <c r="J4136" s="1141" t="s">
        <v>718</v>
      </c>
      <c r="K4136" s="1052">
        <f>SUM(K4135:K4135)</f>
        <v>0.36</v>
      </c>
      <c r="L4136" s="1059"/>
      <c r="T4136" s="716"/>
    </row>
    <row r="4137" spans="1:20" s="714" customFormat="1">
      <c r="A4137" s="1148"/>
      <c r="B4137" s="1053" t="s">
        <v>963</v>
      </c>
      <c r="C4137" s="1055"/>
      <c r="D4137" s="1055"/>
      <c r="E4137" s="1139"/>
      <c r="F4137" s="1139"/>
      <c r="G4137" s="1163"/>
      <c r="H4137" s="1136"/>
      <c r="I4137" s="1137"/>
      <c r="J4137" s="1054"/>
      <c r="K4137" s="1052">
        <f>K4128+K4132+K4133+K4136</f>
        <v>22.17</v>
      </c>
      <c r="L4137" s="1059"/>
      <c r="T4137" s="716"/>
    </row>
    <row r="4138" spans="1:20" s="716" customFormat="1">
      <c r="A4138" s="1151"/>
      <c r="B4138" s="1053" t="s">
        <v>1306</v>
      </c>
      <c r="C4138" s="1053"/>
      <c r="D4138" s="1053"/>
      <c r="E4138" s="1142"/>
      <c r="F4138" s="1142"/>
      <c r="G4138" s="1165"/>
      <c r="H4138" s="1059"/>
      <c r="I4138" s="1144"/>
      <c r="J4138" s="1052"/>
      <c r="K4138" s="1052">
        <f>K4124+K4137</f>
        <v>174.67000000000002</v>
      </c>
      <c r="L4138" s="1059" t="s">
        <v>730</v>
      </c>
      <c r="M4138" s="714"/>
    </row>
    <row r="4139" spans="1:20" s="714" customFormat="1" ht="39.75" customHeight="1">
      <c r="A4139" s="1138">
        <f>A703</f>
        <v>140</v>
      </c>
      <c r="B4139" s="3400" t="str">
        <f>B703</f>
        <v>Gravel backing to revetments as per approved drawing &amp; technical specifications Including all cost of labour and material etc complete.</v>
      </c>
      <c r="C4139" s="3400"/>
      <c r="D4139" s="3400"/>
      <c r="E4139" s="1135" t="str">
        <f>G703</f>
        <v>Each Cum</v>
      </c>
      <c r="F4139" s="1135"/>
      <c r="G4139" s="1055"/>
      <c r="H4139" s="1136"/>
      <c r="I4139" s="1137"/>
      <c r="J4139" s="1055"/>
      <c r="K4139" s="1055"/>
      <c r="L4139" s="1059"/>
      <c r="T4139" s="716"/>
    </row>
    <row r="4140" spans="1:20" s="714" customFormat="1">
      <c r="A4140" s="1148"/>
      <c r="B4140" s="1053" t="s">
        <v>1307</v>
      </c>
      <c r="C4140" s="1053"/>
      <c r="D4140" s="1055"/>
      <c r="E4140" s="1139"/>
      <c r="F4140" s="1139"/>
      <c r="G4140" s="1140">
        <v>1</v>
      </c>
      <c r="H4140" s="1136" t="s">
        <v>49</v>
      </c>
      <c r="I4140" s="1137" t="s">
        <v>49</v>
      </c>
      <c r="J4140" s="1054">
        <f>G46</f>
        <v>69.17</v>
      </c>
      <c r="K4140" s="1054">
        <f>ROUND(G4140*J4140,2)</f>
        <v>69.17</v>
      </c>
      <c r="L4140" s="1059"/>
      <c r="T4140" s="716"/>
    </row>
    <row r="4141" spans="1:20" s="714" customFormat="1">
      <c r="A4141" s="1148"/>
      <c r="B4141" s="1053" t="s">
        <v>1308</v>
      </c>
      <c r="C4141" s="1053"/>
      <c r="D4141" s="1055"/>
      <c r="E4141" s="1139"/>
      <c r="F4141" s="1139"/>
      <c r="G4141" s="1140">
        <v>1.06</v>
      </c>
      <c r="H4141" s="1136" t="s">
        <v>38</v>
      </c>
      <c r="I4141" s="1137" t="s">
        <v>38</v>
      </c>
      <c r="J4141" s="1054">
        <f>L129</f>
        <v>182</v>
      </c>
      <c r="K4141" s="1054">
        <f>ROUND(G4141*J4141,2)</f>
        <v>192.92</v>
      </c>
      <c r="L4141" s="1059"/>
      <c r="T4141" s="716"/>
    </row>
    <row r="4142" spans="1:20" s="714" customFormat="1">
      <c r="A4142" s="1148"/>
      <c r="B4142" s="1055"/>
      <c r="C4142" s="1055"/>
      <c r="D4142" s="1055"/>
      <c r="E4142" s="1139"/>
      <c r="F4142" s="1139"/>
      <c r="G4142" s="1055"/>
      <c r="H4142" s="1136"/>
      <c r="I4142" s="1137"/>
      <c r="J4142" s="1141" t="s">
        <v>718</v>
      </c>
      <c r="K4142" s="1054">
        <f>SUM(K4140:K4141)</f>
        <v>262.08999999999997</v>
      </c>
      <c r="L4142" s="1059"/>
      <c r="T4142" s="716"/>
    </row>
    <row r="4143" spans="1:20" s="714" customFormat="1">
      <c r="A4143" s="1148"/>
      <c r="B4143" s="1055"/>
      <c r="C4143" s="1055"/>
      <c r="D4143" s="1055"/>
      <c r="E4143" s="1139"/>
      <c r="F4143" s="1139"/>
      <c r="G4143" s="1055"/>
      <c r="H4143" s="1136"/>
      <c r="I4143" s="1137"/>
      <c r="J4143" s="1055"/>
      <c r="K4143" s="1054"/>
      <c r="L4143" s="1059"/>
      <c r="T4143" s="716"/>
    </row>
    <row r="4144" spans="1:20" s="714" customFormat="1">
      <c r="A4144" s="1148"/>
      <c r="B4144" s="1055"/>
      <c r="C4144" s="1055"/>
      <c r="D4144" s="1055"/>
      <c r="E4144" s="1139"/>
      <c r="F4144" s="1139"/>
      <c r="G4144" s="1055"/>
      <c r="H4144" s="1136"/>
      <c r="I4144" s="1137"/>
      <c r="J4144" s="1141" t="s">
        <v>718</v>
      </c>
      <c r="K4144" s="1052">
        <f>SUM(K4142:K4143)</f>
        <v>262.08999999999997</v>
      </c>
      <c r="L4144" s="1059"/>
      <c r="T4144" s="716"/>
    </row>
    <row r="4145" spans="1:20" s="714" customFormat="1">
      <c r="A4145" s="1148"/>
      <c r="B4145" s="1053" t="s">
        <v>1309</v>
      </c>
      <c r="C4145" s="1053"/>
      <c r="D4145" s="1055"/>
      <c r="E4145" s="1139"/>
      <c r="F4145" s="1139"/>
      <c r="G4145" s="1140">
        <v>1</v>
      </c>
      <c r="H4145" s="1136" t="s">
        <v>49</v>
      </c>
      <c r="I4145" s="1137" t="s">
        <v>49</v>
      </c>
      <c r="J4145" s="1054">
        <f>K46</f>
        <v>276.01</v>
      </c>
      <c r="K4145" s="1054">
        <f>ROUND(G4145*J4145,2)</f>
        <v>276.01</v>
      </c>
      <c r="L4145" s="1059"/>
      <c r="T4145" s="716"/>
    </row>
    <row r="4146" spans="1:20" s="714" customFormat="1">
      <c r="A4146" s="1148"/>
      <c r="B4146" s="1053" t="s">
        <v>1310</v>
      </c>
      <c r="C4146" s="1053"/>
      <c r="D4146" s="1055"/>
      <c r="E4146" s="1139"/>
      <c r="F4146" s="1139"/>
      <c r="G4146" s="1055"/>
      <c r="H4146" s="1136"/>
      <c r="I4146" s="1137"/>
      <c r="J4146" s="1141" t="s">
        <v>718</v>
      </c>
      <c r="K4146" s="1052">
        <f>SUM(K4144:K4145)</f>
        <v>538.09999999999991</v>
      </c>
      <c r="L4146" s="1059" t="s">
        <v>721</v>
      </c>
      <c r="T4146" s="716"/>
    </row>
    <row r="4147" spans="1:20" s="714" customFormat="1" ht="27.75" customHeight="1">
      <c r="A4147" s="1138">
        <f>A704</f>
        <v>141</v>
      </c>
      <c r="B4147" s="3398" t="s">
        <v>1311</v>
      </c>
      <c r="C4147" s="3400"/>
      <c r="D4147" s="3400"/>
      <c r="E4147" s="1135" t="str">
        <f>G716</f>
        <v>Each Cum</v>
      </c>
      <c r="F4147" s="1135"/>
      <c r="G4147" s="1055"/>
      <c r="H4147" s="1136"/>
      <c r="I4147" s="1137"/>
      <c r="J4147" s="1055"/>
      <c r="K4147" s="1055"/>
      <c r="L4147" s="1059"/>
      <c r="T4147" s="716"/>
    </row>
    <row r="4148" spans="1:20" s="714" customFormat="1">
      <c r="A4148" s="1148"/>
      <c r="B4148" s="1053" t="s">
        <v>1312</v>
      </c>
      <c r="C4148" s="1053"/>
      <c r="D4148" s="1055"/>
      <c r="E4148" s="1139"/>
      <c r="F4148" s="1139"/>
      <c r="G4148" s="1140">
        <v>1</v>
      </c>
      <c r="H4148" s="1136" t="s">
        <v>49</v>
      </c>
      <c r="I4148" s="1137" t="s">
        <v>49</v>
      </c>
      <c r="J4148" s="1054">
        <f>G23</f>
        <v>735.92</v>
      </c>
      <c r="K4148" s="1054">
        <f>ROUND(G4148*J4148,2)</f>
        <v>735.92</v>
      </c>
      <c r="L4148" s="1059"/>
      <c r="T4148" s="716"/>
    </row>
    <row r="4149" spans="1:20" s="714" customFormat="1">
      <c r="A4149" s="1148"/>
      <c r="B4149" s="1053" t="s">
        <v>1308</v>
      </c>
      <c r="C4149" s="1053"/>
      <c r="D4149" s="1055"/>
      <c r="E4149" s="1139"/>
      <c r="F4149" s="1139"/>
      <c r="G4149" s="1140">
        <v>0.88</v>
      </c>
      <c r="H4149" s="1136" t="s">
        <v>38</v>
      </c>
      <c r="I4149" s="1137" t="s">
        <v>38</v>
      </c>
      <c r="J4149" s="1054">
        <f>L129</f>
        <v>182</v>
      </c>
      <c r="K4149" s="1054">
        <f>ROUND(G4149*J4149,2)</f>
        <v>160.16</v>
      </c>
      <c r="L4149" s="1059"/>
      <c r="T4149" s="716"/>
    </row>
    <row r="4150" spans="1:20" s="714" customFormat="1">
      <c r="A4150" s="1148"/>
      <c r="B4150" s="1055"/>
      <c r="C4150" s="1055"/>
      <c r="D4150" s="1055"/>
      <c r="E4150" s="1139"/>
      <c r="F4150" s="1139"/>
      <c r="G4150" s="1055"/>
      <c r="H4150" s="1136"/>
      <c r="I4150" s="1137"/>
      <c r="J4150" s="1141" t="s">
        <v>718</v>
      </c>
      <c r="K4150" s="1054">
        <f>SUM(K4148:K4149)</f>
        <v>896.07999999999993</v>
      </c>
      <c r="L4150" s="1059"/>
      <c r="T4150" s="716"/>
    </row>
    <row r="4151" spans="1:20" s="714" customFormat="1">
      <c r="A4151" s="1148"/>
      <c r="B4151" s="1055"/>
      <c r="C4151" s="1055"/>
      <c r="D4151" s="1055"/>
      <c r="E4151" s="1139"/>
      <c r="F4151" s="1139"/>
      <c r="G4151" s="1055"/>
      <c r="H4151" s="1136"/>
      <c r="I4151" s="1137"/>
      <c r="J4151" s="1055"/>
      <c r="K4151" s="1054"/>
      <c r="L4151" s="1059"/>
      <c r="T4151" s="716"/>
    </row>
    <row r="4152" spans="1:20" s="714" customFormat="1">
      <c r="A4152" s="1148"/>
      <c r="B4152" s="1055"/>
      <c r="C4152" s="1055"/>
      <c r="D4152" s="1055"/>
      <c r="E4152" s="1139"/>
      <c r="F4152" s="1139"/>
      <c r="G4152" s="1055"/>
      <c r="H4152" s="1136"/>
      <c r="I4152" s="1137"/>
      <c r="J4152" s="1141" t="s">
        <v>718</v>
      </c>
      <c r="K4152" s="1052">
        <f>SUM(K4150:K4151)</f>
        <v>896.07999999999993</v>
      </c>
      <c r="L4152" s="1059"/>
      <c r="T4152" s="716"/>
    </row>
    <row r="4153" spans="1:20" s="714" customFormat="1">
      <c r="A4153" s="1148"/>
      <c r="B4153" s="1053" t="s">
        <v>1309</v>
      </c>
      <c r="C4153" s="1053"/>
      <c r="D4153" s="1055"/>
      <c r="E4153" s="1139"/>
      <c r="F4153" s="1139"/>
      <c r="G4153" s="1140">
        <v>1</v>
      </c>
      <c r="H4153" s="1136" t="s">
        <v>49</v>
      </c>
      <c r="I4153" s="1137" t="s">
        <v>49</v>
      </c>
      <c r="J4153" s="1054">
        <f>K23</f>
        <v>276.01</v>
      </c>
      <c r="K4153" s="1054">
        <f>ROUND(G4153*J4153,2)</f>
        <v>276.01</v>
      </c>
      <c r="L4153" s="1059"/>
      <c r="T4153" s="716"/>
    </row>
    <row r="4154" spans="1:20" s="714" customFormat="1">
      <c r="A4154" s="1148"/>
      <c r="B4154" s="1053" t="s">
        <v>1310</v>
      </c>
      <c r="C4154" s="1053"/>
      <c r="D4154" s="1055"/>
      <c r="E4154" s="1139"/>
      <c r="F4154" s="1139"/>
      <c r="G4154" s="1055"/>
      <c r="H4154" s="1136"/>
      <c r="I4154" s="1137"/>
      <c r="J4154" s="1141" t="s">
        <v>718</v>
      </c>
      <c r="K4154" s="1052">
        <f>SUM(K4152:K4153)</f>
        <v>1172.0899999999999</v>
      </c>
      <c r="L4154" s="1059" t="s">
        <v>721</v>
      </c>
      <c r="T4154" s="716"/>
    </row>
    <row r="4155" spans="1:20" s="714" customFormat="1" ht="49.5" customHeight="1">
      <c r="A4155" s="1138">
        <f>A705</f>
        <v>142</v>
      </c>
      <c r="B4155" s="3400" t="str">
        <f>B705</f>
        <v>Rough stone dry packing in aprons and revetments as per approved drawing &amp; technical specifications including all cost of labour and material etc complete.</v>
      </c>
      <c r="C4155" s="3400"/>
      <c r="D4155" s="3400"/>
      <c r="E4155" s="1135" t="str">
        <f>G705</f>
        <v>Each Cum</v>
      </c>
      <c r="F4155" s="1135"/>
      <c r="G4155" s="1055"/>
      <c r="H4155" s="1136"/>
      <c r="I4155" s="1137"/>
      <c r="J4155" s="1055"/>
      <c r="K4155" s="1055"/>
      <c r="L4155" s="1059"/>
      <c r="T4155" s="716"/>
    </row>
    <row r="4156" spans="1:20" s="714" customFormat="1">
      <c r="A4156" s="1148"/>
      <c r="B4156" s="1053" t="s">
        <v>1313</v>
      </c>
      <c r="C4156" s="1053"/>
      <c r="D4156" s="1055"/>
      <c r="E4156" s="1139"/>
      <c r="F4156" s="1139"/>
      <c r="G4156" s="1140">
        <v>1</v>
      </c>
      <c r="H4156" s="1136" t="s">
        <v>49</v>
      </c>
      <c r="I4156" s="1137" t="s">
        <v>49</v>
      </c>
      <c r="J4156" s="1054">
        <f>G17</f>
        <v>373.71</v>
      </c>
      <c r="K4156" s="1054">
        <f>ROUND(G4156*J4156,2)</f>
        <v>373.71</v>
      </c>
      <c r="L4156" s="1059"/>
      <c r="T4156" s="716"/>
    </row>
    <row r="4157" spans="1:20" s="714" customFormat="1">
      <c r="A4157" s="1148"/>
      <c r="B4157" s="1053" t="s">
        <v>1314</v>
      </c>
      <c r="C4157" s="1053"/>
      <c r="D4157" s="1055"/>
      <c r="E4157" s="1139"/>
      <c r="F4157" s="1139"/>
      <c r="G4157" s="1140"/>
      <c r="H4157" s="1136"/>
      <c r="I4157" s="1137"/>
      <c r="J4157" s="1054"/>
      <c r="K4157" s="1054"/>
      <c r="L4157" s="1059"/>
      <c r="T4157" s="716"/>
    </row>
    <row r="4158" spans="1:20" s="714" customFormat="1">
      <c r="A4158" s="1148"/>
      <c r="B4158" s="1055" t="s">
        <v>817</v>
      </c>
      <c r="C4158" s="1055"/>
      <c r="D4158" s="1055"/>
      <c r="E4158" s="1139"/>
      <c r="F4158" s="1139"/>
      <c r="G4158" s="1140">
        <v>0.17</v>
      </c>
      <c r="H4158" s="1136" t="s">
        <v>262</v>
      </c>
      <c r="I4158" s="1137" t="s">
        <v>38</v>
      </c>
      <c r="J4158" s="1054">
        <f>L132</f>
        <v>284.3</v>
      </c>
      <c r="K4158" s="1054">
        <f>ROUND(G4158*J4158,2)</f>
        <v>48.33</v>
      </c>
      <c r="L4158" s="1059"/>
      <c r="T4158" s="716"/>
    </row>
    <row r="4159" spans="1:20" s="714" customFormat="1">
      <c r="A4159" s="1148"/>
      <c r="B4159" s="1055" t="s">
        <v>858</v>
      </c>
      <c r="C4159" s="1055"/>
      <c r="D4159" s="1055"/>
      <c r="E4159" s="1139"/>
      <c r="F4159" s="1139"/>
      <c r="G4159" s="1140">
        <v>0.35</v>
      </c>
      <c r="H4159" s="1136" t="s">
        <v>262</v>
      </c>
      <c r="I4159" s="1137" t="s">
        <v>38</v>
      </c>
      <c r="J4159" s="1054">
        <f>L130</f>
        <v>244.3</v>
      </c>
      <c r="K4159" s="1054">
        <f>ROUND(G4159*J4159,2)</f>
        <v>85.51</v>
      </c>
      <c r="L4159" s="1059"/>
      <c r="T4159" s="716"/>
    </row>
    <row r="4160" spans="1:20" s="714" customFormat="1">
      <c r="A4160" s="1148"/>
      <c r="B4160" s="1055" t="s">
        <v>717</v>
      </c>
      <c r="C4160" s="1055"/>
      <c r="D4160" s="1055"/>
      <c r="E4160" s="1139"/>
      <c r="F4160" s="1139"/>
      <c r="G4160" s="1140">
        <v>1.04</v>
      </c>
      <c r="H4160" s="1136" t="s">
        <v>262</v>
      </c>
      <c r="I4160" s="1137" t="s">
        <v>38</v>
      </c>
      <c r="J4160" s="1054">
        <f>L129</f>
        <v>182</v>
      </c>
      <c r="K4160" s="1054">
        <f>ROUND(G4160*J4160,2)</f>
        <v>189.28</v>
      </c>
      <c r="L4160" s="1059"/>
      <c r="T4160" s="716"/>
    </row>
    <row r="4161" spans="1:20" s="714" customFormat="1">
      <c r="A4161" s="1148"/>
      <c r="B4161" s="1055"/>
      <c r="C4161" s="1055"/>
      <c r="D4161" s="1055"/>
      <c r="E4161" s="1139"/>
      <c r="F4161" s="1139"/>
      <c r="G4161" s="1055"/>
      <c r="H4161" s="1136"/>
      <c r="I4161" s="1137"/>
      <c r="J4161" s="1141" t="s">
        <v>718</v>
      </c>
      <c r="K4161" s="1054">
        <f>SUM(K4156:K4160)</f>
        <v>696.82999999999993</v>
      </c>
      <c r="L4161" s="1059"/>
      <c r="T4161" s="716"/>
    </row>
    <row r="4162" spans="1:20" s="714" customFormat="1">
      <c r="A4162" s="1148"/>
      <c r="B4162" s="1055"/>
      <c r="C4162" s="1055"/>
      <c r="D4162" s="1055"/>
      <c r="E4162" s="1139"/>
      <c r="F4162" s="1139"/>
      <c r="G4162" s="1055"/>
      <c r="H4162" s="1136"/>
      <c r="I4162" s="1137"/>
      <c r="J4162" s="1055"/>
      <c r="K4162" s="1054"/>
      <c r="L4162" s="1059"/>
      <c r="T4162" s="716"/>
    </row>
    <row r="4163" spans="1:20" s="714" customFormat="1">
      <c r="A4163" s="1148"/>
      <c r="B4163" s="1055"/>
      <c r="C4163" s="1055"/>
      <c r="D4163" s="1055"/>
      <c r="E4163" s="1139"/>
      <c r="F4163" s="1139"/>
      <c r="G4163" s="1055"/>
      <c r="H4163" s="1136"/>
      <c r="I4163" s="1137"/>
      <c r="J4163" s="1141" t="s">
        <v>718</v>
      </c>
      <c r="K4163" s="1052">
        <f>SUM(K4161:K4162)</f>
        <v>696.82999999999993</v>
      </c>
      <c r="L4163" s="1059"/>
      <c r="T4163" s="716"/>
    </row>
    <row r="4164" spans="1:20" s="714" customFormat="1">
      <c r="A4164" s="1148"/>
      <c r="B4164" s="1053" t="s">
        <v>1315</v>
      </c>
      <c r="C4164" s="1053"/>
      <c r="D4164" s="1055"/>
      <c r="E4164" s="1139"/>
      <c r="F4164" s="1139"/>
      <c r="G4164" s="1140">
        <v>1</v>
      </c>
      <c r="H4164" s="1136" t="s">
        <v>49</v>
      </c>
      <c r="I4164" s="1137" t="s">
        <v>49</v>
      </c>
      <c r="J4164" s="1054">
        <f>K17</f>
        <v>276.01</v>
      </c>
      <c r="K4164" s="1054">
        <f>ROUND(G4164*J4164,2)</f>
        <v>276.01</v>
      </c>
      <c r="L4164" s="1059"/>
      <c r="T4164" s="716"/>
    </row>
    <row r="4165" spans="1:20" s="716" customFormat="1">
      <c r="A4165" s="1151"/>
      <c r="B4165" s="1053" t="s">
        <v>1310</v>
      </c>
      <c r="C4165" s="1053"/>
      <c r="D4165" s="1053"/>
      <c r="E4165" s="1142"/>
      <c r="F4165" s="1142"/>
      <c r="G4165" s="1053"/>
      <c r="H4165" s="1059"/>
      <c r="I4165" s="1144"/>
      <c r="J4165" s="1141" t="s">
        <v>718</v>
      </c>
      <c r="K4165" s="1052">
        <f>SUM(K4163:K4164)</f>
        <v>972.83999999999992</v>
      </c>
      <c r="L4165" s="1059" t="s">
        <v>721</v>
      </c>
      <c r="M4165" s="714"/>
    </row>
    <row r="4166" spans="1:20" s="714" customFormat="1" ht="87.75" customHeight="1">
      <c r="A4166" s="1138">
        <f>A706</f>
        <v>143</v>
      </c>
      <c r="B4166" s="3400" t="str">
        <f>B706</f>
        <v>Grouting to Aprons and revetments with cement concrete (1:4:8)  using 2.5cm size h.g.c.b.metal of 23cm deep including curing and cost, conveyance &amp; royalities of materials and labour charges etc.complete as per approved drawing &amp; technical specifications and as per direction of Engineer In Charge.</v>
      </c>
      <c r="C4166" s="3400"/>
      <c r="D4166" s="3400"/>
      <c r="E4166" s="1135" t="str">
        <f>G706</f>
        <v>Each Sqm</v>
      </c>
      <c r="F4166" s="1135"/>
      <c r="G4166" s="1055"/>
      <c r="H4166" s="1136"/>
      <c r="I4166" s="1137"/>
      <c r="J4166" s="1055"/>
      <c r="K4166" s="1055"/>
      <c r="L4166" s="1059"/>
      <c r="T4166" s="716"/>
    </row>
    <row r="4167" spans="1:20" s="714" customFormat="1">
      <c r="A4167" s="1148"/>
      <c r="B4167" s="1053" t="s">
        <v>1316</v>
      </c>
      <c r="C4167" s="1053"/>
      <c r="D4167" s="1055"/>
      <c r="E4167" s="1139"/>
      <c r="F4167" s="1139"/>
      <c r="G4167" s="1055"/>
      <c r="H4167" s="1136"/>
      <c r="I4167" s="1137"/>
      <c r="J4167" s="1055"/>
      <c r="K4167" s="1055"/>
      <c r="L4167" s="1059"/>
      <c r="T4167" s="716"/>
    </row>
    <row r="4168" spans="1:20" s="714" customFormat="1">
      <c r="A4168" s="1148"/>
      <c r="B4168" s="1053" t="s">
        <v>1289</v>
      </c>
      <c r="C4168" s="1053"/>
      <c r="D4168" s="1055"/>
      <c r="E4168" s="1139"/>
      <c r="F4168" s="1139"/>
      <c r="G4168" s="1055"/>
      <c r="H4168" s="1136"/>
      <c r="I4168" s="1137"/>
      <c r="J4168" s="1055"/>
      <c r="K4168" s="1055"/>
      <c r="L4168" s="1059"/>
      <c r="T4168" s="716"/>
    </row>
    <row r="4169" spans="1:20" s="714" customFormat="1">
      <c r="A4169" s="1148"/>
      <c r="B4169" s="1055" t="s">
        <v>1317</v>
      </c>
      <c r="C4169" s="1055"/>
      <c r="D4169" s="1055"/>
      <c r="E4169" s="1139"/>
      <c r="F4169" s="1139"/>
      <c r="G4169" s="1150">
        <v>2.8799999999999999E-2</v>
      </c>
      <c r="H4169" s="1136" t="s">
        <v>49</v>
      </c>
      <c r="I4169" s="1137" t="s">
        <v>49</v>
      </c>
      <c r="J4169" s="1054">
        <f>G10</f>
        <v>1192.53</v>
      </c>
      <c r="K4169" s="1054">
        <f t="shared" ref="K4169:K4174" si="126">ROUND(G4169*J4169,2)</f>
        <v>34.340000000000003</v>
      </c>
      <c r="L4169" s="1059"/>
      <c r="T4169" s="716"/>
    </row>
    <row r="4170" spans="1:20" s="714" customFormat="1">
      <c r="A4170" s="1148"/>
      <c r="B4170" s="1055" t="s">
        <v>775</v>
      </c>
      <c r="C4170" s="1055"/>
      <c r="D4170" s="1055"/>
      <c r="E4170" s="1139"/>
      <c r="F4170" s="1139"/>
      <c r="G4170" s="1150">
        <f>G4169/2</f>
        <v>1.44E-2</v>
      </c>
      <c r="H4170" s="1136" t="s">
        <v>49</v>
      </c>
      <c r="I4170" s="1137" t="s">
        <v>49</v>
      </c>
      <c r="J4170" s="1054">
        <f>G44</f>
        <v>80.72</v>
      </c>
      <c r="K4170" s="1054">
        <f t="shared" si="126"/>
        <v>1.1599999999999999</v>
      </c>
      <c r="L4170" s="1059"/>
      <c r="T4170" s="716"/>
    </row>
    <row r="4171" spans="1:20" s="714" customFormat="1">
      <c r="A4171" s="1148"/>
      <c r="B4171" s="1055" t="s">
        <v>815</v>
      </c>
      <c r="C4171" s="1055"/>
      <c r="D4171" s="1055"/>
      <c r="E4171" s="1139"/>
      <c r="F4171" s="1139"/>
      <c r="G4171" s="1152">
        <v>5.1599999999999997E-3</v>
      </c>
      <c r="H4171" s="1136" t="s">
        <v>91</v>
      </c>
      <c r="I4171" s="1137" t="s">
        <v>91</v>
      </c>
      <c r="J4171" s="1054">
        <f>G48</f>
        <v>6400</v>
      </c>
      <c r="K4171" s="1054">
        <f t="shared" si="126"/>
        <v>33.020000000000003</v>
      </c>
      <c r="L4171" s="1059"/>
      <c r="T4171" s="716"/>
    </row>
    <row r="4172" spans="1:20" s="714" customFormat="1">
      <c r="A4172" s="1148"/>
      <c r="B4172" s="1055" t="s">
        <v>817</v>
      </c>
      <c r="C4172" s="1055"/>
      <c r="D4172" s="1055"/>
      <c r="E4172" s="1139"/>
      <c r="F4172" s="1139"/>
      <c r="G4172" s="1150">
        <v>0.05</v>
      </c>
      <c r="H4172" s="1136" t="s">
        <v>262</v>
      </c>
      <c r="I4172" s="1137" t="s">
        <v>38</v>
      </c>
      <c r="J4172" s="1054">
        <f>L132</f>
        <v>284.3</v>
      </c>
      <c r="K4172" s="1054">
        <f t="shared" si="126"/>
        <v>14.22</v>
      </c>
      <c r="L4172" s="1059"/>
      <c r="T4172" s="716"/>
    </row>
    <row r="4173" spans="1:20" s="714" customFormat="1">
      <c r="A4173" s="1148"/>
      <c r="B4173" s="1055" t="s">
        <v>818</v>
      </c>
      <c r="C4173" s="1055"/>
      <c r="D4173" s="1055"/>
      <c r="E4173" s="1139"/>
      <c r="F4173" s="1139"/>
      <c r="G4173" s="1150">
        <v>5.4000000000000003E-3</v>
      </c>
      <c r="H4173" s="1136" t="s">
        <v>262</v>
      </c>
      <c r="I4173" s="1137" t="s">
        <v>38</v>
      </c>
      <c r="J4173" s="1054">
        <f>L131</f>
        <v>264.3</v>
      </c>
      <c r="K4173" s="1054">
        <f t="shared" si="126"/>
        <v>1.43</v>
      </c>
      <c r="L4173" s="1059"/>
      <c r="T4173" s="716"/>
    </row>
    <row r="4174" spans="1:20" s="714" customFormat="1">
      <c r="A4174" s="1148"/>
      <c r="B4174" s="1055" t="s">
        <v>717</v>
      </c>
      <c r="C4174" s="1055"/>
      <c r="D4174" s="1055"/>
      <c r="E4174" s="1139"/>
      <c r="F4174" s="1139"/>
      <c r="G4174" s="1150">
        <v>0.33700000000000002</v>
      </c>
      <c r="H4174" s="1136" t="s">
        <v>262</v>
      </c>
      <c r="I4174" s="1137" t="s">
        <v>38</v>
      </c>
      <c r="J4174" s="1054">
        <f>L129</f>
        <v>182</v>
      </c>
      <c r="K4174" s="1054">
        <f t="shared" si="126"/>
        <v>61.33</v>
      </c>
      <c r="L4174" s="1059"/>
      <c r="T4174" s="716"/>
    </row>
    <row r="4175" spans="1:20" s="714" customFormat="1">
      <c r="A4175" s="1148"/>
      <c r="B4175" s="1055"/>
      <c r="C4175" s="1055"/>
      <c r="D4175" s="1055"/>
      <c r="E4175" s="1139"/>
      <c r="F4175" s="1139"/>
      <c r="G4175" s="1055"/>
      <c r="H4175" s="1136"/>
      <c r="I4175" s="1137"/>
      <c r="J4175" s="1141" t="s">
        <v>718</v>
      </c>
      <c r="K4175" s="1054">
        <f>SUM(K4169:K4174)</f>
        <v>145.5</v>
      </c>
      <c r="L4175" s="1059"/>
      <c r="T4175" s="716"/>
    </row>
    <row r="4176" spans="1:20" s="714" customFormat="1">
      <c r="A4176" s="1148"/>
      <c r="B4176" s="1055"/>
      <c r="C4176" s="1055"/>
      <c r="D4176" s="1055"/>
      <c r="E4176" s="1139"/>
      <c r="F4176" s="1139"/>
      <c r="G4176" s="1055"/>
      <c r="H4176" s="1136"/>
      <c r="I4176" s="1137"/>
      <c r="J4176" s="1055"/>
      <c r="K4176" s="1054"/>
      <c r="L4176" s="1059"/>
      <c r="T4176" s="716"/>
    </row>
    <row r="4177" spans="1:20" s="714" customFormat="1">
      <c r="A4177" s="1148"/>
      <c r="B4177" s="1055"/>
      <c r="C4177" s="1055"/>
      <c r="D4177" s="1055"/>
      <c r="E4177" s="1139"/>
      <c r="F4177" s="1139"/>
      <c r="G4177" s="1055"/>
      <c r="H4177" s="1136"/>
      <c r="I4177" s="1137"/>
      <c r="J4177" s="1141" t="s">
        <v>718</v>
      </c>
      <c r="K4177" s="1052">
        <f>SUM(K4175:K4176)</f>
        <v>145.5</v>
      </c>
      <c r="L4177" s="1059"/>
      <c r="T4177" s="716"/>
    </row>
    <row r="4178" spans="1:20" s="714" customFormat="1">
      <c r="A4178" s="1148"/>
      <c r="B4178" s="1053" t="s">
        <v>1290</v>
      </c>
      <c r="C4178" s="1053"/>
      <c r="D4178" s="1055"/>
      <c r="E4178" s="1139"/>
      <c r="F4178" s="1139"/>
      <c r="G4178" s="1055"/>
      <c r="H4178" s="1136"/>
      <c r="I4178" s="1137"/>
      <c r="J4178" s="1055"/>
      <c r="K4178" s="1055"/>
      <c r="L4178" s="1059"/>
      <c r="T4178" s="716"/>
    </row>
    <row r="4179" spans="1:20" s="714" customFormat="1">
      <c r="A4179" s="1148"/>
      <c r="B4179" s="1055" t="str">
        <f>B4169</f>
        <v>25mm size metal</v>
      </c>
      <c r="C4179" s="1055"/>
      <c r="D4179" s="1055"/>
      <c r="E4179" s="1139"/>
      <c r="F4179" s="1139"/>
      <c r="G4179" s="1150">
        <v>2.8799999999999999E-2</v>
      </c>
      <c r="H4179" s="1136" t="s">
        <v>49</v>
      </c>
      <c r="I4179" s="1137" t="s">
        <v>49</v>
      </c>
      <c r="J4179" s="1054">
        <f>K10</f>
        <v>276.01</v>
      </c>
      <c r="K4179" s="1054">
        <f>ROUND(G4179*J4179,2)</f>
        <v>7.95</v>
      </c>
      <c r="L4179" s="1059"/>
      <c r="T4179" s="716"/>
    </row>
    <row r="4180" spans="1:20" s="714" customFormat="1">
      <c r="A4180" s="1148"/>
      <c r="B4180" s="1055" t="str">
        <f>B4170</f>
        <v>Sand</v>
      </c>
      <c r="C4180" s="1055"/>
      <c r="D4180" s="1055"/>
      <c r="E4180" s="1139"/>
      <c r="F4180" s="1139"/>
      <c r="G4180" s="1150">
        <f>G4179/2</f>
        <v>1.44E-2</v>
      </c>
      <c r="H4180" s="1136" t="s">
        <v>49</v>
      </c>
      <c r="I4180" s="1137" t="s">
        <v>49</v>
      </c>
      <c r="J4180" s="1054">
        <f>K44</f>
        <v>731.71</v>
      </c>
      <c r="K4180" s="1054">
        <f>ROUND(G4180*J4180,2)</f>
        <v>10.54</v>
      </c>
      <c r="L4180" s="1059"/>
      <c r="T4180" s="716"/>
    </row>
    <row r="4181" spans="1:20" s="714" customFormat="1">
      <c r="A4181" s="1148"/>
      <c r="B4181" s="1055" t="str">
        <f>B4171</f>
        <v>cement</v>
      </c>
      <c r="C4181" s="1055"/>
      <c r="D4181" s="1055"/>
      <c r="E4181" s="1139"/>
      <c r="F4181" s="1139"/>
      <c r="G4181" s="1152">
        <v>5.1599999999999997E-3</v>
      </c>
      <c r="H4181" s="1136" t="s">
        <v>91</v>
      </c>
      <c r="I4181" s="1137" t="s">
        <v>91</v>
      </c>
      <c r="J4181" s="1054">
        <f>K48</f>
        <v>247.87</v>
      </c>
      <c r="K4181" s="1054">
        <f>ROUND(G4181*J4181,2)</f>
        <v>1.28</v>
      </c>
      <c r="L4181" s="1059"/>
      <c r="T4181" s="716"/>
    </row>
    <row r="4182" spans="1:20" s="714" customFormat="1">
      <c r="A4182" s="1148"/>
      <c r="B4182" s="1055"/>
      <c r="C4182" s="1055"/>
      <c r="D4182" s="1055"/>
      <c r="E4182" s="1139"/>
      <c r="F4182" s="1139"/>
      <c r="G4182" s="1055"/>
      <c r="H4182" s="1136"/>
      <c r="I4182" s="1137"/>
      <c r="J4182" s="1141" t="s">
        <v>718</v>
      </c>
      <c r="K4182" s="1052">
        <f>SUM(K4179:K4181)</f>
        <v>19.77</v>
      </c>
      <c r="L4182" s="1059"/>
      <c r="T4182" s="716"/>
    </row>
    <row r="4183" spans="1:20" s="716" customFormat="1">
      <c r="A4183" s="1151"/>
      <c r="B4183" s="1053" t="s">
        <v>1291</v>
      </c>
      <c r="C4183" s="1053"/>
      <c r="D4183" s="1053"/>
      <c r="E4183" s="1142"/>
      <c r="F4183" s="1142"/>
      <c r="G4183" s="1053"/>
      <c r="H4183" s="1059" t="s">
        <v>1292</v>
      </c>
      <c r="I4183" s="1144" t="s">
        <v>1292</v>
      </c>
      <c r="J4183" s="1053"/>
      <c r="K4183" s="1052">
        <f>K4177+K4182</f>
        <v>165.27</v>
      </c>
      <c r="L4183" s="1059" t="s">
        <v>730</v>
      </c>
      <c r="M4183" s="714"/>
    </row>
    <row r="4184" spans="1:20" s="714" customFormat="1" ht="87.75" customHeight="1">
      <c r="A4184" s="1138">
        <f>A707</f>
        <v>144</v>
      </c>
      <c r="B4184" s="3400" t="str">
        <f>B707</f>
        <v>Providing 40mm to 90mm, size hard stone metal other than granite in filter media including spreading in uniform  thickness, hand packing, rolling with HRR or ramming with rammer to proper level, grade &amp; camber with sand to fill up the interstices for finished item of works as per direction of Engineer In Charge.</v>
      </c>
      <c r="C4184" s="3400"/>
      <c r="D4184" s="3400"/>
      <c r="E4184" s="1135" t="str">
        <f>G707</f>
        <v>Each Cum</v>
      </c>
      <c r="F4184" s="1135"/>
      <c r="G4184" s="1140"/>
      <c r="H4184" s="1136"/>
      <c r="I4184" s="1137"/>
      <c r="J4184" s="1141"/>
      <c r="K4184" s="1052"/>
      <c r="L4184" s="1059"/>
      <c r="T4184" s="716"/>
    </row>
    <row r="4185" spans="1:20" s="714" customFormat="1">
      <c r="A4185" s="1148"/>
      <c r="B4185" s="1053" t="s">
        <v>1318</v>
      </c>
      <c r="C4185" s="1053"/>
      <c r="D4185" s="1055"/>
      <c r="E4185" s="1139"/>
      <c r="F4185" s="1139"/>
      <c r="G4185" s="1140"/>
      <c r="H4185" s="1136"/>
      <c r="I4185" s="1137"/>
      <c r="J4185" s="1141"/>
      <c r="K4185" s="1052"/>
      <c r="L4185" s="1059"/>
      <c r="T4185" s="716"/>
    </row>
    <row r="4186" spans="1:20" s="714" customFormat="1">
      <c r="A4186" s="1148"/>
      <c r="B4186" s="1053" t="s">
        <v>1319</v>
      </c>
      <c r="C4186" s="1053"/>
      <c r="D4186" s="1055"/>
      <c r="E4186" s="1139"/>
      <c r="F4186" s="1139"/>
      <c r="G4186" s="1055"/>
      <c r="H4186" s="1136"/>
      <c r="I4186" s="1137"/>
      <c r="J4186" s="1055"/>
      <c r="K4186" s="1055"/>
      <c r="L4186" s="1059"/>
      <c r="T4186" s="716"/>
    </row>
    <row r="4187" spans="1:20" s="714" customFormat="1">
      <c r="A4187" s="1148"/>
      <c r="B4187" s="1055" t="s">
        <v>717</v>
      </c>
      <c r="C4187" s="1055"/>
      <c r="D4187" s="1055"/>
      <c r="E4187" s="1139"/>
      <c r="F4187" s="1139"/>
      <c r="G4187" s="1140">
        <v>3</v>
      </c>
      <c r="H4187" s="1136" t="s">
        <v>38</v>
      </c>
      <c r="I4187" s="1137" t="s">
        <v>38</v>
      </c>
      <c r="J4187" s="1054">
        <f>L129</f>
        <v>182</v>
      </c>
      <c r="K4187" s="1054">
        <f>ROUND(G4187*J4187,2)</f>
        <v>546</v>
      </c>
      <c r="L4187" s="1059"/>
      <c r="T4187" s="716"/>
    </row>
    <row r="4188" spans="1:20" s="714" customFormat="1">
      <c r="A4188" s="1148"/>
      <c r="B4188" s="1055" t="s">
        <v>1320</v>
      </c>
      <c r="C4188" s="1055"/>
      <c r="D4188" s="1055"/>
      <c r="E4188" s="1139"/>
      <c r="F4188" s="1139"/>
      <c r="G4188" s="1140">
        <v>0.5</v>
      </c>
      <c r="H4188" s="1136" t="s">
        <v>38</v>
      </c>
      <c r="I4188" s="1137" t="s">
        <v>38</v>
      </c>
      <c r="J4188" s="1054">
        <f>L130</f>
        <v>244.3</v>
      </c>
      <c r="K4188" s="1054">
        <f>ROUND(G4188*J4188,2)</f>
        <v>122.15</v>
      </c>
      <c r="L4188" s="1059"/>
      <c r="T4188" s="716"/>
    </row>
    <row r="4189" spans="1:20" s="714" customFormat="1">
      <c r="A4189" s="1148"/>
      <c r="B4189" s="1055"/>
      <c r="C4189" s="1055"/>
      <c r="D4189" s="1055"/>
      <c r="E4189" s="1139"/>
      <c r="F4189" s="1139"/>
      <c r="G4189" s="1140"/>
      <c r="H4189" s="1136"/>
      <c r="I4189" s="1137"/>
      <c r="J4189" s="1144" t="s">
        <v>718</v>
      </c>
      <c r="K4189" s="1052">
        <f>SUM(K4187:K4188)</f>
        <v>668.15</v>
      </c>
      <c r="L4189" s="1059"/>
      <c r="T4189" s="716"/>
    </row>
    <row r="4190" spans="1:20" s="714" customFormat="1">
      <c r="A4190" s="1148"/>
      <c r="B4190" s="1053"/>
      <c r="C4190" s="1055"/>
      <c r="D4190" s="1055"/>
      <c r="E4190" s="1139"/>
      <c r="F4190" s="1139"/>
      <c r="G4190" s="1055"/>
      <c r="H4190" s="1136"/>
      <c r="I4190" s="1137"/>
      <c r="J4190" s="1055"/>
      <c r="K4190" s="1052"/>
      <c r="L4190" s="1059"/>
      <c r="T4190" s="716"/>
    </row>
    <row r="4191" spans="1:20" s="714" customFormat="1">
      <c r="A4191" s="1148"/>
      <c r="B4191" s="1055" t="s">
        <v>1321</v>
      </c>
      <c r="C4191" s="1055"/>
      <c r="D4191" s="1055"/>
      <c r="E4191" s="1139"/>
      <c r="F4191" s="1139"/>
      <c r="G4191" s="1055"/>
      <c r="H4191" s="1136"/>
      <c r="I4191" s="1137"/>
      <c r="J4191" s="1144" t="s">
        <v>718</v>
      </c>
      <c r="K4191" s="1054">
        <f>SUM(K4189:K4190)</f>
        <v>668.15</v>
      </c>
      <c r="L4191" s="1059"/>
      <c r="T4191" s="716"/>
    </row>
    <row r="4192" spans="1:20" s="714" customFormat="1">
      <c r="A4192" s="1148"/>
      <c r="B4192" s="1055" t="s">
        <v>1015</v>
      </c>
      <c r="C4192" s="1055"/>
      <c r="D4192" s="1055"/>
      <c r="E4192" s="1139"/>
      <c r="F4192" s="1139"/>
      <c r="G4192" s="1055"/>
      <c r="H4192" s="1136"/>
      <c r="I4192" s="1137"/>
      <c r="J4192" s="1137"/>
      <c r="K4192" s="1052">
        <f>ROUND(K4191/2.83,2)</f>
        <v>236.1</v>
      </c>
      <c r="L4192" s="1059"/>
      <c r="T4192" s="716"/>
    </row>
    <row r="4193" spans="1:20" s="714" customFormat="1">
      <c r="A4193" s="1148"/>
      <c r="B4193" s="1053" t="s">
        <v>1322</v>
      </c>
      <c r="C4193" s="1053"/>
      <c r="D4193" s="1055"/>
      <c r="E4193" s="1139"/>
      <c r="F4193" s="1139"/>
      <c r="G4193" s="1055"/>
      <c r="H4193" s="1136"/>
      <c r="I4193" s="1137"/>
      <c r="J4193" s="1055"/>
      <c r="K4193" s="1055"/>
      <c r="L4193" s="1059"/>
      <c r="T4193" s="716"/>
    </row>
    <row r="4194" spans="1:20" s="714" customFormat="1">
      <c r="A4194" s="1148"/>
      <c r="B4194" s="1055" t="s">
        <v>1323</v>
      </c>
      <c r="C4194" s="1055"/>
      <c r="D4194" s="1055"/>
      <c r="E4194" s="1139"/>
      <c r="F4194" s="1139"/>
      <c r="G4194" s="1140">
        <v>1</v>
      </c>
      <c r="H4194" s="1136" t="s">
        <v>49</v>
      </c>
      <c r="I4194" s="1137" t="s">
        <v>49</v>
      </c>
      <c r="J4194" s="1054">
        <f>L18</f>
        <v>547.79</v>
      </c>
      <c r="K4194" s="1054">
        <f>ROUND(G4194*J4194,2)</f>
        <v>547.79</v>
      </c>
      <c r="L4194" s="1059"/>
      <c r="T4194" s="716"/>
    </row>
    <row r="4195" spans="1:20" s="714" customFormat="1">
      <c r="A4195" s="1148"/>
      <c r="B4195" s="1055" t="s">
        <v>775</v>
      </c>
      <c r="C4195" s="1055"/>
      <c r="D4195" s="1055"/>
      <c r="E4195" s="1139"/>
      <c r="F4195" s="1139"/>
      <c r="G4195" s="1140">
        <v>0.25</v>
      </c>
      <c r="H4195" s="1136" t="s">
        <v>49</v>
      </c>
      <c r="I4195" s="1137" t="s">
        <v>49</v>
      </c>
      <c r="J4195" s="1054">
        <f>L43</f>
        <v>546.84999999999991</v>
      </c>
      <c r="K4195" s="1054">
        <f>ROUND(G4195*J4195,2)</f>
        <v>136.71</v>
      </c>
      <c r="L4195" s="1059"/>
      <c r="T4195" s="716"/>
    </row>
    <row r="4196" spans="1:20" s="714" customFormat="1">
      <c r="A4196" s="1148"/>
      <c r="B4196" s="1055"/>
      <c r="C4196" s="1055"/>
      <c r="D4196" s="1055"/>
      <c r="E4196" s="1139"/>
      <c r="F4196" s="1139"/>
      <c r="G4196" s="1140"/>
      <c r="H4196" s="1136"/>
      <c r="I4196" s="1137"/>
      <c r="J4196" s="1144" t="s">
        <v>718</v>
      </c>
      <c r="K4196" s="1052">
        <f>SUM(K4194:K4195)</f>
        <v>684.5</v>
      </c>
      <c r="L4196" s="1059"/>
      <c r="T4196" s="716"/>
    </row>
    <row r="4197" spans="1:20" s="714" customFormat="1">
      <c r="A4197" s="1148"/>
      <c r="B4197" s="1053" t="s">
        <v>1310</v>
      </c>
      <c r="C4197" s="1053"/>
      <c r="D4197" s="1053"/>
      <c r="E4197" s="1142"/>
      <c r="F4197" s="1142"/>
      <c r="G4197" s="1053"/>
      <c r="H4197" s="1059" t="s">
        <v>1324</v>
      </c>
      <c r="I4197" s="1144"/>
      <c r="J4197" s="1053"/>
      <c r="K4197" s="1052">
        <f>K4192+K4196</f>
        <v>920.6</v>
      </c>
      <c r="L4197" s="1059" t="s">
        <v>721</v>
      </c>
      <c r="T4197" s="716"/>
    </row>
    <row r="4198" spans="1:20" s="714" customFormat="1" ht="93" customHeight="1">
      <c r="A4198" s="714">
        <f>A708</f>
        <v>145</v>
      </c>
      <c r="B4198" s="3269" t="s">
        <v>1325</v>
      </c>
      <c r="C4198" s="3269"/>
      <c r="D4198" s="3269"/>
      <c r="E4198" s="714" t="str">
        <f>G724</f>
        <v>Each Cum</v>
      </c>
      <c r="T4198" s="716"/>
    </row>
    <row r="4199" spans="1:20" s="714" customFormat="1" ht="15.75" customHeight="1">
      <c r="A4199" s="714" t="s">
        <v>201</v>
      </c>
      <c r="B4199" s="716" t="s">
        <v>1326</v>
      </c>
      <c r="T4199" s="716"/>
    </row>
    <row r="4200" spans="1:20" s="714" customFormat="1">
      <c r="B4200" s="714" t="s">
        <v>1318</v>
      </c>
      <c r="T4200" s="716"/>
    </row>
    <row r="4201" spans="1:20" s="714" customFormat="1">
      <c r="B4201" s="714" t="s">
        <v>1319</v>
      </c>
      <c r="T4201" s="716"/>
    </row>
    <row r="4202" spans="1:20" s="714" customFormat="1">
      <c r="B4202" s="714" t="s">
        <v>1327</v>
      </c>
      <c r="G4202" s="715">
        <v>3</v>
      </c>
      <c r="H4202" s="714" t="s">
        <v>38</v>
      </c>
      <c r="I4202" s="714" t="s">
        <v>38</v>
      </c>
      <c r="J4202" s="715">
        <f>L129</f>
        <v>182</v>
      </c>
      <c r="K4202" s="715">
        <f>ROUND(G4202*J4202,2)</f>
        <v>546</v>
      </c>
      <c r="T4202" s="716"/>
    </row>
    <row r="4203" spans="1:20" s="714" customFormat="1">
      <c r="B4203" s="714" t="s">
        <v>768</v>
      </c>
      <c r="G4203" s="715">
        <v>1</v>
      </c>
      <c r="H4203" s="714" t="s">
        <v>38</v>
      </c>
      <c r="I4203" s="714" t="s">
        <v>38</v>
      </c>
      <c r="J4203" s="715">
        <f>L129</f>
        <v>182</v>
      </c>
      <c r="K4203" s="715">
        <f>ROUND(G4203*J4203,2)</f>
        <v>182</v>
      </c>
      <c r="T4203" s="716"/>
    </row>
    <row r="4204" spans="1:20" s="714" customFormat="1">
      <c r="B4204" s="714" t="s">
        <v>1328</v>
      </c>
      <c r="G4204" s="714">
        <v>0.53904799999999997</v>
      </c>
      <c r="H4204" s="714" t="s">
        <v>747</v>
      </c>
      <c r="I4204" s="714" t="s">
        <v>1329</v>
      </c>
      <c r="J4204" s="715">
        <v>339</v>
      </c>
      <c r="K4204" s="715">
        <f>ROUND(G4204*J4204,2)</f>
        <v>182.74</v>
      </c>
      <c r="T4204" s="716"/>
    </row>
    <row r="4205" spans="1:20" s="714" customFormat="1">
      <c r="J4205" s="714" t="s">
        <v>718</v>
      </c>
      <c r="K4205" s="714">
        <f>SUM(K4202:K4204)</f>
        <v>910.74</v>
      </c>
      <c r="T4205" s="716"/>
    </row>
    <row r="4206" spans="1:20" s="714" customFormat="1">
      <c r="K4206" s="715"/>
      <c r="T4206" s="716"/>
    </row>
    <row r="4207" spans="1:20" s="714" customFormat="1">
      <c r="B4207" s="714" t="s">
        <v>1321</v>
      </c>
      <c r="J4207" s="714" t="s">
        <v>718</v>
      </c>
      <c r="K4207" s="715">
        <f>SUM(K4205:K4206)</f>
        <v>910.74</v>
      </c>
      <c r="T4207" s="716"/>
    </row>
    <row r="4208" spans="1:20" s="714" customFormat="1">
      <c r="B4208" s="714" t="s">
        <v>1015</v>
      </c>
      <c r="K4208" s="715">
        <f>ROUND(K4207/2.83,2)</f>
        <v>321.82</v>
      </c>
      <c r="T4208" s="716"/>
    </row>
    <row r="4209" spans="1:20" s="714" customFormat="1">
      <c r="B4209" s="714" t="s">
        <v>1322</v>
      </c>
      <c r="K4209" s="715"/>
      <c r="T4209" s="716"/>
    </row>
    <row r="4210" spans="1:20" s="714" customFormat="1">
      <c r="B4210" s="714" t="s">
        <v>1330</v>
      </c>
      <c r="G4210" s="714">
        <v>1.21</v>
      </c>
      <c r="H4210" s="714" t="s">
        <v>49</v>
      </c>
      <c r="I4210" s="714" t="s">
        <v>49</v>
      </c>
      <c r="J4210" s="715">
        <f>L19</f>
        <v>1121.2</v>
      </c>
      <c r="K4210" s="715">
        <f>ROUND(G4210*J4210,2)</f>
        <v>1356.65</v>
      </c>
      <c r="T4210" s="716"/>
    </row>
    <row r="4211" spans="1:20" s="714" customFormat="1">
      <c r="B4211" s="714" t="s">
        <v>11</v>
      </c>
      <c r="G4211" s="715">
        <v>0.3</v>
      </c>
      <c r="H4211" s="714" t="s">
        <v>49</v>
      </c>
      <c r="I4211" s="714" t="s">
        <v>49</v>
      </c>
      <c r="J4211" s="715">
        <f>L46</f>
        <v>345.18</v>
      </c>
      <c r="K4211" s="715">
        <f>ROUND(G4211*J4211,2)</f>
        <v>103.55</v>
      </c>
      <c r="T4211" s="716"/>
    </row>
    <row r="4212" spans="1:20" s="714" customFormat="1">
      <c r="J4212" s="714" t="s">
        <v>718</v>
      </c>
      <c r="K4212" s="715">
        <f>SUM(K4210:K4211)</f>
        <v>1460.2</v>
      </c>
      <c r="T4212" s="716"/>
    </row>
    <row r="4213" spans="1:20" s="714" customFormat="1">
      <c r="B4213" s="714" t="s">
        <v>1310</v>
      </c>
      <c r="H4213" s="714" t="s">
        <v>1324</v>
      </c>
      <c r="K4213" s="715">
        <f>K4208+K4212</f>
        <v>1782.02</v>
      </c>
      <c r="L4213" s="714" t="s">
        <v>721</v>
      </c>
      <c r="T4213" s="716"/>
    </row>
    <row r="4214" spans="1:20" s="714" customFormat="1" ht="15.75" customHeight="1">
      <c r="A4214" s="714" t="s">
        <v>220</v>
      </c>
      <c r="B4214" s="716" t="s">
        <v>1331</v>
      </c>
      <c r="T4214" s="716"/>
    </row>
    <row r="4215" spans="1:20" s="714" customFormat="1">
      <c r="B4215" s="714" t="str">
        <f>B4201</f>
        <v>a) Labour &amp; Machinaries</v>
      </c>
      <c r="K4215" s="715">
        <f>K4208</f>
        <v>321.82</v>
      </c>
      <c r="L4215" s="714" t="s">
        <v>721</v>
      </c>
      <c r="T4215" s="716"/>
    </row>
    <row r="4216" spans="1:20" s="714" customFormat="1">
      <c r="B4216" s="714" t="s">
        <v>1332</v>
      </c>
      <c r="G4216" s="714">
        <v>1.21</v>
      </c>
      <c r="H4216" s="714" t="s">
        <v>49</v>
      </c>
      <c r="I4216" s="714" t="s">
        <v>49</v>
      </c>
      <c r="J4216" s="715">
        <f>L20</f>
        <v>1209.23</v>
      </c>
      <c r="K4216" s="715">
        <f>ROUND(G4216*J4216,2)</f>
        <v>1463.17</v>
      </c>
      <c r="L4216" s="714" t="s">
        <v>721</v>
      </c>
      <c r="T4216" s="716"/>
    </row>
    <row r="4217" spans="1:20" s="714" customFormat="1">
      <c r="G4217" s="715">
        <v>0.3</v>
      </c>
      <c r="H4217" s="714" t="s">
        <v>49</v>
      </c>
      <c r="I4217" s="714" t="s">
        <v>49</v>
      </c>
      <c r="J4217" s="715">
        <f>L46</f>
        <v>345.18</v>
      </c>
      <c r="K4217" s="715">
        <f>ROUND(G4217*J4217,2)</f>
        <v>103.55</v>
      </c>
      <c r="T4217" s="716"/>
    </row>
    <row r="4218" spans="1:20" s="714" customFormat="1">
      <c r="B4218" s="716" t="s">
        <v>1310</v>
      </c>
      <c r="J4218" s="714" t="s">
        <v>718</v>
      </c>
      <c r="K4218" s="714">
        <f>SUM(K4215:K4217)</f>
        <v>1888.54</v>
      </c>
      <c r="L4218" s="716" t="s">
        <v>721</v>
      </c>
      <c r="T4218" s="716"/>
    </row>
    <row r="4219" spans="1:20" s="714" customFormat="1" ht="15.75" customHeight="1">
      <c r="A4219" s="714" t="s">
        <v>220</v>
      </c>
      <c r="B4219" s="716" t="s">
        <v>1333</v>
      </c>
      <c r="T4219" s="716"/>
    </row>
    <row r="4220" spans="1:20" s="714" customFormat="1">
      <c r="B4220" s="714" t="str">
        <f>B4215</f>
        <v>a) Labour &amp; Machinaries</v>
      </c>
      <c r="K4220" s="715">
        <f>K4215</f>
        <v>321.82</v>
      </c>
      <c r="L4220" s="714" t="s">
        <v>721</v>
      </c>
      <c r="T4220" s="716"/>
    </row>
    <row r="4221" spans="1:20" s="714" customFormat="1">
      <c r="B4221" s="714" t="s">
        <v>1334</v>
      </c>
      <c r="G4221" s="714">
        <v>1.21</v>
      </c>
      <c r="H4221" s="714" t="s">
        <v>49</v>
      </c>
      <c r="I4221" s="714" t="s">
        <v>49</v>
      </c>
      <c r="J4221" s="715">
        <f>L21</f>
        <v>1274.56</v>
      </c>
      <c r="K4221" s="715">
        <f>ROUND(G4221*J4221,2)</f>
        <v>1542.22</v>
      </c>
      <c r="L4221" s="714" t="s">
        <v>721</v>
      </c>
      <c r="T4221" s="716"/>
    </row>
    <row r="4222" spans="1:20" s="714" customFormat="1">
      <c r="G4222" s="715">
        <v>0.3</v>
      </c>
      <c r="H4222" s="714" t="s">
        <v>49</v>
      </c>
      <c r="I4222" s="714" t="s">
        <v>49</v>
      </c>
      <c r="J4222" s="715">
        <f>L46</f>
        <v>345.18</v>
      </c>
      <c r="K4222" s="715">
        <f>ROUND(G4222*J4222,2)</f>
        <v>103.55</v>
      </c>
      <c r="T4222" s="716"/>
    </row>
    <row r="4223" spans="1:20" s="714" customFormat="1">
      <c r="B4223" s="716" t="s">
        <v>1310</v>
      </c>
      <c r="J4223" s="714" t="s">
        <v>718</v>
      </c>
      <c r="K4223" s="714">
        <f>SUM(K4220:K4222)</f>
        <v>1967.59</v>
      </c>
      <c r="L4223" s="716" t="s">
        <v>721</v>
      </c>
      <c r="T4223" s="716"/>
    </row>
    <row r="4224" spans="1:20" s="714" customFormat="1" ht="72" customHeight="1">
      <c r="A4224" s="1138">
        <f>A712</f>
        <v>146</v>
      </c>
      <c r="B4224" s="3400" t="str">
        <f>B712</f>
        <v>Earth Work in embankment in hard soil obtained from borrow pits carried to site by transporting including rough dressing and rolling with PRR, watering upto OMC laying in layers not exceeding 0.23m with hire &amp; running charges of PRR and labour charges etc complete.</v>
      </c>
      <c r="C4224" s="3400"/>
      <c r="D4224" s="3400"/>
      <c r="E4224" s="1135" t="str">
        <f>G712</f>
        <v>Each Cum</v>
      </c>
      <c r="F4224" s="1135"/>
      <c r="G4224" s="1140"/>
      <c r="H4224" s="1136"/>
      <c r="I4224" s="1137"/>
      <c r="J4224" s="1141"/>
      <c r="K4224" s="1052"/>
      <c r="L4224" s="1059"/>
      <c r="T4224" s="716"/>
    </row>
    <row r="4225" spans="1:20" s="714" customFormat="1">
      <c r="A4225" s="1166" t="s">
        <v>201</v>
      </c>
      <c r="B4225" s="1053" t="s">
        <v>1335</v>
      </c>
      <c r="C4225" s="1053"/>
      <c r="D4225" s="1055"/>
      <c r="E4225" s="1139"/>
      <c r="F4225" s="1139"/>
      <c r="G4225" s="1140"/>
      <c r="H4225" s="1136"/>
      <c r="I4225" s="1137"/>
      <c r="J4225" s="1141"/>
      <c r="K4225" s="1052"/>
      <c r="L4225" s="1059"/>
      <c r="T4225" s="716"/>
    </row>
    <row r="4226" spans="1:20" s="714" customFormat="1">
      <c r="A4226" s="1166"/>
      <c r="B4226" s="1053" t="s">
        <v>1319</v>
      </c>
      <c r="C4226" s="1053"/>
      <c r="D4226" s="1055"/>
      <c r="E4226" s="1139"/>
      <c r="F4226" s="1139"/>
      <c r="G4226" s="1055"/>
      <c r="H4226" s="1136"/>
      <c r="I4226" s="1137"/>
      <c r="J4226" s="1055"/>
      <c r="K4226" s="1055"/>
      <c r="L4226" s="1059"/>
      <c r="T4226" s="716"/>
    </row>
    <row r="4227" spans="1:20" s="714" customFormat="1">
      <c r="A4227" s="1166"/>
      <c r="B4227" s="1055" t="s">
        <v>717</v>
      </c>
      <c r="C4227" s="1055"/>
      <c r="D4227" s="1055"/>
      <c r="E4227" s="1139"/>
      <c r="F4227" s="1139"/>
      <c r="G4227" s="1140">
        <v>0.43</v>
      </c>
      <c r="H4227" s="1136" t="s">
        <v>38</v>
      </c>
      <c r="I4227" s="1137" t="s">
        <v>38</v>
      </c>
      <c r="J4227" s="1054">
        <f>L129</f>
        <v>182</v>
      </c>
      <c r="K4227" s="1054">
        <f>ROUND(G4227*J4227,2)</f>
        <v>78.260000000000005</v>
      </c>
      <c r="L4227" s="1059"/>
      <c r="T4227" s="716"/>
    </row>
    <row r="4228" spans="1:20" s="714" customFormat="1">
      <c r="A4228" s="1166"/>
      <c r="B4228" s="1055"/>
      <c r="C4228" s="1055"/>
      <c r="D4228" s="1055"/>
      <c r="E4228" s="1139"/>
      <c r="F4228" s="1139"/>
      <c r="G4228" s="1140"/>
      <c r="H4228" s="1136"/>
      <c r="I4228" s="1137"/>
      <c r="J4228" s="1144" t="s">
        <v>718</v>
      </c>
      <c r="K4228" s="1052">
        <f>SUM(K4227:K4227)</f>
        <v>78.260000000000005</v>
      </c>
      <c r="L4228" s="1059"/>
      <c r="T4228" s="716"/>
    </row>
    <row r="4229" spans="1:20" s="714" customFormat="1">
      <c r="A4229" s="1166"/>
      <c r="B4229" s="1055" t="s">
        <v>3369</v>
      </c>
      <c r="C4229" s="1055"/>
      <c r="D4229" s="1055"/>
      <c r="E4229" s="1139"/>
      <c r="F4229" s="1139"/>
      <c r="G4229" s="1055"/>
      <c r="H4229" s="1136"/>
      <c r="I4229" s="1137"/>
      <c r="J4229" s="1055"/>
      <c r="K4229" s="1054">
        <f>ROUND(K4228*2%,2)</f>
        <v>1.57</v>
      </c>
      <c r="L4229" s="1059"/>
      <c r="T4229" s="716"/>
    </row>
    <row r="4230" spans="1:20" s="714" customFormat="1">
      <c r="A4230" s="1166"/>
      <c r="B4230" s="1053" t="s">
        <v>1336</v>
      </c>
      <c r="C4230" s="1055"/>
      <c r="D4230" s="1055"/>
      <c r="E4230" s="1139"/>
      <c r="F4230" s="1139"/>
      <c r="G4230" s="1055"/>
      <c r="H4230" s="1136"/>
      <c r="I4230" s="1137"/>
      <c r="J4230" s="1144" t="s">
        <v>718</v>
      </c>
      <c r="K4230" s="1054">
        <f>SUM(K4228:K4229)</f>
        <v>79.83</v>
      </c>
      <c r="L4230" s="1059"/>
      <c r="T4230" s="716"/>
    </row>
    <row r="4231" spans="1:20" s="714" customFormat="1">
      <c r="A4231" s="1166"/>
      <c r="B4231" s="1053" t="s">
        <v>1015</v>
      </c>
      <c r="C4231" s="1055"/>
      <c r="D4231" s="1055"/>
      <c r="E4231" s="1139"/>
      <c r="F4231" s="1139"/>
      <c r="G4231" s="1055"/>
      <c r="H4231" s="1136"/>
      <c r="I4231" s="1137"/>
      <c r="J4231" s="1137"/>
      <c r="K4231" s="1052">
        <f>K4230</f>
        <v>79.83</v>
      </c>
      <c r="L4231" s="1059"/>
      <c r="T4231" s="716"/>
    </row>
    <row r="4232" spans="1:20" s="714" customFormat="1">
      <c r="A4232" s="1166"/>
      <c r="B4232" s="1055" t="s">
        <v>1337</v>
      </c>
      <c r="C4232" s="1055"/>
      <c r="D4232" s="1055"/>
      <c r="E4232" s="1139"/>
      <c r="F4232" s="1139"/>
      <c r="G4232" s="1140">
        <v>1</v>
      </c>
      <c r="H4232" s="1136" t="s">
        <v>49</v>
      </c>
      <c r="I4232" s="1137" t="s">
        <v>49</v>
      </c>
      <c r="J4232" s="1054">
        <f>I47</f>
        <v>276.01</v>
      </c>
      <c r="K4232" s="1054">
        <f>ROUND(G4232*J4232,2)</f>
        <v>276.01</v>
      </c>
      <c r="L4232" s="1059"/>
      <c r="T4232" s="716"/>
    </row>
    <row r="4233" spans="1:20" s="714" customFormat="1">
      <c r="A4233" s="1166"/>
      <c r="B4233" s="1055" t="s">
        <v>1338</v>
      </c>
      <c r="C4233" s="1055"/>
      <c r="D4233" s="1055"/>
      <c r="E4233" s="1139"/>
      <c r="F4233" s="1139"/>
      <c r="G4233" s="1140">
        <v>1</v>
      </c>
      <c r="H4233" s="1136" t="s">
        <v>49</v>
      </c>
      <c r="I4233" s="1137" t="s">
        <v>49</v>
      </c>
      <c r="J4233" s="1054">
        <f>J47</f>
        <v>0</v>
      </c>
      <c r="K4233" s="1054">
        <f>ROUND(G4233*J4233,2)</f>
        <v>0</v>
      </c>
      <c r="L4233" s="1059"/>
      <c r="T4233" s="716"/>
    </row>
    <row r="4234" spans="1:20" s="714" customFormat="1">
      <c r="A4234" s="1166"/>
      <c r="B4234" s="1055"/>
      <c r="C4234" s="1055"/>
      <c r="D4234" s="1055"/>
      <c r="E4234" s="1139"/>
      <c r="F4234" s="1139"/>
      <c r="G4234" s="1140"/>
      <c r="H4234" s="1136"/>
      <c r="I4234" s="1137"/>
      <c r="J4234" s="1144" t="s">
        <v>718</v>
      </c>
      <c r="K4234" s="1052">
        <f>SUM(K4231:K4233)</f>
        <v>355.84</v>
      </c>
      <c r="L4234" s="1059"/>
      <c r="T4234" s="716"/>
    </row>
    <row r="4235" spans="1:20" s="714" customFormat="1">
      <c r="A4235" s="1166"/>
      <c r="B4235" s="1055" t="s">
        <v>1339</v>
      </c>
      <c r="C4235" s="1055"/>
      <c r="D4235" s="1055" t="s">
        <v>1340</v>
      </c>
      <c r="E4235" s="1139"/>
      <c r="F4235" s="1139"/>
      <c r="G4235" s="1140"/>
      <c r="H4235" s="1136"/>
      <c r="I4235" s="1137"/>
      <c r="J4235" s="1054"/>
      <c r="K4235" s="1054">
        <v>-52.67</v>
      </c>
      <c r="L4235" s="1059"/>
      <c r="T4235" s="716"/>
    </row>
    <row r="4236" spans="1:20" s="714" customFormat="1">
      <c r="A4236" s="1166"/>
      <c r="B4236" s="1055"/>
      <c r="C4236" s="1055"/>
      <c r="D4236" s="1055"/>
      <c r="E4236" s="1139"/>
      <c r="F4236" s="1139"/>
      <c r="G4236" s="1140"/>
      <c r="H4236" s="1136"/>
      <c r="I4236" s="1137"/>
      <c r="J4236" s="1144" t="s">
        <v>718</v>
      </c>
      <c r="K4236" s="1052">
        <f>SUM(K4234:K4235)</f>
        <v>303.16999999999996</v>
      </c>
      <c r="L4236" s="1059"/>
      <c r="T4236" s="716"/>
    </row>
    <row r="4237" spans="1:20" s="714" customFormat="1">
      <c r="A4237" s="1166"/>
      <c r="B4237" s="1053" t="s">
        <v>1310</v>
      </c>
      <c r="C4237" s="1053"/>
      <c r="D4237" s="1053"/>
      <c r="E4237" s="1142"/>
      <c r="F4237" s="1142"/>
      <c r="G4237" s="1053"/>
      <c r="H4237" s="1059"/>
      <c r="I4237" s="1144"/>
      <c r="J4237" s="1053"/>
      <c r="K4237" s="1052">
        <f>K4236</f>
        <v>303.16999999999996</v>
      </c>
      <c r="L4237" s="1059" t="s">
        <v>721</v>
      </c>
      <c r="T4237" s="716"/>
    </row>
    <row r="4238" spans="1:20" s="714" customFormat="1">
      <c r="A4238" s="1166" t="s">
        <v>220</v>
      </c>
      <c r="B4238" s="1053" t="s">
        <v>1341</v>
      </c>
      <c r="C4238" s="1053"/>
      <c r="D4238" s="1053"/>
      <c r="E4238" s="1142"/>
      <c r="F4238" s="1142"/>
      <c r="G4238" s="1053"/>
      <c r="H4238" s="1059"/>
      <c r="I4238" s="1144"/>
      <c r="J4238" s="1053"/>
      <c r="K4238" s="1052">
        <f>K4234</f>
        <v>355.84</v>
      </c>
      <c r="L4238" s="1059"/>
      <c r="T4238" s="716"/>
    </row>
    <row r="4239" spans="1:20" s="714" customFormat="1">
      <c r="A4239" s="1166"/>
      <c r="B4239" s="1055" t="s">
        <v>1342</v>
      </c>
      <c r="C4239" s="1053"/>
      <c r="D4239" s="1053"/>
      <c r="E4239" s="1142"/>
      <c r="F4239" s="1142"/>
      <c r="G4239" s="1053"/>
      <c r="H4239" s="1059"/>
      <c r="I4239" s="1144"/>
      <c r="J4239" s="1053"/>
      <c r="K4239" s="1052">
        <v>-79</v>
      </c>
      <c r="L4239" s="1059"/>
      <c r="T4239" s="716"/>
    </row>
    <row r="4240" spans="1:20" s="714" customFormat="1">
      <c r="A4240" s="1166"/>
      <c r="B4240" s="1053"/>
      <c r="C4240" s="1053"/>
      <c r="D4240" s="1053"/>
      <c r="E4240" s="1142"/>
      <c r="F4240" s="1142"/>
      <c r="G4240" s="1053"/>
      <c r="H4240" s="1059"/>
      <c r="I4240" s="1144"/>
      <c r="J4240" s="1144" t="s">
        <v>718</v>
      </c>
      <c r="K4240" s="1052">
        <f>SUM(K4238:K4239)</f>
        <v>276.83999999999997</v>
      </c>
      <c r="L4240" s="1059" t="s">
        <v>721</v>
      </c>
      <c r="T4240" s="716"/>
    </row>
    <row r="4241" spans="1:20" s="714" customFormat="1">
      <c r="A4241" s="1166" t="s">
        <v>244</v>
      </c>
      <c r="B4241" s="1053" t="s">
        <v>610</v>
      </c>
      <c r="C4241" s="1053"/>
      <c r="D4241" s="1053"/>
      <c r="E4241" s="1142"/>
      <c r="F4241" s="1142"/>
      <c r="G4241" s="1053"/>
      <c r="H4241" s="1059"/>
      <c r="I4241" s="1144"/>
      <c r="J4241" s="1053"/>
      <c r="K4241" s="1052"/>
      <c r="L4241" s="1059"/>
      <c r="T4241" s="716"/>
    </row>
    <row r="4242" spans="1:20" s="714" customFormat="1">
      <c r="A4242" s="1166"/>
      <c r="B4242" s="1055" t="s">
        <v>1343</v>
      </c>
      <c r="C4242" s="1053"/>
      <c r="D4242" s="1053"/>
      <c r="E4242" s="1142"/>
      <c r="F4242" s="1142"/>
      <c r="G4242" s="1053"/>
      <c r="H4242" s="1059"/>
      <c r="I4242" s="1144"/>
      <c r="J4242" s="1053"/>
      <c r="K4242" s="1052">
        <f>K4237</f>
        <v>303.16999999999996</v>
      </c>
      <c r="L4242" s="1059" t="s">
        <v>721</v>
      </c>
      <c r="T4242" s="716"/>
    </row>
    <row r="4243" spans="1:20" s="714" customFormat="1">
      <c r="A4243" s="1167"/>
      <c r="B4243" s="1055" t="s">
        <v>1344</v>
      </c>
      <c r="C4243" s="1053"/>
      <c r="D4243" s="1053"/>
      <c r="E4243" s="1142"/>
      <c r="F4243" s="1142"/>
      <c r="G4243" s="1053"/>
      <c r="H4243" s="1059"/>
      <c r="I4243" s="1144"/>
      <c r="J4243" s="1053"/>
      <c r="K4243" s="1052">
        <f>K4433</f>
        <v>5.93</v>
      </c>
      <c r="L4243" s="1059" t="s">
        <v>721</v>
      </c>
      <c r="T4243" s="716"/>
    </row>
    <row r="4244" spans="1:20" s="714" customFormat="1">
      <c r="A4244" s="1166"/>
      <c r="B4244" s="1053"/>
      <c r="C4244" s="1053"/>
      <c r="D4244" s="1053"/>
      <c r="E4244" s="1142"/>
      <c r="F4244" s="1142"/>
      <c r="G4244" s="1053"/>
      <c r="H4244" s="1059"/>
      <c r="I4244" s="1144"/>
      <c r="J4244" s="1144" t="s">
        <v>718</v>
      </c>
      <c r="K4244" s="1052">
        <f>SUM(K4242:K4243)</f>
        <v>309.09999999999997</v>
      </c>
      <c r="L4244" s="1059" t="s">
        <v>721</v>
      </c>
      <c r="T4244" s="716"/>
    </row>
    <row r="4245" spans="1:20" s="714" customFormat="1">
      <c r="A4245" s="1166" t="s">
        <v>291</v>
      </c>
      <c r="B4245" s="1053" t="s">
        <v>611</v>
      </c>
      <c r="C4245" s="1053"/>
      <c r="D4245" s="1053"/>
      <c r="E4245" s="1142"/>
      <c r="F4245" s="1142"/>
      <c r="G4245" s="1053"/>
      <c r="H4245" s="1059"/>
      <c r="I4245" s="1144"/>
      <c r="J4245" s="1053"/>
      <c r="K4245" s="1052"/>
      <c r="L4245" s="1059"/>
      <c r="T4245" s="716"/>
    </row>
    <row r="4246" spans="1:20" s="714" customFormat="1">
      <c r="A4246" s="1166"/>
      <c r="B4246" s="1055" t="s">
        <v>1343</v>
      </c>
      <c r="C4246" s="1053"/>
      <c r="D4246" s="1053"/>
      <c r="E4246" s="1142"/>
      <c r="F4246" s="1142"/>
      <c r="G4246" s="1053"/>
      <c r="H4246" s="1059"/>
      <c r="I4246" s="1144"/>
      <c r="J4246" s="1053"/>
      <c r="K4246" s="1052">
        <f>K4237</f>
        <v>303.16999999999996</v>
      </c>
      <c r="L4246" s="1059" t="s">
        <v>721</v>
      </c>
      <c r="T4246" s="716"/>
    </row>
    <row r="4247" spans="1:20" s="714" customFormat="1">
      <c r="A4247" s="1167"/>
      <c r="B4247" s="1055" t="s">
        <v>1344</v>
      </c>
      <c r="C4247" s="1053"/>
      <c r="D4247" s="1053"/>
      <c r="E4247" s="1142"/>
      <c r="F4247" s="1142"/>
      <c r="G4247" s="1053"/>
      <c r="H4247" s="1059"/>
      <c r="I4247" s="1144"/>
      <c r="J4247" s="1053"/>
      <c r="K4247" s="1052">
        <f>K4468</f>
        <v>8.1999999999999993</v>
      </c>
      <c r="L4247" s="1059" t="s">
        <v>721</v>
      </c>
      <c r="T4247" s="716"/>
    </row>
    <row r="4248" spans="1:20" s="714" customFormat="1">
      <c r="A4248" s="1166"/>
      <c r="B4248" s="1053"/>
      <c r="C4248" s="1053"/>
      <c r="D4248" s="1053"/>
      <c r="E4248" s="1142"/>
      <c r="F4248" s="1142"/>
      <c r="G4248" s="1053"/>
      <c r="H4248" s="1059"/>
      <c r="I4248" s="1144"/>
      <c r="J4248" s="1144" t="s">
        <v>718</v>
      </c>
      <c r="K4248" s="1052">
        <f>SUM(K4246:K4247)</f>
        <v>311.36999999999995</v>
      </c>
      <c r="L4248" s="1059" t="s">
        <v>721</v>
      </c>
      <c r="T4248" s="716"/>
    </row>
    <row r="4249" spans="1:20" s="714" customFormat="1">
      <c r="A4249" s="1166" t="s">
        <v>308</v>
      </c>
      <c r="B4249" s="1053" t="s">
        <v>612</v>
      </c>
      <c r="C4249" s="1053"/>
      <c r="D4249" s="1053"/>
      <c r="E4249" s="1142"/>
      <c r="F4249" s="1142"/>
      <c r="G4249" s="1053"/>
      <c r="H4249" s="1059"/>
      <c r="I4249" s="1144"/>
      <c r="J4249" s="1053"/>
      <c r="K4249" s="1052"/>
      <c r="L4249" s="1059"/>
      <c r="T4249" s="716"/>
    </row>
    <row r="4250" spans="1:20" s="714" customFormat="1">
      <c r="A4250" s="1168"/>
      <c r="B4250" s="1055" t="s">
        <v>1343</v>
      </c>
      <c r="C4250" s="1053"/>
      <c r="D4250" s="1053"/>
      <c r="E4250" s="1142"/>
      <c r="F4250" s="1142"/>
      <c r="G4250" s="1053"/>
      <c r="H4250" s="1059"/>
      <c r="I4250" s="1144"/>
      <c r="J4250" s="1053"/>
      <c r="K4250" s="1052">
        <f>K4237</f>
        <v>303.16999999999996</v>
      </c>
      <c r="L4250" s="1059" t="s">
        <v>721</v>
      </c>
      <c r="T4250" s="716"/>
    </row>
    <row r="4251" spans="1:20" s="714" customFormat="1">
      <c r="A4251" s="967"/>
      <c r="B4251" s="1055" t="s">
        <v>1344</v>
      </c>
      <c r="C4251" s="1053"/>
      <c r="D4251" s="1053"/>
      <c r="E4251" s="1142"/>
      <c r="F4251" s="1142"/>
      <c r="G4251" s="1053"/>
      <c r="H4251" s="1059"/>
      <c r="I4251" s="1144"/>
      <c r="J4251" s="1053"/>
      <c r="K4251" s="1052">
        <f>K4451</f>
        <v>44.706800000000001</v>
      </c>
      <c r="L4251" s="1059" t="s">
        <v>721</v>
      </c>
      <c r="T4251" s="716"/>
    </row>
    <row r="4252" spans="1:20" s="714" customFormat="1">
      <c r="A4252" s="1168"/>
      <c r="B4252" s="1053"/>
      <c r="C4252" s="1053"/>
      <c r="D4252" s="1053"/>
      <c r="E4252" s="1142"/>
      <c r="F4252" s="1142"/>
      <c r="G4252" s="1053"/>
      <c r="H4252" s="1059"/>
      <c r="I4252" s="1144"/>
      <c r="J4252" s="1144" t="s">
        <v>718</v>
      </c>
      <c r="K4252" s="1052">
        <f>SUM(K4250:K4251)</f>
        <v>347.87679999999995</v>
      </c>
      <c r="L4252" s="1059" t="s">
        <v>721</v>
      </c>
      <c r="T4252" s="716"/>
    </row>
    <row r="4253" spans="1:20" s="714" customFormat="1" ht="48.75" customHeight="1">
      <c r="A4253" s="1138">
        <f>A716</f>
        <v>147</v>
      </c>
      <c r="B4253" s="3400" t="str">
        <f>B716</f>
        <v>Earth work in embankment obtained from borrow pits with excavation  carriage loading by mechanical means within 5km initial lead etc  complete as per specification.</v>
      </c>
      <c r="C4253" s="3400"/>
      <c r="D4253" s="3400"/>
      <c r="E4253" s="1135" t="str">
        <f>G716</f>
        <v>Each Cum</v>
      </c>
      <c r="F4253" s="1135"/>
      <c r="G4253" s="1140"/>
      <c r="H4253" s="1136"/>
      <c r="I4253" s="1137"/>
      <c r="J4253" s="1141"/>
      <c r="K4253" s="1052"/>
      <c r="L4253" s="1059"/>
      <c r="T4253" s="716"/>
    </row>
    <row r="4254" spans="1:20" s="714" customFormat="1">
      <c r="A4254" s="1166" t="s">
        <v>201</v>
      </c>
      <c r="B4254" s="1053" t="s">
        <v>1335</v>
      </c>
      <c r="C4254" s="1053"/>
      <c r="D4254" s="1055"/>
      <c r="E4254" s="1139"/>
      <c r="F4254" s="1139"/>
      <c r="G4254" s="1140"/>
      <c r="H4254" s="1136"/>
      <c r="I4254" s="1137"/>
      <c r="J4254" s="1141"/>
      <c r="K4254" s="1052"/>
      <c r="L4254" s="1059"/>
      <c r="T4254" s="716"/>
    </row>
    <row r="4255" spans="1:20" s="714" customFormat="1">
      <c r="A4255" s="1166"/>
      <c r="B4255" s="1053" t="s">
        <v>1319</v>
      </c>
      <c r="C4255" s="1053"/>
      <c r="D4255" s="1055"/>
      <c r="E4255" s="1139"/>
      <c r="F4255" s="1139"/>
      <c r="G4255" s="1055"/>
      <c r="H4255" s="1136"/>
      <c r="I4255" s="1137"/>
      <c r="J4255" s="1055"/>
      <c r="K4255" s="1055"/>
      <c r="L4255" s="1059"/>
      <c r="T4255" s="716"/>
    </row>
    <row r="4256" spans="1:20" s="714" customFormat="1">
      <c r="A4256" s="1166"/>
      <c r="B4256" s="1055" t="s">
        <v>1345</v>
      </c>
      <c r="C4256" s="1055"/>
      <c r="D4256" s="1055"/>
      <c r="E4256" s="1139"/>
      <c r="F4256" s="1139"/>
      <c r="G4256" s="1140">
        <v>1.7000000000000001E-2</v>
      </c>
      <c r="H4256" s="1136" t="s">
        <v>747</v>
      </c>
      <c r="I4256" s="1137" t="s">
        <v>38</v>
      </c>
      <c r="J4256" s="1054">
        <f>G201</f>
        <v>1300.1600000000001</v>
      </c>
      <c r="K4256" s="1054">
        <f>ROUND(G4256*J4256,2)</f>
        <v>22.1</v>
      </c>
      <c r="L4256" s="1059"/>
      <c r="T4256" s="716"/>
    </row>
    <row r="4257" spans="1:20" s="714" customFormat="1">
      <c r="A4257" s="1166"/>
      <c r="B4257" s="1055"/>
      <c r="C4257" s="1055"/>
      <c r="D4257" s="1055"/>
      <c r="E4257" s="1139"/>
      <c r="F4257" s="1139"/>
      <c r="G4257" s="1140"/>
      <c r="H4257" s="1136"/>
      <c r="I4257" s="1137"/>
      <c r="J4257" s="1144" t="s">
        <v>718</v>
      </c>
      <c r="K4257" s="1052">
        <f>SUM(K4256:K4256)</f>
        <v>22.1</v>
      </c>
      <c r="L4257" s="1059"/>
      <c r="T4257" s="716"/>
    </row>
    <row r="4258" spans="1:20" s="714" customFormat="1">
      <c r="A4258" s="1166"/>
      <c r="B4258" s="1055" t="s">
        <v>1346</v>
      </c>
      <c r="C4258" s="1055"/>
      <c r="D4258" s="1055"/>
      <c r="E4258" s="1139"/>
      <c r="F4258" s="1139"/>
      <c r="G4258" s="1140">
        <v>1</v>
      </c>
      <c r="H4258" s="1136" t="s">
        <v>49</v>
      </c>
      <c r="I4258" s="1137" t="s">
        <v>49</v>
      </c>
      <c r="J4258" s="1054">
        <f>I47</f>
        <v>276.01</v>
      </c>
      <c r="K4258" s="1054">
        <f>ROUND(G4258*J4258,2)</f>
        <v>276.01</v>
      </c>
      <c r="L4258" s="1059"/>
      <c r="T4258" s="716"/>
    </row>
    <row r="4259" spans="1:20" s="714" customFormat="1">
      <c r="A4259" s="1166"/>
      <c r="B4259" s="1055" t="s">
        <v>1338</v>
      </c>
      <c r="C4259" s="1055"/>
      <c r="D4259" s="1055"/>
      <c r="E4259" s="1139"/>
      <c r="F4259" s="1139"/>
      <c r="G4259" s="1140">
        <v>1</v>
      </c>
      <c r="H4259" s="1136" t="s">
        <v>49</v>
      </c>
      <c r="I4259" s="1137" t="s">
        <v>49</v>
      </c>
      <c r="J4259" s="1054">
        <f>J47</f>
        <v>0</v>
      </c>
      <c r="K4259" s="1054">
        <f>ROUND(G4259*J4259,2)</f>
        <v>0</v>
      </c>
      <c r="L4259" s="1059"/>
      <c r="T4259" s="716"/>
    </row>
    <row r="4260" spans="1:20" s="714" customFormat="1">
      <c r="A4260" s="1166"/>
      <c r="B4260" s="1055"/>
      <c r="C4260" s="1055"/>
      <c r="D4260" s="1055"/>
      <c r="E4260" s="1139"/>
      <c r="F4260" s="1139"/>
      <c r="G4260" s="1140"/>
      <c r="H4260" s="1136"/>
      <c r="I4260" s="1137"/>
      <c r="J4260" s="1144" t="s">
        <v>718</v>
      </c>
      <c r="K4260" s="1052">
        <f>SUM(K4257:K4259)</f>
        <v>298.11</v>
      </c>
      <c r="L4260" s="1059"/>
      <c r="T4260" s="716"/>
    </row>
    <row r="4261" spans="1:20" s="714" customFormat="1">
      <c r="A4261" s="1166"/>
      <c r="B4261" s="1055" t="s">
        <v>1339</v>
      </c>
      <c r="C4261" s="1055"/>
      <c r="D4261" s="1055" t="s">
        <v>1340</v>
      </c>
      <c r="E4261" s="1139"/>
      <c r="F4261" s="1139"/>
      <c r="G4261" s="1140"/>
      <c r="H4261" s="1136"/>
      <c r="I4261" s="1137"/>
      <c r="J4261" s="1054"/>
      <c r="K4261" s="1054">
        <v>-52.67</v>
      </c>
      <c r="L4261" s="1059"/>
      <c r="T4261" s="716"/>
    </row>
    <row r="4262" spans="1:20" s="714" customFormat="1">
      <c r="A4262" s="1166"/>
      <c r="B4262" s="1055"/>
      <c r="C4262" s="1055"/>
      <c r="D4262" s="1055"/>
      <c r="E4262" s="1139"/>
      <c r="F4262" s="1139"/>
      <c r="G4262" s="1140"/>
      <c r="H4262" s="1136"/>
      <c r="I4262" s="1137"/>
      <c r="J4262" s="1144" t="s">
        <v>718</v>
      </c>
      <c r="K4262" s="1052">
        <f>SUM(K4260:K4261)</f>
        <v>245.44</v>
      </c>
      <c r="L4262" s="1059"/>
      <c r="T4262" s="716"/>
    </row>
    <row r="4263" spans="1:20" s="714" customFormat="1">
      <c r="A4263" s="1166"/>
      <c r="B4263" s="1053" t="s">
        <v>1310</v>
      </c>
      <c r="C4263" s="1053"/>
      <c r="D4263" s="1053"/>
      <c r="E4263" s="1142"/>
      <c r="F4263" s="1142"/>
      <c r="G4263" s="1053"/>
      <c r="H4263" s="1059"/>
      <c r="I4263" s="1144"/>
      <c r="J4263" s="1053"/>
      <c r="K4263" s="1052">
        <f>K4262</f>
        <v>245.44</v>
      </c>
      <c r="L4263" s="1059" t="s">
        <v>721</v>
      </c>
      <c r="T4263" s="716"/>
    </row>
    <row r="4264" spans="1:20" s="714" customFormat="1">
      <c r="A4264" s="1166" t="s">
        <v>220</v>
      </c>
      <c r="B4264" s="1053" t="s">
        <v>610</v>
      </c>
      <c r="C4264" s="1053"/>
      <c r="D4264" s="1053"/>
      <c r="E4264" s="1142"/>
      <c r="F4264" s="1142"/>
      <c r="G4264" s="1053"/>
      <c r="H4264" s="1059"/>
      <c r="I4264" s="1144"/>
      <c r="J4264" s="1053"/>
      <c r="K4264" s="1052"/>
      <c r="L4264" s="1059"/>
      <c r="T4264" s="716"/>
    </row>
    <row r="4265" spans="1:20" s="714" customFormat="1">
      <c r="A4265" s="1166"/>
      <c r="B4265" s="1055" t="s">
        <v>1343</v>
      </c>
      <c r="C4265" s="1053"/>
      <c r="D4265" s="1053"/>
      <c r="E4265" s="1142"/>
      <c r="F4265" s="1142"/>
      <c r="G4265" s="1053"/>
      <c r="H4265" s="1059"/>
      <c r="I4265" s="1144"/>
      <c r="J4265" s="1053"/>
      <c r="K4265" s="1052">
        <f>K4263</f>
        <v>245.44</v>
      </c>
      <c r="L4265" s="1059" t="s">
        <v>721</v>
      </c>
      <c r="T4265" s="716"/>
    </row>
    <row r="4266" spans="1:20" s="714" customFormat="1">
      <c r="A4266" s="1167"/>
      <c r="B4266" s="1055" t="s">
        <v>1344</v>
      </c>
      <c r="C4266" s="1053"/>
      <c r="D4266" s="1053"/>
      <c r="E4266" s="1142"/>
      <c r="F4266" s="1142"/>
      <c r="G4266" s="1053"/>
      <c r="H4266" s="1059"/>
      <c r="I4266" s="1144"/>
      <c r="J4266" s="1053"/>
      <c r="K4266" s="1052">
        <f>K4433</f>
        <v>5.93</v>
      </c>
      <c r="L4266" s="1059" t="s">
        <v>721</v>
      </c>
      <c r="T4266" s="716"/>
    </row>
    <row r="4267" spans="1:20" s="714" customFormat="1">
      <c r="A4267" s="1166"/>
      <c r="B4267" s="1053"/>
      <c r="C4267" s="1053"/>
      <c r="D4267" s="1053"/>
      <c r="E4267" s="1142"/>
      <c r="F4267" s="1142"/>
      <c r="G4267" s="1053"/>
      <c r="H4267" s="1059"/>
      <c r="I4267" s="1144"/>
      <c r="J4267" s="1144" t="s">
        <v>718</v>
      </c>
      <c r="K4267" s="1052">
        <f>SUM(K4265:K4266)</f>
        <v>251.37</v>
      </c>
      <c r="L4267" s="1059" t="s">
        <v>721</v>
      </c>
      <c r="T4267" s="716"/>
    </row>
    <row r="4268" spans="1:20" s="714" customFormat="1">
      <c r="A4268" s="1166" t="s">
        <v>244</v>
      </c>
      <c r="B4268" s="1053" t="s">
        <v>611</v>
      </c>
      <c r="C4268" s="1053"/>
      <c r="D4268" s="1053"/>
      <c r="E4268" s="1142"/>
      <c r="F4268" s="1142"/>
      <c r="G4268" s="1053"/>
      <c r="H4268" s="1059"/>
      <c r="I4268" s="1144"/>
      <c r="J4268" s="1053"/>
      <c r="K4268" s="1052"/>
      <c r="L4268" s="1059"/>
      <c r="T4268" s="716"/>
    </row>
    <row r="4269" spans="1:20" s="714" customFormat="1">
      <c r="A4269" s="1166"/>
      <c r="B4269" s="1055" t="s">
        <v>1343</v>
      </c>
      <c r="C4269" s="1053"/>
      <c r="D4269" s="1053"/>
      <c r="E4269" s="1142"/>
      <c r="F4269" s="1142"/>
      <c r="G4269" s="1053"/>
      <c r="H4269" s="1059"/>
      <c r="I4269" s="1144"/>
      <c r="J4269" s="1053"/>
      <c r="K4269" s="1052">
        <f>K4263</f>
        <v>245.44</v>
      </c>
      <c r="L4269" s="1059" t="s">
        <v>721</v>
      </c>
      <c r="T4269" s="716"/>
    </row>
    <row r="4270" spans="1:20" s="714" customFormat="1">
      <c r="A4270" s="1167"/>
      <c r="B4270" s="1055" t="s">
        <v>1347</v>
      </c>
      <c r="C4270" s="1053"/>
      <c r="D4270" s="1053"/>
      <c r="E4270" s="1142"/>
      <c r="F4270" s="1142"/>
      <c r="G4270" s="1053"/>
      <c r="H4270" s="1059"/>
      <c r="I4270" s="1144"/>
      <c r="J4270" s="1053"/>
      <c r="K4270" s="1052">
        <f>K4468</f>
        <v>8.1999999999999993</v>
      </c>
      <c r="L4270" s="1059" t="s">
        <v>721</v>
      </c>
      <c r="T4270" s="716"/>
    </row>
    <row r="4271" spans="1:20" s="714" customFormat="1">
      <c r="A4271" s="1166"/>
      <c r="B4271" s="1053"/>
      <c r="C4271" s="1053"/>
      <c r="D4271" s="1053"/>
      <c r="E4271" s="1142"/>
      <c r="F4271" s="1142"/>
      <c r="G4271" s="1053"/>
      <c r="H4271" s="1059"/>
      <c r="I4271" s="1144"/>
      <c r="J4271" s="1144" t="s">
        <v>718</v>
      </c>
      <c r="K4271" s="1052">
        <f>SUM(K4269:K4270)</f>
        <v>253.64</v>
      </c>
      <c r="L4271" s="1059" t="s">
        <v>721</v>
      </c>
      <c r="T4271" s="716"/>
    </row>
    <row r="4272" spans="1:20" s="714" customFormat="1">
      <c r="A4272" s="1166" t="s">
        <v>291</v>
      </c>
      <c r="B4272" s="1053" t="s">
        <v>612</v>
      </c>
      <c r="C4272" s="1053"/>
      <c r="D4272" s="1053"/>
      <c r="E4272" s="1142"/>
      <c r="F4272" s="1142"/>
      <c r="G4272" s="1053"/>
      <c r="H4272" s="1059"/>
      <c r="I4272" s="1144"/>
      <c r="J4272" s="1053"/>
      <c r="K4272" s="1052"/>
      <c r="L4272" s="1059"/>
      <c r="T4272" s="716"/>
    </row>
    <row r="4273" spans="1:20" s="714" customFormat="1">
      <c r="A4273" s="1168"/>
      <c r="B4273" s="1055" t="s">
        <v>1343</v>
      </c>
      <c r="C4273" s="1053"/>
      <c r="D4273" s="1053"/>
      <c r="E4273" s="1142"/>
      <c r="F4273" s="1142"/>
      <c r="G4273" s="1053"/>
      <c r="H4273" s="1059"/>
      <c r="I4273" s="1144"/>
      <c r="J4273" s="1053"/>
      <c r="K4273" s="1052">
        <f>K4269</f>
        <v>245.44</v>
      </c>
      <c r="L4273" s="1059" t="s">
        <v>721</v>
      </c>
      <c r="T4273" s="716"/>
    </row>
    <row r="4274" spans="1:20" s="714" customFormat="1">
      <c r="A4274" s="967"/>
      <c r="B4274" s="1055" t="s">
        <v>1344</v>
      </c>
      <c r="C4274" s="1053"/>
      <c r="D4274" s="1053"/>
      <c r="E4274" s="1142"/>
      <c r="F4274" s="1142"/>
      <c r="G4274" s="1053"/>
      <c r="H4274" s="1059"/>
      <c r="I4274" s="1144"/>
      <c r="J4274" s="1053"/>
      <c r="K4274" s="1052">
        <f>K4451</f>
        <v>44.706800000000001</v>
      </c>
      <c r="L4274" s="1059" t="s">
        <v>721</v>
      </c>
      <c r="T4274" s="716"/>
    </row>
    <row r="4275" spans="1:20" s="714" customFormat="1">
      <c r="A4275" s="1168"/>
      <c r="B4275" s="1053"/>
      <c r="C4275" s="1053"/>
      <c r="D4275" s="1053"/>
      <c r="E4275" s="1142"/>
      <c r="F4275" s="1142"/>
      <c r="G4275" s="1053"/>
      <c r="H4275" s="1059"/>
      <c r="I4275" s="1144"/>
      <c r="J4275" s="1144" t="s">
        <v>718</v>
      </c>
      <c r="K4275" s="1052">
        <f>SUM(K4273:K4274)</f>
        <v>290.14679999999998</v>
      </c>
      <c r="L4275" s="1059" t="s">
        <v>721</v>
      </c>
      <c r="T4275" s="716"/>
    </row>
    <row r="4276" spans="1:20" s="714" customFormat="1" ht="60" customHeight="1">
      <c r="A4276" s="1138">
        <f>A720</f>
        <v>148</v>
      </c>
      <c r="B4276" s="3400" t="str">
        <f>B720</f>
        <v>Earth work in embankment obtained from borrow pits with carriage by mechanical means as per approved drawing &amp; technical specifications and as per Clause -305 of  MoRT&amp;H specifications for Road &amp; Bridge works (Latest Revision ).</v>
      </c>
      <c r="C4276" s="3400"/>
      <c r="D4276" s="3400"/>
      <c r="E4276" s="1135" t="str">
        <f>G720</f>
        <v>Each Cum</v>
      </c>
      <c r="F4276" s="1135"/>
      <c r="G4276" s="1055"/>
      <c r="H4276" s="1136"/>
      <c r="I4276" s="1137"/>
      <c r="J4276" s="1055"/>
      <c r="K4276" s="1144"/>
      <c r="L4276" s="1059"/>
      <c r="T4276" s="716"/>
    </row>
    <row r="4277" spans="1:20" s="714" customFormat="1">
      <c r="A4277" s="1148"/>
      <c r="B4277" s="1053" t="s">
        <v>1348</v>
      </c>
      <c r="C4277" s="1055"/>
      <c r="D4277" s="1055"/>
      <c r="E4277" s="1139"/>
      <c r="F4277" s="1139"/>
      <c r="G4277" s="1055"/>
      <c r="H4277" s="1136"/>
      <c r="I4277" s="1137"/>
      <c r="J4277" s="1055"/>
      <c r="K4277" s="1055"/>
      <c r="L4277" s="1059"/>
      <c r="T4277" s="716"/>
    </row>
    <row r="4278" spans="1:20" s="714" customFormat="1">
      <c r="A4278" s="1169"/>
      <c r="B4278" s="1053" t="s">
        <v>1349</v>
      </c>
      <c r="C4278" s="1055"/>
      <c r="D4278" s="1055"/>
      <c r="E4278" s="1139"/>
      <c r="F4278" s="1139"/>
      <c r="G4278" s="1055"/>
      <c r="H4278" s="1136"/>
      <c r="I4278" s="1137"/>
      <c r="J4278" s="1055"/>
      <c r="K4278" s="1055"/>
      <c r="L4278" s="1059"/>
      <c r="T4278" s="716"/>
    </row>
    <row r="4279" spans="1:20" s="714" customFormat="1">
      <c r="A4279" s="1169"/>
      <c r="B4279" s="1055" t="s">
        <v>744</v>
      </c>
      <c r="C4279" s="1055"/>
      <c r="D4279" s="1055"/>
      <c r="E4279" s="1139"/>
      <c r="F4279" s="1139"/>
      <c r="G4279" s="1140">
        <v>0.04</v>
      </c>
      <c r="H4279" s="1136" t="s">
        <v>262</v>
      </c>
      <c r="I4279" s="1137" t="s">
        <v>315</v>
      </c>
      <c r="J4279" s="1054">
        <f>L130</f>
        <v>244.3</v>
      </c>
      <c r="K4279" s="1054">
        <f>ROUND(G4279*J4279,2)</f>
        <v>9.77</v>
      </c>
      <c r="L4279" s="1059"/>
      <c r="T4279" s="716"/>
    </row>
    <row r="4280" spans="1:20" s="714" customFormat="1">
      <c r="A4280" s="1169"/>
      <c r="B4280" s="1055" t="s">
        <v>1350</v>
      </c>
      <c r="C4280" s="1055"/>
      <c r="D4280" s="1055"/>
      <c r="E4280" s="1139"/>
      <c r="F4280" s="1139"/>
      <c r="G4280" s="1140">
        <v>1</v>
      </c>
      <c r="H4280" s="1136" t="s">
        <v>262</v>
      </c>
      <c r="I4280" s="1137" t="s">
        <v>315</v>
      </c>
      <c r="J4280" s="1054">
        <f>L129</f>
        <v>182</v>
      </c>
      <c r="K4280" s="1054">
        <f>ROUND(G4280*J4280,2)</f>
        <v>182</v>
      </c>
      <c r="L4280" s="1059"/>
      <c r="T4280" s="716"/>
    </row>
    <row r="4281" spans="1:20" s="714" customFormat="1">
      <c r="A4281" s="1169"/>
      <c r="B4281" s="1055"/>
      <c r="C4281" s="1055"/>
      <c r="D4281" s="1055"/>
      <c r="E4281" s="1139"/>
      <c r="F4281" s="1139"/>
      <c r="G4281" s="1140"/>
      <c r="H4281" s="1136"/>
      <c r="I4281" s="1137"/>
      <c r="J4281" s="1141" t="s">
        <v>718</v>
      </c>
      <c r="K4281" s="1052">
        <f>SUM(K4279:K4280)</f>
        <v>191.77</v>
      </c>
      <c r="L4281" s="1059"/>
      <c r="T4281" s="716"/>
    </row>
    <row r="4282" spans="1:20" s="714" customFormat="1">
      <c r="A4282" s="1169"/>
      <c r="B4282" s="1053" t="s">
        <v>1351</v>
      </c>
      <c r="C4282" s="1055"/>
      <c r="D4282" s="1055"/>
      <c r="E4282" s="1139"/>
      <c r="F4282" s="1139"/>
      <c r="G4282" s="1140"/>
      <c r="H4282" s="1136"/>
      <c r="I4282" s="1137"/>
      <c r="J4282" s="1054"/>
      <c r="K4282" s="1054"/>
      <c r="L4282" s="1059"/>
      <c r="T4282" s="716"/>
    </row>
    <row r="4283" spans="1:20" s="714" customFormat="1">
      <c r="A4283" s="1169"/>
      <c r="B4283" s="1055" t="s">
        <v>1352</v>
      </c>
      <c r="C4283" s="1055"/>
      <c r="D4283" s="1055"/>
      <c r="E4283" s="1139"/>
      <c r="F4283" s="1139"/>
      <c r="G4283" s="1140">
        <v>1.67</v>
      </c>
      <c r="H4283" s="1136" t="s">
        <v>312</v>
      </c>
      <c r="I4283" s="1137" t="s">
        <v>312</v>
      </c>
      <c r="J4283" s="1054">
        <f>G201</f>
        <v>1300.1600000000001</v>
      </c>
      <c r="K4283" s="1054">
        <f>ROUND(G4283*J4283,2)</f>
        <v>2171.27</v>
      </c>
      <c r="L4283" s="1059"/>
      <c r="T4283" s="716"/>
    </row>
    <row r="4284" spans="1:20" s="714" customFormat="1">
      <c r="A4284" s="1169"/>
      <c r="B4284" s="1055" t="s">
        <v>1353</v>
      </c>
      <c r="C4284" s="1055"/>
      <c r="D4284" s="1055"/>
      <c r="E4284" s="1170" t="s">
        <v>1354</v>
      </c>
      <c r="F4284" s="1170"/>
      <c r="G4284" s="1054">
        <f>160*5</f>
        <v>800</v>
      </c>
      <c r="H4284" s="1136" t="s">
        <v>334</v>
      </c>
      <c r="I4284" s="1137" t="s">
        <v>334</v>
      </c>
      <c r="J4284" s="1054">
        <f>G204</f>
        <v>3.86</v>
      </c>
      <c r="K4284" s="1054">
        <f>ROUND(G4284*J4284,2)</f>
        <v>3088</v>
      </c>
      <c r="L4284" s="1059"/>
      <c r="T4284" s="716"/>
    </row>
    <row r="4285" spans="1:20" s="714" customFormat="1">
      <c r="A4285" s="1169"/>
      <c r="B4285" s="1055" t="s">
        <v>1355</v>
      </c>
      <c r="C4285" s="1055"/>
      <c r="D4285" s="1055"/>
      <c r="E4285" s="1139"/>
      <c r="F4285" s="1139"/>
      <c r="G4285" s="1140"/>
      <c r="H4285" s="1136"/>
      <c r="I4285" s="1137"/>
      <c r="J4285" s="1054"/>
      <c r="K4285" s="1054">
        <f>ROUND(K4284*10%,2)</f>
        <v>308.8</v>
      </c>
      <c r="L4285" s="1059"/>
      <c r="T4285" s="716"/>
    </row>
    <row r="4286" spans="1:20" s="714" customFormat="1">
      <c r="A4286" s="1169"/>
      <c r="B4286" s="1055" t="s">
        <v>1356</v>
      </c>
      <c r="C4286" s="1055"/>
      <c r="D4286" s="1055"/>
      <c r="E4286" s="1139"/>
      <c r="F4286" s="1139"/>
      <c r="G4286" s="1140">
        <v>0.5</v>
      </c>
      <c r="H4286" s="1136" t="s">
        <v>312</v>
      </c>
      <c r="I4286" s="1137" t="s">
        <v>312</v>
      </c>
      <c r="J4286" s="1054">
        <f>G199</f>
        <v>2834</v>
      </c>
      <c r="K4286" s="1054">
        <f>ROUND(G4286*J4286,2)</f>
        <v>1417</v>
      </c>
      <c r="L4286" s="1059"/>
      <c r="T4286" s="716"/>
    </row>
    <row r="4287" spans="1:20" s="714" customFormat="1">
      <c r="A4287" s="1169"/>
      <c r="B4287" s="1055" t="s">
        <v>1357</v>
      </c>
      <c r="C4287" s="1055"/>
      <c r="D4287" s="1055"/>
      <c r="E4287" s="1139"/>
      <c r="F4287" s="1139"/>
      <c r="G4287" s="1140">
        <v>1</v>
      </c>
      <c r="H4287" s="1136" t="s">
        <v>312</v>
      </c>
      <c r="I4287" s="1137" t="s">
        <v>312</v>
      </c>
      <c r="J4287" s="1054">
        <f>G200</f>
        <v>2391.39</v>
      </c>
      <c r="K4287" s="1054">
        <f>ROUND(G4287*J4287,2)</f>
        <v>2391.39</v>
      </c>
      <c r="L4287" s="1059"/>
      <c r="T4287" s="716"/>
    </row>
    <row r="4288" spans="1:20" s="714" customFormat="1">
      <c r="A4288" s="1169"/>
      <c r="B4288" s="1055" t="s">
        <v>1358</v>
      </c>
      <c r="C4288" s="1055"/>
      <c r="D4288" s="1055"/>
      <c r="E4288" s="1139"/>
      <c r="F4288" s="1139"/>
      <c r="G4288" s="1140">
        <v>4</v>
      </c>
      <c r="H4288" s="1136" t="s">
        <v>312</v>
      </c>
      <c r="I4288" s="1137" t="s">
        <v>312</v>
      </c>
      <c r="J4288" s="1054">
        <f>G207</f>
        <v>900.84</v>
      </c>
      <c r="K4288" s="1054">
        <f>ROUND(G4288*J4288,2)</f>
        <v>3603.36</v>
      </c>
      <c r="L4288" s="1059"/>
      <c r="T4288" s="716"/>
    </row>
    <row r="4289" spans="1:20" s="714" customFormat="1">
      <c r="A4289" s="1169"/>
      <c r="B4289" s="1055" t="s">
        <v>1359</v>
      </c>
      <c r="C4289" s="1055"/>
      <c r="D4289" s="1055"/>
      <c r="E4289" s="1139"/>
      <c r="F4289" s="1139"/>
      <c r="G4289" s="1140">
        <v>1</v>
      </c>
      <c r="H4289" s="1136" t="s">
        <v>312</v>
      </c>
      <c r="I4289" s="1137" t="s">
        <v>312</v>
      </c>
      <c r="J4289" s="1054">
        <f>G205</f>
        <v>1538.54</v>
      </c>
      <c r="K4289" s="1054">
        <f>ROUND(G4289*J4289,2)</f>
        <v>1538.54</v>
      </c>
      <c r="L4289" s="1059"/>
      <c r="T4289" s="716"/>
    </row>
    <row r="4290" spans="1:20" s="714" customFormat="1">
      <c r="A4290" s="1169"/>
      <c r="B4290" s="1055"/>
      <c r="C4290" s="1055"/>
      <c r="D4290" s="1055"/>
      <c r="E4290" s="1139"/>
      <c r="F4290" s="1139"/>
      <c r="G4290" s="1140"/>
      <c r="H4290" s="1136"/>
      <c r="I4290" s="1137"/>
      <c r="J4290" s="1141" t="s">
        <v>718</v>
      </c>
      <c r="K4290" s="1052">
        <f>SUM(K4283:K4289)</f>
        <v>14518.36</v>
      </c>
      <c r="L4290" s="1059"/>
      <c r="T4290" s="716"/>
    </row>
    <row r="4291" spans="1:20" s="714" customFormat="1">
      <c r="A4291" s="1169"/>
      <c r="B4291" s="1053" t="s">
        <v>1360</v>
      </c>
      <c r="C4291" s="1055"/>
      <c r="D4291" s="1055"/>
      <c r="E4291" s="1139"/>
      <c r="F4291" s="1139"/>
      <c r="G4291" s="1055"/>
      <c r="H4291" s="1136"/>
      <c r="I4291" s="1137"/>
      <c r="J4291" s="1055"/>
      <c r="K4291" s="1054"/>
      <c r="L4291" s="1059"/>
      <c r="T4291" s="716"/>
    </row>
    <row r="4292" spans="1:20" s="714" customFormat="1">
      <c r="A4292" s="1148"/>
      <c r="B4292" s="1055" t="s">
        <v>354</v>
      </c>
      <c r="C4292" s="1055"/>
      <c r="D4292" s="1055"/>
      <c r="E4292" s="1139"/>
      <c r="F4292" s="1139"/>
      <c r="G4292" s="1140">
        <v>24</v>
      </c>
      <c r="H4292" s="1136" t="s">
        <v>355</v>
      </c>
      <c r="I4292" s="1137" t="s">
        <v>355</v>
      </c>
      <c r="J4292" s="1054">
        <f>G216</f>
        <v>10</v>
      </c>
      <c r="K4292" s="1054">
        <f>ROUND(G4292*J4292,2)</f>
        <v>240</v>
      </c>
      <c r="L4292" s="1059"/>
      <c r="T4292" s="716"/>
    </row>
    <row r="4293" spans="1:20" s="714" customFormat="1">
      <c r="A4293" s="1148"/>
      <c r="B4293" s="1055"/>
      <c r="C4293" s="1055"/>
      <c r="D4293" s="1055"/>
      <c r="E4293" s="1139"/>
      <c r="F4293" s="1139"/>
      <c r="G4293" s="1140"/>
      <c r="H4293" s="1136"/>
      <c r="I4293" s="1137"/>
      <c r="J4293" s="1141" t="s">
        <v>718</v>
      </c>
      <c r="K4293" s="1052">
        <f>K4292</f>
        <v>240</v>
      </c>
      <c r="L4293" s="1059"/>
      <c r="T4293" s="716"/>
    </row>
    <row r="4294" spans="1:20" s="714" customFormat="1">
      <c r="A4294" s="1148"/>
      <c r="B4294" s="1055" t="s">
        <v>835</v>
      </c>
      <c r="C4294" s="1055"/>
      <c r="D4294" s="1055"/>
      <c r="E4294" s="1139"/>
      <c r="F4294" s="1139"/>
      <c r="G4294" s="1140"/>
      <c r="H4294" s="1136"/>
      <c r="I4294" s="1137"/>
      <c r="J4294" s="1141"/>
      <c r="K4294" s="1052">
        <f>K4281+K4290+K4293</f>
        <v>14950.130000000001</v>
      </c>
      <c r="L4294" s="1059"/>
      <c r="T4294" s="716"/>
    </row>
    <row r="4295" spans="1:20" s="714" customFormat="1">
      <c r="A4295" s="1148"/>
      <c r="B4295" s="1053"/>
      <c r="C4295" s="1055"/>
      <c r="D4295" s="1055"/>
      <c r="E4295" s="1139"/>
      <c r="F4295" s="1139"/>
      <c r="G4295" s="1055"/>
      <c r="H4295" s="1136"/>
      <c r="I4295" s="1137"/>
      <c r="J4295" s="1055"/>
      <c r="K4295" s="1052"/>
      <c r="L4295" s="1059"/>
      <c r="T4295" s="716"/>
    </row>
    <row r="4296" spans="1:20" s="714" customFormat="1">
      <c r="A4296" s="1148"/>
      <c r="B4296" s="1055" t="s">
        <v>1361</v>
      </c>
      <c r="C4296" s="1055"/>
      <c r="D4296" s="1055"/>
      <c r="E4296" s="1139"/>
      <c r="F4296" s="1139"/>
      <c r="G4296" s="1055"/>
      <c r="H4296" s="1136"/>
      <c r="I4296" s="1137"/>
      <c r="J4296" s="1055"/>
      <c r="K4296" s="1052">
        <f>SUM(K4294:K4295)</f>
        <v>14950.130000000001</v>
      </c>
      <c r="L4296" s="1059"/>
      <c r="T4296" s="716"/>
    </row>
    <row r="4297" spans="1:20" s="714" customFormat="1">
      <c r="A4297" s="1148"/>
      <c r="B4297" s="1055" t="s">
        <v>1362</v>
      </c>
      <c r="C4297" s="1055"/>
      <c r="D4297" s="1055"/>
      <c r="E4297" s="1139"/>
      <c r="F4297" s="1139"/>
      <c r="G4297" s="1055"/>
      <c r="H4297" s="1136"/>
      <c r="I4297" s="1137"/>
      <c r="J4297" s="1055"/>
      <c r="K4297" s="1052">
        <f>K4296/100</f>
        <v>149.50130000000001</v>
      </c>
      <c r="L4297" s="1059"/>
      <c r="T4297" s="716"/>
    </row>
    <row r="4298" spans="1:20" s="714" customFormat="1">
      <c r="A4298" s="1148"/>
      <c r="B4298" s="1055" t="s">
        <v>1363</v>
      </c>
      <c r="C4298" s="1055"/>
      <c r="D4298" s="1055"/>
      <c r="E4298" s="1139"/>
      <c r="F4298" s="1139"/>
      <c r="G4298" s="1055"/>
      <c r="H4298" s="1136"/>
      <c r="I4298" s="1137"/>
      <c r="J4298" s="1055"/>
      <c r="K4298" s="1052">
        <f>J47</f>
        <v>0</v>
      </c>
      <c r="L4298" s="1059"/>
      <c r="T4298" s="716"/>
    </row>
    <row r="4299" spans="1:20" s="714" customFormat="1">
      <c r="A4299" s="1148"/>
      <c r="B4299" s="1055"/>
      <c r="C4299" s="1055"/>
      <c r="D4299" s="1055"/>
      <c r="E4299" s="1139"/>
      <c r="F4299" s="1139"/>
      <c r="G4299" s="1055"/>
      <c r="H4299" s="1136"/>
      <c r="I4299" s="1137"/>
      <c r="J4299" s="1144" t="s">
        <v>718</v>
      </c>
      <c r="K4299" s="1052">
        <f>K4297+K4298</f>
        <v>149.50130000000001</v>
      </c>
      <c r="L4299" s="1059" t="s">
        <v>721</v>
      </c>
      <c r="T4299" s="716"/>
    </row>
    <row r="4300" spans="1:20" s="714" customFormat="1" ht="48.75" customHeight="1">
      <c r="A4300" s="1138">
        <f>A721</f>
        <v>149</v>
      </c>
      <c r="B4300" s="3400" t="str">
        <f>B721</f>
        <v>Earth work in embankment with excavated earth as per approved drawing &amp; technical specifications and as per Clause -305 of  MoRT&amp;H specifications for Road &amp; Bridge works (Latest Revision ).</v>
      </c>
      <c r="C4300" s="3400"/>
      <c r="D4300" s="3400"/>
      <c r="E4300" s="1135" t="str">
        <f>G721</f>
        <v>Each Cum</v>
      </c>
      <c r="F4300" s="1135"/>
      <c r="G4300" s="1055"/>
      <c r="H4300" s="1136"/>
      <c r="I4300" s="1137"/>
      <c r="J4300" s="1055"/>
      <c r="K4300" s="1055"/>
      <c r="L4300" s="1059"/>
      <c r="T4300" s="716"/>
    </row>
    <row r="4301" spans="1:20" s="714" customFormat="1">
      <c r="A4301" s="1138"/>
      <c r="B4301" s="1053" t="s">
        <v>1348</v>
      </c>
      <c r="C4301" s="1171"/>
      <c r="D4301" s="1171"/>
      <c r="E4301" s="1142"/>
      <c r="F4301" s="1142"/>
      <c r="G4301" s="1055"/>
      <c r="H4301" s="1136"/>
      <c r="I4301" s="1137"/>
      <c r="J4301" s="1055"/>
      <c r="K4301" s="1055"/>
      <c r="L4301" s="1059"/>
      <c r="T4301" s="716"/>
    </row>
    <row r="4302" spans="1:20" s="714" customFormat="1">
      <c r="A4302" s="1148"/>
      <c r="B4302" s="1053" t="s">
        <v>826</v>
      </c>
      <c r="C4302" s="1053"/>
      <c r="D4302" s="1055"/>
      <c r="E4302" s="1139"/>
      <c r="F4302" s="1139"/>
      <c r="G4302" s="1055"/>
      <c r="H4302" s="1136"/>
      <c r="I4302" s="1137"/>
      <c r="J4302" s="1055"/>
      <c r="K4302" s="1052"/>
      <c r="L4302" s="1059"/>
      <c r="T4302" s="716"/>
    </row>
    <row r="4303" spans="1:20" s="714" customFormat="1">
      <c r="A4303" s="1148"/>
      <c r="B4303" s="1055" t="s">
        <v>717</v>
      </c>
      <c r="C4303" s="1055"/>
      <c r="D4303" s="1172"/>
      <c r="E4303" s="1172"/>
      <c r="F4303" s="1172"/>
      <c r="G4303" s="1140">
        <v>28.66</v>
      </c>
      <c r="H4303" s="1136" t="s">
        <v>262</v>
      </c>
      <c r="I4303" s="1137" t="s">
        <v>38</v>
      </c>
      <c r="J4303" s="1054">
        <f>J4280</f>
        <v>182</v>
      </c>
      <c r="K4303" s="1054">
        <f>ROUND(G4303*J4303,2)</f>
        <v>5216.12</v>
      </c>
      <c r="L4303" s="1059"/>
      <c r="T4303" s="716"/>
    </row>
    <row r="4304" spans="1:20" s="714" customFormat="1">
      <c r="A4304" s="1148"/>
      <c r="B4304" s="1055"/>
      <c r="C4304" s="1055"/>
      <c r="D4304" s="1172"/>
      <c r="E4304" s="1172"/>
      <c r="F4304" s="1172"/>
      <c r="G4304" s="1140"/>
      <c r="H4304" s="1136"/>
      <c r="I4304" s="1137"/>
      <c r="J4304" s="1141" t="s">
        <v>718</v>
      </c>
      <c r="K4304" s="1052">
        <f>SUM(K4303)</f>
        <v>5216.12</v>
      </c>
      <c r="L4304" s="1059"/>
      <c r="T4304" s="716"/>
    </row>
    <row r="4305" spans="1:20" s="714" customFormat="1">
      <c r="A4305" s="1169"/>
      <c r="B4305" s="1053" t="s">
        <v>1351</v>
      </c>
      <c r="C4305" s="1055"/>
      <c r="D4305" s="1055"/>
      <c r="E4305" s="1139"/>
      <c r="F4305" s="1139"/>
      <c r="G4305" s="1140"/>
      <c r="H4305" s="1136"/>
      <c r="I4305" s="1137"/>
      <c r="J4305" s="1054"/>
      <c r="K4305" s="1054"/>
      <c r="L4305" s="1059"/>
      <c r="T4305" s="716"/>
    </row>
    <row r="4306" spans="1:20" s="714" customFormat="1">
      <c r="A4306" s="1169"/>
      <c r="B4306" s="1055" t="s">
        <v>340</v>
      </c>
      <c r="C4306" s="1055"/>
      <c r="D4306" s="1055"/>
      <c r="E4306" s="1139"/>
      <c r="F4306" s="1139"/>
      <c r="G4306" s="1140">
        <v>4</v>
      </c>
      <c r="H4306" s="1136" t="s">
        <v>312</v>
      </c>
      <c r="I4306" s="1137" t="s">
        <v>312</v>
      </c>
      <c r="J4306" s="1054">
        <f>G207</f>
        <v>900.84</v>
      </c>
      <c r="K4306" s="1054">
        <f>ROUND(G4306*J4306,2)</f>
        <v>3603.36</v>
      </c>
      <c r="L4306" s="1059"/>
      <c r="T4306" s="716"/>
    </row>
    <row r="4307" spans="1:20" s="714" customFormat="1">
      <c r="A4307" s="1169"/>
      <c r="B4307" s="1055" t="s">
        <v>336</v>
      </c>
      <c r="C4307" s="1055"/>
      <c r="D4307" s="1055"/>
      <c r="E4307" s="1139"/>
      <c r="F4307" s="1139"/>
      <c r="G4307" s="1140">
        <v>1</v>
      </c>
      <c r="H4307" s="1136" t="s">
        <v>312</v>
      </c>
      <c r="I4307" s="1137" t="s">
        <v>312</v>
      </c>
      <c r="J4307" s="1054">
        <f>G205</f>
        <v>1538.54</v>
      </c>
      <c r="K4307" s="1054">
        <f>ROUND(G4307*J4307,2)</f>
        <v>1538.54</v>
      </c>
      <c r="L4307" s="1059"/>
      <c r="T4307" s="716"/>
    </row>
    <row r="4308" spans="1:20" s="714" customFormat="1">
      <c r="A4308" s="1169"/>
      <c r="B4308" s="1055"/>
      <c r="C4308" s="1055"/>
      <c r="D4308" s="1055"/>
      <c r="E4308" s="1139"/>
      <c r="F4308" s="1139"/>
      <c r="G4308" s="1140"/>
      <c r="H4308" s="1136"/>
      <c r="I4308" s="1137"/>
      <c r="J4308" s="1141" t="s">
        <v>718</v>
      </c>
      <c r="K4308" s="1052">
        <f>SUM(K4306:K4307)</f>
        <v>5141.8999999999996</v>
      </c>
      <c r="L4308" s="1059"/>
      <c r="T4308" s="716"/>
    </row>
    <row r="4309" spans="1:20" s="714" customFormat="1">
      <c r="A4309" s="1169"/>
      <c r="B4309" s="1053" t="s">
        <v>1360</v>
      </c>
      <c r="C4309" s="1055"/>
      <c r="D4309" s="1055"/>
      <c r="E4309" s="1139"/>
      <c r="F4309" s="1139"/>
      <c r="G4309" s="1055"/>
      <c r="H4309" s="1136"/>
      <c r="I4309" s="1137"/>
      <c r="J4309" s="1055"/>
      <c r="K4309" s="1054"/>
      <c r="L4309" s="1059"/>
      <c r="T4309" s="716"/>
    </row>
    <row r="4310" spans="1:20" s="714" customFormat="1">
      <c r="A4310" s="1148"/>
      <c r="B4310" s="1055" t="s">
        <v>354</v>
      </c>
      <c r="C4310" s="1055"/>
      <c r="D4310" s="1055"/>
      <c r="E4310" s="1139"/>
      <c r="F4310" s="1139"/>
      <c r="G4310" s="1140">
        <v>24</v>
      </c>
      <c r="H4310" s="1136" t="s">
        <v>355</v>
      </c>
      <c r="I4310" s="1137" t="s">
        <v>355</v>
      </c>
      <c r="J4310" s="1054">
        <f>G216</f>
        <v>10</v>
      </c>
      <c r="K4310" s="1054">
        <f>ROUND(G4310*J4310,2)</f>
        <v>240</v>
      </c>
      <c r="L4310" s="1059"/>
      <c r="T4310" s="716"/>
    </row>
    <row r="4311" spans="1:20" s="714" customFormat="1">
      <c r="A4311" s="1148"/>
      <c r="B4311" s="1055"/>
      <c r="C4311" s="1055"/>
      <c r="D4311" s="1055"/>
      <c r="E4311" s="1139"/>
      <c r="F4311" s="1139"/>
      <c r="G4311" s="1140"/>
      <c r="H4311" s="1136"/>
      <c r="I4311" s="1137"/>
      <c r="J4311" s="1141" t="s">
        <v>718</v>
      </c>
      <c r="K4311" s="1052">
        <f>K4310</f>
        <v>240</v>
      </c>
      <c r="L4311" s="1059"/>
      <c r="T4311" s="716"/>
    </row>
    <row r="4312" spans="1:20" s="714" customFormat="1">
      <c r="A4312" s="1148"/>
      <c r="B4312" s="1055" t="s">
        <v>835</v>
      </c>
      <c r="C4312" s="1055"/>
      <c r="D4312" s="1055"/>
      <c r="E4312" s="1139"/>
      <c r="F4312" s="1139"/>
      <c r="G4312" s="1140"/>
      <c r="H4312" s="1136"/>
      <c r="I4312" s="1137"/>
      <c r="J4312" s="1141"/>
      <c r="K4312" s="1052">
        <f>K4304+K4308+K4311</f>
        <v>10598.02</v>
      </c>
      <c r="L4312" s="1059"/>
      <c r="T4312" s="716"/>
    </row>
    <row r="4313" spans="1:20" s="714" customFormat="1">
      <c r="A4313" s="1148"/>
      <c r="B4313" s="1055"/>
      <c r="C4313" s="1055"/>
      <c r="D4313" s="1055"/>
      <c r="E4313" s="1139"/>
      <c r="F4313" s="1139"/>
      <c r="G4313" s="1055"/>
      <c r="H4313" s="1136"/>
      <c r="I4313" s="1137"/>
      <c r="J4313" s="1055"/>
      <c r="K4313" s="1052"/>
      <c r="L4313" s="1059"/>
      <c r="T4313" s="716"/>
    </row>
    <row r="4314" spans="1:20" s="714" customFormat="1">
      <c r="A4314" s="1148"/>
      <c r="B4314" s="1055" t="s">
        <v>1364</v>
      </c>
      <c r="C4314" s="1055"/>
      <c r="D4314" s="1055"/>
      <c r="E4314" s="1139"/>
      <c r="F4314" s="1139"/>
      <c r="G4314" s="1055"/>
      <c r="H4314" s="1136"/>
      <c r="I4314" s="1137"/>
      <c r="J4314" s="1055"/>
      <c r="K4314" s="1052">
        <f>K4312+K4313</f>
        <v>10598.02</v>
      </c>
      <c r="L4314" s="1059"/>
      <c r="T4314" s="716"/>
    </row>
    <row r="4315" spans="1:20" s="714" customFormat="1">
      <c r="A4315" s="1148"/>
      <c r="B4315" s="1055" t="s">
        <v>1365</v>
      </c>
      <c r="C4315" s="1055"/>
      <c r="D4315" s="1055"/>
      <c r="E4315" s="1139"/>
      <c r="F4315" s="1139"/>
      <c r="G4315" s="1055"/>
      <c r="H4315" s="1136"/>
      <c r="I4315" s="1137"/>
      <c r="J4315" s="1055"/>
      <c r="K4315" s="1052">
        <f>K4314/100</f>
        <v>105.98020000000001</v>
      </c>
      <c r="L4315" s="1059" t="s">
        <v>721</v>
      </c>
      <c r="T4315" s="716"/>
    </row>
    <row r="4316" spans="1:20" s="714" customFormat="1" ht="180.75" customHeight="1">
      <c r="A4316" s="1138">
        <f>A722</f>
        <v>150</v>
      </c>
      <c r="B4316" s="3400" t="str">
        <f>B722</f>
        <v>Excavation of any approved type of soil in approved borrow area by mechanical means loading into and transportation by mechanical means and unloading the soil within initial lead of 1km on properly prepared and scientifically approved surface including spreading and levelling the earth in 22.5 cm layers to make ready for watering and compaction with sheep foot rollers and dozers but excluding watering and compaction in dams and dykes for all heights including construction, maintenance, watering and lighting of haul road and borrow area etc. complete as per the direction of Engineer-incharge.(measurement of the fill to be taken on the finished compacted section under OMC condition.)</v>
      </c>
      <c r="C4316" s="3400"/>
      <c r="D4316" s="3400"/>
      <c r="E4316" s="1135" t="str">
        <f>G737</f>
        <v>Each Cum</v>
      </c>
      <c r="F4316" s="1135"/>
      <c r="G4316" s="1055"/>
      <c r="H4316" s="1136"/>
      <c r="I4316" s="1137"/>
      <c r="J4316" s="1055"/>
      <c r="K4316" s="1055"/>
      <c r="L4316" s="1059"/>
      <c r="T4316" s="716"/>
    </row>
    <row r="4317" spans="1:20" s="714" customFormat="1">
      <c r="A4317" s="1138"/>
      <c r="B4317" s="1053" t="s">
        <v>1366</v>
      </c>
      <c r="C4317" s="1171"/>
      <c r="D4317" s="1171"/>
      <c r="E4317" s="1142"/>
      <c r="F4317" s="1142"/>
      <c r="G4317" s="1055"/>
      <c r="H4317" s="1136"/>
      <c r="I4317" s="1137"/>
      <c r="J4317" s="1055"/>
      <c r="K4317" s="1055"/>
      <c r="L4317" s="1059"/>
      <c r="T4317" s="716"/>
    </row>
    <row r="4318" spans="1:20" s="714" customFormat="1">
      <c r="A4318" s="1148"/>
      <c r="B4318" s="1053" t="s">
        <v>1367</v>
      </c>
      <c r="C4318" s="1053"/>
      <c r="D4318" s="1055"/>
      <c r="E4318" s="1139"/>
      <c r="F4318" s="1139"/>
      <c r="G4318" s="1055"/>
      <c r="H4318" s="1136"/>
      <c r="I4318" s="1137"/>
      <c r="J4318" s="1055"/>
      <c r="K4318" s="1052"/>
      <c r="L4318" s="1059"/>
      <c r="T4318" s="716"/>
    </row>
    <row r="4319" spans="1:20" s="714" customFormat="1">
      <c r="A4319" s="1148"/>
      <c r="B4319" s="1055" t="s">
        <v>1368</v>
      </c>
      <c r="C4319" s="1055"/>
      <c r="D4319" s="1172"/>
      <c r="E4319" s="1172"/>
      <c r="F4319" s="1172"/>
      <c r="G4319" s="1140"/>
      <c r="H4319" s="1136"/>
      <c r="I4319" s="1137"/>
      <c r="J4319" s="1054"/>
      <c r="K4319" s="1054"/>
      <c r="L4319" s="1059"/>
      <c r="T4319" s="716"/>
    </row>
    <row r="4320" spans="1:20" s="714" customFormat="1">
      <c r="A4320" s="1148"/>
      <c r="B4320" s="1055" t="s">
        <v>1369</v>
      </c>
      <c r="C4320" s="1055"/>
      <c r="D4320" s="1163" t="s">
        <v>1039</v>
      </c>
      <c r="G4320" s="1140"/>
      <c r="H4320" s="1136"/>
      <c r="I4320" s="1137">
        <v>0.91</v>
      </c>
      <c r="J4320" s="1054" t="s">
        <v>49</v>
      </c>
      <c r="K4320" s="1054"/>
      <c r="L4320" s="1059"/>
      <c r="T4320" s="716"/>
    </row>
    <row r="4321" spans="1:20" s="714" customFormat="1">
      <c r="A4321" s="1148"/>
      <c r="B4321" s="1055" t="s">
        <v>1370</v>
      </c>
      <c r="C4321" s="1055"/>
      <c r="D4321" s="1163" t="s">
        <v>1039</v>
      </c>
      <c r="G4321" s="1140"/>
      <c r="H4321" s="1136"/>
      <c r="I4321" s="1137">
        <v>16</v>
      </c>
      <c r="J4321" s="1054" t="s">
        <v>1371</v>
      </c>
      <c r="K4321" s="1054"/>
      <c r="L4321" s="1059"/>
      <c r="T4321" s="716"/>
    </row>
    <row r="4322" spans="1:20" s="714" customFormat="1">
      <c r="A4322" s="1148"/>
      <c r="B4322" s="1055" t="s">
        <v>1372</v>
      </c>
      <c r="C4322" s="1055"/>
      <c r="D4322" s="1163" t="s">
        <v>1039</v>
      </c>
      <c r="G4322" s="1140"/>
      <c r="H4322" s="1136"/>
      <c r="I4322" s="1162">
        <v>0.9</v>
      </c>
      <c r="J4322" s="1054"/>
      <c r="K4322" s="1054"/>
      <c r="L4322" s="1059"/>
      <c r="T4322" s="716"/>
    </row>
    <row r="4323" spans="1:20" s="714" customFormat="1">
      <c r="A4323" s="1148"/>
      <c r="B4323" s="1055" t="s">
        <v>1373</v>
      </c>
      <c r="C4323" s="1055"/>
      <c r="D4323" s="1163" t="s">
        <v>1039</v>
      </c>
      <c r="E4323" s="1172"/>
      <c r="F4323" s="1172"/>
      <c r="G4323" s="1140"/>
      <c r="H4323" s="1136"/>
      <c r="I4323" s="1173">
        <v>0.83</v>
      </c>
      <c r="J4323" s="1054"/>
      <c r="K4323" s="1054"/>
      <c r="L4323" s="1059"/>
      <c r="T4323" s="716"/>
    </row>
    <row r="4324" spans="1:20" s="714" customFormat="1">
      <c r="A4324" s="1148"/>
      <c r="B4324" s="1055" t="s">
        <v>1374</v>
      </c>
      <c r="C4324" s="1055"/>
      <c r="D4324" s="1172"/>
      <c r="E4324" s="1172"/>
      <c r="F4324" s="1172"/>
      <c r="G4324" s="1140"/>
      <c r="H4324" s="1136"/>
      <c r="I4324" s="1137">
        <v>50</v>
      </c>
      <c r="J4324" s="1054" t="s">
        <v>1375</v>
      </c>
      <c r="K4324" s="1054"/>
      <c r="L4324" s="1059"/>
      <c r="T4324" s="716"/>
    </row>
    <row r="4325" spans="1:20" s="714" customFormat="1">
      <c r="A4325" s="1148"/>
      <c r="B4325" s="1055" t="s">
        <v>1376</v>
      </c>
      <c r="C4325" s="1055"/>
      <c r="D4325" s="1172"/>
      <c r="E4325" s="1055"/>
      <c r="F4325" s="1055"/>
      <c r="H4325" s="1136"/>
      <c r="I4325" s="1137">
        <f>ROUND(I4324*60*I4320*I4322*I4323/I4321,2)</f>
        <v>127.46</v>
      </c>
      <c r="J4325" s="1054" t="s">
        <v>49</v>
      </c>
      <c r="K4325" s="1054"/>
      <c r="L4325" s="1059"/>
      <c r="T4325" s="716"/>
    </row>
    <row r="4326" spans="1:20" s="714" customFormat="1">
      <c r="A4326" s="1148"/>
      <c r="B4326" s="1055" t="s">
        <v>1377</v>
      </c>
      <c r="C4326" s="1055"/>
      <c r="D4326" s="1172"/>
      <c r="E4326" s="1172"/>
      <c r="F4326" s="1172"/>
      <c r="G4326" s="1140"/>
      <c r="H4326" s="1136"/>
      <c r="I4326" s="1137">
        <v>1717.64</v>
      </c>
      <c r="J4326" s="1054"/>
      <c r="K4326" s="1054"/>
      <c r="L4326" s="1059"/>
      <c r="T4326" s="716"/>
    </row>
    <row r="4327" spans="1:20" s="714" customFormat="1">
      <c r="A4327" s="1148"/>
      <c r="B4327" s="1055" t="s">
        <v>1378</v>
      </c>
      <c r="C4327" s="1055"/>
      <c r="D4327" s="1172"/>
      <c r="E4327" s="1172"/>
      <c r="F4327" s="1172"/>
      <c r="G4327" s="1140"/>
      <c r="H4327" s="1136"/>
      <c r="J4327" s="1054"/>
      <c r="K4327" s="1170">
        <f>ROUND(I4326/I4325,2)</f>
        <v>13.48</v>
      </c>
      <c r="L4327" s="1059" t="s">
        <v>721</v>
      </c>
      <c r="T4327" s="716"/>
    </row>
    <row r="4328" spans="1:20" s="714" customFormat="1">
      <c r="A4328" s="1148"/>
      <c r="B4328" s="1055"/>
      <c r="C4328" s="1055"/>
      <c r="D4328" s="1172"/>
      <c r="E4328" s="1172"/>
      <c r="F4328" s="1172"/>
      <c r="G4328" s="1140"/>
      <c r="H4328" s="1136"/>
      <c r="I4328" s="1137"/>
      <c r="J4328" s="1054"/>
      <c r="K4328" s="1149"/>
      <c r="L4328" s="1059"/>
      <c r="T4328" s="716"/>
    </row>
    <row r="4329" spans="1:20" s="714" customFormat="1">
      <c r="A4329" s="1148"/>
      <c r="B4329" s="1055" t="s">
        <v>3370</v>
      </c>
      <c r="C4329" s="1055"/>
      <c r="D4329" s="1172"/>
      <c r="E4329" s="1172"/>
      <c r="F4329" s="1172"/>
      <c r="G4329" s="1140"/>
      <c r="H4329" s="1136"/>
      <c r="I4329" s="1137"/>
      <c r="J4329" s="1054"/>
      <c r="K4329" s="1149"/>
      <c r="L4329" s="1059"/>
      <c r="T4329" s="716"/>
    </row>
    <row r="4330" spans="1:20" s="714" customFormat="1">
      <c r="A4330" s="1148"/>
      <c r="B4330" s="1055" t="s">
        <v>1379</v>
      </c>
      <c r="C4330" s="1055"/>
      <c r="D4330" s="1172"/>
      <c r="E4330" s="1172"/>
      <c r="F4330" s="1172"/>
      <c r="G4330" s="1140"/>
      <c r="H4330" s="1136"/>
      <c r="I4330" s="1162">
        <v>5.7</v>
      </c>
      <c r="J4330" s="1054" t="s">
        <v>49</v>
      </c>
      <c r="K4330" s="1149"/>
      <c r="L4330" s="1059"/>
      <c r="T4330" s="716"/>
    </row>
    <row r="4331" spans="1:20" s="714" customFormat="1">
      <c r="A4331" s="1148"/>
      <c r="B4331" s="1055" t="s">
        <v>1380</v>
      </c>
      <c r="C4331" s="1055"/>
      <c r="D4331" s="1172"/>
      <c r="E4331" s="1172"/>
      <c r="F4331" s="1172"/>
      <c r="G4331" s="1140"/>
      <c r="H4331" s="1136"/>
      <c r="I4331" s="1137">
        <v>4.5599999999999996</v>
      </c>
      <c r="J4331" s="1054" t="s">
        <v>49</v>
      </c>
      <c r="K4331" s="1149"/>
      <c r="L4331" s="1059"/>
      <c r="T4331" s="716"/>
    </row>
    <row r="4332" spans="1:20" s="714" customFormat="1">
      <c r="A4332" s="1148"/>
      <c r="B4332" s="1055" t="s">
        <v>1381</v>
      </c>
      <c r="C4332" s="1055"/>
      <c r="D4332" s="1172"/>
      <c r="E4332" s="1172"/>
      <c r="F4332" s="1172"/>
      <c r="G4332" s="1140"/>
      <c r="H4332" s="1136"/>
      <c r="I4332" s="1162">
        <v>1</v>
      </c>
      <c r="J4332" s="1054" t="s">
        <v>1382</v>
      </c>
      <c r="K4332" s="1149"/>
      <c r="L4332" s="1059"/>
      <c r="T4332" s="716"/>
    </row>
    <row r="4333" spans="1:20" s="714" customFormat="1">
      <c r="A4333" s="1148"/>
      <c r="B4333" s="1055" t="s">
        <v>1383</v>
      </c>
      <c r="C4333" s="1055"/>
      <c r="D4333" s="1172"/>
      <c r="E4333" s="1172"/>
      <c r="F4333" s="1172"/>
      <c r="G4333" s="1140"/>
      <c r="H4333" s="1149">
        <v>2.15</v>
      </c>
      <c r="I4333" s="1054" t="s">
        <v>1384</v>
      </c>
      <c r="K4333" s="1149"/>
      <c r="L4333" s="1059"/>
      <c r="T4333" s="716"/>
    </row>
    <row r="4334" spans="1:20" s="714" customFormat="1">
      <c r="A4334" s="1148"/>
      <c r="B4334" s="1055" t="s">
        <v>1385</v>
      </c>
      <c r="C4334" s="1055"/>
      <c r="D4334" s="1172"/>
      <c r="E4334" s="1172"/>
      <c r="F4334" s="1172"/>
      <c r="G4334" s="1140"/>
      <c r="H4334" s="1149">
        <v>2.4</v>
      </c>
      <c r="I4334" s="1054" t="s">
        <v>1384</v>
      </c>
      <c r="J4334" s="1054"/>
      <c r="K4334" s="1149"/>
      <c r="L4334" s="1059"/>
      <c r="T4334" s="716"/>
    </row>
    <row r="4335" spans="1:20" s="714" customFormat="1">
      <c r="A4335" s="1148"/>
      <c r="B4335" s="1055" t="s">
        <v>1386</v>
      </c>
      <c r="C4335" s="1055"/>
      <c r="D4335" s="1172"/>
      <c r="E4335" s="1172"/>
      <c r="F4335" s="1172"/>
      <c r="G4335" s="1140"/>
      <c r="H4335" s="1149">
        <v>2.4</v>
      </c>
      <c r="I4335" s="1054" t="s">
        <v>1384</v>
      </c>
      <c r="J4335" s="1054"/>
      <c r="K4335" s="1149"/>
      <c r="L4335" s="1059"/>
      <c r="T4335" s="716"/>
    </row>
    <row r="4336" spans="1:20" s="714" customFormat="1">
      <c r="A4336" s="1148"/>
      <c r="B4336" s="1055" t="s">
        <v>1387</v>
      </c>
      <c r="C4336" s="1055"/>
      <c r="D4336" s="1172"/>
      <c r="E4336" s="1172"/>
      <c r="F4336" s="1172"/>
      <c r="G4336" s="1140"/>
      <c r="H4336" s="1174">
        <v>1.4</v>
      </c>
      <c r="I4336" s="1054" t="s">
        <v>1384</v>
      </c>
      <c r="J4336" s="1054"/>
      <c r="K4336" s="1149"/>
      <c r="L4336" s="1059"/>
      <c r="T4336" s="716"/>
    </row>
    <row r="4337" spans="1:20" s="714" customFormat="1">
      <c r="A4337" s="1148"/>
      <c r="B4337" s="1055" t="s">
        <v>1388</v>
      </c>
      <c r="C4337" s="1055"/>
      <c r="D4337" s="1172"/>
      <c r="E4337" s="1172"/>
      <c r="F4337" s="1172"/>
      <c r="G4337" s="1140"/>
      <c r="H4337" s="1149">
        <f>SUM(H4333:H4336)</f>
        <v>8.35</v>
      </c>
      <c r="I4337" s="1054" t="s">
        <v>1384</v>
      </c>
      <c r="J4337" s="1054"/>
      <c r="K4337" s="1149"/>
      <c r="L4337" s="1059"/>
      <c r="T4337" s="716"/>
    </row>
    <row r="4338" spans="1:20" s="714" customFormat="1">
      <c r="A4338" s="1148"/>
      <c r="B4338" s="1055" t="s">
        <v>1389</v>
      </c>
      <c r="C4338" s="1055"/>
      <c r="D4338" s="1172"/>
      <c r="E4338" s="1172"/>
      <c r="F4338" s="1172"/>
      <c r="G4338" s="1140"/>
      <c r="H4338" s="1149">
        <v>8</v>
      </c>
      <c r="I4338" s="1054" t="s">
        <v>1384</v>
      </c>
      <c r="J4338" s="1054"/>
      <c r="K4338" s="1149"/>
      <c r="L4338" s="1059"/>
      <c r="T4338" s="716"/>
    </row>
    <row r="4339" spans="1:20" s="714" customFormat="1">
      <c r="A4339" s="1148"/>
      <c r="B4339" s="1055" t="s">
        <v>1390</v>
      </c>
      <c r="C4339" s="1055"/>
      <c r="D4339" s="1172"/>
      <c r="E4339" s="1172"/>
      <c r="F4339" s="1172"/>
      <c r="G4339" s="1140"/>
      <c r="H4339" s="1136"/>
      <c r="I4339" s="1162">
        <v>28.5</v>
      </c>
      <c r="J4339" s="1054" t="s">
        <v>49</v>
      </c>
      <c r="K4339" s="1149"/>
      <c r="L4339" s="1059"/>
      <c r="T4339" s="716"/>
    </row>
    <row r="4340" spans="1:20" s="714" customFormat="1">
      <c r="A4340" s="1148"/>
      <c r="B4340" s="1055" t="s">
        <v>1391</v>
      </c>
      <c r="C4340" s="1055"/>
      <c r="D4340" s="1172"/>
      <c r="E4340" s="1172"/>
      <c r="F4340" s="1172"/>
      <c r="G4340" s="1140"/>
      <c r="H4340" s="1136"/>
      <c r="I4340" s="1137">
        <v>498.31</v>
      </c>
      <c r="J4340" s="1054"/>
      <c r="K4340" s="1149"/>
      <c r="L4340" s="1059"/>
      <c r="T4340" s="716"/>
    </row>
    <row r="4341" spans="1:20" s="714" customFormat="1">
      <c r="A4341" s="1148"/>
      <c r="B4341" s="1055" t="s">
        <v>1392</v>
      </c>
      <c r="C4341" s="1055"/>
      <c r="D4341" s="1172"/>
      <c r="E4341" s="1172"/>
      <c r="F4341" s="1172"/>
      <c r="G4341" s="1140"/>
      <c r="H4341" s="1136"/>
      <c r="I4341" s="1162">
        <v>9</v>
      </c>
      <c r="J4341" s="1054"/>
      <c r="K4341" s="1149"/>
      <c r="L4341" s="1059"/>
      <c r="T4341" s="716"/>
    </row>
    <row r="4342" spans="1:20" s="714" customFormat="1">
      <c r="A4342" s="1148"/>
      <c r="B4342" s="1055" t="s">
        <v>1393</v>
      </c>
      <c r="C4342" s="1055"/>
      <c r="D4342" s="1172"/>
      <c r="E4342" s="1172"/>
      <c r="F4342" s="1172"/>
      <c r="G4342" s="1140"/>
      <c r="H4342" s="1136"/>
      <c r="I4342" s="1137">
        <f>SUM(I4340:I4341)</f>
        <v>507.31</v>
      </c>
      <c r="J4342" s="1054"/>
      <c r="K4342" s="1149"/>
      <c r="L4342" s="1059"/>
      <c r="T4342" s="716"/>
    </row>
    <row r="4343" spans="1:20" s="714" customFormat="1">
      <c r="A4343" s="1148"/>
      <c r="B4343" s="1055" t="s">
        <v>1394</v>
      </c>
      <c r="C4343" s="1055"/>
      <c r="D4343" s="1172"/>
      <c r="E4343" s="1172"/>
      <c r="F4343" s="1172"/>
      <c r="G4343" s="1140"/>
      <c r="H4343" s="1136"/>
      <c r="J4343" s="1054"/>
      <c r="K4343" s="1149">
        <v>17.8</v>
      </c>
      <c r="L4343" s="1059"/>
      <c r="T4343" s="716"/>
    </row>
    <row r="4344" spans="1:20" s="714" customFormat="1">
      <c r="A4344" s="1148"/>
      <c r="B4344" s="1055" t="s">
        <v>1395</v>
      </c>
      <c r="C4344" s="1055"/>
      <c r="D4344" s="1172"/>
      <c r="E4344" s="1172"/>
      <c r="F4344" s="1172"/>
      <c r="G4344" s="1140"/>
      <c r="H4344" s="1136"/>
      <c r="J4344" s="1054"/>
      <c r="K4344" s="1149">
        <v>1.5</v>
      </c>
      <c r="L4344" s="1059"/>
      <c r="T4344" s="716"/>
    </row>
    <row r="4345" spans="1:20" s="714" customFormat="1">
      <c r="A4345" s="1148"/>
      <c r="B4345" s="1055" t="s">
        <v>1396</v>
      </c>
      <c r="C4345" s="1055"/>
      <c r="D4345" s="1172"/>
      <c r="E4345" s="1172"/>
      <c r="F4345" s="1172"/>
      <c r="G4345" s="1140"/>
      <c r="H4345" s="1136"/>
      <c r="J4345" s="1054"/>
      <c r="K4345" s="1174">
        <v>4</v>
      </c>
      <c r="L4345" s="1059"/>
      <c r="T4345" s="716"/>
    </row>
    <row r="4346" spans="1:20" s="714" customFormat="1">
      <c r="A4346" s="1148"/>
      <c r="B4346" s="1055" t="s">
        <v>1397</v>
      </c>
      <c r="C4346" s="1055"/>
      <c r="D4346" s="1172"/>
      <c r="E4346" s="1172"/>
      <c r="F4346" s="1172"/>
      <c r="G4346" s="1140"/>
      <c r="H4346" s="1136"/>
      <c r="I4346" s="1162"/>
      <c r="J4346" s="1141"/>
      <c r="K4346" s="1052">
        <f>SUM(K4327:K4345)</f>
        <v>36.78</v>
      </c>
      <c r="L4346" s="1059"/>
      <c r="T4346" s="716"/>
    </row>
    <row r="4347" spans="1:20" s="714" customFormat="1">
      <c r="A4347" s="1169"/>
      <c r="B4347" s="1053" t="s">
        <v>1398</v>
      </c>
      <c r="C4347" s="1055"/>
      <c r="D4347" s="1055"/>
      <c r="E4347" s="1139"/>
      <c r="F4347" s="1139"/>
      <c r="G4347" s="1140"/>
      <c r="H4347" s="1136"/>
      <c r="I4347" s="1137"/>
      <c r="J4347" s="1054"/>
      <c r="K4347" s="1175">
        <f>ROUND(K4346*10%,2)</f>
        <v>3.68</v>
      </c>
      <c r="L4347" s="1059"/>
      <c r="T4347" s="716"/>
    </row>
    <row r="4348" spans="1:20" s="714" customFormat="1">
      <c r="A4348" s="1169"/>
      <c r="B4348" s="1055" t="s">
        <v>1399</v>
      </c>
      <c r="C4348" s="1055"/>
      <c r="D4348" s="1055"/>
      <c r="E4348" s="1139"/>
      <c r="F4348" s="1139"/>
      <c r="G4348" s="1140">
        <v>1</v>
      </c>
      <c r="H4348" s="1136" t="s">
        <v>312</v>
      </c>
      <c r="I4348" s="1162"/>
      <c r="J4348" s="1054"/>
      <c r="K4348" s="1054">
        <f>SUM(K4346:K4347)</f>
        <v>40.46</v>
      </c>
      <c r="L4348" s="1059"/>
      <c r="T4348" s="716"/>
    </row>
    <row r="4349" spans="1:20" s="714" customFormat="1">
      <c r="A4349" s="1169"/>
      <c r="B4349" s="1055" t="s">
        <v>1400</v>
      </c>
      <c r="C4349" s="1055"/>
      <c r="D4349" s="1055"/>
      <c r="E4349" s="1139"/>
      <c r="F4349" s="1139"/>
      <c r="G4349" s="1140"/>
      <c r="H4349" s="1136"/>
      <c r="I4349" s="1137"/>
      <c r="J4349" s="1141"/>
      <c r="K4349" s="1052"/>
      <c r="L4349" s="1059"/>
      <c r="T4349" s="716"/>
    </row>
    <row r="4350" spans="1:20" s="714" customFormat="1">
      <c r="A4350" s="1169"/>
      <c r="B4350" s="1053" t="s">
        <v>1401</v>
      </c>
      <c r="C4350" s="1055"/>
      <c r="D4350" s="1055"/>
      <c r="E4350" s="1139"/>
      <c r="F4350" s="1139"/>
      <c r="G4350" s="1055"/>
      <c r="H4350" s="1136"/>
      <c r="I4350" s="1137"/>
      <c r="J4350" s="1055"/>
      <c r="K4350" s="1054"/>
      <c r="L4350" s="1059"/>
      <c r="T4350" s="716"/>
    </row>
    <row r="4351" spans="1:20" s="714" customFormat="1">
      <c r="A4351" s="1148"/>
      <c r="B4351" s="1055" t="s">
        <v>1402</v>
      </c>
      <c r="C4351" s="1055"/>
      <c r="D4351" s="1055"/>
      <c r="E4351" s="1139"/>
      <c r="F4351" s="1139"/>
      <c r="G4351" s="1140">
        <v>24</v>
      </c>
      <c r="H4351" s="1136" t="s">
        <v>355</v>
      </c>
      <c r="I4351" s="1137"/>
      <c r="J4351" s="1054"/>
      <c r="K4351" s="1054"/>
      <c r="L4351" s="1059"/>
      <c r="T4351" s="716"/>
    </row>
    <row r="4352" spans="1:20" s="714" customFormat="1">
      <c r="A4352" s="1148"/>
      <c r="B4352" s="1055" t="s">
        <v>1403</v>
      </c>
      <c r="C4352" s="1055"/>
      <c r="D4352" s="1055"/>
      <c r="E4352" s="1139"/>
      <c r="F4352" s="1139"/>
      <c r="G4352" s="1140"/>
      <c r="H4352" s="1136"/>
      <c r="J4352" s="1141"/>
      <c r="K4352" s="1137">
        <v>48.55</v>
      </c>
      <c r="L4352" s="1059"/>
      <c r="T4352" s="716"/>
    </row>
    <row r="4353" spans="1:20" s="714" customFormat="1">
      <c r="A4353" s="1148"/>
      <c r="B4353" s="1055" t="s">
        <v>1404</v>
      </c>
      <c r="C4353" s="1055"/>
      <c r="D4353" s="1055"/>
      <c r="E4353" s="1139"/>
      <c r="F4353" s="1139"/>
      <c r="G4353" s="1140"/>
      <c r="H4353" s="1136"/>
      <c r="J4353" s="1141"/>
      <c r="K4353" s="1162">
        <v>48.6</v>
      </c>
      <c r="L4353" s="1059" t="s">
        <v>721</v>
      </c>
      <c r="T4353" s="716"/>
    </row>
    <row r="4354" spans="1:20" s="714" customFormat="1" ht="50.25" customHeight="1">
      <c r="A4354" s="1176">
        <f>A723</f>
        <v>151</v>
      </c>
      <c r="B4354" s="3400" t="str">
        <f>B723</f>
        <v xml:space="preserve">Collecting supplying and stacking good laterite moorum from approved quarry of approved quality on road side in box heaps of size 1.50 x1.50x0.44  measured as 1cum </v>
      </c>
      <c r="C4354" s="3400"/>
      <c r="D4354" s="3400"/>
      <c r="E4354" s="1135" t="str">
        <f>G723</f>
        <v>Each Cum</v>
      </c>
      <c r="F4354" s="1135"/>
      <c r="G4354" s="1055"/>
      <c r="H4354" s="1136"/>
      <c r="I4354" s="1137"/>
      <c r="J4354" s="1055"/>
      <c r="K4354" s="1055"/>
      <c r="L4354" s="1059"/>
      <c r="T4354" s="716"/>
    </row>
    <row r="4355" spans="1:20" s="714" customFormat="1" ht="15" customHeight="1">
      <c r="A4355" s="1176"/>
      <c r="B4355" s="1145" t="s">
        <v>1335</v>
      </c>
      <c r="C4355" s="1146"/>
      <c r="D4355" s="1146"/>
      <c r="E4355" s="1135"/>
      <c r="F4355" s="1135"/>
      <c r="G4355" s="1055"/>
      <c r="H4355" s="1136"/>
      <c r="I4355" s="1137"/>
      <c r="J4355" s="1055"/>
      <c r="K4355" s="1055"/>
      <c r="L4355" s="1059"/>
      <c r="T4355" s="716"/>
    </row>
    <row r="4356" spans="1:20" s="714" customFormat="1">
      <c r="A4356" s="1148"/>
      <c r="B4356" s="1055" t="s">
        <v>1405</v>
      </c>
      <c r="C4356" s="1055"/>
      <c r="D4356" s="1055"/>
      <c r="E4356" s="1139"/>
      <c r="F4356" s="1139"/>
      <c r="G4356" s="1054">
        <v>1.28</v>
      </c>
      <c r="H4356" s="1136" t="s">
        <v>49</v>
      </c>
      <c r="I4356" s="1137" t="s">
        <v>49</v>
      </c>
      <c r="J4356" s="1054">
        <f>G46</f>
        <v>69.17</v>
      </c>
      <c r="K4356" s="1054">
        <f>ROUND(G4356*J4356,2)</f>
        <v>88.54</v>
      </c>
      <c r="L4356" s="1059"/>
      <c r="T4356" s="716"/>
    </row>
    <row r="4357" spans="1:20" s="714" customFormat="1">
      <c r="A4357" s="1148"/>
      <c r="B4357" s="1055" t="s">
        <v>1406</v>
      </c>
      <c r="C4357" s="1055"/>
      <c r="D4357" s="1055"/>
      <c r="E4357" s="1139"/>
      <c r="F4357" s="1139"/>
      <c r="G4357" s="1054">
        <f>G4356</f>
        <v>1.28</v>
      </c>
      <c r="H4357" s="1136" t="s">
        <v>49</v>
      </c>
      <c r="I4357" s="1137" t="s">
        <v>49</v>
      </c>
      <c r="J4357" s="1054">
        <f>I46</f>
        <v>276.01</v>
      </c>
      <c r="K4357" s="1054">
        <f>ROUND(G4357*J4357,2)</f>
        <v>353.29</v>
      </c>
      <c r="L4357" s="1059"/>
      <c r="T4357" s="716"/>
    </row>
    <row r="4358" spans="1:20" s="714" customFormat="1">
      <c r="A4358" s="1148"/>
      <c r="B4358" s="1055" t="s">
        <v>1407</v>
      </c>
      <c r="C4358" s="1055"/>
      <c r="D4358" s="1055"/>
      <c r="E4358" s="1139"/>
      <c r="F4358" s="1139"/>
      <c r="G4358" s="1149">
        <f>G4357</f>
        <v>1.28</v>
      </c>
      <c r="H4358" s="1136" t="s">
        <v>49</v>
      </c>
      <c r="I4358" s="1137" t="s">
        <v>49</v>
      </c>
      <c r="J4358" s="1149">
        <f>J46</f>
        <v>0</v>
      </c>
      <c r="K4358" s="1054">
        <f>ROUND(G4358*J4358,2)</f>
        <v>0</v>
      </c>
      <c r="L4358" s="1059"/>
      <c r="T4358" s="716"/>
    </row>
    <row r="4359" spans="1:20" s="714" customFormat="1">
      <c r="A4359" s="1148"/>
      <c r="B4359" s="1055"/>
      <c r="C4359" s="1055"/>
      <c r="D4359" s="1055"/>
      <c r="E4359" s="1139"/>
      <c r="F4359" s="1139"/>
      <c r="G4359" s="1140"/>
      <c r="H4359" s="1136"/>
      <c r="I4359" s="1137"/>
      <c r="J4359" s="1144" t="s">
        <v>718</v>
      </c>
      <c r="K4359" s="1054">
        <f>SUM(K4356:K4358)</f>
        <v>441.83000000000004</v>
      </c>
      <c r="L4359" s="1059"/>
      <c r="T4359" s="716"/>
    </row>
    <row r="4360" spans="1:20" s="716" customFormat="1">
      <c r="A4360" s="1151"/>
      <c r="B4360" s="1053" t="s">
        <v>1310</v>
      </c>
      <c r="C4360" s="1053"/>
      <c r="D4360" s="1053"/>
      <c r="E4360" s="1142"/>
      <c r="F4360" s="1142"/>
      <c r="G4360" s="1053"/>
      <c r="H4360" s="1059"/>
      <c r="I4360" s="1144"/>
      <c r="J4360" s="1053"/>
      <c r="K4360" s="1052">
        <f>K4359</f>
        <v>441.83000000000004</v>
      </c>
      <c r="L4360" s="1059" t="s">
        <v>721</v>
      </c>
      <c r="M4360" s="714"/>
    </row>
    <row r="4361" spans="1:20" s="714" customFormat="1" ht="40.5" customHeight="1">
      <c r="A4361" s="1176">
        <f>A724</f>
        <v>152</v>
      </c>
      <c r="B4361" s="3400" t="str">
        <f>B724</f>
        <v>Conveying from stack spreading moorum to proper camber on road surface including dressing  etc complete as per specification.</v>
      </c>
      <c r="C4361" s="3400"/>
      <c r="D4361" s="3400"/>
      <c r="E4361" s="1135" t="str">
        <f>G724</f>
        <v>Each Cum</v>
      </c>
      <c r="F4361" s="1135"/>
      <c r="G4361" s="1055"/>
      <c r="H4361" s="1136"/>
      <c r="I4361" s="1137"/>
      <c r="J4361" s="1055"/>
      <c r="K4361" s="1055"/>
      <c r="L4361" s="1059"/>
      <c r="T4361" s="716"/>
    </row>
    <row r="4362" spans="1:20" s="714" customFormat="1">
      <c r="A4362" s="1148"/>
      <c r="B4362" s="1053" t="s">
        <v>1408</v>
      </c>
      <c r="C4362" s="1055"/>
      <c r="D4362" s="1055"/>
      <c r="E4362" s="1139"/>
      <c r="F4362" s="1139"/>
      <c r="G4362" s="1055"/>
      <c r="H4362" s="1136"/>
      <c r="I4362" s="1137"/>
      <c r="J4362" s="1055"/>
      <c r="K4362" s="1055"/>
      <c r="L4362" s="1059"/>
      <c r="T4362" s="716"/>
    </row>
    <row r="4363" spans="1:20" s="714" customFormat="1">
      <c r="A4363" s="1148"/>
      <c r="B4363" s="1053" t="s">
        <v>1319</v>
      </c>
      <c r="C4363" s="1053"/>
      <c r="D4363" s="1055"/>
      <c r="E4363" s="1139"/>
      <c r="F4363" s="1139"/>
      <c r="G4363" s="1055"/>
      <c r="H4363" s="1136"/>
      <c r="I4363" s="1137"/>
      <c r="J4363" s="1055"/>
      <c r="K4363" s="1055"/>
      <c r="L4363" s="1059"/>
      <c r="T4363" s="716"/>
    </row>
    <row r="4364" spans="1:20" s="714" customFormat="1">
      <c r="A4364" s="1148"/>
      <c r="B4364" s="1055" t="s">
        <v>717</v>
      </c>
      <c r="C4364" s="1055"/>
      <c r="D4364" s="1055"/>
      <c r="E4364" s="1139"/>
      <c r="F4364" s="1139"/>
      <c r="G4364" s="1140">
        <v>0.3</v>
      </c>
      <c r="H4364" s="1136" t="s">
        <v>262</v>
      </c>
      <c r="I4364" s="1137" t="s">
        <v>38</v>
      </c>
      <c r="J4364" s="1054">
        <f>L129</f>
        <v>182</v>
      </c>
      <c r="K4364" s="1054">
        <f>ROUND(G4364*J4364,2)</f>
        <v>54.6</v>
      </c>
      <c r="L4364" s="1059"/>
      <c r="T4364" s="716"/>
    </row>
    <row r="4365" spans="1:20" s="714" customFormat="1">
      <c r="A4365" s="1148"/>
      <c r="B4365" s="1055"/>
      <c r="C4365" s="1055"/>
      <c r="D4365" s="1055"/>
      <c r="E4365" s="1139"/>
      <c r="F4365" s="1139"/>
      <c r="G4365" s="1140"/>
      <c r="H4365" s="1136"/>
      <c r="I4365" s="1137"/>
      <c r="J4365" s="1144" t="s">
        <v>718</v>
      </c>
      <c r="K4365" s="1052">
        <f>SUM(K4364:K4364)</f>
        <v>54.6</v>
      </c>
      <c r="L4365" s="1059"/>
      <c r="T4365" s="716"/>
    </row>
    <row r="4366" spans="1:20" s="714" customFormat="1">
      <c r="A4366" s="1148"/>
      <c r="B4366" s="1055" t="s">
        <v>3369</v>
      </c>
      <c r="C4366" s="1055"/>
      <c r="D4366" s="1055"/>
      <c r="E4366" s="1139"/>
      <c r="F4366" s="1139"/>
      <c r="G4366" s="1055"/>
      <c r="H4366" s="1136"/>
      <c r="I4366" s="1137"/>
      <c r="J4366" s="1055"/>
      <c r="K4366" s="1054">
        <f>ROUND(K4365*2%,2)</f>
        <v>1.0900000000000001</v>
      </c>
      <c r="L4366" s="1059"/>
      <c r="T4366" s="716"/>
    </row>
    <row r="4367" spans="1:20" s="714" customFormat="1">
      <c r="A4367" s="1148"/>
      <c r="B4367" s="1053" t="s">
        <v>1409</v>
      </c>
      <c r="C4367" s="1055"/>
      <c r="D4367" s="1055"/>
      <c r="E4367" s="1139"/>
      <c r="F4367" s="1139"/>
      <c r="G4367" s="1055"/>
      <c r="H4367" s="1136"/>
      <c r="I4367" s="1137"/>
      <c r="J4367" s="1144" t="s">
        <v>718</v>
      </c>
      <c r="K4367" s="1052">
        <f>SUM(K4365:K4366)</f>
        <v>55.690000000000005</v>
      </c>
      <c r="L4367" s="1059"/>
      <c r="T4367" s="716"/>
    </row>
    <row r="4368" spans="1:20" s="714" customFormat="1">
      <c r="A4368" s="1148"/>
      <c r="B4368" s="1053" t="s">
        <v>1410</v>
      </c>
      <c r="C4368" s="1055"/>
      <c r="D4368" s="1055"/>
      <c r="E4368" s="1139"/>
      <c r="F4368" s="1139"/>
      <c r="G4368" s="1055"/>
      <c r="H4368" s="1136"/>
      <c r="I4368" s="1137"/>
      <c r="J4368" s="1144"/>
      <c r="K4368" s="1052">
        <f>ROUND(K4367/93*100,2)</f>
        <v>59.88</v>
      </c>
      <c r="L4368" s="1059"/>
      <c r="T4368" s="716"/>
    </row>
    <row r="4369" spans="1:20" s="714" customFormat="1">
      <c r="A4369" s="1148"/>
      <c r="B4369" s="1053" t="s">
        <v>1411</v>
      </c>
      <c r="C4369" s="1055"/>
      <c r="D4369" s="1055"/>
      <c r="E4369" s="1139"/>
      <c r="F4369" s="1139"/>
      <c r="G4369" s="1055"/>
      <c r="H4369" s="1136"/>
      <c r="I4369" s="1137"/>
      <c r="J4369" s="1137"/>
      <c r="K4369" s="1052">
        <f>K4368</f>
        <v>59.88</v>
      </c>
      <c r="L4369" s="1059"/>
      <c r="T4369" s="716"/>
    </row>
    <row r="4370" spans="1:20" s="716" customFormat="1">
      <c r="A4370" s="1151"/>
      <c r="B4370" s="1053" t="s">
        <v>1310</v>
      </c>
      <c r="C4370" s="1053"/>
      <c r="D4370" s="1053"/>
      <c r="E4370" s="1142"/>
      <c r="F4370" s="1142"/>
      <c r="G4370" s="1053"/>
      <c r="H4370" s="1059"/>
      <c r="I4370" s="1144"/>
      <c r="J4370" s="1053"/>
      <c r="K4370" s="1052">
        <f>ROUND(K4369/0.6,2)</f>
        <v>99.8</v>
      </c>
      <c r="L4370" s="1059" t="s">
        <v>721</v>
      </c>
      <c r="M4370" s="714"/>
    </row>
    <row r="4371" spans="1:20" s="714" customFormat="1" ht="27" customHeight="1">
      <c r="A4371" s="1176">
        <f>A725</f>
        <v>153</v>
      </c>
      <c r="B4371" s="3400" t="str">
        <f>B725</f>
        <v>Labour for sppreading moorum and consolidation with HRR including watering etc complete.</v>
      </c>
      <c r="C4371" s="3400"/>
      <c r="D4371" s="3400"/>
      <c r="E4371" s="1135" t="str">
        <f>G725</f>
        <v>Each Cum</v>
      </c>
      <c r="F4371" s="1135"/>
      <c r="G4371" s="1055"/>
      <c r="H4371" s="1136"/>
      <c r="I4371" s="1137"/>
      <c r="J4371" s="1055"/>
      <c r="K4371" s="1055"/>
      <c r="L4371" s="1059"/>
      <c r="T4371" s="716"/>
    </row>
    <row r="4372" spans="1:20" s="714" customFormat="1">
      <c r="A4372" s="1148"/>
      <c r="B4372" s="1053" t="s">
        <v>1412</v>
      </c>
      <c r="C4372" s="1055"/>
      <c r="D4372" s="1055"/>
      <c r="E4372" s="1139"/>
      <c r="F4372" s="1139"/>
      <c r="G4372" s="1055"/>
      <c r="H4372" s="1136"/>
      <c r="I4372" s="1137"/>
      <c r="J4372" s="1055"/>
      <c r="K4372" s="1055"/>
      <c r="L4372" s="1059"/>
      <c r="T4372" s="716"/>
    </row>
    <row r="4373" spans="1:20" s="714" customFormat="1">
      <c r="A4373" s="1148"/>
      <c r="B4373" s="1053" t="s">
        <v>1319</v>
      </c>
      <c r="C4373" s="1053"/>
      <c r="D4373" s="1055"/>
      <c r="E4373" s="1139"/>
      <c r="F4373" s="1139"/>
      <c r="G4373" s="1055"/>
      <c r="H4373" s="1136"/>
      <c r="I4373" s="1137"/>
      <c r="J4373" s="1055"/>
      <c r="K4373" s="1055"/>
      <c r="L4373" s="1059"/>
      <c r="T4373" s="716"/>
    </row>
    <row r="4374" spans="1:20" s="714" customFormat="1">
      <c r="A4374" s="1148"/>
      <c r="B4374" s="1055" t="s">
        <v>717</v>
      </c>
      <c r="C4374" s="1055"/>
      <c r="D4374" s="1055"/>
      <c r="E4374" s="1139"/>
      <c r="F4374" s="1139"/>
      <c r="G4374" s="1140">
        <v>3</v>
      </c>
      <c r="H4374" s="1136" t="s">
        <v>262</v>
      </c>
      <c r="I4374" s="1137" t="s">
        <v>38</v>
      </c>
      <c r="J4374" s="1054">
        <f>L129</f>
        <v>182</v>
      </c>
      <c r="K4374" s="1054">
        <f>ROUND(G4374*J4374,2)</f>
        <v>546</v>
      </c>
      <c r="L4374" s="1059"/>
      <c r="T4374" s="716"/>
    </row>
    <row r="4375" spans="1:20" s="714" customFormat="1">
      <c r="A4375" s="1148"/>
      <c r="B4375" s="1055"/>
      <c r="C4375" s="1055"/>
      <c r="D4375" s="1055"/>
      <c r="E4375" s="1139"/>
      <c r="F4375" s="1139"/>
      <c r="G4375" s="1140"/>
      <c r="H4375" s="1136"/>
      <c r="I4375" s="1137"/>
      <c r="J4375" s="1144" t="s">
        <v>718</v>
      </c>
      <c r="K4375" s="1052">
        <f>SUM(K4374:K4374)</f>
        <v>546</v>
      </c>
      <c r="L4375" s="1059"/>
      <c r="T4375" s="716"/>
    </row>
    <row r="4376" spans="1:20" s="714" customFormat="1">
      <c r="A4376" s="1148"/>
      <c r="B4376" s="1055" t="s">
        <v>3369</v>
      </c>
      <c r="C4376" s="1055"/>
      <c r="D4376" s="1055"/>
      <c r="E4376" s="1139"/>
      <c r="F4376" s="1139"/>
      <c r="G4376" s="1055"/>
      <c r="H4376" s="1136"/>
      <c r="I4376" s="1137"/>
      <c r="J4376" s="1055"/>
      <c r="K4376" s="1054">
        <f>K4375*2%</f>
        <v>10.92</v>
      </c>
      <c r="L4376" s="1059"/>
      <c r="T4376" s="716"/>
    </row>
    <row r="4377" spans="1:20" s="714" customFormat="1">
      <c r="A4377" s="1148"/>
      <c r="B4377" s="1053" t="s">
        <v>1413</v>
      </c>
      <c r="C4377" s="1055"/>
      <c r="D4377" s="1055"/>
      <c r="E4377" s="1139"/>
      <c r="F4377" s="1139"/>
      <c r="G4377" s="1055"/>
      <c r="H4377" s="1136"/>
      <c r="I4377" s="1137"/>
      <c r="J4377" s="1144" t="s">
        <v>718</v>
      </c>
      <c r="K4377" s="1052">
        <f>SUM(K4375:K4376)</f>
        <v>556.91999999999996</v>
      </c>
      <c r="L4377" s="1059"/>
      <c r="T4377" s="716"/>
    </row>
    <row r="4378" spans="1:20" s="716" customFormat="1">
      <c r="A4378" s="1151"/>
      <c r="B4378" s="1053" t="s">
        <v>1310</v>
      </c>
      <c r="C4378" s="1053"/>
      <c r="D4378" s="1053"/>
      <c r="E4378" s="1142"/>
      <c r="F4378" s="1142"/>
      <c r="G4378" s="1053"/>
      <c r="H4378" s="1059"/>
      <c r="I4378" s="1144"/>
      <c r="J4378" s="1053"/>
      <c r="K4378" s="1052">
        <f>ROUND(K4377/2.83,2)</f>
        <v>196.79</v>
      </c>
      <c r="L4378" s="1059" t="s">
        <v>721</v>
      </c>
      <c r="M4378" s="714"/>
    </row>
    <row r="4379" spans="1:20" s="714" customFormat="1" ht="27" customHeight="1">
      <c r="A4379" s="1176">
        <f>A726</f>
        <v>154</v>
      </c>
      <c r="B4379" s="3400" t="str">
        <f>B726</f>
        <v>Flank dressing to proper camber etc complete. As per specificcation.</v>
      </c>
      <c r="C4379" s="3400"/>
      <c r="D4379" s="3400"/>
      <c r="E4379" s="1135" t="str">
        <f>G726</f>
        <v>Each Sqm</v>
      </c>
      <c r="F4379" s="1135"/>
      <c r="G4379" s="1055"/>
      <c r="H4379" s="1136"/>
      <c r="I4379" s="1137"/>
      <c r="J4379" s="1055"/>
      <c r="K4379" s="1055"/>
      <c r="L4379" s="1059"/>
      <c r="T4379" s="716"/>
    </row>
    <row r="4380" spans="1:20" s="714" customFormat="1">
      <c r="A4380" s="1148"/>
      <c r="B4380" s="1053" t="s">
        <v>1414</v>
      </c>
      <c r="C4380" s="1055"/>
      <c r="D4380" s="1055"/>
      <c r="E4380" s="1139"/>
      <c r="F4380" s="1139"/>
      <c r="G4380" s="1055"/>
      <c r="H4380" s="1136"/>
      <c r="I4380" s="1137"/>
      <c r="J4380" s="1055"/>
      <c r="K4380" s="1055"/>
      <c r="L4380" s="1059"/>
      <c r="T4380" s="716"/>
    </row>
    <row r="4381" spans="1:20" s="714" customFormat="1">
      <c r="A4381" s="1148"/>
      <c r="B4381" s="1053" t="s">
        <v>1319</v>
      </c>
      <c r="C4381" s="1053"/>
      <c r="D4381" s="1055"/>
      <c r="E4381" s="1139"/>
      <c r="F4381" s="1139"/>
      <c r="G4381" s="1055"/>
      <c r="H4381" s="1136"/>
      <c r="I4381" s="1137"/>
      <c r="J4381" s="1055"/>
      <c r="K4381" s="1055"/>
      <c r="L4381" s="1059"/>
      <c r="T4381" s="716"/>
    </row>
    <row r="4382" spans="1:20" s="714" customFormat="1">
      <c r="A4382" s="1148"/>
      <c r="B4382" s="1055" t="s">
        <v>1415</v>
      </c>
      <c r="C4382" s="1055"/>
      <c r="D4382" s="1055"/>
      <c r="E4382" s="1139"/>
      <c r="F4382" s="1139"/>
      <c r="G4382" s="1140">
        <v>0.12</v>
      </c>
      <c r="H4382" s="1136" t="s">
        <v>262</v>
      </c>
      <c r="I4382" s="1137" t="s">
        <v>38</v>
      </c>
      <c r="J4382" s="1054">
        <f>L129</f>
        <v>182</v>
      </c>
      <c r="K4382" s="1054">
        <f>ROUND(G4382*J4382,2)</f>
        <v>21.84</v>
      </c>
      <c r="L4382" s="1059"/>
      <c r="T4382" s="716"/>
    </row>
    <row r="4383" spans="1:20" s="714" customFormat="1">
      <c r="A4383" s="1148"/>
      <c r="B4383" s="1055"/>
      <c r="C4383" s="1055"/>
      <c r="D4383" s="1055"/>
      <c r="E4383" s="1139"/>
      <c r="F4383" s="1139"/>
      <c r="G4383" s="1140"/>
      <c r="H4383" s="1136"/>
      <c r="I4383" s="1137"/>
      <c r="J4383" s="1144" t="s">
        <v>718</v>
      </c>
      <c r="K4383" s="1052">
        <f>SUM(K4382:K4382)</f>
        <v>21.84</v>
      </c>
      <c r="L4383" s="1059"/>
      <c r="T4383" s="716"/>
    </row>
    <row r="4384" spans="1:20" s="714" customFormat="1">
      <c r="A4384" s="1148"/>
      <c r="B4384" s="1055" t="s">
        <v>3369</v>
      </c>
      <c r="C4384" s="1055"/>
      <c r="D4384" s="1055"/>
      <c r="E4384" s="1139"/>
      <c r="F4384" s="1139"/>
      <c r="G4384" s="1055"/>
      <c r="H4384" s="1136"/>
      <c r="I4384" s="1137"/>
      <c r="J4384" s="1055"/>
      <c r="K4384" s="1054">
        <f>K4383*2%</f>
        <v>0.43680000000000002</v>
      </c>
      <c r="L4384" s="1059"/>
      <c r="T4384" s="716"/>
    </row>
    <row r="4385" spans="1:20" s="714" customFormat="1">
      <c r="A4385" s="1148"/>
      <c r="B4385" s="1055" t="s">
        <v>1416</v>
      </c>
      <c r="C4385" s="1055"/>
      <c r="D4385" s="1055"/>
      <c r="E4385" s="1139"/>
      <c r="F4385" s="1139"/>
      <c r="G4385" s="1055"/>
      <c r="H4385" s="1136"/>
      <c r="I4385" s="1137"/>
      <c r="J4385" s="1144" t="s">
        <v>718</v>
      </c>
      <c r="K4385" s="1052">
        <f>SUM(K4383:K4384)</f>
        <v>22.276800000000001</v>
      </c>
      <c r="L4385" s="1059"/>
      <c r="T4385" s="716"/>
    </row>
    <row r="4386" spans="1:20" s="716" customFormat="1">
      <c r="A4386" s="1151"/>
      <c r="B4386" s="1053" t="s">
        <v>1291</v>
      </c>
      <c r="C4386" s="1053"/>
      <c r="D4386" s="1053"/>
      <c r="E4386" s="1142"/>
      <c r="F4386" s="1142"/>
      <c r="G4386" s="1053"/>
      <c r="H4386" s="1059"/>
      <c r="I4386" s="1144"/>
      <c r="J4386" s="1053"/>
      <c r="K4386" s="1052">
        <f>ROUND(K4385/9.3,2)</f>
        <v>2.4</v>
      </c>
      <c r="L4386" s="1059" t="s">
        <v>730</v>
      </c>
      <c r="M4386" s="714"/>
    </row>
    <row r="4387" spans="1:20" s="714" customFormat="1" ht="27" customHeight="1">
      <c r="A4387" s="1176">
        <f>A727</f>
        <v>155</v>
      </c>
      <c r="B4387" s="3400" t="str">
        <f>B727</f>
        <v>Sectioning old gravelled surface to proper Camber etc complete.</v>
      </c>
      <c r="C4387" s="3400"/>
      <c r="D4387" s="3400"/>
      <c r="E4387" s="1135" t="str">
        <f>G727</f>
        <v>Each Sqm</v>
      </c>
      <c r="F4387" s="1135"/>
      <c r="G4387" s="1055"/>
      <c r="H4387" s="1136"/>
      <c r="I4387" s="1137"/>
      <c r="J4387" s="1055"/>
      <c r="K4387" s="1055"/>
      <c r="L4387" s="1059"/>
      <c r="T4387" s="716"/>
    </row>
    <row r="4388" spans="1:20" s="714" customFormat="1">
      <c r="A4388" s="1148"/>
      <c r="B4388" s="1053" t="s">
        <v>1414</v>
      </c>
      <c r="C4388" s="1055"/>
      <c r="D4388" s="1055"/>
      <c r="E4388" s="1139"/>
      <c r="F4388" s="1139"/>
      <c r="G4388" s="1055"/>
      <c r="H4388" s="1136"/>
      <c r="I4388" s="1137"/>
      <c r="J4388" s="1055"/>
      <c r="K4388" s="1055"/>
      <c r="L4388" s="1059"/>
      <c r="T4388" s="716"/>
    </row>
    <row r="4389" spans="1:20" s="714" customFormat="1">
      <c r="A4389" s="1148"/>
      <c r="B4389" s="1053" t="s">
        <v>1319</v>
      </c>
      <c r="C4389" s="1053"/>
      <c r="D4389" s="1055"/>
      <c r="E4389" s="1139"/>
      <c r="F4389" s="1139"/>
      <c r="G4389" s="1055"/>
      <c r="H4389" s="1136"/>
      <c r="I4389" s="1137"/>
      <c r="J4389" s="1055"/>
      <c r="K4389" s="1055"/>
      <c r="L4389" s="1059"/>
      <c r="T4389" s="716"/>
    </row>
    <row r="4390" spans="1:20" s="714" customFormat="1">
      <c r="A4390" s="1148"/>
      <c r="B4390" s="1055" t="s">
        <v>1415</v>
      </c>
      <c r="C4390" s="1055"/>
      <c r="D4390" s="1055"/>
      <c r="E4390" s="1139"/>
      <c r="F4390" s="1139"/>
      <c r="G4390" s="1140">
        <v>0.1</v>
      </c>
      <c r="H4390" s="1136" t="s">
        <v>262</v>
      </c>
      <c r="I4390" s="1137" t="s">
        <v>38</v>
      </c>
      <c r="J4390" s="1054">
        <f>L129</f>
        <v>182</v>
      </c>
      <c r="K4390" s="1054">
        <f>ROUND(G4390*J4390,2)</f>
        <v>18.2</v>
      </c>
      <c r="L4390" s="1059"/>
      <c r="T4390" s="716"/>
    </row>
    <row r="4391" spans="1:20" s="714" customFormat="1">
      <c r="A4391" s="1148"/>
      <c r="B4391" s="1055"/>
      <c r="C4391" s="1055"/>
      <c r="D4391" s="1055"/>
      <c r="E4391" s="1139"/>
      <c r="F4391" s="1139"/>
      <c r="G4391" s="1140"/>
      <c r="H4391" s="1136"/>
      <c r="I4391" s="1137"/>
      <c r="J4391" s="1144" t="s">
        <v>718</v>
      </c>
      <c r="K4391" s="1052">
        <f>SUM(K4390:K4390)</f>
        <v>18.2</v>
      </c>
      <c r="L4391" s="1059"/>
      <c r="T4391" s="716"/>
    </row>
    <row r="4392" spans="1:20" s="714" customFormat="1">
      <c r="A4392" s="1148"/>
      <c r="B4392" s="1055" t="s">
        <v>1417</v>
      </c>
      <c r="C4392" s="1055"/>
      <c r="D4392" s="1055"/>
      <c r="E4392" s="1139"/>
      <c r="F4392" s="1139"/>
      <c r="G4392" s="1055"/>
      <c r="H4392" s="1136"/>
      <c r="I4392" s="1137"/>
      <c r="J4392" s="1055"/>
      <c r="K4392" s="1054">
        <f>K4391*2%</f>
        <v>0.36399999999999999</v>
      </c>
      <c r="L4392" s="1059"/>
      <c r="T4392" s="716"/>
    </row>
    <row r="4393" spans="1:20" s="714" customFormat="1">
      <c r="A4393" s="1148"/>
      <c r="B4393" s="1055" t="s">
        <v>1416</v>
      </c>
      <c r="C4393" s="1055"/>
      <c r="D4393" s="1055"/>
      <c r="E4393" s="1139"/>
      <c r="F4393" s="1139"/>
      <c r="G4393" s="1055"/>
      <c r="H4393" s="1136"/>
      <c r="I4393" s="1137"/>
      <c r="J4393" s="1144" t="s">
        <v>718</v>
      </c>
      <c r="K4393" s="1052">
        <f>SUM(K4391:K4392)</f>
        <v>18.564</v>
      </c>
      <c r="L4393" s="1059"/>
      <c r="T4393" s="716"/>
    </row>
    <row r="4394" spans="1:20" s="716" customFormat="1">
      <c r="A4394" s="1151"/>
      <c r="B4394" s="1053" t="s">
        <v>1291</v>
      </c>
      <c r="C4394" s="1053"/>
      <c r="D4394" s="1053"/>
      <c r="E4394" s="1142"/>
      <c r="F4394" s="1142"/>
      <c r="G4394" s="1053"/>
      <c r="H4394" s="1059"/>
      <c r="I4394" s="1144"/>
      <c r="J4394" s="1053"/>
      <c r="K4394" s="1052">
        <f>ROUND(K4393/9.3,2)</f>
        <v>2</v>
      </c>
      <c r="L4394" s="1059" t="s">
        <v>730</v>
      </c>
      <c r="M4394" s="714"/>
    </row>
    <row r="4395" spans="1:20" s="714" customFormat="1" ht="39" customHeight="1">
      <c r="A4395" s="1176">
        <f>A728</f>
        <v>156</v>
      </c>
      <c r="B4395" s="3400" t="str">
        <f>B728</f>
        <v>Collecting supplying stacking  good laterite moorum from approved quarry and spreading in proper section etc complete as per specification.</v>
      </c>
      <c r="C4395" s="3400"/>
      <c r="D4395" s="3400"/>
      <c r="E4395" s="1135" t="str">
        <f>G728</f>
        <v>Each Cum</v>
      </c>
      <c r="F4395" s="1135"/>
      <c r="G4395" s="1055"/>
      <c r="H4395" s="1136"/>
      <c r="I4395" s="1137"/>
      <c r="J4395" s="1055"/>
      <c r="K4395" s="1055"/>
      <c r="L4395" s="1059"/>
      <c r="T4395" s="716"/>
    </row>
    <row r="4396" spans="1:20" s="714" customFormat="1">
      <c r="A4396" s="1148"/>
      <c r="B4396" s="1053" t="s">
        <v>1319</v>
      </c>
      <c r="C4396" s="1053"/>
      <c r="D4396" s="1055"/>
      <c r="E4396" s="1139"/>
      <c r="F4396" s="1139"/>
      <c r="G4396" s="1055"/>
      <c r="H4396" s="1136"/>
      <c r="I4396" s="1137"/>
      <c r="J4396" s="1055"/>
      <c r="K4396" s="1055"/>
      <c r="L4396" s="1059"/>
      <c r="T4396" s="716"/>
    </row>
    <row r="4397" spans="1:20" s="714" customFormat="1">
      <c r="A4397" s="1148"/>
      <c r="B4397" s="1055" t="s">
        <v>1418</v>
      </c>
      <c r="C4397" s="1055"/>
      <c r="D4397" s="1055"/>
      <c r="E4397" s="1139"/>
      <c r="F4397" s="1139"/>
      <c r="G4397" s="1140"/>
      <c r="H4397" s="1136"/>
      <c r="I4397" s="1137"/>
      <c r="J4397" s="1054"/>
      <c r="K4397" s="1054">
        <f>K4360</f>
        <v>441.83000000000004</v>
      </c>
      <c r="L4397" s="1059" t="s">
        <v>721</v>
      </c>
      <c r="T4397" s="716"/>
    </row>
    <row r="4398" spans="1:20" s="714" customFormat="1">
      <c r="A4398" s="1148"/>
      <c r="B4398" s="1055" t="s">
        <v>1419</v>
      </c>
      <c r="C4398" s="1055"/>
      <c r="D4398" s="1055"/>
      <c r="E4398" s="1139"/>
      <c r="F4398" s="1139"/>
      <c r="G4398" s="1140"/>
      <c r="H4398" s="1136"/>
      <c r="I4398" s="1137"/>
      <c r="J4398" s="1144"/>
      <c r="K4398" s="1054">
        <f>K4370</f>
        <v>99.8</v>
      </c>
      <c r="L4398" s="1059" t="s">
        <v>721</v>
      </c>
      <c r="T4398" s="716"/>
    </row>
    <row r="4399" spans="1:20" s="714" customFormat="1">
      <c r="A4399" s="1148"/>
      <c r="B4399" s="1055"/>
      <c r="C4399" s="1055"/>
      <c r="D4399" s="1055"/>
      <c r="E4399" s="1139"/>
      <c r="F4399" s="1139"/>
      <c r="G4399" s="1055"/>
      <c r="H4399" s="1136"/>
      <c r="I4399" s="1137"/>
      <c r="J4399" s="1055"/>
      <c r="K4399" s="1052">
        <f>SUM(K4397:K4398)</f>
        <v>541.63</v>
      </c>
      <c r="L4399" s="1059" t="s">
        <v>721</v>
      </c>
      <c r="T4399" s="716"/>
    </row>
    <row r="4400" spans="1:20" s="714" customFormat="1" ht="48.75" customHeight="1">
      <c r="A4400" s="1151">
        <f>A729</f>
        <v>157</v>
      </c>
      <c r="B4400" s="3400" t="str">
        <f>B729</f>
        <v>Collecting supplying stacking  good laterite moorum from approved quarry and spreading in proper section  and rolling with PRR etc complete as per specification.</v>
      </c>
      <c r="C4400" s="3400"/>
      <c r="D4400" s="3400"/>
      <c r="E4400" s="1139"/>
      <c r="F4400" s="1139"/>
      <c r="G4400" s="1055"/>
      <c r="H4400" s="1136"/>
      <c r="I4400" s="1137"/>
      <c r="J4400" s="1055"/>
      <c r="K4400" s="1052"/>
      <c r="L4400" s="1059"/>
      <c r="T4400" s="716"/>
    </row>
    <row r="4401" spans="1:20" s="714" customFormat="1" ht="16.5" customHeight="1">
      <c r="A4401" s="1148"/>
      <c r="B4401" s="709" t="s">
        <v>1420</v>
      </c>
      <c r="C4401" s="1146"/>
      <c r="D4401" s="709" t="s">
        <v>1421</v>
      </c>
      <c r="E4401" s="1139"/>
      <c r="F4401" s="1139"/>
      <c r="G4401" s="1055"/>
      <c r="H4401" s="1136"/>
      <c r="I4401" s="1137"/>
      <c r="J4401" s="1055"/>
      <c r="K4401" s="1052">
        <f>K4399</f>
        <v>541.63</v>
      </c>
      <c r="L4401" s="1059" t="s">
        <v>721</v>
      </c>
      <c r="T4401" s="716"/>
    </row>
    <row r="4402" spans="1:20" s="714" customFormat="1">
      <c r="A4402" s="1148"/>
      <c r="B4402" s="1055" t="s">
        <v>1422</v>
      </c>
      <c r="C4402" s="1055"/>
      <c r="D4402" s="1055"/>
      <c r="E4402" s="1139"/>
      <c r="F4402" s="1139"/>
      <c r="G4402" s="1177">
        <v>1.882E-2</v>
      </c>
      <c r="H4402" s="1136" t="s">
        <v>312</v>
      </c>
      <c r="I4402" s="1137" t="s">
        <v>312</v>
      </c>
      <c r="J4402" s="1149">
        <f>G206</f>
        <v>524.70000000000005</v>
      </c>
      <c r="K4402" s="1054">
        <f>ROUND(G4402*J4402,2)</f>
        <v>9.8699999999999992</v>
      </c>
      <c r="L4402" s="1059" t="s">
        <v>721</v>
      </c>
      <c r="T4402" s="716"/>
    </row>
    <row r="4403" spans="1:20" s="714" customFormat="1">
      <c r="A4403" s="1148"/>
      <c r="B4403" s="1055" t="s">
        <v>1423</v>
      </c>
      <c r="C4403" s="1055"/>
      <c r="D4403" s="1055"/>
      <c r="E4403" s="1139"/>
      <c r="F4403" s="1139"/>
      <c r="G4403" s="1055"/>
      <c r="H4403" s="1136"/>
      <c r="I4403" s="1137"/>
      <c r="J4403" s="1144"/>
      <c r="K4403" s="1052"/>
      <c r="L4403" s="1059"/>
      <c r="T4403" s="716"/>
    </row>
    <row r="4404" spans="1:20" s="714" customFormat="1">
      <c r="A4404" s="1148"/>
      <c r="B4404" s="1053" t="s">
        <v>1310</v>
      </c>
      <c r="C4404" s="1055"/>
      <c r="D4404" s="1055"/>
      <c r="E4404" s="1139"/>
      <c r="F4404" s="1139"/>
      <c r="G4404" s="1055"/>
      <c r="H4404" s="1136"/>
      <c r="I4404" s="1137"/>
      <c r="J4404" s="1137"/>
      <c r="K4404" s="1052">
        <f>SUM(K4401:K4403)</f>
        <v>551.5</v>
      </c>
      <c r="L4404" s="1059" t="s">
        <v>721</v>
      </c>
      <c r="T4404" s="716"/>
    </row>
    <row r="4405" spans="1:20" s="714" customFormat="1" ht="65.25" customHeight="1">
      <c r="A4405" s="1176">
        <f>A730</f>
        <v>158</v>
      </c>
      <c r="B4405" s="3400" t="str">
        <f>B730</f>
        <v>Providing compacted granular materials in road sub-base/shoulder by using moorum in layers not exceeding 100mm watering and compacting to the required density in OMC with PRR including cost of all labour and maaterial etc complete.</v>
      </c>
      <c r="C4405" s="3400"/>
      <c r="D4405" s="3400"/>
      <c r="E4405" s="1135" t="str">
        <f>H3253</f>
        <v>Mtr</v>
      </c>
      <c r="F4405" s="1135"/>
      <c r="G4405" s="1055"/>
      <c r="H4405" s="1136"/>
      <c r="I4405" s="1137"/>
      <c r="J4405" s="1055"/>
      <c r="K4405" s="1055"/>
      <c r="L4405" s="1059"/>
      <c r="T4405" s="716"/>
    </row>
    <row r="4406" spans="1:20" s="714" customFormat="1">
      <c r="A4406" s="1148"/>
      <c r="B4406" s="1053" t="s">
        <v>1412</v>
      </c>
      <c r="C4406" s="1055"/>
      <c r="D4406" s="1055"/>
      <c r="E4406" s="1139"/>
      <c r="F4406" s="1139"/>
      <c r="G4406" s="1055"/>
      <c r="H4406" s="1136"/>
      <c r="I4406" s="1137"/>
      <c r="J4406" s="1055"/>
      <c r="K4406" s="1055"/>
      <c r="L4406" s="1059"/>
      <c r="T4406" s="716"/>
    </row>
    <row r="4407" spans="1:20" s="714" customFormat="1">
      <c r="A4407" s="1148"/>
      <c r="B4407" s="1053" t="s">
        <v>1319</v>
      </c>
      <c r="C4407" s="1053"/>
      <c r="D4407" s="1055"/>
      <c r="E4407" s="1139"/>
      <c r="F4407" s="1139"/>
      <c r="G4407" s="1055"/>
      <c r="H4407" s="1136"/>
      <c r="I4407" s="1137"/>
      <c r="J4407" s="1055"/>
      <c r="K4407" s="1055"/>
      <c r="L4407" s="1059"/>
      <c r="T4407" s="716"/>
    </row>
    <row r="4408" spans="1:20" s="714" customFormat="1">
      <c r="A4408" s="1148"/>
      <c r="B4408" s="1055" t="s">
        <v>717</v>
      </c>
      <c r="C4408" s="1055"/>
      <c r="D4408" s="1055"/>
      <c r="E4408" s="1139"/>
      <c r="F4408" s="1139"/>
      <c r="G4408" s="1140">
        <v>2.5</v>
      </c>
      <c r="H4408" s="1136" t="s">
        <v>262</v>
      </c>
      <c r="I4408" s="1137" t="s">
        <v>38</v>
      </c>
      <c r="J4408" s="1054">
        <f>L129</f>
        <v>182</v>
      </c>
      <c r="K4408" s="1054">
        <f>ROUND(G4408*J4408,2)</f>
        <v>455</v>
      </c>
      <c r="L4408" s="1059"/>
      <c r="T4408" s="716"/>
    </row>
    <row r="4409" spans="1:20" s="714" customFormat="1">
      <c r="A4409" s="1148"/>
      <c r="B4409" s="1055" t="s">
        <v>1424</v>
      </c>
      <c r="C4409" s="1055"/>
      <c r="D4409" s="1055"/>
      <c r="E4409" s="1139"/>
      <c r="F4409" s="1139"/>
      <c r="G4409" s="1177">
        <v>5.3269999999999998E-2</v>
      </c>
      <c r="H4409" s="1136" t="s">
        <v>312</v>
      </c>
      <c r="I4409" s="1137" t="s">
        <v>312</v>
      </c>
      <c r="J4409" s="1149">
        <f>G206</f>
        <v>524.70000000000005</v>
      </c>
      <c r="K4409" s="1054">
        <f>ROUND(G4409*J4409,2)</f>
        <v>27.95</v>
      </c>
      <c r="L4409" s="1059"/>
      <c r="T4409" s="716"/>
    </row>
    <row r="4410" spans="1:20" s="714" customFormat="1">
      <c r="A4410" s="1148"/>
      <c r="B4410" s="1055" t="s">
        <v>1425</v>
      </c>
      <c r="C4410" s="1055"/>
      <c r="D4410" s="1055"/>
      <c r="E4410" s="1139"/>
      <c r="F4410" s="1139"/>
      <c r="G4410" s="1140"/>
      <c r="H4410" s="1136"/>
      <c r="I4410" s="1137"/>
      <c r="J4410" s="1144" t="s">
        <v>718</v>
      </c>
      <c r="K4410" s="1054">
        <f>SUM(K4408:K4409)</f>
        <v>482.95</v>
      </c>
      <c r="L4410" s="1059"/>
      <c r="T4410" s="716"/>
    </row>
    <row r="4411" spans="1:20" s="714" customFormat="1">
      <c r="A4411" s="1148"/>
      <c r="B4411" s="1055"/>
      <c r="C4411" s="1055"/>
      <c r="D4411" s="1055"/>
      <c r="E4411" s="1139"/>
      <c r="F4411" s="1139"/>
      <c r="G4411" s="1055"/>
      <c r="H4411" s="1136"/>
      <c r="I4411" s="1137"/>
      <c r="J4411" s="1055"/>
      <c r="K4411" s="1054"/>
      <c r="L4411" s="1059"/>
      <c r="T4411" s="716"/>
    </row>
    <row r="4412" spans="1:20" s="714" customFormat="1">
      <c r="A4412" s="1148"/>
      <c r="B4412" s="1055" t="s">
        <v>3369</v>
      </c>
      <c r="C4412" s="1055"/>
      <c r="D4412" s="1055"/>
      <c r="E4412" s="1139"/>
      <c r="F4412" s="1139"/>
      <c r="G4412" s="1055"/>
      <c r="H4412" s="1136"/>
      <c r="I4412" s="1137"/>
      <c r="J4412" s="1055"/>
      <c r="K4412" s="1054">
        <f>K4410*2%</f>
        <v>9.6590000000000007</v>
      </c>
      <c r="L4412" s="1059"/>
      <c r="T4412" s="716"/>
    </row>
    <row r="4413" spans="1:20" s="714" customFormat="1">
      <c r="A4413" s="1148"/>
      <c r="B4413" s="1055" t="s">
        <v>1321</v>
      </c>
      <c r="C4413" s="1055"/>
      <c r="D4413" s="1055"/>
      <c r="E4413" s="1139"/>
      <c r="F4413" s="1139"/>
      <c r="G4413" s="1055"/>
      <c r="H4413" s="1136"/>
      <c r="I4413" s="1137"/>
      <c r="J4413" s="1144" t="s">
        <v>718</v>
      </c>
      <c r="K4413" s="1054">
        <f>SUM(K4410:K4412)</f>
        <v>492.60899999999998</v>
      </c>
      <c r="L4413" s="1059"/>
      <c r="T4413" s="716"/>
    </row>
    <row r="4414" spans="1:20" s="714" customFormat="1">
      <c r="A4414" s="1148"/>
      <c r="B4414" s="1055" t="s">
        <v>1015</v>
      </c>
      <c r="C4414" s="1055"/>
      <c r="D4414" s="1055"/>
      <c r="E4414" s="1139"/>
      <c r="F4414" s="1139"/>
      <c r="G4414" s="1055"/>
      <c r="H4414" s="1136"/>
      <c r="I4414" s="1137"/>
      <c r="J4414" s="1137"/>
      <c r="K4414" s="1052">
        <f>K4413/2.83</f>
        <v>174.06678445229682</v>
      </c>
      <c r="L4414" s="1059"/>
      <c r="T4414" s="716"/>
    </row>
    <row r="4415" spans="1:20" s="714" customFormat="1">
      <c r="A4415" s="1148"/>
      <c r="B4415" s="1053" t="s">
        <v>1322</v>
      </c>
      <c r="C4415" s="1053"/>
      <c r="D4415" s="1055"/>
      <c r="E4415" s="1139"/>
      <c r="F4415" s="1139"/>
      <c r="G4415" s="1055"/>
      <c r="H4415" s="1136"/>
      <c r="I4415" s="1137"/>
      <c r="J4415" s="1055"/>
      <c r="K4415" s="1055"/>
      <c r="L4415" s="1059"/>
      <c r="T4415" s="716"/>
    </row>
    <row r="4416" spans="1:20" s="714" customFormat="1">
      <c r="A4416" s="1148"/>
      <c r="B4416" s="1055" t="s">
        <v>1426</v>
      </c>
      <c r="C4416" s="1055"/>
      <c r="D4416" s="1055"/>
      <c r="E4416" s="1139"/>
      <c r="F4416" s="1139"/>
      <c r="G4416" s="1140">
        <v>1.28</v>
      </c>
      <c r="H4416" s="1136" t="s">
        <v>49</v>
      </c>
      <c r="I4416" s="1137" t="s">
        <v>49</v>
      </c>
      <c r="J4416" s="1054">
        <f>L46</f>
        <v>345.18</v>
      </c>
      <c r="K4416" s="1054">
        <f>ROUND(G4416*J4416,2)</f>
        <v>441.83</v>
      </c>
      <c r="L4416" s="1059"/>
      <c r="T4416" s="716"/>
    </row>
    <row r="4417" spans="1:20" s="714" customFormat="1">
      <c r="A4417" s="1148"/>
      <c r="B4417" s="1055"/>
      <c r="C4417" s="1055"/>
      <c r="D4417" s="1055"/>
      <c r="E4417" s="1139"/>
      <c r="F4417" s="1139"/>
      <c r="G4417" s="1140"/>
      <c r="H4417" s="1136"/>
      <c r="I4417" s="1137"/>
      <c r="J4417" s="1144" t="s">
        <v>718</v>
      </c>
      <c r="K4417" s="1052">
        <f>SUM(K4416:K4416)</f>
        <v>441.83</v>
      </c>
      <c r="L4417" s="1059"/>
      <c r="T4417" s="716"/>
    </row>
    <row r="4418" spans="1:20" s="716" customFormat="1">
      <c r="A4418" s="1151"/>
      <c r="B4418" s="1053" t="s">
        <v>1310</v>
      </c>
      <c r="C4418" s="1053"/>
      <c r="D4418" s="1053"/>
      <c r="E4418" s="1142"/>
      <c r="F4418" s="1142"/>
      <c r="G4418" s="1053"/>
      <c r="H4418" s="1059" t="s">
        <v>1324</v>
      </c>
      <c r="I4418" s="1144" t="s">
        <v>1324</v>
      </c>
      <c r="J4418" s="1053"/>
      <c r="K4418" s="1052">
        <f>K4414+K4417</f>
        <v>615.89678445229674</v>
      </c>
      <c r="L4418" s="1059" t="s">
        <v>721</v>
      </c>
      <c r="M4418" s="714"/>
    </row>
    <row r="4419" spans="1:20" s="714" customFormat="1" ht="38.25" customHeight="1">
      <c r="A4419" s="1138">
        <f>A731</f>
        <v>159</v>
      </c>
      <c r="B4419" s="3400" t="str">
        <f>B731</f>
        <v>Turfing the slopes of embankment with compact turf grass as per approved drawing &amp; technical specifications etc complete.</v>
      </c>
      <c r="C4419" s="3400"/>
      <c r="D4419" s="3400"/>
      <c r="E4419" s="1135" t="s">
        <v>390</v>
      </c>
      <c r="F4419" s="1135"/>
      <c r="G4419" s="1055"/>
      <c r="H4419" s="1136"/>
      <c r="I4419" s="1137"/>
      <c r="J4419" s="1055"/>
      <c r="K4419" s="1144"/>
      <c r="L4419" s="1059"/>
      <c r="T4419" s="716"/>
    </row>
    <row r="4420" spans="1:20" s="714" customFormat="1">
      <c r="A4420" s="1148"/>
      <c r="B4420" s="1053" t="s">
        <v>1427</v>
      </c>
      <c r="C4420" s="1055"/>
      <c r="D4420" s="1055"/>
      <c r="E4420" s="1139"/>
      <c r="F4420" s="1139"/>
      <c r="G4420" s="1055"/>
      <c r="H4420" s="1136"/>
      <c r="I4420" s="1137"/>
      <c r="J4420" s="1055"/>
      <c r="K4420" s="1055"/>
      <c r="L4420" s="1059"/>
      <c r="T4420" s="716"/>
    </row>
    <row r="4421" spans="1:20" s="714" customFormat="1">
      <c r="A4421" s="1169"/>
      <c r="B4421" s="1053" t="s">
        <v>1349</v>
      </c>
      <c r="C4421" s="1055"/>
      <c r="D4421" s="1055"/>
      <c r="E4421" s="1139"/>
      <c r="F4421" s="1139"/>
      <c r="G4421" s="1055"/>
      <c r="H4421" s="1136"/>
      <c r="I4421" s="1137"/>
      <c r="J4421" s="1055"/>
      <c r="K4421" s="1055"/>
      <c r="L4421" s="1059"/>
      <c r="T4421" s="716"/>
    </row>
    <row r="4422" spans="1:20" s="714" customFormat="1">
      <c r="A4422" s="1169"/>
      <c r="B4422" s="1055" t="s">
        <v>717</v>
      </c>
      <c r="C4422" s="1055"/>
      <c r="D4422" s="1055"/>
      <c r="E4422" s="1139"/>
      <c r="F4422" s="1139"/>
      <c r="G4422" s="1140">
        <v>2.94</v>
      </c>
      <c r="H4422" s="1136" t="s">
        <v>262</v>
      </c>
      <c r="I4422" s="1137" t="s">
        <v>315</v>
      </c>
      <c r="J4422" s="1054">
        <f>L129</f>
        <v>182</v>
      </c>
      <c r="K4422" s="1054">
        <f>ROUND(G4422*J4422,2)</f>
        <v>535.08000000000004</v>
      </c>
      <c r="L4422" s="1059"/>
      <c r="T4422" s="716"/>
    </row>
    <row r="4423" spans="1:20" s="714" customFormat="1">
      <c r="A4423" s="1148"/>
      <c r="B4423" s="1053"/>
      <c r="C4423" s="1055"/>
      <c r="D4423" s="1055"/>
      <c r="E4423" s="1139"/>
      <c r="F4423" s="1139"/>
      <c r="G4423" s="1055"/>
      <c r="H4423" s="1136"/>
      <c r="I4423" s="1137"/>
      <c r="J4423" s="1055"/>
      <c r="K4423" s="1052"/>
      <c r="L4423" s="1059"/>
      <c r="T4423" s="716"/>
    </row>
    <row r="4424" spans="1:20" s="714" customFormat="1">
      <c r="A4424" s="1148"/>
      <c r="B4424" s="1053" t="s">
        <v>1428</v>
      </c>
      <c r="C4424" s="1055"/>
      <c r="D4424" s="1055"/>
      <c r="E4424" s="1139"/>
      <c r="F4424" s="1139"/>
      <c r="G4424" s="1055"/>
      <c r="H4424" s="1136"/>
      <c r="I4424" s="1137"/>
      <c r="J4424" s="1055"/>
      <c r="K4424" s="1052">
        <f>ROUND(K4422*2%,2)</f>
        <v>10.7</v>
      </c>
      <c r="L4424" s="1059"/>
      <c r="T4424" s="716"/>
    </row>
    <row r="4425" spans="1:20" s="714" customFormat="1">
      <c r="A4425" s="1169"/>
      <c r="B4425" s="1055"/>
      <c r="C4425" s="1055"/>
      <c r="D4425" s="1055"/>
      <c r="E4425" s="1139"/>
      <c r="F4425" s="1139"/>
      <c r="G4425" s="1140"/>
      <c r="H4425" s="1136"/>
      <c r="I4425" s="1137"/>
      <c r="J4425" s="1141" t="s">
        <v>718</v>
      </c>
      <c r="K4425" s="1052">
        <f>SUM(K4422:K4424)</f>
        <v>545.78000000000009</v>
      </c>
      <c r="L4425" s="1059"/>
      <c r="T4425" s="716"/>
    </row>
    <row r="4426" spans="1:20" s="714" customFormat="1">
      <c r="A4426" s="1169"/>
      <c r="B4426" s="1055" t="s">
        <v>1429</v>
      </c>
      <c r="C4426" s="1055"/>
      <c r="D4426" s="1055"/>
      <c r="E4426" s="1139"/>
      <c r="F4426" s="1139"/>
      <c r="G4426" s="1140">
        <v>6</v>
      </c>
      <c r="H4426" s="1136" t="s">
        <v>49</v>
      </c>
      <c r="I4426" s="1137" t="s">
        <v>49</v>
      </c>
      <c r="J4426" s="1054">
        <f>I47</f>
        <v>276.01</v>
      </c>
      <c r="K4426" s="1054">
        <f>ROUND(G4426*J4426,2)</f>
        <v>1656.06</v>
      </c>
      <c r="L4426" s="1059"/>
      <c r="T4426" s="716"/>
    </row>
    <row r="4427" spans="1:20" s="714" customFormat="1">
      <c r="A4427" s="1169"/>
      <c r="B4427" s="1055" t="s">
        <v>1430</v>
      </c>
      <c r="C4427" s="1055"/>
      <c r="D4427" s="1055"/>
      <c r="E4427" s="1139"/>
      <c r="F4427" s="1139"/>
      <c r="G4427" s="1140"/>
      <c r="H4427" s="1136"/>
      <c r="I4427" s="1137"/>
      <c r="J4427" s="1141" t="s">
        <v>718</v>
      </c>
      <c r="K4427" s="1052">
        <f>SUM(K4425:K4426)</f>
        <v>2201.84</v>
      </c>
      <c r="L4427" s="1059"/>
      <c r="T4427" s="716"/>
    </row>
    <row r="4428" spans="1:20" s="714" customFormat="1">
      <c r="A4428" s="1148"/>
      <c r="B4428" s="1055" t="s">
        <v>1431</v>
      </c>
      <c r="C4428" s="1055"/>
      <c r="D4428" s="1055"/>
      <c r="E4428" s="1139"/>
      <c r="F4428" s="1139"/>
      <c r="G4428" s="1055"/>
      <c r="H4428" s="1136"/>
      <c r="I4428" s="1137"/>
      <c r="J4428" s="1055"/>
      <c r="K4428" s="1052">
        <f>ROUND(K4427/100,2)</f>
        <v>22.02</v>
      </c>
      <c r="L4428" s="1059" t="s">
        <v>730</v>
      </c>
      <c r="T4428" s="716"/>
    </row>
    <row r="4429" spans="1:20" s="714" customFormat="1" ht="22.5" customHeight="1">
      <c r="A4429" s="1138">
        <f>A732</f>
        <v>160</v>
      </c>
      <c r="B4429" s="3400" t="str">
        <f>B732</f>
        <v>Ordinary compaction by PRR per day 708 cum.</v>
      </c>
      <c r="C4429" s="3400"/>
      <c r="D4429" s="3400"/>
      <c r="E4429" s="1135" t="s">
        <v>390</v>
      </c>
      <c r="F4429" s="1135"/>
      <c r="G4429" s="1055"/>
      <c r="H4429" s="1136"/>
      <c r="I4429" s="1137"/>
      <c r="J4429" s="1055"/>
      <c r="K4429" s="1144"/>
      <c r="L4429" s="1059"/>
      <c r="T4429" s="716"/>
    </row>
    <row r="4430" spans="1:20" s="714" customFormat="1">
      <c r="A4430" s="1169"/>
      <c r="B4430" s="1055" t="s">
        <v>1432</v>
      </c>
      <c r="C4430" s="1055"/>
      <c r="D4430" s="1055"/>
      <c r="E4430" s="1139"/>
      <c r="F4430" s="1139"/>
      <c r="G4430" s="1054">
        <f>G206</f>
        <v>524.70000000000005</v>
      </c>
      <c r="H4430" s="1136" t="s">
        <v>1433</v>
      </c>
      <c r="I4430" s="1137"/>
      <c r="J4430" s="1054"/>
      <c r="T4430" s="716"/>
    </row>
    <row r="4431" spans="1:20" s="714" customFormat="1">
      <c r="A4431" s="1148"/>
      <c r="B4431" s="1055" t="s">
        <v>1434</v>
      </c>
      <c r="C4431" s="1055"/>
      <c r="D4431" s="1055"/>
      <c r="E4431" s="1139"/>
      <c r="F4431" s="1139"/>
      <c r="G4431" s="1054">
        <v>708</v>
      </c>
      <c r="H4431" s="1136" t="s">
        <v>1435</v>
      </c>
      <c r="I4431" s="1137"/>
      <c r="J4431" s="1055"/>
      <c r="T4431" s="716"/>
    </row>
    <row r="4432" spans="1:20" s="714" customFormat="1">
      <c r="A4432" s="1148"/>
      <c r="B4432" s="1055" t="s">
        <v>1436</v>
      </c>
      <c r="C4432" s="1055"/>
      <c r="D4432" s="1055"/>
      <c r="E4432" s="1139"/>
      <c r="F4432" s="1139"/>
      <c r="G4432" s="1140">
        <v>8</v>
      </c>
      <c r="H4432" s="1136" t="s">
        <v>747</v>
      </c>
      <c r="I4432" s="1137" t="s">
        <v>747</v>
      </c>
      <c r="J4432" s="1054">
        <f>G206</f>
        <v>524.70000000000005</v>
      </c>
      <c r="K4432" s="1054">
        <f>ROUND(G4432*J4432,2)</f>
        <v>4197.6000000000004</v>
      </c>
      <c r="L4432" s="1059"/>
      <c r="T4432" s="716"/>
    </row>
    <row r="4433" spans="1:20" s="714" customFormat="1">
      <c r="A4433" s="1169"/>
      <c r="B4433" s="1055" t="s">
        <v>1437</v>
      </c>
      <c r="C4433" s="1055"/>
      <c r="D4433" s="1055"/>
      <c r="E4433" s="1139"/>
      <c r="F4433" s="1139"/>
      <c r="G4433" s="1140"/>
      <c r="H4433" s="1136"/>
      <c r="I4433" s="1137"/>
      <c r="J4433" s="1141"/>
      <c r="K4433" s="1052">
        <f>ROUND(K4432/708,2)</f>
        <v>5.93</v>
      </c>
      <c r="L4433" s="1059"/>
      <c r="T4433" s="716"/>
    </row>
    <row r="4434" spans="1:20" s="714" customFormat="1">
      <c r="A4434" s="1169"/>
      <c r="B4434" s="1055" t="s">
        <v>772</v>
      </c>
      <c r="C4434" s="1055"/>
      <c r="D4434" s="1055"/>
      <c r="E4434" s="1139"/>
      <c r="F4434" s="1139"/>
      <c r="G4434" s="1140"/>
      <c r="H4434" s="1136"/>
      <c r="I4434" s="1137"/>
      <c r="J4434" s="1054"/>
      <c r="K4434" s="1054">
        <f>K4433*100</f>
        <v>593</v>
      </c>
      <c r="L4434" s="1059" t="s">
        <v>1438</v>
      </c>
      <c r="M4434" s="714" t="s">
        <v>1439</v>
      </c>
      <c r="T4434" s="716"/>
    </row>
    <row r="4435" spans="1:20" s="714" customFormat="1" ht="49.5" customHeight="1">
      <c r="A4435" s="1138">
        <f>A733</f>
        <v>161</v>
      </c>
      <c r="B4435" s="3400" t="str">
        <f>B733</f>
        <v>Compacting and watering upto OMC rolling earth work with PRR in embankment in layers not exceeding 0.23m by PRR including hire and running charges of the roller.</v>
      </c>
      <c r="C4435" s="3400"/>
      <c r="D4435" s="3400"/>
      <c r="E4435" s="1135" t="s">
        <v>390</v>
      </c>
      <c r="F4435" s="1135"/>
      <c r="G4435" s="1055"/>
      <c r="H4435" s="1136"/>
      <c r="I4435" s="1137"/>
      <c r="J4435" s="1055"/>
      <c r="K4435" s="1144"/>
      <c r="L4435" s="1059"/>
      <c r="T4435" s="716"/>
    </row>
    <row r="4436" spans="1:20" s="714" customFormat="1">
      <c r="A4436" s="1169" t="s">
        <v>627</v>
      </c>
      <c r="B4436" s="1055" t="s">
        <v>1432</v>
      </c>
      <c r="C4436" s="1055"/>
      <c r="D4436" s="1055"/>
      <c r="E4436" s="1139"/>
      <c r="F4436" s="1139"/>
      <c r="G4436" s="1054">
        <f>G206</f>
        <v>524.70000000000005</v>
      </c>
      <c r="H4436" s="1136" t="s">
        <v>1433</v>
      </c>
      <c r="I4436" s="1137"/>
      <c r="J4436" s="1054"/>
      <c r="T4436" s="716"/>
    </row>
    <row r="4437" spans="1:20" s="714" customFormat="1">
      <c r="A4437" s="1148"/>
      <c r="B4437" s="1055" t="s">
        <v>1434</v>
      </c>
      <c r="C4437" s="1055"/>
      <c r="D4437" s="1055"/>
      <c r="E4437" s="1139"/>
      <c r="F4437" s="1139"/>
      <c r="G4437" s="1054">
        <v>425</v>
      </c>
      <c r="H4437" s="1136" t="s">
        <v>1435</v>
      </c>
      <c r="I4437" s="1137"/>
      <c r="J4437" s="1055"/>
      <c r="T4437" s="716"/>
    </row>
    <row r="4438" spans="1:20" s="714" customFormat="1">
      <c r="A4438" s="1148"/>
      <c r="B4438" s="1055" t="s">
        <v>1440</v>
      </c>
      <c r="C4438" s="1055"/>
      <c r="D4438" s="1055"/>
      <c r="E4438" s="1139"/>
      <c r="F4438" s="1139"/>
      <c r="G4438" s="1140">
        <v>8</v>
      </c>
      <c r="H4438" s="1136" t="s">
        <v>747</v>
      </c>
      <c r="I4438" s="1137" t="s">
        <v>747</v>
      </c>
      <c r="J4438" s="1054">
        <f>G206</f>
        <v>524.70000000000005</v>
      </c>
      <c r="K4438" s="1054">
        <f>ROUND(G4438*J4438,2)</f>
        <v>4197.6000000000004</v>
      </c>
      <c r="L4438" s="1059"/>
      <c r="T4438" s="716"/>
    </row>
    <row r="4439" spans="1:20" s="714" customFormat="1">
      <c r="A4439" s="1169"/>
      <c r="B4439" s="1055" t="s">
        <v>1437</v>
      </c>
      <c r="C4439" s="1055"/>
      <c r="D4439" s="1055"/>
      <c r="E4439" s="1139"/>
      <c r="F4439" s="1139"/>
      <c r="G4439" s="1140"/>
      <c r="H4439" s="1136"/>
      <c r="I4439" s="1137"/>
      <c r="J4439" s="1141"/>
      <c r="K4439" s="1052">
        <f>ROUND(K4438/425,2)</f>
        <v>9.8800000000000008</v>
      </c>
      <c r="L4439" s="1059"/>
      <c r="T4439" s="716"/>
    </row>
    <row r="4440" spans="1:20" s="714" customFormat="1">
      <c r="A4440" s="1169"/>
      <c r="B4440" s="1055" t="s">
        <v>772</v>
      </c>
      <c r="C4440" s="1055"/>
      <c r="D4440" s="1055"/>
      <c r="E4440" s="1139"/>
      <c r="F4440" s="1139"/>
      <c r="G4440" s="1140"/>
      <c r="H4440" s="1136"/>
      <c r="I4440" s="1137"/>
      <c r="J4440" s="1054"/>
      <c r="K4440" s="1052">
        <f>K4439*100</f>
        <v>988.00000000000011</v>
      </c>
      <c r="L4440" s="1059" t="s">
        <v>1438</v>
      </c>
      <c r="M4440" s="716" t="s">
        <v>1439</v>
      </c>
      <c r="T4440" s="716"/>
    </row>
    <row r="4441" spans="1:20" s="714" customFormat="1" ht="48.75" customHeight="1">
      <c r="A4441" s="1169" t="s">
        <v>628</v>
      </c>
      <c r="B4441" s="3398" t="s">
        <v>1441</v>
      </c>
      <c r="C4441" s="3398"/>
      <c r="D4441" s="3398"/>
      <c r="E4441" s="1139"/>
      <c r="F4441" s="1139"/>
      <c r="G4441" s="1140"/>
      <c r="H4441" s="1136"/>
      <c r="I4441" s="1137"/>
      <c r="J4441" s="1054"/>
      <c r="K4441" s="1054"/>
      <c r="L4441" s="1059"/>
      <c r="T4441" s="716"/>
    </row>
    <row r="4442" spans="1:20" s="714" customFormat="1">
      <c r="A4442" s="1169"/>
      <c r="B4442" s="1055" t="s">
        <v>1442</v>
      </c>
      <c r="C4442" s="1055"/>
      <c r="D4442" s="1055"/>
      <c r="E4442" s="1139"/>
      <c r="F4442" s="1139"/>
      <c r="G4442" s="1140">
        <v>390</v>
      </c>
      <c r="H4442" s="1136" t="s">
        <v>1443</v>
      </c>
      <c r="I4442" s="1137">
        <v>5</v>
      </c>
      <c r="J4442" s="1054" t="s">
        <v>1444</v>
      </c>
      <c r="K4442" s="1054"/>
      <c r="L4442" s="1059"/>
      <c r="T4442" s="716"/>
    </row>
    <row r="4443" spans="1:20" s="714" customFormat="1">
      <c r="A4443" s="1169"/>
      <c r="B4443" s="1055"/>
      <c r="C4443" s="1055"/>
      <c r="D4443" s="1055"/>
      <c r="E4443" s="1139"/>
      <c r="F4443" s="1139"/>
      <c r="G4443" s="1140">
        <v>100</v>
      </c>
      <c r="H4443" s="1136" t="str">
        <f>H4442</f>
        <v>Cum Earth</v>
      </c>
      <c r="I4443" s="1137">
        <f>ROUND(I4442/G4442*G4443,2)</f>
        <v>1.28</v>
      </c>
      <c r="J4443" s="1054" t="str">
        <f>J4442</f>
        <v>Trips</v>
      </c>
      <c r="K4443" s="1054"/>
      <c r="L4443" s="1059"/>
      <c r="T4443" s="716"/>
    </row>
    <row r="4444" spans="1:20" s="714" customFormat="1">
      <c r="A4444" s="1169"/>
      <c r="B4444" s="1055" t="s">
        <v>1445</v>
      </c>
      <c r="C4444" s="1055"/>
      <c r="D4444" s="1055"/>
      <c r="E4444" s="1139"/>
      <c r="F4444" s="1139"/>
      <c r="G4444" s="1140">
        <v>1</v>
      </c>
      <c r="H4444" s="1136" t="s">
        <v>1283</v>
      </c>
      <c r="I4444" s="1162">
        <f>G207</f>
        <v>900.84</v>
      </c>
      <c r="J4444" s="1054"/>
      <c r="K4444" s="1054"/>
      <c r="L4444" s="1059"/>
      <c r="T4444" s="716"/>
    </row>
    <row r="4445" spans="1:20" s="714" customFormat="1">
      <c r="A4445" s="1169"/>
      <c r="B4445" s="1055" t="s">
        <v>1446</v>
      </c>
      <c r="C4445" s="1055"/>
      <c r="D4445" s="1055"/>
      <c r="E4445" s="1139"/>
      <c r="F4445" s="1139"/>
      <c r="G4445" s="1140">
        <v>1.28</v>
      </c>
      <c r="H4445" s="1136" t="s">
        <v>1283</v>
      </c>
      <c r="I4445" s="1137" t="s">
        <v>1283</v>
      </c>
      <c r="J4445" s="1054">
        <f>I4444</f>
        <v>900.84</v>
      </c>
      <c r="K4445" s="1054">
        <f>ROUND(G4445*J4445,2)</f>
        <v>1153.08</v>
      </c>
      <c r="L4445" s="1059" t="s">
        <v>151</v>
      </c>
      <c r="M4445" s="716" t="s">
        <v>1439</v>
      </c>
      <c r="T4445" s="716"/>
    </row>
    <row r="4446" spans="1:20" s="714" customFormat="1" ht="27.75" customHeight="1">
      <c r="A4446" s="1169" t="s">
        <v>629</v>
      </c>
      <c r="B4446" s="3398" t="s">
        <v>1447</v>
      </c>
      <c r="C4446" s="3398"/>
      <c r="D4446" s="3398"/>
      <c r="E4446" s="1139"/>
      <c r="F4446" s="1139"/>
      <c r="G4446" s="1140"/>
      <c r="H4446" s="1136"/>
      <c r="I4446" s="1137"/>
      <c r="J4446" s="1054"/>
      <c r="K4446" s="1054"/>
      <c r="L4446" s="1059"/>
      <c r="T4446" s="716"/>
    </row>
    <row r="4447" spans="1:20" s="714" customFormat="1">
      <c r="A4447" s="1169"/>
      <c r="B4447" s="1055" t="s">
        <v>1448</v>
      </c>
      <c r="C4447" s="1055"/>
      <c r="D4447" s="1055"/>
      <c r="E4447" s="1139"/>
      <c r="F4447" s="1139"/>
      <c r="G4447" s="1140">
        <v>390</v>
      </c>
      <c r="H4447" s="1136" t="s">
        <v>1443</v>
      </c>
      <c r="I4447" s="1137">
        <v>50</v>
      </c>
      <c r="J4447" s="1054" t="s">
        <v>262</v>
      </c>
      <c r="K4447" s="1054"/>
      <c r="L4447" s="1059"/>
      <c r="T4447" s="716"/>
    </row>
    <row r="4448" spans="1:20" s="714" customFormat="1">
      <c r="A4448" s="1169"/>
      <c r="B4448" s="1055"/>
      <c r="C4448" s="1055"/>
      <c r="D4448" s="1055"/>
      <c r="E4448" s="1139"/>
      <c r="F4448" s="1139"/>
      <c r="G4448" s="1140">
        <v>100</v>
      </c>
      <c r="H4448" s="1136" t="str">
        <f>H4447</f>
        <v>Cum Earth</v>
      </c>
      <c r="I4448" s="1162">
        <f>ROUND(I4447/G4447*G4448,1)</f>
        <v>12.8</v>
      </c>
      <c r="J4448" s="1054" t="str">
        <f>J4447</f>
        <v>Nos</v>
      </c>
      <c r="K4448" s="1054"/>
      <c r="L4448" s="1059"/>
      <c r="T4448" s="716"/>
    </row>
    <row r="4449" spans="1:20" s="714" customFormat="1">
      <c r="A4449" s="1169"/>
      <c r="B4449" s="1055" t="s">
        <v>768</v>
      </c>
      <c r="C4449" s="1055"/>
      <c r="D4449" s="1055"/>
      <c r="E4449" s="1139"/>
      <c r="F4449" s="1139"/>
      <c r="G4449" s="1140">
        <f>I4448</f>
        <v>12.8</v>
      </c>
      <c r="H4449" s="1178" t="str">
        <f>J4448</f>
        <v>Nos</v>
      </c>
      <c r="I4449" s="1137" t="s">
        <v>38</v>
      </c>
      <c r="J4449" s="1054">
        <f>L129</f>
        <v>182</v>
      </c>
      <c r="K4449" s="1054">
        <f>ROUND(G4449*J4449,2)</f>
        <v>2329.6</v>
      </c>
      <c r="L4449" s="1059" t="s">
        <v>1438</v>
      </c>
      <c r="M4449" s="714" t="s">
        <v>1439</v>
      </c>
      <c r="T4449" s="716"/>
    </row>
    <row r="4450" spans="1:20" s="714" customFormat="1">
      <c r="A4450" s="1169"/>
      <c r="B4450" s="1055" t="s">
        <v>1449</v>
      </c>
      <c r="C4450" s="1055"/>
      <c r="D4450" s="1055"/>
      <c r="E4450" s="1139"/>
      <c r="F4450" s="1139"/>
      <c r="G4450" s="1140"/>
      <c r="H4450" s="1136"/>
      <c r="I4450" s="1137" t="s">
        <v>1450</v>
      </c>
      <c r="J4450" s="1054"/>
      <c r="K4450" s="1054">
        <f>K4440+K4445+K4449</f>
        <v>4470.68</v>
      </c>
      <c r="L4450" s="1059" t="s">
        <v>1438</v>
      </c>
      <c r="M4450" s="714" t="s">
        <v>1439</v>
      </c>
      <c r="T4450" s="716"/>
    </row>
    <row r="4451" spans="1:20" s="714" customFormat="1">
      <c r="A4451" s="1169"/>
      <c r="B4451" s="1055"/>
      <c r="C4451" s="1055"/>
      <c r="D4451" s="1055"/>
      <c r="E4451" s="1139"/>
      <c r="F4451" s="1139"/>
      <c r="G4451" s="1140"/>
      <c r="H4451" s="1136"/>
      <c r="I4451" s="1137"/>
      <c r="J4451" s="1054"/>
      <c r="K4451" s="1052">
        <f>K4450/100</f>
        <v>44.706800000000001</v>
      </c>
      <c r="L4451" s="1059" t="s">
        <v>151</v>
      </c>
      <c r="M4451" s="716" t="s">
        <v>49</v>
      </c>
      <c r="T4451" s="716"/>
    </row>
    <row r="4452" spans="1:20" s="714" customFormat="1" ht="36.75" customHeight="1">
      <c r="A4452" s="1138">
        <f>A737</f>
        <v>162</v>
      </c>
      <c r="B4452" s="3400" t="str">
        <f>B737</f>
        <v>Sectioning and cambering earth work in road formation to proper specification approved by the department.</v>
      </c>
      <c r="C4452" s="3400"/>
      <c r="D4452" s="3400"/>
      <c r="E4452" s="1135" t="s">
        <v>381</v>
      </c>
      <c r="F4452" s="1135"/>
      <c r="G4452" s="1055"/>
      <c r="H4452" s="1136"/>
      <c r="I4452" s="1137"/>
      <c r="J4452" s="1055"/>
      <c r="K4452" s="1055"/>
      <c r="L4452" s="1059"/>
      <c r="T4452" s="716"/>
    </row>
    <row r="4453" spans="1:20" s="714" customFormat="1">
      <c r="A4453" s="1138"/>
      <c r="B4453" s="1053" t="s">
        <v>1348</v>
      </c>
      <c r="C4453" s="1171"/>
      <c r="D4453" s="1171"/>
      <c r="E4453" s="1142"/>
      <c r="F4453" s="1142"/>
      <c r="G4453" s="1055"/>
      <c r="H4453" s="1136"/>
      <c r="I4453" s="1137"/>
      <c r="J4453" s="1055"/>
      <c r="K4453" s="1055"/>
      <c r="L4453" s="1059"/>
      <c r="T4453" s="716"/>
    </row>
    <row r="4454" spans="1:20" s="714" customFormat="1">
      <c r="A4454" s="1148"/>
      <c r="B4454" s="1053" t="s">
        <v>1451</v>
      </c>
      <c r="C4454" s="1053"/>
      <c r="D4454" s="1055"/>
      <c r="E4454" s="1139"/>
      <c r="F4454" s="1139"/>
      <c r="G4454" s="1055"/>
      <c r="H4454" s="1136"/>
      <c r="I4454" s="1137"/>
      <c r="J4454" s="1055"/>
      <c r="K4454" s="1052"/>
      <c r="L4454" s="1059"/>
      <c r="T4454" s="716"/>
    </row>
    <row r="4455" spans="1:20" s="714" customFormat="1">
      <c r="A4455" s="1148"/>
      <c r="B4455" s="1055" t="s">
        <v>770</v>
      </c>
      <c r="C4455" s="1055"/>
      <c r="D4455" s="1172"/>
      <c r="E4455" s="1172"/>
      <c r="F4455" s="1172"/>
      <c r="G4455" s="1140">
        <v>0.75</v>
      </c>
      <c r="H4455" s="1136" t="s">
        <v>262</v>
      </c>
      <c r="I4455" s="1137" t="s">
        <v>38</v>
      </c>
      <c r="J4455" s="1054">
        <f>L129</f>
        <v>182</v>
      </c>
      <c r="K4455" s="1054">
        <f>ROUND(G4455*J4455,2)</f>
        <v>136.5</v>
      </c>
      <c r="L4455" s="1059"/>
      <c r="T4455" s="716"/>
    </row>
    <row r="4456" spans="1:20" s="714" customFormat="1">
      <c r="A4456" s="1148"/>
      <c r="B4456" s="1055"/>
      <c r="C4456" s="1055"/>
      <c r="D4456" s="1172"/>
      <c r="E4456" s="1172"/>
      <c r="F4456" s="1172"/>
      <c r="G4456" s="1140"/>
      <c r="H4456" s="1136"/>
      <c r="I4456" s="1137"/>
      <c r="J4456" s="1141" t="s">
        <v>718</v>
      </c>
      <c r="K4456" s="1052">
        <f>SUM(K4455)</f>
        <v>136.5</v>
      </c>
      <c r="L4456" s="1059"/>
      <c r="T4456" s="716"/>
    </row>
    <row r="4457" spans="1:20" s="714" customFormat="1">
      <c r="A4457" s="1148"/>
      <c r="B4457" s="1053" t="s">
        <v>1428</v>
      </c>
      <c r="C4457" s="1055"/>
      <c r="D4457" s="1055"/>
      <c r="E4457" s="1139"/>
      <c r="F4457" s="1139"/>
      <c r="G4457" s="1055"/>
      <c r="H4457" s="1136"/>
      <c r="I4457" s="1137"/>
      <c r="J4457" s="1055"/>
      <c r="K4457" s="1052">
        <f>ROUND(K4456*2%,2)</f>
        <v>2.73</v>
      </c>
      <c r="L4457" s="1059"/>
      <c r="T4457" s="716"/>
    </row>
    <row r="4458" spans="1:20" s="714" customFormat="1">
      <c r="A4458" s="1148"/>
      <c r="B4458" s="1055" t="s">
        <v>1452</v>
      </c>
      <c r="C4458" s="1055"/>
      <c r="D4458" s="1055"/>
      <c r="E4458" s="1139"/>
      <c r="F4458" s="1139"/>
      <c r="G4458" s="1055"/>
      <c r="H4458" s="1136"/>
      <c r="I4458" s="1137"/>
      <c r="J4458" s="1055"/>
      <c r="K4458" s="1052">
        <f>SUM(K4456:K4457)</f>
        <v>139.22999999999999</v>
      </c>
      <c r="L4458" s="1059"/>
      <c r="T4458" s="716"/>
    </row>
    <row r="4459" spans="1:20" s="714" customFormat="1">
      <c r="A4459" s="1148"/>
      <c r="B4459" s="1055" t="s">
        <v>1453</v>
      </c>
      <c r="C4459" s="1055"/>
      <c r="D4459" s="1055"/>
      <c r="E4459" s="1139"/>
      <c r="F4459" s="1139"/>
      <c r="G4459" s="1055"/>
      <c r="H4459" s="1136"/>
      <c r="I4459" s="1137"/>
      <c r="J4459" s="1055"/>
      <c r="K4459" s="1052">
        <f>K4458/100</f>
        <v>1.3922999999999999</v>
      </c>
      <c r="L4459" s="1059" t="s">
        <v>721</v>
      </c>
      <c r="T4459" s="716"/>
    </row>
    <row r="4460" spans="1:20" s="714" customFormat="1" ht="28.5" customHeight="1">
      <c r="A4460" s="1138">
        <f>A738</f>
        <v>163</v>
      </c>
      <c r="B4460" s="3400" t="str">
        <f>B738</f>
        <v>Ramming or rolling earth work with light HRR in embankment in layers not exceeding 0.30m</v>
      </c>
      <c r="C4460" s="3400"/>
      <c r="D4460" s="3400"/>
      <c r="E4460" s="1135" t="s">
        <v>381</v>
      </c>
      <c r="F4460" s="1135"/>
      <c r="G4460" s="1055"/>
      <c r="H4460" s="1136"/>
      <c r="I4460" s="1137"/>
      <c r="J4460" s="1055"/>
      <c r="K4460" s="1055"/>
      <c r="L4460" s="1059"/>
      <c r="T4460" s="716"/>
    </row>
    <row r="4461" spans="1:20" s="714" customFormat="1">
      <c r="A4461" s="1138"/>
      <c r="B4461" s="1053" t="s">
        <v>1454</v>
      </c>
      <c r="C4461" s="1171"/>
      <c r="D4461" s="1171"/>
      <c r="E4461" s="1142"/>
      <c r="F4461" s="1142"/>
      <c r="G4461" s="1055"/>
      <c r="H4461" s="1136"/>
      <c r="I4461" s="1137"/>
      <c r="J4461" s="1055"/>
      <c r="K4461" s="1055"/>
      <c r="L4461" s="1059"/>
      <c r="T4461" s="716"/>
    </row>
    <row r="4462" spans="1:20" s="714" customFormat="1">
      <c r="A4462" s="1148"/>
      <c r="B4462" s="1053" t="s">
        <v>1451</v>
      </c>
      <c r="C4462" s="1053"/>
      <c r="D4462" s="1055"/>
      <c r="E4462" s="1139"/>
      <c r="F4462" s="1139"/>
      <c r="G4462" s="1055"/>
      <c r="H4462" s="1136"/>
      <c r="I4462" s="1137"/>
      <c r="J4462" s="1055"/>
      <c r="K4462" s="1052"/>
      <c r="L4462" s="1059"/>
      <c r="T4462" s="716"/>
    </row>
    <row r="4463" spans="1:20" s="714" customFormat="1">
      <c r="A4463" s="1148"/>
      <c r="B4463" s="1055" t="s">
        <v>768</v>
      </c>
      <c r="C4463" s="1055"/>
      <c r="D4463" s="1172"/>
      <c r="E4463" s="1172"/>
      <c r="F4463" s="1172"/>
      <c r="G4463" s="1140">
        <v>0.75</v>
      </c>
      <c r="H4463" s="1136" t="s">
        <v>262</v>
      </c>
      <c r="I4463" s="1137" t="s">
        <v>38</v>
      </c>
      <c r="J4463" s="1054">
        <f>L129</f>
        <v>182</v>
      </c>
      <c r="K4463" s="1054">
        <f>ROUND(G4463*J4463,2)</f>
        <v>136.5</v>
      </c>
      <c r="L4463" s="1059"/>
      <c r="T4463" s="716"/>
    </row>
    <row r="4464" spans="1:20" s="714" customFormat="1">
      <c r="A4464" s="1148"/>
      <c r="B4464" s="1055" t="s">
        <v>770</v>
      </c>
      <c r="C4464" s="1055"/>
      <c r="D4464" s="1172"/>
      <c r="E4464" s="1172"/>
      <c r="F4464" s="1172"/>
      <c r="G4464" s="1140">
        <v>0.5</v>
      </c>
      <c r="H4464" s="1136" t="s">
        <v>262</v>
      </c>
      <c r="I4464" s="1137" t="s">
        <v>38</v>
      </c>
      <c r="J4464" s="1054">
        <f>L129</f>
        <v>182</v>
      </c>
      <c r="K4464" s="1054">
        <f>ROUND(G4464*J4464,2)</f>
        <v>91</v>
      </c>
      <c r="L4464" s="1059"/>
      <c r="T4464" s="716"/>
    </row>
    <row r="4465" spans="1:20" s="714" customFormat="1">
      <c r="A4465" s="1148"/>
      <c r="B4465" s="1055"/>
      <c r="C4465" s="1055"/>
      <c r="D4465" s="1172"/>
      <c r="E4465" s="1172"/>
      <c r="F4465" s="1172"/>
      <c r="G4465" s="1140"/>
      <c r="H4465" s="1136"/>
      <c r="I4465" s="1137"/>
      <c r="J4465" s="1141" t="s">
        <v>718</v>
      </c>
      <c r="K4465" s="1052">
        <f>SUM(K4463:K4464)</f>
        <v>227.5</v>
      </c>
      <c r="L4465" s="1059"/>
      <c r="T4465" s="716"/>
    </row>
    <row r="4466" spans="1:20" s="714" customFormat="1">
      <c r="A4466" s="1148"/>
      <c r="B4466" s="1053" t="s">
        <v>1428</v>
      </c>
      <c r="C4466" s="1055"/>
      <c r="D4466" s="1055"/>
      <c r="E4466" s="1139"/>
      <c r="F4466" s="1139"/>
      <c r="G4466" s="1055"/>
      <c r="H4466" s="1136"/>
      <c r="I4466" s="1137"/>
      <c r="J4466" s="1055"/>
      <c r="K4466" s="1052">
        <f>ROUND(K4465*2%,2)</f>
        <v>4.55</v>
      </c>
      <c r="L4466" s="1059"/>
      <c r="T4466" s="716"/>
    </row>
    <row r="4467" spans="1:20" s="714" customFormat="1">
      <c r="A4467" s="1148"/>
      <c r="B4467" s="1055" t="s">
        <v>1455</v>
      </c>
      <c r="C4467" s="1055"/>
      <c r="D4467" s="1055"/>
      <c r="E4467" s="1139"/>
      <c r="F4467" s="1139"/>
      <c r="G4467" s="1055"/>
      <c r="H4467" s="1136"/>
      <c r="I4467" s="1137"/>
      <c r="J4467" s="1055"/>
      <c r="K4467" s="1052">
        <f>SUM(K4465:K4466)</f>
        <v>232.05</v>
      </c>
      <c r="L4467" s="1059"/>
      <c r="T4467" s="716"/>
    </row>
    <row r="4468" spans="1:20" s="714" customFormat="1">
      <c r="A4468" s="1148"/>
      <c r="B4468" s="1055" t="s">
        <v>1456</v>
      </c>
      <c r="C4468" s="1055"/>
      <c r="D4468" s="1055"/>
      <c r="E4468" s="1139"/>
      <c r="F4468" s="1139"/>
      <c r="G4468" s="1055"/>
      <c r="H4468" s="1136"/>
      <c r="I4468" s="1137"/>
      <c r="J4468" s="1055"/>
      <c r="K4468" s="1052">
        <f>ROUND(K4467/28.31,2)</f>
        <v>8.1999999999999993</v>
      </c>
      <c r="L4468" s="1059" t="s">
        <v>721</v>
      </c>
      <c r="T4468" s="716"/>
    </row>
    <row r="4469" spans="1:20" s="714" customFormat="1" ht="41.25" customHeight="1">
      <c r="A4469" s="1138">
        <f>A739</f>
        <v>164</v>
      </c>
      <c r="B4469" s="3400" t="str">
        <f>B739</f>
        <v>Extra lead of 25mtr or part there of over the initial lead of 50m for earth work in all kinds of embankment and road works and ordinary earth work in general.</v>
      </c>
      <c r="C4469" s="3400"/>
      <c r="D4469" s="3400"/>
      <c r="E4469" s="1135" t="s">
        <v>381</v>
      </c>
      <c r="F4469" s="1135"/>
      <c r="G4469" s="1055"/>
      <c r="H4469" s="1136"/>
      <c r="I4469" s="1137"/>
      <c r="J4469" s="1055"/>
      <c r="K4469" s="1055"/>
      <c r="L4469" s="1059"/>
      <c r="T4469" s="716"/>
    </row>
    <row r="4470" spans="1:20" s="714" customFormat="1" ht="16.5" customHeight="1">
      <c r="A4470" s="1138"/>
      <c r="B4470" s="1145" t="s">
        <v>1457</v>
      </c>
      <c r="C4470" s="1146"/>
      <c r="D4470" s="1146"/>
      <c r="E4470" s="1135"/>
      <c r="F4470" s="1135"/>
      <c r="G4470" s="1055"/>
      <c r="H4470" s="1136"/>
      <c r="I4470" s="1137"/>
      <c r="J4470" s="1055"/>
      <c r="K4470" s="1055"/>
      <c r="L4470" s="1059"/>
      <c r="T4470" s="716"/>
    </row>
    <row r="4471" spans="1:20" s="714" customFormat="1">
      <c r="A4471" s="1138" t="s">
        <v>201</v>
      </c>
      <c r="B4471" s="1053" t="s">
        <v>1458</v>
      </c>
      <c r="C4471" s="1171"/>
      <c r="D4471" s="1171"/>
      <c r="E4471" s="1142"/>
      <c r="F4471" s="1142"/>
      <c r="G4471" s="1055"/>
      <c r="H4471" s="1136"/>
      <c r="I4471" s="1137"/>
      <c r="J4471" s="1055"/>
      <c r="K4471" s="1055"/>
      <c r="L4471" s="1059"/>
      <c r="T4471" s="716"/>
    </row>
    <row r="4472" spans="1:20" s="714" customFormat="1">
      <c r="A4472" s="1148"/>
      <c r="B4472" s="1053" t="s">
        <v>1451</v>
      </c>
      <c r="C4472" s="1053"/>
      <c r="D4472" s="1055"/>
      <c r="E4472" s="1139"/>
      <c r="F4472" s="1139"/>
      <c r="G4472" s="1055"/>
      <c r="H4472" s="1136"/>
      <c r="I4472" s="1137"/>
      <c r="J4472" s="1055"/>
      <c r="K4472" s="1052"/>
      <c r="L4472" s="1059"/>
      <c r="T4472" s="716"/>
    </row>
    <row r="4473" spans="1:20" s="714" customFormat="1">
      <c r="A4473" s="1148"/>
      <c r="B4473" s="1055" t="s">
        <v>768</v>
      </c>
      <c r="C4473" s="1055"/>
      <c r="D4473" s="1172"/>
      <c r="E4473" s="1172"/>
      <c r="F4473" s="1172"/>
      <c r="G4473" s="1140">
        <v>3</v>
      </c>
      <c r="H4473" s="1136" t="s">
        <v>262</v>
      </c>
      <c r="I4473" s="1137" t="s">
        <v>38</v>
      </c>
      <c r="J4473" s="1054">
        <f>L129</f>
        <v>182</v>
      </c>
      <c r="K4473" s="1054">
        <f>ROUND(G4473*J4473,2)</f>
        <v>546</v>
      </c>
      <c r="L4473" s="1059"/>
      <c r="T4473" s="716"/>
    </row>
    <row r="4474" spans="1:20" s="714" customFormat="1">
      <c r="A4474" s="1148"/>
      <c r="B4474" s="1055"/>
      <c r="C4474" s="1055"/>
      <c r="D4474" s="1172"/>
      <c r="E4474" s="1172"/>
      <c r="F4474" s="1172"/>
      <c r="G4474" s="1140"/>
      <c r="H4474" s="1136"/>
      <c r="I4474" s="1137"/>
      <c r="J4474" s="1141" t="s">
        <v>718</v>
      </c>
      <c r="K4474" s="1052">
        <f>SUM(K4473:K4473)</f>
        <v>546</v>
      </c>
      <c r="L4474" s="1059"/>
      <c r="T4474" s="716"/>
    </row>
    <row r="4475" spans="1:20" s="714" customFormat="1">
      <c r="A4475" s="1148"/>
      <c r="B4475" s="1053" t="s">
        <v>1428</v>
      </c>
      <c r="C4475" s="1055"/>
      <c r="D4475" s="1055"/>
      <c r="E4475" s="1139"/>
      <c r="F4475" s="1139"/>
      <c r="G4475" s="1055"/>
      <c r="H4475" s="1136"/>
      <c r="I4475" s="1137"/>
      <c r="J4475" s="1055"/>
      <c r="K4475" s="1052">
        <f>ROUND(K4474*2%,2)</f>
        <v>10.92</v>
      </c>
      <c r="L4475" s="1059"/>
      <c r="T4475" s="716"/>
    </row>
    <row r="4476" spans="1:20" s="714" customFormat="1">
      <c r="A4476" s="1148"/>
      <c r="B4476" s="1055" t="s">
        <v>1452</v>
      </c>
      <c r="C4476" s="1055"/>
      <c r="D4476" s="1055"/>
      <c r="E4476" s="1139"/>
      <c r="F4476" s="1139"/>
      <c r="G4476" s="1055"/>
      <c r="H4476" s="1136"/>
      <c r="I4476" s="1137"/>
      <c r="J4476" s="1055"/>
      <c r="K4476" s="1052">
        <f>SUM(K4474:K4475)</f>
        <v>556.91999999999996</v>
      </c>
      <c r="L4476" s="1059"/>
      <c r="T4476" s="716"/>
    </row>
    <row r="4477" spans="1:20" s="714" customFormat="1">
      <c r="A4477" s="1148"/>
      <c r="B4477" s="1055" t="s">
        <v>1453</v>
      </c>
      <c r="C4477" s="1055"/>
      <c r="D4477" s="1055"/>
      <c r="E4477" s="1139"/>
      <c r="F4477" s="1139"/>
      <c r="G4477" s="1055"/>
      <c r="H4477" s="1136"/>
      <c r="I4477" s="1137"/>
      <c r="J4477" s="1055"/>
      <c r="K4477" s="1052">
        <f>ROUND(K4476/100,2)</f>
        <v>5.57</v>
      </c>
      <c r="L4477" s="1059" t="s">
        <v>721</v>
      </c>
      <c r="T4477" s="716"/>
    </row>
    <row r="4478" spans="1:20" s="714" customFormat="1">
      <c r="A4478" s="1138" t="s">
        <v>220</v>
      </c>
      <c r="B4478" s="1053" t="s">
        <v>1459</v>
      </c>
      <c r="C4478" s="1171"/>
      <c r="D4478" s="1171"/>
      <c r="E4478" s="1142"/>
      <c r="F4478" s="1142"/>
      <c r="G4478" s="1055"/>
      <c r="H4478" s="1136"/>
      <c r="I4478" s="1137"/>
      <c r="J4478" s="1055"/>
      <c r="K4478" s="1055"/>
      <c r="L4478" s="1059"/>
      <c r="T4478" s="716"/>
    </row>
    <row r="4479" spans="1:20" s="714" customFormat="1">
      <c r="A4479" s="1148"/>
      <c r="B4479" s="1053" t="s">
        <v>1451</v>
      </c>
      <c r="C4479" s="1053"/>
      <c r="D4479" s="1055"/>
      <c r="E4479" s="1139"/>
      <c r="F4479" s="1139"/>
      <c r="G4479" s="1055"/>
      <c r="H4479" s="1136"/>
      <c r="I4479" s="1137"/>
      <c r="J4479" s="1055"/>
      <c r="K4479" s="1052"/>
      <c r="L4479" s="1059"/>
      <c r="T4479" s="716"/>
    </row>
    <row r="4480" spans="1:20" s="714" customFormat="1">
      <c r="A4480" s="1148"/>
      <c r="B4480" s="1055" t="s">
        <v>768</v>
      </c>
      <c r="C4480" s="1055"/>
      <c r="D4480" s="1172"/>
      <c r="E4480" s="1172"/>
      <c r="F4480" s="1172"/>
      <c r="G4480" s="1140">
        <v>3.5</v>
      </c>
      <c r="H4480" s="1136" t="s">
        <v>262</v>
      </c>
      <c r="I4480" s="1137" t="s">
        <v>38</v>
      </c>
      <c r="J4480" s="1054">
        <f>L129</f>
        <v>182</v>
      </c>
      <c r="K4480" s="1054">
        <f>ROUND(G4480*J4480,2)</f>
        <v>637</v>
      </c>
      <c r="L4480" s="1059"/>
      <c r="T4480" s="716"/>
    </row>
    <row r="4481" spans="1:20" s="714" customFormat="1">
      <c r="A4481" s="1148"/>
      <c r="B4481" s="1055"/>
      <c r="C4481" s="1055"/>
      <c r="D4481" s="1172"/>
      <c r="E4481" s="1172"/>
      <c r="F4481" s="1172"/>
      <c r="G4481" s="1140"/>
      <c r="H4481" s="1136"/>
      <c r="I4481" s="1137"/>
      <c r="J4481" s="1141" t="s">
        <v>718</v>
      </c>
      <c r="K4481" s="1052">
        <f>SUM(K4480:K4480)</f>
        <v>637</v>
      </c>
      <c r="L4481" s="1059"/>
      <c r="T4481" s="716"/>
    </row>
    <row r="4482" spans="1:20" s="714" customFormat="1">
      <c r="A4482" s="1148"/>
      <c r="B4482" s="1053" t="s">
        <v>1428</v>
      </c>
      <c r="C4482" s="1055"/>
      <c r="D4482" s="1055"/>
      <c r="E4482" s="1139"/>
      <c r="F4482" s="1139"/>
      <c r="G4482" s="1055"/>
      <c r="H4482" s="1136"/>
      <c r="I4482" s="1137"/>
      <c r="J4482" s="1055"/>
      <c r="K4482" s="1052">
        <f>ROUND(K4481*2%,2)</f>
        <v>12.74</v>
      </c>
      <c r="L4482" s="1059"/>
      <c r="T4482" s="716"/>
    </row>
    <row r="4483" spans="1:20" s="714" customFormat="1">
      <c r="A4483" s="1148"/>
      <c r="B4483" s="1055" t="s">
        <v>1452</v>
      </c>
      <c r="C4483" s="1055"/>
      <c r="D4483" s="1055"/>
      <c r="E4483" s="1139"/>
      <c r="F4483" s="1139"/>
      <c r="G4483" s="1055"/>
      <c r="H4483" s="1136"/>
      <c r="I4483" s="1137"/>
      <c r="J4483" s="1055"/>
      <c r="K4483" s="1052">
        <f>SUM(K4481:K4482)</f>
        <v>649.74</v>
      </c>
      <c r="L4483" s="1059"/>
      <c r="T4483" s="716"/>
    </row>
    <row r="4484" spans="1:20" s="714" customFormat="1">
      <c r="A4484" s="1148"/>
      <c r="B4484" s="1055" t="s">
        <v>1453</v>
      </c>
      <c r="C4484" s="1055"/>
      <c r="D4484" s="1055"/>
      <c r="E4484" s="1139"/>
      <c r="F4484" s="1139"/>
      <c r="G4484" s="1055"/>
      <c r="H4484" s="1136"/>
      <c r="I4484" s="1137"/>
      <c r="J4484" s="1055"/>
      <c r="K4484" s="1052">
        <f>ROUND(K4483/100,2)</f>
        <v>6.5</v>
      </c>
      <c r="L4484" s="1059" t="s">
        <v>721</v>
      </c>
      <c r="T4484" s="716"/>
    </row>
    <row r="4485" spans="1:20" s="714" customFormat="1">
      <c r="A4485" s="1138" t="s">
        <v>244</v>
      </c>
      <c r="B4485" s="1053" t="s">
        <v>1460</v>
      </c>
      <c r="C4485" s="1171"/>
      <c r="D4485" s="1171"/>
      <c r="E4485" s="1142"/>
      <c r="F4485" s="1142"/>
      <c r="G4485" s="1055"/>
      <c r="H4485" s="1136"/>
      <c r="I4485" s="1137"/>
      <c r="J4485" s="1055"/>
      <c r="K4485" s="1055"/>
      <c r="L4485" s="1059"/>
      <c r="T4485" s="716"/>
    </row>
    <row r="4486" spans="1:20" s="714" customFormat="1">
      <c r="A4486" s="1148"/>
      <c r="B4486" s="1053" t="s">
        <v>1451</v>
      </c>
      <c r="C4486" s="1053"/>
      <c r="D4486" s="1055"/>
      <c r="E4486" s="1139"/>
      <c r="F4486" s="1139"/>
      <c r="G4486" s="1055"/>
      <c r="H4486" s="1136"/>
      <c r="I4486" s="1137"/>
      <c r="J4486" s="1055"/>
      <c r="K4486" s="1052"/>
      <c r="L4486" s="1059"/>
      <c r="T4486" s="716"/>
    </row>
    <row r="4487" spans="1:20" s="714" customFormat="1">
      <c r="A4487" s="1148"/>
      <c r="B4487" s="1055" t="s">
        <v>768</v>
      </c>
      <c r="C4487" s="1055"/>
      <c r="D4487" s="1172"/>
      <c r="E4487" s="1172"/>
      <c r="F4487" s="1172"/>
      <c r="G4487" s="1140">
        <v>4</v>
      </c>
      <c r="H4487" s="1136" t="s">
        <v>262</v>
      </c>
      <c r="I4487" s="1137" t="s">
        <v>38</v>
      </c>
      <c r="J4487" s="1054">
        <f>L129</f>
        <v>182</v>
      </c>
      <c r="K4487" s="1054">
        <f>ROUND(G4487*J4487,2)</f>
        <v>728</v>
      </c>
      <c r="L4487" s="1059"/>
      <c r="T4487" s="716"/>
    </row>
    <row r="4488" spans="1:20" s="714" customFormat="1">
      <c r="A4488" s="1148"/>
      <c r="B4488" s="1055"/>
      <c r="C4488" s="1055"/>
      <c r="D4488" s="1172"/>
      <c r="E4488" s="1172"/>
      <c r="F4488" s="1172"/>
      <c r="G4488" s="1140"/>
      <c r="H4488" s="1136"/>
      <c r="I4488" s="1137"/>
      <c r="J4488" s="1141" t="s">
        <v>718</v>
      </c>
      <c r="K4488" s="1052">
        <f>SUM(K4487:K4487)</f>
        <v>728</v>
      </c>
      <c r="L4488" s="1059"/>
      <c r="T4488" s="716"/>
    </row>
    <row r="4489" spans="1:20" s="714" customFormat="1">
      <c r="A4489" s="1148"/>
      <c r="B4489" s="1053" t="s">
        <v>1428</v>
      </c>
      <c r="C4489" s="1055"/>
      <c r="D4489" s="1055"/>
      <c r="E4489" s="1139"/>
      <c r="F4489" s="1139"/>
      <c r="G4489" s="1055"/>
      <c r="H4489" s="1136"/>
      <c r="I4489" s="1137"/>
      <c r="J4489" s="1055"/>
      <c r="K4489" s="1052">
        <f>K4488*2%</f>
        <v>14.56</v>
      </c>
      <c r="L4489" s="1059"/>
      <c r="T4489" s="716"/>
    </row>
    <row r="4490" spans="1:20" s="714" customFormat="1">
      <c r="A4490" s="1148"/>
      <c r="B4490" s="1055" t="s">
        <v>1452</v>
      </c>
      <c r="C4490" s="1055"/>
      <c r="D4490" s="1055"/>
      <c r="E4490" s="1139"/>
      <c r="F4490" s="1139"/>
      <c r="G4490" s="1055"/>
      <c r="H4490" s="1136"/>
      <c r="I4490" s="1137"/>
      <c r="J4490" s="1055"/>
      <c r="K4490" s="1052">
        <f>SUM(K4488:K4489)</f>
        <v>742.56</v>
      </c>
      <c r="L4490" s="1059"/>
      <c r="T4490" s="716"/>
    </row>
    <row r="4491" spans="1:20" s="714" customFormat="1">
      <c r="A4491" s="1148"/>
      <c r="B4491" s="1055" t="s">
        <v>1453</v>
      </c>
      <c r="C4491" s="1055"/>
      <c r="D4491" s="1055"/>
      <c r="E4491" s="1139"/>
      <c r="F4491" s="1139"/>
      <c r="G4491" s="1055"/>
      <c r="H4491" s="1136"/>
      <c r="I4491" s="1137"/>
      <c r="J4491" s="1055"/>
      <c r="K4491" s="1052">
        <f>ROUND(K4490/100,2)</f>
        <v>7.43</v>
      </c>
      <c r="L4491" s="1059" t="s">
        <v>721</v>
      </c>
      <c r="T4491" s="716"/>
    </row>
    <row r="4492" spans="1:20" s="714" customFormat="1">
      <c r="A4492" s="1138" t="s">
        <v>291</v>
      </c>
      <c r="B4492" s="1053" t="s">
        <v>1461</v>
      </c>
      <c r="C4492" s="1171"/>
      <c r="D4492" s="1171"/>
      <c r="E4492" s="1142"/>
      <c r="F4492" s="1142"/>
      <c r="G4492" s="1055"/>
      <c r="H4492" s="1136"/>
      <c r="I4492" s="1137"/>
      <c r="J4492" s="1055"/>
      <c r="K4492" s="1055"/>
      <c r="L4492" s="1059"/>
      <c r="T4492" s="716"/>
    </row>
    <row r="4493" spans="1:20" s="714" customFormat="1">
      <c r="A4493" s="1148"/>
      <c r="B4493" s="1053" t="s">
        <v>1451</v>
      </c>
      <c r="C4493" s="1053"/>
      <c r="D4493" s="1055"/>
      <c r="E4493" s="1139"/>
      <c r="F4493" s="1139"/>
      <c r="G4493" s="1055"/>
      <c r="H4493" s="1136"/>
      <c r="I4493" s="1137"/>
      <c r="J4493" s="1055"/>
      <c r="K4493" s="1052"/>
      <c r="L4493" s="1059"/>
      <c r="T4493" s="716"/>
    </row>
    <row r="4494" spans="1:20" s="714" customFormat="1">
      <c r="A4494" s="1148"/>
      <c r="B4494" s="1055" t="s">
        <v>768</v>
      </c>
      <c r="C4494" s="1055"/>
      <c r="D4494" s="1172"/>
      <c r="E4494" s="1172"/>
      <c r="F4494" s="1172"/>
      <c r="G4494" s="1140">
        <v>4.5</v>
      </c>
      <c r="H4494" s="1136" t="s">
        <v>262</v>
      </c>
      <c r="I4494" s="1137" t="s">
        <v>38</v>
      </c>
      <c r="J4494" s="1054">
        <f>L129</f>
        <v>182</v>
      </c>
      <c r="K4494" s="1054">
        <f>ROUND(G4494*J4494,2)</f>
        <v>819</v>
      </c>
      <c r="L4494" s="1059"/>
      <c r="T4494" s="716"/>
    </row>
    <row r="4495" spans="1:20" s="714" customFormat="1">
      <c r="A4495" s="1148"/>
      <c r="B4495" s="1055"/>
      <c r="C4495" s="1055"/>
      <c r="D4495" s="1172"/>
      <c r="E4495" s="1172"/>
      <c r="F4495" s="1172"/>
      <c r="G4495" s="1140"/>
      <c r="H4495" s="1136"/>
      <c r="I4495" s="1137"/>
      <c r="J4495" s="1141" t="s">
        <v>718</v>
      </c>
      <c r="K4495" s="1052">
        <f>SUM(K4494:K4494)</f>
        <v>819</v>
      </c>
      <c r="L4495" s="1059"/>
      <c r="T4495" s="716"/>
    </row>
    <row r="4496" spans="1:20" s="714" customFormat="1">
      <c r="A4496" s="1148"/>
      <c r="B4496" s="1053" t="s">
        <v>1428</v>
      </c>
      <c r="C4496" s="1055"/>
      <c r="D4496" s="1055"/>
      <c r="E4496" s="1139"/>
      <c r="F4496" s="1139"/>
      <c r="G4496" s="1055"/>
      <c r="H4496" s="1136"/>
      <c r="I4496" s="1137"/>
      <c r="J4496" s="1055"/>
      <c r="K4496" s="1052">
        <f>K4495*2%</f>
        <v>16.38</v>
      </c>
      <c r="L4496" s="1059"/>
      <c r="T4496" s="716"/>
    </row>
    <row r="4497" spans="1:20" s="714" customFormat="1">
      <c r="A4497" s="1148"/>
      <c r="B4497" s="1053" t="s">
        <v>1452</v>
      </c>
      <c r="C4497" s="1055"/>
      <c r="D4497" s="1055"/>
      <c r="E4497" s="1139"/>
      <c r="F4497" s="1139"/>
      <c r="G4497" s="1055"/>
      <c r="H4497" s="1136"/>
      <c r="I4497" s="1137"/>
      <c r="J4497" s="1055"/>
      <c r="K4497" s="1052">
        <f>SUM(K4495:K4496)</f>
        <v>835.38</v>
      </c>
      <c r="L4497" s="1059"/>
      <c r="T4497" s="716"/>
    </row>
    <row r="4498" spans="1:20" s="714" customFormat="1">
      <c r="A4498" s="1148"/>
      <c r="B4498" s="1053" t="s">
        <v>1453</v>
      </c>
      <c r="C4498" s="1055"/>
      <c r="D4498" s="1055"/>
      <c r="E4498" s="1139"/>
      <c r="F4498" s="1139"/>
      <c r="G4498" s="1055"/>
      <c r="H4498" s="1136"/>
      <c r="I4498" s="1137"/>
      <c r="J4498" s="1055"/>
      <c r="K4498" s="1052">
        <f>ROUND(K4497/100,2)</f>
        <v>8.35</v>
      </c>
      <c r="L4498" s="1059" t="s">
        <v>721</v>
      </c>
      <c r="T4498" s="716"/>
    </row>
    <row r="4499" spans="1:20" s="714" customFormat="1">
      <c r="A4499" s="1138" t="s">
        <v>308</v>
      </c>
      <c r="B4499" s="1053" t="s">
        <v>1462</v>
      </c>
      <c r="C4499" s="1171"/>
      <c r="D4499" s="1171"/>
      <c r="E4499" s="1142"/>
      <c r="F4499" s="1142"/>
      <c r="G4499" s="1055"/>
      <c r="H4499" s="1136"/>
      <c r="I4499" s="1137"/>
      <c r="J4499" s="1055"/>
      <c r="K4499" s="1055"/>
      <c r="L4499" s="1059"/>
      <c r="T4499" s="716"/>
    </row>
    <row r="4500" spans="1:20" s="714" customFormat="1">
      <c r="A4500" s="1148"/>
      <c r="B4500" s="1053" t="s">
        <v>1451</v>
      </c>
      <c r="C4500" s="1053"/>
      <c r="D4500" s="1055"/>
      <c r="E4500" s="1139"/>
      <c r="F4500" s="1139"/>
      <c r="G4500" s="1055"/>
      <c r="H4500" s="1136"/>
      <c r="I4500" s="1137"/>
      <c r="J4500" s="1055"/>
      <c r="K4500" s="1052"/>
      <c r="L4500" s="1059"/>
      <c r="T4500" s="716"/>
    </row>
    <row r="4501" spans="1:20" s="714" customFormat="1">
      <c r="A4501" s="1148"/>
      <c r="B4501" s="1055" t="s">
        <v>768</v>
      </c>
      <c r="C4501" s="1055"/>
      <c r="D4501" s="1172"/>
      <c r="E4501" s="1172"/>
      <c r="F4501" s="1172"/>
      <c r="G4501" s="1140">
        <v>5</v>
      </c>
      <c r="H4501" s="1136" t="s">
        <v>262</v>
      </c>
      <c r="I4501" s="1137" t="s">
        <v>38</v>
      </c>
      <c r="J4501" s="1054">
        <f>L129</f>
        <v>182</v>
      </c>
      <c r="K4501" s="1054">
        <f>ROUND(G4501*J4501,2)</f>
        <v>910</v>
      </c>
      <c r="L4501" s="1059"/>
      <c r="T4501" s="716"/>
    </row>
    <row r="4502" spans="1:20" s="714" customFormat="1">
      <c r="A4502" s="1148"/>
      <c r="B4502" s="1055"/>
      <c r="C4502" s="1055"/>
      <c r="D4502" s="1172"/>
      <c r="E4502" s="1172"/>
      <c r="F4502" s="1172"/>
      <c r="G4502" s="1140"/>
      <c r="H4502" s="1136"/>
      <c r="I4502" s="1137"/>
      <c r="J4502" s="1141" t="s">
        <v>718</v>
      </c>
      <c r="K4502" s="1052">
        <f>SUM(K4501:K4501)</f>
        <v>910</v>
      </c>
      <c r="L4502" s="1059"/>
      <c r="T4502" s="716"/>
    </row>
    <row r="4503" spans="1:20" s="714" customFormat="1">
      <c r="A4503" s="1148"/>
      <c r="B4503" s="1053" t="s">
        <v>1428</v>
      </c>
      <c r="C4503" s="1055"/>
      <c r="D4503" s="1055"/>
      <c r="E4503" s="1139"/>
      <c r="F4503" s="1139"/>
      <c r="G4503" s="1055"/>
      <c r="H4503" s="1136"/>
      <c r="I4503" s="1137"/>
      <c r="J4503" s="1055"/>
      <c r="K4503" s="1052">
        <f>K4502*2%</f>
        <v>18.2</v>
      </c>
      <c r="L4503" s="1059"/>
      <c r="T4503" s="716"/>
    </row>
    <row r="4504" spans="1:20" s="714" customFormat="1">
      <c r="A4504" s="1148"/>
      <c r="B4504" s="1053" t="s">
        <v>1452</v>
      </c>
      <c r="C4504" s="1055"/>
      <c r="D4504" s="1055"/>
      <c r="E4504" s="1139"/>
      <c r="F4504" s="1139"/>
      <c r="G4504" s="1055"/>
      <c r="H4504" s="1136"/>
      <c r="I4504" s="1137"/>
      <c r="J4504" s="1055"/>
      <c r="K4504" s="1052">
        <f>SUM(K4502:K4503)</f>
        <v>928.2</v>
      </c>
      <c r="L4504" s="1059"/>
      <c r="T4504" s="716"/>
    </row>
    <row r="4505" spans="1:20" s="714" customFormat="1">
      <c r="A4505" s="1148"/>
      <c r="B4505" s="1053" t="s">
        <v>1453</v>
      </c>
      <c r="C4505" s="1055"/>
      <c r="D4505" s="1055"/>
      <c r="E4505" s="1139"/>
      <c r="F4505" s="1139"/>
      <c r="G4505" s="1055"/>
      <c r="H4505" s="1136"/>
      <c r="I4505" s="1137"/>
      <c r="J4505" s="1055"/>
      <c r="K4505" s="1052">
        <f>ROUND(K4504/100,2)</f>
        <v>9.2799999999999994</v>
      </c>
      <c r="L4505" s="1059" t="s">
        <v>721</v>
      </c>
      <c r="T4505" s="716"/>
    </row>
    <row r="4506" spans="1:20" s="714" customFormat="1" ht="36.75" customHeight="1">
      <c r="A4506" s="1138">
        <f>A745</f>
        <v>165</v>
      </c>
      <c r="B4506" s="3400" t="str">
        <f>B745</f>
        <v>Extra lift of 1.5mtr or part there of over the initial lift of 1.5m in all kinds of embankment and road works and ordinary earth work in general.</v>
      </c>
      <c r="C4506" s="3400"/>
      <c r="D4506" s="3400"/>
      <c r="E4506" s="1135" t="s">
        <v>381</v>
      </c>
      <c r="F4506" s="1135"/>
      <c r="G4506" s="1055"/>
      <c r="H4506" s="1136"/>
      <c r="I4506" s="1137"/>
      <c r="J4506" s="1055"/>
      <c r="K4506" s="1055"/>
      <c r="L4506" s="1059"/>
      <c r="T4506" s="716"/>
    </row>
    <row r="4507" spans="1:20" s="714" customFormat="1" ht="16.5" customHeight="1">
      <c r="A4507" s="1138"/>
      <c r="B4507" s="710" t="s">
        <v>1463</v>
      </c>
      <c r="C4507" s="1146"/>
      <c r="D4507" s="1146"/>
      <c r="E4507" s="1135"/>
      <c r="F4507" s="1135"/>
      <c r="G4507" s="1055"/>
      <c r="H4507" s="1136"/>
      <c r="I4507" s="1137"/>
      <c r="J4507" s="1055"/>
      <c r="K4507" s="1055"/>
      <c r="L4507" s="1059"/>
      <c r="T4507" s="716"/>
    </row>
    <row r="4508" spans="1:20" s="714" customFormat="1">
      <c r="A4508" s="1148"/>
      <c r="B4508" s="1053" t="s">
        <v>1451</v>
      </c>
      <c r="C4508" s="1053"/>
      <c r="D4508" s="1055"/>
      <c r="E4508" s="1139"/>
      <c r="F4508" s="1139"/>
      <c r="G4508" s="1055"/>
      <c r="H4508" s="1136"/>
      <c r="I4508" s="1137"/>
      <c r="J4508" s="1055"/>
      <c r="K4508" s="1052"/>
      <c r="L4508" s="1059"/>
      <c r="T4508" s="716"/>
    </row>
    <row r="4509" spans="1:20" s="714" customFormat="1">
      <c r="A4509" s="1148"/>
      <c r="B4509" s="1055" t="s">
        <v>768</v>
      </c>
      <c r="C4509" s="1055"/>
      <c r="D4509" s="1172"/>
      <c r="E4509" s="1172"/>
      <c r="F4509" s="1172"/>
      <c r="G4509" s="1140">
        <v>4.0999999999999996</v>
      </c>
      <c r="H4509" s="1136" t="s">
        <v>262</v>
      </c>
      <c r="I4509" s="1137" t="s">
        <v>38</v>
      </c>
      <c r="J4509" s="1054">
        <f>L129</f>
        <v>182</v>
      </c>
      <c r="K4509" s="1054">
        <f>ROUND(G4509*J4509,2)</f>
        <v>746.2</v>
      </c>
      <c r="L4509" s="1059"/>
      <c r="T4509" s="716"/>
    </row>
    <row r="4510" spans="1:20" s="714" customFormat="1">
      <c r="A4510" s="1148"/>
      <c r="B4510" s="1055"/>
      <c r="C4510" s="1055"/>
      <c r="D4510" s="1172"/>
      <c r="E4510" s="1172"/>
      <c r="F4510" s="1172"/>
      <c r="G4510" s="1140"/>
      <c r="H4510" s="1136"/>
      <c r="I4510" s="1137"/>
      <c r="J4510" s="1141" t="s">
        <v>718</v>
      </c>
      <c r="K4510" s="1052">
        <f>SUM(K4509:K4509)</f>
        <v>746.2</v>
      </c>
      <c r="L4510" s="1059"/>
      <c r="T4510" s="716"/>
    </row>
    <row r="4511" spans="1:20" s="714" customFormat="1">
      <c r="A4511" s="1148"/>
      <c r="B4511" s="1053" t="s">
        <v>1428</v>
      </c>
      <c r="C4511" s="1055"/>
      <c r="D4511" s="1055"/>
      <c r="E4511" s="1139"/>
      <c r="F4511" s="1139"/>
      <c r="G4511" s="1055"/>
      <c r="H4511" s="1136"/>
      <c r="I4511" s="1137"/>
      <c r="J4511" s="1055"/>
      <c r="K4511" s="1052">
        <f>K4510*2%</f>
        <v>14.924000000000001</v>
      </c>
      <c r="L4511" s="1059"/>
      <c r="T4511" s="716"/>
    </row>
    <row r="4512" spans="1:20" s="714" customFormat="1">
      <c r="A4512" s="1148"/>
      <c r="B4512" s="1053" t="s">
        <v>1452</v>
      </c>
      <c r="C4512" s="1055"/>
      <c r="D4512" s="1055"/>
      <c r="E4512" s="1139"/>
      <c r="F4512" s="1139"/>
      <c r="G4512" s="1055"/>
      <c r="H4512" s="1136"/>
      <c r="I4512" s="1137"/>
      <c r="J4512" s="1055"/>
      <c r="K4512" s="1052">
        <f>SUM(K4510:K4511)</f>
        <v>761.12400000000002</v>
      </c>
      <c r="L4512" s="1059"/>
      <c r="T4512" s="716"/>
    </row>
    <row r="4513" spans="1:20" s="714" customFormat="1">
      <c r="A4513" s="1148"/>
      <c r="B4513" s="1053" t="s">
        <v>1453</v>
      </c>
      <c r="C4513" s="1055"/>
      <c r="D4513" s="1055"/>
      <c r="E4513" s="1139"/>
      <c r="F4513" s="1139"/>
      <c r="G4513" s="1055"/>
      <c r="H4513" s="1136"/>
      <c r="I4513" s="1137"/>
      <c r="J4513" s="1055"/>
      <c r="K4513" s="1052">
        <f>ROUND(K4512/100,2)</f>
        <v>7.61</v>
      </c>
      <c r="L4513" s="1059" t="s">
        <v>721</v>
      </c>
      <c r="T4513" s="716"/>
    </row>
    <row r="4514" spans="1:20" s="714" customFormat="1" ht="27.75" customHeight="1">
      <c r="A4514" s="710">
        <f>A746</f>
        <v>166</v>
      </c>
      <c r="B4514" s="3269" t="str">
        <f>B746</f>
        <v>Sinking masonry well 1.50 M dia in ordinary soil upto 4.55M deep (Labour only)</v>
      </c>
      <c r="C4514" s="3269"/>
      <c r="D4514" s="3269"/>
      <c r="E4514" s="714" t="s">
        <v>492</v>
      </c>
    </row>
    <row r="4515" spans="1:20" s="714" customFormat="1" ht="16.5" customHeight="1">
      <c r="A4515" s="709"/>
      <c r="B4515" s="714" t="s">
        <v>1464</v>
      </c>
    </row>
    <row r="4516" spans="1:20" s="714" customFormat="1">
      <c r="A4516" s="709"/>
      <c r="B4516" s="714" t="s">
        <v>1451</v>
      </c>
    </row>
    <row r="4517" spans="1:20" s="714" customFormat="1">
      <c r="A4517" s="709"/>
      <c r="B4517" s="714" t="s">
        <v>1465</v>
      </c>
      <c r="G4517" s="714">
        <v>0.5</v>
      </c>
      <c r="H4517" s="714" t="s">
        <v>262</v>
      </c>
      <c r="I4517" s="714" t="s">
        <v>38</v>
      </c>
      <c r="J4517" s="714">
        <f>L130</f>
        <v>244.3</v>
      </c>
      <c r="K4517" s="714">
        <f>ROUND(G4517*J4517,2)</f>
        <v>122.15</v>
      </c>
    </row>
    <row r="4518" spans="1:20" s="714" customFormat="1">
      <c r="A4518" s="709"/>
      <c r="B4518" s="714" t="s">
        <v>1466</v>
      </c>
      <c r="G4518" s="714">
        <v>2.5</v>
      </c>
      <c r="H4518" s="714" t="s">
        <v>262</v>
      </c>
      <c r="I4518" s="714" t="s">
        <v>38</v>
      </c>
      <c r="J4518" s="714">
        <f>L129</f>
        <v>182</v>
      </c>
      <c r="K4518" s="714">
        <f>ROUND(G4518*J4518,2)</f>
        <v>455</v>
      </c>
    </row>
    <row r="4519" spans="1:20" s="714" customFormat="1">
      <c r="A4519" s="709"/>
      <c r="J4519" s="714" t="s">
        <v>718</v>
      </c>
      <c r="K4519" s="714">
        <f>SUM(K4517:K4518)</f>
        <v>577.15</v>
      </c>
    </row>
    <row r="4520" spans="1:20" s="714" customFormat="1">
      <c r="A4520" s="709"/>
      <c r="B4520" s="714" t="s">
        <v>1428</v>
      </c>
      <c r="K4520" s="714">
        <f>K4519*2%</f>
        <v>11.542999999999999</v>
      </c>
    </row>
    <row r="4521" spans="1:20" s="714" customFormat="1">
      <c r="A4521" s="709"/>
      <c r="B4521" s="714" t="s">
        <v>1467</v>
      </c>
      <c r="K4521" s="714">
        <f>SUM(K4519:K4520)</f>
        <v>588.69299999999998</v>
      </c>
    </row>
    <row r="4522" spans="1:20" s="714" customFormat="1">
      <c r="A4522" s="709"/>
      <c r="B4522" s="714" t="s">
        <v>1468</v>
      </c>
      <c r="K4522" s="714">
        <f>ROUND(K4521/0.3048,2)</f>
        <v>1931.41</v>
      </c>
      <c r="L4522" s="714" t="s">
        <v>937</v>
      </c>
    </row>
    <row r="4523" spans="1:20" s="714" customFormat="1" ht="29.25" customHeight="1">
      <c r="A4523" s="710">
        <f>A747</f>
        <v>167</v>
      </c>
      <c r="B4523" s="3269" t="str">
        <f>B747</f>
        <v>Sinking masonry well 1.50 M dia in Hard soil upto 4.55M deep (Labour only)</v>
      </c>
      <c r="C4523" s="3269"/>
      <c r="D4523" s="3269"/>
      <c r="E4523" s="714" t="s">
        <v>492</v>
      </c>
      <c r="T4523" s="716"/>
    </row>
    <row r="4524" spans="1:20" s="714" customFormat="1" ht="16.5" customHeight="1">
      <c r="B4524" s="714" t="s">
        <v>1464</v>
      </c>
      <c r="T4524" s="716"/>
    </row>
    <row r="4525" spans="1:20" s="714" customFormat="1">
      <c r="B4525" s="714" t="s">
        <v>1451</v>
      </c>
      <c r="T4525" s="716"/>
    </row>
    <row r="4526" spans="1:20" s="714" customFormat="1">
      <c r="B4526" s="714" t="s">
        <v>1465</v>
      </c>
      <c r="G4526" s="714">
        <v>0.5</v>
      </c>
      <c r="H4526" s="714" t="s">
        <v>262</v>
      </c>
      <c r="I4526" s="714" t="s">
        <v>38</v>
      </c>
      <c r="J4526" s="714">
        <f>L130</f>
        <v>244.3</v>
      </c>
      <c r="K4526" s="714">
        <f>ROUND(G4526*J4526,2)</f>
        <v>122.15</v>
      </c>
      <c r="T4526" s="716"/>
    </row>
    <row r="4527" spans="1:20" s="714" customFormat="1">
      <c r="B4527" s="714" t="s">
        <v>1466</v>
      </c>
      <c r="G4527" s="714">
        <v>2.5</v>
      </c>
      <c r="H4527" s="714" t="s">
        <v>262</v>
      </c>
      <c r="I4527" s="714" t="s">
        <v>38</v>
      </c>
      <c r="J4527" s="714">
        <f>L129</f>
        <v>182</v>
      </c>
      <c r="K4527" s="714">
        <f>ROUND(G4527*J4527,2)</f>
        <v>455</v>
      </c>
      <c r="T4527" s="716"/>
    </row>
    <row r="4528" spans="1:20" s="714" customFormat="1">
      <c r="J4528" s="714" t="s">
        <v>718</v>
      </c>
      <c r="K4528" s="714">
        <f>SUM(K4526:K4527)</f>
        <v>577.15</v>
      </c>
      <c r="T4528" s="716"/>
    </row>
    <row r="4529" spans="1:20" s="714" customFormat="1">
      <c r="B4529" s="714" t="s">
        <v>1428</v>
      </c>
      <c r="K4529" s="714">
        <f>K4528*2%</f>
        <v>11.542999999999999</v>
      </c>
      <c r="T4529" s="716"/>
    </row>
    <row r="4530" spans="1:20" s="714" customFormat="1">
      <c r="B4530" s="714" t="s">
        <v>1467</v>
      </c>
      <c r="J4530" s="714" t="s">
        <v>718</v>
      </c>
      <c r="K4530" s="714">
        <f>SUM(K4528:K4529)</f>
        <v>588.69299999999998</v>
      </c>
      <c r="T4530" s="716"/>
    </row>
    <row r="4531" spans="1:20" s="714" customFormat="1">
      <c r="B4531" s="714" t="s">
        <v>1469</v>
      </c>
      <c r="H4531" s="714" t="s">
        <v>1470</v>
      </c>
      <c r="K4531" s="714">
        <v>77.12</v>
      </c>
      <c r="T4531" s="716"/>
    </row>
    <row r="4532" spans="1:20" s="714" customFormat="1">
      <c r="J4532" s="714" t="s">
        <v>718</v>
      </c>
      <c r="K4532" s="714">
        <f>SUM(K4530:K4531)</f>
        <v>665.81299999999999</v>
      </c>
      <c r="T4532" s="716"/>
    </row>
    <row r="4533" spans="1:20" s="714" customFormat="1">
      <c r="B4533" s="714" t="s">
        <v>1468</v>
      </c>
      <c r="K4533" s="714">
        <f>ROUND(K4532/0.3048,2)</f>
        <v>2184.4299999999998</v>
      </c>
      <c r="L4533" s="714" t="s">
        <v>937</v>
      </c>
      <c r="T4533" s="716"/>
    </row>
    <row r="4534" spans="1:20" s="714" customFormat="1" ht="29.25" customHeight="1">
      <c r="A4534" s="710">
        <f>A748</f>
        <v>168</v>
      </c>
      <c r="B4534" s="3269" t="str">
        <f>B748</f>
        <v>Sinking masonry well 1.50 M dia in ordinary soil upto 4.55M deep (Labour only)</v>
      </c>
      <c r="C4534" s="3269"/>
      <c r="D4534" s="3269"/>
      <c r="E4534" s="714" t="s">
        <v>492</v>
      </c>
      <c r="T4534" s="716"/>
    </row>
    <row r="4535" spans="1:20" s="714" customFormat="1" ht="16.5" customHeight="1">
      <c r="B4535" s="714" t="s">
        <v>1464</v>
      </c>
      <c r="T4535" s="716"/>
    </row>
    <row r="4536" spans="1:20" s="714" customFormat="1">
      <c r="B4536" s="714" t="s">
        <v>1451</v>
      </c>
      <c r="T4536" s="716"/>
    </row>
    <row r="4537" spans="1:20" s="714" customFormat="1">
      <c r="B4537" s="714" t="s">
        <v>1465</v>
      </c>
      <c r="G4537" s="714">
        <v>0.75</v>
      </c>
      <c r="H4537" s="714" t="s">
        <v>262</v>
      </c>
      <c r="I4537" s="714" t="s">
        <v>38</v>
      </c>
      <c r="J4537" s="714">
        <f>L130</f>
        <v>244.3</v>
      </c>
      <c r="K4537" s="714">
        <f>ROUND(G4537*J4537,2)</f>
        <v>183.23</v>
      </c>
      <c r="T4537" s="716"/>
    </row>
    <row r="4538" spans="1:20" s="714" customFormat="1">
      <c r="B4538" s="714" t="s">
        <v>1466</v>
      </c>
      <c r="G4538" s="714">
        <v>3.5</v>
      </c>
      <c r="H4538" s="714" t="s">
        <v>262</v>
      </c>
      <c r="I4538" s="714" t="s">
        <v>38</v>
      </c>
      <c r="J4538" s="714">
        <f>L129</f>
        <v>182</v>
      </c>
      <c r="K4538" s="714">
        <f>ROUND(G4538*J4538,2)</f>
        <v>637</v>
      </c>
      <c r="T4538" s="716"/>
    </row>
    <row r="4539" spans="1:20" s="714" customFormat="1">
      <c r="J4539" s="714" t="s">
        <v>718</v>
      </c>
      <c r="K4539" s="714">
        <f>SUM(K4537:K4538)</f>
        <v>820.23</v>
      </c>
      <c r="T4539" s="716"/>
    </row>
    <row r="4540" spans="1:20" s="714" customFormat="1">
      <c r="B4540" s="714" t="s">
        <v>1428</v>
      </c>
      <c r="K4540" s="714">
        <f>K4539*2%</f>
        <v>16.404600000000002</v>
      </c>
      <c r="T4540" s="716"/>
    </row>
    <row r="4541" spans="1:20" s="714" customFormat="1">
      <c r="B4541" s="714" t="s">
        <v>1467</v>
      </c>
      <c r="K4541" s="714">
        <f>SUM(K4539:K4540)</f>
        <v>836.63459999999998</v>
      </c>
      <c r="T4541" s="716"/>
    </row>
    <row r="4542" spans="1:20" s="714" customFormat="1">
      <c r="B4542" s="714" t="s">
        <v>1468</v>
      </c>
      <c r="K4542" s="714">
        <f>ROUND(K4541/0.3048,2)</f>
        <v>2744.86</v>
      </c>
      <c r="L4542" s="714" t="s">
        <v>937</v>
      </c>
      <c r="T4542" s="716"/>
    </row>
    <row r="4543" spans="1:20" s="714" customFormat="1" ht="27.75" customHeight="1">
      <c r="A4543" s="710">
        <f>A749</f>
        <v>169</v>
      </c>
      <c r="B4543" s="3269" t="str">
        <f>B749</f>
        <v>Sinking masonry well 1.50 M dia in Hard soil upto 4.55M deep (Labour only)</v>
      </c>
      <c r="C4543" s="3269"/>
      <c r="D4543" s="3269"/>
      <c r="E4543" s="714" t="s">
        <v>492</v>
      </c>
    </row>
    <row r="4544" spans="1:20" s="714" customFormat="1" ht="16.5" customHeight="1">
      <c r="B4544" s="714" t="s">
        <v>1464</v>
      </c>
    </row>
    <row r="4545" spans="1:20" s="714" customFormat="1">
      <c r="B4545" s="714" t="s">
        <v>1451</v>
      </c>
    </row>
    <row r="4546" spans="1:20" s="714" customFormat="1">
      <c r="B4546" s="714" t="s">
        <v>1465</v>
      </c>
      <c r="G4546" s="714">
        <v>0.75</v>
      </c>
      <c r="H4546" s="714" t="s">
        <v>262</v>
      </c>
      <c r="I4546" s="714" t="s">
        <v>38</v>
      </c>
      <c r="J4546" s="714">
        <f>L130</f>
        <v>244.3</v>
      </c>
      <c r="K4546" s="714">
        <f>ROUND(G4546*J4546,2)</f>
        <v>183.23</v>
      </c>
    </row>
    <row r="4547" spans="1:20" s="714" customFormat="1">
      <c r="B4547" s="714" t="s">
        <v>1466</v>
      </c>
      <c r="G4547" s="714">
        <v>3.5</v>
      </c>
      <c r="H4547" s="714" t="s">
        <v>262</v>
      </c>
      <c r="I4547" s="714" t="s">
        <v>38</v>
      </c>
      <c r="J4547" s="714">
        <f>L129</f>
        <v>182</v>
      </c>
      <c r="K4547" s="714">
        <f>ROUND(G4547*J4547,2)</f>
        <v>637</v>
      </c>
    </row>
    <row r="4548" spans="1:20" s="714" customFormat="1">
      <c r="J4548" s="714" t="s">
        <v>718</v>
      </c>
      <c r="K4548" s="714">
        <f>SUM(K4546:K4547)</f>
        <v>820.23</v>
      </c>
    </row>
    <row r="4549" spans="1:20" s="714" customFormat="1">
      <c r="B4549" s="714" t="s">
        <v>1428</v>
      </c>
      <c r="K4549" s="714">
        <f>K4548*2%</f>
        <v>16.404600000000002</v>
      </c>
    </row>
    <row r="4550" spans="1:20" s="714" customFormat="1">
      <c r="B4550" s="714" t="s">
        <v>1467</v>
      </c>
      <c r="J4550" s="714" t="s">
        <v>718</v>
      </c>
      <c r="K4550" s="714">
        <f>SUM(K4548:K4549)</f>
        <v>836.63459999999998</v>
      </c>
    </row>
    <row r="4551" spans="1:20" s="714" customFormat="1">
      <c r="B4551" s="714" t="s">
        <v>1469</v>
      </c>
      <c r="H4551" s="714" t="s">
        <v>1471</v>
      </c>
      <c r="K4551" s="714">
        <v>109.78</v>
      </c>
    </row>
    <row r="4552" spans="1:20" s="714" customFormat="1">
      <c r="J4552" s="714" t="s">
        <v>718</v>
      </c>
      <c r="K4552" s="714">
        <f>SUM(K4550:K4551)</f>
        <v>946.41459999999995</v>
      </c>
    </row>
    <row r="4553" spans="1:20" s="714" customFormat="1">
      <c r="B4553" s="714" t="s">
        <v>1468</v>
      </c>
      <c r="K4553" s="714">
        <f>ROUND(K4552/0.3048,2)</f>
        <v>3105.03</v>
      </c>
      <c r="L4553" s="714" t="s">
        <v>937</v>
      </c>
    </row>
    <row r="4554" spans="1:20" s="714" customFormat="1" ht="27" customHeight="1">
      <c r="A4554" s="1138">
        <f>A750</f>
        <v>170</v>
      </c>
      <c r="B4554" s="3400" t="s">
        <v>633</v>
      </c>
      <c r="C4554" s="3400"/>
      <c r="D4554" s="3400"/>
      <c r="E4554" s="1135" t="s">
        <v>381</v>
      </c>
      <c r="F4554" s="1135"/>
      <c r="G4554" s="1055"/>
      <c r="H4554" s="1136"/>
      <c r="I4554" s="1137"/>
      <c r="J4554" s="1055"/>
      <c r="K4554" s="1055"/>
      <c r="L4554" s="1059"/>
      <c r="T4554" s="716"/>
    </row>
    <row r="4555" spans="1:20" s="714" customFormat="1" ht="16.5" customHeight="1">
      <c r="A4555" s="1138"/>
      <c r="B4555" s="710" t="s">
        <v>1472</v>
      </c>
      <c r="C4555" s="1146"/>
      <c r="D4555" s="1146"/>
      <c r="E4555" s="1135"/>
      <c r="F4555" s="1135"/>
      <c r="G4555" s="1055"/>
      <c r="H4555" s="1136"/>
      <c r="I4555" s="1137"/>
      <c r="J4555" s="1055"/>
      <c r="K4555" s="1055"/>
      <c r="L4555" s="1059"/>
      <c r="T4555" s="716"/>
    </row>
    <row r="4556" spans="1:20" s="714" customFormat="1">
      <c r="A4556" s="1148"/>
      <c r="B4556" s="1053" t="s">
        <v>1473</v>
      </c>
      <c r="C4556" s="1053"/>
      <c r="D4556" s="1055"/>
      <c r="E4556" s="1139"/>
      <c r="F4556" s="1139"/>
      <c r="G4556" s="1055"/>
      <c r="H4556" s="1136"/>
      <c r="I4556" s="1137"/>
      <c r="J4556" s="1055"/>
      <c r="K4556" s="1052"/>
      <c r="L4556" s="1059"/>
      <c r="T4556" s="716"/>
    </row>
    <row r="4557" spans="1:20" s="714" customFormat="1">
      <c r="A4557" s="1148"/>
      <c r="B4557" s="1053" t="s">
        <v>636</v>
      </c>
      <c r="C4557" s="1055"/>
      <c r="D4557" s="1172"/>
      <c r="E4557" s="1172"/>
      <c r="F4557" s="1172"/>
      <c r="G4557" s="1140"/>
      <c r="H4557" s="1136"/>
      <c r="I4557" s="1137"/>
      <c r="J4557" s="1054"/>
      <c r="K4557" s="1052">
        <f>K1288</f>
        <v>71.285799999999995</v>
      </c>
      <c r="L4557" s="1059" t="s">
        <v>721</v>
      </c>
      <c r="T4557" s="716"/>
    </row>
    <row r="4558" spans="1:20" s="714" customFormat="1">
      <c r="A4558" s="1148"/>
      <c r="B4558" s="1053" t="s">
        <v>637</v>
      </c>
      <c r="C4558" s="1055"/>
      <c r="D4558" s="1172"/>
      <c r="E4558" s="1172"/>
      <c r="F4558" s="1172"/>
      <c r="G4558" s="1140"/>
      <c r="H4558" s="1136"/>
      <c r="I4558" s="1137"/>
      <c r="J4558" s="1054"/>
      <c r="K4558" s="1052">
        <f>K1309</f>
        <v>98.017900000000012</v>
      </c>
      <c r="L4558" s="1059" t="s">
        <v>721</v>
      </c>
      <c r="T4558" s="716"/>
    </row>
    <row r="4559" spans="1:20" s="714" customFormat="1">
      <c r="A4559" s="1148"/>
      <c r="B4559" s="1053" t="s">
        <v>639</v>
      </c>
      <c r="C4559" s="1055"/>
      <c r="D4559" s="1172"/>
      <c r="E4559" s="1172"/>
      <c r="F4559" s="1172"/>
      <c r="G4559" s="1140"/>
      <c r="H4559" s="1136"/>
      <c r="I4559" s="1137"/>
      <c r="J4559" s="1141"/>
      <c r="K4559" s="1052">
        <f>K1267</f>
        <v>95.790199999999999</v>
      </c>
      <c r="L4559" s="1059" t="s">
        <v>721</v>
      </c>
      <c r="T4559" s="716"/>
    </row>
    <row r="4560" spans="1:20" s="714" customFormat="1">
      <c r="A4560" s="1148"/>
      <c r="B4560" s="1053" t="s">
        <v>641</v>
      </c>
      <c r="C4560" s="1055"/>
      <c r="D4560" s="1055"/>
      <c r="E4560" s="1139"/>
      <c r="F4560" s="1139"/>
      <c r="G4560" s="1055"/>
      <c r="H4560" s="1136"/>
      <c r="I4560" s="1137"/>
      <c r="J4560" s="1055"/>
      <c r="K4560" s="1052">
        <f>K1330</f>
        <v>149.38819999999998</v>
      </c>
      <c r="L4560" s="1059" t="s">
        <v>721</v>
      </c>
      <c r="T4560" s="716"/>
    </row>
    <row r="4561" spans="1:20" s="714" customFormat="1">
      <c r="A4561" s="1148"/>
      <c r="B4561" s="1053" t="s">
        <v>643</v>
      </c>
      <c r="C4561" s="1055"/>
      <c r="D4561" s="1055"/>
      <c r="E4561" s="1139"/>
      <c r="F4561" s="1139"/>
      <c r="G4561" s="1055"/>
      <c r="H4561" s="1136"/>
      <c r="I4561" s="1137"/>
      <c r="J4561" s="1055"/>
      <c r="K4561" s="1052">
        <f>(K4557+K4558+K4559+K4560)/4</f>
        <v>103.62052499999999</v>
      </c>
      <c r="L4561" s="1059" t="s">
        <v>721</v>
      </c>
      <c r="T4561" s="716"/>
    </row>
    <row r="4562" spans="1:20" s="714" customFormat="1" ht="16.5" customHeight="1">
      <c r="A4562" s="1138"/>
      <c r="B4562" s="710" t="s">
        <v>1474</v>
      </c>
      <c r="C4562" s="1146"/>
      <c r="D4562" s="1146"/>
      <c r="E4562" s="1135"/>
      <c r="F4562" s="1135"/>
      <c r="G4562" s="1055"/>
      <c r="H4562" s="1136"/>
      <c r="I4562" s="1137"/>
      <c r="J4562" s="1055"/>
      <c r="K4562" s="1055"/>
      <c r="L4562" s="1059"/>
      <c r="T4562" s="716"/>
    </row>
    <row r="4563" spans="1:20" s="714" customFormat="1">
      <c r="A4563" s="1148"/>
      <c r="B4563" s="1053" t="s">
        <v>636</v>
      </c>
      <c r="C4563" s="1055" t="s">
        <v>1475</v>
      </c>
      <c r="D4563" s="1172"/>
      <c r="E4563" s="1172"/>
      <c r="F4563" s="1172"/>
      <c r="G4563" s="1140">
        <v>1.5</v>
      </c>
      <c r="H4563" s="1136"/>
      <c r="I4563" s="1162">
        <f>K4557</f>
        <v>71.285799999999995</v>
      </c>
      <c r="J4563" s="1054"/>
      <c r="K4563" s="1052">
        <f>ROUND(G4563*I4563,2)</f>
        <v>106.93</v>
      </c>
      <c r="L4563" s="1059"/>
      <c r="T4563" s="716"/>
    </row>
    <row r="4564" spans="1:20" s="714" customFormat="1">
      <c r="A4564" s="1148"/>
      <c r="B4564" s="1053"/>
      <c r="C4564" s="1055" t="s">
        <v>1476</v>
      </c>
      <c r="D4564" s="1172"/>
      <c r="E4564" s="1172"/>
      <c r="F4564" s="1172"/>
      <c r="G4564" s="1140">
        <v>1.5</v>
      </c>
      <c r="H4564" s="1136"/>
      <c r="I4564" s="1162">
        <f>K4513</f>
        <v>7.61</v>
      </c>
      <c r="J4564" s="1054"/>
      <c r="K4564" s="1052">
        <f>ROUND(G4564*I4564,2)</f>
        <v>11.42</v>
      </c>
      <c r="L4564" s="1059"/>
      <c r="T4564" s="716"/>
    </row>
    <row r="4565" spans="1:20" s="714" customFormat="1">
      <c r="A4565" s="1148"/>
      <c r="B4565" s="1053"/>
      <c r="C4565" s="1055"/>
      <c r="D4565" s="1172"/>
      <c r="E4565" s="1172"/>
      <c r="F4565" s="1172"/>
      <c r="G4565" s="1140"/>
      <c r="H4565" s="1136"/>
      <c r="I4565" s="1162"/>
      <c r="J4565" s="1054" t="s">
        <v>928</v>
      </c>
      <c r="K4565" s="1052">
        <f>SUM(K4563:K4564)</f>
        <v>118.35000000000001</v>
      </c>
      <c r="L4565" s="1059" t="s">
        <v>721</v>
      </c>
      <c r="T4565" s="716"/>
    </row>
    <row r="4566" spans="1:20" s="714" customFormat="1">
      <c r="A4566" s="1148"/>
      <c r="B4566" s="1053" t="s">
        <v>637</v>
      </c>
      <c r="C4566" s="1055" t="s">
        <v>1475</v>
      </c>
      <c r="D4566" s="1172"/>
      <c r="E4566" s="1172"/>
      <c r="F4566" s="1172"/>
      <c r="G4566" s="1140">
        <v>1.5</v>
      </c>
      <c r="H4566" s="1136"/>
      <c r="I4566" s="1162">
        <f>K4558</f>
        <v>98.017900000000012</v>
      </c>
      <c r="J4566" s="1054"/>
      <c r="K4566" s="1052">
        <f>ROUND(G4566*I4566,2)</f>
        <v>147.03</v>
      </c>
      <c r="L4566" s="1059"/>
      <c r="T4566" s="716"/>
    </row>
    <row r="4567" spans="1:20" s="714" customFormat="1">
      <c r="A4567" s="1148"/>
      <c r="B4567" s="1053"/>
      <c r="C4567" s="1055" t="s">
        <v>1476</v>
      </c>
      <c r="D4567" s="1172"/>
      <c r="E4567" s="1172"/>
      <c r="F4567" s="1172"/>
      <c r="G4567" s="1140">
        <v>1.5</v>
      </c>
      <c r="H4567" s="1136"/>
      <c r="I4567" s="1162">
        <f>I4564</f>
        <v>7.61</v>
      </c>
      <c r="J4567" s="1054"/>
      <c r="K4567" s="1052">
        <f>ROUND(G4567*I4567,2)</f>
        <v>11.42</v>
      </c>
      <c r="L4567" s="1059"/>
      <c r="T4567" s="716"/>
    </row>
    <row r="4568" spans="1:20" s="714" customFormat="1">
      <c r="A4568" s="1148"/>
      <c r="B4568" s="1053"/>
      <c r="C4568" s="1055"/>
      <c r="D4568" s="1172"/>
      <c r="E4568" s="1172"/>
      <c r="F4568" s="1172"/>
      <c r="G4568" s="1140"/>
      <c r="H4568" s="1136"/>
      <c r="I4568" s="1162"/>
      <c r="J4568" s="1054" t="s">
        <v>928</v>
      </c>
      <c r="K4568" s="1052">
        <f>SUM(K4566:K4567)</f>
        <v>158.44999999999999</v>
      </c>
      <c r="L4568" s="1059" t="s">
        <v>721</v>
      </c>
      <c r="T4568" s="716"/>
    </row>
    <row r="4569" spans="1:20" s="714" customFormat="1">
      <c r="A4569" s="1148"/>
      <c r="B4569" s="1053" t="s">
        <v>639</v>
      </c>
      <c r="C4569" s="1055" t="s">
        <v>1475</v>
      </c>
      <c r="D4569" s="1172"/>
      <c r="E4569" s="1172"/>
      <c r="F4569" s="1172"/>
      <c r="G4569" s="1140">
        <v>1.5</v>
      </c>
      <c r="H4569" s="1136"/>
      <c r="I4569" s="1162">
        <f>K4559</f>
        <v>95.790199999999999</v>
      </c>
      <c r="J4569" s="1054"/>
      <c r="K4569" s="1052">
        <f>ROUND(G4569*I4569,2)</f>
        <v>143.69</v>
      </c>
      <c r="L4569" s="1059"/>
      <c r="T4569" s="716"/>
    </row>
    <row r="4570" spans="1:20" s="714" customFormat="1">
      <c r="A4570" s="1148"/>
      <c r="B4570" s="1053"/>
      <c r="C4570" s="1055" t="s">
        <v>1476</v>
      </c>
      <c r="D4570" s="1172"/>
      <c r="E4570" s="1172"/>
      <c r="F4570" s="1172"/>
      <c r="G4570" s="1140">
        <v>1.5</v>
      </c>
      <c r="H4570" s="1136"/>
      <c r="I4570" s="1162">
        <f>I4567</f>
        <v>7.61</v>
      </c>
      <c r="J4570" s="1054"/>
      <c r="K4570" s="1052">
        <f>ROUND(G4570*I4570,2)</f>
        <v>11.42</v>
      </c>
      <c r="L4570" s="1059"/>
      <c r="T4570" s="716"/>
    </row>
    <row r="4571" spans="1:20" s="714" customFormat="1">
      <c r="A4571" s="1148"/>
      <c r="B4571" s="1053"/>
      <c r="C4571" s="1055"/>
      <c r="D4571" s="1172"/>
      <c r="E4571" s="1172"/>
      <c r="F4571" s="1172"/>
      <c r="G4571" s="1140"/>
      <c r="H4571" s="1136"/>
      <c r="I4571" s="1162"/>
      <c r="J4571" s="1054" t="s">
        <v>928</v>
      </c>
      <c r="K4571" s="1052">
        <f>SUM(K4569:K4570)</f>
        <v>155.10999999999999</v>
      </c>
      <c r="L4571" s="1059" t="s">
        <v>721</v>
      </c>
      <c r="T4571" s="716"/>
    </row>
    <row r="4572" spans="1:20" s="714" customFormat="1">
      <c r="A4572" s="1148"/>
      <c r="B4572" s="1053" t="s">
        <v>641</v>
      </c>
      <c r="C4572" s="1055" t="s">
        <v>1475</v>
      </c>
      <c r="D4572" s="1172"/>
      <c r="E4572" s="1172"/>
      <c r="F4572" s="1172"/>
      <c r="G4572" s="1140">
        <v>1.5</v>
      </c>
      <c r="H4572" s="1136"/>
      <c r="I4572" s="1162">
        <f>K4560</f>
        <v>149.38819999999998</v>
      </c>
      <c r="J4572" s="1054"/>
      <c r="K4572" s="1052">
        <f>ROUND(G4572*I4572,2)</f>
        <v>224.08</v>
      </c>
      <c r="L4572" s="1059"/>
      <c r="T4572" s="716"/>
    </row>
    <row r="4573" spans="1:20" s="714" customFormat="1">
      <c r="A4573" s="1148"/>
      <c r="B4573" s="1053"/>
      <c r="C4573" s="1055" t="s">
        <v>1476</v>
      </c>
      <c r="D4573" s="1172"/>
      <c r="E4573" s="1172"/>
      <c r="F4573" s="1172"/>
      <c r="G4573" s="1140">
        <v>1.5</v>
      </c>
      <c r="H4573" s="1136"/>
      <c r="I4573" s="1162">
        <f>I4570</f>
        <v>7.61</v>
      </c>
      <c r="J4573" s="1054"/>
      <c r="K4573" s="1052">
        <f>ROUND(G4573*I4573,2)</f>
        <v>11.42</v>
      </c>
      <c r="L4573" s="1059"/>
      <c r="T4573" s="716"/>
    </row>
    <row r="4574" spans="1:20" s="714" customFormat="1">
      <c r="A4574" s="1148"/>
      <c r="B4574" s="1053"/>
      <c r="C4574" s="1055"/>
      <c r="D4574" s="1172"/>
      <c r="E4574" s="1172"/>
      <c r="F4574" s="1172"/>
      <c r="G4574" s="1140"/>
      <c r="H4574" s="1136"/>
      <c r="I4574" s="1162"/>
      <c r="J4574" s="1054" t="s">
        <v>928</v>
      </c>
      <c r="K4574" s="1052">
        <f>SUM(K4572:K4573)</f>
        <v>235.5</v>
      </c>
      <c r="L4574" s="1059" t="s">
        <v>721</v>
      </c>
      <c r="T4574" s="716"/>
    </row>
    <row r="4575" spans="1:20" s="714" customFormat="1">
      <c r="A4575" s="1148"/>
      <c r="B4575" s="1053" t="s">
        <v>643</v>
      </c>
      <c r="C4575" s="1055" t="s">
        <v>1475</v>
      </c>
      <c r="D4575" s="1172"/>
      <c r="E4575" s="1172"/>
      <c r="F4575" s="1172"/>
      <c r="G4575" s="1140">
        <v>1.5</v>
      </c>
      <c r="H4575" s="1136"/>
      <c r="I4575" s="1162">
        <f>K4561</f>
        <v>103.62052499999999</v>
      </c>
      <c r="J4575" s="1054"/>
      <c r="K4575" s="1052">
        <f>ROUND(G4575*I4575,2)</f>
        <v>155.43</v>
      </c>
      <c r="L4575" s="1059"/>
      <c r="T4575" s="716"/>
    </row>
    <row r="4576" spans="1:20" s="714" customFormat="1">
      <c r="A4576" s="1148"/>
      <c r="B4576" s="1053"/>
      <c r="C4576" s="1055" t="s">
        <v>1476</v>
      </c>
      <c r="D4576" s="1172"/>
      <c r="E4576" s="1172"/>
      <c r="F4576" s="1172"/>
      <c r="G4576" s="1140">
        <v>1.5</v>
      </c>
      <c r="H4576" s="1136"/>
      <c r="I4576" s="1162">
        <f>I4573</f>
        <v>7.61</v>
      </c>
      <c r="J4576" s="1054"/>
      <c r="K4576" s="1052">
        <f>ROUND(G4576*I4576,2)</f>
        <v>11.42</v>
      </c>
      <c r="L4576" s="1059"/>
      <c r="T4576" s="716"/>
    </row>
    <row r="4577" spans="1:20" s="714" customFormat="1">
      <c r="A4577" s="1148"/>
      <c r="B4577" s="1053"/>
      <c r="C4577" s="1055"/>
      <c r="D4577" s="1172"/>
      <c r="E4577" s="1172"/>
      <c r="F4577" s="1172"/>
      <c r="G4577" s="1140"/>
      <c r="H4577" s="1136"/>
      <c r="I4577" s="1162"/>
      <c r="J4577" s="1054" t="s">
        <v>928</v>
      </c>
      <c r="K4577" s="1052">
        <f>SUM(K4575:K4576)</f>
        <v>166.85</v>
      </c>
      <c r="L4577" s="1059" t="s">
        <v>721</v>
      </c>
      <c r="T4577" s="716"/>
    </row>
    <row r="4578" spans="1:20" s="714" customFormat="1" ht="16.5" customHeight="1">
      <c r="A4578" s="1138"/>
      <c r="B4578" s="710" t="s">
        <v>1477</v>
      </c>
      <c r="C4578" s="1146"/>
      <c r="D4578" s="1146"/>
      <c r="E4578" s="1135"/>
      <c r="F4578" s="1135"/>
      <c r="G4578" s="1055"/>
      <c r="H4578" s="1136"/>
      <c r="I4578" s="1137"/>
      <c r="J4578" s="1055"/>
      <c r="K4578" s="1055"/>
      <c r="L4578" s="1059"/>
      <c r="T4578" s="716"/>
    </row>
    <row r="4579" spans="1:20" s="714" customFormat="1">
      <c r="A4579" s="1148"/>
      <c r="B4579" s="1053" t="s">
        <v>636</v>
      </c>
      <c r="C4579" s="1055" t="s">
        <v>1478</v>
      </c>
      <c r="D4579" s="1172"/>
      <c r="E4579" s="1172"/>
      <c r="F4579" s="1172"/>
      <c r="G4579" s="1140">
        <v>2</v>
      </c>
      <c r="H4579" s="1136"/>
      <c r="I4579" s="1162">
        <f>I4563</f>
        <v>71.285799999999995</v>
      </c>
      <c r="J4579" s="1054"/>
      <c r="K4579" s="1054">
        <f>ROUND(G4579*I4579,2)</f>
        <v>142.57</v>
      </c>
      <c r="L4579" s="1059"/>
      <c r="T4579" s="716"/>
    </row>
    <row r="4580" spans="1:20" s="714" customFormat="1">
      <c r="A4580" s="1148"/>
      <c r="B4580" s="1053"/>
      <c r="C4580" s="1055" t="s">
        <v>1479</v>
      </c>
      <c r="D4580" s="1172"/>
      <c r="E4580" s="1172"/>
      <c r="F4580" s="1172"/>
      <c r="G4580" s="1140">
        <v>2.5</v>
      </c>
      <c r="H4580" s="1136"/>
      <c r="I4580" s="1162">
        <f>I4564</f>
        <v>7.61</v>
      </c>
      <c r="J4580" s="1054"/>
      <c r="K4580" s="1054">
        <f>ROUND(G4580*I4580,2)</f>
        <v>19.03</v>
      </c>
      <c r="L4580" s="1059"/>
      <c r="T4580" s="716"/>
    </row>
    <row r="4581" spans="1:20" s="714" customFormat="1">
      <c r="A4581" s="1148"/>
      <c r="B4581" s="1053"/>
      <c r="C4581" s="1055"/>
      <c r="D4581" s="1172"/>
      <c r="E4581" s="1172"/>
      <c r="F4581" s="1172"/>
      <c r="G4581" s="1140"/>
      <c r="H4581" s="1136"/>
      <c r="I4581" s="1162"/>
      <c r="J4581" s="1054" t="s">
        <v>928</v>
      </c>
      <c r="K4581" s="1052">
        <f>SUM(K4579:K4580)</f>
        <v>161.6</v>
      </c>
      <c r="L4581" s="1059" t="s">
        <v>721</v>
      </c>
      <c r="T4581" s="716"/>
    </row>
    <row r="4582" spans="1:20" s="714" customFormat="1">
      <c r="A4582" s="1148"/>
      <c r="B4582" s="1053" t="s">
        <v>637</v>
      </c>
      <c r="C4582" s="1055" t="s">
        <v>1478</v>
      </c>
      <c r="D4582" s="1172"/>
      <c r="E4582" s="1172"/>
      <c r="F4582" s="1172"/>
      <c r="G4582" s="1140">
        <f>G4579</f>
        <v>2</v>
      </c>
      <c r="H4582" s="1136"/>
      <c r="I4582" s="1162">
        <f>I4566</f>
        <v>98.017900000000012</v>
      </c>
      <c r="J4582" s="1054"/>
      <c r="K4582" s="1054">
        <f>ROUND(G4582*I4582,2)</f>
        <v>196.04</v>
      </c>
      <c r="L4582" s="1059"/>
      <c r="T4582" s="716"/>
    </row>
    <row r="4583" spans="1:20" s="714" customFormat="1">
      <c r="A4583" s="1148"/>
      <c r="B4583" s="1053"/>
      <c r="C4583" s="1055" t="s">
        <v>1479</v>
      </c>
      <c r="D4583" s="1172"/>
      <c r="E4583" s="1172"/>
      <c r="F4583" s="1172"/>
      <c r="G4583" s="1140">
        <f>G4580</f>
        <v>2.5</v>
      </c>
      <c r="H4583" s="1136"/>
      <c r="I4583" s="1162">
        <f>I4567</f>
        <v>7.61</v>
      </c>
      <c r="J4583" s="1054"/>
      <c r="K4583" s="1054">
        <f>ROUND(G4583*I4583,2)</f>
        <v>19.03</v>
      </c>
      <c r="L4583" s="1059"/>
      <c r="T4583" s="716"/>
    </row>
    <row r="4584" spans="1:20" s="714" customFormat="1">
      <c r="A4584" s="1148"/>
      <c r="B4584" s="1053"/>
      <c r="C4584" s="1055"/>
      <c r="D4584" s="1172"/>
      <c r="E4584" s="1172"/>
      <c r="F4584" s="1172"/>
      <c r="G4584" s="1140"/>
      <c r="H4584" s="1136"/>
      <c r="I4584" s="1162"/>
      <c r="J4584" s="1054" t="s">
        <v>928</v>
      </c>
      <c r="K4584" s="1052">
        <f>SUM(K4582:K4583)</f>
        <v>215.07</v>
      </c>
      <c r="L4584" s="1059" t="s">
        <v>721</v>
      </c>
      <c r="T4584" s="716"/>
    </row>
    <row r="4585" spans="1:20" s="714" customFormat="1">
      <c r="A4585" s="1148"/>
      <c r="B4585" s="1053" t="s">
        <v>639</v>
      </c>
      <c r="C4585" s="1055" t="s">
        <v>1478</v>
      </c>
      <c r="D4585" s="1172"/>
      <c r="E4585" s="1172"/>
      <c r="F4585" s="1172"/>
      <c r="G4585" s="1140">
        <f>G4582</f>
        <v>2</v>
      </c>
      <c r="H4585" s="1136"/>
      <c r="I4585" s="1162">
        <f>I4569</f>
        <v>95.790199999999999</v>
      </c>
      <c r="J4585" s="1054"/>
      <c r="K4585" s="1054">
        <f>ROUND(G4585*I4585,2)</f>
        <v>191.58</v>
      </c>
      <c r="L4585" s="1059"/>
      <c r="T4585" s="716"/>
    </row>
    <row r="4586" spans="1:20" s="714" customFormat="1">
      <c r="A4586" s="1148"/>
      <c r="B4586" s="1053"/>
      <c r="C4586" s="1055" t="s">
        <v>1479</v>
      </c>
      <c r="D4586" s="1172"/>
      <c r="E4586" s="1172"/>
      <c r="F4586" s="1172"/>
      <c r="G4586" s="1140">
        <f>G4583</f>
        <v>2.5</v>
      </c>
      <c r="H4586" s="1136"/>
      <c r="I4586" s="1162">
        <f>I4570</f>
        <v>7.61</v>
      </c>
      <c r="J4586" s="1054"/>
      <c r="K4586" s="1054">
        <f>ROUND(G4586*I4586,2)</f>
        <v>19.03</v>
      </c>
      <c r="L4586" s="1059"/>
      <c r="T4586" s="716"/>
    </row>
    <row r="4587" spans="1:20" s="714" customFormat="1">
      <c r="A4587" s="1148"/>
      <c r="B4587" s="1053"/>
      <c r="C4587" s="1055"/>
      <c r="D4587" s="1172"/>
      <c r="E4587" s="1172"/>
      <c r="F4587" s="1172"/>
      <c r="G4587" s="1140"/>
      <c r="H4587" s="1136"/>
      <c r="I4587" s="1162"/>
      <c r="J4587" s="1054" t="s">
        <v>928</v>
      </c>
      <c r="K4587" s="1052">
        <f>SUM(K4585:K4586)</f>
        <v>210.61</v>
      </c>
      <c r="L4587" s="1059" t="s">
        <v>721</v>
      </c>
      <c r="T4587" s="716"/>
    </row>
    <row r="4588" spans="1:20" s="714" customFormat="1">
      <c r="A4588" s="1148"/>
      <c r="B4588" s="1053" t="s">
        <v>641</v>
      </c>
      <c r="C4588" s="1055" t="s">
        <v>1478</v>
      </c>
      <c r="D4588" s="1172"/>
      <c r="E4588" s="1172"/>
      <c r="F4588" s="1172"/>
      <c r="G4588" s="1140">
        <f>G4585</f>
        <v>2</v>
      </c>
      <c r="H4588" s="1136"/>
      <c r="I4588" s="1162">
        <f>I4572</f>
        <v>149.38819999999998</v>
      </c>
      <c r="J4588" s="1054"/>
      <c r="K4588" s="1054">
        <f>ROUND(G4588*I4588,2)</f>
        <v>298.77999999999997</v>
      </c>
      <c r="L4588" s="1059"/>
      <c r="T4588" s="716"/>
    </row>
    <row r="4589" spans="1:20" s="714" customFormat="1">
      <c r="A4589" s="1148"/>
      <c r="B4589" s="1053"/>
      <c r="C4589" s="1055" t="s">
        <v>1479</v>
      </c>
      <c r="D4589" s="1172"/>
      <c r="E4589" s="1172"/>
      <c r="F4589" s="1172"/>
      <c r="G4589" s="1140">
        <f>G4586</f>
        <v>2.5</v>
      </c>
      <c r="H4589" s="1136"/>
      <c r="I4589" s="1162">
        <f>I4573</f>
        <v>7.61</v>
      </c>
      <c r="J4589" s="1054"/>
      <c r="K4589" s="1054">
        <f>ROUND(G4589*I4589,2)</f>
        <v>19.03</v>
      </c>
      <c r="L4589" s="1059"/>
      <c r="T4589" s="716"/>
    </row>
    <row r="4590" spans="1:20" s="714" customFormat="1">
      <c r="A4590" s="1148"/>
      <c r="B4590" s="1053"/>
      <c r="C4590" s="1055"/>
      <c r="D4590" s="1172"/>
      <c r="E4590" s="1172"/>
      <c r="F4590" s="1172"/>
      <c r="G4590" s="1140"/>
      <c r="H4590" s="1136"/>
      <c r="I4590" s="1162"/>
      <c r="J4590" s="1054" t="s">
        <v>928</v>
      </c>
      <c r="K4590" s="1052">
        <f>SUM(K4588:K4589)</f>
        <v>317.80999999999995</v>
      </c>
      <c r="L4590" s="1059" t="s">
        <v>721</v>
      </c>
      <c r="T4590" s="716"/>
    </row>
    <row r="4591" spans="1:20" s="714" customFormat="1">
      <c r="A4591" s="1148"/>
      <c r="B4591" s="1053" t="s">
        <v>643</v>
      </c>
      <c r="C4591" s="1055" t="s">
        <v>1478</v>
      </c>
      <c r="D4591" s="1172"/>
      <c r="E4591" s="1172"/>
      <c r="F4591" s="1172"/>
      <c r="G4591" s="1140">
        <f>G4588</f>
        <v>2</v>
      </c>
      <c r="H4591" s="1136"/>
      <c r="I4591" s="1162">
        <f>I4575</f>
        <v>103.62052499999999</v>
      </c>
      <c r="J4591" s="1054"/>
      <c r="K4591" s="1054">
        <f>ROUND(G4591*I4591,2)</f>
        <v>207.24</v>
      </c>
      <c r="L4591" s="1059"/>
      <c r="T4591" s="716"/>
    </row>
    <row r="4592" spans="1:20" s="714" customFormat="1">
      <c r="A4592" s="1148"/>
      <c r="B4592" s="1053"/>
      <c r="C4592" s="1055" t="s">
        <v>1479</v>
      </c>
      <c r="D4592" s="1172"/>
      <c r="E4592" s="1172"/>
      <c r="F4592" s="1172"/>
      <c r="G4592" s="1140">
        <f>G4589</f>
        <v>2.5</v>
      </c>
      <c r="H4592" s="1136"/>
      <c r="I4592" s="1162">
        <f>I4576</f>
        <v>7.61</v>
      </c>
      <c r="J4592" s="1054"/>
      <c r="K4592" s="1054">
        <f>ROUND(G4592*I4592,2)</f>
        <v>19.03</v>
      </c>
      <c r="L4592" s="1059"/>
      <c r="T4592" s="716"/>
    </row>
    <row r="4593" spans="1:20" s="714" customFormat="1">
      <c r="A4593" s="1148"/>
      <c r="B4593" s="1053"/>
      <c r="C4593" s="1055"/>
      <c r="D4593" s="1172"/>
      <c r="E4593" s="1172"/>
      <c r="F4593" s="1172"/>
      <c r="G4593" s="1140"/>
      <c r="H4593" s="1136"/>
      <c r="I4593" s="1162"/>
      <c r="J4593" s="1054" t="s">
        <v>928</v>
      </c>
      <c r="K4593" s="1052">
        <f>SUM(K4591:K4592)</f>
        <v>226.27</v>
      </c>
      <c r="L4593" s="1059" t="s">
        <v>721</v>
      </c>
      <c r="T4593" s="716"/>
    </row>
    <row r="4594" spans="1:20" s="714" customFormat="1" ht="16.5" customHeight="1">
      <c r="A4594" s="1138"/>
      <c r="B4594" s="710" t="s">
        <v>1480</v>
      </c>
      <c r="C4594" s="1146"/>
      <c r="D4594" s="1146"/>
      <c r="E4594" s="1135"/>
      <c r="F4594" s="1135"/>
      <c r="G4594" s="1055"/>
      <c r="H4594" s="1136"/>
      <c r="I4594" s="1137"/>
      <c r="J4594" s="1055"/>
      <c r="K4594" s="1055"/>
      <c r="L4594" s="1059"/>
      <c r="T4594" s="716"/>
    </row>
    <row r="4595" spans="1:20" s="714" customFormat="1">
      <c r="A4595" s="1148"/>
      <c r="B4595" s="1053" t="s">
        <v>636</v>
      </c>
      <c r="C4595" s="1055" t="s">
        <v>1481</v>
      </c>
      <c r="D4595" s="1172"/>
      <c r="E4595" s="1172"/>
      <c r="F4595" s="1172"/>
      <c r="G4595" s="1140">
        <v>2.5</v>
      </c>
      <c r="H4595" s="1136"/>
      <c r="I4595" s="1162">
        <f>I4579</f>
        <v>71.285799999999995</v>
      </c>
      <c r="J4595" s="1054"/>
      <c r="K4595" s="1054">
        <f>ROUND(G4595*I4595,2)</f>
        <v>178.21</v>
      </c>
      <c r="L4595" s="1059"/>
      <c r="T4595" s="716"/>
    </row>
    <row r="4596" spans="1:20" s="714" customFormat="1">
      <c r="A4596" s="1148"/>
      <c r="B4596" s="1053"/>
      <c r="C4596" s="1055" t="s">
        <v>1482</v>
      </c>
      <c r="D4596" s="1172"/>
      <c r="E4596" s="1172"/>
      <c r="F4596" s="1172"/>
      <c r="G4596" s="1140">
        <v>3.5</v>
      </c>
      <c r="H4596" s="1136"/>
      <c r="I4596" s="1162">
        <f>I4580</f>
        <v>7.61</v>
      </c>
      <c r="J4596" s="1054"/>
      <c r="K4596" s="1054">
        <f>ROUND(G4596*I4596,2)</f>
        <v>26.64</v>
      </c>
      <c r="L4596" s="1059"/>
      <c r="T4596" s="716"/>
    </row>
    <row r="4597" spans="1:20" s="714" customFormat="1">
      <c r="A4597" s="1148"/>
      <c r="B4597" s="1053"/>
      <c r="C4597" s="1055"/>
      <c r="D4597" s="1172"/>
      <c r="E4597" s="1172"/>
      <c r="F4597" s="1172"/>
      <c r="G4597" s="1140"/>
      <c r="H4597" s="1136"/>
      <c r="I4597" s="1162"/>
      <c r="J4597" s="1054" t="s">
        <v>928</v>
      </c>
      <c r="K4597" s="1052">
        <f>SUM(K4595:K4596)</f>
        <v>204.85000000000002</v>
      </c>
      <c r="L4597" s="1059" t="s">
        <v>721</v>
      </c>
      <c r="T4597" s="716"/>
    </row>
    <row r="4598" spans="1:20" s="714" customFormat="1">
      <c r="A4598" s="1148"/>
      <c r="B4598" s="1053" t="s">
        <v>637</v>
      </c>
      <c r="C4598" s="1055" t="s">
        <v>1478</v>
      </c>
      <c r="D4598" s="1172"/>
      <c r="E4598" s="1172"/>
      <c r="F4598" s="1172"/>
      <c r="G4598" s="1140">
        <f>G4595</f>
        <v>2.5</v>
      </c>
      <c r="H4598" s="1136"/>
      <c r="I4598" s="1162">
        <f>I4582</f>
        <v>98.017900000000012</v>
      </c>
      <c r="J4598" s="1054"/>
      <c r="K4598" s="1054">
        <f>ROUND(G4598*I4598,2)</f>
        <v>245.04</v>
      </c>
      <c r="L4598" s="1059"/>
      <c r="T4598" s="716"/>
    </row>
    <row r="4599" spans="1:20" s="714" customFormat="1">
      <c r="A4599" s="1148"/>
      <c r="B4599" s="1053"/>
      <c r="C4599" s="1055" t="s">
        <v>1479</v>
      </c>
      <c r="D4599" s="1172"/>
      <c r="E4599" s="1172"/>
      <c r="F4599" s="1172"/>
      <c r="G4599" s="1140">
        <f>G4596</f>
        <v>3.5</v>
      </c>
      <c r="H4599" s="1136"/>
      <c r="I4599" s="1162">
        <f>I4583</f>
        <v>7.61</v>
      </c>
      <c r="J4599" s="1054"/>
      <c r="K4599" s="1054">
        <f>ROUND(G4599*I4599,2)</f>
        <v>26.64</v>
      </c>
      <c r="L4599" s="1059"/>
      <c r="T4599" s="716"/>
    </row>
    <row r="4600" spans="1:20" s="714" customFormat="1">
      <c r="A4600" s="1148"/>
      <c r="B4600" s="1053"/>
      <c r="C4600" s="1055"/>
      <c r="D4600" s="1172"/>
      <c r="E4600" s="1172"/>
      <c r="F4600" s="1172"/>
      <c r="G4600" s="1140"/>
      <c r="H4600" s="1136"/>
      <c r="I4600" s="1162"/>
      <c r="J4600" s="1054" t="s">
        <v>928</v>
      </c>
      <c r="K4600" s="1052">
        <f>SUM(K4598:K4599)</f>
        <v>271.68</v>
      </c>
      <c r="L4600" s="1059" t="s">
        <v>721</v>
      </c>
      <c r="T4600" s="716"/>
    </row>
    <row r="4601" spans="1:20" s="714" customFormat="1">
      <c r="A4601" s="1148"/>
      <c r="B4601" s="1053" t="s">
        <v>639</v>
      </c>
      <c r="C4601" s="1055" t="s">
        <v>1478</v>
      </c>
      <c r="D4601" s="1172"/>
      <c r="E4601" s="1172"/>
      <c r="F4601" s="1172"/>
      <c r="G4601" s="1140">
        <f>G4598</f>
        <v>2.5</v>
      </c>
      <c r="H4601" s="1136"/>
      <c r="I4601" s="1162">
        <f>I4585</f>
        <v>95.790199999999999</v>
      </c>
      <c r="J4601" s="1054"/>
      <c r="K4601" s="1054">
        <f>ROUND(G4601*I4601,2)</f>
        <v>239.48</v>
      </c>
      <c r="L4601" s="1059"/>
      <c r="T4601" s="716"/>
    </row>
    <row r="4602" spans="1:20" s="714" customFormat="1">
      <c r="A4602" s="1148"/>
      <c r="B4602" s="1053"/>
      <c r="C4602" s="1055" t="s">
        <v>1479</v>
      </c>
      <c r="D4602" s="1172"/>
      <c r="E4602" s="1172"/>
      <c r="F4602" s="1172"/>
      <c r="G4602" s="1140">
        <f>G4599</f>
        <v>3.5</v>
      </c>
      <c r="H4602" s="1136"/>
      <c r="I4602" s="1162">
        <f>I4586</f>
        <v>7.61</v>
      </c>
      <c r="J4602" s="1054"/>
      <c r="K4602" s="1054">
        <f>ROUND(G4602*I4602,2)</f>
        <v>26.64</v>
      </c>
      <c r="L4602" s="1059"/>
      <c r="T4602" s="716"/>
    </row>
    <row r="4603" spans="1:20" s="714" customFormat="1">
      <c r="A4603" s="1148"/>
      <c r="B4603" s="1053"/>
      <c r="C4603" s="1055"/>
      <c r="D4603" s="1172"/>
      <c r="E4603" s="1172"/>
      <c r="F4603" s="1172"/>
      <c r="G4603" s="1140"/>
      <c r="H4603" s="1136"/>
      <c r="I4603" s="1162"/>
      <c r="J4603" s="1054" t="s">
        <v>928</v>
      </c>
      <c r="K4603" s="1052">
        <f>SUM(K4601:K4602)</f>
        <v>266.12</v>
      </c>
      <c r="L4603" s="1059" t="s">
        <v>721</v>
      </c>
      <c r="T4603" s="716"/>
    </row>
    <row r="4604" spans="1:20" s="714" customFormat="1">
      <c r="A4604" s="1148"/>
      <c r="B4604" s="1053" t="s">
        <v>641</v>
      </c>
      <c r="C4604" s="1055" t="s">
        <v>1478</v>
      </c>
      <c r="D4604" s="1172"/>
      <c r="E4604" s="1172"/>
      <c r="F4604" s="1172"/>
      <c r="G4604" s="1140">
        <f>G4601</f>
        <v>2.5</v>
      </c>
      <c r="H4604" s="1136"/>
      <c r="I4604" s="1162">
        <f>I4588</f>
        <v>149.38819999999998</v>
      </c>
      <c r="J4604" s="1054"/>
      <c r="K4604" s="1054">
        <f>ROUND(G4604*I4604,2)</f>
        <v>373.47</v>
      </c>
      <c r="L4604" s="1059"/>
      <c r="T4604" s="716"/>
    </row>
    <row r="4605" spans="1:20" s="714" customFormat="1">
      <c r="A4605" s="1148"/>
      <c r="B4605" s="1053"/>
      <c r="C4605" s="1055" t="s">
        <v>1479</v>
      </c>
      <c r="D4605" s="1172"/>
      <c r="E4605" s="1172"/>
      <c r="F4605" s="1172"/>
      <c r="G4605" s="1140">
        <f>G4602</f>
        <v>3.5</v>
      </c>
      <c r="H4605" s="1136"/>
      <c r="I4605" s="1162">
        <f>I4589</f>
        <v>7.61</v>
      </c>
      <c r="J4605" s="1054"/>
      <c r="K4605" s="1054">
        <f>ROUND(G4605*I4605,2)</f>
        <v>26.64</v>
      </c>
      <c r="L4605" s="1059"/>
      <c r="T4605" s="716"/>
    </row>
    <row r="4606" spans="1:20" s="714" customFormat="1">
      <c r="A4606" s="1148"/>
      <c r="B4606" s="1053"/>
      <c r="C4606" s="1055"/>
      <c r="D4606" s="1172"/>
      <c r="E4606" s="1172"/>
      <c r="F4606" s="1172"/>
      <c r="G4606" s="1140"/>
      <c r="H4606" s="1136"/>
      <c r="I4606" s="1162"/>
      <c r="J4606" s="1054" t="s">
        <v>928</v>
      </c>
      <c r="K4606" s="1052">
        <f>SUM(K4604:K4605)</f>
        <v>400.11</v>
      </c>
      <c r="L4606" s="1059" t="s">
        <v>721</v>
      </c>
      <c r="T4606" s="716"/>
    </row>
    <row r="4607" spans="1:20" s="714" customFormat="1">
      <c r="A4607" s="1148"/>
      <c r="B4607" s="1053" t="s">
        <v>643</v>
      </c>
      <c r="C4607" s="1055" t="s">
        <v>1478</v>
      </c>
      <c r="D4607" s="1172"/>
      <c r="E4607" s="1172"/>
      <c r="F4607" s="1172"/>
      <c r="G4607" s="1140">
        <f>G4604</f>
        <v>2.5</v>
      </c>
      <c r="H4607" s="1136"/>
      <c r="I4607" s="1162">
        <f>I4591</f>
        <v>103.62052499999999</v>
      </c>
      <c r="J4607" s="1054"/>
      <c r="K4607" s="1054">
        <f>ROUND(G4607*I4607,2)</f>
        <v>259.05</v>
      </c>
      <c r="L4607" s="1059"/>
      <c r="T4607" s="716"/>
    </row>
    <row r="4608" spans="1:20" s="714" customFormat="1">
      <c r="A4608" s="1148"/>
      <c r="B4608" s="1053"/>
      <c r="C4608" s="1055" t="s">
        <v>1479</v>
      </c>
      <c r="D4608" s="1172"/>
      <c r="E4608" s="1172"/>
      <c r="F4608" s="1172"/>
      <c r="G4608" s="1140">
        <f>G4605</f>
        <v>3.5</v>
      </c>
      <c r="H4608" s="1136"/>
      <c r="I4608" s="1162">
        <f>I4592</f>
        <v>7.61</v>
      </c>
      <c r="J4608" s="1054"/>
      <c r="K4608" s="1054">
        <f>ROUND(G4608*I4608,2)</f>
        <v>26.64</v>
      </c>
      <c r="L4608" s="1059"/>
      <c r="T4608" s="716"/>
    </row>
    <row r="4609" spans="1:20" s="714" customFormat="1">
      <c r="A4609" s="1148"/>
      <c r="B4609" s="1053"/>
      <c r="C4609" s="1055"/>
      <c r="D4609" s="1172"/>
      <c r="E4609" s="1172"/>
      <c r="F4609" s="1172"/>
      <c r="G4609" s="1140"/>
      <c r="H4609" s="1136"/>
      <c r="I4609" s="1162"/>
      <c r="J4609" s="1054" t="s">
        <v>928</v>
      </c>
      <c r="K4609" s="1052">
        <f>SUM(K4607:K4608)</f>
        <v>285.69</v>
      </c>
      <c r="L4609" s="1059" t="s">
        <v>721</v>
      </c>
      <c r="T4609" s="716"/>
    </row>
    <row r="4610" spans="1:20" s="714" customFormat="1" ht="16.5" customHeight="1">
      <c r="A4610" s="1138"/>
      <c r="B4610" s="710" t="s">
        <v>1483</v>
      </c>
      <c r="C4610" s="1146"/>
      <c r="D4610" s="1146"/>
      <c r="E4610" s="1135"/>
      <c r="F4610" s="1135"/>
      <c r="G4610" s="1055"/>
      <c r="H4610" s="1136"/>
      <c r="I4610" s="1137"/>
      <c r="J4610" s="1055"/>
      <c r="K4610" s="1055"/>
      <c r="L4610" s="1059"/>
      <c r="T4610" s="716"/>
    </row>
    <row r="4611" spans="1:20" s="714" customFormat="1">
      <c r="A4611" s="1148"/>
      <c r="B4611" s="1053" t="s">
        <v>636</v>
      </c>
      <c r="C4611" s="1055" t="s">
        <v>1484</v>
      </c>
      <c r="D4611" s="1172"/>
      <c r="E4611" s="1172"/>
      <c r="F4611" s="1172"/>
      <c r="G4611" s="1140">
        <v>3</v>
      </c>
      <c r="H4611" s="1136"/>
      <c r="I4611" s="1162">
        <f>I4595</f>
        <v>71.285799999999995</v>
      </c>
      <c r="J4611" s="1054"/>
      <c r="K4611" s="1054">
        <f>ROUND(G4611*I4611,2)</f>
        <v>213.86</v>
      </c>
      <c r="L4611" s="1059"/>
      <c r="T4611" s="716"/>
    </row>
    <row r="4612" spans="1:20" s="714" customFormat="1">
      <c r="A4612" s="1148"/>
      <c r="B4612" s="1053"/>
      <c r="C4612" s="1055" t="s">
        <v>1485</v>
      </c>
      <c r="D4612" s="1172"/>
      <c r="E4612" s="1172"/>
      <c r="F4612" s="1172"/>
      <c r="G4612" s="1140">
        <v>4.5</v>
      </c>
      <c r="H4612" s="1136"/>
      <c r="I4612" s="1162">
        <f>I4596</f>
        <v>7.61</v>
      </c>
      <c r="J4612" s="1054"/>
      <c r="K4612" s="1054">
        <f>ROUND(G4612*I4612,2)</f>
        <v>34.25</v>
      </c>
      <c r="L4612" s="1059"/>
      <c r="T4612" s="716"/>
    </row>
    <row r="4613" spans="1:20" s="714" customFormat="1">
      <c r="A4613" s="1148"/>
      <c r="B4613" s="1053"/>
      <c r="C4613" s="1055"/>
      <c r="D4613" s="1172"/>
      <c r="E4613" s="1172"/>
      <c r="F4613" s="1172"/>
      <c r="G4613" s="1140"/>
      <c r="H4613" s="1136"/>
      <c r="I4613" s="1162"/>
      <c r="J4613" s="1054" t="s">
        <v>928</v>
      </c>
      <c r="K4613" s="1052">
        <f>SUM(K4611:K4612)</f>
        <v>248.11</v>
      </c>
      <c r="L4613" s="1059" t="s">
        <v>721</v>
      </c>
      <c r="T4613" s="716"/>
    </row>
    <row r="4614" spans="1:20" s="714" customFormat="1">
      <c r="A4614" s="1148"/>
      <c r="B4614" s="1053" t="s">
        <v>637</v>
      </c>
      <c r="C4614" s="1055" t="str">
        <f>C4611</f>
        <v>(3 times initial rate )</v>
      </c>
      <c r="D4614" s="1172"/>
      <c r="E4614" s="1172"/>
      <c r="F4614" s="1172"/>
      <c r="G4614" s="1140">
        <f>G4611</f>
        <v>3</v>
      </c>
      <c r="H4614" s="1136"/>
      <c r="I4614" s="1162">
        <f>I4598</f>
        <v>98.017900000000012</v>
      </c>
      <c r="J4614" s="1054"/>
      <c r="K4614" s="1054">
        <f>ROUND(G4614*I4614,2)</f>
        <v>294.05</v>
      </c>
      <c r="L4614" s="1059"/>
      <c r="T4614" s="716"/>
    </row>
    <row r="4615" spans="1:20" s="714" customFormat="1">
      <c r="A4615" s="1148"/>
      <c r="B4615" s="1053"/>
      <c r="C4615" s="1055" t="str">
        <f>C4612</f>
        <v>(4.5 times initial rate of Lift )</v>
      </c>
      <c r="D4615" s="1172"/>
      <c r="E4615" s="1172"/>
      <c r="F4615" s="1172"/>
      <c r="G4615" s="1140">
        <f>G4612</f>
        <v>4.5</v>
      </c>
      <c r="H4615" s="1136"/>
      <c r="I4615" s="1162">
        <f>I4599</f>
        <v>7.61</v>
      </c>
      <c r="J4615" s="1054"/>
      <c r="K4615" s="1054">
        <f>ROUND(G4615*I4615,2)</f>
        <v>34.25</v>
      </c>
      <c r="L4615" s="1059"/>
      <c r="T4615" s="716"/>
    </row>
    <row r="4616" spans="1:20" s="714" customFormat="1">
      <c r="A4616" s="1148"/>
      <c r="B4616" s="1053"/>
      <c r="C4616" s="1055"/>
      <c r="D4616" s="1172"/>
      <c r="E4616" s="1172"/>
      <c r="F4616" s="1172"/>
      <c r="G4616" s="1140"/>
      <c r="H4616" s="1136"/>
      <c r="I4616" s="1162"/>
      <c r="J4616" s="1054" t="s">
        <v>928</v>
      </c>
      <c r="K4616" s="1052">
        <f>SUM(K4614:K4615)</f>
        <v>328.3</v>
      </c>
      <c r="L4616" s="1059" t="s">
        <v>721</v>
      </c>
      <c r="T4616" s="716"/>
    </row>
    <row r="4617" spans="1:20" s="714" customFormat="1">
      <c r="A4617" s="1148"/>
      <c r="B4617" s="1053" t="s">
        <v>639</v>
      </c>
      <c r="C4617" s="1055" t="str">
        <f>C4614</f>
        <v>(3 times initial rate )</v>
      </c>
      <c r="D4617" s="1172"/>
      <c r="E4617" s="1172"/>
      <c r="F4617" s="1172"/>
      <c r="G4617" s="1140">
        <f>G4614</f>
        <v>3</v>
      </c>
      <c r="H4617" s="1136"/>
      <c r="I4617" s="1162">
        <f>I4601</f>
        <v>95.790199999999999</v>
      </c>
      <c r="J4617" s="1054"/>
      <c r="K4617" s="1054">
        <f>ROUND(G4617*I4617,2)</f>
        <v>287.37</v>
      </c>
      <c r="L4617" s="1059"/>
      <c r="T4617" s="716"/>
    </row>
    <row r="4618" spans="1:20" s="714" customFormat="1">
      <c r="A4618" s="1148"/>
      <c r="B4618" s="1053"/>
      <c r="C4618" s="1055" t="str">
        <f>C4615</f>
        <v>(4.5 times initial rate of Lift )</v>
      </c>
      <c r="D4618" s="1172"/>
      <c r="E4618" s="1172"/>
      <c r="F4618" s="1172"/>
      <c r="G4618" s="1140">
        <f>G4615</f>
        <v>4.5</v>
      </c>
      <c r="H4618" s="1136"/>
      <c r="I4618" s="1162">
        <f>I4602</f>
        <v>7.61</v>
      </c>
      <c r="J4618" s="1054"/>
      <c r="K4618" s="1054">
        <f>ROUND(G4618*I4618,2)</f>
        <v>34.25</v>
      </c>
      <c r="L4618" s="1059"/>
      <c r="T4618" s="716"/>
    </row>
    <row r="4619" spans="1:20" s="714" customFormat="1">
      <c r="A4619" s="1148"/>
      <c r="B4619" s="1053"/>
      <c r="C4619" s="1055"/>
      <c r="D4619" s="1172"/>
      <c r="E4619" s="1172"/>
      <c r="F4619" s="1172"/>
      <c r="G4619" s="1140"/>
      <c r="H4619" s="1136"/>
      <c r="I4619" s="1162"/>
      <c r="J4619" s="1054" t="s">
        <v>928</v>
      </c>
      <c r="K4619" s="1052">
        <f>SUM(K4617:K4618)</f>
        <v>321.62</v>
      </c>
      <c r="L4619" s="1059" t="s">
        <v>721</v>
      </c>
      <c r="T4619" s="716"/>
    </row>
    <row r="4620" spans="1:20" s="714" customFormat="1">
      <c r="A4620" s="1148"/>
      <c r="B4620" s="1053" t="s">
        <v>641</v>
      </c>
      <c r="C4620" s="1055" t="str">
        <f>C4617</f>
        <v>(3 times initial rate )</v>
      </c>
      <c r="D4620" s="1172"/>
      <c r="E4620" s="1172"/>
      <c r="F4620" s="1172"/>
      <c r="G4620" s="1140">
        <f>G4617</f>
        <v>3</v>
      </c>
      <c r="H4620" s="1136"/>
      <c r="I4620" s="1162">
        <f>I4604</f>
        <v>149.38819999999998</v>
      </c>
      <c r="J4620" s="1054"/>
      <c r="K4620" s="1054">
        <f>ROUND(G4620*I4620,2)</f>
        <v>448.16</v>
      </c>
      <c r="L4620" s="1059"/>
      <c r="T4620" s="716"/>
    </row>
    <row r="4621" spans="1:20" s="714" customFormat="1">
      <c r="A4621" s="1148"/>
      <c r="B4621" s="1053"/>
      <c r="C4621" s="1055" t="str">
        <f>C4618</f>
        <v>(4.5 times initial rate of Lift )</v>
      </c>
      <c r="D4621" s="1172"/>
      <c r="E4621" s="1172"/>
      <c r="F4621" s="1172"/>
      <c r="G4621" s="1140">
        <f>G4618</f>
        <v>4.5</v>
      </c>
      <c r="H4621" s="1136"/>
      <c r="I4621" s="1162">
        <f>I4605</f>
        <v>7.61</v>
      </c>
      <c r="J4621" s="1054"/>
      <c r="K4621" s="1054">
        <f>ROUND(G4621*I4621,2)</f>
        <v>34.25</v>
      </c>
      <c r="L4621" s="1059"/>
      <c r="T4621" s="716"/>
    </row>
    <row r="4622" spans="1:20" s="714" customFormat="1">
      <c r="A4622" s="1148"/>
      <c r="B4622" s="1053"/>
      <c r="C4622" s="1055"/>
      <c r="D4622" s="1172"/>
      <c r="E4622" s="1172"/>
      <c r="F4622" s="1172"/>
      <c r="G4622" s="1140"/>
      <c r="H4622" s="1136"/>
      <c r="I4622" s="1162"/>
      <c r="J4622" s="1054" t="s">
        <v>928</v>
      </c>
      <c r="K4622" s="1052">
        <f>SUM(K4620:K4621)</f>
        <v>482.41</v>
      </c>
      <c r="L4622" s="1059" t="s">
        <v>721</v>
      </c>
      <c r="T4622" s="716"/>
    </row>
    <row r="4623" spans="1:20" s="714" customFormat="1">
      <c r="A4623" s="1148"/>
      <c r="B4623" s="1053" t="s">
        <v>643</v>
      </c>
      <c r="C4623" s="1055" t="str">
        <f>C4620</f>
        <v>(3 times initial rate )</v>
      </c>
      <c r="D4623" s="1172"/>
      <c r="E4623" s="1172"/>
      <c r="F4623" s="1172"/>
      <c r="G4623" s="1140">
        <f>G4620</f>
        <v>3</v>
      </c>
      <c r="H4623" s="1136"/>
      <c r="I4623" s="1162">
        <f>I4607</f>
        <v>103.62052499999999</v>
      </c>
      <c r="J4623" s="1054"/>
      <c r="K4623" s="1054">
        <f>ROUND(G4623*I4623,2)</f>
        <v>310.86</v>
      </c>
      <c r="L4623" s="1059"/>
      <c r="T4623" s="716"/>
    </row>
    <row r="4624" spans="1:20" s="714" customFormat="1">
      <c r="A4624" s="1148"/>
      <c r="B4624" s="1053"/>
      <c r="C4624" s="1055" t="str">
        <f>C4621</f>
        <v>(4.5 times initial rate of Lift )</v>
      </c>
      <c r="D4624" s="1172"/>
      <c r="E4624" s="1172"/>
      <c r="F4624" s="1172"/>
      <c r="G4624" s="1140">
        <f>G4621</f>
        <v>4.5</v>
      </c>
      <c r="H4624" s="1136"/>
      <c r="I4624" s="1162">
        <f>I4608</f>
        <v>7.61</v>
      </c>
      <c r="J4624" s="1054"/>
      <c r="K4624" s="1054">
        <f>ROUND(G4624*I4624,2)</f>
        <v>34.25</v>
      </c>
      <c r="L4624" s="1059"/>
      <c r="T4624" s="716"/>
    </row>
    <row r="4625" spans="1:20" s="714" customFormat="1">
      <c r="A4625" s="1148"/>
      <c r="B4625" s="1053"/>
      <c r="C4625" s="1055"/>
      <c r="D4625" s="1172"/>
      <c r="E4625" s="1172"/>
      <c r="F4625" s="1172"/>
      <c r="G4625" s="1140"/>
      <c r="H4625" s="1136"/>
      <c r="I4625" s="1162"/>
      <c r="J4625" s="1054" t="s">
        <v>928</v>
      </c>
      <c r="K4625" s="1052">
        <f>SUM(K4623:K4624)</f>
        <v>345.11</v>
      </c>
      <c r="L4625" s="1059" t="s">
        <v>721</v>
      </c>
      <c r="T4625" s="716"/>
    </row>
    <row r="4626" spans="1:20" s="714" customFormat="1" ht="16.5" customHeight="1">
      <c r="A4626" s="1138"/>
      <c r="B4626" s="710" t="s">
        <v>1486</v>
      </c>
      <c r="C4626" s="1146"/>
      <c r="D4626" s="1146"/>
      <c r="E4626" s="1135"/>
      <c r="F4626" s="1135"/>
      <c r="G4626" s="1055"/>
      <c r="H4626" s="1136"/>
      <c r="I4626" s="1137"/>
      <c r="J4626" s="1055"/>
      <c r="K4626" s="1055"/>
      <c r="L4626" s="1059"/>
      <c r="T4626" s="716"/>
    </row>
    <row r="4627" spans="1:20" s="714" customFormat="1">
      <c r="A4627" s="1148"/>
      <c r="B4627" s="1053" t="s">
        <v>636</v>
      </c>
      <c r="C4627" s="1055" t="s">
        <v>1487</v>
      </c>
      <c r="D4627" s="1172"/>
      <c r="E4627" s="1172"/>
      <c r="F4627" s="1172"/>
      <c r="G4627" s="1140">
        <v>3.5</v>
      </c>
      <c r="H4627" s="1136"/>
      <c r="I4627" s="1162">
        <f>I4611</f>
        <v>71.285799999999995</v>
      </c>
      <c r="J4627" s="1054"/>
      <c r="K4627" s="1054">
        <f>ROUND(G4627*I4627,2)</f>
        <v>249.5</v>
      </c>
      <c r="L4627" s="1059"/>
      <c r="T4627" s="716"/>
    </row>
    <row r="4628" spans="1:20" s="714" customFormat="1">
      <c r="A4628" s="1148"/>
      <c r="B4628" s="1053"/>
      <c r="C4628" s="1055" t="s">
        <v>1488</v>
      </c>
      <c r="D4628" s="1172"/>
      <c r="E4628" s="1172"/>
      <c r="F4628" s="1172"/>
      <c r="G4628" s="1140">
        <v>5.5</v>
      </c>
      <c r="H4628" s="1136"/>
      <c r="I4628" s="1162">
        <f>I4612</f>
        <v>7.61</v>
      </c>
      <c r="J4628" s="1054"/>
      <c r="K4628" s="1054">
        <f>ROUND(G4628*I4628,2)</f>
        <v>41.86</v>
      </c>
      <c r="L4628" s="1059"/>
      <c r="T4628" s="716"/>
    </row>
    <row r="4629" spans="1:20" s="714" customFormat="1">
      <c r="A4629" s="1148"/>
      <c r="B4629" s="1053"/>
      <c r="C4629" s="1055"/>
      <c r="D4629" s="1172"/>
      <c r="E4629" s="1172"/>
      <c r="F4629" s="1172"/>
      <c r="G4629" s="1140"/>
      <c r="H4629" s="1136"/>
      <c r="I4629" s="1162"/>
      <c r="J4629" s="1054" t="s">
        <v>928</v>
      </c>
      <c r="K4629" s="1052">
        <f>SUM(K4627:K4628)</f>
        <v>291.36</v>
      </c>
      <c r="L4629" s="1059" t="s">
        <v>721</v>
      </c>
      <c r="T4629" s="716"/>
    </row>
    <row r="4630" spans="1:20" s="714" customFormat="1">
      <c r="A4630" s="1148"/>
      <c r="B4630" s="1053" t="s">
        <v>637</v>
      </c>
      <c r="C4630" s="1055" t="str">
        <f>C4627</f>
        <v>(3.5 times initial rate )</v>
      </c>
      <c r="D4630" s="1172"/>
      <c r="E4630" s="1172"/>
      <c r="F4630" s="1172"/>
      <c r="G4630" s="1140">
        <f>G4627</f>
        <v>3.5</v>
      </c>
      <c r="H4630" s="1136"/>
      <c r="I4630" s="1162">
        <f>I4614</f>
        <v>98.017900000000012</v>
      </c>
      <c r="J4630" s="1054"/>
      <c r="K4630" s="1054">
        <f>ROUND(G4630*I4630,2)</f>
        <v>343.06</v>
      </c>
      <c r="L4630" s="1059"/>
      <c r="T4630" s="716"/>
    </row>
    <row r="4631" spans="1:20" s="714" customFormat="1">
      <c r="A4631" s="1148"/>
      <c r="B4631" s="1053"/>
      <c r="C4631" s="1055" t="str">
        <f>C4628</f>
        <v>(5.5 times initial rate of Lift )</v>
      </c>
      <c r="D4631" s="1172"/>
      <c r="E4631" s="1172"/>
      <c r="F4631" s="1172"/>
      <c r="G4631" s="1140">
        <f>G4628</f>
        <v>5.5</v>
      </c>
      <c r="H4631" s="1136"/>
      <c r="I4631" s="1162">
        <f>I4615</f>
        <v>7.61</v>
      </c>
      <c r="J4631" s="1054"/>
      <c r="K4631" s="1054">
        <f>ROUND(G4631*I4631,2)</f>
        <v>41.86</v>
      </c>
      <c r="L4631" s="1059"/>
      <c r="T4631" s="716"/>
    </row>
    <row r="4632" spans="1:20" s="714" customFormat="1">
      <c r="A4632" s="1148"/>
      <c r="B4632" s="1053"/>
      <c r="C4632" s="1055"/>
      <c r="D4632" s="1172"/>
      <c r="E4632" s="1172"/>
      <c r="F4632" s="1172"/>
      <c r="G4632" s="1140"/>
      <c r="H4632" s="1136"/>
      <c r="I4632" s="1162"/>
      <c r="J4632" s="1054" t="s">
        <v>928</v>
      </c>
      <c r="K4632" s="1052">
        <f>SUM(K4630:K4631)</f>
        <v>384.92</v>
      </c>
      <c r="L4632" s="1059" t="s">
        <v>721</v>
      </c>
      <c r="T4632" s="716"/>
    </row>
    <row r="4633" spans="1:20" s="714" customFormat="1">
      <c r="A4633" s="1148"/>
      <c r="B4633" s="1053" t="s">
        <v>639</v>
      </c>
      <c r="C4633" s="1055" t="str">
        <f>C4630</f>
        <v>(3.5 times initial rate )</v>
      </c>
      <c r="D4633" s="1172"/>
      <c r="E4633" s="1172"/>
      <c r="F4633" s="1172"/>
      <c r="G4633" s="1140">
        <f>G4630</f>
        <v>3.5</v>
      </c>
      <c r="H4633" s="1136"/>
      <c r="I4633" s="1162">
        <f>I4617</f>
        <v>95.790199999999999</v>
      </c>
      <c r="J4633" s="1054"/>
      <c r="K4633" s="1054">
        <f>ROUND(G4633*I4633,2)</f>
        <v>335.27</v>
      </c>
      <c r="L4633" s="1059"/>
      <c r="T4633" s="716"/>
    </row>
    <row r="4634" spans="1:20" s="714" customFormat="1">
      <c r="A4634" s="1148"/>
      <c r="B4634" s="1053"/>
      <c r="C4634" s="1055" t="str">
        <f>C4631</f>
        <v>(5.5 times initial rate of Lift )</v>
      </c>
      <c r="D4634" s="1172"/>
      <c r="E4634" s="1172"/>
      <c r="F4634" s="1172"/>
      <c r="G4634" s="1140">
        <f>G4631</f>
        <v>5.5</v>
      </c>
      <c r="H4634" s="1136"/>
      <c r="I4634" s="1162">
        <f>I4618</f>
        <v>7.61</v>
      </c>
      <c r="J4634" s="1054"/>
      <c r="K4634" s="1054">
        <f>ROUND(G4634*I4634,2)</f>
        <v>41.86</v>
      </c>
      <c r="L4634" s="1059"/>
      <c r="T4634" s="716"/>
    </row>
    <row r="4635" spans="1:20" s="714" customFormat="1">
      <c r="A4635" s="1148"/>
      <c r="B4635" s="1053"/>
      <c r="C4635" s="1055"/>
      <c r="D4635" s="1172"/>
      <c r="E4635" s="1172"/>
      <c r="F4635" s="1172"/>
      <c r="G4635" s="1140"/>
      <c r="H4635" s="1136"/>
      <c r="I4635" s="1162"/>
      <c r="J4635" s="1054" t="s">
        <v>928</v>
      </c>
      <c r="K4635" s="1052">
        <f>SUM(K4633:K4634)</f>
        <v>377.13</v>
      </c>
      <c r="L4635" s="1059" t="s">
        <v>721</v>
      </c>
      <c r="T4635" s="716"/>
    </row>
    <row r="4636" spans="1:20" s="714" customFormat="1">
      <c r="A4636" s="1148"/>
      <c r="B4636" s="1053" t="s">
        <v>641</v>
      </c>
      <c r="C4636" s="1055" t="str">
        <f>C4633</f>
        <v>(3.5 times initial rate )</v>
      </c>
      <c r="D4636" s="1172"/>
      <c r="E4636" s="1172"/>
      <c r="F4636" s="1172"/>
      <c r="G4636" s="1140">
        <f>G4633</f>
        <v>3.5</v>
      </c>
      <c r="H4636" s="1136"/>
      <c r="I4636" s="1162">
        <f>I4620</f>
        <v>149.38819999999998</v>
      </c>
      <c r="J4636" s="1054"/>
      <c r="K4636" s="1054">
        <f>ROUND(G4636*I4636,2)</f>
        <v>522.86</v>
      </c>
      <c r="L4636" s="1059"/>
      <c r="T4636" s="716"/>
    </row>
    <row r="4637" spans="1:20" s="714" customFormat="1">
      <c r="A4637" s="1148"/>
      <c r="B4637" s="1053"/>
      <c r="C4637" s="1055" t="str">
        <f>C4634</f>
        <v>(5.5 times initial rate of Lift )</v>
      </c>
      <c r="D4637" s="1172"/>
      <c r="E4637" s="1172"/>
      <c r="F4637" s="1172"/>
      <c r="G4637" s="1140">
        <f>G4634</f>
        <v>5.5</v>
      </c>
      <c r="H4637" s="1136"/>
      <c r="I4637" s="1162">
        <f>I4621</f>
        <v>7.61</v>
      </c>
      <c r="J4637" s="1054"/>
      <c r="K4637" s="1054">
        <f>ROUND(G4637*I4637,2)</f>
        <v>41.86</v>
      </c>
      <c r="L4637" s="1059"/>
      <c r="T4637" s="716"/>
    </row>
    <row r="4638" spans="1:20" s="714" customFormat="1">
      <c r="A4638" s="1148"/>
      <c r="B4638" s="1053"/>
      <c r="C4638" s="1055"/>
      <c r="D4638" s="1172"/>
      <c r="E4638" s="1172"/>
      <c r="F4638" s="1172"/>
      <c r="G4638" s="1140"/>
      <c r="H4638" s="1136"/>
      <c r="I4638" s="1162"/>
      <c r="J4638" s="1054" t="s">
        <v>928</v>
      </c>
      <c r="K4638" s="1052">
        <f>SUM(K4636:K4637)</f>
        <v>564.72</v>
      </c>
      <c r="L4638" s="1059" t="s">
        <v>721</v>
      </c>
      <c r="T4638" s="716"/>
    </row>
    <row r="4639" spans="1:20" s="714" customFormat="1">
      <c r="A4639" s="1148"/>
      <c r="B4639" s="1053" t="s">
        <v>643</v>
      </c>
      <c r="C4639" s="1055" t="str">
        <f>C4636</f>
        <v>(3.5 times initial rate )</v>
      </c>
      <c r="D4639" s="1172"/>
      <c r="E4639" s="1172"/>
      <c r="F4639" s="1172"/>
      <c r="G4639" s="1140">
        <f>G4636</f>
        <v>3.5</v>
      </c>
      <c r="H4639" s="1136"/>
      <c r="I4639" s="1162">
        <f>I4623</f>
        <v>103.62052499999999</v>
      </c>
      <c r="J4639" s="1054"/>
      <c r="K4639" s="1054">
        <f>ROUND(G4639*I4639,2)</f>
        <v>362.67</v>
      </c>
      <c r="L4639" s="1059"/>
      <c r="T4639" s="716"/>
    </row>
    <row r="4640" spans="1:20" s="714" customFormat="1">
      <c r="A4640" s="1148"/>
      <c r="B4640" s="1053"/>
      <c r="C4640" s="1055" t="str">
        <f>C4637</f>
        <v>(5.5 times initial rate of Lift )</v>
      </c>
      <c r="D4640" s="1172"/>
      <c r="E4640" s="1172"/>
      <c r="F4640" s="1172"/>
      <c r="G4640" s="1140">
        <f>G4637</f>
        <v>5.5</v>
      </c>
      <c r="H4640" s="1136"/>
      <c r="I4640" s="1162">
        <f>I4624</f>
        <v>7.61</v>
      </c>
      <c r="J4640" s="1054"/>
      <c r="K4640" s="1054">
        <f>ROUND(G4640*I4640,2)</f>
        <v>41.86</v>
      </c>
      <c r="L4640" s="1059"/>
      <c r="T4640" s="716"/>
    </row>
    <row r="4641" spans="1:20" s="714" customFormat="1">
      <c r="A4641" s="1148"/>
      <c r="B4641" s="1053"/>
      <c r="C4641" s="1055"/>
      <c r="D4641" s="1172"/>
      <c r="E4641" s="1172"/>
      <c r="F4641" s="1172"/>
      <c r="G4641" s="1140"/>
      <c r="H4641" s="1136"/>
      <c r="I4641" s="1162"/>
      <c r="J4641" s="1054" t="s">
        <v>928</v>
      </c>
      <c r="K4641" s="1052">
        <f>SUM(K4639:K4640)</f>
        <v>404.53000000000003</v>
      </c>
      <c r="L4641" s="1059" t="s">
        <v>721</v>
      </c>
      <c r="T4641" s="716"/>
    </row>
    <row r="4642" spans="1:20" s="714" customFormat="1" ht="16.5" customHeight="1">
      <c r="A4642" s="1138"/>
      <c r="B4642" s="710" t="s">
        <v>1489</v>
      </c>
      <c r="C4642" s="1146"/>
      <c r="D4642" s="1146"/>
      <c r="E4642" s="1135"/>
      <c r="F4642" s="1135"/>
      <c r="G4642" s="1055"/>
      <c r="H4642" s="1136"/>
      <c r="I4642" s="1137"/>
      <c r="J4642" s="1055"/>
      <c r="K4642" s="1055"/>
      <c r="L4642" s="1059"/>
      <c r="T4642" s="716"/>
    </row>
    <row r="4643" spans="1:20" s="714" customFormat="1">
      <c r="A4643" s="1148"/>
      <c r="B4643" s="1053" t="s">
        <v>636</v>
      </c>
      <c r="C4643" s="1055" t="s">
        <v>1490</v>
      </c>
      <c r="D4643" s="1172"/>
      <c r="E4643" s="1172"/>
      <c r="F4643" s="1172"/>
      <c r="G4643" s="1140">
        <v>4</v>
      </c>
      <c r="H4643" s="1136"/>
      <c r="I4643" s="1162">
        <f>I4627</f>
        <v>71.285799999999995</v>
      </c>
      <c r="J4643" s="1054"/>
      <c r="K4643" s="1054">
        <f>ROUND(G4643*I4643,2)</f>
        <v>285.14</v>
      </c>
      <c r="L4643" s="1059"/>
      <c r="T4643" s="716"/>
    </row>
    <row r="4644" spans="1:20" s="714" customFormat="1">
      <c r="A4644" s="1148"/>
      <c r="B4644" s="1053"/>
      <c r="C4644" s="1055" t="s">
        <v>1491</v>
      </c>
      <c r="D4644" s="1172"/>
      <c r="E4644" s="1172"/>
      <c r="F4644" s="1172"/>
      <c r="G4644" s="1140">
        <v>6.5</v>
      </c>
      <c r="H4644" s="1136"/>
      <c r="I4644" s="1162">
        <f>I4628</f>
        <v>7.61</v>
      </c>
      <c r="J4644" s="1054"/>
      <c r="K4644" s="1054">
        <f>ROUND(G4644*I4644,2)</f>
        <v>49.47</v>
      </c>
      <c r="L4644" s="1059"/>
      <c r="T4644" s="716"/>
    </row>
    <row r="4645" spans="1:20" s="714" customFormat="1">
      <c r="A4645" s="1148"/>
      <c r="B4645" s="1053"/>
      <c r="C4645" s="1055"/>
      <c r="D4645" s="1172"/>
      <c r="E4645" s="1172"/>
      <c r="F4645" s="1172"/>
      <c r="G4645" s="1140"/>
      <c r="H4645" s="1136"/>
      <c r="I4645" s="1162"/>
      <c r="J4645" s="1054" t="s">
        <v>928</v>
      </c>
      <c r="K4645" s="1052">
        <f>SUM(K4643:K4644)</f>
        <v>334.61</v>
      </c>
      <c r="L4645" s="1059" t="s">
        <v>721</v>
      </c>
      <c r="T4645" s="716"/>
    </row>
    <row r="4646" spans="1:20" s="714" customFormat="1">
      <c r="A4646" s="1148"/>
      <c r="B4646" s="1053" t="s">
        <v>637</v>
      </c>
      <c r="C4646" s="1055" t="str">
        <f>C4643</f>
        <v>(4 times initial rate )</v>
      </c>
      <c r="D4646" s="1172"/>
      <c r="E4646" s="1172"/>
      <c r="F4646" s="1172"/>
      <c r="G4646" s="1140">
        <f>G4643</f>
        <v>4</v>
      </c>
      <c r="H4646" s="1136"/>
      <c r="I4646" s="1162">
        <f>I4630</f>
        <v>98.017900000000012</v>
      </c>
      <c r="J4646" s="1054"/>
      <c r="K4646" s="1054">
        <f>ROUND(G4646*I4646,2)</f>
        <v>392.07</v>
      </c>
      <c r="L4646" s="1059"/>
      <c r="T4646" s="716"/>
    </row>
    <row r="4647" spans="1:20" s="714" customFormat="1">
      <c r="A4647" s="1148"/>
      <c r="B4647" s="1053"/>
      <c r="C4647" s="1055" t="str">
        <f>C4644</f>
        <v>(6.5 times initial rate of Lift )</v>
      </c>
      <c r="D4647" s="1172"/>
      <c r="E4647" s="1172"/>
      <c r="F4647" s="1172"/>
      <c r="G4647" s="1140">
        <f>G4644</f>
        <v>6.5</v>
      </c>
      <c r="H4647" s="1136"/>
      <c r="I4647" s="1162">
        <f>I4631</f>
        <v>7.61</v>
      </c>
      <c r="J4647" s="1054"/>
      <c r="K4647" s="1054">
        <f>ROUND(G4647*I4647,2)</f>
        <v>49.47</v>
      </c>
      <c r="L4647" s="1059"/>
      <c r="T4647" s="716"/>
    </row>
    <row r="4648" spans="1:20" s="714" customFormat="1">
      <c r="A4648" s="1148"/>
      <c r="B4648" s="1053"/>
      <c r="C4648" s="1055"/>
      <c r="D4648" s="1172"/>
      <c r="E4648" s="1172"/>
      <c r="F4648" s="1172"/>
      <c r="G4648" s="1140"/>
      <c r="H4648" s="1136"/>
      <c r="I4648" s="1162"/>
      <c r="J4648" s="1054" t="s">
        <v>928</v>
      </c>
      <c r="K4648" s="1052">
        <f>SUM(K4646:K4647)</f>
        <v>441.53999999999996</v>
      </c>
      <c r="L4648" s="1059" t="s">
        <v>721</v>
      </c>
      <c r="T4648" s="716"/>
    </row>
    <row r="4649" spans="1:20" s="714" customFormat="1">
      <c r="A4649" s="1148"/>
      <c r="B4649" s="1053" t="s">
        <v>639</v>
      </c>
      <c r="C4649" s="1055" t="str">
        <f>C4646</f>
        <v>(4 times initial rate )</v>
      </c>
      <c r="D4649" s="1172"/>
      <c r="E4649" s="1172"/>
      <c r="F4649" s="1172"/>
      <c r="G4649" s="1140">
        <f>G4646</f>
        <v>4</v>
      </c>
      <c r="H4649" s="1136"/>
      <c r="I4649" s="1162">
        <f>I4633</f>
        <v>95.790199999999999</v>
      </c>
      <c r="J4649" s="1054"/>
      <c r="K4649" s="1054">
        <f>ROUND(G4649*I4649,2)</f>
        <v>383.16</v>
      </c>
      <c r="L4649" s="1059"/>
      <c r="T4649" s="716"/>
    </row>
    <row r="4650" spans="1:20" s="714" customFormat="1">
      <c r="A4650" s="1148"/>
      <c r="B4650" s="1053"/>
      <c r="C4650" s="1055" t="str">
        <f>C4647</f>
        <v>(6.5 times initial rate of Lift )</v>
      </c>
      <c r="D4650" s="1172"/>
      <c r="E4650" s="1172"/>
      <c r="F4650" s="1172"/>
      <c r="G4650" s="1140">
        <f>G4647</f>
        <v>6.5</v>
      </c>
      <c r="H4650" s="1136"/>
      <c r="I4650" s="1162">
        <f>I4634</f>
        <v>7.61</v>
      </c>
      <c r="J4650" s="1054"/>
      <c r="K4650" s="1054">
        <f>ROUND(G4650*I4650,2)</f>
        <v>49.47</v>
      </c>
      <c r="L4650" s="1059"/>
      <c r="T4650" s="716"/>
    </row>
    <row r="4651" spans="1:20" s="714" customFormat="1">
      <c r="A4651" s="1148"/>
      <c r="B4651" s="1053"/>
      <c r="C4651" s="1055"/>
      <c r="D4651" s="1172"/>
      <c r="E4651" s="1172"/>
      <c r="F4651" s="1172"/>
      <c r="G4651" s="1140"/>
      <c r="H4651" s="1136"/>
      <c r="I4651" s="1162"/>
      <c r="J4651" s="1054" t="s">
        <v>928</v>
      </c>
      <c r="K4651" s="1052">
        <f>SUM(K4649:K4650)</f>
        <v>432.63</v>
      </c>
      <c r="L4651" s="1059" t="s">
        <v>721</v>
      </c>
      <c r="T4651" s="716"/>
    </row>
    <row r="4652" spans="1:20" s="714" customFormat="1">
      <c r="A4652" s="1148"/>
      <c r="B4652" s="1053" t="s">
        <v>641</v>
      </c>
      <c r="C4652" s="1055" t="str">
        <f>C4649</f>
        <v>(4 times initial rate )</v>
      </c>
      <c r="D4652" s="1172"/>
      <c r="E4652" s="1172"/>
      <c r="F4652" s="1172"/>
      <c r="G4652" s="1140">
        <f>G4649</f>
        <v>4</v>
      </c>
      <c r="H4652" s="1136"/>
      <c r="I4652" s="1162">
        <f>I4636</f>
        <v>149.38819999999998</v>
      </c>
      <c r="J4652" s="1054"/>
      <c r="K4652" s="1054">
        <f>ROUND(G4652*I4652,2)</f>
        <v>597.54999999999995</v>
      </c>
      <c r="L4652" s="1059"/>
      <c r="T4652" s="716"/>
    </row>
    <row r="4653" spans="1:20" s="714" customFormat="1">
      <c r="A4653" s="1148"/>
      <c r="B4653" s="1053"/>
      <c r="C4653" s="1055" t="str">
        <f>C4650</f>
        <v>(6.5 times initial rate of Lift )</v>
      </c>
      <c r="D4653" s="1172"/>
      <c r="E4653" s="1172"/>
      <c r="F4653" s="1172"/>
      <c r="G4653" s="1140">
        <f>G4650</f>
        <v>6.5</v>
      </c>
      <c r="H4653" s="1136"/>
      <c r="I4653" s="1162">
        <f>I4637</f>
        <v>7.61</v>
      </c>
      <c r="J4653" s="1054"/>
      <c r="K4653" s="1054">
        <f>ROUND(G4653*I4653,2)</f>
        <v>49.47</v>
      </c>
      <c r="L4653" s="1059"/>
      <c r="T4653" s="716"/>
    </row>
    <row r="4654" spans="1:20" s="714" customFormat="1">
      <c r="A4654" s="1148"/>
      <c r="B4654" s="1053"/>
      <c r="C4654" s="1055"/>
      <c r="D4654" s="1172"/>
      <c r="E4654" s="1172"/>
      <c r="F4654" s="1172"/>
      <c r="G4654" s="1140"/>
      <c r="H4654" s="1136"/>
      <c r="I4654" s="1162"/>
      <c r="J4654" s="1054" t="s">
        <v>928</v>
      </c>
      <c r="K4654" s="1052">
        <f>SUM(K4652:K4653)</f>
        <v>647.02</v>
      </c>
      <c r="L4654" s="1059" t="s">
        <v>721</v>
      </c>
      <c r="T4654" s="716"/>
    </row>
    <row r="4655" spans="1:20" s="714" customFormat="1">
      <c r="A4655" s="1148"/>
      <c r="B4655" s="1053" t="s">
        <v>643</v>
      </c>
      <c r="C4655" s="1055" t="str">
        <f>C4652</f>
        <v>(4 times initial rate )</v>
      </c>
      <c r="D4655" s="1172"/>
      <c r="E4655" s="1172"/>
      <c r="F4655" s="1172"/>
      <c r="G4655" s="1140">
        <f>G4652</f>
        <v>4</v>
      </c>
      <c r="H4655" s="1136"/>
      <c r="I4655" s="1162">
        <f>I4639</f>
        <v>103.62052499999999</v>
      </c>
      <c r="J4655" s="1054"/>
      <c r="K4655" s="1054">
        <f>ROUND(G4655*I4655,2)</f>
        <v>414.48</v>
      </c>
      <c r="L4655" s="1059"/>
      <c r="T4655" s="716"/>
    </row>
    <row r="4656" spans="1:20" s="714" customFormat="1">
      <c r="A4656" s="1148"/>
      <c r="B4656" s="1053"/>
      <c r="C4656" s="1055" t="str">
        <f>C4653</f>
        <v>(6.5 times initial rate of Lift )</v>
      </c>
      <c r="D4656" s="1172"/>
      <c r="E4656" s="1172"/>
      <c r="F4656" s="1172"/>
      <c r="G4656" s="1140">
        <f>G4653</f>
        <v>6.5</v>
      </c>
      <c r="H4656" s="1136"/>
      <c r="I4656" s="1162">
        <f>I4640</f>
        <v>7.61</v>
      </c>
      <c r="J4656" s="1054"/>
      <c r="K4656" s="1054">
        <f>ROUND(G4656*I4656,2)</f>
        <v>49.47</v>
      </c>
      <c r="L4656" s="1059"/>
      <c r="T4656" s="716"/>
    </row>
    <row r="4657" spans="1:20" s="714" customFormat="1">
      <c r="A4657" s="1148"/>
      <c r="B4657" s="1053"/>
      <c r="C4657" s="1055"/>
      <c r="D4657" s="1172"/>
      <c r="E4657" s="1172"/>
      <c r="F4657" s="1172"/>
      <c r="G4657" s="1140"/>
      <c r="H4657" s="1136"/>
      <c r="I4657" s="1162"/>
      <c r="J4657" s="1054" t="s">
        <v>928</v>
      </c>
      <c r="K4657" s="1052">
        <f>SUM(K4655:K4656)</f>
        <v>463.95000000000005</v>
      </c>
      <c r="L4657" s="1059" t="s">
        <v>721</v>
      </c>
      <c r="T4657" s="716"/>
    </row>
    <row r="4658" spans="1:20" s="714" customFormat="1" ht="16.5" customHeight="1">
      <c r="A4658" s="1138"/>
      <c r="B4658" s="710" t="s">
        <v>1492</v>
      </c>
      <c r="C4658" s="1146"/>
      <c r="D4658" s="1146"/>
      <c r="E4658" s="1135"/>
      <c r="F4658" s="1135"/>
      <c r="G4658" s="1055"/>
      <c r="H4658" s="1136"/>
      <c r="I4658" s="1137"/>
      <c r="J4658" s="1055"/>
      <c r="K4658" s="1055"/>
      <c r="L4658" s="1059"/>
      <c r="T4658" s="716"/>
    </row>
    <row r="4659" spans="1:20" s="714" customFormat="1">
      <c r="A4659" s="1148"/>
      <c r="B4659" s="1053" t="s">
        <v>636</v>
      </c>
      <c r="C4659" s="1055" t="s">
        <v>1493</v>
      </c>
      <c r="D4659" s="1172"/>
      <c r="E4659" s="1172"/>
      <c r="F4659" s="1172"/>
      <c r="G4659" s="1140">
        <v>4.5</v>
      </c>
      <c r="H4659" s="1136"/>
      <c r="I4659" s="1162">
        <f>I4643</f>
        <v>71.285799999999995</v>
      </c>
      <c r="J4659" s="1054"/>
      <c r="K4659" s="1054">
        <f>ROUND(G4659*I4659,2)</f>
        <v>320.79000000000002</v>
      </c>
      <c r="L4659" s="1059"/>
      <c r="T4659" s="716"/>
    </row>
    <row r="4660" spans="1:20" s="714" customFormat="1">
      <c r="A4660" s="1148"/>
      <c r="B4660" s="1053"/>
      <c r="C4660" s="1055" t="s">
        <v>1494</v>
      </c>
      <c r="D4660" s="1172"/>
      <c r="E4660" s="1172"/>
      <c r="F4660" s="1172"/>
      <c r="G4660" s="1140">
        <v>7.5</v>
      </c>
      <c r="H4660" s="1136"/>
      <c r="I4660" s="1162">
        <f>I4644</f>
        <v>7.61</v>
      </c>
      <c r="J4660" s="1054"/>
      <c r="K4660" s="1054">
        <f>ROUND(G4660*I4660,2)</f>
        <v>57.08</v>
      </c>
      <c r="L4660" s="1059"/>
      <c r="T4660" s="716"/>
    </row>
    <row r="4661" spans="1:20" s="714" customFormat="1">
      <c r="A4661" s="1148"/>
      <c r="B4661" s="1053"/>
      <c r="C4661" s="1055"/>
      <c r="D4661" s="1172"/>
      <c r="E4661" s="1172"/>
      <c r="F4661" s="1172"/>
      <c r="G4661" s="1140"/>
      <c r="H4661" s="1136"/>
      <c r="I4661" s="1162"/>
      <c r="J4661" s="1054" t="s">
        <v>928</v>
      </c>
      <c r="K4661" s="1052">
        <f>SUM(K4659:K4660)</f>
        <v>377.87</v>
      </c>
      <c r="L4661" s="1059" t="s">
        <v>721</v>
      </c>
      <c r="T4661" s="716"/>
    </row>
    <row r="4662" spans="1:20" s="714" customFormat="1">
      <c r="A4662" s="1148"/>
      <c r="B4662" s="1053" t="s">
        <v>637</v>
      </c>
      <c r="C4662" s="1055" t="str">
        <f>C4659</f>
        <v>(4.5 times initial rate )</v>
      </c>
      <c r="D4662" s="1172"/>
      <c r="E4662" s="1172"/>
      <c r="F4662" s="1172"/>
      <c r="G4662" s="1140">
        <f>G4659</f>
        <v>4.5</v>
      </c>
      <c r="H4662" s="1136"/>
      <c r="I4662" s="1162">
        <f>I4646</f>
        <v>98.017900000000012</v>
      </c>
      <c r="J4662" s="1054"/>
      <c r="K4662" s="1054">
        <f>ROUND(G4662*I4662,2)</f>
        <v>441.08</v>
      </c>
      <c r="L4662" s="1059"/>
      <c r="T4662" s="716"/>
    </row>
    <row r="4663" spans="1:20" s="714" customFormat="1">
      <c r="A4663" s="1148"/>
      <c r="B4663" s="1053"/>
      <c r="C4663" s="1055" t="str">
        <f>C4660</f>
        <v>(7.5 times initial rate of Lift )</v>
      </c>
      <c r="D4663" s="1172"/>
      <c r="E4663" s="1172"/>
      <c r="F4663" s="1172"/>
      <c r="G4663" s="1140">
        <f>G4660</f>
        <v>7.5</v>
      </c>
      <c r="H4663" s="1136"/>
      <c r="I4663" s="1162">
        <f>I4647</f>
        <v>7.61</v>
      </c>
      <c r="J4663" s="1054"/>
      <c r="K4663" s="1054">
        <f>ROUND(G4663*I4663,2)</f>
        <v>57.08</v>
      </c>
      <c r="L4663" s="1059"/>
      <c r="T4663" s="716"/>
    </row>
    <row r="4664" spans="1:20" s="714" customFormat="1">
      <c r="A4664" s="1148"/>
      <c r="B4664" s="1053"/>
      <c r="C4664" s="1055"/>
      <c r="D4664" s="1172"/>
      <c r="E4664" s="1172"/>
      <c r="F4664" s="1172"/>
      <c r="G4664" s="1140"/>
      <c r="H4664" s="1136"/>
      <c r="I4664" s="1162"/>
      <c r="J4664" s="1054" t="s">
        <v>928</v>
      </c>
      <c r="K4664" s="1052">
        <f>SUM(K4662:K4663)</f>
        <v>498.15999999999997</v>
      </c>
      <c r="L4664" s="1059" t="s">
        <v>721</v>
      </c>
      <c r="T4664" s="716"/>
    </row>
    <row r="4665" spans="1:20" s="714" customFormat="1">
      <c r="A4665" s="1148"/>
      <c r="B4665" s="1053" t="s">
        <v>639</v>
      </c>
      <c r="C4665" s="1055" t="str">
        <f>C4662</f>
        <v>(4.5 times initial rate )</v>
      </c>
      <c r="D4665" s="1172"/>
      <c r="E4665" s="1172"/>
      <c r="F4665" s="1172"/>
      <c r="G4665" s="1140">
        <f>G4662</f>
        <v>4.5</v>
      </c>
      <c r="H4665" s="1136"/>
      <c r="I4665" s="1162">
        <f>I4649</f>
        <v>95.790199999999999</v>
      </c>
      <c r="J4665" s="1054"/>
      <c r="K4665" s="1054">
        <f>ROUND(G4665*I4665,2)</f>
        <v>431.06</v>
      </c>
      <c r="L4665" s="1059"/>
      <c r="T4665" s="716"/>
    </row>
    <row r="4666" spans="1:20" s="714" customFormat="1">
      <c r="A4666" s="1148"/>
      <c r="B4666" s="1053"/>
      <c r="C4666" s="1055" t="str">
        <f>C4663</f>
        <v>(7.5 times initial rate of Lift )</v>
      </c>
      <c r="D4666" s="1172"/>
      <c r="E4666" s="1172"/>
      <c r="F4666" s="1172"/>
      <c r="G4666" s="1140">
        <f>G4663</f>
        <v>7.5</v>
      </c>
      <c r="H4666" s="1136"/>
      <c r="I4666" s="1162">
        <f>I4650</f>
        <v>7.61</v>
      </c>
      <c r="J4666" s="1054"/>
      <c r="K4666" s="1054">
        <f>ROUND(G4666*I4666,2)</f>
        <v>57.08</v>
      </c>
      <c r="L4666" s="1059"/>
      <c r="T4666" s="716"/>
    </row>
    <row r="4667" spans="1:20" s="714" customFormat="1">
      <c r="A4667" s="1148"/>
      <c r="B4667" s="1053"/>
      <c r="C4667" s="1055"/>
      <c r="D4667" s="1172"/>
      <c r="E4667" s="1172"/>
      <c r="F4667" s="1172"/>
      <c r="G4667" s="1140"/>
      <c r="H4667" s="1136"/>
      <c r="I4667" s="1162"/>
      <c r="J4667" s="1054" t="s">
        <v>928</v>
      </c>
      <c r="K4667" s="1052">
        <f>SUM(K4665:K4666)</f>
        <v>488.14</v>
      </c>
      <c r="L4667" s="1059" t="s">
        <v>721</v>
      </c>
      <c r="T4667" s="716"/>
    </row>
    <row r="4668" spans="1:20" s="714" customFormat="1">
      <c r="A4668" s="1148"/>
      <c r="B4668" s="1053" t="s">
        <v>641</v>
      </c>
      <c r="C4668" s="1055" t="str">
        <f>C4665</f>
        <v>(4.5 times initial rate )</v>
      </c>
      <c r="D4668" s="1172"/>
      <c r="E4668" s="1172"/>
      <c r="F4668" s="1172"/>
      <c r="G4668" s="1140">
        <f>G4665</f>
        <v>4.5</v>
      </c>
      <c r="H4668" s="1136"/>
      <c r="I4668" s="1162">
        <f>I4652</f>
        <v>149.38819999999998</v>
      </c>
      <c r="J4668" s="1054"/>
      <c r="K4668" s="1054">
        <f>ROUND(G4668*I4668,2)</f>
        <v>672.25</v>
      </c>
      <c r="L4668" s="1059"/>
      <c r="T4668" s="716"/>
    </row>
    <row r="4669" spans="1:20" s="714" customFormat="1">
      <c r="A4669" s="1148"/>
      <c r="B4669" s="1053"/>
      <c r="C4669" s="1055" t="str">
        <f>C4666</f>
        <v>(7.5 times initial rate of Lift )</v>
      </c>
      <c r="D4669" s="1172"/>
      <c r="E4669" s="1172"/>
      <c r="F4669" s="1172"/>
      <c r="G4669" s="1140">
        <f>G4666</f>
        <v>7.5</v>
      </c>
      <c r="H4669" s="1136"/>
      <c r="I4669" s="1162">
        <f>I4653</f>
        <v>7.61</v>
      </c>
      <c r="J4669" s="1054"/>
      <c r="K4669" s="1054">
        <f>ROUND(G4669*I4669,2)</f>
        <v>57.08</v>
      </c>
      <c r="L4669" s="1059"/>
      <c r="T4669" s="716"/>
    </row>
    <row r="4670" spans="1:20" s="714" customFormat="1">
      <c r="A4670" s="1148"/>
      <c r="B4670" s="1053"/>
      <c r="C4670" s="1055"/>
      <c r="D4670" s="1172"/>
      <c r="E4670" s="1172"/>
      <c r="F4670" s="1172"/>
      <c r="G4670" s="1140"/>
      <c r="H4670" s="1136"/>
      <c r="I4670" s="1162"/>
      <c r="J4670" s="1054" t="s">
        <v>928</v>
      </c>
      <c r="K4670" s="1052">
        <f>SUM(K4668:K4669)</f>
        <v>729.33</v>
      </c>
      <c r="L4670" s="1059" t="s">
        <v>721</v>
      </c>
      <c r="T4670" s="716"/>
    </row>
    <row r="4671" spans="1:20" s="714" customFormat="1">
      <c r="A4671" s="1148"/>
      <c r="B4671" s="1053" t="s">
        <v>643</v>
      </c>
      <c r="C4671" s="1055" t="str">
        <f>C4668</f>
        <v>(4.5 times initial rate )</v>
      </c>
      <c r="D4671" s="1172"/>
      <c r="E4671" s="1172"/>
      <c r="F4671" s="1172"/>
      <c r="G4671" s="1140">
        <f>G4668</f>
        <v>4.5</v>
      </c>
      <c r="H4671" s="1136"/>
      <c r="I4671" s="1162">
        <f>I4655</f>
        <v>103.62052499999999</v>
      </c>
      <c r="J4671" s="1054"/>
      <c r="K4671" s="1054">
        <f>ROUND(G4671*I4671,2)</f>
        <v>466.29</v>
      </c>
      <c r="L4671" s="1059"/>
      <c r="T4671" s="716"/>
    </row>
    <row r="4672" spans="1:20" s="714" customFormat="1">
      <c r="A4672" s="1148"/>
      <c r="B4672" s="1053"/>
      <c r="C4672" s="1055" t="str">
        <f>C4669</f>
        <v>(7.5 times initial rate of Lift )</v>
      </c>
      <c r="D4672" s="1172"/>
      <c r="E4672" s="1172"/>
      <c r="F4672" s="1172"/>
      <c r="G4672" s="1140">
        <f>G4669</f>
        <v>7.5</v>
      </c>
      <c r="H4672" s="1136"/>
      <c r="I4672" s="1162">
        <f>I4656</f>
        <v>7.61</v>
      </c>
      <c r="J4672" s="1054"/>
      <c r="K4672" s="1054">
        <f>ROUND(G4672*I4672,2)</f>
        <v>57.08</v>
      </c>
      <c r="L4672" s="1059"/>
      <c r="T4672" s="716"/>
    </row>
    <row r="4673" spans="1:20" s="714" customFormat="1">
      <c r="A4673" s="1148"/>
      <c r="B4673" s="1053"/>
      <c r="C4673" s="1055"/>
      <c r="D4673" s="1172"/>
      <c r="E4673" s="1172"/>
      <c r="F4673" s="1172"/>
      <c r="G4673" s="1140"/>
      <c r="H4673" s="1136"/>
      <c r="I4673" s="1162"/>
      <c r="J4673" s="1054" t="s">
        <v>928</v>
      </c>
      <c r="K4673" s="1052">
        <f>SUM(K4671:K4672)</f>
        <v>523.37</v>
      </c>
      <c r="L4673" s="1059" t="s">
        <v>721</v>
      </c>
      <c r="T4673" s="716"/>
    </row>
    <row r="4674" spans="1:20" s="714" customFormat="1" ht="27" customHeight="1">
      <c r="A4674" s="714">
        <f>A799</f>
        <v>171</v>
      </c>
      <c r="B4674" s="3269" t="s">
        <v>633</v>
      </c>
      <c r="C4674" s="3269"/>
      <c r="D4674" s="3269"/>
      <c r="E4674" s="714" t="s">
        <v>381</v>
      </c>
      <c r="O4674" s="714" t="s">
        <v>183</v>
      </c>
      <c r="T4674" s="716"/>
    </row>
    <row r="4675" spans="1:20" s="714" customFormat="1" ht="16.5" customHeight="1">
      <c r="B4675" s="714" t="s">
        <v>1472</v>
      </c>
      <c r="T4675" s="716"/>
    </row>
    <row r="4676" spans="1:20" s="714" customFormat="1">
      <c r="B4676" s="714" t="s">
        <v>1473</v>
      </c>
      <c r="T4676" s="716"/>
    </row>
    <row r="4677" spans="1:20" s="714" customFormat="1">
      <c r="B4677" s="714" t="s">
        <v>636</v>
      </c>
      <c r="K4677" s="716">
        <f>K1299</f>
        <v>126.71000000000001</v>
      </c>
      <c r="L4677" s="716" t="s">
        <v>721</v>
      </c>
      <c r="M4677" s="716"/>
      <c r="T4677" s="716"/>
    </row>
    <row r="4678" spans="1:20" s="714" customFormat="1">
      <c r="B4678" s="714" t="s">
        <v>637</v>
      </c>
      <c r="K4678" s="716">
        <f>K1320</f>
        <v>167.51</v>
      </c>
      <c r="L4678" s="716" t="s">
        <v>721</v>
      </c>
      <c r="M4678" s="716"/>
      <c r="T4678" s="716"/>
    </row>
    <row r="4679" spans="1:20" s="714" customFormat="1">
      <c r="B4679" s="714" t="s">
        <v>639</v>
      </c>
      <c r="K4679" s="716">
        <f>K1278</f>
        <v>157.43</v>
      </c>
      <c r="L4679" s="716" t="s">
        <v>721</v>
      </c>
      <c r="M4679" s="716"/>
      <c r="T4679" s="716"/>
    </row>
    <row r="4680" spans="1:20" s="714" customFormat="1">
      <c r="B4680" s="714" t="s">
        <v>641</v>
      </c>
      <c r="K4680" s="716">
        <f>K1341</f>
        <v>218.38</v>
      </c>
      <c r="L4680" s="716" t="s">
        <v>721</v>
      </c>
      <c r="M4680" s="716"/>
      <c r="T4680" s="716"/>
    </row>
    <row r="4681" spans="1:20" s="714" customFormat="1">
      <c r="B4681" s="714" t="s">
        <v>643</v>
      </c>
      <c r="K4681" s="716">
        <f>ROUND((SUM(K4677:K4680)/4),2)</f>
        <v>167.51</v>
      </c>
      <c r="L4681" s="716" t="s">
        <v>721</v>
      </c>
      <c r="M4681" s="716"/>
      <c r="T4681" s="716"/>
    </row>
    <row r="4682" spans="1:20" s="714" customFormat="1" ht="16.5" customHeight="1">
      <c r="B4682" s="714" t="s">
        <v>1474</v>
      </c>
      <c r="T4682" s="716"/>
    </row>
    <row r="4683" spans="1:20" s="714" customFormat="1">
      <c r="B4683" s="714" t="s">
        <v>636</v>
      </c>
      <c r="C4683" s="714" t="s">
        <v>1475</v>
      </c>
      <c r="G4683" s="715">
        <v>1.5</v>
      </c>
      <c r="I4683" s="714">
        <f>K4677</f>
        <v>126.71000000000001</v>
      </c>
      <c r="K4683" s="716">
        <f>ROUND(G4683*I4683,2)</f>
        <v>190.07</v>
      </c>
      <c r="L4683" s="716"/>
      <c r="M4683" s="716"/>
      <c r="T4683" s="716"/>
    </row>
    <row r="4684" spans="1:20" s="714" customFormat="1">
      <c r="C4684" s="714" t="s">
        <v>1476</v>
      </c>
      <c r="G4684" s="715">
        <v>1.5</v>
      </c>
      <c r="I4684" s="714">
        <f>K4513</f>
        <v>7.61</v>
      </c>
      <c r="K4684" s="716">
        <f>ROUND(G4684*I4684,2)</f>
        <v>11.42</v>
      </c>
      <c r="L4684" s="716"/>
      <c r="M4684" s="716"/>
      <c r="T4684" s="716"/>
    </row>
    <row r="4685" spans="1:20" s="714" customFormat="1">
      <c r="G4685" s="715"/>
      <c r="J4685" s="714" t="s">
        <v>928</v>
      </c>
      <c r="K4685" s="716">
        <f>SUM(K4683:K4684)</f>
        <v>201.48999999999998</v>
      </c>
      <c r="L4685" s="716" t="s">
        <v>721</v>
      </c>
      <c r="M4685" s="716"/>
      <c r="T4685" s="716"/>
    </row>
    <row r="4686" spans="1:20" s="714" customFormat="1">
      <c r="B4686" s="714" t="s">
        <v>637</v>
      </c>
      <c r="C4686" s="714" t="s">
        <v>1475</v>
      </c>
      <c r="G4686" s="715">
        <v>1.5</v>
      </c>
      <c r="I4686" s="714">
        <f>K4678</f>
        <v>167.51</v>
      </c>
      <c r="K4686" s="716">
        <f>ROUND(G4686*I4686,2)</f>
        <v>251.27</v>
      </c>
      <c r="L4686" s="716"/>
      <c r="M4686" s="716"/>
      <c r="T4686" s="716"/>
    </row>
    <row r="4687" spans="1:20" s="714" customFormat="1">
      <c r="C4687" s="714" t="s">
        <v>1476</v>
      </c>
      <c r="G4687" s="715">
        <v>1.5</v>
      </c>
      <c r="I4687" s="714">
        <f>I4684</f>
        <v>7.61</v>
      </c>
      <c r="K4687" s="716">
        <f>ROUND(G4687*I4687,2)</f>
        <v>11.42</v>
      </c>
      <c r="L4687" s="716"/>
      <c r="M4687" s="716"/>
      <c r="T4687" s="716"/>
    </row>
    <row r="4688" spans="1:20" s="714" customFormat="1">
      <c r="G4688" s="715"/>
      <c r="J4688" s="714" t="s">
        <v>928</v>
      </c>
      <c r="K4688" s="716">
        <f>SUM(K4686:K4687)</f>
        <v>262.69</v>
      </c>
      <c r="L4688" s="716" t="s">
        <v>721</v>
      </c>
      <c r="M4688" s="716"/>
      <c r="T4688" s="716"/>
    </row>
    <row r="4689" spans="2:20" s="714" customFormat="1">
      <c r="B4689" s="714" t="s">
        <v>639</v>
      </c>
      <c r="C4689" s="714" t="s">
        <v>1475</v>
      </c>
      <c r="G4689" s="715">
        <v>1.5</v>
      </c>
      <c r="I4689" s="714">
        <f>K4679</f>
        <v>157.43</v>
      </c>
      <c r="K4689" s="716">
        <f>ROUND(G4689*I4689,2)</f>
        <v>236.15</v>
      </c>
      <c r="L4689" s="716"/>
      <c r="M4689" s="716"/>
      <c r="T4689" s="716"/>
    </row>
    <row r="4690" spans="2:20" s="714" customFormat="1">
      <c r="C4690" s="714" t="s">
        <v>1476</v>
      </c>
      <c r="G4690" s="715">
        <v>1.5</v>
      </c>
      <c r="I4690" s="714">
        <f>I4687</f>
        <v>7.61</v>
      </c>
      <c r="K4690" s="716">
        <f>ROUND(G4690*I4690,2)</f>
        <v>11.42</v>
      </c>
      <c r="L4690" s="716"/>
      <c r="M4690" s="716"/>
      <c r="T4690" s="716"/>
    </row>
    <row r="4691" spans="2:20" s="714" customFormat="1">
      <c r="G4691" s="715"/>
      <c r="J4691" s="714" t="s">
        <v>928</v>
      </c>
      <c r="K4691" s="716">
        <f>SUM(K4689:K4690)</f>
        <v>247.57</v>
      </c>
      <c r="L4691" s="716" t="s">
        <v>721</v>
      </c>
      <c r="M4691" s="716"/>
      <c r="T4691" s="716"/>
    </row>
    <row r="4692" spans="2:20" s="714" customFormat="1">
      <c r="B4692" s="714" t="s">
        <v>641</v>
      </c>
      <c r="C4692" s="714" t="s">
        <v>1475</v>
      </c>
      <c r="G4692" s="715">
        <v>1.5</v>
      </c>
      <c r="I4692" s="714">
        <f>K4680</f>
        <v>218.38</v>
      </c>
      <c r="K4692" s="716">
        <f>ROUND(G4692*I4692,2)</f>
        <v>327.57</v>
      </c>
      <c r="L4692" s="716"/>
      <c r="M4692" s="716"/>
      <c r="T4692" s="716"/>
    </row>
    <row r="4693" spans="2:20" s="714" customFormat="1">
      <c r="C4693" s="714" t="s">
        <v>1476</v>
      </c>
      <c r="G4693" s="715">
        <v>1.5</v>
      </c>
      <c r="I4693" s="714">
        <f>I4690</f>
        <v>7.61</v>
      </c>
      <c r="K4693" s="716">
        <f>ROUND(G4693*I4693,2)</f>
        <v>11.42</v>
      </c>
      <c r="L4693" s="716"/>
      <c r="M4693" s="716"/>
      <c r="T4693" s="716"/>
    </row>
    <row r="4694" spans="2:20" s="714" customFormat="1">
      <c r="G4694" s="715"/>
      <c r="J4694" s="714" t="s">
        <v>928</v>
      </c>
      <c r="K4694" s="716">
        <f>SUM(K4692:K4693)</f>
        <v>338.99</v>
      </c>
      <c r="L4694" s="716" t="s">
        <v>721</v>
      </c>
      <c r="M4694" s="716"/>
      <c r="T4694" s="716"/>
    </row>
    <row r="4695" spans="2:20" s="714" customFormat="1">
      <c r="B4695" s="714" t="s">
        <v>643</v>
      </c>
      <c r="C4695" s="714" t="s">
        <v>1475</v>
      </c>
      <c r="G4695" s="715">
        <v>1.5</v>
      </c>
      <c r="I4695" s="714">
        <f>K4681</f>
        <v>167.51</v>
      </c>
      <c r="K4695" s="716">
        <f>ROUND(G4695*I4695,2)</f>
        <v>251.27</v>
      </c>
      <c r="L4695" s="716"/>
      <c r="M4695" s="716"/>
      <c r="T4695" s="716"/>
    </row>
    <row r="4696" spans="2:20" s="714" customFormat="1">
      <c r="C4696" s="714" t="s">
        <v>1476</v>
      </c>
      <c r="G4696" s="715">
        <v>1.5</v>
      </c>
      <c r="I4696" s="714">
        <f>I4693</f>
        <v>7.61</v>
      </c>
      <c r="K4696" s="716">
        <f>ROUND(G4696*I4696,2)</f>
        <v>11.42</v>
      </c>
      <c r="L4696" s="716"/>
      <c r="M4696" s="716"/>
      <c r="T4696" s="716"/>
    </row>
    <row r="4697" spans="2:20" s="714" customFormat="1">
      <c r="G4697" s="715"/>
      <c r="J4697" s="714" t="s">
        <v>928</v>
      </c>
      <c r="K4697" s="716">
        <f>SUM(K4695:K4696)</f>
        <v>262.69</v>
      </c>
      <c r="L4697" s="716" t="s">
        <v>721</v>
      </c>
      <c r="M4697" s="716"/>
      <c r="T4697" s="716"/>
    </row>
    <row r="4698" spans="2:20" s="714" customFormat="1" ht="16.5" customHeight="1">
      <c r="B4698" s="714" t="s">
        <v>1477</v>
      </c>
      <c r="G4698" s="715"/>
      <c r="K4698" s="716"/>
      <c r="L4698" s="716"/>
      <c r="M4698" s="716"/>
      <c r="T4698" s="716"/>
    </row>
    <row r="4699" spans="2:20" s="714" customFormat="1">
      <c r="B4699" s="714" t="s">
        <v>636</v>
      </c>
      <c r="C4699" s="714" t="s">
        <v>1478</v>
      </c>
      <c r="G4699" s="715">
        <v>2</v>
      </c>
      <c r="I4699" s="714">
        <f>I4683</f>
        <v>126.71000000000001</v>
      </c>
      <c r="K4699" s="716">
        <f>ROUND(G4699*I4699,2)</f>
        <v>253.42</v>
      </c>
      <c r="L4699" s="716"/>
      <c r="M4699" s="716"/>
      <c r="T4699" s="716"/>
    </row>
    <row r="4700" spans="2:20" s="714" customFormat="1">
      <c r="C4700" s="714" t="s">
        <v>1479</v>
      </c>
      <c r="G4700" s="715">
        <v>2.5</v>
      </c>
      <c r="I4700" s="714">
        <f>I4684</f>
        <v>7.61</v>
      </c>
      <c r="K4700" s="716">
        <f>ROUND(G4700*I4700,2)</f>
        <v>19.03</v>
      </c>
      <c r="L4700" s="716"/>
      <c r="M4700" s="716"/>
      <c r="T4700" s="716"/>
    </row>
    <row r="4701" spans="2:20" s="714" customFormat="1">
      <c r="G4701" s="715"/>
      <c r="J4701" s="714" t="s">
        <v>928</v>
      </c>
      <c r="K4701" s="716">
        <f>SUM(K4699:K4700)</f>
        <v>272.45</v>
      </c>
      <c r="L4701" s="716" t="s">
        <v>721</v>
      </c>
      <c r="M4701" s="716"/>
      <c r="T4701" s="716"/>
    </row>
    <row r="4702" spans="2:20" s="714" customFormat="1">
      <c r="B4702" s="714" t="s">
        <v>637</v>
      </c>
      <c r="C4702" s="714" t="s">
        <v>1478</v>
      </c>
      <c r="G4702" s="715">
        <f>G4699</f>
        <v>2</v>
      </c>
      <c r="I4702" s="714">
        <f>I4686</f>
        <v>167.51</v>
      </c>
      <c r="K4702" s="716">
        <f>ROUND(G4702*I4702,2)</f>
        <v>335.02</v>
      </c>
      <c r="L4702" s="716"/>
      <c r="M4702" s="716"/>
      <c r="T4702" s="716"/>
    </row>
    <row r="4703" spans="2:20" s="714" customFormat="1">
      <c r="C4703" s="714" t="s">
        <v>1479</v>
      </c>
      <c r="G4703" s="715">
        <f>G4700</f>
        <v>2.5</v>
      </c>
      <c r="I4703" s="714">
        <f>I4687</f>
        <v>7.61</v>
      </c>
      <c r="K4703" s="716">
        <f>ROUND(G4703*I4703,2)</f>
        <v>19.03</v>
      </c>
      <c r="L4703" s="716"/>
      <c r="M4703" s="716"/>
      <c r="T4703" s="716"/>
    </row>
    <row r="4704" spans="2:20" s="714" customFormat="1">
      <c r="G4704" s="715"/>
      <c r="J4704" s="714" t="s">
        <v>928</v>
      </c>
      <c r="K4704" s="716">
        <f>SUM(K4702:K4703)</f>
        <v>354.04999999999995</v>
      </c>
      <c r="L4704" s="716" t="s">
        <v>721</v>
      </c>
      <c r="M4704" s="716"/>
      <c r="T4704" s="716"/>
    </row>
    <row r="4705" spans="2:20" s="714" customFormat="1">
      <c r="B4705" s="714" t="s">
        <v>639</v>
      </c>
      <c r="C4705" s="714" t="s">
        <v>1478</v>
      </c>
      <c r="G4705" s="715">
        <f>G4702</f>
        <v>2</v>
      </c>
      <c r="I4705" s="714">
        <f>I4689</f>
        <v>157.43</v>
      </c>
      <c r="K4705" s="716">
        <f>ROUND(G4705*I4705,2)</f>
        <v>314.86</v>
      </c>
      <c r="L4705" s="716"/>
      <c r="M4705" s="716"/>
      <c r="T4705" s="716"/>
    </row>
    <row r="4706" spans="2:20" s="714" customFormat="1">
      <c r="C4706" s="714" t="s">
        <v>1479</v>
      </c>
      <c r="G4706" s="715">
        <f>G4703</f>
        <v>2.5</v>
      </c>
      <c r="I4706" s="714">
        <f>I4690</f>
        <v>7.61</v>
      </c>
      <c r="K4706" s="716">
        <f>ROUND(G4706*I4706,2)</f>
        <v>19.03</v>
      </c>
      <c r="L4706" s="716"/>
      <c r="M4706" s="716"/>
      <c r="T4706" s="716"/>
    </row>
    <row r="4707" spans="2:20" s="714" customFormat="1">
      <c r="G4707" s="715"/>
      <c r="J4707" s="714" t="s">
        <v>928</v>
      </c>
      <c r="K4707" s="716">
        <f>SUM(K4705:K4706)</f>
        <v>333.89</v>
      </c>
      <c r="L4707" s="716" t="s">
        <v>721</v>
      </c>
      <c r="M4707" s="716"/>
      <c r="T4707" s="716"/>
    </row>
    <row r="4708" spans="2:20" s="714" customFormat="1">
      <c r="B4708" s="714" t="s">
        <v>641</v>
      </c>
      <c r="C4708" s="714" t="s">
        <v>1478</v>
      </c>
      <c r="G4708" s="715">
        <f>G4705</f>
        <v>2</v>
      </c>
      <c r="I4708" s="714">
        <f>I4692</f>
        <v>218.38</v>
      </c>
      <c r="K4708" s="716">
        <f>ROUND(G4708*I4708,2)</f>
        <v>436.76</v>
      </c>
      <c r="L4708" s="716"/>
      <c r="M4708" s="716"/>
      <c r="T4708" s="716"/>
    </row>
    <row r="4709" spans="2:20" s="714" customFormat="1">
      <c r="C4709" s="714" t="s">
        <v>1479</v>
      </c>
      <c r="G4709" s="715">
        <f>G4706</f>
        <v>2.5</v>
      </c>
      <c r="I4709" s="714">
        <f>I4693</f>
        <v>7.61</v>
      </c>
      <c r="K4709" s="716">
        <f>ROUND(G4709*I4709,2)</f>
        <v>19.03</v>
      </c>
      <c r="L4709" s="716"/>
      <c r="M4709" s="716"/>
      <c r="T4709" s="716"/>
    </row>
    <row r="4710" spans="2:20" s="714" customFormat="1">
      <c r="G4710" s="715"/>
      <c r="J4710" s="714" t="s">
        <v>928</v>
      </c>
      <c r="K4710" s="716">
        <f>SUM(K4708:K4709)</f>
        <v>455.78999999999996</v>
      </c>
      <c r="L4710" s="716" t="s">
        <v>721</v>
      </c>
      <c r="M4710" s="716"/>
      <c r="T4710" s="716"/>
    </row>
    <row r="4711" spans="2:20" s="714" customFormat="1">
      <c r="B4711" s="714" t="s">
        <v>643</v>
      </c>
      <c r="C4711" s="714" t="s">
        <v>1478</v>
      </c>
      <c r="G4711" s="715">
        <f>G4708</f>
        <v>2</v>
      </c>
      <c r="I4711" s="714">
        <f>I4695</f>
        <v>167.51</v>
      </c>
      <c r="K4711" s="716">
        <f>ROUND(G4711*I4711,2)</f>
        <v>335.02</v>
      </c>
      <c r="L4711" s="716"/>
      <c r="M4711" s="716"/>
      <c r="T4711" s="716"/>
    </row>
    <row r="4712" spans="2:20" s="714" customFormat="1">
      <c r="C4712" s="714" t="s">
        <v>1479</v>
      </c>
      <c r="G4712" s="715">
        <f>G4709</f>
        <v>2.5</v>
      </c>
      <c r="I4712" s="714">
        <f>I4696</f>
        <v>7.61</v>
      </c>
      <c r="K4712" s="716">
        <f>ROUND(G4712*I4712,2)</f>
        <v>19.03</v>
      </c>
      <c r="L4712" s="716"/>
      <c r="M4712" s="716"/>
      <c r="T4712" s="716"/>
    </row>
    <row r="4713" spans="2:20" s="714" customFormat="1">
      <c r="G4713" s="715"/>
      <c r="J4713" s="714" t="s">
        <v>928</v>
      </c>
      <c r="K4713" s="716">
        <f>SUM(K4711:K4712)</f>
        <v>354.04999999999995</v>
      </c>
      <c r="L4713" s="716" t="s">
        <v>721</v>
      </c>
      <c r="M4713" s="716"/>
      <c r="T4713" s="716"/>
    </row>
    <row r="4714" spans="2:20" s="714" customFormat="1" ht="16.5" customHeight="1">
      <c r="B4714" s="714" t="s">
        <v>1480</v>
      </c>
      <c r="G4714" s="715"/>
      <c r="K4714" s="716"/>
      <c r="L4714" s="716"/>
      <c r="M4714" s="716"/>
      <c r="T4714" s="716"/>
    </row>
    <row r="4715" spans="2:20" s="714" customFormat="1">
      <c r="B4715" s="714" t="s">
        <v>636</v>
      </c>
      <c r="C4715" s="714" t="s">
        <v>1481</v>
      </c>
      <c r="G4715" s="715">
        <v>2.5</v>
      </c>
      <c r="I4715" s="714">
        <f>I4699</f>
        <v>126.71000000000001</v>
      </c>
      <c r="K4715" s="716">
        <f>ROUND(G4715*I4715,2)</f>
        <v>316.77999999999997</v>
      </c>
      <c r="L4715" s="716"/>
      <c r="M4715" s="716"/>
      <c r="T4715" s="716"/>
    </row>
    <row r="4716" spans="2:20" s="714" customFormat="1">
      <c r="C4716" s="714" t="s">
        <v>1482</v>
      </c>
      <c r="G4716" s="715">
        <v>3.5</v>
      </c>
      <c r="I4716" s="714">
        <f>I4700</f>
        <v>7.61</v>
      </c>
      <c r="K4716" s="716">
        <f>ROUND(G4716*I4716,2)</f>
        <v>26.64</v>
      </c>
      <c r="L4716" s="716"/>
      <c r="M4716" s="716"/>
      <c r="T4716" s="716"/>
    </row>
    <row r="4717" spans="2:20" s="714" customFormat="1">
      <c r="G4717" s="715"/>
      <c r="J4717" s="714" t="s">
        <v>928</v>
      </c>
      <c r="K4717" s="716">
        <f>SUM(K4715:K4716)</f>
        <v>343.41999999999996</v>
      </c>
      <c r="L4717" s="716" t="s">
        <v>721</v>
      </c>
      <c r="M4717" s="716"/>
      <c r="T4717" s="716"/>
    </row>
    <row r="4718" spans="2:20" s="714" customFormat="1">
      <c r="B4718" s="714" t="s">
        <v>637</v>
      </c>
      <c r="C4718" s="714" t="s">
        <v>1478</v>
      </c>
      <c r="G4718" s="715">
        <f>G4715</f>
        <v>2.5</v>
      </c>
      <c r="I4718" s="714">
        <f>I4702</f>
        <v>167.51</v>
      </c>
      <c r="K4718" s="716">
        <f>ROUND(G4718*I4718,2)</f>
        <v>418.78</v>
      </c>
      <c r="L4718" s="716"/>
      <c r="M4718" s="716"/>
      <c r="T4718" s="716"/>
    </row>
    <row r="4719" spans="2:20" s="714" customFormat="1">
      <c r="C4719" s="714" t="s">
        <v>1479</v>
      </c>
      <c r="G4719" s="715">
        <f>G4716</f>
        <v>3.5</v>
      </c>
      <c r="I4719" s="714">
        <f>I4703</f>
        <v>7.61</v>
      </c>
      <c r="K4719" s="716">
        <f>ROUND(G4719*I4719,2)</f>
        <v>26.64</v>
      </c>
      <c r="L4719" s="716"/>
      <c r="M4719" s="716"/>
      <c r="T4719" s="716"/>
    </row>
    <row r="4720" spans="2:20" s="714" customFormat="1">
      <c r="G4720" s="715"/>
      <c r="J4720" s="714" t="s">
        <v>928</v>
      </c>
      <c r="K4720" s="716">
        <f>SUM(K4718:K4719)</f>
        <v>445.41999999999996</v>
      </c>
      <c r="L4720" s="716" t="s">
        <v>721</v>
      </c>
      <c r="M4720" s="716"/>
      <c r="T4720" s="716"/>
    </row>
    <row r="4721" spans="2:20" s="714" customFormat="1">
      <c r="B4721" s="714" t="s">
        <v>639</v>
      </c>
      <c r="C4721" s="714" t="s">
        <v>1478</v>
      </c>
      <c r="G4721" s="715">
        <f>G4718</f>
        <v>2.5</v>
      </c>
      <c r="I4721" s="714">
        <f>I4705</f>
        <v>157.43</v>
      </c>
      <c r="K4721" s="716">
        <f>ROUND(G4721*I4721,2)</f>
        <v>393.58</v>
      </c>
      <c r="L4721" s="716"/>
      <c r="M4721" s="716"/>
      <c r="T4721" s="716"/>
    </row>
    <row r="4722" spans="2:20" s="714" customFormat="1">
      <c r="C4722" s="714" t="s">
        <v>1479</v>
      </c>
      <c r="G4722" s="715">
        <f>G4719</f>
        <v>3.5</v>
      </c>
      <c r="I4722" s="714">
        <f>I4706</f>
        <v>7.61</v>
      </c>
      <c r="K4722" s="716">
        <f>ROUND(G4722*I4722,2)</f>
        <v>26.64</v>
      </c>
      <c r="L4722" s="716"/>
      <c r="M4722" s="716"/>
      <c r="T4722" s="716"/>
    </row>
    <row r="4723" spans="2:20" s="714" customFormat="1">
      <c r="G4723" s="715"/>
      <c r="J4723" s="714" t="s">
        <v>928</v>
      </c>
      <c r="K4723" s="716">
        <f>SUM(K4721:K4722)</f>
        <v>420.21999999999997</v>
      </c>
      <c r="L4723" s="716" t="s">
        <v>721</v>
      </c>
      <c r="M4723" s="716"/>
      <c r="T4723" s="716"/>
    </row>
    <row r="4724" spans="2:20" s="714" customFormat="1">
      <c r="B4724" s="714" t="s">
        <v>641</v>
      </c>
      <c r="C4724" s="714" t="s">
        <v>1478</v>
      </c>
      <c r="G4724" s="715">
        <f>G4721</f>
        <v>2.5</v>
      </c>
      <c r="I4724" s="714">
        <f>I4708</f>
        <v>218.38</v>
      </c>
      <c r="K4724" s="716">
        <f>ROUND(G4724*I4724,2)</f>
        <v>545.95000000000005</v>
      </c>
      <c r="L4724" s="716"/>
      <c r="M4724" s="716"/>
      <c r="T4724" s="716"/>
    </row>
    <row r="4725" spans="2:20" s="714" customFormat="1">
      <c r="C4725" s="714" t="s">
        <v>1479</v>
      </c>
      <c r="G4725" s="715">
        <f>G4722</f>
        <v>3.5</v>
      </c>
      <c r="I4725" s="714">
        <f>I4709</f>
        <v>7.61</v>
      </c>
      <c r="K4725" s="716">
        <f>ROUND(G4725*I4725,2)</f>
        <v>26.64</v>
      </c>
      <c r="L4725" s="716"/>
      <c r="M4725" s="716"/>
      <c r="T4725" s="716"/>
    </row>
    <row r="4726" spans="2:20" s="714" customFormat="1">
      <c r="G4726" s="715"/>
      <c r="J4726" s="714" t="s">
        <v>928</v>
      </c>
      <c r="K4726" s="716">
        <f>SUM(K4724:K4725)</f>
        <v>572.59</v>
      </c>
      <c r="L4726" s="716" t="s">
        <v>721</v>
      </c>
      <c r="M4726" s="716"/>
      <c r="T4726" s="716"/>
    </row>
    <row r="4727" spans="2:20" s="714" customFormat="1">
      <c r="B4727" s="714" t="s">
        <v>643</v>
      </c>
      <c r="C4727" s="714" t="s">
        <v>1478</v>
      </c>
      <c r="G4727" s="715">
        <f>G4724</f>
        <v>2.5</v>
      </c>
      <c r="I4727" s="714">
        <f>I4711</f>
        <v>167.51</v>
      </c>
      <c r="K4727" s="716">
        <f>ROUND(G4727*I4727,2)</f>
        <v>418.78</v>
      </c>
      <c r="L4727" s="716"/>
      <c r="M4727" s="716"/>
      <c r="T4727" s="716"/>
    </row>
    <row r="4728" spans="2:20" s="714" customFormat="1">
      <c r="C4728" s="714" t="s">
        <v>1479</v>
      </c>
      <c r="G4728" s="715">
        <f>G4725</f>
        <v>3.5</v>
      </c>
      <c r="I4728" s="714">
        <f>I4712</f>
        <v>7.61</v>
      </c>
      <c r="K4728" s="716">
        <f>ROUND(G4728*I4728,2)</f>
        <v>26.64</v>
      </c>
      <c r="L4728" s="716"/>
      <c r="M4728" s="716"/>
      <c r="T4728" s="716"/>
    </row>
    <row r="4729" spans="2:20" s="714" customFormat="1">
      <c r="G4729" s="715"/>
      <c r="J4729" s="714" t="s">
        <v>928</v>
      </c>
      <c r="K4729" s="716">
        <f>SUM(K4727:K4728)</f>
        <v>445.41999999999996</v>
      </c>
      <c r="L4729" s="716" t="s">
        <v>721</v>
      </c>
      <c r="M4729" s="716"/>
      <c r="T4729" s="716"/>
    </row>
    <row r="4730" spans="2:20" s="714" customFormat="1" ht="16.5" customHeight="1">
      <c r="B4730" s="714" t="s">
        <v>1483</v>
      </c>
      <c r="G4730" s="715"/>
      <c r="K4730" s="716"/>
      <c r="L4730" s="716"/>
      <c r="M4730" s="716"/>
      <c r="T4730" s="716"/>
    </row>
    <row r="4731" spans="2:20" s="714" customFormat="1">
      <c r="B4731" s="714" t="s">
        <v>636</v>
      </c>
      <c r="C4731" s="714" t="s">
        <v>1484</v>
      </c>
      <c r="G4731" s="715">
        <v>3</v>
      </c>
      <c r="I4731" s="714">
        <f>I4715</f>
        <v>126.71000000000001</v>
      </c>
      <c r="K4731" s="716">
        <f>ROUND(G4731*I4731,2)</f>
        <v>380.13</v>
      </c>
      <c r="L4731" s="716"/>
      <c r="M4731" s="716"/>
      <c r="T4731" s="716"/>
    </row>
    <row r="4732" spans="2:20" s="714" customFormat="1">
      <c r="C4732" s="714" t="s">
        <v>1485</v>
      </c>
      <c r="G4732" s="715">
        <v>4.5</v>
      </c>
      <c r="I4732" s="714">
        <f>I4716</f>
        <v>7.61</v>
      </c>
      <c r="K4732" s="716">
        <f>ROUND(G4732*I4732,2)</f>
        <v>34.25</v>
      </c>
      <c r="L4732" s="716"/>
      <c r="M4732" s="716"/>
      <c r="T4732" s="716"/>
    </row>
    <row r="4733" spans="2:20" s="714" customFormat="1">
      <c r="G4733" s="715"/>
      <c r="J4733" s="714" t="s">
        <v>928</v>
      </c>
      <c r="K4733" s="716">
        <f>SUM(K4731:K4732)</f>
        <v>414.38</v>
      </c>
      <c r="L4733" s="716" t="s">
        <v>721</v>
      </c>
      <c r="M4733" s="716"/>
      <c r="T4733" s="716"/>
    </row>
    <row r="4734" spans="2:20" s="714" customFormat="1">
      <c r="B4734" s="714" t="s">
        <v>637</v>
      </c>
      <c r="C4734" s="714" t="str">
        <f>C4731</f>
        <v>(3 times initial rate )</v>
      </c>
      <c r="G4734" s="715">
        <f>G4731</f>
        <v>3</v>
      </c>
      <c r="I4734" s="714">
        <f>I4718</f>
        <v>167.51</v>
      </c>
      <c r="K4734" s="716">
        <f>ROUND(G4734*I4734,2)</f>
        <v>502.53</v>
      </c>
      <c r="L4734" s="716"/>
      <c r="M4734" s="716"/>
      <c r="T4734" s="716"/>
    </row>
    <row r="4735" spans="2:20" s="714" customFormat="1">
      <c r="C4735" s="714" t="str">
        <f>C4732</f>
        <v>(4.5 times initial rate of Lift )</v>
      </c>
      <c r="G4735" s="715">
        <f>G4732</f>
        <v>4.5</v>
      </c>
      <c r="I4735" s="714">
        <f>I4719</f>
        <v>7.61</v>
      </c>
      <c r="K4735" s="716">
        <f>ROUND(G4735*I4735,2)</f>
        <v>34.25</v>
      </c>
      <c r="L4735" s="716"/>
      <c r="M4735" s="716"/>
      <c r="T4735" s="716"/>
    </row>
    <row r="4736" spans="2:20" s="714" customFormat="1">
      <c r="G4736" s="715"/>
      <c r="J4736" s="714" t="s">
        <v>928</v>
      </c>
      <c r="K4736" s="716">
        <f>SUM(K4734:K4735)</f>
        <v>536.78</v>
      </c>
      <c r="L4736" s="716" t="s">
        <v>721</v>
      </c>
      <c r="M4736" s="716"/>
      <c r="T4736" s="716"/>
    </row>
    <row r="4737" spans="2:20" s="714" customFormat="1">
      <c r="B4737" s="714" t="s">
        <v>639</v>
      </c>
      <c r="C4737" s="714" t="str">
        <f>C4734</f>
        <v>(3 times initial rate )</v>
      </c>
      <c r="G4737" s="715">
        <f>G4734</f>
        <v>3</v>
      </c>
      <c r="I4737" s="714">
        <f>I4721</f>
        <v>157.43</v>
      </c>
      <c r="K4737" s="716">
        <f>ROUND(G4737*I4737,2)</f>
        <v>472.29</v>
      </c>
      <c r="L4737" s="716"/>
      <c r="M4737" s="716"/>
      <c r="T4737" s="716"/>
    </row>
    <row r="4738" spans="2:20" s="714" customFormat="1">
      <c r="C4738" s="714" t="str">
        <f>C4735</f>
        <v>(4.5 times initial rate of Lift )</v>
      </c>
      <c r="G4738" s="715">
        <f>G4735</f>
        <v>4.5</v>
      </c>
      <c r="I4738" s="714">
        <f>I4722</f>
        <v>7.61</v>
      </c>
      <c r="K4738" s="716">
        <f>ROUND(G4738*I4738,2)</f>
        <v>34.25</v>
      </c>
      <c r="L4738" s="716"/>
      <c r="M4738" s="716"/>
      <c r="T4738" s="716"/>
    </row>
    <row r="4739" spans="2:20" s="714" customFormat="1">
      <c r="G4739" s="715"/>
      <c r="J4739" s="714" t="s">
        <v>928</v>
      </c>
      <c r="K4739" s="716">
        <f>SUM(K4737:K4738)</f>
        <v>506.54</v>
      </c>
      <c r="L4739" s="716" t="s">
        <v>721</v>
      </c>
      <c r="M4739" s="716"/>
      <c r="T4739" s="716"/>
    </row>
    <row r="4740" spans="2:20" s="714" customFormat="1">
      <c r="B4740" s="714" t="s">
        <v>641</v>
      </c>
      <c r="C4740" s="714" t="str">
        <f>C4737</f>
        <v>(3 times initial rate )</v>
      </c>
      <c r="G4740" s="715">
        <f>G4737</f>
        <v>3</v>
      </c>
      <c r="I4740" s="714">
        <f>I4724</f>
        <v>218.38</v>
      </c>
      <c r="K4740" s="716">
        <f>ROUND(G4740*I4740,2)</f>
        <v>655.14</v>
      </c>
      <c r="L4740" s="716"/>
      <c r="M4740" s="716"/>
      <c r="T4740" s="716"/>
    </row>
    <row r="4741" spans="2:20" s="714" customFormat="1">
      <c r="C4741" s="714" t="str">
        <f>C4738</f>
        <v>(4.5 times initial rate of Lift )</v>
      </c>
      <c r="G4741" s="715">
        <f>G4738</f>
        <v>4.5</v>
      </c>
      <c r="I4741" s="714">
        <f>I4725</f>
        <v>7.61</v>
      </c>
      <c r="K4741" s="716">
        <f>ROUND(G4741*I4741,2)</f>
        <v>34.25</v>
      </c>
      <c r="L4741" s="716"/>
      <c r="M4741" s="716"/>
      <c r="T4741" s="716"/>
    </row>
    <row r="4742" spans="2:20" s="714" customFormat="1">
      <c r="G4742" s="715"/>
      <c r="J4742" s="714" t="s">
        <v>928</v>
      </c>
      <c r="K4742" s="716">
        <f>SUM(K4740:K4741)</f>
        <v>689.39</v>
      </c>
      <c r="L4742" s="716" t="s">
        <v>721</v>
      </c>
      <c r="M4742" s="716"/>
      <c r="T4742" s="716"/>
    </row>
    <row r="4743" spans="2:20" s="714" customFormat="1">
      <c r="B4743" s="714" t="s">
        <v>643</v>
      </c>
      <c r="C4743" s="714" t="str">
        <f>C4740</f>
        <v>(3 times initial rate )</v>
      </c>
      <c r="G4743" s="715">
        <f>G4740</f>
        <v>3</v>
      </c>
      <c r="I4743" s="714">
        <f>I4727</f>
        <v>167.51</v>
      </c>
      <c r="K4743" s="716">
        <f>ROUND(G4743*I4743,2)</f>
        <v>502.53</v>
      </c>
      <c r="L4743" s="716"/>
      <c r="M4743" s="716"/>
      <c r="T4743" s="716"/>
    </row>
    <row r="4744" spans="2:20" s="714" customFormat="1">
      <c r="C4744" s="714" t="str">
        <f>C4741</f>
        <v>(4.5 times initial rate of Lift )</v>
      </c>
      <c r="G4744" s="715">
        <f>G4741</f>
        <v>4.5</v>
      </c>
      <c r="I4744" s="714">
        <f>I4728</f>
        <v>7.61</v>
      </c>
      <c r="K4744" s="716">
        <f>ROUND(G4744*I4744,2)</f>
        <v>34.25</v>
      </c>
      <c r="L4744" s="716"/>
      <c r="M4744" s="716"/>
      <c r="T4744" s="716"/>
    </row>
    <row r="4745" spans="2:20" s="714" customFormat="1">
      <c r="G4745" s="715"/>
      <c r="J4745" s="714" t="s">
        <v>928</v>
      </c>
      <c r="K4745" s="716">
        <f>SUM(K4743:K4744)</f>
        <v>536.78</v>
      </c>
      <c r="L4745" s="716" t="s">
        <v>721</v>
      </c>
      <c r="M4745" s="716"/>
      <c r="T4745" s="716"/>
    </row>
    <row r="4746" spans="2:20" s="714" customFormat="1" ht="16.5" customHeight="1">
      <c r="B4746" s="714" t="s">
        <v>1486</v>
      </c>
      <c r="G4746" s="715"/>
      <c r="K4746" s="716"/>
      <c r="L4746" s="716"/>
      <c r="M4746" s="716"/>
      <c r="T4746" s="716"/>
    </row>
    <row r="4747" spans="2:20" s="714" customFormat="1">
      <c r="B4747" s="714" t="s">
        <v>636</v>
      </c>
      <c r="C4747" s="714" t="s">
        <v>1487</v>
      </c>
      <c r="G4747" s="715">
        <v>3.5</v>
      </c>
      <c r="I4747" s="714">
        <f>I4731</f>
        <v>126.71000000000001</v>
      </c>
      <c r="K4747" s="716">
        <f>ROUND(G4747*I4747,2)</f>
        <v>443.49</v>
      </c>
      <c r="L4747" s="716"/>
      <c r="M4747" s="716"/>
      <c r="T4747" s="716"/>
    </row>
    <row r="4748" spans="2:20" s="714" customFormat="1">
      <c r="C4748" s="714" t="s">
        <v>1488</v>
      </c>
      <c r="G4748" s="715">
        <v>5.5</v>
      </c>
      <c r="I4748" s="714">
        <f>I4732</f>
        <v>7.61</v>
      </c>
      <c r="K4748" s="716">
        <f>ROUND(G4748*I4748,2)</f>
        <v>41.86</v>
      </c>
      <c r="L4748" s="716"/>
      <c r="M4748" s="716"/>
      <c r="T4748" s="716"/>
    </row>
    <row r="4749" spans="2:20" s="714" customFormat="1">
      <c r="G4749" s="715"/>
      <c r="J4749" s="714" t="s">
        <v>928</v>
      </c>
      <c r="K4749" s="716">
        <f>SUM(K4747:K4748)</f>
        <v>485.35</v>
      </c>
      <c r="L4749" s="716" t="s">
        <v>721</v>
      </c>
      <c r="M4749" s="716"/>
      <c r="T4749" s="716"/>
    </row>
    <row r="4750" spans="2:20" s="714" customFormat="1">
      <c r="B4750" s="714" t="s">
        <v>637</v>
      </c>
      <c r="C4750" s="714" t="str">
        <f>C4747</f>
        <v>(3.5 times initial rate )</v>
      </c>
      <c r="G4750" s="715">
        <f>G4747</f>
        <v>3.5</v>
      </c>
      <c r="I4750" s="714">
        <f>I4734</f>
        <v>167.51</v>
      </c>
      <c r="K4750" s="716">
        <f>ROUND(G4750*I4750,2)</f>
        <v>586.29</v>
      </c>
      <c r="L4750" s="716"/>
      <c r="M4750" s="716"/>
      <c r="T4750" s="716"/>
    </row>
    <row r="4751" spans="2:20" s="714" customFormat="1">
      <c r="C4751" s="714" t="str">
        <f>C4748</f>
        <v>(5.5 times initial rate of Lift )</v>
      </c>
      <c r="G4751" s="715">
        <f>G4748</f>
        <v>5.5</v>
      </c>
      <c r="I4751" s="714">
        <f>I4735</f>
        <v>7.61</v>
      </c>
      <c r="K4751" s="716">
        <f>ROUND(G4751*I4751,2)</f>
        <v>41.86</v>
      </c>
      <c r="L4751" s="716"/>
      <c r="M4751" s="716"/>
      <c r="T4751" s="716"/>
    </row>
    <row r="4752" spans="2:20" s="714" customFormat="1">
      <c r="G4752" s="715"/>
      <c r="J4752" s="714" t="s">
        <v>928</v>
      </c>
      <c r="K4752" s="716">
        <f>SUM(K4750:K4751)</f>
        <v>628.15</v>
      </c>
      <c r="L4752" s="716" t="s">
        <v>721</v>
      </c>
      <c r="M4752" s="716"/>
      <c r="T4752" s="716"/>
    </row>
    <row r="4753" spans="2:20" s="714" customFormat="1">
      <c r="B4753" s="714" t="s">
        <v>639</v>
      </c>
      <c r="C4753" s="714" t="str">
        <f>C4750</f>
        <v>(3.5 times initial rate )</v>
      </c>
      <c r="G4753" s="715">
        <f>G4750</f>
        <v>3.5</v>
      </c>
      <c r="I4753" s="714">
        <f>I4737</f>
        <v>157.43</v>
      </c>
      <c r="K4753" s="716">
        <f>ROUND(G4753*I4753,2)</f>
        <v>551.01</v>
      </c>
      <c r="L4753" s="716"/>
      <c r="M4753" s="716"/>
      <c r="T4753" s="716"/>
    </row>
    <row r="4754" spans="2:20" s="714" customFormat="1">
      <c r="C4754" s="714" t="str">
        <f>C4751</f>
        <v>(5.5 times initial rate of Lift )</v>
      </c>
      <c r="G4754" s="715">
        <f>G4751</f>
        <v>5.5</v>
      </c>
      <c r="I4754" s="714">
        <f>I4738</f>
        <v>7.61</v>
      </c>
      <c r="K4754" s="716">
        <f>ROUND(G4754*I4754,2)</f>
        <v>41.86</v>
      </c>
      <c r="L4754" s="716"/>
      <c r="M4754" s="716"/>
      <c r="T4754" s="716"/>
    </row>
    <row r="4755" spans="2:20" s="714" customFormat="1">
      <c r="G4755" s="715"/>
      <c r="J4755" s="714" t="s">
        <v>928</v>
      </c>
      <c r="K4755" s="716">
        <f>SUM(K4753:K4754)</f>
        <v>592.87</v>
      </c>
      <c r="L4755" s="716" t="s">
        <v>721</v>
      </c>
      <c r="M4755" s="716"/>
      <c r="T4755" s="716"/>
    </row>
    <row r="4756" spans="2:20" s="714" customFormat="1">
      <c r="B4756" s="714" t="s">
        <v>641</v>
      </c>
      <c r="C4756" s="714" t="str">
        <f>C4753</f>
        <v>(3.5 times initial rate )</v>
      </c>
      <c r="G4756" s="715">
        <f>G4753</f>
        <v>3.5</v>
      </c>
      <c r="I4756" s="714">
        <f>I4740</f>
        <v>218.38</v>
      </c>
      <c r="K4756" s="716">
        <f>ROUND(G4756*I4756,2)</f>
        <v>764.33</v>
      </c>
      <c r="L4756" s="716"/>
      <c r="M4756" s="716"/>
      <c r="T4756" s="716"/>
    </row>
    <row r="4757" spans="2:20" s="714" customFormat="1">
      <c r="C4757" s="714" t="str">
        <f>C4754</f>
        <v>(5.5 times initial rate of Lift )</v>
      </c>
      <c r="G4757" s="715">
        <f>G4754</f>
        <v>5.5</v>
      </c>
      <c r="I4757" s="714">
        <f>I4741</f>
        <v>7.61</v>
      </c>
      <c r="K4757" s="716">
        <f>ROUND(G4757*I4757,2)</f>
        <v>41.86</v>
      </c>
      <c r="L4757" s="716"/>
      <c r="M4757" s="716"/>
      <c r="T4757" s="716"/>
    </row>
    <row r="4758" spans="2:20" s="714" customFormat="1">
      <c r="G4758" s="715"/>
      <c r="J4758" s="714" t="s">
        <v>928</v>
      </c>
      <c r="K4758" s="716">
        <f>SUM(K4756:K4757)</f>
        <v>806.19</v>
      </c>
      <c r="L4758" s="716" t="s">
        <v>721</v>
      </c>
      <c r="M4758" s="716"/>
      <c r="T4758" s="716"/>
    </row>
    <row r="4759" spans="2:20" s="714" customFormat="1">
      <c r="B4759" s="714" t="s">
        <v>643</v>
      </c>
      <c r="C4759" s="714" t="str">
        <f>C4756</f>
        <v>(3.5 times initial rate )</v>
      </c>
      <c r="G4759" s="715">
        <f>G4756</f>
        <v>3.5</v>
      </c>
      <c r="I4759" s="714">
        <f>I4743</f>
        <v>167.51</v>
      </c>
      <c r="K4759" s="716">
        <f>ROUND(G4759*I4759,2)</f>
        <v>586.29</v>
      </c>
      <c r="L4759" s="716"/>
      <c r="M4759" s="716"/>
      <c r="T4759" s="716"/>
    </row>
    <row r="4760" spans="2:20" s="714" customFormat="1">
      <c r="C4760" s="714" t="str">
        <f>C4757</f>
        <v>(5.5 times initial rate of Lift )</v>
      </c>
      <c r="G4760" s="715">
        <f>G4757</f>
        <v>5.5</v>
      </c>
      <c r="I4760" s="714">
        <f>I4744</f>
        <v>7.61</v>
      </c>
      <c r="K4760" s="716">
        <f>ROUND(G4760*I4760,2)</f>
        <v>41.86</v>
      </c>
      <c r="L4760" s="716"/>
      <c r="M4760" s="716"/>
      <c r="T4760" s="716"/>
    </row>
    <row r="4761" spans="2:20" s="714" customFormat="1">
      <c r="G4761" s="715"/>
      <c r="J4761" s="714" t="s">
        <v>928</v>
      </c>
      <c r="K4761" s="716">
        <f>SUM(K4759:K4760)</f>
        <v>628.15</v>
      </c>
      <c r="L4761" s="716" t="s">
        <v>721</v>
      </c>
      <c r="M4761" s="716"/>
      <c r="T4761" s="716"/>
    </row>
    <row r="4762" spans="2:20" s="714" customFormat="1" ht="16.5" customHeight="1">
      <c r="B4762" s="714" t="s">
        <v>1489</v>
      </c>
      <c r="G4762" s="715"/>
      <c r="K4762" s="716"/>
      <c r="L4762" s="716"/>
      <c r="M4762" s="716"/>
      <c r="T4762" s="716"/>
    </row>
    <row r="4763" spans="2:20" s="714" customFormat="1">
      <c r="B4763" s="714" t="s">
        <v>636</v>
      </c>
      <c r="C4763" s="714" t="s">
        <v>1490</v>
      </c>
      <c r="G4763" s="715">
        <v>4</v>
      </c>
      <c r="I4763" s="714">
        <f>I4747</f>
        <v>126.71000000000001</v>
      </c>
      <c r="K4763" s="716">
        <f>ROUND(G4763*I4763,2)</f>
        <v>506.84</v>
      </c>
      <c r="L4763" s="716"/>
      <c r="M4763" s="716"/>
      <c r="T4763" s="716"/>
    </row>
    <row r="4764" spans="2:20" s="714" customFormat="1">
      <c r="C4764" s="714" t="s">
        <v>1491</v>
      </c>
      <c r="G4764" s="715">
        <v>6.5</v>
      </c>
      <c r="I4764" s="714">
        <f>I4748</f>
        <v>7.61</v>
      </c>
      <c r="K4764" s="716">
        <f>ROUND(G4764*I4764,2)</f>
        <v>49.47</v>
      </c>
      <c r="L4764" s="716"/>
      <c r="M4764" s="716"/>
      <c r="T4764" s="716"/>
    </row>
    <row r="4765" spans="2:20" s="714" customFormat="1">
      <c r="G4765" s="715"/>
      <c r="J4765" s="714" t="s">
        <v>928</v>
      </c>
      <c r="K4765" s="716">
        <f>SUM(K4763:K4764)</f>
        <v>556.30999999999995</v>
      </c>
      <c r="L4765" s="716" t="s">
        <v>721</v>
      </c>
      <c r="M4765" s="716"/>
      <c r="T4765" s="716"/>
    </row>
    <row r="4766" spans="2:20" s="714" customFormat="1">
      <c r="B4766" s="714" t="s">
        <v>637</v>
      </c>
      <c r="C4766" s="714" t="str">
        <f>C4763</f>
        <v>(4 times initial rate )</v>
      </c>
      <c r="G4766" s="715">
        <f>G4763</f>
        <v>4</v>
      </c>
      <c r="I4766" s="714">
        <f>I4750</f>
        <v>167.51</v>
      </c>
      <c r="K4766" s="716">
        <f>ROUND(G4766*I4766,2)</f>
        <v>670.04</v>
      </c>
      <c r="L4766" s="716"/>
      <c r="M4766" s="716"/>
      <c r="T4766" s="716"/>
    </row>
    <row r="4767" spans="2:20" s="714" customFormat="1">
      <c r="C4767" s="714" t="str">
        <f>C4764</f>
        <v>(6.5 times initial rate of Lift )</v>
      </c>
      <c r="G4767" s="715">
        <f>G4764</f>
        <v>6.5</v>
      </c>
      <c r="I4767" s="714">
        <f>I4751</f>
        <v>7.61</v>
      </c>
      <c r="K4767" s="716">
        <f>ROUND(G4767*I4767,2)</f>
        <v>49.47</v>
      </c>
      <c r="L4767" s="716"/>
      <c r="M4767" s="716"/>
      <c r="T4767" s="716"/>
    </row>
    <row r="4768" spans="2:20" s="714" customFormat="1">
      <c r="G4768" s="715"/>
      <c r="J4768" s="714" t="s">
        <v>928</v>
      </c>
      <c r="K4768" s="716">
        <f>SUM(K4766:K4767)</f>
        <v>719.51</v>
      </c>
      <c r="L4768" s="716" t="s">
        <v>721</v>
      </c>
      <c r="M4768" s="716"/>
      <c r="T4768" s="716"/>
    </row>
    <row r="4769" spans="2:20" s="714" customFormat="1">
      <c r="B4769" s="714" t="s">
        <v>639</v>
      </c>
      <c r="C4769" s="714" t="str">
        <f>C4766</f>
        <v>(4 times initial rate )</v>
      </c>
      <c r="G4769" s="715">
        <f>G4766</f>
        <v>4</v>
      </c>
      <c r="I4769" s="714">
        <f>I4753</f>
        <v>157.43</v>
      </c>
      <c r="K4769" s="716">
        <f>ROUND(G4769*I4769,2)</f>
        <v>629.72</v>
      </c>
      <c r="L4769" s="716"/>
      <c r="M4769" s="716"/>
      <c r="T4769" s="716"/>
    </row>
    <row r="4770" spans="2:20" s="714" customFormat="1">
      <c r="C4770" s="714" t="str">
        <f>C4767</f>
        <v>(6.5 times initial rate of Lift )</v>
      </c>
      <c r="G4770" s="715">
        <f>G4767</f>
        <v>6.5</v>
      </c>
      <c r="I4770" s="714">
        <f>I4754</f>
        <v>7.61</v>
      </c>
      <c r="K4770" s="716">
        <f>ROUND(G4770*I4770,2)</f>
        <v>49.47</v>
      </c>
      <c r="L4770" s="716"/>
      <c r="M4770" s="716"/>
      <c r="T4770" s="716"/>
    </row>
    <row r="4771" spans="2:20" s="714" customFormat="1">
      <c r="G4771" s="715"/>
      <c r="J4771" s="714" t="s">
        <v>928</v>
      </c>
      <c r="K4771" s="716">
        <f>SUM(K4769:K4770)</f>
        <v>679.19</v>
      </c>
      <c r="L4771" s="716" t="s">
        <v>721</v>
      </c>
      <c r="M4771" s="716"/>
      <c r="T4771" s="716"/>
    </row>
    <row r="4772" spans="2:20" s="714" customFormat="1">
      <c r="B4772" s="714" t="s">
        <v>641</v>
      </c>
      <c r="C4772" s="714" t="str">
        <f>C4769</f>
        <v>(4 times initial rate )</v>
      </c>
      <c r="G4772" s="715">
        <f>G4769</f>
        <v>4</v>
      </c>
      <c r="I4772" s="714">
        <f>I4756</f>
        <v>218.38</v>
      </c>
      <c r="K4772" s="716">
        <f>ROUND(G4772*I4772,2)</f>
        <v>873.52</v>
      </c>
      <c r="L4772" s="716"/>
      <c r="M4772" s="716"/>
      <c r="T4772" s="716"/>
    </row>
    <row r="4773" spans="2:20" s="714" customFormat="1">
      <c r="C4773" s="714" t="str">
        <f>C4770</f>
        <v>(6.5 times initial rate of Lift )</v>
      </c>
      <c r="G4773" s="715">
        <f>G4770</f>
        <v>6.5</v>
      </c>
      <c r="I4773" s="714">
        <f>I4757</f>
        <v>7.61</v>
      </c>
      <c r="K4773" s="716">
        <f>ROUND(G4773*I4773,2)</f>
        <v>49.47</v>
      </c>
      <c r="L4773" s="716"/>
      <c r="M4773" s="716"/>
      <c r="T4773" s="716"/>
    </row>
    <row r="4774" spans="2:20" s="714" customFormat="1">
      <c r="G4774" s="715"/>
      <c r="J4774" s="714" t="s">
        <v>928</v>
      </c>
      <c r="K4774" s="716">
        <f>SUM(K4772:K4773)</f>
        <v>922.99</v>
      </c>
      <c r="L4774" s="716" t="s">
        <v>721</v>
      </c>
      <c r="M4774" s="716"/>
      <c r="T4774" s="716"/>
    </row>
    <row r="4775" spans="2:20" s="714" customFormat="1">
      <c r="B4775" s="714" t="s">
        <v>643</v>
      </c>
      <c r="C4775" s="714" t="str">
        <f>C4772</f>
        <v>(4 times initial rate )</v>
      </c>
      <c r="G4775" s="715">
        <f>G4772</f>
        <v>4</v>
      </c>
      <c r="I4775" s="714">
        <f>I4759</f>
        <v>167.51</v>
      </c>
      <c r="K4775" s="716">
        <f>ROUND(G4775*I4775,2)</f>
        <v>670.04</v>
      </c>
      <c r="L4775" s="716"/>
      <c r="M4775" s="716"/>
      <c r="T4775" s="716"/>
    </row>
    <row r="4776" spans="2:20" s="714" customFormat="1">
      <c r="C4776" s="714" t="str">
        <f>C4773</f>
        <v>(6.5 times initial rate of Lift )</v>
      </c>
      <c r="G4776" s="715">
        <f>G4773</f>
        <v>6.5</v>
      </c>
      <c r="I4776" s="714">
        <f>I4760</f>
        <v>7.61</v>
      </c>
      <c r="K4776" s="716">
        <f>ROUND(G4776*I4776,2)</f>
        <v>49.47</v>
      </c>
      <c r="L4776" s="716"/>
      <c r="M4776" s="716"/>
      <c r="T4776" s="716"/>
    </row>
    <row r="4777" spans="2:20" s="714" customFormat="1">
      <c r="G4777" s="715"/>
      <c r="J4777" s="714" t="s">
        <v>928</v>
      </c>
      <c r="K4777" s="716">
        <f>SUM(K4775:K4776)</f>
        <v>719.51</v>
      </c>
      <c r="L4777" s="716" t="s">
        <v>721</v>
      </c>
      <c r="M4777" s="716"/>
      <c r="T4777" s="716"/>
    </row>
    <row r="4778" spans="2:20" s="714" customFormat="1" ht="16.5" customHeight="1">
      <c r="B4778" s="714" t="s">
        <v>1492</v>
      </c>
      <c r="G4778" s="715"/>
      <c r="K4778" s="716"/>
      <c r="L4778" s="716"/>
      <c r="M4778" s="716"/>
      <c r="T4778" s="716"/>
    </row>
    <row r="4779" spans="2:20" s="714" customFormat="1">
      <c r="B4779" s="714" t="s">
        <v>636</v>
      </c>
      <c r="C4779" s="714" t="s">
        <v>1493</v>
      </c>
      <c r="G4779" s="715">
        <v>4.5</v>
      </c>
      <c r="I4779" s="714">
        <f>I4763</f>
        <v>126.71000000000001</v>
      </c>
      <c r="K4779" s="716">
        <f>ROUND(G4779*I4779,2)</f>
        <v>570.20000000000005</v>
      </c>
      <c r="L4779" s="716"/>
      <c r="M4779" s="716"/>
      <c r="T4779" s="716"/>
    </row>
    <row r="4780" spans="2:20" s="714" customFormat="1">
      <c r="C4780" s="714" t="s">
        <v>1494</v>
      </c>
      <c r="G4780" s="715">
        <v>7.5</v>
      </c>
      <c r="I4780" s="714">
        <f>I4764</f>
        <v>7.61</v>
      </c>
      <c r="K4780" s="716">
        <f>ROUND(G4780*I4780,2)</f>
        <v>57.08</v>
      </c>
      <c r="L4780" s="716"/>
      <c r="M4780" s="716"/>
      <c r="T4780" s="716"/>
    </row>
    <row r="4781" spans="2:20" s="714" customFormat="1">
      <c r="G4781" s="715"/>
      <c r="J4781" s="714" t="s">
        <v>928</v>
      </c>
      <c r="K4781" s="716">
        <f>SUM(K4779:K4780)</f>
        <v>627.28000000000009</v>
      </c>
      <c r="L4781" s="716" t="s">
        <v>721</v>
      </c>
      <c r="M4781" s="716"/>
      <c r="T4781" s="716"/>
    </row>
    <row r="4782" spans="2:20" s="714" customFormat="1">
      <c r="B4782" s="714" t="s">
        <v>637</v>
      </c>
      <c r="C4782" s="714" t="str">
        <f>C4779</f>
        <v>(4.5 times initial rate )</v>
      </c>
      <c r="G4782" s="715">
        <f>G4779</f>
        <v>4.5</v>
      </c>
      <c r="I4782" s="714">
        <f>I4766</f>
        <v>167.51</v>
      </c>
      <c r="K4782" s="716">
        <f>ROUND(G4782*I4782,2)</f>
        <v>753.8</v>
      </c>
      <c r="L4782" s="716"/>
      <c r="M4782" s="716"/>
      <c r="T4782" s="716"/>
    </row>
    <row r="4783" spans="2:20" s="714" customFormat="1">
      <c r="C4783" s="714" t="str">
        <f>C4780</f>
        <v>(7.5 times initial rate of Lift )</v>
      </c>
      <c r="G4783" s="715">
        <f>G4780</f>
        <v>7.5</v>
      </c>
      <c r="I4783" s="714">
        <f>I4767</f>
        <v>7.61</v>
      </c>
      <c r="K4783" s="716">
        <f>ROUND(G4783*I4783,2)</f>
        <v>57.08</v>
      </c>
      <c r="L4783" s="716"/>
      <c r="M4783" s="716"/>
      <c r="T4783" s="716"/>
    </row>
    <row r="4784" spans="2:20" s="714" customFormat="1">
      <c r="G4784" s="715"/>
      <c r="J4784" s="714" t="s">
        <v>928</v>
      </c>
      <c r="K4784" s="716">
        <f>SUM(K4782:K4783)</f>
        <v>810.88</v>
      </c>
      <c r="L4784" s="716" t="s">
        <v>721</v>
      </c>
      <c r="M4784" s="716"/>
      <c r="T4784" s="716"/>
    </row>
    <row r="4785" spans="1:20" s="714" customFormat="1">
      <c r="B4785" s="714" t="s">
        <v>639</v>
      </c>
      <c r="C4785" s="714" t="str">
        <f>C4782</f>
        <v>(4.5 times initial rate )</v>
      </c>
      <c r="G4785" s="715">
        <f>G4782</f>
        <v>4.5</v>
      </c>
      <c r="I4785" s="714">
        <f>I4769</f>
        <v>157.43</v>
      </c>
      <c r="K4785" s="716">
        <f>ROUND(G4785*I4785,2)</f>
        <v>708.44</v>
      </c>
      <c r="L4785" s="716"/>
      <c r="M4785" s="716"/>
      <c r="T4785" s="716"/>
    </row>
    <row r="4786" spans="1:20" s="714" customFormat="1">
      <c r="C4786" s="714" t="str">
        <f>C4783</f>
        <v>(7.5 times initial rate of Lift )</v>
      </c>
      <c r="G4786" s="715">
        <f>G4783</f>
        <v>7.5</v>
      </c>
      <c r="I4786" s="714">
        <f>I4770</f>
        <v>7.61</v>
      </c>
      <c r="K4786" s="716">
        <f>ROUND(G4786*I4786,2)</f>
        <v>57.08</v>
      </c>
      <c r="L4786" s="716"/>
      <c r="M4786" s="716"/>
      <c r="T4786" s="716"/>
    </row>
    <row r="4787" spans="1:20" s="714" customFormat="1">
      <c r="G4787" s="715"/>
      <c r="J4787" s="714" t="s">
        <v>928</v>
      </c>
      <c r="K4787" s="716">
        <f>SUM(K4785:K4786)</f>
        <v>765.5200000000001</v>
      </c>
      <c r="L4787" s="716" t="s">
        <v>721</v>
      </c>
      <c r="M4787" s="716"/>
      <c r="T4787" s="716"/>
    </row>
    <row r="4788" spans="1:20" s="714" customFormat="1">
      <c r="B4788" s="714" t="s">
        <v>641</v>
      </c>
      <c r="C4788" s="714" t="str">
        <f>C4785</f>
        <v>(4.5 times initial rate )</v>
      </c>
      <c r="G4788" s="715">
        <f>G4785</f>
        <v>4.5</v>
      </c>
      <c r="I4788" s="714">
        <f>I4772</f>
        <v>218.38</v>
      </c>
      <c r="K4788" s="716">
        <f>ROUND(G4788*I4788,2)</f>
        <v>982.71</v>
      </c>
      <c r="L4788" s="716"/>
      <c r="M4788" s="716"/>
      <c r="T4788" s="716"/>
    </row>
    <row r="4789" spans="1:20" s="714" customFormat="1">
      <c r="C4789" s="714" t="str">
        <f>C4786</f>
        <v>(7.5 times initial rate of Lift )</v>
      </c>
      <c r="G4789" s="715">
        <f>G4786</f>
        <v>7.5</v>
      </c>
      <c r="I4789" s="714">
        <f>I4773</f>
        <v>7.61</v>
      </c>
      <c r="K4789" s="716">
        <f>ROUND(G4789*I4789,2)</f>
        <v>57.08</v>
      </c>
      <c r="L4789" s="716"/>
      <c r="M4789" s="716"/>
      <c r="T4789" s="716"/>
    </row>
    <row r="4790" spans="1:20" s="714" customFormat="1">
      <c r="G4790" s="715"/>
      <c r="J4790" s="714" t="s">
        <v>928</v>
      </c>
      <c r="K4790" s="716">
        <f>SUM(K4788:K4789)</f>
        <v>1039.79</v>
      </c>
      <c r="L4790" s="716" t="s">
        <v>721</v>
      </c>
      <c r="M4790" s="716"/>
      <c r="T4790" s="716"/>
    </row>
    <row r="4791" spans="1:20" s="714" customFormat="1">
      <c r="B4791" s="714" t="s">
        <v>643</v>
      </c>
      <c r="C4791" s="714" t="str">
        <f>C4788</f>
        <v>(4.5 times initial rate )</v>
      </c>
      <c r="G4791" s="715">
        <f>G4788</f>
        <v>4.5</v>
      </c>
      <c r="I4791" s="714">
        <f>I4775</f>
        <v>167.51</v>
      </c>
      <c r="K4791" s="716">
        <f>ROUND(G4791*I4791,2)</f>
        <v>753.8</v>
      </c>
      <c r="L4791" s="716"/>
      <c r="M4791" s="716"/>
      <c r="T4791" s="716"/>
    </row>
    <row r="4792" spans="1:20" s="714" customFormat="1">
      <c r="C4792" s="714" t="str">
        <f>C4789</f>
        <v>(7.5 times initial rate of Lift )</v>
      </c>
      <c r="G4792" s="715">
        <f>G4789</f>
        <v>7.5</v>
      </c>
      <c r="I4792" s="714">
        <f>I4776</f>
        <v>7.61</v>
      </c>
      <c r="K4792" s="716">
        <f>ROUND(G4792*I4792,2)</f>
        <v>57.08</v>
      </c>
      <c r="L4792" s="716"/>
      <c r="M4792" s="716"/>
      <c r="T4792" s="716"/>
    </row>
    <row r="4793" spans="1:20" s="714" customFormat="1">
      <c r="G4793" s="715"/>
      <c r="J4793" s="714" t="s">
        <v>928</v>
      </c>
      <c r="K4793" s="716">
        <f>SUM(K4791:K4792)</f>
        <v>810.88</v>
      </c>
      <c r="L4793" s="716" t="s">
        <v>721</v>
      </c>
      <c r="M4793" s="716"/>
      <c r="T4793" s="716"/>
    </row>
    <row r="4794" spans="1:20" s="714" customFormat="1" ht="78.599999999999994" customHeight="1">
      <c r="A4794" s="714">
        <f>A849</f>
        <v>172</v>
      </c>
      <c r="B4794" s="3403" t="str">
        <f>B324</f>
        <v>Cutting in disintegrated rock not requiring blasting to be removed by pick axes and crow bars and depositing materials within 50m initial lead and 1.5m initial lift including rough dressing as per direction and specification of the department including stacking the useful materials separately as ordered.</v>
      </c>
      <c r="C4794" s="3403"/>
      <c r="D4794" s="3403"/>
      <c r="E4794" s="714" t="s">
        <v>381</v>
      </c>
      <c r="G4794" s="715"/>
    </row>
    <row r="4795" spans="1:20" s="714" customFormat="1" ht="16.5" customHeight="1">
      <c r="B4795" s="716" t="s">
        <v>1472</v>
      </c>
      <c r="G4795" s="715"/>
    </row>
    <row r="4796" spans="1:20" s="714" customFormat="1">
      <c r="B4796" s="714" t="s">
        <v>1473</v>
      </c>
      <c r="G4796" s="715"/>
    </row>
    <row r="4797" spans="1:20" s="714" customFormat="1">
      <c r="B4797" s="714" t="s">
        <v>1495</v>
      </c>
      <c r="G4797" s="715"/>
      <c r="K4797" s="715">
        <f>K1359</f>
        <v>202.35</v>
      </c>
      <c r="L4797" s="714" t="s">
        <v>721</v>
      </c>
    </row>
    <row r="4798" spans="1:20" s="714" customFormat="1" ht="16.5" customHeight="1">
      <c r="B4798" s="716" t="s">
        <v>1474</v>
      </c>
      <c r="G4798" s="715"/>
    </row>
    <row r="4799" spans="1:20" s="714" customFormat="1">
      <c r="B4799" s="714" t="str">
        <f>B4797</f>
        <v>i.Disintigrated Rock.</v>
      </c>
      <c r="C4799" s="714" t="s">
        <v>1475</v>
      </c>
      <c r="G4799" s="715">
        <v>1.5</v>
      </c>
      <c r="I4799" s="714">
        <f>K4797</f>
        <v>202.35</v>
      </c>
      <c r="K4799" s="714">
        <f>ROUND(G4799*I4799,2)</f>
        <v>303.52999999999997</v>
      </c>
    </row>
    <row r="4800" spans="1:20" s="714" customFormat="1">
      <c r="C4800" s="714" t="s">
        <v>1476</v>
      </c>
      <c r="G4800" s="715">
        <v>1.5</v>
      </c>
      <c r="I4800" s="715">
        <f>I4564</f>
        <v>7.61</v>
      </c>
      <c r="K4800" s="714">
        <f>ROUND(G4800*I4800,2)</f>
        <v>11.42</v>
      </c>
    </row>
    <row r="4801" spans="2:12" s="714" customFormat="1">
      <c r="G4801" s="715"/>
      <c r="J4801" s="714" t="s">
        <v>928</v>
      </c>
      <c r="K4801" s="715">
        <f>SUM(K4799:K4800)</f>
        <v>314.95</v>
      </c>
      <c r="L4801" s="714" t="s">
        <v>721</v>
      </c>
    </row>
    <row r="4802" spans="2:12" s="714" customFormat="1" ht="16.5" customHeight="1">
      <c r="B4802" s="716" t="s">
        <v>1477</v>
      </c>
      <c r="G4802" s="715"/>
    </row>
    <row r="4803" spans="2:12" s="714" customFormat="1">
      <c r="B4803" s="714" t="str">
        <f>B4799</f>
        <v>i.Disintigrated Rock.</v>
      </c>
      <c r="C4803" s="714" t="s">
        <v>1478</v>
      </c>
      <c r="G4803" s="715">
        <v>2</v>
      </c>
      <c r="I4803" s="714">
        <f>I4799</f>
        <v>202.35</v>
      </c>
      <c r="K4803" s="714">
        <f>ROUND(G4803*I4803,2)</f>
        <v>404.7</v>
      </c>
    </row>
    <row r="4804" spans="2:12" s="714" customFormat="1">
      <c r="C4804" s="714" t="s">
        <v>1479</v>
      </c>
      <c r="G4804" s="715">
        <v>2.5</v>
      </c>
      <c r="I4804" s="714">
        <f>I4800</f>
        <v>7.61</v>
      </c>
      <c r="K4804" s="714">
        <f>ROUND(G4804*I4804,2)</f>
        <v>19.03</v>
      </c>
    </row>
    <row r="4805" spans="2:12" s="714" customFormat="1">
      <c r="G4805" s="715"/>
      <c r="J4805" s="714" t="s">
        <v>928</v>
      </c>
      <c r="K4805" s="714">
        <f>SUM(K4803:K4804)</f>
        <v>423.73</v>
      </c>
      <c r="L4805" s="714" t="s">
        <v>721</v>
      </c>
    </row>
    <row r="4806" spans="2:12" s="714" customFormat="1" ht="16.5" customHeight="1">
      <c r="B4806" s="716" t="s">
        <v>1480</v>
      </c>
      <c r="G4806" s="715"/>
    </row>
    <row r="4807" spans="2:12" s="714" customFormat="1">
      <c r="B4807" s="714" t="str">
        <f>B4803</f>
        <v>i.Disintigrated Rock.</v>
      </c>
      <c r="C4807" s="714" t="s">
        <v>1481</v>
      </c>
      <c r="G4807" s="715">
        <v>2.5</v>
      </c>
      <c r="I4807" s="714">
        <f>I4803</f>
        <v>202.35</v>
      </c>
      <c r="K4807" s="714">
        <f>ROUND(G4807*I4807,2)</f>
        <v>505.88</v>
      </c>
    </row>
    <row r="4808" spans="2:12" s="714" customFormat="1">
      <c r="C4808" s="714" t="s">
        <v>1482</v>
      </c>
      <c r="G4808" s="715">
        <v>3.5</v>
      </c>
      <c r="I4808" s="714">
        <f>I4804</f>
        <v>7.61</v>
      </c>
      <c r="K4808" s="714">
        <f>ROUND(G4808*I4808,2)</f>
        <v>26.64</v>
      </c>
    </row>
    <row r="4809" spans="2:12" s="714" customFormat="1">
      <c r="G4809" s="715"/>
      <c r="J4809" s="714" t="s">
        <v>928</v>
      </c>
      <c r="K4809" s="714">
        <f>SUM(K4807:K4808)</f>
        <v>532.52</v>
      </c>
      <c r="L4809" s="714" t="s">
        <v>721</v>
      </c>
    </row>
    <row r="4810" spans="2:12" s="714" customFormat="1" ht="16.5" customHeight="1">
      <c r="B4810" s="716" t="s">
        <v>1483</v>
      </c>
      <c r="G4810" s="715"/>
    </row>
    <row r="4811" spans="2:12" s="714" customFormat="1">
      <c r="B4811" s="714" t="str">
        <f>B4807</f>
        <v>i.Disintigrated Rock.</v>
      </c>
      <c r="C4811" s="714" t="s">
        <v>1484</v>
      </c>
      <c r="G4811" s="715">
        <v>3</v>
      </c>
      <c r="I4811" s="714">
        <f>I4807</f>
        <v>202.35</v>
      </c>
      <c r="K4811" s="714">
        <f>ROUND(G4811*I4811,2)</f>
        <v>607.04999999999995</v>
      </c>
    </row>
    <row r="4812" spans="2:12" s="714" customFormat="1">
      <c r="C4812" s="714" t="s">
        <v>1485</v>
      </c>
      <c r="G4812" s="715">
        <v>4.5</v>
      </c>
      <c r="I4812" s="714">
        <f>I4808</f>
        <v>7.61</v>
      </c>
      <c r="K4812" s="714">
        <f>ROUND(G4812*I4812,2)</f>
        <v>34.25</v>
      </c>
    </row>
    <row r="4813" spans="2:12" s="714" customFormat="1">
      <c r="G4813" s="715"/>
      <c r="J4813" s="714" t="s">
        <v>928</v>
      </c>
      <c r="K4813" s="714">
        <f>SUM(K4811:K4812)</f>
        <v>641.29999999999995</v>
      </c>
      <c r="L4813" s="714" t="s">
        <v>721</v>
      </c>
    </row>
    <row r="4814" spans="2:12" s="714" customFormat="1" ht="16.5" customHeight="1">
      <c r="B4814" s="716" t="s">
        <v>1486</v>
      </c>
      <c r="G4814" s="715"/>
    </row>
    <row r="4815" spans="2:12" s="714" customFormat="1">
      <c r="B4815" s="714" t="str">
        <f>B4811</f>
        <v>i.Disintigrated Rock.</v>
      </c>
      <c r="C4815" s="714" t="s">
        <v>1487</v>
      </c>
      <c r="G4815" s="715">
        <v>3.5</v>
      </c>
      <c r="I4815" s="714">
        <f>I4811</f>
        <v>202.35</v>
      </c>
      <c r="K4815" s="714">
        <f>ROUND(G4815*I4815,2)</f>
        <v>708.23</v>
      </c>
    </row>
    <row r="4816" spans="2:12" s="714" customFormat="1">
      <c r="C4816" s="714" t="s">
        <v>1488</v>
      </c>
      <c r="G4816" s="715">
        <v>5.5</v>
      </c>
      <c r="I4816" s="714">
        <f>I4812</f>
        <v>7.61</v>
      </c>
      <c r="K4816" s="714">
        <f>ROUND(G4816*I4816,2)</f>
        <v>41.86</v>
      </c>
    </row>
    <row r="4817" spans="1:20" s="714" customFormat="1">
      <c r="G4817" s="715"/>
      <c r="J4817" s="714" t="s">
        <v>928</v>
      </c>
      <c r="K4817" s="714">
        <f>SUM(K4815:K4816)</f>
        <v>750.09</v>
      </c>
      <c r="L4817" s="714" t="s">
        <v>721</v>
      </c>
    </row>
    <row r="4818" spans="1:20" s="714" customFormat="1" ht="16.5" customHeight="1">
      <c r="B4818" s="716" t="s">
        <v>1489</v>
      </c>
      <c r="G4818" s="715"/>
    </row>
    <row r="4819" spans="1:20" s="714" customFormat="1">
      <c r="B4819" s="714" t="str">
        <f>B4815</f>
        <v>i.Disintigrated Rock.</v>
      </c>
      <c r="C4819" s="714" t="s">
        <v>1490</v>
      </c>
      <c r="G4819" s="715">
        <v>4</v>
      </c>
      <c r="I4819" s="714">
        <f>I4815</f>
        <v>202.35</v>
      </c>
      <c r="K4819" s="714">
        <f>ROUND(G4819*I4819,2)</f>
        <v>809.4</v>
      </c>
    </row>
    <row r="4820" spans="1:20" s="714" customFormat="1">
      <c r="C4820" s="714" t="s">
        <v>1491</v>
      </c>
      <c r="G4820" s="715">
        <v>6.5</v>
      </c>
      <c r="I4820" s="714">
        <f>I4816</f>
        <v>7.61</v>
      </c>
      <c r="K4820" s="714">
        <f>ROUND(G4820*I4820,2)</f>
        <v>49.47</v>
      </c>
    </row>
    <row r="4821" spans="1:20" s="714" customFormat="1">
      <c r="G4821" s="715"/>
      <c r="J4821" s="714" t="s">
        <v>928</v>
      </c>
      <c r="K4821" s="714">
        <f>SUM(K4819:K4820)</f>
        <v>858.87</v>
      </c>
      <c r="L4821" s="714" t="s">
        <v>721</v>
      </c>
    </row>
    <row r="4822" spans="1:20" s="714" customFormat="1" ht="16.5" customHeight="1">
      <c r="B4822" s="716" t="s">
        <v>1492</v>
      </c>
      <c r="G4822" s="715"/>
    </row>
    <row r="4823" spans="1:20" s="714" customFormat="1">
      <c r="B4823" s="714" t="str">
        <f>B4819</f>
        <v>i.Disintigrated Rock.</v>
      </c>
      <c r="C4823" s="714" t="s">
        <v>1493</v>
      </c>
      <c r="G4823" s="715">
        <v>4.5</v>
      </c>
      <c r="I4823" s="714">
        <f>I4819</f>
        <v>202.35</v>
      </c>
      <c r="K4823" s="714">
        <f>ROUND(G4823*I4823,2)</f>
        <v>910.58</v>
      </c>
    </row>
    <row r="4824" spans="1:20" s="714" customFormat="1">
      <c r="C4824" s="714" t="s">
        <v>1494</v>
      </c>
      <c r="G4824" s="715">
        <v>7.5</v>
      </c>
      <c r="I4824" s="714">
        <f>I4820</f>
        <v>7.61</v>
      </c>
      <c r="K4824" s="714">
        <f>ROUND(G4824*I4824,2)</f>
        <v>57.08</v>
      </c>
    </row>
    <row r="4825" spans="1:20" s="714" customFormat="1">
      <c r="J4825" s="714" t="s">
        <v>928</v>
      </c>
      <c r="K4825" s="714">
        <f>SUM(K4823:K4824)</f>
        <v>967.66000000000008</v>
      </c>
      <c r="L4825" s="714" t="s">
        <v>721</v>
      </c>
    </row>
    <row r="4826" spans="1:20" s="714" customFormat="1" ht="51" customHeight="1">
      <c r="A4826" s="1138">
        <f>A867</f>
        <v>173</v>
      </c>
      <c r="B4826" s="3400" t="str">
        <f>B867</f>
        <v>P.C.C.M-15 Grade using 40mm to 10mm size crushed stone aggregates mixed by concrete mixer, laying in layers and compacting by vibrator &amp; all leads and lifts including frame works etc complete.</v>
      </c>
      <c r="C4826" s="3400"/>
      <c r="D4826" s="3400"/>
      <c r="E4826" s="1135" t="s">
        <v>381</v>
      </c>
      <c r="F4826" s="1135"/>
      <c r="G4826" s="1055"/>
      <c r="H4826" s="1136"/>
      <c r="I4826" s="1137"/>
      <c r="J4826" s="1055"/>
      <c r="K4826" s="1055"/>
      <c r="L4826" s="1059"/>
      <c r="T4826" s="716"/>
    </row>
    <row r="4827" spans="1:20" s="709" customFormat="1">
      <c r="B4827" s="710" t="s">
        <v>828</v>
      </c>
      <c r="E4827" s="1146"/>
      <c r="F4827" s="1146"/>
      <c r="H4827" s="1179"/>
      <c r="I4827" s="1155"/>
      <c r="L4827" s="1180"/>
      <c r="T4827" s="710"/>
    </row>
    <row r="4828" spans="1:20" s="709" customFormat="1">
      <c r="B4828" s="710" t="s">
        <v>829</v>
      </c>
      <c r="C4828" s="710"/>
      <c r="E4828" s="1146"/>
      <c r="F4828" s="1146"/>
      <c r="H4828" s="1179"/>
      <c r="I4828" s="1155"/>
      <c r="L4828" s="1180"/>
      <c r="T4828" s="710"/>
    </row>
    <row r="4829" spans="1:20" s="709" customFormat="1">
      <c r="B4829" s="709" t="s">
        <v>1496</v>
      </c>
      <c r="C4829" s="710"/>
      <c r="E4829" s="1146"/>
      <c r="F4829" s="1146"/>
      <c r="G4829" s="1154">
        <v>8.1</v>
      </c>
      <c r="H4829" s="1179" t="s">
        <v>49</v>
      </c>
      <c r="I4829" s="1155" t="s">
        <v>49</v>
      </c>
      <c r="J4829" s="1156">
        <f>G8</f>
        <v>1045.01</v>
      </c>
      <c r="K4829" s="1156">
        <f>ROUND(G4829*J4829,2)</f>
        <v>8464.58</v>
      </c>
      <c r="L4829" s="1180"/>
      <c r="T4829" s="710"/>
    </row>
    <row r="4830" spans="1:20" s="709" customFormat="1">
      <c r="B4830" s="709" t="s">
        <v>830</v>
      </c>
      <c r="E4830" s="1146"/>
      <c r="F4830" s="1146"/>
      <c r="G4830" s="1154">
        <v>4.05</v>
      </c>
      <c r="H4830" s="1179" t="s">
        <v>49</v>
      </c>
      <c r="I4830" s="1155" t="s">
        <v>49</v>
      </c>
      <c r="J4830" s="1156">
        <f>G11</f>
        <v>1451.3999999999999</v>
      </c>
      <c r="K4830" s="1156">
        <f>ROUND(G4830*J4830,2)</f>
        <v>5878.17</v>
      </c>
      <c r="L4830" s="1180"/>
      <c r="T4830" s="710"/>
    </row>
    <row r="4831" spans="1:20" s="709" customFormat="1">
      <c r="B4831" s="709" t="s">
        <v>831</v>
      </c>
      <c r="E4831" s="1146"/>
      <c r="F4831" s="1146"/>
      <c r="G4831" s="1154">
        <v>1.35</v>
      </c>
      <c r="H4831" s="1179" t="s">
        <v>49</v>
      </c>
      <c r="I4831" s="1155" t="s">
        <v>49</v>
      </c>
      <c r="J4831" s="1156">
        <f>G14</f>
        <v>1472.1</v>
      </c>
      <c r="K4831" s="1156">
        <f>ROUND(G4831*J4831,2)</f>
        <v>1987.34</v>
      </c>
      <c r="L4831" s="1180"/>
      <c r="T4831" s="710"/>
    </row>
    <row r="4832" spans="1:20" s="709" customFormat="1">
      <c r="B4832" s="709" t="s">
        <v>832</v>
      </c>
      <c r="E4832" s="1146"/>
      <c r="F4832" s="1146"/>
      <c r="G4832" s="1154">
        <v>6.75</v>
      </c>
      <c r="H4832" s="1179" t="s">
        <v>49</v>
      </c>
      <c r="I4832" s="1155" t="s">
        <v>49</v>
      </c>
      <c r="J4832" s="1156">
        <f>G44</f>
        <v>80.72</v>
      </c>
      <c r="K4832" s="1156">
        <f>ROUND(G4832*J4832,2)</f>
        <v>544.86</v>
      </c>
      <c r="L4832" s="1180"/>
      <c r="T4832" s="710"/>
    </row>
    <row r="4833" spans="2:20" s="709" customFormat="1">
      <c r="B4833" s="709" t="s">
        <v>8</v>
      </c>
      <c r="E4833" s="1146"/>
      <c r="F4833" s="1146"/>
      <c r="G4833" s="1154">
        <f>4.13</f>
        <v>4.13</v>
      </c>
      <c r="H4833" s="1179" t="s">
        <v>91</v>
      </c>
      <c r="I4833" s="1155" t="s">
        <v>91</v>
      </c>
      <c r="J4833" s="1156">
        <f>G48</f>
        <v>6400</v>
      </c>
      <c r="K4833" s="1156">
        <f>ROUND(G4833*J4833,2)</f>
        <v>26432</v>
      </c>
      <c r="L4833" s="1180"/>
      <c r="T4833" s="710"/>
    </row>
    <row r="4834" spans="2:20" s="709" customFormat="1">
      <c r="E4834" s="1146"/>
      <c r="F4834" s="1146"/>
      <c r="H4834" s="1179"/>
      <c r="I4834" s="1155"/>
      <c r="J4834" s="1153" t="s">
        <v>718</v>
      </c>
      <c r="K4834" s="1159">
        <f>SUM(K4829:K4833)</f>
        <v>43306.95</v>
      </c>
      <c r="L4834" s="1180"/>
      <c r="T4834" s="710"/>
    </row>
    <row r="4835" spans="2:20" s="709" customFormat="1">
      <c r="B4835" s="710" t="s">
        <v>816</v>
      </c>
      <c r="C4835" s="710"/>
      <c r="E4835" s="1146"/>
      <c r="F4835" s="1146"/>
      <c r="H4835" s="1179"/>
      <c r="I4835" s="1155"/>
      <c r="J4835" s="1153"/>
      <c r="K4835" s="1159"/>
      <c r="L4835" s="1180"/>
      <c r="T4835" s="710"/>
    </row>
    <row r="4836" spans="2:20" s="709" customFormat="1">
      <c r="B4836" s="709" t="s">
        <v>744</v>
      </c>
      <c r="E4836" s="1146"/>
      <c r="F4836" s="1146"/>
      <c r="G4836" s="1154">
        <v>0.86</v>
      </c>
      <c r="H4836" s="1179" t="s">
        <v>262</v>
      </c>
      <c r="I4836" s="1155" t="s">
        <v>315</v>
      </c>
      <c r="J4836" s="1181">
        <f>L130</f>
        <v>244.3</v>
      </c>
      <c r="K4836" s="1156">
        <f>ROUND(G4836*J4836,2)</f>
        <v>210.1</v>
      </c>
      <c r="L4836" s="1180"/>
      <c r="T4836" s="710"/>
    </row>
    <row r="4837" spans="2:20" s="709" customFormat="1">
      <c r="B4837" s="709" t="s">
        <v>818</v>
      </c>
      <c r="E4837" s="1146"/>
      <c r="F4837" s="1146"/>
      <c r="G4837" s="1154">
        <v>1.5</v>
      </c>
      <c r="H4837" s="1179" t="s">
        <v>262</v>
      </c>
      <c r="I4837" s="1155" t="s">
        <v>315</v>
      </c>
      <c r="J4837" s="1181">
        <f>L131</f>
        <v>264.3</v>
      </c>
      <c r="K4837" s="1156">
        <f>ROUND(G4837*J4837,2)</f>
        <v>396.45</v>
      </c>
      <c r="L4837" s="1180"/>
      <c r="T4837" s="710"/>
    </row>
    <row r="4838" spans="2:20" s="709" customFormat="1">
      <c r="B4838" s="709" t="s">
        <v>717</v>
      </c>
      <c r="E4838" s="1146"/>
      <c r="F4838" s="1146"/>
      <c r="G4838" s="1154">
        <v>20</v>
      </c>
      <c r="H4838" s="1179" t="s">
        <v>262</v>
      </c>
      <c r="I4838" s="1155" t="s">
        <v>315</v>
      </c>
      <c r="J4838" s="1181">
        <f>L129</f>
        <v>182</v>
      </c>
      <c r="K4838" s="1156">
        <f>ROUND(G4838*J4838,2)</f>
        <v>3640</v>
      </c>
      <c r="L4838" s="1180"/>
      <c r="T4838" s="710"/>
    </row>
    <row r="4839" spans="2:20" s="709" customFormat="1">
      <c r="E4839" s="1146"/>
      <c r="F4839" s="1146"/>
      <c r="G4839" s="1154"/>
      <c r="H4839" s="1179"/>
      <c r="I4839" s="1155"/>
      <c r="J4839" s="1153" t="s">
        <v>718</v>
      </c>
      <c r="K4839" s="1159">
        <f>SUM(K4836:K4838)</f>
        <v>4246.55</v>
      </c>
      <c r="L4839" s="1180"/>
      <c r="T4839" s="710"/>
    </row>
    <row r="4840" spans="2:20" s="709" customFormat="1">
      <c r="B4840" s="710" t="s">
        <v>833</v>
      </c>
      <c r="C4840" s="710"/>
      <c r="E4840" s="1146"/>
      <c r="F4840" s="1146"/>
      <c r="G4840" s="1154"/>
      <c r="H4840" s="1179"/>
      <c r="I4840" s="1155"/>
      <c r="J4840" s="1156"/>
      <c r="K4840" s="1159"/>
      <c r="L4840" s="1180"/>
      <c r="T4840" s="710"/>
    </row>
    <row r="4841" spans="2:20" s="709" customFormat="1">
      <c r="B4841" s="1055" t="s">
        <v>311</v>
      </c>
      <c r="E4841" s="1146"/>
      <c r="F4841" s="1146"/>
      <c r="G4841" s="1154">
        <v>6</v>
      </c>
      <c r="H4841" s="1179" t="s">
        <v>312</v>
      </c>
      <c r="I4841" s="1155" t="s">
        <v>312</v>
      </c>
      <c r="J4841" s="1156">
        <f>M207</f>
        <v>229.55</v>
      </c>
      <c r="K4841" s="1156">
        <f>ROUND(G4841*J4841,2)</f>
        <v>1377.3</v>
      </c>
      <c r="L4841" s="1180"/>
      <c r="T4841" s="710"/>
    </row>
    <row r="4842" spans="2:20" s="709" customFormat="1">
      <c r="B4842" s="1055" t="s">
        <v>313</v>
      </c>
      <c r="E4842" s="1146"/>
      <c r="F4842" s="1146"/>
      <c r="G4842" s="1154">
        <v>6</v>
      </c>
      <c r="H4842" s="1179" t="s">
        <v>312</v>
      </c>
      <c r="I4842" s="1155" t="s">
        <v>312</v>
      </c>
      <c r="J4842" s="1156">
        <f>M194</f>
        <v>700</v>
      </c>
      <c r="K4842" s="1156">
        <f>ROUND(G4842*J4842,2)</f>
        <v>4200</v>
      </c>
      <c r="L4842" s="1180"/>
      <c r="T4842" s="710"/>
    </row>
    <row r="4843" spans="2:20" s="709" customFormat="1">
      <c r="E4843" s="1146"/>
      <c r="F4843" s="1146"/>
      <c r="G4843" s="1154"/>
      <c r="H4843" s="1179"/>
      <c r="I4843" s="1155"/>
      <c r="J4843" s="1153" t="s">
        <v>718</v>
      </c>
      <c r="K4843" s="1159">
        <f>K4842+K4841</f>
        <v>5577.3</v>
      </c>
      <c r="L4843" s="1180"/>
      <c r="T4843" s="710"/>
    </row>
    <row r="4844" spans="2:20" s="709" customFormat="1">
      <c r="B4844" s="710"/>
      <c r="C4844" s="710"/>
      <c r="E4844" s="1146"/>
      <c r="F4844" s="1146"/>
      <c r="H4844" s="1179"/>
      <c r="I4844" s="1155"/>
      <c r="K4844" s="1159"/>
      <c r="L4844" s="1180"/>
      <c r="T4844" s="710"/>
    </row>
    <row r="4845" spans="2:20" s="709" customFormat="1">
      <c r="B4845" s="710" t="s">
        <v>1497</v>
      </c>
      <c r="E4845" s="1146"/>
      <c r="F4845" s="1146"/>
      <c r="H4845" s="1179"/>
      <c r="I4845" s="1155"/>
      <c r="J4845" s="1153"/>
      <c r="K4845" s="1159">
        <f>K4834+K4839+K4843+K4844</f>
        <v>53130.8</v>
      </c>
      <c r="L4845" s="1180"/>
      <c r="T4845" s="710"/>
    </row>
    <row r="4846" spans="2:20" s="709" customFormat="1">
      <c r="B4846" s="710" t="s">
        <v>836</v>
      </c>
      <c r="C4846" s="710"/>
      <c r="E4846" s="1146"/>
      <c r="F4846" s="1146"/>
      <c r="H4846" s="1179"/>
      <c r="I4846" s="1155"/>
      <c r="K4846" s="1156"/>
      <c r="L4846" s="1180"/>
      <c r="T4846" s="710"/>
    </row>
    <row r="4847" spans="2:20" s="709" customFormat="1">
      <c r="B4847" s="709" t="s">
        <v>1496</v>
      </c>
      <c r="C4847" s="710"/>
      <c r="E4847" s="1146"/>
      <c r="F4847" s="1146"/>
      <c r="G4847" s="1154">
        <f>G4829</f>
        <v>8.1</v>
      </c>
      <c r="H4847" s="1179" t="s">
        <v>49</v>
      </c>
      <c r="I4847" s="1155" t="s">
        <v>49</v>
      </c>
      <c r="J4847" s="1156">
        <f>K8</f>
        <v>276.01</v>
      </c>
      <c r="K4847" s="1156">
        <f>ROUND(G4847*J4847,2)</f>
        <v>2235.6799999999998</v>
      </c>
      <c r="L4847" s="1180"/>
      <c r="T4847" s="710"/>
    </row>
    <row r="4848" spans="2:20" s="709" customFormat="1">
      <c r="B4848" s="709" t="s">
        <v>830</v>
      </c>
      <c r="E4848" s="1146"/>
      <c r="F4848" s="1146"/>
      <c r="G4848" s="1154">
        <f>G4830</f>
        <v>4.05</v>
      </c>
      <c r="H4848" s="1179" t="s">
        <v>49</v>
      </c>
      <c r="I4848" s="1155" t="s">
        <v>49</v>
      </c>
      <c r="J4848" s="1156">
        <f>K11</f>
        <v>276.01</v>
      </c>
      <c r="K4848" s="1156">
        <f>ROUND(G4848*J4848,2)</f>
        <v>1117.8399999999999</v>
      </c>
      <c r="L4848" s="1180"/>
      <c r="T4848" s="710"/>
    </row>
    <row r="4849" spans="1:20" s="709" customFormat="1">
      <c r="B4849" s="709" t="s">
        <v>831</v>
      </c>
      <c r="E4849" s="1146"/>
      <c r="F4849" s="1146"/>
      <c r="G4849" s="1154">
        <f>G4831</f>
        <v>1.35</v>
      </c>
      <c r="H4849" s="1179" t="s">
        <v>49</v>
      </c>
      <c r="I4849" s="1155" t="s">
        <v>49</v>
      </c>
      <c r="J4849" s="1156">
        <f>K14</f>
        <v>276.01</v>
      </c>
      <c r="K4849" s="1156">
        <f>ROUND(G4849*J4849,2)</f>
        <v>372.61</v>
      </c>
      <c r="L4849" s="1180"/>
      <c r="T4849" s="710"/>
    </row>
    <row r="4850" spans="1:20" s="709" customFormat="1">
      <c r="B4850" s="709" t="s">
        <v>832</v>
      </c>
      <c r="E4850" s="1146"/>
      <c r="F4850" s="1146"/>
      <c r="G4850" s="1154">
        <f>G4832</f>
        <v>6.75</v>
      </c>
      <c r="H4850" s="1179" t="s">
        <v>49</v>
      </c>
      <c r="I4850" s="1155" t="s">
        <v>49</v>
      </c>
      <c r="J4850" s="1156">
        <f>K44</f>
        <v>731.71</v>
      </c>
      <c r="K4850" s="1156">
        <f>ROUND(G4850*J4850,2)</f>
        <v>4939.04</v>
      </c>
      <c r="L4850" s="1180"/>
      <c r="T4850" s="710"/>
    </row>
    <row r="4851" spans="1:20" s="709" customFormat="1">
      <c r="B4851" s="709" t="s">
        <v>8</v>
      </c>
      <c r="E4851" s="1146"/>
      <c r="F4851" s="1146"/>
      <c r="G4851" s="1154">
        <f>G4833</f>
        <v>4.13</v>
      </c>
      <c r="H4851" s="1179" t="s">
        <v>91</v>
      </c>
      <c r="I4851" s="1155" t="s">
        <v>91</v>
      </c>
      <c r="J4851" s="1156">
        <f>K48</f>
        <v>247.87</v>
      </c>
      <c r="K4851" s="1156">
        <f>ROUND(G4851*J4851,2)</f>
        <v>1023.7</v>
      </c>
      <c r="L4851" s="1180"/>
      <c r="T4851" s="710"/>
    </row>
    <row r="4852" spans="1:20" s="709" customFormat="1">
      <c r="E4852" s="1146"/>
      <c r="F4852" s="1146"/>
      <c r="H4852" s="1179"/>
      <c r="I4852" s="1155"/>
      <c r="J4852" s="1153" t="s">
        <v>718</v>
      </c>
      <c r="K4852" s="1159">
        <f>SUM(K4847:K4851)</f>
        <v>9688.8700000000008</v>
      </c>
      <c r="L4852" s="1180"/>
      <c r="T4852" s="710"/>
    </row>
    <row r="4853" spans="1:20" s="710" customFormat="1">
      <c r="B4853" s="710" t="s">
        <v>837</v>
      </c>
      <c r="E4853" s="1145"/>
      <c r="F4853" s="1145"/>
      <c r="H4853" s="1180"/>
      <c r="I4853" s="1153"/>
      <c r="J4853" s="1153"/>
      <c r="K4853" s="1159">
        <f>K4845+K4852</f>
        <v>62819.670000000006</v>
      </c>
      <c r="L4853" s="1180"/>
      <c r="M4853" s="709"/>
    </row>
    <row r="4854" spans="1:20" s="710" customFormat="1">
      <c r="B4854" s="710" t="s">
        <v>1498</v>
      </c>
      <c r="E4854" s="1145"/>
      <c r="F4854" s="1145"/>
      <c r="H4854" s="1180"/>
      <c r="I4854" s="1153"/>
      <c r="J4854" s="1153"/>
      <c r="K4854" s="1159">
        <f>ROUND(K4853/15,2)</f>
        <v>4187.9799999999996</v>
      </c>
      <c r="L4854" s="1180"/>
      <c r="M4854" s="709"/>
    </row>
    <row r="4855" spans="1:20" s="716" customFormat="1">
      <c r="A4855" s="1151"/>
      <c r="B4855" s="1053" t="s">
        <v>1499</v>
      </c>
      <c r="C4855" s="1053"/>
      <c r="D4855" s="1053"/>
      <c r="E4855" s="1142"/>
      <c r="F4855" s="1142"/>
      <c r="G4855" s="1053"/>
      <c r="H4855" s="1059"/>
      <c r="I4855" s="1144"/>
      <c r="J4855" s="1053"/>
      <c r="K4855" s="1052">
        <f>ROUND(K4854*4%,2)</f>
        <v>167.52</v>
      </c>
      <c r="L4855" s="1059"/>
      <c r="M4855" s="1059"/>
    </row>
    <row r="4856" spans="1:20" s="716" customFormat="1">
      <c r="A4856" s="1151"/>
      <c r="B4856" s="1053"/>
      <c r="C4856" s="1053"/>
      <c r="D4856" s="1053"/>
      <c r="E4856" s="1142"/>
      <c r="F4856" s="1142"/>
      <c r="G4856" s="1053"/>
      <c r="H4856" s="1059"/>
      <c r="I4856" s="1144"/>
      <c r="J4856" s="1153" t="s">
        <v>718</v>
      </c>
      <c r="K4856" s="1052">
        <f>SUM(K4854:K4855)</f>
        <v>4355.5</v>
      </c>
      <c r="L4856" s="1059" t="s">
        <v>721</v>
      </c>
      <c r="M4856" s="1059"/>
    </row>
    <row r="4857" spans="1:20" s="714" customFormat="1" ht="50.25" customHeight="1">
      <c r="A4857" s="1138">
        <f>A868</f>
        <v>174</v>
      </c>
      <c r="B4857" s="3400" t="str">
        <f>B868</f>
        <v>P.C.C.M-20 Grade using 40mm to 10mm size crushed stone aggregates mixed by concrete mixer, laying in layers and compacting by vibrator &amp; all leads and lifts including frame works etc complete.</v>
      </c>
      <c r="C4857" s="3400"/>
      <c r="D4857" s="3400"/>
      <c r="E4857" s="1135" t="s">
        <v>381</v>
      </c>
      <c r="F4857" s="1135"/>
      <c r="G4857" s="1055"/>
      <c r="H4857" s="1136"/>
      <c r="I4857" s="1137"/>
      <c r="J4857" s="1055"/>
      <c r="K4857" s="1055"/>
      <c r="L4857" s="1059"/>
      <c r="T4857" s="716"/>
    </row>
    <row r="4858" spans="1:20" s="709" customFormat="1">
      <c r="B4858" s="710" t="s">
        <v>828</v>
      </c>
      <c r="E4858" s="1146"/>
      <c r="F4858" s="1146"/>
      <c r="H4858" s="1179"/>
      <c r="I4858" s="1155"/>
      <c r="L4858" s="1180"/>
      <c r="T4858" s="710"/>
    </row>
    <row r="4859" spans="1:20" s="709" customFormat="1">
      <c r="B4859" s="710" t="s">
        <v>829</v>
      </c>
      <c r="C4859" s="710"/>
      <c r="E4859" s="1146"/>
      <c r="F4859" s="1146"/>
      <c r="H4859" s="1179"/>
      <c r="I4859" s="1155"/>
      <c r="L4859" s="1180"/>
      <c r="T4859" s="710"/>
    </row>
    <row r="4860" spans="1:20" s="709" customFormat="1">
      <c r="B4860" s="709" t="s">
        <v>1496</v>
      </c>
      <c r="C4860" s="710"/>
      <c r="E4860" s="1146"/>
      <c r="F4860" s="1146"/>
      <c r="G4860" s="1154">
        <v>5.4</v>
      </c>
      <c r="H4860" s="1179" t="s">
        <v>49</v>
      </c>
      <c r="I4860" s="1155" t="s">
        <v>49</v>
      </c>
      <c r="J4860" s="1156">
        <f>G8</f>
        <v>1045.01</v>
      </c>
      <c r="K4860" s="1156">
        <f>ROUND(G4860*J4860,2)</f>
        <v>5643.05</v>
      </c>
      <c r="L4860" s="1180"/>
      <c r="T4860" s="710"/>
    </row>
    <row r="4861" spans="1:20" s="709" customFormat="1">
      <c r="B4861" s="709" t="s">
        <v>830</v>
      </c>
      <c r="E4861" s="1146"/>
      <c r="F4861" s="1146"/>
      <c r="G4861" s="1154">
        <v>5.4</v>
      </c>
      <c r="H4861" s="1179" t="s">
        <v>49</v>
      </c>
      <c r="I4861" s="1155" t="s">
        <v>49</v>
      </c>
      <c r="J4861" s="1156">
        <f>G11</f>
        <v>1451.3999999999999</v>
      </c>
      <c r="K4861" s="1156">
        <f>ROUND(G4861*J4861,2)</f>
        <v>7837.56</v>
      </c>
      <c r="L4861" s="1180"/>
      <c r="T4861" s="710"/>
    </row>
    <row r="4862" spans="1:20" s="709" customFormat="1">
      <c r="B4862" s="709" t="s">
        <v>831</v>
      </c>
      <c r="E4862" s="1146"/>
      <c r="F4862" s="1146"/>
      <c r="G4862" s="1154">
        <v>2.7</v>
      </c>
      <c r="H4862" s="1179" t="s">
        <v>49</v>
      </c>
      <c r="I4862" s="1155" t="s">
        <v>49</v>
      </c>
      <c r="J4862" s="1156">
        <f>G14</f>
        <v>1472.1</v>
      </c>
      <c r="K4862" s="1156">
        <f>ROUND(G4862*J4862,2)</f>
        <v>3974.67</v>
      </c>
      <c r="L4862" s="1180"/>
      <c r="T4862" s="710"/>
    </row>
    <row r="4863" spans="1:20" s="709" customFormat="1">
      <c r="B4863" s="709" t="s">
        <v>832</v>
      </c>
      <c r="E4863" s="1146"/>
      <c r="F4863" s="1146"/>
      <c r="G4863" s="1154">
        <v>6.75</v>
      </c>
      <c r="H4863" s="1179" t="s">
        <v>49</v>
      </c>
      <c r="I4863" s="1155" t="s">
        <v>49</v>
      </c>
      <c r="J4863" s="1156">
        <f>G44</f>
        <v>80.72</v>
      </c>
      <c r="K4863" s="1156">
        <f>ROUND(G4863*J4863,2)</f>
        <v>544.86</v>
      </c>
      <c r="L4863" s="1180"/>
      <c r="T4863" s="710"/>
    </row>
    <row r="4864" spans="1:20" s="709" customFormat="1">
      <c r="B4864" s="709" t="s">
        <v>8</v>
      </c>
      <c r="E4864" s="1146"/>
      <c r="F4864" s="1146"/>
      <c r="G4864" s="1154">
        <v>5.16</v>
      </c>
      <c r="H4864" s="1179" t="s">
        <v>91</v>
      </c>
      <c r="I4864" s="1155" t="s">
        <v>91</v>
      </c>
      <c r="J4864" s="1156">
        <f>G48</f>
        <v>6400</v>
      </c>
      <c r="K4864" s="1156">
        <f>ROUND(G4864*J4864,2)</f>
        <v>33024</v>
      </c>
      <c r="L4864" s="1180"/>
      <c r="T4864" s="710"/>
    </row>
    <row r="4865" spans="2:20" s="709" customFormat="1">
      <c r="E4865" s="1146"/>
      <c r="F4865" s="1146"/>
      <c r="H4865" s="1179"/>
      <c r="I4865" s="1155"/>
      <c r="J4865" s="1153" t="s">
        <v>718</v>
      </c>
      <c r="K4865" s="1159">
        <f>SUM(K4860:K4864)</f>
        <v>51024.14</v>
      </c>
      <c r="L4865" s="1180"/>
      <c r="T4865" s="710"/>
    </row>
    <row r="4866" spans="2:20" s="709" customFormat="1">
      <c r="B4866" s="710" t="s">
        <v>816</v>
      </c>
      <c r="C4866" s="710"/>
      <c r="E4866" s="1146"/>
      <c r="F4866" s="1146"/>
      <c r="H4866" s="1179"/>
      <c r="I4866" s="1155"/>
      <c r="J4866" s="1153"/>
      <c r="K4866" s="1159"/>
      <c r="L4866" s="1180"/>
      <c r="T4866" s="710"/>
    </row>
    <row r="4867" spans="2:20" s="709" customFormat="1">
      <c r="B4867" s="709" t="s">
        <v>744</v>
      </c>
      <c r="E4867" s="1146"/>
      <c r="F4867" s="1146"/>
      <c r="G4867" s="1154">
        <v>0.86</v>
      </c>
      <c r="H4867" s="1179" t="s">
        <v>262</v>
      </c>
      <c r="I4867" s="1155" t="s">
        <v>315</v>
      </c>
      <c r="J4867" s="1181">
        <f>L130</f>
        <v>244.3</v>
      </c>
      <c r="K4867" s="1156">
        <f>ROUND(G4867*J4867,2)</f>
        <v>210.1</v>
      </c>
      <c r="L4867" s="1180"/>
      <c r="T4867" s="710"/>
    </row>
    <row r="4868" spans="2:20" s="709" customFormat="1">
      <c r="B4868" s="709" t="s">
        <v>818</v>
      </c>
      <c r="E4868" s="1146"/>
      <c r="F4868" s="1146"/>
      <c r="G4868" s="1154">
        <v>1.5</v>
      </c>
      <c r="H4868" s="1179" t="s">
        <v>262</v>
      </c>
      <c r="I4868" s="1155" t="s">
        <v>315</v>
      </c>
      <c r="J4868" s="1181">
        <f>L131</f>
        <v>264.3</v>
      </c>
      <c r="K4868" s="1156">
        <f>ROUND(G4868*J4868,2)</f>
        <v>396.45</v>
      </c>
      <c r="L4868" s="1180"/>
      <c r="T4868" s="710"/>
    </row>
    <row r="4869" spans="2:20" s="709" customFormat="1">
      <c r="B4869" s="709" t="s">
        <v>717</v>
      </c>
      <c r="E4869" s="1146"/>
      <c r="F4869" s="1146"/>
      <c r="G4869" s="1154">
        <v>20</v>
      </c>
      <c r="H4869" s="1179" t="s">
        <v>262</v>
      </c>
      <c r="I4869" s="1155" t="s">
        <v>315</v>
      </c>
      <c r="J4869" s="1181">
        <f>L129</f>
        <v>182</v>
      </c>
      <c r="K4869" s="1156">
        <f>ROUND(G4869*J4869,2)</f>
        <v>3640</v>
      </c>
      <c r="L4869" s="1180"/>
      <c r="T4869" s="710"/>
    </row>
    <row r="4870" spans="2:20" s="709" customFormat="1">
      <c r="E4870" s="1146"/>
      <c r="F4870" s="1146"/>
      <c r="G4870" s="1154"/>
      <c r="H4870" s="1179"/>
      <c r="I4870" s="1155"/>
      <c r="J4870" s="1153" t="s">
        <v>718</v>
      </c>
      <c r="K4870" s="1159">
        <f>SUM(K4867:K4869)</f>
        <v>4246.55</v>
      </c>
      <c r="L4870" s="1180"/>
      <c r="T4870" s="710"/>
    </row>
    <row r="4871" spans="2:20" s="709" customFormat="1">
      <c r="B4871" s="710" t="s">
        <v>833</v>
      </c>
      <c r="C4871" s="710"/>
      <c r="E4871" s="1146"/>
      <c r="F4871" s="1146"/>
      <c r="G4871" s="1154"/>
      <c r="H4871" s="1179"/>
      <c r="I4871" s="1155"/>
      <c r="J4871" s="1156"/>
      <c r="K4871" s="1159"/>
      <c r="L4871" s="1180"/>
      <c r="T4871" s="710"/>
    </row>
    <row r="4872" spans="2:20" s="709" customFormat="1">
      <c r="B4872" s="1055" t="s">
        <v>311</v>
      </c>
      <c r="E4872" s="1146"/>
      <c r="F4872" s="1146"/>
      <c r="G4872" s="1154">
        <v>6</v>
      </c>
      <c r="H4872" s="1179" t="s">
        <v>312</v>
      </c>
      <c r="I4872" s="1155" t="s">
        <v>312</v>
      </c>
      <c r="J4872" s="1156">
        <f>M207</f>
        <v>229.55</v>
      </c>
      <c r="K4872" s="1156">
        <f>ROUND(G4872*J4872,2)</f>
        <v>1377.3</v>
      </c>
      <c r="L4872" s="1180"/>
      <c r="T4872" s="710"/>
    </row>
    <row r="4873" spans="2:20" s="709" customFormat="1">
      <c r="B4873" s="1055" t="s">
        <v>313</v>
      </c>
      <c r="E4873" s="1146"/>
      <c r="F4873" s="1146"/>
      <c r="G4873" s="1154">
        <v>6</v>
      </c>
      <c r="H4873" s="1179" t="s">
        <v>312</v>
      </c>
      <c r="I4873" s="1155" t="s">
        <v>312</v>
      </c>
      <c r="J4873" s="1156">
        <f>M194</f>
        <v>700</v>
      </c>
      <c r="K4873" s="1156">
        <f>ROUND(G4873*J4873,2)</f>
        <v>4200</v>
      </c>
      <c r="L4873" s="1180"/>
      <c r="T4873" s="710"/>
    </row>
    <row r="4874" spans="2:20" s="709" customFormat="1">
      <c r="E4874" s="1146"/>
      <c r="F4874" s="1146"/>
      <c r="G4874" s="1154"/>
      <c r="H4874" s="1179"/>
      <c r="I4874" s="1155"/>
      <c r="J4874" s="1153" t="s">
        <v>718</v>
      </c>
      <c r="K4874" s="1159">
        <f>K4873+K4872</f>
        <v>5577.3</v>
      </c>
      <c r="L4874" s="1180"/>
      <c r="T4874" s="710"/>
    </row>
    <row r="4875" spans="2:20" s="709" customFormat="1">
      <c r="B4875" s="710"/>
      <c r="C4875" s="710"/>
      <c r="E4875" s="1146"/>
      <c r="F4875" s="1146"/>
      <c r="H4875" s="1179"/>
      <c r="I4875" s="1155"/>
      <c r="K4875" s="1159"/>
      <c r="L4875" s="1180"/>
      <c r="T4875" s="710"/>
    </row>
    <row r="4876" spans="2:20" s="709" customFormat="1">
      <c r="B4876" s="709" t="s">
        <v>835</v>
      </c>
      <c r="E4876" s="1146"/>
      <c r="F4876" s="1146"/>
      <c r="H4876" s="1179"/>
      <c r="I4876" s="1155"/>
      <c r="J4876" s="1153"/>
      <c r="K4876" s="1159">
        <f>K4865+K4870+K4874+K4875</f>
        <v>60847.990000000005</v>
      </c>
      <c r="L4876" s="1180"/>
      <c r="T4876" s="710"/>
    </row>
    <row r="4877" spans="2:20" s="709" customFormat="1">
      <c r="B4877" s="710" t="s">
        <v>1500</v>
      </c>
      <c r="C4877" s="710"/>
      <c r="E4877" s="1146"/>
      <c r="F4877" s="1146"/>
      <c r="H4877" s="1179"/>
      <c r="I4877" s="1155"/>
      <c r="K4877" s="1156"/>
      <c r="L4877" s="1180"/>
      <c r="T4877" s="710"/>
    </row>
    <row r="4878" spans="2:20" s="709" customFormat="1">
      <c r="B4878" s="709" t="s">
        <v>1496</v>
      </c>
      <c r="C4878" s="710"/>
      <c r="E4878" s="1146"/>
      <c r="F4878" s="1146"/>
      <c r="G4878" s="1154">
        <f>G4860</f>
        <v>5.4</v>
      </c>
      <c r="H4878" s="1179" t="s">
        <v>49</v>
      </c>
      <c r="I4878" s="1155" t="s">
        <v>49</v>
      </c>
      <c r="J4878" s="1156">
        <f>K8</f>
        <v>276.01</v>
      </c>
      <c r="K4878" s="1156">
        <f>ROUND(G4878*J4878,2)</f>
        <v>1490.45</v>
      </c>
      <c r="L4878" s="1180"/>
      <c r="T4878" s="710"/>
    </row>
    <row r="4879" spans="2:20" s="709" customFormat="1">
      <c r="B4879" s="709" t="s">
        <v>830</v>
      </c>
      <c r="E4879" s="1146"/>
      <c r="F4879" s="1146"/>
      <c r="G4879" s="1154">
        <f>G4861</f>
        <v>5.4</v>
      </c>
      <c r="H4879" s="1179" t="s">
        <v>49</v>
      </c>
      <c r="I4879" s="1155" t="s">
        <v>49</v>
      </c>
      <c r="J4879" s="1156">
        <f>K11</f>
        <v>276.01</v>
      </c>
      <c r="K4879" s="1156">
        <f>ROUND(G4879*J4879,2)</f>
        <v>1490.45</v>
      </c>
      <c r="L4879" s="1180"/>
      <c r="T4879" s="710"/>
    </row>
    <row r="4880" spans="2:20" s="709" customFormat="1">
      <c r="B4880" s="709" t="s">
        <v>831</v>
      </c>
      <c r="E4880" s="1146"/>
      <c r="F4880" s="1146"/>
      <c r="G4880" s="1154">
        <f>G4862</f>
        <v>2.7</v>
      </c>
      <c r="H4880" s="1179" t="s">
        <v>49</v>
      </c>
      <c r="I4880" s="1155" t="s">
        <v>49</v>
      </c>
      <c r="J4880" s="1156">
        <f>K14</f>
        <v>276.01</v>
      </c>
      <c r="K4880" s="1156">
        <f>ROUND(G4880*J4880,2)</f>
        <v>745.23</v>
      </c>
      <c r="L4880" s="1180"/>
      <c r="T4880" s="710"/>
    </row>
    <row r="4881" spans="1:20" s="709" customFormat="1">
      <c r="B4881" s="709" t="s">
        <v>832</v>
      </c>
      <c r="E4881" s="1146"/>
      <c r="F4881" s="1146"/>
      <c r="G4881" s="1154">
        <f>G4863</f>
        <v>6.75</v>
      </c>
      <c r="H4881" s="1179" t="s">
        <v>49</v>
      </c>
      <c r="I4881" s="1155" t="s">
        <v>49</v>
      </c>
      <c r="J4881" s="1156">
        <f>K44</f>
        <v>731.71</v>
      </c>
      <c r="K4881" s="1156">
        <f>ROUND(G4881*J4881,2)</f>
        <v>4939.04</v>
      </c>
      <c r="L4881" s="1180"/>
      <c r="T4881" s="710"/>
    </row>
    <row r="4882" spans="1:20" s="709" customFormat="1">
      <c r="B4882" s="709" t="s">
        <v>8</v>
      </c>
      <c r="E4882" s="1146"/>
      <c r="F4882" s="1146"/>
      <c r="G4882" s="1154">
        <f>G4864</f>
        <v>5.16</v>
      </c>
      <c r="H4882" s="1179" t="s">
        <v>91</v>
      </c>
      <c r="I4882" s="1155" t="s">
        <v>91</v>
      </c>
      <c r="J4882" s="1156">
        <f>K48</f>
        <v>247.87</v>
      </c>
      <c r="K4882" s="1156">
        <f>ROUND(G4882*J4882,2)</f>
        <v>1279.01</v>
      </c>
      <c r="L4882" s="1180"/>
      <c r="T4882" s="710"/>
    </row>
    <row r="4883" spans="1:20" s="709" customFormat="1">
      <c r="E4883" s="1146"/>
      <c r="F4883" s="1146"/>
      <c r="H4883" s="1179"/>
      <c r="I4883" s="1155"/>
      <c r="J4883" s="1153" t="s">
        <v>718</v>
      </c>
      <c r="K4883" s="1159">
        <f>SUM(K4878:K4882)</f>
        <v>9944.18</v>
      </c>
      <c r="L4883" s="1180"/>
      <c r="T4883" s="710"/>
    </row>
    <row r="4884" spans="1:20" s="710" customFormat="1">
      <c r="B4884" s="710" t="s">
        <v>837</v>
      </c>
      <c r="E4884" s="1145"/>
      <c r="F4884" s="1145"/>
      <c r="H4884" s="1180"/>
      <c r="I4884" s="1153"/>
      <c r="J4884" s="1153"/>
      <c r="K4884" s="1159">
        <f>K4876+K4883</f>
        <v>70792.170000000013</v>
      </c>
      <c r="L4884" s="1180"/>
      <c r="M4884" s="709"/>
    </row>
    <row r="4885" spans="1:20" s="710" customFormat="1">
      <c r="B4885" s="710" t="s">
        <v>1498</v>
      </c>
      <c r="E4885" s="1145"/>
      <c r="F4885" s="1145"/>
      <c r="H4885" s="1180"/>
      <c r="I4885" s="1153"/>
      <c r="J4885" s="1153"/>
      <c r="K4885" s="1159">
        <f>ROUND(K4884/15,2)</f>
        <v>4719.4799999999996</v>
      </c>
      <c r="L4885" s="1180"/>
      <c r="M4885" s="709"/>
    </row>
    <row r="4886" spans="1:20" s="716" customFormat="1">
      <c r="A4886" s="1151"/>
      <c r="B4886" s="1053" t="s">
        <v>1499</v>
      </c>
      <c r="C4886" s="1053"/>
      <c r="D4886" s="1053"/>
      <c r="E4886" s="1142"/>
      <c r="F4886" s="1142"/>
      <c r="G4886" s="1053"/>
      <c r="H4886" s="1059"/>
      <c r="I4886" s="1144"/>
      <c r="J4886" s="1053"/>
      <c r="K4886" s="1052">
        <f>ROUND(K4885*4%,2)</f>
        <v>188.78</v>
      </c>
      <c r="L4886" s="1059"/>
      <c r="M4886" s="1059"/>
    </row>
    <row r="4887" spans="1:20" s="716" customFormat="1">
      <c r="A4887" s="1151"/>
      <c r="B4887" s="1053"/>
      <c r="C4887" s="1053"/>
      <c r="D4887" s="1053"/>
      <c r="E4887" s="1142"/>
      <c r="F4887" s="1142"/>
      <c r="G4887" s="1053"/>
      <c r="H4887" s="1059"/>
      <c r="I4887" s="1144"/>
      <c r="J4887" s="1153" t="s">
        <v>718</v>
      </c>
      <c r="K4887" s="1052">
        <f>SUM(K4885:K4886)</f>
        <v>4908.2599999999993</v>
      </c>
      <c r="L4887" s="1059" t="s">
        <v>721</v>
      </c>
      <c r="M4887" s="1059"/>
    </row>
    <row r="4888" spans="1:20" s="714" customFormat="1" ht="50.25" customHeight="1">
      <c r="A4888" s="1138">
        <f>A869</f>
        <v>175</v>
      </c>
      <c r="B4888" s="3400" t="str">
        <f>B869</f>
        <v>P.C.C.M-25 Grade using 40mm to 10mm size crushed stone aggregates mixed by concrete mixer, laying in layers and compacting by vibrator &amp; all leads and lifts including frame works etc complete.</v>
      </c>
      <c r="C4888" s="3400"/>
      <c r="D4888" s="3400"/>
      <c r="E4888" s="1135" t="s">
        <v>381</v>
      </c>
      <c r="F4888" s="1135"/>
      <c r="G4888" s="1055"/>
      <c r="H4888" s="1136"/>
      <c r="I4888" s="1137"/>
      <c r="J4888" s="1055"/>
      <c r="K4888" s="1055"/>
      <c r="L4888" s="1059"/>
      <c r="T4888" s="716"/>
    </row>
    <row r="4889" spans="1:20" s="709" customFormat="1">
      <c r="B4889" s="710" t="s">
        <v>828</v>
      </c>
      <c r="E4889" s="1146"/>
      <c r="F4889" s="1146"/>
      <c r="H4889" s="1179"/>
      <c r="I4889" s="1155"/>
      <c r="L4889" s="1180"/>
      <c r="T4889" s="710"/>
    </row>
    <row r="4890" spans="1:20" s="709" customFormat="1">
      <c r="B4890" s="710" t="s">
        <v>829</v>
      </c>
      <c r="C4890" s="710"/>
      <c r="E4890" s="1146"/>
      <c r="F4890" s="1146"/>
      <c r="H4890" s="1179"/>
      <c r="I4890" s="1155"/>
      <c r="L4890" s="1180"/>
      <c r="T4890" s="710"/>
    </row>
    <row r="4891" spans="1:20" s="709" customFormat="1">
      <c r="B4891" s="709" t="s">
        <v>830</v>
      </c>
      <c r="E4891" s="1146"/>
      <c r="F4891" s="1146"/>
      <c r="G4891" s="1154">
        <v>8.1</v>
      </c>
      <c r="H4891" s="1179" t="s">
        <v>49</v>
      </c>
      <c r="I4891" s="1155" t="s">
        <v>49</v>
      </c>
      <c r="J4891" s="1156">
        <f>G11</f>
        <v>1451.3999999999999</v>
      </c>
      <c r="K4891" s="1156">
        <f>ROUND(G4891*J4891,2)</f>
        <v>11756.34</v>
      </c>
      <c r="L4891" s="1180"/>
      <c r="T4891" s="710"/>
    </row>
    <row r="4892" spans="1:20" s="709" customFormat="1">
      <c r="B4892" s="709" t="s">
        <v>831</v>
      </c>
      <c r="E4892" s="1146"/>
      <c r="F4892" s="1146"/>
      <c r="G4892" s="1154">
        <v>5.4</v>
      </c>
      <c r="H4892" s="1179" t="s">
        <v>49</v>
      </c>
      <c r="I4892" s="1155" t="s">
        <v>49</v>
      </c>
      <c r="J4892" s="1156">
        <f>G14</f>
        <v>1472.1</v>
      </c>
      <c r="K4892" s="1156">
        <f>ROUND(G4892*J4892,2)</f>
        <v>7949.34</v>
      </c>
      <c r="L4892" s="1180"/>
      <c r="T4892" s="710"/>
    </row>
    <row r="4893" spans="1:20" s="709" customFormat="1">
      <c r="B4893" s="709" t="s">
        <v>832</v>
      </c>
      <c r="E4893" s="1146"/>
      <c r="F4893" s="1146"/>
      <c r="G4893" s="1154">
        <v>6.75</v>
      </c>
      <c r="H4893" s="1179" t="s">
        <v>49</v>
      </c>
      <c r="I4893" s="1155" t="s">
        <v>49</v>
      </c>
      <c r="J4893" s="1156">
        <f>G44</f>
        <v>80.72</v>
      </c>
      <c r="K4893" s="1156">
        <f>ROUND(G4893*J4893,2)</f>
        <v>544.86</v>
      </c>
      <c r="L4893" s="1180"/>
      <c r="T4893" s="710"/>
    </row>
    <row r="4894" spans="1:20" s="709" customFormat="1">
      <c r="B4894" s="709" t="s">
        <v>8</v>
      </c>
      <c r="E4894" s="1146"/>
      <c r="F4894" s="1146"/>
      <c r="G4894" s="1154">
        <v>6.05</v>
      </c>
      <c r="H4894" s="1179" t="s">
        <v>91</v>
      </c>
      <c r="I4894" s="1155" t="s">
        <v>91</v>
      </c>
      <c r="J4894" s="1156">
        <f>G48</f>
        <v>6400</v>
      </c>
      <c r="K4894" s="1156">
        <f>ROUND(G4894*J4894,2)</f>
        <v>38720</v>
      </c>
      <c r="L4894" s="1180"/>
      <c r="T4894" s="710"/>
    </row>
    <row r="4895" spans="1:20" s="709" customFormat="1">
      <c r="E4895" s="1146"/>
      <c r="F4895" s="1146"/>
      <c r="H4895" s="1179"/>
      <c r="I4895" s="1155"/>
      <c r="J4895" s="1153" t="s">
        <v>718</v>
      </c>
      <c r="K4895" s="1159">
        <f>SUM(K4891:K4894)</f>
        <v>58970.54</v>
      </c>
      <c r="L4895" s="1180"/>
      <c r="T4895" s="710"/>
    </row>
    <row r="4896" spans="1:20" s="709" customFormat="1">
      <c r="B4896" s="710" t="s">
        <v>816</v>
      </c>
      <c r="C4896" s="710"/>
      <c r="E4896" s="1146"/>
      <c r="F4896" s="1146"/>
      <c r="H4896" s="1179"/>
      <c r="I4896" s="1155"/>
      <c r="J4896" s="1153"/>
      <c r="K4896" s="1159"/>
      <c r="L4896" s="1180"/>
      <c r="T4896" s="710"/>
    </row>
    <row r="4897" spans="2:20" s="709" customFormat="1">
      <c r="B4897" s="709" t="s">
        <v>744</v>
      </c>
      <c r="E4897" s="1146"/>
      <c r="F4897" s="1146"/>
      <c r="G4897" s="1154">
        <v>0.86</v>
      </c>
      <c r="H4897" s="1179" t="s">
        <v>262</v>
      </c>
      <c r="I4897" s="1155" t="s">
        <v>315</v>
      </c>
      <c r="J4897" s="1181">
        <f>L130</f>
        <v>244.3</v>
      </c>
      <c r="K4897" s="1156">
        <f>ROUND(G4897*J4897,2)</f>
        <v>210.1</v>
      </c>
      <c r="L4897" s="1180"/>
      <c r="T4897" s="710"/>
    </row>
    <row r="4898" spans="2:20" s="709" customFormat="1">
      <c r="B4898" s="709" t="s">
        <v>818</v>
      </c>
      <c r="E4898" s="1146"/>
      <c r="F4898" s="1146"/>
      <c r="G4898" s="1154">
        <v>1.5</v>
      </c>
      <c r="H4898" s="1179" t="s">
        <v>262</v>
      </c>
      <c r="I4898" s="1155" t="s">
        <v>315</v>
      </c>
      <c r="J4898" s="1181">
        <f>L131</f>
        <v>264.3</v>
      </c>
      <c r="K4898" s="1156">
        <f>ROUND(G4898*J4898,2)</f>
        <v>396.45</v>
      </c>
      <c r="L4898" s="1180"/>
      <c r="T4898" s="710"/>
    </row>
    <row r="4899" spans="2:20" s="709" customFormat="1">
      <c r="B4899" s="709" t="s">
        <v>717</v>
      </c>
      <c r="E4899" s="1146"/>
      <c r="F4899" s="1146"/>
      <c r="G4899" s="1154">
        <v>20</v>
      </c>
      <c r="H4899" s="1179" t="s">
        <v>262</v>
      </c>
      <c r="I4899" s="1155" t="s">
        <v>315</v>
      </c>
      <c r="J4899" s="1181">
        <f>L129</f>
        <v>182</v>
      </c>
      <c r="K4899" s="1156">
        <f>ROUND(G4899*J4899,2)</f>
        <v>3640</v>
      </c>
      <c r="L4899" s="1180"/>
      <c r="T4899" s="710"/>
    </row>
    <row r="4900" spans="2:20" s="709" customFormat="1">
      <c r="E4900" s="1146"/>
      <c r="F4900" s="1146"/>
      <c r="G4900" s="1154"/>
      <c r="H4900" s="1179"/>
      <c r="I4900" s="1155"/>
      <c r="J4900" s="1153" t="s">
        <v>718</v>
      </c>
      <c r="K4900" s="1159">
        <f>SUM(K4897:K4899)</f>
        <v>4246.55</v>
      </c>
      <c r="L4900" s="1180"/>
      <c r="T4900" s="710"/>
    </row>
    <row r="4901" spans="2:20" s="709" customFormat="1">
      <c r="B4901" s="710" t="s">
        <v>833</v>
      </c>
      <c r="C4901" s="710"/>
      <c r="E4901" s="1146"/>
      <c r="F4901" s="1146"/>
      <c r="G4901" s="1154"/>
      <c r="H4901" s="1179"/>
      <c r="I4901" s="1155"/>
      <c r="J4901" s="1156"/>
      <c r="K4901" s="1159"/>
      <c r="L4901" s="1180"/>
      <c r="T4901" s="710"/>
    </row>
    <row r="4902" spans="2:20" s="709" customFormat="1">
      <c r="B4902" s="1055" t="s">
        <v>311</v>
      </c>
      <c r="E4902" s="1146"/>
      <c r="F4902" s="1146"/>
      <c r="G4902" s="1154">
        <v>6</v>
      </c>
      <c r="H4902" s="1179" t="s">
        <v>312</v>
      </c>
      <c r="I4902" s="1155" t="s">
        <v>312</v>
      </c>
      <c r="J4902" s="1156">
        <f>M207</f>
        <v>229.55</v>
      </c>
      <c r="K4902" s="1156">
        <f>ROUND(G4902*J4902,2)</f>
        <v>1377.3</v>
      </c>
      <c r="L4902" s="1180"/>
      <c r="T4902" s="710"/>
    </row>
    <row r="4903" spans="2:20" s="709" customFormat="1">
      <c r="B4903" s="1055" t="s">
        <v>313</v>
      </c>
      <c r="E4903" s="1146"/>
      <c r="F4903" s="1146"/>
      <c r="G4903" s="1154">
        <v>6</v>
      </c>
      <c r="H4903" s="1179" t="s">
        <v>312</v>
      </c>
      <c r="I4903" s="1155" t="s">
        <v>312</v>
      </c>
      <c r="J4903" s="1156">
        <f>M194</f>
        <v>700</v>
      </c>
      <c r="K4903" s="1156">
        <f>ROUND(G4903*J4903,2)</f>
        <v>4200</v>
      </c>
      <c r="L4903" s="1180"/>
      <c r="T4903" s="710"/>
    </row>
    <row r="4904" spans="2:20" s="709" customFormat="1">
      <c r="E4904" s="1146"/>
      <c r="F4904" s="1146"/>
      <c r="G4904" s="1154"/>
      <c r="H4904" s="1179"/>
      <c r="I4904" s="1155"/>
      <c r="J4904" s="1153" t="s">
        <v>718</v>
      </c>
      <c r="K4904" s="1159">
        <f>K4903+K4902</f>
        <v>5577.3</v>
      </c>
      <c r="L4904" s="1180"/>
      <c r="T4904" s="710"/>
    </row>
    <row r="4905" spans="2:20" s="709" customFormat="1">
      <c r="B4905" s="710"/>
      <c r="C4905" s="710"/>
      <c r="E4905" s="1146"/>
      <c r="F4905" s="1146"/>
      <c r="H4905" s="1179"/>
      <c r="I4905" s="1155"/>
      <c r="K4905" s="1159"/>
      <c r="L4905" s="1180"/>
      <c r="T4905" s="710"/>
    </row>
    <row r="4906" spans="2:20" s="709" customFormat="1">
      <c r="B4906" s="710" t="s">
        <v>835</v>
      </c>
      <c r="E4906" s="1146"/>
      <c r="F4906" s="1146"/>
      <c r="H4906" s="1179"/>
      <c r="I4906" s="1155"/>
      <c r="J4906" s="1153"/>
      <c r="K4906" s="1159">
        <f>K4895+K4900+K4904+K4905</f>
        <v>68794.39</v>
      </c>
      <c r="L4906" s="1180"/>
      <c r="T4906" s="710"/>
    </row>
    <row r="4907" spans="2:20" s="709" customFormat="1">
      <c r="B4907" s="710" t="s">
        <v>1500</v>
      </c>
      <c r="C4907" s="710"/>
      <c r="E4907" s="1146"/>
      <c r="F4907" s="1146"/>
      <c r="H4907" s="1179"/>
      <c r="I4907" s="1155"/>
      <c r="K4907" s="1156"/>
      <c r="L4907" s="1180"/>
      <c r="T4907" s="710"/>
    </row>
    <row r="4908" spans="2:20" s="709" customFormat="1">
      <c r="B4908" s="709" t="s">
        <v>830</v>
      </c>
      <c r="E4908" s="1146"/>
      <c r="F4908" s="1146"/>
      <c r="G4908" s="1154">
        <f>G4891</f>
        <v>8.1</v>
      </c>
      <c r="H4908" s="1179" t="s">
        <v>49</v>
      </c>
      <c r="I4908" s="1155" t="s">
        <v>49</v>
      </c>
      <c r="J4908" s="1156">
        <f>K11</f>
        <v>276.01</v>
      </c>
      <c r="K4908" s="1156">
        <f>ROUND(G4908*J4908,2)</f>
        <v>2235.6799999999998</v>
      </c>
      <c r="L4908" s="1180"/>
      <c r="T4908" s="710"/>
    </row>
    <row r="4909" spans="2:20" s="709" customFormat="1">
      <c r="B4909" s="709" t="s">
        <v>831</v>
      </c>
      <c r="E4909" s="1146"/>
      <c r="F4909" s="1146"/>
      <c r="G4909" s="1154">
        <f>G4892</f>
        <v>5.4</v>
      </c>
      <c r="H4909" s="1179" t="s">
        <v>49</v>
      </c>
      <c r="I4909" s="1155" t="s">
        <v>49</v>
      </c>
      <c r="J4909" s="1156">
        <f>K14</f>
        <v>276.01</v>
      </c>
      <c r="K4909" s="1156">
        <f>ROUND(G4909*J4909,2)</f>
        <v>1490.45</v>
      </c>
      <c r="L4909" s="1180"/>
      <c r="T4909" s="710"/>
    </row>
    <row r="4910" spans="2:20" s="709" customFormat="1">
      <c r="B4910" s="709" t="s">
        <v>832</v>
      </c>
      <c r="E4910" s="1146"/>
      <c r="F4910" s="1146"/>
      <c r="G4910" s="1154">
        <f>G4893</f>
        <v>6.75</v>
      </c>
      <c r="H4910" s="1179" t="s">
        <v>49</v>
      </c>
      <c r="I4910" s="1155" t="s">
        <v>49</v>
      </c>
      <c r="J4910" s="1156">
        <f>K44</f>
        <v>731.71</v>
      </c>
      <c r="K4910" s="1156">
        <f>ROUND(G4910*J4910,2)</f>
        <v>4939.04</v>
      </c>
      <c r="L4910" s="1180"/>
      <c r="T4910" s="710"/>
    </row>
    <row r="4911" spans="2:20" s="709" customFormat="1">
      <c r="B4911" s="709" t="s">
        <v>8</v>
      </c>
      <c r="E4911" s="1146"/>
      <c r="F4911" s="1146"/>
      <c r="G4911" s="1154">
        <f>G4894</f>
        <v>6.05</v>
      </c>
      <c r="H4911" s="1179" t="s">
        <v>91</v>
      </c>
      <c r="I4911" s="1155" t="s">
        <v>91</v>
      </c>
      <c r="J4911" s="1156">
        <f>K48</f>
        <v>247.87</v>
      </c>
      <c r="K4911" s="1156">
        <f>ROUND(G4911*J4911,2)</f>
        <v>1499.61</v>
      </c>
      <c r="L4911" s="1180"/>
      <c r="T4911" s="710"/>
    </row>
    <row r="4912" spans="2:20" s="709" customFormat="1">
      <c r="E4912" s="1146"/>
      <c r="F4912" s="1146"/>
      <c r="H4912" s="1179"/>
      <c r="I4912" s="1155"/>
      <c r="J4912" s="1153" t="s">
        <v>718</v>
      </c>
      <c r="K4912" s="1159">
        <f>SUM(K4908:K4911)</f>
        <v>10164.780000000001</v>
      </c>
      <c r="L4912" s="1180"/>
      <c r="T4912" s="710"/>
    </row>
    <row r="4913" spans="1:20" s="710" customFormat="1">
      <c r="B4913" s="710" t="s">
        <v>837</v>
      </c>
      <c r="E4913" s="1145"/>
      <c r="F4913" s="1145"/>
      <c r="H4913" s="1180"/>
      <c r="I4913" s="1153"/>
      <c r="J4913" s="1153"/>
      <c r="K4913" s="1159">
        <f>K4906+K4912</f>
        <v>78959.17</v>
      </c>
      <c r="L4913" s="1180"/>
      <c r="M4913" s="709"/>
    </row>
    <row r="4914" spans="1:20" s="710" customFormat="1">
      <c r="B4914" s="710" t="s">
        <v>1498</v>
      </c>
      <c r="E4914" s="1145"/>
      <c r="F4914" s="1145"/>
      <c r="H4914" s="1180"/>
      <c r="I4914" s="1153"/>
      <c r="J4914" s="1153"/>
      <c r="K4914" s="1159">
        <f>ROUND(K4913/15,2)</f>
        <v>5263.94</v>
      </c>
      <c r="L4914" s="1180"/>
      <c r="M4914" s="709"/>
    </row>
    <row r="4915" spans="1:20" s="716" customFormat="1">
      <c r="A4915" s="1151"/>
      <c r="B4915" s="1053" t="s">
        <v>1499</v>
      </c>
      <c r="C4915" s="1053"/>
      <c r="D4915" s="1053"/>
      <c r="E4915" s="1142"/>
      <c r="F4915" s="1142"/>
      <c r="G4915" s="1053"/>
      <c r="H4915" s="1059"/>
      <c r="I4915" s="1144"/>
      <c r="J4915" s="1053"/>
      <c r="K4915" s="1052">
        <f>ROUND(K4914*4%,2)</f>
        <v>210.56</v>
      </c>
      <c r="L4915" s="1059"/>
      <c r="M4915" s="1059"/>
    </row>
    <row r="4916" spans="1:20" s="716" customFormat="1">
      <c r="A4916" s="1151"/>
      <c r="B4916" s="1053"/>
      <c r="C4916" s="1053"/>
      <c r="D4916" s="1053"/>
      <c r="E4916" s="1142"/>
      <c r="F4916" s="1142"/>
      <c r="G4916" s="1053"/>
      <c r="H4916" s="1059"/>
      <c r="I4916" s="1144"/>
      <c r="J4916" s="1153" t="s">
        <v>718</v>
      </c>
      <c r="K4916" s="1052">
        <f>SUM(K4914:K4915)</f>
        <v>5474.5</v>
      </c>
      <c r="L4916" s="1059" t="s">
        <v>721</v>
      </c>
      <c r="M4916" s="1059"/>
    </row>
    <row r="4917" spans="1:20" s="714" customFormat="1" ht="59.25" customHeight="1">
      <c r="A4917" s="1138">
        <f>A870</f>
        <v>176</v>
      </c>
      <c r="B4917" s="3400" t="str">
        <f>B870</f>
        <v>R.C.C. M-20 grade in structure of C.D. work as per approved drawing &amp; technical specifications including all cost of labour and material etc complete as per direction of EIC</v>
      </c>
      <c r="C4917" s="3400"/>
      <c r="D4917" s="3400"/>
      <c r="E4917" s="1135" t="s">
        <v>1501</v>
      </c>
      <c r="F4917" s="1135"/>
      <c r="G4917" s="1055"/>
      <c r="H4917" s="1136"/>
      <c r="I4917" s="1137"/>
      <c r="J4917" s="1055"/>
      <c r="K4917" s="1055"/>
      <c r="L4917" s="1059"/>
      <c r="T4917" s="716"/>
    </row>
    <row r="4918" spans="1:20" s="714" customFormat="1">
      <c r="A4918" s="1138" t="s">
        <v>845</v>
      </c>
      <c r="B4918" s="1053" t="s">
        <v>1502</v>
      </c>
      <c r="C4918" s="1053"/>
      <c r="D4918" s="1055"/>
      <c r="E4918" s="1144"/>
      <c r="F4918" s="1144"/>
      <c r="G4918" s="1055"/>
      <c r="H4918" s="1136"/>
      <c r="I4918" s="1137"/>
      <c r="J4918" s="1055"/>
      <c r="K4918" s="1055"/>
      <c r="L4918" s="1059"/>
      <c r="T4918" s="716"/>
    </row>
    <row r="4919" spans="1:20" s="714" customFormat="1">
      <c r="A4919" s="1148"/>
      <c r="B4919" s="1053" t="s">
        <v>828</v>
      </c>
      <c r="C4919" s="1055"/>
      <c r="D4919" s="1055"/>
      <c r="E4919" s="1137"/>
      <c r="F4919" s="1137"/>
      <c r="G4919" s="1055"/>
      <c r="H4919" s="1136"/>
      <c r="I4919" s="1137"/>
      <c r="J4919" s="1055"/>
      <c r="K4919" s="1055"/>
      <c r="L4919" s="1059"/>
      <c r="T4919" s="716"/>
    </row>
    <row r="4920" spans="1:20" s="714" customFormat="1">
      <c r="A4920" s="1148"/>
      <c r="B4920" s="1053" t="s">
        <v>829</v>
      </c>
      <c r="C4920" s="1053"/>
      <c r="D4920" s="1055"/>
      <c r="E4920" s="1137"/>
      <c r="F4920" s="1137"/>
      <c r="G4920" s="1055"/>
      <c r="H4920" s="1136"/>
      <c r="I4920" s="1137"/>
      <c r="J4920" s="1055"/>
      <c r="K4920" s="1055"/>
      <c r="L4920" s="1059"/>
      <c r="T4920" s="716"/>
    </row>
    <row r="4921" spans="1:20" s="714" customFormat="1">
      <c r="A4921" s="1148"/>
      <c r="B4921" s="1055" t="s">
        <v>830</v>
      </c>
      <c r="C4921" s="1055"/>
      <c r="D4921" s="1055"/>
      <c r="E4921" s="1137"/>
      <c r="F4921" s="1137"/>
      <c r="G4921" s="1140">
        <v>8.1</v>
      </c>
      <c r="H4921" s="1136" t="s">
        <v>49</v>
      </c>
      <c r="I4921" s="1137" t="s">
        <v>49</v>
      </c>
      <c r="J4921" s="1054">
        <f>G11</f>
        <v>1451.3999999999999</v>
      </c>
      <c r="K4921" s="1156">
        <f>ROUND(G4921*J4921,2)</f>
        <v>11756.34</v>
      </c>
      <c r="L4921" s="1059"/>
      <c r="T4921" s="716"/>
    </row>
    <row r="4922" spans="1:20" s="714" customFormat="1">
      <c r="A4922" s="1148"/>
      <c r="B4922" s="1055" t="s">
        <v>831</v>
      </c>
      <c r="C4922" s="1055"/>
      <c r="D4922" s="1055"/>
      <c r="E4922" s="1137"/>
      <c r="F4922" s="1137"/>
      <c r="G4922" s="1140">
        <v>5.4</v>
      </c>
      <c r="H4922" s="1136" t="s">
        <v>49</v>
      </c>
      <c r="I4922" s="1137" t="s">
        <v>49</v>
      </c>
      <c r="J4922" s="1054">
        <f>G14</f>
        <v>1472.1</v>
      </c>
      <c r="K4922" s="1156">
        <f>ROUND(G4922*J4922,2)</f>
        <v>7949.34</v>
      </c>
      <c r="L4922" s="1059"/>
      <c r="T4922" s="716"/>
    </row>
    <row r="4923" spans="1:20" s="714" customFormat="1">
      <c r="A4923" s="1148"/>
      <c r="B4923" s="1055" t="s">
        <v>832</v>
      </c>
      <c r="C4923" s="1055"/>
      <c r="D4923" s="1055"/>
      <c r="E4923" s="1137"/>
      <c r="F4923" s="1137"/>
      <c r="G4923" s="1140">
        <v>6.75</v>
      </c>
      <c r="H4923" s="1136" t="s">
        <v>49</v>
      </c>
      <c r="I4923" s="1137" t="s">
        <v>49</v>
      </c>
      <c r="J4923" s="1054">
        <f>G44</f>
        <v>80.72</v>
      </c>
      <c r="K4923" s="1156">
        <f>ROUND(G4923*J4923,2)</f>
        <v>544.86</v>
      </c>
      <c r="L4923" s="1059"/>
      <c r="T4923" s="716"/>
    </row>
    <row r="4924" spans="1:20" s="714" customFormat="1">
      <c r="A4924" s="1148"/>
      <c r="B4924" s="1055" t="s">
        <v>8</v>
      </c>
      <c r="C4924" s="1055"/>
      <c r="D4924" s="1055"/>
      <c r="E4924" s="1137"/>
      <c r="F4924" s="1137"/>
      <c r="G4924" s="1140">
        <v>5.21</v>
      </c>
      <c r="H4924" s="1136" t="s">
        <v>91</v>
      </c>
      <c r="I4924" s="1137" t="s">
        <v>91</v>
      </c>
      <c r="J4924" s="1054">
        <f>G48</f>
        <v>6400</v>
      </c>
      <c r="K4924" s="1156">
        <f>ROUND(G4924*J4924,2)</f>
        <v>33344</v>
      </c>
      <c r="L4924" s="1059"/>
      <c r="Q4924" s="714">
        <f>G4924/15</f>
        <v>0.34733333333333333</v>
      </c>
      <c r="T4924" s="716"/>
    </row>
    <row r="4925" spans="1:20" s="714" customFormat="1">
      <c r="A4925" s="1148"/>
      <c r="B4925" s="1055"/>
      <c r="C4925" s="1055"/>
      <c r="D4925" s="1055"/>
      <c r="E4925" s="1137"/>
      <c r="F4925" s="1137"/>
      <c r="G4925" s="1055"/>
      <c r="H4925" s="1136"/>
      <c r="I4925" s="1137"/>
      <c r="J4925" s="1144" t="s">
        <v>718</v>
      </c>
      <c r="K4925" s="1052">
        <f>SUM(K4921:K4924)</f>
        <v>53594.54</v>
      </c>
      <c r="L4925" s="1059"/>
      <c r="T4925" s="716"/>
    </row>
    <row r="4926" spans="1:20" s="714" customFormat="1">
      <c r="A4926" s="1148"/>
      <c r="B4926" s="1053" t="s">
        <v>816</v>
      </c>
      <c r="C4926" s="1053"/>
      <c r="D4926" s="1055"/>
      <c r="E4926" s="1137"/>
      <c r="F4926" s="1137"/>
      <c r="G4926" s="1055"/>
      <c r="H4926" s="1136"/>
      <c r="I4926" s="1137"/>
      <c r="J4926" s="1144"/>
      <c r="K4926" s="1052"/>
      <c r="L4926" s="1059"/>
      <c r="T4926" s="716"/>
    </row>
    <row r="4927" spans="1:20" s="714" customFormat="1">
      <c r="A4927" s="1148"/>
      <c r="B4927" s="1055" t="s">
        <v>744</v>
      </c>
      <c r="C4927" s="1055"/>
      <c r="D4927" s="1055"/>
      <c r="E4927" s="1137"/>
      <c r="F4927" s="1137"/>
      <c r="G4927" s="1140">
        <v>0.86</v>
      </c>
      <c r="H4927" s="1136" t="s">
        <v>262</v>
      </c>
      <c r="I4927" s="1137" t="s">
        <v>315</v>
      </c>
      <c r="J4927" s="1149">
        <f>L130</f>
        <v>244.3</v>
      </c>
      <c r="K4927" s="1156">
        <f>ROUND(G4927*J4927,2)</f>
        <v>210.1</v>
      </c>
      <c r="L4927" s="1059"/>
      <c r="T4927" s="716"/>
    </row>
    <row r="4928" spans="1:20" s="714" customFormat="1">
      <c r="A4928" s="1148"/>
      <c r="B4928" s="1055" t="s">
        <v>818</v>
      </c>
      <c r="C4928" s="1055"/>
      <c r="D4928" s="1055"/>
      <c r="E4928" s="1137"/>
      <c r="F4928" s="1137"/>
      <c r="G4928" s="1140">
        <v>1.5</v>
      </c>
      <c r="H4928" s="1136" t="s">
        <v>262</v>
      </c>
      <c r="I4928" s="1137" t="s">
        <v>315</v>
      </c>
      <c r="J4928" s="1054">
        <f>L131</f>
        <v>264.3</v>
      </c>
      <c r="K4928" s="1156">
        <f>ROUND(G4928*J4928,2)</f>
        <v>396.45</v>
      </c>
      <c r="L4928" s="1059"/>
      <c r="T4928" s="716"/>
    </row>
    <row r="4929" spans="1:20" s="714" customFormat="1">
      <c r="A4929" s="1148"/>
      <c r="B4929" s="1055" t="s">
        <v>717</v>
      </c>
      <c r="C4929" s="1055"/>
      <c r="D4929" s="1055"/>
      <c r="E4929" s="1137"/>
      <c r="F4929" s="1137"/>
      <c r="G4929" s="1140">
        <v>20</v>
      </c>
      <c r="H4929" s="1136" t="s">
        <v>262</v>
      </c>
      <c r="I4929" s="1137" t="s">
        <v>315</v>
      </c>
      <c r="J4929" s="1054">
        <f>L129</f>
        <v>182</v>
      </c>
      <c r="K4929" s="1156">
        <f>ROUND(G4929*J4929,2)</f>
        <v>3640</v>
      </c>
      <c r="L4929" s="1059"/>
      <c r="T4929" s="716"/>
    </row>
    <row r="4930" spans="1:20" s="714" customFormat="1">
      <c r="A4930" s="1148"/>
      <c r="B4930" s="1055"/>
      <c r="C4930" s="1055"/>
      <c r="D4930" s="1055"/>
      <c r="E4930" s="1137"/>
      <c r="F4930" s="1137"/>
      <c r="G4930" s="1140"/>
      <c r="H4930" s="1136"/>
      <c r="I4930" s="1137"/>
      <c r="J4930" s="1144" t="s">
        <v>718</v>
      </c>
      <c r="K4930" s="1052">
        <f>SUM(K4927:K4929)</f>
        <v>4246.55</v>
      </c>
      <c r="L4930" s="1059"/>
      <c r="T4930" s="716"/>
    </row>
    <row r="4931" spans="1:20" s="714" customFormat="1">
      <c r="A4931" s="1148"/>
      <c r="B4931" s="1053" t="s">
        <v>833</v>
      </c>
      <c r="C4931" s="1053"/>
      <c r="D4931" s="1055"/>
      <c r="E4931" s="1137"/>
      <c r="F4931" s="1137"/>
      <c r="G4931" s="1140"/>
      <c r="H4931" s="1136"/>
      <c r="I4931" s="1137"/>
      <c r="J4931" s="1054"/>
      <c r="K4931" s="1052"/>
      <c r="L4931" s="1059"/>
      <c r="T4931" s="716"/>
    </row>
    <row r="4932" spans="1:20" s="714" customFormat="1">
      <c r="A4932" s="1148"/>
      <c r="B4932" s="1055" t="s">
        <v>311</v>
      </c>
      <c r="C4932" s="1055"/>
      <c r="D4932" s="1055"/>
      <c r="E4932" s="1137"/>
      <c r="F4932" s="1137"/>
      <c r="G4932" s="1140">
        <v>6</v>
      </c>
      <c r="H4932" s="1136" t="s">
        <v>312</v>
      </c>
      <c r="I4932" s="1137" t="s">
        <v>312</v>
      </c>
      <c r="J4932" s="1054">
        <f>M207</f>
        <v>229.55</v>
      </c>
      <c r="K4932" s="1156">
        <f>ROUND(G4932*J4932,2)</f>
        <v>1377.3</v>
      </c>
      <c r="L4932" s="1059"/>
      <c r="T4932" s="716"/>
    </row>
    <row r="4933" spans="1:20" s="714" customFormat="1">
      <c r="A4933" s="1148"/>
      <c r="B4933" s="1055" t="s">
        <v>313</v>
      </c>
      <c r="C4933" s="1055"/>
      <c r="D4933" s="1055"/>
      <c r="E4933" s="1137"/>
      <c r="F4933" s="1137"/>
      <c r="G4933" s="1140">
        <v>6</v>
      </c>
      <c r="H4933" s="1136" t="s">
        <v>312</v>
      </c>
      <c r="I4933" s="1137" t="s">
        <v>312</v>
      </c>
      <c r="J4933" s="1054">
        <f>M194</f>
        <v>700</v>
      </c>
      <c r="K4933" s="1156">
        <f>ROUND(G4933*J4933,2)</f>
        <v>4200</v>
      </c>
      <c r="L4933" s="1059"/>
      <c r="T4933" s="716"/>
    </row>
    <row r="4934" spans="1:20" s="714" customFormat="1">
      <c r="A4934" s="1148"/>
      <c r="B4934" s="1055"/>
      <c r="C4934" s="1055"/>
      <c r="D4934" s="1055"/>
      <c r="E4934" s="1137"/>
      <c r="F4934" s="1137"/>
      <c r="G4934" s="1140"/>
      <c r="H4934" s="1136"/>
      <c r="I4934" s="1137"/>
      <c r="J4934" s="1144" t="s">
        <v>718</v>
      </c>
      <c r="K4934" s="1052">
        <f>K4933+K4932</f>
        <v>5577.3</v>
      </c>
      <c r="L4934" s="1059"/>
      <c r="T4934" s="716"/>
    </row>
    <row r="4935" spans="1:20" s="714" customFormat="1">
      <c r="A4935" s="1148"/>
      <c r="B4935" s="1053"/>
      <c r="C4935" s="1053"/>
      <c r="D4935" s="1055"/>
      <c r="E4935" s="1137"/>
      <c r="F4935" s="1137"/>
      <c r="G4935" s="1055"/>
      <c r="H4935" s="1136"/>
      <c r="I4935" s="1137"/>
      <c r="J4935" s="1055"/>
      <c r="K4935" s="1052"/>
      <c r="L4935" s="1059"/>
      <c r="T4935" s="716"/>
    </row>
    <row r="4936" spans="1:20" s="714" customFormat="1">
      <c r="A4936" s="1148"/>
      <c r="B4936" s="1053" t="s">
        <v>835</v>
      </c>
      <c r="C4936" s="1055"/>
      <c r="D4936" s="1055"/>
      <c r="E4936" s="1137"/>
      <c r="F4936" s="1137"/>
      <c r="G4936" s="1055"/>
      <c r="H4936" s="1136"/>
      <c r="I4936" s="1137"/>
      <c r="J4936" s="1144" t="s">
        <v>718</v>
      </c>
      <c r="K4936" s="1052">
        <f>K4925+K4930+K4934+K4935</f>
        <v>63418.390000000007</v>
      </c>
      <c r="L4936" s="1059"/>
      <c r="T4936" s="716"/>
    </row>
    <row r="4937" spans="1:20" s="714" customFormat="1">
      <c r="A4937" s="1148"/>
      <c r="B4937" s="1053" t="s">
        <v>836</v>
      </c>
      <c r="C4937" s="1053"/>
      <c r="D4937" s="1055"/>
      <c r="E4937" s="1137"/>
      <c r="F4937" s="1137"/>
      <c r="G4937" s="1055"/>
      <c r="H4937" s="1136"/>
      <c r="I4937" s="1137"/>
      <c r="J4937" s="1055"/>
      <c r="K4937" s="1054"/>
      <c r="L4937" s="1059"/>
      <c r="T4937" s="716"/>
    </row>
    <row r="4938" spans="1:20" s="714" customFormat="1">
      <c r="A4938" s="1148"/>
      <c r="B4938" s="1055" t="s">
        <v>830</v>
      </c>
      <c r="C4938" s="1055"/>
      <c r="D4938" s="1055"/>
      <c r="E4938" s="1137"/>
      <c r="F4938" s="1137"/>
      <c r="G4938" s="1140">
        <f>G4921</f>
        <v>8.1</v>
      </c>
      <c r="H4938" s="1136" t="s">
        <v>49</v>
      </c>
      <c r="I4938" s="1137" t="s">
        <v>49</v>
      </c>
      <c r="J4938" s="1054">
        <f>K11</f>
        <v>276.01</v>
      </c>
      <c r="K4938" s="1156">
        <f>ROUND(G4938*J4938,2)</f>
        <v>2235.6799999999998</v>
      </c>
      <c r="L4938" s="1059"/>
      <c r="T4938" s="716"/>
    </row>
    <row r="4939" spans="1:20" s="714" customFormat="1">
      <c r="A4939" s="1148"/>
      <c r="B4939" s="1055" t="s">
        <v>831</v>
      </c>
      <c r="C4939" s="1055"/>
      <c r="D4939" s="1055"/>
      <c r="E4939" s="1137"/>
      <c r="F4939" s="1137"/>
      <c r="G4939" s="1140">
        <f>G4922</f>
        <v>5.4</v>
      </c>
      <c r="H4939" s="1136" t="s">
        <v>49</v>
      </c>
      <c r="I4939" s="1137" t="s">
        <v>49</v>
      </c>
      <c r="J4939" s="1054">
        <f>K14</f>
        <v>276.01</v>
      </c>
      <c r="K4939" s="1156">
        <f>ROUND(G4939*J4939,2)</f>
        <v>1490.45</v>
      </c>
      <c r="L4939" s="1059"/>
      <c r="T4939" s="716"/>
    </row>
    <row r="4940" spans="1:20" s="714" customFormat="1">
      <c r="A4940" s="1148"/>
      <c r="B4940" s="1055" t="s">
        <v>832</v>
      </c>
      <c r="C4940" s="1055"/>
      <c r="D4940" s="1055"/>
      <c r="E4940" s="1137"/>
      <c r="F4940" s="1137"/>
      <c r="G4940" s="1140">
        <f>G4923</f>
        <v>6.75</v>
      </c>
      <c r="H4940" s="1136" t="s">
        <v>49</v>
      </c>
      <c r="I4940" s="1137" t="s">
        <v>49</v>
      </c>
      <c r="J4940" s="1054">
        <f>K44</f>
        <v>731.71</v>
      </c>
      <c r="K4940" s="1156">
        <f>ROUND(G4940*J4940,2)</f>
        <v>4939.04</v>
      </c>
      <c r="L4940" s="1059"/>
      <c r="T4940" s="716"/>
    </row>
    <row r="4941" spans="1:20" s="714" customFormat="1">
      <c r="A4941" s="1148"/>
      <c r="B4941" s="1055" t="s">
        <v>8</v>
      </c>
      <c r="C4941" s="1055"/>
      <c r="D4941" s="1055"/>
      <c r="E4941" s="1137"/>
      <c r="F4941" s="1137"/>
      <c r="G4941" s="1140">
        <f>G4924</f>
        <v>5.21</v>
      </c>
      <c r="H4941" s="1136" t="s">
        <v>91</v>
      </c>
      <c r="I4941" s="1137" t="s">
        <v>91</v>
      </c>
      <c r="J4941" s="1054">
        <f>K48</f>
        <v>247.87</v>
      </c>
      <c r="K4941" s="1156">
        <f>ROUND(G4941*J4941,2)</f>
        <v>1291.4000000000001</v>
      </c>
      <c r="L4941" s="1059"/>
      <c r="T4941" s="716"/>
    </row>
    <row r="4942" spans="1:20" s="714" customFormat="1">
      <c r="A4942" s="1148"/>
      <c r="B4942" s="1055"/>
      <c r="C4942" s="1055"/>
      <c r="D4942" s="1055"/>
      <c r="E4942" s="1137"/>
      <c r="F4942" s="1137"/>
      <c r="G4942" s="1055"/>
      <c r="H4942" s="1136"/>
      <c r="I4942" s="1137"/>
      <c r="J4942" s="1144" t="s">
        <v>718</v>
      </c>
      <c r="K4942" s="1052">
        <f>SUM(K4938:K4941)</f>
        <v>9956.57</v>
      </c>
      <c r="L4942" s="1059"/>
      <c r="T4942" s="716"/>
    </row>
    <row r="4943" spans="1:20" s="714" customFormat="1">
      <c r="A4943" s="1148"/>
      <c r="B4943" s="1053" t="s">
        <v>837</v>
      </c>
      <c r="C4943" s="1055"/>
      <c r="D4943" s="1055"/>
      <c r="E4943" s="1137"/>
      <c r="F4943" s="1137"/>
      <c r="G4943" s="1055"/>
      <c r="H4943" s="1136"/>
      <c r="I4943" s="1137"/>
      <c r="J4943" s="1144"/>
      <c r="K4943" s="1052">
        <f>K4936+K4942</f>
        <v>73374.960000000006</v>
      </c>
      <c r="L4943" s="1059"/>
      <c r="T4943" s="716"/>
    </row>
    <row r="4944" spans="1:20" s="716" customFormat="1">
      <c r="A4944" s="1151"/>
      <c r="B4944" s="1053" t="s">
        <v>838</v>
      </c>
      <c r="C4944" s="1053"/>
      <c r="D4944" s="1053"/>
      <c r="E4944" s="1144"/>
      <c r="F4944" s="1144"/>
      <c r="G4944" s="1053"/>
      <c r="H4944" s="1059"/>
      <c r="I4944" s="1144"/>
      <c r="J4944" s="1144"/>
      <c r="K4944" s="1052">
        <f>ROUND(K4943/15,2)</f>
        <v>4891.66</v>
      </c>
      <c r="L4944" s="1059" t="s">
        <v>721</v>
      </c>
      <c r="M4944" s="714"/>
    </row>
    <row r="4945" spans="1:20" s="714" customFormat="1" ht="39" customHeight="1">
      <c r="A4945" s="1138">
        <f>A871</f>
        <v>177</v>
      </c>
      <c r="B4945" s="3400" t="str">
        <f>B871</f>
        <v>R.C.C. M-30 grade in wearing coat of C.D. work as per approved drawing &amp; technical specifications including all cost of labour and material etc complete.</v>
      </c>
      <c r="C4945" s="3400"/>
      <c r="D4945" s="3400"/>
      <c r="E4945" s="1135" t="s">
        <v>1501</v>
      </c>
      <c r="F4945" s="1135"/>
      <c r="G4945" s="1055"/>
      <c r="H4945" s="1136"/>
      <c r="I4945" s="1137"/>
      <c r="J4945" s="1055"/>
      <c r="K4945" s="1055"/>
      <c r="L4945" s="1059"/>
      <c r="T4945" s="716"/>
    </row>
    <row r="4946" spans="1:20" s="714" customFormat="1">
      <c r="A4946" s="1151"/>
      <c r="B4946" s="1053" t="s">
        <v>828</v>
      </c>
      <c r="C4946" s="1055"/>
      <c r="D4946" s="1055"/>
      <c r="E4946" s="1142"/>
      <c r="F4946" s="1142"/>
      <c r="G4946" s="1055"/>
      <c r="H4946" s="1136"/>
      <c r="I4946" s="1137"/>
      <c r="J4946" s="1055"/>
      <c r="K4946" s="1055"/>
      <c r="L4946" s="1059"/>
      <c r="T4946" s="716"/>
    </row>
    <row r="4947" spans="1:20" s="714" customFormat="1">
      <c r="A4947" s="1151"/>
      <c r="B4947" s="1053" t="s">
        <v>822</v>
      </c>
      <c r="C4947" s="1053"/>
      <c r="D4947" s="1055"/>
      <c r="E4947" s="1139"/>
      <c r="F4947" s="1139"/>
      <c r="G4947" s="1055"/>
      <c r="H4947" s="1136"/>
      <c r="I4947" s="1137"/>
      <c r="J4947" s="1055"/>
      <c r="K4947" s="1055"/>
      <c r="L4947" s="1059"/>
      <c r="T4947" s="716"/>
    </row>
    <row r="4948" spans="1:20" s="714" customFormat="1">
      <c r="A4948" s="1151"/>
      <c r="B4948" s="1055" t="s">
        <v>830</v>
      </c>
      <c r="C4948" s="1055"/>
      <c r="D4948" s="1055"/>
      <c r="E4948" s="1139"/>
      <c r="F4948" s="1139"/>
      <c r="G4948" s="1140">
        <v>8.1</v>
      </c>
      <c r="H4948" s="1136" t="s">
        <v>49</v>
      </c>
      <c r="I4948" s="1137" t="s">
        <v>49</v>
      </c>
      <c r="J4948" s="1054">
        <f>G11</f>
        <v>1451.3999999999999</v>
      </c>
      <c r="K4948" s="1156">
        <f>ROUND(G4948*J4948,2)</f>
        <v>11756.34</v>
      </c>
      <c r="L4948" s="1059"/>
      <c r="T4948" s="716"/>
    </row>
    <row r="4949" spans="1:20" s="714" customFormat="1">
      <c r="A4949" s="1151"/>
      <c r="B4949" s="1055" t="s">
        <v>831</v>
      </c>
      <c r="C4949" s="1055"/>
      <c r="D4949" s="1055"/>
      <c r="E4949" s="1139"/>
      <c r="F4949" s="1139"/>
      <c r="G4949" s="1140">
        <v>5.4</v>
      </c>
      <c r="H4949" s="1136" t="s">
        <v>49</v>
      </c>
      <c r="I4949" s="1137" t="s">
        <v>49</v>
      </c>
      <c r="J4949" s="1054">
        <f>G14</f>
        <v>1472.1</v>
      </c>
      <c r="K4949" s="1156">
        <f>ROUND(G4949*J4949,2)</f>
        <v>7949.34</v>
      </c>
      <c r="L4949" s="1059"/>
      <c r="T4949" s="716"/>
    </row>
    <row r="4950" spans="1:20" s="714" customFormat="1">
      <c r="A4950" s="1151"/>
      <c r="B4950" s="1055" t="s">
        <v>832</v>
      </c>
      <c r="C4950" s="1055"/>
      <c r="D4950" s="1055"/>
      <c r="E4950" s="1139"/>
      <c r="F4950" s="1139"/>
      <c r="G4950" s="1140">
        <v>6.75</v>
      </c>
      <c r="H4950" s="1136" t="s">
        <v>49</v>
      </c>
      <c r="I4950" s="1137" t="s">
        <v>49</v>
      </c>
      <c r="J4950" s="1054">
        <f>G44</f>
        <v>80.72</v>
      </c>
      <c r="K4950" s="1156">
        <f>ROUND(G4950*J4950,2)</f>
        <v>544.86</v>
      </c>
      <c r="L4950" s="1059"/>
      <c r="T4950" s="716"/>
    </row>
    <row r="4951" spans="1:20" s="714" customFormat="1">
      <c r="A4951" s="1151"/>
      <c r="B4951" s="1055" t="s">
        <v>8</v>
      </c>
      <c r="C4951" s="1055"/>
      <c r="D4951" s="1055"/>
      <c r="E4951" s="1139"/>
      <c r="F4951" s="1139"/>
      <c r="G4951" s="1140">
        <v>6.1</v>
      </c>
      <c r="H4951" s="1136" t="s">
        <v>91</v>
      </c>
      <c r="I4951" s="1137" t="s">
        <v>91</v>
      </c>
      <c r="J4951" s="1054">
        <f>G48</f>
        <v>6400</v>
      </c>
      <c r="K4951" s="1156">
        <f>ROUND(G4951*J4951,2)</f>
        <v>39040</v>
      </c>
      <c r="L4951" s="1059"/>
      <c r="T4951" s="716"/>
    </row>
    <row r="4952" spans="1:20" s="714" customFormat="1">
      <c r="A4952" s="1151"/>
      <c r="B4952" s="1055"/>
      <c r="C4952" s="1055"/>
      <c r="D4952" s="1055"/>
      <c r="E4952" s="1139"/>
      <c r="F4952" s="1139"/>
      <c r="G4952" s="1055"/>
      <c r="H4952" s="1136"/>
      <c r="I4952" s="1137"/>
      <c r="J4952" s="1144" t="s">
        <v>718</v>
      </c>
      <c r="K4952" s="1052">
        <f>SUM(K4948:K4951)</f>
        <v>59290.54</v>
      </c>
      <c r="L4952" s="1059"/>
      <c r="T4952" s="716"/>
    </row>
    <row r="4953" spans="1:20" s="714" customFormat="1">
      <c r="A4953" s="1151"/>
      <c r="B4953" s="1053" t="s">
        <v>904</v>
      </c>
      <c r="C4953" s="1053"/>
      <c r="D4953" s="1055"/>
      <c r="E4953" s="1139"/>
      <c r="F4953" s="1139"/>
      <c r="G4953" s="1055"/>
      <c r="H4953" s="1136"/>
      <c r="I4953" s="1137"/>
      <c r="J4953" s="1144"/>
      <c r="K4953" s="1052"/>
      <c r="L4953" s="1059"/>
      <c r="T4953" s="716"/>
    </row>
    <row r="4954" spans="1:20" s="714" customFormat="1">
      <c r="A4954" s="1151"/>
      <c r="B4954" s="1055" t="s">
        <v>744</v>
      </c>
      <c r="C4954" s="1055"/>
      <c r="D4954" s="1055"/>
      <c r="E4954" s="1139"/>
      <c r="F4954" s="1139"/>
      <c r="G4954" s="1140">
        <v>0.86</v>
      </c>
      <c r="H4954" s="1136" t="s">
        <v>262</v>
      </c>
      <c r="I4954" s="1137" t="s">
        <v>315</v>
      </c>
      <c r="J4954" s="1149">
        <f>L130</f>
        <v>244.3</v>
      </c>
      <c r="K4954" s="1156">
        <f>ROUND(G4954*J4954,2)</f>
        <v>210.1</v>
      </c>
      <c r="L4954" s="1059"/>
      <c r="T4954" s="716"/>
    </row>
    <row r="4955" spans="1:20" s="714" customFormat="1">
      <c r="A4955" s="1151"/>
      <c r="B4955" s="1055" t="s">
        <v>818</v>
      </c>
      <c r="C4955" s="1055"/>
      <c r="D4955" s="1055"/>
      <c r="E4955" s="1139"/>
      <c r="F4955" s="1139"/>
      <c r="G4955" s="1140">
        <v>1.5</v>
      </c>
      <c r="H4955" s="1136" t="s">
        <v>262</v>
      </c>
      <c r="I4955" s="1137" t="s">
        <v>315</v>
      </c>
      <c r="J4955" s="1054">
        <f>L131</f>
        <v>264.3</v>
      </c>
      <c r="K4955" s="1156">
        <f>ROUND(G4955*J4955,2)</f>
        <v>396.45</v>
      </c>
      <c r="L4955" s="1059"/>
      <c r="T4955" s="716"/>
    </row>
    <row r="4956" spans="1:20" s="714" customFormat="1">
      <c r="A4956" s="1151"/>
      <c r="B4956" s="1055" t="s">
        <v>717</v>
      </c>
      <c r="C4956" s="1055"/>
      <c r="D4956" s="1055"/>
      <c r="E4956" s="1139"/>
      <c r="F4956" s="1139"/>
      <c r="G4956" s="1140">
        <v>20</v>
      </c>
      <c r="H4956" s="1136" t="s">
        <v>262</v>
      </c>
      <c r="I4956" s="1137" t="s">
        <v>315</v>
      </c>
      <c r="J4956" s="1054">
        <f>L129</f>
        <v>182</v>
      </c>
      <c r="K4956" s="1156">
        <f>ROUND(G4956*J4956,2)</f>
        <v>3640</v>
      </c>
      <c r="L4956" s="1059"/>
      <c r="T4956" s="716"/>
    </row>
    <row r="4957" spans="1:20" s="714" customFormat="1">
      <c r="A4957" s="1151"/>
      <c r="B4957" s="1055"/>
      <c r="C4957" s="1055"/>
      <c r="D4957" s="1055"/>
      <c r="E4957" s="1139"/>
      <c r="F4957" s="1139"/>
      <c r="G4957" s="1140"/>
      <c r="H4957" s="1136"/>
      <c r="I4957" s="1137"/>
      <c r="J4957" s="1144" t="s">
        <v>718</v>
      </c>
      <c r="K4957" s="1052">
        <f>SUM(K4954:K4956)</f>
        <v>4246.55</v>
      </c>
      <c r="L4957" s="1059"/>
      <c r="T4957" s="716"/>
    </row>
    <row r="4958" spans="1:20" s="714" customFormat="1">
      <c r="A4958" s="1151"/>
      <c r="B4958" s="1053" t="s">
        <v>1503</v>
      </c>
      <c r="C4958" s="1053"/>
      <c r="D4958" s="1055"/>
      <c r="E4958" s="1139"/>
      <c r="F4958" s="1139"/>
      <c r="G4958" s="1140"/>
      <c r="H4958" s="1136"/>
      <c r="I4958" s="1137"/>
      <c r="J4958" s="1054"/>
      <c r="K4958" s="1052"/>
      <c r="L4958" s="1059"/>
      <c r="T4958" s="716"/>
    </row>
    <row r="4959" spans="1:20" s="714" customFormat="1">
      <c r="A4959" s="1151"/>
      <c r="B4959" s="1055" t="s">
        <v>311</v>
      </c>
      <c r="C4959" s="1055"/>
      <c r="D4959" s="1055"/>
      <c r="E4959" s="1139"/>
      <c r="F4959" s="1139"/>
      <c r="G4959" s="1140">
        <v>6</v>
      </c>
      <c r="H4959" s="1136" t="s">
        <v>312</v>
      </c>
      <c r="I4959" s="1137" t="s">
        <v>312</v>
      </c>
      <c r="J4959" s="1054">
        <f>M207</f>
        <v>229.55</v>
      </c>
      <c r="K4959" s="1156">
        <f>ROUND(G4959*J4959,2)</f>
        <v>1377.3</v>
      </c>
      <c r="L4959" s="1059"/>
      <c r="T4959" s="716"/>
    </row>
    <row r="4960" spans="1:20" s="714" customFormat="1">
      <c r="A4960" s="1151"/>
      <c r="B4960" s="1054" t="s">
        <v>313</v>
      </c>
      <c r="C4960" s="1055"/>
      <c r="D4960" s="1055"/>
      <c r="E4960" s="1139"/>
      <c r="F4960" s="1139"/>
      <c r="G4960" s="1140">
        <v>6</v>
      </c>
      <c r="H4960" s="1136" t="s">
        <v>312</v>
      </c>
      <c r="I4960" s="1137" t="s">
        <v>312</v>
      </c>
      <c r="J4960" s="1054">
        <f>M194</f>
        <v>700</v>
      </c>
      <c r="K4960" s="1156">
        <f>ROUND(G4960*J4960,2)</f>
        <v>4200</v>
      </c>
      <c r="L4960" s="1059"/>
      <c r="T4960" s="716"/>
    </row>
    <row r="4961" spans="1:20" s="714" customFormat="1">
      <c r="A4961" s="1151"/>
      <c r="B4961" s="1055"/>
      <c r="C4961" s="1055"/>
      <c r="D4961" s="1055"/>
      <c r="E4961" s="1139"/>
      <c r="F4961" s="1139"/>
      <c r="G4961" s="1140"/>
      <c r="H4961" s="1136"/>
      <c r="I4961" s="1137"/>
      <c r="J4961" s="1144" t="s">
        <v>718</v>
      </c>
      <c r="K4961" s="1052">
        <f>K4960+K4959</f>
        <v>5577.3</v>
      </c>
      <c r="L4961" s="1059"/>
      <c r="T4961" s="716"/>
    </row>
    <row r="4962" spans="1:20" s="714" customFormat="1">
      <c r="A4962" s="1151"/>
      <c r="B4962" s="1053"/>
      <c r="C4962" s="1053"/>
      <c r="D4962" s="1055"/>
      <c r="E4962" s="1139"/>
      <c r="F4962" s="1139"/>
      <c r="G4962" s="1055"/>
      <c r="H4962" s="1136"/>
      <c r="I4962" s="1137"/>
      <c r="J4962" s="1055"/>
      <c r="K4962" s="1054"/>
      <c r="L4962" s="1059"/>
      <c r="T4962" s="716"/>
    </row>
    <row r="4963" spans="1:20" s="714" customFormat="1">
      <c r="A4963" s="1151"/>
      <c r="B4963" s="1055" t="s">
        <v>835</v>
      </c>
      <c r="C4963" s="1055"/>
      <c r="D4963" s="1055"/>
      <c r="E4963" s="1139"/>
      <c r="F4963" s="1139"/>
      <c r="G4963" s="1055"/>
      <c r="H4963" s="1136"/>
      <c r="I4963" s="1137"/>
      <c r="J4963" s="1144"/>
      <c r="K4963" s="1052">
        <f>K4952+K4957+K4961+K4962</f>
        <v>69114.39</v>
      </c>
      <c r="L4963" s="1059"/>
      <c r="T4963" s="716"/>
    </row>
    <row r="4964" spans="1:20" s="714" customFormat="1">
      <c r="A4964" s="1166"/>
      <c r="B4964" s="1053" t="s">
        <v>836</v>
      </c>
      <c r="C4964" s="1053"/>
      <c r="D4964" s="1055"/>
      <c r="E4964" s="1139"/>
      <c r="F4964" s="1139"/>
      <c r="G4964" s="1055"/>
      <c r="H4964" s="1136"/>
      <c r="I4964" s="1137"/>
      <c r="J4964" s="1055"/>
      <c r="K4964" s="1054"/>
      <c r="L4964" s="1059"/>
      <c r="T4964" s="716"/>
    </row>
    <row r="4965" spans="1:20" s="714" customFormat="1">
      <c r="A4965" s="1151"/>
      <c r="B4965" s="1055" t="s">
        <v>830</v>
      </c>
      <c r="C4965" s="1055"/>
      <c r="D4965" s="1055"/>
      <c r="E4965" s="1139"/>
      <c r="F4965" s="1139"/>
      <c r="G4965" s="1140">
        <f>G4948</f>
        <v>8.1</v>
      </c>
      <c r="H4965" s="1136" t="s">
        <v>49</v>
      </c>
      <c r="I4965" s="1137" t="s">
        <v>49</v>
      </c>
      <c r="J4965" s="1054">
        <f>K11</f>
        <v>276.01</v>
      </c>
      <c r="K4965" s="1156">
        <f>ROUND(G4965*J4965,2)</f>
        <v>2235.6799999999998</v>
      </c>
      <c r="L4965" s="1059"/>
      <c r="T4965" s="716"/>
    </row>
    <row r="4966" spans="1:20" s="714" customFormat="1">
      <c r="A4966" s="1151"/>
      <c r="B4966" s="1055" t="s">
        <v>831</v>
      </c>
      <c r="C4966" s="1055"/>
      <c r="D4966" s="1055"/>
      <c r="E4966" s="1139"/>
      <c r="F4966" s="1139"/>
      <c r="G4966" s="1140">
        <f>G4949</f>
        <v>5.4</v>
      </c>
      <c r="H4966" s="1136" t="s">
        <v>49</v>
      </c>
      <c r="I4966" s="1137" t="s">
        <v>49</v>
      </c>
      <c r="J4966" s="1054">
        <f>K14</f>
        <v>276.01</v>
      </c>
      <c r="K4966" s="1156">
        <f>ROUND(G4966*J4966,2)</f>
        <v>1490.45</v>
      </c>
      <c r="L4966" s="1059"/>
      <c r="T4966" s="716"/>
    </row>
    <row r="4967" spans="1:20" s="714" customFormat="1">
      <c r="A4967" s="1151"/>
      <c r="B4967" s="1055" t="s">
        <v>832</v>
      </c>
      <c r="C4967" s="1055"/>
      <c r="D4967" s="1055"/>
      <c r="E4967" s="1139"/>
      <c r="F4967" s="1139"/>
      <c r="G4967" s="1140">
        <f>G4950</f>
        <v>6.75</v>
      </c>
      <c r="H4967" s="1136" t="s">
        <v>49</v>
      </c>
      <c r="I4967" s="1137" t="s">
        <v>49</v>
      </c>
      <c r="J4967" s="1054">
        <f>K44</f>
        <v>731.71</v>
      </c>
      <c r="K4967" s="1156">
        <f>ROUND(G4967*J4967,2)</f>
        <v>4939.04</v>
      </c>
      <c r="L4967" s="1059"/>
      <c r="T4967" s="716"/>
    </row>
    <row r="4968" spans="1:20" s="714" customFormat="1">
      <c r="A4968" s="1151"/>
      <c r="B4968" s="1055" t="s">
        <v>8</v>
      </c>
      <c r="C4968" s="1055"/>
      <c r="D4968" s="1055"/>
      <c r="E4968" s="1139"/>
      <c r="F4968" s="1139"/>
      <c r="G4968" s="1140">
        <f>G4951</f>
        <v>6.1</v>
      </c>
      <c r="H4968" s="1136" t="s">
        <v>91</v>
      </c>
      <c r="I4968" s="1137" t="s">
        <v>91</v>
      </c>
      <c r="J4968" s="1054">
        <f>K48</f>
        <v>247.87</v>
      </c>
      <c r="K4968" s="1156">
        <f>ROUND(G4968*J4968,2)</f>
        <v>1512.01</v>
      </c>
      <c r="L4968" s="1059"/>
      <c r="T4968" s="716"/>
    </row>
    <row r="4969" spans="1:20" s="714" customFormat="1">
      <c r="A4969" s="1151"/>
      <c r="B4969" s="1055"/>
      <c r="C4969" s="1055"/>
      <c r="D4969" s="1055"/>
      <c r="E4969" s="1139"/>
      <c r="F4969" s="1139"/>
      <c r="G4969" s="1055"/>
      <c r="H4969" s="1136"/>
      <c r="I4969" s="1137"/>
      <c r="J4969" s="1144" t="s">
        <v>718</v>
      </c>
      <c r="K4969" s="1052">
        <f>SUM(K4965:K4968)</f>
        <v>10177.18</v>
      </c>
      <c r="L4969" s="1059"/>
      <c r="T4969" s="716"/>
    </row>
    <row r="4970" spans="1:20" s="714" customFormat="1">
      <c r="A4970" s="1151"/>
      <c r="B4970" s="1053" t="s">
        <v>837</v>
      </c>
      <c r="C4970" s="1055"/>
      <c r="D4970" s="1055"/>
      <c r="E4970" s="1139"/>
      <c r="F4970" s="1139"/>
      <c r="G4970" s="1055"/>
      <c r="H4970" s="1136"/>
      <c r="I4970" s="1137"/>
      <c r="J4970" s="1144"/>
      <c r="K4970" s="1052">
        <f>K4963+K4969</f>
        <v>79291.570000000007</v>
      </c>
      <c r="L4970" s="1059"/>
      <c r="T4970" s="716"/>
    </row>
    <row r="4971" spans="1:20" s="716" customFormat="1">
      <c r="A4971" s="1151"/>
      <c r="B4971" s="1053" t="s">
        <v>838</v>
      </c>
      <c r="C4971" s="1053"/>
      <c r="D4971" s="1053"/>
      <c r="E4971" s="1142"/>
      <c r="F4971" s="1142"/>
      <c r="G4971" s="1053"/>
      <c r="H4971" s="1059"/>
      <c r="I4971" s="1144"/>
      <c r="J4971" s="1144"/>
      <c r="K4971" s="1052">
        <f>ROUND(K4970/15,2)</f>
        <v>5286.1</v>
      </c>
      <c r="L4971" s="1059" t="s">
        <v>721</v>
      </c>
      <c r="M4971" s="714"/>
    </row>
    <row r="4972" spans="1:20" s="714" customFormat="1" ht="36.75" customHeight="1">
      <c r="A4972" s="1138">
        <f>A872</f>
        <v>178</v>
      </c>
      <c r="B4972" s="3402" t="str">
        <f>B872</f>
        <v>Laying of NP3 Hume Pipe of 300mm dia. for pipe culverts as per approved drawing &amp; technical specifications including cost of pipe etc complete</v>
      </c>
      <c r="C4972" s="3402"/>
      <c r="D4972" s="3402"/>
      <c r="E4972" s="1147" t="s">
        <v>1504</v>
      </c>
      <c r="F4972" s="1147"/>
      <c r="G4972" s="1055"/>
      <c r="H4972" s="1136"/>
      <c r="I4972" s="1137"/>
      <c r="J4972" s="1055"/>
      <c r="K4972" s="1055"/>
      <c r="L4972" s="1059"/>
      <c r="T4972" s="716"/>
    </row>
    <row r="4973" spans="1:20" s="714" customFormat="1">
      <c r="A4973" s="1148"/>
      <c r="B4973" s="1053" t="s">
        <v>1505</v>
      </c>
      <c r="C4973" s="1053"/>
      <c r="D4973" s="1055"/>
      <c r="E4973" s="1139"/>
      <c r="F4973" s="1139"/>
      <c r="G4973" s="1140">
        <v>1</v>
      </c>
      <c r="H4973" s="1136" t="s">
        <v>136</v>
      </c>
      <c r="I4973" s="1137" t="s">
        <v>136</v>
      </c>
      <c r="J4973" s="1054">
        <f>ROUND(((L129-55)/55*L906)+L906,1)</f>
        <v>58.9</v>
      </c>
      <c r="K4973" s="1156">
        <f>ROUND(G4973*J4973,2)</f>
        <v>58.9</v>
      </c>
      <c r="L4973" s="1059"/>
      <c r="T4973" s="716"/>
    </row>
    <row r="4974" spans="1:20" s="714" customFormat="1">
      <c r="A4974" s="1148"/>
      <c r="B4974" s="1053"/>
      <c r="C4974" s="1053"/>
      <c r="D4974" s="1055"/>
      <c r="E4974" s="1139"/>
      <c r="F4974" s="1139"/>
      <c r="G4974" s="1140"/>
      <c r="H4974" s="1136"/>
      <c r="I4974" s="1137"/>
      <c r="J4974" s="1162" t="s">
        <v>1506</v>
      </c>
      <c r="K4974" s="1054"/>
      <c r="L4974" s="1059"/>
      <c r="T4974" s="716"/>
    </row>
    <row r="4975" spans="1:20" s="714" customFormat="1">
      <c r="A4975" s="1148"/>
      <c r="B4975" s="1053" t="s">
        <v>1507</v>
      </c>
      <c r="C4975" s="1053"/>
      <c r="D4975" s="1055"/>
      <c r="E4975" s="1139"/>
      <c r="F4975" s="1139"/>
      <c r="G4975" s="1140">
        <v>1</v>
      </c>
      <c r="H4975" s="1136" t="s">
        <v>136</v>
      </c>
      <c r="I4975" s="1137" t="s">
        <v>136</v>
      </c>
      <c r="J4975" s="1054">
        <f>L98+N98</f>
        <v>1179.7728000000002</v>
      </c>
      <c r="K4975" s="1156">
        <f>ROUND(G4975*J4975,2)</f>
        <v>1179.77</v>
      </c>
      <c r="L4975" s="1059"/>
      <c r="T4975" s="716"/>
    </row>
    <row r="4976" spans="1:20" s="714" customFormat="1">
      <c r="A4976" s="1148"/>
      <c r="B4976" s="1053" t="s">
        <v>1508</v>
      </c>
      <c r="C4976" s="1053"/>
      <c r="D4976" s="1055"/>
      <c r="E4976" s="1139"/>
      <c r="F4976" s="1139"/>
      <c r="G4976" s="1055"/>
      <c r="H4976" s="1136"/>
      <c r="I4976" s="1137"/>
      <c r="J4976" s="1144" t="s">
        <v>718</v>
      </c>
      <c r="K4976" s="1052">
        <f>SUM(K4973:K4975)</f>
        <v>1238.67</v>
      </c>
      <c r="L4976" s="1059" t="s">
        <v>937</v>
      </c>
      <c r="T4976" s="716"/>
    </row>
    <row r="4977" spans="1:20" s="714" customFormat="1" ht="38.25" customHeight="1">
      <c r="A4977" s="1138">
        <f>A873</f>
        <v>179</v>
      </c>
      <c r="B4977" s="3402" t="str">
        <f>B873</f>
        <v>Laying of NP3 Hume Pipe of 450mm dia. for pipe culverts as per approved drawing &amp; technical specifications including cost of pipe etc complete</v>
      </c>
      <c r="C4977" s="3402"/>
      <c r="D4977" s="3402"/>
      <c r="E4977" s="1135" t="s">
        <v>1504</v>
      </c>
      <c r="F4977" s="1135"/>
      <c r="G4977" s="1055"/>
      <c r="H4977" s="1136"/>
      <c r="I4977" s="1137"/>
      <c r="J4977" s="1055"/>
      <c r="K4977" s="1055"/>
      <c r="L4977" s="1059"/>
      <c r="T4977" s="716"/>
    </row>
    <row r="4978" spans="1:20" s="714" customFormat="1">
      <c r="A4978" s="1148"/>
      <c r="B4978" s="1053" t="s">
        <v>1505</v>
      </c>
      <c r="C4978" s="1053"/>
      <c r="D4978" s="1055"/>
      <c r="E4978" s="1139"/>
      <c r="F4978" s="1139"/>
      <c r="G4978" s="1140">
        <v>1</v>
      </c>
      <c r="H4978" s="1136" t="s">
        <v>136</v>
      </c>
      <c r="I4978" s="1137" t="s">
        <v>136</v>
      </c>
      <c r="J4978" s="1054">
        <f>ROUND(((L129-55)/55*L907)+L907,1)</f>
        <v>75.8</v>
      </c>
      <c r="K4978" s="1156">
        <f>ROUND(G4978*J4978,2)</f>
        <v>75.8</v>
      </c>
      <c r="L4978" s="1059"/>
      <c r="T4978" s="716"/>
    </row>
    <row r="4979" spans="1:20" s="714" customFormat="1">
      <c r="A4979" s="1148"/>
      <c r="B4979" s="1053"/>
      <c r="C4979" s="1053"/>
      <c r="D4979" s="1055"/>
      <c r="E4979" s="1139"/>
      <c r="F4979" s="1139"/>
      <c r="G4979" s="1140"/>
      <c r="H4979" s="1136"/>
      <c r="I4979" s="1137"/>
      <c r="J4979" s="1162" t="s">
        <v>1506</v>
      </c>
      <c r="K4979" s="1054"/>
      <c r="L4979" s="1059"/>
      <c r="T4979" s="716"/>
    </row>
    <row r="4980" spans="1:20" s="714" customFormat="1">
      <c r="A4980" s="1148"/>
      <c r="B4980" s="1053" t="s">
        <v>1507</v>
      </c>
      <c r="C4980" s="1053"/>
      <c r="D4980" s="1055"/>
      <c r="E4980" s="1139"/>
      <c r="F4980" s="1139"/>
      <c r="G4980" s="1140">
        <v>1</v>
      </c>
      <c r="H4980" s="1136" t="s">
        <v>136</v>
      </c>
      <c r="I4980" s="1137" t="s">
        <v>136</v>
      </c>
      <c r="J4980" s="1054">
        <f>L99+N99</f>
        <v>1897.8028000000002</v>
      </c>
      <c r="K4980" s="1156">
        <f>ROUND(G4980*J4980,2)</f>
        <v>1897.8</v>
      </c>
      <c r="L4980" s="1059"/>
      <c r="T4980" s="716"/>
    </row>
    <row r="4981" spans="1:20" s="714" customFormat="1">
      <c r="A4981" s="1148"/>
      <c r="B4981" s="1053" t="s">
        <v>1508</v>
      </c>
      <c r="C4981" s="1053"/>
      <c r="D4981" s="1055"/>
      <c r="E4981" s="1139"/>
      <c r="F4981" s="1139"/>
      <c r="G4981" s="1055"/>
      <c r="H4981" s="1136"/>
      <c r="I4981" s="1137"/>
      <c r="J4981" s="1144" t="s">
        <v>718</v>
      </c>
      <c r="K4981" s="1052">
        <f>SUM(K4978:K4980)</f>
        <v>1973.6</v>
      </c>
      <c r="L4981" s="1059" t="s">
        <v>937</v>
      </c>
      <c r="T4981" s="716"/>
    </row>
    <row r="4982" spans="1:20" s="714" customFormat="1" ht="38.25" customHeight="1">
      <c r="A4982" s="1138">
        <f>A874</f>
        <v>180</v>
      </c>
      <c r="B4982" s="3402" t="str">
        <f>B874</f>
        <v>Laying of NP3 Hume Pipe of 600mm dia. for pipe culverts as per approved drawing &amp; technical specifications including cost of pipe etc complete.</v>
      </c>
      <c r="C4982" s="3402"/>
      <c r="D4982" s="3402"/>
      <c r="E4982" s="1135" t="s">
        <v>1504</v>
      </c>
      <c r="F4982" s="1135"/>
      <c r="G4982" s="1055"/>
      <c r="H4982" s="1136"/>
      <c r="I4982" s="1137"/>
      <c r="J4982" s="1055"/>
      <c r="K4982" s="1055"/>
      <c r="L4982" s="1059"/>
      <c r="T4982" s="716"/>
    </row>
    <row r="4983" spans="1:20" s="714" customFormat="1">
      <c r="A4983" s="1148"/>
      <c r="B4983" s="1053" t="s">
        <v>1505</v>
      </c>
      <c r="C4983" s="1053"/>
      <c r="D4983" s="1055"/>
      <c r="E4983" s="1139"/>
      <c r="F4983" s="1139"/>
      <c r="G4983" s="1140">
        <v>1</v>
      </c>
      <c r="H4983" s="1136" t="s">
        <v>136</v>
      </c>
      <c r="I4983" s="1137" t="s">
        <v>136</v>
      </c>
      <c r="J4983" s="1054">
        <f>ROUND(((L129-55)/55*L908)+L908,1)</f>
        <v>93</v>
      </c>
      <c r="K4983" s="1156">
        <f>ROUND(G4983*J4983,2)</f>
        <v>93</v>
      </c>
      <c r="L4983" s="1059"/>
      <c r="T4983" s="716"/>
    </row>
    <row r="4984" spans="1:20" s="714" customFormat="1">
      <c r="A4984" s="1148"/>
      <c r="B4984" s="1053"/>
      <c r="C4984" s="1053"/>
      <c r="D4984" s="1055"/>
      <c r="E4984" s="1139"/>
      <c r="F4984" s="1139"/>
      <c r="G4984" s="1140"/>
      <c r="H4984" s="1136"/>
      <c r="I4984" s="1137"/>
      <c r="J4984" s="1162" t="s">
        <v>1506</v>
      </c>
      <c r="K4984" s="1054"/>
      <c r="L4984" s="1059"/>
      <c r="T4984" s="716"/>
    </row>
    <row r="4985" spans="1:20" s="714" customFormat="1">
      <c r="A4985" s="1148"/>
      <c r="B4985" s="1053" t="s">
        <v>1507</v>
      </c>
      <c r="C4985" s="1053"/>
      <c r="D4985" s="1055"/>
      <c r="E4985" s="1139"/>
      <c r="F4985" s="1139"/>
      <c r="G4985" s="1140">
        <v>1</v>
      </c>
      <c r="H4985" s="1136" t="s">
        <v>136</v>
      </c>
      <c r="I4985" s="1137" t="s">
        <v>136</v>
      </c>
      <c r="J4985" s="1054">
        <f>L100+N100</f>
        <v>2673.4628000000002</v>
      </c>
      <c r="K4985" s="1156">
        <f>ROUND(G4985*J4985,2)</f>
        <v>2673.46</v>
      </c>
      <c r="L4985" s="1059"/>
      <c r="T4985" s="716"/>
    </row>
    <row r="4986" spans="1:20" s="714" customFormat="1">
      <c r="A4986" s="1148"/>
      <c r="B4986" s="1053" t="s">
        <v>1508</v>
      </c>
      <c r="C4986" s="1053"/>
      <c r="D4986" s="1055"/>
      <c r="E4986" s="1139"/>
      <c r="F4986" s="1139"/>
      <c r="G4986" s="1055"/>
      <c r="H4986" s="1136"/>
      <c r="I4986" s="1137"/>
      <c r="J4986" s="1144" t="s">
        <v>718</v>
      </c>
      <c r="K4986" s="1052">
        <f>K4983+K4985</f>
        <v>2766.46</v>
      </c>
      <c r="L4986" s="1059" t="s">
        <v>937</v>
      </c>
      <c r="T4986" s="716"/>
    </row>
    <row r="4987" spans="1:20" s="714" customFormat="1" ht="36.75" customHeight="1">
      <c r="A4987" s="1138">
        <f>A875</f>
        <v>181</v>
      </c>
      <c r="B4987" s="3400" t="str">
        <f>B875</f>
        <v>Laying of NP3 Hume Pipe of 900mm dia. for pipe culverts as per approved drawing &amp; technical specifications including cost of pipe etc complete</v>
      </c>
      <c r="C4987" s="3400"/>
      <c r="D4987" s="3400"/>
      <c r="E4987" s="1135" t="str">
        <f>H2810</f>
        <v>Qtl</v>
      </c>
      <c r="F4987" s="1135"/>
      <c r="G4987" s="1055"/>
      <c r="H4987" s="1136"/>
      <c r="I4987" s="1137"/>
      <c r="J4987" s="1055"/>
      <c r="K4987" s="1055"/>
      <c r="L4987" s="1059"/>
      <c r="T4987" s="716"/>
    </row>
    <row r="4988" spans="1:20" s="714" customFormat="1">
      <c r="A4988" s="1148"/>
      <c r="B4988" s="1053" t="s">
        <v>1505</v>
      </c>
      <c r="C4988" s="1053"/>
      <c r="D4988" s="1055"/>
      <c r="E4988" s="1139"/>
      <c r="F4988" s="1139"/>
      <c r="G4988" s="1140">
        <v>1</v>
      </c>
      <c r="H4988" s="1136" t="s">
        <v>136</v>
      </c>
      <c r="I4988" s="1137" t="s">
        <v>136</v>
      </c>
      <c r="J4988" s="1054">
        <f>ROUND(((L129-55)/55*L909)+L909,1)</f>
        <v>139.6</v>
      </c>
      <c r="K4988" s="1156">
        <f>ROUND(G4988*J4988,2)</f>
        <v>139.6</v>
      </c>
      <c r="L4988" s="1059"/>
      <c r="T4988" s="716"/>
    </row>
    <row r="4989" spans="1:20" s="714" customFormat="1">
      <c r="A4989" s="1148"/>
      <c r="B4989" s="1053"/>
      <c r="C4989" s="1053"/>
      <c r="D4989" s="1055"/>
      <c r="E4989" s="1139"/>
      <c r="F4989" s="1139"/>
      <c r="G4989" s="1140"/>
      <c r="H4989" s="1136"/>
      <c r="I4989" s="1137"/>
      <c r="J4989" s="1162" t="s">
        <v>1506</v>
      </c>
      <c r="K4989" s="1054"/>
      <c r="L4989" s="1059"/>
      <c r="T4989" s="716"/>
    </row>
    <row r="4990" spans="1:20" s="714" customFormat="1">
      <c r="A4990" s="1148"/>
      <c r="B4990" s="1053" t="s">
        <v>1507</v>
      </c>
      <c r="C4990" s="1053"/>
      <c r="D4990" s="1055"/>
      <c r="E4990" s="1139"/>
      <c r="F4990" s="1139"/>
      <c r="G4990" s="1140">
        <v>1</v>
      </c>
      <c r="H4990" s="1136" t="s">
        <v>136</v>
      </c>
      <c r="I4990" s="1137" t="s">
        <v>136</v>
      </c>
      <c r="J4990" s="1054">
        <f>L101+N101</f>
        <v>5061.6313333333337</v>
      </c>
      <c r="K4990" s="1156">
        <f>ROUND(G4990*J4990,2)</f>
        <v>5061.63</v>
      </c>
      <c r="L4990" s="1059"/>
      <c r="T4990" s="716"/>
    </row>
    <row r="4991" spans="1:20" s="714" customFormat="1">
      <c r="A4991" s="1148"/>
      <c r="B4991" s="1053" t="s">
        <v>1508</v>
      </c>
      <c r="C4991" s="1053"/>
      <c r="D4991" s="1055"/>
      <c r="E4991" s="1139"/>
      <c r="F4991" s="1139"/>
      <c r="G4991" s="1055"/>
      <c r="H4991" s="1136"/>
      <c r="I4991" s="1137"/>
      <c r="J4991" s="1144" t="s">
        <v>718</v>
      </c>
      <c r="K4991" s="1052">
        <f>SUM(K4988:K4990)</f>
        <v>5201.2300000000005</v>
      </c>
      <c r="L4991" s="1059" t="s">
        <v>937</v>
      </c>
      <c r="T4991" s="716"/>
    </row>
    <row r="4992" spans="1:20" s="714" customFormat="1" ht="39" customHeight="1">
      <c r="A4992" s="1138">
        <f>A876</f>
        <v>182</v>
      </c>
      <c r="B4992" s="3400" t="str">
        <f>B876</f>
        <v>Laying of NP3 Hume Pipe of 1000mm dia. for pipe culverts as per approved drawing &amp; technical specifications including cost of pipe etc complete.</v>
      </c>
      <c r="C4992" s="3400"/>
      <c r="D4992" s="3400"/>
      <c r="E4992" s="1135" t="s">
        <v>1504</v>
      </c>
      <c r="F4992" s="1135"/>
      <c r="G4992" s="1055"/>
      <c r="H4992" s="1136"/>
      <c r="I4992" s="1137"/>
      <c r="J4992" s="1055"/>
      <c r="K4992" s="1055"/>
      <c r="L4992" s="1059"/>
      <c r="T4992" s="716"/>
    </row>
    <row r="4993" spans="1:20" s="714" customFormat="1">
      <c r="A4993" s="1148"/>
      <c r="B4993" s="1053" t="s">
        <v>1505</v>
      </c>
      <c r="C4993" s="1053"/>
      <c r="D4993" s="1055"/>
      <c r="E4993" s="1139"/>
      <c r="F4993" s="1139"/>
      <c r="G4993" s="1140">
        <v>1</v>
      </c>
      <c r="H4993" s="1136" t="s">
        <v>136</v>
      </c>
      <c r="I4993" s="1137" t="s">
        <v>136</v>
      </c>
      <c r="J4993" s="1054">
        <f>J4988</f>
        <v>139.6</v>
      </c>
      <c r="K4993" s="1156">
        <f>ROUND(G4993*J4993,2)</f>
        <v>139.6</v>
      </c>
      <c r="L4993" s="1059"/>
      <c r="T4993" s="716"/>
    </row>
    <row r="4994" spans="1:20" s="714" customFormat="1">
      <c r="A4994" s="1148"/>
      <c r="B4994" s="1053"/>
      <c r="C4994" s="1053"/>
      <c r="D4994" s="1055"/>
      <c r="E4994" s="1139"/>
      <c r="F4994" s="1139"/>
      <c r="G4994" s="1140"/>
      <c r="H4994" s="1136"/>
      <c r="I4994" s="1137"/>
      <c r="J4994" s="1162" t="s">
        <v>1506</v>
      </c>
      <c r="K4994" s="1054"/>
      <c r="L4994" s="1059"/>
      <c r="T4994" s="716"/>
    </row>
    <row r="4995" spans="1:20" s="714" customFormat="1">
      <c r="A4995" s="1148"/>
      <c r="B4995" s="1053" t="s">
        <v>1507</v>
      </c>
      <c r="C4995" s="1053"/>
      <c r="D4995" s="1055"/>
      <c r="E4995" s="1139"/>
      <c r="F4995" s="1139"/>
      <c r="G4995" s="1140">
        <v>1</v>
      </c>
      <c r="H4995" s="1136" t="s">
        <v>136</v>
      </c>
      <c r="I4995" s="1137" t="s">
        <v>136</v>
      </c>
      <c r="J4995" s="1054">
        <f>L102+N102</f>
        <v>6024.0013333333336</v>
      </c>
      <c r="K4995" s="1156">
        <f>ROUND(G4995*J4995,2)</f>
        <v>6024</v>
      </c>
      <c r="L4995" s="1059"/>
      <c r="T4995" s="716"/>
    </row>
    <row r="4996" spans="1:20" s="714" customFormat="1">
      <c r="A4996" s="1148"/>
      <c r="B4996" s="1053" t="s">
        <v>1508</v>
      </c>
      <c r="C4996" s="1053"/>
      <c r="D4996" s="1055"/>
      <c r="E4996" s="1139"/>
      <c r="F4996" s="1139"/>
      <c r="G4996" s="1055"/>
      <c r="H4996" s="1136"/>
      <c r="I4996" s="1137"/>
      <c r="J4996" s="1144" t="s">
        <v>718</v>
      </c>
      <c r="K4996" s="1052">
        <f>SUM(K4993:K4995)</f>
        <v>6163.6</v>
      </c>
      <c r="L4996" s="1059" t="s">
        <v>937</v>
      </c>
      <c r="T4996" s="716"/>
    </row>
    <row r="4997" spans="1:20" s="714" customFormat="1" ht="36.75" customHeight="1">
      <c r="A4997" s="1138">
        <f>A877</f>
        <v>183</v>
      </c>
      <c r="B4997" s="3400" t="str">
        <f>B877</f>
        <v>Laying of NP3 Hume Pipe of 1200mm dia. for pipe culverts as per approved drawing &amp; technical specifications including cost of pipe etc complete</v>
      </c>
      <c r="C4997" s="3400"/>
      <c r="D4997" s="3400"/>
      <c r="E4997" s="1135" t="str">
        <f>E4992</f>
        <v>Each Mtr.</v>
      </c>
      <c r="F4997" s="1135"/>
      <c r="G4997" s="1055"/>
      <c r="H4997" s="1136"/>
      <c r="I4997" s="1137"/>
      <c r="J4997" s="1055"/>
      <c r="K4997" s="1055"/>
      <c r="L4997" s="1059"/>
      <c r="T4997" s="716"/>
    </row>
    <row r="4998" spans="1:20" s="714" customFormat="1">
      <c r="A4998" s="1148"/>
      <c r="B4998" s="1053" t="s">
        <v>1505</v>
      </c>
      <c r="C4998" s="1053"/>
      <c r="D4998" s="1055"/>
      <c r="E4998" s="1139"/>
      <c r="F4998" s="1139"/>
      <c r="G4998" s="1140">
        <v>1</v>
      </c>
      <c r="H4998" s="1136" t="s">
        <v>136</v>
      </c>
      <c r="I4998" s="1137" t="s">
        <v>136</v>
      </c>
      <c r="J4998" s="1054">
        <f>ROUND(((L129-55)/55*L910)+L910,1)</f>
        <v>242.2</v>
      </c>
      <c r="K4998" s="1156">
        <f>ROUND(G4998*J4998,2)</f>
        <v>242.2</v>
      </c>
      <c r="L4998" s="1059"/>
      <c r="T4998" s="716"/>
    </row>
    <row r="4999" spans="1:20" s="714" customFormat="1">
      <c r="A4999" s="1148"/>
      <c r="B4999" s="1053"/>
      <c r="C4999" s="1053"/>
      <c r="D4999" s="1055"/>
      <c r="E4999" s="1139"/>
      <c r="F4999" s="1139"/>
      <c r="G4999" s="1140"/>
      <c r="H4999" s="1136"/>
      <c r="I4999" s="1137"/>
      <c r="J4999" s="1162" t="s">
        <v>1506</v>
      </c>
      <c r="K4999" s="1054"/>
      <c r="L4999" s="1059"/>
      <c r="T4999" s="716"/>
    </row>
    <row r="5000" spans="1:20" s="714" customFormat="1">
      <c r="A5000" s="1148"/>
      <c r="B5000" s="1053" t="s">
        <v>1507</v>
      </c>
      <c r="C5000" s="1053"/>
      <c r="D5000" s="1055"/>
      <c r="E5000" s="1139"/>
      <c r="F5000" s="1139"/>
      <c r="G5000" s="1140">
        <v>1</v>
      </c>
      <c r="H5000" s="1136" t="s">
        <v>136</v>
      </c>
      <c r="I5000" s="1137" t="s">
        <v>136</v>
      </c>
      <c r="J5000" s="1054">
        <f>L103+N103</f>
        <v>7674.4413333333332</v>
      </c>
      <c r="K5000" s="1156">
        <f>ROUND(G5000*J5000,2)</f>
        <v>7674.44</v>
      </c>
      <c r="L5000" s="1059"/>
      <c r="T5000" s="716"/>
    </row>
    <row r="5001" spans="1:20" s="714" customFormat="1">
      <c r="A5001" s="1148"/>
      <c r="B5001" s="1053" t="s">
        <v>1508</v>
      </c>
      <c r="C5001" s="1053"/>
      <c r="D5001" s="1055"/>
      <c r="E5001" s="1139"/>
      <c r="F5001" s="1139"/>
      <c r="G5001" s="1055"/>
      <c r="H5001" s="1136"/>
      <c r="I5001" s="1137"/>
      <c r="J5001" s="1144" t="s">
        <v>718</v>
      </c>
      <c r="K5001" s="1052">
        <f>SUM(K4998:K5000)</f>
        <v>7916.6399999999994</v>
      </c>
      <c r="L5001" s="1059" t="s">
        <v>937</v>
      </c>
      <c r="T5001" s="716"/>
    </row>
    <row r="5002" spans="1:20">
      <c r="Q5002" s="1087" t="s">
        <v>1509</v>
      </c>
    </row>
    <row r="5009" spans="1:20" s="723" customFormat="1">
      <c r="A5009" s="836"/>
      <c r="B5009" s="836" t="str">
        <f>B135</f>
        <v>Junior Engineer/GPTA</v>
      </c>
      <c r="C5009" s="836"/>
      <c r="D5009" s="836"/>
      <c r="E5009" s="842"/>
      <c r="F5009" s="842"/>
      <c r="G5009" s="836" t="str">
        <f>H135</f>
        <v>Assistant Executive Engineer</v>
      </c>
      <c r="H5009" s="836"/>
      <c r="I5009" s="836"/>
      <c r="J5009" s="836"/>
      <c r="L5009" s="836" t="str">
        <f>L135</f>
        <v>Block Development Officer</v>
      </c>
      <c r="M5009" s="836"/>
      <c r="N5009" s="836"/>
      <c r="O5009" s="836"/>
      <c r="P5009" s="836"/>
    </row>
    <row r="5010" spans="1:20" s="723" customFormat="1">
      <c r="A5010" s="836"/>
      <c r="B5010" s="836" t="str">
        <f>B136</f>
        <v>Kamakhyanagar Block</v>
      </c>
      <c r="C5010" s="836"/>
      <c r="D5010" s="836"/>
      <c r="E5010" s="842"/>
      <c r="F5010" s="842"/>
      <c r="G5010" s="836" t="str">
        <f>H136</f>
        <v>Kamakhyanagar Block</v>
      </c>
      <c r="H5010" s="836"/>
      <c r="I5010" s="836"/>
      <c r="J5010" s="836"/>
      <c r="L5010" s="836" t="str">
        <f>L136</f>
        <v>Kamakhyanagar Block</v>
      </c>
      <c r="M5010" s="836"/>
      <c r="N5010" s="836"/>
      <c r="O5010" s="836"/>
      <c r="P5010" s="836"/>
      <c r="Q5010" s="836"/>
    </row>
    <row r="5011" spans="1:20">
      <c r="A5011" s="724"/>
      <c r="B5011" s="724"/>
      <c r="C5011" s="724"/>
      <c r="D5011" s="724"/>
      <c r="E5011" s="733"/>
      <c r="F5011" s="733"/>
      <c r="G5011" s="724"/>
      <c r="H5011" s="724"/>
      <c r="J5011" s="724"/>
      <c r="L5011" s="724"/>
      <c r="M5011" s="724"/>
      <c r="N5011" s="724"/>
      <c r="O5011" s="724"/>
      <c r="P5011" s="724"/>
      <c r="Q5011" s="724"/>
    </row>
    <row r="5012" spans="1:20" s="731" customFormat="1">
      <c r="A5012" s="768"/>
      <c r="B5012" s="764"/>
      <c r="C5012" s="764"/>
      <c r="D5012" s="764"/>
      <c r="E5012" s="768"/>
      <c r="F5012" s="768"/>
      <c r="H5012" s="764"/>
      <c r="I5012" s="764"/>
      <c r="J5012" s="764"/>
      <c r="L5012" s="764"/>
      <c r="T5012" s="762"/>
    </row>
  </sheetData>
  <sheetProtection selectLockedCells="1"/>
  <mergeCells count="1799">
    <mergeCell ref="B4997:D4997"/>
    <mergeCell ref="B4945:D4945"/>
    <mergeCell ref="B4972:D4972"/>
    <mergeCell ref="B4977:D4977"/>
    <mergeCell ref="B4982:D4982"/>
    <mergeCell ref="B4987:D4987"/>
    <mergeCell ref="B4992:D4992"/>
    <mergeCell ref="B4674:D4674"/>
    <mergeCell ref="B4794:D4794"/>
    <mergeCell ref="B4826:D4826"/>
    <mergeCell ref="B4857:D4857"/>
    <mergeCell ref="B4888:D4888"/>
    <mergeCell ref="B4917:D4917"/>
    <mergeCell ref="B4506:D4506"/>
    <mergeCell ref="B4514:D4514"/>
    <mergeCell ref="B4523:D4523"/>
    <mergeCell ref="B4534:D4534"/>
    <mergeCell ref="B4543:D4543"/>
    <mergeCell ref="B4554:D4554"/>
    <mergeCell ref="B4435:D4435"/>
    <mergeCell ref="B4441:D4441"/>
    <mergeCell ref="B4446:D4446"/>
    <mergeCell ref="B4452:D4452"/>
    <mergeCell ref="B4460:D4460"/>
    <mergeCell ref="B4469:D4469"/>
    <mergeCell ref="B4387:D4387"/>
    <mergeCell ref="B4395:D4395"/>
    <mergeCell ref="B4400:D4400"/>
    <mergeCell ref="B4405:D4405"/>
    <mergeCell ref="B4419:D4419"/>
    <mergeCell ref="B4429:D4429"/>
    <mergeCell ref="B4300:D4300"/>
    <mergeCell ref="B4316:D4316"/>
    <mergeCell ref="B4354:D4354"/>
    <mergeCell ref="B4361:D4361"/>
    <mergeCell ref="B4371:D4371"/>
    <mergeCell ref="B4379:D4379"/>
    <mergeCell ref="B4166:D4166"/>
    <mergeCell ref="B4184:D4184"/>
    <mergeCell ref="B4198:D4198"/>
    <mergeCell ref="B4224:D4224"/>
    <mergeCell ref="B4253:D4253"/>
    <mergeCell ref="B4276:D4276"/>
    <mergeCell ref="B4063:D4063"/>
    <mergeCell ref="B4077:D4077"/>
    <mergeCell ref="B4109:D4109"/>
    <mergeCell ref="B4139:D4139"/>
    <mergeCell ref="B4147:D4147"/>
    <mergeCell ref="B4155:D4155"/>
    <mergeCell ref="B3990:D3990"/>
    <mergeCell ref="B4003:D4003"/>
    <mergeCell ref="B4016:D4016"/>
    <mergeCell ref="B4024:D4024"/>
    <mergeCell ref="B4032:D4032"/>
    <mergeCell ref="B4046:D4046"/>
    <mergeCell ref="B3894:D3894"/>
    <mergeCell ref="B3912:D3912"/>
    <mergeCell ref="B3929:D3929"/>
    <mergeCell ref="B3946:D3946"/>
    <mergeCell ref="B3955:D3955"/>
    <mergeCell ref="B3964:D3964"/>
    <mergeCell ref="B3797:D3797"/>
    <mergeCell ref="B3814:D3814"/>
    <mergeCell ref="B3831:D3831"/>
    <mergeCell ref="B3843:D3843"/>
    <mergeCell ref="B3860:D3860"/>
    <mergeCell ref="B3877:D3877"/>
    <mergeCell ref="B3692:D3692"/>
    <mergeCell ref="B3709:D3709"/>
    <mergeCell ref="B3727:D3727"/>
    <mergeCell ref="B3745:D3745"/>
    <mergeCell ref="B3762:D3762"/>
    <mergeCell ref="B3779:D3779"/>
    <mergeCell ref="B3567:D3567"/>
    <mergeCell ref="B3591:D3591"/>
    <mergeCell ref="B3615:D3615"/>
    <mergeCell ref="B3639:D3639"/>
    <mergeCell ref="B3657:D3657"/>
    <mergeCell ref="B3675:D3675"/>
    <mergeCell ref="B3419:D3419"/>
    <mergeCell ref="B3445:D3445"/>
    <mergeCell ref="B3471:D3471"/>
    <mergeCell ref="B3497:D3497"/>
    <mergeCell ref="B3523:D3523"/>
    <mergeCell ref="B3540:D3540"/>
    <mergeCell ref="B3321:D3321"/>
    <mergeCell ref="B3336:D3336"/>
    <mergeCell ref="B3357:D3357"/>
    <mergeCell ref="B3380:D3380"/>
    <mergeCell ref="B3393:D3393"/>
    <mergeCell ref="B3405:D3405"/>
    <mergeCell ref="B3165:D3165"/>
    <mergeCell ref="B3195:D3195"/>
    <mergeCell ref="B3226:D3226"/>
    <mergeCell ref="B3248:D3248"/>
    <mergeCell ref="B3268:D3268"/>
    <mergeCell ref="B3293:D3293"/>
    <mergeCell ref="B2995:D2995"/>
    <mergeCell ref="B3021:D3021"/>
    <mergeCell ref="B3053:D3053"/>
    <mergeCell ref="B3086:D3086"/>
    <mergeCell ref="B3115:D3115"/>
    <mergeCell ref="B3145:D3145"/>
    <mergeCell ref="B2903:D2903"/>
    <mergeCell ref="B2920:D2920"/>
    <mergeCell ref="B2937:D2937"/>
    <mergeCell ref="B2946:D2946"/>
    <mergeCell ref="B2955:D2955"/>
    <mergeCell ref="B2966:D2966"/>
    <mergeCell ref="B2640:D2640"/>
    <mergeCell ref="B2722:D2722"/>
    <mergeCell ref="B2803:D2803"/>
    <mergeCell ref="B2837:D2837"/>
    <mergeCell ref="B2876:D2876"/>
    <mergeCell ref="B2888:D2888"/>
    <mergeCell ref="B2460:D2460"/>
    <mergeCell ref="B2474:D2474"/>
    <mergeCell ref="B2488:D2488"/>
    <mergeCell ref="B2511:D2511"/>
    <mergeCell ref="B2534:D2534"/>
    <mergeCell ref="B2559:D2559"/>
    <mergeCell ref="B2349:D2349"/>
    <mergeCell ref="B2370:D2370"/>
    <mergeCell ref="B2391:D2391"/>
    <mergeCell ref="B2412:D2412"/>
    <mergeCell ref="B2433:D2433"/>
    <mergeCell ref="B2446:D2446"/>
    <mergeCell ref="B2082:D2082"/>
    <mergeCell ref="B2166:D2166"/>
    <mergeCell ref="B2256:D2256"/>
    <mergeCell ref="B2288:D2288"/>
    <mergeCell ref="B2309:D2309"/>
    <mergeCell ref="B2328:D2328"/>
    <mergeCell ref="B1797:D1797"/>
    <mergeCell ref="B1828:C1829"/>
    <mergeCell ref="B1851:D1852"/>
    <mergeCell ref="B1974:D1975"/>
    <mergeCell ref="B2048:C2048"/>
    <mergeCell ref="B2059:D2059"/>
    <mergeCell ref="B1655:D1655"/>
    <mergeCell ref="B1675:D1675"/>
    <mergeCell ref="B1693:D1693"/>
    <mergeCell ref="B1695:D1695"/>
    <mergeCell ref="B1729:D1729"/>
    <mergeCell ref="B1763:D1763"/>
    <mergeCell ref="B1479:D1479"/>
    <mergeCell ref="B1507:D1507"/>
    <mergeCell ref="B1535:D1535"/>
    <mergeCell ref="B1563:D1563"/>
    <mergeCell ref="B1591:D1591"/>
    <mergeCell ref="B1635:D1635"/>
    <mergeCell ref="B1360:D1360"/>
    <mergeCell ref="B1371:D1371"/>
    <mergeCell ref="B1394:D1394"/>
    <mergeCell ref="B1417:D1417"/>
    <mergeCell ref="N1422:O1422"/>
    <mergeCell ref="B1451:D1451"/>
    <mergeCell ref="B1300:D1300"/>
    <mergeCell ref="B1310:D1310"/>
    <mergeCell ref="B1321:D1321"/>
    <mergeCell ref="B1331:D1331"/>
    <mergeCell ref="B1342:D1342"/>
    <mergeCell ref="B1350:D1350"/>
    <mergeCell ref="B1238:D1238"/>
    <mergeCell ref="A1256:D1256"/>
    <mergeCell ref="B1258:D1258"/>
    <mergeCell ref="B1268:D1268"/>
    <mergeCell ref="B1279:D1279"/>
    <mergeCell ref="B1289:D1289"/>
    <mergeCell ref="B1150:D1150"/>
    <mergeCell ref="B1164:D1164"/>
    <mergeCell ref="B1178:D1178"/>
    <mergeCell ref="B1193:D1193"/>
    <mergeCell ref="B1207:D1207"/>
    <mergeCell ref="B1224:D1224"/>
    <mergeCell ref="B1067:D1067"/>
    <mergeCell ref="B1080:D1080"/>
    <mergeCell ref="B1094:D1094"/>
    <mergeCell ref="B1108:D1108"/>
    <mergeCell ref="B1122:D1122"/>
    <mergeCell ref="B1136:D1136"/>
    <mergeCell ref="B980:D980"/>
    <mergeCell ref="B994:D994"/>
    <mergeCell ref="B1009:D1009"/>
    <mergeCell ref="B1024:D1024"/>
    <mergeCell ref="B1039:D1039"/>
    <mergeCell ref="B1053:D1053"/>
    <mergeCell ref="B936:D936"/>
    <mergeCell ref="G936:H936"/>
    <mergeCell ref="L936:M936"/>
    <mergeCell ref="B938:D938"/>
    <mergeCell ref="B952:D952"/>
    <mergeCell ref="B966:D966"/>
    <mergeCell ref="A933:C933"/>
    <mergeCell ref="D933:M933"/>
    <mergeCell ref="B934:D935"/>
    <mergeCell ref="E934:E935"/>
    <mergeCell ref="G934:H935"/>
    <mergeCell ref="L934:M934"/>
    <mergeCell ref="B927:C927"/>
    <mergeCell ref="B928:C928"/>
    <mergeCell ref="A930:M930"/>
    <mergeCell ref="A931:C931"/>
    <mergeCell ref="D931:M931"/>
    <mergeCell ref="A932:C932"/>
    <mergeCell ref="D932:M932"/>
    <mergeCell ref="G910:H910"/>
    <mergeCell ref="L910:M910"/>
    <mergeCell ref="G911:H911"/>
    <mergeCell ref="L911:M911"/>
    <mergeCell ref="G912:H912"/>
    <mergeCell ref="L912:M912"/>
    <mergeCell ref="G907:H907"/>
    <mergeCell ref="L907:M907"/>
    <mergeCell ref="G908:H908"/>
    <mergeCell ref="L908:M908"/>
    <mergeCell ref="G909:H909"/>
    <mergeCell ref="L909:M909"/>
    <mergeCell ref="G913:H913"/>
    <mergeCell ref="L913:M913"/>
    <mergeCell ref="G914:H914"/>
    <mergeCell ref="L914:M914"/>
    <mergeCell ref="G915:H915"/>
    <mergeCell ref="L915:M915"/>
    <mergeCell ref="G916:H916"/>
    <mergeCell ref="L916:M916"/>
    <mergeCell ref="G904:H904"/>
    <mergeCell ref="L904:M904"/>
    <mergeCell ref="G905:H905"/>
    <mergeCell ref="L905:M905"/>
    <mergeCell ref="G906:H906"/>
    <mergeCell ref="L906:M906"/>
    <mergeCell ref="G901:H901"/>
    <mergeCell ref="L901:M901"/>
    <mergeCell ref="G902:H902"/>
    <mergeCell ref="L902:M902"/>
    <mergeCell ref="G903:H903"/>
    <mergeCell ref="L903:M903"/>
    <mergeCell ref="G898:H898"/>
    <mergeCell ref="L898:M898"/>
    <mergeCell ref="G899:H899"/>
    <mergeCell ref="L899:M899"/>
    <mergeCell ref="G900:H900"/>
    <mergeCell ref="L900:M900"/>
    <mergeCell ref="G895:H895"/>
    <mergeCell ref="L895:M895"/>
    <mergeCell ref="G896:H896"/>
    <mergeCell ref="L896:M896"/>
    <mergeCell ref="G897:H897"/>
    <mergeCell ref="L897:M897"/>
    <mergeCell ref="G892:H892"/>
    <mergeCell ref="L892:M892"/>
    <mergeCell ref="G893:H893"/>
    <mergeCell ref="L893:M893"/>
    <mergeCell ref="G894:H894"/>
    <mergeCell ref="L894:M894"/>
    <mergeCell ref="G889:H889"/>
    <mergeCell ref="L889:M889"/>
    <mergeCell ref="G890:H890"/>
    <mergeCell ref="L890:M890"/>
    <mergeCell ref="G891:H891"/>
    <mergeCell ref="L891:M891"/>
    <mergeCell ref="G886:H886"/>
    <mergeCell ref="L886:M886"/>
    <mergeCell ref="G887:H887"/>
    <mergeCell ref="L887:M887"/>
    <mergeCell ref="G888:H888"/>
    <mergeCell ref="L888:M888"/>
    <mergeCell ref="G883:H883"/>
    <mergeCell ref="L883:M883"/>
    <mergeCell ref="G884:H884"/>
    <mergeCell ref="L884:M884"/>
    <mergeCell ref="G885:H885"/>
    <mergeCell ref="L885:M885"/>
    <mergeCell ref="G880:H880"/>
    <mergeCell ref="L880:M880"/>
    <mergeCell ref="G881:H881"/>
    <mergeCell ref="L881:M881"/>
    <mergeCell ref="G882:H882"/>
    <mergeCell ref="L882:M882"/>
    <mergeCell ref="G877:H877"/>
    <mergeCell ref="L877:M877"/>
    <mergeCell ref="G878:H878"/>
    <mergeCell ref="L878:M878"/>
    <mergeCell ref="G879:H879"/>
    <mergeCell ref="L879:M879"/>
    <mergeCell ref="G874:H874"/>
    <mergeCell ref="L874:M874"/>
    <mergeCell ref="G875:H875"/>
    <mergeCell ref="L875:M875"/>
    <mergeCell ref="G876:H876"/>
    <mergeCell ref="L876:M876"/>
    <mergeCell ref="G871:H871"/>
    <mergeCell ref="L871:M871"/>
    <mergeCell ref="G872:H872"/>
    <mergeCell ref="L872:M872"/>
    <mergeCell ref="G873:H873"/>
    <mergeCell ref="L873:M873"/>
    <mergeCell ref="G868:H868"/>
    <mergeCell ref="L868:M868"/>
    <mergeCell ref="G869:H869"/>
    <mergeCell ref="L869:M869"/>
    <mergeCell ref="G870:H870"/>
    <mergeCell ref="L870:M870"/>
    <mergeCell ref="G863:H863"/>
    <mergeCell ref="L863:M863"/>
    <mergeCell ref="G864:H864"/>
    <mergeCell ref="G865:H865"/>
    <mergeCell ref="L865:M865"/>
    <mergeCell ref="G867:H867"/>
    <mergeCell ref="L867:M867"/>
    <mergeCell ref="G859:H859"/>
    <mergeCell ref="L859:M859"/>
    <mergeCell ref="G860:H860"/>
    <mergeCell ref="G861:H861"/>
    <mergeCell ref="L861:M861"/>
    <mergeCell ref="G862:H862"/>
    <mergeCell ref="G855:H855"/>
    <mergeCell ref="L855:M855"/>
    <mergeCell ref="G856:H856"/>
    <mergeCell ref="G857:H857"/>
    <mergeCell ref="L857:M857"/>
    <mergeCell ref="G858:H858"/>
    <mergeCell ref="G851:H851"/>
    <mergeCell ref="L851:M851"/>
    <mergeCell ref="G852:H852"/>
    <mergeCell ref="G853:H853"/>
    <mergeCell ref="L853:M853"/>
    <mergeCell ref="G854:H854"/>
    <mergeCell ref="G847:H847"/>
    <mergeCell ref="L847:M847"/>
    <mergeCell ref="G849:H849"/>
    <mergeCell ref="L849:M849"/>
    <mergeCell ref="G850:H850"/>
    <mergeCell ref="L850:M850"/>
    <mergeCell ref="G844:H844"/>
    <mergeCell ref="L844:M844"/>
    <mergeCell ref="G845:H845"/>
    <mergeCell ref="L845:M845"/>
    <mergeCell ref="G846:H846"/>
    <mergeCell ref="L846:M846"/>
    <mergeCell ref="G840:H840"/>
    <mergeCell ref="L840:M840"/>
    <mergeCell ref="G841:H841"/>
    <mergeCell ref="L841:M841"/>
    <mergeCell ref="G842:H842"/>
    <mergeCell ref="G843:H843"/>
    <mergeCell ref="L843:M843"/>
    <mergeCell ref="G836:H836"/>
    <mergeCell ref="G837:H837"/>
    <mergeCell ref="L837:M837"/>
    <mergeCell ref="G838:H838"/>
    <mergeCell ref="L838:M838"/>
    <mergeCell ref="G839:H839"/>
    <mergeCell ref="L839:M839"/>
    <mergeCell ref="G833:H833"/>
    <mergeCell ref="L833:M833"/>
    <mergeCell ref="G834:H834"/>
    <mergeCell ref="L834:M834"/>
    <mergeCell ref="G835:H835"/>
    <mergeCell ref="L835:M835"/>
    <mergeCell ref="G829:H829"/>
    <mergeCell ref="L829:M829"/>
    <mergeCell ref="G830:H830"/>
    <mergeCell ref="G831:H831"/>
    <mergeCell ref="L831:M831"/>
    <mergeCell ref="G832:H832"/>
    <mergeCell ref="L832:M832"/>
    <mergeCell ref="G826:H826"/>
    <mergeCell ref="L826:M826"/>
    <mergeCell ref="G827:H827"/>
    <mergeCell ref="L827:M827"/>
    <mergeCell ref="G828:H828"/>
    <mergeCell ref="L828:M828"/>
    <mergeCell ref="G822:H822"/>
    <mergeCell ref="L822:M822"/>
    <mergeCell ref="G823:H823"/>
    <mergeCell ref="L823:M823"/>
    <mergeCell ref="G824:H824"/>
    <mergeCell ref="G825:H825"/>
    <mergeCell ref="L825:M825"/>
    <mergeCell ref="G818:H818"/>
    <mergeCell ref="G819:H819"/>
    <mergeCell ref="L819:M819"/>
    <mergeCell ref="G820:H820"/>
    <mergeCell ref="L820:M820"/>
    <mergeCell ref="G821:H821"/>
    <mergeCell ref="L821:M821"/>
    <mergeCell ref="G815:H815"/>
    <mergeCell ref="L815:M815"/>
    <mergeCell ref="G816:H816"/>
    <mergeCell ref="L816:M816"/>
    <mergeCell ref="G817:H817"/>
    <mergeCell ref="L817:M817"/>
    <mergeCell ref="G811:H811"/>
    <mergeCell ref="L811:M811"/>
    <mergeCell ref="G812:H812"/>
    <mergeCell ref="G813:H813"/>
    <mergeCell ref="L813:M813"/>
    <mergeCell ref="G814:H814"/>
    <mergeCell ref="L814:M814"/>
    <mergeCell ref="G808:H808"/>
    <mergeCell ref="L808:M808"/>
    <mergeCell ref="G809:H809"/>
    <mergeCell ref="L809:M809"/>
    <mergeCell ref="G810:H810"/>
    <mergeCell ref="L810:M810"/>
    <mergeCell ref="G804:H804"/>
    <mergeCell ref="L804:M804"/>
    <mergeCell ref="G805:H805"/>
    <mergeCell ref="L805:M805"/>
    <mergeCell ref="G806:H806"/>
    <mergeCell ref="G807:H807"/>
    <mergeCell ref="L807:M807"/>
    <mergeCell ref="G801:H801"/>
    <mergeCell ref="L801:M801"/>
    <mergeCell ref="G802:H802"/>
    <mergeCell ref="L802:M802"/>
    <mergeCell ref="G803:H803"/>
    <mergeCell ref="L803:M803"/>
    <mergeCell ref="G798:H798"/>
    <mergeCell ref="L798:M798"/>
    <mergeCell ref="G799:H799"/>
    <mergeCell ref="L799:M799"/>
    <mergeCell ref="G800:H800"/>
    <mergeCell ref="L800:M800"/>
    <mergeCell ref="G795:H795"/>
    <mergeCell ref="L795:M795"/>
    <mergeCell ref="G796:H796"/>
    <mergeCell ref="L796:M796"/>
    <mergeCell ref="G797:H797"/>
    <mergeCell ref="L797:M797"/>
    <mergeCell ref="G791:H791"/>
    <mergeCell ref="L791:M791"/>
    <mergeCell ref="G792:H792"/>
    <mergeCell ref="L792:M792"/>
    <mergeCell ref="G793:H793"/>
    <mergeCell ref="G794:H794"/>
    <mergeCell ref="L794:M794"/>
    <mergeCell ref="G787:H787"/>
    <mergeCell ref="G788:H788"/>
    <mergeCell ref="L788:M788"/>
    <mergeCell ref="G789:H789"/>
    <mergeCell ref="L789:M789"/>
    <mergeCell ref="G790:H790"/>
    <mergeCell ref="L790:M790"/>
    <mergeCell ref="G784:H784"/>
    <mergeCell ref="L784:M784"/>
    <mergeCell ref="G785:H785"/>
    <mergeCell ref="L785:M785"/>
    <mergeCell ref="G786:H786"/>
    <mergeCell ref="L786:M786"/>
    <mergeCell ref="G780:H780"/>
    <mergeCell ref="L780:M780"/>
    <mergeCell ref="G781:H781"/>
    <mergeCell ref="G782:H782"/>
    <mergeCell ref="L782:M782"/>
    <mergeCell ref="G783:H783"/>
    <mergeCell ref="L783:M783"/>
    <mergeCell ref="G777:H777"/>
    <mergeCell ref="L777:M777"/>
    <mergeCell ref="G778:H778"/>
    <mergeCell ref="L778:M778"/>
    <mergeCell ref="G779:H779"/>
    <mergeCell ref="L779:M779"/>
    <mergeCell ref="G773:H773"/>
    <mergeCell ref="L773:M773"/>
    <mergeCell ref="G774:H774"/>
    <mergeCell ref="L774:M774"/>
    <mergeCell ref="G775:H775"/>
    <mergeCell ref="G776:H776"/>
    <mergeCell ref="L776:M776"/>
    <mergeCell ref="G769:H769"/>
    <mergeCell ref="G770:H770"/>
    <mergeCell ref="L770:M770"/>
    <mergeCell ref="G771:H771"/>
    <mergeCell ref="L771:M771"/>
    <mergeCell ref="G772:H772"/>
    <mergeCell ref="L772:M772"/>
    <mergeCell ref="G766:H766"/>
    <mergeCell ref="L766:M766"/>
    <mergeCell ref="G767:H767"/>
    <mergeCell ref="L767:M767"/>
    <mergeCell ref="G768:H768"/>
    <mergeCell ref="L768:M768"/>
    <mergeCell ref="G762:H762"/>
    <mergeCell ref="L762:M762"/>
    <mergeCell ref="G763:H763"/>
    <mergeCell ref="G764:H764"/>
    <mergeCell ref="L764:M764"/>
    <mergeCell ref="G765:H765"/>
    <mergeCell ref="L765:M765"/>
    <mergeCell ref="G759:H759"/>
    <mergeCell ref="L759:M759"/>
    <mergeCell ref="G760:H760"/>
    <mergeCell ref="L760:M760"/>
    <mergeCell ref="G761:H761"/>
    <mergeCell ref="L761:M761"/>
    <mergeCell ref="G755:H755"/>
    <mergeCell ref="L755:M755"/>
    <mergeCell ref="G756:H756"/>
    <mergeCell ref="L756:M756"/>
    <mergeCell ref="G757:H757"/>
    <mergeCell ref="G758:H758"/>
    <mergeCell ref="L758:M758"/>
    <mergeCell ref="G752:H752"/>
    <mergeCell ref="L752:M752"/>
    <mergeCell ref="G753:H753"/>
    <mergeCell ref="L753:M753"/>
    <mergeCell ref="G754:H754"/>
    <mergeCell ref="L754:M754"/>
    <mergeCell ref="G749:H749"/>
    <mergeCell ref="L749:M749"/>
    <mergeCell ref="G750:H750"/>
    <mergeCell ref="L750:M750"/>
    <mergeCell ref="G751:H751"/>
    <mergeCell ref="L751:M751"/>
    <mergeCell ref="G746:H746"/>
    <mergeCell ref="L746:M746"/>
    <mergeCell ref="G747:H747"/>
    <mergeCell ref="L747:M747"/>
    <mergeCell ref="G748:H748"/>
    <mergeCell ref="L748:M748"/>
    <mergeCell ref="G743:H743"/>
    <mergeCell ref="L743:M743"/>
    <mergeCell ref="G744:H744"/>
    <mergeCell ref="L744:M744"/>
    <mergeCell ref="G745:H745"/>
    <mergeCell ref="L745:M745"/>
    <mergeCell ref="G740:H740"/>
    <mergeCell ref="L740:M740"/>
    <mergeCell ref="G741:H741"/>
    <mergeCell ref="L741:M741"/>
    <mergeCell ref="G742:H742"/>
    <mergeCell ref="L742:M742"/>
    <mergeCell ref="G737:H737"/>
    <mergeCell ref="L737:M737"/>
    <mergeCell ref="G738:H738"/>
    <mergeCell ref="L738:M738"/>
    <mergeCell ref="G739:H739"/>
    <mergeCell ref="L739:M739"/>
    <mergeCell ref="G734:H734"/>
    <mergeCell ref="L734:M734"/>
    <mergeCell ref="G735:H735"/>
    <mergeCell ref="L735:M735"/>
    <mergeCell ref="G736:H736"/>
    <mergeCell ref="L736:M736"/>
    <mergeCell ref="G731:H731"/>
    <mergeCell ref="L731:M731"/>
    <mergeCell ref="G732:H732"/>
    <mergeCell ref="L732:M732"/>
    <mergeCell ref="G733:H733"/>
    <mergeCell ref="L733:M733"/>
    <mergeCell ref="G728:H728"/>
    <mergeCell ref="L728:M728"/>
    <mergeCell ref="G729:H729"/>
    <mergeCell ref="L729:M729"/>
    <mergeCell ref="G730:H730"/>
    <mergeCell ref="L730:M730"/>
    <mergeCell ref="G725:H725"/>
    <mergeCell ref="L725:M725"/>
    <mergeCell ref="G726:H726"/>
    <mergeCell ref="L726:M726"/>
    <mergeCell ref="G727:H727"/>
    <mergeCell ref="L727:M727"/>
    <mergeCell ref="G722:H722"/>
    <mergeCell ref="L722:M722"/>
    <mergeCell ref="G723:H723"/>
    <mergeCell ref="L723:M723"/>
    <mergeCell ref="G724:H724"/>
    <mergeCell ref="L724:M724"/>
    <mergeCell ref="G719:H719"/>
    <mergeCell ref="L719:M719"/>
    <mergeCell ref="G720:H720"/>
    <mergeCell ref="L720:M720"/>
    <mergeCell ref="G721:H721"/>
    <mergeCell ref="L721:M721"/>
    <mergeCell ref="G716:H716"/>
    <mergeCell ref="L716:M716"/>
    <mergeCell ref="G717:H717"/>
    <mergeCell ref="L717:M717"/>
    <mergeCell ref="G718:H718"/>
    <mergeCell ref="L718:M718"/>
    <mergeCell ref="G713:H713"/>
    <mergeCell ref="L713:M713"/>
    <mergeCell ref="G714:H714"/>
    <mergeCell ref="L714:M714"/>
    <mergeCell ref="G715:H715"/>
    <mergeCell ref="L715:M715"/>
    <mergeCell ref="G710:H710"/>
    <mergeCell ref="L710:M710"/>
    <mergeCell ref="G711:H711"/>
    <mergeCell ref="L711:M711"/>
    <mergeCell ref="G712:H712"/>
    <mergeCell ref="L712:M712"/>
    <mergeCell ref="G707:H707"/>
    <mergeCell ref="L707:M707"/>
    <mergeCell ref="G708:H708"/>
    <mergeCell ref="L708:M708"/>
    <mergeCell ref="G709:H709"/>
    <mergeCell ref="L709:M709"/>
    <mergeCell ref="G704:H704"/>
    <mergeCell ref="L704:M704"/>
    <mergeCell ref="G705:H705"/>
    <mergeCell ref="L705:M705"/>
    <mergeCell ref="G706:H706"/>
    <mergeCell ref="L706:M706"/>
    <mergeCell ref="G701:H701"/>
    <mergeCell ref="L701:M701"/>
    <mergeCell ref="G702:H702"/>
    <mergeCell ref="L702:M702"/>
    <mergeCell ref="G703:H703"/>
    <mergeCell ref="L703:M703"/>
    <mergeCell ref="G698:H698"/>
    <mergeCell ref="L698:M698"/>
    <mergeCell ref="G699:H699"/>
    <mergeCell ref="L699:M699"/>
    <mergeCell ref="G700:H700"/>
    <mergeCell ref="L700:M700"/>
    <mergeCell ref="G695:H695"/>
    <mergeCell ref="L695:M695"/>
    <mergeCell ref="G696:H696"/>
    <mergeCell ref="L696:M696"/>
    <mergeCell ref="G697:H697"/>
    <mergeCell ref="L697:M697"/>
    <mergeCell ref="G692:H692"/>
    <mergeCell ref="L692:M692"/>
    <mergeCell ref="G693:H693"/>
    <mergeCell ref="L693:M693"/>
    <mergeCell ref="G694:H694"/>
    <mergeCell ref="L694:M694"/>
    <mergeCell ref="G689:H689"/>
    <mergeCell ref="L689:M689"/>
    <mergeCell ref="G690:H690"/>
    <mergeCell ref="L690:M690"/>
    <mergeCell ref="G691:H691"/>
    <mergeCell ref="L691:M691"/>
    <mergeCell ref="G686:H686"/>
    <mergeCell ref="L686:M686"/>
    <mergeCell ref="G687:H687"/>
    <mergeCell ref="L687:M687"/>
    <mergeCell ref="G688:H688"/>
    <mergeCell ref="L688:M688"/>
    <mergeCell ref="G683:H683"/>
    <mergeCell ref="L683:M683"/>
    <mergeCell ref="G684:H684"/>
    <mergeCell ref="L684:M684"/>
    <mergeCell ref="G685:H685"/>
    <mergeCell ref="L685:M685"/>
    <mergeCell ref="G680:H680"/>
    <mergeCell ref="L680:M680"/>
    <mergeCell ref="G681:H681"/>
    <mergeCell ref="L681:M681"/>
    <mergeCell ref="G682:H682"/>
    <mergeCell ref="L682:M682"/>
    <mergeCell ref="G677:H677"/>
    <mergeCell ref="L677:M677"/>
    <mergeCell ref="G678:H678"/>
    <mergeCell ref="L678:M678"/>
    <mergeCell ref="G679:H679"/>
    <mergeCell ref="L679:M679"/>
    <mergeCell ref="G674:H674"/>
    <mergeCell ref="L674:M674"/>
    <mergeCell ref="G675:H675"/>
    <mergeCell ref="L675:M675"/>
    <mergeCell ref="G676:H676"/>
    <mergeCell ref="L676:M676"/>
    <mergeCell ref="G671:H671"/>
    <mergeCell ref="L671:M671"/>
    <mergeCell ref="G672:H672"/>
    <mergeCell ref="L672:M672"/>
    <mergeCell ref="G673:H673"/>
    <mergeCell ref="L673:M673"/>
    <mergeCell ref="G668:H668"/>
    <mergeCell ref="L668:M668"/>
    <mergeCell ref="G669:H669"/>
    <mergeCell ref="L669:M669"/>
    <mergeCell ref="G670:H670"/>
    <mergeCell ref="L670:M670"/>
    <mergeCell ref="G665:H665"/>
    <mergeCell ref="L665:M665"/>
    <mergeCell ref="G666:H666"/>
    <mergeCell ref="L666:M666"/>
    <mergeCell ref="G667:H667"/>
    <mergeCell ref="L667:M667"/>
    <mergeCell ref="G662:H662"/>
    <mergeCell ref="L662:M662"/>
    <mergeCell ref="G663:H663"/>
    <mergeCell ref="L663:M663"/>
    <mergeCell ref="G664:H664"/>
    <mergeCell ref="L664:M664"/>
    <mergeCell ref="G659:H659"/>
    <mergeCell ref="L659:M659"/>
    <mergeCell ref="G660:H660"/>
    <mergeCell ref="L660:M660"/>
    <mergeCell ref="G661:H661"/>
    <mergeCell ref="L661:M661"/>
    <mergeCell ref="G656:H656"/>
    <mergeCell ref="L656:M656"/>
    <mergeCell ref="G657:H657"/>
    <mergeCell ref="L657:M657"/>
    <mergeCell ref="G658:H658"/>
    <mergeCell ref="L658:M658"/>
    <mergeCell ref="G653:H653"/>
    <mergeCell ref="L653:M653"/>
    <mergeCell ref="G654:H654"/>
    <mergeCell ref="L654:M654"/>
    <mergeCell ref="G655:H655"/>
    <mergeCell ref="L655:M655"/>
    <mergeCell ref="G650:H650"/>
    <mergeCell ref="L650:M650"/>
    <mergeCell ref="G651:H651"/>
    <mergeCell ref="L651:M651"/>
    <mergeCell ref="G652:H652"/>
    <mergeCell ref="L652:M652"/>
    <mergeCell ref="G647:H647"/>
    <mergeCell ref="L647:M647"/>
    <mergeCell ref="G648:H648"/>
    <mergeCell ref="L648:M648"/>
    <mergeCell ref="G649:H649"/>
    <mergeCell ref="L649:M649"/>
    <mergeCell ref="G644:H644"/>
    <mergeCell ref="L644:M644"/>
    <mergeCell ref="G645:H645"/>
    <mergeCell ref="L645:M645"/>
    <mergeCell ref="G646:H646"/>
    <mergeCell ref="L646:M646"/>
    <mergeCell ref="G641:H641"/>
    <mergeCell ref="L641:M641"/>
    <mergeCell ref="G642:H642"/>
    <mergeCell ref="L642:M642"/>
    <mergeCell ref="G643:H643"/>
    <mergeCell ref="L643:M643"/>
    <mergeCell ref="G638:H638"/>
    <mergeCell ref="L638:M638"/>
    <mergeCell ref="G639:H639"/>
    <mergeCell ref="L639:M639"/>
    <mergeCell ref="G640:H640"/>
    <mergeCell ref="L640:M640"/>
    <mergeCell ref="G635:H635"/>
    <mergeCell ref="L635:M635"/>
    <mergeCell ref="G636:H636"/>
    <mergeCell ref="L636:M636"/>
    <mergeCell ref="G637:H637"/>
    <mergeCell ref="L637:M637"/>
    <mergeCell ref="G632:H632"/>
    <mergeCell ref="L632:M632"/>
    <mergeCell ref="G633:H633"/>
    <mergeCell ref="L633:M633"/>
    <mergeCell ref="G634:H634"/>
    <mergeCell ref="L634:M634"/>
    <mergeCell ref="G628:H628"/>
    <mergeCell ref="G629:H629"/>
    <mergeCell ref="L629:M629"/>
    <mergeCell ref="G630:H630"/>
    <mergeCell ref="L630:M630"/>
    <mergeCell ref="G631:H631"/>
    <mergeCell ref="G625:H625"/>
    <mergeCell ref="L625:M625"/>
    <mergeCell ref="G626:H626"/>
    <mergeCell ref="L626:M626"/>
    <mergeCell ref="G627:H627"/>
    <mergeCell ref="L627:M627"/>
    <mergeCell ref="G621:H621"/>
    <mergeCell ref="G622:H622"/>
    <mergeCell ref="L622:M622"/>
    <mergeCell ref="G623:H623"/>
    <mergeCell ref="L623:M623"/>
    <mergeCell ref="G624:H624"/>
    <mergeCell ref="G618:H618"/>
    <mergeCell ref="L618:M618"/>
    <mergeCell ref="G619:H619"/>
    <mergeCell ref="L619:M619"/>
    <mergeCell ref="G620:H620"/>
    <mergeCell ref="L620:M620"/>
    <mergeCell ref="G614:H614"/>
    <mergeCell ref="G615:H615"/>
    <mergeCell ref="L615:M615"/>
    <mergeCell ref="G616:H616"/>
    <mergeCell ref="L616:M616"/>
    <mergeCell ref="G617:H617"/>
    <mergeCell ref="G611:H611"/>
    <mergeCell ref="L611:M611"/>
    <mergeCell ref="G612:H612"/>
    <mergeCell ref="L612:M612"/>
    <mergeCell ref="G613:H613"/>
    <mergeCell ref="L613:M613"/>
    <mergeCell ref="G607:H607"/>
    <mergeCell ref="G608:H608"/>
    <mergeCell ref="L608:M608"/>
    <mergeCell ref="G609:H609"/>
    <mergeCell ref="L609:M609"/>
    <mergeCell ref="G610:H610"/>
    <mergeCell ref="G603:H603"/>
    <mergeCell ref="L603:M603"/>
    <mergeCell ref="G604:H604"/>
    <mergeCell ref="L604:M604"/>
    <mergeCell ref="G606:H606"/>
    <mergeCell ref="L606:M606"/>
    <mergeCell ref="G600:H600"/>
    <mergeCell ref="L600:M600"/>
    <mergeCell ref="G601:H601"/>
    <mergeCell ref="L601:M601"/>
    <mergeCell ref="G602:H602"/>
    <mergeCell ref="L602:M602"/>
    <mergeCell ref="G597:H597"/>
    <mergeCell ref="L597:M597"/>
    <mergeCell ref="G598:H598"/>
    <mergeCell ref="L598:M598"/>
    <mergeCell ref="G599:H599"/>
    <mergeCell ref="L599:M599"/>
    <mergeCell ref="G594:H594"/>
    <mergeCell ref="L594:M594"/>
    <mergeCell ref="G595:H595"/>
    <mergeCell ref="L595:M595"/>
    <mergeCell ref="G596:H596"/>
    <mergeCell ref="L596:M596"/>
    <mergeCell ref="G591:H591"/>
    <mergeCell ref="L591:M591"/>
    <mergeCell ref="G592:H592"/>
    <mergeCell ref="L592:M592"/>
    <mergeCell ref="G593:H593"/>
    <mergeCell ref="L593:M593"/>
    <mergeCell ref="G588:H588"/>
    <mergeCell ref="L588:M588"/>
    <mergeCell ref="G589:H589"/>
    <mergeCell ref="L589:M589"/>
    <mergeCell ref="G590:H590"/>
    <mergeCell ref="L590:M590"/>
    <mergeCell ref="G585:H585"/>
    <mergeCell ref="L585:M585"/>
    <mergeCell ref="G586:H586"/>
    <mergeCell ref="L586:M586"/>
    <mergeCell ref="G587:H587"/>
    <mergeCell ref="L587:M587"/>
    <mergeCell ref="G582:H582"/>
    <mergeCell ref="L582:M582"/>
    <mergeCell ref="G583:H583"/>
    <mergeCell ref="L583:M583"/>
    <mergeCell ref="G584:H584"/>
    <mergeCell ref="L584:M584"/>
    <mergeCell ref="G579:H579"/>
    <mergeCell ref="L579:M579"/>
    <mergeCell ref="G580:H580"/>
    <mergeCell ref="L580:M580"/>
    <mergeCell ref="G581:H581"/>
    <mergeCell ref="L581:M581"/>
    <mergeCell ref="G576:H576"/>
    <mergeCell ref="L576:M576"/>
    <mergeCell ref="G577:H577"/>
    <mergeCell ref="L577:M577"/>
    <mergeCell ref="G578:H578"/>
    <mergeCell ref="L578:M578"/>
    <mergeCell ref="G573:H573"/>
    <mergeCell ref="L573:M573"/>
    <mergeCell ref="G574:H574"/>
    <mergeCell ref="L574:M574"/>
    <mergeCell ref="G575:H575"/>
    <mergeCell ref="L575:M575"/>
    <mergeCell ref="G570:H570"/>
    <mergeCell ref="L570:M570"/>
    <mergeCell ref="G571:H571"/>
    <mergeCell ref="L571:M571"/>
    <mergeCell ref="G572:H572"/>
    <mergeCell ref="L572:M572"/>
    <mergeCell ref="G567:H567"/>
    <mergeCell ref="L567:M567"/>
    <mergeCell ref="G568:H568"/>
    <mergeCell ref="L568:M568"/>
    <mergeCell ref="G569:H569"/>
    <mergeCell ref="L569:M569"/>
    <mergeCell ref="G564:H564"/>
    <mergeCell ref="L564:M564"/>
    <mergeCell ref="G565:H565"/>
    <mergeCell ref="L565:M565"/>
    <mergeCell ref="G566:H566"/>
    <mergeCell ref="L566:M566"/>
    <mergeCell ref="G561:H561"/>
    <mergeCell ref="L561:M561"/>
    <mergeCell ref="G562:H562"/>
    <mergeCell ref="L562:M562"/>
    <mergeCell ref="G563:H563"/>
    <mergeCell ref="L563:M563"/>
    <mergeCell ref="G558:H558"/>
    <mergeCell ref="L558:M558"/>
    <mergeCell ref="G559:H559"/>
    <mergeCell ref="L559:M559"/>
    <mergeCell ref="G560:H560"/>
    <mergeCell ref="L560:M560"/>
    <mergeCell ref="G554:H554"/>
    <mergeCell ref="L554:M554"/>
    <mergeCell ref="G555:H555"/>
    <mergeCell ref="L555:M555"/>
    <mergeCell ref="G556:H556"/>
    <mergeCell ref="L556:M556"/>
    <mergeCell ref="G551:H551"/>
    <mergeCell ref="L551:M551"/>
    <mergeCell ref="G552:H552"/>
    <mergeCell ref="L552:M552"/>
    <mergeCell ref="G553:H553"/>
    <mergeCell ref="L553:M553"/>
    <mergeCell ref="G548:H548"/>
    <mergeCell ref="L548:M548"/>
    <mergeCell ref="G549:H549"/>
    <mergeCell ref="L549:M549"/>
    <mergeCell ref="G550:H550"/>
    <mergeCell ref="L550:M550"/>
    <mergeCell ref="G545:H545"/>
    <mergeCell ref="L545:M545"/>
    <mergeCell ref="G546:H546"/>
    <mergeCell ref="L546:M546"/>
    <mergeCell ref="G547:H547"/>
    <mergeCell ref="L547:M547"/>
    <mergeCell ref="G541:H541"/>
    <mergeCell ref="G542:H542"/>
    <mergeCell ref="L542:M542"/>
    <mergeCell ref="G543:H543"/>
    <mergeCell ref="L543:M543"/>
    <mergeCell ref="G544:H544"/>
    <mergeCell ref="G537:H537"/>
    <mergeCell ref="L537:M537"/>
    <mergeCell ref="G538:H538"/>
    <mergeCell ref="G539:H539"/>
    <mergeCell ref="L539:M539"/>
    <mergeCell ref="G540:H540"/>
    <mergeCell ref="L540:M540"/>
    <mergeCell ref="G533:H533"/>
    <mergeCell ref="L533:M533"/>
    <mergeCell ref="G534:H534"/>
    <mergeCell ref="L534:M534"/>
    <mergeCell ref="G535:H535"/>
    <mergeCell ref="G536:H536"/>
    <mergeCell ref="L536:M536"/>
    <mergeCell ref="G529:H529"/>
    <mergeCell ref="G530:H530"/>
    <mergeCell ref="L530:M530"/>
    <mergeCell ref="G531:H531"/>
    <mergeCell ref="L531:M531"/>
    <mergeCell ref="G532:H532"/>
    <mergeCell ref="G525:H525"/>
    <mergeCell ref="G526:H526"/>
    <mergeCell ref="L526:M526"/>
    <mergeCell ref="G527:H527"/>
    <mergeCell ref="L527:M527"/>
    <mergeCell ref="G528:H528"/>
    <mergeCell ref="L528:M528"/>
    <mergeCell ref="G521:H521"/>
    <mergeCell ref="L521:M521"/>
    <mergeCell ref="G522:H522"/>
    <mergeCell ref="G523:H523"/>
    <mergeCell ref="L523:M523"/>
    <mergeCell ref="G524:H524"/>
    <mergeCell ref="L524:M524"/>
    <mergeCell ref="G517:H517"/>
    <mergeCell ref="L517:M517"/>
    <mergeCell ref="G518:H518"/>
    <mergeCell ref="L518:M518"/>
    <mergeCell ref="G519:H519"/>
    <mergeCell ref="G520:H520"/>
    <mergeCell ref="L520:M520"/>
    <mergeCell ref="G513:H513"/>
    <mergeCell ref="G514:H514"/>
    <mergeCell ref="L514:M514"/>
    <mergeCell ref="G515:H515"/>
    <mergeCell ref="L515:M515"/>
    <mergeCell ref="G516:H516"/>
    <mergeCell ref="G510:H510"/>
    <mergeCell ref="L510:M510"/>
    <mergeCell ref="G511:H511"/>
    <mergeCell ref="L511:M511"/>
    <mergeCell ref="G512:H512"/>
    <mergeCell ref="L512:M512"/>
    <mergeCell ref="G507:H507"/>
    <mergeCell ref="L507:M507"/>
    <mergeCell ref="G508:H508"/>
    <mergeCell ref="L508:M508"/>
    <mergeCell ref="G509:H509"/>
    <mergeCell ref="L509:M509"/>
    <mergeCell ref="G503:H503"/>
    <mergeCell ref="G504:H504"/>
    <mergeCell ref="L504:M504"/>
    <mergeCell ref="G505:H505"/>
    <mergeCell ref="L505:M505"/>
    <mergeCell ref="G506:H506"/>
    <mergeCell ref="G499:H499"/>
    <mergeCell ref="L499:M499"/>
    <mergeCell ref="G500:H500"/>
    <mergeCell ref="G501:H501"/>
    <mergeCell ref="L501:M501"/>
    <mergeCell ref="G502:H502"/>
    <mergeCell ref="L502:M502"/>
    <mergeCell ref="G495:H495"/>
    <mergeCell ref="L495:M495"/>
    <mergeCell ref="G496:H496"/>
    <mergeCell ref="L496:M496"/>
    <mergeCell ref="G497:H497"/>
    <mergeCell ref="G498:H498"/>
    <mergeCell ref="L498:M498"/>
    <mergeCell ref="G491:H491"/>
    <mergeCell ref="G492:H492"/>
    <mergeCell ref="L492:M492"/>
    <mergeCell ref="G493:H493"/>
    <mergeCell ref="L493:M493"/>
    <mergeCell ref="G494:H494"/>
    <mergeCell ref="G488:H488"/>
    <mergeCell ref="L488:M488"/>
    <mergeCell ref="G489:H489"/>
    <mergeCell ref="L489:M489"/>
    <mergeCell ref="G490:H490"/>
    <mergeCell ref="L490:M490"/>
    <mergeCell ref="G485:H485"/>
    <mergeCell ref="L485:M485"/>
    <mergeCell ref="G486:H486"/>
    <mergeCell ref="L486:M486"/>
    <mergeCell ref="G487:H487"/>
    <mergeCell ref="L487:M487"/>
    <mergeCell ref="G482:H482"/>
    <mergeCell ref="L482:M482"/>
    <mergeCell ref="G483:H483"/>
    <mergeCell ref="L483:M483"/>
    <mergeCell ref="G484:H484"/>
    <mergeCell ref="L484:M484"/>
    <mergeCell ref="G479:H479"/>
    <mergeCell ref="L479:M479"/>
    <mergeCell ref="G480:H480"/>
    <mergeCell ref="L480:M480"/>
    <mergeCell ref="G481:H481"/>
    <mergeCell ref="L481:M481"/>
    <mergeCell ref="G475:H475"/>
    <mergeCell ref="G476:H476"/>
    <mergeCell ref="L476:M476"/>
    <mergeCell ref="G477:H477"/>
    <mergeCell ref="L477:M477"/>
    <mergeCell ref="G478:H478"/>
    <mergeCell ref="L478:M478"/>
    <mergeCell ref="G472:H472"/>
    <mergeCell ref="L472:M472"/>
    <mergeCell ref="G473:H473"/>
    <mergeCell ref="L473:M473"/>
    <mergeCell ref="G474:H474"/>
    <mergeCell ref="L474:M474"/>
    <mergeCell ref="G469:H469"/>
    <mergeCell ref="L469:M469"/>
    <mergeCell ref="G470:H470"/>
    <mergeCell ref="L470:M470"/>
    <mergeCell ref="G471:H471"/>
    <mergeCell ref="L471:M471"/>
    <mergeCell ref="G466:H466"/>
    <mergeCell ref="L466:M466"/>
    <mergeCell ref="G467:H467"/>
    <mergeCell ref="L467:M467"/>
    <mergeCell ref="G468:H468"/>
    <mergeCell ref="L468:M468"/>
    <mergeCell ref="G463:H463"/>
    <mergeCell ref="L463:M463"/>
    <mergeCell ref="G464:H464"/>
    <mergeCell ref="L464:M464"/>
    <mergeCell ref="G465:H465"/>
    <mergeCell ref="L465:M465"/>
    <mergeCell ref="G460:H460"/>
    <mergeCell ref="L460:M460"/>
    <mergeCell ref="G461:H461"/>
    <mergeCell ref="L461:M461"/>
    <mergeCell ref="G462:H462"/>
    <mergeCell ref="L462:M462"/>
    <mergeCell ref="G457:H457"/>
    <mergeCell ref="L457:M457"/>
    <mergeCell ref="G458:H458"/>
    <mergeCell ref="L458:M458"/>
    <mergeCell ref="G459:H459"/>
    <mergeCell ref="L459:M459"/>
    <mergeCell ref="G454:H454"/>
    <mergeCell ref="L454:M454"/>
    <mergeCell ref="G455:H455"/>
    <mergeCell ref="L455:M455"/>
    <mergeCell ref="G456:H456"/>
    <mergeCell ref="L456:M456"/>
    <mergeCell ref="G450:H450"/>
    <mergeCell ref="L450:M450"/>
    <mergeCell ref="G451:H451"/>
    <mergeCell ref="G452:H452"/>
    <mergeCell ref="L452:M452"/>
    <mergeCell ref="G453:H453"/>
    <mergeCell ref="L453:M453"/>
    <mergeCell ref="G445:H445"/>
    <mergeCell ref="L445:M445"/>
    <mergeCell ref="G447:H447"/>
    <mergeCell ref="L447:M447"/>
    <mergeCell ref="G448:H448"/>
    <mergeCell ref="G449:H449"/>
    <mergeCell ref="L449:M449"/>
    <mergeCell ref="G442:H442"/>
    <mergeCell ref="L442:M442"/>
    <mergeCell ref="G443:H443"/>
    <mergeCell ref="L443:M443"/>
    <mergeCell ref="G444:H444"/>
    <mergeCell ref="L444:M444"/>
    <mergeCell ref="G439:H439"/>
    <mergeCell ref="L439:M439"/>
    <mergeCell ref="G440:H440"/>
    <mergeCell ref="L440:M440"/>
    <mergeCell ref="G441:H441"/>
    <mergeCell ref="L441:M441"/>
    <mergeCell ref="G436:H436"/>
    <mergeCell ref="L436:M436"/>
    <mergeCell ref="G437:H437"/>
    <mergeCell ref="L437:M437"/>
    <mergeCell ref="G438:H438"/>
    <mergeCell ref="L438:M438"/>
    <mergeCell ref="G433:H433"/>
    <mergeCell ref="L433:M433"/>
    <mergeCell ref="G434:H434"/>
    <mergeCell ref="L434:M434"/>
    <mergeCell ref="G435:H435"/>
    <mergeCell ref="L435:M435"/>
    <mergeCell ref="G430:H430"/>
    <mergeCell ref="L430:M430"/>
    <mergeCell ref="G431:H431"/>
    <mergeCell ref="L431:M431"/>
    <mergeCell ref="G432:H432"/>
    <mergeCell ref="L432:M432"/>
    <mergeCell ref="G427:H427"/>
    <mergeCell ref="L427:M427"/>
    <mergeCell ref="G428:H428"/>
    <mergeCell ref="L428:M428"/>
    <mergeCell ref="G429:H429"/>
    <mergeCell ref="L429:M429"/>
    <mergeCell ref="G424:H424"/>
    <mergeCell ref="L424:M424"/>
    <mergeCell ref="G425:H425"/>
    <mergeCell ref="L425:M425"/>
    <mergeCell ref="G426:H426"/>
    <mergeCell ref="L426:M426"/>
    <mergeCell ref="G421:H421"/>
    <mergeCell ref="L421:M421"/>
    <mergeCell ref="G422:H422"/>
    <mergeCell ref="L422:M422"/>
    <mergeCell ref="G423:H423"/>
    <mergeCell ref="L423:M423"/>
    <mergeCell ref="G418:H418"/>
    <mergeCell ref="L418:M418"/>
    <mergeCell ref="G419:H419"/>
    <mergeCell ref="L419:M419"/>
    <mergeCell ref="G420:H420"/>
    <mergeCell ref="L420:M420"/>
    <mergeCell ref="G415:H415"/>
    <mergeCell ref="L415:M415"/>
    <mergeCell ref="G416:H416"/>
    <mergeCell ref="L416:M416"/>
    <mergeCell ref="G417:H417"/>
    <mergeCell ref="L417:M417"/>
    <mergeCell ref="G412:H412"/>
    <mergeCell ref="L412:M412"/>
    <mergeCell ref="G413:H413"/>
    <mergeCell ref="L413:M413"/>
    <mergeCell ref="G414:H414"/>
    <mergeCell ref="L414:M414"/>
    <mergeCell ref="G409:H409"/>
    <mergeCell ref="L409:M409"/>
    <mergeCell ref="G410:H410"/>
    <mergeCell ref="L410:M410"/>
    <mergeCell ref="G411:H411"/>
    <mergeCell ref="L411:M411"/>
    <mergeCell ref="G406:H406"/>
    <mergeCell ref="L406:M406"/>
    <mergeCell ref="G407:H407"/>
    <mergeCell ref="L407:M407"/>
    <mergeCell ref="G408:H408"/>
    <mergeCell ref="L408:M408"/>
    <mergeCell ref="G403:H403"/>
    <mergeCell ref="L403:M403"/>
    <mergeCell ref="G404:H404"/>
    <mergeCell ref="L404:M404"/>
    <mergeCell ref="G405:H405"/>
    <mergeCell ref="L405:M405"/>
    <mergeCell ref="G400:H400"/>
    <mergeCell ref="L400:M400"/>
    <mergeCell ref="G401:H401"/>
    <mergeCell ref="L401:M401"/>
    <mergeCell ref="G402:H402"/>
    <mergeCell ref="L402:M402"/>
    <mergeCell ref="G397:H397"/>
    <mergeCell ref="L397:M397"/>
    <mergeCell ref="G398:H398"/>
    <mergeCell ref="L398:M398"/>
    <mergeCell ref="G399:H399"/>
    <mergeCell ref="L399:M399"/>
    <mergeCell ref="G394:H394"/>
    <mergeCell ref="L394:M394"/>
    <mergeCell ref="G395:H395"/>
    <mergeCell ref="L395:M395"/>
    <mergeCell ref="G396:H396"/>
    <mergeCell ref="L396:M396"/>
    <mergeCell ref="G391:H391"/>
    <mergeCell ref="L391:M391"/>
    <mergeCell ref="G392:H392"/>
    <mergeCell ref="L392:M392"/>
    <mergeCell ref="G393:H393"/>
    <mergeCell ref="L393:M393"/>
    <mergeCell ref="G388:H388"/>
    <mergeCell ref="L388:M388"/>
    <mergeCell ref="G389:H389"/>
    <mergeCell ref="L389:M389"/>
    <mergeCell ref="G390:H390"/>
    <mergeCell ref="L390:M390"/>
    <mergeCell ref="G385:H385"/>
    <mergeCell ref="L385:M385"/>
    <mergeCell ref="G386:H386"/>
    <mergeCell ref="L386:M386"/>
    <mergeCell ref="G387:H387"/>
    <mergeCell ref="L387:M387"/>
    <mergeCell ref="G382:H382"/>
    <mergeCell ref="L382:M382"/>
    <mergeCell ref="G383:H383"/>
    <mergeCell ref="L383:M383"/>
    <mergeCell ref="G384:H384"/>
    <mergeCell ref="L384:M384"/>
    <mergeCell ref="G379:H379"/>
    <mergeCell ref="L379:M379"/>
    <mergeCell ref="G380:H380"/>
    <mergeCell ref="L380:M380"/>
    <mergeCell ref="G381:H381"/>
    <mergeCell ref="L381:M381"/>
    <mergeCell ref="G376:H376"/>
    <mergeCell ref="L376:M376"/>
    <mergeCell ref="G377:H377"/>
    <mergeCell ref="L377:M377"/>
    <mergeCell ref="G378:H378"/>
    <mergeCell ref="L378:M378"/>
    <mergeCell ref="G373:H373"/>
    <mergeCell ref="L373:M373"/>
    <mergeCell ref="G374:H374"/>
    <mergeCell ref="L374:M374"/>
    <mergeCell ref="G375:H375"/>
    <mergeCell ref="L375:M375"/>
    <mergeCell ref="G370:H370"/>
    <mergeCell ref="L370:M370"/>
    <mergeCell ref="G371:H371"/>
    <mergeCell ref="L371:M371"/>
    <mergeCell ref="G372:H372"/>
    <mergeCell ref="L372:M372"/>
    <mergeCell ref="G367:H367"/>
    <mergeCell ref="L367:M367"/>
    <mergeCell ref="G368:H368"/>
    <mergeCell ref="L368:M368"/>
    <mergeCell ref="G369:H369"/>
    <mergeCell ref="L369:M369"/>
    <mergeCell ref="G364:H364"/>
    <mergeCell ref="L364:M364"/>
    <mergeCell ref="G365:H365"/>
    <mergeCell ref="L365:M365"/>
    <mergeCell ref="G366:H366"/>
    <mergeCell ref="L366:M366"/>
    <mergeCell ref="G361:H361"/>
    <mergeCell ref="L361:M361"/>
    <mergeCell ref="G362:H362"/>
    <mergeCell ref="L362:M362"/>
    <mergeCell ref="G363:H363"/>
    <mergeCell ref="L363:M363"/>
    <mergeCell ref="G358:H358"/>
    <mergeCell ref="L358:M358"/>
    <mergeCell ref="G359:H359"/>
    <mergeCell ref="L359:M359"/>
    <mergeCell ref="G360:H360"/>
    <mergeCell ref="L360:M360"/>
    <mergeCell ref="G355:H355"/>
    <mergeCell ref="L355:M355"/>
    <mergeCell ref="G356:H356"/>
    <mergeCell ref="L356:M356"/>
    <mergeCell ref="G357:H357"/>
    <mergeCell ref="L357:M357"/>
    <mergeCell ref="G352:H352"/>
    <mergeCell ref="L352:M352"/>
    <mergeCell ref="G353:H353"/>
    <mergeCell ref="L353:M353"/>
    <mergeCell ref="G354:H354"/>
    <mergeCell ref="L354:M354"/>
    <mergeCell ref="G349:H349"/>
    <mergeCell ref="L349:M349"/>
    <mergeCell ref="G350:H350"/>
    <mergeCell ref="L350:M350"/>
    <mergeCell ref="G351:H351"/>
    <mergeCell ref="L351:M351"/>
    <mergeCell ref="G346:H346"/>
    <mergeCell ref="L346:M346"/>
    <mergeCell ref="G347:H347"/>
    <mergeCell ref="L347:M347"/>
    <mergeCell ref="G348:H348"/>
    <mergeCell ref="L348:M348"/>
    <mergeCell ref="G343:H343"/>
    <mergeCell ref="L343:M343"/>
    <mergeCell ref="G344:H344"/>
    <mergeCell ref="L344:M344"/>
    <mergeCell ref="G345:H345"/>
    <mergeCell ref="L345:M345"/>
    <mergeCell ref="G340:H340"/>
    <mergeCell ref="L340:M340"/>
    <mergeCell ref="G341:H341"/>
    <mergeCell ref="L341:M341"/>
    <mergeCell ref="G342:H342"/>
    <mergeCell ref="L342:M342"/>
    <mergeCell ref="L336:M336"/>
    <mergeCell ref="G337:H337"/>
    <mergeCell ref="L337:M337"/>
    <mergeCell ref="G338:H338"/>
    <mergeCell ref="L338:M338"/>
    <mergeCell ref="G339:H339"/>
    <mergeCell ref="L339:M339"/>
    <mergeCell ref="G333:H333"/>
    <mergeCell ref="L333:M333"/>
    <mergeCell ref="G334:H334"/>
    <mergeCell ref="L334:M334"/>
    <mergeCell ref="G335:H335"/>
    <mergeCell ref="L335:M335"/>
    <mergeCell ref="G330:H330"/>
    <mergeCell ref="L330:M330"/>
    <mergeCell ref="G331:H331"/>
    <mergeCell ref="L331:M331"/>
    <mergeCell ref="G332:H332"/>
    <mergeCell ref="L332:M332"/>
    <mergeCell ref="G327:H327"/>
    <mergeCell ref="L327:M327"/>
    <mergeCell ref="G328:H328"/>
    <mergeCell ref="L328:M328"/>
    <mergeCell ref="G329:H329"/>
    <mergeCell ref="L329:M329"/>
    <mergeCell ref="G324:H324"/>
    <mergeCell ref="L324:M324"/>
    <mergeCell ref="G325:H325"/>
    <mergeCell ref="L325:M325"/>
    <mergeCell ref="G326:H326"/>
    <mergeCell ref="L326:M326"/>
    <mergeCell ref="G320:H320"/>
    <mergeCell ref="G321:H321"/>
    <mergeCell ref="L321:M321"/>
    <mergeCell ref="G322:H322"/>
    <mergeCell ref="L322:M322"/>
    <mergeCell ref="G323:H323"/>
    <mergeCell ref="L323:M323"/>
    <mergeCell ref="G316:H316"/>
    <mergeCell ref="G317:H317"/>
    <mergeCell ref="L317:M317"/>
    <mergeCell ref="G318:H318"/>
    <mergeCell ref="L318:M318"/>
    <mergeCell ref="G319:H319"/>
    <mergeCell ref="L319:M319"/>
    <mergeCell ref="G312:H312"/>
    <mergeCell ref="G313:H313"/>
    <mergeCell ref="L313:M313"/>
    <mergeCell ref="G314:H314"/>
    <mergeCell ref="L314:M314"/>
    <mergeCell ref="G315:H315"/>
    <mergeCell ref="L315:M315"/>
    <mergeCell ref="G308:H308"/>
    <mergeCell ref="G309:H309"/>
    <mergeCell ref="L309:M309"/>
    <mergeCell ref="G310:H310"/>
    <mergeCell ref="L310:M310"/>
    <mergeCell ref="G311:H311"/>
    <mergeCell ref="L311:M311"/>
    <mergeCell ref="G304:H304"/>
    <mergeCell ref="L304:M304"/>
    <mergeCell ref="G305:H305"/>
    <mergeCell ref="L305:M305"/>
    <mergeCell ref="G307:H307"/>
    <mergeCell ref="L307:M307"/>
    <mergeCell ref="G301:H301"/>
    <mergeCell ref="L301:M301"/>
    <mergeCell ref="G302:H302"/>
    <mergeCell ref="L302:M302"/>
    <mergeCell ref="G303:H303"/>
    <mergeCell ref="L303:M303"/>
    <mergeCell ref="G298:H298"/>
    <mergeCell ref="L298:M298"/>
    <mergeCell ref="G299:H299"/>
    <mergeCell ref="L299:M299"/>
    <mergeCell ref="G300:H300"/>
    <mergeCell ref="L300:M300"/>
    <mergeCell ref="G295:H295"/>
    <mergeCell ref="L295:M295"/>
    <mergeCell ref="G296:H296"/>
    <mergeCell ref="L296:M296"/>
    <mergeCell ref="G297:H297"/>
    <mergeCell ref="L297:M297"/>
    <mergeCell ref="G292:H292"/>
    <mergeCell ref="L292:M292"/>
    <mergeCell ref="G293:H293"/>
    <mergeCell ref="L293:M293"/>
    <mergeCell ref="G294:H294"/>
    <mergeCell ref="L294:M294"/>
    <mergeCell ref="G289:H289"/>
    <mergeCell ref="L289:M289"/>
    <mergeCell ref="G290:H290"/>
    <mergeCell ref="L290:M290"/>
    <mergeCell ref="G291:H291"/>
    <mergeCell ref="L291:M291"/>
    <mergeCell ref="G286:H286"/>
    <mergeCell ref="L286:M286"/>
    <mergeCell ref="G287:H287"/>
    <mergeCell ref="L287:M287"/>
    <mergeCell ref="G288:H288"/>
    <mergeCell ref="L288:M288"/>
    <mergeCell ref="G283:H283"/>
    <mergeCell ref="L283:M283"/>
    <mergeCell ref="G284:H284"/>
    <mergeCell ref="L284:M284"/>
    <mergeCell ref="G285:H285"/>
    <mergeCell ref="L285:M285"/>
    <mergeCell ref="G280:H280"/>
    <mergeCell ref="L280:M280"/>
    <mergeCell ref="G281:H281"/>
    <mergeCell ref="L281:M281"/>
    <mergeCell ref="G282:H282"/>
    <mergeCell ref="L282:M282"/>
    <mergeCell ref="G277:H277"/>
    <mergeCell ref="L277:M277"/>
    <mergeCell ref="G278:H278"/>
    <mergeCell ref="L278:M278"/>
    <mergeCell ref="G279:H279"/>
    <mergeCell ref="L279:M279"/>
    <mergeCell ref="G274:H274"/>
    <mergeCell ref="L274:M274"/>
    <mergeCell ref="G275:H275"/>
    <mergeCell ref="L275:M275"/>
    <mergeCell ref="G276:H276"/>
    <mergeCell ref="L276:M276"/>
    <mergeCell ref="G271:H271"/>
    <mergeCell ref="L271:M271"/>
    <mergeCell ref="G272:H272"/>
    <mergeCell ref="L272:M272"/>
    <mergeCell ref="G273:H273"/>
    <mergeCell ref="L273:M273"/>
    <mergeCell ref="G268:H268"/>
    <mergeCell ref="L268:M268"/>
    <mergeCell ref="G269:H269"/>
    <mergeCell ref="L269:M269"/>
    <mergeCell ref="G270:H270"/>
    <mergeCell ref="L270:M270"/>
    <mergeCell ref="G265:H265"/>
    <mergeCell ref="L265:M265"/>
    <mergeCell ref="G266:H266"/>
    <mergeCell ref="L266:M266"/>
    <mergeCell ref="G267:H267"/>
    <mergeCell ref="L267:M267"/>
    <mergeCell ref="G262:H262"/>
    <mergeCell ref="L262:M262"/>
    <mergeCell ref="G263:H263"/>
    <mergeCell ref="L263:M263"/>
    <mergeCell ref="G264:H264"/>
    <mergeCell ref="L264:M264"/>
    <mergeCell ref="G259:H259"/>
    <mergeCell ref="L259:M259"/>
    <mergeCell ref="G260:H260"/>
    <mergeCell ref="L260:M260"/>
    <mergeCell ref="G261:H261"/>
    <mergeCell ref="L261:M261"/>
    <mergeCell ref="G256:H256"/>
    <mergeCell ref="L256:M256"/>
    <mergeCell ref="G257:H257"/>
    <mergeCell ref="L257:M257"/>
    <mergeCell ref="G258:H258"/>
    <mergeCell ref="L258:M258"/>
    <mergeCell ref="G253:H253"/>
    <mergeCell ref="L253:M253"/>
    <mergeCell ref="G254:H254"/>
    <mergeCell ref="L254:M254"/>
    <mergeCell ref="G255:H255"/>
    <mergeCell ref="L255:M255"/>
    <mergeCell ref="G250:H250"/>
    <mergeCell ref="L250:M250"/>
    <mergeCell ref="G251:H251"/>
    <mergeCell ref="L251:M251"/>
    <mergeCell ref="G252:H252"/>
    <mergeCell ref="L252:M252"/>
    <mergeCell ref="G247:H247"/>
    <mergeCell ref="L247:M247"/>
    <mergeCell ref="G248:H248"/>
    <mergeCell ref="L248:M248"/>
    <mergeCell ref="G249:H249"/>
    <mergeCell ref="L249:M249"/>
    <mergeCell ref="G244:H244"/>
    <mergeCell ref="L244:M244"/>
    <mergeCell ref="G245:H245"/>
    <mergeCell ref="L245:M245"/>
    <mergeCell ref="G246:H246"/>
    <mergeCell ref="L246:M246"/>
    <mergeCell ref="G241:H241"/>
    <mergeCell ref="L241:M241"/>
    <mergeCell ref="G242:H242"/>
    <mergeCell ref="L242:M242"/>
    <mergeCell ref="G243:H243"/>
    <mergeCell ref="L243:M243"/>
    <mergeCell ref="B238:F238"/>
    <mergeCell ref="G238:H238"/>
    <mergeCell ref="L238:M238"/>
    <mergeCell ref="G239:H239"/>
    <mergeCell ref="L239:M239"/>
    <mergeCell ref="G240:H240"/>
    <mergeCell ref="L240:M240"/>
    <mergeCell ref="A235:C235"/>
    <mergeCell ref="D235:N235"/>
    <mergeCell ref="B236:F237"/>
    <mergeCell ref="G236:H237"/>
    <mergeCell ref="I236:I237"/>
    <mergeCell ref="J236:J237"/>
    <mergeCell ref="K236:M236"/>
    <mergeCell ref="L237:M237"/>
    <mergeCell ref="B230:C230"/>
    <mergeCell ref="B231:C231"/>
    <mergeCell ref="A232:N232"/>
    <mergeCell ref="A233:C233"/>
    <mergeCell ref="D233:N233"/>
    <mergeCell ref="A234:C234"/>
    <mergeCell ref="D234:N234"/>
    <mergeCell ref="R214:S214"/>
    <mergeCell ref="T214:U214"/>
    <mergeCell ref="V214:W214"/>
    <mergeCell ref="B215:D215"/>
    <mergeCell ref="I215:K215"/>
    <mergeCell ref="B229:C229"/>
    <mergeCell ref="R141:S141"/>
    <mergeCell ref="T141:U141"/>
    <mergeCell ref="V141:W141"/>
    <mergeCell ref="B142:D142"/>
    <mergeCell ref="I142:K142"/>
    <mergeCell ref="B193:D193"/>
    <mergeCell ref="I193:K193"/>
    <mergeCell ref="A138:C138"/>
    <mergeCell ref="D138:N138"/>
    <mergeCell ref="A139:C139"/>
    <mergeCell ref="D139:N139"/>
    <mergeCell ref="A140:C140"/>
    <mergeCell ref="D140:N140"/>
    <mergeCell ref="L130:M130"/>
    <mergeCell ref="L131:M131"/>
    <mergeCell ref="L132:M132"/>
    <mergeCell ref="B135:C135"/>
    <mergeCell ref="B136:C136"/>
    <mergeCell ref="A137:N137"/>
    <mergeCell ref="E126:G126"/>
    <mergeCell ref="H126:I126"/>
    <mergeCell ref="L126:M126"/>
    <mergeCell ref="I128:K128"/>
    <mergeCell ref="L128:M128"/>
    <mergeCell ref="L129:M129"/>
    <mergeCell ref="D120:E125"/>
    <mergeCell ref="L120:M120"/>
    <mergeCell ref="L121:M121"/>
    <mergeCell ref="L122:M122"/>
    <mergeCell ref="L123:M123"/>
    <mergeCell ref="L124:M124"/>
    <mergeCell ref="L125:M125"/>
    <mergeCell ref="D117:E119"/>
    <mergeCell ref="G117:G119"/>
    <mergeCell ref="H117:H119"/>
    <mergeCell ref="I117:I119"/>
    <mergeCell ref="J117:J119"/>
    <mergeCell ref="L117:M117"/>
    <mergeCell ref="L119:M119"/>
    <mergeCell ref="D114:E114"/>
    <mergeCell ref="H114:I114"/>
    <mergeCell ref="L114:M114"/>
    <mergeCell ref="G115:H115"/>
    <mergeCell ref="I115:J115"/>
    <mergeCell ref="L115:M115"/>
    <mergeCell ref="L111:M111"/>
    <mergeCell ref="D112:E112"/>
    <mergeCell ref="H112:I112"/>
    <mergeCell ref="L112:M112"/>
    <mergeCell ref="D113:E113"/>
    <mergeCell ref="H113:I113"/>
    <mergeCell ref="L113:M113"/>
    <mergeCell ref="D103:E103"/>
    <mergeCell ref="L103:M103"/>
    <mergeCell ref="B107:N107"/>
    <mergeCell ref="A108:M108"/>
    <mergeCell ref="D109:E109"/>
    <mergeCell ref="H109:I109"/>
    <mergeCell ref="J109:J111"/>
    <mergeCell ref="L109:M109"/>
    <mergeCell ref="D111:E111"/>
    <mergeCell ref="H111:I111"/>
    <mergeCell ref="D100:E100"/>
    <mergeCell ref="L100:M100"/>
    <mergeCell ref="D101:E101"/>
    <mergeCell ref="L101:M101"/>
    <mergeCell ref="D102:E102"/>
    <mergeCell ref="L102:M102"/>
    <mergeCell ref="D97:E97"/>
    <mergeCell ref="L97:M97"/>
    <mergeCell ref="D98:E98"/>
    <mergeCell ref="L98:M98"/>
    <mergeCell ref="D99:E99"/>
    <mergeCell ref="L99:M99"/>
    <mergeCell ref="D94:E94"/>
    <mergeCell ref="L94:M94"/>
    <mergeCell ref="D95:E95"/>
    <mergeCell ref="L95:M95"/>
    <mergeCell ref="D96:E96"/>
    <mergeCell ref="L96:M96"/>
    <mergeCell ref="D91:E91"/>
    <mergeCell ref="L91:M91"/>
    <mergeCell ref="D92:E92"/>
    <mergeCell ref="L92:M92"/>
    <mergeCell ref="D93:E93"/>
    <mergeCell ref="L93:M93"/>
    <mergeCell ref="D88:E88"/>
    <mergeCell ref="L88:M88"/>
    <mergeCell ref="D89:E89"/>
    <mergeCell ref="L89:M89"/>
    <mergeCell ref="D90:E90"/>
    <mergeCell ref="L90:M90"/>
    <mergeCell ref="D85:E85"/>
    <mergeCell ref="L85:M85"/>
    <mergeCell ref="D86:E86"/>
    <mergeCell ref="L86:M86"/>
    <mergeCell ref="D87:E87"/>
    <mergeCell ref="L87:M87"/>
    <mergeCell ref="D82:E82"/>
    <mergeCell ref="L82:M82"/>
    <mergeCell ref="D83:E83"/>
    <mergeCell ref="L83:M83"/>
    <mergeCell ref="D84:E84"/>
    <mergeCell ref="L84:M84"/>
    <mergeCell ref="D79:E79"/>
    <mergeCell ref="L79:M79"/>
    <mergeCell ref="D80:E80"/>
    <mergeCell ref="L80:M80"/>
    <mergeCell ref="D81:E81"/>
    <mergeCell ref="L81:M81"/>
    <mergeCell ref="A64:A66"/>
    <mergeCell ref="D64:E64"/>
    <mergeCell ref="L64:M64"/>
    <mergeCell ref="D65:E65"/>
    <mergeCell ref="L65:M65"/>
    <mergeCell ref="D66:E66"/>
    <mergeCell ref="D76:E76"/>
    <mergeCell ref="L76:M76"/>
    <mergeCell ref="D77:E77"/>
    <mergeCell ref="L77:M77"/>
    <mergeCell ref="D78:E78"/>
    <mergeCell ref="L78:M78"/>
    <mergeCell ref="D73:E73"/>
    <mergeCell ref="L73:M73"/>
    <mergeCell ref="D74:E74"/>
    <mergeCell ref="L74:M74"/>
    <mergeCell ref="D75:E75"/>
    <mergeCell ref="L75:M75"/>
    <mergeCell ref="D70:E70"/>
    <mergeCell ref="L70:M70"/>
    <mergeCell ref="D71:E71"/>
    <mergeCell ref="L71:M71"/>
    <mergeCell ref="D72:E72"/>
    <mergeCell ref="L72:M72"/>
    <mergeCell ref="D58:E58"/>
    <mergeCell ref="L58:M58"/>
    <mergeCell ref="L52:M52"/>
    <mergeCell ref="D53:E53"/>
    <mergeCell ref="L53:M53"/>
    <mergeCell ref="D54:E54"/>
    <mergeCell ref="L54:M54"/>
    <mergeCell ref="D55:E55"/>
    <mergeCell ref="L55:M55"/>
    <mergeCell ref="L66:M66"/>
    <mergeCell ref="D67:E67"/>
    <mergeCell ref="L67:M67"/>
    <mergeCell ref="D68:E68"/>
    <mergeCell ref="L68:M68"/>
    <mergeCell ref="D69:E69"/>
    <mergeCell ref="L69:M69"/>
    <mergeCell ref="D62:E62"/>
    <mergeCell ref="L62:M62"/>
    <mergeCell ref="D63:E63"/>
    <mergeCell ref="L63:M63"/>
    <mergeCell ref="D48:E48"/>
    <mergeCell ref="L48:M48"/>
    <mergeCell ref="D49:E49"/>
    <mergeCell ref="L49:M49"/>
    <mergeCell ref="A50:A63"/>
    <mergeCell ref="D50:E50"/>
    <mergeCell ref="L50:M50"/>
    <mergeCell ref="D51:E51"/>
    <mergeCell ref="L51:M51"/>
    <mergeCell ref="D52:E52"/>
    <mergeCell ref="D45:E45"/>
    <mergeCell ref="L45:M45"/>
    <mergeCell ref="D46:E46"/>
    <mergeCell ref="L46:M46"/>
    <mergeCell ref="D47:E47"/>
    <mergeCell ref="L47:M47"/>
    <mergeCell ref="D42:E42"/>
    <mergeCell ref="L42:M42"/>
    <mergeCell ref="D43:E43"/>
    <mergeCell ref="L43:M43"/>
    <mergeCell ref="D44:E44"/>
    <mergeCell ref="L44:M44"/>
    <mergeCell ref="D59:E59"/>
    <mergeCell ref="L59:M59"/>
    <mergeCell ref="D60:E60"/>
    <mergeCell ref="L60:M60"/>
    <mergeCell ref="D61:E61"/>
    <mergeCell ref="L61:M61"/>
    <mergeCell ref="D56:E56"/>
    <mergeCell ref="L56:M56"/>
    <mergeCell ref="D57:E57"/>
    <mergeCell ref="L57:M57"/>
    <mergeCell ref="L38:M38"/>
    <mergeCell ref="D39:E39"/>
    <mergeCell ref="L39:M39"/>
    <mergeCell ref="D40:E40"/>
    <mergeCell ref="L40:M40"/>
    <mergeCell ref="D41:E41"/>
    <mergeCell ref="L41:M41"/>
    <mergeCell ref="D34:E34"/>
    <mergeCell ref="L34:M34"/>
    <mergeCell ref="A35:A41"/>
    <mergeCell ref="D35:E35"/>
    <mergeCell ref="L35:M35"/>
    <mergeCell ref="D36:E36"/>
    <mergeCell ref="L36:M36"/>
    <mergeCell ref="D37:E37"/>
    <mergeCell ref="L37:M37"/>
    <mergeCell ref="D38:E38"/>
    <mergeCell ref="L30:M30"/>
    <mergeCell ref="D31:E31"/>
    <mergeCell ref="L31:M31"/>
    <mergeCell ref="D32:E32"/>
    <mergeCell ref="L32:M32"/>
    <mergeCell ref="D33:E33"/>
    <mergeCell ref="L33:M33"/>
    <mergeCell ref="D26:E26"/>
    <mergeCell ref="L26:M26"/>
    <mergeCell ref="D27:E27"/>
    <mergeCell ref="L27:M27"/>
    <mergeCell ref="A28:A34"/>
    <mergeCell ref="D28:E28"/>
    <mergeCell ref="L28:M28"/>
    <mergeCell ref="D29:E29"/>
    <mergeCell ref="L29:M29"/>
    <mergeCell ref="D30:E30"/>
    <mergeCell ref="D23:E23"/>
    <mergeCell ref="L23:M23"/>
    <mergeCell ref="D24:E24"/>
    <mergeCell ref="L24:M24"/>
    <mergeCell ref="D25:E25"/>
    <mergeCell ref="L25:M25"/>
    <mergeCell ref="D20:E20"/>
    <mergeCell ref="L20:M20"/>
    <mergeCell ref="D21:E21"/>
    <mergeCell ref="L21:M21"/>
    <mergeCell ref="D22:E22"/>
    <mergeCell ref="L22:M22"/>
    <mergeCell ref="D17:E17"/>
    <mergeCell ref="L17:M17"/>
    <mergeCell ref="D18:E18"/>
    <mergeCell ref="L18:M18"/>
    <mergeCell ref="D19:E19"/>
    <mergeCell ref="L19:M19"/>
    <mergeCell ref="D14:E14"/>
    <mergeCell ref="L14:M14"/>
    <mergeCell ref="D15:E15"/>
    <mergeCell ref="L15:M15"/>
    <mergeCell ref="D16:E16"/>
    <mergeCell ref="L16:M16"/>
    <mergeCell ref="D11:E11"/>
    <mergeCell ref="L11:M11"/>
    <mergeCell ref="D12:E12"/>
    <mergeCell ref="L12:M12"/>
    <mergeCell ref="D13:E13"/>
    <mergeCell ref="L13:M13"/>
    <mergeCell ref="V7:W7"/>
    <mergeCell ref="D8:E8"/>
    <mergeCell ref="L8:M8"/>
    <mergeCell ref="D9:E9"/>
    <mergeCell ref="L9:M9"/>
    <mergeCell ref="D10:E10"/>
    <mergeCell ref="L10:M10"/>
    <mergeCell ref="P5:P6"/>
    <mergeCell ref="Q5:Q6"/>
    <mergeCell ref="T5:T7"/>
    <mergeCell ref="U5:U7"/>
    <mergeCell ref="D6:E6"/>
    <mergeCell ref="L6:M6"/>
    <mergeCell ref="D7:E7"/>
    <mergeCell ref="L7:M7"/>
    <mergeCell ref="R7:S7"/>
    <mergeCell ref="B5:B6"/>
    <mergeCell ref="D5:E5"/>
    <mergeCell ref="H5:I5"/>
    <mergeCell ref="L5:M5"/>
    <mergeCell ref="N5:N6"/>
    <mergeCell ref="O5:O6"/>
    <mergeCell ref="A1:N1"/>
    <mergeCell ref="A2:C2"/>
    <mergeCell ref="D2:N2"/>
    <mergeCell ref="A3:C3"/>
    <mergeCell ref="D3:N3"/>
    <mergeCell ref="A4:C4"/>
    <mergeCell ref="D4:N4"/>
  </mergeCells>
  <pageMargins left="0.39370078740157483" right="0.28000000000000003" top="0.43307086614173229" bottom="0.43307086614173229" header="0.51181102362204722" footer="0.51181102362204722"/>
  <pageSetup paperSize="9" scale="80"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C00000"/>
  </sheetPr>
  <dimension ref="G3:HF438"/>
  <sheetViews>
    <sheetView view="pageBreakPreview" zoomScale="77" zoomScaleSheetLayoutView="77" workbookViewId="0">
      <selection activeCell="FW248" sqref="FW248:FW249"/>
    </sheetView>
  </sheetViews>
  <sheetFormatPr defaultColWidth="0.5703125" defaultRowHeight="3.6" customHeight="1"/>
  <cols>
    <col min="1" max="147" width="0.5703125" style="13"/>
    <col min="148" max="148" width="0.42578125" style="13" customWidth="1"/>
    <col min="149" max="149" width="0.28515625" style="13" customWidth="1"/>
    <col min="150" max="183" width="0.5703125" style="13"/>
    <col min="184" max="184" width="0.140625" style="13" customWidth="1"/>
    <col min="185" max="403" width="0.5703125" style="13"/>
    <col min="404" max="404" width="0.42578125" style="13" customWidth="1"/>
    <col min="405" max="405" width="0.28515625" style="13" customWidth="1"/>
    <col min="406" max="439" width="0.5703125" style="13"/>
    <col min="440" max="440" width="0.140625" style="13" customWidth="1"/>
    <col min="441" max="659" width="0.5703125" style="13"/>
    <col min="660" max="660" width="0.42578125" style="13" customWidth="1"/>
    <col min="661" max="661" width="0.28515625" style="13" customWidth="1"/>
    <col min="662" max="695" width="0.5703125" style="13"/>
    <col min="696" max="696" width="0.140625" style="13" customWidth="1"/>
    <col min="697" max="915" width="0.5703125" style="13"/>
    <col min="916" max="916" width="0.42578125" style="13" customWidth="1"/>
    <col min="917" max="917" width="0.28515625" style="13" customWidth="1"/>
    <col min="918" max="951" width="0.5703125" style="13"/>
    <col min="952" max="952" width="0.140625" style="13" customWidth="1"/>
    <col min="953" max="1171" width="0.5703125" style="13"/>
    <col min="1172" max="1172" width="0.42578125" style="13" customWidth="1"/>
    <col min="1173" max="1173" width="0.28515625" style="13" customWidth="1"/>
    <col min="1174" max="1207" width="0.5703125" style="13"/>
    <col min="1208" max="1208" width="0.140625" style="13" customWidth="1"/>
    <col min="1209" max="1427" width="0.5703125" style="13"/>
    <col min="1428" max="1428" width="0.42578125" style="13" customWidth="1"/>
    <col min="1429" max="1429" width="0.28515625" style="13" customWidth="1"/>
    <col min="1430" max="1463" width="0.5703125" style="13"/>
    <col min="1464" max="1464" width="0.140625" style="13" customWidth="1"/>
    <col min="1465" max="1683" width="0.5703125" style="13"/>
    <col min="1684" max="1684" width="0.42578125" style="13" customWidth="1"/>
    <col min="1685" max="1685" width="0.28515625" style="13" customWidth="1"/>
    <col min="1686" max="1719" width="0.5703125" style="13"/>
    <col min="1720" max="1720" width="0.140625" style="13" customWidth="1"/>
    <col min="1721" max="1939" width="0.5703125" style="13"/>
    <col min="1940" max="1940" width="0.42578125" style="13" customWidth="1"/>
    <col min="1941" max="1941" width="0.28515625" style="13" customWidth="1"/>
    <col min="1942" max="1975" width="0.5703125" style="13"/>
    <col min="1976" max="1976" width="0.140625" style="13" customWidth="1"/>
    <col min="1977" max="2195" width="0.5703125" style="13"/>
    <col min="2196" max="2196" width="0.42578125" style="13" customWidth="1"/>
    <col min="2197" max="2197" width="0.28515625" style="13" customWidth="1"/>
    <col min="2198" max="2231" width="0.5703125" style="13"/>
    <col min="2232" max="2232" width="0.140625" style="13" customWidth="1"/>
    <col min="2233" max="2451" width="0.5703125" style="13"/>
    <col min="2452" max="2452" width="0.42578125" style="13" customWidth="1"/>
    <col min="2453" max="2453" width="0.28515625" style="13" customWidth="1"/>
    <col min="2454" max="2487" width="0.5703125" style="13"/>
    <col min="2488" max="2488" width="0.140625" style="13" customWidth="1"/>
    <col min="2489" max="2707" width="0.5703125" style="13"/>
    <col min="2708" max="2708" width="0.42578125" style="13" customWidth="1"/>
    <col min="2709" max="2709" width="0.28515625" style="13" customWidth="1"/>
    <col min="2710" max="2743" width="0.5703125" style="13"/>
    <col min="2744" max="2744" width="0.140625" style="13" customWidth="1"/>
    <col min="2745" max="2963" width="0.5703125" style="13"/>
    <col min="2964" max="2964" width="0.42578125" style="13" customWidth="1"/>
    <col min="2965" max="2965" width="0.28515625" style="13" customWidth="1"/>
    <col min="2966" max="2999" width="0.5703125" style="13"/>
    <col min="3000" max="3000" width="0.140625" style="13" customWidth="1"/>
    <col min="3001" max="3219" width="0.5703125" style="13"/>
    <col min="3220" max="3220" width="0.42578125" style="13" customWidth="1"/>
    <col min="3221" max="3221" width="0.28515625" style="13" customWidth="1"/>
    <col min="3222" max="3255" width="0.5703125" style="13"/>
    <col min="3256" max="3256" width="0.140625" style="13" customWidth="1"/>
    <col min="3257" max="3475" width="0.5703125" style="13"/>
    <col min="3476" max="3476" width="0.42578125" style="13" customWidth="1"/>
    <col min="3477" max="3477" width="0.28515625" style="13" customWidth="1"/>
    <col min="3478" max="3511" width="0.5703125" style="13"/>
    <col min="3512" max="3512" width="0.140625" style="13" customWidth="1"/>
    <col min="3513" max="3731" width="0.5703125" style="13"/>
    <col min="3732" max="3732" width="0.42578125" style="13" customWidth="1"/>
    <col min="3733" max="3733" width="0.28515625" style="13" customWidth="1"/>
    <col min="3734" max="3767" width="0.5703125" style="13"/>
    <col min="3768" max="3768" width="0.140625" style="13" customWidth="1"/>
    <col min="3769" max="3987" width="0.5703125" style="13"/>
    <col min="3988" max="3988" width="0.42578125" style="13" customWidth="1"/>
    <col min="3989" max="3989" width="0.28515625" style="13" customWidth="1"/>
    <col min="3990" max="4023" width="0.5703125" style="13"/>
    <col min="4024" max="4024" width="0.140625" style="13" customWidth="1"/>
    <col min="4025" max="4243" width="0.5703125" style="13"/>
    <col min="4244" max="4244" width="0.42578125" style="13" customWidth="1"/>
    <col min="4245" max="4245" width="0.28515625" style="13" customWidth="1"/>
    <col min="4246" max="4279" width="0.5703125" style="13"/>
    <col min="4280" max="4280" width="0.140625" style="13" customWidth="1"/>
    <col min="4281" max="4499" width="0.5703125" style="13"/>
    <col min="4500" max="4500" width="0.42578125" style="13" customWidth="1"/>
    <col min="4501" max="4501" width="0.28515625" style="13" customWidth="1"/>
    <col min="4502" max="4535" width="0.5703125" style="13"/>
    <col min="4536" max="4536" width="0.140625" style="13" customWidth="1"/>
    <col min="4537" max="4755" width="0.5703125" style="13"/>
    <col min="4756" max="4756" width="0.42578125" style="13" customWidth="1"/>
    <col min="4757" max="4757" width="0.28515625" style="13" customWidth="1"/>
    <col min="4758" max="4791" width="0.5703125" style="13"/>
    <col min="4792" max="4792" width="0.140625" style="13" customWidth="1"/>
    <col min="4793" max="5011" width="0.5703125" style="13"/>
    <col min="5012" max="5012" width="0.42578125" style="13" customWidth="1"/>
    <col min="5013" max="5013" width="0.28515625" style="13" customWidth="1"/>
    <col min="5014" max="5047" width="0.5703125" style="13"/>
    <col min="5048" max="5048" width="0.140625" style="13" customWidth="1"/>
    <col min="5049" max="5267" width="0.5703125" style="13"/>
    <col min="5268" max="5268" width="0.42578125" style="13" customWidth="1"/>
    <col min="5269" max="5269" width="0.28515625" style="13" customWidth="1"/>
    <col min="5270" max="5303" width="0.5703125" style="13"/>
    <col min="5304" max="5304" width="0.140625" style="13" customWidth="1"/>
    <col min="5305" max="5523" width="0.5703125" style="13"/>
    <col min="5524" max="5524" width="0.42578125" style="13" customWidth="1"/>
    <col min="5525" max="5525" width="0.28515625" style="13" customWidth="1"/>
    <col min="5526" max="5559" width="0.5703125" style="13"/>
    <col min="5560" max="5560" width="0.140625" style="13" customWidth="1"/>
    <col min="5561" max="5779" width="0.5703125" style="13"/>
    <col min="5780" max="5780" width="0.42578125" style="13" customWidth="1"/>
    <col min="5781" max="5781" width="0.28515625" style="13" customWidth="1"/>
    <col min="5782" max="5815" width="0.5703125" style="13"/>
    <col min="5816" max="5816" width="0.140625" style="13" customWidth="1"/>
    <col min="5817" max="6035" width="0.5703125" style="13"/>
    <col min="6036" max="6036" width="0.42578125" style="13" customWidth="1"/>
    <col min="6037" max="6037" width="0.28515625" style="13" customWidth="1"/>
    <col min="6038" max="6071" width="0.5703125" style="13"/>
    <col min="6072" max="6072" width="0.140625" style="13" customWidth="1"/>
    <col min="6073" max="6291" width="0.5703125" style="13"/>
    <col min="6292" max="6292" width="0.42578125" style="13" customWidth="1"/>
    <col min="6293" max="6293" width="0.28515625" style="13" customWidth="1"/>
    <col min="6294" max="6327" width="0.5703125" style="13"/>
    <col min="6328" max="6328" width="0.140625" style="13" customWidth="1"/>
    <col min="6329" max="6547" width="0.5703125" style="13"/>
    <col min="6548" max="6548" width="0.42578125" style="13" customWidth="1"/>
    <col min="6549" max="6549" width="0.28515625" style="13" customWidth="1"/>
    <col min="6550" max="6583" width="0.5703125" style="13"/>
    <col min="6584" max="6584" width="0.140625" style="13" customWidth="1"/>
    <col min="6585" max="6803" width="0.5703125" style="13"/>
    <col min="6804" max="6804" width="0.42578125" style="13" customWidth="1"/>
    <col min="6805" max="6805" width="0.28515625" style="13" customWidth="1"/>
    <col min="6806" max="6839" width="0.5703125" style="13"/>
    <col min="6840" max="6840" width="0.140625" style="13" customWidth="1"/>
    <col min="6841" max="7059" width="0.5703125" style="13"/>
    <col min="7060" max="7060" width="0.42578125" style="13" customWidth="1"/>
    <col min="7061" max="7061" width="0.28515625" style="13" customWidth="1"/>
    <col min="7062" max="7095" width="0.5703125" style="13"/>
    <col min="7096" max="7096" width="0.140625" style="13" customWidth="1"/>
    <col min="7097" max="7315" width="0.5703125" style="13"/>
    <col min="7316" max="7316" width="0.42578125" style="13" customWidth="1"/>
    <col min="7317" max="7317" width="0.28515625" style="13" customWidth="1"/>
    <col min="7318" max="7351" width="0.5703125" style="13"/>
    <col min="7352" max="7352" width="0.140625" style="13" customWidth="1"/>
    <col min="7353" max="7571" width="0.5703125" style="13"/>
    <col min="7572" max="7572" width="0.42578125" style="13" customWidth="1"/>
    <col min="7573" max="7573" width="0.28515625" style="13" customWidth="1"/>
    <col min="7574" max="7607" width="0.5703125" style="13"/>
    <col min="7608" max="7608" width="0.140625" style="13" customWidth="1"/>
    <col min="7609" max="7827" width="0.5703125" style="13"/>
    <col min="7828" max="7828" width="0.42578125" style="13" customWidth="1"/>
    <col min="7829" max="7829" width="0.28515625" style="13" customWidth="1"/>
    <col min="7830" max="7863" width="0.5703125" style="13"/>
    <col min="7864" max="7864" width="0.140625" style="13" customWidth="1"/>
    <col min="7865" max="8083" width="0.5703125" style="13"/>
    <col min="8084" max="8084" width="0.42578125" style="13" customWidth="1"/>
    <col min="8085" max="8085" width="0.28515625" style="13" customWidth="1"/>
    <col min="8086" max="8119" width="0.5703125" style="13"/>
    <col min="8120" max="8120" width="0.140625" style="13" customWidth="1"/>
    <col min="8121" max="8339" width="0.5703125" style="13"/>
    <col min="8340" max="8340" width="0.42578125" style="13" customWidth="1"/>
    <col min="8341" max="8341" width="0.28515625" style="13" customWidth="1"/>
    <col min="8342" max="8375" width="0.5703125" style="13"/>
    <col min="8376" max="8376" width="0.140625" style="13" customWidth="1"/>
    <col min="8377" max="8595" width="0.5703125" style="13"/>
    <col min="8596" max="8596" width="0.42578125" style="13" customWidth="1"/>
    <col min="8597" max="8597" width="0.28515625" style="13" customWidth="1"/>
    <col min="8598" max="8631" width="0.5703125" style="13"/>
    <col min="8632" max="8632" width="0.140625" style="13" customWidth="1"/>
    <col min="8633" max="8851" width="0.5703125" style="13"/>
    <col min="8852" max="8852" width="0.42578125" style="13" customWidth="1"/>
    <col min="8853" max="8853" width="0.28515625" style="13" customWidth="1"/>
    <col min="8854" max="8887" width="0.5703125" style="13"/>
    <col min="8888" max="8888" width="0.140625" style="13" customWidth="1"/>
    <col min="8889" max="9107" width="0.5703125" style="13"/>
    <col min="9108" max="9108" width="0.42578125" style="13" customWidth="1"/>
    <col min="9109" max="9109" width="0.28515625" style="13" customWidth="1"/>
    <col min="9110" max="9143" width="0.5703125" style="13"/>
    <col min="9144" max="9144" width="0.140625" style="13" customWidth="1"/>
    <col min="9145" max="9363" width="0.5703125" style="13"/>
    <col min="9364" max="9364" width="0.42578125" style="13" customWidth="1"/>
    <col min="9365" max="9365" width="0.28515625" style="13" customWidth="1"/>
    <col min="9366" max="9399" width="0.5703125" style="13"/>
    <col min="9400" max="9400" width="0.140625" style="13" customWidth="1"/>
    <col min="9401" max="9619" width="0.5703125" style="13"/>
    <col min="9620" max="9620" width="0.42578125" style="13" customWidth="1"/>
    <col min="9621" max="9621" width="0.28515625" style="13" customWidth="1"/>
    <col min="9622" max="9655" width="0.5703125" style="13"/>
    <col min="9656" max="9656" width="0.140625" style="13" customWidth="1"/>
    <col min="9657" max="9875" width="0.5703125" style="13"/>
    <col min="9876" max="9876" width="0.42578125" style="13" customWidth="1"/>
    <col min="9877" max="9877" width="0.28515625" style="13" customWidth="1"/>
    <col min="9878" max="9911" width="0.5703125" style="13"/>
    <col min="9912" max="9912" width="0.140625" style="13" customWidth="1"/>
    <col min="9913" max="10131" width="0.5703125" style="13"/>
    <col min="10132" max="10132" width="0.42578125" style="13" customWidth="1"/>
    <col min="10133" max="10133" width="0.28515625" style="13" customWidth="1"/>
    <col min="10134" max="10167" width="0.5703125" style="13"/>
    <col min="10168" max="10168" width="0.140625" style="13" customWidth="1"/>
    <col min="10169" max="10387" width="0.5703125" style="13"/>
    <col min="10388" max="10388" width="0.42578125" style="13" customWidth="1"/>
    <col min="10389" max="10389" width="0.28515625" style="13" customWidth="1"/>
    <col min="10390" max="10423" width="0.5703125" style="13"/>
    <col min="10424" max="10424" width="0.140625" style="13" customWidth="1"/>
    <col min="10425" max="10643" width="0.5703125" style="13"/>
    <col min="10644" max="10644" width="0.42578125" style="13" customWidth="1"/>
    <col min="10645" max="10645" width="0.28515625" style="13" customWidth="1"/>
    <col min="10646" max="10679" width="0.5703125" style="13"/>
    <col min="10680" max="10680" width="0.140625" style="13" customWidth="1"/>
    <col min="10681" max="10899" width="0.5703125" style="13"/>
    <col min="10900" max="10900" width="0.42578125" style="13" customWidth="1"/>
    <col min="10901" max="10901" width="0.28515625" style="13" customWidth="1"/>
    <col min="10902" max="10935" width="0.5703125" style="13"/>
    <col min="10936" max="10936" width="0.140625" style="13" customWidth="1"/>
    <col min="10937" max="11155" width="0.5703125" style="13"/>
    <col min="11156" max="11156" width="0.42578125" style="13" customWidth="1"/>
    <col min="11157" max="11157" width="0.28515625" style="13" customWidth="1"/>
    <col min="11158" max="11191" width="0.5703125" style="13"/>
    <col min="11192" max="11192" width="0.140625" style="13" customWidth="1"/>
    <col min="11193" max="11411" width="0.5703125" style="13"/>
    <col min="11412" max="11412" width="0.42578125" style="13" customWidth="1"/>
    <col min="11413" max="11413" width="0.28515625" style="13" customWidth="1"/>
    <col min="11414" max="11447" width="0.5703125" style="13"/>
    <col min="11448" max="11448" width="0.140625" style="13" customWidth="1"/>
    <col min="11449" max="11667" width="0.5703125" style="13"/>
    <col min="11668" max="11668" width="0.42578125" style="13" customWidth="1"/>
    <col min="11669" max="11669" width="0.28515625" style="13" customWidth="1"/>
    <col min="11670" max="11703" width="0.5703125" style="13"/>
    <col min="11704" max="11704" width="0.140625" style="13" customWidth="1"/>
    <col min="11705" max="11923" width="0.5703125" style="13"/>
    <col min="11924" max="11924" width="0.42578125" style="13" customWidth="1"/>
    <col min="11925" max="11925" width="0.28515625" style="13" customWidth="1"/>
    <col min="11926" max="11959" width="0.5703125" style="13"/>
    <col min="11960" max="11960" width="0.140625" style="13" customWidth="1"/>
    <col min="11961" max="12179" width="0.5703125" style="13"/>
    <col min="12180" max="12180" width="0.42578125" style="13" customWidth="1"/>
    <col min="12181" max="12181" width="0.28515625" style="13" customWidth="1"/>
    <col min="12182" max="12215" width="0.5703125" style="13"/>
    <col min="12216" max="12216" width="0.140625" style="13" customWidth="1"/>
    <col min="12217" max="12435" width="0.5703125" style="13"/>
    <col min="12436" max="12436" width="0.42578125" style="13" customWidth="1"/>
    <col min="12437" max="12437" width="0.28515625" style="13" customWidth="1"/>
    <col min="12438" max="12471" width="0.5703125" style="13"/>
    <col min="12472" max="12472" width="0.140625" style="13" customWidth="1"/>
    <col min="12473" max="12691" width="0.5703125" style="13"/>
    <col min="12692" max="12692" width="0.42578125" style="13" customWidth="1"/>
    <col min="12693" max="12693" width="0.28515625" style="13" customWidth="1"/>
    <col min="12694" max="12727" width="0.5703125" style="13"/>
    <col min="12728" max="12728" width="0.140625" style="13" customWidth="1"/>
    <col min="12729" max="12947" width="0.5703125" style="13"/>
    <col min="12948" max="12948" width="0.42578125" style="13" customWidth="1"/>
    <col min="12949" max="12949" width="0.28515625" style="13" customWidth="1"/>
    <col min="12950" max="12983" width="0.5703125" style="13"/>
    <col min="12984" max="12984" width="0.140625" style="13" customWidth="1"/>
    <col min="12985" max="13203" width="0.5703125" style="13"/>
    <col min="13204" max="13204" width="0.42578125" style="13" customWidth="1"/>
    <col min="13205" max="13205" width="0.28515625" style="13" customWidth="1"/>
    <col min="13206" max="13239" width="0.5703125" style="13"/>
    <col min="13240" max="13240" width="0.140625" style="13" customWidth="1"/>
    <col min="13241" max="13459" width="0.5703125" style="13"/>
    <col min="13460" max="13460" width="0.42578125" style="13" customWidth="1"/>
    <col min="13461" max="13461" width="0.28515625" style="13" customWidth="1"/>
    <col min="13462" max="13495" width="0.5703125" style="13"/>
    <col min="13496" max="13496" width="0.140625" style="13" customWidth="1"/>
    <col min="13497" max="13715" width="0.5703125" style="13"/>
    <col min="13716" max="13716" width="0.42578125" style="13" customWidth="1"/>
    <col min="13717" max="13717" width="0.28515625" style="13" customWidth="1"/>
    <col min="13718" max="13751" width="0.5703125" style="13"/>
    <col min="13752" max="13752" width="0.140625" style="13" customWidth="1"/>
    <col min="13753" max="13971" width="0.5703125" style="13"/>
    <col min="13972" max="13972" width="0.42578125" style="13" customWidth="1"/>
    <col min="13973" max="13973" width="0.28515625" style="13" customWidth="1"/>
    <col min="13974" max="14007" width="0.5703125" style="13"/>
    <col min="14008" max="14008" width="0.140625" style="13" customWidth="1"/>
    <col min="14009" max="14227" width="0.5703125" style="13"/>
    <col min="14228" max="14228" width="0.42578125" style="13" customWidth="1"/>
    <col min="14229" max="14229" width="0.28515625" style="13" customWidth="1"/>
    <col min="14230" max="14263" width="0.5703125" style="13"/>
    <col min="14264" max="14264" width="0.140625" style="13" customWidth="1"/>
    <col min="14265" max="14483" width="0.5703125" style="13"/>
    <col min="14484" max="14484" width="0.42578125" style="13" customWidth="1"/>
    <col min="14485" max="14485" width="0.28515625" style="13" customWidth="1"/>
    <col min="14486" max="14519" width="0.5703125" style="13"/>
    <col min="14520" max="14520" width="0.140625" style="13" customWidth="1"/>
    <col min="14521" max="14739" width="0.5703125" style="13"/>
    <col min="14740" max="14740" width="0.42578125" style="13" customWidth="1"/>
    <col min="14741" max="14741" width="0.28515625" style="13" customWidth="1"/>
    <col min="14742" max="14775" width="0.5703125" style="13"/>
    <col min="14776" max="14776" width="0.140625" style="13" customWidth="1"/>
    <col min="14777" max="14995" width="0.5703125" style="13"/>
    <col min="14996" max="14996" width="0.42578125" style="13" customWidth="1"/>
    <col min="14997" max="14997" width="0.28515625" style="13" customWidth="1"/>
    <col min="14998" max="15031" width="0.5703125" style="13"/>
    <col min="15032" max="15032" width="0.140625" style="13" customWidth="1"/>
    <col min="15033" max="15251" width="0.5703125" style="13"/>
    <col min="15252" max="15252" width="0.42578125" style="13" customWidth="1"/>
    <col min="15253" max="15253" width="0.28515625" style="13" customWidth="1"/>
    <col min="15254" max="15287" width="0.5703125" style="13"/>
    <col min="15288" max="15288" width="0.140625" style="13" customWidth="1"/>
    <col min="15289" max="15507" width="0.5703125" style="13"/>
    <col min="15508" max="15508" width="0.42578125" style="13" customWidth="1"/>
    <col min="15509" max="15509" width="0.28515625" style="13" customWidth="1"/>
    <col min="15510" max="15543" width="0.5703125" style="13"/>
    <col min="15544" max="15544" width="0.140625" style="13" customWidth="1"/>
    <col min="15545" max="15763" width="0.5703125" style="13"/>
    <col min="15764" max="15764" width="0.42578125" style="13" customWidth="1"/>
    <col min="15765" max="15765" width="0.28515625" style="13" customWidth="1"/>
    <col min="15766" max="15799" width="0.5703125" style="13"/>
    <col min="15800" max="15800" width="0.140625" style="13" customWidth="1"/>
    <col min="15801" max="16019" width="0.5703125" style="13"/>
    <col min="16020" max="16020" width="0.42578125" style="13" customWidth="1"/>
    <col min="16021" max="16021" width="0.28515625" style="13" customWidth="1"/>
    <col min="16022" max="16055" width="0.5703125" style="13"/>
    <col min="16056" max="16056" width="0.140625" style="13" customWidth="1"/>
    <col min="16057" max="16275" width="0.5703125" style="13"/>
    <col min="16276" max="16276" width="0.42578125" style="13" customWidth="1"/>
    <col min="16277" max="16277" width="0.28515625" style="13" customWidth="1"/>
    <col min="16278" max="16311" width="0.5703125" style="13"/>
    <col min="16312" max="16312" width="0.140625" style="13" customWidth="1"/>
    <col min="16313" max="16384" width="0.5703125" style="13"/>
  </cols>
  <sheetData>
    <row r="3" spans="15:214" ht="3.75" customHeight="1">
      <c r="O3" s="2515" t="s">
        <v>3451</v>
      </c>
      <c r="P3" s="2515"/>
      <c r="Q3" s="2515"/>
      <c r="R3" s="2515"/>
      <c r="S3" s="2515"/>
      <c r="T3" s="2515"/>
      <c r="U3" s="2515"/>
      <c r="V3" s="2515"/>
      <c r="W3" s="2515"/>
      <c r="X3" s="2515"/>
      <c r="Y3" s="2515"/>
      <c r="Z3" s="2515"/>
      <c r="AA3" s="2515"/>
      <c r="AB3" s="2515"/>
      <c r="AC3" s="2515"/>
      <c r="AD3" s="2515"/>
      <c r="AE3" s="2515"/>
      <c r="AF3" s="2515"/>
      <c r="AG3" s="2515"/>
      <c r="AH3" s="2515"/>
      <c r="AI3" s="2515"/>
      <c r="AJ3" s="2515"/>
      <c r="AK3" s="2515"/>
      <c r="AL3" s="2515"/>
      <c r="AM3" s="2515"/>
      <c r="AN3" s="2515"/>
      <c r="AO3" s="2515"/>
      <c r="AP3" s="2515"/>
      <c r="AQ3" s="2515"/>
      <c r="AR3" s="2515"/>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c r="BP3" s="2515"/>
      <c r="BQ3" s="2515"/>
      <c r="BR3" s="2515"/>
      <c r="BS3" s="2515"/>
      <c r="BT3" s="2515"/>
      <c r="BU3" s="2515"/>
      <c r="BV3" s="2515"/>
      <c r="BW3" s="2515"/>
      <c r="BX3" s="2515"/>
      <c r="BY3" s="2515"/>
      <c r="BZ3" s="2515"/>
      <c r="CA3" s="2515"/>
      <c r="CB3" s="2515"/>
      <c r="CC3" s="2515"/>
      <c r="CD3" s="2515"/>
      <c r="CE3" s="2515"/>
      <c r="CF3" s="2515"/>
      <c r="CG3" s="2515"/>
      <c r="CH3" s="2515"/>
      <c r="CI3" s="2515"/>
      <c r="CJ3" s="2515"/>
      <c r="CK3" s="2515"/>
      <c r="CL3" s="2515"/>
      <c r="CM3" s="2515"/>
      <c r="CN3" s="2515"/>
      <c r="CO3" s="2515"/>
      <c r="CP3" s="2515"/>
      <c r="CQ3" s="2515"/>
      <c r="CR3" s="2515"/>
      <c r="CS3" s="2515"/>
      <c r="CT3" s="2515"/>
      <c r="CU3" s="2515"/>
      <c r="CV3" s="2515"/>
      <c r="CW3" s="2515"/>
      <c r="CX3" s="2515"/>
      <c r="CY3" s="2515"/>
      <c r="CZ3" s="2515"/>
      <c r="DA3" s="2515"/>
      <c r="DB3" s="2515"/>
      <c r="DC3" s="2515"/>
      <c r="DD3" s="2515"/>
      <c r="DE3" s="2515"/>
      <c r="DF3" s="2515"/>
      <c r="DG3" s="2515"/>
      <c r="DH3" s="2515"/>
      <c r="DI3" s="2515"/>
      <c r="DJ3" s="2515"/>
      <c r="DK3" s="2515"/>
      <c r="DL3" s="2515"/>
      <c r="DM3" s="2515"/>
      <c r="DN3" s="2515"/>
      <c r="DO3" s="2515"/>
      <c r="DP3" s="2515"/>
      <c r="DQ3" s="2515"/>
      <c r="DR3" s="2515"/>
      <c r="DS3" s="2515"/>
      <c r="DT3" s="2515"/>
      <c r="DU3" s="2515"/>
      <c r="DV3" s="2515"/>
      <c r="DW3" s="2515"/>
      <c r="DX3" s="2515"/>
      <c r="DY3" s="2515"/>
      <c r="DZ3" s="2515"/>
      <c r="EA3" s="2515"/>
      <c r="EB3" s="2515"/>
      <c r="EC3" s="2515"/>
      <c r="ED3" s="2515"/>
      <c r="EE3" s="2515"/>
      <c r="EF3" s="2515"/>
      <c r="EG3" s="2515"/>
      <c r="EH3" s="2515"/>
      <c r="EI3" s="2515"/>
      <c r="EJ3" s="2515"/>
      <c r="EK3" s="2515"/>
      <c r="EL3" s="2515"/>
      <c r="EM3" s="2515"/>
      <c r="EN3" s="2515"/>
      <c r="EO3" s="2515"/>
      <c r="EP3" s="2515"/>
      <c r="EQ3" s="2515"/>
      <c r="ER3" s="2515"/>
      <c r="ES3" s="2515"/>
      <c r="ET3" s="2515"/>
      <c r="EU3" s="2515"/>
      <c r="FI3" s="2516" t="s">
        <v>3155</v>
      </c>
      <c r="FJ3" s="2516"/>
      <c r="FK3" s="2516"/>
      <c r="FL3" s="2516"/>
      <c r="FM3" s="2516"/>
      <c r="FN3" s="2516"/>
      <c r="FO3" s="2516"/>
      <c r="FP3" s="2516"/>
      <c r="FQ3" s="2516"/>
      <c r="FR3" s="2516"/>
      <c r="FS3" s="2516"/>
      <c r="FT3" s="2516"/>
      <c r="FU3" s="2516"/>
      <c r="FV3" s="2516"/>
      <c r="FW3" s="2516"/>
      <c r="FX3" s="2516"/>
      <c r="FY3" s="2516"/>
      <c r="FZ3" s="2516"/>
      <c r="GA3" s="2516"/>
      <c r="GB3" s="2516"/>
      <c r="GC3" s="2516"/>
      <c r="GD3" s="2516"/>
      <c r="GE3" s="2516"/>
      <c r="GF3" s="2516"/>
      <c r="GG3" s="2516"/>
      <c r="GH3" s="2516"/>
      <c r="GI3" s="2516"/>
      <c r="GJ3" s="2516"/>
      <c r="GK3" s="2516"/>
      <c r="GL3" s="2516"/>
      <c r="GM3" s="2516"/>
      <c r="GN3" s="2516"/>
      <c r="GO3" s="2516"/>
      <c r="GP3" s="2516"/>
      <c r="GQ3" s="2516"/>
      <c r="GR3" s="2516"/>
      <c r="GS3" s="2516"/>
      <c r="GT3" s="2516"/>
      <c r="GU3" s="2516"/>
      <c r="GV3" s="2516"/>
      <c r="GW3" s="2516"/>
      <c r="GX3" s="2516"/>
      <c r="GY3" s="2516"/>
      <c r="GZ3" s="2516"/>
      <c r="HA3" s="2516"/>
      <c r="HB3" s="2516"/>
      <c r="HC3" s="2516"/>
      <c r="HD3" s="2516"/>
      <c r="HE3" s="2516"/>
      <c r="HF3" s="2516"/>
    </row>
    <row r="4" spans="15:214" ht="3.75" customHeight="1">
      <c r="O4" s="2515"/>
      <c r="P4" s="2515"/>
      <c r="Q4" s="2515"/>
      <c r="R4" s="2515"/>
      <c r="S4" s="2515"/>
      <c r="T4" s="2515"/>
      <c r="U4" s="2515"/>
      <c r="V4" s="2515"/>
      <c r="W4" s="2515"/>
      <c r="X4" s="2515"/>
      <c r="Y4" s="2515"/>
      <c r="Z4" s="2515"/>
      <c r="AA4" s="2515"/>
      <c r="AB4" s="2515"/>
      <c r="AC4" s="2515"/>
      <c r="AD4" s="2515"/>
      <c r="AE4" s="2515"/>
      <c r="AF4" s="2515"/>
      <c r="AG4" s="2515"/>
      <c r="AH4" s="2515"/>
      <c r="AI4" s="2515"/>
      <c r="AJ4" s="2515"/>
      <c r="AK4" s="2515"/>
      <c r="AL4" s="2515"/>
      <c r="AM4" s="2515"/>
      <c r="AN4" s="2515"/>
      <c r="AO4" s="2515"/>
      <c r="AP4" s="2515"/>
      <c r="AQ4" s="2515"/>
      <c r="AR4" s="2515"/>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c r="BP4" s="2515"/>
      <c r="BQ4" s="2515"/>
      <c r="BR4" s="2515"/>
      <c r="BS4" s="2515"/>
      <c r="BT4" s="2515"/>
      <c r="BU4" s="2515"/>
      <c r="BV4" s="2515"/>
      <c r="BW4" s="2515"/>
      <c r="BX4" s="2515"/>
      <c r="BY4" s="2515"/>
      <c r="BZ4" s="2515"/>
      <c r="CA4" s="2515"/>
      <c r="CB4" s="2515"/>
      <c r="CC4" s="2515"/>
      <c r="CD4" s="2515"/>
      <c r="CE4" s="2515"/>
      <c r="CF4" s="2515"/>
      <c r="CG4" s="2515"/>
      <c r="CH4" s="2515"/>
      <c r="CI4" s="2515"/>
      <c r="CJ4" s="2515"/>
      <c r="CK4" s="2515"/>
      <c r="CL4" s="2515"/>
      <c r="CM4" s="2515"/>
      <c r="CN4" s="2515"/>
      <c r="CO4" s="2515"/>
      <c r="CP4" s="2515"/>
      <c r="CQ4" s="2515"/>
      <c r="CR4" s="2515"/>
      <c r="CS4" s="2515"/>
      <c r="CT4" s="2515"/>
      <c r="CU4" s="2515"/>
      <c r="CV4" s="2515"/>
      <c r="CW4" s="2515"/>
      <c r="CX4" s="2515"/>
      <c r="CY4" s="2515"/>
      <c r="CZ4" s="2515"/>
      <c r="DA4" s="2515"/>
      <c r="DB4" s="2515"/>
      <c r="DC4" s="2515"/>
      <c r="DD4" s="2515"/>
      <c r="DE4" s="2515"/>
      <c r="DF4" s="2515"/>
      <c r="DG4" s="2515"/>
      <c r="DH4" s="2515"/>
      <c r="DI4" s="2515"/>
      <c r="DJ4" s="2515"/>
      <c r="DK4" s="2515"/>
      <c r="DL4" s="2515"/>
      <c r="DM4" s="2515"/>
      <c r="DN4" s="2515"/>
      <c r="DO4" s="2515"/>
      <c r="DP4" s="2515"/>
      <c r="DQ4" s="2515"/>
      <c r="DR4" s="2515"/>
      <c r="DS4" s="2515"/>
      <c r="DT4" s="2515"/>
      <c r="DU4" s="2515"/>
      <c r="DV4" s="2515"/>
      <c r="DW4" s="2515"/>
      <c r="DX4" s="2515"/>
      <c r="DY4" s="2515"/>
      <c r="DZ4" s="2515"/>
      <c r="EA4" s="2515"/>
      <c r="EB4" s="2515"/>
      <c r="EC4" s="2515"/>
      <c r="ED4" s="2515"/>
      <c r="EE4" s="2515"/>
      <c r="EF4" s="2515"/>
      <c r="EG4" s="2515"/>
      <c r="EH4" s="2515"/>
      <c r="EI4" s="2515"/>
      <c r="EJ4" s="2515"/>
      <c r="EK4" s="2515"/>
      <c r="EL4" s="2515"/>
      <c r="EM4" s="2515"/>
      <c r="EN4" s="2515"/>
      <c r="EO4" s="2515"/>
      <c r="EP4" s="2515"/>
      <c r="EQ4" s="2515"/>
      <c r="ER4" s="2515"/>
      <c r="ES4" s="2515"/>
      <c r="ET4" s="2515"/>
      <c r="EU4" s="2515"/>
      <c r="FI4" s="2516"/>
      <c r="FJ4" s="2516"/>
      <c r="FK4" s="2516"/>
      <c r="FL4" s="2516"/>
      <c r="FM4" s="2516"/>
      <c r="FN4" s="2516"/>
      <c r="FO4" s="2516"/>
      <c r="FP4" s="2516"/>
      <c r="FQ4" s="2516"/>
      <c r="FR4" s="2516"/>
      <c r="FS4" s="2516"/>
      <c r="FT4" s="2516"/>
      <c r="FU4" s="2516"/>
      <c r="FV4" s="2516"/>
      <c r="FW4" s="2516"/>
      <c r="FX4" s="2516"/>
      <c r="FY4" s="2516"/>
      <c r="FZ4" s="2516"/>
      <c r="GA4" s="2516"/>
      <c r="GB4" s="2516"/>
      <c r="GC4" s="2516"/>
      <c r="GD4" s="2516"/>
      <c r="GE4" s="2516"/>
      <c r="GF4" s="2516"/>
      <c r="GG4" s="2516"/>
      <c r="GH4" s="2516"/>
      <c r="GI4" s="2516"/>
      <c r="GJ4" s="2516"/>
      <c r="GK4" s="2516"/>
      <c r="GL4" s="2516"/>
      <c r="GM4" s="2516"/>
      <c r="GN4" s="2516"/>
      <c r="GO4" s="2516"/>
      <c r="GP4" s="2516"/>
      <c r="GQ4" s="2516"/>
      <c r="GR4" s="2516"/>
      <c r="GS4" s="2516"/>
      <c r="GT4" s="2516"/>
      <c r="GU4" s="2516"/>
      <c r="GV4" s="2516"/>
      <c r="GW4" s="2516"/>
      <c r="GX4" s="2516"/>
      <c r="GY4" s="2516"/>
      <c r="GZ4" s="2516"/>
      <c r="HA4" s="2516"/>
      <c r="HB4" s="2516"/>
      <c r="HC4" s="2516"/>
      <c r="HD4" s="2516"/>
      <c r="HE4" s="2516"/>
      <c r="HF4" s="2516"/>
    </row>
    <row r="5" spans="15:214" ht="3.6" customHeight="1">
      <c r="O5" s="2515"/>
      <c r="P5" s="2515"/>
      <c r="Q5" s="2515"/>
      <c r="R5" s="2515"/>
      <c r="S5" s="2515"/>
      <c r="T5" s="2515"/>
      <c r="U5" s="2515"/>
      <c r="V5" s="2515"/>
      <c r="W5" s="2515"/>
      <c r="X5" s="2515"/>
      <c r="Y5" s="2515"/>
      <c r="Z5" s="2515"/>
      <c r="AA5" s="2515"/>
      <c r="AB5" s="2515"/>
      <c r="AC5" s="2515"/>
      <c r="AD5" s="2515"/>
      <c r="AE5" s="2515"/>
      <c r="AF5" s="2515"/>
      <c r="AG5" s="2515"/>
      <c r="AH5" s="2515"/>
      <c r="AI5" s="2515"/>
      <c r="AJ5" s="2515"/>
      <c r="AK5" s="2515"/>
      <c r="AL5" s="2515"/>
      <c r="AM5" s="2515"/>
      <c r="AN5" s="2515"/>
      <c r="AO5" s="2515"/>
      <c r="AP5" s="2515"/>
      <c r="AQ5" s="2515"/>
      <c r="AR5" s="2515"/>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c r="BP5" s="2515"/>
      <c r="BQ5" s="2515"/>
      <c r="BR5" s="2515"/>
      <c r="BS5" s="2515"/>
      <c r="BT5" s="2515"/>
      <c r="BU5" s="2515"/>
      <c r="BV5" s="2515"/>
      <c r="BW5" s="2515"/>
      <c r="BX5" s="2515"/>
      <c r="BY5" s="2515"/>
      <c r="BZ5" s="2515"/>
      <c r="CA5" s="2515"/>
      <c r="CB5" s="2515"/>
      <c r="CC5" s="2515"/>
      <c r="CD5" s="2515"/>
      <c r="CE5" s="2515"/>
      <c r="CF5" s="2515"/>
      <c r="CG5" s="2515"/>
      <c r="CH5" s="2515"/>
      <c r="CI5" s="2515"/>
      <c r="CJ5" s="2515"/>
      <c r="CK5" s="2515"/>
      <c r="CL5" s="2515"/>
      <c r="CM5" s="2515"/>
      <c r="CN5" s="2515"/>
      <c r="CO5" s="2515"/>
      <c r="CP5" s="2515"/>
      <c r="CQ5" s="2515"/>
      <c r="CR5" s="2515"/>
      <c r="CS5" s="2515"/>
      <c r="CT5" s="2515"/>
      <c r="CU5" s="2515"/>
      <c r="CV5" s="2515"/>
      <c r="CW5" s="2515"/>
      <c r="CX5" s="2515"/>
      <c r="CY5" s="2515"/>
      <c r="CZ5" s="2515"/>
      <c r="DA5" s="2515"/>
      <c r="DB5" s="2515"/>
      <c r="DC5" s="2515"/>
      <c r="DD5" s="2515"/>
      <c r="DE5" s="2515"/>
      <c r="DF5" s="2515"/>
      <c r="DG5" s="2515"/>
      <c r="DH5" s="2515"/>
      <c r="DI5" s="2515"/>
      <c r="DJ5" s="2515"/>
      <c r="DK5" s="2515"/>
      <c r="DL5" s="2515"/>
      <c r="DM5" s="2515"/>
      <c r="DN5" s="2515"/>
      <c r="DO5" s="2515"/>
      <c r="DP5" s="2515"/>
      <c r="DQ5" s="2515"/>
      <c r="DR5" s="2515"/>
      <c r="DS5" s="2515"/>
      <c r="DT5" s="2515"/>
      <c r="DU5" s="2515"/>
      <c r="DV5" s="2515"/>
      <c r="DW5" s="2515"/>
      <c r="DX5" s="2515"/>
      <c r="DY5" s="2515"/>
      <c r="DZ5" s="2515"/>
      <c r="EA5" s="2515"/>
      <c r="EB5" s="2515"/>
      <c r="EC5" s="2515"/>
      <c r="ED5" s="2515"/>
      <c r="EE5" s="2515"/>
      <c r="EF5" s="2515"/>
      <c r="EG5" s="2515"/>
      <c r="EH5" s="2515"/>
      <c r="EI5" s="2515"/>
      <c r="EJ5" s="2515"/>
      <c r="EK5" s="2515"/>
      <c r="EL5" s="2515"/>
      <c r="EM5" s="2515"/>
      <c r="EN5" s="2515"/>
      <c r="EO5" s="2515"/>
      <c r="EP5" s="2515"/>
      <c r="EQ5" s="2515"/>
      <c r="ER5" s="2515"/>
      <c r="ES5" s="2515"/>
      <c r="ET5" s="2515"/>
      <c r="EU5" s="2515"/>
      <c r="FI5" s="2516"/>
      <c r="FJ5" s="2516"/>
      <c r="FK5" s="2516"/>
      <c r="FL5" s="2516"/>
      <c r="FM5" s="2516"/>
      <c r="FN5" s="2516"/>
      <c r="FO5" s="2516"/>
      <c r="FP5" s="2516"/>
      <c r="FQ5" s="2516"/>
      <c r="FR5" s="2516"/>
      <c r="FS5" s="2516"/>
      <c r="FT5" s="2516"/>
      <c r="FU5" s="2516"/>
      <c r="FV5" s="2516"/>
      <c r="FW5" s="2516"/>
      <c r="FX5" s="2516"/>
      <c r="FY5" s="2516"/>
      <c r="FZ5" s="2516"/>
      <c r="GA5" s="2516"/>
      <c r="GB5" s="2516"/>
      <c r="GC5" s="2516"/>
      <c r="GD5" s="2516"/>
      <c r="GE5" s="2516"/>
      <c r="GF5" s="2516"/>
      <c r="GG5" s="2516"/>
      <c r="GH5" s="2516"/>
      <c r="GI5" s="2516"/>
      <c r="GJ5" s="2516"/>
      <c r="GK5" s="2516"/>
      <c r="GL5" s="2516"/>
      <c r="GM5" s="2516"/>
      <c r="GN5" s="2516"/>
      <c r="GO5" s="2516"/>
      <c r="GP5" s="2516"/>
      <c r="GQ5" s="2516"/>
      <c r="GR5" s="2516"/>
      <c r="GS5" s="2516"/>
      <c r="GT5" s="2516"/>
      <c r="GU5" s="2516"/>
      <c r="GV5" s="2516"/>
      <c r="GW5" s="2516"/>
      <c r="GX5" s="2516"/>
      <c r="GY5" s="2516"/>
      <c r="GZ5" s="2516"/>
      <c r="HA5" s="2516"/>
      <c r="HB5" s="2516"/>
      <c r="HC5" s="2516"/>
      <c r="HD5" s="2516"/>
      <c r="HE5" s="2516"/>
      <c r="HF5" s="2516"/>
    </row>
    <row r="6" spans="15:214" ht="3.6" customHeight="1">
      <c r="O6" s="2515"/>
      <c r="P6" s="2515"/>
      <c r="Q6" s="2515"/>
      <c r="R6" s="2515"/>
      <c r="S6" s="2515"/>
      <c r="T6" s="2515"/>
      <c r="U6" s="2515"/>
      <c r="V6" s="2515"/>
      <c r="W6" s="2515"/>
      <c r="X6" s="2515"/>
      <c r="Y6" s="2515"/>
      <c r="Z6" s="2515"/>
      <c r="AA6" s="2515"/>
      <c r="AB6" s="2515"/>
      <c r="AC6" s="2515"/>
      <c r="AD6" s="2515"/>
      <c r="AE6" s="2515"/>
      <c r="AF6" s="2515"/>
      <c r="AG6" s="2515"/>
      <c r="AH6" s="2515"/>
      <c r="AI6" s="2515"/>
      <c r="AJ6" s="2515"/>
      <c r="AK6" s="2515"/>
      <c r="AL6" s="2515"/>
      <c r="AM6" s="2515"/>
      <c r="AN6" s="2515"/>
      <c r="AO6" s="2515"/>
      <c r="AP6" s="2515"/>
      <c r="AQ6" s="2515"/>
      <c r="AR6" s="2515"/>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c r="BP6" s="2515"/>
      <c r="BQ6" s="2515"/>
      <c r="BR6" s="2515"/>
      <c r="BS6" s="2515"/>
      <c r="BT6" s="2515"/>
      <c r="BU6" s="2515"/>
      <c r="BV6" s="2515"/>
      <c r="BW6" s="2515"/>
      <c r="BX6" s="2515"/>
      <c r="BY6" s="2515"/>
      <c r="BZ6" s="2515"/>
      <c r="CA6" s="2515"/>
      <c r="CB6" s="2515"/>
      <c r="CC6" s="2515"/>
      <c r="CD6" s="2515"/>
      <c r="CE6" s="2515"/>
      <c r="CF6" s="2515"/>
      <c r="CG6" s="2515"/>
      <c r="CH6" s="2515"/>
      <c r="CI6" s="2515"/>
      <c r="CJ6" s="2515"/>
      <c r="CK6" s="2515"/>
      <c r="CL6" s="2515"/>
      <c r="CM6" s="2515"/>
      <c r="CN6" s="2515"/>
      <c r="CO6" s="2515"/>
      <c r="CP6" s="2515"/>
      <c r="CQ6" s="2515"/>
      <c r="CR6" s="2515"/>
      <c r="CS6" s="2515"/>
      <c r="CT6" s="2515"/>
      <c r="CU6" s="2515"/>
      <c r="CV6" s="2515"/>
      <c r="CW6" s="2515"/>
      <c r="CX6" s="2515"/>
      <c r="CY6" s="2515"/>
      <c r="CZ6" s="2515"/>
      <c r="DA6" s="2515"/>
      <c r="DB6" s="2515"/>
      <c r="DC6" s="2515"/>
      <c r="DD6" s="2515"/>
      <c r="DE6" s="2515"/>
      <c r="DF6" s="2515"/>
      <c r="DG6" s="2515"/>
      <c r="DH6" s="2515"/>
      <c r="DI6" s="2515"/>
      <c r="DJ6" s="2515"/>
      <c r="DK6" s="2515"/>
      <c r="DL6" s="2515"/>
      <c r="DM6" s="2515"/>
      <c r="DN6" s="2515"/>
      <c r="DO6" s="2515"/>
      <c r="DP6" s="2515"/>
      <c r="DQ6" s="2515"/>
      <c r="DR6" s="2515"/>
      <c r="DS6" s="2515"/>
      <c r="DT6" s="2515"/>
      <c r="DU6" s="2515"/>
      <c r="DV6" s="2515"/>
      <c r="DW6" s="2515"/>
      <c r="DX6" s="2515"/>
      <c r="DY6" s="2515"/>
      <c r="DZ6" s="2515"/>
      <c r="EA6" s="2515"/>
      <c r="EB6" s="2515"/>
      <c r="EC6" s="2515"/>
      <c r="ED6" s="2515"/>
      <c r="EE6" s="2515"/>
      <c r="EF6" s="2515"/>
      <c r="EG6" s="2515"/>
      <c r="EH6" s="2515"/>
      <c r="EI6" s="2515"/>
      <c r="EJ6" s="2515"/>
      <c r="EK6" s="2515"/>
      <c r="EL6" s="2515"/>
      <c r="EM6" s="2515"/>
      <c r="EN6" s="2515"/>
      <c r="EO6" s="2515"/>
      <c r="EP6" s="2515"/>
      <c r="EQ6" s="2515"/>
      <c r="ER6" s="2515"/>
      <c r="ES6" s="2515"/>
      <c r="ET6" s="2515"/>
      <c r="EU6" s="2515"/>
      <c r="FI6" s="2516"/>
      <c r="FJ6" s="2516"/>
      <c r="FK6" s="2516"/>
      <c r="FL6" s="2516"/>
      <c r="FM6" s="2516"/>
      <c r="FN6" s="2516"/>
      <c r="FO6" s="2516"/>
      <c r="FP6" s="2516"/>
      <c r="FQ6" s="2516"/>
      <c r="FR6" s="2516"/>
      <c r="FS6" s="2516"/>
      <c r="FT6" s="2516"/>
      <c r="FU6" s="2516"/>
      <c r="FV6" s="2516"/>
      <c r="FW6" s="2516"/>
      <c r="FX6" s="2516"/>
      <c r="FY6" s="2516"/>
      <c r="FZ6" s="2516"/>
      <c r="GA6" s="2516"/>
      <c r="GB6" s="2516"/>
      <c r="GC6" s="2516"/>
      <c r="GD6" s="2516"/>
      <c r="GE6" s="2516"/>
      <c r="GF6" s="2516"/>
      <c r="GG6" s="2516"/>
      <c r="GH6" s="2516"/>
      <c r="GI6" s="2516"/>
      <c r="GJ6" s="2516"/>
      <c r="GK6" s="2516"/>
      <c r="GL6" s="2516"/>
      <c r="GM6" s="2516"/>
      <c r="GN6" s="2516"/>
      <c r="GO6" s="2516"/>
      <c r="GP6" s="2516"/>
      <c r="GQ6" s="2516"/>
      <c r="GR6" s="2516"/>
      <c r="GS6" s="2516"/>
      <c r="GT6" s="2516"/>
      <c r="GU6" s="2516"/>
      <c r="GV6" s="2516"/>
      <c r="GW6" s="2516"/>
      <c r="GX6" s="2516"/>
      <c r="GY6" s="2516"/>
      <c r="GZ6" s="2516"/>
      <c r="HA6" s="2516"/>
      <c r="HB6" s="2516"/>
      <c r="HC6" s="2516"/>
      <c r="HD6" s="2516"/>
      <c r="HE6" s="2516"/>
      <c r="HF6" s="2516"/>
    </row>
    <row r="7" spans="15:214" ht="3.6" customHeight="1">
      <c r="O7" s="2515"/>
      <c r="P7" s="2515"/>
      <c r="Q7" s="2515"/>
      <c r="R7" s="2515"/>
      <c r="S7" s="2515"/>
      <c r="T7" s="2515"/>
      <c r="U7" s="2515"/>
      <c r="V7" s="2515"/>
      <c r="W7" s="2515"/>
      <c r="X7" s="2515"/>
      <c r="Y7" s="2515"/>
      <c r="Z7" s="2515"/>
      <c r="AA7" s="2515"/>
      <c r="AB7" s="2515"/>
      <c r="AC7" s="2515"/>
      <c r="AD7" s="2515"/>
      <c r="AE7" s="2515"/>
      <c r="AF7" s="2515"/>
      <c r="AG7" s="2515"/>
      <c r="AH7" s="2515"/>
      <c r="AI7" s="2515"/>
      <c r="AJ7" s="2515"/>
      <c r="AK7" s="2515"/>
      <c r="AL7" s="2515"/>
      <c r="AM7" s="2515"/>
      <c r="AN7" s="2515"/>
      <c r="AO7" s="2515"/>
      <c r="AP7" s="2515"/>
      <c r="AQ7" s="2515"/>
      <c r="AR7" s="2515"/>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c r="BP7" s="2515"/>
      <c r="BQ7" s="2515"/>
      <c r="BR7" s="2515"/>
      <c r="BS7" s="2515"/>
      <c r="BT7" s="2515"/>
      <c r="BU7" s="2515"/>
      <c r="BV7" s="2515"/>
      <c r="BW7" s="2515"/>
      <c r="BX7" s="2515"/>
      <c r="BY7" s="2515"/>
      <c r="BZ7" s="2515"/>
      <c r="CA7" s="2515"/>
      <c r="CB7" s="2515"/>
      <c r="CC7" s="2515"/>
      <c r="CD7" s="2515"/>
      <c r="CE7" s="2515"/>
      <c r="CF7" s="2515"/>
      <c r="CG7" s="2515"/>
      <c r="CH7" s="2515"/>
      <c r="CI7" s="2515"/>
      <c r="CJ7" s="2515"/>
      <c r="CK7" s="2515"/>
      <c r="CL7" s="2515"/>
      <c r="CM7" s="2515"/>
      <c r="CN7" s="2515"/>
      <c r="CO7" s="2515"/>
      <c r="CP7" s="2515"/>
      <c r="CQ7" s="2515"/>
      <c r="CR7" s="2515"/>
      <c r="CS7" s="2515"/>
      <c r="CT7" s="2515"/>
      <c r="CU7" s="2515"/>
      <c r="CV7" s="2515"/>
      <c r="CW7" s="2515"/>
      <c r="CX7" s="2515"/>
      <c r="CY7" s="2515"/>
      <c r="CZ7" s="2515"/>
      <c r="DA7" s="2515"/>
      <c r="DB7" s="2515"/>
      <c r="DC7" s="2515"/>
      <c r="DD7" s="2515"/>
      <c r="DE7" s="2515"/>
      <c r="DF7" s="2515"/>
      <c r="DG7" s="2515"/>
      <c r="DH7" s="2515"/>
      <c r="DI7" s="2515"/>
      <c r="DJ7" s="2515"/>
      <c r="DK7" s="2515"/>
      <c r="DL7" s="2515"/>
      <c r="DM7" s="2515"/>
      <c r="DN7" s="2515"/>
      <c r="DO7" s="2515"/>
      <c r="DP7" s="2515"/>
      <c r="DQ7" s="2515"/>
      <c r="DR7" s="2515"/>
      <c r="DS7" s="2515"/>
      <c r="DT7" s="2515"/>
      <c r="DU7" s="2515"/>
      <c r="DV7" s="2515"/>
      <c r="DW7" s="2515"/>
      <c r="DX7" s="2515"/>
      <c r="DY7" s="2515"/>
      <c r="DZ7" s="2515"/>
      <c r="EA7" s="2515"/>
      <c r="EB7" s="2515"/>
      <c r="EC7" s="2515"/>
      <c r="ED7" s="2515"/>
      <c r="EE7" s="2515"/>
      <c r="EF7" s="2515"/>
      <c r="EG7" s="2515"/>
      <c r="EH7" s="2515"/>
      <c r="EI7" s="2515"/>
      <c r="EJ7" s="2515"/>
      <c r="EK7" s="2515"/>
      <c r="EL7" s="2515"/>
      <c r="EM7" s="2515"/>
      <c r="EN7" s="2515"/>
      <c r="EO7" s="2515"/>
      <c r="EP7" s="2515"/>
      <c r="EQ7" s="2515"/>
      <c r="ER7" s="2515"/>
      <c r="ES7" s="2515"/>
      <c r="ET7" s="2515"/>
      <c r="EU7" s="2515"/>
      <c r="FI7" s="2516"/>
      <c r="FJ7" s="2516"/>
      <c r="FK7" s="2516"/>
      <c r="FL7" s="2516"/>
      <c r="FM7" s="2516"/>
      <c r="FN7" s="2516"/>
      <c r="FO7" s="2516"/>
      <c r="FP7" s="2516"/>
      <c r="FQ7" s="2516"/>
      <c r="FR7" s="2516"/>
      <c r="FS7" s="2516"/>
      <c r="FT7" s="2516"/>
      <c r="FU7" s="2516"/>
      <c r="FV7" s="2516"/>
      <c r="FW7" s="2516"/>
      <c r="FX7" s="2516"/>
      <c r="FY7" s="2516"/>
      <c r="FZ7" s="2516"/>
      <c r="GA7" s="2516"/>
      <c r="GB7" s="2516"/>
      <c r="GC7" s="2516"/>
      <c r="GD7" s="2516"/>
      <c r="GE7" s="2516"/>
      <c r="GF7" s="2516"/>
      <c r="GG7" s="2516"/>
      <c r="GH7" s="2516"/>
      <c r="GI7" s="2516"/>
      <c r="GJ7" s="2516"/>
      <c r="GK7" s="2516"/>
      <c r="GL7" s="2516"/>
      <c r="GM7" s="2516"/>
      <c r="GN7" s="2516"/>
      <c r="GO7" s="2516"/>
      <c r="GP7" s="2516"/>
      <c r="GQ7" s="2516"/>
      <c r="GR7" s="2516"/>
      <c r="GS7" s="2516"/>
      <c r="GT7" s="2516"/>
      <c r="GU7" s="2516"/>
      <c r="GV7" s="2516"/>
      <c r="GW7" s="2516"/>
      <c r="GX7" s="2516"/>
      <c r="GY7" s="2516"/>
      <c r="GZ7" s="2516"/>
      <c r="HA7" s="2516"/>
      <c r="HB7" s="2516"/>
      <c r="HC7" s="2516"/>
      <c r="HD7" s="2516"/>
      <c r="HE7" s="2516"/>
      <c r="HF7" s="2516"/>
    </row>
    <row r="8" spans="15:214" ht="3.6" customHeight="1">
      <c r="O8" s="2515"/>
      <c r="P8" s="2515"/>
      <c r="Q8" s="2515"/>
      <c r="R8" s="2515"/>
      <c r="S8" s="2515"/>
      <c r="T8" s="2515"/>
      <c r="U8" s="2515"/>
      <c r="V8" s="2515"/>
      <c r="W8" s="2515"/>
      <c r="X8" s="2515"/>
      <c r="Y8" s="2515"/>
      <c r="Z8" s="2515"/>
      <c r="AA8" s="2515"/>
      <c r="AB8" s="2515"/>
      <c r="AC8" s="2515"/>
      <c r="AD8" s="2515"/>
      <c r="AE8" s="2515"/>
      <c r="AF8" s="2515"/>
      <c r="AG8" s="2515"/>
      <c r="AH8" s="2515"/>
      <c r="AI8" s="2515"/>
      <c r="AJ8" s="2515"/>
      <c r="AK8" s="2515"/>
      <c r="AL8" s="2515"/>
      <c r="AM8" s="2515"/>
      <c r="AN8" s="2515"/>
      <c r="AO8" s="2515"/>
      <c r="AP8" s="2515"/>
      <c r="AQ8" s="2515"/>
      <c r="AR8" s="2515"/>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c r="BP8" s="2515"/>
      <c r="BQ8" s="2515"/>
      <c r="BR8" s="2515"/>
      <c r="BS8" s="2515"/>
      <c r="BT8" s="2515"/>
      <c r="BU8" s="2515"/>
      <c r="BV8" s="2515"/>
      <c r="BW8" s="2515"/>
      <c r="BX8" s="2515"/>
      <c r="BY8" s="2515"/>
      <c r="BZ8" s="2515"/>
      <c r="CA8" s="2515"/>
      <c r="CB8" s="2515"/>
      <c r="CC8" s="2515"/>
      <c r="CD8" s="2515"/>
      <c r="CE8" s="2515"/>
      <c r="CF8" s="2515"/>
      <c r="CG8" s="2515"/>
      <c r="CH8" s="2515"/>
      <c r="CI8" s="2515"/>
      <c r="CJ8" s="2515"/>
      <c r="CK8" s="2515"/>
      <c r="CL8" s="2515"/>
      <c r="CM8" s="2515"/>
      <c r="CN8" s="2515"/>
      <c r="CO8" s="2515"/>
      <c r="CP8" s="2515"/>
      <c r="CQ8" s="2515"/>
      <c r="CR8" s="2515"/>
      <c r="CS8" s="2515"/>
      <c r="CT8" s="2515"/>
      <c r="CU8" s="2515"/>
      <c r="CV8" s="2515"/>
      <c r="CW8" s="2515"/>
      <c r="CX8" s="2515"/>
      <c r="CY8" s="2515"/>
      <c r="CZ8" s="2515"/>
      <c r="DA8" s="2515"/>
      <c r="DB8" s="2515"/>
      <c r="DC8" s="2515"/>
      <c r="DD8" s="2515"/>
      <c r="DE8" s="2515"/>
      <c r="DF8" s="2515"/>
      <c r="DG8" s="2515"/>
      <c r="DH8" s="2515"/>
      <c r="DI8" s="2515"/>
      <c r="DJ8" s="2515"/>
      <c r="DK8" s="2515"/>
      <c r="DL8" s="2515"/>
      <c r="DM8" s="2515"/>
      <c r="DN8" s="2515"/>
      <c r="DO8" s="2515"/>
      <c r="DP8" s="2515"/>
      <c r="DQ8" s="2515"/>
      <c r="DR8" s="2515"/>
      <c r="DS8" s="2515"/>
      <c r="DT8" s="2515"/>
      <c r="DU8" s="2515"/>
      <c r="DV8" s="2515"/>
      <c r="DW8" s="2515"/>
      <c r="DX8" s="2515"/>
      <c r="DY8" s="2515"/>
      <c r="DZ8" s="2515"/>
      <c r="EA8" s="2515"/>
      <c r="EB8" s="2515"/>
      <c r="EC8" s="2515"/>
      <c r="ED8" s="2515"/>
      <c r="EE8" s="2515"/>
      <c r="EF8" s="2515"/>
      <c r="EG8" s="2515"/>
      <c r="EH8" s="2515"/>
      <c r="EI8" s="2515"/>
      <c r="EJ8" s="2515"/>
      <c r="EK8" s="2515"/>
      <c r="EL8" s="2515"/>
      <c r="EM8" s="2515"/>
      <c r="EN8" s="2515"/>
      <c r="EO8" s="2515"/>
      <c r="EP8" s="2515"/>
      <c r="EQ8" s="2515"/>
      <c r="ER8" s="2515"/>
      <c r="ES8" s="2515"/>
      <c r="ET8" s="2515"/>
      <c r="EU8" s="2515"/>
      <c r="FI8" s="2517" t="s">
        <v>3156</v>
      </c>
      <c r="FJ8" s="2517"/>
      <c r="FK8" s="2517"/>
      <c r="FL8" s="2517"/>
      <c r="FM8" s="2517"/>
      <c r="FN8" s="2517"/>
      <c r="FO8" s="2517"/>
      <c r="FP8" s="2517"/>
      <c r="FQ8" s="2517"/>
      <c r="FR8" s="2517"/>
      <c r="FS8" s="2517"/>
      <c r="FT8" s="2517"/>
      <c r="FU8" s="2517"/>
      <c r="FV8" s="2517"/>
      <c r="FW8" s="2517"/>
      <c r="FX8" s="2517"/>
      <c r="FY8" s="2517"/>
      <c r="FZ8" s="2517"/>
      <c r="GA8" s="2517"/>
      <c r="GB8" s="2517"/>
      <c r="GC8" s="2517"/>
      <c r="GD8" s="2517"/>
      <c r="GE8" s="2517"/>
      <c r="GF8" s="2517"/>
      <c r="GG8" s="2517"/>
      <c r="GH8" s="2517"/>
      <c r="GI8" s="2517"/>
      <c r="GJ8" s="2517"/>
      <c r="GK8" s="2517"/>
      <c r="GL8" s="2517"/>
      <c r="GM8" s="2517"/>
      <c r="GN8" s="2517"/>
      <c r="GO8" s="2517"/>
      <c r="GP8" s="2517"/>
      <c r="GQ8" s="2517"/>
      <c r="GR8" s="2517"/>
      <c r="GS8" s="2517"/>
      <c r="GT8" s="2517"/>
      <c r="GU8" s="2517"/>
      <c r="GV8" s="2517"/>
      <c r="GW8" s="2517"/>
      <c r="GX8" s="2517"/>
      <c r="GY8" s="2517"/>
      <c r="GZ8" s="2517"/>
      <c r="HA8" s="2517"/>
      <c r="HB8" s="2517"/>
      <c r="HC8" s="2517"/>
      <c r="HD8" s="2517"/>
      <c r="HE8" s="2517"/>
      <c r="HF8" s="2517"/>
    </row>
    <row r="9" spans="15:214" ht="3.6" customHeight="1">
      <c r="O9" s="2515"/>
      <c r="P9" s="2515"/>
      <c r="Q9" s="2515"/>
      <c r="R9" s="2515"/>
      <c r="S9" s="2515"/>
      <c r="T9" s="2515"/>
      <c r="U9" s="2515"/>
      <c r="V9" s="2515"/>
      <c r="W9" s="2515"/>
      <c r="X9" s="2515"/>
      <c r="Y9" s="2515"/>
      <c r="Z9" s="2515"/>
      <c r="AA9" s="2515"/>
      <c r="AB9" s="2515"/>
      <c r="AC9" s="2515"/>
      <c r="AD9" s="2515"/>
      <c r="AE9" s="2515"/>
      <c r="AF9" s="2515"/>
      <c r="AG9" s="2515"/>
      <c r="AH9" s="2515"/>
      <c r="AI9" s="2515"/>
      <c r="AJ9" s="2515"/>
      <c r="AK9" s="2515"/>
      <c r="AL9" s="2515"/>
      <c r="AM9" s="2515"/>
      <c r="AN9" s="2515"/>
      <c r="AO9" s="2515"/>
      <c r="AP9" s="2515"/>
      <c r="AQ9" s="2515"/>
      <c r="AR9" s="2515"/>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c r="BP9" s="2515"/>
      <c r="BQ9" s="2515"/>
      <c r="BR9" s="2515"/>
      <c r="BS9" s="2515"/>
      <c r="BT9" s="2515"/>
      <c r="BU9" s="2515"/>
      <c r="BV9" s="2515"/>
      <c r="BW9" s="2515"/>
      <c r="BX9" s="2515"/>
      <c r="BY9" s="2515"/>
      <c r="BZ9" s="2515"/>
      <c r="CA9" s="2515"/>
      <c r="CB9" s="2515"/>
      <c r="CC9" s="2515"/>
      <c r="CD9" s="2515"/>
      <c r="CE9" s="2515"/>
      <c r="CF9" s="2515"/>
      <c r="CG9" s="2515"/>
      <c r="CH9" s="2515"/>
      <c r="CI9" s="2515"/>
      <c r="CJ9" s="2515"/>
      <c r="CK9" s="2515"/>
      <c r="CL9" s="2515"/>
      <c r="CM9" s="2515"/>
      <c r="CN9" s="2515"/>
      <c r="CO9" s="2515"/>
      <c r="CP9" s="2515"/>
      <c r="CQ9" s="2515"/>
      <c r="CR9" s="2515"/>
      <c r="CS9" s="2515"/>
      <c r="CT9" s="2515"/>
      <c r="CU9" s="2515"/>
      <c r="CV9" s="2515"/>
      <c r="CW9" s="2515"/>
      <c r="CX9" s="2515"/>
      <c r="CY9" s="2515"/>
      <c r="CZ9" s="2515"/>
      <c r="DA9" s="2515"/>
      <c r="DB9" s="2515"/>
      <c r="DC9" s="2515"/>
      <c r="DD9" s="2515"/>
      <c r="DE9" s="2515"/>
      <c r="DF9" s="2515"/>
      <c r="DG9" s="2515"/>
      <c r="DH9" s="2515"/>
      <c r="DI9" s="2515"/>
      <c r="DJ9" s="2515"/>
      <c r="DK9" s="2515"/>
      <c r="DL9" s="2515"/>
      <c r="DM9" s="2515"/>
      <c r="DN9" s="2515"/>
      <c r="DO9" s="2515"/>
      <c r="DP9" s="2515"/>
      <c r="DQ9" s="2515"/>
      <c r="DR9" s="2515"/>
      <c r="DS9" s="2515"/>
      <c r="DT9" s="2515"/>
      <c r="DU9" s="2515"/>
      <c r="DV9" s="2515"/>
      <c r="DW9" s="2515"/>
      <c r="DX9" s="2515"/>
      <c r="DY9" s="2515"/>
      <c r="DZ9" s="2515"/>
      <c r="EA9" s="2515"/>
      <c r="EB9" s="2515"/>
      <c r="EC9" s="2515"/>
      <c r="ED9" s="2515"/>
      <c r="EE9" s="2515"/>
      <c r="EF9" s="2515"/>
      <c r="EG9" s="2515"/>
      <c r="EH9" s="2515"/>
      <c r="EI9" s="2515"/>
      <c r="EJ9" s="2515"/>
      <c r="EK9" s="2515"/>
      <c r="EL9" s="2515"/>
      <c r="EM9" s="2515"/>
      <c r="EN9" s="2515"/>
      <c r="EO9" s="2515"/>
      <c r="EP9" s="2515"/>
      <c r="EQ9" s="2515"/>
      <c r="ER9" s="2515"/>
      <c r="ES9" s="2515"/>
      <c r="ET9" s="2515"/>
      <c r="EU9" s="2515"/>
      <c r="FI9" s="2517"/>
      <c r="FJ9" s="2517"/>
      <c r="FK9" s="2517"/>
      <c r="FL9" s="2517"/>
      <c r="FM9" s="2517"/>
      <c r="FN9" s="2517"/>
      <c r="FO9" s="2517"/>
      <c r="FP9" s="2517"/>
      <c r="FQ9" s="2517"/>
      <c r="FR9" s="2517"/>
      <c r="FS9" s="2517"/>
      <c r="FT9" s="2517"/>
      <c r="FU9" s="2517"/>
      <c r="FV9" s="2517"/>
      <c r="FW9" s="2517"/>
      <c r="FX9" s="2517"/>
      <c r="FY9" s="2517"/>
      <c r="FZ9" s="2517"/>
      <c r="GA9" s="2517"/>
      <c r="GB9" s="2517"/>
      <c r="GC9" s="2517"/>
      <c r="GD9" s="2517"/>
      <c r="GE9" s="2517"/>
      <c r="GF9" s="2517"/>
      <c r="GG9" s="2517"/>
      <c r="GH9" s="2517"/>
      <c r="GI9" s="2517"/>
      <c r="GJ9" s="2517"/>
      <c r="GK9" s="2517"/>
      <c r="GL9" s="2517"/>
      <c r="GM9" s="2517"/>
      <c r="GN9" s="2517"/>
      <c r="GO9" s="2517"/>
      <c r="GP9" s="2517"/>
      <c r="GQ9" s="2517"/>
      <c r="GR9" s="2517"/>
      <c r="GS9" s="2517"/>
      <c r="GT9" s="2517"/>
      <c r="GU9" s="2517"/>
      <c r="GV9" s="2517"/>
      <c r="GW9" s="2517"/>
      <c r="GX9" s="2517"/>
      <c r="GY9" s="2517"/>
      <c r="GZ9" s="2517"/>
      <c r="HA9" s="2517"/>
      <c r="HB9" s="2517"/>
      <c r="HC9" s="2517"/>
      <c r="HD9" s="2517"/>
      <c r="HE9" s="2517"/>
      <c r="HF9" s="2517"/>
    </row>
    <row r="10" spans="15:214" ht="3.6" customHeight="1">
      <c r="O10" s="2515"/>
      <c r="P10" s="2515"/>
      <c r="Q10" s="2515"/>
      <c r="R10" s="2515"/>
      <c r="S10" s="2515"/>
      <c r="T10" s="2515"/>
      <c r="U10" s="2515"/>
      <c r="V10" s="2515"/>
      <c r="W10" s="2515"/>
      <c r="X10" s="2515"/>
      <c r="Y10" s="2515"/>
      <c r="Z10" s="2515"/>
      <c r="AA10" s="2515"/>
      <c r="AB10" s="2515"/>
      <c r="AC10" s="2515"/>
      <c r="AD10" s="2515"/>
      <c r="AE10" s="2515"/>
      <c r="AF10" s="2515"/>
      <c r="AG10" s="2515"/>
      <c r="AH10" s="2515"/>
      <c r="AI10" s="2515"/>
      <c r="AJ10" s="2515"/>
      <c r="AK10" s="2515"/>
      <c r="AL10" s="2515"/>
      <c r="AM10" s="2515"/>
      <c r="AN10" s="2515"/>
      <c r="AO10" s="2515"/>
      <c r="AP10" s="2515"/>
      <c r="AQ10" s="2515"/>
      <c r="AR10" s="2515"/>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c r="BP10" s="2515"/>
      <c r="BQ10" s="2515"/>
      <c r="BR10" s="2515"/>
      <c r="BS10" s="2515"/>
      <c r="BT10" s="2515"/>
      <c r="BU10" s="2515"/>
      <c r="BV10" s="2515"/>
      <c r="BW10" s="2515"/>
      <c r="BX10" s="2515"/>
      <c r="BY10" s="2515"/>
      <c r="BZ10" s="2515"/>
      <c r="CA10" s="2515"/>
      <c r="CB10" s="2515"/>
      <c r="CC10" s="2515"/>
      <c r="CD10" s="2515"/>
      <c r="CE10" s="2515"/>
      <c r="CF10" s="2515"/>
      <c r="CG10" s="2515"/>
      <c r="CH10" s="2515"/>
      <c r="CI10" s="2515"/>
      <c r="CJ10" s="2515"/>
      <c r="CK10" s="2515"/>
      <c r="CL10" s="2515"/>
      <c r="CM10" s="2515"/>
      <c r="CN10" s="2515"/>
      <c r="CO10" s="2515"/>
      <c r="CP10" s="2515"/>
      <c r="CQ10" s="2515"/>
      <c r="CR10" s="2515"/>
      <c r="CS10" s="2515"/>
      <c r="CT10" s="2515"/>
      <c r="CU10" s="2515"/>
      <c r="CV10" s="2515"/>
      <c r="CW10" s="2515"/>
      <c r="CX10" s="2515"/>
      <c r="CY10" s="2515"/>
      <c r="CZ10" s="2515"/>
      <c r="DA10" s="2515"/>
      <c r="DB10" s="2515"/>
      <c r="DC10" s="2515"/>
      <c r="DD10" s="2515"/>
      <c r="DE10" s="2515"/>
      <c r="DF10" s="2515"/>
      <c r="DG10" s="2515"/>
      <c r="DH10" s="2515"/>
      <c r="DI10" s="2515"/>
      <c r="DJ10" s="2515"/>
      <c r="DK10" s="2515"/>
      <c r="DL10" s="2515"/>
      <c r="DM10" s="2515"/>
      <c r="DN10" s="2515"/>
      <c r="DO10" s="2515"/>
      <c r="DP10" s="2515"/>
      <c r="DQ10" s="2515"/>
      <c r="DR10" s="2515"/>
      <c r="DS10" s="2515"/>
      <c r="DT10" s="2515"/>
      <c r="DU10" s="2515"/>
      <c r="DV10" s="2515"/>
      <c r="DW10" s="2515"/>
      <c r="DX10" s="2515"/>
      <c r="DY10" s="2515"/>
      <c r="DZ10" s="2515"/>
      <c r="EA10" s="2515"/>
      <c r="EB10" s="2515"/>
      <c r="EC10" s="2515"/>
      <c r="ED10" s="2515"/>
      <c r="EE10" s="2515"/>
      <c r="EF10" s="2515"/>
      <c r="EG10" s="2515"/>
      <c r="EH10" s="2515"/>
      <c r="EI10" s="2515"/>
      <c r="EJ10" s="2515"/>
      <c r="EK10" s="2515"/>
      <c r="EL10" s="2515"/>
      <c r="EM10" s="2515"/>
      <c r="EN10" s="2515"/>
      <c r="EO10" s="2515"/>
      <c r="EP10" s="2515"/>
      <c r="EQ10" s="2515"/>
      <c r="ER10" s="2515"/>
      <c r="ES10" s="2515"/>
      <c r="ET10" s="2515"/>
      <c r="EU10" s="2515"/>
      <c r="FI10" s="2517"/>
      <c r="FJ10" s="2517"/>
      <c r="FK10" s="2517"/>
      <c r="FL10" s="2517"/>
      <c r="FM10" s="2517"/>
      <c r="FN10" s="2517"/>
      <c r="FO10" s="2517"/>
      <c r="FP10" s="2517"/>
      <c r="FQ10" s="2517"/>
      <c r="FR10" s="2517"/>
      <c r="FS10" s="2517"/>
      <c r="FT10" s="2517"/>
      <c r="FU10" s="2517"/>
      <c r="FV10" s="2517"/>
      <c r="FW10" s="2517"/>
      <c r="FX10" s="2517"/>
      <c r="FY10" s="2517"/>
      <c r="FZ10" s="2517"/>
      <c r="GA10" s="2517"/>
      <c r="GB10" s="2517"/>
      <c r="GC10" s="2517"/>
      <c r="GD10" s="2517"/>
      <c r="GE10" s="2517"/>
      <c r="GF10" s="2517"/>
      <c r="GG10" s="2517"/>
      <c r="GH10" s="2517"/>
      <c r="GI10" s="2517"/>
      <c r="GJ10" s="2517"/>
      <c r="GK10" s="2517"/>
      <c r="GL10" s="2517"/>
      <c r="GM10" s="2517"/>
      <c r="GN10" s="2517"/>
      <c r="GO10" s="2517"/>
      <c r="GP10" s="2517"/>
      <c r="GQ10" s="2517"/>
      <c r="GR10" s="2517"/>
      <c r="GS10" s="2517"/>
      <c r="GT10" s="2517"/>
      <c r="GU10" s="2517"/>
      <c r="GV10" s="2517"/>
      <c r="GW10" s="2517"/>
      <c r="GX10" s="2517"/>
      <c r="GY10" s="2517"/>
      <c r="GZ10" s="2517"/>
      <c r="HA10" s="2517"/>
      <c r="HB10" s="2517"/>
      <c r="HC10" s="2517"/>
      <c r="HD10" s="2517"/>
      <c r="HE10" s="2517"/>
      <c r="HF10" s="2517"/>
    </row>
    <row r="11" spans="15:214" ht="3.6" customHeight="1">
      <c r="FI11" s="2517"/>
      <c r="FJ11" s="2517"/>
      <c r="FK11" s="2517"/>
      <c r="FL11" s="2517"/>
      <c r="FM11" s="2517"/>
      <c r="FN11" s="2517"/>
      <c r="FO11" s="2517"/>
      <c r="FP11" s="2517"/>
      <c r="FQ11" s="2517"/>
      <c r="FR11" s="2517"/>
      <c r="FS11" s="2517"/>
      <c r="FT11" s="2517"/>
      <c r="FU11" s="2517"/>
      <c r="FV11" s="2517"/>
      <c r="FW11" s="2517"/>
      <c r="FX11" s="2517"/>
      <c r="FY11" s="2517"/>
      <c r="FZ11" s="2517"/>
      <c r="GA11" s="2517"/>
      <c r="GB11" s="2517"/>
      <c r="GC11" s="2517"/>
      <c r="GD11" s="2517"/>
      <c r="GE11" s="2517"/>
      <c r="GF11" s="2517"/>
      <c r="GG11" s="2517"/>
      <c r="GH11" s="2517"/>
      <c r="GI11" s="2517"/>
      <c r="GJ11" s="2517"/>
      <c r="GK11" s="2517"/>
      <c r="GL11" s="2517"/>
      <c r="GM11" s="2517"/>
      <c r="GN11" s="2517"/>
      <c r="GO11" s="2517"/>
      <c r="GP11" s="2517"/>
      <c r="GQ11" s="2517"/>
      <c r="GR11" s="2517"/>
      <c r="GS11" s="2517"/>
      <c r="GT11" s="2517"/>
      <c r="GU11" s="2517"/>
      <c r="GV11" s="2517"/>
      <c r="GW11" s="2517"/>
      <c r="GX11" s="2517"/>
      <c r="GY11" s="2517"/>
      <c r="GZ11" s="2517"/>
      <c r="HA11" s="2517"/>
      <c r="HB11" s="2517"/>
      <c r="HC11" s="2517"/>
      <c r="HD11" s="2517"/>
      <c r="HE11" s="2517"/>
      <c r="HF11" s="2517"/>
    </row>
    <row r="12" spans="15:214" ht="3.6" customHeight="1">
      <c r="FI12" s="2517"/>
      <c r="FJ12" s="2517"/>
      <c r="FK12" s="2517"/>
      <c r="FL12" s="2517"/>
      <c r="FM12" s="2517"/>
      <c r="FN12" s="2517"/>
      <c r="FO12" s="2517"/>
      <c r="FP12" s="2517"/>
      <c r="FQ12" s="2517"/>
      <c r="FR12" s="2517"/>
      <c r="FS12" s="2517"/>
      <c r="FT12" s="2517"/>
      <c r="FU12" s="2517"/>
      <c r="FV12" s="2517"/>
      <c r="FW12" s="2517"/>
      <c r="FX12" s="2517"/>
      <c r="FY12" s="2517"/>
      <c r="FZ12" s="2517"/>
      <c r="GA12" s="2517"/>
      <c r="GB12" s="2517"/>
      <c r="GC12" s="2517"/>
      <c r="GD12" s="2517"/>
      <c r="GE12" s="2517"/>
      <c r="GF12" s="2517"/>
      <c r="GG12" s="2517"/>
      <c r="GH12" s="2517"/>
      <c r="GI12" s="2517"/>
      <c r="GJ12" s="2517"/>
      <c r="GK12" s="2517"/>
      <c r="GL12" s="2517"/>
      <c r="GM12" s="2517"/>
      <c r="GN12" s="2517"/>
      <c r="GO12" s="2517"/>
      <c r="GP12" s="2517"/>
      <c r="GQ12" s="2517"/>
      <c r="GR12" s="2517"/>
      <c r="GS12" s="2517"/>
      <c r="GT12" s="2517"/>
      <c r="GU12" s="2517"/>
      <c r="GV12" s="2517"/>
      <c r="GW12" s="2517"/>
      <c r="GX12" s="2517"/>
      <c r="GY12" s="2517"/>
      <c r="GZ12" s="2517"/>
      <c r="HA12" s="2517"/>
      <c r="HB12" s="2517"/>
      <c r="HC12" s="2517"/>
      <c r="HD12" s="2517"/>
      <c r="HE12" s="2517"/>
      <c r="HF12" s="2517"/>
    </row>
    <row r="13" spans="15:214" ht="3.6" customHeight="1">
      <c r="FI13" s="2517"/>
      <c r="FJ13" s="2517"/>
      <c r="FK13" s="2517"/>
      <c r="FL13" s="2517"/>
      <c r="FM13" s="2517"/>
      <c r="FN13" s="2517"/>
      <c r="FO13" s="2517"/>
      <c r="FP13" s="2517"/>
      <c r="FQ13" s="2517"/>
      <c r="FR13" s="2517"/>
      <c r="FS13" s="2517"/>
      <c r="FT13" s="2517"/>
      <c r="FU13" s="2517"/>
      <c r="FV13" s="2517"/>
      <c r="FW13" s="2517"/>
      <c r="FX13" s="2517"/>
      <c r="FY13" s="2517"/>
      <c r="FZ13" s="2517"/>
      <c r="GA13" s="2517"/>
      <c r="GB13" s="2517"/>
      <c r="GC13" s="2517"/>
      <c r="GD13" s="2517"/>
      <c r="GE13" s="2517"/>
      <c r="GF13" s="2517"/>
      <c r="GG13" s="2517"/>
      <c r="GH13" s="2517"/>
      <c r="GI13" s="2517"/>
      <c r="GJ13" s="2517"/>
      <c r="GK13" s="2517"/>
      <c r="GL13" s="2517"/>
      <c r="GM13" s="2517"/>
      <c r="GN13" s="2517"/>
      <c r="GO13" s="2517"/>
      <c r="GP13" s="2517"/>
      <c r="GQ13" s="2517"/>
      <c r="GR13" s="2517"/>
      <c r="GS13" s="2517"/>
      <c r="GT13" s="2517"/>
      <c r="GU13" s="2517"/>
      <c r="GV13" s="2517"/>
      <c r="GW13" s="2517"/>
      <c r="GX13" s="2517"/>
      <c r="GY13" s="2517"/>
      <c r="GZ13" s="2517"/>
      <c r="HA13" s="2517"/>
      <c r="HB13" s="2517"/>
      <c r="HC13" s="2517"/>
      <c r="HD13" s="2517"/>
      <c r="HE13" s="2517"/>
      <c r="HF13" s="2517"/>
    </row>
    <row r="14" spans="15:214" ht="3.6" customHeight="1">
      <c r="FI14" s="2517"/>
      <c r="FJ14" s="2517"/>
      <c r="FK14" s="2517"/>
      <c r="FL14" s="2517"/>
      <c r="FM14" s="2517"/>
      <c r="FN14" s="2517"/>
      <c r="FO14" s="2517"/>
      <c r="FP14" s="2517"/>
      <c r="FQ14" s="2517"/>
      <c r="FR14" s="2517"/>
      <c r="FS14" s="2517"/>
      <c r="FT14" s="2517"/>
      <c r="FU14" s="2517"/>
      <c r="FV14" s="2517"/>
      <c r="FW14" s="2517"/>
      <c r="FX14" s="2517"/>
      <c r="FY14" s="2517"/>
      <c r="FZ14" s="2517"/>
      <c r="GA14" s="2517"/>
      <c r="GB14" s="2517"/>
      <c r="GC14" s="2517"/>
      <c r="GD14" s="2517"/>
      <c r="GE14" s="2517"/>
      <c r="GF14" s="2517"/>
      <c r="GG14" s="2517"/>
      <c r="GH14" s="2517"/>
      <c r="GI14" s="2517"/>
      <c r="GJ14" s="2517"/>
      <c r="GK14" s="2517"/>
      <c r="GL14" s="2517"/>
      <c r="GM14" s="2517"/>
      <c r="GN14" s="2517"/>
      <c r="GO14" s="2517"/>
      <c r="GP14" s="2517"/>
      <c r="GQ14" s="2517"/>
      <c r="GR14" s="2517"/>
      <c r="GS14" s="2517"/>
      <c r="GT14" s="2517"/>
      <c r="GU14" s="2517"/>
      <c r="GV14" s="2517"/>
      <c r="GW14" s="2517"/>
      <c r="GX14" s="2517"/>
      <c r="GY14" s="2517"/>
      <c r="GZ14" s="2517"/>
      <c r="HA14" s="2517"/>
      <c r="HB14" s="2517"/>
      <c r="HC14" s="2517"/>
      <c r="HD14" s="2517"/>
      <c r="HE14" s="2517"/>
      <c r="HF14" s="2517"/>
    </row>
    <row r="15" spans="15:214" ht="3.6" customHeight="1">
      <c r="FI15" s="2517"/>
      <c r="FJ15" s="2517"/>
      <c r="FK15" s="2517"/>
      <c r="FL15" s="2517"/>
      <c r="FM15" s="2517"/>
      <c r="FN15" s="2517"/>
      <c r="FO15" s="2517"/>
      <c r="FP15" s="2517"/>
      <c r="FQ15" s="2517"/>
      <c r="FR15" s="2517"/>
      <c r="FS15" s="2517"/>
      <c r="FT15" s="2517"/>
      <c r="FU15" s="2517"/>
      <c r="FV15" s="2517"/>
      <c r="FW15" s="2517"/>
      <c r="FX15" s="2517"/>
      <c r="FY15" s="2517"/>
      <c r="FZ15" s="2517"/>
      <c r="GA15" s="2517"/>
      <c r="GB15" s="2517"/>
      <c r="GC15" s="2517"/>
      <c r="GD15" s="2517"/>
      <c r="GE15" s="2517"/>
      <c r="GF15" s="2517"/>
      <c r="GG15" s="2517"/>
      <c r="GH15" s="2517"/>
      <c r="GI15" s="2517"/>
      <c r="GJ15" s="2517"/>
      <c r="GK15" s="2517"/>
      <c r="GL15" s="2517"/>
      <c r="GM15" s="2517"/>
      <c r="GN15" s="2517"/>
      <c r="GO15" s="2517"/>
      <c r="GP15" s="2517"/>
      <c r="GQ15" s="2517"/>
      <c r="GR15" s="2517"/>
      <c r="GS15" s="2517"/>
      <c r="GT15" s="2517"/>
      <c r="GU15" s="2517"/>
      <c r="GV15" s="2517"/>
      <c r="GW15" s="2517"/>
      <c r="GX15" s="2517"/>
      <c r="GY15" s="2517"/>
      <c r="GZ15" s="2517"/>
      <c r="HA15" s="2517"/>
      <c r="HB15" s="2517"/>
      <c r="HC15" s="2517"/>
      <c r="HD15" s="2517"/>
      <c r="HE15" s="2517"/>
      <c r="HF15" s="2517"/>
    </row>
    <row r="16" spans="15:214" ht="3.6" customHeight="1">
      <c r="FX16" s="175"/>
      <c r="FY16" s="175"/>
      <c r="FZ16" s="175"/>
      <c r="GA16" s="175"/>
      <c r="GB16" s="175"/>
      <c r="GC16" s="175"/>
      <c r="GD16" s="175"/>
      <c r="GE16" s="175"/>
      <c r="GF16" s="175"/>
      <c r="GG16" s="175"/>
      <c r="GH16" s="175"/>
      <c r="GI16" s="175"/>
    </row>
    <row r="17" spans="180:191" ht="3.6" customHeight="1">
      <c r="FX17" s="175"/>
      <c r="FY17" s="175"/>
      <c r="FZ17" s="175"/>
      <c r="GA17" s="175"/>
      <c r="GB17" s="175"/>
      <c r="GC17" s="175"/>
      <c r="GD17" s="175"/>
      <c r="GE17" s="175"/>
      <c r="GF17" s="175"/>
      <c r="GG17" s="175"/>
      <c r="GH17" s="175"/>
      <c r="GI17" s="175"/>
    </row>
    <row r="18" spans="180:191" ht="3.6" customHeight="1">
      <c r="FX18" s="175"/>
      <c r="FY18" s="175"/>
      <c r="FZ18" s="175"/>
      <c r="GA18" s="175"/>
      <c r="GB18" s="175"/>
      <c r="GC18" s="175"/>
      <c r="GD18" s="175"/>
      <c r="GE18" s="175"/>
      <c r="GF18" s="175"/>
      <c r="GG18" s="175"/>
      <c r="GH18" s="175"/>
      <c r="GI18" s="175"/>
    </row>
    <row r="19" spans="180:191" ht="3.6" customHeight="1">
      <c r="FX19" s="175"/>
      <c r="FY19" s="175"/>
      <c r="FZ19" s="175"/>
      <c r="GA19" s="175"/>
      <c r="GB19" s="175"/>
      <c r="GC19" s="175"/>
      <c r="GD19" s="175"/>
      <c r="GE19" s="175"/>
      <c r="GF19" s="175"/>
      <c r="GG19" s="175"/>
      <c r="GH19" s="175"/>
      <c r="GI19" s="175"/>
    </row>
    <row r="20" spans="180:191" ht="3.75" customHeight="1">
      <c r="FX20" s="575"/>
      <c r="FY20" s="575"/>
      <c r="FZ20" s="575"/>
      <c r="GA20" s="575"/>
      <c r="GB20" s="575"/>
      <c r="GC20" s="575"/>
      <c r="GD20" s="575"/>
      <c r="GE20" s="575"/>
      <c r="GF20" s="575"/>
      <c r="GG20" s="575"/>
      <c r="GH20" s="575"/>
      <c r="GI20" s="575"/>
    </row>
    <row r="21" spans="180:191" ht="3.75" customHeight="1"/>
    <row r="34" spans="16:214" ht="3.6" customHeight="1">
      <c r="FX34" s="175"/>
      <c r="FY34" s="175"/>
      <c r="FZ34" s="175"/>
      <c r="GA34" s="175"/>
      <c r="GB34" s="175"/>
      <c r="GC34" s="175"/>
      <c r="GD34" s="175"/>
      <c r="GE34" s="175"/>
      <c r="GF34" s="175"/>
      <c r="GG34" s="175"/>
      <c r="GH34" s="175"/>
      <c r="GI34" s="175"/>
    </row>
    <row r="35" spans="16:214" ht="3.6" customHeight="1">
      <c r="P35" s="359"/>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c r="AN35" s="360"/>
      <c r="AO35" s="360"/>
      <c r="AP35" s="360"/>
      <c r="AQ35" s="360"/>
      <c r="AR35" s="360"/>
      <c r="AS35" s="360"/>
      <c r="AT35" s="360"/>
      <c r="AU35" s="360"/>
      <c r="AV35" s="360"/>
      <c r="AW35" s="360"/>
      <c r="AX35" s="360"/>
      <c r="AY35" s="360"/>
      <c r="AZ35" s="360"/>
      <c r="BA35" s="360"/>
      <c r="BB35" s="360"/>
      <c r="BC35" s="360"/>
      <c r="BD35" s="360"/>
      <c r="BE35" s="360"/>
      <c r="BF35" s="360"/>
      <c r="BG35" s="360"/>
      <c r="BH35" s="360"/>
      <c r="BI35" s="360"/>
      <c r="BJ35" s="360"/>
      <c r="BK35" s="360"/>
      <c r="BL35" s="360"/>
      <c r="BM35" s="360"/>
      <c r="BN35" s="360"/>
      <c r="BO35" s="360"/>
      <c r="BP35" s="360"/>
      <c r="BQ35" s="162"/>
      <c r="BR35" s="151"/>
      <c r="BS35" s="151"/>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c r="DK35" s="360"/>
      <c r="DL35" s="360"/>
      <c r="DM35" s="360"/>
      <c r="DN35" s="360"/>
      <c r="DO35" s="360"/>
      <c r="DP35" s="360"/>
      <c r="DQ35" s="360"/>
      <c r="DR35" s="360"/>
      <c r="DS35" s="360"/>
      <c r="DT35" s="360"/>
      <c r="DU35" s="360"/>
      <c r="DV35" s="360"/>
      <c r="DW35" s="216"/>
      <c r="ET35" s="2518" t="s">
        <v>3157</v>
      </c>
      <c r="EU35" s="2519"/>
      <c r="EV35" s="2519"/>
      <c r="EW35" s="2519"/>
      <c r="EX35" s="2519"/>
      <c r="EY35" s="2519"/>
      <c r="EZ35" s="2519"/>
      <c r="FA35" s="2519"/>
      <c r="FB35" s="2519"/>
      <c r="FC35" s="2519"/>
      <c r="FD35" s="2519"/>
      <c r="FE35" s="2519"/>
      <c r="FF35" s="2519"/>
      <c r="FG35" s="2519"/>
      <c r="FH35" s="2519"/>
      <c r="FI35" s="2519"/>
      <c r="FJ35" s="2519"/>
      <c r="FK35" s="2519"/>
      <c r="FL35" s="2519"/>
      <c r="FM35" s="2519"/>
      <c r="FN35" s="2519"/>
      <c r="FO35" s="2519"/>
      <c r="FP35" s="2519"/>
      <c r="FQ35" s="2519"/>
      <c r="FR35" s="2519"/>
      <c r="FS35" s="2519"/>
      <c r="FT35" s="2519"/>
      <c r="FU35" s="2519"/>
      <c r="FV35" s="2519"/>
      <c r="FW35" s="2519"/>
      <c r="FX35" s="2519"/>
      <c r="FY35" s="2519"/>
      <c r="FZ35" s="2519"/>
      <c r="GA35" s="2519"/>
      <c r="GB35" s="2519"/>
      <c r="GC35" s="2519"/>
      <c r="GD35" s="2519"/>
      <c r="GE35" s="2519"/>
      <c r="GF35" s="2519"/>
      <c r="GG35" s="2519"/>
      <c r="GH35" s="2519"/>
      <c r="GI35" s="2519"/>
      <c r="GJ35" s="2519"/>
      <c r="GK35" s="2519"/>
      <c r="GL35" s="2519"/>
      <c r="GM35" s="2519"/>
      <c r="GN35" s="2519"/>
      <c r="GO35" s="2519"/>
      <c r="GP35" s="2519"/>
      <c r="GQ35" s="2519"/>
      <c r="GR35" s="2519"/>
      <c r="GS35" s="2519"/>
      <c r="GT35" s="2519"/>
      <c r="GU35" s="2519"/>
      <c r="GV35" s="2519"/>
      <c r="GW35" s="2519"/>
      <c r="GX35" s="2519"/>
      <c r="GY35" s="2519"/>
      <c r="GZ35" s="2519"/>
      <c r="HA35" s="2519"/>
      <c r="HB35" s="2520"/>
    </row>
    <row r="36" spans="16:214" ht="3.6" customHeight="1">
      <c r="Q36" s="153"/>
      <c r="BO36" s="150"/>
      <c r="BP36" s="151"/>
      <c r="BQ36" s="151"/>
      <c r="BR36" s="151"/>
      <c r="BS36" s="151"/>
      <c r="DV36" s="154"/>
      <c r="ET36" s="2521"/>
      <c r="EU36" s="2522"/>
      <c r="EV36" s="2522"/>
      <c r="EW36" s="2522"/>
      <c r="EX36" s="2522"/>
      <c r="EY36" s="2522"/>
      <c r="EZ36" s="2522"/>
      <c r="FA36" s="2522"/>
      <c r="FB36" s="2522"/>
      <c r="FC36" s="2522"/>
      <c r="FD36" s="2522"/>
      <c r="FE36" s="2522"/>
      <c r="FF36" s="2522"/>
      <c r="FG36" s="2522"/>
      <c r="FH36" s="2522"/>
      <c r="FI36" s="2522"/>
      <c r="FJ36" s="2522"/>
      <c r="FK36" s="2522"/>
      <c r="FL36" s="2522"/>
      <c r="FM36" s="2522"/>
      <c r="FN36" s="2522"/>
      <c r="FO36" s="2522"/>
      <c r="FP36" s="2522"/>
      <c r="FQ36" s="2522"/>
      <c r="FR36" s="2522"/>
      <c r="FS36" s="2522"/>
      <c r="FT36" s="2522"/>
      <c r="FU36" s="2522"/>
      <c r="FV36" s="2522"/>
      <c r="FW36" s="2522"/>
      <c r="FX36" s="2522"/>
      <c r="FY36" s="2522"/>
      <c r="FZ36" s="2522"/>
      <c r="GA36" s="2522"/>
      <c r="GB36" s="2522"/>
      <c r="GC36" s="2522"/>
      <c r="GD36" s="2522"/>
      <c r="GE36" s="2522"/>
      <c r="GF36" s="2522"/>
      <c r="GG36" s="2522"/>
      <c r="GH36" s="2522"/>
      <c r="GI36" s="2522"/>
      <c r="GJ36" s="2522"/>
      <c r="GK36" s="2522"/>
      <c r="GL36" s="2522"/>
      <c r="GM36" s="2522"/>
      <c r="GN36" s="2522"/>
      <c r="GO36" s="2522"/>
      <c r="GP36" s="2522"/>
      <c r="GQ36" s="2522"/>
      <c r="GR36" s="2522"/>
      <c r="GS36" s="2522"/>
      <c r="GT36" s="2522"/>
      <c r="GU36" s="2522"/>
      <c r="GV36" s="2522"/>
      <c r="GW36" s="2522"/>
      <c r="GX36" s="2522"/>
      <c r="GY36" s="2522"/>
      <c r="GZ36" s="2522"/>
      <c r="HA36" s="2522"/>
      <c r="HB36" s="2523"/>
    </row>
    <row r="37" spans="16:214" ht="3.6" customHeight="1">
      <c r="Q37" s="153"/>
      <c r="BO37" s="153"/>
      <c r="DV37" s="154"/>
      <c r="ET37" s="2521"/>
      <c r="EU37" s="2522"/>
      <c r="EV37" s="2522"/>
      <c r="EW37" s="2522"/>
      <c r="EX37" s="2522"/>
      <c r="EY37" s="2522"/>
      <c r="EZ37" s="2522"/>
      <c r="FA37" s="2522"/>
      <c r="FB37" s="2522"/>
      <c r="FC37" s="2522"/>
      <c r="FD37" s="2522"/>
      <c r="FE37" s="2522"/>
      <c r="FF37" s="2522"/>
      <c r="FG37" s="2522"/>
      <c r="FH37" s="2522"/>
      <c r="FI37" s="2522"/>
      <c r="FJ37" s="2522"/>
      <c r="FK37" s="2522"/>
      <c r="FL37" s="2522"/>
      <c r="FM37" s="2522"/>
      <c r="FN37" s="2522"/>
      <c r="FO37" s="2522"/>
      <c r="FP37" s="2522"/>
      <c r="FQ37" s="2522"/>
      <c r="FR37" s="2522"/>
      <c r="FS37" s="2522"/>
      <c r="FT37" s="2522"/>
      <c r="FU37" s="2522"/>
      <c r="FV37" s="2522"/>
      <c r="FW37" s="2522"/>
      <c r="FX37" s="2522"/>
      <c r="FY37" s="2522"/>
      <c r="FZ37" s="2522"/>
      <c r="GA37" s="2522"/>
      <c r="GB37" s="2522"/>
      <c r="GC37" s="2522"/>
      <c r="GD37" s="2522"/>
      <c r="GE37" s="2522"/>
      <c r="GF37" s="2522"/>
      <c r="GG37" s="2522"/>
      <c r="GH37" s="2522"/>
      <c r="GI37" s="2522"/>
      <c r="GJ37" s="2522"/>
      <c r="GK37" s="2522"/>
      <c r="GL37" s="2522"/>
      <c r="GM37" s="2522"/>
      <c r="GN37" s="2522"/>
      <c r="GO37" s="2522"/>
      <c r="GP37" s="2522"/>
      <c r="GQ37" s="2522"/>
      <c r="GR37" s="2522"/>
      <c r="GS37" s="2522"/>
      <c r="GT37" s="2522"/>
      <c r="GU37" s="2522"/>
      <c r="GV37" s="2522"/>
      <c r="GW37" s="2522"/>
      <c r="GX37" s="2522"/>
      <c r="GY37" s="2522"/>
      <c r="GZ37" s="2522"/>
      <c r="HA37" s="2522"/>
      <c r="HB37" s="2523"/>
    </row>
    <row r="38" spans="16:214" ht="3.6" customHeight="1">
      <c r="Q38" s="153"/>
      <c r="BO38" s="153"/>
      <c r="DV38" s="154"/>
      <c r="ET38" s="2524"/>
      <c r="EU38" s="2525"/>
      <c r="EV38" s="2525"/>
      <c r="EW38" s="2525"/>
      <c r="EX38" s="2525"/>
      <c r="EY38" s="2525"/>
      <c r="EZ38" s="2525"/>
      <c r="FA38" s="2525"/>
      <c r="FB38" s="2525"/>
      <c r="FC38" s="2525"/>
      <c r="FD38" s="2525"/>
      <c r="FE38" s="2525"/>
      <c r="FF38" s="2525"/>
      <c r="FG38" s="2525"/>
      <c r="FH38" s="2525"/>
      <c r="FI38" s="2525"/>
      <c r="FJ38" s="2525"/>
      <c r="FK38" s="2525"/>
      <c r="FL38" s="2525"/>
      <c r="FM38" s="2525"/>
      <c r="FN38" s="2525"/>
      <c r="FO38" s="2525"/>
      <c r="FP38" s="2525"/>
      <c r="FQ38" s="2525"/>
      <c r="FR38" s="2525"/>
      <c r="FS38" s="2525"/>
      <c r="FT38" s="2525"/>
      <c r="FU38" s="2525"/>
      <c r="FV38" s="2525"/>
      <c r="FW38" s="2525"/>
      <c r="FX38" s="2525"/>
      <c r="FY38" s="2525"/>
      <c r="FZ38" s="2525"/>
      <c r="GA38" s="2525"/>
      <c r="GB38" s="2525"/>
      <c r="GC38" s="2525"/>
      <c r="GD38" s="2525"/>
      <c r="GE38" s="2525"/>
      <c r="GF38" s="2525"/>
      <c r="GG38" s="2525"/>
      <c r="GH38" s="2525"/>
      <c r="GI38" s="2525"/>
      <c r="GJ38" s="2525"/>
      <c r="GK38" s="2525"/>
      <c r="GL38" s="2525"/>
      <c r="GM38" s="2525"/>
      <c r="GN38" s="2525"/>
      <c r="GO38" s="2525"/>
      <c r="GP38" s="2525"/>
      <c r="GQ38" s="2525"/>
      <c r="GR38" s="2525"/>
      <c r="GS38" s="2525"/>
      <c r="GT38" s="2525"/>
      <c r="GU38" s="2525"/>
      <c r="GV38" s="2525"/>
      <c r="GW38" s="2525"/>
      <c r="GX38" s="2525"/>
      <c r="GY38" s="2525"/>
      <c r="GZ38" s="2525"/>
      <c r="HA38" s="2525"/>
      <c r="HB38" s="2526"/>
    </row>
    <row r="39" spans="16:214" ht="3.6" customHeight="1">
      <c r="Q39" s="153"/>
      <c r="BO39" s="153"/>
      <c r="DV39" s="154"/>
      <c r="ET39" s="2496" t="s">
        <v>291</v>
      </c>
      <c r="EU39" s="2496"/>
      <c r="EV39" s="2496"/>
      <c r="EW39" s="2496"/>
      <c r="EX39" s="2496"/>
      <c r="EY39" s="2496"/>
      <c r="EZ39" s="2496"/>
      <c r="FA39" s="2496"/>
      <c r="FB39" s="2496"/>
      <c r="FC39" s="2496"/>
      <c r="FD39" s="2496"/>
      <c r="FE39" s="2496"/>
      <c r="FF39" s="2496"/>
      <c r="FG39" s="2496"/>
      <c r="FH39" s="2496" t="s">
        <v>3469</v>
      </c>
      <c r="FI39" s="2496"/>
      <c r="FJ39" s="2496"/>
      <c r="FK39" s="2496"/>
      <c r="FL39" s="2496"/>
      <c r="FM39" s="2496"/>
      <c r="FN39" s="2496"/>
      <c r="FO39" s="2496"/>
      <c r="FP39" s="2496"/>
      <c r="FQ39" s="2496"/>
      <c r="FR39" s="2496"/>
      <c r="FS39" s="2496"/>
      <c r="FT39" s="2496"/>
      <c r="FU39" s="2496"/>
      <c r="FV39" s="2496"/>
      <c r="FW39" s="2496"/>
      <c r="FX39" s="2496"/>
      <c r="FY39" s="2496"/>
      <c r="FZ39" s="2496"/>
      <c r="GA39" s="2496"/>
      <c r="GB39" s="2496"/>
      <c r="GC39" s="2496"/>
      <c r="GD39" s="2496"/>
      <c r="GE39" s="2496"/>
      <c r="GF39" s="2496"/>
      <c r="GG39" s="2496"/>
      <c r="GH39" s="2496"/>
      <c r="GI39" s="2496"/>
      <c r="GJ39" s="2496"/>
      <c r="GK39" s="2496"/>
      <c r="GL39" s="2496"/>
      <c r="GM39" s="2496"/>
      <c r="GN39" s="2496"/>
      <c r="GO39" s="2496"/>
      <c r="GP39" s="2496"/>
      <c r="GQ39" s="2496"/>
      <c r="GR39" s="2496"/>
      <c r="GS39" s="2496"/>
      <c r="GT39" s="2496"/>
      <c r="GU39" s="2496"/>
      <c r="GV39" s="2496"/>
      <c r="GW39" s="2496"/>
      <c r="GX39" s="2496"/>
      <c r="GY39" s="2496"/>
      <c r="GZ39" s="2496"/>
      <c r="HA39" s="2496"/>
      <c r="HB39" s="2496"/>
    </row>
    <row r="40" spans="16:214" ht="3.6" customHeight="1">
      <c r="Q40" s="153"/>
      <c r="BO40" s="153"/>
      <c r="DV40" s="154"/>
      <c r="ET40" s="2496"/>
      <c r="EU40" s="2496"/>
      <c r="EV40" s="2496"/>
      <c r="EW40" s="2496"/>
      <c r="EX40" s="2496"/>
      <c r="EY40" s="2496"/>
      <c r="EZ40" s="2496"/>
      <c r="FA40" s="2496"/>
      <c r="FB40" s="2496"/>
      <c r="FC40" s="2496"/>
      <c r="FD40" s="2496"/>
      <c r="FE40" s="2496"/>
      <c r="FF40" s="2496"/>
      <c r="FG40" s="2496"/>
      <c r="FH40" s="2496"/>
      <c r="FI40" s="2496"/>
      <c r="FJ40" s="2496"/>
      <c r="FK40" s="2496"/>
      <c r="FL40" s="2496"/>
      <c r="FM40" s="2496"/>
      <c r="FN40" s="2496"/>
      <c r="FO40" s="2496"/>
      <c r="FP40" s="2496"/>
      <c r="FQ40" s="2496"/>
      <c r="FR40" s="2496"/>
      <c r="FS40" s="2496"/>
      <c r="FT40" s="2496"/>
      <c r="FU40" s="2496"/>
      <c r="FV40" s="2496"/>
      <c r="FW40" s="2496"/>
      <c r="FX40" s="2496"/>
      <c r="FY40" s="2496"/>
      <c r="FZ40" s="2496"/>
      <c r="GA40" s="2496"/>
      <c r="GB40" s="2496"/>
      <c r="GC40" s="2496"/>
      <c r="GD40" s="2496"/>
      <c r="GE40" s="2496"/>
      <c r="GF40" s="2496"/>
      <c r="GG40" s="2496"/>
      <c r="GH40" s="2496"/>
      <c r="GI40" s="2496"/>
      <c r="GJ40" s="2496"/>
      <c r="GK40" s="2496"/>
      <c r="GL40" s="2496"/>
      <c r="GM40" s="2496"/>
      <c r="GN40" s="2496"/>
      <c r="GO40" s="2496"/>
      <c r="GP40" s="2496"/>
      <c r="GQ40" s="2496"/>
      <c r="GR40" s="2496"/>
      <c r="GS40" s="2496"/>
      <c r="GT40" s="2496"/>
      <c r="GU40" s="2496"/>
      <c r="GV40" s="2496"/>
      <c r="GW40" s="2496"/>
      <c r="GX40" s="2496"/>
      <c r="GY40" s="2496"/>
      <c r="GZ40" s="2496"/>
      <c r="HA40" s="2496"/>
      <c r="HB40" s="2496"/>
    </row>
    <row r="41" spans="16:214" ht="3.6" customHeight="1">
      <c r="Q41" s="153"/>
      <c r="BO41" s="153"/>
      <c r="DV41" s="154"/>
      <c r="ET41" s="2496"/>
      <c r="EU41" s="2496"/>
      <c r="EV41" s="2496"/>
      <c r="EW41" s="2496"/>
      <c r="EX41" s="2496"/>
      <c r="EY41" s="2496"/>
      <c r="EZ41" s="2496"/>
      <c r="FA41" s="2496"/>
      <c r="FB41" s="2496"/>
      <c r="FC41" s="2496"/>
      <c r="FD41" s="2496"/>
      <c r="FE41" s="2496"/>
      <c r="FF41" s="2496"/>
      <c r="FG41" s="2496"/>
      <c r="FH41" s="2496"/>
      <c r="FI41" s="2496"/>
      <c r="FJ41" s="2496"/>
      <c r="FK41" s="2496"/>
      <c r="FL41" s="2496"/>
      <c r="FM41" s="2496"/>
      <c r="FN41" s="2496"/>
      <c r="FO41" s="2496"/>
      <c r="FP41" s="2496"/>
      <c r="FQ41" s="2496"/>
      <c r="FR41" s="2496"/>
      <c r="FS41" s="2496"/>
      <c r="FT41" s="2496"/>
      <c r="FU41" s="2496"/>
      <c r="FV41" s="2496"/>
      <c r="FW41" s="2496"/>
      <c r="FX41" s="2496"/>
      <c r="FY41" s="2496"/>
      <c r="FZ41" s="2496"/>
      <c r="GA41" s="2496"/>
      <c r="GB41" s="2496"/>
      <c r="GC41" s="2496"/>
      <c r="GD41" s="2496"/>
      <c r="GE41" s="2496"/>
      <c r="GF41" s="2496"/>
      <c r="GG41" s="2496"/>
      <c r="GH41" s="2496"/>
      <c r="GI41" s="2496"/>
      <c r="GJ41" s="2496"/>
      <c r="GK41" s="2496"/>
      <c r="GL41" s="2496"/>
      <c r="GM41" s="2496"/>
      <c r="GN41" s="2496"/>
      <c r="GO41" s="2496"/>
      <c r="GP41" s="2496"/>
      <c r="GQ41" s="2496"/>
      <c r="GR41" s="2496"/>
      <c r="GS41" s="2496"/>
      <c r="GT41" s="2496"/>
      <c r="GU41" s="2496"/>
      <c r="GV41" s="2496"/>
      <c r="GW41" s="2496"/>
      <c r="GX41" s="2496"/>
      <c r="GY41" s="2496"/>
      <c r="GZ41" s="2496"/>
      <c r="HA41" s="2496"/>
      <c r="HB41" s="2496"/>
    </row>
    <row r="42" spans="16:214" ht="3.6" customHeight="1">
      <c r="Q42" s="153"/>
      <c r="BO42" s="156"/>
      <c r="BP42" s="41"/>
      <c r="BQ42" s="41"/>
      <c r="BR42" s="41"/>
      <c r="BS42" s="41"/>
      <c r="DV42" s="154"/>
      <c r="ER42" s="1482"/>
      <c r="ES42" s="1482"/>
      <c r="ET42" s="2496"/>
      <c r="EU42" s="2496"/>
      <c r="EV42" s="2496"/>
      <c r="EW42" s="2496"/>
      <c r="EX42" s="2496"/>
      <c r="EY42" s="2496"/>
      <c r="EZ42" s="2496"/>
      <c r="FA42" s="2496"/>
      <c r="FB42" s="2496"/>
      <c r="FC42" s="2496"/>
      <c r="FD42" s="2496"/>
      <c r="FE42" s="2496"/>
      <c r="FF42" s="2496"/>
      <c r="FG42" s="2496"/>
      <c r="FH42" s="2496"/>
      <c r="FI42" s="2496"/>
      <c r="FJ42" s="2496"/>
      <c r="FK42" s="2496"/>
      <c r="FL42" s="2496"/>
      <c r="FM42" s="2496"/>
      <c r="FN42" s="2496"/>
      <c r="FO42" s="2496"/>
      <c r="FP42" s="2496"/>
      <c r="FQ42" s="2496"/>
      <c r="FR42" s="2496"/>
      <c r="FS42" s="2496"/>
      <c r="FT42" s="2496"/>
      <c r="FU42" s="2496"/>
      <c r="FV42" s="2496"/>
      <c r="FW42" s="2496"/>
      <c r="FX42" s="2496"/>
      <c r="FY42" s="2496"/>
      <c r="FZ42" s="2496"/>
      <c r="GA42" s="2496"/>
      <c r="GB42" s="2496"/>
      <c r="GC42" s="2496"/>
      <c r="GD42" s="2496"/>
      <c r="GE42" s="2496"/>
      <c r="GF42" s="2496"/>
      <c r="GG42" s="2496"/>
      <c r="GH42" s="2496"/>
      <c r="GI42" s="2496"/>
      <c r="GJ42" s="2496"/>
      <c r="GK42" s="2496"/>
      <c r="GL42" s="2496"/>
      <c r="GM42" s="2496"/>
      <c r="GN42" s="2496"/>
      <c r="GO42" s="2496"/>
      <c r="GP42" s="2496"/>
      <c r="GQ42" s="2496"/>
      <c r="GR42" s="2496"/>
      <c r="GS42" s="2496"/>
      <c r="GT42" s="2496"/>
      <c r="GU42" s="2496"/>
      <c r="GV42" s="2496"/>
      <c r="GW42" s="2496"/>
      <c r="GX42" s="2496"/>
      <c r="GY42" s="2496"/>
      <c r="GZ42" s="2496"/>
      <c r="HA42" s="2496"/>
      <c r="HB42" s="2496"/>
      <c r="HC42" s="1482"/>
      <c r="HD42" s="1482"/>
      <c r="HE42" s="1482"/>
      <c r="HF42" s="1482"/>
    </row>
    <row r="43" spans="16:214" ht="3.6" customHeight="1">
      <c r="Q43" s="153"/>
      <c r="AK43" s="359"/>
      <c r="AL43" s="360"/>
      <c r="AM43" s="360"/>
      <c r="AN43" s="360"/>
      <c r="AO43" s="360"/>
      <c r="AP43" s="360"/>
      <c r="AQ43" s="360"/>
      <c r="AR43" s="360"/>
      <c r="AS43" s="360"/>
      <c r="AT43" s="360"/>
      <c r="AU43" s="360"/>
      <c r="AV43" s="360"/>
      <c r="AW43" s="360"/>
      <c r="AX43" s="360"/>
      <c r="AY43" s="360"/>
      <c r="AZ43" s="360"/>
      <c r="BA43" s="360"/>
      <c r="BB43" s="360"/>
      <c r="BC43" s="360"/>
      <c r="BD43" s="216"/>
      <c r="BN43" s="154"/>
      <c r="BO43" s="360"/>
      <c r="BP43" s="360"/>
      <c r="BT43" s="151"/>
      <c r="BU43" s="151"/>
      <c r="BV43" s="151"/>
      <c r="BW43" s="151"/>
      <c r="BX43" s="151"/>
      <c r="BY43" s="151"/>
      <c r="BZ43" s="151"/>
      <c r="CA43" s="151"/>
      <c r="CB43" s="151"/>
      <c r="CC43" s="151"/>
      <c r="CD43" s="151"/>
      <c r="CE43" s="151"/>
      <c r="CF43" s="151"/>
      <c r="CG43" s="151"/>
      <c r="CH43" s="360"/>
      <c r="CI43" s="360"/>
      <c r="CJ43" s="360"/>
      <c r="CK43" s="151"/>
      <c r="CL43" s="360"/>
      <c r="CM43" s="360"/>
      <c r="CN43" s="360"/>
      <c r="CO43" s="360"/>
      <c r="CP43" s="360"/>
      <c r="CQ43" s="360"/>
      <c r="CR43" s="360"/>
      <c r="CS43" s="360"/>
      <c r="CT43" s="360"/>
      <c r="CU43" s="360"/>
      <c r="CV43" s="360"/>
      <c r="CW43" s="360"/>
      <c r="CX43" s="360"/>
      <c r="CY43" s="360"/>
      <c r="CZ43" s="360"/>
      <c r="DA43" s="360"/>
      <c r="DB43" s="360"/>
      <c r="DC43" s="360"/>
      <c r="DD43" s="360"/>
      <c r="DE43" s="360"/>
      <c r="DF43" s="360"/>
      <c r="DG43" s="360"/>
      <c r="DH43" s="360"/>
      <c r="DI43" s="360"/>
      <c r="DJ43" s="360"/>
      <c r="DK43" s="360"/>
      <c r="DL43" s="360"/>
      <c r="DM43" s="360"/>
      <c r="DN43" s="360"/>
      <c r="DO43" s="360"/>
      <c r="DP43" s="360"/>
      <c r="DQ43" s="360"/>
      <c r="DR43" s="360"/>
      <c r="DS43" s="360"/>
      <c r="DT43" s="360"/>
      <c r="DU43" s="360"/>
      <c r="DV43" s="360"/>
      <c r="DW43" s="360"/>
      <c r="DX43" s="360"/>
      <c r="DY43" s="360"/>
      <c r="DZ43" s="360"/>
      <c r="EA43" s="360"/>
      <c r="EB43" s="153"/>
      <c r="ER43" s="1482"/>
      <c r="ES43" s="1482"/>
      <c r="ET43" s="2496" t="s">
        <v>1950</v>
      </c>
      <c r="EU43" s="2496"/>
      <c r="EV43" s="2496"/>
      <c r="EW43" s="2496"/>
      <c r="EX43" s="2496"/>
      <c r="EY43" s="2496"/>
      <c r="EZ43" s="2496"/>
      <c r="FA43" s="2496"/>
      <c r="FB43" s="2496"/>
      <c r="FC43" s="2496"/>
      <c r="FD43" s="2496"/>
      <c r="FE43" s="2496"/>
      <c r="FF43" s="2496"/>
      <c r="FG43" s="2496"/>
      <c r="FH43" s="2496" t="s">
        <v>3470</v>
      </c>
      <c r="FI43" s="2496"/>
      <c r="FJ43" s="2496"/>
      <c r="FK43" s="2496"/>
      <c r="FL43" s="2496"/>
      <c r="FM43" s="2496"/>
      <c r="FN43" s="2496"/>
      <c r="FO43" s="2496"/>
      <c r="FP43" s="2496"/>
      <c r="FQ43" s="2496"/>
      <c r="FR43" s="2496"/>
      <c r="FS43" s="2496"/>
      <c r="FT43" s="2496"/>
      <c r="FU43" s="2496"/>
      <c r="FV43" s="2496"/>
      <c r="FW43" s="2496"/>
      <c r="FX43" s="2496"/>
      <c r="FY43" s="2496"/>
      <c r="FZ43" s="2496"/>
      <c r="GA43" s="2496"/>
      <c r="GB43" s="2496"/>
      <c r="GC43" s="2496"/>
      <c r="GD43" s="2496"/>
      <c r="GE43" s="2496"/>
      <c r="GF43" s="2496"/>
      <c r="GG43" s="2496"/>
      <c r="GH43" s="2496"/>
      <c r="GI43" s="2496"/>
      <c r="GJ43" s="2496"/>
      <c r="GK43" s="2496"/>
      <c r="GL43" s="2496"/>
      <c r="GM43" s="2496"/>
      <c r="GN43" s="2496"/>
      <c r="GO43" s="2496"/>
      <c r="GP43" s="2496"/>
      <c r="GQ43" s="2496"/>
      <c r="GR43" s="2496"/>
      <c r="GS43" s="2496"/>
      <c r="GT43" s="2496"/>
      <c r="GU43" s="2496"/>
      <c r="GV43" s="2496"/>
      <c r="GW43" s="2496"/>
      <c r="GX43" s="2496"/>
      <c r="GY43" s="2496"/>
      <c r="GZ43" s="2496"/>
      <c r="HA43" s="2496"/>
      <c r="HB43" s="2496"/>
      <c r="HC43" s="1482"/>
      <c r="HD43" s="1482"/>
      <c r="HE43" s="1482"/>
      <c r="HF43" s="1482"/>
    </row>
    <row r="44" spans="16:214" ht="3.6" customHeight="1">
      <c r="Q44" s="153"/>
      <c r="AM44" s="153"/>
      <c r="BB44" s="154"/>
      <c r="BO44" s="150"/>
      <c r="BP44" s="151"/>
      <c r="BQ44" s="151"/>
      <c r="BR44" s="162"/>
      <c r="BS44" s="151"/>
      <c r="BT44" s="151"/>
      <c r="BU44" s="150"/>
      <c r="BV44" s="151"/>
      <c r="BW44" s="151"/>
      <c r="BY44" s="150"/>
      <c r="BZ44" s="162"/>
      <c r="CA44" s="150"/>
      <c r="CB44" s="223"/>
      <c r="CC44" s="151"/>
      <c r="CD44" s="151"/>
      <c r="CE44" s="150"/>
      <c r="CF44" s="151"/>
      <c r="CG44" s="151"/>
      <c r="CI44" s="150"/>
      <c r="CJ44" s="162"/>
      <c r="CK44" s="150"/>
      <c r="CT44" s="154"/>
      <c r="CU44" s="150"/>
      <c r="CV44" s="151"/>
      <c r="CW44" s="151"/>
      <c r="CX44" s="151"/>
      <c r="CY44" s="162"/>
      <c r="CZ44" s="150"/>
      <c r="DA44" s="151"/>
      <c r="DB44" s="151"/>
      <c r="DC44" s="151"/>
      <c r="DD44" s="162"/>
      <c r="DE44" s="150"/>
      <c r="DF44" s="151"/>
      <c r="DG44" s="151"/>
      <c r="DH44" s="151"/>
      <c r="DI44" s="162"/>
      <c r="DJ44" s="150"/>
      <c r="DK44" s="151"/>
      <c r="DL44" s="151"/>
      <c r="DM44" s="151"/>
      <c r="DN44" s="162"/>
      <c r="DO44" s="153"/>
      <c r="DV44" s="154"/>
      <c r="ER44" s="1482"/>
      <c r="ES44" s="1482"/>
      <c r="ET44" s="2496"/>
      <c r="EU44" s="2496"/>
      <c r="EV44" s="2496"/>
      <c r="EW44" s="2496"/>
      <c r="EX44" s="2496"/>
      <c r="EY44" s="2496"/>
      <c r="EZ44" s="2496"/>
      <c r="FA44" s="2496"/>
      <c r="FB44" s="2496"/>
      <c r="FC44" s="2496"/>
      <c r="FD44" s="2496"/>
      <c r="FE44" s="2496"/>
      <c r="FF44" s="2496"/>
      <c r="FG44" s="2496"/>
      <c r="FH44" s="2496"/>
      <c r="FI44" s="2496"/>
      <c r="FJ44" s="2496"/>
      <c r="FK44" s="2496"/>
      <c r="FL44" s="2496"/>
      <c r="FM44" s="2496"/>
      <c r="FN44" s="2496"/>
      <c r="FO44" s="2496"/>
      <c r="FP44" s="2496"/>
      <c r="FQ44" s="2496"/>
      <c r="FR44" s="2496"/>
      <c r="FS44" s="2496"/>
      <c r="FT44" s="2496"/>
      <c r="FU44" s="2496"/>
      <c r="FV44" s="2496"/>
      <c r="FW44" s="2496"/>
      <c r="FX44" s="2496"/>
      <c r="FY44" s="2496"/>
      <c r="FZ44" s="2496"/>
      <c r="GA44" s="2496"/>
      <c r="GB44" s="2496"/>
      <c r="GC44" s="2496"/>
      <c r="GD44" s="2496"/>
      <c r="GE44" s="2496"/>
      <c r="GF44" s="2496"/>
      <c r="GG44" s="2496"/>
      <c r="GH44" s="2496"/>
      <c r="GI44" s="2496"/>
      <c r="GJ44" s="2496"/>
      <c r="GK44" s="2496"/>
      <c r="GL44" s="2496"/>
      <c r="GM44" s="2496"/>
      <c r="GN44" s="2496"/>
      <c r="GO44" s="2496"/>
      <c r="GP44" s="2496"/>
      <c r="GQ44" s="2496"/>
      <c r="GR44" s="2496"/>
      <c r="GS44" s="2496"/>
      <c r="GT44" s="2496"/>
      <c r="GU44" s="2496"/>
      <c r="GV44" s="2496"/>
      <c r="GW44" s="2496"/>
      <c r="GX44" s="2496"/>
      <c r="GY44" s="2496"/>
      <c r="GZ44" s="2496"/>
      <c r="HA44" s="2496"/>
      <c r="HB44" s="2496"/>
      <c r="HC44" s="1482"/>
      <c r="HD44" s="1482"/>
      <c r="HE44" s="1482"/>
      <c r="HF44" s="1482"/>
    </row>
    <row r="45" spans="16:214" ht="3.6" customHeight="1">
      <c r="Q45" s="153"/>
      <c r="AM45" s="153"/>
      <c r="AN45" s="595"/>
      <c r="AO45" s="151"/>
      <c r="AP45" s="151"/>
      <c r="AQ45" s="151"/>
      <c r="AR45" s="151"/>
      <c r="AS45" s="363"/>
      <c r="AT45" s="150"/>
      <c r="AU45" s="223"/>
      <c r="AV45" s="595"/>
      <c r="AW45" s="151"/>
      <c r="AX45" s="151"/>
      <c r="AY45" s="151"/>
      <c r="AZ45" s="151"/>
      <c r="BA45" s="363"/>
      <c r="BB45" s="154"/>
      <c r="BO45" s="153"/>
      <c r="BR45" s="154"/>
      <c r="BU45" s="153"/>
      <c r="BY45" s="153"/>
      <c r="BZ45" s="154"/>
      <c r="CA45" s="153"/>
      <c r="CB45" s="155"/>
      <c r="CE45" s="153"/>
      <c r="CI45" s="153"/>
      <c r="CJ45" s="154"/>
      <c r="CK45" s="153"/>
      <c r="CT45" s="154"/>
      <c r="CU45" s="156"/>
      <c r="CV45" s="41"/>
      <c r="CW45" s="41"/>
      <c r="CX45" s="41"/>
      <c r="CY45" s="159"/>
      <c r="CZ45" s="156"/>
      <c r="DA45" s="41"/>
      <c r="DB45" s="41"/>
      <c r="DC45" s="41"/>
      <c r="DD45" s="159"/>
      <c r="DE45" s="156"/>
      <c r="DF45" s="41"/>
      <c r="DG45" s="41"/>
      <c r="DH45" s="41"/>
      <c r="DI45" s="159"/>
      <c r="DJ45" s="156"/>
      <c r="DK45" s="41"/>
      <c r="DL45" s="41"/>
      <c r="DM45" s="41"/>
      <c r="DN45" s="159"/>
      <c r="DO45" s="153"/>
      <c r="DV45" s="154"/>
      <c r="ER45" s="1482"/>
      <c r="ES45" s="1482"/>
      <c r="ET45" s="2496"/>
      <c r="EU45" s="2496"/>
      <c r="EV45" s="2496"/>
      <c r="EW45" s="2496"/>
      <c r="EX45" s="2496"/>
      <c r="EY45" s="2496"/>
      <c r="EZ45" s="2496"/>
      <c r="FA45" s="2496"/>
      <c r="FB45" s="2496"/>
      <c r="FC45" s="2496"/>
      <c r="FD45" s="2496"/>
      <c r="FE45" s="2496"/>
      <c r="FF45" s="2496"/>
      <c r="FG45" s="2496"/>
      <c r="FH45" s="2496"/>
      <c r="FI45" s="2496"/>
      <c r="FJ45" s="2496"/>
      <c r="FK45" s="2496"/>
      <c r="FL45" s="2496"/>
      <c r="FM45" s="2496"/>
      <c r="FN45" s="2496"/>
      <c r="FO45" s="2496"/>
      <c r="FP45" s="2496"/>
      <c r="FQ45" s="2496"/>
      <c r="FR45" s="2496"/>
      <c r="FS45" s="2496"/>
      <c r="FT45" s="2496"/>
      <c r="FU45" s="2496"/>
      <c r="FV45" s="2496"/>
      <c r="FW45" s="2496"/>
      <c r="FX45" s="2496"/>
      <c r="FY45" s="2496"/>
      <c r="FZ45" s="2496"/>
      <c r="GA45" s="2496"/>
      <c r="GB45" s="2496"/>
      <c r="GC45" s="2496"/>
      <c r="GD45" s="2496"/>
      <c r="GE45" s="2496"/>
      <c r="GF45" s="2496"/>
      <c r="GG45" s="2496"/>
      <c r="GH45" s="2496"/>
      <c r="GI45" s="2496"/>
      <c r="GJ45" s="2496"/>
      <c r="GK45" s="2496"/>
      <c r="GL45" s="2496"/>
      <c r="GM45" s="2496"/>
      <c r="GN45" s="2496"/>
      <c r="GO45" s="2496"/>
      <c r="GP45" s="2496"/>
      <c r="GQ45" s="2496"/>
      <c r="GR45" s="2496"/>
      <c r="GS45" s="2496"/>
      <c r="GT45" s="2496"/>
      <c r="GU45" s="2496"/>
      <c r="GV45" s="2496"/>
      <c r="GW45" s="2496"/>
      <c r="GX45" s="2496"/>
      <c r="GY45" s="2496"/>
      <c r="GZ45" s="2496"/>
      <c r="HA45" s="2496"/>
      <c r="HB45" s="2496"/>
      <c r="HC45" s="1482"/>
      <c r="HD45" s="1482"/>
      <c r="HE45" s="1482"/>
      <c r="HF45" s="1482"/>
    </row>
    <row r="46" spans="16:214" ht="3.6" customHeight="1">
      <c r="Q46" s="153"/>
      <c r="AM46" s="153"/>
      <c r="AN46" s="153"/>
      <c r="AO46" s="150"/>
      <c r="AP46" s="151"/>
      <c r="AQ46" s="151"/>
      <c r="AR46" s="162"/>
      <c r="AS46" s="154"/>
      <c r="AT46" s="153"/>
      <c r="AU46" s="155"/>
      <c r="AW46" s="150"/>
      <c r="AX46" s="151"/>
      <c r="AY46" s="151"/>
      <c r="AZ46" s="162"/>
      <c r="BA46" s="154"/>
      <c r="BB46" s="154"/>
      <c r="BO46" s="153"/>
      <c r="BR46" s="154"/>
      <c r="BS46" s="198"/>
      <c r="BT46" s="150"/>
      <c r="BU46" s="162"/>
      <c r="BV46" s="41"/>
      <c r="BW46" s="41"/>
      <c r="BX46" s="150"/>
      <c r="BY46" s="162"/>
      <c r="BZ46" s="198"/>
      <c r="CA46" s="153"/>
      <c r="CB46" s="155"/>
      <c r="CC46" s="198"/>
      <c r="CD46" s="150"/>
      <c r="CE46" s="162"/>
      <c r="CF46" s="41"/>
      <c r="CG46" s="41"/>
      <c r="CH46" s="150"/>
      <c r="CI46" s="162"/>
      <c r="CJ46" s="198"/>
      <c r="CK46" s="153"/>
      <c r="CT46" s="154"/>
      <c r="CU46" s="153"/>
      <c r="CW46" s="150"/>
      <c r="CX46" s="151"/>
      <c r="CY46" s="151"/>
      <c r="CZ46" s="151"/>
      <c r="DA46" s="162"/>
      <c r="DB46" s="150"/>
      <c r="DC46" s="151"/>
      <c r="DD46" s="151"/>
      <c r="DE46" s="151"/>
      <c r="DF46" s="162"/>
      <c r="DG46" s="150"/>
      <c r="DH46" s="151"/>
      <c r="DI46" s="151"/>
      <c r="DJ46" s="151"/>
      <c r="DK46" s="162"/>
      <c r="DN46" s="154"/>
      <c r="DO46" s="153"/>
      <c r="DV46" s="154"/>
      <c r="ER46" s="1482"/>
      <c r="ES46" s="1482"/>
      <c r="ET46" s="2496"/>
      <c r="EU46" s="2496"/>
      <c r="EV46" s="2496"/>
      <c r="EW46" s="2496"/>
      <c r="EX46" s="2496"/>
      <c r="EY46" s="2496"/>
      <c r="EZ46" s="2496"/>
      <c r="FA46" s="2496"/>
      <c r="FB46" s="2496"/>
      <c r="FC46" s="2496"/>
      <c r="FD46" s="2496"/>
      <c r="FE46" s="2496"/>
      <c r="FF46" s="2496"/>
      <c r="FG46" s="2496"/>
      <c r="FH46" s="2496"/>
      <c r="FI46" s="2496"/>
      <c r="FJ46" s="2496"/>
      <c r="FK46" s="2496"/>
      <c r="FL46" s="2496"/>
      <c r="FM46" s="2496"/>
      <c r="FN46" s="2496"/>
      <c r="FO46" s="2496"/>
      <c r="FP46" s="2496"/>
      <c r="FQ46" s="2496"/>
      <c r="FR46" s="2496"/>
      <c r="FS46" s="2496"/>
      <c r="FT46" s="2496"/>
      <c r="FU46" s="2496"/>
      <c r="FV46" s="2496"/>
      <c r="FW46" s="2496"/>
      <c r="FX46" s="2496"/>
      <c r="FY46" s="2496"/>
      <c r="FZ46" s="2496"/>
      <c r="GA46" s="2496"/>
      <c r="GB46" s="2496"/>
      <c r="GC46" s="2496"/>
      <c r="GD46" s="2496"/>
      <c r="GE46" s="2496"/>
      <c r="GF46" s="2496"/>
      <c r="GG46" s="2496"/>
      <c r="GH46" s="2496"/>
      <c r="GI46" s="2496"/>
      <c r="GJ46" s="2496"/>
      <c r="GK46" s="2496"/>
      <c r="GL46" s="2496"/>
      <c r="GM46" s="2496"/>
      <c r="GN46" s="2496"/>
      <c r="GO46" s="2496"/>
      <c r="GP46" s="2496"/>
      <c r="GQ46" s="2496"/>
      <c r="GR46" s="2496"/>
      <c r="GS46" s="2496"/>
      <c r="GT46" s="2496"/>
      <c r="GU46" s="2496"/>
      <c r="GV46" s="2496"/>
      <c r="GW46" s="2496"/>
      <c r="GX46" s="2496"/>
      <c r="GY46" s="2496"/>
      <c r="GZ46" s="2496"/>
      <c r="HA46" s="2496"/>
      <c r="HB46" s="2496"/>
      <c r="HC46" s="1482"/>
      <c r="HD46" s="1482"/>
      <c r="HE46" s="1482"/>
      <c r="HF46" s="1482"/>
    </row>
    <row r="47" spans="16:214" ht="3.6" customHeight="1">
      <c r="Q47" s="153"/>
      <c r="AM47" s="153"/>
      <c r="AN47" s="153"/>
      <c r="AO47" s="153"/>
      <c r="AR47" s="154"/>
      <c r="AS47" s="154"/>
      <c r="AT47" s="153"/>
      <c r="AU47" s="155"/>
      <c r="AW47" s="153"/>
      <c r="AZ47" s="154"/>
      <c r="BA47" s="154"/>
      <c r="BB47" s="154"/>
      <c r="BO47" s="153"/>
      <c r="BR47" s="154"/>
      <c r="BT47" s="156"/>
      <c r="BU47" s="159"/>
      <c r="BX47" s="156"/>
      <c r="BY47" s="159"/>
      <c r="CA47" s="153"/>
      <c r="CB47" s="155"/>
      <c r="CD47" s="156"/>
      <c r="CE47" s="159"/>
      <c r="CH47" s="156"/>
      <c r="CI47" s="159"/>
      <c r="CK47" s="153"/>
      <c r="CT47" s="154"/>
      <c r="CU47" s="156"/>
      <c r="CV47" s="41"/>
      <c r="CW47" s="156"/>
      <c r="CX47" s="41"/>
      <c r="CY47" s="41"/>
      <c r="CZ47" s="41"/>
      <c r="DA47" s="159"/>
      <c r="DB47" s="156"/>
      <c r="DC47" s="41"/>
      <c r="DD47" s="41"/>
      <c r="DE47" s="41"/>
      <c r="DF47" s="159"/>
      <c r="DG47" s="156"/>
      <c r="DH47" s="41"/>
      <c r="DI47" s="41"/>
      <c r="DJ47" s="41"/>
      <c r="DK47" s="159"/>
      <c r="DL47" s="41"/>
      <c r="DM47" s="41"/>
      <c r="DN47" s="159"/>
      <c r="DO47" s="153"/>
      <c r="DV47" s="154"/>
      <c r="ER47" s="1482"/>
      <c r="ES47" s="1482"/>
      <c r="ET47" s="2496" t="s">
        <v>1952</v>
      </c>
      <c r="EU47" s="2496"/>
      <c r="EV47" s="2496"/>
      <c r="EW47" s="2496"/>
      <c r="EX47" s="2496"/>
      <c r="EY47" s="2496"/>
      <c r="EZ47" s="2496"/>
      <c r="FA47" s="2496"/>
      <c r="FB47" s="2496"/>
      <c r="FC47" s="2496"/>
      <c r="FD47" s="2496"/>
      <c r="FE47" s="2496"/>
      <c r="FF47" s="2496"/>
      <c r="FG47" s="2496"/>
      <c r="FH47" s="2496" t="s">
        <v>3471</v>
      </c>
      <c r="FI47" s="2496"/>
      <c r="FJ47" s="2496"/>
      <c r="FK47" s="2496"/>
      <c r="FL47" s="2496"/>
      <c r="FM47" s="2496"/>
      <c r="FN47" s="2496"/>
      <c r="FO47" s="2496"/>
      <c r="FP47" s="2496"/>
      <c r="FQ47" s="2496"/>
      <c r="FR47" s="2496"/>
      <c r="FS47" s="2496"/>
      <c r="FT47" s="2496"/>
      <c r="FU47" s="2496"/>
      <c r="FV47" s="2496"/>
      <c r="FW47" s="2496"/>
      <c r="FX47" s="2496"/>
      <c r="FY47" s="2496"/>
      <c r="FZ47" s="2496"/>
      <c r="GA47" s="2496"/>
      <c r="GB47" s="2496"/>
      <c r="GC47" s="2496"/>
      <c r="GD47" s="2496"/>
      <c r="GE47" s="2496"/>
      <c r="GF47" s="2496"/>
      <c r="GG47" s="2496"/>
      <c r="GH47" s="2496"/>
      <c r="GI47" s="2496"/>
      <c r="GJ47" s="2496"/>
      <c r="GK47" s="2496"/>
      <c r="GL47" s="2496"/>
      <c r="GM47" s="2496"/>
      <c r="GN47" s="2496"/>
      <c r="GO47" s="2496"/>
      <c r="GP47" s="2496"/>
      <c r="GQ47" s="2496"/>
      <c r="GR47" s="2496"/>
      <c r="GS47" s="2496"/>
      <c r="GT47" s="2496"/>
      <c r="GU47" s="2496"/>
      <c r="GV47" s="2496"/>
      <c r="GW47" s="2496"/>
      <c r="GX47" s="2496"/>
      <c r="GY47" s="2496"/>
      <c r="GZ47" s="2496"/>
      <c r="HA47" s="2496"/>
      <c r="HB47" s="2496"/>
      <c r="HC47" s="1482"/>
      <c r="HD47" s="1482"/>
      <c r="HE47" s="1482"/>
      <c r="HF47" s="1482"/>
    </row>
    <row r="48" spans="16:214" ht="3.6" customHeight="1">
      <c r="Q48" s="153"/>
      <c r="AM48" s="153"/>
      <c r="AN48" s="153"/>
      <c r="AO48" s="153"/>
      <c r="AR48" s="154"/>
      <c r="AS48" s="154"/>
      <c r="AT48" s="153"/>
      <c r="AU48" s="155"/>
      <c r="AW48" s="153"/>
      <c r="AZ48" s="154"/>
      <c r="BA48" s="154"/>
      <c r="BB48" s="154"/>
      <c r="BO48" s="153"/>
      <c r="BR48" s="154"/>
      <c r="BU48" s="153"/>
      <c r="BY48" s="153"/>
      <c r="BZ48" s="154"/>
      <c r="CA48" s="153"/>
      <c r="CB48" s="155"/>
      <c r="CE48" s="153"/>
      <c r="CI48" s="153"/>
      <c r="CJ48" s="154"/>
      <c r="CK48" s="153"/>
      <c r="CT48" s="154"/>
      <c r="CU48" s="150"/>
      <c r="CV48" s="151"/>
      <c r="CW48" s="151"/>
      <c r="CX48" s="151"/>
      <c r="CY48" s="162"/>
      <c r="CZ48" s="150"/>
      <c r="DA48" s="151"/>
      <c r="DB48" s="151"/>
      <c r="DC48" s="151"/>
      <c r="DD48" s="162"/>
      <c r="DE48" s="150"/>
      <c r="DF48" s="151"/>
      <c r="DG48" s="151"/>
      <c r="DH48" s="151"/>
      <c r="DI48" s="162"/>
      <c r="DJ48" s="150"/>
      <c r="DK48" s="151"/>
      <c r="DL48" s="151"/>
      <c r="DM48" s="151"/>
      <c r="DN48" s="162"/>
      <c r="DO48" s="153"/>
      <c r="DV48" s="154"/>
      <c r="ER48" s="1482"/>
      <c r="ES48" s="1482"/>
      <c r="ET48" s="2496"/>
      <c r="EU48" s="2496"/>
      <c r="EV48" s="2496"/>
      <c r="EW48" s="2496"/>
      <c r="EX48" s="2496"/>
      <c r="EY48" s="2496"/>
      <c r="EZ48" s="2496"/>
      <c r="FA48" s="2496"/>
      <c r="FB48" s="2496"/>
      <c r="FC48" s="2496"/>
      <c r="FD48" s="2496"/>
      <c r="FE48" s="2496"/>
      <c r="FF48" s="2496"/>
      <c r="FG48" s="2496"/>
      <c r="FH48" s="2496"/>
      <c r="FI48" s="2496"/>
      <c r="FJ48" s="2496"/>
      <c r="FK48" s="2496"/>
      <c r="FL48" s="2496"/>
      <c r="FM48" s="2496"/>
      <c r="FN48" s="2496"/>
      <c r="FO48" s="2496"/>
      <c r="FP48" s="2496"/>
      <c r="FQ48" s="2496"/>
      <c r="FR48" s="2496"/>
      <c r="FS48" s="2496"/>
      <c r="FT48" s="2496"/>
      <c r="FU48" s="2496"/>
      <c r="FV48" s="2496"/>
      <c r="FW48" s="2496"/>
      <c r="FX48" s="2496"/>
      <c r="FY48" s="2496"/>
      <c r="FZ48" s="2496"/>
      <c r="GA48" s="2496"/>
      <c r="GB48" s="2496"/>
      <c r="GC48" s="2496"/>
      <c r="GD48" s="2496"/>
      <c r="GE48" s="2496"/>
      <c r="GF48" s="2496"/>
      <c r="GG48" s="2496"/>
      <c r="GH48" s="2496"/>
      <c r="GI48" s="2496"/>
      <c r="GJ48" s="2496"/>
      <c r="GK48" s="2496"/>
      <c r="GL48" s="2496"/>
      <c r="GM48" s="2496"/>
      <c r="GN48" s="2496"/>
      <c r="GO48" s="2496"/>
      <c r="GP48" s="2496"/>
      <c r="GQ48" s="2496"/>
      <c r="GR48" s="2496"/>
      <c r="GS48" s="2496"/>
      <c r="GT48" s="2496"/>
      <c r="GU48" s="2496"/>
      <c r="GV48" s="2496"/>
      <c r="GW48" s="2496"/>
      <c r="GX48" s="2496"/>
      <c r="GY48" s="2496"/>
      <c r="GZ48" s="2496"/>
      <c r="HA48" s="2496"/>
      <c r="HB48" s="2496"/>
      <c r="HC48" s="1482"/>
      <c r="HD48" s="1482"/>
      <c r="HE48" s="1482"/>
      <c r="HF48" s="1482"/>
    </row>
    <row r="49" spans="17:214" ht="3.6" customHeight="1">
      <c r="Q49" s="153"/>
      <c r="AM49" s="153"/>
      <c r="AN49" s="153"/>
      <c r="AO49" s="153"/>
      <c r="AR49" s="154"/>
      <c r="AS49" s="154"/>
      <c r="AT49" s="153"/>
      <c r="AU49" s="155"/>
      <c r="AW49" s="153"/>
      <c r="AZ49" s="154"/>
      <c r="BA49" s="154"/>
      <c r="BB49" s="154"/>
      <c r="BO49" s="153"/>
      <c r="BR49" s="154"/>
      <c r="BU49" s="153"/>
      <c r="BY49" s="153"/>
      <c r="BZ49" s="154"/>
      <c r="CA49" s="153"/>
      <c r="CB49" s="155"/>
      <c r="CE49" s="153"/>
      <c r="CI49" s="153"/>
      <c r="CJ49" s="154"/>
      <c r="CK49" s="153"/>
      <c r="CT49" s="154"/>
      <c r="CU49" s="156"/>
      <c r="CV49" s="41"/>
      <c r="CW49" s="41"/>
      <c r="CX49" s="41"/>
      <c r="CY49" s="159"/>
      <c r="CZ49" s="156"/>
      <c r="DA49" s="41"/>
      <c r="DB49" s="41"/>
      <c r="DC49" s="41"/>
      <c r="DD49" s="159"/>
      <c r="DE49" s="156"/>
      <c r="DF49" s="41"/>
      <c r="DG49" s="41"/>
      <c r="DH49" s="41"/>
      <c r="DI49" s="159"/>
      <c r="DJ49" s="156"/>
      <c r="DK49" s="41"/>
      <c r="DL49" s="41"/>
      <c r="DM49" s="41"/>
      <c r="DN49" s="159"/>
      <c r="DO49" s="153"/>
      <c r="DV49" s="154"/>
      <c r="ER49" s="1482"/>
      <c r="ES49" s="1482"/>
      <c r="ET49" s="2496"/>
      <c r="EU49" s="2496"/>
      <c r="EV49" s="2496"/>
      <c r="EW49" s="2496"/>
      <c r="EX49" s="2496"/>
      <c r="EY49" s="2496"/>
      <c r="EZ49" s="2496"/>
      <c r="FA49" s="2496"/>
      <c r="FB49" s="2496"/>
      <c r="FC49" s="2496"/>
      <c r="FD49" s="2496"/>
      <c r="FE49" s="2496"/>
      <c r="FF49" s="2496"/>
      <c r="FG49" s="2496"/>
      <c r="FH49" s="2496"/>
      <c r="FI49" s="2496"/>
      <c r="FJ49" s="2496"/>
      <c r="FK49" s="2496"/>
      <c r="FL49" s="2496"/>
      <c r="FM49" s="2496"/>
      <c r="FN49" s="2496"/>
      <c r="FO49" s="2496"/>
      <c r="FP49" s="2496"/>
      <c r="FQ49" s="2496"/>
      <c r="FR49" s="2496"/>
      <c r="FS49" s="2496"/>
      <c r="FT49" s="2496"/>
      <c r="FU49" s="2496"/>
      <c r="FV49" s="2496"/>
      <c r="FW49" s="2496"/>
      <c r="FX49" s="2496"/>
      <c r="FY49" s="2496"/>
      <c r="FZ49" s="2496"/>
      <c r="GA49" s="2496"/>
      <c r="GB49" s="2496"/>
      <c r="GC49" s="2496"/>
      <c r="GD49" s="2496"/>
      <c r="GE49" s="2496"/>
      <c r="GF49" s="2496"/>
      <c r="GG49" s="2496"/>
      <c r="GH49" s="2496"/>
      <c r="GI49" s="2496"/>
      <c r="GJ49" s="2496"/>
      <c r="GK49" s="2496"/>
      <c r="GL49" s="2496"/>
      <c r="GM49" s="2496"/>
      <c r="GN49" s="2496"/>
      <c r="GO49" s="2496"/>
      <c r="GP49" s="2496"/>
      <c r="GQ49" s="2496"/>
      <c r="GR49" s="2496"/>
      <c r="GS49" s="2496"/>
      <c r="GT49" s="2496"/>
      <c r="GU49" s="2496"/>
      <c r="GV49" s="2496"/>
      <c r="GW49" s="2496"/>
      <c r="GX49" s="2496"/>
      <c r="GY49" s="2496"/>
      <c r="GZ49" s="2496"/>
      <c r="HA49" s="2496"/>
      <c r="HB49" s="2496"/>
      <c r="HC49" s="1482"/>
      <c r="HD49" s="1482"/>
      <c r="HE49" s="1482"/>
      <c r="HF49" s="1482"/>
    </row>
    <row r="50" spans="17:214" ht="3.6" customHeight="1">
      <c r="Q50" s="153"/>
      <c r="AM50" s="153"/>
      <c r="AN50" s="153"/>
      <c r="AO50" s="156"/>
      <c r="AP50" s="41"/>
      <c r="AQ50" s="41"/>
      <c r="AR50" s="159"/>
      <c r="AS50" s="154"/>
      <c r="AT50" s="153"/>
      <c r="AU50" s="155"/>
      <c r="AW50" s="156"/>
      <c r="AX50" s="41"/>
      <c r="AY50" s="41"/>
      <c r="AZ50" s="159"/>
      <c r="BA50" s="154"/>
      <c r="BB50" s="154"/>
      <c r="BO50" s="153"/>
      <c r="BR50" s="154"/>
      <c r="BS50" s="198"/>
      <c r="BT50" s="150"/>
      <c r="BU50" s="162"/>
      <c r="BV50" s="41"/>
      <c r="BW50" s="41"/>
      <c r="BX50" s="150"/>
      <c r="BY50" s="162"/>
      <c r="BZ50" s="198"/>
      <c r="CA50" s="153"/>
      <c r="CB50" s="155"/>
      <c r="CC50" s="198"/>
      <c r="CD50" s="150"/>
      <c r="CE50" s="162"/>
      <c r="CF50" s="41"/>
      <c r="CG50" s="41"/>
      <c r="CH50" s="150"/>
      <c r="CI50" s="162"/>
      <c r="CJ50" s="198"/>
      <c r="CK50" s="153"/>
      <c r="CT50" s="154"/>
      <c r="CU50" s="153"/>
      <c r="CW50" s="150"/>
      <c r="CX50" s="151"/>
      <c r="CY50" s="151"/>
      <c r="CZ50" s="151"/>
      <c r="DA50" s="162"/>
      <c r="DB50" s="150"/>
      <c r="DC50" s="151"/>
      <c r="DD50" s="151"/>
      <c r="DE50" s="151"/>
      <c r="DF50" s="162"/>
      <c r="DG50" s="150"/>
      <c r="DH50" s="151"/>
      <c r="DI50" s="151"/>
      <c r="DJ50" s="151"/>
      <c r="DK50" s="162"/>
      <c r="DN50" s="154"/>
      <c r="DO50" s="153"/>
      <c r="DV50" s="154"/>
      <c r="ER50" s="1482"/>
      <c r="ES50" s="1482"/>
      <c r="ET50" s="2496"/>
      <c r="EU50" s="2496"/>
      <c r="EV50" s="2496"/>
      <c r="EW50" s="2496"/>
      <c r="EX50" s="2496"/>
      <c r="EY50" s="2496"/>
      <c r="EZ50" s="2496"/>
      <c r="FA50" s="2496"/>
      <c r="FB50" s="2496"/>
      <c r="FC50" s="2496"/>
      <c r="FD50" s="2496"/>
      <c r="FE50" s="2496"/>
      <c r="FF50" s="2496"/>
      <c r="FG50" s="2496"/>
      <c r="FH50" s="2496"/>
      <c r="FI50" s="2496"/>
      <c r="FJ50" s="2496"/>
      <c r="FK50" s="2496"/>
      <c r="FL50" s="2496"/>
      <c r="FM50" s="2496"/>
      <c r="FN50" s="2496"/>
      <c r="FO50" s="2496"/>
      <c r="FP50" s="2496"/>
      <c r="FQ50" s="2496"/>
      <c r="FR50" s="2496"/>
      <c r="FS50" s="2496"/>
      <c r="FT50" s="2496"/>
      <c r="FU50" s="2496"/>
      <c r="FV50" s="2496"/>
      <c r="FW50" s="2496"/>
      <c r="FX50" s="2496"/>
      <c r="FY50" s="2496"/>
      <c r="FZ50" s="2496"/>
      <c r="GA50" s="2496"/>
      <c r="GB50" s="2496"/>
      <c r="GC50" s="2496"/>
      <c r="GD50" s="2496"/>
      <c r="GE50" s="2496"/>
      <c r="GF50" s="2496"/>
      <c r="GG50" s="2496"/>
      <c r="GH50" s="2496"/>
      <c r="GI50" s="2496"/>
      <c r="GJ50" s="2496"/>
      <c r="GK50" s="2496"/>
      <c r="GL50" s="2496"/>
      <c r="GM50" s="2496"/>
      <c r="GN50" s="2496"/>
      <c r="GO50" s="2496"/>
      <c r="GP50" s="2496"/>
      <c r="GQ50" s="2496"/>
      <c r="GR50" s="2496"/>
      <c r="GS50" s="2496"/>
      <c r="GT50" s="2496"/>
      <c r="GU50" s="2496"/>
      <c r="GV50" s="2496"/>
      <c r="GW50" s="2496"/>
      <c r="GX50" s="2496"/>
      <c r="GY50" s="2496"/>
      <c r="GZ50" s="2496"/>
      <c r="HA50" s="2496"/>
      <c r="HB50" s="2496"/>
      <c r="HC50" s="1482"/>
      <c r="HD50" s="1482"/>
      <c r="HE50" s="1482"/>
      <c r="HF50" s="1482"/>
    </row>
    <row r="51" spans="17:214" ht="3.6" customHeight="1">
      <c r="Q51" s="153"/>
      <c r="AM51" s="153"/>
      <c r="AN51" s="361"/>
      <c r="AO51" s="41"/>
      <c r="AP51" s="41"/>
      <c r="AQ51" s="41"/>
      <c r="AR51" s="41"/>
      <c r="AS51" s="596"/>
      <c r="AT51" s="153"/>
      <c r="AU51" s="155"/>
      <c r="AV51" s="361"/>
      <c r="AW51" s="41"/>
      <c r="AX51" s="41"/>
      <c r="AY51" s="41"/>
      <c r="AZ51" s="41"/>
      <c r="BA51" s="596"/>
      <c r="BB51" s="154"/>
      <c r="BO51" s="153"/>
      <c r="BR51" s="154"/>
      <c r="BT51" s="156"/>
      <c r="BU51" s="159"/>
      <c r="BX51" s="156"/>
      <c r="BY51" s="159"/>
      <c r="CA51" s="153"/>
      <c r="CB51" s="155"/>
      <c r="CD51" s="156"/>
      <c r="CE51" s="159"/>
      <c r="CH51" s="156"/>
      <c r="CI51" s="159"/>
      <c r="CK51" s="153"/>
      <c r="CT51" s="154"/>
      <c r="CU51" s="156"/>
      <c r="CV51" s="41"/>
      <c r="CW51" s="156"/>
      <c r="CX51" s="41"/>
      <c r="CY51" s="41"/>
      <c r="CZ51" s="41"/>
      <c r="DA51" s="159"/>
      <c r="DB51" s="156"/>
      <c r="DC51" s="41"/>
      <c r="DD51" s="41"/>
      <c r="DE51" s="41"/>
      <c r="DF51" s="159"/>
      <c r="DG51" s="156"/>
      <c r="DH51" s="41"/>
      <c r="DI51" s="41"/>
      <c r="DJ51" s="41"/>
      <c r="DK51" s="159"/>
      <c r="DL51" s="41"/>
      <c r="DM51" s="41"/>
      <c r="DN51" s="159"/>
      <c r="DO51" s="153"/>
      <c r="DV51" s="154"/>
      <c r="ER51" s="1482"/>
      <c r="ES51" s="1482"/>
      <c r="ET51" s="2496" t="s">
        <v>1953</v>
      </c>
      <c r="EU51" s="2496"/>
      <c r="EV51" s="2496"/>
      <c r="EW51" s="2496"/>
      <c r="EX51" s="2496"/>
      <c r="EY51" s="2496"/>
      <c r="EZ51" s="2496"/>
      <c r="FA51" s="2496"/>
      <c r="FB51" s="2496"/>
      <c r="FC51" s="2496"/>
      <c r="FD51" s="2496"/>
      <c r="FE51" s="2496"/>
      <c r="FF51" s="2496"/>
      <c r="FG51" s="2496"/>
      <c r="FH51" s="2496" t="s">
        <v>3472</v>
      </c>
      <c r="FI51" s="2496"/>
      <c r="FJ51" s="2496"/>
      <c r="FK51" s="2496"/>
      <c r="FL51" s="2496"/>
      <c r="FM51" s="2496"/>
      <c r="FN51" s="2496"/>
      <c r="FO51" s="2496"/>
      <c r="FP51" s="2496"/>
      <c r="FQ51" s="2496"/>
      <c r="FR51" s="2496"/>
      <c r="FS51" s="2496"/>
      <c r="FT51" s="2496"/>
      <c r="FU51" s="2496"/>
      <c r="FV51" s="2496"/>
      <c r="FW51" s="2496"/>
      <c r="FX51" s="2496"/>
      <c r="FY51" s="2496"/>
      <c r="FZ51" s="2496"/>
      <c r="GA51" s="2496"/>
      <c r="GB51" s="2496"/>
      <c r="GC51" s="2496"/>
      <c r="GD51" s="2496"/>
      <c r="GE51" s="2496"/>
      <c r="GF51" s="2496"/>
      <c r="GG51" s="2496"/>
      <c r="GH51" s="2496"/>
      <c r="GI51" s="2496"/>
      <c r="GJ51" s="2496"/>
      <c r="GK51" s="2496"/>
      <c r="GL51" s="2496"/>
      <c r="GM51" s="2496"/>
      <c r="GN51" s="2496"/>
      <c r="GO51" s="2496"/>
      <c r="GP51" s="2496"/>
      <c r="GQ51" s="2496"/>
      <c r="GR51" s="2496"/>
      <c r="GS51" s="2496"/>
      <c r="GT51" s="2496"/>
      <c r="GU51" s="2496"/>
      <c r="GV51" s="2496"/>
      <c r="GW51" s="2496"/>
      <c r="GX51" s="2496"/>
      <c r="GY51" s="2496"/>
      <c r="GZ51" s="2496"/>
      <c r="HA51" s="2496"/>
      <c r="HB51" s="2496"/>
      <c r="HC51" s="1482"/>
      <c r="HD51" s="1482"/>
      <c r="HE51" s="1482"/>
      <c r="HF51" s="1482"/>
    </row>
    <row r="52" spans="17:214" ht="3.6" customHeight="1">
      <c r="Q52" s="153"/>
      <c r="AM52" s="153"/>
      <c r="AN52" s="378"/>
      <c r="AS52" s="362"/>
      <c r="AT52" s="153"/>
      <c r="AU52" s="155"/>
      <c r="AV52" s="378"/>
      <c r="BA52" s="362"/>
      <c r="BB52" s="154"/>
      <c r="BO52" s="153"/>
      <c r="BR52" s="154"/>
      <c r="BU52" s="153"/>
      <c r="BY52" s="153"/>
      <c r="BZ52" s="154"/>
      <c r="CA52" s="153"/>
      <c r="CB52" s="155"/>
      <c r="CE52" s="153"/>
      <c r="CI52" s="153"/>
      <c r="CJ52" s="154"/>
      <c r="CK52" s="153"/>
      <c r="CT52" s="154"/>
      <c r="CU52" s="150"/>
      <c r="CV52" s="151"/>
      <c r="CW52" s="151"/>
      <c r="CX52" s="151"/>
      <c r="CY52" s="162"/>
      <c r="CZ52" s="150"/>
      <c r="DA52" s="151"/>
      <c r="DB52" s="151"/>
      <c r="DC52" s="151"/>
      <c r="DD52" s="162"/>
      <c r="DE52" s="150"/>
      <c r="DF52" s="151"/>
      <c r="DG52" s="151"/>
      <c r="DH52" s="151"/>
      <c r="DI52" s="162"/>
      <c r="DJ52" s="150"/>
      <c r="DK52" s="151"/>
      <c r="DL52" s="151"/>
      <c r="DM52" s="151"/>
      <c r="DN52" s="162"/>
      <c r="DO52" s="153"/>
      <c r="DV52" s="154"/>
      <c r="ER52" s="1482"/>
      <c r="ES52" s="1482"/>
      <c r="ET52" s="2496"/>
      <c r="EU52" s="2496"/>
      <c r="EV52" s="2496"/>
      <c r="EW52" s="2496"/>
      <c r="EX52" s="2496"/>
      <c r="EY52" s="2496"/>
      <c r="EZ52" s="2496"/>
      <c r="FA52" s="2496"/>
      <c r="FB52" s="2496"/>
      <c r="FC52" s="2496"/>
      <c r="FD52" s="2496"/>
      <c r="FE52" s="2496"/>
      <c r="FF52" s="2496"/>
      <c r="FG52" s="2496"/>
      <c r="FH52" s="2496"/>
      <c r="FI52" s="2496"/>
      <c r="FJ52" s="2496"/>
      <c r="FK52" s="2496"/>
      <c r="FL52" s="2496"/>
      <c r="FM52" s="2496"/>
      <c r="FN52" s="2496"/>
      <c r="FO52" s="2496"/>
      <c r="FP52" s="2496"/>
      <c r="FQ52" s="2496"/>
      <c r="FR52" s="2496"/>
      <c r="FS52" s="2496"/>
      <c r="FT52" s="2496"/>
      <c r="FU52" s="2496"/>
      <c r="FV52" s="2496"/>
      <c r="FW52" s="2496"/>
      <c r="FX52" s="2496"/>
      <c r="FY52" s="2496"/>
      <c r="FZ52" s="2496"/>
      <c r="GA52" s="2496"/>
      <c r="GB52" s="2496"/>
      <c r="GC52" s="2496"/>
      <c r="GD52" s="2496"/>
      <c r="GE52" s="2496"/>
      <c r="GF52" s="2496"/>
      <c r="GG52" s="2496"/>
      <c r="GH52" s="2496"/>
      <c r="GI52" s="2496"/>
      <c r="GJ52" s="2496"/>
      <c r="GK52" s="2496"/>
      <c r="GL52" s="2496"/>
      <c r="GM52" s="2496"/>
      <c r="GN52" s="2496"/>
      <c r="GO52" s="2496"/>
      <c r="GP52" s="2496"/>
      <c r="GQ52" s="2496"/>
      <c r="GR52" s="2496"/>
      <c r="GS52" s="2496"/>
      <c r="GT52" s="2496"/>
      <c r="GU52" s="2496"/>
      <c r="GV52" s="2496"/>
      <c r="GW52" s="2496"/>
      <c r="GX52" s="2496"/>
      <c r="GY52" s="2496"/>
      <c r="GZ52" s="2496"/>
      <c r="HA52" s="2496"/>
      <c r="HB52" s="2496"/>
      <c r="HC52" s="1482"/>
      <c r="HD52" s="1482"/>
      <c r="HE52" s="1482"/>
      <c r="HF52" s="1482"/>
    </row>
    <row r="53" spans="17:214" ht="3.6" customHeight="1">
      <c r="Q53" s="153"/>
      <c r="AM53" s="153"/>
      <c r="AN53" s="153"/>
      <c r="AO53" s="150"/>
      <c r="AP53" s="151"/>
      <c r="AQ53" s="151"/>
      <c r="AR53" s="162"/>
      <c r="AS53" s="154"/>
      <c r="AT53" s="153"/>
      <c r="AU53" s="155"/>
      <c r="AW53" s="150"/>
      <c r="AX53" s="151"/>
      <c r="AY53" s="151"/>
      <c r="AZ53" s="162"/>
      <c r="BA53" s="154"/>
      <c r="BB53" s="154"/>
      <c r="BO53" s="153"/>
      <c r="BR53" s="154"/>
      <c r="BU53" s="153"/>
      <c r="BY53" s="153"/>
      <c r="BZ53" s="154"/>
      <c r="CA53" s="153"/>
      <c r="CB53" s="155"/>
      <c r="CE53" s="153"/>
      <c r="CI53" s="153"/>
      <c r="CJ53" s="154"/>
      <c r="CK53" s="153"/>
      <c r="CT53" s="154"/>
      <c r="CU53" s="156"/>
      <c r="CV53" s="41"/>
      <c r="CW53" s="41"/>
      <c r="CX53" s="41"/>
      <c r="CY53" s="159"/>
      <c r="CZ53" s="156"/>
      <c r="DA53" s="41"/>
      <c r="DB53" s="41"/>
      <c r="DC53" s="41"/>
      <c r="DD53" s="159"/>
      <c r="DE53" s="156"/>
      <c r="DF53" s="41"/>
      <c r="DG53" s="41"/>
      <c r="DH53" s="41"/>
      <c r="DI53" s="159"/>
      <c r="DJ53" s="156"/>
      <c r="DK53" s="41"/>
      <c r="DL53" s="41"/>
      <c r="DM53" s="41"/>
      <c r="DN53" s="159"/>
      <c r="DO53" s="153"/>
      <c r="DV53" s="154"/>
      <c r="ER53" s="1482"/>
      <c r="ES53" s="1482"/>
      <c r="ET53" s="2496"/>
      <c r="EU53" s="2496"/>
      <c r="EV53" s="2496"/>
      <c r="EW53" s="2496"/>
      <c r="EX53" s="2496"/>
      <c r="EY53" s="2496"/>
      <c r="EZ53" s="2496"/>
      <c r="FA53" s="2496"/>
      <c r="FB53" s="2496"/>
      <c r="FC53" s="2496"/>
      <c r="FD53" s="2496"/>
      <c r="FE53" s="2496"/>
      <c r="FF53" s="2496"/>
      <c r="FG53" s="2496"/>
      <c r="FH53" s="2496"/>
      <c r="FI53" s="2496"/>
      <c r="FJ53" s="2496"/>
      <c r="FK53" s="2496"/>
      <c r="FL53" s="2496"/>
      <c r="FM53" s="2496"/>
      <c r="FN53" s="2496"/>
      <c r="FO53" s="2496"/>
      <c r="FP53" s="2496"/>
      <c r="FQ53" s="2496"/>
      <c r="FR53" s="2496"/>
      <c r="FS53" s="2496"/>
      <c r="FT53" s="2496"/>
      <c r="FU53" s="2496"/>
      <c r="FV53" s="2496"/>
      <c r="FW53" s="2496"/>
      <c r="FX53" s="2496"/>
      <c r="FY53" s="2496"/>
      <c r="FZ53" s="2496"/>
      <c r="GA53" s="2496"/>
      <c r="GB53" s="2496"/>
      <c r="GC53" s="2496"/>
      <c r="GD53" s="2496"/>
      <c r="GE53" s="2496"/>
      <c r="GF53" s="2496"/>
      <c r="GG53" s="2496"/>
      <c r="GH53" s="2496"/>
      <c r="GI53" s="2496"/>
      <c r="GJ53" s="2496"/>
      <c r="GK53" s="2496"/>
      <c r="GL53" s="2496"/>
      <c r="GM53" s="2496"/>
      <c r="GN53" s="2496"/>
      <c r="GO53" s="2496"/>
      <c r="GP53" s="2496"/>
      <c r="GQ53" s="2496"/>
      <c r="GR53" s="2496"/>
      <c r="GS53" s="2496"/>
      <c r="GT53" s="2496"/>
      <c r="GU53" s="2496"/>
      <c r="GV53" s="2496"/>
      <c r="GW53" s="2496"/>
      <c r="GX53" s="2496"/>
      <c r="GY53" s="2496"/>
      <c r="GZ53" s="2496"/>
      <c r="HA53" s="2496"/>
      <c r="HB53" s="2496"/>
      <c r="HC53" s="1482"/>
      <c r="HD53" s="1482"/>
      <c r="HE53" s="1482"/>
      <c r="HF53" s="1482"/>
    </row>
    <row r="54" spans="17:214" ht="3.6" customHeight="1">
      <c r="Q54" s="153"/>
      <c r="AM54" s="153"/>
      <c r="AN54" s="153"/>
      <c r="AO54" s="153"/>
      <c r="AR54" s="154"/>
      <c r="AS54" s="154"/>
      <c r="AT54" s="153"/>
      <c r="AU54" s="155"/>
      <c r="AW54" s="153"/>
      <c r="AZ54" s="154"/>
      <c r="BA54" s="154"/>
      <c r="BB54" s="154"/>
      <c r="BO54" s="153"/>
      <c r="BR54" s="154"/>
      <c r="BS54" s="198"/>
      <c r="BT54" s="150"/>
      <c r="BU54" s="162"/>
      <c r="BV54" s="41"/>
      <c r="BW54" s="41"/>
      <c r="BX54" s="150"/>
      <c r="BY54" s="162"/>
      <c r="BZ54" s="198"/>
      <c r="CA54" s="153"/>
      <c r="CB54" s="155"/>
      <c r="CC54" s="198"/>
      <c r="CD54" s="150"/>
      <c r="CE54" s="162"/>
      <c r="CF54" s="41"/>
      <c r="CG54" s="41"/>
      <c r="CH54" s="150"/>
      <c r="CI54" s="162"/>
      <c r="CJ54" s="198"/>
      <c r="CK54" s="153"/>
      <c r="CT54" s="154"/>
      <c r="CU54" s="153"/>
      <c r="CW54" s="150"/>
      <c r="CX54" s="151"/>
      <c r="CY54" s="151"/>
      <c r="CZ54" s="151"/>
      <c r="DA54" s="162"/>
      <c r="DB54" s="150"/>
      <c r="DC54" s="151"/>
      <c r="DD54" s="151"/>
      <c r="DE54" s="151"/>
      <c r="DF54" s="162"/>
      <c r="DG54" s="150"/>
      <c r="DH54" s="151"/>
      <c r="DI54" s="151"/>
      <c r="DJ54" s="151"/>
      <c r="DK54" s="162"/>
      <c r="DN54" s="154"/>
      <c r="DO54" s="153"/>
      <c r="DV54" s="154"/>
      <c r="ER54" s="1482"/>
      <c r="ES54" s="1482"/>
      <c r="ET54" s="2496"/>
      <c r="EU54" s="2496"/>
      <c r="EV54" s="2496"/>
      <c r="EW54" s="2496"/>
      <c r="EX54" s="2496"/>
      <c r="EY54" s="2496"/>
      <c r="EZ54" s="2496"/>
      <c r="FA54" s="2496"/>
      <c r="FB54" s="2496"/>
      <c r="FC54" s="2496"/>
      <c r="FD54" s="2496"/>
      <c r="FE54" s="2496"/>
      <c r="FF54" s="2496"/>
      <c r="FG54" s="2496"/>
      <c r="FH54" s="2496"/>
      <c r="FI54" s="2496"/>
      <c r="FJ54" s="2496"/>
      <c r="FK54" s="2496"/>
      <c r="FL54" s="2496"/>
      <c r="FM54" s="2496"/>
      <c r="FN54" s="2496"/>
      <c r="FO54" s="2496"/>
      <c r="FP54" s="2496"/>
      <c r="FQ54" s="2496"/>
      <c r="FR54" s="2496"/>
      <c r="FS54" s="2496"/>
      <c r="FT54" s="2496"/>
      <c r="FU54" s="2496"/>
      <c r="FV54" s="2496"/>
      <c r="FW54" s="2496"/>
      <c r="FX54" s="2496"/>
      <c r="FY54" s="2496"/>
      <c r="FZ54" s="2496"/>
      <c r="GA54" s="2496"/>
      <c r="GB54" s="2496"/>
      <c r="GC54" s="2496"/>
      <c r="GD54" s="2496"/>
      <c r="GE54" s="2496"/>
      <c r="GF54" s="2496"/>
      <c r="GG54" s="2496"/>
      <c r="GH54" s="2496"/>
      <c r="GI54" s="2496"/>
      <c r="GJ54" s="2496"/>
      <c r="GK54" s="2496"/>
      <c r="GL54" s="2496"/>
      <c r="GM54" s="2496"/>
      <c r="GN54" s="2496"/>
      <c r="GO54" s="2496"/>
      <c r="GP54" s="2496"/>
      <c r="GQ54" s="2496"/>
      <c r="GR54" s="2496"/>
      <c r="GS54" s="2496"/>
      <c r="GT54" s="2496"/>
      <c r="GU54" s="2496"/>
      <c r="GV54" s="2496"/>
      <c r="GW54" s="2496"/>
      <c r="GX54" s="2496"/>
      <c r="GY54" s="2496"/>
      <c r="GZ54" s="2496"/>
      <c r="HA54" s="2496"/>
      <c r="HB54" s="2496"/>
      <c r="HC54" s="1482"/>
      <c r="HD54" s="1482"/>
      <c r="HE54" s="1482"/>
      <c r="HF54" s="1482"/>
    </row>
    <row r="55" spans="17:214" ht="3.6" customHeight="1">
      <c r="Q55" s="153"/>
      <c r="AM55" s="153"/>
      <c r="AN55" s="153"/>
      <c r="AO55" s="153"/>
      <c r="AR55" s="154"/>
      <c r="AS55" s="154"/>
      <c r="AT55" s="153"/>
      <c r="AU55" s="155"/>
      <c r="AW55" s="153"/>
      <c r="AZ55" s="154"/>
      <c r="BA55" s="154"/>
      <c r="BB55" s="154"/>
      <c r="BO55" s="153"/>
      <c r="BR55" s="154"/>
      <c r="BT55" s="156"/>
      <c r="BU55" s="159"/>
      <c r="BX55" s="156"/>
      <c r="BY55" s="159"/>
      <c r="CA55" s="153"/>
      <c r="CB55" s="155"/>
      <c r="CD55" s="156"/>
      <c r="CE55" s="159"/>
      <c r="CH55" s="156"/>
      <c r="CI55" s="159"/>
      <c r="CK55" s="153"/>
      <c r="CT55" s="154"/>
      <c r="CU55" s="156"/>
      <c r="CV55" s="41"/>
      <c r="CW55" s="156"/>
      <c r="CX55" s="41"/>
      <c r="CY55" s="41"/>
      <c r="CZ55" s="41"/>
      <c r="DA55" s="159"/>
      <c r="DB55" s="156"/>
      <c r="DC55" s="41"/>
      <c r="DD55" s="41"/>
      <c r="DE55" s="41"/>
      <c r="DF55" s="159"/>
      <c r="DG55" s="156"/>
      <c r="DH55" s="41"/>
      <c r="DI55" s="41"/>
      <c r="DJ55" s="41"/>
      <c r="DK55" s="159"/>
      <c r="DL55" s="41"/>
      <c r="DM55" s="41"/>
      <c r="DN55" s="159"/>
      <c r="DO55" s="153"/>
      <c r="DV55" s="154"/>
      <c r="ER55" s="1482"/>
      <c r="ES55" s="1482"/>
      <c r="ET55" s="2496" t="s">
        <v>3009</v>
      </c>
      <c r="EU55" s="2496"/>
      <c r="EV55" s="2496"/>
      <c r="EW55" s="2496"/>
      <c r="EX55" s="2496"/>
      <c r="EY55" s="2496"/>
      <c r="EZ55" s="2496"/>
      <c r="FA55" s="2496"/>
      <c r="FB55" s="2496"/>
      <c r="FC55" s="2496"/>
      <c r="FD55" s="2496"/>
      <c r="FE55" s="2496"/>
      <c r="FF55" s="2496"/>
      <c r="FG55" s="2496"/>
      <c r="FH55" s="2496" t="s">
        <v>3473</v>
      </c>
      <c r="FI55" s="2496"/>
      <c r="FJ55" s="2496"/>
      <c r="FK55" s="2496"/>
      <c r="FL55" s="2496"/>
      <c r="FM55" s="2496"/>
      <c r="FN55" s="2496"/>
      <c r="FO55" s="2496"/>
      <c r="FP55" s="2496"/>
      <c r="FQ55" s="2496"/>
      <c r="FR55" s="2496"/>
      <c r="FS55" s="2496"/>
      <c r="FT55" s="2496"/>
      <c r="FU55" s="2496"/>
      <c r="FV55" s="2496"/>
      <c r="FW55" s="2496"/>
      <c r="FX55" s="2496"/>
      <c r="FY55" s="2496"/>
      <c r="FZ55" s="2496"/>
      <c r="GA55" s="2496"/>
      <c r="GB55" s="2496"/>
      <c r="GC55" s="2496"/>
      <c r="GD55" s="2496"/>
      <c r="GE55" s="2496"/>
      <c r="GF55" s="2496"/>
      <c r="GG55" s="2496"/>
      <c r="GH55" s="2496"/>
      <c r="GI55" s="2496"/>
      <c r="GJ55" s="2496"/>
      <c r="GK55" s="2496"/>
      <c r="GL55" s="2496"/>
      <c r="GM55" s="2496"/>
      <c r="GN55" s="2496"/>
      <c r="GO55" s="2496"/>
      <c r="GP55" s="2496"/>
      <c r="GQ55" s="2496"/>
      <c r="GR55" s="2496"/>
      <c r="GS55" s="2496"/>
      <c r="GT55" s="2496"/>
      <c r="GU55" s="2496"/>
      <c r="GV55" s="2496"/>
      <c r="GW55" s="2496"/>
      <c r="GX55" s="2496"/>
      <c r="GY55" s="2496"/>
      <c r="GZ55" s="2496"/>
      <c r="HA55" s="2496"/>
      <c r="HB55" s="2496"/>
      <c r="HC55" s="1482"/>
      <c r="HD55" s="1482"/>
      <c r="HE55" s="1482"/>
      <c r="HF55" s="1482"/>
    </row>
    <row r="56" spans="17:214" ht="3.6" customHeight="1">
      <c r="Q56" s="153"/>
      <c r="AM56" s="153"/>
      <c r="AN56" s="153"/>
      <c r="AO56" s="153"/>
      <c r="AR56" s="154"/>
      <c r="AS56" s="154"/>
      <c r="AT56" s="153"/>
      <c r="AU56" s="155"/>
      <c r="AW56" s="153"/>
      <c r="AZ56" s="154"/>
      <c r="BA56" s="154"/>
      <c r="BB56" s="154"/>
      <c r="BO56" s="153"/>
      <c r="BR56" s="154"/>
      <c r="BU56" s="153"/>
      <c r="BY56" s="153"/>
      <c r="CA56" s="153"/>
      <c r="CB56" s="155"/>
      <c r="CE56" s="153"/>
      <c r="CI56" s="153"/>
      <c r="CK56" s="153"/>
      <c r="CT56" s="154"/>
      <c r="CU56" s="150"/>
      <c r="CV56" s="151"/>
      <c r="CW56" s="151"/>
      <c r="CX56" s="151"/>
      <c r="CY56" s="162"/>
      <c r="CZ56" s="150"/>
      <c r="DA56" s="151"/>
      <c r="DB56" s="151"/>
      <c r="DC56" s="151"/>
      <c r="DD56" s="162"/>
      <c r="DE56" s="150"/>
      <c r="DF56" s="151"/>
      <c r="DG56" s="151"/>
      <c r="DH56" s="151"/>
      <c r="DI56" s="162"/>
      <c r="DJ56" s="150"/>
      <c r="DK56" s="151"/>
      <c r="DL56" s="151"/>
      <c r="DM56" s="151"/>
      <c r="DN56" s="162"/>
      <c r="DO56" s="153"/>
      <c r="DV56" s="154"/>
      <c r="ER56" s="1482"/>
      <c r="ES56" s="1482"/>
      <c r="ET56" s="2496"/>
      <c r="EU56" s="2496"/>
      <c r="EV56" s="2496"/>
      <c r="EW56" s="2496"/>
      <c r="EX56" s="2496"/>
      <c r="EY56" s="2496"/>
      <c r="EZ56" s="2496"/>
      <c r="FA56" s="2496"/>
      <c r="FB56" s="2496"/>
      <c r="FC56" s="2496"/>
      <c r="FD56" s="2496"/>
      <c r="FE56" s="2496"/>
      <c r="FF56" s="2496"/>
      <c r="FG56" s="2496"/>
      <c r="FH56" s="2496"/>
      <c r="FI56" s="2496"/>
      <c r="FJ56" s="2496"/>
      <c r="FK56" s="2496"/>
      <c r="FL56" s="2496"/>
      <c r="FM56" s="2496"/>
      <c r="FN56" s="2496"/>
      <c r="FO56" s="2496"/>
      <c r="FP56" s="2496"/>
      <c r="FQ56" s="2496"/>
      <c r="FR56" s="2496"/>
      <c r="FS56" s="2496"/>
      <c r="FT56" s="2496"/>
      <c r="FU56" s="2496"/>
      <c r="FV56" s="2496"/>
      <c r="FW56" s="2496"/>
      <c r="FX56" s="2496"/>
      <c r="FY56" s="2496"/>
      <c r="FZ56" s="2496"/>
      <c r="GA56" s="2496"/>
      <c r="GB56" s="2496"/>
      <c r="GC56" s="2496"/>
      <c r="GD56" s="2496"/>
      <c r="GE56" s="2496"/>
      <c r="GF56" s="2496"/>
      <c r="GG56" s="2496"/>
      <c r="GH56" s="2496"/>
      <c r="GI56" s="2496"/>
      <c r="GJ56" s="2496"/>
      <c r="GK56" s="2496"/>
      <c r="GL56" s="2496"/>
      <c r="GM56" s="2496"/>
      <c r="GN56" s="2496"/>
      <c r="GO56" s="2496"/>
      <c r="GP56" s="2496"/>
      <c r="GQ56" s="2496"/>
      <c r="GR56" s="2496"/>
      <c r="GS56" s="2496"/>
      <c r="GT56" s="2496"/>
      <c r="GU56" s="2496"/>
      <c r="GV56" s="2496"/>
      <c r="GW56" s="2496"/>
      <c r="GX56" s="2496"/>
      <c r="GY56" s="2496"/>
      <c r="GZ56" s="2496"/>
      <c r="HA56" s="2496"/>
      <c r="HB56" s="2496"/>
      <c r="HC56" s="1482"/>
      <c r="HD56" s="1482"/>
      <c r="HE56" s="1482"/>
      <c r="HF56" s="1482"/>
    </row>
    <row r="57" spans="17:214" ht="3.6" customHeight="1">
      <c r="Q57" s="153"/>
      <c r="AM57" s="153"/>
      <c r="AN57" s="153"/>
      <c r="AO57" s="156"/>
      <c r="AP57" s="41"/>
      <c r="AQ57" s="41"/>
      <c r="AR57" s="159"/>
      <c r="AS57" s="154"/>
      <c r="AT57" s="153"/>
      <c r="AU57" s="155"/>
      <c r="AW57" s="156"/>
      <c r="AX57" s="41"/>
      <c r="AY57" s="41"/>
      <c r="AZ57" s="159"/>
      <c r="BA57" s="154"/>
      <c r="BB57" s="154"/>
      <c r="BO57" s="153"/>
      <c r="BR57" s="154"/>
      <c r="BU57" s="153"/>
      <c r="BY57" s="153"/>
      <c r="CA57" s="153"/>
      <c r="CB57" s="155"/>
      <c r="CE57" s="153"/>
      <c r="CI57" s="153"/>
      <c r="CK57" s="153"/>
      <c r="CT57" s="154"/>
      <c r="CU57" s="156"/>
      <c r="CV57" s="41"/>
      <c r="CW57" s="41"/>
      <c r="CX57" s="41"/>
      <c r="CY57" s="159"/>
      <c r="CZ57" s="156"/>
      <c r="DA57" s="41"/>
      <c r="DB57" s="41"/>
      <c r="DC57" s="41"/>
      <c r="DD57" s="159"/>
      <c r="DE57" s="156"/>
      <c r="DF57" s="41"/>
      <c r="DG57" s="41"/>
      <c r="DH57" s="41"/>
      <c r="DI57" s="159"/>
      <c r="DJ57" s="156"/>
      <c r="DK57" s="41"/>
      <c r="DL57" s="41"/>
      <c r="DM57" s="41"/>
      <c r="DN57" s="159"/>
      <c r="DO57" s="153"/>
      <c r="DV57" s="154"/>
      <c r="ER57" s="1482"/>
      <c r="ES57" s="1482"/>
      <c r="ET57" s="2496"/>
      <c r="EU57" s="2496"/>
      <c r="EV57" s="2496"/>
      <c r="EW57" s="2496"/>
      <c r="EX57" s="2496"/>
      <c r="EY57" s="2496"/>
      <c r="EZ57" s="2496"/>
      <c r="FA57" s="2496"/>
      <c r="FB57" s="2496"/>
      <c r="FC57" s="2496"/>
      <c r="FD57" s="2496"/>
      <c r="FE57" s="2496"/>
      <c r="FF57" s="2496"/>
      <c r="FG57" s="2496"/>
      <c r="FH57" s="2496"/>
      <c r="FI57" s="2496"/>
      <c r="FJ57" s="2496"/>
      <c r="FK57" s="2496"/>
      <c r="FL57" s="2496"/>
      <c r="FM57" s="2496"/>
      <c r="FN57" s="2496"/>
      <c r="FO57" s="2496"/>
      <c r="FP57" s="2496"/>
      <c r="FQ57" s="2496"/>
      <c r="FR57" s="2496"/>
      <c r="FS57" s="2496"/>
      <c r="FT57" s="2496"/>
      <c r="FU57" s="2496"/>
      <c r="FV57" s="2496"/>
      <c r="FW57" s="2496"/>
      <c r="FX57" s="2496"/>
      <c r="FY57" s="2496"/>
      <c r="FZ57" s="2496"/>
      <c r="GA57" s="2496"/>
      <c r="GB57" s="2496"/>
      <c r="GC57" s="2496"/>
      <c r="GD57" s="2496"/>
      <c r="GE57" s="2496"/>
      <c r="GF57" s="2496"/>
      <c r="GG57" s="2496"/>
      <c r="GH57" s="2496"/>
      <c r="GI57" s="2496"/>
      <c r="GJ57" s="2496"/>
      <c r="GK57" s="2496"/>
      <c r="GL57" s="2496"/>
      <c r="GM57" s="2496"/>
      <c r="GN57" s="2496"/>
      <c r="GO57" s="2496"/>
      <c r="GP57" s="2496"/>
      <c r="GQ57" s="2496"/>
      <c r="GR57" s="2496"/>
      <c r="GS57" s="2496"/>
      <c r="GT57" s="2496"/>
      <c r="GU57" s="2496"/>
      <c r="GV57" s="2496"/>
      <c r="GW57" s="2496"/>
      <c r="GX57" s="2496"/>
      <c r="GY57" s="2496"/>
      <c r="GZ57" s="2496"/>
      <c r="HA57" s="2496"/>
      <c r="HB57" s="2496"/>
      <c r="HC57" s="1482"/>
      <c r="HD57" s="1482"/>
      <c r="HE57" s="1482"/>
      <c r="HF57" s="1482"/>
    </row>
    <row r="58" spans="17:214" ht="3.6" customHeight="1">
      <c r="Q58" s="153"/>
      <c r="AM58" s="153"/>
      <c r="AN58" s="361"/>
      <c r="AO58" s="41"/>
      <c r="AP58" s="41"/>
      <c r="AQ58" s="41"/>
      <c r="AR58" s="41"/>
      <c r="AS58" s="596"/>
      <c r="AT58" s="156"/>
      <c r="AU58" s="198"/>
      <c r="AV58" s="361"/>
      <c r="AW58" s="41"/>
      <c r="AX58" s="41"/>
      <c r="AY58" s="41"/>
      <c r="AZ58" s="41"/>
      <c r="BA58" s="596"/>
      <c r="BB58" s="154"/>
      <c r="BO58" s="153"/>
      <c r="BR58" s="154"/>
      <c r="BS58" s="198"/>
      <c r="BT58" s="150"/>
      <c r="BU58" s="162"/>
      <c r="BV58" s="41"/>
      <c r="BW58" s="41"/>
      <c r="BX58" s="150"/>
      <c r="BY58" s="162"/>
      <c r="BZ58" s="198"/>
      <c r="CA58" s="153"/>
      <c r="CB58" s="155"/>
      <c r="CC58" s="198"/>
      <c r="CD58" s="150"/>
      <c r="CE58" s="162"/>
      <c r="CF58" s="41"/>
      <c r="CG58" s="41"/>
      <c r="CH58" s="150"/>
      <c r="CI58" s="162"/>
      <c r="CJ58" s="198"/>
      <c r="CK58" s="153"/>
      <c r="CT58" s="154"/>
      <c r="CU58" s="153"/>
      <c r="CW58" s="150"/>
      <c r="CX58" s="151"/>
      <c r="CY58" s="151"/>
      <c r="CZ58" s="151"/>
      <c r="DA58" s="162"/>
      <c r="DB58" s="150"/>
      <c r="DC58" s="151"/>
      <c r="DD58" s="151"/>
      <c r="DE58" s="151"/>
      <c r="DF58" s="162"/>
      <c r="DG58" s="150"/>
      <c r="DH58" s="151"/>
      <c r="DI58" s="151"/>
      <c r="DJ58" s="151"/>
      <c r="DK58" s="162"/>
      <c r="DN58" s="154"/>
      <c r="DO58" s="153"/>
      <c r="DV58" s="154"/>
      <c r="ER58" s="1482"/>
      <c r="ES58" s="1482"/>
      <c r="ET58" s="2496"/>
      <c r="EU58" s="2496"/>
      <c r="EV58" s="2496"/>
      <c r="EW58" s="2496"/>
      <c r="EX58" s="2496"/>
      <c r="EY58" s="2496"/>
      <c r="EZ58" s="2496"/>
      <c r="FA58" s="2496"/>
      <c r="FB58" s="2496"/>
      <c r="FC58" s="2496"/>
      <c r="FD58" s="2496"/>
      <c r="FE58" s="2496"/>
      <c r="FF58" s="2496"/>
      <c r="FG58" s="2496"/>
      <c r="FH58" s="2496"/>
      <c r="FI58" s="2496"/>
      <c r="FJ58" s="2496"/>
      <c r="FK58" s="2496"/>
      <c r="FL58" s="2496"/>
      <c r="FM58" s="2496"/>
      <c r="FN58" s="2496"/>
      <c r="FO58" s="2496"/>
      <c r="FP58" s="2496"/>
      <c r="FQ58" s="2496"/>
      <c r="FR58" s="2496"/>
      <c r="FS58" s="2496"/>
      <c r="FT58" s="2496"/>
      <c r="FU58" s="2496"/>
      <c r="FV58" s="2496"/>
      <c r="FW58" s="2496"/>
      <c r="FX58" s="2496"/>
      <c r="FY58" s="2496"/>
      <c r="FZ58" s="2496"/>
      <c r="GA58" s="2496"/>
      <c r="GB58" s="2496"/>
      <c r="GC58" s="2496"/>
      <c r="GD58" s="2496"/>
      <c r="GE58" s="2496"/>
      <c r="GF58" s="2496"/>
      <c r="GG58" s="2496"/>
      <c r="GH58" s="2496"/>
      <c r="GI58" s="2496"/>
      <c r="GJ58" s="2496"/>
      <c r="GK58" s="2496"/>
      <c r="GL58" s="2496"/>
      <c r="GM58" s="2496"/>
      <c r="GN58" s="2496"/>
      <c r="GO58" s="2496"/>
      <c r="GP58" s="2496"/>
      <c r="GQ58" s="2496"/>
      <c r="GR58" s="2496"/>
      <c r="GS58" s="2496"/>
      <c r="GT58" s="2496"/>
      <c r="GU58" s="2496"/>
      <c r="GV58" s="2496"/>
      <c r="GW58" s="2496"/>
      <c r="GX58" s="2496"/>
      <c r="GY58" s="2496"/>
      <c r="GZ58" s="2496"/>
      <c r="HA58" s="2496"/>
      <c r="HB58" s="2496"/>
      <c r="HC58" s="1482"/>
      <c r="HD58" s="1482"/>
      <c r="HE58" s="1482"/>
      <c r="HF58" s="1482"/>
    </row>
    <row r="59" spans="17:214" ht="3.6" customHeight="1">
      <c r="Q59" s="153"/>
      <c r="AM59" s="156"/>
      <c r="AN59" s="41"/>
      <c r="AO59" s="41"/>
      <c r="AP59" s="41"/>
      <c r="AQ59" s="41"/>
      <c r="AR59" s="41"/>
      <c r="AS59" s="41"/>
      <c r="AT59" s="41"/>
      <c r="AU59" s="41"/>
      <c r="AV59" s="41"/>
      <c r="AW59" s="41"/>
      <c r="AX59" s="41"/>
      <c r="AY59" s="41"/>
      <c r="AZ59" s="41"/>
      <c r="BA59" s="41"/>
      <c r="BB59" s="159"/>
      <c r="BO59" s="153"/>
      <c r="BR59" s="154"/>
      <c r="BT59" s="156"/>
      <c r="BU59" s="159"/>
      <c r="BX59" s="156"/>
      <c r="BY59" s="159"/>
      <c r="CA59" s="153"/>
      <c r="CB59" s="155"/>
      <c r="CD59" s="156"/>
      <c r="CE59" s="159"/>
      <c r="CH59" s="156"/>
      <c r="CI59" s="159"/>
      <c r="CK59" s="153"/>
      <c r="CT59" s="154"/>
      <c r="CU59" s="156"/>
      <c r="CV59" s="41"/>
      <c r="CW59" s="156"/>
      <c r="CX59" s="41"/>
      <c r="CY59" s="41"/>
      <c r="CZ59" s="41"/>
      <c r="DA59" s="159"/>
      <c r="DB59" s="156"/>
      <c r="DC59" s="41"/>
      <c r="DD59" s="41"/>
      <c r="DE59" s="41"/>
      <c r="DF59" s="159"/>
      <c r="DG59" s="156"/>
      <c r="DH59" s="41"/>
      <c r="DI59" s="41"/>
      <c r="DJ59" s="41"/>
      <c r="DK59" s="159"/>
      <c r="DL59" s="41"/>
      <c r="DM59" s="41"/>
      <c r="DN59" s="159"/>
      <c r="DO59" s="153"/>
      <c r="DV59" s="154"/>
      <c r="ER59" s="1482"/>
      <c r="ES59" s="1482"/>
      <c r="ET59" s="2535" t="s">
        <v>3466</v>
      </c>
      <c r="EU59" s="2535"/>
      <c r="EV59" s="2535"/>
      <c r="EW59" s="2535"/>
      <c r="EX59" s="2535"/>
      <c r="EY59" s="2535"/>
      <c r="EZ59" s="2535"/>
      <c r="FA59" s="2535"/>
      <c r="FB59" s="2535"/>
      <c r="FC59" s="2535"/>
      <c r="FD59" s="2535"/>
      <c r="FE59" s="2535"/>
      <c r="FF59" s="2535"/>
      <c r="FG59" s="2535"/>
      <c r="FH59" s="2496" t="s">
        <v>3474</v>
      </c>
      <c r="FI59" s="2496"/>
      <c r="FJ59" s="2496"/>
      <c r="FK59" s="2496"/>
      <c r="FL59" s="2496"/>
      <c r="FM59" s="2496"/>
      <c r="FN59" s="2496"/>
      <c r="FO59" s="2496"/>
      <c r="FP59" s="2496"/>
      <c r="FQ59" s="2496"/>
      <c r="FR59" s="2496"/>
      <c r="FS59" s="2496"/>
      <c r="FT59" s="2496"/>
      <c r="FU59" s="2496"/>
      <c r="FV59" s="2496"/>
      <c r="FW59" s="2496"/>
      <c r="FX59" s="2496"/>
      <c r="FY59" s="2496"/>
      <c r="FZ59" s="2496"/>
      <c r="GA59" s="2496"/>
      <c r="GB59" s="2496"/>
      <c r="GC59" s="2496"/>
      <c r="GD59" s="2496"/>
      <c r="GE59" s="2496"/>
      <c r="GF59" s="2496"/>
      <c r="GG59" s="2496"/>
      <c r="GH59" s="2496"/>
      <c r="GI59" s="2496"/>
      <c r="GJ59" s="2496"/>
      <c r="GK59" s="2496"/>
      <c r="GL59" s="2496"/>
      <c r="GM59" s="2496"/>
      <c r="GN59" s="2496"/>
      <c r="GO59" s="2496"/>
      <c r="GP59" s="2496"/>
      <c r="GQ59" s="2496"/>
      <c r="GR59" s="2496"/>
      <c r="GS59" s="2496"/>
      <c r="GT59" s="2496"/>
      <c r="GU59" s="2496"/>
      <c r="GV59" s="2496"/>
      <c r="GW59" s="2496"/>
      <c r="GX59" s="2496"/>
      <c r="GY59" s="2496"/>
      <c r="GZ59" s="2496"/>
      <c r="HA59" s="2496"/>
      <c r="HB59" s="2496"/>
      <c r="HC59" s="1482"/>
      <c r="HD59" s="1482"/>
      <c r="HE59" s="1482"/>
      <c r="HF59" s="1482"/>
    </row>
    <row r="60" spans="17:214" ht="3.6" customHeight="1">
      <c r="Q60" s="153"/>
      <c r="BO60" s="153"/>
      <c r="BR60" s="154"/>
      <c r="BU60" s="153"/>
      <c r="BY60" s="153"/>
      <c r="CA60" s="153"/>
      <c r="CB60" s="155"/>
      <c r="CE60" s="153"/>
      <c r="CI60" s="153"/>
      <c r="CK60" s="153"/>
      <c r="DV60" s="154"/>
      <c r="ER60" s="1482"/>
      <c r="ES60" s="1482"/>
      <c r="ET60" s="2535"/>
      <c r="EU60" s="2535"/>
      <c r="EV60" s="2535"/>
      <c r="EW60" s="2535"/>
      <c r="EX60" s="2535"/>
      <c r="EY60" s="2535"/>
      <c r="EZ60" s="2535"/>
      <c r="FA60" s="2535"/>
      <c r="FB60" s="2535"/>
      <c r="FC60" s="2535"/>
      <c r="FD60" s="2535"/>
      <c r="FE60" s="2535"/>
      <c r="FF60" s="2535"/>
      <c r="FG60" s="2535"/>
      <c r="FH60" s="2496"/>
      <c r="FI60" s="2496"/>
      <c r="FJ60" s="2496"/>
      <c r="FK60" s="2496"/>
      <c r="FL60" s="2496"/>
      <c r="FM60" s="2496"/>
      <c r="FN60" s="2496"/>
      <c r="FO60" s="2496"/>
      <c r="FP60" s="2496"/>
      <c r="FQ60" s="2496"/>
      <c r="FR60" s="2496"/>
      <c r="FS60" s="2496"/>
      <c r="FT60" s="2496"/>
      <c r="FU60" s="2496"/>
      <c r="FV60" s="2496"/>
      <c r="FW60" s="2496"/>
      <c r="FX60" s="2496"/>
      <c r="FY60" s="2496"/>
      <c r="FZ60" s="2496"/>
      <c r="GA60" s="2496"/>
      <c r="GB60" s="2496"/>
      <c r="GC60" s="2496"/>
      <c r="GD60" s="2496"/>
      <c r="GE60" s="2496"/>
      <c r="GF60" s="2496"/>
      <c r="GG60" s="2496"/>
      <c r="GH60" s="2496"/>
      <c r="GI60" s="2496"/>
      <c r="GJ60" s="2496"/>
      <c r="GK60" s="2496"/>
      <c r="GL60" s="2496"/>
      <c r="GM60" s="2496"/>
      <c r="GN60" s="2496"/>
      <c r="GO60" s="2496"/>
      <c r="GP60" s="2496"/>
      <c r="GQ60" s="2496"/>
      <c r="GR60" s="2496"/>
      <c r="GS60" s="2496"/>
      <c r="GT60" s="2496"/>
      <c r="GU60" s="2496"/>
      <c r="GV60" s="2496"/>
      <c r="GW60" s="2496"/>
      <c r="GX60" s="2496"/>
      <c r="GY60" s="2496"/>
      <c r="GZ60" s="2496"/>
      <c r="HA60" s="2496"/>
      <c r="HB60" s="2496"/>
      <c r="HC60" s="1482"/>
      <c r="HD60" s="1482"/>
      <c r="HE60" s="1482"/>
      <c r="HF60" s="1482"/>
    </row>
    <row r="61" spans="17:214" ht="3.6" customHeight="1">
      <c r="Q61" s="153"/>
      <c r="BO61" s="153"/>
      <c r="BR61" s="154"/>
      <c r="BS61" s="156"/>
      <c r="BT61" s="41"/>
      <c r="BU61" s="156"/>
      <c r="BV61" s="41"/>
      <c r="BW61" s="41"/>
      <c r="BX61" s="41"/>
      <c r="BY61" s="156"/>
      <c r="BZ61" s="159"/>
      <c r="CA61" s="153"/>
      <c r="CB61" s="155"/>
      <c r="CC61" s="156"/>
      <c r="CD61" s="41"/>
      <c r="CE61" s="156"/>
      <c r="CF61" s="41"/>
      <c r="CG61" s="41"/>
      <c r="CH61" s="41"/>
      <c r="CI61" s="156"/>
      <c r="CJ61" s="159"/>
      <c r="CK61" s="153"/>
      <c r="DA61" s="13" t="s">
        <v>3160</v>
      </c>
      <c r="DV61" s="154"/>
      <c r="ER61" s="1482"/>
      <c r="ES61" s="1482"/>
      <c r="ET61" s="2535"/>
      <c r="EU61" s="2535"/>
      <c r="EV61" s="2535"/>
      <c r="EW61" s="2535"/>
      <c r="EX61" s="2535"/>
      <c r="EY61" s="2535"/>
      <c r="EZ61" s="2535"/>
      <c r="FA61" s="2535"/>
      <c r="FB61" s="2535"/>
      <c r="FC61" s="2535"/>
      <c r="FD61" s="2535"/>
      <c r="FE61" s="2535"/>
      <c r="FF61" s="2535"/>
      <c r="FG61" s="2535"/>
      <c r="FH61" s="2496"/>
      <c r="FI61" s="2496"/>
      <c r="FJ61" s="2496"/>
      <c r="FK61" s="2496"/>
      <c r="FL61" s="2496"/>
      <c r="FM61" s="2496"/>
      <c r="FN61" s="2496"/>
      <c r="FO61" s="2496"/>
      <c r="FP61" s="2496"/>
      <c r="FQ61" s="2496"/>
      <c r="FR61" s="2496"/>
      <c r="FS61" s="2496"/>
      <c r="FT61" s="2496"/>
      <c r="FU61" s="2496"/>
      <c r="FV61" s="2496"/>
      <c r="FW61" s="2496"/>
      <c r="FX61" s="2496"/>
      <c r="FY61" s="2496"/>
      <c r="FZ61" s="2496"/>
      <c r="GA61" s="2496"/>
      <c r="GB61" s="2496"/>
      <c r="GC61" s="2496"/>
      <c r="GD61" s="2496"/>
      <c r="GE61" s="2496"/>
      <c r="GF61" s="2496"/>
      <c r="GG61" s="2496"/>
      <c r="GH61" s="2496"/>
      <c r="GI61" s="2496"/>
      <c r="GJ61" s="2496"/>
      <c r="GK61" s="2496"/>
      <c r="GL61" s="2496"/>
      <c r="GM61" s="2496"/>
      <c r="GN61" s="2496"/>
      <c r="GO61" s="2496"/>
      <c r="GP61" s="2496"/>
      <c r="GQ61" s="2496"/>
      <c r="GR61" s="2496"/>
      <c r="GS61" s="2496"/>
      <c r="GT61" s="2496"/>
      <c r="GU61" s="2496"/>
      <c r="GV61" s="2496"/>
      <c r="GW61" s="2496"/>
      <c r="GX61" s="2496"/>
      <c r="GY61" s="2496"/>
      <c r="GZ61" s="2496"/>
      <c r="HA61" s="2496"/>
      <c r="HB61" s="2496"/>
      <c r="HC61" s="1482"/>
      <c r="HD61" s="1482"/>
      <c r="HE61" s="1482"/>
      <c r="HF61" s="1482"/>
    </row>
    <row r="62" spans="17:214" ht="3.6" customHeight="1">
      <c r="Q62" s="153"/>
      <c r="BO62" s="153"/>
      <c r="BR62" s="154"/>
      <c r="CA62" s="153"/>
      <c r="CB62" s="155"/>
      <c r="CK62" s="153"/>
      <c r="DV62" s="154"/>
      <c r="ER62" s="1482"/>
      <c r="ES62" s="1482"/>
      <c r="ET62" s="2535"/>
      <c r="EU62" s="2535"/>
      <c r="EV62" s="2535"/>
      <c r="EW62" s="2535"/>
      <c r="EX62" s="2535"/>
      <c r="EY62" s="2535"/>
      <c r="EZ62" s="2535"/>
      <c r="FA62" s="2535"/>
      <c r="FB62" s="2535"/>
      <c r="FC62" s="2535"/>
      <c r="FD62" s="2535"/>
      <c r="FE62" s="2535"/>
      <c r="FF62" s="2535"/>
      <c r="FG62" s="2535"/>
      <c r="FH62" s="2496"/>
      <c r="FI62" s="2496"/>
      <c r="FJ62" s="2496"/>
      <c r="FK62" s="2496"/>
      <c r="FL62" s="2496"/>
      <c r="FM62" s="2496"/>
      <c r="FN62" s="2496"/>
      <c r="FO62" s="2496"/>
      <c r="FP62" s="2496"/>
      <c r="FQ62" s="2496"/>
      <c r="FR62" s="2496"/>
      <c r="FS62" s="2496"/>
      <c r="FT62" s="2496"/>
      <c r="FU62" s="2496"/>
      <c r="FV62" s="2496"/>
      <c r="FW62" s="2496"/>
      <c r="FX62" s="2496"/>
      <c r="FY62" s="2496"/>
      <c r="FZ62" s="2496"/>
      <c r="GA62" s="2496"/>
      <c r="GB62" s="2496"/>
      <c r="GC62" s="2496"/>
      <c r="GD62" s="2496"/>
      <c r="GE62" s="2496"/>
      <c r="GF62" s="2496"/>
      <c r="GG62" s="2496"/>
      <c r="GH62" s="2496"/>
      <c r="GI62" s="2496"/>
      <c r="GJ62" s="2496"/>
      <c r="GK62" s="2496"/>
      <c r="GL62" s="2496"/>
      <c r="GM62" s="2496"/>
      <c r="GN62" s="2496"/>
      <c r="GO62" s="2496"/>
      <c r="GP62" s="2496"/>
      <c r="GQ62" s="2496"/>
      <c r="GR62" s="2496"/>
      <c r="GS62" s="2496"/>
      <c r="GT62" s="2496"/>
      <c r="GU62" s="2496"/>
      <c r="GV62" s="2496"/>
      <c r="GW62" s="2496"/>
      <c r="GX62" s="2496"/>
      <c r="GY62" s="2496"/>
      <c r="GZ62" s="2496"/>
      <c r="HA62" s="2496"/>
      <c r="HB62" s="2496"/>
      <c r="HC62" s="1482"/>
      <c r="HD62" s="1482"/>
      <c r="HE62" s="1482"/>
      <c r="HF62" s="1482"/>
    </row>
    <row r="63" spans="17:214" ht="3.6" customHeight="1">
      <c r="Q63" s="153"/>
      <c r="BO63" s="153"/>
      <c r="BR63" s="154"/>
      <c r="BT63" s="150"/>
      <c r="BU63" s="151"/>
      <c r="BV63" s="151"/>
      <c r="BW63" s="151"/>
      <c r="BX63" s="151"/>
      <c r="BY63" s="162"/>
      <c r="CA63" s="153"/>
      <c r="CB63" s="155"/>
      <c r="CD63" s="150"/>
      <c r="CE63" s="151"/>
      <c r="CF63" s="151"/>
      <c r="CG63" s="151"/>
      <c r="CH63" s="151"/>
      <c r="CI63" s="162"/>
      <c r="CK63" s="153"/>
      <c r="DV63" s="154"/>
      <c r="ER63" s="1482"/>
      <c r="ES63" s="1482"/>
      <c r="ET63" s="2496" t="s">
        <v>3467</v>
      </c>
      <c r="EU63" s="2496"/>
      <c r="EV63" s="2496"/>
      <c r="EW63" s="2496"/>
      <c r="EX63" s="2496"/>
      <c r="EY63" s="2496"/>
      <c r="EZ63" s="2496"/>
      <c r="FA63" s="2496"/>
      <c r="FB63" s="2496"/>
      <c r="FC63" s="2496"/>
      <c r="FD63" s="2496"/>
      <c r="FE63" s="2496"/>
      <c r="FF63" s="2496"/>
      <c r="FG63" s="2496"/>
      <c r="FH63" s="2496" t="s">
        <v>3475</v>
      </c>
      <c r="FI63" s="2496"/>
      <c r="FJ63" s="2496"/>
      <c r="FK63" s="2496"/>
      <c r="FL63" s="2496"/>
      <c r="FM63" s="2496"/>
      <c r="FN63" s="2496"/>
      <c r="FO63" s="2496"/>
      <c r="FP63" s="2496"/>
      <c r="FQ63" s="2496"/>
      <c r="FR63" s="2496"/>
      <c r="FS63" s="2496"/>
      <c r="FT63" s="2496"/>
      <c r="FU63" s="2496"/>
      <c r="FV63" s="2496"/>
      <c r="FW63" s="2496"/>
      <c r="FX63" s="2496"/>
      <c r="FY63" s="2496"/>
      <c r="FZ63" s="2496"/>
      <c r="GA63" s="2496"/>
      <c r="GB63" s="2496"/>
      <c r="GC63" s="2496"/>
      <c r="GD63" s="2496"/>
      <c r="GE63" s="2496"/>
      <c r="GF63" s="2496"/>
      <c r="GG63" s="2496"/>
      <c r="GH63" s="2496"/>
      <c r="GI63" s="2496"/>
      <c r="GJ63" s="2496"/>
      <c r="GK63" s="2496"/>
      <c r="GL63" s="2496"/>
      <c r="GM63" s="2496"/>
      <c r="GN63" s="2496"/>
      <c r="GO63" s="2496"/>
      <c r="GP63" s="2496"/>
      <c r="GQ63" s="2496"/>
      <c r="GR63" s="2496"/>
      <c r="GS63" s="2496"/>
      <c r="GT63" s="2496"/>
      <c r="GU63" s="2496"/>
      <c r="GV63" s="2496"/>
      <c r="GW63" s="2496"/>
      <c r="GX63" s="2496"/>
      <c r="GY63" s="2496"/>
      <c r="GZ63" s="2496"/>
      <c r="HA63" s="2496"/>
      <c r="HB63" s="2496"/>
      <c r="HC63" s="1482"/>
      <c r="HD63" s="1482"/>
      <c r="HE63" s="1482"/>
      <c r="HF63" s="1482"/>
    </row>
    <row r="64" spans="17:214" ht="3.6" customHeight="1">
      <c r="Q64" s="153"/>
      <c r="BO64" s="153"/>
      <c r="BR64" s="154"/>
      <c r="BT64" s="153"/>
      <c r="BY64" s="154"/>
      <c r="CA64" s="153"/>
      <c r="CB64" s="155"/>
      <c r="CD64" s="153"/>
      <c r="CI64" s="154"/>
      <c r="CK64" s="153"/>
      <c r="DV64" s="154"/>
      <c r="ER64" s="1482"/>
      <c r="ES64" s="1482"/>
      <c r="ET64" s="2496"/>
      <c r="EU64" s="2496"/>
      <c r="EV64" s="2496"/>
      <c r="EW64" s="2496"/>
      <c r="EX64" s="2496"/>
      <c r="EY64" s="2496"/>
      <c r="EZ64" s="2496"/>
      <c r="FA64" s="2496"/>
      <c r="FB64" s="2496"/>
      <c r="FC64" s="2496"/>
      <c r="FD64" s="2496"/>
      <c r="FE64" s="2496"/>
      <c r="FF64" s="2496"/>
      <c r="FG64" s="2496"/>
      <c r="FH64" s="2496"/>
      <c r="FI64" s="2496"/>
      <c r="FJ64" s="2496"/>
      <c r="FK64" s="2496"/>
      <c r="FL64" s="2496"/>
      <c r="FM64" s="2496"/>
      <c r="FN64" s="2496"/>
      <c r="FO64" s="2496"/>
      <c r="FP64" s="2496"/>
      <c r="FQ64" s="2496"/>
      <c r="FR64" s="2496"/>
      <c r="FS64" s="2496"/>
      <c r="FT64" s="2496"/>
      <c r="FU64" s="2496"/>
      <c r="FV64" s="2496"/>
      <c r="FW64" s="2496"/>
      <c r="FX64" s="2496"/>
      <c r="FY64" s="2496"/>
      <c r="FZ64" s="2496"/>
      <c r="GA64" s="2496"/>
      <c r="GB64" s="2496"/>
      <c r="GC64" s="2496"/>
      <c r="GD64" s="2496"/>
      <c r="GE64" s="2496"/>
      <c r="GF64" s="2496"/>
      <c r="GG64" s="2496"/>
      <c r="GH64" s="2496"/>
      <c r="GI64" s="2496"/>
      <c r="GJ64" s="2496"/>
      <c r="GK64" s="2496"/>
      <c r="GL64" s="2496"/>
      <c r="GM64" s="2496"/>
      <c r="GN64" s="2496"/>
      <c r="GO64" s="2496"/>
      <c r="GP64" s="2496"/>
      <c r="GQ64" s="2496"/>
      <c r="GR64" s="2496"/>
      <c r="GS64" s="2496"/>
      <c r="GT64" s="2496"/>
      <c r="GU64" s="2496"/>
      <c r="GV64" s="2496"/>
      <c r="GW64" s="2496"/>
      <c r="GX64" s="2496"/>
      <c r="GY64" s="2496"/>
      <c r="GZ64" s="2496"/>
      <c r="HA64" s="2496"/>
      <c r="HB64" s="2496"/>
      <c r="HC64" s="1482"/>
      <c r="HD64" s="1482"/>
      <c r="HE64" s="1482"/>
      <c r="HF64" s="1482"/>
    </row>
    <row r="65" spans="16:214" ht="3.6" customHeight="1">
      <c r="Q65" s="153"/>
      <c r="BO65" s="153"/>
      <c r="BR65" s="154"/>
      <c r="BT65" s="153"/>
      <c r="BY65" s="154"/>
      <c r="CA65" s="153"/>
      <c r="CB65" s="155"/>
      <c r="CD65" s="153"/>
      <c r="CI65" s="154"/>
      <c r="CK65" s="153"/>
      <c r="DV65" s="154"/>
      <c r="ER65" s="1482"/>
      <c r="ES65" s="1482"/>
      <c r="ET65" s="2496"/>
      <c r="EU65" s="2496"/>
      <c r="EV65" s="2496"/>
      <c r="EW65" s="2496"/>
      <c r="EX65" s="2496"/>
      <c r="EY65" s="2496"/>
      <c r="EZ65" s="2496"/>
      <c r="FA65" s="2496"/>
      <c r="FB65" s="2496"/>
      <c r="FC65" s="2496"/>
      <c r="FD65" s="2496"/>
      <c r="FE65" s="2496"/>
      <c r="FF65" s="2496"/>
      <c r="FG65" s="2496"/>
      <c r="FH65" s="2496"/>
      <c r="FI65" s="2496"/>
      <c r="FJ65" s="2496"/>
      <c r="FK65" s="2496"/>
      <c r="FL65" s="2496"/>
      <c r="FM65" s="2496"/>
      <c r="FN65" s="2496"/>
      <c r="FO65" s="2496"/>
      <c r="FP65" s="2496"/>
      <c r="FQ65" s="2496"/>
      <c r="FR65" s="2496"/>
      <c r="FS65" s="2496"/>
      <c r="FT65" s="2496"/>
      <c r="FU65" s="2496"/>
      <c r="FV65" s="2496"/>
      <c r="FW65" s="2496"/>
      <c r="FX65" s="2496"/>
      <c r="FY65" s="2496"/>
      <c r="FZ65" s="2496"/>
      <c r="GA65" s="2496"/>
      <c r="GB65" s="2496"/>
      <c r="GC65" s="2496"/>
      <c r="GD65" s="2496"/>
      <c r="GE65" s="2496"/>
      <c r="GF65" s="2496"/>
      <c r="GG65" s="2496"/>
      <c r="GH65" s="2496"/>
      <c r="GI65" s="2496"/>
      <c r="GJ65" s="2496"/>
      <c r="GK65" s="2496"/>
      <c r="GL65" s="2496"/>
      <c r="GM65" s="2496"/>
      <c r="GN65" s="2496"/>
      <c r="GO65" s="2496"/>
      <c r="GP65" s="2496"/>
      <c r="GQ65" s="2496"/>
      <c r="GR65" s="2496"/>
      <c r="GS65" s="2496"/>
      <c r="GT65" s="2496"/>
      <c r="GU65" s="2496"/>
      <c r="GV65" s="2496"/>
      <c r="GW65" s="2496"/>
      <c r="GX65" s="2496"/>
      <c r="GY65" s="2496"/>
      <c r="GZ65" s="2496"/>
      <c r="HA65" s="2496"/>
      <c r="HB65" s="2496"/>
      <c r="HC65" s="1482"/>
      <c r="HD65" s="1482"/>
      <c r="HE65" s="1482"/>
      <c r="HF65" s="1482"/>
    </row>
    <row r="66" spans="16:214" ht="3.6" customHeight="1">
      <c r="Q66" s="153"/>
      <c r="BO66" s="153"/>
      <c r="BR66" s="154"/>
      <c r="BT66" s="153"/>
      <c r="BY66" s="154"/>
      <c r="CA66" s="153"/>
      <c r="CB66" s="155"/>
      <c r="CD66" s="153"/>
      <c r="CI66" s="154"/>
      <c r="CK66" s="153"/>
      <c r="DV66" s="154"/>
      <c r="ER66" s="1482"/>
      <c r="ES66" s="1482"/>
      <c r="ET66" s="2496"/>
      <c r="EU66" s="2496"/>
      <c r="EV66" s="2496"/>
      <c r="EW66" s="2496"/>
      <c r="EX66" s="2496"/>
      <c r="EY66" s="2496"/>
      <c r="EZ66" s="2496"/>
      <c r="FA66" s="2496"/>
      <c r="FB66" s="2496"/>
      <c r="FC66" s="2496"/>
      <c r="FD66" s="2496"/>
      <c r="FE66" s="2496"/>
      <c r="FF66" s="2496"/>
      <c r="FG66" s="2496"/>
      <c r="FH66" s="2496"/>
      <c r="FI66" s="2496"/>
      <c r="FJ66" s="2496"/>
      <c r="FK66" s="2496"/>
      <c r="FL66" s="2496"/>
      <c r="FM66" s="2496"/>
      <c r="FN66" s="2496"/>
      <c r="FO66" s="2496"/>
      <c r="FP66" s="2496"/>
      <c r="FQ66" s="2496"/>
      <c r="FR66" s="2496"/>
      <c r="FS66" s="2496"/>
      <c r="FT66" s="2496"/>
      <c r="FU66" s="2496"/>
      <c r="FV66" s="2496"/>
      <c r="FW66" s="2496"/>
      <c r="FX66" s="2496"/>
      <c r="FY66" s="2496"/>
      <c r="FZ66" s="2496"/>
      <c r="GA66" s="2496"/>
      <c r="GB66" s="2496"/>
      <c r="GC66" s="2496"/>
      <c r="GD66" s="2496"/>
      <c r="GE66" s="2496"/>
      <c r="GF66" s="2496"/>
      <c r="GG66" s="2496"/>
      <c r="GH66" s="2496"/>
      <c r="GI66" s="2496"/>
      <c r="GJ66" s="2496"/>
      <c r="GK66" s="2496"/>
      <c r="GL66" s="2496"/>
      <c r="GM66" s="2496"/>
      <c r="GN66" s="2496"/>
      <c r="GO66" s="2496"/>
      <c r="GP66" s="2496"/>
      <c r="GQ66" s="2496"/>
      <c r="GR66" s="2496"/>
      <c r="GS66" s="2496"/>
      <c r="GT66" s="2496"/>
      <c r="GU66" s="2496"/>
      <c r="GV66" s="2496"/>
      <c r="GW66" s="2496"/>
      <c r="GX66" s="2496"/>
      <c r="GY66" s="2496"/>
      <c r="GZ66" s="2496"/>
      <c r="HA66" s="2496"/>
      <c r="HB66" s="2496"/>
      <c r="HC66" s="1482"/>
      <c r="HD66" s="1482"/>
      <c r="HE66" s="1482"/>
      <c r="HF66" s="1482"/>
    </row>
    <row r="67" spans="16:214" ht="3.6" customHeight="1">
      <c r="Q67" s="153"/>
      <c r="BO67" s="153"/>
      <c r="BR67" s="154"/>
      <c r="BT67" s="156"/>
      <c r="BU67" s="41"/>
      <c r="BV67" s="41"/>
      <c r="BW67" s="41"/>
      <c r="BX67" s="41"/>
      <c r="BY67" s="159"/>
      <c r="CA67" s="153"/>
      <c r="CB67" s="155"/>
      <c r="CD67" s="156"/>
      <c r="CE67" s="41"/>
      <c r="CF67" s="41"/>
      <c r="CG67" s="41"/>
      <c r="CH67" s="41"/>
      <c r="CI67" s="159"/>
      <c r="CK67" s="153"/>
      <c r="DV67" s="154"/>
      <c r="ER67" s="1482"/>
      <c r="ES67" s="1482"/>
      <c r="ET67" s="2534" t="s">
        <v>3468</v>
      </c>
      <c r="EU67" s="2534"/>
      <c r="EV67" s="2534"/>
      <c r="EW67" s="2534"/>
      <c r="EX67" s="2534"/>
      <c r="EY67" s="2534"/>
      <c r="EZ67" s="2534"/>
      <c r="FA67" s="2534"/>
      <c r="FB67" s="2534"/>
      <c r="FC67" s="2534"/>
      <c r="FD67" s="2534"/>
      <c r="FE67" s="2534"/>
      <c r="FF67" s="2534"/>
      <c r="FG67" s="2534"/>
      <c r="FH67" s="2496" t="s">
        <v>3476</v>
      </c>
      <c r="FI67" s="2496"/>
      <c r="FJ67" s="2496"/>
      <c r="FK67" s="2496"/>
      <c r="FL67" s="2496"/>
      <c r="FM67" s="2496"/>
      <c r="FN67" s="2496"/>
      <c r="FO67" s="2496"/>
      <c r="FP67" s="2496"/>
      <c r="FQ67" s="2496"/>
      <c r="FR67" s="2496"/>
      <c r="FS67" s="2496"/>
      <c r="FT67" s="2496"/>
      <c r="FU67" s="2496"/>
      <c r="FV67" s="2496"/>
      <c r="FW67" s="2496"/>
      <c r="FX67" s="2496"/>
      <c r="FY67" s="2496"/>
      <c r="FZ67" s="2496"/>
      <c r="GA67" s="2496"/>
      <c r="GB67" s="2496"/>
      <c r="GC67" s="2496"/>
      <c r="GD67" s="2496"/>
      <c r="GE67" s="2496"/>
      <c r="GF67" s="2496"/>
      <c r="GG67" s="2496"/>
      <c r="GH67" s="2496"/>
      <c r="GI67" s="2496"/>
      <c r="GJ67" s="2496"/>
      <c r="GK67" s="2496"/>
      <c r="GL67" s="2496"/>
      <c r="GM67" s="2496"/>
      <c r="GN67" s="2496"/>
      <c r="GO67" s="2496"/>
      <c r="GP67" s="2496"/>
      <c r="GQ67" s="2496"/>
      <c r="GR67" s="2496"/>
      <c r="GS67" s="2496"/>
      <c r="GT67" s="2496"/>
      <c r="GU67" s="2496"/>
      <c r="GV67" s="2496"/>
      <c r="GW67" s="2496"/>
      <c r="GX67" s="2496"/>
      <c r="GY67" s="2496"/>
      <c r="GZ67" s="2496"/>
      <c r="HA67" s="2496"/>
      <c r="HB67" s="2496"/>
      <c r="HC67" s="1482"/>
      <c r="HD67" s="1482"/>
      <c r="HE67" s="1482"/>
      <c r="HF67" s="1482"/>
    </row>
    <row r="68" spans="16:214" ht="3.6" customHeight="1">
      <c r="Q68" s="156"/>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156"/>
      <c r="BP68" s="41"/>
      <c r="BQ68" s="41"/>
      <c r="BR68" s="159"/>
      <c r="BS68" s="41"/>
      <c r="BT68" s="41"/>
      <c r="BU68" s="41"/>
      <c r="BV68" s="41"/>
      <c r="BW68" s="41"/>
      <c r="BX68" s="41"/>
      <c r="BY68" s="41"/>
      <c r="BZ68" s="41"/>
      <c r="CA68" s="156"/>
      <c r="CB68" s="198"/>
      <c r="CC68" s="41"/>
      <c r="CD68" s="41"/>
      <c r="CE68" s="41"/>
      <c r="CF68" s="41"/>
      <c r="CG68" s="41"/>
      <c r="CH68" s="41"/>
      <c r="CI68" s="41"/>
      <c r="CJ68" s="41"/>
      <c r="CK68" s="156"/>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159"/>
      <c r="ER68" s="1482"/>
      <c r="ES68" s="1482"/>
      <c r="ET68" s="2534"/>
      <c r="EU68" s="2534"/>
      <c r="EV68" s="2534"/>
      <c r="EW68" s="2534"/>
      <c r="EX68" s="2534"/>
      <c r="EY68" s="2534"/>
      <c r="EZ68" s="2534"/>
      <c r="FA68" s="2534"/>
      <c r="FB68" s="2534"/>
      <c r="FC68" s="2534"/>
      <c r="FD68" s="2534"/>
      <c r="FE68" s="2534"/>
      <c r="FF68" s="2534"/>
      <c r="FG68" s="2534"/>
      <c r="FH68" s="2496"/>
      <c r="FI68" s="2496"/>
      <c r="FJ68" s="2496"/>
      <c r="FK68" s="2496"/>
      <c r="FL68" s="2496"/>
      <c r="FM68" s="2496"/>
      <c r="FN68" s="2496"/>
      <c r="FO68" s="2496"/>
      <c r="FP68" s="2496"/>
      <c r="FQ68" s="2496"/>
      <c r="FR68" s="2496"/>
      <c r="FS68" s="2496"/>
      <c r="FT68" s="2496"/>
      <c r="FU68" s="2496"/>
      <c r="FV68" s="2496"/>
      <c r="FW68" s="2496"/>
      <c r="FX68" s="2496"/>
      <c r="FY68" s="2496"/>
      <c r="FZ68" s="2496"/>
      <c r="GA68" s="2496"/>
      <c r="GB68" s="2496"/>
      <c r="GC68" s="2496"/>
      <c r="GD68" s="2496"/>
      <c r="GE68" s="2496"/>
      <c r="GF68" s="2496"/>
      <c r="GG68" s="2496"/>
      <c r="GH68" s="2496"/>
      <c r="GI68" s="2496"/>
      <c r="GJ68" s="2496"/>
      <c r="GK68" s="2496"/>
      <c r="GL68" s="2496"/>
      <c r="GM68" s="2496"/>
      <c r="GN68" s="2496"/>
      <c r="GO68" s="2496"/>
      <c r="GP68" s="2496"/>
      <c r="GQ68" s="2496"/>
      <c r="GR68" s="2496"/>
      <c r="GS68" s="2496"/>
      <c r="GT68" s="2496"/>
      <c r="GU68" s="2496"/>
      <c r="GV68" s="2496"/>
      <c r="GW68" s="2496"/>
      <c r="GX68" s="2496"/>
      <c r="GY68" s="2496"/>
      <c r="GZ68" s="2496"/>
      <c r="HA68" s="2496"/>
      <c r="HB68" s="2496"/>
      <c r="HC68" s="1482"/>
      <c r="HD68" s="1482"/>
      <c r="HE68" s="1482"/>
      <c r="HF68" s="1482"/>
    </row>
    <row r="69" spans="16:214" ht="3.6" customHeight="1">
      <c r="P69" s="150"/>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0"/>
      <c r="BP69" s="151"/>
      <c r="BS69" s="151"/>
      <c r="BT69" s="151"/>
      <c r="BU69" s="151"/>
      <c r="BV69" s="151"/>
      <c r="BW69" s="150"/>
      <c r="BX69" s="151"/>
      <c r="BY69" s="151"/>
      <c r="BZ69" s="151"/>
      <c r="CA69" s="151"/>
      <c r="CB69" s="151"/>
      <c r="CC69" s="151"/>
      <c r="CD69" s="150"/>
      <c r="CE69" s="151"/>
      <c r="CF69" s="151"/>
      <c r="CG69" s="151"/>
      <c r="CH69" s="151"/>
      <c r="CI69" s="151"/>
      <c r="CJ69" s="151"/>
      <c r="CK69" s="150"/>
      <c r="CL69" s="151"/>
      <c r="CZ69" s="151"/>
      <c r="DA69" s="151"/>
      <c r="DB69" s="151"/>
      <c r="DC69" s="151"/>
      <c r="DD69" s="151"/>
      <c r="DE69" s="151"/>
      <c r="DF69" s="151"/>
      <c r="DG69" s="151"/>
      <c r="DH69" s="151"/>
      <c r="DI69" s="151"/>
      <c r="DJ69" s="151"/>
      <c r="DK69" s="151"/>
      <c r="DL69" s="151"/>
      <c r="DM69" s="151"/>
      <c r="DN69" s="151"/>
      <c r="DO69" s="151"/>
      <c r="DP69" s="151"/>
      <c r="DQ69" s="151"/>
      <c r="DR69" s="151"/>
      <c r="DS69" s="151"/>
      <c r="DU69" s="151"/>
      <c r="DV69" s="151"/>
      <c r="DW69" s="162"/>
      <c r="ER69" s="1482"/>
      <c r="ES69" s="1482"/>
      <c r="ET69" s="2534"/>
      <c r="EU69" s="2534"/>
      <c r="EV69" s="2534"/>
      <c r="EW69" s="2534"/>
      <c r="EX69" s="2534"/>
      <c r="EY69" s="2534"/>
      <c r="EZ69" s="2534"/>
      <c r="FA69" s="2534"/>
      <c r="FB69" s="2534"/>
      <c r="FC69" s="2534"/>
      <c r="FD69" s="2534"/>
      <c r="FE69" s="2534"/>
      <c r="FF69" s="2534"/>
      <c r="FG69" s="2534"/>
      <c r="FH69" s="2496"/>
      <c r="FI69" s="2496"/>
      <c r="FJ69" s="2496"/>
      <c r="FK69" s="2496"/>
      <c r="FL69" s="2496"/>
      <c r="FM69" s="2496"/>
      <c r="FN69" s="2496"/>
      <c r="FO69" s="2496"/>
      <c r="FP69" s="2496"/>
      <c r="FQ69" s="2496"/>
      <c r="FR69" s="2496"/>
      <c r="FS69" s="2496"/>
      <c r="FT69" s="2496"/>
      <c r="FU69" s="2496"/>
      <c r="FV69" s="2496"/>
      <c r="FW69" s="2496"/>
      <c r="FX69" s="2496"/>
      <c r="FY69" s="2496"/>
      <c r="FZ69" s="2496"/>
      <c r="GA69" s="2496"/>
      <c r="GB69" s="2496"/>
      <c r="GC69" s="2496"/>
      <c r="GD69" s="2496"/>
      <c r="GE69" s="2496"/>
      <c r="GF69" s="2496"/>
      <c r="GG69" s="2496"/>
      <c r="GH69" s="2496"/>
      <c r="GI69" s="2496"/>
      <c r="GJ69" s="2496"/>
      <c r="GK69" s="2496"/>
      <c r="GL69" s="2496"/>
      <c r="GM69" s="2496"/>
      <c r="GN69" s="2496"/>
      <c r="GO69" s="2496"/>
      <c r="GP69" s="2496"/>
      <c r="GQ69" s="2496"/>
      <c r="GR69" s="2496"/>
      <c r="GS69" s="2496"/>
      <c r="GT69" s="2496"/>
      <c r="GU69" s="2496"/>
      <c r="GV69" s="2496"/>
      <c r="GW69" s="2496"/>
      <c r="GX69" s="2496"/>
      <c r="GY69" s="2496"/>
      <c r="GZ69" s="2496"/>
      <c r="HA69" s="2496"/>
      <c r="HB69" s="2496"/>
      <c r="HC69" s="1482"/>
      <c r="HD69" s="1482"/>
      <c r="HE69" s="1482"/>
      <c r="HF69" s="1482"/>
    </row>
    <row r="70" spans="16:214" ht="3.6" customHeight="1">
      <c r="P70" s="153"/>
      <c r="BO70" s="156"/>
      <c r="BP70" s="41"/>
      <c r="BQ70" s="41"/>
      <c r="BR70" s="41"/>
      <c r="BS70" s="41"/>
      <c r="BT70" s="41"/>
      <c r="BU70" s="41"/>
      <c r="BV70" s="41"/>
      <c r="BW70" s="153"/>
      <c r="CD70" s="156"/>
      <c r="CE70" s="41"/>
      <c r="CF70" s="41"/>
      <c r="CG70" s="41"/>
      <c r="CH70" s="41"/>
      <c r="CI70" s="41"/>
      <c r="CJ70" s="41"/>
      <c r="CK70" s="153"/>
      <c r="DW70" s="154"/>
      <c r="ER70" s="1482"/>
      <c r="ES70" s="1482"/>
      <c r="ET70" s="2534"/>
      <c r="EU70" s="2534"/>
      <c r="EV70" s="2534"/>
      <c r="EW70" s="2534"/>
      <c r="EX70" s="2534"/>
      <c r="EY70" s="2534"/>
      <c r="EZ70" s="2534"/>
      <c r="FA70" s="2534"/>
      <c r="FB70" s="2534"/>
      <c r="FC70" s="2534"/>
      <c r="FD70" s="2534"/>
      <c r="FE70" s="2534"/>
      <c r="FF70" s="2534"/>
      <c r="FG70" s="2534"/>
      <c r="FH70" s="2496"/>
      <c r="FI70" s="2496"/>
      <c r="FJ70" s="2496"/>
      <c r="FK70" s="2496"/>
      <c r="FL70" s="2496"/>
      <c r="FM70" s="2496"/>
      <c r="FN70" s="2496"/>
      <c r="FO70" s="2496"/>
      <c r="FP70" s="2496"/>
      <c r="FQ70" s="2496"/>
      <c r="FR70" s="2496"/>
      <c r="FS70" s="2496"/>
      <c r="FT70" s="2496"/>
      <c r="FU70" s="2496"/>
      <c r="FV70" s="2496"/>
      <c r="FW70" s="2496"/>
      <c r="FX70" s="2496"/>
      <c r="FY70" s="2496"/>
      <c r="FZ70" s="2496"/>
      <c r="GA70" s="2496"/>
      <c r="GB70" s="2496"/>
      <c r="GC70" s="2496"/>
      <c r="GD70" s="2496"/>
      <c r="GE70" s="2496"/>
      <c r="GF70" s="2496"/>
      <c r="GG70" s="2496"/>
      <c r="GH70" s="2496"/>
      <c r="GI70" s="2496"/>
      <c r="GJ70" s="2496"/>
      <c r="GK70" s="2496"/>
      <c r="GL70" s="2496"/>
      <c r="GM70" s="2496"/>
      <c r="GN70" s="2496"/>
      <c r="GO70" s="2496"/>
      <c r="GP70" s="2496"/>
      <c r="GQ70" s="2496"/>
      <c r="GR70" s="2496"/>
      <c r="GS70" s="2496"/>
      <c r="GT70" s="2496"/>
      <c r="GU70" s="2496"/>
      <c r="GV70" s="2496"/>
      <c r="GW70" s="2496"/>
      <c r="GX70" s="2496"/>
      <c r="GY70" s="2496"/>
      <c r="GZ70" s="2496"/>
      <c r="HA70" s="2496"/>
      <c r="HB70" s="2496"/>
      <c r="HC70" s="1482"/>
      <c r="HD70" s="1482"/>
      <c r="HE70" s="1482"/>
      <c r="HF70" s="1482"/>
    </row>
    <row r="71" spans="16:214" ht="3.6" customHeight="1">
      <c r="P71" s="153"/>
      <c r="BO71" s="150"/>
      <c r="BP71" s="151"/>
      <c r="BQ71" s="151"/>
      <c r="BR71" s="151"/>
      <c r="BS71" s="151"/>
      <c r="BT71" s="151"/>
      <c r="BU71" s="151"/>
      <c r="BV71" s="151"/>
      <c r="BW71" s="153"/>
      <c r="CD71" s="153"/>
      <c r="CK71" s="153"/>
      <c r="DW71" s="154"/>
      <c r="ER71" s="1482"/>
      <c r="ES71" s="1482"/>
      <c r="ET71" s="2534" t="s">
        <v>3477</v>
      </c>
      <c r="EU71" s="2534"/>
      <c r="EV71" s="2534"/>
      <c r="EW71" s="2534"/>
      <c r="EX71" s="2534"/>
      <c r="EY71" s="2534"/>
      <c r="EZ71" s="2534"/>
      <c r="FA71" s="2534"/>
      <c r="FB71" s="2534"/>
      <c r="FC71" s="2534"/>
      <c r="FD71" s="2534"/>
      <c r="FE71" s="2534"/>
      <c r="FF71" s="2534"/>
      <c r="FG71" s="2534"/>
      <c r="FH71" s="2496" t="s">
        <v>3478</v>
      </c>
      <c r="FI71" s="2496"/>
      <c r="FJ71" s="2496"/>
      <c r="FK71" s="2496"/>
      <c r="FL71" s="2496"/>
      <c r="FM71" s="2496"/>
      <c r="FN71" s="2496"/>
      <c r="FO71" s="2496"/>
      <c r="FP71" s="2496"/>
      <c r="FQ71" s="2496"/>
      <c r="FR71" s="2496"/>
      <c r="FS71" s="2496"/>
      <c r="FT71" s="2496"/>
      <c r="FU71" s="2496"/>
      <c r="FV71" s="2496"/>
      <c r="FW71" s="2496"/>
      <c r="FX71" s="2496"/>
      <c r="FY71" s="2496"/>
      <c r="FZ71" s="2496"/>
      <c r="GA71" s="2496"/>
      <c r="GB71" s="2496"/>
      <c r="GC71" s="2496"/>
      <c r="GD71" s="2496"/>
      <c r="GE71" s="2496"/>
      <c r="GF71" s="2496"/>
      <c r="GG71" s="2496"/>
      <c r="GH71" s="2496"/>
      <c r="GI71" s="2496"/>
      <c r="GJ71" s="2496"/>
      <c r="GK71" s="2496"/>
      <c r="GL71" s="2496"/>
      <c r="GM71" s="2496"/>
      <c r="GN71" s="2496"/>
      <c r="GO71" s="2496"/>
      <c r="GP71" s="2496"/>
      <c r="GQ71" s="2496"/>
      <c r="GR71" s="2496"/>
      <c r="GS71" s="2496"/>
      <c r="GT71" s="2496"/>
      <c r="GU71" s="2496"/>
      <c r="GV71" s="2496"/>
      <c r="GW71" s="2496"/>
      <c r="GX71" s="2496"/>
      <c r="GY71" s="2496"/>
      <c r="GZ71" s="2496"/>
      <c r="HA71" s="2496"/>
      <c r="HB71" s="2496"/>
      <c r="HC71" s="1482"/>
      <c r="HD71" s="1482"/>
      <c r="HE71" s="1482"/>
      <c r="HF71" s="1482"/>
    </row>
    <row r="72" spans="16:214" ht="3.6" customHeight="1">
      <c r="P72" s="153"/>
      <c r="BO72" s="156"/>
      <c r="BP72" s="41"/>
      <c r="BQ72" s="41"/>
      <c r="BR72" s="41"/>
      <c r="BS72" s="41"/>
      <c r="BT72" s="41"/>
      <c r="BU72" s="41"/>
      <c r="BV72" s="41"/>
      <c r="BW72" s="153"/>
      <c r="CD72" s="156"/>
      <c r="CE72" s="41"/>
      <c r="CF72" s="41"/>
      <c r="CG72" s="41"/>
      <c r="CH72" s="41"/>
      <c r="CI72" s="41"/>
      <c r="CJ72" s="41"/>
      <c r="CK72" s="153"/>
      <c r="DW72" s="154"/>
      <c r="ER72" s="1482"/>
      <c r="ES72" s="1482"/>
      <c r="ET72" s="2534"/>
      <c r="EU72" s="2534"/>
      <c r="EV72" s="2534"/>
      <c r="EW72" s="2534"/>
      <c r="EX72" s="2534"/>
      <c r="EY72" s="2534"/>
      <c r="EZ72" s="2534"/>
      <c r="FA72" s="2534"/>
      <c r="FB72" s="2534"/>
      <c r="FC72" s="2534"/>
      <c r="FD72" s="2534"/>
      <c r="FE72" s="2534"/>
      <c r="FF72" s="2534"/>
      <c r="FG72" s="2534"/>
      <c r="FH72" s="2496"/>
      <c r="FI72" s="2496"/>
      <c r="FJ72" s="2496"/>
      <c r="FK72" s="2496"/>
      <c r="FL72" s="2496"/>
      <c r="FM72" s="2496"/>
      <c r="FN72" s="2496"/>
      <c r="FO72" s="2496"/>
      <c r="FP72" s="2496"/>
      <c r="FQ72" s="2496"/>
      <c r="FR72" s="2496"/>
      <c r="FS72" s="2496"/>
      <c r="FT72" s="2496"/>
      <c r="FU72" s="2496"/>
      <c r="FV72" s="2496"/>
      <c r="FW72" s="2496"/>
      <c r="FX72" s="2496"/>
      <c r="FY72" s="2496"/>
      <c r="FZ72" s="2496"/>
      <c r="GA72" s="2496"/>
      <c r="GB72" s="2496"/>
      <c r="GC72" s="2496"/>
      <c r="GD72" s="2496"/>
      <c r="GE72" s="2496"/>
      <c r="GF72" s="2496"/>
      <c r="GG72" s="2496"/>
      <c r="GH72" s="2496"/>
      <c r="GI72" s="2496"/>
      <c r="GJ72" s="2496"/>
      <c r="GK72" s="2496"/>
      <c r="GL72" s="2496"/>
      <c r="GM72" s="2496"/>
      <c r="GN72" s="2496"/>
      <c r="GO72" s="2496"/>
      <c r="GP72" s="2496"/>
      <c r="GQ72" s="2496"/>
      <c r="GR72" s="2496"/>
      <c r="GS72" s="2496"/>
      <c r="GT72" s="2496"/>
      <c r="GU72" s="2496"/>
      <c r="GV72" s="2496"/>
      <c r="GW72" s="2496"/>
      <c r="GX72" s="2496"/>
      <c r="GY72" s="2496"/>
      <c r="GZ72" s="2496"/>
      <c r="HA72" s="2496"/>
      <c r="HB72" s="2496"/>
      <c r="HC72" s="1482"/>
      <c r="HD72" s="1482"/>
      <c r="HE72" s="1482"/>
      <c r="HF72" s="1482"/>
    </row>
    <row r="73" spans="16:214" ht="3.6" customHeight="1">
      <c r="P73" s="153"/>
      <c r="BO73" s="150"/>
      <c r="BP73" s="151"/>
      <c r="BQ73" s="151"/>
      <c r="BR73" s="151"/>
      <c r="BS73" s="151"/>
      <c r="BT73" s="151"/>
      <c r="BU73" s="151"/>
      <c r="BV73" s="151"/>
      <c r="BW73" s="153"/>
      <c r="CD73" s="153"/>
      <c r="CK73" s="153"/>
      <c r="DW73" s="154"/>
      <c r="ER73" s="1482"/>
      <c r="ES73" s="1482"/>
      <c r="ET73" s="2534"/>
      <c r="EU73" s="2534"/>
      <c r="EV73" s="2534"/>
      <c r="EW73" s="2534"/>
      <c r="EX73" s="2534"/>
      <c r="EY73" s="2534"/>
      <c r="EZ73" s="2534"/>
      <c r="FA73" s="2534"/>
      <c r="FB73" s="2534"/>
      <c r="FC73" s="2534"/>
      <c r="FD73" s="2534"/>
      <c r="FE73" s="2534"/>
      <c r="FF73" s="2534"/>
      <c r="FG73" s="2534"/>
      <c r="FH73" s="2496"/>
      <c r="FI73" s="2496"/>
      <c r="FJ73" s="2496"/>
      <c r="FK73" s="2496"/>
      <c r="FL73" s="2496"/>
      <c r="FM73" s="2496"/>
      <c r="FN73" s="2496"/>
      <c r="FO73" s="2496"/>
      <c r="FP73" s="2496"/>
      <c r="FQ73" s="2496"/>
      <c r="FR73" s="2496"/>
      <c r="FS73" s="2496"/>
      <c r="FT73" s="2496"/>
      <c r="FU73" s="2496"/>
      <c r="FV73" s="2496"/>
      <c r="FW73" s="2496"/>
      <c r="FX73" s="2496"/>
      <c r="FY73" s="2496"/>
      <c r="FZ73" s="2496"/>
      <c r="GA73" s="2496"/>
      <c r="GB73" s="2496"/>
      <c r="GC73" s="2496"/>
      <c r="GD73" s="2496"/>
      <c r="GE73" s="2496"/>
      <c r="GF73" s="2496"/>
      <c r="GG73" s="2496"/>
      <c r="GH73" s="2496"/>
      <c r="GI73" s="2496"/>
      <c r="GJ73" s="2496"/>
      <c r="GK73" s="2496"/>
      <c r="GL73" s="2496"/>
      <c r="GM73" s="2496"/>
      <c r="GN73" s="2496"/>
      <c r="GO73" s="2496"/>
      <c r="GP73" s="2496"/>
      <c r="GQ73" s="2496"/>
      <c r="GR73" s="2496"/>
      <c r="GS73" s="2496"/>
      <c r="GT73" s="2496"/>
      <c r="GU73" s="2496"/>
      <c r="GV73" s="2496"/>
      <c r="GW73" s="2496"/>
      <c r="GX73" s="2496"/>
      <c r="GY73" s="2496"/>
      <c r="GZ73" s="2496"/>
      <c r="HA73" s="2496"/>
      <c r="HB73" s="2496"/>
      <c r="HC73" s="1482"/>
      <c r="HD73" s="1482"/>
      <c r="HE73" s="1482"/>
      <c r="HF73" s="1482"/>
    </row>
    <row r="74" spans="16:214" ht="3.6" customHeight="1">
      <c r="P74" s="156"/>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156"/>
      <c r="BP74" s="41"/>
      <c r="BQ74" s="41"/>
      <c r="BR74" s="41"/>
      <c r="BS74" s="41"/>
      <c r="BT74" s="41"/>
      <c r="BU74" s="41"/>
      <c r="BV74" s="41"/>
      <c r="BW74" s="156"/>
      <c r="BX74" s="41"/>
      <c r="BY74" s="41"/>
      <c r="BZ74" s="41"/>
      <c r="CA74" s="41"/>
      <c r="CB74" s="41"/>
      <c r="CC74" s="41"/>
      <c r="CD74" s="156"/>
      <c r="CE74" s="41"/>
      <c r="CF74" s="41"/>
      <c r="CG74" s="41"/>
      <c r="CH74" s="41"/>
      <c r="CI74" s="41"/>
      <c r="CJ74" s="41"/>
      <c r="CK74" s="156"/>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159"/>
      <c r="ER74" s="1482"/>
      <c r="ES74" s="1482"/>
      <c r="ET74" s="2534"/>
      <c r="EU74" s="2534"/>
      <c r="EV74" s="2534"/>
      <c r="EW74" s="2534"/>
      <c r="EX74" s="2534"/>
      <c r="EY74" s="2534"/>
      <c r="EZ74" s="2534"/>
      <c r="FA74" s="2534"/>
      <c r="FB74" s="2534"/>
      <c r="FC74" s="2534"/>
      <c r="FD74" s="2534"/>
      <c r="FE74" s="2534"/>
      <c r="FF74" s="2534"/>
      <c r="FG74" s="2534"/>
      <c r="FH74" s="2496"/>
      <c r="FI74" s="2496"/>
      <c r="FJ74" s="2496"/>
      <c r="FK74" s="2496"/>
      <c r="FL74" s="2496"/>
      <c r="FM74" s="2496"/>
      <c r="FN74" s="2496"/>
      <c r="FO74" s="2496"/>
      <c r="FP74" s="2496"/>
      <c r="FQ74" s="2496"/>
      <c r="FR74" s="2496"/>
      <c r="FS74" s="2496"/>
      <c r="FT74" s="2496"/>
      <c r="FU74" s="2496"/>
      <c r="FV74" s="2496"/>
      <c r="FW74" s="2496"/>
      <c r="FX74" s="2496"/>
      <c r="FY74" s="2496"/>
      <c r="FZ74" s="2496"/>
      <c r="GA74" s="2496"/>
      <c r="GB74" s="2496"/>
      <c r="GC74" s="2496"/>
      <c r="GD74" s="2496"/>
      <c r="GE74" s="2496"/>
      <c r="GF74" s="2496"/>
      <c r="GG74" s="2496"/>
      <c r="GH74" s="2496"/>
      <c r="GI74" s="2496"/>
      <c r="GJ74" s="2496"/>
      <c r="GK74" s="2496"/>
      <c r="GL74" s="2496"/>
      <c r="GM74" s="2496"/>
      <c r="GN74" s="2496"/>
      <c r="GO74" s="2496"/>
      <c r="GP74" s="2496"/>
      <c r="GQ74" s="2496"/>
      <c r="GR74" s="2496"/>
      <c r="GS74" s="2496"/>
      <c r="GT74" s="2496"/>
      <c r="GU74" s="2496"/>
      <c r="GV74" s="2496"/>
      <c r="GW74" s="2496"/>
      <c r="GX74" s="2496"/>
      <c r="GY74" s="2496"/>
      <c r="GZ74" s="2496"/>
      <c r="HA74" s="2496"/>
      <c r="HB74" s="2496"/>
      <c r="HC74" s="1482"/>
      <c r="HD74" s="1482"/>
      <c r="HE74" s="1482"/>
      <c r="HF74" s="1482"/>
    </row>
    <row r="75" spans="16:214" ht="3.6" customHeight="1">
      <c r="ER75" s="1482"/>
      <c r="ES75" s="1482"/>
      <c r="ET75" s="2496" t="s">
        <v>3479</v>
      </c>
      <c r="EU75" s="2496"/>
      <c r="EV75" s="2496"/>
      <c r="EW75" s="2496"/>
      <c r="EX75" s="2496"/>
      <c r="EY75" s="2496"/>
      <c r="EZ75" s="2496"/>
      <c r="FA75" s="2496"/>
      <c r="FB75" s="2496"/>
      <c r="FC75" s="2496"/>
      <c r="FD75" s="2496"/>
      <c r="FE75" s="2496"/>
      <c r="FF75" s="2496"/>
      <c r="FG75" s="2496"/>
      <c r="FH75" s="2496" t="s">
        <v>3480</v>
      </c>
      <c r="FI75" s="2496"/>
      <c r="FJ75" s="2496"/>
      <c r="FK75" s="2496"/>
      <c r="FL75" s="2496"/>
      <c r="FM75" s="2496"/>
      <c r="FN75" s="2496"/>
      <c r="FO75" s="2496"/>
      <c r="FP75" s="2496"/>
      <c r="FQ75" s="2496"/>
      <c r="FR75" s="2496"/>
      <c r="FS75" s="2496"/>
      <c r="FT75" s="2496"/>
      <c r="FU75" s="2496"/>
      <c r="FV75" s="2496"/>
      <c r="FW75" s="2496"/>
      <c r="FX75" s="2496"/>
      <c r="FY75" s="2496"/>
      <c r="FZ75" s="2496"/>
      <c r="GA75" s="2496"/>
      <c r="GB75" s="2496"/>
      <c r="GC75" s="2496"/>
      <c r="GD75" s="2496"/>
      <c r="GE75" s="2496"/>
      <c r="GF75" s="2496"/>
      <c r="GG75" s="2496"/>
      <c r="GH75" s="2496"/>
      <c r="GI75" s="2496"/>
      <c r="GJ75" s="2496"/>
      <c r="GK75" s="2496"/>
      <c r="GL75" s="2496"/>
      <c r="GM75" s="2496"/>
      <c r="GN75" s="2496"/>
      <c r="GO75" s="2496"/>
      <c r="GP75" s="2496"/>
      <c r="GQ75" s="2496"/>
      <c r="GR75" s="2496"/>
      <c r="GS75" s="2496"/>
      <c r="GT75" s="2496"/>
      <c r="GU75" s="2496"/>
      <c r="GV75" s="2496"/>
      <c r="GW75" s="2496"/>
      <c r="GX75" s="2496"/>
      <c r="GY75" s="2496"/>
      <c r="GZ75" s="2496"/>
      <c r="HA75" s="2496"/>
      <c r="HB75" s="2496"/>
      <c r="HC75" s="1482"/>
      <c r="HD75" s="1482"/>
      <c r="HE75" s="1482"/>
      <c r="HF75" s="1482"/>
    </row>
    <row r="76" spans="16:214" ht="3.6" customHeight="1">
      <c r="ER76" s="1482"/>
      <c r="ES76" s="1482"/>
      <c r="ET76" s="2496"/>
      <c r="EU76" s="2496"/>
      <c r="EV76" s="2496"/>
      <c r="EW76" s="2496"/>
      <c r="EX76" s="2496"/>
      <c r="EY76" s="2496"/>
      <c r="EZ76" s="2496"/>
      <c r="FA76" s="2496"/>
      <c r="FB76" s="2496"/>
      <c r="FC76" s="2496"/>
      <c r="FD76" s="2496"/>
      <c r="FE76" s="2496"/>
      <c r="FF76" s="2496"/>
      <c r="FG76" s="2496"/>
      <c r="FH76" s="2496"/>
      <c r="FI76" s="2496"/>
      <c r="FJ76" s="2496"/>
      <c r="FK76" s="2496"/>
      <c r="FL76" s="2496"/>
      <c r="FM76" s="2496"/>
      <c r="FN76" s="2496"/>
      <c r="FO76" s="2496"/>
      <c r="FP76" s="2496"/>
      <c r="FQ76" s="2496"/>
      <c r="FR76" s="2496"/>
      <c r="FS76" s="2496"/>
      <c r="FT76" s="2496"/>
      <c r="FU76" s="2496"/>
      <c r="FV76" s="2496"/>
      <c r="FW76" s="2496"/>
      <c r="FX76" s="2496"/>
      <c r="FY76" s="2496"/>
      <c r="FZ76" s="2496"/>
      <c r="GA76" s="2496"/>
      <c r="GB76" s="2496"/>
      <c r="GC76" s="2496"/>
      <c r="GD76" s="2496"/>
      <c r="GE76" s="2496"/>
      <c r="GF76" s="2496"/>
      <c r="GG76" s="2496"/>
      <c r="GH76" s="2496"/>
      <c r="GI76" s="2496"/>
      <c r="GJ76" s="2496"/>
      <c r="GK76" s="2496"/>
      <c r="GL76" s="2496"/>
      <c r="GM76" s="2496"/>
      <c r="GN76" s="2496"/>
      <c r="GO76" s="2496"/>
      <c r="GP76" s="2496"/>
      <c r="GQ76" s="2496"/>
      <c r="GR76" s="2496"/>
      <c r="GS76" s="2496"/>
      <c r="GT76" s="2496"/>
      <c r="GU76" s="2496"/>
      <c r="GV76" s="2496"/>
      <c r="GW76" s="2496"/>
      <c r="GX76" s="2496"/>
      <c r="GY76" s="2496"/>
      <c r="GZ76" s="2496"/>
      <c r="HA76" s="2496"/>
      <c r="HB76" s="2496"/>
      <c r="HC76" s="1482"/>
      <c r="HD76" s="1482"/>
      <c r="HE76" s="1482"/>
      <c r="HF76" s="1482"/>
    </row>
    <row r="77" spans="16:214" ht="3.6" customHeight="1">
      <c r="ER77" s="1482"/>
      <c r="ES77" s="1482"/>
      <c r="ET77" s="2496"/>
      <c r="EU77" s="2496"/>
      <c r="EV77" s="2496"/>
      <c r="EW77" s="2496"/>
      <c r="EX77" s="2496"/>
      <c r="EY77" s="2496"/>
      <c r="EZ77" s="2496"/>
      <c r="FA77" s="2496"/>
      <c r="FB77" s="2496"/>
      <c r="FC77" s="2496"/>
      <c r="FD77" s="2496"/>
      <c r="FE77" s="2496"/>
      <c r="FF77" s="2496"/>
      <c r="FG77" s="2496"/>
      <c r="FH77" s="2496"/>
      <c r="FI77" s="2496"/>
      <c r="FJ77" s="2496"/>
      <c r="FK77" s="2496"/>
      <c r="FL77" s="2496"/>
      <c r="FM77" s="2496"/>
      <c r="FN77" s="2496"/>
      <c r="FO77" s="2496"/>
      <c r="FP77" s="2496"/>
      <c r="FQ77" s="2496"/>
      <c r="FR77" s="2496"/>
      <c r="FS77" s="2496"/>
      <c r="FT77" s="2496"/>
      <c r="FU77" s="2496"/>
      <c r="FV77" s="2496"/>
      <c r="FW77" s="2496"/>
      <c r="FX77" s="2496"/>
      <c r="FY77" s="2496"/>
      <c r="FZ77" s="2496"/>
      <c r="GA77" s="2496"/>
      <c r="GB77" s="2496"/>
      <c r="GC77" s="2496"/>
      <c r="GD77" s="2496"/>
      <c r="GE77" s="2496"/>
      <c r="GF77" s="2496"/>
      <c r="GG77" s="2496"/>
      <c r="GH77" s="2496"/>
      <c r="GI77" s="2496"/>
      <c r="GJ77" s="2496"/>
      <c r="GK77" s="2496"/>
      <c r="GL77" s="2496"/>
      <c r="GM77" s="2496"/>
      <c r="GN77" s="2496"/>
      <c r="GO77" s="2496"/>
      <c r="GP77" s="2496"/>
      <c r="GQ77" s="2496"/>
      <c r="GR77" s="2496"/>
      <c r="GS77" s="2496"/>
      <c r="GT77" s="2496"/>
      <c r="GU77" s="2496"/>
      <c r="GV77" s="2496"/>
      <c r="GW77" s="2496"/>
      <c r="GX77" s="2496"/>
      <c r="GY77" s="2496"/>
      <c r="GZ77" s="2496"/>
      <c r="HA77" s="2496"/>
      <c r="HB77" s="2496"/>
      <c r="HC77" s="1482"/>
      <c r="HD77" s="1482"/>
      <c r="HE77" s="1482"/>
      <c r="HF77" s="1482"/>
    </row>
    <row r="78" spans="16:214" ht="3.6" customHeight="1">
      <c r="ER78" s="1482"/>
      <c r="ES78" s="1482"/>
      <c r="ET78" s="2496"/>
      <c r="EU78" s="2496"/>
      <c r="EV78" s="2496"/>
      <c r="EW78" s="2496"/>
      <c r="EX78" s="2496"/>
      <c r="EY78" s="2496"/>
      <c r="EZ78" s="2496"/>
      <c r="FA78" s="2496"/>
      <c r="FB78" s="2496"/>
      <c r="FC78" s="2496"/>
      <c r="FD78" s="2496"/>
      <c r="FE78" s="2496"/>
      <c r="FF78" s="2496"/>
      <c r="FG78" s="2496"/>
      <c r="FH78" s="2496"/>
      <c r="FI78" s="2496"/>
      <c r="FJ78" s="2496"/>
      <c r="FK78" s="2496"/>
      <c r="FL78" s="2496"/>
      <c r="FM78" s="2496"/>
      <c r="FN78" s="2496"/>
      <c r="FO78" s="2496"/>
      <c r="FP78" s="2496"/>
      <c r="FQ78" s="2496"/>
      <c r="FR78" s="2496"/>
      <c r="FS78" s="2496"/>
      <c r="FT78" s="2496"/>
      <c r="FU78" s="2496"/>
      <c r="FV78" s="2496"/>
      <c r="FW78" s="2496"/>
      <c r="FX78" s="2496"/>
      <c r="FY78" s="2496"/>
      <c r="FZ78" s="2496"/>
      <c r="GA78" s="2496"/>
      <c r="GB78" s="2496"/>
      <c r="GC78" s="2496"/>
      <c r="GD78" s="2496"/>
      <c r="GE78" s="2496"/>
      <c r="GF78" s="2496"/>
      <c r="GG78" s="2496"/>
      <c r="GH78" s="2496"/>
      <c r="GI78" s="2496"/>
      <c r="GJ78" s="2496"/>
      <c r="GK78" s="2496"/>
      <c r="GL78" s="2496"/>
      <c r="GM78" s="2496"/>
      <c r="GN78" s="2496"/>
      <c r="GO78" s="2496"/>
      <c r="GP78" s="2496"/>
      <c r="GQ78" s="2496"/>
      <c r="GR78" s="2496"/>
      <c r="GS78" s="2496"/>
      <c r="GT78" s="2496"/>
      <c r="GU78" s="2496"/>
      <c r="GV78" s="2496"/>
      <c r="GW78" s="2496"/>
      <c r="GX78" s="2496"/>
      <c r="GY78" s="2496"/>
      <c r="GZ78" s="2496"/>
      <c r="HA78" s="2496"/>
      <c r="HB78" s="2496"/>
      <c r="HC78" s="1482"/>
      <c r="HD78" s="1482"/>
      <c r="HE78" s="1482"/>
      <c r="HF78" s="1482"/>
    </row>
    <row r="79" spans="16:214" ht="3.6" customHeight="1">
      <c r="ER79" s="1482"/>
      <c r="ES79" s="1482"/>
      <c r="ET79" s="1482"/>
      <c r="EU79" s="1482"/>
      <c r="EV79" s="1482"/>
      <c r="EW79" s="1482"/>
      <c r="EX79" s="1482"/>
      <c r="EY79" s="1482"/>
      <c r="EZ79" s="1482"/>
      <c r="FA79" s="1482"/>
      <c r="FB79" s="1482"/>
      <c r="FC79" s="1482"/>
      <c r="FD79" s="1482"/>
      <c r="FE79" s="1482"/>
      <c r="FF79" s="1482"/>
      <c r="FG79" s="1482"/>
      <c r="FH79" s="1482"/>
      <c r="FI79" s="1482"/>
      <c r="FJ79" s="1482"/>
      <c r="FK79" s="1482"/>
      <c r="FL79" s="1482"/>
      <c r="FM79" s="1482"/>
      <c r="FN79" s="1482"/>
      <c r="FO79" s="1482"/>
      <c r="FP79" s="1482"/>
      <c r="FQ79" s="1482"/>
      <c r="FR79" s="1482"/>
      <c r="FS79" s="1482"/>
      <c r="FT79" s="1482"/>
      <c r="FU79" s="1482"/>
      <c r="FV79" s="1482"/>
      <c r="FW79" s="1482"/>
      <c r="FX79" s="1483"/>
      <c r="FY79" s="1483"/>
      <c r="FZ79" s="1483"/>
      <c r="GA79" s="1483"/>
      <c r="GB79" s="1483"/>
      <c r="GC79" s="1483"/>
      <c r="GD79" s="1483"/>
      <c r="GE79" s="1483"/>
      <c r="GF79" s="1483"/>
      <c r="GG79" s="1483"/>
      <c r="GH79" s="1483"/>
      <c r="GI79" s="1483"/>
      <c r="GJ79" s="1482"/>
      <c r="GK79" s="1482"/>
      <c r="GL79" s="1482"/>
      <c r="GM79" s="1482"/>
      <c r="GN79" s="1482"/>
      <c r="GO79" s="1482"/>
      <c r="GP79" s="1482"/>
      <c r="GQ79" s="1482"/>
      <c r="GR79" s="1482"/>
      <c r="GS79" s="1482"/>
      <c r="GT79" s="1482"/>
      <c r="GU79" s="1482"/>
      <c r="GV79" s="1482"/>
      <c r="GW79" s="1482"/>
      <c r="GX79" s="1482"/>
      <c r="GY79" s="1482"/>
      <c r="GZ79" s="1482"/>
      <c r="HA79" s="1482"/>
      <c r="HB79" s="1482"/>
      <c r="HC79" s="1482"/>
      <c r="HD79" s="1482"/>
      <c r="HE79" s="1482"/>
      <c r="HF79" s="1482"/>
    </row>
    <row r="80" spans="16:214" ht="3.6" customHeight="1">
      <c r="ER80" s="1482"/>
      <c r="ES80" s="1482"/>
      <c r="ET80" s="1482"/>
      <c r="EU80" s="1482"/>
      <c r="EV80" s="1482"/>
      <c r="EW80" s="1482"/>
      <c r="EX80" s="1482"/>
      <c r="EY80" s="1482"/>
      <c r="EZ80" s="1482"/>
      <c r="FA80" s="1482"/>
      <c r="FB80" s="1482"/>
      <c r="FC80" s="1482"/>
      <c r="FD80" s="1482"/>
      <c r="FE80" s="1482"/>
      <c r="FF80" s="1482"/>
      <c r="FG80" s="1482"/>
      <c r="FH80" s="1482"/>
      <c r="FI80" s="1482"/>
      <c r="FJ80" s="1482"/>
      <c r="FK80" s="1482"/>
      <c r="FL80" s="1482"/>
      <c r="FM80" s="1482"/>
      <c r="FN80" s="1482"/>
      <c r="FO80" s="1482"/>
      <c r="FP80" s="1482"/>
      <c r="FQ80" s="1482"/>
      <c r="FR80" s="1482"/>
      <c r="FS80" s="1482"/>
      <c r="FT80" s="1482"/>
      <c r="FU80" s="1482"/>
      <c r="FV80" s="1482"/>
      <c r="FW80" s="1482"/>
      <c r="FX80" s="1483"/>
      <c r="FY80" s="1483"/>
      <c r="FZ80" s="1483"/>
      <c r="GA80" s="1483"/>
      <c r="GB80" s="1483"/>
      <c r="GC80" s="1483"/>
      <c r="GD80" s="1483"/>
      <c r="GE80" s="1483"/>
      <c r="GF80" s="1483"/>
      <c r="GG80" s="1483"/>
      <c r="GH80" s="1483"/>
      <c r="GI80" s="1483"/>
      <c r="GJ80" s="1482"/>
      <c r="GK80" s="1482"/>
      <c r="GL80" s="1482"/>
      <c r="GM80" s="1482"/>
      <c r="GN80" s="1482"/>
      <c r="GO80" s="1482"/>
      <c r="GP80" s="1482"/>
      <c r="GQ80" s="1482"/>
      <c r="GR80" s="1482"/>
      <c r="GS80" s="1482"/>
      <c r="GT80" s="1482"/>
      <c r="GU80" s="1482"/>
      <c r="GV80" s="1482"/>
      <c r="GW80" s="1482"/>
      <c r="GX80" s="1482"/>
      <c r="GY80" s="1482"/>
      <c r="GZ80" s="1482"/>
      <c r="HA80" s="1482"/>
      <c r="HB80" s="1482"/>
      <c r="HC80" s="1482"/>
      <c r="HD80" s="1482"/>
      <c r="HE80" s="1482"/>
      <c r="HF80" s="1482"/>
    </row>
    <row r="81" spans="17:214" ht="3.6" customHeight="1" thickBot="1">
      <c r="ER81" s="1482"/>
      <c r="ES81" s="1482"/>
      <c r="ET81" s="1482"/>
      <c r="EU81" s="1482"/>
      <c r="EV81" s="1482"/>
      <c r="EW81" s="1482"/>
      <c r="EX81" s="1482"/>
      <c r="EY81" s="1482"/>
      <c r="EZ81" s="1482"/>
      <c r="FA81" s="1482"/>
      <c r="FB81" s="1482"/>
      <c r="FC81" s="1482"/>
      <c r="FD81" s="1482"/>
      <c r="FE81" s="1482"/>
      <c r="FF81" s="1482"/>
      <c r="FG81" s="1482"/>
      <c r="FH81" s="1482"/>
      <c r="FI81" s="1482"/>
      <c r="FJ81" s="1482"/>
      <c r="FK81" s="1482"/>
      <c r="FL81" s="1482"/>
      <c r="FM81" s="1482"/>
      <c r="FN81" s="1482"/>
      <c r="FO81" s="1482"/>
      <c r="FP81" s="1482"/>
      <c r="FQ81" s="1482"/>
      <c r="FR81" s="1482"/>
      <c r="FS81" s="1482"/>
      <c r="FT81" s="1482"/>
      <c r="FU81" s="1482"/>
      <c r="FV81" s="1482"/>
      <c r="FW81" s="1482"/>
      <c r="FX81" s="1482"/>
      <c r="FY81" s="1482"/>
      <c r="FZ81" s="1482"/>
      <c r="GA81" s="1482"/>
      <c r="GB81" s="1482"/>
      <c r="GC81" s="1482"/>
      <c r="GD81" s="1482"/>
      <c r="GE81" s="1482"/>
      <c r="GF81" s="1482"/>
      <c r="GG81" s="1482"/>
      <c r="GH81" s="1482"/>
      <c r="GI81" s="1482"/>
      <c r="GJ81" s="1482"/>
      <c r="GK81" s="1482"/>
      <c r="GL81" s="1482"/>
      <c r="GM81" s="1482"/>
      <c r="GN81" s="1482"/>
      <c r="GO81" s="1482"/>
      <c r="GP81" s="1482"/>
      <c r="GQ81" s="1482"/>
      <c r="GR81" s="1482"/>
      <c r="GS81" s="1482"/>
      <c r="GT81" s="1482"/>
      <c r="GU81" s="1482"/>
      <c r="GV81" s="1482"/>
      <c r="GW81" s="1482"/>
      <c r="GX81" s="1482"/>
      <c r="GY81" s="1482"/>
      <c r="GZ81" s="1482"/>
      <c r="HA81" s="1482"/>
      <c r="HB81" s="1482"/>
      <c r="HC81" s="1482"/>
      <c r="HD81" s="1482"/>
      <c r="HE81" s="1482"/>
      <c r="HF81" s="1482"/>
    </row>
    <row r="82" spans="17:214" ht="3.6" customHeight="1" thickBot="1">
      <c r="Q82" s="1451"/>
      <c r="R82" s="1452"/>
      <c r="S82" s="1453"/>
      <c r="T82" s="1454"/>
      <c r="U82" s="1454"/>
      <c r="V82" s="1454"/>
      <c r="W82" s="1455"/>
      <c r="X82" s="1455"/>
      <c r="Y82" s="1455"/>
      <c r="Z82" s="1455"/>
      <c r="AA82" s="1455"/>
      <c r="AB82" s="1455"/>
      <c r="AC82" s="1455"/>
      <c r="AD82" s="1455"/>
      <c r="AE82" s="1455"/>
      <c r="AF82" s="1454"/>
      <c r="AG82" s="1454"/>
      <c r="AH82" s="1454"/>
      <c r="AI82" s="1454"/>
      <c r="AJ82" s="1454"/>
      <c r="AK82" s="1454"/>
      <c r="AL82" s="1454"/>
      <c r="AM82" s="1454"/>
      <c r="AN82" s="1454"/>
      <c r="AO82" s="1454"/>
      <c r="AP82" s="1454"/>
      <c r="AQ82" s="1454"/>
      <c r="AR82" s="1454"/>
      <c r="AS82" s="1454"/>
      <c r="AT82" s="1454"/>
      <c r="AU82" s="1454"/>
      <c r="AV82" s="1456"/>
      <c r="AW82" s="1451"/>
      <c r="AX82" s="1452"/>
      <c r="AY82" s="1457"/>
      <c r="AZ82" s="1439"/>
      <c r="BA82" s="1439"/>
      <c r="BB82" s="1439"/>
      <c r="BC82" s="1458"/>
      <c r="BD82" s="1439"/>
      <c r="BE82" s="1439"/>
      <c r="BF82" s="1439"/>
      <c r="BG82" s="1439"/>
      <c r="BH82" s="1440"/>
      <c r="BI82" s="1451"/>
      <c r="BJ82" s="1452"/>
      <c r="BK82" s="1454"/>
      <c r="BL82" s="1454"/>
      <c r="BM82" s="1454"/>
      <c r="BN82" s="1454"/>
      <c r="BO82" s="1454"/>
      <c r="BP82" s="1454"/>
      <c r="BQ82" s="1454"/>
      <c r="BR82" s="1454"/>
      <c r="BS82" s="1454"/>
      <c r="BT82" s="1454"/>
      <c r="BU82" s="1454"/>
      <c r="BV82" s="1454"/>
      <c r="BW82" s="1454"/>
      <c r="BX82" s="1454"/>
      <c r="BY82" s="1454"/>
      <c r="BZ82" s="1454"/>
      <c r="CA82" s="1454"/>
      <c r="CB82" s="1454"/>
      <c r="CC82" s="1451"/>
      <c r="CD82" s="1452"/>
      <c r="CE82" s="1454"/>
      <c r="CF82" s="1454"/>
      <c r="CG82" s="1454"/>
      <c r="CH82" s="1454"/>
      <c r="CI82" s="1454"/>
      <c r="CJ82" s="1454"/>
      <c r="CK82" s="1454"/>
      <c r="CL82" s="1454"/>
      <c r="CM82" s="1454"/>
      <c r="CN82" s="1454"/>
      <c r="CO82" s="1454"/>
      <c r="CP82" s="1454"/>
      <c r="CQ82" s="1454"/>
      <c r="CR82" s="1454"/>
      <c r="CS82" s="1454"/>
      <c r="CT82" s="1454"/>
      <c r="CU82" s="1454"/>
      <c r="CV82" s="1456"/>
      <c r="CW82" s="1451"/>
      <c r="CX82" s="1452"/>
      <c r="CY82" s="1453"/>
      <c r="CZ82" s="1454"/>
      <c r="DA82" s="1454"/>
      <c r="DB82" s="1454"/>
      <c r="DC82" s="1455"/>
      <c r="DD82" s="1454"/>
      <c r="DE82" s="1454"/>
      <c r="DF82" s="1454"/>
      <c r="DG82" s="1454"/>
      <c r="DH82" s="1454"/>
      <c r="DI82" s="1454"/>
      <c r="DJ82" s="1454"/>
      <c r="DK82" s="1454"/>
      <c r="DL82" s="1454"/>
      <c r="DM82" s="1454"/>
      <c r="DN82" s="1454"/>
      <c r="DO82" s="1454"/>
      <c r="DP82" s="1454"/>
      <c r="DQ82" s="1454"/>
      <c r="DR82" s="1454"/>
      <c r="DS82" s="1454"/>
      <c r="DT82" s="1456"/>
      <c r="DU82" s="1451"/>
      <c r="DV82" s="1452"/>
      <c r="ER82" s="1482"/>
      <c r="ES82" s="1482"/>
      <c r="ET82" s="1482"/>
      <c r="EU82" s="1482"/>
      <c r="EV82" s="1482"/>
      <c r="EW82" s="1482"/>
      <c r="EX82" s="1482"/>
      <c r="EY82" s="1482"/>
      <c r="EZ82" s="1482"/>
      <c r="FA82" s="1482"/>
      <c r="FB82" s="1482"/>
      <c r="FC82" s="1482"/>
      <c r="FD82" s="1482"/>
      <c r="FE82" s="1482"/>
      <c r="FF82" s="1482"/>
      <c r="FG82" s="1482"/>
      <c r="FH82" s="1482"/>
      <c r="FI82" s="1482"/>
      <c r="FJ82" s="1482"/>
      <c r="FK82" s="1482"/>
      <c r="FL82" s="1482"/>
      <c r="FM82" s="1482"/>
      <c r="FN82" s="1482"/>
      <c r="FO82" s="1482"/>
      <c r="FP82" s="1482"/>
      <c r="FQ82" s="1482"/>
      <c r="FR82" s="1482"/>
      <c r="FS82" s="1482"/>
      <c r="FT82" s="1482"/>
      <c r="FU82" s="1482"/>
      <c r="FV82" s="1482"/>
      <c r="FW82" s="1482"/>
      <c r="FX82" s="1482"/>
      <c r="FY82" s="1482"/>
      <c r="FZ82" s="1482"/>
      <c r="GA82" s="1482"/>
      <c r="GB82" s="1482"/>
      <c r="GC82" s="1482"/>
      <c r="GD82" s="1482"/>
      <c r="GE82" s="1482"/>
      <c r="GF82" s="1482"/>
      <c r="GG82" s="1482"/>
      <c r="GH82" s="1482"/>
      <c r="GI82" s="1482"/>
      <c r="GJ82" s="1482"/>
      <c r="GK82" s="1482"/>
      <c r="GL82" s="1482"/>
      <c r="GM82" s="1482"/>
      <c r="GN82" s="1482"/>
      <c r="GO82" s="1482"/>
      <c r="GP82" s="1482"/>
      <c r="GQ82" s="1482"/>
      <c r="GR82" s="1482"/>
      <c r="GS82" s="1482"/>
      <c r="GT82" s="1482"/>
      <c r="GU82" s="1482"/>
      <c r="GV82" s="1482"/>
      <c r="GW82" s="1482"/>
      <c r="GX82" s="1482"/>
      <c r="GY82" s="1482"/>
      <c r="GZ82" s="1482"/>
      <c r="HA82" s="1482"/>
      <c r="HB82" s="1482"/>
      <c r="HC82" s="1482"/>
      <c r="HD82" s="1482"/>
      <c r="HE82" s="1482"/>
      <c r="HF82" s="1482"/>
    </row>
    <row r="83" spans="17:214" ht="3.6" customHeight="1" thickTop="1" thickBot="1">
      <c r="Q83" s="38"/>
      <c r="R83" s="40"/>
      <c r="S83" s="1459"/>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460"/>
      <c r="AW83" s="38"/>
      <c r="AX83" s="40"/>
      <c r="BH83" s="154"/>
      <c r="BI83" s="38"/>
      <c r="BJ83" s="40"/>
      <c r="BK83" s="177"/>
      <c r="BL83" s="177"/>
      <c r="BM83" s="177"/>
      <c r="BN83" s="177"/>
      <c r="BO83" s="177"/>
      <c r="BP83" s="177"/>
      <c r="BQ83" s="177"/>
      <c r="BR83" s="177"/>
      <c r="BS83" s="177"/>
      <c r="BT83" s="177"/>
      <c r="BU83" s="177"/>
      <c r="BV83" s="177"/>
      <c r="BW83" s="177"/>
      <c r="BX83" s="177"/>
      <c r="BY83" s="177"/>
      <c r="BZ83" s="177"/>
      <c r="CA83" s="177"/>
      <c r="CB83" s="177"/>
      <c r="CC83" s="38"/>
      <c r="CD83" s="40"/>
      <c r="CE83" s="177"/>
      <c r="CF83" s="177"/>
      <c r="CG83" s="177"/>
      <c r="CH83" s="177"/>
      <c r="CI83" s="177"/>
      <c r="CJ83" s="177"/>
      <c r="CK83" s="177"/>
      <c r="CL83" s="177"/>
      <c r="CM83" s="177"/>
      <c r="CN83" s="177"/>
      <c r="CO83" s="177"/>
      <c r="CP83" s="177"/>
      <c r="CQ83" s="177"/>
      <c r="CR83" s="177"/>
      <c r="CS83" s="177"/>
      <c r="CT83" s="177"/>
      <c r="CU83" s="177"/>
      <c r="CV83" s="1460"/>
      <c r="CW83" s="38"/>
      <c r="CX83" s="40"/>
      <c r="CY83" s="1459"/>
      <c r="CZ83" s="177"/>
      <c r="DA83" s="177"/>
      <c r="DB83" s="177"/>
      <c r="DC83" s="177"/>
      <c r="DD83" s="177"/>
      <c r="DE83" s="177"/>
      <c r="DF83" s="177"/>
      <c r="DG83" s="177"/>
      <c r="DH83" s="177"/>
      <c r="DI83" s="177"/>
      <c r="DJ83" s="177"/>
      <c r="DK83" s="177"/>
      <c r="DL83" s="177"/>
      <c r="DM83" s="177"/>
      <c r="DN83" s="177"/>
      <c r="DO83" s="177"/>
      <c r="DP83" s="177"/>
      <c r="DQ83" s="177"/>
      <c r="DR83" s="177"/>
      <c r="DS83" s="177"/>
      <c r="DT83" s="1460"/>
      <c r="DU83" s="38"/>
      <c r="DV83" s="40"/>
      <c r="ER83" s="1482"/>
      <c r="ES83" s="1482"/>
      <c r="ET83" s="1482"/>
      <c r="EU83" s="1482"/>
      <c r="EV83" s="1482"/>
      <c r="EW83" s="1482"/>
      <c r="EX83" s="1482"/>
      <c r="EY83" s="1482"/>
      <c r="EZ83" s="1482"/>
      <c r="FA83" s="1482"/>
      <c r="FB83" s="1482"/>
      <c r="FC83" s="1482"/>
      <c r="FD83" s="1482"/>
      <c r="FE83" s="1482"/>
      <c r="FF83" s="1482"/>
      <c r="FG83" s="1482"/>
      <c r="FH83" s="1482"/>
      <c r="FI83" s="1482"/>
      <c r="FJ83" s="1482"/>
      <c r="FK83" s="1482"/>
      <c r="FL83" s="1482"/>
      <c r="FM83" s="1482"/>
      <c r="FN83" s="1482"/>
      <c r="FO83" s="1482"/>
      <c r="FP83" s="1482"/>
      <c r="FQ83" s="1482"/>
      <c r="FR83" s="1482"/>
      <c r="FS83" s="1482"/>
      <c r="FT83" s="1482"/>
      <c r="FU83" s="1482"/>
      <c r="FV83" s="1482"/>
      <c r="FW83" s="1482"/>
      <c r="FX83" s="1482"/>
      <c r="FY83" s="1482"/>
      <c r="FZ83" s="1482"/>
      <c r="GA83" s="1482"/>
      <c r="GB83" s="1482"/>
      <c r="GC83" s="1482"/>
      <c r="GD83" s="1482"/>
      <c r="GE83" s="1482"/>
      <c r="GF83" s="1482"/>
      <c r="GG83" s="1482"/>
      <c r="GH83" s="1482"/>
      <c r="GI83" s="1482"/>
      <c r="GJ83" s="1482"/>
      <c r="GK83" s="1482"/>
      <c r="GL83" s="1482"/>
      <c r="GM83" s="1482"/>
      <c r="GN83" s="1482"/>
      <c r="GO83" s="1482"/>
      <c r="GP83" s="1482"/>
      <c r="GQ83" s="1482"/>
      <c r="GR83" s="1482"/>
      <c r="GS83" s="1482"/>
      <c r="GT83" s="1482"/>
      <c r="GU83" s="1482"/>
      <c r="GV83" s="1482"/>
      <c r="GW83" s="1482"/>
      <c r="GX83" s="1482"/>
      <c r="GY83" s="1482"/>
      <c r="GZ83" s="1482"/>
      <c r="HA83" s="1482"/>
      <c r="HB83" s="1482"/>
      <c r="HC83" s="1482"/>
      <c r="HD83" s="1482"/>
      <c r="HE83" s="1482"/>
      <c r="HF83" s="1482"/>
    </row>
    <row r="84" spans="17:214" ht="3.6" customHeight="1">
      <c r="Q84" s="1461"/>
      <c r="R84" s="1462"/>
      <c r="DU84" s="1461"/>
      <c r="DV84" s="1462"/>
      <c r="ER84" s="1482"/>
      <c r="ES84" s="1482"/>
      <c r="ET84" s="1482"/>
      <c r="EU84" s="1482"/>
      <c r="EV84" s="1482"/>
      <c r="EW84" s="1482"/>
      <c r="EX84" s="1482"/>
      <c r="EY84" s="1482"/>
      <c r="EZ84" s="1482"/>
      <c r="FA84" s="1482"/>
      <c r="FB84" s="1482"/>
      <c r="FC84" s="1482"/>
      <c r="FD84" s="1482"/>
      <c r="FE84" s="1482"/>
      <c r="FF84" s="1482"/>
      <c r="FG84" s="1482"/>
      <c r="FH84" s="1482"/>
      <c r="FI84" s="1482"/>
      <c r="FJ84" s="1482"/>
      <c r="FK84" s="1482"/>
      <c r="FL84" s="1482"/>
      <c r="FM84" s="1482"/>
      <c r="FN84" s="1482"/>
      <c r="FO84" s="1482"/>
      <c r="FP84" s="1482"/>
      <c r="FQ84" s="1482"/>
      <c r="FR84" s="1482"/>
      <c r="FS84" s="1482"/>
      <c r="FT84" s="1482"/>
      <c r="FU84" s="1482"/>
      <c r="FV84" s="1482"/>
      <c r="FW84" s="1482"/>
      <c r="FX84" s="1482"/>
      <c r="FY84" s="1482"/>
      <c r="FZ84" s="1482"/>
      <c r="GA84" s="1482"/>
      <c r="GB84" s="1482"/>
      <c r="GC84" s="1482"/>
      <c r="GD84" s="1482"/>
      <c r="GE84" s="1482"/>
      <c r="GF84" s="1482"/>
      <c r="GG84" s="1482"/>
      <c r="GH84" s="1482"/>
      <c r="GI84" s="1482"/>
      <c r="GJ84" s="1482"/>
      <c r="GK84" s="1482"/>
      <c r="GL84" s="1482"/>
      <c r="GM84" s="1482"/>
      <c r="GN84" s="1482"/>
      <c r="GO84" s="1482"/>
      <c r="GP84" s="1482"/>
      <c r="GQ84" s="1482"/>
      <c r="GR84" s="1482"/>
      <c r="GS84" s="1482"/>
      <c r="GT84" s="1482"/>
      <c r="GU84" s="1482"/>
      <c r="GV84" s="1482"/>
      <c r="GW84" s="1482"/>
      <c r="GX84" s="1482"/>
      <c r="GY84" s="1482"/>
      <c r="GZ84" s="1482"/>
      <c r="HA84" s="1482"/>
      <c r="HB84" s="1482"/>
      <c r="HC84" s="1482"/>
      <c r="HD84" s="1482"/>
      <c r="HE84" s="1482"/>
      <c r="HF84" s="1482"/>
    </row>
    <row r="85" spans="17:214" ht="3.6" customHeight="1">
      <c r="Q85" s="364"/>
      <c r="R85" s="381"/>
      <c r="DU85" s="364"/>
      <c r="DV85" s="381"/>
      <c r="ER85" s="1482"/>
      <c r="ES85" s="1482"/>
      <c r="ET85" s="1482"/>
      <c r="EU85" s="1482"/>
      <c r="EV85" s="1482"/>
      <c r="EW85" s="1482"/>
      <c r="EX85" s="1482"/>
      <c r="EY85" s="1482"/>
      <c r="EZ85" s="1482"/>
      <c r="FA85" s="1482"/>
      <c r="FB85" s="1482"/>
      <c r="FC85" s="1482"/>
      <c r="FD85" s="1482"/>
      <c r="FE85" s="1482"/>
      <c r="FF85" s="1482"/>
      <c r="FG85" s="1482"/>
      <c r="FH85" s="1482"/>
      <c r="FI85" s="1482"/>
      <c r="FJ85" s="1482"/>
      <c r="FK85" s="1482"/>
      <c r="FL85" s="1482"/>
      <c r="FM85" s="1482"/>
      <c r="FN85" s="1482"/>
      <c r="FO85" s="1482"/>
      <c r="FP85" s="1482"/>
      <c r="FQ85" s="1482"/>
      <c r="FR85" s="1482"/>
      <c r="FS85" s="1482"/>
      <c r="FT85" s="1482"/>
      <c r="FU85" s="1482"/>
      <c r="FV85" s="1482"/>
      <c r="FW85" s="1482"/>
      <c r="FX85" s="1482"/>
      <c r="FY85" s="1482"/>
      <c r="FZ85" s="1482"/>
      <c r="GA85" s="1482"/>
      <c r="GB85" s="1482"/>
      <c r="GC85" s="1482"/>
      <c r="GD85" s="1482"/>
      <c r="GE85" s="1482"/>
      <c r="GF85" s="1482"/>
      <c r="GG85" s="1482"/>
      <c r="GH85" s="1482"/>
      <c r="GI85" s="1482"/>
      <c r="GJ85" s="1482"/>
      <c r="GK85" s="1482"/>
      <c r="GL85" s="1482"/>
      <c r="GM85" s="1482"/>
      <c r="GN85" s="1482"/>
      <c r="GO85" s="1482"/>
      <c r="GP85" s="1482"/>
      <c r="GQ85" s="1482"/>
      <c r="GR85" s="1482"/>
      <c r="GS85" s="1482"/>
      <c r="GT85" s="1482"/>
      <c r="GU85" s="1482"/>
      <c r="GV85" s="1482"/>
      <c r="GW85" s="1482"/>
      <c r="GX85" s="1482"/>
      <c r="GY85" s="1482"/>
      <c r="GZ85" s="1482"/>
      <c r="HA85" s="1482"/>
      <c r="HB85" s="1482"/>
      <c r="HC85" s="1482"/>
      <c r="HD85" s="1482"/>
      <c r="HE85" s="1482"/>
      <c r="HF85" s="1482"/>
    </row>
    <row r="86" spans="17:214" ht="3.6" customHeight="1">
      <c r="Q86" s="364"/>
      <c r="R86" s="381"/>
      <c r="DU86" s="364"/>
      <c r="DV86" s="381"/>
    </row>
    <row r="87" spans="17:214" ht="3.6" customHeight="1">
      <c r="Q87" s="364"/>
      <c r="R87" s="381"/>
      <c r="DU87" s="364"/>
      <c r="DV87" s="381"/>
    </row>
    <row r="88" spans="17:214" ht="3.6" customHeight="1">
      <c r="Q88" s="364"/>
      <c r="R88" s="381"/>
      <c r="DU88" s="364"/>
      <c r="DV88" s="381"/>
    </row>
    <row r="89" spans="17:214" ht="3.6" customHeight="1">
      <c r="Q89" s="364"/>
      <c r="R89" s="381"/>
      <c r="DU89" s="364"/>
      <c r="DV89" s="381"/>
    </row>
    <row r="90" spans="17:214" ht="3.6" customHeight="1">
      <c r="Q90" s="364"/>
      <c r="R90" s="381"/>
      <c r="DU90" s="364"/>
      <c r="DV90" s="381"/>
    </row>
    <row r="91" spans="17:214" ht="3.6" customHeight="1">
      <c r="Q91" s="364"/>
      <c r="R91" s="381"/>
      <c r="DU91" s="364"/>
      <c r="DV91" s="381"/>
    </row>
    <row r="92" spans="17:214" ht="3.6" customHeight="1">
      <c r="Q92" s="364"/>
      <c r="R92" s="381"/>
      <c r="DU92" s="364"/>
      <c r="DV92" s="381"/>
    </row>
    <row r="93" spans="17:214" ht="3.6" customHeight="1">
      <c r="Q93" s="364"/>
      <c r="R93" s="381"/>
      <c r="DU93" s="364"/>
      <c r="DV93" s="381"/>
      <c r="ES93" s="2530" t="s">
        <v>3481</v>
      </c>
      <c r="ET93" s="2531"/>
      <c r="EU93" s="2531"/>
      <c r="EV93" s="2531"/>
      <c r="EY93" s="2553" t="s">
        <v>3452</v>
      </c>
      <c r="EZ93" s="2553"/>
      <c r="FA93" s="153"/>
      <c r="FJ93" s="2531" t="s">
        <v>3453</v>
      </c>
      <c r="FK93" s="2531"/>
      <c r="FL93" s="2531"/>
      <c r="FM93" s="2531"/>
      <c r="FN93" s="2531"/>
      <c r="GC93" s="2553" t="s">
        <v>3454</v>
      </c>
      <c r="GD93" s="2553"/>
      <c r="GE93" s="2553"/>
      <c r="GF93" s="2533" t="s">
        <v>3456</v>
      </c>
      <c r="GG93" s="2533"/>
      <c r="GH93" s="2533"/>
      <c r="GI93" s="2533"/>
      <c r="GJ93" s="2533"/>
      <c r="GK93" s="2530" t="s">
        <v>3456</v>
      </c>
      <c r="GL93" s="2531"/>
      <c r="GM93" s="2531"/>
      <c r="GN93" s="2531"/>
      <c r="GO93" s="2532"/>
      <c r="GP93" s="2530" t="s">
        <v>3482</v>
      </c>
      <c r="GQ93" s="2531"/>
      <c r="GR93" s="2531"/>
      <c r="GS93" s="2531"/>
      <c r="GT93" s="2532"/>
      <c r="GU93" s="2533" t="s">
        <v>3452</v>
      </c>
      <c r="GV93" s="2533"/>
      <c r="GW93" s="2533"/>
      <c r="GX93" s="2533" t="s">
        <v>3452</v>
      </c>
      <c r="GY93" s="2533"/>
      <c r="GZ93" s="2533"/>
    </row>
    <row r="94" spans="17:214" ht="3.6" customHeight="1">
      <c r="Q94" s="364"/>
      <c r="R94" s="381"/>
      <c r="DU94" s="364"/>
      <c r="DV94" s="381"/>
      <c r="ES94" s="2530"/>
      <c r="ET94" s="2531"/>
      <c r="EU94" s="2531"/>
      <c r="EV94" s="2531"/>
      <c r="EY94" s="2554"/>
      <c r="EZ94" s="2554"/>
      <c r="FA94" s="153"/>
      <c r="FJ94" s="2531"/>
      <c r="FK94" s="2531"/>
      <c r="FL94" s="2531"/>
      <c r="FM94" s="2531"/>
      <c r="FN94" s="2531"/>
      <c r="GC94" s="2554"/>
      <c r="GD94" s="2554"/>
      <c r="GE94" s="2554"/>
      <c r="GF94" s="2533"/>
      <c r="GG94" s="2533"/>
      <c r="GH94" s="2533"/>
      <c r="GI94" s="2533"/>
      <c r="GJ94" s="2533"/>
      <c r="GK94" s="2530"/>
      <c r="GL94" s="2531"/>
      <c r="GM94" s="2531"/>
      <c r="GN94" s="2531"/>
      <c r="GO94" s="2532"/>
      <c r="GP94" s="2530"/>
      <c r="GQ94" s="2531"/>
      <c r="GR94" s="2531"/>
      <c r="GS94" s="2531"/>
      <c r="GT94" s="2532"/>
      <c r="GU94" s="2533"/>
      <c r="GV94" s="2533"/>
      <c r="GW94" s="2533"/>
      <c r="GX94" s="2533"/>
      <c r="GY94" s="2533"/>
      <c r="GZ94" s="2533"/>
    </row>
    <row r="95" spans="17:214" ht="3.6" customHeight="1">
      <c r="Q95" s="364"/>
      <c r="R95" s="381"/>
      <c r="DU95" s="364"/>
      <c r="DV95" s="381"/>
      <c r="ES95" s="2530"/>
      <c r="ET95" s="2531"/>
      <c r="EU95" s="2531"/>
      <c r="EV95" s="2531"/>
      <c r="EY95" s="2554"/>
      <c r="EZ95" s="2554"/>
      <c r="FA95" s="153"/>
      <c r="FJ95" s="2531"/>
      <c r="FK95" s="2531"/>
      <c r="FL95" s="2531"/>
      <c r="FM95" s="2531"/>
      <c r="FN95" s="2531"/>
      <c r="GC95" s="2554"/>
      <c r="GD95" s="2554"/>
      <c r="GE95" s="2554"/>
      <c r="GF95" s="2533"/>
      <c r="GG95" s="2533"/>
      <c r="GH95" s="2533"/>
      <c r="GI95" s="2533"/>
      <c r="GJ95" s="2533"/>
      <c r="GK95" s="2530"/>
      <c r="GL95" s="2531"/>
      <c r="GM95" s="2531"/>
      <c r="GN95" s="2531"/>
      <c r="GO95" s="2532"/>
      <c r="GP95" s="2530"/>
      <c r="GQ95" s="2531"/>
      <c r="GR95" s="2531"/>
      <c r="GS95" s="2531"/>
      <c r="GT95" s="2532"/>
      <c r="GU95" s="2533"/>
      <c r="GV95" s="2533"/>
      <c r="GW95" s="2533"/>
      <c r="GX95" s="2533"/>
      <c r="GY95" s="2533"/>
      <c r="GZ95" s="2533"/>
    </row>
    <row r="96" spans="17:214" ht="3.6" customHeight="1">
      <c r="Q96" s="364"/>
      <c r="R96" s="381"/>
      <c r="DU96" s="364"/>
      <c r="DV96" s="381"/>
      <c r="ES96" s="2530"/>
      <c r="ET96" s="2531"/>
      <c r="EU96" s="2531"/>
      <c r="EV96" s="2531"/>
      <c r="EY96" s="2554"/>
      <c r="EZ96" s="2554"/>
      <c r="FA96" s="153"/>
      <c r="FJ96" s="2531"/>
      <c r="FK96" s="2531"/>
      <c r="FL96" s="2531"/>
      <c r="FM96" s="2531"/>
      <c r="FN96" s="2531"/>
      <c r="GC96" s="2554"/>
      <c r="GD96" s="2554"/>
      <c r="GE96" s="2554"/>
      <c r="GF96" s="2533"/>
      <c r="GG96" s="2533"/>
      <c r="GH96" s="2533"/>
      <c r="GI96" s="2533"/>
      <c r="GJ96" s="2533"/>
      <c r="GK96" s="2530"/>
      <c r="GL96" s="2531"/>
      <c r="GM96" s="2531"/>
      <c r="GN96" s="2531"/>
      <c r="GO96" s="2532"/>
      <c r="GP96" s="2530"/>
      <c r="GQ96" s="2531"/>
      <c r="GR96" s="2531"/>
      <c r="GS96" s="2531"/>
      <c r="GT96" s="2532"/>
      <c r="GU96" s="2533"/>
      <c r="GV96" s="2533"/>
      <c r="GW96" s="2533"/>
      <c r="GX96" s="2533"/>
      <c r="GY96" s="2533"/>
      <c r="GZ96" s="2533"/>
    </row>
    <row r="97" spans="7:213" ht="3.6" customHeight="1">
      <c r="Q97" s="364"/>
      <c r="R97" s="1484"/>
      <c r="S97" s="2544" t="s">
        <v>3483</v>
      </c>
      <c r="T97" s="2538"/>
      <c r="U97" s="2538"/>
      <c r="V97" s="2538"/>
      <c r="W97" s="2538"/>
      <c r="X97" s="2538"/>
      <c r="Y97" s="2538"/>
      <c r="Z97" s="2538"/>
      <c r="AA97" s="2538"/>
      <c r="AB97" s="2538"/>
      <c r="AC97" s="2538"/>
      <c r="AD97" s="2538"/>
      <c r="AE97" s="2538"/>
      <c r="AF97" s="2538"/>
      <c r="AG97" s="2538"/>
      <c r="AH97" s="2538"/>
      <c r="AI97" s="2538"/>
      <c r="AJ97" s="2538"/>
      <c r="AK97" s="2538"/>
      <c r="AL97" s="2538"/>
      <c r="AM97" s="2545"/>
      <c r="AN97" s="2546" t="s">
        <v>3484</v>
      </c>
      <c r="AO97" s="2538"/>
      <c r="AP97" s="2538"/>
      <c r="AQ97" s="2538"/>
      <c r="AR97" s="2538"/>
      <c r="AS97" s="2538"/>
      <c r="AT97" s="2538"/>
      <c r="AU97" s="2538"/>
      <c r="AV97" s="2538"/>
      <c r="AW97" s="2538"/>
      <c r="AX97" s="2538"/>
      <c r="AY97" s="2538"/>
      <c r="AZ97" s="2538"/>
      <c r="BA97" s="2538"/>
      <c r="BB97" s="2538"/>
      <c r="BC97" s="2538"/>
      <c r="BD97" s="2538"/>
      <c r="BE97" s="2538"/>
      <c r="BF97" s="2538"/>
      <c r="BG97" s="2538"/>
      <c r="BH97" s="2538"/>
      <c r="BI97" s="2538"/>
      <c r="BJ97" s="2538"/>
      <c r="BK97" s="2538"/>
      <c r="BL97" s="2538"/>
      <c r="BM97" s="2538"/>
      <c r="BN97" s="2538"/>
      <c r="BO97" s="2545"/>
      <c r="BP97" s="153"/>
      <c r="BT97" s="2538" t="s">
        <v>3484</v>
      </c>
      <c r="BU97" s="2538"/>
      <c r="BV97" s="2538"/>
      <c r="BW97" s="2538"/>
      <c r="BX97" s="2538"/>
      <c r="BY97" s="2538"/>
      <c r="BZ97" s="2538"/>
      <c r="CA97" s="2538"/>
      <c r="CB97" s="2538"/>
      <c r="CC97" s="2538"/>
      <c r="CD97" s="2538"/>
      <c r="CE97" s="2538"/>
      <c r="CF97" s="2538"/>
      <c r="CG97" s="2538"/>
      <c r="CH97" s="2538"/>
      <c r="CI97" s="2538"/>
      <c r="CJ97" s="2538"/>
      <c r="CK97" s="2538"/>
      <c r="CQ97" s="154"/>
      <c r="CR97" s="153"/>
      <c r="CY97" s="2538" t="s">
        <v>3457</v>
      </c>
      <c r="CZ97" s="2538"/>
      <c r="DA97" s="2538"/>
      <c r="DB97" s="2538"/>
      <c r="DC97" s="2538"/>
      <c r="DD97" s="2538"/>
      <c r="DE97" s="2538"/>
      <c r="DF97" s="2538"/>
      <c r="DG97" s="2538"/>
      <c r="DH97" s="2538"/>
      <c r="DI97" s="2538"/>
      <c r="DJ97" s="2538"/>
      <c r="DK97" s="2538"/>
      <c r="DL97" s="2538"/>
      <c r="DM97" s="2538"/>
      <c r="DN97" s="2538"/>
      <c r="DO97" s="2538"/>
      <c r="DP97" s="2538"/>
      <c r="DU97" s="364"/>
      <c r="DV97" s="381"/>
      <c r="ES97" s="2530"/>
      <c r="ET97" s="2531"/>
      <c r="EU97" s="2531"/>
      <c r="EV97" s="2531"/>
      <c r="EY97" s="2554"/>
      <c r="EZ97" s="2554"/>
      <c r="FA97" s="153"/>
      <c r="FJ97" s="2531"/>
      <c r="FK97" s="2531"/>
      <c r="FL97" s="2531"/>
      <c r="FM97" s="2531"/>
      <c r="FN97" s="2531"/>
      <c r="GC97" s="2554"/>
      <c r="GD97" s="2554"/>
      <c r="GE97" s="2554"/>
      <c r="GF97" s="2533"/>
      <c r="GG97" s="2533"/>
      <c r="GH97" s="2533"/>
      <c r="GI97" s="2533"/>
      <c r="GJ97" s="2533"/>
      <c r="GK97" s="2530"/>
      <c r="GL97" s="2531"/>
      <c r="GM97" s="2531"/>
      <c r="GN97" s="2531"/>
      <c r="GO97" s="2532"/>
      <c r="GP97" s="2530"/>
      <c r="GQ97" s="2531"/>
      <c r="GR97" s="2531"/>
      <c r="GS97" s="2531"/>
      <c r="GT97" s="2532"/>
      <c r="GU97" s="2533"/>
      <c r="GV97" s="2533"/>
      <c r="GW97" s="2533"/>
      <c r="GX97" s="2533"/>
      <c r="GY97" s="2533"/>
      <c r="GZ97" s="2533"/>
    </row>
    <row r="98" spans="7:213" ht="3.6" customHeight="1">
      <c r="Q98" s="364"/>
      <c r="R98" s="1484"/>
      <c r="S98" s="2544"/>
      <c r="T98" s="2538"/>
      <c r="U98" s="2538"/>
      <c r="V98" s="2538"/>
      <c r="W98" s="2538"/>
      <c r="X98" s="2538"/>
      <c r="Y98" s="2538"/>
      <c r="Z98" s="2538"/>
      <c r="AA98" s="2538"/>
      <c r="AB98" s="2538"/>
      <c r="AC98" s="2538"/>
      <c r="AD98" s="2538"/>
      <c r="AE98" s="2538"/>
      <c r="AF98" s="2538"/>
      <c r="AG98" s="2538"/>
      <c r="AH98" s="2538"/>
      <c r="AI98" s="2538"/>
      <c r="AJ98" s="2538"/>
      <c r="AK98" s="2538"/>
      <c r="AL98" s="2538"/>
      <c r="AM98" s="2545"/>
      <c r="AN98" s="2546"/>
      <c r="AO98" s="2538"/>
      <c r="AP98" s="2538"/>
      <c r="AQ98" s="2538"/>
      <c r="AR98" s="2538"/>
      <c r="AS98" s="2538"/>
      <c r="AT98" s="2538"/>
      <c r="AU98" s="2538"/>
      <c r="AV98" s="2538"/>
      <c r="AW98" s="2538"/>
      <c r="AX98" s="2538"/>
      <c r="AY98" s="2538"/>
      <c r="AZ98" s="2538"/>
      <c r="BA98" s="2538"/>
      <c r="BB98" s="2538"/>
      <c r="BC98" s="2538"/>
      <c r="BD98" s="2538"/>
      <c r="BE98" s="2538"/>
      <c r="BF98" s="2538"/>
      <c r="BG98" s="2538"/>
      <c r="BH98" s="2538"/>
      <c r="BI98" s="2538"/>
      <c r="BJ98" s="2538"/>
      <c r="BK98" s="2538"/>
      <c r="BL98" s="2538"/>
      <c r="BM98" s="2538"/>
      <c r="BN98" s="2538"/>
      <c r="BO98" s="2545"/>
      <c r="BP98" s="153"/>
      <c r="BT98" s="2538"/>
      <c r="BU98" s="2538"/>
      <c r="BV98" s="2538"/>
      <c r="BW98" s="2538"/>
      <c r="BX98" s="2538"/>
      <c r="BY98" s="2538"/>
      <c r="BZ98" s="2538"/>
      <c r="CA98" s="2538"/>
      <c r="CB98" s="2538"/>
      <c r="CC98" s="2538"/>
      <c r="CD98" s="2538"/>
      <c r="CE98" s="2538"/>
      <c r="CF98" s="2538"/>
      <c r="CG98" s="2538"/>
      <c r="CH98" s="2538"/>
      <c r="CI98" s="2538"/>
      <c r="CJ98" s="2538"/>
      <c r="CK98" s="2538"/>
      <c r="CQ98" s="154"/>
      <c r="CR98" s="153"/>
      <c r="CY98" s="2538"/>
      <c r="CZ98" s="2538"/>
      <c r="DA98" s="2538"/>
      <c r="DB98" s="2538"/>
      <c r="DC98" s="2538"/>
      <c r="DD98" s="2538"/>
      <c r="DE98" s="2538"/>
      <c r="DF98" s="2538"/>
      <c r="DG98" s="2538"/>
      <c r="DH98" s="2538"/>
      <c r="DI98" s="2538"/>
      <c r="DJ98" s="2538"/>
      <c r="DK98" s="2538"/>
      <c r="DL98" s="2538"/>
      <c r="DM98" s="2538"/>
      <c r="DN98" s="2538"/>
      <c r="DO98" s="2538"/>
      <c r="DP98" s="2538"/>
      <c r="DU98" s="364"/>
      <c r="DV98" s="381"/>
      <c r="ES98" s="2530"/>
      <c r="ET98" s="2531"/>
      <c r="EU98" s="2531"/>
      <c r="EV98" s="2531"/>
      <c r="EY98" s="2554"/>
      <c r="EZ98" s="2554"/>
      <c r="FA98" s="153"/>
      <c r="FJ98" s="2531"/>
      <c r="FK98" s="2531"/>
      <c r="FL98" s="2531"/>
      <c r="FM98" s="2531"/>
      <c r="FN98" s="2531"/>
      <c r="GC98" s="2554"/>
      <c r="GD98" s="2554"/>
      <c r="GE98" s="2554"/>
      <c r="GF98" s="2533"/>
      <c r="GG98" s="2533"/>
      <c r="GH98" s="2533"/>
      <c r="GI98" s="2533"/>
      <c r="GJ98" s="2533"/>
      <c r="GK98" s="2530"/>
      <c r="GL98" s="2531"/>
      <c r="GM98" s="2531"/>
      <c r="GN98" s="2531"/>
      <c r="GO98" s="2532"/>
      <c r="GP98" s="2530"/>
      <c r="GQ98" s="2531"/>
      <c r="GR98" s="2531"/>
      <c r="GS98" s="2531"/>
      <c r="GT98" s="2532"/>
      <c r="GU98" s="2533"/>
      <c r="GV98" s="2533"/>
      <c r="GW98" s="2533"/>
      <c r="GX98" s="2533"/>
      <c r="GY98" s="2533"/>
      <c r="GZ98" s="2533"/>
    </row>
    <row r="99" spans="7:213" ht="3.6" customHeight="1">
      <c r="Q99" s="364"/>
      <c r="R99" s="1484"/>
      <c r="S99" s="2544"/>
      <c r="T99" s="2538"/>
      <c r="U99" s="2538"/>
      <c r="V99" s="2538"/>
      <c r="W99" s="2538"/>
      <c r="X99" s="2538"/>
      <c r="Y99" s="2538"/>
      <c r="Z99" s="2538"/>
      <c r="AA99" s="2538"/>
      <c r="AB99" s="2538"/>
      <c r="AC99" s="2538"/>
      <c r="AD99" s="2538"/>
      <c r="AE99" s="2538"/>
      <c r="AF99" s="2538"/>
      <c r="AG99" s="2538"/>
      <c r="AH99" s="2538"/>
      <c r="AI99" s="2538"/>
      <c r="AJ99" s="2538"/>
      <c r="AK99" s="2538"/>
      <c r="AL99" s="2538"/>
      <c r="AM99" s="2545"/>
      <c r="AN99" s="2546"/>
      <c r="AO99" s="2538"/>
      <c r="AP99" s="2538"/>
      <c r="AQ99" s="2538"/>
      <c r="AR99" s="2538"/>
      <c r="AS99" s="2538"/>
      <c r="AT99" s="2538"/>
      <c r="AU99" s="2538"/>
      <c r="AV99" s="2538"/>
      <c r="AW99" s="2538"/>
      <c r="AX99" s="2538"/>
      <c r="AY99" s="2538"/>
      <c r="AZ99" s="2538"/>
      <c r="BA99" s="2538"/>
      <c r="BB99" s="2538"/>
      <c r="BC99" s="2538"/>
      <c r="BD99" s="2538"/>
      <c r="BE99" s="2538"/>
      <c r="BF99" s="2538"/>
      <c r="BG99" s="2538"/>
      <c r="BH99" s="2538"/>
      <c r="BI99" s="2538"/>
      <c r="BJ99" s="2538"/>
      <c r="BK99" s="2538"/>
      <c r="BL99" s="2538"/>
      <c r="BM99" s="2538"/>
      <c r="BN99" s="2538"/>
      <c r="BO99" s="2545"/>
      <c r="BP99" s="153"/>
      <c r="BT99" s="2538"/>
      <c r="BU99" s="2538"/>
      <c r="BV99" s="2538"/>
      <c r="BW99" s="2538"/>
      <c r="BX99" s="2538"/>
      <c r="BY99" s="2538"/>
      <c r="BZ99" s="2538"/>
      <c r="CA99" s="2538"/>
      <c r="CB99" s="2538"/>
      <c r="CC99" s="2538"/>
      <c r="CD99" s="2538"/>
      <c r="CE99" s="2538"/>
      <c r="CF99" s="2538"/>
      <c r="CG99" s="2538"/>
      <c r="CH99" s="2538"/>
      <c r="CI99" s="2538"/>
      <c r="CJ99" s="2538"/>
      <c r="CK99" s="2538"/>
      <c r="CQ99" s="154"/>
      <c r="CR99" s="153"/>
      <c r="CY99" s="2538"/>
      <c r="CZ99" s="2538"/>
      <c r="DA99" s="2538"/>
      <c r="DB99" s="2538"/>
      <c r="DC99" s="2538"/>
      <c r="DD99" s="2538"/>
      <c r="DE99" s="2538"/>
      <c r="DF99" s="2538"/>
      <c r="DG99" s="2538"/>
      <c r="DH99" s="2538"/>
      <c r="DI99" s="2538"/>
      <c r="DJ99" s="2538"/>
      <c r="DK99" s="2538"/>
      <c r="DL99" s="2538"/>
      <c r="DM99" s="2538"/>
      <c r="DN99" s="2538"/>
      <c r="DO99" s="2538"/>
      <c r="DP99" s="2538"/>
      <c r="DU99" s="364"/>
      <c r="DV99" s="381"/>
      <c r="ES99" s="2530"/>
      <c r="ET99" s="2531"/>
      <c r="EU99" s="2531"/>
      <c r="EV99" s="2531"/>
      <c r="EY99" s="2554"/>
      <c r="EZ99" s="2554"/>
      <c r="FA99" s="153"/>
      <c r="FJ99" s="2531"/>
      <c r="FK99" s="2531"/>
      <c r="FL99" s="2531"/>
      <c r="FM99" s="2531"/>
      <c r="FN99" s="2531"/>
      <c r="GC99" s="2554"/>
      <c r="GD99" s="2554"/>
      <c r="GE99" s="2554"/>
      <c r="GF99" s="2533"/>
      <c r="GG99" s="2533"/>
      <c r="GH99" s="2533"/>
      <c r="GI99" s="2533"/>
      <c r="GJ99" s="2533"/>
      <c r="GK99" s="2530"/>
      <c r="GL99" s="2531"/>
      <c r="GM99" s="2531"/>
      <c r="GN99" s="2531"/>
      <c r="GO99" s="2532"/>
      <c r="GP99" s="2530"/>
      <c r="GQ99" s="2531"/>
      <c r="GR99" s="2531"/>
      <c r="GS99" s="2531"/>
      <c r="GT99" s="2532"/>
      <c r="GU99" s="2533"/>
      <c r="GV99" s="2533"/>
      <c r="GW99" s="2533"/>
      <c r="GX99" s="2533"/>
      <c r="GY99" s="2533"/>
      <c r="GZ99" s="2533"/>
    </row>
    <row r="100" spans="7:213" ht="3.6" customHeight="1">
      <c r="Q100" s="364"/>
      <c r="R100" s="1484"/>
      <c r="S100" s="2544"/>
      <c r="T100" s="2538"/>
      <c r="U100" s="2538"/>
      <c r="V100" s="2538"/>
      <c r="W100" s="2538"/>
      <c r="X100" s="2538"/>
      <c r="Y100" s="2538"/>
      <c r="Z100" s="2538"/>
      <c r="AA100" s="2538"/>
      <c r="AB100" s="2538"/>
      <c r="AC100" s="2538"/>
      <c r="AD100" s="2538"/>
      <c r="AE100" s="2538"/>
      <c r="AF100" s="2538"/>
      <c r="AG100" s="2538"/>
      <c r="AH100" s="2538"/>
      <c r="AI100" s="2538"/>
      <c r="AJ100" s="2538"/>
      <c r="AK100" s="2538"/>
      <c r="AL100" s="2538"/>
      <c r="AM100" s="2545"/>
      <c r="AN100" s="2546"/>
      <c r="AO100" s="2538"/>
      <c r="AP100" s="2538"/>
      <c r="AQ100" s="2538"/>
      <c r="AR100" s="2538"/>
      <c r="AS100" s="2538"/>
      <c r="AT100" s="2538"/>
      <c r="AU100" s="2538"/>
      <c r="AV100" s="2538"/>
      <c r="AW100" s="2538"/>
      <c r="AX100" s="2538"/>
      <c r="AY100" s="2538"/>
      <c r="AZ100" s="2538"/>
      <c r="BA100" s="2538"/>
      <c r="BB100" s="2538"/>
      <c r="BC100" s="2538"/>
      <c r="BD100" s="2538"/>
      <c r="BE100" s="2538"/>
      <c r="BF100" s="2538"/>
      <c r="BG100" s="2538"/>
      <c r="BH100" s="2538"/>
      <c r="BI100" s="2538"/>
      <c r="BJ100" s="2538"/>
      <c r="BK100" s="2538"/>
      <c r="BL100" s="2538"/>
      <c r="BM100" s="2538"/>
      <c r="BN100" s="2538"/>
      <c r="BO100" s="2545"/>
      <c r="BP100" s="153"/>
      <c r="BT100" s="2538"/>
      <c r="BU100" s="2538"/>
      <c r="BV100" s="2538"/>
      <c r="BW100" s="2538"/>
      <c r="BX100" s="2538"/>
      <c r="BY100" s="2538"/>
      <c r="BZ100" s="2538"/>
      <c r="CA100" s="2538"/>
      <c r="CB100" s="2538"/>
      <c r="CC100" s="2538"/>
      <c r="CD100" s="2538"/>
      <c r="CE100" s="2538"/>
      <c r="CF100" s="2538"/>
      <c r="CG100" s="2538"/>
      <c r="CH100" s="2538"/>
      <c r="CI100" s="2538"/>
      <c r="CJ100" s="2538"/>
      <c r="CK100" s="2538"/>
      <c r="CQ100" s="154"/>
      <c r="CR100" s="153"/>
      <c r="CY100" s="2538"/>
      <c r="CZ100" s="2538"/>
      <c r="DA100" s="2538"/>
      <c r="DB100" s="2538"/>
      <c r="DC100" s="2538"/>
      <c r="DD100" s="2538"/>
      <c r="DE100" s="2538"/>
      <c r="DF100" s="2538"/>
      <c r="DG100" s="2538"/>
      <c r="DH100" s="2538"/>
      <c r="DI100" s="2538"/>
      <c r="DJ100" s="2538"/>
      <c r="DK100" s="2538"/>
      <c r="DL100" s="2538"/>
      <c r="DM100" s="2538"/>
      <c r="DN100" s="2538"/>
      <c r="DO100" s="2538"/>
      <c r="DP100" s="2538"/>
      <c r="DU100" s="364"/>
      <c r="DV100" s="381"/>
      <c r="ES100" s="2530"/>
      <c r="ET100" s="2531"/>
      <c r="EU100" s="2531"/>
      <c r="EV100" s="2531"/>
      <c r="EY100" s="2554"/>
      <c r="EZ100" s="2554"/>
      <c r="FA100" s="153"/>
      <c r="FJ100" s="2531"/>
      <c r="FK100" s="2531"/>
      <c r="FL100" s="2531"/>
      <c r="FM100" s="2531"/>
      <c r="FN100" s="2531"/>
      <c r="GC100" s="2554"/>
      <c r="GD100" s="2554"/>
      <c r="GE100" s="2554"/>
      <c r="GF100" s="2533"/>
      <c r="GG100" s="2533"/>
      <c r="GH100" s="2533"/>
      <c r="GI100" s="2533"/>
      <c r="GJ100" s="2533"/>
      <c r="GK100" s="2530"/>
      <c r="GL100" s="2531"/>
      <c r="GM100" s="2531"/>
      <c r="GN100" s="2531"/>
      <c r="GO100" s="2532"/>
      <c r="GP100" s="2530"/>
      <c r="GQ100" s="2531"/>
      <c r="GR100" s="2531"/>
      <c r="GS100" s="2531"/>
      <c r="GT100" s="2532"/>
      <c r="GU100" s="2533"/>
      <c r="GV100" s="2533"/>
      <c r="GW100" s="2533"/>
      <c r="GX100" s="2533"/>
      <c r="GY100" s="2533"/>
      <c r="GZ100" s="2533"/>
    </row>
    <row r="101" spans="7:213" ht="3.6" customHeight="1">
      <c r="Q101" s="364"/>
      <c r="R101" s="381"/>
      <c r="DU101" s="364"/>
      <c r="DV101" s="381"/>
      <c r="ES101" s="2530"/>
      <c r="ET101" s="2531"/>
      <c r="EU101" s="2531"/>
      <c r="EV101" s="2531"/>
      <c r="EY101" s="2554"/>
      <c r="EZ101" s="2554"/>
      <c r="FA101" s="153"/>
      <c r="FJ101" s="2531"/>
      <c r="FK101" s="2531"/>
      <c r="FL101" s="2531"/>
      <c r="FM101" s="2531"/>
      <c r="FN101" s="2531"/>
      <c r="GC101" s="2554"/>
      <c r="GD101" s="2554"/>
      <c r="GE101" s="2554"/>
      <c r="GF101" s="2533"/>
      <c r="GG101" s="2533"/>
      <c r="GH101" s="2533"/>
      <c r="GI101" s="2533"/>
      <c r="GJ101" s="2533"/>
      <c r="GK101" s="2530"/>
      <c r="GL101" s="2531"/>
      <c r="GM101" s="2531"/>
      <c r="GN101" s="2531"/>
      <c r="GO101" s="2532"/>
      <c r="GP101" s="2530"/>
      <c r="GQ101" s="2531"/>
      <c r="GR101" s="2531"/>
      <c r="GS101" s="2531"/>
      <c r="GT101" s="2532"/>
      <c r="GU101" s="2533"/>
      <c r="GV101" s="2533"/>
      <c r="GW101" s="2533"/>
      <c r="GX101" s="2533"/>
      <c r="GY101" s="2533"/>
      <c r="GZ101" s="2533"/>
    </row>
    <row r="102" spans="7:213" ht="3.6" customHeight="1">
      <c r="Q102" s="364"/>
      <c r="R102" s="381"/>
      <c r="DU102" s="364"/>
      <c r="DV102" s="381"/>
      <c r="ES102" s="2530"/>
      <c r="ET102" s="2531"/>
      <c r="EU102" s="2531"/>
      <c r="EV102" s="2531"/>
      <c r="EY102" s="2554"/>
      <c r="EZ102" s="2554"/>
      <c r="FA102" s="153"/>
      <c r="FJ102" s="2531"/>
      <c r="FK102" s="2531"/>
      <c r="FL102" s="2531"/>
      <c r="FM102" s="2531"/>
      <c r="FN102" s="2531"/>
      <c r="GC102" s="2554"/>
      <c r="GD102" s="2554"/>
      <c r="GE102" s="2554"/>
      <c r="GF102" s="2533"/>
      <c r="GG102" s="2533"/>
      <c r="GH102" s="2533"/>
      <c r="GI102" s="2533"/>
      <c r="GJ102" s="2533"/>
      <c r="GK102" s="2530"/>
      <c r="GL102" s="2531"/>
      <c r="GM102" s="2531"/>
      <c r="GN102" s="2531"/>
      <c r="GO102" s="2532"/>
      <c r="GP102" s="2530"/>
      <c r="GQ102" s="2531"/>
      <c r="GR102" s="2531"/>
      <c r="GS102" s="2531"/>
      <c r="GT102" s="2532"/>
      <c r="GU102" s="2533"/>
      <c r="GV102" s="2533"/>
      <c r="GW102" s="2533"/>
      <c r="GX102" s="2533"/>
      <c r="GY102" s="2533"/>
      <c r="GZ102" s="2533"/>
    </row>
    <row r="103" spans="7:213" ht="3.6" customHeight="1">
      <c r="Q103" s="364"/>
      <c r="R103" s="381"/>
      <c r="DU103" s="1463"/>
      <c r="DV103" s="365"/>
      <c r="ES103" s="2530"/>
      <c r="ET103" s="2531"/>
      <c r="EU103" s="2531"/>
      <c r="EV103" s="2531"/>
      <c r="EY103" s="2555"/>
      <c r="EZ103" s="2555"/>
      <c r="FA103" s="153"/>
      <c r="FJ103" s="2531"/>
      <c r="FK103" s="2531"/>
      <c r="FL103" s="2531"/>
      <c r="FM103" s="2531"/>
      <c r="FN103" s="2531"/>
      <c r="GC103" s="2555"/>
      <c r="GD103" s="2555"/>
      <c r="GE103" s="2555"/>
      <c r="GF103" s="2533"/>
      <c r="GG103" s="2533"/>
      <c r="GH103" s="2533"/>
      <c r="GI103" s="2533"/>
      <c r="GJ103" s="2533"/>
      <c r="GK103" s="2530"/>
      <c r="GL103" s="2531"/>
      <c r="GM103" s="2531"/>
      <c r="GN103" s="2531"/>
      <c r="GO103" s="2532"/>
      <c r="GP103" s="2530"/>
      <c r="GQ103" s="2531"/>
      <c r="GR103" s="2531"/>
      <c r="GS103" s="2531"/>
      <c r="GT103" s="2532"/>
      <c r="GU103" s="141"/>
      <c r="GV103" s="141"/>
      <c r="GW103" s="141"/>
      <c r="GX103" s="141"/>
      <c r="GY103" s="141"/>
      <c r="GZ103" s="141"/>
    </row>
    <row r="104" spans="7:213" ht="3.6" customHeight="1">
      <c r="Q104" s="364"/>
      <c r="R104" s="381"/>
      <c r="DU104" s="1463"/>
      <c r="DV104" s="365"/>
      <c r="FA104" s="153"/>
      <c r="FJ104" s="2531"/>
      <c r="FK104" s="2531"/>
      <c r="FL104" s="2531"/>
      <c r="FM104" s="2531"/>
      <c r="FN104" s="2531"/>
      <c r="GF104" s="142"/>
      <c r="GG104" s="142"/>
      <c r="GH104" s="142"/>
      <c r="GI104" s="142"/>
      <c r="GJ104" s="142"/>
      <c r="GK104" s="2530"/>
      <c r="GL104" s="2531"/>
      <c r="GM104" s="2531"/>
      <c r="GN104" s="2531"/>
      <c r="GO104" s="2532"/>
      <c r="GP104" s="2530"/>
      <c r="GQ104" s="2531"/>
      <c r="GR104" s="2531"/>
      <c r="GS104" s="2531"/>
      <c r="GT104" s="2532"/>
      <c r="GU104" s="2547" t="s">
        <v>3163</v>
      </c>
      <c r="GV104" s="2548"/>
      <c r="GW104" s="2549"/>
      <c r="GX104" s="2547" t="s">
        <v>419</v>
      </c>
      <c r="GY104" s="2548"/>
      <c r="GZ104" s="2549"/>
      <c r="HB104" s="2527" t="s">
        <v>3463</v>
      </c>
      <c r="HC104" s="2527"/>
      <c r="HD104" s="2527"/>
      <c r="HE104" s="2527"/>
    </row>
    <row r="105" spans="7:213" ht="3.6" customHeight="1">
      <c r="Q105" s="364"/>
      <c r="R105" s="381"/>
      <c r="AM105" s="374"/>
      <c r="AN105" s="180"/>
      <c r="AO105" s="180"/>
      <c r="AP105" s="180"/>
      <c r="AQ105" s="150"/>
      <c r="AR105" s="151"/>
      <c r="AS105" s="151"/>
      <c r="AT105" s="151"/>
      <c r="AU105" s="151"/>
      <c r="AV105" s="151"/>
      <c r="AW105" s="151"/>
      <c r="AX105" s="151"/>
      <c r="AY105" s="151"/>
      <c r="AZ105" s="151"/>
      <c r="BA105" s="151"/>
      <c r="BB105" s="151"/>
      <c r="BC105" s="162"/>
      <c r="BD105" s="180"/>
      <c r="BE105" s="180"/>
      <c r="BF105" s="180"/>
      <c r="BG105" s="369"/>
      <c r="BS105" s="374"/>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369"/>
      <c r="CZ105" s="374"/>
      <c r="DA105" s="180"/>
      <c r="DB105" s="180"/>
      <c r="DC105" s="180"/>
      <c r="DD105" s="180"/>
      <c r="DE105" s="180"/>
      <c r="DF105" s="180"/>
      <c r="DG105" s="180"/>
      <c r="DH105" s="180"/>
      <c r="DI105" s="180"/>
      <c r="DJ105" s="180"/>
      <c r="DK105" s="180"/>
      <c r="DL105" s="180"/>
      <c r="DM105" s="369"/>
      <c r="DU105" s="1463"/>
      <c r="DV105" s="365"/>
      <c r="EZ105" s="1464"/>
      <c r="GF105" s="142"/>
      <c r="GG105" s="142"/>
      <c r="GH105" s="142"/>
      <c r="GI105" s="142"/>
      <c r="GJ105" s="142"/>
      <c r="GK105" s="142"/>
      <c r="GL105" s="142"/>
      <c r="GM105" s="142"/>
      <c r="GN105" s="142"/>
      <c r="GO105" s="142"/>
      <c r="GU105" s="2530"/>
      <c r="GV105" s="2531"/>
      <c r="GW105" s="2532"/>
      <c r="GX105" s="2530"/>
      <c r="GY105" s="2531"/>
      <c r="GZ105" s="2532"/>
      <c r="HB105" s="2528"/>
      <c r="HC105" s="2528"/>
      <c r="HD105" s="2528"/>
      <c r="HE105" s="2528"/>
    </row>
    <row r="106" spans="7:213" ht="3.6" customHeight="1">
      <c r="Q106" s="364"/>
      <c r="R106" s="381"/>
      <c r="AM106" s="364"/>
      <c r="AQ106" s="156"/>
      <c r="AR106" s="41"/>
      <c r="AS106" s="41"/>
      <c r="AT106" s="41"/>
      <c r="AU106" s="41"/>
      <c r="AV106" s="41"/>
      <c r="AW106" s="41"/>
      <c r="AX106" s="41"/>
      <c r="AY106" s="41"/>
      <c r="AZ106" s="41"/>
      <c r="BA106" s="41"/>
      <c r="BB106" s="41"/>
      <c r="BC106" s="159"/>
      <c r="BG106" s="365"/>
      <c r="BS106" s="364"/>
      <c r="CA106" s="2543" t="s">
        <v>1952</v>
      </c>
      <c r="CB106" s="2543"/>
      <c r="CC106" s="2543"/>
      <c r="CD106" s="2543"/>
      <c r="CE106" s="2543"/>
      <c r="CF106" s="2543"/>
      <c r="CN106" s="365"/>
      <c r="CZ106" s="364"/>
      <c r="DD106" s="2543" t="s">
        <v>1953</v>
      </c>
      <c r="DE106" s="2543"/>
      <c r="DF106" s="2543"/>
      <c r="DG106" s="2543"/>
      <c r="DH106" s="2543"/>
      <c r="DI106" s="2543"/>
      <c r="DM106" s="365"/>
      <c r="DU106" s="1463"/>
      <c r="DV106" s="365"/>
      <c r="EZ106" s="1465"/>
      <c r="FA106" s="153"/>
      <c r="GF106" s="142"/>
      <c r="GG106" s="142"/>
      <c r="GH106" s="142"/>
      <c r="GI106" s="142"/>
      <c r="GJ106" s="142"/>
      <c r="GK106" s="141"/>
      <c r="GL106" s="141"/>
      <c r="GM106" s="141"/>
      <c r="GN106" s="141"/>
      <c r="GO106" s="141"/>
      <c r="GP106" s="2547" t="s">
        <v>3458</v>
      </c>
      <c r="GQ106" s="2548"/>
      <c r="GR106" s="2548"/>
      <c r="GS106" s="2548"/>
      <c r="GT106" s="2549"/>
      <c r="GU106" s="2530"/>
      <c r="GV106" s="2531"/>
      <c r="GW106" s="2532"/>
      <c r="GX106" s="2530"/>
      <c r="GY106" s="2531"/>
      <c r="GZ106" s="2532"/>
      <c r="HB106" s="2528"/>
      <c r="HC106" s="2528"/>
      <c r="HD106" s="2528"/>
      <c r="HE106" s="2528"/>
    </row>
    <row r="107" spans="7:213" ht="3.6" customHeight="1">
      <c r="Q107" s="364"/>
      <c r="R107" s="381"/>
      <c r="AM107" s="364"/>
      <c r="AQ107" s="150"/>
      <c r="AR107" s="151"/>
      <c r="AS107" s="151"/>
      <c r="AT107" s="151"/>
      <c r="AU107" s="151"/>
      <c r="AV107" s="151"/>
      <c r="AW107" s="151"/>
      <c r="AX107" s="151"/>
      <c r="AY107" s="151"/>
      <c r="AZ107" s="151"/>
      <c r="BA107" s="151"/>
      <c r="BB107" s="151"/>
      <c r="BC107" s="162"/>
      <c r="BG107" s="365"/>
      <c r="BS107" s="364"/>
      <c r="CA107" s="2543"/>
      <c r="CB107" s="2543"/>
      <c r="CC107" s="2543"/>
      <c r="CD107" s="2543"/>
      <c r="CE107" s="2543"/>
      <c r="CF107" s="2543"/>
      <c r="CN107" s="365"/>
      <c r="CZ107" s="364"/>
      <c r="DD107" s="2543"/>
      <c r="DE107" s="2543"/>
      <c r="DF107" s="2543"/>
      <c r="DG107" s="2543"/>
      <c r="DH107" s="2543"/>
      <c r="DI107" s="2543"/>
      <c r="DM107" s="365"/>
      <c r="DU107" s="364"/>
      <c r="DV107" s="381"/>
      <c r="EZ107" s="1465"/>
      <c r="FA107" s="153"/>
      <c r="GF107" s="142"/>
      <c r="GG107" s="142"/>
      <c r="GH107" s="142"/>
      <c r="GI107" s="142"/>
      <c r="GJ107" s="142"/>
      <c r="GK107" s="141"/>
      <c r="GL107" s="141"/>
      <c r="GM107" s="141"/>
      <c r="GN107" s="141"/>
      <c r="GO107" s="141"/>
      <c r="GP107" s="2530"/>
      <c r="GQ107" s="2531"/>
      <c r="GR107" s="2531"/>
      <c r="GS107" s="2531"/>
      <c r="GT107" s="2532"/>
      <c r="GU107" s="2530"/>
      <c r="GV107" s="2531"/>
      <c r="GW107" s="2532"/>
      <c r="GX107" s="2530"/>
      <c r="GY107" s="2531"/>
      <c r="GZ107" s="2532"/>
      <c r="HB107" s="2528"/>
      <c r="HC107" s="2528"/>
      <c r="HD107" s="2528"/>
      <c r="HE107" s="2528"/>
    </row>
    <row r="108" spans="7:213" ht="3.6" customHeight="1">
      <c r="Q108" s="364"/>
      <c r="R108" s="381"/>
      <c r="AM108" s="364"/>
      <c r="AQ108" s="156"/>
      <c r="AR108" s="41"/>
      <c r="AS108" s="41"/>
      <c r="AT108" s="41"/>
      <c r="AU108" s="41"/>
      <c r="AV108" s="41"/>
      <c r="AW108" s="41"/>
      <c r="AX108" s="41"/>
      <c r="AY108" s="41"/>
      <c r="AZ108" s="41"/>
      <c r="BA108" s="41"/>
      <c r="BB108" s="41"/>
      <c r="BC108" s="159"/>
      <c r="BG108" s="365"/>
      <c r="BS108" s="364"/>
      <c r="CA108" s="2543"/>
      <c r="CB108" s="2543"/>
      <c r="CC108" s="2543"/>
      <c r="CD108" s="2543"/>
      <c r="CE108" s="2543"/>
      <c r="CF108" s="2543"/>
      <c r="CN108" s="365"/>
      <c r="CZ108" s="364"/>
      <c r="DD108" s="2543"/>
      <c r="DE108" s="2543"/>
      <c r="DF108" s="2543"/>
      <c r="DG108" s="2543"/>
      <c r="DH108" s="2543"/>
      <c r="DI108" s="2543"/>
      <c r="DM108" s="365"/>
      <c r="DU108" s="364"/>
      <c r="DV108" s="381"/>
      <c r="EZ108" s="1465"/>
      <c r="FA108" s="153"/>
      <c r="GF108" s="142"/>
      <c r="GG108" s="142"/>
      <c r="GH108" s="142"/>
      <c r="GI108" s="142"/>
      <c r="GJ108" s="142"/>
      <c r="GK108" s="2547" t="s">
        <v>3455</v>
      </c>
      <c r="GL108" s="2548"/>
      <c r="GM108" s="2548"/>
      <c r="GN108" s="2548"/>
      <c r="GO108" s="2548"/>
      <c r="GP108" s="2530"/>
      <c r="GQ108" s="2531"/>
      <c r="GR108" s="2531"/>
      <c r="GS108" s="2531"/>
      <c r="GT108" s="2532"/>
      <c r="GU108" s="2530"/>
      <c r="GV108" s="2531"/>
      <c r="GW108" s="2532"/>
      <c r="GX108" s="2530"/>
      <c r="GY108" s="2531"/>
      <c r="GZ108" s="2532"/>
      <c r="HB108" s="2528"/>
      <c r="HC108" s="2528"/>
      <c r="HD108" s="2528"/>
      <c r="HE108" s="2528"/>
    </row>
    <row r="109" spans="7:213" ht="3.6" customHeight="1">
      <c r="Q109" s="364"/>
      <c r="R109" s="381"/>
      <c r="AM109" s="364"/>
      <c r="AQ109" s="150"/>
      <c r="AR109" s="151"/>
      <c r="AS109" s="151"/>
      <c r="AT109" s="151"/>
      <c r="AU109" s="151"/>
      <c r="AV109" s="151"/>
      <c r="AW109" s="151"/>
      <c r="AX109" s="151"/>
      <c r="AY109" s="151"/>
      <c r="AZ109" s="151"/>
      <c r="BA109" s="151"/>
      <c r="BB109" s="151"/>
      <c r="BC109" s="162"/>
      <c r="BG109" s="365"/>
      <c r="BS109" s="364"/>
      <c r="CA109" s="2543"/>
      <c r="CB109" s="2543"/>
      <c r="CC109" s="2543"/>
      <c r="CD109" s="2543"/>
      <c r="CE109" s="2543"/>
      <c r="CF109" s="2543"/>
      <c r="CN109" s="365"/>
      <c r="CZ109" s="364"/>
      <c r="DD109" s="2543"/>
      <c r="DE109" s="2543"/>
      <c r="DF109" s="2543"/>
      <c r="DG109" s="2543"/>
      <c r="DH109" s="2543"/>
      <c r="DI109" s="2543"/>
      <c r="DM109" s="365"/>
      <c r="DU109" s="364"/>
      <c r="DV109" s="381"/>
      <c r="EZ109" s="1465"/>
      <c r="FA109" s="153"/>
      <c r="GF109" s="142"/>
      <c r="GG109" s="142"/>
      <c r="GH109" s="142"/>
      <c r="GI109" s="142"/>
      <c r="GJ109" s="142"/>
      <c r="GK109" s="2530"/>
      <c r="GL109" s="2531"/>
      <c r="GM109" s="2531"/>
      <c r="GN109" s="2531"/>
      <c r="GO109" s="2531"/>
      <c r="GP109" s="2530"/>
      <c r="GQ109" s="2531"/>
      <c r="GR109" s="2531"/>
      <c r="GS109" s="2531"/>
      <c r="GT109" s="2532"/>
      <c r="GU109" s="2530"/>
      <c r="GV109" s="2531"/>
      <c r="GW109" s="2532"/>
      <c r="GX109" s="2530"/>
      <c r="GY109" s="2531"/>
      <c r="GZ109" s="2532"/>
      <c r="HB109" s="2528"/>
      <c r="HC109" s="2528"/>
      <c r="HD109" s="2528"/>
      <c r="HE109" s="2528"/>
    </row>
    <row r="110" spans="7:213" ht="3.6" customHeight="1">
      <c r="P110" s="150"/>
      <c r="Q110" s="372"/>
      <c r="R110" s="1485"/>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479"/>
      <c r="AN110" s="360"/>
      <c r="AO110" s="360"/>
      <c r="AP110" s="360"/>
      <c r="AQ110" s="156"/>
      <c r="AR110" s="41"/>
      <c r="AS110" s="41"/>
      <c r="AT110" s="41"/>
      <c r="AU110" s="41"/>
      <c r="AV110" s="41"/>
      <c r="AW110" s="41"/>
      <c r="AX110" s="41"/>
      <c r="AY110" s="41"/>
      <c r="AZ110" s="41"/>
      <c r="BA110" s="41"/>
      <c r="BB110" s="41"/>
      <c r="BC110" s="159"/>
      <c r="BD110" s="1479"/>
      <c r="BE110" s="360"/>
      <c r="BF110" s="360"/>
      <c r="BG110" s="1480"/>
      <c r="BH110" s="151"/>
      <c r="BI110" s="151"/>
      <c r="BJ110" s="151"/>
      <c r="BK110" s="151"/>
      <c r="BL110" s="151"/>
      <c r="BM110" s="151"/>
      <c r="BN110" s="151"/>
      <c r="BO110" s="151"/>
      <c r="BP110" s="151"/>
      <c r="BQ110" s="151"/>
      <c r="BR110" s="151"/>
      <c r="BS110" s="1479"/>
      <c r="BT110" s="360"/>
      <c r="BU110" s="360"/>
      <c r="BV110" s="360"/>
      <c r="BW110" s="360"/>
      <c r="BX110" s="360"/>
      <c r="BY110" s="360"/>
      <c r="BZ110" s="360"/>
      <c r="CA110" s="360"/>
      <c r="CB110" s="360"/>
      <c r="CC110" s="360"/>
      <c r="CD110" s="360"/>
      <c r="CE110" s="360"/>
      <c r="CF110" s="360"/>
      <c r="CG110" s="360"/>
      <c r="CH110" s="360"/>
      <c r="CI110" s="360"/>
      <c r="CJ110" s="360"/>
      <c r="CK110" s="360"/>
      <c r="CL110" s="360"/>
      <c r="CM110" s="360"/>
      <c r="CN110" s="1480"/>
      <c r="CO110" s="151"/>
      <c r="CP110" s="151"/>
      <c r="CQ110" s="360"/>
      <c r="CR110" s="151"/>
      <c r="CS110" s="151"/>
      <c r="CT110" s="151"/>
      <c r="CU110" s="151"/>
      <c r="CV110" s="151"/>
      <c r="CW110" s="151"/>
      <c r="CX110" s="151"/>
      <c r="CY110" s="151"/>
      <c r="CZ110" s="372"/>
      <c r="DA110" s="151"/>
      <c r="DB110" s="151"/>
      <c r="DC110" s="151"/>
      <c r="DD110" s="151"/>
      <c r="DE110" s="151"/>
      <c r="DF110" s="151"/>
      <c r="DG110" s="151"/>
      <c r="DH110" s="151"/>
      <c r="DI110" s="151"/>
      <c r="DJ110" s="151"/>
      <c r="DK110" s="151"/>
      <c r="DL110" s="151"/>
      <c r="DM110" s="373"/>
      <c r="DN110" s="151"/>
      <c r="DO110" s="151"/>
      <c r="DP110" s="151"/>
      <c r="DQ110" s="151"/>
      <c r="DR110" s="151"/>
      <c r="DS110" s="151"/>
      <c r="DT110" s="151"/>
      <c r="DU110" s="151"/>
      <c r="DV110" s="151"/>
      <c r="DW110" s="162"/>
      <c r="ER110" s="1464"/>
      <c r="EZ110" s="1466"/>
      <c r="FA110" s="153"/>
      <c r="GB110" s="1448"/>
      <c r="GC110" s="150"/>
      <c r="GD110" s="151"/>
      <c r="GE110" s="151"/>
      <c r="GF110" s="169"/>
      <c r="GG110" s="169"/>
      <c r="GH110" s="169"/>
      <c r="GI110" s="169"/>
      <c r="GJ110" s="169"/>
      <c r="GK110" s="2530"/>
      <c r="GL110" s="2531"/>
      <c r="GM110" s="2531"/>
      <c r="GN110" s="2531"/>
      <c r="GO110" s="2531"/>
      <c r="GP110" s="2530"/>
      <c r="GQ110" s="2531"/>
      <c r="GR110" s="2531"/>
      <c r="GS110" s="2531"/>
      <c r="GT110" s="2532"/>
      <c r="GU110" s="2530"/>
      <c r="GV110" s="2531"/>
      <c r="GW110" s="2532"/>
      <c r="GX110" s="2530"/>
      <c r="GY110" s="2531"/>
      <c r="GZ110" s="2532"/>
      <c r="HB110" s="2528"/>
      <c r="HC110" s="2528"/>
      <c r="HD110" s="2528"/>
      <c r="HE110" s="2528"/>
    </row>
    <row r="111" spans="7:213" ht="3.6" customHeight="1" thickBot="1">
      <c r="P111" s="153"/>
      <c r="Q111" s="150"/>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c r="AN111" s="151"/>
      <c r="AO111" s="151"/>
      <c r="AP111" s="151"/>
      <c r="AQ111" s="150"/>
      <c r="AR111" s="151"/>
      <c r="AS111" s="151"/>
      <c r="AT111" s="151"/>
      <c r="AU111" s="151"/>
      <c r="AV111" s="151"/>
      <c r="AW111" s="151"/>
      <c r="AX111" s="151"/>
      <c r="AY111" s="151"/>
      <c r="AZ111" s="151"/>
      <c r="BA111" s="151"/>
      <c r="BB111" s="151"/>
      <c r="BC111" s="162"/>
      <c r="BD111" s="151"/>
      <c r="BE111" s="151"/>
      <c r="BF111" s="151"/>
      <c r="BG111" s="151"/>
      <c r="BH111" s="151"/>
      <c r="BI111" s="151"/>
      <c r="BJ111" s="151"/>
      <c r="BK111" s="151"/>
      <c r="BL111" s="151"/>
      <c r="BM111" s="151"/>
      <c r="BN111" s="151"/>
      <c r="BO111" s="151"/>
      <c r="BP111" s="151"/>
      <c r="BQ111" s="151"/>
      <c r="BR111" s="151"/>
      <c r="BS111" s="151"/>
      <c r="BT111" s="366"/>
      <c r="BU111" s="367"/>
      <c r="BV111" s="367"/>
      <c r="BW111" s="367"/>
      <c r="BX111" s="367"/>
      <c r="BY111" s="367"/>
      <c r="BZ111" s="367"/>
      <c r="CA111" s="367"/>
      <c r="CB111" s="367"/>
      <c r="CC111" s="367"/>
      <c r="CD111" s="367"/>
      <c r="CE111" s="367"/>
      <c r="CF111" s="367"/>
      <c r="CG111" s="367"/>
      <c r="CH111" s="367"/>
      <c r="CI111" s="367"/>
      <c r="CJ111" s="367"/>
      <c r="CK111" s="367"/>
      <c r="CL111" s="367"/>
      <c r="CM111" s="368"/>
      <c r="CN111" s="151"/>
      <c r="CO111" s="151"/>
      <c r="CP111" s="151"/>
      <c r="CQ111" s="151"/>
      <c r="CR111" s="151"/>
      <c r="CS111" s="151"/>
      <c r="CT111" s="151"/>
      <c r="CU111" s="151"/>
      <c r="CV111" s="151"/>
      <c r="CW111" s="151"/>
      <c r="CX111" s="151"/>
      <c r="CY111" s="151"/>
      <c r="CZ111" s="151"/>
      <c r="DA111" s="366"/>
      <c r="DB111" s="367"/>
      <c r="DC111" s="367"/>
      <c r="DD111" s="367"/>
      <c r="DE111" s="367"/>
      <c r="DF111" s="367"/>
      <c r="DG111" s="367"/>
      <c r="DH111" s="367"/>
      <c r="DI111" s="367"/>
      <c r="DJ111" s="367"/>
      <c r="DK111" s="367"/>
      <c r="DL111" s="368"/>
      <c r="DM111" s="151"/>
      <c r="DN111" s="151"/>
      <c r="DO111" s="151"/>
      <c r="DP111" s="151"/>
      <c r="DQ111" s="151"/>
      <c r="DR111" s="151"/>
      <c r="DS111" s="151"/>
      <c r="DT111" s="151"/>
      <c r="DU111" s="151"/>
      <c r="DV111" s="162"/>
      <c r="DW111" s="154"/>
      <c r="ER111" s="1465"/>
      <c r="ES111" s="1449"/>
      <c r="ET111" s="151"/>
      <c r="EU111" s="151"/>
      <c r="EV111" s="151"/>
      <c r="EW111" s="151"/>
      <c r="EX111" s="151"/>
      <c r="EY111" s="1449"/>
      <c r="EZ111" s="1450"/>
      <c r="FA111" s="366"/>
      <c r="FB111" s="367"/>
      <c r="FC111" s="367"/>
      <c r="FD111" s="367"/>
      <c r="FE111" s="367"/>
      <c r="FF111" s="367"/>
      <c r="FG111" s="367"/>
      <c r="FH111" s="367"/>
      <c r="FI111" s="367"/>
      <c r="FJ111" s="367"/>
      <c r="FK111" s="367"/>
      <c r="FL111" s="367"/>
      <c r="FM111" s="367"/>
      <c r="FN111" s="367"/>
      <c r="FO111" s="367"/>
      <c r="FP111" s="367"/>
      <c r="FQ111" s="367"/>
      <c r="FR111" s="367"/>
      <c r="FS111" s="367"/>
      <c r="FT111" s="367"/>
      <c r="FU111" s="367"/>
      <c r="FV111" s="367"/>
      <c r="FW111" s="367"/>
      <c r="FX111" s="367"/>
      <c r="FY111" s="367"/>
      <c r="FZ111" s="367"/>
      <c r="GA111" s="367"/>
      <c r="GB111" s="1442"/>
      <c r="GC111" s="1448"/>
      <c r="GD111" s="1449"/>
      <c r="GE111" s="1449"/>
      <c r="GF111" s="169"/>
      <c r="GG111" s="169"/>
      <c r="GH111" s="169"/>
      <c r="GI111" s="169"/>
      <c r="GJ111" s="170"/>
      <c r="GK111" s="2530"/>
      <c r="GL111" s="2531"/>
      <c r="GM111" s="2531"/>
      <c r="GN111" s="2531"/>
      <c r="GO111" s="2531"/>
      <c r="GP111" s="2530"/>
      <c r="GQ111" s="2531"/>
      <c r="GR111" s="2531"/>
      <c r="GS111" s="2531"/>
      <c r="GT111" s="2532"/>
      <c r="GU111" s="2530"/>
      <c r="GV111" s="2531"/>
      <c r="GW111" s="2532"/>
      <c r="GX111" s="2530"/>
      <c r="GY111" s="2531"/>
      <c r="GZ111" s="2532"/>
      <c r="HB111" s="2528"/>
      <c r="HC111" s="2528"/>
      <c r="HD111" s="2528"/>
      <c r="HE111" s="2528"/>
    </row>
    <row r="112" spans="7:213" ht="3.6" customHeight="1" thickTop="1">
      <c r="G112" s="2536" t="s">
        <v>3485</v>
      </c>
      <c r="H112" s="2536"/>
      <c r="I112" s="2536"/>
      <c r="J112" s="2536"/>
      <c r="P112" s="153"/>
      <c r="Q112" s="153"/>
      <c r="AQ112" s="153"/>
      <c r="BC112" s="154"/>
      <c r="BE112" s="41"/>
      <c r="BF112" s="41"/>
      <c r="BG112" s="41"/>
      <c r="BH112" s="41"/>
      <c r="BI112" s="41"/>
      <c r="BJ112" s="41"/>
      <c r="BK112" s="41"/>
      <c r="BL112" s="41"/>
      <c r="BM112" s="41"/>
      <c r="BN112" s="41"/>
      <c r="BO112" s="41"/>
      <c r="BP112" s="41"/>
      <c r="BQ112" s="41"/>
      <c r="BR112" s="41"/>
      <c r="BS112" s="41"/>
      <c r="BT112" s="156"/>
      <c r="BU112" s="41"/>
      <c r="BV112" s="41"/>
      <c r="BW112" s="41"/>
      <c r="BX112" s="41"/>
      <c r="BY112" s="41"/>
      <c r="BZ112" s="41"/>
      <c r="CA112" s="41"/>
      <c r="CB112" s="41"/>
      <c r="CC112" s="41"/>
      <c r="CD112" s="41"/>
      <c r="CE112" s="41"/>
      <c r="CF112" s="41"/>
      <c r="CG112" s="41"/>
      <c r="CH112" s="41"/>
      <c r="CI112" s="41"/>
      <c r="CJ112" s="41"/>
      <c r="CK112" s="41"/>
      <c r="CL112" s="41"/>
      <c r="CM112" s="159"/>
      <c r="CN112" s="41"/>
      <c r="CO112" s="41"/>
      <c r="CP112" s="41"/>
      <c r="DA112" s="156"/>
      <c r="DB112" s="41"/>
      <c r="DC112" s="41"/>
      <c r="DD112" s="41"/>
      <c r="DE112" s="41"/>
      <c r="DF112" s="41"/>
      <c r="DG112" s="41"/>
      <c r="DH112" s="41"/>
      <c r="DI112" s="41"/>
      <c r="DJ112" s="41"/>
      <c r="DK112" s="41"/>
      <c r="DL112" s="159"/>
      <c r="DV112" s="154"/>
      <c r="DW112" s="154"/>
      <c r="EF112" s="151"/>
      <c r="EG112" s="151"/>
      <c r="EH112" s="151"/>
      <c r="EI112" s="151"/>
      <c r="EM112" s="151"/>
      <c r="EN112" s="151"/>
      <c r="EO112" s="151"/>
      <c r="EP112" s="151"/>
      <c r="ER112" s="1465"/>
      <c r="ES112" s="1446"/>
      <c r="ET112" s="41"/>
      <c r="EU112" s="41"/>
      <c r="EV112" s="41"/>
      <c r="EW112" s="41"/>
      <c r="EX112" s="41"/>
      <c r="EY112" s="1446"/>
      <c r="EZ112" s="1447"/>
      <c r="FA112" s="156"/>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c r="FX112" s="41"/>
      <c r="FY112" s="41"/>
      <c r="FZ112" s="41"/>
      <c r="GA112" s="41"/>
      <c r="GB112" s="1442"/>
      <c r="GC112" s="1445"/>
      <c r="GD112" s="1446"/>
      <c r="GE112" s="1446"/>
      <c r="GF112" s="171"/>
      <c r="GG112" s="171"/>
      <c r="GH112" s="171"/>
      <c r="GI112" s="171"/>
      <c r="GJ112" s="172"/>
      <c r="GK112" s="2530"/>
      <c r="GL112" s="2531"/>
      <c r="GM112" s="2531"/>
      <c r="GN112" s="2531"/>
      <c r="GO112" s="2531"/>
      <c r="GP112" s="2530"/>
      <c r="GQ112" s="2531"/>
      <c r="GR112" s="2531"/>
      <c r="GS112" s="2531"/>
      <c r="GT112" s="2532"/>
      <c r="GU112" s="2530"/>
      <c r="GV112" s="2531"/>
      <c r="GW112" s="2532"/>
      <c r="GX112" s="2530"/>
      <c r="GY112" s="2531"/>
      <c r="GZ112" s="2532"/>
      <c r="HB112" s="2528"/>
      <c r="HC112" s="2528"/>
      <c r="HD112" s="2528"/>
      <c r="HE112" s="2528"/>
    </row>
    <row r="113" spans="7:213" ht="3.6" customHeight="1">
      <c r="G113" s="2537"/>
      <c r="H113" s="2537"/>
      <c r="I113" s="2537"/>
      <c r="J113" s="2537"/>
      <c r="P113" s="153"/>
      <c r="Q113" s="153"/>
      <c r="S113" s="150"/>
      <c r="T113" s="151"/>
      <c r="U113" s="151"/>
      <c r="V113" s="151"/>
      <c r="W113" s="151"/>
      <c r="X113" s="151"/>
      <c r="Y113" s="151"/>
      <c r="Z113" s="151"/>
      <c r="AA113" s="151"/>
      <c r="AB113" s="151"/>
      <c r="AC113" s="151"/>
      <c r="AD113" s="151"/>
      <c r="AE113" s="151"/>
      <c r="AF113" s="151"/>
      <c r="AG113" s="151"/>
      <c r="AH113" s="151"/>
      <c r="AI113" s="151"/>
      <c r="AJ113" s="151"/>
      <c r="AK113" s="151"/>
      <c r="AL113" s="162"/>
      <c r="AO113" s="150"/>
      <c r="AP113" s="151"/>
      <c r="BD113" s="151"/>
      <c r="CQ113" s="153"/>
      <c r="CS113" s="150"/>
      <c r="CT113" s="151"/>
      <c r="CU113" s="151"/>
      <c r="CV113" s="151"/>
      <c r="CW113" s="151"/>
      <c r="CX113" s="162"/>
      <c r="CY113" s="150"/>
      <c r="CZ113" s="151"/>
      <c r="DA113" s="151"/>
      <c r="DB113" s="151"/>
      <c r="DC113" s="151"/>
      <c r="DD113" s="151"/>
      <c r="DE113" s="151"/>
      <c r="DF113" s="151"/>
      <c r="DG113" s="151"/>
      <c r="DH113" s="151"/>
      <c r="DI113" s="151"/>
      <c r="DJ113" s="151"/>
      <c r="DK113" s="151"/>
      <c r="DL113" s="151"/>
      <c r="DM113" s="151"/>
      <c r="DN113" s="151"/>
      <c r="DO113" s="151"/>
      <c r="DP113" s="151"/>
      <c r="DQ113" s="151"/>
      <c r="DR113" s="151"/>
      <c r="DS113" s="151"/>
      <c r="DT113" s="162"/>
      <c r="DV113" s="154"/>
      <c r="DW113" s="154"/>
      <c r="ER113" s="1465"/>
      <c r="GB113" s="1445"/>
      <c r="GC113" s="156"/>
      <c r="GD113" s="41"/>
      <c r="GE113" s="41"/>
      <c r="GF113" s="171"/>
      <c r="GG113" s="171"/>
      <c r="GH113" s="171"/>
      <c r="GI113" s="171"/>
      <c r="GJ113" s="171"/>
      <c r="GK113" s="2530"/>
      <c r="GL113" s="2531"/>
      <c r="GM113" s="2531"/>
      <c r="GN113" s="2531"/>
      <c r="GO113" s="2531"/>
      <c r="GP113" s="2530"/>
      <c r="GQ113" s="2531"/>
      <c r="GR113" s="2531"/>
      <c r="GS113" s="2531"/>
      <c r="GT113" s="2532"/>
      <c r="GU113" s="2530"/>
      <c r="GV113" s="2531"/>
      <c r="GW113" s="2532"/>
      <c r="GX113" s="2530"/>
      <c r="GY113" s="2531"/>
      <c r="GZ113" s="2532"/>
      <c r="HB113" s="2528"/>
      <c r="HC113" s="2528"/>
      <c r="HD113" s="2528"/>
      <c r="HE113" s="2528"/>
    </row>
    <row r="114" spans="7:213" ht="3.6" customHeight="1">
      <c r="G114" s="2537"/>
      <c r="H114" s="2537"/>
      <c r="I114" s="2537"/>
      <c r="J114" s="2537"/>
      <c r="P114" s="153"/>
      <c r="Q114" s="153"/>
      <c r="S114" s="153"/>
      <c r="AL114" s="154"/>
      <c r="AO114" s="153"/>
      <c r="AU114" s="2538" t="s">
        <v>291</v>
      </c>
      <c r="AV114" s="2538"/>
      <c r="AW114" s="2538"/>
      <c r="AX114" s="2538"/>
      <c r="CQ114" s="153"/>
      <c r="CS114" s="153"/>
      <c r="CX114" s="154"/>
      <c r="CY114" s="153"/>
      <c r="DT114" s="154"/>
      <c r="DV114" s="154"/>
      <c r="DW114" s="154"/>
      <c r="ER114" s="1465"/>
      <c r="GB114" s="1443"/>
      <c r="GF114" s="142"/>
      <c r="GG114" s="142"/>
      <c r="GH114" s="142"/>
      <c r="GI114" s="142"/>
      <c r="GJ114" s="142"/>
      <c r="GK114" s="2530"/>
      <c r="GL114" s="2531"/>
      <c r="GM114" s="2531"/>
      <c r="GN114" s="2531"/>
      <c r="GO114" s="2531"/>
      <c r="GP114" s="2530"/>
      <c r="GQ114" s="2531"/>
      <c r="GR114" s="2531"/>
      <c r="GS114" s="2531"/>
      <c r="GT114" s="2532"/>
      <c r="GU114" s="2530"/>
      <c r="GV114" s="2531"/>
      <c r="GW114" s="2532"/>
      <c r="GX114" s="2530"/>
      <c r="GY114" s="2531"/>
      <c r="GZ114" s="2532"/>
      <c r="HB114" s="2528"/>
      <c r="HC114" s="2528"/>
      <c r="HD114" s="2528"/>
      <c r="HE114" s="2528"/>
    </row>
    <row r="115" spans="7:213" ht="3.6" customHeight="1">
      <c r="G115" s="2537"/>
      <c r="H115" s="2537"/>
      <c r="I115" s="2537"/>
      <c r="J115" s="2537"/>
      <c r="P115" s="153"/>
      <c r="Q115" s="153"/>
      <c r="S115" s="153"/>
      <c r="AL115" s="154"/>
      <c r="AO115" s="153"/>
      <c r="AU115" s="2538"/>
      <c r="AV115" s="2538"/>
      <c r="AW115" s="2538"/>
      <c r="AX115" s="2538"/>
      <c r="CQ115" s="153"/>
      <c r="CS115" s="153"/>
      <c r="CX115" s="154"/>
      <c r="CY115" s="153"/>
      <c r="DT115" s="154"/>
      <c r="DU115" s="625"/>
      <c r="DV115" s="632"/>
      <c r="DW115" s="632"/>
      <c r="DX115" s="625"/>
      <c r="ER115" s="1465"/>
      <c r="GB115" s="1443"/>
      <c r="GF115" s="142"/>
      <c r="GG115" s="142"/>
      <c r="GH115" s="142"/>
      <c r="GI115" s="142"/>
      <c r="GJ115" s="142"/>
      <c r="GK115" s="2550"/>
      <c r="GL115" s="2551"/>
      <c r="GM115" s="2551"/>
      <c r="GN115" s="2551"/>
      <c r="GO115" s="2551"/>
      <c r="GP115" s="2530"/>
      <c r="GQ115" s="2531"/>
      <c r="GR115" s="2531"/>
      <c r="GS115" s="2531"/>
      <c r="GT115" s="2532"/>
      <c r="GU115" s="2530"/>
      <c r="GV115" s="2531"/>
      <c r="GW115" s="2532"/>
      <c r="GX115" s="2530"/>
      <c r="GY115" s="2531"/>
      <c r="GZ115" s="2532"/>
      <c r="HB115" s="2528"/>
      <c r="HC115" s="2528"/>
      <c r="HD115" s="2528"/>
      <c r="HE115" s="2528"/>
    </row>
    <row r="116" spans="7:213" ht="3.6" customHeight="1">
      <c r="G116" s="2537"/>
      <c r="H116" s="2537"/>
      <c r="I116" s="2537"/>
      <c r="J116" s="2537"/>
      <c r="P116" s="153"/>
      <c r="Q116" s="153"/>
      <c r="S116" s="153"/>
      <c r="AL116" s="154"/>
      <c r="AO116" s="153"/>
      <c r="AU116" s="2538"/>
      <c r="AV116" s="2538"/>
      <c r="AW116" s="2538"/>
      <c r="AX116" s="2538"/>
      <c r="CQ116" s="153"/>
      <c r="CS116" s="153"/>
      <c r="CX116" s="154"/>
      <c r="CY116" s="153"/>
      <c r="DT116" s="154"/>
      <c r="DU116" s="625"/>
      <c r="DV116" s="632"/>
      <c r="DW116" s="632"/>
      <c r="DX116" s="625"/>
      <c r="ER116" s="1465"/>
      <c r="GB116" s="1443"/>
      <c r="GF116" s="142"/>
      <c r="GG116" s="142"/>
      <c r="GH116" s="142"/>
      <c r="GI116" s="142"/>
      <c r="GJ116" s="142"/>
      <c r="GK116" s="611"/>
      <c r="GL116" s="161"/>
      <c r="GM116" s="161"/>
      <c r="GN116" s="161"/>
      <c r="GO116" s="161"/>
      <c r="GP116" s="2530"/>
      <c r="GQ116" s="2531"/>
      <c r="GR116" s="2531"/>
      <c r="GS116" s="2531"/>
      <c r="GT116" s="2532"/>
      <c r="GU116" s="2530"/>
      <c r="GV116" s="2531"/>
      <c r="GW116" s="2532"/>
      <c r="GX116" s="2530"/>
      <c r="GY116" s="2531"/>
      <c r="GZ116" s="2532"/>
      <c r="HB116" s="2528"/>
      <c r="HC116" s="2528"/>
      <c r="HD116" s="2528"/>
      <c r="HE116" s="2528"/>
    </row>
    <row r="117" spans="7:213" ht="3.6" customHeight="1">
      <c r="G117" s="2537"/>
      <c r="H117" s="2537"/>
      <c r="I117" s="2537"/>
      <c r="J117" s="2537"/>
      <c r="M117" s="374"/>
      <c r="N117" s="180"/>
      <c r="O117" s="180"/>
      <c r="P117" s="1486"/>
      <c r="Q117" s="153"/>
      <c r="S117" s="153"/>
      <c r="AL117" s="154"/>
      <c r="AN117" s="159"/>
      <c r="AO117" s="153"/>
      <c r="AU117" s="2538"/>
      <c r="AV117" s="2538"/>
      <c r="AW117" s="2538"/>
      <c r="AX117" s="2538"/>
      <c r="CQ117" s="153"/>
      <c r="CS117" s="153"/>
      <c r="CX117" s="154"/>
      <c r="CY117" s="153"/>
      <c r="DT117" s="154"/>
      <c r="DU117" s="625"/>
      <c r="DV117" s="632"/>
      <c r="DW117" s="632"/>
      <c r="DX117" s="625"/>
      <c r="ER117" s="1465"/>
      <c r="GB117" s="1443"/>
      <c r="GF117" s="142"/>
      <c r="GG117" s="142"/>
      <c r="GH117" s="142"/>
      <c r="GI117" s="142"/>
      <c r="GJ117" s="142"/>
      <c r="GK117" s="612"/>
      <c r="GL117" s="141"/>
      <c r="GM117" s="141"/>
      <c r="GN117" s="141"/>
      <c r="GO117" s="141"/>
      <c r="GP117" s="2550"/>
      <c r="GQ117" s="2551"/>
      <c r="GR117" s="2551"/>
      <c r="GS117" s="2551"/>
      <c r="GT117" s="2552"/>
      <c r="GU117" s="2530"/>
      <c r="GV117" s="2531"/>
      <c r="GW117" s="2532"/>
      <c r="GX117" s="2530"/>
      <c r="GY117" s="2531"/>
      <c r="GZ117" s="2532"/>
      <c r="HB117" s="2528"/>
      <c r="HC117" s="2528"/>
      <c r="HD117" s="2528"/>
      <c r="HE117" s="2528"/>
    </row>
    <row r="118" spans="7:213" ht="3.6" customHeight="1">
      <c r="G118" s="2537"/>
      <c r="H118" s="2537"/>
      <c r="I118" s="2537"/>
      <c r="J118" s="2537"/>
      <c r="M118" s="2539" t="s">
        <v>1954</v>
      </c>
      <c r="N118" s="2540"/>
      <c r="O118" s="2541"/>
      <c r="P118" s="155"/>
      <c r="Q118" s="1487"/>
      <c r="R118" s="162"/>
      <c r="S118" s="153"/>
      <c r="U118" s="2542" t="s">
        <v>1786</v>
      </c>
      <c r="V118" s="2542"/>
      <c r="W118" s="2542"/>
      <c r="X118" s="2542"/>
      <c r="Y118" s="2542"/>
      <c r="Z118" s="2542"/>
      <c r="AA118" s="2542"/>
      <c r="AB118" s="2542"/>
      <c r="AC118" s="2542"/>
      <c r="AD118" s="2542"/>
      <c r="AE118" s="2542"/>
      <c r="AF118" s="2542"/>
      <c r="AG118" s="2542"/>
      <c r="AH118" s="2542"/>
      <c r="AI118" s="2542"/>
      <c r="AJ118" s="2542"/>
      <c r="AM118" s="151"/>
      <c r="AN118" s="150"/>
      <c r="CQ118" s="153"/>
      <c r="CS118" s="156"/>
      <c r="CT118" s="41"/>
      <c r="CU118" s="41"/>
      <c r="CV118" s="41"/>
      <c r="CW118" s="41"/>
      <c r="CX118" s="159"/>
      <c r="CY118" s="156"/>
      <c r="CZ118" s="41"/>
      <c r="DA118" s="41"/>
      <c r="DB118" s="41"/>
      <c r="DC118" s="41"/>
      <c r="DD118" s="41"/>
      <c r="DE118" s="41"/>
      <c r="DF118" s="41"/>
      <c r="DG118" s="41"/>
      <c r="DH118" s="41"/>
      <c r="DI118" s="41"/>
      <c r="DJ118" s="41"/>
      <c r="DK118" s="41"/>
      <c r="DL118" s="41"/>
      <c r="DM118" s="41"/>
      <c r="DN118" s="41"/>
      <c r="DT118" s="154"/>
      <c r="DU118" s="625"/>
      <c r="DV118" s="632"/>
      <c r="DW118" s="632"/>
      <c r="DX118" s="625"/>
      <c r="ER118" s="1465"/>
      <c r="FB118" s="150"/>
      <c r="FC118" s="151"/>
      <c r="FD118" s="151"/>
      <c r="FE118" s="151"/>
      <c r="FF118" s="151"/>
      <c r="FG118" s="151"/>
      <c r="FH118" s="151"/>
      <c r="FI118" s="151"/>
      <c r="FJ118" s="151"/>
      <c r="FK118" s="151"/>
      <c r="FL118" s="151"/>
      <c r="FM118" s="151"/>
      <c r="FN118" s="151"/>
      <c r="FO118" s="151"/>
      <c r="FP118" s="151"/>
      <c r="FQ118" s="151"/>
      <c r="FR118" s="151"/>
      <c r="FS118" s="151"/>
      <c r="FT118" s="151"/>
      <c r="FU118" s="151"/>
      <c r="FV118" s="151"/>
      <c r="FW118" s="151"/>
      <c r="FX118" s="151"/>
      <c r="FY118" s="151"/>
      <c r="FZ118" s="151"/>
      <c r="GA118" s="162"/>
      <c r="GB118" s="1443"/>
      <c r="GF118" s="142"/>
      <c r="GG118" s="142"/>
      <c r="GH118" s="142"/>
      <c r="GI118" s="142"/>
      <c r="GJ118" s="142"/>
      <c r="GK118" s="173"/>
      <c r="GL118" s="142"/>
      <c r="GM118" s="142"/>
      <c r="GN118" s="142"/>
      <c r="GO118" s="142"/>
      <c r="GU118" s="2530"/>
      <c r="GV118" s="2531"/>
      <c r="GW118" s="2532"/>
      <c r="GX118" s="2530"/>
      <c r="GY118" s="2531"/>
      <c r="GZ118" s="2532"/>
      <c r="HB118" s="2528"/>
      <c r="HC118" s="2528"/>
      <c r="HD118" s="2528"/>
      <c r="HE118" s="2528"/>
    </row>
    <row r="119" spans="7:213" ht="3.6" customHeight="1">
      <c r="G119" s="2537"/>
      <c r="H119" s="2537"/>
      <c r="I119" s="2537"/>
      <c r="J119" s="2537"/>
      <c r="M119" s="2539"/>
      <c r="N119" s="2540"/>
      <c r="O119" s="2541"/>
      <c r="P119" s="155"/>
      <c r="Q119" s="1488"/>
      <c r="R119" s="154"/>
      <c r="S119" s="153"/>
      <c r="U119" s="2542"/>
      <c r="V119" s="2542"/>
      <c r="W119" s="2542"/>
      <c r="X119" s="2542"/>
      <c r="Y119" s="2542"/>
      <c r="Z119" s="2542"/>
      <c r="AA119" s="2542"/>
      <c r="AB119" s="2542"/>
      <c r="AC119" s="2542"/>
      <c r="AD119" s="2542"/>
      <c r="AE119" s="2542"/>
      <c r="AF119" s="2542"/>
      <c r="AG119" s="2542"/>
      <c r="AH119" s="2542"/>
      <c r="AI119" s="2542"/>
      <c r="AJ119" s="2542"/>
      <c r="AN119" s="153"/>
      <c r="CQ119" s="153"/>
      <c r="CS119" s="153"/>
      <c r="DO119" s="153"/>
      <c r="DT119" s="154"/>
      <c r="DU119" s="625"/>
      <c r="DV119" s="632"/>
      <c r="DW119" s="632"/>
      <c r="DX119" s="625"/>
      <c r="EF119" s="2537" t="s">
        <v>3459</v>
      </c>
      <c r="EG119" s="2537"/>
      <c r="EH119" s="2537"/>
      <c r="EI119" s="2537"/>
      <c r="ER119" s="1465"/>
      <c r="FB119" s="153"/>
      <c r="FC119" s="150"/>
      <c r="FD119" s="151"/>
      <c r="FE119" s="151"/>
      <c r="FF119" s="151"/>
      <c r="FG119" s="151"/>
      <c r="FH119" s="151"/>
      <c r="FI119" s="151"/>
      <c r="FJ119" s="151"/>
      <c r="FK119" s="151"/>
      <c r="FL119" s="151"/>
      <c r="FM119" s="151"/>
      <c r="FN119" s="151"/>
      <c r="FO119" s="151"/>
      <c r="FP119" s="151"/>
      <c r="FQ119" s="151"/>
      <c r="FR119" s="151"/>
      <c r="FS119" s="151"/>
      <c r="FT119" s="151"/>
      <c r="FU119" s="151"/>
      <c r="FV119" s="151"/>
      <c r="FW119" s="151"/>
      <c r="FX119" s="151"/>
      <c r="FY119" s="151"/>
      <c r="FZ119" s="151"/>
      <c r="GA119" s="162"/>
      <c r="GB119" s="1443"/>
      <c r="GF119" s="142"/>
      <c r="GG119" s="142"/>
      <c r="GH119" s="142"/>
      <c r="GI119" s="142"/>
      <c r="GJ119" s="142"/>
      <c r="GK119" s="173"/>
      <c r="GL119" s="142"/>
      <c r="GM119" s="142"/>
      <c r="GN119" s="142"/>
      <c r="GO119" s="142"/>
      <c r="GU119" s="2550"/>
      <c r="GV119" s="2551"/>
      <c r="GW119" s="2552"/>
      <c r="GX119" s="2550"/>
      <c r="GY119" s="2551"/>
      <c r="GZ119" s="2552"/>
      <c r="HB119" s="2529"/>
      <c r="HC119" s="2529"/>
      <c r="HD119" s="2529"/>
      <c r="HE119" s="2529"/>
    </row>
    <row r="120" spans="7:213" ht="3.6" customHeight="1">
      <c r="G120" s="2537"/>
      <c r="H120" s="2537"/>
      <c r="I120" s="2537"/>
      <c r="J120" s="2537"/>
      <c r="M120" s="2539"/>
      <c r="N120" s="2540"/>
      <c r="O120" s="2541"/>
      <c r="P120" s="155"/>
      <c r="Q120" s="1488"/>
      <c r="R120" s="154"/>
      <c r="S120" s="153"/>
      <c r="U120" s="2542"/>
      <c r="V120" s="2542"/>
      <c r="W120" s="2542"/>
      <c r="X120" s="2542"/>
      <c r="Y120" s="2542"/>
      <c r="Z120" s="2542"/>
      <c r="AA120" s="2542"/>
      <c r="AB120" s="2542"/>
      <c r="AC120" s="2542"/>
      <c r="AD120" s="2542"/>
      <c r="AE120" s="2542"/>
      <c r="AF120" s="2542"/>
      <c r="AG120" s="2542"/>
      <c r="AH120" s="2542"/>
      <c r="AI120" s="2542"/>
      <c r="AJ120" s="2542"/>
      <c r="AN120" s="153"/>
      <c r="AO120" s="2543" t="s">
        <v>1950</v>
      </c>
      <c r="AP120" s="2543"/>
      <c r="AQ120" s="2543"/>
      <c r="AR120" s="2543"/>
      <c r="AS120" s="143"/>
      <c r="AT120" s="143"/>
      <c r="AU120" s="143"/>
      <c r="AV120" s="143"/>
      <c r="AW120" s="143"/>
      <c r="AX120" s="143"/>
      <c r="AY120" s="143"/>
      <c r="AZ120" s="143"/>
      <c r="BA120" s="143"/>
      <c r="BB120" s="143"/>
      <c r="CQ120" s="153"/>
      <c r="CS120" s="153"/>
      <c r="DO120" s="153"/>
      <c r="DT120" s="154"/>
      <c r="DU120" s="625"/>
      <c r="DV120" s="632"/>
      <c r="DW120" s="632"/>
      <c r="DX120" s="625"/>
      <c r="EF120" s="2537"/>
      <c r="EG120" s="2537"/>
      <c r="EH120" s="2537"/>
      <c r="EI120" s="2537"/>
      <c r="ER120" s="1465"/>
      <c r="FB120" s="153"/>
      <c r="FC120" s="153"/>
      <c r="GA120" s="154"/>
      <c r="GB120" s="1443"/>
      <c r="GK120" s="164"/>
      <c r="GL120" s="140"/>
      <c r="GM120" s="140"/>
      <c r="GN120" s="140"/>
      <c r="GO120" s="140"/>
      <c r="GP120" s="140"/>
      <c r="GQ120" s="140"/>
      <c r="GR120" s="140"/>
      <c r="GS120" s="142"/>
      <c r="GT120" s="142"/>
      <c r="GU120" s="142"/>
    </row>
    <row r="121" spans="7:213" ht="3.6" customHeight="1">
      <c r="G121" s="2537"/>
      <c r="H121" s="2537"/>
      <c r="I121" s="2537"/>
      <c r="J121" s="2537"/>
      <c r="M121" s="2539"/>
      <c r="N121" s="2540"/>
      <c r="O121" s="2541"/>
      <c r="P121" s="155"/>
      <c r="Q121" s="1488"/>
      <c r="R121" s="154"/>
      <c r="S121" s="153"/>
      <c r="U121" s="2542" t="s">
        <v>3486</v>
      </c>
      <c r="V121" s="2542"/>
      <c r="W121" s="2542"/>
      <c r="X121" s="2542"/>
      <c r="Y121" s="2542"/>
      <c r="Z121" s="2542"/>
      <c r="AA121" s="2542"/>
      <c r="AB121" s="2542"/>
      <c r="AC121" s="2542"/>
      <c r="AD121" s="2542"/>
      <c r="AE121" s="2542"/>
      <c r="AF121" s="2542"/>
      <c r="AG121" s="2542"/>
      <c r="AH121" s="2542"/>
      <c r="AI121" s="2542"/>
      <c r="AJ121" s="2542"/>
      <c r="AN121" s="153"/>
      <c r="AO121" s="2543"/>
      <c r="AP121" s="2543"/>
      <c r="AQ121" s="2543"/>
      <c r="AR121" s="2543"/>
      <c r="AS121" s="143"/>
      <c r="AT121" s="143"/>
      <c r="AU121" s="143"/>
      <c r="AV121" s="143"/>
      <c r="AW121" s="143"/>
      <c r="AX121" s="143"/>
      <c r="AY121" s="143"/>
      <c r="AZ121" s="143"/>
      <c r="BA121" s="143"/>
      <c r="BB121" s="143"/>
      <c r="CQ121" s="153"/>
      <c r="CS121" s="153"/>
      <c r="DO121" s="153"/>
      <c r="DT121" s="154"/>
      <c r="DU121" s="625"/>
      <c r="DV121" s="632"/>
      <c r="DW121" s="632"/>
      <c r="DX121" s="625"/>
      <c r="EF121" s="2537"/>
      <c r="EG121" s="2537"/>
      <c r="EH121" s="2537"/>
      <c r="EI121" s="2537"/>
      <c r="ER121" s="1465"/>
      <c r="FB121" s="153"/>
      <c r="FC121" s="153"/>
      <c r="GA121" s="154"/>
      <c r="GB121" s="1443"/>
      <c r="GK121" s="153"/>
      <c r="GS121" s="142"/>
      <c r="GT121" s="142"/>
      <c r="GU121" s="142"/>
    </row>
    <row r="122" spans="7:213" ht="3.6" customHeight="1">
      <c r="G122" s="2537"/>
      <c r="H122" s="2537"/>
      <c r="I122" s="2537"/>
      <c r="J122" s="2537"/>
      <c r="M122" s="2539"/>
      <c r="N122" s="2540"/>
      <c r="O122" s="2541"/>
      <c r="P122" s="155"/>
      <c r="Q122" s="1489"/>
      <c r="R122" s="159"/>
      <c r="S122" s="153"/>
      <c r="U122" s="2542"/>
      <c r="V122" s="2542"/>
      <c r="W122" s="2542"/>
      <c r="X122" s="2542"/>
      <c r="Y122" s="2542"/>
      <c r="Z122" s="2542"/>
      <c r="AA122" s="2542"/>
      <c r="AB122" s="2542"/>
      <c r="AC122" s="2542"/>
      <c r="AD122" s="2542"/>
      <c r="AE122" s="2542"/>
      <c r="AF122" s="2542"/>
      <c r="AG122" s="2542"/>
      <c r="AH122" s="2542"/>
      <c r="AI122" s="2542"/>
      <c r="AJ122" s="2542"/>
      <c r="AL122" s="141"/>
      <c r="AM122" s="141"/>
      <c r="AN122" s="612"/>
      <c r="AO122" s="2543"/>
      <c r="AP122" s="2543"/>
      <c r="AQ122" s="2543"/>
      <c r="AR122" s="2543"/>
      <c r="AS122" s="143"/>
      <c r="AT122" s="143"/>
      <c r="AU122" s="143"/>
      <c r="AV122" s="143"/>
      <c r="AW122" s="143"/>
      <c r="AX122" s="143"/>
      <c r="AY122" s="143"/>
      <c r="AZ122" s="143"/>
      <c r="BA122" s="143"/>
      <c r="BB122" s="143"/>
      <c r="BC122" s="141"/>
      <c r="BD122" s="141"/>
      <c r="BE122" s="141"/>
      <c r="BF122" s="141"/>
      <c r="BG122" s="141"/>
      <c r="CQ122" s="153"/>
      <c r="CS122" s="153"/>
      <c r="DO122" s="153"/>
      <c r="DT122" s="154"/>
      <c r="DU122" s="625"/>
      <c r="DV122" s="632"/>
      <c r="DW122" s="632"/>
      <c r="DX122" s="625"/>
      <c r="EF122" s="2537"/>
      <c r="EG122" s="2537"/>
      <c r="EH122" s="2537"/>
      <c r="EI122" s="2537"/>
      <c r="ER122" s="1465"/>
      <c r="FB122" s="153"/>
      <c r="FC122" s="153"/>
      <c r="GA122" s="154"/>
      <c r="GB122" s="1443"/>
      <c r="GK122" s="153"/>
      <c r="GS122" s="142"/>
      <c r="GT122" s="142"/>
      <c r="GU122" s="142"/>
    </row>
    <row r="123" spans="7:213" ht="3.6" customHeight="1">
      <c r="G123" s="2537"/>
      <c r="H123" s="2537"/>
      <c r="I123" s="2537"/>
      <c r="J123" s="2537"/>
      <c r="M123" s="377"/>
      <c r="N123" s="177"/>
      <c r="O123" s="177"/>
      <c r="P123" s="1490"/>
      <c r="S123" s="153"/>
      <c r="U123" s="2542"/>
      <c r="V123" s="2542"/>
      <c r="W123" s="2542"/>
      <c r="X123" s="2542"/>
      <c r="Y123" s="2542"/>
      <c r="Z123" s="2542"/>
      <c r="AA123" s="2542"/>
      <c r="AB123" s="2542"/>
      <c r="AC123" s="2542"/>
      <c r="AD123" s="2542"/>
      <c r="AE123" s="2542"/>
      <c r="AF123" s="2542"/>
      <c r="AG123" s="2542"/>
      <c r="AH123" s="2542"/>
      <c r="AI123" s="2542"/>
      <c r="AJ123" s="2542"/>
      <c r="AL123" s="141"/>
      <c r="AM123" s="141"/>
      <c r="AN123" s="612"/>
      <c r="AO123" s="2543"/>
      <c r="AP123" s="2543"/>
      <c r="AQ123" s="2543"/>
      <c r="AR123" s="2543"/>
      <c r="AS123" s="143"/>
      <c r="AT123" s="143"/>
      <c r="AU123" s="143"/>
      <c r="AV123" s="143"/>
      <c r="AW123" s="143"/>
      <c r="AX123" s="143"/>
      <c r="AY123" s="143"/>
      <c r="AZ123" s="143"/>
      <c r="BA123" s="143"/>
      <c r="BB123" s="143"/>
      <c r="BC123" s="141"/>
      <c r="BD123" s="141"/>
      <c r="BE123" s="141"/>
      <c r="BF123" s="141"/>
      <c r="BG123" s="141"/>
      <c r="CQ123" s="153"/>
      <c r="CS123" s="153"/>
      <c r="DO123" s="153"/>
      <c r="DT123" s="154"/>
      <c r="DU123" s="625"/>
      <c r="DV123" s="632"/>
      <c r="DW123" s="632"/>
      <c r="DX123" s="625"/>
      <c r="EF123" s="2537"/>
      <c r="EG123" s="2537"/>
      <c r="EH123" s="2537"/>
      <c r="EI123" s="2537"/>
      <c r="ER123" s="1465"/>
      <c r="FB123" s="153"/>
      <c r="FC123" s="153"/>
      <c r="GA123" s="154"/>
      <c r="GB123" s="1443"/>
      <c r="GK123" s="153"/>
      <c r="GS123" s="142"/>
      <c r="GT123" s="142"/>
      <c r="GU123" s="142"/>
    </row>
    <row r="124" spans="7:213" ht="3.6" customHeight="1">
      <c r="G124" s="2537"/>
      <c r="H124" s="2537"/>
      <c r="I124" s="2537"/>
      <c r="J124" s="2537"/>
      <c r="P124" s="155"/>
      <c r="S124" s="153"/>
      <c r="V124" s="142"/>
      <c r="W124" s="142"/>
      <c r="X124" s="142"/>
      <c r="Y124" s="142"/>
      <c r="Z124" s="142"/>
      <c r="AA124" s="142"/>
      <c r="AB124" s="142"/>
      <c r="AC124" s="142"/>
      <c r="AD124" s="142"/>
      <c r="AE124" s="142"/>
      <c r="AF124" s="142"/>
      <c r="AG124" s="142"/>
      <c r="AH124" s="142"/>
      <c r="AI124" s="142"/>
      <c r="AL124" s="141"/>
      <c r="AM124" s="141"/>
      <c r="AN124" s="612"/>
      <c r="AO124" s="141"/>
      <c r="AP124" s="141"/>
      <c r="AQ124" s="141"/>
      <c r="AR124" s="141"/>
      <c r="AS124" s="141"/>
      <c r="AZ124" s="141"/>
      <c r="BA124" s="141"/>
      <c r="BB124" s="141"/>
      <c r="BC124" s="141"/>
      <c r="BD124" s="141"/>
      <c r="BE124" s="141"/>
      <c r="BF124" s="141"/>
      <c r="BG124" s="141"/>
      <c r="CQ124" s="153"/>
      <c r="CS124" s="153"/>
      <c r="DO124" s="153"/>
      <c r="DT124" s="154"/>
      <c r="DU124" s="625"/>
      <c r="DV124" s="632"/>
      <c r="DW124" s="632"/>
      <c r="DX124" s="625"/>
      <c r="EF124" s="2537"/>
      <c r="EG124" s="2537"/>
      <c r="EH124" s="2537"/>
      <c r="EI124" s="2537"/>
      <c r="ER124" s="1465"/>
      <c r="FB124" s="153"/>
      <c r="FC124" s="153"/>
      <c r="GA124" s="154"/>
      <c r="GB124" s="1443"/>
      <c r="GK124" s="153"/>
      <c r="GS124" s="142"/>
      <c r="GT124" s="142"/>
      <c r="GU124" s="142"/>
    </row>
    <row r="125" spans="7:213" ht="3.6" customHeight="1">
      <c r="G125" s="2537"/>
      <c r="H125" s="2537"/>
      <c r="I125" s="2537"/>
      <c r="J125" s="2537"/>
      <c r="P125" s="155"/>
      <c r="S125" s="153"/>
      <c r="V125" s="142"/>
      <c r="W125" s="142"/>
      <c r="X125" s="142"/>
      <c r="Y125" s="142"/>
      <c r="Z125" s="142"/>
      <c r="AA125" s="142"/>
      <c r="AB125" s="142"/>
      <c r="AC125" s="142"/>
      <c r="AD125" s="142"/>
      <c r="AE125" s="142"/>
      <c r="AF125" s="142"/>
      <c r="AG125" s="142"/>
      <c r="AH125" s="142"/>
      <c r="AI125" s="142"/>
      <c r="AL125" s="141"/>
      <c r="AM125" s="141"/>
      <c r="AN125" s="612"/>
      <c r="AO125" s="141"/>
      <c r="AP125" s="141"/>
      <c r="AQ125" s="141"/>
      <c r="AR125" s="141"/>
      <c r="AS125" s="141"/>
      <c r="AZ125" s="141"/>
      <c r="BA125" s="2538" t="s">
        <v>3460</v>
      </c>
      <c r="BB125" s="2538"/>
      <c r="BC125" s="2538"/>
      <c r="BD125" s="2538"/>
      <c r="BE125" s="2538"/>
      <c r="BF125" s="2538"/>
      <c r="BG125" s="2538"/>
      <c r="BH125" s="2538"/>
      <c r="BI125" s="2538"/>
      <c r="BJ125" s="2538"/>
      <c r="BK125" s="2538"/>
      <c r="BL125" s="2538"/>
      <c r="BM125" s="2538"/>
      <c r="BN125" s="2538"/>
      <c r="BO125" s="2538"/>
      <c r="BP125" s="2538"/>
      <c r="BQ125" s="2538"/>
      <c r="BR125" s="2538"/>
      <c r="BS125" s="2538"/>
      <c r="BT125" s="2538"/>
      <c r="BU125" s="2538"/>
      <c r="BV125" s="2538"/>
      <c r="BW125" s="2538"/>
      <c r="BX125" s="2538"/>
      <c r="BY125" s="2538"/>
      <c r="BZ125" s="2538"/>
      <c r="CA125" s="2538"/>
      <c r="CL125" s="142"/>
      <c r="CM125" s="142"/>
      <c r="CQ125" s="153"/>
      <c r="CS125" s="153"/>
      <c r="DO125" s="153"/>
      <c r="DT125" s="154"/>
      <c r="DU125" s="625"/>
      <c r="DV125" s="632"/>
      <c r="DW125" s="632"/>
      <c r="DX125" s="625"/>
      <c r="EF125" s="2537"/>
      <c r="EG125" s="2537"/>
      <c r="EH125" s="2537"/>
      <c r="EI125" s="2537"/>
      <c r="ER125" s="1465"/>
      <c r="FB125" s="153"/>
      <c r="FC125" s="156"/>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159"/>
      <c r="GB125" s="1443"/>
      <c r="GK125" s="153"/>
      <c r="GS125" s="142"/>
      <c r="GT125" s="142"/>
      <c r="GU125" s="142"/>
    </row>
    <row r="126" spans="7:213" ht="3.6" customHeight="1">
      <c r="G126" s="2537"/>
      <c r="H126" s="2537"/>
      <c r="I126" s="2537"/>
      <c r="J126" s="2537"/>
      <c r="P126" s="155"/>
      <c r="S126" s="153"/>
      <c r="AL126" s="141"/>
      <c r="AM126" s="163"/>
      <c r="AN126" s="650"/>
      <c r="AO126" s="141"/>
      <c r="AP126" s="141"/>
      <c r="AQ126" s="141"/>
      <c r="AR126" s="141"/>
      <c r="AS126" s="141"/>
      <c r="AZ126" s="141"/>
      <c r="BA126" s="2538"/>
      <c r="BB126" s="2538"/>
      <c r="BC126" s="2538"/>
      <c r="BD126" s="2538"/>
      <c r="BE126" s="2538"/>
      <c r="BF126" s="2538"/>
      <c r="BG126" s="2538"/>
      <c r="BH126" s="2538"/>
      <c r="BI126" s="2538"/>
      <c r="BJ126" s="2538"/>
      <c r="BK126" s="2538"/>
      <c r="BL126" s="2538"/>
      <c r="BM126" s="2538"/>
      <c r="BN126" s="2538"/>
      <c r="BO126" s="2538"/>
      <c r="BP126" s="2538"/>
      <c r="BQ126" s="2538"/>
      <c r="BR126" s="2538"/>
      <c r="BS126" s="2538"/>
      <c r="BT126" s="2538"/>
      <c r="BU126" s="2538"/>
      <c r="BV126" s="2538"/>
      <c r="BW126" s="2538"/>
      <c r="BX126" s="2538"/>
      <c r="BY126" s="2538"/>
      <c r="BZ126" s="2538"/>
      <c r="CA126" s="2538"/>
      <c r="CL126" s="142"/>
      <c r="CM126" s="142"/>
      <c r="CQ126" s="153"/>
      <c r="CS126" s="153"/>
      <c r="DO126" s="153"/>
      <c r="DT126" s="154"/>
      <c r="DU126" s="625"/>
      <c r="DV126" s="632"/>
      <c r="DW126" s="632"/>
      <c r="DX126" s="625"/>
      <c r="EF126" s="2537"/>
      <c r="EG126" s="2537"/>
      <c r="EH126" s="2537"/>
      <c r="EI126" s="2537"/>
      <c r="ER126" s="1465"/>
      <c r="FB126" s="156"/>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159"/>
      <c r="GB126" s="1443"/>
      <c r="GK126" s="153"/>
      <c r="GS126" s="142"/>
      <c r="GT126" s="142"/>
      <c r="GU126" s="142"/>
    </row>
    <row r="127" spans="7:213" ht="3.6" customHeight="1">
      <c r="G127" s="2537"/>
      <c r="H127" s="2537"/>
      <c r="I127" s="2537"/>
      <c r="J127" s="2537"/>
      <c r="P127" s="155"/>
      <c r="S127" s="156"/>
      <c r="T127" s="41"/>
      <c r="U127" s="41"/>
      <c r="V127" s="41"/>
      <c r="W127" s="41"/>
      <c r="X127" s="41"/>
      <c r="Y127" s="41"/>
      <c r="Z127" s="41"/>
      <c r="AA127" s="41"/>
      <c r="AB127" s="41"/>
      <c r="AC127" s="41"/>
      <c r="AD127" s="41"/>
      <c r="AE127" s="41"/>
      <c r="AF127" s="41"/>
      <c r="AG127" s="41"/>
      <c r="AH127" s="41"/>
      <c r="AI127" s="41"/>
      <c r="AK127" s="41"/>
      <c r="AL127" s="1467"/>
      <c r="AM127" s="141"/>
      <c r="AN127" s="141"/>
      <c r="AO127" s="612"/>
      <c r="AP127" s="141"/>
      <c r="AQ127" s="141"/>
      <c r="AR127" s="141"/>
      <c r="AS127" s="141"/>
      <c r="AZ127" s="141"/>
      <c r="BA127" s="2538"/>
      <c r="BB127" s="2538"/>
      <c r="BC127" s="2538"/>
      <c r="BD127" s="2538"/>
      <c r="BE127" s="2538"/>
      <c r="BF127" s="2538"/>
      <c r="BG127" s="2538"/>
      <c r="BH127" s="2538"/>
      <c r="BI127" s="2538"/>
      <c r="BJ127" s="2538"/>
      <c r="BK127" s="2538"/>
      <c r="BL127" s="2538"/>
      <c r="BM127" s="2538"/>
      <c r="BN127" s="2538"/>
      <c r="BO127" s="2538"/>
      <c r="BP127" s="2538"/>
      <c r="BQ127" s="2538"/>
      <c r="BR127" s="2538"/>
      <c r="BS127" s="2538"/>
      <c r="BT127" s="2538"/>
      <c r="BU127" s="2538"/>
      <c r="BV127" s="2538"/>
      <c r="BW127" s="2538"/>
      <c r="BX127" s="2538"/>
      <c r="BY127" s="2538"/>
      <c r="BZ127" s="2538"/>
      <c r="CA127" s="2538"/>
      <c r="CL127" s="142"/>
      <c r="CM127" s="142"/>
      <c r="CQ127" s="153"/>
      <c r="CS127" s="153"/>
      <c r="DO127" s="153"/>
      <c r="DT127" s="154"/>
      <c r="DU127" s="625"/>
      <c r="DV127" s="632"/>
      <c r="DW127" s="632"/>
      <c r="DX127" s="625"/>
      <c r="EF127" s="2537"/>
      <c r="EG127" s="2537"/>
      <c r="EH127" s="2537"/>
      <c r="EI127" s="2537"/>
      <c r="ER127" s="1465"/>
      <c r="GB127" s="1443"/>
      <c r="GK127" s="153"/>
      <c r="GS127" s="142"/>
      <c r="GT127" s="142"/>
      <c r="GU127" s="142"/>
    </row>
    <row r="128" spans="7:213" ht="3.6" customHeight="1">
      <c r="G128" s="41"/>
      <c r="H128" s="41"/>
      <c r="I128" s="41"/>
      <c r="J128" s="41"/>
      <c r="P128" s="153"/>
      <c r="Q128" s="153"/>
      <c r="AJ128" s="151"/>
      <c r="AL128" s="141"/>
      <c r="AM128" s="141"/>
      <c r="AN128" s="141"/>
      <c r="AO128" s="612"/>
      <c r="AP128" s="141"/>
      <c r="AQ128" s="141"/>
      <c r="AR128" s="141"/>
      <c r="AS128" s="141"/>
      <c r="AZ128" s="141"/>
      <c r="BA128" s="2538"/>
      <c r="BB128" s="2538"/>
      <c r="BC128" s="2538"/>
      <c r="BD128" s="2538"/>
      <c r="BE128" s="2538"/>
      <c r="BF128" s="2538"/>
      <c r="BG128" s="2538"/>
      <c r="BH128" s="2538"/>
      <c r="BI128" s="2538"/>
      <c r="BJ128" s="2538"/>
      <c r="BK128" s="2538"/>
      <c r="BL128" s="2538"/>
      <c r="BM128" s="2538"/>
      <c r="BN128" s="2538"/>
      <c r="BO128" s="2538"/>
      <c r="BP128" s="2538"/>
      <c r="BQ128" s="2538"/>
      <c r="BR128" s="2538"/>
      <c r="BS128" s="2538"/>
      <c r="BT128" s="2538"/>
      <c r="BU128" s="2538"/>
      <c r="BV128" s="2538"/>
      <c r="BW128" s="2538"/>
      <c r="BX128" s="2538"/>
      <c r="BY128" s="2538"/>
      <c r="BZ128" s="2538"/>
      <c r="CA128" s="2538"/>
      <c r="CL128" s="142"/>
      <c r="CM128" s="142"/>
      <c r="CQ128" s="153"/>
      <c r="CS128" s="153"/>
      <c r="DO128" s="153"/>
      <c r="DT128" s="154"/>
      <c r="DU128" s="625"/>
      <c r="DV128" s="632"/>
      <c r="DW128" s="632"/>
      <c r="DX128" s="625"/>
      <c r="EF128" s="2537"/>
      <c r="EG128" s="2537"/>
      <c r="EH128" s="2537"/>
      <c r="EI128" s="2537"/>
      <c r="ER128" s="1465"/>
      <c r="GB128" s="1443"/>
      <c r="GK128" s="153"/>
      <c r="GS128" s="142"/>
      <c r="GT128" s="142"/>
      <c r="GU128" s="142"/>
    </row>
    <row r="129" spans="7:208" ht="3.6" customHeight="1">
      <c r="P129" s="153"/>
      <c r="Q129" s="153"/>
      <c r="S129" s="150"/>
      <c r="T129" s="151"/>
      <c r="U129" s="151"/>
      <c r="V129" s="151"/>
      <c r="W129" s="151"/>
      <c r="X129" s="151"/>
      <c r="Y129" s="151"/>
      <c r="Z129" s="151"/>
      <c r="AA129" s="151"/>
      <c r="AB129" s="151"/>
      <c r="AC129" s="151"/>
      <c r="AD129" s="151"/>
      <c r="AE129" s="151"/>
      <c r="AF129" s="151"/>
      <c r="AG129" s="151"/>
      <c r="AH129" s="151"/>
      <c r="AI129" s="151"/>
      <c r="AJ129" s="151"/>
      <c r="AK129" s="151"/>
      <c r="AL129" s="1468"/>
      <c r="AM129" s="141"/>
      <c r="AN129" s="141"/>
      <c r="AO129" s="612"/>
      <c r="AP129" s="141"/>
      <c r="AQ129" s="141"/>
      <c r="AR129" s="141"/>
      <c r="AS129" s="141"/>
      <c r="BA129" s="2538" t="s">
        <v>3487</v>
      </c>
      <c r="BB129" s="2538"/>
      <c r="BC129" s="2538"/>
      <c r="BD129" s="2538"/>
      <c r="BE129" s="2538"/>
      <c r="BF129" s="2538"/>
      <c r="BG129" s="2538"/>
      <c r="BH129" s="2538"/>
      <c r="BI129" s="2538"/>
      <c r="BJ129" s="2538"/>
      <c r="BK129" s="2538"/>
      <c r="BL129" s="2538"/>
      <c r="BM129" s="2538"/>
      <c r="BN129" s="2538"/>
      <c r="BO129" s="2538"/>
      <c r="BP129" s="2538"/>
      <c r="BQ129" s="2538"/>
      <c r="BR129" s="2538"/>
      <c r="BS129" s="2538"/>
      <c r="BT129" s="2538"/>
      <c r="BU129" s="2538"/>
      <c r="BV129" s="2538"/>
      <c r="BW129" s="2538"/>
      <c r="BX129" s="2538"/>
      <c r="BY129" s="2538"/>
      <c r="BZ129" s="2538"/>
      <c r="CA129" s="2538"/>
      <c r="CB129" s="140"/>
      <c r="CC129" s="140"/>
      <c r="CD129" s="140"/>
      <c r="CE129" s="140"/>
      <c r="CF129" s="140"/>
      <c r="CG129" s="140"/>
      <c r="CH129" s="140"/>
      <c r="CI129" s="140"/>
      <c r="CJ129" s="140"/>
      <c r="CK129" s="140"/>
      <c r="CL129" s="140"/>
      <c r="CM129" s="140"/>
      <c r="CQ129" s="153"/>
      <c r="CS129" s="153"/>
      <c r="DO129" s="153"/>
      <c r="DT129" s="154"/>
      <c r="DU129" s="625"/>
      <c r="DV129" s="632"/>
      <c r="DW129" s="1469"/>
      <c r="DX129" s="1470"/>
      <c r="DY129" s="180"/>
      <c r="DZ129" s="180"/>
      <c r="EA129" s="180"/>
      <c r="EB129" s="369"/>
      <c r="EF129" s="2537"/>
      <c r="EG129" s="2537"/>
      <c r="EH129" s="2537"/>
      <c r="EI129" s="2537"/>
      <c r="ER129" s="1465"/>
      <c r="GB129" s="1443"/>
      <c r="GK129" s="153"/>
      <c r="GS129" s="142"/>
      <c r="GT129" s="142"/>
      <c r="GU129" s="142"/>
    </row>
    <row r="130" spans="7:208" ht="3.6" customHeight="1">
      <c r="P130" s="153"/>
      <c r="Q130" s="153"/>
      <c r="S130" s="153"/>
      <c r="AL130" s="643"/>
      <c r="AM130" s="141"/>
      <c r="AN130" s="141"/>
      <c r="AO130" s="612"/>
      <c r="AP130" s="141"/>
      <c r="AQ130" s="141"/>
      <c r="AR130" s="141"/>
      <c r="AS130" s="141"/>
      <c r="BA130" s="2538"/>
      <c r="BB130" s="2538"/>
      <c r="BC130" s="2538"/>
      <c r="BD130" s="2538"/>
      <c r="BE130" s="2538"/>
      <c r="BF130" s="2538"/>
      <c r="BG130" s="2538"/>
      <c r="BH130" s="2538"/>
      <c r="BI130" s="2538"/>
      <c r="BJ130" s="2538"/>
      <c r="BK130" s="2538"/>
      <c r="BL130" s="2538"/>
      <c r="BM130" s="2538"/>
      <c r="BN130" s="2538"/>
      <c r="BO130" s="2538"/>
      <c r="BP130" s="2538"/>
      <c r="BQ130" s="2538"/>
      <c r="BR130" s="2538"/>
      <c r="BS130" s="2538"/>
      <c r="BT130" s="2538"/>
      <c r="BU130" s="2538"/>
      <c r="BV130" s="2538"/>
      <c r="BW130" s="2538"/>
      <c r="BX130" s="2538"/>
      <c r="BY130" s="2538"/>
      <c r="BZ130" s="2538"/>
      <c r="CA130" s="2538"/>
      <c r="CB130" s="140"/>
      <c r="CC130" s="140"/>
      <c r="CD130" s="140"/>
      <c r="CE130" s="140"/>
      <c r="CF130" s="140"/>
      <c r="CG130" s="140"/>
      <c r="CH130" s="140"/>
      <c r="CI130" s="140"/>
      <c r="CJ130" s="140"/>
      <c r="CK130" s="140"/>
      <c r="CL130" s="140"/>
      <c r="CM130" s="140"/>
      <c r="CQ130" s="153"/>
      <c r="CS130" s="153"/>
      <c r="DO130" s="153"/>
      <c r="DT130" s="154"/>
      <c r="DU130" s="1471"/>
      <c r="DV130" s="1472"/>
      <c r="DW130" s="1473"/>
      <c r="DX130" s="625"/>
      <c r="EB130" s="365"/>
      <c r="EF130" s="2537"/>
      <c r="EG130" s="2537"/>
      <c r="EH130" s="2537"/>
      <c r="EI130" s="2537"/>
      <c r="ER130" s="1465"/>
      <c r="GB130" s="1443"/>
      <c r="GK130" s="153"/>
      <c r="GS130" s="142"/>
      <c r="GT130" s="142"/>
      <c r="GU130" s="142"/>
    </row>
    <row r="131" spans="7:208" ht="3.6" customHeight="1">
      <c r="G131" s="2537" t="s">
        <v>3488</v>
      </c>
      <c r="H131" s="2537"/>
      <c r="I131" s="2537"/>
      <c r="J131" s="2537"/>
      <c r="P131" s="153"/>
      <c r="Q131" s="153"/>
      <c r="S131" s="153"/>
      <c r="AL131" s="643"/>
      <c r="AM131" s="141"/>
      <c r="AN131" s="141"/>
      <c r="AO131" s="612"/>
      <c r="AP131" s="141"/>
      <c r="AQ131" s="141"/>
      <c r="AR131" s="141"/>
      <c r="AS131" s="141"/>
      <c r="BA131" s="2538"/>
      <c r="BB131" s="2538"/>
      <c r="BC131" s="2538"/>
      <c r="BD131" s="2538"/>
      <c r="BE131" s="2538"/>
      <c r="BF131" s="2538"/>
      <c r="BG131" s="2538"/>
      <c r="BH131" s="2538"/>
      <c r="BI131" s="2538"/>
      <c r="BJ131" s="2538"/>
      <c r="BK131" s="2538"/>
      <c r="BL131" s="2538"/>
      <c r="BM131" s="2538"/>
      <c r="BN131" s="2538"/>
      <c r="BO131" s="2538"/>
      <c r="BP131" s="2538"/>
      <c r="BQ131" s="2538"/>
      <c r="BR131" s="2538"/>
      <c r="BS131" s="2538"/>
      <c r="BT131" s="2538"/>
      <c r="BU131" s="2538"/>
      <c r="BV131" s="2538"/>
      <c r="BW131" s="2538"/>
      <c r="BX131" s="2538"/>
      <c r="BY131" s="2538"/>
      <c r="BZ131" s="2538"/>
      <c r="CA131" s="2538"/>
      <c r="CB131" s="140"/>
      <c r="CC131" s="140"/>
      <c r="CD131" s="140"/>
      <c r="CE131" s="140"/>
      <c r="CF131" s="140"/>
      <c r="CG131" s="140"/>
      <c r="CH131" s="140"/>
      <c r="CI131" s="140"/>
      <c r="CJ131" s="140"/>
      <c r="CK131" s="140"/>
      <c r="CL131" s="140"/>
      <c r="CM131" s="140"/>
      <c r="CQ131" s="153"/>
      <c r="CS131" s="153"/>
      <c r="DO131" s="153"/>
      <c r="DT131" s="154"/>
      <c r="DU131" s="631"/>
      <c r="DV131" s="1474"/>
      <c r="DW131" s="1473"/>
      <c r="DX131" s="625"/>
      <c r="EB131" s="365"/>
      <c r="EF131" s="2537"/>
      <c r="EG131" s="2537"/>
      <c r="EH131" s="2537"/>
      <c r="EI131" s="2537"/>
      <c r="ER131" s="1465"/>
      <c r="GB131" s="1443"/>
      <c r="GK131" s="636"/>
      <c r="GL131" s="160"/>
      <c r="GM131" s="160"/>
      <c r="GN131" s="160"/>
      <c r="GO131" s="160"/>
      <c r="GP131" s="160"/>
      <c r="GQ131" s="160"/>
      <c r="GR131" s="160"/>
      <c r="GS131" s="141"/>
      <c r="GT131" s="141"/>
      <c r="GU131" s="142"/>
    </row>
    <row r="132" spans="7:208" ht="3.6" customHeight="1">
      <c r="G132" s="2537"/>
      <c r="H132" s="2537"/>
      <c r="I132" s="2537"/>
      <c r="J132" s="2537"/>
      <c r="P132" s="153"/>
      <c r="Q132" s="153"/>
      <c r="S132" s="153"/>
      <c r="AL132" s="643"/>
      <c r="AM132" s="141"/>
      <c r="AN132" s="141"/>
      <c r="AO132" s="612"/>
      <c r="AP132" s="141"/>
      <c r="AQ132" s="141"/>
      <c r="AR132" s="141"/>
      <c r="AS132" s="141"/>
      <c r="BA132" s="2538"/>
      <c r="BB132" s="2538"/>
      <c r="BC132" s="2538"/>
      <c r="BD132" s="2538"/>
      <c r="BE132" s="2538"/>
      <c r="BF132" s="2538"/>
      <c r="BG132" s="2538"/>
      <c r="BH132" s="2538"/>
      <c r="BI132" s="2538"/>
      <c r="BJ132" s="2538"/>
      <c r="BK132" s="2538"/>
      <c r="BL132" s="2538"/>
      <c r="BM132" s="2538"/>
      <c r="BN132" s="2538"/>
      <c r="BO132" s="2538"/>
      <c r="BP132" s="2538"/>
      <c r="BQ132" s="2538"/>
      <c r="BR132" s="2538"/>
      <c r="BS132" s="2538"/>
      <c r="BT132" s="2538"/>
      <c r="BU132" s="2538"/>
      <c r="BV132" s="2538"/>
      <c r="BW132" s="2538"/>
      <c r="BX132" s="2538"/>
      <c r="BY132" s="2538"/>
      <c r="BZ132" s="2538"/>
      <c r="CA132" s="2538"/>
      <c r="CB132" s="140"/>
      <c r="CC132" s="140"/>
      <c r="CD132" s="140"/>
      <c r="CE132" s="140"/>
      <c r="CF132" s="140"/>
      <c r="CG132" s="140"/>
      <c r="CH132" s="140"/>
      <c r="CI132" s="140"/>
      <c r="CJ132" s="140"/>
      <c r="CK132" s="140"/>
      <c r="CL132" s="140"/>
      <c r="CM132" s="140"/>
      <c r="CQ132" s="153"/>
      <c r="CS132" s="153"/>
      <c r="DO132" s="153"/>
      <c r="DT132" s="154"/>
      <c r="DU132" s="631"/>
      <c r="DV132" s="1474"/>
      <c r="DW132" s="1473"/>
      <c r="DX132" s="625"/>
      <c r="EB132" s="365"/>
      <c r="EF132" s="2537"/>
      <c r="EG132" s="2537"/>
      <c r="EH132" s="2537"/>
      <c r="EI132" s="2537"/>
      <c r="ER132" s="1465"/>
      <c r="GB132" s="1443"/>
      <c r="GK132" s="636"/>
      <c r="GL132" s="160"/>
      <c r="GM132" s="160"/>
      <c r="GN132" s="160"/>
      <c r="GO132" s="160"/>
      <c r="GP132" s="160"/>
      <c r="GQ132" s="160"/>
      <c r="GR132" s="160"/>
      <c r="GS132" s="141"/>
      <c r="GT132" s="141"/>
      <c r="GU132" s="142"/>
    </row>
    <row r="133" spans="7:208" ht="3.6" customHeight="1">
      <c r="G133" s="2537"/>
      <c r="H133" s="2537"/>
      <c r="I133" s="2537"/>
      <c r="J133" s="2537"/>
      <c r="M133" s="374"/>
      <c r="N133" s="180"/>
      <c r="O133" s="180"/>
      <c r="P133" s="1486"/>
      <c r="Q133" s="153"/>
      <c r="S133" s="153"/>
      <c r="T133" s="142"/>
      <c r="U133" s="142"/>
      <c r="V133" s="142"/>
      <c r="W133" s="142"/>
      <c r="X133" s="142"/>
      <c r="Y133" s="142"/>
      <c r="Z133" s="142"/>
      <c r="AA133" s="142"/>
      <c r="AB133" s="142"/>
      <c r="AC133" s="142"/>
      <c r="AD133" s="142"/>
      <c r="AE133" s="142"/>
      <c r="AF133" s="142"/>
      <c r="AG133" s="142"/>
      <c r="AH133" s="142"/>
      <c r="AI133" s="142"/>
      <c r="AJ133" s="142"/>
      <c r="AK133" s="142"/>
      <c r="AL133" s="168"/>
      <c r="AM133" s="142"/>
      <c r="AN133" s="142"/>
      <c r="AO133" s="173"/>
      <c r="AP133" s="142"/>
      <c r="AQ133" s="142"/>
      <c r="AR133" s="141"/>
      <c r="AS133" s="141"/>
      <c r="BA133" s="141"/>
      <c r="BB133" s="141"/>
      <c r="BC133" s="141"/>
      <c r="BD133" s="141"/>
      <c r="BE133" s="141"/>
      <c r="BF133" s="141"/>
      <c r="BG133" s="141"/>
      <c r="CQ133" s="162"/>
      <c r="CR133" s="151"/>
      <c r="DO133" s="156"/>
      <c r="DP133" s="41"/>
      <c r="DQ133" s="41"/>
      <c r="DR133" s="41"/>
      <c r="DS133" s="41"/>
      <c r="DT133" s="159"/>
      <c r="DU133" s="631"/>
      <c r="DV133" s="1474"/>
      <c r="DW133" s="1473"/>
      <c r="DX133" s="2530" t="s">
        <v>1953</v>
      </c>
      <c r="DY133" s="2531"/>
      <c r="DZ133" s="2531"/>
      <c r="EA133" s="2531"/>
      <c r="EB133" s="365"/>
      <c r="EF133" s="2537"/>
      <c r="EG133" s="2537"/>
      <c r="EH133" s="2537"/>
      <c r="EI133" s="2537"/>
      <c r="ER133" s="1465"/>
      <c r="GB133" s="1443"/>
      <c r="GK133" s="636"/>
      <c r="GL133" s="160"/>
      <c r="GM133" s="160"/>
      <c r="GN133" s="160"/>
      <c r="GO133" s="160"/>
      <c r="GP133" s="160"/>
      <c r="GQ133" s="160"/>
      <c r="GR133" s="160"/>
      <c r="GS133" s="141"/>
      <c r="GT133" s="141"/>
      <c r="GU133" s="142"/>
    </row>
    <row r="134" spans="7:208" ht="3.6" customHeight="1">
      <c r="G134" s="2537"/>
      <c r="H134" s="2537"/>
      <c r="I134" s="2537"/>
      <c r="J134" s="2537"/>
      <c r="M134" s="2539" t="s">
        <v>1954</v>
      </c>
      <c r="N134" s="2540"/>
      <c r="O134" s="2541"/>
      <c r="P134" s="155"/>
      <c r="Q134" s="1487"/>
      <c r="R134" s="162"/>
      <c r="S134" s="153"/>
      <c r="T134" s="142"/>
      <c r="U134" s="2542" t="s">
        <v>3461</v>
      </c>
      <c r="V134" s="2542"/>
      <c r="W134" s="2542"/>
      <c r="X134" s="2542"/>
      <c r="Y134" s="2542"/>
      <c r="Z134" s="2542"/>
      <c r="AA134" s="2542"/>
      <c r="AB134" s="2542"/>
      <c r="AC134" s="2542"/>
      <c r="AD134" s="2542"/>
      <c r="AE134" s="2542"/>
      <c r="AF134" s="2542"/>
      <c r="AG134" s="2542"/>
      <c r="AH134" s="2542"/>
      <c r="AI134" s="2542"/>
      <c r="AJ134" s="2542"/>
      <c r="AK134" s="142"/>
      <c r="AL134" s="168"/>
      <c r="AM134" s="142"/>
      <c r="AN134" s="142"/>
      <c r="AO134" s="173"/>
      <c r="AP134" s="142"/>
      <c r="AQ134" s="142"/>
      <c r="AR134" s="141"/>
      <c r="AS134" s="141"/>
      <c r="BA134" s="141"/>
      <c r="BB134" s="141"/>
      <c r="BC134" s="141"/>
      <c r="BD134" s="141"/>
      <c r="BE134" s="141"/>
      <c r="BF134" s="141"/>
      <c r="BG134" s="141"/>
      <c r="CQ134" s="154"/>
      <c r="CT134" s="2538" t="s">
        <v>1778</v>
      </c>
      <c r="CU134" s="2538"/>
      <c r="CV134" s="2538"/>
      <c r="CW134" s="2538"/>
      <c r="CX134" s="2538"/>
      <c r="CY134" s="2538"/>
      <c r="CZ134" s="2538"/>
      <c r="DA134" s="2538"/>
      <c r="DB134" s="2538"/>
      <c r="DC134" s="2538"/>
      <c r="DD134" s="2538"/>
      <c r="DE134" s="2538"/>
      <c r="DF134" s="2538"/>
      <c r="DG134" s="2538"/>
      <c r="DH134" s="2538"/>
      <c r="DI134" s="2538"/>
      <c r="DJ134" s="2538"/>
      <c r="DK134" s="2538"/>
      <c r="DL134" s="2538"/>
      <c r="DM134" s="2538"/>
      <c r="DN134" s="2538"/>
      <c r="DO134" s="2538"/>
      <c r="DT134" s="154"/>
      <c r="DU134" s="631"/>
      <c r="DV134" s="1474"/>
      <c r="DW134" s="1473"/>
      <c r="DX134" s="2530"/>
      <c r="DY134" s="2531"/>
      <c r="DZ134" s="2531"/>
      <c r="EA134" s="2531"/>
      <c r="EB134" s="365"/>
      <c r="EF134" s="2537"/>
      <c r="EG134" s="2537"/>
      <c r="EH134" s="2537"/>
      <c r="EI134" s="2537"/>
      <c r="ER134" s="1465"/>
      <c r="GB134" s="1443"/>
      <c r="GK134" s="636"/>
      <c r="GL134" s="160"/>
      <c r="GM134" s="160"/>
      <c r="GN134" s="160"/>
      <c r="GO134" s="160"/>
      <c r="GP134" s="160"/>
      <c r="GQ134" s="160"/>
      <c r="GR134" s="160"/>
      <c r="GS134" s="141"/>
      <c r="GT134" s="141"/>
      <c r="GU134" s="142"/>
    </row>
    <row r="135" spans="7:208" ht="3.6" customHeight="1">
      <c r="G135" s="2537"/>
      <c r="H135" s="2537"/>
      <c r="I135" s="2537"/>
      <c r="J135" s="2537"/>
      <c r="M135" s="2539"/>
      <c r="N135" s="2540"/>
      <c r="O135" s="2541"/>
      <c r="P135" s="155"/>
      <c r="Q135" s="1488"/>
      <c r="R135" s="154"/>
      <c r="S135" s="153"/>
      <c r="T135" s="142"/>
      <c r="U135" s="2542"/>
      <c r="V135" s="2542"/>
      <c r="W135" s="2542"/>
      <c r="X135" s="2542"/>
      <c r="Y135" s="2542"/>
      <c r="Z135" s="2542"/>
      <c r="AA135" s="2542"/>
      <c r="AB135" s="2542"/>
      <c r="AC135" s="2542"/>
      <c r="AD135" s="2542"/>
      <c r="AE135" s="2542"/>
      <c r="AF135" s="2542"/>
      <c r="AG135" s="2542"/>
      <c r="AH135" s="2542"/>
      <c r="AI135" s="2542"/>
      <c r="AJ135" s="2542"/>
      <c r="AK135" s="142"/>
      <c r="AL135" s="142"/>
      <c r="AM135" s="169"/>
      <c r="AN135" s="577"/>
      <c r="AO135" s="142"/>
      <c r="AP135" s="142"/>
      <c r="AQ135" s="142"/>
      <c r="AR135" s="141"/>
      <c r="AS135" s="141"/>
      <c r="BA135" s="141"/>
      <c r="BB135" s="141"/>
      <c r="BC135" s="141"/>
      <c r="BD135" s="141"/>
      <c r="BE135" s="141"/>
      <c r="BF135" s="141"/>
      <c r="BG135" s="141"/>
      <c r="CQ135" s="154"/>
      <c r="CT135" s="2538"/>
      <c r="CU135" s="2538"/>
      <c r="CV135" s="2538"/>
      <c r="CW135" s="2538"/>
      <c r="CX135" s="2538"/>
      <c r="CY135" s="2538"/>
      <c r="CZ135" s="2538"/>
      <c r="DA135" s="2538"/>
      <c r="DB135" s="2538"/>
      <c r="DC135" s="2538"/>
      <c r="DD135" s="2538"/>
      <c r="DE135" s="2538"/>
      <c r="DF135" s="2538"/>
      <c r="DG135" s="2538"/>
      <c r="DH135" s="2538"/>
      <c r="DI135" s="2538"/>
      <c r="DJ135" s="2538"/>
      <c r="DK135" s="2538"/>
      <c r="DL135" s="2538"/>
      <c r="DM135" s="2538"/>
      <c r="DN135" s="2538"/>
      <c r="DO135" s="2538"/>
      <c r="DT135" s="154"/>
      <c r="DU135" s="631"/>
      <c r="DV135" s="1474"/>
      <c r="DW135" s="1473"/>
      <c r="DX135" s="2530"/>
      <c r="DY135" s="2531"/>
      <c r="DZ135" s="2531"/>
      <c r="EA135" s="2531"/>
      <c r="EB135" s="365"/>
      <c r="EF135" s="2537"/>
      <c r="EG135" s="2537"/>
      <c r="EH135" s="2537"/>
      <c r="EI135" s="2537"/>
      <c r="ER135" s="1465"/>
      <c r="FB135" s="150"/>
      <c r="FC135" s="151"/>
      <c r="FD135" s="151"/>
      <c r="FE135" s="151"/>
      <c r="FF135" s="151"/>
      <c r="FG135" s="151"/>
      <c r="FH135" s="151"/>
      <c r="FI135" s="151"/>
      <c r="FJ135" s="151"/>
      <c r="FK135" s="151"/>
      <c r="FL135" s="151"/>
      <c r="FM135" s="151"/>
      <c r="FN135" s="151"/>
      <c r="FO135" s="151"/>
      <c r="FP135" s="151"/>
      <c r="FQ135" s="151"/>
      <c r="FR135" s="151"/>
      <c r="FS135" s="151"/>
      <c r="FT135" s="151"/>
      <c r="FU135" s="151"/>
      <c r="FV135" s="151"/>
      <c r="FW135" s="151"/>
      <c r="FX135" s="151"/>
      <c r="FY135" s="151"/>
      <c r="FZ135" s="151"/>
      <c r="GA135" s="162"/>
      <c r="GB135" s="1443"/>
      <c r="GK135" s="636"/>
      <c r="GL135" s="160"/>
      <c r="GM135" s="160"/>
      <c r="GN135" s="160"/>
      <c r="GO135" s="160"/>
      <c r="GP135" s="160"/>
      <c r="GQ135" s="160"/>
      <c r="GR135" s="160"/>
      <c r="GS135" s="141"/>
      <c r="GT135" s="141"/>
      <c r="GU135" s="142"/>
    </row>
    <row r="136" spans="7:208" ht="3.6" customHeight="1">
      <c r="G136" s="2537"/>
      <c r="H136" s="2537"/>
      <c r="I136" s="2537"/>
      <c r="J136" s="2537"/>
      <c r="M136" s="2539"/>
      <c r="N136" s="2540"/>
      <c r="O136" s="2541"/>
      <c r="P136" s="155"/>
      <c r="Q136" s="1488"/>
      <c r="R136" s="154"/>
      <c r="S136" s="153"/>
      <c r="T136" s="142"/>
      <c r="U136" s="2542"/>
      <c r="V136" s="2542"/>
      <c r="W136" s="2542"/>
      <c r="X136" s="2542"/>
      <c r="Y136" s="2542"/>
      <c r="Z136" s="2542"/>
      <c r="AA136" s="2542"/>
      <c r="AB136" s="2542"/>
      <c r="AC136" s="2542"/>
      <c r="AD136" s="2542"/>
      <c r="AE136" s="2542"/>
      <c r="AF136" s="2542"/>
      <c r="AG136" s="2542"/>
      <c r="AH136" s="2542"/>
      <c r="AI136" s="2542"/>
      <c r="AJ136" s="2542"/>
      <c r="AK136" s="142"/>
      <c r="AL136" s="142"/>
      <c r="AM136" s="142"/>
      <c r="AN136" s="173"/>
      <c r="AO136" s="142"/>
      <c r="AP136" s="142"/>
      <c r="AQ136" s="142"/>
      <c r="AR136" s="141"/>
      <c r="AS136" s="141"/>
      <c r="BA136" s="141"/>
      <c r="BB136" s="141"/>
      <c r="BC136" s="141"/>
      <c r="BD136" s="141"/>
      <c r="BE136" s="141"/>
      <c r="BF136" s="141"/>
      <c r="BG136" s="141"/>
      <c r="CQ136" s="154"/>
      <c r="CT136" s="2538"/>
      <c r="CU136" s="2538"/>
      <c r="CV136" s="2538"/>
      <c r="CW136" s="2538"/>
      <c r="CX136" s="2538"/>
      <c r="CY136" s="2538"/>
      <c r="CZ136" s="2538"/>
      <c r="DA136" s="2538"/>
      <c r="DB136" s="2538"/>
      <c r="DC136" s="2538"/>
      <c r="DD136" s="2538"/>
      <c r="DE136" s="2538"/>
      <c r="DF136" s="2538"/>
      <c r="DG136" s="2538"/>
      <c r="DH136" s="2538"/>
      <c r="DI136" s="2538"/>
      <c r="DJ136" s="2538"/>
      <c r="DK136" s="2538"/>
      <c r="DL136" s="2538"/>
      <c r="DM136" s="2538"/>
      <c r="DN136" s="2538"/>
      <c r="DO136" s="2538"/>
      <c r="DT136" s="154"/>
      <c r="DU136" s="631"/>
      <c r="DV136" s="1474"/>
      <c r="DW136" s="1473"/>
      <c r="DX136" s="2530"/>
      <c r="DY136" s="2531"/>
      <c r="DZ136" s="2531"/>
      <c r="EA136" s="2531"/>
      <c r="EB136" s="365"/>
      <c r="EF136" s="2537"/>
      <c r="EG136" s="2537"/>
      <c r="EH136" s="2537"/>
      <c r="EI136" s="2537"/>
      <c r="ER136" s="1465"/>
      <c r="FB136" s="153"/>
      <c r="FC136" s="150"/>
      <c r="FD136" s="151"/>
      <c r="FE136" s="151"/>
      <c r="FF136" s="151"/>
      <c r="FG136" s="151"/>
      <c r="FH136" s="151"/>
      <c r="FI136" s="151"/>
      <c r="FJ136" s="151"/>
      <c r="FK136" s="151"/>
      <c r="FL136" s="151"/>
      <c r="FM136" s="151"/>
      <c r="FN136" s="151"/>
      <c r="FO136" s="151"/>
      <c r="FP136" s="151"/>
      <c r="FQ136" s="151"/>
      <c r="FR136" s="151"/>
      <c r="FS136" s="151"/>
      <c r="FT136" s="151"/>
      <c r="FU136" s="151"/>
      <c r="FV136" s="151"/>
      <c r="FW136" s="151"/>
      <c r="FX136" s="151"/>
      <c r="FY136" s="151"/>
      <c r="FZ136" s="151"/>
      <c r="GA136" s="162"/>
      <c r="GB136" s="1443"/>
      <c r="GK136" s="636"/>
      <c r="GL136" s="160"/>
      <c r="GM136" s="160"/>
      <c r="GN136" s="160"/>
      <c r="GO136" s="160"/>
      <c r="GP136" s="160"/>
      <c r="GQ136" s="160"/>
      <c r="GR136" s="160"/>
      <c r="GS136" s="141"/>
      <c r="GT136" s="141"/>
      <c r="GU136" s="142"/>
    </row>
    <row r="137" spans="7:208" ht="3.6" customHeight="1">
      <c r="G137" s="2537"/>
      <c r="H137" s="2537"/>
      <c r="I137" s="2537"/>
      <c r="J137" s="2537"/>
      <c r="M137" s="2539"/>
      <c r="N137" s="2540"/>
      <c r="O137" s="2541"/>
      <c r="P137" s="155"/>
      <c r="Q137" s="1488"/>
      <c r="R137" s="154"/>
      <c r="S137" s="153"/>
      <c r="T137" s="140"/>
      <c r="U137" s="2542" t="s">
        <v>3489</v>
      </c>
      <c r="V137" s="2542"/>
      <c r="W137" s="2542"/>
      <c r="X137" s="2542"/>
      <c r="Y137" s="2542"/>
      <c r="Z137" s="2542"/>
      <c r="AA137" s="2542"/>
      <c r="AB137" s="2542"/>
      <c r="AC137" s="2542"/>
      <c r="AD137" s="2542"/>
      <c r="AE137" s="2542"/>
      <c r="AF137" s="2542"/>
      <c r="AG137" s="2542"/>
      <c r="AH137" s="2542"/>
      <c r="AI137" s="2542"/>
      <c r="AJ137" s="2542"/>
      <c r="AK137" s="140"/>
      <c r="AL137" s="140"/>
      <c r="AM137" s="140"/>
      <c r="AN137" s="164"/>
      <c r="AO137" s="2543" t="s">
        <v>1950</v>
      </c>
      <c r="AP137" s="2543"/>
      <c r="AQ137" s="2543"/>
      <c r="AR137" s="2543"/>
      <c r="AS137" s="141"/>
      <c r="BA137" s="141"/>
      <c r="BB137" s="141"/>
      <c r="BC137" s="141"/>
      <c r="BD137" s="141"/>
      <c r="BE137" s="141"/>
      <c r="BF137" s="141"/>
      <c r="BG137" s="141"/>
      <c r="CL137" s="2538" t="s">
        <v>291</v>
      </c>
      <c r="CM137" s="2538"/>
      <c r="CN137" s="2538"/>
      <c r="CO137" s="2538"/>
      <c r="CP137" s="2538"/>
      <c r="CQ137" s="154"/>
      <c r="CT137" s="2538"/>
      <c r="CU137" s="2538"/>
      <c r="CV137" s="2538"/>
      <c r="CW137" s="2538"/>
      <c r="CX137" s="2538"/>
      <c r="CY137" s="2538"/>
      <c r="CZ137" s="2538"/>
      <c r="DA137" s="2538"/>
      <c r="DB137" s="2538"/>
      <c r="DC137" s="2538"/>
      <c r="DD137" s="2538"/>
      <c r="DE137" s="2538"/>
      <c r="DF137" s="2538"/>
      <c r="DG137" s="2538"/>
      <c r="DH137" s="2538"/>
      <c r="DI137" s="2538"/>
      <c r="DJ137" s="2538"/>
      <c r="DK137" s="2538"/>
      <c r="DL137" s="2538"/>
      <c r="DM137" s="2538"/>
      <c r="DN137" s="2538"/>
      <c r="DO137" s="2538"/>
      <c r="DT137" s="154"/>
      <c r="DU137" s="631"/>
      <c r="DV137" s="1474"/>
      <c r="DW137" s="1473"/>
      <c r="DX137" s="2530"/>
      <c r="DY137" s="2531"/>
      <c r="DZ137" s="2531"/>
      <c r="EA137" s="2531"/>
      <c r="EB137" s="365"/>
      <c r="EF137" s="2537"/>
      <c r="EG137" s="2537"/>
      <c r="EH137" s="2537"/>
      <c r="EI137" s="2537"/>
      <c r="ER137" s="1465"/>
      <c r="FB137" s="153"/>
      <c r="FC137" s="153"/>
      <c r="GA137" s="154"/>
      <c r="GB137" s="1450"/>
      <c r="GK137" s="636"/>
      <c r="GL137" s="160"/>
      <c r="GM137" s="160"/>
      <c r="GN137" s="160"/>
      <c r="GO137" s="160"/>
      <c r="GP137" s="160"/>
      <c r="GQ137" s="160"/>
      <c r="GR137" s="160"/>
      <c r="GS137" s="141"/>
      <c r="GT137" s="141"/>
      <c r="GU137" s="142"/>
    </row>
    <row r="138" spans="7:208" ht="3.6" customHeight="1">
      <c r="G138" s="2537"/>
      <c r="H138" s="2537"/>
      <c r="I138" s="2537"/>
      <c r="J138" s="2537"/>
      <c r="M138" s="2539"/>
      <c r="N138" s="2540"/>
      <c r="O138" s="2541"/>
      <c r="P138" s="155"/>
      <c r="Q138" s="1489"/>
      <c r="R138" s="159"/>
      <c r="S138" s="153"/>
      <c r="T138" s="140"/>
      <c r="U138" s="2542"/>
      <c r="V138" s="2542"/>
      <c r="W138" s="2542"/>
      <c r="X138" s="2542"/>
      <c r="Y138" s="2542"/>
      <c r="Z138" s="2542"/>
      <c r="AA138" s="2542"/>
      <c r="AB138" s="2542"/>
      <c r="AC138" s="2542"/>
      <c r="AD138" s="2542"/>
      <c r="AE138" s="2542"/>
      <c r="AF138" s="2542"/>
      <c r="AG138" s="2542"/>
      <c r="AH138" s="2542"/>
      <c r="AI138" s="2542"/>
      <c r="AJ138" s="2542"/>
      <c r="AK138" s="140"/>
      <c r="AL138" s="140"/>
      <c r="AM138" s="140"/>
      <c r="AN138" s="164"/>
      <c r="AO138" s="2543"/>
      <c r="AP138" s="2543"/>
      <c r="AQ138" s="2543"/>
      <c r="AR138" s="2543"/>
      <c r="AS138" s="141"/>
      <c r="BA138" s="141"/>
      <c r="BB138" s="141"/>
      <c r="BC138" s="141"/>
      <c r="BD138" s="141"/>
      <c r="BE138" s="141"/>
      <c r="BF138" s="141"/>
      <c r="BG138" s="141"/>
      <c r="CL138" s="2538"/>
      <c r="CM138" s="2538"/>
      <c r="CN138" s="2538"/>
      <c r="CO138" s="2538"/>
      <c r="CP138" s="2538"/>
      <c r="CQ138" s="154"/>
      <c r="CT138" s="2538" t="s">
        <v>3462</v>
      </c>
      <c r="CU138" s="2538"/>
      <c r="CV138" s="2538"/>
      <c r="CW138" s="2538"/>
      <c r="CX138" s="2538"/>
      <c r="CY138" s="2538"/>
      <c r="CZ138" s="2538"/>
      <c r="DA138" s="2538"/>
      <c r="DB138" s="2538"/>
      <c r="DC138" s="2538"/>
      <c r="DD138" s="2538"/>
      <c r="DE138" s="2538"/>
      <c r="DF138" s="2538"/>
      <c r="DG138" s="2538"/>
      <c r="DH138" s="2538"/>
      <c r="DI138" s="2538"/>
      <c r="DJ138" s="2538"/>
      <c r="DK138" s="2538"/>
      <c r="DL138" s="2538"/>
      <c r="DM138" s="2538"/>
      <c r="DN138" s="2538"/>
      <c r="DO138" s="2538"/>
      <c r="DT138" s="154"/>
      <c r="DU138" s="631"/>
      <c r="DV138" s="1474"/>
      <c r="DW138" s="1473"/>
      <c r="DX138" s="625"/>
      <c r="EB138" s="365"/>
      <c r="EF138" s="2537"/>
      <c r="EG138" s="2537"/>
      <c r="EH138" s="2537"/>
      <c r="EI138" s="2537"/>
      <c r="ER138" s="1465"/>
      <c r="FB138" s="153"/>
      <c r="FC138" s="153"/>
      <c r="GA138" s="154"/>
      <c r="GB138" s="1444"/>
      <c r="GK138" s="636"/>
      <c r="GL138" s="160"/>
      <c r="GM138" s="160"/>
      <c r="GN138" s="160"/>
      <c r="GO138" s="160"/>
      <c r="GP138" s="160"/>
      <c r="GQ138" s="160"/>
      <c r="GR138" s="160"/>
      <c r="GS138" s="141"/>
      <c r="GT138" s="141"/>
      <c r="GU138" s="142"/>
    </row>
    <row r="139" spans="7:208" ht="3.6" customHeight="1">
      <c r="G139" s="2537"/>
      <c r="H139" s="2537"/>
      <c r="I139" s="2537"/>
      <c r="J139" s="2537"/>
      <c r="M139" s="377"/>
      <c r="N139" s="177"/>
      <c r="O139" s="177"/>
      <c r="P139" s="1490"/>
      <c r="Q139" s="153"/>
      <c r="S139" s="153"/>
      <c r="T139" s="140"/>
      <c r="U139" s="2542"/>
      <c r="V139" s="2542"/>
      <c r="W139" s="2542"/>
      <c r="X139" s="2542"/>
      <c r="Y139" s="2542"/>
      <c r="Z139" s="2542"/>
      <c r="AA139" s="2542"/>
      <c r="AB139" s="2542"/>
      <c r="AC139" s="2542"/>
      <c r="AD139" s="2542"/>
      <c r="AE139" s="2542"/>
      <c r="AF139" s="2542"/>
      <c r="AG139" s="2542"/>
      <c r="AH139" s="2542"/>
      <c r="AI139" s="2542"/>
      <c r="AJ139" s="2542"/>
      <c r="AK139" s="140"/>
      <c r="AL139" s="140"/>
      <c r="AM139" s="140"/>
      <c r="AN139" s="164"/>
      <c r="AO139" s="2543"/>
      <c r="AP139" s="2543"/>
      <c r="AQ139" s="2543"/>
      <c r="AR139" s="2543"/>
      <c r="CL139" s="2538"/>
      <c r="CM139" s="2538"/>
      <c r="CN139" s="2538"/>
      <c r="CO139" s="2538"/>
      <c r="CP139" s="2538"/>
      <c r="CQ139" s="154"/>
      <c r="CT139" s="2538"/>
      <c r="CU139" s="2538"/>
      <c r="CV139" s="2538"/>
      <c r="CW139" s="2538"/>
      <c r="CX139" s="2538"/>
      <c r="CY139" s="2538"/>
      <c r="CZ139" s="2538"/>
      <c r="DA139" s="2538"/>
      <c r="DB139" s="2538"/>
      <c r="DC139" s="2538"/>
      <c r="DD139" s="2538"/>
      <c r="DE139" s="2538"/>
      <c r="DF139" s="2538"/>
      <c r="DG139" s="2538"/>
      <c r="DH139" s="2538"/>
      <c r="DI139" s="2538"/>
      <c r="DJ139" s="2538"/>
      <c r="DK139" s="2538"/>
      <c r="DL139" s="2538"/>
      <c r="DM139" s="2538"/>
      <c r="DN139" s="2538"/>
      <c r="DO139" s="2538"/>
      <c r="DT139" s="154"/>
      <c r="DU139" s="631"/>
      <c r="DV139" s="1474"/>
      <c r="DW139" s="1473"/>
      <c r="DX139" s="625"/>
      <c r="EB139" s="365"/>
      <c r="EF139" s="2537"/>
      <c r="EG139" s="2537"/>
      <c r="EH139" s="2537"/>
      <c r="EI139" s="2537"/>
      <c r="ER139" s="1465"/>
      <c r="FB139" s="153"/>
      <c r="FC139" s="153"/>
      <c r="GA139" s="154"/>
      <c r="GB139" s="1444"/>
      <c r="GK139" s="636"/>
      <c r="GL139" s="160"/>
      <c r="GM139" s="160"/>
      <c r="GN139" s="160"/>
      <c r="GO139" s="160"/>
      <c r="GP139" s="160"/>
      <c r="GQ139" s="160"/>
      <c r="GR139" s="160"/>
      <c r="GS139" s="141"/>
      <c r="GT139" s="141"/>
      <c r="GU139" s="142"/>
    </row>
    <row r="140" spans="7:208" ht="3.6" customHeight="1">
      <c r="G140" s="2537"/>
      <c r="H140" s="2537"/>
      <c r="I140" s="2537"/>
      <c r="J140" s="2537"/>
      <c r="P140" s="153"/>
      <c r="Q140" s="153"/>
      <c r="S140" s="153"/>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64"/>
      <c r="AO140" s="2543"/>
      <c r="AP140" s="2543"/>
      <c r="AQ140" s="2543"/>
      <c r="AR140" s="2543"/>
      <c r="CL140" s="2538"/>
      <c r="CM140" s="2538"/>
      <c r="CN140" s="2538"/>
      <c r="CO140" s="2538"/>
      <c r="CP140" s="2538"/>
      <c r="CQ140" s="154"/>
      <c r="CT140" s="2538"/>
      <c r="CU140" s="2538"/>
      <c r="CV140" s="2538"/>
      <c r="CW140" s="2538"/>
      <c r="CX140" s="2538"/>
      <c r="CY140" s="2538"/>
      <c r="CZ140" s="2538"/>
      <c r="DA140" s="2538"/>
      <c r="DB140" s="2538"/>
      <c r="DC140" s="2538"/>
      <c r="DD140" s="2538"/>
      <c r="DE140" s="2538"/>
      <c r="DF140" s="2538"/>
      <c r="DG140" s="2538"/>
      <c r="DH140" s="2538"/>
      <c r="DI140" s="2538"/>
      <c r="DJ140" s="2538"/>
      <c r="DK140" s="2538"/>
      <c r="DL140" s="2538"/>
      <c r="DM140" s="2538"/>
      <c r="DN140" s="2538"/>
      <c r="DO140" s="2538"/>
      <c r="DT140" s="154"/>
      <c r="DU140" s="631"/>
      <c r="DV140" s="1474"/>
      <c r="DW140" s="1473"/>
      <c r="DX140" s="625"/>
      <c r="EB140" s="365"/>
      <c r="ER140" s="1465"/>
      <c r="FB140" s="153"/>
      <c r="FC140" s="153"/>
      <c r="GA140" s="154"/>
      <c r="GB140" s="1447"/>
      <c r="GK140" s="636"/>
      <c r="GL140" s="160"/>
      <c r="GM140" s="160"/>
      <c r="GN140" s="160"/>
      <c r="GO140" s="160"/>
      <c r="GP140" s="160"/>
      <c r="GQ140" s="160"/>
      <c r="GR140" s="160"/>
      <c r="GS140" s="141"/>
      <c r="GT140" s="141"/>
      <c r="GU140" s="142"/>
    </row>
    <row r="141" spans="7:208" ht="3.6" customHeight="1">
      <c r="G141" s="2537"/>
      <c r="H141" s="2537"/>
      <c r="I141" s="2537"/>
      <c r="J141" s="2537"/>
      <c r="P141" s="153"/>
      <c r="Q141" s="153"/>
      <c r="S141" s="153"/>
      <c r="AN141" s="153"/>
      <c r="CQ141" s="154"/>
      <c r="CT141" s="2538"/>
      <c r="CU141" s="2538"/>
      <c r="CV141" s="2538"/>
      <c r="CW141" s="2538"/>
      <c r="CX141" s="2538"/>
      <c r="CY141" s="2538"/>
      <c r="CZ141" s="2538"/>
      <c r="DA141" s="2538"/>
      <c r="DB141" s="2538"/>
      <c r="DC141" s="2538"/>
      <c r="DD141" s="2538"/>
      <c r="DE141" s="2538"/>
      <c r="DF141" s="2538"/>
      <c r="DG141" s="2538"/>
      <c r="DH141" s="2538"/>
      <c r="DI141" s="2538"/>
      <c r="DJ141" s="2538"/>
      <c r="DK141" s="2538"/>
      <c r="DL141" s="2538"/>
      <c r="DM141" s="2538"/>
      <c r="DN141" s="2538"/>
      <c r="DO141" s="2538"/>
      <c r="DT141" s="154"/>
      <c r="DU141" s="1475"/>
      <c r="DV141" s="1476"/>
      <c r="DW141" s="1473"/>
      <c r="DX141" s="625"/>
      <c r="EB141" s="365"/>
      <c r="ER141" s="1465"/>
      <c r="FB141" s="153"/>
      <c r="FC141" s="153"/>
      <c r="GA141" s="154"/>
      <c r="GB141" s="1443"/>
      <c r="GK141" s="636"/>
      <c r="GL141" s="160"/>
      <c r="GM141" s="160"/>
      <c r="GN141" s="160"/>
      <c r="GO141" s="160"/>
      <c r="GP141" s="160"/>
      <c r="GQ141" s="160"/>
      <c r="GR141" s="160"/>
      <c r="GS141" s="141"/>
      <c r="GT141" s="141"/>
      <c r="GU141" s="142"/>
    </row>
    <row r="142" spans="7:208" ht="3.6" customHeight="1">
      <c r="G142" s="2537"/>
      <c r="H142" s="2537"/>
      <c r="I142" s="2537"/>
      <c r="J142" s="2537"/>
      <c r="P142" s="153"/>
      <c r="Q142" s="153"/>
      <c r="S142" s="153"/>
      <c r="AN142" s="153"/>
      <c r="CQ142" s="154"/>
      <c r="DT142" s="154"/>
      <c r="DU142" s="625"/>
      <c r="DV142" s="632"/>
      <c r="DW142" s="1477"/>
      <c r="DX142" s="646"/>
      <c r="DY142" s="177"/>
      <c r="DZ142" s="177"/>
      <c r="EA142" s="177"/>
      <c r="EB142" s="379"/>
      <c r="ER142" s="1465"/>
      <c r="FB142" s="153"/>
      <c r="FC142" s="156"/>
      <c r="FD142" s="41"/>
      <c r="FE142" s="41"/>
      <c r="FF142" s="41"/>
      <c r="FG142" s="41"/>
      <c r="FH142" s="41"/>
      <c r="FI142" s="41"/>
      <c r="FJ142" s="41"/>
      <c r="FK142" s="41"/>
      <c r="FL142" s="41"/>
      <c r="FM142" s="41"/>
      <c r="FN142" s="41"/>
      <c r="FO142" s="41"/>
      <c r="FP142" s="41"/>
      <c r="FQ142" s="41"/>
      <c r="FR142" s="41"/>
      <c r="FS142" s="41"/>
      <c r="FT142" s="41"/>
      <c r="FU142" s="41"/>
      <c r="FV142" s="41"/>
      <c r="FW142" s="41"/>
      <c r="FX142" s="41"/>
      <c r="FY142" s="41"/>
      <c r="FZ142" s="41"/>
      <c r="GA142" s="159"/>
      <c r="GB142" s="1443"/>
      <c r="GK142" s="612"/>
      <c r="GL142" s="141"/>
      <c r="GM142" s="141"/>
      <c r="GN142" s="141"/>
      <c r="GO142" s="141"/>
      <c r="GP142" s="141"/>
      <c r="GQ142" s="141"/>
      <c r="GR142" s="141"/>
      <c r="GS142" s="141"/>
      <c r="GT142" s="1491"/>
      <c r="GU142" s="2548" t="s">
        <v>3163</v>
      </c>
      <c r="GV142" s="2548"/>
      <c r="GW142" s="2549"/>
      <c r="GX142" s="2547" t="s">
        <v>419</v>
      </c>
      <c r="GY142" s="2548"/>
      <c r="GZ142" s="2549"/>
    </row>
    <row r="143" spans="7:208" ht="3.6" customHeight="1">
      <c r="G143" s="2537"/>
      <c r="H143" s="2537"/>
      <c r="I143" s="2537"/>
      <c r="J143" s="2537"/>
      <c r="P143" s="153"/>
      <c r="Q143" s="153"/>
      <c r="S143" s="153"/>
      <c r="AM143" s="41"/>
      <c r="AN143" s="156"/>
      <c r="CQ143" s="154"/>
      <c r="DT143" s="154"/>
      <c r="DU143" s="625"/>
      <c r="DV143" s="632"/>
      <c r="DW143" s="632"/>
      <c r="DX143" s="625"/>
      <c r="ER143" s="1465"/>
      <c r="FB143" s="156"/>
      <c r="FC143" s="41"/>
      <c r="FD143" s="41"/>
      <c r="FE143" s="41"/>
      <c r="FF143" s="41"/>
      <c r="FG143" s="41"/>
      <c r="FH143" s="41"/>
      <c r="FI143" s="41"/>
      <c r="FJ143" s="41"/>
      <c r="FK143" s="41"/>
      <c r="FL143" s="41"/>
      <c r="FM143" s="41"/>
      <c r="FN143" s="41"/>
      <c r="FO143" s="41"/>
      <c r="FP143" s="41"/>
      <c r="FQ143" s="41"/>
      <c r="FR143" s="41"/>
      <c r="FS143" s="41"/>
      <c r="FT143" s="41"/>
      <c r="FU143" s="41"/>
      <c r="FV143" s="41"/>
      <c r="FW143" s="41"/>
      <c r="FX143" s="41"/>
      <c r="FY143" s="41"/>
      <c r="FZ143" s="41"/>
      <c r="GA143" s="159"/>
      <c r="GB143" s="1443"/>
      <c r="GK143" s="173"/>
      <c r="GL143" s="142"/>
      <c r="GM143" s="142"/>
      <c r="GN143" s="142"/>
      <c r="GO143" s="142"/>
      <c r="GP143" s="163"/>
      <c r="GQ143" s="163"/>
      <c r="GR143" s="163"/>
      <c r="GS143" s="1492"/>
      <c r="GT143" s="1493"/>
      <c r="GU143" s="2531"/>
      <c r="GV143" s="2531"/>
      <c r="GW143" s="2532"/>
      <c r="GX143" s="2530"/>
      <c r="GY143" s="2531"/>
      <c r="GZ143" s="2532"/>
    </row>
    <row r="144" spans="7:208" ht="3.6" customHeight="1">
      <c r="G144" s="2537"/>
      <c r="H144" s="2537"/>
      <c r="I144" s="2537"/>
      <c r="J144" s="2537"/>
      <c r="P144" s="153"/>
      <c r="Q144" s="153"/>
      <c r="S144" s="156"/>
      <c r="T144" s="41"/>
      <c r="U144" s="41"/>
      <c r="V144" s="41"/>
      <c r="W144" s="41"/>
      <c r="X144" s="41"/>
      <c r="Y144" s="41"/>
      <c r="Z144" s="41"/>
      <c r="AA144" s="41"/>
      <c r="AB144" s="41"/>
      <c r="AC144" s="41"/>
      <c r="AD144" s="41"/>
      <c r="AE144" s="41"/>
      <c r="AF144" s="41"/>
      <c r="AG144" s="41"/>
      <c r="AH144" s="41"/>
      <c r="AI144" s="41"/>
      <c r="AJ144" s="41"/>
      <c r="AK144" s="41"/>
      <c r="AL144" s="159"/>
      <c r="AO144" s="153"/>
      <c r="CQ144" s="159"/>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159"/>
      <c r="DU144" s="625"/>
      <c r="DV144" s="632"/>
      <c r="DW144" s="632"/>
      <c r="DX144" s="625"/>
      <c r="ER144" s="1465"/>
      <c r="GB144" s="1443"/>
      <c r="GK144" s="612"/>
      <c r="GL144" s="141"/>
      <c r="GM144" s="141"/>
      <c r="GN144" s="141"/>
      <c r="GO144" s="141"/>
      <c r="GP144" s="2530" t="s">
        <v>3458</v>
      </c>
      <c r="GQ144" s="2531"/>
      <c r="GR144" s="2531"/>
      <c r="GS144" s="2531"/>
      <c r="GT144" s="2532"/>
      <c r="GU144" s="2530"/>
      <c r="GV144" s="2531"/>
      <c r="GW144" s="2532"/>
      <c r="GX144" s="2530"/>
      <c r="GY144" s="2531"/>
      <c r="GZ144" s="2532"/>
    </row>
    <row r="145" spans="7:208" ht="3.6" customHeight="1">
      <c r="G145" s="2537"/>
      <c r="H145" s="2537"/>
      <c r="I145" s="2537"/>
      <c r="J145" s="2537"/>
      <c r="P145" s="153"/>
      <c r="Q145" s="153"/>
      <c r="AO145" s="153"/>
      <c r="AQ145" s="2543" t="s">
        <v>3490</v>
      </c>
      <c r="AR145" s="2543"/>
      <c r="AS145" s="2543"/>
      <c r="AT145" s="2543"/>
      <c r="AU145" s="2543"/>
      <c r="AV145" s="2543"/>
      <c r="AW145" s="142"/>
      <c r="AX145" s="142"/>
      <c r="AY145" s="142"/>
      <c r="AZ145" s="142"/>
      <c r="CJ145" s="2543" t="s">
        <v>3490</v>
      </c>
      <c r="CK145" s="2543"/>
      <c r="CL145" s="2543"/>
      <c r="CM145" s="2543"/>
      <c r="CN145" s="2543"/>
      <c r="CO145" s="2543"/>
      <c r="CP145" s="154"/>
      <c r="CQ145" s="153"/>
      <c r="CS145" s="150"/>
      <c r="CT145" s="151"/>
      <c r="CU145" s="151"/>
      <c r="CV145" s="151"/>
      <c r="CW145" s="151"/>
      <c r="CX145" s="151"/>
      <c r="CY145" s="151"/>
      <c r="CZ145" s="151"/>
      <c r="DA145" s="151"/>
      <c r="DB145" s="151"/>
      <c r="DC145" s="151"/>
      <c r="DD145" s="151"/>
      <c r="DE145" s="162"/>
      <c r="DF145" s="150"/>
      <c r="DG145" s="151"/>
      <c r="DH145" s="151"/>
      <c r="DI145" s="151"/>
      <c r="DJ145" s="151"/>
      <c r="DK145" s="151"/>
      <c r="DL145" s="151"/>
      <c r="DM145" s="151"/>
      <c r="DN145" s="151"/>
      <c r="DO145" s="151"/>
      <c r="DP145" s="151"/>
      <c r="DQ145" s="151"/>
      <c r="DR145" s="151"/>
      <c r="DS145" s="151"/>
      <c r="DT145" s="151"/>
      <c r="DU145" s="625"/>
      <c r="DV145" s="632"/>
      <c r="DW145" s="632"/>
      <c r="DX145" s="625"/>
      <c r="ER145" s="1465"/>
      <c r="GB145" s="1443"/>
      <c r="GK145" s="612"/>
      <c r="GL145" s="141"/>
      <c r="GM145" s="141"/>
      <c r="GN145" s="141"/>
      <c r="GO145" s="141"/>
      <c r="GP145" s="2530"/>
      <c r="GQ145" s="2531"/>
      <c r="GR145" s="2531"/>
      <c r="GS145" s="2531"/>
      <c r="GT145" s="2532"/>
      <c r="GU145" s="2530"/>
      <c r="GV145" s="2531"/>
      <c r="GW145" s="2532"/>
      <c r="GX145" s="2530"/>
      <c r="GY145" s="2531"/>
      <c r="GZ145" s="2532"/>
    </row>
    <row r="146" spans="7:208" ht="3.6" customHeight="1">
      <c r="G146" s="2537"/>
      <c r="H146" s="2537"/>
      <c r="I146" s="2537"/>
      <c r="J146" s="2537"/>
      <c r="P146" s="153"/>
      <c r="Q146" s="153"/>
      <c r="S146" s="150"/>
      <c r="T146" s="151"/>
      <c r="U146" s="151"/>
      <c r="V146" s="151"/>
      <c r="W146" s="151"/>
      <c r="X146" s="151"/>
      <c r="Y146" s="151"/>
      <c r="Z146" s="151"/>
      <c r="AA146" s="151"/>
      <c r="AB146" s="151"/>
      <c r="AC146" s="151"/>
      <c r="AD146" s="151"/>
      <c r="AE146" s="151"/>
      <c r="AF146" s="151"/>
      <c r="AG146" s="151"/>
      <c r="AH146" s="151"/>
      <c r="AI146" s="151"/>
      <c r="AJ146" s="151"/>
      <c r="AK146" s="151"/>
      <c r="AL146" s="162"/>
      <c r="AO146" s="153"/>
      <c r="AQ146" s="2543"/>
      <c r="AR146" s="2543"/>
      <c r="AS146" s="2543"/>
      <c r="AT146" s="2543"/>
      <c r="AU146" s="2543"/>
      <c r="AV146" s="2543"/>
      <c r="AW146" s="142"/>
      <c r="AX146" s="142"/>
      <c r="AY146" s="142"/>
      <c r="AZ146" s="142"/>
      <c r="CJ146" s="2543"/>
      <c r="CK146" s="2543"/>
      <c r="CL146" s="2543"/>
      <c r="CM146" s="2543"/>
      <c r="CN146" s="2543"/>
      <c r="CO146" s="2543"/>
      <c r="CP146" s="154"/>
      <c r="CQ146" s="153"/>
      <c r="CS146" s="153"/>
      <c r="CT146" s="575"/>
      <c r="CU146" s="575"/>
      <c r="CV146" s="575"/>
      <c r="CW146" s="575"/>
      <c r="CX146" s="575"/>
      <c r="CY146" s="575"/>
      <c r="CZ146" s="575"/>
      <c r="DA146" s="575"/>
      <c r="DB146" s="575"/>
      <c r="DC146" s="575"/>
      <c r="DE146" s="154"/>
      <c r="DF146" s="153"/>
      <c r="DG146" s="150"/>
      <c r="DH146" s="151"/>
      <c r="DI146" s="151"/>
      <c r="DJ146" s="151"/>
      <c r="DK146" s="151"/>
      <c r="DL146" s="151"/>
      <c r="DM146" s="151"/>
      <c r="DN146" s="151"/>
      <c r="DO146" s="151"/>
      <c r="DP146" s="151"/>
      <c r="DQ146" s="151"/>
      <c r="DR146" s="151"/>
      <c r="DS146" s="151"/>
      <c r="DT146" s="162"/>
      <c r="DU146" s="625"/>
      <c r="DV146" s="632"/>
      <c r="DW146" s="632"/>
      <c r="DX146" s="625"/>
      <c r="ER146" s="1465"/>
      <c r="GB146" s="1443"/>
      <c r="GK146" s="2547" t="s">
        <v>3455</v>
      </c>
      <c r="GL146" s="2548"/>
      <c r="GM146" s="2548"/>
      <c r="GN146" s="2548"/>
      <c r="GO146" s="2548"/>
      <c r="GP146" s="2530"/>
      <c r="GQ146" s="2531"/>
      <c r="GR146" s="2531"/>
      <c r="GS146" s="2531"/>
      <c r="GT146" s="2532"/>
      <c r="GU146" s="2530"/>
      <c r="GV146" s="2531"/>
      <c r="GW146" s="2532"/>
      <c r="GX146" s="2530"/>
      <c r="GY146" s="2531"/>
      <c r="GZ146" s="2532"/>
    </row>
    <row r="147" spans="7:208" ht="3.6" customHeight="1">
      <c r="P147" s="153"/>
      <c r="Q147" s="153"/>
      <c r="S147" s="153"/>
      <c r="W147" s="2542" t="s">
        <v>3488</v>
      </c>
      <c r="X147" s="2542"/>
      <c r="Y147" s="2542"/>
      <c r="Z147" s="2542"/>
      <c r="AA147" s="2542"/>
      <c r="AB147" s="2542"/>
      <c r="AC147" s="2542"/>
      <c r="AD147" s="2542"/>
      <c r="AE147" s="2542"/>
      <c r="AF147" s="2542"/>
      <c r="AG147" s="575"/>
      <c r="AH147" s="575"/>
      <c r="AI147" s="575"/>
      <c r="AJ147" s="575"/>
      <c r="AK147" s="575"/>
      <c r="AL147" s="576"/>
      <c r="AM147" s="575"/>
      <c r="AN147" s="575"/>
      <c r="AO147" s="153"/>
      <c r="AQ147" s="2543"/>
      <c r="AR147" s="2543"/>
      <c r="AS147" s="2543"/>
      <c r="AT147" s="2543"/>
      <c r="AU147" s="2543"/>
      <c r="AV147" s="2543"/>
      <c r="AW147" s="142"/>
      <c r="AX147" s="142"/>
      <c r="AY147" s="142"/>
      <c r="AZ147" s="142"/>
      <c r="CJ147" s="2543"/>
      <c r="CK147" s="2543"/>
      <c r="CL147" s="2543"/>
      <c r="CM147" s="2543"/>
      <c r="CN147" s="2543"/>
      <c r="CO147" s="2543"/>
      <c r="CP147" s="154"/>
      <c r="CQ147" s="153"/>
      <c r="CS147" s="153"/>
      <c r="CT147" s="575"/>
      <c r="CU147" s="575"/>
      <c r="CV147" s="575"/>
      <c r="CW147" s="575"/>
      <c r="CX147" s="575"/>
      <c r="CY147" s="575"/>
      <c r="CZ147" s="575"/>
      <c r="DA147" s="575"/>
      <c r="DB147" s="575"/>
      <c r="DC147" s="575"/>
      <c r="DE147" s="154"/>
      <c r="DF147" s="153"/>
      <c r="DG147" s="153"/>
      <c r="DI147" s="575"/>
      <c r="DJ147" s="575"/>
      <c r="DK147" s="575"/>
      <c r="DL147" s="575"/>
      <c r="DM147" s="575"/>
      <c r="DN147" s="575"/>
      <c r="DO147" s="575"/>
      <c r="DP147" s="575"/>
      <c r="DQ147" s="575"/>
      <c r="DR147" s="575"/>
      <c r="DT147" s="154"/>
      <c r="DU147" s="625"/>
      <c r="DV147" s="632"/>
      <c r="DW147" s="632"/>
      <c r="DX147" s="625"/>
      <c r="ER147" s="1465"/>
      <c r="GB147" s="1443"/>
      <c r="GK147" s="2530"/>
      <c r="GL147" s="2531"/>
      <c r="GM147" s="2531"/>
      <c r="GN147" s="2531"/>
      <c r="GO147" s="2531"/>
      <c r="GP147" s="2530"/>
      <c r="GQ147" s="2531"/>
      <c r="GR147" s="2531"/>
      <c r="GS147" s="2531"/>
      <c r="GT147" s="2532"/>
      <c r="GU147" s="2530"/>
      <c r="GV147" s="2531"/>
      <c r="GW147" s="2532"/>
      <c r="GX147" s="2530"/>
      <c r="GY147" s="2531"/>
      <c r="GZ147" s="2532"/>
    </row>
    <row r="148" spans="7:208" ht="3.6" customHeight="1">
      <c r="P148" s="153"/>
      <c r="Q148" s="153"/>
      <c r="S148" s="153"/>
      <c r="W148" s="2542"/>
      <c r="X148" s="2542"/>
      <c r="Y148" s="2542"/>
      <c r="Z148" s="2542"/>
      <c r="AA148" s="2542"/>
      <c r="AB148" s="2542"/>
      <c r="AC148" s="2542"/>
      <c r="AD148" s="2542"/>
      <c r="AE148" s="2542"/>
      <c r="AF148" s="2542"/>
      <c r="AG148" s="575"/>
      <c r="AH148" s="575"/>
      <c r="AI148" s="575"/>
      <c r="AJ148" s="575"/>
      <c r="AK148" s="575"/>
      <c r="AL148" s="576"/>
      <c r="AM148" s="575"/>
      <c r="AN148" s="575"/>
      <c r="AO148" s="156"/>
      <c r="AP148" s="41"/>
      <c r="AQ148" s="2543"/>
      <c r="AR148" s="2543"/>
      <c r="AS148" s="2543"/>
      <c r="AT148" s="2543"/>
      <c r="AU148" s="2543"/>
      <c r="AV148" s="2543"/>
      <c r="AW148" s="171"/>
      <c r="AX148" s="171"/>
      <c r="AY148" s="171"/>
      <c r="AZ148" s="171"/>
      <c r="BO148" s="41"/>
      <c r="BP148" s="41"/>
      <c r="CJ148" s="2543"/>
      <c r="CK148" s="2543"/>
      <c r="CL148" s="2543"/>
      <c r="CM148" s="2543"/>
      <c r="CN148" s="2543"/>
      <c r="CO148" s="2543"/>
      <c r="CP148" s="154"/>
      <c r="CQ148" s="153"/>
      <c r="CS148" s="153"/>
      <c r="CT148" s="575"/>
      <c r="CU148" s="575"/>
      <c r="CV148" s="575"/>
      <c r="CW148" s="575"/>
      <c r="CX148" s="575"/>
      <c r="CY148" s="575"/>
      <c r="CZ148" s="575"/>
      <c r="DA148" s="575"/>
      <c r="DB148" s="575"/>
      <c r="DC148" s="575"/>
      <c r="DE148" s="154"/>
      <c r="DF148" s="155"/>
      <c r="DI148" s="575"/>
      <c r="DJ148" s="575"/>
      <c r="DK148" s="575"/>
      <c r="DL148" s="575"/>
      <c r="DM148" s="575"/>
      <c r="DN148" s="575"/>
      <c r="DO148" s="575"/>
      <c r="DP148" s="575"/>
      <c r="DQ148" s="575"/>
      <c r="DR148" s="575"/>
      <c r="DT148" s="154"/>
      <c r="DU148" s="625"/>
      <c r="DV148" s="632"/>
      <c r="DW148" s="632"/>
      <c r="DX148" s="625"/>
      <c r="ER148" s="1465"/>
      <c r="GB148" s="1448"/>
      <c r="GC148" s="150"/>
      <c r="GD148" s="151"/>
      <c r="GE148" s="151"/>
      <c r="GF148" s="151"/>
      <c r="GG148" s="151"/>
      <c r="GH148" s="151"/>
      <c r="GI148" s="151"/>
      <c r="GJ148" s="151"/>
      <c r="GK148" s="2530"/>
      <c r="GL148" s="2531"/>
      <c r="GM148" s="2531"/>
      <c r="GN148" s="2531"/>
      <c r="GO148" s="2531"/>
      <c r="GP148" s="2530"/>
      <c r="GQ148" s="2531"/>
      <c r="GR148" s="2531"/>
      <c r="GS148" s="2531"/>
      <c r="GT148" s="2532"/>
      <c r="GU148" s="2530"/>
      <c r="GV148" s="2531"/>
      <c r="GW148" s="2532"/>
      <c r="GX148" s="2530"/>
      <c r="GY148" s="2531"/>
      <c r="GZ148" s="2532"/>
    </row>
    <row r="149" spans="7:208" ht="3.6" customHeight="1" thickBot="1">
      <c r="G149" s="41"/>
      <c r="H149" s="41"/>
      <c r="I149" s="41"/>
      <c r="J149" s="41"/>
      <c r="P149" s="153"/>
      <c r="Q149" s="153"/>
      <c r="R149" s="154"/>
      <c r="W149" s="2542"/>
      <c r="X149" s="2542"/>
      <c r="Y149" s="2542"/>
      <c r="Z149" s="2542"/>
      <c r="AA149" s="2542"/>
      <c r="AB149" s="2542"/>
      <c r="AC149" s="2542"/>
      <c r="AD149" s="2542"/>
      <c r="AE149" s="2542"/>
      <c r="AF149" s="2542"/>
      <c r="AG149" s="575"/>
      <c r="AH149" s="575"/>
      <c r="AI149" s="575"/>
      <c r="AJ149" s="575"/>
      <c r="AK149" s="575"/>
      <c r="AL149" s="575"/>
      <c r="AM149" s="1494"/>
      <c r="AN149" s="575"/>
      <c r="AO149" s="366"/>
      <c r="AP149" s="367"/>
      <c r="AQ149" s="367"/>
      <c r="AR149" s="367"/>
      <c r="AS149" s="367"/>
      <c r="AT149" s="367"/>
      <c r="AU149" s="367"/>
      <c r="AV149" s="368"/>
      <c r="AW149" s="151"/>
      <c r="AX149" s="151"/>
      <c r="AY149" s="151"/>
      <c r="AZ149" s="151"/>
      <c r="BA149" s="151"/>
      <c r="BB149" s="162"/>
      <c r="BC149" s="41"/>
      <c r="BD149" s="41"/>
      <c r="BE149" s="41"/>
      <c r="BF149" s="41"/>
      <c r="BG149" s="41"/>
      <c r="BH149" s="41"/>
      <c r="BI149" s="41"/>
      <c r="BJ149" s="41"/>
      <c r="BK149" s="41"/>
      <c r="BL149" s="41"/>
      <c r="BM149" s="41"/>
      <c r="BN149" s="159"/>
      <c r="BO149" s="153"/>
      <c r="BQ149" s="156"/>
      <c r="BR149" s="41"/>
      <c r="BS149" s="41"/>
      <c r="BT149" s="41"/>
      <c r="BU149" s="41"/>
      <c r="BV149" s="41"/>
      <c r="BW149" s="41"/>
      <c r="BX149" s="41"/>
      <c r="BY149" s="41"/>
      <c r="BZ149" s="41"/>
      <c r="CA149" s="41"/>
      <c r="CB149" s="41"/>
      <c r="CC149" s="150"/>
      <c r="CD149" s="151"/>
      <c r="CE149" s="151"/>
      <c r="CF149" s="151"/>
      <c r="CG149" s="151"/>
      <c r="CH149" s="151"/>
      <c r="CI149" s="366"/>
      <c r="CJ149" s="367"/>
      <c r="CK149" s="367"/>
      <c r="CL149" s="367"/>
      <c r="CM149" s="367"/>
      <c r="CN149" s="367"/>
      <c r="CO149" s="367"/>
      <c r="CP149" s="368"/>
      <c r="CS149" s="156"/>
      <c r="CT149" s="41"/>
      <c r="CU149" s="41"/>
      <c r="CV149" s="41"/>
      <c r="CW149" s="41"/>
      <c r="CX149" s="41"/>
      <c r="CY149" s="41"/>
      <c r="CZ149" s="41"/>
      <c r="DA149" s="41"/>
      <c r="DB149" s="41"/>
      <c r="DC149" s="41"/>
      <c r="DD149" s="41"/>
      <c r="DE149" s="159"/>
      <c r="DF149" s="154"/>
      <c r="DI149" s="575"/>
      <c r="DJ149" s="575"/>
      <c r="DK149" s="575"/>
      <c r="DL149" s="575"/>
      <c r="DM149" s="575"/>
      <c r="DN149" s="575"/>
      <c r="DO149" s="575"/>
      <c r="DP149" s="575"/>
      <c r="DQ149" s="575"/>
      <c r="DR149" s="575"/>
      <c r="DU149" s="153"/>
      <c r="DV149" s="154"/>
      <c r="DW149" s="632"/>
      <c r="DX149" s="625"/>
      <c r="EF149" s="41"/>
      <c r="EG149" s="41"/>
      <c r="EH149" s="41"/>
      <c r="EI149" s="41"/>
      <c r="EM149" s="2537"/>
      <c r="EN149" s="2537"/>
      <c r="EO149" s="2537"/>
      <c r="EP149" s="2537"/>
      <c r="ER149" s="1465"/>
      <c r="ES149" s="1449"/>
      <c r="ET149" s="151"/>
      <c r="EU149" s="151"/>
      <c r="EV149" s="151"/>
      <c r="EW149" s="151"/>
      <c r="EX149" s="151"/>
      <c r="EY149" s="151"/>
      <c r="EZ149" s="1448"/>
      <c r="FA149" s="1450"/>
      <c r="FB149" s="366"/>
      <c r="FC149" s="367"/>
      <c r="FD149" s="367"/>
      <c r="FE149" s="367"/>
      <c r="FF149" s="367"/>
      <c r="FG149" s="367"/>
      <c r="FH149" s="367"/>
      <c r="FI149" s="367"/>
      <c r="FJ149" s="367"/>
      <c r="FK149" s="367"/>
      <c r="FL149" s="367"/>
      <c r="FM149" s="367"/>
      <c r="FN149" s="367"/>
      <c r="FO149" s="367"/>
      <c r="FP149" s="367"/>
      <c r="FQ149" s="367"/>
      <c r="FR149" s="367"/>
      <c r="FS149" s="367"/>
      <c r="FT149" s="367"/>
      <c r="FU149" s="367"/>
      <c r="FV149" s="367"/>
      <c r="FW149" s="367"/>
      <c r="FX149" s="367"/>
      <c r="FY149" s="367"/>
      <c r="FZ149" s="367"/>
      <c r="GA149" s="367"/>
      <c r="GB149" s="1442"/>
      <c r="GC149" s="1448"/>
      <c r="GD149" s="1449"/>
      <c r="GE149" s="1449"/>
      <c r="GF149" s="169"/>
      <c r="GG149" s="169"/>
      <c r="GH149" s="169"/>
      <c r="GI149" s="169"/>
      <c r="GJ149" s="169"/>
      <c r="GK149" s="2530"/>
      <c r="GL149" s="2531"/>
      <c r="GM149" s="2531"/>
      <c r="GN149" s="2531"/>
      <c r="GO149" s="2531"/>
      <c r="GP149" s="2530"/>
      <c r="GQ149" s="2531"/>
      <c r="GR149" s="2531"/>
      <c r="GS149" s="2531"/>
      <c r="GT149" s="2532"/>
      <c r="GU149" s="2530"/>
      <c r="GV149" s="2531"/>
      <c r="GW149" s="2532"/>
      <c r="GX149" s="2530"/>
      <c r="GY149" s="2531"/>
      <c r="GZ149" s="2532"/>
    </row>
    <row r="150" spans="7:208" ht="3.6" customHeight="1" thickTop="1">
      <c r="G150" s="151"/>
      <c r="H150" s="151"/>
      <c r="I150" s="151"/>
      <c r="J150" s="151"/>
      <c r="P150" s="153"/>
      <c r="Q150" s="153"/>
      <c r="R150" s="154"/>
      <c r="S150" s="41"/>
      <c r="T150" s="41"/>
      <c r="U150" s="41"/>
      <c r="V150" s="41"/>
      <c r="W150" s="41"/>
      <c r="X150" s="41"/>
      <c r="Y150" s="41"/>
      <c r="Z150" s="41"/>
      <c r="AA150" s="41"/>
      <c r="AB150" s="41"/>
      <c r="AC150" s="41"/>
      <c r="AD150" s="41"/>
      <c r="AE150" s="41"/>
      <c r="AF150" s="41"/>
      <c r="AG150" s="41"/>
      <c r="AH150" s="41"/>
      <c r="AI150" s="41"/>
      <c r="AJ150" s="41"/>
      <c r="AK150" s="41"/>
      <c r="AL150" s="159"/>
      <c r="AM150" s="41"/>
      <c r="AN150" s="41"/>
      <c r="AO150" s="156"/>
      <c r="AP150" s="41"/>
      <c r="AQ150" s="41"/>
      <c r="AR150" s="41"/>
      <c r="AS150" s="41"/>
      <c r="AT150" s="41"/>
      <c r="AU150" s="41"/>
      <c r="AV150" s="159"/>
      <c r="AW150" s="41"/>
      <c r="AX150" s="41"/>
      <c r="AY150" s="41"/>
      <c r="AZ150" s="41"/>
      <c r="BA150" s="41"/>
      <c r="BB150" s="159"/>
      <c r="BN150" s="154"/>
      <c r="BO150" s="156"/>
      <c r="BP150" s="41"/>
      <c r="BQ150" s="153"/>
      <c r="CC150" s="156"/>
      <c r="CD150" s="41"/>
      <c r="CE150" s="41"/>
      <c r="CF150" s="41"/>
      <c r="CG150" s="41"/>
      <c r="CH150" s="41"/>
      <c r="CI150" s="156"/>
      <c r="CJ150" s="41"/>
      <c r="CK150" s="41"/>
      <c r="CL150" s="41"/>
      <c r="CM150" s="41"/>
      <c r="CN150" s="41"/>
      <c r="CO150" s="41"/>
      <c r="CP150" s="159"/>
      <c r="CQ150" s="41"/>
      <c r="DF150" s="159"/>
      <c r="DG150" s="41"/>
      <c r="DH150" s="41"/>
      <c r="DI150" s="41"/>
      <c r="DJ150" s="41"/>
      <c r="DK150" s="41"/>
      <c r="DL150" s="41"/>
      <c r="DM150" s="41"/>
      <c r="DN150" s="41"/>
      <c r="DO150" s="41"/>
      <c r="DP150" s="41"/>
      <c r="DQ150" s="41"/>
      <c r="DR150" s="41"/>
      <c r="DS150" s="41"/>
      <c r="DT150" s="41"/>
      <c r="DU150" s="153"/>
      <c r="DV150" s="154"/>
      <c r="DW150" s="632"/>
      <c r="DX150" s="625"/>
      <c r="EF150" s="151"/>
      <c r="EG150" s="151"/>
      <c r="EH150" s="151"/>
      <c r="EI150" s="151"/>
      <c r="EM150" s="2537"/>
      <c r="EN150" s="2537"/>
      <c r="EO150" s="2537"/>
      <c r="EP150" s="2537"/>
      <c r="ER150" s="1465"/>
      <c r="ES150" s="1446"/>
      <c r="ET150" s="41"/>
      <c r="EU150" s="41"/>
      <c r="EV150" s="41"/>
      <c r="EW150" s="41"/>
      <c r="EX150" s="41"/>
      <c r="EY150" s="41"/>
      <c r="EZ150" s="1445"/>
      <c r="FA150" s="1447"/>
      <c r="FB150" s="156"/>
      <c r="FC150" s="41"/>
      <c r="FD150" s="41"/>
      <c r="FE150" s="41"/>
      <c r="FF150" s="41"/>
      <c r="FG150" s="41"/>
      <c r="FH150" s="41"/>
      <c r="FI150" s="41"/>
      <c r="FJ150" s="41"/>
      <c r="FK150" s="41"/>
      <c r="FL150" s="41"/>
      <c r="FM150" s="41"/>
      <c r="FN150" s="41"/>
      <c r="FO150" s="41"/>
      <c r="FP150" s="41"/>
      <c r="FQ150" s="41"/>
      <c r="FR150" s="41"/>
      <c r="FS150" s="41"/>
      <c r="FT150" s="41"/>
      <c r="FU150" s="41"/>
      <c r="FV150" s="41"/>
      <c r="FW150" s="41"/>
      <c r="FX150" s="41"/>
      <c r="FY150" s="41"/>
      <c r="FZ150" s="41"/>
      <c r="GA150" s="41"/>
      <c r="GB150" s="1442"/>
      <c r="GC150" s="1445"/>
      <c r="GD150" s="1446"/>
      <c r="GE150" s="1446"/>
      <c r="GF150" s="171"/>
      <c r="GG150" s="171"/>
      <c r="GH150" s="171"/>
      <c r="GI150" s="171"/>
      <c r="GJ150" s="171"/>
      <c r="GK150" s="2530"/>
      <c r="GL150" s="2531"/>
      <c r="GM150" s="2531"/>
      <c r="GN150" s="2531"/>
      <c r="GO150" s="2531"/>
      <c r="GP150" s="2530"/>
      <c r="GQ150" s="2531"/>
      <c r="GR150" s="2531"/>
      <c r="GS150" s="2531"/>
      <c r="GT150" s="2532"/>
      <c r="GU150" s="2530"/>
      <c r="GV150" s="2531"/>
      <c r="GW150" s="2532"/>
      <c r="GX150" s="2530"/>
      <c r="GY150" s="2531"/>
      <c r="GZ150" s="2532"/>
    </row>
    <row r="151" spans="7:208" ht="3.6" customHeight="1">
      <c r="P151" s="153"/>
      <c r="Q151" s="153"/>
      <c r="S151" s="153"/>
      <c r="BG151" s="2538" t="s">
        <v>291</v>
      </c>
      <c r="BH151" s="2538"/>
      <c r="BI151" s="2538"/>
      <c r="BJ151" s="2538"/>
      <c r="BN151" s="154"/>
      <c r="BQ151" s="153"/>
      <c r="BU151" s="2538" t="s">
        <v>291</v>
      </c>
      <c r="BV151" s="2538"/>
      <c r="BW151" s="2538"/>
      <c r="BX151" s="2538"/>
      <c r="BY151" s="2538"/>
      <c r="CR151" s="151"/>
      <c r="CS151" s="151"/>
      <c r="CT151" s="151"/>
      <c r="CU151" s="151"/>
      <c r="CV151" s="151"/>
      <c r="CW151" s="151"/>
      <c r="CX151" s="151"/>
      <c r="CY151" s="151"/>
      <c r="CZ151" s="151"/>
      <c r="DA151" s="151"/>
      <c r="DB151" s="151"/>
      <c r="DC151" s="151"/>
      <c r="DD151" s="151"/>
      <c r="DE151" s="151"/>
      <c r="DT151" s="154"/>
      <c r="DU151" s="625"/>
      <c r="DV151" s="632"/>
      <c r="DW151" s="632"/>
      <c r="DX151" s="625"/>
      <c r="EM151" s="2537"/>
      <c r="EN151" s="2537"/>
      <c r="EO151" s="2537"/>
      <c r="EP151" s="2537"/>
      <c r="ER151" s="1465"/>
      <c r="GB151" s="1445"/>
      <c r="GC151" s="156"/>
      <c r="GD151" s="41"/>
      <c r="GE151" s="41"/>
      <c r="GF151" s="41"/>
      <c r="GG151" s="41"/>
      <c r="GH151" s="41"/>
      <c r="GI151" s="41"/>
      <c r="GJ151" s="41"/>
      <c r="GK151" s="2530"/>
      <c r="GL151" s="2531"/>
      <c r="GM151" s="2531"/>
      <c r="GN151" s="2531"/>
      <c r="GO151" s="2531"/>
      <c r="GP151" s="2530"/>
      <c r="GQ151" s="2531"/>
      <c r="GR151" s="2531"/>
      <c r="GS151" s="2531"/>
      <c r="GT151" s="2532"/>
      <c r="GU151" s="2530"/>
      <c r="GV151" s="2531"/>
      <c r="GW151" s="2532"/>
      <c r="GX151" s="2530"/>
      <c r="GY151" s="2531"/>
      <c r="GZ151" s="2532"/>
    </row>
    <row r="152" spans="7:208" ht="3.6" customHeight="1">
      <c r="P152" s="153"/>
      <c r="Q152" s="153"/>
      <c r="S152" s="153"/>
      <c r="BG152" s="2538"/>
      <c r="BH152" s="2538"/>
      <c r="BI152" s="2538"/>
      <c r="BJ152" s="2538"/>
      <c r="BL152" s="638"/>
      <c r="BM152" s="638"/>
      <c r="BN152" s="1478"/>
      <c r="BO152" s="638"/>
      <c r="BP152" s="160"/>
      <c r="BQ152" s="636"/>
      <c r="BR152" s="160"/>
      <c r="BS152" s="160"/>
      <c r="BU152" s="2538"/>
      <c r="BV152" s="2538"/>
      <c r="BW152" s="2538"/>
      <c r="BX152" s="2538"/>
      <c r="BY152" s="2538"/>
      <c r="DT152" s="154"/>
      <c r="DU152" s="625"/>
      <c r="DV152" s="632"/>
      <c r="DW152" s="632"/>
      <c r="DX152" s="625"/>
      <c r="EM152" s="2537"/>
      <c r="EN152" s="2537"/>
      <c r="EO152" s="2537"/>
      <c r="EP152" s="2537"/>
      <c r="ER152" s="1465"/>
      <c r="GB152" s="1443"/>
      <c r="GK152" s="2530"/>
      <c r="GL152" s="2531"/>
      <c r="GM152" s="2531"/>
      <c r="GN152" s="2531"/>
      <c r="GO152" s="2531"/>
      <c r="GP152" s="2530"/>
      <c r="GQ152" s="2531"/>
      <c r="GR152" s="2531"/>
      <c r="GS152" s="2531"/>
      <c r="GT152" s="2532"/>
      <c r="GU152" s="2530"/>
      <c r="GV152" s="2531"/>
      <c r="GW152" s="2532"/>
      <c r="GX152" s="2530"/>
      <c r="GY152" s="2531"/>
      <c r="GZ152" s="2532"/>
    </row>
    <row r="153" spans="7:208" ht="3.6" customHeight="1">
      <c r="P153" s="153"/>
      <c r="Q153" s="153"/>
      <c r="S153" s="153"/>
      <c r="BG153" s="2538"/>
      <c r="BH153" s="2538"/>
      <c r="BI153" s="2538"/>
      <c r="BJ153" s="2538"/>
      <c r="BL153" s="638"/>
      <c r="BM153" s="638"/>
      <c r="BN153" s="1478"/>
      <c r="BO153" s="638"/>
      <c r="BP153" s="160"/>
      <c r="BQ153" s="636"/>
      <c r="BR153" s="160"/>
      <c r="BS153" s="160"/>
      <c r="BU153" s="2538"/>
      <c r="BV153" s="2538"/>
      <c r="BW153" s="2538"/>
      <c r="BX153" s="2538"/>
      <c r="BY153" s="2538"/>
      <c r="DT153" s="154"/>
      <c r="DU153" s="625"/>
      <c r="DV153" s="632"/>
      <c r="DW153" s="632"/>
      <c r="DX153" s="625"/>
      <c r="EM153" s="2537"/>
      <c r="EN153" s="2537"/>
      <c r="EO153" s="2537"/>
      <c r="EP153" s="2537"/>
      <c r="ER153" s="1465"/>
      <c r="GB153" s="1443"/>
      <c r="GK153" s="2550"/>
      <c r="GL153" s="2551"/>
      <c r="GM153" s="2551"/>
      <c r="GN153" s="2551"/>
      <c r="GO153" s="2551"/>
      <c r="GP153" s="2530"/>
      <c r="GQ153" s="2531"/>
      <c r="GR153" s="2531"/>
      <c r="GS153" s="2531"/>
      <c r="GT153" s="2532"/>
      <c r="GU153" s="2530"/>
      <c r="GV153" s="2531"/>
      <c r="GW153" s="2532"/>
      <c r="GX153" s="2530"/>
      <c r="GY153" s="2531"/>
      <c r="GZ153" s="2532"/>
    </row>
    <row r="154" spans="7:208" ht="3.6" customHeight="1">
      <c r="O154" s="143"/>
      <c r="P154" s="384"/>
      <c r="Q154" s="384"/>
      <c r="R154" s="143"/>
      <c r="S154" s="384"/>
      <c r="T154" s="143"/>
      <c r="U154" s="143"/>
      <c r="V154" s="143"/>
      <c r="W154" s="143"/>
      <c r="X154" s="143"/>
      <c r="Y154" s="143"/>
      <c r="Z154" s="143"/>
      <c r="AA154" s="143"/>
      <c r="AB154" s="143"/>
      <c r="AC154" s="143"/>
      <c r="AD154" s="143"/>
      <c r="AE154" s="143"/>
      <c r="AF154" s="143"/>
      <c r="AG154" s="143"/>
      <c r="AH154" s="143"/>
      <c r="AI154" s="143"/>
      <c r="AJ154" s="143"/>
      <c r="AK154" s="143"/>
      <c r="AL154" s="143"/>
      <c r="AM154" s="143"/>
      <c r="AN154" s="143"/>
      <c r="AO154" s="143"/>
      <c r="AP154" s="143"/>
      <c r="AQ154" s="143"/>
      <c r="AR154" s="143"/>
      <c r="BG154" s="2538"/>
      <c r="BH154" s="2538"/>
      <c r="BI154" s="2538"/>
      <c r="BJ154" s="2538"/>
      <c r="BL154" s="638"/>
      <c r="BM154" s="638"/>
      <c r="BN154" s="1478"/>
      <c r="BO154" s="638"/>
      <c r="BP154" s="160"/>
      <c r="BQ154" s="636"/>
      <c r="BR154" s="160"/>
      <c r="BS154" s="160"/>
      <c r="BU154" s="2538"/>
      <c r="BV154" s="2538"/>
      <c r="BW154" s="2538"/>
      <c r="BX154" s="2538"/>
      <c r="BY154" s="2538"/>
      <c r="CK154" s="143"/>
      <c r="CL154" s="143"/>
      <c r="CM154" s="143"/>
      <c r="CN154" s="143"/>
      <c r="CO154" s="143"/>
      <c r="CP154" s="143"/>
      <c r="CQ154" s="143"/>
      <c r="CR154" s="143"/>
      <c r="CS154" s="143"/>
      <c r="CT154" s="143"/>
      <c r="CU154" s="143"/>
      <c r="CV154" s="143"/>
      <c r="CW154" s="143"/>
      <c r="CX154" s="143"/>
      <c r="CY154" s="143"/>
      <c r="CZ154" s="143"/>
      <c r="DA154" s="143"/>
      <c r="DB154" s="143"/>
      <c r="DC154" s="143"/>
      <c r="DD154" s="143"/>
      <c r="DE154" s="143"/>
      <c r="DF154" s="143"/>
      <c r="DT154" s="154"/>
      <c r="DU154" s="625"/>
      <c r="DV154" s="632"/>
      <c r="DW154" s="632"/>
      <c r="DX154" s="625"/>
      <c r="EM154" s="2537"/>
      <c r="EN154" s="2537"/>
      <c r="EO154" s="2537"/>
      <c r="EP154" s="2537"/>
      <c r="ER154" s="1465"/>
      <c r="GB154" s="1443"/>
      <c r="GK154" s="611"/>
      <c r="GL154" s="161"/>
      <c r="GM154" s="161"/>
      <c r="GN154" s="161"/>
      <c r="GO154" s="161"/>
      <c r="GP154" s="2530"/>
      <c r="GQ154" s="2531"/>
      <c r="GR154" s="2531"/>
      <c r="GS154" s="2531"/>
      <c r="GT154" s="2532"/>
      <c r="GU154" s="2530"/>
      <c r="GV154" s="2531"/>
      <c r="GW154" s="2532"/>
      <c r="GX154" s="2530"/>
      <c r="GY154" s="2531"/>
      <c r="GZ154" s="2532"/>
    </row>
    <row r="155" spans="7:208" ht="3.6" customHeight="1">
      <c r="O155" s="143"/>
      <c r="P155" s="384"/>
      <c r="Q155" s="384"/>
      <c r="R155" s="143"/>
      <c r="S155" s="384"/>
      <c r="T155" s="143"/>
      <c r="U155" s="143"/>
      <c r="V155" s="143"/>
      <c r="W155" s="143"/>
      <c r="X155" s="143"/>
      <c r="Y155" s="143"/>
      <c r="Z155" s="143"/>
      <c r="AA155" s="143"/>
      <c r="AB155" s="143"/>
      <c r="AC155" s="143"/>
      <c r="AD155" s="143"/>
      <c r="AE155" s="143"/>
      <c r="AF155" s="143"/>
      <c r="AG155" s="143"/>
      <c r="AH155" s="143"/>
      <c r="AI155" s="143"/>
      <c r="AJ155" s="143"/>
      <c r="AK155" s="143"/>
      <c r="AL155" s="143"/>
      <c r="AM155" s="143"/>
      <c r="AN155" s="143"/>
      <c r="AO155" s="143"/>
      <c r="AP155" s="143"/>
      <c r="AQ155" s="143"/>
      <c r="AR155" s="143"/>
      <c r="BL155" s="638"/>
      <c r="BM155" s="638"/>
      <c r="BN155" s="1478"/>
      <c r="BO155" s="638"/>
      <c r="BP155" s="160"/>
      <c r="BQ155" s="636"/>
      <c r="BR155" s="160"/>
      <c r="BS155" s="160"/>
      <c r="CK155" s="143"/>
      <c r="CL155" s="143"/>
      <c r="CM155" s="143"/>
      <c r="CN155" s="143"/>
      <c r="CO155" s="143"/>
      <c r="CP155" s="143"/>
      <c r="CQ155" s="143"/>
      <c r="CR155" s="143"/>
      <c r="CS155" s="143"/>
      <c r="CT155" s="143"/>
      <c r="CU155" s="143"/>
      <c r="CV155" s="143"/>
      <c r="CW155" s="143"/>
      <c r="CX155" s="143"/>
      <c r="CY155" s="143"/>
      <c r="CZ155" s="143"/>
      <c r="DA155" s="143"/>
      <c r="DB155" s="143"/>
      <c r="DC155" s="143"/>
      <c r="DD155" s="143"/>
      <c r="DE155" s="143"/>
      <c r="DF155" s="143"/>
      <c r="DT155" s="154"/>
      <c r="DU155" s="625"/>
      <c r="DV155" s="632"/>
      <c r="DW155" s="632"/>
      <c r="DX155" s="625"/>
      <c r="EM155" s="2537"/>
      <c r="EN155" s="2537"/>
      <c r="EO155" s="2537"/>
      <c r="EP155" s="2537"/>
      <c r="ER155" s="1465"/>
      <c r="GB155" s="1443"/>
      <c r="GK155" s="612"/>
      <c r="GL155" s="141"/>
      <c r="GM155" s="141"/>
      <c r="GN155" s="141"/>
      <c r="GO155" s="141"/>
      <c r="GP155" s="2530"/>
      <c r="GQ155" s="2531"/>
      <c r="GR155" s="2531"/>
      <c r="GS155" s="2531"/>
      <c r="GT155" s="2532"/>
      <c r="GU155" s="2530"/>
      <c r="GV155" s="2531"/>
      <c r="GW155" s="2532"/>
      <c r="GX155" s="2530"/>
      <c r="GY155" s="2531"/>
      <c r="GZ155" s="2532"/>
    </row>
    <row r="156" spans="7:208" ht="3.6" customHeight="1">
      <c r="O156" s="143"/>
      <c r="P156" s="384"/>
      <c r="Q156" s="384"/>
      <c r="R156" s="143"/>
      <c r="S156" s="384"/>
      <c r="T156" s="143"/>
      <c r="U156" s="143"/>
      <c r="V156" s="143"/>
      <c r="W156" s="143"/>
      <c r="X156" s="143"/>
      <c r="Y156" s="143"/>
      <c r="Z156" s="143"/>
      <c r="AA156" s="143"/>
      <c r="AB156" s="143"/>
      <c r="AC156" s="143"/>
      <c r="AD156" s="143"/>
      <c r="AE156" s="143"/>
      <c r="AF156" s="143"/>
      <c r="AG156" s="143"/>
      <c r="AH156" s="143"/>
      <c r="AI156" s="143"/>
      <c r="AJ156" s="143"/>
      <c r="AK156" s="143"/>
      <c r="AL156" s="143"/>
      <c r="AM156" s="143"/>
      <c r="AN156" s="143"/>
      <c r="AO156" s="143"/>
      <c r="AP156" s="143"/>
      <c r="AQ156" s="143"/>
      <c r="AR156" s="143"/>
      <c r="BL156" s="638"/>
      <c r="BM156" s="638"/>
      <c r="BN156" s="1478"/>
      <c r="BO156" s="638"/>
      <c r="BP156" s="160"/>
      <c r="BQ156" s="636"/>
      <c r="BR156" s="160"/>
      <c r="BS156" s="160"/>
      <c r="CK156" s="143"/>
      <c r="CL156" s="143"/>
      <c r="CM156" s="143"/>
      <c r="CN156" s="143"/>
      <c r="CO156" s="143"/>
      <c r="CP156" s="143"/>
      <c r="CQ156" s="143"/>
      <c r="CR156" s="143"/>
      <c r="CS156" s="143"/>
      <c r="CT156" s="143"/>
      <c r="CU156" s="143"/>
      <c r="CV156" s="143"/>
      <c r="CW156" s="143"/>
      <c r="CX156" s="143"/>
      <c r="CY156" s="143"/>
      <c r="CZ156" s="143"/>
      <c r="DA156" s="143"/>
      <c r="DB156" s="143"/>
      <c r="DC156" s="143"/>
      <c r="DD156" s="143"/>
      <c r="DE156" s="143"/>
      <c r="DF156" s="143"/>
      <c r="DT156" s="154"/>
      <c r="DU156" s="625"/>
      <c r="DV156" s="632"/>
      <c r="DW156" s="632"/>
      <c r="DX156" s="625"/>
      <c r="EM156" s="2537"/>
      <c r="EN156" s="2537"/>
      <c r="EO156" s="2537"/>
      <c r="EP156" s="2537"/>
      <c r="ER156" s="1465"/>
      <c r="GB156" s="1443"/>
      <c r="GK156" s="173"/>
      <c r="GL156" s="142"/>
      <c r="GM156" s="142"/>
      <c r="GN156" s="142"/>
      <c r="GO156" s="142"/>
      <c r="GP156" s="161"/>
      <c r="GQ156" s="161"/>
      <c r="GR156" s="161"/>
      <c r="GS156" s="1495"/>
      <c r="GT156" s="1496"/>
      <c r="GU156" s="2531"/>
      <c r="GV156" s="2531"/>
      <c r="GW156" s="2532"/>
      <c r="GX156" s="2530"/>
      <c r="GY156" s="2531"/>
      <c r="GZ156" s="2532"/>
    </row>
    <row r="157" spans="7:208" ht="3.6" customHeight="1">
      <c r="O157" s="143"/>
      <c r="P157" s="384"/>
      <c r="Q157" s="384"/>
      <c r="R157" s="143"/>
      <c r="S157" s="384"/>
      <c r="T157" s="143"/>
      <c r="U157" s="143"/>
      <c r="V157" s="143"/>
      <c r="W157" s="143"/>
      <c r="X157" s="143"/>
      <c r="Y157" s="143"/>
      <c r="Z157" s="143"/>
      <c r="AA157" s="143"/>
      <c r="AB157" s="143"/>
      <c r="AC157" s="143"/>
      <c r="AD157" s="143"/>
      <c r="AE157" s="143"/>
      <c r="AF157" s="143"/>
      <c r="AG157" s="143"/>
      <c r="AH157" s="143"/>
      <c r="AI157" s="143"/>
      <c r="AJ157" s="143"/>
      <c r="AK157" s="143"/>
      <c r="AL157" s="143"/>
      <c r="AM157" s="143"/>
      <c r="AN157" s="143"/>
      <c r="AO157" s="143"/>
      <c r="AP157" s="143"/>
      <c r="AQ157" s="143"/>
      <c r="AR157" s="143"/>
      <c r="BL157" s="638"/>
      <c r="BM157" s="638"/>
      <c r="BN157" s="1478"/>
      <c r="BO157" s="638"/>
      <c r="BP157" s="160"/>
      <c r="BQ157" s="636"/>
      <c r="BR157" s="160"/>
      <c r="BS157" s="160"/>
      <c r="CK157" s="143"/>
      <c r="CL157" s="143"/>
      <c r="CM157" s="143"/>
      <c r="CN157" s="143"/>
      <c r="CO157" s="143"/>
      <c r="CP157" s="143"/>
      <c r="CQ157" s="143"/>
      <c r="CR157" s="143"/>
      <c r="CS157" s="143"/>
      <c r="CT157" s="143"/>
      <c r="CU157" s="143"/>
      <c r="CV157" s="143"/>
      <c r="CW157" s="143"/>
      <c r="CX157" s="143"/>
      <c r="CY157" s="143"/>
      <c r="CZ157" s="143"/>
      <c r="DA157" s="143"/>
      <c r="DB157" s="143"/>
      <c r="DC157" s="143"/>
      <c r="DD157" s="143"/>
      <c r="DE157" s="143"/>
      <c r="DF157" s="143"/>
      <c r="DT157" s="154"/>
      <c r="DU157" s="625"/>
      <c r="DV157" s="632"/>
      <c r="DW157" s="632"/>
      <c r="DX157" s="625"/>
      <c r="EM157" s="2537"/>
      <c r="EN157" s="2537"/>
      <c r="EO157" s="2537"/>
      <c r="EP157" s="2537"/>
      <c r="ER157" s="1465"/>
      <c r="GB157" s="1443"/>
      <c r="GK157" s="173"/>
      <c r="GL157" s="142"/>
      <c r="GM157" s="142"/>
      <c r="GN157" s="142"/>
      <c r="GO157" s="142"/>
      <c r="GP157" s="141"/>
      <c r="GQ157" s="141"/>
      <c r="GR157" s="141"/>
      <c r="GS157" s="1497"/>
      <c r="GT157" s="1491"/>
      <c r="GU157" s="2551"/>
      <c r="GV157" s="2551"/>
      <c r="GW157" s="2552"/>
      <c r="GX157" s="2550"/>
      <c r="GY157" s="2551"/>
      <c r="GZ157" s="2552"/>
    </row>
    <row r="158" spans="7:208" ht="3.6" customHeight="1">
      <c r="K158" s="374"/>
      <c r="L158" s="180"/>
      <c r="M158" s="180"/>
      <c r="N158" s="180"/>
      <c r="O158" s="1498"/>
      <c r="P158" s="1499"/>
      <c r="Q158" s="164"/>
      <c r="R158" s="140"/>
      <c r="S158" s="164"/>
      <c r="T158" s="140"/>
      <c r="U158" s="140"/>
      <c r="V158" s="140"/>
      <c r="W158" s="140"/>
      <c r="X158" s="140"/>
      <c r="Y158" s="140"/>
      <c r="Z158" s="140"/>
      <c r="AA158" s="140"/>
      <c r="AB158" s="140"/>
      <c r="AC158" s="140"/>
      <c r="AD158" s="140"/>
      <c r="AE158" s="140"/>
      <c r="AF158" s="140"/>
      <c r="AG158" s="140"/>
      <c r="AH158" s="140"/>
      <c r="AI158" s="140"/>
      <c r="AJ158" s="140"/>
      <c r="AK158" s="140"/>
      <c r="AL158" s="140"/>
      <c r="AM158" s="140"/>
      <c r="AN158" s="140"/>
      <c r="AO158" s="140"/>
      <c r="AP158" s="140"/>
      <c r="AQ158" s="140"/>
      <c r="AR158" s="140"/>
      <c r="BL158" s="638"/>
      <c r="BM158" s="638"/>
      <c r="BN158" s="1478"/>
      <c r="BO158" s="638"/>
      <c r="BP158" s="160"/>
      <c r="BQ158" s="636"/>
      <c r="BR158" s="160"/>
      <c r="BS158" s="160"/>
      <c r="CK158" s="140"/>
      <c r="CL158" s="140"/>
      <c r="CM158" s="140"/>
      <c r="CN158" s="140"/>
      <c r="CO158" s="140"/>
      <c r="CP158" s="140"/>
      <c r="CQ158" s="140"/>
      <c r="CR158" s="140"/>
      <c r="CS158" s="140"/>
      <c r="CT158" s="140"/>
      <c r="CU158" s="140"/>
      <c r="CV158" s="140"/>
      <c r="CW158" s="140"/>
      <c r="CX158" s="140"/>
      <c r="CY158" s="140"/>
      <c r="CZ158" s="140"/>
      <c r="DA158" s="140"/>
      <c r="DB158" s="140"/>
      <c r="DC158" s="140"/>
      <c r="DD158" s="140"/>
      <c r="DE158" s="140"/>
      <c r="DF158" s="140"/>
      <c r="DT158" s="154"/>
      <c r="DU158" s="625"/>
      <c r="DV158" s="632"/>
      <c r="DW158" s="632"/>
      <c r="DX158" s="625"/>
      <c r="EM158" s="2537"/>
      <c r="EN158" s="2537"/>
      <c r="EO158" s="2537"/>
      <c r="EP158" s="2537"/>
      <c r="ER158" s="1465"/>
      <c r="GB158" s="1443"/>
      <c r="GK158" s="153"/>
    </row>
    <row r="159" spans="7:208" ht="3.6" customHeight="1">
      <c r="K159" s="364"/>
      <c r="O159" s="167"/>
      <c r="P159" s="158"/>
      <c r="Q159" s="165"/>
      <c r="R159" s="1500"/>
      <c r="S159" s="164"/>
      <c r="T159" s="140"/>
      <c r="U159" s="140"/>
      <c r="V159" s="140"/>
      <c r="W159" s="140"/>
      <c r="X159" s="140"/>
      <c r="Y159" s="140"/>
      <c r="Z159" s="140"/>
      <c r="AA159" s="140"/>
      <c r="AB159" s="140"/>
      <c r="AC159" s="140"/>
      <c r="AD159" s="140"/>
      <c r="AE159" s="140"/>
      <c r="AF159" s="140"/>
      <c r="AG159" s="140"/>
      <c r="AH159" s="140"/>
      <c r="AI159" s="140"/>
      <c r="AJ159" s="140"/>
      <c r="AK159" s="140"/>
      <c r="AL159" s="140"/>
      <c r="AM159" s="140"/>
      <c r="AN159" s="140"/>
      <c r="AO159" s="140"/>
      <c r="AP159" s="140"/>
      <c r="AQ159" s="140"/>
      <c r="AR159" s="140"/>
      <c r="BL159" s="638"/>
      <c r="BM159" s="638"/>
      <c r="BN159" s="1478"/>
      <c r="BO159" s="638"/>
      <c r="BP159" s="160"/>
      <c r="BQ159" s="636"/>
      <c r="BR159" s="160"/>
      <c r="BS159" s="160"/>
      <c r="CK159" s="140"/>
      <c r="CL159" s="140"/>
      <c r="CM159" s="140"/>
      <c r="CN159" s="140"/>
      <c r="CO159" s="140"/>
      <c r="CP159" s="140"/>
      <c r="CQ159" s="140"/>
      <c r="CR159" s="140"/>
      <c r="CS159" s="140"/>
      <c r="CT159" s="140"/>
      <c r="CU159" s="140"/>
      <c r="CV159" s="140"/>
      <c r="CW159" s="140"/>
      <c r="CX159" s="140"/>
      <c r="CY159" s="140"/>
      <c r="CZ159" s="140"/>
      <c r="DA159" s="140"/>
      <c r="DB159" s="140"/>
      <c r="DC159" s="140"/>
      <c r="DD159" s="140"/>
      <c r="DE159" s="140"/>
      <c r="DF159" s="140"/>
      <c r="DT159" s="154"/>
      <c r="DU159" s="625"/>
      <c r="DV159" s="632"/>
      <c r="DW159" s="632"/>
      <c r="DX159" s="625"/>
      <c r="EM159" s="2537"/>
      <c r="EN159" s="2537"/>
      <c r="EO159" s="2537"/>
      <c r="EP159" s="2537"/>
      <c r="ER159" s="1465"/>
      <c r="GB159" s="1443"/>
      <c r="GK159" s="153"/>
      <c r="GO159" s="154"/>
      <c r="GT159" s="154"/>
    </row>
    <row r="160" spans="7:208" ht="3.6" customHeight="1">
      <c r="K160" s="364"/>
      <c r="O160" s="167"/>
      <c r="P160" s="158"/>
      <c r="Q160" s="164"/>
      <c r="R160" s="1501"/>
      <c r="S160" s="164"/>
      <c r="T160" s="140"/>
      <c r="U160" s="140"/>
      <c r="V160" s="140"/>
      <c r="W160" s="140"/>
      <c r="X160" s="140"/>
      <c r="Y160" s="140"/>
      <c r="Z160" s="140"/>
      <c r="AA160" s="140"/>
      <c r="AB160" s="140"/>
      <c r="AC160" s="140"/>
      <c r="AD160" s="140"/>
      <c r="AE160" s="140"/>
      <c r="AF160" s="140"/>
      <c r="AG160" s="140"/>
      <c r="AH160" s="140"/>
      <c r="AI160" s="140"/>
      <c r="AJ160" s="140"/>
      <c r="AK160" s="140"/>
      <c r="AL160" s="140"/>
      <c r="AM160" s="140"/>
      <c r="AN160" s="140"/>
      <c r="AO160" s="140"/>
      <c r="AP160" s="140"/>
      <c r="AQ160" s="140"/>
      <c r="AR160" s="140"/>
      <c r="BL160" s="638"/>
      <c r="BM160" s="638"/>
      <c r="BN160" s="1478"/>
      <c r="BO160" s="638"/>
      <c r="BP160" s="160"/>
      <c r="BQ160" s="636"/>
      <c r="BR160" s="160"/>
      <c r="BS160" s="160"/>
      <c r="CK160" s="140"/>
      <c r="CL160" s="140"/>
      <c r="CM160" s="140"/>
      <c r="CN160" s="140"/>
      <c r="CO160" s="140"/>
      <c r="CP160" s="140"/>
      <c r="CQ160" s="140"/>
      <c r="CR160" s="140"/>
      <c r="CS160" s="140"/>
      <c r="CT160" s="140"/>
      <c r="CU160" s="140"/>
      <c r="CV160" s="140"/>
      <c r="CW160" s="140"/>
      <c r="CX160" s="140"/>
      <c r="CY160" s="140"/>
      <c r="CZ160" s="140"/>
      <c r="DA160" s="140"/>
      <c r="DB160" s="140"/>
      <c r="DC160" s="140"/>
      <c r="DD160" s="140"/>
      <c r="DE160" s="140"/>
      <c r="DF160" s="140"/>
      <c r="DT160" s="154"/>
      <c r="DU160" s="625"/>
      <c r="DV160" s="632"/>
      <c r="DW160" s="632"/>
      <c r="DX160" s="625"/>
      <c r="EF160" s="2537" t="s">
        <v>3464</v>
      </c>
      <c r="EG160" s="2537"/>
      <c r="EH160" s="2537"/>
      <c r="EI160" s="2537"/>
      <c r="EM160" s="2537"/>
      <c r="EN160" s="2537"/>
      <c r="EO160" s="2537"/>
      <c r="EP160" s="2537"/>
      <c r="ER160" s="1465"/>
      <c r="GB160" s="1443"/>
      <c r="GK160" s="153"/>
      <c r="GO160" s="154"/>
      <c r="GT160" s="154"/>
    </row>
    <row r="161" spans="7:202" ht="3.6" customHeight="1">
      <c r="K161" s="364"/>
      <c r="O161" s="167"/>
      <c r="P161" s="158"/>
      <c r="Q161" s="164"/>
      <c r="R161" s="1501"/>
      <c r="S161" s="164"/>
      <c r="T161" s="140"/>
      <c r="U161" s="140"/>
      <c r="V161" s="140"/>
      <c r="W161" s="140"/>
      <c r="X161" s="140"/>
      <c r="Y161" s="140"/>
      <c r="Z161" s="140"/>
      <c r="AA161" s="140"/>
      <c r="AB161" s="140"/>
      <c r="AC161" s="140"/>
      <c r="AD161" s="140"/>
      <c r="AE161" s="140"/>
      <c r="AF161" s="140"/>
      <c r="AG161" s="140"/>
      <c r="AH161" s="140"/>
      <c r="AI161" s="140"/>
      <c r="AJ161" s="140"/>
      <c r="AK161" s="140"/>
      <c r="AL161" s="140"/>
      <c r="AM161" s="140"/>
      <c r="AN161" s="140"/>
      <c r="AO161" s="140"/>
      <c r="AP161" s="140"/>
      <c r="AQ161" s="140"/>
      <c r="AR161" s="140"/>
      <c r="BL161" s="638"/>
      <c r="BM161" s="638"/>
      <c r="BN161" s="1478"/>
      <c r="BO161" s="638"/>
      <c r="BP161" s="160"/>
      <c r="BQ161" s="636"/>
      <c r="BR161" s="160"/>
      <c r="BS161" s="160"/>
      <c r="CK161" s="140"/>
      <c r="CL161" s="140"/>
      <c r="CM161" s="140"/>
      <c r="CN161" s="140"/>
      <c r="CO161" s="140"/>
      <c r="CP161" s="140"/>
      <c r="CQ161" s="140"/>
      <c r="CR161" s="140"/>
      <c r="CS161" s="140"/>
      <c r="CT161" s="140"/>
      <c r="CU161" s="140"/>
      <c r="CV161" s="140"/>
      <c r="CW161" s="140"/>
      <c r="CX161" s="140"/>
      <c r="CY161" s="140"/>
      <c r="CZ161" s="140"/>
      <c r="DA161" s="140"/>
      <c r="DB161" s="140"/>
      <c r="DC161" s="140"/>
      <c r="DD161" s="140"/>
      <c r="DE161" s="140"/>
      <c r="DF161" s="140"/>
      <c r="DT161" s="154"/>
      <c r="DU161" s="625"/>
      <c r="DV161" s="632"/>
      <c r="DW161" s="632"/>
      <c r="DX161" s="625"/>
      <c r="EF161" s="2537"/>
      <c r="EG161" s="2537"/>
      <c r="EH161" s="2537"/>
      <c r="EI161" s="2537"/>
      <c r="EM161" s="2537"/>
      <c r="EN161" s="2537"/>
      <c r="EO161" s="2537"/>
      <c r="EP161" s="2537"/>
      <c r="ER161" s="1465"/>
      <c r="GB161" s="1443"/>
      <c r="GK161" s="153"/>
      <c r="GO161" s="154"/>
      <c r="GT161" s="154"/>
    </row>
    <row r="162" spans="7:202" ht="3.6" customHeight="1">
      <c r="K162" s="364"/>
      <c r="O162" s="154"/>
      <c r="P162" s="155"/>
      <c r="Q162" s="153"/>
      <c r="R162" s="375"/>
      <c r="S162" s="153"/>
      <c r="BL162" s="638"/>
      <c r="BM162" s="638"/>
      <c r="BN162" s="1478"/>
      <c r="BO162" s="638"/>
      <c r="BP162" s="160"/>
      <c r="BQ162" s="636"/>
      <c r="BR162" s="160"/>
      <c r="BS162" s="160"/>
      <c r="CG162" s="2538" t="s">
        <v>3152</v>
      </c>
      <c r="CH162" s="2538"/>
      <c r="CI162" s="2538"/>
      <c r="CJ162" s="2538"/>
      <c r="CK162" s="2538"/>
      <c r="CL162" s="2538"/>
      <c r="CM162" s="2538"/>
      <c r="CN162" s="2538"/>
      <c r="CO162" s="2538"/>
      <c r="CP162" s="2538"/>
      <c r="CQ162" s="2538"/>
      <c r="CR162" s="2538"/>
      <c r="CS162" s="2538"/>
      <c r="CT162" s="2538"/>
      <c r="CU162" s="2538"/>
      <c r="CV162" s="2538"/>
      <c r="CW162" s="2538"/>
      <c r="CX162" s="2538"/>
      <c r="CY162" s="2538"/>
      <c r="CZ162" s="2538"/>
      <c r="DA162" s="2538"/>
      <c r="DB162" s="2538"/>
      <c r="DC162" s="2538"/>
      <c r="DD162" s="2538"/>
      <c r="DE162" s="2538"/>
      <c r="DF162" s="2538"/>
      <c r="DG162" s="2538"/>
      <c r="DH162" s="2538"/>
      <c r="DT162" s="154"/>
      <c r="DU162" s="625"/>
      <c r="DV162" s="632"/>
      <c r="DW162" s="1469"/>
      <c r="DX162" s="1470"/>
      <c r="DY162" s="180"/>
      <c r="DZ162" s="180"/>
      <c r="EA162" s="180"/>
      <c r="EB162" s="369"/>
      <c r="EF162" s="2537"/>
      <c r="EG162" s="2537"/>
      <c r="EH162" s="2537"/>
      <c r="EI162" s="2537"/>
      <c r="EM162" s="2537"/>
      <c r="EN162" s="2537"/>
      <c r="EO162" s="2537"/>
      <c r="EP162" s="2537"/>
      <c r="ER162" s="1465"/>
      <c r="GB162" s="1443"/>
      <c r="GK162" s="153"/>
      <c r="GO162" s="154"/>
      <c r="GT162" s="154"/>
    </row>
    <row r="163" spans="7:202" ht="3.6" customHeight="1">
      <c r="K163" s="364"/>
      <c r="O163" s="154"/>
      <c r="P163" s="155"/>
      <c r="Q163" s="153"/>
      <c r="R163" s="375"/>
      <c r="S163" s="153"/>
      <c r="BL163" s="638"/>
      <c r="BM163" s="638"/>
      <c r="BN163" s="1478"/>
      <c r="BO163" s="638"/>
      <c r="BP163" s="160"/>
      <c r="BQ163" s="636"/>
      <c r="BR163" s="160"/>
      <c r="BS163" s="160"/>
      <c r="CG163" s="2538"/>
      <c r="CH163" s="2538"/>
      <c r="CI163" s="2538"/>
      <c r="CJ163" s="2538"/>
      <c r="CK163" s="2538"/>
      <c r="CL163" s="2538"/>
      <c r="CM163" s="2538"/>
      <c r="CN163" s="2538"/>
      <c r="CO163" s="2538"/>
      <c r="CP163" s="2538"/>
      <c r="CQ163" s="2538"/>
      <c r="CR163" s="2538"/>
      <c r="CS163" s="2538"/>
      <c r="CT163" s="2538"/>
      <c r="CU163" s="2538"/>
      <c r="CV163" s="2538"/>
      <c r="CW163" s="2538"/>
      <c r="CX163" s="2538"/>
      <c r="CY163" s="2538"/>
      <c r="CZ163" s="2538"/>
      <c r="DA163" s="2538"/>
      <c r="DB163" s="2538"/>
      <c r="DC163" s="2538"/>
      <c r="DD163" s="2538"/>
      <c r="DE163" s="2538"/>
      <c r="DF163" s="2538"/>
      <c r="DG163" s="2538"/>
      <c r="DH163" s="2538"/>
      <c r="DT163" s="154"/>
      <c r="DU163" s="165"/>
      <c r="DV163" s="1500"/>
      <c r="DW163" s="1473"/>
      <c r="DX163" s="625"/>
      <c r="EB163" s="365"/>
      <c r="EF163" s="2537"/>
      <c r="EG163" s="2537"/>
      <c r="EH163" s="2537"/>
      <c r="EI163" s="2537"/>
      <c r="EM163" s="2537"/>
      <c r="EN163" s="2537"/>
      <c r="EO163" s="2537"/>
      <c r="EP163" s="2537"/>
      <c r="ER163" s="1465"/>
      <c r="GB163" s="1443"/>
      <c r="GK163" s="153"/>
      <c r="GO163" s="154"/>
      <c r="GT163" s="154"/>
    </row>
    <row r="164" spans="7:202" ht="3.6" customHeight="1">
      <c r="G164" s="2537" t="s">
        <v>3465</v>
      </c>
      <c r="H164" s="2537"/>
      <c r="I164" s="2537"/>
      <c r="J164" s="2537"/>
      <c r="K164" s="364"/>
      <c r="L164" s="2540" t="s">
        <v>3491</v>
      </c>
      <c r="M164" s="2540"/>
      <c r="N164" s="2540"/>
      <c r="O164" s="2541"/>
      <c r="P164" s="155"/>
      <c r="Q164" s="153"/>
      <c r="R164" s="375"/>
      <c r="S164" s="153"/>
      <c r="BL164" s="638"/>
      <c r="BM164" s="638"/>
      <c r="BN164" s="1478"/>
      <c r="BO164" s="638"/>
      <c r="BP164" s="160"/>
      <c r="BQ164" s="636"/>
      <c r="BR164" s="160"/>
      <c r="BS164" s="160"/>
      <c r="CG164" s="2538"/>
      <c r="CH164" s="2538"/>
      <c r="CI164" s="2538"/>
      <c r="CJ164" s="2538"/>
      <c r="CK164" s="2538"/>
      <c r="CL164" s="2538"/>
      <c r="CM164" s="2538"/>
      <c r="CN164" s="2538"/>
      <c r="CO164" s="2538"/>
      <c r="CP164" s="2538"/>
      <c r="CQ164" s="2538"/>
      <c r="CR164" s="2538"/>
      <c r="CS164" s="2538"/>
      <c r="CT164" s="2538"/>
      <c r="CU164" s="2538"/>
      <c r="CV164" s="2538"/>
      <c r="CW164" s="2538"/>
      <c r="CX164" s="2538"/>
      <c r="CY164" s="2538"/>
      <c r="CZ164" s="2538"/>
      <c r="DA164" s="2538"/>
      <c r="DB164" s="2538"/>
      <c r="DC164" s="2538"/>
      <c r="DD164" s="2538"/>
      <c r="DE164" s="2538"/>
      <c r="DF164" s="2538"/>
      <c r="DG164" s="2538"/>
      <c r="DH164" s="2538"/>
      <c r="DT164" s="154"/>
      <c r="DU164" s="164"/>
      <c r="DV164" s="1501"/>
      <c r="DW164" s="1473"/>
      <c r="DX164" s="625"/>
      <c r="EB164" s="365"/>
      <c r="EF164" s="2537"/>
      <c r="EG164" s="2537"/>
      <c r="EH164" s="2537"/>
      <c r="EI164" s="2537"/>
      <c r="EM164" s="2537"/>
      <c r="EN164" s="2537"/>
      <c r="EO164" s="2537"/>
      <c r="EP164" s="2537"/>
      <c r="ER164" s="1465"/>
      <c r="GB164" s="1443"/>
      <c r="GK164" s="153"/>
      <c r="GO164" s="154"/>
      <c r="GT164" s="154"/>
    </row>
    <row r="165" spans="7:202" ht="3.6" customHeight="1">
      <c r="G165" s="2537"/>
      <c r="H165" s="2537"/>
      <c r="I165" s="2537"/>
      <c r="J165" s="2537"/>
      <c r="K165" s="364"/>
      <c r="L165" s="2540"/>
      <c r="M165" s="2540"/>
      <c r="N165" s="2540"/>
      <c r="O165" s="2541"/>
      <c r="P165" s="155"/>
      <c r="Q165" s="153"/>
      <c r="R165" s="375"/>
      <c r="S165" s="153"/>
      <c r="BL165" s="638"/>
      <c r="BM165" s="638"/>
      <c r="BN165" s="1478"/>
      <c r="BO165" s="638"/>
      <c r="BP165" s="160"/>
      <c r="BQ165" s="636"/>
      <c r="BR165" s="160"/>
      <c r="BS165" s="160"/>
      <c r="CG165" s="2538"/>
      <c r="CH165" s="2538"/>
      <c r="CI165" s="2538"/>
      <c r="CJ165" s="2538"/>
      <c r="CK165" s="2538"/>
      <c r="CL165" s="2538"/>
      <c r="CM165" s="2538"/>
      <c r="CN165" s="2538"/>
      <c r="CO165" s="2538"/>
      <c r="CP165" s="2538"/>
      <c r="CQ165" s="2538"/>
      <c r="CR165" s="2538"/>
      <c r="CS165" s="2538"/>
      <c r="CT165" s="2538"/>
      <c r="CU165" s="2538"/>
      <c r="CV165" s="2538"/>
      <c r="CW165" s="2538"/>
      <c r="CX165" s="2538"/>
      <c r="CY165" s="2538"/>
      <c r="CZ165" s="2538"/>
      <c r="DA165" s="2538"/>
      <c r="DB165" s="2538"/>
      <c r="DC165" s="2538"/>
      <c r="DD165" s="2538"/>
      <c r="DE165" s="2538"/>
      <c r="DF165" s="2538"/>
      <c r="DG165" s="2538"/>
      <c r="DH165" s="2538"/>
      <c r="DT165" s="154"/>
      <c r="DU165" s="164"/>
      <c r="DV165" s="1501"/>
      <c r="DW165" s="1473"/>
      <c r="DX165" s="625"/>
      <c r="EB165" s="365"/>
      <c r="EF165" s="2537"/>
      <c r="EG165" s="2537"/>
      <c r="EH165" s="2537"/>
      <c r="EI165" s="2537"/>
      <c r="EM165" s="2537"/>
      <c r="EN165" s="2537"/>
      <c r="EO165" s="2537"/>
      <c r="EP165" s="2537"/>
      <c r="ER165" s="1465"/>
      <c r="GB165" s="1443"/>
      <c r="GK165" s="153"/>
      <c r="GO165" s="154"/>
      <c r="GT165" s="154"/>
    </row>
    <row r="166" spans="7:202" ht="3.6" customHeight="1">
      <c r="G166" s="2537"/>
      <c r="H166" s="2537"/>
      <c r="I166" s="2537"/>
      <c r="J166" s="2537"/>
      <c r="K166" s="364"/>
      <c r="L166" s="2540"/>
      <c r="M166" s="2540"/>
      <c r="N166" s="2540"/>
      <c r="O166" s="2541"/>
      <c r="P166" s="155"/>
      <c r="Q166" s="153"/>
      <c r="R166" s="375"/>
      <c r="S166" s="153"/>
      <c r="BL166" s="638"/>
      <c r="BM166" s="638"/>
      <c r="BN166" s="1478"/>
      <c r="BO166" s="638"/>
      <c r="BP166" s="160"/>
      <c r="BQ166" s="636"/>
      <c r="BR166" s="160"/>
      <c r="BS166" s="160"/>
      <c r="CG166" s="2538" t="s">
        <v>3492</v>
      </c>
      <c r="CH166" s="2538"/>
      <c r="CI166" s="2538"/>
      <c r="CJ166" s="2538"/>
      <c r="CK166" s="2538"/>
      <c r="CL166" s="2538"/>
      <c r="CM166" s="2538"/>
      <c r="CN166" s="2538"/>
      <c r="CO166" s="2538"/>
      <c r="CP166" s="2538"/>
      <c r="CQ166" s="2538"/>
      <c r="CR166" s="2538"/>
      <c r="CS166" s="2538"/>
      <c r="CT166" s="2538"/>
      <c r="CU166" s="2538"/>
      <c r="CV166" s="2538"/>
      <c r="CW166" s="2538"/>
      <c r="CX166" s="2538"/>
      <c r="CY166" s="2538"/>
      <c r="CZ166" s="2538"/>
      <c r="DA166" s="2538"/>
      <c r="DB166" s="2538"/>
      <c r="DC166" s="2538"/>
      <c r="DD166" s="2538"/>
      <c r="DE166" s="2538"/>
      <c r="DF166" s="2538"/>
      <c r="DG166" s="2538"/>
      <c r="DH166" s="2538"/>
      <c r="DT166" s="154"/>
      <c r="DU166" s="153"/>
      <c r="DV166" s="375"/>
      <c r="DW166" s="1473"/>
      <c r="EB166" s="365"/>
      <c r="EF166" s="2537"/>
      <c r="EG166" s="2537"/>
      <c r="EH166" s="2537"/>
      <c r="EI166" s="2537"/>
      <c r="EM166" s="2537"/>
      <c r="EN166" s="2537"/>
      <c r="EO166" s="2537"/>
      <c r="EP166" s="2537"/>
      <c r="ER166" s="1465"/>
      <c r="GB166" s="1443"/>
      <c r="GK166" s="153"/>
      <c r="GO166" s="154"/>
      <c r="GT166" s="154"/>
    </row>
    <row r="167" spans="7:202" ht="3.6" customHeight="1">
      <c r="G167" s="2537"/>
      <c r="H167" s="2537"/>
      <c r="I167" s="2537"/>
      <c r="J167" s="2537"/>
      <c r="K167" s="364"/>
      <c r="L167" s="2540"/>
      <c r="M167" s="2540"/>
      <c r="N167" s="2540"/>
      <c r="O167" s="2541"/>
      <c r="P167" s="155"/>
      <c r="Q167" s="153"/>
      <c r="R167" s="375"/>
      <c r="S167" s="153"/>
      <c r="BL167" s="638"/>
      <c r="BM167" s="638"/>
      <c r="BN167" s="1478"/>
      <c r="BO167" s="638"/>
      <c r="BP167" s="160"/>
      <c r="BQ167" s="636"/>
      <c r="BR167" s="160"/>
      <c r="BS167" s="160"/>
      <c r="CG167" s="2538"/>
      <c r="CH167" s="2538"/>
      <c r="CI167" s="2538"/>
      <c r="CJ167" s="2538"/>
      <c r="CK167" s="2538"/>
      <c r="CL167" s="2538"/>
      <c r="CM167" s="2538"/>
      <c r="CN167" s="2538"/>
      <c r="CO167" s="2538"/>
      <c r="CP167" s="2538"/>
      <c r="CQ167" s="2538"/>
      <c r="CR167" s="2538"/>
      <c r="CS167" s="2538"/>
      <c r="CT167" s="2538"/>
      <c r="CU167" s="2538"/>
      <c r="CV167" s="2538"/>
      <c r="CW167" s="2538"/>
      <c r="CX167" s="2538"/>
      <c r="CY167" s="2538"/>
      <c r="CZ167" s="2538"/>
      <c r="DA167" s="2538"/>
      <c r="DB167" s="2538"/>
      <c r="DC167" s="2538"/>
      <c r="DD167" s="2538"/>
      <c r="DE167" s="2538"/>
      <c r="DF167" s="2538"/>
      <c r="DG167" s="2538"/>
      <c r="DH167" s="2538"/>
      <c r="DT167" s="154"/>
      <c r="DU167" s="153"/>
      <c r="DV167" s="375"/>
      <c r="DW167" s="1473"/>
      <c r="EB167" s="365"/>
      <c r="EF167" s="2537"/>
      <c r="EG167" s="2537"/>
      <c r="EH167" s="2537"/>
      <c r="EI167" s="2537"/>
      <c r="EM167" s="2537"/>
      <c r="EN167" s="2537"/>
      <c r="EO167" s="2537"/>
      <c r="EP167" s="2537"/>
      <c r="ER167" s="1465"/>
      <c r="GB167" s="1443"/>
      <c r="GK167" s="153"/>
      <c r="GO167" s="154"/>
      <c r="GT167" s="154"/>
    </row>
    <row r="168" spans="7:202" ht="3.6" customHeight="1">
      <c r="G168" s="2537"/>
      <c r="H168" s="2537"/>
      <c r="I168" s="2537"/>
      <c r="J168" s="2537"/>
      <c r="K168" s="364"/>
      <c r="L168" s="2540"/>
      <c r="M168" s="2540"/>
      <c r="N168" s="2540"/>
      <c r="O168" s="2541"/>
      <c r="P168" s="154"/>
      <c r="Q168" s="153"/>
      <c r="R168" s="375"/>
      <c r="S168" s="153"/>
      <c r="BL168" s="638"/>
      <c r="BM168" s="638"/>
      <c r="BN168" s="1478"/>
      <c r="BO168" s="638"/>
      <c r="BP168" s="160"/>
      <c r="BQ168" s="636"/>
      <c r="BR168" s="160"/>
      <c r="BS168" s="160"/>
      <c r="CG168" s="2538"/>
      <c r="CH168" s="2538"/>
      <c r="CI168" s="2538"/>
      <c r="CJ168" s="2538"/>
      <c r="CK168" s="2538"/>
      <c r="CL168" s="2538"/>
      <c r="CM168" s="2538"/>
      <c r="CN168" s="2538"/>
      <c r="CO168" s="2538"/>
      <c r="CP168" s="2538"/>
      <c r="CQ168" s="2538"/>
      <c r="CR168" s="2538"/>
      <c r="CS168" s="2538"/>
      <c r="CT168" s="2538"/>
      <c r="CU168" s="2538"/>
      <c r="CV168" s="2538"/>
      <c r="CW168" s="2538"/>
      <c r="CX168" s="2538"/>
      <c r="CY168" s="2538"/>
      <c r="CZ168" s="2538"/>
      <c r="DA168" s="2538"/>
      <c r="DB168" s="2538"/>
      <c r="DC168" s="2538"/>
      <c r="DD168" s="2538"/>
      <c r="DE168" s="2538"/>
      <c r="DF168" s="2538"/>
      <c r="DG168" s="2538"/>
      <c r="DH168" s="2538"/>
      <c r="DT168" s="154"/>
      <c r="DU168" s="153"/>
      <c r="DV168" s="375"/>
      <c r="DW168" s="1473"/>
      <c r="DX168" s="2530" t="s">
        <v>3491</v>
      </c>
      <c r="DY168" s="2531"/>
      <c r="DZ168" s="2531"/>
      <c r="EA168" s="2531"/>
      <c r="EB168" s="365"/>
      <c r="EF168" s="2537"/>
      <c r="EG168" s="2537"/>
      <c r="EH168" s="2537"/>
      <c r="EI168" s="2537"/>
      <c r="EM168" s="2537"/>
      <c r="EN168" s="2537"/>
      <c r="EO168" s="2537"/>
      <c r="EP168" s="2537"/>
      <c r="ER168" s="1465"/>
      <c r="GB168" s="1443"/>
      <c r="GK168" s="153"/>
      <c r="GO168" s="154"/>
      <c r="GT168" s="154"/>
    </row>
    <row r="169" spans="7:202" ht="3.6" customHeight="1">
      <c r="G169" s="2537"/>
      <c r="H169" s="2537"/>
      <c r="I169" s="2537"/>
      <c r="J169" s="2537"/>
      <c r="K169" s="364"/>
      <c r="O169" s="154"/>
      <c r="P169" s="154"/>
      <c r="Q169" s="153"/>
      <c r="R169" s="375"/>
      <c r="S169" s="153"/>
      <c r="BL169" s="638"/>
      <c r="BM169" s="638"/>
      <c r="BN169" s="1478"/>
      <c r="BO169" s="638"/>
      <c r="BP169" s="160"/>
      <c r="BQ169" s="636"/>
      <c r="BR169" s="160"/>
      <c r="BS169" s="160"/>
      <c r="CG169" s="2538"/>
      <c r="CH169" s="2538"/>
      <c r="CI169" s="2538"/>
      <c r="CJ169" s="2538"/>
      <c r="CK169" s="2538"/>
      <c r="CL169" s="2538"/>
      <c r="CM169" s="2538"/>
      <c r="CN169" s="2538"/>
      <c r="CO169" s="2538"/>
      <c r="CP169" s="2538"/>
      <c r="CQ169" s="2538"/>
      <c r="CR169" s="2538"/>
      <c r="CS169" s="2538"/>
      <c r="CT169" s="2538"/>
      <c r="CU169" s="2538"/>
      <c r="CV169" s="2538"/>
      <c r="CW169" s="2538"/>
      <c r="CX169" s="2538"/>
      <c r="CY169" s="2538"/>
      <c r="CZ169" s="2538"/>
      <c r="DA169" s="2538"/>
      <c r="DB169" s="2538"/>
      <c r="DC169" s="2538"/>
      <c r="DD169" s="2538"/>
      <c r="DE169" s="2538"/>
      <c r="DF169" s="2538"/>
      <c r="DG169" s="2538"/>
      <c r="DH169" s="2538"/>
      <c r="DT169" s="154"/>
      <c r="DU169" s="153"/>
      <c r="DV169" s="375"/>
      <c r="DW169" s="1473"/>
      <c r="DX169" s="2530"/>
      <c r="DY169" s="2531"/>
      <c r="DZ169" s="2531"/>
      <c r="EA169" s="2531"/>
      <c r="EB169" s="365"/>
      <c r="EF169" s="2537"/>
      <c r="EG169" s="2537"/>
      <c r="EH169" s="2537"/>
      <c r="EI169" s="2537"/>
      <c r="EM169" s="2537"/>
      <c r="EN169" s="2537"/>
      <c r="EO169" s="2537"/>
      <c r="EP169" s="2537"/>
      <c r="ER169" s="1465"/>
      <c r="GB169" s="1443"/>
      <c r="GJ169" s="154"/>
      <c r="GO169" s="154"/>
      <c r="GT169" s="154"/>
    </row>
    <row r="170" spans="7:202" ht="3.6" customHeight="1">
      <c r="G170" s="2537"/>
      <c r="H170" s="2537"/>
      <c r="I170" s="2537"/>
      <c r="J170" s="2537"/>
      <c r="K170" s="364"/>
      <c r="L170" s="140"/>
      <c r="M170" s="140"/>
      <c r="N170" s="140"/>
      <c r="O170" s="167"/>
      <c r="P170" s="154"/>
      <c r="Q170" s="153"/>
      <c r="R170" s="375"/>
      <c r="S170" s="153"/>
      <c r="BN170" s="154"/>
      <c r="BQ170" s="153"/>
      <c r="DT170" s="154"/>
      <c r="DU170" s="153"/>
      <c r="DV170" s="375"/>
      <c r="DW170" s="1473"/>
      <c r="DX170" s="2530"/>
      <c r="DY170" s="2531"/>
      <c r="DZ170" s="2531"/>
      <c r="EA170" s="2531"/>
      <c r="EB170" s="365"/>
      <c r="EF170" s="2537"/>
      <c r="EG170" s="2537"/>
      <c r="EH170" s="2537"/>
      <c r="EI170" s="2537"/>
      <c r="ER170" s="1465"/>
      <c r="GB170" s="1443"/>
      <c r="GJ170" s="154"/>
      <c r="GO170" s="154"/>
      <c r="GT170" s="154"/>
    </row>
    <row r="171" spans="7:202" ht="3.6" customHeight="1">
      <c r="G171" s="2537"/>
      <c r="H171" s="2537"/>
      <c r="I171" s="2537"/>
      <c r="J171" s="2537"/>
      <c r="K171" s="364"/>
      <c r="O171" s="154"/>
      <c r="P171" s="154"/>
      <c r="Q171" s="153"/>
      <c r="R171" s="375"/>
      <c r="S171" s="153"/>
      <c r="AC171" s="2538" t="s">
        <v>3151</v>
      </c>
      <c r="AD171" s="2538"/>
      <c r="AE171" s="2538"/>
      <c r="AF171" s="2538"/>
      <c r="AG171" s="2538"/>
      <c r="AH171" s="2538"/>
      <c r="AI171" s="2538"/>
      <c r="AJ171" s="2538"/>
      <c r="AK171" s="2538"/>
      <c r="AL171" s="2538"/>
      <c r="AM171" s="2538"/>
      <c r="AN171" s="2538"/>
      <c r="AO171" s="2538"/>
      <c r="AP171" s="2538"/>
      <c r="AQ171" s="2538"/>
      <c r="AR171" s="2538"/>
      <c r="AS171" s="2538"/>
      <c r="AT171" s="2538"/>
      <c r="AU171" s="2538"/>
      <c r="AV171" s="2538"/>
      <c r="AW171" s="2538"/>
      <c r="AX171" s="2538"/>
      <c r="AY171" s="2538"/>
      <c r="AZ171" s="2538"/>
      <c r="BA171" s="2538"/>
      <c r="BB171" s="2538"/>
      <c r="BC171" s="2538"/>
      <c r="BD171" s="2538"/>
      <c r="BN171" s="154"/>
      <c r="BQ171" s="153"/>
      <c r="DT171" s="154"/>
      <c r="DU171" s="153"/>
      <c r="DV171" s="375"/>
      <c r="DW171" s="1473"/>
      <c r="DX171" s="2530"/>
      <c r="DY171" s="2531"/>
      <c r="DZ171" s="2531"/>
      <c r="EA171" s="2531"/>
      <c r="EB171" s="365"/>
      <c r="EF171" s="2537"/>
      <c r="EG171" s="2537"/>
      <c r="EH171" s="2537"/>
      <c r="EI171" s="2537"/>
      <c r="ER171" s="1465"/>
      <c r="GB171" s="1443"/>
      <c r="GJ171" s="154"/>
      <c r="GO171" s="154"/>
      <c r="GT171" s="154"/>
    </row>
    <row r="172" spans="7:202" ht="3.6" customHeight="1">
      <c r="G172" s="2537"/>
      <c r="H172" s="2537"/>
      <c r="I172" s="2537"/>
      <c r="J172" s="2537"/>
      <c r="K172" s="364"/>
      <c r="O172" s="154"/>
      <c r="P172" s="154"/>
      <c r="Q172" s="153"/>
      <c r="R172" s="375"/>
      <c r="S172" s="153"/>
      <c r="AC172" s="2538"/>
      <c r="AD172" s="2538"/>
      <c r="AE172" s="2538"/>
      <c r="AF172" s="2538"/>
      <c r="AG172" s="2538"/>
      <c r="AH172" s="2538"/>
      <c r="AI172" s="2538"/>
      <c r="AJ172" s="2538"/>
      <c r="AK172" s="2538"/>
      <c r="AL172" s="2538"/>
      <c r="AM172" s="2538"/>
      <c r="AN172" s="2538"/>
      <c r="AO172" s="2538"/>
      <c r="AP172" s="2538"/>
      <c r="AQ172" s="2538"/>
      <c r="AR172" s="2538"/>
      <c r="AS172" s="2538"/>
      <c r="AT172" s="2538"/>
      <c r="AU172" s="2538"/>
      <c r="AV172" s="2538"/>
      <c r="AW172" s="2538"/>
      <c r="AX172" s="2538"/>
      <c r="AY172" s="2538"/>
      <c r="AZ172" s="2538"/>
      <c r="BA172" s="2538"/>
      <c r="BB172" s="2538"/>
      <c r="BC172" s="2538"/>
      <c r="BD172" s="2538"/>
      <c r="BN172" s="154"/>
      <c r="BQ172" s="153"/>
      <c r="DT172" s="154"/>
      <c r="DU172" s="153"/>
      <c r="DV172" s="375"/>
      <c r="DW172" s="1473"/>
      <c r="DX172" s="625"/>
      <c r="EB172" s="365"/>
      <c r="EF172" s="2537"/>
      <c r="EG172" s="2537"/>
      <c r="EH172" s="2537"/>
      <c r="EI172" s="2537"/>
      <c r="ER172" s="1465"/>
      <c r="GB172" s="1443"/>
      <c r="GJ172" s="154"/>
    </row>
    <row r="173" spans="7:202" ht="3.6" customHeight="1">
      <c r="G173" s="2537"/>
      <c r="H173" s="2537"/>
      <c r="I173" s="2537"/>
      <c r="J173" s="2537"/>
      <c r="K173" s="364"/>
      <c r="O173" s="154"/>
      <c r="P173" s="154"/>
      <c r="Q173" s="153"/>
      <c r="R173" s="375"/>
      <c r="S173" s="153"/>
      <c r="AC173" s="2538"/>
      <c r="AD173" s="2538"/>
      <c r="AE173" s="2538"/>
      <c r="AF173" s="2538"/>
      <c r="AG173" s="2538"/>
      <c r="AH173" s="2538"/>
      <c r="AI173" s="2538"/>
      <c r="AJ173" s="2538"/>
      <c r="AK173" s="2538"/>
      <c r="AL173" s="2538"/>
      <c r="AM173" s="2538"/>
      <c r="AN173" s="2538"/>
      <c r="AO173" s="2538"/>
      <c r="AP173" s="2538"/>
      <c r="AQ173" s="2538"/>
      <c r="AR173" s="2538"/>
      <c r="AS173" s="2538"/>
      <c r="AT173" s="2538"/>
      <c r="AU173" s="2538"/>
      <c r="AV173" s="2538"/>
      <c r="AW173" s="2538"/>
      <c r="AX173" s="2538"/>
      <c r="AY173" s="2538"/>
      <c r="AZ173" s="2538"/>
      <c r="BA173" s="2538"/>
      <c r="BB173" s="2538"/>
      <c r="BC173" s="2538"/>
      <c r="BD173" s="2538"/>
      <c r="BN173" s="154"/>
      <c r="BQ173" s="153"/>
      <c r="DT173" s="154"/>
      <c r="DU173" s="153"/>
      <c r="DV173" s="375"/>
      <c r="DW173" s="1473"/>
      <c r="DX173" s="625"/>
      <c r="EB173" s="365"/>
      <c r="ER173" s="1465"/>
      <c r="GB173" s="1443"/>
      <c r="GJ173" s="154"/>
    </row>
    <row r="174" spans="7:202" ht="3.6" customHeight="1">
      <c r="G174" s="2537"/>
      <c r="H174" s="2537"/>
      <c r="I174" s="2537"/>
      <c r="J174" s="2537"/>
      <c r="K174" s="364"/>
      <c r="O174" s="154"/>
      <c r="P174" s="154"/>
      <c r="Q174" s="156"/>
      <c r="R174" s="376"/>
      <c r="S174" s="153"/>
      <c r="AC174" s="2538"/>
      <c r="AD174" s="2538"/>
      <c r="AE174" s="2538"/>
      <c r="AF174" s="2538"/>
      <c r="AG174" s="2538"/>
      <c r="AH174" s="2538"/>
      <c r="AI174" s="2538"/>
      <c r="AJ174" s="2538"/>
      <c r="AK174" s="2538"/>
      <c r="AL174" s="2538"/>
      <c r="AM174" s="2538"/>
      <c r="AN174" s="2538"/>
      <c r="AO174" s="2538"/>
      <c r="AP174" s="2538"/>
      <c r="AQ174" s="2538"/>
      <c r="AR174" s="2538"/>
      <c r="AS174" s="2538"/>
      <c r="AT174" s="2538"/>
      <c r="AU174" s="2538"/>
      <c r="AV174" s="2538"/>
      <c r="AW174" s="2538"/>
      <c r="AX174" s="2538"/>
      <c r="AY174" s="2538"/>
      <c r="AZ174" s="2538"/>
      <c r="BA174" s="2538"/>
      <c r="BB174" s="2538"/>
      <c r="BC174" s="2538"/>
      <c r="BD174" s="2538"/>
      <c r="BN174" s="154"/>
      <c r="BQ174" s="153"/>
      <c r="DT174" s="154"/>
      <c r="DU174" s="153"/>
      <c r="DV174" s="375"/>
      <c r="DW174" s="1473"/>
      <c r="DX174" s="625"/>
      <c r="EB174" s="365"/>
      <c r="ER174" s="1465"/>
      <c r="GB174" s="1443"/>
      <c r="GJ174" s="154"/>
    </row>
    <row r="175" spans="7:202" ht="3.6" customHeight="1">
      <c r="G175" s="2537"/>
      <c r="H175" s="2537"/>
      <c r="I175" s="2537"/>
      <c r="J175" s="2537"/>
      <c r="K175" s="377"/>
      <c r="L175" s="177"/>
      <c r="M175" s="177"/>
      <c r="N175" s="177"/>
      <c r="O175" s="178"/>
      <c r="P175" s="178"/>
      <c r="Q175" s="153"/>
      <c r="R175" s="154"/>
      <c r="S175" s="153"/>
      <c r="AC175" s="2538" t="s">
        <v>3493</v>
      </c>
      <c r="AD175" s="2538"/>
      <c r="AE175" s="2538"/>
      <c r="AF175" s="2538"/>
      <c r="AG175" s="2538"/>
      <c r="AH175" s="2538"/>
      <c r="AI175" s="2538"/>
      <c r="AJ175" s="2538"/>
      <c r="AK175" s="2538"/>
      <c r="AL175" s="2538"/>
      <c r="AM175" s="2538"/>
      <c r="AN175" s="2538"/>
      <c r="AO175" s="2538"/>
      <c r="AP175" s="2538"/>
      <c r="AQ175" s="2538"/>
      <c r="AR175" s="2538"/>
      <c r="AS175" s="2538"/>
      <c r="AT175" s="2538"/>
      <c r="AU175" s="2538"/>
      <c r="AV175" s="2538"/>
      <c r="AW175" s="2538"/>
      <c r="AX175" s="2538"/>
      <c r="AY175" s="2538"/>
      <c r="AZ175" s="2538"/>
      <c r="BA175" s="2538"/>
      <c r="BB175" s="2538"/>
      <c r="BC175" s="2538"/>
      <c r="BD175" s="2538"/>
      <c r="BN175" s="154"/>
      <c r="BQ175" s="153"/>
      <c r="DT175" s="154"/>
      <c r="DU175" s="153"/>
      <c r="DV175" s="375"/>
      <c r="DW175" s="1473"/>
      <c r="DX175" s="625"/>
      <c r="EB175" s="365"/>
      <c r="ER175" s="1465"/>
      <c r="GB175" s="1443"/>
      <c r="GJ175" s="154"/>
    </row>
    <row r="176" spans="7:202" ht="3.6" customHeight="1">
      <c r="G176" s="2537"/>
      <c r="H176" s="2537"/>
      <c r="I176" s="2537"/>
      <c r="J176" s="2537"/>
      <c r="O176" s="154"/>
      <c r="P176" s="154"/>
      <c r="Q176" s="153"/>
      <c r="R176" s="154"/>
      <c r="S176" s="153"/>
      <c r="AC176" s="2538"/>
      <c r="AD176" s="2538"/>
      <c r="AE176" s="2538"/>
      <c r="AF176" s="2538"/>
      <c r="AG176" s="2538"/>
      <c r="AH176" s="2538"/>
      <c r="AI176" s="2538"/>
      <c r="AJ176" s="2538"/>
      <c r="AK176" s="2538"/>
      <c r="AL176" s="2538"/>
      <c r="AM176" s="2538"/>
      <c r="AN176" s="2538"/>
      <c r="AO176" s="2538"/>
      <c r="AP176" s="2538"/>
      <c r="AQ176" s="2538"/>
      <c r="AR176" s="2538"/>
      <c r="AS176" s="2538"/>
      <c r="AT176" s="2538"/>
      <c r="AU176" s="2538"/>
      <c r="AV176" s="2538"/>
      <c r="AW176" s="2538"/>
      <c r="AX176" s="2538"/>
      <c r="AY176" s="2538"/>
      <c r="AZ176" s="2538"/>
      <c r="BA176" s="2538"/>
      <c r="BB176" s="2538"/>
      <c r="BC176" s="2538"/>
      <c r="BD176" s="2538"/>
      <c r="BN176" s="154"/>
      <c r="BQ176" s="153"/>
      <c r="DT176" s="154"/>
      <c r="DU176" s="153"/>
      <c r="DV176" s="375"/>
      <c r="DW176" s="1473"/>
      <c r="DX176" s="625"/>
      <c r="EB176" s="365"/>
      <c r="ER176" s="1465"/>
      <c r="GB176" s="1443"/>
      <c r="GJ176" s="154"/>
    </row>
    <row r="177" spans="11:213" ht="3.6" customHeight="1">
      <c r="O177" s="154"/>
      <c r="P177" s="154"/>
      <c r="Q177" s="153"/>
      <c r="S177" s="153"/>
      <c r="AC177" s="2538"/>
      <c r="AD177" s="2538"/>
      <c r="AE177" s="2538"/>
      <c r="AF177" s="2538"/>
      <c r="AG177" s="2538"/>
      <c r="AH177" s="2538"/>
      <c r="AI177" s="2538"/>
      <c r="AJ177" s="2538"/>
      <c r="AK177" s="2538"/>
      <c r="AL177" s="2538"/>
      <c r="AM177" s="2538"/>
      <c r="AN177" s="2538"/>
      <c r="AO177" s="2538"/>
      <c r="AP177" s="2538"/>
      <c r="AQ177" s="2538"/>
      <c r="AR177" s="2538"/>
      <c r="AS177" s="2538"/>
      <c r="AT177" s="2538"/>
      <c r="AU177" s="2538"/>
      <c r="AV177" s="2538"/>
      <c r="AW177" s="2538"/>
      <c r="AX177" s="2538"/>
      <c r="AY177" s="2538"/>
      <c r="AZ177" s="2538"/>
      <c r="BA177" s="2538"/>
      <c r="BB177" s="2538"/>
      <c r="BC177" s="2538"/>
      <c r="BD177" s="2538"/>
      <c r="BN177" s="154"/>
      <c r="BQ177" s="153"/>
      <c r="DT177" s="154"/>
      <c r="DU177" s="153"/>
      <c r="DV177" s="375"/>
      <c r="DW177" s="1473"/>
      <c r="DX177" s="625"/>
      <c r="EB177" s="365"/>
      <c r="ER177" s="1465"/>
      <c r="GB177" s="1443"/>
      <c r="GJ177" s="154"/>
    </row>
    <row r="178" spans="11:213" ht="3.6" customHeight="1">
      <c r="Q178" s="153"/>
      <c r="S178" s="153"/>
      <c r="AC178" s="2538"/>
      <c r="AD178" s="2538"/>
      <c r="AE178" s="2538"/>
      <c r="AF178" s="2538"/>
      <c r="AG178" s="2538"/>
      <c r="AH178" s="2538"/>
      <c r="AI178" s="2538"/>
      <c r="AJ178" s="2538"/>
      <c r="AK178" s="2538"/>
      <c r="AL178" s="2538"/>
      <c r="AM178" s="2538"/>
      <c r="AN178" s="2538"/>
      <c r="AO178" s="2538"/>
      <c r="AP178" s="2538"/>
      <c r="AQ178" s="2538"/>
      <c r="AR178" s="2538"/>
      <c r="AS178" s="2538"/>
      <c r="AT178" s="2538"/>
      <c r="AU178" s="2538"/>
      <c r="AV178" s="2538"/>
      <c r="AW178" s="2538"/>
      <c r="AX178" s="2538"/>
      <c r="AY178" s="2538"/>
      <c r="AZ178" s="2538"/>
      <c r="BA178" s="2538"/>
      <c r="BB178" s="2538"/>
      <c r="BC178" s="2538"/>
      <c r="BD178" s="2538"/>
      <c r="BN178" s="154"/>
      <c r="BQ178" s="153"/>
      <c r="DT178" s="154"/>
      <c r="DU178" s="156"/>
      <c r="DV178" s="376"/>
      <c r="DW178" s="1473"/>
      <c r="DX178" s="625"/>
      <c r="EB178" s="365"/>
      <c r="ER178" s="1465"/>
      <c r="GB178" s="1443"/>
      <c r="GJ178" s="154"/>
    </row>
    <row r="179" spans="11:213" ht="3.6" customHeight="1">
      <c r="P179" s="153"/>
      <c r="Q179" s="153"/>
      <c r="S179" s="153"/>
      <c r="BN179" s="154"/>
      <c r="BQ179" s="153"/>
      <c r="DT179" s="154"/>
      <c r="DU179" s="625"/>
      <c r="DV179" s="632"/>
      <c r="DW179" s="1477"/>
      <c r="DX179" s="646"/>
      <c r="DY179" s="177"/>
      <c r="DZ179" s="177"/>
      <c r="EA179" s="177"/>
      <c r="EB179" s="379"/>
      <c r="ER179" s="1465"/>
      <c r="GB179" s="1443"/>
      <c r="GK179" s="153"/>
    </row>
    <row r="180" spans="11:213" ht="3.6" customHeight="1">
      <c r="P180" s="153"/>
      <c r="Q180" s="153"/>
      <c r="S180" s="153"/>
      <c r="BN180" s="154"/>
      <c r="BQ180" s="153"/>
      <c r="DT180" s="154"/>
      <c r="DU180" s="625"/>
      <c r="DV180" s="632"/>
      <c r="DW180" s="1473"/>
      <c r="DX180" s="625"/>
      <c r="ER180" s="1465"/>
      <c r="GB180" s="1443"/>
      <c r="GK180" s="153"/>
    </row>
    <row r="181" spans="11:213" ht="3.6" customHeight="1">
      <c r="P181" s="153"/>
      <c r="Q181" s="153"/>
      <c r="S181" s="153"/>
      <c r="BN181" s="154"/>
      <c r="BQ181" s="153"/>
      <c r="DT181" s="154"/>
      <c r="DW181" s="1473"/>
      <c r="DX181" s="625"/>
      <c r="ER181" s="1465"/>
      <c r="GB181" s="1443"/>
      <c r="GK181" s="153"/>
    </row>
    <row r="182" spans="11:213" ht="3.6" customHeight="1">
      <c r="P182" s="153"/>
      <c r="Q182" s="153"/>
      <c r="S182" s="153"/>
      <c r="BN182" s="154"/>
      <c r="BQ182" s="153"/>
      <c r="DT182" s="154"/>
      <c r="DW182" s="1473"/>
      <c r="DX182" s="625"/>
      <c r="ER182" s="1465"/>
      <c r="GB182" s="1443"/>
      <c r="GK182" s="153"/>
      <c r="GO182" s="154"/>
      <c r="GT182" s="154"/>
    </row>
    <row r="183" spans="11:213" ht="3.6" customHeight="1">
      <c r="K183" s="374"/>
      <c r="L183" s="180"/>
      <c r="M183" s="180"/>
      <c r="N183" s="180"/>
      <c r="O183" s="180"/>
      <c r="P183" s="1486"/>
      <c r="Q183" s="153"/>
      <c r="S183" s="153"/>
      <c r="BO183" s="153"/>
      <c r="BQ183" s="153"/>
      <c r="DT183" s="154"/>
      <c r="DU183" s="625"/>
      <c r="DV183" s="632"/>
      <c r="DW183" s="1473"/>
      <c r="DX183" s="625"/>
      <c r="ER183" s="1465"/>
      <c r="GB183" s="1443"/>
      <c r="GK183" s="153"/>
      <c r="GY183" s="141"/>
      <c r="GZ183" s="141"/>
      <c r="HA183" s="141"/>
      <c r="HB183" s="141"/>
      <c r="HC183" s="141"/>
      <c r="HD183" s="141"/>
      <c r="HE183" s="141"/>
    </row>
    <row r="184" spans="11:213" ht="3.6" customHeight="1">
      <c r="K184" s="364"/>
      <c r="P184" s="155"/>
      <c r="Q184" s="165"/>
      <c r="R184" s="1500"/>
      <c r="S184" s="153"/>
      <c r="BO184" s="153"/>
      <c r="BQ184" s="153"/>
      <c r="DT184" s="154"/>
      <c r="DU184" s="625"/>
      <c r="DV184" s="632"/>
      <c r="DW184" s="1473"/>
      <c r="DX184" s="625"/>
      <c r="ER184" s="1465"/>
      <c r="GB184" s="1443"/>
      <c r="GK184" s="164"/>
      <c r="GL184" s="140"/>
      <c r="GM184" s="140"/>
      <c r="GN184" s="140"/>
      <c r="GO184" s="140"/>
      <c r="GU184" s="2547" t="s">
        <v>3163</v>
      </c>
      <c r="GV184" s="2548"/>
      <c r="GW184" s="2549"/>
      <c r="GX184" s="2547" t="s">
        <v>419</v>
      </c>
      <c r="GY184" s="2548"/>
      <c r="GZ184" s="2549"/>
      <c r="HA184" s="141"/>
      <c r="HB184" s="141"/>
      <c r="HC184" s="141"/>
      <c r="HD184" s="141"/>
      <c r="HE184" s="141"/>
    </row>
    <row r="185" spans="11:213" ht="3.6" customHeight="1">
      <c r="K185" s="364"/>
      <c r="P185" s="155"/>
      <c r="Q185" s="164"/>
      <c r="R185" s="1501"/>
      <c r="S185" s="153"/>
      <c r="BD185" s="142"/>
      <c r="BE185" s="142"/>
      <c r="BF185" s="142"/>
      <c r="BG185" s="142"/>
      <c r="BH185" s="142"/>
      <c r="BI185" s="142"/>
      <c r="BJ185" s="142"/>
      <c r="BK185" s="142"/>
      <c r="BL185" s="142"/>
      <c r="BM185" s="142"/>
      <c r="BN185" s="142"/>
      <c r="BO185" s="173"/>
      <c r="BP185" s="142"/>
      <c r="BQ185" s="173"/>
      <c r="BR185" s="142"/>
      <c r="BS185" s="142"/>
      <c r="BT185" s="142"/>
      <c r="BU185" s="142"/>
      <c r="BV185" s="142"/>
      <c r="BW185" s="142"/>
      <c r="BX185" s="142"/>
      <c r="BY185" s="142"/>
      <c r="BZ185" s="142"/>
      <c r="CA185" s="142"/>
      <c r="DT185" s="154"/>
      <c r="DU185" s="625"/>
      <c r="DV185" s="632"/>
      <c r="DW185" s="1473"/>
      <c r="DX185" s="625"/>
      <c r="ER185" s="1465"/>
      <c r="GB185" s="1443"/>
      <c r="GK185" s="153"/>
      <c r="GU185" s="2530"/>
      <c r="GV185" s="2531"/>
      <c r="GW185" s="2532"/>
      <c r="GX185" s="2530"/>
      <c r="GY185" s="2531"/>
      <c r="GZ185" s="2532"/>
      <c r="HA185" s="141"/>
      <c r="HB185" s="141"/>
      <c r="HC185" s="141"/>
      <c r="HD185" s="141"/>
      <c r="HE185" s="141"/>
    </row>
    <row r="186" spans="11:213" ht="3.6" customHeight="1">
      <c r="K186" s="364"/>
      <c r="P186" s="155"/>
      <c r="Q186" s="164"/>
      <c r="R186" s="1501"/>
      <c r="S186" s="153"/>
      <c r="BD186" s="142"/>
      <c r="BE186" s="142"/>
      <c r="BF186" s="142"/>
      <c r="BG186" s="142"/>
      <c r="BH186" s="142"/>
      <c r="BI186" s="142"/>
      <c r="BJ186" s="142"/>
      <c r="BK186" s="142"/>
      <c r="BL186" s="142"/>
      <c r="BM186" s="142"/>
      <c r="BN186" s="142"/>
      <c r="BO186" s="173"/>
      <c r="BP186" s="142"/>
      <c r="BQ186" s="173"/>
      <c r="BR186" s="142"/>
      <c r="BS186" s="142"/>
      <c r="BT186" s="142"/>
      <c r="BU186" s="142"/>
      <c r="BV186" s="142"/>
      <c r="BW186" s="142"/>
      <c r="BX186" s="142"/>
      <c r="BY186" s="142"/>
      <c r="BZ186" s="142"/>
      <c r="CA186" s="142"/>
      <c r="DT186" s="154"/>
      <c r="DU186" s="625"/>
      <c r="DV186" s="632"/>
      <c r="DW186" s="1473"/>
      <c r="DX186" s="625"/>
      <c r="ER186" s="1465"/>
      <c r="GB186" s="1443"/>
      <c r="GK186" s="612"/>
      <c r="GL186" s="141"/>
      <c r="GM186" s="141"/>
      <c r="GN186" s="141"/>
      <c r="GO186" s="141"/>
      <c r="GP186" s="2547" t="s">
        <v>3458</v>
      </c>
      <c r="GQ186" s="2548"/>
      <c r="GR186" s="2548"/>
      <c r="GS186" s="2548"/>
      <c r="GT186" s="2549"/>
      <c r="GU186" s="2530"/>
      <c r="GV186" s="2531"/>
      <c r="GW186" s="2532"/>
      <c r="GX186" s="2530"/>
      <c r="GY186" s="2531"/>
      <c r="GZ186" s="2532"/>
      <c r="HA186" s="141"/>
      <c r="HB186" s="141"/>
      <c r="HC186" s="141"/>
      <c r="HD186" s="141"/>
      <c r="HE186" s="141"/>
    </row>
    <row r="187" spans="11:213" ht="3.6" customHeight="1">
      <c r="K187" s="364"/>
      <c r="P187" s="155"/>
      <c r="Q187" s="153"/>
      <c r="R187" s="375"/>
      <c r="S187" s="153"/>
      <c r="BD187" s="142"/>
      <c r="BE187" s="142"/>
      <c r="BF187" s="142"/>
      <c r="BG187" s="142"/>
      <c r="BH187" s="142"/>
      <c r="BI187" s="142"/>
      <c r="BJ187" s="142"/>
      <c r="BK187" s="142"/>
      <c r="BL187" s="142"/>
      <c r="BM187" s="142"/>
      <c r="BN187" s="142"/>
      <c r="BO187" s="173"/>
      <c r="BP187" s="142"/>
      <c r="BQ187" s="173"/>
      <c r="BR187" s="142"/>
      <c r="BS187" s="142"/>
      <c r="BT187" s="142"/>
      <c r="BU187" s="2540" t="s">
        <v>291</v>
      </c>
      <c r="BV187" s="2540"/>
      <c r="BW187" s="2540"/>
      <c r="BX187" s="2540"/>
      <c r="BY187" s="2540"/>
      <c r="BZ187" s="142"/>
      <c r="CA187" s="142"/>
      <c r="DT187" s="154"/>
      <c r="DU187" s="625"/>
      <c r="DV187" s="632"/>
      <c r="DW187" s="632"/>
      <c r="DX187" s="625"/>
      <c r="ER187" s="1465"/>
      <c r="GB187" s="1443"/>
      <c r="GK187" s="650"/>
      <c r="GL187" s="163"/>
      <c r="GM187" s="163"/>
      <c r="GN187" s="163"/>
      <c r="GO187" s="163"/>
      <c r="GP187" s="2530"/>
      <c r="GQ187" s="2531"/>
      <c r="GR187" s="2531"/>
      <c r="GS187" s="2531"/>
      <c r="GT187" s="2532"/>
      <c r="GU187" s="2530"/>
      <c r="GV187" s="2531"/>
      <c r="GW187" s="2532"/>
      <c r="GX187" s="2530"/>
      <c r="GY187" s="2531"/>
      <c r="GZ187" s="2532"/>
      <c r="HA187" s="141"/>
      <c r="HB187" s="141"/>
      <c r="HC187" s="141"/>
      <c r="HD187" s="141"/>
      <c r="HE187" s="141"/>
    </row>
    <row r="188" spans="11:213" ht="3.6" customHeight="1">
      <c r="K188" s="364"/>
      <c r="P188" s="155"/>
      <c r="Q188" s="153"/>
      <c r="R188" s="375"/>
      <c r="S188" s="153"/>
      <c r="BD188" s="142"/>
      <c r="BE188" s="142"/>
      <c r="BF188" s="142"/>
      <c r="BG188" s="142"/>
      <c r="BH188" s="142"/>
      <c r="BI188" s="142"/>
      <c r="BJ188" s="142"/>
      <c r="BK188" s="142"/>
      <c r="BL188" s="142"/>
      <c r="BM188" s="142"/>
      <c r="BN188" s="142"/>
      <c r="BO188" s="173"/>
      <c r="BP188" s="142"/>
      <c r="BQ188" s="173"/>
      <c r="BR188" s="142"/>
      <c r="BS188" s="142"/>
      <c r="BT188" s="142"/>
      <c r="BU188" s="2540"/>
      <c r="BV188" s="2540"/>
      <c r="BW188" s="2540"/>
      <c r="BX188" s="2540"/>
      <c r="BY188" s="2540"/>
      <c r="BZ188" s="142"/>
      <c r="CA188" s="142"/>
      <c r="DT188" s="154"/>
      <c r="DU188" s="625"/>
      <c r="DV188" s="632"/>
      <c r="DW188" s="632"/>
      <c r="DX188" s="625"/>
      <c r="ER188" s="1465"/>
      <c r="GB188" s="1443"/>
      <c r="GK188" s="2547" t="s">
        <v>3455</v>
      </c>
      <c r="GL188" s="2548"/>
      <c r="GM188" s="2548"/>
      <c r="GN188" s="2548"/>
      <c r="GO188" s="2548"/>
      <c r="GP188" s="2530"/>
      <c r="GQ188" s="2531"/>
      <c r="GR188" s="2531"/>
      <c r="GS188" s="2531"/>
      <c r="GT188" s="2532"/>
      <c r="GU188" s="2530"/>
      <c r="GV188" s="2531"/>
      <c r="GW188" s="2532"/>
      <c r="GX188" s="2530"/>
      <c r="GY188" s="2531"/>
      <c r="GZ188" s="2532"/>
      <c r="HA188" s="141"/>
      <c r="HB188" s="141"/>
      <c r="HC188" s="141"/>
      <c r="HD188" s="141"/>
      <c r="HE188" s="141"/>
    </row>
    <row r="189" spans="11:213" ht="3.6" customHeight="1">
      <c r="K189" s="364"/>
      <c r="P189" s="155"/>
      <c r="Q189" s="153"/>
      <c r="R189" s="375"/>
      <c r="S189" s="153"/>
      <c r="BD189" s="140"/>
      <c r="BE189" s="140"/>
      <c r="BF189" s="140"/>
      <c r="BG189" s="140"/>
      <c r="BH189" s="140"/>
      <c r="BI189" s="140"/>
      <c r="BJ189" s="140"/>
      <c r="BK189" s="140"/>
      <c r="BL189" s="140"/>
      <c r="BM189" s="140"/>
      <c r="BN189" s="140"/>
      <c r="BO189" s="164"/>
      <c r="BP189" s="140"/>
      <c r="BQ189" s="164"/>
      <c r="BR189" s="140"/>
      <c r="BS189" s="140"/>
      <c r="BT189" s="140"/>
      <c r="BU189" s="2540"/>
      <c r="BV189" s="2540"/>
      <c r="BW189" s="2540"/>
      <c r="BX189" s="2540"/>
      <c r="BY189" s="2540"/>
      <c r="BZ189" s="140"/>
      <c r="CA189" s="140"/>
      <c r="DT189" s="154"/>
      <c r="DU189" s="625"/>
      <c r="DV189" s="632"/>
      <c r="DW189" s="632"/>
      <c r="DX189" s="625"/>
      <c r="ER189" s="1465"/>
      <c r="GB189" s="1443"/>
      <c r="GK189" s="2530"/>
      <c r="GL189" s="2531"/>
      <c r="GM189" s="2531"/>
      <c r="GN189" s="2531"/>
      <c r="GO189" s="2531"/>
      <c r="GP189" s="2530"/>
      <c r="GQ189" s="2531"/>
      <c r="GR189" s="2531"/>
      <c r="GS189" s="2531"/>
      <c r="GT189" s="2532"/>
      <c r="GU189" s="2530"/>
      <c r="GV189" s="2531"/>
      <c r="GW189" s="2532"/>
      <c r="GX189" s="2530"/>
      <c r="GY189" s="2531"/>
      <c r="GZ189" s="2532"/>
      <c r="HA189" s="141"/>
      <c r="HB189" s="141"/>
      <c r="HC189" s="141"/>
      <c r="HD189" s="141"/>
      <c r="HE189" s="141"/>
    </row>
    <row r="190" spans="11:213" ht="3.6" customHeight="1">
      <c r="K190" s="364"/>
      <c r="L190" s="2540" t="s">
        <v>3491</v>
      </c>
      <c r="M190" s="2540"/>
      <c r="N190" s="2540"/>
      <c r="O190" s="2541"/>
      <c r="P190" s="155"/>
      <c r="Q190" s="153"/>
      <c r="R190" s="375"/>
      <c r="S190" s="153"/>
      <c r="BD190" s="140"/>
      <c r="BE190" s="140"/>
      <c r="BF190" s="140"/>
      <c r="BG190" s="140"/>
      <c r="BH190" s="140"/>
      <c r="BI190" s="140"/>
      <c r="BJ190" s="140"/>
      <c r="BK190" s="140"/>
      <c r="BL190" s="140"/>
      <c r="BM190" s="140"/>
      <c r="BN190" s="140"/>
      <c r="BO190" s="164"/>
      <c r="BP190" s="140"/>
      <c r="BQ190" s="164"/>
      <c r="BR190" s="140"/>
      <c r="BS190" s="140"/>
      <c r="BT190" s="140"/>
      <c r="BU190" s="2540"/>
      <c r="BV190" s="2540"/>
      <c r="BW190" s="2540"/>
      <c r="BX190" s="2540"/>
      <c r="BY190" s="2540"/>
      <c r="BZ190" s="140"/>
      <c r="CA190" s="140"/>
      <c r="DT190" s="154"/>
      <c r="DU190" s="625"/>
      <c r="DV190" s="632"/>
      <c r="DW190" s="647"/>
      <c r="DX190" s="646"/>
      <c r="DY190" s="177"/>
      <c r="DZ190" s="177"/>
      <c r="EA190" s="177"/>
      <c r="EB190" s="177"/>
      <c r="ER190" s="1465"/>
      <c r="GB190" s="1448"/>
      <c r="GK190" s="2530"/>
      <c r="GL190" s="2531"/>
      <c r="GM190" s="2531"/>
      <c r="GN190" s="2531"/>
      <c r="GO190" s="2531"/>
      <c r="GP190" s="2530"/>
      <c r="GQ190" s="2531"/>
      <c r="GR190" s="2531"/>
      <c r="GS190" s="2531"/>
      <c r="GT190" s="2532"/>
      <c r="GU190" s="2530"/>
      <c r="GV190" s="2531"/>
      <c r="GW190" s="2532"/>
      <c r="GX190" s="2530"/>
      <c r="GY190" s="2531"/>
      <c r="GZ190" s="2532"/>
      <c r="HA190" s="141"/>
      <c r="HB190" s="141"/>
      <c r="HC190" s="141"/>
      <c r="HD190" s="141"/>
      <c r="HE190" s="141"/>
    </row>
    <row r="191" spans="11:213" ht="3.6" customHeight="1" thickBot="1">
      <c r="K191" s="364"/>
      <c r="L191" s="2540"/>
      <c r="M191" s="2540"/>
      <c r="N191" s="2540"/>
      <c r="O191" s="2541"/>
      <c r="P191" s="155"/>
      <c r="Q191" s="153"/>
      <c r="R191" s="375"/>
      <c r="S191" s="153"/>
      <c r="BD191" s="140"/>
      <c r="BE191" s="140"/>
      <c r="BF191" s="140"/>
      <c r="BG191" s="140"/>
      <c r="BH191" s="140"/>
      <c r="BI191" s="140"/>
      <c r="BJ191" s="140"/>
      <c r="BK191" s="140"/>
      <c r="BL191" s="140"/>
      <c r="BM191" s="140"/>
      <c r="BN191" s="140"/>
      <c r="BO191" s="164"/>
      <c r="BP191" s="140"/>
      <c r="BQ191" s="156"/>
      <c r="BR191" s="41"/>
      <c r="BS191" s="41"/>
      <c r="BT191" s="41"/>
      <c r="BU191" s="166"/>
      <c r="BV191" s="166"/>
      <c r="BW191" s="166"/>
      <c r="BX191" s="166"/>
      <c r="BY191" s="166"/>
      <c r="BZ191" s="166"/>
      <c r="CA191" s="166"/>
      <c r="CB191" s="159"/>
      <c r="CC191" s="150"/>
      <c r="CD191" s="151"/>
      <c r="CE191" s="151"/>
      <c r="CF191" s="151"/>
      <c r="CG191" s="151"/>
      <c r="CH191" s="151"/>
      <c r="CI191" s="1502"/>
      <c r="CJ191" s="1502"/>
      <c r="CK191" s="1502"/>
      <c r="CL191" s="1502"/>
      <c r="CM191" s="1502"/>
      <c r="CN191" s="1502"/>
      <c r="CO191" s="1502"/>
      <c r="CP191" s="1502"/>
      <c r="CQ191" s="1502"/>
      <c r="CR191" s="1502"/>
      <c r="CS191" s="1502"/>
      <c r="CT191" s="1502"/>
      <c r="CU191" s="1502"/>
      <c r="CV191" s="1502"/>
      <c r="CW191" s="1502"/>
      <c r="CX191" s="1502"/>
      <c r="CY191" s="1502"/>
      <c r="CZ191" s="1502"/>
      <c r="DA191" s="1502"/>
      <c r="DB191" s="1502"/>
      <c r="DC191" s="1502"/>
      <c r="DD191" s="169"/>
      <c r="DE191" s="622"/>
      <c r="DF191" s="623"/>
      <c r="DG191" s="623"/>
      <c r="DH191" s="623"/>
      <c r="DI191" s="623"/>
      <c r="DJ191" s="367"/>
      <c r="DK191" s="367"/>
      <c r="DL191" s="367"/>
      <c r="DM191" s="367"/>
      <c r="DN191" s="367"/>
      <c r="DO191" s="367"/>
      <c r="DP191" s="367"/>
      <c r="DQ191" s="367"/>
      <c r="DR191" s="367"/>
      <c r="DS191" s="367"/>
      <c r="DT191" s="368"/>
      <c r="DU191" s="164"/>
      <c r="DV191" s="167"/>
      <c r="DW191" s="632"/>
      <c r="DX191" s="625"/>
      <c r="EB191" s="365"/>
      <c r="ER191" s="1465"/>
      <c r="ES191" s="1449"/>
      <c r="ET191" s="151"/>
      <c r="EU191" s="151"/>
      <c r="EV191" s="151"/>
      <c r="EW191" s="151"/>
      <c r="EX191" s="151"/>
      <c r="EY191" s="151"/>
      <c r="EZ191" s="151"/>
      <c r="FA191" s="1448"/>
      <c r="FB191" s="1450"/>
      <c r="FC191" s="366"/>
      <c r="FD191" s="367"/>
      <c r="FE191" s="367"/>
      <c r="FF191" s="367"/>
      <c r="FG191" s="367"/>
      <c r="FH191" s="367"/>
      <c r="FI191" s="367"/>
      <c r="FJ191" s="367"/>
      <c r="FK191" s="367"/>
      <c r="FL191" s="367"/>
      <c r="FM191" s="367"/>
      <c r="FN191" s="367"/>
      <c r="FO191" s="367"/>
      <c r="FP191" s="367"/>
      <c r="FQ191" s="367"/>
      <c r="FR191" s="367"/>
      <c r="FS191" s="367"/>
      <c r="FT191" s="367"/>
      <c r="FU191" s="367"/>
      <c r="FV191" s="367"/>
      <c r="FW191" s="367"/>
      <c r="FX191" s="367"/>
      <c r="FY191" s="367"/>
      <c r="FZ191" s="367"/>
      <c r="GA191" s="368"/>
      <c r="GB191" s="1442"/>
      <c r="GC191" s="1448"/>
      <c r="GD191" s="1449"/>
      <c r="GE191" s="1449"/>
      <c r="GF191" s="169"/>
      <c r="GG191" s="169"/>
      <c r="GH191" s="169"/>
      <c r="GI191" s="169"/>
      <c r="GJ191" s="170"/>
      <c r="GK191" s="2530"/>
      <c r="GL191" s="2531"/>
      <c r="GM191" s="2531"/>
      <c r="GN191" s="2531"/>
      <c r="GO191" s="2531"/>
      <c r="GP191" s="2530"/>
      <c r="GQ191" s="2531"/>
      <c r="GR191" s="2531"/>
      <c r="GS191" s="2531"/>
      <c r="GT191" s="2532"/>
      <c r="GU191" s="2530"/>
      <c r="GV191" s="2531"/>
      <c r="GW191" s="2532"/>
      <c r="GX191" s="2530"/>
      <c r="GY191" s="2531"/>
      <c r="GZ191" s="2532"/>
      <c r="HA191" s="141"/>
      <c r="HB191" s="141"/>
      <c r="HC191" s="141"/>
      <c r="HD191" s="141"/>
      <c r="HE191" s="141"/>
    </row>
    <row r="192" spans="11:213" ht="3.6" customHeight="1" thickTop="1">
      <c r="K192" s="364"/>
      <c r="L192" s="2540"/>
      <c r="M192" s="2540"/>
      <c r="N192" s="2540"/>
      <c r="O192" s="2541"/>
      <c r="P192" s="155"/>
      <c r="Q192" s="153"/>
      <c r="R192" s="375"/>
      <c r="S192" s="153"/>
      <c r="BD192" s="140"/>
      <c r="BE192" s="140"/>
      <c r="BF192" s="140"/>
      <c r="BG192" s="140"/>
      <c r="BH192" s="140"/>
      <c r="BI192" s="140"/>
      <c r="BJ192" s="140"/>
      <c r="BK192" s="140"/>
      <c r="BL192" s="140"/>
      <c r="BM192" s="140"/>
      <c r="BN192" s="140"/>
      <c r="BO192" s="164"/>
      <c r="BP192" s="140"/>
      <c r="BQ192" s="153"/>
      <c r="BU192" s="140"/>
      <c r="BV192" s="140"/>
      <c r="BW192" s="140"/>
      <c r="BX192" s="140"/>
      <c r="BY192" s="140"/>
      <c r="BZ192" s="140"/>
      <c r="CA192" s="140"/>
      <c r="CB192" s="154"/>
      <c r="CC192" s="156"/>
      <c r="CD192" s="41"/>
      <c r="CE192" s="41"/>
      <c r="CF192" s="41"/>
      <c r="CG192" s="41"/>
      <c r="CH192" s="41"/>
      <c r="CI192" s="1503"/>
      <c r="CJ192" s="1503"/>
      <c r="CK192" s="1503"/>
      <c r="CL192" s="1503"/>
      <c r="CM192" s="1503"/>
      <c r="CN192" s="1503"/>
      <c r="CO192" s="1503"/>
      <c r="CP192" s="1503"/>
      <c r="CQ192" s="1503"/>
      <c r="CR192" s="1503"/>
      <c r="CS192" s="1503"/>
      <c r="CT192" s="1503"/>
      <c r="CU192" s="1503"/>
      <c r="CV192" s="1503"/>
      <c r="CW192" s="1503"/>
      <c r="CX192" s="1503"/>
      <c r="CY192" s="1503"/>
      <c r="CZ192" s="1503"/>
      <c r="DA192" s="1503"/>
      <c r="DB192" s="1503"/>
      <c r="DC192" s="1503"/>
      <c r="DD192" s="171"/>
      <c r="DE192" s="174"/>
      <c r="DF192" s="171"/>
      <c r="DG192" s="171"/>
      <c r="DH192" s="171"/>
      <c r="DI192" s="171"/>
      <c r="DJ192" s="41"/>
      <c r="DK192" s="41"/>
      <c r="DL192" s="41"/>
      <c r="DM192" s="41"/>
      <c r="DN192" s="41"/>
      <c r="DO192" s="41"/>
      <c r="DP192" s="41"/>
      <c r="DQ192" s="41"/>
      <c r="DR192" s="41"/>
      <c r="DS192" s="41"/>
      <c r="DT192" s="159"/>
      <c r="DU192" s="164"/>
      <c r="DV192" s="167"/>
      <c r="DW192" s="632"/>
      <c r="DX192" s="625"/>
      <c r="EB192" s="365"/>
      <c r="EF192" s="151"/>
      <c r="EG192" s="151"/>
      <c r="EH192" s="151"/>
      <c r="EI192" s="151"/>
      <c r="ER192" s="1465"/>
      <c r="ES192" s="1446"/>
      <c r="ET192" s="41"/>
      <c r="EU192" s="41"/>
      <c r="EV192" s="41"/>
      <c r="EW192" s="41"/>
      <c r="EX192" s="41"/>
      <c r="EY192" s="41"/>
      <c r="EZ192" s="41"/>
      <c r="FA192" s="1445"/>
      <c r="FB192" s="1447"/>
      <c r="FC192" s="156"/>
      <c r="FD192" s="41"/>
      <c r="FE192" s="41"/>
      <c r="FF192" s="41"/>
      <c r="FG192" s="41"/>
      <c r="FH192" s="41"/>
      <c r="FI192" s="41"/>
      <c r="FJ192" s="41"/>
      <c r="FK192" s="41"/>
      <c r="FL192" s="41"/>
      <c r="FM192" s="41"/>
      <c r="FN192" s="41"/>
      <c r="FO192" s="41"/>
      <c r="FP192" s="41"/>
      <c r="FQ192" s="41"/>
      <c r="FR192" s="41"/>
      <c r="FS192" s="41"/>
      <c r="FT192" s="41"/>
      <c r="FU192" s="41"/>
      <c r="FV192" s="41"/>
      <c r="FW192" s="41"/>
      <c r="FX192" s="41"/>
      <c r="FY192" s="41"/>
      <c r="FZ192" s="41"/>
      <c r="GA192" s="159"/>
      <c r="GB192" s="1442"/>
      <c r="GC192" s="1445"/>
      <c r="GD192" s="1446"/>
      <c r="GE192" s="1446"/>
      <c r="GF192" s="171"/>
      <c r="GG192" s="171"/>
      <c r="GH192" s="171"/>
      <c r="GI192" s="171"/>
      <c r="GJ192" s="172"/>
      <c r="GK192" s="2530"/>
      <c r="GL192" s="2531"/>
      <c r="GM192" s="2531"/>
      <c r="GN192" s="2531"/>
      <c r="GO192" s="2531"/>
      <c r="GP192" s="2530"/>
      <c r="GQ192" s="2531"/>
      <c r="GR192" s="2531"/>
      <c r="GS192" s="2531"/>
      <c r="GT192" s="2532"/>
      <c r="GU192" s="2530"/>
      <c r="GV192" s="2531"/>
      <c r="GW192" s="2532"/>
      <c r="GX192" s="2530"/>
      <c r="GY192" s="2531"/>
      <c r="GZ192" s="2532"/>
      <c r="HA192" s="141"/>
      <c r="HB192" s="141"/>
      <c r="HC192" s="141"/>
      <c r="HD192" s="141"/>
      <c r="HE192" s="141"/>
    </row>
    <row r="193" spans="7:213" ht="3.6" customHeight="1">
      <c r="K193" s="364"/>
      <c r="L193" s="2540"/>
      <c r="M193" s="2540"/>
      <c r="N193" s="2540"/>
      <c r="O193" s="2541"/>
      <c r="P193" s="155"/>
      <c r="Q193" s="153"/>
      <c r="R193" s="375"/>
      <c r="S193" s="153"/>
      <c r="BD193" s="140"/>
      <c r="BE193" s="140"/>
      <c r="BF193" s="140"/>
      <c r="BG193" s="140"/>
      <c r="BH193" s="140"/>
      <c r="BI193" s="140"/>
      <c r="BJ193" s="140"/>
      <c r="BK193" s="140"/>
      <c r="BL193" s="140"/>
      <c r="BM193" s="140"/>
      <c r="BN193" s="140"/>
      <c r="BO193" s="164"/>
      <c r="BP193" s="140"/>
      <c r="BQ193" s="153"/>
      <c r="BU193" s="140"/>
      <c r="BV193" s="140"/>
      <c r="BW193" s="140"/>
      <c r="BX193" s="140"/>
      <c r="BY193" s="140"/>
      <c r="BZ193" s="140"/>
      <c r="CA193" s="140"/>
      <c r="CC193" s="151"/>
      <c r="CD193" s="151"/>
      <c r="CE193" s="151"/>
      <c r="CF193" s="151"/>
      <c r="CG193" s="151"/>
      <c r="CH193" s="151"/>
      <c r="CI193" s="1502"/>
      <c r="CJ193" s="1502"/>
      <c r="CK193" s="1502"/>
      <c r="CL193" s="1502"/>
      <c r="CM193" s="1502"/>
      <c r="CN193" s="1502"/>
      <c r="CO193" s="1502"/>
      <c r="CP193" s="1502"/>
      <c r="CQ193" s="1502"/>
      <c r="CR193" s="1502"/>
      <c r="CS193" s="1502"/>
      <c r="CT193" s="1502"/>
      <c r="CU193" s="1502"/>
      <c r="CV193" s="1502"/>
      <c r="CW193" s="1502"/>
      <c r="CX193" s="1502"/>
      <c r="CY193" s="1502"/>
      <c r="CZ193" s="1502"/>
      <c r="DA193" s="1502"/>
      <c r="DB193" s="1502"/>
      <c r="DC193" s="1502"/>
      <c r="DD193" s="169"/>
      <c r="DE193" s="169"/>
      <c r="DF193" s="169"/>
      <c r="DG193" s="169"/>
      <c r="DH193" s="169"/>
      <c r="DI193" s="169"/>
      <c r="DJ193" s="151"/>
      <c r="DK193" s="151"/>
      <c r="DL193" s="151"/>
      <c r="DM193" s="151"/>
      <c r="DN193" s="151"/>
      <c r="DO193" s="151"/>
      <c r="DP193" s="151"/>
      <c r="DQ193" s="151"/>
      <c r="DR193" s="151"/>
      <c r="DS193" s="151"/>
      <c r="DT193" s="162"/>
      <c r="DU193" s="625"/>
      <c r="DV193" s="632"/>
      <c r="DW193" s="632"/>
      <c r="DX193" s="625"/>
      <c r="EB193" s="365"/>
      <c r="ER193" s="1465"/>
      <c r="FJ193" s="151"/>
      <c r="FK193" s="151"/>
      <c r="FL193" s="151"/>
      <c r="FM193" s="151"/>
      <c r="FN193" s="151"/>
      <c r="FO193" s="151"/>
      <c r="FP193" s="151"/>
      <c r="FQ193" s="151"/>
      <c r="FR193" s="151"/>
      <c r="FS193" s="151"/>
      <c r="FT193" s="151"/>
      <c r="FU193" s="151"/>
      <c r="FV193" s="151"/>
      <c r="FW193" s="151"/>
      <c r="FX193" s="151"/>
      <c r="FY193" s="151"/>
      <c r="FZ193" s="151"/>
      <c r="GA193" s="162"/>
      <c r="GB193" s="1446"/>
      <c r="GK193" s="2530"/>
      <c r="GL193" s="2531"/>
      <c r="GM193" s="2531"/>
      <c r="GN193" s="2531"/>
      <c r="GO193" s="2531"/>
      <c r="GP193" s="2530"/>
      <c r="GQ193" s="2531"/>
      <c r="GR193" s="2531"/>
      <c r="GS193" s="2531"/>
      <c r="GT193" s="2532"/>
      <c r="GU193" s="2530"/>
      <c r="GV193" s="2531"/>
      <c r="GW193" s="2532"/>
      <c r="GX193" s="2530"/>
      <c r="GY193" s="2531"/>
      <c r="GZ193" s="2532"/>
      <c r="HA193" s="141"/>
      <c r="HB193" s="141"/>
      <c r="HC193" s="141"/>
      <c r="HD193" s="141"/>
      <c r="HE193" s="141"/>
    </row>
    <row r="194" spans="7:213" ht="3.6" customHeight="1">
      <c r="K194" s="364"/>
      <c r="L194" s="2540"/>
      <c r="M194" s="2540"/>
      <c r="N194" s="2540"/>
      <c r="O194" s="2541"/>
      <c r="P194" s="155"/>
      <c r="Q194" s="153"/>
      <c r="R194" s="375"/>
      <c r="S194" s="153"/>
      <c r="BD194" s="140"/>
      <c r="BE194" s="140"/>
      <c r="BF194" s="140"/>
      <c r="BG194" s="140"/>
      <c r="BH194" s="140"/>
      <c r="BI194" s="140"/>
      <c r="BJ194" s="140"/>
      <c r="BK194" s="140"/>
      <c r="BL194" s="140"/>
      <c r="BM194" s="140"/>
      <c r="BN194" s="140"/>
      <c r="BO194" s="164"/>
      <c r="BP194" s="140"/>
      <c r="BQ194" s="153"/>
      <c r="BU194" s="140"/>
      <c r="BV194" s="140"/>
      <c r="BW194" s="140"/>
      <c r="BX194" s="140"/>
      <c r="BY194" s="140"/>
      <c r="BZ194" s="140"/>
      <c r="CA194" s="140"/>
      <c r="CI194" s="1441"/>
      <c r="CJ194" s="1441"/>
      <c r="CK194" s="1441"/>
      <c r="CL194" s="1441"/>
      <c r="CM194" s="1441"/>
      <c r="CN194" s="1441"/>
      <c r="CO194" s="1441"/>
      <c r="CP194" s="1441"/>
      <c r="CQ194" s="1441"/>
      <c r="CR194" s="1441"/>
      <c r="CS194" s="1441"/>
      <c r="CT194" s="1441"/>
      <c r="CU194" s="1441"/>
      <c r="CV194" s="1441"/>
      <c r="CW194" s="1441"/>
      <c r="CX194" s="1441"/>
      <c r="CY194" s="1441"/>
      <c r="CZ194" s="1441"/>
      <c r="DA194" s="1441"/>
      <c r="DB194" s="1441"/>
      <c r="DC194" s="1441"/>
      <c r="DD194" s="142"/>
      <c r="DE194" s="142"/>
      <c r="DF194" s="142"/>
      <c r="DG194" s="142"/>
      <c r="DH194" s="142"/>
      <c r="DI194" s="142"/>
      <c r="DK194" s="2540" t="s">
        <v>1952</v>
      </c>
      <c r="DL194" s="2540"/>
      <c r="DM194" s="2540"/>
      <c r="DN194" s="2540"/>
      <c r="DT194" s="154"/>
      <c r="DU194" s="625"/>
      <c r="DV194" s="632"/>
      <c r="DW194" s="632"/>
      <c r="DX194" s="625"/>
      <c r="EB194" s="365"/>
      <c r="ER194" s="1465"/>
      <c r="GA194" s="154"/>
      <c r="GB194" s="1443"/>
      <c r="GK194" s="2530"/>
      <c r="GL194" s="2531"/>
      <c r="GM194" s="2531"/>
      <c r="GN194" s="2531"/>
      <c r="GO194" s="2531"/>
      <c r="GP194" s="2530"/>
      <c r="GQ194" s="2531"/>
      <c r="GR194" s="2531"/>
      <c r="GS194" s="2531"/>
      <c r="GT194" s="2532"/>
      <c r="GU194" s="2530"/>
      <c r="GV194" s="2531"/>
      <c r="GW194" s="2532"/>
      <c r="GX194" s="2530"/>
      <c r="GY194" s="2531"/>
      <c r="GZ194" s="2532"/>
      <c r="HA194" s="141"/>
      <c r="HB194" s="141"/>
      <c r="HC194" s="141"/>
      <c r="HD194" s="141"/>
      <c r="HE194" s="141"/>
    </row>
    <row r="195" spans="7:213" ht="3.6" customHeight="1">
      <c r="K195" s="364"/>
      <c r="P195" s="155"/>
      <c r="Q195" s="153"/>
      <c r="R195" s="375"/>
      <c r="S195" s="153"/>
      <c r="BD195" s="140"/>
      <c r="BE195" s="140"/>
      <c r="BF195" s="140"/>
      <c r="BG195" s="140"/>
      <c r="BH195" s="140"/>
      <c r="BI195" s="140"/>
      <c r="BJ195" s="140"/>
      <c r="BK195" s="140"/>
      <c r="BL195" s="140"/>
      <c r="BM195" s="140"/>
      <c r="BN195" s="140"/>
      <c r="BO195" s="164"/>
      <c r="BP195" s="140"/>
      <c r="BQ195" s="153"/>
      <c r="BU195" s="140"/>
      <c r="BV195" s="140"/>
      <c r="BW195" s="140"/>
      <c r="BX195" s="140"/>
      <c r="BY195" s="140"/>
      <c r="BZ195" s="140"/>
      <c r="CA195" s="140"/>
      <c r="CI195" s="1441"/>
      <c r="CJ195" s="1441"/>
      <c r="CK195" s="1441"/>
      <c r="CL195" s="1441"/>
      <c r="CM195" s="1441"/>
      <c r="CN195" s="1441"/>
      <c r="CO195" s="1441"/>
      <c r="CP195" s="1441"/>
      <c r="CQ195" s="1441"/>
      <c r="CR195" s="1441"/>
      <c r="CS195" s="1441"/>
      <c r="CT195" s="1441"/>
      <c r="CU195" s="1441"/>
      <c r="CV195" s="1441"/>
      <c r="CW195" s="1441"/>
      <c r="CX195" s="1441"/>
      <c r="CY195" s="1441"/>
      <c r="CZ195" s="1441"/>
      <c r="DA195" s="1441"/>
      <c r="DB195" s="1441"/>
      <c r="DC195" s="1441"/>
      <c r="DD195" s="142"/>
      <c r="DE195" s="142"/>
      <c r="DF195" s="142"/>
      <c r="DG195" s="142"/>
      <c r="DH195" s="142"/>
      <c r="DI195" s="142"/>
      <c r="DK195" s="2540"/>
      <c r="DL195" s="2540"/>
      <c r="DM195" s="2540"/>
      <c r="DN195" s="2540"/>
      <c r="DT195" s="154"/>
      <c r="DU195" s="625"/>
      <c r="DV195" s="632"/>
      <c r="DW195" s="632"/>
      <c r="DX195" s="625"/>
      <c r="EB195" s="365"/>
      <c r="ER195" s="1465"/>
      <c r="GA195" s="154"/>
      <c r="GB195" s="1443"/>
      <c r="GK195" s="2550"/>
      <c r="GL195" s="2551"/>
      <c r="GM195" s="2551"/>
      <c r="GN195" s="2551"/>
      <c r="GO195" s="2551"/>
      <c r="GP195" s="2530"/>
      <c r="GQ195" s="2531"/>
      <c r="GR195" s="2531"/>
      <c r="GS195" s="2531"/>
      <c r="GT195" s="2532"/>
      <c r="GU195" s="2530"/>
      <c r="GV195" s="2531"/>
      <c r="GW195" s="2532"/>
      <c r="GX195" s="2530"/>
      <c r="GY195" s="2531"/>
      <c r="GZ195" s="2532"/>
      <c r="HA195" s="141"/>
      <c r="HB195" s="141"/>
      <c r="HC195" s="141"/>
      <c r="HD195" s="141"/>
      <c r="HE195" s="141"/>
    </row>
    <row r="196" spans="7:213" ht="3.6" customHeight="1">
      <c r="K196" s="364"/>
      <c r="P196" s="155"/>
      <c r="Q196" s="153"/>
      <c r="R196" s="375"/>
      <c r="S196" s="153"/>
      <c r="BD196" s="140"/>
      <c r="BE196" s="140"/>
      <c r="BF196" s="140"/>
      <c r="BG196" s="140"/>
      <c r="BH196" s="140"/>
      <c r="BI196" s="140"/>
      <c r="BJ196" s="140"/>
      <c r="BK196" s="140"/>
      <c r="BL196" s="140"/>
      <c r="BM196" s="140"/>
      <c r="BN196" s="140"/>
      <c r="BO196" s="164"/>
      <c r="BP196" s="140"/>
      <c r="BQ196" s="153"/>
      <c r="BU196" s="140"/>
      <c r="BV196" s="140"/>
      <c r="BW196" s="140"/>
      <c r="BX196" s="140"/>
      <c r="BY196" s="140"/>
      <c r="BZ196" s="140"/>
      <c r="CA196" s="140"/>
      <c r="CI196" s="1441"/>
      <c r="CJ196" s="1441"/>
      <c r="CK196" s="1441"/>
      <c r="CL196" s="1441"/>
      <c r="CM196" s="1441"/>
      <c r="CN196" s="1441"/>
      <c r="CO196" s="1441"/>
      <c r="CP196" s="1441"/>
      <c r="CQ196" s="1441"/>
      <c r="CR196" s="1441"/>
      <c r="CS196" s="1441"/>
      <c r="CT196" s="1441"/>
      <c r="CU196" s="1441"/>
      <c r="CV196" s="1441"/>
      <c r="CW196" s="1441"/>
      <c r="CX196" s="1441"/>
      <c r="CY196" s="1441"/>
      <c r="CZ196" s="1441"/>
      <c r="DA196" s="1441"/>
      <c r="DB196" s="1441"/>
      <c r="DC196" s="1441"/>
      <c r="DD196" s="142"/>
      <c r="DE196" s="142"/>
      <c r="DF196" s="142"/>
      <c r="DG196" s="142"/>
      <c r="DH196" s="142"/>
      <c r="DI196" s="142"/>
      <c r="DK196" s="2540"/>
      <c r="DL196" s="2540"/>
      <c r="DM196" s="2540"/>
      <c r="DN196" s="2540"/>
      <c r="DU196" s="631"/>
      <c r="DV196" s="632"/>
      <c r="DW196" s="632"/>
      <c r="DX196" s="625"/>
      <c r="EB196" s="365"/>
      <c r="EF196" s="2537" t="s">
        <v>3494</v>
      </c>
      <c r="EG196" s="2537"/>
      <c r="EH196" s="2537"/>
      <c r="EI196" s="2537"/>
      <c r="ER196" s="1465"/>
      <c r="GA196" s="154"/>
      <c r="GB196" s="1443"/>
      <c r="GK196" s="611"/>
      <c r="GL196" s="161"/>
      <c r="GM196" s="161"/>
      <c r="GN196" s="161"/>
      <c r="GO196" s="161"/>
      <c r="GP196" s="2530"/>
      <c r="GQ196" s="2531"/>
      <c r="GR196" s="2531"/>
      <c r="GS196" s="2531"/>
      <c r="GT196" s="2532"/>
      <c r="GU196" s="2530"/>
      <c r="GV196" s="2531"/>
      <c r="GW196" s="2532"/>
      <c r="GX196" s="2530"/>
      <c r="GY196" s="2531"/>
      <c r="GZ196" s="2532"/>
      <c r="HA196" s="141"/>
      <c r="HB196" s="141"/>
      <c r="HC196" s="141"/>
      <c r="HD196" s="141"/>
      <c r="HE196" s="141"/>
    </row>
    <row r="197" spans="7:213" ht="3.6" customHeight="1">
      <c r="K197" s="364"/>
      <c r="P197" s="155"/>
      <c r="Q197" s="153"/>
      <c r="R197" s="375"/>
      <c r="S197" s="153"/>
      <c r="BD197" s="140"/>
      <c r="BE197" s="140"/>
      <c r="BF197" s="140"/>
      <c r="BG197" s="140"/>
      <c r="BH197" s="140"/>
      <c r="BI197" s="140"/>
      <c r="BJ197" s="140"/>
      <c r="BK197" s="140"/>
      <c r="BL197" s="140"/>
      <c r="BM197" s="140"/>
      <c r="BN197" s="140"/>
      <c r="BO197" s="164"/>
      <c r="BP197" s="140"/>
      <c r="BQ197" s="153"/>
      <c r="BU197" s="140"/>
      <c r="BV197" s="140"/>
      <c r="BW197" s="140"/>
      <c r="BX197" s="140"/>
      <c r="BY197" s="140"/>
      <c r="BZ197" s="140"/>
      <c r="CA197" s="140"/>
      <c r="CI197" s="1441"/>
      <c r="CJ197" s="1441"/>
      <c r="CK197" s="1441"/>
      <c r="CL197" s="1441"/>
      <c r="CM197" s="1441"/>
      <c r="CN197" s="1441"/>
      <c r="CO197" s="1441"/>
      <c r="CP197" s="1441"/>
      <c r="CQ197" s="1441"/>
      <c r="CR197" s="1441"/>
      <c r="CS197" s="1441"/>
      <c r="CT197" s="1441"/>
      <c r="CU197" s="1441"/>
      <c r="CV197" s="1441"/>
      <c r="CW197" s="1441"/>
      <c r="CX197" s="1441"/>
      <c r="CY197" s="1441"/>
      <c r="CZ197" s="1441"/>
      <c r="DA197" s="1441"/>
      <c r="DB197" s="1441"/>
      <c r="DC197" s="1441"/>
      <c r="DD197" s="142"/>
      <c r="DE197" s="142"/>
      <c r="DF197" s="142"/>
      <c r="DG197" s="142"/>
      <c r="DH197" s="142"/>
      <c r="DI197" s="142"/>
      <c r="DK197" s="2540"/>
      <c r="DL197" s="2540"/>
      <c r="DM197" s="2540"/>
      <c r="DN197" s="2540"/>
      <c r="DU197" s="631"/>
      <c r="DV197" s="632"/>
      <c r="DW197" s="632"/>
      <c r="DX197" s="625"/>
      <c r="EB197" s="365"/>
      <c r="EF197" s="2537"/>
      <c r="EG197" s="2537"/>
      <c r="EH197" s="2537"/>
      <c r="EI197" s="2537"/>
      <c r="ER197" s="1465"/>
      <c r="GA197" s="154"/>
      <c r="GB197" s="1443"/>
      <c r="GK197" s="612"/>
      <c r="GL197" s="141"/>
      <c r="GM197" s="141"/>
      <c r="GN197" s="141"/>
      <c r="GO197" s="141"/>
      <c r="GP197" s="2550"/>
      <c r="GQ197" s="2551"/>
      <c r="GR197" s="2551"/>
      <c r="GS197" s="2551"/>
      <c r="GT197" s="2552"/>
      <c r="GU197" s="2530"/>
      <c r="GV197" s="2531"/>
      <c r="GW197" s="2532"/>
      <c r="GX197" s="2530"/>
      <c r="GY197" s="2531"/>
      <c r="GZ197" s="2532"/>
      <c r="HA197" s="141"/>
      <c r="HB197" s="141"/>
      <c r="HC197" s="141"/>
      <c r="HD197" s="141"/>
      <c r="HE197" s="141"/>
    </row>
    <row r="198" spans="7:213" ht="3.6" customHeight="1">
      <c r="K198" s="364"/>
      <c r="P198" s="155"/>
      <c r="Q198" s="153"/>
      <c r="R198" s="375"/>
      <c r="S198" s="153"/>
      <c r="BD198" s="140"/>
      <c r="BE198" s="140"/>
      <c r="BF198" s="140"/>
      <c r="BG198" s="140"/>
      <c r="BH198" s="140"/>
      <c r="BI198" s="140"/>
      <c r="BJ198" s="140"/>
      <c r="BK198" s="140"/>
      <c r="BL198" s="140"/>
      <c r="BM198" s="140"/>
      <c r="BN198" s="140"/>
      <c r="BO198" s="164"/>
      <c r="BP198" s="140"/>
      <c r="BQ198" s="153"/>
      <c r="BU198" s="140"/>
      <c r="BV198" s="140"/>
      <c r="BW198" s="140"/>
      <c r="BX198" s="140"/>
      <c r="BY198" s="140"/>
      <c r="BZ198" s="140"/>
      <c r="CA198" s="140"/>
      <c r="CI198" s="1441"/>
      <c r="CJ198" s="1441"/>
      <c r="CK198" s="1441"/>
      <c r="CL198" s="1441"/>
      <c r="CM198" s="1441"/>
      <c r="CN198" s="1441"/>
      <c r="CO198" s="1441"/>
      <c r="CP198" s="1441"/>
      <c r="CQ198" s="1441"/>
      <c r="CR198" s="1441"/>
      <c r="CS198" s="1441"/>
      <c r="CT198" s="1441"/>
      <c r="CU198" s="1441"/>
      <c r="CV198" s="1441"/>
      <c r="CW198" s="1441"/>
      <c r="CX198" s="1441"/>
      <c r="CY198" s="1441"/>
      <c r="CZ198" s="1441"/>
      <c r="DA198" s="1441"/>
      <c r="DB198" s="1441"/>
      <c r="DC198" s="1441"/>
      <c r="DD198" s="142"/>
      <c r="DE198" s="142"/>
      <c r="DF198" s="142"/>
      <c r="DG198" s="142"/>
      <c r="DH198" s="142"/>
      <c r="DI198" s="142"/>
      <c r="DU198" s="631"/>
      <c r="DV198" s="632"/>
      <c r="DW198" s="632"/>
      <c r="DX198" s="625"/>
      <c r="EB198" s="365"/>
      <c r="EF198" s="2537"/>
      <c r="EG198" s="2537"/>
      <c r="EH198" s="2537"/>
      <c r="EI198" s="2537"/>
      <c r="ER198" s="1465"/>
      <c r="GB198" s="1443"/>
      <c r="GK198" s="153"/>
      <c r="GU198" s="2530"/>
      <c r="GV198" s="2531"/>
      <c r="GW198" s="2532"/>
      <c r="GX198" s="2530"/>
      <c r="GY198" s="2531"/>
      <c r="GZ198" s="2532"/>
      <c r="HA198" s="141"/>
      <c r="HB198" s="141"/>
      <c r="HC198" s="141"/>
      <c r="HD198" s="141"/>
      <c r="HE198" s="141"/>
    </row>
    <row r="199" spans="7:213" ht="3.6" customHeight="1">
      <c r="K199" s="364"/>
      <c r="P199" s="155"/>
      <c r="Q199" s="156"/>
      <c r="R199" s="376"/>
      <c r="S199" s="153"/>
      <c r="BD199" s="140"/>
      <c r="BE199" s="140"/>
      <c r="BF199" s="140"/>
      <c r="BG199" s="140"/>
      <c r="BH199" s="140"/>
      <c r="BI199" s="140"/>
      <c r="BJ199" s="140"/>
      <c r="BK199" s="140"/>
      <c r="BL199" s="140"/>
      <c r="BM199" s="140"/>
      <c r="BN199" s="140"/>
      <c r="BO199" s="164"/>
      <c r="BP199" s="140"/>
      <c r="BQ199" s="153"/>
      <c r="BU199" s="140"/>
      <c r="BV199" s="140"/>
      <c r="BW199" s="140"/>
      <c r="BX199" s="140"/>
      <c r="BY199" s="140"/>
      <c r="BZ199" s="140"/>
      <c r="CA199" s="140"/>
      <c r="CI199" s="1441"/>
      <c r="CJ199" s="1441"/>
      <c r="CK199" s="1441"/>
      <c r="CL199" s="1441"/>
      <c r="CM199" s="1441"/>
      <c r="CN199" s="1441"/>
      <c r="CO199" s="1441"/>
      <c r="CP199" s="1441"/>
      <c r="CQ199" s="1441"/>
      <c r="CR199" s="1441"/>
      <c r="CS199" s="1441"/>
      <c r="CT199" s="1441"/>
      <c r="CU199" s="1441"/>
      <c r="CV199" s="1441"/>
      <c r="CW199" s="1441"/>
      <c r="CX199" s="1441"/>
      <c r="CY199" s="1441"/>
      <c r="CZ199" s="1441"/>
      <c r="DA199" s="1441"/>
      <c r="DB199" s="1441"/>
      <c r="DC199" s="1441"/>
      <c r="DD199" s="142"/>
      <c r="DE199" s="142"/>
      <c r="DF199" s="142"/>
      <c r="DG199" s="142"/>
      <c r="DH199" s="142"/>
      <c r="DI199" s="142"/>
      <c r="DU199" s="1471"/>
      <c r="DV199" s="1472"/>
      <c r="DW199" s="632"/>
      <c r="DX199" s="625"/>
      <c r="EB199" s="365"/>
      <c r="EF199" s="2537"/>
      <c r="EG199" s="2537"/>
      <c r="EH199" s="2537"/>
      <c r="EI199" s="2537"/>
      <c r="ER199" s="1465"/>
      <c r="GB199" s="1443"/>
      <c r="GK199" s="153"/>
      <c r="GU199" s="2550"/>
      <c r="GV199" s="2551"/>
      <c r="GW199" s="2552"/>
      <c r="GX199" s="2550"/>
      <c r="GY199" s="2551"/>
      <c r="GZ199" s="2552"/>
      <c r="HA199" s="141"/>
      <c r="HB199" s="141"/>
      <c r="HC199" s="141"/>
      <c r="HD199" s="141"/>
      <c r="HE199" s="141"/>
    </row>
    <row r="200" spans="7:213" ht="3.6" customHeight="1">
      <c r="K200" s="377"/>
      <c r="L200" s="177"/>
      <c r="M200" s="177"/>
      <c r="N200" s="177"/>
      <c r="O200" s="177"/>
      <c r="P200" s="1490"/>
      <c r="Q200" s="153"/>
      <c r="S200" s="153"/>
      <c r="BD200" s="140"/>
      <c r="BE200" s="140"/>
      <c r="BF200" s="140"/>
      <c r="BG200" s="140"/>
      <c r="BH200" s="140"/>
      <c r="BI200" s="140"/>
      <c r="BJ200" s="140"/>
      <c r="BK200" s="140"/>
      <c r="BL200" s="140"/>
      <c r="BM200" s="140"/>
      <c r="BN200" s="140"/>
      <c r="BO200" s="164"/>
      <c r="BP200" s="140"/>
      <c r="BQ200" s="153"/>
      <c r="BU200" s="140"/>
      <c r="BV200" s="140"/>
      <c r="BW200" s="140"/>
      <c r="BX200" s="140"/>
      <c r="BY200" s="140"/>
      <c r="BZ200" s="140"/>
      <c r="CA200" s="140"/>
      <c r="CI200" s="1441"/>
      <c r="CJ200" s="1441"/>
      <c r="CK200" s="1441"/>
      <c r="CL200" s="1441"/>
      <c r="CM200" s="1441"/>
      <c r="CN200" s="1441"/>
      <c r="CO200" s="1441"/>
      <c r="CP200" s="1441"/>
      <c r="CQ200" s="1441"/>
      <c r="CR200" s="1441"/>
      <c r="CS200" s="1441"/>
      <c r="CT200" s="1441"/>
      <c r="CU200" s="1441"/>
      <c r="CV200" s="1441"/>
      <c r="CW200" s="1441"/>
      <c r="CX200" s="1441"/>
      <c r="CY200" s="1441"/>
      <c r="CZ200" s="1441"/>
      <c r="DA200" s="1441"/>
      <c r="DB200" s="1441"/>
      <c r="DC200" s="1441"/>
      <c r="DD200" s="142"/>
      <c r="DE200" s="142"/>
      <c r="DF200" s="142"/>
      <c r="DG200" s="142"/>
      <c r="DH200" s="142"/>
      <c r="DI200" s="142"/>
      <c r="DU200" s="631"/>
      <c r="DV200" s="1474"/>
      <c r="DW200" s="632"/>
      <c r="DX200" s="612"/>
      <c r="DY200" s="141"/>
      <c r="DZ200" s="141"/>
      <c r="EA200" s="141"/>
      <c r="EB200" s="365"/>
      <c r="EF200" s="2537"/>
      <c r="EG200" s="2537"/>
      <c r="EH200" s="2537"/>
      <c r="EI200" s="2537"/>
      <c r="ER200" s="1465"/>
      <c r="GB200" s="1443"/>
      <c r="GK200" s="153"/>
      <c r="GY200" s="141"/>
      <c r="GZ200" s="141"/>
      <c r="HA200" s="141"/>
      <c r="HB200" s="141"/>
      <c r="HC200" s="141"/>
      <c r="HD200" s="141"/>
      <c r="HE200" s="141"/>
    </row>
    <row r="201" spans="7:213" ht="3.6" customHeight="1">
      <c r="P201" s="153"/>
      <c r="Q201" s="153"/>
      <c r="S201" s="153"/>
      <c r="BD201" s="140"/>
      <c r="BE201" s="140"/>
      <c r="BF201" s="140"/>
      <c r="BG201" s="140"/>
      <c r="BH201" s="140"/>
      <c r="BI201" s="140"/>
      <c r="BJ201" s="140"/>
      <c r="BK201" s="140"/>
      <c r="BL201" s="140"/>
      <c r="BM201" s="140"/>
      <c r="BN201" s="140"/>
      <c r="BO201" s="164"/>
      <c r="BP201" s="140"/>
      <c r="BQ201" s="153"/>
      <c r="BU201" s="140"/>
      <c r="BV201" s="140"/>
      <c r="BW201" s="140"/>
      <c r="BX201" s="140"/>
      <c r="BY201" s="140"/>
      <c r="BZ201" s="140"/>
      <c r="CA201" s="140"/>
      <c r="CI201" s="1441"/>
      <c r="CJ201" s="1441"/>
      <c r="CK201" s="1441"/>
      <c r="CL201" s="1441"/>
      <c r="CM201" s="1441"/>
      <c r="CN201" s="1441"/>
      <c r="CO201" s="1441"/>
      <c r="CP201" s="1441"/>
      <c r="CQ201" s="1441"/>
      <c r="CR201" s="1441"/>
      <c r="CS201" s="1441"/>
      <c r="CT201" s="1441"/>
      <c r="CU201" s="1441"/>
      <c r="CV201" s="1441"/>
      <c r="CW201" s="1441"/>
      <c r="CX201" s="1441"/>
      <c r="CY201" s="1441"/>
      <c r="CZ201" s="1441"/>
      <c r="DA201" s="1441"/>
      <c r="DB201" s="1441"/>
      <c r="DC201" s="1441"/>
      <c r="DD201" s="142"/>
      <c r="DE201" s="142"/>
      <c r="DF201" s="142"/>
      <c r="DG201" s="142"/>
      <c r="DH201" s="142"/>
      <c r="DI201" s="142"/>
      <c r="DU201" s="631"/>
      <c r="DV201" s="1474"/>
      <c r="DW201" s="632"/>
      <c r="DX201" s="612"/>
      <c r="DY201" s="141"/>
      <c r="DZ201" s="141"/>
      <c r="EA201" s="141"/>
      <c r="EB201" s="365"/>
      <c r="EF201" s="2537"/>
      <c r="EG201" s="2537"/>
      <c r="EH201" s="2537"/>
      <c r="EI201" s="2537"/>
      <c r="ER201" s="1465"/>
      <c r="GB201" s="1443"/>
      <c r="GK201" s="153"/>
    </row>
    <row r="202" spans="7:213" ht="3.6" customHeight="1">
      <c r="P202" s="153"/>
      <c r="Q202" s="153"/>
      <c r="S202" s="153"/>
      <c r="BD202" s="140"/>
      <c r="BE202" s="140"/>
      <c r="BF202" s="140"/>
      <c r="BG202" s="140"/>
      <c r="BH202" s="140"/>
      <c r="BI202" s="140"/>
      <c r="BJ202" s="140"/>
      <c r="BK202" s="140"/>
      <c r="BL202" s="140"/>
      <c r="BM202" s="140"/>
      <c r="BN202" s="140"/>
      <c r="BO202" s="164"/>
      <c r="BP202" s="140"/>
      <c r="BQ202" s="153"/>
      <c r="BU202" s="140"/>
      <c r="BV202" s="140"/>
      <c r="BW202" s="140"/>
      <c r="BX202" s="140"/>
      <c r="BY202" s="140"/>
      <c r="BZ202" s="140"/>
      <c r="CA202" s="140"/>
      <c r="CI202" s="1441"/>
      <c r="CJ202" s="1441"/>
      <c r="CK202" s="1441"/>
      <c r="CL202" s="1441"/>
      <c r="CM202" s="1441"/>
      <c r="CN202" s="1441"/>
      <c r="CO202" s="1441"/>
      <c r="CP202" s="1441"/>
      <c r="CQ202" s="1441"/>
      <c r="CR202" s="1441"/>
      <c r="CS202" s="1441"/>
      <c r="CT202" s="1441"/>
      <c r="CU202" s="1441"/>
      <c r="CV202" s="1441"/>
      <c r="CW202" s="1441"/>
      <c r="CX202" s="1441"/>
      <c r="CY202" s="1441"/>
      <c r="CZ202" s="1441"/>
      <c r="DA202" s="1441"/>
      <c r="DB202" s="1441"/>
      <c r="DC202" s="1441"/>
      <c r="DD202" s="142"/>
      <c r="DE202" s="142"/>
      <c r="DF202" s="142"/>
      <c r="DG202" s="142"/>
      <c r="DH202" s="142"/>
      <c r="DI202" s="142"/>
      <c r="DU202" s="631"/>
      <c r="DV202" s="1474"/>
      <c r="DW202" s="632"/>
      <c r="DX202" s="612"/>
      <c r="DY202" s="141"/>
      <c r="DZ202" s="141"/>
      <c r="EA202" s="141"/>
      <c r="EB202" s="365"/>
      <c r="EF202" s="2537"/>
      <c r="EG202" s="2537"/>
      <c r="EH202" s="2537"/>
      <c r="EI202" s="2537"/>
      <c r="ER202" s="1465"/>
      <c r="GB202" s="1443"/>
      <c r="GK202" s="153"/>
    </row>
    <row r="203" spans="7:213" ht="3.6" customHeight="1">
      <c r="P203" s="153"/>
      <c r="Q203" s="153"/>
      <c r="S203" s="153"/>
      <c r="BD203" s="140"/>
      <c r="BE203" s="140"/>
      <c r="BF203" s="140"/>
      <c r="BG203" s="140"/>
      <c r="BH203" s="140"/>
      <c r="BI203" s="140"/>
      <c r="BJ203" s="140"/>
      <c r="BK203" s="140"/>
      <c r="BL203" s="140"/>
      <c r="BM203" s="140"/>
      <c r="BN203" s="140"/>
      <c r="BO203" s="164"/>
      <c r="BP203" s="140"/>
      <c r="BQ203" s="164"/>
      <c r="BR203" s="140"/>
      <c r="BS203" s="140"/>
      <c r="BT203" s="140"/>
      <c r="BU203" s="140"/>
      <c r="BV203" s="140"/>
      <c r="BW203" s="140"/>
      <c r="BX203" s="140"/>
      <c r="BY203" s="140"/>
      <c r="BZ203" s="140"/>
      <c r="CA203" s="140"/>
      <c r="CG203" s="2538" t="s">
        <v>1780</v>
      </c>
      <c r="CH203" s="2538"/>
      <c r="CI203" s="2538"/>
      <c r="CJ203" s="2538"/>
      <c r="CK203" s="2538"/>
      <c r="CL203" s="2538"/>
      <c r="CM203" s="2538"/>
      <c r="CN203" s="2538"/>
      <c r="CO203" s="2538"/>
      <c r="CP203" s="2538"/>
      <c r="CQ203" s="2538"/>
      <c r="CR203" s="2538"/>
      <c r="CS203" s="2538"/>
      <c r="CT203" s="2538"/>
      <c r="CU203" s="2538"/>
      <c r="CV203" s="2538"/>
      <c r="CW203" s="2538"/>
      <c r="CX203" s="2538"/>
      <c r="CY203" s="2538"/>
      <c r="CZ203" s="2538"/>
      <c r="DA203" s="2538"/>
      <c r="DB203" s="2538"/>
      <c r="DU203" s="631"/>
      <c r="DV203" s="1474"/>
      <c r="DW203" s="632"/>
      <c r="DX203" s="612"/>
      <c r="DY203" s="141"/>
      <c r="DZ203" s="141"/>
      <c r="EA203" s="141"/>
      <c r="EB203" s="365"/>
      <c r="EF203" s="2537"/>
      <c r="EG203" s="2537"/>
      <c r="EH203" s="2537"/>
      <c r="EI203" s="2537"/>
      <c r="ER203" s="1465"/>
      <c r="GB203" s="1443"/>
      <c r="GK203" s="153"/>
    </row>
    <row r="204" spans="7:213" ht="3.6" customHeight="1">
      <c r="P204" s="153"/>
      <c r="Q204" s="153"/>
      <c r="S204" s="153"/>
      <c r="BO204" s="153"/>
      <c r="BQ204" s="153"/>
      <c r="CG204" s="2538"/>
      <c r="CH204" s="2538"/>
      <c r="CI204" s="2538"/>
      <c r="CJ204" s="2538"/>
      <c r="CK204" s="2538"/>
      <c r="CL204" s="2538"/>
      <c r="CM204" s="2538"/>
      <c r="CN204" s="2538"/>
      <c r="CO204" s="2538"/>
      <c r="CP204" s="2538"/>
      <c r="CQ204" s="2538"/>
      <c r="CR204" s="2538"/>
      <c r="CS204" s="2538"/>
      <c r="CT204" s="2538"/>
      <c r="CU204" s="2538"/>
      <c r="CV204" s="2538"/>
      <c r="CW204" s="2538"/>
      <c r="CX204" s="2538"/>
      <c r="CY204" s="2538"/>
      <c r="CZ204" s="2538"/>
      <c r="DA204" s="2538"/>
      <c r="DB204" s="2538"/>
      <c r="DU204" s="631"/>
      <c r="DV204" s="1474"/>
      <c r="DW204" s="632"/>
      <c r="DX204" s="625"/>
      <c r="EB204" s="365"/>
      <c r="EF204" s="2537"/>
      <c r="EG204" s="2537"/>
      <c r="EH204" s="2537"/>
      <c r="EI204" s="2537"/>
      <c r="ER204" s="1465"/>
      <c r="GB204" s="1443"/>
      <c r="GK204" s="153"/>
    </row>
    <row r="205" spans="7:213" ht="3.6" customHeight="1">
      <c r="P205" s="153"/>
      <c r="Q205" s="153"/>
      <c r="S205" s="153"/>
      <c r="BO205" s="153"/>
      <c r="BQ205" s="153"/>
      <c r="CG205" s="2538"/>
      <c r="CH205" s="2538"/>
      <c r="CI205" s="2538"/>
      <c r="CJ205" s="2538"/>
      <c r="CK205" s="2538"/>
      <c r="CL205" s="2538"/>
      <c r="CM205" s="2538"/>
      <c r="CN205" s="2538"/>
      <c r="CO205" s="2538"/>
      <c r="CP205" s="2538"/>
      <c r="CQ205" s="2538"/>
      <c r="CR205" s="2538"/>
      <c r="CS205" s="2538"/>
      <c r="CT205" s="2538"/>
      <c r="CU205" s="2538"/>
      <c r="CV205" s="2538"/>
      <c r="CW205" s="2538"/>
      <c r="CX205" s="2538"/>
      <c r="CY205" s="2538"/>
      <c r="CZ205" s="2538"/>
      <c r="DA205" s="2538"/>
      <c r="DB205" s="2538"/>
      <c r="DU205" s="631"/>
      <c r="DV205" s="1474"/>
      <c r="DW205" s="632"/>
      <c r="DX205" s="2557" t="s">
        <v>3477</v>
      </c>
      <c r="DY205" s="2558"/>
      <c r="DZ205" s="2558"/>
      <c r="EA205" s="2558"/>
      <c r="EB205" s="365"/>
      <c r="EF205" s="2537"/>
      <c r="EG205" s="2537"/>
      <c r="EH205" s="2537"/>
      <c r="EI205" s="2537"/>
      <c r="ER205" s="1465"/>
      <c r="GB205" s="1443"/>
      <c r="GK205" s="153"/>
    </row>
    <row r="206" spans="7:213" ht="3.6" customHeight="1">
      <c r="P206" s="153"/>
      <c r="Q206" s="153"/>
      <c r="S206" s="156"/>
      <c r="T206" s="41"/>
      <c r="U206" s="41"/>
      <c r="V206" s="41"/>
      <c r="W206" s="41"/>
      <c r="X206" s="41"/>
      <c r="Y206" s="41"/>
      <c r="Z206" s="41"/>
      <c r="AA206" s="41"/>
      <c r="AB206" s="41"/>
      <c r="AC206" s="41"/>
      <c r="AD206" s="41"/>
      <c r="AE206" s="41"/>
      <c r="AF206" s="41"/>
      <c r="AG206" s="41"/>
      <c r="AH206" s="41"/>
      <c r="AI206" s="41"/>
      <c r="AJ206" s="41"/>
      <c r="AK206" s="41"/>
      <c r="BF206" s="41"/>
      <c r="BG206" s="41"/>
      <c r="BH206" s="41"/>
      <c r="BI206" s="41"/>
      <c r="BJ206" s="41"/>
      <c r="BK206" s="41"/>
      <c r="BL206" s="41"/>
      <c r="BM206" s="41"/>
      <c r="BN206" s="41"/>
      <c r="BO206" s="153"/>
      <c r="BQ206" s="153"/>
      <c r="CG206" s="2538"/>
      <c r="CH206" s="2538"/>
      <c r="CI206" s="2538"/>
      <c r="CJ206" s="2538"/>
      <c r="CK206" s="2538"/>
      <c r="CL206" s="2538"/>
      <c r="CM206" s="2538"/>
      <c r="CN206" s="2538"/>
      <c r="CO206" s="2538"/>
      <c r="CP206" s="2538"/>
      <c r="CQ206" s="2538"/>
      <c r="CR206" s="2538"/>
      <c r="CS206" s="2538"/>
      <c r="CT206" s="2538"/>
      <c r="CU206" s="2538"/>
      <c r="CV206" s="2538"/>
      <c r="CW206" s="2538"/>
      <c r="CX206" s="2538"/>
      <c r="CY206" s="2538"/>
      <c r="CZ206" s="2538"/>
      <c r="DA206" s="2538"/>
      <c r="DB206" s="2538"/>
      <c r="DU206" s="631"/>
      <c r="DV206" s="1474"/>
      <c r="DW206" s="632"/>
      <c r="DX206" s="2557"/>
      <c r="DY206" s="2558"/>
      <c r="DZ206" s="2558"/>
      <c r="EA206" s="2558"/>
      <c r="EB206" s="365"/>
      <c r="EF206" s="2537"/>
      <c r="EG206" s="2537"/>
      <c r="EH206" s="2537"/>
      <c r="EI206" s="2537"/>
      <c r="ER206" s="1465"/>
      <c r="GB206" s="1449"/>
      <c r="GC206" s="150"/>
      <c r="GD206" s="151"/>
      <c r="GE206" s="151"/>
      <c r="GF206" s="151"/>
      <c r="GG206" s="151"/>
      <c r="GH206" s="151"/>
      <c r="GI206" s="151"/>
      <c r="GJ206" s="151"/>
      <c r="GK206" s="153"/>
    </row>
    <row r="207" spans="7:213" ht="3.6" customHeight="1" thickBot="1">
      <c r="G207" s="41"/>
      <c r="H207" s="41"/>
      <c r="I207" s="41"/>
      <c r="J207" s="41"/>
      <c r="P207" s="153"/>
      <c r="Q207" s="153"/>
      <c r="AI207" s="366"/>
      <c r="AJ207" s="367"/>
      <c r="AK207" s="367"/>
      <c r="AL207" s="367"/>
      <c r="AM207" s="367"/>
      <c r="AN207" s="367"/>
      <c r="AO207" s="367"/>
      <c r="AP207" s="367"/>
      <c r="AQ207" s="367"/>
      <c r="AR207" s="367"/>
      <c r="AS207" s="367"/>
      <c r="AT207" s="367"/>
      <c r="AU207" s="367"/>
      <c r="AV207" s="367"/>
      <c r="AW207" s="367"/>
      <c r="AX207" s="368"/>
      <c r="AY207" s="151"/>
      <c r="AZ207" s="151"/>
      <c r="BA207" s="151"/>
      <c r="BB207" s="151"/>
      <c r="BC207" s="151"/>
      <c r="BD207" s="151"/>
      <c r="BE207" s="151"/>
      <c r="BQ207" s="153"/>
      <c r="CG207" s="2538" t="s">
        <v>3495</v>
      </c>
      <c r="CH207" s="2538"/>
      <c r="CI207" s="2538"/>
      <c r="CJ207" s="2538"/>
      <c r="CK207" s="2538"/>
      <c r="CL207" s="2538"/>
      <c r="CM207" s="2538"/>
      <c r="CN207" s="2538"/>
      <c r="CO207" s="2538"/>
      <c r="CP207" s="2538"/>
      <c r="CQ207" s="2538"/>
      <c r="CR207" s="2538"/>
      <c r="CS207" s="2538"/>
      <c r="CT207" s="2538"/>
      <c r="CU207" s="2538"/>
      <c r="CV207" s="2538"/>
      <c r="CW207" s="2538"/>
      <c r="CX207" s="2538"/>
      <c r="CY207" s="2538"/>
      <c r="CZ207" s="2538"/>
      <c r="DA207" s="2538"/>
      <c r="DB207" s="2538"/>
      <c r="DU207" s="153"/>
      <c r="DV207" s="375"/>
      <c r="DW207" s="632"/>
      <c r="DX207" s="2557"/>
      <c r="DY207" s="2558"/>
      <c r="DZ207" s="2558"/>
      <c r="EA207" s="2558"/>
      <c r="EB207" s="365"/>
      <c r="EF207" s="2537"/>
      <c r="EG207" s="2537"/>
      <c r="EH207" s="2537"/>
      <c r="EI207" s="2537"/>
      <c r="EM207" s="41"/>
      <c r="EN207" s="41"/>
      <c r="EO207" s="41"/>
      <c r="EP207" s="41"/>
      <c r="ER207" s="1465"/>
      <c r="GB207" s="1443"/>
      <c r="GK207" s="153"/>
    </row>
    <row r="208" spans="7:213" ht="3.6" customHeight="1" thickTop="1">
      <c r="P208" s="153"/>
      <c r="Q208" s="156"/>
      <c r="R208" s="41"/>
      <c r="S208" s="41"/>
      <c r="T208" s="41"/>
      <c r="U208" s="41"/>
      <c r="V208" s="41"/>
      <c r="W208" s="41"/>
      <c r="X208" s="41"/>
      <c r="Y208" s="41"/>
      <c r="Z208" s="41"/>
      <c r="AA208" s="41"/>
      <c r="AB208" s="41"/>
      <c r="AC208" s="41"/>
      <c r="AD208" s="41"/>
      <c r="AE208" s="41"/>
      <c r="AF208" s="41"/>
      <c r="AG208" s="41"/>
      <c r="AH208" s="41"/>
      <c r="AI208" s="156"/>
      <c r="AJ208" s="41"/>
      <c r="AK208" s="41"/>
      <c r="AL208" s="41"/>
      <c r="AM208" s="41"/>
      <c r="AN208" s="41"/>
      <c r="AO208" s="41"/>
      <c r="AP208" s="41"/>
      <c r="AQ208" s="41"/>
      <c r="AR208" s="41"/>
      <c r="AS208" s="41"/>
      <c r="AT208" s="41"/>
      <c r="AU208" s="41"/>
      <c r="AV208" s="41"/>
      <c r="AW208" s="41"/>
      <c r="AX208" s="159"/>
      <c r="AY208" s="41"/>
      <c r="AZ208" s="41"/>
      <c r="BA208" s="41"/>
      <c r="BB208" s="41"/>
      <c r="BC208" s="41"/>
      <c r="BD208" s="41"/>
      <c r="BE208" s="41"/>
      <c r="BF208" s="41"/>
      <c r="BG208" s="41"/>
      <c r="BH208" s="41"/>
      <c r="BI208" s="41"/>
      <c r="BJ208" s="41"/>
      <c r="BK208" s="41"/>
      <c r="BL208" s="41"/>
      <c r="BM208" s="41"/>
      <c r="BN208" s="41"/>
      <c r="BQ208" s="153"/>
      <c r="CG208" s="2538"/>
      <c r="CH208" s="2538"/>
      <c r="CI208" s="2538"/>
      <c r="CJ208" s="2538"/>
      <c r="CK208" s="2538"/>
      <c r="CL208" s="2538"/>
      <c r="CM208" s="2538"/>
      <c r="CN208" s="2538"/>
      <c r="CO208" s="2538"/>
      <c r="CP208" s="2538"/>
      <c r="CQ208" s="2538"/>
      <c r="CR208" s="2538"/>
      <c r="CS208" s="2538"/>
      <c r="CT208" s="2538"/>
      <c r="CU208" s="2538"/>
      <c r="CV208" s="2538"/>
      <c r="CW208" s="2538"/>
      <c r="CX208" s="2538"/>
      <c r="CY208" s="2538"/>
      <c r="CZ208" s="2538"/>
      <c r="DA208" s="2538"/>
      <c r="DB208" s="2538"/>
      <c r="DU208" s="153"/>
      <c r="DV208" s="375"/>
      <c r="DW208" s="632"/>
      <c r="DX208" s="2557"/>
      <c r="DY208" s="2558"/>
      <c r="DZ208" s="2558"/>
      <c r="EA208" s="2558"/>
      <c r="EB208" s="365"/>
      <c r="EF208" s="2537"/>
      <c r="EG208" s="2537"/>
      <c r="EH208" s="2537"/>
      <c r="EI208" s="2537"/>
      <c r="ER208" s="1465"/>
      <c r="GB208" s="1443"/>
      <c r="GK208" s="153"/>
    </row>
    <row r="209" spans="7:193" ht="3.6" customHeight="1">
      <c r="P209" s="156"/>
      <c r="Q209" s="41"/>
      <c r="R209" s="41"/>
      <c r="S209" s="41"/>
      <c r="T209" s="41"/>
      <c r="U209" s="41"/>
      <c r="V209" s="41"/>
      <c r="W209" s="41"/>
      <c r="X209" s="41"/>
      <c r="Y209" s="41"/>
      <c r="Z209" s="41"/>
      <c r="AA209" s="41"/>
      <c r="AB209" s="41"/>
      <c r="AC209" s="41"/>
      <c r="AD209" s="41"/>
      <c r="AE209" s="41"/>
      <c r="AF209" s="41"/>
      <c r="AG209" s="41"/>
      <c r="AH209" s="1479"/>
      <c r="AI209" s="360"/>
      <c r="AJ209" s="360"/>
      <c r="AK209" s="360"/>
      <c r="AL209" s="360"/>
      <c r="AM209" s="360"/>
      <c r="AN209" s="360"/>
      <c r="AO209" s="360"/>
      <c r="AP209" s="360"/>
      <c r="AQ209" s="360"/>
      <c r="AR209" s="360"/>
      <c r="AS209" s="360"/>
      <c r="AT209" s="360"/>
      <c r="AU209" s="360"/>
      <c r="AV209" s="360"/>
      <c r="AW209" s="360"/>
      <c r="AX209" s="360"/>
      <c r="AY209" s="1480"/>
      <c r="AZ209" s="41"/>
      <c r="BA209" s="41"/>
      <c r="BB209" s="41"/>
      <c r="BC209" s="41"/>
      <c r="BD209" s="41"/>
      <c r="BE209" s="41"/>
      <c r="BF209" s="41"/>
      <c r="BG209" s="41"/>
      <c r="BH209" s="41"/>
      <c r="BI209" s="41"/>
      <c r="BJ209" s="41"/>
      <c r="BK209" s="41"/>
      <c r="BL209" s="41"/>
      <c r="BM209" s="41"/>
      <c r="BO209" s="153"/>
      <c r="BQ209" s="153"/>
      <c r="CG209" s="2538"/>
      <c r="CH209" s="2538"/>
      <c r="CI209" s="2538"/>
      <c r="CJ209" s="2538"/>
      <c r="CK209" s="2538"/>
      <c r="CL209" s="2538"/>
      <c r="CM209" s="2538"/>
      <c r="CN209" s="2538"/>
      <c r="CO209" s="2538"/>
      <c r="CP209" s="2538"/>
      <c r="CQ209" s="2538"/>
      <c r="CR209" s="2538"/>
      <c r="CS209" s="2538"/>
      <c r="CT209" s="2538"/>
      <c r="CU209" s="2538"/>
      <c r="CV209" s="2538"/>
      <c r="CW209" s="2538"/>
      <c r="CX209" s="2538"/>
      <c r="CY209" s="2538"/>
      <c r="CZ209" s="2538"/>
      <c r="DA209" s="2538"/>
      <c r="DB209" s="2538"/>
      <c r="DU209" s="631"/>
      <c r="DV209" s="1474"/>
      <c r="DW209" s="632"/>
      <c r="DX209" s="2557"/>
      <c r="DY209" s="2558"/>
      <c r="DZ209" s="2558"/>
      <c r="EA209" s="2558"/>
      <c r="EB209" s="365"/>
      <c r="EF209" s="2537"/>
      <c r="EG209" s="2537"/>
      <c r="EH209" s="2537"/>
      <c r="EI209" s="2537"/>
      <c r="ER209" s="1465"/>
      <c r="GB209" s="1443"/>
      <c r="GK209" s="153"/>
    </row>
    <row r="210" spans="7:193" ht="3.6" customHeight="1">
      <c r="AH210" s="364"/>
      <c r="AN210" s="2556" t="s">
        <v>1952</v>
      </c>
      <c r="AO210" s="2556"/>
      <c r="AP210" s="2556"/>
      <c r="AQ210" s="2556"/>
      <c r="AR210" s="169"/>
      <c r="AS210" s="169"/>
      <c r="AT210" s="169"/>
      <c r="AY210" s="365"/>
      <c r="BN210" s="153"/>
      <c r="BO210" s="153"/>
      <c r="BQ210" s="153"/>
      <c r="CG210" s="2538"/>
      <c r="CH210" s="2538"/>
      <c r="CI210" s="2538"/>
      <c r="CJ210" s="2538"/>
      <c r="CK210" s="2538"/>
      <c r="CL210" s="2538"/>
      <c r="CM210" s="2538"/>
      <c r="CN210" s="2538"/>
      <c r="CO210" s="2538"/>
      <c r="CP210" s="2538"/>
      <c r="CQ210" s="2538"/>
      <c r="CR210" s="2538"/>
      <c r="CS210" s="2538"/>
      <c r="CT210" s="2538"/>
      <c r="CU210" s="2538"/>
      <c r="CV210" s="2538"/>
      <c r="CW210" s="2538"/>
      <c r="CX210" s="2538"/>
      <c r="CY210" s="2538"/>
      <c r="CZ210" s="2538"/>
      <c r="DA210" s="2538"/>
      <c r="DB210" s="2538"/>
      <c r="DU210" s="631"/>
      <c r="DV210" s="1474"/>
      <c r="DW210" s="632"/>
      <c r="DX210" s="2557"/>
      <c r="DY210" s="2558"/>
      <c r="DZ210" s="2558"/>
      <c r="EA210" s="2558"/>
      <c r="EB210" s="365"/>
      <c r="EF210" s="2537"/>
      <c r="EG210" s="2537"/>
      <c r="EH210" s="2537"/>
      <c r="EI210" s="2537"/>
      <c r="ER210" s="1465"/>
      <c r="GB210" s="1443"/>
      <c r="GK210" s="153"/>
    </row>
    <row r="211" spans="7:193" ht="3.6" customHeight="1">
      <c r="AH211" s="364"/>
      <c r="AN211" s="2540"/>
      <c r="AO211" s="2540"/>
      <c r="AP211" s="2540"/>
      <c r="AQ211" s="2540"/>
      <c r="AR211" s="142"/>
      <c r="AS211" s="142"/>
      <c r="AT211" s="142"/>
      <c r="AY211" s="365"/>
      <c r="BN211" s="153"/>
      <c r="BO211" s="153"/>
      <c r="BQ211" s="153"/>
      <c r="CY211" s="175"/>
      <c r="CZ211" s="175"/>
      <c r="DA211" s="175"/>
      <c r="DB211" s="175"/>
      <c r="DC211" s="175"/>
      <c r="DD211" s="175"/>
      <c r="DE211" s="175"/>
      <c r="DF211" s="175"/>
      <c r="DG211" s="175"/>
      <c r="DH211" s="175"/>
      <c r="DI211" s="175"/>
      <c r="DJ211" s="175"/>
      <c r="DK211" s="175"/>
      <c r="DL211" s="175"/>
      <c r="DM211" s="175"/>
      <c r="DN211" s="175"/>
      <c r="DO211" s="175"/>
      <c r="DP211" s="175"/>
      <c r="DQ211" s="175"/>
      <c r="DR211" s="175"/>
      <c r="DS211" s="175"/>
      <c r="DT211" s="175"/>
      <c r="DU211" s="631"/>
      <c r="DV211" s="1474"/>
      <c r="DW211" s="632"/>
      <c r="DX211" s="2557"/>
      <c r="DY211" s="2558"/>
      <c r="DZ211" s="2558"/>
      <c r="EA211" s="2558"/>
      <c r="EB211" s="365"/>
      <c r="EF211" s="2537"/>
      <c r="EG211" s="2537"/>
      <c r="EH211" s="2537"/>
      <c r="EI211" s="2537"/>
      <c r="ER211" s="1465"/>
      <c r="GB211" s="1443"/>
      <c r="GK211" s="153"/>
    </row>
    <row r="212" spans="7:193" ht="3.6" customHeight="1">
      <c r="G212" s="2537" t="s">
        <v>3485</v>
      </c>
      <c r="H212" s="2537"/>
      <c r="I212" s="2537"/>
      <c r="J212" s="2537"/>
      <c r="AH212" s="364"/>
      <c r="AN212" s="2540"/>
      <c r="AO212" s="2540"/>
      <c r="AP212" s="2540"/>
      <c r="AQ212" s="2540"/>
      <c r="AR212" s="142"/>
      <c r="AS212" s="142"/>
      <c r="AT212" s="142"/>
      <c r="AY212" s="365"/>
      <c r="BN212" s="153"/>
      <c r="BO212" s="153"/>
      <c r="BQ212" s="153"/>
      <c r="CV212" s="175"/>
      <c r="CW212" s="175"/>
      <c r="CX212" s="175"/>
      <c r="CY212" s="175"/>
      <c r="CZ212" s="175"/>
      <c r="DA212" s="175"/>
      <c r="DB212" s="175"/>
      <c r="DC212" s="175"/>
      <c r="DD212" s="175"/>
      <c r="DE212" s="175"/>
      <c r="DF212" s="175"/>
      <c r="DG212" s="175"/>
      <c r="DH212" s="175"/>
      <c r="DI212" s="175"/>
      <c r="DJ212" s="175"/>
      <c r="DK212" s="175"/>
      <c r="DL212" s="175"/>
      <c r="DM212" s="175"/>
      <c r="DN212" s="175"/>
      <c r="DO212" s="175"/>
      <c r="DP212" s="175"/>
      <c r="DQ212" s="175"/>
      <c r="DR212" s="175"/>
      <c r="DS212" s="175"/>
      <c r="DT212" s="175"/>
      <c r="DU212" s="631"/>
      <c r="DV212" s="1474"/>
      <c r="DW212" s="632"/>
      <c r="DX212" s="625"/>
      <c r="EB212" s="365"/>
      <c r="EF212" s="2537"/>
      <c r="EG212" s="2537"/>
      <c r="EH212" s="2537"/>
      <c r="EI212" s="2537"/>
      <c r="ER212" s="1465"/>
      <c r="GB212" s="1443"/>
      <c r="GK212" s="153"/>
    </row>
    <row r="213" spans="7:193" ht="3.6" customHeight="1">
      <c r="G213" s="2537"/>
      <c r="H213" s="2537"/>
      <c r="I213" s="2537"/>
      <c r="J213" s="2537"/>
      <c r="AH213" s="364"/>
      <c r="AN213" s="2540"/>
      <c r="AO213" s="2540"/>
      <c r="AP213" s="2540"/>
      <c r="AQ213" s="2540"/>
      <c r="AR213" s="142"/>
      <c r="AS213" s="142"/>
      <c r="AT213" s="142"/>
      <c r="AY213" s="365"/>
      <c r="BN213" s="153"/>
      <c r="BO213" s="153"/>
      <c r="BP213" s="154"/>
      <c r="BQ213" s="153"/>
      <c r="CV213" s="175"/>
      <c r="CW213" s="175"/>
      <c r="CX213" s="175"/>
      <c r="CY213" s="175"/>
      <c r="CZ213" s="175"/>
      <c r="DA213" s="175"/>
      <c r="DB213" s="175"/>
      <c r="DC213" s="175"/>
      <c r="DD213" s="175"/>
      <c r="DE213" s="175"/>
      <c r="DF213" s="175"/>
      <c r="DG213" s="175"/>
      <c r="DH213" s="175"/>
      <c r="DI213" s="175"/>
      <c r="DJ213" s="175"/>
      <c r="DK213" s="175"/>
      <c r="DL213" s="175"/>
      <c r="DM213" s="175"/>
      <c r="DN213" s="175"/>
      <c r="DO213" s="175"/>
      <c r="DP213" s="175"/>
      <c r="DQ213" s="175"/>
      <c r="DR213" s="175"/>
      <c r="DS213" s="175"/>
      <c r="DT213" s="175"/>
      <c r="DU213" s="631"/>
      <c r="DV213" s="1474"/>
      <c r="DW213" s="632"/>
      <c r="DX213" s="625"/>
      <c r="EB213" s="365"/>
      <c r="EF213" s="2537"/>
      <c r="EG213" s="2537"/>
      <c r="EH213" s="2537"/>
      <c r="EI213" s="2537"/>
      <c r="ER213" s="1465"/>
      <c r="GB213" s="1443"/>
      <c r="GK213" s="153"/>
    </row>
    <row r="214" spans="7:193" ht="3.6" customHeight="1">
      <c r="G214" s="2537"/>
      <c r="H214" s="2537"/>
      <c r="I214" s="2537"/>
      <c r="J214" s="2537"/>
      <c r="AH214" s="377"/>
      <c r="AI214" s="177"/>
      <c r="AJ214" s="177"/>
      <c r="AK214" s="177"/>
      <c r="AL214" s="177"/>
      <c r="AM214" s="177"/>
      <c r="AN214" s="177"/>
      <c r="AO214" s="177"/>
      <c r="AP214" s="177"/>
      <c r="AQ214" s="1504"/>
      <c r="AR214" s="1504"/>
      <c r="AS214" s="1504"/>
      <c r="AT214" s="1504"/>
      <c r="AU214" s="177"/>
      <c r="AV214" s="177"/>
      <c r="AW214" s="177"/>
      <c r="AX214" s="177"/>
      <c r="AY214" s="379"/>
      <c r="BN214" s="153"/>
      <c r="BO214" s="153"/>
      <c r="BP214" s="154"/>
      <c r="BQ214" s="153"/>
      <c r="CV214" s="175"/>
      <c r="CW214" s="175"/>
      <c r="CX214" s="175"/>
      <c r="CY214" s="175"/>
      <c r="CZ214" s="175"/>
      <c r="DA214" s="175"/>
      <c r="DB214" s="175"/>
      <c r="DC214" s="175"/>
      <c r="DD214" s="175"/>
      <c r="DE214" s="175"/>
      <c r="DF214" s="175"/>
      <c r="DG214" s="175"/>
      <c r="DH214" s="175"/>
      <c r="DI214" s="175"/>
      <c r="DJ214" s="175"/>
      <c r="DK214" s="175"/>
      <c r="DL214" s="175"/>
      <c r="DM214" s="175"/>
      <c r="DN214" s="175"/>
      <c r="DO214" s="175"/>
      <c r="DP214" s="175"/>
      <c r="DQ214" s="175"/>
      <c r="DR214" s="175"/>
      <c r="DS214" s="175"/>
      <c r="DT214" s="175"/>
      <c r="DU214" s="631"/>
      <c r="DV214" s="1474"/>
      <c r="DW214" s="632"/>
      <c r="DX214" s="612"/>
      <c r="DY214" s="141"/>
      <c r="DZ214" s="141"/>
      <c r="EA214" s="141"/>
      <c r="EB214" s="365"/>
      <c r="EF214" s="2537"/>
      <c r="EG214" s="2537"/>
      <c r="EH214" s="2537"/>
      <c r="EI214" s="2537"/>
      <c r="ER214" s="1465"/>
      <c r="GB214" s="1443"/>
      <c r="GK214" s="153"/>
    </row>
    <row r="215" spans="7:193" ht="3.6" customHeight="1">
      <c r="G215" s="2537"/>
      <c r="H215" s="2537"/>
      <c r="I215" s="2537"/>
      <c r="J215" s="2537"/>
      <c r="BN215" s="153"/>
      <c r="BO215" s="153"/>
      <c r="BP215" s="154"/>
      <c r="BQ215" s="153"/>
      <c r="DU215" s="631"/>
      <c r="DV215" s="1474"/>
      <c r="DW215" s="632"/>
      <c r="DX215" s="612"/>
      <c r="DY215" s="141"/>
      <c r="DZ215" s="141"/>
      <c r="EA215" s="141"/>
      <c r="EB215" s="365"/>
      <c r="EF215" s="2537"/>
      <c r="EG215" s="2537"/>
      <c r="EH215" s="2537"/>
      <c r="EI215" s="2537"/>
      <c r="ER215" s="1465"/>
      <c r="GB215" s="1443"/>
      <c r="GK215" s="153"/>
    </row>
    <row r="216" spans="7:193" ht="3.6" customHeight="1">
      <c r="G216" s="2537"/>
      <c r="H216" s="2537"/>
      <c r="I216" s="2537"/>
      <c r="J216" s="2537"/>
      <c r="BN216" s="153"/>
      <c r="BO216" s="153"/>
      <c r="BP216" s="154"/>
      <c r="BQ216" s="153"/>
      <c r="DU216" s="1475"/>
      <c r="DV216" s="1476"/>
      <c r="DW216" s="632"/>
      <c r="DX216" s="612"/>
      <c r="DY216" s="141"/>
      <c r="DZ216" s="141"/>
      <c r="EA216" s="141"/>
      <c r="EB216" s="365"/>
      <c r="EF216" s="2537"/>
      <c r="EG216" s="2537"/>
      <c r="EH216" s="2537"/>
      <c r="EI216" s="2537"/>
      <c r="ER216" s="1465"/>
      <c r="GB216" s="1443"/>
      <c r="GK216" s="153"/>
    </row>
    <row r="217" spans="7:193" ht="3.6" customHeight="1">
      <c r="G217" s="2537"/>
      <c r="H217" s="2537"/>
      <c r="I217" s="2537"/>
      <c r="J217" s="2537"/>
      <c r="BN217" s="153"/>
      <c r="BO217" s="153"/>
      <c r="BP217" s="154"/>
      <c r="BQ217" s="153"/>
      <c r="DU217" s="631"/>
      <c r="DV217" s="632"/>
      <c r="DW217" s="632"/>
      <c r="DX217" s="612"/>
      <c r="DY217" s="141"/>
      <c r="DZ217" s="141"/>
      <c r="EA217" s="141"/>
      <c r="EB217" s="365"/>
      <c r="EF217" s="2537"/>
      <c r="EG217" s="2537"/>
      <c r="EH217" s="2537"/>
      <c r="EI217" s="2537"/>
      <c r="ER217" s="1465"/>
      <c r="GB217" s="1443"/>
      <c r="GK217" s="153"/>
    </row>
    <row r="218" spans="7:193" ht="3.6" customHeight="1">
      <c r="G218" s="2537"/>
      <c r="H218" s="2537"/>
      <c r="I218" s="2537"/>
      <c r="J218" s="2537"/>
      <c r="BN218" s="153"/>
      <c r="BO218" s="153"/>
      <c r="BP218" s="154"/>
      <c r="BQ218" s="153"/>
      <c r="DU218" s="631"/>
      <c r="DV218" s="632"/>
      <c r="DW218" s="632"/>
      <c r="DX218" s="625"/>
      <c r="EB218" s="365"/>
      <c r="EF218" s="2537"/>
      <c r="EG218" s="2537"/>
      <c r="EH218" s="2537"/>
      <c r="EI218" s="2537"/>
      <c r="ER218" s="1465"/>
      <c r="GB218" s="1443"/>
      <c r="GK218" s="153"/>
    </row>
    <row r="219" spans="7:193" ht="3.6" customHeight="1">
      <c r="G219" s="2537"/>
      <c r="H219" s="2537"/>
      <c r="I219" s="2537"/>
      <c r="J219" s="2537"/>
      <c r="BN219" s="153"/>
      <c r="BO219" s="153"/>
      <c r="BP219" s="154"/>
      <c r="BQ219" s="153"/>
      <c r="DU219" s="631"/>
      <c r="DV219" s="632"/>
      <c r="DW219" s="632"/>
      <c r="DX219" s="625"/>
      <c r="EB219" s="365"/>
      <c r="EF219" s="2537"/>
      <c r="EG219" s="2537"/>
      <c r="EH219" s="2537"/>
      <c r="EI219" s="2537"/>
      <c r="ER219" s="1465"/>
      <c r="GB219" s="1443"/>
      <c r="GK219" s="153"/>
    </row>
    <row r="220" spans="7:193" ht="3.6" customHeight="1">
      <c r="G220" s="2537"/>
      <c r="H220" s="2537"/>
      <c r="I220" s="2537"/>
      <c r="J220" s="2537"/>
      <c r="BN220" s="153"/>
      <c r="BO220" s="153"/>
      <c r="BQ220" s="153"/>
      <c r="DU220" s="631"/>
      <c r="DV220" s="632"/>
      <c r="DW220" s="632"/>
      <c r="DX220" s="625"/>
      <c r="EB220" s="365"/>
      <c r="EF220" s="2537"/>
      <c r="EG220" s="2537"/>
      <c r="EH220" s="2537"/>
      <c r="EI220" s="2537"/>
      <c r="ER220" s="1465"/>
      <c r="GB220" s="1443"/>
      <c r="GK220" s="153"/>
    </row>
    <row r="221" spans="7:193" ht="3.6" customHeight="1">
      <c r="G221" s="2537"/>
      <c r="H221" s="2537"/>
      <c r="I221" s="2537"/>
      <c r="J221" s="2537"/>
      <c r="BN221" s="153"/>
      <c r="BO221" s="153"/>
      <c r="BQ221" s="153"/>
      <c r="BX221" s="2540" t="s">
        <v>1955</v>
      </c>
      <c r="BY221" s="2540"/>
      <c r="BZ221" s="2540"/>
      <c r="CA221" s="2540"/>
      <c r="CB221" s="2540"/>
      <c r="CC221" s="2540"/>
      <c r="DU221" s="153"/>
      <c r="DV221" s="154"/>
      <c r="DW221" s="632"/>
      <c r="DX221" s="625"/>
      <c r="EB221" s="365"/>
      <c r="EF221" s="2537"/>
      <c r="EG221" s="2537"/>
      <c r="EH221" s="2537"/>
      <c r="EI221" s="2537"/>
      <c r="ER221" s="1465"/>
      <c r="GB221" s="1443"/>
      <c r="GK221" s="153"/>
    </row>
    <row r="222" spans="7:193" ht="3.6" customHeight="1">
      <c r="G222" s="2537"/>
      <c r="H222" s="2537"/>
      <c r="I222" s="2537"/>
      <c r="J222" s="2537"/>
      <c r="BN222" s="153"/>
      <c r="BO222" s="153"/>
      <c r="BQ222" s="153"/>
      <c r="BX222" s="2540"/>
      <c r="BY222" s="2540"/>
      <c r="BZ222" s="2540"/>
      <c r="CA222" s="2540"/>
      <c r="CB222" s="2540"/>
      <c r="CC222" s="2540"/>
      <c r="DT222" s="154"/>
      <c r="DV222" s="154"/>
      <c r="DW222" s="154"/>
      <c r="EB222" s="365"/>
      <c r="EF222" s="2537"/>
      <c r="EG222" s="2537"/>
      <c r="EH222" s="2537"/>
      <c r="EI222" s="2537"/>
      <c r="ER222" s="1465"/>
      <c r="GB222" s="1443"/>
      <c r="GK222" s="153"/>
    </row>
    <row r="223" spans="7:193" ht="3.6" customHeight="1">
      <c r="G223" s="2537"/>
      <c r="H223" s="2537"/>
      <c r="I223" s="2537"/>
      <c r="J223" s="2537"/>
      <c r="BN223" s="153"/>
      <c r="BO223" s="153"/>
      <c r="BQ223" s="153"/>
      <c r="BX223" s="2540"/>
      <c r="BY223" s="2540"/>
      <c r="BZ223" s="2540"/>
      <c r="CA223" s="2540"/>
      <c r="CB223" s="2540"/>
      <c r="CC223" s="2540"/>
      <c r="DT223" s="154"/>
      <c r="DV223" s="154"/>
      <c r="DW223" s="154"/>
      <c r="EB223" s="365"/>
      <c r="ER223" s="1465"/>
      <c r="GB223" s="1443"/>
      <c r="GK223" s="153"/>
    </row>
    <row r="224" spans="7:193" ht="3.6" customHeight="1">
      <c r="G224" s="2537"/>
      <c r="H224" s="2537"/>
      <c r="I224" s="2537"/>
      <c r="J224" s="2537"/>
      <c r="BN224" s="153"/>
      <c r="BO224" s="153"/>
      <c r="BQ224" s="153"/>
      <c r="BX224" s="2540"/>
      <c r="BY224" s="2540"/>
      <c r="BZ224" s="2540"/>
      <c r="CA224" s="2540"/>
      <c r="CB224" s="2540"/>
      <c r="CC224" s="2540"/>
      <c r="CL224" s="41"/>
      <c r="CM224" s="41"/>
      <c r="CN224" s="41"/>
      <c r="CO224" s="41"/>
      <c r="CP224" s="41"/>
      <c r="DR224" s="41"/>
      <c r="DS224" s="41"/>
      <c r="DT224" s="159"/>
      <c r="DV224" s="154"/>
      <c r="DW224" s="154"/>
      <c r="EB224" s="365"/>
      <c r="ER224" s="1465"/>
      <c r="GB224" s="1443"/>
      <c r="GK224" s="153"/>
    </row>
    <row r="225" spans="7:199" ht="3.6" customHeight="1" thickBot="1">
      <c r="G225" s="41"/>
      <c r="H225" s="41"/>
      <c r="I225" s="41"/>
      <c r="J225" s="41"/>
      <c r="BN225" s="153"/>
      <c r="BO225" s="153"/>
      <c r="BQ225" s="151"/>
      <c r="BR225" s="162"/>
      <c r="CK225" s="150"/>
      <c r="CQ225" s="151"/>
      <c r="CR225" s="151"/>
      <c r="CS225" s="151"/>
      <c r="CT225" s="162"/>
      <c r="CU225" s="367"/>
      <c r="CV225" s="367"/>
      <c r="CW225" s="367"/>
      <c r="CX225" s="367"/>
      <c r="CY225" s="367"/>
      <c r="CZ225" s="367"/>
      <c r="DA225" s="367"/>
      <c r="DB225" s="367"/>
      <c r="DC225" s="367"/>
      <c r="DD225" s="367"/>
      <c r="DE225" s="367"/>
      <c r="DF225" s="367"/>
      <c r="DG225" s="367"/>
      <c r="DH225" s="367"/>
      <c r="DI225" s="367"/>
      <c r="DJ225" s="367"/>
      <c r="DK225" s="367"/>
      <c r="DL225" s="367"/>
      <c r="DM225" s="367"/>
      <c r="DN225" s="368"/>
      <c r="DO225" s="151"/>
      <c r="DP225" s="151"/>
      <c r="DQ225" s="151"/>
      <c r="DV225" s="154"/>
      <c r="DW225" s="154"/>
      <c r="EB225" s="365"/>
      <c r="EF225" s="41"/>
      <c r="EG225" s="41"/>
      <c r="EH225" s="41"/>
      <c r="EI225" s="41"/>
      <c r="ER225" s="1465"/>
      <c r="ES225" s="1449"/>
      <c r="ET225" s="151"/>
      <c r="EU225" s="151"/>
      <c r="EV225" s="151"/>
      <c r="EW225" s="151"/>
      <c r="EX225" s="151"/>
      <c r="EY225" s="151"/>
      <c r="EZ225" s="151"/>
      <c r="FA225" s="1448"/>
      <c r="FB225" s="1450"/>
      <c r="FC225" s="366"/>
      <c r="FD225" s="367"/>
      <c r="FE225" s="367"/>
      <c r="FF225" s="367"/>
      <c r="FG225" s="367"/>
      <c r="FH225" s="367"/>
      <c r="FI225" s="367"/>
      <c r="FJ225" s="367"/>
      <c r="FK225" s="367"/>
      <c r="FL225" s="367"/>
      <c r="FM225" s="367"/>
      <c r="FN225" s="367"/>
      <c r="FO225" s="367"/>
      <c r="FP225" s="367"/>
      <c r="FQ225" s="367"/>
      <c r="FR225" s="367"/>
      <c r="FS225" s="367"/>
      <c r="FT225" s="367"/>
      <c r="FU225" s="367"/>
      <c r="FV225" s="367"/>
      <c r="FW225" s="367"/>
      <c r="FX225" s="367"/>
      <c r="FY225" s="367"/>
      <c r="FZ225" s="367"/>
      <c r="GA225" s="368"/>
      <c r="GB225" s="1442"/>
      <c r="GC225" s="1448"/>
      <c r="GD225" s="1449"/>
      <c r="GE225" s="1449"/>
      <c r="GF225" s="169"/>
      <c r="GG225" s="169"/>
      <c r="GH225" s="169"/>
      <c r="GI225" s="169"/>
      <c r="GJ225" s="170"/>
    </row>
    <row r="226" spans="7:199" ht="3.6" customHeight="1" thickTop="1">
      <c r="BN226" s="153"/>
      <c r="BO226" s="156"/>
      <c r="BP226" s="41"/>
      <c r="BQ226" s="41"/>
      <c r="BR226" s="159"/>
      <c r="BS226" s="41"/>
      <c r="BT226" s="41"/>
      <c r="BU226" s="41"/>
      <c r="BV226" s="41"/>
      <c r="BW226" s="41"/>
      <c r="BX226" s="41"/>
      <c r="BY226" s="41"/>
      <c r="BZ226" s="41"/>
      <c r="CA226" s="41"/>
      <c r="CB226" s="41"/>
      <c r="CC226" s="41"/>
      <c r="CD226" s="41"/>
      <c r="CE226" s="41"/>
      <c r="CF226" s="41"/>
      <c r="CG226" s="41"/>
      <c r="CH226" s="41"/>
      <c r="CI226" s="41"/>
      <c r="CJ226" s="41"/>
      <c r="CK226" s="153"/>
      <c r="CL226" s="41"/>
      <c r="CM226" s="41"/>
      <c r="CN226" s="41"/>
      <c r="CO226" s="41"/>
      <c r="CP226" s="41"/>
      <c r="CQ226" s="41"/>
      <c r="CR226" s="41"/>
      <c r="CS226" s="41"/>
      <c r="CT226" s="159"/>
      <c r="CU226" s="41"/>
      <c r="CV226" s="41"/>
      <c r="CW226" s="41"/>
      <c r="CX226" s="41"/>
      <c r="CY226" s="41"/>
      <c r="CZ226" s="41"/>
      <c r="DA226" s="41"/>
      <c r="DB226" s="41"/>
      <c r="DC226" s="41"/>
      <c r="DD226" s="41"/>
      <c r="DE226" s="41"/>
      <c r="DF226" s="41"/>
      <c r="DG226" s="41"/>
      <c r="DH226" s="41"/>
      <c r="DI226" s="41"/>
      <c r="DJ226" s="41"/>
      <c r="DK226" s="41"/>
      <c r="DL226" s="41"/>
      <c r="DM226" s="41"/>
      <c r="DN226" s="159"/>
      <c r="DO226" s="41"/>
      <c r="DP226" s="41"/>
      <c r="DQ226" s="41"/>
      <c r="DR226" s="41"/>
      <c r="DS226" s="41"/>
      <c r="DT226" s="41"/>
      <c r="DU226" s="41"/>
      <c r="DV226" s="159"/>
      <c r="DW226" s="154"/>
      <c r="EB226" s="365"/>
      <c r="ER226" s="1465"/>
      <c r="ES226" s="1446"/>
      <c r="ET226" s="41"/>
      <c r="EU226" s="41"/>
      <c r="EV226" s="41"/>
      <c r="EW226" s="41"/>
      <c r="EX226" s="41"/>
      <c r="EY226" s="41"/>
      <c r="EZ226" s="41"/>
      <c r="FA226" s="1445"/>
      <c r="FB226" s="1447"/>
      <c r="FC226" s="156"/>
      <c r="FD226" s="41"/>
      <c r="FE226" s="41"/>
      <c r="FF226" s="41"/>
      <c r="FG226" s="41"/>
      <c r="FH226" s="41"/>
      <c r="FI226" s="41"/>
      <c r="FJ226" s="41"/>
      <c r="FK226" s="41"/>
      <c r="FL226" s="41"/>
      <c r="FM226" s="41"/>
      <c r="FN226" s="41"/>
      <c r="FO226" s="41"/>
      <c r="FP226" s="41"/>
      <c r="FQ226" s="41"/>
      <c r="FR226" s="41"/>
      <c r="FS226" s="41"/>
      <c r="FT226" s="41"/>
      <c r="FU226" s="41"/>
      <c r="FV226" s="41"/>
      <c r="FW226" s="41"/>
      <c r="FX226" s="41"/>
      <c r="FY226" s="41"/>
      <c r="FZ226" s="41"/>
      <c r="GA226" s="159"/>
      <c r="GB226" s="1442"/>
      <c r="GC226" s="1445"/>
      <c r="GD226" s="1446"/>
      <c r="GE226" s="1446"/>
      <c r="GF226" s="171"/>
      <c r="GG226" s="171"/>
      <c r="GH226" s="171"/>
      <c r="GI226" s="171"/>
      <c r="GJ226" s="172"/>
    </row>
    <row r="227" spans="7:199" ht="3.6" customHeight="1">
      <c r="BN227" s="156"/>
      <c r="BO227" s="150"/>
      <c r="BP227" s="151"/>
      <c r="BW227" s="153"/>
      <c r="CD227" s="153"/>
      <c r="CK227" s="359"/>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159"/>
      <c r="EB227" s="365"/>
      <c r="ER227" s="1465"/>
      <c r="FB227" s="1464"/>
      <c r="GB227" s="1445"/>
      <c r="GC227" s="156"/>
      <c r="GD227" s="41"/>
      <c r="GJ227" s="154"/>
    </row>
    <row r="228" spans="7:199" ht="3.6" customHeight="1">
      <c r="BO228" s="156"/>
      <c r="BP228" s="41"/>
      <c r="BQ228" s="41"/>
      <c r="BR228" s="41"/>
      <c r="BS228" s="41"/>
      <c r="BT228" s="41"/>
      <c r="BU228" s="41"/>
      <c r="BV228" s="41"/>
      <c r="BW228" s="153"/>
      <c r="CD228" s="156"/>
      <c r="CE228" s="41"/>
      <c r="CF228" s="41"/>
      <c r="CG228" s="41"/>
      <c r="CH228" s="41"/>
      <c r="CI228" s="41"/>
      <c r="CJ228" s="41"/>
      <c r="CK228" s="153"/>
      <c r="CZ228" s="2556" t="s">
        <v>3477</v>
      </c>
      <c r="DA228" s="2556"/>
      <c r="DB228" s="2556"/>
      <c r="DC228" s="2556"/>
      <c r="DD228" s="2556"/>
      <c r="DE228" s="2556"/>
      <c r="DF228" s="2556"/>
      <c r="DG228" s="2556"/>
      <c r="DH228" s="2556"/>
      <c r="EB228" s="365"/>
      <c r="ER228" s="151"/>
      <c r="FB228" s="1465"/>
      <c r="GE228" s="1448"/>
      <c r="GF228" s="1450"/>
      <c r="GG228" s="1448"/>
      <c r="GH228" s="1450"/>
      <c r="GI228" s="1448"/>
      <c r="GJ228" s="1450"/>
      <c r="GK228" s="162"/>
      <c r="GL228" s="162"/>
      <c r="GO228" s="2548" t="s">
        <v>3463</v>
      </c>
      <c r="GP228" s="2548"/>
      <c r="GQ228" s="2548"/>
    </row>
    <row r="229" spans="7:199" ht="3.6" customHeight="1">
      <c r="BO229" s="150"/>
      <c r="BP229" s="151"/>
      <c r="BQ229" s="151"/>
      <c r="BR229" s="151"/>
      <c r="BS229" s="151"/>
      <c r="BT229" s="151"/>
      <c r="BU229" s="151"/>
      <c r="BV229" s="151"/>
      <c r="BW229" s="153"/>
      <c r="CD229" s="153"/>
      <c r="CK229" s="153"/>
      <c r="CZ229" s="2540"/>
      <c r="DA229" s="2540"/>
      <c r="DB229" s="2540"/>
      <c r="DC229" s="2540"/>
      <c r="DD229" s="2540"/>
      <c r="DE229" s="2540"/>
      <c r="DF229" s="2540"/>
      <c r="DG229" s="2540"/>
      <c r="DH229" s="2540"/>
      <c r="EB229" s="365"/>
      <c r="FB229" s="1465"/>
      <c r="GE229" s="1442"/>
      <c r="GF229" s="1444"/>
      <c r="GG229" s="1442"/>
      <c r="GH229" s="1444"/>
      <c r="GI229" s="1442"/>
      <c r="GJ229" s="1444"/>
      <c r="GK229" s="154"/>
      <c r="GL229" s="154"/>
      <c r="GO229" s="2531"/>
      <c r="GP229" s="2531"/>
      <c r="GQ229" s="2531"/>
    </row>
    <row r="230" spans="7:199" ht="3.6" customHeight="1">
      <c r="BO230" s="156"/>
      <c r="BP230" s="41"/>
      <c r="BQ230" s="41"/>
      <c r="BR230" s="41"/>
      <c r="BS230" s="41"/>
      <c r="BT230" s="41"/>
      <c r="BU230" s="41"/>
      <c r="BV230" s="41"/>
      <c r="BW230" s="153"/>
      <c r="CD230" s="156"/>
      <c r="CE230" s="41"/>
      <c r="CF230" s="41"/>
      <c r="CG230" s="41"/>
      <c r="CH230" s="41"/>
      <c r="CI230" s="41"/>
      <c r="CJ230" s="41"/>
      <c r="CK230" s="153"/>
      <c r="CZ230" s="2540"/>
      <c r="DA230" s="2540"/>
      <c r="DB230" s="2540"/>
      <c r="DC230" s="2540"/>
      <c r="DD230" s="2540"/>
      <c r="DE230" s="2540"/>
      <c r="DF230" s="2540"/>
      <c r="DG230" s="2540"/>
      <c r="DH230" s="2540"/>
      <c r="EB230" s="365"/>
      <c r="FB230" s="1465"/>
      <c r="GE230" s="1445"/>
      <c r="GF230" s="1447"/>
      <c r="GG230" s="1442"/>
      <c r="GH230" s="1444"/>
      <c r="GI230" s="1442"/>
      <c r="GJ230" s="1444"/>
      <c r="GK230" s="154"/>
      <c r="GL230" s="154"/>
      <c r="GO230" s="2531"/>
      <c r="GP230" s="2531"/>
      <c r="GQ230" s="2531"/>
    </row>
    <row r="231" spans="7:199" ht="3.6" customHeight="1">
      <c r="BO231" s="150"/>
      <c r="BP231" s="151"/>
      <c r="BQ231" s="151"/>
      <c r="BR231" s="151"/>
      <c r="BS231" s="151"/>
      <c r="BT231" s="151"/>
      <c r="BU231" s="151"/>
      <c r="BV231" s="151"/>
      <c r="BW231" s="153"/>
      <c r="CD231" s="153"/>
      <c r="CK231" s="153"/>
      <c r="CZ231" s="2540"/>
      <c r="DA231" s="2540"/>
      <c r="DB231" s="2540"/>
      <c r="DC231" s="2540"/>
      <c r="DD231" s="2540"/>
      <c r="DE231" s="2540"/>
      <c r="DF231" s="2540"/>
      <c r="DG231" s="2540"/>
      <c r="DH231" s="2540"/>
      <c r="EB231" s="365"/>
      <c r="FB231" s="1465"/>
      <c r="GG231" s="1442"/>
      <c r="GH231" s="1444"/>
      <c r="GI231" s="1442"/>
      <c r="GJ231" s="1444"/>
      <c r="GK231" s="154"/>
      <c r="GL231" s="154"/>
      <c r="GO231" s="2531"/>
      <c r="GP231" s="2531"/>
      <c r="GQ231" s="2531"/>
    </row>
    <row r="232" spans="7:199" ht="3.6" customHeight="1">
      <c r="BO232" s="380"/>
      <c r="BP232" s="177"/>
      <c r="BQ232" s="177"/>
      <c r="BR232" s="177"/>
      <c r="BS232" s="177"/>
      <c r="BT232" s="177"/>
      <c r="BU232" s="177"/>
      <c r="BV232" s="177"/>
      <c r="BW232" s="380"/>
      <c r="BX232" s="177"/>
      <c r="BY232" s="177"/>
      <c r="BZ232" s="177"/>
      <c r="CA232" s="177"/>
      <c r="CB232" s="177"/>
      <c r="CC232" s="177"/>
      <c r="CD232" s="380"/>
      <c r="CE232" s="177"/>
      <c r="CF232" s="177"/>
      <c r="CG232" s="177"/>
      <c r="CH232" s="177"/>
      <c r="CI232" s="177"/>
      <c r="CJ232" s="177"/>
      <c r="CK232" s="153"/>
      <c r="CL232" s="177"/>
      <c r="CM232" s="177"/>
      <c r="CN232" s="177"/>
      <c r="CO232" s="177"/>
      <c r="CP232" s="177"/>
      <c r="CQ232" s="177"/>
      <c r="CR232" s="177"/>
      <c r="CS232" s="177"/>
      <c r="CT232" s="177"/>
      <c r="CU232" s="177"/>
      <c r="CV232" s="177"/>
      <c r="CW232" s="177"/>
      <c r="CX232" s="177"/>
      <c r="CY232" s="177"/>
      <c r="CZ232" s="177"/>
      <c r="DA232" s="177"/>
      <c r="DB232" s="177"/>
      <c r="DC232" s="177"/>
      <c r="DD232" s="177"/>
      <c r="DE232" s="177"/>
      <c r="DF232" s="177"/>
      <c r="DG232" s="177"/>
      <c r="DH232" s="177"/>
      <c r="DI232" s="177"/>
      <c r="DJ232" s="177"/>
      <c r="DK232" s="177"/>
      <c r="DL232" s="177"/>
      <c r="DM232" s="177"/>
      <c r="DN232" s="177"/>
      <c r="DO232" s="177"/>
      <c r="DP232" s="177"/>
      <c r="DQ232" s="177"/>
      <c r="DR232" s="177"/>
      <c r="DS232" s="177"/>
      <c r="DT232" s="177"/>
      <c r="DU232" s="177"/>
      <c r="DV232" s="177"/>
      <c r="DW232" s="177"/>
      <c r="DX232" s="177"/>
      <c r="DY232" s="177"/>
      <c r="DZ232" s="177"/>
      <c r="EA232" s="177"/>
      <c r="EB232" s="379"/>
      <c r="FB232" s="1465"/>
      <c r="GG232" s="1442"/>
      <c r="GH232" s="1444"/>
      <c r="GI232" s="1442"/>
      <c r="GJ232" s="1443"/>
      <c r="GK232" s="155"/>
      <c r="GL232" s="154"/>
      <c r="GO232" s="2531"/>
      <c r="GP232" s="2531"/>
      <c r="GQ232" s="2531"/>
    </row>
    <row r="233" spans="7:199" ht="3.6" customHeight="1">
      <c r="GG233" s="1445"/>
      <c r="GH233" s="1447"/>
      <c r="GI233" s="1442"/>
      <c r="GJ233" s="1443"/>
      <c r="GK233" s="155"/>
      <c r="GL233" s="154"/>
      <c r="GO233" s="2531"/>
      <c r="GP233" s="2531"/>
      <c r="GQ233" s="2531"/>
    </row>
    <row r="234" spans="7:199" ht="3.6" customHeight="1">
      <c r="GI234" s="1442"/>
      <c r="GJ234" s="1443"/>
      <c r="GK234" s="155"/>
      <c r="GL234" s="154"/>
      <c r="GO234" s="2531"/>
      <c r="GP234" s="2531"/>
      <c r="GQ234" s="2531"/>
    </row>
    <row r="235" spans="7:199" ht="3.6" customHeight="1">
      <c r="GI235" s="1442"/>
      <c r="GJ235" s="1443"/>
      <c r="GK235" s="155"/>
      <c r="GL235" s="154"/>
      <c r="GO235" s="2531"/>
      <c r="GP235" s="2531"/>
      <c r="GQ235" s="2531"/>
    </row>
    <row r="236" spans="7:199" ht="3.6" customHeight="1">
      <c r="GI236" s="1445"/>
      <c r="GJ236" s="1446"/>
      <c r="GK236" s="155"/>
      <c r="GL236" s="154"/>
      <c r="GO236" s="2531"/>
      <c r="GP236" s="2531"/>
      <c r="GQ236" s="2531"/>
    </row>
    <row r="237" spans="7:199" ht="3.6" customHeight="1">
      <c r="GK237" s="155"/>
      <c r="GL237" s="154"/>
      <c r="GO237" s="2531"/>
      <c r="GP237" s="2531"/>
      <c r="GQ237" s="2531"/>
    </row>
    <row r="238" spans="7:199" ht="3.6" customHeight="1">
      <c r="GK238" s="198"/>
      <c r="GL238" s="159"/>
      <c r="GO238" s="2551"/>
      <c r="GP238" s="2551"/>
      <c r="GQ238" s="2551"/>
    </row>
    <row r="239" spans="7:199" ht="3.6" customHeight="1">
      <c r="CR239" s="141"/>
    </row>
    <row r="241" spans="18:125" ht="3.6" customHeight="1">
      <c r="R241" s="153"/>
      <c r="AG241" s="2538" t="s">
        <v>3496</v>
      </c>
      <c r="AH241" s="2538"/>
      <c r="AI241" s="2538"/>
      <c r="AJ241" s="2538"/>
      <c r="AK241" s="2538"/>
      <c r="AL241" s="2538"/>
      <c r="AM241" s="2538"/>
      <c r="AN241" s="2538"/>
      <c r="AO241" s="2538"/>
      <c r="AP241" s="2538"/>
      <c r="AQ241" s="2538"/>
      <c r="AR241" s="2538"/>
      <c r="AS241" s="2538"/>
      <c r="AT241" s="2538"/>
      <c r="AU241" s="2538"/>
      <c r="AV241" s="2538"/>
      <c r="AW241" s="2538"/>
      <c r="AX241" s="2538"/>
      <c r="BO241" s="154"/>
      <c r="CJ241" s="2538" t="s">
        <v>3465</v>
      </c>
      <c r="CK241" s="2538"/>
      <c r="CL241" s="2538"/>
      <c r="CM241" s="2538"/>
      <c r="CN241" s="2538"/>
      <c r="CO241" s="2538"/>
      <c r="CP241" s="2538"/>
      <c r="CQ241" s="2538"/>
      <c r="CR241" s="2538"/>
      <c r="CS241" s="2538"/>
      <c r="CT241" s="2538"/>
      <c r="CU241" s="2538"/>
      <c r="CV241" s="2538"/>
      <c r="CW241" s="2538"/>
      <c r="CX241" s="2538"/>
      <c r="CY241" s="2538"/>
      <c r="CZ241" s="2538"/>
      <c r="DA241" s="2538"/>
      <c r="DU241" s="154"/>
    </row>
    <row r="242" spans="18:125" ht="3.6" customHeight="1">
      <c r="R242" s="153"/>
      <c r="AG242" s="2538"/>
      <c r="AH242" s="2538"/>
      <c r="AI242" s="2538"/>
      <c r="AJ242" s="2538"/>
      <c r="AK242" s="2538"/>
      <c r="AL242" s="2538"/>
      <c r="AM242" s="2538"/>
      <c r="AN242" s="2538"/>
      <c r="AO242" s="2538"/>
      <c r="AP242" s="2538"/>
      <c r="AQ242" s="2538"/>
      <c r="AR242" s="2538"/>
      <c r="AS242" s="2538"/>
      <c r="AT242" s="2538"/>
      <c r="AU242" s="2538"/>
      <c r="AV242" s="2538"/>
      <c r="AW242" s="2538"/>
      <c r="AX242" s="2538"/>
      <c r="BO242" s="154"/>
      <c r="CJ242" s="2538"/>
      <c r="CK242" s="2538"/>
      <c r="CL242" s="2538"/>
      <c r="CM242" s="2538"/>
      <c r="CN242" s="2538"/>
      <c r="CO242" s="2538"/>
      <c r="CP242" s="2538"/>
      <c r="CQ242" s="2538"/>
      <c r="CR242" s="2538"/>
      <c r="CS242" s="2538"/>
      <c r="CT242" s="2538"/>
      <c r="CU242" s="2538"/>
      <c r="CV242" s="2538"/>
      <c r="CW242" s="2538"/>
      <c r="CX242" s="2538"/>
      <c r="CY242" s="2538"/>
      <c r="CZ242" s="2538"/>
      <c r="DA242" s="2538"/>
      <c r="DU242" s="154"/>
    </row>
    <row r="243" spans="18:125" ht="3.6" customHeight="1">
      <c r="R243" s="153"/>
      <c r="AG243" s="2538"/>
      <c r="AH243" s="2538"/>
      <c r="AI243" s="2538"/>
      <c r="AJ243" s="2538"/>
      <c r="AK243" s="2538"/>
      <c r="AL243" s="2538"/>
      <c r="AM243" s="2538"/>
      <c r="AN243" s="2538"/>
      <c r="AO243" s="2538"/>
      <c r="AP243" s="2538"/>
      <c r="AQ243" s="2538"/>
      <c r="AR243" s="2538"/>
      <c r="AS243" s="2538"/>
      <c r="AT243" s="2538"/>
      <c r="AU243" s="2538"/>
      <c r="AV243" s="2538"/>
      <c r="AW243" s="2538"/>
      <c r="AX243" s="2538"/>
      <c r="BO243" s="154"/>
      <c r="CJ243" s="2538"/>
      <c r="CK243" s="2538"/>
      <c r="CL243" s="2538"/>
      <c r="CM243" s="2538"/>
      <c r="CN243" s="2538"/>
      <c r="CO243" s="2538"/>
      <c r="CP243" s="2538"/>
      <c r="CQ243" s="2538"/>
      <c r="CR243" s="2538"/>
      <c r="CS243" s="2538"/>
      <c r="CT243" s="2538"/>
      <c r="CU243" s="2538"/>
      <c r="CV243" s="2538"/>
      <c r="CW243" s="2538"/>
      <c r="CX243" s="2538"/>
      <c r="CY243" s="2538"/>
      <c r="CZ243" s="2538"/>
      <c r="DA243" s="2538"/>
      <c r="DU243" s="154"/>
    </row>
    <row r="244" spans="18:125" ht="3.6" customHeight="1">
      <c r="R244" s="153"/>
      <c r="AG244" s="2538"/>
      <c r="AH244" s="2538"/>
      <c r="AI244" s="2538"/>
      <c r="AJ244" s="2538"/>
      <c r="AK244" s="2538"/>
      <c r="AL244" s="2538"/>
      <c r="AM244" s="2538"/>
      <c r="AN244" s="2538"/>
      <c r="AO244" s="2538"/>
      <c r="AP244" s="2538"/>
      <c r="AQ244" s="2538"/>
      <c r="AR244" s="2538"/>
      <c r="AS244" s="2538"/>
      <c r="AT244" s="2538"/>
      <c r="AU244" s="2538"/>
      <c r="AV244" s="2538"/>
      <c r="AW244" s="2538"/>
      <c r="AX244" s="2538"/>
      <c r="BO244" s="154"/>
      <c r="CJ244" s="2538"/>
      <c r="CK244" s="2538"/>
      <c r="CL244" s="2538"/>
      <c r="CM244" s="2538"/>
      <c r="CN244" s="2538"/>
      <c r="CO244" s="2538"/>
      <c r="CP244" s="2538"/>
      <c r="CQ244" s="2538"/>
      <c r="CR244" s="2538"/>
      <c r="CS244" s="2538"/>
      <c r="CT244" s="2538"/>
      <c r="CU244" s="2538"/>
      <c r="CV244" s="2538"/>
      <c r="CW244" s="2538"/>
      <c r="CX244" s="2538"/>
      <c r="CY244" s="2538"/>
      <c r="CZ244" s="2538"/>
      <c r="DA244" s="2538"/>
      <c r="DU244" s="154"/>
    </row>
    <row r="287" spans="22:210" ht="3.6" customHeight="1">
      <c r="V287" s="2540" t="s">
        <v>188</v>
      </c>
      <c r="W287" s="2540"/>
      <c r="X287" s="2540"/>
      <c r="Y287" s="2540"/>
      <c r="Z287" s="2540"/>
      <c r="AA287" s="2540"/>
      <c r="AB287" s="2540"/>
      <c r="AC287" s="2540"/>
      <c r="AD287" s="2540"/>
      <c r="AE287" s="2540"/>
      <c r="AF287" s="2540"/>
      <c r="AG287" s="2540"/>
      <c r="AH287" s="2540"/>
      <c r="AI287" s="2540"/>
      <c r="AJ287" s="2540"/>
      <c r="AK287" s="2540"/>
      <c r="AL287" s="2540"/>
      <c r="AM287" s="2540"/>
      <c r="AN287" s="2540"/>
      <c r="AO287" s="2540"/>
      <c r="AP287" s="2540"/>
      <c r="AQ287" s="2540"/>
      <c r="AR287" s="2540"/>
      <c r="AS287" s="2540"/>
      <c r="AT287" s="2540"/>
      <c r="AU287" s="2540"/>
      <c r="AV287" s="2540"/>
      <c r="AW287" s="2540"/>
      <c r="AX287" s="2540"/>
      <c r="AY287" s="2540"/>
      <c r="AZ287" s="2540"/>
      <c r="BA287" s="2540"/>
      <c r="BB287" s="2540"/>
      <c r="BC287" s="2540"/>
      <c r="BD287" s="2540"/>
      <c r="BE287" s="2540"/>
      <c r="BF287" s="2540"/>
      <c r="BG287" s="2540"/>
      <c r="BH287" s="2540"/>
      <c r="BI287" s="2540"/>
      <c r="BJ287" s="25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c r="CN287" s="140"/>
      <c r="CO287" s="140"/>
      <c r="CP287" s="140"/>
      <c r="CQ287" s="140"/>
      <c r="CR287" s="140"/>
      <c r="CS287" s="140"/>
      <c r="CT287" s="140"/>
      <c r="CU287" s="140"/>
      <c r="CV287" s="140"/>
      <c r="CW287" s="140"/>
      <c r="CX287" s="140"/>
      <c r="CY287" s="140"/>
      <c r="CZ287" s="2540" t="s">
        <v>3154</v>
      </c>
      <c r="DA287" s="2540"/>
      <c r="DB287" s="2540"/>
      <c r="DC287" s="2540"/>
      <c r="DD287" s="2540"/>
      <c r="DE287" s="2540"/>
      <c r="DF287" s="2540"/>
      <c r="DG287" s="2540"/>
      <c r="DH287" s="2540"/>
      <c r="DI287" s="2540"/>
      <c r="DJ287" s="2540"/>
      <c r="DK287" s="2540"/>
      <c r="DL287" s="2540"/>
      <c r="DM287" s="2540"/>
      <c r="DN287" s="2540"/>
      <c r="DO287" s="2540"/>
      <c r="DP287" s="2540"/>
      <c r="DQ287" s="2540"/>
      <c r="DR287" s="2540"/>
      <c r="DS287" s="2540"/>
      <c r="DT287" s="2540"/>
      <c r="DU287" s="2540"/>
      <c r="DV287" s="2540"/>
      <c r="DW287" s="2540"/>
      <c r="DX287" s="2540"/>
      <c r="DY287" s="2540"/>
      <c r="DZ287" s="2540"/>
      <c r="EA287" s="2540"/>
      <c r="EB287" s="2540"/>
      <c r="EC287" s="2540"/>
      <c r="ED287" s="2540"/>
      <c r="EK287" s="140"/>
      <c r="EL287" s="140"/>
      <c r="EM287" s="140"/>
      <c r="EN287" s="140"/>
      <c r="EO287" s="140"/>
      <c r="EP287" s="140"/>
      <c r="EQ287" s="140"/>
      <c r="ER287" s="140"/>
      <c r="ES287" s="140"/>
      <c r="ET287" s="140"/>
      <c r="EU287" s="140"/>
      <c r="EV287" s="140"/>
      <c r="EW287" s="140"/>
      <c r="EX287" s="140"/>
      <c r="EY287" s="140"/>
      <c r="EZ287" s="140"/>
      <c r="FA287" s="140"/>
      <c r="FB287" s="140"/>
      <c r="FC287" s="140"/>
      <c r="FD287" s="140"/>
      <c r="FE287" s="140"/>
      <c r="FF287" s="140"/>
      <c r="FG287" s="140"/>
      <c r="FH287" s="140"/>
      <c r="FI287" s="140"/>
      <c r="FJ287" s="140"/>
      <c r="FK287" s="2540" t="s">
        <v>190</v>
      </c>
      <c r="FL287" s="2540"/>
      <c r="FM287" s="2540"/>
      <c r="FN287" s="2540"/>
      <c r="FO287" s="2540"/>
      <c r="FP287" s="2540"/>
      <c r="FQ287" s="2540"/>
      <c r="FR287" s="2540"/>
      <c r="FS287" s="2540"/>
      <c r="FT287" s="2540"/>
      <c r="FU287" s="2540"/>
      <c r="FV287" s="2540"/>
      <c r="FW287" s="2540"/>
      <c r="FX287" s="2540"/>
      <c r="FY287" s="2540"/>
      <c r="FZ287" s="2540"/>
      <c r="GA287" s="2540"/>
      <c r="GB287" s="2540"/>
      <c r="GC287" s="2540"/>
      <c r="GD287" s="2540"/>
      <c r="GE287" s="2540"/>
      <c r="GF287" s="2540"/>
      <c r="GG287" s="2540"/>
      <c r="GH287" s="2540"/>
      <c r="GI287" s="2540"/>
      <c r="GJ287" s="2540"/>
      <c r="GK287" s="2540"/>
      <c r="GL287" s="2540"/>
      <c r="GM287" s="2540"/>
      <c r="GN287" s="2540"/>
      <c r="GO287" s="2540"/>
      <c r="GP287" s="2540"/>
      <c r="GQ287" s="2540"/>
      <c r="GR287" s="2540"/>
      <c r="GS287" s="2540"/>
      <c r="GT287" s="2540"/>
      <c r="GU287" s="2540"/>
      <c r="GV287" s="2540"/>
      <c r="GW287" s="2540"/>
      <c r="GX287" s="2540"/>
      <c r="GY287" s="2540"/>
      <c r="GZ287" s="2540"/>
      <c r="HA287" s="2540"/>
      <c r="HB287" s="2540"/>
    </row>
    <row r="288" spans="22:210" ht="3.6" customHeight="1">
      <c r="V288" s="2540"/>
      <c r="W288" s="2540"/>
      <c r="X288" s="2540"/>
      <c r="Y288" s="2540"/>
      <c r="Z288" s="2540"/>
      <c r="AA288" s="2540"/>
      <c r="AB288" s="2540"/>
      <c r="AC288" s="2540"/>
      <c r="AD288" s="2540"/>
      <c r="AE288" s="2540"/>
      <c r="AF288" s="2540"/>
      <c r="AG288" s="2540"/>
      <c r="AH288" s="2540"/>
      <c r="AI288" s="2540"/>
      <c r="AJ288" s="2540"/>
      <c r="AK288" s="2540"/>
      <c r="AL288" s="2540"/>
      <c r="AM288" s="2540"/>
      <c r="AN288" s="2540"/>
      <c r="AO288" s="2540"/>
      <c r="AP288" s="2540"/>
      <c r="AQ288" s="2540"/>
      <c r="AR288" s="2540"/>
      <c r="AS288" s="2540"/>
      <c r="AT288" s="2540"/>
      <c r="AU288" s="2540"/>
      <c r="AV288" s="2540"/>
      <c r="AW288" s="2540"/>
      <c r="AX288" s="2540"/>
      <c r="AY288" s="2540"/>
      <c r="AZ288" s="2540"/>
      <c r="BA288" s="2540"/>
      <c r="BB288" s="2540"/>
      <c r="BC288" s="2540"/>
      <c r="BD288" s="2540"/>
      <c r="BE288" s="2540"/>
      <c r="BF288" s="2540"/>
      <c r="BG288" s="2540"/>
      <c r="BH288" s="2540"/>
      <c r="BI288" s="2540"/>
      <c r="BJ288" s="25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c r="CN288" s="140"/>
      <c r="CO288" s="140"/>
      <c r="CP288" s="140"/>
      <c r="CQ288" s="140"/>
      <c r="CR288" s="140"/>
      <c r="CS288" s="140"/>
      <c r="CT288" s="140"/>
      <c r="CU288" s="140"/>
      <c r="CV288" s="140"/>
      <c r="CW288" s="140"/>
      <c r="CX288" s="140"/>
      <c r="CY288" s="140"/>
      <c r="CZ288" s="2540"/>
      <c r="DA288" s="2540"/>
      <c r="DB288" s="2540"/>
      <c r="DC288" s="2540"/>
      <c r="DD288" s="2540"/>
      <c r="DE288" s="2540"/>
      <c r="DF288" s="2540"/>
      <c r="DG288" s="2540"/>
      <c r="DH288" s="2540"/>
      <c r="DI288" s="2540"/>
      <c r="DJ288" s="2540"/>
      <c r="DK288" s="2540"/>
      <c r="DL288" s="2540"/>
      <c r="DM288" s="2540"/>
      <c r="DN288" s="2540"/>
      <c r="DO288" s="2540"/>
      <c r="DP288" s="2540"/>
      <c r="DQ288" s="2540"/>
      <c r="DR288" s="2540"/>
      <c r="DS288" s="2540"/>
      <c r="DT288" s="2540"/>
      <c r="DU288" s="2540"/>
      <c r="DV288" s="2540"/>
      <c r="DW288" s="2540"/>
      <c r="DX288" s="2540"/>
      <c r="DY288" s="2540"/>
      <c r="DZ288" s="2540"/>
      <c r="EA288" s="2540"/>
      <c r="EB288" s="2540"/>
      <c r="EC288" s="2540"/>
      <c r="ED288" s="2540"/>
      <c r="EK288" s="140"/>
      <c r="EL288" s="140"/>
      <c r="EM288" s="140"/>
      <c r="EN288" s="140"/>
      <c r="EO288" s="140"/>
      <c r="EP288" s="140"/>
      <c r="EQ288" s="140"/>
      <c r="ER288" s="140"/>
      <c r="ES288" s="140"/>
      <c r="ET288" s="140"/>
      <c r="EU288" s="140"/>
      <c r="EV288" s="140"/>
      <c r="EW288" s="140"/>
      <c r="EX288" s="140"/>
      <c r="EY288" s="140"/>
      <c r="EZ288" s="140"/>
      <c r="FA288" s="140"/>
      <c r="FB288" s="140"/>
      <c r="FC288" s="140"/>
      <c r="FD288" s="140"/>
      <c r="FE288" s="140"/>
      <c r="FF288" s="140"/>
      <c r="FG288" s="140"/>
      <c r="FH288" s="140"/>
      <c r="FI288" s="140"/>
      <c r="FJ288" s="140"/>
      <c r="FK288" s="2540"/>
      <c r="FL288" s="2540"/>
      <c r="FM288" s="2540"/>
      <c r="FN288" s="2540"/>
      <c r="FO288" s="2540"/>
      <c r="FP288" s="2540"/>
      <c r="FQ288" s="2540"/>
      <c r="FR288" s="2540"/>
      <c r="FS288" s="2540"/>
      <c r="FT288" s="2540"/>
      <c r="FU288" s="2540"/>
      <c r="FV288" s="2540"/>
      <c r="FW288" s="2540"/>
      <c r="FX288" s="2540"/>
      <c r="FY288" s="2540"/>
      <c r="FZ288" s="2540"/>
      <c r="GA288" s="2540"/>
      <c r="GB288" s="2540"/>
      <c r="GC288" s="2540"/>
      <c r="GD288" s="2540"/>
      <c r="GE288" s="2540"/>
      <c r="GF288" s="2540"/>
      <c r="GG288" s="2540"/>
      <c r="GH288" s="2540"/>
      <c r="GI288" s="2540"/>
      <c r="GJ288" s="2540"/>
      <c r="GK288" s="2540"/>
      <c r="GL288" s="2540"/>
      <c r="GM288" s="2540"/>
      <c r="GN288" s="2540"/>
      <c r="GO288" s="2540"/>
      <c r="GP288" s="2540"/>
      <c r="GQ288" s="2540"/>
      <c r="GR288" s="2540"/>
      <c r="GS288" s="2540"/>
      <c r="GT288" s="2540"/>
      <c r="GU288" s="2540"/>
      <c r="GV288" s="2540"/>
      <c r="GW288" s="2540"/>
      <c r="GX288" s="2540"/>
      <c r="GY288" s="2540"/>
      <c r="GZ288" s="2540"/>
      <c r="HA288" s="2540"/>
      <c r="HB288" s="2540"/>
    </row>
    <row r="289" spans="22:210" ht="3.6" customHeight="1">
      <c r="V289" s="2540"/>
      <c r="W289" s="2540"/>
      <c r="X289" s="2540"/>
      <c r="Y289" s="2540"/>
      <c r="Z289" s="2540"/>
      <c r="AA289" s="2540"/>
      <c r="AB289" s="2540"/>
      <c r="AC289" s="2540"/>
      <c r="AD289" s="2540"/>
      <c r="AE289" s="2540"/>
      <c r="AF289" s="2540"/>
      <c r="AG289" s="2540"/>
      <c r="AH289" s="2540"/>
      <c r="AI289" s="2540"/>
      <c r="AJ289" s="2540"/>
      <c r="AK289" s="2540"/>
      <c r="AL289" s="2540"/>
      <c r="AM289" s="2540"/>
      <c r="AN289" s="2540"/>
      <c r="AO289" s="2540"/>
      <c r="AP289" s="2540"/>
      <c r="AQ289" s="2540"/>
      <c r="AR289" s="2540"/>
      <c r="AS289" s="2540"/>
      <c r="AT289" s="2540"/>
      <c r="AU289" s="2540"/>
      <c r="AV289" s="2540"/>
      <c r="AW289" s="2540"/>
      <c r="AX289" s="2540"/>
      <c r="AY289" s="2540"/>
      <c r="AZ289" s="2540"/>
      <c r="BA289" s="2540"/>
      <c r="BB289" s="2540"/>
      <c r="BC289" s="2540"/>
      <c r="BD289" s="2540"/>
      <c r="BE289" s="2540"/>
      <c r="BF289" s="2540"/>
      <c r="BG289" s="2540"/>
      <c r="BH289" s="2540"/>
      <c r="BI289" s="2540"/>
      <c r="BJ289" s="25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c r="CN289" s="140"/>
      <c r="CO289" s="140"/>
      <c r="CP289" s="140"/>
      <c r="CQ289" s="140"/>
      <c r="CR289" s="140"/>
      <c r="CS289" s="140"/>
      <c r="CT289" s="140"/>
      <c r="CU289" s="140"/>
      <c r="CV289" s="140"/>
      <c r="CW289" s="140"/>
      <c r="CX289" s="140"/>
      <c r="CY289" s="140"/>
      <c r="CZ289" s="2540"/>
      <c r="DA289" s="2540"/>
      <c r="DB289" s="2540"/>
      <c r="DC289" s="2540"/>
      <c r="DD289" s="2540"/>
      <c r="DE289" s="2540"/>
      <c r="DF289" s="2540"/>
      <c r="DG289" s="2540"/>
      <c r="DH289" s="2540"/>
      <c r="DI289" s="2540"/>
      <c r="DJ289" s="2540"/>
      <c r="DK289" s="2540"/>
      <c r="DL289" s="2540"/>
      <c r="DM289" s="2540"/>
      <c r="DN289" s="2540"/>
      <c r="DO289" s="2540"/>
      <c r="DP289" s="2540"/>
      <c r="DQ289" s="2540"/>
      <c r="DR289" s="2540"/>
      <c r="DS289" s="2540"/>
      <c r="DT289" s="2540"/>
      <c r="DU289" s="2540"/>
      <c r="DV289" s="2540"/>
      <c r="DW289" s="2540"/>
      <c r="DX289" s="2540"/>
      <c r="DY289" s="2540"/>
      <c r="DZ289" s="2540"/>
      <c r="EA289" s="2540"/>
      <c r="EB289" s="2540"/>
      <c r="EC289" s="2540"/>
      <c r="ED289" s="2540"/>
      <c r="EK289" s="140"/>
      <c r="EL289" s="140"/>
      <c r="EM289" s="140"/>
      <c r="EN289" s="140"/>
      <c r="EO289" s="140"/>
      <c r="EP289" s="140"/>
      <c r="EQ289" s="140"/>
      <c r="ER289" s="140"/>
      <c r="ES289" s="140"/>
      <c r="ET289" s="140"/>
      <c r="EU289" s="140"/>
      <c r="EV289" s="140"/>
      <c r="EW289" s="140"/>
      <c r="EX289" s="140"/>
      <c r="EY289" s="140"/>
      <c r="EZ289" s="140"/>
      <c r="FA289" s="140"/>
      <c r="FB289" s="140"/>
      <c r="FC289" s="140"/>
      <c r="FD289" s="140"/>
      <c r="FE289" s="140"/>
      <c r="FF289" s="140"/>
      <c r="FG289" s="140"/>
      <c r="FH289" s="140"/>
      <c r="FI289" s="140"/>
      <c r="FJ289" s="140"/>
      <c r="FK289" s="2540"/>
      <c r="FL289" s="2540"/>
      <c r="FM289" s="2540"/>
      <c r="FN289" s="2540"/>
      <c r="FO289" s="2540"/>
      <c r="FP289" s="2540"/>
      <c r="FQ289" s="2540"/>
      <c r="FR289" s="2540"/>
      <c r="FS289" s="2540"/>
      <c r="FT289" s="2540"/>
      <c r="FU289" s="2540"/>
      <c r="FV289" s="2540"/>
      <c r="FW289" s="2540"/>
      <c r="FX289" s="2540"/>
      <c r="FY289" s="2540"/>
      <c r="FZ289" s="2540"/>
      <c r="GA289" s="2540"/>
      <c r="GB289" s="2540"/>
      <c r="GC289" s="2540"/>
      <c r="GD289" s="2540"/>
      <c r="GE289" s="2540"/>
      <c r="GF289" s="2540"/>
      <c r="GG289" s="2540"/>
      <c r="GH289" s="2540"/>
      <c r="GI289" s="2540"/>
      <c r="GJ289" s="2540"/>
      <c r="GK289" s="2540"/>
      <c r="GL289" s="2540"/>
      <c r="GM289" s="2540"/>
      <c r="GN289" s="2540"/>
      <c r="GO289" s="2540"/>
      <c r="GP289" s="2540"/>
      <c r="GQ289" s="2540"/>
      <c r="GR289" s="2540"/>
      <c r="GS289" s="2540"/>
      <c r="GT289" s="2540"/>
      <c r="GU289" s="2540"/>
      <c r="GV289" s="2540"/>
      <c r="GW289" s="2540"/>
      <c r="GX289" s="2540"/>
      <c r="GY289" s="2540"/>
      <c r="GZ289" s="2540"/>
      <c r="HA289" s="2540"/>
      <c r="HB289" s="2540"/>
    </row>
    <row r="290" spans="22:210" ht="3.6" customHeight="1">
      <c r="V290" s="2540"/>
      <c r="W290" s="2540"/>
      <c r="X290" s="2540"/>
      <c r="Y290" s="2540"/>
      <c r="Z290" s="2540"/>
      <c r="AA290" s="2540"/>
      <c r="AB290" s="2540"/>
      <c r="AC290" s="2540"/>
      <c r="AD290" s="2540"/>
      <c r="AE290" s="2540"/>
      <c r="AF290" s="2540"/>
      <c r="AG290" s="2540"/>
      <c r="AH290" s="2540"/>
      <c r="AI290" s="2540"/>
      <c r="AJ290" s="2540"/>
      <c r="AK290" s="2540"/>
      <c r="AL290" s="2540"/>
      <c r="AM290" s="2540"/>
      <c r="AN290" s="2540"/>
      <c r="AO290" s="2540"/>
      <c r="AP290" s="2540"/>
      <c r="AQ290" s="2540"/>
      <c r="AR290" s="2540"/>
      <c r="AS290" s="2540"/>
      <c r="AT290" s="2540"/>
      <c r="AU290" s="2540"/>
      <c r="AV290" s="2540"/>
      <c r="AW290" s="2540"/>
      <c r="AX290" s="2540"/>
      <c r="AY290" s="2540"/>
      <c r="AZ290" s="2540"/>
      <c r="BA290" s="2540"/>
      <c r="BB290" s="2540"/>
      <c r="BC290" s="2540"/>
      <c r="BD290" s="2540"/>
      <c r="BE290" s="2540"/>
      <c r="BF290" s="2540"/>
      <c r="BG290" s="2540"/>
      <c r="BH290" s="2540"/>
      <c r="BI290" s="2540"/>
      <c r="BJ290" s="25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c r="CN290" s="140"/>
      <c r="CO290" s="140"/>
      <c r="CP290" s="140"/>
      <c r="CQ290" s="140"/>
      <c r="CR290" s="140"/>
      <c r="CS290" s="140"/>
      <c r="CT290" s="140"/>
      <c r="CU290" s="140"/>
      <c r="CV290" s="140"/>
      <c r="CW290" s="140"/>
      <c r="CX290" s="140"/>
      <c r="CY290" s="140"/>
      <c r="CZ290" s="2540"/>
      <c r="DA290" s="2540"/>
      <c r="DB290" s="2540"/>
      <c r="DC290" s="2540"/>
      <c r="DD290" s="2540"/>
      <c r="DE290" s="2540"/>
      <c r="DF290" s="2540"/>
      <c r="DG290" s="2540"/>
      <c r="DH290" s="2540"/>
      <c r="DI290" s="2540"/>
      <c r="DJ290" s="2540"/>
      <c r="DK290" s="2540"/>
      <c r="DL290" s="2540"/>
      <c r="DM290" s="2540"/>
      <c r="DN290" s="2540"/>
      <c r="DO290" s="2540"/>
      <c r="DP290" s="2540"/>
      <c r="DQ290" s="2540"/>
      <c r="DR290" s="2540"/>
      <c r="DS290" s="2540"/>
      <c r="DT290" s="2540"/>
      <c r="DU290" s="2540"/>
      <c r="DV290" s="2540"/>
      <c r="DW290" s="2540"/>
      <c r="DX290" s="2540"/>
      <c r="DY290" s="2540"/>
      <c r="DZ290" s="2540"/>
      <c r="EA290" s="2540"/>
      <c r="EB290" s="2540"/>
      <c r="EC290" s="2540"/>
      <c r="ED290" s="2540"/>
      <c r="EK290" s="140"/>
      <c r="EL290" s="140"/>
      <c r="EM290" s="140"/>
      <c r="EN290" s="140"/>
      <c r="EO290" s="140"/>
      <c r="EP290" s="140"/>
      <c r="EQ290" s="140"/>
      <c r="ER290" s="140"/>
      <c r="ES290" s="140"/>
      <c r="ET290" s="140"/>
      <c r="EU290" s="140"/>
      <c r="EV290" s="140"/>
      <c r="EW290" s="140"/>
      <c r="EX290" s="140"/>
      <c r="EY290" s="140"/>
      <c r="EZ290" s="140"/>
      <c r="FA290" s="140"/>
      <c r="FB290" s="140"/>
      <c r="FC290" s="140"/>
      <c r="FD290" s="140"/>
      <c r="FE290" s="140"/>
      <c r="FF290" s="140"/>
      <c r="FG290" s="140"/>
      <c r="FH290" s="140"/>
      <c r="FI290" s="140"/>
      <c r="FJ290" s="140"/>
      <c r="FK290" s="2540"/>
      <c r="FL290" s="2540"/>
      <c r="FM290" s="2540"/>
      <c r="FN290" s="2540"/>
      <c r="FO290" s="2540"/>
      <c r="FP290" s="2540"/>
      <c r="FQ290" s="2540"/>
      <c r="FR290" s="2540"/>
      <c r="FS290" s="2540"/>
      <c r="FT290" s="2540"/>
      <c r="FU290" s="2540"/>
      <c r="FV290" s="2540"/>
      <c r="FW290" s="2540"/>
      <c r="FX290" s="2540"/>
      <c r="FY290" s="2540"/>
      <c r="FZ290" s="2540"/>
      <c r="GA290" s="2540"/>
      <c r="GB290" s="2540"/>
      <c r="GC290" s="2540"/>
      <c r="GD290" s="2540"/>
      <c r="GE290" s="2540"/>
      <c r="GF290" s="2540"/>
      <c r="GG290" s="2540"/>
      <c r="GH290" s="2540"/>
      <c r="GI290" s="2540"/>
      <c r="GJ290" s="2540"/>
      <c r="GK290" s="2540"/>
      <c r="GL290" s="2540"/>
      <c r="GM290" s="2540"/>
      <c r="GN290" s="2540"/>
      <c r="GO290" s="2540"/>
      <c r="GP290" s="2540"/>
      <c r="GQ290" s="2540"/>
      <c r="GR290" s="2540"/>
      <c r="GS290" s="2540"/>
      <c r="GT290" s="2540"/>
      <c r="GU290" s="2540"/>
      <c r="GV290" s="2540"/>
      <c r="GW290" s="2540"/>
      <c r="GX290" s="2540"/>
      <c r="GY290" s="2540"/>
      <c r="GZ290" s="2540"/>
      <c r="HA290" s="2540"/>
      <c r="HB290" s="2540"/>
    </row>
    <row r="291" spans="22:210" ht="3.6" customHeight="1">
      <c r="V291" s="2540" t="s">
        <v>3153</v>
      </c>
      <c r="W291" s="2540"/>
      <c r="X291" s="2540"/>
      <c r="Y291" s="2540"/>
      <c r="Z291" s="2540"/>
      <c r="AA291" s="2540"/>
      <c r="AB291" s="2540"/>
      <c r="AC291" s="2540"/>
      <c r="AD291" s="2540"/>
      <c r="AE291" s="2540"/>
      <c r="AF291" s="2540"/>
      <c r="AG291" s="2540"/>
      <c r="AH291" s="2540"/>
      <c r="AI291" s="2540"/>
      <c r="AJ291" s="2540"/>
      <c r="AK291" s="2540"/>
      <c r="AL291" s="2540"/>
      <c r="AM291" s="2540"/>
      <c r="AN291" s="2540"/>
      <c r="AO291" s="2540"/>
      <c r="AP291" s="2540"/>
      <c r="AQ291" s="2540"/>
      <c r="AR291" s="2540"/>
      <c r="AS291" s="2540"/>
      <c r="AT291" s="2540"/>
      <c r="AU291" s="2540"/>
      <c r="AV291" s="2540"/>
      <c r="AW291" s="2540"/>
      <c r="AX291" s="2540"/>
      <c r="AY291" s="2540"/>
      <c r="AZ291" s="2540"/>
      <c r="BA291" s="2540"/>
      <c r="BB291" s="2540"/>
      <c r="BC291" s="2540"/>
      <c r="BD291" s="2540"/>
      <c r="BE291" s="2540"/>
      <c r="BF291" s="2540"/>
      <c r="BG291" s="2540"/>
      <c r="BH291" s="2540"/>
      <c r="BI291" s="2540"/>
      <c r="BJ291" s="25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c r="CN291" s="140"/>
      <c r="CO291" s="140"/>
      <c r="CP291" s="140"/>
      <c r="CQ291" s="140"/>
      <c r="CR291" s="140"/>
      <c r="CS291" s="140"/>
      <c r="CT291" s="140"/>
      <c r="CU291" s="140"/>
      <c r="CV291" s="140"/>
      <c r="CW291" s="140"/>
      <c r="CX291" s="140"/>
      <c r="CY291" s="140"/>
      <c r="CZ291" s="2540" t="s">
        <v>3153</v>
      </c>
      <c r="DA291" s="2540"/>
      <c r="DB291" s="2540"/>
      <c r="DC291" s="2540"/>
      <c r="DD291" s="2540"/>
      <c r="DE291" s="2540"/>
      <c r="DF291" s="2540"/>
      <c r="DG291" s="2540"/>
      <c r="DH291" s="2540"/>
      <c r="DI291" s="2540"/>
      <c r="DJ291" s="2540"/>
      <c r="DK291" s="2540"/>
      <c r="DL291" s="2540"/>
      <c r="DM291" s="2540"/>
      <c r="DN291" s="2540"/>
      <c r="DO291" s="2540"/>
      <c r="DP291" s="2540"/>
      <c r="DQ291" s="2540"/>
      <c r="DR291" s="2540"/>
      <c r="DS291" s="2540"/>
      <c r="DT291" s="2540"/>
      <c r="DU291" s="2540"/>
      <c r="DV291" s="2540"/>
      <c r="DW291" s="2540"/>
      <c r="DX291" s="2540"/>
      <c r="DY291" s="2540"/>
      <c r="DZ291" s="2540"/>
      <c r="EA291" s="2540"/>
      <c r="EB291" s="2540"/>
      <c r="EC291" s="2540"/>
      <c r="ED291" s="2540"/>
      <c r="EK291" s="140"/>
      <c r="EL291" s="140"/>
      <c r="EM291" s="140"/>
      <c r="EN291" s="140"/>
      <c r="EO291" s="140"/>
      <c r="EP291" s="140"/>
      <c r="EQ291" s="140"/>
      <c r="ER291" s="140"/>
      <c r="ES291" s="140"/>
      <c r="ET291" s="140"/>
      <c r="EU291" s="140"/>
      <c r="EV291" s="140"/>
      <c r="EW291" s="140"/>
      <c r="EX291" s="140"/>
      <c r="EY291" s="140"/>
      <c r="EZ291" s="140"/>
      <c r="FA291" s="140"/>
      <c r="FB291" s="140"/>
      <c r="FC291" s="140"/>
      <c r="FD291" s="140"/>
      <c r="FE291" s="140"/>
      <c r="FF291" s="140"/>
      <c r="FG291" s="140"/>
      <c r="FH291" s="140"/>
      <c r="FI291" s="140"/>
      <c r="FJ291" s="140"/>
      <c r="FK291" s="2540" t="s">
        <v>3153</v>
      </c>
      <c r="FL291" s="2540"/>
      <c r="FM291" s="2540"/>
      <c r="FN291" s="2540"/>
      <c r="FO291" s="2540"/>
      <c r="FP291" s="2540"/>
      <c r="FQ291" s="2540"/>
      <c r="FR291" s="2540"/>
      <c r="FS291" s="2540"/>
      <c r="FT291" s="2540"/>
      <c r="FU291" s="2540"/>
      <c r="FV291" s="2540"/>
      <c r="FW291" s="2540"/>
      <c r="FX291" s="2540"/>
      <c r="FY291" s="2540"/>
      <c r="FZ291" s="2540"/>
      <c r="GA291" s="2540"/>
      <c r="GB291" s="2540"/>
      <c r="GC291" s="2540"/>
      <c r="GD291" s="2540"/>
      <c r="GE291" s="2540"/>
      <c r="GF291" s="2540"/>
      <c r="GG291" s="2540"/>
      <c r="GH291" s="2540"/>
      <c r="GI291" s="2540"/>
      <c r="GJ291" s="2540"/>
      <c r="GK291" s="2540"/>
      <c r="GL291" s="2540"/>
      <c r="GM291" s="2540"/>
      <c r="GN291" s="2540"/>
      <c r="GO291" s="2540"/>
      <c r="GP291" s="2540"/>
      <c r="GQ291" s="2540"/>
      <c r="GR291" s="2540"/>
      <c r="GS291" s="2540"/>
      <c r="GT291" s="2540"/>
      <c r="GU291" s="2540"/>
      <c r="GV291" s="2540"/>
      <c r="GW291" s="2540"/>
      <c r="GX291" s="2540"/>
      <c r="GY291" s="2540"/>
      <c r="GZ291" s="2540"/>
      <c r="HA291" s="2540"/>
      <c r="HB291" s="2540"/>
    </row>
    <row r="292" spans="22:210" ht="3.6" customHeight="1">
      <c r="V292" s="2540"/>
      <c r="W292" s="2540"/>
      <c r="X292" s="2540"/>
      <c r="Y292" s="2540"/>
      <c r="Z292" s="2540"/>
      <c r="AA292" s="2540"/>
      <c r="AB292" s="2540"/>
      <c r="AC292" s="2540"/>
      <c r="AD292" s="2540"/>
      <c r="AE292" s="2540"/>
      <c r="AF292" s="2540"/>
      <c r="AG292" s="2540"/>
      <c r="AH292" s="2540"/>
      <c r="AI292" s="2540"/>
      <c r="AJ292" s="2540"/>
      <c r="AK292" s="2540"/>
      <c r="AL292" s="2540"/>
      <c r="AM292" s="2540"/>
      <c r="AN292" s="2540"/>
      <c r="AO292" s="2540"/>
      <c r="AP292" s="2540"/>
      <c r="AQ292" s="2540"/>
      <c r="AR292" s="2540"/>
      <c r="AS292" s="2540"/>
      <c r="AT292" s="2540"/>
      <c r="AU292" s="2540"/>
      <c r="AV292" s="2540"/>
      <c r="AW292" s="2540"/>
      <c r="AX292" s="2540"/>
      <c r="AY292" s="2540"/>
      <c r="AZ292" s="2540"/>
      <c r="BA292" s="2540"/>
      <c r="BB292" s="2540"/>
      <c r="BC292" s="2540"/>
      <c r="BD292" s="2540"/>
      <c r="BE292" s="2540"/>
      <c r="BF292" s="2540"/>
      <c r="BG292" s="2540"/>
      <c r="BH292" s="2540"/>
      <c r="BI292" s="2540"/>
      <c r="BJ292" s="25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c r="CN292" s="140"/>
      <c r="CO292" s="140"/>
      <c r="CP292" s="140"/>
      <c r="CQ292" s="140"/>
      <c r="CR292" s="140"/>
      <c r="CS292" s="140"/>
      <c r="CT292" s="140"/>
      <c r="CU292" s="140"/>
      <c r="CV292" s="140"/>
      <c r="CW292" s="140"/>
      <c r="CX292" s="140"/>
      <c r="CY292" s="140"/>
      <c r="CZ292" s="2540"/>
      <c r="DA292" s="2540"/>
      <c r="DB292" s="2540"/>
      <c r="DC292" s="2540"/>
      <c r="DD292" s="2540"/>
      <c r="DE292" s="2540"/>
      <c r="DF292" s="2540"/>
      <c r="DG292" s="2540"/>
      <c r="DH292" s="2540"/>
      <c r="DI292" s="2540"/>
      <c r="DJ292" s="2540"/>
      <c r="DK292" s="2540"/>
      <c r="DL292" s="2540"/>
      <c r="DM292" s="2540"/>
      <c r="DN292" s="2540"/>
      <c r="DO292" s="2540"/>
      <c r="DP292" s="2540"/>
      <c r="DQ292" s="2540"/>
      <c r="DR292" s="2540"/>
      <c r="DS292" s="2540"/>
      <c r="DT292" s="2540"/>
      <c r="DU292" s="2540"/>
      <c r="DV292" s="2540"/>
      <c r="DW292" s="2540"/>
      <c r="DX292" s="2540"/>
      <c r="DY292" s="2540"/>
      <c r="DZ292" s="2540"/>
      <c r="EA292" s="2540"/>
      <c r="EB292" s="2540"/>
      <c r="EC292" s="2540"/>
      <c r="ED292" s="2540"/>
      <c r="EK292" s="140"/>
      <c r="EL292" s="140"/>
      <c r="EM292" s="140"/>
      <c r="EN292" s="140"/>
      <c r="EO292" s="140"/>
      <c r="EP292" s="140"/>
      <c r="EQ292" s="140"/>
      <c r="ER292" s="140"/>
      <c r="ES292" s="140"/>
      <c r="ET292" s="140"/>
      <c r="EU292" s="140"/>
      <c r="EV292" s="140"/>
      <c r="EW292" s="140"/>
      <c r="EX292" s="140"/>
      <c r="EY292" s="140"/>
      <c r="EZ292" s="140"/>
      <c r="FA292" s="140"/>
      <c r="FB292" s="140"/>
      <c r="FC292" s="140"/>
      <c r="FD292" s="140"/>
      <c r="FE292" s="140"/>
      <c r="FF292" s="140"/>
      <c r="FG292" s="140"/>
      <c r="FH292" s="140"/>
      <c r="FI292" s="140"/>
      <c r="FJ292" s="140"/>
      <c r="FK292" s="2540"/>
      <c r="FL292" s="2540"/>
      <c r="FM292" s="2540"/>
      <c r="FN292" s="2540"/>
      <c r="FO292" s="2540"/>
      <c r="FP292" s="2540"/>
      <c r="FQ292" s="2540"/>
      <c r="FR292" s="2540"/>
      <c r="FS292" s="2540"/>
      <c r="FT292" s="2540"/>
      <c r="FU292" s="2540"/>
      <c r="FV292" s="2540"/>
      <c r="FW292" s="2540"/>
      <c r="FX292" s="2540"/>
      <c r="FY292" s="2540"/>
      <c r="FZ292" s="2540"/>
      <c r="GA292" s="2540"/>
      <c r="GB292" s="2540"/>
      <c r="GC292" s="2540"/>
      <c r="GD292" s="2540"/>
      <c r="GE292" s="2540"/>
      <c r="GF292" s="2540"/>
      <c r="GG292" s="2540"/>
      <c r="GH292" s="2540"/>
      <c r="GI292" s="2540"/>
      <c r="GJ292" s="2540"/>
      <c r="GK292" s="2540"/>
      <c r="GL292" s="2540"/>
      <c r="GM292" s="2540"/>
      <c r="GN292" s="2540"/>
      <c r="GO292" s="2540"/>
      <c r="GP292" s="2540"/>
      <c r="GQ292" s="2540"/>
      <c r="GR292" s="2540"/>
      <c r="GS292" s="2540"/>
      <c r="GT292" s="2540"/>
      <c r="GU292" s="2540"/>
      <c r="GV292" s="2540"/>
      <c r="GW292" s="2540"/>
      <c r="GX292" s="2540"/>
      <c r="GY292" s="2540"/>
      <c r="GZ292" s="2540"/>
      <c r="HA292" s="2540"/>
      <c r="HB292" s="2540"/>
    </row>
    <row r="293" spans="22:210" ht="3.6" customHeight="1">
      <c r="V293" s="2540"/>
      <c r="W293" s="2540"/>
      <c r="X293" s="2540"/>
      <c r="Y293" s="2540"/>
      <c r="Z293" s="2540"/>
      <c r="AA293" s="2540"/>
      <c r="AB293" s="2540"/>
      <c r="AC293" s="2540"/>
      <c r="AD293" s="2540"/>
      <c r="AE293" s="2540"/>
      <c r="AF293" s="2540"/>
      <c r="AG293" s="2540"/>
      <c r="AH293" s="2540"/>
      <c r="AI293" s="2540"/>
      <c r="AJ293" s="2540"/>
      <c r="AK293" s="2540"/>
      <c r="AL293" s="2540"/>
      <c r="AM293" s="2540"/>
      <c r="AN293" s="2540"/>
      <c r="AO293" s="2540"/>
      <c r="AP293" s="2540"/>
      <c r="AQ293" s="2540"/>
      <c r="AR293" s="2540"/>
      <c r="AS293" s="2540"/>
      <c r="AT293" s="2540"/>
      <c r="AU293" s="2540"/>
      <c r="AV293" s="2540"/>
      <c r="AW293" s="2540"/>
      <c r="AX293" s="2540"/>
      <c r="AY293" s="2540"/>
      <c r="AZ293" s="2540"/>
      <c r="BA293" s="2540"/>
      <c r="BB293" s="2540"/>
      <c r="BC293" s="2540"/>
      <c r="BD293" s="2540"/>
      <c r="BE293" s="2540"/>
      <c r="BF293" s="2540"/>
      <c r="BG293" s="2540"/>
      <c r="BH293" s="2540"/>
      <c r="BI293" s="2540"/>
      <c r="BJ293" s="25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c r="CN293" s="140"/>
      <c r="CO293" s="140"/>
      <c r="CP293" s="140"/>
      <c r="CQ293" s="140"/>
      <c r="CR293" s="140"/>
      <c r="CS293" s="140"/>
      <c r="CT293" s="140"/>
      <c r="CU293" s="140"/>
      <c r="CV293" s="140"/>
      <c r="CW293" s="140"/>
      <c r="CX293" s="140"/>
      <c r="CY293" s="140"/>
      <c r="CZ293" s="2540"/>
      <c r="DA293" s="2540"/>
      <c r="DB293" s="2540"/>
      <c r="DC293" s="2540"/>
      <c r="DD293" s="2540"/>
      <c r="DE293" s="2540"/>
      <c r="DF293" s="2540"/>
      <c r="DG293" s="2540"/>
      <c r="DH293" s="2540"/>
      <c r="DI293" s="2540"/>
      <c r="DJ293" s="2540"/>
      <c r="DK293" s="2540"/>
      <c r="DL293" s="2540"/>
      <c r="DM293" s="2540"/>
      <c r="DN293" s="2540"/>
      <c r="DO293" s="2540"/>
      <c r="DP293" s="2540"/>
      <c r="DQ293" s="2540"/>
      <c r="DR293" s="2540"/>
      <c r="DS293" s="2540"/>
      <c r="DT293" s="2540"/>
      <c r="DU293" s="2540"/>
      <c r="DV293" s="2540"/>
      <c r="DW293" s="2540"/>
      <c r="DX293" s="2540"/>
      <c r="DY293" s="2540"/>
      <c r="DZ293" s="2540"/>
      <c r="EA293" s="2540"/>
      <c r="EB293" s="2540"/>
      <c r="EC293" s="2540"/>
      <c r="ED293" s="2540"/>
      <c r="EK293" s="140"/>
      <c r="EL293" s="140"/>
      <c r="EM293" s="140"/>
      <c r="EN293" s="140"/>
      <c r="EO293" s="140"/>
      <c r="EP293" s="140"/>
      <c r="EQ293" s="140"/>
      <c r="ER293" s="140"/>
      <c r="ES293" s="140"/>
      <c r="ET293" s="140"/>
      <c r="EU293" s="140"/>
      <c r="EV293" s="140"/>
      <c r="EW293" s="140"/>
      <c r="EX293" s="140"/>
      <c r="EY293" s="140"/>
      <c r="EZ293" s="140"/>
      <c r="FA293" s="140"/>
      <c r="FB293" s="140"/>
      <c r="FC293" s="140"/>
      <c r="FD293" s="140"/>
      <c r="FE293" s="140"/>
      <c r="FF293" s="140"/>
      <c r="FG293" s="140"/>
      <c r="FH293" s="140"/>
      <c r="FI293" s="140"/>
      <c r="FJ293" s="140"/>
      <c r="FK293" s="2540"/>
      <c r="FL293" s="2540"/>
      <c r="FM293" s="2540"/>
      <c r="FN293" s="2540"/>
      <c r="FO293" s="2540"/>
      <c r="FP293" s="2540"/>
      <c r="FQ293" s="2540"/>
      <c r="FR293" s="2540"/>
      <c r="FS293" s="2540"/>
      <c r="FT293" s="2540"/>
      <c r="FU293" s="2540"/>
      <c r="FV293" s="2540"/>
      <c r="FW293" s="2540"/>
      <c r="FX293" s="2540"/>
      <c r="FY293" s="2540"/>
      <c r="FZ293" s="2540"/>
      <c r="GA293" s="2540"/>
      <c r="GB293" s="2540"/>
      <c r="GC293" s="2540"/>
      <c r="GD293" s="2540"/>
      <c r="GE293" s="2540"/>
      <c r="GF293" s="2540"/>
      <c r="GG293" s="2540"/>
      <c r="GH293" s="2540"/>
      <c r="GI293" s="2540"/>
      <c r="GJ293" s="2540"/>
      <c r="GK293" s="2540"/>
      <c r="GL293" s="2540"/>
      <c r="GM293" s="2540"/>
      <c r="GN293" s="2540"/>
      <c r="GO293" s="2540"/>
      <c r="GP293" s="2540"/>
      <c r="GQ293" s="2540"/>
      <c r="GR293" s="2540"/>
      <c r="GS293" s="2540"/>
      <c r="GT293" s="2540"/>
      <c r="GU293" s="2540"/>
      <c r="GV293" s="2540"/>
      <c r="GW293" s="2540"/>
      <c r="GX293" s="2540"/>
      <c r="GY293" s="2540"/>
      <c r="GZ293" s="2540"/>
      <c r="HA293" s="2540"/>
      <c r="HB293" s="2540"/>
    </row>
    <row r="294" spans="22:210" ht="3.6" customHeight="1">
      <c r="V294" s="2540"/>
      <c r="W294" s="2540"/>
      <c r="X294" s="2540"/>
      <c r="Y294" s="2540"/>
      <c r="Z294" s="2540"/>
      <c r="AA294" s="2540"/>
      <c r="AB294" s="2540"/>
      <c r="AC294" s="2540"/>
      <c r="AD294" s="2540"/>
      <c r="AE294" s="2540"/>
      <c r="AF294" s="2540"/>
      <c r="AG294" s="2540"/>
      <c r="AH294" s="2540"/>
      <c r="AI294" s="2540"/>
      <c r="AJ294" s="2540"/>
      <c r="AK294" s="2540"/>
      <c r="AL294" s="2540"/>
      <c r="AM294" s="2540"/>
      <c r="AN294" s="2540"/>
      <c r="AO294" s="2540"/>
      <c r="AP294" s="2540"/>
      <c r="AQ294" s="2540"/>
      <c r="AR294" s="2540"/>
      <c r="AS294" s="2540"/>
      <c r="AT294" s="2540"/>
      <c r="AU294" s="2540"/>
      <c r="AV294" s="2540"/>
      <c r="AW294" s="2540"/>
      <c r="AX294" s="2540"/>
      <c r="AY294" s="2540"/>
      <c r="AZ294" s="2540"/>
      <c r="BA294" s="2540"/>
      <c r="BB294" s="2540"/>
      <c r="BC294" s="2540"/>
      <c r="BD294" s="2540"/>
      <c r="BE294" s="2540"/>
      <c r="BF294" s="2540"/>
      <c r="BG294" s="2540"/>
      <c r="BH294" s="2540"/>
      <c r="BI294" s="2540"/>
      <c r="BJ294" s="25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c r="CN294" s="140"/>
      <c r="CO294" s="140"/>
      <c r="CP294" s="140"/>
      <c r="CQ294" s="140"/>
      <c r="CR294" s="140"/>
      <c r="CS294" s="140"/>
      <c r="CT294" s="140"/>
      <c r="CU294" s="140"/>
      <c r="CV294" s="140"/>
      <c r="CW294" s="140"/>
      <c r="CX294" s="140"/>
      <c r="CY294" s="140"/>
      <c r="CZ294" s="2540"/>
      <c r="DA294" s="2540"/>
      <c r="DB294" s="2540"/>
      <c r="DC294" s="2540"/>
      <c r="DD294" s="2540"/>
      <c r="DE294" s="2540"/>
      <c r="DF294" s="2540"/>
      <c r="DG294" s="2540"/>
      <c r="DH294" s="2540"/>
      <c r="DI294" s="2540"/>
      <c r="DJ294" s="2540"/>
      <c r="DK294" s="2540"/>
      <c r="DL294" s="2540"/>
      <c r="DM294" s="2540"/>
      <c r="DN294" s="2540"/>
      <c r="DO294" s="2540"/>
      <c r="DP294" s="2540"/>
      <c r="DQ294" s="2540"/>
      <c r="DR294" s="2540"/>
      <c r="DS294" s="2540"/>
      <c r="DT294" s="2540"/>
      <c r="DU294" s="2540"/>
      <c r="DV294" s="2540"/>
      <c r="DW294" s="2540"/>
      <c r="DX294" s="2540"/>
      <c r="DY294" s="2540"/>
      <c r="DZ294" s="2540"/>
      <c r="EA294" s="2540"/>
      <c r="EB294" s="2540"/>
      <c r="EC294" s="2540"/>
      <c r="ED294" s="2540"/>
      <c r="EK294" s="140"/>
      <c r="EL294" s="140"/>
      <c r="EM294" s="140"/>
      <c r="EN294" s="140"/>
      <c r="EO294" s="140"/>
      <c r="EP294" s="140"/>
      <c r="EQ294" s="140"/>
      <c r="ER294" s="140"/>
      <c r="ES294" s="140"/>
      <c r="ET294" s="140"/>
      <c r="EU294" s="140"/>
      <c r="EV294" s="140"/>
      <c r="EW294" s="140"/>
      <c r="EX294" s="140"/>
      <c r="EY294" s="140"/>
      <c r="EZ294" s="140"/>
      <c r="FA294" s="140"/>
      <c r="FB294" s="140"/>
      <c r="FC294" s="140"/>
      <c r="FD294" s="140"/>
      <c r="FE294" s="140"/>
      <c r="FF294" s="140"/>
      <c r="FG294" s="140"/>
      <c r="FH294" s="140"/>
      <c r="FI294" s="140"/>
      <c r="FJ294" s="140"/>
      <c r="FK294" s="2540"/>
      <c r="FL294" s="2540"/>
      <c r="FM294" s="2540"/>
      <c r="FN294" s="2540"/>
      <c r="FO294" s="2540"/>
      <c r="FP294" s="2540"/>
      <c r="FQ294" s="2540"/>
      <c r="FR294" s="2540"/>
      <c r="FS294" s="2540"/>
      <c r="FT294" s="2540"/>
      <c r="FU294" s="2540"/>
      <c r="FV294" s="2540"/>
      <c r="FW294" s="2540"/>
      <c r="FX294" s="2540"/>
      <c r="FY294" s="2540"/>
      <c r="FZ294" s="2540"/>
      <c r="GA294" s="2540"/>
      <c r="GB294" s="2540"/>
      <c r="GC294" s="2540"/>
      <c r="GD294" s="2540"/>
      <c r="GE294" s="2540"/>
      <c r="GF294" s="2540"/>
      <c r="GG294" s="2540"/>
      <c r="GH294" s="2540"/>
      <c r="GI294" s="2540"/>
      <c r="GJ294" s="2540"/>
      <c r="GK294" s="2540"/>
      <c r="GL294" s="2540"/>
      <c r="GM294" s="2540"/>
      <c r="GN294" s="2540"/>
      <c r="GO294" s="2540"/>
      <c r="GP294" s="2540"/>
      <c r="GQ294" s="2540"/>
      <c r="GR294" s="2540"/>
      <c r="GS294" s="2540"/>
      <c r="GT294" s="2540"/>
      <c r="GU294" s="2540"/>
      <c r="GV294" s="2540"/>
      <c r="GW294" s="2540"/>
      <c r="GX294" s="2540"/>
      <c r="GY294" s="2540"/>
      <c r="GZ294" s="2540"/>
      <c r="HA294" s="2540"/>
      <c r="HB294" s="2540"/>
    </row>
    <row r="398" spans="104:155" ht="3.6" customHeight="1">
      <c r="CZ398" s="150"/>
      <c r="DA398" s="151"/>
      <c r="DB398" s="151"/>
      <c r="DC398" s="151"/>
      <c r="DD398" s="151"/>
      <c r="DE398" s="151"/>
      <c r="DF398" s="151"/>
      <c r="DG398" s="151"/>
      <c r="DH398" s="151"/>
      <c r="DI398" s="151"/>
      <c r="DJ398" s="151"/>
      <c r="DK398" s="151"/>
      <c r="DL398" s="151"/>
      <c r="DM398" s="151"/>
      <c r="DN398" s="151"/>
      <c r="DO398" s="151"/>
      <c r="DP398" s="151"/>
      <c r="DQ398" s="151"/>
      <c r="DR398" s="151"/>
      <c r="DS398" s="151"/>
      <c r="DT398" s="151"/>
      <c r="DU398" s="151"/>
      <c r="DV398" s="151"/>
      <c r="DW398" s="151"/>
      <c r="DX398" s="151"/>
      <c r="DY398" s="151"/>
      <c r="DZ398" s="151"/>
      <c r="EA398" s="151"/>
      <c r="EB398" s="151"/>
      <c r="EC398" s="151"/>
      <c r="ED398" s="151"/>
      <c r="EE398" s="151"/>
      <c r="EF398" s="151"/>
      <c r="EG398" s="151"/>
      <c r="EH398" s="151"/>
      <c r="EI398" s="151"/>
      <c r="EJ398" s="151"/>
      <c r="EK398" s="151"/>
      <c r="EL398" s="151"/>
      <c r="EM398" s="151"/>
      <c r="EN398" s="151"/>
      <c r="EO398" s="151"/>
      <c r="EP398" s="151"/>
      <c r="EQ398" s="151"/>
      <c r="ER398" s="151"/>
      <c r="ES398" s="151"/>
      <c r="ET398" s="151"/>
      <c r="EU398" s="151"/>
      <c r="EV398" s="151"/>
      <c r="EW398" s="151"/>
      <c r="EX398" s="151"/>
      <c r="EY398" s="162"/>
    </row>
    <row r="399" spans="104:155" ht="3.6" customHeight="1">
      <c r="CZ399" s="153"/>
      <c r="DA399" s="150"/>
      <c r="DB399" s="151"/>
      <c r="DC399" s="151"/>
      <c r="DD399" s="151"/>
      <c r="DE399" s="151"/>
      <c r="DF399" s="151"/>
      <c r="DG399" s="151"/>
      <c r="DH399" s="151"/>
      <c r="DI399" s="151"/>
      <c r="DJ399" s="151"/>
      <c r="DK399" s="151"/>
      <c r="DL399" s="151"/>
      <c r="DM399" s="151"/>
      <c r="DN399" s="151"/>
      <c r="DO399" s="151"/>
      <c r="DP399" s="151"/>
      <c r="DQ399" s="151"/>
      <c r="DR399" s="151"/>
      <c r="DS399" s="151"/>
      <c r="DT399" s="151"/>
      <c r="DU399" s="151"/>
      <c r="DV399" s="151"/>
      <c r="DW399" s="151"/>
      <c r="DX399" s="151"/>
      <c r="DY399" s="151"/>
      <c r="DZ399" s="151"/>
      <c r="EA399" s="151"/>
      <c r="EB399" s="151"/>
      <c r="EC399" s="151"/>
      <c r="ED399" s="151"/>
      <c r="EE399" s="151"/>
      <c r="EF399" s="151"/>
      <c r="EG399" s="151"/>
      <c r="EH399" s="151"/>
      <c r="EI399" s="151"/>
      <c r="EJ399" s="151"/>
      <c r="EK399" s="151"/>
      <c r="EL399" s="151"/>
      <c r="EM399" s="151"/>
      <c r="EN399" s="151"/>
      <c r="EO399" s="151"/>
      <c r="EP399" s="151"/>
      <c r="EQ399" s="151"/>
      <c r="ER399" s="151"/>
      <c r="ES399" s="151"/>
      <c r="ET399" s="151"/>
      <c r="EU399" s="151"/>
      <c r="EV399" s="151"/>
      <c r="EW399" s="151"/>
      <c r="EX399" s="162"/>
      <c r="EY399" s="154"/>
    </row>
    <row r="400" spans="104:155" ht="3.6" customHeight="1">
      <c r="CZ400" s="153"/>
      <c r="DA400" s="153"/>
      <c r="DB400" s="1448"/>
      <c r="DC400" s="1450"/>
      <c r="EV400" s="1448"/>
      <c r="EW400" s="1450"/>
      <c r="EX400" s="154"/>
      <c r="EY400" s="154"/>
    </row>
    <row r="401" spans="104:155" ht="3.6" customHeight="1">
      <c r="CZ401" s="153"/>
      <c r="DA401" s="153"/>
      <c r="DB401" s="1445"/>
      <c r="DC401" s="1481"/>
      <c r="DD401" s="180"/>
      <c r="DE401" s="180"/>
      <c r="DF401" s="180"/>
      <c r="DG401" s="180"/>
      <c r="DH401" s="180"/>
      <c r="DI401" s="180"/>
      <c r="DJ401" s="180"/>
      <c r="DK401" s="180"/>
      <c r="DL401" s="180"/>
      <c r="DM401" s="180"/>
      <c r="DN401" s="180"/>
      <c r="DO401" s="180"/>
      <c r="DP401" s="180"/>
      <c r="DQ401" s="180"/>
      <c r="DR401" s="180"/>
      <c r="DS401" s="180"/>
      <c r="DT401" s="180"/>
      <c r="DU401" s="180"/>
      <c r="DV401" s="180"/>
      <c r="DW401" s="180"/>
      <c r="DX401" s="180"/>
      <c r="DY401" s="180"/>
      <c r="DZ401" s="180"/>
      <c r="EA401" s="180"/>
      <c r="EB401" s="180"/>
      <c r="EC401" s="180"/>
      <c r="ED401" s="180"/>
      <c r="EE401" s="180"/>
      <c r="EF401" s="180"/>
      <c r="EG401" s="180"/>
      <c r="EH401" s="180"/>
      <c r="EI401" s="180"/>
      <c r="EJ401" s="180"/>
      <c r="EK401" s="180"/>
      <c r="EL401" s="180"/>
      <c r="EM401" s="180"/>
      <c r="EN401" s="180"/>
      <c r="EO401" s="180"/>
      <c r="EP401" s="180"/>
      <c r="EQ401" s="180"/>
      <c r="ER401" s="180"/>
      <c r="ES401" s="180"/>
      <c r="ET401" s="180"/>
      <c r="EU401" s="180"/>
      <c r="EV401" s="1445"/>
      <c r="EW401" s="1481"/>
      <c r="EX401" s="154"/>
      <c r="EY401" s="154"/>
    </row>
    <row r="402" spans="104:155" ht="3.6" customHeight="1">
      <c r="CZ402" s="153"/>
      <c r="DA402" s="156"/>
      <c r="DB402" s="41"/>
      <c r="DC402" s="655"/>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656"/>
      <c r="EW402" s="41"/>
      <c r="EX402" s="159"/>
      <c r="EY402" s="154"/>
    </row>
    <row r="403" spans="104:155" ht="3.6" customHeight="1">
      <c r="CZ403" s="156"/>
      <c r="DA403" s="359"/>
      <c r="DB403" s="360"/>
      <c r="DC403" s="1479"/>
      <c r="DD403" s="216"/>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359"/>
      <c r="EV403" s="360"/>
      <c r="EW403" s="1479"/>
      <c r="EX403" s="216"/>
      <c r="EY403" s="159"/>
    </row>
    <row r="404" spans="104:155" ht="3.6" customHeight="1">
      <c r="CZ404" s="153"/>
      <c r="DA404" s="153"/>
      <c r="DC404" s="364"/>
      <c r="DD404" s="154"/>
      <c r="DF404" s="153"/>
      <c r="ES404" s="154"/>
      <c r="EU404" s="153"/>
      <c r="EW404" s="364"/>
      <c r="EX404" s="154"/>
      <c r="EY404" s="154"/>
    </row>
    <row r="405" spans="104:155" ht="3.6" customHeight="1">
      <c r="CZ405" s="153"/>
      <c r="DA405" s="153"/>
      <c r="DC405" s="364"/>
      <c r="DD405" s="154"/>
      <c r="DF405" s="153"/>
      <c r="ES405" s="154"/>
      <c r="EU405" s="153"/>
      <c r="EW405" s="364"/>
      <c r="EX405" s="154"/>
      <c r="EY405" s="154"/>
    </row>
    <row r="406" spans="104:155" ht="3.6" customHeight="1">
      <c r="CZ406" s="153"/>
      <c r="DA406" s="153"/>
      <c r="DC406" s="364"/>
      <c r="DD406" s="154"/>
      <c r="DF406" s="153"/>
      <c r="ES406" s="154"/>
      <c r="EU406" s="153"/>
      <c r="EW406" s="364"/>
      <c r="EX406" s="154"/>
      <c r="EY406" s="154"/>
    </row>
    <row r="407" spans="104:155" ht="3.6" customHeight="1">
      <c r="CZ407" s="153"/>
      <c r="DA407" s="153"/>
      <c r="DC407" s="364"/>
      <c r="DD407" s="154"/>
      <c r="DF407" s="153"/>
      <c r="ES407" s="154"/>
      <c r="EU407" s="153"/>
      <c r="EW407" s="364"/>
      <c r="EX407" s="154"/>
      <c r="EY407" s="154"/>
    </row>
    <row r="408" spans="104:155" ht="3.6" customHeight="1">
      <c r="CZ408" s="153"/>
      <c r="DA408" s="153"/>
      <c r="DC408" s="364"/>
      <c r="DD408" s="154"/>
      <c r="DF408" s="153"/>
      <c r="ES408" s="154"/>
      <c r="EU408" s="153"/>
      <c r="EW408" s="364"/>
      <c r="EX408" s="154"/>
      <c r="EY408" s="154"/>
    </row>
    <row r="409" spans="104:155" ht="3.6" customHeight="1">
      <c r="CZ409" s="153"/>
      <c r="DA409" s="153"/>
      <c r="DC409" s="364"/>
      <c r="DD409" s="154"/>
      <c r="DF409" s="153"/>
      <c r="ES409" s="154"/>
      <c r="EU409" s="153"/>
      <c r="EW409" s="364"/>
      <c r="EX409" s="154"/>
      <c r="EY409" s="154"/>
    </row>
    <row r="410" spans="104:155" ht="3.6" customHeight="1">
      <c r="CZ410" s="153"/>
      <c r="DA410" s="153"/>
      <c r="DC410" s="364"/>
      <c r="DD410" s="154"/>
      <c r="DF410" s="153"/>
      <c r="ES410" s="154"/>
      <c r="EU410" s="153"/>
      <c r="EW410" s="364"/>
      <c r="EX410" s="154"/>
      <c r="EY410" s="154"/>
    </row>
    <row r="411" spans="104:155" ht="3.6" customHeight="1">
      <c r="CZ411" s="153"/>
      <c r="DA411" s="153"/>
      <c r="DC411" s="364"/>
      <c r="DD411" s="154"/>
      <c r="DF411" s="153"/>
      <c r="ES411" s="154"/>
      <c r="EU411" s="153"/>
      <c r="EW411" s="364"/>
      <c r="EX411" s="154"/>
      <c r="EY411" s="154"/>
    </row>
    <row r="412" spans="104:155" ht="3.6" customHeight="1">
      <c r="CZ412" s="153"/>
      <c r="DA412" s="153"/>
      <c r="DC412" s="364"/>
      <c r="DD412" s="154"/>
      <c r="DF412" s="153"/>
      <c r="ES412" s="154"/>
      <c r="EU412" s="153"/>
      <c r="EW412" s="364"/>
      <c r="EX412" s="154"/>
      <c r="EY412" s="154"/>
    </row>
    <row r="413" spans="104:155" ht="3.6" customHeight="1">
      <c r="CZ413" s="153"/>
      <c r="DA413" s="153"/>
      <c r="DC413" s="364"/>
      <c r="DD413" s="154"/>
      <c r="DF413" s="153"/>
      <c r="ES413" s="154"/>
      <c r="EU413" s="153"/>
      <c r="EW413" s="364"/>
      <c r="EX413" s="154"/>
      <c r="EY413" s="154"/>
    </row>
    <row r="414" spans="104:155" ht="3.6" customHeight="1">
      <c r="CZ414" s="153"/>
      <c r="DA414" s="153"/>
      <c r="DC414" s="364"/>
      <c r="DD414" s="154"/>
      <c r="DF414" s="153"/>
      <c r="ES414" s="154"/>
      <c r="EU414" s="153"/>
      <c r="EW414" s="364"/>
      <c r="EX414" s="154"/>
      <c r="EY414" s="154"/>
    </row>
    <row r="415" spans="104:155" ht="3.6" customHeight="1">
      <c r="CZ415" s="153"/>
      <c r="DA415" s="153"/>
      <c r="DC415" s="364"/>
      <c r="DD415" s="154"/>
      <c r="DF415" s="153"/>
      <c r="ES415" s="154"/>
      <c r="EU415" s="153"/>
      <c r="EW415" s="364"/>
      <c r="EX415" s="154"/>
      <c r="EY415" s="154"/>
    </row>
    <row r="416" spans="104:155" ht="3.6" customHeight="1">
      <c r="CZ416" s="153"/>
      <c r="DA416" s="153"/>
      <c r="DC416" s="364"/>
      <c r="DD416" s="154"/>
      <c r="DF416" s="153"/>
      <c r="ES416" s="154"/>
      <c r="EU416" s="153"/>
      <c r="EW416" s="364"/>
      <c r="EX416" s="154"/>
      <c r="EY416" s="154"/>
    </row>
    <row r="417" spans="104:155" ht="3.6" customHeight="1">
      <c r="CZ417" s="153"/>
      <c r="DA417" s="153"/>
      <c r="DC417" s="364"/>
      <c r="DD417" s="154"/>
      <c r="DF417" s="153"/>
      <c r="ES417" s="154"/>
      <c r="EU417" s="153"/>
      <c r="EW417" s="364"/>
      <c r="EX417" s="154"/>
      <c r="EY417" s="154"/>
    </row>
    <row r="418" spans="104:155" ht="3.6" customHeight="1">
      <c r="CZ418" s="153"/>
      <c r="DA418" s="153"/>
      <c r="DC418" s="364"/>
      <c r="DD418" s="154"/>
      <c r="DF418" s="153"/>
      <c r="ES418" s="154"/>
      <c r="EU418" s="153"/>
      <c r="EW418" s="364"/>
      <c r="EX418" s="154"/>
      <c r="EY418" s="154"/>
    </row>
    <row r="419" spans="104:155" ht="3.6" customHeight="1">
      <c r="CZ419" s="153"/>
      <c r="DA419" s="153"/>
      <c r="DC419" s="364"/>
      <c r="DD419" s="154"/>
      <c r="DF419" s="153"/>
      <c r="ES419" s="154"/>
      <c r="EU419" s="153"/>
      <c r="EW419" s="364"/>
      <c r="EX419" s="154"/>
      <c r="EY419" s="154"/>
    </row>
    <row r="420" spans="104:155" ht="3.6" customHeight="1">
      <c r="CZ420" s="153"/>
      <c r="DA420" s="153"/>
      <c r="DC420" s="364"/>
      <c r="DD420" s="154"/>
      <c r="DF420" s="153"/>
      <c r="ES420" s="154"/>
      <c r="EU420" s="153"/>
      <c r="EW420" s="364"/>
      <c r="EX420" s="154"/>
      <c r="EY420" s="154"/>
    </row>
    <row r="421" spans="104:155" ht="3.6" customHeight="1">
      <c r="CZ421" s="153"/>
      <c r="DA421" s="153"/>
      <c r="DC421" s="364"/>
      <c r="DD421" s="154"/>
      <c r="DF421" s="153"/>
      <c r="ES421" s="154"/>
      <c r="EU421" s="153"/>
      <c r="EW421" s="364"/>
      <c r="EX421" s="154"/>
      <c r="EY421" s="154"/>
    </row>
    <row r="422" spans="104:155" ht="3.6" customHeight="1">
      <c r="CZ422" s="153"/>
      <c r="DA422" s="153"/>
      <c r="DC422" s="364"/>
      <c r="DD422" s="154"/>
      <c r="DF422" s="153"/>
      <c r="ES422" s="154"/>
      <c r="EU422" s="153"/>
      <c r="EW422" s="364"/>
      <c r="EX422" s="154"/>
      <c r="EY422" s="154"/>
    </row>
    <row r="423" spans="104:155" ht="3.6" customHeight="1">
      <c r="CZ423" s="153"/>
      <c r="DA423" s="153"/>
      <c r="DC423" s="364"/>
      <c r="DD423" s="154"/>
      <c r="DF423" s="153"/>
      <c r="ES423" s="154"/>
      <c r="EU423" s="153"/>
      <c r="EW423" s="364"/>
      <c r="EX423" s="154"/>
      <c r="EY423" s="154"/>
    </row>
    <row r="424" spans="104:155" ht="3.6" customHeight="1">
      <c r="CZ424" s="153"/>
      <c r="DA424" s="153"/>
      <c r="DC424" s="364"/>
      <c r="DD424" s="154"/>
      <c r="DF424" s="153"/>
      <c r="ES424" s="154"/>
      <c r="EU424" s="153"/>
      <c r="EW424" s="364"/>
      <c r="EX424" s="154"/>
      <c r="EY424" s="154"/>
    </row>
    <row r="425" spans="104:155" ht="3.6" customHeight="1">
      <c r="CZ425" s="153"/>
      <c r="DA425" s="153"/>
      <c r="DC425" s="364"/>
      <c r="DD425" s="154"/>
      <c r="DF425" s="153"/>
      <c r="ES425" s="154"/>
      <c r="EU425" s="153"/>
      <c r="EW425" s="364"/>
      <c r="EX425" s="154"/>
      <c r="EY425" s="154"/>
    </row>
    <row r="426" spans="104:155" ht="3.6" customHeight="1">
      <c r="CZ426" s="153"/>
      <c r="DA426" s="153"/>
      <c r="DC426" s="364"/>
      <c r="DD426" s="154"/>
      <c r="DF426" s="153"/>
      <c r="ES426" s="154"/>
      <c r="EU426" s="153"/>
      <c r="EW426" s="364"/>
      <c r="EX426" s="154"/>
      <c r="EY426" s="154"/>
    </row>
    <row r="427" spans="104:155" ht="3.6" customHeight="1">
      <c r="CZ427" s="153"/>
      <c r="DA427" s="153"/>
      <c r="DC427" s="364"/>
      <c r="DD427" s="154"/>
      <c r="DF427" s="153"/>
      <c r="ES427" s="154"/>
      <c r="EU427" s="153"/>
      <c r="EW427" s="364"/>
      <c r="EX427" s="154"/>
      <c r="EY427" s="154"/>
    </row>
    <row r="428" spans="104:155" ht="3.6" customHeight="1">
      <c r="CZ428" s="153"/>
      <c r="DA428" s="153"/>
      <c r="DC428" s="364"/>
      <c r="DD428" s="154"/>
      <c r="DF428" s="153"/>
      <c r="ES428" s="154"/>
      <c r="EU428" s="153"/>
      <c r="EW428" s="364"/>
      <c r="EX428" s="154"/>
      <c r="EY428" s="154"/>
    </row>
    <row r="429" spans="104:155" ht="3.6" customHeight="1">
      <c r="CZ429" s="153"/>
      <c r="DA429" s="153"/>
      <c r="DC429" s="364"/>
      <c r="DD429" s="154"/>
      <c r="DF429" s="153"/>
      <c r="ES429" s="154"/>
      <c r="EU429" s="153"/>
      <c r="EW429" s="364"/>
      <c r="EX429" s="154"/>
      <c r="EY429" s="154"/>
    </row>
    <row r="430" spans="104:155" ht="3.6" customHeight="1">
      <c r="CZ430" s="153"/>
      <c r="DA430" s="153"/>
      <c r="DC430" s="364"/>
      <c r="DD430" s="154"/>
      <c r="DF430" s="153"/>
      <c r="ES430" s="154"/>
      <c r="EU430" s="153"/>
      <c r="EW430" s="364"/>
      <c r="EX430" s="154"/>
      <c r="EY430" s="154"/>
    </row>
    <row r="431" spans="104:155" ht="3.6" customHeight="1">
      <c r="CZ431" s="153"/>
      <c r="DA431" s="153"/>
      <c r="DC431" s="364"/>
      <c r="DD431" s="154"/>
      <c r="DF431" s="153"/>
      <c r="ES431" s="154"/>
      <c r="EU431" s="153"/>
      <c r="EW431" s="364"/>
      <c r="EX431" s="154"/>
      <c r="EY431" s="154"/>
    </row>
    <row r="432" spans="104:155" ht="3.6" customHeight="1">
      <c r="CZ432" s="153"/>
      <c r="DA432" s="153"/>
      <c r="DC432" s="364"/>
      <c r="DD432" s="154"/>
      <c r="DF432" s="153"/>
      <c r="ES432" s="154"/>
      <c r="EU432" s="153"/>
      <c r="EW432" s="364"/>
      <c r="EX432" s="154"/>
      <c r="EY432" s="154"/>
    </row>
    <row r="433" spans="104:155" ht="3.6" customHeight="1">
      <c r="CZ433" s="150"/>
      <c r="DA433" s="359"/>
      <c r="DB433" s="360"/>
      <c r="DC433" s="1479"/>
      <c r="DD433" s="216"/>
      <c r="DE433" s="151"/>
      <c r="DF433" s="151"/>
      <c r="DG433" s="151"/>
      <c r="DH433" s="151"/>
      <c r="DI433" s="151"/>
      <c r="DJ433" s="151"/>
      <c r="DK433" s="151"/>
      <c r="DL433" s="151"/>
      <c r="DM433" s="151"/>
      <c r="DN433" s="151"/>
      <c r="DO433" s="151"/>
      <c r="DP433" s="151"/>
      <c r="DQ433" s="151"/>
      <c r="DR433" s="151"/>
      <c r="DS433" s="151"/>
      <c r="DT433" s="151"/>
      <c r="DU433" s="151"/>
      <c r="DV433" s="151"/>
      <c r="DW433" s="151"/>
      <c r="DX433" s="151"/>
      <c r="DY433" s="151"/>
      <c r="DZ433" s="151"/>
      <c r="EA433" s="151"/>
      <c r="EB433" s="151"/>
      <c r="EC433" s="151"/>
      <c r="ED433" s="151"/>
      <c r="EE433" s="151"/>
      <c r="EF433" s="151"/>
      <c r="EG433" s="151"/>
      <c r="EH433" s="151"/>
      <c r="EI433" s="151"/>
      <c r="EJ433" s="151"/>
      <c r="EK433" s="151"/>
      <c r="EL433" s="151"/>
      <c r="EM433" s="151"/>
      <c r="EN433" s="151"/>
      <c r="EO433" s="151"/>
      <c r="EP433" s="151"/>
      <c r="EQ433" s="151"/>
      <c r="ER433" s="151"/>
      <c r="ES433" s="151"/>
      <c r="ET433" s="151"/>
      <c r="EU433" s="359"/>
      <c r="EV433" s="360"/>
      <c r="EW433" s="1479"/>
      <c r="EX433" s="216"/>
      <c r="EY433" s="162"/>
    </row>
    <row r="434" spans="104:155" ht="3.6" customHeight="1">
      <c r="CZ434" s="153"/>
      <c r="DA434" s="150"/>
      <c r="DB434" s="151"/>
      <c r="DC434" s="372"/>
      <c r="DD434" s="151"/>
      <c r="DE434" s="151"/>
      <c r="DF434" s="151"/>
      <c r="DG434" s="151"/>
      <c r="DH434" s="151"/>
      <c r="DI434" s="151"/>
      <c r="DJ434" s="151"/>
      <c r="DK434" s="151"/>
      <c r="DL434" s="151"/>
      <c r="DM434" s="151"/>
      <c r="DN434" s="151"/>
      <c r="DO434" s="151"/>
      <c r="DP434" s="151"/>
      <c r="DQ434" s="151"/>
      <c r="DR434" s="151"/>
      <c r="DS434" s="151"/>
      <c r="DT434" s="151"/>
      <c r="DU434" s="151"/>
      <c r="DV434" s="151"/>
      <c r="DW434" s="151"/>
      <c r="DX434" s="151"/>
      <c r="DY434" s="151"/>
      <c r="DZ434" s="151"/>
      <c r="EA434" s="151"/>
      <c r="EB434" s="151"/>
      <c r="EC434" s="151"/>
      <c r="ED434" s="151"/>
      <c r="EE434" s="151"/>
      <c r="EF434" s="151"/>
      <c r="EG434" s="151"/>
      <c r="EH434" s="151"/>
      <c r="EI434" s="151"/>
      <c r="EJ434" s="151"/>
      <c r="EK434" s="151"/>
      <c r="EL434" s="151"/>
      <c r="EM434" s="151"/>
      <c r="EN434" s="151"/>
      <c r="EO434" s="151"/>
      <c r="EP434" s="151"/>
      <c r="EQ434" s="151"/>
      <c r="ER434" s="151"/>
      <c r="ES434" s="151"/>
      <c r="ET434" s="151"/>
      <c r="EU434" s="151"/>
      <c r="EV434" s="373"/>
      <c r="EW434" s="151"/>
      <c r="EX434" s="162"/>
      <c r="EY434" s="154"/>
    </row>
    <row r="435" spans="104:155" ht="3.6" customHeight="1">
      <c r="CZ435" s="153"/>
      <c r="DA435" s="153"/>
      <c r="DB435" s="1448"/>
      <c r="DC435" s="1450"/>
      <c r="DD435" s="177"/>
      <c r="DE435" s="177"/>
      <c r="DF435" s="177"/>
      <c r="DG435" s="177"/>
      <c r="DH435" s="177"/>
      <c r="DI435" s="177"/>
      <c r="DJ435" s="177"/>
      <c r="DK435" s="177"/>
      <c r="DL435" s="177"/>
      <c r="DM435" s="177"/>
      <c r="DN435" s="177"/>
      <c r="DO435" s="177"/>
      <c r="DP435" s="177"/>
      <c r="DQ435" s="177"/>
      <c r="DR435" s="177"/>
      <c r="DS435" s="177"/>
      <c r="DT435" s="177"/>
      <c r="DU435" s="177"/>
      <c r="DV435" s="177"/>
      <c r="DW435" s="177"/>
      <c r="DX435" s="177"/>
      <c r="DY435" s="177"/>
      <c r="DZ435" s="177"/>
      <c r="EA435" s="177"/>
      <c r="EB435" s="177"/>
      <c r="EC435" s="177"/>
      <c r="ED435" s="177"/>
      <c r="EE435" s="177"/>
      <c r="EF435" s="177"/>
      <c r="EG435" s="177"/>
      <c r="EH435" s="177"/>
      <c r="EI435" s="177"/>
      <c r="EJ435" s="177"/>
      <c r="EK435" s="177"/>
      <c r="EL435" s="177"/>
      <c r="EM435" s="177"/>
      <c r="EN435" s="177"/>
      <c r="EO435" s="177"/>
      <c r="EP435" s="177"/>
      <c r="EQ435" s="177"/>
      <c r="ER435" s="177"/>
      <c r="ES435" s="177"/>
      <c r="ET435" s="177"/>
      <c r="EU435" s="177"/>
      <c r="EV435" s="1448"/>
      <c r="EW435" s="1450"/>
      <c r="EX435" s="154"/>
      <c r="EY435" s="154"/>
    </row>
    <row r="436" spans="104:155" ht="3.6" customHeight="1">
      <c r="CZ436" s="153"/>
      <c r="DA436" s="153"/>
      <c r="DB436" s="1445"/>
      <c r="DC436" s="1481"/>
      <c r="EV436" s="1445"/>
      <c r="EW436" s="1481"/>
      <c r="EX436" s="154"/>
      <c r="EY436" s="154"/>
    </row>
    <row r="437" spans="104:155" ht="3.6" customHeight="1">
      <c r="CZ437" s="153"/>
      <c r="DA437" s="156"/>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159"/>
      <c r="EY437" s="154"/>
    </row>
    <row r="438" spans="104:155" ht="3.6" customHeight="1">
      <c r="CZ438" s="156"/>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159"/>
    </row>
  </sheetData>
  <mergeCells count="104">
    <mergeCell ref="AG241:AX244"/>
    <mergeCell ref="CJ241:DA244"/>
    <mergeCell ref="V287:BJ290"/>
    <mergeCell ref="CZ287:ED290"/>
    <mergeCell ref="FK287:HB290"/>
    <mergeCell ref="V291:BJ294"/>
    <mergeCell ref="CZ291:ED294"/>
    <mergeCell ref="FK291:HB294"/>
    <mergeCell ref="CG207:DB210"/>
    <mergeCell ref="AN210:AQ213"/>
    <mergeCell ref="G212:J224"/>
    <mergeCell ref="BX221:CC224"/>
    <mergeCell ref="CZ228:DH231"/>
    <mergeCell ref="GO228:GQ238"/>
    <mergeCell ref="GU184:GW199"/>
    <mergeCell ref="GX184:GZ199"/>
    <mergeCell ref="GP186:GT197"/>
    <mergeCell ref="BU187:BY190"/>
    <mergeCell ref="GK188:GO195"/>
    <mergeCell ref="L190:O194"/>
    <mergeCell ref="DK194:DN197"/>
    <mergeCell ref="EF196:EI222"/>
    <mergeCell ref="CG203:DB206"/>
    <mergeCell ref="DX205:EA211"/>
    <mergeCell ref="GU142:GW157"/>
    <mergeCell ref="GX142:GZ157"/>
    <mergeCell ref="GP144:GT155"/>
    <mergeCell ref="AQ145:AV148"/>
    <mergeCell ref="CJ145:CO148"/>
    <mergeCell ref="GK146:GO153"/>
    <mergeCell ref="G164:J176"/>
    <mergeCell ref="L164:O168"/>
    <mergeCell ref="CG166:DH169"/>
    <mergeCell ref="DX168:EA171"/>
    <mergeCell ref="AC171:BD174"/>
    <mergeCell ref="AC175:BD178"/>
    <mergeCell ref="W147:AF149"/>
    <mergeCell ref="EM149:EP169"/>
    <mergeCell ref="BG151:BJ154"/>
    <mergeCell ref="BU151:BY154"/>
    <mergeCell ref="EF160:EI172"/>
    <mergeCell ref="CG162:DH165"/>
    <mergeCell ref="BT97:CK100"/>
    <mergeCell ref="CY97:DP100"/>
    <mergeCell ref="GU104:GW119"/>
    <mergeCell ref="GX104:GZ119"/>
    <mergeCell ref="ES93:EV103"/>
    <mergeCell ref="EY93:EZ103"/>
    <mergeCell ref="FJ93:FN104"/>
    <mergeCell ref="GC93:GE103"/>
    <mergeCell ref="GF93:GJ103"/>
    <mergeCell ref="CA106:CF109"/>
    <mergeCell ref="DD106:DI109"/>
    <mergeCell ref="GP106:GT117"/>
    <mergeCell ref="GK108:GO115"/>
    <mergeCell ref="GK93:GO104"/>
    <mergeCell ref="ET59:FG62"/>
    <mergeCell ref="FH59:HB62"/>
    <mergeCell ref="ET63:FG66"/>
    <mergeCell ref="FH63:HB66"/>
    <mergeCell ref="G112:J127"/>
    <mergeCell ref="AU114:AX117"/>
    <mergeCell ref="M118:O122"/>
    <mergeCell ref="U118:AJ120"/>
    <mergeCell ref="EF119:EI139"/>
    <mergeCell ref="AO120:AR123"/>
    <mergeCell ref="U121:AJ123"/>
    <mergeCell ref="BA125:CA128"/>
    <mergeCell ref="BA129:CA132"/>
    <mergeCell ref="G131:J146"/>
    <mergeCell ref="DX133:EA137"/>
    <mergeCell ref="M134:O138"/>
    <mergeCell ref="U134:AJ136"/>
    <mergeCell ref="CT134:DO137"/>
    <mergeCell ref="U137:AJ139"/>
    <mergeCell ref="AO137:AR140"/>
    <mergeCell ref="CL137:CP140"/>
    <mergeCell ref="CT138:DO141"/>
    <mergeCell ref="S97:AM100"/>
    <mergeCell ref="AN97:BO100"/>
    <mergeCell ref="O3:EU10"/>
    <mergeCell ref="FI3:HF7"/>
    <mergeCell ref="FI8:HF15"/>
    <mergeCell ref="ET35:HB38"/>
    <mergeCell ref="ET39:FG42"/>
    <mergeCell ref="FH39:HB42"/>
    <mergeCell ref="HB104:HE119"/>
    <mergeCell ref="GP93:GT104"/>
    <mergeCell ref="GU93:GW102"/>
    <mergeCell ref="GX93:GZ102"/>
    <mergeCell ref="ET43:FG46"/>
    <mergeCell ref="FH43:HB46"/>
    <mergeCell ref="ET47:FG50"/>
    <mergeCell ref="FH47:HB50"/>
    <mergeCell ref="ET51:FG54"/>
    <mergeCell ref="FH51:HB54"/>
    <mergeCell ref="ET67:FG70"/>
    <mergeCell ref="FH67:HB70"/>
    <mergeCell ref="ET71:FG74"/>
    <mergeCell ref="FH71:HB74"/>
    <mergeCell ref="ET75:FG78"/>
    <mergeCell ref="FH75:HB78"/>
    <mergeCell ref="ET55:FG58"/>
    <mergeCell ref="FH55:HB58"/>
  </mergeCells>
  <pageMargins left="0.5" right="0.25" top="0.5" bottom="0.25" header="0.5" footer="0.5"/>
  <pageSetup paperSize="9" scale="80" orientation="portrait" r:id="rId1"/>
  <headerFooter alignWithMargins="0"/>
</worksheet>
</file>

<file path=xl/worksheets/sheet30.xml><?xml version="1.0" encoding="utf-8"?>
<worksheet xmlns="http://schemas.openxmlformats.org/spreadsheetml/2006/main" xmlns:r="http://schemas.openxmlformats.org/officeDocument/2006/relationships">
  <sheetPr>
    <tabColor rgb="FFFFFF00"/>
  </sheetPr>
  <dimension ref="A1:GN106"/>
  <sheetViews>
    <sheetView view="pageBreakPreview" zoomScale="60" workbookViewId="0">
      <selection activeCell="EY23" sqref="EY23"/>
    </sheetView>
  </sheetViews>
  <sheetFormatPr defaultColWidth="0.7109375" defaultRowHeight="4.1500000000000004" customHeight="1"/>
  <sheetData>
    <row r="1" spans="19:164" ht="4.1500000000000004" customHeight="1">
      <c r="AM1" s="3409" t="s">
        <v>3405</v>
      </c>
      <c r="AN1" s="3409"/>
      <c r="AO1" s="3409"/>
      <c r="AP1" s="3409"/>
      <c r="AQ1" s="3409"/>
      <c r="AR1" s="3409"/>
      <c r="AS1" s="3409"/>
      <c r="AT1" s="3409"/>
      <c r="AU1" s="3409"/>
      <c r="AV1" s="3409"/>
      <c r="AW1" s="3409"/>
      <c r="AX1" s="3409"/>
      <c r="AY1" s="3409"/>
      <c r="AZ1" s="3409"/>
      <c r="BA1" s="3409"/>
      <c r="BB1" s="3409"/>
      <c r="BC1" s="3409"/>
      <c r="BD1" s="3409"/>
      <c r="BE1" s="3409"/>
      <c r="BF1" s="3409"/>
      <c r="BG1" s="3409"/>
      <c r="BH1" s="3409"/>
      <c r="BI1" s="3409"/>
      <c r="BJ1" s="3409"/>
      <c r="BK1" s="3409"/>
      <c r="BL1" s="3409"/>
      <c r="BM1" s="3409"/>
      <c r="BN1" s="3409"/>
      <c r="BO1" s="3409"/>
      <c r="BP1" s="3409"/>
      <c r="BQ1" s="3409"/>
      <c r="BR1" s="3409"/>
      <c r="BS1" s="3409"/>
      <c r="BT1" s="3409"/>
      <c r="BU1" s="3409"/>
      <c r="BV1" s="3409"/>
      <c r="BW1" s="3409"/>
      <c r="BX1" s="3409"/>
      <c r="BY1" s="3409"/>
      <c r="BZ1" s="3409"/>
      <c r="CA1" s="3409"/>
      <c r="CB1" s="3409"/>
      <c r="CC1" s="3409"/>
      <c r="CD1" s="3409"/>
      <c r="CE1" s="3409"/>
      <c r="CF1" s="3409"/>
      <c r="CG1" s="3409"/>
      <c r="CH1" s="3409"/>
      <c r="CI1" s="3409"/>
      <c r="CJ1" s="3409"/>
      <c r="CK1" s="3409"/>
      <c r="CL1" s="3409"/>
      <c r="CM1" s="3409"/>
      <c r="CN1" s="3409"/>
      <c r="CO1" s="3409"/>
      <c r="CP1" s="3409"/>
      <c r="CQ1" s="3409"/>
      <c r="CR1" s="3409"/>
      <c r="CS1" s="3409"/>
      <c r="CT1" s="3409"/>
      <c r="CU1" s="3409"/>
      <c r="CV1" s="3409"/>
      <c r="CW1" s="3409"/>
      <c r="CX1" s="3409"/>
      <c r="CY1" s="3409"/>
      <c r="CZ1" s="3409"/>
      <c r="DA1" s="3409"/>
      <c r="DB1" s="3409"/>
      <c r="DC1" s="3409"/>
      <c r="DD1" s="3409"/>
      <c r="DE1" s="3409"/>
      <c r="DF1" s="3409"/>
      <c r="DG1" s="3409"/>
      <c r="DH1" s="3409"/>
      <c r="DI1" s="3409"/>
      <c r="DJ1" s="3409"/>
      <c r="DK1" s="3409"/>
      <c r="DL1" s="3409"/>
      <c r="DM1" s="3409"/>
      <c r="DN1" s="3409"/>
      <c r="DO1" s="3409"/>
      <c r="DP1" s="3409"/>
      <c r="DQ1" s="3409"/>
      <c r="DR1" s="3409"/>
      <c r="DS1" s="3409"/>
      <c r="DT1" s="3409"/>
      <c r="DU1" s="3409"/>
      <c r="DV1" s="3409"/>
      <c r="DW1" s="3409"/>
      <c r="DX1" s="3409"/>
      <c r="DY1" s="3409"/>
      <c r="DZ1" s="3409"/>
      <c r="EA1" s="3409"/>
      <c r="EB1" s="3409"/>
      <c r="EC1" s="3409"/>
      <c r="ED1" s="3409"/>
      <c r="EE1" s="3409"/>
      <c r="EF1" s="3409"/>
      <c r="EG1" s="3409"/>
      <c r="EH1" s="3409"/>
      <c r="EI1" s="3409"/>
      <c r="EJ1" s="3409"/>
      <c r="EK1" s="3409"/>
      <c r="EL1" s="3409"/>
      <c r="EM1" s="3409"/>
      <c r="EN1" s="3409"/>
      <c r="EO1" s="3409"/>
      <c r="EP1" s="3409"/>
      <c r="EQ1" s="3409"/>
      <c r="ER1" s="3409"/>
      <c r="ES1" s="3409"/>
      <c r="ET1" s="3409"/>
      <c r="EU1" s="3409"/>
      <c r="EV1" s="3409"/>
      <c r="EW1" s="3409"/>
      <c r="EX1" s="3409"/>
      <c r="EY1" s="3409"/>
      <c r="EZ1" s="3409"/>
      <c r="FA1" s="3409"/>
    </row>
    <row r="2" spans="19:164" ht="4.1500000000000004" customHeight="1">
      <c r="AM2" s="3409"/>
      <c r="AN2" s="3409"/>
      <c r="AO2" s="3409"/>
      <c r="AP2" s="3409"/>
      <c r="AQ2" s="3409"/>
      <c r="AR2" s="3409"/>
      <c r="AS2" s="3409"/>
      <c r="AT2" s="3409"/>
      <c r="AU2" s="3409"/>
      <c r="AV2" s="3409"/>
      <c r="AW2" s="3409"/>
      <c r="AX2" s="3409"/>
      <c r="AY2" s="3409"/>
      <c r="AZ2" s="3409"/>
      <c r="BA2" s="3409"/>
      <c r="BB2" s="3409"/>
      <c r="BC2" s="3409"/>
      <c r="BD2" s="3409"/>
      <c r="BE2" s="3409"/>
      <c r="BF2" s="3409"/>
      <c r="BG2" s="3409"/>
      <c r="BH2" s="3409"/>
      <c r="BI2" s="3409"/>
      <c r="BJ2" s="3409"/>
      <c r="BK2" s="3409"/>
      <c r="BL2" s="3409"/>
      <c r="BM2" s="3409"/>
      <c r="BN2" s="3409"/>
      <c r="BO2" s="3409"/>
      <c r="BP2" s="3409"/>
      <c r="BQ2" s="3409"/>
      <c r="BR2" s="3409"/>
      <c r="BS2" s="3409"/>
      <c r="BT2" s="3409"/>
      <c r="BU2" s="3409"/>
      <c r="BV2" s="3409"/>
      <c r="BW2" s="3409"/>
      <c r="BX2" s="3409"/>
      <c r="BY2" s="3409"/>
      <c r="BZ2" s="3409"/>
      <c r="CA2" s="3409"/>
      <c r="CB2" s="3409"/>
      <c r="CC2" s="3409"/>
      <c r="CD2" s="3409"/>
      <c r="CE2" s="3409"/>
      <c r="CF2" s="3409"/>
      <c r="CG2" s="3409"/>
      <c r="CH2" s="3409"/>
      <c r="CI2" s="3409"/>
      <c r="CJ2" s="3409"/>
      <c r="CK2" s="3409"/>
      <c r="CL2" s="3409"/>
      <c r="CM2" s="3409"/>
      <c r="CN2" s="3409"/>
      <c r="CO2" s="3409"/>
      <c r="CP2" s="3409"/>
      <c r="CQ2" s="3409"/>
      <c r="CR2" s="3409"/>
      <c r="CS2" s="3409"/>
      <c r="CT2" s="3409"/>
      <c r="CU2" s="3409"/>
      <c r="CV2" s="3409"/>
      <c r="CW2" s="3409"/>
      <c r="CX2" s="3409"/>
      <c r="CY2" s="3409"/>
      <c r="CZ2" s="3409"/>
      <c r="DA2" s="3409"/>
      <c r="DB2" s="3409"/>
      <c r="DC2" s="3409"/>
      <c r="DD2" s="3409"/>
      <c r="DE2" s="3409"/>
      <c r="DF2" s="3409"/>
      <c r="DG2" s="3409"/>
      <c r="DH2" s="3409"/>
      <c r="DI2" s="3409"/>
      <c r="DJ2" s="3409"/>
      <c r="DK2" s="3409"/>
      <c r="DL2" s="3409"/>
      <c r="DM2" s="3409"/>
      <c r="DN2" s="3409"/>
      <c r="DO2" s="3409"/>
      <c r="DP2" s="3409"/>
      <c r="DQ2" s="3409"/>
      <c r="DR2" s="3409"/>
      <c r="DS2" s="3409"/>
      <c r="DT2" s="3409"/>
      <c r="DU2" s="3409"/>
      <c r="DV2" s="3409"/>
      <c r="DW2" s="3409"/>
      <c r="DX2" s="3409"/>
      <c r="DY2" s="3409"/>
      <c r="DZ2" s="3409"/>
      <c r="EA2" s="3409"/>
      <c r="EB2" s="3409"/>
      <c r="EC2" s="3409"/>
      <c r="ED2" s="3409"/>
      <c r="EE2" s="3409"/>
      <c r="EF2" s="3409"/>
      <c r="EG2" s="3409"/>
      <c r="EH2" s="3409"/>
      <c r="EI2" s="3409"/>
      <c r="EJ2" s="3409"/>
      <c r="EK2" s="3409"/>
      <c r="EL2" s="3409"/>
      <c r="EM2" s="3409"/>
      <c r="EN2" s="3409"/>
      <c r="EO2" s="3409"/>
      <c r="EP2" s="3409"/>
      <c r="EQ2" s="3409"/>
      <c r="ER2" s="3409"/>
      <c r="ES2" s="3409"/>
      <c r="ET2" s="3409"/>
      <c r="EU2" s="3409"/>
      <c r="EV2" s="3409"/>
      <c r="EW2" s="3409"/>
      <c r="EX2" s="3409"/>
      <c r="EY2" s="3409"/>
      <c r="EZ2" s="3409"/>
      <c r="FA2" s="3409"/>
    </row>
    <row r="3" spans="19:164" ht="4.1500000000000004" customHeight="1">
      <c r="AM3" s="3409"/>
      <c r="AN3" s="3409"/>
      <c r="AO3" s="3409"/>
      <c r="AP3" s="3409"/>
      <c r="AQ3" s="3409"/>
      <c r="AR3" s="3409"/>
      <c r="AS3" s="3409"/>
      <c r="AT3" s="3409"/>
      <c r="AU3" s="3409"/>
      <c r="AV3" s="3409"/>
      <c r="AW3" s="3409"/>
      <c r="AX3" s="3409"/>
      <c r="AY3" s="3409"/>
      <c r="AZ3" s="3409"/>
      <c r="BA3" s="3409"/>
      <c r="BB3" s="3409"/>
      <c r="BC3" s="3409"/>
      <c r="BD3" s="3409"/>
      <c r="BE3" s="3409"/>
      <c r="BF3" s="3409"/>
      <c r="BG3" s="3409"/>
      <c r="BH3" s="3409"/>
      <c r="BI3" s="3409"/>
      <c r="BJ3" s="3409"/>
      <c r="BK3" s="3409"/>
      <c r="BL3" s="3409"/>
      <c r="BM3" s="3409"/>
      <c r="BN3" s="3409"/>
      <c r="BO3" s="3409"/>
      <c r="BP3" s="3409"/>
      <c r="BQ3" s="3409"/>
      <c r="BR3" s="3409"/>
      <c r="BS3" s="3409"/>
      <c r="BT3" s="3409"/>
      <c r="BU3" s="3409"/>
      <c r="BV3" s="3409"/>
      <c r="BW3" s="3409"/>
      <c r="BX3" s="3409"/>
      <c r="BY3" s="3409"/>
      <c r="BZ3" s="3409"/>
      <c r="CA3" s="3409"/>
      <c r="CB3" s="3409"/>
      <c r="CC3" s="3409"/>
      <c r="CD3" s="3409"/>
      <c r="CE3" s="3409"/>
      <c r="CF3" s="3409"/>
      <c r="CG3" s="3409"/>
      <c r="CH3" s="3409"/>
      <c r="CI3" s="3409"/>
      <c r="CJ3" s="3409"/>
      <c r="CK3" s="3409"/>
      <c r="CL3" s="3409"/>
      <c r="CM3" s="3409"/>
      <c r="CN3" s="3409"/>
      <c r="CO3" s="3409"/>
      <c r="CP3" s="3409"/>
      <c r="CQ3" s="3409"/>
      <c r="CR3" s="3409"/>
      <c r="CS3" s="3409"/>
      <c r="CT3" s="3409"/>
      <c r="CU3" s="3409"/>
      <c r="CV3" s="3409"/>
      <c r="CW3" s="3409"/>
      <c r="CX3" s="3409"/>
      <c r="CY3" s="3409"/>
      <c r="CZ3" s="3409"/>
      <c r="DA3" s="3409"/>
      <c r="DB3" s="3409"/>
      <c r="DC3" s="3409"/>
      <c r="DD3" s="3409"/>
      <c r="DE3" s="3409"/>
      <c r="DF3" s="3409"/>
      <c r="DG3" s="3409"/>
      <c r="DH3" s="3409"/>
      <c r="DI3" s="3409"/>
      <c r="DJ3" s="3409"/>
      <c r="DK3" s="3409"/>
      <c r="DL3" s="3409"/>
      <c r="DM3" s="3409"/>
      <c r="DN3" s="3409"/>
      <c r="DO3" s="3409"/>
      <c r="DP3" s="3409"/>
      <c r="DQ3" s="3409"/>
      <c r="DR3" s="3409"/>
      <c r="DS3" s="3409"/>
      <c r="DT3" s="3409"/>
      <c r="DU3" s="3409"/>
      <c r="DV3" s="3409"/>
      <c r="DW3" s="3409"/>
      <c r="DX3" s="3409"/>
      <c r="DY3" s="3409"/>
      <c r="DZ3" s="3409"/>
      <c r="EA3" s="3409"/>
      <c r="EB3" s="3409"/>
      <c r="EC3" s="3409"/>
      <c r="ED3" s="3409"/>
      <c r="EE3" s="3409"/>
      <c r="EF3" s="3409"/>
      <c r="EG3" s="3409"/>
      <c r="EH3" s="3409"/>
      <c r="EI3" s="3409"/>
      <c r="EJ3" s="3409"/>
      <c r="EK3" s="3409"/>
      <c r="EL3" s="3409"/>
      <c r="EM3" s="3409"/>
      <c r="EN3" s="3409"/>
      <c r="EO3" s="3409"/>
      <c r="EP3" s="3409"/>
      <c r="EQ3" s="3409"/>
      <c r="ER3" s="3409"/>
      <c r="ES3" s="3409"/>
      <c r="ET3" s="3409"/>
      <c r="EU3" s="3409"/>
      <c r="EV3" s="3409"/>
      <c r="EW3" s="3409"/>
      <c r="EX3" s="3409"/>
      <c r="EY3" s="3409"/>
      <c r="EZ3" s="3409"/>
      <c r="FA3" s="3409"/>
    </row>
    <row r="4" spans="19:164" ht="4.1500000000000004" customHeight="1">
      <c r="AM4" s="3409"/>
      <c r="AN4" s="3409"/>
      <c r="AO4" s="3409"/>
      <c r="AP4" s="3409"/>
      <c r="AQ4" s="3409"/>
      <c r="AR4" s="3409"/>
      <c r="AS4" s="3409"/>
      <c r="AT4" s="3409"/>
      <c r="AU4" s="3409"/>
      <c r="AV4" s="3409"/>
      <c r="AW4" s="3409"/>
      <c r="AX4" s="3409"/>
      <c r="AY4" s="3409"/>
      <c r="AZ4" s="3409"/>
      <c r="BA4" s="3409"/>
      <c r="BB4" s="3409"/>
      <c r="BC4" s="3409"/>
      <c r="BD4" s="3409"/>
      <c r="BE4" s="3409"/>
      <c r="BF4" s="3409"/>
      <c r="BG4" s="3409"/>
      <c r="BH4" s="3409"/>
      <c r="BI4" s="3409"/>
      <c r="BJ4" s="3409"/>
      <c r="BK4" s="3409"/>
      <c r="BL4" s="3409"/>
      <c r="BM4" s="3409"/>
      <c r="BN4" s="3409"/>
      <c r="BO4" s="3409"/>
      <c r="BP4" s="3409"/>
      <c r="BQ4" s="3409"/>
      <c r="BR4" s="3409"/>
      <c r="BS4" s="3409"/>
      <c r="BT4" s="3409"/>
      <c r="BU4" s="3409"/>
      <c r="BV4" s="3409"/>
      <c r="BW4" s="3409"/>
      <c r="BX4" s="3409"/>
      <c r="BY4" s="3409"/>
      <c r="BZ4" s="3409"/>
      <c r="CA4" s="3409"/>
      <c r="CB4" s="3409"/>
      <c r="CC4" s="3409"/>
      <c r="CD4" s="3409"/>
      <c r="CE4" s="3409"/>
      <c r="CF4" s="3409"/>
      <c r="CG4" s="3409"/>
      <c r="CH4" s="3409"/>
      <c r="CI4" s="3409"/>
      <c r="CJ4" s="3409"/>
      <c r="CK4" s="3409"/>
      <c r="CL4" s="3409"/>
      <c r="CM4" s="3409"/>
      <c r="CN4" s="3409"/>
      <c r="CO4" s="3409"/>
      <c r="CP4" s="3409"/>
      <c r="CQ4" s="3409"/>
      <c r="CR4" s="3409"/>
      <c r="CS4" s="3409"/>
      <c r="CT4" s="3409"/>
      <c r="CU4" s="3409"/>
      <c r="CV4" s="3409"/>
      <c r="CW4" s="3409"/>
      <c r="CX4" s="3409"/>
      <c r="CY4" s="3409"/>
      <c r="CZ4" s="3409"/>
      <c r="DA4" s="3409"/>
      <c r="DB4" s="3409"/>
      <c r="DC4" s="3409"/>
      <c r="DD4" s="3409"/>
      <c r="DE4" s="3409"/>
      <c r="DF4" s="3409"/>
      <c r="DG4" s="3409"/>
      <c r="DH4" s="3409"/>
      <c r="DI4" s="3409"/>
      <c r="DJ4" s="3409"/>
      <c r="DK4" s="3409"/>
      <c r="DL4" s="3409"/>
      <c r="DM4" s="3409"/>
      <c r="DN4" s="3409"/>
      <c r="DO4" s="3409"/>
      <c r="DP4" s="3409"/>
      <c r="DQ4" s="3409"/>
      <c r="DR4" s="3409"/>
      <c r="DS4" s="3409"/>
      <c r="DT4" s="3409"/>
      <c r="DU4" s="3409"/>
      <c r="DV4" s="3409"/>
      <c r="DW4" s="3409"/>
      <c r="DX4" s="3409"/>
      <c r="DY4" s="3409"/>
      <c r="DZ4" s="3409"/>
      <c r="EA4" s="3409"/>
      <c r="EB4" s="3409"/>
      <c r="EC4" s="3409"/>
      <c r="ED4" s="3409"/>
      <c r="EE4" s="3409"/>
      <c r="EF4" s="3409"/>
      <c r="EG4" s="3409"/>
      <c r="EH4" s="3409"/>
      <c r="EI4" s="3409"/>
      <c r="EJ4" s="3409"/>
      <c r="EK4" s="3409"/>
      <c r="EL4" s="3409"/>
      <c r="EM4" s="3409"/>
      <c r="EN4" s="3409"/>
      <c r="EO4" s="3409"/>
      <c r="EP4" s="3409"/>
      <c r="EQ4" s="3409"/>
      <c r="ER4" s="3409"/>
      <c r="ES4" s="3409"/>
      <c r="ET4" s="3409"/>
      <c r="EU4" s="3409"/>
      <c r="EV4" s="3409"/>
      <c r="EW4" s="3409"/>
      <c r="EX4" s="3409"/>
      <c r="EY4" s="3409"/>
      <c r="EZ4" s="3409"/>
      <c r="FA4" s="3409"/>
    </row>
    <row r="5" spans="19:164" ht="4.1500000000000004" customHeight="1">
      <c r="AM5" s="3409"/>
      <c r="AN5" s="3409"/>
      <c r="AO5" s="3409"/>
      <c r="AP5" s="3409"/>
      <c r="AQ5" s="3409"/>
      <c r="AR5" s="3409"/>
      <c r="AS5" s="3409"/>
      <c r="AT5" s="3409"/>
      <c r="AU5" s="3409"/>
      <c r="AV5" s="3409"/>
      <c r="AW5" s="3409"/>
      <c r="AX5" s="3409"/>
      <c r="AY5" s="3409"/>
      <c r="AZ5" s="3409"/>
      <c r="BA5" s="3409"/>
      <c r="BB5" s="3409"/>
      <c r="BC5" s="3409"/>
      <c r="BD5" s="3409"/>
      <c r="BE5" s="3409"/>
      <c r="BF5" s="3409"/>
      <c r="BG5" s="3409"/>
      <c r="BH5" s="3409"/>
      <c r="BI5" s="3409"/>
      <c r="BJ5" s="3409"/>
      <c r="BK5" s="3409"/>
      <c r="BL5" s="3409"/>
      <c r="BM5" s="3409"/>
      <c r="BN5" s="3409"/>
      <c r="BO5" s="3409"/>
      <c r="BP5" s="3409"/>
      <c r="BQ5" s="3409"/>
      <c r="BR5" s="3409"/>
      <c r="BS5" s="3409"/>
      <c r="BT5" s="3409"/>
      <c r="BU5" s="3409"/>
      <c r="BV5" s="3409"/>
      <c r="BW5" s="3409"/>
      <c r="BX5" s="3409"/>
      <c r="BY5" s="3409"/>
      <c r="BZ5" s="3409"/>
      <c r="CA5" s="3409"/>
      <c r="CB5" s="3409"/>
      <c r="CC5" s="3409"/>
      <c r="CD5" s="3409"/>
      <c r="CE5" s="3409"/>
      <c r="CF5" s="3409"/>
      <c r="CG5" s="3409"/>
      <c r="CH5" s="3409"/>
      <c r="CI5" s="3409"/>
      <c r="CJ5" s="3409"/>
      <c r="CK5" s="3409"/>
      <c r="CL5" s="3409"/>
      <c r="CM5" s="3409"/>
      <c r="CN5" s="3409"/>
      <c r="CO5" s="3409"/>
      <c r="CP5" s="3409"/>
      <c r="CQ5" s="3409"/>
      <c r="CR5" s="3409"/>
      <c r="CS5" s="3409"/>
      <c r="CT5" s="3409"/>
      <c r="CU5" s="3409"/>
      <c r="CV5" s="3409"/>
      <c r="CW5" s="3409"/>
      <c r="CX5" s="3409"/>
      <c r="CY5" s="3409"/>
      <c r="CZ5" s="3409"/>
      <c r="DA5" s="3409"/>
      <c r="DB5" s="3409"/>
      <c r="DC5" s="3409"/>
      <c r="DD5" s="3409"/>
      <c r="DE5" s="3409"/>
      <c r="DF5" s="3409"/>
      <c r="DG5" s="3409"/>
      <c r="DH5" s="3409"/>
      <c r="DI5" s="3409"/>
      <c r="DJ5" s="3409"/>
      <c r="DK5" s="3409"/>
      <c r="DL5" s="3409"/>
      <c r="DM5" s="3409"/>
      <c r="DN5" s="3409"/>
      <c r="DO5" s="3409"/>
      <c r="DP5" s="3409"/>
      <c r="DQ5" s="3409"/>
      <c r="DR5" s="3409"/>
      <c r="DS5" s="3409"/>
      <c r="DT5" s="3409"/>
      <c r="DU5" s="3409"/>
      <c r="DV5" s="3409"/>
      <c r="DW5" s="3409"/>
      <c r="DX5" s="3409"/>
      <c r="DY5" s="3409"/>
      <c r="DZ5" s="3409"/>
      <c r="EA5" s="3409"/>
      <c r="EB5" s="3409"/>
      <c r="EC5" s="3409"/>
      <c r="ED5" s="3409"/>
      <c r="EE5" s="3409"/>
      <c r="EF5" s="3409"/>
      <c r="EG5" s="3409"/>
      <c r="EH5" s="3409"/>
      <c r="EI5" s="3409"/>
      <c r="EJ5" s="3409"/>
      <c r="EK5" s="3409"/>
      <c r="EL5" s="3409"/>
      <c r="EM5" s="3409"/>
      <c r="EN5" s="3409"/>
      <c r="EO5" s="3409"/>
      <c r="EP5" s="3409"/>
      <c r="EQ5" s="3409"/>
      <c r="ER5" s="3409"/>
      <c r="ES5" s="3409"/>
      <c r="ET5" s="3409"/>
      <c r="EU5" s="3409"/>
      <c r="EV5" s="3409"/>
      <c r="EW5" s="3409"/>
      <c r="EX5" s="3409"/>
      <c r="EY5" s="3409"/>
      <c r="EZ5" s="3409"/>
      <c r="FA5" s="3409"/>
    </row>
    <row r="12" spans="19:164" ht="4.1500000000000004" customHeight="1">
      <c r="W12" s="3406">
        <v>0.125</v>
      </c>
      <c r="X12" s="3407"/>
      <c r="Y12" s="3407"/>
      <c r="Z12" s="3407"/>
      <c r="AA12" s="3407"/>
      <c r="AB12" s="3408"/>
      <c r="CK12" s="3406">
        <v>0.125</v>
      </c>
      <c r="CL12" s="3407"/>
      <c r="CM12" s="3407"/>
      <c r="CN12" s="3407"/>
      <c r="CO12" s="3407"/>
      <c r="CP12" s="3408"/>
      <c r="EY12" s="3406">
        <v>0.125</v>
      </c>
      <c r="EZ12" s="3407"/>
      <c r="FA12" s="3407"/>
      <c r="FB12" s="3407"/>
      <c r="FC12" s="3407"/>
      <c r="FD12" s="3408"/>
    </row>
    <row r="13" spans="19:164" ht="4.1500000000000004" customHeight="1">
      <c r="W13" s="3406"/>
      <c r="X13" s="3407"/>
      <c r="Y13" s="3407"/>
      <c r="Z13" s="3407"/>
      <c r="AA13" s="3407"/>
      <c r="AB13" s="3408"/>
      <c r="CK13" s="3406"/>
      <c r="CL13" s="3407"/>
      <c r="CM13" s="3407"/>
      <c r="CN13" s="3407"/>
      <c r="CO13" s="3407"/>
      <c r="CP13" s="3408"/>
      <c r="EY13" s="3406"/>
      <c r="EZ13" s="3407"/>
      <c r="FA13" s="3407"/>
      <c r="FB13" s="3407"/>
      <c r="FC13" s="3407"/>
      <c r="FD13" s="3408"/>
    </row>
    <row r="14" spans="19:164" ht="4.1500000000000004" customHeight="1">
      <c r="W14" s="3406"/>
      <c r="X14" s="3407"/>
      <c r="Y14" s="3407"/>
      <c r="Z14" s="3407"/>
      <c r="AA14" s="3407"/>
      <c r="AB14" s="3408"/>
      <c r="CK14" s="3406"/>
      <c r="CL14" s="3407"/>
      <c r="CM14" s="3407"/>
      <c r="CN14" s="3407"/>
      <c r="CO14" s="3407"/>
      <c r="CP14" s="3408"/>
      <c r="EY14" s="3406"/>
      <c r="EZ14" s="3407"/>
      <c r="FA14" s="3407"/>
      <c r="FB14" s="3407"/>
      <c r="FC14" s="3407"/>
      <c r="FD14" s="3408"/>
    </row>
    <row r="16" spans="19:164" ht="4.1500000000000004" customHeight="1">
      <c r="S16" s="2670">
        <v>0.375</v>
      </c>
      <c r="T16" s="2579"/>
      <c r="U16" s="2579"/>
      <c r="V16" s="2579"/>
      <c r="W16" s="2579"/>
      <c r="X16" s="2579"/>
      <c r="Y16" s="2579"/>
      <c r="Z16" s="2579"/>
      <c r="AA16" s="2579"/>
      <c r="AB16" s="2579"/>
      <c r="AC16" s="2579"/>
      <c r="AD16" s="2579"/>
      <c r="AE16" s="2579"/>
      <c r="AF16" s="2669"/>
      <c r="CG16" s="2670">
        <v>0.375</v>
      </c>
      <c r="CH16" s="2579"/>
      <c r="CI16" s="2579"/>
      <c r="CJ16" s="2579"/>
      <c r="CK16" s="2579"/>
      <c r="CL16" s="2579"/>
      <c r="CM16" s="2579"/>
      <c r="CN16" s="2579"/>
      <c r="CO16" s="2579"/>
      <c r="CP16" s="2579"/>
      <c r="CQ16" s="2579"/>
      <c r="CR16" s="2579"/>
      <c r="CS16" s="2579"/>
      <c r="CT16" s="2669"/>
      <c r="EU16" s="2670">
        <v>0.375</v>
      </c>
      <c r="EV16" s="2579"/>
      <c r="EW16" s="2579"/>
      <c r="EX16" s="2579"/>
      <c r="EY16" s="2579"/>
      <c r="EZ16" s="2579"/>
      <c r="FA16" s="2579"/>
      <c r="FB16" s="2579"/>
      <c r="FC16" s="2579"/>
      <c r="FD16" s="2579"/>
      <c r="FE16" s="2579"/>
      <c r="FF16" s="2579"/>
      <c r="FG16" s="2579"/>
      <c r="FH16" s="2669"/>
    </row>
    <row r="17" spans="19:185" ht="4.1500000000000004" customHeight="1">
      <c r="S17" s="2670"/>
      <c r="T17" s="2579"/>
      <c r="U17" s="2579"/>
      <c r="V17" s="2579"/>
      <c r="W17" s="2579"/>
      <c r="X17" s="2579"/>
      <c r="Y17" s="2579"/>
      <c r="Z17" s="2579"/>
      <c r="AA17" s="2579"/>
      <c r="AB17" s="2579"/>
      <c r="AC17" s="2579"/>
      <c r="AD17" s="2579"/>
      <c r="AE17" s="2579"/>
      <c r="AF17" s="2669"/>
      <c r="CG17" s="2670"/>
      <c r="CH17" s="2579"/>
      <c r="CI17" s="2579"/>
      <c r="CJ17" s="2579"/>
      <c r="CK17" s="2579"/>
      <c r="CL17" s="2579"/>
      <c r="CM17" s="2579"/>
      <c r="CN17" s="2579"/>
      <c r="CO17" s="2579"/>
      <c r="CP17" s="2579"/>
      <c r="CQ17" s="2579"/>
      <c r="CR17" s="2579"/>
      <c r="CS17" s="2579"/>
      <c r="CT17" s="2669"/>
      <c r="EU17" s="2670"/>
      <c r="EV17" s="2579"/>
      <c r="EW17" s="2579"/>
      <c r="EX17" s="2579"/>
      <c r="EY17" s="2579"/>
      <c r="EZ17" s="2579"/>
      <c r="FA17" s="2579"/>
      <c r="FB17" s="2579"/>
      <c r="FC17" s="2579"/>
      <c r="FD17" s="2579"/>
      <c r="FE17" s="2579"/>
      <c r="FF17" s="2579"/>
      <c r="FG17" s="2579"/>
      <c r="FH17" s="2669"/>
    </row>
    <row r="18" spans="19:185" ht="4.1500000000000004" customHeight="1">
      <c r="S18" s="2670"/>
      <c r="T18" s="2579"/>
      <c r="U18" s="2579"/>
      <c r="V18" s="2579"/>
      <c r="W18" s="2579"/>
      <c r="X18" s="2579"/>
      <c r="Y18" s="2579"/>
      <c r="Z18" s="2579"/>
      <c r="AA18" s="2579"/>
      <c r="AB18" s="2579"/>
      <c r="AC18" s="2579"/>
      <c r="AD18" s="2579"/>
      <c r="AE18" s="2579"/>
      <c r="AF18" s="2669"/>
      <c r="CG18" s="2670"/>
      <c r="CH18" s="2579"/>
      <c r="CI18" s="2579"/>
      <c r="CJ18" s="2579"/>
      <c r="CK18" s="2579"/>
      <c r="CL18" s="2579"/>
      <c r="CM18" s="2579"/>
      <c r="CN18" s="2579"/>
      <c r="CO18" s="2579"/>
      <c r="CP18" s="2579"/>
      <c r="CQ18" s="2579"/>
      <c r="CR18" s="2579"/>
      <c r="CS18" s="2579"/>
      <c r="CT18" s="2669"/>
      <c r="EU18" s="2670"/>
      <c r="EV18" s="2579"/>
      <c r="EW18" s="2579"/>
      <c r="EX18" s="2579"/>
      <c r="EY18" s="2579"/>
      <c r="EZ18" s="2579"/>
      <c r="FA18" s="2579"/>
      <c r="FB18" s="2579"/>
      <c r="FC18" s="2579"/>
      <c r="FD18" s="2579"/>
      <c r="FE18" s="2579"/>
      <c r="FF18" s="2579"/>
      <c r="FG18" s="2579"/>
      <c r="FH18" s="2669"/>
    </row>
    <row r="20" spans="19:185" ht="4.1500000000000004" customHeight="1">
      <c r="S20" s="2673"/>
      <c r="T20" s="2673"/>
      <c r="U20" s="2673"/>
      <c r="V20" s="2673"/>
      <c r="W20" s="412"/>
      <c r="X20" s="412"/>
      <c r="Y20" s="412"/>
      <c r="Z20" s="412"/>
      <c r="AA20" s="412"/>
      <c r="AB20" s="412"/>
      <c r="AC20" s="2675"/>
      <c r="AD20" s="2675"/>
      <c r="AE20" s="2675"/>
      <c r="AF20" s="2675"/>
      <c r="AQ20" s="2838">
        <v>7.4999999999999997E-2</v>
      </c>
      <c r="AR20" s="2838"/>
      <c r="AS20" s="2838"/>
      <c r="AT20" s="2838"/>
      <c r="AU20" s="2838"/>
      <c r="AV20" s="2838"/>
      <c r="AW20" s="2838"/>
      <c r="AX20" s="2838"/>
      <c r="AY20" s="2838"/>
      <c r="AZ20" s="2838"/>
      <c r="BA20" s="2838"/>
      <c r="CG20" s="2673"/>
      <c r="CH20" s="2673"/>
      <c r="CI20" s="2673"/>
      <c r="CJ20" s="2673"/>
      <c r="CK20" s="412"/>
      <c r="CL20" s="412"/>
      <c r="CM20" s="412"/>
      <c r="CN20" s="412"/>
      <c r="CO20" s="412"/>
      <c r="CP20" s="412"/>
      <c r="CQ20" s="2675"/>
      <c r="CR20" s="2675"/>
      <c r="CS20" s="2675"/>
      <c r="CT20" s="2675"/>
      <c r="DE20" s="2838">
        <v>7.4999999999999997E-2</v>
      </c>
      <c r="DF20" s="2838"/>
      <c r="DG20" s="2838"/>
      <c r="DH20" s="2838"/>
      <c r="DI20" s="2838"/>
      <c r="DJ20" s="2838"/>
      <c r="DK20" s="2838"/>
      <c r="DL20" s="2838"/>
      <c r="DM20" s="2838"/>
      <c r="DN20" s="2838"/>
      <c r="DO20" s="2838"/>
      <c r="EU20" s="2673"/>
      <c r="EV20" s="2673"/>
      <c r="EW20" s="2673"/>
      <c r="EX20" s="2673"/>
      <c r="EY20" s="412"/>
      <c r="EZ20" s="412"/>
      <c r="FA20" s="412"/>
      <c r="FB20" s="412"/>
      <c r="FC20" s="412"/>
      <c r="FD20" s="412"/>
      <c r="FE20" s="2675"/>
      <c r="FF20" s="2675"/>
      <c r="FG20" s="2675"/>
      <c r="FH20" s="2675"/>
      <c r="FS20" s="2838">
        <v>7.4999999999999997E-2</v>
      </c>
      <c r="FT20" s="2838"/>
      <c r="FU20" s="2838"/>
      <c r="FV20" s="2838"/>
      <c r="FW20" s="2838"/>
      <c r="FX20" s="2838"/>
      <c r="FY20" s="2838"/>
      <c r="FZ20" s="2838"/>
      <c r="GA20" s="2838"/>
      <c r="GB20" s="2838"/>
      <c r="GC20" s="2838"/>
    </row>
    <row r="21" spans="19:185" ht="4.1500000000000004" customHeight="1">
      <c r="S21" s="2673"/>
      <c r="T21" s="2673"/>
      <c r="U21" s="2673"/>
      <c r="V21" s="2673"/>
      <c r="AC21" s="2675"/>
      <c r="AD21" s="2675"/>
      <c r="AE21" s="2675"/>
      <c r="AF21" s="2675"/>
      <c r="AQ21" s="2808"/>
      <c r="AR21" s="2808"/>
      <c r="AS21" s="2808"/>
      <c r="AT21" s="2808"/>
      <c r="AU21" s="2808"/>
      <c r="AV21" s="2808"/>
      <c r="AW21" s="2808"/>
      <c r="AX21" s="2808"/>
      <c r="AY21" s="2808"/>
      <c r="AZ21" s="2808"/>
      <c r="BA21" s="2808"/>
      <c r="CG21" s="2673"/>
      <c r="CH21" s="2673"/>
      <c r="CI21" s="2673"/>
      <c r="CJ21" s="2673"/>
      <c r="CQ21" s="2675"/>
      <c r="CR21" s="2675"/>
      <c r="CS21" s="2675"/>
      <c r="CT21" s="2675"/>
      <c r="DE21" s="2808"/>
      <c r="DF21" s="2808"/>
      <c r="DG21" s="2808"/>
      <c r="DH21" s="2808"/>
      <c r="DI21" s="2808"/>
      <c r="DJ21" s="2808"/>
      <c r="DK21" s="2808"/>
      <c r="DL21" s="2808"/>
      <c r="DM21" s="2808"/>
      <c r="DN21" s="2808"/>
      <c r="DO21" s="2808"/>
      <c r="EU21" s="2673"/>
      <c r="EV21" s="2673"/>
      <c r="EW21" s="2673"/>
      <c r="EX21" s="2673"/>
      <c r="FE21" s="2675"/>
      <c r="FF21" s="2675"/>
      <c r="FG21" s="2675"/>
      <c r="FH21" s="2675"/>
      <c r="FS21" s="2808"/>
      <c r="FT21" s="2808"/>
      <c r="FU21" s="2808"/>
      <c r="FV21" s="2808"/>
      <c r="FW21" s="2808"/>
      <c r="FX21" s="2808"/>
      <c r="FY21" s="2808"/>
      <c r="FZ21" s="2808"/>
      <c r="GA21" s="2808"/>
      <c r="GB21" s="2808"/>
      <c r="GC21" s="2808"/>
    </row>
    <row r="22" spans="19:185" ht="4.1500000000000004" customHeight="1">
      <c r="S22" s="2673"/>
      <c r="T22" s="2673"/>
      <c r="U22" s="2673"/>
      <c r="V22" s="2673"/>
      <c r="AC22" s="2675"/>
      <c r="AD22" s="2675"/>
      <c r="AE22" s="2675"/>
      <c r="AF22" s="2675"/>
      <c r="AQ22" s="2809"/>
      <c r="AR22" s="2809"/>
      <c r="AS22" s="2809"/>
      <c r="AT22" s="2809"/>
      <c r="AU22" s="2809"/>
      <c r="AV22" s="2809"/>
      <c r="AW22" s="2809"/>
      <c r="AX22" s="2809"/>
      <c r="AY22" s="2809"/>
      <c r="AZ22" s="2809"/>
      <c r="BA22" s="2809"/>
      <c r="CG22" s="2673"/>
      <c r="CH22" s="2673"/>
      <c r="CI22" s="2673"/>
      <c r="CJ22" s="2673"/>
      <c r="CQ22" s="2675"/>
      <c r="CR22" s="2675"/>
      <c r="CS22" s="2675"/>
      <c r="CT22" s="2675"/>
      <c r="DE22" s="2809"/>
      <c r="DF22" s="2809"/>
      <c r="DG22" s="2809"/>
      <c r="DH22" s="2809"/>
      <c r="DI22" s="2809"/>
      <c r="DJ22" s="2809"/>
      <c r="DK22" s="2809"/>
      <c r="DL22" s="2809"/>
      <c r="DM22" s="2809"/>
      <c r="DN22" s="2809"/>
      <c r="DO22" s="2809"/>
      <c r="EU22" s="2673"/>
      <c r="EV22" s="2673"/>
      <c r="EW22" s="2673"/>
      <c r="EX22" s="2673"/>
      <c r="FE22" s="2675"/>
      <c r="FF22" s="2675"/>
      <c r="FG22" s="2675"/>
      <c r="FH22" s="2675"/>
      <c r="FS22" s="2809"/>
      <c r="FT22" s="2809"/>
      <c r="FU22" s="2809"/>
      <c r="FV22" s="2809"/>
      <c r="FW22" s="2809"/>
      <c r="FX22" s="2809"/>
      <c r="FY22" s="2809"/>
      <c r="FZ22" s="2809"/>
      <c r="GA22" s="2809"/>
      <c r="GB22" s="2809"/>
      <c r="GC22" s="2809"/>
    </row>
    <row r="23" spans="19:185" ht="4.1500000000000004" customHeight="1">
      <c r="S23" s="414"/>
      <c r="AF23" s="415"/>
      <c r="AQ23" s="2838">
        <v>7.4999999999999997E-2</v>
      </c>
      <c r="AR23" s="2838"/>
      <c r="AS23" s="2838"/>
      <c r="AT23" s="2838"/>
      <c r="AU23" s="2838"/>
      <c r="AV23" s="2838"/>
      <c r="AW23" s="2838"/>
      <c r="AX23" s="2838"/>
      <c r="AY23" s="2838"/>
      <c r="AZ23" s="2838"/>
      <c r="BA23" s="2838"/>
      <c r="CG23" s="414"/>
      <c r="CT23" s="415"/>
      <c r="DE23" s="2838">
        <v>7.4999999999999997E-2</v>
      </c>
      <c r="DF23" s="2838"/>
      <c r="DG23" s="2838"/>
      <c r="DH23" s="2838"/>
      <c r="DI23" s="2838"/>
      <c r="DJ23" s="2838"/>
      <c r="DK23" s="2838"/>
      <c r="DL23" s="2838"/>
      <c r="DM23" s="2838"/>
      <c r="DN23" s="2838"/>
      <c r="DO23" s="2838"/>
      <c r="EU23" s="414"/>
      <c r="FH23" s="415"/>
      <c r="FS23" s="2838">
        <v>7.4999999999999997E-2</v>
      </c>
      <c r="FT23" s="2838"/>
      <c r="FU23" s="2838"/>
      <c r="FV23" s="2838"/>
      <c r="FW23" s="2838"/>
      <c r="FX23" s="2838"/>
      <c r="FY23" s="2838"/>
      <c r="FZ23" s="2838"/>
      <c r="GA23" s="2838"/>
      <c r="GB23" s="2838"/>
      <c r="GC23" s="2838"/>
    </row>
    <row r="24" spans="19:185" ht="4.1500000000000004" customHeight="1">
      <c r="S24" s="414"/>
      <c r="AF24" s="415"/>
      <c r="AQ24" s="2808"/>
      <c r="AR24" s="2808"/>
      <c r="AS24" s="2808"/>
      <c r="AT24" s="2808"/>
      <c r="AU24" s="2808"/>
      <c r="AV24" s="2808"/>
      <c r="AW24" s="2808"/>
      <c r="AX24" s="2808"/>
      <c r="AY24" s="2808"/>
      <c r="AZ24" s="2808"/>
      <c r="BA24" s="2808"/>
      <c r="CG24" s="414"/>
      <c r="CT24" s="415"/>
      <c r="DE24" s="2808"/>
      <c r="DF24" s="2808"/>
      <c r="DG24" s="2808"/>
      <c r="DH24" s="2808"/>
      <c r="DI24" s="2808"/>
      <c r="DJ24" s="2808"/>
      <c r="DK24" s="2808"/>
      <c r="DL24" s="2808"/>
      <c r="DM24" s="2808"/>
      <c r="DN24" s="2808"/>
      <c r="DO24" s="2808"/>
      <c r="EU24" s="414"/>
      <c r="FH24" s="415"/>
      <c r="FS24" s="2808"/>
      <c r="FT24" s="2808"/>
      <c r="FU24" s="2808"/>
      <c r="FV24" s="2808"/>
      <c r="FW24" s="2808"/>
      <c r="FX24" s="2808"/>
      <c r="FY24" s="2808"/>
      <c r="FZ24" s="2808"/>
      <c r="GA24" s="2808"/>
      <c r="GB24" s="2808"/>
      <c r="GC24" s="2808"/>
    </row>
    <row r="25" spans="19:185" ht="4.1500000000000004" customHeight="1">
      <c r="S25" s="416"/>
      <c r="T25" s="417"/>
      <c r="U25" s="417"/>
      <c r="V25" s="417"/>
      <c r="W25" s="417"/>
      <c r="X25" s="417"/>
      <c r="Y25" s="417"/>
      <c r="Z25" s="417"/>
      <c r="AA25" s="417"/>
      <c r="AB25" s="417"/>
      <c r="AC25" s="417"/>
      <c r="AD25" s="417"/>
      <c r="AE25" s="417"/>
      <c r="AF25" s="418"/>
      <c r="AQ25" s="2809"/>
      <c r="AR25" s="2809"/>
      <c r="AS25" s="2809"/>
      <c r="AT25" s="2809"/>
      <c r="AU25" s="2809"/>
      <c r="AV25" s="2809"/>
      <c r="AW25" s="2809"/>
      <c r="AX25" s="2809"/>
      <c r="AY25" s="2809"/>
      <c r="AZ25" s="2809"/>
      <c r="BA25" s="2809"/>
      <c r="CG25" s="416"/>
      <c r="CH25" s="417"/>
      <c r="CI25" s="417"/>
      <c r="CJ25" s="417"/>
      <c r="CK25" s="417"/>
      <c r="CL25" s="417"/>
      <c r="CM25" s="417"/>
      <c r="CN25" s="417"/>
      <c r="CO25" s="417"/>
      <c r="CP25" s="417"/>
      <c r="CQ25" s="417"/>
      <c r="CR25" s="417"/>
      <c r="CS25" s="417"/>
      <c r="CT25" s="418"/>
      <c r="DE25" s="2809"/>
      <c r="DF25" s="2809"/>
      <c r="DG25" s="2809"/>
      <c r="DH25" s="2809"/>
      <c r="DI25" s="2809"/>
      <c r="DJ25" s="2809"/>
      <c r="DK25" s="2809"/>
      <c r="DL25" s="2809"/>
      <c r="DM25" s="2809"/>
      <c r="DN25" s="2809"/>
      <c r="DO25" s="2809"/>
      <c r="EU25" s="416"/>
      <c r="EV25" s="417"/>
      <c r="EW25" s="417"/>
      <c r="EX25" s="417"/>
      <c r="EY25" s="417"/>
      <c r="EZ25" s="417"/>
      <c r="FA25" s="417"/>
      <c r="FB25" s="417"/>
      <c r="FC25" s="417"/>
      <c r="FD25" s="417"/>
      <c r="FE25" s="417"/>
      <c r="FF25" s="417"/>
      <c r="FG25" s="417"/>
      <c r="FH25" s="418"/>
      <c r="FS25" s="2809"/>
      <c r="FT25" s="2809"/>
      <c r="FU25" s="2809"/>
      <c r="FV25" s="2809"/>
      <c r="FW25" s="2809"/>
      <c r="FX25" s="2809"/>
      <c r="FY25" s="2809"/>
      <c r="FZ25" s="2809"/>
      <c r="GA25" s="2809"/>
      <c r="GB25" s="2809"/>
      <c r="GC25" s="2809"/>
    </row>
    <row r="26" spans="19:185" ht="4.1500000000000004" customHeight="1">
      <c r="U26" s="414"/>
      <c r="AD26" s="415"/>
      <c r="AQ26" s="412"/>
      <c r="AR26" s="412"/>
      <c r="AS26" s="412"/>
      <c r="AT26" s="412"/>
      <c r="AU26" s="412"/>
      <c r="AV26" s="411"/>
      <c r="AW26" s="412"/>
      <c r="AX26" s="412"/>
      <c r="AY26" s="412"/>
      <c r="AZ26" s="412"/>
      <c r="BA26" s="412"/>
      <c r="CI26" s="414"/>
      <c r="CR26" s="415"/>
      <c r="DE26" s="412"/>
      <c r="DF26" s="412"/>
      <c r="DG26" s="412"/>
      <c r="DH26" s="412"/>
      <c r="DI26" s="412"/>
      <c r="DJ26" s="411"/>
      <c r="DK26" s="412"/>
      <c r="DL26" s="412"/>
      <c r="DM26" s="412"/>
      <c r="DN26" s="412"/>
      <c r="DO26" s="412"/>
      <c r="EW26" s="414"/>
      <c r="FF26" s="415"/>
      <c r="FS26" s="412"/>
      <c r="FT26" s="412"/>
      <c r="FU26" s="412"/>
      <c r="FV26" s="412"/>
      <c r="FW26" s="412"/>
      <c r="FX26" s="411"/>
      <c r="FY26" s="412"/>
      <c r="FZ26" s="412"/>
      <c r="GA26" s="412"/>
      <c r="GB26" s="412"/>
      <c r="GC26" s="412"/>
    </row>
    <row r="27" spans="19:185" ht="4.1500000000000004" customHeight="1">
      <c r="U27" s="414"/>
      <c r="AD27" s="415"/>
      <c r="AV27" s="414"/>
      <c r="CI27" s="414"/>
      <c r="CR27" s="415"/>
      <c r="DJ27" s="414"/>
      <c r="EW27" s="414"/>
      <c r="FF27" s="415"/>
      <c r="FX27" s="414"/>
    </row>
    <row r="28" spans="19:185" ht="4.1500000000000004" customHeight="1">
      <c r="U28" s="414"/>
      <c r="AD28" s="415"/>
      <c r="AV28" s="414"/>
      <c r="CI28" s="414"/>
      <c r="CR28" s="415"/>
      <c r="DJ28" s="414"/>
      <c r="EW28" s="414"/>
      <c r="FF28" s="415"/>
      <c r="FX28" s="414"/>
    </row>
    <row r="29" spans="19:185" ht="4.1500000000000004" customHeight="1">
      <c r="U29" s="414"/>
      <c r="AD29" s="415"/>
      <c r="AV29" s="414"/>
      <c r="CI29" s="414"/>
      <c r="CR29" s="415"/>
      <c r="DJ29" s="414"/>
      <c r="EW29" s="414"/>
      <c r="FF29" s="415"/>
      <c r="FX29" s="414"/>
    </row>
    <row r="30" spans="19:185" ht="4.1500000000000004" customHeight="1">
      <c r="U30" s="414"/>
      <c r="AD30" s="415"/>
      <c r="AV30" s="414"/>
      <c r="CI30" s="414"/>
      <c r="CR30" s="415"/>
      <c r="DJ30" s="414"/>
      <c r="EW30" s="414"/>
      <c r="FF30" s="415"/>
      <c r="FX30" s="414"/>
    </row>
    <row r="31" spans="19:185" ht="4.1500000000000004" customHeight="1">
      <c r="U31" s="414"/>
      <c r="AD31" s="415"/>
      <c r="AV31" s="414"/>
      <c r="CI31" s="414"/>
      <c r="CR31" s="415"/>
      <c r="DJ31" s="414"/>
      <c r="EW31" s="414"/>
      <c r="FF31" s="415"/>
      <c r="FX31" s="414"/>
    </row>
    <row r="32" spans="19:185" ht="4.1500000000000004" customHeight="1">
      <c r="U32" s="414"/>
      <c r="AD32" s="415"/>
      <c r="AV32" s="414"/>
      <c r="CI32" s="414"/>
      <c r="CR32" s="415"/>
      <c r="DJ32" s="414"/>
      <c r="EW32" s="414"/>
      <c r="FF32" s="415"/>
      <c r="FX32" s="414"/>
    </row>
    <row r="33" spans="21:185" ht="4.1500000000000004" customHeight="1">
      <c r="U33" s="414"/>
      <c r="AD33" s="415"/>
      <c r="AV33" s="414"/>
      <c r="CI33" s="414"/>
      <c r="CR33" s="415"/>
      <c r="DJ33" s="414"/>
      <c r="EW33" s="414"/>
      <c r="FF33" s="415"/>
      <c r="FX33" s="414"/>
    </row>
    <row r="34" spans="21:185" ht="4.1500000000000004" customHeight="1">
      <c r="U34" s="414"/>
      <c r="AD34" s="415"/>
      <c r="AV34" s="414"/>
      <c r="CI34" s="414"/>
      <c r="CR34" s="415"/>
      <c r="DJ34" s="414"/>
      <c r="EW34" s="414"/>
      <c r="FF34" s="415"/>
      <c r="FX34" s="414"/>
    </row>
    <row r="35" spans="21:185" ht="4.1500000000000004" customHeight="1">
      <c r="U35" s="414"/>
      <c r="AD35" s="415"/>
      <c r="AV35" s="414"/>
      <c r="CI35" s="414"/>
      <c r="CR35" s="415"/>
      <c r="DJ35" s="414"/>
      <c r="EW35" s="414"/>
      <c r="FF35" s="415"/>
      <c r="FX35" s="414"/>
    </row>
    <row r="36" spans="21:185" ht="4.1500000000000004" customHeight="1">
      <c r="U36" s="414"/>
      <c r="AD36" s="415"/>
      <c r="AV36" s="414"/>
      <c r="CI36" s="414"/>
      <c r="CR36" s="415"/>
      <c r="DJ36" s="414"/>
      <c r="EW36" s="414"/>
      <c r="FF36" s="415"/>
      <c r="FX36" s="414"/>
    </row>
    <row r="37" spans="21:185" ht="4.1500000000000004" customHeight="1">
      <c r="U37" s="414"/>
      <c r="AD37" s="415"/>
      <c r="AV37" s="414"/>
      <c r="CI37" s="414"/>
      <c r="CR37" s="415"/>
      <c r="DJ37" s="414"/>
      <c r="EW37" s="414"/>
      <c r="FF37" s="415"/>
      <c r="FX37" s="414"/>
    </row>
    <row r="38" spans="21:185" ht="4.1500000000000004" customHeight="1">
      <c r="U38" s="414"/>
      <c r="AD38" s="415"/>
      <c r="AV38" s="414"/>
      <c r="CI38" s="414"/>
      <c r="CR38" s="415"/>
      <c r="DJ38" s="414"/>
      <c r="EW38" s="414"/>
      <c r="FF38" s="415"/>
      <c r="FX38" s="414"/>
    </row>
    <row r="39" spans="21:185" ht="4.1500000000000004" customHeight="1">
      <c r="U39" s="414"/>
      <c r="AD39" s="415"/>
      <c r="AV39" s="414"/>
      <c r="CI39" s="414"/>
      <c r="CR39" s="415"/>
      <c r="DJ39" s="414"/>
      <c r="EW39" s="414"/>
      <c r="FF39" s="415"/>
      <c r="FX39" s="414"/>
    </row>
    <row r="40" spans="21:185" ht="4.1500000000000004" customHeight="1">
      <c r="U40" s="414"/>
      <c r="AD40" s="415"/>
      <c r="AV40" s="414"/>
      <c r="CI40" s="414"/>
      <c r="CR40" s="415"/>
      <c r="DJ40" s="414"/>
      <c r="EW40" s="414"/>
      <c r="FF40" s="415"/>
      <c r="FX40" s="414"/>
    </row>
    <row r="41" spans="21:185" ht="4.1500000000000004" customHeight="1">
      <c r="U41" s="414"/>
      <c r="AD41" s="415"/>
      <c r="AV41" s="414"/>
      <c r="CI41" s="414"/>
      <c r="CR41" s="415"/>
      <c r="DJ41" s="414"/>
      <c r="EW41" s="414"/>
      <c r="FF41" s="415"/>
      <c r="FX41" s="414"/>
    </row>
    <row r="42" spans="21:185" ht="4.1500000000000004" customHeight="1">
      <c r="U42" s="414"/>
      <c r="AD42" s="415"/>
      <c r="AV42" s="414"/>
      <c r="CI42" s="414"/>
      <c r="CR42" s="415"/>
      <c r="DJ42" s="414"/>
      <c r="EW42" s="414"/>
      <c r="FF42" s="415"/>
      <c r="FX42" s="414"/>
    </row>
    <row r="43" spans="21:185" ht="4.1500000000000004" customHeight="1">
      <c r="U43" s="414"/>
      <c r="AD43" s="415"/>
      <c r="AV43" s="414"/>
      <c r="CI43" s="414"/>
      <c r="CR43" s="415"/>
      <c r="DJ43" s="414"/>
      <c r="EW43" s="414"/>
      <c r="FF43" s="415"/>
      <c r="FX43" s="414"/>
    </row>
    <row r="44" spans="21:185" ht="4.1500000000000004" customHeight="1">
      <c r="U44" s="414"/>
      <c r="AD44" s="415"/>
      <c r="AV44" s="414"/>
      <c r="CI44" s="414"/>
      <c r="CR44" s="415"/>
      <c r="DJ44" s="414"/>
      <c r="EW44" s="414"/>
      <c r="FF44" s="415"/>
      <c r="FX44" s="414"/>
    </row>
    <row r="45" spans="21:185" ht="4.1500000000000004" customHeight="1">
      <c r="U45" s="414"/>
      <c r="AD45" s="415"/>
      <c r="AQ45" s="2574">
        <v>1.8</v>
      </c>
      <c r="AR45" s="2574"/>
      <c r="AS45" s="2574"/>
      <c r="AT45" s="2574"/>
      <c r="AU45" s="2574"/>
      <c r="AV45" s="2574"/>
      <c r="AW45" s="2574"/>
      <c r="AX45" s="2574"/>
      <c r="AY45" s="2574"/>
      <c r="AZ45" s="2574"/>
      <c r="BA45" s="2574"/>
      <c r="CI45" s="414"/>
      <c r="CR45" s="415"/>
      <c r="DE45" s="2574">
        <v>1.8</v>
      </c>
      <c r="DF45" s="2574"/>
      <c r="DG45" s="2574"/>
      <c r="DH45" s="2574"/>
      <c r="DI45" s="2574"/>
      <c r="DJ45" s="2574"/>
      <c r="DK45" s="2574"/>
      <c r="DL45" s="2574"/>
      <c r="DM45" s="2574"/>
      <c r="DN45" s="2574"/>
      <c r="DO45" s="2574"/>
      <c r="EW45" s="414"/>
      <c r="FF45" s="415"/>
      <c r="FS45" s="2574">
        <v>1.8</v>
      </c>
      <c r="FT45" s="2574"/>
      <c r="FU45" s="2574"/>
      <c r="FV45" s="2574"/>
      <c r="FW45" s="2574"/>
      <c r="FX45" s="2574"/>
      <c r="FY45" s="2574"/>
      <c r="FZ45" s="2574"/>
      <c r="GA45" s="2574"/>
      <c r="GB45" s="2574"/>
      <c r="GC45" s="2574"/>
    </row>
    <row r="46" spans="21:185" ht="4.1500000000000004" customHeight="1">
      <c r="U46" s="414"/>
      <c r="AD46" s="415"/>
      <c r="AQ46" s="2574"/>
      <c r="AR46" s="2574"/>
      <c r="AS46" s="2574"/>
      <c r="AT46" s="2574"/>
      <c r="AU46" s="2574"/>
      <c r="AV46" s="2574"/>
      <c r="AW46" s="2574"/>
      <c r="AX46" s="2574"/>
      <c r="AY46" s="2574"/>
      <c r="AZ46" s="2574"/>
      <c r="BA46" s="2574"/>
      <c r="CI46" s="414"/>
      <c r="CR46" s="415"/>
      <c r="DE46" s="2574"/>
      <c r="DF46" s="2574"/>
      <c r="DG46" s="2574"/>
      <c r="DH46" s="2574"/>
      <c r="DI46" s="2574"/>
      <c r="DJ46" s="2574"/>
      <c r="DK46" s="2574"/>
      <c r="DL46" s="2574"/>
      <c r="DM46" s="2574"/>
      <c r="DN46" s="2574"/>
      <c r="DO46" s="2574"/>
      <c r="EW46" s="414"/>
      <c r="FF46" s="415"/>
      <c r="FS46" s="2574"/>
      <c r="FT46" s="2574"/>
      <c r="FU46" s="2574"/>
      <c r="FV46" s="2574"/>
      <c r="FW46" s="2574"/>
      <c r="FX46" s="2574"/>
      <c r="FY46" s="2574"/>
      <c r="FZ46" s="2574"/>
      <c r="GA46" s="2574"/>
      <c r="GB46" s="2574"/>
      <c r="GC46" s="2574"/>
    </row>
    <row r="47" spans="21:185" ht="4.1500000000000004" customHeight="1">
      <c r="U47" s="414"/>
      <c r="AD47" s="415"/>
      <c r="AQ47" s="2574"/>
      <c r="AR47" s="2574"/>
      <c r="AS47" s="2574"/>
      <c r="AT47" s="2574"/>
      <c r="AU47" s="2574"/>
      <c r="AV47" s="2574"/>
      <c r="AW47" s="2574"/>
      <c r="AX47" s="2574"/>
      <c r="AY47" s="2574"/>
      <c r="AZ47" s="2574"/>
      <c r="BA47" s="2574"/>
      <c r="CI47" s="414"/>
      <c r="CR47" s="415"/>
      <c r="DE47" s="2574"/>
      <c r="DF47" s="2574"/>
      <c r="DG47" s="2574"/>
      <c r="DH47" s="2574"/>
      <c r="DI47" s="2574"/>
      <c r="DJ47" s="2574"/>
      <c r="DK47" s="2574"/>
      <c r="DL47" s="2574"/>
      <c r="DM47" s="2574"/>
      <c r="DN47" s="2574"/>
      <c r="DO47" s="2574"/>
      <c r="EW47" s="414"/>
      <c r="FF47" s="415"/>
      <c r="FS47" s="2574"/>
      <c r="FT47" s="2574"/>
      <c r="FU47" s="2574"/>
      <c r="FV47" s="2574"/>
      <c r="FW47" s="2574"/>
      <c r="FX47" s="2574"/>
      <c r="FY47" s="2574"/>
      <c r="FZ47" s="2574"/>
      <c r="GA47" s="2574"/>
      <c r="GB47" s="2574"/>
      <c r="GC47" s="2574"/>
    </row>
    <row r="48" spans="21:185" ht="4.1500000000000004" customHeight="1">
      <c r="U48" s="414"/>
      <c r="AD48" s="415"/>
      <c r="AQ48" s="2574"/>
      <c r="AR48" s="2574"/>
      <c r="AS48" s="2574"/>
      <c r="AT48" s="2574"/>
      <c r="AU48" s="2574"/>
      <c r="AV48" s="2574"/>
      <c r="AW48" s="2574"/>
      <c r="AX48" s="2574"/>
      <c r="AY48" s="2574"/>
      <c r="AZ48" s="2574"/>
      <c r="BA48" s="2574"/>
      <c r="CI48" s="414"/>
      <c r="CR48" s="415"/>
      <c r="DE48" s="2574"/>
      <c r="DF48" s="2574"/>
      <c r="DG48" s="2574"/>
      <c r="DH48" s="2574"/>
      <c r="DI48" s="2574"/>
      <c r="DJ48" s="2574"/>
      <c r="DK48" s="2574"/>
      <c r="DL48" s="2574"/>
      <c r="DM48" s="2574"/>
      <c r="DN48" s="2574"/>
      <c r="DO48" s="2574"/>
      <c r="EW48" s="414"/>
      <c r="FF48" s="415"/>
      <c r="FS48" s="2574"/>
      <c r="FT48" s="2574"/>
      <c r="FU48" s="2574"/>
      <c r="FV48" s="2574"/>
      <c r="FW48" s="2574"/>
      <c r="FX48" s="2574"/>
      <c r="FY48" s="2574"/>
      <c r="FZ48" s="2574"/>
      <c r="GA48" s="2574"/>
      <c r="GB48" s="2574"/>
      <c r="GC48" s="2574"/>
    </row>
    <row r="49" spans="21:180" ht="4.1500000000000004" customHeight="1">
      <c r="U49" s="414"/>
      <c r="AD49" s="415"/>
      <c r="AV49" s="414"/>
      <c r="CI49" s="414"/>
      <c r="CR49" s="415"/>
      <c r="DJ49" s="414"/>
      <c r="EW49" s="414"/>
      <c r="FF49" s="415"/>
      <c r="FX49" s="414"/>
    </row>
    <row r="50" spans="21:180" ht="4.1500000000000004" customHeight="1">
      <c r="U50" s="414"/>
      <c r="AD50" s="415"/>
      <c r="AV50" s="414"/>
      <c r="CI50" s="414"/>
      <c r="CR50" s="415"/>
      <c r="DJ50" s="414"/>
      <c r="EW50" s="414"/>
      <c r="FF50" s="415"/>
      <c r="FX50" s="414"/>
    </row>
    <row r="51" spans="21:180" ht="4.1500000000000004" customHeight="1">
      <c r="U51" s="414"/>
      <c r="AD51" s="415"/>
      <c r="AV51" s="414"/>
      <c r="CI51" s="414"/>
      <c r="CR51" s="415"/>
      <c r="DJ51" s="414"/>
      <c r="EW51" s="414"/>
      <c r="FF51" s="415"/>
      <c r="FX51" s="414"/>
    </row>
    <row r="52" spans="21:180" ht="4.1500000000000004" customHeight="1">
      <c r="U52" s="3404">
        <v>0.25</v>
      </c>
      <c r="V52" s="2808"/>
      <c r="W52" s="2808"/>
      <c r="X52" s="2808"/>
      <c r="Y52" s="2808"/>
      <c r="Z52" s="2808"/>
      <c r="AA52" s="2808"/>
      <c r="AB52" s="2808"/>
      <c r="AC52" s="2808"/>
      <c r="AD52" s="3405"/>
      <c r="AV52" s="414"/>
      <c r="CI52" s="3404">
        <v>0.25</v>
      </c>
      <c r="CJ52" s="2808"/>
      <c r="CK52" s="2808"/>
      <c r="CL52" s="2808"/>
      <c r="CM52" s="2808"/>
      <c r="CN52" s="2808"/>
      <c r="CO52" s="2808"/>
      <c r="CP52" s="2808"/>
      <c r="CQ52" s="2808"/>
      <c r="CR52" s="3405"/>
      <c r="DJ52" s="414"/>
      <c r="EW52" s="3410">
        <v>0.3</v>
      </c>
      <c r="EX52" s="2574"/>
      <c r="EY52" s="2574"/>
      <c r="EZ52" s="2574"/>
      <c r="FA52" s="2574"/>
      <c r="FB52" s="2574"/>
      <c r="FC52" s="2574"/>
      <c r="FD52" s="2574"/>
      <c r="FE52" s="2574"/>
      <c r="FF52" s="3411"/>
      <c r="FX52" s="414"/>
    </row>
    <row r="53" spans="21:180" ht="4.1500000000000004" customHeight="1">
      <c r="U53" s="3404"/>
      <c r="V53" s="2808"/>
      <c r="W53" s="2808"/>
      <c r="X53" s="2808"/>
      <c r="Y53" s="2808"/>
      <c r="Z53" s="2808"/>
      <c r="AA53" s="2808"/>
      <c r="AB53" s="2808"/>
      <c r="AC53" s="2808"/>
      <c r="AD53" s="3405"/>
      <c r="AV53" s="414"/>
      <c r="CI53" s="3404"/>
      <c r="CJ53" s="2808"/>
      <c r="CK53" s="2808"/>
      <c r="CL53" s="2808"/>
      <c r="CM53" s="2808"/>
      <c r="CN53" s="2808"/>
      <c r="CO53" s="2808"/>
      <c r="CP53" s="2808"/>
      <c r="CQ53" s="2808"/>
      <c r="CR53" s="3405"/>
      <c r="DJ53" s="414"/>
      <c r="EW53" s="3410"/>
      <c r="EX53" s="2574"/>
      <c r="EY53" s="2574"/>
      <c r="EZ53" s="2574"/>
      <c r="FA53" s="2574"/>
      <c r="FB53" s="2574"/>
      <c r="FC53" s="2574"/>
      <c r="FD53" s="2574"/>
      <c r="FE53" s="2574"/>
      <c r="FF53" s="3411"/>
      <c r="FX53" s="414"/>
    </row>
    <row r="54" spans="21:180" ht="4.1500000000000004" customHeight="1">
      <c r="U54" s="3404"/>
      <c r="V54" s="2808"/>
      <c r="W54" s="2808"/>
      <c r="X54" s="2808"/>
      <c r="Y54" s="2808"/>
      <c r="Z54" s="2808"/>
      <c r="AA54" s="2808"/>
      <c r="AB54" s="2808"/>
      <c r="AC54" s="2808"/>
      <c r="AD54" s="3405"/>
      <c r="AV54" s="414"/>
      <c r="CI54" s="3404"/>
      <c r="CJ54" s="2808"/>
      <c r="CK54" s="2808"/>
      <c r="CL54" s="2808"/>
      <c r="CM54" s="2808"/>
      <c r="CN54" s="2808"/>
      <c r="CO54" s="2808"/>
      <c r="CP54" s="2808"/>
      <c r="CQ54" s="2808"/>
      <c r="CR54" s="3405"/>
      <c r="DJ54" s="414"/>
      <c r="EW54" s="3410"/>
      <c r="EX54" s="2574"/>
      <c r="EY54" s="2574"/>
      <c r="EZ54" s="2574"/>
      <c r="FA54" s="2574"/>
      <c r="FB54" s="2574"/>
      <c r="FC54" s="2574"/>
      <c r="FD54" s="2574"/>
      <c r="FE54" s="2574"/>
      <c r="FF54" s="3411"/>
      <c r="FX54" s="414"/>
    </row>
    <row r="55" spans="21:180" ht="4.1500000000000004" customHeight="1">
      <c r="U55" s="414"/>
      <c r="AD55" s="415"/>
      <c r="AV55" s="414"/>
      <c r="CI55" s="414"/>
      <c r="CR55" s="415"/>
      <c r="DJ55" s="414"/>
      <c r="EW55" s="414"/>
      <c r="FF55" s="415"/>
      <c r="FX55" s="414"/>
    </row>
    <row r="56" spans="21:180" ht="4.1500000000000004" customHeight="1">
      <c r="U56" s="414"/>
      <c r="AD56" s="415"/>
      <c r="AV56" s="414"/>
      <c r="CI56" s="414"/>
      <c r="CR56" s="415"/>
      <c r="DJ56" s="414"/>
      <c r="EW56" s="414"/>
      <c r="FF56" s="415"/>
      <c r="FX56" s="414"/>
    </row>
    <row r="57" spans="21:180" ht="4.1500000000000004" customHeight="1">
      <c r="U57" s="414"/>
      <c r="AD57" s="415"/>
      <c r="AV57" s="414"/>
      <c r="CI57" s="414"/>
      <c r="CR57" s="415"/>
      <c r="DJ57" s="414"/>
      <c r="EW57" s="414"/>
      <c r="FF57" s="415"/>
      <c r="FX57" s="414"/>
    </row>
    <row r="58" spans="21:180" ht="4.1500000000000004" customHeight="1">
      <c r="U58" s="414"/>
      <c r="AD58" s="415"/>
      <c r="AV58" s="414"/>
      <c r="CI58" s="414"/>
      <c r="CR58" s="415"/>
      <c r="DJ58" s="414"/>
      <c r="EW58" s="414"/>
      <c r="FF58" s="415"/>
      <c r="FX58" s="414"/>
    </row>
    <row r="59" spans="21:180" ht="4.1500000000000004" customHeight="1">
      <c r="U59" s="414"/>
      <c r="AD59" s="415"/>
      <c r="AV59" s="414"/>
      <c r="CI59" s="414"/>
      <c r="CR59" s="415"/>
      <c r="DJ59" s="414"/>
      <c r="EW59" s="414"/>
      <c r="FF59" s="415"/>
      <c r="FX59" s="414"/>
    </row>
    <row r="60" spans="21:180" ht="4.1500000000000004" customHeight="1">
      <c r="U60" s="414"/>
      <c r="AD60" s="415"/>
      <c r="AV60" s="414"/>
      <c r="CI60" s="414"/>
      <c r="CR60" s="415"/>
      <c r="DJ60" s="414"/>
      <c r="EW60" s="414"/>
      <c r="FF60" s="415"/>
      <c r="FX60" s="414"/>
    </row>
    <row r="61" spans="21:180" ht="4.1500000000000004" customHeight="1">
      <c r="U61" s="414"/>
      <c r="AD61" s="415"/>
      <c r="AV61" s="414"/>
      <c r="CI61" s="414"/>
      <c r="CR61" s="415"/>
      <c r="DJ61" s="414"/>
      <c r="EW61" s="414"/>
      <c r="FF61" s="415"/>
      <c r="FX61" s="414"/>
    </row>
    <row r="62" spans="21:180" ht="4.1500000000000004" customHeight="1">
      <c r="U62" s="414"/>
      <c r="AD62" s="415"/>
      <c r="AV62" s="414"/>
      <c r="CI62" s="414"/>
      <c r="CR62" s="415"/>
      <c r="DJ62" s="414"/>
      <c r="EW62" s="414"/>
      <c r="FF62" s="415"/>
      <c r="FX62" s="414"/>
    </row>
    <row r="63" spans="21:180" ht="4.1500000000000004" customHeight="1">
      <c r="U63" s="414"/>
      <c r="AD63" s="415"/>
      <c r="AV63" s="414"/>
      <c r="CI63" s="414"/>
      <c r="CR63" s="415"/>
      <c r="DJ63" s="414"/>
      <c r="EW63" s="414"/>
      <c r="FF63" s="415"/>
      <c r="FX63" s="414"/>
    </row>
    <row r="64" spans="21:180" ht="4.1500000000000004" customHeight="1">
      <c r="U64" s="414"/>
      <c r="AD64" s="415"/>
      <c r="AV64" s="414"/>
      <c r="CI64" s="414"/>
      <c r="CR64" s="415"/>
      <c r="DJ64" s="414"/>
      <c r="EW64" s="414"/>
      <c r="FF64" s="415"/>
      <c r="FX64" s="414"/>
    </row>
    <row r="65" spans="1:196" ht="4.1500000000000004" customHeight="1">
      <c r="U65" s="414"/>
      <c r="AD65" s="415"/>
      <c r="AV65" s="414"/>
      <c r="CI65" s="414"/>
      <c r="CR65" s="415"/>
      <c r="DJ65" s="414"/>
      <c r="EW65" s="414"/>
      <c r="FF65" s="415"/>
      <c r="FX65" s="414"/>
    </row>
    <row r="66" spans="1:196" ht="4.1500000000000004" customHeight="1">
      <c r="U66" s="414"/>
      <c r="AD66" s="415"/>
      <c r="AV66" s="414"/>
      <c r="CI66" s="414"/>
      <c r="CR66" s="415"/>
      <c r="DJ66" s="414"/>
      <c r="EW66" s="414"/>
      <c r="FF66" s="415"/>
      <c r="FX66" s="414"/>
    </row>
    <row r="67" spans="1:196" ht="4.1500000000000004" customHeight="1">
      <c r="U67" s="414"/>
      <c r="AD67" s="415"/>
      <c r="AV67" s="414"/>
      <c r="CI67" s="414"/>
      <c r="CR67" s="415"/>
      <c r="DJ67" s="414"/>
      <c r="EW67" s="414"/>
      <c r="FF67" s="415"/>
      <c r="FX67" s="414"/>
    </row>
    <row r="68" spans="1:196" ht="4.1500000000000004" customHeight="1">
      <c r="U68" s="414"/>
      <c r="AD68" s="415"/>
      <c r="AV68" s="414"/>
      <c r="CI68" s="414"/>
      <c r="CR68" s="415"/>
      <c r="DJ68" s="414"/>
      <c r="EW68" s="414"/>
      <c r="FF68" s="415"/>
      <c r="FX68" s="414"/>
    </row>
    <row r="69" spans="1:196" ht="4.1500000000000004" customHeight="1">
      <c r="U69" s="414"/>
      <c r="AD69" s="415"/>
      <c r="AV69" s="414"/>
      <c r="CI69" s="414"/>
      <c r="CR69" s="415"/>
      <c r="DJ69" s="414"/>
      <c r="EW69" s="414"/>
      <c r="FF69" s="415"/>
      <c r="FX69" s="414"/>
    </row>
    <row r="70" spans="1:196" ht="4.1500000000000004" customHeight="1">
      <c r="U70" s="414"/>
      <c r="AD70" s="415"/>
      <c r="AV70" s="414"/>
      <c r="CI70" s="414"/>
      <c r="CR70" s="415"/>
      <c r="DJ70" s="414"/>
      <c r="EW70" s="414"/>
      <c r="FF70" s="415"/>
      <c r="FX70" s="414"/>
    </row>
    <row r="71" spans="1:196" ht="4.1500000000000004" customHeight="1">
      <c r="F71" s="2579" t="s">
        <v>2980</v>
      </c>
      <c r="G71" s="2579"/>
      <c r="H71" s="2579"/>
      <c r="I71" s="2579"/>
      <c r="J71" s="2579"/>
      <c r="K71" s="2579"/>
      <c r="L71" s="2579"/>
      <c r="U71" s="414"/>
      <c r="AD71" s="415"/>
      <c r="AQ71" s="417"/>
      <c r="AR71" s="417"/>
      <c r="AS71" s="417"/>
      <c r="AT71" s="417"/>
      <c r="AU71" s="417"/>
      <c r="AV71" s="416"/>
      <c r="AW71" s="417"/>
      <c r="AX71" s="417"/>
      <c r="AY71" s="417"/>
      <c r="AZ71" s="417"/>
      <c r="BA71" s="417"/>
      <c r="BT71" s="2579" t="s">
        <v>2980</v>
      </c>
      <c r="BU71" s="2579"/>
      <c r="BV71" s="2579"/>
      <c r="BW71" s="2579"/>
      <c r="BX71" s="2579"/>
      <c r="BY71" s="2579"/>
      <c r="BZ71" s="2579"/>
      <c r="CI71" s="414"/>
      <c r="CR71" s="415"/>
      <c r="DE71" s="417"/>
      <c r="DF71" s="417"/>
      <c r="DG71" s="417"/>
      <c r="DH71" s="417"/>
      <c r="DI71" s="417"/>
      <c r="DJ71" s="416"/>
      <c r="DK71" s="417"/>
      <c r="DL71" s="417"/>
      <c r="DM71" s="417"/>
      <c r="DN71" s="417"/>
      <c r="DO71" s="417"/>
      <c r="EH71" s="2579" t="s">
        <v>2980</v>
      </c>
      <c r="EI71" s="2579"/>
      <c r="EJ71" s="2579"/>
      <c r="EK71" s="2579"/>
      <c r="EL71" s="2579"/>
      <c r="EM71" s="2579"/>
      <c r="EN71" s="2579"/>
      <c r="EU71" s="459"/>
      <c r="EV71" s="460"/>
      <c r="EW71" s="459"/>
      <c r="EX71" s="460"/>
      <c r="EY71" s="460"/>
      <c r="EZ71" s="460"/>
      <c r="FA71" s="460"/>
      <c r="FB71" s="460"/>
      <c r="FC71" s="460"/>
      <c r="FD71" s="460"/>
      <c r="FE71" s="460"/>
      <c r="FF71" s="461"/>
      <c r="FG71" s="460"/>
      <c r="FH71" s="461"/>
      <c r="FS71" s="420"/>
      <c r="FT71" s="420"/>
      <c r="FU71" s="420"/>
      <c r="FV71" s="420"/>
      <c r="FW71" s="420"/>
      <c r="FX71" s="420"/>
      <c r="FY71" s="420"/>
      <c r="FZ71" s="420"/>
      <c r="GA71" s="420"/>
      <c r="GB71" s="420"/>
      <c r="GC71" s="420"/>
    </row>
    <row r="72" spans="1:196" ht="4.1500000000000004" customHeight="1">
      <c r="F72" s="2579"/>
      <c r="G72" s="2579"/>
      <c r="H72" s="2579"/>
      <c r="I72" s="2579"/>
      <c r="J72" s="2579"/>
      <c r="K72" s="2579"/>
      <c r="L72" s="2579"/>
      <c r="S72" s="411"/>
      <c r="T72" s="412"/>
      <c r="U72" s="412"/>
      <c r="V72" s="412"/>
      <c r="W72" s="412"/>
      <c r="X72" s="412"/>
      <c r="Y72" s="412"/>
      <c r="Z72" s="412"/>
      <c r="AA72" s="412"/>
      <c r="AB72" s="412"/>
      <c r="AC72" s="412"/>
      <c r="AD72" s="412"/>
      <c r="AE72" s="412"/>
      <c r="AF72" s="413"/>
      <c r="AQ72" s="2587">
        <v>0.3</v>
      </c>
      <c r="AR72" s="2587"/>
      <c r="AS72" s="2587"/>
      <c r="AT72" s="2587"/>
      <c r="AU72" s="2587"/>
      <c r="AV72" s="2587"/>
      <c r="AW72" s="2587"/>
      <c r="AX72" s="2587"/>
      <c r="AY72" s="2587"/>
      <c r="AZ72" s="2587"/>
      <c r="BA72" s="2587"/>
      <c r="BD72" s="412"/>
      <c r="BE72" s="412"/>
      <c r="BF72" s="412"/>
      <c r="BG72" s="412"/>
      <c r="BH72" s="411"/>
      <c r="BI72" s="412"/>
      <c r="BJ72" s="412"/>
      <c r="BK72" s="412"/>
      <c r="BL72" s="412"/>
      <c r="BT72" s="2579"/>
      <c r="BU72" s="2579"/>
      <c r="BV72" s="2579"/>
      <c r="BW72" s="2579"/>
      <c r="BX72" s="2579"/>
      <c r="BY72" s="2579"/>
      <c r="BZ72" s="2579"/>
      <c r="CG72" s="411"/>
      <c r="CH72" s="412"/>
      <c r="CI72" s="412"/>
      <c r="CJ72" s="412"/>
      <c r="CK72" s="412"/>
      <c r="CL72" s="412"/>
      <c r="CM72" s="412"/>
      <c r="CN72" s="412"/>
      <c r="CO72" s="412"/>
      <c r="CP72" s="412"/>
      <c r="CQ72" s="412"/>
      <c r="CR72" s="412"/>
      <c r="CS72" s="412"/>
      <c r="CT72" s="413"/>
      <c r="DE72" s="2587">
        <v>0.45</v>
      </c>
      <c r="DF72" s="2587"/>
      <c r="DG72" s="2587"/>
      <c r="DH72" s="2587"/>
      <c r="DI72" s="2587"/>
      <c r="DJ72" s="2587"/>
      <c r="DK72" s="2587"/>
      <c r="DL72" s="2587"/>
      <c r="DM72" s="2587"/>
      <c r="DN72" s="2587"/>
      <c r="DO72" s="2587"/>
      <c r="DR72" s="412"/>
      <c r="DS72" s="412"/>
      <c r="DT72" s="412"/>
      <c r="DU72" s="412"/>
      <c r="DV72" s="411"/>
      <c r="DW72" s="412"/>
      <c r="DX72" s="412"/>
      <c r="DY72" s="412"/>
      <c r="DZ72" s="412"/>
      <c r="EH72" s="2579"/>
      <c r="EI72" s="2579"/>
      <c r="EJ72" s="2579"/>
      <c r="EK72" s="2579"/>
      <c r="EL72" s="2579"/>
      <c r="EM72" s="2579"/>
      <c r="EN72" s="2579"/>
      <c r="EU72" s="411"/>
      <c r="EV72" s="412"/>
      <c r="EW72" s="412"/>
      <c r="EX72" s="412"/>
      <c r="EY72" s="412"/>
      <c r="EZ72" s="412"/>
      <c r="FA72" s="412"/>
      <c r="FB72" s="412"/>
      <c r="FC72" s="412"/>
      <c r="FD72" s="412"/>
      <c r="FE72" s="412"/>
      <c r="FF72" s="412"/>
      <c r="FG72" s="412"/>
      <c r="FH72" s="413"/>
      <c r="FS72" s="2588">
        <v>0.45</v>
      </c>
      <c r="FT72" s="2588"/>
      <c r="FU72" s="2588"/>
      <c r="FV72" s="2588"/>
      <c r="FW72" s="2588"/>
      <c r="FX72" s="2588"/>
      <c r="FY72" s="2588"/>
      <c r="FZ72" s="2588"/>
      <c r="GA72" s="2588"/>
      <c r="GB72" s="2588"/>
      <c r="GC72" s="2588"/>
      <c r="GF72" s="412"/>
      <c r="GG72" s="412"/>
      <c r="GH72" s="412"/>
      <c r="GI72" s="412"/>
      <c r="GJ72" s="411"/>
      <c r="GK72" s="412"/>
      <c r="GL72" s="412"/>
      <c r="GM72" s="412"/>
      <c r="GN72" s="412"/>
    </row>
    <row r="73" spans="1:196" ht="4.1500000000000004" customHeight="1">
      <c r="F73" s="2586"/>
      <c r="G73" s="2586"/>
      <c r="H73" s="2586"/>
      <c r="I73" s="2586"/>
      <c r="J73" s="2586"/>
      <c r="K73" s="2586"/>
      <c r="L73" s="2586"/>
      <c r="S73" s="414"/>
      <c r="T73" s="2579">
        <v>0.375</v>
      </c>
      <c r="U73" s="2579"/>
      <c r="V73" s="2579"/>
      <c r="W73" s="2579"/>
      <c r="X73" s="2579"/>
      <c r="Y73" s="2579"/>
      <c r="Z73" s="2579"/>
      <c r="AA73" s="2579"/>
      <c r="AB73" s="2579"/>
      <c r="AC73" s="2579"/>
      <c r="AD73" s="2579"/>
      <c r="AE73" s="2579"/>
      <c r="AF73" s="415"/>
      <c r="AG73" s="417"/>
      <c r="AH73" s="417"/>
      <c r="AI73" s="417"/>
      <c r="AJ73" s="417"/>
      <c r="AK73" s="417"/>
      <c r="AL73" s="417"/>
      <c r="AM73" s="417"/>
      <c r="AN73" s="417"/>
      <c r="AO73" s="417"/>
      <c r="AP73" s="417"/>
      <c r="AQ73" s="2588"/>
      <c r="AR73" s="2588"/>
      <c r="AS73" s="2588"/>
      <c r="AT73" s="2588"/>
      <c r="AU73" s="2588"/>
      <c r="AV73" s="2588"/>
      <c r="AW73" s="2588"/>
      <c r="AX73" s="2588"/>
      <c r="AY73" s="2588"/>
      <c r="AZ73" s="2588"/>
      <c r="BA73" s="2588"/>
      <c r="BH73" s="414"/>
      <c r="BT73" s="2586"/>
      <c r="BU73" s="2586"/>
      <c r="BV73" s="2586"/>
      <c r="BW73" s="2586"/>
      <c r="BX73" s="2586"/>
      <c r="BY73" s="2586"/>
      <c r="BZ73" s="2586"/>
      <c r="CG73" s="414"/>
      <c r="CH73" s="2580">
        <v>0.3</v>
      </c>
      <c r="CI73" s="2580"/>
      <c r="CJ73" s="2580"/>
      <c r="CK73" s="2580"/>
      <c r="CL73" s="2580"/>
      <c r="CM73" s="2580"/>
      <c r="CN73" s="2580"/>
      <c r="CO73" s="2580"/>
      <c r="CP73" s="2580"/>
      <c r="CQ73" s="2580"/>
      <c r="CR73" s="2580"/>
      <c r="CS73" s="2580"/>
      <c r="CT73" s="415"/>
      <c r="CU73" s="417"/>
      <c r="CV73" s="417"/>
      <c r="CW73" s="417"/>
      <c r="CX73" s="417"/>
      <c r="CY73" s="417"/>
      <c r="CZ73" s="417"/>
      <c r="DA73" s="417"/>
      <c r="DB73" s="417"/>
      <c r="DC73" s="417"/>
      <c r="DD73" s="417"/>
      <c r="DE73" s="2588"/>
      <c r="DF73" s="2588"/>
      <c r="DG73" s="2588"/>
      <c r="DH73" s="2588"/>
      <c r="DI73" s="2588"/>
      <c r="DJ73" s="2588"/>
      <c r="DK73" s="2588"/>
      <c r="DL73" s="2588"/>
      <c r="DM73" s="2588"/>
      <c r="DN73" s="2588"/>
      <c r="DO73" s="2588"/>
      <c r="DV73" s="414"/>
      <c r="EH73" s="2586"/>
      <c r="EI73" s="2586"/>
      <c r="EJ73" s="2586"/>
      <c r="EK73" s="2586"/>
      <c r="EL73" s="2586"/>
      <c r="EM73" s="2586"/>
      <c r="EN73" s="2586"/>
      <c r="EU73" s="414"/>
      <c r="EV73" s="2580">
        <v>0.3</v>
      </c>
      <c r="EW73" s="2580"/>
      <c r="EX73" s="2580"/>
      <c r="EY73" s="2580"/>
      <c r="EZ73" s="2580"/>
      <c r="FA73" s="2580"/>
      <c r="FB73" s="2580"/>
      <c r="FC73" s="2580"/>
      <c r="FD73" s="2580"/>
      <c r="FE73" s="2580"/>
      <c r="FF73" s="2580"/>
      <c r="FG73" s="2580"/>
      <c r="FH73" s="415"/>
      <c r="FI73" s="417"/>
      <c r="FJ73" s="417"/>
      <c r="FK73" s="417"/>
      <c r="FL73" s="417"/>
      <c r="FM73" s="417"/>
      <c r="FN73" s="417"/>
      <c r="FO73" s="417"/>
      <c r="FP73" s="417"/>
      <c r="FQ73" s="417"/>
      <c r="FR73" s="417"/>
      <c r="FS73" s="2588"/>
      <c r="FT73" s="2588"/>
      <c r="FU73" s="2588"/>
      <c r="FV73" s="2588"/>
      <c r="FW73" s="2588"/>
      <c r="FX73" s="2588"/>
      <c r="FY73" s="2588"/>
      <c r="FZ73" s="2588"/>
      <c r="GA73" s="2588"/>
      <c r="GB73" s="2588"/>
      <c r="GC73" s="2588"/>
      <c r="GJ73" s="414"/>
    </row>
    <row r="74" spans="1:196" ht="4.1500000000000004" customHeight="1">
      <c r="A74" s="412"/>
      <c r="B74" s="412"/>
      <c r="C74" s="412"/>
      <c r="D74" s="412"/>
      <c r="E74" s="412"/>
      <c r="F74" s="412"/>
      <c r="G74" s="411"/>
      <c r="H74" s="412"/>
      <c r="I74" s="412"/>
      <c r="J74" s="412"/>
      <c r="K74" s="412"/>
      <c r="L74" s="412"/>
      <c r="M74" s="412"/>
      <c r="N74" s="412"/>
      <c r="O74" s="412"/>
      <c r="P74" s="412"/>
      <c r="Q74" s="412"/>
      <c r="R74" s="412"/>
      <c r="S74" s="414"/>
      <c r="T74" s="2579"/>
      <c r="U74" s="2579"/>
      <c r="V74" s="2579"/>
      <c r="W74" s="2579"/>
      <c r="X74" s="2579"/>
      <c r="Y74" s="2579"/>
      <c r="Z74" s="2579"/>
      <c r="AA74" s="2579"/>
      <c r="AB74" s="2579"/>
      <c r="AC74" s="2579"/>
      <c r="AD74" s="2579"/>
      <c r="AE74" s="2579"/>
      <c r="AF74" s="415"/>
      <c r="AQ74" s="2588"/>
      <c r="AR74" s="2588"/>
      <c r="AS74" s="2588"/>
      <c r="AT74" s="2588"/>
      <c r="AU74" s="2588"/>
      <c r="AV74" s="2588"/>
      <c r="AW74" s="2588"/>
      <c r="AX74" s="2588"/>
      <c r="AY74" s="2588"/>
      <c r="AZ74" s="2588"/>
      <c r="BA74" s="2588"/>
      <c r="BH74" s="414"/>
      <c r="BO74" s="412"/>
      <c r="BP74" s="412"/>
      <c r="BQ74" s="412"/>
      <c r="BR74" s="412"/>
      <c r="BS74" s="412"/>
      <c r="BT74" s="412"/>
      <c r="BU74" s="411"/>
      <c r="BV74" s="412"/>
      <c r="BW74" s="412"/>
      <c r="BX74" s="412"/>
      <c r="BY74" s="412"/>
      <c r="BZ74" s="412"/>
      <c r="CA74" s="412"/>
      <c r="CB74" s="412"/>
      <c r="CC74" s="412"/>
      <c r="CD74" s="412"/>
      <c r="CE74" s="412"/>
      <c r="CF74" s="412"/>
      <c r="CG74" s="414"/>
      <c r="CH74" s="2580"/>
      <c r="CI74" s="2580"/>
      <c r="CJ74" s="2580"/>
      <c r="CK74" s="2580"/>
      <c r="CL74" s="2580"/>
      <c r="CM74" s="2580"/>
      <c r="CN74" s="2580"/>
      <c r="CO74" s="2580"/>
      <c r="CP74" s="2580"/>
      <c r="CQ74" s="2580"/>
      <c r="CR74" s="2580"/>
      <c r="CS74" s="2580"/>
      <c r="CT74" s="415"/>
      <c r="DE74" s="2588"/>
      <c r="DF74" s="2588"/>
      <c r="DG74" s="2588"/>
      <c r="DH74" s="2588"/>
      <c r="DI74" s="2588"/>
      <c r="DJ74" s="2588"/>
      <c r="DK74" s="2588"/>
      <c r="DL74" s="2588"/>
      <c r="DM74" s="2588"/>
      <c r="DN74" s="2588"/>
      <c r="DO74" s="2588"/>
      <c r="DV74" s="414"/>
      <c r="EC74" s="412"/>
      <c r="ED74" s="412"/>
      <c r="EE74" s="412"/>
      <c r="EF74" s="412"/>
      <c r="EG74" s="412"/>
      <c r="EH74" s="412"/>
      <c r="EI74" s="411"/>
      <c r="EJ74" s="412"/>
      <c r="EK74" s="412"/>
      <c r="EL74" s="412"/>
      <c r="EM74" s="412"/>
      <c r="EN74" s="412"/>
      <c r="EO74" s="412"/>
      <c r="EP74" s="412"/>
      <c r="EQ74" s="412"/>
      <c r="ER74" s="412"/>
      <c r="ES74" s="412"/>
      <c r="ET74" s="412"/>
      <c r="EU74" s="414"/>
      <c r="EV74" s="2580"/>
      <c r="EW74" s="2580"/>
      <c r="EX74" s="2580"/>
      <c r="EY74" s="2580"/>
      <c r="EZ74" s="2580"/>
      <c r="FA74" s="2580"/>
      <c r="FB74" s="2580"/>
      <c r="FC74" s="2580"/>
      <c r="FD74" s="2580"/>
      <c r="FE74" s="2580"/>
      <c r="FF74" s="2580"/>
      <c r="FG74" s="2580"/>
      <c r="FH74" s="415"/>
      <c r="FS74" s="2588"/>
      <c r="FT74" s="2588"/>
      <c r="FU74" s="2588"/>
      <c r="FV74" s="2588"/>
      <c r="FW74" s="2588"/>
      <c r="FX74" s="2588"/>
      <c r="FY74" s="2588"/>
      <c r="FZ74" s="2588"/>
      <c r="GA74" s="2588"/>
      <c r="GB74" s="2588"/>
      <c r="GC74" s="2588"/>
      <c r="GJ74" s="414"/>
    </row>
    <row r="75" spans="1:196" ht="4.1500000000000004" customHeight="1">
      <c r="G75" s="414"/>
      <c r="S75" s="414"/>
      <c r="T75" s="2579"/>
      <c r="U75" s="2579"/>
      <c r="V75" s="2579"/>
      <c r="W75" s="2579"/>
      <c r="X75" s="2579"/>
      <c r="Y75" s="2579"/>
      <c r="Z75" s="2579"/>
      <c r="AA75" s="2579"/>
      <c r="AB75" s="2579"/>
      <c r="AC75" s="2579"/>
      <c r="AD75" s="2579"/>
      <c r="AE75" s="2579"/>
      <c r="AF75" s="415"/>
      <c r="AQ75" s="2588"/>
      <c r="AR75" s="2588"/>
      <c r="AS75" s="2588"/>
      <c r="AT75" s="2588"/>
      <c r="AU75" s="2588"/>
      <c r="AV75" s="2588"/>
      <c r="AW75" s="2588"/>
      <c r="AX75" s="2588"/>
      <c r="AY75" s="2588"/>
      <c r="AZ75" s="2588"/>
      <c r="BA75" s="2588"/>
      <c r="BH75" s="414"/>
      <c r="BU75" s="414"/>
      <c r="CG75" s="414"/>
      <c r="CH75" s="2580"/>
      <c r="CI75" s="2580"/>
      <c r="CJ75" s="2580"/>
      <c r="CK75" s="2580"/>
      <c r="CL75" s="2580"/>
      <c r="CM75" s="2580"/>
      <c r="CN75" s="2580"/>
      <c r="CO75" s="2580"/>
      <c r="CP75" s="2580"/>
      <c r="CQ75" s="2580"/>
      <c r="CR75" s="2580"/>
      <c r="CS75" s="2580"/>
      <c r="CT75" s="415"/>
      <c r="DE75" s="2588"/>
      <c r="DF75" s="2588"/>
      <c r="DG75" s="2588"/>
      <c r="DH75" s="2588"/>
      <c r="DI75" s="2588"/>
      <c r="DJ75" s="2588"/>
      <c r="DK75" s="2588"/>
      <c r="DL75" s="2588"/>
      <c r="DM75" s="2588"/>
      <c r="DN75" s="2588"/>
      <c r="DO75" s="2588"/>
      <c r="DV75" s="414"/>
      <c r="EI75" s="414"/>
      <c r="EU75" s="414"/>
      <c r="EV75" s="2580"/>
      <c r="EW75" s="2580"/>
      <c r="EX75" s="2580"/>
      <c r="EY75" s="2580"/>
      <c r="EZ75" s="2580"/>
      <c r="FA75" s="2580"/>
      <c r="FB75" s="2580"/>
      <c r="FC75" s="2580"/>
      <c r="FD75" s="2580"/>
      <c r="FE75" s="2580"/>
      <c r="FF75" s="2580"/>
      <c r="FG75" s="2580"/>
      <c r="FH75" s="415"/>
      <c r="FS75" s="2588"/>
      <c r="FT75" s="2588"/>
      <c r="FU75" s="2588"/>
      <c r="FV75" s="2588"/>
      <c r="FW75" s="2588"/>
      <c r="FX75" s="2588"/>
      <c r="FY75" s="2588"/>
      <c r="FZ75" s="2588"/>
      <c r="GA75" s="2588"/>
      <c r="GB75" s="2588"/>
      <c r="GC75" s="2588"/>
      <c r="GJ75" s="414"/>
    </row>
    <row r="76" spans="1:196" ht="4.1500000000000004" customHeight="1">
      <c r="G76" s="414"/>
      <c r="S76" s="414"/>
      <c r="AF76" s="415"/>
      <c r="AQ76" s="2589"/>
      <c r="AR76" s="2589"/>
      <c r="AS76" s="2589"/>
      <c r="AT76" s="2589"/>
      <c r="AU76" s="2589"/>
      <c r="AV76" s="2589"/>
      <c r="AW76" s="2589"/>
      <c r="AX76" s="2589"/>
      <c r="AY76" s="2589"/>
      <c r="AZ76" s="2589"/>
      <c r="BA76" s="2589"/>
      <c r="BH76" s="414"/>
      <c r="BU76" s="414"/>
      <c r="CG76" s="414"/>
      <c r="CT76" s="415"/>
      <c r="DE76" s="2589"/>
      <c r="DF76" s="2589"/>
      <c r="DG76" s="2589"/>
      <c r="DH76" s="2589"/>
      <c r="DI76" s="2589"/>
      <c r="DJ76" s="2589"/>
      <c r="DK76" s="2589"/>
      <c r="DL76" s="2589"/>
      <c r="DM76" s="2589"/>
      <c r="DN76" s="2589"/>
      <c r="DO76" s="2589"/>
      <c r="DV76" s="414"/>
      <c r="EI76" s="414"/>
      <c r="EU76" s="414"/>
      <c r="FH76" s="415"/>
      <c r="FS76" s="2589"/>
      <c r="FT76" s="2589"/>
      <c r="FU76" s="2589"/>
      <c r="FV76" s="2589"/>
      <c r="FW76" s="2589"/>
      <c r="FX76" s="2589"/>
      <c r="FY76" s="2589"/>
      <c r="FZ76" s="2589"/>
      <c r="GA76" s="2589"/>
      <c r="GB76" s="2589"/>
      <c r="GC76" s="2589"/>
      <c r="GJ76" s="414"/>
    </row>
    <row r="77" spans="1:196" ht="4.1500000000000004" customHeight="1">
      <c r="G77" s="414"/>
      <c r="Q77" s="411"/>
      <c r="R77" s="412"/>
      <c r="S77" s="412"/>
      <c r="T77" s="412"/>
      <c r="U77" s="412"/>
      <c r="V77" s="412"/>
      <c r="W77" s="412"/>
      <c r="X77" s="412"/>
      <c r="Y77" s="412"/>
      <c r="Z77" s="412"/>
      <c r="AA77" s="412"/>
      <c r="AB77" s="412"/>
      <c r="AC77" s="412"/>
      <c r="AD77" s="412"/>
      <c r="AE77" s="412"/>
      <c r="AF77" s="412"/>
      <c r="AG77" s="412"/>
      <c r="AH77" s="413"/>
      <c r="AQ77" s="2588">
        <v>0.15</v>
      </c>
      <c r="AR77" s="2588"/>
      <c r="AS77" s="2588"/>
      <c r="AT77" s="2588"/>
      <c r="AU77" s="2588"/>
      <c r="AV77" s="2588"/>
      <c r="AW77" s="2588"/>
      <c r="AX77" s="2588"/>
      <c r="AY77" s="2588"/>
      <c r="AZ77" s="2588"/>
      <c r="BA77" s="2588"/>
      <c r="BH77" s="414"/>
      <c r="BU77" s="414"/>
      <c r="CE77" s="411"/>
      <c r="CF77" s="412"/>
      <c r="CG77" s="412"/>
      <c r="CH77" s="412"/>
      <c r="CI77" s="412"/>
      <c r="CJ77" s="412"/>
      <c r="CK77" s="412"/>
      <c r="CL77" s="412"/>
      <c r="CM77" s="412"/>
      <c r="CN77" s="412"/>
      <c r="CO77" s="412"/>
      <c r="CP77" s="412"/>
      <c r="CQ77" s="412"/>
      <c r="CR77" s="412"/>
      <c r="CS77" s="412"/>
      <c r="CT77" s="412"/>
      <c r="CU77" s="412"/>
      <c r="CV77" s="413"/>
      <c r="DE77" s="2588">
        <v>0.22500000000000001</v>
      </c>
      <c r="DF77" s="2588"/>
      <c r="DG77" s="2588"/>
      <c r="DH77" s="2588"/>
      <c r="DI77" s="2588"/>
      <c r="DJ77" s="2588"/>
      <c r="DK77" s="2588"/>
      <c r="DL77" s="2588"/>
      <c r="DM77" s="2588"/>
      <c r="DN77" s="2588"/>
      <c r="DO77" s="2588"/>
      <c r="DV77" s="414"/>
      <c r="EI77" s="414"/>
      <c r="ES77" s="411"/>
      <c r="ET77" s="412"/>
      <c r="EU77" s="412"/>
      <c r="EV77" s="412"/>
      <c r="EW77" s="412"/>
      <c r="EX77" s="412"/>
      <c r="EY77" s="412"/>
      <c r="EZ77" s="412"/>
      <c r="FA77" s="412"/>
      <c r="FB77" s="412"/>
      <c r="FC77" s="412"/>
      <c r="FD77" s="412"/>
      <c r="FE77" s="412"/>
      <c r="FF77" s="412"/>
      <c r="FG77" s="412"/>
      <c r="FH77" s="412"/>
      <c r="FI77" s="412"/>
      <c r="FJ77" s="413"/>
      <c r="FS77" s="2588">
        <v>0.22500000000000001</v>
      </c>
      <c r="FT77" s="2588"/>
      <c r="FU77" s="2588"/>
      <c r="FV77" s="2588"/>
      <c r="FW77" s="2588"/>
      <c r="FX77" s="2588"/>
      <c r="FY77" s="2588"/>
      <c r="FZ77" s="2588"/>
      <c r="GA77" s="2588"/>
      <c r="GB77" s="2588"/>
      <c r="GC77" s="2588"/>
      <c r="GJ77" s="414"/>
    </row>
    <row r="78" spans="1:196" ht="4.1500000000000004" customHeight="1">
      <c r="G78" s="414"/>
      <c r="Q78" s="414"/>
      <c r="T78" s="2580">
        <v>0.5</v>
      </c>
      <c r="U78" s="2580"/>
      <c r="V78" s="2580"/>
      <c r="W78" s="2580"/>
      <c r="X78" s="2580"/>
      <c r="Y78" s="2580"/>
      <c r="Z78" s="2580"/>
      <c r="AA78" s="2580"/>
      <c r="AB78" s="2580"/>
      <c r="AC78" s="2580"/>
      <c r="AD78" s="2580"/>
      <c r="AE78" s="2580"/>
      <c r="AH78" s="415"/>
      <c r="AQ78" s="2588"/>
      <c r="AR78" s="2588"/>
      <c r="AS78" s="2588"/>
      <c r="AT78" s="2588"/>
      <c r="AU78" s="2588"/>
      <c r="AV78" s="2588"/>
      <c r="AW78" s="2588"/>
      <c r="AX78" s="2588"/>
      <c r="AY78" s="2588"/>
      <c r="AZ78" s="2588"/>
      <c r="BA78" s="2588"/>
      <c r="BH78" s="414"/>
      <c r="BU78" s="414"/>
      <c r="CE78" s="414"/>
      <c r="CH78" s="2580">
        <v>0.5</v>
      </c>
      <c r="CI78" s="2580"/>
      <c r="CJ78" s="2580"/>
      <c r="CK78" s="2580"/>
      <c r="CL78" s="2580"/>
      <c r="CM78" s="2580"/>
      <c r="CN78" s="2580"/>
      <c r="CO78" s="2580"/>
      <c r="CP78" s="2580"/>
      <c r="CQ78" s="2580"/>
      <c r="CR78" s="2580"/>
      <c r="CS78" s="2580"/>
      <c r="CV78" s="415"/>
      <c r="DE78" s="2588"/>
      <c r="DF78" s="2588"/>
      <c r="DG78" s="2588"/>
      <c r="DH78" s="2588"/>
      <c r="DI78" s="2588"/>
      <c r="DJ78" s="2588"/>
      <c r="DK78" s="2588"/>
      <c r="DL78" s="2588"/>
      <c r="DM78" s="2588"/>
      <c r="DN78" s="2588"/>
      <c r="DO78" s="2588"/>
      <c r="DV78" s="414"/>
      <c r="EI78" s="414"/>
      <c r="ES78" s="414"/>
      <c r="EV78" s="2580">
        <v>0.5</v>
      </c>
      <c r="EW78" s="2580"/>
      <c r="EX78" s="2580"/>
      <c r="EY78" s="2580"/>
      <c r="EZ78" s="2580"/>
      <c r="FA78" s="2580"/>
      <c r="FB78" s="2580"/>
      <c r="FC78" s="2580"/>
      <c r="FD78" s="2580"/>
      <c r="FE78" s="2580"/>
      <c r="FF78" s="2580"/>
      <c r="FG78" s="2580"/>
      <c r="FJ78" s="415"/>
      <c r="FS78" s="2588"/>
      <c r="FT78" s="2588"/>
      <c r="FU78" s="2588"/>
      <c r="FV78" s="2588"/>
      <c r="FW78" s="2588"/>
      <c r="FX78" s="2588"/>
      <c r="FY78" s="2588"/>
      <c r="FZ78" s="2588"/>
      <c r="GA78" s="2588"/>
      <c r="GB78" s="2588"/>
      <c r="GC78" s="2588"/>
      <c r="GJ78" s="414"/>
    </row>
    <row r="79" spans="1:196" ht="4.1500000000000004" customHeight="1">
      <c r="G79" s="414"/>
      <c r="Q79" s="414"/>
      <c r="T79" s="2580"/>
      <c r="U79" s="2580"/>
      <c r="V79" s="2580"/>
      <c r="W79" s="2580"/>
      <c r="X79" s="2580"/>
      <c r="Y79" s="2580"/>
      <c r="Z79" s="2580"/>
      <c r="AA79" s="2580"/>
      <c r="AB79" s="2580"/>
      <c r="AC79" s="2580"/>
      <c r="AD79" s="2580"/>
      <c r="AE79" s="2580"/>
      <c r="AH79" s="415"/>
      <c r="AQ79" s="2588"/>
      <c r="AR79" s="2588"/>
      <c r="AS79" s="2588"/>
      <c r="AT79" s="2588"/>
      <c r="AU79" s="2588"/>
      <c r="AV79" s="2588"/>
      <c r="AW79" s="2588"/>
      <c r="AX79" s="2588"/>
      <c r="AY79" s="2588"/>
      <c r="AZ79" s="2588"/>
      <c r="BA79" s="2588"/>
      <c r="BH79" s="414"/>
      <c r="BU79" s="414"/>
      <c r="CE79" s="414"/>
      <c r="CH79" s="2580"/>
      <c r="CI79" s="2580"/>
      <c r="CJ79" s="2580"/>
      <c r="CK79" s="2580"/>
      <c r="CL79" s="2580"/>
      <c r="CM79" s="2580"/>
      <c r="CN79" s="2580"/>
      <c r="CO79" s="2580"/>
      <c r="CP79" s="2580"/>
      <c r="CQ79" s="2580"/>
      <c r="CR79" s="2580"/>
      <c r="CS79" s="2580"/>
      <c r="CV79" s="415"/>
      <c r="DE79" s="2588"/>
      <c r="DF79" s="2588"/>
      <c r="DG79" s="2588"/>
      <c r="DH79" s="2588"/>
      <c r="DI79" s="2588"/>
      <c r="DJ79" s="2588"/>
      <c r="DK79" s="2588"/>
      <c r="DL79" s="2588"/>
      <c r="DM79" s="2588"/>
      <c r="DN79" s="2588"/>
      <c r="DO79" s="2588"/>
      <c r="DV79" s="414"/>
      <c r="EI79" s="414"/>
      <c r="ES79" s="414"/>
      <c r="EV79" s="2580"/>
      <c r="EW79" s="2580"/>
      <c r="EX79" s="2580"/>
      <c r="EY79" s="2580"/>
      <c r="EZ79" s="2580"/>
      <c r="FA79" s="2580"/>
      <c r="FB79" s="2580"/>
      <c r="FC79" s="2580"/>
      <c r="FD79" s="2580"/>
      <c r="FE79" s="2580"/>
      <c r="FF79" s="2580"/>
      <c r="FG79" s="2580"/>
      <c r="FJ79" s="415"/>
      <c r="FS79" s="2588"/>
      <c r="FT79" s="2588"/>
      <c r="FU79" s="2588"/>
      <c r="FV79" s="2588"/>
      <c r="FW79" s="2588"/>
      <c r="FX79" s="2588"/>
      <c r="FY79" s="2588"/>
      <c r="FZ79" s="2588"/>
      <c r="GA79" s="2588"/>
      <c r="GB79" s="2588"/>
      <c r="GC79" s="2588"/>
      <c r="GJ79" s="414"/>
    </row>
    <row r="80" spans="1:196" ht="4.1500000000000004" customHeight="1">
      <c r="G80" s="414"/>
      <c r="Q80" s="414"/>
      <c r="T80" s="2580"/>
      <c r="U80" s="2580"/>
      <c r="V80" s="2580"/>
      <c r="W80" s="2580"/>
      <c r="X80" s="2580"/>
      <c r="Y80" s="2580"/>
      <c r="Z80" s="2580"/>
      <c r="AA80" s="2580"/>
      <c r="AB80" s="2580"/>
      <c r="AC80" s="2580"/>
      <c r="AD80" s="2580"/>
      <c r="AE80" s="2580"/>
      <c r="AH80" s="415"/>
      <c r="AQ80" s="2588"/>
      <c r="AR80" s="2588"/>
      <c r="AS80" s="2588"/>
      <c r="AT80" s="2588"/>
      <c r="AU80" s="2588"/>
      <c r="AV80" s="2588"/>
      <c r="AW80" s="2588"/>
      <c r="AX80" s="2588"/>
      <c r="AY80" s="2588"/>
      <c r="AZ80" s="2588"/>
      <c r="BA80" s="2588"/>
      <c r="BH80" s="414"/>
      <c r="BU80" s="414"/>
      <c r="CE80" s="414"/>
      <c r="CH80" s="2580"/>
      <c r="CI80" s="2580"/>
      <c r="CJ80" s="2580"/>
      <c r="CK80" s="2580"/>
      <c r="CL80" s="2580"/>
      <c r="CM80" s="2580"/>
      <c r="CN80" s="2580"/>
      <c r="CO80" s="2580"/>
      <c r="CP80" s="2580"/>
      <c r="CQ80" s="2580"/>
      <c r="CR80" s="2580"/>
      <c r="CS80" s="2580"/>
      <c r="CV80" s="415"/>
      <c r="DE80" s="2588"/>
      <c r="DF80" s="2588"/>
      <c r="DG80" s="2588"/>
      <c r="DH80" s="2588"/>
      <c r="DI80" s="2588"/>
      <c r="DJ80" s="2588"/>
      <c r="DK80" s="2588"/>
      <c r="DL80" s="2588"/>
      <c r="DM80" s="2588"/>
      <c r="DN80" s="2588"/>
      <c r="DO80" s="2588"/>
      <c r="DV80" s="414"/>
      <c r="EI80" s="414"/>
      <c r="ES80" s="414"/>
      <c r="EV80" s="2580"/>
      <c r="EW80" s="2580"/>
      <c r="EX80" s="2580"/>
      <c r="EY80" s="2580"/>
      <c r="EZ80" s="2580"/>
      <c r="FA80" s="2580"/>
      <c r="FB80" s="2580"/>
      <c r="FC80" s="2580"/>
      <c r="FD80" s="2580"/>
      <c r="FE80" s="2580"/>
      <c r="FF80" s="2580"/>
      <c r="FG80" s="2580"/>
      <c r="FJ80" s="415"/>
      <c r="FS80" s="2588"/>
      <c r="FT80" s="2588"/>
      <c r="FU80" s="2588"/>
      <c r="FV80" s="2588"/>
      <c r="FW80" s="2588"/>
      <c r="FX80" s="2588"/>
      <c r="FY80" s="2588"/>
      <c r="FZ80" s="2588"/>
      <c r="GA80" s="2588"/>
      <c r="GB80" s="2588"/>
      <c r="GC80" s="2588"/>
      <c r="GJ80" s="414"/>
    </row>
    <row r="81" spans="2:196" ht="4.1500000000000004" customHeight="1">
      <c r="G81" s="414"/>
      <c r="Q81" s="414"/>
      <c r="AH81" s="415"/>
      <c r="AQ81" s="2589"/>
      <c r="AR81" s="2589"/>
      <c r="AS81" s="2589"/>
      <c r="AT81" s="2589"/>
      <c r="AU81" s="2589"/>
      <c r="AV81" s="2589"/>
      <c r="AW81" s="2589"/>
      <c r="AX81" s="2589"/>
      <c r="AY81" s="2589"/>
      <c r="AZ81" s="2589"/>
      <c r="BA81" s="2589"/>
      <c r="BD81" s="2773">
        <f>AQ72+AQ77+AQ82+AQ87+AQ90</f>
        <v>0.85</v>
      </c>
      <c r="BE81" s="2773"/>
      <c r="BF81" s="2773"/>
      <c r="BG81" s="2773"/>
      <c r="BH81" s="2773"/>
      <c r="BI81" s="2773"/>
      <c r="BJ81" s="2773"/>
      <c r="BK81" s="2773"/>
      <c r="BL81" s="2773"/>
      <c r="BU81" s="414"/>
      <c r="CE81" s="414"/>
      <c r="CV81" s="415"/>
      <c r="DE81" s="2589"/>
      <c r="DF81" s="2589"/>
      <c r="DG81" s="2589"/>
      <c r="DH81" s="2589"/>
      <c r="DI81" s="2589"/>
      <c r="DJ81" s="2589"/>
      <c r="DK81" s="2589"/>
      <c r="DL81" s="2589"/>
      <c r="DM81" s="2589"/>
      <c r="DN81" s="2589"/>
      <c r="DO81" s="2589"/>
      <c r="DR81" s="2580">
        <f>DE72+DE77+DE82+DE87+DE90</f>
        <v>0.92500000000000004</v>
      </c>
      <c r="DS81" s="2580"/>
      <c r="DT81" s="2580"/>
      <c r="DU81" s="2580"/>
      <c r="DV81" s="2580"/>
      <c r="DW81" s="2580"/>
      <c r="DX81" s="2580"/>
      <c r="DY81" s="2580"/>
      <c r="DZ81" s="2580"/>
      <c r="EI81" s="414"/>
      <c r="ES81" s="414"/>
      <c r="FJ81" s="415"/>
      <c r="FS81" s="2589"/>
      <c r="FT81" s="2589"/>
      <c r="FU81" s="2589"/>
      <c r="FV81" s="2589"/>
      <c r="FW81" s="2589"/>
      <c r="FX81" s="2589"/>
      <c r="FY81" s="2589"/>
      <c r="FZ81" s="2589"/>
      <c r="GA81" s="2589"/>
      <c r="GB81" s="2589"/>
      <c r="GC81" s="2589"/>
      <c r="GF81" s="2580">
        <f>FS72+FS77+FS82+FS87+FS90</f>
        <v>0.92500000000000004</v>
      </c>
      <c r="GG81" s="2580"/>
      <c r="GH81" s="2580"/>
      <c r="GI81" s="2580"/>
      <c r="GJ81" s="2580"/>
      <c r="GK81" s="2580"/>
      <c r="GL81" s="2580"/>
      <c r="GM81" s="2580"/>
      <c r="GN81" s="2580"/>
    </row>
    <row r="82" spans="2:196" ht="4.1500000000000004" customHeight="1">
      <c r="B82" s="2580">
        <f>AQ90+AQ87+AQ82+AQ77+AQ72/2</f>
        <v>0.70000000000000007</v>
      </c>
      <c r="C82" s="2580"/>
      <c r="D82" s="2580"/>
      <c r="E82" s="2580"/>
      <c r="F82" s="2580"/>
      <c r="G82" s="2580"/>
      <c r="H82" s="2580"/>
      <c r="I82" s="2580"/>
      <c r="J82" s="2580"/>
      <c r="N82" s="411"/>
      <c r="O82" s="412"/>
      <c r="P82" s="412"/>
      <c r="Q82" s="412"/>
      <c r="R82" s="412"/>
      <c r="S82" s="412"/>
      <c r="T82" s="412"/>
      <c r="U82" s="412"/>
      <c r="V82" s="412"/>
      <c r="W82" s="412"/>
      <c r="X82" s="412"/>
      <c r="Y82" s="412"/>
      <c r="Z82" s="412"/>
      <c r="AA82" s="412"/>
      <c r="AB82" s="412"/>
      <c r="AC82" s="412"/>
      <c r="AD82" s="412"/>
      <c r="AE82" s="412"/>
      <c r="AF82" s="412"/>
      <c r="AG82" s="412"/>
      <c r="AH82" s="412"/>
      <c r="AI82" s="412"/>
      <c r="AJ82" s="412"/>
      <c r="AK82" s="413"/>
      <c r="AQ82" s="2587">
        <v>0.15</v>
      </c>
      <c r="AR82" s="2587"/>
      <c r="AS82" s="2587"/>
      <c r="AT82" s="2587"/>
      <c r="AU82" s="2587"/>
      <c r="AV82" s="2587"/>
      <c r="AW82" s="2587"/>
      <c r="AX82" s="2587"/>
      <c r="AY82" s="2587"/>
      <c r="AZ82" s="2587"/>
      <c r="BA82" s="2587"/>
      <c r="BD82" s="2773"/>
      <c r="BE82" s="2773"/>
      <c r="BF82" s="2773"/>
      <c r="BG82" s="2773"/>
      <c r="BH82" s="2773"/>
      <c r="BI82" s="2773"/>
      <c r="BJ82" s="2773"/>
      <c r="BK82" s="2773"/>
      <c r="BL82" s="2773"/>
      <c r="BP82" s="2580">
        <f>DE90+DE87+DE82+DE77+DE72/2</f>
        <v>0.7</v>
      </c>
      <c r="BQ82" s="2580"/>
      <c r="BR82" s="2580"/>
      <c r="BS82" s="2580"/>
      <c r="BT82" s="2580"/>
      <c r="BU82" s="2580"/>
      <c r="BV82" s="2580"/>
      <c r="BW82" s="2580"/>
      <c r="BX82" s="2580"/>
      <c r="CB82" s="411"/>
      <c r="CC82" s="412"/>
      <c r="CD82" s="412"/>
      <c r="CE82" s="412"/>
      <c r="CF82" s="412"/>
      <c r="CG82" s="412"/>
      <c r="CH82" s="412"/>
      <c r="CI82" s="412"/>
      <c r="CJ82" s="412"/>
      <c r="CK82" s="412"/>
      <c r="CL82" s="412"/>
      <c r="CM82" s="412"/>
      <c r="CN82" s="412"/>
      <c r="CO82" s="412"/>
      <c r="CP82" s="412"/>
      <c r="CQ82" s="412"/>
      <c r="CR82" s="412"/>
      <c r="CS82" s="412"/>
      <c r="CT82" s="412"/>
      <c r="CU82" s="412"/>
      <c r="CV82" s="412"/>
      <c r="CW82" s="412"/>
      <c r="CX82" s="412"/>
      <c r="CY82" s="413"/>
      <c r="DE82" s="2587">
        <v>0</v>
      </c>
      <c r="DF82" s="2587"/>
      <c r="DG82" s="2587"/>
      <c r="DH82" s="2587"/>
      <c r="DI82" s="2587"/>
      <c r="DJ82" s="2587"/>
      <c r="DK82" s="2587"/>
      <c r="DL82" s="2587"/>
      <c r="DM82" s="2587"/>
      <c r="DN82" s="2587"/>
      <c r="DO82" s="2587"/>
      <c r="DR82" s="2580"/>
      <c r="DS82" s="2580"/>
      <c r="DT82" s="2580"/>
      <c r="DU82" s="2580"/>
      <c r="DV82" s="2580"/>
      <c r="DW82" s="2580"/>
      <c r="DX82" s="2580"/>
      <c r="DY82" s="2580"/>
      <c r="DZ82" s="2580"/>
      <c r="ED82" s="2580">
        <f>FS90+FS87+FS82+FS77+FS72/2</f>
        <v>0.7</v>
      </c>
      <c r="EE82" s="2580"/>
      <c r="EF82" s="2580"/>
      <c r="EG82" s="2580"/>
      <c r="EH82" s="2580"/>
      <c r="EI82" s="2580"/>
      <c r="EJ82" s="2580"/>
      <c r="EK82" s="2580"/>
      <c r="EL82" s="2580"/>
      <c r="EP82" s="411"/>
      <c r="EQ82" s="412"/>
      <c r="ER82" s="412"/>
      <c r="ES82" s="412"/>
      <c r="ET82" s="412"/>
      <c r="EU82" s="412"/>
      <c r="EV82" s="412"/>
      <c r="EW82" s="412"/>
      <c r="EX82" s="412"/>
      <c r="EY82" s="412"/>
      <c r="EZ82" s="412"/>
      <c r="FA82" s="412"/>
      <c r="FB82" s="412"/>
      <c r="FC82" s="412"/>
      <c r="FD82" s="412"/>
      <c r="FE82" s="412"/>
      <c r="FF82" s="412"/>
      <c r="FG82" s="412"/>
      <c r="FH82" s="412"/>
      <c r="FI82" s="412"/>
      <c r="FJ82" s="412"/>
      <c r="FK82" s="412"/>
      <c r="FL82" s="412"/>
      <c r="FM82" s="413"/>
      <c r="FS82" s="2587">
        <v>0</v>
      </c>
      <c r="FT82" s="2587"/>
      <c r="FU82" s="2587"/>
      <c r="FV82" s="2587"/>
      <c r="FW82" s="2587"/>
      <c r="FX82" s="2587"/>
      <c r="FY82" s="2587"/>
      <c r="FZ82" s="2587"/>
      <c r="GA82" s="2587"/>
      <c r="GB82" s="2587"/>
      <c r="GC82" s="2587"/>
      <c r="GF82" s="2580"/>
      <c r="GG82" s="2580"/>
      <c r="GH82" s="2580"/>
      <c r="GI82" s="2580"/>
      <c r="GJ82" s="2580"/>
      <c r="GK82" s="2580"/>
      <c r="GL82" s="2580"/>
      <c r="GM82" s="2580"/>
      <c r="GN82" s="2580"/>
    </row>
    <row r="83" spans="2:196" ht="4.1500000000000004" customHeight="1">
      <c r="B83" s="2580"/>
      <c r="C83" s="2580"/>
      <c r="D83" s="2580"/>
      <c r="E83" s="2580"/>
      <c r="F83" s="2580"/>
      <c r="G83" s="2580"/>
      <c r="H83" s="2580"/>
      <c r="I83" s="2580"/>
      <c r="J83" s="2580"/>
      <c r="N83" s="414"/>
      <c r="T83" s="2580">
        <v>0.65</v>
      </c>
      <c r="U83" s="2580"/>
      <c r="V83" s="2580"/>
      <c r="W83" s="2580"/>
      <c r="X83" s="2580"/>
      <c r="Y83" s="2580"/>
      <c r="Z83" s="2580"/>
      <c r="AA83" s="2580"/>
      <c r="AB83" s="2580"/>
      <c r="AC83" s="2580"/>
      <c r="AD83" s="2580"/>
      <c r="AE83" s="2580"/>
      <c r="AK83" s="415"/>
      <c r="AQ83" s="2588"/>
      <c r="AR83" s="2588"/>
      <c r="AS83" s="2588"/>
      <c r="AT83" s="2588"/>
      <c r="AU83" s="2588"/>
      <c r="AV83" s="2588"/>
      <c r="AW83" s="2588"/>
      <c r="AX83" s="2588"/>
      <c r="AY83" s="2588"/>
      <c r="AZ83" s="2588"/>
      <c r="BA83" s="2588"/>
      <c r="BD83" s="2773"/>
      <c r="BE83" s="2773"/>
      <c r="BF83" s="2773"/>
      <c r="BG83" s="2773"/>
      <c r="BH83" s="2773"/>
      <c r="BI83" s="2773"/>
      <c r="BJ83" s="2773"/>
      <c r="BK83" s="2773"/>
      <c r="BL83" s="2773"/>
      <c r="BP83" s="2580"/>
      <c r="BQ83" s="2580"/>
      <c r="BR83" s="2580"/>
      <c r="BS83" s="2580"/>
      <c r="BT83" s="2580"/>
      <c r="BU83" s="2580"/>
      <c r="BV83" s="2580"/>
      <c r="BW83" s="2580"/>
      <c r="BX83" s="2580"/>
      <c r="CB83" s="414"/>
      <c r="CH83" s="2580">
        <v>0</v>
      </c>
      <c r="CI83" s="2580"/>
      <c r="CJ83" s="2580"/>
      <c r="CK83" s="2580"/>
      <c r="CL83" s="2580"/>
      <c r="CM83" s="2580"/>
      <c r="CN83" s="2580"/>
      <c r="CO83" s="2580"/>
      <c r="CP83" s="2580"/>
      <c r="CQ83" s="2580"/>
      <c r="CR83" s="2580"/>
      <c r="CS83" s="2580"/>
      <c r="CY83" s="415"/>
      <c r="DE83" s="2588"/>
      <c r="DF83" s="2588"/>
      <c r="DG83" s="2588"/>
      <c r="DH83" s="2588"/>
      <c r="DI83" s="2588"/>
      <c r="DJ83" s="2588"/>
      <c r="DK83" s="2588"/>
      <c r="DL83" s="2588"/>
      <c r="DM83" s="2588"/>
      <c r="DN83" s="2588"/>
      <c r="DO83" s="2588"/>
      <c r="DR83" s="2580"/>
      <c r="DS83" s="2580"/>
      <c r="DT83" s="2580"/>
      <c r="DU83" s="2580"/>
      <c r="DV83" s="2580"/>
      <c r="DW83" s="2580"/>
      <c r="DX83" s="2580"/>
      <c r="DY83" s="2580"/>
      <c r="DZ83" s="2580"/>
      <c r="ED83" s="2580"/>
      <c r="EE83" s="2580"/>
      <c r="EF83" s="2580"/>
      <c r="EG83" s="2580"/>
      <c r="EH83" s="2580"/>
      <c r="EI83" s="2580"/>
      <c r="EJ83" s="2580"/>
      <c r="EK83" s="2580"/>
      <c r="EL83" s="2580"/>
      <c r="EP83" s="414"/>
      <c r="EV83" s="2580">
        <v>0</v>
      </c>
      <c r="EW83" s="2580"/>
      <c r="EX83" s="2580"/>
      <c r="EY83" s="2580"/>
      <c r="EZ83" s="2580"/>
      <c r="FA83" s="2580"/>
      <c r="FB83" s="2580"/>
      <c r="FC83" s="2580"/>
      <c r="FD83" s="2580"/>
      <c r="FE83" s="2580"/>
      <c r="FF83" s="2580"/>
      <c r="FG83" s="2580"/>
      <c r="FM83" s="415"/>
      <c r="FS83" s="2588"/>
      <c r="FT83" s="2588"/>
      <c r="FU83" s="2588"/>
      <c r="FV83" s="2588"/>
      <c r="FW83" s="2588"/>
      <c r="FX83" s="2588"/>
      <c r="FY83" s="2588"/>
      <c r="FZ83" s="2588"/>
      <c r="GA83" s="2588"/>
      <c r="GB83" s="2588"/>
      <c r="GC83" s="2588"/>
      <c r="GF83" s="2580"/>
      <c r="GG83" s="2580"/>
      <c r="GH83" s="2580"/>
      <c r="GI83" s="2580"/>
      <c r="GJ83" s="2580"/>
      <c r="GK83" s="2580"/>
      <c r="GL83" s="2580"/>
      <c r="GM83" s="2580"/>
      <c r="GN83" s="2580"/>
    </row>
    <row r="84" spans="2:196" ht="4.1500000000000004" customHeight="1">
      <c r="B84" s="2580"/>
      <c r="C84" s="2580"/>
      <c r="D84" s="2580"/>
      <c r="E84" s="2580"/>
      <c r="F84" s="2580"/>
      <c r="G84" s="2580"/>
      <c r="H84" s="2580"/>
      <c r="I84" s="2580"/>
      <c r="J84" s="2580"/>
      <c r="N84" s="414"/>
      <c r="T84" s="2580"/>
      <c r="U84" s="2580"/>
      <c r="V84" s="2580"/>
      <c r="W84" s="2580"/>
      <c r="X84" s="2580"/>
      <c r="Y84" s="2580"/>
      <c r="Z84" s="2580"/>
      <c r="AA84" s="2580"/>
      <c r="AB84" s="2580"/>
      <c r="AC84" s="2580"/>
      <c r="AD84" s="2580"/>
      <c r="AE84" s="2580"/>
      <c r="AK84" s="415"/>
      <c r="AQ84" s="2588"/>
      <c r="AR84" s="2588"/>
      <c r="AS84" s="2588"/>
      <c r="AT84" s="2588"/>
      <c r="AU84" s="2588"/>
      <c r="AV84" s="2588"/>
      <c r="AW84" s="2588"/>
      <c r="AX84" s="2588"/>
      <c r="AY84" s="2588"/>
      <c r="AZ84" s="2588"/>
      <c r="BA84" s="2588"/>
      <c r="BD84" s="2773"/>
      <c r="BE84" s="2773"/>
      <c r="BF84" s="2773"/>
      <c r="BG84" s="2773"/>
      <c r="BH84" s="2773"/>
      <c r="BI84" s="2773"/>
      <c r="BJ84" s="2773"/>
      <c r="BK84" s="2773"/>
      <c r="BL84" s="2773"/>
      <c r="BP84" s="2580"/>
      <c r="BQ84" s="2580"/>
      <c r="BR84" s="2580"/>
      <c r="BS84" s="2580"/>
      <c r="BT84" s="2580"/>
      <c r="BU84" s="2580"/>
      <c r="BV84" s="2580"/>
      <c r="BW84" s="2580"/>
      <c r="BX84" s="2580"/>
      <c r="CB84" s="414"/>
      <c r="CH84" s="2580"/>
      <c r="CI84" s="2580"/>
      <c r="CJ84" s="2580"/>
      <c r="CK84" s="2580"/>
      <c r="CL84" s="2580"/>
      <c r="CM84" s="2580"/>
      <c r="CN84" s="2580"/>
      <c r="CO84" s="2580"/>
      <c r="CP84" s="2580"/>
      <c r="CQ84" s="2580"/>
      <c r="CR84" s="2580"/>
      <c r="CS84" s="2580"/>
      <c r="CY84" s="415"/>
      <c r="DE84" s="2588"/>
      <c r="DF84" s="2588"/>
      <c r="DG84" s="2588"/>
      <c r="DH84" s="2588"/>
      <c r="DI84" s="2588"/>
      <c r="DJ84" s="2588"/>
      <c r="DK84" s="2588"/>
      <c r="DL84" s="2588"/>
      <c r="DM84" s="2588"/>
      <c r="DN84" s="2588"/>
      <c r="DO84" s="2588"/>
      <c r="DR84" s="2580"/>
      <c r="DS84" s="2580"/>
      <c r="DT84" s="2580"/>
      <c r="DU84" s="2580"/>
      <c r="DV84" s="2580"/>
      <c r="DW84" s="2580"/>
      <c r="DX84" s="2580"/>
      <c r="DY84" s="2580"/>
      <c r="DZ84" s="2580"/>
      <c r="ED84" s="2580"/>
      <c r="EE84" s="2580"/>
      <c r="EF84" s="2580"/>
      <c r="EG84" s="2580"/>
      <c r="EH84" s="2580"/>
      <c r="EI84" s="2580"/>
      <c r="EJ84" s="2580"/>
      <c r="EK84" s="2580"/>
      <c r="EL84" s="2580"/>
      <c r="EP84" s="414"/>
      <c r="EV84" s="2580"/>
      <c r="EW84" s="2580"/>
      <c r="EX84" s="2580"/>
      <c r="EY84" s="2580"/>
      <c r="EZ84" s="2580"/>
      <c r="FA84" s="2580"/>
      <c r="FB84" s="2580"/>
      <c r="FC84" s="2580"/>
      <c r="FD84" s="2580"/>
      <c r="FE84" s="2580"/>
      <c r="FF84" s="2580"/>
      <c r="FG84" s="2580"/>
      <c r="FM84" s="415"/>
      <c r="FS84" s="2588"/>
      <c r="FT84" s="2588"/>
      <c r="FU84" s="2588"/>
      <c r="FV84" s="2588"/>
      <c r="FW84" s="2588"/>
      <c r="FX84" s="2588"/>
      <c r="FY84" s="2588"/>
      <c r="FZ84" s="2588"/>
      <c r="GA84" s="2588"/>
      <c r="GB84" s="2588"/>
      <c r="GC84" s="2588"/>
      <c r="GF84" s="2580"/>
      <c r="GG84" s="2580"/>
      <c r="GH84" s="2580"/>
      <c r="GI84" s="2580"/>
      <c r="GJ84" s="2580"/>
      <c r="GK84" s="2580"/>
      <c r="GL84" s="2580"/>
      <c r="GM84" s="2580"/>
      <c r="GN84" s="2580"/>
    </row>
    <row r="85" spans="2:196" ht="4.1500000000000004" customHeight="1">
      <c r="B85" s="2580"/>
      <c r="C85" s="2580"/>
      <c r="D85" s="2580"/>
      <c r="E85" s="2580"/>
      <c r="F85" s="2580"/>
      <c r="G85" s="2580"/>
      <c r="H85" s="2580"/>
      <c r="I85" s="2580"/>
      <c r="J85" s="2580"/>
      <c r="N85" s="414"/>
      <c r="T85" s="2580"/>
      <c r="U85" s="2580"/>
      <c r="V85" s="2580"/>
      <c r="W85" s="2580"/>
      <c r="X85" s="2580"/>
      <c r="Y85" s="2580"/>
      <c r="Z85" s="2580"/>
      <c r="AA85" s="2580"/>
      <c r="AB85" s="2580"/>
      <c r="AC85" s="2580"/>
      <c r="AD85" s="2580"/>
      <c r="AE85" s="2580"/>
      <c r="AK85" s="415"/>
      <c r="AQ85" s="2588"/>
      <c r="AR85" s="2588"/>
      <c r="AS85" s="2588"/>
      <c r="AT85" s="2588"/>
      <c r="AU85" s="2588"/>
      <c r="AV85" s="2588"/>
      <c r="AW85" s="2588"/>
      <c r="AX85" s="2588"/>
      <c r="AY85" s="2588"/>
      <c r="AZ85" s="2588"/>
      <c r="BA85" s="2588"/>
      <c r="BH85" s="414"/>
      <c r="BP85" s="2580"/>
      <c r="BQ85" s="2580"/>
      <c r="BR85" s="2580"/>
      <c r="BS85" s="2580"/>
      <c r="BT85" s="2580"/>
      <c r="BU85" s="2580"/>
      <c r="BV85" s="2580"/>
      <c r="BW85" s="2580"/>
      <c r="BX85" s="2580"/>
      <c r="CB85" s="414"/>
      <c r="CH85" s="2580"/>
      <c r="CI85" s="2580"/>
      <c r="CJ85" s="2580"/>
      <c r="CK85" s="2580"/>
      <c r="CL85" s="2580"/>
      <c r="CM85" s="2580"/>
      <c r="CN85" s="2580"/>
      <c r="CO85" s="2580"/>
      <c r="CP85" s="2580"/>
      <c r="CQ85" s="2580"/>
      <c r="CR85" s="2580"/>
      <c r="CS85" s="2580"/>
      <c r="CY85" s="415"/>
      <c r="DE85" s="2588"/>
      <c r="DF85" s="2588"/>
      <c r="DG85" s="2588"/>
      <c r="DH85" s="2588"/>
      <c r="DI85" s="2588"/>
      <c r="DJ85" s="2588"/>
      <c r="DK85" s="2588"/>
      <c r="DL85" s="2588"/>
      <c r="DM85" s="2588"/>
      <c r="DN85" s="2588"/>
      <c r="DO85" s="2588"/>
      <c r="DV85" s="414"/>
      <c r="ED85" s="2580"/>
      <c r="EE85" s="2580"/>
      <c r="EF85" s="2580"/>
      <c r="EG85" s="2580"/>
      <c r="EH85" s="2580"/>
      <c r="EI85" s="2580"/>
      <c r="EJ85" s="2580"/>
      <c r="EK85" s="2580"/>
      <c r="EL85" s="2580"/>
      <c r="EP85" s="414"/>
      <c r="EV85" s="2580"/>
      <c r="EW85" s="2580"/>
      <c r="EX85" s="2580"/>
      <c r="EY85" s="2580"/>
      <c r="EZ85" s="2580"/>
      <c r="FA85" s="2580"/>
      <c r="FB85" s="2580"/>
      <c r="FC85" s="2580"/>
      <c r="FD85" s="2580"/>
      <c r="FE85" s="2580"/>
      <c r="FF85" s="2580"/>
      <c r="FG85" s="2580"/>
      <c r="FM85" s="415"/>
      <c r="FS85" s="2588"/>
      <c r="FT85" s="2588"/>
      <c r="FU85" s="2588"/>
      <c r="FV85" s="2588"/>
      <c r="FW85" s="2588"/>
      <c r="FX85" s="2588"/>
      <c r="FY85" s="2588"/>
      <c r="FZ85" s="2588"/>
      <c r="GA85" s="2588"/>
      <c r="GB85" s="2588"/>
      <c r="GC85" s="2588"/>
      <c r="GJ85" s="414"/>
    </row>
    <row r="86" spans="2:196" ht="4.1500000000000004" customHeight="1">
      <c r="G86" s="414"/>
      <c r="N86" s="414"/>
      <c r="AK86" s="415"/>
      <c r="AQ86" s="2589"/>
      <c r="AR86" s="2589"/>
      <c r="AS86" s="2589"/>
      <c r="AT86" s="2589"/>
      <c r="AU86" s="2589"/>
      <c r="AV86" s="2589"/>
      <c r="AW86" s="2589"/>
      <c r="AX86" s="2589"/>
      <c r="AY86" s="2589"/>
      <c r="AZ86" s="2589"/>
      <c r="BA86" s="2589"/>
      <c r="BH86" s="414"/>
      <c r="BU86" s="414"/>
      <c r="CB86" s="414"/>
      <c r="CY86" s="415"/>
      <c r="DE86" s="2589"/>
      <c r="DF86" s="2589"/>
      <c r="DG86" s="2589"/>
      <c r="DH86" s="2589"/>
      <c r="DI86" s="2589"/>
      <c r="DJ86" s="2589"/>
      <c r="DK86" s="2589"/>
      <c r="DL86" s="2589"/>
      <c r="DM86" s="2589"/>
      <c r="DN86" s="2589"/>
      <c r="DO86" s="2589"/>
      <c r="DV86" s="414"/>
      <c r="EI86" s="414"/>
      <c r="EP86" s="414"/>
      <c r="FM86" s="415"/>
      <c r="FS86" s="2589"/>
      <c r="FT86" s="2589"/>
      <c r="FU86" s="2589"/>
      <c r="FV86" s="2589"/>
      <c r="FW86" s="2589"/>
      <c r="FX86" s="2589"/>
      <c r="FY86" s="2589"/>
      <c r="FZ86" s="2589"/>
      <c r="GA86" s="2589"/>
      <c r="GB86" s="2589"/>
      <c r="GC86" s="2589"/>
      <c r="GJ86" s="414"/>
    </row>
    <row r="87" spans="2:196" ht="4.1500000000000004" customHeight="1">
      <c r="G87" s="414"/>
      <c r="M87" s="411"/>
      <c r="N87" s="412"/>
      <c r="O87" s="412"/>
      <c r="P87" s="412"/>
      <c r="Q87" s="412"/>
      <c r="R87" s="412"/>
      <c r="S87" s="412"/>
      <c r="T87" s="412"/>
      <c r="U87" s="412"/>
      <c r="V87" s="412"/>
      <c r="W87" s="412"/>
      <c r="X87" s="412"/>
      <c r="Y87" s="412"/>
      <c r="Z87" s="412"/>
      <c r="AA87" s="412"/>
      <c r="AB87" s="412"/>
      <c r="AC87" s="412"/>
      <c r="AD87" s="412"/>
      <c r="AE87" s="412"/>
      <c r="AF87" s="412"/>
      <c r="AG87" s="412"/>
      <c r="AH87" s="412"/>
      <c r="AI87" s="412"/>
      <c r="AJ87" s="412"/>
      <c r="AK87" s="412"/>
      <c r="AL87" s="413"/>
      <c r="AQ87" s="2587">
        <v>0.1</v>
      </c>
      <c r="AR87" s="2587"/>
      <c r="AS87" s="2587"/>
      <c r="AT87" s="2587"/>
      <c r="AU87" s="2587"/>
      <c r="AV87" s="2587"/>
      <c r="AW87" s="2587"/>
      <c r="AX87" s="2587"/>
      <c r="AY87" s="2587"/>
      <c r="AZ87" s="2587"/>
      <c r="BA87" s="2587"/>
      <c r="BH87" s="414"/>
      <c r="BU87" s="414"/>
      <c r="CA87" s="411"/>
      <c r="CB87" s="412"/>
      <c r="CC87" s="412"/>
      <c r="CD87" s="412"/>
      <c r="CE87" s="412"/>
      <c r="CF87" s="412"/>
      <c r="CG87" s="412"/>
      <c r="CH87" s="412"/>
      <c r="CI87" s="412"/>
      <c r="CJ87" s="412"/>
      <c r="CK87" s="412"/>
      <c r="CL87" s="412"/>
      <c r="CM87" s="412"/>
      <c r="CN87" s="412"/>
      <c r="CO87" s="412"/>
      <c r="CP87" s="412"/>
      <c r="CQ87" s="412"/>
      <c r="CR87" s="412"/>
      <c r="CS87" s="412"/>
      <c r="CT87" s="412"/>
      <c r="CU87" s="412"/>
      <c r="CV87" s="412"/>
      <c r="CW87" s="412"/>
      <c r="CX87" s="412"/>
      <c r="CY87" s="412"/>
      <c r="CZ87" s="413"/>
      <c r="DE87" s="2587">
        <v>0.1</v>
      </c>
      <c r="DF87" s="2587"/>
      <c r="DG87" s="2587"/>
      <c r="DH87" s="2587"/>
      <c r="DI87" s="2587"/>
      <c r="DJ87" s="2587"/>
      <c r="DK87" s="2587"/>
      <c r="DL87" s="2587"/>
      <c r="DM87" s="2587"/>
      <c r="DN87" s="2587"/>
      <c r="DO87" s="2587"/>
      <c r="DV87" s="414"/>
      <c r="EI87" s="414"/>
      <c r="EO87" s="411"/>
      <c r="EP87" s="412"/>
      <c r="EQ87" s="412"/>
      <c r="ER87" s="412"/>
      <c r="ES87" s="412"/>
      <c r="ET87" s="412"/>
      <c r="EU87" s="412"/>
      <c r="EV87" s="412"/>
      <c r="EW87" s="412"/>
      <c r="EX87" s="412"/>
      <c r="EY87" s="412"/>
      <c r="EZ87" s="412"/>
      <c r="FA87" s="412"/>
      <c r="FB87" s="412"/>
      <c r="FC87" s="412"/>
      <c r="FD87" s="412"/>
      <c r="FE87" s="412"/>
      <c r="FF87" s="412"/>
      <c r="FG87" s="412"/>
      <c r="FH87" s="412"/>
      <c r="FI87" s="412"/>
      <c r="FJ87" s="412"/>
      <c r="FK87" s="412"/>
      <c r="FL87" s="412"/>
      <c r="FM87" s="412"/>
      <c r="FN87" s="413"/>
      <c r="FS87" s="2587">
        <v>0.1</v>
      </c>
      <c r="FT87" s="2587"/>
      <c r="FU87" s="2587"/>
      <c r="FV87" s="2587"/>
      <c r="FW87" s="2587"/>
      <c r="FX87" s="2587"/>
      <c r="FY87" s="2587"/>
      <c r="FZ87" s="2587"/>
      <c r="GA87" s="2587"/>
      <c r="GB87" s="2587"/>
      <c r="GC87" s="2587"/>
      <c r="GJ87" s="414"/>
    </row>
    <row r="88" spans="2:196" ht="4.1500000000000004" customHeight="1">
      <c r="G88" s="414"/>
      <c r="M88" s="414"/>
      <c r="AL88" s="415"/>
      <c r="AQ88" s="2588"/>
      <c r="AR88" s="2588"/>
      <c r="AS88" s="2588"/>
      <c r="AT88" s="2588"/>
      <c r="AU88" s="2588"/>
      <c r="AV88" s="2588"/>
      <c r="AW88" s="2588"/>
      <c r="AX88" s="2588"/>
      <c r="AY88" s="2588"/>
      <c r="AZ88" s="2588"/>
      <c r="BA88" s="2588"/>
      <c r="BH88" s="414"/>
      <c r="BU88" s="414"/>
      <c r="CA88" s="414"/>
      <c r="CZ88" s="415"/>
      <c r="DE88" s="2588"/>
      <c r="DF88" s="2588"/>
      <c r="DG88" s="2588"/>
      <c r="DH88" s="2588"/>
      <c r="DI88" s="2588"/>
      <c r="DJ88" s="2588"/>
      <c r="DK88" s="2588"/>
      <c r="DL88" s="2588"/>
      <c r="DM88" s="2588"/>
      <c r="DN88" s="2588"/>
      <c r="DO88" s="2588"/>
      <c r="DV88" s="414"/>
      <c r="EI88" s="414"/>
      <c r="EO88" s="414"/>
      <c r="FN88" s="415"/>
      <c r="FS88" s="2588"/>
      <c r="FT88" s="2588"/>
      <c r="FU88" s="2588"/>
      <c r="FV88" s="2588"/>
      <c r="FW88" s="2588"/>
      <c r="FX88" s="2588"/>
      <c r="FY88" s="2588"/>
      <c r="FZ88" s="2588"/>
      <c r="GA88" s="2588"/>
      <c r="GB88" s="2588"/>
      <c r="GC88" s="2588"/>
      <c r="GJ88" s="414"/>
    </row>
    <row r="89" spans="2:196" ht="4.1500000000000004" customHeight="1">
      <c r="G89" s="414"/>
      <c r="M89" s="416"/>
      <c r="N89" s="417"/>
      <c r="O89" s="417"/>
      <c r="P89" s="417"/>
      <c r="Q89" s="417"/>
      <c r="R89" s="417"/>
      <c r="S89" s="417"/>
      <c r="T89" s="417"/>
      <c r="U89" s="417"/>
      <c r="V89" s="417"/>
      <c r="W89" s="417"/>
      <c r="X89" s="417"/>
      <c r="Y89" s="417"/>
      <c r="Z89" s="417"/>
      <c r="AA89" s="417"/>
      <c r="AB89" s="417"/>
      <c r="AC89" s="417"/>
      <c r="AD89" s="417"/>
      <c r="AE89" s="417"/>
      <c r="AF89" s="417"/>
      <c r="AG89" s="417"/>
      <c r="AH89" s="417"/>
      <c r="AI89" s="417"/>
      <c r="AJ89" s="417"/>
      <c r="AK89" s="417"/>
      <c r="AL89" s="418"/>
      <c r="AQ89" s="2589"/>
      <c r="AR89" s="2589"/>
      <c r="AS89" s="2589"/>
      <c r="AT89" s="2589"/>
      <c r="AU89" s="2589"/>
      <c r="AV89" s="2589"/>
      <c r="AW89" s="2589"/>
      <c r="AX89" s="2589"/>
      <c r="AY89" s="2589"/>
      <c r="AZ89" s="2589"/>
      <c r="BA89" s="2589"/>
      <c r="BH89" s="414"/>
      <c r="BU89" s="414"/>
      <c r="CA89" s="416"/>
      <c r="CB89" s="417"/>
      <c r="CC89" s="417"/>
      <c r="CD89" s="417"/>
      <c r="CE89" s="417"/>
      <c r="CF89" s="417"/>
      <c r="CG89" s="417"/>
      <c r="CH89" s="417"/>
      <c r="CI89" s="417"/>
      <c r="CJ89" s="417"/>
      <c r="CK89" s="417"/>
      <c r="CL89" s="417"/>
      <c r="CM89" s="417"/>
      <c r="CN89" s="417"/>
      <c r="CO89" s="417"/>
      <c r="CP89" s="417"/>
      <c r="CQ89" s="417"/>
      <c r="CR89" s="417"/>
      <c r="CS89" s="417"/>
      <c r="CT89" s="417"/>
      <c r="CU89" s="417"/>
      <c r="CV89" s="417"/>
      <c r="CW89" s="417"/>
      <c r="CX89" s="417"/>
      <c r="CY89" s="417"/>
      <c r="CZ89" s="418"/>
      <c r="DE89" s="2589"/>
      <c r="DF89" s="2589"/>
      <c r="DG89" s="2589"/>
      <c r="DH89" s="2589"/>
      <c r="DI89" s="2589"/>
      <c r="DJ89" s="2589"/>
      <c r="DK89" s="2589"/>
      <c r="DL89" s="2589"/>
      <c r="DM89" s="2589"/>
      <c r="DN89" s="2589"/>
      <c r="DO89" s="2589"/>
      <c r="DV89" s="414"/>
      <c r="EI89" s="414"/>
      <c r="EO89" s="416"/>
      <c r="EP89" s="417"/>
      <c r="EQ89" s="417"/>
      <c r="ER89" s="417"/>
      <c r="ES89" s="417"/>
      <c r="ET89" s="417"/>
      <c r="EU89" s="417"/>
      <c r="EV89" s="417"/>
      <c r="EW89" s="417"/>
      <c r="EX89" s="417"/>
      <c r="EY89" s="417"/>
      <c r="EZ89" s="417"/>
      <c r="FA89" s="417"/>
      <c r="FB89" s="417"/>
      <c r="FC89" s="417"/>
      <c r="FD89" s="417"/>
      <c r="FE89" s="417"/>
      <c r="FF89" s="417"/>
      <c r="FG89" s="417"/>
      <c r="FH89" s="417"/>
      <c r="FI89" s="417"/>
      <c r="FJ89" s="417"/>
      <c r="FK89" s="417"/>
      <c r="FL89" s="417"/>
      <c r="FM89" s="417"/>
      <c r="FN89" s="418"/>
      <c r="FS89" s="2589"/>
      <c r="FT89" s="2589"/>
      <c r="FU89" s="2589"/>
      <c r="FV89" s="2589"/>
      <c r="FW89" s="2589"/>
      <c r="FX89" s="2589"/>
      <c r="FY89" s="2589"/>
      <c r="FZ89" s="2589"/>
      <c r="GA89" s="2589"/>
      <c r="GB89" s="2589"/>
      <c r="GC89" s="2589"/>
      <c r="GJ89" s="414"/>
    </row>
    <row r="90" spans="2:196" ht="4.1500000000000004" customHeight="1">
      <c r="G90" s="414"/>
      <c r="M90" s="411"/>
      <c r="N90" s="412"/>
      <c r="O90" s="412"/>
      <c r="P90" s="412"/>
      <c r="Q90" s="412"/>
      <c r="R90" s="412"/>
      <c r="S90" s="412"/>
      <c r="T90" s="412"/>
      <c r="U90" s="412"/>
      <c r="V90" s="412"/>
      <c r="W90" s="412"/>
      <c r="X90" s="412"/>
      <c r="Y90" s="412"/>
      <c r="Z90" s="412"/>
      <c r="AA90" s="412"/>
      <c r="AB90" s="412"/>
      <c r="AC90" s="412"/>
      <c r="AD90" s="412"/>
      <c r="AE90" s="412"/>
      <c r="AF90" s="412"/>
      <c r="AG90" s="412"/>
      <c r="AH90" s="412"/>
      <c r="AI90" s="412"/>
      <c r="AJ90" s="412"/>
      <c r="AK90" s="412"/>
      <c r="AL90" s="413"/>
      <c r="AQ90" s="2587">
        <v>0.15</v>
      </c>
      <c r="AR90" s="2587"/>
      <c r="AS90" s="2587"/>
      <c r="AT90" s="2587"/>
      <c r="AU90" s="2587"/>
      <c r="AV90" s="2587"/>
      <c r="AW90" s="2587"/>
      <c r="AX90" s="2587"/>
      <c r="AY90" s="2587"/>
      <c r="AZ90" s="2587"/>
      <c r="BA90" s="2587"/>
      <c r="BH90" s="414"/>
      <c r="BU90" s="414"/>
      <c r="CA90" s="411"/>
      <c r="CB90" s="412"/>
      <c r="CC90" s="412"/>
      <c r="CD90" s="412"/>
      <c r="CE90" s="412"/>
      <c r="CF90" s="412"/>
      <c r="CG90" s="412"/>
      <c r="CH90" s="412"/>
      <c r="CI90" s="412"/>
      <c r="CJ90" s="412"/>
      <c r="CK90" s="412"/>
      <c r="CL90" s="412"/>
      <c r="CM90" s="412"/>
      <c r="CN90" s="412"/>
      <c r="CO90" s="412"/>
      <c r="CP90" s="412"/>
      <c r="CQ90" s="412"/>
      <c r="CR90" s="412"/>
      <c r="CS90" s="412"/>
      <c r="CT90" s="412"/>
      <c r="CU90" s="412"/>
      <c r="CV90" s="412"/>
      <c r="CW90" s="412"/>
      <c r="CX90" s="412"/>
      <c r="CY90" s="412"/>
      <c r="CZ90" s="413"/>
      <c r="DE90" s="2587">
        <v>0.15</v>
      </c>
      <c r="DF90" s="2587"/>
      <c r="DG90" s="2587"/>
      <c r="DH90" s="2587"/>
      <c r="DI90" s="2587"/>
      <c r="DJ90" s="2587"/>
      <c r="DK90" s="2587"/>
      <c r="DL90" s="2587"/>
      <c r="DM90" s="2587"/>
      <c r="DN90" s="2587"/>
      <c r="DO90" s="2587"/>
      <c r="DV90" s="414"/>
      <c r="EI90" s="414"/>
      <c r="EO90" s="411"/>
      <c r="EP90" s="412"/>
      <c r="EQ90" s="412"/>
      <c r="ER90" s="412"/>
      <c r="ES90" s="412"/>
      <c r="ET90" s="412"/>
      <c r="EU90" s="412"/>
      <c r="EV90" s="412"/>
      <c r="EW90" s="412"/>
      <c r="EX90" s="412"/>
      <c r="EY90" s="412"/>
      <c r="EZ90" s="412"/>
      <c r="FA90" s="412"/>
      <c r="FB90" s="412"/>
      <c r="FC90" s="412"/>
      <c r="FD90" s="412"/>
      <c r="FE90" s="412"/>
      <c r="FF90" s="412"/>
      <c r="FG90" s="412"/>
      <c r="FH90" s="412"/>
      <c r="FI90" s="412"/>
      <c r="FJ90" s="412"/>
      <c r="FK90" s="412"/>
      <c r="FL90" s="412"/>
      <c r="FM90" s="412"/>
      <c r="FN90" s="413"/>
      <c r="FS90" s="2587">
        <v>0.15</v>
      </c>
      <c r="FT90" s="2587"/>
      <c r="FU90" s="2587"/>
      <c r="FV90" s="2587"/>
      <c r="FW90" s="2587"/>
      <c r="FX90" s="2587"/>
      <c r="FY90" s="2587"/>
      <c r="FZ90" s="2587"/>
      <c r="GA90" s="2587"/>
      <c r="GB90" s="2587"/>
      <c r="GC90" s="2587"/>
      <c r="GJ90" s="414"/>
    </row>
    <row r="91" spans="2:196" ht="4.1500000000000004" customHeight="1">
      <c r="G91" s="414"/>
      <c r="M91" s="414"/>
      <c r="AL91" s="415"/>
      <c r="AQ91" s="2588"/>
      <c r="AR91" s="2588"/>
      <c r="AS91" s="2588"/>
      <c r="AT91" s="2588"/>
      <c r="AU91" s="2588"/>
      <c r="AV91" s="2588"/>
      <c r="AW91" s="2588"/>
      <c r="AX91" s="2588"/>
      <c r="AY91" s="2588"/>
      <c r="AZ91" s="2588"/>
      <c r="BA91" s="2588"/>
      <c r="BH91" s="414"/>
      <c r="BU91" s="414"/>
      <c r="CA91" s="414"/>
      <c r="CZ91" s="415"/>
      <c r="DE91" s="2588"/>
      <c r="DF91" s="2588"/>
      <c r="DG91" s="2588"/>
      <c r="DH91" s="2588"/>
      <c r="DI91" s="2588"/>
      <c r="DJ91" s="2588"/>
      <c r="DK91" s="2588"/>
      <c r="DL91" s="2588"/>
      <c r="DM91" s="2588"/>
      <c r="DN91" s="2588"/>
      <c r="DO91" s="2588"/>
      <c r="DV91" s="414"/>
      <c r="EI91" s="414"/>
      <c r="EO91" s="414"/>
      <c r="FN91" s="415"/>
      <c r="FS91" s="2588"/>
      <c r="FT91" s="2588"/>
      <c r="FU91" s="2588"/>
      <c r="FV91" s="2588"/>
      <c r="FW91" s="2588"/>
      <c r="FX91" s="2588"/>
      <c r="FY91" s="2588"/>
      <c r="FZ91" s="2588"/>
      <c r="GA91" s="2588"/>
      <c r="GB91" s="2588"/>
      <c r="GC91" s="2588"/>
      <c r="GJ91" s="414"/>
    </row>
    <row r="92" spans="2:196" ht="4.1500000000000004" customHeight="1">
      <c r="B92" s="417"/>
      <c r="C92" s="417"/>
      <c r="D92" s="417"/>
      <c r="E92" s="417"/>
      <c r="F92" s="417"/>
      <c r="G92" s="416"/>
      <c r="H92" s="417"/>
      <c r="I92" s="417"/>
      <c r="J92" s="417"/>
      <c r="K92" s="417"/>
      <c r="M92" s="416"/>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8"/>
      <c r="AQ92" s="2589"/>
      <c r="AR92" s="2589"/>
      <c r="AS92" s="2589"/>
      <c r="AT92" s="2589"/>
      <c r="AU92" s="2589"/>
      <c r="AV92" s="2589"/>
      <c r="AW92" s="2589"/>
      <c r="AX92" s="2589"/>
      <c r="AY92" s="2589"/>
      <c r="AZ92" s="2589"/>
      <c r="BA92" s="2589"/>
      <c r="BD92" s="417"/>
      <c r="BE92" s="417"/>
      <c r="BF92" s="417"/>
      <c r="BG92" s="417"/>
      <c r="BH92" s="416"/>
      <c r="BI92" s="417"/>
      <c r="BJ92" s="417"/>
      <c r="BK92" s="417"/>
      <c r="BL92" s="417"/>
      <c r="BP92" s="417"/>
      <c r="BQ92" s="417"/>
      <c r="BR92" s="417"/>
      <c r="BS92" s="417"/>
      <c r="BT92" s="417"/>
      <c r="BU92" s="416"/>
      <c r="BV92" s="417"/>
      <c r="BW92" s="417"/>
      <c r="BX92" s="417"/>
      <c r="BY92" s="417"/>
      <c r="CA92" s="416"/>
      <c r="CB92" s="417"/>
      <c r="CC92" s="417"/>
      <c r="CD92" s="417"/>
      <c r="CE92" s="417"/>
      <c r="CF92" s="417"/>
      <c r="CG92" s="417"/>
      <c r="CH92" s="417"/>
      <c r="CI92" s="417"/>
      <c r="CJ92" s="417"/>
      <c r="CK92" s="417"/>
      <c r="CL92" s="417"/>
      <c r="CM92" s="417"/>
      <c r="CN92" s="417"/>
      <c r="CO92" s="417"/>
      <c r="CP92" s="417"/>
      <c r="CQ92" s="417"/>
      <c r="CR92" s="417"/>
      <c r="CS92" s="417"/>
      <c r="CT92" s="417"/>
      <c r="CU92" s="417"/>
      <c r="CV92" s="417"/>
      <c r="CW92" s="417"/>
      <c r="CX92" s="417"/>
      <c r="CY92" s="417"/>
      <c r="CZ92" s="418"/>
      <c r="DE92" s="2589"/>
      <c r="DF92" s="2589"/>
      <c r="DG92" s="2589"/>
      <c r="DH92" s="2589"/>
      <c r="DI92" s="2589"/>
      <c r="DJ92" s="2589"/>
      <c r="DK92" s="2589"/>
      <c r="DL92" s="2589"/>
      <c r="DM92" s="2589"/>
      <c r="DN92" s="2589"/>
      <c r="DO92" s="2589"/>
      <c r="DR92" s="417"/>
      <c r="DS92" s="417"/>
      <c r="DT92" s="417"/>
      <c r="DU92" s="417"/>
      <c r="DV92" s="416"/>
      <c r="DW92" s="417"/>
      <c r="DX92" s="417"/>
      <c r="DY92" s="417"/>
      <c r="DZ92" s="417"/>
      <c r="ED92" s="417"/>
      <c r="EE92" s="417"/>
      <c r="EF92" s="417"/>
      <c r="EG92" s="417"/>
      <c r="EH92" s="417"/>
      <c r="EI92" s="416"/>
      <c r="EJ92" s="417"/>
      <c r="EK92" s="417"/>
      <c r="EL92" s="417"/>
      <c r="EM92" s="417"/>
      <c r="EO92" s="416"/>
      <c r="EP92" s="417"/>
      <c r="EQ92" s="417"/>
      <c r="ER92" s="417"/>
      <c r="ES92" s="417"/>
      <c r="ET92" s="417"/>
      <c r="EU92" s="417"/>
      <c r="EV92" s="417"/>
      <c r="EW92" s="417"/>
      <c r="EX92" s="417"/>
      <c r="EY92" s="417"/>
      <c r="EZ92" s="417"/>
      <c r="FA92" s="417"/>
      <c r="FB92" s="417"/>
      <c r="FC92" s="417"/>
      <c r="FD92" s="417"/>
      <c r="FE92" s="417"/>
      <c r="FF92" s="417"/>
      <c r="FG92" s="417"/>
      <c r="FH92" s="417"/>
      <c r="FI92" s="417"/>
      <c r="FJ92" s="417"/>
      <c r="FK92" s="417"/>
      <c r="FL92" s="417"/>
      <c r="FM92" s="417"/>
      <c r="FN92" s="418"/>
      <c r="FS92" s="2589"/>
      <c r="FT92" s="2589"/>
      <c r="FU92" s="2589"/>
      <c r="FV92" s="2589"/>
      <c r="FW92" s="2589"/>
      <c r="FX92" s="2589"/>
      <c r="FY92" s="2589"/>
      <c r="FZ92" s="2589"/>
      <c r="GA92" s="2589"/>
      <c r="GB92" s="2589"/>
      <c r="GC92" s="2589"/>
      <c r="GF92" s="417"/>
      <c r="GG92" s="417"/>
      <c r="GH92" s="417"/>
      <c r="GI92" s="417"/>
      <c r="GJ92" s="416"/>
      <c r="GK92" s="417"/>
      <c r="GL92" s="417"/>
      <c r="GM92" s="417"/>
      <c r="GN92" s="417"/>
    </row>
    <row r="93" spans="2:196" ht="4.1500000000000004" customHeight="1">
      <c r="M93" s="412"/>
      <c r="N93" s="412"/>
      <c r="O93" s="412"/>
      <c r="P93" s="412"/>
      <c r="Q93" s="412"/>
      <c r="R93" s="412"/>
      <c r="S93" s="412"/>
    </row>
    <row r="95" spans="2:196" ht="4.1500000000000004" customHeight="1">
      <c r="M95" s="414"/>
      <c r="AL95" s="415"/>
      <c r="CA95" s="414"/>
      <c r="CZ95" s="415"/>
      <c r="EO95" s="414"/>
      <c r="FN95" s="415"/>
    </row>
    <row r="96" spans="2:196" ht="4.1500000000000004" customHeight="1">
      <c r="M96" s="416"/>
      <c r="N96" s="417"/>
      <c r="O96" s="417"/>
      <c r="P96" s="417"/>
      <c r="Q96" s="417"/>
      <c r="R96" s="417"/>
      <c r="S96" s="417"/>
      <c r="T96" s="2580">
        <v>0.75</v>
      </c>
      <c r="U96" s="2580"/>
      <c r="V96" s="2580"/>
      <c r="W96" s="2580"/>
      <c r="X96" s="2580"/>
      <c r="Y96" s="2580"/>
      <c r="Z96" s="2580"/>
      <c r="AA96" s="2580"/>
      <c r="AB96" s="2580"/>
      <c r="AC96" s="2580"/>
      <c r="AD96" s="2580"/>
      <c r="AE96" s="2580"/>
      <c r="AF96" s="417"/>
      <c r="AG96" s="417"/>
      <c r="AH96" s="417"/>
      <c r="AI96" s="417"/>
      <c r="AJ96" s="417"/>
      <c r="AK96" s="417"/>
      <c r="AL96" s="418"/>
      <c r="CA96" s="416"/>
      <c r="CB96" s="417"/>
      <c r="CC96" s="417"/>
      <c r="CD96" s="417"/>
      <c r="CE96" s="417"/>
      <c r="CF96" s="417"/>
      <c r="CG96" s="417"/>
      <c r="CH96" s="2580">
        <v>0.75</v>
      </c>
      <c r="CI96" s="2580"/>
      <c r="CJ96" s="2580"/>
      <c r="CK96" s="2580"/>
      <c r="CL96" s="2580"/>
      <c r="CM96" s="2580"/>
      <c r="CN96" s="2580"/>
      <c r="CO96" s="2580"/>
      <c r="CP96" s="2580"/>
      <c r="CQ96" s="2580"/>
      <c r="CR96" s="2580"/>
      <c r="CS96" s="2580"/>
      <c r="CT96" s="417"/>
      <c r="CU96" s="417"/>
      <c r="CV96" s="417"/>
      <c r="CW96" s="417"/>
      <c r="CX96" s="417"/>
      <c r="CY96" s="417"/>
      <c r="CZ96" s="418"/>
      <c r="EO96" s="416"/>
      <c r="EP96" s="417"/>
      <c r="EQ96" s="417"/>
      <c r="ER96" s="417"/>
      <c r="ES96" s="417"/>
      <c r="ET96" s="417"/>
      <c r="EU96" s="417"/>
      <c r="EV96" s="2580">
        <v>0.75</v>
      </c>
      <c r="EW96" s="2580"/>
      <c r="EX96" s="2580"/>
      <c r="EY96" s="2580"/>
      <c r="EZ96" s="2580"/>
      <c r="FA96" s="2580"/>
      <c r="FB96" s="2580"/>
      <c r="FC96" s="2580"/>
      <c r="FD96" s="2580"/>
      <c r="FE96" s="2580"/>
      <c r="FF96" s="2580"/>
      <c r="FG96" s="2580"/>
      <c r="FH96" s="417"/>
      <c r="FI96" s="417"/>
      <c r="FJ96" s="417"/>
      <c r="FK96" s="417"/>
      <c r="FL96" s="417"/>
      <c r="FM96" s="417"/>
      <c r="FN96" s="418"/>
    </row>
    <row r="97" spans="6:178" ht="4.1500000000000004" customHeight="1">
      <c r="M97" s="414"/>
      <c r="T97" s="2580"/>
      <c r="U97" s="2580"/>
      <c r="V97" s="2580"/>
      <c r="W97" s="2580"/>
      <c r="X97" s="2580"/>
      <c r="Y97" s="2580"/>
      <c r="Z97" s="2580"/>
      <c r="AA97" s="2580"/>
      <c r="AB97" s="2580"/>
      <c r="AC97" s="2580"/>
      <c r="AD97" s="2580"/>
      <c r="AE97" s="2580"/>
      <c r="AL97" s="415"/>
      <c r="CA97" s="414"/>
      <c r="CH97" s="2580"/>
      <c r="CI97" s="2580"/>
      <c r="CJ97" s="2580"/>
      <c r="CK97" s="2580"/>
      <c r="CL97" s="2580"/>
      <c r="CM97" s="2580"/>
      <c r="CN97" s="2580"/>
      <c r="CO97" s="2580"/>
      <c r="CP97" s="2580"/>
      <c r="CQ97" s="2580"/>
      <c r="CR97" s="2580"/>
      <c r="CS97" s="2580"/>
      <c r="CZ97" s="415"/>
      <c r="EO97" s="414"/>
      <c r="EV97" s="2580"/>
      <c r="EW97" s="2580"/>
      <c r="EX97" s="2580"/>
      <c r="EY97" s="2580"/>
      <c r="EZ97" s="2580"/>
      <c r="FA97" s="2580"/>
      <c r="FB97" s="2580"/>
      <c r="FC97" s="2580"/>
      <c r="FD97" s="2580"/>
      <c r="FE97" s="2580"/>
      <c r="FF97" s="2580"/>
      <c r="FG97" s="2580"/>
      <c r="FN97" s="415"/>
    </row>
    <row r="98" spans="6:178" ht="4.1500000000000004" customHeight="1">
      <c r="M98" s="414"/>
      <c r="T98" s="2580"/>
      <c r="U98" s="2580"/>
      <c r="V98" s="2580"/>
      <c r="W98" s="2580"/>
      <c r="X98" s="2580"/>
      <c r="Y98" s="2580"/>
      <c r="Z98" s="2580"/>
      <c r="AA98" s="2580"/>
      <c r="AB98" s="2580"/>
      <c r="AC98" s="2580"/>
      <c r="AD98" s="2580"/>
      <c r="AE98" s="2580"/>
      <c r="AL98" s="415"/>
      <c r="CA98" s="414"/>
      <c r="CH98" s="2580"/>
      <c r="CI98" s="2580"/>
      <c r="CJ98" s="2580"/>
      <c r="CK98" s="2580"/>
      <c r="CL98" s="2580"/>
      <c r="CM98" s="2580"/>
      <c r="CN98" s="2580"/>
      <c r="CO98" s="2580"/>
      <c r="CP98" s="2580"/>
      <c r="CQ98" s="2580"/>
      <c r="CR98" s="2580"/>
      <c r="CS98" s="2580"/>
      <c r="CZ98" s="415"/>
      <c r="EO98" s="414"/>
      <c r="EV98" s="2580"/>
      <c r="EW98" s="2580"/>
      <c r="EX98" s="2580"/>
      <c r="EY98" s="2580"/>
      <c r="EZ98" s="2580"/>
      <c r="FA98" s="2580"/>
      <c r="FB98" s="2580"/>
      <c r="FC98" s="2580"/>
      <c r="FD98" s="2580"/>
      <c r="FE98" s="2580"/>
      <c r="FF98" s="2580"/>
      <c r="FG98" s="2580"/>
      <c r="FN98" s="415"/>
    </row>
    <row r="103" spans="6:178" s="1405" customFormat="1" ht="4.1500000000000004" customHeight="1">
      <c r="F103" s="2775" t="s">
        <v>3407</v>
      </c>
      <c r="G103" s="2775"/>
      <c r="H103" s="2775"/>
      <c r="I103" s="2775"/>
      <c r="J103" s="2775"/>
      <c r="K103" s="2775"/>
      <c r="L103" s="2775"/>
      <c r="M103" s="2775"/>
      <c r="N103" s="2775"/>
      <c r="O103" s="2775"/>
      <c r="P103" s="2775"/>
      <c r="Q103" s="2775"/>
      <c r="R103" s="2775"/>
      <c r="S103" s="2775"/>
      <c r="T103" s="2775"/>
      <c r="U103" s="2775"/>
      <c r="V103" s="2775"/>
      <c r="W103" s="2775"/>
      <c r="X103" s="2775"/>
      <c r="Y103" s="2775"/>
      <c r="Z103" s="2775"/>
      <c r="AA103" s="2775"/>
      <c r="AB103" s="2775"/>
      <c r="AC103" s="2775"/>
      <c r="AD103" s="2775"/>
      <c r="AE103" s="2775"/>
      <c r="AF103" s="2775"/>
      <c r="AG103" s="2775"/>
      <c r="AH103" s="2775"/>
      <c r="AI103" s="2775"/>
      <c r="AJ103" s="2775"/>
      <c r="AK103" s="2775"/>
      <c r="AL103" s="2775"/>
      <c r="AM103" s="2775"/>
      <c r="AN103" s="2775"/>
      <c r="AO103" s="2775"/>
      <c r="AP103" s="2775"/>
      <c r="BR103" s="2775" t="s">
        <v>3406</v>
      </c>
      <c r="BS103" s="2775"/>
      <c r="BT103" s="2775"/>
      <c r="BU103" s="2775"/>
      <c r="BV103" s="2775"/>
      <c r="BW103" s="2775"/>
      <c r="BX103" s="2775"/>
      <c r="BY103" s="2775"/>
      <c r="BZ103" s="2775"/>
      <c r="CA103" s="2775"/>
      <c r="CB103" s="2775"/>
      <c r="CC103" s="2775"/>
      <c r="CD103" s="2775"/>
      <c r="CE103" s="2775"/>
      <c r="CF103" s="2775"/>
      <c r="CG103" s="2775"/>
      <c r="CH103" s="2775"/>
      <c r="CI103" s="2775"/>
      <c r="CJ103" s="2775"/>
      <c r="CK103" s="2775"/>
      <c r="CL103" s="2775"/>
      <c r="CM103" s="2775"/>
      <c r="CN103" s="2775"/>
      <c r="CO103" s="2775"/>
      <c r="CP103" s="2775"/>
      <c r="CQ103" s="2775"/>
      <c r="CR103" s="2775"/>
      <c r="CS103" s="2775"/>
      <c r="CT103" s="2775"/>
      <c r="CU103" s="2775"/>
      <c r="CV103" s="2775"/>
      <c r="CW103" s="2775"/>
      <c r="CX103" s="2775"/>
      <c r="CY103" s="2775"/>
      <c r="CZ103" s="2775"/>
      <c r="DA103" s="2775"/>
      <c r="DB103" s="2775"/>
      <c r="EL103" s="2775" t="s">
        <v>3406</v>
      </c>
      <c r="EM103" s="2775"/>
      <c r="EN103" s="2775"/>
      <c r="EO103" s="2775"/>
      <c r="EP103" s="2775"/>
      <c r="EQ103" s="2775"/>
      <c r="ER103" s="2775"/>
      <c r="ES103" s="2775"/>
      <c r="ET103" s="2775"/>
      <c r="EU103" s="2775"/>
      <c r="EV103" s="2775"/>
      <c r="EW103" s="2775"/>
      <c r="EX103" s="2775"/>
      <c r="EY103" s="2775"/>
      <c r="EZ103" s="2775"/>
      <c r="FA103" s="2775"/>
      <c r="FB103" s="2775"/>
      <c r="FC103" s="2775"/>
      <c r="FD103" s="2775"/>
      <c r="FE103" s="2775"/>
      <c r="FF103" s="2775"/>
      <c r="FG103" s="2775"/>
      <c r="FH103" s="2775"/>
      <c r="FI103" s="2775"/>
      <c r="FJ103" s="2775"/>
      <c r="FK103" s="2775"/>
      <c r="FL103" s="2775"/>
      <c r="FM103" s="2775"/>
      <c r="FN103" s="2775"/>
      <c r="FO103" s="2775"/>
      <c r="FP103" s="2775"/>
      <c r="FQ103" s="2775"/>
      <c r="FR103" s="2775"/>
      <c r="FS103" s="2775"/>
      <c r="FT103" s="2775"/>
      <c r="FU103" s="2775"/>
      <c r="FV103" s="2775"/>
    </row>
    <row r="104" spans="6:178" s="1405" customFormat="1" ht="4.1500000000000004" customHeight="1">
      <c r="F104" s="2775"/>
      <c r="G104" s="2775"/>
      <c r="H104" s="2775"/>
      <c r="I104" s="2775"/>
      <c r="J104" s="2775"/>
      <c r="K104" s="2775"/>
      <c r="L104" s="2775"/>
      <c r="M104" s="2775"/>
      <c r="N104" s="2775"/>
      <c r="O104" s="2775"/>
      <c r="P104" s="2775"/>
      <c r="Q104" s="2775"/>
      <c r="R104" s="2775"/>
      <c r="S104" s="2775"/>
      <c r="T104" s="2775"/>
      <c r="U104" s="2775"/>
      <c r="V104" s="2775"/>
      <c r="W104" s="2775"/>
      <c r="X104" s="2775"/>
      <c r="Y104" s="2775"/>
      <c r="Z104" s="2775"/>
      <c r="AA104" s="2775"/>
      <c r="AB104" s="2775"/>
      <c r="AC104" s="2775"/>
      <c r="AD104" s="2775"/>
      <c r="AE104" s="2775"/>
      <c r="AF104" s="2775"/>
      <c r="AG104" s="2775"/>
      <c r="AH104" s="2775"/>
      <c r="AI104" s="2775"/>
      <c r="AJ104" s="2775"/>
      <c r="AK104" s="2775"/>
      <c r="AL104" s="2775"/>
      <c r="AM104" s="2775"/>
      <c r="AN104" s="2775"/>
      <c r="AO104" s="2775"/>
      <c r="AP104" s="2775"/>
      <c r="BR104" s="2775"/>
      <c r="BS104" s="2775"/>
      <c r="BT104" s="2775"/>
      <c r="BU104" s="2775"/>
      <c r="BV104" s="2775"/>
      <c r="BW104" s="2775"/>
      <c r="BX104" s="2775"/>
      <c r="BY104" s="2775"/>
      <c r="BZ104" s="2775"/>
      <c r="CA104" s="2775"/>
      <c r="CB104" s="2775"/>
      <c r="CC104" s="2775"/>
      <c r="CD104" s="2775"/>
      <c r="CE104" s="2775"/>
      <c r="CF104" s="2775"/>
      <c r="CG104" s="2775"/>
      <c r="CH104" s="2775"/>
      <c r="CI104" s="2775"/>
      <c r="CJ104" s="2775"/>
      <c r="CK104" s="2775"/>
      <c r="CL104" s="2775"/>
      <c r="CM104" s="2775"/>
      <c r="CN104" s="2775"/>
      <c r="CO104" s="2775"/>
      <c r="CP104" s="2775"/>
      <c r="CQ104" s="2775"/>
      <c r="CR104" s="2775"/>
      <c r="CS104" s="2775"/>
      <c r="CT104" s="2775"/>
      <c r="CU104" s="2775"/>
      <c r="CV104" s="2775"/>
      <c r="CW104" s="2775"/>
      <c r="CX104" s="2775"/>
      <c r="CY104" s="2775"/>
      <c r="CZ104" s="2775"/>
      <c r="DA104" s="2775"/>
      <c r="DB104" s="2775"/>
      <c r="EL104" s="2775"/>
      <c r="EM104" s="2775"/>
      <c r="EN104" s="2775"/>
      <c r="EO104" s="2775"/>
      <c r="EP104" s="2775"/>
      <c r="EQ104" s="2775"/>
      <c r="ER104" s="2775"/>
      <c r="ES104" s="2775"/>
      <c r="ET104" s="2775"/>
      <c r="EU104" s="2775"/>
      <c r="EV104" s="2775"/>
      <c r="EW104" s="2775"/>
      <c r="EX104" s="2775"/>
      <c r="EY104" s="2775"/>
      <c r="EZ104" s="2775"/>
      <c r="FA104" s="2775"/>
      <c r="FB104" s="2775"/>
      <c r="FC104" s="2775"/>
      <c r="FD104" s="2775"/>
      <c r="FE104" s="2775"/>
      <c r="FF104" s="2775"/>
      <c r="FG104" s="2775"/>
      <c r="FH104" s="2775"/>
      <c r="FI104" s="2775"/>
      <c r="FJ104" s="2775"/>
      <c r="FK104" s="2775"/>
      <c r="FL104" s="2775"/>
      <c r="FM104" s="2775"/>
      <c r="FN104" s="2775"/>
      <c r="FO104" s="2775"/>
      <c r="FP104" s="2775"/>
      <c r="FQ104" s="2775"/>
      <c r="FR104" s="2775"/>
      <c r="FS104" s="2775"/>
      <c r="FT104" s="2775"/>
      <c r="FU104" s="2775"/>
      <c r="FV104" s="2775"/>
    </row>
    <row r="105" spans="6:178" s="1405" customFormat="1" ht="4.1500000000000004" customHeight="1">
      <c r="F105" s="2775"/>
      <c r="G105" s="2775"/>
      <c r="H105" s="2775"/>
      <c r="I105" s="2775"/>
      <c r="J105" s="2775"/>
      <c r="K105" s="2775"/>
      <c r="L105" s="2775"/>
      <c r="M105" s="2775"/>
      <c r="N105" s="2775"/>
      <c r="O105" s="2775"/>
      <c r="P105" s="2775"/>
      <c r="Q105" s="2775"/>
      <c r="R105" s="2775"/>
      <c r="S105" s="2775"/>
      <c r="T105" s="2775"/>
      <c r="U105" s="2775"/>
      <c r="V105" s="2775"/>
      <c r="W105" s="2775"/>
      <c r="X105" s="2775"/>
      <c r="Y105" s="2775"/>
      <c r="Z105" s="2775"/>
      <c r="AA105" s="2775"/>
      <c r="AB105" s="2775"/>
      <c r="AC105" s="2775"/>
      <c r="AD105" s="2775"/>
      <c r="AE105" s="2775"/>
      <c r="AF105" s="2775"/>
      <c r="AG105" s="2775"/>
      <c r="AH105" s="2775"/>
      <c r="AI105" s="2775"/>
      <c r="AJ105" s="2775"/>
      <c r="AK105" s="2775"/>
      <c r="AL105" s="2775"/>
      <c r="AM105" s="2775"/>
      <c r="AN105" s="2775"/>
      <c r="AO105" s="2775"/>
      <c r="AP105" s="2775"/>
      <c r="BR105" s="2775"/>
      <c r="BS105" s="2775"/>
      <c r="BT105" s="2775"/>
      <c r="BU105" s="2775"/>
      <c r="BV105" s="2775"/>
      <c r="BW105" s="2775"/>
      <c r="BX105" s="2775"/>
      <c r="BY105" s="2775"/>
      <c r="BZ105" s="2775"/>
      <c r="CA105" s="2775"/>
      <c r="CB105" s="2775"/>
      <c r="CC105" s="2775"/>
      <c r="CD105" s="2775"/>
      <c r="CE105" s="2775"/>
      <c r="CF105" s="2775"/>
      <c r="CG105" s="2775"/>
      <c r="CH105" s="2775"/>
      <c r="CI105" s="2775"/>
      <c r="CJ105" s="2775"/>
      <c r="CK105" s="2775"/>
      <c r="CL105" s="2775"/>
      <c r="CM105" s="2775"/>
      <c r="CN105" s="2775"/>
      <c r="CO105" s="2775"/>
      <c r="CP105" s="2775"/>
      <c r="CQ105" s="2775"/>
      <c r="CR105" s="2775"/>
      <c r="CS105" s="2775"/>
      <c r="CT105" s="2775"/>
      <c r="CU105" s="2775"/>
      <c r="CV105" s="2775"/>
      <c r="CW105" s="2775"/>
      <c r="CX105" s="2775"/>
      <c r="CY105" s="2775"/>
      <c r="CZ105" s="2775"/>
      <c r="DA105" s="2775"/>
      <c r="DB105" s="2775"/>
      <c r="EL105" s="2775"/>
      <c r="EM105" s="2775"/>
      <c r="EN105" s="2775"/>
      <c r="EO105" s="2775"/>
      <c r="EP105" s="2775"/>
      <c r="EQ105" s="2775"/>
      <c r="ER105" s="2775"/>
      <c r="ES105" s="2775"/>
      <c r="ET105" s="2775"/>
      <c r="EU105" s="2775"/>
      <c r="EV105" s="2775"/>
      <c r="EW105" s="2775"/>
      <c r="EX105" s="2775"/>
      <c r="EY105" s="2775"/>
      <c r="EZ105" s="2775"/>
      <c r="FA105" s="2775"/>
      <c r="FB105" s="2775"/>
      <c r="FC105" s="2775"/>
      <c r="FD105" s="2775"/>
      <c r="FE105" s="2775"/>
      <c r="FF105" s="2775"/>
      <c r="FG105" s="2775"/>
      <c r="FH105" s="2775"/>
      <c r="FI105" s="2775"/>
      <c r="FJ105" s="2775"/>
      <c r="FK105" s="2775"/>
      <c r="FL105" s="2775"/>
      <c r="FM105" s="2775"/>
      <c r="FN105" s="2775"/>
      <c r="FO105" s="2775"/>
      <c r="FP105" s="2775"/>
      <c r="FQ105" s="2775"/>
      <c r="FR105" s="2775"/>
      <c r="FS105" s="2775"/>
      <c r="FT105" s="2775"/>
      <c r="FU105" s="2775"/>
      <c r="FV105" s="2775"/>
    </row>
    <row r="106" spans="6:178" ht="4.1500000000000004" customHeight="1">
      <c r="F106" s="2775"/>
      <c r="G106" s="2775"/>
      <c r="H106" s="2775"/>
      <c r="I106" s="2775"/>
      <c r="J106" s="2775"/>
      <c r="K106" s="2775"/>
      <c r="L106" s="2775"/>
      <c r="M106" s="2775"/>
      <c r="N106" s="2775"/>
      <c r="O106" s="2775"/>
      <c r="P106" s="2775"/>
      <c r="Q106" s="2775"/>
      <c r="R106" s="2775"/>
      <c r="S106" s="2775"/>
      <c r="T106" s="2775"/>
      <c r="U106" s="2775"/>
      <c r="V106" s="2775"/>
      <c r="W106" s="2775"/>
      <c r="X106" s="2775"/>
      <c r="Y106" s="2775"/>
      <c r="Z106" s="2775"/>
      <c r="AA106" s="2775"/>
      <c r="AB106" s="2775"/>
      <c r="AC106" s="2775"/>
      <c r="AD106" s="2775"/>
      <c r="AE106" s="2775"/>
      <c r="AF106" s="2775"/>
      <c r="AG106" s="2775"/>
      <c r="AH106" s="2775"/>
      <c r="AI106" s="2775"/>
      <c r="AJ106" s="2775"/>
      <c r="AK106" s="2775"/>
      <c r="AL106" s="2775"/>
      <c r="AM106" s="2775"/>
      <c r="AN106" s="2775"/>
      <c r="AO106" s="2775"/>
      <c r="AP106" s="2775"/>
      <c r="BR106" s="2775"/>
      <c r="BS106" s="2775"/>
      <c r="BT106" s="2775"/>
      <c r="BU106" s="2775"/>
      <c r="BV106" s="2775"/>
      <c r="BW106" s="2775"/>
      <c r="BX106" s="2775"/>
      <c r="BY106" s="2775"/>
      <c r="BZ106" s="2775"/>
      <c r="CA106" s="2775"/>
      <c r="CB106" s="2775"/>
      <c r="CC106" s="2775"/>
      <c r="CD106" s="2775"/>
      <c r="CE106" s="2775"/>
      <c r="CF106" s="2775"/>
      <c r="CG106" s="2775"/>
      <c r="CH106" s="2775"/>
      <c r="CI106" s="2775"/>
      <c r="CJ106" s="2775"/>
      <c r="CK106" s="2775"/>
      <c r="CL106" s="2775"/>
      <c r="CM106" s="2775"/>
      <c r="CN106" s="2775"/>
      <c r="CO106" s="2775"/>
      <c r="CP106" s="2775"/>
      <c r="CQ106" s="2775"/>
      <c r="CR106" s="2775"/>
      <c r="CS106" s="2775"/>
      <c r="CT106" s="2775"/>
      <c r="CU106" s="2775"/>
      <c r="CV106" s="2775"/>
      <c r="CW106" s="2775"/>
      <c r="CX106" s="2775"/>
      <c r="CY106" s="2775"/>
      <c r="CZ106" s="2775"/>
      <c r="DA106" s="2775"/>
      <c r="DB106" s="2775"/>
      <c r="EL106" s="2775"/>
      <c r="EM106" s="2775"/>
      <c r="EN106" s="2775"/>
      <c r="EO106" s="2775"/>
      <c r="EP106" s="2775"/>
      <c r="EQ106" s="2775"/>
      <c r="ER106" s="2775"/>
      <c r="ES106" s="2775"/>
      <c r="ET106" s="2775"/>
      <c r="EU106" s="2775"/>
      <c r="EV106" s="2775"/>
      <c r="EW106" s="2775"/>
      <c r="EX106" s="2775"/>
      <c r="EY106" s="2775"/>
      <c r="EZ106" s="2775"/>
      <c r="FA106" s="2775"/>
      <c r="FB106" s="2775"/>
      <c r="FC106" s="2775"/>
      <c r="FD106" s="2775"/>
      <c r="FE106" s="2775"/>
      <c r="FF106" s="2775"/>
      <c r="FG106" s="2775"/>
      <c r="FH106" s="2775"/>
      <c r="FI106" s="2775"/>
      <c r="FJ106" s="2775"/>
      <c r="FK106" s="2775"/>
      <c r="FL106" s="2775"/>
      <c r="FM106" s="2775"/>
      <c r="FN106" s="2775"/>
      <c r="FO106" s="2775"/>
      <c r="FP106" s="2775"/>
      <c r="FQ106" s="2775"/>
      <c r="FR106" s="2775"/>
      <c r="FS106" s="2775"/>
      <c r="FT106" s="2775"/>
      <c r="FU106" s="2775"/>
      <c r="FV106" s="2775"/>
    </row>
  </sheetData>
  <mergeCells count="64">
    <mergeCell ref="W12:AB14"/>
    <mergeCell ref="S16:AF18"/>
    <mergeCell ref="AM1:FA5"/>
    <mergeCell ref="F103:AP106"/>
    <mergeCell ref="BR103:DB106"/>
    <mergeCell ref="EL103:FV106"/>
    <mergeCell ref="FS90:GC92"/>
    <mergeCell ref="EV96:FG98"/>
    <mergeCell ref="EY12:FD14"/>
    <mergeCell ref="EU16:FH18"/>
    <mergeCell ref="CK12:CP14"/>
    <mergeCell ref="CG16:CT18"/>
    <mergeCell ref="EW52:FF54"/>
    <mergeCell ref="EH71:EN73"/>
    <mergeCell ref="FS72:GC76"/>
    <mergeCell ref="EV73:FG75"/>
    <mergeCell ref="GF81:GN84"/>
    <mergeCell ref="ED82:EL85"/>
    <mergeCell ref="FS82:GC86"/>
    <mergeCell ref="EV83:FG85"/>
    <mergeCell ref="FS87:GC89"/>
    <mergeCell ref="FS77:GC81"/>
    <mergeCell ref="EV78:FG80"/>
    <mergeCell ref="EU20:EX22"/>
    <mergeCell ref="FE20:FH22"/>
    <mergeCell ref="FS20:GC22"/>
    <mergeCell ref="FS23:GC25"/>
    <mergeCell ref="FS45:GC48"/>
    <mergeCell ref="AQ20:BA22"/>
    <mergeCell ref="U52:AD54"/>
    <mergeCell ref="T73:AE75"/>
    <mergeCell ref="T78:AE80"/>
    <mergeCell ref="T83:AE85"/>
    <mergeCell ref="T96:AE98"/>
    <mergeCell ref="BD81:BL84"/>
    <mergeCell ref="F71:L73"/>
    <mergeCell ref="B82:J85"/>
    <mergeCell ref="CG20:CJ22"/>
    <mergeCell ref="BT71:BZ73"/>
    <mergeCell ref="BP82:BX85"/>
    <mergeCell ref="AC20:AF22"/>
    <mergeCell ref="S20:V22"/>
    <mergeCell ref="AQ87:BA89"/>
    <mergeCell ref="AQ90:BA92"/>
    <mergeCell ref="AQ82:BA86"/>
    <mergeCell ref="AQ77:BA81"/>
    <mergeCell ref="AQ72:BA76"/>
    <mergeCell ref="AQ45:BA48"/>
    <mergeCell ref="AQ23:BA25"/>
    <mergeCell ref="DE87:DO89"/>
    <mergeCell ref="DE90:DO92"/>
    <mergeCell ref="CH96:CS98"/>
    <mergeCell ref="DE72:DO76"/>
    <mergeCell ref="CH73:CS75"/>
    <mergeCell ref="DE77:DO81"/>
    <mergeCell ref="CH78:CS80"/>
    <mergeCell ref="DR81:DZ84"/>
    <mergeCell ref="DE82:DO86"/>
    <mergeCell ref="CH83:CS85"/>
    <mergeCell ref="CQ20:CT22"/>
    <mergeCell ref="DE20:DO22"/>
    <mergeCell ref="DE23:DO25"/>
    <mergeCell ref="DE45:DO48"/>
    <mergeCell ref="CI52:CR54"/>
  </mergeCells>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sheetPr>
    <tabColor rgb="FFFF0000"/>
  </sheetPr>
  <dimension ref="A1:S29"/>
  <sheetViews>
    <sheetView workbookViewId="0">
      <selection activeCell="C29" sqref="C29"/>
    </sheetView>
  </sheetViews>
  <sheetFormatPr defaultRowHeight="12.75"/>
  <cols>
    <col min="1" max="1" width="15.28515625" style="3" customWidth="1"/>
    <col min="2" max="15" width="9.5703125" style="3" customWidth="1"/>
    <col min="16" max="256" width="8.85546875" style="3"/>
    <col min="257" max="257" width="15.28515625" style="3" customWidth="1"/>
    <col min="258" max="267" width="11.85546875" style="3" customWidth="1"/>
    <col min="268" max="512" width="8.85546875" style="3"/>
    <col min="513" max="513" width="15.28515625" style="3" customWidth="1"/>
    <col min="514" max="523" width="11.85546875" style="3" customWidth="1"/>
    <col min="524" max="768" width="8.85546875" style="3"/>
    <col min="769" max="769" width="15.28515625" style="3" customWidth="1"/>
    <col min="770" max="779" width="11.85546875" style="3" customWidth="1"/>
    <col min="780" max="1024" width="8.85546875" style="3"/>
    <col min="1025" max="1025" width="15.28515625" style="3" customWidth="1"/>
    <col min="1026" max="1035" width="11.85546875" style="3" customWidth="1"/>
    <col min="1036" max="1280" width="8.85546875" style="3"/>
    <col min="1281" max="1281" width="15.28515625" style="3" customWidth="1"/>
    <col min="1282" max="1291" width="11.85546875" style="3" customWidth="1"/>
    <col min="1292" max="1536" width="8.85546875" style="3"/>
    <col min="1537" max="1537" width="15.28515625" style="3" customWidth="1"/>
    <col min="1538" max="1547" width="11.85546875" style="3" customWidth="1"/>
    <col min="1548" max="1792" width="8.85546875" style="3"/>
    <col min="1793" max="1793" width="15.28515625" style="3" customWidth="1"/>
    <col min="1794" max="1803" width="11.85546875" style="3" customWidth="1"/>
    <col min="1804" max="2048" width="8.85546875" style="3"/>
    <col min="2049" max="2049" width="15.28515625" style="3" customWidth="1"/>
    <col min="2050" max="2059" width="11.85546875" style="3" customWidth="1"/>
    <col min="2060" max="2304" width="8.85546875" style="3"/>
    <col min="2305" max="2305" width="15.28515625" style="3" customWidth="1"/>
    <col min="2306" max="2315" width="11.85546875" style="3" customWidth="1"/>
    <col min="2316" max="2560" width="8.85546875" style="3"/>
    <col min="2561" max="2561" width="15.28515625" style="3" customWidth="1"/>
    <col min="2562" max="2571" width="11.85546875" style="3" customWidth="1"/>
    <col min="2572" max="2816" width="8.85546875" style="3"/>
    <col min="2817" max="2817" width="15.28515625" style="3" customWidth="1"/>
    <col min="2818" max="2827" width="11.85546875" style="3" customWidth="1"/>
    <col min="2828" max="3072" width="8.85546875" style="3"/>
    <col min="3073" max="3073" width="15.28515625" style="3" customWidth="1"/>
    <col min="3074" max="3083" width="11.85546875" style="3" customWidth="1"/>
    <col min="3084" max="3328" width="8.85546875" style="3"/>
    <col min="3329" max="3329" width="15.28515625" style="3" customWidth="1"/>
    <col min="3330" max="3339" width="11.85546875" style="3" customWidth="1"/>
    <col min="3340" max="3584" width="8.85546875" style="3"/>
    <col min="3585" max="3585" width="15.28515625" style="3" customWidth="1"/>
    <col min="3586" max="3595" width="11.85546875" style="3" customWidth="1"/>
    <col min="3596" max="3840" width="8.85546875" style="3"/>
    <col min="3841" max="3841" width="15.28515625" style="3" customWidth="1"/>
    <col min="3842" max="3851" width="11.85546875" style="3" customWidth="1"/>
    <col min="3852" max="4096" width="8.85546875" style="3"/>
    <col min="4097" max="4097" width="15.28515625" style="3" customWidth="1"/>
    <col min="4098" max="4107" width="11.85546875" style="3" customWidth="1"/>
    <col min="4108" max="4352" width="8.85546875" style="3"/>
    <col min="4353" max="4353" width="15.28515625" style="3" customWidth="1"/>
    <col min="4354" max="4363" width="11.85546875" style="3" customWidth="1"/>
    <col min="4364" max="4608" width="8.85546875" style="3"/>
    <col min="4609" max="4609" width="15.28515625" style="3" customWidth="1"/>
    <col min="4610" max="4619" width="11.85546875" style="3" customWidth="1"/>
    <col min="4620" max="4864" width="8.85546875" style="3"/>
    <col min="4865" max="4865" width="15.28515625" style="3" customWidth="1"/>
    <col min="4866" max="4875" width="11.85546875" style="3" customWidth="1"/>
    <col min="4876" max="5120" width="8.85546875" style="3"/>
    <col min="5121" max="5121" width="15.28515625" style="3" customWidth="1"/>
    <col min="5122" max="5131" width="11.85546875" style="3" customWidth="1"/>
    <col min="5132" max="5376" width="8.85546875" style="3"/>
    <col min="5377" max="5377" width="15.28515625" style="3" customWidth="1"/>
    <col min="5378" max="5387" width="11.85546875" style="3" customWidth="1"/>
    <col min="5388" max="5632" width="8.85546875" style="3"/>
    <col min="5633" max="5633" width="15.28515625" style="3" customWidth="1"/>
    <col min="5634" max="5643" width="11.85546875" style="3" customWidth="1"/>
    <col min="5644" max="5888" width="8.85546875" style="3"/>
    <col min="5889" max="5889" width="15.28515625" style="3" customWidth="1"/>
    <col min="5890" max="5899" width="11.85546875" style="3" customWidth="1"/>
    <col min="5900" max="6144" width="8.85546875" style="3"/>
    <col min="6145" max="6145" width="15.28515625" style="3" customWidth="1"/>
    <col min="6146" max="6155" width="11.85546875" style="3" customWidth="1"/>
    <col min="6156" max="6400" width="8.85546875" style="3"/>
    <col min="6401" max="6401" width="15.28515625" style="3" customWidth="1"/>
    <col min="6402" max="6411" width="11.85546875" style="3" customWidth="1"/>
    <col min="6412" max="6656" width="8.85546875" style="3"/>
    <col min="6657" max="6657" width="15.28515625" style="3" customWidth="1"/>
    <col min="6658" max="6667" width="11.85546875" style="3" customWidth="1"/>
    <col min="6668" max="6912" width="8.85546875" style="3"/>
    <col min="6913" max="6913" width="15.28515625" style="3" customWidth="1"/>
    <col min="6914" max="6923" width="11.85546875" style="3" customWidth="1"/>
    <col min="6924" max="7168" width="8.85546875" style="3"/>
    <col min="7169" max="7169" width="15.28515625" style="3" customWidth="1"/>
    <col min="7170" max="7179" width="11.85546875" style="3" customWidth="1"/>
    <col min="7180" max="7424" width="8.85546875" style="3"/>
    <col min="7425" max="7425" width="15.28515625" style="3" customWidth="1"/>
    <col min="7426" max="7435" width="11.85546875" style="3" customWidth="1"/>
    <col min="7436" max="7680" width="8.85546875" style="3"/>
    <col min="7681" max="7681" width="15.28515625" style="3" customWidth="1"/>
    <col min="7682" max="7691" width="11.85546875" style="3" customWidth="1"/>
    <col min="7692" max="7936" width="8.85546875" style="3"/>
    <col min="7937" max="7937" width="15.28515625" style="3" customWidth="1"/>
    <col min="7938" max="7947" width="11.85546875" style="3" customWidth="1"/>
    <col min="7948" max="8192" width="8.85546875" style="3"/>
    <col min="8193" max="8193" width="15.28515625" style="3" customWidth="1"/>
    <col min="8194" max="8203" width="11.85546875" style="3" customWidth="1"/>
    <col min="8204" max="8448" width="8.85546875" style="3"/>
    <col min="8449" max="8449" width="15.28515625" style="3" customWidth="1"/>
    <col min="8450" max="8459" width="11.85546875" style="3" customWidth="1"/>
    <col min="8460" max="8704" width="8.85546875" style="3"/>
    <col min="8705" max="8705" width="15.28515625" style="3" customWidth="1"/>
    <col min="8706" max="8715" width="11.85546875" style="3" customWidth="1"/>
    <col min="8716" max="8960" width="8.85546875" style="3"/>
    <col min="8961" max="8961" width="15.28515625" style="3" customWidth="1"/>
    <col min="8962" max="8971" width="11.85546875" style="3" customWidth="1"/>
    <col min="8972" max="9216" width="8.85546875" style="3"/>
    <col min="9217" max="9217" width="15.28515625" style="3" customWidth="1"/>
    <col min="9218" max="9227" width="11.85546875" style="3" customWidth="1"/>
    <col min="9228" max="9472" width="8.85546875" style="3"/>
    <col min="9473" max="9473" width="15.28515625" style="3" customWidth="1"/>
    <col min="9474" max="9483" width="11.85546875" style="3" customWidth="1"/>
    <col min="9484" max="9728" width="8.85546875" style="3"/>
    <col min="9729" max="9729" width="15.28515625" style="3" customWidth="1"/>
    <col min="9730" max="9739" width="11.85546875" style="3" customWidth="1"/>
    <col min="9740" max="9984" width="8.85546875" style="3"/>
    <col min="9985" max="9985" width="15.28515625" style="3" customWidth="1"/>
    <col min="9986" max="9995" width="11.85546875" style="3" customWidth="1"/>
    <col min="9996" max="10240" width="8.85546875" style="3"/>
    <col min="10241" max="10241" width="15.28515625" style="3" customWidth="1"/>
    <col min="10242" max="10251" width="11.85546875" style="3" customWidth="1"/>
    <col min="10252" max="10496" width="8.85546875" style="3"/>
    <col min="10497" max="10497" width="15.28515625" style="3" customWidth="1"/>
    <col min="10498" max="10507" width="11.85546875" style="3" customWidth="1"/>
    <col min="10508" max="10752" width="8.85546875" style="3"/>
    <col min="10753" max="10753" width="15.28515625" style="3" customWidth="1"/>
    <col min="10754" max="10763" width="11.85546875" style="3" customWidth="1"/>
    <col min="10764" max="11008" width="8.85546875" style="3"/>
    <col min="11009" max="11009" width="15.28515625" style="3" customWidth="1"/>
    <col min="11010" max="11019" width="11.85546875" style="3" customWidth="1"/>
    <col min="11020" max="11264" width="8.85546875" style="3"/>
    <col min="11265" max="11265" width="15.28515625" style="3" customWidth="1"/>
    <col min="11266" max="11275" width="11.85546875" style="3" customWidth="1"/>
    <col min="11276" max="11520" width="8.85546875" style="3"/>
    <col min="11521" max="11521" width="15.28515625" style="3" customWidth="1"/>
    <col min="11522" max="11531" width="11.85546875" style="3" customWidth="1"/>
    <col min="11532" max="11776" width="8.85546875" style="3"/>
    <col min="11777" max="11777" width="15.28515625" style="3" customWidth="1"/>
    <col min="11778" max="11787" width="11.85546875" style="3" customWidth="1"/>
    <col min="11788" max="12032" width="8.85546875" style="3"/>
    <col min="12033" max="12033" width="15.28515625" style="3" customWidth="1"/>
    <col min="12034" max="12043" width="11.85546875" style="3" customWidth="1"/>
    <col min="12044" max="12288" width="8.85546875" style="3"/>
    <col min="12289" max="12289" width="15.28515625" style="3" customWidth="1"/>
    <col min="12290" max="12299" width="11.85546875" style="3" customWidth="1"/>
    <col min="12300" max="12544" width="8.85546875" style="3"/>
    <col min="12545" max="12545" width="15.28515625" style="3" customWidth="1"/>
    <col min="12546" max="12555" width="11.85546875" style="3" customWidth="1"/>
    <col min="12556" max="12800" width="8.85546875" style="3"/>
    <col min="12801" max="12801" width="15.28515625" style="3" customWidth="1"/>
    <col min="12802" max="12811" width="11.85546875" style="3" customWidth="1"/>
    <col min="12812" max="13056" width="8.85546875" style="3"/>
    <col min="13057" max="13057" width="15.28515625" style="3" customWidth="1"/>
    <col min="13058" max="13067" width="11.85546875" style="3" customWidth="1"/>
    <col min="13068" max="13312" width="8.85546875" style="3"/>
    <col min="13313" max="13313" width="15.28515625" style="3" customWidth="1"/>
    <col min="13314" max="13323" width="11.85546875" style="3" customWidth="1"/>
    <col min="13324" max="13568" width="8.85546875" style="3"/>
    <col min="13569" max="13569" width="15.28515625" style="3" customWidth="1"/>
    <col min="13570" max="13579" width="11.85546875" style="3" customWidth="1"/>
    <col min="13580" max="13824" width="8.85546875" style="3"/>
    <col min="13825" max="13825" width="15.28515625" style="3" customWidth="1"/>
    <col min="13826" max="13835" width="11.85546875" style="3" customWidth="1"/>
    <col min="13836" max="14080" width="8.85546875" style="3"/>
    <col min="14081" max="14081" width="15.28515625" style="3" customWidth="1"/>
    <col min="14082" max="14091" width="11.85546875" style="3" customWidth="1"/>
    <col min="14092" max="14336" width="8.85546875" style="3"/>
    <col min="14337" max="14337" width="15.28515625" style="3" customWidth="1"/>
    <col min="14338" max="14347" width="11.85546875" style="3" customWidth="1"/>
    <col min="14348" max="14592" width="8.85546875" style="3"/>
    <col min="14593" max="14593" width="15.28515625" style="3" customWidth="1"/>
    <col min="14594" max="14603" width="11.85546875" style="3" customWidth="1"/>
    <col min="14604" max="14848" width="8.85546875" style="3"/>
    <col min="14849" max="14849" width="15.28515625" style="3" customWidth="1"/>
    <col min="14850" max="14859" width="11.85546875" style="3" customWidth="1"/>
    <col min="14860" max="15104" width="8.85546875" style="3"/>
    <col min="15105" max="15105" width="15.28515625" style="3" customWidth="1"/>
    <col min="15106" max="15115" width="11.85546875" style="3" customWidth="1"/>
    <col min="15116" max="15360" width="8.85546875" style="3"/>
    <col min="15361" max="15361" width="15.28515625" style="3" customWidth="1"/>
    <col min="15362" max="15371" width="11.85546875" style="3" customWidth="1"/>
    <col min="15372" max="15616" width="8.85546875" style="3"/>
    <col min="15617" max="15617" width="15.28515625" style="3" customWidth="1"/>
    <col min="15618" max="15627" width="11.85546875" style="3" customWidth="1"/>
    <col min="15628" max="15872" width="8.85546875" style="3"/>
    <col min="15873" max="15873" width="15.28515625" style="3" customWidth="1"/>
    <col min="15874" max="15883" width="11.85546875" style="3" customWidth="1"/>
    <col min="15884" max="16128" width="8.85546875" style="3"/>
    <col min="16129" max="16129" width="15.28515625" style="3" customWidth="1"/>
    <col min="16130" max="16139" width="11.85546875" style="3" customWidth="1"/>
    <col min="16140" max="16384" width="8.85546875" style="3"/>
  </cols>
  <sheetData>
    <row r="1" spans="1:19">
      <c r="A1" s="3412" t="s">
        <v>2960</v>
      </c>
      <c r="B1" s="3416" t="s">
        <v>2961</v>
      </c>
      <c r="C1" s="3417"/>
      <c r="D1" s="3417"/>
      <c r="E1" s="3417"/>
      <c r="F1" s="3417"/>
      <c r="G1" s="3417"/>
      <c r="H1" s="3417"/>
      <c r="I1" s="3417"/>
      <c r="J1" s="3417"/>
      <c r="K1" s="3417"/>
      <c r="L1" s="3417"/>
      <c r="M1" s="3417"/>
      <c r="N1" s="3417"/>
      <c r="O1" s="3417"/>
      <c r="P1" s="3417"/>
      <c r="Q1" s="3417"/>
      <c r="R1" s="3417"/>
      <c r="S1" s="3417"/>
    </row>
    <row r="2" spans="1:19">
      <c r="A2" s="3412"/>
      <c r="B2" s="3413">
        <v>2017</v>
      </c>
      <c r="C2" s="3414"/>
      <c r="D2" s="3414"/>
      <c r="E2" s="3414"/>
      <c r="F2" s="3414"/>
      <c r="G2" s="3415"/>
      <c r="H2" s="3413">
        <v>2018</v>
      </c>
      <c r="I2" s="3414"/>
      <c r="J2" s="3414"/>
      <c r="K2" s="3414"/>
      <c r="L2" s="3414"/>
      <c r="M2" s="3414"/>
      <c r="N2" s="3414"/>
      <c r="O2" s="3414"/>
      <c r="P2" s="3414"/>
      <c r="Q2" s="3414"/>
      <c r="R2" s="3414"/>
      <c r="S2" s="3415"/>
    </row>
    <row r="3" spans="1:19">
      <c r="A3" s="3412"/>
      <c r="B3" s="1" t="s">
        <v>2962</v>
      </c>
      <c r="C3" s="1" t="s">
        <v>2963</v>
      </c>
      <c r="D3" s="1" t="s">
        <v>2964</v>
      </c>
      <c r="E3" s="1" t="s">
        <v>2965</v>
      </c>
      <c r="F3" s="1" t="s">
        <v>2966</v>
      </c>
      <c r="G3" s="1" t="s">
        <v>2967</v>
      </c>
      <c r="H3" s="1" t="s">
        <v>2968</v>
      </c>
      <c r="I3" s="1" t="s">
        <v>2969</v>
      </c>
      <c r="J3" s="1" t="s">
        <v>2970</v>
      </c>
      <c r="K3" s="1" t="s">
        <v>2971</v>
      </c>
      <c r="L3" s="1" t="s">
        <v>2972</v>
      </c>
      <c r="M3" s="1" t="s">
        <v>2973</v>
      </c>
      <c r="N3" s="1" t="s">
        <v>2962</v>
      </c>
      <c r="O3" s="1" t="s">
        <v>2963</v>
      </c>
      <c r="P3" s="1" t="s">
        <v>2964</v>
      </c>
      <c r="Q3" s="1" t="s">
        <v>2965</v>
      </c>
      <c r="R3" s="1" t="s">
        <v>2966</v>
      </c>
      <c r="S3" s="1" t="s">
        <v>2967</v>
      </c>
    </row>
    <row r="4" spans="1:19">
      <c r="A4" s="1404"/>
      <c r="B4" s="1">
        <v>1</v>
      </c>
      <c r="C4" s="1">
        <v>2</v>
      </c>
      <c r="D4" s="1">
        <v>3</v>
      </c>
      <c r="E4" s="1">
        <v>4</v>
      </c>
      <c r="F4" s="1">
        <v>5</v>
      </c>
      <c r="G4" s="1">
        <v>6</v>
      </c>
      <c r="H4" s="1">
        <v>1</v>
      </c>
      <c r="I4" s="1">
        <v>2</v>
      </c>
      <c r="J4" s="1">
        <v>3</v>
      </c>
      <c r="K4" s="1">
        <v>4</v>
      </c>
      <c r="L4" s="1">
        <v>5</v>
      </c>
      <c r="M4" s="1">
        <v>6</v>
      </c>
      <c r="N4" s="1">
        <v>7</v>
      </c>
      <c r="O4" s="1">
        <v>8</v>
      </c>
      <c r="P4" s="1">
        <v>9</v>
      </c>
      <c r="Q4" s="1">
        <v>10</v>
      </c>
      <c r="R4" s="1">
        <v>11</v>
      </c>
      <c r="S4" s="1">
        <v>12</v>
      </c>
    </row>
    <row r="5" spans="1:19">
      <c r="A5" s="1" t="s">
        <v>2974</v>
      </c>
      <c r="B5" s="4">
        <v>45100</v>
      </c>
      <c r="C5" s="4">
        <v>44400</v>
      </c>
      <c r="D5" s="4">
        <v>46200</v>
      </c>
      <c r="E5" s="4">
        <v>45600</v>
      </c>
      <c r="F5" s="4">
        <v>46100</v>
      </c>
      <c r="G5" s="4">
        <v>46900</v>
      </c>
      <c r="H5" s="4">
        <v>52300</v>
      </c>
      <c r="I5" s="4">
        <v>58200</v>
      </c>
      <c r="J5" s="4">
        <v>58800</v>
      </c>
      <c r="K5" s="4">
        <v>60900</v>
      </c>
      <c r="L5" s="4">
        <v>60900</v>
      </c>
      <c r="M5" s="4">
        <v>59800</v>
      </c>
      <c r="N5" s="4">
        <v>57400</v>
      </c>
      <c r="O5" s="1391">
        <v>56100</v>
      </c>
      <c r="P5" s="4">
        <v>56800</v>
      </c>
      <c r="Q5" s="4">
        <v>58900</v>
      </c>
      <c r="R5" s="1505">
        <v>59300</v>
      </c>
      <c r="S5" s="1505">
        <v>57100</v>
      </c>
    </row>
    <row r="6" spans="1:19">
      <c r="A6" s="1" t="s">
        <v>2054</v>
      </c>
      <c r="B6" s="4">
        <v>44100</v>
      </c>
      <c r="C6" s="4">
        <v>43200</v>
      </c>
      <c r="D6" s="4">
        <v>45000</v>
      </c>
      <c r="E6" s="4">
        <v>43800</v>
      </c>
      <c r="F6" s="4">
        <v>44300</v>
      </c>
      <c r="G6" s="4">
        <v>45100</v>
      </c>
      <c r="H6" s="4">
        <v>50600</v>
      </c>
      <c r="I6" s="4">
        <v>56500</v>
      </c>
      <c r="J6" s="4">
        <v>57100</v>
      </c>
      <c r="K6" s="4">
        <v>59200</v>
      </c>
      <c r="L6" s="4">
        <v>59200</v>
      </c>
      <c r="M6" s="4">
        <v>58000</v>
      </c>
      <c r="N6" s="4">
        <v>56200</v>
      </c>
      <c r="O6" s="1391">
        <v>54600</v>
      </c>
      <c r="P6" s="4">
        <v>55300</v>
      </c>
      <c r="Q6" s="4">
        <v>57400</v>
      </c>
      <c r="R6" s="1505">
        <v>57800</v>
      </c>
      <c r="S6" s="1505">
        <v>55600</v>
      </c>
    </row>
    <row r="7" spans="1:19">
      <c r="A7" s="1" t="s">
        <v>2053</v>
      </c>
      <c r="B7" s="4">
        <v>43600</v>
      </c>
      <c r="C7" s="4">
        <v>42700</v>
      </c>
      <c r="D7" s="4">
        <v>44400</v>
      </c>
      <c r="E7" s="4">
        <v>43200</v>
      </c>
      <c r="F7" s="4">
        <v>43700</v>
      </c>
      <c r="G7" s="4">
        <v>44500</v>
      </c>
      <c r="H7" s="4">
        <v>50000</v>
      </c>
      <c r="I7" s="4">
        <v>55300</v>
      </c>
      <c r="J7" s="4">
        <v>55900</v>
      </c>
      <c r="K7" s="4">
        <v>58000</v>
      </c>
      <c r="L7" s="4">
        <v>58000</v>
      </c>
      <c r="M7" s="4">
        <v>57400</v>
      </c>
      <c r="N7" s="4">
        <v>55600</v>
      </c>
      <c r="O7" s="1391">
        <v>54000</v>
      </c>
      <c r="P7" s="4">
        <v>54700</v>
      </c>
      <c r="Q7" s="4">
        <v>56800</v>
      </c>
      <c r="R7" s="1505">
        <v>57200</v>
      </c>
      <c r="S7" s="1505">
        <v>55000</v>
      </c>
    </row>
    <row r="8" spans="1:19">
      <c r="A8" s="1" t="s">
        <v>2975</v>
      </c>
      <c r="B8" s="4">
        <v>43600</v>
      </c>
      <c r="C8" s="4">
        <v>42700</v>
      </c>
      <c r="D8" s="4">
        <v>44400</v>
      </c>
      <c r="E8" s="4">
        <v>43200</v>
      </c>
      <c r="F8" s="4">
        <v>43700</v>
      </c>
      <c r="G8" s="4">
        <v>44500</v>
      </c>
      <c r="H8" s="4">
        <v>50000</v>
      </c>
      <c r="I8" s="4">
        <v>55300</v>
      </c>
      <c r="J8" s="4">
        <v>55900</v>
      </c>
      <c r="K8" s="4">
        <v>58000</v>
      </c>
      <c r="L8" s="4">
        <v>58000</v>
      </c>
      <c r="M8" s="4">
        <v>57400</v>
      </c>
      <c r="N8" s="4">
        <v>55600</v>
      </c>
      <c r="O8" s="1391">
        <v>54000</v>
      </c>
      <c r="P8" s="4">
        <v>54700</v>
      </c>
      <c r="Q8" s="4">
        <v>56800</v>
      </c>
      <c r="R8" s="1505">
        <v>57200</v>
      </c>
      <c r="S8" s="1505">
        <v>55000</v>
      </c>
    </row>
    <row r="9" spans="1:19">
      <c r="A9" s="1" t="s">
        <v>2052</v>
      </c>
      <c r="B9" s="4">
        <v>43600</v>
      </c>
      <c r="C9" s="4">
        <v>42700</v>
      </c>
      <c r="D9" s="4">
        <v>43200</v>
      </c>
      <c r="E9" s="4">
        <v>42700</v>
      </c>
      <c r="F9" s="4">
        <v>43700</v>
      </c>
      <c r="G9" s="4">
        <v>44500</v>
      </c>
      <c r="H9" s="4">
        <v>50000</v>
      </c>
      <c r="I9" s="4">
        <v>55300</v>
      </c>
      <c r="J9" s="4">
        <v>55900</v>
      </c>
      <c r="K9" s="4">
        <v>57400</v>
      </c>
      <c r="L9" s="4">
        <v>57400</v>
      </c>
      <c r="M9" s="4">
        <v>57400</v>
      </c>
      <c r="N9" s="4">
        <v>55600</v>
      </c>
      <c r="O9" s="1391">
        <v>54000</v>
      </c>
      <c r="P9" s="4">
        <v>54100</v>
      </c>
      <c r="Q9" s="4">
        <v>56200</v>
      </c>
      <c r="R9" s="1505">
        <v>56600</v>
      </c>
      <c r="S9" s="1505">
        <v>54500</v>
      </c>
    </row>
    <row r="10" spans="1:19">
      <c r="A10" s="1" t="s">
        <v>2051</v>
      </c>
      <c r="B10" s="4">
        <v>43600</v>
      </c>
      <c r="C10" s="4">
        <v>42700</v>
      </c>
      <c r="D10" s="4">
        <v>43200</v>
      </c>
      <c r="E10" s="4">
        <v>42700</v>
      </c>
      <c r="F10" s="4">
        <v>43700</v>
      </c>
      <c r="G10" s="4">
        <v>44500</v>
      </c>
      <c r="H10" s="4">
        <v>50000</v>
      </c>
      <c r="I10" s="4">
        <v>55300</v>
      </c>
      <c r="J10" s="4">
        <v>55900</v>
      </c>
      <c r="K10" s="4">
        <v>57400</v>
      </c>
      <c r="L10" s="4">
        <v>57400</v>
      </c>
      <c r="M10" s="4">
        <v>57400</v>
      </c>
      <c r="N10" s="4">
        <v>55600</v>
      </c>
      <c r="O10" s="1391">
        <v>54000</v>
      </c>
      <c r="P10" s="4">
        <v>54100</v>
      </c>
      <c r="Q10" s="4">
        <v>56200</v>
      </c>
      <c r="R10" s="1505">
        <v>56600</v>
      </c>
      <c r="S10" s="1505">
        <v>54500</v>
      </c>
    </row>
    <row r="11" spans="1:19">
      <c r="A11" s="1" t="s">
        <v>2976</v>
      </c>
      <c r="B11" s="4">
        <v>43600</v>
      </c>
      <c r="C11" s="4">
        <v>42700</v>
      </c>
      <c r="D11" s="4">
        <v>43200</v>
      </c>
      <c r="E11" s="4">
        <v>42700</v>
      </c>
      <c r="F11" s="4">
        <v>43700</v>
      </c>
      <c r="G11" s="4">
        <v>44500</v>
      </c>
      <c r="H11" s="4">
        <v>50000</v>
      </c>
      <c r="I11" s="4">
        <v>55300</v>
      </c>
      <c r="J11" s="4">
        <v>55900</v>
      </c>
      <c r="K11" s="4">
        <v>57400</v>
      </c>
      <c r="L11" s="4">
        <v>57400</v>
      </c>
      <c r="M11" s="4">
        <v>57400</v>
      </c>
      <c r="N11" s="4">
        <v>55600</v>
      </c>
      <c r="O11" s="1391">
        <v>54000</v>
      </c>
      <c r="P11" s="4">
        <v>54100</v>
      </c>
      <c r="Q11" s="4">
        <v>56200</v>
      </c>
      <c r="R11" s="1505">
        <v>56600</v>
      </c>
      <c r="S11" s="1505">
        <v>54500</v>
      </c>
    </row>
    <row r="12" spans="1:19" s="2" customFormat="1">
      <c r="A12" s="1" t="s">
        <v>928</v>
      </c>
      <c r="B12" s="5">
        <f t="shared" ref="B12:P12" si="0">SUM(B5:B9)</f>
        <v>220000</v>
      </c>
      <c r="C12" s="5">
        <f t="shared" si="0"/>
        <v>215700</v>
      </c>
      <c r="D12" s="5">
        <f t="shared" si="0"/>
        <v>223200</v>
      </c>
      <c r="E12" s="5">
        <f t="shared" si="0"/>
        <v>218500</v>
      </c>
      <c r="F12" s="5">
        <f t="shared" si="0"/>
        <v>221500</v>
      </c>
      <c r="G12" s="5">
        <f t="shared" si="0"/>
        <v>225500</v>
      </c>
      <c r="H12" s="5">
        <f t="shared" si="0"/>
        <v>252900</v>
      </c>
      <c r="I12" s="5">
        <f t="shared" si="0"/>
        <v>280600</v>
      </c>
      <c r="J12" s="5">
        <f t="shared" si="0"/>
        <v>283600</v>
      </c>
      <c r="K12" s="5">
        <f t="shared" si="0"/>
        <v>293500</v>
      </c>
      <c r="L12" s="5">
        <f t="shared" si="0"/>
        <v>293500</v>
      </c>
      <c r="M12" s="5">
        <f t="shared" si="0"/>
        <v>290000</v>
      </c>
      <c r="N12" s="5">
        <f t="shared" si="0"/>
        <v>280400</v>
      </c>
      <c r="O12" s="5">
        <f>SUM(O5:O9)</f>
        <v>272700</v>
      </c>
      <c r="P12" s="5">
        <f t="shared" si="0"/>
        <v>275600</v>
      </c>
      <c r="Q12" s="5">
        <f t="shared" ref="Q12:S12" si="1">SUM(Q5:Q9)</f>
        <v>286100</v>
      </c>
      <c r="R12" s="1506">
        <f t="shared" si="1"/>
        <v>288100</v>
      </c>
      <c r="S12" s="1506">
        <f t="shared" si="1"/>
        <v>277200</v>
      </c>
    </row>
    <row r="13" spans="1:19" s="2" customFormat="1">
      <c r="A13" s="1507" t="s">
        <v>3390</v>
      </c>
      <c r="B13" s="5">
        <f t="shared" ref="B13:P13" si="2">ROUND(B12/5,0)</f>
        <v>44000</v>
      </c>
      <c r="C13" s="5">
        <f t="shared" si="2"/>
        <v>43140</v>
      </c>
      <c r="D13" s="5">
        <f t="shared" si="2"/>
        <v>44640</v>
      </c>
      <c r="E13" s="5">
        <f t="shared" si="2"/>
        <v>43700</v>
      </c>
      <c r="F13" s="5">
        <f t="shared" si="2"/>
        <v>44300</v>
      </c>
      <c r="G13" s="5">
        <f t="shared" si="2"/>
        <v>45100</v>
      </c>
      <c r="H13" s="5">
        <f t="shared" si="2"/>
        <v>50580</v>
      </c>
      <c r="I13" s="5">
        <f t="shared" si="2"/>
        <v>56120</v>
      </c>
      <c r="J13" s="5">
        <f t="shared" si="2"/>
        <v>56720</v>
      </c>
      <c r="K13" s="5">
        <f t="shared" si="2"/>
        <v>58700</v>
      </c>
      <c r="L13" s="5">
        <f t="shared" si="2"/>
        <v>58700</v>
      </c>
      <c r="M13" s="5">
        <f t="shared" si="2"/>
        <v>58000</v>
      </c>
      <c r="N13" s="5">
        <f t="shared" si="2"/>
        <v>56080</v>
      </c>
      <c r="O13" s="5">
        <f t="shared" si="2"/>
        <v>54540</v>
      </c>
      <c r="P13" s="5">
        <f t="shared" si="2"/>
        <v>55120</v>
      </c>
      <c r="Q13" s="5">
        <f t="shared" ref="Q13:S13" si="3">ROUND(Q12/5,0)</f>
        <v>57220</v>
      </c>
      <c r="R13" s="1506">
        <f t="shared" si="3"/>
        <v>57620</v>
      </c>
      <c r="S13" s="1506">
        <f t="shared" si="3"/>
        <v>55440</v>
      </c>
    </row>
    <row r="14" spans="1:19" s="2" customFormat="1">
      <c r="A14" s="10"/>
      <c r="R14" s="1418"/>
      <c r="S14" s="1418"/>
    </row>
    <row r="17" spans="1:19">
      <c r="A17" s="3412" t="s">
        <v>2960</v>
      </c>
      <c r="B17" s="3418" t="s">
        <v>2961</v>
      </c>
      <c r="C17" s="3418"/>
      <c r="D17" s="3418"/>
      <c r="E17" s="3418"/>
      <c r="F17" s="3418"/>
      <c r="G17" s="3418"/>
      <c r="H17" s="3418"/>
      <c r="I17" s="3418"/>
      <c r="J17" s="3418"/>
      <c r="K17" s="3418"/>
      <c r="L17" s="3418"/>
      <c r="M17" s="3418"/>
      <c r="N17" s="2"/>
      <c r="O17" s="2"/>
      <c r="P17" s="2"/>
      <c r="Q17" s="2"/>
      <c r="R17" s="2"/>
      <c r="S17" s="2"/>
    </row>
    <row r="18" spans="1:19">
      <c r="A18" s="3412"/>
      <c r="B18" s="3418">
        <v>2018</v>
      </c>
      <c r="C18" s="3418"/>
      <c r="D18" s="3418"/>
      <c r="E18" s="3418"/>
      <c r="F18" s="3418"/>
      <c r="G18" s="3418"/>
      <c r="H18" s="3418"/>
      <c r="I18" s="3418"/>
      <c r="J18" s="3418"/>
      <c r="K18" s="3418"/>
      <c r="L18" s="3418"/>
      <c r="M18" s="3418"/>
      <c r="N18" s="2"/>
      <c r="O18" s="2"/>
      <c r="P18" s="2"/>
      <c r="Q18" s="2"/>
      <c r="R18" s="2"/>
      <c r="S18" s="2"/>
    </row>
    <row r="19" spans="1:19">
      <c r="A19" s="3412"/>
      <c r="B19" s="1" t="s">
        <v>2968</v>
      </c>
      <c r="C19" s="1" t="s">
        <v>2969</v>
      </c>
      <c r="D19" s="1" t="s">
        <v>2970</v>
      </c>
      <c r="E19" s="1" t="s">
        <v>2971</v>
      </c>
      <c r="F19" s="1" t="s">
        <v>2972</v>
      </c>
      <c r="G19" s="1" t="s">
        <v>2973</v>
      </c>
      <c r="H19" s="1" t="s">
        <v>2962</v>
      </c>
      <c r="I19" s="1" t="s">
        <v>2963</v>
      </c>
      <c r="J19" s="1" t="s">
        <v>2964</v>
      </c>
      <c r="K19" s="1" t="s">
        <v>2965</v>
      </c>
      <c r="L19" s="1" t="s">
        <v>2966</v>
      </c>
      <c r="M19" s="1" t="s">
        <v>2967</v>
      </c>
    </row>
    <row r="20" spans="1:19">
      <c r="A20" s="1404"/>
      <c r="B20" s="1">
        <v>1</v>
      </c>
      <c r="C20" s="1">
        <v>2</v>
      </c>
      <c r="D20" s="1">
        <v>3</v>
      </c>
      <c r="E20" s="1">
        <v>4</v>
      </c>
      <c r="F20" s="1">
        <v>5</v>
      </c>
      <c r="G20" s="1">
        <v>6</v>
      </c>
      <c r="H20" s="1">
        <v>7</v>
      </c>
      <c r="I20" s="1">
        <v>8</v>
      </c>
      <c r="J20" s="1">
        <v>9</v>
      </c>
      <c r="K20" s="1">
        <v>10</v>
      </c>
      <c r="L20" s="1">
        <v>11</v>
      </c>
      <c r="M20" s="1">
        <v>12</v>
      </c>
    </row>
    <row r="21" spans="1:19">
      <c r="A21" s="1" t="s">
        <v>2974</v>
      </c>
      <c r="B21" s="4">
        <v>55700</v>
      </c>
      <c r="C21" s="4"/>
      <c r="D21" s="4">
        <v>56700</v>
      </c>
      <c r="E21" s="4"/>
      <c r="F21" s="4"/>
      <c r="G21" s="4"/>
      <c r="H21" s="4"/>
      <c r="I21" s="1391"/>
      <c r="J21" s="4"/>
      <c r="K21" s="4"/>
      <c r="L21" s="1505"/>
      <c r="M21" s="1505"/>
    </row>
    <row r="22" spans="1:19">
      <c r="A22" s="1" t="s">
        <v>2054</v>
      </c>
      <c r="B22" s="4">
        <v>54100</v>
      </c>
      <c r="C22" s="4"/>
      <c r="D22" s="4">
        <v>55100</v>
      </c>
      <c r="E22" s="4"/>
      <c r="F22" s="4"/>
      <c r="G22" s="4"/>
      <c r="H22" s="4"/>
      <c r="I22" s="1391"/>
      <c r="J22" s="4"/>
      <c r="K22" s="4"/>
      <c r="L22" s="1505"/>
      <c r="M22" s="1505"/>
    </row>
    <row r="23" spans="1:19">
      <c r="A23" s="1" t="s">
        <v>2053</v>
      </c>
      <c r="B23" s="4">
        <v>53500</v>
      </c>
      <c r="C23" s="4"/>
      <c r="D23" s="4">
        <v>54500</v>
      </c>
      <c r="E23" s="4"/>
      <c r="F23" s="4"/>
      <c r="G23" s="4"/>
      <c r="H23" s="4"/>
      <c r="I23" s="1391"/>
      <c r="J23" s="4"/>
      <c r="K23" s="4"/>
      <c r="L23" s="1505"/>
      <c r="M23" s="1505"/>
    </row>
    <row r="24" spans="1:19">
      <c r="A24" s="1" t="s">
        <v>2975</v>
      </c>
      <c r="B24" s="4">
        <v>53500</v>
      </c>
      <c r="C24" s="4"/>
      <c r="D24" s="4">
        <v>54500</v>
      </c>
      <c r="E24" s="4"/>
      <c r="F24" s="4"/>
      <c r="G24" s="4"/>
      <c r="H24" s="4"/>
      <c r="I24" s="1391"/>
      <c r="J24" s="4"/>
      <c r="K24" s="4"/>
      <c r="L24" s="1505"/>
      <c r="M24" s="1505"/>
    </row>
    <row r="25" spans="1:19">
      <c r="A25" s="1" t="s">
        <v>2052</v>
      </c>
      <c r="B25" s="4">
        <v>52900</v>
      </c>
      <c r="C25" s="4"/>
      <c r="D25" s="4">
        <v>53800</v>
      </c>
      <c r="E25" s="4"/>
      <c r="F25" s="4"/>
      <c r="G25" s="4"/>
      <c r="H25" s="4"/>
      <c r="I25" s="1391"/>
      <c r="J25" s="4"/>
      <c r="K25" s="4"/>
      <c r="L25" s="1505"/>
      <c r="M25" s="1505"/>
    </row>
    <row r="26" spans="1:19">
      <c r="A26" s="1" t="s">
        <v>2051</v>
      </c>
      <c r="B26" s="4">
        <v>52900</v>
      </c>
      <c r="C26" s="4"/>
      <c r="D26" s="4">
        <v>53800</v>
      </c>
      <c r="E26" s="4"/>
      <c r="F26" s="4"/>
      <c r="G26" s="4"/>
      <c r="H26" s="4"/>
      <c r="I26" s="1391"/>
      <c r="J26" s="4"/>
      <c r="K26" s="4"/>
      <c r="L26" s="1505"/>
      <c r="M26" s="1505"/>
    </row>
    <row r="27" spans="1:19">
      <c r="A27" s="1" t="s">
        <v>2976</v>
      </c>
      <c r="B27" s="4">
        <v>52900</v>
      </c>
      <c r="C27" s="4"/>
      <c r="D27" s="4">
        <v>53800</v>
      </c>
      <c r="E27" s="4"/>
      <c r="F27" s="4"/>
      <c r="G27" s="4"/>
      <c r="H27" s="4"/>
      <c r="I27" s="1391"/>
      <c r="J27" s="4"/>
      <c r="K27" s="4"/>
      <c r="L27" s="1505"/>
      <c r="M27" s="1505"/>
    </row>
    <row r="28" spans="1:19">
      <c r="A28" s="1" t="s">
        <v>928</v>
      </c>
      <c r="B28" s="5">
        <f t="shared" ref="B28:I28" si="4">SUM(B21:B25)</f>
        <v>269700</v>
      </c>
      <c r="C28" s="5">
        <f t="shared" si="4"/>
        <v>0</v>
      </c>
      <c r="D28" s="5">
        <f>SUM(D21:D25)</f>
        <v>274600</v>
      </c>
      <c r="E28" s="5">
        <f t="shared" si="4"/>
        <v>0</v>
      </c>
      <c r="F28" s="5">
        <f t="shared" si="4"/>
        <v>0</v>
      </c>
      <c r="G28" s="5">
        <f t="shared" si="4"/>
        <v>0</v>
      </c>
      <c r="H28" s="5">
        <f t="shared" si="4"/>
        <v>0</v>
      </c>
      <c r="I28" s="5">
        <f t="shared" si="4"/>
        <v>0</v>
      </c>
      <c r="J28" s="5">
        <f t="shared" ref="J28" si="5">SUM(J21:J25)</f>
        <v>0</v>
      </c>
      <c r="K28" s="5">
        <f t="shared" ref="K28:M28" si="6">SUM(K21:K25)</f>
        <v>0</v>
      </c>
      <c r="L28" s="1506">
        <f t="shared" si="6"/>
        <v>0</v>
      </c>
      <c r="M28" s="1506">
        <f t="shared" si="6"/>
        <v>0</v>
      </c>
    </row>
    <row r="29" spans="1:19">
      <c r="A29" s="1" t="s">
        <v>3390</v>
      </c>
      <c r="B29" s="5">
        <f>ROUND(B28/5,0)</f>
        <v>53940</v>
      </c>
      <c r="C29" s="5">
        <f t="shared" ref="C29:M29" si="7">ROUND(C28/5,0)</f>
        <v>0</v>
      </c>
      <c r="D29" s="5">
        <f>ROUND(D28/5,0)</f>
        <v>54920</v>
      </c>
      <c r="E29" s="5">
        <f t="shared" si="7"/>
        <v>0</v>
      </c>
      <c r="F29" s="5">
        <f t="shared" si="7"/>
        <v>0</v>
      </c>
      <c r="G29" s="5">
        <f t="shared" si="7"/>
        <v>0</v>
      </c>
      <c r="H29" s="5">
        <f t="shared" si="7"/>
        <v>0</v>
      </c>
      <c r="I29" s="5">
        <f t="shared" si="7"/>
        <v>0</v>
      </c>
      <c r="J29" s="5">
        <f t="shared" si="7"/>
        <v>0</v>
      </c>
      <c r="K29" s="5">
        <f t="shared" si="7"/>
        <v>0</v>
      </c>
      <c r="L29" s="1506">
        <f t="shared" si="7"/>
        <v>0</v>
      </c>
      <c r="M29" s="1506">
        <f t="shared" si="7"/>
        <v>0</v>
      </c>
    </row>
  </sheetData>
  <mergeCells count="7">
    <mergeCell ref="A1:A3"/>
    <mergeCell ref="B2:G2"/>
    <mergeCell ref="H2:S2"/>
    <mergeCell ref="B1:S1"/>
    <mergeCell ref="A17:A19"/>
    <mergeCell ref="B18:M18"/>
    <mergeCell ref="B17:M17"/>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sheetPr>
    <tabColor rgb="FF002060"/>
  </sheetPr>
  <dimension ref="A1:K205"/>
  <sheetViews>
    <sheetView view="pageBreakPreview" workbookViewId="0">
      <selection activeCell="F8" sqref="F8"/>
    </sheetView>
  </sheetViews>
  <sheetFormatPr defaultColWidth="9.140625" defaultRowHeight="12.75"/>
  <cols>
    <col min="1" max="1" width="7.140625" style="13" customWidth="1"/>
    <col min="2" max="2" width="8.42578125" style="13" customWidth="1"/>
    <col min="3" max="3" width="8.85546875" style="13" customWidth="1"/>
    <col min="4" max="4" width="11.28515625" style="13" customWidth="1"/>
    <col min="5" max="5" width="10.140625" style="13" customWidth="1"/>
    <col min="6" max="6" width="11" style="13" customWidth="1"/>
    <col min="7" max="7" width="12.7109375" style="13" customWidth="1"/>
    <col min="8" max="8" width="6.42578125" style="13" customWidth="1"/>
    <col min="9" max="9" width="13.42578125" style="13" customWidth="1"/>
    <col min="10" max="11" width="13.28515625" style="13" customWidth="1"/>
    <col min="12" max="12" width="10" style="13" bestFit="1" customWidth="1"/>
    <col min="13" max="256" width="9.140625" style="13"/>
    <col min="257" max="257" width="7.140625" style="13" customWidth="1"/>
    <col min="258" max="258" width="8.42578125" style="13" customWidth="1"/>
    <col min="259" max="259" width="8.85546875" style="13" customWidth="1"/>
    <col min="260" max="260" width="11.28515625" style="13" customWidth="1"/>
    <col min="261" max="261" width="10.140625" style="13" customWidth="1"/>
    <col min="262" max="262" width="11" style="13" customWidth="1"/>
    <col min="263" max="263" width="12.7109375" style="13" customWidth="1"/>
    <col min="264" max="264" width="6.42578125" style="13" customWidth="1"/>
    <col min="265" max="265" width="13.42578125" style="13" customWidth="1"/>
    <col min="266" max="266" width="14" style="13" customWidth="1"/>
    <col min="267" max="267" width="14.5703125" style="13" customWidth="1"/>
    <col min="268" max="268" width="10" style="13" bestFit="1" customWidth="1"/>
    <col min="269" max="512" width="9.140625" style="13"/>
    <col min="513" max="513" width="7.140625" style="13" customWidth="1"/>
    <col min="514" max="514" width="8.42578125" style="13" customWidth="1"/>
    <col min="515" max="515" width="8.85546875" style="13" customWidth="1"/>
    <col min="516" max="516" width="11.28515625" style="13" customWidth="1"/>
    <col min="517" max="517" width="10.140625" style="13" customWidth="1"/>
    <col min="518" max="518" width="11" style="13" customWidth="1"/>
    <col min="519" max="519" width="12.7109375" style="13" customWidth="1"/>
    <col min="520" max="520" width="6.42578125" style="13" customWidth="1"/>
    <col min="521" max="521" width="13.42578125" style="13" customWidth="1"/>
    <col min="522" max="522" width="14" style="13" customWidth="1"/>
    <col min="523" max="523" width="14.5703125" style="13" customWidth="1"/>
    <col min="524" max="524" width="10" style="13" bestFit="1" customWidth="1"/>
    <col min="525" max="768" width="9.140625" style="13"/>
    <col min="769" max="769" width="7.140625" style="13" customWidth="1"/>
    <col min="770" max="770" width="8.42578125" style="13" customWidth="1"/>
    <col min="771" max="771" width="8.85546875" style="13" customWidth="1"/>
    <col min="772" max="772" width="11.28515625" style="13" customWidth="1"/>
    <col min="773" max="773" width="10.140625" style="13" customWidth="1"/>
    <col min="774" max="774" width="11" style="13" customWidth="1"/>
    <col min="775" max="775" width="12.7109375" style="13" customWidth="1"/>
    <col min="776" max="776" width="6.42578125" style="13" customWidth="1"/>
    <col min="777" max="777" width="13.42578125" style="13" customWidth="1"/>
    <col min="778" max="778" width="14" style="13" customWidth="1"/>
    <col min="779" max="779" width="14.5703125" style="13" customWidth="1"/>
    <col min="780" max="780" width="10" style="13" bestFit="1" customWidth="1"/>
    <col min="781" max="1024" width="9.140625" style="13"/>
    <col min="1025" max="1025" width="7.140625" style="13" customWidth="1"/>
    <col min="1026" max="1026" width="8.42578125" style="13" customWidth="1"/>
    <col min="1027" max="1027" width="8.85546875" style="13" customWidth="1"/>
    <col min="1028" max="1028" width="11.28515625" style="13" customWidth="1"/>
    <col min="1029" max="1029" width="10.140625" style="13" customWidth="1"/>
    <col min="1030" max="1030" width="11" style="13" customWidth="1"/>
    <col min="1031" max="1031" width="12.7109375" style="13" customWidth="1"/>
    <col min="1032" max="1032" width="6.42578125" style="13" customWidth="1"/>
    <col min="1033" max="1033" width="13.42578125" style="13" customWidth="1"/>
    <col min="1034" max="1034" width="14" style="13" customWidth="1"/>
    <col min="1035" max="1035" width="14.5703125" style="13" customWidth="1"/>
    <col min="1036" max="1036" width="10" style="13" bestFit="1" customWidth="1"/>
    <col min="1037" max="1280" width="9.140625" style="13"/>
    <col min="1281" max="1281" width="7.140625" style="13" customWidth="1"/>
    <col min="1282" max="1282" width="8.42578125" style="13" customWidth="1"/>
    <col min="1283" max="1283" width="8.85546875" style="13" customWidth="1"/>
    <col min="1284" max="1284" width="11.28515625" style="13" customWidth="1"/>
    <col min="1285" max="1285" width="10.140625" style="13" customWidth="1"/>
    <col min="1286" max="1286" width="11" style="13" customWidth="1"/>
    <col min="1287" max="1287" width="12.7109375" style="13" customWidth="1"/>
    <col min="1288" max="1288" width="6.42578125" style="13" customWidth="1"/>
    <col min="1289" max="1289" width="13.42578125" style="13" customWidth="1"/>
    <col min="1290" max="1290" width="14" style="13" customWidth="1"/>
    <col min="1291" max="1291" width="14.5703125" style="13" customWidth="1"/>
    <col min="1292" max="1292" width="10" style="13" bestFit="1" customWidth="1"/>
    <col min="1293" max="1536" width="9.140625" style="13"/>
    <col min="1537" max="1537" width="7.140625" style="13" customWidth="1"/>
    <col min="1538" max="1538" width="8.42578125" style="13" customWidth="1"/>
    <col min="1539" max="1539" width="8.85546875" style="13" customWidth="1"/>
    <col min="1540" max="1540" width="11.28515625" style="13" customWidth="1"/>
    <col min="1541" max="1541" width="10.140625" style="13" customWidth="1"/>
    <col min="1542" max="1542" width="11" style="13" customWidth="1"/>
    <col min="1543" max="1543" width="12.7109375" style="13" customWidth="1"/>
    <col min="1544" max="1544" width="6.42578125" style="13" customWidth="1"/>
    <col min="1545" max="1545" width="13.42578125" style="13" customWidth="1"/>
    <col min="1546" max="1546" width="14" style="13" customWidth="1"/>
    <col min="1547" max="1547" width="14.5703125" style="13" customWidth="1"/>
    <col min="1548" max="1548" width="10" style="13" bestFit="1" customWidth="1"/>
    <col min="1549" max="1792" width="9.140625" style="13"/>
    <col min="1793" max="1793" width="7.140625" style="13" customWidth="1"/>
    <col min="1794" max="1794" width="8.42578125" style="13" customWidth="1"/>
    <col min="1795" max="1795" width="8.85546875" style="13" customWidth="1"/>
    <col min="1796" max="1796" width="11.28515625" style="13" customWidth="1"/>
    <col min="1797" max="1797" width="10.140625" style="13" customWidth="1"/>
    <col min="1798" max="1798" width="11" style="13" customWidth="1"/>
    <col min="1799" max="1799" width="12.7109375" style="13" customWidth="1"/>
    <col min="1800" max="1800" width="6.42578125" style="13" customWidth="1"/>
    <col min="1801" max="1801" width="13.42578125" style="13" customWidth="1"/>
    <col min="1802" max="1802" width="14" style="13" customWidth="1"/>
    <col min="1803" max="1803" width="14.5703125" style="13" customWidth="1"/>
    <col min="1804" max="1804" width="10" style="13" bestFit="1" customWidth="1"/>
    <col min="1805" max="2048" width="9.140625" style="13"/>
    <col min="2049" max="2049" width="7.140625" style="13" customWidth="1"/>
    <col min="2050" max="2050" width="8.42578125" style="13" customWidth="1"/>
    <col min="2051" max="2051" width="8.85546875" style="13" customWidth="1"/>
    <col min="2052" max="2052" width="11.28515625" style="13" customWidth="1"/>
    <col min="2053" max="2053" width="10.140625" style="13" customWidth="1"/>
    <col min="2054" max="2054" width="11" style="13" customWidth="1"/>
    <col min="2055" max="2055" width="12.7109375" style="13" customWidth="1"/>
    <col min="2056" max="2056" width="6.42578125" style="13" customWidth="1"/>
    <col min="2057" max="2057" width="13.42578125" style="13" customWidth="1"/>
    <col min="2058" max="2058" width="14" style="13" customWidth="1"/>
    <col min="2059" max="2059" width="14.5703125" style="13" customWidth="1"/>
    <col min="2060" max="2060" width="10" style="13" bestFit="1" customWidth="1"/>
    <col min="2061" max="2304" width="9.140625" style="13"/>
    <col min="2305" max="2305" width="7.140625" style="13" customWidth="1"/>
    <col min="2306" max="2306" width="8.42578125" style="13" customWidth="1"/>
    <col min="2307" max="2307" width="8.85546875" style="13" customWidth="1"/>
    <col min="2308" max="2308" width="11.28515625" style="13" customWidth="1"/>
    <col min="2309" max="2309" width="10.140625" style="13" customWidth="1"/>
    <col min="2310" max="2310" width="11" style="13" customWidth="1"/>
    <col min="2311" max="2311" width="12.7109375" style="13" customWidth="1"/>
    <col min="2312" max="2312" width="6.42578125" style="13" customWidth="1"/>
    <col min="2313" max="2313" width="13.42578125" style="13" customWidth="1"/>
    <col min="2314" max="2314" width="14" style="13" customWidth="1"/>
    <col min="2315" max="2315" width="14.5703125" style="13" customWidth="1"/>
    <col min="2316" max="2316" width="10" style="13" bestFit="1" customWidth="1"/>
    <col min="2317" max="2560" width="9.140625" style="13"/>
    <col min="2561" max="2561" width="7.140625" style="13" customWidth="1"/>
    <col min="2562" max="2562" width="8.42578125" style="13" customWidth="1"/>
    <col min="2563" max="2563" width="8.85546875" style="13" customWidth="1"/>
    <col min="2564" max="2564" width="11.28515625" style="13" customWidth="1"/>
    <col min="2565" max="2565" width="10.140625" style="13" customWidth="1"/>
    <col min="2566" max="2566" width="11" style="13" customWidth="1"/>
    <col min="2567" max="2567" width="12.7109375" style="13" customWidth="1"/>
    <col min="2568" max="2568" width="6.42578125" style="13" customWidth="1"/>
    <col min="2569" max="2569" width="13.42578125" style="13" customWidth="1"/>
    <col min="2570" max="2570" width="14" style="13" customWidth="1"/>
    <col min="2571" max="2571" width="14.5703125" style="13" customWidth="1"/>
    <col min="2572" max="2572" width="10" style="13" bestFit="1" customWidth="1"/>
    <col min="2573" max="2816" width="9.140625" style="13"/>
    <col min="2817" max="2817" width="7.140625" style="13" customWidth="1"/>
    <col min="2818" max="2818" width="8.42578125" style="13" customWidth="1"/>
    <col min="2819" max="2819" width="8.85546875" style="13" customWidth="1"/>
    <col min="2820" max="2820" width="11.28515625" style="13" customWidth="1"/>
    <col min="2821" max="2821" width="10.140625" style="13" customWidth="1"/>
    <col min="2822" max="2822" width="11" style="13" customWidth="1"/>
    <col min="2823" max="2823" width="12.7109375" style="13" customWidth="1"/>
    <col min="2824" max="2824" width="6.42578125" style="13" customWidth="1"/>
    <col min="2825" max="2825" width="13.42578125" style="13" customWidth="1"/>
    <col min="2826" max="2826" width="14" style="13" customWidth="1"/>
    <col min="2827" max="2827" width="14.5703125" style="13" customWidth="1"/>
    <col min="2828" max="2828" width="10" style="13" bestFit="1" customWidth="1"/>
    <col min="2829" max="3072" width="9.140625" style="13"/>
    <col min="3073" max="3073" width="7.140625" style="13" customWidth="1"/>
    <col min="3074" max="3074" width="8.42578125" style="13" customWidth="1"/>
    <col min="3075" max="3075" width="8.85546875" style="13" customWidth="1"/>
    <col min="3076" max="3076" width="11.28515625" style="13" customWidth="1"/>
    <col min="3077" max="3077" width="10.140625" style="13" customWidth="1"/>
    <col min="3078" max="3078" width="11" style="13" customWidth="1"/>
    <col min="3079" max="3079" width="12.7109375" style="13" customWidth="1"/>
    <col min="3080" max="3080" width="6.42578125" style="13" customWidth="1"/>
    <col min="3081" max="3081" width="13.42578125" style="13" customWidth="1"/>
    <col min="3082" max="3082" width="14" style="13" customWidth="1"/>
    <col min="3083" max="3083" width="14.5703125" style="13" customWidth="1"/>
    <col min="3084" max="3084" width="10" style="13" bestFit="1" customWidth="1"/>
    <col min="3085" max="3328" width="9.140625" style="13"/>
    <col min="3329" max="3329" width="7.140625" style="13" customWidth="1"/>
    <col min="3330" max="3330" width="8.42578125" style="13" customWidth="1"/>
    <col min="3331" max="3331" width="8.85546875" style="13" customWidth="1"/>
    <col min="3332" max="3332" width="11.28515625" style="13" customWidth="1"/>
    <col min="3333" max="3333" width="10.140625" style="13" customWidth="1"/>
    <col min="3334" max="3334" width="11" style="13" customWidth="1"/>
    <col min="3335" max="3335" width="12.7109375" style="13" customWidth="1"/>
    <col min="3336" max="3336" width="6.42578125" style="13" customWidth="1"/>
    <col min="3337" max="3337" width="13.42578125" style="13" customWidth="1"/>
    <col min="3338" max="3338" width="14" style="13" customWidth="1"/>
    <col min="3339" max="3339" width="14.5703125" style="13" customWidth="1"/>
    <col min="3340" max="3340" width="10" style="13" bestFit="1" customWidth="1"/>
    <col min="3341" max="3584" width="9.140625" style="13"/>
    <col min="3585" max="3585" width="7.140625" style="13" customWidth="1"/>
    <col min="3586" max="3586" width="8.42578125" style="13" customWidth="1"/>
    <col min="3587" max="3587" width="8.85546875" style="13" customWidth="1"/>
    <col min="3588" max="3588" width="11.28515625" style="13" customWidth="1"/>
    <col min="3589" max="3589" width="10.140625" style="13" customWidth="1"/>
    <col min="3590" max="3590" width="11" style="13" customWidth="1"/>
    <col min="3591" max="3591" width="12.7109375" style="13" customWidth="1"/>
    <col min="3592" max="3592" width="6.42578125" style="13" customWidth="1"/>
    <col min="3593" max="3593" width="13.42578125" style="13" customWidth="1"/>
    <col min="3594" max="3594" width="14" style="13" customWidth="1"/>
    <col min="3595" max="3595" width="14.5703125" style="13" customWidth="1"/>
    <col min="3596" max="3596" width="10" style="13" bestFit="1" customWidth="1"/>
    <col min="3597" max="3840" width="9.140625" style="13"/>
    <col min="3841" max="3841" width="7.140625" style="13" customWidth="1"/>
    <col min="3842" max="3842" width="8.42578125" style="13" customWidth="1"/>
    <col min="3843" max="3843" width="8.85546875" style="13" customWidth="1"/>
    <col min="3844" max="3844" width="11.28515625" style="13" customWidth="1"/>
    <col min="3845" max="3845" width="10.140625" style="13" customWidth="1"/>
    <col min="3846" max="3846" width="11" style="13" customWidth="1"/>
    <col min="3847" max="3847" width="12.7109375" style="13" customWidth="1"/>
    <col min="3848" max="3848" width="6.42578125" style="13" customWidth="1"/>
    <col min="3849" max="3849" width="13.42578125" style="13" customWidth="1"/>
    <col min="3850" max="3850" width="14" style="13" customWidth="1"/>
    <col min="3851" max="3851" width="14.5703125" style="13" customWidth="1"/>
    <col min="3852" max="3852" width="10" style="13" bestFit="1" customWidth="1"/>
    <col min="3853" max="4096" width="9.140625" style="13"/>
    <col min="4097" max="4097" width="7.140625" style="13" customWidth="1"/>
    <col min="4098" max="4098" width="8.42578125" style="13" customWidth="1"/>
    <col min="4099" max="4099" width="8.85546875" style="13" customWidth="1"/>
    <col min="4100" max="4100" width="11.28515625" style="13" customWidth="1"/>
    <col min="4101" max="4101" width="10.140625" style="13" customWidth="1"/>
    <col min="4102" max="4102" width="11" style="13" customWidth="1"/>
    <col min="4103" max="4103" width="12.7109375" style="13" customWidth="1"/>
    <col min="4104" max="4104" width="6.42578125" style="13" customWidth="1"/>
    <col min="4105" max="4105" width="13.42578125" style="13" customWidth="1"/>
    <col min="4106" max="4106" width="14" style="13" customWidth="1"/>
    <col min="4107" max="4107" width="14.5703125" style="13" customWidth="1"/>
    <col min="4108" max="4108" width="10" style="13" bestFit="1" customWidth="1"/>
    <col min="4109" max="4352" width="9.140625" style="13"/>
    <col min="4353" max="4353" width="7.140625" style="13" customWidth="1"/>
    <col min="4354" max="4354" width="8.42578125" style="13" customWidth="1"/>
    <col min="4355" max="4355" width="8.85546875" style="13" customWidth="1"/>
    <col min="4356" max="4356" width="11.28515625" style="13" customWidth="1"/>
    <col min="4357" max="4357" width="10.140625" style="13" customWidth="1"/>
    <col min="4358" max="4358" width="11" style="13" customWidth="1"/>
    <col min="4359" max="4359" width="12.7109375" style="13" customWidth="1"/>
    <col min="4360" max="4360" width="6.42578125" style="13" customWidth="1"/>
    <col min="4361" max="4361" width="13.42578125" style="13" customWidth="1"/>
    <col min="4362" max="4362" width="14" style="13" customWidth="1"/>
    <col min="4363" max="4363" width="14.5703125" style="13" customWidth="1"/>
    <col min="4364" max="4364" width="10" style="13" bestFit="1" customWidth="1"/>
    <col min="4365" max="4608" width="9.140625" style="13"/>
    <col min="4609" max="4609" width="7.140625" style="13" customWidth="1"/>
    <col min="4610" max="4610" width="8.42578125" style="13" customWidth="1"/>
    <col min="4611" max="4611" width="8.85546875" style="13" customWidth="1"/>
    <col min="4612" max="4612" width="11.28515625" style="13" customWidth="1"/>
    <col min="4613" max="4613" width="10.140625" style="13" customWidth="1"/>
    <col min="4614" max="4614" width="11" style="13" customWidth="1"/>
    <col min="4615" max="4615" width="12.7109375" style="13" customWidth="1"/>
    <col min="4616" max="4616" width="6.42578125" style="13" customWidth="1"/>
    <col min="4617" max="4617" width="13.42578125" style="13" customWidth="1"/>
    <col min="4618" max="4618" width="14" style="13" customWidth="1"/>
    <col min="4619" max="4619" width="14.5703125" style="13" customWidth="1"/>
    <col min="4620" max="4620" width="10" style="13" bestFit="1" customWidth="1"/>
    <col min="4621" max="4864" width="9.140625" style="13"/>
    <col min="4865" max="4865" width="7.140625" style="13" customWidth="1"/>
    <col min="4866" max="4866" width="8.42578125" style="13" customWidth="1"/>
    <col min="4867" max="4867" width="8.85546875" style="13" customWidth="1"/>
    <col min="4868" max="4868" width="11.28515625" style="13" customWidth="1"/>
    <col min="4869" max="4869" width="10.140625" style="13" customWidth="1"/>
    <col min="4870" max="4870" width="11" style="13" customWidth="1"/>
    <col min="4871" max="4871" width="12.7109375" style="13" customWidth="1"/>
    <col min="4872" max="4872" width="6.42578125" style="13" customWidth="1"/>
    <col min="4873" max="4873" width="13.42578125" style="13" customWidth="1"/>
    <col min="4874" max="4874" width="14" style="13" customWidth="1"/>
    <col min="4875" max="4875" width="14.5703125" style="13" customWidth="1"/>
    <col min="4876" max="4876" width="10" style="13" bestFit="1" customWidth="1"/>
    <col min="4877" max="5120" width="9.140625" style="13"/>
    <col min="5121" max="5121" width="7.140625" style="13" customWidth="1"/>
    <col min="5122" max="5122" width="8.42578125" style="13" customWidth="1"/>
    <col min="5123" max="5123" width="8.85546875" style="13" customWidth="1"/>
    <col min="5124" max="5124" width="11.28515625" style="13" customWidth="1"/>
    <col min="5125" max="5125" width="10.140625" style="13" customWidth="1"/>
    <col min="5126" max="5126" width="11" style="13" customWidth="1"/>
    <col min="5127" max="5127" width="12.7109375" style="13" customWidth="1"/>
    <col min="5128" max="5128" width="6.42578125" style="13" customWidth="1"/>
    <col min="5129" max="5129" width="13.42578125" style="13" customWidth="1"/>
    <col min="5130" max="5130" width="14" style="13" customWidth="1"/>
    <col min="5131" max="5131" width="14.5703125" style="13" customWidth="1"/>
    <col min="5132" max="5132" width="10" style="13" bestFit="1" customWidth="1"/>
    <col min="5133" max="5376" width="9.140625" style="13"/>
    <col min="5377" max="5377" width="7.140625" style="13" customWidth="1"/>
    <col min="5378" max="5378" width="8.42578125" style="13" customWidth="1"/>
    <col min="5379" max="5379" width="8.85546875" style="13" customWidth="1"/>
    <col min="5380" max="5380" width="11.28515625" style="13" customWidth="1"/>
    <col min="5381" max="5381" width="10.140625" style="13" customWidth="1"/>
    <col min="5382" max="5382" width="11" style="13" customWidth="1"/>
    <col min="5383" max="5383" width="12.7109375" style="13" customWidth="1"/>
    <col min="5384" max="5384" width="6.42578125" style="13" customWidth="1"/>
    <col min="5385" max="5385" width="13.42578125" style="13" customWidth="1"/>
    <col min="5386" max="5386" width="14" style="13" customWidth="1"/>
    <col min="5387" max="5387" width="14.5703125" style="13" customWidth="1"/>
    <col min="5388" max="5388" width="10" style="13" bestFit="1" customWidth="1"/>
    <col min="5389" max="5632" width="9.140625" style="13"/>
    <col min="5633" max="5633" width="7.140625" style="13" customWidth="1"/>
    <col min="5634" max="5634" width="8.42578125" style="13" customWidth="1"/>
    <col min="5635" max="5635" width="8.85546875" style="13" customWidth="1"/>
    <col min="5636" max="5636" width="11.28515625" style="13" customWidth="1"/>
    <col min="5637" max="5637" width="10.140625" style="13" customWidth="1"/>
    <col min="5638" max="5638" width="11" style="13" customWidth="1"/>
    <col min="5639" max="5639" width="12.7109375" style="13" customWidth="1"/>
    <col min="5640" max="5640" width="6.42578125" style="13" customWidth="1"/>
    <col min="5641" max="5641" width="13.42578125" style="13" customWidth="1"/>
    <col min="5642" max="5642" width="14" style="13" customWidth="1"/>
    <col min="5643" max="5643" width="14.5703125" style="13" customWidth="1"/>
    <col min="5644" max="5644" width="10" style="13" bestFit="1" customWidth="1"/>
    <col min="5645" max="5888" width="9.140625" style="13"/>
    <col min="5889" max="5889" width="7.140625" style="13" customWidth="1"/>
    <col min="5890" max="5890" width="8.42578125" style="13" customWidth="1"/>
    <col min="5891" max="5891" width="8.85546875" style="13" customWidth="1"/>
    <col min="5892" max="5892" width="11.28515625" style="13" customWidth="1"/>
    <col min="5893" max="5893" width="10.140625" style="13" customWidth="1"/>
    <col min="5894" max="5894" width="11" style="13" customWidth="1"/>
    <col min="5895" max="5895" width="12.7109375" style="13" customWidth="1"/>
    <col min="5896" max="5896" width="6.42578125" style="13" customWidth="1"/>
    <col min="5897" max="5897" width="13.42578125" style="13" customWidth="1"/>
    <col min="5898" max="5898" width="14" style="13" customWidth="1"/>
    <col min="5899" max="5899" width="14.5703125" style="13" customWidth="1"/>
    <col min="5900" max="5900" width="10" style="13" bestFit="1" customWidth="1"/>
    <col min="5901" max="6144" width="9.140625" style="13"/>
    <col min="6145" max="6145" width="7.140625" style="13" customWidth="1"/>
    <col min="6146" max="6146" width="8.42578125" style="13" customWidth="1"/>
    <col min="6147" max="6147" width="8.85546875" style="13" customWidth="1"/>
    <col min="6148" max="6148" width="11.28515625" style="13" customWidth="1"/>
    <col min="6149" max="6149" width="10.140625" style="13" customWidth="1"/>
    <col min="6150" max="6150" width="11" style="13" customWidth="1"/>
    <col min="6151" max="6151" width="12.7109375" style="13" customWidth="1"/>
    <col min="6152" max="6152" width="6.42578125" style="13" customWidth="1"/>
    <col min="6153" max="6153" width="13.42578125" style="13" customWidth="1"/>
    <col min="6154" max="6154" width="14" style="13" customWidth="1"/>
    <col min="6155" max="6155" width="14.5703125" style="13" customWidth="1"/>
    <col min="6156" max="6156" width="10" style="13" bestFit="1" customWidth="1"/>
    <col min="6157" max="6400" width="9.140625" style="13"/>
    <col min="6401" max="6401" width="7.140625" style="13" customWidth="1"/>
    <col min="6402" max="6402" width="8.42578125" style="13" customWidth="1"/>
    <col min="6403" max="6403" width="8.85546875" style="13" customWidth="1"/>
    <col min="6404" max="6404" width="11.28515625" style="13" customWidth="1"/>
    <col min="6405" max="6405" width="10.140625" style="13" customWidth="1"/>
    <col min="6406" max="6406" width="11" style="13" customWidth="1"/>
    <col min="6407" max="6407" width="12.7109375" style="13" customWidth="1"/>
    <col min="6408" max="6408" width="6.42578125" style="13" customWidth="1"/>
    <col min="6409" max="6409" width="13.42578125" style="13" customWidth="1"/>
    <col min="6410" max="6410" width="14" style="13" customWidth="1"/>
    <col min="6411" max="6411" width="14.5703125" style="13" customWidth="1"/>
    <col min="6412" max="6412" width="10" style="13" bestFit="1" customWidth="1"/>
    <col min="6413" max="6656" width="9.140625" style="13"/>
    <col min="6657" max="6657" width="7.140625" style="13" customWidth="1"/>
    <col min="6658" max="6658" width="8.42578125" style="13" customWidth="1"/>
    <col min="6659" max="6659" width="8.85546875" style="13" customWidth="1"/>
    <col min="6660" max="6660" width="11.28515625" style="13" customWidth="1"/>
    <col min="6661" max="6661" width="10.140625" style="13" customWidth="1"/>
    <col min="6662" max="6662" width="11" style="13" customWidth="1"/>
    <col min="6663" max="6663" width="12.7109375" style="13" customWidth="1"/>
    <col min="6664" max="6664" width="6.42578125" style="13" customWidth="1"/>
    <col min="6665" max="6665" width="13.42578125" style="13" customWidth="1"/>
    <col min="6666" max="6666" width="14" style="13" customWidth="1"/>
    <col min="6667" max="6667" width="14.5703125" style="13" customWidth="1"/>
    <col min="6668" max="6668" width="10" style="13" bestFit="1" customWidth="1"/>
    <col min="6669" max="6912" width="9.140625" style="13"/>
    <col min="6913" max="6913" width="7.140625" style="13" customWidth="1"/>
    <col min="6914" max="6914" width="8.42578125" style="13" customWidth="1"/>
    <col min="6915" max="6915" width="8.85546875" style="13" customWidth="1"/>
    <col min="6916" max="6916" width="11.28515625" style="13" customWidth="1"/>
    <col min="6917" max="6917" width="10.140625" style="13" customWidth="1"/>
    <col min="6918" max="6918" width="11" style="13" customWidth="1"/>
    <col min="6919" max="6919" width="12.7109375" style="13" customWidth="1"/>
    <col min="6920" max="6920" width="6.42578125" style="13" customWidth="1"/>
    <col min="6921" max="6921" width="13.42578125" style="13" customWidth="1"/>
    <col min="6922" max="6922" width="14" style="13" customWidth="1"/>
    <col min="6923" max="6923" width="14.5703125" style="13" customWidth="1"/>
    <col min="6924" max="6924" width="10" style="13" bestFit="1" customWidth="1"/>
    <col min="6925" max="7168" width="9.140625" style="13"/>
    <col min="7169" max="7169" width="7.140625" style="13" customWidth="1"/>
    <col min="7170" max="7170" width="8.42578125" style="13" customWidth="1"/>
    <col min="7171" max="7171" width="8.85546875" style="13" customWidth="1"/>
    <col min="7172" max="7172" width="11.28515625" style="13" customWidth="1"/>
    <col min="7173" max="7173" width="10.140625" style="13" customWidth="1"/>
    <col min="7174" max="7174" width="11" style="13" customWidth="1"/>
    <col min="7175" max="7175" width="12.7109375" style="13" customWidth="1"/>
    <col min="7176" max="7176" width="6.42578125" style="13" customWidth="1"/>
    <col min="7177" max="7177" width="13.42578125" style="13" customWidth="1"/>
    <col min="7178" max="7178" width="14" style="13" customWidth="1"/>
    <col min="7179" max="7179" width="14.5703125" style="13" customWidth="1"/>
    <col min="7180" max="7180" width="10" style="13" bestFit="1" customWidth="1"/>
    <col min="7181" max="7424" width="9.140625" style="13"/>
    <col min="7425" max="7425" width="7.140625" style="13" customWidth="1"/>
    <col min="7426" max="7426" width="8.42578125" style="13" customWidth="1"/>
    <col min="7427" max="7427" width="8.85546875" style="13" customWidth="1"/>
    <col min="7428" max="7428" width="11.28515625" style="13" customWidth="1"/>
    <col min="7429" max="7429" width="10.140625" style="13" customWidth="1"/>
    <col min="7430" max="7430" width="11" style="13" customWidth="1"/>
    <col min="7431" max="7431" width="12.7109375" style="13" customWidth="1"/>
    <col min="7432" max="7432" width="6.42578125" style="13" customWidth="1"/>
    <col min="7433" max="7433" width="13.42578125" style="13" customWidth="1"/>
    <col min="7434" max="7434" width="14" style="13" customWidth="1"/>
    <col min="7435" max="7435" width="14.5703125" style="13" customWidth="1"/>
    <col min="7436" max="7436" width="10" style="13" bestFit="1" customWidth="1"/>
    <col min="7437" max="7680" width="9.140625" style="13"/>
    <col min="7681" max="7681" width="7.140625" style="13" customWidth="1"/>
    <col min="7682" max="7682" width="8.42578125" style="13" customWidth="1"/>
    <col min="7683" max="7683" width="8.85546875" style="13" customWidth="1"/>
    <col min="7684" max="7684" width="11.28515625" style="13" customWidth="1"/>
    <col min="7685" max="7685" width="10.140625" style="13" customWidth="1"/>
    <col min="7686" max="7686" width="11" style="13" customWidth="1"/>
    <col min="7687" max="7687" width="12.7109375" style="13" customWidth="1"/>
    <col min="7688" max="7688" width="6.42578125" style="13" customWidth="1"/>
    <col min="7689" max="7689" width="13.42578125" style="13" customWidth="1"/>
    <col min="7690" max="7690" width="14" style="13" customWidth="1"/>
    <col min="7691" max="7691" width="14.5703125" style="13" customWidth="1"/>
    <col min="7692" max="7692" width="10" style="13" bestFit="1" customWidth="1"/>
    <col min="7693" max="7936" width="9.140625" style="13"/>
    <col min="7937" max="7937" width="7.140625" style="13" customWidth="1"/>
    <col min="7938" max="7938" width="8.42578125" style="13" customWidth="1"/>
    <col min="7939" max="7939" width="8.85546875" style="13" customWidth="1"/>
    <col min="7940" max="7940" width="11.28515625" style="13" customWidth="1"/>
    <col min="7941" max="7941" width="10.140625" style="13" customWidth="1"/>
    <col min="7942" max="7942" width="11" style="13" customWidth="1"/>
    <col min="7943" max="7943" width="12.7109375" style="13" customWidth="1"/>
    <col min="7944" max="7944" width="6.42578125" style="13" customWidth="1"/>
    <col min="7945" max="7945" width="13.42578125" style="13" customWidth="1"/>
    <col min="7946" max="7946" width="14" style="13" customWidth="1"/>
    <col min="7947" max="7947" width="14.5703125" style="13" customWidth="1"/>
    <col min="7948" max="7948" width="10" style="13" bestFit="1" customWidth="1"/>
    <col min="7949" max="8192" width="9.140625" style="13"/>
    <col min="8193" max="8193" width="7.140625" style="13" customWidth="1"/>
    <col min="8194" max="8194" width="8.42578125" style="13" customWidth="1"/>
    <col min="8195" max="8195" width="8.85546875" style="13" customWidth="1"/>
    <col min="8196" max="8196" width="11.28515625" style="13" customWidth="1"/>
    <col min="8197" max="8197" width="10.140625" style="13" customWidth="1"/>
    <col min="8198" max="8198" width="11" style="13" customWidth="1"/>
    <col min="8199" max="8199" width="12.7109375" style="13" customWidth="1"/>
    <col min="8200" max="8200" width="6.42578125" style="13" customWidth="1"/>
    <col min="8201" max="8201" width="13.42578125" style="13" customWidth="1"/>
    <col min="8202" max="8202" width="14" style="13" customWidth="1"/>
    <col min="8203" max="8203" width="14.5703125" style="13" customWidth="1"/>
    <col min="8204" max="8204" width="10" style="13" bestFit="1" customWidth="1"/>
    <col min="8205" max="8448" width="9.140625" style="13"/>
    <col min="8449" max="8449" width="7.140625" style="13" customWidth="1"/>
    <col min="8450" max="8450" width="8.42578125" style="13" customWidth="1"/>
    <col min="8451" max="8451" width="8.85546875" style="13" customWidth="1"/>
    <col min="8452" max="8452" width="11.28515625" style="13" customWidth="1"/>
    <col min="8453" max="8453" width="10.140625" style="13" customWidth="1"/>
    <col min="8454" max="8454" width="11" style="13" customWidth="1"/>
    <col min="8455" max="8455" width="12.7109375" style="13" customWidth="1"/>
    <col min="8456" max="8456" width="6.42578125" style="13" customWidth="1"/>
    <col min="8457" max="8457" width="13.42578125" style="13" customWidth="1"/>
    <col min="8458" max="8458" width="14" style="13" customWidth="1"/>
    <col min="8459" max="8459" width="14.5703125" style="13" customWidth="1"/>
    <col min="8460" max="8460" width="10" style="13" bestFit="1" customWidth="1"/>
    <col min="8461" max="8704" width="9.140625" style="13"/>
    <col min="8705" max="8705" width="7.140625" style="13" customWidth="1"/>
    <col min="8706" max="8706" width="8.42578125" style="13" customWidth="1"/>
    <col min="8707" max="8707" width="8.85546875" style="13" customWidth="1"/>
    <col min="8708" max="8708" width="11.28515625" style="13" customWidth="1"/>
    <col min="8709" max="8709" width="10.140625" style="13" customWidth="1"/>
    <col min="8710" max="8710" width="11" style="13" customWidth="1"/>
    <col min="8711" max="8711" width="12.7109375" style="13" customWidth="1"/>
    <col min="8712" max="8712" width="6.42578125" style="13" customWidth="1"/>
    <col min="8713" max="8713" width="13.42578125" style="13" customWidth="1"/>
    <col min="8714" max="8714" width="14" style="13" customWidth="1"/>
    <col min="8715" max="8715" width="14.5703125" style="13" customWidth="1"/>
    <col min="8716" max="8716" width="10" style="13" bestFit="1" customWidth="1"/>
    <col min="8717" max="8960" width="9.140625" style="13"/>
    <col min="8961" max="8961" width="7.140625" style="13" customWidth="1"/>
    <col min="8962" max="8962" width="8.42578125" style="13" customWidth="1"/>
    <col min="8963" max="8963" width="8.85546875" style="13" customWidth="1"/>
    <col min="8964" max="8964" width="11.28515625" style="13" customWidth="1"/>
    <col min="8965" max="8965" width="10.140625" style="13" customWidth="1"/>
    <col min="8966" max="8966" width="11" style="13" customWidth="1"/>
    <col min="8967" max="8967" width="12.7109375" style="13" customWidth="1"/>
    <col min="8968" max="8968" width="6.42578125" style="13" customWidth="1"/>
    <col min="8969" max="8969" width="13.42578125" style="13" customWidth="1"/>
    <col min="8970" max="8970" width="14" style="13" customWidth="1"/>
    <col min="8971" max="8971" width="14.5703125" style="13" customWidth="1"/>
    <col min="8972" max="8972" width="10" style="13" bestFit="1" customWidth="1"/>
    <col min="8973" max="9216" width="9.140625" style="13"/>
    <col min="9217" max="9217" width="7.140625" style="13" customWidth="1"/>
    <col min="9218" max="9218" width="8.42578125" style="13" customWidth="1"/>
    <col min="9219" max="9219" width="8.85546875" style="13" customWidth="1"/>
    <col min="9220" max="9220" width="11.28515625" style="13" customWidth="1"/>
    <col min="9221" max="9221" width="10.140625" style="13" customWidth="1"/>
    <col min="9222" max="9222" width="11" style="13" customWidth="1"/>
    <col min="9223" max="9223" width="12.7109375" style="13" customWidth="1"/>
    <col min="9224" max="9224" width="6.42578125" style="13" customWidth="1"/>
    <col min="9225" max="9225" width="13.42578125" style="13" customWidth="1"/>
    <col min="9226" max="9226" width="14" style="13" customWidth="1"/>
    <col min="9227" max="9227" width="14.5703125" style="13" customWidth="1"/>
    <col min="9228" max="9228" width="10" style="13" bestFit="1" customWidth="1"/>
    <col min="9229" max="9472" width="9.140625" style="13"/>
    <col min="9473" max="9473" width="7.140625" style="13" customWidth="1"/>
    <col min="9474" max="9474" width="8.42578125" style="13" customWidth="1"/>
    <col min="9475" max="9475" width="8.85546875" style="13" customWidth="1"/>
    <col min="9476" max="9476" width="11.28515625" style="13" customWidth="1"/>
    <col min="9477" max="9477" width="10.140625" style="13" customWidth="1"/>
    <col min="9478" max="9478" width="11" style="13" customWidth="1"/>
    <col min="9479" max="9479" width="12.7109375" style="13" customWidth="1"/>
    <col min="9480" max="9480" width="6.42578125" style="13" customWidth="1"/>
    <col min="9481" max="9481" width="13.42578125" style="13" customWidth="1"/>
    <col min="9482" max="9482" width="14" style="13" customWidth="1"/>
    <col min="9483" max="9483" width="14.5703125" style="13" customWidth="1"/>
    <col min="9484" max="9484" width="10" style="13" bestFit="1" customWidth="1"/>
    <col min="9485" max="9728" width="9.140625" style="13"/>
    <col min="9729" max="9729" width="7.140625" style="13" customWidth="1"/>
    <col min="9730" max="9730" width="8.42578125" style="13" customWidth="1"/>
    <col min="9731" max="9731" width="8.85546875" style="13" customWidth="1"/>
    <col min="9732" max="9732" width="11.28515625" style="13" customWidth="1"/>
    <col min="9733" max="9733" width="10.140625" style="13" customWidth="1"/>
    <col min="9734" max="9734" width="11" style="13" customWidth="1"/>
    <col min="9735" max="9735" width="12.7109375" style="13" customWidth="1"/>
    <col min="9736" max="9736" width="6.42578125" style="13" customWidth="1"/>
    <col min="9737" max="9737" width="13.42578125" style="13" customWidth="1"/>
    <col min="9738" max="9738" width="14" style="13" customWidth="1"/>
    <col min="9739" max="9739" width="14.5703125" style="13" customWidth="1"/>
    <col min="9740" max="9740" width="10" style="13" bestFit="1" customWidth="1"/>
    <col min="9741" max="9984" width="9.140625" style="13"/>
    <col min="9985" max="9985" width="7.140625" style="13" customWidth="1"/>
    <col min="9986" max="9986" width="8.42578125" style="13" customWidth="1"/>
    <col min="9987" max="9987" width="8.85546875" style="13" customWidth="1"/>
    <col min="9988" max="9988" width="11.28515625" style="13" customWidth="1"/>
    <col min="9989" max="9989" width="10.140625" style="13" customWidth="1"/>
    <col min="9990" max="9990" width="11" style="13" customWidth="1"/>
    <col min="9991" max="9991" width="12.7109375" style="13" customWidth="1"/>
    <col min="9992" max="9992" width="6.42578125" style="13" customWidth="1"/>
    <col min="9993" max="9993" width="13.42578125" style="13" customWidth="1"/>
    <col min="9994" max="9994" width="14" style="13" customWidth="1"/>
    <col min="9995" max="9995" width="14.5703125" style="13" customWidth="1"/>
    <col min="9996" max="9996" width="10" style="13" bestFit="1" customWidth="1"/>
    <col min="9997" max="10240" width="9.140625" style="13"/>
    <col min="10241" max="10241" width="7.140625" style="13" customWidth="1"/>
    <col min="10242" max="10242" width="8.42578125" style="13" customWidth="1"/>
    <col min="10243" max="10243" width="8.85546875" style="13" customWidth="1"/>
    <col min="10244" max="10244" width="11.28515625" style="13" customWidth="1"/>
    <col min="10245" max="10245" width="10.140625" style="13" customWidth="1"/>
    <col min="10246" max="10246" width="11" style="13" customWidth="1"/>
    <col min="10247" max="10247" width="12.7109375" style="13" customWidth="1"/>
    <col min="10248" max="10248" width="6.42578125" style="13" customWidth="1"/>
    <col min="10249" max="10249" width="13.42578125" style="13" customWidth="1"/>
    <col min="10250" max="10250" width="14" style="13" customWidth="1"/>
    <col min="10251" max="10251" width="14.5703125" style="13" customWidth="1"/>
    <col min="10252" max="10252" width="10" style="13" bestFit="1" customWidth="1"/>
    <col min="10253" max="10496" width="9.140625" style="13"/>
    <col min="10497" max="10497" width="7.140625" style="13" customWidth="1"/>
    <col min="10498" max="10498" width="8.42578125" style="13" customWidth="1"/>
    <col min="10499" max="10499" width="8.85546875" style="13" customWidth="1"/>
    <col min="10500" max="10500" width="11.28515625" style="13" customWidth="1"/>
    <col min="10501" max="10501" width="10.140625" style="13" customWidth="1"/>
    <col min="10502" max="10502" width="11" style="13" customWidth="1"/>
    <col min="10503" max="10503" width="12.7109375" style="13" customWidth="1"/>
    <col min="10504" max="10504" width="6.42578125" style="13" customWidth="1"/>
    <col min="10505" max="10505" width="13.42578125" style="13" customWidth="1"/>
    <col min="10506" max="10506" width="14" style="13" customWidth="1"/>
    <col min="10507" max="10507" width="14.5703125" style="13" customWidth="1"/>
    <col min="10508" max="10508" width="10" style="13" bestFit="1" customWidth="1"/>
    <col min="10509" max="10752" width="9.140625" style="13"/>
    <col min="10753" max="10753" width="7.140625" style="13" customWidth="1"/>
    <col min="10754" max="10754" width="8.42578125" style="13" customWidth="1"/>
    <col min="10755" max="10755" width="8.85546875" style="13" customWidth="1"/>
    <col min="10756" max="10756" width="11.28515625" style="13" customWidth="1"/>
    <col min="10757" max="10757" width="10.140625" style="13" customWidth="1"/>
    <col min="10758" max="10758" width="11" style="13" customWidth="1"/>
    <col min="10759" max="10759" width="12.7109375" style="13" customWidth="1"/>
    <col min="10760" max="10760" width="6.42578125" style="13" customWidth="1"/>
    <col min="10761" max="10761" width="13.42578125" style="13" customWidth="1"/>
    <col min="10762" max="10762" width="14" style="13" customWidth="1"/>
    <col min="10763" max="10763" width="14.5703125" style="13" customWidth="1"/>
    <col min="10764" max="10764" width="10" style="13" bestFit="1" customWidth="1"/>
    <col min="10765" max="11008" width="9.140625" style="13"/>
    <col min="11009" max="11009" width="7.140625" style="13" customWidth="1"/>
    <col min="11010" max="11010" width="8.42578125" style="13" customWidth="1"/>
    <col min="11011" max="11011" width="8.85546875" style="13" customWidth="1"/>
    <col min="11012" max="11012" width="11.28515625" style="13" customWidth="1"/>
    <col min="11013" max="11013" width="10.140625" style="13" customWidth="1"/>
    <col min="11014" max="11014" width="11" style="13" customWidth="1"/>
    <col min="11015" max="11015" width="12.7109375" style="13" customWidth="1"/>
    <col min="11016" max="11016" width="6.42578125" style="13" customWidth="1"/>
    <col min="11017" max="11017" width="13.42578125" style="13" customWidth="1"/>
    <col min="11018" max="11018" width="14" style="13" customWidth="1"/>
    <col min="11019" max="11019" width="14.5703125" style="13" customWidth="1"/>
    <col min="11020" max="11020" width="10" style="13" bestFit="1" customWidth="1"/>
    <col min="11021" max="11264" width="9.140625" style="13"/>
    <col min="11265" max="11265" width="7.140625" style="13" customWidth="1"/>
    <col min="11266" max="11266" width="8.42578125" style="13" customWidth="1"/>
    <col min="11267" max="11267" width="8.85546875" style="13" customWidth="1"/>
    <col min="11268" max="11268" width="11.28515625" style="13" customWidth="1"/>
    <col min="11269" max="11269" width="10.140625" style="13" customWidth="1"/>
    <col min="11270" max="11270" width="11" style="13" customWidth="1"/>
    <col min="11271" max="11271" width="12.7109375" style="13" customWidth="1"/>
    <col min="11272" max="11272" width="6.42578125" style="13" customWidth="1"/>
    <col min="11273" max="11273" width="13.42578125" style="13" customWidth="1"/>
    <col min="11274" max="11274" width="14" style="13" customWidth="1"/>
    <col min="11275" max="11275" width="14.5703125" style="13" customWidth="1"/>
    <col min="11276" max="11276" width="10" style="13" bestFit="1" customWidth="1"/>
    <col min="11277" max="11520" width="9.140625" style="13"/>
    <col min="11521" max="11521" width="7.140625" style="13" customWidth="1"/>
    <col min="11522" max="11522" width="8.42578125" style="13" customWidth="1"/>
    <col min="11523" max="11523" width="8.85546875" style="13" customWidth="1"/>
    <col min="11524" max="11524" width="11.28515625" style="13" customWidth="1"/>
    <col min="11525" max="11525" width="10.140625" style="13" customWidth="1"/>
    <col min="11526" max="11526" width="11" style="13" customWidth="1"/>
    <col min="11527" max="11527" width="12.7109375" style="13" customWidth="1"/>
    <col min="11528" max="11528" width="6.42578125" style="13" customWidth="1"/>
    <col min="11529" max="11529" width="13.42578125" style="13" customWidth="1"/>
    <col min="11530" max="11530" width="14" style="13" customWidth="1"/>
    <col min="11531" max="11531" width="14.5703125" style="13" customWidth="1"/>
    <col min="11532" max="11532" width="10" style="13" bestFit="1" customWidth="1"/>
    <col min="11533" max="11776" width="9.140625" style="13"/>
    <col min="11777" max="11777" width="7.140625" style="13" customWidth="1"/>
    <col min="11778" max="11778" width="8.42578125" style="13" customWidth="1"/>
    <col min="11779" max="11779" width="8.85546875" style="13" customWidth="1"/>
    <col min="11780" max="11780" width="11.28515625" style="13" customWidth="1"/>
    <col min="11781" max="11781" width="10.140625" style="13" customWidth="1"/>
    <col min="11782" max="11782" width="11" style="13" customWidth="1"/>
    <col min="11783" max="11783" width="12.7109375" style="13" customWidth="1"/>
    <col min="11784" max="11784" width="6.42578125" style="13" customWidth="1"/>
    <col min="11785" max="11785" width="13.42578125" style="13" customWidth="1"/>
    <col min="11786" max="11786" width="14" style="13" customWidth="1"/>
    <col min="11787" max="11787" width="14.5703125" style="13" customWidth="1"/>
    <col min="11788" max="11788" width="10" style="13" bestFit="1" customWidth="1"/>
    <col min="11789" max="12032" width="9.140625" style="13"/>
    <col min="12033" max="12033" width="7.140625" style="13" customWidth="1"/>
    <col min="12034" max="12034" width="8.42578125" style="13" customWidth="1"/>
    <col min="12035" max="12035" width="8.85546875" style="13" customWidth="1"/>
    <col min="12036" max="12036" width="11.28515625" style="13" customWidth="1"/>
    <col min="12037" max="12037" width="10.140625" style="13" customWidth="1"/>
    <col min="12038" max="12038" width="11" style="13" customWidth="1"/>
    <col min="12039" max="12039" width="12.7109375" style="13" customWidth="1"/>
    <col min="12040" max="12040" width="6.42578125" style="13" customWidth="1"/>
    <col min="12041" max="12041" width="13.42578125" style="13" customWidth="1"/>
    <col min="12042" max="12042" width="14" style="13" customWidth="1"/>
    <col min="12043" max="12043" width="14.5703125" style="13" customWidth="1"/>
    <col min="12044" max="12044" width="10" style="13" bestFit="1" customWidth="1"/>
    <col min="12045" max="12288" width="9.140625" style="13"/>
    <col min="12289" max="12289" width="7.140625" style="13" customWidth="1"/>
    <col min="12290" max="12290" width="8.42578125" style="13" customWidth="1"/>
    <col min="12291" max="12291" width="8.85546875" style="13" customWidth="1"/>
    <col min="12292" max="12292" width="11.28515625" style="13" customWidth="1"/>
    <col min="12293" max="12293" width="10.140625" style="13" customWidth="1"/>
    <col min="12294" max="12294" width="11" style="13" customWidth="1"/>
    <col min="12295" max="12295" width="12.7109375" style="13" customWidth="1"/>
    <col min="12296" max="12296" width="6.42578125" style="13" customWidth="1"/>
    <col min="12297" max="12297" width="13.42578125" style="13" customWidth="1"/>
    <col min="12298" max="12298" width="14" style="13" customWidth="1"/>
    <col min="12299" max="12299" width="14.5703125" style="13" customWidth="1"/>
    <col min="12300" max="12300" width="10" style="13" bestFit="1" customWidth="1"/>
    <col min="12301" max="12544" width="9.140625" style="13"/>
    <col min="12545" max="12545" width="7.140625" style="13" customWidth="1"/>
    <col min="12546" max="12546" width="8.42578125" style="13" customWidth="1"/>
    <col min="12547" max="12547" width="8.85546875" style="13" customWidth="1"/>
    <col min="12548" max="12548" width="11.28515625" style="13" customWidth="1"/>
    <col min="12549" max="12549" width="10.140625" style="13" customWidth="1"/>
    <col min="12550" max="12550" width="11" style="13" customWidth="1"/>
    <col min="12551" max="12551" width="12.7109375" style="13" customWidth="1"/>
    <col min="12552" max="12552" width="6.42578125" style="13" customWidth="1"/>
    <col min="12553" max="12553" width="13.42578125" style="13" customWidth="1"/>
    <col min="12554" max="12554" width="14" style="13" customWidth="1"/>
    <col min="12555" max="12555" width="14.5703125" style="13" customWidth="1"/>
    <col min="12556" max="12556" width="10" style="13" bestFit="1" customWidth="1"/>
    <col min="12557" max="12800" width="9.140625" style="13"/>
    <col min="12801" max="12801" width="7.140625" style="13" customWidth="1"/>
    <col min="12802" max="12802" width="8.42578125" style="13" customWidth="1"/>
    <col min="12803" max="12803" width="8.85546875" style="13" customWidth="1"/>
    <col min="12804" max="12804" width="11.28515625" style="13" customWidth="1"/>
    <col min="12805" max="12805" width="10.140625" style="13" customWidth="1"/>
    <col min="12806" max="12806" width="11" style="13" customWidth="1"/>
    <col min="12807" max="12807" width="12.7109375" style="13" customWidth="1"/>
    <col min="12808" max="12808" width="6.42578125" style="13" customWidth="1"/>
    <col min="12809" max="12809" width="13.42578125" style="13" customWidth="1"/>
    <col min="12810" max="12810" width="14" style="13" customWidth="1"/>
    <col min="12811" max="12811" width="14.5703125" style="13" customWidth="1"/>
    <col min="12812" max="12812" width="10" style="13" bestFit="1" customWidth="1"/>
    <col min="12813" max="13056" width="9.140625" style="13"/>
    <col min="13057" max="13057" width="7.140625" style="13" customWidth="1"/>
    <col min="13058" max="13058" width="8.42578125" style="13" customWidth="1"/>
    <col min="13059" max="13059" width="8.85546875" style="13" customWidth="1"/>
    <col min="13060" max="13060" width="11.28515625" style="13" customWidth="1"/>
    <col min="13061" max="13061" width="10.140625" style="13" customWidth="1"/>
    <col min="13062" max="13062" width="11" style="13" customWidth="1"/>
    <col min="13063" max="13063" width="12.7109375" style="13" customWidth="1"/>
    <col min="13064" max="13064" width="6.42578125" style="13" customWidth="1"/>
    <col min="13065" max="13065" width="13.42578125" style="13" customWidth="1"/>
    <col min="13066" max="13066" width="14" style="13" customWidth="1"/>
    <col min="13067" max="13067" width="14.5703125" style="13" customWidth="1"/>
    <col min="13068" max="13068" width="10" style="13" bestFit="1" customWidth="1"/>
    <col min="13069" max="13312" width="9.140625" style="13"/>
    <col min="13313" max="13313" width="7.140625" style="13" customWidth="1"/>
    <col min="13314" max="13314" width="8.42578125" style="13" customWidth="1"/>
    <col min="13315" max="13315" width="8.85546875" style="13" customWidth="1"/>
    <col min="13316" max="13316" width="11.28515625" style="13" customWidth="1"/>
    <col min="13317" max="13317" width="10.140625" style="13" customWidth="1"/>
    <col min="13318" max="13318" width="11" style="13" customWidth="1"/>
    <col min="13319" max="13319" width="12.7109375" style="13" customWidth="1"/>
    <col min="13320" max="13320" width="6.42578125" style="13" customWidth="1"/>
    <col min="13321" max="13321" width="13.42578125" style="13" customWidth="1"/>
    <col min="13322" max="13322" width="14" style="13" customWidth="1"/>
    <col min="13323" max="13323" width="14.5703125" style="13" customWidth="1"/>
    <col min="13324" max="13324" width="10" style="13" bestFit="1" customWidth="1"/>
    <col min="13325" max="13568" width="9.140625" style="13"/>
    <col min="13569" max="13569" width="7.140625" style="13" customWidth="1"/>
    <col min="13570" max="13570" width="8.42578125" style="13" customWidth="1"/>
    <col min="13571" max="13571" width="8.85546875" style="13" customWidth="1"/>
    <col min="13572" max="13572" width="11.28515625" style="13" customWidth="1"/>
    <col min="13573" max="13573" width="10.140625" style="13" customWidth="1"/>
    <col min="13574" max="13574" width="11" style="13" customWidth="1"/>
    <col min="13575" max="13575" width="12.7109375" style="13" customWidth="1"/>
    <col min="13576" max="13576" width="6.42578125" style="13" customWidth="1"/>
    <col min="13577" max="13577" width="13.42578125" style="13" customWidth="1"/>
    <col min="13578" max="13578" width="14" style="13" customWidth="1"/>
    <col min="13579" max="13579" width="14.5703125" style="13" customWidth="1"/>
    <col min="13580" max="13580" width="10" style="13" bestFit="1" customWidth="1"/>
    <col min="13581" max="13824" width="9.140625" style="13"/>
    <col min="13825" max="13825" width="7.140625" style="13" customWidth="1"/>
    <col min="13826" max="13826" width="8.42578125" style="13" customWidth="1"/>
    <col min="13827" max="13827" width="8.85546875" style="13" customWidth="1"/>
    <col min="13828" max="13828" width="11.28515625" style="13" customWidth="1"/>
    <col min="13829" max="13829" width="10.140625" style="13" customWidth="1"/>
    <col min="13830" max="13830" width="11" style="13" customWidth="1"/>
    <col min="13831" max="13831" width="12.7109375" style="13" customWidth="1"/>
    <col min="13832" max="13832" width="6.42578125" style="13" customWidth="1"/>
    <col min="13833" max="13833" width="13.42578125" style="13" customWidth="1"/>
    <col min="13834" max="13834" width="14" style="13" customWidth="1"/>
    <col min="13835" max="13835" width="14.5703125" style="13" customWidth="1"/>
    <col min="13836" max="13836" width="10" style="13" bestFit="1" customWidth="1"/>
    <col min="13837" max="14080" width="9.140625" style="13"/>
    <col min="14081" max="14081" width="7.140625" style="13" customWidth="1"/>
    <col min="14082" max="14082" width="8.42578125" style="13" customWidth="1"/>
    <col min="14083" max="14083" width="8.85546875" style="13" customWidth="1"/>
    <col min="14084" max="14084" width="11.28515625" style="13" customWidth="1"/>
    <col min="14085" max="14085" width="10.140625" style="13" customWidth="1"/>
    <col min="14086" max="14086" width="11" style="13" customWidth="1"/>
    <col min="14087" max="14087" width="12.7109375" style="13" customWidth="1"/>
    <col min="14088" max="14088" width="6.42578125" style="13" customWidth="1"/>
    <col min="14089" max="14089" width="13.42578125" style="13" customWidth="1"/>
    <col min="14090" max="14090" width="14" style="13" customWidth="1"/>
    <col min="14091" max="14091" width="14.5703125" style="13" customWidth="1"/>
    <col min="14092" max="14092" width="10" style="13" bestFit="1" customWidth="1"/>
    <col min="14093" max="14336" width="9.140625" style="13"/>
    <col min="14337" max="14337" width="7.140625" style="13" customWidth="1"/>
    <col min="14338" max="14338" width="8.42578125" style="13" customWidth="1"/>
    <col min="14339" max="14339" width="8.85546875" style="13" customWidth="1"/>
    <col min="14340" max="14340" width="11.28515625" style="13" customWidth="1"/>
    <col min="14341" max="14341" width="10.140625" style="13" customWidth="1"/>
    <col min="14342" max="14342" width="11" style="13" customWidth="1"/>
    <col min="14343" max="14343" width="12.7109375" style="13" customWidth="1"/>
    <col min="14344" max="14344" width="6.42578125" style="13" customWidth="1"/>
    <col min="14345" max="14345" width="13.42578125" style="13" customWidth="1"/>
    <col min="14346" max="14346" width="14" style="13" customWidth="1"/>
    <col min="14347" max="14347" width="14.5703125" style="13" customWidth="1"/>
    <col min="14348" max="14348" width="10" style="13" bestFit="1" customWidth="1"/>
    <col min="14349" max="14592" width="9.140625" style="13"/>
    <col min="14593" max="14593" width="7.140625" style="13" customWidth="1"/>
    <col min="14594" max="14594" width="8.42578125" style="13" customWidth="1"/>
    <col min="14595" max="14595" width="8.85546875" style="13" customWidth="1"/>
    <col min="14596" max="14596" width="11.28515625" style="13" customWidth="1"/>
    <col min="14597" max="14597" width="10.140625" style="13" customWidth="1"/>
    <col min="14598" max="14598" width="11" style="13" customWidth="1"/>
    <col min="14599" max="14599" width="12.7109375" style="13" customWidth="1"/>
    <col min="14600" max="14600" width="6.42578125" style="13" customWidth="1"/>
    <col min="14601" max="14601" width="13.42578125" style="13" customWidth="1"/>
    <col min="14602" max="14602" width="14" style="13" customWidth="1"/>
    <col min="14603" max="14603" width="14.5703125" style="13" customWidth="1"/>
    <col min="14604" max="14604" width="10" style="13" bestFit="1" customWidth="1"/>
    <col min="14605" max="14848" width="9.140625" style="13"/>
    <col min="14849" max="14849" width="7.140625" style="13" customWidth="1"/>
    <col min="14850" max="14850" width="8.42578125" style="13" customWidth="1"/>
    <col min="14851" max="14851" width="8.85546875" style="13" customWidth="1"/>
    <col min="14852" max="14852" width="11.28515625" style="13" customWidth="1"/>
    <col min="14853" max="14853" width="10.140625" style="13" customWidth="1"/>
    <col min="14854" max="14854" width="11" style="13" customWidth="1"/>
    <col min="14855" max="14855" width="12.7109375" style="13" customWidth="1"/>
    <col min="14856" max="14856" width="6.42578125" style="13" customWidth="1"/>
    <col min="14857" max="14857" width="13.42578125" style="13" customWidth="1"/>
    <col min="14858" max="14858" width="14" style="13" customWidth="1"/>
    <col min="14859" max="14859" width="14.5703125" style="13" customWidth="1"/>
    <col min="14860" max="14860" width="10" style="13" bestFit="1" customWidth="1"/>
    <col min="14861" max="15104" width="9.140625" style="13"/>
    <col min="15105" max="15105" width="7.140625" style="13" customWidth="1"/>
    <col min="15106" max="15106" width="8.42578125" style="13" customWidth="1"/>
    <col min="15107" max="15107" width="8.85546875" style="13" customWidth="1"/>
    <col min="15108" max="15108" width="11.28515625" style="13" customWidth="1"/>
    <col min="15109" max="15109" width="10.140625" style="13" customWidth="1"/>
    <col min="15110" max="15110" width="11" style="13" customWidth="1"/>
    <col min="15111" max="15111" width="12.7109375" style="13" customWidth="1"/>
    <col min="15112" max="15112" width="6.42578125" style="13" customWidth="1"/>
    <col min="15113" max="15113" width="13.42578125" style="13" customWidth="1"/>
    <col min="15114" max="15114" width="14" style="13" customWidth="1"/>
    <col min="15115" max="15115" width="14.5703125" style="13" customWidth="1"/>
    <col min="15116" max="15116" width="10" style="13" bestFit="1" customWidth="1"/>
    <col min="15117" max="15360" width="9.140625" style="13"/>
    <col min="15361" max="15361" width="7.140625" style="13" customWidth="1"/>
    <col min="15362" max="15362" width="8.42578125" style="13" customWidth="1"/>
    <col min="15363" max="15363" width="8.85546875" style="13" customWidth="1"/>
    <col min="15364" max="15364" width="11.28515625" style="13" customWidth="1"/>
    <col min="15365" max="15365" width="10.140625" style="13" customWidth="1"/>
    <col min="15366" max="15366" width="11" style="13" customWidth="1"/>
    <col min="15367" max="15367" width="12.7109375" style="13" customWidth="1"/>
    <col min="15368" max="15368" width="6.42578125" style="13" customWidth="1"/>
    <col min="15369" max="15369" width="13.42578125" style="13" customWidth="1"/>
    <col min="15370" max="15370" width="14" style="13" customWidth="1"/>
    <col min="15371" max="15371" width="14.5703125" style="13" customWidth="1"/>
    <col min="15372" max="15372" width="10" style="13" bestFit="1" customWidth="1"/>
    <col min="15373" max="15616" width="9.140625" style="13"/>
    <col min="15617" max="15617" width="7.140625" style="13" customWidth="1"/>
    <col min="15618" max="15618" width="8.42578125" style="13" customWidth="1"/>
    <col min="15619" max="15619" width="8.85546875" style="13" customWidth="1"/>
    <col min="15620" max="15620" width="11.28515625" style="13" customWidth="1"/>
    <col min="15621" max="15621" width="10.140625" style="13" customWidth="1"/>
    <col min="15622" max="15622" width="11" style="13" customWidth="1"/>
    <col min="15623" max="15623" width="12.7109375" style="13" customWidth="1"/>
    <col min="15624" max="15624" width="6.42578125" style="13" customWidth="1"/>
    <col min="15625" max="15625" width="13.42578125" style="13" customWidth="1"/>
    <col min="15626" max="15626" width="14" style="13" customWidth="1"/>
    <col min="15627" max="15627" width="14.5703125" style="13" customWidth="1"/>
    <col min="15628" max="15628" width="10" style="13" bestFit="1" customWidth="1"/>
    <col min="15629" max="15872" width="9.140625" style="13"/>
    <col min="15873" max="15873" width="7.140625" style="13" customWidth="1"/>
    <col min="15874" max="15874" width="8.42578125" style="13" customWidth="1"/>
    <col min="15875" max="15875" width="8.85546875" style="13" customWidth="1"/>
    <col min="15876" max="15876" width="11.28515625" style="13" customWidth="1"/>
    <col min="15877" max="15877" width="10.140625" style="13" customWidth="1"/>
    <col min="15878" max="15878" width="11" style="13" customWidth="1"/>
    <col min="15879" max="15879" width="12.7109375" style="13" customWidth="1"/>
    <col min="15880" max="15880" width="6.42578125" style="13" customWidth="1"/>
    <col min="15881" max="15881" width="13.42578125" style="13" customWidth="1"/>
    <col min="15882" max="15882" width="14" style="13" customWidth="1"/>
    <col min="15883" max="15883" width="14.5703125" style="13" customWidth="1"/>
    <col min="15884" max="15884" width="10" style="13" bestFit="1" customWidth="1"/>
    <col min="15885" max="16128" width="9.140625" style="13"/>
    <col min="16129" max="16129" width="7.140625" style="13" customWidth="1"/>
    <col min="16130" max="16130" width="8.42578125" style="13" customWidth="1"/>
    <col min="16131" max="16131" width="8.85546875" style="13" customWidth="1"/>
    <col min="16132" max="16132" width="11.28515625" style="13" customWidth="1"/>
    <col min="16133" max="16133" width="10.140625" style="13" customWidth="1"/>
    <col min="16134" max="16134" width="11" style="13" customWidth="1"/>
    <col min="16135" max="16135" width="12.7109375" style="13" customWidth="1"/>
    <col min="16136" max="16136" width="6.42578125" style="13" customWidth="1"/>
    <col min="16137" max="16137" width="13.42578125" style="13" customWidth="1"/>
    <col min="16138" max="16138" width="14" style="13" customWidth="1"/>
    <col min="16139" max="16139" width="14.5703125" style="13" customWidth="1"/>
    <col min="16140" max="16140" width="10" style="13" bestFit="1" customWidth="1"/>
    <col min="16141" max="16384" width="9.140625" style="13"/>
  </cols>
  <sheetData>
    <row r="1" spans="1:11" ht="23.25">
      <c r="A1" s="3419" t="s">
        <v>1956</v>
      </c>
      <c r="B1" s="3420"/>
      <c r="C1" s="3420"/>
      <c r="D1" s="3420"/>
      <c r="E1" s="3420"/>
      <c r="F1" s="3420"/>
      <c r="G1" s="3420"/>
      <c r="H1" s="3420"/>
      <c r="I1" s="3420"/>
      <c r="J1" s="3420"/>
      <c r="K1" s="3421"/>
    </row>
    <row r="2" spans="1:11" ht="15.75">
      <c r="A2" s="3422" t="s">
        <v>1957</v>
      </c>
      <c r="B2" s="3423"/>
      <c r="C2" s="3423"/>
      <c r="D2" s="3423"/>
      <c r="E2" s="3423"/>
      <c r="F2" s="3423"/>
      <c r="G2" s="3423"/>
      <c r="H2" s="3423"/>
      <c r="I2" s="3423"/>
      <c r="J2" s="3423"/>
      <c r="K2" s="3424"/>
    </row>
    <row r="3" spans="1:11" ht="15.75">
      <c r="A3" s="3422" t="s">
        <v>1958</v>
      </c>
      <c r="B3" s="3423"/>
      <c r="C3" s="3423"/>
      <c r="D3" s="3423"/>
      <c r="E3" s="3423"/>
      <c r="F3" s="3423"/>
      <c r="G3" s="3423"/>
      <c r="H3" s="3423"/>
      <c r="I3" s="3423"/>
      <c r="J3" s="3423"/>
      <c r="K3" s="3424"/>
    </row>
    <row r="4" spans="1:11" ht="15.75">
      <c r="A4" s="3425" t="s">
        <v>1959</v>
      </c>
      <c r="B4" s="3426"/>
      <c r="C4" s="3426"/>
      <c r="D4" s="3426"/>
      <c r="E4" s="3426"/>
      <c r="F4" s="3426"/>
      <c r="G4" s="3426"/>
      <c r="H4" s="3426"/>
      <c r="I4" s="3426"/>
      <c r="J4" s="3426"/>
      <c r="K4" s="3427"/>
    </row>
    <row r="5" spans="1:11">
      <c r="A5" s="1309" t="s">
        <v>1960</v>
      </c>
      <c r="B5" s="1193"/>
      <c r="C5" s="1193"/>
      <c r="D5" s="1193"/>
      <c r="E5" s="1310"/>
      <c r="F5" s="1310"/>
      <c r="G5" s="1310"/>
      <c r="H5" s="1193" t="s">
        <v>1961</v>
      </c>
      <c r="I5" s="1193"/>
      <c r="J5" s="1193"/>
      <c r="K5" s="1311"/>
    </row>
    <row r="6" spans="1:11">
      <c r="A6" s="1309"/>
      <c r="B6" s="1193"/>
      <c r="C6" s="1193"/>
      <c r="D6" s="1193"/>
      <c r="E6" s="1193"/>
      <c r="F6" s="1193"/>
      <c r="G6" s="1193"/>
      <c r="H6" s="1193"/>
      <c r="I6" s="1193"/>
      <c r="J6" s="1193"/>
      <c r="K6" s="1312"/>
    </row>
    <row r="7" spans="1:11">
      <c r="A7" s="1309" t="s">
        <v>1962</v>
      </c>
      <c r="B7" s="1193"/>
      <c r="C7" s="1193"/>
      <c r="D7" s="1193"/>
      <c r="E7" s="1313"/>
      <c r="F7" s="1314"/>
      <c r="G7" s="1314"/>
      <c r="H7" s="1314"/>
      <c r="I7" s="1314"/>
      <c r="J7" s="1314"/>
      <c r="K7" s="1315"/>
    </row>
    <row r="8" spans="1:11">
      <c r="A8" s="1309"/>
      <c r="B8" s="1193"/>
      <c r="C8" s="1193"/>
      <c r="D8" s="1193"/>
      <c r="E8" s="1316"/>
      <c r="F8" s="1317"/>
      <c r="G8" s="1317"/>
      <c r="H8" s="1317"/>
      <c r="I8" s="1317"/>
      <c r="J8" s="1317"/>
      <c r="K8" s="1318"/>
    </row>
    <row r="9" spans="1:11">
      <c r="A9" s="1309" t="s">
        <v>1963</v>
      </c>
      <c r="B9" s="1193"/>
      <c r="C9" s="1193"/>
      <c r="D9" s="1198"/>
      <c r="E9" s="1389"/>
      <c r="F9" s="1314"/>
      <c r="G9" s="1314"/>
      <c r="H9" s="1193"/>
      <c r="I9" s="1193"/>
      <c r="J9" s="1193"/>
      <c r="K9" s="1312"/>
    </row>
    <row r="10" spans="1:11">
      <c r="A10" s="1309"/>
      <c r="B10" s="1193"/>
      <c r="C10" s="1193"/>
      <c r="D10" s="1193"/>
      <c r="E10" s="1320"/>
      <c r="F10" s="1321"/>
      <c r="G10" s="1321"/>
      <c r="H10" s="1193"/>
      <c r="I10" s="1193"/>
      <c r="J10" s="1321"/>
      <c r="K10" s="1322"/>
    </row>
    <row r="11" spans="1:11">
      <c r="A11" s="1309" t="s">
        <v>1964</v>
      </c>
      <c r="B11" s="1193"/>
      <c r="C11" s="1193"/>
      <c r="D11" s="1193"/>
      <c r="E11" s="1313"/>
      <c r="F11" s="1314"/>
      <c r="G11" s="1314"/>
      <c r="H11" s="1202" t="s">
        <v>1965</v>
      </c>
      <c r="I11" s="1193"/>
      <c r="J11" s="1323"/>
      <c r="K11" s="1315"/>
    </row>
    <row r="12" spans="1:11">
      <c r="A12" s="1309"/>
      <c r="B12" s="1193"/>
      <c r="C12" s="1193"/>
      <c r="D12" s="1193"/>
      <c r="E12" s="1320"/>
      <c r="F12" s="1321"/>
      <c r="G12" s="1321"/>
      <c r="H12" s="1193"/>
      <c r="I12" s="1193"/>
      <c r="J12" s="1193"/>
      <c r="K12" s="1324"/>
    </row>
    <row r="13" spans="1:11">
      <c r="A13" s="1309" t="s">
        <v>1966</v>
      </c>
      <c r="B13" s="1193"/>
      <c r="C13" s="1193"/>
      <c r="D13" s="1193"/>
      <c r="E13" s="1313"/>
      <c r="F13" s="1314"/>
      <c r="G13" s="1314"/>
      <c r="H13" s="1202" t="s">
        <v>3371</v>
      </c>
      <c r="I13" s="1193"/>
      <c r="J13" s="1314"/>
      <c r="K13" s="1315"/>
    </row>
    <row r="14" spans="1:11">
      <c r="A14" s="1309"/>
      <c r="B14" s="1193"/>
      <c r="C14" s="1193"/>
      <c r="D14" s="1193"/>
      <c r="E14" s="1193"/>
      <c r="F14" s="1193"/>
      <c r="G14" s="1193"/>
      <c r="H14" s="1193"/>
      <c r="I14" s="1193"/>
      <c r="J14" s="1193"/>
      <c r="K14" s="1312"/>
    </row>
    <row r="15" spans="1:11">
      <c r="A15" s="1309" t="s">
        <v>1967</v>
      </c>
      <c r="B15" s="1193"/>
      <c r="C15" s="1193"/>
      <c r="D15" s="1193"/>
      <c r="E15" s="1313"/>
      <c r="F15" s="1314"/>
      <c r="G15" s="1314"/>
      <c r="H15" s="1193"/>
      <c r="I15" s="1193"/>
      <c r="J15" s="1193"/>
      <c r="K15" s="1312"/>
    </row>
    <row r="16" spans="1:11">
      <c r="A16" s="1309"/>
      <c r="B16" s="1193"/>
      <c r="C16" s="1193"/>
      <c r="D16" s="1193"/>
      <c r="E16" s="1321"/>
      <c r="F16" s="1321"/>
      <c r="G16" s="1321"/>
      <c r="H16" s="1193"/>
      <c r="I16" s="1193"/>
      <c r="J16" s="1193"/>
      <c r="K16" s="1312"/>
    </row>
    <row r="17" spans="1:11" ht="12.75" customHeight="1" thickBot="1">
      <c r="A17" s="1309" t="s">
        <v>1968</v>
      </c>
      <c r="B17" s="1193"/>
      <c r="C17" s="1193"/>
      <c r="D17" s="1193"/>
      <c r="E17" s="1313"/>
      <c r="F17" s="1314"/>
      <c r="G17" s="1314"/>
      <c r="H17" s="1193"/>
      <c r="I17" s="1193"/>
      <c r="J17" s="1193"/>
      <c r="K17" s="1312"/>
    </row>
    <row r="18" spans="1:11" ht="12.75" customHeight="1">
      <c r="A18" s="1309"/>
      <c r="B18" s="1193"/>
      <c r="C18" s="1193"/>
      <c r="D18" s="1193"/>
      <c r="E18" s="1202"/>
      <c r="F18" s="1193"/>
      <c r="G18" s="1193"/>
      <c r="H18" s="1193"/>
      <c r="I18" s="1193"/>
      <c r="J18" s="3428" t="s">
        <v>1969</v>
      </c>
      <c r="K18" s="3430"/>
    </row>
    <row r="19" spans="1:11" ht="12.75" customHeight="1" thickBot="1">
      <c r="A19" s="1309" t="s">
        <v>1970</v>
      </c>
      <c r="B19" s="1193"/>
      <c r="C19" s="1193"/>
      <c r="D19" s="1193"/>
      <c r="E19" s="1313"/>
      <c r="F19" s="1314"/>
      <c r="G19" s="1314"/>
      <c r="H19" s="1193"/>
      <c r="I19" s="1193"/>
      <c r="J19" s="3429"/>
      <c r="K19" s="3431"/>
    </row>
    <row r="20" spans="1:11" ht="12.75" customHeight="1">
      <c r="A20" s="1309"/>
      <c r="B20" s="1193"/>
      <c r="C20" s="1193"/>
      <c r="D20" s="1193"/>
      <c r="E20" s="1202"/>
      <c r="F20" s="1193"/>
      <c r="G20" s="1193"/>
      <c r="H20" s="1193"/>
      <c r="I20" s="1193"/>
      <c r="J20" s="3445" t="s">
        <v>1971</v>
      </c>
      <c r="K20" s="3432"/>
    </row>
    <row r="21" spans="1:11" ht="12.75" customHeight="1" thickBot="1">
      <c r="A21" s="1309" t="s">
        <v>1972</v>
      </c>
      <c r="B21" s="1193"/>
      <c r="C21" s="1193"/>
      <c r="D21" s="1193"/>
      <c r="E21" s="1314"/>
      <c r="F21" s="1314"/>
      <c r="G21" s="1314"/>
      <c r="H21" s="1193"/>
      <c r="I21" s="1193"/>
      <c r="J21" s="3429"/>
      <c r="K21" s="3431"/>
    </row>
    <row r="22" spans="1:11" ht="18">
      <c r="A22" s="3433" t="s">
        <v>1973</v>
      </c>
      <c r="B22" s="3434"/>
      <c r="C22" s="3434"/>
      <c r="D22" s="3434"/>
      <c r="E22" s="3434"/>
      <c r="F22" s="3434"/>
      <c r="G22" s="3434"/>
      <c r="H22" s="3434"/>
      <c r="I22" s="3434"/>
      <c r="J22" s="3434"/>
      <c r="K22" s="3435"/>
    </row>
    <row r="23" spans="1:11">
      <c r="A23" s="1325"/>
      <c r="B23" s="1326"/>
      <c r="C23" s="1326"/>
      <c r="D23" s="1326"/>
      <c r="E23" s="1326"/>
      <c r="F23" s="1326"/>
      <c r="G23" s="1326"/>
      <c r="H23" s="1326"/>
      <c r="I23" s="1326"/>
      <c r="J23" s="1326"/>
      <c r="K23" s="1197"/>
    </row>
    <row r="24" spans="1:11" ht="12.75" customHeight="1">
      <c r="A24" s="3436" t="s">
        <v>1974</v>
      </c>
      <c r="B24" s="3436" t="s">
        <v>1975</v>
      </c>
      <c r="C24" s="3436"/>
      <c r="D24" s="3436"/>
      <c r="E24" s="3436"/>
      <c r="F24" s="3436"/>
      <c r="G24" s="3436" t="s">
        <v>707</v>
      </c>
      <c r="H24" s="3436" t="s">
        <v>1976</v>
      </c>
      <c r="I24" s="3436" t="s">
        <v>708</v>
      </c>
      <c r="J24" s="3437" t="s">
        <v>1977</v>
      </c>
      <c r="K24" s="3436" t="s">
        <v>710</v>
      </c>
    </row>
    <row r="25" spans="1:11">
      <c r="A25" s="3436"/>
      <c r="B25" s="3436"/>
      <c r="C25" s="3436"/>
      <c r="D25" s="3436"/>
      <c r="E25" s="3436"/>
      <c r="F25" s="3436"/>
      <c r="G25" s="3436"/>
      <c r="H25" s="3436"/>
      <c r="I25" s="3436"/>
      <c r="J25" s="3438"/>
      <c r="K25" s="3436"/>
    </row>
    <row r="26" spans="1:11">
      <c r="A26" s="1327">
        <v>1</v>
      </c>
      <c r="B26" s="3439">
        <v>2</v>
      </c>
      <c r="C26" s="3440"/>
      <c r="D26" s="3440"/>
      <c r="E26" s="3440"/>
      <c r="F26" s="3441"/>
      <c r="G26" s="1328">
        <v>3</v>
      </c>
      <c r="H26" s="1264">
        <v>4</v>
      </c>
      <c r="I26" s="1264">
        <v>5</v>
      </c>
      <c r="J26" s="1264">
        <v>6</v>
      </c>
      <c r="K26" s="1264">
        <v>7</v>
      </c>
    </row>
    <row r="27" spans="1:11">
      <c r="A27" s="182"/>
      <c r="B27" s="150"/>
      <c r="C27" s="151"/>
      <c r="D27" s="151"/>
      <c r="E27" s="151"/>
      <c r="F27" s="162"/>
      <c r="G27" s="242"/>
      <c r="H27" s="680"/>
      <c r="I27" s="681"/>
      <c r="J27" s="681"/>
      <c r="K27" s="183"/>
    </row>
    <row r="28" spans="1:11">
      <c r="A28" s="184"/>
      <c r="B28" s="153"/>
      <c r="F28" s="154"/>
      <c r="G28" s="242"/>
      <c r="H28" s="680"/>
      <c r="I28" s="682"/>
      <c r="J28" s="185"/>
      <c r="K28" s="185"/>
    </row>
    <row r="29" spans="1:11">
      <c r="A29" s="184"/>
      <c r="B29" s="153"/>
      <c r="F29" s="154"/>
      <c r="G29" s="242"/>
      <c r="H29" s="680"/>
      <c r="I29" s="186"/>
      <c r="J29" s="186"/>
      <c r="K29" s="185"/>
    </row>
    <row r="30" spans="1:11" ht="12.75" customHeight="1">
      <c r="A30" s="184"/>
      <c r="B30" s="187"/>
      <c r="C30" s="188"/>
      <c r="D30" s="675"/>
      <c r="E30" s="675"/>
      <c r="F30" s="676"/>
      <c r="G30" s="676"/>
      <c r="H30" s="680"/>
      <c r="I30" s="186"/>
      <c r="J30" s="186"/>
      <c r="K30" s="185"/>
    </row>
    <row r="31" spans="1:11">
      <c r="A31" s="184"/>
      <c r="B31" s="153"/>
      <c r="F31" s="154"/>
      <c r="G31" s="242"/>
      <c r="H31" s="189"/>
      <c r="I31" s="683"/>
      <c r="J31" s="683"/>
      <c r="K31" s="155"/>
    </row>
    <row r="32" spans="1:11">
      <c r="A32" s="184"/>
      <c r="B32" s="153"/>
      <c r="F32" s="154"/>
      <c r="G32" s="242"/>
      <c r="H32" s="189"/>
      <c r="I32" s="683"/>
      <c r="J32" s="683"/>
      <c r="K32" s="155"/>
    </row>
    <row r="33" spans="1:11">
      <c r="A33" s="184"/>
      <c r="B33" s="153"/>
      <c r="F33" s="154"/>
      <c r="G33" s="242"/>
      <c r="H33" s="189"/>
      <c r="I33" s="186"/>
      <c r="J33" s="186"/>
      <c r="K33" s="155"/>
    </row>
    <row r="34" spans="1:11">
      <c r="A34" s="184"/>
      <c r="B34" s="187"/>
      <c r="C34" s="188"/>
      <c r="D34" s="675"/>
      <c r="E34" s="675"/>
      <c r="F34" s="676"/>
      <c r="G34" s="676"/>
      <c r="H34" s="189"/>
      <c r="I34" s="186"/>
      <c r="J34" s="190"/>
      <c r="K34" s="155"/>
    </row>
    <row r="35" spans="1:11">
      <c r="A35" s="184"/>
      <c r="B35" s="567"/>
      <c r="C35" s="568"/>
      <c r="D35" s="568"/>
      <c r="E35" s="568"/>
      <c r="F35" s="242"/>
      <c r="G35" s="242"/>
      <c r="H35" s="189"/>
      <c r="I35" s="683"/>
      <c r="J35" s="683"/>
      <c r="K35" s="155"/>
    </row>
    <row r="36" spans="1:11">
      <c r="A36" s="184"/>
      <c r="B36" s="567"/>
      <c r="C36" s="568"/>
      <c r="D36" s="568"/>
      <c r="E36" s="568"/>
      <c r="F36" s="242"/>
      <c r="G36" s="242"/>
      <c r="H36" s="189"/>
      <c r="I36" s="683"/>
      <c r="J36" s="683"/>
      <c r="K36" s="155"/>
    </row>
    <row r="37" spans="1:11">
      <c r="A37" s="184"/>
      <c r="B37" s="567"/>
      <c r="C37" s="568"/>
      <c r="D37" s="568"/>
      <c r="E37" s="568"/>
      <c r="F37" s="242"/>
      <c r="G37" s="242"/>
      <c r="H37" s="189"/>
      <c r="I37" s="683"/>
      <c r="J37" s="683"/>
      <c r="K37" s="155"/>
    </row>
    <row r="38" spans="1:11">
      <c r="A38" s="184"/>
      <c r="B38" s="567"/>
      <c r="C38" s="568"/>
      <c r="D38" s="568"/>
      <c r="E38" s="568"/>
      <c r="F38" s="242"/>
      <c r="G38" s="242"/>
      <c r="H38" s="189"/>
      <c r="I38" s="190"/>
      <c r="J38" s="186"/>
      <c r="K38" s="155"/>
    </row>
    <row r="39" spans="1:11">
      <c r="A39" s="184"/>
      <c r="B39" s="191"/>
      <c r="C39" s="188"/>
      <c r="D39" s="192"/>
      <c r="E39" s="675"/>
      <c r="F39" s="676"/>
      <c r="G39" s="676"/>
      <c r="H39" s="680"/>
      <c r="I39" s="186"/>
      <c r="J39" s="186"/>
      <c r="K39" s="193"/>
    </row>
    <row r="40" spans="1:11">
      <c r="A40" s="184"/>
      <c r="B40" s="153"/>
      <c r="F40" s="154"/>
      <c r="G40" s="676"/>
      <c r="H40" s="680"/>
      <c r="I40" s="186"/>
      <c r="J40" s="186"/>
      <c r="K40" s="193"/>
    </row>
    <row r="41" spans="1:11">
      <c r="A41" s="184"/>
      <c r="B41" s="153"/>
      <c r="F41" s="154"/>
      <c r="G41" s="676"/>
      <c r="H41" s="680"/>
      <c r="I41" s="186"/>
      <c r="J41" s="186"/>
      <c r="K41" s="193"/>
    </row>
    <row r="42" spans="1:11">
      <c r="A42" s="184"/>
      <c r="B42" s="153"/>
      <c r="F42" s="154"/>
      <c r="G42" s="676"/>
      <c r="H42" s="680"/>
      <c r="I42" s="186"/>
      <c r="J42" s="186"/>
      <c r="K42" s="193"/>
    </row>
    <row r="43" spans="1:11">
      <c r="A43" s="184"/>
      <c r="B43" s="194"/>
      <c r="C43" s="188"/>
      <c r="D43" s="568"/>
      <c r="E43" s="568"/>
      <c r="F43" s="242"/>
      <c r="G43" s="242"/>
      <c r="H43" s="189"/>
      <c r="I43" s="683"/>
      <c r="J43" s="683"/>
      <c r="K43" s="193"/>
    </row>
    <row r="44" spans="1:11">
      <c r="A44" s="184"/>
      <c r="B44" s="153"/>
      <c r="F44" s="154"/>
      <c r="G44" s="242"/>
      <c r="H44" s="189"/>
      <c r="I44" s="683"/>
      <c r="J44" s="683"/>
      <c r="K44" s="193"/>
    </row>
    <row r="45" spans="1:11">
      <c r="A45" s="191"/>
      <c r="B45" s="153"/>
      <c r="F45" s="154"/>
      <c r="G45" s="242"/>
      <c r="H45" s="189"/>
      <c r="I45" s="190"/>
      <c r="J45" s="190"/>
      <c r="K45" s="193"/>
    </row>
    <row r="46" spans="1:11">
      <c r="A46" s="191"/>
      <c r="B46" s="153"/>
      <c r="F46" s="154"/>
      <c r="G46" s="676"/>
      <c r="H46" s="680"/>
      <c r="I46" s="186"/>
      <c r="J46" s="186"/>
      <c r="K46" s="193"/>
    </row>
    <row r="47" spans="1:11">
      <c r="A47" s="187"/>
      <c r="B47" s="187"/>
      <c r="C47" s="188"/>
      <c r="D47" s="192"/>
      <c r="E47" s="675"/>
      <c r="F47" s="676"/>
      <c r="G47" s="676"/>
      <c r="H47" s="680"/>
      <c r="I47" s="186"/>
      <c r="J47" s="186"/>
      <c r="K47" s="193"/>
    </row>
    <row r="48" spans="1:11">
      <c r="A48" s="184"/>
      <c r="B48" s="153"/>
      <c r="F48" s="154"/>
      <c r="G48" s="242"/>
      <c r="H48" s="189"/>
      <c r="I48" s="683"/>
      <c r="J48" s="683"/>
      <c r="K48" s="193"/>
    </row>
    <row r="49" spans="1:11">
      <c r="A49" s="191"/>
      <c r="B49" s="153"/>
      <c r="F49" s="154"/>
      <c r="G49" s="242"/>
      <c r="H49" s="189"/>
      <c r="I49" s="190"/>
      <c r="J49" s="190"/>
      <c r="K49" s="193"/>
    </row>
    <row r="50" spans="1:11">
      <c r="A50" s="191"/>
      <c r="B50" s="153"/>
      <c r="F50" s="154"/>
      <c r="G50" s="676"/>
      <c r="H50" s="680"/>
      <c r="I50" s="186"/>
      <c r="J50" s="186"/>
      <c r="K50" s="193"/>
    </row>
    <row r="51" spans="1:11">
      <c r="A51" s="187"/>
      <c r="B51" s="187"/>
      <c r="C51" s="188"/>
      <c r="D51" s="675"/>
      <c r="E51" s="675"/>
      <c r="F51" s="676"/>
      <c r="G51" s="676"/>
      <c r="H51" s="189"/>
      <c r="I51" s="190"/>
      <c r="J51" s="190"/>
      <c r="K51" s="193"/>
    </row>
    <row r="52" spans="1:11">
      <c r="A52" s="184"/>
      <c r="B52" s="153"/>
      <c r="F52" s="154"/>
      <c r="G52" s="242"/>
      <c r="H52" s="189"/>
      <c r="I52" s="683"/>
      <c r="J52" s="683"/>
      <c r="K52" s="193"/>
    </row>
    <row r="53" spans="1:11">
      <c r="A53" s="191"/>
      <c r="B53" s="153"/>
      <c r="F53" s="154"/>
      <c r="G53" s="242"/>
      <c r="H53" s="189"/>
      <c r="I53" s="190"/>
      <c r="J53" s="190"/>
      <c r="K53" s="193"/>
    </row>
    <row r="54" spans="1:11">
      <c r="A54" s="191"/>
      <c r="B54" s="153"/>
      <c r="F54" s="154"/>
      <c r="G54" s="676"/>
      <c r="H54" s="680"/>
      <c r="I54" s="186"/>
      <c r="J54" s="186"/>
      <c r="K54" s="193"/>
    </row>
    <row r="55" spans="1:11" ht="12.75" customHeight="1">
      <c r="A55" s="191"/>
      <c r="B55" s="191"/>
      <c r="C55" s="188"/>
      <c r="D55" s="568"/>
      <c r="E55" s="568"/>
      <c r="F55" s="242"/>
      <c r="G55" s="242"/>
      <c r="H55" s="189"/>
      <c r="I55" s="190"/>
      <c r="J55" s="190"/>
      <c r="K55" s="193"/>
    </row>
    <row r="56" spans="1:11">
      <c r="A56" s="184"/>
      <c r="B56" s="153"/>
      <c r="F56" s="154"/>
      <c r="G56" s="242"/>
      <c r="H56" s="189"/>
      <c r="I56" s="683"/>
      <c r="J56" s="683"/>
      <c r="K56" s="193"/>
    </row>
    <row r="57" spans="1:11">
      <c r="A57" s="191"/>
      <c r="B57" s="153"/>
      <c r="F57" s="154"/>
      <c r="G57" s="242"/>
      <c r="H57" s="189"/>
      <c r="I57" s="190"/>
      <c r="J57" s="190"/>
      <c r="K57" s="193"/>
    </row>
    <row r="58" spans="1:11">
      <c r="A58" s="191"/>
      <c r="B58" s="153"/>
      <c r="F58" s="154"/>
      <c r="G58" s="676"/>
      <c r="H58" s="680"/>
      <c r="I58" s="186"/>
      <c r="J58" s="186"/>
      <c r="K58" s="193"/>
    </row>
    <row r="59" spans="1:11" ht="12.75" customHeight="1">
      <c r="A59" s="191"/>
      <c r="B59" s="191"/>
      <c r="C59" s="179"/>
      <c r="D59" s="195"/>
      <c r="E59" s="196"/>
      <c r="F59" s="197"/>
      <c r="G59" s="197"/>
      <c r="H59" s="684"/>
      <c r="I59" s="190"/>
      <c r="J59" s="190"/>
      <c r="K59" s="193"/>
    </row>
    <row r="60" spans="1:11">
      <c r="A60" s="184"/>
      <c r="B60" s="153"/>
      <c r="F60" s="154"/>
      <c r="G60" s="242"/>
      <c r="H60" s="189"/>
      <c r="I60" s="683"/>
      <c r="J60" s="683"/>
      <c r="K60" s="193"/>
    </row>
    <row r="61" spans="1:11">
      <c r="A61" s="191"/>
      <c r="B61" s="153"/>
      <c r="F61" s="154"/>
      <c r="G61" s="676"/>
      <c r="H61" s="680"/>
      <c r="I61" s="186"/>
      <c r="J61" s="186"/>
      <c r="K61" s="193"/>
    </row>
    <row r="62" spans="1:11">
      <c r="A62" s="191"/>
      <c r="B62" s="153"/>
      <c r="F62" s="154"/>
      <c r="G62" s="676"/>
      <c r="H62" s="680"/>
      <c r="I62" s="186"/>
      <c r="J62" s="186"/>
      <c r="K62" s="193"/>
    </row>
    <row r="63" spans="1:11">
      <c r="A63" s="191"/>
      <c r="B63" s="191"/>
      <c r="C63" s="188"/>
      <c r="D63" s="568"/>
      <c r="E63" s="568"/>
      <c r="F63" s="242"/>
      <c r="G63" s="242"/>
      <c r="H63" s="684"/>
      <c r="I63" s="191"/>
      <c r="J63" s="190"/>
      <c r="K63" s="193"/>
    </row>
    <row r="64" spans="1:11">
      <c r="A64" s="191"/>
      <c r="B64" s="191"/>
      <c r="C64" s="188"/>
      <c r="D64" s="568"/>
      <c r="E64" s="568"/>
      <c r="F64" s="242"/>
      <c r="G64" s="242"/>
      <c r="H64" s="685"/>
      <c r="I64" s="191"/>
      <c r="J64" s="190"/>
      <c r="K64" s="193"/>
    </row>
    <row r="65" spans="1:11">
      <c r="A65" s="191"/>
      <c r="B65" s="191"/>
      <c r="C65" s="188"/>
      <c r="D65" s="568"/>
      <c r="E65" s="568"/>
      <c r="F65" s="242"/>
      <c r="G65" s="242"/>
      <c r="H65" s="685"/>
      <c r="I65" s="191"/>
      <c r="J65" s="190"/>
      <c r="K65" s="193"/>
    </row>
    <row r="66" spans="1:11">
      <c r="A66" s="191"/>
      <c r="B66" s="191"/>
      <c r="C66" s="188"/>
      <c r="D66" s="568"/>
      <c r="E66" s="568"/>
      <c r="F66" s="242"/>
      <c r="G66" s="242"/>
      <c r="H66" s="685"/>
      <c r="I66" s="191"/>
      <c r="J66" s="190"/>
      <c r="K66" s="193"/>
    </row>
    <row r="67" spans="1:11">
      <c r="A67" s="191"/>
      <c r="B67" s="191"/>
      <c r="C67" s="188"/>
      <c r="D67" s="568"/>
      <c r="E67" s="568"/>
      <c r="F67" s="242"/>
      <c r="G67" s="242"/>
      <c r="H67" s="685"/>
      <c r="I67" s="191"/>
      <c r="J67" s="190"/>
      <c r="K67" s="193"/>
    </row>
    <row r="68" spans="1:11">
      <c r="A68" s="191"/>
      <c r="B68" s="191"/>
      <c r="C68" s="188"/>
      <c r="D68" s="568"/>
      <c r="E68" s="568"/>
      <c r="F68" s="242"/>
      <c r="G68" s="242"/>
      <c r="H68" s="685"/>
      <c r="I68" s="191"/>
      <c r="J68" s="190"/>
      <c r="K68" s="193"/>
    </row>
    <row r="69" spans="1:11">
      <c r="A69" s="191"/>
      <c r="B69" s="191"/>
      <c r="C69" s="188"/>
      <c r="D69" s="568"/>
      <c r="E69" s="568"/>
      <c r="F69" s="242"/>
      <c r="G69" s="242"/>
      <c r="H69" s="685"/>
      <c r="I69" s="191"/>
      <c r="J69" s="190"/>
      <c r="K69" s="193"/>
    </row>
    <row r="70" spans="1:11">
      <c r="A70" s="153"/>
      <c r="B70" s="153"/>
      <c r="C70" s="179"/>
      <c r="D70" s="192"/>
      <c r="E70" s="568"/>
      <c r="F70" s="242"/>
      <c r="G70" s="676"/>
      <c r="I70" s="156"/>
      <c r="J70" s="198"/>
      <c r="K70" s="193"/>
    </row>
    <row r="71" spans="1:11">
      <c r="A71" s="686"/>
      <c r="B71" s="686"/>
      <c r="C71" s="41"/>
      <c r="D71" s="41"/>
      <c r="E71" s="41"/>
      <c r="F71" s="159"/>
      <c r="G71" s="159"/>
      <c r="H71" s="159"/>
      <c r="I71" s="199" t="s">
        <v>1978</v>
      </c>
      <c r="J71" s="200"/>
      <c r="K71" s="159"/>
    </row>
    <row r="72" spans="1:11">
      <c r="A72" s="3436" t="s">
        <v>1974</v>
      </c>
      <c r="B72" s="3436" t="s">
        <v>1975</v>
      </c>
      <c r="C72" s="3436"/>
      <c r="D72" s="3436"/>
      <c r="E72" s="3436"/>
      <c r="F72" s="3436"/>
      <c r="G72" s="3436" t="s">
        <v>707</v>
      </c>
      <c r="H72" s="3436" t="s">
        <v>1976</v>
      </c>
      <c r="I72" s="3436" t="s">
        <v>708</v>
      </c>
      <c r="J72" s="3437" t="s">
        <v>1977</v>
      </c>
      <c r="K72" s="3436" t="s">
        <v>710</v>
      </c>
    </row>
    <row r="73" spans="1:11">
      <c r="A73" s="3436"/>
      <c r="B73" s="3436"/>
      <c r="C73" s="3436"/>
      <c r="D73" s="3436"/>
      <c r="E73" s="3436"/>
      <c r="F73" s="3436"/>
      <c r="G73" s="3436"/>
      <c r="H73" s="3436"/>
      <c r="I73" s="3436"/>
      <c r="J73" s="3438"/>
      <c r="K73" s="3436"/>
    </row>
    <row r="74" spans="1:11">
      <c r="A74" s="1327">
        <v>1</v>
      </c>
      <c r="B74" s="3442">
        <v>2</v>
      </c>
      <c r="C74" s="3443"/>
      <c r="D74" s="3443"/>
      <c r="E74" s="3443"/>
      <c r="F74" s="3444"/>
      <c r="G74" s="1328">
        <v>3</v>
      </c>
      <c r="H74" s="1264">
        <v>4</v>
      </c>
      <c r="I74" s="1264">
        <v>5</v>
      </c>
      <c r="J74" s="1264">
        <v>6</v>
      </c>
      <c r="K74" s="1264">
        <v>7</v>
      </c>
    </row>
    <row r="75" spans="1:11">
      <c r="A75" s="1359"/>
      <c r="B75" s="1359"/>
      <c r="C75" s="1360"/>
      <c r="D75" s="1360"/>
      <c r="E75" s="1360"/>
      <c r="F75" s="1333"/>
      <c r="G75" s="1333"/>
      <c r="H75" s="1333"/>
      <c r="I75" s="1361" t="s">
        <v>1979</v>
      </c>
      <c r="J75" s="1362"/>
      <c r="K75" s="1333"/>
    </row>
    <row r="76" spans="1:11" ht="12" customHeight="1">
      <c r="A76" s="1334"/>
      <c r="B76" s="1363" t="s">
        <v>1980</v>
      </c>
      <c r="C76" s="1199"/>
      <c r="D76" s="1349"/>
      <c r="E76" s="836"/>
      <c r="F76" s="1351"/>
      <c r="G76" s="1340"/>
      <c r="H76" s="1331"/>
      <c r="I76" s="1364"/>
      <c r="J76" s="1342"/>
      <c r="K76" s="1336"/>
    </row>
    <row r="77" spans="1:11" ht="12.75" customHeight="1">
      <c r="A77" s="1334"/>
      <c r="B77" s="1345" t="s">
        <v>1981</v>
      </c>
      <c r="C77" s="1199"/>
      <c r="D77" s="1349"/>
      <c r="E77" s="836"/>
      <c r="F77" s="1351"/>
      <c r="G77" s="1351"/>
      <c r="H77" s="1331"/>
      <c r="I77" s="1196"/>
      <c r="J77" s="1342"/>
      <c r="K77" s="1312"/>
    </row>
    <row r="78" spans="1:11" ht="12.75" customHeight="1">
      <c r="A78" s="1348"/>
      <c r="B78" s="1348"/>
      <c r="C78" s="836"/>
      <c r="D78" s="1366"/>
      <c r="E78" s="836"/>
      <c r="F78" s="1351"/>
      <c r="G78" s="1351"/>
      <c r="H78" s="1331"/>
      <c r="I78" s="1367" t="s">
        <v>1982</v>
      </c>
      <c r="J78" s="1344"/>
      <c r="K78" s="1312"/>
    </row>
    <row r="79" spans="1:11" ht="12.75" customHeight="1">
      <c r="A79" s="1348"/>
      <c r="B79" s="1348"/>
      <c r="C79" s="836"/>
      <c r="D79" s="1366"/>
      <c r="E79" s="836"/>
      <c r="F79" s="1351"/>
      <c r="G79" s="1351"/>
      <c r="H79" s="1331"/>
      <c r="I79" s="1368"/>
      <c r="J79" s="1344"/>
      <c r="K79" s="1312"/>
    </row>
    <row r="80" spans="1:11" ht="12.75" customHeight="1">
      <c r="A80" s="1348"/>
      <c r="B80" s="1348"/>
      <c r="C80" s="836"/>
      <c r="D80" s="1366"/>
      <c r="E80" s="836"/>
      <c r="F80" s="1351"/>
      <c r="G80" s="1351"/>
      <c r="H80" s="1331"/>
      <c r="I80" s="1368"/>
      <c r="J80" s="1344"/>
      <c r="K80" s="1312"/>
    </row>
    <row r="81" spans="1:11">
      <c r="A81" s="1354"/>
      <c r="B81" s="1369" t="s">
        <v>1883</v>
      </c>
      <c r="C81" s="1193"/>
      <c r="D81" s="1193"/>
      <c r="E81" s="1193"/>
      <c r="F81" s="1312"/>
      <c r="G81" s="1312"/>
      <c r="H81" s="1331"/>
      <c r="I81" s="1368"/>
      <c r="J81" s="1344"/>
      <c r="K81" s="1312"/>
    </row>
    <row r="82" spans="1:11">
      <c r="A82" s="1354"/>
      <c r="B82" s="1371" t="s">
        <v>1983</v>
      </c>
      <c r="C82" s="1372">
        <v>0.01</v>
      </c>
      <c r="D82" s="1373" t="s">
        <v>1984</v>
      </c>
      <c r="E82" s="1196"/>
      <c r="F82" s="1312"/>
      <c r="G82" s="1312"/>
      <c r="H82" s="1331"/>
      <c r="I82" s="1367"/>
      <c r="J82" s="1344"/>
      <c r="K82" s="1312"/>
    </row>
    <row r="83" spans="1:11">
      <c r="A83" s="1354"/>
      <c r="B83" s="1371" t="s">
        <v>1678</v>
      </c>
      <c r="C83" s="1193"/>
      <c r="D83" s="1373" t="s">
        <v>1984</v>
      </c>
      <c r="E83" s="1196"/>
      <c r="F83" s="1312"/>
      <c r="G83" s="1312"/>
      <c r="H83" s="1312"/>
      <c r="I83" s="1367"/>
      <c r="J83" s="1344"/>
      <c r="K83" s="1312"/>
    </row>
    <row r="84" spans="1:11">
      <c r="A84" s="1354"/>
      <c r="B84" s="1371" t="s">
        <v>1524</v>
      </c>
      <c r="C84" s="1193"/>
      <c r="D84" s="1373" t="s">
        <v>1984</v>
      </c>
      <c r="E84" s="1196"/>
      <c r="F84" s="1335"/>
      <c r="G84" s="1312"/>
      <c r="H84" s="1312"/>
      <c r="I84" s="1368"/>
      <c r="J84" s="1344"/>
      <c r="K84" s="1312"/>
    </row>
    <row r="85" spans="1:11">
      <c r="A85" s="1354"/>
      <c r="B85" s="1371" t="s">
        <v>1525</v>
      </c>
      <c r="C85" s="1193"/>
      <c r="D85" s="1373" t="s">
        <v>1984</v>
      </c>
      <c r="E85" s="1196"/>
      <c r="F85" s="1335"/>
      <c r="G85" s="1312"/>
      <c r="H85" s="1312"/>
      <c r="I85" s="1335"/>
      <c r="J85" s="1312"/>
      <c r="K85" s="1312"/>
    </row>
    <row r="86" spans="1:11">
      <c r="A86" s="1354"/>
      <c r="B86" s="1371" t="s">
        <v>1531</v>
      </c>
      <c r="C86" s="1193"/>
      <c r="D86" s="1373" t="s">
        <v>1984</v>
      </c>
      <c r="E86" s="1196"/>
      <c r="F86" s="1335"/>
      <c r="G86" s="1312"/>
      <c r="H86" s="1312"/>
      <c r="I86" s="1312"/>
      <c r="J86" s="1312"/>
      <c r="K86" s="1312"/>
    </row>
    <row r="87" spans="1:11">
      <c r="A87" s="1354"/>
      <c r="B87" s="1371" t="s">
        <v>1985</v>
      </c>
      <c r="C87" s="1193"/>
      <c r="D87" s="1373" t="s">
        <v>1984</v>
      </c>
      <c r="E87" s="1196"/>
      <c r="F87" s="1335"/>
      <c r="G87" s="1312"/>
      <c r="H87" s="1312"/>
      <c r="I87" s="1312"/>
      <c r="J87" s="1312"/>
      <c r="K87" s="1312"/>
    </row>
    <row r="88" spans="1:11">
      <c r="A88" s="1354"/>
      <c r="B88" s="3447" t="s">
        <v>1986</v>
      </c>
      <c r="C88" s="3448"/>
      <c r="D88" s="1373" t="s">
        <v>1984</v>
      </c>
      <c r="E88" s="1196"/>
      <c r="F88" s="1335"/>
      <c r="G88" s="1312"/>
      <c r="H88" s="1312"/>
      <c r="I88" s="1312"/>
      <c r="J88" s="1312"/>
      <c r="K88" s="1312"/>
    </row>
    <row r="89" spans="1:11">
      <c r="A89" s="1354"/>
      <c r="B89" s="3447"/>
      <c r="C89" s="3448"/>
      <c r="D89" s="1193"/>
      <c r="E89" s="1326"/>
      <c r="F89" s="1335"/>
      <c r="G89" s="1312"/>
      <c r="H89" s="1312"/>
      <c r="I89" s="1312"/>
      <c r="J89" s="1312"/>
      <c r="K89" s="1312"/>
    </row>
    <row r="90" spans="1:11">
      <c r="A90" s="1354"/>
      <c r="B90" s="1354"/>
      <c r="C90" s="1193"/>
      <c r="D90" s="1374" t="s">
        <v>1987</v>
      </c>
      <c r="E90" s="1364"/>
      <c r="F90" s="1375"/>
      <c r="G90" s="1312"/>
      <c r="H90" s="1312"/>
      <c r="I90" s="1335"/>
      <c r="J90" s="1312"/>
      <c r="K90" s="1312"/>
    </row>
    <row r="91" spans="1:11">
      <c r="A91" s="1325"/>
      <c r="B91" s="1325"/>
      <c r="C91" s="1326"/>
      <c r="D91" s="1326"/>
      <c r="E91" s="1326"/>
      <c r="F91" s="1197"/>
      <c r="G91" s="1197"/>
      <c r="H91" s="1197"/>
      <c r="I91" s="1376"/>
      <c r="J91" s="1197"/>
      <c r="K91" s="1197"/>
    </row>
    <row r="92" spans="1:11">
      <c r="A92" s="1377"/>
      <c r="B92" s="1378"/>
      <c r="C92" s="1378"/>
      <c r="D92" s="1378"/>
      <c r="E92" s="1378"/>
      <c r="F92" s="1378"/>
      <c r="G92" s="1378"/>
      <c r="H92" s="1378"/>
      <c r="I92" s="1378"/>
      <c r="J92" s="1378"/>
      <c r="K92" s="1311"/>
    </row>
    <row r="93" spans="1:11" ht="17.25" customHeight="1">
      <c r="A93" s="1354" t="s">
        <v>1988</v>
      </c>
      <c r="B93" s="1193"/>
      <c r="C93" s="1193"/>
      <c r="D93" s="1193"/>
      <c r="E93" s="1193"/>
      <c r="F93" s="1193"/>
      <c r="G93" s="1193"/>
      <c r="H93" s="1193" t="s">
        <v>932</v>
      </c>
      <c r="I93" s="1193"/>
      <c r="J93" s="1193"/>
      <c r="K93" s="1312"/>
    </row>
    <row r="94" spans="1:11" ht="17.25" customHeight="1">
      <c r="A94" s="1354" t="s">
        <v>1989</v>
      </c>
      <c r="B94" s="1193"/>
      <c r="C94" s="1193"/>
      <c r="D94" s="1193"/>
      <c r="E94" s="1193"/>
      <c r="F94" s="1193"/>
      <c r="G94" s="1193"/>
      <c r="H94" s="1326" t="s">
        <v>932</v>
      </c>
      <c r="I94" s="1326"/>
      <c r="J94" s="1326"/>
      <c r="K94" s="1312"/>
    </row>
    <row r="95" spans="1:11" ht="17.25" customHeight="1">
      <c r="A95" s="1354"/>
      <c r="B95" s="1193"/>
      <c r="C95" s="1193"/>
      <c r="D95" s="1193"/>
      <c r="E95" s="1193"/>
      <c r="F95" s="1193"/>
      <c r="G95" s="1193"/>
      <c r="H95" s="1378" t="s">
        <v>932</v>
      </c>
      <c r="I95" s="1378"/>
      <c r="J95" s="1378"/>
      <c r="K95" s="1312"/>
    </row>
    <row r="96" spans="1:11" ht="17.25" customHeight="1">
      <c r="A96" s="1354" t="s">
        <v>1990</v>
      </c>
      <c r="B96" s="1193"/>
      <c r="C96" s="1193"/>
      <c r="D96" s="1193"/>
      <c r="E96" s="1193"/>
      <c r="F96" s="1193"/>
      <c r="G96" s="1193"/>
      <c r="H96" s="1326" t="s">
        <v>932</v>
      </c>
      <c r="I96" s="1326"/>
      <c r="J96" s="1326"/>
      <c r="K96" s="1312"/>
    </row>
    <row r="97" spans="1:11" ht="17.25" customHeight="1">
      <c r="A97" s="1325"/>
      <c r="B97" s="1326"/>
      <c r="C97" s="1326"/>
      <c r="D97" s="1326"/>
      <c r="E97" s="1326"/>
      <c r="F97" s="1326"/>
      <c r="G97" s="1326"/>
      <c r="H97" s="1326"/>
      <c r="I97" s="1326"/>
      <c r="J97" s="1326"/>
      <c r="K97" s="1197"/>
    </row>
    <row r="98" spans="1:11" ht="15.75">
      <c r="A98" s="3449" t="s">
        <v>1991</v>
      </c>
      <c r="B98" s="3450"/>
      <c r="C98" s="3450"/>
      <c r="D98" s="3450"/>
      <c r="E98" s="3450"/>
      <c r="F98" s="3450"/>
      <c r="G98" s="3450"/>
      <c r="H98" s="3450"/>
      <c r="I98" s="3450"/>
      <c r="J98" s="3450"/>
      <c r="K98" s="3451"/>
    </row>
    <row r="99" spans="1:11" ht="12.75" customHeight="1">
      <c r="A99" s="1354"/>
      <c r="B99" s="1193"/>
      <c r="C99" s="1193"/>
      <c r="D99" s="1193"/>
      <c r="E99" s="1193"/>
      <c r="F99" s="1193"/>
      <c r="G99" s="1193"/>
      <c r="H99" s="1193"/>
      <c r="I99" s="1193"/>
      <c r="J99" s="1193"/>
      <c r="K99" s="1312"/>
    </row>
    <row r="100" spans="1:11" ht="12.75" customHeight="1">
      <c r="A100" s="1354"/>
      <c r="B100" s="1193"/>
      <c r="C100" s="1193"/>
      <c r="D100" s="1379"/>
      <c r="E100" s="1263" t="s">
        <v>1992</v>
      </c>
      <c r="F100" s="1193"/>
      <c r="G100" s="1193"/>
      <c r="H100" s="1193"/>
      <c r="I100" s="1263" t="s">
        <v>1993</v>
      </c>
      <c r="J100" s="1199"/>
      <c r="K100" s="1312" t="s">
        <v>1994</v>
      </c>
    </row>
    <row r="101" spans="1:11" ht="12.75" customHeight="1">
      <c r="A101" s="1354"/>
      <c r="B101" s="1193"/>
      <c r="C101" s="1193"/>
      <c r="D101" s="1193"/>
      <c r="E101" s="1193"/>
      <c r="F101" s="1193"/>
      <c r="G101" s="1193"/>
      <c r="H101" s="1193"/>
      <c r="I101" s="1193"/>
      <c r="J101" s="1193"/>
      <c r="K101" s="1312"/>
    </row>
    <row r="102" spans="1:11" ht="12.75" customHeight="1">
      <c r="A102" s="1380" t="s">
        <v>1995</v>
      </c>
      <c r="B102" s="1193"/>
      <c r="C102" s="1381"/>
      <c r="D102" s="1193" t="s">
        <v>1996</v>
      </c>
      <c r="E102" s="1193"/>
      <c r="F102" s="1193"/>
      <c r="G102" s="1193"/>
      <c r="H102" s="1193"/>
      <c r="I102" s="1193"/>
      <c r="J102" s="1193"/>
      <c r="K102" s="1312"/>
    </row>
    <row r="103" spans="1:11" ht="12.75" customHeight="1">
      <c r="A103" s="1354"/>
      <c r="B103" s="1193"/>
      <c r="C103" s="1193"/>
      <c r="D103" s="1193"/>
      <c r="E103" s="1193"/>
      <c r="F103" s="1193"/>
      <c r="G103" s="1193"/>
      <c r="H103" s="1193"/>
      <c r="I103" s="1193"/>
      <c r="J103" s="1193"/>
      <c r="K103" s="1312"/>
    </row>
    <row r="104" spans="1:11" ht="12.75" customHeight="1">
      <c r="A104" s="1354"/>
      <c r="B104" s="1193"/>
      <c r="C104" s="1193"/>
      <c r="D104" s="1193"/>
      <c r="E104" s="1193"/>
      <c r="F104" s="1193"/>
      <c r="G104" s="1193"/>
      <c r="H104" s="1193"/>
      <c r="I104" s="1193"/>
      <c r="J104" s="1193"/>
      <c r="K104" s="1312"/>
    </row>
    <row r="105" spans="1:11" ht="12.75" customHeight="1">
      <c r="A105" s="1354"/>
      <c r="B105" s="1193"/>
      <c r="C105" s="1193"/>
      <c r="D105" s="1193"/>
      <c r="E105" s="1193"/>
      <c r="F105" s="1193"/>
      <c r="G105" s="1193"/>
      <c r="H105" s="1193"/>
      <c r="I105" s="1193"/>
      <c r="J105" s="1193"/>
      <c r="K105" s="1312"/>
    </row>
    <row r="106" spans="1:11" ht="12.75" customHeight="1">
      <c r="A106" s="1354"/>
      <c r="B106" s="1204" t="s">
        <v>1997</v>
      </c>
      <c r="C106" s="1193"/>
      <c r="D106" s="1204"/>
      <c r="E106" s="1193"/>
      <c r="F106" s="1193"/>
      <c r="G106" s="1204" t="s">
        <v>188</v>
      </c>
      <c r="H106" s="1193"/>
      <c r="I106" s="1193"/>
      <c r="J106" s="1204" t="s">
        <v>189</v>
      </c>
      <c r="K106" s="1312"/>
    </row>
    <row r="107" spans="1:11" ht="12.75" customHeight="1">
      <c r="A107" s="1354"/>
      <c r="B107" s="1204" t="s">
        <v>1998</v>
      </c>
      <c r="C107" s="1193"/>
      <c r="D107" s="1204"/>
      <c r="E107" s="1204"/>
      <c r="F107" s="1204"/>
      <c r="G107" s="1204" t="s">
        <v>191</v>
      </c>
      <c r="H107" s="1193"/>
      <c r="I107" s="1193"/>
      <c r="J107" s="1204" t="str">
        <f>G107</f>
        <v>Kamakhyanagar Block</v>
      </c>
      <c r="K107" s="1312"/>
    </row>
    <row r="108" spans="1:11" ht="12.75" customHeight="1">
      <c r="A108" s="1354"/>
      <c r="B108" s="1204" t="s">
        <v>1999</v>
      </c>
      <c r="C108" s="1193"/>
      <c r="D108" s="1193"/>
      <c r="E108" s="1193"/>
      <c r="F108" s="1193"/>
      <c r="G108" s="1193"/>
      <c r="H108" s="1193"/>
      <c r="I108" s="1193"/>
      <c r="J108" s="1204"/>
      <c r="K108" s="1312"/>
    </row>
    <row r="109" spans="1:11" ht="12.75" customHeight="1">
      <c r="A109" s="1354"/>
      <c r="B109" s="1193"/>
      <c r="C109" s="1193"/>
      <c r="D109" s="1193"/>
      <c r="E109" s="1193"/>
      <c r="F109" s="1193"/>
      <c r="G109" s="1193"/>
      <c r="H109" s="1193"/>
      <c r="I109" s="1193"/>
      <c r="J109" s="1193"/>
      <c r="K109" s="1312"/>
    </row>
    <row r="110" spans="1:11" ht="12.75" customHeight="1">
      <c r="A110" s="1354"/>
      <c r="B110" s="1193"/>
      <c r="C110" s="1193"/>
      <c r="D110" s="1193"/>
      <c r="E110" s="1193"/>
      <c r="F110" s="1193"/>
      <c r="G110" s="1193"/>
      <c r="H110" s="1193"/>
      <c r="I110" s="1193"/>
      <c r="J110" s="1193"/>
      <c r="K110" s="1312"/>
    </row>
    <row r="111" spans="1:11" ht="12.75" customHeight="1">
      <c r="A111" s="1325"/>
      <c r="B111" s="1326"/>
      <c r="C111" s="1326"/>
      <c r="D111" s="1326"/>
      <c r="E111" s="1326"/>
      <c r="F111" s="1326" t="s">
        <v>2000</v>
      </c>
      <c r="G111" s="1326"/>
      <c r="H111" s="1326"/>
      <c r="I111" s="1326" t="s">
        <v>2000</v>
      </c>
      <c r="J111" s="1382" t="s">
        <v>2001</v>
      </c>
      <c r="K111" s="1197"/>
    </row>
    <row r="112" spans="1:11" ht="13.5" customHeight="1">
      <c r="A112" s="3452" t="s">
        <v>2002</v>
      </c>
      <c r="B112" s="3453"/>
      <c r="C112" s="3453"/>
      <c r="D112" s="3453"/>
      <c r="E112" s="3453"/>
      <c r="F112" s="3453"/>
      <c r="G112" s="3453"/>
      <c r="H112" s="3453"/>
      <c r="I112" s="3453"/>
      <c r="J112" s="3453"/>
      <c r="K112" s="3454"/>
    </row>
    <row r="113" spans="1:11" ht="17.25" customHeight="1">
      <c r="A113" s="153"/>
      <c r="K113" s="154"/>
    </row>
    <row r="114" spans="1:11" ht="17.25" customHeight="1">
      <c r="A114" s="153"/>
      <c r="K114" s="154"/>
    </row>
    <row r="115" spans="1:11" ht="17.25" customHeight="1">
      <c r="A115" s="153"/>
      <c r="K115" s="154"/>
    </row>
    <row r="116" spans="1:11" ht="17.25" customHeight="1">
      <c r="A116" s="153"/>
      <c r="K116" s="154"/>
    </row>
    <row r="117" spans="1:11" ht="17.25" customHeight="1">
      <c r="A117" s="153"/>
      <c r="K117" s="154"/>
    </row>
    <row r="118" spans="1:11" ht="17.25" customHeight="1">
      <c r="A118" s="153"/>
      <c r="K118" s="154"/>
    </row>
    <row r="119" spans="1:11" ht="17.25" customHeight="1">
      <c r="A119" s="153"/>
      <c r="K119" s="154"/>
    </row>
    <row r="120" spans="1:11" ht="15" customHeight="1">
      <c r="A120" s="153"/>
      <c r="K120" s="154"/>
    </row>
    <row r="121" spans="1:11" ht="15" customHeight="1">
      <c r="A121" s="153"/>
      <c r="K121" s="154"/>
    </row>
    <row r="122" spans="1:11" ht="15" customHeight="1">
      <c r="A122" s="153"/>
      <c r="K122" s="154"/>
    </row>
    <row r="123" spans="1:11" ht="15" customHeight="1">
      <c r="A123" s="153"/>
      <c r="K123" s="154"/>
    </row>
    <row r="124" spans="1:11" ht="15" customHeight="1">
      <c r="A124" s="153"/>
      <c r="K124" s="154"/>
    </row>
    <row r="125" spans="1:11" ht="15" customHeight="1">
      <c r="A125" s="153"/>
      <c r="K125" s="154"/>
    </row>
    <row r="126" spans="1:11" ht="15" customHeight="1">
      <c r="A126" s="153"/>
      <c r="K126" s="154"/>
    </row>
    <row r="127" spans="1:11" ht="15" customHeight="1">
      <c r="A127" s="153"/>
      <c r="K127" s="154"/>
    </row>
    <row r="128" spans="1:11" ht="15" customHeight="1">
      <c r="A128" s="153"/>
      <c r="K128" s="154"/>
    </row>
    <row r="129" spans="1:11" ht="15" customHeight="1">
      <c r="A129" s="153"/>
      <c r="K129" s="154"/>
    </row>
    <row r="130" spans="1:11" ht="15" customHeight="1">
      <c r="A130" s="153"/>
      <c r="K130" s="154"/>
    </row>
    <row r="131" spans="1:11" ht="13.5" customHeight="1">
      <c r="A131" s="153"/>
      <c r="K131" s="154"/>
    </row>
    <row r="132" spans="1:11" ht="13.5" customHeight="1">
      <c r="A132" s="153"/>
      <c r="K132" s="154"/>
    </row>
    <row r="133" spans="1:11" ht="13.5" customHeight="1">
      <c r="A133" s="153"/>
      <c r="K133" s="154"/>
    </row>
    <row r="134" spans="1:11" ht="13.5" customHeight="1"/>
    <row r="135" spans="1:11" ht="13.5" customHeight="1"/>
    <row r="136" spans="1:11" ht="13.5" customHeight="1"/>
    <row r="137" spans="1:11" ht="13.5" customHeight="1"/>
    <row r="138" spans="1:11" ht="13.5" customHeight="1"/>
    <row r="139" spans="1:11" ht="13.5" customHeight="1">
      <c r="A139" s="156"/>
      <c r="B139" s="41"/>
      <c r="C139" s="41"/>
      <c r="D139" s="41"/>
      <c r="E139" s="41"/>
      <c r="F139" s="41"/>
      <c r="G139" s="41"/>
      <c r="H139" s="41"/>
      <c r="I139" s="41"/>
      <c r="K139" s="159"/>
    </row>
    <row r="140" spans="1:11">
      <c r="A140" s="3455" t="s">
        <v>1974</v>
      </c>
      <c r="B140" s="3455" t="s">
        <v>1975</v>
      </c>
      <c r="C140" s="3455"/>
      <c r="D140" s="3455"/>
      <c r="E140" s="3455"/>
      <c r="F140" s="3455"/>
      <c r="G140" s="3455" t="s">
        <v>707</v>
      </c>
      <c r="H140" s="3455" t="s">
        <v>1976</v>
      </c>
      <c r="I140" s="3455" t="s">
        <v>708</v>
      </c>
      <c r="J140" s="3456" t="s">
        <v>1977</v>
      </c>
      <c r="K140" s="3455" t="s">
        <v>710</v>
      </c>
    </row>
    <row r="141" spans="1:11">
      <c r="A141" s="3455"/>
      <c r="B141" s="3455"/>
      <c r="C141" s="3455"/>
      <c r="D141" s="3455"/>
      <c r="E141" s="3455"/>
      <c r="F141" s="3455"/>
      <c r="G141" s="3455"/>
      <c r="H141" s="3455"/>
      <c r="I141" s="3455"/>
      <c r="J141" s="3457"/>
      <c r="K141" s="3455"/>
    </row>
    <row r="142" spans="1:11">
      <c r="A142" s="17">
        <v>1</v>
      </c>
      <c r="B142" s="3446">
        <v>2</v>
      </c>
      <c r="C142" s="3446"/>
      <c r="D142" s="3446"/>
      <c r="E142" s="3446"/>
      <c r="F142" s="3446"/>
      <c r="G142" s="17">
        <v>3</v>
      </c>
      <c r="H142" s="17">
        <v>4</v>
      </c>
      <c r="I142" s="17">
        <v>5</v>
      </c>
      <c r="J142" s="17">
        <v>6</v>
      </c>
      <c r="K142" s="17">
        <v>7</v>
      </c>
    </row>
    <row r="143" spans="1:11">
      <c r="A143" s="203"/>
      <c r="B143" s="202"/>
      <c r="C143" s="202"/>
      <c r="D143" s="202"/>
      <c r="E143" s="202"/>
      <c r="F143" s="183"/>
      <c r="G143" s="202"/>
      <c r="H143" s="201"/>
      <c r="I143" s="204"/>
      <c r="J143" s="205"/>
      <c r="K143" s="203"/>
    </row>
    <row r="144" spans="1:11">
      <c r="A144" s="193"/>
      <c r="B144" s="188"/>
      <c r="C144" s="188"/>
      <c r="D144" s="188"/>
      <c r="E144" s="188"/>
      <c r="F144" s="188"/>
      <c r="G144" s="206"/>
      <c r="H144" s="206"/>
      <c r="I144" s="207"/>
      <c r="J144" s="208"/>
      <c r="K144" s="193"/>
    </row>
    <row r="145" spans="1:11">
      <c r="A145" s="193"/>
      <c r="B145" s="188"/>
      <c r="C145" s="188"/>
      <c r="D145" s="188"/>
      <c r="E145" s="188"/>
      <c r="F145" s="188"/>
      <c r="G145" s="206"/>
      <c r="H145" s="206"/>
      <c r="I145" s="207"/>
      <c r="J145" s="208"/>
      <c r="K145" s="193"/>
    </row>
    <row r="146" spans="1:11">
      <c r="A146" s="193"/>
      <c r="B146" s="188"/>
      <c r="C146" s="188"/>
      <c r="D146" s="188"/>
      <c r="E146" s="188"/>
      <c r="F146" s="188"/>
      <c r="G146" s="206"/>
      <c r="H146" s="206"/>
      <c r="I146" s="207"/>
      <c r="J146" s="208"/>
      <c r="K146" s="193"/>
    </row>
    <row r="147" spans="1:11">
      <c r="A147" s="193"/>
      <c r="B147" s="188"/>
      <c r="C147" s="188"/>
      <c r="D147" s="188"/>
      <c r="E147" s="188"/>
      <c r="F147" s="188"/>
      <c r="G147" s="206"/>
      <c r="H147" s="206"/>
      <c r="I147" s="207"/>
      <c r="J147" s="208"/>
      <c r="K147" s="193"/>
    </row>
    <row r="148" spans="1:11">
      <c r="A148" s="193"/>
      <c r="B148" s="188"/>
      <c r="C148" s="188"/>
      <c r="D148" s="188"/>
      <c r="E148" s="188"/>
      <c r="F148" s="188"/>
      <c r="G148" s="206"/>
      <c r="H148" s="206"/>
      <c r="I148" s="207"/>
      <c r="J148" s="208"/>
      <c r="K148" s="193"/>
    </row>
    <row r="149" spans="1:11">
      <c r="A149" s="193"/>
      <c r="B149" s="188"/>
      <c r="C149" s="188"/>
      <c r="D149" s="188"/>
      <c r="E149" s="188"/>
      <c r="F149" s="188"/>
      <c r="G149" s="206"/>
      <c r="H149" s="206"/>
      <c r="I149" s="207"/>
      <c r="J149" s="208"/>
      <c r="K149" s="193"/>
    </row>
    <row r="150" spans="1:11">
      <c r="A150" s="193"/>
      <c r="B150" s="188"/>
      <c r="C150" s="188"/>
      <c r="D150" s="188"/>
      <c r="E150" s="188"/>
      <c r="F150" s="188"/>
      <c r="G150" s="206"/>
      <c r="H150" s="206"/>
      <c r="I150" s="207"/>
      <c r="J150" s="208"/>
      <c r="K150" s="193"/>
    </row>
    <row r="151" spans="1:11">
      <c r="A151" s="193"/>
      <c r="B151" s="188"/>
      <c r="C151" s="188"/>
      <c r="D151" s="188"/>
      <c r="E151" s="188"/>
      <c r="F151" s="188"/>
      <c r="G151" s="206"/>
      <c r="H151" s="206"/>
      <c r="I151" s="207"/>
      <c r="J151" s="208"/>
      <c r="K151" s="193"/>
    </row>
    <row r="152" spans="1:11">
      <c r="A152" s="193"/>
      <c r="B152" s="188"/>
      <c r="C152" s="188"/>
      <c r="D152" s="188"/>
      <c r="E152" s="188"/>
      <c r="F152" s="188"/>
      <c r="G152" s="206"/>
      <c r="H152" s="206"/>
      <c r="I152" s="207"/>
      <c r="J152" s="208"/>
      <c r="K152" s="193"/>
    </row>
    <row r="153" spans="1:11">
      <c r="A153" s="193"/>
      <c r="B153" s="188"/>
      <c r="C153" s="188"/>
      <c r="D153" s="188"/>
      <c r="E153" s="188"/>
      <c r="F153" s="188"/>
      <c r="G153" s="206"/>
      <c r="H153" s="206"/>
      <c r="I153" s="207"/>
      <c r="J153" s="208"/>
      <c r="K153" s="193"/>
    </row>
    <row r="154" spans="1:11">
      <c r="A154" s="193"/>
      <c r="B154" s="188"/>
      <c r="C154" s="188"/>
      <c r="D154" s="188"/>
      <c r="E154" s="188"/>
      <c r="F154" s="188"/>
      <c r="G154" s="206"/>
      <c r="H154" s="206"/>
      <c r="I154" s="207"/>
      <c r="J154" s="208"/>
      <c r="K154" s="193"/>
    </row>
    <row r="155" spans="1:11">
      <c r="A155" s="193"/>
      <c r="B155" s="188"/>
      <c r="C155" s="188"/>
      <c r="D155" s="188"/>
      <c r="E155" s="188"/>
      <c r="F155" s="188"/>
      <c r="G155" s="206"/>
      <c r="H155" s="206"/>
      <c r="I155" s="207"/>
      <c r="J155" s="208"/>
      <c r="K155" s="193"/>
    </row>
    <row r="156" spans="1:11">
      <c r="A156" s="193"/>
      <c r="B156" s="188"/>
      <c r="C156" s="188"/>
      <c r="D156" s="188"/>
      <c r="E156" s="188"/>
      <c r="F156" s="188"/>
      <c r="G156" s="206"/>
      <c r="H156" s="206"/>
      <c r="I156" s="207"/>
      <c r="J156" s="208"/>
      <c r="K156" s="193"/>
    </row>
    <row r="157" spans="1:11">
      <c r="A157" s="193"/>
      <c r="B157" s="188"/>
      <c r="C157" s="188"/>
      <c r="D157" s="188"/>
      <c r="E157" s="188"/>
      <c r="F157" s="188"/>
      <c r="G157" s="206"/>
      <c r="H157" s="206"/>
      <c r="I157" s="207"/>
      <c r="J157" s="208"/>
      <c r="K157" s="193"/>
    </row>
    <row r="158" spans="1:11">
      <c r="A158" s="193"/>
      <c r="B158" s="188"/>
      <c r="C158" s="188"/>
      <c r="D158" s="188"/>
      <c r="E158" s="188"/>
      <c r="F158" s="188"/>
      <c r="G158" s="206"/>
      <c r="H158" s="206"/>
      <c r="I158" s="207"/>
      <c r="J158" s="208"/>
      <c r="K158" s="193"/>
    </row>
    <row r="159" spans="1:11">
      <c r="A159" s="193"/>
      <c r="B159" s="188"/>
      <c r="C159" s="188"/>
      <c r="D159" s="188"/>
      <c r="E159" s="188"/>
      <c r="F159" s="188"/>
      <c r="G159" s="206"/>
      <c r="H159" s="206"/>
      <c r="I159" s="207"/>
      <c r="J159" s="208"/>
      <c r="K159" s="193"/>
    </row>
    <row r="160" spans="1:11">
      <c r="A160" s="193"/>
      <c r="B160" s="188"/>
      <c r="C160" s="188"/>
      <c r="D160" s="188"/>
      <c r="E160" s="188"/>
      <c r="F160" s="188"/>
      <c r="G160" s="206"/>
      <c r="H160" s="206"/>
      <c r="I160" s="207"/>
      <c r="J160" s="208"/>
      <c r="K160" s="193"/>
    </row>
    <row r="161" spans="1:11">
      <c r="A161" s="193"/>
      <c r="B161" s="188"/>
      <c r="C161" s="188"/>
      <c r="D161" s="188"/>
      <c r="E161" s="188"/>
      <c r="F161" s="188"/>
      <c r="G161" s="206"/>
      <c r="H161" s="206"/>
      <c r="I161" s="207"/>
      <c r="J161" s="208"/>
      <c r="K161" s="193"/>
    </row>
    <row r="162" spans="1:11">
      <c r="A162" s="193"/>
      <c r="B162" s="188"/>
      <c r="C162" s="188"/>
      <c r="D162" s="188"/>
      <c r="E162" s="188"/>
      <c r="F162" s="188"/>
      <c r="G162" s="206"/>
      <c r="H162" s="206"/>
      <c r="I162" s="207"/>
      <c r="J162" s="208"/>
      <c r="K162" s="193"/>
    </row>
    <row r="163" spans="1:11">
      <c r="A163" s="193"/>
      <c r="B163" s="188"/>
      <c r="C163" s="188"/>
      <c r="D163" s="188"/>
      <c r="E163" s="188"/>
      <c r="F163" s="188"/>
      <c r="G163" s="206"/>
      <c r="H163" s="206"/>
      <c r="I163" s="207"/>
      <c r="J163" s="208"/>
      <c r="K163" s="193"/>
    </row>
    <row r="164" spans="1:11">
      <c r="A164" s="193"/>
      <c r="B164" s="188"/>
      <c r="C164" s="188"/>
      <c r="D164" s="188"/>
      <c r="E164" s="188"/>
      <c r="F164" s="188"/>
      <c r="G164" s="206"/>
      <c r="H164" s="206"/>
      <c r="I164" s="207"/>
      <c r="J164" s="208"/>
      <c r="K164" s="193"/>
    </row>
    <row r="165" spans="1:11">
      <c r="A165" s="193"/>
      <c r="B165" s="188"/>
      <c r="C165" s="188"/>
      <c r="D165" s="188"/>
      <c r="E165" s="188"/>
      <c r="F165" s="188"/>
      <c r="G165" s="206"/>
      <c r="H165" s="206"/>
      <c r="I165" s="207"/>
      <c r="J165" s="208"/>
      <c r="K165" s="193"/>
    </row>
    <row r="166" spans="1:11">
      <c r="A166" s="193"/>
      <c r="B166" s="188"/>
      <c r="C166" s="188"/>
      <c r="D166" s="188"/>
      <c r="E166" s="188"/>
      <c r="F166" s="188"/>
      <c r="G166" s="206"/>
      <c r="H166" s="206"/>
      <c r="I166" s="207"/>
      <c r="J166" s="208"/>
      <c r="K166" s="193"/>
    </row>
    <row r="167" spans="1:11">
      <c r="A167" s="193"/>
      <c r="B167" s="188"/>
      <c r="C167" s="188"/>
      <c r="D167" s="188"/>
      <c r="E167" s="188"/>
      <c r="F167" s="188"/>
      <c r="G167" s="206"/>
      <c r="H167" s="206"/>
      <c r="I167" s="207"/>
      <c r="J167" s="208"/>
      <c r="K167" s="193"/>
    </row>
    <row r="168" spans="1:11">
      <c r="A168" s="193"/>
      <c r="B168" s="188"/>
      <c r="C168" s="188"/>
      <c r="D168" s="188"/>
      <c r="E168" s="188"/>
      <c r="F168" s="188"/>
      <c r="G168" s="206"/>
      <c r="H168" s="206"/>
      <c r="I168" s="207"/>
      <c r="J168" s="208"/>
      <c r="K168" s="193"/>
    </row>
    <row r="169" spans="1:11">
      <c r="A169" s="193"/>
      <c r="B169" s="188"/>
      <c r="C169" s="188"/>
      <c r="D169" s="188"/>
      <c r="E169" s="188"/>
      <c r="F169" s="188"/>
      <c r="G169" s="206"/>
      <c r="H169" s="206"/>
      <c r="I169" s="207"/>
      <c r="J169" s="208"/>
      <c r="K169" s="193"/>
    </row>
    <row r="170" spans="1:11">
      <c r="A170" s="193"/>
      <c r="B170" s="188"/>
      <c r="C170" s="188"/>
      <c r="D170" s="188"/>
      <c r="E170" s="188"/>
      <c r="F170" s="188"/>
      <c r="G170" s="206"/>
      <c r="H170" s="206"/>
      <c r="I170" s="207"/>
      <c r="J170" s="208"/>
      <c r="K170" s="193"/>
    </row>
    <row r="171" spans="1:11">
      <c r="A171" s="193"/>
      <c r="B171" s="188"/>
      <c r="C171" s="188"/>
      <c r="D171" s="188"/>
      <c r="E171" s="188"/>
      <c r="F171" s="188"/>
      <c r="G171" s="206"/>
      <c r="H171" s="206"/>
      <c r="I171" s="207"/>
      <c r="J171" s="208"/>
      <c r="K171" s="193"/>
    </row>
    <row r="172" spans="1:11">
      <c r="A172" s="193"/>
      <c r="B172" s="188"/>
      <c r="C172" s="188"/>
      <c r="D172" s="188"/>
      <c r="E172" s="188"/>
      <c r="F172" s="188"/>
      <c r="G172" s="206"/>
      <c r="H172" s="206"/>
      <c r="I172" s="207"/>
      <c r="J172" s="208"/>
      <c r="K172" s="193"/>
    </row>
    <row r="173" spans="1:11">
      <c r="A173" s="193"/>
      <c r="B173" s="188"/>
      <c r="C173" s="188"/>
      <c r="D173" s="188"/>
      <c r="E173" s="188"/>
      <c r="F173" s="188"/>
      <c r="G173" s="206"/>
      <c r="H173" s="206"/>
      <c r="I173" s="207"/>
      <c r="J173" s="208"/>
      <c r="K173" s="193"/>
    </row>
    <row r="174" spans="1:11">
      <c r="A174" s="193"/>
      <c r="B174" s="188"/>
      <c r="C174" s="188"/>
      <c r="D174" s="188"/>
      <c r="E174" s="188"/>
      <c r="F174" s="188"/>
      <c r="G174" s="206"/>
      <c r="H174" s="206"/>
      <c r="I174" s="207"/>
      <c r="J174" s="208"/>
      <c r="K174" s="193"/>
    </row>
    <row r="175" spans="1:11">
      <c r="A175" s="193"/>
      <c r="B175" s="188"/>
      <c r="C175" s="188"/>
      <c r="D175" s="188"/>
      <c r="E175" s="188"/>
      <c r="F175" s="188"/>
      <c r="G175" s="206"/>
      <c r="H175" s="206"/>
      <c r="I175" s="207"/>
      <c r="J175" s="208"/>
      <c r="K175" s="193"/>
    </row>
    <row r="176" spans="1:11">
      <c r="A176" s="193"/>
      <c r="B176" s="188"/>
      <c r="C176" s="188"/>
      <c r="D176" s="188"/>
      <c r="E176" s="188"/>
      <c r="F176" s="188"/>
      <c r="G176" s="206"/>
      <c r="H176" s="206"/>
      <c r="I176" s="207"/>
      <c r="J176" s="208"/>
      <c r="K176" s="193"/>
    </row>
    <row r="177" spans="1:11">
      <c r="A177" s="193"/>
      <c r="B177" s="188"/>
      <c r="C177" s="188"/>
      <c r="D177" s="188"/>
      <c r="E177" s="188"/>
      <c r="F177" s="188"/>
      <c r="G177" s="206"/>
      <c r="H177" s="206"/>
      <c r="I177" s="207"/>
      <c r="J177" s="208"/>
      <c r="K177" s="193"/>
    </row>
    <row r="178" spans="1:11">
      <c r="A178" s="193"/>
      <c r="B178" s="188"/>
      <c r="C178" s="188"/>
      <c r="D178" s="188"/>
      <c r="E178" s="188"/>
      <c r="F178" s="188"/>
      <c r="G178" s="206"/>
      <c r="H178" s="206"/>
      <c r="I178" s="207"/>
      <c r="J178" s="208"/>
      <c r="K178" s="193"/>
    </row>
    <row r="179" spans="1:11">
      <c r="A179" s="193"/>
      <c r="B179" s="188"/>
      <c r="C179" s="188"/>
      <c r="D179" s="188"/>
      <c r="E179" s="188"/>
      <c r="F179" s="188"/>
      <c r="G179" s="206"/>
      <c r="H179" s="206"/>
      <c r="I179" s="207"/>
      <c r="J179" s="208"/>
      <c r="K179" s="193"/>
    </row>
    <row r="180" spans="1:11">
      <c r="A180" s="193"/>
      <c r="B180" s="188"/>
      <c r="C180" s="188"/>
      <c r="D180" s="188"/>
      <c r="E180" s="188"/>
      <c r="F180" s="188"/>
      <c r="G180" s="206"/>
      <c r="H180" s="206"/>
      <c r="I180" s="207"/>
      <c r="J180" s="208"/>
      <c r="K180" s="193"/>
    </row>
    <row r="181" spans="1:11">
      <c r="A181" s="193"/>
      <c r="B181" s="188"/>
      <c r="C181" s="188"/>
      <c r="D181" s="188"/>
      <c r="E181" s="188"/>
      <c r="F181" s="188"/>
      <c r="G181" s="206"/>
      <c r="H181" s="206"/>
      <c r="I181" s="207"/>
      <c r="J181" s="208"/>
      <c r="K181" s="193"/>
    </row>
    <row r="182" spans="1:11">
      <c r="A182" s="193"/>
      <c r="B182" s="188"/>
      <c r="C182" s="188"/>
      <c r="D182" s="188"/>
      <c r="E182" s="188"/>
      <c r="F182" s="188"/>
      <c r="G182" s="206"/>
      <c r="H182" s="206"/>
      <c r="I182" s="207"/>
      <c r="J182" s="208"/>
      <c r="K182" s="193"/>
    </row>
    <row r="183" spans="1:11">
      <c r="A183" s="193"/>
      <c r="B183" s="188"/>
      <c r="C183" s="188"/>
      <c r="D183" s="188"/>
      <c r="E183" s="188"/>
      <c r="F183" s="188"/>
      <c r="G183" s="206"/>
      <c r="H183" s="206"/>
      <c r="I183" s="207"/>
      <c r="J183" s="208"/>
      <c r="K183" s="193"/>
    </row>
    <row r="184" spans="1:11">
      <c r="A184" s="193"/>
      <c r="B184" s="188"/>
      <c r="C184" s="188"/>
      <c r="D184" s="188"/>
      <c r="E184" s="188"/>
      <c r="F184" s="188"/>
      <c r="G184" s="206"/>
      <c r="H184" s="206"/>
      <c r="I184" s="207"/>
      <c r="J184" s="208"/>
      <c r="K184" s="193"/>
    </row>
    <row r="185" spans="1:11">
      <c r="A185" s="193"/>
      <c r="B185" s="188"/>
      <c r="C185" s="188"/>
      <c r="D185" s="188"/>
      <c r="E185" s="188"/>
      <c r="F185" s="188"/>
      <c r="G185" s="206"/>
      <c r="H185" s="206"/>
      <c r="I185" s="207"/>
      <c r="J185" s="208"/>
      <c r="K185" s="193"/>
    </row>
    <row r="186" spans="1:11">
      <c r="A186" s="193"/>
      <c r="B186" s="188"/>
      <c r="C186" s="188"/>
      <c r="D186" s="188"/>
      <c r="E186" s="188"/>
      <c r="F186" s="188"/>
      <c r="G186" s="206"/>
      <c r="H186" s="206"/>
      <c r="I186" s="207"/>
      <c r="J186" s="208"/>
      <c r="K186" s="193"/>
    </row>
    <row r="187" spans="1:11">
      <c r="A187" s="193"/>
      <c r="B187" s="188"/>
      <c r="C187" s="188"/>
      <c r="D187" s="188"/>
      <c r="E187" s="188"/>
      <c r="F187" s="188"/>
      <c r="G187" s="206"/>
      <c r="H187" s="206"/>
      <c r="I187" s="207"/>
      <c r="J187" s="208"/>
      <c r="K187" s="193"/>
    </row>
    <row r="188" spans="1:11">
      <c r="A188" s="193"/>
      <c r="B188" s="188"/>
      <c r="C188" s="188"/>
      <c r="D188" s="188"/>
      <c r="E188" s="188"/>
      <c r="F188" s="188"/>
      <c r="G188" s="206"/>
      <c r="H188" s="206"/>
      <c r="I188" s="207"/>
      <c r="J188" s="208"/>
      <c r="K188" s="193"/>
    </row>
    <row r="189" spans="1:11">
      <c r="A189" s="193"/>
      <c r="B189" s="188"/>
      <c r="C189" s="188"/>
      <c r="D189" s="188"/>
      <c r="E189" s="188"/>
      <c r="F189" s="188"/>
      <c r="G189" s="206"/>
      <c r="H189" s="206"/>
      <c r="I189" s="207"/>
      <c r="J189" s="208"/>
      <c r="K189" s="193"/>
    </row>
    <row r="190" spans="1:11">
      <c r="A190" s="193"/>
      <c r="B190" s="188"/>
      <c r="C190" s="188"/>
      <c r="D190" s="188"/>
      <c r="E190" s="188"/>
      <c r="F190" s="188"/>
      <c r="G190" s="206"/>
      <c r="H190" s="206"/>
      <c r="I190" s="207"/>
      <c r="J190" s="208"/>
      <c r="K190" s="193"/>
    </row>
    <row r="191" spans="1:11">
      <c r="A191" s="193"/>
      <c r="B191" s="188"/>
      <c r="C191" s="188"/>
      <c r="D191" s="188"/>
      <c r="E191" s="188"/>
      <c r="F191" s="188"/>
      <c r="G191" s="206"/>
      <c r="H191" s="206"/>
      <c r="I191" s="207"/>
      <c r="J191" s="208"/>
      <c r="K191" s="193"/>
    </row>
    <row r="192" spans="1:11">
      <c r="A192" s="193"/>
      <c r="B192" s="188"/>
      <c r="C192" s="188"/>
      <c r="D192" s="188"/>
      <c r="E192" s="188"/>
      <c r="F192" s="188"/>
      <c r="G192" s="206"/>
      <c r="H192" s="206"/>
      <c r="I192" s="207"/>
      <c r="J192" s="208"/>
      <c r="K192" s="193"/>
    </row>
    <row r="193" spans="1:11">
      <c r="A193" s="193"/>
      <c r="B193" s="188"/>
      <c r="C193" s="188"/>
      <c r="D193" s="188"/>
      <c r="E193" s="188"/>
      <c r="F193" s="188"/>
      <c r="G193" s="206"/>
      <c r="H193" s="206"/>
      <c r="I193" s="207"/>
      <c r="J193" s="208"/>
      <c r="K193" s="193"/>
    </row>
    <row r="194" spans="1:11">
      <c r="A194" s="193"/>
      <c r="B194" s="188"/>
      <c r="C194" s="188"/>
      <c r="D194" s="188"/>
      <c r="E194" s="188"/>
      <c r="F194" s="188"/>
      <c r="G194" s="206"/>
      <c r="H194" s="206"/>
      <c r="I194" s="207"/>
      <c r="J194" s="208"/>
      <c r="K194" s="193"/>
    </row>
    <row r="195" spans="1:11">
      <c r="A195" s="193"/>
      <c r="B195" s="188"/>
      <c r="C195" s="188"/>
      <c r="D195" s="188"/>
      <c r="E195" s="188"/>
      <c r="F195" s="188"/>
      <c r="G195" s="206"/>
      <c r="H195" s="206"/>
      <c r="I195" s="207"/>
      <c r="J195" s="208"/>
      <c r="K195" s="193"/>
    </row>
    <row r="196" spans="1:11">
      <c r="A196" s="193"/>
      <c r="B196" s="188"/>
      <c r="C196" s="188"/>
      <c r="D196" s="188"/>
      <c r="E196" s="188"/>
      <c r="F196" s="188"/>
      <c r="G196" s="206"/>
      <c r="H196" s="206"/>
      <c r="I196" s="207"/>
      <c r="J196" s="208"/>
      <c r="K196" s="193"/>
    </row>
    <row r="197" spans="1:11">
      <c r="A197" s="193"/>
      <c r="B197" s="188"/>
      <c r="C197" s="188"/>
      <c r="D197" s="188"/>
      <c r="E197" s="188"/>
      <c r="F197" s="188"/>
      <c r="G197" s="206"/>
      <c r="H197" s="206"/>
      <c r="I197" s="207"/>
      <c r="J197" s="208"/>
      <c r="K197" s="193"/>
    </row>
    <row r="198" spans="1:11">
      <c r="A198" s="193"/>
      <c r="B198" s="188"/>
      <c r="C198" s="188"/>
      <c r="D198" s="188"/>
      <c r="E198" s="188"/>
      <c r="F198" s="188"/>
      <c r="G198" s="206"/>
      <c r="H198" s="206"/>
      <c r="I198" s="207"/>
      <c r="J198" s="208"/>
      <c r="K198" s="193"/>
    </row>
    <row r="199" spans="1:11">
      <c r="A199" s="193"/>
      <c r="B199" s="188"/>
      <c r="C199" s="188"/>
      <c r="D199" s="188"/>
      <c r="E199" s="188"/>
      <c r="F199" s="188"/>
      <c r="G199" s="206"/>
      <c r="H199" s="206"/>
      <c r="I199" s="207"/>
      <c r="J199" s="208"/>
      <c r="K199" s="193"/>
    </row>
    <row r="200" spans="1:11">
      <c r="A200" s="193"/>
      <c r="B200" s="188"/>
      <c r="C200" s="188"/>
      <c r="D200" s="188"/>
      <c r="E200" s="188"/>
      <c r="F200" s="188"/>
      <c r="G200" s="206"/>
      <c r="H200" s="206"/>
      <c r="I200" s="207"/>
      <c r="J200" s="208"/>
      <c r="K200" s="193"/>
    </row>
    <row r="201" spans="1:11">
      <c r="A201" s="193"/>
      <c r="B201" s="188"/>
      <c r="C201" s="188"/>
      <c r="D201" s="188"/>
      <c r="E201" s="188"/>
      <c r="F201" s="188"/>
      <c r="G201" s="206"/>
      <c r="H201" s="206"/>
      <c r="I201" s="207"/>
      <c r="J201" s="208"/>
      <c r="K201" s="193"/>
    </row>
    <row r="202" spans="1:11">
      <c r="A202" s="193"/>
      <c r="B202" s="188"/>
      <c r="C202" s="188"/>
      <c r="D202" s="188"/>
      <c r="E202" s="188"/>
      <c r="F202" s="188"/>
      <c r="G202" s="206"/>
      <c r="H202" s="206"/>
      <c r="I202" s="207"/>
      <c r="J202" s="208"/>
      <c r="K202" s="193"/>
    </row>
    <row r="203" spans="1:11">
      <c r="A203" s="193"/>
      <c r="B203" s="188"/>
      <c r="C203" s="188"/>
      <c r="D203" s="188"/>
      <c r="E203" s="188"/>
      <c r="F203" s="188"/>
      <c r="G203" s="206"/>
      <c r="H203" s="206"/>
      <c r="I203" s="207"/>
      <c r="J203" s="208"/>
      <c r="K203" s="193"/>
    </row>
    <row r="204" spans="1:11">
      <c r="A204" s="193"/>
      <c r="B204" s="188"/>
      <c r="C204" s="188"/>
      <c r="D204" s="188"/>
      <c r="E204" s="188"/>
      <c r="F204" s="188"/>
      <c r="G204" s="206"/>
      <c r="H204" s="206"/>
      <c r="I204" s="207"/>
      <c r="J204" s="208"/>
      <c r="K204" s="193"/>
    </row>
    <row r="205" spans="1:11">
      <c r="A205" s="209"/>
      <c r="B205" s="210"/>
      <c r="C205" s="210"/>
      <c r="D205" s="210"/>
      <c r="E205" s="210"/>
      <c r="F205" s="210"/>
      <c r="G205" s="211"/>
      <c r="H205" s="211"/>
      <c r="I205" s="212"/>
      <c r="J205" s="213"/>
      <c r="K205" s="209"/>
    </row>
  </sheetData>
  <mergeCells count="36">
    <mergeCell ref="K72:K73"/>
    <mergeCell ref="B142:F142"/>
    <mergeCell ref="B88:C89"/>
    <mergeCell ref="A98:K98"/>
    <mergeCell ref="A112:K112"/>
    <mergeCell ref="A140:A141"/>
    <mergeCell ref="B140:F141"/>
    <mergeCell ref="G140:G141"/>
    <mergeCell ref="H140:H141"/>
    <mergeCell ref="I140:I141"/>
    <mergeCell ref="J140:J141"/>
    <mergeCell ref="K140:K141"/>
    <mergeCell ref="A72:A73"/>
    <mergeCell ref="B72:F73"/>
    <mergeCell ref="B26:F26"/>
    <mergeCell ref="B74:F74"/>
    <mergeCell ref="G72:G73"/>
    <mergeCell ref="J20:J21"/>
    <mergeCell ref="H72:H73"/>
    <mergeCell ref="I72:I73"/>
    <mergeCell ref="J72:J73"/>
    <mergeCell ref="K20:K21"/>
    <mergeCell ref="A22:K22"/>
    <mergeCell ref="A24:A25"/>
    <mergeCell ref="B24:F25"/>
    <mergeCell ref="G24:G25"/>
    <mergeCell ref="H24:H25"/>
    <mergeCell ref="I24:I25"/>
    <mergeCell ref="J24:J25"/>
    <mergeCell ref="K24:K25"/>
    <mergeCell ref="A1:K1"/>
    <mergeCell ref="A2:K2"/>
    <mergeCell ref="A3:K3"/>
    <mergeCell ref="A4:K4"/>
    <mergeCell ref="J18:J19"/>
    <mergeCell ref="K18:K19"/>
  </mergeCells>
  <pageMargins left="0.51181102362204722" right="0.35433070866141736" top="0.39370078740157483" bottom="0.39370078740157483" header="0.51181102362204722" footer="0.51181102362204722"/>
  <pageSetup paperSize="9" scale="80" orientation="portrait" r:id="rId1"/>
  <headerFooter alignWithMargins="0"/>
</worksheet>
</file>

<file path=xl/worksheets/sheet33.xml><?xml version="1.0" encoding="utf-8"?>
<worksheet xmlns="http://schemas.openxmlformats.org/spreadsheetml/2006/main" xmlns:r="http://schemas.openxmlformats.org/officeDocument/2006/relationships">
  <sheetPr>
    <tabColor rgb="FF002060"/>
  </sheetPr>
  <dimension ref="A1:K207"/>
  <sheetViews>
    <sheetView view="pageBreakPreview" topLeftCell="A34" workbookViewId="0">
      <selection activeCell="A4" sqref="A4:K4"/>
    </sheetView>
  </sheetViews>
  <sheetFormatPr defaultColWidth="9.140625" defaultRowHeight="12.75"/>
  <cols>
    <col min="1" max="1" width="7.140625" style="13" customWidth="1"/>
    <col min="2" max="2" width="8.42578125" style="13" customWidth="1"/>
    <col min="3" max="3" width="8.85546875" style="13" customWidth="1"/>
    <col min="4" max="4" width="11.28515625" style="13" customWidth="1"/>
    <col min="5" max="5" width="10.140625" style="13" customWidth="1"/>
    <col min="6" max="6" width="11" style="13" customWidth="1"/>
    <col min="7" max="7" width="12.7109375" style="13" customWidth="1"/>
    <col min="8" max="8" width="6.42578125" style="13" customWidth="1"/>
    <col min="9" max="9" width="13" style="13" customWidth="1"/>
    <col min="10" max="10" width="13.140625" style="13" customWidth="1"/>
    <col min="11" max="11" width="12.7109375" style="13" customWidth="1"/>
    <col min="12" max="12" width="10" style="13" bestFit="1" customWidth="1"/>
    <col min="13" max="256" width="9.140625" style="13"/>
    <col min="257" max="257" width="7.140625" style="13" customWidth="1"/>
    <col min="258" max="258" width="8.42578125" style="13" customWidth="1"/>
    <col min="259" max="259" width="8.85546875" style="13" customWidth="1"/>
    <col min="260" max="260" width="11.28515625" style="13" customWidth="1"/>
    <col min="261" max="261" width="10.140625" style="13" customWidth="1"/>
    <col min="262" max="262" width="11" style="13" customWidth="1"/>
    <col min="263" max="263" width="12.7109375" style="13" customWidth="1"/>
    <col min="264" max="264" width="6.42578125" style="13" customWidth="1"/>
    <col min="265" max="265" width="13.42578125" style="13" customWidth="1"/>
    <col min="266" max="266" width="14" style="13" customWidth="1"/>
    <col min="267" max="267" width="14.5703125" style="13" customWidth="1"/>
    <col min="268" max="268" width="10" style="13" bestFit="1" customWidth="1"/>
    <col min="269" max="512" width="9.140625" style="13"/>
    <col min="513" max="513" width="7.140625" style="13" customWidth="1"/>
    <col min="514" max="514" width="8.42578125" style="13" customWidth="1"/>
    <col min="515" max="515" width="8.85546875" style="13" customWidth="1"/>
    <col min="516" max="516" width="11.28515625" style="13" customWidth="1"/>
    <col min="517" max="517" width="10.140625" style="13" customWidth="1"/>
    <col min="518" max="518" width="11" style="13" customWidth="1"/>
    <col min="519" max="519" width="12.7109375" style="13" customWidth="1"/>
    <col min="520" max="520" width="6.42578125" style="13" customWidth="1"/>
    <col min="521" max="521" width="13.42578125" style="13" customWidth="1"/>
    <col min="522" max="522" width="14" style="13" customWidth="1"/>
    <col min="523" max="523" width="14.5703125" style="13" customWidth="1"/>
    <col min="524" max="524" width="10" style="13" bestFit="1" customWidth="1"/>
    <col min="525" max="768" width="9.140625" style="13"/>
    <col min="769" max="769" width="7.140625" style="13" customWidth="1"/>
    <col min="770" max="770" width="8.42578125" style="13" customWidth="1"/>
    <col min="771" max="771" width="8.85546875" style="13" customWidth="1"/>
    <col min="772" max="772" width="11.28515625" style="13" customWidth="1"/>
    <col min="773" max="773" width="10.140625" style="13" customWidth="1"/>
    <col min="774" max="774" width="11" style="13" customWidth="1"/>
    <col min="775" max="775" width="12.7109375" style="13" customWidth="1"/>
    <col min="776" max="776" width="6.42578125" style="13" customWidth="1"/>
    <col min="777" max="777" width="13.42578125" style="13" customWidth="1"/>
    <col min="778" max="778" width="14" style="13" customWidth="1"/>
    <col min="779" max="779" width="14.5703125" style="13" customWidth="1"/>
    <col min="780" max="780" width="10" style="13" bestFit="1" customWidth="1"/>
    <col min="781" max="1024" width="9.140625" style="13"/>
    <col min="1025" max="1025" width="7.140625" style="13" customWidth="1"/>
    <col min="1026" max="1026" width="8.42578125" style="13" customWidth="1"/>
    <col min="1027" max="1027" width="8.85546875" style="13" customWidth="1"/>
    <col min="1028" max="1028" width="11.28515625" style="13" customWidth="1"/>
    <col min="1029" max="1029" width="10.140625" style="13" customWidth="1"/>
    <col min="1030" max="1030" width="11" style="13" customWidth="1"/>
    <col min="1031" max="1031" width="12.7109375" style="13" customWidth="1"/>
    <col min="1032" max="1032" width="6.42578125" style="13" customWidth="1"/>
    <col min="1033" max="1033" width="13.42578125" style="13" customWidth="1"/>
    <col min="1034" max="1034" width="14" style="13" customWidth="1"/>
    <col min="1035" max="1035" width="14.5703125" style="13" customWidth="1"/>
    <col min="1036" max="1036" width="10" style="13" bestFit="1" customWidth="1"/>
    <col min="1037" max="1280" width="9.140625" style="13"/>
    <col min="1281" max="1281" width="7.140625" style="13" customWidth="1"/>
    <col min="1282" max="1282" width="8.42578125" style="13" customWidth="1"/>
    <col min="1283" max="1283" width="8.85546875" style="13" customWidth="1"/>
    <col min="1284" max="1284" width="11.28515625" style="13" customWidth="1"/>
    <col min="1285" max="1285" width="10.140625" style="13" customWidth="1"/>
    <col min="1286" max="1286" width="11" style="13" customWidth="1"/>
    <col min="1287" max="1287" width="12.7109375" style="13" customWidth="1"/>
    <col min="1288" max="1288" width="6.42578125" style="13" customWidth="1"/>
    <col min="1289" max="1289" width="13.42578125" style="13" customWidth="1"/>
    <col min="1290" max="1290" width="14" style="13" customWidth="1"/>
    <col min="1291" max="1291" width="14.5703125" style="13" customWidth="1"/>
    <col min="1292" max="1292" width="10" style="13" bestFit="1" customWidth="1"/>
    <col min="1293" max="1536" width="9.140625" style="13"/>
    <col min="1537" max="1537" width="7.140625" style="13" customWidth="1"/>
    <col min="1538" max="1538" width="8.42578125" style="13" customWidth="1"/>
    <col min="1539" max="1539" width="8.85546875" style="13" customWidth="1"/>
    <col min="1540" max="1540" width="11.28515625" style="13" customWidth="1"/>
    <col min="1541" max="1541" width="10.140625" style="13" customWidth="1"/>
    <col min="1542" max="1542" width="11" style="13" customWidth="1"/>
    <col min="1543" max="1543" width="12.7109375" style="13" customWidth="1"/>
    <col min="1544" max="1544" width="6.42578125" style="13" customWidth="1"/>
    <col min="1545" max="1545" width="13.42578125" style="13" customWidth="1"/>
    <col min="1546" max="1546" width="14" style="13" customWidth="1"/>
    <col min="1547" max="1547" width="14.5703125" style="13" customWidth="1"/>
    <col min="1548" max="1548" width="10" style="13" bestFit="1" customWidth="1"/>
    <col min="1549" max="1792" width="9.140625" style="13"/>
    <col min="1793" max="1793" width="7.140625" style="13" customWidth="1"/>
    <col min="1794" max="1794" width="8.42578125" style="13" customWidth="1"/>
    <col min="1795" max="1795" width="8.85546875" style="13" customWidth="1"/>
    <col min="1796" max="1796" width="11.28515625" style="13" customWidth="1"/>
    <col min="1797" max="1797" width="10.140625" style="13" customWidth="1"/>
    <col min="1798" max="1798" width="11" style="13" customWidth="1"/>
    <col min="1799" max="1799" width="12.7109375" style="13" customWidth="1"/>
    <col min="1800" max="1800" width="6.42578125" style="13" customWidth="1"/>
    <col min="1801" max="1801" width="13.42578125" style="13" customWidth="1"/>
    <col min="1802" max="1802" width="14" style="13" customWidth="1"/>
    <col min="1803" max="1803" width="14.5703125" style="13" customWidth="1"/>
    <col min="1804" max="1804" width="10" style="13" bestFit="1" customWidth="1"/>
    <col min="1805" max="2048" width="9.140625" style="13"/>
    <col min="2049" max="2049" width="7.140625" style="13" customWidth="1"/>
    <col min="2050" max="2050" width="8.42578125" style="13" customWidth="1"/>
    <col min="2051" max="2051" width="8.85546875" style="13" customWidth="1"/>
    <col min="2052" max="2052" width="11.28515625" style="13" customWidth="1"/>
    <col min="2053" max="2053" width="10.140625" style="13" customWidth="1"/>
    <col min="2054" max="2054" width="11" style="13" customWidth="1"/>
    <col min="2055" max="2055" width="12.7109375" style="13" customWidth="1"/>
    <col min="2056" max="2056" width="6.42578125" style="13" customWidth="1"/>
    <col min="2057" max="2057" width="13.42578125" style="13" customWidth="1"/>
    <col min="2058" max="2058" width="14" style="13" customWidth="1"/>
    <col min="2059" max="2059" width="14.5703125" style="13" customWidth="1"/>
    <col min="2060" max="2060" width="10" style="13" bestFit="1" customWidth="1"/>
    <col min="2061" max="2304" width="9.140625" style="13"/>
    <col min="2305" max="2305" width="7.140625" style="13" customWidth="1"/>
    <col min="2306" max="2306" width="8.42578125" style="13" customWidth="1"/>
    <col min="2307" max="2307" width="8.85546875" style="13" customWidth="1"/>
    <col min="2308" max="2308" width="11.28515625" style="13" customWidth="1"/>
    <col min="2309" max="2309" width="10.140625" style="13" customWidth="1"/>
    <col min="2310" max="2310" width="11" style="13" customWidth="1"/>
    <col min="2311" max="2311" width="12.7109375" style="13" customWidth="1"/>
    <col min="2312" max="2312" width="6.42578125" style="13" customWidth="1"/>
    <col min="2313" max="2313" width="13.42578125" style="13" customWidth="1"/>
    <col min="2314" max="2314" width="14" style="13" customWidth="1"/>
    <col min="2315" max="2315" width="14.5703125" style="13" customWidth="1"/>
    <col min="2316" max="2316" width="10" style="13" bestFit="1" customWidth="1"/>
    <col min="2317" max="2560" width="9.140625" style="13"/>
    <col min="2561" max="2561" width="7.140625" style="13" customWidth="1"/>
    <col min="2562" max="2562" width="8.42578125" style="13" customWidth="1"/>
    <col min="2563" max="2563" width="8.85546875" style="13" customWidth="1"/>
    <col min="2564" max="2564" width="11.28515625" style="13" customWidth="1"/>
    <col min="2565" max="2565" width="10.140625" style="13" customWidth="1"/>
    <col min="2566" max="2566" width="11" style="13" customWidth="1"/>
    <col min="2567" max="2567" width="12.7109375" style="13" customWidth="1"/>
    <col min="2568" max="2568" width="6.42578125" style="13" customWidth="1"/>
    <col min="2569" max="2569" width="13.42578125" style="13" customWidth="1"/>
    <col min="2570" max="2570" width="14" style="13" customWidth="1"/>
    <col min="2571" max="2571" width="14.5703125" style="13" customWidth="1"/>
    <col min="2572" max="2572" width="10" style="13" bestFit="1" customWidth="1"/>
    <col min="2573" max="2816" width="9.140625" style="13"/>
    <col min="2817" max="2817" width="7.140625" style="13" customWidth="1"/>
    <col min="2818" max="2818" width="8.42578125" style="13" customWidth="1"/>
    <col min="2819" max="2819" width="8.85546875" style="13" customWidth="1"/>
    <col min="2820" max="2820" width="11.28515625" style="13" customWidth="1"/>
    <col min="2821" max="2821" width="10.140625" style="13" customWidth="1"/>
    <col min="2822" max="2822" width="11" style="13" customWidth="1"/>
    <col min="2823" max="2823" width="12.7109375" style="13" customWidth="1"/>
    <col min="2824" max="2824" width="6.42578125" style="13" customWidth="1"/>
    <col min="2825" max="2825" width="13.42578125" style="13" customWidth="1"/>
    <col min="2826" max="2826" width="14" style="13" customWidth="1"/>
    <col min="2827" max="2827" width="14.5703125" style="13" customWidth="1"/>
    <col min="2828" max="2828" width="10" style="13" bestFit="1" customWidth="1"/>
    <col min="2829" max="3072" width="9.140625" style="13"/>
    <col min="3073" max="3073" width="7.140625" style="13" customWidth="1"/>
    <col min="3074" max="3074" width="8.42578125" style="13" customWidth="1"/>
    <col min="3075" max="3075" width="8.85546875" style="13" customWidth="1"/>
    <col min="3076" max="3076" width="11.28515625" style="13" customWidth="1"/>
    <col min="3077" max="3077" width="10.140625" style="13" customWidth="1"/>
    <col min="3078" max="3078" width="11" style="13" customWidth="1"/>
    <col min="3079" max="3079" width="12.7109375" style="13" customWidth="1"/>
    <col min="3080" max="3080" width="6.42578125" style="13" customWidth="1"/>
    <col min="3081" max="3081" width="13.42578125" style="13" customWidth="1"/>
    <col min="3082" max="3082" width="14" style="13" customWidth="1"/>
    <col min="3083" max="3083" width="14.5703125" style="13" customWidth="1"/>
    <col min="3084" max="3084" width="10" style="13" bestFit="1" customWidth="1"/>
    <col min="3085" max="3328" width="9.140625" style="13"/>
    <col min="3329" max="3329" width="7.140625" style="13" customWidth="1"/>
    <col min="3330" max="3330" width="8.42578125" style="13" customWidth="1"/>
    <col min="3331" max="3331" width="8.85546875" style="13" customWidth="1"/>
    <col min="3332" max="3332" width="11.28515625" style="13" customWidth="1"/>
    <col min="3333" max="3333" width="10.140625" style="13" customWidth="1"/>
    <col min="3334" max="3334" width="11" style="13" customWidth="1"/>
    <col min="3335" max="3335" width="12.7109375" style="13" customWidth="1"/>
    <col min="3336" max="3336" width="6.42578125" style="13" customWidth="1"/>
    <col min="3337" max="3337" width="13.42578125" style="13" customWidth="1"/>
    <col min="3338" max="3338" width="14" style="13" customWidth="1"/>
    <col min="3339" max="3339" width="14.5703125" style="13" customWidth="1"/>
    <col min="3340" max="3340" width="10" style="13" bestFit="1" customWidth="1"/>
    <col min="3341" max="3584" width="9.140625" style="13"/>
    <col min="3585" max="3585" width="7.140625" style="13" customWidth="1"/>
    <col min="3586" max="3586" width="8.42578125" style="13" customWidth="1"/>
    <col min="3587" max="3587" width="8.85546875" style="13" customWidth="1"/>
    <col min="3588" max="3588" width="11.28515625" style="13" customWidth="1"/>
    <col min="3589" max="3589" width="10.140625" style="13" customWidth="1"/>
    <col min="3590" max="3590" width="11" style="13" customWidth="1"/>
    <col min="3591" max="3591" width="12.7109375" style="13" customWidth="1"/>
    <col min="3592" max="3592" width="6.42578125" style="13" customWidth="1"/>
    <col min="3593" max="3593" width="13.42578125" style="13" customWidth="1"/>
    <col min="3594" max="3594" width="14" style="13" customWidth="1"/>
    <col min="3595" max="3595" width="14.5703125" style="13" customWidth="1"/>
    <col min="3596" max="3596" width="10" style="13" bestFit="1" customWidth="1"/>
    <col min="3597" max="3840" width="9.140625" style="13"/>
    <col min="3841" max="3841" width="7.140625" style="13" customWidth="1"/>
    <col min="3842" max="3842" width="8.42578125" style="13" customWidth="1"/>
    <col min="3843" max="3843" width="8.85546875" style="13" customWidth="1"/>
    <col min="3844" max="3844" width="11.28515625" style="13" customWidth="1"/>
    <col min="3845" max="3845" width="10.140625" style="13" customWidth="1"/>
    <col min="3846" max="3846" width="11" style="13" customWidth="1"/>
    <col min="3847" max="3847" width="12.7109375" style="13" customWidth="1"/>
    <col min="3848" max="3848" width="6.42578125" style="13" customWidth="1"/>
    <col min="3849" max="3849" width="13.42578125" style="13" customWidth="1"/>
    <col min="3850" max="3850" width="14" style="13" customWidth="1"/>
    <col min="3851" max="3851" width="14.5703125" style="13" customWidth="1"/>
    <col min="3852" max="3852" width="10" style="13" bestFit="1" customWidth="1"/>
    <col min="3853" max="4096" width="9.140625" style="13"/>
    <col min="4097" max="4097" width="7.140625" style="13" customWidth="1"/>
    <col min="4098" max="4098" width="8.42578125" style="13" customWidth="1"/>
    <col min="4099" max="4099" width="8.85546875" style="13" customWidth="1"/>
    <col min="4100" max="4100" width="11.28515625" style="13" customWidth="1"/>
    <col min="4101" max="4101" width="10.140625" style="13" customWidth="1"/>
    <col min="4102" max="4102" width="11" style="13" customWidth="1"/>
    <col min="4103" max="4103" width="12.7109375" style="13" customWidth="1"/>
    <col min="4104" max="4104" width="6.42578125" style="13" customWidth="1"/>
    <col min="4105" max="4105" width="13.42578125" style="13" customWidth="1"/>
    <col min="4106" max="4106" width="14" style="13" customWidth="1"/>
    <col min="4107" max="4107" width="14.5703125" style="13" customWidth="1"/>
    <col min="4108" max="4108" width="10" style="13" bestFit="1" customWidth="1"/>
    <col min="4109" max="4352" width="9.140625" style="13"/>
    <col min="4353" max="4353" width="7.140625" style="13" customWidth="1"/>
    <col min="4354" max="4354" width="8.42578125" style="13" customWidth="1"/>
    <col min="4355" max="4355" width="8.85546875" style="13" customWidth="1"/>
    <col min="4356" max="4356" width="11.28515625" style="13" customWidth="1"/>
    <col min="4357" max="4357" width="10.140625" style="13" customWidth="1"/>
    <col min="4358" max="4358" width="11" style="13" customWidth="1"/>
    <col min="4359" max="4359" width="12.7109375" style="13" customWidth="1"/>
    <col min="4360" max="4360" width="6.42578125" style="13" customWidth="1"/>
    <col min="4361" max="4361" width="13.42578125" style="13" customWidth="1"/>
    <col min="4362" max="4362" width="14" style="13" customWidth="1"/>
    <col min="4363" max="4363" width="14.5703125" style="13" customWidth="1"/>
    <col min="4364" max="4364" width="10" style="13" bestFit="1" customWidth="1"/>
    <col min="4365" max="4608" width="9.140625" style="13"/>
    <col min="4609" max="4609" width="7.140625" style="13" customWidth="1"/>
    <col min="4610" max="4610" width="8.42578125" style="13" customWidth="1"/>
    <col min="4611" max="4611" width="8.85546875" style="13" customWidth="1"/>
    <col min="4612" max="4612" width="11.28515625" style="13" customWidth="1"/>
    <col min="4613" max="4613" width="10.140625" style="13" customWidth="1"/>
    <col min="4614" max="4614" width="11" style="13" customWidth="1"/>
    <col min="4615" max="4615" width="12.7109375" style="13" customWidth="1"/>
    <col min="4616" max="4616" width="6.42578125" style="13" customWidth="1"/>
    <col min="4617" max="4617" width="13.42578125" style="13" customWidth="1"/>
    <col min="4618" max="4618" width="14" style="13" customWidth="1"/>
    <col min="4619" max="4619" width="14.5703125" style="13" customWidth="1"/>
    <col min="4620" max="4620" width="10" style="13" bestFit="1" customWidth="1"/>
    <col min="4621" max="4864" width="9.140625" style="13"/>
    <col min="4865" max="4865" width="7.140625" style="13" customWidth="1"/>
    <col min="4866" max="4866" width="8.42578125" style="13" customWidth="1"/>
    <col min="4867" max="4867" width="8.85546875" style="13" customWidth="1"/>
    <col min="4868" max="4868" width="11.28515625" style="13" customWidth="1"/>
    <col min="4869" max="4869" width="10.140625" style="13" customWidth="1"/>
    <col min="4870" max="4870" width="11" style="13" customWidth="1"/>
    <col min="4871" max="4871" width="12.7109375" style="13" customWidth="1"/>
    <col min="4872" max="4872" width="6.42578125" style="13" customWidth="1"/>
    <col min="4873" max="4873" width="13.42578125" style="13" customWidth="1"/>
    <col min="4874" max="4874" width="14" style="13" customWidth="1"/>
    <col min="4875" max="4875" width="14.5703125" style="13" customWidth="1"/>
    <col min="4876" max="4876" width="10" style="13" bestFit="1" customWidth="1"/>
    <col min="4877" max="5120" width="9.140625" style="13"/>
    <col min="5121" max="5121" width="7.140625" style="13" customWidth="1"/>
    <col min="5122" max="5122" width="8.42578125" style="13" customWidth="1"/>
    <col min="5123" max="5123" width="8.85546875" style="13" customWidth="1"/>
    <col min="5124" max="5124" width="11.28515625" style="13" customWidth="1"/>
    <col min="5125" max="5125" width="10.140625" style="13" customWidth="1"/>
    <col min="5126" max="5126" width="11" style="13" customWidth="1"/>
    <col min="5127" max="5127" width="12.7109375" style="13" customWidth="1"/>
    <col min="5128" max="5128" width="6.42578125" style="13" customWidth="1"/>
    <col min="5129" max="5129" width="13.42578125" style="13" customWidth="1"/>
    <col min="5130" max="5130" width="14" style="13" customWidth="1"/>
    <col min="5131" max="5131" width="14.5703125" style="13" customWidth="1"/>
    <col min="5132" max="5132" width="10" style="13" bestFit="1" customWidth="1"/>
    <col min="5133" max="5376" width="9.140625" style="13"/>
    <col min="5377" max="5377" width="7.140625" style="13" customWidth="1"/>
    <col min="5378" max="5378" width="8.42578125" style="13" customWidth="1"/>
    <col min="5379" max="5379" width="8.85546875" style="13" customWidth="1"/>
    <col min="5380" max="5380" width="11.28515625" style="13" customWidth="1"/>
    <col min="5381" max="5381" width="10.140625" style="13" customWidth="1"/>
    <col min="5382" max="5382" width="11" style="13" customWidth="1"/>
    <col min="5383" max="5383" width="12.7109375" style="13" customWidth="1"/>
    <col min="5384" max="5384" width="6.42578125" style="13" customWidth="1"/>
    <col min="5385" max="5385" width="13.42578125" style="13" customWidth="1"/>
    <col min="5386" max="5386" width="14" style="13" customWidth="1"/>
    <col min="5387" max="5387" width="14.5703125" style="13" customWidth="1"/>
    <col min="5388" max="5388" width="10" style="13" bestFit="1" customWidth="1"/>
    <col min="5389" max="5632" width="9.140625" style="13"/>
    <col min="5633" max="5633" width="7.140625" style="13" customWidth="1"/>
    <col min="5634" max="5634" width="8.42578125" style="13" customWidth="1"/>
    <col min="5635" max="5635" width="8.85546875" style="13" customWidth="1"/>
    <col min="5636" max="5636" width="11.28515625" style="13" customWidth="1"/>
    <col min="5637" max="5637" width="10.140625" style="13" customWidth="1"/>
    <col min="5638" max="5638" width="11" style="13" customWidth="1"/>
    <col min="5639" max="5639" width="12.7109375" style="13" customWidth="1"/>
    <col min="5640" max="5640" width="6.42578125" style="13" customWidth="1"/>
    <col min="5641" max="5641" width="13.42578125" style="13" customWidth="1"/>
    <col min="5642" max="5642" width="14" style="13" customWidth="1"/>
    <col min="5643" max="5643" width="14.5703125" style="13" customWidth="1"/>
    <col min="5644" max="5644" width="10" style="13" bestFit="1" customWidth="1"/>
    <col min="5645" max="5888" width="9.140625" style="13"/>
    <col min="5889" max="5889" width="7.140625" style="13" customWidth="1"/>
    <col min="5890" max="5890" width="8.42578125" style="13" customWidth="1"/>
    <col min="5891" max="5891" width="8.85546875" style="13" customWidth="1"/>
    <col min="5892" max="5892" width="11.28515625" style="13" customWidth="1"/>
    <col min="5893" max="5893" width="10.140625" style="13" customWidth="1"/>
    <col min="5894" max="5894" width="11" style="13" customWidth="1"/>
    <col min="5895" max="5895" width="12.7109375" style="13" customWidth="1"/>
    <col min="5896" max="5896" width="6.42578125" style="13" customWidth="1"/>
    <col min="5897" max="5897" width="13.42578125" style="13" customWidth="1"/>
    <col min="5898" max="5898" width="14" style="13" customWidth="1"/>
    <col min="5899" max="5899" width="14.5703125" style="13" customWidth="1"/>
    <col min="5900" max="5900" width="10" style="13" bestFit="1" customWidth="1"/>
    <col min="5901" max="6144" width="9.140625" style="13"/>
    <col min="6145" max="6145" width="7.140625" style="13" customWidth="1"/>
    <col min="6146" max="6146" width="8.42578125" style="13" customWidth="1"/>
    <col min="6147" max="6147" width="8.85546875" style="13" customWidth="1"/>
    <col min="6148" max="6148" width="11.28515625" style="13" customWidth="1"/>
    <col min="6149" max="6149" width="10.140625" style="13" customWidth="1"/>
    <col min="6150" max="6150" width="11" style="13" customWidth="1"/>
    <col min="6151" max="6151" width="12.7109375" style="13" customWidth="1"/>
    <col min="6152" max="6152" width="6.42578125" style="13" customWidth="1"/>
    <col min="6153" max="6153" width="13.42578125" style="13" customWidth="1"/>
    <col min="6154" max="6154" width="14" style="13" customWidth="1"/>
    <col min="6155" max="6155" width="14.5703125" style="13" customWidth="1"/>
    <col min="6156" max="6156" width="10" style="13" bestFit="1" customWidth="1"/>
    <col min="6157" max="6400" width="9.140625" style="13"/>
    <col min="6401" max="6401" width="7.140625" style="13" customWidth="1"/>
    <col min="6402" max="6402" width="8.42578125" style="13" customWidth="1"/>
    <col min="6403" max="6403" width="8.85546875" style="13" customWidth="1"/>
    <col min="6404" max="6404" width="11.28515625" style="13" customWidth="1"/>
    <col min="6405" max="6405" width="10.140625" style="13" customWidth="1"/>
    <col min="6406" max="6406" width="11" style="13" customWidth="1"/>
    <col min="6407" max="6407" width="12.7109375" style="13" customWidth="1"/>
    <col min="6408" max="6408" width="6.42578125" style="13" customWidth="1"/>
    <col min="6409" max="6409" width="13.42578125" style="13" customWidth="1"/>
    <col min="6410" max="6410" width="14" style="13" customWidth="1"/>
    <col min="6411" max="6411" width="14.5703125" style="13" customWidth="1"/>
    <col min="6412" max="6412" width="10" style="13" bestFit="1" customWidth="1"/>
    <col min="6413" max="6656" width="9.140625" style="13"/>
    <col min="6657" max="6657" width="7.140625" style="13" customWidth="1"/>
    <col min="6658" max="6658" width="8.42578125" style="13" customWidth="1"/>
    <col min="6659" max="6659" width="8.85546875" style="13" customWidth="1"/>
    <col min="6660" max="6660" width="11.28515625" style="13" customWidth="1"/>
    <col min="6661" max="6661" width="10.140625" style="13" customWidth="1"/>
    <col min="6662" max="6662" width="11" style="13" customWidth="1"/>
    <col min="6663" max="6663" width="12.7109375" style="13" customWidth="1"/>
    <col min="6664" max="6664" width="6.42578125" style="13" customWidth="1"/>
    <col min="6665" max="6665" width="13.42578125" style="13" customWidth="1"/>
    <col min="6666" max="6666" width="14" style="13" customWidth="1"/>
    <col min="6667" max="6667" width="14.5703125" style="13" customWidth="1"/>
    <col min="6668" max="6668" width="10" style="13" bestFit="1" customWidth="1"/>
    <col min="6669" max="6912" width="9.140625" style="13"/>
    <col min="6913" max="6913" width="7.140625" style="13" customWidth="1"/>
    <col min="6914" max="6914" width="8.42578125" style="13" customWidth="1"/>
    <col min="6915" max="6915" width="8.85546875" style="13" customWidth="1"/>
    <col min="6916" max="6916" width="11.28515625" style="13" customWidth="1"/>
    <col min="6917" max="6917" width="10.140625" style="13" customWidth="1"/>
    <col min="6918" max="6918" width="11" style="13" customWidth="1"/>
    <col min="6919" max="6919" width="12.7109375" style="13" customWidth="1"/>
    <col min="6920" max="6920" width="6.42578125" style="13" customWidth="1"/>
    <col min="6921" max="6921" width="13.42578125" style="13" customWidth="1"/>
    <col min="6922" max="6922" width="14" style="13" customWidth="1"/>
    <col min="6923" max="6923" width="14.5703125" style="13" customWidth="1"/>
    <col min="6924" max="6924" width="10" style="13" bestFit="1" customWidth="1"/>
    <col min="6925" max="7168" width="9.140625" style="13"/>
    <col min="7169" max="7169" width="7.140625" style="13" customWidth="1"/>
    <col min="7170" max="7170" width="8.42578125" style="13" customWidth="1"/>
    <col min="7171" max="7171" width="8.85546875" style="13" customWidth="1"/>
    <col min="7172" max="7172" width="11.28515625" style="13" customWidth="1"/>
    <col min="7173" max="7173" width="10.140625" style="13" customWidth="1"/>
    <col min="7174" max="7174" width="11" style="13" customWidth="1"/>
    <col min="7175" max="7175" width="12.7109375" style="13" customWidth="1"/>
    <col min="7176" max="7176" width="6.42578125" style="13" customWidth="1"/>
    <col min="7177" max="7177" width="13.42578125" style="13" customWidth="1"/>
    <col min="7178" max="7178" width="14" style="13" customWidth="1"/>
    <col min="7179" max="7179" width="14.5703125" style="13" customWidth="1"/>
    <col min="7180" max="7180" width="10" style="13" bestFit="1" customWidth="1"/>
    <col min="7181" max="7424" width="9.140625" style="13"/>
    <col min="7425" max="7425" width="7.140625" style="13" customWidth="1"/>
    <col min="7426" max="7426" width="8.42578125" style="13" customWidth="1"/>
    <col min="7427" max="7427" width="8.85546875" style="13" customWidth="1"/>
    <col min="7428" max="7428" width="11.28515625" style="13" customWidth="1"/>
    <col min="7429" max="7429" width="10.140625" style="13" customWidth="1"/>
    <col min="7430" max="7430" width="11" style="13" customWidth="1"/>
    <col min="7431" max="7431" width="12.7109375" style="13" customWidth="1"/>
    <col min="7432" max="7432" width="6.42578125" style="13" customWidth="1"/>
    <col min="7433" max="7433" width="13.42578125" style="13" customWidth="1"/>
    <col min="7434" max="7434" width="14" style="13" customWidth="1"/>
    <col min="7435" max="7435" width="14.5703125" style="13" customWidth="1"/>
    <col min="7436" max="7436" width="10" style="13" bestFit="1" customWidth="1"/>
    <col min="7437" max="7680" width="9.140625" style="13"/>
    <col min="7681" max="7681" width="7.140625" style="13" customWidth="1"/>
    <col min="7682" max="7682" width="8.42578125" style="13" customWidth="1"/>
    <col min="7683" max="7683" width="8.85546875" style="13" customWidth="1"/>
    <col min="7684" max="7684" width="11.28515625" style="13" customWidth="1"/>
    <col min="7685" max="7685" width="10.140625" style="13" customWidth="1"/>
    <col min="7686" max="7686" width="11" style="13" customWidth="1"/>
    <col min="7687" max="7687" width="12.7109375" style="13" customWidth="1"/>
    <col min="7688" max="7688" width="6.42578125" style="13" customWidth="1"/>
    <col min="7689" max="7689" width="13.42578125" style="13" customWidth="1"/>
    <col min="7690" max="7690" width="14" style="13" customWidth="1"/>
    <col min="7691" max="7691" width="14.5703125" style="13" customWidth="1"/>
    <col min="7692" max="7692" width="10" style="13" bestFit="1" customWidth="1"/>
    <col min="7693" max="7936" width="9.140625" style="13"/>
    <col min="7937" max="7937" width="7.140625" style="13" customWidth="1"/>
    <col min="7938" max="7938" width="8.42578125" style="13" customWidth="1"/>
    <col min="7939" max="7939" width="8.85546875" style="13" customWidth="1"/>
    <col min="7940" max="7940" width="11.28515625" style="13" customWidth="1"/>
    <col min="7941" max="7941" width="10.140625" style="13" customWidth="1"/>
    <col min="7942" max="7942" width="11" style="13" customWidth="1"/>
    <col min="7943" max="7943" width="12.7109375" style="13" customWidth="1"/>
    <col min="7944" max="7944" width="6.42578125" style="13" customWidth="1"/>
    <col min="7945" max="7945" width="13.42578125" style="13" customWidth="1"/>
    <col min="7946" max="7946" width="14" style="13" customWidth="1"/>
    <col min="7947" max="7947" width="14.5703125" style="13" customWidth="1"/>
    <col min="7948" max="7948" width="10" style="13" bestFit="1" customWidth="1"/>
    <col min="7949" max="8192" width="9.140625" style="13"/>
    <col min="8193" max="8193" width="7.140625" style="13" customWidth="1"/>
    <col min="8194" max="8194" width="8.42578125" style="13" customWidth="1"/>
    <col min="8195" max="8195" width="8.85546875" style="13" customWidth="1"/>
    <col min="8196" max="8196" width="11.28515625" style="13" customWidth="1"/>
    <col min="8197" max="8197" width="10.140625" style="13" customWidth="1"/>
    <col min="8198" max="8198" width="11" style="13" customWidth="1"/>
    <col min="8199" max="8199" width="12.7109375" style="13" customWidth="1"/>
    <col min="8200" max="8200" width="6.42578125" style="13" customWidth="1"/>
    <col min="8201" max="8201" width="13.42578125" style="13" customWidth="1"/>
    <col min="8202" max="8202" width="14" style="13" customWidth="1"/>
    <col min="8203" max="8203" width="14.5703125" style="13" customWidth="1"/>
    <col min="8204" max="8204" width="10" style="13" bestFit="1" customWidth="1"/>
    <col min="8205" max="8448" width="9.140625" style="13"/>
    <col min="8449" max="8449" width="7.140625" style="13" customWidth="1"/>
    <col min="8450" max="8450" width="8.42578125" style="13" customWidth="1"/>
    <col min="8451" max="8451" width="8.85546875" style="13" customWidth="1"/>
    <col min="8452" max="8452" width="11.28515625" style="13" customWidth="1"/>
    <col min="8453" max="8453" width="10.140625" style="13" customWidth="1"/>
    <col min="8454" max="8454" width="11" style="13" customWidth="1"/>
    <col min="8455" max="8455" width="12.7109375" style="13" customWidth="1"/>
    <col min="8456" max="8456" width="6.42578125" style="13" customWidth="1"/>
    <col min="8457" max="8457" width="13.42578125" style="13" customWidth="1"/>
    <col min="8458" max="8458" width="14" style="13" customWidth="1"/>
    <col min="8459" max="8459" width="14.5703125" style="13" customWidth="1"/>
    <col min="8460" max="8460" width="10" style="13" bestFit="1" customWidth="1"/>
    <col min="8461" max="8704" width="9.140625" style="13"/>
    <col min="8705" max="8705" width="7.140625" style="13" customWidth="1"/>
    <col min="8706" max="8706" width="8.42578125" style="13" customWidth="1"/>
    <col min="8707" max="8707" width="8.85546875" style="13" customWidth="1"/>
    <col min="8708" max="8708" width="11.28515625" style="13" customWidth="1"/>
    <col min="8709" max="8709" width="10.140625" style="13" customWidth="1"/>
    <col min="8710" max="8710" width="11" style="13" customWidth="1"/>
    <col min="8711" max="8711" width="12.7109375" style="13" customWidth="1"/>
    <col min="8712" max="8712" width="6.42578125" style="13" customWidth="1"/>
    <col min="8713" max="8713" width="13.42578125" style="13" customWidth="1"/>
    <col min="8714" max="8714" width="14" style="13" customWidth="1"/>
    <col min="8715" max="8715" width="14.5703125" style="13" customWidth="1"/>
    <col min="8716" max="8716" width="10" style="13" bestFit="1" customWidth="1"/>
    <col min="8717" max="8960" width="9.140625" style="13"/>
    <col min="8961" max="8961" width="7.140625" style="13" customWidth="1"/>
    <col min="8962" max="8962" width="8.42578125" style="13" customWidth="1"/>
    <col min="8963" max="8963" width="8.85546875" style="13" customWidth="1"/>
    <col min="8964" max="8964" width="11.28515625" style="13" customWidth="1"/>
    <col min="8965" max="8965" width="10.140625" style="13" customWidth="1"/>
    <col min="8966" max="8966" width="11" style="13" customWidth="1"/>
    <col min="8967" max="8967" width="12.7109375" style="13" customWidth="1"/>
    <col min="8968" max="8968" width="6.42578125" style="13" customWidth="1"/>
    <col min="8969" max="8969" width="13.42578125" style="13" customWidth="1"/>
    <col min="8970" max="8970" width="14" style="13" customWidth="1"/>
    <col min="8971" max="8971" width="14.5703125" style="13" customWidth="1"/>
    <col min="8972" max="8972" width="10" style="13" bestFit="1" customWidth="1"/>
    <col min="8973" max="9216" width="9.140625" style="13"/>
    <col min="9217" max="9217" width="7.140625" style="13" customWidth="1"/>
    <col min="9218" max="9218" width="8.42578125" style="13" customWidth="1"/>
    <col min="9219" max="9219" width="8.85546875" style="13" customWidth="1"/>
    <col min="9220" max="9220" width="11.28515625" style="13" customWidth="1"/>
    <col min="9221" max="9221" width="10.140625" style="13" customWidth="1"/>
    <col min="9222" max="9222" width="11" style="13" customWidth="1"/>
    <col min="9223" max="9223" width="12.7109375" style="13" customWidth="1"/>
    <col min="9224" max="9224" width="6.42578125" style="13" customWidth="1"/>
    <col min="9225" max="9225" width="13.42578125" style="13" customWidth="1"/>
    <col min="9226" max="9226" width="14" style="13" customWidth="1"/>
    <col min="9227" max="9227" width="14.5703125" style="13" customWidth="1"/>
    <col min="9228" max="9228" width="10" style="13" bestFit="1" customWidth="1"/>
    <col min="9229" max="9472" width="9.140625" style="13"/>
    <col min="9473" max="9473" width="7.140625" style="13" customWidth="1"/>
    <col min="9474" max="9474" width="8.42578125" style="13" customWidth="1"/>
    <col min="9475" max="9475" width="8.85546875" style="13" customWidth="1"/>
    <col min="9476" max="9476" width="11.28515625" style="13" customWidth="1"/>
    <col min="9477" max="9477" width="10.140625" style="13" customWidth="1"/>
    <col min="9478" max="9478" width="11" style="13" customWidth="1"/>
    <col min="9479" max="9479" width="12.7109375" style="13" customWidth="1"/>
    <col min="9480" max="9480" width="6.42578125" style="13" customWidth="1"/>
    <col min="9481" max="9481" width="13.42578125" style="13" customWidth="1"/>
    <col min="9482" max="9482" width="14" style="13" customWidth="1"/>
    <col min="9483" max="9483" width="14.5703125" style="13" customWidth="1"/>
    <col min="9484" max="9484" width="10" style="13" bestFit="1" customWidth="1"/>
    <col min="9485" max="9728" width="9.140625" style="13"/>
    <col min="9729" max="9729" width="7.140625" style="13" customWidth="1"/>
    <col min="9730" max="9730" width="8.42578125" style="13" customWidth="1"/>
    <col min="9731" max="9731" width="8.85546875" style="13" customWidth="1"/>
    <col min="9732" max="9732" width="11.28515625" style="13" customWidth="1"/>
    <col min="9733" max="9733" width="10.140625" style="13" customWidth="1"/>
    <col min="9734" max="9734" width="11" style="13" customWidth="1"/>
    <col min="9735" max="9735" width="12.7109375" style="13" customWidth="1"/>
    <col min="9736" max="9736" width="6.42578125" style="13" customWidth="1"/>
    <col min="9737" max="9737" width="13.42578125" style="13" customWidth="1"/>
    <col min="9738" max="9738" width="14" style="13" customWidth="1"/>
    <col min="9739" max="9739" width="14.5703125" style="13" customWidth="1"/>
    <col min="9740" max="9740" width="10" style="13" bestFit="1" customWidth="1"/>
    <col min="9741" max="9984" width="9.140625" style="13"/>
    <col min="9985" max="9985" width="7.140625" style="13" customWidth="1"/>
    <col min="9986" max="9986" width="8.42578125" style="13" customWidth="1"/>
    <col min="9987" max="9987" width="8.85546875" style="13" customWidth="1"/>
    <col min="9988" max="9988" width="11.28515625" style="13" customWidth="1"/>
    <col min="9989" max="9989" width="10.140625" style="13" customWidth="1"/>
    <col min="9990" max="9990" width="11" style="13" customWidth="1"/>
    <col min="9991" max="9991" width="12.7109375" style="13" customWidth="1"/>
    <col min="9992" max="9992" width="6.42578125" style="13" customWidth="1"/>
    <col min="9993" max="9993" width="13.42578125" style="13" customWidth="1"/>
    <col min="9994" max="9994" width="14" style="13" customWidth="1"/>
    <col min="9995" max="9995" width="14.5703125" style="13" customWidth="1"/>
    <col min="9996" max="9996" width="10" style="13" bestFit="1" customWidth="1"/>
    <col min="9997" max="10240" width="9.140625" style="13"/>
    <col min="10241" max="10241" width="7.140625" style="13" customWidth="1"/>
    <col min="10242" max="10242" width="8.42578125" style="13" customWidth="1"/>
    <col min="10243" max="10243" width="8.85546875" style="13" customWidth="1"/>
    <col min="10244" max="10244" width="11.28515625" style="13" customWidth="1"/>
    <col min="10245" max="10245" width="10.140625" style="13" customWidth="1"/>
    <col min="10246" max="10246" width="11" style="13" customWidth="1"/>
    <col min="10247" max="10247" width="12.7109375" style="13" customWidth="1"/>
    <col min="10248" max="10248" width="6.42578125" style="13" customWidth="1"/>
    <col min="10249" max="10249" width="13.42578125" style="13" customWidth="1"/>
    <col min="10250" max="10250" width="14" style="13" customWidth="1"/>
    <col min="10251" max="10251" width="14.5703125" style="13" customWidth="1"/>
    <col min="10252" max="10252" width="10" style="13" bestFit="1" customWidth="1"/>
    <col min="10253" max="10496" width="9.140625" style="13"/>
    <col min="10497" max="10497" width="7.140625" style="13" customWidth="1"/>
    <col min="10498" max="10498" width="8.42578125" style="13" customWidth="1"/>
    <col min="10499" max="10499" width="8.85546875" style="13" customWidth="1"/>
    <col min="10500" max="10500" width="11.28515625" style="13" customWidth="1"/>
    <col min="10501" max="10501" width="10.140625" style="13" customWidth="1"/>
    <col min="10502" max="10502" width="11" style="13" customWidth="1"/>
    <col min="10503" max="10503" width="12.7109375" style="13" customWidth="1"/>
    <col min="10504" max="10504" width="6.42578125" style="13" customWidth="1"/>
    <col min="10505" max="10505" width="13.42578125" style="13" customWidth="1"/>
    <col min="10506" max="10506" width="14" style="13" customWidth="1"/>
    <col min="10507" max="10507" width="14.5703125" style="13" customWidth="1"/>
    <col min="10508" max="10508" width="10" style="13" bestFit="1" customWidth="1"/>
    <col min="10509" max="10752" width="9.140625" style="13"/>
    <col min="10753" max="10753" width="7.140625" style="13" customWidth="1"/>
    <col min="10754" max="10754" width="8.42578125" style="13" customWidth="1"/>
    <col min="10755" max="10755" width="8.85546875" style="13" customWidth="1"/>
    <col min="10756" max="10756" width="11.28515625" style="13" customWidth="1"/>
    <col min="10757" max="10757" width="10.140625" style="13" customWidth="1"/>
    <col min="10758" max="10758" width="11" style="13" customWidth="1"/>
    <col min="10759" max="10759" width="12.7109375" style="13" customWidth="1"/>
    <col min="10760" max="10760" width="6.42578125" style="13" customWidth="1"/>
    <col min="10761" max="10761" width="13.42578125" style="13" customWidth="1"/>
    <col min="10762" max="10762" width="14" style="13" customWidth="1"/>
    <col min="10763" max="10763" width="14.5703125" style="13" customWidth="1"/>
    <col min="10764" max="10764" width="10" style="13" bestFit="1" customWidth="1"/>
    <col min="10765" max="11008" width="9.140625" style="13"/>
    <col min="11009" max="11009" width="7.140625" style="13" customWidth="1"/>
    <col min="11010" max="11010" width="8.42578125" style="13" customWidth="1"/>
    <col min="11011" max="11011" width="8.85546875" style="13" customWidth="1"/>
    <col min="11012" max="11012" width="11.28515625" style="13" customWidth="1"/>
    <col min="11013" max="11013" width="10.140625" style="13" customWidth="1"/>
    <col min="11014" max="11014" width="11" style="13" customWidth="1"/>
    <col min="11015" max="11015" width="12.7109375" style="13" customWidth="1"/>
    <col min="11016" max="11016" width="6.42578125" style="13" customWidth="1"/>
    <col min="11017" max="11017" width="13.42578125" style="13" customWidth="1"/>
    <col min="11018" max="11018" width="14" style="13" customWidth="1"/>
    <col min="11019" max="11019" width="14.5703125" style="13" customWidth="1"/>
    <col min="11020" max="11020" width="10" style="13" bestFit="1" customWidth="1"/>
    <col min="11021" max="11264" width="9.140625" style="13"/>
    <col min="11265" max="11265" width="7.140625" style="13" customWidth="1"/>
    <col min="11266" max="11266" width="8.42578125" style="13" customWidth="1"/>
    <col min="11267" max="11267" width="8.85546875" style="13" customWidth="1"/>
    <col min="11268" max="11268" width="11.28515625" style="13" customWidth="1"/>
    <col min="11269" max="11269" width="10.140625" style="13" customWidth="1"/>
    <col min="11270" max="11270" width="11" style="13" customWidth="1"/>
    <col min="11271" max="11271" width="12.7109375" style="13" customWidth="1"/>
    <col min="11272" max="11272" width="6.42578125" style="13" customWidth="1"/>
    <col min="11273" max="11273" width="13.42578125" style="13" customWidth="1"/>
    <col min="11274" max="11274" width="14" style="13" customWidth="1"/>
    <col min="11275" max="11275" width="14.5703125" style="13" customWidth="1"/>
    <col min="11276" max="11276" width="10" style="13" bestFit="1" customWidth="1"/>
    <col min="11277" max="11520" width="9.140625" style="13"/>
    <col min="11521" max="11521" width="7.140625" style="13" customWidth="1"/>
    <col min="11522" max="11522" width="8.42578125" style="13" customWidth="1"/>
    <col min="11523" max="11523" width="8.85546875" style="13" customWidth="1"/>
    <col min="11524" max="11524" width="11.28515625" style="13" customWidth="1"/>
    <col min="11525" max="11525" width="10.140625" style="13" customWidth="1"/>
    <col min="11526" max="11526" width="11" style="13" customWidth="1"/>
    <col min="11527" max="11527" width="12.7109375" style="13" customWidth="1"/>
    <col min="11528" max="11528" width="6.42578125" style="13" customWidth="1"/>
    <col min="11529" max="11529" width="13.42578125" style="13" customWidth="1"/>
    <col min="11530" max="11530" width="14" style="13" customWidth="1"/>
    <col min="11531" max="11531" width="14.5703125" style="13" customWidth="1"/>
    <col min="11532" max="11532" width="10" style="13" bestFit="1" customWidth="1"/>
    <col min="11533" max="11776" width="9.140625" style="13"/>
    <col min="11777" max="11777" width="7.140625" style="13" customWidth="1"/>
    <col min="11778" max="11778" width="8.42578125" style="13" customWidth="1"/>
    <col min="11779" max="11779" width="8.85546875" style="13" customWidth="1"/>
    <col min="11780" max="11780" width="11.28515625" style="13" customWidth="1"/>
    <col min="11781" max="11781" width="10.140625" style="13" customWidth="1"/>
    <col min="11782" max="11782" width="11" style="13" customWidth="1"/>
    <col min="11783" max="11783" width="12.7109375" style="13" customWidth="1"/>
    <col min="11784" max="11784" width="6.42578125" style="13" customWidth="1"/>
    <col min="11785" max="11785" width="13.42578125" style="13" customWidth="1"/>
    <col min="11786" max="11786" width="14" style="13" customWidth="1"/>
    <col min="11787" max="11787" width="14.5703125" style="13" customWidth="1"/>
    <col min="11788" max="11788" width="10" style="13" bestFit="1" customWidth="1"/>
    <col min="11789" max="12032" width="9.140625" style="13"/>
    <col min="12033" max="12033" width="7.140625" style="13" customWidth="1"/>
    <col min="12034" max="12034" width="8.42578125" style="13" customWidth="1"/>
    <col min="12035" max="12035" width="8.85546875" style="13" customWidth="1"/>
    <col min="12036" max="12036" width="11.28515625" style="13" customWidth="1"/>
    <col min="12037" max="12037" width="10.140625" style="13" customWidth="1"/>
    <col min="12038" max="12038" width="11" style="13" customWidth="1"/>
    <col min="12039" max="12039" width="12.7109375" style="13" customWidth="1"/>
    <col min="12040" max="12040" width="6.42578125" style="13" customWidth="1"/>
    <col min="12041" max="12041" width="13.42578125" style="13" customWidth="1"/>
    <col min="12042" max="12042" width="14" style="13" customWidth="1"/>
    <col min="12043" max="12043" width="14.5703125" style="13" customWidth="1"/>
    <col min="12044" max="12044" width="10" style="13" bestFit="1" customWidth="1"/>
    <col min="12045" max="12288" width="9.140625" style="13"/>
    <col min="12289" max="12289" width="7.140625" style="13" customWidth="1"/>
    <col min="12290" max="12290" width="8.42578125" style="13" customWidth="1"/>
    <col min="12291" max="12291" width="8.85546875" style="13" customWidth="1"/>
    <col min="12292" max="12292" width="11.28515625" style="13" customWidth="1"/>
    <col min="12293" max="12293" width="10.140625" style="13" customWidth="1"/>
    <col min="12294" max="12294" width="11" style="13" customWidth="1"/>
    <col min="12295" max="12295" width="12.7109375" style="13" customWidth="1"/>
    <col min="12296" max="12296" width="6.42578125" style="13" customWidth="1"/>
    <col min="12297" max="12297" width="13.42578125" style="13" customWidth="1"/>
    <col min="12298" max="12298" width="14" style="13" customWidth="1"/>
    <col min="12299" max="12299" width="14.5703125" style="13" customWidth="1"/>
    <col min="12300" max="12300" width="10" style="13" bestFit="1" customWidth="1"/>
    <col min="12301" max="12544" width="9.140625" style="13"/>
    <col min="12545" max="12545" width="7.140625" style="13" customWidth="1"/>
    <col min="12546" max="12546" width="8.42578125" style="13" customWidth="1"/>
    <col min="12547" max="12547" width="8.85546875" style="13" customWidth="1"/>
    <col min="12548" max="12548" width="11.28515625" style="13" customWidth="1"/>
    <col min="12549" max="12549" width="10.140625" style="13" customWidth="1"/>
    <col min="12550" max="12550" width="11" style="13" customWidth="1"/>
    <col min="12551" max="12551" width="12.7109375" style="13" customWidth="1"/>
    <col min="12552" max="12552" width="6.42578125" style="13" customWidth="1"/>
    <col min="12553" max="12553" width="13.42578125" style="13" customWidth="1"/>
    <col min="12554" max="12554" width="14" style="13" customWidth="1"/>
    <col min="12555" max="12555" width="14.5703125" style="13" customWidth="1"/>
    <col min="12556" max="12556" width="10" style="13" bestFit="1" customWidth="1"/>
    <col min="12557" max="12800" width="9.140625" style="13"/>
    <col min="12801" max="12801" width="7.140625" style="13" customWidth="1"/>
    <col min="12802" max="12802" width="8.42578125" style="13" customWidth="1"/>
    <col min="12803" max="12803" width="8.85546875" style="13" customWidth="1"/>
    <col min="12804" max="12804" width="11.28515625" style="13" customWidth="1"/>
    <col min="12805" max="12805" width="10.140625" style="13" customWidth="1"/>
    <col min="12806" max="12806" width="11" style="13" customWidth="1"/>
    <col min="12807" max="12807" width="12.7109375" style="13" customWidth="1"/>
    <col min="12808" max="12808" width="6.42578125" style="13" customWidth="1"/>
    <col min="12809" max="12809" width="13.42578125" style="13" customWidth="1"/>
    <col min="12810" max="12810" width="14" style="13" customWidth="1"/>
    <col min="12811" max="12811" width="14.5703125" style="13" customWidth="1"/>
    <col min="12812" max="12812" width="10" style="13" bestFit="1" customWidth="1"/>
    <col min="12813" max="13056" width="9.140625" style="13"/>
    <col min="13057" max="13057" width="7.140625" style="13" customWidth="1"/>
    <col min="13058" max="13058" width="8.42578125" style="13" customWidth="1"/>
    <col min="13059" max="13059" width="8.85546875" style="13" customWidth="1"/>
    <col min="13060" max="13060" width="11.28515625" style="13" customWidth="1"/>
    <col min="13061" max="13061" width="10.140625" style="13" customWidth="1"/>
    <col min="13062" max="13062" width="11" style="13" customWidth="1"/>
    <col min="13063" max="13063" width="12.7109375" style="13" customWidth="1"/>
    <col min="13064" max="13064" width="6.42578125" style="13" customWidth="1"/>
    <col min="13065" max="13065" width="13.42578125" style="13" customWidth="1"/>
    <col min="13066" max="13066" width="14" style="13" customWidth="1"/>
    <col min="13067" max="13067" width="14.5703125" style="13" customWidth="1"/>
    <col min="13068" max="13068" width="10" style="13" bestFit="1" customWidth="1"/>
    <col min="13069" max="13312" width="9.140625" style="13"/>
    <col min="13313" max="13313" width="7.140625" style="13" customWidth="1"/>
    <col min="13314" max="13314" width="8.42578125" style="13" customWidth="1"/>
    <col min="13315" max="13315" width="8.85546875" style="13" customWidth="1"/>
    <col min="13316" max="13316" width="11.28515625" style="13" customWidth="1"/>
    <col min="13317" max="13317" width="10.140625" style="13" customWidth="1"/>
    <col min="13318" max="13318" width="11" style="13" customWidth="1"/>
    <col min="13319" max="13319" width="12.7109375" style="13" customWidth="1"/>
    <col min="13320" max="13320" width="6.42578125" style="13" customWidth="1"/>
    <col min="13321" max="13321" width="13.42578125" style="13" customWidth="1"/>
    <col min="13322" max="13322" width="14" style="13" customWidth="1"/>
    <col min="13323" max="13323" width="14.5703125" style="13" customWidth="1"/>
    <col min="13324" max="13324" width="10" style="13" bestFit="1" customWidth="1"/>
    <col min="13325" max="13568" width="9.140625" style="13"/>
    <col min="13569" max="13569" width="7.140625" style="13" customWidth="1"/>
    <col min="13570" max="13570" width="8.42578125" style="13" customWidth="1"/>
    <col min="13571" max="13571" width="8.85546875" style="13" customWidth="1"/>
    <col min="13572" max="13572" width="11.28515625" style="13" customWidth="1"/>
    <col min="13573" max="13573" width="10.140625" style="13" customWidth="1"/>
    <col min="13574" max="13574" width="11" style="13" customWidth="1"/>
    <col min="13575" max="13575" width="12.7109375" style="13" customWidth="1"/>
    <col min="13576" max="13576" width="6.42578125" style="13" customWidth="1"/>
    <col min="13577" max="13577" width="13.42578125" style="13" customWidth="1"/>
    <col min="13578" max="13578" width="14" style="13" customWidth="1"/>
    <col min="13579" max="13579" width="14.5703125" style="13" customWidth="1"/>
    <col min="13580" max="13580" width="10" style="13" bestFit="1" customWidth="1"/>
    <col min="13581" max="13824" width="9.140625" style="13"/>
    <col min="13825" max="13825" width="7.140625" style="13" customWidth="1"/>
    <col min="13826" max="13826" width="8.42578125" style="13" customWidth="1"/>
    <col min="13827" max="13827" width="8.85546875" style="13" customWidth="1"/>
    <col min="13828" max="13828" width="11.28515625" style="13" customWidth="1"/>
    <col min="13829" max="13829" width="10.140625" style="13" customWidth="1"/>
    <col min="13830" max="13830" width="11" style="13" customWidth="1"/>
    <col min="13831" max="13831" width="12.7109375" style="13" customWidth="1"/>
    <col min="13832" max="13832" width="6.42578125" style="13" customWidth="1"/>
    <col min="13833" max="13833" width="13.42578125" style="13" customWidth="1"/>
    <col min="13834" max="13834" width="14" style="13" customWidth="1"/>
    <col min="13835" max="13835" width="14.5703125" style="13" customWidth="1"/>
    <col min="13836" max="13836" width="10" style="13" bestFit="1" customWidth="1"/>
    <col min="13837" max="14080" width="9.140625" style="13"/>
    <col min="14081" max="14081" width="7.140625" style="13" customWidth="1"/>
    <col min="14082" max="14082" width="8.42578125" style="13" customWidth="1"/>
    <col min="14083" max="14083" width="8.85546875" style="13" customWidth="1"/>
    <col min="14084" max="14084" width="11.28515625" style="13" customWidth="1"/>
    <col min="14085" max="14085" width="10.140625" style="13" customWidth="1"/>
    <col min="14086" max="14086" width="11" style="13" customWidth="1"/>
    <col min="14087" max="14087" width="12.7109375" style="13" customWidth="1"/>
    <col min="14088" max="14088" width="6.42578125" style="13" customWidth="1"/>
    <col min="14089" max="14089" width="13.42578125" style="13" customWidth="1"/>
    <col min="14090" max="14090" width="14" style="13" customWidth="1"/>
    <col min="14091" max="14091" width="14.5703125" style="13" customWidth="1"/>
    <col min="14092" max="14092" width="10" style="13" bestFit="1" customWidth="1"/>
    <col min="14093" max="14336" width="9.140625" style="13"/>
    <col min="14337" max="14337" width="7.140625" style="13" customWidth="1"/>
    <col min="14338" max="14338" width="8.42578125" style="13" customWidth="1"/>
    <col min="14339" max="14339" width="8.85546875" style="13" customWidth="1"/>
    <col min="14340" max="14340" width="11.28515625" style="13" customWidth="1"/>
    <col min="14341" max="14341" width="10.140625" style="13" customWidth="1"/>
    <col min="14342" max="14342" width="11" style="13" customWidth="1"/>
    <col min="14343" max="14343" width="12.7109375" style="13" customWidth="1"/>
    <col min="14344" max="14344" width="6.42578125" style="13" customWidth="1"/>
    <col min="14345" max="14345" width="13.42578125" style="13" customWidth="1"/>
    <col min="14346" max="14346" width="14" style="13" customWidth="1"/>
    <col min="14347" max="14347" width="14.5703125" style="13" customWidth="1"/>
    <col min="14348" max="14348" width="10" style="13" bestFit="1" customWidth="1"/>
    <col min="14349" max="14592" width="9.140625" style="13"/>
    <col min="14593" max="14593" width="7.140625" style="13" customWidth="1"/>
    <col min="14594" max="14594" width="8.42578125" style="13" customWidth="1"/>
    <col min="14595" max="14595" width="8.85546875" style="13" customWidth="1"/>
    <col min="14596" max="14596" width="11.28515625" style="13" customWidth="1"/>
    <col min="14597" max="14597" width="10.140625" style="13" customWidth="1"/>
    <col min="14598" max="14598" width="11" style="13" customWidth="1"/>
    <col min="14599" max="14599" width="12.7109375" style="13" customWidth="1"/>
    <col min="14600" max="14600" width="6.42578125" style="13" customWidth="1"/>
    <col min="14601" max="14601" width="13.42578125" style="13" customWidth="1"/>
    <col min="14602" max="14602" width="14" style="13" customWidth="1"/>
    <col min="14603" max="14603" width="14.5703125" style="13" customWidth="1"/>
    <col min="14604" max="14604" width="10" style="13" bestFit="1" customWidth="1"/>
    <col min="14605" max="14848" width="9.140625" style="13"/>
    <col min="14849" max="14849" width="7.140625" style="13" customWidth="1"/>
    <col min="14850" max="14850" width="8.42578125" style="13" customWidth="1"/>
    <col min="14851" max="14851" width="8.85546875" style="13" customWidth="1"/>
    <col min="14852" max="14852" width="11.28515625" style="13" customWidth="1"/>
    <col min="14853" max="14853" width="10.140625" style="13" customWidth="1"/>
    <col min="14854" max="14854" width="11" style="13" customWidth="1"/>
    <col min="14855" max="14855" width="12.7109375" style="13" customWidth="1"/>
    <col min="14856" max="14856" width="6.42578125" style="13" customWidth="1"/>
    <col min="14857" max="14857" width="13.42578125" style="13" customWidth="1"/>
    <col min="14858" max="14858" width="14" style="13" customWidth="1"/>
    <col min="14859" max="14859" width="14.5703125" style="13" customWidth="1"/>
    <col min="14860" max="14860" width="10" style="13" bestFit="1" customWidth="1"/>
    <col min="14861" max="15104" width="9.140625" style="13"/>
    <col min="15105" max="15105" width="7.140625" style="13" customWidth="1"/>
    <col min="15106" max="15106" width="8.42578125" style="13" customWidth="1"/>
    <col min="15107" max="15107" width="8.85546875" style="13" customWidth="1"/>
    <col min="15108" max="15108" width="11.28515625" style="13" customWidth="1"/>
    <col min="15109" max="15109" width="10.140625" style="13" customWidth="1"/>
    <col min="15110" max="15110" width="11" style="13" customWidth="1"/>
    <col min="15111" max="15111" width="12.7109375" style="13" customWidth="1"/>
    <col min="15112" max="15112" width="6.42578125" style="13" customWidth="1"/>
    <col min="15113" max="15113" width="13.42578125" style="13" customWidth="1"/>
    <col min="15114" max="15114" width="14" style="13" customWidth="1"/>
    <col min="15115" max="15115" width="14.5703125" style="13" customWidth="1"/>
    <col min="15116" max="15116" width="10" style="13" bestFit="1" customWidth="1"/>
    <col min="15117" max="15360" width="9.140625" style="13"/>
    <col min="15361" max="15361" width="7.140625" style="13" customWidth="1"/>
    <col min="15362" max="15362" width="8.42578125" style="13" customWidth="1"/>
    <col min="15363" max="15363" width="8.85546875" style="13" customWidth="1"/>
    <col min="15364" max="15364" width="11.28515625" style="13" customWidth="1"/>
    <col min="15365" max="15365" width="10.140625" style="13" customWidth="1"/>
    <col min="15366" max="15366" width="11" style="13" customWidth="1"/>
    <col min="15367" max="15367" width="12.7109375" style="13" customWidth="1"/>
    <col min="15368" max="15368" width="6.42578125" style="13" customWidth="1"/>
    <col min="15369" max="15369" width="13.42578125" style="13" customWidth="1"/>
    <col min="15370" max="15370" width="14" style="13" customWidth="1"/>
    <col min="15371" max="15371" width="14.5703125" style="13" customWidth="1"/>
    <col min="15372" max="15372" width="10" style="13" bestFit="1" customWidth="1"/>
    <col min="15373" max="15616" width="9.140625" style="13"/>
    <col min="15617" max="15617" width="7.140625" style="13" customWidth="1"/>
    <col min="15618" max="15618" width="8.42578125" style="13" customWidth="1"/>
    <col min="15619" max="15619" width="8.85546875" style="13" customWidth="1"/>
    <col min="15620" max="15620" width="11.28515625" style="13" customWidth="1"/>
    <col min="15621" max="15621" width="10.140625" style="13" customWidth="1"/>
    <col min="15622" max="15622" width="11" style="13" customWidth="1"/>
    <col min="15623" max="15623" width="12.7109375" style="13" customWidth="1"/>
    <col min="15624" max="15624" width="6.42578125" style="13" customWidth="1"/>
    <col min="15625" max="15625" width="13.42578125" style="13" customWidth="1"/>
    <col min="15626" max="15626" width="14" style="13" customWidth="1"/>
    <col min="15627" max="15627" width="14.5703125" style="13" customWidth="1"/>
    <col min="15628" max="15628" width="10" style="13" bestFit="1" customWidth="1"/>
    <col min="15629" max="15872" width="9.140625" style="13"/>
    <col min="15873" max="15873" width="7.140625" style="13" customWidth="1"/>
    <col min="15874" max="15874" width="8.42578125" style="13" customWidth="1"/>
    <col min="15875" max="15875" width="8.85546875" style="13" customWidth="1"/>
    <col min="15876" max="15876" width="11.28515625" style="13" customWidth="1"/>
    <col min="15877" max="15877" width="10.140625" style="13" customWidth="1"/>
    <col min="15878" max="15878" width="11" style="13" customWidth="1"/>
    <col min="15879" max="15879" width="12.7109375" style="13" customWidth="1"/>
    <col min="15880" max="15880" width="6.42578125" style="13" customWidth="1"/>
    <col min="15881" max="15881" width="13.42578125" style="13" customWidth="1"/>
    <col min="15882" max="15882" width="14" style="13" customWidth="1"/>
    <col min="15883" max="15883" width="14.5703125" style="13" customWidth="1"/>
    <col min="15884" max="15884" width="10" style="13" bestFit="1" customWidth="1"/>
    <col min="15885" max="16128" width="9.140625" style="13"/>
    <col min="16129" max="16129" width="7.140625" style="13" customWidth="1"/>
    <col min="16130" max="16130" width="8.42578125" style="13" customWidth="1"/>
    <col min="16131" max="16131" width="8.85546875" style="13" customWidth="1"/>
    <col min="16132" max="16132" width="11.28515625" style="13" customWidth="1"/>
    <col min="16133" max="16133" width="10.140625" style="13" customWidth="1"/>
    <col min="16134" max="16134" width="11" style="13" customWidth="1"/>
    <col min="16135" max="16135" width="12.7109375" style="13" customWidth="1"/>
    <col min="16136" max="16136" width="6.42578125" style="13" customWidth="1"/>
    <col min="16137" max="16137" width="13.42578125" style="13" customWidth="1"/>
    <col min="16138" max="16138" width="14" style="13" customWidth="1"/>
    <col min="16139" max="16139" width="14.5703125" style="13" customWidth="1"/>
    <col min="16140" max="16140" width="10" style="13" bestFit="1" customWidth="1"/>
    <col min="16141" max="16384" width="9.140625" style="13"/>
  </cols>
  <sheetData>
    <row r="1" spans="1:11" ht="23.25">
      <c r="A1" s="3419" t="s">
        <v>1956</v>
      </c>
      <c r="B1" s="3420"/>
      <c r="C1" s="3420"/>
      <c r="D1" s="3420"/>
      <c r="E1" s="3420"/>
      <c r="F1" s="3420"/>
      <c r="G1" s="3420"/>
      <c r="H1" s="3420"/>
      <c r="I1" s="3420"/>
      <c r="J1" s="3420"/>
      <c r="K1" s="3421"/>
    </row>
    <row r="2" spans="1:11" ht="15.75">
      <c r="A2" s="3422" t="s">
        <v>1957</v>
      </c>
      <c r="B2" s="3423"/>
      <c r="C2" s="3423"/>
      <c r="D2" s="3423"/>
      <c r="E2" s="3423"/>
      <c r="F2" s="3423"/>
      <c r="G2" s="3423"/>
      <c r="H2" s="3423"/>
      <c r="I2" s="3423"/>
      <c r="J2" s="3423"/>
      <c r="K2" s="3424"/>
    </row>
    <row r="3" spans="1:11" ht="15.75">
      <c r="A3" s="3422" t="s">
        <v>1958</v>
      </c>
      <c r="B3" s="3423"/>
      <c r="C3" s="3423"/>
      <c r="D3" s="3423"/>
      <c r="E3" s="3423"/>
      <c r="F3" s="3423"/>
      <c r="G3" s="3423"/>
      <c r="H3" s="3423"/>
      <c r="I3" s="3423"/>
      <c r="J3" s="3423"/>
      <c r="K3" s="3424"/>
    </row>
    <row r="4" spans="1:11" ht="15.75">
      <c r="A4" s="3425" t="s">
        <v>1959</v>
      </c>
      <c r="B4" s="3426"/>
      <c r="C4" s="3426"/>
      <c r="D4" s="3426"/>
      <c r="E4" s="3426"/>
      <c r="F4" s="3426"/>
      <c r="G4" s="3426"/>
      <c r="H4" s="3426"/>
      <c r="I4" s="3426"/>
      <c r="J4" s="3426"/>
      <c r="K4" s="3427"/>
    </row>
    <row r="5" spans="1:11">
      <c r="A5" s="1309" t="s">
        <v>1960</v>
      </c>
      <c r="B5" s="1193"/>
      <c r="C5" s="1193"/>
      <c r="D5" s="1193"/>
      <c r="E5" s="1310"/>
      <c r="F5" s="1310"/>
      <c r="G5" s="1310"/>
      <c r="H5" s="1193" t="s">
        <v>1961</v>
      </c>
      <c r="I5" s="1193"/>
      <c r="J5" s="1193"/>
      <c r="K5" s="1311"/>
    </row>
    <row r="6" spans="1:11">
      <c r="A6" s="1309"/>
      <c r="B6" s="1193"/>
      <c r="C6" s="1193"/>
      <c r="D6" s="1193"/>
      <c r="E6" s="1193"/>
      <c r="F6" s="1193"/>
      <c r="G6" s="1193"/>
      <c r="H6" s="1193"/>
      <c r="I6" s="1193"/>
      <c r="J6" s="1193"/>
      <c r="K6" s="1312"/>
    </row>
    <row r="7" spans="1:11">
      <c r="A7" s="1309" t="s">
        <v>1962</v>
      </c>
      <c r="B7" s="1193"/>
      <c r="C7" s="1193"/>
      <c r="D7" s="1193"/>
      <c r="E7" s="1313" t="str">
        <f>'Lead &amp; ANALYSIS'!D2</f>
        <v>Dining Hall of Damasal School</v>
      </c>
      <c r="F7" s="1314"/>
      <c r="G7" s="1314"/>
      <c r="H7" s="1314"/>
      <c r="I7" s="1314"/>
      <c r="J7" s="1314"/>
      <c r="K7" s="1315"/>
    </row>
    <row r="8" spans="1:11">
      <c r="A8" s="1309"/>
      <c r="B8" s="1193"/>
      <c r="C8" s="1193"/>
      <c r="D8" s="1193"/>
      <c r="E8" s="1316"/>
      <c r="F8" s="1317"/>
      <c r="G8" s="1317"/>
      <c r="H8" s="1317"/>
      <c r="I8" s="1317"/>
      <c r="J8" s="1317"/>
      <c r="K8" s="1318"/>
    </row>
    <row r="9" spans="1:11">
      <c r="A9" s="1309" t="s">
        <v>1963</v>
      </c>
      <c r="B9" s="1193"/>
      <c r="C9" s="1193"/>
      <c r="D9" s="1198"/>
      <c r="E9" s="1319" t="e">
        <f>#REF!</f>
        <v>#REF!</v>
      </c>
      <c r="F9" s="1314"/>
      <c r="G9" s="1314"/>
      <c r="H9" s="1193"/>
      <c r="I9" s="1193"/>
      <c r="J9" s="1193"/>
      <c r="K9" s="1312"/>
    </row>
    <row r="10" spans="1:11">
      <c r="A10" s="1309"/>
      <c r="B10" s="1193"/>
      <c r="C10" s="1193"/>
      <c r="D10" s="1193"/>
      <c r="E10" s="1320"/>
      <c r="F10" s="1321"/>
      <c r="G10" s="1321"/>
      <c r="H10" s="1193"/>
      <c r="I10" s="1193"/>
      <c r="J10" s="1321"/>
      <c r="K10" s="1322"/>
    </row>
    <row r="11" spans="1:11">
      <c r="A11" s="1309" t="s">
        <v>1964</v>
      </c>
      <c r="B11" s="1193"/>
      <c r="C11" s="1193"/>
      <c r="D11" s="1193"/>
      <c r="E11" s="1313"/>
      <c r="F11" s="1314"/>
      <c r="G11" s="1314"/>
      <c r="H11" s="1202" t="s">
        <v>1965</v>
      </c>
      <c r="I11" s="1193"/>
      <c r="J11" s="1323">
        <f>'Lead &amp; ANALYSIS'!D4</f>
        <v>0</v>
      </c>
      <c r="K11" s="1315"/>
    </row>
    <row r="12" spans="1:11">
      <c r="A12" s="1309"/>
      <c r="B12" s="1193"/>
      <c r="C12" s="1193"/>
      <c r="D12" s="1193"/>
      <c r="E12" s="1320"/>
      <c r="F12" s="1321"/>
      <c r="G12" s="1321"/>
      <c r="H12" s="1193"/>
      <c r="I12" s="1193"/>
      <c r="J12" s="1193"/>
      <c r="K12" s="1324"/>
    </row>
    <row r="13" spans="1:11">
      <c r="A13" s="1309" t="s">
        <v>1966</v>
      </c>
      <c r="B13" s="1193"/>
      <c r="C13" s="1193"/>
      <c r="D13" s="1193"/>
      <c r="E13" s="1313" t="s">
        <v>2003</v>
      </c>
      <c r="F13" s="1314"/>
      <c r="G13" s="1314"/>
      <c r="H13" s="1202" t="s">
        <v>3371</v>
      </c>
      <c r="I13" s="1193"/>
      <c r="J13" s="1314"/>
      <c r="K13" s="1315"/>
    </row>
    <row r="14" spans="1:11">
      <c r="A14" s="1309"/>
      <c r="B14" s="1193"/>
      <c r="C14" s="1193"/>
      <c r="D14" s="1193"/>
      <c r="E14" s="1193"/>
      <c r="F14" s="1193"/>
      <c r="G14" s="1193"/>
      <c r="H14" s="1193"/>
      <c r="I14" s="1193"/>
      <c r="J14" s="1193"/>
      <c r="K14" s="1312"/>
    </row>
    <row r="15" spans="1:11">
      <c r="A15" s="1309" t="s">
        <v>1967</v>
      </c>
      <c r="B15" s="1193"/>
      <c r="C15" s="1193"/>
      <c r="D15" s="1193"/>
      <c r="E15" s="1313" t="s">
        <v>3145</v>
      </c>
      <c r="F15" s="1314"/>
      <c r="G15" s="1314"/>
      <c r="H15" s="1193"/>
      <c r="I15" s="1193"/>
      <c r="J15" s="1193"/>
      <c r="K15" s="1312"/>
    </row>
    <row r="16" spans="1:11" ht="13.5" thickBot="1">
      <c r="A16" s="1309"/>
      <c r="B16" s="1193"/>
      <c r="C16" s="1193"/>
      <c r="D16" s="1193"/>
      <c r="E16" s="1321"/>
      <c r="F16" s="1321"/>
      <c r="G16" s="1321"/>
      <c r="H16" s="1193"/>
      <c r="I16" s="1193"/>
      <c r="J16" s="1193"/>
      <c r="K16" s="1193"/>
    </row>
    <row r="17" spans="1:11" ht="12.75" customHeight="1">
      <c r="A17" s="1309" t="s">
        <v>1968</v>
      </c>
      <c r="B17" s="1193"/>
      <c r="C17" s="1193"/>
      <c r="D17" s="1193"/>
      <c r="E17" s="1313"/>
      <c r="F17" s="1314"/>
      <c r="G17" s="1314"/>
      <c r="H17" s="1193"/>
      <c r="I17" s="1193"/>
      <c r="J17" s="3428" t="s">
        <v>1969</v>
      </c>
      <c r="K17" s="3458"/>
    </row>
    <row r="18" spans="1:11" ht="12.75" customHeight="1" thickBot="1">
      <c r="A18" s="1309"/>
      <c r="B18" s="1193"/>
      <c r="C18" s="1193"/>
      <c r="D18" s="1193"/>
      <c r="E18" s="1202"/>
      <c r="F18" s="1193"/>
      <c r="G18" s="1193"/>
      <c r="H18" s="1193"/>
      <c r="I18" s="1193"/>
      <c r="J18" s="3429"/>
      <c r="K18" s="3459"/>
    </row>
    <row r="19" spans="1:11" ht="12.75" customHeight="1">
      <c r="A19" s="1309" t="s">
        <v>1970</v>
      </c>
      <c r="B19" s="1193"/>
      <c r="C19" s="1193"/>
      <c r="D19" s="1193"/>
      <c r="E19" s="1313"/>
      <c r="F19" s="1314"/>
      <c r="G19" s="1314"/>
      <c r="H19" s="1193"/>
      <c r="I19" s="1193"/>
      <c r="J19" s="3445" t="s">
        <v>1971</v>
      </c>
      <c r="K19" s="3460"/>
    </row>
    <row r="20" spans="1:11" ht="12.75" customHeight="1" thickBot="1">
      <c r="A20" s="1309"/>
      <c r="B20" s="1193"/>
      <c r="C20" s="1193"/>
      <c r="D20" s="1193"/>
      <c r="E20" s="1202"/>
      <c r="F20" s="1193"/>
      <c r="G20" s="1193"/>
      <c r="H20" s="1193"/>
      <c r="I20" s="1193"/>
      <c r="J20" s="3429"/>
      <c r="K20" s="3459"/>
    </row>
    <row r="21" spans="1:11" ht="13.5" customHeight="1">
      <c r="A21" s="1309" t="s">
        <v>1972</v>
      </c>
      <c r="B21" s="1193"/>
      <c r="C21" s="1193"/>
      <c r="D21" s="1193"/>
      <c r="E21" s="1314"/>
      <c r="F21" s="1314"/>
      <c r="G21" s="1314"/>
      <c r="H21" s="1193"/>
      <c r="I21" s="1193"/>
      <c r="J21" s="1383"/>
      <c r="K21" s="1383"/>
    </row>
    <row r="22" spans="1:11" ht="18">
      <c r="A22" s="3433" t="s">
        <v>1973</v>
      </c>
      <c r="B22" s="3434"/>
      <c r="C22" s="3434"/>
      <c r="D22" s="3434"/>
      <c r="E22" s="3434"/>
      <c r="F22" s="3434"/>
      <c r="G22" s="3434"/>
      <c r="H22" s="3434"/>
      <c r="I22" s="3434"/>
      <c r="J22" s="3434"/>
      <c r="K22" s="3435"/>
    </row>
    <row r="23" spans="1:11">
      <c r="A23" s="1325"/>
      <c r="B23" s="1326"/>
      <c r="C23" s="1326"/>
      <c r="D23" s="1326"/>
      <c r="E23" s="1326"/>
      <c r="F23" s="1326"/>
      <c r="G23" s="1326"/>
      <c r="H23" s="1326"/>
      <c r="I23" s="1326"/>
      <c r="J23" s="1326"/>
      <c r="K23" s="1197"/>
    </row>
    <row r="24" spans="1:11" ht="12.75" customHeight="1">
      <c r="A24" s="3436" t="s">
        <v>1974</v>
      </c>
      <c r="B24" s="3436" t="s">
        <v>1975</v>
      </c>
      <c r="C24" s="3436"/>
      <c r="D24" s="3436"/>
      <c r="E24" s="3436"/>
      <c r="F24" s="3436"/>
      <c r="G24" s="3436" t="s">
        <v>707</v>
      </c>
      <c r="H24" s="3436" t="s">
        <v>1976</v>
      </c>
      <c r="I24" s="3436" t="s">
        <v>708</v>
      </c>
      <c r="J24" s="3437" t="s">
        <v>1977</v>
      </c>
      <c r="K24" s="3436" t="s">
        <v>710</v>
      </c>
    </row>
    <row r="25" spans="1:11">
      <c r="A25" s="3436"/>
      <c r="B25" s="3436"/>
      <c r="C25" s="3436"/>
      <c r="D25" s="3436"/>
      <c r="E25" s="3436"/>
      <c r="F25" s="3436"/>
      <c r="G25" s="3436"/>
      <c r="H25" s="3436"/>
      <c r="I25" s="3436"/>
      <c r="J25" s="3438"/>
      <c r="K25" s="3436"/>
    </row>
    <row r="26" spans="1:11">
      <c r="A26" s="1327">
        <v>1</v>
      </c>
      <c r="B26" s="3439">
        <v>2</v>
      </c>
      <c r="C26" s="3440"/>
      <c r="D26" s="3440"/>
      <c r="E26" s="3440"/>
      <c r="F26" s="3441"/>
      <c r="G26" s="1328">
        <v>3</v>
      </c>
      <c r="H26" s="1264">
        <v>4</v>
      </c>
      <c r="I26" s="1264">
        <v>5</v>
      </c>
      <c r="J26" s="1264">
        <v>6</v>
      </c>
      <c r="K26" s="1264">
        <v>7</v>
      </c>
    </row>
    <row r="27" spans="1:11">
      <c r="A27" s="1329">
        <v>1</v>
      </c>
      <c r="B27" s="1377"/>
      <c r="C27" s="1378"/>
      <c r="D27" s="1378"/>
      <c r="E27" s="1378"/>
      <c r="F27" s="1311"/>
      <c r="G27" s="1330"/>
      <c r="H27" s="1331"/>
      <c r="I27" s="1332"/>
      <c r="J27" s="1332"/>
      <c r="K27" s="1333"/>
    </row>
    <row r="28" spans="1:11">
      <c r="A28" s="1334"/>
      <c r="B28" s="1354"/>
      <c r="C28" s="1193"/>
      <c r="D28" s="1193"/>
      <c r="E28" s="1193"/>
      <c r="F28" s="1312"/>
      <c r="G28" s="1330"/>
      <c r="H28" s="1331"/>
      <c r="I28" s="1335"/>
      <c r="J28" s="1336"/>
      <c r="K28" s="1336"/>
    </row>
    <row r="29" spans="1:11">
      <c r="A29" s="1334"/>
      <c r="B29" s="1354"/>
      <c r="C29" s="1193"/>
      <c r="D29" s="1193"/>
      <c r="E29" s="1193"/>
      <c r="F29" s="1312"/>
      <c r="G29" s="1330"/>
      <c r="H29" s="1331" t="s">
        <v>49</v>
      </c>
      <c r="I29" s="1337"/>
      <c r="J29" s="1337">
        <f>ROUND(G29*I29,0)</f>
        <v>0</v>
      </c>
      <c r="K29" s="1336"/>
    </row>
    <row r="30" spans="1:11" ht="12.75" customHeight="1">
      <c r="A30" s="1334"/>
      <c r="B30" s="1338"/>
      <c r="C30" s="1199"/>
      <c r="D30" s="1339"/>
      <c r="E30" s="1339"/>
      <c r="F30" s="1340"/>
      <c r="G30" s="1340"/>
      <c r="H30" s="1331"/>
      <c r="I30" s="1337"/>
      <c r="J30" s="1337"/>
      <c r="K30" s="1336"/>
    </row>
    <row r="31" spans="1:11">
      <c r="A31" s="1334">
        <v>2</v>
      </c>
      <c r="B31" s="1354"/>
      <c r="C31" s="1193"/>
      <c r="D31" s="1193"/>
      <c r="E31" s="1193"/>
      <c r="F31" s="1312"/>
      <c r="G31" s="1330"/>
      <c r="H31" s="1341"/>
      <c r="I31" s="1342"/>
      <c r="J31" s="1342"/>
      <c r="K31" s="1343"/>
    </row>
    <row r="32" spans="1:11">
      <c r="A32" s="1334"/>
      <c r="B32" s="1354"/>
      <c r="C32" s="1193"/>
      <c r="D32" s="1193"/>
      <c r="E32" s="1193"/>
      <c r="F32" s="1312"/>
      <c r="G32" s="1330"/>
      <c r="H32" s="1341"/>
      <c r="I32" s="1342"/>
      <c r="J32" s="1342"/>
      <c r="K32" s="1343"/>
    </row>
    <row r="33" spans="1:11">
      <c r="A33" s="1334"/>
      <c r="B33" s="1354"/>
      <c r="C33" s="1193"/>
      <c r="D33" s="1193"/>
      <c r="E33" s="1193"/>
      <c r="F33" s="1312"/>
      <c r="G33" s="1330"/>
      <c r="H33" s="1341" t="s">
        <v>49</v>
      </c>
      <c r="I33" s="1337"/>
      <c r="J33" s="1337">
        <f>ROUND(G33*I33,0)</f>
        <v>0</v>
      </c>
      <c r="K33" s="1343"/>
    </row>
    <row r="34" spans="1:11">
      <c r="A34" s="1334"/>
      <c r="B34" s="1338"/>
      <c r="C34" s="1199"/>
      <c r="D34" s="1339"/>
      <c r="E34" s="1339"/>
      <c r="F34" s="1340"/>
      <c r="G34" s="1340"/>
      <c r="H34" s="1341"/>
      <c r="I34" s="1337"/>
      <c r="J34" s="1344"/>
      <c r="K34" s="1343"/>
    </row>
    <row r="35" spans="1:11">
      <c r="A35" s="1334">
        <v>3</v>
      </c>
      <c r="B35" s="1385"/>
      <c r="C35" s="1349"/>
      <c r="D35" s="1349"/>
      <c r="E35" s="1349"/>
      <c r="F35" s="1330"/>
      <c r="G35" s="1330"/>
      <c r="H35" s="1341"/>
      <c r="I35" s="1342"/>
      <c r="J35" s="1342"/>
      <c r="K35" s="1343"/>
    </row>
    <row r="36" spans="1:11">
      <c r="A36" s="1334"/>
      <c r="B36" s="1385"/>
      <c r="C36" s="1349"/>
      <c r="D36" s="1349"/>
      <c r="E36" s="1349"/>
      <c r="F36" s="1330"/>
      <c r="G36" s="1330"/>
      <c r="H36" s="1341"/>
      <c r="I36" s="1342"/>
      <c r="J36" s="1342"/>
      <c r="K36" s="1343"/>
    </row>
    <row r="37" spans="1:11">
      <c r="A37" s="1334"/>
      <c r="B37" s="1385"/>
      <c r="C37" s="1349"/>
      <c r="D37" s="1349"/>
      <c r="E37" s="1349"/>
      <c r="F37" s="1330"/>
      <c r="G37" s="1330"/>
      <c r="H37" s="1341"/>
      <c r="I37" s="1342"/>
      <c r="J37" s="1342"/>
      <c r="K37" s="1343"/>
    </row>
    <row r="38" spans="1:11">
      <c r="A38" s="1334"/>
      <c r="B38" s="1385"/>
      <c r="C38" s="1349"/>
      <c r="D38" s="1349"/>
      <c r="E38" s="1349"/>
      <c r="F38" s="1330"/>
      <c r="G38" s="1330"/>
      <c r="H38" s="1341" t="s">
        <v>49</v>
      </c>
      <c r="I38" s="1344"/>
      <c r="J38" s="1337">
        <f>ROUND(G38*I38,0)</f>
        <v>0</v>
      </c>
      <c r="K38" s="1343"/>
    </row>
    <row r="39" spans="1:11">
      <c r="A39" s="1334"/>
      <c r="B39" s="1345"/>
      <c r="C39" s="1199"/>
      <c r="D39" s="1346"/>
      <c r="E39" s="1339"/>
      <c r="F39" s="1340"/>
      <c r="G39" s="1340"/>
      <c r="H39" s="1331"/>
      <c r="I39" s="1337"/>
      <c r="J39" s="1337"/>
      <c r="K39" s="1347"/>
    </row>
    <row r="40" spans="1:11">
      <c r="A40" s="1334">
        <v>4</v>
      </c>
      <c r="B40" s="1354"/>
      <c r="C40" s="1193"/>
      <c r="D40" s="1193"/>
      <c r="E40" s="1193"/>
      <c r="F40" s="1312"/>
      <c r="G40" s="1340"/>
      <c r="H40" s="1331"/>
      <c r="I40" s="1337"/>
      <c r="J40" s="1337"/>
      <c r="K40" s="1347"/>
    </row>
    <row r="41" spans="1:11">
      <c r="A41" s="1334"/>
      <c r="B41" s="1354"/>
      <c r="C41" s="1193"/>
      <c r="D41" s="1193"/>
      <c r="E41" s="1193"/>
      <c r="F41" s="1312"/>
      <c r="G41" s="1340"/>
      <c r="H41" s="1331"/>
      <c r="I41" s="1337"/>
      <c r="J41" s="1337"/>
      <c r="K41" s="1347"/>
    </row>
    <row r="42" spans="1:11">
      <c r="A42" s="1334"/>
      <c r="B42" s="1354"/>
      <c r="C42" s="1193"/>
      <c r="D42" s="1193"/>
      <c r="E42" s="1193"/>
      <c r="F42" s="1312"/>
      <c r="G42" s="1340"/>
      <c r="H42" s="1331" t="s">
        <v>49</v>
      </c>
      <c r="I42" s="1337"/>
      <c r="J42" s="1337">
        <f>ROUND(G42*I42,0)</f>
        <v>0</v>
      </c>
      <c r="K42" s="1347"/>
    </row>
    <row r="43" spans="1:11">
      <c r="A43" s="1334"/>
      <c r="B43" s="1348"/>
      <c r="C43" s="1199"/>
      <c r="D43" s="1349"/>
      <c r="E43" s="1349"/>
      <c r="F43" s="1330"/>
      <c r="G43" s="1330"/>
      <c r="H43" s="1341"/>
      <c r="I43" s="1342"/>
      <c r="J43" s="1342"/>
      <c r="K43" s="1347"/>
    </row>
    <row r="44" spans="1:11">
      <c r="A44" s="1334">
        <v>5</v>
      </c>
      <c r="B44" s="1354"/>
      <c r="C44" s="1193"/>
      <c r="D44" s="1193"/>
      <c r="E44" s="1193"/>
      <c r="F44" s="1312"/>
      <c r="G44" s="1330"/>
      <c r="H44" s="1341"/>
      <c r="I44" s="1342"/>
      <c r="J44" s="1342"/>
      <c r="K44" s="1347"/>
    </row>
    <row r="45" spans="1:11">
      <c r="A45" s="1345"/>
      <c r="B45" s="1354"/>
      <c r="C45" s="1193"/>
      <c r="D45" s="1193"/>
      <c r="E45" s="1193"/>
      <c r="F45" s="1312"/>
      <c r="G45" s="1330"/>
      <c r="H45" s="1341"/>
      <c r="I45" s="1344"/>
      <c r="J45" s="1344"/>
      <c r="K45" s="1347"/>
    </row>
    <row r="46" spans="1:11">
      <c r="A46" s="1345"/>
      <c r="B46" s="1354"/>
      <c r="C46" s="1193"/>
      <c r="D46" s="1193"/>
      <c r="E46" s="1193"/>
      <c r="F46" s="1312"/>
      <c r="G46" s="1340"/>
      <c r="H46" s="1331" t="s">
        <v>49</v>
      </c>
      <c r="I46" s="1337"/>
      <c r="J46" s="1337">
        <f>ROUND(G46*I46,0)</f>
        <v>0</v>
      </c>
      <c r="K46" s="1347"/>
    </row>
    <row r="47" spans="1:11">
      <c r="A47" s="1338"/>
      <c r="B47" s="1338"/>
      <c r="C47" s="1199"/>
      <c r="D47" s="1346"/>
      <c r="E47" s="1339"/>
      <c r="F47" s="1340"/>
      <c r="G47" s="1340"/>
      <c r="H47" s="1331"/>
      <c r="I47" s="1337"/>
      <c r="J47" s="1337"/>
      <c r="K47" s="1347"/>
    </row>
    <row r="48" spans="1:11">
      <c r="A48" s="1334">
        <v>6</v>
      </c>
      <c r="B48" s="1354"/>
      <c r="C48" s="1193"/>
      <c r="D48" s="1193"/>
      <c r="E48" s="1193"/>
      <c r="F48" s="1312"/>
      <c r="G48" s="1330"/>
      <c r="H48" s="1341"/>
      <c r="I48" s="1342"/>
      <c r="J48" s="1342"/>
      <c r="K48" s="1347"/>
    </row>
    <row r="49" spans="1:11">
      <c r="A49" s="1345"/>
      <c r="B49" s="1354"/>
      <c r="C49" s="1193"/>
      <c r="D49" s="1193"/>
      <c r="E49" s="1193"/>
      <c r="F49" s="1312"/>
      <c r="G49" s="1330"/>
      <c r="H49" s="1341"/>
      <c r="I49" s="1344"/>
      <c r="J49" s="1344"/>
      <c r="K49" s="1347"/>
    </row>
    <row r="50" spans="1:11">
      <c r="A50" s="1345"/>
      <c r="B50" s="1354"/>
      <c r="C50" s="1193"/>
      <c r="D50" s="1193"/>
      <c r="E50" s="1193"/>
      <c r="F50" s="1312"/>
      <c r="G50" s="1340"/>
      <c r="H50" s="1331" t="s">
        <v>49</v>
      </c>
      <c r="I50" s="1337"/>
      <c r="J50" s="1337">
        <f>ROUND(G50*I50,0)</f>
        <v>0</v>
      </c>
      <c r="K50" s="1347"/>
    </row>
    <row r="51" spans="1:11">
      <c r="A51" s="1338"/>
      <c r="B51" s="1338"/>
      <c r="C51" s="1199"/>
      <c r="D51" s="1339"/>
      <c r="E51" s="1339"/>
      <c r="F51" s="1340"/>
      <c r="G51" s="1340"/>
      <c r="H51" s="1341"/>
      <c r="I51" s="1344"/>
      <c r="J51" s="1344"/>
      <c r="K51" s="1347"/>
    </row>
    <row r="52" spans="1:11">
      <c r="A52" s="1334">
        <v>7</v>
      </c>
      <c r="B52" s="1354"/>
      <c r="C52" s="1193"/>
      <c r="D52" s="1193"/>
      <c r="E52" s="1193"/>
      <c r="F52" s="1312"/>
      <c r="G52" s="1330"/>
      <c r="H52" s="1341"/>
      <c r="I52" s="1342"/>
      <c r="J52" s="1342"/>
      <c r="K52" s="1347"/>
    </row>
    <row r="53" spans="1:11">
      <c r="A53" s="1345"/>
      <c r="B53" s="1354"/>
      <c r="C53" s="1193"/>
      <c r="D53" s="1193"/>
      <c r="E53" s="1193"/>
      <c r="F53" s="1312"/>
      <c r="G53" s="1330"/>
      <c r="H53" s="1341"/>
      <c r="I53" s="1344"/>
      <c r="J53" s="1344"/>
      <c r="K53" s="1347"/>
    </row>
    <row r="54" spans="1:11">
      <c r="A54" s="1345"/>
      <c r="B54" s="1354"/>
      <c r="C54" s="1193"/>
      <c r="D54" s="1193"/>
      <c r="E54" s="1193"/>
      <c r="F54" s="1312"/>
      <c r="G54" s="1340"/>
      <c r="H54" s="1331" t="s">
        <v>49</v>
      </c>
      <c r="I54" s="1337"/>
      <c r="J54" s="1337">
        <f>ROUND(G54*I54,0)</f>
        <v>0</v>
      </c>
      <c r="K54" s="1347"/>
    </row>
    <row r="55" spans="1:11" ht="12.75" customHeight="1">
      <c r="A55" s="1345"/>
      <c r="B55" s="1345"/>
      <c r="C55" s="1199"/>
      <c r="D55" s="1349"/>
      <c r="E55" s="1349"/>
      <c r="F55" s="1330"/>
      <c r="G55" s="1330"/>
      <c r="H55" s="1341"/>
      <c r="I55" s="1344"/>
      <c r="J55" s="1344"/>
      <c r="K55" s="1347"/>
    </row>
    <row r="56" spans="1:11">
      <c r="A56" s="1334">
        <v>8</v>
      </c>
      <c r="B56" s="1354"/>
      <c r="C56" s="1193"/>
      <c r="D56" s="1193"/>
      <c r="E56" s="1193"/>
      <c r="F56" s="1312"/>
      <c r="G56" s="1330"/>
      <c r="H56" s="1341"/>
      <c r="I56" s="1342"/>
      <c r="J56" s="1342"/>
      <c r="K56" s="1347"/>
    </row>
    <row r="57" spans="1:11">
      <c r="A57" s="1345"/>
      <c r="B57" s="1354"/>
      <c r="C57" s="1193"/>
      <c r="D57" s="1193"/>
      <c r="E57" s="1193"/>
      <c r="F57" s="1312"/>
      <c r="G57" s="1330"/>
      <c r="H57" s="1341"/>
      <c r="I57" s="1344"/>
      <c r="J57" s="1344"/>
      <c r="K57" s="1347"/>
    </row>
    <row r="58" spans="1:11">
      <c r="A58" s="1345"/>
      <c r="B58" s="1354"/>
      <c r="C58" s="1193"/>
      <c r="D58" s="1193"/>
      <c r="E58" s="1193"/>
      <c r="F58" s="1312"/>
      <c r="G58" s="1340"/>
      <c r="H58" s="1331" t="s">
        <v>49</v>
      </c>
      <c r="I58" s="1337"/>
      <c r="J58" s="1337">
        <f>ROUND(G58*I58,0)</f>
        <v>0</v>
      </c>
      <c r="K58" s="1347"/>
    </row>
    <row r="59" spans="1:11" ht="12.75" customHeight="1">
      <c r="A59" s="1345"/>
      <c r="B59" s="1345"/>
      <c r="C59" s="1198"/>
      <c r="D59" s="1350"/>
      <c r="E59" s="836"/>
      <c r="F59" s="1351"/>
      <c r="G59" s="1351"/>
      <c r="H59" s="1352"/>
      <c r="I59" s="1344"/>
      <c r="J59" s="1344"/>
      <c r="K59" s="1347"/>
    </row>
    <row r="60" spans="1:11">
      <c r="A60" s="1334">
        <v>9</v>
      </c>
      <c r="B60" s="1354"/>
      <c r="C60" s="1193"/>
      <c r="D60" s="1193"/>
      <c r="E60" s="1193"/>
      <c r="F60" s="1312"/>
      <c r="G60" s="1330"/>
      <c r="H60" s="1341"/>
      <c r="I60" s="1342"/>
      <c r="J60" s="1342"/>
      <c r="K60" s="1347"/>
    </row>
    <row r="61" spans="1:11">
      <c r="A61" s="1345"/>
      <c r="B61" s="1354"/>
      <c r="C61" s="1193"/>
      <c r="D61" s="1193"/>
      <c r="E61" s="1193"/>
      <c r="F61" s="1312"/>
      <c r="G61" s="1330"/>
      <c r="H61" s="1341"/>
      <c r="I61" s="1344"/>
      <c r="J61" s="1344"/>
      <c r="K61" s="1347"/>
    </row>
    <row r="62" spans="1:11">
      <c r="A62" s="1345"/>
      <c r="B62" s="1354"/>
      <c r="C62" s="1193"/>
      <c r="D62" s="1193"/>
      <c r="E62" s="1193"/>
      <c r="F62" s="1312"/>
      <c r="G62" s="1340"/>
      <c r="H62" s="1331" t="s">
        <v>49</v>
      </c>
      <c r="I62" s="1337"/>
      <c r="J62" s="1337">
        <f>ROUND(G62*I62,0)</f>
        <v>0</v>
      </c>
      <c r="K62" s="1347"/>
    </row>
    <row r="63" spans="1:11">
      <c r="A63" s="1353"/>
      <c r="B63" s="1353"/>
      <c r="C63" s="1199"/>
      <c r="D63" s="1349"/>
      <c r="E63" s="1349"/>
      <c r="F63" s="1330"/>
      <c r="G63" s="1330"/>
      <c r="H63" s="1204"/>
      <c r="I63" s="1342"/>
      <c r="J63" s="1342"/>
      <c r="K63" s="1347"/>
    </row>
    <row r="64" spans="1:11">
      <c r="A64" s="1334">
        <v>10</v>
      </c>
      <c r="B64" s="1354"/>
      <c r="C64" s="1193"/>
      <c r="D64" s="1193"/>
      <c r="E64" s="1193"/>
      <c r="F64" s="1312"/>
      <c r="G64" s="1330"/>
      <c r="H64" s="1341"/>
      <c r="I64" s="1342"/>
      <c r="J64" s="1342"/>
      <c r="K64" s="1347"/>
    </row>
    <row r="65" spans="1:11">
      <c r="A65" s="1345"/>
      <c r="B65" s="1354"/>
      <c r="C65" s="1193"/>
      <c r="D65" s="1193"/>
      <c r="E65" s="1193"/>
      <c r="F65" s="1312"/>
      <c r="G65" s="1330"/>
      <c r="H65" s="1341"/>
      <c r="I65" s="1344"/>
      <c r="J65" s="1344"/>
      <c r="K65" s="1347"/>
    </row>
    <row r="66" spans="1:11">
      <c r="A66" s="1345"/>
      <c r="B66" s="1354"/>
      <c r="C66" s="1193"/>
      <c r="D66" s="1193"/>
      <c r="E66" s="1193"/>
      <c r="F66" s="1312"/>
      <c r="G66" s="1340"/>
      <c r="H66" s="1331" t="s">
        <v>49</v>
      </c>
      <c r="I66" s="1337"/>
      <c r="J66" s="1337">
        <f>ROUND(G66*I66,0)</f>
        <v>0</v>
      </c>
      <c r="K66" s="1347"/>
    </row>
    <row r="67" spans="1:11">
      <c r="A67" s="1345"/>
      <c r="B67" s="1345"/>
      <c r="C67" s="1199"/>
      <c r="D67" s="1349"/>
      <c r="E67" s="1349"/>
      <c r="F67" s="1330"/>
      <c r="G67" s="1330"/>
      <c r="H67" s="1352"/>
      <c r="I67" s="1345"/>
      <c r="J67" s="1344"/>
      <c r="K67" s="1347"/>
    </row>
    <row r="68" spans="1:11">
      <c r="A68" s="1354"/>
      <c r="B68" s="1354"/>
      <c r="C68" s="1198"/>
      <c r="D68" s="1346"/>
      <c r="E68" s="1349"/>
      <c r="F68" s="1330"/>
      <c r="G68" s="1340"/>
      <c r="H68" s="1193"/>
      <c r="I68" s="1325"/>
      <c r="J68" s="1355"/>
      <c r="K68" s="1347"/>
    </row>
    <row r="69" spans="1:11">
      <c r="A69" s="1356"/>
      <c r="B69" s="1356"/>
      <c r="C69" s="1326"/>
      <c r="D69" s="1326"/>
      <c r="E69" s="1326"/>
      <c r="F69" s="1197"/>
      <c r="G69" s="1197"/>
      <c r="H69" s="1197"/>
      <c r="I69" s="1357" t="s">
        <v>1978</v>
      </c>
      <c r="J69" s="1358">
        <f>SUM(J27:J68)</f>
        <v>0</v>
      </c>
      <c r="K69" s="1197"/>
    </row>
    <row r="70" spans="1:11">
      <c r="A70" s="3436" t="s">
        <v>1974</v>
      </c>
      <c r="B70" s="3436" t="s">
        <v>1975</v>
      </c>
      <c r="C70" s="3436"/>
      <c r="D70" s="3436"/>
      <c r="E70" s="3436"/>
      <c r="F70" s="3436"/>
      <c r="G70" s="3436" t="s">
        <v>707</v>
      </c>
      <c r="H70" s="3436" t="s">
        <v>1976</v>
      </c>
      <c r="I70" s="3436" t="s">
        <v>708</v>
      </c>
      <c r="J70" s="3437" t="s">
        <v>1977</v>
      </c>
      <c r="K70" s="3436" t="s">
        <v>710</v>
      </c>
    </row>
    <row r="71" spans="1:11">
      <c r="A71" s="3436"/>
      <c r="B71" s="3436"/>
      <c r="C71" s="3436"/>
      <c r="D71" s="3436"/>
      <c r="E71" s="3436"/>
      <c r="F71" s="3436"/>
      <c r="G71" s="3436"/>
      <c r="H71" s="3436"/>
      <c r="I71" s="3436"/>
      <c r="J71" s="3438"/>
      <c r="K71" s="3436"/>
    </row>
    <row r="72" spans="1:11">
      <c r="A72" s="1327">
        <v>1</v>
      </c>
      <c r="B72" s="3439">
        <v>2</v>
      </c>
      <c r="C72" s="3440"/>
      <c r="D72" s="3440"/>
      <c r="E72" s="3440"/>
      <c r="F72" s="3441"/>
      <c r="G72" s="1328">
        <v>3</v>
      </c>
      <c r="H72" s="1264">
        <v>4</v>
      </c>
      <c r="I72" s="1264">
        <v>5</v>
      </c>
      <c r="J72" s="1264">
        <v>6</v>
      </c>
      <c r="K72" s="1264">
        <v>7</v>
      </c>
    </row>
    <row r="73" spans="1:11">
      <c r="A73" s="1359"/>
      <c r="B73" s="1386"/>
      <c r="C73" s="1193"/>
      <c r="D73" s="1193"/>
      <c r="E73" s="1193"/>
      <c r="F73" s="1193"/>
      <c r="G73" s="1387"/>
      <c r="H73" s="1333"/>
      <c r="I73" s="1361" t="s">
        <v>1979</v>
      </c>
      <c r="J73" s="1362">
        <f>J69</f>
        <v>0</v>
      </c>
      <c r="K73" s="1333"/>
    </row>
    <row r="74" spans="1:11" ht="12" customHeight="1">
      <c r="A74" s="1334">
        <v>12</v>
      </c>
      <c r="B74" s="1363" t="s">
        <v>1980</v>
      </c>
      <c r="C74" s="1199"/>
      <c r="D74" s="1349"/>
      <c r="E74" s="836"/>
      <c r="F74" s="1074"/>
      <c r="G74" s="1388"/>
      <c r="H74" s="1331"/>
      <c r="I74" s="1364"/>
      <c r="J74" s="1342"/>
      <c r="K74" s="1336"/>
    </row>
    <row r="75" spans="1:11" ht="12.75" customHeight="1">
      <c r="A75" s="1334">
        <v>13</v>
      </c>
      <c r="B75" s="1345" t="s">
        <v>1981</v>
      </c>
      <c r="C75" s="1199"/>
      <c r="D75" s="1349"/>
      <c r="E75" s="836"/>
      <c r="F75" s="1351"/>
      <c r="G75" s="1351"/>
      <c r="H75" s="1331"/>
      <c r="I75" s="1196"/>
      <c r="J75" s="1365"/>
      <c r="K75" s="1312"/>
    </row>
    <row r="76" spans="1:11" ht="12.75" customHeight="1">
      <c r="A76" s="1348"/>
      <c r="B76" s="1348"/>
      <c r="C76" s="836"/>
      <c r="D76" s="1366"/>
      <c r="E76" s="836"/>
      <c r="F76" s="1351"/>
      <c r="G76" s="1351"/>
      <c r="H76" s="1331"/>
      <c r="I76" s="1367" t="s">
        <v>1982</v>
      </c>
      <c r="J76" s="1344">
        <f>SUM(J73:J75)</f>
        <v>0</v>
      </c>
      <c r="K76" s="1312"/>
    </row>
    <row r="77" spans="1:11" ht="12.75" customHeight="1">
      <c r="A77" s="1348"/>
      <c r="B77" s="1348"/>
      <c r="C77" s="836"/>
      <c r="D77" s="1366"/>
      <c r="E77" s="836"/>
      <c r="F77" s="1351"/>
      <c r="G77" s="1351"/>
      <c r="H77" s="1331"/>
      <c r="I77" s="1368"/>
      <c r="J77" s="1344"/>
      <c r="K77" s="1312"/>
    </row>
    <row r="78" spans="1:11" ht="12.75" customHeight="1">
      <c r="A78" s="1348"/>
      <c r="B78" s="1348"/>
      <c r="C78" s="836"/>
      <c r="D78" s="1366"/>
      <c r="E78" s="836"/>
      <c r="F78" s="1351"/>
      <c r="G78" s="1351"/>
      <c r="H78" s="1331"/>
      <c r="I78" s="1368" t="s">
        <v>1883</v>
      </c>
      <c r="J78" s="1358" t="e">
        <f>-E88</f>
        <v>#REF!</v>
      </c>
      <c r="K78" s="1312"/>
    </row>
    <row r="79" spans="1:11">
      <c r="A79" s="1354"/>
      <c r="B79" s="1369" t="s">
        <v>1883</v>
      </c>
      <c r="C79" s="1193"/>
      <c r="D79" s="1193"/>
      <c r="E79" s="1193"/>
      <c r="F79" s="1312"/>
      <c r="G79" s="1312"/>
      <c r="H79" s="1331"/>
      <c r="I79" s="1368" t="s">
        <v>2004</v>
      </c>
      <c r="J79" s="1344" t="e">
        <f>SUM(J76:J78)</f>
        <v>#REF!</v>
      </c>
      <c r="K79" s="1312"/>
    </row>
    <row r="80" spans="1:11">
      <c r="A80" s="1354"/>
      <c r="B80" s="1371" t="s">
        <v>1983</v>
      </c>
      <c r="C80" s="1372">
        <v>0.01</v>
      </c>
      <c r="D80" s="1373" t="s">
        <v>1984</v>
      </c>
      <c r="E80" s="1196">
        <f>ROUND(J80*C80,0)</f>
        <v>0</v>
      </c>
      <c r="F80" s="1312"/>
      <c r="G80" s="1312"/>
      <c r="H80" s="1331"/>
      <c r="I80" s="1367"/>
      <c r="J80" s="1344"/>
      <c r="K80" s="1312"/>
    </row>
    <row r="81" spans="1:11">
      <c r="A81" s="1354"/>
      <c r="B81" s="1371" t="s">
        <v>1678</v>
      </c>
      <c r="C81" s="1193"/>
      <c r="D81" s="1373" t="s">
        <v>1984</v>
      </c>
      <c r="E81" s="1196" t="e">
        <f>#REF!</f>
        <v>#REF!</v>
      </c>
      <c r="F81" s="1312"/>
      <c r="G81" s="1312"/>
      <c r="H81" s="1312"/>
      <c r="I81" s="1367"/>
      <c r="J81" s="1344"/>
      <c r="K81" s="1312"/>
    </row>
    <row r="82" spans="1:11">
      <c r="A82" s="1354"/>
      <c r="B82" s="1371" t="s">
        <v>1524</v>
      </c>
      <c r="C82" s="1193"/>
      <c r="D82" s="1373" t="s">
        <v>1984</v>
      </c>
      <c r="E82" s="1196">
        <f>J75</f>
        <v>0</v>
      </c>
      <c r="F82" s="1335"/>
      <c r="G82" s="1312"/>
      <c r="H82" s="1312"/>
      <c r="I82" s="1368"/>
      <c r="J82" s="1344"/>
      <c r="K82" s="1312"/>
    </row>
    <row r="83" spans="1:11">
      <c r="A83" s="1354"/>
      <c r="B83" s="1371" t="s">
        <v>1525</v>
      </c>
      <c r="C83" s="1193"/>
      <c r="D83" s="1373" t="s">
        <v>1984</v>
      </c>
      <c r="E83" s="1196" t="e">
        <f>#REF!</f>
        <v>#REF!</v>
      </c>
      <c r="F83" s="1335"/>
      <c r="G83" s="1312"/>
      <c r="H83" s="1312"/>
      <c r="I83" s="1335"/>
      <c r="J83" s="1312"/>
      <c r="K83" s="1312"/>
    </row>
    <row r="84" spans="1:11">
      <c r="A84" s="1354"/>
      <c r="B84" s="1371" t="s">
        <v>1531</v>
      </c>
      <c r="C84" s="1193"/>
      <c r="D84" s="1373" t="s">
        <v>1984</v>
      </c>
      <c r="E84" s="1196" t="e">
        <f>#REF!</f>
        <v>#REF!</v>
      </c>
      <c r="F84" s="1335"/>
      <c r="G84" s="1312"/>
      <c r="H84" s="1312"/>
      <c r="I84" s="1312"/>
      <c r="J84" s="1312"/>
      <c r="K84" s="1312"/>
    </row>
    <row r="85" spans="1:11">
      <c r="A85" s="1354"/>
      <c r="B85" s="1371" t="s">
        <v>1985</v>
      </c>
      <c r="C85" s="1193"/>
      <c r="D85" s="1373" t="s">
        <v>1984</v>
      </c>
      <c r="E85" s="1196">
        <f>J74</f>
        <v>0</v>
      </c>
      <c r="F85" s="1335"/>
      <c r="G85" s="1312"/>
      <c r="H85" s="1312"/>
      <c r="I85" s="1312"/>
      <c r="J85" s="1312"/>
      <c r="K85" s="1312"/>
    </row>
    <row r="86" spans="1:11">
      <c r="A86" s="1354"/>
      <c r="B86" s="3447" t="s">
        <v>1986</v>
      </c>
      <c r="C86" s="3448"/>
      <c r="D86" s="1373" t="s">
        <v>1984</v>
      </c>
      <c r="E86" s="1196">
        <v>0</v>
      </c>
      <c r="F86" s="1335"/>
      <c r="G86" s="1312"/>
      <c r="H86" s="1312"/>
      <c r="I86" s="1312"/>
      <c r="J86" s="1312"/>
      <c r="K86" s="1312"/>
    </row>
    <row r="87" spans="1:11">
      <c r="A87" s="1354"/>
      <c r="B87" s="3447"/>
      <c r="C87" s="3448"/>
      <c r="D87" s="1193"/>
      <c r="E87" s="1326"/>
      <c r="F87" s="1335"/>
      <c r="G87" s="1312"/>
      <c r="H87" s="1312"/>
      <c r="I87" s="1312"/>
      <c r="J87" s="1312"/>
      <c r="K87" s="1312"/>
    </row>
    <row r="88" spans="1:11">
      <c r="A88" s="1354"/>
      <c r="B88" s="1354"/>
      <c r="C88" s="1193"/>
      <c r="D88" s="1374" t="s">
        <v>1987</v>
      </c>
      <c r="E88" s="1364" t="e">
        <f>SUM(E80:E87)</f>
        <v>#REF!</v>
      </c>
      <c r="F88" s="1375"/>
      <c r="G88" s="1312"/>
      <c r="H88" s="1312"/>
      <c r="I88" s="1335"/>
      <c r="J88" s="1312"/>
      <c r="K88" s="1312"/>
    </row>
    <row r="89" spans="1:11">
      <c r="A89" s="1325"/>
      <c r="B89" s="1325"/>
      <c r="C89" s="1326"/>
      <c r="D89" s="1326"/>
      <c r="E89" s="1326"/>
      <c r="F89" s="1197"/>
      <c r="G89" s="1197"/>
      <c r="H89" s="1197"/>
      <c r="I89" s="1376"/>
      <c r="J89" s="1197"/>
      <c r="K89" s="1197"/>
    </row>
    <row r="90" spans="1:11">
      <c r="A90" s="1377"/>
      <c r="B90" s="1378"/>
      <c r="C90" s="1378"/>
      <c r="D90" s="1378"/>
      <c r="E90" s="1378"/>
      <c r="F90" s="1378"/>
      <c r="G90" s="1378"/>
      <c r="H90" s="1378"/>
      <c r="I90" s="1378"/>
      <c r="J90" s="1378"/>
      <c r="K90" s="1311"/>
    </row>
    <row r="91" spans="1:11" ht="17.25" customHeight="1">
      <c r="A91" s="1354" t="s">
        <v>1988</v>
      </c>
      <c r="B91" s="1193"/>
      <c r="C91" s="1193"/>
      <c r="D91" s="1193"/>
      <c r="E91" s="1193"/>
      <c r="F91" s="1193"/>
      <c r="G91" s="1193"/>
      <c r="H91" s="1193" t="s">
        <v>932</v>
      </c>
      <c r="I91" s="1193"/>
      <c r="J91" s="1193"/>
      <c r="K91" s="1312"/>
    </row>
    <row r="92" spans="1:11" ht="17.25" customHeight="1">
      <c r="A92" s="1354" t="s">
        <v>1989</v>
      </c>
      <c r="B92" s="1193"/>
      <c r="C92" s="1193"/>
      <c r="D92" s="1193"/>
      <c r="E92" s="1193"/>
      <c r="F92" s="1193"/>
      <c r="G92" s="1193"/>
      <c r="H92" s="1326" t="s">
        <v>932</v>
      </c>
      <c r="I92" s="1326"/>
      <c r="J92" s="1326"/>
      <c r="K92" s="1312"/>
    </row>
    <row r="93" spans="1:11" ht="17.25" customHeight="1">
      <c r="A93" s="1354"/>
      <c r="B93" s="1193"/>
      <c r="C93" s="1193"/>
      <c r="D93" s="1193"/>
      <c r="E93" s="1193"/>
      <c r="F93" s="1193"/>
      <c r="G93" s="1193"/>
      <c r="H93" s="1378" t="s">
        <v>932</v>
      </c>
      <c r="I93" s="1378"/>
      <c r="J93" s="1378"/>
      <c r="K93" s="1312"/>
    </row>
    <row r="94" spans="1:11" ht="17.25" customHeight="1">
      <c r="A94" s="1354" t="s">
        <v>1990</v>
      </c>
      <c r="B94" s="1193"/>
      <c r="C94" s="1193"/>
      <c r="D94" s="1193"/>
      <c r="E94" s="1193"/>
      <c r="F94" s="1193"/>
      <c r="G94" s="1193"/>
      <c r="H94" s="1326" t="s">
        <v>932</v>
      </c>
      <c r="I94" s="1326"/>
      <c r="J94" s="1326"/>
      <c r="K94" s="1312"/>
    </row>
    <row r="95" spans="1:11" ht="17.25" customHeight="1">
      <c r="A95" s="1325"/>
      <c r="B95" s="1326"/>
      <c r="C95" s="1326"/>
      <c r="D95" s="1326"/>
      <c r="E95" s="1326"/>
      <c r="F95" s="1326"/>
      <c r="G95" s="1326"/>
      <c r="H95" s="1326"/>
      <c r="I95" s="1326"/>
      <c r="J95" s="1326"/>
      <c r="K95" s="1197"/>
    </row>
    <row r="96" spans="1:11" ht="15.75">
      <c r="A96" s="3449" t="s">
        <v>1991</v>
      </c>
      <c r="B96" s="3450"/>
      <c r="C96" s="3450"/>
      <c r="D96" s="3450"/>
      <c r="E96" s="3450"/>
      <c r="F96" s="3450"/>
      <c r="G96" s="3450"/>
      <c r="H96" s="3450"/>
      <c r="I96" s="3450"/>
      <c r="J96" s="3450"/>
      <c r="K96" s="3451"/>
    </row>
    <row r="97" spans="1:11" ht="12.75" customHeight="1">
      <c r="A97" s="1354"/>
      <c r="B97" s="1193"/>
      <c r="C97" s="1193"/>
      <c r="D97" s="1193"/>
      <c r="E97" s="1193"/>
      <c r="F97" s="1193"/>
      <c r="G97" s="1193"/>
      <c r="H97" s="1193"/>
      <c r="I97" s="1193"/>
      <c r="J97" s="1193"/>
      <c r="K97" s="1312"/>
    </row>
    <row r="98" spans="1:11" ht="12.75" customHeight="1">
      <c r="A98" s="1354"/>
      <c r="B98" s="1193"/>
      <c r="C98" s="1193"/>
      <c r="D98" s="1379"/>
      <c r="E98" s="1263" t="s">
        <v>1992</v>
      </c>
      <c r="F98" s="1193"/>
      <c r="G98" s="1193"/>
      <c r="H98" s="1193"/>
      <c r="I98" s="1263" t="s">
        <v>1993</v>
      </c>
      <c r="J98" s="1199">
        <f>K19</f>
        <v>0</v>
      </c>
      <c r="K98" s="1312" t="s">
        <v>1994</v>
      </c>
    </row>
    <row r="99" spans="1:11" ht="12.75" customHeight="1">
      <c r="A99" s="1354"/>
      <c r="B99" s="1193"/>
      <c r="C99" s="1193"/>
      <c r="D99" s="1193"/>
      <c r="E99" s="1193"/>
      <c r="F99" s="1193"/>
      <c r="G99" s="1193"/>
      <c r="H99" s="1193"/>
      <c r="I99" s="1193"/>
      <c r="J99" s="1193"/>
      <c r="K99" s="1312"/>
    </row>
    <row r="100" spans="1:11" ht="12.75" customHeight="1">
      <c r="A100" s="1380" t="s">
        <v>1995</v>
      </c>
      <c r="B100" s="1193"/>
      <c r="C100" s="1381">
        <f>K17</f>
        <v>0</v>
      </c>
      <c r="D100" s="1193" t="s">
        <v>1996</v>
      </c>
      <c r="E100" s="1193"/>
      <c r="F100" s="1193"/>
      <c r="G100" s="1193"/>
      <c r="H100" s="1193"/>
      <c r="I100" s="1193"/>
      <c r="J100" s="1193"/>
      <c r="K100" s="1312"/>
    </row>
    <row r="101" spans="1:11" ht="12.75" customHeight="1">
      <c r="A101" s="1354"/>
      <c r="B101" s="1193"/>
      <c r="C101" s="1193"/>
      <c r="D101" s="1193"/>
      <c r="E101" s="1193"/>
      <c r="F101" s="1193"/>
      <c r="G101" s="1193"/>
      <c r="H101" s="1193"/>
      <c r="I101" s="1193"/>
      <c r="J101" s="1193"/>
      <c r="K101" s="1312"/>
    </row>
    <row r="102" spans="1:11" ht="12.75" customHeight="1">
      <c r="A102" s="1354"/>
      <c r="B102" s="1193"/>
      <c r="C102" s="1193"/>
      <c r="D102" s="1193"/>
      <c r="E102" s="1193"/>
      <c r="F102" s="1193"/>
      <c r="G102" s="1193"/>
      <c r="H102" s="1193"/>
      <c r="I102" s="1193"/>
      <c r="J102" s="1193"/>
      <c r="K102" s="1312"/>
    </row>
    <row r="103" spans="1:11" ht="12.75" customHeight="1">
      <c r="A103" s="1354"/>
      <c r="B103" s="1193"/>
      <c r="C103" s="1193"/>
      <c r="D103" s="1193"/>
      <c r="E103" s="1193"/>
      <c r="F103" s="1193"/>
      <c r="G103" s="1193"/>
      <c r="H103" s="1193"/>
      <c r="I103" s="1193"/>
      <c r="J103" s="1193"/>
      <c r="K103" s="1312"/>
    </row>
    <row r="104" spans="1:11" ht="12.75" customHeight="1">
      <c r="A104" s="1354"/>
      <c r="B104" s="1204" t="s">
        <v>1997</v>
      </c>
      <c r="C104" s="1193"/>
      <c r="D104" s="1204"/>
      <c r="E104" s="1193"/>
      <c r="F104" s="1193"/>
      <c r="G104" s="1204" t="s">
        <v>188</v>
      </c>
      <c r="H104" s="1193"/>
      <c r="I104" s="1193"/>
      <c r="J104" s="1204" t="s">
        <v>189</v>
      </c>
      <c r="K104" s="1312"/>
    </row>
    <row r="105" spans="1:11" ht="12.75" customHeight="1">
      <c r="A105" s="1354"/>
      <c r="B105" s="1204" t="s">
        <v>1998</v>
      </c>
      <c r="C105" s="1193"/>
      <c r="D105" s="1204"/>
      <c r="E105" s="1204"/>
      <c r="F105" s="1204"/>
      <c r="G105" s="1204" t="s">
        <v>191</v>
      </c>
      <c r="H105" s="1193"/>
      <c r="I105" s="1193"/>
      <c r="J105" s="1204" t="str">
        <f>G105</f>
        <v>Kamakhyanagar Block</v>
      </c>
      <c r="K105" s="1312"/>
    </row>
    <row r="106" spans="1:11" ht="12.75" customHeight="1">
      <c r="A106" s="1354"/>
      <c r="B106" s="1204" t="s">
        <v>1999</v>
      </c>
      <c r="C106" s="1193"/>
      <c r="D106" s="1193"/>
      <c r="E106" s="1193"/>
      <c r="F106" s="1193"/>
      <c r="G106" s="1193"/>
      <c r="H106" s="1193"/>
      <c r="I106" s="1193"/>
      <c r="J106" s="1204"/>
      <c r="K106" s="1312"/>
    </row>
    <row r="107" spans="1:11" ht="12.75" customHeight="1">
      <c r="A107" s="1354"/>
      <c r="B107" s="1193"/>
      <c r="C107" s="1193"/>
      <c r="D107" s="1193"/>
      <c r="E107" s="1193"/>
      <c r="F107" s="1193"/>
      <c r="G107" s="1193"/>
      <c r="H107" s="1193"/>
      <c r="I107" s="1193"/>
      <c r="J107" s="1193"/>
      <c r="K107" s="1312"/>
    </row>
    <row r="108" spans="1:11" ht="12.75" customHeight="1">
      <c r="A108" s="1354"/>
      <c r="B108" s="1193"/>
      <c r="C108" s="1193"/>
      <c r="D108" s="1193"/>
      <c r="E108" s="1193"/>
      <c r="F108" s="1193"/>
      <c r="G108" s="1193"/>
      <c r="H108" s="1193"/>
      <c r="I108" s="1193"/>
      <c r="J108" s="1193"/>
      <c r="K108" s="1312"/>
    </row>
    <row r="109" spans="1:11" ht="12.75" customHeight="1">
      <c r="A109" s="1325"/>
      <c r="B109" s="1326"/>
      <c r="C109" s="1326"/>
      <c r="D109" s="1326"/>
      <c r="E109" s="1326"/>
      <c r="F109" s="1326" t="s">
        <v>2000</v>
      </c>
      <c r="G109" s="1326"/>
      <c r="H109" s="1326"/>
      <c r="I109" s="1326" t="s">
        <v>2000</v>
      </c>
      <c r="J109" s="1382" t="s">
        <v>2001</v>
      </c>
      <c r="K109" s="1197"/>
    </row>
    <row r="110" spans="1:11" ht="13.5" customHeight="1">
      <c r="A110" s="3452" t="s">
        <v>2002</v>
      </c>
      <c r="B110" s="3453"/>
      <c r="C110" s="3453"/>
      <c r="D110" s="3453"/>
      <c r="E110" s="3453"/>
      <c r="F110" s="3453"/>
      <c r="G110" s="3453"/>
      <c r="H110" s="3453"/>
      <c r="I110" s="3453"/>
      <c r="J110" s="3453"/>
      <c r="K110" s="3454"/>
    </row>
    <row r="111" spans="1:11" ht="17.25" customHeight="1">
      <c r="A111" s="153"/>
      <c r="K111" s="154"/>
    </row>
    <row r="112" spans="1:11" ht="17.25" customHeight="1">
      <c r="A112" s="153"/>
      <c r="K112" s="154"/>
    </row>
    <row r="113" spans="1:11" ht="17.25" customHeight="1">
      <c r="A113" s="153"/>
      <c r="K113" s="154"/>
    </row>
    <row r="114" spans="1:11" ht="17.25" customHeight="1">
      <c r="A114" s="153"/>
      <c r="K114" s="154"/>
    </row>
    <row r="115" spans="1:11" ht="17.25" customHeight="1">
      <c r="A115" s="153"/>
      <c r="K115" s="154"/>
    </row>
    <row r="116" spans="1:11" ht="17.25" customHeight="1">
      <c r="A116" s="153"/>
      <c r="K116" s="154"/>
    </row>
    <row r="117" spans="1:11" ht="17.25" customHeight="1">
      <c r="A117" s="153"/>
      <c r="K117" s="154"/>
    </row>
    <row r="118" spans="1:11" ht="15" customHeight="1">
      <c r="A118" s="153"/>
      <c r="K118" s="154"/>
    </row>
    <row r="119" spans="1:11" ht="15" customHeight="1">
      <c r="A119" s="153"/>
      <c r="K119" s="154"/>
    </row>
    <row r="120" spans="1:11" ht="15" customHeight="1">
      <c r="A120" s="153"/>
      <c r="K120" s="154"/>
    </row>
    <row r="121" spans="1:11" ht="15" customHeight="1">
      <c r="A121" s="153"/>
      <c r="K121" s="154"/>
    </row>
    <row r="122" spans="1:11" ht="15" customHeight="1">
      <c r="A122" s="153"/>
      <c r="K122" s="154"/>
    </row>
    <row r="123" spans="1:11" ht="15" customHeight="1">
      <c r="A123" s="153"/>
      <c r="K123" s="154"/>
    </row>
    <row r="124" spans="1:11" ht="15" customHeight="1">
      <c r="A124" s="153"/>
      <c r="K124" s="154"/>
    </row>
    <row r="125" spans="1:11" ht="15" customHeight="1">
      <c r="A125" s="153"/>
      <c r="K125" s="154"/>
    </row>
    <row r="126" spans="1:11" ht="15" customHeight="1">
      <c r="A126" s="153"/>
      <c r="K126" s="154"/>
    </row>
    <row r="127" spans="1:11" ht="15" customHeight="1">
      <c r="A127" s="153"/>
      <c r="K127" s="154"/>
    </row>
    <row r="128" spans="1:11" ht="15" customHeight="1">
      <c r="A128" s="153"/>
      <c r="K128" s="154"/>
    </row>
    <row r="129" spans="1:11" ht="15" customHeight="1">
      <c r="A129" s="153"/>
      <c r="K129" s="154"/>
    </row>
    <row r="130" spans="1:11" ht="15" customHeight="1">
      <c r="A130" s="153"/>
      <c r="K130" s="154"/>
    </row>
    <row r="131" spans="1:11" ht="15" customHeight="1">
      <c r="A131" s="153"/>
      <c r="K131" s="154"/>
    </row>
    <row r="132" spans="1:11" ht="13.5" customHeight="1">
      <c r="A132" s="153"/>
      <c r="K132" s="154"/>
    </row>
    <row r="133" spans="1:11" ht="13.5" customHeight="1">
      <c r="A133" s="153"/>
      <c r="K133" s="154"/>
    </row>
    <row r="134" spans="1:11" ht="13.5" customHeight="1">
      <c r="A134" s="153"/>
      <c r="K134" s="154"/>
    </row>
    <row r="135" spans="1:11" ht="13.5" customHeight="1">
      <c r="A135" s="153"/>
      <c r="K135" s="154"/>
    </row>
    <row r="136" spans="1:11" ht="13.5" customHeight="1">
      <c r="A136" s="156"/>
      <c r="B136" s="41"/>
      <c r="C136" s="41"/>
      <c r="D136" s="41"/>
      <c r="E136" s="41"/>
      <c r="F136" s="41"/>
      <c r="G136" s="41"/>
      <c r="H136" s="41"/>
      <c r="I136" s="41"/>
      <c r="J136" s="41"/>
      <c r="K136" s="159"/>
    </row>
    <row r="137" spans="1:11">
      <c r="A137" s="3455" t="s">
        <v>1974</v>
      </c>
      <c r="B137" s="3455" t="s">
        <v>1975</v>
      </c>
      <c r="C137" s="3455"/>
      <c r="D137" s="3455"/>
      <c r="E137" s="3455"/>
      <c r="F137" s="3455"/>
      <c r="G137" s="3455" t="s">
        <v>707</v>
      </c>
      <c r="H137" s="3455" t="s">
        <v>1976</v>
      </c>
      <c r="I137" s="3455" t="s">
        <v>708</v>
      </c>
      <c r="J137" s="3456" t="s">
        <v>1977</v>
      </c>
      <c r="K137" s="3455" t="s">
        <v>710</v>
      </c>
    </row>
    <row r="138" spans="1:11">
      <c r="A138" s="3455"/>
      <c r="B138" s="3455"/>
      <c r="C138" s="3455"/>
      <c r="D138" s="3455"/>
      <c r="E138" s="3455"/>
      <c r="F138" s="3455"/>
      <c r="G138" s="3455"/>
      <c r="H138" s="3455"/>
      <c r="I138" s="3455"/>
      <c r="J138" s="3457"/>
      <c r="K138" s="3455"/>
    </row>
    <row r="139" spans="1:11">
      <c r="A139" s="17">
        <v>1</v>
      </c>
      <c r="B139" s="3446">
        <v>2</v>
      </c>
      <c r="C139" s="3446"/>
      <c r="D139" s="3446"/>
      <c r="E139" s="3446"/>
      <c r="F139" s="3446"/>
      <c r="G139" s="17">
        <v>3</v>
      </c>
      <c r="H139" s="17">
        <v>4</v>
      </c>
      <c r="I139" s="17">
        <v>5</v>
      </c>
      <c r="J139" s="17">
        <v>6</v>
      </c>
      <c r="K139" s="17">
        <v>7</v>
      </c>
    </row>
    <row r="140" spans="1:11">
      <c r="A140" s="203"/>
      <c r="B140" s="202"/>
      <c r="C140" s="202"/>
      <c r="D140" s="202"/>
      <c r="E140" s="202"/>
      <c r="F140" s="183"/>
      <c r="G140" s="202"/>
      <c r="H140" s="201"/>
      <c r="I140" s="204"/>
      <c r="J140" s="205"/>
      <c r="K140" s="203"/>
    </row>
    <row r="141" spans="1:11">
      <c r="A141" s="193"/>
      <c r="B141" s="188"/>
      <c r="C141" s="188"/>
      <c r="D141" s="188"/>
      <c r="E141" s="188"/>
      <c r="F141" s="188"/>
      <c r="G141" s="206"/>
      <c r="H141" s="206"/>
      <c r="I141" s="207"/>
      <c r="J141" s="208"/>
      <c r="K141" s="193"/>
    </row>
    <row r="142" spans="1:11">
      <c r="A142" s="193"/>
      <c r="B142" s="188"/>
      <c r="C142" s="188"/>
      <c r="D142" s="188"/>
      <c r="E142" s="188"/>
      <c r="F142" s="188"/>
      <c r="G142" s="206"/>
      <c r="H142" s="206"/>
      <c r="I142" s="207"/>
      <c r="J142" s="208"/>
      <c r="K142" s="193"/>
    </row>
    <row r="143" spans="1:11">
      <c r="A143" s="193"/>
      <c r="B143" s="188"/>
      <c r="C143" s="188"/>
      <c r="D143" s="188"/>
      <c r="E143" s="188"/>
      <c r="F143" s="188"/>
      <c r="G143" s="206"/>
      <c r="H143" s="206"/>
      <c r="I143" s="207"/>
      <c r="J143" s="208"/>
      <c r="K143" s="193"/>
    </row>
    <row r="144" spans="1:11">
      <c r="A144" s="193"/>
      <c r="B144" s="188"/>
      <c r="C144" s="188"/>
      <c r="D144" s="188"/>
      <c r="E144" s="188"/>
      <c r="F144" s="188"/>
      <c r="G144" s="206"/>
      <c r="H144" s="206"/>
      <c r="I144" s="207"/>
      <c r="J144" s="208"/>
      <c r="K144" s="193"/>
    </row>
    <row r="145" spans="1:11">
      <c r="A145" s="193"/>
      <c r="B145" s="188"/>
      <c r="C145" s="188"/>
      <c r="D145" s="188"/>
      <c r="E145" s="188"/>
      <c r="F145" s="188"/>
      <c r="G145" s="206"/>
      <c r="H145" s="206"/>
      <c r="I145" s="207"/>
      <c r="J145" s="208"/>
      <c r="K145" s="193"/>
    </row>
    <row r="146" spans="1:11">
      <c r="A146" s="193"/>
      <c r="B146" s="188"/>
      <c r="C146" s="188"/>
      <c r="D146" s="188"/>
      <c r="E146" s="188"/>
      <c r="F146" s="188"/>
      <c r="G146" s="206"/>
      <c r="H146" s="206"/>
      <c r="I146" s="207"/>
      <c r="J146" s="208"/>
      <c r="K146" s="193"/>
    </row>
    <row r="147" spans="1:11">
      <c r="A147" s="193"/>
      <c r="B147" s="188"/>
      <c r="C147" s="188"/>
      <c r="D147" s="188"/>
      <c r="E147" s="188"/>
      <c r="F147" s="188"/>
      <c r="G147" s="206"/>
      <c r="H147" s="206"/>
      <c r="I147" s="207"/>
      <c r="J147" s="208"/>
      <c r="K147" s="193"/>
    </row>
    <row r="148" spans="1:11">
      <c r="A148" s="193"/>
      <c r="B148" s="188"/>
      <c r="C148" s="188"/>
      <c r="D148" s="188"/>
      <c r="E148" s="188"/>
      <c r="F148" s="188"/>
      <c r="G148" s="206"/>
      <c r="H148" s="206"/>
      <c r="I148" s="207"/>
      <c r="J148" s="208"/>
      <c r="K148" s="193"/>
    </row>
    <row r="149" spans="1:11">
      <c r="A149" s="193"/>
      <c r="B149" s="188"/>
      <c r="C149" s="188"/>
      <c r="D149" s="188"/>
      <c r="E149" s="188"/>
      <c r="F149" s="188"/>
      <c r="G149" s="206"/>
      <c r="H149" s="206"/>
      <c r="I149" s="207"/>
      <c r="J149" s="208"/>
      <c r="K149" s="193"/>
    </row>
    <row r="150" spans="1:11">
      <c r="A150" s="193"/>
      <c r="B150" s="188"/>
      <c r="C150" s="188"/>
      <c r="D150" s="188"/>
      <c r="E150" s="188"/>
      <c r="F150" s="188"/>
      <c r="G150" s="206"/>
      <c r="H150" s="206"/>
      <c r="I150" s="207"/>
      <c r="J150" s="208"/>
      <c r="K150" s="193"/>
    </row>
    <row r="151" spans="1:11">
      <c r="A151" s="193"/>
      <c r="B151" s="188"/>
      <c r="C151" s="188"/>
      <c r="D151" s="188"/>
      <c r="E151" s="188"/>
      <c r="F151" s="188"/>
      <c r="G151" s="206"/>
      <c r="H151" s="206"/>
      <c r="I151" s="207"/>
      <c r="J151" s="208"/>
      <c r="K151" s="193"/>
    </row>
    <row r="152" spans="1:11">
      <c r="A152" s="193"/>
      <c r="B152" s="188"/>
      <c r="C152" s="188"/>
      <c r="D152" s="188"/>
      <c r="E152" s="188"/>
      <c r="F152" s="188"/>
      <c r="G152" s="206"/>
      <c r="H152" s="206"/>
      <c r="I152" s="207"/>
      <c r="J152" s="208"/>
      <c r="K152" s="193"/>
    </row>
    <row r="153" spans="1:11">
      <c r="A153" s="193"/>
      <c r="B153" s="188"/>
      <c r="C153" s="188"/>
      <c r="D153" s="188"/>
      <c r="E153" s="188"/>
      <c r="F153" s="188"/>
      <c r="G153" s="206"/>
      <c r="H153" s="206"/>
      <c r="I153" s="207"/>
      <c r="J153" s="208"/>
      <c r="K153" s="193"/>
    </row>
    <row r="154" spans="1:11">
      <c r="A154" s="193"/>
      <c r="B154" s="188"/>
      <c r="C154" s="188"/>
      <c r="D154" s="188"/>
      <c r="E154" s="188"/>
      <c r="F154" s="188"/>
      <c r="G154" s="206"/>
      <c r="H154" s="206"/>
      <c r="I154" s="207"/>
      <c r="J154" s="208"/>
      <c r="K154" s="193"/>
    </row>
    <row r="155" spans="1:11">
      <c r="A155" s="193"/>
      <c r="B155" s="188"/>
      <c r="C155" s="188"/>
      <c r="D155" s="188"/>
      <c r="E155" s="188"/>
      <c r="F155" s="188"/>
      <c r="G155" s="206"/>
      <c r="H155" s="206"/>
      <c r="I155" s="207"/>
      <c r="J155" s="208"/>
      <c r="K155" s="193"/>
    </row>
    <row r="156" spans="1:11">
      <c r="A156" s="193"/>
      <c r="B156" s="188"/>
      <c r="C156" s="188"/>
      <c r="D156" s="188"/>
      <c r="E156" s="188"/>
      <c r="F156" s="188"/>
      <c r="G156" s="206"/>
      <c r="H156" s="206"/>
      <c r="I156" s="207"/>
      <c r="J156" s="208"/>
      <c r="K156" s="193"/>
    </row>
    <row r="157" spans="1:11">
      <c r="A157" s="193"/>
      <c r="B157" s="188"/>
      <c r="C157" s="188"/>
      <c r="D157" s="188"/>
      <c r="E157" s="188"/>
      <c r="F157" s="188"/>
      <c r="G157" s="206"/>
      <c r="H157" s="206"/>
      <c r="I157" s="207"/>
      <c r="J157" s="208"/>
      <c r="K157" s="193"/>
    </row>
    <row r="158" spans="1:11">
      <c r="A158" s="193"/>
      <c r="B158" s="188"/>
      <c r="C158" s="188"/>
      <c r="D158" s="188"/>
      <c r="E158" s="188"/>
      <c r="F158" s="188"/>
      <c r="G158" s="206"/>
      <c r="H158" s="206"/>
      <c r="I158" s="207"/>
      <c r="J158" s="208"/>
      <c r="K158" s="193"/>
    </row>
    <row r="159" spans="1:11">
      <c r="A159" s="193"/>
      <c r="B159" s="188"/>
      <c r="C159" s="188"/>
      <c r="D159" s="188"/>
      <c r="E159" s="188"/>
      <c r="F159" s="188"/>
      <c r="G159" s="206"/>
      <c r="H159" s="206"/>
      <c r="I159" s="207"/>
      <c r="J159" s="208"/>
      <c r="K159" s="193"/>
    </row>
    <row r="160" spans="1:11">
      <c r="A160" s="193"/>
      <c r="B160" s="188"/>
      <c r="C160" s="188"/>
      <c r="D160" s="188"/>
      <c r="E160" s="188"/>
      <c r="F160" s="188"/>
      <c r="G160" s="206"/>
      <c r="H160" s="206"/>
      <c r="I160" s="207"/>
      <c r="J160" s="208"/>
      <c r="K160" s="193"/>
    </row>
    <row r="161" spans="1:11">
      <c r="A161" s="193"/>
      <c r="B161" s="188"/>
      <c r="C161" s="188"/>
      <c r="D161" s="188"/>
      <c r="E161" s="188"/>
      <c r="F161" s="188"/>
      <c r="G161" s="206"/>
      <c r="H161" s="206"/>
      <c r="I161" s="207"/>
      <c r="J161" s="208"/>
      <c r="K161" s="193"/>
    </row>
    <row r="162" spans="1:11">
      <c r="A162" s="193"/>
      <c r="B162" s="188"/>
      <c r="C162" s="188"/>
      <c r="D162" s="188"/>
      <c r="E162" s="188"/>
      <c r="F162" s="188"/>
      <c r="G162" s="206"/>
      <c r="H162" s="206"/>
      <c r="I162" s="207"/>
      <c r="J162" s="208"/>
      <c r="K162" s="193"/>
    </row>
    <row r="163" spans="1:11">
      <c r="A163" s="193"/>
      <c r="B163" s="188"/>
      <c r="C163" s="188"/>
      <c r="D163" s="188"/>
      <c r="E163" s="188"/>
      <c r="F163" s="188"/>
      <c r="G163" s="206"/>
      <c r="H163" s="206"/>
      <c r="I163" s="207"/>
      <c r="J163" s="208"/>
      <c r="K163" s="193"/>
    </row>
    <row r="164" spans="1:11">
      <c r="A164" s="193"/>
      <c r="B164" s="188"/>
      <c r="C164" s="188"/>
      <c r="D164" s="188"/>
      <c r="E164" s="188"/>
      <c r="F164" s="188"/>
      <c r="G164" s="206"/>
      <c r="H164" s="206"/>
      <c r="I164" s="207"/>
      <c r="J164" s="208"/>
      <c r="K164" s="193"/>
    </row>
    <row r="165" spans="1:11">
      <c r="A165" s="193"/>
      <c r="B165" s="188"/>
      <c r="C165" s="188"/>
      <c r="D165" s="188"/>
      <c r="E165" s="188"/>
      <c r="F165" s="188"/>
      <c r="G165" s="206"/>
      <c r="H165" s="206"/>
      <c r="I165" s="207"/>
      <c r="J165" s="208"/>
      <c r="K165" s="193"/>
    </row>
    <row r="166" spans="1:11">
      <c r="A166" s="193"/>
      <c r="B166" s="188"/>
      <c r="C166" s="188"/>
      <c r="D166" s="188"/>
      <c r="E166" s="188"/>
      <c r="F166" s="188"/>
      <c r="G166" s="206"/>
      <c r="H166" s="206"/>
      <c r="I166" s="207"/>
      <c r="J166" s="208"/>
      <c r="K166" s="193"/>
    </row>
    <row r="167" spans="1:11">
      <c r="A167" s="193"/>
      <c r="B167" s="188"/>
      <c r="C167" s="188"/>
      <c r="D167" s="188"/>
      <c r="E167" s="188"/>
      <c r="F167" s="188"/>
      <c r="G167" s="206"/>
      <c r="H167" s="206"/>
      <c r="I167" s="207"/>
      <c r="J167" s="208"/>
      <c r="K167" s="193"/>
    </row>
    <row r="168" spans="1:11">
      <c r="A168" s="193"/>
      <c r="B168" s="188"/>
      <c r="C168" s="188"/>
      <c r="D168" s="188"/>
      <c r="E168" s="188"/>
      <c r="F168" s="188"/>
      <c r="G168" s="206"/>
      <c r="H168" s="206"/>
      <c r="I168" s="207"/>
      <c r="J168" s="208"/>
      <c r="K168" s="193"/>
    </row>
    <row r="169" spans="1:11">
      <c r="A169" s="193"/>
      <c r="B169" s="188"/>
      <c r="C169" s="188"/>
      <c r="D169" s="188"/>
      <c r="E169" s="188"/>
      <c r="F169" s="188"/>
      <c r="G169" s="206"/>
      <c r="H169" s="206"/>
      <c r="I169" s="207"/>
      <c r="J169" s="208"/>
      <c r="K169" s="193"/>
    </row>
    <row r="170" spans="1:11">
      <c r="A170" s="193"/>
      <c r="B170" s="188"/>
      <c r="C170" s="188"/>
      <c r="D170" s="188"/>
      <c r="E170" s="188"/>
      <c r="F170" s="188"/>
      <c r="G170" s="206"/>
      <c r="H170" s="206"/>
      <c r="I170" s="207"/>
      <c r="J170" s="208"/>
      <c r="K170" s="193"/>
    </row>
    <row r="171" spans="1:11">
      <c r="A171" s="193"/>
      <c r="B171" s="188"/>
      <c r="C171" s="188"/>
      <c r="D171" s="188"/>
      <c r="E171" s="188"/>
      <c r="F171" s="188"/>
      <c r="G171" s="206"/>
      <c r="H171" s="206"/>
      <c r="I171" s="207"/>
      <c r="J171" s="208"/>
      <c r="K171" s="193"/>
    </row>
    <row r="172" spans="1:11">
      <c r="A172" s="193"/>
      <c r="B172" s="188"/>
      <c r="C172" s="188"/>
      <c r="D172" s="188"/>
      <c r="E172" s="188"/>
      <c r="F172" s="188"/>
      <c r="G172" s="206"/>
      <c r="H172" s="206"/>
      <c r="I172" s="207"/>
      <c r="J172" s="208"/>
      <c r="K172" s="193"/>
    </row>
    <row r="173" spans="1:11">
      <c r="A173" s="193"/>
      <c r="B173" s="188"/>
      <c r="C173" s="188"/>
      <c r="D173" s="188"/>
      <c r="E173" s="188"/>
      <c r="F173" s="188"/>
      <c r="G173" s="206"/>
      <c r="H173" s="206"/>
      <c r="I173" s="207"/>
      <c r="J173" s="208"/>
      <c r="K173" s="193"/>
    </row>
    <row r="174" spans="1:11">
      <c r="A174" s="193"/>
      <c r="B174" s="188"/>
      <c r="C174" s="188"/>
      <c r="D174" s="188"/>
      <c r="E174" s="188"/>
      <c r="F174" s="188"/>
      <c r="G174" s="206"/>
      <c r="H174" s="206"/>
      <c r="I174" s="207"/>
      <c r="J174" s="208"/>
      <c r="K174" s="193"/>
    </row>
    <row r="175" spans="1:11">
      <c r="A175" s="193"/>
      <c r="B175" s="188"/>
      <c r="C175" s="188"/>
      <c r="D175" s="188"/>
      <c r="E175" s="188"/>
      <c r="F175" s="188"/>
      <c r="G175" s="206"/>
      <c r="H175" s="206"/>
      <c r="I175" s="207"/>
      <c r="J175" s="208"/>
      <c r="K175" s="193"/>
    </row>
    <row r="176" spans="1:11">
      <c r="A176" s="193"/>
      <c r="B176" s="188"/>
      <c r="C176" s="188"/>
      <c r="D176" s="188"/>
      <c r="E176" s="188"/>
      <c r="F176" s="188"/>
      <c r="G176" s="206"/>
      <c r="H176" s="206"/>
      <c r="I176" s="207"/>
      <c r="J176" s="208"/>
      <c r="K176" s="193"/>
    </row>
    <row r="177" spans="1:11">
      <c r="A177" s="193"/>
      <c r="B177" s="188"/>
      <c r="C177" s="188"/>
      <c r="D177" s="188"/>
      <c r="E177" s="188"/>
      <c r="F177" s="188"/>
      <c r="G177" s="206"/>
      <c r="H177" s="206"/>
      <c r="I177" s="207"/>
      <c r="J177" s="208"/>
      <c r="K177" s="193"/>
    </row>
    <row r="178" spans="1:11">
      <c r="A178" s="193"/>
      <c r="B178" s="188"/>
      <c r="C178" s="188"/>
      <c r="D178" s="188"/>
      <c r="E178" s="188"/>
      <c r="F178" s="188"/>
      <c r="G178" s="206"/>
      <c r="H178" s="206"/>
      <c r="I178" s="207"/>
      <c r="J178" s="208"/>
      <c r="K178" s="193"/>
    </row>
    <row r="179" spans="1:11">
      <c r="A179" s="193"/>
      <c r="B179" s="188"/>
      <c r="C179" s="188"/>
      <c r="D179" s="188"/>
      <c r="E179" s="188"/>
      <c r="F179" s="188"/>
      <c r="G179" s="206"/>
      <c r="H179" s="206"/>
      <c r="I179" s="207"/>
      <c r="J179" s="208"/>
      <c r="K179" s="193"/>
    </row>
    <row r="180" spans="1:11">
      <c r="A180" s="193"/>
      <c r="B180" s="188"/>
      <c r="C180" s="188"/>
      <c r="D180" s="188"/>
      <c r="E180" s="188"/>
      <c r="F180" s="188"/>
      <c r="G180" s="206"/>
      <c r="H180" s="206"/>
      <c r="I180" s="207"/>
      <c r="J180" s="208"/>
      <c r="K180" s="193"/>
    </row>
    <row r="181" spans="1:11">
      <c r="A181" s="193"/>
      <c r="B181" s="188"/>
      <c r="C181" s="188"/>
      <c r="D181" s="188"/>
      <c r="E181" s="188"/>
      <c r="F181" s="188"/>
      <c r="G181" s="206"/>
      <c r="H181" s="206"/>
      <c r="I181" s="207"/>
      <c r="J181" s="208"/>
      <c r="K181" s="193"/>
    </row>
    <row r="182" spans="1:11">
      <c r="A182" s="193"/>
      <c r="B182" s="188"/>
      <c r="C182" s="188"/>
      <c r="D182" s="188"/>
      <c r="E182" s="188"/>
      <c r="F182" s="188"/>
      <c r="G182" s="206"/>
      <c r="H182" s="206"/>
      <c r="I182" s="207"/>
      <c r="J182" s="208"/>
      <c r="K182" s="193"/>
    </row>
    <row r="183" spans="1:11">
      <c r="A183" s="193"/>
      <c r="B183" s="188"/>
      <c r="C183" s="188"/>
      <c r="D183" s="188"/>
      <c r="E183" s="188"/>
      <c r="F183" s="188"/>
      <c r="G183" s="206"/>
      <c r="H183" s="206"/>
      <c r="I183" s="207"/>
      <c r="J183" s="208"/>
      <c r="K183" s="193"/>
    </row>
    <row r="184" spans="1:11">
      <c r="A184" s="193"/>
      <c r="B184" s="188"/>
      <c r="C184" s="188"/>
      <c r="D184" s="188"/>
      <c r="E184" s="188"/>
      <c r="F184" s="188"/>
      <c r="G184" s="206"/>
      <c r="H184" s="206"/>
      <c r="I184" s="207"/>
      <c r="J184" s="208"/>
      <c r="K184" s="193"/>
    </row>
    <row r="185" spans="1:11">
      <c r="A185" s="193"/>
      <c r="B185" s="188"/>
      <c r="C185" s="188"/>
      <c r="D185" s="188"/>
      <c r="E185" s="188"/>
      <c r="F185" s="188"/>
      <c r="G185" s="206"/>
      <c r="H185" s="206"/>
      <c r="I185" s="207"/>
      <c r="J185" s="208"/>
      <c r="K185" s="193"/>
    </row>
    <row r="186" spans="1:11">
      <c r="A186" s="193"/>
      <c r="B186" s="188"/>
      <c r="C186" s="188"/>
      <c r="D186" s="188"/>
      <c r="E186" s="188"/>
      <c r="F186" s="188"/>
      <c r="G186" s="206"/>
      <c r="H186" s="206"/>
      <c r="I186" s="207"/>
      <c r="J186" s="208"/>
      <c r="K186" s="193"/>
    </row>
    <row r="187" spans="1:11">
      <c r="A187" s="193"/>
      <c r="B187" s="188"/>
      <c r="C187" s="188"/>
      <c r="D187" s="188"/>
      <c r="E187" s="188"/>
      <c r="F187" s="188"/>
      <c r="G187" s="206"/>
      <c r="H187" s="206"/>
      <c r="I187" s="207"/>
      <c r="J187" s="208"/>
      <c r="K187" s="193"/>
    </row>
    <row r="188" spans="1:11">
      <c r="A188" s="193"/>
      <c r="B188" s="188"/>
      <c r="C188" s="188"/>
      <c r="D188" s="188"/>
      <c r="E188" s="188"/>
      <c r="F188" s="188"/>
      <c r="G188" s="206"/>
      <c r="H188" s="206"/>
      <c r="I188" s="207"/>
      <c r="J188" s="208"/>
      <c r="K188" s="193"/>
    </row>
    <row r="189" spans="1:11">
      <c r="A189" s="193"/>
      <c r="B189" s="188"/>
      <c r="C189" s="188"/>
      <c r="D189" s="188"/>
      <c r="E189" s="188"/>
      <c r="F189" s="188"/>
      <c r="G189" s="206"/>
      <c r="H189" s="206"/>
      <c r="I189" s="207"/>
      <c r="J189" s="208"/>
      <c r="K189" s="193"/>
    </row>
    <row r="190" spans="1:11">
      <c r="A190" s="193"/>
      <c r="B190" s="188"/>
      <c r="C190" s="188"/>
      <c r="D190" s="188"/>
      <c r="E190" s="188"/>
      <c r="F190" s="188"/>
      <c r="G190" s="206"/>
      <c r="H190" s="206"/>
      <c r="I190" s="207"/>
      <c r="J190" s="208"/>
      <c r="K190" s="193"/>
    </row>
    <row r="191" spans="1:11">
      <c r="A191" s="193"/>
      <c r="B191" s="188"/>
      <c r="C191" s="188"/>
      <c r="D191" s="188"/>
      <c r="E191" s="188"/>
      <c r="F191" s="188"/>
      <c r="G191" s="206"/>
      <c r="H191" s="206"/>
      <c r="I191" s="207"/>
      <c r="J191" s="208"/>
      <c r="K191" s="193"/>
    </row>
    <row r="192" spans="1:11">
      <c r="A192" s="193"/>
      <c r="B192" s="188"/>
      <c r="C192" s="188"/>
      <c r="D192" s="188"/>
      <c r="E192" s="188"/>
      <c r="F192" s="188"/>
      <c r="G192" s="206"/>
      <c r="H192" s="206"/>
      <c r="I192" s="207"/>
      <c r="J192" s="208"/>
      <c r="K192" s="193"/>
    </row>
    <row r="193" spans="1:11">
      <c r="A193" s="193"/>
      <c r="B193" s="188"/>
      <c r="C193" s="188"/>
      <c r="D193" s="188"/>
      <c r="E193" s="188"/>
      <c r="F193" s="188"/>
      <c r="G193" s="206"/>
      <c r="H193" s="206"/>
      <c r="I193" s="207"/>
      <c r="J193" s="208"/>
      <c r="K193" s="193"/>
    </row>
    <row r="194" spans="1:11">
      <c r="A194" s="193"/>
      <c r="B194" s="188"/>
      <c r="C194" s="188"/>
      <c r="D194" s="188"/>
      <c r="E194" s="188"/>
      <c r="F194" s="188"/>
      <c r="G194" s="206"/>
      <c r="H194" s="206"/>
      <c r="I194" s="207"/>
      <c r="J194" s="208"/>
      <c r="K194" s="193"/>
    </row>
    <row r="195" spans="1:11">
      <c r="A195" s="193"/>
      <c r="B195" s="188"/>
      <c r="C195" s="188"/>
      <c r="D195" s="188"/>
      <c r="E195" s="188"/>
      <c r="F195" s="188"/>
      <c r="G195" s="206"/>
      <c r="H195" s="206"/>
      <c r="I195" s="207"/>
      <c r="J195" s="208"/>
      <c r="K195" s="193"/>
    </row>
    <row r="196" spans="1:11">
      <c r="A196" s="193"/>
      <c r="B196" s="188"/>
      <c r="C196" s="188"/>
      <c r="D196" s="188"/>
      <c r="E196" s="188"/>
      <c r="F196" s="188"/>
      <c r="G196" s="206"/>
      <c r="H196" s="206"/>
      <c r="I196" s="207"/>
      <c r="J196" s="208"/>
      <c r="K196" s="193"/>
    </row>
    <row r="197" spans="1:11">
      <c r="A197" s="193"/>
      <c r="B197" s="188"/>
      <c r="C197" s="188"/>
      <c r="D197" s="188"/>
      <c r="E197" s="188"/>
      <c r="F197" s="188"/>
      <c r="G197" s="206"/>
      <c r="H197" s="206"/>
      <c r="I197" s="207"/>
      <c r="J197" s="208"/>
      <c r="K197" s="193"/>
    </row>
    <row r="198" spans="1:11">
      <c r="A198" s="193"/>
      <c r="B198" s="188"/>
      <c r="C198" s="188"/>
      <c r="D198" s="188"/>
      <c r="E198" s="188"/>
      <c r="F198" s="188"/>
      <c r="G198" s="206"/>
      <c r="H198" s="206"/>
      <c r="I198" s="207"/>
      <c r="J198" s="208"/>
      <c r="K198" s="193"/>
    </row>
    <row r="199" spans="1:11">
      <c r="A199" s="193"/>
      <c r="B199" s="188"/>
      <c r="C199" s="188"/>
      <c r="D199" s="188"/>
      <c r="E199" s="188"/>
      <c r="F199" s="188"/>
      <c r="G199" s="206"/>
      <c r="H199" s="206"/>
      <c r="I199" s="207"/>
      <c r="J199" s="208"/>
      <c r="K199" s="193"/>
    </row>
    <row r="200" spans="1:11">
      <c r="A200" s="193"/>
      <c r="B200" s="188"/>
      <c r="C200" s="188"/>
      <c r="D200" s="188"/>
      <c r="E200" s="188"/>
      <c r="F200" s="188"/>
      <c r="G200" s="206"/>
      <c r="H200" s="206"/>
      <c r="I200" s="207"/>
      <c r="J200" s="208"/>
      <c r="K200" s="193"/>
    </row>
    <row r="201" spans="1:11">
      <c r="A201" s="193"/>
      <c r="B201" s="188"/>
      <c r="C201" s="188"/>
      <c r="D201" s="188"/>
      <c r="E201" s="188"/>
      <c r="F201" s="188"/>
      <c r="G201" s="206"/>
      <c r="H201" s="206"/>
      <c r="I201" s="207"/>
      <c r="J201" s="208"/>
      <c r="K201" s="193"/>
    </row>
    <row r="202" spans="1:11">
      <c r="A202" s="193"/>
      <c r="B202" s="188"/>
      <c r="C202" s="188"/>
      <c r="D202" s="188"/>
      <c r="E202" s="188"/>
      <c r="F202" s="188"/>
      <c r="G202" s="206"/>
      <c r="H202" s="206"/>
      <c r="I202" s="207"/>
      <c r="J202" s="208"/>
      <c r="K202" s="193"/>
    </row>
    <row r="203" spans="1:11">
      <c r="A203" s="193"/>
      <c r="B203" s="188"/>
      <c r="C203" s="188"/>
      <c r="D203" s="188"/>
      <c r="E203" s="188"/>
      <c r="F203" s="188"/>
      <c r="G203" s="206"/>
      <c r="H203" s="206"/>
      <c r="I203" s="207"/>
      <c r="J203" s="208"/>
      <c r="K203" s="193"/>
    </row>
    <row r="204" spans="1:11">
      <c r="A204" s="193"/>
      <c r="B204" s="188"/>
      <c r="C204" s="188"/>
      <c r="D204" s="188"/>
      <c r="E204" s="188"/>
      <c r="F204" s="188"/>
      <c r="G204" s="206"/>
      <c r="H204" s="206"/>
      <c r="I204" s="207"/>
      <c r="J204" s="208"/>
      <c r="K204" s="193"/>
    </row>
    <row r="205" spans="1:11">
      <c r="A205" s="193"/>
      <c r="B205" s="188"/>
      <c r="C205" s="188"/>
      <c r="D205" s="188"/>
      <c r="E205" s="188"/>
      <c r="F205" s="188"/>
      <c r="G205" s="206"/>
      <c r="H205" s="206"/>
      <c r="I205" s="207"/>
      <c r="J205" s="208"/>
      <c r="K205" s="193"/>
    </row>
    <row r="206" spans="1:11">
      <c r="A206" s="193"/>
      <c r="B206" s="188"/>
      <c r="C206" s="188"/>
      <c r="D206" s="188"/>
      <c r="E206" s="188"/>
      <c r="F206" s="188"/>
      <c r="G206" s="206"/>
      <c r="H206" s="206"/>
      <c r="I206" s="207"/>
      <c r="J206" s="208"/>
      <c r="K206" s="193"/>
    </row>
    <row r="207" spans="1:11">
      <c r="A207" s="209"/>
      <c r="B207" s="210"/>
      <c r="C207" s="210"/>
      <c r="D207" s="210"/>
      <c r="E207" s="210"/>
      <c r="F207" s="210"/>
      <c r="G207" s="211"/>
      <c r="H207" s="211"/>
      <c r="I207" s="212"/>
      <c r="J207" s="213"/>
      <c r="K207" s="209"/>
    </row>
  </sheetData>
  <mergeCells count="36">
    <mergeCell ref="K70:K71"/>
    <mergeCell ref="B139:F139"/>
    <mergeCell ref="B86:C87"/>
    <mergeCell ref="A96:K96"/>
    <mergeCell ref="A110:K110"/>
    <mergeCell ref="A137:A138"/>
    <mergeCell ref="B137:F138"/>
    <mergeCell ref="G137:G138"/>
    <mergeCell ref="H137:H138"/>
    <mergeCell ref="I137:I138"/>
    <mergeCell ref="J137:J138"/>
    <mergeCell ref="K137:K138"/>
    <mergeCell ref="B72:F72"/>
    <mergeCell ref="G70:G71"/>
    <mergeCell ref="A70:A71"/>
    <mergeCell ref="B70:F71"/>
    <mergeCell ref="B26:F26"/>
    <mergeCell ref="H70:H71"/>
    <mergeCell ref="J19:J20"/>
    <mergeCell ref="I70:I71"/>
    <mergeCell ref="J70:J71"/>
    <mergeCell ref="K19:K20"/>
    <mergeCell ref="A22:K22"/>
    <mergeCell ref="A24:A25"/>
    <mergeCell ref="B24:F25"/>
    <mergeCell ref="G24:G25"/>
    <mergeCell ref="H24:H25"/>
    <mergeCell ref="I24:I25"/>
    <mergeCell ref="J24:J25"/>
    <mergeCell ref="K24:K25"/>
    <mergeCell ref="A1:K1"/>
    <mergeCell ref="A2:K2"/>
    <mergeCell ref="A3:K3"/>
    <mergeCell ref="A4:K4"/>
    <mergeCell ref="J17:J18"/>
    <mergeCell ref="K17:K18"/>
  </mergeCells>
  <pageMargins left="0.51181102362204722" right="0.35433070866141736" top="0.39370078740157483" bottom="0.39370078740157483" header="0.51181102362204722" footer="0.51181102362204722"/>
  <pageSetup paperSize="9" scale="80" orientation="portrait" r:id="rId1"/>
  <headerFooter alignWithMargins="0"/>
</worksheet>
</file>

<file path=xl/worksheets/sheet34.xml><?xml version="1.0" encoding="utf-8"?>
<worksheet xmlns="http://schemas.openxmlformats.org/spreadsheetml/2006/main" xmlns:r="http://schemas.openxmlformats.org/officeDocument/2006/relationships">
  <sheetPr>
    <tabColor rgb="FF00B050"/>
  </sheetPr>
  <dimension ref="A1:Y45"/>
  <sheetViews>
    <sheetView view="pageBreakPreview" topLeftCell="A25" zoomScaleSheetLayoutView="100" workbookViewId="0">
      <selection activeCell="Y23" sqref="Y23"/>
    </sheetView>
  </sheetViews>
  <sheetFormatPr defaultColWidth="4.7109375" defaultRowHeight="12.75"/>
  <cols>
    <col min="1" max="20" width="4.5703125" style="671" customWidth="1"/>
    <col min="21" max="16384" width="4.7109375" style="671"/>
  </cols>
  <sheetData>
    <row r="1" spans="1:20" ht="20.25">
      <c r="A1" s="3461" t="s">
        <v>2011</v>
      </c>
      <c r="B1" s="3461"/>
      <c r="C1" s="3461"/>
      <c r="D1" s="3461"/>
      <c r="E1" s="3461"/>
      <c r="F1" s="3461"/>
      <c r="G1" s="3461"/>
      <c r="H1" s="3461"/>
      <c r="I1" s="3461"/>
      <c r="J1" s="3461"/>
      <c r="K1" s="3461"/>
      <c r="L1" s="3461"/>
      <c r="M1" s="3461"/>
      <c r="N1" s="3461"/>
      <c r="O1" s="3461"/>
      <c r="P1" s="3461"/>
      <c r="Q1" s="3461"/>
      <c r="R1" s="3461"/>
      <c r="S1" s="3461"/>
      <c r="T1" s="3461"/>
    </row>
    <row r="3" spans="1:20" ht="15">
      <c r="A3" s="1290"/>
      <c r="B3" s="1290"/>
      <c r="C3" s="1290" t="str">
        <f>'Lead &amp; ANALYSIS'!A2</f>
        <v>NAME OF THE WORK:-</v>
      </c>
      <c r="D3" s="1290"/>
      <c r="E3" s="1290"/>
      <c r="F3" s="1290"/>
      <c r="G3" s="1290"/>
      <c r="H3" s="1290" t="str">
        <f>'Lead &amp; ANALYSIS'!D2</f>
        <v>Dining Hall of Damasal School</v>
      </c>
      <c r="I3" s="1290"/>
      <c r="J3" s="1290"/>
      <c r="K3" s="1290"/>
      <c r="L3" s="1290"/>
      <c r="M3" s="1290"/>
      <c r="N3" s="1290"/>
      <c r="O3" s="1290"/>
      <c r="P3" s="1290"/>
      <c r="Q3" s="1290"/>
      <c r="R3" s="1290"/>
      <c r="S3" s="1290"/>
      <c r="T3" s="1290"/>
    </row>
    <row r="4" spans="1:20" ht="15">
      <c r="A4" s="1290"/>
      <c r="B4" s="1290"/>
      <c r="C4" s="1290" t="str">
        <f>'Lead &amp; ANALYSIS'!A3</f>
        <v>NAME OF THE G.P.:-</v>
      </c>
      <c r="D4" s="1290"/>
      <c r="E4" s="1290"/>
      <c r="F4" s="1290"/>
      <c r="G4" s="1290"/>
      <c r="H4" s="1290" t="str">
        <f>'Lead &amp; ANALYSIS'!D3</f>
        <v>Odisha</v>
      </c>
      <c r="I4" s="1290"/>
      <c r="J4" s="1290"/>
      <c r="K4" s="1290"/>
      <c r="L4" s="1290"/>
      <c r="M4" s="1290"/>
      <c r="N4" s="1290"/>
      <c r="O4" s="1290"/>
      <c r="P4" s="1290"/>
      <c r="Q4" s="1290"/>
      <c r="R4" s="1290"/>
      <c r="S4" s="1290"/>
      <c r="T4" s="1290"/>
    </row>
    <row r="5" spans="1:20" ht="15">
      <c r="A5" s="1290"/>
      <c r="B5" s="1290"/>
      <c r="C5" s="1290" t="str">
        <f>'Lead &amp; ANALYSIS'!A4</f>
        <v>NAME OF THE SCHEME:-</v>
      </c>
      <c r="D5" s="1290"/>
      <c r="E5" s="1290"/>
      <c r="F5" s="1290"/>
      <c r="G5" s="1290"/>
      <c r="H5" s="1290">
        <f>'Lead &amp; ANALYSIS'!D4</f>
        <v>0</v>
      </c>
      <c r="I5" s="1290"/>
      <c r="J5" s="1290"/>
      <c r="K5" s="1290"/>
      <c r="L5" s="1290"/>
      <c r="M5" s="1290"/>
      <c r="N5" s="1290"/>
      <c r="O5" s="1290"/>
      <c r="P5" s="1290"/>
      <c r="Q5" s="1290"/>
      <c r="R5" s="1290"/>
      <c r="S5" s="1290"/>
      <c r="T5" s="1290"/>
    </row>
    <row r="6" spans="1:20" ht="15">
      <c r="A6" s="1290"/>
      <c r="B6" s="1290"/>
      <c r="C6" s="1290"/>
      <c r="D6" s="1290"/>
      <c r="E6" s="1290"/>
      <c r="F6" s="1290"/>
      <c r="G6" s="1290"/>
      <c r="H6" s="1290"/>
      <c r="I6" s="1290"/>
      <c r="J6" s="1290"/>
      <c r="K6" s="1290"/>
      <c r="L6" s="1290"/>
      <c r="M6" s="1290"/>
      <c r="N6" s="1290"/>
      <c r="O6" s="1290"/>
      <c r="P6" s="1290"/>
      <c r="Q6" s="1290"/>
      <c r="R6" s="1290"/>
      <c r="S6" s="1290"/>
      <c r="T6" s="1290"/>
    </row>
    <row r="7" spans="1:20" ht="15">
      <c r="A7" s="1290"/>
      <c r="B7" s="1290"/>
      <c r="C7" s="1290"/>
      <c r="D7" s="1290"/>
      <c r="E7" s="1290"/>
      <c r="F7" s="1290"/>
      <c r="G7" s="1290"/>
      <c r="H7" s="1290"/>
      <c r="I7" s="1290"/>
      <c r="J7" s="1290"/>
      <c r="K7" s="1290"/>
      <c r="L7" s="1290"/>
      <c r="M7" s="1290"/>
      <c r="N7" s="1290"/>
      <c r="O7" s="1290"/>
      <c r="P7" s="1290"/>
      <c r="Q7" s="1290"/>
      <c r="R7" s="1290"/>
      <c r="S7" s="1290"/>
      <c r="T7" s="1290"/>
    </row>
    <row r="8" spans="1:20" ht="15">
      <c r="A8" s="1290"/>
      <c r="B8" s="1290"/>
      <c r="C8" s="1290"/>
      <c r="D8" s="1290"/>
      <c r="E8" s="1290"/>
      <c r="F8" s="1290"/>
      <c r="G8" s="1290"/>
      <c r="H8" s="1290"/>
      <c r="I8" s="1290"/>
      <c r="J8" s="1290"/>
      <c r="K8" s="1290"/>
      <c r="L8" s="1290"/>
      <c r="M8" s="1290"/>
      <c r="N8" s="1290"/>
      <c r="O8" s="1290"/>
      <c r="P8" s="1290"/>
      <c r="Q8" s="1290"/>
      <c r="R8" s="1290"/>
      <c r="S8" s="1290"/>
      <c r="T8" s="1290"/>
    </row>
    <row r="9" spans="1:20" ht="15">
      <c r="A9" s="1290"/>
      <c r="B9" s="1290"/>
      <c r="C9" s="1290"/>
      <c r="D9" s="1290"/>
      <c r="E9" s="1290"/>
      <c r="F9" s="3463" t="s">
        <v>2012</v>
      </c>
      <c r="G9" s="1290"/>
      <c r="H9" s="1290"/>
      <c r="I9" s="1290"/>
      <c r="J9" s="1290"/>
      <c r="K9" s="1290"/>
      <c r="L9" s="1290"/>
      <c r="M9" s="1290"/>
      <c r="N9" s="1290"/>
      <c r="O9" s="1290"/>
      <c r="P9" s="1290"/>
      <c r="Q9" s="1290"/>
      <c r="R9" s="1290"/>
      <c r="S9" s="1290"/>
      <c r="T9" s="1290"/>
    </row>
    <row r="10" spans="1:20" ht="15">
      <c r="A10" s="1290"/>
      <c r="B10" s="1290"/>
      <c r="C10" s="1290"/>
      <c r="D10" s="1290"/>
      <c r="E10" s="1290"/>
      <c r="F10" s="3463"/>
      <c r="G10" s="1290"/>
      <c r="H10" s="1290"/>
      <c r="I10" s="1290"/>
      <c r="J10" s="1290"/>
      <c r="K10" s="1290"/>
      <c r="L10" s="1290"/>
      <c r="M10" s="1290"/>
      <c r="N10" s="1290"/>
      <c r="O10" s="1290"/>
      <c r="P10" s="1290"/>
      <c r="Q10" s="1290"/>
      <c r="R10" s="1290"/>
      <c r="S10" s="1290"/>
      <c r="T10" s="1290"/>
    </row>
    <row r="11" spans="1:20" ht="15">
      <c r="A11" s="1290"/>
      <c r="B11" s="1290"/>
      <c r="C11" s="1290"/>
      <c r="D11" s="1290"/>
      <c r="E11" s="1290"/>
      <c r="F11" s="3463"/>
      <c r="G11" s="1290"/>
      <c r="H11" s="1290"/>
      <c r="I11" s="1290"/>
      <c r="J11" s="1290" t="s">
        <v>2013</v>
      </c>
      <c r="K11" s="1290"/>
      <c r="L11" s="1290"/>
      <c r="M11" s="1290"/>
      <c r="N11" s="1290"/>
      <c r="O11" s="1290"/>
      <c r="P11" s="1290"/>
      <c r="Q11" s="1290"/>
      <c r="R11" s="1290"/>
      <c r="S11" s="1290"/>
      <c r="T11" s="1290"/>
    </row>
    <row r="12" spans="1:20" ht="15">
      <c r="A12" s="1290"/>
      <c r="B12" s="1290"/>
      <c r="C12" s="1290"/>
      <c r="D12" s="1290"/>
      <c r="E12" s="1290"/>
      <c r="F12" s="3463"/>
      <c r="G12" s="1290"/>
      <c r="H12" s="1290"/>
      <c r="I12" s="1290"/>
      <c r="J12" s="1290"/>
      <c r="K12" s="1290"/>
      <c r="L12" s="1290"/>
      <c r="M12" s="1290"/>
      <c r="N12" s="1290"/>
      <c r="O12" s="1290"/>
      <c r="P12" s="1290"/>
      <c r="Q12" s="1290"/>
      <c r="R12" s="1290"/>
      <c r="S12" s="1290"/>
      <c r="T12" s="1290"/>
    </row>
    <row r="13" spans="1:20" ht="15">
      <c r="A13" s="1290"/>
      <c r="B13" s="1290"/>
      <c r="C13" s="1290"/>
      <c r="D13" s="1290"/>
      <c r="E13" s="1290"/>
      <c r="F13" s="1291"/>
      <c r="G13" s="1290"/>
      <c r="H13" s="1290"/>
      <c r="I13" s="1290"/>
      <c r="J13" s="1290"/>
      <c r="K13" s="1290"/>
      <c r="L13" s="1290"/>
      <c r="M13" s="1290"/>
      <c r="N13" s="1290"/>
      <c r="O13" s="1290"/>
      <c r="P13" s="1290"/>
      <c r="Q13" s="1290"/>
      <c r="R13" s="1290"/>
      <c r="S13" s="1290"/>
      <c r="T13" s="1290"/>
    </row>
    <row r="14" spans="1:20" ht="15">
      <c r="A14" s="1290"/>
      <c r="B14" s="1290"/>
      <c r="C14" s="1290"/>
      <c r="D14" s="1290"/>
      <c r="E14" s="1290"/>
      <c r="F14" s="1291"/>
      <c r="G14" s="1290"/>
      <c r="H14" s="1290"/>
      <c r="I14" s="1290"/>
      <c r="J14" s="1290"/>
      <c r="K14" s="1290"/>
      <c r="L14" s="1290"/>
      <c r="M14" s="1290"/>
      <c r="N14" s="1290"/>
      <c r="O14" s="1290"/>
      <c r="P14" s="1290"/>
      <c r="Q14" s="1290"/>
      <c r="R14" s="1290"/>
      <c r="S14" s="1290"/>
      <c r="T14" s="1290"/>
    </row>
    <row r="15" spans="1:20" ht="15">
      <c r="A15" s="1290"/>
      <c r="B15" s="1290"/>
      <c r="C15" s="1290"/>
      <c r="D15" s="1290"/>
      <c r="E15" s="1290"/>
      <c r="F15" s="1291"/>
      <c r="G15" s="1290"/>
      <c r="H15" s="1290"/>
      <c r="I15" s="1290"/>
      <c r="J15" s="1290"/>
      <c r="K15" s="1290"/>
      <c r="L15" s="1290"/>
      <c r="M15" s="1290"/>
      <c r="N15" s="1290"/>
      <c r="O15" s="1290"/>
      <c r="P15" s="1290"/>
      <c r="Q15" s="1290"/>
      <c r="R15" s="1290"/>
      <c r="S15" s="1290"/>
      <c r="T15" s="1290"/>
    </row>
    <row r="16" spans="1:20" ht="15">
      <c r="A16" s="1290"/>
      <c r="B16" s="1290"/>
      <c r="C16" s="1290"/>
      <c r="D16" s="1290"/>
      <c r="E16" s="1290"/>
      <c r="F16" s="1291"/>
      <c r="G16" s="1290"/>
      <c r="H16" s="1290"/>
      <c r="I16" s="1290"/>
      <c r="J16" s="1290"/>
      <c r="K16" s="1290"/>
      <c r="L16" s="1290"/>
      <c r="M16" s="1290"/>
      <c r="N16" s="1290"/>
      <c r="O16" s="1290"/>
      <c r="P16" s="1290"/>
      <c r="Q16" s="1290"/>
      <c r="R16" s="1290"/>
      <c r="S16" s="1290"/>
      <c r="T16" s="1290"/>
    </row>
    <row r="17" spans="1:25" ht="15">
      <c r="A17" s="1290"/>
      <c r="B17" s="1292"/>
      <c r="C17" s="1292"/>
      <c r="D17" s="1292"/>
      <c r="E17" s="3464" t="s">
        <v>2014</v>
      </c>
      <c r="F17" s="3465"/>
      <c r="G17" s="3466"/>
      <c r="H17" s="1292"/>
      <c r="I17" s="1292"/>
      <c r="J17" s="1292"/>
      <c r="K17" s="1292"/>
      <c r="L17" s="1292"/>
      <c r="M17" s="1292"/>
      <c r="N17" s="1292"/>
      <c r="O17" s="1292"/>
      <c r="P17" s="1292"/>
      <c r="Q17" s="1292"/>
      <c r="R17" s="1292"/>
      <c r="S17" s="1290"/>
      <c r="T17" s="1290"/>
    </row>
    <row r="18" spans="1:25" ht="15">
      <c r="A18" s="1290" t="s">
        <v>1642</v>
      </c>
      <c r="B18" s="1290"/>
      <c r="C18" s="1290"/>
      <c r="D18" s="1290"/>
      <c r="E18" s="3465"/>
      <c r="F18" s="3465"/>
      <c r="G18" s="3465"/>
      <c r="H18" s="1290" t="s">
        <v>2015</v>
      </c>
      <c r="I18" s="1290"/>
      <c r="J18" s="1290"/>
      <c r="K18" s="1290"/>
      <c r="L18" s="1290"/>
      <c r="M18" s="1290"/>
      <c r="N18" s="1290"/>
      <c r="O18" s="1290"/>
      <c r="P18" s="1290"/>
      <c r="Q18" s="1290"/>
      <c r="R18" s="1290"/>
      <c r="S18" s="1290" t="s">
        <v>2016</v>
      </c>
      <c r="T18" s="1290"/>
    </row>
    <row r="19" spans="1:25" ht="15">
      <c r="A19" s="1290"/>
      <c r="B19" s="1293"/>
      <c r="C19" s="1293"/>
      <c r="D19" s="1293"/>
      <c r="E19" s="3465"/>
      <c r="F19" s="3465"/>
      <c r="G19" s="3465"/>
      <c r="H19" s="1293"/>
      <c r="I19" s="1293"/>
      <c r="J19" s="1293"/>
      <c r="K19" s="1293"/>
      <c r="L19" s="1293"/>
      <c r="M19" s="1293"/>
      <c r="N19" s="1293"/>
      <c r="O19" s="1293"/>
      <c r="P19" s="1293"/>
      <c r="Q19" s="1293"/>
      <c r="R19" s="1293"/>
      <c r="S19" s="1290"/>
      <c r="T19" s="1290"/>
    </row>
    <row r="20" spans="1:25" ht="15">
      <c r="A20" s="1290"/>
      <c r="B20" s="1290"/>
      <c r="C20" s="1290"/>
      <c r="D20" s="1290"/>
      <c r="E20" s="1294"/>
      <c r="F20" s="1291"/>
      <c r="G20" s="1295"/>
      <c r="H20" s="1290"/>
      <c r="I20" s="1290"/>
      <c r="J20" s="1290"/>
      <c r="K20" s="1290"/>
      <c r="L20" s="1290"/>
      <c r="M20" s="1290"/>
      <c r="N20" s="1290"/>
      <c r="O20" s="1290"/>
      <c r="P20" s="1290"/>
      <c r="Q20" s="1290"/>
      <c r="R20" s="1290"/>
      <c r="S20" s="1290"/>
      <c r="T20" s="1290"/>
    </row>
    <row r="21" spans="1:25" ht="15">
      <c r="A21" s="1290"/>
      <c r="B21" s="1290"/>
      <c r="C21" s="1290"/>
      <c r="D21" s="1290"/>
      <c r="E21" s="1290"/>
      <c r="F21" s="1291"/>
      <c r="G21" s="1290"/>
      <c r="H21" s="1290"/>
      <c r="I21" s="1290"/>
      <c r="J21" s="1290"/>
      <c r="K21" s="1290"/>
      <c r="L21" s="1290"/>
      <c r="M21" s="1290"/>
      <c r="N21" s="1290"/>
      <c r="O21" s="1290"/>
      <c r="P21" s="1290"/>
      <c r="Q21" s="1290" t="s">
        <v>2017</v>
      </c>
      <c r="R21" s="1290"/>
      <c r="S21" s="1290"/>
      <c r="T21" s="1290"/>
    </row>
    <row r="22" spans="1:25" ht="12.75" customHeight="1">
      <c r="A22" s="1290"/>
      <c r="B22" s="1290"/>
      <c r="C22" s="1290"/>
      <c r="D22" s="1290"/>
      <c r="E22" s="3467" t="s">
        <v>2018</v>
      </c>
      <c r="F22" s="1291"/>
      <c r="G22" s="1290"/>
      <c r="H22" s="1290"/>
      <c r="I22" s="1290"/>
      <c r="J22" s="1290"/>
      <c r="K22" s="1290"/>
      <c r="L22" s="1290"/>
      <c r="M22" s="1290"/>
      <c r="N22" s="1290"/>
      <c r="O22" s="1290"/>
      <c r="P22" s="1290"/>
      <c r="Q22" s="1290"/>
      <c r="R22" s="1290"/>
      <c r="S22" s="1290"/>
      <c r="T22" s="1290"/>
    </row>
    <row r="23" spans="1:25" ht="15">
      <c r="A23" s="1290"/>
      <c r="B23" s="1290"/>
      <c r="C23" s="1290"/>
      <c r="D23" s="1290"/>
      <c r="E23" s="3467"/>
      <c r="F23" s="1291"/>
      <c r="G23" s="1290"/>
      <c r="H23" s="1290"/>
      <c r="I23" s="1290"/>
      <c r="J23" s="1290"/>
      <c r="K23" s="1290"/>
      <c r="L23" s="1290"/>
      <c r="M23" s="1296"/>
      <c r="N23" s="1290"/>
      <c r="O23" s="1290"/>
      <c r="P23" s="1290"/>
      <c r="Q23" s="1290"/>
      <c r="R23" s="1290"/>
      <c r="S23" s="1290"/>
      <c r="T23" s="1290"/>
    </row>
    <row r="24" spans="1:25" ht="15">
      <c r="A24" s="1290"/>
      <c r="B24" s="1290"/>
      <c r="C24" s="1290"/>
      <c r="D24" s="1290"/>
      <c r="E24" s="1290"/>
      <c r="F24" s="1291"/>
      <c r="G24" s="1290"/>
      <c r="H24" s="1290"/>
      <c r="I24" s="1290"/>
      <c r="J24" s="1290"/>
      <c r="K24" s="1290"/>
      <c r="L24" s="1290"/>
      <c r="M24" s="1297"/>
      <c r="N24" s="1290"/>
      <c r="O24" s="1290"/>
      <c r="P24" s="1290"/>
      <c r="Q24" s="1290"/>
      <c r="R24" s="1290"/>
      <c r="S24" s="1290"/>
      <c r="T24" s="1290"/>
    </row>
    <row r="25" spans="1:25" ht="15">
      <c r="A25" s="1290"/>
      <c r="B25" s="1290"/>
      <c r="C25" s="1290"/>
      <c r="D25" s="1290"/>
      <c r="E25" s="1298"/>
      <c r="F25" s="1291"/>
      <c r="G25" s="1290"/>
      <c r="H25" s="1290"/>
      <c r="I25" s="1290"/>
      <c r="J25" s="1290"/>
      <c r="K25" s="1290"/>
      <c r="L25" s="1290"/>
      <c r="M25" s="1297"/>
      <c r="N25" s="1290"/>
      <c r="O25" s="1290"/>
      <c r="P25" s="1290"/>
      <c r="Q25" s="1290"/>
      <c r="R25" s="1290"/>
      <c r="S25" s="1290"/>
      <c r="T25" s="1290"/>
    </row>
    <row r="26" spans="1:25" ht="15">
      <c r="A26" s="1290"/>
      <c r="B26" s="1290"/>
      <c r="C26" s="1290"/>
      <c r="D26" s="1290"/>
      <c r="E26" s="1299"/>
      <c r="F26" s="1300"/>
      <c r="G26" s="1301"/>
      <c r="H26" s="1302"/>
      <c r="I26" s="3468" t="s">
        <v>2019</v>
      </c>
      <c r="J26" s="3469"/>
      <c r="K26" s="3469"/>
      <c r="L26" s="3469"/>
      <c r="M26" s="3470"/>
      <c r="N26" s="3471"/>
      <c r="O26" s="1303"/>
      <c r="P26" s="1290"/>
      <c r="Q26" s="1290"/>
      <c r="R26" s="1290"/>
      <c r="S26" s="1290"/>
      <c r="T26" s="1290"/>
    </row>
    <row r="27" spans="1:25" ht="15">
      <c r="A27" s="1290"/>
      <c r="B27" s="1290"/>
      <c r="C27" s="1290"/>
      <c r="D27" s="1290"/>
      <c r="E27" s="1299"/>
      <c r="F27" s="1300"/>
      <c r="G27" s="1304"/>
      <c r="H27" s="1305"/>
      <c r="I27" s="3472"/>
      <c r="J27" s="3470"/>
      <c r="K27" s="3473"/>
      <c r="L27" s="3473"/>
      <c r="M27" s="3473"/>
      <c r="N27" s="3474"/>
      <c r="O27" s="1303"/>
      <c r="P27" s="1290"/>
      <c r="Q27" s="1290"/>
      <c r="R27" s="1290"/>
      <c r="S27" s="1300"/>
      <c r="T27" s="1300"/>
      <c r="U27" s="673"/>
      <c r="V27" s="673"/>
      <c r="W27" s="673"/>
      <c r="X27" s="673"/>
      <c r="Y27" s="673"/>
    </row>
    <row r="28" spans="1:25" ht="15">
      <c r="A28" s="1290"/>
      <c r="B28" s="1290"/>
      <c r="C28" s="1290"/>
      <c r="D28" s="1290"/>
      <c r="E28" s="1290"/>
      <c r="F28" s="1291"/>
      <c r="G28" s="1290"/>
      <c r="H28" s="3462"/>
      <c r="I28" s="3462"/>
      <c r="J28" s="1297"/>
      <c r="K28" s="1290"/>
      <c r="L28" s="1290"/>
      <c r="M28" s="1290"/>
      <c r="N28" s="1290"/>
      <c r="O28" s="1290"/>
      <c r="P28" s="1290"/>
      <c r="Q28" s="1290"/>
      <c r="R28" s="1290"/>
      <c r="S28" s="1300"/>
      <c r="T28" s="1300"/>
      <c r="U28" s="673"/>
      <c r="V28" s="673"/>
      <c r="W28" s="673"/>
      <c r="X28" s="673"/>
      <c r="Y28" s="673"/>
    </row>
    <row r="29" spans="1:25" ht="15">
      <c r="A29" s="1290"/>
      <c r="B29" s="1290"/>
      <c r="C29" s="1290"/>
      <c r="D29" s="1290"/>
      <c r="E29" s="1290"/>
      <c r="F29" s="1291"/>
      <c r="G29" s="1290"/>
      <c r="H29" s="1290"/>
      <c r="I29" s="1290"/>
      <c r="J29" s="1306"/>
      <c r="K29" s="1290"/>
      <c r="L29" s="1290"/>
      <c r="M29" s="1290"/>
      <c r="N29" s="1290"/>
      <c r="O29" s="1290"/>
      <c r="P29" s="1290"/>
      <c r="Q29" s="1290"/>
      <c r="R29" s="1290"/>
      <c r="S29" s="1290"/>
      <c r="T29" s="1290"/>
    </row>
    <row r="30" spans="1:25" ht="15">
      <c r="A30" s="1290"/>
      <c r="B30" s="1290"/>
      <c r="C30" s="1290"/>
      <c r="D30" s="1290"/>
      <c r="E30" s="1290"/>
      <c r="F30" s="1291"/>
      <c r="G30" s="1290"/>
      <c r="H30" s="1290"/>
      <c r="I30" s="1290"/>
      <c r="J30" s="1290"/>
      <c r="K30" s="1290"/>
      <c r="L30" s="1290"/>
      <c r="M30" s="1290"/>
      <c r="N30" s="1290"/>
      <c r="O30" s="1290"/>
      <c r="P30" s="1290"/>
      <c r="Q30" s="1290"/>
      <c r="R30" s="1290"/>
      <c r="S30" s="1290"/>
      <c r="T30" s="1290"/>
    </row>
    <row r="31" spans="1:25" ht="15">
      <c r="A31" s="1290"/>
      <c r="B31" s="1290"/>
      <c r="C31" s="1290"/>
      <c r="D31" s="1290"/>
      <c r="E31" s="1290"/>
      <c r="F31" s="1291"/>
      <c r="G31" s="1290"/>
      <c r="H31" s="1290"/>
      <c r="I31" s="1290"/>
      <c r="J31" s="1290"/>
      <c r="K31" s="1290"/>
      <c r="L31" s="1290"/>
      <c r="M31" s="1290"/>
      <c r="N31" s="1290"/>
      <c r="O31" s="1290"/>
      <c r="P31" s="1290"/>
      <c r="Q31" s="1290"/>
      <c r="R31" s="1290"/>
      <c r="S31" s="1290"/>
      <c r="T31" s="1290"/>
    </row>
    <row r="32" spans="1:25" ht="15">
      <c r="A32" s="1290"/>
      <c r="B32" s="1290"/>
      <c r="C32" s="1290"/>
      <c r="D32" s="1290"/>
      <c r="E32" s="1290"/>
      <c r="F32" s="1291"/>
      <c r="G32" s="1290"/>
      <c r="H32" s="1290"/>
      <c r="I32" s="1290"/>
      <c r="J32" s="1290"/>
      <c r="K32" s="1290"/>
      <c r="L32" s="1290"/>
      <c r="M32" s="1290"/>
      <c r="N32" s="1290"/>
      <c r="O32" s="1290"/>
      <c r="P32" s="1290"/>
      <c r="Q32" s="1290"/>
      <c r="R32" s="1290"/>
      <c r="S32" s="1290"/>
      <c r="T32" s="1290"/>
    </row>
    <row r="33" spans="4:17">
      <c r="F33" s="672"/>
    </row>
    <row r="34" spans="4:17">
      <c r="F34" s="672"/>
    </row>
    <row r="44" spans="4:17" s="1190" customFormat="1" ht="13.5">
      <c r="D44" s="1191" t="str">
        <f>'Lead &amp; ANALYSIS'!B144</f>
        <v>Junior Engineer</v>
      </c>
      <c r="K44" s="1191" t="str">
        <f>'Lead &amp; ANALYSIS'!G144</f>
        <v>Assistant Executive Engineer</v>
      </c>
      <c r="Q44" s="1191" t="str">
        <f>'Lead &amp; ANALYSIS'!L144</f>
        <v>Block Development Officer</v>
      </c>
    </row>
    <row r="45" spans="4:17" s="1190" customFormat="1" ht="13.5">
      <c r="D45" s="1191" t="str">
        <f>'Lead &amp; ANALYSIS'!B145</f>
        <v>Bhuban  Block</v>
      </c>
      <c r="K45" s="1191" t="str">
        <f>'Lead &amp; ANALYSIS'!G145</f>
        <v>Bhuban  Block</v>
      </c>
      <c r="Q45" s="1191" t="str">
        <f>'Lead &amp; ANALYSIS'!L145</f>
        <v>Bhuban</v>
      </c>
    </row>
  </sheetData>
  <mergeCells count="6">
    <mergeCell ref="A1:T1"/>
    <mergeCell ref="H28:I28"/>
    <mergeCell ref="F9:F12"/>
    <mergeCell ref="E17:G19"/>
    <mergeCell ref="E22:E23"/>
    <mergeCell ref="I26:N27"/>
  </mergeCells>
  <pageMargins left="0.7" right="0.45"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tabColor rgb="FFFF0000"/>
  </sheetPr>
  <dimension ref="A1:EK646"/>
  <sheetViews>
    <sheetView workbookViewId="0">
      <selection activeCell="I22" sqref="I22"/>
    </sheetView>
  </sheetViews>
  <sheetFormatPr defaultColWidth="9.140625" defaultRowHeight="12.75"/>
  <cols>
    <col min="1" max="1" width="5.28515625" style="1199" customWidth="1"/>
    <col min="2" max="2" width="48" style="1193" customWidth="1"/>
    <col min="3" max="3" width="9.5703125" style="1193" customWidth="1"/>
    <col min="4" max="4" width="6" style="1193" customWidth="1"/>
    <col min="5" max="5" width="7" style="1193" customWidth="1"/>
    <col min="6" max="6" width="9.7109375" style="1193" customWidth="1"/>
    <col min="7" max="7" width="7" style="1193" customWidth="1"/>
    <col min="8" max="8" width="9.28515625" style="1193" customWidth="1"/>
    <col min="9" max="9" width="7" style="1193" customWidth="1"/>
    <col min="10" max="10" width="9.85546875" style="1193" customWidth="1"/>
    <col min="11" max="11" width="7" style="1193" customWidth="1"/>
    <col min="12" max="12" width="9.85546875" style="1193" customWidth="1"/>
    <col min="13" max="13" width="7" style="1193" customWidth="1"/>
    <col min="14" max="14" width="10.5703125" style="1193" customWidth="1"/>
    <col min="15" max="23" width="7" style="1193" customWidth="1"/>
    <col min="24" max="28" width="7.7109375" style="1193" customWidth="1"/>
    <col min="29" max="41" width="7" style="1193" customWidth="1"/>
    <col min="42" max="42" width="9.5703125" style="1193" customWidth="1"/>
    <col min="43" max="43" width="7" style="1193" customWidth="1"/>
    <col min="44" max="44" width="9.140625" style="1193" customWidth="1"/>
    <col min="45" max="45" width="7" style="1193" customWidth="1"/>
    <col min="46" max="46" width="8.85546875" style="1193" customWidth="1"/>
    <col min="47" max="47" width="7" style="1193" customWidth="1"/>
    <col min="48" max="48" width="9" style="1193" customWidth="1"/>
    <col min="49" max="49" width="7" style="1193" customWidth="1"/>
    <col min="50" max="50" width="8.85546875" style="1193" customWidth="1"/>
    <col min="51" max="51" width="7" style="1193" customWidth="1"/>
    <col min="52" max="52" width="8.42578125" style="1193" customWidth="1"/>
    <col min="53" max="53" width="7" style="1193" customWidth="1"/>
    <col min="54" max="54" width="8.42578125" style="1193" customWidth="1"/>
    <col min="55" max="55" width="7" style="1193" customWidth="1"/>
    <col min="56" max="56" width="8.42578125" style="1193" customWidth="1"/>
    <col min="57" max="57" width="7" style="1193" customWidth="1"/>
    <col min="58" max="58" width="8.28515625" style="1193" customWidth="1"/>
    <col min="59" max="72" width="7" style="1193" customWidth="1"/>
    <col min="73" max="73" width="9" style="1193" customWidth="1"/>
    <col min="74" max="74" width="7" style="1193" customWidth="1"/>
    <col min="75" max="75" width="9.28515625" style="1193" customWidth="1"/>
    <col min="76" max="76" width="7" style="1193" customWidth="1"/>
    <col min="77" max="77" width="10.140625" style="1193" customWidth="1"/>
    <col min="78" max="78" width="7" style="1193" customWidth="1"/>
    <col min="79" max="79" width="10" style="1193" customWidth="1"/>
    <col min="80" max="80" width="7" style="1193" customWidth="1"/>
    <col min="81" max="81" width="8.85546875" style="1193" customWidth="1"/>
    <col min="82" max="82" width="7" style="1193" customWidth="1"/>
    <col min="83" max="83" width="9" style="1193" customWidth="1"/>
    <col min="84" max="84" width="7" style="1193" customWidth="1"/>
    <col min="85" max="85" width="9.5703125" style="1193" customWidth="1"/>
    <col min="86" max="86" width="7" style="1193" customWidth="1"/>
    <col min="87" max="87" width="9" style="1193" customWidth="1"/>
    <col min="88" max="97" width="7" style="1193" customWidth="1"/>
    <col min="98" max="101" width="11.140625" style="1193" customWidth="1"/>
    <col min="102" max="102" width="11.42578125" style="1193" customWidth="1"/>
    <col min="103" max="103" width="11.85546875" style="1193" customWidth="1"/>
    <col min="104" max="111" width="11.140625" style="1193" customWidth="1"/>
    <col min="112" max="117" width="7" style="1193" customWidth="1"/>
    <col min="118" max="118" width="10" style="1193" customWidth="1"/>
    <col min="119" max="119" width="7" style="1193" customWidth="1"/>
    <col min="120" max="120" width="8.42578125" style="1193" customWidth="1"/>
    <col min="121" max="121" width="7" style="1193" customWidth="1"/>
    <col min="122" max="122" width="8.42578125" style="1193" customWidth="1"/>
    <col min="123" max="123" width="7" style="1193" customWidth="1"/>
    <col min="124" max="124" width="9" style="1193" customWidth="1"/>
    <col min="125" max="125" width="7" style="1193" customWidth="1"/>
    <col min="126" max="126" width="9.5703125" style="1193" customWidth="1"/>
    <col min="127" max="127" width="7" style="1193" customWidth="1"/>
    <col min="128" max="139" width="9.140625" style="1193" customWidth="1"/>
    <col min="140" max="140" width="9.28515625" style="1193" bestFit="1" customWidth="1"/>
    <col min="141" max="256" width="9.140625" style="1193"/>
    <col min="257" max="257" width="5.28515625" style="1193" customWidth="1"/>
    <col min="258" max="258" width="48" style="1193" customWidth="1"/>
    <col min="259" max="259" width="9.5703125" style="1193" customWidth="1"/>
    <col min="260" max="260" width="6" style="1193" customWidth="1"/>
    <col min="261" max="261" width="7" style="1193" customWidth="1"/>
    <col min="262" max="262" width="9.7109375" style="1193" customWidth="1"/>
    <col min="263" max="263" width="7" style="1193" customWidth="1"/>
    <col min="264" max="264" width="9.28515625" style="1193" customWidth="1"/>
    <col min="265" max="265" width="7" style="1193" customWidth="1"/>
    <col min="266" max="266" width="9.85546875" style="1193" customWidth="1"/>
    <col min="267" max="267" width="7" style="1193" customWidth="1"/>
    <col min="268" max="268" width="9.85546875" style="1193" customWidth="1"/>
    <col min="269" max="269" width="7" style="1193" customWidth="1"/>
    <col min="270" max="270" width="10.5703125" style="1193" customWidth="1"/>
    <col min="271" max="279" width="7" style="1193" customWidth="1"/>
    <col min="280" max="284" width="7.7109375" style="1193" customWidth="1"/>
    <col min="285" max="297" width="7" style="1193" customWidth="1"/>
    <col min="298" max="298" width="9.5703125" style="1193" customWidth="1"/>
    <col min="299" max="299" width="7" style="1193" customWidth="1"/>
    <col min="300" max="300" width="9.140625" style="1193" customWidth="1"/>
    <col min="301" max="301" width="7" style="1193" customWidth="1"/>
    <col min="302" max="302" width="8.85546875" style="1193" customWidth="1"/>
    <col min="303" max="303" width="7" style="1193" customWidth="1"/>
    <col min="304" max="304" width="9" style="1193" customWidth="1"/>
    <col min="305" max="305" width="7" style="1193" customWidth="1"/>
    <col min="306" max="306" width="8.85546875" style="1193" customWidth="1"/>
    <col min="307" max="307" width="7" style="1193" customWidth="1"/>
    <col min="308" max="308" width="8.42578125" style="1193" customWidth="1"/>
    <col min="309" max="309" width="7" style="1193" customWidth="1"/>
    <col min="310" max="310" width="8.42578125" style="1193" customWidth="1"/>
    <col min="311" max="311" width="7" style="1193" customWidth="1"/>
    <col min="312" max="312" width="8.42578125" style="1193" customWidth="1"/>
    <col min="313" max="313" width="7" style="1193" customWidth="1"/>
    <col min="314" max="314" width="8.28515625" style="1193" customWidth="1"/>
    <col min="315" max="328" width="7" style="1193" customWidth="1"/>
    <col min="329" max="329" width="9" style="1193" customWidth="1"/>
    <col min="330" max="330" width="7" style="1193" customWidth="1"/>
    <col min="331" max="331" width="9.28515625" style="1193" customWidth="1"/>
    <col min="332" max="332" width="7" style="1193" customWidth="1"/>
    <col min="333" max="333" width="10.140625" style="1193" customWidth="1"/>
    <col min="334" max="334" width="7" style="1193" customWidth="1"/>
    <col min="335" max="335" width="10" style="1193" customWidth="1"/>
    <col min="336" max="336" width="7" style="1193" customWidth="1"/>
    <col min="337" max="337" width="8.85546875" style="1193" customWidth="1"/>
    <col min="338" max="338" width="7" style="1193" customWidth="1"/>
    <col min="339" max="339" width="9" style="1193" customWidth="1"/>
    <col min="340" max="340" width="7" style="1193" customWidth="1"/>
    <col min="341" max="341" width="9.5703125" style="1193" customWidth="1"/>
    <col min="342" max="342" width="7" style="1193" customWidth="1"/>
    <col min="343" max="343" width="9" style="1193" customWidth="1"/>
    <col min="344" max="353" width="7" style="1193" customWidth="1"/>
    <col min="354" max="357" width="11.140625" style="1193" customWidth="1"/>
    <col min="358" max="358" width="11.42578125" style="1193" customWidth="1"/>
    <col min="359" max="359" width="11.85546875" style="1193" customWidth="1"/>
    <col min="360" max="367" width="11.140625" style="1193" customWidth="1"/>
    <col min="368" max="373" width="7" style="1193" customWidth="1"/>
    <col min="374" max="374" width="10" style="1193" customWidth="1"/>
    <col min="375" max="375" width="7" style="1193" customWidth="1"/>
    <col min="376" max="376" width="8.42578125" style="1193" customWidth="1"/>
    <col min="377" max="377" width="7" style="1193" customWidth="1"/>
    <col min="378" max="378" width="8.42578125" style="1193" customWidth="1"/>
    <col min="379" max="379" width="7" style="1193" customWidth="1"/>
    <col min="380" max="380" width="9" style="1193" customWidth="1"/>
    <col min="381" max="381" width="7" style="1193" customWidth="1"/>
    <col min="382" max="382" width="9.5703125" style="1193" customWidth="1"/>
    <col min="383" max="383" width="7" style="1193" customWidth="1"/>
    <col min="384" max="395" width="9.140625" style="1193" customWidth="1"/>
    <col min="396" max="396" width="9.28515625" style="1193" bestFit="1" customWidth="1"/>
    <col min="397" max="512" width="9.140625" style="1193"/>
    <col min="513" max="513" width="5.28515625" style="1193" customWidth="1"/>
    <col min="514" max="514" width="48" style="1193" customWidth="1"/>
    <col min="515" max="515" width="9.5703125" style="1193" customWidth="1"/>
    <col min="516" max="516" width="6" style="1193" customWidth="1"/>
    <col min="517" max="517" width="7" style="1193" customWidth="1"/>
    <col min="518" max="518" width="9.7109375" style="1193" customWidth="1"/>
    <col min="519" max="519" width="7" style="1193" customWidth="1"/>
    <col min="520" max="520" width="9.28515625" style="1193" customWidth="1"/>
    <col min="521" max="521" width="7" style="1193" customWidth="1"/>
    <col min="522" max="522" width="9.85546875" style="1193" customWidth="1"/>
    <col min="523" max="523" width="7" style="1193" customWidth="1"/>
    <col min="524" max="524" width="9.85546875" style="1193" customWidth="1"/>
    <col min="525" max="525" width="7" style="1193" customWidth="1"/>
    <col min="526" max="526" width="10.5703125" style="1193" customWidth="1"/>
    <col min="527" max="535" width="7" style="1193" customWidth="1"/>
    <col min="536" max="540" width="7.7109375" style="1193" customWidth="1"/>
    <col min="541" max="553" width="7" style="1193" customWidth="1"/>
    <col min="554" max="554" width="9.5703125" style="1193" customWidth="1"/>
    <col min="555" max="555" width="7" style="1193" customWidth="1"/>
    <col min="556" max="556" width="9.140625" style="1193" customWidth="1"/>
    <col min="557" max="557" width="7" style="1193" customWidth="1"/>
    <col min="558" max="558" width="8.85546875" style="1193" customWidth="1"/>
    <col min="559" max="559" width="7" style="1193" customWidth="1"/>
    <col min="560" max="560" width="9" style="1193" customWidth="1"/>
    <col min="561" max="561" width="7" style="1193" customWidth="1"/>
    <col min="562" max="562" width="8.85546875" style="1193" customWidth="1"/>
    <col min="563" max="563" width="7" style="1193" customWidth="1"/>
    <col min="564" max="564" width="8.42578125" style="1193" customWidth="1"/>
    <col min="565" max="565" width="7" style="1193" customWidth="1"/>
    <col min="566" max="566" width="8.42578125" style="1193" customWidth="1"/>
    <col min="567" max="567" width="7" style="1193" customWidth="1"/>
    <col min="568" max="568" width="8.42578125" style="1193" customWidth="1"/>
    <col min="569" max="569" width="7" style="1193" customWidth="1"/>
    <col min="570" max="570" width="8.28515625" style="1193" customWidth="1"/>
    <col min="571" max="584" width="7" style="1193" customWidth="1"/>
    <col min="585" max="585" width="9" style="1193" customWidth="1"/>
    <col min="586" max="586" width="7" style="1193" customWidth="1"/>
    <col min="587" max="587" width="9.28515625" style="1193" customWidth="1"/>
    <col min="588" max="588" width="7" style="1193" customWidth="1"/>
    <col min="589" max="589" width="10.140625" style="1193" customWidth="1"/>
    <col min="590" max="590" width="7" style="1193" customWidth="1"/>
    <col min="591" max="591" width="10" style="1193" customWidth="1"/>
    <col min="592" max="592" width="7" style="1193" customWidth="1"/>
    <col min="593" max="593" width="8.85546875" style="1193" customWidth="1"/>
    <col min="594" max="594" width="7" style="1193" customWidth="1"/>
    <col min="595" max="595" width="9" style="1193" customWidth="1"/>
    <col min="596" max="596" width="7" style="1193" customWidth="1"/>
    <col min="597" max="597" width="9.5703125" style="1193" customWidth="1"/>
    <col min="598" max="598" width="7" style="1193" customWidth="1"/>
    <col min="599" max="599" width="9" style="1193" customWidth="1"/>
    <col min="600" max="609" width="7" style="1193" customWidth="1"/>
    <col min="610" max="613" width="11.140625" style="1193" customWidth="1"/>
    <col min="614" max="614" width="11.42578125" style="1193" customWidth="1"/>
    <col min="615" max="615" width="11.85546875" style="1193" customWidth="1"/>
    <col min="616" max="623" width="11.140625" style="1193" customWidth="1"/>
    <col min="624" max="629" width="7" style="1193" customWidth="1"/>
    <col min="630" max="630" width="10" style="1193" customWidth="1"/>
    <col min="631" max="631" width="7" style="1193" customWidth="1"/>
    <col min="632" max="632" width="8.42578125" style="1193" customWidth="1"/>
    <col min="633" max="633" width="7" style="1193" customWidth="1"/>
    <col min="634" max="634" width="8.42578125" style="1193" customWidth="1"/>
    <col min="635" max="635" width="7" style="1193" customWidth="1"/>
    <col min="636" max="636" width="9" style="1193" customWidth="1"/>
    <col min="637" max="637" width="7" style="1193" customWidth="1"/>
    <col min="638" max="638" width="9.5703125" style="1193" customWidth="1"/>
    <col min="639" max="639" width="7" style="1193" customWidth="1"/>
    <col min="640" max="651" width="9.140625" style="1193" customWidth="1"/>
    <col min="652" max="652" width="9.28515625" style="1193" bestFit="1" customWidth="1"/>
    <col min="653" max="768" width="9.140625" style="1193"/>
    <col min="769" max="769" width="5.28515625" style="1193" customWidth="1"/>
    <col min="770" max="770" width="48" style="1193" customWidth="1"/>
    <col min="771" max="771" width="9.5703125" style="1193" customWidth="1"/>
    <col min="772" max="772" width="6" style="1193" customWidth="1"/>
    <col min="773" max="773" width="7" style="1193" customWidth="1"/>
    <col min="774" max="774" width="9.7109375" style="1193" customWidth="1"/>
    <col min="775" max="775" width="7" style="1193" customWidth="1"/>
    <col min="776" max="776" width="9.28515625" style="1193" customWidth="1"/>
    <col min="777" max="777" width="7" style="1193" customWidth="1"/>
    <col min="778" max="778" width="9.85546875" style="1193" customWidth="1"/>
    <col min="779" max="779" width="7" style="1193" customWidth="1"/>
    <col min="780" max="780" width="9.85546875" style="1193" customWidth="1"/>
    <col min="781" max="781" width="7" style="1193" customWidth="1"/>
    <col min="782" max="782" width="10.5703125" style="1193" customWidth="1"/>
    <col min="783" max="791" width="7" style="1193" customWidth="1"/>
    <col min="792" max="796" width="7.7109375" style="1193" customWidth="1"/>
    <col min="797" max="809" width="7" style="1193" customWidth="1"/>
    <col min="810" max="810" width="9.5703125" style="1193" customWidth="1"/>
    <col min="811" max="811" width="7" style="1193" customWidth="1"/>
    <col min="812" max="812" width="9.140625" style="1193" customWidth="1"/>
    <col min="813" max="813" width="7" style="1193" customWidth="1"/>
    <col min="814" max="814" width="8.85546875" style="1193" customWidth="1"/>
    <col min="815" max="815" width="7" style="1193" customWidth="1"/>
    <col min="816" max="816" width="9" style="1193" customWidth="1"/>
    <col min="817" max="817" width="7" style="1193" customWidth="1"/>
    <col min="818" max="818" width="8.85546875" style="1193" customWidth="1"/>
    <col min="819" max="819" width="7" style="1193" customWidth="1"/>
    <col min="820" max="820" width="8.42578125" style="1193" customWidth="1"/>
    <col min="821" max="821" width="7" style="1193" customWidth="1"/>
    <col min="822" max="822" width="8.42578125" style="1193" customWidth="1"/>
    <col min="823" max="823" width="7" style="1193" customWidth="1"/>
    <col min="824" max="824" width="8.42578125" style="1193" customWidth="1"/>
    <col min="825" max="825" width="7" style="1193" customWidth="1"/>
    <col min="826" max="826" width="8.28515625" style="1193" customWidth="1"/>
    <col min="827" max="840" width="7" style="1193" customWidth="1"/>
    <col min="841" max="841" width="9" style="1193" customWidth="1"/>
    <col min="842" max="842" width="7" style="1193" customWidth="1"/>
    <col min="843" max="843" width="9.28515625" style="1193" customWidth="1"/>
    <col min="844" max="844" width="7" style="1193" customWidth="1"/>
    <col min="845" max="845" width="10.140625" style="1193" customWidth="1"/>
    <col min="846" max="846" width="7" style="1193" customWidth="1"/>
    <col min="847" max="847" width="10" style="1193" customWidth="1"/>
    <col min="848" max="848" width="7" style="1193" customWidth="1"/>
    <col min="849" max="849" width="8.85546875" style="1193" customWidth="1"/>
    <col min="850" max="850" width="7" style="1193" customWidth="1"/>
    <col min="851" max="851" width="9" style="1193" customWidth="1"/>
    <col min="852" max="852" width="7" style="1193" customWidth="1"/>
    <col min="853" max="853" width="9.5703125" style="1193" customWidth="1"/>
    <col min="854" max="854" width="7" style="1193" customWidth="1"/>
    <col min="855" max="855" width="9" style="1193" customWidth="1"/>
    <col min="856" max="865" width="7" style="1193" customWidth="1"/>
    <col min="866" max="869" width="11.140625" style="1193" customWidth="1"/>
    <col min="870" max="870" width="11.42578125" style="1193" customWidth="1"/>
    <col min="871" max="871" width="11.85546875" style="1193" customWidth="1"/>
    <col min="872" max="879" width="11.140625" style="1193" customWidth="1"/>
    <col min="880" max="885" width="7" style="1193" customWidth="1"/>
    <col min="886" max="886" width="10" style="1193" customWidth="1"/>
    <col min="887" max="887" width="7" style="1193" customWidth="1"/>
    <col min="888" max="888" width="8.42578125" style="1193" customWidth="1"/>
    <col min="889" max="889" width="7" style="1193" customWidth="1"/>
    <col min="890" max="890" width="8.42578125" style="1193" customWidth="1"/>
    <col min="891" max="891" width="7" style="1193" customWidth="1"/>
    <col min="892" max="892" width="9" style="1193" customWidth="1"/>
    <col min="893" max="893" width="7" style="1193" customWidth="1"/>
    <col min="894" max="894" width="9.5703125" style="1193" customWidth="1"/>
    <col min="895" max="895" width="7" style="1193" customWidth="1"/>
    <col min="896" max="907" width="9.140625" style="1193" customWidth="1"/>
    <col min="908" max="908" width="9.28515625" style="1193" bestFit="1" customWidth="1"/>
    <col min="909" max="1024" width="9.140625" style="1193"/>
    <col min="1025" max="1025" width="5.28515625" style="1193" customWidth="1"/>
    <col min="1026" max="1026" width="48" style="1193" customWidth="1"/>
    <col min="1027" max="1027" width="9.5703125" style="1193" customWidth="1"/>
    <col min="1028" max="1028" width="6" style="1193" customWidth="1"/>
    <col min="1029" max="1029" width="7" style="1193" customWidth="1"/>
    <col min="1030" max="1030" width="9.7109375" style="1193" customWidth="1"/>
    <col min="1031" max="1031" width="7" style="1193" customWidth="1"/>
    <col min="1032" max="1032" width="9.28515625" style="1193" customWidth="1"/>
    <col min="1033" max="1033" width="7" style="1193" customWidth="1"/>
    <col min="1034" max="1034" width="9.85546875" style="1193" customWidth="1"/>
    <col min="1035" max="1035" width="7" style="1193" customWidth="1"/>
    <col min="1036" max="1036" width="9.85546875" style="1193" customWidth="1"/>
    <col min="1037" max="1037" width="7" style="1193" customWidth="1"/>
    <col min="1038" max="1038" width="10.5703125" style="1193" customWidth="1"/>
    <col min="1039" max="1047" width="7" style="1193" customWidth="1"/>
    <col min="1048" max="1052" width="7.7109375" style="1193" customWidth="1"/>
    <col min="1053" max="1065" width="7" style="1193" customWidth="1"/>
    <col min="1066" max="1066" width="9.5703125" style="1193" customWidth="1"/>
    <col min="1067" max="1067" width="7" style="1193" customWidth="1"/>
    <col min="1068" max="1068" width="9.140625" style="1193" customWidth="1"/>
    <col min="1069" max="1069" width="7" style="1193" customWidth="1"/>
    <col min="1070" max="1070" width="8.85546875" style="1193" customWidth="1"/>
    <col min="1071" max="1071" width="7" style="1193" customWidth="1"/>
    <col min="1072" max="1072" width="9" style="1193" customWidth="1"/>
    <col min="1073" max="1073" width="7" style="1193" customWidth="1"/>
    <col min="1074" max="1074" width="8.85546875" style="1193" customWidth="1"/>
    <col min="1075" max="1075" width="7" style="1193" customWidth="1"/>
    <col min="1076" max="1076" width="8.42578125" style="1193" customWidth="1"/>
    <col min="1077" max="1077" width="7" style="1193" customWidth="1"/>
    <col min="1078" max="1078" width="8.42578125" style="1193" customWidth="1"/>
    <col min="1079" max="1079" width="7" style="1193" customWidth="1"/>
    <col min="1080" max="1080" width="8.42578125" style="1193" customWidth="1"/>
    <col min="1081" max="1081" width="7" style="1193" customWidth="1"/>
    <col min="1082" max="1082" width="8.28515625" style="1193" customWidth="1"/>
    <col min="1083" max="1096" width="7" style="1193" customWidth="1"/>
    <col min="1097" max="1097" width="9" style="1193" customWidth="1"/>
    <col min="1098" max="1098" width="7" style="1193" customWidth="1"/>
    <col min="1099" max="1099" width="9.28515625" style="1193" customWidth="1"/>
    <col min="1100" max="1100" width="7" style="1193" customWidth="1"/>
    <col min="1101" max="1101" width="10.140625" style="1193" customWidth="1"/>
    <col min="1102" max="1102" width="7" style="1193" customWidth="1"/>
    <col min="1103" max="1103" width="10" style="1193" customWidth="1"/>
    <col min="1104" max="1104" width="7" style="1193" customWidth="1"/>
    <col min="1105" max="1105" width="8.85546875" style="1193" customWidth="1"/>
    <col min="1106" max="1106" width="7" style="1193" customWidth="1"/>
    <col min="1107" max="1107" width="9" style="1193" customWidth="1"/>
    <col min="1108" max="1108" width="7" style="1193" customWidth="1"/>
    <col min="1109" max="1109" width="9.5703125" style="1193" customWidth="1"/>
    <col min="1110" max="1110" width="7" style="1193" customWidth="1"/>
    <col min="1111" max="1111" width="9" style="1193" customWidth="1"/>
    <col min="1112" max="1121" width="7" style="1193" customWidth="1"/>
    <col min="1122" max="1125" width="11.140625" style="1193" customWidth="1"/>
    <col min="1126" max="1126" width="11.42578125" style="1193" customWidth="1"/>
    <col min="1127" max="1127" width="11.85546875" style="1193" customWidth="1"/>
    <col min="1128" max="1135" width="11.140625" style="1193" customWidth="1"/>
    <col min="1136" max="1141" width="7" style="1193" customWidth="1"/>
    <col min="1142" max="1142" width="10" style="1193" customWidth="1"/>
    <col min="1143" max="1143" width="7" style="1193" customWidth="1"/>
    <col min="1144" max="1144" width="8.42578125" style="1193" customWidth="1"/>
    <col min="1145" max="1145" width="7" style="1193" customWidth="1"/>
    <col min="1146" max="1146" width="8.42578125" style="1193" customWidth="1"/>
    <col min="1147" max="1147" width="7" style="1193" customWidth="1"/>
    <col min="1148" max="1148" width="9" style="1193" customWidth="1"/>
    <col min="1149" max="1149" width="7" style="1193" customWidth="1"/>
    <col min="1150" max="1150" width="9.5703125" style="1193" customWidth="1"/>
    <col min="1151" max="1151" width="7" style="1193" customWidth="1"/>
    <col min="1152" max="1163" width="9.140625" style="1193" customWidth="1"/>
    <col min="1164" max="1164" width="9.28515625" style="1193" bestFit="1" customWidth="1"/>
    <col min="1165" max="1280" width="9.140625" style="1193"/>
    <col min="1281" max="1281" width="5.28515625" style="1193" customWidth="1"/>
    <col min="1282" max="1282" width="48" style="1193" customWidth="1"/>
    <col min="1283" max="1283" width="9.5703125" style="1193" customWidth="1"/>
    <col min="1284" max="1284" width="6" style="1193" customWidth="1"/>
    <col min="1285" max="1285" width="7" style="1193" customWidth="1"/>
    <col min="1286" max="1286" width="9.7109375" style="1193" customWidth="1"/>
    <col min="1287" max="1287" width="7" style="1193" customWidth="1"/>
    <col min="1288" max="1288" width="9.28515625" style="1193" customWidth="1"/>
    <col min="1289" max="1289" width="7" style="1193" customWidth="1"/>
    <col min="1290" max="1290" width="9.85546875" style="1193" customWidth="1"/>
    <col min="1291" max="1291" width="7" style="1193" customWidth="1"/>
    <col min="1292" max="1292" width="9.85546875" style="1193" customWidth="1"/>
    <col min="1293" max="1293" width="7" style="1193" customWidth="1"/>
    <col min="1294" max="1294" width="10.5703125" style="1193" customWidth="1"/>
    <col min="1295" max="1303" width="7" style="1193" customWidth="1"/>
    <col min="1304" max="1308" width="7.7109375" style="1193" customWidth="1"/>
    <col min="1309" max="1321" width="7" style="1193" customWidth="1"/>
    <col min="1322" max="1322" width="9.5703125" style="1193" customWidth="1"/>
    <col min="1323" max="1323" width="7" style="1193" customWidth="1"/>
    <col min="1324" max="1324" width="9.140625" style="1193" customWidth="1"/>
    <col min="1325" max="1325" width="7" style="1193" customWidth="1"/>
    <col min="1326" max="1326" width="8.85546875" style="1193" customWidth="1"/>
    <col min="1327" max="1327" width="7" style="1193" customWidth="1"/>
    <col min="1328" max="1328" width="9" style="1193" customWidth="1"/>
    <col min="1329" max="1329" width="7" style="1193" customWidth="1"/>
    <col min="1330" max="1330" width="8.85546875" style="1193" customWidth="1"/>
    <col min="1331" max="1331" width="7" style="1193" customWidth="1"/>
    <col min="1332" max="1332" width="8.42578125" style="1193" customWidth="1"/>
    <col min="1333" max="1333" width="7" style="1193" customWidth="1"/>
    <col min="1334" max="1334" width="8.42578125" style="1193" customWidth="1"/>
    <col min="1335" max="1335" width="7" style="1193" customWidth="1"/>
    <col min="1336" max="1336" width="8.42578125" style="1193" customWidth="1"/>
    <col min="1337" max="1337" width="7" style="1193" customWidth="1"/>
    <col min="1338" max="1338" width="8.28515625" style="1193" customWidth="1"/>
    <col min="1339" max="1352" width="7" style="1193" customWidth="1"/>
    <col min="1353" max="1353" width="9" style="1193" customWidth="1"/>
    <col min="1354" max="1354" width="7" style="1193" customWidth="1"/>
    <col min="1355" max="1355" width="9.28515625" style="1193" customWidth="1"/>
    <col min="1356" max="1356" width="7" style="1193" customWidth="1"/>
    <col min="1357" max="1357" width="10.140625" style="1193" customWidth="1"/>
    <col min="1358" max="1358" width="7" style="1193" customWidth="1"/>
    <col min="1359" max="1359" width="10" style="1193" customWidth="1"/>
    <col min="1360" max="1360" width="7" style="1193" customWidth="1"/>
    <col min="1361" max="1361" width="8.85546875" style="1193" customWidth="1"/>
    <col min="1362" max="1362" width="7" style="1193" customWidth="1"/>
    <col min="1363" max="1363" width="9" style="1193" customWidth="1"/>
    <col min="1364" max="1364" width="7" style="1193" customWidth="1"/>
    <col min="1365" max="1365" width="9.5703125" style="1193" customWidth="1"/>
    <col min="1366" max="1366" width="7" style="1193" customWidth="1"/>
    <col min="1367" max="1367" width="9" style="1193" customWidth="1"/>
    <col min="1368" max="1377" width="7" style="1193" customWidth="1"/>
    <col min="1378" max="1381" width="11.140625" style="1193" customWidth="1"/>
    <col min="1382" max="1382" width="11.42578125" style="1193" customWidth="1"/>
    <col min="1383" max="1383" width="11.85546875" style="1193" customWidth="1"/>
    <col min="1384" max="1391" width="11.140625" style="1193" customWidth="1"/>
    <col min="1392" max="1397" width="7" style="1193" customWidth="1"/>
    <col min="1398" max="1398" width="10" style="1193" customWidth="1"/>
    <col min="1399" max="1399" width="7" style="1193" customWidth="1"/>
    <col min="1400" max="1400" width="8.42578125" style="1193" customWidth="1"/>
    <col min="1401" max="1401" width="7" style="1193" customWidth="1"/>
    <col min="1402" max="1402" width="8.42578125" style="1193" customWidth="1"/>
    <col min="1403" max="1403" width="7" style="1193" customWidth="1"/>
    <col min="1404" max="1404" width="9" style="1193" customWidth="1"/>
    <col min="1405" max="1405" width="7" style="1193" customWidth="1"/>
    <col min="1406" max="1406" width="9.5703125" style="1193" customWidth="1"/>
    <col min="1407" max="1407" width="7" style="1193" customWidth="1"/>
    <col min="1408" max="1419" width="9.140625" style="1193" customWidth="1"/>
    <col min="1420" max="1420" width="9.28515625" style="1193" bestFit="1" customWidth="1"/>
    <col min="1421" max="1536" width="9.140625" style="1193"/>
    <col min="1537" max="1537" width="5.28515625" style="1193" customWidth="1"/>
    <col min="1538" max="1538" width="48" style="1193" customWidth="1"/>
    <col min="1539" max="1539" width="9.5703125" style="1193" customWidth="1"/>
    <col min="1540" max="1540" width="6" style="1193" customWidth="1"/>
    <col min="1541" max="1541" width="7" style="1193" customWidth="1"/>
    <col min="1542" max="1542" width="9.7109375" style="1193" customWidth="1"/>
    <col min="1543" max="1543" width="7" style="1193" customWidth="1"/>
    <col min="1544" max="1544" width="9.28515625" style="1193" customWidth="1"/>
    <col min="1545" max="1545" width="7" style="1193" customWidth="1"/>
    <col min="1546" max="1546" width="9.85546875" style="1193" customWidth="1"/>
    <col min="1547" max="1547" width="7" style="1193" customWidth="1"/>
    <col min="1548" max="1548" width="9.85546875" style="1193" customWidth="1"/>
    <col min="1549" max="1549" width="7" style="1193" customWidth="1"/>
    <col min="1550" max="1550" width="10.5703125" style="1193" customWidth="1"/>
    <col min="1551" max="1559" width="7" style="1193" customWidth="1"/>
    <col min="1560" max="1564" width="7.7109375" style="1193" customWidth="1"/>
    <col min="1565" max="1577" width="7" style="1193" customWidth="1"/>
    <col min="1578" max="1578" width="9.5703125" style="1193" customWidth="1"/>
    <col min="1579" max="1579" width="7" style="1193" customWidth="1"/>
    <col min="1580" max="1580" width="9.140625" style="1193" customWidth="1"/>
    <col min="1581" max="1581" width="7" style="1193" customWidth="1"/>
    <col min="1582" max="1582" width="8.85546875" style="1193" customWidth="1"/>
    <col min="1583" max="1583" width="7" style="1193" customWidth="1"/>
    <col min="1584" max="1584" width="9" style="1193" customWidth="1"/>
    <col min="1585" max="1585" width="7" style="1193" customWidth="1"/>
    <col min="1586" max="1586" width="8.85546875" style="1193" customWidth="1"/>
    <col min="1587" max="1587" width="7" style="1193" customWidth="1"/>
    <col min="1588" max="1588" width="8.42578125" style="1193" customWidth="1"/>
    <col min="1589" max="1589" width="7" style="1193" customWidth="1"/>
    <col min="1590" max="1590" width="8.42578125" style="1193" customWidth="1"/>
    <col min="1591" max="1591" width="7" style="1193" customWidth="1"/>
    <col min="1592" max="1592" width="8.42578125" style="1193" customWidth="1"/>
    <col min="1593" max="1593" width="7" style="1193" customWidth="1"/>
    <col min="1594" max="1594" width="8.28515625" style="1193" customWidth="1"/>
    <col min="1595" max="1608" width="7" style="1193" customWidth="1"/>
    <col min="1609" max="1609" width="9" style="1193" customWidth="1"/>
    <col min="1610" max="1610" width="7" style="1193" customWidth="1"/>
    <col min="1611" max="1611" width="9.28515625" style="1193" customWidth="1"/>
    <col min="1612" max="1612" width="7" style="1193" customWidth="1"/>
    <col min="1613" max="1613" width="10.140625" style="1193" customWidth="1"/>
    <col min="1614" max="1614" width="7" style="1193" customWidth="1"/>
    <col min="1615" max="1615" width="10" style="1193" customWidth="1"/>
    <col min="1616" max="1616" width="7" style="1193" customWidth="1"/>
    <col min="1617" max="1617" width="8.85546875" style="1193" customWidth="1"/>
    <col min="1618" max="1618" width="7" style="1193" customWidth="1"/>
    <col min="1619" max="1619" width="9" style="1193" customWidth="1"/>
    <col min="1620" max="1620" width="7" style="1193" customWidth="1"/>
    <col min="1621" max="1621" width="9.5703125" style="1193" customWidth="1"/>
    <col min="1622" max="1622" width="7" style="1193" customWidth="1"/>
    <col min="1623" max="1623" width="9" style="1193" customWidth="1"/>
    <col min="1624" max="1633" width="7" style="1193" customWidth="1"/>
    <col min="1634" max="1637" width="11.140625" style="1193" customWidth="1"/>
    <col min="1638" max="1638" width="11.42578125" style="1193" customWidth="1"/>
    <col min="1639" max="1639" width="11.85546875" style="1193" customWidth="1"/>
    <col min="1640" max="1647" width="11.140625" style="1193" customWidth="1"/>
    <col min="1648" max="1653" width="7" style="1193" customWidth="1"/>
    <col min="1654" max="1654" width="10" style="1193" customWidth="1"/>
    <col min="1655" max="1655" width="7" style="1193" customWidth="1"/>
    <col min="1656" max="1656" width="8.42578125" style="1193" customWidth="1"/>
    <col min="1657" max="1657" width="7" style="1193" customWidth="1"/>
    <col min="1658" max="1658" width="8.42578125" style="1193" customWidth="1"/>
    <col min="1659" max="1659" width="7" style="1193" customWidth="1"/>
    <col min="1660" max="1660" width="9" style="1193" customWidth="1"/>
    <col min="1661" max="1661" width="7" style="1193" customWidth="1"/>
    <col min="1662" max="1662" width="9.5703125" style="1193" customWidth="1"/>
    <col min="1663" max="1663" width="7" style="1193" customWidth="1"/>
    <col min="1664" max="1675" width="9.140625" style="1193" customWidth="1"/>
    <col min="1676" max="1676" width="9.28515625" style="1193" bestFit="1" customWidth="1"/>
    <col min="1677" max="1792" width="9.140625" style="1193"/>
    <col min="1793" max="1793" width="5.28515625" style="1193" customWidth="1"/>
    <col min="1794" max="1794" width="48" style="1193" customWidth="1"/>
    <col min="1795" max="1795" width="9.5703125" style="1193" customWidth="1"/>
    <col min="1796" max="1796" width="6" style="1193" customWidth="1"/>
    <col min="1797" max="1797" width="7" style="1193" customWidth="1"/>
    <col min="1798" max="1798" width="9.7109375" style="1193" customWidth="1"/>
    <col min="1799" max="1799" width="7" style="1193" customWidth="1"/>
    <col min="1800" max="1800" width="9.28515625" style="1193" customWidth="1"/>
    <col min="1801" max="1801" width="7" style="1193" customWidth="1"/>
    <col min="1802" max="1802" width="9.85546875" style="1193" customWidth="1"/>
    <col min="1803" max="1803" width="7" style="1193" customWidth="1"/>
    <col min="1804" max="1804" width="9.85546875" style="1193" customWidth="1"/>
    <col min="1805" max="1805" width="7" style="1193" customWidth="1"/>
    <col min="1806" max="1806" width="10.5703125" style="1193" customWidth="1"/>
    <col min="1807" max="1815" width="7" style="1193" customWidth="1"/>
    <col min="1816" max="1820" width="7.7109375" style="1193" customWidth="1"/>
    <col min="1821" max="1833" width="7" style="1193" customWidth="1"/>
    <col min="1834" max="1834" width="9.5703125" style="1193" customWidth="1"/>
    <col min="1835" max="1835" width="7" style="1193" customWidth="1"/>
    <col min="1836" max="1836" width="9.140625" style="1193" customWidth="1"/>
    <col min="1837" max="1837" width="7" style="1193" customWidth="1"/>
    <col min="1838" max="1838" width="8.85546875" style="1193" customWidth="1"/>
    <col min="1839" max="1839" width="7" style="1193" customWidth="1"/>
    <col min="1840" max="1840" width="9" style="1193" customWidth="1"/>
    <col min="1841" max="1841" width="7" style="1193" customWidth="1"/>
    <col min="1842" max="1842" width="8.85546875" style="1193" customWidth="1"/>
    <col min="1843" max="1843" width="7" style="1193" customWidth="1"/>
    <col min="1844" max="1844" width="8.42578125" style="1193" customWidth="1"/>
    <col min="1845" max="1845" width="7" style="1193" customWidth="1"/>
    <col min="1846" max="1846" width="8.42578125" style="1193" customWidth="1"/>
    <col min="1847" max="1847" width="7" style="1193" customWidth="1"/>
    <col min="1848" max="1848" width="8.42578125" style="1193" customWidth="1"/>
    <col min="1849" max="1849" width="7" style="1193" customWidth="1"/>
    <col min="1850" max="1850" width="8.28515625" style="1193" customWidth="1"/>
    <col min="1851" max="1864" width="7" style="1193" customWidth="1"/>
    <col min="1865" max="1865" width="9" style="1193" customWidth="1"/>
    <col min="1866" max="1866" width="7" style="1193" customWidth="1"/>
    <col min="1867" max="1867" width="9.28515625" style="1193" customWidth="1"/>
    <col min="1868" max="1868" width="7" style="1193" customWidth="1"/>
    <col min="1869" max="1869" width="10.140625" style="1193" customWidth="1"/>
    <col min="1870" max="1870" width="7" style="1193" customWidth="1"/>
    <col min="1871" max="1871" width="10" style="1193" customWidth="1"/>
    <col min="1872" max="1872" width="7" style="1193" customWidth="1"/>
    <col min="1873" max="1873" width="8.85546875" style="1193" customWidth="1"/>
    <col min="1874" max="1874" width="7" style="1193" customWidth="1"/>
    <col min="1875" max="1875" width="9" style="1193" customWidth="1"/>
    <col min="1876" max="1876" width="7" style="1193" customWidth="1"/>
    <col min="1877" max="1877" width="9.5703125" style="1193" customWidth="1"/>
    <col min="1878" max="1878" width="7" style="1193" customWidth="1"/>
    <col min="1879" max="1879" width="9" style="1193" customWidth="1"/>
    <col min="1880" max="1889" width="7" style="1193" customWidth="1"/>
    <col min="1890" max="1893" width="11.140625" style="1193" customWidth="1"/>
    <col min="1894" max="1894" width="11.42578125" style="1193" customWidth="1"/>
    <col min="1895" max="1895" width="11.85546875" style="1193" customWidth="1"/>
    <col min="1896" max="1903" width="11.140625" style="1193" customWidth="1"/>
    <col min="1904" max="1909" width="7" style="1193" customWidth="1"/>
    <col min="1910" max="1910" width="10" style="1193" customWidth="1"/>
    <col min="1911" max="1911" width="7" style="1193" customWidth="1"/>
    <col min="1912" max="1912" width="8.42578125" style="1193" customWidth="1"/>
    <col min="1913" max="1913" width="7" style="1193" customWidth="1"/>
    <col min="1914" max="1914" width="8.42578125" style="1193" customWidth="1"/>
    <col min="1915" max="1915" width="7" style="1193" customWidth="1"/>
    <col min="1916" max="1916" width="9" style="1193" customWidth="1"/>
    <col min="1917" max="1917" width="7" style="1193" customWidth="1"/>
    <col min="1918" max="1918" width="9.5703125" style="1193" customWidth="1"/>
    <col min="1919" max="1919" width="7" style="1193" customWidth="1"/>
    <col min="1920" max="1931" width="9.140625" style="1193" customWidth="1"/>
    <col min="1932" max="1932" width="9.28515625" style="1193" bestFit="1" customWidth="1"/>
    <col min="1933" max="2048" width="9.140625" style="1193"/>
    <col min="2049" max="2049" width="5.28515625" style="1193" customWidth="1"/>
    <col min="2050" max="2050" width="48" style="1193" customWidth="1"/>
    <col min="2051" max="2051" width="9.5703125" style="1193" customWidth="1"/>
    <col min="2052" max="2052" width="6" style="1193" customWidth="1"/>
    <col min="2053" max="2053" width="7" style="1193" customWidth="1"/>
    <col min="2054" max="2054" width="9.7109375" style="1193" customWidth="1"/>
    <col min="2055" max="2055" width="7" style="1193" customWidth="1"/>
    <col min="2056" max="2056" width="9.28515625" style="1193" customWidth="1"/>
    <col min="2057" max="2057" width="7" style="1193" customWidth="1"/>
    <col min="2058" max="2058" width="9.85546875" style="1193" customWidth="1"/>
    <col min="2059" max="2059" width="7" style="1193" customWidth="1"/>
    <col min="2060" max="2060" width="9.85546875" style="1193" customWidth="1"/>
    <col min="2061" max="2061" width="7" style="1193" customWidth="1"/>
    <col min="2062" max="2062" width="10.5703125" style="1193" customWidth="1"/>
    <col min="2063" max="2071" width="7" style="1193" customWidth="1"/>
    <col min="2072" max="2076" width="7.7109375" style="1193" customWidth="1"/>
    <col min="2077" max="2089" width="7" style="1193" customWidth="1"/>
    <col min="2090" max="2090" width="9.5703125" style="1193" customWidth="1"/>
    <col min="2091" max="2091" width="7" style="1193" customWidth="1"/>
    <col min="2092" max="2092" width="9.140625" style="1193" customWidth="1"/>
    <col min="2093" max="2093" width="7" style="1193" customWidth="1"/>
    <col min="2094" max="2094" width="8.85546875" style="1193" customWidth="1"/>
    <col min="2095" max="2095" width="7" style="1193" customWidth="1"/>
    <col min="2096" max="2096" width="9" style="1193" customWidth="1"/>
    <col min="2097" max="2097" width="7" style="1193" customWidth="1"/>
    <col min="2098" max="2098" width="8.85546875" style="1193" customWidth="1"/>
    <col min="2099" max="2099" width="7" style="1193" customWidth="1"/>
    <col min="2100" max="2100" width="8.42578125" style="1193" customWidth="1"/>
    <col min="2101" max="2101" width="7" style="1193" customWidth="1"/>
    <col min="2102" max="2102" width="8.42578125" style="1193" customWidth="1"/>
    <col min="2103" max="2103" width="7" style="1193" customWidth="1"/>
    <col min="2104" max="2104" width="8.42578125" style="1193" customWidth="1"/>
    <col min="2105" max="2105" width="7" style="1193" customWidth="1"/>
    <col min="2106" max="2106" width="8.28515625" style="1193" customWidth="1"/>
    <col min="2107" max="2120" width="7" style="1193" customWidth="1"/>
    <col min="2121" max="2121" width="9" style="1193" customWidth="1"/>
    <col min="2122" max="2122" width="7" style="1193" customWidth="1"/>
    <col min="2123" max="2123" width="9.28515625" style="1193" customWidth="1"/>
    <col min="2124" max="2124" width="7" style="1193" customWidth="1"/>
    <col min="2125" max="2125" width="10.140625" style="1193" customWidth="1"/>
    <col min="2126" max="2126" width="7" style="1193" customWidth="1"/>
    <col min="2127" max="2127" width="10" style="1193" customWidth="1"/>
    <col min="2128" max="2128" width="7" style="1193" customWidth="1"/>
    <col min="2129" max="2129" width="8.85546875" style="1193" customWidth="1"/>
    <col min="2130" max="2130" width="7" style="1193" customWidth="1"/>
    <col min="2131" max="2131" width="9" style="1193" customWidth="1"/>
    <col min="2132" max="2132" width="7" style="1193" customWidth="1"/>
    <col min="2133" max="2133" width="9.5703125" style="1193" customWidth="1"/>
    <col min="2134" max="2134" width="7" style="1193" customWidth="1"/>
    <col min="2135" max="2135" width="9" style="1193" customWidth="1"/>
    <col min="2136" max="2145" width="7" style="1193" customWidth="1"/>
    <col min="2146" max="2149" width="11.140625" style="1193" customWidth="1"/>
    <col min="2150" max="2150" width="11.42578125" style="1193" customWidth="1"/>
    <col min="2151" max="2151" width="11.85546875" style="1193" customWidth="1"/>
    <col min="2152" max="2159" width="11.140625" style="1193" customWidth="1"/>
    <col min="2160" max="2165" width="7" style="1193" customWidth="1"/>
    <col min="2166" max="2166" width="10" style="1193" customWidth="1"/>
    <col min="2167" max="2167" width="7" style="1193" customWidth="1"/>
    <col min="2168" max="2168" width="8.42578125" style="1193" customWidth="1"/>
    <col min="2169" max="2169" width="7" style="1193" customWidth="1"/>
    <col min="2170" max="2170" width="8.42578125" style="1193" customWidth="1"/>
    <col min="2171" max="2171" width="7" style="1193" customWidth="1"/>
    <col min="2172" max="2172" width="9" style="1193" customWidth="1"/>
    <col min="2173" max="2173" width="7" style="1193" customWidth="1"/>
    <col min="2174" max="2174" width="9.5703125" style="1193" customWidth="1"/>
    <col min="2175" max="2175" width="7" style="1193" customWidth="1"/>
    <col min="2176" max="2187" width="9.140625" style="1193" customWidth="1"/>
    <col min="2188" max="2188" width="9.28515625" style="1193" bestFit="1" customWidth="1"/>
    <col min="2189" max="2304" width="9.140625" style="1193"/>
    <col min="2305" max="2305" width="5.28515625" style="1193" customWidth="1"/>
    <col min="2306" max="2306" width="48" style="1193" customWidth="1"/>
    <col min="2307" max="2307" width="9.5703125" style="1193" customWidth="1"/>
    <col min="2308" max="2308" width="6" style="1193" customWidth="1"/>
    <col min="2309" max="2309" width="7" style="1193" customWidth="1"/>
    <col min="2310" max="2310" width="9.7109375" style="1193" customWidth="1"/>
    <col min="2311" max="2311" width="7" style="1193" customWidth="1"/>
    <col min="2312" max="2312" width="9.28515625" style="1193" customWidth="1"/>
    <col min="2313" max="2313" width="7" style="1193" customWidth="1"/>
    <col min="2314" max="2314" width="9.85546875" style="1193" customWidth="1"/>
    <col min="2315" max="2315" width="7" style="1193" customWidth="1"/>
    <col min="2316" max="2316" width="9.85546875" style="1193" customWidth="1"/>
    <col min="2317" max="2317" width="7" style="1193" customWidth="1"/>
    <col min="2318" max="2318" width="10.5703125" style="1193" customWidth="1"/>
    <col min="2319" max="2327" width="7" style="1193" customWidth="1"/>
    <col min="2328" max="2332" width="7.7109375" style="1193" customWidth="1"/>
    <col min="2333" max="2345" width="7" style="1193" customWidth="1"/>
    <col min="2346" max="2346" width="9.5703125" style="1193" customWidth="1"/>
    <col min="2347" max="2347" width="7" style="1193" customWidth="1"/>
    <col min="2348" max="2348" width="9.140625" style="1193" customWidth="1"/>
    <col min="2349" max="2349" width="7" style="1193" customWidth="1"/>
    <col min="2350" max="2350" width="8.85546875" style="1193" customWidth="1"/>
    <col min="2351" max="2351" width="7" style="1193" customWidth="1"/>
    <col min="2352" max="2352" width="9" style="1193" customWidth="1"/>
    <col min="2353" max="2353" width="7" style="1193" customWidth="1"/>
    <col min="2354" max="2354" width="8.85546875" style="1193" customWidth="1"/>
    <col min="2355" max="2355" width="7" style="1193" customWidth="1"/>
    <col min="2356" max="2356" width="8.42578125" style="1193" customWidth="1"/>
    <col min="2357" max="2357" width="7" style="1193" customWidth="1"/>
    <col min="2358" max="2358" width="8.42578125" style="1193" customWidth="1"/>
    <col min="2359" max="2359" width="7" style="1193" customWidth="1"/>
    <col min="2360" max="2360" width="8.42578125" style="1193" customWidth="1"/>
    <col min="2361" max="2361" width="7" style="1193" customWidth="1"/>
    <col min="2362" max="2362" width="8.28515625" style="1193" customWidth="1"/>
    <col min="2363" max="2376" width="7" style="1193" customWidth="1"/>
    <col min="2377" max="2377" width="9" style="1193" customWidth="1"/>
    <col min="2378" max="2378" width="7" style="1193" customWidth="1"/>
    <col min="2379" max="2379" width="9.28515625" style="1193" customWidth="1"/>
    <col min="2380" max="2380" width="7" style="1193" customWidth="1"/>
    <col min="2381" max="2381" width="10.140625" style="1193" customWidth="1"/>
    <col min="2382" max="2382" width="7" style="1193" customWidth="1"/>
    <col min="2383" max="2383" width="10" style="1193" customWidth="1"/>
    <col min="2384" max="2384" width="7" style="1193" customWidth="1"/>
    <col min="2385" max="2385" width="8.85546875" style="1193" customWidth="1"/>
    <col min="2386" max="2386" width="7" style="1193" customWidth="1"/>
    <col min="2387" max="2387" width="9" style="1193" customWidth="1"/>
    <col min="2388" max="2388" width="7" style="1193" customWidth="1"/>
    <col min="2389" max="2389" width="9.5703125" style="1193" customWidth="1"/>
    <col min="2390" max="2390" width="7" style="1193" customWidth="1"/>
    <col min="2391" max="2391" width="9" style="1193" customWidth="1"/>
    <col min="2392" max="2401" width="7" style="1193" customWidth="1"/>
    <col min="2402" max="2405" width="11.140625" style="1193" customWidth="1"/>
    <col min="2406" max="2406" width="11.42578125" style="1193" customWidth="1"/>
    <col min="2407" max="2407" width="11.85546875" style="1193" customWidth="1"/>
    <col min="2408" max="2415" width="11.140625" style="1193" customWidth="1"/>
    <col min="2416" max="2421" width="7" style="1193" customWidth="1"/>
    <col min="2422" max="2422" width="10" style="1193" customWidth="1"/>
    <col min="2423" max="2423" width="7" style="1193" customWidth="1"/>
    <col min="2424" max="2424" width="8.42578125" style="1193" customWidth="1"/>
    <col min="2425" max="2425" width="7" style="1193" customWidth="1"/>
    <col min="2426" max="2426" width="8.42578125" style="1193" customWidth="1"/>
    <col min="2427" max="2427" width="7" style="1193" customWidth="1"/>
    <col min="2428" max="2428" width="9" style="1193" customWidth="1"/>
    <col min="2429" max="2429" width="7" style="1193" customWidth="1"/>
    <col min="2430" max="2430" width="9.5703125" style="1193" customWidth="1"/>
    <col min="2431" max="2431" width="7" style="1193" customWidth="1"/>
    <col min="2432" max="2443" width="9.140625" style="1193" customWidth="1"/>
    <col min="2444" max="2444" width="9.28515625" style="1193" bestFit="1" customWidth="1"/>
    <col min="2445" max="2560" width="9.140625" style="1193"/>
    <col min="2561" max="2561" width="5.28515625" style="1193" customWidth="1"/>
    <col min="2562" max="2562" width="48" style="1193" customWidth="1"/>
    <col min="2563" max="2563" width="9.5703125" style="1193" customWidth="1"/>
    <col min="2564" max="2564" width="6" style="1193" customWidth="1"/>
    <col min="2565" max="2565" width="7" style="1193" customWidth="1"/>
    <col min="2566" max="2566" width="9.7109375" style="1193" customWidth="1"/>
    <col min="2567" max="2567" width="7" style="1193" customWidth="1"/>
    <col min="2568" max="2568" width="9.28515625" style="1193" customWidth="1"/>
    <col min="2569" max="2569" width="7" style="1193" customWidth="1"/>
    <col min="2570" max="2570" width="9.85546875" style="1193" customWidth="1"/>
    <col min="2571" max="2571" width="7" style="1193" customWidth="1"/>
    <col min="2572" max="2572" width="9.85546875" style="1193" customWidth="1"/>
    <col min="2573" max="2573" width="7" style="1193" customWidth="1"/>
    <col min="2574" max="2574" width="10.5703125" style="1193" customWidth="1"/>
    <col min="2575" max="2583" width="7" style="1193" customWidth="1"/>
    <col min="2584" max="2588" width="7.7109375" style="1193" customWidth="1"/>
    <col min="2589" max="2601" width="7" style="1193" customWidth="1"/>
    <col min="2602" max="2602" width="9.5703125" style="1193" customWidth="1"/>
    <col min="2603" max="2603" width="7" style="1193" customWidth="1"/>
    <col min="2604" max="2604" width="9.140625" style="1193" customWidth="1"/>
    <col min="2605" max="2605" width="7" style="1193" customWidth="1"/>
    <col min="2606" max="2606" width="8.85546875" style="1193" customWidth="1"/>
    <col min="2607" max="2607" width="7" style="1193" customWidth="1"/>
    <col min="2608" max="2608" width="9" style="1193" customWidth="1"/>
    <col min="2609" max="2609" width="7" style="1193" customWidth="1"/>
    <col min="2610" max="2610" width="8.85546875" style="1193" customWidth="1"/>
    <col min="2611" max="2611" width="7" style="1193" customWidth="1"/>
    <col min="2612" max="2612" width="8.42578125" style="1193" customWidth="1"/>
    <col min="2613" max="2613" width="7" style="1193" customWidth="1"/>
    <col min="2614" max="2614" width="8.42578125" style="1193" customWidth="1"/>
    <col min="2615" max="2615" width="7" style="1193" customWidth="1"/>
    <col min="2616" max="2616" width="8.42578125" style="1193" customWidth="1"/>
    <col min="2617" max="2617" width="7" style="1193" customWidth="1"/>
    <col min="2618" max="2618" width="8.28515625" style="1193" customWidth="1"/>
    <col min="2619" max="2632" width="7" style="1193" customWidth="1"/>
    <col min="2633" max="2633" width="9" style="1193" customWidth="1"/>
    <col min="2634" max="2634" width="7" style="1193" customWidth="1"/>
    <col min="2635" max="2635" width="9.28515625" style="1193" customWidth="1"/>
    <col min="2636" max="2636" width="7" style="1193" customWidth="1"/>
    <col min="2637" max="2637" width="10.140625" style="1193" customWidth="1"/>
    <col min="2638" max="2638" width="7" style="1193" customWidth="1"/>
    <col min="2639" max="2639" width="10" style="1193" customWidth="1"/>
    <col min="2640" max="2640" width="7" style="1193" customWidth="1"/>
    <col min="2641" max="2641" width="8.85546875" style="1193" customWidth="1"/>
    <col min="2642" max="2642" width="7" style="1193" customWidth="1"/>
    <col min="2643" max="2643" width="9" style="1193" customWidth="1"/>
    <col min="2644" max="2644" width="7" style="1193" customWidth="1"/>
    <col min="2645" max="2645" width="9.5703125" style="1193" customWidth="1"/>
    <col min="2646" max="2646" width="7" style="1193" customWidth="1"/>
    <col min="2647" max="2647" width="9" style="1193" customWidth="1"/>
    <col min="2648" max="2657" width="7" style="1193" customWidth="1"/>
    <col min="2658" max="2661" width="11.140625" style="1193" customWidth="1"/>
    <col min="2662" max="2662" width="11.42578125" style="1193" customWidth="1"/>
    <col min="2663" max="2663" width="11.85546875" style="1193" customWidth="1"/>
    <col min="2664" max="2671" width="11.140625" style="1193" customWidth="1"/>
    <col min="2672" max="2677" width="7" style="1193" customWidth="1"/>
    <col min="2678" max="2678" width="10" style="1193" customWidth="1"/>
    <col min="2679" max="2679" width="7" style="1193" customWidth="1"/>
    <col min="2680" max="2680" width="8.42578125" style="1193" customWidth="1"/>
    <col min="2681" max="2681" width="7" style="1193" customWidth="1"/>
    <col min="2682" max="2682" width="8.42578125" style="1193" customWidth="1"/>
    <col min="2683" max="2683" width="7" style="1193" customWidth="1"/>
    <col min="2684" max="2684" width="9" style="1193" customWidth="1"/>
    <col min="2685" max="2685" width="7" style="1193" customWidth="1"/>
    <col min="2686" max="2686" width="9.5703125" style="1193" customWidth="1"/>
    <col min="2687" max="2687" width="7" style="1193" customWidth="1"/>
    <col min="2688" max="2699" width="9.140625" style="1193" customWidth="1"/>
    <col min="2700" max="2700" width="9.28515625" style="1193" bestFit="1" customWidth="1"/>
    <col min="2701" max="2816" width="9.140625" style="1193"/>
    <col min="2817" max="2817" width="5.28515625" style="1193" customWidth="1"/>
    <col min="2818" max="2818" width="48" style="1193" customWidth="1"/>
    <col min="2819" max="2819" width="9.5703125" style="1193" customWidth="1"/>
    <col min="2820" max="2820" width="6" style="1193" customWidth="1"/>
    <col min="2821" max="2821" width="7" style="1193" customWidth="1"/>
    <col min="2822" max="2822" width="9.7109375" style="1193" customWidth="1"/>
    <col min="2823" max="2823" width="7" style="1193" customWidth="1"/>
    <col min="2824" max="2824" width="9.28515625" style="1193" customWidth="1"/>
    <col min="2825" max="2825" width="7" style="1193" customWidth="1"/>
    <col min="2826" max="2826" width="9.85546875" style="1193" customWidth="1"/>
    <col min="2827" max="2827" width="7" style="1193" customWidth="1"/>
    <col min="2828" max="2828" width="9.85546875" style="1193" customWidth="1"/>
    <col min="2829" max="2829" width="7" style="1193" customWidth="1"/>
    <col min="2830" max="2830" width="10.5703125" style="1193" customWidth="1"/>
    <col min="2831" max="2839" width="7" style="1193" customWidth="1"/>
    <col min="2840" max="2844" width="7.7109375" style="1193" customWidth="1"/>
    <col min="2845" max="2857" width="7" style="1193" customWidth="1"/>
    <col min="2858" max="2858" width="9.5703125" style="1193" customWidth="1"/>
    <col min="2859" max="2859" width="7" style="1193" customWidth="1"/>
    <col min="2860" max="2860" width="9.140625" style="1193" customWidth="1"/>
    <col min="2861" max="2861" width="7" style="1193" customWidth="1"/>
    <col min="2862" max="2862" width="8.85546875" style="1193" customWidth="1"/>
    <col min="2863" max="2863" width="7" style="1193" customWidth="1"/>
    <col min="2864" max="2864" width="9" style="1193" customWidth="1"/>
    <col min="2865" max="2865" width="7" style="1193" customWidth="1"/>
    <col min="2866" max="2866" width="8.85546875" style="1193" customWidth="1"/>
    <col min="2867" max="2867" width="7" style="1193" customWidth="1"/>
    <col min="2868" max="2868" width="8.42578125" style="1193" customWidth="1"/>
    <col min="2869" max="2869" width="7" style="1193" customWidth="1"/>
    <col min="2870" max="2870" width="8.42578125" style="1193" customWidth="1"/>
    <col min="2871" max="2871" width="7" style="1193" customWidth="1"/>
    <col min="2872" max="2872" width="8.42578125" style="1193" customWidth="1"/>
    <col min="2873" max="2873" width="7" style="1193" customWidth="1"/>
    <col min="2874" max="2874" width="8.28515625" style="1193" customWidth="1"/>
    <col min="2875" max="2888" width="7" style="1193" customWidth="1"/>
    <col min="2889" max="2889" width="9" style="1193" customWidth="1"/>
    <col min="2890" max="2890" width="7" style="1193" customWidth="1"/>
    <col min="2891" max="2891" width="9.28515625" style="1193" customWidth="1"/>
    <col min="2892" max="2892" width="7" style="1193" customWidth="1"/>
    <col min="2893" max="2893" width="10.140625" style="1193" customWidth="1"/>
    <col min="2894" max="2894" width="7" style="1193" customWidth="1"/>
    <col min="2895" max="2895" width="10" style="1193" customWidth="1"/>
    <col min="2896" max="2896" width="7" style="1193" customWidth="1"/>
    <col min="2897" max="2897" width="8.85546875" style="1193" customWidth="1"/>
    <col min="2898" max="2898" width="7" style="1193" customWidth="1"/>
    <col min="2899" max="2899" width="9" style="1193" customWidth="1"/>
    <col min="2900" max="2900" width="7" style="1193" customWidth="1"/>
    <col min="2901" max="2901" width="9.5703125" style="1193" customWidth="1"/>
    <col min="2902" max="2902" width="7" style="1193" customWidth="1"/>
    <col min="2903" max="2903" width="9" style="1193" customWidth="1"/>
    <col min="2904" max="2913" width="7" style="1193" customWidth="1"/>
    <col min="2914" max="2917" width="11.140625" style="1193" customWidth="1"/>
    <col min="2918" max="2918" width="11.42578125" style="1193" customWidth="1"/>
    <col min="2919" max="2919" width="11.85546875" style="1193" customWidth="1"/>
    <col min="2920" max="2927" width="11.140625" style="1193" customWidth="1"/>
    <col min="2928" max="2933" width="7" style="1193" customWidth="1"/>
    <col min="2934" max="2934" width="10" style="1193" customWidth="1"/>
    <col min="2935" max="2935" width="7" style="1193" customWidth="1"/>
    <col min="2936" max="2936" width="8.42578125" style="1193" customWidth="1"/>
    <col min="2937" max="2937" width="7" style="1193" customWidth="1"/>
    <col min="2938" max="2938" width="8.42578125" style="1193" customWidth="1"/>
    <col min="2939" max="2939" width="7" style="1193" customWidth="1"/>
    <col min="2940" max="2940" width="9" style="1193" customWidth="1"/>
    <col min="2941" max="2941" width="7" style="1193" customWidth="1"/>
    <col min="2942" max="2942" width="9.5703125" style="1193" customWidth="1"/>
    <col min="2943" max="2943" width="7" style="1193" customWidth="1"/>
    <col min="2944" max="2955" width="9.140625" style="1193" customWidth="1"/>
    <col min="2956" max="2956" width="9.28515625" style="1193" bestFit="1" customWidth="1"/>
    <col min="2957" max="3072" width="9.140625" style="1193"/>
    <col min="3073" max="3073" width="5.28515625" style="1193" customWidth="1"/>
    <col min="3074" max="3074" width="48" style="1193" customWidth="1"/>
    <col min="3075" max="3075" width="9.5703125" style="1193" customWidth="1"/>
    <col min="3076" max="3076" width="6" style="1193" customWidth="1"/>
    <col min="3077" max="3077" width="7" style="1193" customWidth="1"/>
    <col min="3078" max="3078" width="9.7109375" style="1193" customWidth="1"/>
    <col min="3079" max="3079" width="7" style="1193" customWidth="1"/>
    <col min="3080" max="3080" width="9.28515625" style="1193" customWidth="1"/>
    <col min="3081" max="3081" width="7" style="1193" customWidth="1"/>
    <col min="3082" max="3082" width="9.85546875" style="1193" customWidth="1"/>
    <col min="3083" max="3083" width="7" style="1193" customWidth="1"/>
    <col min="3084" max="3084" width="9.85546875" style="1193" customWidth="1"/>
    <col min="3085" max="3085" width="7" style="1193" customWidth="1"/>
    <col min="3086" max="3086" width="10.5703125" style="1193" customWidth="1"/>
    <col min="3087" max="3095" width="7" style="1193" customWidth="1"/>
    <col min="3096" max="3100" width="7.7109375" style="1193" customWidth="1"/>
    <col min="3101" max="3113" width="7" style="1193" customWidth="1"/>
    <col min="3114" max="3114" width="9.5703125" style="1193" customWidth="1"/>
    <col min="3115" max="3115" width="7" style="1193" customWidth="1"/>
    <col min="3116" max="3116" width="9.140625" style="1193" customWidth="1"/>
    <col min="3117" max="3117" width="7" style="1193" customWidth="1"/>
    <col min="3118" max="3118" width="8.85546875" style="1193" customWidth="1"/>
    <col min="3119" max="3119" width="7" style="1193" customWidth="1"/>
    <col min="3120" max="3120" width="9" style="1193" customWidth="1"/>
    <col min="3121" max="3121" width="7" style="1193" customWidth="1"/>
    <col min="3122" max="3122" width="8.85546875" style="1193" customWidth="1"/>
    <col min="3123" max="3123" width="7" style="1193" customWidth="1"/>
    <col min="3124" max="3124" width="8.42578125" style="1193" customWidth="1"/>
    <col min="3125" max="3125" width="7" style="1193" customWidth="1"/>
    <col min="3126" max="3126" width="8.42578125" style="1193" customWidth="1"/>
    <col min="3127" max="3127" width="7" style="1193" customWidth="1"/>
    <col min="3128" max="3128" width="8.42578125" style="1193" customWidth="1"/>
    <col min="3129" max="3129" width="7" style="1193" customWidth="1"/>
    <col min="3130" max="3130" width="8.28515625" style="1193" customWidth="1"/>
    <col min="3131" max="3144" width="7" style="1193" customWidth="1"/>
    <col min="3145" max="3145" width="9" style="1193" customWidth="1"/>
    <col min="3146" max="3146" width="7" style="1193" customWidth="1"/>
    <col min="3147" max="3147" width="9.28515625" style="1193" customWidth="1"/>
    <col min="3148" max="3148" width="7" style="1193" customWidth="1"/>
    <col min="3149" max="3149" width="10.140625" style="1193" customWidth="1"/>
    <col min="3150" max="3150" width="7" style="1193" customWidth="1"/>
    <col min="3151" max="3151" width="10" style="1193" customWidth="1"/>
    <col min="3152" max="3152" width="7" style="1193" customWidth="1"/>
    <col min="3153" max="3153" width="8.85546875" style="1193" customWidth="1"/>
    <col min="3154" max="3154" width="7" style="1193" customWidth="1"/>
    <col min="3155" max="3155" width="9" style="1193" customWidth="1"/>
    <col min="3156" max="3156" width="7" style="1193" customWidth="1"/>
    <col min="3157" max="3157" width="9.5703125" style="1193" customWidth="1"/>
    <col min="3158" max="3158" width="7" style="1193" customWidth="1"/>
    <col min="3159" max="3159" width="9" style="1193" customWidth="1"/>
    <col min="3160" max="3169" width="7" style="1193" customWidth="1"/>
    <col min="3170" max="3173" width="11.140625" style="1193" customWidth="1"/>
    <col min="3174" max="3174" width="11.42578125" style="1193" customWidth="1"/>
    <col min="3175" max="3175" width="11.85546875" style="1193" customWidth="1"/>
    <col min="3176" max="3183" width="11.140625" style="1193" customWidth="1"/>
    <col min="3184" max="3189" width="7" style="1193" customWidth="1"/>
    <col min="3190" max="3190" width="10" style="1193" customWidth="1"/>
    <col min="3191" max="3191" width="7" style="1193" customWidth="1"/>
    <col min="3192" max="3192" width="8.42578125" style="1193" customWidth="1"/>
    <col min="3193" max="3193" width="7" style="1193" customWidth="1"/>
    <col min="3194" max="3194" width="8.42578125" style="1193" customWidth="1"/>
    <col min="3195" max="3195" width="7" style="1193" customWidth="1"/>
    <col min="3196" max="3196" width="9" style="1193" customWidth="1"/>
    <col min="3197" max="3197" width="7" style="1193" customWidth="1"/>
    <col min="3198" max="3198" width="9.5703125" style="1193" customWidth="1"/>
    <col min="3199" max="3199" width="7" style="1193" customWidth="1"/>
    <col min="3200" max="3211" width="9.140625" style="1193" customWidth="1"/>
    <col min="3212" max="3212" width="9.28515625" style="1193" bestFit="1" customWidth="1"/>
    <col min="3213" max="3328" width="9.140625" style="1193"/>
    <col min="3329" max="3329" width="5.28515625" style="1193" customWidth="1"/>
    <col min="3330" max="3330" width="48" style="1193" customWidth="1"/>
    <col min="3331" max="3331" width="9.5703125" style="1193" customWidth="1"/>
    <col min="3332" max="3332" width="6" style="1193" customWidth="1"/>
    <col min="3333" max="3333" width="7" style="1193" customWidth="1"/>
    <col min="3334" max="3334" width="9.7109375" style="1193" customWidth="1"/>
    <col min="3335" max="3335" width="7" style="1193" customWidth="1"/>
    <col min="3336" max="3336" width="9.28515625" style="1193" customWidth="1"/>
    <col min="3337" max="3337" width="7" style="1193" customWidth="1"/>
    <col min="3338" max="3338" width="9.85546875" style="1193" customWidth="1"/>
    <col min="3339" max="3339" width="7" style="1193" customWidth="1"/>
    <col min="3340" max="3340" width="9.85546875" style="1193" customWidth="1"/>
    <col min="3341" max="3341" width="7" style="1193" customWidth="1"/>
    <col min="3342" max="3342" width="10.5703125" style="1193" customWidth="1"/>
    <col min="3343" max="3351" width="7" style="1193" customWidth="1"/>
    <col min="3352" max="3356" width="7.7109375" style="1193" customWidth="1"/>
    <col min="3357" max="3369" width="7" style="1193" customWidth="1"/>
    <col min="3370" max="3370" width="9.5703125" style="1193" customWidth="1"/>
    <col min="3371" max="3371" width="7" style="1193" customWidth="1"/>
    <col min="3372" max="3372" width="9.140625" style="1193" customWidth="1"/>
    <col min="3373" max="3373" width="7" style="1193" customWidth="1"/>
    <col min="3374" max="3374" width="8.85546875" style="1193" customWidth="1"/>
    <col min="3375" max="3375" width="7" style="1193" customWidth="1"/>
    <col min="3376" max="3376" width="9" style="1193" customWidth="1"/>
    <col min="3377" max="3377" width="7" style="1193" customWidth="1"/>
    <col min="3378" max="3378" width="8.85546875" style="1193" customWidth="1"/>
    <col min="3379" max="3379" width="7" style="1193" customWidth="1"/>
    <col min="3380" max="3380" width="8.42578125" style="1193" customWidth="1"/>
    <col min="3381" max="3381" width="7" style="1193" customWidth="1"/>
    <col min="3382" max="3382" width="8.42578125" style="1193" customWidth="1"/>
    <col min="3383" max="3383" width="7" style="1193" customWidth="1"/>
    <col min="3384" max="3384" width="8.42578125" style="1193" customWidth="1"/>
    <col min="3385" max="3385" width="7" style="1193" customWidth="1"/>
    <col min="3386" max="3386" width="8.28515625" style="1193" customWidth="1"/>
    <col min="3387" max="3400" width="7" style="1193" customWidth="1"/>
    <col min="3401" max="3401" width="9" style="1193" customWidth="1"/>
    <col min="3402" max="3402" width="7" style="1193" customWidth="1"/>
    <col min="3403" max="3403" width="9.28515625" style="1193" customWidth="1"/>
    <col min="3404" max="3404" width="7" style="1193" customWidth="1"/>
    <col min="3405" max="3405" width="10.140625" style="1193" customWidth="1"/>
    <col min="3406" max="3406" width="7" style="1193" customWidth="1"/>
    <col min="3407" max="3407" width="10" style="1193" customWidth="1"/>
    <col min="3408" max="3408" width="7" style="1193" customWidth="1"/>
    <col min="3409" max="3409" width="8.85546875" style="1193" customWidth="1"/>
    <col min="3410" max="3410" width="7" style="1193" customWidth="1"/>
    <col min="3411" max="3411" width="9" style="1193" customWidth="1"/>
    <col min="3412" max="3412" width="7" style="1193" customWidth="1"/>
    <col min="3413" max="3413" width="9.5703125" style="1193" customWidth="1"/>
    <col min="3414" max="3414" width="7" style="1193" customWidth="1"/>
    <col min="3415" max="3415" width="9" style="1193" customWidth="1"/>
    <col min="3416" max="3425" width="7" style="1193" customWidth="1"/>
    <col min="3426" max="3429" width="11.140625" style="1193" customWidth="1"/>
    <col min="3430" max="3430" width="11.42578125" style="1193" customWidth="1"/>
    <col min="3431" max="3431" width="11.85546875" style="1193" customWidth="1"/>
    <col min="3432" max="3439" width="11.140625" style="1193" customWidth="1"/>
    <col min="3440" max="3445" width="7" style="1193" customWidth="1"/>
    <col min="3446" max="3446" width="10" style="1193" customWidth="1"/>
    <col min="3447" max="3447" width="7" style="1193" customWidth="1"/>
    <col min="3448" max="3448" width="8.42578125" style="1193" customWidth="1"/>
    <col min="3449" max="3449" width="7" style="1193" customWidth="1"/>
    <col min="3450" max="3450" width="8.42578125" style="1193" customWidth="1"/>
    <col min="3451" max="3451" width="7" style="1193" customWidth="1"/>
    <col min="3452" max="3452" width="9" style="1193" customWidth="1"/>
    <col min="3453" max="3453" width="7" style="1193" customWidth="1"/>
    <col min="3454" max="3454" width="9.5703125" style="1193" customWidth="1"/>
    <col min="3455" max="3455" width="7" style="1193" customWidth="1"/>
    <col min="3456" max="3467" width="9.140625" style="1193" customWidth="1"/>
    <col min="3468" max="3468" width="9.28515625" style="1193" bestFit="1" customWidth="1"/>
    <col min="3469" max="3584" width="9.140625" style="1193"/>
    <col min="3585" max="3585" width="5.28515625" style="1193" customWidth="1"/>
    <col min="3586" max="3586" width="48" style="1193" customWidth="1"/>
    <col min="3587" max="3587" width="9.5703125" style="1193" customWidth="1"/>
    <col min="3588" max="3588" width="6" style="1193" customWidth="1"/>
    <col min="3589" max="3589" width="7" style="1193" customWidth="1"/>
    <col min="3590" max="3590" width="9.7109375" style="1193" customWidth="1"/>
    <col min="3591" max="3591" width="7" style="1193" customWidth="1"/>
    <col min="3592" max="3592" width="9.28515625" style="1193" customWidth="1"/>
    <col min="3593" max="3593" width="7" style="1193" customWidth="1"/>
    <col min="3594" max="3594" width="9.85546875" style="1193" customWidth="1"/>
    <col min="3595" max="3595" width="7" style="1193" customWidth="1"/>
    <col min="3596" max="3596" width="9.85546875" style="1193" customWidth="1"/>
    <col min="3597" max="3597" width="7" style="1193" customWidth="1"/>
    <col min="3598" max="3598" width="10.5703125" style="1193" customWidth="1"/>
    <col min="3599" max="3607" width="7" style="1193" customWidth="1"/>
    <col min="3608" max="3612" width="7.7109375" style="1193" customWidth="1"/>
    <col min="3613" max="3625" width="7" style="1193" customWidth="1"/>
    <col min="3626" max="3626" width="9.5703125" style="1193" customWidth="1"/>
    <col min="3627" max="3627" width="7" style="1193" customWidth="1"/>
    <col min="3628" max="3628" width="9.140625" style="1193" customWidth="1"/>
    <col min="3629" max="3629" width="7" style="1193" customWidth="1"/>
    <col min="3630" max="3630" width="8.85546875" style="1193" customWidth="1"/>
    <col min="3631" max="3631" width="7" style="1193" customWidth="1"/>
    <col min="3632" max="3632" width="9" style="1193" customWidth="1"/>
    <col min="3633" max="3633" width="7" style="1193" customWidth="1"/>
    <col min="3634" max="3634" width="8.85546875" style="1193" customWidth="1"/>
    <col min="3635" max="3635" width="7" style="1193" customWidth="1"/>
    <col min="3636" max="3636" width="8.42578125" style="1193" customWidth="1"/>
    <col min="3637" max="3637" width="7" style="1193" customWidth="1"/>
    <col min="3638" max="3638" width="8.42578125" style="1193" customWidth="1"/>
    <col min="3639" max="3639" width="7" style="1193" customWidth="1"/>
    <col min="3640" max="3640" width="8.42578125" style="1193" customWidth="1"/>
    <col min="3641" max="3641" width="7" style="1193" customWidth="1"/>
    <col min="3642" max="3642" width="8.28515625" style="1193" customWidth="1"/>
    <col min="3643" max="3656" width="7" style="1193" customWidth="1"/>
    <col min="3657" max="3657" width="9" style="1193" customWidth="1"/>
    <col min="3658" max="3658" width="7" style="1193" customWidth="1"/>
    <col min="3659" max="3659" width="9.28515625" style="1193" customWidth="1"/>
    <col min="3660" max="3660" width="7" style="1193" customWidth="1"/>
    <col min="3661" max="3661" width="10.140625" style="1193" customWidth="1"/>
    <col min="3662" max="3662" width="7" style="1193" customWidth="1"/>
    <col min="3663" max="3663" width="10" style="1193" customWidth="1"/>
    <col min="3664" max="3664" width="7" style="1193" customWidth="1"/>
    <col min="3665" max="3665" width="8.85546875" style="1193" customWidth="1"/>
    <col min="3666" max="3666" width="7" style="1193" customWidth="1"/>
    <col min="3667" max="3667" width="9" style="1193" customWidth="1"/>
    <col min="3668" max="3668" width="7" style="1193" customWidth="1"/>
    <col min="3669" max="3669" width="9.5703125" style="1193" customWidth="1"/>
    <col min="3670" max="3670" width="7" style="1193" customWidth="1"/>
    <col min="3671" max="3671" width="9" style="1193" customWidth="1"/>
    <col min="3672" max="3681" width="7" style="1193" customWidth="1"/>
    <col min="3682" max="3685" width="11.140625" style="1193" customWidth="1"/>
    <col min="3686" max="3686" width="11.42578125" style="1193" customWidth="1"/>
    <col min="3687" max="3687" width="11.85546875" style="1193" customWidth="1"/>
    <col min="3688" max="3695" width="11.140625" style="1193" customWidth="1"/>
    <col min="3696" max="3701" width="7" style="1193" customWidth="1"/>
    <col min="3702" max="3702" width="10" style="1193" customWidth="1"/>
    <col min="3703" max="3703" width="7" style="1193" customWidth="1"/>
    <col min="3704" max="3704" width="8.42578125" style="1193" customWidth="1"/>
    <col min="3705" max="3705" width="7" style="1193" customWidth="1"/>
    <col min="3706" max="3706" width="8.42578125" style="1193" customWidth="1"/>
    <col min="3707" max="3707" width="7" style="1193" customWidth="1"/>
    <col min="3708" max="3708" width="9" style="1193" customWidth="1"/>
    <col min="3709" max="3709" width="7" style="1193" customWidth="1"/>
    <col min="3710" max="3710" width="9.5703125" style="1193" customWidth="1"/>
    <col min="3711" max="3711" width="7" style="1193" customWidth="1"/>
    <col min="3712" max="3723" width="9.140625" style="1193" customWidth="1"/>
    <col min="3724" max="3724" width="9.28515625" style="1193" bestFit="1" customWidth="1"/>
    <col min="3725" max="3840" width="9.140625" style="1193"/>
    <col min="3841" max="3841" width="5.28515625" style="1193" customWidth="1"/>
    <col min="3842" max="3842" width="48" style="1193" customWidth="1"/>
    <col min="3843" max="3843" width="9.5703125" style="1193" customWidth="1"/>
    <col min="3844" max="3844" width="6" style="1193" customWidth="1"/>
    <col min="3845" max="3845" width="7" style="1193" customWidth="1"/>
    <col min="3846" max="3846" width="9.7109375" style="1193" customWidth="1"/>
    <col min="3847" max="3847" width="7" style="1193" customWidth="1"/>
    <col min="3848" max="3848" width="9.28515625" style="1193" customWidth="1"/>
    <col min="3849" max="3849" width="7" style="1193" customWidth="1"/>
    <col min="3850" max="3850" width="9.85546875" style="1193" customWidth="1"/>
    <col min="3851" max="3851" width="7" style="1193" customWidth="1"/>
    <col min="3852" max="3852" width="9.85546875" style="1193" customWidth="1"/>
    <col min="3853" max="3853" width="7" style="1193" customWidth="1"/>
    <col min="3854" max="3854" width="10.5703125" style="1193" customWidth="1"/>
    <col min="3855" max="3863" width="7" style="1193" customWidth="1"/>
    <col min="3864" max="3868" width="7.7109375" style="1193" customWidth="1"/>
    <col min="3869" max="3881" width="7" style="1193" customWidth="1"/>
    <col min="3882" max="3882" width="9.5703125" style="1193" customWidth="1"/>
    <col min="3883" max="3883" width="7" style="1193" customWidth="1"/>
    <col min="3884" max="3884" width="9.140625" style="1193" customWidth="1"/>
    <col min="3885" max="3885" width="7" style="1193" customWidth="1"/>
    <col min="3886" max="3886" width="8.85546875" style="1193" customWidth="1"/>
    <col min="3887" max="3887" width="7" style="1193" customWidth="1"/>
    <col min="3888" max="3888" width="9" style="1193" customWidth="1"/>
    <col min="3889" max="3889" width="7" style="1193" customWidth="1"/>
    <col min="3890" max="3890" width="8.85546875" style="1193" customWidth="1"/>
    <col min="3891" max="3891" width="7" style="1193" customWidth="1"/>
    <col min="3892" max="3892" width="8.42578125" style="1193" customWidth="1"/>
    <col min="3893" max="3893" width="7" style="1193" customWidth="1"/>
    <col min="3894" max="3894" width="8.42578125" style="1193" customWidth="1"/>
    <col min="3895" max="3895" width="7" style="1193" customWidth="1"/>
    <col min="3896" max="3896" width="8.42578125" style="1193" customWidth="1"/>
    <col min="3897" max="3897" width="7" style="1193" customWidth="1"/>
    <col min="3898" max="3898" width="8.28515625" style="1193" customWidth="1"/>
    <col min="3899" max="3912" width="7" style="1193" customWidth="1"/>
    <col min="3913" max="3913" width="9" style="1193" customWidth="1"/>
    <col min="3914" max="3914" width="7" style="1193" customWidth="1"/>
    <col min="3915" max="3915" width="9.28515625" style="1193" customWidth="1"/>
    <col min="3916" max="3916" width="7" style="1193" customWidth="1"/>
    <col min="3917" max="3917" width="10.140625" style="1193" customWidth="1"/>
    <col min="3918" max="3918" width="7" style="1193" customWidth="1"/>
    <col min="3919" max="3919" width="10" style="1193" customWidth="1"/>
    <col min="3920" max="3920" width="7" style="1193" customWidth="1"/>
    <col min="3921" max="3921" width="8.85546875" style="1193" customWidth="1"/>
    <col min="3922" max="3922" width="7" style="1193" customWidth="1"/>
    <col min="3923" max="3923" width="9" style="1193" customWidth="1"/>
    <col min="3924" max="3924" width="7" style="1193" customWidth="1"/>
    <col min="3925" max="3925" width="9.5703125" style="1193" customWidth="1"/>
    <col min="3926" max="3926" width="7" style="1193" customWidth="1"/>
    <col min="3927" max="3927" width="9" style="1193" customWidth="1"/>
    <col min="3928" max="3937" width="7" style="1193" customWidth="1"/>
    <col min="3938" max="3941" width="11.140625" style="1193" customWidth="1"/>
    <col min="3942" max="3942" width="11.42578125" style="1193" customWidth="1"/>
    <col min="3943" max="3943" width="11.85546875" style="1193" customWidth="1"/>
    <col min="3944" max="3951" width="11.140625" style="1193" customWidth="1"/>
    <col min="3952" max="3957" width="7" style="1193" customWidth="1"/>
    <col min="3958" max="3958" width="10" style="1193" customWidth="1"/>
    <col min="3959" max="3959" width="7" style="1193" customWidth="1"/>
    <col min="3960" max="3960" width="8.42578125" style="1193" customWidth="1"/>
    <col min="3961" max="3961" width="7" style="1193" customWidth="1"/>
    <col min="3962" max="3962" width="8.42578125" style="1193" customWidth="1"/>
    <col min="3963" max="3963" width="7" style="1193" customWidth="1"/>
    <col min="3964" max="3964" width="9" style="1193" customWidth="1"/>
    <col min="3965" max="3965" width="7" style="1193" customWidth="1"/>
    <col min="3966" max="3966" width="9.5703125" style="1193" customWidth="1"/>
    <col min="3967" max="3967" width="7" style="1193" customWidth="1"/>
    <col min="3968" max="3979" width="9.140625" style="1193" customWidth="1"/>
    <col min="3980" max="3980" width="9.28515625" style="1193" bestFit="1" customWidth="1"/>
    <col min="3981" max="4096" width="9.140625" style="1193"/>
    <col min="4097" max="4097" width="5.28515625" style="1193" customWidth="1"/>
    <col min="4098" max="4098" width="48" style="1193" customWidth="1"/>
    <col min="4099" max="4099" width="9.5703125" style="1193" customWidth="1"/>
    <col min="4100" max="4100" width="6" style="1193" customWidth="1"/>
    <col min="4101" max="4101" width="7" style="1193" customWidth="1"/>
    <col min="4102" max="4102" width="9.7109375" style="1193" customWidth="1"/>
    <col min="4103" max="4103" width="7" style="1193" customWidth="1"/>
    <col min="4104" max="4104" width="9.28515625" style="1193" customWidth="1"/>
    <col min="4105" max="4105" width="7" style="1193" customWidth="1"/>
    <col min="4106" max="4106" width="9.85546875" style="1193" customWidth="1"/>
    <col min="4107" max="4107" width="7" style="1193" customWidth="1"/>
    <col min="4108" max="4108" width="9.85546875" style="1193" customWidth="1"/>
    <col min="4109" max="4109" width="7" style="1193" customWidth="1"/>
    <col min="4110" max="4110" width="10.5703125" style="1193" customWidth="1"/>
    <col min="4111" max="4119" width="7" style="1193" customWidth="1"/>
    <col min="4120" max="4124" width="7.7109375" style="1193" customWidth="1"/>
    <col min="4125" max="4137" width="7" style="1193" customWidth="1"/>
    <col min="4138" max="4138" width="9.5703125" style="1193" customWidth="1"/>
    <col min="4139" max="4139" width="7" style="1193" customWidth="1"/>
    <col min="4140" max="4140" width="9.140625" style="1193" customWidth="1"/>
    <col min="4141" max="4141" width="7" style="1193" customWidth="1"/>
    <col min="4142" max="4142" width="8.85546875" style="1193" customWidth="1"/>
    <col min="4143" max="4143" width="7" style="1193" customWidth="1"/>
    <col min="4144" max="4144" width="9" style="1193" customWidth="1"/>
    <col min="4145" max="4145" width="7" style="1193" customWidth="1"/>
    <col min="4146" max="4146" width="8.85546875" style="1193" customWidth="1"/>
    <col min="4147" max="4147" width="7" style="1193" customWidth="1"/>
    <col min="4148" max="4148" width="8.42578125" style="1193" customWidth="1"/>
    <col min="4149" max="4149" width="7" style="1193" customWidth="1"/>
    <col min="4150" max="4150" width="8.42578125" style="1193" customWidth="1"/>
    <col min="4151" max="4151" width="7" style="1193" customWidth="1"/>
    <col min="4152" max="4152" width="8.42578125" style="1193" customWidth="1"/>
    <col min="4153" max="4153" width="7" style="1193" customWidth="1"/>
    <col min="4154" max="4154" width="8.28515625" style="1193" customWidth="1"/>
    <col min="4155" max="4168" width="7" style="1193" customWidth="1"/>
    <col min="4169" max="4169" width="9" style="1193" customWidth="1"/>
    <col min="4170" max="4170" width="7" style="1193" customWidth="1"/>
    <col min="4171" max="4171" width="9.28515625" style="1193" customWidth="1"/>
    <col min="4172" max="4172" width="7" style="1193" customWidth="1"/>
    <col min="4173" max="4173" width="10.140625" style="1193" customWidth="1"/>
    <col min="4174" max="4174" width="7" style="1193" customWidth="1"/>
    <col min="4175" max="4175" width="10" style="1193" customWidth="1"/>
    <col min="4176" max="4176" width="7" style="1193" customWidth="1"/>
    <col min="4177" max="4177" width="8.85546875" style="1193" customWidth="1"/>
    <col min="4178" max="4178" width="7" style="1193" customWidth="1"/>
    <col min="4179" max="4179" width="9" style="1193" customWidth="1"/>
    <col min="4180" max="4180" width="7" style="1193" customWidth="1"/>
    <col min="4181" max="4181" width="9.5703125" style="1193" customWidth="1"/>
    <col min="4182" max="4182" width="7" style="1193" customWidth="1"/>
    <col min="4183" max="4183" width="9" style="1193" customWidth="1"/>
    <col min="4184" max="4193" width="7" style="1193" customWidth="1"/>
    <col min="4194" max="4197" width="11.140625" style="1193" customWidth="1"/>
    <col min="4198" max="4198" width="11.42578125" style="1193" customWidth="1"/>
    <col min="4199" max="4199" width="11.85546875" style="1193" customWidth="1"/>
    <col min="4200" max="4207" width="11.140625" style="1193" customWidth="1"/>
    <col min="4208" max="4213" width="7" style="1193" customWidth="1"/>
    <col min="4214" max="4214" width="10" style="1193" customWidth="1"/>
    <col min="4215" max="4215" width="7" style="1193" customWidth="1"/>
    <col min="4216" max="4216" width="8.42578125" style="1193" customWidth="1"/>
    <col min="4217" max="4217" width="7" style="1193" customWidth="1"/>
    <col min="4218" max="4218" width="8.42578125" style="1193" customWidth="1"/>
    <col min="4219" max="4219" width="7" style="1193" customWidth="1"/>
    <col min="4220" max="4220" width="9" style="1193" customWidth="1"/>
    <col min="4221" max="4221" width="7" style="1193" customWidth="1"/>
    <col min="4222" max="4222" width="9.5703125" style="1193" customWidth="1"/>
    <col min="4223" max="4223" width="7" style="1193" customWidth="1"/>
    <col min="4224" max="4235" width="9.140625" style="1193" customWidth="1"/>
    <col min="4236" max="4236" width="9.28515625" style="1193" bestFit="1" customWidth="1"/>
    <col min="4237" max="4352" width="9.140625" style="1193"/>
    <col min="4353" max="4353" width="5.28515625" style="1193" customWidth="1"/>
    <col min="4354" max="4354" width="48" style="1193" customWidth="1"/>
    <col min="4355" max="4355" width="9.5703125" style="1193" customWidth="1"/>
    <col min="4356" max="4356" width="6" style="1193" customWidth="1"/>
    <col min="4357" max="4357" width="7" style="1193" customWidth="1"/>
    <col min="4358" max="4358" width="9.7109375" style="1193" customWidth="1"/>
    <col min="4359" max="4359" width="7" style="1193" customWidth="1"/>
    <col min="4360" max="4360" width="9.28515625" style="1193" customWidth="1"/>
    <col min="4361" max="4361" width="7" style="1193" customWidth="1"/>
    <col min="4362" max="4362" width="9.85546875" style="1193" customWidth="1"/>
    <col min="4363" max="4363" width="7" style="1193" customWidth="1"/>
    <col min="4364" max="4364" width="9.85546875" style="1193" customWidth="1"/>
    <col min="4365" max="4365" width="7" style="1193" customWidth="1"/>
    <col min="4366" max="4366" width="10.5703125" style="1193" customWidth="1"/>
    <col min="4367" max="4375" width="7" style="1193" customWidth="1"/>
    <col min="4376" max="4380" width="7.7109375" style="1193" customWidth="1"/>
    <col min="4381" max="4393" width="7" style="1193" customWidth="1"/>
    <col min="4394" max="4394" width="9.5703125" style="1193" customWidth="1"/>
    <col min="4395" max="4395" width="7" style="1193" customWidth="1"/>
    <col min="4396" max="4396" width="9.140625" style="1193" customWidth="1"/>
    <col min="4397" max="4397" width="7" style="1193" customWidth="1"/>
    <col min="4398" max="4398" width="8.85546875" style="1193" customWidth="1"/>
    <col min="4399" max="4399" width="7" style="1193" customWidth="1"/>
    <col min="4400" max="4400" width="9" style="1193" customWidth="1"/>
    <col min="4401" max="4401" width="7" style="1193" customWidth="1"/>
    <col min="4402" max="4402" width="8.85546875" style="1193" customWidth="1"/>
    <col min="4403" max="4403" width="7" style="1193" customWidth="1"/>
    <col min="4404" max="4404" width="8.42578125" style="1193" customWidth="1"/>
    <col min="4405" max="4405" width="7" style="1193" customWidth="1"/>
    <col min="4406" max="4406" width="8.42578125" style="1193" customWidth="1"/>
    <col min="4407" max="4407" width="7" style="1193" customWidth="1"/>
    <col min="4408" max="4408" width="8.42578125" style="1193" customWidth="1"/>
    <col min="4409" max="4409" width="7" style="1193" customWidth="1"/>
    <col min="4410" max="4410" width="8.28515625" style="1193" customWidth="1"/>
    <col min="4411" max="4424" width="7" style="1193" customWidth="1"/>
    <col min="4425" max="4425" width="9" style="1193" customWidth="1"/>
    <col min="4426" max="4426" width="7" style="1193" customWidth="1"/>
    <col min="4427" max="4427" width="9.28515625" style="1193" customWidth="1"/>
    <col min="4428" max="4428" width="7" style="1193" customWidth="1"/>
    <col min="4429" max="4429" width="10.140625" style="1193" customWidth="1"/>
    <col min="4430" max="4430" width="7" style="1193" customWidth="1"/>
    <col min="4431" max="4431" width="10" style="1193" customWidth="1"/>
    <col min="4432" max="4432" width="7" style="1193" customWidth="1"/>
    <col min="4433" max="4433" width="8.85546875" style="1193" customWidth="1"/>
    <col min="4434" max="4434" width="7" style="1193" customWidth="1"/>
    <col min="4435" max="4435" width="9" style="1193" customWidth="1"/>
    <col min="4436" max="4436" width="7" style="1193" customWidth="1"/>
    <col min="4437" max="4437" width="9.5703125" style="1193" customWidth="1"/>
    <col min="4438" max="4438" width="7" style="1193" customWidth="1"/>
    <col min="4439" max="4439" width="9" style="1193" customWidth="1"/>
    <col min="4440" max="4449" width="7" style="1193" customWidth="1"/>
    <col min="4450" max="4453" width="11.140625" style="1193" customWidth="1"/>
    <col min="4454" max="4454" width="11.42578125" style="1193" customWidth="1"/>
    <col min="4455" max="4455" width="11.85546875" style="1193" customWidth="1"/>
    <col min="4456" max="4463" width="11.140625" style="1193" customWidth="1"/>
    <col min="4464" max="4469" width="7" style="1193" customWidth="1"/>
    <col min="4470" max="4470" width="10" style="1193" customWidth="1"/>
    <col min="4471" max="4471" width="7" style="1193" customWidth="1"/>
    <col min="4472" max="4472" width="8.42578125" style="1193" customWidth="1"/>
    <col min="4473" max="4473" width="7" style="1193" customWidth="1"/>
    <col min="4474" max="4474" width="8.42578125" style="1193" customWidth="1"/>
    <col min="4475" max="4475" width="7" style="1193" customWidth="1"/>
    <col min="4476" max="4476" width="9" style="1193" customWidth="1"/>
    <col min="4477" max="4477" width="7" style="1193" customWidth="1"/>
    <col min="4478" max="4478" width="9.5703125" style="1193" customWidth="1"/>
    <col min="4479" max="4479" width="7" style="1193" customWidth="1"/>
    <col min="4480" max="4491" width="9.140625" style="1193" customWidth="1"/>
    <col min="4492" max="4492" width="9.28515625" style="1193" bestFit="1" customWidth="1"/>
    <col min="4493" max="4608" width="9.140625" style="1193"/>
    <col min="4609" max="4609" width="5.28515625" style="1193" customWidth="1"/>
    <col min="4610" max="4610" width="48" style="1193" customWidth="1"/>
    <col min="4611" max="4611" width="9.5703125" style="1193" customWidth="1"/>
    <col min="4612" max="4612" width="6" style="1193" customWidth="1"/>
    <col min="4613" max="4613" width="7" style="1193" customWidth="1"/>
    <col min="4614" max="4614" width="9.7109375" style="1193" customWidth="1"/>
    <col min="4615" max="4615" width="7" style="1193" customWidth="1"/>
    <col min="4616" max="4616" width="9.28515625" style="1193" customWidth="1"/>
    <col min="4617" max="4617" width="7" style="1193" customWidth="1"/>
    <col min="4618" max="4618" width="9.85546875" style="1193" customWidth="1"/>
    <col min="4619" max="4619" width="7" style="1193" customWidth="1"/>
    <col min="4620" max="4620" width="9.85546875" style="1193" customWidth="1"/>
    <col min="4621" max="4621" width="7" style="1193" customWidth="1"/>
    <col min="4622" max="4622" width="10.5703125" style="1193" customWidth="1"/>
    <col min="4623" max="4631" width="7" style="1193" customWidth="1"/>
    <col min="4632" max="4636" width="7.7109375" style="1193" customWidth="1"/>
    <col min="4637" max="4649" width="7" style="1193" customWidth="1"/>
    <col min="4650" max="4650" width="9.5703125" style="1193" customWidth="1"/>
    <col min="4651" max="4651" width="7" style="1193" customWidth="1"/>
    <col min="4652" max="4652" width="9.140625" style="1193" customWidth="1"/>
    <col min="4653" max="4653" width="7" style="1193" customWidth="1"/>
    <col min="4654" max="4654" width="8.85546875" style="1193" customWidth="1"/>
    <col min="4655" max="4655" width="7" style="1193" customWidth="1"/>
    <col min="4656" max="4656" width="9" style="1193" customWidth="1"/>
    <col min="4657" max="4657" width="7" style="1193" customWidth="1"/>
    <col min="4658" max="4658" width="8.85546875" style="1193" customWidth="1"/>
    <col min="4659" max="4659" width="7" style="1193" customWidth="1"/>
    <col min="4660" max="4660" width="8.42578125" style="1193" customWidth="1"/>
    <col min="4661" max="4661" width="7" style="1193" customWidth="1"/>
    <col min="4662" max="4662" width="8.42578125" style="1193" customWidth="1"/>
    <col min="4663" max="4663" width="7" style="1193" customWidth="1"/>
    <col min="4664" max="4664" width="8.42578125" style="1193" customWidth="1"/>
    <col min="4665" max="4665" width="7" style="1193" customWidth="1"/>
    <col min="4666" max="4666" width="8.28515625" style="1193" customWidth="1"/>
    <col min="4667" max="4680" width="7" style="1193" customWidth="1"/>
    <col min="4681" max="4681" width="9" style="1193" customWidth="1"/>
    <col min="4682" max="4682" width="7" style="1193" customWidth="1"/>
    <col min="4683" max="4683" width="9.28515625" style="1193" customWidth="1"/>
    <col min="4684" max="4684" width="7" style="1193" customWidth="1"/>
    <col min="4685" max="4685" width="10.140625" style="1193" customWidth="1"/>
    <col min="4686" max="4686" width="7" style="1193" customWidth="1"/>
    <col min="4687" max="4687" width="10" style="1193" customWidth="1"/>
    <col min="4688" max="4688" width="7" style="1193" customWidth="1"/>
    <col min="4689" max="4689" width="8.85546875" style="1193" customWidth="1"/>
    <col min="4690" max="4690" width="7" style="1193" customWidth="1"/>
    <col min="4691" max="4691" width="9" style="1193" customWidth="1"/>
    <col min="4692" max="4692" width="7" style="1193" customWidth="1"/>
    <col min="4693" max="4693" width="9.5703125" style="1193" customWidth="1"/>
    <col min="4694" max="4694" width="7" style="1193" customWidth="1"/>
    <col min="4695" max="4695" width="9" style="1193" customWidth="1"/>
    <col min="4696" max="4705" width="7" style="1193" customWidth="1"/>
    <col min="4706" max="4709" width="11.140625" style="1193" customWidth="1"/>
    <col min="4710" max="4710" width="11.42578125" style="1193" customWidth="1"/>
    <col min="4711" max="4711" width="11.85546875" style="1193" customWidth="1"/>
    <col min="4712" max="4719" width="11.140625" style="1193" customWidth="1"/>
    <col min="4720" max="4725" width="7" style="1193" customWidth="1"/>
    <col min="4726" max="4726" width="10" style="1193" customWidth="1"/>
    <col min="4727" max="4727" width="7" style="1193" customWidth="1"/>
    <col min="4728" max="4728" width="8.42578125" style="1193" customWidth="1"/>
    <col min="4729" max="4729" width="7" style="1193" customWidth="1"/>
    <col min="4730" max="4730" width="8.42578125" style="1193" customWidth="1"/>
    <col min="4731" max="4731" width="7" style="1193" customWidth="1"/>
    <col min="4732" max="4732" width="9" style="1193" customWidth="1"/>
    <col min="4733" max="4733" width="7" style="1193" customWidth="1"/>
    <col min="4734" max="4734" width="9.5703125" style="1193" customWidth="1"/>
    <col min="4735" max="4735" width="7" style="1193" customWidth="1"/>
    <col min="4736" max="4747" width="9.140625" style="1193" customWidth="1"/>
    <col min="4748" max="4748" width="9.28515625" style="1193" bestFit="1" customWidth="1"/>
    <col min="4749" max="4864" width="9.140625" style="1193"/>
    <col min="4865" max="4865" width="5.28515625" style="1193" customWidth="1"/>
    <col min="4866" max="4866" width="48" style="1193" customWidth="1"/>
    <col min="4867" max="4867" width="9.5703125" style="1193" customWidth="1"/>
    <col min="4868" max="4868" width="6" style="1193" customWidth="1"/>
    <col min="4869" max="4869" width="7" style="1193" customWidth="1"/>
    <col min="4870" max="4870" width="9.7109375" style="1193" customWidth="1"/>
    <col min="4871" max="4871" width="7" style="1193" customWidth="1"/>
    <col min="4872" max="4872" width="9.28515625" style="1193" customWidth="1"/>
    <col min="4873" max="4873" width="7" style="1193" customWidth="1"/>
    <col min="4874" max="4874" width="9.85546875" style="1193" customWidth="1"/>
    <col min="4875" max="4875" width="7" style="1193" customWidth="1"/>
    <col min="4876" max="4876" width="9.85546875" style="1193" customWidth="1"/>
    <col min="4877" max="4877" width="7" style="1193" customWidth="1"/>
    <col min="4878" max="4878" width="10.5703125" style="1193" customWidth="1"/>
    <col min="4879" max="4887" width="7" style="1193" customWidth="1"/>
    <col min="4888" max="4892" width="7.7109375" style="1193" customWidth="1"/>
    <col min="4893" max="4905" width="7" style="1193" customWidth="1"/>
    <col min="4906" max="4906" width="9.5703125" style="1193" customWidth="1"/>
    <col min="4907" max="4907" width="7" style="1193" customWidth="1"/>
    <col min="4908" max="4908" width="9.140625" style="1193" customWidth="1"/>
    <col min="4909" max="4909" width="7" style="1193" customWidth="1"/>
    <col min="4910" max="4910" width="8.85546875" style="1193" customWidth="1"/>
    <col min="4911" max="4911" width="7" style="1193" customWidth="1"/>
    <col min="4912" max="4912" width="9" style="1193" customWidth="1"/>
    <col min="4913" max="4913" width="7" style="1193" customWidth="1"/>
    <col min="4914" max="4914" width="8.85546875" style="1193" customWidth="1"/>
    <col min="4915" max="4915" width="7" style="1193" customWidth="1"/>
    <col min="4916" max="4916" width="8.42578125" style="1193" customWidth="1"/>
    <col min="4917" max="4917" width="7" style="1193" customWidth="1"/>
    <col min="4918" max="4918" width="8.42578125" style="1193" customWidth="1"/>
    <col min="4919" max="4919" width="7" style="1193" customWidth="1"/>
    <col min="4920" max="4920" width="8.42578125" style="1193" customWidth="1"/>
    <col min="4921" max="4921" width="7" style="1193" customWidth="1"/>
    <col min="4922" max="4922" width="8.28515625" style="1193" customWidth="1"/>
    <col min="4923" max="4936" width="7" style="1193" customWidth="1"/>
    <col min="4937" max="4937" width="9" style="1193" customWidth="1"/>
    <col min="4938" max="4938" width="7" style="1193" customWidth="1"/>
    <col min="4939" max="4939" width="9.28515625" style="1193" customWidth="1"/>
    <col min="4940" max="4940" width="7" style="1193" customWidth="1"/>
    <col min="4941" max="4941" width="10.140625" style="1193" customWidth="1"/>
    <col min="4942" max="4942" width="7" style="1193" customWidth="1"/>
    <col min="4943" max="4943" width="10" style="1193" customWidth="1"/>
    <col min="4944" max="4944" width="7" style="1193" customWidth="1"/>
    <col min="4945" max="4945" width="8.85546875" style="1193" customWidth="1"/>
    <col min="4946" max="4946" width="7" style="1193" customWidth="1"/>
    <col min="4947" max="4947" width="9" style="1193" customWidth="1"/>
    <col min="4948" max="4948" width="7" style="1193" customWidth="1"/>
    <col min="4949" max="4949" width="9.5703125" style="1193" customWidth="1"/>
    <col min="4950" max="4950" width="7" style="1193" customWidth="1"/>
    <col min="4951" max="4951" width="9" style="1193" customWidth="1"/>
    <col min="4952" max="4961" width="7" style="1193" customWidth="1"/>
    <col min="4962" max="4965" width="11.140625" style="1193" customWidth="1"/>
    <col min="4966" max="4966" width="11.42578125" style="1193" customWidth="1"/>
    <col min="4967" max="4967" width="11.85546875" style="1193" customWidth="1"/>
    <col min="4968" max="4975" width="11.140625" style="1193" customWidth="1"/>
    <col min="4976" max="4981" width="7" style="1193" customWidth="1"/>
    <col min="4982" max="4982" width="10" style="1193" customWidth="1"/>
    <col min="4983" max="4983" width="7" style="1193" customWidth="1"/>
    <col min="4984" max="4984" width="8.42578125" style="1193" customWidth="1"/>
    <col min="4985" max="4985" width="7" style="1193" customWidth="1"/>
    <col min="4986" max="4986" width="8.42578125" style="1193" customWidth="1"/>
    <col min="4987" max="4987" width="7" style="1193" customWidth="1"/>
    <col min="4988" max="4988" width="9" style="1193" customWidth="1"/>
    <col min="4989" max="4989" width="7" style="1193" customWidth="1"/>
    <col min="4990" max="4990" width="9.5703125" style="1193" customWidth="1"/>
    <col min="4991" max="4991" width="7" style="1193" customWidth="1"/>
    <col min="4992" max="5003" width="9.140625" style="1193" customWidth="1"/>
    <col min="5004" max="5004" width="9.28515625" style="1193" bestFit="1" customWidth="1"/>
    <col min="5005" max="5120" width="9.140625" style="1193"/>
    <col min="5121" max="5121" width="5.28515625" style="1193" customWidth="1"/>
    <col min="5122" max="5122" width="48" style="1193" customWidth="1"/>
    <col min="5123" max="5123" width="9.5703125" style="1193" customWidth="1"/>
    <col min="5124" max="5124" width="6" style="1193" customWidth="1"/>
    <col min="5125" max="5125" width="7" style="1193" customWidth="1"/>
    <col min="5126" max="5126" width="9.7109375" style="1193" customWidth="1"/>
    <col min="5127" max="5127" width="7" style="1193" customWidth="1"/>
    <col min="5128" max="5128" width="9.28515625" style="1193" customWidth="1"/>
    <col min="5129" max="5129" width="7" style="1193" customWidth="1"/>
    <col min="5130" max="5130" width="9.85546875" style="1193" customWidth="1"/>
    <col min="5131" max="5131" width="7" style="1193" customWidth="1"/>
    <col min="5132" max="5132" width="9.85546875" style="1193" customWidth="1"/>
    <col min="5133" max="5133" width="7" style="1193" customWidth="1"/>
    <col min="5134" max="5134" width="10.5703125" style="1193" customWidth="1"/>
    <col min="5135" max="5143" width="7" style="1193" customWidth="1"/>
    <col min="5144" max="5148" width="7.7109375" style="1193" customWidth="1"/>
    <col min="5149" max="5161" width="7" style="1193" customWidth="1"/>
    <col min="5162" max="5162" width="9.5703125" style="1193" customWidth="1"/>
    <col min="5163" max="5163" width="7" style="1193" customWidth="1"/>
    <col min="5164" max="5164" width="9.140625" style="1193" customWidth="1"/>
    <col min="5165" max="5165" width="7" style="1193" customWidth="1"/>
    <col min="5166" max="5166" width="8.85546875" style="1193" customWidth="1"/>
    <col min="5167" max="5167" width="7" style="1193" customWidth="1"/>
    <col min="5168" max="5168" width="9" style="1193" customWidth="1"/>
    <col min="5169" max="5169" width="7" style="1193" customWidth="1"/>
    <col min="5170" max="5170" width="8.85546875" style="1193" customWidth="1"/>
    <col min="5171" max="5171" width="7" style="1193" customWidth="1"/>
    <col min="5172" max="5172" width="8.42578125" style="1193" customWidth="1"/>
    <col min="5173" max="5173" width="7" style="1193" customWidth="1"/>
    <col min="5174" max="5174" width="8.42578125" style="1193" customWidth="1"/>
    <col min="5175" max="5175" width="7" style="1193" customWidth="1"/>
    <col min="5176" max="5176" width="8.42578125" style="1193" customWidth="1"/>
    <col min="5177" max="5177" width="7" style="1193" customWidth="1"/>
    <col min="5178" max="5178" width="8.28515625" style="1193" customWidth="1"/>
    <col min="5179" max="5192" width="7" style="1193" customWidth="1"/>
    <col min="5193" max="5193" width="9" style="1193" customWidth="1"/>
    <col min="5194" max="5194" width="7" style="1193" customWidth="1"/>
    <col min="5195" max="5195" width="9.28515625" style="1193" customWidth="1"/>
    <col min="5196" max="5196" width="7" style="1193" customWidth="1"/>
    <col min="5197" max="5197" width="10.140625" style="1193" customWidth="1"/>
    <col min="5198" max="5198" width="7" style="1193" customWidth="1"/>
    <col min="5199" max="5199" width="10" style="1193" customWidth="1"/>
    <col min="5200" max="5200" width="7" style="1193" customWidth="1"/>
    <col min="5201" max="5201" width="8.85546875" style="1193" customWidth="1"/>
    <col min="5202" max="5202" width="7" style="1193" customWidth="1"/>
    <col min="5203" max="5203" width="9" style="1193" customWidth="1"/>
    <col min="5204" max="5204" width="7" style="1193" customWidth="1"/>
    <col min="5205" max="5205" width="9.5703125" style="1193" customWidth="1"/>
    <col min="5206" max="5206" width="7" style="1193" customWidth="1"/>
    <col min="5207" max="5207" width="9" style="1193" customWidth="1"/>
    <col min="5208" max="5217" width="7" style="1193" customWidth="1"/>
    <col min="5218" max="5221" width="11.140625" style="1193" customWidth="1"/>
    <col min="5222" max="5222" width="11.42578125" style="1193" customWidth="1"/>
    <col min="5223" max="5223" width="11.85546875" style="1193" customWidth="1"/>
    <col min="5224" max="5231" width="11.140625" style="1193" customWidth="1"/>
    <col min="5232" max="5237" width="7" style="1193" customWidth="1"/>
    <col min="5238" max="5238" width="10" style="1193" customWidth="1"/>
    <col min="5239" max="5239" width="7" style="1193" customWidth="1"/>
    <col min="5240" max="5240" width="8.42578125" style="1193" customWidth="1"/>
    <col min="5241" max="5241" width="7" style="1193" customWidth="1"/>
    <col min="5242" max="5242" width="8.42578125" style="1193" customWidth="1"/>
    <col min="5243" max="5243" width="7" style="1193" customWidth="1"/>
    <col min="5244" max="5244" width="9" style="1193" customWidth="1"/>
    <col min="5245" max="5245" width="7" style="1193" customWidth="1"/>
    <col min="5246" max="5246" width="9.5703125" style="1193" customWidth="1"/>
    <col min="5247" max="5247" width="7" style="1193" customWidth="1"/>
    <col min="5248" max="5259" width="9.140625" style="1193" customWidth="1"/>
    <col min="5260" max="5260" width="9.28515625" style="1193" bestFit="1" customWidth="1"/>
    <col min="5261" max="5376" width="9.140625" style="1193"/>
    <col min="5377" max="5377" width="5.28515625" style="1193" customWidth="1"/>
    <col min="5378" max="5378" width="48" style="1193" customWidth="1"/>
    <col min="5379" max="5379" width="9.5703125" style="1193" customWidth="1"/>
    <col min="5380" max="5380" width="6" style="1193" customWidth="1"/>
    <col min="5381" max="5381" width="7" style="1193" customWidth="1"/>
    <col min="5382" max="5382" width="9.7109375" style="1193" customWidth="1"/>
    <col min="5383" max="5383" width="7" style="1193" customWidth="1"/>
    <col min="5384" max="5384" width="9.28515625" style="1193" customWidth="1"/>
    <col min="5385" max="5385" width="7" style="1193" customWidth="1"/>
    <col min="5386" max="5386" width="9.85546875" style="1193" customWidth="1"/>
    <col min="5387" max="5387" width="7" style="1193" customWidth="1"/>
    <col min="5388" max="5388" width="9.85546875" style="1193" customWidth="1"/>
    <col min="5389" max="5389" width="7" style="1193" customWidth="1"/>
    <col min="5390" max="5390" width="10.5703125" style="1193" customWidth="1"/>
    <col min="5391" max="5399" width="7" style="1193" customWidth="1"/>
    <col min="5400" max="5404" width="7.7109375" style="1193" customWidth="1"/>
    <col min="5405" max="5417" width="7" style="1193" customWidth="1"/>
    <col min="5418" max="5418" width="9.5703125" style="1193" customWidth="1"/>
    <col min="5419" max="5419" width="7" style="1193" customWidth="1"/>
    <col min="5420" max="5420" width="9.140625" style="1193" customWidth="1"/>
    <col min="5421" max="5421" width="7" style="1193" customWidth="1"/>
    <col min="5422" max="5422" width="8.85546875" style="1193" customWidth="1"/>
    <col min="5423" max="5423" width="7" style="1193" customWidth="1"/>
    <col min="5424" max="5424" width="9" style="1193" customWidth="1"/>
    <col min="5425" max="5425" width="7" style="1193" customWidth="1"/>
    <col min="5426" max="5426" width="8.85546875" style="1193" customWidth="1"/>
    <col min="5427" max="5427" width="7" style="1193" customWidth="1"/>
    <col min="5428" max="5428" width="8.42578125" style="1193" customWidth="1"/>
    <col min="5429" max="5429" width="7" style="1193" customWidth="1"/>
    <col min="5430" max="5430" width="8.42578125" style="1193" customWidth="1"/>
    <col min="5431" max="5431" width="7" style="1193" customWidth="1"/>
    <col min="5432" max="5432" width="8.42578125" style="1193" customWidth="1"/>
    <col min="5433" max="5433" width="7" style="1193" customWidth="1"/>
    <col min="5434" max="5434" width="8.28515625" style="1193" customWidth="1"/>
    <col min="5435" max="5448" width="7" style="1193" customWidth="1"/>
    <col min="5449" max="5449" width="9" style="1193" customWidth="1"/>
    <col min="5450" max="5450" width="7" style="1193" customWidth="1"/>
    <col min="5451" max="5451" width="9.28515625" style="1193" customWidth="1"/>
    <col min="5452" max="5452" width="7" style="1193" customWidth="1"/>
    <col min="5453" max="5453" width="10.140625" style="1193" customWidth="1"/>
    <col min="5454" max="5454" width="7" style="1193" customWidth="1"/>
    <col min="5455" max="5455" width="10" style="1193" customWidth="1"/>
    <col min="5456" max="5456" width="7" style="1193" customWidth="1"/>
    <col min="5457" max="5457" width="8.85546875" style="1193" customWidth="1"/>
    <col min="5458" max="5458" width="7" style="1193" customWidth="1"/>
    <col min="5459" max="5459" width="9" style="1193" customWidth="1"/>
    <col min="5460" max="5460" width="7" style="1193" customWidth="1"/>
    <col min="5461" max="5461" width="9.5703125" style="1193" customWidth="1"/>
    <col min="5462" max="5462" width="7" style="1193" customWidth="1"/>
    <col min="5463" max="5463" width="9" style="1193" customWidth="1"/>
    <col min="5464" max="5473" width="7" style="1193" customWidth="1"/>
    <col min="5474" max="5477" width="11.140625" style="1193" customWidth="1"/>
    <col min="5478" max="5478" width="11.42578125" style="1193" customWidth="1"/>
    <col min="5479" max="5479" width="11.85546875" style="1193" customWidth="1"/>
    <col min="5480" max="5487" width="11.140625" style="1193" customWidth="1"/>
    <col min="5488" max="5493" width="7" style="1193" customWidth="1"/>
    <col min="5494" max="5494" width="10" style="1193" customWidth="1"/>
    <col min="5495" max="5495" width="7" style="1193" customWidth="1"/>
    <col min="5496" max="5496" width="8.42578125" style="1193" customWidth="1"/>
    <col min="5497" max="5497" width="7" style="1193" customWidth="1"/>
    <col min="5498" max="5498" width="8.42578125" style="1193" customWidth="1"/>
    <col min="5499" max="5499" width="7" style="1193" customWidth="1"/>
    <col min="5500" max="5500" width="9" style="1193" customWidth="1"/>
    <col min="5501" max="5501" width="7" style="1193" customWidth="1"/>
    <col min="5502" max="5502" width="9.5703125" style="1193" customWidth="1"/>
    <col min="5503" max="5503" width="7" style="1193" customWidth="1"/>
    <col min="5504" max="5515" width="9.140625" style="1193" customWidth="1"/>
    <col min="5516" max="5516" width="9.28515625" style="1193" bestFit="1" customWidth="1"/>
    <col min="5517" max="5632" width="9.140625" style="1193"/>
    <col min="5633" max="5633" width="5.28515625" style="1193" customWidth="1"/>
    <col min="5634" max="5634" width="48" style="1193" customWidth="1"/>
    <col min="5635" max="5635" width="9.5703125" style="1193" customWidth="1"/>
    <col min="5636" max="5636" width="6" style="1193" customWidth="1"/>
    <col min="5637" max="5637" width="7" style="1193" customWidth="1"/>
    <col min="5638" max="5638" width="9.7109375" style="1193" customWidth="1"/>
    <col min="5639" max="5639" width="7" style="1193" customWidth="1"/>
    <col min="5640" max="5640" width="9.28515625" style="1193" customWidth="1"/>
    <col min="5641" max="5641" width="7" style="1193" customWidth="1"/>
    <col min="5642" max="5642" width="9.85546875" style="1193" customWidth="1"/>
    <col min="5643" max="5643" width="7" style="1193" customWidth="1"/>
    <col min="5644" max="5644" width="9.85546875" style="1193" customWidth="1"/>
    <col min="5645" max="5645" width="7" style="1193" customWidth="1"/>
    <col min="5646" max="5646" width="10.5703125" style="1193" customWidth="1"/>
    <col min="5647" max="5655" width="7" style="1193" customWidth="1"/>
    <col min="5656" max="5660" width="7.7109375" style="1193" customWidth="1"/>
    <col min="5661" max="5673" width="7" style="1193" customWidth="1"/>
    <col min="5674" max="5674" width="9.5703125" style="1193" customWidth="1"/>
    <col min="5675" max="5675" width="7" style="1193" customWidth="1"/>
    <col min="5676" max="5676" width="9.140625" style="1193" customWidth="1"/>
    <col min="5677" max="5677" width="7" style="1193" customWidth="1"/>
    <col min="5678" max="5678" width="8.85546875" style="1193" customWidth="1"/>
    <col min="5679" max="5679" width="7" style="1193" customWidth="1"/>
    <col min="5680" max="5680" width="9" style="1193" customWidth="1"/>
    <col min="5681" max="5681" width="7" style="1193" customWidth="1"/>
    <col min="5682" max="5682" width="8.85546875" style="1193" customWidth="1"/>
    <col min="5683" max="5683" width="7" style="1193" customWidth="1"/>
    <col min="5684" max="5684" width="8.42578125" style="1193" customWidth="1"/>
    <col min="5685" max="5685" width="7" style="1193" customWidth="1"/>
    <col min="5686" max="5686" width="8.42578125" style="1193" customWidth="1"/>
    <col min="5687" max="5687" width="7" style="1193" customWidth="1"/>
    <col min="5688" max="5688" width="8.42578125" style="1193" customWidth="1"/>
    <col min="5689" max="5689" width="7" style="1193" customWidth="1"/>
    <col min="5690" max="5690" width="8.28515625" style="1193" customWidth="1"/>
    <col min="5691" max="5704" width="7" style="1193" customWidth="1"/>
    <col min="5705" max="5705" width="9" style="1193" customWidth="1"/>
    <col min="5706" max="5706" width="7" style="1193" customWidth="1"/>
    <col min="5707" max="5707" width="9.28515625" style="1193" customWidth="1"/>
    <col min="5708" max="5708" width="7" style="1193" customWidth="1"/>
    <col min="5709" max="5709" width="10.140625" style="1193" customWidth="1"/>
    <col min="5710" max="5710" width="7" style="1193" customWidth="1"/>
    <col min="5711" max="5711" width="10" style="1193" customWidth="1"/>
    <col min="5712" max="5712" width="7" style="1193" customWidth="1"/>
    <col min="5713" max="5713" width="8.85546875" style="1193" customWidth="1"/>
    <col min="5714" max="5714" width="7" style="1193" customWidth="1"/>
    <col min="5715" max="5715" width="9" style="1193" customWidth="1"/>
    <col min="5716" max="5716" width="7" style="1193" customWidth="1"/>
    <col min="5717" max="5717" width="9.5703125" style="1193" customWidth="1"/>
    <col min="5718" max="5718" width="7" style="1193" customWidth="1"/>
    <col min="5719" max="5719" width="9" style="1193" customWidth="1"/>
    <col min="5720" max="5729" width="7" style="1193" customWidth="1"/>
    <col min="5730" max="5733" width="11.140625" style="1193" customWidth="1"/>
    <col min="5734" max="5734" width="11.42578125" style="1193" customWidth="1"/>
    <col min="5735" max="5735" width="11.85546875" style="1193" customWidth="1"/>
    <col min="5736" max="5743" width="11.140625" style="1193" customWidth="1"/>
    <col min="5744" max="5749" width="7" style="1193" customWidth="1"/>
    <col min="5750" max="5750" width="10" style="1193" customWidth="1"/>
    <col min="5751" max="5751" width="7" style="1193" customWidth="1"/>
    <col min="5752" max="5752" width="8.42578125" style="1193" customWidth="1"/>
    <col min="5753" max="5753" width="7" style="1193" customWidth="1"/>
    <col min="5754" max="5754" width="8.42578125" style="1193" customWidth="1"/>
    <col min="5755" max="5755" width="7" style="1193" customWidth="1"/>
    <col min="5756" max="5756" width="9" style="1193" customWidth="1"/>
    <col min="5757" max="5757" width="7" style="1193" customWidth="1"/>
    <col min="5758" max="5758" width="9.5703125" style="1193" customWidth="1"/>
    <col min="5759" max="5759" width="7" style="1193" customWidth="1"/>
    <col min="5760" max="5771" width="9.140625" style="1193" customWidth="1"/>
    <col min="5772" max="5772" width="9.28515625" style="1193" bestFit="1" customWidth="1"/>
    <col min="5773" max="5888" width="9.140625" style="1193"/>
    <col min="5889" max="5889" width="5.28515625" style="1193" customWidth="1"/>
    <col min="5890" max="5890" width="48" style="1193" customWidth="1"/>
    <col min="5891" max="5891" width="9.5703125" style="1193" customWidth="1"/>
    <col min="5892" max="5892" width="6" style="1193" customWidth="1"/>
    <col min="5893" max="5893" width="7" style="1193" customWidth="1"/>
    <col min="5894" max="5894" width="9.7109375" style="1193" customWidth="1"/>
    <col min="5895" max="5895" width="7" style="1193" customWidth="1"/>
    <col min="5896" max="5896" width="9.28515625" style="1193" customWidth="1"/>
    <col min="5897" max="5897" width="7" style="1193" customWidth="1"/>
    <col min="5898" max="5898" width="9.85546875" style="1193" customWidth="1"/>
    <col min="5899" max="5899" width="7" style="1193" customWidth="1"/>
    <col min="5900" max="5900" width="9.85546875" style="1193" customWidth="1"/>
    <col min="5901" max="5901" width="7" style="1193" customWidth="1"/>
    <col min="5902" max="5902" width="10.5703125" style="1193" customWidth="1"/>
    <col min="5903" max="5911" width="7" style="1193" customWidth="1"/>
    <col min="5912" max="5916" width="7.7109375" style="1193" customWidth="1"/>
    <col min="5917" max="5929" width="7" style="1193" customWidth="1"/>
    <col min="5930" max="5930" width="9.5703125" style="1193" customWidth="1"/>
    <col min="5931" max="5931" width="7" style="1193" customWidth="1"/>
    <col min="5932" max="5932" width="9.140625" style="1193" customWidth="1"/>
    <col min="5933" max="5933" width="7" style="1193" customWidth="1"/>
    <col min="5934" max="5934" width="8.85546875" style="1193" customWidth="1"/>
    <col min="5935" max="5935" width="7" style="1193" customWidth="1"/>
    <col min="5936" max="5936" width="9" style="1193" customWidth="1"/>
    <col min="5937" max="5937" width="7" style="1193" customWidth="1"/>
    <col min="5938" max="5938" width="8.85546875" style="1193" customWidth="1"/>
    <col min="5939" max="5939" width="7" style="1193" customWidth="1"/>
    <col min="5940" max="5940" width="8.42578125" style="1193" customWidth="1"/>
    <col min="5941" max="5941" width="7" style="1193" customWidth="1"/>
    <col min="5942" max="5942" width="8.42578125" style="1193" customWidth="1"/>
    <col min="5943" max="5943" width="7" style="1193" customWidth="1"/>
    <col min="5944" max="5944" width="8.42578125" style="1193" customWidth="1"/>
    <col min="5945" max="5945" width="7" style="1193" customWidth="1"/>
    <col min="5946" max="5946" width="8.28515625" style="1193" customWidth="1"/>
    <col min="5947" max="5960" width="7" style="1193" customWidth="1"/>
    <col min="5961" max="5961" width="9" style="1193" customWidth="1"/>
    <col min="5962" max="5962" width="7" style="1193" customWidth="1"/>
    <col min="5963" max="5963" width="9.28515625" style="1193" customWidth="1"/>
    <col min="5964" max="5964" width="7" style="1193" customWidth="1"/>
    <col min="5965" max="5965" width="10.140625" style="1193" customWidth="1"/>
    <col min="5966" max="5966" width="7" style="1193" customWidth="1"/>
    <col min="5967" max="5967" width="10" style="1193" customWidth="1"/>
    <col min="5968" max="5968" width="7" style="1193" customWidth="1"/>
    <col min="5969" max="5969" width="8.85546875" style="1193" customWidth="1"/>
    <col min="5970" max="5970" width="7" style="1193" customWidth="1"/>
    <col min="5971" max="5971" width="9" style="1193" customWidth="1"/>
    <col min="5972" max="5972" width="7" style="1193" customWidth="1"/>
    <col min="5973" max="5973" width="9.5703125" style="1193" customWidth="1"/>
    <col min="5974" max="5974" width="7" style="1193" customWidth="1"/>
    <col min="5975" max="5975" width="9" style="1193" customWidth="1"/>
    <col min="5976" max="5985" width="7" style="1193" customWidth="1"/>
    <col min="5986" max="5989" width="11.140625" style="1193" customWidth="1"/>
    <col min="5990" max="5990" width="11.42578125" style="1193" customWidth="1"/>
    <col min="5991" max="5991" width="11.85546875" style="1193" customWidth="1"/>
    <col min="5992" max="5999" width="11.140625" style="1193" customWidth="1"/>
    <col min="6000" max="6005" width="7" style="1193" customWidth="1"/>
    <col min="6006" max="6006" width="10" style="1193" customWidth="1"/>
    <col min="6007" max="6007" width="7" style="1193" customWidth="1"/>
    <col min="6008" max="6008" width="8.42578125" style="1193" customWidth="1"/>
    <col min="6009" max="6009" width="7" style="1193" customWidth="1"/>
    <col min="6010" max="6010" width="8.42578125" style="1193" customWidth="1"/>
    <col min="6011" max="6011" width="7" style="1193" customWidth="1"/>
    <col min="6012" max="6012" width="9" style="1193" customWidth="1"/>
    <col min="6013" max="6013" width="7" style="1193" customWidth="1"/>
    <col min="6014" max="6014" width="9.5703125" style="1193" customWidth="1"/>
    <col min="6015" max="6015" width="7" style="1193" customWidth="1"/>
    <col min="6016" max="6027" width="9.140625" style="1193" customWidth="1"/>
    <col min="6028" max="6028" width="9.28515625" style="1193" bestFit="1" customWidth="1"/>
    <col min="6029" max="6144" width="9.140625" style="1193"/>
    <col min="6145" max="6145" width="5.28515625" style="1193" customWidth="1"/>
    <col min="6146" max="6146" width="48" style="1193" customWidth="1"/>
    <col min="6147" max="6147" width="9.5703125" style="1193" customWidth="1"/>
    <col min="6148" max="6148" width="6" style="1193" customWidth="1"/>
    <col min="6149" max="6149" width="7" style="1193" customWidth="1"/>
    <col min="6150" max="6150" width="9.7109375" style="1193" customWidth="1"/>
    <col min="6151" max="6151" width="7" style="1193" customWidth="1"/>
    <col min="6152" max="6152" width="9.28515625" style="1193" customWidth="1"/>
    <col min="6153" max="6153" width="7" style="1193" customWidth="1"/>
    <col min="6154" max="6154" width="9.85546875" style="1193" customWidth="1"/>
    <col min="6155" max="6155" width="7" style="1193" customWidth="1"/>
    <col min="6156" max="6156" width="9.85546875" style="1193" customWidth="1"/>
    <col min="6157" max="6157" width="7" style="1193" customWidth="1"/>
    <col min="6158" max="6158" width="10.5703125" style="1193" customWidth="1"/>
    <col min="6159" max="6167" width="7" style="1193" customWidth="1"/>
    <col min="6168" max="6172" width="7.7109375" style="1193" customWidth="1"/>
    <col min="6173" max="6185" width="7" style="1193" customWidth="1"/>
    <col min="6186" max="6186" width="9.5703125" style="1193" customWidth="1"/>
    <col min="6187" max="6187" width="7" style="1193" customWidth="1"/>
    <col min="6188" max="6188" width="9.140625" style="1193" customWidth="1"/>
    <col min="6189" max="6189" width="7" style="1193" customWidth="1"/>
    <col min="6190" max="6190" width="8.85546875" style="1193" customWidth="1"/>
    <col min="6191" max="6191" width="7" style="1193" customWidth="1"/>
    <col min="6192" max="6192" width="9" style="1193" customWidth="1"/>
    <col min="6193" max="6193" width="7" style="1193" customWidth="1"/>
    <col min="6194" max="6194" width="8.85546875" style="1193" customWidth="1"/>
    <col min="6195" max="6195" width="7" style="1193" customWidth="1"/>
    <col min="6196" max="6196" width="8.42578125" style="1193" customWidth="1"/>
    <col min="6197" max="6197" width="7" style="1193" customWidth="1"/>
    <col min="6198" max="6198" width="8.42578125" style="1193" customWidth="1"/>
    <col min="6199" max="6199" width="7" style="1193" customWidth="1"/>
    <col min="6200" max="6200" width="8.42578125" style="1193" customWidth="1"/>
    <col min="6201" max="6201" width="7" style="1193" customWidth="1"/>
    <col min="6202" max="6202" width="8.28515625" style="1193" customWidth="1"/>
    <col min="6203" max="6216" width="7" style="1193" customWidth="1"/>
    <col min="6217" max="6217" width="9" style="1193" customWidth="1"/>
    <col min="6218" max="6218" width="7" style="1193" customWidth="1"/>
    <col min="6219" max="6219" width="9.28515625" style="1193" customWidth="1"/>
    <col min="6220" max="6220" width="7" style="1193" customWidth="1"/>
    <col min="6221" max="6221" width="10.140625" style="1193" customWidth="1"/>
    <col min="6222" max="6222" width="7" style="1193" customWidth="1"/>
    <col min="6223" max="6223" width="10" style="1193" customWidth="1"/>
    <col min="6224" max="6224" width="7" style="1193" customWidth="1"/>
    <col min="6225" max="6225" width="8.85546875" style="1193" customWidth="1"/>
    <col min="6226" max="6226" width="7" style="1193" customWidth="1"/>
    <col min="6227" max="6227" width="9" style="1193" customWidth="1"/>
    <col min="6228" max="6228" width="7" style="1193" customWidth="1"/>
    <col min="6229" max="6229" width="9.5703125" style="1193" customWidth="1"/>
    <col min="6230" max="6230" width="7" style="1193" customWidth="1"/>
    <col min="6231" max="6231" width="9" style="1193" customWidth="1"/>
    <col min="6232" max="6241" width="7" style="1193" customWidth="1"/>
    <col min="6242" max="6245" width="11.140625" style="1193" customWidth="1"/>
    <col min="6246" max="6246" width="11.42578125" style="1193" customWidth="1"/>
    <col min="6247" max="6247" width="11.85546875" style="1193" customWidth="1"/>
    <col min="6248" max="6255" width="11.140625" style="1193" customWidth="1"/>
    <col min="6256" max="6261" width="7" style="1193" customWidth="1"/>
    <col min="6262" max="6262" width="10" style="1193" customWidth="1"/>
    <col min="6263" max="6263" width="7" style="1193" customWidth="1"/>
    <col min="6264" max="6264" width="8.42578125" style="1193" customWidth="1"/>
    <col min="6265" max="6265" width="7" style="1193" customWidth="1"/>
    <col min="6266" max="6266" width="8.42578125" style="1193" customWidth="1"/>
    <col min="6267" max="6267" width="7" style="1193" customWidth="1"/>
    <col min="6268" max="6268" width="9" style="1193" customWidth="1"/>
    <col min="6269" max="6269" width="7" style="1193" customWidth="1"/>
    <col min="6270" max="6270" width="9.5703125" style="1193" customWidth="1"/>
    <col min="6271" max="6271" width="7" style="1193" customWidth="1"/>
    <col min="6272" max="6283" width="9.140625" style="1193" customWidth="1"/>
    <col min="6284" max="6284" width="9.28515625" style="1193" bestFit="1" customWidth="1"/>
    <col min="6285" max="6400" width="9.140625" style="1193"/>
    <col min="6401" max="6401" width="5.28515625" style="1193" customWidth="1"/>
    <col min="6402" max="6402" width="48" style="1193" customWidth="1"/>
    <col min="6403" max="6403" width="9.5703125" style="1193" customWidth="1"/>
    <col min="6404" max="6404" width="6" style="1193" customWidth="1"/>
    <col min="6405" max="6405" width="7" style="1193" customWidth="1"/>
    <col min="6406" max="6406" width="9.7109375" style="1193" customWidth="1"/>
    <col min="6407" max="6407" width="7" style="1193" customWidth="1"/>
    <col min="6408" max="6408" width="9.28515625" style="1193" customWidth="1"/>
    <col min="6409" max="6409" width="7" style="1193" customWidth="1"/>
    <col min="6410" max="6410" width="9.85546875" style="1193" customWidth="1"/>
    <col min="6411" max="6411" width="7" style="1193" customWidth="1"/>
    <col min="6412" max="6412" width="9.85546875" style="1193" customWidth="1"/>
    <col min="6413" max="6413" width="7" style="1193" customWidth="1"/>
    <col min="6414" max="6414" width="10.5703125" style="1193" customWidth="1"/>
    <col min="6415" max="6423" width="7" style="1193" customWidth="1"/>
    <col min="6424" max="6428" width="7.7109375" style="1193" customWidth="1"/>
    <col min="6429" max="6441" width="7" style="1193" customWidth="1"/>
    <col min="6442" max="6442" width="9.5703125" style="1193" customWidth="1"/>
    <col min="6443" max="6443" width="7" style="1193" customWidth="1"/>
    <col min="6444" max="6444" width="9.140625" style="1193" customWidth="1"/>
    <col min="6445" max="6445" width="7" style="1193" customWidth="1"/>
    <col min="6446" max="6446" width="8.85546875" style="1193" customWidth="1"/>
    <col min="6447" max="6447" width="7" style="1193" customWidth="1"/>
    <col min="6448" max="6448" width="9" style="1193" customWidth="1"/>
    <col min="6449" max="6449" width="7" style="1193" customWidth="1"/>
    <col min="6450" max="6450" width="8.85546875" style="1193" customWidth="1"/>
    <col min="6451" max="6451" width="7" style="1193" customWidth="1"/>
    <col min="6452" max="6452" width="8.42578125" style="1193" customWidth="1"/>
    <col min="6453" max="6453" width="7" style="1193" customWidth="1"/>
    <col min="6454" max="6454" width="8.42578125" style="1193" customWidth="1"/>
    <col min="6455" max="6455" width="7" style="1193" customWidth="1"/>
    <col min="6456" max="6456" width="8.42578125" style="1193" customWidth="1"/>
    <col min="6457" max="6457" width="7" style="1193" customWidth="1"/>
    <col min="6458" max="6458" width="8.28515625" style="1193" customWidth="1"/>
    <col min="6459" max="6472" width="7" style="1193" customWidth="1"/>
    <col min="6473" max="6473" width="9" style="1193" customWidth="1"/>
    <col min="6474" max="6474" width="7" style="1193" customWidth="1"/>
    <col min="6475" max="6475" width="9.28515625" style="1193" customWidth="1"/>
    <col min="6476" max="6476" width="7" style="1193" customWidth="1"/>
    <col min="6477" max="6477" width="10.140625" style="1193" customWidth="1"/>
    <col min="6478" max="6478" width="7" style="1193" customWidth="1"/>
    <col min="6479" max="6479" width="10" style="1193" customWidth="1"/>
    <col min="6480" max="6480" width="7" style="1193" customWidth="1"/>
    <col min="6481" max="6481" width="8.85546875" style="1193" customWidth="1"/>
    <col min="6482" max="6482" width="7" style="1193" customWidth="1"/>
    <col min="6483" max="6483" width="9" style="1193" customWidth="1"/>
    <col min="6484" max="6484" width="7" style="1193" customWidth="1"/>
    <col min="6485" max="6485" width="9.5703125" style="1193" customWidth="1"/>
    <col min="6486" max="6486" width="7" style="1193" customWidth="1"/>
    <col min="6487" max="6487" width="9" style="1193" customWidth="1"/>
    <col min="6488" max="6497" width="7" style="1193" customWidth="1"/>
    <col min="6498" max="6501" width="11.140625" style="1193" customWidth="1"/>
    <col min="6502" max="6502" width="11.42578125" style="1193" customWidth="1"/>
    <col min="6503" max="6503" width="11.85546875" style="1193" customWidth="1"/>
    <col min="6504" max="6511" width="11.140625" style="1193" customWidth="1"/>
    <col min="6512" max="6517" width="7" style="1193" customWidth="1"/>
    <col min="6518" max="6518" width="10" style="1193" customWidth="1"/>
    <col min="6519" max="6519" width="7" style="1193" customWidth="1"/>
    <col min="6520" max="6520" width="8.42578125" style="1193" customWidth="1"/>
    <col min="6521" max="6521" width="7" style="1193" customWidth="1"/>
    <col min="6522" max="6522" width="8.42578125" style="1193" customWidth="1"/>
    <col min="6523" max="6523" width="7" style="1193" customWidth="1"/>
    <col min="6524" max="6524" width="9" style="1193" customWidth="1"/>
    <col min="6525" max="6525" width="7" style="1193" customWidth="1"/>
    <col min="6526" max="6526" width="9.5703125" style="1193" customWidth="1"/>
    <col min="6527" max="6527" width="7" style="1193" customWidth="1"/>
    <col min="6528" max="6539" width="9.140625" style="1193" customWidth="1"/>
    <col min="6540" max="6540" width="9.28515625" style="1193" bestFit="1" customWidth="1"/>
    <col min="6541" max="6656" width="9.140625" style="1193"/>
    <col min="6657" max="6657" width="5.28515625" style="1193" customWidth="1"/>
    <col min="6658" max="6658" width="48" style="1193" customWidth="1"/>
    <col min="6659" max="6659" width="9.5703125" style="1193" customWidth="1"/>
    <col min="6660" max="6660" width="6" style="1193" customWidth="1"/>
    <col min="6661" max="6661" width="7" style="1193" customWidth="1"/>
    <col min="6662" max="6662" width="9.7109375" style="1193" customWidth="1"/>
    <col min="6663" max="6663" width="7" style="1193" customWidth="1"/>
    <col min="6664" max="6664" width="9.28515625" style="1193" customWidth="1"/>
    <col min="6665" max="6665" width="7" style="1193" customWidth="1"/>
    <col min="6666" max="6666" width="9.85546875" style="1193" customWidth="1"/>
    <col min="6667" max="6667" width="7" style="1193" customWidth="1"/>
    <col min="6668" max="6668" width="9.85546875" style="1193" customWidth="1"/>
    <col min="6669" max="6669" width="7" style="1193" customWidth="1"/>
    <col min="6670" max="6670" width="10.5703125" style="1193" customWidth="1"/>
    <col min="6671" max="6679" width="7" style="1193" customWidth="1"/>
    <col min="6680" max="6684" width="7.7109375" style="1193" customWidth="1"/>
    <col min="6685" max="6697" width="7" style="1193" customWidth="1"/>
    <col min="6698" max="6698" width="9.5703125" style="1193" customWidth="1"/>
    <col min="6699" max="6699" width="7" style="1193" customWidth="1"/>
    <col min="6700" max="6700" width="9.140625" style="1193" customWidth="1"/>
    <col min="6701" max="6701" width="7" style="1193" customWidth="1"/>
    <col min="6702" max="6702" width="8.85546875" style="1193" customWidth="1"/>
    <col min="6703" max="6703" width="7" style="1193" customWidth="1"/>
    <col min="6704" max="6704" width="9" style="1193" customWidth="1"/>
    <col min="6705" max="6705" width="7" style="1193" customWidth="1"/>
    <col min="6706" max="6706" width="8.85546875" style="1193" customWidth="1"/>
    <col min="6707" max="6707" width="7" style="1193" customWidth="1"/>
    <col min="6708" max="6708" width="8.42578125" style="1193" customWidth="1"/>
    <col min="6709" max="6709" width="7" style="1193" customWidth="1"/>
    <col min="6710" max="6710" width="8.42578125" style="1193" customWidth="1"/>
    <col min="6711" max="6711" width="7" style="1193" customWidth="1"/>
    <col min="6712" max="6712" width="8.42578125" style="1193" customWidth="1"/>
    <col min="6713" max="6713" width="7" style="1193" customWidth="1"/>
    <col min="6714" max="6714" width="8.28515625" style="1193" customWidth="1"/>
    <col min="6715" max="6728" width="7" style="1193" customWidth="1"/>
    <col min="6729" max="6729" width="9" style="1193" customWidth="1"/>
    <col min="6730" max="6730" width="7" style="1193" customWidth="1"/>
    <col min="6731" max="6731" width="9.28515625" style="1193" customWidth="1"/>
    <col min="6732" max="6732" width="7" style="1193" customWidth="1"/>
    <col min="6733" max="6733" width="10.140625" style="1193" customWidth="1"/>
    <col min="6734" max="6734" width="7" style="1193" customWidth="1"/>
    <col min="6735" max="6735" width="10" style="1193" customWidth="1"/>
    <col min="6736" max="6736" width="7" style="1193" customWidth="1"/>
    <col min="6737" max="6737" width="8.85546875" style="1193" customWidth="1"/>
    <col min="6738" max="6738" width="7" style="1193" customWidth="1"/>
    <col min="6739" max="6739" width="9" style="1193" customWidth="1"/>
    <col min="6740" max="6740" width="7" style="1193" customWidth="1"/>
    <col min="6741" max="6741" width="9.5703125" style="1193" customWidth="1"/>
    <col min="6742" max="6742" width="7" style="1193" customWidth="1"/>
    <col min="6743" max="6743" width="9" style="1193" customWidth="1"/>
    <col min="6744" max="6753" width="7" style="1193" customWidth="1"/>
    <col min="6754" max="6757" width="11.140625" style="1193" customWidth="1"/>
    <col min="6758" max="6758" width="11.42578125" style="1193" customWidth="1"/>
    <col min="6759" max="6759" width="11.85546875" style="1193" customWidth="1"/>
    <col min="6760" max="6767" width="11.140625" style="1193" customWidth="1"/>
    <col min="6768" max="6773" width="7" style="1193" customWidth="1"/>
    <col min="6774" max="6774" width="10" style="1193" customWidth="1"/>
    <col min="6775" max="6775" width="7" style="1193" customWidth="1"/>
    <col min="6776" max="6776" width="8.42578125" style="1193" customWidth="1"/>
    <col min="6777" max="6777" width="7" style="1193" customWidth="1"/>
    <col min="6778" max="6778" width="8.42578125" style="1193" customWidth="1"/>
    <col min="6779" max="6779" width="7" style="1193" customWidth="1"/>
    <col min="6780" max="6780" width="9" style="1193" customWidth="1"/>
    <col min="6781" max="6781" width="7" style="1193" customWidth="1"/>
    <col min="6782" max="6782" width="9.5703125" style="1193" customWidth="1"/>
    <col min="6783" max="6783" width="7" style="1193" customWidth="1"/>
    <col min="6784" max="6795" width="9.140625" style="1193" customWidth="1"/>
    <col min="6796" max="6796" width="9.28515625" style="1193" bestFit="1" customWidth="1"/>
    <col min="6797" max="6912" width="9.140625" style="1193"/>
    <col min="6913" max="6913" width="5.28515625" style="1193" customWidth="1"/>
    <col min="6914" max="6914" width="48" style="1193" customWidth="1"/>
    <col min="6915" max="6915" width="9.5703125" style="1193" customWidth="1"/>
    <col min="6916" max="6916" width="6" style="1193" customWidth="1"/>
    <col min="6917" max="6917" width="7" style="1193" customWidth="1"/>
    <col min="6918" max="6918" width="9.7109375" style="1193" customWidth="1"/>
    <col min="6919" max="6919" width="7" style="1193" customWidth="1"/>
    <col min="6920" max="6920" width="9.28515625" style="1193" customWidth="1"/>
    <col min="6921" max="6921" width="7" style="1193" customWidth="1"/>
    <col min="6922" max="6922" width="9.85546875" style="1193" customWidth="1"/>
    <col min="6923" max="6923" width="7" style="1193" customWidth="1"/>
    <col min="6924" max="6924" width="9.85546875" style="1193" customWidth="1"/>
    <col min="6925" max="6925" width="7" style="1193" customWidth="1"/>
    <col min="6926" max="6926" width="10.5703125" style="1193" customWidth="1"/>
    <col min="6927" max="6935" width="7" style="1193" customWidth="1"/>
    <col min="6936" max="6940" width="7.7109375" style="1193" customWidth="1"/>
    <col min="6941" max="6953" width="7" style="1193" customWidth="1"/>
    <col min="6954" max="6954" width="9.5703125" style="1193" customWidth="1"/>
    <col min="6955" max="6955" width="7" style="1193" customWidth="1"/>
    <col min="6956" max="6956" width="9.140625" style="1193" customWidth="1"/>
    <col min="6957" max="6957" width="7" style="1193" customWidth="1"/>
    <col min="6958" max="6958" width="8.85546875" style="1193" customWidth="1"/>
    <col min="6959" max="6959" width="7" style="1193" customWidth="1"/>
    <col min="6960" max="6960" width="9" style="1193" customWidth="1"/>
    <col min="6961" max="6961" width="7" style="1193" customWidth="1"/>
    <col min="6962" max="6962" width="8.85546875" style="1193" customWidth="1"/>
    <col min="6963" max="6963" width="7" style="1193" customWidth="1"/>
    <col min="6964" max="6964" width="8.42578125" style="1193" customWidth="1"/>
    <col min="6965" max="6965" width="7" style="1193" customWidth="1"/>
    <col min="6966" max="6966" width="8.42578125" style="1193" customWidth="1"/>
    <col min="6967" max="6967" width="7" style="1193" customWidth="1"/>
    <col min="6968" max="6968" width="8.42578125" style="1193" customWidth="1"/>
    <col min="6969" max="6969" width="7" style="1193" customWidth="1"/>
    <col min="6970" max="6970" width="8.28515625" style="1193" customWidth="1"/>
    <col min="6971" max="6984" width="7" style="1193" customWidth="1"/>
    <col min="6985" max="6985" width="9" style="1193" customWidth="1"/>
    <col min="6986" max="6986" width="7" style="1193" customWidth="1"/>
    <col min="6987" max="6987" width="9.28515625" style="1193" customWidth="1"/>
    <col min="6988" max="6988" width="7" style="1193" customWidth="1"/>
    <col min="6989" max="6989" width="10.140625" style="1193" customWidth="1"/>
    <col min="6990" max="6990" width="7" style="1193" customWidth="1"/>
    <col min="6991" max="6991" width="10" style="1193" customWidth="1"/>
    <col min="6992" max="6992" width="7" style="1193" customWidth="1"/>
    <col min="6993" max="6993" width="8.85546875" style="1193" customWidth="1"/>
    <col min="6994" max="6994" width="7" style="1193" customWidth="1"/>
    <col min="6995" max="6995" width="9" style="1193" customWidth="1"/>
    <col min="6996" max="6996" width="7" style="1193" customWidth="1"/>
    <col min="6997" max="6997" width="9.5703125" style="1193" customWidth="1"/>
    <col min="6998" max="6998" width="7" style="1193" customWidth="1"/>
    <col min="6999" max="6999" width="9" style="1193" customWidth="1"/>
    <col min="7000" max="7009" width="7" style="1193" customWidth="1"/>
    <col min="7010" max="7013" width="11.140625" style="1193" customWidth="1"/>
    <col min="7014" max="7014" width="11.42578125" style="1193" customWidth="1"/>
    <col min="7015" max="7015" width="11.85546875" style="1193" customWidth="1"/>
    <col min="7016" max="7023" width="11.140625" style="1193" customWidth="1"/>
    <col min="7024" max="7029" width="7" style="1193" customWidth="1"/>
    <col min="7030" max="7030" width="10" style="1193" customWidth="1"/>
    <col min="7031" max="7031" width="7" style="1193" customWidth="1"/>
    <col min="7032" max="7032" width="8.42578125" style="1193" customWidth="1"/>
    <col min="7033" max="7033" width="7" style="1193" customWidth="1"/>
    <col min="7034" max="7034" width="8.42578125" style="1193" customWidth="1"/>
    <col min="7035" max="7035" width="7" style="1193" customWidth="1"/>
    <col min="7036" max="7036" width="9" style="1193" customWidth="1"/>
    <col min="7037" max="7037" width="7" style="1193" customWidth="1"/>
    <col min="7038" max="7038" width="9.5703125" style="1193" customWidth="1"/>
    <col min="7039" max="7039" width="7" style="1193" customWidth="1"/>
    <col min="7040" max="7051" width="9.140625" style="1193" customWidth="1"/>
    <col min="7052" max="7052" width="9.28515625" style="1193" bestFit="1" customWidth="1"/>
    <col min="7053" max="7168" width="9.140625" style="1193"/>
    <col min="7169" max="7169" width="5.28515625" style="1193" customWidth="1"/>
    <col min="7170" max="7170" width="48" style="1193" customWidth="1"/>
    <col min="7171" max="7171" width="9.5703125" style="1193" customWidth="1"/>
    <col min="7172" max="7172" width="6" style="1193" customWidth="1"/>
    <col min="7173" max="7173" width="7" style="1193" customWidth="1"/>
    <col min="7174" max="7174" width="9.7109375" style="1193" customWidth="1"/>
    <col min="7175" max="7175" width="7" style="1193" customWidth="1"/>
    <col min="7176" max="7176" width="9.28515625" style="1193" customWidth="1"/>
    <col min="7177" max="7177" width="7" style="1193" customWidth="1"/>
    <col min="7178" max="7178" width="9.85546875" style="1193" customWidth="1"/>
    <col min="7179" max="7179" width="7" style="1193" customWidth="1"/>
    <col min="7180" max="7180" width="9.85546875" style="1193" customWidth="1"/>
    <col min="7181" max="7181" width="7" style="1193" customWidth="1"/>
    <col min="7182" max="7182" width="10.5703125" style="1193" customWidth="1"/>
    <col min="7183" max="7191" width="7" style="1193" customWidth="1"/>
    <col min="7192" max="7196" width="7.7109375" style="1193" customWidth="1"/>
    <col min="7197" max="7209" width="7" style="1193" customWidth="1"/>
    <col min="7210" max="7210" width="9.5703125" style="1193" customWidth="1"/>
    <col min="7211" max="7211" width="7" style="1193" customWidth="1"/>
    <col min="7212" max="7212" width="9.140625" style="1193" customWidth="1"/>
    <col min="7213" max="7213" width="7" style="1193" customWidth="1"/>
    <col min="7214" max="7214" width="8.85546875" style="1193" customWidth="1"/>
    <col min="7215" max="7215" width="7" style="1193" customWidth="1"/>
    <col min="7216" max="7216" width="9" style="1193" customWidth="1"/>
    <col min="7217" max="7217" width="7" style="1193" customWidth="1"/>
    <col min="7218" max="7218" width="8.85546875" style="1193" customWidth="1"/>
    <col min="7219" max="7219" width="7" style="1193" customWidth="1"/>
    <col min="7220" max="7220" width="8.42578125" style="1193" customWidth="1"/>
    <col min="7221" max="7221" width="7" style="1193" customWidth="1"/>
    <col min="7222" max="7222" width="8.42578125" style="1193" customWidth="1"/>
    <col min="7223" max="7223" width="7" style="1193" customWidth="1"/>
    <col min="7224" max="7224" width="8.42578125" style="1193" customWidth="1"/>
    <col min="7225" max="7225" width="7" style="1193" customWidth="1"/>
    <col min="7226" max="7226" width="8.28515625" style="1193" customWidth="1"/>
    <col min="7227" max="7240" width="7" style="1193" customWidth="1"/>
    <col min="7241" max="7241" width="9" style="1193" customWidth="1"/>
    <col min="7242" max="7242" width="7" style="1193" customWidth="1"/>
    <col min="7243" max="7243" width="9.28515625" style="1193" customWidth="1"/>
    <col min="7244" max="7244" width="7" style="1193" customWidth="1"/>
    <col min="7245" max="7245" width="10.140625" style="1193" customWidth="1"/>
    <col min="7246" max="7246" width="7" style="1193" customWidth="1"/>
    <col min="7247" max="7247" width="10" style="1193" customWidth="1"/>
    <col min="7248" max="7248" width="7" style="1193" customWidth="1"/>
    <col min="7249" max="7249" width="8.85546875" style="1193" customWidth="1"/>
    <col min="7250" max="7250" width="7" style="1193" customWidth="1"/>
    <col min="7251" max="7251" width="9" style="1193" customWidth="1"/>
    <col min="7252" max="7252" width="7" style="1193" customWidth="1"/>
    <col min="7253" max="7253" width="9.5703125" style="1193" customWidth="1"/>
    <col min="7254" max="7254" width="7" style="1193" customWidth="1"/>
    <col min="7255" max="7255" width="9" style="1193" customWidth="1"/>
    <col min="7256" max="7265" width="7" style="1193" customWidth="1"/>
    <col min="7266" max="7269" width="11.140625" style="1193" customWidth="1"/>
    <col min="7270" max="7270" width="11.42578125" style="1193" customWidth="1"/>
    <col min="7271" max="7271" width="11.85546875" style="1193" customWidth="1"/>
    <col min="7272" max="7279" width="11.140625" style="1193" customWidth="1"/>
    <col min="7280" max="7285" width="7" style="1193" customWidth="1"/>
    <col min="7286" max="7286" width="10" style="1193" customWidth="1"/>
    <col min="7287" max="7287" width="7" style="1193" customWidth="1"/>
    <col min="7288" max="7288" width="8.42578125" style="1193" customWidth="1"/>
    <col min="7289" max="7289" width="7" style="1193" customWidth="1"/>
    <col min="7290" max="7290" width="8.42578125" style="1193" customWidth="1"/>
    <col min="7291" max="7291" width="7" style="1193" customWidth="1"/>
    <col min="7292" max="7292" width="9" style="1193" customWidth="1"/>
    <col min="7293" max="7293" width="7" style="1193" customWidth="1"/>
    <col min="7294" max="7294" width="9.5703125" style="1193" customWidth="1"/>
    <col min="7295" max="7295" width="7" style="1193" customWidth="1"/>
    <col min="7296" max="7307" width="9.140625" style="1193" customWidth="1"/>
    <col min="7308" max="7308" width="9.28515625" style="1193" bestFit="1" customWidth="1"/>
    <col min="7309" max="7424" width="9.140625" style="1193"/>
    <col min="7425" max="7425" width="5.28515625" style="1193" customWidth="1"/>
    <col min="7426" max="7426" width="48" style="1193" customWidth="1"/>
    <col min="7427" max="7427" width="9.5703125" style="1193" customWidth="1"/>
    <col min="7428" max="7428" width="6" style="1193" customWidth="1"/>
    <col min="7429" max="7429" width="7" style="1193" customWidth="1"/>
    <col min="7430" max="7430" width="9.7109375" style="1193" customWidth="1"/>
    <col min="7431" max="7431" width="7" style="1193" customWidth="1"/>
    <col min="7432" max="7432" width="9.28515625" style="1193" customWidth="1"/>
    <col min="7433" max="7433" width="7" style="1193" customWidth="1"/>
    <col min="7434" max="7434" width="9.85546875" style="1193" customWidth="1"/>
    <col min="7435" max="7435" width="7" style="1193" customWidth="1"/>
    <col min="7436" max="7436" width="9.85546875" style="1193" customWidth="1"/>
    <col min="7437" max="7437" width="7" style="1193" customWidth="1"/>
    <col min="7438" max="7438" width="10.5703125" style="1193" customWidth="1"/>
    <col min="7439" max="7447" width="7" style="1193" customWidth="1"/>
    <col min="7448" max="7452" width="7.7109375" style="1193" customWidth="1"/>
    <col min="7453" max="7465" width="7" style="1193" customWidth="1"/>
    <col min="7466" max="7466" width="9.5703125" style="1193" customWidth="1"/>
    <col min="7467" max="7467" width="7" style="1193" customWidth="1"/>
    <col min="7468" max="7468" width="9.140625" style="1193" customWidth="1"/>
    <col min="7469" max="7469" width="7" style="1193" customWidth="1"/>
    <col min="7470" max="7470" width="8.85546875" style="1193" customWidth="1"/>
    <col min="7471" max="7471" width="7" style="1193" customWidth="1"/>
    <col min="7472" max="7472" width="9" style="1193" customWidth="1"/>
    <col min="7473" max="7473" width="7" style="1193" customWidth="1"/>
    <col min="7474" max="7474" width="8.85546875" style="1193" customWidth="1"/>
    <col min="7475" max="7475" width="7" style="1193" customWidth="1"/>
    <col min="7476" max="7476" width="8.42578125" style="1193" customWidth="1"/>
    <col min="7477" max="7477" width="7" style="1193" customWidth="1"/>
    <col min="7478" max="7478" width="8.42578125" style="1193" customWidth="1"/>
    <col min="7479" max="7479" width="7" style="1193" customWidth="1"/>
    <col min="7480" max="7480" width="8.42578125" style="1193" customWidth="1"/>
    <col min="7481" max="7481" width="7" style="1193" customWidth="1"/>
    <col min="7482" max="7482" width="8.28515625" style="1193" customWidth="1"/>
    <col min="7483" max="7496" width="7" style="1193" customWidth="1"/>
    <col min="7497" max="7497" width="9" style="1193" customWidth="1"/>
    <col min="7498" max="7498" width="7" style="1193" customWidth="1"/>
    <col min="7499" max="7499" width="9.28515625" style="1193" customWidth="1"/>
    <col min="7500" max="7500" width="7" style="1193" customWidth="1"/>
    <col min="7501" max="7501" width="10.140625" style="1193" customWidth="1"/>
    <col min="7502" max="7502" width="7" style="1193" customWidth="1"/>
    <col min="7503" max="7503" width="10" style="1193" customWidth="1"/>
    <col min="7504" max="7504" width="7" style="1193" customWidth="1"/>
    <col min="7505" max="7505" width="8.85546875" style="1193" customWidth="1"/>
    <col min="7506" max="7506" width="7" style="1193" customWidth="1"/>
    <col min="7507" max="7507" width="9" style="1193" customWidth="1"/>
    <col min="7508" max="7508" width="7" style="1193" customWidth="1"/>
    <col min="7509" max="7509" width="9.5703125" style="1193" customWidth="1"/>
    <col min="7510" max="7510" width="7" style="1193" customWidth="1"/>
    <col min="7511" max="7511" width="9" style="1193" customWidth="1"/>
    <col min="7512" max="7521" width="7" style="1193" customWidth="1"/>
    <col min="7522" max="7525" width="11.140625" style="1193" customWidth="1"/>
    <col min="7526" max="7526" width="11.42578125" style="1193" customWidth="1"/>
    <col min="7527" max="7527" width="11.85546875" style="1193" customWidth="1"/>
    <col min="7528" max="7535" width="11.140625" style="1193" customWidth="1"/>
    <col min="7536" max="7541" width="7" style="1193" customWidth="1"/>
    <col min="7542" max="7542" width="10" style="1193" customWidth="1"/>
    <col min="7543" max="7543" width="7" style="1193" customWidth="1"/>
    <col min="7544" max="7544" width="8.42578125" style="1193" customWidth="1"/>
    <col min="7545" max="7545" width="7" style="1193" customWidth="1"/>
    <col min="7546" max="7546" width="8.42578125" style="1193" customWidth="1"/>
    <col min="7547" max="7547" width="7" style="1193" customWidth="1"/>
    <col min="7548" max="7548" width="9" style="1193" customWidth="1"/>
    <col min="7549" max="7549" width="7" style="1193" customWidth="1"/>
    <col min="7550" max="7550" width="9.5703125" style="1193" customWidth="1"/>
    <col min="7551" max="7551" width="7" style="1193" customWidth="1"/>
    <col min="7552" max="7563" width="9.140625" style="1193" customWidth="1"/>
    <col min="7564" max="7564" width="9.28515625" style="1193" bestFit="1" customWidth="1"/>
    <col min="7565" max="7680" width="9.140625" style="1193"/>
    <col min="7681" max="7681" width="5.28515625" style="1193" customWidth="1"/>
    <col min="7682" max="7682" width="48" style="1193" customWidth="1"/>
    <col min="7683" max="7683" width="9.5703125" style="1193" customWidth="1"/>
    <col min="7684" max="7684" width="6" style="1193" customWidth="1"/>
    <col min="7685" max="7685" width="7" style="1193" customWidth="1"/>
    <col min="7686" max="7686" width="9.7109375" style="1193" customWidth="1"/>
    <col min="7687" max="7687" width="7" style="1193" customWidth="1"/>
    <col min="7688" max="7688" width="9.28515625" style="1193" customWidth="1"/>
    <col min="7689" max="7689" width="7" style="1193" customWidth="1"/>
    <col min="7690" max="7690" width="9.85546875" style="1193" customWidth="1"/>
    <col min="7691" max="7691" width="7" style="1193" customWidth="1"/>
    <col min="7692" max="7692" width="9.85546875" style="1193" customWidth="1"/>
    <col min="7693" max="7693" width="7" style="1193" customWidth="1"/>
    <col min="7694" max="7694" width="10.5703125" style="1193" customWidth="1"/>
    <col min="7695" max="7703" width="7" style="1193" customWidth="1"/>
    <col min="7704" max="7708" width="7.7109375" style="1193" customWidth="1"/>
    <col min="7709" max="7721" width="7" style="1193" customWidth="1"/>
    <col min="7722" max="7722" width="9.5703125" style="1193" customWidth="1"/>
    <col min="7723" max="7723" width="7" style="1193" customWidth="1"/>
    <col min="7724" max="7724" width="9.140625" style="1193" customWidth="1"/>
    <col min="7725" max="7725" width="7" style="1193" customWidth="1"/>
    <col min="7726" max="7726" width="8.85546875" style="1193" customWidth="1"/>
    <col min="7727" max="7727" width="7" style="1193" customWidth="1"/>
    <col min="7728" max="7728" width="9" style="1193" customWidth="1"/>
    <col min="7729" max="7729" width="7" style="1193" customWidth="1"/>
    <col min="7730" max="7730" width="8.85546875" style="1193" customWidth="1"/>
    <col min="7731" max="7731" width="7" style="1193" customWidth="1"/>
    <col min="7732" max="7732" width="8.42578125" style="1193" customWidth="1"/>
    <col min="7733" max="7733" width="7" style="1193" customWidth="1"/>
    <col min="7734" max="7734" width="8.42578125" style="1193" customWidth="1"/>
    <col min="7735" max="7735" width="7" style="1193" customWidth="1"/>
    <col min="7736" max="7736" width="8.42578125" style="1193" customWidth="1"/>
    <col min="7737" max="7737" width="7" style="1193" customWidth="1"/>
    <col min="7738" max="7738" width="8.28515625" style="1193" customWidth="1"/>
    <col min="7739" max="7752" width="7" style="1193" customWidth="1"/>
    <col min="7753" max="7753" width="9" style="1193" customWidth="1"/>
    <col min="7754" max="7754" width="7" style="1193" customWidth="1"/>
    <col min="7755" max="7755" width="9.28515625" style="1193" customWidth="1"/>
    <col min="7756" max="7756" width="7" style="1193" customWidth="1"/>
    <col min="7757" max="7757" width="10.140625" style="1193" customWidth="1"/>
    <col min="7758" max="7758" width="7" style="1193" customWidth="1"/>
    <col min="7759" max="7759" width="10" style="1193" customWidth="1"/>
    <col min="7760" max="7760" width="7" style="1193" customWidth="1"/>
    <col min="7761" max="7761" width="8.85546875" style="1193" customWidth="1"/>
    <col min="7762" max="7762" width="7" style="1193" customWidth="1"/>
    <col min="7763" max="7763" width="9" style="1193" customWidth="1"/>
    <col min="7764" max="7764" width="7" style="1193" customWidth="1"/>
    <col min="7765" max="7765" width="9.5703125" style="1193" customWidth="1"/>
    <col min="7766" max="7766" width="7" style="1193" customWidth="1"/>
    <col min="7767" max="7767" width="9" style="1193" customWidth="1"/>
    <col min="7768" max="7777" width="7" style="1193" customWidth="1"/>
    <col min="7778" max="7781" width="11.140625" style="1193" customWidth="1"/>
    <col min="7782" max="7782" width="11.42578125" style="1193" customWidth="1"/>
    <col min="7783" max="7783" width="11.85546875" style="1193" customWidth="1"/>
    <col min="7784" max="7791" width="11.140625" style="1193" customWidth="1"/>
    <col min="7792" max="7797" width="7" style="1193" customWidth="1"/>
    <col min="7798" max="7798" width="10" style="1193" customWidth="1"/>
    <col min="7799" max="7799" width="7" style="1193" customWidth="1"/>
    <col min="7800" max="7800" width="8.42578125" style="1193" customWidth="1"/>
    <col min="7801" max="7801" width="7" style="1193" customWidth="1"/>
    <col min="7802" max="7802" width="8.42578125" style="1193" customWidth="1"/>
    <col min="7803" max="7803" width="7" style="1193" customWidth="1"/>
    <col min="7804" max="7804" width="9" style="1193" customWidth="1"/>
    <col min="7805" max="7805" width="7" style="1193" customWidth="1"/>
    <col min="7806" max="7806" width="9.5703125" style="1193" customWidth="1"/>
    <col min="7807" max="7807" width="7" style="1193" customWidth="1"/>
    <col min="7808" max="7819" width="9.140625" style="1193" customWidth="1"/>
    <col min="7820" max="7820" width="9.28515625" style="1193" bestFit="1" customWidth="1"/>
    <col min="7821" max="7936" width="9.140625" style="1193"/>
    <col min="7937" max="7937" width="5.28515625" style="1193" customWidth="1"/>
    <col min="7938" max="7938" width="48" style="1193" customWidth="1"/>
    <col min="7939" max="7939" width="9.5703125" style="1193" customWidth="1"/>
    <col min="7940" max="7940" width="6" style="1193" customWidth="1"/>
    <col min="7941" max="7941" width="7" style="1193" customWidth="1"/>
    <col min="7942" max="7942" width="9.7109375" style="1193" customWidth="1"/>
    <col min="7943" max="7943" width="7" style="1193" customWidth="1"/>
    <col min="7944" max="7944" width="9.28515625" style="1193" customWidth="1"/>
    <col min="7945" max="7945" width="7" style="1193" customWidth="1"/>
    <col min="7946" max="7946" width="9.85546875" style="1193" customWidth="1"/>
    <col min="7947" max="7947" width="7" style="1193" customWidth="1"/>
    <col min="7948" max="7948" width="9.85546875" style="1193" customWidth="1"/>
    <col min="7949" max="7949" width="7" style="1193" customWidth="1"/>
    <col min="7950" max="7950" width="10.5703125" style="1193" customWidth="1"/>
    <col min="7951" max="7959" width="7" style="1193" customWidth="1"/>
    <col min="7960" max="7964" width="7.7109375" style="1193" customWidth="1"/>
    <col min="7965" max="7977" width="7" style="1193" customWidth="1"/>
    <col min="7978" max="7978" width="9.5703125" style="1193" customWidth="1"/>
    <col min="7979" max="7979" width="7" style="1193" customWidth="1"/>
    <col min="7980" max="7980" width="9.140625" style="1193" customWidth="1"/>
    <col min="7981" max="7981" width="7" style="1193" customWidth="1"/>
    <col min="7982" max="7982" width="8.85546875" style="1193" customWidth="1"/>
    <col min="7983" max="7983" width="7" style="1193" customWidth="1"/>
    <col min="7984" max="7984" width="9" style="1193" customWidth="1"/>
    <col min="7985" max="7985" width="7" style="1193" customWidth="1"/>
    <col min="7986" max="7986" width="8.85546875" style="1193" customWidth="1"/>
    <col min="7987" max="7987" width="7" style="1193" customWidth="1"/>
    <col min="7988" max="7988" width="8.42578125" style="1193" customWidth="1"/>
    <col min="7989" max="7989" width="7" style="1193" customWidth="1"/>
    <col min="7990" max="7990" width="8.42578125" style="1193" customWidth="1"/>
    <col min="7991" max="7991" width="7" style="1193" customWidth="1"/>
    <col min="7992" max="7992" width="8.42578125" style="1193" customWidth="1"/>
    <col min="7993" max="7993" width="7" style="1193" customWidth="1"/>
    <col min="7994" max="7994" width="8.28515625" style="1193" customWidth="1"/>
    <col min="7995" max="8008" width="7" style="1193" customWidth="1"/>
    <col min="8009" max="8009" width="9" style="1193" customWidth="1"/>
    <col min="8010" max="8010" width="7" style="1193" customWidth="1"/>
    <col min="8011" max="8011" width="9.28515625" style="1193" customWidth="1"/>
    <col min="8012" max="8012" width="7" style="1193" customWidth="1"/>
    <col min="8013" max="8013" width="10.140625" style="1193" customWidth="1"/>
    <col min="8014" max="8014" width="7" style="1193" customWidth="1"/>
    <col min="8015" max="8015" width="10" style="1193" customWidth="1"/>
    <col min="8016" max="8016" width="7" style="1193" customWidth="1"/>
    <col min="8017" max="8017" width="8.85546875" style="1193" customWidth="1"/>
    <col min="8018" max="8018" width="7" style="1193" customWidth="1"/>
    <col min="8019" max="8019" width="9" style="1193" customWidth="1"/>
    <col min="8020" max="8020" width="7" style="1193" customWidth="1"/>
    <col min="8021" max="8021" width="9.5703125" style="1193" customWidth="1"/>
    <col min="8022" max="8022" width="7" style="1193" customWidth="1"/>
    <col min="8023" max="8023" width="9" style="1193" customWidth="1"/>
    <col min="8024" max="8033" width="7" style="1193" customWidth="1"/>
    <col min="8034" max="8037" width="11.140625" style="1193" customWidth="1"/>
    <col min="8038" max="8038" width="11.42578125" style="1193" customWidth="1"/>
    <col min="8039" max="8039" width="11.85546875" style="1193" customWidth="1"/>
    <col min="8040" max="8047" width="11.140625" style="1193" customWidth="1"/>
    <col min="8048" max="8053" width="7" style="1193" customWidth="1"/>
    <col min="8054" max="8054" width="10" style="1193" customWidth="1"/>
    <col min="8055" max="8055" width="7" style="1193" customWidth="1"/>
    <col min="8056" max="8056" width="8.42578125" style="1193" customWidth="1"/>
    <col min="8057" max="8057" width="7" style="1193" customWidth="1"/>
    <col min="8058" max="8058" width="8.42578125" style="1193" customWidth="1"/>
    <col min="8059" max="8059" width="7" style="1193" customWidth="1"/>
    <col min="8060" max="8060" width="9" style="1193" customWidth="1"/>
    <col min="8061" max="8061" width="7" style="1193" customWidth="1"/>
    <col min="8062" max="8062" width="9.5703125" style="1193" customWidth="1"/>
    <col min="8063" max="8063" width="7" style="1193" customWidth="1"/>
    <col min="8064" max="8075" width="9.140625" style="1193" customWidth="1"/>
    <col min="8076" max="8076" width="9.28515625" style="1193" bestFit="1" customWidth="1"/>
    <col min="8077" max="8192" width="9.140625" style="1193"/>
    <col min="8193" max="8193" width="5.28515625" style="1193" customWidth="1"/>
    <col min="8194" max="8194" width="48" style="1193" customWidth="1"/>
    <col min="8195" max="8195" width="9.5703125" style="1193" customWidth="1"/>
    <col min="8196" max="8196" width="6" style="1193" customWidth="1"/>
    <col min="8197" max="8197" width="7" style="1193" customWidth="1"/>
    <col min="8198" max="8198" width="9.7109375" style="1193" customWidth="1"/>
    <col min="8199" max="8199" width="7" style="1193" customWidth="1"/>
    <col min="8200" max="8200" width="9.28515625" style="1193" customWidth="1"/>
    <col min="8201" max="8201" width="7" style="1193" customWidth="1"/>
    <col min="8202" max="8202" width="9.85546875" style="1193" customWidth="1"/>
    <col min="8203" max="8203" width="7" style="1193" customWidth="1"/>
    <col min="8204" max="8204" width="9.85546875" style="1193" customWidth="1"/>
    <col min="8205" max="8205" width="7" style="1193" customWidth="1"/>
    <col min="8206" max="8206" width="10.5703125" style="1193" customWidth="1"/>
    <col min="8207" max="8215" width="7" style="1193" customWidth="1"/>
    <col min="8216" max="8220" width="7.7109375" style="1193" customWidth="1"/>
    <col min="8221" max="8233" width="7" style="1193" customWidth="1"/>
    <col min="8234" max="8234" width="9.5703125" style="1193" customWidth="1"/>
    <col min="8235" max="8235" width="7" style="1193" customWidth="1"/>
    <col min="8236" max="8236" width="9.140625" style="1193" customWidth="1"/>
    <col min="8237" max="8237" width="7" style="1193" customWidth="1"/>
    <col min="8238" max="8238" width="8.85546875" style="1193" customWidth="1"/>
    <col min="8239" max="8239" width="7" style="1193" customWidth="1"/>
    <col min="8240" max="8240" width="9" style="1193" customWidth="1"/>
    <col min="8241" max="8241" width="7" style="1193" customWidth="1"/>
    <col min="8242" max="8242" width="8.85546875" style="1193" customWidth="1"/>
    <col min="8243" max="8243" width="7" style="1193" customWidth="1"/>
    <col min="8244" max="8244" width="8.42578125" style="1193" customWidth="1"/>
    <col min="8245" max="8245" width="7" style="1193" customWidth="1"/>
    <col min="8246" max="8246" width="8.42578125" style="1193" customWidth="1"/>
    <col min="8247" max="8247" width="7" style="1193" customWidth="1"/>
    <col min="8248" max="8248" width="8.42578125" style="1193" customWidth="1"/>
    <col min="8249" max="8249" width="7" style="1193" customWidth="1"/>
    <col min="8250" max="8250" width="8.28515625" style="1193" customWidth="1"/>
    <col min="8251" max="8264" width="7" style="1193" customWidth="1"/>
    <col min="8265" max="8265" width="9" style="1193" customWidth="1"/>
    <col min="8266" max="8266" width="7" style="1193" customWidth="1"/>
    <col min="8267" max="8267" width="9.28515625" style="1193" customWidth="1"/>
    <col min="8268" max="8268" width="7" style="1193" customWidth="1"/>
    <col min="8269" max="8269" width="10.140625" style="1193" customWidth="1"/>
    <col min="8270" max="8270" width="7" style="1193" customWidth="1"/>
    <col min="8271" max="8271" width="10" style="1193" customWidth="1"/>
    <col min="8272" max="8272" width="7" style="1193" customWidth="1"/>
    <col min="8273" max="8273" width="8.85546875" style="1193" customWidth="1"/>
    <col min="8274" max="8274" width="7" style="1193" customWidth="1"/>
    <col min="8275" max="8275" width="9" style="1193" customWidth="1"/>
    <col min="8276" max="8276" width="7" style="1193" customWidth="1"/>
    <col min="8277" max="8277" width="9.5703125" style="1193" customWidth="1"/>
    <col min="8278" max="8278" width="7" style="1193" customWidth="1"/>
    <col min="8279" max="8279" width="9" style="1193" customWidth="1"/>
    <col min="8280" max="8289" width="7" style="1193" customWidth="1"/>
    <col min="8290" max="8293" width="11.140625" style="1193" customWidth="1"/>
    <col min="8294" max="8294" width="11.42578125" style="1193" customWidth="1"/>
    <col min="8295" max="8295" width="11.85546875" style="1193" customWidth="1"/>
    <col min="8296" max="8303" width="11.140625" style="1193" customWidth="1"/>
    <col min="8304" max="8309" width="7" style="1193" customWidth="1"/>
    <col min="8310" max="8310" width="10" style="1193" customWidth="1"/>
    <col min="8311" max="8311" width="7" style="1193" customWidth="1"/>
    <col min="8312" max="8312" width="8.42578125" style="1193" customWidth="1"/>
    <col min="8313" max="8313" width="7" style="1193" customWidth="1"/>
    <col min="8314" max="8314" width="8.42578125" style="1193" customWidth="1"/>
    <col min="8315" max="8315" width="7" style="1193" customWidth="1"/>
    <col min="8316" max="8316" width="9" style="1193" customWidth="1"/>
    <col min="8317" max="8317" width="7" style="1193" customWidth="1"/>
    <col min="8318" max="8318" width="9.5703125" style="1193" customWidth="1"/>
    <col min="8319" max="8319" width="7" style="1193" customWidth="1"/>
    <col min="8320" max="8331" width="9.140625" style="1193" customWidth="1"/>
    <col min="8332" max="8332" width="9.28515625" style="1193" bestFit="1" customWidth="1"/>
    <col min="8333" max="8448" width="9.140625" style="1193"/>
    <col min="8449" max="8449" width="5.28515625" style="1193" customWidth="1"/>
    <col min="8450" max="8450" width="48" style="1193" customWidth="1"/>
    <col min="8451" max="8451" width="9.5703125" style="1193" customWidth="1"/>
    <col min="8452" max="8452" width="6" style="1193" customWidth="1"/>
    <col min="8453" max="8453" width="7" style="1193" customWidth="1"/>
    <col min="8454" max="8454" width="9.7109375" style="1193" customWidth="1"/>
    <col min="8455" max="8455" width="7" style="1193" customWidth="1"/>
    <col min="8456" max="8456" width="9.28515625" style="1193" customWidth="1"/>
    <col min="8457" max="8457" width="7" style="1193" customWidth="1"/>
    <col min="8458" max="8458" width="9.85546875" style="1193" customWidth="1"/>
    <col min="8459" max="8459" width="7" style="1193" customWidth="1"/>
    <col min="8460" max="8460" width="9.85546875" style="1193" customWidth="1"/>
    <col min="8461" max="8461" width="7" style="1193" customWidth="1"/>
    <col min="8462" max="8462" width="10.5703125" style="1193" customWidth="1"/>
    <col min="8463" max="8471" width="7" style="1193" customWidth="1"/>
    <col min="8472" max="8476" width="7.7109375" style="1193" customWidth="1"/>
    <col min="8477" max="8489" width="7" style="1193" customWidth="1"/>
    <col min="8490" max="8490" width="9.5703125" style="1193" customWidth="1"/>
    <col min="8491" max="8491" width="7" style="1193" customWidth="1"/>
    <col min="8492" max="8492" width="9.140625" style="1193" customWidth="1"/>
    <col min="8493" max="8493" width="7" style="1193" customWidth="1"/>
    <col min="8494" max="8494" width="8.85546875" style="1193" customWidth="1"/>
    <col min="8495" max="8495" width="7" style="1193" customWidth="1"/>
    <col min="8496" max="8496" width="9" style="1193" customWidth="1"/>
    <col min="8497" max="8497" width="7" style="1193" customWidth="1"/>
    <col min="8498" max="8498" width="8.85546875" style="1193" customWidth="1"/>
    <col min="8499" max="8499" width="7" style="1193" customWidth="1"/>
    <col min="8500" max="8500" width="8.42578125" style="1193" customWidth="1"/>
    <col min="8501" max="8501" width="7" style="1193" customWidth="1"/>
    <col min="8502" max="8502" width="8.42578125" style="1193" customWidth="1"/>
    <col min="8503" max="8503" width="7" style="1193" customWidth="1"/>
    <col min="8504" max="8504" width="8.42578125" style="1193" customWidth="1"/>
    <col min="8505" max="8505" width="7" style="1193" customWidth="1"/>
    <col min="8506" max="8506" width="8.28515625" style="1193" customWidth="1"/>
    <col min="8507" max="8520" width="7" style="1193" customWidth="1"/>
    <col min="8521" max="8521" width="9" style="1193" customWidth="1"/>
    <col min="8522" max="8522" width="7" style="1193" customWidth="1"/>
    <col min="8523" max="8523" width="9.28515625" style="1193" customWidth="1"/>
    <col min="8524" max="8524" width="7" style="1193" customWidth="1"/>
    <col min="8525" max="8525" width="10.140625" style="1193" customWidth="1"/>
    <col min="8526" max="8526" width="7" style="1193" customWidth="1"/>
    <col min="8527" max="8527" width="10" style="1193" customWidth="1"/>
    <col min="8528" max="8528" width="7" style="1193" customWidth="1"/>
    <col min="8529" max="8529" width="8.85546875" style="1193" customWidth="1"/>
    <col min="8530" max="8530" width="7" style="1193" customWidth="1"/>
    <col min="8531" max="8531" width="9" style="1193" customWidth="1"/>
    <col min="8532" max="8532" width="7" style="1193" customWidth="1"/>
    <col min="8533" max="8533" width="9.5703125" style="1193" customWidth="1"/>
    <col min="8534" max="8534" width="7" style="1193" customWidth="1"/>
    <col min="8535" max="8535" width="9" style="1193" customWidth="1"/>
    <col min="8536" max="8545" width="7" style="1193" customWidth="1"/>
    <col min="8546" max="8549" width="11.140625" style="1193" customWidth="1"/>
    <col min="8550" max="8550" width="11.42578125" style="1193" customWidth="1"/>
    <col min="8551" max="8551" width="11.85546875" style="1193" customWidth="1"/>
    <col min="8552" max="8559" width="11.140625" style="1193" customWidth="1"/>
    <col min="8560" max="8565" width="7" style="1193" customWidth="1"/>
    <col min="8566" max="8566" width="10" style="1193" customWidth="1"/>
    <col min="8567" max="8567" width="7" style="1193" customWidth="1"/>
    <col min="8568" max="8568" width="8.42578125" style="1193" customWidth="1"/>
    <col min="8569" max="8569" width="7" style="1193" customWidth="1"/>
    <col min="8570" max="8570" width="8.42578125" style="1193" customWidth="1"/>
    <col min="8571" max="8571" width="7" style="1193" customWidth="1"/>
    <col min="8572" max="8572" width="9" style="1193" customWidth="1"/>
    <col min="8573" max="8573" width="7" style="1193" customWidth="1"/>
    <col min="8574" max="8574" width="9.5703125" style="1193" customWidth="1"/>
    <col min="8575" max="8575" width="7" style="1193" customWidth="1"/>
    <col min="8576" max="8587" width="9.140625" style="1193" customWidth="1"/>
    <col min="8588" max="8588" width="9.28515625" style="1193" bestFit="1" customWidth="1"/>
    <col min="8589" max="8704" width="9.140625" style="1193"/>
    <col min="8705" max="8705" width="5.28515625" style="1193" customWidth="1"/>
    <col min="8706" max="8706" width="48" style="1193" customWidth="1"/>
    <col min="8707" max="8707" width="9.5703125" style="1193" customWidth="1"/>
    <col min="8708" max="8708" width="6" style="1193" customWidth="1"/>
    <col min="8709" max="8709" width="7" style="1193" customWidth="1"/>
    <col min="8710" max="8710" width="9.7109375" style="1193" customWidth="1"/>
    <col min="8711" max="8711" width="7" style="1193" customWidth="1"/>
    <col min="8712" max="8712" width="9.28515625" style="1193" customWidth="1"/>
    <col min="8713" max="8713" width="7" style="1193" customWidth="1"/>
    <col min="8714" max="8714" width="9.85546875" style="1193" customWidth="1"/>
    <col min="8715" max="8715" width="7" style="1193" customWidth="1"/>
    <col min="8716" max="8716" width="9.85546875" style="1193" customWidth="1"/>
    <col min="8717" max="8717" width="7" style="1193" customWidth="1"/>
    <col min="8718" max="8718" width="10.5703125" style="1193" customWidth="1"/>
    <col min="8719" max="8727" width="7" style="1193" customWidth="1"/>
    <col min="8728" max="8732" width="7.7109375" style="1193" customWidth="1"/>
    <col min="8733" max="8745" width="7" style="1193" customWidth="1"/>
    <col min="8746" max="8746" width="9.5703125" style="1193" customWidth="1"/>
    <col min="8747" max="8747" width="7" style="1193" customWidth="1"/>
    <col min="8748" max="8748" width="9.140625" style="1193" customWidth="1"/>
    <col min="8749" max="8749" width="7" style="1193" customWidth="1"/>
    <col min="8750" max="8750" width="8.85546875" style="1193" customWidth="1"/>
    <col min="8751" max="8751" width="7" style="1193" customWidth="1"/>
    <col min="8752" max="8752" width="9" style="1193" customWidth="1"/>
    <col min="8753" max="8753" width="7" style="1193" customWidth="1"/>
    <col min="8754" max="8754" width="8.85546875" style="1193" customWidth="1"/>
    <col min="8755" max="8755" width="7" style="1193" customWidth="1"/>
    <col min="8756" max="8756" width="8.42578125" style="1193" customWidth="1"/>
    <col min="8757" max="8757" width="7" style="1193" customWidth="1"/>
    <col min="8758" max="8758" width="8.42578125" style="1193" customWidth="1"/>
    <col min="8759" max="8759" width="7" style="1193" customWidth="1"/>
    <col min="8760" max="8760" width="8.42578125" style="1193" customWidth="1"/>
    <col min="8761" max="8761" width="7" style="1193" customWidth="1"/>
    <col min="8762" max="8762" width="8.28515625" style="1193" customWidth="1"/>
    <col min="8763" max="8776" width="7" style="1193" customWidth="1"/>
    <col min="8777" max="8777" width="9" style="1193" customWidth="1"/>
    <col min="8778" max="8778" width="7" style="1193" customWidth="1"/>
    <col min="8779" max="8779" width="9.28515625" style="1193" customWidth="1"/>
    <col min="8780" max="8780" width="7" style="1193" customWidth="1"/>
    <col min="8781" max="8781" width="10.140625" style="1193" customWidth="1"/>
    <col min="8782" max="8782" width="7" style="1193" customWidth="1"/>
    <col min="8783" max="8783" width="10" style="1193" customWidth="1"/>
    <col min="8784" max="8784" width="7" style="1193" customWidth="1"/>
    <col min="8785" max="8785" width="8.85546875" style="1193" customWidth="1"/>
    <col min="8786" max="8786" width="7" style="1193" customWidth="1"/>
    <col min="8787" max="8787" width="9" style="1193" customWidth="1"/>
    <col min="8788" max="8788" width="7" style="1193" customWidth="1"/>
    <col min="8789" max="8789" width="9.5703125" style="1193" customWidth="1"/>
    <col min="8790" max="8790" width="7" style="1193" customWidth="1"/>
    <col min="8791" max="8791" width="9" style="1193" customWidth="1"/>
    <col min="8792" max="8801" width="7" style="1193" customWidth="1"/>
    <col min="8802" max="8805" width="11.140625" style="1193" customWidth="1"/>
    <col min="8806" max="8806" width="11.42578125" style="1193" customWidth="1"/>
    <col min="8807" max="8807" width="11.85546875" style="1193" customWidth="1"/>
    <col min="8808" max="8815" width="11.140625" style="1193" customWidth="1"/>
    <col min="8816" max="8821" width="7" style="1193" customWidth="1"/>
    <col min="8822" max="8822" width="10" style="1193" customWidth="1"/>
    <col min="8823" max="8823" width="7" style="1193" customWidth="1"/>
    <col min="8824" max="8824" width="8.42578125" style="1193" customWidth="1"/>
    <col min="8825" max="8825" width="7" style="1193" customWidth="1"/>
    <col min="8826" max="8826" width="8.42578125" style="1193" customWidth="1"/>
    <col min="8827" max="8827" width="7" style="1193" customWidth="1"/>
    <col min="8828" max="8828" width="9" style="1193" customWidth="1"/>
    <col min="8829" max="8829" width="7" style="1193" customWidth="1"/>
    <col min="8830" max="8830" width="9.5703125" style="1193" customWidth="1"/>
    <col min="8831" max="8831" width="7" style="1193" customWidth="1"/>
    <col min="8832" max="8843" width="9.140625" style="1193" customWidth="1"/>
    <col min="8844" max="8844" width="9.28515625" style="1193" bestFit="1" customWidth="1"/>
    <col min="8845" max="8960" width="9.140625" style="1193"/>
    <col min="8961" max="8961" width="5.28515625" style="1193" customWidth="1"/>
    <col min="8962" max="8962" width="48" style="1193" customWidth="1"/>
    <col min="8963" max="8963" width="9.5703125" style="1193" customWidth="1"/>
    <col min="8964" max="8964" width="6" style="1193" customWidth="1"/>
    <col min="8965" max="8965" width="7" style="1193" customWidth="1"/>
    <col min="8966" max="8966" width="9.7109375" style="1193" customWidth="1"/>
    <col min="8967" max="8967" width="7" style="1193" customWidth="1"/>
    <col min="8968" max="8968" width="9.28515625" style="1193" customWidth="1"/>
    <col min="8969" max="8969" width="7" style="1193" customWidth="1"/>
    <col min="8970" max="8970" width="9.85546875" style="1193" customWidth="1"/>
    <col min="8971" max="8971" width="7" style="1193" customWidth="1"/>
    <col min="8972" max="8972" width="9.85546875" style="1193" customWidth="1"/>
    <col min="8973" max="8973" width="7" style="1193" customWidth="1"/>
    <col min="8974" max="8974" width="10.5703125" style="1193" customWidth="1"/>
    <col min="8975" max="8983" width="7" style="1193" customWidth="1"/>
    <col min="8984" max="8988" width="7.7109375" style="1193" customWidth="1"/>
    <col min="8989" max="9001" width="7" style="1193" customWidth="1"/>
    <col min="9002" max="9002" width="9.5703125" style="1193" customWidth="1"/>
    <col min="9003" max="9003" width="7" style="1193" customWidth="1"/>
    <col min="9004" max="9004" width="9.140625" style="1193" customWidth="1"/>
    <col min="9005" max="9005" width="7" style="1193" customWidth="1"/>
    <col min="9006" max="9006" width="8.85546875" style="1193" customWidth="1"/>
    <col min="9007" max="9007" width="7" style="1193" customWidth="1"/>
    <col min="9008" max="9008" width="9" style="1193" customWidth="1"/>
    <col min="9009" max="9009" width="7" style="1193" customWidth="1"/>
    <col min="9010" max="9010" width="8.85546875" style="1193" customWidth="1"/>
    <col min="9011" max="9011" width="7" style="1193" customWidth="1"/>
    <col min="9012" max="9012" width="8.42578125" style="1193" customWidth="1"/>
    <col min="9013" max="9013" width="7" style="1193" customWidth="1"/>
    <col min="9014" max="9014" width="8.42578125" style="1193" customWidth="1"/>
    <col min="9015" max="9015" width="7" style="1193" customWidth="1"/>
    <col min="9016" max="9016" width="8.42578125" style="1193" customWidth="1"/>
    <col min="9017" max="9017" width="7" style="1193" customWidth="1"/>
    <col min="9018" max="9018" width="8.28515625" style="1193" customWidth="1"/>
    <col min="9019" max="9032" width="7" style="1193" customWidth="1"/>
    <col min="9033" max="9033" width="9" style="1193" customWidth="1"/>
    <col min="9034" max="9034" width="7" style="1193" customWidth="1"/>
    <col min="9035" max="9035" width="9.28515625" style="1193" customWidth="1"/>
    <col min="9036" max="9036" width="7" style="1193" customWidth="1"/>
    <col min="9037" max="9037" width="10.140625" style="1193" customWidth="1"/>
    <col min="9038" max="9038" width="7" style="1193" customWidth="1"/>
    <col min="9039" max="9039" width="10" style="1193" customWidth="1"/>
    <col min="9040" max="9040" width="7" style="1193" customWidth="1"/>
    <col min="9041" max="9041" width="8.85546875" style="1193" customWidth="1"/>
    <col min="9042" max="9042" width="7" style="1193" customWidth="1"/>
    <col min="9043" max="9043" width="9" style="1193" customWidth="1"/>
    <col min="9044" max="9044" width="7" style="1193" customWidth="1"/>
    <col min="9045" max="9045" width="9.5703125" style="1193" customWidth="1"/>
    <col min="9046" max="9046" width="7" style="1193" customWidth="1"/>
    <col min="9047" max="9047" width="9" style="1193" customWidth="1"/>
    <col min="9048" max="9057" width="7" style="1193" customWidth="1"/>
    <col min="9058" max="9061" width="11.140625" style="1193" customWidth="1"/>
    <col min="9062" max="9062" width="11.42578125" style="1193" customWidth="1"/>
    <col min="9063" max="9063" width="11.85546875" style="1193" customWidth="1"/>
    <col min="9064" max="9071" width="11.140625" style="1193" customWidth="1"/>
    <col min="9072" max="9077" width="7" style="1193" customWidth="1"/>
    <col min="9078" max="9078" width="10" style="1193" customWidth="1"/>
    <col min="9079" max="9079" width="7" style="1193" customWidth="1"/>
    <col min="9080" max="9080" width="8.42578125" style="1193" customWidth="1"/>
    <col min="9081" max="9081" width="7" style="1193" customWidth="1"/>
    <col min="9082" max="9082" width="8.42578125" style="1193" customWidth="1"/>
    <col min="9083" max="9083" width="7" style="1193" customWidth="1"/>
    <col min="9084" max="9084" width="9" style="1193" customWidth="1"/>
    <col min="9085" max="9085" width="7" style="1193" customWidth="1"/>
    <col min="9086" max="9086" width="9.5703125" style="1193" customWidth="1"/>
    <col min="9087" max="9087" width="7" style="1193" customWidth="1"/>
    <col min="9088" max="9099" width="9.140625" style="1193" customWidth="1"/>
    <col min="9100" max="9100" width="9.28515625" style="1193" bestFit="1" customWidth="1"/>
    <col min="9101" max="9216" width="9.140625" style="1193"/>
    <col min="9217" max="9217" width="5.28515625" style="1193" customWidth="1"/>
    <col min="9218" max="9218" width="48" style="1193" customWidth="1"/>
    <col min="9219" max="9219" width="9.5703125" style="1193" customWidth="1"/>
    <col min="9220" max="9220" width="6" style="1193" customWidth="1"/>
    <col min="9221" max="9221" width="7" style="1193" customWidth="1"/>
    <col min="9222" max="9222" width="9.7109375" style="1193" customWidth="1"/>
    <col min="9223" max="9223" width="7" style="1193" customWidth="1"/>
    <col min="9224" max="9224" width="9.28515625" style="1193" customWidth="1"/>
    <col min="9225" max="9225" width="7" style="1193" customWidth="1"/>
    <col min="9226" max="9226" width="9.85546875" style="1193" customWidth="1"/>
    <col min="9227" max="9227" width="7" style="1193" customWidth="1"/>
    <col min="9228" max="9228" width="9.85546875" style="1193" customWidth="1"/>
    <col min="9229" max="9229" width="7" style="1193" customWidth="1"/>
    <col min="9230" max="9230" width="10.5703125" style="1193" customWidth="1"/>
    <col min="9231" max="9239" width="7" style="1193" customWidth="1"/>
    <col min="9240" max="9244" width="7.7109375" style="1193" customWidth="1"/>
    <col min="9245" max="9257" width="7" style="1193" customWidth="1"/>
    <col min="9258" max="9258" width="9.5703125" style="1193" customWidth="1"/>
    <col min="9259" max="9259" width="7" style="1193" customWidth="1"/>
    <col min="9260" max="9260" width="9.140625" style="1193" customWidth="1"/>
    <col min="9261" max="9261" width="7" style="1193" customWidth="1"/>
    <col min="9262" max="9262" width="8.85546875" style="1193" customWidth="1"/>
    <col min="9263" max="9263" width="7" style="1193" customWidth="1"/>
    <col min="9264" max="9264" width="9" style="1193" customWidth="1"/>
    <col min="9265" max="9265" width="7" style="1193" customWidth="1"/>
    <col min="9266" max="9266" width="8.85546875" style="1193" customWidth="1"/>
    <col min="9267" max="9267" width="7" style="1193" customWidth="1"/>
    <col min="9268" max="9268" width="8.42578125" style="1193" customWidth="1"/>
    <col min="9269" max="9269" width="7" style="1193" customWidth="1"/>
    <col min="9270" max="9270" width="8.42578125" style="1193" customWidth="1"/>
    <col min="9271" max="9271" width="7" style="1193" customWidth="1"/>
    <col min="9272" max="9272" width="8.42578125" style="1193" customWidth="1"/>
    <col min="9273" max="9273" width="7" style="1193" customWidth="1"/>
    <col min="9274" max="9274" width="8.28515625" style="1193" customWidth="1"/>
    <col min="9275" max="9288" width="7" style="1193" customWidth="1"/>
    <col min="9289" max="9289" width="9" style="1193" customWidth="1"/>
    <col min="9290" max="9290" width="7" style="1193" customWidth="1"/>
    <col min="9291" max="9291" width="9.28515625" style="1193" customWidth="1"/>
    <col min="9292" max="9292" width="7" style="1193" customWidth="1"/>
    <col min="9293" max="9293" width="10.140625" style="1193" customWidth="1"/>
    <col min="9294" max="9294" width="7" style="1193" customWidth="1"/>
    <col min="9295" max="9295" width="10" style="1193" customWidth="1"/>
    <col min="9296" max="9296" width="7" style="1193" customWidth="1"/>
    <col min="9297" max="9297" width="8.85546875" style="1193" customWidth="1"/>
    <col min="9298" max="9298" width="7" style="1193" customWidth="1"/>
    <col min="9299" max="9299" width="9" style="1193" customWidth="1"/>
    <col min="9300" max="9300" width="7" style="1193" customWidth="1"/>
    <col min="9301" max="9301" width="9.5703125" style="1193" customWidth="1"/>
    <col min="9302" max="9302" width="7" style="1193" customWidth="1"/>
    <col min="9303" max="9303" width="9" style="1193" customWidth="1"/>
    <col min="9304" max="9313" width="7" style="1193" customWidth="1"/>
    <col min="9314" max="9317" width="11.140625" style="1193" customWidth="1"/>
    <col min="9318" max="9318" width="11.42578125" style="1193" customWidth="1"/>
    <col min="9319" max="9319" width="11.85546875" style="1193" customWidth="1"/>
    <col min="9320" max="9327" width="11.140625" style="1193" customWidth="1"/>
    <col min="9328" max="9333" width="7" style="1193" customWidth="1"/>
    <col min="9334" max="9334" width="10" style="1193" customWidth="1"/>
    <col min="9335" max="9335" width="7" style="1193" customWidth="1"/>
    <col min="9336" max="9336" width="8.42578125" style="1193" customWidth="1"/>
    <col min="9337" max="9337" width="7" style="1193" customWidth="1"/>
    <col min="9338" max="9338" width="8.42578125" style="1193" customWidth="1"/>
    <col min="9339" max="9339" width="7" style="1193" customWidth="1"/>
    <col min="9340" max="9340" width="9" style="1193" customWidth="1"/>
    <col min="9341" max="9341" width="7" style="1193" customWidth="1"/>
    <col min="9342" max="9342" width="9.5703125" style="1193" customWidth="1"/>
    <col min="9343" max="9343" width="7" style="1193" customWidth="1"/>
    <col min="9344" max="9355" width="9.140625" style="1193" customWidth="1"/>
    <col min="9356" max="9356" width="9.28515625" style="1193" bestFit="1" customWidth="1"/>
    <col min="9357" max="9472" width="9.140625" style="1193"/>
    <col min="9473" max="9473" width="5.28515625" style="1193" customWidth="1"/>
    <col min="9474" max="9474" width="48" style="1193" customWidth="1"/>
    <col min="9475" max="9475" width="9.5703125" style="1193" customWidth="1"/>
    <col min="9476" max="9476" width="6" style="1193" customWidth="1"/>
    <col min="9477" max="9477" width="7" style="1193" customWidth="1"/>
    <col min="9478" max="9478" width="9.7109375" style="1193" customWidth="1"/>
    <col min="9479" max="9479" width="7" style="1193" customWidth="1"/>
    <col min="9480" max="9480" width="9.28515625" style="1193" customWidth="1"/>
    <col min="9481" max="9481" width="7" style="1193" customWidth="1"/>
    <col min="9482" max="9482" width="9.85546875" style="1193" customWidth="1"/>
    <col min="9483" max="9483" width="7" style="1193" customWidth="1"/>
    <col min="9484" max="9484" width="9.85546875" style="1193" customWidth="1"/>
    <col min="9485" max="9485" width="7" style="1193" customWidth="1"/>
    <col min="9486" max="9486" width="10.5703125" style="1193" customWidth="1"/>
    <col min="9487" max="9495" width="7" style="1193" customWidth="1"/>
    <col min="9496" max="9500" width="7.7109375" style="1193" customWidth="1"/>
    <col min="9501" max="9513" width="7" style="1193" customWidth="1"/>
    <col min="9514" max="9514" width="9.5703125" style="1193" customWidth="1"/>
    <col min="9515" max="9515" width="7" style="1193" customWidth="1"/>
    <col min="9516" max="9516" width="9.140625" style="1193" customWidth="1"/>
    <col min="9517" max="9517" width="7" style="1193" customWidth="1"/>
    <col min="9518" max="9518" width="8.85546875" style="1193" customWidth="1"/>
    <col min="9519" max="9519" width="7" style="1193" customWidth="1"/>
    <col min="9520" max="9520" width="9" style="1193" customWidth="1"/>
    <col min="9521" max="9521" width="7" style="1193" customWidth="1"/>
    <col min="9522" max="9522" width="8.85546875" style="1193" customWidth="1"/>
    <col min="9523" max="9523" width="7" style="1193" customWidth="1"/>
    <col min="9524" max="9524" width="8.42578125" style="1193" customWidth="1"/>
    <col min="9525" max="9525" width="7" style="1193" customWidth="1"/>
    <col min="9526" max="9526" width="8.42578125" style="1193" customWidth="1"/>
    <col min="9527" max="9527" width="7" style="1193" customWidth="1"/>
    <col min="9528" max="9528" width="8.42578125" style="1193" customWidth="1"/>
    <col min="9529" max="9529" width="7" style="1193" customWidth="1"/>
    <col min="9530" max="9530" width="8.28515625" style="1193" customWidth="1"/>
    <col min="9531" max="9544" width="7" style="1193" customWidth="1"/>
    <col min="9545" max="9545" width="9" style="1193" customWidth="1"/>
    <col min="9546" max="9546" width="7" style="1193" customWidth="1"/>
    <col min="9547" max="9547" width="9.28515625" style="1193" customWidth="1"/>
    <col min="9548" max="9548" width="7" style="1193" customWidth="1"/>
    <col min="9549" max="9549" width="10.140625" style="1193" customWidth="1"/>
    <col min="9550" max="9550" width="7" style="1193" customWidth="1"/>
    <col min="9551" max="9551" width="10" style="1193" customWidth="1"/>
    <col min="9552" max="9552" width="7" style="1193" customWidth="1"/>
    <col min="9553" max="9553" width="8.85546875" style="1193" customWidth="1"/>
    <col min="9554" max="9554" width="7" style="1193" customWidth="1"/>
    <col min="9555" max="9555" width="9" style="1193" customWidth="1"/>
    <col min="9556" max="9556" width="7" style="1193" customWidth="1"/>
    <col min="9557" max="9557" width="9.5703125" style="1193" customWidth="1"/>
    <col min="9558" max="9558" width="7" style="1193" customWidth="1"/>
    <col min="9559" max="9559" width="9" style="1193" customWidth="1"/>
    <col min="9560" max="9569" width="7" style="1193" customWidth="1"/>
    <col min="9570" max="9573" width="11.140625" style="1193" customWidth="1"/>
    <col min="9574" max="9574" width="11.42578125" style="1193" customWidth="1"/>
    <col min="9575" max="9575" width="11.85546875" style="1193" customWidth="1"/>
    <col min="9576" max="9583" width="11.140625" style="1193" customWidth="1"/>
    <col min="9584" max="9589" width="7" style="1193" customWidth="1"/>
    <col min="9590" max="9590" width="10" style="1193" customWidth="1"/>
    <col min="9591" max="9591" width="7" style="1193" customWidth="1"/>
    <col min="9592" max="9592" width="8.42578125" style="1193" customWidth="1"/>
    <col min="9593" max="9593" width="7" style="1193" customWidth="1"/>
    <col min="9594" max="9594" width="8.42578125" style="1193" customWidth="1"/>
    <col min="9595" max="9595" width="7" style="1193" customWidth="1"/>
    <col min="9596" max="9596" width="9" style="1193" customWidth="1"/>
    <col min="9597" max="9597" width="7" style="1193" customWidth="1"/>
    <col min="9598" max="9598" width="9.5703125" style="1193" customWidth="1"/>
    <col min="9599" max="9599" width="7" style="1193" customWidth="1"/>
    <col min="9600" max="9611" width="9.140625" style="1193" customWidth="1"/>
    <col min="9612" max="9612" width="9.28515625" style="1193" bestFit="1" customWidth="1"/>
    <col min="9613" max="9728" width="9.140625" style="1193"/>
    <col min="9729" max="9729" width="5.28515625" style="1193" customWidth="1"/>
    <col min="9730" max="9730" width="48" style="1193" customWidth="1"/>
    <col min="9731" max="9731" width="9.5703125" style="1193" customWidth="1"/>
    <col min="9732" max="9732" width="6" style="1193" customWidth="1"/>
    <col min="9733" max="9733" width="7" style="1193" customWidth="1"/>
    <col min="9734" max="9734" width="9.7109375" style="1193" customWidth="1"/>
    <col min="9735" max="9735" width="7" style="1193" customWidth="1"/>
    <col min="9736" max="9736" width="9.28515625" style="1193" customWidth="1"/>
    <col min="9737" max="9737" width="7" style="1193" customWidth="1"/>
    <col min="9738" max="9738" width="9.85546875" style="1193" customWidth="1"/>
    <col min="9739" max="9739" width="7" style="1193" customWidth="1"/>
    <col min="9740" max="9740" width="9.85546875" style="1193" customWidth="1"/>
    <col min="9741" max="9741" width="7" style="1193" customWidth="1"/>
    <col min="9742" max="9742" width="10.5703125" style="1193" customWidth="1"/>
    <col min="9743" max="9751" width="7" style="1193" customWidth="1"/>
    <col min="9752" max="9756" width="7.7109375" style="1193" customWidth="1"/>
    <col min="9757" max="9769" width="7" style="1193" customWidth="1"/>
    <col min="9770" max="9770" width="9.5703125" style="1193" customWidth="1"/>
    <col min="9771" max="9771" width="7" style="1193" customWidth="1"/>
    <col min="9772" max="9772" width="9.140625" style="1193" customWidth="1"/>
    <col min="9773" max="9773" width="7" style="1193" customWidth="1"/>
    <col min="9774" max="9774" width="8.85546875" style="1193" customWidth="1"/>
    <col min="9775" max="9775" width="7" style="1193" customWidth="1"/>
    <col min="9776" max="9776" width="9" style="1193" customWidth="1"/>
    <col min="9777" max="9777" width="7" style="1193" customWidth="1"/>
    <col min="9778" max="9778" width="8.85546875" style="1193" customWidth="1"/>
    <col min="9779" max="9779" width="7" style="1193" customWidth="1"/>
    <col min="9780" max="9780" width="8.42578125" style="1193" customWidth="1"/>
    <col min="9781" max="9781" width="7" style="1193" customWidth="1"/>
    <col min="9782" max="9782" width="8.42578125" style="1193" customWidth="1"/>
    <col min="9783" max="9783" width="7" style="1193" customWidth="1"/>
    <col min="9784" max="9784" width="8.42578125" style="1193" customWidth="1"/>
    <col min="9785" max="9785" width="7" style="1193" customWidth="1"/>
    <col min="9786" max="9786" width="8.28515625" style="1193" customWidth="1"/>
    <col min="9787" max="9800" width="7" style="1193" customWidth="1"/>
    <col min="9801" max="9801" width="9" style="1193" customWidth="1"/>
    <col min="9802" max="9802" width="7" style="1193" customWidth="1"/>
    <col min="9803" max="9803" width="9.28515625" style="1193" customWidth="1"/>
    <col min="9804" max="9804" width="7" style="1193" customWidth="1"/>
    <col min="9805" max="9805" width="10.140625" style="1193" customWidth="1"/>
    <col min="9806" max="9806" width="7" style="1193" customWidth="1"/>
    <col min="9807" max="9807" width="10" style="1193" customWidth="1"/>
    <col min="9808" max="9808" width="7" style="1193" customWidth="1"/>
    <col min="9809" max="9809" width="8.85546875" style="1193" customWidth="1"/>
    <col min="9810" max="9810" width="7" style="1193" customWidth="1"/>
    <col min="9811" max="9811" width="9" style="1193" customWidth="1"/>
    <col min="9812" max="9812" width="7" style="1193" customWidth="1"/>
    <col min="9813" max="9813" width="9.5703125" style="1193" customWidth="1"/>
    <col min="9814" max="9814" width="7" style="1193" customWidth="1"/>
    <col min="9815" max="9815" width="9" style="1193" customWidth="1"/>
    <col min="9816" max="9825" width="7" style="1193" customWidth="1"/>
    <col min="9826" max="9829" width="11.140625" style="1193" customWidth="1"/>
    <col min="9830" max="9830" width="11.42578125" style="1193" customWidth="1"/>
    <col min="9831" max="9831" width="11.85546875" style="1193" customWidth="1"/>
    <col min="9832" max="9839" width="11.140625" style="1193" customWidth="1"/>
    <col min="9840" max="9845" width="7" style="1193" customWidth="1"/>
    <col min="9846" max="9846" width="10" style="1193" customWidth="1"/>
    <col min="9847" max="9847" width="7" style="1193" customWidth="1"/>
    <col min="9848" max="9848" width="8.42578125" style="1193" customWidth="1"/>
    <col min="9849" max="9849" width="7" style="1193" customWidth="1"/>
    <col min="9850" max="9850" width="8.42578125" style="1193" customWidth="1"/>
    <col min="9851" max="9851" width="7" style="1193" customWidth="1"/>
    <col min="9852" max="9852" width="9" style="1193" customWidth="1"/>
    <col min="9853" max="9853" width="7" style="1193" customWidth="1"/>
    <col min="9854" max="9854" width="9.5703125" style="1193" customWidth="1"/>
    <col min="9855" max="9855" width="7" style="1193" customWidth="1"/>
    <col min="9856" max="9867" width="9.140625" style="1193" customWidth="1"/>
    <col min="9868" max="9868" width="9.28515625" style="1193" bestFit="1" customWidth="1"/>
    <col min="9869" max="9984" width="9.140625" style="1193"/>
    <col min="9985" max="9985" width="5.28515625" style="1193" customWidth="1"/>
    <col min="9986" max="9986" width="48" style="1193" customWidth="1"/>
    <col min="9987" max="9987" width="9.5703125" style="1193" customWidth="1"/>
    <col min="9988" max="9988" width="6" style="1193" customWidth="1"/>
    <col min="9989" max="9989" width="7" style="1193" customWidth="1"/>
    <col min="9990" max="9990" width="9.7109375" style="1193" customWidth="1"/>
    <col min="9991" max="9991" width="7" style="1193" customWidth="1"/>
    <col min="9992" max="9992" width="9.28515625" style="1193" customWidth="1"/>
    <col min="9993" max="9993" width="7" style="1193" customWidth="1"/>
    <col min="9994" max="9994" width="9.85546875" style="1193" customWidth="1"/>
    <col min="9995" max="9995" width="7" style="1193" customWidth="1"/>
    <col min="9996" max="9996" width="9.85546875" style="1193" customWidth="1"/>
    <col min="9997" max="9997" width="7" style="1193" customWidth="1"/>
    <col min="9998" max="9998" width="10.5703125" style="1193" customWidth="1"/>
    <col min="9999" max="10007" width="7" style="1193" customWidth="1"/>
    <col min="10008" max="10012" width="7.7109375" style="1193" customWidth="1"/>
    <col min="10013" max="10025" width="7" style="1193" customWidth="1"/>
    <col min="10026" max="10026" width="9.5703125" style="1193" customWidth="1"/>
    <col min="10027" max="10027" width="7" style="1193" customWidth="1"/>
    <col min="10028" max="10028" width="9.140625" style="1193" customWidth="1"/>
    <col min="10029" max="10029" width="7" style="1193" customWidth="1"/>
    <col min="10030" max="10030" width="8.85546875" style="1193" customWidth="1"/>
    <col min="10031" max="10031" width="7" style="1193" customWidth="1"/>
    <col min="10032" max="10032" width="9" style="1193" customWidth="1"/>
    <col min="10033" max="10033" width="7" style="1193" customWidth="1"/>
    <col min="10034" max="10034" width="8.85546875" style="1193" customWidth="1"/>
    <col min="10035" max="10035" width="7" style="1193" customWidth="1"/>
    <col min="10036" max="10036" width="8.42578125" style="1193" customWidth="1"/>
    <col min="10037" max="10037" width="7" style="1193" customWidth="1"/>
    <col min="10038" max="10038" width="8.42578125" style="1193" customWidth="1"/>
    <col min="10039" max="10039" width="7" style="1193" customWidth="1"/>
    <col min="10040" max="10040" width="8.42578125" style="1193" customWidth="1"/>
    <col min="10041" max="10041" width="7" style="1193" customWidth="1"/>
    <col min="10042" max="10042" width="8.28515625" style="1193" customWidth="1"/>
    <col min="10043" max="10056" width="7" style="1193" customWidth="1"/>
    <col min="10057" max="10057" width="9" style="1193" customWidth="1"/>
    <col min="10058" max="10058" width="7" style="1193" customWidth="1"/>
    <col min="10059" max="10059" width="9.28515625" style="1193" customWidth="1"/>
    <col min="10060" max="10060" width="7" style="1193" customWidth="1"/>
    <col min="10061" max="10061" width="10.140625" style="1193" customWidth="1"/>
    <col min="10062" max="10062" width="7" style="1193" customWidth="1"/>
    <col min="10063" max="10063" width="10" style="1193" customWidth="1"/>
    <col min="10064" max="10064" width="7" style="1193" customWidth="1"/>
    <col min="10065" max="10065" width="8.85546875" style="1193" customWidth="1"/>
    <col min="10066" max="10066" width="7" style="1193" customWidth="1"/>
    <col min="10067" max="10067" width="9" style="1193" customWidth="1"/>
    <col min="10068" max="10068" width="7" style="1193" customWidth="1"/>
    <col min="10069" max="10069" width="9.5703125" style="1193" customWidth="1"/>
    <col min="10070" max="10070" width="7" style="1193" customWidth="1"/>
    <col min="10071" max="10071" width="9" style="1193" customWidth="1"/>
    <col min="10072" max="10081" width="7" style="1193" customWidth="1"/>
    <col min="10082" max="10085" width="11.140625" style="1193" customWidth="1"/>
    <col min="10086" max="10086" width="11.42578125" style="1193" customWidth="1"/>
    <col min="10087" max="10087" width="11.85546875" style="1193" customWidth="1"/>
    <col min="10088" max="10095" width="11.140625" style="1193" customWidth="1"/>
    <col min="10096" max="10101" width="7" style="1193" customWidth="1"/>
    <col min="10102" max="10102" width="10" style="1193" customWidth="1"/>
    <col min="10103" max="10103" width="7" style="1193" customWidth="1"/>
    <col min="10104" max="10104" width="8.42578125" style="1193" customWidth="1"/>
    <col min="10105" max="10105" width="7" style="1193" customWidth="1"/>
    <col min="10106" max="10106" width="8.42578125" style="1193" customWidth="1"/>
    <col min="10107" max="10107" width="7" style="1193" customWidth="1"/>
    <col min="10108" max="10108" width="9" style="1193" customWidth="1"/>
    <col min="10109" max="10109" width="7" style="1193" customWidth="1"/>
    <col min="10110" max="10110" width="9.5703125" style="1193" customWidth="1"/>
    <col min="10111" max="10111" width="7" style="1193" customWidth="1"/>
    <col min="10112" max="10123" width="9.140625" style="1193" customWidth="1"/>
    <col min="10124" max="10124" width="9.28515625" style="1193" bestFit="1" customWidth="1"/>
    <col min="10125" max="10240" width="9.140625" style="1193"/>
    <col min="10241" max="10241" width="5.28515625" style="1193" customWidth="1"/>
    <col min="10242" max="10242" width="48" style="1193" customWidth="1"/>
    <col min="10243" max="10243" width="9.5703125" style="1193" customWidth="1"/>
    <col min="10244" max="10244" width="6" style="1193" customWidth="1"/>
    <col min="10245" max="10245" width="7" style="1193" customWidth="1"/>
    <col min="10246" max="10246" width="9.7109375" style="1193" customWidth="1"/>
    <col min="10247" max="10247" width="7" style="1193" customWidth="1"/>
    <col min="10248" max="10248" width="9.28515625" style="1193" customWidth="1"/>
    <col min="10249" max="10249" width="7" style="1193" customWidth="1"/>
    <col min="10250" max="10250" width="9.85546875" style="1193" customWidth="1"/>
    <col min="10251" max="10251" width="7" style="1193" customWidth="1"/>
    <col min="10252" max="10252" width="9.85546875" style="1193" customWidth="1"/>
    <col min="10253" max="10253" width="7" style="1193" customWidth="1"/>
    <col min="10254" max="10254" width="10.5703125" style="1193" customWidth="1"/>
    <col min="10255" max="10263" width="7" style="1193" customWidth="1"/>
    <col min="10264" max="10268" width="7.7109375" style="1193" customWidth="1"/>
    <col min="10269" max="10281" width="7" style="1193" customWidth="1"/>
    <col min="10282" max="10282" width="9.5703125" style="1193" customWidth="1"/>
    <col min="10283" max="10283" width="7" style="1193" customWidth="1"/>
    <col min="10284" max="10284" width="9.140625" style="1193" customWidth="1"/>
    <col min="10285" max="10285" width="7" style="1193" customWidth="1"/>
    <col min="10286" max="10286" width="8.85546875" style="1193" customWidth="1"/>
    <col min="10287" max="10287" width="7" style="1193" customWidth="1"/>
    <col min="10288" max="10288" width="9" style="1193" customWidth="1"/>
    <col min="10289" max="10289" width="7" style="1193" customWidth="1"/>
    <col min="10290" max="10290" width="8.85546875" style="1193" customWidth="1"/>
    <col min="10291" max="10291" width="7" style="1193" customWidth="1"/>
    <col min="10292" max="10292" width="8.42578125" style="1193" customWidth="1"/>
    <col min="10293" max="10293" width="7" style="1193" customWidth="1"/>
    <col min="10294" max="10294" width="8.42578125" style="1193" customWidth="1"/>
    <col min="10295" max="10295" width="7" style="1193" customWidth="1"/>
    <col min="10296" max="10296" width="8.42578125" style="1193" customWidth="1"/>
    <col min="10297" max="10297" width="7" style="1193" customWidth="1"/>
    <col min="10298" max="10298" width="8.28515625" style="1193" customWidth="1"/>
    <col min="10299" max="10312" width="7" style="1193" customWidth="1"/>
    <col min="10313" max="10313" width="9" style="1193" customWidth="1"/>
    <col min="10314" max="10314" width="7" style="1193" customWidth="1"/>
    <col min="10315" max="10315" width="9.28515625" style="1193" customWidth="1"/>
    <col min="10316" max="10316" width="7" style="1193" customWidth="1"/>
    <col min="10317" max="10317" width="10.140625" style="1193" customWidth="1"/>
    <col min="10318" max="10318" width="7" style="1193" customWidth="1"/>
    <col min="10319" max="10319" width="10" style="1193" customWidth="1"/>
    <col min="10320" max="10320" width="7" style="1193" customWidth="1"/>
    <col min="10321" max="10321" width="8.85546875" style="1193" customWidth="1"/>
    <col min="10322" max="10322" width="7" style="1193" customWidth="1"/>
    <col min="10323" max="10323" width="9" style="1193" customWidth="1"/>
    <col min="10324" max="10324" width="7" style="1193" customWidth="1"/>
    <col min="10325" max="10325" width="9.5703125" style="1193" customWidth="1"/>
    <col min="10326" max="10326" width="7" style="1193" customWidth="1"/>
    <col min="10327" max="10327" width="9" style="1193" customWidth="1"/>
    <col min="10328" max="10337" width="7" style="1193" customWidth="1"/>
    <col min="10338" max="10341" width="11.140625" style="1193" customWidth="1"/>
    <col min="10342" max="10342" width="11.42578125" style="1193" customWidth="1"/>
    <col min="10343" max="10343" width="11.85546875" style="1193" customWidth="1"/>
    <col min="10344" max="10351" width="11.140625" style="1193" customWidth="1"/>
    <col min="10352" max="10357" width="7" style="1193" customWidth="1"/>
    <col min="10358" max="10358" width="10" style="1193" customWidth="1"/>
    <col min="10359" max="10359" width="7" style="1193" customWidth="1"/>
    <col min="10360" max="10360" width="8.42578125" style="1193" customWidth="1"/>
    <col min="10361" max="10361" width="7" style="1193" customWidth="1"/>
    <col min="10362" max="10362" width="8.42578125" style="1193" customWidth="1"/>
    <col min="10363" max="10363" width="7" style="1193" customWidth="1"/>
    <col min="10364" max="10364" width="9" style="1193" customWidth="1"/>
    <col min="10365" max="10365" width="7" style="1193" customWidth="1"/>
    <col min="10366" max="10366" width="9.5703125" style="1193" customWidth="1"/>
    <col min="10367" max="10367" width="7" style="1193" customWidth="1"/>
    <col min="10368" max="10379" width="9.140625" style="1193" customWidth="1"/>
    <col min="10380" max="10380" width="9.28515625" style="1193" bestFit="1" customWidth="1"/>
    <col min="10381" max="10496" width="9.140625" style="1193"/>
    <col min="10497" max="10497" width="5.28515625" style="1193" customWidth="1"/>
    <col min="10498" max="10498" width="48" style="1193" customWidth="1"/>
    <col min="10499" max="10499" width="9.5703125" style="1193" customWidth="1"/>
    <col min="10500" max="10500" width="6" style="1193" customWidth="1"/>
    <col min="10501" max="10501" width="7" style="1193" customWidth="1"/>
    <col min="10502" max="10502" width="9.7109375" style="1193" customWidth="1"/>
    <col min="10503" max="10503" width="7" style="1193" customWidth="1"/>
    <col min="10504" max="10504" width="9.28515625" style="1193" customWidth="1"/>
    <col min="10505" max="10505" width="7" style="1193" customWidth="1"/>
    <col min="10506" max="10506" width="9.85546875" style="1193" customWidth="1"/>
    <col min="10507" max="10507" width="7" style="1193" customWidth="1"/>
    <col min="10508" max="10508" width="9.85546875" style="1193" customWidth="1"/>
    <col min="10509" max="10509" width="7" style="1193" customWidth="1"/>
    <col min="10510" max="10510" width="10.5703125" style="1193" customWidth="1"/>
    <col min="10511" max="10519" width="7" style="1193" customWidth="1"/>
    <col min="10520" max="10524" width="7.7109375" style="1193" customWidth="1"/>
    <col min="10525" max="10537" width="7" style="1193" customWidth="1"/>
    <col min="10538" max="10538" width="9.5703125" style="1193" customWidth="1"/>
    <col min="10539" max="10539" width="7" style="1193" customWidth="1"/>
    <col min="10540" max="10540" width="9.140625" style="1193" customWidth="1"/>
    <col min="10541" max="10541" width="7" style="1193" customWidth="1"/>
    <col min="10542" max="10542" width="8.85546875" style="1193" customWidth="1"/>
    <col min="10543" max="10543" width="7" style="1193" customWidth="1"/>
    <col min="10544" max="10544" width="9" style="1193" customWidth="1"/>
    <col min="10545" max="10545" width="7" style="1193" customWidth="1"/>
    <col min="10546" max="10546" width="8.85546875" style="1193" customWidth="1"/>
    <col min="10547" max="10547" width="7" style="1193" customWidth="1"/>
    <col min="10548" max="10548" width="8.42578125" style="1193" customWidth="1"/>
    <col min="10549" max="10549" width="7" style="1193" customWidth="1"/>
    <col min="10550" max="10550" width="8.42578125" style="1193" customWidth="1"/>
    <col min="10551" max="10551" width="7" style="1193" customWidth="1"/>
    <col min="10552" max="10552" width="8.42578125" style="1193" customWidth="1"/>
    <col min="10553" max="10553" width="7" style="1193" customWidth="1"/>
    <col min="10554" max="10554" width="8.28515625" style="1193" customWidth="1"/>
    <col min="10555" max="10568" width="7" style="1193" customWidth="1"/>
    <col min="10569" max="10569" width="9" style="1193" customWidth="1"/>
    <col min="10570" max="10570" width="7" style="1193" customWidth="1"/>
    <col min="10571" max="10571" width="9.28515625" style="1193" customWidth="1"/>
    <col min="10572" max="10572" width="7" style="1193" customWidth="1"/>
    <col min="10573" max="10573" width="10.140625" style="1193" customWidth="1"/>
    <col min="10574" max="10574" width="7" style="1193" customWidth="1"/>
    <col min="10575" max="10575" width="10" style="1193" customWidth="1"/>
    <col min="10576" max="10576" width="7" style="1193" customWidth="1"/>
    <col min="10577" max="10577" width="8.85546875" style="1193" customWidth="1"/>
    <col min="10578" max="10578" width="7" style="1193" customWidth="1"/>
    <col min="10579" max="10579" width="9" style="1193" customWidth="1"/>
    <col min="10580" max="10580" width="7" style="1193" customWidth="1"/>
    <col min="10581" max="10581" width="9.5703125" style="1193" customWidth="1"/>
    <col min="10582" max="10582" width="7" style="1193" customWidth="1"/>
    <col min="10583" max="10583" width="9" style="1193" customWidth="1"/>
    <col min="10584" max="10593" width="7" style="1193" customWidth="1"/>
    <col min="10594" max="10597" width="11.140625" style="1193" customWidth="1"/>
    <col min="10598" max="10598" width="11.42578125" style="1193" customWidth="1"/>
    <col min="10599" max="10599" width="11.85546875" style="1193" customWidth="1"/>
    <col min="10600" max="10607" width="11.140625" style="1193" customWidth="1"/>
    <col min="10608" max="10613" width="7" style="1193" customWidth="1"/>
    <col min="10614" max="10614" width="10" style="1193" customWidth="1"/>
    <col min="10615" max="10615" width="7" style="1193" customWidth="1"/>
    <col min="10616" max="10616" width="8.42578125" style="1193" customWidth="1"/>
    <col min="10617" max="10617" width="7" style="1193" customWidth="1"/>
    <col min="10618" max="10618" width="8.42578125" style="1193" customWidth="1"/>
    <col min="10619" max="10619" width="7" style="1193" customWidth="1"/>
    <col min="10620" max="10620" width="9" style="1193" customWidth="1"/>
    <col min="10621" max="10621" width="7" style="1193" customWidth="1"/>
    <col min="10622" max="10622" width="9.5703125" style="1193" customWidth="1"/>
    <col min="10623" max="10623" width="7" style="1193" customWidth="1"/>
    <col min="10624" max="10635" width="9.140625" style="1193" customWidth="1"/>
    <col min="10636" max="10636" width="9.28515625" style="1193" bestFit="1" customWidth="1"/>
    <col min="10637" max="10752" width="9.140625" style="1193"/>
    <col min="10753" max="10753" width="5.28515625" style="1193" customWidth="1"/>
    <col min="10754" max="10754" width="48" style="1193" customWidth="1"/>
    <col min="10755" max="10755" width="9.5703125" style="1193" customWidth="1"/>
    <col min="10756" max="10756" width="6" style="1193" customWidth="1"/>
    <col min="10757" max="10757" width="7" style="1193" customWidth="1"/>
    <col min="10758" max="10758" width="9.7109375" style="1193" customWidth="1"/>
    <col min="10759" max="10759" width="7" style="1193" customWidth="1"/>
    <col min="10760" max="10760" width="9.28515625" style="1193" customWidth="1"/>
    <col min="10761" max="10761" width="7" style="1193" customWidth="1"/>
    <col min="10762" max="10762" width="9.85546875" style="1193" customWidth="1"/>
    <col min="10763" max="10763" width="7" style="1193" customWidth="1"/>
    <col min="10764" max="10764" width="9.85546875" style="1193" customWidth="1"/>
    <col min="10765" max="10765" width="7" style="1193" customWidth="1"/>
    <col min="10766" max="10766" width="10.5703125" style="1193" customWidth="1"/>
    <col min="10767" max="10775" width="7" style="1193" customWidth="1"/>
    <col min="10776" max="10780" width="7.7109375" style="1193" customWidth="1"/>
    <col min="10781" max="10793" width="7" style="1193" customWidth="1"/>
    <col min="10794" max="10794" width="9.5703125" style="1193" customWidth="1"/>
    <col min="10795" max="10795" width="7" style="1193" customWidth="1"/>
    <col min="10796" max="10796" width="9.140625" style="1193" customWidth="1"/>
    <col min="10797" max="10797" width="7" style="1193" customWidth="1"/>
    <col min="10798" max="10798" width="8.85546875" style="1193" customWidth="1"/>
    <col min="10799" max="10799" width="7" style="1193" customWidth="1"/>
    <col min="10800" max="10800" width="9" style="1193" customWidth="1"/>
    <col min="10801" max="10801" width="7" style="1193" customWidth="1"/>
    <col min="10802" max="10802" width="8.85546875" style="1193" customWidth="1"/>
    <col min="10803" max="10803" width="7" style="1193" customWidth="1"/>
    <col min="10804" max="10804" width="8.42578125" style="1193" customWidth="1"/>
    <col min="10805" max="10805" width="7" style="1193" customWidth="1"/>
    <col min="10806" max="10806" width="8.42578125" style="1193" customWidth="1"/>
    <col min="10807" max="10807" width="7" style="1193" customWidth="1"/>
    <col min="10808" max="10808" width="8.42578125" style="1193" customWidth="1"/>
    <col min="10809" max="10809" width="7" style="1193" customWidth="1"/>
    <col min="10810" max="10810" width="8.28515625" style="1193" customWidth="1"/>
    <col min="10811" max="10824" width="7" style="1193" customWidth="1"/>
    <col min="10825" max="10825" width="9" style="1193" customWidth="1"/>
    <col min="10826" max="10826" width="7" style="1193" customWidth="1"/>
    <col min="10827" max="10827" width="9.28515625" style="1193" customWidth="1"/>
    <col min="10828" max="10828" width="7" style="1193" customWidth="1"/>
    <col min="10829" max="10829" width="10.140625" style="1193" customWidth="1"/>
    <col min="10830" max="10830" width="7" style="1193" customWidth="1"/>
    <col min="10831" max="10831" width="10" style="1193" customWidth="1"/>
    <col min="10832" max="10832" width="7" style="1193" customWidth="1"/>
    <col min="10833" max="10833" width="8.85546875" style="1193" customWidth="1"/>
    <col min="10834" max="10834" width="7" style="1193" customWidth="1"/>
    <col min="10835" max="10835" width="9" style="1193" customWidth="1"/>
    <col min="10836" max="10836" width="7" style="1193" customWidth="1"/>
    <col min="10837" max="10837" width="9.5703125" style="1193" customWidth="1"/>
    <col min="10838" max="10838" width="7" style="1193" customWidth="1"/>
    <col min="10839" max="10839" width="9" style="1193" customWidth="1"/>
    <col min="10840" max="10849" width="7" style="1193" customWidth="1"/>
    <col min="10850" max="10853" width="11.140625" style="1193" customWidth="1"/>
    <col min="10854" max="10854" width="11.42578125" style="1193" customWidth="1"/>
    <col min="10855" max="10855" width="11.85546875" style="1193" customWidth="1"/>
    <col min="10856" max="10863" width="11.140625" style="1193" customWidth="1"/>
    <col min="10864" max="10869" width="7" style="1193" customWidth="1"/>
    <col min="10870" max="10870" width="10" style="1193" customWidth="1"/>
    <col min="10871" max="10871" width="7" style="1193" customWidth="1"/>
    <col min="10872" max="10872" width="8.42578125" style="1193" customWidth="1"/>
    <col min="10873" max="10873" width="7" style="1193" customWidth="1"/>
    <col min="10874" max="10874" width="8.42578125" style="1193" customWidth="1"/>
    <col min="10875" max="10875" width="7" style="1193" customWidth="1"/>
    <col min="10876" max="10876" width="9" style="1193" customWidth="1"/>
    <col min="10877" max="10877" width="7" style="1193" customWidth="1"/>
    <col min="10878" max="10878" width="9.5703125" style="1193" customWidth="1"/>
    <col min="10879" max="10879" width="7" style="1193" customWidth="1"/>
    <col min="10880" max="10891" width="9.140625" style="1193" customWidth="1"/>
    <col min="10892" max="10892" width="9.28515625" style="1193" bestFit="1" customWidth="1"/>
    <col min="10893" max="11008" width="9.140625" style="1193"/>
    <col min="11009" max="11009" width="5.28515625" style="1193" customWidth="1"/>
    <col min="11010" max="11010" width="48" style="1193" customWidth="1"/>
    <col min="11011" max="11011" width="9.5703125" style="1193" customWidth="1"/>
    <col min="11012" max="11012" width="6" style="1193" customWidth="1"/>
    <col min="11013" max="11013" width="7" style="1193" customWidth="1"/>
    <col min="11014" max="11014" width="9.7109375" style="1193" customWidth="1"/>
    <col min="11015" max="11015" width="7" style="1193" customWidth="1"/>
    <col min="11016" max="11016" width="9.28515625" style="1193" customWidth="1"/>
    <col min="11017" max="11017" width="7" style="1193" customWidth="1"/>
    <col min="11018" max="11018" width="9.85546875" style="1193" customWidth="1"/>
    <col min="11019" max="11019" width="7" style="1193" customWidth="1"/>
    <col min="11020" max="11020" width="9.85546875" style="1193" customWidth="1"/>
    <col min="11021" max="11021" width="7" style="1193" customWidth="1"/>
    <col min="11022" max="11022" width="10.5703125" style="1193" customWidth="1"/>
    <col min="11023" max="11031" width="7" style="1193" customWidth="1"/>
    <col min="11032" max="11036" width="7.7109375" style="1193" customWidth="1"/>
    <col min="11037" max="11049" width="7" style="1193" customWidth="1"/>
    <col min="11050" max="11050" width="9.5703125" style="1193" customWidth="1"/>
    <col min="11051" max="11051" width="7" style="1193" customWidth="1"/>
    <col min="11052" max="11052" width="9.140625" style="1193" customWidth="1"/>
    <col min="11053" max="11053" width="7" style="1193" customWidth="1"/>
    <col min="11054" max="11054" width="8.85546875" style="1193" customWidth="1"/>
    <col min="11055" max="11055" width="7" style="1193" customWidth="1"/>
    <col min="11056" max="11056" width="9" style="1193" customWidth="1"/>
    <col min="11057" max="11057" width="7" style="1193" customWidth="1"/>
    <col min="11058" max="11058" width="8.85546875" style="1193" customWidth="1"/>
    <col min="11059" max="11059" width="7" style="1193" customWidth="1"/>
    <col min="11060" max="11060" width="8.42578125" style="1193" customWidth="1"/>
    <col min="11061" max="11061" width="7" style="1193" customWidth="1"/>
    <col min="11062" max="11062" width="8.42578125" style="1193" customWidth="1"/>
    <col min="11063" max="11063" width="7" style="1193" customWidth="1"/>
    <col min="11064" max="11064" width="8.42578125" style="1193" customWidth="1"/>
    <col min="11065" max="11065" width="7" style="1193" customWidth="1"/>
    <col min="11066" max="11066" width="8.28515625" style="1193" customWidth="1"/>
    <col min="11067" max="11080" width="7" style="1193" customWidth="1"/>
    <col min="11081" max="11081" width="9" style="1193" customWidth="1"/>
    <col min="11082" max="11082" width="7" style="1193" customWidth="1"/>
    <col min="11083" max="11083" width="9.28515625" style="1193" customWidth="1"/>
    <col min="11084" max="11084" width="7" style="1193" customWidth="1"/>
    <col min="11085" max="11085" width="10.140625" style="1193" customWidth="1"/>
    <col min="11086" max="11086" width="7" style="1193" customWidth="1"/>
    <col min="11087" max="11087" width="10" style="1193" customWidth="1"/>
    <col min="11088" max="11088" width="7" style="1193" customWidth="1"/>
    <col min="11089" max="11089" width="8.85546875" style="1193" customWidth="1"/>
    <col min="11090" max="11090" width="7" style="1193" customWidth="1"/>
    <col min="11091" max="11091" width="9" style="1193" customWidth="1"/>
    <col min="11092" max="11092" width="7" style="1193" customWidth="1"/>
    <col min="11093" max="11093" width="9.5703125" style="1193" customWidth="1"/>
    <col min="11094" max="11094" width="7" style="1193" customWidth="1"/>
    <col min="11095" max="11095" width="9" style="1193" customWidth="1"/>
    <col min="11096" max="11105" width="7" style="1193" customWidth="1"/>
    <col min="11106" max="11109" width="11.140625" style="1193" customWidth="1"/>
    <col min="11110" max="11110" width="11.42578125" style="1193" customWidth="1"/>
    <col min="11111" max="11111" width="11.85546875" style="1193" customWidth="1"/>
    <col min="11112" max="11119" width="11.140625" style="1193" customWidth="1"/>
    <col min="11120" max="11125" width="7" style="1193" customWidth="1"/>
    <col min="11126" max="11126" width="10" style="1193" customWidth="1"/>
    <col min="11127" max="11127" width="7" style="1193" customWidth="1"/>
    <col min="11128" max="11128" width="8.42578125" style="1193" customWidth="1"/>
    <col min="11129" max="11129" width="7" style="1193" customWidth="1"/>
    <col min="11130" max="11130" width="8.42578125" style="1193" customWidth="1"/>
    <col min="11131" max="11131" width="7" style="1193" customWidth="1"/>
    <col min="11132" max="11132" width="9" style="1193" customWidth="1"/>
    <col min="11133" max="11133" width="7" style="1193" customWidth="1"/>
    <col min="11134" max="11134" width="9.5703125" style="1193" customWidth="1"/>
    <col min="11135" max="11135" width="7" style="1193" customWidth="1"/>
    <col min="11136" max="11147" width="9.140625" style="1193" customWidth="1"/>
    <col min="11148" max="11148" width="9.28515625" style="1193" bestFit="1" customWidth="1"/>
    <col min="11149" max="11264" width="9.140625" style="1193"/>
    <col min="11265" max="11265" width="5.28515625" style="1193" customWidth="1"/>
    <col min="11266" max="11266" width="48" style="1193" customWidth="1"/>
    <col min="11267" max="11267" width="9.5703125" style="1193" customWidth="1"/>
    <col min="11268" max="11268" width="6" style="1193" customWidth="1"/>
    <col min="11269" max="11269" width="7" style="1193" customWidth="1"/>
    <col min="11270" max="11270" width="9.7109375" style="1193" customWidth="1"/>
    <col min="11271" max="11271" width="7" style="1193" customWidth="1"/>
    <col min="11272" max="11272" width="9.28515625" style="1193" customWidth="1"/>
    <col min="11273" max="11273" width="7" style="1193" customWidth="1"/>
    <col min="11274" max="11274" width="9.85546875" style="1193" customWidth="1"/>
    <col min="11275" max="11275" width="7" style="1193" customWidth="1"/>
    <col min="11276" max="11276" width="9.85546875" style="1193" customWidth="1"/>
    <col min="11277" max="11277" width="7" style="1193" customWidth="1"/>
    <col min="11278" max="11278" width="10.5703125" style="1193" customWidth="1"/>
    <col min="11279" max="11287" width="7" style="1193" customWidth="1"/>
    <col min="11288" max="11292" width="7.7109375" style="1193" customWidth="1"/>
    <col min="11293" max="11305" width="7" style="1193" customWidth="1"/>
    <col min="11306" max="11306" width="9.5703125" style="1193" customWidth="1"/>
    <col min="11307" max="11307" width="7" style="1193" customWidth="1"/>
    <col min="11308" max="11308" width="9.140625" style="1193" customWidth="1"/>
    <col min="11309" max="11309" width="7" style="1193" customWidth="1"/>
    <col min="11310" max="11310" width="8.85546875" style="1193" customWidth="1"/>
    <col min="11311" max="11311" width="7" style="1193" customWidth="1"/>
    <col min="11312" max="11312" width="9" style="1193" customWidth="1"/>
    <col min="11313" max="11313" width="7" style="1193" customWidth="1"/>
    <col min="11314" max="11314" width="8.85546875" style="1193" customWidth="1"/>
    <col min="11315" max="11315" width="7" style="1193" customWidth="1"/>
    <col min="11316" max="11316" width="8.42578125" style="1193" customWidth="1"/>
    <col min="11317" max="11317" width="7" style="1193" customWidth="1"/>
    <col min="11318" max="11318" width="8.42578125" style="1193" customWidth="1"/>
    <col min="11319" max="11319" width="7" style="1193" customWidth="1"/>
    <col min="11320" max="11320" width="8.42578125" style="1193" customWidth="1"/>
    <col min="11321" max="11321" width="7" style="1193" customWidth="1"/>
    <col min="11322" max="11322" width="8.28515625" style="1193" customWidth="1"/>
    <col min="11323" max="11336" width="7" style="1193" customWidth="1"/>
    <col min="11337" max="11337" width="9" style="1193" customWidth="1"/>
    <col min="11338" max="11338" width="7" style="1193" customWidth="1"/>
    <col min="11339" max="11339" width="9.28515625" style="1193" customWidth="1"/>
    <col min="11340" max="11340" width="7" style="1193" customWidth="1"/>
    <col min="11341" max="11341" width="10.140625" style="1193" customWidth="1"/>
    <col min="11342" max="11342" width="7" style="1193" customWidth="1"/>
    <col min="11343" max="11343" width="10" style="1193" customWidth="1"/>
    <col min="11344" max="11344" width="7" style="1193" customWidth="1"/>
    <col min="11345" max="11345" width="8.85546875" style="1193" customWidth="1"/>
    <col min="11346" max="11346" width="7" style="1193" customWidth="1"/>
    <col min="11347" max="11347" width="9" style="1193" customWidth="1"/>
    <col min="11348" max="11348" width="7" style="1193" customWidth="1"/>
    <col min="11349" max="11349" width="9.5703125" style="1193" customWidth="1"/>
    <col min="11350" max="11350" width="7" style="1193" customWidth="1"/>
    <col min="11351" max="11351" width="9" style="1193" customWidth="1"/>
    <col min="11352" max="11361" width="7" style="1193" customWidth="1"/>
    <col min="11362" max="11365" width="11.140625" style="1193" customWidth="1"/>
    <col min="11366" max="11366" width="11.42578125" style="1193" customWidth="1"/>
    <col min="11367" max="11367" width="11.85546875" style="1193" customWidth="1"/>
    <col min="11368" max="11375" width="11.140625" style="1193" customWidth="1"/>
    <col min="11376" max="11381" width="7" style="1193" customWidth="1"/>
    <col min="11382" max="11382" width="10" style="1193" customWidth="1"/>
    <col min="11383" max="11383" width="7" style="1193" customWidth="1"/>
    <col min="11384" max="11384" width="8.42578125" style="1193" customWidth="1"/>
    <col min="11385" max="11385" width="7" style="1193" customWidth="1"/>
    <col min="11386" max="11386" width="8.42578125" style="1193" customWidth="1"/>
    <col min="11387" max="11387" width="7" style="1193" customWidth="1"/>
    <col min="11388" max="11388" width="9" style="1193" customWidth="1"/>
    <col min="11389" max="11389" width="7" style="1193" customWidth="1"/>
    <col min="11390" max="11390" width="9.5703125" style="1193" customWidth="1"/>
    <col min="11391" max="11391" width="7" style="1193" customWidth="1"/>
    <col min="11392" max="11403" width="9.140625" style="1193" customWidth="1"/>
    <col min="11404" max="11404" width="9.28515625" style="1193" bestFit="1" customWidth="1"/>
    <col min="11405" max="11520" width="9.140625" style="1193"/>
    <col min="11521" max="11521" width="5.28515625" style="1193" customWidth="1"/>
    <col min="11522" max="11522" width="48" style="1193" customWidth="1"/>
    <col min="11523" max="11523" width="9.5703125" style="1193" customWidth="1"/>
    <col min="11524" max="11524" width="6" style="1193" customWidth="1"/>
    <col min="11525" max="11525" width="7" style="1193" customWidth="1"/>
    <col min="11526" max="11526" width="9.7109375" style="1193" customWidth="1"/>
    <col min="11527" max="11527" width="7" style="1193" customWidth="1"/>
    <col min="11528" max="11528" width="9.28515625" style="1193" customWidth="1"/>
    <col min="11529" max="11529" width="7" style="1193" customWidth="1"/>
    <col min="11530" max="11530" width="9.85546875" style="1193" customWidth="1"/>
    <col min="11531" max="11531" width="7" style="1193" customWidth="1"/>
    <col min="11532" max="11532" width="9.85546875" style="1193" customWidth="1"/>
    <col min="11533" max="11533" width="7" style="1193" customWidth="1"/>
    <col min="11534" max="11534" width="10.5703125" style="1193" customWidth="1"/>
    <col min="11535" max="11543" width="7" style="1193" customWidth="1"/>
    <col min="11544" max="11548" width="7.7109375" style="1193" customWidth="1"/>
    <col min="11549" max="11561" width="7" style="1193" customWidth="1"/>
    <col min="11562" max="11562" width="9.5703125" style="1193" customWidth="1"/>
    <col min="11563" max="11563" width="7" style="1193" customWidth="1"/>
    <col min="11564" max="11564" width="9.140625" style="1193" customWidth="1"/>
    <col min="11565" max="11565" width="7" style="1193" customWidth="1"/>
    <col min="11566" max="11566" width="8.85546875" style="1193" customWidth="1"/>
    <col min="11567" max="11567" width="7" style="1193" customWidth="1"/>
    <col min="11568" max="11568" width="9" style="1193" customWidth="1"/>
    <col min="11569" max="11569" width="7" style="1193" customWidth="1"/>
    <col min="11570" max="11570" width="8.85546875" style="1193" customWidth="1"/>
    <col min="11571" max="11571" width="7" style="1193" customWidth="1"/>
    <col min="11572" max="11572" width="8.42578125" style="1193" customWidth="1"/>
    <col min="11573" max="11573" width="7" style="1193" customWidth="1"/>
    <col min="11574" max="11574" width="8.42578125" style="1193" customWidth="1"/>
    <col min="11575" max="11575" width="7" style="1193" customWidth="1"/>
    <col min="11576" max="11576" width="8.42578125" style="1193" customWidth="1"/>
    <col min="11577" max="11577" width="7" style="1193" customWidth="1"/>
    <col min="11578" max="11578" width="8.28515625" style="1193" customWidth="1"/>
    <col min="11579" max="11592" width="7" style="1193" customWidth="1"/>
    <col min="11593" max="11593" width="9" style="1193" customWidth="1"/>
    <col min="11594" max="11594" width="7" style="1193" customWidth="1"/>
    <col min="11595" max="11595" width="9.28515625" style="1193" customWidth="1"/>
    <col min="11596" max="11596" width="7" style="1193" customWidth="1"/>
    <col min="11597" max="11597" width="10.140625" style="1193" customWidth="1"/>
    <col min="11598" max="11598" width="7" style="1193" customWidth="1"/>
    <col min="11599" max="11599" width="10" style="1193" customWidth="1"/>
    <col min="11600" max="11600" width="7" style="1193" customWidth="1"/>
    <col min="11601" max="11601" width="8.85546875" style="1193" customWidth="1"/>
    <col min="11602" max="11602" width="7" style="1193" customWidth="1"/>
    <col min="11603" max="11603" width="9" style="1193" customWidth="1"/>
    <col min="11604" max="11604" width="7" style="1193" customWidth="1"/>
    <col min="11605" max="11605" width="9.5703125" style="1193" customWidth="1"/>
    <col min="11606" max="11606" width="7" style="1193" customWidth="1"/>
    <col min="11607" max="11607" width="9" style="1193" customWidth="1"/>
    <col min="11608" max="11617" width="7" style="1193" customWidth="1"/>
    <col min="11618" max="11621" width="11.140625" style="1193" customWidth="1"/>
    <col min="11622" max="11622" width="11.42578125" style="1193" customWidth="1"/>
    <col min="11623" max="11623" width="11.85546875" style="1193" customWidth="1"/>
    <col min="11624" max="11631" width="11.140625" style="1193" customWidth="1"/>
    <col min="11632" max="11637" width="7" style="1193" customWidth="1"/>
    <col min="11638" max="11638" width="10" style="1193" customWidth="1"/>
    <col min="11639" max="11639" width="7" style="1193" customWidth="1"/>
    <col min="11640" max="11640" width="8.42578125" style="1193" customWidth="1"/>
    <col min="11641" max="11641" width="7" style="1193" customWidth="1"/>
    <col min="11642" max="11642" width="8.42578125" style="1193" customWidth="1"/>
    <col min="11643" max="11643" width="7" style="1193" customWidth="1"/>
    <col min="11644" max="11644" width="9" style="1193" customWidth="1"/>
    <col min="11645" max="11645" width="7" style="1193" customWidth="1"/>
    <col min="11646" max="11646" width="9.5703125" style="1193" customWidth="1"/>
    <col min="11647" max="11647" width="7" style="1193" customWidth="1"/>
    <col min="11648" max="11659" width="9.140625" style="1193" customWidth="1"/>
    <col min="11660" max="11660" width="9.28515625" style="1193" bestFit="1" customWidth="1"/>
    <col min="11661" max="11776" width="9.140625" style="1193"/>
    <col min="11777" max="11777" width="5.28515625" style="1193" customWidth="1"/>
    <col min="11778" max="11778" width="48" style="1193" customWidth="1"/>
    <col min="11779" max="11779" width="9.5703125" style="1193" customWidth="1"/>
    <col min="11780" max="11780" width="6" style="1193" customWidth="1"/>
    <col min="11781" max="11781" width="7" style="1193" customWidth="1"/>
    <col min="11782" max="11782" width="9.7109375" style="1193" customWidth="1"/>
    <col min="11783" max="11783" width="7" style="1193" customWidth="1"/>
    <col min="11784" max="11784" width="9.28515625" style="1193" customWidth="1"/>
    <col min="11785" max="11785" width="7" style="1193" customWidth="1"/>
    <col min="11786" max="11786" width="9.85546875" style="1193" customWidth="1"/>
    <col min="11787" max="11787" width="7" style="1193" customWidth="1"/>
    <col min="11788" max="11788" width="9.85546875" style="1193" customWidth="1"/>
    <col min="11789" max="11789" width="7" style="1193" customWidth="1"/>
    <col min="11790" max="11790" width="10.5703125" style="1193" customWidth="1"/>
    <col min="11791" max="11799" width="7" style="1193" customWidth="1"/>
    <col min="11800" max="11804" width="7.7109375" style="1193" customWidth="1"/>
    <col min="11805" max="11817" width="7" style="1193" customWidth="1"/>
    <col min="11818" max="11818" width="9.5703125" style="1193" customWidth="1"/>
    <col min="11819" max="11819" width="7" style="1193" customWidth="1"/>
    <col min="11820" max="11820" width="9.140625" style="1193" customWidth="1"/>
    <col min="11821" max="11821" width="7" style="1193" customWidth="1"/>
    <col min="11822" max="11822" width="8.85546875" style="1193" customWidth="1"/>
    <col min="11823" max="11823" width="7" style="1193" customWidth="1"/>
    <col min="11824" max="11824" width="9" style="1193" customWidth="1"/>
    <col min="11825" max="11825" width="7" style="1193" customWidth="1"/>
    <col min="11826" max="11826" width="8.85546875" style="1193" customWidth="1"/>
    <col min="11827" max="11827" width="7" style="1193" customWidth="1"/>
    <col min="11828" max="11828" width="8.42578125" style="1193" customWidth="1"/>
    <col min="11829" max="11829" width="7" style="1193" customWidth="1"/>
    <col min="11830" max="11830" width="8.42578125" style="1193" customWidth="1"/>
    <col min="11831" max="11831" width="7" style="1193" customWidth="1"/>
    <col min="11832" max="11832" width="8.42578125" style="1193" customWidth="1"/>
    <col min="11833" max="11833" width="7" style="1193" customWidth="1"/>
    <col min="11834" max="11834" width="8.28515625" style="1193" customWidth="1"/>
    <col min="11835" max="11848" width="7" style="1193" customWidth="1"/>
    <col min="11849" max="11849" width="9" style="1193" customWidth="1"/>
    <col min="11850" max="11850" width="7" style="1193" customWidth="1"/>
    <col min="11851" max="11851" width="9.28515625" style="1193" customWidth="1"/>
    <col min="11852" max="11852" width="7" style="1193" customWidth="1"/>
    <col min="11853" max="11853" width="10.140625" style="1193" customWidth="1"/>
    <col min="11854" max="11854" width="7" style="1193" customWidth="1"/>
    <col min="11855" max="11855" width="10" style="1193" customWidth="1"/>
    <col min="11856" max="11856" width="7" style="1193" customWidth="1"/>
    <col min="11857" max="11857" width="8.85546875" style="1193" customWidth="1"/>
    <col min="11858" max="11858" width="7" style="1193" customWidth="1"/>
    <col min="11859" max="11859" width="9" style="1193" customWidth="1"/>
    <col min="11860" max="11860" width="7" style="1193" customWidth="1"/>
    <col min="11861" max="11861" width="9.5703125" style="1193" customWidth="1"/>
    <col min="11862" max="11862" width="7" style="1193" customWidth="1"/>
    <col min="11863" max="11863" width="9" style="1193" customWidth="1"/>
    <col min="11864" max="11873" width="7" style="1193" customWidth="1"/>
    <col min="11874" max="11877" width="11.140625" style="1193" customWidth="1"/>
    <col min="11878" max="11878" width="11.42578125" style="1193" customWidth="1"/>
    <col min="11879" max="11879" width="11.85546875" style="1193" customWidth="1"/>
    <col min="11880" max="11887" width="11.140625" style="1193" customWidth="1"/>
    <col min="11888" max="11893" width="7" style="1193" customWidth="1"/>
    <col min="11894" max="11894" width="10" style="1193" customWidth="1"/>
    <col min="11895" max="11895" width="7" style="1193" customWidth="1"/>
    <col min="11896" max="11896" width="8.42578125" style="1193" customWidth="1"/>
    <col min="11897" max="11897" width="7" style="1193" customWidth="1"/>
    <col min="11898" max="11898" width="8.42578125" style="1193" customWidth="1"/>
    <col min="11899" max="11899" width="7" style="1193" customWidth="1"/>
    <col min="11900" max="11900" width="9" style="1193" customWidth="1"/>
    <col min="11901" max="11901" width="7" style="1193" customWidth="1"/>
    <col min="11902" max="11902" width="9.5703125" style="1193" customWidth="1"/>
    <col min="11903" max="11903" width="7" style="1193" customWidth="1"/>
    <col min="11904" max="11915" width="9.140625" style="1193" customWidth="1"/>
    <col min="11916" max="11916" width="9.28515625" style="1193" bestFit="1" customWidth="1"/>
    <col min="11917" max="12032" width="9.140625" style="1193"/>
    <col min="12033" max="12033" width="5.28515625" style="1193" customWidth="1"/>
    <col min="12034" max="12034" width="48" style="1193" customWidth="1"/>
    <col min="12035" max="12035" width="9.5703125" style="1193" customWidth="1"/>
    <col min="12036" max="12036" width="6" style="1193" customWidth="1"/>
    <col min="12037" max="12037" width="7" style="1193" customWidth="1"/>
    <col min="12038" max="12038" width="9.7109375" style="1193" customWidth="1"/>
    <col min="12039" max="12039" width="7" style="1193" customWidth="1"/>
    <col min="12040" max="12040" width="9.28515625" style="1193" customWidth="1"/>
    <col min="12041" max="12041" width="7" style="1193" customWidth="1"/>
    <col min="12042" max="12042" width="9.85546875" style="1193" customWidth="1"/>
    <col min="12043" max="12043" width="7" style="1193" customWidth="1"/>
    <col min="12044" max="12044" width="9.85546875" style="1193" customWidth="1"/>
    <col min="12045" max="12045" width="7" style="1193" customWidth="1"/>
    <col min="12046" max="12046" width="10.5703125" style="1193" customWidth="1"/>
    <col min="12047" max="12055" width="7" style="1193" customWidth="1"/>
    <col min="12056" max="12060" width="7.7109375" style="1193" customWidth="1"/>
    <col min="12061" max="12073" width="7" style="1193" customWidth="1"/>
    <col min="12074" max="12074" width="9.5703125" style="1193" customWidth="1"/>
    <col min="12075" max="12075" width="7" style="1193" customWidth="1"/>
    <col min="12076" max="12076" width="9.140625" style="1193" customWidth="1"/>
    <col min="12077" max="12077" width="7" style="1193" customWidth="1"/>
    <col min="12078" max="12078" width="8.85546875" style="1193" customWidth="1"/>
    <col min="12079" max="12079" width="7" style="1193" customWidth="1"/>
    <col min="12080" max="12080" width="9" style="1193" customWidth="1"/>
    <col min="12081" max="12081" width="7" style="1193" customWidth="1"/>
    <col min="12082" max="12082" width="8.85546875" style="1193" customWidth="1"/>
    <col min="12083" max="12083" width="7" style="1193" customWidth="1"/>
    <col min="12084" max="12084" width="8.42578125" style="1193" customWidth="1"/>
    <col min="12085" max="12085" width="7" style="1193" customWidth="1"/>
    <col min="12086" max="12086" width="8.42578125" style="1193" customWidth="1"/>
    <col min="12087" max="12087" width="7" style="1193" customWidth="1"/>
    <col min="12088" max="12088" width="8.42578125" style="1193" customWidth="1"/>
    <col min="12089" max="12089" width="7" style="1193" customWidth="1"/>
    <col min="12090" max="12090" width="8.28515625" style="1193" customWidth="1"/>
    <col min="12091" max="12104" width="7" style="1193" customWidth="1"/>
    <col min="12105" max="12105" width="9" style="1193" customWidth="1"/>
    <col min="12106" max="12106" width="7" style="1193" customWidth="1"/>
    <col min="12107" max="12107" width="9.28515625" style="1193" customWidth="1"/>
    <col min="12108" max="12108" width="7" style="1193" customWidth="1"/>
    <col min="12109" max="12109" width="10.140625" style="1193" customWidth="1"/>
    <col min="12110" max="12110" width="7" style="1193" customWidth="1"/>
    <col min="12111" max="12111" width="10" style="1193" customWidth="1"/>
    <col min="12112" max="12112" width="7" style="1193" customWidth="1"/>
    <col min="12113" max="12113" width="8.85546875" style="1193" customWidth="1"/>
    <col min="12114" max="12114" width="7" style="1193" customWidth="1"/>
    <col min="12115" max="12115" width="9" style="1193" customWidth="1"/>
    <col min="12116" max="12116" width="7" style="1193" customWidth="1"/>
    <col min="12117" max="12117" width="9.5703125" style="1193" customWidth="1"/>
    <col min="12118" max="12118" width="7" style="1193" customWidth="1"/>
    <col min="12119" max="12119" width="9" style="1193" customWidth="1"/>
    <col min="12120" max="12129" width="7" style="1193" customWidth="1"/>
    <col min="12130" max="12133" width="11.140625" style="1193" customWidth="1"/>
    <col min="12134" max="12134" width="11.42578125" style="1193" customWidth="1"/>
    <col min="12135" max="12135" width="11.85546875" style="1193" customWidth="1"/>
    <col min="12136" max="12143" width="11.140625" style="1193" customWidth="1"/>
    <col min="12144" max="12149" width="7" style="1193" customWidth="1"/>
    <col min="12150" max="12150" width="10" style="1193" customWidth="1"/>
    <col min="12151" max="12151" width="7" style="1193" customWidth="1"/>
    <col min="12152" max="12152" width="8.42578125" style="1193" customWidth="1"/>
    <col min="12153" max="12153" width="7" style="1193" customWidth="1"/>
    <col min="12154" max="12154" width="8.42578125" style="1193" customWidth="1"/>
    <col min="12155" max="12155" width="7" style="1193" customWidth="1"/>
    <col min="12156" max="12156" width="9" style="1193" customWidth="1"/>
    <col min="12157" max="12157" width="7" style="1193" customWidth="1"/>
    <col min="12158" max="12158" width="9.5703125" style="1193" customWidth="1"/>
    <col min="12159" max="12159" width="7" style="1193" customWidth="1"/>
    <col min="12160" max="12171" width="9.140625" style="1193" customWidth="1"/>
    <col min="12172" max="12172" width="9.28515625" style="1193" bestFit="1" customWidth="1"/>
    <col min="12173" max="12288" width="9.140625" style="1193"/>
    <col min="12289" max="12289" width="5.28515625" style="1193" customWidth="1"/>
    <col min="12290" max="12290" width="48" style="1193" customWidth="1"/>
    <col min="12291" max="12291" width="9.5703125" style="1193" customWidth="1"/>
    <col min="12292" max="12292" width="6" style="1193" customWidth="1"/>
    <col min="12293" max="12293" width="7" style="1193" customWidth="1"/>
    <col min="12294" max="12294" width="9.7109375" style="1193" customWidth="1"/>
    <col min="12295" max="12295" width="7" style="1193" customWidth="1"/>
    <col min="12296" max="12296" width="9.28515625" style="1193" customWidth="1"/>
    <col min="12297" max="12297" width="7" style="1193" customWidth="1"/>
    <col min="12298" max="12298" width="9.85546875" style="1193" customWidth="1"/>
    <col min="12299" max="12299" width="7" style="1193" customWidth="1"/>
    <col min="12300" max="12300" width="9.85546875" style="1193" customWidth="1"/>
    <col min="12301" max="12301" width="7" style="1193" customWidth="1"/>
    <col min="12302" max="12302" width="10.5703125" style="1193" customWidth="1"/>
    <col min="12303" max="12311" width="7" style="1193" customWidth="1"/>
    <col min="12312" max="12316" width="7.7109375" style="1193" customWidth="1"/>
    <col min="12317" max="12329" width="7" style="1193" customWidth="1"/>
    <col min="12330" max="12330" width="9.5703125" style="1193" customWidth="1"/>
    <col min="12331" max="12331" width="7" style="1193" customWidth="1"/>
    <col min="12332" max="12332" width="9.140625" style="1193" customWidth="1"/>
    <col min="12333" max="12333" width="7" style="1193" customWidth="1"/>
    <col min="12334" max="12334" width="8.85546875" style="1193" customWidth="1"/>
    <col min="12335" max="12335" width="7" style="1193" customWidth="1"/>
    <col min="12336" max="12336" width="9" style="1193" customWidth="1"/>
    <col min="12337" max="12337" width="7" style="1193" customWidth="1"/>
    <col min="12338" max="12338" width="8.85546875" style="1193" customWidth="1"/>
    <col min="12339" max="12339" width="7" style="1193" customWidth="1"/>
    <col min="12340" max="12340" width="8.42578125" style="1193" customWidth="1"/>
    <col min="12341" max="12341" width="7" style="1193" customWidth="1"/>
    <col min="12342" max="12342" width="8.42578125" style="1193" customWidth="1"/>
    <col min="12343" max="12343" width="7" style="1193" customWidth="1"/>
    <col min="12344" max="12344" width="8.42578125" style="1193" customWidth="1"/>
    <col min="12345" max="12345" width="7" style="1193" customWidth="1"/>
    <col min="12346" max="12346" width="8.28515625" style="1193" customWidth="1"/>
    <col min="12347" max="12360" width="7" style="1193" customWidth="1"/>
    <col min="12361" max="12361" width="9" style="1193" customWidth="1"/>
    <col min="12362" max="12362" width="7" style="1193" customWidth="1"/>
    <col min="12363" max="12363" width="9.28515625" style="1193" customWidth="1"/>
    <col min="12364" max="12364" width="7" style="1193" customWidth="1"/>
    <col min="12365" max="12365" width="10.140625" style="1193" customWidth="1"/>
    <col min="12366" max="12366" width="7" style="1193" customWidth="1"/>
    <col min="12367" max="12367" width="10" style="1193" customWidth="1"/>
    <col min="12368" max="12368" width="7" style="1193" customWidth="1"/>
    <col min="12369" max="12369" width="8.85546875" style="1193" customWidth="1"/>
    <col min="12370" max="12370" width="7" style="1193" customWidth="1"/>
    <col min="12371" max="12371" width="9" style="1193" customWidth="1"/>
    <col min="12372" max="12372" width="7" style="1193" customWidth="1"/>
    <col min="12373" max="12373" width="9.5703125" style="1193" customWidth="1"/>
    <col min="12374" max="12374" width="7" style="1193" customWidth="1"/>
    <col min="12375" max="12375" width="9" style="1193" customWidth="1"/>
    <col min="12376" max="12385" width="7" style="1193" customWidth="1"/>
    <col min="12386" max="12389" width="11.140625" style="1193" customWidth="1"/>
    <col min="12390" max="12390" width="11.42578125" style="1193" customWidth="1"/>
    <col min="12391" max="12391" width="11.85546875" style="1193" customWidth="1"/>
    <col min="12392" max="12399" width="11.140625" style="1193" customWidth="1"/>
    <col min="12400" max="12405" width="7" style="1193" customWidth="1"/>
    <col min="12406" max="12406" width="10" style="1193" customWidth="1"/>
    <col min="12407" max="12407" width="7" style="1193" customWidth="1"/>
    <col min="12408" max="12408" width="8.42578125" style="1193" customWidth="1"/>
    <col min="12409" max="12409" width="7" style="1193" customWidth="1"/>
    <col min="12410" max="12410" width="8.42578125" style="1193" customWidth="1"/>
    <col min="12411" max="12411" width="7" style="1193" customWidth="1"/>
    <col min="12412" max="12412" width="9" style="1193" customWidth="1"/>
    <col min="12413" max="12413" width="7" style="1193" customWidth="1"/>
    <col min="12414" max="12414" width="9.5703125" style="1193" customWidth="1"/>
    <col min="12415" max="12415" width="7" style="1193" customWidth="1"/>
    <col min="12416" max="12427" width="9.140625" style="1193" customWidth="1"/>
    <col min="12428" max="12428" width="9.28515625" style="1193" bestFit="1" customWidth="1"/>
    <col min="12429" max="12544" width="9.140625" style="1193"/>
    <col min="12545" max="12545" width="5.28515625" style="1193" customWidth="1"/>
    <col min="12546" max="12546" width="48" style="1193" customWidth="1"/>
    <col min="12547" max="12547" width="9.5703125" style="1193" customWidth="1"/>
    <col min="12548" max="12548" width="6" style="1193" customWidth="1"/>
    <col min="12549" max="12549" width="7" style="1193" customWidth="1"/>
    <col min="12550" max="12550" width="9.7109375" style="1193" customWidth="1"/>
    <col min="12551" max="12551" width="7" style="1193" customWidth="1"/>
    <col min="12552" max="12552" width="9.28515625" style="1193" customWidth="1"/>
    <col min="12553" max="12553" width="7" style="1193" customWidth="1"/>
    <col min="12554" max="12554" width="9.85546875" style="1193" customWidth="1"/>
    <col min="12555" max="12555" width="7" style="1193" customWidth="1"/>
    <col min="12556" max="12556" width="9.85546875" style="1193" customWidth="1"/>
    <col min="12557" max="12557" width="7" style="1193" customWidth="1"/>
    <col min="12558" max="12558" width="10.5703125" style="1193" customWidth="1"/>
    <col min="12559" max="12567" width="7" style="1193" customWidth="1"/>
    <col min="12568" max="12572" width="7.7109375" style="1193" customWidth="1"/>
    <col min="12573" max="12585" width="7" style="1193" customWidth="1"/>
    <col min="12586" max="12586" width="9.5703125" style="1193" customWidth="1"/>
    <col min="12587" max="12587" width="7" style="1193" customWidth="1"/>
    <col min="12588" max="12588" width="9.140625" style="1193" customWidth="1"/>
    <col min="12589" max="12589" width="7" style="1193" customWidth="1"/>
    <col min="12590" max="12590" width="8.85546875" style="1193" customWidth="1"/>
    <col min="12591" max="12591" width="7" style="1193" customWidth="1"/>
    <col min="12592" max="12592" width="9" style="1193" customWidth="1"/>
    <col min="12593" max="12593" width="7" style="1193" customWidth="1"/>
    <col min="12594" max="12594" width="8.85546875" style="1193" customWidth="1"/>
    <col min="12595" max="12595" width="7" style="1193" customWidth="1"/>
    <col min="12596" max="12596" width="8.42578125" style="1193" customWidth="1"/>
    <col min="12597" max="12597" width="7" style="1193" customWidth="1"/>
    <col min="12598" max="12598" width="8.42578125" style="1193" customWidth="1"/>
    <col min="12599" max="12599" width="7" style="1193" customWidth="1"/>
    <col min="12600" max="12600" width="8.42578125" style="1193" customWidth="1"/>
    <col min="12601" max="12601" width="7" style="1193" customWidth="1"/>
    <col min="12602" max="12602" width="8.28515625" style="1193" customWidth="1"/>
    <col min="12603" max="12616" width="7" style="1193" customWidth="1"/>
    <col min="12617" max="12617" width="9" style="1193" customWidth="1"/>
    <col min="12618" max="12618" width="7" style="1193" customWidth="1"/>
    <col min="12619" max="12619" width="9.28515625" style="1193" customWidth="1"/>
    <col min="12620" max="12620" width="7" style="1193" customWidth="1"/>
    <col min="12621" max="12621" width="10.140625" style="1193" customWidth="1"/>
    <col min="12622" max="12622" width="7" style="1193" customWidth="1"/>
    <col min="12623" max="12623" width="10" style="1193" customWidth="1"/>
    <col min="12624" max="12624" width="7" style="1193" customWidth="1"/>
    <col min="12625" max="12625" width="8.85546875" style="1193" customWidth="1"/>
    <col min="12626" max="12626" width="7" style="1193" customWidth="1"/>
    <col min="12627" max="12627" width="9" style="1193" customWidth="1"/>
    <col min="12628" max="12628" width="7" style="1193" customWidth="1"/>
    <col min="12629" max="12629" width="9.5703125" style="1193" customWidth="1"/>
    <col min="12630" max="12630" width="7" style="1193" customWidth="1"/>
    <col min="12631" max="12631" width="9" style="1193" customWidth="1"/>
    <col min="12632" max="12641" width="7" style="1193" customWidth="1"/>
    <col min="12642" max="12645" width="11.140625" style="1193" customWidth="1"/>
    <col min="12646" max="12646" width="11.42578125" style="1193" customWidth="1"/>
    <col min="12647" max="12647" width="11.85546875" style="1193" customWidth="1"/>
    <col min="12648" max="12655" width="11.140625" style="1193" customWidth="1"/>
    <col min="12656" max="12661" width="7" style="1193" customWidth="1"/>
    <col min="12662" max="12662" width="10" style="1193" customWidth="1"/>
    <col min="12663" max="12663" width="7" style="1193" customWidth="1"/>
    <col min="12664" max="12664" width="8.42578125" style="1193" customWidth="1"/>
    <col min="12665" max="12665" width="7" style="1193" customWidth="1"/>
    <col min="12666" max="12666" width="8.42578125" style="1193" customWidth="1"/>
    <col min="12667" max="12667" width="7" style="1193" customWidth="1"/>
    <col min="12668" max="12668" width="9" style="1193" customWidth="1"/>
    <col min="12669" max="12669" width="7" style="1193" customWidth="1"/>
    <col min="12670" max="12670" width="9.5703125" style="1193" customWidth="1"/>
    <col min="12671" max="12671" width="7" style="1193" customWidth="1"/>
    <col min="12672" max="12683" width="9.140625" style="1193" customWidth="1"/>
    <col min="12684" max="12684" width="9.28515625" style="1193" bestFit="1" customWidth="1"/>
    <col min="12685" max="12800" width="9.140625" style="1193"/>
    <col min="12801" max="12801" width="5.28515625" style="1193" customWidth="1"/>
    <col min="12802" max="12802" width="48" style="1193" customWidth="1"/>
    <col min="12803" max="12803" width="9.5703125" style="1193" customWidth="1"/>
    <col min="12804" max="12804" width="6" style="1193" customWidth="1"/>
    <col min="12805" max="12805" width="7" style="1193" customWidth="1"/>
    <col min="12806" max="12806" width="9.7109375" style="1193" customWidth="1"/>
    <col min="12807" max="12807" width="7" style="1193" customWidth="1"/>
    <col min="12808" max="12808" width="9.28515625" style="1193" customWidth="1"/>
    <col min="12809" max="12809" width="7" style="1193" customWidth="1"/>
    <col min="12810" max="12810" width="9.85546875" style="1193" customWidth="1"/>
    <col min="12811" max="12811" width="7" style="1193" customWidth="1"/>
    <col min="12812" max="12812" width="9.85546875" style="1193" customWidth="1"/>
    <col min="12813" max="12813" width="7" style="1193" customWidth="1"/>
    <col min="12814" max="12814" width="10.5703125" style="1193" customWidth="1"/>
    <col min="12815" max="12823" width="7" style="1193" customWidth="1"/>
    <col min="12824" max="12828" width="7.7109375" style="1193" customWidth="1"/>
    <col min="12829" max="12841" width="7" style="1193" customWidth="1"/>
    <col min="12842" max="12842" width="9.5703125" style="1193" customWidth="1"/>
    <col min="12843" max="12843" width="7" style="1193" customWidth="1"/>
    <col min="12844" max="12844" width="9.140625" style="1193" customWidth="1"/>
    <col min="12845" max="12845" width="7" style="1193" customWidth="1"/>
    <col min="12846" max="12846" width="8.85546875" style="1193" customWidth="1"/>
    <col min="12847" max="12847" width="7" style="1193" customWidth="1"/>
    <col min="12848" max="12848" width="9" style="1193" customWidth="1"/>
    <col min="12849" max="12849" width="7" style="1193" customWidth="1"/>
    <col min="12850" max="12850" width="8.85546875" style="1193" customWidth="1"/>
    <col min="12851" max="12851" width="7" style="1193" customWidth="1"/>
    <col min="12852" max="12852" width="8.42578125" style="1193" customWidth="1"/>
    <col min="12853" max="12853" width="7" style="1193" customWidth="1"/>
    <col min="12854" max="12854" width="8.42578125" style="1193" customWidth="1"/>
    <col min="12855" max="12855" width="7" style="1193" customWidth="1"/>
    <col min="12856" max="12856" width="8.42578125" style="1193" customWidth="1"/>
    <col min="12857" max="12857" width="7" style="1193" customWidth="1"/>
    <col min="12858" max="12858" width="8.28515625" style="1193" customWidth="1"/>
    <col min="12859" max="12872" width="7" style="1193" customWidth="1"/>
    <col min="12873" max="12873" width="9" style="1193" customWidth="1"/>
    <col min="12874" max="12874" width="7" style="1193" customWidth="1"/>
    <col min="12875" max="12875" width="9.28515625" style="1193" customWidth="1"/>
    <col min="12876" max="12876" width="7" style="1193" customWidth="1"/>
    <col min="12877" max="12877" width="10.140625" style="1193" customWidth="1"/>
    <col min="12878" max="12878" width="7" style="1193" customWidth="1"/>
    <col min="12879" max="12879" width="10" style="1193" customWidth="1"/>
    <col min="12880" max="12880" width="7" style="1193" customWidth="1"/>
    <col min="12881" max="12881" width="8.85546875" style="1193" customWidth="1"/>
    <col min="12882" max="12882" width="7" style="1193" customWidth="1"/>
    <col min="12883" max="12883" width="9" style="1193" customWidth="1"/>
    <col min="12884" max="12884" width="7" style="1193" customWidth="1"/>
    <col min="12885" max="12885" width="9.5703125" style="1193" customWidth="1"/>
    <col min="12886" max="12886" width="7" style="1193" customWidth="1"/>
    <col min="12887" max="12887" width="9" style="1193" customWidth="1"/>
    <col min="12888" max="12897" width="7" style="1193" customWidth="1"/>
    <col min="12898" max="12901" width="11.140625" style="1193" customWidth="1"/>
    <col min="12902" max="12902" width="11.42578125" style="1193" customWidth="1"/>
    <col min="12903" max="12903" width="11.85546875" style="1193" customWidth="1"/>
    <col min="12904" max="12911" width="11.140625" style="1193" customWidth="1"/>
    <col min="12912" max="12917" width="7" style="1193" customWidth="1"/>
    <col min="12918" max="12918" width="10" style="1193" customWidth="1"/>
    <col min="12919" max="12919" width="7" style="1193" customWidth="1"/>
    <col min="12920" max="12920" width="8.42578125" style="1193" customWidth="1"/>
    <col min="12921" max="12921" width="7" style="1193" customWidth="1"/>
    <col min="12922" max="12922" width="8.42578125" style="1193" customWidth="1"/>
    <col min="12923" max="12923" width="7" style="1193" customWidth="1"/>
    <col min="12924" max="12924" width="9" style="1193" customWidth="1"/>
    <col min="12925" max="12925" width="7" style="1193" customWidth="1"/>
    <col min="12926" max="12926" width="9.5703125" style="1193" customWidth="1"/>
    <col min="12927" max="12927" width="7" style="1193" customWidth="1"/>
    <col min="12928" max="12939" width="9.140625" style="1193" customWidth="1"/>
    <col min="12940" max="12940" width="9.28515625" style="1193" bestFit="1" customWidth="1"/>
    <col min="12941" max="13056" width="9.140625" style="1193"/>
    <col min="13057" max="13057" width="5.28515625" style="1193" customWidth="1"/>
    <col min="13058" max="13058" width="48" style="1193" customWidth="1"/>
    <col min="13059" max="13059" width="9.5703125" style="1193" customWidth="1"/>
    <col min="13060" max="13060" width="6" style="1193" customWidth="1"/>
    <col min="13061" max="13061" width="7" style="1193" customWidth="1"/>
    <col min="13062" max="13062" width="9.7109375" style="1193" customWidth="1"/>
    <col min="13063" max="13063" width="7" style="1193" customWidth="1"/>
    <col min="13064" max="13064" width="9.28515625" style="1193" customWidth="1"/>
    <col min="13065" max="13065" width="7" style="1193" customWidth="1"/>
    <col min="13066" max="13066" width="9.85546875" style="1193" customWidth="1"/>
    <col min="13067" max="13067" width="7" style="1193" customWidth="1"/>
    <col min="13068" max="13068" width="9.85546875" style="1193" customWidth="1"/>
    <col min="13069" max="13069" width="7" style="1193" customWidth="1"/>
    <col min="13070" max="13070" width="10.5703125" style="1193" customWidth="1"/>
    <col min="13071" max="13079" width="7" style="1193" customWidth="1"/>
    <col min="13080" max="13084" width="7.7109375" style="1193" customWidth="1"/>
    <col min="13085" max="13097" width="7" style="1193" customWidth="1"/>
    <col min="13098" max="13098" width="9.5703125" style="1193" customWidth="1"/>
    <col min="13099" max="13099" width="7" style="1193" customWidth="1"/>
    <col min="13100" max="13100" width="9.140625" style="1193" customWidth="1"/>
    <col min="13101" max="13101" width="7" style="1193" customWidth="1"/>
    <col min="13102" max="13102" width="8.85546875" style="1193" customWidth="1"/>
    <col min="13103" max="13103" width="7" style="1193" customWidth="1"/>
    <col min="13104" max="13104" width="9" style="1193" customWidth="1"/>
    <col min="13105" max="13105" width="7" style="1193" customWidth="1"/>
    <col min="13106" max="13106" width="8.85546875" style="1193" customWidth="1"/>
    <col min="13107" max="13107" width="7" style="1193" customWidth="1"/>
    <col min="13108" max="13108" width="8.42578125" style="1193" customWidth="1"/>
    <col min="13109" max="13109" width="7" style="1193" customWidth="1"/>
    <col min="13110" max="13110" width="8.42578125" style="1193" customWidth="1"/>
    <col min="13111" max="13111" width="7" style="1193" customWidth="1"/>
    <col min="13112" max="13112" width="8.42578125" style="1193" customWidth="1"/>
    <col min="13113" max="13113" width="7" style="1193" customWidth="1"/>
    <col min="13114" max="13114" width="8.28515625" style="1193" customWidth="1"/>
    <col min="13115" max="13128" width="7" style="1193" customWidth="1"/>
    <col min="13129" max="13129" width="9" style="1193" customWidth="1"/>
    <col min="13130" max="13130" width="7" style="1193" customWidth="1"/>
    <col min="13131" max="13131" width="9.28515625" style="1193" customWidth="1"/>
    <col min="13132" max="13132" width="7" style="1193" customWidth="1"/>
    <col min="13133" max="13133" width="10.140625" style="1193" customWidth="1"/>
    <col min="13134" max="13134" width="7" style="1193" customWidth="1"/>
    <col min="13135" max="13135" width="10" style="1193" customWidth="1"/>
    <col min="13136" max="13136" width="7" style="1193" customWidth="1"/>
    <col min="13137" max="13137" width="8.85546875" style="1193" customWidth="1"/>
    <col min="13138" max="13138" width="7" style="1193" customWidth="1"/>
    <col min="13139" max="13139" width="9" style="1193" customWidth="1"/>
    <col min="13140" max="13140" width="7" style="1193" customWidth="1"/>
    <col min="13141" max="13141" width="9.5703125" style="1193" customWidth="1"/>
    <col min="13142" max="13142" width="7" style="1193" customWidth="1"/>
    <col min="13143" max="13143" width="9" style="1193" customWidth="1"/>
    <col min="13144" max="13153" width="7" style="1193" customWidth="1"/>
    <col min="13154" max="13157" width="11.140625" style="1193" customWidth="1"/>
    <col min="13158" max="13158" width="11.42578125" style="1193" customWidth="1"/>
    <col min="13159" max="13159" width="11.85546875" style="1193" customWidth="1"/>
    <col min="13160" max="13167" width="11.140625" style="1193" customWidth="1"/>
    <col min="13168" max="13173" width="7" style="1193" customWidth="1"/>
    <col min="13174" max="13174" width="10" style="1193" customWidth="1"/>
    <col min="13175" max="13175" width="7" style="1193" customWidth="1"/>
    <col min="13176" max="13176" width="8.42578125" style="1193" customWidth="1"/>
    <col min="13177" max="13177" width="7" style="1193" customWidth="1"/>
    <col min="13178" max="13178" width="8.42578125" style="1193" customWidth="1"/>
    <col min="13179" max="13179" width="7" style="1193" customWidth="1"/>
    <col min="13180" max="13180" width="9" style="1193" customWidth="1"/>
    <col min="13181" max="13181" width="7" style="1193" customWidth="1"/>
    <col min="13182" max="13182" width="9.5703125" style="1193" customWidth="1"/>
    <col min="13183" max="13183" width="7" style="1193" customWidth="1"/>
    <col min="13184" max="13195" width="9.140625" style="1193" customWidth="1"/>
    <col min="13196" max="13196" width="9.28515625" style="1193" bestFit="1" customWidth="1"/>
    <col min="13197" max="13312" width="9.140625" style="1193"/>
    <col min="13313" max="13313" width="5.28515625" style="1193" customWidth="1"/>
    <col min="13314" max="13314" width="48" style="1193" customWidth="1"/>
    <col min="13315" max="13315" width="9.5703125" style="1193" customWidth="1"/>
    <col min="13316" max="13316" width="6" style="1193" customWidth="1"/>
    <col min="13317" max="13317" width="7" style="1193" customWidth="1"/>
    <col min="13318" max="13318" width="9.7109375" style="1193" customWidth="1"/>
    <col min="13319" max="13319" width="7" style="1193" customWidth="1"/>
    <col min="13320" max="13320" width="9.28515625" style="1193" customWidth="1"/>
    <col min="13321" max="13321" width="7" style="1193" customWidth="1"/>
    <col min="13322" max="13322" width="9.85546875" style="1193" customWidth="1"/>
    <col min="13323" max="13323" width="7" style="1193" customWidth="1"/>
    <col min="13324" max="13324" width="9.85546875" style="1193" customWidth="1"/>
    <col min="13325" max="13325" width="7" style="1193" customWidth="1"/>
    <col min="13326" max="13326" width="10.5703125" style="1193" customWidth="1"/>
    <col min="13327" max="13335" width="7" style="1193" customWidth="1"/>
    <col min="13336" max="13340" width="7.7109375" style="1193" customWidth="1"/>
    <col min="13341" max="13353" width="7" style="1193" customWidth="1"/>
    <col min="13354" max="13354" width="9.5703125" style="1193" customWidth="1"/>
    <col min="13355" max="13355" width="7" style="1193" customWidth="1"/>
    <col min="13356" max="13356" width="9.140625" style="1193" customWidth="1"/>
    <col min="13357" max="13357" width="7" style="1193" customWidth="1"/>
    <col min="13358" max="13358" width="8.85546875" style="1193" customWidth="1"/>
    <col min="13359" max="13359" width="7" style="1193" customWidth="1"/>
    <col min="13360" max="13360" width="9" style="1193" customWidth="1"/>
    <col min="13361" max="13361" width="7" style="1193" customWidth="1"/>
    <col min="13362" max="13362" width="8.85546875" style="1193" customWidth="1"/>
    <col min="13363" max="13363" width="7" style="1193" customWidth="1"/>
    <col min="13364" max="13364" width="8.42578125" style="1193" customWidth="1"/>
    <col min="13365" max="13365" width="7" style="1193" customWidth="1"/>
    <col min="13366" max="13366" width="8.42578125" style="1193" customWidth="1"/>
    <col min="13367" max="13367" width="7" style="1193" customWidth="1"/>
    <col min="13368" max="13368" width="8.42578125" style="1193" customWidth="1"/>
    <col min="13369" max="13369" width="7" style="1193" customWidth="1"/>
    <col min="13370" max="13370" width="8.28515625" style="1193" customWidth="1"/>
    <col min="13371" max="13384" width="7" style="1193" customWidth="1"/>
    <col min="13385" max="13385" width="9" style="1193" customWidth="1"/>
    <col min="13386" max="13386" width="7" style="1193" customWidth="1"/>
    <col min="13387" max="13387" width="9.28515625" style="1193" customWidth="1"/>
    <col min="13388" max="13388" width="7" style="1193" customWidth="1"/>
    <col min="13389" max="13389" width="10.140625" style="1193" customWidth="1"/>
    <col min="13390" max="13390" width="7" style="1193" customWidth="1"/>
    <col min="13391" max="13391" width="10" style="1193" customWidth="1"/>
    <col min="13392" max="13392" width="7" style="1193" customWidth="1"/>
    <col min="13393" max="13393" width="8.85546875" style="1193" customWidth="1"/>
    <col min="13394" max="13394" width="7" style="1193" customWidth="1"/>
    <col min="13395" max="13395" width="9" style="1193" customWidth="1"/>
    <col min="13396" max="13396" width="7" style="1193" customWidth="1"/>
    <col min="13397" max="13397" width="9.5703125" style="1193" customWidth="1"/>
    <col min="13398" max="13398" width="7" style="1193" customWidth="1"/>
    <col min="13399" max="13399" width="9" style="1193" customWidth="1"/>
    <col min="13400" max="13409" width="7" style="1193" customWidth="1"/>
    <col min="13410" max="13413" width="11.140625" style="1193" customWidth="1"/>
    <col min="13414" max="13414" width="11.42578125" style="1193" customWidth="1"/>
    <col min="13415" max="13415" width="11.85546875" style="1193" customWidth="1"/>
    <col min="13416" max="13423" width="11.140625" style="1193" customWidth="1"/>
    <col min="13424" max="13429" width="7" style="1193" customWidth="1"/>
    <col min="13430" max="13430" width="10" style="1193" customWidth="1"/>
    <col min="13431" max="13431" width="7" style="1193" customWidth="1"/>
    <col min="13432" max="13432" width="8.42578125" style="1193" customWidth="1"/>
    <col min="13433" max="13433" width="7" style="1193" customWidth="1"/>
    <col min="13434" max="13434" width="8.42578125" style="1193" customWidth="1"/>
    <col min="13435" max="13435" width="7" style="1193" customWidth="1"/>
    <col min="13436" max="13436" width="9" style="1193" customWidth="1"/>
    <col min="13437" max="13437" width="7" style="1193" customWidth="1"/>
    <col min="13438" max="13438" width="9.5703125" style="1193" customWidth="1"/>
    <col min="13439" max="13439" width="7" style="1193" customWidth="1"/>
    <col min="13440" max="13451" width="9.140625" style="1193" customWidth="1"/>
    <col min="13452" max="13452" width="9.28515625" style="1193" bestFit="1" customWidth="1"/>
    <col min="13453" max="13568" width="9.140625" style="1193"/>
    <col min="13569" max="13569" width="5.28515625" style="1193" customWidth="1"/>
    <col min="13570" max="13570" width="48" style="1193" customWidth="1"/>
    <col min="13571" max="13571" width="9.5703125" style="1193" customWidth="1"/>
    <col min="13572" max="13572" width="6" style="1193" customWidth="1"/>
    <col min="13573" max="13573" width="7" style="1193" customWidth="1"/>
    <col min="13574" max="13574" width="9.7109375" style="1193" customWidth="1"/>
    <col min="13575" max="13575" width="7" style="1193" customWidth="1"/>
    <col min="13576" max="13576" width="9.28515625" style="1193" customWidth="1"/>
    <col min="13577" max="13577" width="7" style="1193" customWidth="1"/>
    <col min="13578" max="13578" width="9.85546875" style="1193" customWidth="1"/>
    <col min="13579" max="13579" width="7" style="1193" customWidth="1"/>
    <col min="13580" max="13580" width="9.85546875" style="1193" customWidth="1"/>
    <col min="13581" max="13581" width="7" style="1193" customWidth="1"/>
    <col min="13582" max="13582" width="10.5703125" style="1193" customWidth="1"/>
    <col min="13583" max="13591" width="7" style="1193" customWidth="1"/>
    <col min="13592" max="13596" width="7.7109375" style="1193" customWidth="1"/>
    <col min="13597" max="13609" width="7" style="1193" customWidth="1"/>
    <col min="13610" max="13610" width="9.5703125" style="1193" customWidth="1"/>
    <col min="13611" max="13611" width="7" style="1193" customWidth="1"/>
    <col min="13612" max="13612" width="9.140625" style="1193" customWidth="1"/>
    <col min="13613" max="13613" width="7" style="1193" customWidth="1"/>
    <col min="13614" max="13614" width="8.85546875" style="1193" customWidth="1"/>
    <col min="13615" max="13615" width="7" style="1193" customWidth="1"/>
    <col min="13616" max="13616" width="9" style="1193" customWidth="1"/>
    <col min="13617" max="13617" width="7" style="1193" customWidth="1"/>
    <col min="13618" max="13618" width="8.85546875" style="1193" customWidth="1"/>
    <col min="13619" max="13619" width="7" style="1193" customWidth="1"/>
    <col min="13620" max="13620" width="8.42578125" style="1193" customWidth="1"/>
    <col min="13621" max="13621" width="7" style="1193" customWidth="1"/>
    <col min="13622" max="13622" width="8.42578125" style="1193" customWidth="1"/>
    <col min="13623" max="13623" width="7" style="1193" customWidth="1"/>
    <col min="13624" max="13624" width="8.42578125" style="1193" customWidth="1"/>
    <col min="13625" max="13625" width="7" style="1193" customWidth="1"/>
    <col min="13626" max="13626" width="8.28515625" style="1193" customWidth="1"/>
    <col min="13627" max="13640" width="7" style="1193" customWidth="1"/>
    <col min="13641" max="13641" width="9" style="1193" customWidth="1"/>
    <col min="13642" max="13642" width="7" style="1193" customWidth="1"/>
    <col min="13643" max="13643" width="9.28515625" style="1193" customWidth="1"/>
    <col min="13644" max="13644" width="7" style="1193" customWidth="1"/>
    <col min="13645" max="13645" width="10.140625" style="1193" customWidth="1"/>
    <col min="13646" max="13646" width="7" style="1193" customWidth="1"/>
    <col min="13647" max="13647" width="10" style="1193" customWidth="1"/>
    <col min="13648" max="13648" width="7" style="1193" customWidth="1"/>
    <col min="13649" max="13649" width="8.85546875" style="1193" customWidth="1"/>
    <col min="13650" max="13650" width="7" style="1193" customWidth="1"/>
    <col min="13651" max="13651" width="9" style="1193" customWidth="1"/>
    <col min="13652" max="13652" width="7" style="1193" customWidth="1"/>
    <col min="13653" max="13653" width="9.5703125" style="1193" customWidth="1"/>
    <col min="13654" max="13654" width="7" style="1193" customWidth="1"/>
    <col min="13655" max="13655" width="9" style="1193" customWidth="1"/>
    <col min="13656" max="13665" width="7" style="1193" customWidth="1"/>
    <col min="13666" max="13669" width="11.140625" style="1193" customWidth="1"/>
    <col min="13670" max="13670" width="11.42578125" style="1193" customWidth="1"/>
    <col min="13671" max="13671" width="11.85546875" style="1193" customWidth="1"/>
    <col min="13672" max="13679" width="11.140625" style="1193" customWidth="1"/>
    <col min="13680" max="13685" width="7" style="1193" customWidth="1"/>
    <col min="13686" max="13686" width="10" style="1193" customWidth="1"/>
    <col min="13687" max="13687" width="7" style="1193" customWidth="1"/>
    <col min="13688" max="13688" width="8.42578125" style="1193" customWidth="1"/>
    <col min="13689" max="13689" width="7" style="1193" customWidth="1"/>
    <col min="13690" max="13690" width="8.42578125" style="1193" customWidth="1"/>
    <col min="13691" max="13691" width="7" style="1193" customWidth="1"/>
    <col min="13692" max="13692" width="9" style="1193" customWidth="1"/>
    <col min="13693" max="13693" width="7" style="1193" customWidth="1"/>
    <col min="13694" max="13694" width="9.5703125" style="1193" customWidth="1"/>
    <col min="13695" max="13695" width="7" style="1193" customWidth="1"/>
    <col min="13696" max="13707" width="9.140625" style="1193" customWidth="1"/>
    <col min="13708" max="13708" width="9.28515625" style="1193" bestFit="1" customWidth="1"/>
    <col min="13709" max="13824" width="9.140625" style="1193"/>
    <col min="13825" max="13825" width="5.28515625" style="1193" customWidth="1"/>
    <col min="13826" max="13826" width="48" style="1193" customWidth="1"/>
    <col min="13827" max="13827" width="9.5703125" style="1193" customWidth="1"/>
    <col min="13828" max="13828" width="6" style="1193" customWidth="1"/>
    <col min="13829" max="13829" width="7" style="1193" customWidth="1"/>
    <col min="13830" max="13830" width="9.7109375" style="1193" customWidth="1"/>
    <col min="13831" max="13831" width="7" style="1193" customWidth="1"/>
    <col min="13832" max="13832" width="9.28515625" style="1193" customWidth="1"/>
    <col min="13833" max="13833" width="7" style="1193" customWidth="1"/>
    <col min="13834" max="13834" width="9.85546875" style="1193" customWidth="1"/>
    <col min="13835" max="13835" width="7" style="1193" customWidth="1"/>
    <col min="13836" max="13836" width="9.85546875" style="1193" customWidth="1"/>
    <col min="13837" max="13837" width="7" style="1193" customWidth="1"/>
    <col min="13838" max="13838" width="10.5703125" style="1193" customWidth="1"/>
    <col min="13839" max="13847" width="7" style="1193" customWidth="1"/>
    <col min="13848" max="13852" width="7.7109375" style="1193" customWidth="1"/>
    <col min="13853" max="13865" width="7" style="1193" customWidth="1"/>
    <col min="13866" max="13866" width="9.5703125" style="1193" customWidth="1"/>
    <col min="13867" max="13867" width="7" style="1193" customWidth="1"/>
    <col min="13868" max="13868" width="9.140625" style="1193" customWidth="1"/>
    <col min="13869" max="13869" width="7" style="1193" customWidth="1"/>
    <col min="13870" max="13870" width="8.85546875" style="1193" customWidth="1"/>
    <col min="13871" max="13871" width="7" style="1193" customWidth="1"/>
    <col min="13872" max="13872" width="9" style="1193" customWidth="1"/>
    <col min="13873" max="13873" width="7" style="1193" customWidth="1"/>
    <col min="13874" max="13874" width="8.85546875" style="1193" customWidth="1"/>
    <col min="13875" max="13875" width="7" style="1193" customWidth="1"/>
    <col min="13876" max="13876" width="8.42578125" style="1193" customWidth="1"/>
    <col min="13877" max="13877" width="7" style="1193" customWidth="1"/>
    <col min="13878" max="13878" width="8.42578125" style="1193" customWidth="1"/>
    <col min="13879" max="13879" width="7" style="1193" customWidth="1"/>
    <col min="13880" max="13880" width="8.42578125" style="1193" customWidth="1"/>
    <col min="13881" max="13881" width="7" style="1193" customWidth="1"/>
    <col min="13882" max="13882" width="8.28515625" style="1193" customWidth="1"/>
    <col min="13883" max="13896" width="7" style="1193" customWidth="1"/>
    <col min="13897" max="13897" width="9" style="1193" customWidth="1"/>
    <col min="13898" max="13898" width="7" style="1193" customWidth="1"/>
    <col min="13899" max="13899" width="9.28515625" style="1193" customWidth="1"/>
    <col min="13900" max="13900" width="7" style="1193" customWidth="1"/>
    <col min="13901" max="13901" width="10.140625" style="1193" customWidth="1"/>
    <col min="13902" max="13902" width="7" style="1193" customWidth="1"/>
    <col min="13903" max="13903" width="10" style="1193" customWidth="1"/>
    <col min="13904" max="13904" width="7" style="1193" customWidth="1"/>
    <col min="13905" max="13905" width="8.85546875" style="1193" customWidth="1"/>
    <col min="13906" max="13906" width="7" style="1193" customWidth="1"/>
    <col min="13907" max="13907" width="9" style="1193" customWidth="1"/>
    <col min="13908" max="13908" width="7" style="1193" customWidth="1"/>
    <col min="13909" max="13909" width="9.5703125" style="1193" customWidth="1"/>
    <col min="13910" max="13910" width="7" style="1193" customWidth="1"/>
    <col min="13911" max="13911" width="9" style="1193" customWidth="1"/>
    <col min="13912" max="13921" width="7" style="1193" customWidth="1"/>
    <col min="13922" max="13925" width="11.140625" style="1193" customWidth="1"/>
    <col min="13926" max="13926" width="11.42578125" style="1193" customWidth="1"/>
    <col min="13927" max="13927" width="11.85546875" style="1193" customWidth="1"/>
    <col min="13928" max="13935" width="11.140625" style="1193" customWidth="1"/>
    <col min="13936" max="13941" width="7" style="1193" customWidth="1"/>
    <col min="13942" max="13942" width="10" style="1193" customWidth="1"/>
    <col min="13943" max="13943" width="7" style="1193" customWidth="1"/>
    <col min="13944" max="13944" width="8.42578125" style="1193" customWidth="1"/>
    <col min="13945" max="13945" width="7" style="1193" customWidth="1"/>
    <col min="13946" max="13946" width="8.42578125" style="1193" customWidth="1"/>
    <col min="13947" max="13947" width="7" style="1193" customWidth="1"/>
    <col min="13948" max="13948" width="9" style="1193" customWidth="1"/>
    <col min="13949" max="13949" width="7" style="1193" customWidth="1"/>
    <col min="13950" max="13950" width="9.5703125" style="1193" customWidth="1"/>
    <col min="13951" max="13951" width="7" style="1193" customWidth="1"/>
    <col min="13952" max="13963" width="9.140625" style="1193" customWidth="1"/>
    <col min="13964" max="13964" width="9.28515625" style="1193" bestFit="1" customWidth="1"/>
    <col min="13965" max="14080" width="9.140625" style="1193"/>
    <col min="14081" max="14081" width="5.28515625" style="1193" customWidth="1"/>
    <col min="14082" max="14082" width="48" style="1193" customWidth="1"/>
    <col min="14083" max="14083" width="9.5703125" style="1193" customWidth="1"/>
    <col min="14084" max="14084" width="6" style="1193" customWidth="1"/>
    <col min="14085" max="14085" width="7" style="1193" customWidth="1"/>
    <col min="14086" max="14086" width="9.7109375" style="1193" customWidth="1"/>
    <col min="14087" max="14087" width="7" style="1193" customWidth="1"/>
    <col min="14088" max="14088" width="9.28515625" style="1193" customWidth="1"/>
    <col min="14089" max="14089" width="7" style="1193" customWidth="1"/>
    <col min="14090" max="14090" width="9.85546875" style="1193" customWidth="1"/>
    <col min="14091" max="14091" width="7" style="1193" customWidth="1"/>
    <col min="14092" max="14092" width="9.85546875" style="1193" customWidth="1"/>
    <col min="14093" max="14093" width="7" style="1193" customWidth="1"/>
    <col min="14094" max="14094" width="10.5703125" style="1193" customWidth="1"/>
    <col min="14095" max="14103" width="7" style="1193" customWidth="1"/>
    <col min="14104" max="14108" width="7.7109375" style="1193" customWidth="1"/>
    <col min="14109" max="14121" width="7" style="1193" customWidth="1"/>
    <col min="14122" max="14122" width="9.5703125" style="1193" customWidth="1"/>
    <col min="14123" max="14123" width="7" style="1193" customWidth="1"/>
    <col min="14124" max="14124" width="9.140625" style="1193" customWidth="1"/>
    <col min="14125" max="14125" width="7" style="1193" customWidth="1"/>
    <col min="14126" max="14126" width="8.85546875" style="1193" customWidth="1"/>
    <col min="14127" max="14127" width="7" style="1193" customWidth="1"/>
    <col min="14128" max="14128" width="9" style="1193" customWidth="1"/>
    <col min="14129" max="14129" width="7" style="1193" customWidth="1"/>
    <col min="14130" max="14130" width="8.85546875" style="1193" customWidth="1"/>
    <col min="14131" max="14131" width="7" style="1193" customWidth="1"/>
    <col min="14132" max="14132" width="8.42578125" style="1193" customWidth="1"/>
    <col min="14133" max="14133" width="7" style="1193" customWidth="1"/>
    <col min="14134" max="14134" width="8.42578125" style="1193" customWidth="1"/>
    <col min="14135" max="14135" width="7" style="1193" customWidth="1"/>
    <col min="14136" max="14136" width="8.42578125" style="1193" customWidth="1"/>
    <col min="14137" max="14137" width="7" style="1193" customWidth="1"/>
    <col min="14138" max="14138" width="8.28515625" style="1193" customWidth="1"/>
    <col min="14139" max="14152" width="7" style="1193" customWidth="1"/>
    <col min="14153" max="14153" width="9" style="1193" customWidth="1"/>
    <col min="14154" max="14154" width="7" style="1193" customWidth="1"/>
    <col min="14155" max="14155" width="9.28515625" style="1193" customWidth="1"/>
    <col min="14156" max="14156" width="7" style="1193" customWidth="1"/>
    <col min="14157" max="14157" width="10.140625" style="1193" customWidth="1"/>
    <col min="14158" max="14158" width="7" style="1193" customWidth="1"/>
    <col min="14159" max="14159" width="10" style="1193" customWidth="1"/>
    <col min="14160" max="14160" width="7" style="1193" customWidth="1"/>
    <col min="14161" max="14161" width="8.85546875" style="1193" customWidth="1"/>
    <col min="14162" max="14162" width="7" style="1193" customWidth="1"/>
    <col min="14163" max="14163" width="9" style="1193" customWidth="1"/>
    <col min="14164" max="14164" width="7" style="1193" customWidth="1"/>
    <col min="14165" max="14165" width="9.5703125" style="1193" customWidth="1"/>
    <col min="14166" max="14166" width="7" style="1193" customWidth="1"/>
    <col min="14167" max="14167" width="9" style="1193" customWidth="1"/>
    <col min="14168" max="14177" width="7" style="1193" customWidth="1"/>
    <col min="14178" max="14181" width="11.140625" style="1193" customWidth="1"/>
    <col min="14182" max="14182" width="11.42578125" style="1193" customWidth="1"/>
    <col min="14183" max="14183" width="11.85546875" style="1193" customWidth="1"/>
    <col min="14184" max="14191" width="11.140625" style="1193" customWidth="1"/>
    <col min="14192" max="14197" width="7" style="1193" customWidth="1"/>
    <col min="14198" max="14198" width="10" style="1193" customWidth="1"/>
    <col min="14199" max="14199" width="7" style="1193" customWidth="1"/>
    <col min="14200" max="14200" width="8.42578125" style="1193" customWidth="1"/>
    <col min="14201" max="14201" width="7" style="1193" customWidth="1"/>
    <col min="14202" max="14202" width="8.42578125" style="1193" customWidth="1"/>
    <col min="14203" max="14203" width="7" style="1193" customWidth="1"/>
    <col min="14204" max="14204" width="9" style="1193" customWidth="1"/>
    <col min="14205" max="14205" width="7" style="1193" customWidth="1"/>
    <col min="14206" max="14206" width="9.5703125" style="1193" customWidth="1"/>
    <col min="14207" max="14207" width="7" style="1193" customWidth="1"/>
    <col min="14208" max="14219" width="9.140625" style="1193" customWidth="1"/>
    <col min="14220" max="14220" width="9.28515625" style="1193" bestFit="1" customWidth="1"/>
    <col min="14221" max="14336" width="9.140625" style="1193"/>
    <col min="14337" max="14337" width="5.28515625" style="1193" customWidth="1"/>
    <col min="14338" max="14338" width="48" style="1193" customWidth="1"/>
    <col min="14339" max="14339" width="9.5703125" style="1193" customWidth="1"/>
    <col min="14340" max="14340" width="6" style="1193" customWidth="1"/>
    <col min="14341" max="14341" width="7" style="1193" customWidth="1"/>
    <col min="14342" max="14342" width="9.7109375" style="1193" customWidth="1"/>
    <col min="14343" max="14343" width="7" style="1193" customWidth="1"/>
    <col min="14344" max="14344" width="9.28515625" style="1193" customWidth="1"/>
    <col min="14345" max="14345" width="7" style="1193" customWidth="1"/>
    <col min="14346" max="14346" width="9.85546875" style="1193" customWidth="1"/>
    <col min="14347" max="14347" width="7" style="1193" customWidth="1"/>
    <col min="14348" max="14348" width="9.85546875" style="1193" customWidth="1"/>
    <col min="14349" max="14349" width="7" style="1193" customWidth="1"/>
    <col min="14350" max="14350" width="10.5703125" style="1193" customWidth="1"/>
    <col min="14351" max="14359" width="7" style="1193" customWidth="1"/>
    <col min="14360" max="14364" width="7.7109375" style="1193" customWidth="1"/>
    <col min="14365" max="14377" width="7" style="1193" customWidth="1"/>
    <col min="14378" max="14378" width="9.5703125" style="1193" customWidth="1"/>
    <col min="14379" max="14379" width="7" style="1193" customWidth="1"/>
    <col min="14380" max="14380" width="9.140625" style="1193" customWidth="1"/>
    <col min="14381" max="14381" width="7" style="1193" customWidth="1"/>
    <col min="14382" max="14382" width="8.85546875" style="1193" customWidth="1"/>
    <col min="14383" max="14383" width="7" style="1193" customWidth="1"/>
    <col min="14384" max="14384" width="9" style="1193" customWidth="1"/>
    <col min="14385" max="14385" width="7" style="1193" customWidth="1"/>
    <col min="14386" max="14386" width="8.85546875" style="1193" customWidth="1"/>
    <col min="14387" max="14387" width="7" style="1193" customWidth="1"/>
    <col min="14388" max="14388" width="8.42578125" style="1193" customWidth="1"/>
    <col min="14389" max="14389" width="7" style="1193" customWidth="1"/>
    <col min="14390" max="14390" width="8.42578125" style="1193" customWidth="1"/>
    <col min="14391" max="14391" width="7" style="1193" customWidth="1"/>
    <col min="14392" max="14392" width="8.42578125" style="1193" customWidth="1"/>
    <col min="14393" max="14393" width="7" style="1193" customWidth="1"/>
    <col min="14394" max="14394" width="8.28515625" style="1193" customWidth="1"/>
    <col min="14395" max="14408" width="7" style="1193" customWidth="1"/>
    <col min="14409" max="14409" width="9" style="1193" customWidth="1"/>
    <col min="14410" max="14410" width="7" style="1193" customWidth="1"/>
    <col min="14411" max="14411" width="9.28515625" style="1193" customWidth="1"/>
    <col min="14412" max="14412" width="7" style="1193" customWidth="1"/>
    <col min="14413" max="14413" width="10.140625" style="1193" customWidth="1"/>
    <col min="14414" max="14414" width="7" style="1193" customWidth="1"/>
    <col min="14415" max="14415" width="10" style="1193" customWidth="1"/>
    <col min="14416" max="14416" width="7" style="1193" customWidth="1"/>
    <col min="14417" max="14417" width="8.85546875" style="1193" customWidth="1"/>
    <col min="14418" max="14418" width="7" style="1193" customWidth="1"/>
    <col min="14419" max="14419" width="9" style="1193" customWidth="1"/>
    <col min="14420" max="14420" width="7" style="1193" customWidth="1"/>
    <col min="14421" max="14421" width="9.5703125" style="1193" customWidth="1"/>
    <col min="14422" max="14422" width="7" style="1193" customWidth="1"/>
    <col min="14423" max="14423" width="9" style="1193" customWidth="1"/>
    <col min="14424" max="14433" width="7" style="1193" customWidth="1"/>
    <col min="14434" max="14437" width="11.140625" style="1193" customWidth="1"/>
    <col min="14438" max="14438" width="11.42578125" style="1193" customWidth="1"/>
    <col min="14439" max="14439" width="11.85546875" style="1193" customWidth="1"/>
    <col min="14440" max="14447" width="11.140625" style="1193" customWidth="1"/>
    <col min="14448" max="14453" width="7" style="1193" customWidth="1"/>
    <col min="14454" max="14454" width="10" style="1193" customWidth="1"/>
    <col min="14455" max="14455" width="7" style="1193" customWidth="1"/>
    <col min="14456" max="14456" width="8.42578125" style="1193" customWidth="1"/>
    <col min="14457" max="14457" width="7" style="1193" customWidth="1"/>
    <col min="14458" max="14458" width="8.42578125" style="1193" customWidth="1"/>
    <col min="14459" max="14459" width="7" style="1193" customWidth="1"/>
    <col min="14460" max="14460" width="9" style="1193" customWidth="1"/>
    <col min="14461" max="14461" width="7" style="1193" customWidth="1"/>
    <col min="14462" max="14462" width="9.5703125" style="1193" customWidth="1"/>
    <col min="14463" max="14463" width="7" style="1193" customWidth="1"/>
    <col min="14464" max="14475" width="9.140625" style="1193" customWidth="1"/>
    <col min="14476" max="14476" width="9.28515625" style="1193" bestFit="1" customWidth="1"/>
    <col min="14477" max="14592" width="9.140625" style="1193"/>
    <col min="14593" max="14593" width="5.28515625" style="1193" customWidth="1"/>
    <col min="14594" max="14594" width="48" style="1193" customWidth="1"/>
    <col min="14595" max="14595" width="9.5703125" style="1193" customWidth="1"/>
    <col min="14596" max="14596" width="6" style="1193" customWidth="1"/>
    <col min="14597" max="14597" width="7" style="1193" customWidth="1"/>
    <col min="14598" max="14598" width="9.7109375" style="1193" customWidth="1"/>
    <col min="14599" max="14599" width="7" style="1193" customWidth="1"/>
    <col min="14600" max="14600" width="9.28515625" style="1193" customWidth="1"/>
    <col min="14601" max="14601" width="7" style="1193" customWidth="1"/>
    <col min="14602" max="14602" width="9.85546875" style="1193" customWidth="1"/>
    <col min="14603" max="14603" width="7" style="1193" customWidth="1"/>
    <col min="14604" max="14604" width="9.85546875" style="1193" customWidth="1"/>
    <col min="14605" max="14605" width="7" style="1193" customWidth="1"/>
    <col min="14606" max="14606" width="10.5703125" style="1193" customWidth="1"/>
    <col min="14607" max="14615" width="7" style="1193" customWidth="1"/>
    <col min="14616" max="14620" width="7.7109375" style="1193" customWidth="1"/>
    <col min="14621" max="14633" width="7" style="1193" customWidth="1"/>
    <col min="14634" max="14634" width="9.5703125" style="1193" customWidth="1"/>
    <col min="14635" max="14635" width="7" style="1193" customWidth="1"/>
    <col min="14636" max="14636" width="9.140625" style="1193" customWidth="1"/>
    <col min="14637" max="14637" width="7" style="1193" customWidth="1"/>
    <col min="14638" max="14638" width="8.85546875" style="1193" customWidth="1"/>
    <col min="14639" max="14639" width="7" style="1193" customWidth="1"/>
    <col min="14640" max="14640" width="9" style="1193" customWidth="1"/>
    <col min="14641" max="14641" width="7" style="1193" customWidth="1"/>
    <col min="14642" max="14642" width="8.85546875" style="1193" customWidth="1"/>
    <col min="14643" max="14643" width="7" style="1193" customWidth="1"/>
    <col min="14644" max="14644" width="8.42578125" style="1193" customWidth="1"/>
    <col min="14645" max="14645" width="7" style="1193" customWidth="1"/>
    <col min="14646" max="14646" width="8.42578125" style="1193" customWidth="1"/>
    <col min="14647" max="14647" width="7" style="1193" customWidth="1"/>
    <col min="14648" max="14648" width="8.42578125" style="1193" customWidth="1"/>
    <col min="14649" max="14649" width="7" style="1193" customWidth="1"/>
    <col min="14650" max="14650" width="8.28515625" style="1193" customWidth="1"/>
    <col min="14651" max="14664" width="7" style="1193" customWidth="1"/>
    <col min="14665" max="14665" width="9" style="1193" customWidth="1"/>
    <col min="14666" max="14666" width="7" style="1193" customWidth="1"/>
    <col min="14667" max="14667" width="9.28515625" style="1193" customWidth="1"/>
    <col min="14668" max="14668" width="7" style="1193" customWidth="1"/>
    <col min="14669" max="14669" width="10.140625" style="1193" customWidth="1"/>
    <col min="14670" max="14670" width="7" style="1193" customWidth="1"/>
    <col min="14671" max="14671" width="10" style="1193" customWidth="1"/>
    <col min="14672" max="14672" width="7" style="1193" customWidth="1"/>
    <col min="14673" max="14673" width="8.85546875" style="1193" customWidth="1"/>
    <col min="14674" max="14674" width="7" style="1193" customWidth="1"/>
    <col min="14675" max="14675" width="9" style="1193" customWidth="1"/>
    <col min="14676" max="14676" width="7" style="1193" customWidth="1"/>
    <col min="14677" max="14677" width="9.5703125" style="1193" customWidth="1"/>
    <col min="14678" max="14678" width="7" style="1193" customWidth="1"/>
    <col min="14679" max="14679" width="9" style="1193" customWidth="1"/>
    <col min="14680" max="14689" width="7" style="1193" customWidth="1"/>
    <col min="14690" max="14693" width="11.140625" style="1193" customWidth="1"/>
    <col min="14694" max="14694" width="11.42578125" style="1193" customWidth="1"/>
    <col min="14695" max="14695" width="11.85546875" style="1193" customWidth="1"/>
    <col min="14696" max="14703" width="11.140625" style="1193" customWidth="1"/>
    <col min="14704" max="14709" width="7" style="1193" customWidth="1"/>
    <col min="14710" max="14710" width="10" style="1193" customWidth="1"/>
    <col min="14711" max="14711" width="7" style="1193" customWidth="1"/>
    <col min="14712" max="14712" width="8.42578125" style="1193" customWidth="1"/>
    <col min="14713" max="14713" width="7" style="1193" customWidth="1"/>
    <col min="14714" max="14714" width="8.42578125" style="1193" customWidth="1"/>
    <col min="14715" max="14715" width="7" style="1193" customWidth="1"/>
    <col min="14716" max="14716" width="9" style="1193" customWidth="1"/>
    <col min="14717" max="14717" width="7" style="1193" customWidth="1"/>
    <col min="14718" max="14718" width="9.5703125" style="1193" customWidth="1"/>
    <col min="14719" max="14719" width="7" style="1193" customWidth="1"/>
    <col min="14720" max="14731" width="9.140625" style="1193" customWidth="1"/>
    <col min="14732" max="14732" width="9.28515625" style="1193" bestFit="1" customWidth="1"/>
    <col min="14733" max="14848" width="9.140625" style="1193"/>
    <col min="14849" max="14849" width="5.28515625" style="1193" customWidth="1"/>
    <col min="14850" max="14850" width="48" style="1193" customWidth="1"/>
    <col min="14851" max="14851" width="9.5703125" style="1193" customWidth="1"/>
    <col min="14852" max="14852" width="6" style="1193" customWidth="1"/>
    <col min="14853" max="14853" width="7" style="1193" customWidth="1"/>
    <col min="14854" max="14854" width="9.7109375" style="1193" customWidth="1"/>
    <col min="14855" max="14855" width="7" style="1193" customWidth="1"/>
    <col min="14856" max="14856" width="9.28515625" style="1193" customWidth="1"/>
    <col min="14857" max="14857" width="7" style="1193" customWidth="1"/>
    <col min="14858" max="14858" width="9.85546875" style="1193" customWidth="1"/>
    <col min="14859" max="14859" width="7" style="1193" customWidth="1"/>
    <col min="14860" max="14860" width="9.85546875" style="1193" customWidth="1"/>
    <col min="14861" max="14861" width="7" style="1193" customWidth="1"/>
    <col min="14862" max="14862" width="10.5703125" style="1193" customWidth="1"/>
    <col min="14863" max="14871" width="7" style="1193" customWidth="1"/>
    <col min="14872" max="14876" width="7.7109375" style="1193" customWidth="1"/>
    <col min="14877" max="14889" width="7" style="1193" customWidth="1"/>
    <col min="14890" max="14890" width="9.5703125" style="1193" customWidth="1"/>
    <col min="14891" max="14891" width="7" style="1193" customWidth="1"/>
    <col min="14892" max="14892" width="9.140625" style="1193" customWidth="1"/>
    <col min="14893" max="14893" width="7" style="1193" customWidth="1"/>
    <col min="14894" max="14894" width="8.85546875" style="1193" customWidth="1"/>
    <col min="14895" max="14895" width="7" style="1193" customWidth="1"/>
    <col min="14896" max="14896" width="9" style="1193" customWidth="1"/>
    <col min="14897" max="14897" width="7" style="1193" customWidth="1"/>
    <col min="14898" max="14898" width="8.85546875" style="1193" customWidth="1"/>
    <col min="14899" max="14899" width="7" style="1193" customWidth="1"/>
    <col min="14900" max="14900" width="8.42578125" style="1193" customWidth="1"/>
    <col min="14901" max="14901" width="7" style="1193" customWidth="1"/>
    <col min="14902" max="14902" width="8.42578125" style="1193" customWidth="1"/>
    <col min="14903" max="14903" width="7" style="1193" customWidth="1"/>
    <col min="14904" max="14904" width="8.42578125" style="1193" customWidth="1"/>
    <col min="14905" max="14905" width="7" style="1193" customWidth="1"/>
    <col min="14906" max="14906" width="8.28515625" style="1193" customWidth="1"/>
    <col min="14907" max="14920" width="7" style="1193" customWidth="1"/>
    <col min="14921" max="14921" width="9" style="1193" customWidth="1"/>
    <col min="14922" max="14922" width="7" style="1193" customWidth="1"/>
    <col min="14923" max="14923" width="9.28515625" style="1193" customWidth="1"/>
    <col min="14924" max="14924" width="7" style="1193" customWidth="1"/>
    <col min="14925" max="14925" width="10.140625" style="1193" customWidth="1"/>
    <col min="14926" max="14926" width="7" style="1193" customWidth="1"/>
    <col min="14927" max="14927" width="10" style="1193" customWidth="1"/>
    <col min="14928" max="14928" width="7" style="1193" customWidth="1"/>
    <col min="14929" max="14929" width="8.85546875" style="1193" customWidth="1"/>
    <col min="14930" max="14930" width="7" style="1193" customWidth="1"/>
    <col min="14931" max="14931" width="9" style="1193" customWidth="1"/>
    <col min="14932" max="14932" width="7" style="1193" customWidth="1"/>
    <col min="14933" max="14933" width="9.5703125" style="1193" customWidth="1"/>
    <col min="14934" max="14934" width="7" style="1193" customWidth="1"/>
    <col min="14935" max="14935" width="9" style="1193" customWidth="1"/>
    <col min="14936" max="14945" width="7" style="1193" customWidth="1"/>
    <col min="14946" max="14949" width="11.140625" style="1193" customWidth="1"/>
    <col min="14950" max="14950" width="11.42578125" style="1193" customWidth="1"/>
    <col min="14951" max="14951" width="11.85546875" style="1193" customWidth="1"/>
    <col min="14952" max="14959" width="11.140625" style="1193" customWidth="1"/>
    <col min="14960" max="14965" width="7" style="1193" customWidth="1"/>
    <col min="14966" max="14966" width="10" style="1193" customWidth="1"/>
    <col min="14967" max="14967" width="7" style="1193" customWidth="1"/>
    <col min="14968" max="14968" width="8.42578125" style="1193" customWidth="1"/>
    <col min="14969" max="14969" width="7" style="1193" customWidth="1"/>
    <col min="14970" max="14970" width="8.42578125" style="1193" customWidth="1"/>
    <col min="14971" max="14971" width="7" style="1193" customWidth="1"/>
    <col min="14972" max="14972" width="9" style="1193" customWidth="1"/>
    <col min="14973" max="14973" width="7" style="1193" customWidth="1"/>
    <col min="14974" max="14974" width="9.5703125" style="1193" customWidth="1"/>
    <col min="14975" max="14975" width="7" style="1193" customWidth="1"/>
    <col min="14976" max="14987" width="9.140625" style="1193" customWidth="1"/>
    <col min="14988" max="14988" width="9.28515625" style="1193" bestFit="1" customWidth="1"/>
    <col min="14989" max="15104" width="9.140625" style="1193"/>
    <col min="15105" max="15105" width="5.28515625" style="1193" customWidth="1"/>
    <col min="15106" max="15106" width="48" style="1193" customWidth="1"/>
    <col min="15107" max="15107" width="9.5703125" style="1193" customWidth="1"/>
    <col min="15108" max="15108" width="6" style="1193" customWidth="1"/>
    <col min="15109" max="15109" width="7" style="1193" customWidth="1"/>
    <col min="15110" max="15110" width="9.7109375" style="1193" customWidth="1"/>
    <col min="15111" max="15111" width="7" style="1193" customWidth="1"/>
    <col min="15112" max="15112" width="9.28515625" style="1193" customWidth="1"/>
    <col min="15113" max="15113" width="7" style="1193" customWidth="1"/>
    <col min="15114" max="15114" width="9.85546875" style="1193" customWidth="1"/>
    <col min="15115" max="15115" width="7" style="1193" customWidth="1"/>
    <col min="15116" max="15116" width="9.85546875" style="1193" customWidth="1"/>
    <col min="15117" max="15117" width="7" style="1193" customWidth="1"/>
    <col min="15118" max="15118" width="10.5703125" style="1193" customWidth="1"/>
    <col min="15119" max="15127" width="7" style="1193" customWidth="1"/>
    <col min="15128" max="15132" width="7.7109375" style="1193" customWidth="1"/>
    <col min="15133" max="15145" width="7" style="1193" customWidth="1"/>
    <col min="15146" max="15146" width="9.5703125" style="1193" customWidth="1"/>
    <col min="15147" max="15147" width="7" style="1193" customWidth="1"/>
    <col min="15148" max="15148" width="9.140625" style="1193" customWidth="1"/>
    <col min="15149" max="15149" width="7" style="1193" customWidth="1"/>
    <col min="15150" max="15150" width="8.85546875" style="1193" customWidth="1"/>
    <col min="15151" max="15151" width="7" style="1193" customWidth="1"/>
    <col min="15152" max="15152" width="9" style="1193" customWidth="1"/>
    <col min="15153" max="15153" width="7" style="1193" customWidth="1"/>
    <col min="15154" max="15154" width="8.85546875" style="1193" customWidth="1"/>
    <col min="15155" max="15155" width="7" style="1193" customWidth="1"/>
    <col min="15156" max="15156" width="8.42578125" style="1193" customWidth="1"/>
    <col min="15157" max="15157" width="7" style="1193" customWidth="1"/>
    <col min="15158" max="15158" width="8.42578125" style="1193" customWidth="1"/>
    <col min="15159" max="15159" width="7" style="1193" customWidth="1"/>
    <col min="15160" max="15160" width="8.42578125" style="1193" customWidth="1"/>
    <col min="15161" max="15161" width="7" style="1193" customWidth="1"/>
    <col min="15162" max="15162" width="8.28515625" style="1193" customWidth="1"/>
    <col min="15163" max="15176" width="7" style="1193" customWidth="1"/>
    <col min="15177" max="15177" width="9" style="1193" customWidth="1"/>
    <col min="15178" max="15178" width="7" style="1193" customWidth="1"/>
    <col min="15179" max="15179" width="9.28515625" style="1193" customWidth="1"/>
    <col min="15180" max="15180" width="7" style="1193" customWidth="1"/>
    <col min="15181" max="15181" width="10.140625" style="1193" customWidth="1"/>
    <col min="15182" max="15182" width="7" style="1193" customWidth="1"/>
    <col min="15183" max="15183" width="10" style="1193" customWidth="1"/>
    <col min="15184" max="15184" width="7" style="1193" customWidth="1"/>
    <col min="15185" max="15185" width="8.85546875" style="1193" customWidth="1"/>
    <col min="15186" max="15186" width="7" style="1193" customWidth="1"/>
    <col min="15187" max="15187" width="9" style="1193" customWidth="1"/>
    <col min="15188" max="15188" width="7" style="1193" customWidth="1"/>
    <col min="15189" max="15189" width="9.5703125" style="1193" customWidth="1"/>
    <col min="15190" max="15190" width="7" style="1193" customWidth="1"/>
    <col min="15191" max="15191" width="9" style="1193" customWidth="1"/>
    <col min="15192" max="15201" width="7" style="1193" customWidth="1"/>
    <col min="15202" max="15205" width="11.140625" style="1193" customWidth="1"/>
    <col min="15206" max="15206" width="11.42578125" style="1193" customWidth="1"/>
    <col min="15207" max="15207" width="11.85546875" style="1193" customWidth="1"/>
    <col min="15208" max="15215" width="11.140625" style="1193" customWidth="1"/>
    <col min="15216" max="15221" width="7" style="1193" customWidth="1"/>
    <col min="15222" max="15222" width="10" style="1193" customWidth="1"/>
    <col min="15223" max="15223" width="7" style="1193" customWidth="1"/>
    <col min="15224" max="15224" width="8.42578125" style="1193" customWidth="1"/>
    <col min="15225" max="15225" width="7" style="1193" customWidth="1"/>
    <col min="15226" max="15226" width="8.42578125" style="1193" customWidth="1"/>
    <col min="15227" max="15227" width="7" style="1193" customWidth="1"/>
    <col min="15228" max="15228" width="9" style="1193" customWidth="1"/>
    <col min="15229" max="15229" width="7" style="1193" customWidth="1"/>
    <col min="15230" max="15230" width="9.5703125" style="1193" customWidth="1"/>
    <col min="15231" max="15231" width="7" style="1193" customWidth="1"/>
    <col min="15232" max="15243" width="9.140625" style="1193" customWidth="1"/>
    <col min="15244" max="15244" width="9.28515625" style="1193" bestFit="1" customWidth="1"/>
    <col min="15245" max="15360" width="9.140625" style="1193"/>
    <col min="15361" max="15361" width="5.28515625" style="1193" customWidth="1"/>
    <col min="15362" max="15362" width="48" style="1193" customWidth="1"/>
    <col min="15363" max="15363" width="9.5703125" style="1193" customWidth="1"/>
    <col min="15364" max="15364" width="6" style="1193" customWidth="1"/>
    <col min="15365" max="15365" width="7" style="1193" customWidth="1"/>
    <col min="15366" max="15366" width="9.7109375" style="1193" customWidth="1"/>
    <col min="15367" max="15367" width="7" style="1193" customWidth="1"/>
    <col min="15368" max="15368" width="9.28515625" style="1193" customWidth="1"/>
    <col min="15369" max="15369" width="7" style="1193" customWidth="1"/>
    <col min="15370" max="15370" width="9.85546875" style="1193" customWidth="1"/>
    <col min="15371" max="15371" width="7" style="1193" customWidth="1"/>
    <col min="15372" max="15372" width="9.85546875" style="1193" customWidth="1"/>
    <col min="15373" max="15373" width="7" style="1193" customWidth="1"/>
    <col min="15374" max="15374" width="10.5703125" style="1193" customWidth="1"/>
    <col min="15375" max="15383" width="7" style="1193" customWidth="1"/>
    <col min="15384" max="15388" width="7.7109375" style="1193" customWidth="1"/>
    <col min="15389" max="15401" width="7" style="1193" customWidth="1"/>
    <col min="15402" max="15402" width="9.5703125" style="1193" customWidth="1"/>
    <col min="15403" max="15403" width="7" style="1193" customWidth="1"/>
    <col min="15404" max="15404" width="9.140625" style="1193" customWidth="1"/>
    <col min="15405" max="15405" width="7" style="1193" customWidth="1"/>
    <col min="15406" max="15406" width="8.85546875" style="1193" customWidth="1"/>
    <col min="15407" max="15407" width="7" style="1193" customWidth="1"/>
    <col min="15408" max="15408" width="9" style="1193" customWidth="1"/>
    <col min="15409" max="15409" width="7" style="1193" customWidth="1"/>
    <col min="15410" max="15410" width="8.85546875" style="1193" customWidth="1"/>
    <col min="15411" max="15411" width="7" style="1193" customWidth="1"/>
    <col min="15412" max="15412" width="8.42578125" style="1193" customWidth="1"/>
    <col min="15413" max="15413" width="7" style="1193" customWidth="1"/>
    <col min="15414" max="15414" width="8.42578125" style="1193" customWidth="1"/>
    <col min="15415" max="15415" width="7" style="1193" customWidth="1"/>
    <col min="15416" max="15416" width="8.42578125" style="1193" customWidth="1"/>
    <col min="15417" max="15417" width="7" style="1193" customWidth="1"/>
    <col min="15418" max="15418" width="8.28515625" style="1193" customWidth="1"/>
    <col min="15419" max="15432" width="7" style="1193" customWidth="1"/>
    <col min="15433" max="15433" width="9" style="1193" customWidth="1"/>
    <col min="15434" max="15434" width="7" style="1193" customWidth="1"/>
    <col min="15435" max="15435" width="9.28515625" style="1193" customWidth="1"/>
    <col min="15436" max="15436" width="7" style="1193" customWidth="1"/>
    <col min="15437" max="15437" width="10.140625" style="1193" customWidth="1"/>
    <col min="15438" max="15438" width="7" style="1193" customWidth="1"/>
    <col min="15439" max="15439" width="10" style="1193" customWidth="1"/>
    <col min="15440" max="15440" width="7" style="1193" customWidth="1"/>
    <col min="15441" max="15441" width="8.85546875" style="1193" customWidth="1"/>
    <col min="15442" max="15442" width="7" style="1193" customWidth="1"/>
    <col min="15443" max="15443" width="9" style="1193" customWidth="1"/>
    <col min="15444" max="15444" width="7" style="1193" customWidth="1"/>
    <col min="15445" max="15445" width="9.5703125" style="1193" customWidth="1"/>
    <col min="15446" max="15446" width="7" style="1193" customWidth="1"/>
    <col min="15447" max="15447" width="9" style="1193" customWidth="1"/>
    <col min="15448" max="15457" width="7" style="1193" customWidth="1"/>
    <col min="15458" max="15461" width="11.140625" style="1193" customWidth="1"/>
    <col min="15462" max="15462" width="11.42578125" style="1193" customWidth="1"/>
    <col min="15463" max="15463" width="11.85546875" style="1193" customWidth="1"/>
    <col min="15464" max="15471" width="11.140625" style="1193" customWidth="1"/>
    <col min="15472" max="15477" width="7" style="1193" customWidth="1"/>
    <col min="15478" max="15478" width="10" style="1193" customWidth="1"/>
    <col min="15479" max="15479" width="7" style="1193" customWidth="1"/>
    <col min="15480" max="15480" width="8.42578125" style="1193" customWidth="1"/>
    <col min="15481" max="15481" width="7" style="1193" customWidth="1"/>
    <col min="15482" max="15482" width="8.42578125" style="1193" customWidth="1"/>
    <col min="15483" max="15483" width="7" style="1193" customWidth="1"/>
    <col min="15484" max="15484" width="9" style="1193" customWidth="1"/>
    <col min="15485" max="15485" width="7" style="1193" customWidth="1"/>
    <col min="15486" max="15486" width="9.5703125" style="1193" customWidth="1"/>
    <col min="15487" max="15487" width="7" style="1193" customWidth="1"/>
    <col min="15488" max="15499" width="9.140625" style="1193" customWidth="1"/>
    <col min="15500" max="15500" width="9.28515625" style="1193" bestFit="1" customWidth="1"/>
    <col min="15501" max="15616" width="9.140625" style="1193"/>
    <col min="15617" max="15617" width="5.28515625" style="1193" customWidth="1"/>
    <col min="15618" max="15618" width="48" style="1193" customWidth="1"/>
    <col min="15619" max="15619" width="9.5703125" style="1193" customWidth="1"/>
    <col min="15620" max="15620" width="6" style="1193" customWidth="1"/>
    <col min="15621" max="15621" width="7" style="1193" customWidth="1"/>
    <col min="15622" max="15622" width="9.7109375" style="1193" customWidth="1"/>
    <col min="15623" max="15623" width="7" style="1193" customWidth="1"/>
    <col min="15624" max="15624" width="9.28515625" style="1193" customWidth="1"/>
    <col min="15625" max="15625" width="7" style="1193" customWidth="1"/>
    <col min="15626" max="15626" width="9.85546875" style="1193" customWidth="1"/>
    <col min="15627" max="15627" width="7" style="1193" customWidth="1"/>
    <col min="15628" max="15628" width="9.85546875" style="1193" customWidth="1"/>
    <col min="15629" max="15629" width="7" style="1193" customWidth="1"/>
    <col min="15630" max="15630" width="10.5703125" style="1193" customWidth="1"/>
    <col min="15631" max="15639" width="7" style="1193" customWidth="1"/>
    <col min="15640" max="15644" width="7.7109375" style="1193" customWidth="1"/>
    <col min="15645" max="15657" width="7" style="1193" customWidth="1"/>
    <col min="15658" max="15658" width="9.5703125" style="1193" customWidth="1"/>
    <col min="15659" max="15659" width="7" style="1193" customWidth="1"/>
    <col min="15660" max="15660" width="9.140625" style="1193" customWidth="1"/>
    <col min="15661" max="15661" width="7" style="1193" customWidth="1"/>
    <col min="15662" max="15662" width="8.85546875" style="1193" customWidth="1"/>
    <col min="15663" max="15663" width="7" style="1193" customWidth="1"/>
    <col min="15664" max="15664" width="9" style="1193" customWidth="1"/>
    <col min="15665" max="15665" width="7" style="1193" customWidth="1"/>
    <col min="15666" max="15666" width="8.85546875" style="1193" customWidth="1"/>
    <col min="15667" max="15667" width="7" style="1193" customWidth="1"/>
    <col min="15668" max="15668" width="8.42578125" style="1193" customWidth="1"/>
    <col min="15669" max="15669" width="7" style="1193" customWidth="1"/>
    <col min="15670" max="15670" width="8.42578125" style="1193" customWidth="1"/>
    <col min="15671" max="15671" width="7" style="1193" customWidth="1"/>
    <col min="15672" max="15672" width="8.42578125" style="1193" customWidth="1"/>
    <col min="15673" max="15673" width="7" style="1193" customWidth="1"/>
    <col min="15674" max="15674" width="8.28515625" style="1193" customWidth="1"/>
    <col min="15675" max="15688" width="7" style="1193" customWidth="1"/>
    <col min="15689" max="15689" width="9" style="1193" customWidth="1"/>
    <col min="15690" max="15690" width="7" style="1193" customWidth="1"/>
    <col min="15691" max="15691" width="9.28515625" style="1193" customWidth="1"/>
    <col min="15692" max="15692" width="7" style="1193" customWidth="1"/>
    <col min="15693" max="15693" width="10.140625" style="1193" customWidth="1"/>
    <col min="15694" max="15694" width="7" style="1193" customWidth="1"/>
    <col min="15695" max="15695" width="10" style="1193" customWidth="1"/>
    <col min="15696" max="15696" width="7" style="1193" customWidth="1"/>
    <col min="15697" max="15697" width="8.85546875" style="1193" customWidth="1"/>
    <col min="15698" max="15698" width="7" style="1193" customWidth="1"/>
    <col min="15699" max="15699" width="9" style="1193" customWidth="1"/>
    <col min="15700" max="15700" width="7" style="1193" customWidth="1"/>
    <col min="15701" max="15701" width="9.5703125" style="1193" customWidth="1"/>
    <col min="15702" max="15702" width="7" style="1193" customWidth="1"/>
    <col min="15703" max="15703" width="9" style="1193" customWidth="1"/>
    <col min="15704" max="15713" width="7" style="1193" customWidth="1"/>
    <col min="15714" max="15717" width="11.140625" style="1193" customWidth="1"/>
    <col min="15718" max="15718" width="11.42578125" style="1193" customWidth="1"/>
    <col min="15719" max="15719" width="11.85546875" style="1193" customWidth="1"/>
    <col min="15720" max="15727" width="11.140625" style="1193" customWidth="1"/>
    <col min="15728" max="15733" width="7" style="1193" customWidth="1"/>
    <col min="15734" max="15734" width="10" style="1193" customWidth="1"/>
    <col min="15735" max="15735" width="7" style="1193" customWidth="1"/>
    <col min="15736" max="15736" width="8.42578125" style="1193" customWidth="1"/>
    <col min="15737" max="15737" width="7" style="1193" customWidth="1"/>
    <col min="15738" max="15738" width="8.42578125" style="1193" customWidth="1"/>
    <col min="15739" max="15739" width="7" style="1193" customWidth="1"/>
    <col min="15740" max="15740" width="9" style="1193" customWidth="1"/>
    <col min="15741" max="15741" width="7" style="1193" customWidth="1"/>
    <col min="15742" max="15742" width="9.5703125" style="1193" customWidth="1"/>
    <col min="15743" max="15743" width="7" style="1193" customWidth="1"/>
    <col min="15744" max="15755" width="9.140625" style="1193" customWidth="1"/>
    <col min="15756" max="15756" width="9.28515625" style="1193" bestFit="1" customWidth="1"/>
    <col min="15757" max="15872" width="9.140625" style="1193"/>
    <col min="15873" max="15873" width="5.28515625" style="1193" customWidth="1"/>
    <col min="15874" max="15874" width="48" style="1193" customWidth="1"/>
    <col min="15875" max="15875" width="9.5703125" style="1193" customWidth="1"/>
    <col min="15876" max="15876" width="6" style="1193" customWidth="1"/>
    <col min="15877" max="15877" width="7" style="1193" customWidth="1"/>
    <col min="15878" max="15878" width="9.7109375" style="1193" customWidth="1"/>
    <col min="15879" max="15879" width="7" style="1193" customWidth="1"/>
    <col min="15880" max="15880" width="9.28515625" style="1193" customWidth="1"/>
    <col min="15881" max="15881" width="7" style="1193" customWidth="1"/>
    <col min="15882" max="15882" width="9.85546875" style="1193" customWidth="1"/>
    <col min="15883" max="15883" width="7" style="1193" customWidth="1"/>
    <col min="15884" max="15884" width="9.85546875" style="1193" customWidth="1"/>
    <col min="15885" max="15885" width="7" style="1193" customWidth="1"/>
    <col min="15886" max="15886" width="10.5703125" style="1193" customWidth="1"/>
    <col min="15887" max="15895" width="7" style="1193" customWidth="1"/>
    <col min="15896" max="15900" width="7.7109375" style="1193" customWidth="1"/>
    <col min="15901" max="15913" width="7" style="1193" customWidth="1"/>
    <col min="15914" max="15914" width="9.5703125" style="1193" customWidth="1"/>
    <col min="15915" max="15915" width="7" style="1193" customWidth="1"/>
    <col min="15916" max="15916" width="9.140625" style="1193" customWidth="1"/>
    <col min="15917" max="15917" width="7" style="1193" customWidth="1"/>
    <col min="15918" max="15918" width="8.85546875" style="1193" customWidth="1"/>
    <col min="15919" max="15919" width="7" style="1193" customWidth="1"/>
    <col min="15920" max="15920" width="9" style="1193" customWidth="1"/>
    <col min="15921" max="15921" width="7" style="1193" customWidth="1"/>
    <col min="15922" max="15922" width="8.85546875" style="1193" customWidth="1"/>
    <col min="15923" max="15923" width="7" style="1193" customWidth="1"/>
    <col min="15924" max="15924" width="8.42578125" style="1193" customWidth="1"/>
    <col min="15925" max="15925" width="7" style="1193" customWidth="1"/>
    <col min="15926" max="15926" width="8.42578125" style="1193" customWidth="1"/>
    <col min="15927" max="15927" width="7" style="1193" customWidth="1"/>
    <col min="15928" max="15928" width="8.42578125" style="1193" customWidth="1"/>
    <col min="15929" max="15929" width="7" style="1193" customWidth="1"/>
    <col min="15930" max="15930" width="8.28515625" style="1193" customWidth="1"/>
    <col min="15931" max="15944" width="7" style="1193" customWidth="1"/>
    <col min="15945" max="15945" width="9" style="1193" customWidth="1"/>
    <col min="15946" max="15946" width="7" style="1193" customWidth="1"/>
    <col min="15947" max="15947" width="9.28515625" style="1193" customWidth="1"/>
    <col min="15948" max="15948" width="7" style="1193" customWidth="1"/>
    <col min="15949" max="15949" width="10.140625" style="1193" customWidth="1"/>
    <col min="15950" max="15950" width="7" style="1193" customWidth="1"/>
    <col min="15951" max="15951" width="10" style="1193" customWidth="1"/>
    <col min="15952" max="15952" width="7" style="1193" customWidth="1"/>
    <col min="15953" max="15953" width="8.85546875" style="1193" customWidth="1"/>
    <col min="15954" max="15954" width="7" style="1193" customWidth="1"/>
    <col min="15955" max="15955" width="9" style="1193" customWidth="1"/>
    <col min="15956" max="15956" width="7" style="1193" customWidth="1"/>
    <col min="15957" max="15957" width="9.5703125" style="1193" customWidth="1"/>
    <col min="15958" max="15958" width="7" style="1193" customWidth="1"/>
    <col min="15959" max="15959" width="9" style="1193" customWidth="1"/>
    <col min="15960" max="15969" width="7" style="1193" customWidth="1"/>
    <col min="15970" max="15973" width="11.140625" style="1193" customWidth="1"/>
    <col min="15974" max="15974" width="11.42578125" style="1193" customWidth="1"/>
    <col min="15975" max="15975" width="11.85546875" style="1193" customWidth="1"/>
    <col min="15976" max="15983" width="11.140625" style="1193" customWidth="1"/>
    <col min="15984" max="15989" width="7" style="1193" customWidth="1"/>
    <col min="15990" max="15990" width="10" style="1193" customWidth="1"/>
    <col min="15991" max="15991" width="7" style="1193" customWidth="1"/>
    <col min="15992" max="15992" width="8.42578125" style="1193" customWidth="1"/>
    <col min="15993" max="15993" width="7" style="1193" customWidth="1"/>
    <col min="15994" max="15994" width="8.42578125" style="1193" customWidth="1"/>
    <col min="15995" max="15995" width="7" style="1193" customWidth="1"/>
    <col min="15996" max="15996" width="9" style="1193" customWidth="1"/>
    <col min="15997" max="15997" width="7" style="1193" customWidth="1"/>
    <col min="15998" max="15998" width="9.5703125" style="1193" customWidth="1"/>
    <col min="15999" max="15999" width="7" style="1193" customWidth="1"/>
    <col min="16000" max="16011" width="9.140625" style="1193" customWidth="1"/>
    <col min="16012" max="16012" width="9.28515625" style="1193" bestFit="1" customWidth="1"/>
    <col min="16013" max="16128" width="9.140625" style="1193"/>
    <col min="16129" max="16129" width="5.28515625" style="1193" customWidth="1"/>
    <col min="16130" max="16130" width="48" style="1193" customWidth="1"/>
    <col min="16131" max="16131" width="9.5703125" style="1193" customWidth="1"/>
    <col min="16132" max="16132" width="6" style="1193" customWidth="1"/>
    <col min="16133" max="16133" width="7" style="1193" customWidth="1"/>
    <col min="16134" max="16134" width="9.7109375" style="1193" customWidth="1"/>
    <col min="16135" max="16135" width="7" style="1193" customWidth="1"/>
    <col min="16136" max="16136" width="9.28515625" style="1193" customWidth="1"/>
    <col min="16137" max="16137" width="7" style="1193" customWidth="1"/>
    <col min="16138" max="16138" width="9.85546875" style="1193" customWidth="1"/>
    <col min="16139" max="16139" width="7" style="1193" customWidth="1"/>
    <col min="16140" max="16140" width="9.85546875" style="1193" customWidth="1"/>
    <col min="16141" max="16141" width="7" style="1193" customWidth="1"/>
    <col min="16142" max="16142" width="10.5703125" style="1193" customWidth="1"/>
    <col min="16143" max="16151" width="7" style="1193" customWidth="1"/>
    <col min="16152" max="16156" width="7.7109375" style="1193" customWidth="1"/>
    <col min="16157" max="16169" width="7" style="1193" customWidth="1"/>
    <col min="16170" max="16170" width="9.5703125" style="1193" customWidth="1"/>
    <col min="16171" max="16171" width="7" style="1193" customWidth="1"/>
    <col min="16172" max="16172" width="9.140625" style="1193" customWidth="1"/>
    <col min="16173" max="16173" width="7" style="1193" customWidth="1"/>
    <col min="16174" max="16174" width="8.85546875" style="1193" customWidth="1"/>
    <col min="16175" max="16175" width="7" style="1193" customWidth="1"/>
    <col min="16176" max="16176" width="9" style="1193" customWidth="1"/>
    <col min="16177" max="16177" width="7" style="1193" customWidth="1"/>
    <col min="16178" max="16178" width="8.85546875" style="1193" customWidth="1"/>
    <col min="16179" max="16179" width="7" style="1193" customWidth="1"/>
    <col min="16180" max="16180" width="8.42578125" style="1193" customWidth="1"/>
    <col min="16181" max="16181" width="7" style="1193" customWidth="1"/>
    <col min="16182" max="16182" width="8.42578125" style="1193" customWidth="1"/>
    <col min="16183" max="16183" width="7" style="1193" customWidth="1"/>
    <col min="16184" max="16184" width="8.42578125" style="1193" customWidth="1"/>
    <col min="16185" max="16185" width="7" style="1193" customWidth="1"/>
    <col min="16186" max="16186" width="8.28515625" style="1193" customWidth="1"/>
    <col min="16187" max="16200" width="7" style="1193" customWidth="1"/>
    <col min="16201" max="16201" width="9" style="1193" customWidth="1"/>
    <col min="16202" max="16202" width="7" style="1193" customWidth="1"/>
    <col min="16203" max="16203" width="9.28515625" style="1193" customWidth="1"/>
    <col min="16204" max="16204" width="7" style="1193" customWidth="1"/>
    <col min="16205" max="16205" width="10.140625" style="1193" customWidth="1"/>
    <col min="16206" max="16206" width="7" style="1193" customWidth="1"/>
    <col min="16207" max="16207" width="10" style="1193" customWidth="1"/>
    <col min="16208" max="16208" width="7" style="1193" customWidth="1"/>
    <col min="16209" max="16209" width="8.85546875" style="1193" customWidth="1"/>
    <col min="16210" max="16210" width="7" style="1193" customWidth="1"/>
    <col min="16211" max="16211" width="9" style="1193" customWidth="1"/>
    <col min="16212" max="16212" width="7" style="1193" customWidth="1"/>
    <col min="16213" max="16213" width="9.5703125" style="1193" customWidth="1"/>
    <col min="16214" max="16214" width="7" style="1193" customWidth="1"/>
    <col min="16215" max="16215" width="9" style="1193" customWidth="1"/>
    <col min="16216" max="16225" width="7" style="1193" customWidth="1"/>
    <col min="16226" max="16229" width="11.140625" style="1193" customWidth="1"/>
    <col min="16230" max="16230" width="11.42578125" style="1193" customWidth="1"/>
    <col min="16231" max="16231" width="11.85546875" style="1193" customWidth="1"/>
    <col min="16232" max="16239" width="11.140625" style="1193" customWidth="1"/>
    <col min="16240" max="16245" width="7" style="1193" customWidth="1"/>
    <col min="16246" max="16246" width="10" style="1193" customWidth="1"/>
    <col min="16247" max="16247" width="7" style="1193" customWidth="1"/>
    <col min="16248" max="16248" width="8.42578125" style="1193" customWidth="1"/>
    <col min="16249" max="16249" width="7" style="1193" customWidth="1"/>
    <col min="16250" max="16250" width="8.42578125" style="1193" customWidth="1"/>
    <col min="16251" max="16251" width="7" style="1193" customWidth="1"/>
    <col min="16252" max="16252" width="9" style="1193" customWidth="1"/>
    <col min="16253" max="16253" width="7" style="1193" customWidth="1"/>
    <col min="16254" max="16254" width="9.5703125" style="1193" customWidth="1"/>
    <col min="16255" max="16255" width="7" style="1193" customWidth="1"/>
    <col min="16256" max="16267" width="9.140625" style="1193" customWidth="1"/>
    <col min="16268" max="16268" width="9.28515625" style="1193" bestFit="1" customWidth="1"/>
    <col min="16269" max="16384" width="9.140625" style="1193"/>
  </cols>
  <sheetData>
    <row r="1" spans="1:141" ht="25.5">
      <c r="A1" s="3510" t="s">
        <v>2020</v>
      </c>
      <c r="B1" s="3510"/>
      <c r="C1" s="3510"/>
      <c r="D1" s="3510"/>
      <c r="E1" s="3510"/>
      <c r="F1" s="3510"/>
      <c r="G1" s="3510"/>
      <c r="H1" s="3510"/>
      <c r="I1" s="3510"/>
      <c r="J1" s="3510"/>
      <c r="K1" s="3510"/>
      <c r="L1" s="3510"/>
      <c r="M1" s="3510"/>
      <c r="N1" s="3510"/>
      <c r="O1" s="3510"/>
      <c r="P1" s="3510"/>
      <c r="Q1" s="3510"/>
      <c r="R1" s="3510"/>
      <c r="S1" s="3510"/>
      <c r="T1" s="3510"/>
      <c r="U1" s="3510"/>
      <c r="V1" s="3510"/>
      <c r="W1" s="699"/>
      <c r="X1" s="699"/>
      <c r="Y1" s="699"/>
      <c r="Z1" s="699"/>
      <c r="AA1" s="699"/>
      <c r="AB1" s="699"/>
      <c r="AC1" s="699"/>
      <c r="AD1" s="699"/>
      <c r="AE1" s="699"/>
      <c r="AF1" s="699"/>
      <c r="AG1" s="699"/>
      <c r="AH1" s="699"/>
      <c r="AI1" s="699"/>
      <c r="AJ1" s="699"/>
      <c r="AK1" s="699"/>
      <c r="AL1" s="699"/>
      <c r="AM1" s="699"/>
      <c r="AN1" s="699"/>
      <c r="AO1" s="699"/>
      <c r="AP1" s="699"/>
      <c r="AQ1" s="699"/>
      <c r="AR1" s="699"/>
      <c r="AS1" s="699"/>
      <c r="AT1" s="699"/>
      <c r="AU1" s="699"/>
      <c r="AV1" s="699"/>
      <c r="AW1" s="699"/>
      <c r="AX1" s="699"/>
      <c r="AY1" s="699"/>
      <c r="AZ1" s="699"/>
      <c r="BA1" s="699"/>
      <c r="BB1" s="699"/>
      <c r="BC1" s="699"/>
      <c r="BD1" s="699"/>
      <c r="BE1" s="699"/>
      <c r="BF1" s="699"/>
      <c r="BG1" s="699"/>
      <c r="BH1" s="699"/>
      <c r="BI1" s="699"/>
      <c r="BJ1" s="699"/>
      <c r="BK1" s="699"/>
      <c r="BL1" s="699"/>
      <c r="BM1" s="699"/>
      <c r="BN1" s="699"/>
      <c r="BO1" s="699"/>
      <c r="BP1" s="699"/>
      <c r="BQ1" s="699"/>
      <c r="BR1" s="699"/>
      <c r="BS1" s="699"/>
      <c r="BT1" s="699"/>
      <c r="BU1" s="699"/>
      <c r="BV1" s="699"/>
      <c r="BW1" s="699"/>
      <c r="BX1" s="699"/>
      <c r="BY1" s="699"/>
      <c r="BZ1" s="699"/>
      <c r="CA1" s="699"/>
      <c r="CB1" s="699"/>
      <c r="CC1" s="699"/>
      <c r="CD1" s="699"/>
      <c r="CE1" s="699"/>
      <c r="CF1" s="699"/>
      <c r="CG1" s="699"/>
      <c r="CH1" s="699"/>
      <c r="CI1" s="699"/>
      <c r="CJ1" s="699"/>
      <c r="CK1" s="699"/>
      <c r="CL1" s="699"/>
      <c r="CM1" s="699"/>
      <c r="CN1" s="699"/>
      <c r="CO1" s="699"/>
      <c r="CP1" s="699"/>
      <c r="CQ1" s="699"/>
      <c r="CR1" s="699"/>
      <c r="CS1" s="699"/>
      <c r="CT1" s="699"/>
      <c r="CU1" s="699"/>
      <c r="CV1" s="699"/>
      <c r="CW1" s="699"/>
      <c r="CX1" s="699"/>
      <c r="CY1" s="699"/>
      <c r="CZ1" s="699"/>
      <c r="DA1" s="699"/>
      <c r="DB1" s="699"/>
      <c r="DC1" s="699"/>
      <c r="DD1" s="699"/>
      <c r="DE1" s="699"/>
      <c r="DF1" s="699"/>
      <c r="DG1" s="699"/>
      <c r="DH1" s="699"/>
      <c r="DI1" s="699"/>
      <c r="DJ1" s="699"/>
      <c r="DK1" s="699"/>
      <c r="DL1" s="699"/>
      <c r="DM1" s="699"/>
      <c r="DN1" s="699"/>
      <c r="DO1" s="699"/>
      <c r="DP1" s="699"/>
      <c r="DQ1" s="699"/>
      <c r="DR1" s="699"/>
      <c r="DS1" s="699"/>
      <c r="DT1" s="699"/>
      <c r="DU1" s="699"/>
      <c r="DV1" s="1192"/>
      <c r="DW1" s="1192"/>
    </row>
    <row r="2" spans="1:141" s="1195" customFormat="1" ht="15.75">
      <c r="A2" s="1194" t="str">
        <f>'Lead &amp; ANALYSIS'!A2:C2</f>
        <v>NAME OF THE WORK:-</v>
      </c>
      <c r="C2" s="1194" t="str">
        <f>'Lead &amp; ANALYSIS'!D2</f>
        <v>Dining Hall of Damasal School</v>
      </c>
    </row>
    <row r="3" spans="1:141" s="1195" customFormat="1" ht="15.75">
      <c r="A3" s="1194" t="str">
        <f>'Lead &amp; ANALYSIS'!A3:C3</f>
        <v>NAME OF THE G.P.:-</v>
      </c>
      <c r="C3" s="1194" t="str">
        <f>'Lead &amp; ANALYSIS'!D3</f>
        <v>Odisha</v>
      </c>
    </row>
    <row r="4" spans="1:141" s="1195" customFormat="1" ht="16.5" thickBot="1">
      <c r="A4" s="1194" t="str">
        <f>'Lead &amp; ANALYSIS'!A4:C4</f>
        <v>NAME OF THE SCHEME:-</v>
      </c>
      <c r="C4" s="1194">
        <f>'Lead &amp; ANALYSIS'!D4</f>
        <v>0</v>
      </c>
    </row>
    <row r="5" spans="1:141" s="733" customFormat="1" ht="14.25" thickBot="1">
      <c r="A5" s="3475" t="s">
        <v>2020</v>
      </c>
      <c r="B5" s="3477"/>
      <c r="C5" s="3475" t="s">
        <v>2021</v>
      </c>
      <c r="D5" s="3476"/>
      <c r="E5" s="3476"/>
      <c r="F5" s="3476"/>
      <c r="G5" s="3476"/>
      <c r="H5" s="3476"/>
      <c r="I5" s="3476"/>
      <c r="J5" s="3476"/>
      <c r="K5" s="3476"/>
      <c r="L5" s="3476"/>
      <c r="M5" s="3476"/>
      <c r="N5" s="3476"/>
      <c r="O5" s="3476"/>
      <c r="P5" s="3476"/>
      <c r="Q5" s="3476"/>
      <c r="R5" s="3476"/>
      <c r="S5" s="3476"/>
      <c r="T5" s="3476"/>
      <c r="U5" s="3476"/>
      <c r="V5" s="3476"/>
      <c r="W5" s="3476"/>
      <c r="X5" s="3476"/>
      <c r="Y5" s="3335"/>
      <c r="Z5" s="3335"/>
      <c r="AA5" s="3335"/>
      <c r="AB5" s="3335"/>
      <c r="AC5" s="3476"/>
      <c r="AD5" s="3476"/>
      <c r="AE5" s="3476"/>
      <c r="AF5" s="3476"/>
      <c r="AG5" s="3476"/>
      <c r="AH5" s="3476"/>
      <c r="AI5" s="3476"/>
      <c r="AJ5" s="3476"/>
      <c r="AK5" s="3476"/>
      <c r="AL5" s="3476"/>
      <c r="AM5" s="3476"/>
      <c r="AN5" s="3476"/>
      <c r="AO5" s="3476"/>
      <c r="AP5" s="3476"/>
      <c r="AQ5" s="3476"/>
      <c r="AR5" s="3476"/>
      <c r="AS5" s="3476"/>
      <c r="AT5" s="3476"/>
      <c r="AU5" s="3476"/>
      <c r="AV5" s="3476"/>
      <c r="AW5" s="3476"/>
      <c r="AX5" s="3476"/>
      <c r="AY5" s="3476"/>
      <c r="AZ5" s="3476"/>
      <c r="BA5" s="3476"/>
      <c r="BB5" s="3476"/>
      <c r="BC5" s="3476"/>
      <c r="BD5" s="3476"/>
      <c r="BE5" s="3476"/>
      <c r="BF5" s="3476"/>
      <c r="BG5" s="3476"/>
      <c r="BH5" s="3476"/>
      <c r="BI5" s="3476"/>
      <c r="BJ5" s="3476"/>
      <c r="BK5" s="3476"/>
      <c r="BL5" s="3476"/>
      <c r="BM5" s="3476"/>
      <c r="BN5" s="3476"/>
      <c r="BO5" s="3476"/>
      <c r="BP5" s="3476"/>
      <c r="BQ5" s="3476"/>
      <c r="BR5" s="3476"/>
      <c r="BS5" s="3476"/>
      <c r="BT5" s="3476"/>
      <c r="BU5" s="3476"/>
      <c r="BV5" s="3476"/>
      <c r="BW5" s="3476"/>
      <c r="BX5" s="3476"/>
      <c r="BY5" s="3476"/>
      <c r="BZ5" s="3476"/>
      <c r="CA5" s="3476"/>
      <c r="CB5" s="3476"/>
      <c r="CC5" s="3476"/>
      <c r="CD5" s="3476"/>
      <c r="CE5" s="3476"/>
      <c r="CF5" s="3476"/>
      <c r="CG5" s="3476"/>
      <c r="CH5" s="3476"/>
      <c r="CI5" s="3476"/>
      <c r="CJ5" s="3476"/>
      <c r="CK5" s="3476"/>
      <c r="CL5" s="3476"/>
      <c r="CM5" s="3476"/>
      <c r="CN5" s="3476"/>
      <c r="CO5" s="3476"/>
      <c r="CP5" s="3476"/>
      <c r="CQ5" s="3476"/>
      <c r="CR5" s="3476"/>
      <c r="CS5" s="3476"/>
      <c r="CT5" s="3476"/>
      <c r="CU5" s="3476"/>
      <c r="CV5" s="3476"/>
      <c r="CW5" s="3476"/>
      <c r="CX5" s="3476"/>
      <c r="CY5" s="3476"/>
      <c r="CZ5" s="3476"/>
      <c r="DA5" s="3476"/>
      <c r="DB5" s="3476"/>
      <c r="DC5" s="3476"/>
      <c r="DD5" s="3476"/>
      <c r="DE5" s="3476"/>
      <c r="DF5" s="3476"/>
      <c r="DG5" s="3476"/>
      <c r="DH5" s="3476"/>
      <c r="DI5" s="3476"/>
      <c r="DJ5" s="3476"/>
      <c r="DK5" s="3476"/>
      <c r="DL5" s="3476"/>
      <c r="DM5" s="3477"/>
      <c r="DN5" s="3475" t="s">
        <v>2022</v>
      </c>
      <c r="DO5" s="3476"/>
      <c r="DP5" s="3476"/>
      <c r="DQ5" s="3476"/>
      <c r="DR5" s="3476"/>
      <c r="DS5" s="3476"/>
      <c r="DT5" s="3476"/>
      <c r="DU5" s="3477"/>
      <c r="DV5" s="1207"/>
      <c r="DW5" s="1207"/>
      <c r="DX5" s="3475" t="s">
        <v>2023</v>
      </c>
      <c r="DY5" s="3476"/>
      <c r="DZ5" s="3476"/>
      <c r="EA5" s="3476"/>
      <c r="EB5" s="3476"/>
      <c r="EC5" s="3476"/>
      <c r="ED5" s="3476"/>
      <c r="EE5" s="3476"/>
      <c r="EF5" s="3476"/>
      <c r="EG5" s="3477"/>
      <c r="EH5" s="3478"/>
      <c r="EI5" s="3479"/>
    </row>
    <row r="6" spans="1:141" s="733" customFormat="1" ht="13.5">
      <c r="A6" s="3480" t="s">
        <v>1510</v>
      </c>
      <c r="B6" s="3482" t="s">
        <v>1589</v>
      </c>
      <c r="C6" s="3485" t="s">
        <v>707</v>
      </c>
      <c r="D6" s="3480" t="s">
        <v>1</v>
      </c>
      <c r="E6" s="3487" t="s">
        <v>2024</v>
      </c>
      <c r="F6" s="3486"/>
      <c r="G6" s="3487" t="s">
        <v>2025</v>
      </c>
      <c r="H6" s="3486"/>
      <c r="I6" s="3487" t="s">
        <v>1511</v>
      </c>
      <c r="J6" s="3486"/>
      <c r="K6" s="3487" t="s">
        <v>8</v>
      </c>
      <c r="L6" s="3486"/>
      <c r="M6" s="3487" t="s">
        <v>12</v>
      </c>
      <c r="N6" s="3486"/>
      <c r="O6" s="3488" t="s">
        <v>2026</v>
      </c>
      <c r="P6" s="3511"/>
      <c r="Q6" s="3489"/>
      <c r="R6" s="3488" t="s">
        <v>6</v>
      </c>
      <c r="S6" s="3511"/>
      <c r="T6" s="3511"/>
      <c r="U6" s="3511"/>
      <c r="V6" s="3511"/>
      <c r="W6" s="3511"/>
      <c r="X6" s="3489"/>
      <c r="Y6" s="3509" t="s">
        <v>7</v>
      </c>
      <c r="Z6" s="3509"/>
      <c r="AA6" s="3509"/>
      <c r="AB6" s="3509"/>
      <c r="AC6" s="3487" t="s">
        <v>87</v>
      </c>
      <c r="AD6" s="3486"/>
      <c r="AE6" s="3487" t="s">
        <v>2027</v>
      </c>
      <c r="AF6" s="3486"/>
      <c r="AG6" s="3501" t="s">
        <v>2028</v>
      </c>
      <c r="AH6" s="3502"/>
      <c r="AI6" s="3487" t="s">
        <v>2029</v>
      </c>
      <c r="AJ6" s="3486"/>
      <c r="AK6" s="3487" t="s">
        <v>2030</v>
      </c>
      <c r="AL6" s="3486"/>
      <c r="AM6" s="3487" t="s">
        <v>2031</v>
      </c>
      <c r="AN6" s="3486"/>
      <c r="AO6" s="3487" t="s">
        <v>11</v>
      </c>
      <c r="AP6" s="3486"/>
      <c r="AQ6" s="3487" t="s">
        <v>90</v>
      </c>
      <c r="AR6" s="3486"/>
      <c r="AS6" s="3487" t="s">
        <v>117</v>
      </c>
      <c r="AT6" s="3486"/>
      <c r="AU6" s="3487" t="s">
        <v>989</v>
      </c>
      <c r="AV6" s="3486"/>
      <c r="AW6" s="3487" t="s">
        <v>121</v>
      </c>
      <c r="AX6" s="3486"/>
      <c r="AY6" s="3487" t="s">
        <v>2032</v>
      </c>
      <c r="AZ6" s="3486"/>
      <c r="BA6" s="3487" t="s">
        <v>122</v>
      </c>
      <c r="BB6" s="3486"/>
      <c r="BC6" s="3487" t="s">
        <v>113</v>
      </c>
      <c r="BD6" s="3486"/>
      <c r="BE6" s="3487" t="s">
        <v>112</v>
      </c>
      <c r="BF6" s="3486"/>
      <c r="BG6" s="3487" t="s">
        <v>2033</v>
      </c>
      <c r="BH6" s="3486"/>
      <c r="BI6" s="3487" t="s">
        <v>2034</v>
      </c>
      <c r="BJ6" s="3486"/>
      <c r="BK6" s="3487" t="s">
        <v>2035</v>
      </c>
      <c r="BL6" s="3486"/>
      <c r="BM6" s="3487" t="s">
        <v>2036</v>
      </c>
      <c r="BN6" s="3486"/>
      <c r="BO6" s="3487" t="s">
        <v>118</v>
      </c>
      <c r="BP6" s="3486"/>
      <c r="BQ6" s="3487" t="s">
        <v>2037</v>
      </c>
      <c r="BR6" s="3486"/>
      <c r="BS6" s="3487" t="s">
        <v>94</v>
      </c>
      <c r="BT6" s="3486"/>
      <c r="BU6" s="3512" t="s">
        <v>2038</v>
      </c>
      <c r="BV6" s="3513"/>
      <c r="BW6" s="3513"/>
      <c r="BX6" s="3513"/>
      <c r="BY6" s="3513"/>
      <c r="BZ6" s="3513"/>
      <c r="CA6" s="3513"/>
      <c r="CB6" s="3513"/>
      <c r="CC6" s="3513"/>
      <c r="CD6" s="3513"/>
      <c r="CE6" s="3513"/>
      <c r="CF6" s="3513"/>
      <c r="CG6" s="3513"/>
      <c r="CH6" s="3513"/>
      <c r="CI6" s="3513"/>
      <c r="CJ6" s="3514"/>
      <c r="CK6" s="3487" t="s">
        <v>2039</v>
      </c>
      <c r="CL6" s="3486"/>
      <c r="CM6" s="3487" t="s">
        <v>2040</v>
      </c>
      <c r="CN6" s="3486"/>
      <c r="CO6" s="3487" t="s">
        <v>213</v>
      </c>
      <c r="CP6" s="3486"/>
      <c r="CQ6" s="3487" t="s">
        <v>2041</v>
      </c>
      <c r="CR6" s="3486"/>
      <c r="CS6" s="3487" t="s">
        <v>1519</v>
      </c>
      <c r="CT6" s="3518"/>
      <c r="CU6" s="3518"/>
      <c r="CV6" s="3518"/>
      <c r="CW6" s="3518"/>
      <c r="CX6" s="3518"/>
      <c r="CY6" s="3518"/>
      <c r="CZ6" s="3518"/>
      <c r="DA6" s="3518"/>
      <c r="DB6" s="3518"/>
      <c r="DC6" s="3518"/>
      <c r="DD6" s="3518"/>
      <c r="DE6" s="3518"/>
      <c r="DF6" s="3518"/>
      <c r="DG6" s="3486"/>
      <c r="DH6" s="3487" t="s">
        <v>1520</v>
      </c>
      <c r="DI6" s="3486"/>
      <c r="DJ6" s="3487" t="s">
        <v>1521</v>
      </c>
      <c r="DK6" s="3486"/>
      <c r="DL6" s="3487" t="s">
        <v>2042</v>
      </c>
      <c r="DM6" s="3504"/>
      <c r="DN6" s="3495" t="s">
        <v>1526</v>
      </c>
      <c r="DO6" s="3496"/>
      <c r="DP6" s="3501" t="s">
        <v>1142</v>
      </c>
      <c r="DQ6" s="3502"/>
      <c r="DR6" s="3501" t="s">
        <v>1527</v>
      </c>
      <c r="DS6" s="3502"/>
      <c r="DT6" s="3501" t="s">
        <v>1528</v>
      </c>
      <c r="DU6" s="3503"/>
      <c r="DV6" s="3506" t="s">
        <v>3</v>
      </c>
      <c r="DW6" s="3331"/>
      <c r="DX6" s="3506" t="s">
        <v>2043</v>
      </c>
      <c r="DY6" s="3331"/>
      <c r="DZ6" s="3329" t="s">
        <v>2044</v>
      </c>
      <c r="EA6" s="3331"/>
      <c r="EB6" s="3329" t="s">
        <v>2045</v>
      </c>
      <c r="EC6" s="3331"/>
      <c r="ED6" s="3329" t="s">
        <v>2046</v>
      </c>
      <c r="EE6" s="3331"/>
      <c r="EF6" s="3329" t="s">
        <v>2047</v>
      </c>
      <c r="EG6" s="3492"/>
      <c r="EH6" s="3329" t="s">
        <v>2048</v>
      </c>
      <c r="EI6" s="3492"/>
    </row>
    <row r="7" spans="1:141" s="733" customFormat="1" ht="13.5">
      <c r="A7" s="3481"/>
      <c r="B7" s="3483"/>
      <c r="C7" s="3486"/>
      <c r="D7" s="3486"/>
      <c r="E7" s="3487"/>
      <c r="F7" s="3486"/>
      <c r="G7" s="3487"/>
      <c r="H7" s="3486"/>
      <c r="I7" s="3487"/>
      <c r="J7" s="3486"/>
      <c r="K7" s="3487"/>
      <c r="L7" s="3486"/>
      <c r="M7" s="3487"/>
      <c r="N7" s="3486"/>
      <c r="O7" s="3509"/>
      <c r="P7" s="3509" t="s">
        <v>2049</v>
      </c>
      <c r="Q7" s="3509" t="s">
        <v>2050</v>
      </c>
      <c r="R7" s="3509"/>
      <c r="S7" s="3509" t="s">
        <v>2051</v>
      </c>
      <c r="T7" s="3509" t="s">
        <v>2052</v>
      </c>
      <c r="U7" s="3509" t="s">
        <v>2053</v>
      </c>
      <c r="V7" s="3509" t="s">
        <v>2054</v>
      </c>
      <c r="W7" s="3509" t="s">
        <v>2055</v>
      </c>
      <c r="X7" s="3509" t="s">
        <v>2056</v>
      </c>
      <c r="Y7" s="3509"/>
      <c r="Z7" s="3509" t="s">
        <v>2057</v>
      </c>
      <c r="AA7" s="3509" t="s">
        <v>2058</v>
      </c>
      <c r="AB7" s="3509" t="s">
        <v>2059</v>
      </c>
      <c r="AC7" s="3487"/>
      <c r="AD7" s="3486"/>
      <c r="AE7" s="3487"/>
      <c r="AF7" s="3486"/>
      <c r="AG7" s="3487"/>
      <c r="AH7" s="3486"/>
      <c r="AI7" s="3487"/>
      <c r="AJ7" s="3486"/>
      <c r="AK7" s="3487"/>
      <c r="AL7" s="3486"/>
      <c r="AM7" s="3487"/>
      <c r="AN7" s="3486"/>
      <c r="AO7" s="3487"/>
      <c r="AP7" s="3486"/>
      <c r="AQ7" s="3487"/>
      <c r="AR7" s="3486"/>
      <c r="AS7" s="3487"/>
      <c r="AT7" s="3486"/>
      <c r="AU7" s="3487"/>
      <c r="AV7" s="3486"/>
      <c r="AW7" s="3487"/>
      <c r="AX7" s="3486"/>
      <c r="AY7" s="3487"/>
      <c r="AZ7" s="3486"/>
      <c r="BA7" s="3487"/>
      <c r="BB7" s="3486"/>
      <c r="BC7" s="3487"/>
      <c r="BD7" s="3486"/>
      <c r="BE7" s="3487"/>
      <c r="BF7" s="3486"/>
      <c r="BG7" s="3487"/>
      <c r="BH7" s="3486"/>
      <c r="BI7" s="3487"/>
      <c r="BJ7" s="3486"/>
      <c r="BK7" s="3487"/>
      <c r="BL7" s="3486"/>
      <c r="BM7" s="3487"/>
      <c r="BN7" s="3486"/>
      <c r="BO7" s="3487"/>
      <c r="BP7" s="3486"/>
      <c r="BQ7" s="3487"/>
      <c r="BR7" s="3486"/>
      <c r="BS7" s="3487"/>
      <c r="BT7" s="3486"/>
      <c r="BU7" s="3487" t="s">
        <v>854</v>
      </c>
      <c r="BV7" s="3518"/>
      <c r="BW7" s="3487" t="s">
        <v>866</v>
      </c>
      <c r="BX7" s="3486"/>
      <c r="BY7" s="3487" t="s">
        <v>855</v>
      </c>
      <c r="BZ7" s="3486"/>
      <c r="CA7" s="3487" t="s">
        <v>865</v>
      </c>
      <c r="CB7" s="3486"/>
      <c r="CC7" s="3487" t="s">
        <v>207</v>
      </c>
      <c r="CD7" s="3486"/>
      <c r="CE7" s="3487" t="s">
        <v>209</v>
      </c>
      <c r="CF7" s="3486"/>
      <c r="CG7" s="3487" t="s">
        <v>874</v>
      </c>
      <c r="CH7" s="3486"/>
      <c r="CI7" s="3487" t="s">
        <v>204</v>
      </c>
      <c r="CJ7" s="3486"/>
      <c r="CK7" s="3487"/>
      <c r="CL7" s="3486"/>
      <c r="CM7" s="3487"/>
      <c r="CN7" s="3486"/>
      <c r="CO7" s="3487"/>
      <c r="CP7" s="3486"/>
      <c r="CQ7" s="3487"/>
      <c r="CR7" s="3486"/>
      <c r="CS7" s="3515"/>
      <c r="CT7" s="3509" t="str">
        <f>B213</f>
        <v>Vertified tile ( 600x 600)Printed</v>
      </c>
      <c r="CU7" s="3516" t="str">
        <f>B216</f>
        <v>Vertified tile ( 600x 600)Plain</v>
      </c>
      <c r="CV7" s="3509" t="str">
        <f>B219</f>
        <v>Vertified industrial tile (300 x300)</v>
      </c>
      <c r="CW7" s="3509" t="str">
        <f>B222</f>
        <v>Chequred tile</v>
      </c>
      <c r="CX7" s="3509" t="str">
        <f>B225</f>
        <v>Ceramic floor tile</v>
      </c>
      <c r="CY7" s="3509" t="s">
        <v>1535</v>
      </c>
      <c r="CZ7" s="3509" t="str">
        <f>B228</f>
        <v>Kota tile (size above 0.10sqm)</v>
      </c>
      <c r="DA7" s="3509" t="s">
        <v>2060</v>
      </c>
      <c r="DB7" s="3509" t="s">
        <v>2061</v>
      </c>
      <c r="DC7" s="3509" t="s">
        <v>2062</v>
      </c>
      <c r="DD7" s="3509" t="s">
        <v>242</v>
      </c>
      <c r="DE7" s="3509" t="s">
        <v>2063</v>
      </c>
      <c r="DF7" s="3509" t="s">
        <v>2064</v>
      </c>
      <c r="DG7" s="3509" t="s">
        <v>2065</v>
      </c>
      <c r="DH7" s="3487"/>
      <c r="DI7" s="3486"/>
      <c r="DJ7" s="3487"/>
      <c r="DK7" s="3486"/>
      <c r="DL7" s="3487"/>
      <c r="DM7" s="3504"/>
      <c r="DN7" s="3497"/>
      <c r="DO7" s="3498"/>
      <c r="DP7" s="3487"/>
      <c r="DQ7" s="3486"/>
      <c r="DR7" s="3487"/>
      <c r="DS7" s="3486"/>
      <c r="DT7" s="3487"/>
      <c r="DU7" s="3504"/>
      <c r="DV7" s="3507"/>
      <c r="DW7" s="3491"/>
      <c r="DX7" s="3507"/>
      <c r="DY7" s="3491"/>
      <c r="DZ7" s="3490"/>
      <c r="EA7" s="3491"/>
      <c r="EB7" s="3490"/>
      <c r="EC7" s="3491"/>
      <c r="ED7" s="3490"/>
      <c r="EE7" s="3491"/>
      <c r="EF7" s="3490"/>
      <c r="EG7" s="3493"/>
      <c r="EH7" s="3490"/>
      <c r="EI7" s="3493"/>
    </row>
    <row r="8" spans="1:141" s="733" customFormat="1" ht="13.5">
      <c r="A8" s="3481"/>
      <c r="B8" s="3484"/>
      <c r="C8" s="3486"/>
      <c r="D8" s="3486"/>
      <c r="E8" s="3488"/>
      <c r="F8" s="3489"/>
      <c r="G8" s="3488"/>
      <c r="H8" s="3489"/>
      <c r="I8" s="3488"/>
      <c r="J8" s="3489"/>
      <c r="K8" s="3488"/>
      <c r="L8" s="3489"/>
      <c r="M8" s="3488"/>
      <c r="N8" s="3489"/>
      <c r="O8" s="3509"/>
      <c r="P8" s="3509"/>
      <c r="Q8" s="3509"/>
      <c r="R8" s="3509"/>
      <c r="S8" s="3509"/>
      <c r="T8" s="3509"/>
      <c r="U8" s="3509"/>
      <c r="V8" s="3509"/>
      <c r="W8" s="3509"/>
      <c r="X8" s="3509"/>
      <c r="Y8" s="3509"/>
      <c r="Z8" s="3509"/>
      <c r="AA8" s="3509"/>
      <c r="AB8" s="3509"/>
      <c r="AC8" s="3488"/>
      <c r="AD8" s="3489"/>
      <c r="AE8" s="3488"/>
      <c r="AF8" s="3489"/>
      <c r="AG8" s="3488"/>
      <c r="AH8" s="3489"/>
      <c r="AI8" s="3488"/>
      <c r="AJ8" s="3489"/>
      <c r="AK8" s="3488"/>
      <c r="AL8" s="3489"/>
      <c r="AM8" s="3488"/>
      <c r="AN8" s="3489"/>
      <c r="AO8" s="3488"/>
      <c r="AP8" s="3489"/>
      <c r="AQ8" s="3488"/>
      <c r="AR8" s="3489"/>
      <c r="AS8" s="3488"/>
      <c r="AT8" s="3489"/>
      <c r="AU8" s="3488"/>
      <c r="AV8" s="3489"/>
      <c r="AW8" s="3488"/>
      <c r="AX8" s="3489"/>
      <c r="AY8" s="3488"/>
      <c r="AZ8" s="3489"/>
      <c r="BA8" s="3488"/>
      <c r="BB8" s="3489"/>
      <c r="BC8" s="3488"/>
      <c r="BD8" s="3489"/>
      <c r="BE8" s="3488"/>
      <c r="BF8" s="3489"/>
      <c r="BG8" s="3488"/>
      <c r="BH8" s="3489"/>
      <c r="BI8" s="3488"/>
      <c r="BJ8" s="3489"/>
      <c r="BK8" s="3488"/>
      <c r="BL8" s="3489"/>
      <c r="BM8" s="3488"/>
      <c r="BN8" s="3489"/>
      <c r="BO8" s="3488"/>
      <c r="BP8" s="3489"/>
      <c r="BQ8" s="3488"/>
      <c r="BR8" s="3489"/>
      <c r="BS8" s="3488"/>
      <c r="BT8" s="3489"/>
      <c r="BU8" s="3488"/>
      <c r="BV8" s="3511"/>
      <c r="BW8" s="3488"/>
      <c r="BX8" s="3489"/>
      <c r="BY8" s="3488"/>
      <c r="BZ8" s="3489"/>
      <c r="CA8" s="3488"/>
      <c r="CB8" s="3489"/>
      <c r="CC8" s="3488"/>
      <c r="CD8" s="3489"/>
      <c r="CE8" s="3488"/>
      <c r="CF8" s="3489"/>
      <c r="CG8" s="3488"/>
      <c r="CH8" s="3489"/>
      <c r="CI8" s="3488"/>
      <c r="CJ8" s="3489"/>
      <c r="CK8" s="3488"/>
      <c r="CL8" s="3489"/>
      <c r="CM8" s="3488"/>
      <c r="CN8" s="3489"/>
      <c r="CO8" s="3488"/>
      <c r="CP8" s="3489"/>
      <c r="CQ8" s="3488"/>
      <c r="CR8" s="3489"/>
      <c r="CS8" s="3488"/>
      <c r="CT8" s="3509"/>
      <c r="CU8" s="3517"/>
      <c r="CV8" s="3509"/>
      <c r="CW8" s="3509"/>
      <c r="CX8" s="3509"/>
      <c r="CY8" s="3509"/>
      <c r="CZ8" s="3509"/>
      <c r="DA8" s="3509"/>
      <c r="DB8" s="3509"/>
      <c r="DC8" s="3509"/>
      <c r="DD8" s="3509"/>
      <c r="DE8" s="3509"/>
      <c r="DF8" s="3509"/>
      <c r="DG8" s="3509"/>
      <c r="DH8" s="3488"/>
      <c r="DI8" s="3489"/>
      <c r="DJ8" s="3488"/>
      <c r="DK8" s="3489"/>
      <c r="DL8" s="3488"/>
      <c r="DM8" s="3505"/>
      <c r="DN8" s="3499"/>
      <c r="DO8" s="3500"/>
      <c r="DP8" s="3488"/>
      <c r="DQ8" s="3489"/>
      <c r="DR8" s="3488"/>
      <c r="DS8" s="3489"/>
      <c r="DT8" s="3488"/>
      <c r="DU8" s="3505"/>
      <c r="DV8" s="3508"/>
      <c r="DW8" s="3334"/>
      <c r="DX8" s="3508"/>
      <c r="DY8" s="3334"/>
      <c r="DZ8" s="3332"/>
      <c r="EA8" s="3334"/>
      <c r="EB8" s="3332"/>
      <c r="EC8" s="3334"/>
      <c r="ED8" s="3332"/>
      <c r="EE8" s="3334"/>
      <c r="EF8" s="3332"/>
      <c r="EG8" s="3494"/>
      <c r="EH8" s="3332"/>
      <c r="EI8" s="3494"/>
    </row>
    <row r="9" spans="1:141" s="733" customFormat="1" ht="13.5">
      <c r="A9" s="1208">
        <v>1</v>
      </c>
      <c r="B9" s="1209">
        <f>A9+1</f>
        <v>2</v>
      </c>
      <c r="C9" s="1210">
        <f>B9+1</f>
        <v>3</v>
      </c>
      <c r="D9" s="1210">
        <f>C9+1</f>
        <v>4</v>
      </c>
      <c r="E9" s="3519">
        <f>D9+1</f>
        <v>5</v>
      </c>
      <c r="F9" s="3520"/>
      <c r="G9" s="3519">
        <f>E9+1</f>
        <v>6</v>
      </c>
      <c r="H9" s="3520"/>
      <c r="I9" s="3519">
        <f>G9+1</f>
        <v>7</v>
      </c>
      <c r="J9" s="3520"/>
      <c r="K9" s="3519">
        <f>I9+1</f>
        <v>8</v>
      </c>
      <c r="L9" s="3520"/>
      <c r="M9" s="3519">
        <f>K9+1</f>
        <v>9</v>
      </c>
      <c r="N9" s="3520"/>
      <c r="O9" s="3519">
        <f>M9+1</f>
        <v>10</v>
      </c>
      <c r="P9" s="3521"/>
      <c r="Q9" s="3520"/>
      <c r="R9" s="3519">
        <f>O9+1</f>
        <v>11</v>
      </c>
      <c r="S9" s="3521"/>
      <c r="T9" s="3521"/>
      <c r="U9" s="3521"/>
      <c r="V9" s="3521"/>
      <c r="W9" s="3521"/>
      <c r="X9" s="3520"/>
      <c r="Y9" s="1211"/>
      <c r="Z9" s="1211"/>
      <c r="AA9" s="1211"/>
      <c r="AB9" s="1211"/>
      <c r="AC9" s="3519">
        <f>R9+1</f>
        <v>12</v>
      </c>
      <c r="AD9" s="3520"/>
      <c r="AE9" s="3519">
        <f>AC9+1</f>
        <v>13</v>
      </c>
      <c r="AF9" s="3520"/>
      <c r="AG9" s="3519">
        <f>AE9+1</f>
        <v>14</v>
      </c>
      <c r="AH9" s="3520"/>
      <c r="AI9" s="3519">
        <f>AG9+1</f>
        <v>15</v>
      </c>
      <c r="AJ9" s="3520"/>
      <c r="AK9" s="3519">
        <f>AI9+1</f>
        <v>16</v>
      </c>
      <c r="AL9" s="3520"/>
      <c r="AM9" s="3519">
        <f>AK9+1</f>
        <v>17</v>
      </c>
      <c r="AN9" s="3520"/>
      <c r="AO9" s="3519">
        <f>AM9+1</f>
        <v>18</v>
      </c>
      <c r="AP9" s="3520"/>
      <c r="AQ9" s="3519">
        <f>AO9+1</f>
        <v>19</v>
      </c>
      <c r="AR9" s="3520"/>
      <c r="AS9" s="3519">
        <f>AQ9+1</f>
        <v>20</v>
      </c>
      <c r="AT9" s="3520"/>
      <c r="AU9" s="3519">
        <f>AS9+1</f>
        <v>21</v>
      </c>
      <c r="AV9" s="3520"/>
      <c r="AW9" s="3519">
        <f>AU9+1</f>
        <v>22</v>
      </c>
      <c r="AX9" s="3520"/>
      <c r="AY9" s="3519">
        <f>AW9+1</f>
        <v>23</v>
      </c>
      <c r="AZ9" s="3520"/>
      <c r="BA9" s="3519">
        <f>AY9+1</f>
        <v>24</v>
      </c>
      <c r="BB9" s="3520"/>
      <c r="BC9" s="3519">
        <f>BA9+1</f>
        <v>25</v>
      </c>
      <c r="BD9" s="3520"/>
      <c r="BE9" s="3519">
        <f>BC9+1</f>
        <v>26</v>
      </c>
      <c r="BF9" s="3520"/>
      <c r="BG9" s="3519">
        <f>BE9+1</f>
        <v>27</v>
      </c>
      <c r="BH9" s="3520"/>
      <c r="BI9" s="3519">
        <f>BG9+1</f>
        <v>28</v>
      </c>
      <c r="BJ9" s="3520"/>
      <c r="BK9" s="3519">
        <f>BI9+1</f>
        <v>29</v>
      </c>
      <c r="BL9" s="3520"/>
      <c r="BM9" s="3519">
        <f>BK9+1</f>
        <v>30</v>
      </c>
      <c r="BN9" s="3520"/>
      <c r="BO9" s="3519">
        <f>BM9+1</f>
        <v>31</v>
      </c>
      <c r="BP9" s="3520"/>
      <c r="BQ9" s="3519">
        <f>BO9+1</f>
        <v>32</v>
      </c>
      <c r="BR9" s="3520"/>
      <c r="BS9" s="3519">
        <f>BQ9+1</f>
        <v>33</v>
      </c>
      <c r="BT9" s="3520"/>
      <c r="BU9" s="3519">
        <f>BS9+1</f>
        <v>34</v>
      </c>
      <c r="BV9" s="3521"/>
      <c r="BW9" s="3521"/>
      <c r="BX9" s="3521"/>
      <c r="BY9" s="3521"/>
      <c r="BZ9" s="3521"/>
      <c r="CA9" s="3521"/>
      <c r="CB9" s="3521"/>
      <c r="CC9" s="3521"/>
      <c r="CD9" s="3521"/>
      <c r="CE9" s="3521"/>
      <c r="CF9" s="3521"/>
      <c r="CG9" s="3521"/>
      <c r="CH9" s="3521"/>
      <c r="CI9" s="3521"/>
      <c r="CJ9" s="3520"/>
      <c r="CK9" s="3519">
        <f>BU9+1</f>
        <v>35</v>
      </c>
      <c r="CL9" s="3520"/>
      <c r="CM9" s="3519">
        <f>CK9+1</f>
        <v>36</v>
      </c>
      <c r="CN9" s="3520"/>
      <c r="CO9" s="3519">
        <f>CM9+1</f>
        <v>37</v>
      </c>
      <c r="CP9" s="3520"/>
      <c r="CQ9" s="3519">
        <f>CO9+1</f>
        <v>38</v>
      </c>
      <c r="CR9" s="3520"/>
      <c r="CS9" s="3519">
        <f>CQ9+1</f>
        <v>39</v>
      </c>
      <c r="CT9" s="3521"/>
      <c r="CU9" s="3521"/>
      <c r="CV9" s="3521"/>
      <c r="CW9" s="3521"/>
      <c r="CX9" s="3521"/>
      <c r="CY9" s="3521"/>
      <c r="CZ9" s="3521"/>
      <c r="DA9" s="3521"/>
      <c r="DB9" s="3521"/>
      <c r="DC9" s="3521"/>
      <c r="DD9" s="3521"/>
      <c r="DE9" s="3521"/>
      <c r="DF9" s="3521"/>
      <c r="DG9" s="3520"/>
      <c r="DH9" s="3519">
        <f>CS9+1</f>
        <v>40</v>
      </c>
      <c r="DI9" s="3520"/>
      <c r="DJ9" s="3519">
        <f>DH9+1</f>
        <v>41</v>
      </c>
      <c r="DK9" s="3520"/>
      <c r="DL9" s="3519">
        <f>DJ9+1</f>
        <v>42</v>
      </c>
      <c r="DM9" s="3522"/>
      <c r="DN9" s="3529">
        <f>DL9+1</f>
        <v>43</v>
      </c>
      <c r="DO9" s="3520"/>
      <c r="DP9" s="3519">
        <f>DN9+1</f>
        <v>44</v>
      </c>
      <c r="DQ9" s="3520"/>
      <c r="DR9" s="3519">
        <f>DP9+1</f>
        <v>45</v>
      </c>
      <c r="DS9" s="3520"/>
      <c r="DT9" s="3519">
        <f>DR9+1</f>
        <v>46</v>
      </c>
      <c r="DU9" s="3522"/>
      <c r="DV9" s="3519">
        <f>DT9+1</f>
        <v>47</v>
      </c>
      <c r="DW9" s="3522"/>
      <c r="DX9" s="3529">
        <f>DT9+1</f>
        <v>47</v>
      </c>
      <c r="DY9" s="3520"/>
      <c r="DZ9" s="3519">
        <f>DX9+1</f>
        <v>48</v>
      </c>
      <c r="EA9" s="3520"/>
      <c r="EB9" s="3519">
        <f>DZ9+1</f>
        <v>49</v>
      </c>
      <c r="EC9" s="3520"/>
      <c r="ED9" s="3519">
        <f>EB9+1</f>
        <v>50</v>
      </c>
      <c r="EE9" s="3520"/>
      <c r="EF9" s="3519">
        <f>ED9+1</f>
        <v>51</v>
      </c>
      <c r="EG9" s="3522"/>
      <c r="EH9" s="3519">
        <f>EF9+1</f>
        <v>52</v>
      </c>
      <c r="EI9" s="3522"/>
    </row>
    <row r="10" spans="1:141" s="733" customFormat="1" ht="13.5">
      <c r="A10" s="1009">
        <v>1</v>
      </c>
      <c r="B10" s="1212" t="s">
        <v>3011</v>
      </c>
      <c r="C10" s="1213">
        <v>0</v>
      </c>
      <c r="D10" s="1013" t="s">
        <v>49</v>
      </c>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3"/>
      <c r="AD10" s="1013"/>
      <c r="AE10" s="1013"/>
      <c r="AF10" s="1013"/>
      <c r="AG10" s="1013"/>
      <c r="AH10" s="1013"/>
      <c r="AI10" s="1013"/>
      <c r="AJ10" s="1013"/>
      <c r="AK10" s="1013"/>
      <c r="AL10" s="1013"/>
      <c r="AM10" s="1013"/>
      <c r="AN10" s="1013"/>
      <c r="AO10" s="1013"/>
      <c r="AP10" s="1013"/>
      <c r="AQ10" s="1013"/>
      <c r="AR10" s="1013"/>
      <c r="AS10" s="1013"/>
      <c r="AT10" s="1013"/>
      <c r="AU10" s="1013"/>
      <c r="AV10" s="1013"/>
      <c r="AW10" s="1013"/>
      <c r="AX10" s="1013"/>
      <c r="AY10" s="1013"/>
      <c r="AZ10" s="1013"/>
      <c r="BA10" s="1013"/>
      <c r="BB10" s="1013"/>
      <c r="BC10" s="1013"/>
      <c r="BD10" s="1013"/>
      <c r="BE10" s="1013"/>
      <c r="BF10" s="1013"/>
      <c r="BG10" s="1013"/>
      <c r="BH10" s="1013"/>
      <c r="BI10" s="1013"/>
      <c r="BJ10" s="1013"/>
      <c r="BK10" s="1013"/>
      <c r="BL10" s="1013"/>
      <c r="BM10" s="1013"/>
      <c r="BN10" s="1013"/>
      <c r="BO10" s="1013"/>
      <c r="BP10" s="1013"/>
      <c r="BQ10" s="1013"/>
      <c r="BR10" s="1013"/>
      <c r="BS10" s="1013"/>
      <c r="BT10" s="1013"/>
      <c r="BU10" s="1013"/>
      <c r="BV10" s="1013"/>
      <c r="BW10" s="1013"/>
      <c r="BX10" s="1013"/>
      <c r="BY10" s="1013"/>
      <c r="BZ10" s="1013"/>
      <c r="CA10" s="1013"/>
      <c r="CB10" s="1013"/>
      <c r="CC10" s="1013"/>
      <c r="CD10" s="1013"/>
      <c r="CE10" s="1013"/>
      <c r="CF10" s="1013"/>
      <c r="CG10" s="1013"/>
      <c r="CH10" s="1013"/>
      <c r="CI10" s="1013"/>
      <c r="CJ10" s="1013"/>
      <c r="CK10" s="1013"/>
      <c r="CL10" s="1013"/>
      <c r="CM10" s="1013"/>
      <c r="CN10" s="1013"/>
      <c r="CO10" s="1013"/>
      <c r="CP10" s="1013"/>
      <c r="CQ10" s="1013"/>
      <c r="CR10" s="1013"/>
      <c r="CS10" s="1013"/>
      <c r="CT10" s="1013"/>
      <c r="CU10" s="1013"/>
      <c r="CV10" s="1013"/>
      <c r="CW10" s="1013"/>
      <c r="CX10" s="1013"/>
      <c r="CY10" s="1013"/>
      <c r="CZ10" s="1013"/>
      <c r="DA10" s="1013"/>
      <c r="DB10" s="1013"/>
      <c r="DC10" s="1013"/>
      <c r="DD10" s="1013"/>
      <c r="DE10" s="1013"/>
      <c r="DF10" s="1013"/>
      <c r="DG10" s="1013"/>
      <c r="DH10" s="1013"/>
      <c r="DI10" s="1013"/>
      <c r="DJ10" s="1013"/>
      <c r="DK10" s="1013"/>
      <c r="DL10" s="1013"/>
      <c r="DM10" s="1214"/>
      <c r="DN10" s="1215"/>
      <c r="DO10" s="1216" t="s">
        <v>262</v>
      </c>
      <c r="DP10" s="1217"/>
      <c r="DQ10" s="1216" t="s">
        <v>262</v>
      </c>
      <c r="DR10" s="1218"/>
      <c r="DS10" s="1216" t="s">
        <v>262</v>
      </c>
      <c r="DT10" s="1218"/>
      <c r="DU10" s="1219" t="s">
        <v>262</v>
      </c>
      <c r="DV10" s="1220"/>
      <c r="DW10" s="1221"/>
      <c r="DX10" s="1222"/>
      <c r="DY10" s="847"/>
      <c r="DZ10" s="847"/>
      <c r="EA10" s="847"/>
      <c r="EB10" s="847"/>
      <c r="EC10" s="847"/>
      <c r="ED10" s="847"/>
      <c r="EE10" s="847"/>
      <c r="EF10" s="847"/>
      <c r="EG10" s="1212"/>
      <c r="EH10" s="847"/>
      <c r="EI10" s="1212"/>
      <c r="EJ10" s="1101"/>
    </row>
    <row r="11" spans="1:141" s="733" customFormat="1" ht="13.5">
      <c r="A11" s="1009"/>
      <c r="B11" s="1212" t="s">
        <v>2066</v>
      </c>
      <c r="C11" s="1213">
        <v>0</v>
      </c>
      <c r="D11" s="1013" t="s">
        <v>49</v>
      </c>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3"/>
      <c r="AE11" s="1013"/>
      <c r="AF11" s="1013"/>
      <c r="AG11" s="1013"/>
      <c r="AH11" s="1013"/>
      <c r="AI11" s="1013"/>
      <c r="AJ11" s="1013"/>
      <c r="AK11" s="1013"/>
      <c r="AL11" s="1013"/>
      <c r="AM11" s="1013"/>
      <c r="AN11" s="1013"/>
      <c r="AO11" s="1013"/>
      <c r="AP11" s="1013"/>
      <c r="AQ11" s="1013"/>
      <c r="AR11" s="1013"/>
      <c r="AS11" s="1013"/>
      <c r="AT11" s="1013"/>
      <c r="AU11" s="1013"/>
      <c r="AV11" s="1013"/>
      <c r="AW11" s="1013"/>
      <c r="AX11" s="1013"/>
      <c r="AY11" s="1013"/>
      <c r="AZ11" s="1013"/>
      <c r="BA11" s="1013"/>
      <c r="BB11" s="1013"/>
      <c r="BC11" s="1013"/>
      <c r="BD11" s="1013"/>
      <c r="BE11" s="1013"/>
      <c r="BF11" s="1013"/>
      <c r="BG11" s="1013"/>
      <c r="BH11" s="1013"/>
      <c r="BI11" s="1013"/>
      <c r="BJ11" s="1013"/>
      <c r="BK11" s="1013"/>
      <c r="BL11" s="1013"/>
      <c r="BM11" s="1013"/>
      <c r="BN11" s="1013"/>
      <c r="BO11" s="1013"/>
      <c r="BP11" s="1013"/>
      <c r="BQ11" s="1013"/>
      <c r="BR11" s="1013"/>
      <c r="BS11" s="1013"/>
      <c r="BT11" s="1013"/>
      <c r="BU11" s="1223"/>
      <c r="BV11" s="1223"/>
      <c r="BW11" s="1223"/>
      <c r="BX11" s="1223"/>
      <c r="BY11" s="1223"/>
      <c r="BZ11" s="1223"/>
      <c r="CA11" s="1223"/>
      <c r="CB11" s="1223"/>
      <c r="CC11" s="1223"/>
      <c r="CD11" s="1223"/>
      <c r="CE11" s="1223"/>
      <c r="CF11" s="1223"/>
      <c r="CG11" s="1223"/>
      <c r="CH11" s="1223"/>
      <c r="CI11" s="1223"/>
      <c r="CJ11" s="1223"/>
      <c r="CK11" s="1013"/>
      <c r="CL11" s="1013"/>
      <c r="CM11" s="1013"/>
      <c r="CN11" s="1013"/>
      <c r="CO11" s="1013"/>
      <c r="CP11" s="1013"/>
      <c r="CQ11" s="1013"/>
      <c r="CR11" s="1013"/>
      <c r="CS11" s="1013"/>
      <c r="CT11" s="1013"/>
      <c r="CU11" s="1013"/>
      <c r="CV11" s="1013"/>
      <c r="CW11" s="1013"/>
      <c r="CX11" s="1013"/>
      <c r="CY11" s="1013"/>
      <c r="CZ11" s="1013"/>
      <c r="DA11" s="1013"/>
      <c r="DB11" s="1013"/>
      <c r="DC11" s="1013"/>
      <c r="DD11" s="1013"/>
      <c r="DE11" s="1013"/>
      <c r="DF11" s="1013"/>
      <c r="DG11" s="1013"/>
      <c r="DH11" s="1013"/>
      <c r="DI11" s="1013"/>
      <c r="DJ11" s="1013"/>
      <c r="DK11" s="1013"/>
      <c r="DL11" s="1013"/>
      <c r="DM11" s="1214"/>
      <c r="DN11" s="1224">
        <f>'Lead &amp; ANALYSIS'!G1309+ROUND('Lead &amp; ANALYSIS'!G1309*2%,2)</f>
        <v>1.53</v>
      </c>
      <c r="DO11" s="1225">
        <f>ROUND(C11*DN11,2)</f>
        <v>0</v>
      </c>
      <c r="DP11" s="1225">
        <f>'Lead &amp; ANALYSIS'!G1308+ROUND('Lead &amp; ANALYSIS'!G1308*2%,2)</f>
        <v>1.53</v>
      </c>
      <c r="DQ11" s="1013">
        <f>ROUND(C11*DP11,4)</f>
        <v>0</v>
      </c>
      <c r="DR11" s="1225"/>
      <c r="DS11" s="1013"/>
      <c r="DT11" s="1225"/>
      <c r="DU11" s="1214"/>
      <c r="DV11" s="1226"/>
      <c r="DW11" s="1227"/>
      <c r="DX11" s="1222"/>
      <c r="DY11" s="847"/>
      <c r="DZ11" s="847"/>
      <c r="EA11" s="847"/>
      <c r="EB11" s="847"/>
      <c r="EC11" s="847"/>
      <c r="ED11" s="847"/>
      <c r="EE11" s="847"/>
      <c r="EF11" s="847"/>
      <c r="EG11" s="1212"/>
      <c r="EH11" s="847"/>
      <c r="EI11" s="1212"/>
      <c r="EJ11" s="1101">
        <f>DO11*200+DQ11*220+DS11*240+DU11*260</f>
        <v>0</v>
      </c>
      <c r="EK11" s="1101">
        <v>716.96</v>
      </c>
    </row>
    <row r="12" spans="1:141" s="733" customFormat="1" ht="13.5">
      <c r="A12" s="1009"/>
      <c r="B12" s="1212" t="s">
        <v>2067</v>
      </c>
      <c r="C12" s="1213">
        <v>0</v>
      </c>
      <c r="D12" s="1013" t="s">
        <v>49</v>
      </c>
      <c r="E12" s="1013"/>
      <c r="F12" s="1013"/>
      <c r="G12" s="1013"/>
      <c r="H12" s="1013"/>
      <c r="I12" s="1013"/>
      <c r="J12" s="1013"/>
      <c r="K12" s="1013"/>
      <c r="L12" s="1013"/>
      <c r="M12" s="1013"/>
      <c r="N12" s="1013"/>
      <c r="O12" s="1013"/>
      <c r="P12" s="1013"/>
      <c r="Q12" s="1013"/>
      <c r="R12" s="1013"/>
      <c r="S12" s="1013"/>
      <c r="T12" s="1013"/>
      <c r="U12" s="1013"/>
      <c r="V12" s="1013"/>
      <c r="W12" s="1013"/>
      <c r="X12" s="1013"/>
      <c r="Y12" s="1013"/>
      <c r="Z12" s="1013"/>
      <c r="AA12" s="1013"/>
      <c r="AB12" s="1013"/>
      <c r="AC12" s="1013"/>
      <c r="AD12" s="1013"/>
      <c r="AE12" s="1013"/>
      <c r="AF12" s="1013"/>
      <c r="AG12" s="1013"/>
      <c r="AH12" s="1013"/>
      <c r="AI12" s="1013"/>
      <c r="AJ12" s="1013"/>
      <c r="AK12" s="1013"/>
      <c r="AL12" s="1013"/>
      <c r="AM12" s="1013"/>
      <c r="AN12" s="1013"/>
      <c r="AO12" s="1013"/>
      <c r="AP12" s="1013"/>
      <c r="AQ12" s="1013"/>
      <c r="AR12" s="1013"/>
      <c r="AS12" s="1013"/>
      <c r="AT12" s="1013"/>
      <c r="AU12" s="1013"/>
      <c r="AV12" s="1013"/>
      <c r="AW12" s="1013"/>
      <c r="AX12" s="1013"/>
      <c r="AY12" s="1013"/>
      <c r="AZ12" s="1013"/>
      <c r="BA12" s="1013"/>
      <c r="BB12" s="1013"/>
      <c r="BC12" s="1013"/>
      <c r="BD12" s="1013"/>
      <c r="BE12" s="1013"/>
      <c r="BF12" s="1013"/>
      <c r="BG12" s="1013"/>
      <c r="BH12" s="1013"/>
      <c r="BI12" s="1013"/>
      <c r="BJ12" s="1013"/>
      <c r="BK12" s="1013"/>
      <c r="BL12" s="1013"/>
      <c r="BM12" s="1013"/>
      <c r="BN12" s="1013"/>
      <c r="BO12" s="1013"/>
      <c r="BP12" s="1013"/>
      <c r="BQ12" s="1013"/>
      <c r="BR12" s="1013"/>
      <c r="BS12" s="1013"/>
      <c r="BT12" s="1013"/>
      <c r="BU12" s="1223"/>
      <c r="BV12" s="1223"/>
      <c r="BW12" s="1223"/>
      <c r="BX12" s="1223"/>
      <c r="BY12" s="1223"/>
      <c r="BZ12" s="1223"/>
      <c r="CA12" s="1223"/>
      <c r="CB12" s="1223"/>
      <c r="CC12" s="1223"/>
      <c r="CD12" s="1223"/>
      <c r="CE12" s="1223"/>
      <c r="CF12" s="1223"/>
      <c r="CG12" s="1223"/>
      <c r="CH12" s="1223"/>
      <c r="CI12" s="1223"/>
      <c r="CJ12" s="122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I12" s="1013"/>
      <c r="DJ12" s="1013"/>
      <c r="DK12" s="1013"/>
      <c r="DL12" s="1013"/>
      <c r="DM12" s="1214"/>
      <c r="DN12" s="1224">
        <f>DN11+ROUND('Lead &amp; ANALYSIS'!G1309*5%,3)</f>
        <v>1.605</v>
      </c>
      <c r="DO12" s="1225">
        <f>ROUND(C12*DN12,3)</f>
        <v>0</v>
      </c>
      <c r="DP12" s="1225">
        <f>DP11+ROUND('Lead &amp; ANALYSIS'!G1308*5%,3)</f>
        <v>1.605</v>
      </c>
      <c r="DQ12" s="1225">
        <f>ROUND(C12*DP12,3)</f>
        <v>0</v>
      </c>
      <c r="DR12" s="1225"/>
      <c r="DS12" s="1013"/>
      <c r="DT12" s="1225"/>
      <c r="DU12" s="1214"/>
      <c r="DV12" s="1226"/>
      <c r="DW12" s="1227"/>
      <c r="DX12" s="1222"/>
      <c r="DY12" s="847"/>
      <c r="DZ12" s="847"/>
      <c r="EA12" s="847"/>
      <c r="EB12" s="847"/>
      <c r="EC12" s="847"/>
      <c r="ED12" s="847"/>
      <c r="EE12" s="847"/>
      <c r="EF12" s="847"/>
      <c r="EG12" s="1212"/>
      <c r="EH12" s="847"/>
      <c r="EI12" s="1212"/>
      <c r="EJ12" s="1101">
        <f>DO12*200+DQ12*220+DS12*240+DU12*260</f>
        <v>0</v>
      </c>
      <c r="EK12" s="1101">
        <v>752.1099999999999</v>
      </c>
    </row>
    <row r="13" spans="1:141" s="733" customFormat="1" ht="13.5">
      <c r="A13" s="1009">
        <v>2</v>
      </c>
      <c r="B13" s="1212" t="s">
        <v>3012</v>
      </c>
      <c r="C13" s="1213">
        <v>0</v>
      </c>
      <c r="D13" s="1013" t="s">
        <v>49</v>
      </c>
      <c r="E13" s="1013"/>
      <c r="F13" s="1013"/>
      <c r="G13" s="1013"/>
      <c r="H13" s="1013"/>
      <c r="I13" s="1013"/>
      <c r="J13" s="1013"/>
      <c r="K13" s="1013"/>
      <c r="L13" s="1013"/>
      <c r="M13" s="1013"/>
      <c r="N13" s="1013"/>
      <c r="O13" s="1013"/>
      <c r="P13" s="1013"/>
      <c r="Q13" s="1013"/>
      <c r="R13" s="1013"/>
      <c r="S13" s="1013"/>
      <c r="T13" s="1013"/>
      <c r="U13" s="1013"/>
      <c r="V13" s="1013"/>
      <c r="W13" s="1013"/>
      <c r="X13" s="1013"/>
      <c r="Y13" s="1013"/>
      <c r="Z13" s="1013"/>
      <c r="AA13" s="1013"/>
      <c r="AB13" s="1013"/>
      <c r="AC13" s="1013"/>
      <c r="AD13" s="1013"/>
      <c r="AE13" s="1013"/>
      <c r="AF13" s="1013"/>
      <c r="AG13" s="1013"/>
      <c r="AH13" s="1013"/>
      <c r="AI13" s="1013"/>
      <c r="AJ13" s="1013"/>
      <c r="AK13" s="1013"/>
      <c r="AL13" s="1013"/>
      <c r="AM13" s="1013"/>
      <c r="AN13" s="1013"/>
      <c r="AO13" s="1013"/>
      <c r="AP13" s="1013"/>
      <c r="AQ13" s="1013"/>
      <c r="AR13" s="1013"/>
      <c r="AS13" s="1013"/>
      <c r="AT13" s="1013"/>
      <c r="AU13" s="1013"/>
      <c r="AV13" s="1013"/>
      <c r="AW13" s="1013"/>
      <c r="AX13" s="1013"/>
      <c r="AY13" s="1013"/>
      <c r="AZ13" s="1013"/>
      <c r="BA13" s="1013"/>
      <c r="BB13" s="1013"/>
      <c r="BC13" s="1013"/>
      <c r="BD13" s="1013"/>
      <c r="BE13" s="1013"/>
      <c r="BF13" s="1013"/>
      <c r="BG13" s="1013"/>
      <c r="BH13" s="1013"/>
      <c r="BI13" s="1013"/>
      <c r="BJ13" s="1013"/>
      <c r="BK13" s="1013"/>
      <c r="BL13" s="1013"/>
      <c r="BM13" s="1013"/>
      <c r="BN13" s="1013"/>
      <c r="BO13" s="1013"/>
      <c r="BP13" s="1013"/>
      <c r="BQ13" s="1013"/>
      <c r="BR13" s="1013"/>
      <c r="BS13" s="1013"/>
      <c r="BT13" s="1013"/>
      <c r="BU13" s="1013"/>
      <c r="BV13" s="1013"/>
      <c r="BW13" s="1013"/>
      <c r="BX13" s="1013"/>
      <c r="BY13" s="1013"/>
      <c r="BZ13" s="1013"/>
      <c r="CA13" s="1013"/>
      <c r="CB13" s="1013"/>
      <c r="CC13" s="1013"/>
      <c r="CD13" s="1013"/>
      <c r="CE13" s="1013"/>
      <c r="CF13" s="1013"/>
      <c r="CG13" s="1013"/>
      <c r="CH13" s="1013"/>
      <c r="CI13" s="1013"/>
      <c r="CJ13" s="1013"/>
      <c r="CK13" s="1013"/>
      <c r="CL13" s="1013"/>
      <c r="CM13" s="1013"/>
      <c r="CN13" s="1013"/>
      <c r="CO13" s="1013"/>
      <c r="CP13" s="1013"/>
      <c r="CQ13" s="1013"/>
      <c r="CR13" s="1013"/>
      <c r="CS13" s="1013"/>
      <c r="CT13" s="1013"/>
      <c r="CU13" s="1013"/>
      <c r="CV13" s="1013"/>
      <c r="CW13" s="1013"/>
      <c r="CX13" s="1013"/>
      <c r="CY13" s="1013"/>
      <c r="CZ13" s="1013"/>
      <c r="DA13" s="1013"/>
      <c r="DB13" s="1013"/>
      <c r="DC13" s="1013"/>
      <c r="DD13" s="1013"/>
      <c r="DE13" s="1013"/>
      <c r="DF13" s="1013"/>
      <c r="DG13" s="1013"/>
      <c r="DH13" s="1013"/>
      <c r="DI13" s="1013"/>
      <c r="DJ13" s="1013"/>
      <c r="DK13" s="1013"/>
      <c r="DL13" s="1013"/>
      <c r="DM13" s="1214"/>
      <c r="DN13" s="1222"/>
      <c r="DO13" s="1013"/>
      <c r="DP13" s="847"/>
      <c r="DQ13" s="1013"/>
      <c r="DR13" s="1225"/>
      <c r="DS13" s="1013"/>
      <c r="DT13" s="1225"/>
      <c r="DU13" s="1214"/>
      <c r="DV13" s="1226"/>
      <c r="DW13" s="1227"/>
      <c r="DX13" s="1222"/>
      <c r="DY13" s="847"/>
      <c r="DZ13" s="847"/>
      <c r="EA13" s="847"/>
      <c r="EB13" s="847"/>
      <c r="EC13" s="847"/>
      <c r="ED13" s="847"/>
      <c r="EE13" s="847"/>
      <c r="EF13" s="847"/>
      <c r="EG13" s="1212"/>
      <c r="EH13" s="847"/>
      <c r="EI13" s="1212"/>
      <c r="EJ13" s="1101"/>
      <c r="EK13" s="1101" t="e">
        <v>#REF!</v>
      </c>
    </row>
    <row r="14" spans="1:141" s="733" customFormat="1" ht="13.5">
      <c r="A14" s="1009"/>
      <c r="B14" s="1212" t="s">
        <v>2066</v>
      </c>
      <c r="C14" s="1213">
        <v>0</v>
      </c>
      <c r="D14" s="1013" t="s">
        <v>49</v>
      </c>
      <c r="E14" s="1013"/>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c r="AB14" s="1013"/>
      <c r="AC14" s="1013"/>
      <c r="AD14" s="1013"/>
      <c r="AE14" s="1013"/>
      <c r="AF14" s="1013"/>
      <c r="AG14" s="1013"/>
      <c r="AH14" s="1013"/>
      <c r="AI14" s="1013"/>
      <c r="AJ14" s="1013"/>
      <c r="AK14" s="1013"/>
      <c r="AL14" s="1013"/>
      <c r="AM14" s="1013"/>
      <c r="AN14" s="1013"/>
      <c r="AO14" s="1013"/>
      <c r="AP14" s="1013"/>
      <c r="AQ14" s="1013"/>
      <c r="AR14" s="1013"/>
      <c r="AS14" s="1013"/>
      <c r="AT14" s="1013"/>
      <c r="AU14" s="1013"/>
      <c r="AV14" s="1013"/>
      <c r="AW14" s="1013"/>
      <c r="AX14" s="1013"/>
      <c r="AY14" s="1013"/>
      <c r="AZ14" s="1013"/>
      <c r="BA14" s="1013"/>
      <c r="BB14" s="1013"/>
      <c r="BC14" s="1013"/>
      <c r="BD14" s="1013"/>
      <c r="BE14" s="1013"/>
      <c r="BF14" s="1013"/>
      <c r="BG14" s="1013"/>
      <c r="BH14" s="1013"/>
      <c r="BI14" s="1013"/>
      <c r="BJ14" s="1013"/>
      <c r="BK14" s="1013"/>
      <c r="BL14" s="1013"/>
      <c r="BM14" s="1013"/>
      <c r="BN14" s="1013"/>
      <c r="BO14" s="1013"/>
      <c r="BP14" s="1013"/>
      <c r="BQ14" s="1013"/>
      <c r="BR14" s="1013"/>
      <c r="BS14" s="1013"/>
      <c r="BT14" s="1013"/>
      <c r="BU14" s="1013"/>
      <c r="BV14" s="1013"/>
      <c r="BW14" s="1013"/>
      <c r="BX14" s="1013"/>
      <c r="BY14" s="1013"/>
      <c r="BZ14" s="1013"/>
      <c r="CA14" s="1013"/>
      <c r="CB14" s="1013"/>
      <c r="CC14" s="1013"/>
      <c r="CD14" s="1013"/>
      <c r="CE14" s="1013"/>
      <c r="CF14" s="1013"/>
      <c r="CG14" s="1013"/>
      <c r="CH14" s="1013"/>
      <c r="CI14" s="1013"/>
      <c r="CJ14" s="1013"/>
      <c r="CK14" s="1013"/>
      <c r="CL14" s="1013"/>
      <c r="CM14" s="1013"/>
      <c r="CN14" s="1013"/>
      <c r="CO14" s="1013"/>
      <c r="CP14" s="1013"/>
      <c r="CQ14" s="1013"/>
      <c r="CR14" s="1013"/>
      <c r="CS14" s="1013"/>
      <c r="CT14" s="1013"/>
      <c r="CU14" s="1013"/>
      <c r="CV14" s="1013"/>
      <c r="CW14" s="1013"/>
      <c r="CX14" s="1013"/>
      <c r="CY14" s="1013"/>
      <c r="CZ14" s="1013"/>
      <c r="DA14" s="1013"/>
      <c r="DB14" s="1013"/>
      <c r="DC14" s="1013"/>
      <c r="DD14" s="1013"/>
      <c r="DE14" s="1013"/>
      <c r="DF14" s="1013"/>
      <c r="DG14" s="1013"/>
      <c r="DH14" s="1013"/>
      <c r="DI14" s="1013"/>
      <c r="DJ14" s="1013"/>
      <c r="DK14" s="1013"/>
      <c r="DL14" s="1013"/>
      <c r="DM14" s="1214"/>
      <c r="DN14" s="1222">
        <f>('Lead &amp; ANALYSIS'!G1330/2.83)+(('Lead &amp; ANALYSIS'!G1330*2%)/2.83)</f>
        <v>3.0636042402826855</v>
      </c>
      <c r="DO14" s="1013">
        <f>ROUND(C14*DN14,4)</f>
        <v>0</v>
      </c>
      <c r="DP14" s="847"/>
      <c r="DQ14" s="1013"/>
      <c r="DR14" s="1225"/>
      <c r="DS14" s="1013"/>
      <c r="DT14" s="1225"/>
      <c r="DU14" s="1214"/>
      <c r="DV14" s="1226"/>
      <c r="DW14" s="1227"/>
      <c r="DX14" s="1222"/>
      <c r="DY14" s="847"/>
      <c r="DZ14" s="847"/>
      <c r="EA14" s="847"/>
      <c r="EB14" s="847"/>
      <c r="EC14" s="847"/>
      <c r="ED14" s="847"/>
      <c r="EE14" s="847"/>
      <c r="EF14" s="847"/>
      <c r="EG14" s="1212"/>
      <c r="EH14" s="847"/>
      <c r="EI14" s="1212"/>
      <c r="EJ14" s="1101">
        <f>DO14*200+DQ14*220+DS14*240+DU14*260</f>
        <v>0</v>
      </c>
      <c r="EK14" s="1101">
        <v>687.17</v>
      </c>
    </row>
    <row r="15" spans="1:141" s="733" customFormat="1" ht="13.5">
      <c r="A15" s="1009"/>
      <c r="B15" s="1212" t="s">
        <v>2067</v>
      </c>
      <c r="C15" s="1213">
        <v>0</v>
      </c>
      <c r="D15" s="1013" t="s">
        <v>49</v>
      </c>
      <c r="E15" s="1013"/>
      <c r="F15" s="1013"/>
      <c r="G15" s="1013"/>
      <c r="H15" s="1013"/>
      <c r="I15" s="1013"/>
      <c r="J15" s="1013"/>
      <c r="K15" s="1013"/>
      <c r="L15" s="1013"/>
      <c r="M15" s="1013"/>
      <c r="N15" s="1013"/>
      <c r="O15" s="1013"/>
      <c r="P15" s="1013"/>
      <c r="Q15" s="1013"/>
      <c r="R15" s="1013"/>
      <c r="S15" s="1013"/>
      <c r="T15" s="1013"/>
      <c r="U15" s="1013"/>
      <c r="V15" s="1013"/>
      <c r="W15" s="1013"/>
      <c r="X15" s="1013"/>
      <c r="Y15" s="1013"/>
      <c r="Z15" s="1013"/>
      <c r="AA15" s="1013"/>
      <c r="AB15" s="1013"/>
      <c r="AC15" s="1013"/>
      <c r="AD15" s="1013"/>
      <c r="AE15" s="1013"/>
      <c r="AF15" s="1013"/>
      <c r="AG15" s="1013"/>
      <c r="AH15" s="1013"/>
      <c r="AI15" s="1013"/>
      <c r="AJ15" s="1013"/>
      <c r="AK15" s="1013"/>
      <c r="AL15" s="1013"/>
      <c r="AM15" s="1013"/>
      <c r="AN15" s="1013"/>
      <c r="AO15" s="1013"/>
      <c r="AP15" s="1013"/>
      <c r="AQ15" s="1013"/>
      <c r="AR15" s="1013"/>
      <c r="AS15" s="1013"/>
      <c r="AT15" s="1013"/>
      <c r="AU15" s="1013"/>
      <c r="AV15" s="1013"/>
      <c r="AW15" s="1013"/>
      <c r="AX15" s="1013"/>
      <c r="AY15" s="1013"/>
      <c r="AZ15" s="1013"/>
      <c r="BA15" s="1013"/>
      <c r="BB15" s="1013"/>
      <c r="BC15" s="1013"/>
      <c r="BD15" s="1013"/>
      <c r="BE15" s="1013"/>
      <c r="BF15" s="1013"/>
      <c r="BG15" s="1013"/>
      <c r="BH15" s="1013"/>
      <c r="BI15" s="1013"/>
      <c r="BJ15" s="1013"/>
      <c r="BK15" s="1013"/>
      <c r="BL15" s="1013"/>
      <c r="BM15" s="1013"/>
      <c r="BN15" s="1013"/>
      <c r="BO15" s="1013"/>
      <c r="BP15" s="1013"/>
      <c r="BQ15" s="1013"/>
      <c r="BR15" s="1013"/>
      <c r="BS15" s="1013"/>
      <c r="BT15" s="1013"/>
      <c r="BU15" s="1013"/>
      <c r="BV15" s="1013"/>
      <c r="BW15" s="1013"/>
      <c r="BX15" s="1013"/>
      <c r="BY15" s="1013"/>
      <c r="BZ15" s="1013"/>
      <c r="CA15" s="1013"/>
      <c r="CB15" s="1013"/>
      <c r="CC15" s="1013"/>
      <c r="CD15" s="1013"/>
      <c r="CE15" s="1013"/>
      <c r="CF15" s="1013"/>
      <c r="CG15" s="1013"/>
      <c r="CH15" s="1013"/>
      <c r="CI15" s="1013"/>
      <c r="CJ15" s="1013"/>
      <c r="CK15" s="1013"/>
      <c r="CL15" s="1013"/>
      <c r="CM15" s="1013"/>
      <c r="CN15" s="1013"/>
      <c r="CO15" s="1013"/>
      <c r="CP15" s="1013"/>
      <c r="CQ15" s="1013"/>
      <c r="CR15" s="1013"/>
      <c r="CS15" s="1013"/>
      <c r="CT15" s="1013"/>
      <c r="CU15" s="1013"/>
      <c r="CV15" s="1013"/>
      <c r="CW15" s="1013"/>
      <c r="CX15" s="1013"/>
      <c r="CY15" s="1013"/>
      <c r="CZ15" s="1013"/>
      <c r="DA15" s="1013"/>
      <c r="DB15" s="1013"/>
      <c r="DC15" s="1013"/>
      <c r="DD15" s="1013"/>
      <c r="DE15" s="1013"/>
      <c r="DF15" s="1013"/>
      <c r="DG15" s="1013"/>
      <c r="DH15" s="1013"/>
      <c r="DI15" s="1013"/>
      <c r="DJ15" s="1013"/>
      <c r="DK15" s="1013"/>
      <c r="DL15" s="1013"/>
      <c r="DM15" s="1214"/>
      <c r="DN15" s="1222">
        <f>DN14+('Lead &amp; ANALYSIS'!G1330*5%/2.83)</f>
        <v>3.2137809187279154</v>
      </c>
      <c r="DO15" s="1013">
        <f>ROUND(C15*DN15,4)</f>
        <v>0</v>
      </c>
      <c r="DP15" s="1225"/>
      <c r="DQ15" s="1013"/>
      <c r="DR15" s="1225"/>
      <c r="DS15" s="1013"/>
      <c r="DT15" s="1225"/>
      <c r="DU15" s="1214"/>
      <c r="DV15" s="1226"/>
      <c r="DW15" s="1227"/>
      <c r="DX15" s="1222"/>
      <c r="DY15" s="847"/>
      <c r="DZ15" s="847"/>
      <c r="EA15" s="847"/>
      <c r="EB15" s="847"/>
      <c r="EC15" s="847"/>
      <c r="ED15" s="847"/>
      <c r="EE15" s="847"/>
      <c r="EF15" s="847"/>
      <c r="EG15" s="1212"/>
      <c r="EH15" s="847"/>
      <c r="EI15" s="1212"/>
      <c r="EJ15" s="1101">
        <f>DO15*200+DQ15*220+DS15*240+DU15*260</f>
        <v>0</v>
      </c>
      <c r="EK15" s="1101">
        <v>720.84999999999991</v>
      </c>
    </row>
    <row r="16" spans="1:141" s="733" customFormat="1" ht="13.5">
      <c r="A16" s="1009">
        <v>3</v>
      </c>
      <c r="B16" s="1212" t="s">
        <v>3013</v>
      </c>
      <c r="C16" s="1213">
        <v>0</v>
      </c>
      <c r="D16" s="1013" t="s">
        <v>92</v>
      </c>
      <c r="E16" s="1013"/>
      <c r="F16" s="1013"/>
      <c r="G16" s="1013"/>
      <c r="H16" s="1013"/>
      <c r="I16" s="1013"/>
      <c r="J16" s="1013"/>
      <c r="K16" s="1013"/>
      <c r="L16" s="1013"/>
      <c r="M16" s="1013"/>
      <c r="N16" s="1013"/>
      <c r="O16" s="1013"/>
      <c r="P16" s="1013"/>
      <c r="Q16" s="1013"/>
      <c r="R16" s="1013"/>
      <c r="S16" s="1013"/>
      <c r="T16" s="1013"/>
      <c r="U16" s="1013"/>
      <c r="V16" s="1013"/>
      <c r="W16" s="1013"/>
      <c r="X16" s="1013"/>
      <c r="Y16" s="1013"/>
      <c r="Z16" s="1013"/>
      <c r="AA16" s="1013"/>
      <c r="AB16" s="1013"/>
      <c r="AC16" s="1013"/>
      <c r="AD16" s="1013"/>
      <c r="AE16" s="1013"/>
      <c r="AF16" s="1013"/>
      <c r="AG16" s="1013"/>
      <c r="AH16" s="1013"/>
      <c r="AI16" s="1013"/>
      <c r="AJ16" s="1013"/>
      <c r="AK16" s="1013"/>
      <c r="AL16" s="1013"/>
      <c r="AM16" s="1013"/>
      <c r="AN16" s="1013"/>
      <c r="AO16" s="1013"/>
      <c r="AP16" s="1013"/>
      <c r="AQ16" s="1013"/>
      <c r="AR16" s="1013"/>
      <c r="AS16" s="1013"/>
      <c r="AT16" s="1013"/>
      <c r="AU16" s="1013"/>
      <c r="AV16" s="1013"/>
      <c r="AW16" s="1013"/>
      <c r="AX16" s="1013"/>
      <c r="AY16" s="1013"/>
      <c r="AZ16" s="1013"/>
      <c r="BA16" s="1013"/>
      <c r="BB16" s="1013"/>
      <c r="BC16" s="1013"/>
      <c r="BD16" s="1013"/>
      <c r="BE16" s="1013"/>
      <c r="BF16" s="1013"/>
      <c r="BG16" s="1013"/>
      <c r="BH16" s="1013"/>
      <c r="BI16" s="1013"/>
      <c r="BJ16" s="1013"/>
      <c r="BK16" s="1013"/>
      <c r="BL16" s="1013"/>
      <c r="BM16" s="1013"/>
      <c r="BN16" s="1013"/>
      <c r="BO16" s="1013"/>
      <c r="BP16" s="1013"/>
      <c r="BQ16" s="1013"/>
      <c r="BR16" s="1013"/>
      <c r="BS16" s="1013"/>
      <c r="BT16" s="1013"/>
      <c r="BU16" s="1013"/>
      <c r="BV16" s="1013"/>
      <c r="BW16" s="1013"/>
      <c r="BX16" s="1013"/>
      <c r="BY16" s="1013"/>
      <c r="BZ16" s="1013"/>
      <c r="CA16" s="1013"/>
      <c r="CB16" s="1013"/>
      <c r="CC16" s="1013"/>
      <c r="CD16" s="1013"/>
      <c r="CE16" s="1013"/>
      <c r="CF16" s="1013"/>
      <c r="CG16" s="1013"/>
      <c r="CH16" s="1013"/>
      <c r="CI16" s="1013"/>
      <c r="CJ16" s="1013"/>
      <c r="CK16" s="1013"/>
      <c r="CL16" s="1013"/>
      <c r="CM16" s="1013"/>
      <c r="CN16" s="1013"/>
      <c r="CO16" s="1013"/>
      <c r="CP16" s="1013"/>
      <c r="CQ16" s="1013"/>
      <c r="CR16" s="1013"/>
      <c r="CS16" s="1013"/>
      <c r="CT16" s="1013"/>
      <c r="CU16" s="1013"/>
      <c r="CV16" s="1013"/>
      <c r="CW16" s="1013"/>
      <c r="CX16" s="1013"/>
      <c r="CY16" s="1013"/>
      <c r="CZ16" s="1013"/>
      <c r="DA16" s="1013"/>
      <c r="DB16" s="1013"/>
      <c r="DC16" s="1013"/>
      <c r="DD16" s="1013"/>
      <c r="DE16" s="1013"/>
      <c r="DF16" s="1013"/>
      <c r="DG16" s="1013"/>
      <c r="DH16" s="1013"/>
      <c r="DI16" s="1013"/>
      <c r="DJ16" s="1013"/>
      <c r="DK16" s="1013"/>
      <c r="DL16" s="1013"/>
      <c r="DM16" s="1214"/>
      <c r="DN16" s="1222"/>
      <c r="DO16" s="1013"/>
      <c r="DP16" s="847"/>
      <c r="DQ16" s="1013"/>
      <c r="DR16" s="1225"/>
      <c r="DS16" s="1013"/>
      <c r="DT16" s="1225"/>
      <c r="DU16" s="1214"/>
      <c r="DV16" s="1226"/>
      <c r="DW16" s="1227"/>
      <c r="DX16" s="1222"/>
      <c r="DY16" s="847"/>
      <c r="DZ16" s="847"/>
      <c r="EA16" s="847"/>
      <c r="EB16" s="847"/>
      <c r="EC16" s="847"/>
      <c r="ED16" s="847"/>
      <c r="EE16" s="847"/>
      <c r="EF16" s="847"/>
      <c r="EG16" s="1212"/>
      <c r="EH16" s="847"/>
      <c r="EI16" s="1212"/>
      <c r="EJ16" s="1101"/>
      <c r="EK16" s="1101" t="e">
        <v>#REF!</v>
      </c>
    </row>
    <row r="17" spans="1:141" s="733" customFormat="1" ht="13.5">
      <c r="A17" s="1009"/>
      <c r="B17" s="1212" t="s">
        <v>2066</v>
      </c>
      <c r="C17" s="1213">
        <v>0</v>
      </c>
      <c r="D17" s="1013" t="s">
        <v>92</v>
      </c>
      <c r="E17" s="1013"/>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1013"/>
      <c r="AS17" s="1013"/>
      <c r="AT17" s="1013"/>
      <c r="AU17" s="1013"/>
      <c r="AV17" s="1013"/>
      <c r="AW17" s="1013"/>
      <c r="AX17" s="1013"/>
      <c r="AY17" s="1013"/>
      <c r="AZ17" s="1013"/>
      <c r="BA17" s="1013"/>
      <c r="BB17" s="1013"/>
      <c r="BC17" s="1013"/>
      <c r="BD17" s="1013"/>
      <c r="BE17" s="1013"/>
      <c r="BF17" s="1013"/>
      <c r="BG17" s="1013"/>
      <c r="BH17" s="1013"/>
      <c r="BI17" s="1013"/>
      <c r="BJ17" s="1013"/>
      <c r="BK17" s="1013"/>
      <c r="BL17" s="1013"/>
      <c r="BM17" s="1013"/>
      <c r="BN17" s="1013"/>
      <c r="BO17" s="1013"/>
      <c r="BP17" s="1013"/>
      <c r="BQ17" s="1013"/>
      <c r="BR17" s="1013"/>
      <c r="BS17" s="1013"/>
      <c r="BT17" s="1013"/>
      <c r="BU17" s="1013"/>
      <c r="BV17" s="1013"/>
      <c r="BW17" s="1013"/>
      <c r="BX17" s="1013"/>
      <c r="BY17" s="1013"/>
      <c r="BZ17" s="1013"/>
      <c r="CA17" s="1013"/>
      <c r="CB17" s="1013"/>
      <c r="CC17" s="1013"/>
      <c r="CD17" s="1013"/>
      <c r="CE17" s="1013"/>
      <c r="CF17" s="1013"/>
      <c r="CG17" s="1013"/>
      <c r="CH17" s="1013"/>
      <c r="CI17" s="1013"/>
      <c r="CJ17" s="1013"/>
      <c r="CK17" s="1013"/>
      <c r="CL17" s="1013"/>
      <c r="CM17" s="1013"/>
      <c r="CN17" s="1013"/>
      <c r="CO17" s="1013"/>
      <c r="CP17" s="1013"/>
      <c r="CQ17" s="1013"/>
      <c r="CR17" s="1013"/>
      <c r="CS17" s="1013"/>
      <c r="CT17" s="1013"/>
      <c r="CU17" s="1013"/>
      <c r="CV17" s="1013"/>
      <c r="CW17" s="1013"/>
      <c r="CX17" s="1013"/>
      <c r="CY17" s="1013"/>
      <c r="CZ17" s="1013"/>
      <c r="DA17" s="1013"/>
      <c r="DB17" s="1013"/>
      <c r="DC17" s="1013"/>
      <c r="DD17" s="1013"/>
      <c r="DE17" s="1013"/>
      <c r="DF17" s="1013"/>
      <c r="DG17" s="1013"/>
      <c r="DH17" s="1013"/>
      <c r="DI17" s="1013"/>
      <c r="DJ17" s="1013"/>
      <c r="DK17" s="1013"/>
      <c r="DL17" s="1013"/>
      <c r="DM17" s="1214"/>
      <c r="DN17" s="1222">
        <f>'Lead &amp; ANALYSIS'!G1352/9.3+'Lead &amp; ANALYSIS'!G1352*2%/9.3</f>
        <v>0.2193548387096774</v>
      </c>
      <c r="DO17" s="1013">
        <f>ROUND(C17*DN17,4)</f>
        <v>0</v>
      </c>
      <c r="DP17" s="847"/>
      <c r="DQ17" s="1013"/>
      <c r="DR17" s="1225"/>
      <c r="DS17" s="1013"/>
      <c r="DT17" s="1225"/>
      <c r="DU17" s="1214"/>
      <c r="DV17" s="1226"/>
      <c r="DW17" s="1227"/>
      <c r="DX17" s="1222"/>
      <c r="DY17" s="847"/>
      <c r="DZ17" s="847"/>
      <c r="EA17" s="847"/>
      <c r="EB17" s="847"/>
      <c r="EC17" s="847"/>
      <c r="ED17" s="847"/>
      <c r="EE17" s="847"/>
      <c r="EF17" s="847"/>
      <c r="EG17" s="1212"/>
      <c r="EH17" s="847"/>
      <c r="EI17" s="1212"/>
      <c r="EJ17" s="1101">
        <f>DO17*200+DQ17*220+DS17*240+DU17*260</f>
        <v>0</v>
      </c>
      <c r="EK17" s="1101">
        <v>49.2</v>
      </c>
    </row>
    <row r="18" spans="1:141" s="733" customFormat="1" ht="13.5">
      <c r="A18" s="1009"/>
      <c r="B18" s="1212" t="s">
        <v>2067</v>
      </c>
      <c r="C18" s="1213">
        <v>0</v>
      </c>
      <c r="D18" s="1013" t="s">
        <v>92</v>
      </c>
      <c r="E18" s="1013"/>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1013"/>
      <c r="AB18" s="1013"/>
      <c r="AC18" s="1013"/>
      <c r="AD18" s="1013"/>
      <c r="AE18" s="1013"/>
      <c r="AF18" s="1013"/>
      <c r="AG18" s="1013"/>
      <c r="AH18" s="1013"/>
      <c r="AI18" s="1013"/>
      <c r="AJ18" s="1013"/>
      <c r="AK18" s="1013"/>
      <c r="AL18" s="1013"/>
      <c r="AM18" s="1013"/>
      <c r="AN18" s="1013"/>
      <c r="AO18" s="1013"/>
      <c r="AP18" s="1013"/>
      <c r="AQ18" s="1013"/>
      <c r="AR18" s="1013"/>
      <c r="AS18" s="1013"/>
      <c r="AT18" s="1013"/>
      <c r="AU18" s="1013"/>
      <c r="AV18" s="1013"/>
      <c r="AW18" s="1013"/>
      <c r="AX18" s="1013"/>
      <c r="AY18" s="1013"/>
      <c r="AZ18" s="1013"/>
      <c r="BA18" s="1013"/>
      <c r="BB18" s="1013"/>
      <c r="BC18" s="1013"/>
      <c r="BD18" s="1013"/>
      <c r="BE18" s="1013"/>
      <c r="BF18" s="1013"/>
      <c r="BG18" s="1013"/>
      <c r="BH18" s="1013"/>
      <c r="BI18" s="1013"/>
      <c r="BJ18" s="1013"/>
      <c r="BK18" s="1013"/>
      <c r="BL18" s="1013"/>
      <c r="BM18" s="1013"/>
      <c r="BN18" s="1013"/>
      <c r="BO18" s="1013"/>
      <c r="BP18" s="1013"/>
      <c r="BQ18" s="1013"/>
      <c r="BR18" s="1013"/>
      <c r="BS18" s="1013"/>
      <c r="BT18" s="1013"/>
      <c r="BU18" s="1013"/>
      <c r="BV18" s="1013"/>
      <c r="BW18" s="1013"/>
      <c r="BX18" s="1013"/>
      <c r="BY18" s="1013"/>
      <c r="BZ18" s="1013"/>
      <c r="CA18" s="1013"/>
      <c r="CB18" s="1013"/>
      <c r="CC18" s="1013"/>
      <c r="CD18" s="1013"/>
      <c r="CE18" s="1013"/>
      <c r="CF18" s="1013"/>
      <c r="CG18" s="1013"/>
      <c r="CH18" s="1013"/>
      <c r="CI18" s="1013"/>
      <c r="CJ18" s="1013"/>
      <c r="CK18" s="1013"/>
      <c r="CL18" s="1013"/>
      <c r="CM18" s="1013"/>
      <c r="CN18" s="1013"/>
      <c r="CO18" s="1013"/>
      <c r="CP18" s="1013"/>
      <c r="CQ18" s="1013"/>
      <c r="CR18" s="1013"/>
      <c r="CS18" s="1013"/>
      <c r="CT18" s="1013"/>
      <c r="CU18" s="1013"/>
      <c r="CV18" s="1013"/>
      <c r="CW18" s="1013"/>
      <c r="CX18" s="1013"/>
      <c r="CY18" s="1013"/>
      <c r="CZ18" s="1013"/>
      <c r="DA18" s="1013"/>
      <c r="DB18" s="1013"/>
      <c r="DC18" s="1013"/>
      <c r="DD18" s="1013"/>
      <c r="DE18" s="1013"/>
      <c r="DF18" s="1013"/>
      <c r="DG18" s="1013"/>
      <c r="DH18" s="1013"/>
      <c r="DI18" s="1013"/>
      <c r="DJ18" s="1013"/>
      <c r="DK18" s="1013"/>
      <c r="DL18" s="1013"/>
      <c r="DM18" s="1214"/>
      <c r="DN18" s="1222">
        <f>DN17+('Lead &amp; ANALYSIS'!G1352*5%/9.3)</f>
        <v>0.2301075268817204</v>
      </c>
      <c r="DO18" s="1013">
        <f>ROUND(C18*DN18,4)</f>
        <v>0</v>
      </c>
      <c r="DP18" s="1225"/>
      <c r="DQ18" s="1013"/>
      <c r="DR18" s="1225"/>
      <c r="DS18" s="1013"/>
      <c r="DT18" s="1225"/>
      <c r="DU18" s="1214"/>
      <c r="DV18" s="1226"/>
      <c r="DW18" s="1227"/>
      <c r="DX18" s="1222"/>
      <c r="DY18" s="847"/>
      <c r="DZ18" s="847"/>
      <c r="EA18" s="847"/>
      <c r="EB18" s="847"/>
      <c r="EC18" s="847"/>
      <c r="ED18" s="847"/>
      <c r="EE18" s="847"/>
      <c r="EF18" s="847"/>
      <c r="EG18" s="1212"/>
      <c r="EH18" s="847"/>
      <c r="EI18" s="1212"/>
      <c r="EJ18" s="1101">
        <f>DO18*200+DQ18*220+DS18*240+DU18*260</f>
        <v>0</v>
      </c>
      <c r="EK18" s="1101">
        <v>51.61</v>
      </c>
    </row>
    <row r="19" spans="1:141" s="733" customFormat="1" ht="13.5">
      <c r="A19" s="1009">
        <v>4</v>
      </c>
      <c r="B19" s="1212" t="s">
        <v>3014</v>
      </c>
      <c r="C19" s="1213">
        <v>0</v>
      </c>
      <c r="D19" s="1013" t="s">
        <v>92</v>
      </c>
      <c r="E19" s="1013"/>
      <c r="F19" s="1013"/>
      <c r="G19" s="1013"/>
      <c r="H19" s="1013"/>
      <c r="I19" s="1013"/>
      <c r="J19" s="1013"/>
      <c r="K19" s="1225"/>
      <c r="L19" s="1013"/>
      <c r="M19" s="1013"/>
      <c r="N19" s="1013"/>
      <c r="O19" s="1013"/>
      <c r="P19" s="1013"/>
      <c r="Q19" s="1013"/>
      <c r="R19" s="1013"/>
      <c r="S19" s="1013"/>
      <c r="T19" s="1013"/>
      <c r="U19" s="1013"/>
      <c r="V19" s="1013"/>
      <c r="W19" s="1013"/>
      <c r="X19" s="1013"/>
      <c r="Y19" s="1013"/>
      <c r="Z19" s="1013"/>
      <c r="AA19" s="1013"/>
      <c r="AB19" s="1013"/>
      <c r="AC19" s="1013"/>
      <c r="AD19" s="1013"/>
      <c r="AE19" s="1013"/>
      <c r="AF19" s="1013"/>
      <c r="AG19" s="1013"/>
      <c r="AH19" s="1013"/>
      <c r="AI19" s="1013"/>
      <c r="AJ19" s="1013"/>
      <c r="AK19" s="1013"/>
      <c r="AL19" s="1013"/>
      <c r="AM19" s="1013"/>
      <c r="AN19" s="1013"/>
      <c r="AO19" s="1013"/>
      <c r="AP19" s="1013"/>
      <c r="AQ19" s="1013"/>
      <c r="AR19" s="1013"/>
      <c r="AS19" s="1013"/>
      <c r="AT19" s="1013"/>
      <c r="AU19" s="1013"/>
      <c r="AV19" s="1013"/>
      <c r="AW19" s="1013"/>
      <c r="AX19" s="1013"/>
      <c r="AY19" s="1013"/>
      <c r="AZ19" s="1013"/>
      <c r="BA19" s="1013"/>
      <c r="BB19" s="1013"/>
      <c r="BC19" s="1013"/>
      <c r="BD19" s="1013"/>
      <c r="BE19" s="1013"/>
      <c r="BF19" s="1013"/>
      <c r="BG19" s="1013"/>
      <c r="BH19" s="1013"/>
      <c r="BI19" s="1013"/>
      <c r="BJ19" s="1013"/>
      <c r="BK19" s="1013"/>
      <c r="BL19" s="1013"/>
      <c r="BM19" s="1013"/>
      <c r="BN19" s="1013"/>
      <c r="BO19" s="1013"/>
      <c r="BP19" s="1013"/>
      <c r="BQ19" s="1013"/>
      <c r="BR19" s="1013"/>
      <c r="BS19" s="1013"/>
      <c r="BT19" s="1013"/>
      <c r="BU19" s="1013"/>
      <c r="BV19" s="1013"/>
      <c r="BW19" s="1013"/>
      <c r="BX19" s="1013"/>
      <c r="BY19" s="1013"/>
      <c r="BZ19" s="1013"/>
      <c r="CA19" s="1013"/>
      <c r="CB19" s="1013"/>
      <c r="CC19" s="1013"/>
      <c r="CD19" s="1013"/>
      <c r="CE19" s="1013"/>
      <c r="CF19" s="1013"/>
      <c r="CG19" s="1013"/>
      <c r="CH19" s="1013"/>
      <c r="CI19" s="1013"/>
      <c r="CJ19" s="1013"/>
      <c r="CK19" s="1013"/>
      <c r="CL19" s="1013"/>
      <c r="CM19" s="1013"/>
      <c r="CN19" s="1013"/>
      <c r="CO19" s="1013"/>
      <c r="CP19" s="1013"/>
      <c r="CQ19" s="1013"/>
      <c r="CR19" s="1013"/>
      <c r="CS19" s="1013"/>
      <c r="CT19" s="1013"/>
      <c r="CU19" s="1013"/>
      <c r="CV19" s="1013"/>
      <c r="CW19" s="1013"/>
      <c r="CX19" s="1013"/>
      <c r="CY19" s="1013"/>
      <c r="CZ19" s="1013"/>
      <c r="DA19" s="1013"/>
      <c r="DB19" s="1013"/>
      <c r="DC19" s="1013"/>
      <c r="DD19" s="1013"/>
      <c r="DE19" s="1013"/>
      <c r="DF19" s="1013"/>
      <c r="DG19" s="1013"/>
      <c r="DH19" s="1013"/>
      <c r="DI19" s="1013"/>
      <c r="DJ19" s="1013"/>
      <c r="DK19" s="1013"/>
      <c r="DL19" s="1013"/>
      <c r="DM19" s="1214"/>
      <c r="DN19" s="1222"/>
      <c r="DO19" s="1013"/>
      <c r="DP19" s="847"/>
      <c r="DQ19" s="1013"/>
      <c r="DR19" s="1225"/>
      <c r="DS19" s="1013"/>
      <c r="DT19" s="1225"/>
      <c r="DU19" s="1214"/>
      <c r="DV19" s="1226"/>
      <c r="DW19" s="1227"/>
      <c r="DX19" s="1222"/>
      <c r="DY19" s="847"/>
      <c r="DZ19" s="847"/>
      <c r="EA19" s="847"/>
      <c r="EB19" s="847"/>
      <c r="EC19" s="847"/>
      <c r="ED19" s="847"/>
      <c r="EE19" s="847"/>
      <c r="EF19" s="847"/>
      <c r="EG19" s="1212"/>
      <c r="EH19" s="847"/>
      <c r="EI19" s="1212"/>
      <c r="EJ19" s="1101"/>
      <c r="EK19" s="1101" t="e">
        <v>#REF!</v>
      </c>
    </row>
    <row r="20" spans="1:141" s="733" customFormat="1" ht="13.5">
      <c r="A20" s="1009"/>
      <c r="B20" s="1212" t="s">
        <v>2066</v>
      </c>
      <c r="C20" s="1213">
        <v>0</v>
      </c>
      <c r="D20" s="1013" t="s">
        <v>92</v>
      </c>
      <c r="E20" s="1013"/>
      <c r="F20" s="1013"/>
      <c r="G20" s="1013"/>
      <c r="H20" s="1013"/>
      <c r="I20" s="1013"/>
      <c r="J20" s="1013"/>
      <c r="K20" s="1225"/>
      <c r="L20" s="1013"/>
      <c r="M20" s="1013"/>
      <c r="N20" s="1013"/>
      <c r="O20" s="1013"/>
      <c r="P20" s="1013"/>
      <c r="Q20" s="1013"/>
      <c r="R20" s="1013"/>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c r="AT20" s="1013"/>
      <c r="AU20" s="1013"/>
      <c r="AV20" s="1013"/>
      <c r="AW20" s="1013"/>
      <c r="AX20" s="1013"/>
      <c r="AY20" s="1013"/>
      <c r="AZ20" s="1013"/>
      <c r="BA20" s="1013"/>
      <c r="BB20" s="1013"/>
      <c r="BC20" s="1013"/>
      <c r="BD20" s="1013"/>
      <c r="BE20" s="1013"/>
      <c r="BF20" s="1013"/>
      <c r="BG20" s="1013"/>
      <c r="BH20" s="1013"/>
      <c r="BI20" s="1013"/>
      <c r="BJ20" s="1013"/>
      <c r="BK20" s="1013"/>
      <c r="BL20" s="1013"/>
      <c r="BM20" s="1013"/>
      <c r="BN20" s="1013"/>
      <c r="BO20" s="1013"/>
      <c r="BP20" s="1013"/>
      <c r="BQ20" s="1013"/>
      <c r="BR20" s="1013"/>
      <c r="BS20" s="1013"/>
      <c r="BT20" s="1013"/>
      <c r="BU20" s="1013"/>
      <c r="BV20" s="1013"/>
      <c r="BW20" s="1013"/>
      <c r="BX20" s="1013"/>
      <c r="BY20" s="1013"/>
      <c r="BZ20" s="1013"/>
      <c r="CA20" s="1013"/>
      <c r="CB20" s="1013"/>
      <c r="CC20" s="1013"/>
      <c r="CD20" s="1013"/>
      <c r="CE20" s="1013"/>
      <c r="CF20" s="1013"/>
      <c r="CG20" s="1013"/>
      <c r="CH20" s="1013"/>
      <c r="CI20" s="1013"/>
      <c r="CJ20" s="1013"/>
      <c r="CK20" s="1013"/>
      <c r="CL20" s="1013"/>
      <c r="CM20" s="1013"/>
      <c r="CN20" s="1013"/>
      <c r="CO20" s="1013"/>
      <c r="CP20" s="1013"/>
      <c r="CQ20" s="1013"/>
      <c r="CR20" s="1013"/>
      <c r="CS20" s="1013"/>
      <c r="CT20" s="1013"/>
      <c r="CU20" s="1013"/>
      <c r="CV20" s="1013"/>
      <c r="CW20" s="1013"/>
      <c r="CX20" s="1013"/>
      <c r="CY20" s="1013"/>
      <c r="CZ20" s="1013"/>
      <c r="DA20" s="1013"/>
      <c r="DB20" s="1013"/>
      <c r="DC20" s="1013"/>
      <c r="DD20" s="1013"/>
      <c r="DE20" s="1013"/>
      <c r="DF20" s="1013"/>
      <c r="DG20" s="1013"/>
      <c r="DH20" s="1013"/>
      <c r="DI20" s="1013"/>
      <c r="DJ20" s="1013"/>
      <c r="DK20" s="1013"/>
      <c r="DL20" s="1013"/>
      <c r="DM20" s="1214"/>
      <c r="DN20" s="1222">
        <f>'Lead &amp; ANALYSIS'!G1374/9.3+'Lead &amp; ANALYSIS'!G1374*2%/9.3</f>
        <v>0.1096774193548387</v>
      </c>
      <c r="DO20" s="1013">
        <f>ROUND(C20*DN20,4)</f>
        <v>0</v>
      </c>
      <c r="DP20" s="847"/>
      <c r="DQ20" s="1013"/>
      <c r="DR20" s="1225"/>
      <c r="DS20" s="1013"/>
      <c r="DT20" s="1225"/>
      <c r="DU20" s="1214"/>
      <c r="DV20" s="1226"/>
      <c r="DW20" s="1227"/>
      <c r="DX20" s="1222"/>
      <c r="DY20" s="847"/>
      <c r="DZ20" s="847"/>
      <c r="EA20" s="847"/>
      <c r="EB20" s="847"/>
      <c r="EC20" s="847"/>
      <c r="ED20" s="847"/>
      <c r="EE20" s="847"/>
      <c r="EF20" s="847"/>
      <c r="EG20" s="1212"/>
      <c r="EH20" s="847"/>
      <c r="EI20" s="1212"/>
      <c r="EJ20" s="1101">
        <f>DO20*200+DQ20*220+DS20*240+DU20*260</f>
        <v>0</v>
      </c>
      <c r="EK20" s="1101">
        <v>24.6</v>
      </c>
    </row>
    <row r="21" spans="1:141" s="733" customFormat="1" ht="13.5">
      <c r="A21" s="1009"/>
      <c r="B21" s="1212" t="s">
        <v>2067</v>
      </c>
      <c r="C21" s="1213">
        <v>0</v>
      </c>
      <c r="D21" s="1013" t="s">
        <v>92</v>
      </c>
      <c r="E21" s="1013"/>
      <c r="F21" s="1013"/>
      <c r="G21" s="1013"/>
      <c r="H21" s="1013"/>
      <c r="I21" s="1013"/>
      <c r="J21" s="1013"/>
      <c r="K21" s="1225"/>
      <c r="L21" s="1013"/>
      <c r="M21" s="1013"/>
      <c r="N21" s="1013"/>
      <c r="O21" s="1013"/>
      <c r="P21" s="1013"/>
      <c r="Q21" s="1013"/>
      <c r="R21" s="1013"/>
      <c r="S21" s="1013"/>
      <c r="T21" s="1013"/>
      <c r="U21" s="1013"/>
      <c r="V21" s="1013"/>
      <c r="W21" s="1013"/>
      <c r="X21" s="1013"/>
      <c r="Y21" s="1013"/>
      <c r="Z21" s="1013"/>
      <c r="AA21" s="1013"/>
      <c r="AB21" s="1013"/>
      <c r="AC21" s="1013"/>
      <c r="AD21" s="1013"/>
      <c r="AE21" s="1013"/>
      <c r="AF21" s="1013"/>
      <c r="AG21" s="1013"/>
      <c r="AH21" s="1013"/>
      <c r="AI21" s="1013"/>
      <c r="AJ21" s="1013"/>
      <c r="AK21" s="1013"/>
      <c r="AL21" s="1013"/>
      <c r="AM21" s="1013"/>
      <c r="AN21" s="1013"/>
      <c r="AO21" s="1013"/>
      <c r="AP21" s="1013"/>
      <c r="AQ21" s="1013"/>
      <c r="AR21" s="1013"/>
      <c r="AS21" s="1013"/>
      <c r="AT21" s="1013"/>
      <c r="AU21" s="1013"/>
      <c r="AV21" s="1013"/>
      <c r="AW21" s="1013"/>
      <c r="AX21" s="1013"/>
      <c r="AY21" s="1013"/>
      <c r="AZ21" s="1013"/>
      <c r="BA21" s="1013"/>
      <c r="BB21" s="1013"/>
      <c r="BC21" s="1013"/>
      <c r="BD21" s="1013"/>
      <c r="BE21" s="1013"/>
      <c r="BF21" s="1013"/>
      <c r="BG21" s="1013"/>
      <c r="BH21" s="1013"/>
      <c r="BI21" s="1013"/>
      <c r="BJ21" s="1013"/>
      <c r="BK21" s="1013"/>
      <c r="BL21" s="1013"/>
      <c r="BM21" s="1013"/>
      <c r="BN21" s="1013"/>
      <c r="BO21" s="1013"/>
      <c r="BP21" s="1013"/>
      <c r="BQ21" s="1013"/>
      <c r="BR21" s="1013"/>
      <c r="BS21" s="1013"/>
      <c r="BT21" s="1013"/>
      <c r="BU21" s="1013"/>
      <c r="BV21" s="1013"/>
      <c r="BW21" s="1013"/>
      <c r="BX21" s="1013"/>
      <c r="BY21" s="1013"/>
      <c r="BZ21" s="1013"/>
      <c r="CA21" s="1013"/>
      <c r="CB21" s="1013"/>
      <c r="CC21" s="1013"/>
      <c r="CD21" s="1013"/>
      <c r="CE21" s="1013"/>
      <c r="CF21" s="1013"/>
      <c r="CG21" s="1013"/>
      <c r="CH21" s="1013"/>
      <c r="CI21" s="1013"/>
      <c r="CJ21" s="1013"/>
      <c r="CK21" s="1013"/>
      <c r="CL21" s="1013"/>
      <c r="CM21" s="1013"/>
      <c r="CN21" s="1013"/>
      <c r="CO21" s="1013"/>
      <c r="CP21" s="1013"/>
      <c r="CQ21" s="1013"/>
      <c r="CR21" s="1013"/>
      <c r="CS21" s="1013"/>
      <c r="CT21" s="1013"/>
      <c r="CU21" s="1013"/>
      <c r="CV21" s="1013"/>
      <c r="CW21" s="1013"/>
      <c r="CX21" s="1013"/>
      <c r="CY21" s="1013"/>
      <c r="CZ21" s="1013"/>
      <c r="DA21" s="1013"/>
      <c r="DB21" s="1013"/>
      <c r="DC21" s="1013"/>
      <c r="DD21" s="1013"/>
      <c r="DE21" s="1013"/>
      <c r="DF21" s="1013"/>
      <c r="DG21" s="1013"/>
      <c r="DH21" s="1013"/>
      <c r="DI21" s="1013"/>
      <c r="DJ21" s="1013"/>
      <c r="DK21" s="1013"/>
      <c r="DL21" s="1013"/>
      <c r="DM21" s="1214"/>
      <c r="DN21" s="1222">
        <f>DN20+('Lead &amp; ANALYSIS'!G1374*5%/9.3)</f>
        <v>0.1150537634408602</v>
      </c>
      <c r="DO21" s="1013">
        <f>ROUND(C21*DN21,4)</f>
        <v>0</v>
      </c>
      <c r="DP21" s="1225"/>
      <c r="DQ21" s="1013"/>
      <c r="DR21" s="1225"/>
      <c r="DS21" s="1013"/>
      <c r="DT21" s="1225"/>
      <c r="DU21" s="1214"/>
      <c r="DV21" s="1226"/>
      <c r="DW21" s="1227"/>
      <c r="DX21" s="1222"/>
      <c r="DY21" s="847"/>
      <c r="DZ21" s="847"/>
      <c r="EA21" s="847"/>
      <c r="EB21" s="847"/>
      <c r="EC21" s="847"/>
      <c r="ED21" s="847"/>
      <c r="EE21" s="847"/>
      <c r="EF21" s="847"/>
      <c r="EG21" s="1212"/>
      <c r="EH21" s="847"/>
      <c r="EI21" s="1212"/>
      <c r="EJ21" s="1101">
        <f>DO21*200+DQ21*220+DS21*240+DU21*260</f>
        <v>0</v>
      </c>
      <c r="EK21" s="1101">
        <v>25.810000000000002</v>
      </c>
    </row>
    <row r="22" spans="1:141" s="733" customFormat="1" ht="13.5">
      <c r="A22" s="1009">
        <v>5</v>
      </c>
      <c r="B22" s="1212" t="s">
        <v>3015</v>
      </c>
      <c r="C22" s="1213">
        <v>0</v>
      </c>
      <c r="D22" s="1013" t="s">
        <v>92</v>
      </c>
      <c r="E22" s="1013"/>
      <c r="F22" s="1013"/>
      <c r="G22" s="1013"/>
      <c r="H22" s="1013"/>
      <c r="I22" s="1013"/>
      <c r="J22" s="1013"/>
      <c r="K22" s="1225"/>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3"/>
      <c r="AH22" s="1013"/>
      <c r="AI22" s="1013"/>
      <c r="AJ22" s="1013"/>
      <c r="AK22" s="1013"/>
      <c r="AL22" s="1013"/>
      <c r="AM22" s="1013"/>
      <c r="AN22" s="1013"/>
      <c r="AO22" s="1013"/>
      <c r="AP22" s="1013"/>
      <c r="AQ22" s="1013"/>
      <c r="AR22" s="1013"/>
      <c r="AS22" s="1013"/>
      <c r="AT22" s="1013"/>
      <c r="AU22" s="1013"/>
      <c r="AV22" s="1013"/>
      <c r="AW22" s="1013"/>
      <c r="AX22" s="1013"/>
      <c r="AY22" s="1013"/>
      <c r="AZ22" s="1013"/>
      <c r="BA22" s="1013"/>
      <c r="BB22" s="1013"/>
      <c r="BC22" s="1013"/>
      <c r="BD22" s="1013"/>
      <c r="BE22" s="1013"/>
      <c r="BF22" s="1013"/>
      <c r="BG22" s="1013"/>
      <c r="BH22" s="1013"/>
      <c r="BI22" s="1013"/>
      <c r="BJ22" s="1013"/>
      <c r="BK22" s="1013"/>
      <c r="BL22" s="1013"/>
      <c r="BM22" s="1013"/>
      <c r="BN22" s="1013"/>
      <c r="BO22" s="1013"/>
      <c r="BP22" s="1013"/>
      <c r="BQ22" s="1013"/>
      <c r="BR22" s="1013"/>
      <c r="BS22" s="1013"/>
      <c r="BT22" s="1013"/>
      <c r="BU22" s="1013"/>
      <c r="BV22" s="1013"/>
      <c r="BW22" s="1013"/>
      <c r="BX22" s="1013"/>
      <c r="BY22" s="1013"/>
      <c r="BZ22" s="1013"/>
      <c r="CA22" s="1013"/>
      <c r="CB22" s="1013"/>
      <c r="CC22" s="1013"/>
      <c r="CD22" s="1013"/>
      <c r="CE22" s="1013"/>
      <c r="CF22" s="1013"/>
      <c r="CG22" s="1013"/>
      <c r="CH22" s="1013"/>
      <c r="CI22" s="1013"/>
      <c r="CJ22" s="1013"/>
      <c r="CK22" s="1013"/>
      <c r="CL22" s="1013"/>
      <c r="CM22" s="1013"/>
      <c r="CN22" s="1013"/>
      <c r="CO22" s="1013"/>
      <c r="CP22" s="1013"/>
      <c r="CQ22" s="1013"/>
      <c r="CR22" s="1013"/>
      <c r="CS22" s="1013"/>
      <c r="CT22" s="1013"/>
      <c r="CU22" s="1013"/>
      <c r="CV22" s="1013"/>
      <c r="CW22" s="1013"/>
      <c r="CX22" s="1013"/>
      <c r="CY22" s="1013"/>
      <c r="CZ22" s="1013"/>
      <c r="DA22" s="1013"/>
      <c r="DB22" s="1013"/>
      <c r="DC22" s="1013"/>
      <c r="DD22" s="1013"/>
      <c r="DE22" s="1013"/>
      <c r="DF22" s="1013"/>
      <c r="DG22" s="1013"/>
      <c r="DH22" s="1013"/>
      <c r="DI22" s="1013"/>
      <c r="DJ22" s="1013"/>
      <c r="DK22" s="1013"/>
      <c r="DL22" s="1013"/>
      <c r="DM22" s="1214"/>
      <c r="DN22" s="1222"/>
      <c r="DO22" s="1013"/>
      <c r="DP22" s="847"/>
      <c r="DQ22" s="1013"/>
      <c r="DR22" s="1225"/>
      <c r="DS22" s="1013"/>
      <c r="DT22" s="1225"/>
      <c r="DU22" s="1214"/>
      <c r="DV22" s="1226"/>
      <c r="DW22" s="1227"/>
      <c r="DX22" s="1222"/>
      <c r="DY22" s="847"/>
      <c r="DZ22" s="847"/>
      <c r="EA22" s="847"/>
      <c r="EB22" s="847"/>
      <c r="EC22" s="847"/>
      <c r="ED22" s="847"/>
      <c r="EE22" s="847"/>
      <c r="EF22" s="847"/>
      <c r="EG22" s="1212"/>
      <c r="EH22" s="847"/>
      <c r="EI22" s="1212"/>
      <c r="EJ22" s="1101"/>
      <c r="EK22" s="1101" t="e">
        <v>#REF!</v>
      </c>
    </row>
    <row r="23" spans="1:141" s="733" customFormat="1" ht="13.5">
      <c r="A23" s="1009"/>
      <c r="B23" s="1212" t="s">
        <v>2066</v>
      </c>
      <c r="C23" s="1213">
        <v>0</v>
      </c>
      <c r="D23" s="1013" t="s">
        <v>92</v>
      </c>
      <c r="E23" s="1013"/>
      <c r="F23" s="1013"/>
      <c r="G23" s="1013"/>
      <c r="H23" s="1013"/>
      <c r="I23" s="1013"/>
      <c r="J23" s="1013"/>
      <c r="K23" s="1225"/>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3"/>
      <c r="AH23" s="1013"/>
      <c r="AI23" s="1013"/>
      <c r="AJ23" s="1013"/>
      <c r="AK23" s="1013"/>
      <c r="AL23" s="1013"/>
      <c r="AM23" s="1013"/>
      <c r="AN23" s="1013"/>
      <c r="AO23" s="1013"/>
      <c r="AP23" s="1013"/>
      <c r="AQ23" s="1013"/>
      <c r="AR23" s="1013"/>
      <c r="AS23" s="1013"/>
      <c r="AT23" s="1013"/>
      <c r="AU23" s="1013"/>
      <c r="AV23" s="1013"/>
      <c r="AW23" s="1013"/>
      <c r="AX23" s="1013"/>
      <c r="AY23" s="1013"/>
      <c r="AZ23" s="1013"/>
      <c r="BA23" s="1013"/>
      <c r="BB23" s="1013"/>
      <c r="BC23" s="1013"/>
      <c r="BD23" s="1013"/>
      <c r="BE23" s="1013"/>
      <c r="BF23" s="1013"/>
      <c r="BG23" s="1013"/>
      <c r="BH23" s="1013"/>
      <c r="BI23" s="1013"/>
      <c r="BJ23" s="1013"/>
      <c r="BK23" s="1013"/>
      <c r="BL23" s="1013"/>
      <c r="BM23" s="1013"/>
      <c r="BN23" s="1013"/>
      <c r="BO23" s="1013"/>
      <c r="BP23" s="1013"/>
      <c r="BQ23" s="1013"/>
      <c r="BR23" s="1013"/>
      <c r="BS23" s="1013"/>
      <c r="BT23" s="1013"/>
      <c r="BU23" s="1013"/>
      <c r="BV23" s="1013"/>
      <c r="BW23" s="1013"/>
      <c r="BX23" s="1013"/>
      <c r="BY23" s="1013"/>
      <c r="BZ23" s="1013"/>
      <c r="CA23" s="1013"/>
      <c r="CB23" s="1013"/>
      <c r="CC23" s="1013"/>
      <c r="CD23" s="1013"/>
      <c r="CE23" s="1013"/>
      <c r="CF23" s="1013"/>
      <c r="CG23" s="1013"/>
      <c r="CH23" s="1013"/>
      <c r="CI23" s="1013"/>
      <c r="CJ23" s="1013"/>
      <c r="CK23" s="1013"/>
      <c r="CL23" s="1013"/>
      <c r="CM23" s="1013"/>
      <c r="CN23" s="1013"/>
      <c r="CO23" s="1013"/>
      <c r="CP23" s="1013"/>
      <c r="CQ23" s="1013"/>
      <c r="CR23" s="1013"/>
      <c r="CS23" s="1013"/>
      <c r="CT23" s="1013"/>
      <c r="CU23" s="1013"/>
      <c r="CV23" s="1013"/>
      <c r="CW23" s="1013"/>
      <c r="CX23" s="1013"/>
      <c r="CY23" s="1013"/>
      <c r="CZ23" s="1013"/>
      <c r="DA23" s="1013"/>
      <c r="DB23" s="1013"/>
      <c r="DC23" s="1013"/>
      <c r="DD23" s="1013"/>
      <c r="DE23" s="1013"/>
      <c r="DF23" s="1013"/>
      <c r="DG23" s="1013"/>
      <c r="DH23" s="1013"/>
      <c r="DI23" s="1013"/>
      <c r="DJ23" s="1013"/>
      <c r="DK23" s="1013"/>
      <c r="DL23" s="1013"/>
      <c r="DM23" s="1214"/>
      <c r="DN23" s="1222">
        <f>'Lead &amp; ANALYSIS'!G1397/9.3+'Lead &amp; ANALYSIS'!G1397*2%/9.3</f>
        <v>0.16451612903225807</v>
      </c>
      <c r="DO23" s="1013">
        <f>ROUND(C23*DN23,4)</f>
        <v>0</v>
      </c>
      <c r="DP23" s="847"/>
      <c r="DQ23" s="1013"/>
      <c r="DR23" s="1228">
        <f>'Lead &amp; ANALYSIS'!G1396/9.3+'Lead &amp; ANALYSIS'!G1396*2%/9.3</f>
        <v>2.7419354838709675E-2</v>
      </c>
      <c r="DS23" s="1013">
        <f>ROUND(C23*DR23,4)</f>
        <v>0</v>
      </c>
      <c r="DT23" s="1225"/>
      <c r="DU23" s="1214"/>
      <c r="DV23" s="1226"/>
      <c r="DW23" s="1227"/>
      <c r="DX23" s="1222"/>
      <c r="DY23" s="847"/>
      <c r="DZ23" s="847"/>
      <c r="EA23" s="847"/>
      <c r="EB23" s="847"/>
      <c r="EC23" s="847"/>
      <c r="ED23" s="847"/>
      <c r="EE23" s="847"/>
      <c r="EF23" s="847"/>
      <c r="EG23" s="1212"/>
      <c r="EH23" s="847"/>
      <c r="EI23" s="1212"/>
      <c r="EJ23" s="1101">
        <f>DO23*200+DQ23*220+DS23*240+DU23*260</f>
        <v>0</v>
      </c>
      <c r="EK23" s="1101">
        <v>44.15</v>
      </c>
    </row>
    <row r="24" spans="1:141" s="733" customFormat="1" ht="13.5">
      <c r="A24" s="1009"/>
      <c r="B24" s="1212" t="s">
        <v>2067</v>
      </c>
      <c r="C24" s="1213">
        <v>0</v>
      </c>
      <c r="D24" s="1013" t="s">
        <v>92</v>
      </c>
      <c r="E24" s="1013"/>
      <c r="F24" s="1013"/>
      <c r="G24" s="1013"/>
      <c r="H24" s="1013"/>
      <c r="I24" s="1013"/>
      <c r="J24" s="1013"/>
      <c r="K24" s="1225"/>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c r="AT24" s="1013"/>
      <c r="AU24" s="1013"/>
      <c r="AV24" s="1013"/>
      <c r="AW24" s="1013"/>
      <c r="AX24" s="1013"/>
      <c r="AY24" s="1013"/>
      <c r="AZ24" s="1013"/>
      <c r="BA24" s="1013"/>
      <c r="BB24" s="1013"/>
      <c r="BC24" s="1013"/>
      <c r="BD24" s="1013"/>
      <c r="BE24" s="1013"/>
      <c r="BF24" s="1013"/>
      <c r="BG24" s="1013"/>
      <c r="BH24" s="1013"/>
      <c r="BI24" s="1013"/>
      <c r="BJ24" s="1013"/>
      <c r="BK24" s="1013"/>
      <c r="BL24" s="1013"/>
      <c r="BM24" s="1013"/>
      <c r="BN24" s="1013"/>
      <c r="BO24" s="1013"/>
      <c r="BP24" s="1013"/>
      <c r="BQ24" s="1013"/>
      <c r="BR24" s="1013"/>
      <c r="BS24" s="1013"/>
      <c r="BT24" s="1013"/>
      <c r="BU24" s="1013"/>
      <c r="BV24" s="1013"/>
      <c r="BW24" s="1013"/>
      <c r="BX24" s="1013"/>
      <c r="BY24" s="1013"/>
      <c r="BZ24" s="1013"/>
      <c r="CA24" s="1013"/>
      <c r="CB24" s="1013"/>
      <c r="CC24" s="1013"/>
      <c r="CD24" s="1013"/>
      <c r="CE24" s="1013"/>
      <c r="CF24" s="1013"/>
      <c r="CG24" s="1013"/>
      <c r="CH24" s="1013"/>
      <c r="CI24" s="1013"/>
      <c r="CJ24" s="1013"/>
      <c r="CK24" s="1013"/>
      <c r="CL24" s="1013"/>
      <c r="CM24" s="1013"/>
      <c r="CN24" s="1013"/>
      <c r="CO24" s="1013"/>
      <c r="CP24" s="1013"/>
      <c r="CQ24" s="1013"/>
      <c r="CR24" s="1013"/>
      <c r="CS24" s="1013"/>
      <c r="CT24" s="1013"/>
      <c r="CU24" s="1013"/>
      <c r="CV24" s="1013"/>
      <c r="CW24" s="1013"/>
      <c r="CX24" s="1013"/>
      <c r="CY24" s="1013"/>
      <c r="CZ24" s="1013"/>
      <c r="DA24" s="1013"/>
      <c r="DB24" s="1013"/>
      <c r="DC24" s="1013"/>
      <c r="DD24" s="1013"/>
      <c r="DE24" s="1013"/>
      <c r="DF24" s="1013"/>
      <c r="DG24" s="1013"/>
      <c r="DH24" s="1013"/>
      <c r="DI24" s="1013"/>
      <c r="DJ24" s="1013"/>
      <c r="DK24" s="1013"/>
      <c r="DL24" s="1013"/>
      <c r="DM24" s="1214"/>
      <c r="DN24" s="1222">
        <f>DN23+('Lead &amp; ANALYSIS'!G1397*5%/9.3)</f>
        <v>0.17258064516129032</v>
      </c>
      <c r="DO24" s="1013">
        <f>ROUND(C24*DN24,4)</f>
        <v>0</v>
      </c>
      <c r="DP24" s="1225"/>
      <c r="DQ24" s="1013"/>
      <c r="DR24" s="1228">
        <f>DR23+'Lead &amp; ANALYSIS'!G1396*5%/9.3</f>
        <v>2.876344086021505E-2</v>
      </c>
      <c r="DS24" s="1013">
        <f>ROUND(C24*DR24,4)</f>
        <v>0</v>
      </c>
      <c r="DT24" s="1225"/>
      <c r="DU24" s="1214"/>
      <c r="DV24" s="1226"/>
      <c r="DW24" s="1227"/>
      <c r="DX24" s="1222"/>
      <c r="DY24" s="847"/>
      <c r="DZ24" s="847"/>
      <c r="EA24" s="847"/>
      <c r="EB24" s="847"/>
      <c r="EC24" s="847"/>
      <c r="ED24" s="847"/>
      <c r="EE24" s="847"/>
      <c r="EF24" s="847"/>
      <c r="EG24" s="1212"/>
      <c r="EH24" s="847"/>
      <c r="EI24" s="1212"/>
      <c r="EJ24" s="1101">
        <f>DO24*200+DQ24*220+DS24*240+DU24*260</f>
        <v>0</v>
      </c>
      <c r="EK24" s="1101">
        <v>46.31</v>
      </c>
    </row>
    <row r="25" spans="1:141" s="733" customFormat="1" ht="13.5">
      <c r="A25" s="1009">
        <v>6</v>
      </c>
      <c r="B25" s="1212" t="s">
        <v>3016</v>
      </c>
      <c r="C25" s="1213">
        <v>0</v>
      </c>
      <c r="D25" s="1013" t="s">
        <v>49</v>
      </c>
      <c r="E25" s="1013"/>
      <c r="F25" s="1013"/>
      <c r="G25" s="1013"/>
      <c r="H25" s="1013"/>
      <c r="I25" s="1013"/>
      <c r="J25" s="1013"/>
      <c r="K25" s="1225"/>
      <c r="L25" s="1013"/>
      <c r="M25" s="1013"/>
      <c r="N25" s="1013"/>
      <c r="O25" s="1013"/>
      <c r="P25" s="1013"/>
      <c r="Q25" s="1013"/>
      <c r="R25" s="1013"/>
      <c r="S25" s="1013"/>
      <c r="T25" s="1013"/>
      <c r="U25" s="1013"/>
      <c r="V25" s="1013"/>
      <c r="W25" s="1013"/>
      <c r="X25" s="1013"/>
      <c r="Y25" s="1013"/>
      <c r="Z25" s="1013"/>
      <c r="AA25" s="1013"/>
      <c r="AB25" s="1013"/>
      <c r="AC25" s="1013"/>
      <c r="AD25" s="1013"/>
      <c r="AE25" s="1013"/>
      <c r="AF25" s="1013"/>
      <c r="AG25" s="1013"/>
      <c r="AH25" s="1013"/>
      <c r="AI25" s="1013"/>
      <c r="AJ25" s="1013"/>
      <c r="AK25" s="1013"/>
      <c r="AL25" s="1013"/>
      <c r="AM25" s="1013"/>
      <c r="AN25" s="1013"/>
      <c r="AO25" s="1013"/>
      <c r="AP25" s="1013"/>
      <c r="AQ25" s="1013"/>
      <c r="AR25" s="1013"/>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1013"/>
      <c r="BS25" s="1013"/>
      <c r="BT25" s="1013"/>
      <c r="BU25" s="1013"/>
      <c r="BV25" s="1013"/>
      <c r="BW25" s="1013"/>
      <c r="BX25" s="1013"/>
      <c r="BY25" s="1013"/>
      <c r="BZ25" s="1013"/>
      <c r="CA25" s="1013"/>
      <c r="CB25" s="1013"/>
      <c r="CC25" s="1013"/>
      <c r="CD25" s="1013"/>
      <c r="CE25" s="1013"/>
      <c r="CF25" s="1013"/>
      <c r="CG25" s="1013"/>
      <c r="CH25" s="1013"/>
      <c r="CI25" s="1013"/>
      <c r="CJ25" s="1013"/>
      <c r="CK25" s="1013"/>
      <c r="CL25" s="1013"/>
      <c r="CM25" s="1013"/>
      <c r="CN25" s="1013"/>
      <c r="CO25" s="1013"/>
      <c r="CP25" s="1013"/>
      <c r="CQ25" s="1013"/>
      <c r="CR25" s="1013"/>
      <c r="CS25" s="1013"/>
      <c r="CT25" s="1013"/>
      <c r="CU25" s="1013"/>
      <c r="CV25" s="1013"/>
      <c r="CW25" s="1013"/>
      <c r="CX25" s="1013"/>
      <c r="CY25" s="1013"/>
      <c r="CZ25" s="1013"/>
      <c r="DA25" s="1013"/>
      <c r="DB25" s="1013"/>
      <c r="DC25" s="1013"/>
      <c r="DD25" s="1013"/>
      <c r="DE25" s="1013"/>
      <c r="DF25" s="1013"/>
      <c r="DG25" s="1013"/>
      <c r="DH25" s="1013"/>
      <c r="DI25" s="1013"/>
      <c r="DJ25" s="1013"/>
      <c r="DK25" s="1013"/>
      <c r="DL25" s="1013"/>
      <c r="DM25" s="1214"/>
      <c r="DN25" s="1222"/>
      <c r="DO25" s="1013"/>
      <c r="DP25" s="847"/>
      <c r="DQ25" s="1013"/>
      <c r="DR25" s="1225"/>
      <c r="DS25" s="1013"/>
      <c r="DT25" s="1225"/>
      <c r="DU25" s="1214"/>
      <c r="DV25" s="1226"/>
      <c r="DW25" s="1227"/>
      <c r="DX25" s="1222"/>
      <c r="DY25" s="847"/>
      <c r="DZ25" s="847"/>
      <c r="EA25" s="847"/>
      <c r="EB25" s="847"/>
      <c r="EC25" s="847"/>
      <c r="ED25" s="847"/>
      <c r="EE25" s="847"/>
      <c r="EF25" s="847"/>
      <c r="EG25" s="1212"/>
      <c r="EH25" s="847"/>
      <c r="EI25" s="1212"/>
      <c r="EJ25" s="1101"/>
      <c r="EK25" s="1101" t="e">
        <v>#REF!</v>
      </c>
    </row>
    <row r="26" spans="1:141" s="733" customFormat="1" ht="13.5">
      <c r="A26" s="1009"/>
      <c r="B26" s="1212" t="s">
        <v>2066</v>
      </c>
      <c r="C26" s="1213">
        <v>0</v>
      </c>
      <c r="D26" s="1013" t="s">
        <v>49</v>
      </c>
      <c r="E26" s="1013"/>
      <c r="F26" s="1013"/>
      <c r="G26" s="1013"/>
      <c r="H26" s="1013"/>
      <c r="I26" s="1013"/>
      <c r="J26" s="1013"/>
      <c r="K26" s="1225"/>
      <c r="L26" s="1013"/>
      <c r="M26" s="1013"/>
      <c r="N26" s="1013"/>
      <c r="O26" s="1013"/>
      <c r="P26" s="1013"/>
      <c r="Q26" s="1013"/>
      <c r="R26" s="1013"/>
      <c r="S26" s="1013"/>
      <c r="T26" s="1013"/>
      <c r="U26" s="1013"/>
      <c r="V26" s="1013"/>
      <c r="W26" s="1013"/>
      <c r="X26" s="1013"/>
      <c r="Y26" s="1013"/>
      <c r="Z26" s="1013"/>
      <c r="AA26" s="1013"/>
      <c r="AB26" s="1013"/>
      <c r="AC26" s="1013"/>
      <c r="AD26" s="1013"/>
      <c r="AE26" s="1013"/>
      <c r="AF26" s="1013"/>
      <c r="AG26" s="1013"/>
      <c r="AH26" s="1013"/>
      <c r="AI26" s="1013"/>
      <c r="AJ26" s="1013"/>
      <c r="AK26" s="1013"/>
      <c r="AL26" s="1013"/>
      <c r="AM26" s="1013"/>
      <c r="AN26" s="1013"/>
      <c r="AO26" s="1013"/>
      <c r="AP26" s="1013"/>
      <c r="AQ26" s="1013"/>
      <c r="AR26" s="1013"/>
      <c r="AS26" s="1013"/>
      <c r="AT26" s="1013"/>
      <c r="AU26" s="1013"/>
      <c r="AV26" s="1013"/>
      <c r="AW26" s="1013"/>
      <c r="AX26" s="1013"/>
      <c r="AY26" s="1013"/>
      <c r="AZ26" s="1013"/>
      <c r="BA26" s="1013"/>
      <c r="BB26" s="1013"/>
      <c r="BC26" s="1013"/>
      <c r="BD26" s="1013"/>
      <c r="BE26" s="1013"/>
      <c r="BF26" s="1013"/>
      <c r="BG26" s="1013"/>
      <c r="BH26" s="1013"/>
      <c r="BI26" s="1013"/>
      <c r="BJ26" s="1013"/>
      <c r="BK26" s="1013"/>
      <c r="BL26" s="1013"/>
      <c r="BM26" s="1013"/>
      <c r="BN26" s="1013"/>
      <c r="BO26" s="1013"/>
      <c r="BP26" s="1013"/>
      <c r="BQ26" s="1013"/>
      <c r="BR26" s="1013"/>
      <c r="BS26" s="1013"/>
      <c r="BT26" s="1013"/>
      <c r="BU26" s="1013"/>
      <c r="BV26" s="1013"/>
      <c r="BW26" s="1013"/>
      <c r="BX26" s="1013"/>
      <c r="BY26" s="1013"/>
      <c r="BZ26" s="1013"/>
      <c r="CA26" s="1013"/>
      <c r="CB26" s="1013"/>
      <c r="CC26" s="1013"/>
      <c r="CD26" s="1013"/>
      <c r="CE26" s="1013"/>
      <c r="CF26" s="1013"/>
      <c r="CG26" s="1013"/>
      <c r="CH26" s="1013"/>
      <c r="CI26" s="1013"/>
      <c r="CJ26" s="1013"/>
      <c r="CK26" s="1013"/>
      <c r="CL26" s="1013"/>
      <c r="CM26" s="1013"/>
      <c r="CN26" s="1013"/>
      <c r="CO26" s="1013"/>
      <c r="CP26" s="1013"/>
      <c r="CQ26" s="1013"/>
      <c r="CR26" s="1013"/>
      <c r="CS26" s="1013"/>
      <c r="CT26" s="1013"/>
      <c r="CU26" s="1013"/>
      <c r="CV26" s="1013"/>
      <c r="CW26" s="1013"/>
      <c r="CX26" s="1013"/>
      <c r="CY26" s="1013"/>
      <c r="CZ26" s="1013"/>
      <c r="DA26" s="1013"/>
      <c r="DB26" s="1013"/>
      <c r="DC26" s="1013"/>
      <c r="DD26" s="1013"/>
      <c r="DE26" s="1013"/>
      <c r="DF26" s="1013"/>
      <c r="DG26" s="1013"/>
      <c r="DH26" s="1013"/>
      <c r="DI26" s="1013"/>
      <c r="DJ26" s="1013"/>
      <c r="DK26" s="1013"/>
      <c r="DL26" s="1013"/>
      <c r="DM26" s="1214"/>
      <c r="DN26" s="1222">
        <f>('Lead &amp; ANALYSIS'!G1420/0.0283)+('Lead &amp; ANALYSIS'!G1420*2%/0.0283)</f>
        <v>1.441696113074205</v>
      </c>
      <c r="DO26" s="1013">
        <f>ROUND(C26*DN26,4)</f>
        <v>0</v>
      </c>
      <c r="DP26" s="847"/>
      <c r="DQ26" s="1013"/>
      <c r="DR26" s="1228">
        <f>'Lead &amp; ANALYSIS'!G1419/0.0283+('Lead &amp; ANALYSIS'!G1419*2%/0.0283)</f>
        <v>1.0812720848056536</v>
      </c>
      <c r="DS26" s="1013">
        <f>ROUND(C26*DR26,4)</f>
        <v>0</v>
      </c>
      <c r="DT26" s="1225"/>
      <c r="DU26" s="1214"/>
      <c r="DV26" s="1226"/>
      <c r="DW26" s="1227"/>
      <c r="DX26" s="1222"/>
      <c r="DY26" s="847"/>
      <c r="DZ26" s="847"/>
      <c r="EA26" s="847"/>
      <c r="EB26" s="847"/>
      <c r="EC26" s="847"/>
      <c r="ED26" s="847"/>
      <c r="EE26" s="847"/>
      <c r="EF26" s="847"/>
      <c r="EG26" s="1212"/>
      <c r="EH26" s="847"/>
      <c r="EI26" s="1212"/>
      <c r="EJ26" s="1101">
        <f>DO26*200+DQ26*220+DS26*240+DU26*260</f>
        <v>0</v>
      </c>
      <c r="EK26" s="1101">
        <v>609.19000000000005</v>
      </c>
    </row>
    <row r="27" spans="1:141" s="733" customFormat="1" ht="13.5">
      <c r="A27" s="1009"/>
      <c r="B27" s="1212" t="s">
        <v>2067</v>
      </c>
      <c r="C27" s="1213">
        <v>0</v>
      </c>
      <c r="D27" s="1013" t="s">
        <v>49</v>
      </c>
      <c r="E27" s="1013"/>
      <c r="F27" s="1013"/>
      <c r="G27" s="1013"/>
      <c r="H27" s="1013"/>
      <c r="I27" s="1013"/>
      <c r="J27" s="1013"/>
      <c r="K27" s="1225"/>
      <c r="L27" s="1013"/>
      <c r="M27" s="1013"/>
      <c r="N27" s="1013"/>
      <c r="O27" s="1013"/>
      <c r="P27" s="1013"/>
      <c r="Q27" s="1013"/>
      <c r="R27" s="1013"/>
      <c r="S27" s="1013"/>
      <c r="T27" s="1013"/>
      <c r="U27" s="1013"/>
      <c r="V27" s="1013"/>
      <c r="W27" s="1013"/>
      <c r="X27" s="1013"/>
      <c r="Y27" s="1013"/>
      <c r="Z27" s="1013"/>
      <c r="AA27" s="1013"/>
      <c r="AB27" s="1013"/>
      <c r="AC27" s="1013"/>
      <c r="AD27" s="1013"/>
      <c r="AE27" s="1013"/>
      <c r="AF27" s="1013"/>
      <c r="AG27" s="1013"/>
      <c r="AH27" s="1013"/>
      <c r="AI27" s="1013"/>
      <c r="AJ27" s="1013"/>
      <c r="AK27" s="1013"/>
      <c r="AL27" s="1013"/>
      <c r="AM27" s="1013"/>
      <c r="AN27" s="1013"/>
      <c r="AO27" s="1013"/>
      <c r="AP27" s="1013"/>
      <c r="AQ27" s="1013"/>
      <c r="AR27" s="1013"/>
      <c r="AS27" s="1013"/>
      <c r="AT27" s="1013"/>
      <c r="AU27" s="1013"/>
      <c r="AV27" s="1013"/>
      <c r="AW27" s="1013"/>
      <c r="AX27" s="1013"/>
      <c r="AY27" s="1013"/>
      <c r="AZ27" s="1013"/>
      <c r="BA27" s="1013"/>
      <c r="BB27" s="1013"/>
      <c r="BC27" s="1013"/>
      <c r="BD27" s="1013"/>
      <c r="BE27" s="1013"/>
      <c r="BF27" s="1013"/>
      <c r="BG27" s="1013"/>
      <c r="BH27" s="1013"/>
      <c r="BI27" s="1013"/>
      <c r="BJ27" s="1013"/>
      <c r="BK27" s="1013"/>
      <c r="BL27" s="1013"/>
      <c r="BM27" s="1013"/>
      <c r="BN27" s="1013"/>
      <c r="BO27" s="1013"/>
      <c r="BP27" s="1013"/>
      <c r="BQ27" s="1013"/>
      <c r="BR27" s="1013"/>
      <c r="BS27" s="1013"/>
      <c r="BT27" s="1013"/>
      <c r="BU27" s="1013"/>
      <c r="BV27" s="1013"/>
      <c r="BW27" s="1013"/>
      <c r="BX27" s="1013"/>
      <c r="BY27" s="1013"/>
      <c r="BZ27" s="1013"/>
      <c r="CA27" s="1013"/>
      <c r="CB27" s="1013"/>
      <c r="CC27" s="1013"/>
      <c r="CD27" s="1013"/>
      <c r="CE27" s="1013"/>
      <c r="CF27" s="1013"/>
      <c r="CG27" s="1013"/>
      <c r="CH27" s="1013"/>
      <c r="CI27" s="1013"/>
      <c r="CJ27" s="1013"/>
      <c r="CK27" s="1013"/>
      <c r="CL27" s="1013"/>
      <c r="CM27" s="1013"/>
      <c r="CN27" s="1013"/>
      <c r="CO27" s="1013"/>
      <c r="CP27" s="1013"/>
      <c r="CQ27" s="1013"/>
      <c r="CR27" s="1013"/>
      <c r="CS27" s="1013"/>
      <c r="CT27" s="1013"/>
      <c r="CU27" s="1013"/>
      <c r="CV27" s="1013"/>
      <c r="CW27" s="1013"/>
      <c r="CX27" s="1013"/>
      <c r="CY27" s="1013"/>
      <c r="CZ27" s="1013"/>
      <c r="DA27" s="1013"/>
      <c r="DB27" s="1013"/>
      <c r="DC27" s="1013"/>
      <c r="DD27" s="1013"/>
      <c r="DE27" s="1013"/>
      <c r="DF27" s="1013"/>
      <c r="DG27" s="1013"/>
      <c r="DH27" s="1013"/>
      <c r="DI27" s="1013"/>
      <c r="DJ27" s="1013"/>
      <c r="DK27" s="1013"/>
      <c r="DL27" s="1013"/>
      <c r="DM27" s="1214"/>
      <c r="DN27" s="1222">
        <f>DN26+('Lead &amp; ANALYSIS'!G1420*5%/0.0283)</f>
        <v>1.5123674911660778</v>
      </c>
      <c r="DO27" s="1013">
        <f>ROUND(C27*DN27,4)</f>
        <v>0</v>
      </c>
      <c r="DP27" s="847"/>
      <c r="DQ27" s="1013"/>
      <c r="DR27" s="1228">
        <f>DR26+'Lead &amp; ANALYSIS'!G1419*5%/0.0283</f>
        <v>1.1342756183745581</v>
      </c>
      <c r="DS27" s="1013">
        <f>ROUND(C27*DR27,4)</f>
        <v>0</v>
      </c>
      <c r="DT27" s="1225"/>
      <c r="DU27" s="1214"/>
      <c r="DV27" s="1226"/>
      <c r="DW27" s="1227"/>
      <c r="DX27" s="1222"/>
      <c r="DY27" s="847"/>
      <c r="DZ27" s="847"/>
      <c r="EA27" s="847"/>
      <c r="EB27" s="847"/>
      <c r="EC27" s="847"/>
      <c r="ED27" s="847"/>
      <c r="EE27" s="847"/>
      <c r="EF27" s="847"/>
      <c r="EG27" s="1212"/>
      <c r="EH27" s="847"/>
      <c r="EI27" s="1212"/>
      <c r="EJ27" s="1101">
        <f>DO27*200+DQ27*220+DS27*240+DU27*260</f>
        <v>0</v>
      </c>
      <c r="EK27" s="1101">
        <v>639.05000000000007</v>
      </c>
    </row>
    <row r="28" spans="1:141" s="733" customFormat="1" ht="13.5">
      <c r="A28" s="1009">
        <v>7</v>
      </c>
      <c r="B28" s="1212" t="s">
        <v>3017</v>
      </c>
      <c r="C28" s="1213">
        <v>0</v>
      </c>
      <c r="D28" s="1013" t="s">
        <v>92</v>
      </c>
      <c r="E28" s="1013"/>
      <c r="F28" s="1013"/>
      <c r="G28" s="1013"/>
      <c r="H28" s="1013"/>
      <c r="I28" s="1013"/>
      <c r="J28" s="1013"/>
      <c r="K28" s="1013"/>
      <c r="L28" s="1013"/>
      <c r="M28" s="1013"/>
      <c r="N28" s="1013"/>
      <c r="O28" s="1013"/>
      <c r="P28" s="1013"/>
      <c r="Q28" s="1013"/>
      <c r="R28" s="1013"/>
      <c r="S28" s="1013"/>
      <c r="T28" s="1013"/>
      <c r="U28" s="1013"/>
      <c r="V28" s="1013"/>
      <c r="W28" s="1013"/>
      <c r="X28" s="1013"/>
      <c r="Y28" s="1013"/>
      <c r="Z28" s="1013"/>
      <c r="AA28" s="1013"/>
      <c r="AB28" s="1013"/>
      <c r="AC28" s="1013"/>
      <c r="AD28" s="1013"/>
      <c r="AE28" s="1013"/>
      <c r="AF28" s="1013"/>
      <c r="AG28" s="1013"/>
      <c r="AH28" s="1013"/>
      <c r="AI28" s="1013"/>
      <c r="AJ28" s="1013"/>
      <c r="AK28" s="1013"/>
      <c r="AL28" s="1013"/>
      <c r="AM28" s="1013"/>
      <c r="AN28" s="1013"/>
      <c r="AO28" s="1013"/>
      <c r="AP28" s="1013"/>
      <c r="AQ28" s="1013"/>
      <c r="AR28" s="1013"/>
      <c r="AS28" s="1013"/>
      <c r="AT28" s="1013"/>
      <c r="AU28" s="1013"/>
      <c r="AV28" s="1013"/>
      <c r="AW28" s="1013"/>
      <c r="AX28" s="1013"/>
      <c r="AY28" s="1013"/>
      <c r="AZ28" s="1013"/>
      <c r="BA28" s="1013"/>
      <c r="BB28" s="1013"/>
      <c r="BC28" s="1013"/>
      <c r="BD28" s="1013"/>
      <c r="BE28" s="1013"/>
      <c r="BF28" s="1013"/>
      <c r="BG28" s="1013"/>
      <c r="BH28" s="1013"/>
      <c r="BI28" s="1013"/>
      <c r="BJ28" s="1013"/>
      <c r="BK28" s="1013"/>
      <c r="BL28" s="1013"/>
      <c r="BM28" s="1013"/>
      <c r="BN28" s="1013"/>
      <c r="BO28" s="1013"/>
      <c r="BP28" s="1013"/>
      <c r="BQ28" s="1013"/>
      <c r="BR28" s="1013"/>
      <c r="BS28" s="1013"/>
      <c r="BT28" s="1013"/>
      <c r="BU28" s="1013"/>
      <c r="BV28" s="1013"/>
      <c r="BW28" s="1013"/>
      <c r="BX28" s="1013"/>
      <c r="BY28" s="1013"/>
      <c r="BZ28" s="1013"/>
      <c r="CA28" s="1013"/>
      <c r="CB28" s="1013"/>
      <c r="CC28" s="1013"/>
      <c r="CD28" s="1013"/>
      <c r="CE28" s="1013"/>
      <c r="CF28" s="1013"/>
      <c r="CG28" s="1013"/>
      <c r="CH28" s="1013"/>
      <c r="CI28" s="1013"/>
      <c r="CJ28" s="1013"/>
      <c r="CK28" s="1013"/>
      <c r="CL28" s="1013"/>
      <c r="CM28" s="1013"/>
      <c r="CN28" s="1013"/>
      <c r="CO28" s="1013"/>
      <c r="CP28" s="1013"/>
      <c r="CQ28" s="1013"/>
      <c r="CR28" s="1013"/>
      <c r="CS28" s="1013"/>
      <c r="CT28" s="1013"/>
      <c r="CU28" s="1013"/>
      <c r="CV28" s="1013"/>
      <c r="CW28" s="1013"/>
      <c r="CX28" s="1013"/>
      <c r="CY28" s="1013"/>
      <c r="CZ28" s="1013"/>
      <c r="DA28" s="1013"/>
      <c r="DB28" s="1013"/>
      <c r="DC28" s="1013"/>
      <c r="DD28" s="1013"/>
      <c r="DE28" s="1013"/>
      <c r="DF28" s="1013"/>
      <c r="DG28" s="1013"/>
      <c r="DH28" s="1013"/>
      <c r="DI28" s="1013"/>
      <c r="DJ28" s="1013"/>
      <c r="DK28" s="1013"/>
      <c r="DL28" s="1013"/>
      <c r="DM28" s="1214"/>
      <c r="DN28" s="1222"/>
      <c r="DO28" s="1013"/>
      <c r="DP28" s="847"/>
      <c r="DQ28" s="1013"/>
      <c r="DR28" s="1225"/>
      <c r="DS28" s="1013"/>
      <c r="DT28" s="1225"/>
      <c r="DU28" s="1214"/>
      <c r="DV28" s="1226"/>
      <c r="DW28" s="1227"/>
      <c r="DX28" s="1222"/>
      <c r="DY28" s="847"/>
      <c r="DZ28" s="847"/>
      <c r="EA28" s="847"/>
      <c r="EB28" s="847"/>
      <c r="EC28" s="847"/>
      <c r="ED28" s="847"/>
      <c r="EE28" s="847"/>
      <c r="EF28" s="847"/>
      <c r="EG28" s="1212"/>
      <c r="EH28" s="847"/>
      <c r="EI28" s="1212"/>
      <c r="EJ28" s="1101"/>
      <c r="EK28" s="1101" t="e">
        <v>#REF!</v>
      </c>
    </row>
    <row r="29" spans="1:141" s="733" customFormat="1" ht="13.5">
      <c r="A29" s="1009"/>
      <c r="B29" s="1212" t="s">
        <v>2066</v>
      </c>
      <c r="C29" s="1213">
        <v>0</v>
      </c>
      <c r="D29" s="1013" t="s">
        <v>92</v>
      </c>
      <c r="E29" s="1013"/>
      <c r="F29" s="1013"/>
      <c r="G29" s="1013"/>
      <c r="H29" s="1013"/>
      <c r="I29" s="1013"/>
      <c r="J29" s="1013"/>
      <c r="K29" s="1013"/>
      <c r="L29" s="1013"/>
      <c r="M29" s="1013"/>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3"/>
      <c r="AQ29" s="1013"/>
      <c r="AR29" s="1013"/>
      <c r="AS29" s="1013"/>
      <c r="AT29" s="1013"/>
      <c r="AU29" s="1013"/>
      <c r="AV29" s="1013"/>
      <c r="AW29" s="1013"/>
      <c r="AX29" s="1013"/>
      <c r="AY29" s="1013"/>
      <c r="AZ29" s="1013"/>
      <c r="BA29" s="1013"/>
      <c r="BB29" s="1013"/>
      <c r="BC29" s="1013"/>
      <c r="BD29" s="1013"/>
      <c r="BE29" s="1013"/>
      <c r="BF29" s="1013"/>
      <c r="BG29" s="1013"/>
      <c r="BH29" s="1013"/>
      <c r="BI29" s="1013"/>
      <c r="BJ29" s="1013"/>
      <c r="BK29" s="1013"/>
      <c r="BL29" s="1013"/>
      <c r="BM29" s="1013"/>
      <c r="BN29" s="1013"/>
      <c r="BO29" s="1013"/>
      <c r="BP29" s="1013"/>
      <c r="BQ29" s="1013"/>
      <c r="BR29" s="1013"/>
      <c r="BS29" s="1013"/>
      <c r="BT29" s="1013"/>
      <c r="BU29" s="1013"/>
      <c r="BV29" s="1013"/>
      <c r="BW29" s="1013"/>
      <c r="BX29" s="1013"/>
      <c r="BY29" s="1013"/>
      <c r="BZ29" s="1013"/>
      <c r="CA29" s="1013"/>
      <c r="CB29" s="1013"/>
      <c r="CC29" s="1013"/>
      <c r="CD29" s="1013"/>
      <c r="CE29" s="1013"/>
      <c r="CF29" s="1013"/>
      <c r="CG29" s="1013"/>
      <c r="CH29" s="1013"/>
      <c r="CI29" s="1013"/>
      <c r="CJ29" s="1013"/>
      <c r="CK29" s="1013"/>
      <c r="CL29" s="1013"/>
      <c r="CM29" s="1013"/>
      <c r="CN29" s="1013"/>
      <c r="CO29" s="1013"/>
      <c r="CP29" s="1013"/>
      <c r="CQ29" s="1013"/>
      <c r="CR29" s="1013"/>
      <c r="CS29" s="1013"/>
      <c r="CT29" s="1013"/>
      <c r="CU29" s="1013"/>
      <c r="CV29" s="1013"/>
      <c r="CW29" s="1013"/>
      <c r="CX29" s="1013"/>
      <c r="CY29" s="1013"/>
      <c r="CZ29" s="1013"/>
      <c r="DA29" s="1013"/>
      <c r="DB29" s="1013"/>
      <c r="DC29" s="1013"/>
      <c r="DD29" s="1013"/>
      <c r="DE29" s="1013"/>
      <c r="DF29" s="1013"/>
      <c r="DG29" s="1013"/>
      <c r="DH29" s="1013"/>
      <c r="DI29" s="1013"/>
      <c r="DJ29" s="1013"/>
      <c r="DK29" s="1013"/>
      <c r="DL29" s="1013"/>
      <c r="DM29" s="1214"/>
      <c r="DN29" s="1222">
        <f>'Lead &amp; ANALYSIS'!G1443/2.6+'Lead &amp; ANALYSIS'!G1443*2%/2.6</f>
        <v>0.62769230769230777</v>
      </c>
      <c r="DO29" s="1013">
        <f>ROUND(C29*DN29,4)</f>
        <v>0</v>
      </c>
      <c r="DP29" s="847"/>
      <c r="DQ29" s="1013"/>
      <c r="DR29" s="1228">
        <f>'Lead &amp; ANALYSIS'!G1442/2.6+'Lead &amp; ANALYSIS'!G1442*2%/2.6</f>
        <v>0.19615384615384612</v>
      </c>
      <c r="DS29" s="1013">
        <f>ROUND(C29*DR29,4)</f>
        <v>0</v>
      </c>
      <c r="DT29" s="1225"/>
      <c r="DU29" s="1214"/>
      <c r="DV29" s="1226"/>
      <c r="DW29" s="1227"/>
      <c r="DX29" s="1222"/>
      <c r="DY29" s="847"/>
      <c r="DZ29" s="847"/>
      <c r="EA29" s="847"/>
      <c r="EB29" s="847"/>
      <c r="EC29" s="847"/>
      <c r="ED29" s="847"/>
      <c r="EE29" s="847"/>
      <c r="EF29" s="847"/>
      <c r="EG29" s="1212"/>
      <c r="EH29" s="847"/>
      <c r="EI29" s="1212"/>
      <c r="EJ29" s="1101">
        <f>DO29*200+DQ29*220+DS29*240+DU29*260</f>
        <v>0</v>
      </c>
      <c r="EK29" s="1101">
        <v>192.63</v>
      </c>
    </row>
    <row r="30" spans="1:141" s="733" customFormat="1" ht="13.5">
      <c r="A30" s="1009"/>
      <c r="B30" s="1212" t="s">
        <v>2067</v>
      </c>
      <c r="C30" s="1213">
        <v>0</v>
      </c>
      <c r="D30" s="1013" t="s">
        <v>92</v>
      </c>
      <c r="E30" s="101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1013"/>
      <c r="AP30" s="1013"/>
      <c r="AQ30" s="1013"/>
      <c r="AR30" s="1013"/>
      <c r="AS30" s="1013"/>
      <c r="AT30" s="1013"/>
      <c r="AU30" s="1013"/>
      <c r="AV30" s="1013"/>
      <c r="AW30" s="1013"/>
      <c r="AX30" s="1013"/>
      <c r="AY30" s="1013"/>
      <c r="AZ30" s="1013"/>
      <c r="BA30" s="1013"/>
      <c r="BB30" s="1013"/>
      <c r="BC30" s="1013"/>
      <c r="BD30" s="1013"/>
      <c r="BE30" s="1013"/>
      <c r="BF30" s="1013"/>
      <c r="BG30" s="1013"/>
      <c r="BH30" s="1013"/>
      <c r="BI30" s="1013"/>
      <c r="BJ30" s="1013"/>
      <c r="BK30" s="1013"/>
      <c r="BL30" s="1013"/>
      <c r="BM30" s="1013"/>
      <c r="BN30" s="1013"/>
      <c r="BO30" s="1013"/>
      <c r="BP30" s="1013"/>
      <c r="BQ30" s="1013"/>
      <c r="BR30" s="1013"/>
      <c r="BS30" s="1013"/>
      <c r="BT30" s="1013"/>
      <c r="BU30" s="1013"/>
      <c r="BV30" s="1013"/>
      <c r="BW30" s="1013"/>
      <c r="BX30" s="1013"/>
      <c r="BY30" s="1013"/>
      <c r="BZ30" s="1013"/>
      <c r="CA30" s="1013"/>
      <c r="CB30" s="1013"/>
      <c r="CC30" s="1013"/>
      <c r="CD30" s="1013"/>
      <c r="CE30" s="1013"/>
      <c r="CF30" s="1013"/>
      <c r="CG30" s="1013"/>
      <c r="CH30" s="1013"/>
      <c r="CI30" s="1013"/>
      <c r="CJ30" s="1013"/>
      <c r="CK30" s="1013"/>
      <c r="CL30" s="1013"/>
      <c r="CM30" s="1013"/>
      <c r="CN30" s="1013"/>
      <c r="CO30" s="1013"/>
      <c r="CP30" s="1013"/>
      <c r="CQ30" s="1013"/>
      <c r="CR30" s="1013"/>
      <c r="CS30" s="1013"/>
      <c r="CT30" s="1013"/>
      <c r="CU30" s="1013"/>
      <c r="CV30" s="1013"/>
      <c r="CW30" s="1013"/>
      <c r="CX30" s="1013"/>
      <c r="CY30" s="1013"/>
      <c r="CZ30" s="1013"/>
      <c r="DA30" s="1013"/>
      <c r="DB30" s="1013"/>
      <c r="DC30" s="1013"/>
      <c r="DD30" s="1013"/>
      <c r="DE30" s="1013"/>
      <c r="DF30" s="1013"/>
      <c r="DG30" s="1013"/>
      <c r="DH30" s="1013"/>
      <c r="DI30" s="1013"/>
      <c r="DJ30" s="1013"/>
      <c r="DK30" s="1013"/>
      <c r="DL30" s="1013"/>
      <c r="DM30" s="1214"/>
      <c r="DN30" s="1222">
        <f>DN29+('Lead &amp; ANALYSIS'!G1443*5%/2.6)</f>
        <v>0.65846153846153854</v>
      </c>
      <c r="DO30" s="1013">
        <f>ROUND(C30*DN30,4)</f>
        <v>0</v>
      </c>
      <c r="DP30" s="847"/>
      <c r="DQ30" s="1013"/>
      <c r="DR30" s="1228">
        <f>DR29+'Lead &amp; ANALYSIS'!G1442*5%/2.6</f>
        <v>0.20576923076923073</v>
      </c>
      <c r="DS30" s="1013">
        <f>ROUND(C30*DR30,4)</f>
        <v>0</v>
      </c>
      <c r="DT30" s="1225"/>
      <c r="DU30" s="1214"/>
      <c r="DV30" s="1226"/>
      <c r="DW30" s="1227"/>
      <c r="DX30" s="1222"/>
      <c r="DY30" s="847"/>
      <c r="DZ30" s="847"/>
      <c r="EA30" s="847"/>
      <c r="EB30" s="847"/>
      <c r="EC30" s="847"/>
      <c r="ED30" s="847"/>
      <c r="EE30" s="847"/>
      <c r="EF30" s="847"/>
      <c r="EG30" s="1212"/>
      <c r="EH30" s="847"/>
      <c r="EI30" s="1212"/>
      <c r="EJ30" s="1101">
        <f>DO30*200+DQ30*220+DS30*240+DU30*260</f>
        <v>0</v>
      </c>
      <c r="EK30" s="1101">
        <v>202.07</v>
      </c>
    </row>
    <row r="31" spans="1:141" s="733" customFormat="1" ht="13.5">
      <c r="A31" s="1009">
        <v>8</v>
      </c>
      <c r="B31" s="1212" t="s">
        <v>3018</v>
      </c>
      <c r="C31" s="1213">
        <v>0</v>
      </c>
      <c r="D31" s="1013" t="s">
        <v>92</v>
      </c>
      <c r="E31" s="847"/>
      <c r="F31" s="1013"/>
      <c r="G31" s="847"/>
      <c r="H31" s="1013"/>
      <c r="I31" s="847"/>
      <c r="J31" s="1013"/>
      <c r="K31" s="847"/>
      <c r="L31" s="1013"/>
      <c r="M31" s="1013"/>
      <c r="N31" s="1013"/>
      <c r="O31" s="847"/>
      <c r="P31" s="1013"/>
      <c r="Q31" s="1013"/>
      <c r="R31" s="847"/>
      <c r="S31" s="847"/>
      <c r="T31" s="1013"/>
      <c r="U31" s="1013"/>
      <c r="V31" s="1013"/>
      <c r="W31" s="1013"/>
      <c r="X31" s="1013"/>
      <c r="Y31" s="1013"/>
      <c r="Z31" s="1013"/>
      <c r="AA31" s="1013"/>
      <c r="AB31" s="1013"/>
      <c r="AC31" s="1013"/>
      <c r="AD31" s="1013"/>
      <c r="AE31" s="1013"/>
      <c r="AF31" s="1013"/>
      <c r="AG31" s="1013"/>
      <c r="AH31" s="1013"/>
      <c r="AI31" s="1013"/>
      <c r="AJ31" s="1013"/>
      <c r="AK31" s="1013"/>
      <c r="AL31" s="1013"/>
      <c r="AM31" s="1013"/>
      <c r="AN31" s="1013"/>
      <c r="AO31" s="1013"/>
      <c r="AP31" s="1013"/>
      <c r="AQ31" s="1013"/>
      <c r="AR31" s="1013"/>
      <c r="AS31" s="1013"/>
      <c r="AT31" s="1013"/>
      <c r="AU31" s="1013"/>
      <c r="AV31" s="1013"/>
      <c r="AW31" s="1013"/>
      <c r="AX31" s="1013"/>
      <c r="AY31" s="1013"/>
      <c r="AZ31" s="1013"/>
      <c r="BA31" s="1013"/>
      <c r="BB31" s="1013"/>
      <c r="BC31" s="1013"/>
      <c r="BD31" s="1013"/>
      <c r="BE31" s="1013"/>
      <c r="BF31" s="1013"/>
      <c r="BG31" s="1013"/>
      <c r="BH31" s="1013"/>
      <c r="BI31" s="1013"/>
      <c r="BJ31" s="1013"/>
      <c r="BK31" s="1013"/>
      <c r="BL31" s="1013"/>
      <c r="BM31" s="1013"/>
      <c r="BN31" s="1013"/>
      <c r="BO31" s="1013"/>
      <c r="BP31" s="1013"/>
      <c r="BQ31" s="1013"/>
      <c r="BR31" s="1013"/>
      <c r="BS31" s="1013"/>
      <c r="BT31" s="1013"/>
      <c r="BU31" s="1013"/>
      <c r="BV31" s="1013"/>
      <c r="BW31" s="1013"/>
      <c r="BX31" s="1013"/>
      <c r="BY31" s="1013"/>
      <c r="BZ31" s="1013"/>
      <c r="CA31" s="1013"/>
      <c r="CB31" s="1013"/>
      <c r="CC31" s="1013"/>
      <c r="CD31" s="1013"/>
      <c r="CE31" s="1013"/>
      <c r="CF31" s="1013"/>
      <c r="CG31" s="1013"/>
      <c r="CH31" s="1013"/>
      <c r="CI31" s="1013"/>
      <c r="CJ31" s="1013"/>
      <c r="CK31" s="1013"/>
      <c r="CL31" s="1013"/>
      <c r="CM31" s="1013"/>
      <c r="CN31" s="1013"/>
      <c r="CO31" s="1013"/>
      <c r="CP31" s="1013"/>
      <c r="CQ31" s="1013"/>
      <c r="CR31" s="1013"/>
      <c r="CS31" s="1013"/>
      <c r="CT31" s="1013"/>
      <c r="CU31" s="1013"/>
      <c r="CV31" s="1013"/>
      <c r="CW31" s="1013"/>
      <c r="CX31" s="1013"/>
      <c r="CY31" s="1013"/>
      <c r="CZ31" s="1013"/>
      <c r="DA31" s="1013"/>
      <c r="DB31" s="1013"/>
      <c r="DC31" s="1013"/>
      <c r="DD31" s="1013"/>
      <c r="DE31" s="1013"/>
      <c r="DF31" s="1013"/>
      <c r="DG31" s="1013"/>
      <c r="DH31" s="1013"/>
      <c r="DI31" s="1013"/>
      <c r="DJ31" s="1013"/>
      <c r="DK31" s="1013"/>
      <c r="DL31" s="1013"/>
      <c r="DM31" s="1214"/>
      <c r="DN31" s="1222"/>
      <c r="DO31" s="1013"/>
      <c r="DP31" s="847"/>
      <c r="DQ31" s="1013"/>
      <c r="DR31" s="1225"/>
      <c r="DS31" s="1013"/>
      <c r="DT31" s="1225"/>
      <c r="DU31" s="1214"/>
      <c r="DV31" s="1229"/>
      <c r="DW31" s="1227"/>
      <c r="DX31" s="1222"/>
      <c r="DY31" s="847"/>
      <c r="DZ31" s="847"/>
      <c r="EA31" s="847"/>
      <c r="EB31" s="847"/>
      <c r="EC31" s="847"/>
      <c r="ED31" s="847"/>
      <c r="EE31" s="847"/>
      <c r="EF31" s="847"/>
      <c r="EG31" s="1212"/>
      <c r="EH31" s="847"/>
      <c r="EI31" s="1212"/>
      <c r="EJ31" s="1101"/>
      <c r="EK31" s="1101" t="e">
        <v>#REF!</v>
      </c>
    </row>
    <row r="32" spans="1:141" s="733" customFormat="1" ht="13.5">
      <c r="A32" s="1009"/>
      <c r="B32" s="1212" t="s">
        <v>2066</v>
      </c>
      <c r="C32" s="1213">
        <v>0</v>
      </c>
      <c r="D32" s="1013" t="s">
        <v>92</v>
      </c>
      <c r="E32" s="847"/>
      <c r="F32" s="1013"/>
      <c r="G32" s="847"/>
      <c r="H32" s="1013"/>
      <c r="I32" s="847"/>
      <c r="J32" s="1013"/>
      <c r="K32" s="847"/>
      <c r="L32" s="1013"/>
      <c r="M32" s="1013"/>
      <c r="N32" s="1013"/>
      <c r="O32" s="847"/>
      <c r="P32" s="1013"/>
      <c r="Q32" s="1013"/>
      <c r="R32" s="847"/>
      <c r="S32" s="847"/>
      <c r="T32" s="1013"/>
      <c r="U32" s="1013"/>
      <c r="V32" s="1013"/>
      <c r="W32" s="1013"/>
      <c r="X32" s="1013"/>
      <c r="Y32" s="1013"/>
      <c r="Z32" s="1013"/>
      <c r="AA32" s="1013"/>
      <c r="AB32" s="1013"/>
      <c r="AC32" s="1013"/>
      <c r="AD32" s="1013"/>
      <c r="AE32" s="1013"/>
      <c r="AF32" s="1013"/>
      <c r="AG32" s="1013"/>
      <c r="AH32" s="1013"/>
      <c r="AI32" s="1013"/>
      <c r="AJ32" s="1013"/>
      <c r="AK32" s="1013"/>
      <c r="AL32" s="1013"/>
      <c r="AM32" s="1013"/>
      <c r="AN32" s="1013"/>
      <c r="AO32" s="1013"/>
      <c r="AP32" s="1013"/>
      <c r="AQ32" s="1013"/>
      <c r="AR32" s="1013"/>
      <c r="AS32" s="1013"/>
      <c r="AT32" s="1013"/>
      <c r="AU32" s="1013"/>
      <c r="AV32" s="1013"/>
      <c r="AW32" s="1013"/>
      <c r="AX32" s="1013"/>
      <c r="AY32" s="1013"/>
      <c r="AZ32" s="1013"/>
      <c r="BA32" s="1013"/>
      <c r="BB32" s="1013"/>
      <c r="BC32" s="1013"/>
      <c r="BD32" s="1013"/>
      <c r="BE32" s="1013"/>
      <c r="BF32" s="1013"/>
      <c r="BG32" s="1013"/>
      <c r="BH32" s="1013"/>
      <c r="BI32" s="1013"/>
      <c r="BJ32" s="1013"/>
      <c r="BK32" s="1013"/>
      <c r="BL32" s="1013"/>
      <c r="BM32" s="1013"/>
      <c r="BN32" s="1013"/>
      <c r="BO32" s="1013"/>
      <c r="BP32" s="1013"/>
      <c r="BQ32" s="1013"/>
      <c r="BR32" s="1013"/>
      <c r="BS32" s="1013"/>
      <c r="BT32" s="1013"/>
      <c r="BU32" s="1013"/>
      <c r="BV32" s="1013"/>
      <c r="BW32" s="1013"/>
      <c r="BX32" s="1013"/>
      <c r="BY32" s="1013"/>
      <c r="BZ32" s="1013"/>
      <c r="CA32" s="1013"/>
      <c r="CB32" s="1013"/>
      <c r="CC32" s="1013"/>
      <c r="CD32" s="1013"/>
      <c r="CE32" s="1013"/>
      <c r="CF32" s="1013"/>
      <c r="CG32" s="1013"/>
      <c r="CH32" s="1013"/>
      <c r="CI32" s="1013"/>
      <c r="CJ32" s="1013"/>
      <c r="CK32" s="1013"/>
      <c r="CL32" s="1013"/>
      <c r="CM32" s="1013"/>
      <c r="CN32" s="1013"/>
      <c r="CO32" s="1013"/>
      <c r="CP32" s="1013"/>
      <c r="CQ32" s="1013"/>
      <c r="CR32" s="1013"/>
      <c r="CS32" s="1013"/>
      <c r="CT32" s="1013"/>
      <c r="CU32" s="1013"/>
      <c r="CV32" s="1013"/>
      <c r="CW32" s="1013"/>
      <c r="CX32" s="1013"/>
      <c r="CY32" s="1013"/>
      <c r="CZ32" s="1013"/>
      <c r="DA32" s="1013"/>
      <c r="DB32" s="1013"/>
      <c r="DC32" s="1013"/>
      <c r="DD32" s="1013"/>
      <c r="DE32" s="1013"/>
      <c r="DF32" s="1013"/>
      <c r="DG32" s="1013"/>
      <c r="DH32" s="1013"/>
      <c r="DI32" s="1013"/>
      <c r="DJ32" s="1013"/>
      <c r="DK32" s="1013"/>
      <c r="DL32" s="1013"/>
      <c r="DM32" s="1214"/>
      <c r="DN32" s="1222">
        <f>'Lead &amp; ANALYSIS'!G1465/9.3+'Lead &amp; ANALYSIS'!G1465*2%/9.3</f>
        <v>0.24677419354838709</v>
      </c>
      <c r="DO32" s="1013">
        <f>ROUND(C32*DN32,4)</f>
        <v>0</v>
      </c>
      <c r="DP32" s="847"/>
      <c r="DQ32" s="1013"/>
      <c r="DR32" s="1225"/>
      <c r="DS32" s="1013"/>
      <c r="DT32" s="1225"/>
      <c r="DU32" s="1214"/>
      <c r="DV32" s="1226"/>
      <c r="DW32" s="1227"/>
      <c r="DX32" s="1222"/>
      <c r="DY32" s="847"/>
      <c r="DZ32" s="847"/>
      <c r="EA32" s="847"/>
      <c r="EB32" s="847"/>
      <c r="EC32" s="847"/>
      <c r="ED32" s="847"/>
      <c r="EE32" s="847"/>
      <c r="EF32" s="847"/>
      <c r="EG32" s="1212"/>
      <c r="EH32" s="847"/>
      <c r="EI32" s="1212"/>
      <c r="EJ32" s="1101">
        <f>DO32*200+DQ32*220+DS32*240+DU32*260</f>
        <v>0</v>
      </c>
      <c r="EK32" s="1101">
        <v>55.35</v>
      </c>
    </row>
    <row r="33" spans="1:141" s="733" customFormat="1" ht="13.5">
      <c r="A33" s="1009"/>
      <c r="B33" s="1212" t="s">
        <v>2067</v>
      </c>
      <c r="C33" s="1213">
        <v>0</v>
      </c>
      <c r="D33" s="1013" t="s">
        <v>92</v>
      </c>
      <c r="E33" s="847"/>
      <c r="F33" s="1013"/>
      <c r="G33" s="847"/>
      <c r="H33" s="1013"/>
      <c r="I33" s="847"/>
      <c r="J33" s="1013"/>
      <c r="K33" s="847"/>
      <c r="L33" s="1013"/>
      <c r="M33" s="1013"/>
      <c r="N33" s="1013"/>
      <c r="O33" s="847"/>
      <c r="P33" s="1013"/>
      <c r="Q33" s="1013"/>
      <c r="R33" s="847"/>
      <c r="S33" s="847"/>
      <c r="T33" s="1013"/>
      <c r="U33" s="1013"/>
      <c r="V33" s="1013"/>
      <c r="W33" s="1013"/>
      <c r="X33" s="1013"/>
      <c r="Y33" s="1013"/>
      <c r="Z33" s="1013"/>
      <c r="AA33" s="1013"/>
      <c r="AB33" s="1013"/>
      <c r="AC33" s="1013"/>
      <c r="AD33" s="1013"/>
      <c r="AE33" s="1013"/>
      <c r="AF33" s="1013"/>
      <c r="AG33" s="1013"/>
      <c r="AH33" s="1013"/>
      <c r="AI33" s="1013"/>
      <c r="AJ33" s="1013"/>
      <c r="AK33" s="1013"/>
      <c r="AL33" s="1013"/>
      <c r="AM33" s="1013"/>
      <c r="AN33" s="1013"/>
      <c r="AO33" s="1013"/>
      <c r="AP33" s="1013"/>
      <c r="AQ33" s="1013"/>
      <c r="AR33" s="1013"/>
      <c r="AS33" s="1013"/>
      <c r="AT33" s="1013"/>
      <c r="AU33" s="1013"/>
      <c r="AV33" s="1013"/>
      <c r="AW33" s="1013"/>
      <c r="AX33" s="1013"/>
      <c r="AY33" s="1013"/>
      <c r="AZ33" s="1013"/>
      <c r="BA33" s="1013"/>
      <c r="BB33" s="1013"/>
      <c r="BC33" s="1013"/>
      <c r="BD33" s="1013"/>
      <c r="BE33" s="1013"/>
      <c r="BF33" s="1013"/>
      <c r="BG33" s="1013"/>
      <c r="BH33" s="1013"/>
      <c r="BI33" s="1013"/>
      <c r="BJ33" s="1013"/>
      <c r="BK33" s="1013"/>
      <c r="BL33" s="1013"/>
      <c r="BM33" s="1013"/>
      <c r="BN33" s="1013"/>
      <c r="BO33" s="1013"/>
      <c r="BP33" s="1013"/>
      <c r="BQ33" s="1013"/>
      <c r="BR33" s="1013"/>
      <c r="BS33" s="1013"/>
      <c r="BT33" s="1013"/>
      <c r="BU33" s="1013"/>
      <c r="BV33" s="1013"/>
      <c r="BW33" s="1013"/>
      <c r="BX33" s="1013"/>
      <c r="BY33" s="1013"/>
      <c r="BZ33" s="1013"/>
      <c r="CA33" s="1013"/>
      <c r="CB33" s="1013"/>
      <c r="CC33" s="1013"/>
      <c r="CD33" s="1013"/>
      <c r="CE33" s="1013"/>
      <c r="CF33" s="1013"/>
      <c r="CG33" s="1013"/>
      <c r="CH33" s="1013"/>
      <c r="CI33" s="1013"/>
      <c r="CJ33" s="1013"/>
      <c r="CK33" s="1013"/>
      <c r="CL33" s="1013"/>
      <c r="CM33" s="1013"/>
      <c r="CN33" s="1013"/>
      <c r="CO33" s="1013"/>
      <c r="CP33" s="1013"/>
      <c r="CQ33" s="1013"/>
      <c r="CR33" s="1013"/>
      <c r="CS33" s="1013"/>
      <c r="CT33" s="1013"/>
      <c r="CU33" s="1013"/>
      <c r="CV33" s="1013"/>
      <c r="CW33" s="1013"/>
      <c r="CX33" s="1013"/>
      <c r="CY33" s="1013"/>
      <c r="CZ33" s="1013"/>
      <c r="DA33" s="1013"/>
      <c r="DB33" s="1013"/>
      <c r="DC33" s="1013"/>
      <c r="DD33" s="1013"/>
      <c r="DE33" s="1013"/>
      <c r="DF33" s="1013"/>
      <c r="DG33" s="1013"/>
      <c r="DH33" s="1013"/>
      <c r="DI33" s="1013"/>
      <c r="DJ33" s="1013"/>
      <c r="DK33" s="1013"/>
      <c r="DL33" s="1013"/>
      <c r="DM33" s="1214"/>
      <c r="DN33" s="1222">
        <f>DN32+('Lead &amp; ANALYSIS'!G1465*5%/9.3)</f>
        <v>0.25887096774193546</v>
      </c>
      <c r="DO33" s="1013">
        <f>ROUND(C33*DN33,4)</f>
        <v>0</v>
      </c>
      <c r="DP33" s="847"/>
      <c r="DQ33" s="1013"/>
      <c r="DR33" s="1225"/>
      <c r="DS33" s="1013"/>
      <c r="DT33" s="1225"/>
      <c r="DU33" s="1214"/>
      <c r="DV33" s="1226"/>
      <c r="DW33" s="1227"/>
      <c r="DX33" s="1222"/>
      <c r="DY33" s="847"/>
      <c r="DZ33" s="847"/>
      <c r="EA33" s="847"/>
      <c r="EB33" s="847"/>
      <c r="EC33" s="847"/>
      <c r="ED33" s="847"/>
      <c r="EE33" s="847"/>
      <c r="EF33" s="847"/>
      <c r="EG33" s="1212"/>
      <c r="EH33" s="847"/>
      <c r="EI33" s="1212"/>
      <c r="EJ33" s="1101">
        <f>DO33*200+DQ33*220+DS33*240+DU33*260</f>
        <v>0</v>
      </c>
      <c r="EK33" s="1101">
        <v>58.06</v>
      </c>
    </row>
    <row r="34" spans="1:141" s="733" customFormat="1" ht="13.5">
      <c r="A34" s="1009">
        <v>9</v>
      </c>
      <c r="B34" s="1212" t="s">
        <v>3019</v>
      </c>
      <c r="C34" s="1213">
        <v>0</v>
      </c>
      <c r="D34" s="1013" t="s">
        <v>92</v>
      </c>
      <c r="E34" s="847"/>
      <c r="F34" s="1013"/>
      <c r="G34" s="847"/>
      <c r="H34" s="1013"/>
      <c r="I34" s="847"/>
      <c r="J34" s="1013"/>
      <c r="K34" s="847"/>
      <c r="L34" s="1013"/>
      <c r="M34" s="1013"/>
      <c r="N34" s="1013"/>
      <c r="O34" s="847"/>
      <c r="P34" s="1013"/>
      <c r="Q34" s="1013"/>
      <c r="R34" s="847"/>
      <c r="S34" s="847"/>
      <c r="T34" s="1013"/>
      <c r="U34" s="1013"/>
      <c r="V34" s="1013"/>
      <c r="W34" s="1013"/>
      <c r="X34" s="1013"/>
      <c r="Y34" s="1013"/>
      <c r="Z34" s="1013"/>
      <c r="AA34" s="1013"/>
      <c r="AB34" s="1013"/>
      <c r="AC34" s="1013"/>
      <c r="AD34" s="1013"/>
      <c r="AE34" s="1013"/>
      <c r="AF34" s="1013"/>
      <c r="AG34" s="1013"/>
      <c r="AH34" s="1013"/>
      <c r="AI34" s="1013"/>
      <c r="AJ34" s="1013"/>
      <c r="AK34" s="1013"/>
      <c r="AL34" s="1013"/>
      <c r="AM34" s="1013"/>
      <c r="AN34" s="1013"/>
      <c r="AO34" s="1013"/>
      <c r="AP34" s="1013"/>
      <c r="AQ34" s="1013"/>
      <c r="AR34" s="1013"/>
      <c r="AS34" s="1013"/>
      <c r="AT34" s="1013"/>
      <c r="AU34" s="1013"/>
      <c r="AV34" s="1013"/>
      <c r="AW34" s="1013"/>
      <c r="AX34" s="1013"/>
      <c r="AY34" s="1013"/>
      <c r="AZ34" s="1013"/>
      <c r="BA34" s="1013"/>
      <c r="BB34" s="1013"/>
      <c r="BC34" s="1013"/>
      <c r="BD34" s="1013"/>
      <c r="BE34" s="1013"/>
      <c r="BF34" s="1013"/>
      <c r="BG34" s="1013"/>
      <c r="BH34" s="1013"/>
      <c r="BI34" s="1013"/>
      <c r="BJ34" s="1013"/>
      <c r="BK34" s="1013"/>
      <c r="BL34" s="1013"/>
      <c r="BM34" s="1013"/>
      <c r="BN34" s="1013"/>
      <c r="BO34" s="1013"/>
      <c r="BP34" s="1013"/>
      <c r="BQ34" s="1013"/>
      <c r="BR34" s="1013"/>
      <c r="BS34" s="1013"/>
      <c r="BT34" s="1013"/>
      <c r="BU34" s="1013"/>
      <c r="BV34" s="1013"/>
      <c r="BW34" s="1013"/>
      <c r="BX34" s="1013"/>
      <c r="BY34" s="1013"/>
      <c r="BZ34" s="1013"/>
      <c r="CA34" s="1013"/>
      <c r="CB34" s="1013"/>
      <c r="CC34" s="1013"/>
      <c r="CD34" s="1013"/>
      <c r="CE34" s="1013"/>
      <c r="CF34" s="1013"/>
      <c r="CG34" s="1013"/>
      <c r="CH34" s="1013"/>
      <c r="CI34" s="1013"/>
      <c r="CJ34" s="1013"/>
      <c r="CK34" s="1013"/>
      <c r="CL34" s="1013"/>
      <c r="CM34" s="1013"/>
      <c r="CN34" s="1013"/>
      <c r="CO34" s="1013"/>
      <c r="CP34" s="1013"/>
      <c r="CQ34" s="1013"/>
      <c r="CR34" s="1013"/>
      <c r="CS34" s="1013"/>
      <c r="CT34" s="1013"/>
      <c r="CU34" s="1013"/>
      <c r="CV34" s="1013"/>
      <c r="CW34" s="1013"/>
      <c r="CX34" s="1013"/>
      <c r="CY34" s="1013"/>
      <c r="CZ34" s="1013"/>
      <c r="DA34" s="1013"/>
      <c r="DB34" s="1013"/>
      <c r="DC34" s="1013"/>
      <c r="DD34" s="1013"/>
      <c r="DE34" s="1013"/>
      <c r="DF34" s="1013"/>
      <c r="DG34" s="1013"/>
      <c r="DH34" s="1013"/>
      <c r="DI34" s="1013"/>
      <c r="DJ34" s="1013"/>
      <c r="DK34" s="1013"/>
      <c r="DL34" s="1013"/>
      <c r="DM34" s="1214"/>
      <c r="DN34" s="1222"/>
      <c r="DO34" s="1013"/>
      <c r="DP34" s="847"/>
      <c r="DQ34" s="1013"/>
      <c r="DR34" s="1225"/>
      <c r="DS34" s="1013"/>
      <c r="DT34" s="1225"/>
      <c r="DU34" s="1214"/>
      <c r="DV34" s="1226"/>
      <c r="DW34" s="1227"/>
      <c r="DX34" s="1222"/>
      <c r="DY34" s="847"/>
      <c r="DZ34" s="847"/>
      <c r="EA34" s="847"/>
      <c r="EB34" s="847"/>
      <c r="EC34" s="847"/>
      <c r="ED34" s="847"/>
      <c r="EE34" s="847"/>
      <c r="EF34" s="847"/>
      <c r="EG34" s="1212"/>
      <c r="EH34" s="847"/>
      <c r="EI34" s="1212"/>
      <c r="EJ34" s="1101"/>
      <c r="EK34" s="1101" t="e">
        <v>#REF!</v>
      </c>
    </row>
    <row r="35" spans="1:141" s="733" customFormat="1" ht="13.5">
      <c r="A35" s="1009"/>
      <c r="B35" s="1212" t="s">
        <v>2066</v>
      </c>
      <c r="C35" s="1213">
        <v>0</v>
      </c>
      <c r="D35" s="1013" t="s">
        <v>92</v>
      </c>
      <c r="E35" s="847"/>
      <c r="F35" s="1013"/>
      <c r="G35" s="847"/>
      <c r="H35" s="1013"/>
      <c r="I35" s="847"/>
      <c r="J35" s="1013"/>
      <c r="K35" s="847"/>
      <c r="L35" s="1013"/>
      <c r="M35" s="1013"/>
      <c r="N35" s="1013"/>
      <c r="O35" s="847"/>
      <c r="P35" s="1013"/>
      <c r="Q35" s="1013"/>
      <c r="R35" s="847"/>
      <c r="S35" s="847"/>
      <c r="T35" s="1013"/>
      <c r="U35" s="1013"/>
      <c r="V35" s="1013"/>
      <c r="W35" s="1013"/>
      <c r="X35" s="1013"/>
      <c r="Y35" s="1013"/>
      <c r="Z35" s="1013"/>
      <c r="AA35" s="1013"/>
      <c r="AB35" s="1013"/>
      <c r="AC35" s="1013"/>
      <c r="AD35" s="1013"/>
      <c r="AE35" s="1013"/>
      <c r="AF35" s="1013"/>
      <c r="AG35" s="1013"/>
      <c r="AH35" s="1013"/>
      <c r="AI35" s="1013"/>
      <c r="AJ35" s="1013"/>
      <c r="AK35" s="1013"/>
      <c r="AL35" s="1013"/>
      <c r="AM35" s="1013"/>
      <c r="AN35" s="1013"/>
      <c r="AO35" s="1013"/>
      <c r="AP35" s="1013"/>
      <c r="AQ35" s="1013"/>
      <c r="AR35" s="1013"/>
      <c r="AS35" s="1013"/>
      <c r="AT35" s="1013"/>
      <c r="AU35" s="1013"/>
      <c r="AV35" s="1013"/>
      <c r="AW35" s="1013"/>
      <c r="AX35" s="1013"/>
      <c r="AY35" s="1013"/>
      <c r="AZ35" s="1013"/>
      <c r="BA35" s="1013"/>
      <c r="BB35" s="1013"/>
      <c r="BC35" s="1013"/>
      <c r="BD35" s="1013"/>
      <c r="BE35" s="1013"/>
      <c r="BF35" s="1013"/>
      <c r="BG35" s="1013"/>
      <c r="BH35" s="1013"/>
      <c r="BI35" s="1013"/>
      <c r="BJ35" s="1013"/>
      <c r="BK35" s="1013"/>
      <c r="BL35" s="1013"/>
      <c r="BM35" s="1013"/>
      <c r="BN35" s="1013"/>
      <c r="BO35" s="1013"/>
      <c r="BP35" s="1013"/>
      <c r="BQ35" s="1013"/>
      <c r="BR35" s="1013"/>
      <c r="BS35" s="1013"/>
      <c r="BT35" s="1013"/>
      <c r="BU35" s="1013"/>
      <c r="BV35" s="1013"/>
      <c r="BW35" s="1013"/>
      <c r="BX35" s="1013"/>
      <c r="BY35" s="1013"/>
      <c r="BZ35" s="1013"/>
      <c r="CA35" s="1013"/>
      <c r="CB35" s="1013"/>
      <c r="CC35" s="1013"/>
      <c r="CD35" s="1013"/>
      <c r="CE35" s="1013"/>
      <c r="CF35" s="1013"/>
      <c r="CG35" s="1013"/>
      <c r="CH35" s="1013"/>
      <c r="CI35" s="1013"/>
      <c r="CJ35" s="1013"/>
      <c r="CK35" s="1013"/>
      <c r="CL35" s="1013"/>
      <c r="CM35" s="1013"/>
      <c r="CN35" s="1013"/>
      <c r="CO35" s="1013"/>
      <c r="CP35" s="1013"/>
      <c r="CQ35" s="1013"/>
      <c r="CR35" s="1013"/>
      <c r="CS35" s="1013"/>
      <c r="CT35" s="1013"/>
      <c r="CU35" s="1013"/>
      <c r="CV35" s="1013"/>
      <c r="CW35" s="1013"/>
      <c r="CX35" s="1013"/>
      <c r="CY35" s="1013"/>
      <c r="CZ35" s="1013"/>
      <c r="DA35" s="1013"/>
      <c r="DB35" s="1013"/>
      <c r="DC35" s="1013"/>
      <c r="DD35" s="1013"/>
      <c r="DE35" s="1013"/>
      <c r="DF35" s="1013"/>
      <c r="DG35" s="1013"/>
      <c r="DH35" s="1013"/>
      <c r="DI35" s="1013"/>
      <c r="DJ35" s="1013"/>
      <c r="DK35" s="1013"/>
      <c r="DL35" s="1013"/>
      <c r="DM35" s="1214"/>
      <c r="DN35" s="1230">
        <f>'Lead &amp; ANALYSIS'!G1487/9.3+'Lead &amp; ANALYSIS'!G1487*2%/9.3</f>
        <v>0.16999999999999998</v>
      </c>
      <c r="DO35" s="1013">
        <f>ROUND(C35*DN35,4)</f>
        <v>0</v>
      </c>
      <c r="DP35" s="847"/>
      <c r="DQ35" s="1013"/>
      <c r="DR35" s="1225"/>
      <c r="DS35" s="1013"/>
      <c r="DT35" s="1225"/>
      <c r="DU35" s="1214"/>
      <c r="DV35" s="1226"/>
      <c r="DW35" s="1227"/>
      <c r="DX35" s="1222"/>
      <c r="DY35" s="847"/>
      <c r="DZ35" s="847"/>
      <c r="EA35" s="847"/>
      <c r="EB35" s="847"/>
      <c r="EC35" s="847"/>
      <c r="ED35" s="847"/>
      <c r="EE35" s="847"/>
      <c r="EF35" s="847"/>
      <c r="EG35" s="1212"/>
      <c r="EH35" s="847"/>
      <c r="EI35" s="1212"/>
      <c r="EJ35" s="1101">
        <f>DO35*200+DQ35*220+DS35*240+DU35*260</f>
        <v>0</v>
      </c>
      <c r="EK35" s="1101">
        <v>38.130000000000003</v>
      </c>
    </row>
    <row r="36" spans="1:141" s="733" customFormat="1" ht="13.5">
      <c r="A36" s="1009"/>
      <c r="B36" s="1212" t="s">
        <v>2067</v>
      </c>
      <c r="C36" s="1213">
        <v>0</v>
      </c>
      <c r="D36" s="1013" t="s">
        <v>92</v>
      </c>
      <c r="E36" s="847"/>
      <c r="F36" s="1013"/>
      <c r="G36" s="847"/>
      <c r="H36" s="1013"/>
      <c r="I36" s="847"/>
      <c r="J36" s="1013"/>
      <c r="K36" s="847"/>
      <c r="L36" s="1013"/>
      <c r="M36" s="1013"/>
      <c r="N36" s="1013"/>
      <c r="O36" s="847"/>
      <c r="P36" s="1013"/>
      <c r="Q36" s="1013"/>
      <c r="R36" s="847"/>
      <c r="S36" s="847"/>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c r="AO36" s="1013"/>
      <c r="AP36" s="1013"/>
      <c r="AQ36" s="1013"/>
      <c r="AR36" s="1013"/>
      <c r="AS36" s="1013"/>
      <c r="AT36" s="1013"/>
      <c r="AU36" s="1013"/>
      <c r="AV36" s="1013"/>
      <c r="AW36" s="1013"/>
      <c r="AX36" s="1013"/>
      <c r="AY36" s="1013"/>
      <c r="AZ36" s="1013"/>
      <c r="BA36" s="1013"/>
      <c r="BB36" s="1013"/>
      <c r="BC36" s="1013"/>
      <c r="BD36" s="1013"/>
      <c r="BE36" s="1013"/>
      <c r="BF36" s="1013"/>
      <c r="BG36" s="1013"/>
      <c r="BH36" s="1013"/>
      <c r="BI36" s="1013"/>
      <c r="BJ36" s="1013"/>
      <c r="BK36" s="1013"/>
      <c r="BL36" s="1013"/>
      <c r="BM36" s="1013"/>
      <c r="BN36" s="1013"/>
      <c r="BO36" s="1013"/>
      <c r="BP36" s="1013"/>
      <c r="BQ36" s="1013"/>
      <c r="BR36" s="1013"/>
      <c r="BS36" s="1013"/>
      <c r="BT36" s="1013"/>
      <c r="BU36" s="1013"/>
      <c r="BV36" s="1013"/>
      <c r="BW36" s="1013"/>
      <c r="BX36" s="1013"/>
      <c r="BY36" s="1013"/>
      <c r="BZ36" s="1013"/>
      <c r="CA36" s="1013"/>
      <c r="CB36" s="1013"/>
      <c r="CC36" s="1013"/>
      <c r="CD36" s="1013"/>
      <c r="CE36" s="1013"/>
      <c r="CF36" s="1013"/>
      <c r="CG36" s="1013"/>
      <c r="CH36" s="1013"/>
      <c r="CI36" s="1013"/>
      <c r="CJ36" s="1013"/>
      <c r="CK36" s="1013"/>
      <c r="CL36" s="1013"/>
      <c r="CM36" s="1013"/>
      <c r="CN36" s="1013"/>
      <c r="CO36" s="1013"/>
      <c r="CP36" s="1013"/>
      <c r="CQ36" s="1013"/>
      <c r="CR36" s="1013"/>
      <c r="CS36" s="1013"/>
      <c r="CT36" s="1013"/>
      <c r="CU36" s="1013"/>
      <c r="CV36" s="1013"/>
      <c r="CW36" s="1013"/>
      <c r="CX36" s="1013"/>
      <c r="CY36" s="1013"/>
      <c r="CZ36" s="1013"/>
      <c r="DA36" s="1013"/>
      <c r="DB36" s="1013"/>
      <c r="DC36" s="1013"/>
      <c r="DD36" s="1013"/>
      <c r="DE36" s="1013"/>
      <c r="DF36" s="1013"/>
      <c r="DG36" s="1013"/>
      <c r="DH36" s="1013"/>
      <c r="DI36" s="1013"/>
      <c r="DJ36" s="1013"/>
      <c r="DK36" s="1013"/>
      <c r="DL36" s="1013"/>
      <c r="DM36" s="1214"/>
      <c r="DN36" s="1222">
        <f>DN35+('Lead &amp; ANALYSIS'!G1487*5%/9.3)</f>
        <v>0.17833333333333332</v>
      </c>
      <c r="DO36" s="1013">
        <f>ROUND(C36*DN36,4)</f>
        <v>0</v>
      </c>
      <c r="DP36" s="847"/>
      <c r="DQ36" s="1013"/>
      <c r="DR36" s="1225"/>
      <c r="DS36" s="1013"/>
      <c r="DT36" s="1225"/>
      <c r="DU36" s="1214"/>
      <c r="DV36" s="1226"/>
      <c r="DW36" s="1227"/>
      <c r="DX36" s="1222"/>
      <c r="DY36" s="847"/>
      <c r="DZ36" s="847"/>
      <c r="EA36" s="847"/>
      <c r="EB36" s="847"/>
      <c r="EC36" s="847"/>
      <c r="ED36" s="847"/>
      <c r="EE36" s="847"/>
      <c r="EF36" s="847"/>
      <c r="EG36" s="1212"/>
      <c r="EH36" s="847"/>
      <c r="EI36" s="1212"/>
      <c r="EJ36" s="1101">
        <f>DO36*200+DQ36*220+DS36*240+DU36*260</f>
        <v>0</v>
      </c>
      <c r="EK36" s="1101">
        <v>40</v>
      </c>
    </row>
    <row r="37" spans="1:141" s="733" customFormat="1" ht="13.5">
      <c r="A37" s="1009">
        <v>10</v>
      </c>
      <c r="B37" s="1212" t="s">
        <v>3020</v>
      </c>
      <c r="C37" s="1213">
        <v>0</v>
      </c>
      <c r="D37" s="1013" t="s">
        <v>49</v>
      </c>
      <c r="E37" s="847"/>
      <c r="F37" s="1013"/>
      <c r="G37" s="847"/>
      <c r="H37" s="1013"/>
      <c r="I37" s="847"/>
      <c r="J37" s="1013"/>
      <c r="K37" s="847"/>
      <c r="L37" s="1013"/>
      <c r="M37" s="1013"/>
      <c r="N37" s="1013"/>
      <c r="O37" s="847"/>
      <c r="P37" s="1013"/>
      <c r="Q37" s="1013"/>
      <c r="R37" s="847"/>
      <c r="S37" s="847"/>
      <c r="T37" s="1013"/>
      <c r="U37" s="1013"/>
      <c r="V37" s="1013"/>
      <c r="W37" s="1013"/>
      <c r="X37" s="1013"/>
      <c r="Y37" s="1013"/>
      <c r="Z37" s="1013"/>
      <c r="AA37" s="1013"/>
      <c r="AB37" s="1013"/>
      <c r="AC37" s="1013"/>
      <c r="AD37" s="1013"/>
      <c r="AE37" s="1013"/>
      <c r="AF37" s="1013"/>
      <c r="AG37" s="1013"/>
      <c r="AH37" s="1013"/>
      <c r="AI37" s="1013"/>
      <c r="AJ37" s="1013"/>
      <c r="AK37" s="1013"/>
      <c r="AL37" s="1013"/>
      <c r="AM37" s="1013"/>
      <c r="AN37" s="1013"/>
      <c r="AO37" s="1013"/>
      <c r="AP37" s="1013"/>
      <c r="AQ37" s="1013"/>
      <c r="AR37" s="1013"/>
      <c r="AS37" s="1013"/>
      <c r="AT37" s="1013"/>
      <c r="AU37" s="1013"/>
      <c r="AV37" s="1013"/>
      <c r="AW37" s="1013"/>
      <c r="AX37" s="1013"/>
      <c r="AY37" s="1013"/>
      <c r="AZ37" s="1013"/>
      <c r="BA37" s="1013"/>
      <c r="BB37" s="1013"/>
      <c r="BC37" s="1013"/>
      <c r="BD37" s="1013"/>
      <c r="BE37" s="1013"/>
      <c r="BF37" s="1013"/>
      <c r="BG37" s="1013"/>
      <c r="BH37" s="1013"/>
      <c r="BI37" s="1013"/>
      <c r="BJ37" s="1013"/>
      <c r="BK37" s="1013"/>
      <c r="BL37" s="1013"/>
      <c r="BM37" s="1013"/>
      <c r="BN37" s="1013"/>
      <c r="BO37" s="1013"/>
      <c r="BP37" s="1013"/>
      <c r="BQ37" s="1013"/>
      <c r="BR37" s="1013"/>
      <c r="BS37" s="1013"/>
      <c r="BT37" s="1013"/>
      <c r="BU37" s="1013"/>
      <c r="BV37" s="1013"/>
      <c r="BW37" s="1013"/>
      <c r="BX37" s="1013"/>
      <c r="BY37" s="1013"/>
      <c r="BZ37" s="1013"/>
      <c r="CA37" s="1013"/>
      <c r="CB37" s="1013"/>
      <c r="CC37" s="1013"/>
      <c r="CD37" s="1013"/>
      <c r="CE37" s="1013"/>
      <c r="CF37" s="1013"/>
      <c r="CG37" s="1013"/>
      <c r="CH37" s="1013"/>
      <c r="CI37" s="1013"/>
      <c r="CJ37" s="1013"/>
      <c r="CK37" s="1013"/>
      <c r="CL37" s="1013"/>
      <c r="CM37" s="1013"/>
      <c r="CN37" s="1013"/>
      <c r="CO37" s="1013"/>
      <c r="CP37" s="1013"/>
      <c r="CQ37" s="1013"/>
      <c r="CR37" s="1013"/>
      <c r="CS37" s="1013"/>
      <c r="CT37" s="1013"/>
      <c r="CU37" s="1013"/>
      <c r="CV37" s="1013"/>
      <c r="CW37" s="1013"/>
      <c r="CX37" s="1013"/>
      <c r="CY37" s="1013"/>
      <c r="CZ37" s="1013"/>
      <c r="DA37" s="1013"/>
      <c r="DB37" s="1013"/>
      <c r="DC37" s="1013"/>
      <c r="DD37" s="1013"/>
      <c r="DE37" s="1013"/>
      <c r="DF37" s="1013"/>
      <c r="DG37" s="1013"/>
      <c r="DH37" s="1013"/>
      <c r="DI37" s="1013"/>
      <c r="DJ37" s="1013"/>
      <c r="DK37" s="1013"/>
      <c r="DL37" s="1013"/>
      <c r="DM37" s="1214"/>
      <c r="DN37" s="1222"/>
      <c r="DO37" s="1013"/>
      <c r="DP37" s="847"/>
      <c r="DQ37" s="1013"/>
      <c r="DR37" s="1225"/>
      <c r="DS37" s="1013"/>
      <c r="DT37" s="1225"/>
      <c r="DU37" s="1214"/>
      <c r="DV37" s="1226"/>
      <c r="DW37" s="1227"/>
      <c r="DX37" s="1222"/>
      <c r="DY37" s="847"/>
      <c r="DZ37" s="847"/>
      <c r="EA37" s="847"/>
      <c r="EB37" s="847"/>
      <c r="EC37" s="847"/>
      <c r="ED37" s="847"/>
      <c r="EE37" s="847"/>
      <c r="EF37" s="847"/>
      <c r="EG37" s="1212"/>
      <c r="EH37" s="847"/>
      <c r="EI37" s="1212"/>
      <c r="EJ37" s="1101"/>
      <c r="EK37" s="1101" t="e">
        <v>#REF!</v>
      </c>
    </row>
    <row r="38" spans="1:141" s="733" customFormat="1" ht="13.5">
      <c r="A38" s="1009"/>
      <c r="B38" s="1212" t="s">
        <v>2066</v>
      </c>
      <c r="C38" s="1213">
        <v>0</v>
      </c>
      <c r="D38" s="1013" t="s">
        <v>49</v>
      </c>
      <c r="E38" s="847"/>
      <c r="F38" s="1013"/>
      <c r="G38" s="847"/>
      <c r="H38" s="1013"/>
      <c r="I38" s="847"/>
      <c r="J38" s="1013"/>
      <c r="K38" s="847"/>
      <c r="L38" s="1013"/>
      <c r="M38" s="1013"/>
      <c r="N38" s="1013"/>
      <c r="O38" s="847"/>
      <c r="P38" s="1013"/>
      <c r="Q38" s="1013"/>
      <c r="R38" s="847"/>
      <c r="S38" s="847"/>
      <c r="T38" s="1013"/>
      <c r="U38" s="1013"/>
      <c r="V38" s="1013"/>
      <c r="W38" s="1013"/>
      <c r="X38" s="1013"/>
      <c r="Y38" s="1013"/>
      <c r="Z38" s="1013"/>
      <c r="AA38" s="1013"/>
      <c r="AB38" s="1013"/>
      <c r="AC38" s="1013"/>
      <c r="AD38" s="1013"/>
      <c r="AE38" s="1013"/>
      <c r="AF38" s="1013"/>
      <c r="AG38" s="1013"/>
      <c r="AH38" s="1013"/>
      <c r="AI38" s="1013"/>
      <c r="AJ38" s="1013"/>
      <c r="AK38" s="1013"/>
      <c r="AL38" s="1013"/>
      <c r="AM38" s="1013"/>
      <c r="AN38" s="1013"/>
      <c r="AO38" s="1013"/>
      <c r="AP38" s="1013"/>
      <c r="AQ38" s="1013"/>
      <c r="AR38" s="1013"/>
      <c r="AS38" s="1013"/>
      <c r="AT38" s="1013"/>
      <c r="AU38" s="1013"/>
      <c r="AV38" s="1013"/>
      <c r="AW38" s="1013"/>
      <c r="AX38" s="1013"/>
      <c r="AY38" s="1013"/>
      <c r="AZ38" s="1013"/>
      <c r="BA38" s="1013"/>
      <c r="BB38" s="1013"/>
      <c r="BC38" s="1013"/>
      <c r="BD38" s="1013"/>
      <c r="BE38" s="1013"/>
      <c r="BF38" s="1013"/>
      <c r="BG38" s="1013"/>
      <c r="BH38" s="1013"/>
      <c r="BI38" s="1013"/>
      <c r="BJ38" s="1013"/>
      <c r="BK38" s="1013"/>
      <c r="BL38" s="1013"/>
      <c r="BM38" s="1013"/>
      <c r="BN38" s="1013"/>
      <c r="BO38" s="1013"/>
      <c r="BP38" s="1013"/>
      <c r="BQ38" s="1013"/>
      <c r="BR38" s="1013"/>
      <c r="BS38" s="1013"/>
      <c r="BT38" s="1013"/>
      <c r="BU38" s="1013"/>
      <c r="BV38" s="1013"/>
      <c r="BW38" s="1013"/>
      <c r="BX38" s="1013"/>
      <c r="BY38" s="1013"/>
      <c r="BZ38" s="1013"/>
      <c r="CA38" s="1013"/>
      <c r="CB38" s="1013"/>
      <c r="CC38" s="1013"/>
      <c r="CD38" s="1013"/>
      <c r="CE38" s="1013"/>
      <c r="CF38" s="1013"/>
      <c r="CG38" s="1013"/>
      <c r="CH38" s="1013"/>
      <c r="CI38" s="1013"/>
      <c r="CJ38" s="1013"/>
      <c r="CK38" s="1013"/>
      <c r="CL38" s="1013"/>
      <c r="CM38" s="1013"/>
      <c r="CN38" s="1013"/>
      <c r="CO38" s="1013"/>
      <c r="CP38" s="1013"/>
      <c r="CQ38" s="1013"/>
      <c r="CR38" s="1013"/>
      <c r="CS38" s="1013"/>
      <c r="CT38" s="1013"/>
      <c r="CU38" s="1013"/>
      <c r="CV38" s="1013"/>
      <c r="CW38" s="1013"/>
      <c r="CX38" s="1013"/>
      <c r="CY38" s="1013"/>
      <c r="CZ38" s="1013"/>
      <c r="DA38" s="1013"/>
      <c r="DB38" s="1013"/>
      <c r="DC38" s="1013"/>
      <c r="DD38" s="1013"/>
      <c r="DE38" s="1013"/>
      <c r="DF38" s="1013"/>
      <c r="DG38" s="1013"/>
      <c r="DH38" s="1013"/>
      <c r="DI38" s="1013"/>
      <c r="DJ38" s="1013"/>
      <c r="DK38" s="1013"/>
      <c r="DL38" s="1013"/>
      <c r="DM38" s="1214"/>
      <c r="DN38" s="1231">
        <f>'Lead &amp; ANALYSIS'!G1509+'Lead &amp; ANALYSIS'!G1509*2%</f>
        <v>1.6320000000000001</v>
      </c>
      <c r="DO38" s="1013">
        <f>ROUND(C38*DN38,4)</f>
        <v>0</v>
      </c>
      <c r="DP38" s="847"/>
      <c r="DQ38" s="1013"/>
      <c r="DR38" s="1225"/>
      <c r="DS38" s="1013"/>
      <c r="DT38" s="1225"/>
      <c r="DU38" s="1214"/>
      <c r="DV38" s="1226"/>
      <c r="DW38" s="1227"/>
      <c r="DX38" s="1222"/>
      <c r="DY38" s="847"/>
      <c r="DZ38" s="847"/>
      <c r="EA38" s="847"/>
      <c r="EB38" s="847"/>
      <c r="EC38" s="847"/>
      <c r="ED38" s="847"/>
      <c r="EE38" s="847"/>
      <c r="EF38" s="847"/>
      <c r="EG38" s="1212"/>
      <c r="EH38" s="847"/>
      <c r="EI38" s="1212"/>
      <c r="EJ38" s="1101">
        <f>DO38*200+DQ38*220+DS38*240+DU38*260</f>
        <v>0</v>
      </c>
      <c r="EK38" s="1101">
        <v>366.06</v>
      </c>
    </row>
    <row r="39" spans="1:141" s="733" customFormat="1" ht="13.5">
      <c r="A39" s="1009"/>
      <c r="B39" s="1212" t="s">
        <v>2067</v>
      </c>
      <c r="C39" s="1213">
        <v>0</v>
      </c>
      <c r="D39" s="1013" t="s">
        <v>49</v>
      </c>
      <c r="E39" s="847"/>
      <c r="F39" s="1013"/>
      <c r="G39" s="847"/>
      <c r="H39" s="1013"/>
      <c r="I39" s="847"/>
      <c r="J39" s="1013"/>
      <c r="K39" s="847"/>
      <c r="L39" s="1013"/>
      <c r="M39" s="1013"/>
      <c r="N39" s="1013"/>
      <c r="O39" s="847"/>
      <c r="P39" s="1013"/>
      <c r="Q39" s="1013"/>
      <c r="R39" s="847"/>
      <c r="S39" s="847"/>
      <c r="T39" s="1013"/>
      <c r="U39" s="1013"/>
      <c r="V39" s="1013"/>
      <c r="W39" s="1013"/>
      <c r="X39" s="1013"/>
      <c r="Y39" s="1013"/>
      <c r="Z39" s="1013"/>
      <c r="AA39" s="1013"/>
      <c r="AB39" s="1013"/>
      <c r="AC39" s="1013"/>
      <c r="AD39" s="1013"/>
      <c r="AE39" s="1013"/>
      <c r="AF39" s="1013"/>
      <c r="AG39" s="1013"/>
      <c r="AH39" s="1013"/>
      <c r="AI39" s="1013"/>
      <c r="AJ39" s="1013"/>
      <c r="AK39" s="1013"/>
      <c r="AL39" s="1013"/>
      <c r="AM39" s="1013"/>
      <c r="AN39" s="1013"/>
      <c r="AO39" s="1013"/>
      <c r="AP39" s="1013"/>
      <c r="AQ39" s="1013"/>
      <c r="AR39" s="1013"/>
      <c r="AS39" s="1013"/>
      <c r="AT39" s="1013"/>
      <c r="AU39" s="1013"/>
      <c r="AV39" s="1013"/>
      <c r="AW39" s="1013"/>
      <c r="AX39" s="1013"/>
      <c r="AY39" s="1013"/>
      <c r="AZ39" s="1013"/>
      <c r="BA39" s="1013"/>
      <c r="BB39" s="1013"/>
      <c r="BC39" s="1013"/>
      <c r="BD39" s="1013"/>
      <c r="BE39" s="1013"/>
      <c r="BF39" s="1013"/>
      <c r="BG39" s="1013"/>
      <c r="BH39" s="1013"/>
      <c r="BI39" s="1013"/>
      <c r="BJ39" s="1013"/>
      <c r="BK39" s="1013"/>
      <c r="BL39" s="1013"/>
      <c r="BM39" s="1013"/>
      <c r="BN39" s="1013"/>
      <c r="BO39" s="1013"/>
      <c r="BP39" s="1013"/>
      <c r="BQ39" s="1013"/>
      <c r="BR39" s="1013"/>
      <c r="BS39" s="1013"/>
      <c r="BT39" s="1013"/>
      <c r="BU39" s="1013"/>
      <c r="BV39" s="1013"/>
      <c r="BW39" s="1013"/>
      <c r="BX39" s="1013"/>
      <c r="BY39" s="1013"/>
      <c r="BZ39" s="1013"/>
      <c r="CA39" s="1013"/>
      <c r="CB39" s="1013"/>
      <c r="CC39" s="1013"/>
      <c r="CD39" s="1013"/>
      <c r="CE39" s="1013"/>
      <c r="CF39" s="1013"/>
      <c r="CG39" s="1013"/>
      <c r="CH39" s="1013"/>
      <c r="CI39" s="1013"/>
      <c r="CJ39" s="1013"/>
      <c r="CK39" s="1013"/>
      <c r="CL39" s="1013"/>
      <c r="CM39" s="1013"/>
      <c r="CN39" s="1013"/>
      <c r="CO39" s="1013"/>
      <c r="CP39" s="1013"/>
      <c r="CQ39" s="1013"/>
      <c r="CR39" s="1013"/>
      <c r="CS39" s="1013"/>
      <c r="CT39" s="1013"/>
      <c r="CU39" s="1013"/>
      <c r="CV39" s="1013"/>
      <c r="CW39" s="1013"/>
      <c r="CX39" s="1013"/>
      <c r="CY39" s="1013"/>
      <c r="CZ39" s="1013"/>
      <c r="DA39" s="1013"/>
      <c r="DB39" s="1013"/>
      <c r="DC39" s="1013"/>
      <c r="DD39" s="1013"/>
      <c r="DE39" s="1013"/>
      <c r="DF39" s="1013"/>
      <c r="DG39" s="1013"/>
      <c r="DH39" s="1013"/>
      <c r="DI39" s="1013"/>
      <c r="DJ39" s="1013"/>
      <c r="DK39" s="1013"/>
      <c r="DL39" s="1013"/>
      <c r="DM39" s="1214"/>
      <c r="DN39" s="1231">
        <f>DN38+('Lead &amp; ANALYSIS'!G1509*5%)</f>
        <v>1.7120000000000002</v>
      </c>
      <c r="DO39" s="1013">
        <f>ROUND(C39*DN39,4)</f>
        <v>0</v>
      </c>
      <c r="DP39" s="847"/>
      <c r="DQ39" s="1013"/>
      <c r="DR39" s="1225"/>
      <c r="DS39" s="1013"/>
      <c r="DT39" s="1225"/>
      <c r="DU39" s="1214"/>
      <c r="DV39" s="1226"/>
      <c r="DW39" s="1227"/>
      <c r="DX39" s="1222"/>
      <c r="DY39" s="847"/>
      <c r="DZ39" s="847"/>
      <c r="EA39" s="847"/>
      <c r="EB39" s="847"/>
      <c r="EC39" s="847"/>
      <c r="ED39" s="847"/>
      <c r="EE39" s="847"/>
      <c r="EF39" s="847"/>
      <c r="EG39" s="1212"/>
      <c r="EH39" s="847"/>
      <c r="EI39" s="1212"/>
      <c r="EJ39" s="1101">
        <f>DO39*200+DQ39*220+DS39*240+DU39*260</f>
        <v>0</v>
      </c>
      <c r="EK39" s="1101">
        <v>384</v>
      </c>
    </row>
    <row r="40" spans="1:141" s="733" customFormat="1" ht="13.5">
      <c r="A40" s="1009">
        <v>11</v>
      </c>
      <c r="B40" s="1212" t="s">
        <v>3021</v>
      </c>
      <c r="C40" s="1213">
        <v>0</v>
      </c>
      <c r="D40" s="1013" t="s">
        <v>92</v>
      </c>
      <c r="E40" s="847"/>
      <c r="F40" s="1013"/>
      <c r="G40" s="847"/>
      <c r="H40" s="1013"/>
      <c r="I40" s="847"/>
      <c r="J40" s="1013"/>
      <c r="K40" s="847"/>
      <c r="L40" s="1013"/>
      <c r="M40" s="1013"/>
      <c r="N40" s="1013"/>
      <c r="O40" s="847"/>
      <c r="P40" s="1013"/>
      <c r="Q40" s="1013"/>
      <c r="R40" s="847"/>
      <c r="S40" s="847"/>
      <c r="T40" s="1013"/>
      <c r="U40" s="1013"/>
      <c r="V40" s="1013"/>
      <c r="W40" s="1013"/>
      <c r="X40" s="1013"/>
      <c r="Y40" s="1013"/>
      <c r="Z40" s="1013"/>
      <c r="AA40" s="1013"/>
      <c r="AB40" s="1013"/>
      <c r="AC40" s="1013"/>
      <c r="AD40" s="1013"/>
      <c r="AE40" s="1013"/>
      <c r="AF40" s="1013"/>
      <c r="AG40" s="1013"/>
      <c r="AH40" s="1013"/>
      <c r="AI40" s="1013"/>
      <c r="AJ40" s="1013"/>
      <c r="AK40" s="1013"/>
      <c r="AL40" s="1013"/>
      <c r="AM40" s="1013"/>
      <c r="AN40" s="1013"/>
      <c r="AO40" s="1013"/>
      <c r="AP40" s="1013"/>
      <c r="AQ40" s="1013"/>
      <c r="AR40" s="1013"/>
      <c r="AS40" s="1013"/>
      <c r="AT40" s="1013"/>
      <c r="AU40" s="1013"/>
      <c r="AV40" s="1013"/>
      <c r="AW40" s="1013"/>
      <c r="AX40" s="1013"/>
      <c r="AY40" s="1013"/>
      <c r="AZ40" s="1013"/>
      <c r="BA40" s="1013"/>
      <c r="BB40" s="1013"/>
      <c r="BC40" s="1013"/>
      <c r="BD40" s="1013"/>
      <c r="BE40" s="1013"/>
      <c r="BF40" s="1013"/>
      <c r="BG40" s="1013"/>
      <c r="BH40" s="1013"/>
      <c r="BI40" s="1013"/>
      <c r="BJ40" s="1013"/>
      <c r="BK40" s="1013"/>
      <c r="BL40" s="1013"/>
      <c r="BM40" s="1013"/>
      <c r="BN40" s="1013"/>
      <c r="BO40" s="1013"/>
      <c r="BP40" s="1013"/>
      <c r="BQ40" s="1013"/>
      <c r="BR40" s="1013"/>
      <c r="BS40" s="1013"/>
      <c r="BT40" s="1013"/>
      <c r="BU40" s="1013"/>
      <c r="BV40" s="1013"/>
      <c r="BW40" s="1013"/>
      <c r="BX40" s="1013"/>
      <c r="BY40" s="1013"/>
      <c r="BZ40" s="1013"/>
      <c r="CA40" s="1013"/>
      <c r="CB40" s="1013"/>
      <c r="CC40" s="1013"/>
      <c r="CD40" s="1013"/>
      <c r="CE40" s="1013"/>
      <c r="CF40" s="1013"/>
      <c r="CG40" s="1013"/>
      <c r="CH40" s="1013"/>
      <c r="CI40" s="1013"/>
      <c r="CJ40" s="1013"/>
      <c r="CK40" s="1013"/>
      <c r="CL40" s="1013"/>
      <c r="CM40" s="1013"/>
      <c r="CN40" s="1013"/>
      <c r="CO40" s="1013"/>
      <c r="CP40" s="1013"/>
      <c r="CQ40" s="1013"/>
      <c r="CR40" s="1013"/>
      <c r="CS40" s="1013"/>
      <c r="CT40" s="1013"/>
      <c r="CU40" s="1013"/>
      <c r="CV40" s="1013"/>
      <c r="CW40" s="1013"/>
      <c r="CX40" s="1013"/>
      <c r="CY40" s="1013"/>
      <c r="CZ40" s="1013"/>
      <c r="DA40" s="1013"/>
      <c r="DB40" s="1013"/>
      <c r="DC40" s="1013"/>
      <c r="DD40" s="1013"/>
      <c r="DE40" s="1013"/>
      <c r="DF40" s="1013"/>
      <c r="DG40" s="1013"/>
      <c r="DH40" s="1013"/>
      <c r="DI40" s="1013"/>
      <c r="DJ40" s="1013"/>
      <c r="DK40" s="1013"/>
      <c r="DL40" s="1013"/>
      <c r="DM40" s="1214"/>
      <c r="DN40" s="1222"/>
      <c r="DO40" s="1013"/>
      <c r="DP40" s="847"/>
      <c r="DQ40" s="1013"/>
      <c r="DR40" s="1225"/>
      <c r="DS40" s="1013"/>
      <c r="DT40" s="1225"/>
      <c r="DU40" s="1214"/>
      <c r="DV40" s="1226"/>
      <c r="DW40" s="1227"/>
      <c r="DX40" s="1222"/>
      <c r="DY40" s="847"/>
      <c r="DZ40" s="847"/>
      <c r="EA40" s="847"/>
      <c r="EB40" s="847"/>
      <c r="EC40" s="847"/>
      <c r="ED40" s="847"/>
      <c r="EE40" s="847"/>
      <c r="EF40" s="847"/>
      <c r="EG40" s="1212"/>
      <c r="EH40" s="847"/>
      <c r="EI40" s="1212"/>
      <c r="EJ40" s="1101"/>
      <c r="EK40" s="1101" t="e">
        <v>#REF!</v>
      </c>
    </row>
    <row r="41" spans="1:141" s="733" customFormat="1" ht="13.5">
      <c r="A41" s="1009"/>
      <c r="B41" s="1212" t="s">
        <v>2066</v>
      </c>
      <c r="C41" s="1213">
        <v>0</v>
      </c>
      <c r="D41" s="1013" t="s">
        <v>92</v>
      </c>
      <c r="E41" s="847"/>
      <c r="F41" s="1013"/>
      <c r="G41" s="847"/>
      <c r="H41" s="1013"/>
      <c r="I41" s="847"/>
      <c r="J41" s="1013"/>
      <c r="K41" s="847"/>
      <c r="L41" s="1013"/>
      <c r="M41" s="1013"/>
      <c r="N41" s="1013"/>
      <c r="O41" s="847"/>
      <c r="P41" s="1013"/>
      <c r="Q41" s="1013"/>
      <c r="R41" s="847"/>
      <c r="S41" s="847"/>
      <c r="T41" s="1013"/>
      <c r="U41" s="1013"/>
      <c r="V41" s="1013"/>
      <c r="W41" s="1013"/>
      <c r="X41" s="1013"/>
      <c r="Y41" s="1013"/>
      <c r="Z41" s="1013"/>
      <c r="AA41" s="1013"/>
      <c r="AB41" s="1013"/>
      <c r="AC41" s="1013"/>
      <c r="AD41" s="1013"/>
      <c r="AE41" s="1013"/>
      <c r="AF41" s="1013"/>
      <c r="AG41" s="1013"/>
      <c r="AH41" s="1013"/>
      <c r="AI41" s="1013"/>
      <c r="AJ41" s="1013"/>
      <c r="AK41" s="1013"/>
      <c r="AL41" s="1013"/>
      <c r="AM41" s="1013"/>
      <c r="AN41" s="1013"/>
      <c r="AO41" s="1013"/>
      <c r="AP41" s="1013"/>
      <c r="AQ41" s="1013"/>
      <c r="AR41" s="1013"/>
      <c r="AS41" s="1013"/>
      <c r="AT41" s="1013"/>
      <c r="AU41" s="1013"/>
      <c r="AV41" s="1013"/>
      <c r="AW41" s="1013"/>
      <c r="AX41" s="1013"/>
      <c r="AY41" s="1013"/>
      <c r="AZ41" s="1013"/>
      <c r="BA41" s="1013"/>
      <c r="BB41" s="1013"/>
      <c r="BC41" s="1013"/>
      <c r="BD41" s="1013"/>
      <c r="BE41" s="1013"/>
      <c r="BF41" s="1013"/>
      <c r="BG41" s="1013"/>
      <c r="BH41" s="1013"/>
      <c r="BI41" s="1013"/>
      <c r="BJ41" s="1013"/>
      <c r="BK41" s="1013"/>
      <c r="BL41" s="1013"/>
      <c r="BM41" s="1013"/>
      <c r="BN41" s="1013"/>
      <c r="BO41" s="1013"/>
      <c r="BP41" s="1013"/>
      <c r="BQ41" s="1013"/>
      <c r="BR41" s="1013"/>
      <c r="BS41" s="1013"/>
      <c r="BT41" s="1013"/>
      <c r="BU41" s="1013"/>
      <c r="BV41" s="1013"/>
      <c r="BW41" s="1013"/>
      <c r="BX41" s="1013"/>
      <c r="BY41" s="1013"/>
      <c r="BZ41" s="1013"/>
      <c r="CA41" s="1013"/>
      <c r="CB41" s="1013"/>
      <c r="CC41" s="1013"/>
      <c r="CD41" s="1013"/>
      <c r="CE41" s="1013"/>
      <c r="CF41" s="1013"/>
      <c r="CG41" s="1013"/>
      <c r="CH41" s="1013"/>
      <c r="CI41" s="1013"/>
      <c r="CJ41" s="1013"/>
      <c r="CK41" s="1013"/>
      <c r="CL41" s="1013"/>
      <c r="CM41" s="1013"/>
      <c r="CN41" s="1013"/>
      <c r="CO41" s="1013"/>
      <c r="CP41" s="1013"/>
      <c r="CQ41" s="1013"/>
      <c r="CR41" s="1013"/>
      <c r="CS41" s="1013"/>
      <c r="CT41" s="1013"/>
      <c r="CU41" s="1013"/>
      <c r="CV41" s="1013"/>
      <c r="CW41" s="1013"/>
      <c r="CX41" s="1013"/>
      <c r="CY41" s="1013"/>
      <c r="CZ41" s="1013"/>
      <c r="DA41" s="1013"/>
      <c r="DB41" s="1013"/>
      <c r="DC41" s="1013"/>
      <c r="DD41" s="1013"/>
      <c r="DE41" s="1013"/>
      <c r="DF41" s="1013"/>
      <c r="DG41" s="1013"/>
      <c r="DH41" s="1013"/>
      <c r="DI41" s="1013"/>
      <c r="DJ41" s="1013"/>
      <c r="DK41" s="1013"/>
      <c r="DL41" s="1013"/>
      <c r="DM41" s="1214"/>
      <c r="DN41" s="1222">
        <f>'Lead &amp; ANALYSIS'!G1530/9.3+'Lead &amp; ANALYSIS'!G1530*2%/9.3</f>
        <v>0.38387096774193546</v>
      </c>
      <c r="DO41" s="1013">
        <f>ROUND(C41*DN41,4)</f>
        <v>0</v>
      </c>
      <c r="DP41" s="847"/>
      <c r="DQ41" s="1013"/>
      <c r="DR41" s="1225"/>
      <c r="DS41" s="1013"/>
      <c r="DT41" s="1225"/>
      <c r="DU41" s="1214"/>
      <c r="DV41" s="1226"/>
      <c r="DW41" s="1227"/>
      <c r="DX41" s="1222"/>
      <c r="DY41" s="847"/>
      <c r="DZ41" s="847"/>
      <c r="EA41" s="847"/>
      <c r="EB41" s="847"/>
      <c r="EC41" s="847"/>
      <c r="ED41" s="847"/>
      <c r="EE41" s="847"/>
      <c r="EF41" s="847"/>
      <c r="EG41" s="1212"/>
      <c r="EH41" s="847"/>
      <c r="EI41" s="1212"/>
      <c r="EJ41" s="1101">
        <f>DO41*200+DQ41*220+DS41*240+DU41*260</f>
        <v>0</v>
      </c>
      <c r="EK41" s="1101">
        <v>86.1</v>
      </c>
    </row>
    <row r="42" spans="1:141" s="733" customFormat="1" ht="13.5">
      <c r="A42" s="1009"/>
      <c r="B42" s="1212" t="s">
        <v>2067</v>
      </c>
      <c r="C42" s="1213">
        <v>0</v>
      </c>
      <c r="D42" s="1013" t="s">
        <v>92</v>
      </c>
      <c r="E42" s="847"/>
      <c r="F42" s="1013"/>
      <c r="G42" s="847"/>
      <c r="H42" s="1013"/>
      <c r="I42" s="847"/>
      <c r="J42" s="1013"/>
      <c r="K42" s="847"/>
      <c r="L42" s="1013"/>
      <c r="M42" s="1013"/>
      <c r="N42" s="1013"/>
      <c r="O42" s="847"/>
      <c r="P42" s="1013"/>
      <c r="Q42" s="1013"/>
      <c r="R42" s="847"/>
      <c r="S42" s="847"/>
      <c r="T42" s="1013"/>
      <c r="U42" s="1013"/>
      <c r="V42" s="1013"/>
      <c r="W42" s="1013"/>
      <c r="X42" s="1013"/>
      <c r="Y42" s="1013"/>
      <c r="Z42" s="1013"/>
      <c r="AA42" s="1013"/>
      <c r="AB42" s="1013"/>
      <c r="AC42" s="1013"/>
      <c r="AD42" s="1013"/>
      <c r="AE42" s="1013"/>
      <c r="AF42" s="1013"/>
      <c r="AG42" s="1013"/>
      <c r="AH42" s="1013"/>
      <c r="AI42" s="1013"/>
      <c r="AJ42" s="1013"/>
      <c r="AK42" s="1013"/>
      <c r="AL42" s="1013"/>
      <c r="AM42" s="1013"/>
      <c r="AN42" s="1013"/>
      <c r="AO42" s="1013"/>
      <c r="AP42" s="1013"/>
      <c r="AQ42" s="1013"/>
      <c r="AR42" s="1013"/>
      <c r="AS42" s="1013"/>
      <c r="AT42" s="1013"/>
      <c r="AU42" s="1013"/>
      <c r="AV42" s="1013"/>
      <c r="AW42" s="1013"/>
      <c r="AX42" s="1013"/>
      <c r="AY42" s="1013"/>
      <c r="AZ42" s="1013"/>
      <c r="BA42" s="1013"/>
      <c r="BB42" s="1013"/>
      <c r="BC42" s="1013"/>
      <c r="BD42" s="1013"/>
      <c r="BE42" s="1013"/>
      <c r="BF42" s="1013"/>
      <c r="BG42" s="1013"/>
      <c r="BH42" s="1013"/>
      <c r="BI42" s="1013"/>
      <c r="BJ42" s="1013"/>
      <c r="BK42" s="1013"/>
      <c r="BL42" s="1013"/>
      <c r="BM42" s="1013"/>
      <c r="BN42" s="1013"/>
      <c r="BO42" s="1013"/>
      <c r="BP42" s="1013"/>
      <c r="BQ42" s="1013"/>
      <c r="BR42" s="1013"/>
      <c r="BS42" s="1013"/>
      <c r="BT42" s="1013"/>
      <c r="BU42" s="1013"/>
      <c r="BV42" s="1013"/>
      <c r="BW42" s="1013"/>
      <c r="BX42" s="1013"/>
      <c r="BY42" s="1013"/>
      <c r="BZ42" s="1013"/>
      <c r="CA42" s="1013"/>
      <c r="CB42" s="1013"/>
      <c r="CC42" s="1013"/>
      <c r="CD42" s="1013"/>
      <c r="CE42" s="1013"/>
      <c r="CF42" s="1013"/>
      <c r="CG42" s="1013"/>
      <c r="CH42" s="1013"/>
      <c r="CI42" s="1013"/>
      <c r="CJ42" s="1013"/>
      <c r="CK42" s="1013"/>
      <c r="CL42" s="1013"/>
      <c r="CM42" s="1013"/>
      <c r="CN42" s="1013"/>
      <c r="CO42" s="1013"/>
      <c r="CP42" s="1013"/>
      <c r="CQ42" s="1013"/>
      <c r="CR42" s="1013"/>
      <c r="CS42" s="1013"/>
      <c r="CT42" s="1013"/>
      <c r="CU42" s="1013"/>
      <c r="CV42" s="1013"/>
      <c r="CW42" s="1013"/>
      <c r="CX42" s="1013"/>
      <c r="CY42" s="1013"/>
      <c r="CZ42" s="1013"/>
      <c r="DA42" s="1013"/>
      <c r="DB42" s="1013"/>
      <c r="DC42" s="1013"/>
      <c r="DD42" s="1013"/>
      <c r="DE42" s="1013"/>
      <c r="DF42" s="1013"/>
      <c r="DG42" s="1013"/>
      <c r="DH42" s="1013"/>
      <c r="DI42" s="1013"/>
      <c r="DJ42" s="1013"/>
      <c r="DK42" s="1013"/>
      <c r="DL42" s="1013"/>
      <c r="DM42" s="1214"/>
      <c r="DN42" s="1222">
        <f>DN41+('Lead &amp; ANALYSIS'!G1530*5%/9.3)</f>
        <v>0.40268817204301072</v>
      </c>
      <c r="DO42" s="1013">
        <f>ROUND(C42*DN42,4)</f>
        <v>0</v>
      </c>
      <c r="DP42" s="847"/>
      <c r="DQ42" s="1013"/>
      <c r="DR42" s="1225"/>
      <c r="DS42" s="1013"/>
      <c r="DT42" s="1225"/>
      <c r="DU42" s="1214"/>
      <c r="DV42" s="1226"/>
      <c r="DW42" s="1227"/>
      <c r="DX42" s="1222"/>
      <c r="DY42" s="847"/>
      <c r="DZ42" s="847"/>
      <c r="EA42" s="847"/>
      <c r="EB42" s="847"/>
      <c r="EC42" s="847"/>
      <c r="ED42" s="847"/>
      <c r="EE42" s="847"/>
      <c r="EF42" s="847"/>
      <c r="EG42" s="1212"/>
      <c r="EH42" s="847"/>
      <c r="EI42" s="1212"/>
      <c r="EJ42" s="1101">
        <f>DO42*200+DQ42*220+DS42*240+DU42*260</f>
        <v>0</v>
      </c>
      <c r="EK42" s="1101">
        <v>90.32</v>
      </c>
    </row>
    <row r="43" spans="1:141" s="733" customFormat="1" ht="13.5">
      <c r="A43" s="1009">
        <v>12</v>
      </c>
      <c r="B43" s="1212" t="s">
        <v>3022</v>
      </c>
      <c r="C43" s="1213">
        <v>0</v>
      </c>
      <c r="D43" s="1013" t="s">
        <v>92</v>
      </c>
      <c r="E43" s="847"/>
      <c r="F43" s="1013"/>
      <c r="G43" s="847"/>
      <c r="H43" s="1013"/>
      <c r="I43" s="847"/>
      <c r="J43" s="1013"/>
      <c r="K43" s="847"/>
      <c r="L43" s="1013"/>
      <c r="M43" s="1013"/>
      <c r="N43" s="1013"/>
      <c r="O43" s="847"/>
      <c r="P43" s="1013"/>
      <c r="Q43" s="1013"/>
      <c r="R43" s="847"/>
      <c r="S43" s="847"/>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013"/>
      <c r="AO43" s="1013"/>
      <c r="AP43" s="1013"/>
      <c r="AQ43" s="1013"/>
      <c r="AR43" s="1013"/>
      <c r="AS43" s="1013"/>
      <c r="AT43" s="1013"/>
      <c r="AU43" s="1013"/>
      <c r="AV43" s="1013"/>
      <c r="AW43" s="1013"/>
      <c r="AX43" s="1013"/>
      <c r="AY43" s="1013"/>
      <c r="AZ43" s="1013"/>
      <c r="BA43" s="1013"/>
      <c r="BB43" s="1013"/>
      <c r="BC43" s="1013"/>
      <c r="BD43" s="1013"/>
      <c r="BE43" s="1013"/>
      <c r="BF43" s="1013"/>
      <c r="BG43" s="1013"/>
      <c r="BH43" s="1013"/>
      <c r="BI43" s="1013"/>
      <c r="BJ43" s="1013"/>
      <c r="BK43" s="1013"/>
      <c r="BL43" s="1013"/>
      <c r="BM43" s="1013"/>
      <c r="BN43" s="1013"/>
      <c r="BO43" s="1013"/>
      <c r="BP43" s="1013"/>
      <c r="BQ43" s="1013"/>
      <c r="BR43" s="1013"/>
      <c r="BS43" s="1013"/>
      <c r="BT43" s="1013"/>
      <c r="BU43" s="1013"/>
      <c r="BV43" s="1013"/>
      <c r="BW43" s="1013"/>
      <c r="BX43" s="1013"/>
      <c r="BY43" s="1013"/>
      <c r="BZ43" s="1013"/>
      <c r="CA43" s="1013"/>
      <c r="CB43" s="1013"/>
      <c r="CC43" s="1013"/>
      <c r="CD43" s="1013"/>
      <c r="CE43" s="1013"/>
      <c r="CF43" s="1013"/>
      <c r="CG43" s="1013"/>
      <c r="CH43" s="1013"/>
      <c r="CI43" s="1013"/>
      <c r="CJ43" s="1013"/>
      <c r="CK43" s="1013"/>
      <c r="CL43" s="1013"/>
      <c r="CM43" s="1013"/>
      <c r="CN43" s="1013"/>
      <c r="CO43" s="1013"/>
      <c r="CP43" s="1013"/>
      <c r="CQ43" s="1013"/>
      <c r="CR43" s="1013"/>
      <c r="CS43" s="1013"/>
      <c r="CT43" s="1013"/>
      <c r="CU43" s="1013"/>
      <c r="CV43" s="1013"/>
      <c r="CW43" s="1013"/>
      <c r="CX43" s="1013"/>
      <c r="CY43" s="1013"/>
      <c r="CZ43" s="1013"/>
      <c r="DA43" s="1013"/>
      <c r="DB43" s="1013"/>
      <c r="DC43" s="1013"/>
      <c r="DD43" s="1013"/>
      <c r="DE43" s="1013"/>
      <c r="DF43" s="1013"/>
      <c r="DG43" s="1013"/>
      <c r="DH43" s="1013"/>
      <c r="DI43" s="1013"/>
      <c r="DJ43" s="1013"/>
      <c r="DK43" s="1013"/>
      <c r="DL43" s="1013"/>
      <c r="DM43" s="1214"/>
      <c r="DN43" s="1222"/>
      <c r="DO43" s="1013"/>
      <c r="DP43" s="847"/>
      <c r="DQ43" s="1013"/>
      <c r="DR43" s="1225"/>
      <c r="DS43" s="1013"/>
      <c r="DT43" s="1225"/>
      <c r="DU43" s="1214"/>
      <c r="DV43" s="1226"/>
      <c r="DW43" s="1227"/>
      <c r="DX43" s="1222"/>
      <c r="DY43" s="847"/>
      <c r="DZ43" s="847"/>
      <c r="EA43" s="847"/>
      <c r="EB43" s="847"/>
      <c r="EC43" s="847"/>
      <c r="ED43" s="847"/>
      <c r="EE43" s="847"/>
      <c r="EF43" s="847"/>
      <c r="EG43" s="1212"/>
      <c r="EH43" s="847"/>
      <c r="EI43" s="1212"/>
      <c r="EJ43" s="1101"/>
      <c r="EK43" s="1101" t="e">
        <v>#REF!</v>
      </c>
    </row>
    <row r="44" spans="1:141" s="733" customFormat="1" ht="13.5">
      <c r="A44" s="1009"/>
      <c r="B44" s="1212" t="s">
        <v>2066</v>
      </c>
      <c r="C44" s="1213">
        <v>0</v>
      </c>
      <c r="D44" s="1013" t="s">
        <v>92</v>
      </c>
      <c r="E44" s="847"/>
      <c r="F44" s="1013"/>
      <c r="G44" s="847"/>
      <c r="H44" s="1013"/>
      <c r="I44" s="847"/>
      <c r="J44" s="1013"/>
      <c r="K44" s="847"/>
      <c r="L44" s="1013"/>
      <c r="M44" s="1013"/>
      <c r="N44" s="1013"/>
      <c r="O44" s="847"/>
      <c r="P44" s="1013"/>
      <c r="Q44" s="1013"/>
      <c r="R44" s="847"/>
      <c r="S44" s="847"/>
      <c r="T44" s="1013"/>
      <c r="U44" s="1013"/>
      <c r="V44" s="1013"/>
      <c r="W44" s="1013"/>
      <c r="X44" s="1013"/>
      <c r="Y44" s="1013"/>
      <c r="Z44" s="1013"/>
      <c r="AA44" s="1013"/>
      <c r="AB44" s="1013"/>
      <c r="AC44" s="1013"/>
      <c r="AD44" s="1013"/>
      <c r="AE44" s="1013"/>
      <c r="AF44" s="1013"/>
      <c r="AG44" s="1013"/>
      <c r="AH44" s="1013"/>
      <c r="AI44" s="1013"/>
      <c r="AJ44" s="1013"/>
      <c r="AK44" s="1013"/>
      <c r="AL44" s="1013"/>
      <c r="AM44" s="1013"/>
      <c r="AN44" s="1013"/>
      <c r="AO44" s="1013"/>
      <c r="AP44" s="1013"/>
      <c r="AQ44" s="1013"/>
      <c r="AR44" s="1013"/>
      <c r="AS44" s="1013"/>
      <c r="AT44" s="1013"/>
      <c r="AU44" s="1013"/>
      <c r="AV44" s="1013"/>
      <c r="AW44" s="1013"/>
      <c r="AX44" s="1013"/>
      <c r="AY44" s="1013"/>
      <c r="AZ44" s="1013"/>
      <c r="BA44" s="1013"/>
      <c r="BB44" s="1013"/>
      <c r="BC44" s="1013"/>
      <c r="BD44" s="1013"/>
      <c r="BE44" s="1013"/>
      <c r="BF44" s="1013"/>
      <c r="BG44" s="1013"/>
      <c r="BH44" s="1013"/>
      <c r="BI44" s="1013"/>
      <c r="BJ44" s="1013"/>
      <c r="BK44" s="1013"/>
      <c r="BL44" s="1013"/>
      <c r="BM44" s="1013"/>
      <c r="BN44" s="1013"/>
      <c r="BO44" s="1013"/>
      <c r="BP44" s="1013"/>
      <c r="BQ44" s="1013"/>
      <c r="BR44" s="1013"/>
      <c r="BS44" s="1013"/>
      <c r="BT44" s="1013"/>
      <c r="BU44" s="1013"/>
      <c r="BV44" s="1013"/>
      <c r="BW44" s="1013"/>
      <c r="BX44" s="1013"/>
      <c r="BY44" s="1013"/>
      <c r="BZ44" s="1013"/>
      <c r="CA44" s="1013"/>
      <c r="CB44" s="1013"/>
      <c r="CC44" s="1013"/>
      <c r="CD44" s="1013"/>
      <c r="CE44" s="1013"/>
      <c r="CF44" s="1013"/>
      <c r="CG44" s="1013"/>
      <c r="CH44" s="1013"/>
      <c r="CI44" s="1013"/>
      <c r="CJ44" s="1013"/>
      <c r="CK44" s="1013"/>
      <c r="CL44" s="1013"/>
      <c r="CM44" s="1013"/>
      <c r="CN44" s="1013"/>
      <c r="CO44" s="1013"/>
      <c r="CP44" s="1013"/>
      <c r="CQ44" s="1013"/>
      <c r="CR44" s="1013"/>
      <c r="CS44" s="1013"/>
      <c r="CT44" s="1013"/>
      <c r="CU44" s="1013"/>
      <c r="CV44" s="1013"/>
      <c r="CW44" s="1013"/>
      <c r="CX44" s="1013"/>
      <c r="CY44" s="1013"/>
      <c r="CZ44" s="1013"/>
      <c r="DA44" s="1013"/>
      <c r="DB44" s="1013"/>
      <c r="DC44" s="1013"/>
      <c r="DD44" s="1013"/>
      <c r="DE44" s="1013"/>
      <c r="DF44" s="1013"/>
      <c r="DG44" s="1013"/>
      <c r="DH44" s="1013"/>
      <c r="DI44" s="1013"/>
      <c r="DJ44" s="1013"/>
      <c r="DK44" s="1013"/>
      <c r="DL44" s="1013"/>
      <c r="DM44" s="1214"/>
      <c r="DN44" s="1222">
        <f>'Lead &amp; ANALYSIS'!G1552/9.3+'Lead &amp; ANALYSIS'!G1552*2%/9.3</f>
        <v>0.24677419354838709</v>
      </c>
      <c r="DO44" s="1013">
        <f>ROUND(C44*DN44,4)</f>
        <v>0</v>
      </c>
      <c r="DP44" s="847"/>
      <c r="DQ44" s="1013"/>
      <c r="DR44" s="1225"/>
      <c r="DS44" s="1013"/>
      <c r="DT44" s="1225"/>
      <c r="DU44" s="1214"/>
      <c r="DV44" s="1226"/>
      <c r="DW44" s="1227"/>
      <c r="DX44" s="1222"/>
      <c r="DY44" s="847"/>
      <c r="DZ44" s="847"/>
      <c r="EA44" s="847"/>
      <c r="EB44" s="847"/>
      <c r="EC44" s="847"/>
      <c r="ED44" s="847"/>
      <c r="EE44" s="847"/>
      <c r="EF44" s="847"/>
      <c r="EG44" s="1212"/>
      <c r="EH44" s="847"/>
      <c r="EI44" s="1212"/>
      <c r="EJ44" s="1101">
        <f>DO44*200+DQ44*220+DS44*240+DU44*260</f>
        <v>0</v>
      </c>
      <c r="EK44" s="1101">
        <v>55.35</v>
      </c>
    </row>
    <row r="45" spans="1:141" s="733" customFormat="1" ht="13.5">
      <c r="A45" s="1009"/>
      <c r="B45" s="1212" t="s">
        <v>2067</v>
      </c>
      <c r="C45" s="1213">
        <v>0</v>
      </c>
      <c r="D45" s="1013" t="s">
        <v>92</v>
      </c>
      <c r="E45" s="847"/>
      <c r="F45" s="1013"/>
      <c r="G45" s="847"/>
      <c r="H45" s="1013"/>
      <c r="I45" s="847"/>
      <c r="J45" s="1013"/>
      <c r="K45" s="847"/>
      <c r="L45" s="1013"/>
      <c r="M45" s="1013"/>
      <c r="N45" s="1013"/>
      <c r="O45" s="847"/>
      <c r="P45" s="1013"/>
      <c r="Q45" s="1013"/>
      <c r="R45" s="847"/>
      <c r="S45" s="847"/>
      <c r="T45" s="1013"/>
      <c r="U45" s="1013"/>
      <c r="V45" s="1013"/>
      <c r="W45" s="1013"/>
      <c r="X45" s="1013"/>
      <c r="Y45" s="1013"/>
      <c r="Z45" s="1013"/>
      <c r="AA45" s="1013"/>
      <c r="AB45" s="1013"/>
      <c r="AC45" s="1013"/>
      <c r="AD45" s="1013"/>
      <c r="AE45" s="1013"/>
      <c r="AF45" s="1013"/>
      <c r="AG45" s="1013"/>
      <c r="AH45" s="1013"/>
      <c r="AI45" s="1013"/>
      <c r="AJ45" s="1013"/>
      <c r="AK45" s="1013"/>
      <c r="AL45" s="1013"/>
      <c r="AM45" s="1013"/>
      <c r="AN45" s="1013"/>
      <c r="AO45" s="1013"/>
      <c r="AP45" s="1013"/>
      <c r="AQ45" s="1013"/>
      <c r="AR45" s="1013"/>
      <c r="AS45" s="1013"/>
      <c r="AT45" s="1013"/>
      <c r="AU45" s="1013"/>
      <c r="AV45" s="1013"/>
      <c r="AW45" s="1013"/>
      <c r="AX45" s="1013"/>
      <c r="AY45" s="1013"/>
      <c r="AZ45" s="1013"/>
      <c r="BA45" s="1013"/>
      <c r="BB45" s="1013"/>
      <c r="BC45" s="1013"/>
      <c r="BD45" s="1013"/>
      <c r="BE45" s="1013"/>
      <c r="BF45" s="1013"/>
      <c r="BG45" s="1013"/>
      <c r="BH45" s="1013"/>
      <c r="BI45" s="1013"/>
      <c r="BJ45" s="1013"/>
      <c r="BK45" s="1013"/>
      <c r="BL45" s="1013"/>
      <c r="BM45" s="1013"/>
      <c r="BN45" s="1013"/>
      <c r="BO45" s="1013"/>
      <c r="BP45" s="1013"/>
      <c r="BQ45" s="1013"/>
      <c r="BR45" s="1013"/>
      <c r="BS45" s="1013"/>
      <c r="BT45" s="1013"/>
      <c r="BU45" s="1013"/>
      <c r="BV45" s="1013"/>
      <c r="BW45" s="1013"/>
      <c r="BX45" s="1013"/>
      <c r="BY45" s="1013"/>
      <c r="BZ45" s="1013"/>
      <c r="CA45" s="1013"/>
      <c r="CB45" s="1013"/>
      <c r="CC45" s="1013"/>
      <c r="CD45" s="1013"/>
      <c r="CE45" s="1013"/>
      <c r="CF45" s="1013"/>
      <c r="CG45" s="1013"/>
      <c r="CH45" s="1013"/>
      <c r="CI45" s="1013"/>
      <c r="CJ45" s="1013"/>
      <c r="CK45" s="1013"/>
      <c r="CL45" s="1013"/>
      <c r="CM45" s="1013"/>
      <c r="CN45" s="1013"/>
      <c r="CO45" s="1013"/>
      <c r="CP45" s="1013"/>
      <c r="CQ45" s="1013"/>
      <c r="CR45" s="1013"/>
      <c r="CS45" s="1013"/>
      <c r="CT45" s="1013"/>
      <c r="CU45" s="1013"/>
      <c r="CV45" s="1013"/>
      <c r="CW45" s="1013"/>
      <c r="CX45" s="1013"/>
      <c r="CY45" s="1013"/>
      <c r="CZ45" s="1013"/>
      <c r="DA45" s="1013"/>
      <c r="DB45" s="1013"/>
      <c r="DC45" s="1013"/>
      <c r="DD45" s="1013"/>
      <c r="DE45" s="1013"/>
      <c r="DF45" s="1013"/>
      <c r="DG45" s="1013"/>
      <c r="DH45" s="1013"/>
      <c r="DI45" s="1013"/>
      <c r="DJ45" s="1013"/>
      <c r="DK45" s="1013"/>
      <c r="DL45" s="1013"/>
      <c r="DM45" s="1214"/>
      <c r="DN45" s="1222">
        <f>DN44+('Lead &amp; ANALYSIS'!G1552*5%/9.3)</f>
        <v>0.25887096774193546</v>
      </c>
      <c r="DO45" s="1013">
        <f>ROUND(C45*DN45,4)</f>
        <v>0</v>
      </c>
      <c r="DP45" s="847"/>
      <c r="DQ45" s="1013"/>
      <c r="DR45" s="1225"/>
      <c r="DS45" s="1013"/>
      <c r="DT45" s="1225"/>
      <c r="DU45" s="1214"/>
      <c r="DV45" s="1226"/>
      <c r="DW45" s="1227"/>
      <c r="DX45" s="1222"/>
      <c r="DY45" s="847"/>
      <c r="DZ45" s="847"/>
      <c r="EA45" s="847"/>
      <c r="EB45" s="847"/>
      <c r="EC45" s="847"/>
      <c r="ED45" s="847"/>
      <c r="EE45" s="847"/>
      <c r="EF45" s="847"/>
      <c r="EG45" s="1212"/>
      <c r="EH45" s="847"/>
      <c r="EI45" s="1212"/>
      <c r="EJ45" s="1101">
        <f>DO45*200+DQ45*220+DS45*240+DU45*260</f>
        <v>0</v>
      </c>
      <c r="EK45" s="1101">
        <v>58.06</v>
      </c>
    </row>
    <row r="46" spans="1:141" s="733" customFormat="1" ht="13.5">
      <c r="A46" s="1009">
        <v>13</v>
      </c>
      <c r="B46" s="1212" t="s">
        <v>3023</v>
      </c>
      <c r="C46" s="1213">
        <v>0</v>
      </c>
      <c r="D46" s="1013" t="s">
        <v>92</v>
      </c>
      <c r="E46" s="847"/>
      <c r="F46" s="1013"/>
      <c r="G46" s="847"/>
      <c r="H46" s="1013"/>
      <c r="I46" s="847"/>
      <c r="J46" s="1013"/>
      <c r="K46" s="847"/>
      <c r="L46" s="1013"/>
      <c r="M46" s="1013"/>
      <c r="N46" s="1013"/>
      <c r="O46" s="847"/>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013"/>
      <c r="AO46" s="1013"/>
      <c r="AP46" s="1013"/>
      <c r="AQ46" s="1013"/>
      <c r="AR46" s="1013"/>
      <c r="AS46" s="1013"/>
      <c r="AT46" s="1013"/>
      <c r="AU46" s="1013"/>
      <c r="AV46" s="1013"/>
      <c r="AW46" s="1013"/>
      <c r="AX46" s="1013"/>
      <c r="AY46" s="1013"/>
      <c r="AZ46" s="1013"/>
      <c r="BA46" s="1013"/>
      <c r="BB46" s="1013"/>
      <c r="BC46" s="1013"/>
      <c r="BD46" s="1013"/>
      <c r="BE46" s="1013"/>
      <c r="BF46" s="1013"/>
      <c r="BG46" s="1013"/>
      <c r="BH46" s="1013"/>
      <c r="BI46" s="1013"/>
      <c r="BJ46" s="1013"/>
      <c r="BK46" s="1013"/>
      <c r="BL46" s="1013"/>
      <c r="BM46" s="1013"/>
      <c r="BN46" s="1013"/>
      <c r="BO46" s="1013"/>
      <c r="BP46" s="1013"/>
      <c r="BQ46" s="1013"/>
      <c r="BR46" s="1013"/>
      <c r="BS46" s="1013"/>
      <c r="BT46" s="1013"/>
      <c r="BU46" s="1013"/>
      <c r="BV46" s="1013"/>
      <c r="BW46" s="1013"/>
      <c r="BX46" s="1013"/>
      <c r="BY46" s="1013"/>
      <c r="BZ46" s="1013"/>
      <c r="CA46" s="1013"/>
      <c r="CB46" s="1013"/>
      <c r="CC46" s="1013"/>
      <c r="CD46" s="1013"/>
      <c r="CE46" s="1013"/>
      <c r="CF46" s="1013"/>
      <c r="CG46" s="1013"/>
      <c r="CH46" s="1013"/>
      <c r="CI46" s="1013"/>
      <c r="CJ46" s="1013"/>
      <c r="CK46" s="1013"/>
      <c r="CL46" s="1013"/>
      <c r="CM46" s="1013"/>
      <c r="CN46" s="1013"/>
      <c r="CO46" s="1013"/>
      <c r="CP46" s="1013"/>
      <c r="CQ46" s="1013"/>
      <c r="CR46" s="1013"/>
      <c r="CS46" s="1013"/>
      <c r="CT46" s="1013"/>
      <c r="CU46" s="1013"/>
      <c r="CV46" s="1013"/>
      <c r="CW46" s="1013"/>
      <c r="CX46" s="1013"/>
      <c r="CY46" s="1013"/>
      <c r="CZ46" s="1013"/>
      <c r="DA46" s="1013"/>
      <c r="DB46" s="1013"/>
      <c r="DC46" s="1013"/>
      <c r="DD46" s="1013"/>
      <c r="DE46" s="1013"/>
      <c r="DF46" s="1013"/>
      <c r="DG46" s="1013"/>
      <c r="DH46" s="1013"/>
      <c r="DI46" s="1013"/>
      <c r="DJ46" s="1013"/>
      <c r="DK46" s="1013"/>
      <c r="DL46" s="1013"/>
      <c r="DM46" s="1214"/>
      <c r="DN46" s="1222"/>
      <c r="DO46" s="1013"/>
      <c r="DP46" s="847"/>
      <c r="DQ46" s="1013"/>
      <c r="DR46" s="1225"/>
      <c r="DS46" s="1013"/>
      <c r="DT46" s="1225"/>
      <c r="DU46" s="1214"/>
      <c r="DV46" s="1226"/>
      <c r="DW46" s="1227"/>
      <c r="DX46" s="1222"/>
      <c r="DY46" s="847"/>
      <c r="DZ46" s="847"/>
      <c r="EA46" s="847"/>
      <c r="EB46" s="847"/>
      <c r="EC46" s="847"/>
      <c r="ED46" s="847"/>
      <c r="EE46" s="847"/>
      <c r="EF46" s="847"/>
      <c r="EG46" s="1212"/>
      <c r="EH46" s="847"/>
      <c r="EI46" s="1212"/>
      <c r="EJ46" s="1101"/>
      <c r="EK46" s="1101" t="e">
        <v>#REF!</v>
      </c>
    </row>
    <row r="47" spans="1:141" s="733" customFormat="1" ht="13.5">
      <c r="A47" s="1009"/>
      <c r="B47" s="1212" t="s">
        <v>2066</v>
      </c>
      <c r="C47" s="1213">
        <v>0</v>
      </c>
      <c r="D47" s="1013" t="s">
        <v>92</v>
      </c>
      <c r="E47" s="847"/>
      <c r="F47" s="1013"/>
      <c r="G47" s="847"/>
      <c r="H47" s="1013"/>
      <c r="I47" s="847"/>
      <c r="J47" s="1013"/>
      <c r="K47" s="847"/>
      <c r="L47" s="1013"/>
      <c r="M47" s="1013"/>
      <c r="N47" s="1013"/>
      <c r="O47" s="847"/>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1013"/>
      <c r="BR47" s="1013"/>
      <c r="BS47" s="1013"/>
      <c r="BT47" s="1013"/>
      <c r="BU47" s="1013"/>
      <c r="BV47" s="1013"/>
      <c r="BW47" s="1013"/>
      <c r="BX47" s="1013"/>
      <c r="BY47" s="1013"/>
      <c r="BZ47" s="1013"/>
      <c r="CA47" s="1013"/>
      <c r="CB47" s="1013"/>
      <c r="CC47" s="1013"/>
      <c r="CD47" s="1013"/>
      <c r="CE47" s="1013"/>
      <c r="CF47" s="1013"/>
      <c r="CG47" s="1013"/>
      <c r="CH47" s="1013"/>
      <c r="CI47" s="1013"/>
      <c r="CJ47" s="1013"/>
      <c r="CK47" s="1013"/>
      <c r="CL47" s="1013"/>
      <c r="CM47" s="1013"/>
      <c r="CN47" s="1013"/>
      <c r="CO47" s="1013"/>
      <c r="CP47" s="1013"/>
      <c r="CQ47" s="1013"/>
      <c r="CR47" s="1013"/>
      <c r="CS47" s="1013"/>
      <c r="CT47" s="1013"/>
      <c r="CU47" s="1013"/>
      <c r="CV47" s="1013"/>
      <c r="CW47" s="1013"/>
      <c r="CX47" s="1013"/>
      <c r="CY47" s="1013"/>
      <c r="CZ47" s="1013"/>
      <c r="DA47" s="1013"/>
      <c r="DB47" s="1013"/>
      <c r="DC47" s="1013"/>
      <c r="DD47" s="1013"/>
      <c r="DE47" s="1013"/>
      <c r="DF47" s="1013"/>
      <c r="DG47" s="1013"/>
      <c r="DH47" s="1013"/>
      <c r="DI47" s="1013"/>
      <c r="DJ47" s="1013"/>
      <c r="DK47" s="1013"/>
      <c r="DL47" s="1013"/>
      <c r="DM47" s="1214"/>
      <c r="DN47" s="1222">
        <f>'Lead &amp; ANALYSIS'!G1574/9.3+'Lead &amp; ANALYSIS'!G1574*2%/9.3</f>
        <v>0.12064516129032259</v>
      </c>
      <c r="DO47" s="1013">
        <f>ROUND(C47*DN47,4)</f>
        <v>0</v>
      </c>
      <c r="DP47" s="847"/>
      <c r="DQ47" s="1013"/>
      <c r="DR47" s="1225"/>
      <c r="DS47" s="1013"/>
      <c r="DT47" s="1225"/>
      <c r="DU47" s="1214"/>
      <c r="DV47" s="1226"/>
      <c r="DW47" s="1227"/>
      <c r="DX47" s="1222"/>
      <c r="DY47" s="847"/>
      <c r="DZ47" s="847"/>
      <c r="EA47" s="847"/>
      <c r="EB47" s="847"/>
      <c r="EC47" s="847"/>
      <c r="ED47" s="847"/>
      <c r="EE47" s="847"/>
      <c r="EF47" s="847"/>
      <c r="EG47" s="1212"/>
      <c r="EH47" s="847"/>
      <c r="EI47" s="1212"/>
      <c r="EJ47" s="1101">
        <f>DO47*200+DQ47*220+DS47*240+DU47*260</f>
        <v>0</v>
      </c>
      <c r="EK47" s="1101">
        <v>27.06</v>
      </c>
    </row>
    <row r="48" spans="1:141" s="733" customFormat="1" ht="13.5">
      <c r="A48" s="1009"/>
      <c r="B48" s="1212" t="s">
        <v>2067</v>
      </c>
      <c r="C48" s="1213">
        <v>0</v>
      </c>
      <c r="D48" s="1013" t="s">
        <v>92</v>
      </c>
      <c r="E48" s="847"/>
      <c r="F48" s="1013"/>
      <c r="G48" s="847"/>
      <c r="H48" s="1013"/>
      <c r="I48" s="847"/>
      <c r="J48" s="1013"/>
      <c r="K48" s="847"/>
      <c r="L48" s="1013"/>
      <c r="M48" s="1013"/>
      <c r="N48" s="1013"/>
      <c r="O48" s="847"/>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1013"/>
      <c r="BR48" s="1013"/>
      <c r="BS48" s="1013"/>
      <c r="BT48" s="1013"/>
      <c r="BU48" s="1013"/>
      <c r="BV48" s="1013"/>
      <c r="BW48" s="1013"/>
      <c r="BX48" s="1013"/>
      <c r="BY48" s="1013"/>
      <c r="BZ48" s="1013"/>
      <c r="CA48" s="1013"/>
      <c r="CB48" s="1013"/>
      <c r="CC48" s="1013"/>
      <c r="CD48" s="1013"/>
      <c r="CE48" s="1013"/>
      <c r="CF48" s="1013"/>
      <c r="CG48" s="1013"/>
      <c r="CH48" s="1013"/>
      <c r="CI48" s="1013"/>
      <c r="CJ48" s="1013"/>
      <c r="CK48" s="1013"/>
      <c r="CL48" s="1013"/>
      <c r="CM48" s="1013"/>
      <c r="CN48" s="1013"/>
      <c r="CO48" s="1013"/>
      <c r="CP48" s="1013"/>
      <c r="CQ48" s="1013"/>
      <c r="CR48" s="1013"/>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214"/>
      <c r="DN48" s="1222">
        <f>DN47+('Lead &amp; ANALYSIS'!G1574*5%/9.3)</f>
        <v>0.12655913978494623</v>
      </c>
      <c r="DO48" s="1013">
        <f>ROUND(C48*DN48,4)</f>
        <v>0</v>
      </c>
      <c r="DP48" s="847"/>
      <c r="DQ48" s="1013"/>
      <c r="DR48" s="1225"/>
      <c r="DS48" s="1013"/>
      <c r="DT48" s="1225"/>
      <c r="DU48" s="1214"/>
      <c r="DV48" s="1226"/>
      <c r="DW48" s="1227"/>
      <c r="DX48" s="1222"/>
      <c r="DY48" s="847"/>
      <c r="DZ48" s="847"/>
      <c r="EA48" s="847"/>
      <c r="EB48" s="847"/>
      <c r="EC48" s="847"/>
      <c r="ED48" s="847"/>
      <c r="EE48" s="847"/>
      <c r="EF48" s="847"/>
      <c r="EG48" s="1212"/>
      <c r="EH48" s="847"/>
      <c r="EI48" s="1212"/>
      <c r="EJ48" s="1101">
        <f>DO48*200+DQ48*220+DS48*240+DU48*260</f>
        <v>0</v>
      </c>
      <c r="EK48" s="1101">
        <v>28.39</v>
      </c>
    </row>
    <row r="49" spans="1:141" s="733" customFormat="1" ht="13.5">
      <c r="A49" s="1009">
        <v>14</v>
      </c>
      <c r="B49" s="1212" t="s">
        <v>3024</v>
      </c>
      <c r="C49" s="1213">
        <v>0</v>
      </c>
      <c r="D49" s="1013" t="s">
        <v>92</v>
      </c>
      <c r="E49" s="847"/>
      <c r="F49" s="1013"/>
      <c r="G49" s="847"/>
      <c r="H49" s="1013"/>
      <c r="I49" s="847"/>
      <c r="J49" s="1013"/>
      <c r="K49" s="847"/>
      <c r="L49" s="1013"/>
      <c r="M49" s="1013"/>
      <c r="N49" s="1013"/>
      <c r="O49" s="847"/>
      <c r="P49" s="1013"/>
      <c r="Q49" s="1013"/>
      <c r="R49" s="847"/>
      <c r="S49" s="847"/>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1013"/>
      <c r="BR49" s="1013"/>
      <c r="BS49" s="1013"/>
      <c r="BT49" s="1013"/>
      <c r="BU49" s="1013"/>
      <c r="BV49" s="1013"/>
      <c r="BW49" s="1013"/>
      <c r="BX49" s="1013"/>
      <c r="BY49" s="1013"/>
      <c r="BZ49" s="1013"/>
      <c r="CA49" s="1013"/>
      <c r="CB49" s="1013"/>
      <c r="CC49" s="1013"/>
      <c r="CD49" s="1013"/>
      <c r="CE49" s="1013"/>
      <c r="CF49" s="1013"/>
      <c r="CG49" s="1013"/>
      <c r="CH49" s="1013"/>
      <c r="CI49" s="1013"/>
      <c r="CJ49" s="1013"/>
      <c r="CK49" s="1013"/>
      <c r="CL49" s="1013"/>
      <c r="CM49" s="1013"/>
      <c r="CN49" s="1013"/>
      <c r="CO49" s="1013"/>
      <c r="CP49" s="1013"/>
      <c r="CQ49" s="1013"/>
      <c r="CR49" s="1013"/>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214"/>
      <c r="DN49" s="1222"/>
      <c r="DO49" s="1013"/>
      <c r="DP49" s="847"/>
      <c r="DQ49" s="1013"/>
      <c r="DR49" s="1225"/>
      <c r="DS49" s="1013"/>
      <c r="DT49" s="1225"/>
      <c r="DU49" s="1214"/>
      <c r="DV49" s="1229"/>
      <c r="DW49" s="1227"/>
      <c r="DX49" s="1222"/>
      <c r="DY49" s="847"/>
      <c r="DZ49" s="847"/>
      <c r="EA49" s="847"/>
      <c r="EB49" s="847"/>
      <c r="EC49" s="847"/>
      <c r="ED49" s="847"/>
      <c r="EE49" s="847"/>
      <c r="EF49" s="847"/>
      <c r="EG49" s="1212"/>
      <c r="EH49" s="847"/>
      <c r="EI49" s="1212"/>
      <c r="EJ49" s="1101"/>
      <c r="EK49" s="1101" t="e">
        <v>#REF!</v>
      </c>
    </row>
    <row r="50" spans="1:141" s="733" customFormat="1" ht="13.5">
      <c r="A50" s="1009"/>
      <c r="B50" s="1212" t="s">
        <v>2066</v>
      </c>
      <c r="C50" s="1213">
        <v>0</v>
      </c>
      <c r="D50" s="1013" t="s">
        <v>92</v>
      </c>
      <c r="E50" s="847"/>
      <c r="F50" s="1013"/>
      <c r="G50" s="847"/>
      <c r="H50" s="1013"/>
      <c r="I50" s="847"/>
      <c r="J50" s="1013"/>
      <c r="K50" s="847"/>
      <c r="L50" s="1013"/>
      <c r="M50" s="1013"/>
      <c r="N50" s="1013"/>
      <c r="O50" s="847"/>
      <c r="P50" s="1013"/>
      <c r="Q50" s="1013"/>
      <c r="R50" s="847"/>
      <c r="S50" s="847"/>
      <c r="T50" s="1013"/>
      <c r="U50" s="1013"/>
      <c r="V50" s="1013"/>
      <c r="W50" s="1013"/>
      <c r="X50" s="1013"/>
      <c r="Y50" s="1013"/>
      <c r="Z50" s="1013"/>
      <c r="AA50" s="1013"/>
      <c r="AB50" s="1013"/>
      <c r="AC50" s="1013"/>
      <c r="AD50" s="1013"/>
      <c r="AE50" s="1013"/>
      <c r="AF50" s="1013"/>
      <c r="AG50" s="1013"/>
      <c r="AH50" s="1013"/>
      <c r="AI50" s="1013"/>
      <c r="AJ50" s="1013"/>
      <c r="AK50" s="1013"/>
      <c r="AL50" s="1013"/>
      <c r="AM50" s="1013"/>
      <c r="AN50" s="1013"/>
      <c r="AO50" s="1013"/>
      <c r="AP50" s="1013"/>
      <c r="AQ50" s="1013"/>
      <c r="AR50" s="1013"/>
      <c r="AS50" s="1013"/>
      <c r="AT50" s="1013"/>
      <c r="AU50" s="1013"/>
      <c r="AV50" s="1013"/>
      <c r="AW50" s="1013"/>
      <c r="AX50" s="1013"/>
      <c r="AY50" s="1013"/>
      <c r="AZ50" s="1013"/>
      <c r="BA50" s="1013"/>
      <c r="BB50" s="1013"/>
      <c r="BC50" s="1013"/>
      <c r="BD50" s="1013"/>
      <c r="BE50" s="1013"/>
      <c r="BF50" s="1013"/>
      <c r="BG50" s="1013"/>
      <c r="BH50" s="1013"/>
      <c r="BI50" s="1013"/>
      <c r="BJ50" s="1013"/>
      <c r="BK50" s="1013"/>
      <c r="BL50" s="1013"/>
      <c r="BM50" s="1013"/>
      <c r="BN50" s="1013"/>
      <c r="BO50" s="1013"/>
      <c r="BP50" s="1013"/>
      <c r="BQ50" s="1013"/>
      <c r="BR50" s="1013"/>
      <c r="BS50" s="1013"/>
      <c r="BT50" s="1013"/>
      <c r="BU50" s="1013"/>
      <c r="BV50" s="1013"/>
      <c r="BW50" s="1013"/>
      <c r="BX50" s="1013"/>
      <c r="BY50" s="1013"/>
      <c r="BZ50" s="1013"/>
      <c r="CA50" s="1013"/>
      <c r="CB50" s="1013"/>
      <c r="CC50" s="1013"/>
      <c r="CD50" s="1013"/>
      <c r="CE50" s="1013"/>
      <c r="CF50" s="1013"/>
      <c r="CG50" s="1013"/>
      <c r="CH50" s="1013"/>
      <c r="CI50" s="1013"/>
      <c r="CJ50" s="1013"/>
      <c r="CK50" s="1013"/>
      <c r="CL50" s="1013"/>
      <c r="CM50" s="1013"/>
      <c r="CN50" s="1013"/>
      <c r="CO50" s="1013"/>
      <c r="CP50" s="1013"/>
      <c r="CQ50" s="1013"/>
      <c r="CR50" s="1013"/>
      <c r="CS50" s="1013"/>
      <c r="CT50" s="1013"/>
      <c r="CU50" s="1013"/>
      <c r="CV50" s="1013"/>
      <c r="CW50" s="1013"/>
      <c r="CX50" s="1013"/>
      <c r="CY50" s="1013"/>
      <c r="CZ50" s="1013"/>
      <c r="DA50" s="1013"/>
      <c r="DB50" s="1013"/>
      <c r="DC50" s="1013"/>
      <c r="DD50" s="1013"/>
      <c r="DE50" s="1013"/>
      <c r="DF50" s="1013"/>
      <c r="DG50" s="1013"/>
      <c r="DH50" s="1013"/>
      <c r="DI50" s="1013"/>
      <c r="DJ50" s="1013"/>
      <c r="DK50" s="1013"/>
      <c r="DL50" s="1013"/>
      <c r="DM50" s="1214"/>
      <c r="DN50" s="1222">
        <f>'Lead &amp; ANALYSIS'!G1596/9.3+'Lead &amp; ANALYSIS'!G1596*2%/9.3</f>
        <v>0.27419354838709675</v>
      </c>
      <c r="DO50" s="1013">
        <f>ROUND(C50*DN50,4)</f>
        <v>0</v>
      </c>
      <c r="DP50" s="847"/>
      <c r="DQ50" s="1013"/>
      <c r="DR50" s="1225"/>
      <c r="DS50" s="1013"/>
      <c r="DT50" s="1225"/>
      <c r="DU50" s="1214"/>
      <c r="DV50" s="1226"/>
      <c r="DW50" s="1227"/>
      <c r="DX50" s="1222"/>
      <c r="DY50" s="847"/>
      <c r="DZ50" s="847"/>
      <c r="EA50" s="847"/>
      <c r="EB50" s="847"/>
      <c r="EC50" s="847"/>
      <c r="ED50" s="847"/>
      <c r="EE50" s="847"/>
      <c r="EF50" s="847"/>
      <c r="EG50" s="1212"/>
      <c r="EH50" s="847"/>
      <c r="EI50" s="1212"/>
      <c r="EJ50" s="1101">
        <f>DO50*200+DQ50*220+DS50*240+DU50*260</f>
        <v>0</v>
      </c>
      <c r="EK50" s="1101">
        <v>61.5</v>
      </c>
    </row>
    <row r="51" spans="1:141" s="733" customFormat="1" ht="13.5">
      <c r="A51" s="1009"/>
      <c r="B51" s="1212" t="s">
        <v>2067</v>
      </c>
      <c r="C51" s="1213">
        <v>0</v>
      </c>
      <c r="D51" s="1013" t="s">
        <v>92</v>
      </c>
      <c r="E51" s="847"/>
      <c r="F51" s="1013"/>
      <c r="G51" s="847"/>
      <c r="H51" s="1013"/>
      <c r="I51" s="847"/>
      <c r="J51" s="1013"/>
      <c r="K51" s="847"/>
      <c r="L51" s="1013"/>
      <c r="M51" s="1013"/>
      <c r="N51" s="1013"/>
      <c r="O51" s="847"/>
      <c r="P51" s="1013"/>
      <c r="Q51" s="1013"/>
      <c r="R51" s="847"/>
      <c r="S51" s="847"/>
      <c r="T51" s="1013"/>
      <c r="U51" s="1013"/>
      <c r="V51" s="1013"/>
      <c r="W51" s="1013"/>
      <c r="X51" s="1013"/>
      <c r="Y51" s="1013"/>
      <c r="Z51" s="1013"/>
      <c r="AA51" s="1013"/>
      <c r="AB51" s="1013"/>
      <c r="AC51" s="1013"/>
      <c r="AD51" s="1013"/>
      <c r="AE51" s="1013"/>
      <c r="AF51" s="1013"/>
      <c r="AG51" s="1013"/>
      <c r="AH51" s="1013"/>
      <c r="AI51" s="1013"/>
      <c r="AJ51" s="1013"/>
      <c r="AK51" s="1013"/>
      <c r="AL51" s="1013"/>
      <c r="AM51" s="1013"/>
      <c r="AN51" s="1013"/>
      <c r="AO51" s="1013"/>
      <c r="AP51" s="1013"/>
      <c r="AQ51" s="1013"/>
      <c r="AR51" s="1013"/>
      <c r="AS51" s="1013"/>
      <c r="AT51" s="1013"/>
      <c r="AU51" s="1013"/>
      <c r="AV51" s="1013"/>
      <c r="AW51" s="1013"/>
      <c r="AX51" s="1013"/>
      <c r="AY51" s="1013"/>
      <c r="AZ51" s="1013"/>
      <c r="BA51" s="1013"/>
      <c r="BB51" s="1013"/>
      <c r="BC51" s="1013"/>
      <c r="BD51" s="1013"/>
      <c r="BE51" s="1013"/>
      <c r="BF51" s="1013"/>
      <c r="BG51" s="1013"/>
      <c r="BH51" s="1013"/>
      <c r="BI51" s="1013"/>
      <c r="BJ51" s="1013"/>
      <c r="BK51" s="1013"/>
      <c r="BL51" s="1013"/>
      <c r="BM51" s="1013"/>
      <c r="BN51" s="1013"/>
      <c r="BO51" s="1013"/>
      <c r="BP51" s="1013"/>
      <c r="BQ51" s="1013"/>
      <c r="BR51" s="1013"/>
      <c r="BS51" s="1013"/>
      <c r="BT51" s="1013"/>
      <c r="BU51" s="1013"/>
      <c r="BV51" s="1013"/>
      <c r="BW51" s="1013"/>
      <c r="BX51" s="1013"/>
      <c r="BY51" s="1013"/>
      <c r="BZ51" s="1013"/>
      <c r="CA51" s="1013"/>
      <c r="CB51" s="1013"/>
      <c r="CC51" s="1013"/>
      <c r="CD51" s="1013"/>
      <c r="CE51" s="1013"/>
      <c r="CF51" s="1013"/>
      <c r="CG51" s="1013"/>
      <c r="CH51" s="1013"/>
      <c r="CI51" s="1013"/>
      <c r="CJ51" s="1013"/>
      <c r="CK51" s="1013"/>
      <c r="CL51" s="1013"/>
      <c r="CM51" s="1013"/>
      <c r="CN51" s="1013"/>
      <c r="CO51" s="1013"/>
      <c r="CP51" s="1013"/>
      <c r="CQ51" s="1013"/>
      <c r="CR51" s="1013"/>
      <c r="CS51" s="1013"/>
      <c r="CT51" s="1013"/>
      <c r="CU51" s="1013"/>
      <c r="CV51" s="1013"/>
      <c r="CW51" s="1013"/>
      <c r="CX51" s="1013"/>
      <c r="CY51" s="1013"/>
      <c r="CZ51" s="1013"/>
      <c r="DA51" s="1013"/>
      <c r="DB51" s="1013"/>
      <c r="DC51" s="1013"/>
      <c r="DD51" s="1013"/>
      <c r="DE51" s="1013"/>
      <c r="DF51" s="1013"/>
      <c r="DG51" s="1013"/>
      <c r="DH51" s="1013"/>
      <c r="DI51" s="1013"/>
      <c r="DJ51" s="1013"/>
      <c r="DK51" s="1013"/>
      <c r="DL51" s="1013"/>
      <c r="DM51" s="1214"/>
      <c r="DN51" s="1222">
        <f>DN50+('Lead &amp; ANALYSIS'!G1596*5%/9.3)</f>
        <v>0.2876344086021505</v>
      </c>
      <c r="DO51" s="1013">
        <f>ROUND(C51*DN51,4)</f>
        <v>0</v>
      </c>
      <c r="DP51" s="847"/>
      <c r="DQ51" s="1013"/>
      <c r="DR51" s="1225"/>
      <c r="DS51" s="1013"/>
      <c r="DT51" s="1225"/>
      <c r="DU51" s="1214"/>
      <c r="DV51" s="1226"/>
      <c r="DW51" s="1227"/>
      <c r="DX51" s="1222"/>
      <c r="DY51" s="847"/>
      <c r="DZ51" s="847"/>
      <c r="EA51" s="847"/>
      <c r="EB51" s="847"/>
      <c r="EC51" s="847"/>
      <c r="ED51" s="847"/>
      <c r="EE51" s="847"/>
      <c r="EF51" s="847"/>
      <c r="EG51" s="1212"/>
      <c r="EH51" s="847"/>
      <c r="EI51" s="1212"/>
      <c r="EJ51" s="1101">
        <f>DO51*200+DQ51*220+DS51*240+DU51*260</f>
        <v>0</v>
      </c>
      <c r="EK51" s="1101">
        <v>64.510000000000005</v>
      </c>
    </row>
    <row r="52" spans="1:141" s="733" customFormat="1" ht="13.5">
      <c r="A52" s="1009">
        <v>15</v>
      </c>
      <c r="B52" s="1212" t="s">
        <v>3025</v>
      </c>
      <c r="C52" s="1213">
        <v>0</v>
      </c>
      <c r="D52" s="1013" t="s">
        <v>92</v>
      </c>
      <c r="E52" s="847"/>
      <c r="F52" s="1013"/>
      <c r="G52" s="847"/>
      <c r="H52" s="1013"/>
      <c r="I52" s="847"/>
      <c r="J52" s="1013"/>
      <c r="K52" s="847"/>
      <c r="L52" s="1013"/>
      <c r="M52" s="1013"/>
      <c r="N52" s="1013"/>
      <c r="O52" s="847"/>
      <c r="P52" s="1013"/>
      <c r="Q52" s="1013"/>
      <c r="R52" s="847"/>
      <c r="S52" s="847"/>
      <c r="T52" s="1013"/>
      <c r="U52" s="1013"/>
      <c r="V52" s="1013"/>
      <c r="W52" s="1013"/>
      <c r="X52" s="1013"/>
      <c r="Y52" s="1013"/>
      <c r="Z52" s="1013"/>
      <c r="AA52" s="1013"/>
      <c r="AB52" s="1013"/>
      <c r="AC52" s="1013"/>
      <c r="AD52" s="1013"/>
      <c r="AE52" s="1013"/>
      <c r="AF52" s="1013"/>
      <c r="AG52" s="1013"/>
      <c r="AH52" s="1013"/>
      <c r="AI52" s="1013"/>
      <c r="AJ52" s="1013"/>
      <c r="AK52" s="1013"/>
      <c r="AL52" s="1013"/>
      <c r="AM52" s="1013"/>
      <c r="AN52" s="1013"/>
      <c r="AO52" s="1013"/>
      <c r="AP52" s="1013"/>
      <c r="AQ52" s="1013"/>
      <c r="AR52" s="1013"/>
      <c r="AS52" s="1013"/>
      <c r="AT52" s="1013"/>
      <c r="AU52" s="1013"/>
      <c r="AV52" s="1013"/>
      <c r="AW52" s="1013"/>
      <c r="AX52" s="1013"/>
      <c r="AY52" s="1013"/>
      <c r="AZ52" s="1013"/>
      <c r="BA52" s="1013"/>
      <c r="BB52" s="1013"/>
      <c r="BC52" s="1013"/>
      <c r="BD52" s="1013"/>
      <c r="BE52" s="1013"/>
      <c r="BF52" s="1013"/>
      <c r="BG52" s="1013"/>
      <c r="BH52" s="1013"/>
      <c r="BI52" s="1013"/>
      <c r="BJ52" s="1013"/>
      <c r="BK52" s="1013"/>
      <c r="BL52" s="1013"/>
      <c r="BM52" s="1013"/>
      <c r="BN52" s="1013"/>
      <c r="BO52" s="1013"/>
      <c r="BP52" s="1013"/>
      <c r="BQ52" s="1013"/>
      <c r="BR52" s="1013"/>
      <c r="BS52" s="1013"/>
      <c r="BT52" s="1013"/>
      <c r="BU52" s="1013"/>
      <c r="BV52" s="1013"/>
      <c r="BW52" s="1013"/>
      <c r="BX52" s="1013"/>
      <c r="BY52" s="1013"/>
      <c r="BZ52" s="1013"/>
      <c r="CA52" s="1013"/>
      <c r="CB52" s="1013"/>
      <c r="CC52" s="1013"/>
      <c r="CD52" s="1013"/>
      <c r="CE52" s="1013"/>
      <c r="CF52" s="1013"/>
      <c r="CG52" s="1013"/>
      <c r="CH52" s="1013"/>
      <c r="CI52" s="1013"/>
      <c r="CJ52" s="1013"/>
      <c r="CK52" s="1013"/>
      <c r="CL52" s="1013"/>
      <c r="CM52" s="1013"/>
      <c r="CN52" s="1013"/>
      <c r="CO52" s="1013"/>
      <c r="CP52" s="1013"/>
      <c r="CQ52" s="1013"/>
      <c r="CR52" s="1013"/>
      <c r="CS52" s="1013"/>
      <c r="CT52" s="1013"/>
      <c r="CU52" s="1013"/>
      <c r="CV52" s="1013"/>
      <c r="CW52" s="1013"/>
      <c r="CX52" s="1013"/>
      <c r="CY52" s="1013"/>
      <c r="CZ52" s="1013"/>
      <c r="DA52" s="1013"/>
      <c r="DB52" s="1013"/>
      <c r="DC52" s="1013"/>
      <c r="DD52" s="1013"/>
      <c r="DE52" s="1013"/>
      <c r="DF52" s="1013"/>
      <c r="DG52" s="1013"/>
      <c r="DH52" s="1013"/>
      <c r="DI52" s="1013"/>
      <c r="DJ52" s="1013"/>
      <c r="DK52" s="1013"/>
      <c r="DL52" s="1013"/>
      <c r="DM52" s="1214"/>
      <c r="DN52" s="1222"/>
      <c r="DO52" s="1013"/>
      <c r="DP52" s="847"/>
      <c r="DQ52" s="1013"/>
      <c r="DR52" s="1225"/>
      <c r="DS52" s="1013"/>
      <c r="DT52" s="1225"/>
      <c r="DU52" s="1214"/>
      <c r="DV52" s="1226"/>
      <c r="DW52" s="1227"/>
      <c r="DX52" s="1222"/>
      <c r="DY52" s="847"/>
      <c r="DZ52" s="847"/>
      <c r="EA52" s="847"/>
      <c r="EB52" s="847"/>
      <c r="EC52" s="847"/>
      <c r="ED52" s="847"/>
      <c r="EE52" s="847"/>
      <c r="EF52" s="847"/>
      <c r="EG52" s="1212"/>
      <c r="EH52" s="847"/>
      <c r="EI52" s="1212"/>
      <c r="EJ52" s="1101"/>
      <c r="EK52" s="1101" t="e">
        <v>#REF!</v>
      </c>
    </row>
    <row r="53" spans="1:141" s="733" customFormat="1" ht="13.5">
      <c r="A53" s="1009"/>
      <c r="B53" s="1212" t="s">
        <v>2066</v>
      </c>
      <c r="C53" s="1213">
        <v>0</v>
      </c>
      <c r="D53" s="1013" t="s">
        <v>92</v>
      </c>
      <c r="E53" s="847"/>
      <c r="F53" s="1013"/>
      <c r="G53" s="847"/>
      <c r="H53" s="1013"/>
      <c r="I53" s="847"/>
      <c r="J53" s="1013"/>
      <c r="K53" s="847"/>
      <c r="L53" s="1013"/>
      <c r="M53" s="1013"/>
      <c r="N53" s="1013"/>
      <c r="O53" s="847"/>
      <c r="P53" s="1013"/>
      <c r="Q53" s="1013"/>
      <c r="R53" s="847"/>
      <c r="S53" s="847"/>
      <c r="T53" s="1013"/>
      <c r="U53" s="1013"/>
      <c r="V53" s="1013"/>
      <c r="W53" s="1013"/>
      <c r="X53" s="1013"/>
      <c r="Y53" s="1013"/>
      <c r="Z53" s="1013"/>
      <c r="AA53" s="1013"/>
      <c r="AB53" s="1013"/>
      <c r="AC53" s="1013"/>
      <c r="AD53" s="1013"/>
      <c r="AE53" s="1013"/>
      <c r="AF53" s="1013"/>
      <c r="AG53" s="1013"/>
      <c r="AH53" s="1013"/>
      <c r="AI53" s="1013"/>
      <c r="AJ53" s="1013"/>
      <c r="AK53" s="1013"/>
      <c r="AL53" s="1013"/>
      <c r="AM53" s="1013"/>
      <c r="AN53" s="1013"/>
      <c r="AO53" s="1013"/>
      <c r="AP53" s="1013"/>
      <c r="AQ53" s="1013"/>
      <c r="AR53" s="1013"/>
      <c r="AS53" s="1013"/>
      <c r="AT53" s="1013"/>
      <c r="AU53" s="1013"/>
      <c r="AV53" s="1013"/>
      <c r="AW53" s="1013"/>
      <c r="AX53" s="1013"/>
      <c r="AY53" s="1013"/>
      <c r="AZ53" s="1013"/>
      <c r="BA53" s="1013"/>
      <c r="BB53" s="1013"/>
      <c r="BC53" s="1013"/>
      <c r="BD53" s="1013"/>
      <c r="BE53" s="1013"/>
      <c r="BF53" s="1013"/>
      <c r="BG53" s="1013"/>
      <c r="BH53" s="1013"/>
      <c r="BI53" s="1013"/>
      <c r="BJ53" s="1013"/>
      <c r="BK53" s="1013"/>
      <c r="BL53" s="1013"/>
      <c r="BM53" s="1013"/>
      <c r="BN53" s="1013"/>
      <c r="BO53" s="1013"/>
      <c r="BP53" s="1013"/>
      <c r="BQ53" s="1013"/>
      <c r="BR53" s="1013"/>
      <c r="BS53" s="1013"/>
      <c r="BT53" s="1013"/>
      <c r="BU53" s="1013"/>
      <c r="BV53" s="1013"/>
      <c r="BW53" s="1013"/>
      <c r="BX53" s="1013"/>
      <c r="BY53" s="1013"/>
      <c r="BZ53" s="1013"/>
      <c r="CA53" s="1013"/>
      <c r="CB53" s="1013"/>
      <c r="CC53" s="1013"/>
      <c r="CD53" s="1013"/>
      <c r="CE53" s="1013"/>
      <c r="CF53" s="1013"/>
      <c r="CG53" s="1013"/>
      <c r="CH53" s="1013"/>
      <c r="CI53" s="1013"/>
      <c r="CJ53" s="1013"/>
      <c r="CK53" s="1013"/>
      <c r="CL53" s="1013"/>
      <c r="CM53" s="1013"/>
      <c r="CN53" s="1013"/>
      <c r="CO53" s="1013"/>
      <c r="CP53" s="1013"/>
      <c r="CQ53" s="1013"/>
      <c r="CR53" s="1013"/>
      <c r="CS53" s="1013"/>
      <c r="CT53" s="1013"/>
      <c r="CU53" s="1013"/>
      <c r="CV53" s="1013"/>
      <c r="CW53" s="1013"/>
      <c r="CX53" s="1013"/>
      <c r="CY53" s="1013"/>
      <c r="CZ53" s="1013"/>
      <c r="DA53" s="1013"/>
      <c r="DB53" s="1013"/>
      <c r="DC53" s="1013"/>
      <c r="DD53" s="1013"/>
      <c r="DE53" s="1013"/>
      <c r="DF53" s="1013"/>
      <c r="DG53" s="1013"/>
      <c r="DH53" s="1013"/>
      <c r="DI53" s="1013"/>
      <c r="DJ53" s="1013"/>
      <c r="DK53" s="1013"/>
      <c r="DL53" s="1013"/>
      <c r="DM53" s="1214"/>
      <c r="DN53" s="1222">
        <f>'Lead &amp; ANALYSIS'!G1618/9.3+'Lead &amp; ANALYSIS'!G1618*2%/9.3</f>
        <v>0.14258064516129032</v>
      </c>
      <c r="DO53" s="1013">
        <f>ROUND(C53*DN53,4)</f>
        <v>0</v>
      </c>
      <c r="DP53" s="847"/>
      <c r="DQ53" s="1013"/>
      <c r="DR53" s="1225"/>
      <c r="DS53" s="1013"/>
      <c r="DT53" s="1225"/>
      <c r="DU53" s="1214"/>
      <c r="DV53" s="1226"/>
      <c r="DW53" s="1227"/>
      <c r="DX53" s="1222"/>
      <c r="DY53" s="847"/>
      <c r="DZ53" s="847"/>
      <c r="EA53" s="847"/>
      <c r="EB53" s="847"/>
      <c r="EC53" s="847"/>
      <c r="ED53" s="847"/>
      <c r="EE53" s="847"/>
      <c r="EF53" s="847"/>
      <c r="EG53" s="1212"/>
      <c r="EH53" s="847"/>
      <c r="EI53" s="1212"/>
      <c r="EJ53" s="1101">
        <f>DO53*200+DQ53*220+DS53*240+DU53*260</f>
        <v>0</v>
      </c>
      <c r="EK53" s="1101">
        <v>31.98</v>
      </c>
    </row>
    <row r="54" spans="1:141" s="733" customFormat="1" ht="13.5">
      <c r="A54" s="1009"/>
      <c r="B54" s="1212" t="s">
        <v>2067</v>
      </c>
      <c r="C54" s="1213">
        <v>0</v>
      </c>
      <c r="D54" s="1013" t="s">
        <v>92</v>
      </c>
      <c r="E54" s="847"/>
      <c r="F54" s="1013"/>
      <c r="G54" s="847"/>
      <c r="H54" s="1013"/>
      <c r="I54" s="847"/>
      <c r="J54" s="1013"/>
      <c r="K54" s="847"/>
      <c r="L54" s="1013"/>
      <c r="M54" s="1013"/>
      <c r="N54" s="1013"/>
      <c r="O54" s="847"/>
      <c r="P54" s="1013"/>
      <c r="Q54" s="1013"/>
      <c r="R54" s="847"/>
      <c r="S54" s="847"/>
      <c r="T54" s="1013"/>
      <c r="U54" s="1013"/>
      <c r="V54" s="1013"/>
      <c r="W54" s="1013"/>
      <c r="X54" s="1013"/>
      <c r="Y54" s="1013"/>
      <c r="Z54" s="1013"/>
      <c r="AA54" s="1013"/>
      <c r="AB54" s="1013"/>
      <c r="AC54" s="1013"/>
      <c r="AD54" s="1013"/>
      <c r="AE54" s="1013"/>
      <c r="AF54" s="1013"/>
      <c r="AG54" s="1013"/>
      <c r="AH54" s="1013"/>
      <c r="AI54" s="1013"/>
      <c r="AJ54" s="1013"/>
      <c r="AK54" s="1013"/>
      <c r="AL54" s="1013"/>
      <c r="AM54" s="1013"/>
      <c r="AN54" s="1013"/>
      <c r="AO54" s="1013"/>
      <c r="AP54" s="1013"/>
      <c r="AQ54" s="1013"/>
      <c r="AR54" s="1013"/>
      <c r="AS54" s="1013"/>
      <c r="AT54" s="1013"/>
      <c r="AU54" s="1013"/>
      <c r="AV54" s="1013"/>
      <c r="AW54" s="1013"/>
      <c r="AX54" s="1013"/>
      <c r="AY54" s="1013"/>
      <c r="AZ54" s="1013"/>
      <c r="BA54" s="1013"/>
      <c r="BB54" s="1013"/>
      <c r="BC54" s="1013"/>
      <c r="BD54" s="1013"/>
      <c r="BE54" s="1013"/>
      <c r="BF54" s="1013"/>
      <c r="BG54" s="1013"/>
      <c r="BH54" s="1013"/>
      <c r="BI54" s="1013"/>
      <c r="BJ54" s="1013"/>
      <c r="BK54" s="1013"/>
      <c r="BL54" s="1013"/>
      <c r="BM54" s="1013"/>
      <c r="BN54" s="1013"/>
      <c r="BO54" s="1013"/>
      <c r="BP54" s="1013"/>
      <c r="BQ54" s="1013"/>
      <c r="BR54" s="1013"/>
      <c r="BS54" s="1013"/>
      <c r="BT54" s="1013"/>
      <c r="BU54" s="1013"/>
      <c r="BV54" s="1013"/>
      <c r="BW54" s="1013"/>
      <c r="BX54" s="1013"/>
      <c r="BY54" s="1013"/>
      <c r="BZ54" s="1013"/>
      <c r="CA54" s="1013"/>
      <c r="CB54" s="1013"/>
      <c r="CC54" s="1013"/>
      <c r="CD54" s="1013"/>
      <c r="CE54" s="1013"/>
      <c r="CF54" s="1013"/>
      <c r="CG54" s="1013"/>
      <c r="CH54" s="1013"/>
      <c r="CI54" s="1013"/>
      <c r="CJ54" s="1013"/>
      <c r="CK54" s="1013"/>
      <c r="CL54" s="1013"/>
      <c r="CM54" s="1013"/>
      <c r="CN54" s="1013"/>
      <c r="CO54" s="1013"/>
      <c r="CP54" s="1013"/>
      <c r="CQ54" s="1013"/>
      <c r="CR54" s="1013"/>
      <c r="CS54" s="1013"/>
      <c r="CT54" s="1013"/>
      <c r="CU54" s="1013"/>
      <c r="CV54" s="1013"/>
      <c r="CW54" s="1013"/>
      <c r="CX54" s="1013"/>
      <c r="CY54" s="1013"/>
      <c r="CZ54" s="1013"/>
      <c r="DA54" s="1013"/>
      <c r="DB54" s="1013"/>
      <c r="DC54" s="1013"/>
      <c r="DD54" s="1013"/>
      <c r="DE54" s="1013"/>
      <c r="DF54" s="1013"/>
      <c r="DG54" s="1013"/>
      <c r="DH54" s="1013"/>
      <c r="DI54" s="1013"/>
      <c r="DJ54" s="1013"/>
      <c r="DK54" s="1013"/>
      <c r="DL54" s="1013"/>
      <c r="DM54" s="1214"/>
      <c r="DN54" s="1222">
        <f>DN53+('Lead &amp; ANALYSIS'!G1618*5%/9.3)</f>
        <v>0.14956989247311828</v>
      </c>
      <c r="DO54" s="1013">
        <f>ROUND(C54*DN54,4)</f>
        <v>0</v>
      </c>
      <c r="DP54" s="847"/>
      <c r="DQ54" s="1013"/>
      <c r="DR54" s="1225"/>
      <c r="DS54" s="1013"/>
      <c r="DT54" s="1225"/>
      <c r="DU54" s="1214"/>
      <c r="DV54" s="1226"/>
      <c r="DW54" s="1227"/>
      <c r="DX54" s="1222"/>
      <c r="DY54" s="847"/>
      <c r="DZ54" s="847"/>
      <c r="EA54" s="847"/>
      <c r="EB54" s="847"/>
      <c r="EC54" s="847"/>
      <c r="ED54" s="847"/>
      <c r="EE54" s="847"/>
      <c r="EF54" s="847"/>
      <c r="EG54" s="1212"/>
      <c r="EH54" s="847"/>
      <c r="EI54" s="1212"/>
      <c r="EJ54" s="1101">
        <f>DO54*200+DQ54*220+DS54*240+DU54*260</f>
        <v>0</v>
      </c>
      <c r="EK54" s="1101">
        <v>33.549999999999997</v>
      </c>
    </row>
    <row r="55" spans="1:141" s="733" customFormat="1" ht="13.5">
      <c r="A55" s="1009">
        <v>16</v>
      </c>
      <c r="B55" s="1212" t="s">
        <v>3026</v>
      </c>
      <c r="C55" s="1213">
        <v>0</v>
      </c>
      <c r="D55" s="1013" t="s">
        <v>92</v>
      </c>
      <c r="E55" s="847"/>
      <c r="F55" s="1013"/>
      <c r="G55" s="847"/>
      <c r="H55" s="1013"/>
      <c r="I55" s="847"/>
      <c r="J55" s="1013"/>
      <c r="K55" s="847"/>
      <c r="L55" s="1013"/>
      <c r="M55" s="1013"/>
      <c r="N55" s="1013"/>
      <c r="O55" s="847"/>
      <c r="P55" s="1013"/>
      <c r="Q55" s="1013"/>
      <c r="R55" s="847"/>
      <c r="S55" s="847"/>
      <c r="T55" s="1013"/>
      <c r="U55" s="1013"/>
      <c r="V55" s="1013"/>
      <c r="W55" s="1013"/>
      <c r="X55" s="1013"/>
      <c r="Y55" s="1013"/>
      <c r="Z55" s="1013"/>
      <c r="AA55" s="1013"/>
      <c r="AB55" s="1013"/>
      <c r="AC55" s="1013"/>
      <c r="AD55" s="1013"/>
      <c r="AE55" s="1013"/>
      <c r="AF55" s="1013"/>
      <c r="AG55" s="1013"/>
      <c r="AH55" s="1013"/>
      <c r="AI55" s="1013"/>
      <c r="AJ55" s="1013"/>
      <c r="AK55" s="1013"/>
      <c r="AL55" s="1013"/>
      <c r="AM55" s="1013"/>
      <c r="AN55" s="1013"/>
      <c r="AO55" s="1013"/>
      <c r="AP55" s="1013"/>
      <c r="AQ55" s="1013"/>
      <c r="AR55" s="1013"/>
      <c r="AS55" s="1013"/>
      <c r="AT55" s="1013"/>
      <c r="AU55" s="1013"/>
      <c r="AV55" s="1013"/>
      <c r="AW55" s="1013"/>
      <c r="AX55" s="1013"/>
      <c r="AY55" s="1013"/>
      <c r="AZ55" s="1013"/>
      <c r="BA55" s="1013"/>
      <c r="BB55" s="1013"/>
      <c r="BC55" s="1013"/>
      <c r="BD55" s="1013"/>
      <c r="BE55" s="1013"/>
      <c r="BF55" s="1013"/>
      <c r="BG55" s="1013"/>
      <c r="BH55" s="1013"/>
      <c r="BI55" s="1013"/>
      <c r="BJ55" s="1013"/>
      <c r="BK55" s="1013"/>
      <c r="BL55" s="1013"/>
      <c r="BM55" s="1013"/>
      <c r="BN55" s="1013"/>
      <c r="BO55" s="1013"/>
      <c r="BP55" s="1013"/>
      <c r="BQ55" s="1013"/>
      <c r="BR55" s="1013"/>
      <c r="BS55" s="1013"/>
      <c r="BT55" s="1013"/>
      <c r="BU55" s="1013"/>
      <c r="BV55" s="1013"/>
      <c r="BW55" s="1013"/>
      <c r="BX55" s="1013"/>
      <c r="BY55" s="1013"/>
      <c r="BZ55" s="1013"/>
      <c r="CA55" s="1013"/>
      <c r="CB55" s="1013"/>
      <c r="CC55" s="1013"/>
      <c r="CD55" s="1013"/>
      <c r="CE55" s="1013"/>
      <c r="CF55" s="1013"/>
      <c r="CG55" s="1013"/>
      <c r="CH55" s="1013"/>
      <c r="CI55" s="1013"/>
      <c r="CJ55" s="1013"/>
      <c r="CK55" s="1013"/>
      <c r="CL55" s="1013"/>
      <c r="CM55" s="1013"/>
      <c r="CN55" s="1013"/>
      <c r="CO55" s="1013"/>
      <c r="CP55" s="1013"/>
      <c r="CQ55" s="1013"/>
      <c r="CR55" s="1013"/>
      <c r="CS55" s="1013"/>
      <c r="CT55" s="1013"/>
      <c r="CU55" s="1013"/>
      <c r="CV55" s="1013"/>
      <c r="CW55" s="1013"/>
      <c r="CX55" s="1013"/>
      <c r="CY55" s="1013"/>
      <c r="CZ55" s="1013"/>
      <c r="DA55" s="1013"/>
      <c r="DB55" s="1013"/>
      <c r="DC55" s="1013"/>
      <c r="DD55" s="1013"/>
      <c r="DE55" s="1013"/>
      <c r="DF55" s="1013"/>
      <c r="DG55" s="1013"/>
      <c r="DH55" s="1013"/>
      <c r="DI55" s="1013"/>
      <c r="DJ55" s="1013"/>
      <c r="DK55" s="1013"/>
      <c r="DL55" s="1013"/>
      <c r="DM55" s="1214"/>
      <c r="DN55" s="1222"/>
      <c r="DO55" s="1013"/>
      <c r="DP55" s="847"/>
      <c r="DQ55" s="1013"/>
      <c r="DR55" s="1225"/>
      <c r="DS55" s="1013"/>
      <c r="DT55" s="1225"/>
      <c r="DU55" s="1214"/>
      <c r="DV55" s="1226"/>
      <c r="DW55" s="1227"/>
      <c r="DX55" s="1222"/>
      <c r="DY55" s="847"/>
      <c r="DZ55" s="847"/>
      <c r="EA55" s="847"/>
      <c r="EB55" s="847"/>
      <c r="EC55" s="847"/>
      <c r="ED55" s="847"/>
      <c r="EE55" s="847"/>
      <c r="EF55" s="847"/>
      <c r="EG55" s="1212"/>
      <c r="EH55" s="847"/>
      <c r="EI55" s="1212"/>
      <c r="EJ55" s="1101"/>
      <c r="EK55" s="1101" t="e">
        <v>#REF!</v>
      </c>
    </row>
    <row r="56" spans="1:141" s="733" customFormat="1" ht="13.5">
      <c r="A56" s="1009"/>
      <c r="B56" s="1212" t="s">
        <v>2066</v>
      </c>
      <c r="C56" s="1213">
        <v>0</v>
      </c>
      <c r="D56" s="1013" t="s">
        <v>92</v>
      </c>
      <c r="E56" s="847"/>
      <c r="F56" s="1013"/>
      <c r="G56" s="847"/>
      <c r="H56" s="1013"/>
      <c r="I56" s="847"/>
      <c r="J56" s="1013"/>
      <c r="K56" s="847"/>
      <c r="L56" s="1013"/>
      <c r="M56" s="1013"/>
      <c r="N56" s="1013"/>
      <c r="O56" s="847"/>
      <c r="P56" s="1013"/>
      <c r="Q56" s="1013"/>
      <c r="R56" s="847"/>
      <c r="S56" s="847"/>
      <c r="T56" s="1013"/>
      <c r="U56" s="1013"/>
      <c r="V56" s="1013"/>
      <c r="W56" s="1013"/>
      <c r="X56" s="1013"/>
      <c r="Y56" s="1013"/>
      <c r="Z56" s="1013"/>
      <c r="AA56" s="1013"/>
      <c r="AB56" s="1013"/>
      <c r="AC56" s="1013"/>
      <c r="AD56" s="1013"/>
      <c r="AE56" s="1013"/>
      <c r="AF56" s="1013"/>
      <c r="AG56" s="1013"/>
      <c r="AH56" s="1013"/>
      <c r="AI56" s="1013"/>
      <c r="AJ56" s="1013"/>
      <c r="AK56" s="1013"/>
      <c r="AL56" s="1013"/>
      <c r="AM56" s="1013"/>
      <c r="AN56" s="1013"/>
      <c r="AO56" s="1013"/>
      <c r="AP56" s="1013"/>
      <c r="AQ56" s="1013"/>
      <c r="AR56" s="1013"/>
      <c r="AS56" s="1013"/>
      <c r="AT56" s="1013"/>
      <c r="AU56" s="1013"/>
      <c r="AV56" s="1013"/>
      <c r="AW56" s="1013"/>
      <c r="AX56" s="1013"/>
      <c r="AY56" s="1013"/>
      <c r="AZ56" s="1013"/>
      <c r="BA56" s="1013"/>
      <c r="BB56" s="1013"/>
      <c r="BC56" s="1013"/>
      <c r="BD56" s="1013"/>
      <c r="BE56" s="1013"/>
      <c r="BF56" s="1013"/>
      <c r="BG56" s="1013"/>
      <c r="BH56" s="1013"/>
      <c r="BI56" s="1013"/>
      <c r="BJ56" s="1013"/>
      <c r="BK56" s="1013"/>
      <c r="BL56" s="1013"/>
      <c r="BM56" s="1013"/>
      <c r="BN56" s="1013"/>
      <c r="BO56" s="1013"/>
      <c r="BP56" s="1013"/>
      <c r="BQ56" s="1013"/>
      <c r="BR56" s="1013"/>
      <c r="BS56" s="1013"/>
      <c r="BT56" s="1013"/>
      <c r="BU56" s="1013"/>
      <c r="BV56" s="1013"/>
      <c r="BW56" s="1013"/>
      <c r="BX56" s="1013"/>
      <c r="BY56" s="1013"/>
      <c r="BZ56" s="1013"/>
      <c r="CA56" s="1013"/>
      <c r="CB56" s="1013"/>
      <c r="CC56" s="1013"/>
      <c r="CD56" s="1013"/>
      <c r="CE56" s="1013"/>
      <c r="CF56" s="1013"/>
      <c r="CG56" s="1013"/>
      <c r="CH56" s="1013"/>
      <c r="CI56" s="1013"/>
      <c r="CJ56" s="1013"/>
      <c r="CK56" s="1013"/>
      <c r="CL56" s="1013"/>
      <c r="CM56" s="1013"/>
      <c r="CN56" s="1013"/>
      <c r="CO56" s="1013"/>
      <c r="CP56" s="1013"/>
      <c r="CQ56" s="1013"/>
      <c r="CR56" s="1013"/>
      <c r="CS56" s="1013"/>
      <c r="CT56" s="1013"/>
      <c r="CU56" s="1013"/>
      <c r="CV56" s="1013"/>
      <c r="CW56" s="1013"/>
      <c r="CX56" s="1013"/>
      <c r="CY56" s="1013"/>
      <c r="CZ56" s="1013"/>
      <c r="DA56" s="1013"/>
      <c r="DB56" s="1013"/>
      <c r="DC56" s="1013"/>
      <c r="DD56" s="1013"/>
      <c r="DE56" s="1013"/>
      <c r="DF56" s="1013"/>
      <c r="DG56" s="1013"/>
      <c r="DH56" s="1013"/>
      <c r="DI56" s="1013"/>
      <c r="DJ56" s="1013"/>
      <c r="DK56" s="1013"/>
      <c r="DL56" s="1013"/>
      <c r="DM56" s="1214"/>
      <c r="DN56" s="1222">
        <f>'Lead &amp; ANALYSIS'!G1640/9.3+'Lead &amp; ANALYSIS'!G1640*2%/9.3</f>
        <v>0.30161290322580642</v>
      </c>
      <c r="DO56" s="1013">
        <f>ROUND(C56*DN56,4)</f>
        <v>0</v>
      </c>
      <c r="DP56" s="847"/>
      <c r="DQ56" s="1013"/>
      <c r="DR56" s="1225"/>
      <c r="DS56" s="1013"/>
      <c r="DT56" s="1225"/>
      <c r="DU56" s="1214"/>
      <c r="DV56" s="1226"/>
      <c r="DW56" s="1227"/>
      <c r="DX56" s="1222"/>
      <c r="DY56" s="847"/>
      <c r="DZ56" s="847"/>
      <c r="EA56" s="847"/>
      <c r="EB56" s="847"/>
      <c r="EC56" s="847"/>
      <c r="ED56" s="847"/>
      <c r="EE56" s="847"/>
      <c r="EF56" s="847"/>
      <c r="EG56" s="1212"/>
      <c r="EH56" s="847"/>
      <c r="EI56" s="1212"/>
      <c r="EJ56" s="1101">
        <f>DO56*200+DQ56*220+DS56*240+DU56*260</f>
        <v>0</v>
      </c>
      <c r="EK56" s="1101">
        <v>67.650000000000006</v>
      </c>
    </row>
    <row r="57" spans="1:141" s="733" customFormat="1" ht="13.5">
      <c r="A57" s="1009"/>
      <c r="B57" s="1212" t="s">
        <v>2067</v>
      </c>
      <c r="C57" s="1213">
        <v>0</v>
      </c>
      <c r="D57" s="1013" t="s">
        <v>92</v>
      </c>
      <c r="E57" s="847"/>
      <c r="F57" s="1013"/>
      <c r="G57" s="847"/>
      <c r="H57" s="1013"/>
      <c r="I57" s="847"/>
      <c r="J57" s="1013"/>
      <c r="K57" s="847"/>
      <c r="L57" s="1013"/>
      <c r="M57" s="1013"/>
      <c r="N57" s="1013"/>
      <c r="O57" s="847"/>
      <c r="P57" s="1013"/>
      <c r="Q57" s="1013"/>
      <c r="R57" s="847"/>
      <c r="S57" s="847"/>
      <c r="T57" s="1013"/>
      <c r="U57" s="1013"/>
      <c r="V57" s="1013"/>
      <c r="W57" s="1013"/>
      <c r="X57" s="1013"/>
      <c r="Y57" s="1013"/>
      <c r="Z57" s="1013"/>
      <c r="AA57" s="1013"/>
      <c r="AB57" s="1013"/>
      <c r="AC57" s="1013"/>
      <c r="AD57" s="1013"/>
      <c r="AE57" s="1013"/>
      <c r="AF57" s="1013"/>
      <c r="AG57" s="1013"/>
      <c r="AH57" s="1013"/>
      <c r="AI57" s="1013"/>
      <c r="AJ57" s="1013"/>
      <c r="AK57" s="1013"/>
      <c r="AL57" s="1013"/>
      <c r="AM57" s="1013"/>
      <c r="AN57" s="1013"/>
      <c r="AO57" s="1013"/>
      <c r="AP57" s="1013"/>
      <c r="AQ57" s="1013"/>
      <c r="AR57" s="1013"/>
      <c r="AS57" s="1013"/>
      <c r="AT57" s="1013"/>
      <c r="AU57" s="1013"/>
      <c r="AV57" s="1013"/>
      <c r="AW57" s="1013"/>
      <c r="AX57" s="1013"/>
      <c r="AY57" s="1013"/>
      <c r="AZ57" s="1013"/>
      <c r="BA57" s="1013"/>
      <c r="BB57" s="1013"/>
      <c r="BC57" s="1013"/>
      <c r="BD57" s="1013"/>
      <c r="BE57" s="1013"/>
      <c r="BF57" s="1013"/>
      <c r="BG57" s="1013"/>
      <c r="BH57" s="1013"/>
      <c r="BI57" s="1013"/>
      <c r="BJ57" s="1013"/>
      <c r="BK57" s="1013"/>
      <c r="BL57" s="1013"/>
      <c r="BM57" s="1013"/>
      <c r="BN57" s="1013"/>
      <c r="BO57" s="1013"/>
      <c r="BP57" s="1013"/>
      <c r="BQ57" s="1013"/>
      <c r="BR57" s="1013"/>
      <c r="BS57" s="1013"/>
      <c r="BT57" s="1013"/>
      <c r="BU57" s="1013"/>
      <c r="BV57" s="1013"/>
      <c r="BW57" s="1013"/>
      <c r="BX57" s="1013"/>
      <c r="BY57" s="1013"/>
      <c r="BZ57" s="1013"/>
      <c r="CA57" s="1013"/>
      <c r="CB57" s="1013"/>
      <c r="CC57" s="1013"/>
      <c r="CD57" s="1013"/>
      <c r="CE57" s="1013"/>
      <c r="CF57" s="1013"/>
      <c r="CG57" s="1013"/>
      <c r="CH57" s="1013"/>
      <c r="CI57" s="1013"/>
      <c r="CJ57" s="1013"/>
      <c r="CK57" s="1013"/>
      <c r="CL57" s="1013"/>
      <c r="CM57" s="1013"/>
      <c r="CN57" s="1013"/>
      <c r="CO57" s="1013"/>
      <c r="CP57" s="1013"/>
      <c r="CQ57" s="1013"/>
      <c r="CR57" s="1013"/>
      <c r="CS57" s="1013"/>
      <c r="CT57" s="1013"/>
      <c r="CU57" s="1013"/>
      <c r="CV57" s="1013"/>
      <c r="CW57" s="1013"/>
      <c r="CX57" s="1013"/>
      <c r="CY57" s="1013"/>
      <c r="CZ57" s="1013"/>
      <c r="DA57" s="1013"/>
      <c r="DB57" s="1013"/>
      <c r="DC57" s="1013"/>
      <c r="DD57" s="1013"/>
      <c r="DE57" s="1013"/>
      <c r="DF57" s="1013"/>
      <c r="DG57" s="1013"/>
      <c r="DH57" s="1013"/>
      <c r="DI57" s="1013"/>
      <c r="DJ57" s="1013"/>
      <c r="DK57" s="1013"/>
      <c r="DL57" s="1013"/>
      <c r="DM57" s="1214"/>
      <c r="DN57" s="1222">
        <f>DN56+('Lead &amp; ANALYSIS'!G1640*5%/9.3)</f>
        <v>0.31639784946236554</v>
      </c>
      <c r="DO57" s="1013">
        <f>ROUND(C57*DN57,4)</f>
        <v>0</v>
      </c>
      <c r="DP57" s="847"/>
      <c r="DQ57" s="1013"/>
      <c r="DR57" s="1225"/>
      <c r="DS57" s="1013"/>
      <c r="DT57" s="1225"/>
      <c r="DU57" s="1214"/>
      <c r="DV57" s="1226"/>
      <c r="DW57" s="1227"/>
      <c r="DX57" s="1222"/>
      <c r="DY57" s="847"/>
      <c r="DZ57" s="847"/>
      <c r="EA57" s="847"/>
      <c r="EB57" s="847"/>
      <c r="EC57" s="847"/>
      <c r="ED57" s="847"/>
      <c r="EE57" s="847"/>
      <c r="EF57" s="847"/>
      <c r="EG57" s="1212"/>
      <c r="EH57" s="847"/>
      <c r="EI57" s="1212"/>
      <c r="EJ57" s="1101">
        <f>DO57*200+DQ57*220+DS57*240+DU57*260</f>
        <v>0</v>
      </c>
      <c r="EK57" s="1101">
        <v>70.97</v>
      </c>
    </row>
    <row r="58" spans="1:141" s="733" customFormat="1" ht="13.5">
      <c r="A58" s="1009">
        <v>17</v>
      </c>
      <c r="B58" s="1212" t="s">
        <v>3027</v>
      </c>
      <c r="C58" s="1213">
        <v>0</v>
      </c>
      <c r="D58" s="1013" t="s">
        <v>92</v>
      </c>
      <c r="E58" s="847"/>
      <c r="F58" s="1013"/>
      <c r="G58" s="847"/>
      <c r="H58" s="1013"/>
      <c r="I58" s="847"/>
      <c r="J58" s="1013"/>
      <c r="K58" s="847"/>
      <c r="L58" s="1013"/>
      <c r="M58" s="1013"/>
      <c r="N58" s="1013"/>
      <c r="O58" s="847"/>
      <c r="P58" s="1013"/>
      <c r="Q58" s="1013"/>
      <c r="R58" s="847"/>
      <c r="S58" s="847"/>
      <c r="T58" s="1013"/>
      <c r="U58" s="1013"/>
      <c r="V58" s="1013"/>
      <c r="W58" s="1013"/>
      <c r="X58" s="1013"/>
      <c r="Y58" s="1013"/>
      <c r="Z58" s="1013"/>
      <c r="AA58" s="1013"/>
      <c r="AB58" s="1013"/>
      <c r="AC58" s="1013"/>
      <c r="AD58" s="1013"/>
      <c r="AE58" s="1013"/>
      <c r="AF58" s="1013"/>
      <c r="AG58" s="1013"/>
      <c r="AH58" s="1013"/>
      <c r="AI58" s="1013"/>
      <c r="AJ58" s="1013"/>
      <c r="AK58" s="1013"/>
      <c r="AL58" s="1013"/>
      <c r="AM58" s="1013"/>
      <c r="AN58" s="1013"/>
      <c r="AO58" s="1013"/>
      <c r="AP58" s="1013"/>
      <c r="AQ58" s="1013"/>
      <c r="AR58" s="1013"/>
      <c r="AS58" s="1013"/>
      <c r="AT58" s="1013"/>
      <c r="AU58" s="1013"/>
      <c r="AV58" s="1013"/>
      <c r="AW58" s="1013"/>
      <c r="AX58" s="1013"/>
      <c r="AY58" s="1013"/>
      <c r="AZ58" s="1013"/>
      <c r="BA58" s="1013"/>
      <c r="BB58" s="1013"/>
      <c r="BC58" s="1013"/>
      <c r="BD58" s="1013"/>
      <c r="BE58" s="1013"/>
      <c r="BF58" s="1013"/>
      <c r="BG58" s="1013"/>
      <c r="BH58" s="1013"/>
      <c r="BI58" s="1013"/>
      <c r="BJ58" s="1013"/>
      <c r="BK58" s="1013"/>
      <c r="BL58" s="1013"/>
      <c r="BM58" s="1013"/>
      <c r="BN58" s="1013"/>
      <c r="BO58" s="1013"/>
      <c r="BP58" s="1013"/>
      <c r="BQ58" s="1013"/>
      <c r="BR58" s="1013"/>
      <c r="BS58" s="1013"/>
      <c r="BT58" s="1013"/>
      <c r="BU58" s="1013"/>
      <c r="BV58" s="1013"/>
      <c r="BW58" s="1013"/>
      <c r="BX58" s="1013"/>
      <c r="BY58" s="1013"/>
      <c r="BZ58" s="1013"/>
      <c r="CA58" s="1013"/>
      <c r="CB58" s="1013"/>
      <c r="CC58" s="1013"/>
      <c r="CD58" s="1013"/>
      <c r="CE58" s="1013"/>
      <c r="CF58" s="1013"/>
      <c r="CG58" s="1013"/>
      <c r="CH58" s="1013"/>
      <c r="CI58" s="1013"/>
      <c r="CJ58" s="1013"/>
      <c r="CK58" s="1013"/>
      <c r="CL58" s="1013"/>
      <c r="CM58" s="1013"/>
      <c r="CN58" s="1013"/>
      <c r="CO58" s="1013"/>
      <c r="CP58" s="1013"/>
      <c r="CQ58" s="1013"/>
      <c r="CR58" s="1013"/>
      <c r="CS58" s="1013"/>
      <c r="CT58" s="1013"/>
      <c r="CU58" s="1013"/>
      <c r="CV58" s="1013"/>
      <c r="CW58" s="1013"/>
      <c r="CX58" s="1013"/>
      <c r="CY58" s="1013"/>
      <c r="CZ58" s="1013"/>
      <c r="DA58" s="1013"/>
      <c r="DB58" s="1013"/>
      <c r="DC58" s="1013"/>
      <c r="DD58" s="1013"/>
      <c r="DE58" s="1013"/>
      <c r="DF58" s="1013"/>
      <c r="DG58" s="1013"/>
      <c r="DH58" s="1013"/>
      <c r="DI58" s="1013"/>
      <c r="DJ58" s="1013"/>
      <c r="DK58" s="1013"/>
      <c r="DL58" s="1013"/>
      <c r="DM58" s="1214"/>
      <c r="DN58" s="1222"/>
      <c r="DO58" s="1013"/>
      <c r="DP58" s="847"/>
      <c r="DQ58" s="1013"/>
      <c r="DR58" s="1225"/>
      <c r="DS58" s="1013"/>
      <c r="DT58" s="1225"/>
      <c r="DU58" s="1214"/>
      <c r="DV58" s="1226"/>
      <c r="DW58" s="1227"/>
      <c r="DX58" s="1222"/>
      <c r="DY58" s="847"/>
      <c r="DZ58" s="847"/>
      <c r="EA58" s="847"/>
      <c r="EB58" s="847"/>
      <c r="EC58" s="847"/>
      <c r="ED58" s="847"/>
      <c r="EE58" s="847"/>
      <c r="EF58" s="847"/>
      <c r="EG58" s="1212"/>
      <c r="EH58" s="847"/>
      <c r="EI58" s="1212"/>
      <c r="EJ58" s="1101"/>
      <c r="EK58" s="1101" t="e">
        <v>#REF!</v>
      </c>
    </row>
    <row r="59" spans="1:141" s="733" customFormat="1" ht="13.5">
      <c r="A59" s="1009"/>
      <c r="B59" s="1212" t="s">
        <v>2066</v>
      </c>
      <c r="C59" s="1213">
        <v>0</v>
      </c>
      <c r="D59" s="1013" t="s">
        <v>92</v>
      </c>
      <c r="E59" s="847"/>
      <c r="F59" s="1013"/>
      <c r="G59" s="847"/>
      <c r="H59" s="1013"/>
      <c r="I59" s="847"/>
      <c r="J59" s="1013"/>
      <c r="K59" s="847"/>
      <c r="L59" s="1013"/>
      <c r="M59" s="1013"/>
      <c r="N59" s="1013"/>
      <c r="O59" s="847"/>
      <c r="P59" s="1013"/>
      <c r="Q59" s="1013"/>
      <c r="R59" s="847"/>
      <c r="S59" s="847"/>
      <c r="T59" s="1013"/>
      <c r="U59" s="1013"/>
      <c r="V59" s="1013"/>
      <c r="W59" s="1013"/>
      <c r="X59" s="1013"/>
      <c r="Y59" s="1013"/>
      <c r="Z59" s="1013"/>
      <c r="AA59" s="1013"/>
      <c r="AB59" s="1013"/>
      <c r="AC59" s="1013"/>
      <c r="AD59" s="1013"/>
      <c r="AE59" s="1013"/>
      <c r="AF59" s="1013"/>
      <c r="AG59" s="1013"/>
      <c r="AH59" s="1013"/>
      <c r="AI59" s="1013"/>
      <c r="AJ59" s="1013"/>
      <c r="AK59" s="1013"/>
      <c r="AL59" s="1013"/>
      <c r="AM59" s="1013"/>
      <c r="AN59" s="1013"/>
      <c r="AO59" s="1013"/>
      <c r="AP59" s="1013"/>
      <c r="AQ59" s="1013"/>
      <c r="AR59" s="1013"/>
      <c r="AS59" s="1013"/>
      <c r="AT59" s="1013"/>
      <c r="AU59" s="1013"/>
      <c r="AV59" s="1013"/>
      <c r="AW59" s="1013"/>
      <c r="AX59" s="1013"/>
      <c r="AY59" s="1013"/>
      <c r="AZ59" s="1013"/>
      <c r="BA59" s="1013"/>
      <c r="BB59" s="1013"/>
      <c r="BC59" s="1013"/>
      <c r="BD59" s="1013"/>
      <c r="BE59" s="1013"/>
      <c r="BF59" s="1013"/>
      <c r="BG59" s="1013"/>
      <c r="BH59" s="1013"/>
      <c r="BI59" s="1013"/>
      <c r="BJ59" s="1013"/>
      <c r="BK59" s="1013"/>
      <c r="BL59" s="1013"/>
      <c r="BM59" s="1013"/>
      <c r="BN59" s="1013"/>
      <c r="BO59" s="1013"/>
      <c r="BP59" s="1013"/>
      <c r="BQ59" s="1013"/>
      <c r="BR59" s="1013"/>
      <c r="BS59" s="1013"/>
      <c r="BT59" s="1013"/>
      <c r="BU59" s="1013"/>
      <c r="BV59" s="1013"/>
      <c r="BW59" s="1013"/>
      <c r="BX59" s="1013"/>
      <c r="BY59" s="1013"/>
      <c r="BZ59" s="1013"/>
      <c r="CA59" s="1013"/>
      <c r="CB59" s="1013"/>
      <c r="CC59" s="1013"/>
      <c r="CD59" s="1013"/>
      <c r="CE59" s="1013"/>
      <c r="CF59" s="1013"/>
      <c r="CG59" s="1013"/>
      <c r="CH59" s="1013"/>
      <c r="CI59" s="1013"/>
      <c r="CJ59" s="1013"/>
      <c r="CK59" s="1013"/>
      <c r="CL59" s="1013"/>
      <c r="CM59" s="1013"/>
      <c r="CN59" s="1013"/>
      <c r="CO59" s="1013"/>
      <c r="CP59" s="1013"/>
      <c r="CQ59" s="1013"/>
      <c r="CR59" s="1013"/>
      <c r="CS59" s="1013"/>
      <c r="CT59" s="1013"/>
      <c r="CU59" s="1013"/>
      <c r="CV59" s="1013"/>
      <c r="CW59" s="1013"/>
      <c r="CX59" s="1013"/>
      <c r="CY59" s="1013"/>
      <c r="CZ59" s="1013"/>
      <c r="DA59" s="1013"/>
      <c r="DB59" s="1013"/>
      <c r="DC59" s="1013"/>
      <c r="DD59" s="1013"/>
      <c r="DE59" s="1013"/>
      <c r="DF59" s="1013"/>
      <c r="DG59" s="1013"/>
      <c r="DH59" s="1013"/>
      <c r="DI59" s="1013"/>
      <c r="DJ59" s="1013"/>
      <c r="DK59" s="1013"/>
      <c r="DL59" s="1013"/>
      <c r="DM59" s="1214"/>
      <c r="DN59" s="1222">
        <f>'Lead &amp; ANALYSIS'!G1662/9.3+'Lead &amp; ANALYSIS'!G1662*2%/9.3</f>
        <v>0.57580645161290311</v>
      </c>
      <c r="DO59" s="1013">
        <f>ROUND(C59*DN59,4)</f>
        <v>0</v>
      </c>
      <c r="DP59" s="847"/>
      <c r="DQ59" s="1013"/>
      <c r="DR59" s="1225"/>
      <c r="DS59" s="1013"/>
      <c r="DT59" s="1225"/>
      <c r="DU59" s="1214"/>
      <c r="DV59" s="1226"/>
      <c r="DW59" s="1227"/>
      <c r="DX59" s="1222"/>
      <c r="DY59" s="847"/>
      <c r="DZ59" s="847"/>
      <c r="EA59" s="847"/>
      <c r="EB59" s="847"/>
      <c r="EC59" s="847"/>
      <c r="ED59" s="847"/>
      <c r="EE59" s="847"/>
      <c r="EF59" s="847"/>
      <c r="EG59" s="1212"/>
      <c r="EH59" s="847"/>
      <c r="EI59" s="1212"/>
      <c r="EJ59" s="1101">
        <f>DO59*200+DQ59*220+DS59*240+DU59*260</f>
        <v>0</v>
      </c>
      <c r="EK59" s="1101">
        <v>129.15</v>
      </c>
    </row>
    <row r="60" spans="1:141" s="733" customFormat="1" ht="13.5">
      <c r="A60" s="1009"/>
      <c r="B60" s="1212" t="s">
        <v>2067</v>
      </c>
      <c r="C60" s="1213">
        <v>0</v>
      </c>
      <c r="D60" s="1013" t="s">
        <v>92</v>
      </c>
      <c r="E60" s="847"/>
      <c r="F60" s="1013"/>
      <c r="G60" s="847"/>
      <c r="H60" s="1013"/>
      <c r="I60" s="847"/>
      <c r="J60" s="1013"/>
      <c r="K60" s="847"/>
      <c r="L60" s="1013"/>
      <c r="M60" s="1013"/>
      <c r="N60" s="1013"/>
      <c r="O60" s="847"/>
      <c r="P60" s="1013"/>
      <c r="Q60" s="1013"/>
      <c r="R60" s="847"/>
      <c r="S60" s="847"/>
      <c r="T60" s="1013"/>
      <c r="U60" s="1013"/>
      <c r="V60" s="1013"/>
      <c r="W60" s="1013"/>
      <c r="X60" s="1013"/>
      <c r="Y60" s="1013"/>
      <c r="Z60" s="1013"/>
      <c r="AA60" s="1013"/>
      <c r="AB60" s="1013"/>
      <c r="AC60" s="1013"/>
      <c r="AD60" s="1013"/>
      <c r="AE60" s="1013"/>
      <c r="AF60" s="1013"/>
      <c r="AG60" s="1013"/>
      <c r="AH60" s="1013"/>
      <c r="AI60" s="1013"/>
      <c r="AJ60" s="1013"/>
      <c r="AK60" s="1013"/>
      <c r="AL60" s="1013"/>
      <c r="AM60" s="1013"/>
      <c r="AN60" s="1013"/>
      <c r="AO60" s="1013"/>
      <c r="AP60" s="1013"/>
      <c r="AQ60" s="1013"/>
      <c r="AR60" s="1013"/>
      <c r="AS60" s="1013"/>
      <c r="AT60" s="1013"/>
      <c r="AU60" s="1013"/>
      <c r="AV60" s="1013"/>
      <c r="AW60" s="1013"/>
      <c r="AX60" s="1013"/>
      <c r="AY60" s="1013"/>
      <c r="AZ60" s="1013"/>
      <c r="BA60" s="1013"/>
      <c r="BB60" s="1013"/>
      <c r="BC60" s="1013"/>
      <c r="BD60" s="1013"/>
      <c r="BE60" s="1013"/>
      <c r="BF60" s="1013"/>
      <c r="BG60" s="1013"/>
      <c r="BH60" s="1013"/>
      <c r="BI60" s="1013"/>
      <c r="BJ60" s="1013"/>
      <c r="BK60" s="1013"/>
      <c r="BL60" s="1013"/>
      <c r="BM60" s="1013"/>
      <c r="BN60" s="1013"/>
      <c r="BO60" s="1013"/>
      <c r="BP60" s="1013"/>
      <c r="BQ60" s="1013"/>
      <c r="BR60" s="1013"/>
      <c r="BS60" s="1013"/>
      <c r="BT60" s="1013"/>
      <c r="BU60" s="1013"/>
      <c r="BV60" s="1013"/>
      <c r="BW60" s="1013"/>
      <c r="BX60" s="1013"/>
      <c r="BY60" s="1013"/>
      <c r="BZ60" s="1013"/>
      <c r="CA60" s="1013"/>
      <c r="CB60" s="1013"/>
      <c r="CC60" s="1013"/>
      <c r="CD60" s="1013"/>
      <c r="CE60" s="1013"/>
      <c r="CF60" s="1013"/>
      <c r="CG60" s="1013"/>
      <c r="CH60" s="1013"/>
      <c r="CI60" s="1013"/>
      <c r="CJ60" s="1013"/>
      <c r="CK60" s="1013"/>
      <c r="CL60" s="1013"/>
      <c r="CM60" s="1013"/>
      <c r="CN60" s="1013"/>
      <c r="CO60" s="1013"/>
      <c r="CP60" s="1013"/>
      <c r="CQ60" s="1013"/>
      <c r="CR60" s="1013"/>
      <c r="CS60" s="1013"/>
      <c r="CT60" s="1013"/>
      <c r="CU60" s="1013"/>
      <c r="CV60" s="1013"/>
      <c r="CW60" s="1013"/>
      <c r="CX60" s="1013"/>
      <c r="CY60" s="1013"/>
      <c r="CZ60" s="1013"/>
      <c r="DA60" s="1013"/>
      <c r="DB60" s="1013"/>
      <c r="DC60" s="1013"/>
      <c r="DD60" s="1013"/>
      <c r="DE60" s="1013"/>
      <c r="DF60" s="1013"/>
      <c r="DG60" s="1013"/>
      <c r="DH60" s="1013"/>
      <c r="DI60" s="1013"/>
      <c r="DJ60" s="1013"/>
      <c r="DK60" s="1013"/>
      <c r="DL60" s="1013"/>
      <c r="DM60" s="1214"/>
      <c r="DN60" s="1222">
        <f>DN59+('Lead &amp; ANALYSIS'!G1662*5%/9.3)</f>
        <v>0.60403225806451599</v>
      </c>
      <c r="DO60" s="1013">
        <f>ROUND(C60*DN60,4)</f>
        <v>0</v>
      </c>
      <c r="DP60" s="847"/>
      <c r="DQ60" s="1013"/>
      <c r="DR60" s="1225"/>
      <c r="DS60" s="1013"/>
      <c r="DT60" s="1225"/>
      <c r="DU60" s="1214"/>
      <c r="DV60" s="1226"/>
      <c r="DW60" s="1227"/>
      <c r="DX60" s="1222"/>
      <c r="DY60" s="847"/>
      <c r="DZ60" s="847"/>
      <c r="EA60" s="847"/>
      <c r="EB60" s="847"/>
      <c r="EC60" s="847"/>
      <c r="ED60" s="847"/>
      <c r="EE60" s="847"/>
      <c r="EF60" s="847"/>
      <c r="EG60" s="1212"/>
      <c r="EH60" s="847"/>
      <c r="EI60" s="1212"/>
      <c r="EJ60" s="1101">
        <f>DO60*200+DQ60*220+DS60*240+DU60*260</f>
        <v>0</v>
      </c>
      <c r="EK60" s="1101">
        <v>135.48000000000002</v>
      </c>
    </row>
    <row r="61" spans="1:141" s="733" customFormat="1" ht="13.5">
      <c r="A61" s="1009">
        <v>18</v>
      </c>
      <c r="B61" s="1212" t="s">
        <v>3028</v>
      </c>
      <c r="C61" s="1213">
        <v>0</v>
      </c>
      <c r="D61" s="1013" t="s">
        <v>92</v>
      </c>
      <c r="E61" s="847"/>
      <c r="F61" s="1013"/>
      <c r="G61" s="847"/>
      <c r="H61" s="1013"/>
      <c r="I61" s="847"/>
      <c r="J61" s="1013"/>
      <c r="K61" s="847"/>
      <c r="L61" s="1013"/>
      <c r="M61" s="1013"/>
      <c r="N61" s="1013"/>
      <c r="O61" s="847"/>
      <c r="P61" s="1013"/>
      <c r="Q61" s="1013"/>
      <c r="R61" s="847"/>
      <c r="S61" s="847"/>
      <c r="T61" s="1013"/>
      <c r="U61" s="1013"/>
      <c r="V61" s="1013"/>
      <c r="W61" s="1013"/>
      <c r="X61" s="1013"/>
      <c r="Y61" s="1013"/>
      <c r="Z61" s="1013"/>
      <c r="AA61" s="1013"/>
      <c r="AB61" s="1013"/>
      <c r="AC61" s="1013"/>
      <c r="AD61" s="1013"/>
      <c r="AE61" s="1013"/>
      <c r="AF61" s="1013"/>
      <c r="AG61" s="1013"/>
      <c r="AH61" s="1013"/>
      <c r="AI61" s="1013"/>
      <c r="AJ61" s="1013"/>
      <c r="AK61" s="1013"/>
      <c r="AL61" s="1013"/>
      <c r="AM61" s="1013"/>
      <c r="AN61" s="1013"/>
      <c r="AO61" s="1013"/>
      <c r="AP61" s="1013"/>
      <c r="AQ61" s="1013"/>
      <c r="AR61" s="1013"/>
      <c r="AS61" s="1013"/>
      <c r="AT61" s="1013"/>
      <c r="AU61" s="1013"/>
      <c r="AV61" s="1013"/>
      <c r="AW61" s="1013"/>
      <c r="AX61" s="1013"/>
      <c r="AY61" s="1013"/>
      <c r="AZ61" s="1013"/>
      <c r="BA61" s="1013"/>
      <c r="BB61" s="1013"/>
      <c r="BC61" s="1013"/>
      <c r="BD61" s="1013"/>
      <c r="BE61" s="1013"/>
      <c r="BF61" s="1013"/>
      <c r="BG61" s="1013"/>
      <c r="BH61" s="1013"/>
      <c r="BI61" s="1013"/>
      <c r="BJ61" s="1013"/>
      <c r="BK61" s="1013"/>
      <c r="BL61" s="1013"/>
      <c r="BM61" s="1013"/>
      <c r="BN61" s="1013"/>
      <c r="BO61" s="1013"/>
      <c r="BP61" s="1013"/>
      <c r="BQ61" s="1013"/>
      <c r="BR61" s="1013"/>
      <c r="BS61" s="1013"/>
      <c r="BT61" s="1013"/>
      <c r="BU61" s="1013"/>
      <c r="BV61" s="1013"/>
      <c r="BW61" s="1013"/>
      <c r="BX61" s="1013"/>
      <c r="BY61" s="1013"/>
      <c r="BZ61" s="1013"/>
      <c r="CA61" s="1013"/>
      <c r="CB61" s="1013"/>
      <c r="CC61" s="1013"/>
      <c r="CD61" s="1013"/>
      <c r="CE61" s="1013"/>
      <c r="CF61" s="1013"/>
      <c r="CG61" s="1013"/>
      <c r="CH61" s="1013"/>
      <c r="CI61" s="1013"/>
      <c r="CJ61" s="1013"/>
      <c r="CK61" s="1013"/>
      <c r="CL61" s="1013"/>
      <c r="CM61" s="1013"/>
      <c r="CN61" s="1013"/>
      <c r="CO61" s="1013"/>
      <c r="CP61" s="1013"/>
      <c r="CQ61" s="1013"/>
      <c r="CR61" s="1013"/>
      <c r="CS61" s="1013"/>
      <c r="CT61" s="1013"/>
      <c r="CU61" s="1013"/>
      <c r="CV61" s="1013"/>
      <c r="CW61" s="1013"/>
      <c r="CX61" s="1013"/>
      <c r="CY61" s="1013"/>
      <c r="CZ61" s="1013"/>
      <c r="DA61" s="1013"/>
      <c r="DB61" s="1013"/>
      <c r="DC61" s="1013"/>
      <c r="DD61" s="1013"/>
      <c r="DE61" s="1013"/>
      <c r="DF61" s="1013"/>
      <c r="DG61" s="1013"/>
      <c r="DH61" s="1013"/>
      <c r="DI61" s="1013"/>
      <c r="DJ61" s="1013"/>
      <c r="DK61" s="1013"/>
      <c r="DL61" s="1013"/>
      <c r="DM61" s="1214"/>
      <c r="DN61" s="1222"/>
      <c r="DO61" s="1013"/>
      <c r="DP61" s="847"/>
      <c r="DQ61" s="1013"/>
      <c r="DR61" s="1225"/>
      <c r="DS61" s="1013"/>
      <c r="DT61" s="1225"/>
      <c r="DU61" s="1214"/>
      <c r="DV61" s="1231"/>
      <c r="DW61" s="1227"/>
      <c r="DX61" s="1222"/>
      <c r="DY61" s="847"/>
      <c r="DZ61" s="847"/>
      <c r="EA61" s="847"/>
      <c r="EB61" s="847"/>
      <c r="EC61" s="847"/>
      <c r="ED61" s="847"/>
      <c r="EE61" s="847"/>
      <c r="EF61" s="847"/>
      <c r="EG61" s="1212"/>
      <c r="EH61" s="847"/>
      <c r="EI61" s="1212"/>
      <c r="EJ61" s="1101"/>
      <c r="EK61" s="1101" t="e">
        <v>#REF!</v>
      </c>
    </row>
    <row r="62" spans="1:141" s="733" customFormat="1" ht="13.5">
      <c r="A62" s="1009"/>
      <c r="B62" s="1212" t="s">
        <v>2066</v>
      </c>
      <c r="C62" s="1213">
        <v>0</v>
      </c>
      <c r="D62" s="1013" t="s">
        <v>92</v>
      </c>
      <c r="E62" s="847"/>
      <c r="F62" s="1013"/>
      <c r="G62" s="847"/>
      <c r="H62" s="1013"/>
      <c r="I62" s="847"/>
      <c r="J62" s="1013"/>
      <c r="K62" s="847"/>
      <c r="L62" s="1013"/>
      <c r="M62" s="1013"/>
      <c r="N62" s="1013"/>
      <c r="O62" s="847"/>
      <c r="P62" s="1013"/>
      <c r="Q62" s="1013"/>
      <c r="R62" s="847"/>
      <c r="S62" s="847"/>
      <c r="T62" s="1013"/>
      <c r="U62" s="1013"/>
      <c r="V62" s="1013"/>
      <c r="W62" s="1013"/>
      <c r="X62" s="1013"/>
      <c r="Y62" s="1013"/>
      <c r="Z62" s="1013"/>
      <c r="AA62" s="1013"/>
      <c r="AB62" s="1013"/>
      <c r="AC62" s="1013"/>
      <c r="AD62" s="1013"/>
      <c r="AE62" s="1013"/>
      <c r="AF62" s="1013"/>
      <c r="AG62" s="1013"/>
      <c r="AH62" s="1013"/>
      <c r="AI62" s="1013"/>
      <c r="AJ62" s="1013"/>
      <c r="AK62" s="1013"/>
      <c r="AL62" s="1013"/>
      <c r="AM62" s="1013"/>
      <c r="AN62" s="1013"/>
      <c r="AO62" s="1013"/>
      <c r="AP62" s="1013"/>
      <c r="AQ62" s="1013"/>
      <c r="AR62" s="1013"/>
      <c r="AS62" s="1013"/>
      <c r="AT62" s="1013"/>
      <c r="AU62" s="1013"/>
      <c r="AV62" s="1013"/>
      <c r="AW62" s="1013"/>
      <c r="AX62" s="1013"/>
      <c r="AY62" s="1013"/>
      <c r="AZ62" s="1013"/>
      <c r="BA62" s="1013"/>
      <c r="BB62" s="1013"/>
      <c r="BC62" s="1013"/>
      <c r="BD62" s="1013"/>
      <c r="BE62" s="1013"/>
      <c r="BF62" s="1013"/>
      <c r="BG62" s="1013"/>
      <c r="BH62" s="1013"/>
      <c r="BI62" s="1013"/>
      <c r="BJ62" s="1013"/>
      <c r="BK62" s="1013"/>
      <c r="BL62" s="1013"/>
      <c r="BM62" s="1013"/>
      <c r="BN62" s="1013"/>
      <c r="BO62" s="1013"/>
      <c r="BP62" s="1013"/>
      <c r="BQ62" s="1013"/>
      <c r="BR62" s="1013"/>
      <c r="BS62" s="1013"/>
      <c r="BT62" s="1013"/>
      <c r="BU62" s="1013"/>
      <c r="BV62" s="1013"/>
      <c r="BW62" s="1013"/>
      <c r="BX62" s="1013"/>
      <c r="BY62" s="1013"/>
      <c r="BZ62" s="1013"/>
      <c r="CA62" s="1013"/>
      <c r="CB62" s="1013"/>
      <c r="CC62" s="1013"/>
      <c r="CD62" s="1013"/>
      <c r="CE62" s="1013"/>
      <c r="CF62" s="1013"/>
      <c r="CG62" s="1013"/>
      <c r="CH62" s="1013"/>
      <c r="CI62" s="1013"/>
      <c r="CJ62" s="1013"/>
      <c r="CK62" s="1013"/>
      <c r="CL62" s="1013"/>
      <c r="CM62" s="1013"/>
      <c r="CN62" s="1013"/>
      <c r="CO62" s="1013"/>
      <c r="CP62" s="1013"/>
      <c r="CQ62" s="1013"/>
      <c r="CR62" s="1013"/>
      <c r="CS62" s="1013"/>
      <c r="CT62" s="1013"/>
      <c r="CU62" s="1013"/>
      <c r="CV62" s="1013"/>
      <c r="CW62" s="1013"/>
      <c r="CX62" s="1013"/>
      <c r="CY62" s="1013"/>
      <c r="CZ62" s="1013"/>
      <c r="DA62" s="1013"/>
      <c r="DB62" s="1013"/>
      <c r="DC62" s="1013"/>
      <c r="DD62" s="1013"/>
      <c r="DE62" s="1013"/>
      <c r="DF62" s="1013"/>
      <c r="DG62" s="1013"/>
      <c r="DH62" s="1013"/>
      <c r="DI62" s="1013"/>
      <c r="DJ62" s="1013"/>
      <c r="DK62" s="1013"/>
      <c r="DL62" s="1013"/>
      <c r="DM62" s="1214"/>
      <c r="DN62" s="1222">
        <f>'Lead &amp; ANALYSIS'!G1684/9.3+'Lead &amp; ANALYSIS'!G1684*2%/9.3</f>
        <v>0.13709677419354838</v>
      </c>
      <c r="DO62" s="1013">
        <f>ROUND(C62*DN62,4)</f>
        <v>0</v>
      </c>
      <c r="DP62" s="847"/>
      <c r="DQ62" s="1013"/>
      <c r="DR62" s="1225">
        <f>'Lead &amp; ANALYSIS'!G1685/9.3+'Lead &amp; ANALYSIS'!G1685*2%/9.3</f>
        <v>3.6193548387096777E-2</v>
      </c>
      <c r="DS62" s="1013">
        <f>ROUND(C62*DR62,4)</f>
        <v>0</v>
      </c>
      <c r="DT62" s="1225"/>
      <c r="DU62" s="1214"/>
      <c r="DV62" s="1226"/>
      <c r="DW62" s="1232"/>
      <c r="DX62" s="1222"/>
      <c r="DY62" s="847"/>
      <c r="DZ62" s="847"/>
      <c r="EA62" s="847"/>
      <c r="EB62" s="847"/>
      <c r="EC62" s="847"/>
      <c r="ED62" s="847"/>
      <c r="EE62" s="847"/>
      <c r="EF62" s="847"/>
      <c r="EG62" s="1212"/>
      <c r="EH62" s="847"/>
      <c r="EI62" s="1212"/>
      <c r="EJ62" s="1101">
        <f>DO62*200+DQ62*220+DS62*240+DU62*260</f>
        <v>0</v>
      </c>
      <c r="EK62" s="1101">
        <v>40.32</v>
      </c>
    </row>
    <row r="63" spans="1:141" s="733" customFormat="1" ht="13.5">
      <c r="A63" s="1009"/>
      <c r="B63" s="1212" t="s">
        <v>2067</v>
      </c>
      <c r="C63" s="1213">
        <v>0</v>
      </c>
      <c r="D63" s="1013" t="s">
        <v>92</v>
      </c>
      <c r="E63" s="847"/>
      <c r="F63" s="1013"/>
      <c r="G63" s="847"/>
      <c r="H63" s="1013"/>
      <c r="I63" s="847"/>
      <c r="J63" s="1013"/>
      <c r="K63" s="847"/>
      <c r="L63" s="1013"/>
      <c r="M63" s="1013"/>
      <c r="N63" s="1013"/>
      <c r="O63" s="847"/>
      <c r="P63" s="1013"/>
      <c r="Q63" s="1013"/>
      <c r="R63" s="847"/>
      <c r="S63" s="847"/>
      <c r="T63" s="1013"/>
      <c r="U63" s="1013"/>
      <c r="V63" s="1013"/>
      <c r="W63" s="1013"/>
      <c r="X63" s="1013"/>
      <c r="Y63" s="1013"/>
      <c r="Z63" s="1013"/>
      <c r="AA63" s="1013"/>
      <c r="AB63" s="1013"/>
      <c r="AC63" s="1013"/>
      <c r="AD63" s="1013"/>
      <c r="AE63" s="1013"/>
      <c r="AF63" s="1013"/>
      <c r="AG63" s="1013"/>
      <c r="AH63" s="1013"/>
      <c r="AI63" s="1013"/>
      <c r="AJ63" s="1013"/>
      <c r="AK63" s="1013"/>
      <c r="AL63" s="1013"/>
      <c r="AM63" s="1013"/>
      <c r="AN63" s="1013"/>
      <c r="AO63" s="1013"/>
      <c r="AP63" s="1013"/>
      <c r="AQ63" s="1013"/>
      <c r="AR63" s="1013"/>
      <c r="AS63" s="1013"/>
      <c r="AT63" s="1013"/>
      <c r="AU63" s="1013"/>
      <c r="AV63" s="1013"/>
      <c r="AW63" s="1013"/>
      <c r="AX63" s="1013"/>
      <c r="AY63" s="1013"/>
      <c r="AZ63" s="1013"/>
      <c r="BA63" s="1013"/>
      <c r="BB63" s="1013"/>
      <c r="BC63" s="1013"/>
      <c r="BD63" s="1013"/>
      <c r="BE63" s="1013"/>
      <c r="BF63" s="1013"/>
      <c r="BG63" s="1013"/>
      <c r="BH63" s="1013"/>
      <c r="BI63" s="1013"/>
      <c r="BJ63" s="1013"/>
      <c r="BK63" s="1013"/>
      <c r="BL63" s="1013"/>
      <c r="BM63" s="1013"/>
      <c r="BN63" s="1013"/>
      <c r="BO63" s="1013"/>
      <c r="BP63" s="1013"/>
      <c r="BQ63" s="1013"/>
      <c r="BR63" s="1013"/>
      <c r="BS63" s="1013"/>
      <c r="BT63" s="1013"/>
      <c r="BU63" s="1013"/>
      <c r="BV63" s="1013"/>
      <c r="BW63" s="1013"/>
      <c r="BX63" s="1013"/>
      <c r="BY63" s="1013"/>
      <c r="BZ63" s="1013"/>
      <c r="CA63" s="1013"/>
      <c r="CB63" s="1013"/>
      <c r="CC63" s="1013"/>
      <c r="CD63" s="1013"/>
      <c r="CE63" s="1013"/>
      <c r="CF63" s="1013"/>
      <c r="CG63" s="1013"/>
      <c r="CH63" s="1013"/>
      <c r="CI63" s="1013"/>
      <c r="CJ63" s="1013"/>
      <c r="CK63" s="1013"/>
      <c r="CL63" s="1013"/>
      <c r="CM63" s="1013"/>
      <c r="CN63" s="1013"/>
      <c r="CO63" s="1013"/>
      <c r="CP63" s="1013"/>
      <c r="CQ63" s="1013"/>
      <c r="CR63" s="1013"/>
      <c r="CS63" s="1013"/>
      <c r="CT63" s="1013"/>
      <c r="CU63" s="1013"/>
      <c r="CV63" s="1013"/>
      <c r="CW63" s="1013"/>
      <c r="CX63" s="1013"/>
      <c r="CY63" s="1013"/>
      <c r="CZ63" s="1013"/>
      <c r="DA63" s="1013"/>
      <c r="DB63" s="1013"/>
      <c r="DC63" s="1013"/>
      <c r="DD63" s="1013"/>
      <c r="DE63" s="1013"/>
      <c r="DF63" s="1013"/>
      <c r="DG63" s="1013"/>
      <c r="DH63" s="1013"/>
      <c r="DI63" s="1013"/>
      <c r="DJ63" s="1013"/>
      <c r="DK63" s="1013"/>
      <c r="DL63" s="1013"/>
      <c r="DM63" s="1214"/>
      <c r="DN63" s="1222">
        <f>DN62+('Lead &amp; ANALYSIS'!G1684*5%/9.3)</f>
        <v>0.14381720430107525</v>
      </c>
      <c r="DO63" s="1013">
        <f>ROUND(C63*DN63,4)</f>
        <v>0</v>
      </c>
      <c r="DP63" s="847"/>
      <c r="DQ63" s="1013"/>
      <c r="DR63" s="847">
        <f>DR62+'Lead &amp; ANALYSIS'!G1685*5%/9.3</f>
        <v>3.7967741935483877E-2</v>
      </c>
      <c r="DS63" s="1013">
        <f>ROUND(C63*DR63,4)</f>
        <v>0</v>
      </c>
      <c r="DT63" s="1225"/>
      <c r="DU63" s="1013"/>
      <c r="DV63" s="1000"/>
      <c r="DW63" s="1229"/>
      <c r="DX63" s="847"/>
      <c r="DY63" s="847"/>
      <c r="DZ63" s="847"/>
      <c r="EA63" s="847"/>
      <c r="EB63" s="847"/>
      <c r="EC63" s="847"/>
      <c r="ED63" s="847"/>
      <c r="EE63" s="847"/>
      <c r="EF63" s="847"/>
      <c r="EG63" s="1212"/>
      <c r="EH63" s="847"/>
      <c r="EI63" s="1212"/>
      <c r="EJ63" s="1101">
        <f>DO63*200+DQ63*220+DS63*240+DU63*260</f>
        <v>0</v>
      </c>
      <c r="EK63" s="1101">
        <v>42.3</v>
      </c>
    </row>
    <row r="64" spans="1:141" s="733" customFormat="1" ht="13.5">
      <c r="A64" s="1009">
        <v>19</v>
      </c>
      <c r="B64" s="1212" t="s">
        <v>3029</v>
      </c>
      <c r="C64" s="1213">
        <v>0</v>
      </c>
      <c r="D64" s="1013" t="s">
        <v>92</v>
      </c>
      <c r="E64" s="847"/>
      <c r="F64" s="1013"/>
      <c r="G64" s="847"/>
      <c r="H64" s="1013"/>
      <c r="I64" s="847"/>
      <c r="J64" s="1013"/>
      <c r="K64" s="847"/>
      <c r="L64" s="1013"/>
      <c r="M64" s="1013"/>
      <c r="N64" s="1013"/>
      <c r="O64" s="847"/>
      <c r="P64" s="1013"/>
      <c r="Q64" s="1013"/>
      <c r="R64" s="847"/>
      <c r="S64" s="847"/>
      <c r="T64" s="1013"/>
      <c r="U64" s="1013"/>
      <c r="V64" s="1013"/>
      <c r="W64" s="1013"/>
      <c r="X64" s="1013"/>
      <c r="Y64" s="1013"/>
      <c r="Z64" s="1013"/>
      <c r="AA64" s="1013"/>
      <c r="AB64" s="1013"/>
      <c r="AC64" s="1013"/>
      <c r="AD64" s="1013"/>
      <c r="AE64" s="1013"/>
      <c r="AF64" s="1013"/>
      <c r="AG64" s="1013"/>
      <c r="AH64" s="1013"/>
      <c r="AI64" s="1013"/>
      <c r="AJ64" s="1013"/>
      <c r="AK64" s="1013"/>
      <c r="AL64" s="1013"/>
      <c r="AM64" s="1013"/>
      <c r="AN64" s="1013"/>
      <c r="AO64" s="1013"/>
      <c r="AP64" s="1013"/>
      <c r="AQ64" s="1013"/>
      <c r="AR64" s="1013"/>
      <c r="AS64" s="1013"/>
      <c r="AT64" s="1013"/>
      <c r="AU64" s="1013"/>
      <c r="AV64" s="1013"/>
      <c r="AW64" s="1013"/>
      <c r="AX64" s="1013"/>
      <c r="AY64" s="1013"/>
      <c r="AZ64" s="1013"/>
      <c r="BA64" s="1013"/>
      <c r="BB64" s="1013"/>
      <c r="BC64" s="1013"/>
      <c r="BD64" s="1013"/>
      <c r="BE64" s="1013"/>
      <c r="BF64" s="1013"/>
      <c r="BG64" s="1013"/>
      <c r="BH64" s="1013"/>
      <c r="BI64" s="1013"/>
      <c r="BJ64" s="1013"/>
      <c r="BK64" s="1013"/>
      <c r="BL64" s="1013"/>
      <c r="BM64" s="1013"/>
      <c r="BN64" s="1013"/>
      <c r="BO64" s="1013"/>
      <c r="BP64" s="1013"/>
      <c r="BQ64" s="1013"/>
      <c r="BR64" s="1013"/>
      <c r="BS64" s="1013"/>
      <c r="BT64" s="1013"/>
      <c r="BU64" s="1013"/>
      <c r="BV64" s="1013"/>
      <c r="BW64" s="1013"/>
      <c r="BX64" s="1013"/>
      <c r="BY64" s="1013"/>
      <c r="BZ64" s="1013"/>
      <c r="CA64" s="1013"/>
      <c r="CB64" s="1013"/>
      <c r="CC64" s="1013"/>
      <c r="CD64" s="1013"/>
      <c r="CE64" s="1013"/>
      <c r="CF64" s="1013"/>
      <c r="CG64" s="1013"/>
      <c r="CH64" s="1013"/>
      <c r="CI64" s="1013"/>
      <c r="CJ64" s="1013"/>
      <c r="CK64" s="1013"/>
      <c r="CL64" s="1013"/>
      <c r="CM64" s="1013"/>
      <c r="CN64" s="1013"/>
      <c r="CO64" s="1013"/>
      <c r="CP64" s="1013"/>
      <c r="CQ64" s="1013"/>
      <c r="CR64" s="1013"/>
      <c r="CS64" s="1013"/>
      <c r="CT64" s="1013"/>
      <c r="CU64" s="1013"/>
      <c r="CV64" s="1013"/>
      <c r="CW64" s="1013"/>
      <c r="CX64" s="1013"/>
      <c r="CY64" s="1013"/>
      <c r="CZ64" s="1013"/>
      <c r="DA64" s="1013"/>
      <c r="DB64" s="1013"/>
      <c r="DC64" s="1013"/>
      <c r="DD64" s="1013"/>
      <c r="DE64" s="1013"/>
      <c r="DF64" s="1013"/>
      <c r="DG64" s="1013"/>
      <c r="DH64" s="1013"/>
      <c r="DI64" s="1013"/>
      <c r="DJ64" s="1013"/>
      <c r="DK64" s="1013"/>
      <c r="DL64" s="1013"/>
      <c r="DM64" s="1214"/>
      <c r="DN64" s="1222"/>
      <c r="DO64" s="1013"/>
      <c r="DP64" s="847"/>
      <c r="DQ64" s="1013"/>
      <c r="DR64" s="1225"/>
      <c r="DS64" s="1013"/>
      <c r="DT64" s="1225"/>
      <c r="DU64" s="713"/>
      <c r="DV64" s="1226"/>
      <c r="DW64" s="1229"/>
      <c r="DX64" s="847"/>
      <c r="DY64" s="847"/>
      <c r="DZ64" s="847"/>
      <c r="EA64" s="847"/>
      <c r="EB64" s="847"/>
      <c r="EC64" s="847"/>
      <c r="ED64" s="847"/>
      <c r="EE64" s="847"/>
      <c r="EF64" s="847"/>
      <c r="EG64" s="1212"/>
      <c r="EH64" s="847"/>
      <c r="EI64" s="1212"/>
      <c r="EJ64" s="1101"/>
      <c r="EK64" s="1101" t="e">
        <v>#REF!</v>
      </c>
    </row>
    <row r="65" spans="1:141" s="733" customFormat="1" ht="13.5">
      <c r="A65" s="1009"/>
      <c r="B65" s="1212" t="s">
        <v>2066</v>
      </c>
      <c r="C65" s="1213">
        <v>0</v>
      </c>
      <c r="D65" s="1013" t="s">
        <v>92</v>
      </c>
      <c r="E65" s="847"/>
      <c r="F65" s="1013"/>
      <c r="G65" s="847"/>
      <c r="H65" s="1013"/>
      <c r="I65" s="847"/>
      <c r="J65" s="1013"/>
      <c r="K65" s="847"/>
      <c r="L65" s="1013"/>
      <c r="M65" s="1013"/>
      <c r="N65" s="1013"/>
      <c r="O65" s="847"/>
      <c r="P65" s="1013"/>
      <c r="Q65" s="1013"/>
      <c r="R65" s="847"/>
      <c r="S65" s="847"/>
      <c r="T65" s="1013"/>
      <c r="U65" s="1013"/>
      <c r="V65" s="1013"/>
      <c r="W65" s="1013"/>
      <c r="X65" s="1013"/>
      <c r="Y65" s="1013"/>
      <c r="Z65" s="1013"/>
      <c r="AA65" s="1013"/>
      <c r="AB65" s="1013"/>
      <c r="AC65" s="1013"/>
      <c r="AD65" s="1013"/>
      <c r="AE65" s="1013"/>
      <c r="AF65" s="1013"/>
      <c r="AG65" s="1013"/>
      <c r="AH65" s="1013"/>
      <c r="AI65" s="1013"/>
      <c r="AJ65" s="1013"/>
      <c r="AK65" s="1013"/>
      <c r="AL65" s="1013"/>
      <c r="AM65" s="1013"/>
      <c r="AN65" s="1013"/>
      <c r="AO65" s="1013"/>
      <c r="AP65" s="1013"/>
      <c r="AQ65" s="1013"/>
      <c r="AR65" s="1013"/>
      <c r="AS65" s="1013"/>
      <c r="AT65" s="1013"/>
      <c r="AU65" s="1013"/>
      <c r="AV65" s="1013"/>
      <c r="AW65" s="1013"/>
      <c r="AX65" s="1013"/>
      <c r="AY65" s="1013"/>
      <c r="AZ65" s="1013"/>
      <c r="BA65" s="1013"/>
      <c r="BB65" s="1013"/>
      <c r="BC65" s="1013"/>
      <c r="BD65" s="1013"/>
      <c r="BE65" s="1013"/>
      <c r="BF65" s="1013"/>
      <c r="BG65" s="1013"/>
      <c r="BH65" s="1013"/>
      <c r="BI65" s="1013"/>
      <c r="BJ65" s="1013"/>
      <c r="BK65" s="1013"/>
      <c r="BL65" s="1013"/>
      <c r="BM65" s="1013"/>
      <c r="BN65" s="1013"/>
      <c r="BO65" s="1013"/>
      <c r="BP65" s="1013"/>
      <c r="BQ65" s="1013"/>
      <c r="BR65" s="1013"/>
      <c r="BS65" s="1013"/>
      <c r="BT65" s="1013"/>
      <c r="BU65" s="1013"/>
      <c r="BV65" s="1013"/>
      <c r="BW65" s="1013"/>
      <c r="BX65" s="1013"/>
      <c r="BY65" s="1013"/>
      <c r="BZ65" s="1013"/>
      <c r="CA65" s="1013"/>
      <c r="CB65" s="1013"/>
      <c r="CC65" s="1013"/>
      <c r="CD65" s="1013"/>
      <c r="CE65" s="1013"/>
      <c r="CF65" s="1013"/>
      <c r="CG65" s="1013"/>
      <c r="CH65" s="1013"/>
      <c r="CI65" s="1013"/>
      <c r="CJ65" s="1013"/>
      <c r="CK65" s="1013"/>
      <c r="CL65" s="1013"/>
      <c r="CM65" s="1013"/>
      <c r="CN65" s="1013"/>
      <c r="CO65" s="1013"/>
      <c r="CP65" s="1013"/>
      <c r="CQ65" s="1013"/>
      <c r="CR65" s="1013"/>
      <c r="CS65" s="1013"/>
      <c r="CT65" s="1013"/>
      <c r="CU65" s="1013"/>
      <c r="CV65" s="1013"/>
      <c r="CW65" s="1013"/>
      <c r="CX65" s="1013"/>
      <c r="CY65" s="1013"/>
      <c r="CZ65" s="1013"/>
      <c r="DA65" s="1013"/>
      <c r="DB65" s="1013"/>
      <c r="DC65" s="1013"/>
      <c r="DD65" s="1013"/>
      <c r="DE65" s="1013"/>
      <c r="DF65" s="1013"/>
      <c r="DG65" s="1013"/>
      <c r="DH65" s="1013"/>
      <c r="DI65" s="1013"/>
      <c r="DJ65" s="1013"/>
      <c r="DK65" s="1013"/>
      <c r="DL65" s="1013"/>
      <c r="DM65" s="1214"/>
      <c r="DN65" s="1222">
        <f>'Lead &amp; ANALYSIS'!G1707/9.3+'Lead &amp; ANALYSIS'!G1707*2%/9.3</f>
        <v>0.19193548387096773</v>
      </c>
      <c r="DO65" s="1013">
        <f>ROUND(C65*DN65,4)</f>
        <v>0</v>
      </c>
      <c r="DP65" s="847"/>
      <c r="DQ65" s="1013"/>
      <c r="DR65" s="1225"/>
      <c r="DS65" s="1013"/>
      <c r="DT65" s="1225"/>
      <c r="DU65" s="713"/>
      <c r="DV65" s="1000"/>
      <c r="DW65" s="1229"/>
      <c r="DX65" s="847"/>
      <c r="DY65" s="847"/>
      <c r="DZ65" s="847"/>
      <c r="EA65" s="847"/>
      <c r="EB65" s="847"/>
      <c r="EC65" s="847"/>
      <c r="ED65" s="847"/>
      <c r="EE65" s="847"/>
      <c r="EF65" s="847"/>
      <c r="EG65" s="1212"/>
      <c r="EH65" s="847"/>
      <c r="EI65" s="1212"/>
      <c r="EJ65" s="1101">
        <f>DO65*200+DQ65*220+DS65*240+DU65*260</f>
        <v>0</v>
      </c>
      <c r="EK65" s="1101">
        <v>43.05</v>
      </c>
    </row>
    <row r="66" spans="1:141" s="733" customFormat="1" ht="13.5">
      <c r="A66" s="1009"/>
      <c r="B66" s="1212" t="s">
        <v>2067</v>
      </c>
      <c r="C66" s="1213">
        <v>0</v>
      </c>
      <c r="D66" s="1013" t="s">
        <v>92</v>
      </c>
      <c r="E66" s="847"/>
      <c r="F66" s="1013"/>
      <c r="G66" s="847"/>
      <c r="H66" s="1013"/>
      <c r="I66" s="847"/>
      <c r="J66" s="1013"/>
      <c r="K66" s="847"/>
      <c r="L66" s="1013"/>
      <c r="M66" s="1013"/>
      <c r="N66" s="1013"/>
      <c r="O66" s="847"/>
      <c r="P66" s="1013"/>
      <c r="Q66" s="1013"/>
      <c r="R66" s="847"/>
      <c r="S66" s="847"/>
      <c r="T66" s="1013"/>
      <c r="U66" s="1013"/>
      <c r="V66" s="1013"/>
      <c r="W66" s="1013"/>
      <c r="X66" s="1013"/>
      <c r="Y66" s="1013"/>
      <c r="Z66" s="1013"/>
      <c r="AA66" s="1013"/>
      <c r="AB66" s="1013"/>
      <c r="AC66" s="1013"/>
      <c r="AD66" s="1013"/>
      <c r="AE66" s="1013"/>
      <c r="AF66" s="1013"/>
      <c r="AG66" s="1013"/>
      <c r="AH66" s="1013"/>
      <c r="AI66" s="1013"/>
      <c r="AJ66" s="1013"/>
      <c r="AK66" s="1013"/>
      <c r="AL66" s="1013"/>
      <c r="AM66" s="1013"/>
      <c r="AN66" s="1013"/>
      <c r="AO66" s="1013"/>
      <c r="AP66" s="1013"/>
      <c r="AQ66" s="1013"/>
      <c r="AR66" s="1013"/>
      <c r="AS66" s="1013"/>
      <c r="AT66" s="1013"/>
      <c r="AU66" s="1013"/>
      <c r="AV66" s="1013"/>
      <c r="AW66" s="1013"/>
      <c r="AX66" s="1013"/>
      <c r="AY66" s="1013"/>
      <c r="AZ66" s="1013"/>
      <c r="BA66" s="1013"/>
      <c r="BB66" s="1013"/>
      <c r="BC66" s="1013"/>
      <c r="BD66" s="1013"/>
      <c r="BE66" s="1013"/>
      <c r="BF66" s="1013"/>
      <c r="BG66" s="1013"/>
      <c r="BH66" s="1013"/>
      <c r="BI66" s="1013"/>
      <c r="BJ66" s="1013"/>
      <c r="BK66" s="1013"/>
      <c r="BL66" s="1013"/>
      <c r="BM66" s="1013"/>
      <c r="BN66" s="1013"/>
      <c r="BO66" s="1013"/>
      <c r="BP66" s="1013"/>
      <c r="BQ66" s="1013"/>
      <c r="BR66" s="1013"/>
      <c r="BS66" s="1013"/>
      <c r="BT66" s="1013"/>
      <c r="BU66" s="1013"/>
      <c r="BV66" s="1013"/>
      <c r="BW66" s="1013"/>
      <c r="BX66" s="1013"/>
      <c r="BY66" s="1013"/>
      <c r="BZ66" s="1013"/>
      <c r="CA66" s="1013"/>
      <c r="CB66" s="1013"/>
      <c r="CC66" s="1013"/>
      <c r="CD66" s="1013"/>
      <c r="CE66" s="1013"/>
      <c r="CF66" s="1013"/>
      <c r="CG66" s="1013"/>
      <c r="CH66" s="1013"/>
      <c r="CI66" s="1013"/>
      <c r="CJ66" s="1013"/>
      <c r="CK66" s="1013"/>
      <c r="CL66" s="1013"/>
      <c r="CM66" s="1013"/>
      <c r="CN66" s="1013"/>
      <c r="CO66" s="1013"/>
      <c r="CP66" s="1013"/>
      <c r="CQ66" s="1013"/>
      <c r="CR66" s="1013"/>
      <c r="CS66" s="1013"/>
      <c r="CT66" s="1013"/>
      <c r="CU66" s="1013"/>
      <c r="CV66" s="1013"/>
      <c r="CW66" s="1013"/>
      <c r="CX66" s="1013"/>
      <c r="CY66" s="1013"/>
      <c r="CZ66" s="1013"/>
      <c r="DA66" s="1013"/>
      <c r="DB66" s="1013"/>
      <c r="DC66" s="1013"/>
      <c r="DD66" s="1013"/>
      <c r="DE66" s="1013"/>
      <c r="DF66" s="1013"/>
      <c r="DG66" s="1013"/>
      <c r="DH66" s="1013"/>
      <c r="DI66" s="1013"/>
      <c r="DJ66" s="1013"/>
      <c r="DK66" s="1013"/>
      <c r="DL66" s="1013"/>
      <c r="DM66" s="1233"/>
      <c r="DN66" s="1222">
        <f>DN65+('Lead &amp; ANALYSIS'!G1707*5%/9.3)</f>
        <v>0.20134408602150536</v>
      </c>
      <c r="DO66" s="1013">
        <f>ROUND(C66*DN66,4)</f>
        <v>0</v>
      </c>
      <c r="DP66" s="847"/>
      <c r="DQ66" s="1013"/>
      <c r="DR66" s="847"/>
      <c r="DS66" s="1013"/>
      <c r="DT66" s="1225"/>
      <c r="DU66" s="713"/>
      <c r="DV66" s="1000"/>
      <c r="DW66" s="1229"/>
      <c r="DX66" s="847"/>
      <c r="DY66" s="847"/>
      <c r="DZ66" s="847"/>
      <c r="EA66" s="847"/>
      <c r="EB66" s="847"/>
      <c r="EC66" s="847"/>
      <c r="ED66" s="847"/>
      <c r="EE66" s="847"/>
      <c r="EF66" s="847"/>
      <c r="EG66" s="1212"/>
      <c r="EH66" s="847"/>
      <c r="EI66" s="1212"/>
      <c r="EJ66" s="1101">
        <f>DO66*200+DQ66*220+DS66*240+DU66*260</f>
        <v>0</v>
      </c>
      <c r="EK66" s="1101">
        <v>45.16</v>
      </c>
    </row>
    <row r="67" spans="1:141" s="714" customFormat="1" ht="13.5">
      <c r="A67" s="1009">
        <v>20</v>
      </c>
      <c r="B67" s="1212" t="s">
        <v>3030</v>
      </c>
      <c r="C67" s="1213">
        <v>0</v>
      </c>
      <c r="D67" s="1013" t="s">
        <v>92</v>
      </c>
      <c r="E67" s="847"/>
      <c r="F67" s="1013"/>
      <c r="G67" s="847"/>
      <c r="H67" s="1013"/>
      <c r="I67" s="847"/>
      <c r="J67" s="1013"/>
      <c r="K67" s="847"/>
      <c r="L67" s="1013"/>
      <c r="M67" s="1013"/>
      <c r="N67" s="1013"/>
      <c r="O67" s="847"/>
      <c r="P67" s="1013"/>
      <c r="Q67" s="1013"/>
      <c r="R67" s="847"/>
      <c r="S67" s="847"/>
      <c r="T67" s="1013"/>
      <c r="U67" s="1013"/>
      <c r="V67" s="1013"/>
      <c r="W67" s="1013"/>
      <c r="X67" s="1013"/>
      <c r="Y67" s="1013"/>
      <c r="Z67" s="1013"/>
      <c r="AA67" s="1013"/>
      <c r="AB67" s="1013"/>
      <c r="AC67" s="1013"/>
      <c r="AD67" s="1013"/>
      <c r="AE67" s="1013"/>
      <c r="AF67" s="1013"/>
      <c r="AG67" s="1013"/>
      <c r="AH67" s="1013"/>
      <c r="AI67" s="1013"/>
      <c r="AJ67" s="1013"/>
      <c r="AK67" s="1013"/>
      <c r="AL67" s="1013"/>
      <c r="AM67" s="1013"/>
      <c r="AN67" s="1013"/>
      <c r="AO67" s="1013"/>
      <c r="AP67" s="1013"/>
      <c r="AQ67" s="1013"/>
      <c r="AR67" s="1013"/>
      <c r="AS67" s="1013"/>
      <c r="AT67" s="1013"/>
      <c r="AU67" s="1013"/>
      <c r="AV67" s="1013"/>
      <c r="AW67" s="1013"/>
      <c r="AX67" s="1013"/>
      <c r="AY67" s="1013"/>
      <c r="AZ67" s="1013"/>
      <c r="BA67" s="1013"/>
      <c r="BB67" s="1013"/>
      <c r="BC67" s="1013"/>
      <c r="BD67" s="1013"/>
      <c r="BE67" s="1013"/>
      <c r="BF67" s="1013"/>
      <c r="BG67" s="1013"/>
      <c r="BH67" s="1013"/>
      <c r="BI67" s="1013"/>
      <c r="BJ67" s="1013"/>
      <c r="BK67" s="1013"/>
      <c r="BL67" s="1013"/>
      <c r="BM67" s="1013"/>
      <c r="BN67" s="1013"/>
      <c r="BO67" s="1013"/>
      <c r="BP67" s="1013"/>
      <c r="BQ67" s="1013"/>
      <c r="BR67" s="1013"/>
      <c r="BS67" s="1013"/>
      <c r="BT67" s="1013"/>
      <c r="BU67" s="1013"/>
      <c r="BV67" s="1013"/>
      <c r="BW67" s="1013"/>
      <c r="BX67" s="1013"/>
      <c r="BY67" s="1013"/>
      <c r="BZ67" s="1013"/>
      <c r="CA67" s="1013"/>
      <c r="CB67" s="1013"/>
      <c r="CC67" s="1013"/>
      <c r="CD67" s="1013"/>
      <c r="CE67" s="1013"/>
      <c r="CF67" s="1013"/>
      <c r="CG67" s="1013"/>
      <c r="CH67" s="1013"/>
      <c r="CI67" s="1013"/>
      <c r="CJ67" s="1013"/>
      <c r="CK67" s="1013"/>
      <c r="CL67" s="1013"/>
      <c r="CM67" s="1013"/>
      <c r="CN67" s="1013"/>
      <c r="CO67" s="1013"/>
      <c r="CP67" s="1013"/>
      <c r="CQ67" s="1013"/>
      <c r="CR67" s="1013"/>
      <c r="CS67" s="1013"/>
      <c r="CT67" s="1013"/>
      <c r="CU67" s="1013"/>
      <c r="CV67" s="1013"/>
      <c r="CW67" s="1013"/>
      <c r="CX67" s="1013"/>
      <c r="CY67" s="1013"/>
      <c r="CZ67" s="1013"/>
      <c r="DA67" s="1013"/>
      <c r="DB67" s="1013"/>
      <c r="DC67" s="1013"/>
      <c r="DD67" s="1013"/>
      <c r="DE67" s="1013"/>
      <c r="DF67" s="1013"/>
      <c r="DG67" s="1013"/>
      <c r="DH67" s="1013"/>
      <c r="DI67" s="1013"/>
      <c r="DJ67" s="1013"/>
      <c r="DK67" s="1013"/>
      <c r="DL67" s="1013"/>
      <c r="DM67" s="1233"/>
      <c r="DN67" s="1222"/>
      <c r="DO67" s="1013"/>
      <c r="DP67" s="847"/>
      <c r="DQ67" s="1013"/>
      <c r="DR67" s="1225"/>
      <c r="DS67" s="1013"/>
      <c r="DT67" s="1225"/>
      <c r="DU67" s="713"/>
      <c r="DV67" s="1000"/>
      <c r="DW67" s="1234"/>
      <c r="DX67" s="1000"/>
      <c r="DY67" s="847"/>
      <c r="DZ67" s="847"/>
      <c r="EA67" s="847"/>
      <c r="EB67" s="847"/>
      <c r="EC67" s="847"/>
      <c r="ED67" s="847"/>
      <c r="EE67" s="847"/>
      <c r="EF67" s="847"/>
      <c r="EG67" s="1212"/>
      <c r="EH67" s="847"/>
      <c r="EI67" s="1212"/>
      <c r="EJ67" s="715"/>
      <c r="EK67" s="1101" t="e">
        <v>#REF!</v>
      </c>
    </row>
    <row r="68" spans="1:141" s="714" customFormat="1" ht="13.5">
      <c r="A68" s="1009"/>
      <c r="B68" s="1212" t="s">
        <v>2066</v>
      </c>
      <c r="C68" s="1213">
        <v>0</v>
      </c>
      <c r="D68" s="1013" t="s">
        <v>92</v>
      </c>
      <c r="E68" s="847"/>
      <c r="F68" s="1013"/>
      <c r="G68" s="847"/>
      <c r="H68" s="1013"/>
      <c r="I68" s="847"/>
      <c r="J68" s="1013"/>
      <c r="K68" s="847"/>
      <c r="L68" s="1013"/>
      <c r="M68" s="1013"/>
      <c r="N68" s="1013"/>
      <c r="O68" s="847"/>
      <c r="P68" s="1013"/>
      <c r="Q68" s="1013"/>
      <c r="R68" s="847"/>
      <c r="S68" s="847"/>
      <c r="T68" s="1013"/>
      <c r="U68" s="1013"/>
      <c r="V68" s="1013"/>
      <c r="W68" s="1013"/>
      <c r="X68" s="1013"/>
      <c r="Y68" s="1013"/>
      <c r="Z68" s="1013"/>
      <c r="AA68" s="1013"/>
      <c r="AB68" s="1013"/>
      <c r="AC68" s="1013"/>
      <c r="AD68" s="1013"/>
      <c r="AE68" s="1013"/>
      <c r="AF68" s="1013"/>
      <c r="AG68" s="1013"/>
      <c r="AH68" s="1013"/>
      <c r="AI68" s="1013"/>
      <c r="AJ68" s="1013"/>
      <c r="AK68" s="1013"/>
      <c r="AL68" s="1013"/>
      <c r="AM68" s="1013"/>
      <c r="AN68" s="1013"/>
      <c r="AO68" s="1013"/>
      <c r="AP68" s="1013"/>
      <c r="AQ68" s="1013"/>
      <c r="AR68" s="1013"/>
      <c r="AS68" s="1013"/>
      <c r="AT68" s="1013"/>
      <c r="AU68" s="1013"/>
      <c r="AV68" s="1013"/>
      <c r="AW68" s="1013"/>
      <c r="AX68" s="1013"/>
      <c r="AY68" s="1013"/>
      <c r="AZ68" s="1013"/>
      <c r="BA68" s="1013"/>
      <c r="BB68" s="1013"/>
      <c r="BC68" s="1013"/>
      <c r="BD68" s="1013"/>
      <c r="BE68" s="1013"/>
      <c r="BF68" s="1013"/>
      <c r="BG68" s="1013"/>
      <c r="BH68" s="1013"/>
      <c r="BI68" s="1013"/>
      <c r="BJ68" s="1013"/>
      <c r="BK68" s="1013"/>
      <c r="BL68" s="1013"/>
      <c r="BM68" s="1013"/>
      <c r="BN68" s="1013"/>
      <c r="BO68" s="1013"/>
      <c r="BP68" s="1013"/>
      <c r="BQ68" s="1013"/>
      <c r="BR68" s="1013"/>
      <c r="BS68" s="1013"/>
      <c r="BT68" s="1013"/>
      <c r="BU68" s="1013"/>
      <c r="BV68" s="1013"/>
      <c r="BW68" s="1013"/>
      <c r="BX68" s="1013"/>
      <c r="BY68" s="1013"/>
      <c r="BZ68" s="1013"/>
      <c r="CA68" s="1013"/>
      <c r="CB68" s="1013"/>
      <c r="CC68" s="1013"/>
      <c r="CD68" s="1013"/>
      <c r="CE68" s="1013"/>
      <c r="CF68" s="1013"/>
      <c r="CG68" s="1013"/>
      <c r="CH68" s="1013"/>
      <c r="CI68" s="1013"/>
      <c r="CJ68" s="1013"/>
      <c r="CK68" s="1013"/>
      <c r="CL68" s="1013"/>
      <c r="CM68" s="1013"/>
      <c r="CN68" s="1013"/>
      <c r="CO68" s="1013"/>
      <c r="CP68" s="1013"/>
      <c r="CQ68" s="1013"/>
      <c r="CR68" s="1013"/>
      <c r="CS68" s="1013"/>
      <c r="CT68" s="1013"/>
      <c r="CU68" s="1013"/>
      <c r="CV68" s="1013"/>
      <c r="CW68" s="1013"/>
      <c r="CX68" s="1013"/>
      <c r="CY68" s="1013"/>
      <c r="CZ68" s="1013"/>
      <c r="DA68" s="1013"/>
      <c r="DB68" s="1013"/>
      <c r="DC68" s="1013"/>
      <c r="DD68" s="1013"/>
      <c r="DE68" s="1013"/>
      <c r="DF68" s="1013"/>
      <c r="DG68" s="1013"/>
      <c r="DH68" s="1013"/>
      <c r="DI68" s="1013"/>
      <c r="DJ68" s="1013"/>
      <c r="DK68" s="1013"/>
      <c r="DL68" s="1013"/>
      <c r="DM68" s="1233"/>
      <c r="DN68" s="1235">
        <f>'Lead &amp; ANALYSIS'!G1730/100</f>
        <v>0.04</v>
      </c>
      <c r="DO68" s="1013">
        <f>ROUND(C68*DN68,4)</f>
        <v>0</v>
      </c>
      <c r="DP68" s="847">
        <f>'Lead &amp; ANALYSIS'!G1729/100</f>
        <v>1.6000000000000001E-3</v>
      </c>
      <c r="DQ68" s="1225">
        <f>ROUND(C68*DP68,4)</f>
        <v>0</v>
      </c>
      <c r="DR68" s="1225"/>
      <c r="DS68" s="1013"/>
      <c r="DT68" s="1225"/>
      <c r="DU68" s="713"/>
      <c r="DV68" s="1000"/>
      <c r="DW68" s="1234"/>
      <c r="DX68" s="1000"/>
      <c r="DY68" s="847"/>
      <c r="DZ68" s="847"/>
      <c r="EA68" s="847"/>
      <c r="EB68" s="847"/>
      <c r="EC68" s="847"/>
      <c r="ED68" s="847"/>
      <c r="EE68" s="847"/>
      <c r="EF68" s="847"/>
      <c r="EG68" s="1212"/>
      <c r="EH68" s="847">
        <v>3.2000000000000002E-3</v>
      </c>
      <c r="EI68" s="1212">
        <f>ROUND(C68*EH68,4)</f>
        <v>0</v>
      </c>
      <c r="EJ68" s="1101">
        <v>0</v>
      </c>
      <c r="EK68" s="1101">
        <v>10.01</v>
      </c>
    </row>
    <row r="69" spans="1:141" s="714" customFormat="1" ht="13.5">
      <c r="A69" s="1009"/>
      <c r="B69" s="1212" t="s">
        <v>2067</v>
      </c>
      <c r="C69" s="1213">
        <v>0</v>
      </c>
      <c r="D69" s="1013" t="s">
        <v>92</v>
      </c>
      <c r="E69" s="847"/>
      <c r="F69" s="1013"/>
      <c r="G69" s="847"/>
      <c r="H69" s="1013"/>
      <c r="I69" s="847"/>
      <c r="J69" s="1013"/>
      <c r="K69" s="847"/>
      <c r="L69" s="1013"/>
      <c r="M69" s="1013"/>
      <c r="N69" s="1013"/>
      <c r="O69" s="847"/>
      <c r="P69" s="1013"/>
      <c r="Q69" s="1013"/>
      <c r="R69" s="847"/>
      <c r="S69" s="847"/>
      <c r="T69" s="1013"/>
      <c r="U69" s="1013"/>
      <c r="V69" s="1013"/>
      <c r="W69" s="1013"/>
      <c r="X69" s="1013"/>
      <c r="Y69" s="1013"/>
      <c r="Z69" s="1013"/>
      <c r="AA69" s="1013"/>
      <c r="AB69" s="1013"/>
      <c r="AC69" s="1013"/>
      <c r="AD69" s="1013"/>
      <c r="AE69" s="1013"/>
      <c r="AF69" s="1013"/>
      <c r="AG69" s="1013"/>
      <c r="AH69" s="1013"/>
      <c r="AI69" s="1013"/>
      <c r="AJ69" s="1013"/>
      <c r="AK69" s="1013"/>
      <c r="AL69" s="1013"/>
      <c r="AM69" s="1013"/>
      <c r="AN69" s="1013"/>
      <c r="AO69" s="1013"/>
      <c r="AP69" s="1013"/>
      <c r="AQ69" s="1013"/>
      <c r="AR69" s="1013"/>
      <c r="AS69" s="1013"/>
      <c r="AT69" s="1013"/>
      <c r="AU69" s="1013"/>
      <c r="AV69" s="1013"/>
      <c r="AW69" s="1013"/>
      <c r="AX69" s="1013"/>
      <c r="AY69" s="1013"/>
      <c r="AZ69" s="1013"/>
      <c r="BA69" s="1013"/>
      <c r="BB69" s="1013"/>
      <c r="BC69" s="1013"/>
      <c r="BD69" s="1013"/>
      <c r="BE69" s="1013"/>
      <c r="BF69" s="1013"/>
      <c r="BG69" s="1013"/>
      <c r="BH69" s="1013"/>
      <c r="BI69" s="1013"/>
      <c r="BJ69" s="1013"/>
      <c r="BK69" s="1013"/>
      <c r="BL69" s="1013"/>
      <c r="BM69" s="1013"/>
      <c r="BN69" s="1013"/>
      <c r="BO69" s="1013"/>
      <c r="BP69" s="1013"/>
      <c r="BQ69" s="1013"/>
      <c r="BR69" s="1013"/>
      <c r="BS69" s="1013"/>
      <c r="BT69" s="1013"/>
      <c r="BU69" s="1013"/>
      <c r="BV69" s="1013"/>
      <c r="BW69" s="1013"/>
      <c r="BX69" s="1013"/>
      <c r="BY69" s="1013"/>
      <c r="BZ69" s="1013"/>
      <c r="CA69" s="1013"/>
      <c r="CB69" s="1013"/>
      <c r="CC69" s="1013"/>
      <c r="CD69" s="1013"/>
      <c r="CE69" s="1013"/>
      <c r="CF69" s="1013"/>
      <c r="CG69" s="1013"/>
      <c r="CH69" s="1013"/>
      <c r="CI69" s="1013"/>
      <c r="CJ69" s="1013"/>
      <c r="CK69" s="1013"/>
      <c r="CL69" s="1013"/>
      <c r="CM69" s="1013"/>
      <c r="CN69" s="1013"/>
      <c r="CO69" s="1013"/>
      <c r="CP69" s="1013"/>
      <c r="CQ69" s="1013"/>
      <c r="CR69" s="1013"/>
      <c r="CS69" s="1013"/>
      <c r="CT69" s="1013"/>
      <c r="CU69" s="1013"/>
      <c r="CV69" s="1013"/>
      <c r="CW69" s="1013"/>
      <c r="CX69" s="1013"/>
      <c r="CY69" s="1013"/>
      <c r="CZ69" s="1013"/>
      <c r="DA69" s="1013"/>
      <c r="DB69" s="1013"/>
      <c r="DC69" s="1013"/>
      <c r="DD69" s="1013"/>
      <c r="DE69" s="1013"/>
      <c r="DF69" s="1013"/>
      <c r="DG69" s="1013"/>
      <c r="DH69" s="1013"/>
      <c r="DI69" s="1013"/>
      <c r="DJ69" s="1013"/>
      <c r="DK69" s="1013"/>
      <c r="DL69" s="1013"/>
      <c r="DM69" s="1233"/>
      <c r="DN69" s="1235">
        <f>DN68+('Lead &amp; ANALYSIS'!G1730*5%/100)</f>
        <v>4.2000000000000003E-2</v>
      </c>
      <c r="DO69" s="1013">
        <f>ROUND(C69*DN69,4)</f>
        <v>0</v>
      </c>
      <c r="DP69" s="714">
        <f>DP68+('Lead &amp; ANALYSIS'!G1729*5%/100)</f>
        <v>1.6800000000000001E-3</v>
      </c>
      <c r="DQ69" s="1225">
        <f>ROUND(C69*DP69,4)</f>
        <v>0</v>
      </c>
      <c r="DR69" s="847"/>
      <c r="DS69" s="1013"/>
      <c r="DT69" s="1225"/>
      <c r="DU69" s="713"/>
      <c r="DV69" s="1000"/>
      <c r="DW69" s="1234"/>
      <c r="DX69" s="1000"/>
      <c r="DY69" s="847"/>
      <c r="DZ69" s="847"/>
      <c r="EA69" s="847"/>
      <c r="EB69" s="847"/>
      <c r="EC69" s="847"/>
      <c r="ED69" s="847"/>
      <c r="EE69" s="847"/>
      <c r="EF69" s="847"/>
      <c r="EG69" s="1212"/>
      <c r="EH69" s="847">
        <f>EH68</f>
        <v>3.2000000000000002E-3</v>
      </c>
      <c r="EI69" s="1212">
        <f>EI68</f>
        <v>0</v>
      </c>
      <c r="EJ69" s="1101">
        <v>0</v>
      </c>
      <c r="EK69" s="1101">
        <v>10.48</v>
      </c>
    </row>
    <row r="70" spans="1:141" s="714" customFormat="1" ht="13.5">
      <c r="A70" s="1009">
        <v>21</v>
      </c>
      <c r="B70" s="1212" t="s">
        <v>3031</v>
      </c>
      <c r="C70" s="1213">
        <v>0</v>
      </c>
      <c r="D70" s="1013" t="s">
        <v>92</v>
      </c>
      <c r="E70" s="847"/>
      <c r="F70" s="1013"/>
      <c r="G70" s="847"/>
      <c r="H70" s="1013"/>
      <c r="I70" s="847"/>
      <c r="J70" s="1013"/>
      <c r="K70" s="847"/>
      <c r="L70" s="1013"/>
      <c r="M70" s="1013"/>
      <c r="N70" s="1013"/>
      <c r="O70" s="847"/>
      <c r="P70" s="1013"/>
      <c r="Q70" s="1013"/>
      <c r="R70" s="847"/>
      <c r="S70" s="847"/>
      <c r="T70" s="1013"/>
      <c r="U70" s="1013"/>
      <c r="V70" s="1013"/>
      <c r="W70" s="1013"/>
      <c r="X70" s="1013"/>
      <c r="Y70" s="1013"/>
      <c r="Z70" s="1013"/>
      <c r="AA70" s="1013"/>
      <c r="AB70" s="1013"/>
      <c r="AC70" s="1013"/>
      <c r="AD70" s="1013"/>
      <c r="AE70" s="1013"/>
      <c r="AF70" s="1013"/>
      <c r="AG70" s="1013"/>
      <c r="AH70" s="1013"/>
      <c r="AI70" s="1013"/>
      <c r="AJ70" s="1013"/>
      <c r="AK70" s="1013"/>
      <c r="AL70" s="1013"/>
      <c r="AM70" s="1013"/>
      <c r="AN70" s="1013"/>
      <c r="AO70" s="1013"/>
      <c r="AP70" s="1013"/>
      <c r="AQ70" s="1013"/>
      <c r="AR70" s="1013"/>
      <c r="AS70" s="1013"/>
      <c r="AT70" s="1013"/>
      <c r="AU70" s="1013"/>
      <c r="AV70" s="1013"/>
      <c r="AW70" s="1013"/>
      <c r="AX70" s="1013"/>
      <c r="AY70" s="1013"/>
      <c r="AZ70" s="1013"/>
      <c r="BA70" s="1013"/>
      <c r="BB70" s="1013"/>
      <c r="BC70" s="1013"/>
      <c r="BD70" s="1013"/>
      <c r="BE70" s="1013"/>
      <c r="BF70" s="1013"/>
      <c r="BG70" s="1013"/>
      <c r="BH70" s="1013"/>
      <c r="BI70" s="1013"/>
      <c r="BJ70" s="1013"/>
      <c r="BK70" s="1013"/>
      <c r="BL70" s="1013"/>
      <c r="BM70" s="1013"/>
      <c r="BN70" s="1013"/>
      <c r="BO70" s="1013"/>
      <c r="BP70" s="1013"/>
      <c r="BQ70" s="1013"/>
      <c r="BR70" s="1013"/>
      <c r="BS70" s="1013"/>
      <c r="BT70" s="1013"/>
      <c r="BU70" s="1013"/>
      <c r="BV70" s="1013"/>
      <c r="BW70" s="1013"/>
      <c r="BX70" s="1013"/>
      <c r="BY70" s="1013"/>
      <c r="BZ70" s="1013"/>
      <c r="CA70" s="1013"/>
      <c r="CB70" s="1013"/>
      <c r="CC70" s="1013"/>
      <c r="CD70" s="1013"/>
      <c r="CE70" s="1013"/>
      <c r="CF70" s="1013"/>
      <c r="CG70" s="1013"/>
      <c r="CH70" s="1013"/>
      <c r="CI70" s="1013"/>
      <c r="CJ70" s="1013"/>
      <c r="CK70" s="1013"/>
      <c r="CL70" s="1013"/>
      <c r="CM70" s="1013"/>
      <c r="CN70" s="1013"/>
      <c r="CO70" s="1013"/>
      <c r="CP70" s="1013"/>
      <c r="CQ70" s="1013"/>
      <c r="CR70" s="1013"/>
      <c r="CS70" s="1013"/>
      <c r="CT70" s="1013"/>
      <c r="CU70" s="1013"/>
      <c r="CV70" s="1013"/>
      <c r="CW70" s="1013"/>
      <c r="CX70" s="1013"/>
      <c r="CY70" s="1013"/>
      <c r="CZ70" s="1013"/>
      <c r="DA70" s="1013"/>
      <c r="DB70" s="1013"/>
      <c r="DC70" s="1013"/>
      <c r="DD70" s="1013"/>
      <c r="DE70" s="1013"/>
      <c r="DF70" s="1013"/>
      <c r="DG70" s="1013"/>
      <c r="DH70" s="1013"/>
      <c r="DI70" s="1013"/>
      <c r="DJ70" s="1013"/>
      <c r="DK70" s="1013"/>
      <c r="DL70" s="1013"/>
      <c r="DM70" s="1233"/>
      <c r="DN70" s="1222"/>
      <c r="DO70" s="1013"/>
      <c r="DP70" s="847"/>
      <c r="DQ70" s="1013"/>
      <c r="DR70" s="1225"/>
      <c r="DS70" s="1013"/>
      <c r="DT70" s="1225"/>
      <c r="DU70" s="713"/>
      <c r="DV70" s="1000"/>
      <c r="DW70" s="1234"/>
      <c r="DX70" s="1000"/>
      <c r="DY70" s="847"/>
      <c r="DZ70" s="847"/>
      <c r="EA70" s="847"/>
      <c r="EB70" s="847"/>
      <c r="EC70" s="847"/>
      <c r="ED70" s="847"/>
      <c r="EE70" s="847"/>
      <c r="EF70" s="847"/>
      <c r="EG70" s="1212"/>
      <c r="EH70" s="847"/>
      <c r="EI70" s="1212"/>
      <c r="EJ70" s="715"/>
      <c r="EK70" s="1101" t="e">
        <v>#REF!</v>
      </c>
    </row>
    <row r="71" spans="1:141" s="714" customFormat="1" ht="13.5">
      <c r="A71" s="1009"/>
      <c r="B71" s="1212" t="s">
        <v>2066</v>
      </c>
      <c r="C71" s="1213">
        <v>0</v>
      </c>
      <c r="D71" s="1013" t="s">
        <v>262</v>
      </c>
      <c r="E71" s="847"/>
      <c r="F71" s="1013"/>
      <c r="G71" s="847"/>
      <c r="H71" s="1013"/>
      <c r="I71" s="847"/>
      <c r="J71" s="1013"/>
      <c r="K71" s="847"/>
      <c r="L71" s="1013"/>
      <c r="M71" s="1013"/>
      <c r="N71" s="1013"/>
      <c r="O71" s="847"/>
      <c r="P71" s="1013"/>
      <c r="Q71" s="1013"/>
      <c r="R71" s="847"/>
      <c r="S71" s="847"/>
      <c r="T71" s="1013"/>
      <c r="U71" s="1013"/>
      <c r="V71" s="1013"/>
      <c r="W71" s="1013"/>
      <c r="X71" s="1013"/>
      <c r="Y71" s="1013"/>
      <c r="Z71" s="1013"/>
      <c r="AA71" s="1013"/>
      <c r="AB71" s="1013"/>
      <c r="AC71" s="1013"/>
      <c r="AD71" s="1013"/>
      <c r="AE71" s="1013"/>
      <c r="AF71" s="1013"/>
      <c r="AG71" s="1013"/>
      <c r="AH71" s="1013"/>
      <c r="AI71" s="1013"/>
      <c r="AJ71" s="1013"/>
      <c r="AK71" s="1013"/>
      <c r="AL71" s="1013"/>
      <c r="AM71" s="1013"/>
      <c r="AN71" s="1013"/>
      <c r="AO71" s="1013"/>
      <c r="AP71" s="1013"/>
      <c r="AQ71" s="1013"/>
      <c r="AR71" s="1013"/>
      <c r="AS71" s="1013"/>
      <c r="AT71" s="1013"/>
      <c r="AU71" s="1013"/>
      <c r="AV71" s="1013"/>
      <c r="AW71" s="1013"/>
      <c r="AX71" s="1013"/>
      <c r="AY71" s="1013"/>
      <c r="AZ71" s="1013"/>
      <c r="BA71" s="1013"/>
      <c r="BB71" s="1013"/>
      <c r="BC71" s="1013"/>
      <c r="BD71" s="1013"/>
      <c r="BE71" s="1013"/>
      <c r="BF71" s="1013"/>
      <c r="BG71" s="1013"/>
      <c r="BH71" s="1013"/>
      <c r="BI71" s="1013"/>
      <c r="BJ71" s="1013"/>
      <c r="BK71" s="1013"/>
      <c r="BL71" s="1013"/>
      <c r="BM71" s="1013"/>
      <c r="BN71" s="1013"/>
      <c r="BO71" s="1013"/>
      <c r="BP71" s="1013"/>
      <c r="BQ71" s="1013"/>
      <c r="BR71" s="1013"/>
      <c r="BS71" s="1013"/>
      <c r="BT71" s="1013"/>
      <c r="BU71" s="1013"/>
      <c r="BV71" s="1013"/>
      <c r="BW71" s="1013"/>
      <c r="BX71" s="1013"/>
      <c r="BY71" s="1013"/>
      <c r="BZ71" s="1013"/>
      <c r="CA71" s="1013"/>
      <c r="CB71" s="1013"/>
      <c r="CC71" s="1013"/>
      <c r="CD71" s="1013"/>
      <c r="CE71" s="1013"/>
      <c r="CF71" s="1013"/>
      <c r="CG71" s="1013"/>
      <c r="CH71" s="1013"/>
      <c r="CI71" s="1013"/>
      <c r="CJ71" s="1013"/>
      <c r="CK71" s="1013"/>
      <c r="CL71" s="1013"/>
      <c r="CM71" s="1013"/>
      <c r="CN71" s="1013"/>
      <c r="CO71" s="1013"/>
      <c r="CP71" s="1013"/>
      <c r="CQ71" s="1013"/>
      <c r="CR71" s="1013"/>
      <c r="CS71" s="1013"/>
      <c r="CT71" s="1013"/>
      <c r="CU71" s="1013"/>
      <c r="CV71" s="1013"/>
      <c r="CW71" s="1013"/>
      <c r="CX71" s="1013"/>
      <c r="CY71" s="1013"/>
      <c r="CZ71" s="1013"/>
      <c r="DA71" s="1013"/>
      <c r="DB71" s="1013"/>
      <c r="DC71" s="1013"/>
      <c r="DD71" s="1013"/>
      <c r="DE71" s="1013"/>
      <c r="DF71" s="1013"/>
      <c r="DG71" s="1013"/>
      <c r="DH71" s="1013"/>
      <c r="DI71" s="1013"/>
      <c r="DJ71" s="1013"/>
      <c r="DK71" s="1013"/>
      <c r="DL71" s="1013"/>
      <c r="DM71" s="1233"/>
      <c r="DN71" s="713">
        <f>'Lead &amp; ANALYSIS'!G1755/1000</f>
        <v>3.5000000000000001E-3</v>
      </c>
      <c r="DO71" s="1225">
        <f>ROUND(C71*DN71,4)</f>
        <v>0</v>
      </c>
      <c r="DP71" s="847">
        <f>'Lead &amp; ANALYSIS'!G1754/1000</f>
        <v>1.4000000000000001E-4</v>
      </c>
      <c r="DQ71" s="1236">
        <f>ROUND(C71*DP71,4)</f>
        <v>0</v>
      </c>
      <c r="DR71" s="1225"/>
      <c r="DS71" s="1013"/>
      <c r="DT71" s="1225"/>
      <c r="DU71" s="713"/>
      <c r="DV71" s="1000"/>
      <c r="DW71" s="1234"/>
      <c r="DX71" s="1000"/>
      <c r="DY71" s="847"/>
      <c r="DZ71" s="847"/>
      <c r="EA71" s="847"/>
      <c r="EB71" s="847"/>
      <c r="EC71" s="847"/>
      <c r="ED71" s="847"/>
      <c r="EE71" s="847"/>
      <c r="EF71" s="847"/>
      <c r="EG71" s="1212"/>
      <c r="EH71" s="847"/>
      <c r="EI71" s="1212"/>
      <c r="EJ71" s="1101">
        <f>DO71*200+DQ71*220+DS71*240+DU71*260</f>
        <v>0</v>
      </c>
      <c r="EK71" s="1101">
        <v>0.82</v>
      </c>
    </row>
    <row r="72" spans="1:141" s="714" customFormat="1" ht="13.5">
      <c r="A72" s="1009"/>
      <c r="B72" s="1212" t="s">
        <v>2067</v>
      </c>
      <c r="C72" s="1213">
        <v>0</v>
      </c>
      <c r="D72" s="1013" t="s">
        <v>262</v>
      </c>
      <c r="E72" s="847"/>
      <c r="F72" s="1013"/>
      <c r="G72" s="847"/>
      <c r="H72" s="1013"/>
      <c r="I72" s="847"/>
      <c r="J72" s="1013"/>
      <c r="K72" s="847"/>
      <c r="L72" s="1013"/>
      <c r="M72" s="1013"/>
      <c r="N72" s="1013"/>
      <c r="O72" s="847"/>
      <c r="P72" s="1013"/>
      <c r="Q72" s="1013"/>
      <c r="R72" s="847"/>
      <c r="S72" s="847"/>
      <c r="T72" s="1013"/>
      <c r="U72" s="1013"/>
      <c r="V72" s="1013"/>
      <c r="W72" s="1013"/>
      <c r="X72" s="1013"/>
      <c r="Y72" s="1013"/>
      <c r="Z72" s="1013"/>
      <c r="AA72" s="1013"/>
      <c r="AB72" s="1013"/>
      <c r="AC72" s="1013"/>
      <c r="AD72" s="1013"/>
      <c r="AE72" s="1013"/>
      <c r="AF72" s="1013"/>
      <c r="AG72" s="1013"/>
      <c r="AH72" s="1013"/>
      <c r="AI72" s="1013"/>
      <c r="AJ72" s="1013"/>
      <c r="AK72" s="1013"/>
      <c r="AL72" s="1013"/>
      <c r="AM72" s="1013"/>
      <c r="AN72" s="1013"/>
      <c r="AO72" s="1013"/>
      <c r="AP72" s="1013"/>
      <c r="AQ72" s="1013"/>
      <c r="AR72" s="1013"/>
      <c r="AS72" s="1013"/>
      <c r="AT72" s="1013"/>
      <c r="AU72" s="1013"/>
      <c r="AV72" s="1013"/>
      <c r="AW72" s="1013"/>
      <c r="AX72" s="1013"/>
      <c r="AY72" s="1013"/>
      <c r="AZ72" s="1013"/>
      <c r="BA72" s="1013"/>
      <c r="BB72" s="1013"/>
      <c r="BC72" s="1013"/>
      <c r="BD72" s="1013"/>
      <c r="BE72" s="1013"/>
      <c r="BF72" s="1013"/>
      <c r="BG72" s="1013"/>
      <c r="BH72" s="1013"/>
      <c r="BI72" s="1013"/>
      <c r="BJ72" s="1013"/>
      <c r="BK72" s="1013"/>
      <c r="BL72" s="1013"/>
      <c r="BM72" s="1013"/>
      <c r="BN72" s="1013"/>
      <c r="BO72" s="1013"/>
      <c r="BP72" s="1013"/>
      <c r="BQ72" s="1013"/>
      <c r="BR72" s="1013"/>
      <c r="BS72" s="1013"/>
      <c r="BT72" s="1013"/>
      <c r="BU72" s="1013"/>
      <c r="BV72" s="1013"/>
      <c r="BW72" s="1013"/>
      <c r="BX72" s="1013"/>
      <c r="BY72" s="1013"/>
      <c r="BZ72" s="1013"/>
      <c r="CA72" s="1013"/>
      <c r="CB72" s="1013"/>
      <c r="CC72" s="1013"/>
      <c r="CD72" s="1013"/>
      <c r="CE72" s="1013"/>
      <c r="CF72" s="1013"/>
      <c r="CG72" s="1013"/>
      <c r="CH72" s="1013"/>
      <c r="CI72" s="1013"/>
      <c r="CJ72" s="1013"/>
      <c r="CK72" s="1013"/>
      <c r="CL72" s="1013"/>
      <c r="CM72" s="1013"/>
      <c r="CN72" s="1013"/>
      <c r="CO72" s="1013"/>
      <c r="CP72" s="1013"/>
      <c r="CQ72" s="1013"/>
      <c r="CR72" s="1013"/>
      <c r="CS72" s="1013"/>
      <c r="CT72" s="1013"/>
      <c r="CU72" s="1013"/>
      <c r="CV72" s="1013"/>
      <c r="CW72" s="1013"/>
      <c r="CX72" s="1013"/>
      <c r="CY72" s="1013"/>
      <c r="CZ72" s="1013"/>
      <c r="DA72" s="1013"/>
      <c r="DB72" s="1013"/>
      <c r="DC72" s="1013"/>
      <c r="DD72" s="1013"/>
      <c r="DE72" s="1013"/>
      <c r="DF72" s="1013"/>
      <c r="DG72" s="1013"/>
      <c r="DH72" s="1013"/>
      <c r="DI72" s="1013"/>
      <c r="DJ72" s="1013"/>
      <c r="DK72" s="1013"/>
      <c r="DL72" s="1013"/>
      <c r="DM72" s="1233"/>
      <c r="DN72" s="713">
        <f>DN71+('Lead &amp; ANALYSIS'!G1755*5%/1000)</f>
        <v>3.6750000000000003E-3</v>
      </c>
      <c r="DO72" s="1225">
        <f>ROUND(C72*DN72,4)</f>
        <v>0</v>
      </c>
      <c r="DP72" s="713">
        <f>DP71+('Lead &amp; ANALYSIS'!G1754*5%/1000)</f>
        <v>1.4700000000000002E-4</v>
      </c>
      <c r="DQ72" s="1236">
        <f>ROUND(C72*DP72,4)</f>
        <v>0</v>
      </c>
      <c r="DR72" s="847"/>
      <c r="DS72" s="1013"/>
      <c r="DT72" s="1225"/>
      <c r="DU72" s="713"/>
      <c r="DV72" s="1000"/>
      <c r="DW72" s="1234"/>
      <c r="DX72" s="1000"/>
      <c r="DY72" s="847"/>
      <c r="DZ72" s="847"/>
      <c r="EA72" s="847"/>
      <c r="EB72" s="847"/>
      <c r="EC72" s="847"/>
      <c r="ED72" s="847"/>
      <c r="EE72" s="847"/>
      <c r="EF72" s="847"/>
      <c r="EG72" s="1212"/>
      <c r="EH72" s="847"/>
      <c r="EI72" s="1212"/>
      <c r="EJ72" s="1101">
        <f>DO72*200+DQ72*220+DS72*240+DU72*260</f>
        <v>0</v>
      </c>
      <c r="EK72" s="1101">
        <v>0.86</v>
      </c>
    </row>
    <row r="73" spans="1:141" s="714" customFormat="1" ht="13.5">
      <c r="A73" s="1009">
        <v>22</v>
      </c>
      <c r="B73" s="1212" t="s">
        <v>3032</v>
      </c>
      <c r="C73" s="1213">
        <v>0</v>
      </c>
      <c r="D73" s="1013" t="s">
        <v>92</v>
      </c>
      <c r="E73" s="847"/>
      <c r="F73" s="1013"/>
      <c r="G73" s="847"/>
      <c r="H73" s="1013"/>
      <c r="I73" s="847"/>
      <c r="J73" s="1013"/>
      <c r="K73" s="847"/>
      <c r="L73" s="1013"/>
      <c r="M73" s="1013"/>
      <c r="N73" s="1013"/>
      <c r="O73" s="847"/>
      <c r="P73" s="1013"/>
      <c r="Q73" s="1013"/>
      <c r="R73" s="847"/>
      <c r="S73" s="847"/>
      <c r="T73" s="1013"/>
      <c r="U73" s="1013"/>
      <c r="V73" s="1013"/>
      <c r="W73" s="1013"/>
      <c r="X73" s="1013"/>
      <c r="Y73" s="1013"/>
      <c r="Z73" s="1013"/>
      <c r="AA73" s="1013"/>
      <c r="AB73" s="1013"/>
      <c r="AC73" s="1013"/>
      <c r="AD73" s="1013"/>
      <c r="AE73" s="1013"/>
      <c r="AF73" s="1013"/>
      <c r="AG73" s="1013"/>
      <c r="AH73" s="1013"/>
      <c r="AI73" s="1013"/>
      <c r="AJ73" s="1013"/>
      <c r="AK73" s="1013"/>
      <c r="AL73" s="1013"/>
      <c r="AM73" s="1013"/>
      <c r="AN73" s="1013"/>
      <c r="AO73" s="1013"/>
      <c r="AP73" s="1013"/>
      <c r="AQ73" s="1013"/>
      <c r="AR73" s="1013"/>
      <c r="AS73" s="1013"/>
      <c r="AT73" s="1013"/>
      <c r="AU73" s="1013"/>
      <c r="AV73" s="1013"/>
      <c r="AW73" s="1013"/>
      <c r="AX73" s="1013"/>
      <c r="AY73" s="1013"/>
      <c r="AZ73" s="1013"/>
      <c r="BA73" s="1013"/>
      <c r="BB73" s="1013"/>
      <c r="BC73" s="1013"/>
      <c r="BD73" s="1013"/>
      <c r="BE73" s="1013"/>
      <c r="BF73" s="1013"/>
      <c r="BG73" s="1013"/>
      <c r="BH73" s="1013"/>
      <c r="BI73" s="1013"/>
      <c r="BJ73" s="1013"/>
      <c r="BK73" s="1013"/>
      <c r="BL73" s="1013"/>
      <c r="BM73" s="1013"/>
      <c r="BN73" s="1013"/>
      <c r="BO73" s="1013"/>
      <c r="BP73" s="1013"/>
      <c r="BQ73" s="1013"/>
      <c r="BR73" s="1013"/>
      <c r="BS73" s="1013"/>
      <c r="BT73" s="1013"/>
      <c r="BU73" s="1013"/>
      <c r="BV73" s="1013"/>
      <c r="BW73" s="1013"/>
      <c r="BX73" s="1013"/>
      <c r="BY73" s="1013"/>
      <c r="BZ73" s="1013"/>
      <c r="CA73" s="1013"/>
      <c r="CB73" s="1013"/>
      <c r="CC73" s="1013"/>
      <c r="CD73" s="1013"/>
      <c r="CE73" s="1013"/>
      <c r="CF73" s="1013"/>
      <c r="CG73" s="1013"/>
      <c r="CH73" s="1013"/>
      <c r="CI73" s="1013"/>
      <c r="CJ73" s="1013"/>
      <c r="CK73" s="1013"/>
      <c r="CL73" s="1013"/>
      <c r="CM73" s="1013"/>
      <c r="CN73" s="1013"/>
      <c r="CO73" s="1013"/>
      <c r="CP73" s="1013"/>
      <c r="CQ73" s="1013"/>
      <c r="CR73" s="1013"/>
      <c r="CS73" s="1013"/>
      <c r="CT73" s="1013"/>
      <c r="CU73" s="1013"/>
      <c r="CV73" s="1013"/>
      <c r="CW73" s="1013"/>
      <c r="CX73" s="1013"/>
      <c r="CY73" s="1013"/>
      <c r="CZ73" s="1013"/>
      <c r="DA73" s="1013"/>
      <c r="DB73" s="1013"/>
      <c r="DC73" s="1013"/>
      <c r="DD73" s="1013"/>
      <c r="DE73" s="1013"/>
      <c r="DF73" s="1013"/>
      <c r="DG73" s="1013"/>
      <c r="DH73" s="1013"/>
      <c r="DI73" s="1013"/>
      <c r="DJ73" s="1013"/>
      <c r="DK73" s="1013"/>
      <c r="DL73" s="1013"/>
      <c r="DM73" s="1214"/>
      <c r="DN73" s="1222"/>
      <c r="DO73" s="1013"/>
      <c r="DP73" s="847"/>
      <c r="DQ73" s="1013"/>
      <c r="DR73" s="1225"/>
      <c r="DS73" s="1013"/>
      <c r="DT73" s="1225"/>
      <c r="DU73" s="713"/>
      <c r="DV73" s="1000"/>
      <c r="DW73" s="1234"/>
      <c r="DX73" s="1000"/>
      <c r="DY73" s="847"/>
      <c r="DZ73" s="847"/>
      <c r="EA73" s="847"/>
      <c r="EB73" s="847"/>
      <c r="EC73" s="847"/>
      <c r="ED73" s="847"/>
      <c r="EE73" s="847"/>
      <c r="EF73" s="847"/>
      <c r="EG73" s="1212"/>
      <c r="EH73" s="847"/>
      <c r="EI73" s="1212"/>
      <c r="EK73" s="1101" t="e">
        <v>#REF!</v>
      </c>
    </row>
    <row r="74" spans="1:141" s="714" customFormat="1" ht="13.5">
      <c r="A74" s="1009"/>
      <c r="B74" s="1212" t="s">
        <v>2066</v>
      </c>
      <c r="C74" s="1213">
        <v>0</v>
      </c>
      <c r="D74" s="1013" t="s">
        <v>92</v>
      </c>
      <c r="E74" s="847"/>
      <c r="F74" s="1013"/>
      <c r="G74" s="847"/>
      <c r="H74" s="1013"/>
      <c r="I74" s="847"/>
      <c r="J74" s="1013"/>
      <c r="K74" s="847"/>
      <c r="L74" s="1013"/>
      <c r="M74" s="1013"/>
      <c r="N74" s="1013"/>
      <c r="O74" s="847"/>
      <c r="P74" s="1013"/>
      <c r="Q74" s="1013"/>
      <c r="R74" s="847"/>
      <c r="S74" s="847"/>
      <c r="T74" s="1013"/>
      <c r="U74" s="1013"/>
      <c r="V74" s="1013"/>
      <c r="W74" s="1013"/>
      <c r="X74" s="1013"/>
      <c r="Y74" s="1013"/>
      <c r="Z74" s="1013"/>
      <c r="AA74" s="1013"/>
      <c r="AB74" s="1013"/>
      <c r="AC74" s="1013"/>
      <c r="AD74" s="1013"/>
      <c r="AE74" s="1013"/>
      <c r="AF74" s="1013"/>
      <c r="AG74" s="1013"/>
      <c r="AH74" s="1013"/>
      <c r="AI74" s="1013"/>
      <c r="AJ74" s="1013"/>
      <c r="AK74" s="1013"/>
      <c r="AL74" s="1013"/>
      <c r="AM74" s="1013"/>
      <c r="AN74" s="1013"/>
      <c r="AO74" s="1013"/>
      <c r="AP74" s="1013"/>
      <c r="AQ74" s="1013"/>
      <c r="AR74" s="1013"/>
      <c r="AS74" s="1013"/>
      <c r="AT74" s="1013"/>
      <c r="AU74" s="1013"/>
      <c r="AV74" s="1013"/>
      <c r="AW74" s="1013"/>
      <c r="AX74" s="1013"/>
      <c r="AY74" s="1013"/>
      <c r="AZ74" s="1013"/>
      <c r="BA74" s="1013"/>
      <c r="BB74" s="1013"/>
      <c r="BC74" s="1013"/>
      <c r="BD74" s="1013"/>
      <c r="BE74" s="1013"/>
      <c r="BF74" s="1013"/>
      <c r="BG74" s="1013"/>
      <c r="BH74" s="1013"/>
      <c r="BI74" s="1013"/>
      <c r="BJ74" s="1013"/>
      <c r="BK74" s="1013"/>
      <c r="BL74" s="1013"/>
      <c r="BM74" s="1013"/>
      <c r="BN74" s="1013"/>
      <c r="BO74" s="1013"/>
      <c r="BP74" s="1013"/>
      <c r="BQ74" s="1013"/>
      <c r="BR74" s="1013"/>
      <c r="BS74" s="1013"/>
      <c r="BT74" s="1013"/>
      <c r="BU74" s="1013"/>
      <c r="BV74" s="1013"/>
      <c r="BW74" s="1013"/>
      <c r="BX74" s="1013"/>
      <c r="BY74" s="1013"/>
      <c r="BZ74" s="1013"/>
      <c r="CA74" s="1013"/>
      <c r="CB74" s="1013"/>
      <c r="CC74" s="1013"/>
      <c r="CD74" s="1013"/>
      <c r="CE74" s="1013"/>
      <c r="CF74" s="1013"/>
      <c r="CG74" s="1013"/>
      <c r="CH74" s="1013"/>
      <c r="CI74" s="1013"/>
      <c r="CJ74" s="1013"/>
      <c r="CK74" s="1013"/>
      <c r="CL74" s="1013"/>
      <c r="CM74" s="1013"/>
      <c r="CN74" s="1013"/>
      <c r="CO74" s="1013"/>
      <c r="CP74" s="1013"/>
      <c r="CQ74" s="1013"/>
      <c r="CR74" s="1013"/>
      <c r="CS74" s="1013"/>
      <c r="CT74" s="1013"/>
      <c r="CU74" s="1013"/>
      <c r="CV74" s="1013"/>
      <c r="CW74" s="1013"/>
      <c r="CX74" s="1013"/>
      <c r="CY74" s="1013"/>
      <c r="CZ74" s="1013"/>
      <c r="DA74" s="1013"/>
      <c r="DB74" s="1013"/>
      <c r="DC74" s="1013"/>
      <c r="DD74" s="1013"/>
      <c r="DE74" s="1013"/>
      <c r="DF74" s="1013"/>
      <c r="DG74" s="1013"/>
      <c r="DH74" s="1013"/>
      <c r="DI74" s="1013"/>
      <c r="DJ74" s="1013"/>
      <c r="DK74" s="1013"/>
      <c r="DL74" s="1013"/>
      <c r="DM74" s="1233"/>
      <c r="DN74" s="1237">
        <f>'Lead &amp; ANALYSIS'!G1778/1.25</f>
        <v>0.8</v>
      </c>
      <c r="DO74" s="1225">
        <f t="shared" ref="DO74:DO89" si="0">ROUND(C74*DN74,4)</f>
        <v>0</v>
      </c>
      <c r="DP74" s="714">
        <f>'Lead &amp; ANALYSIS'!G1776/1.25</f>
        <v>4.8000000000000001E-2</v>
      </c>
      <c r="DQ74" s="1236">
        <f>ROUND(C74*DP74,4)</f>
        <v>0</v>
      </c>
      <c r="DR74" s="1225">
        <f>'Lead &amp; ANALYSIS'!G1777/1.25</f>
        <v>0.4</v>
      </c>
      <c r="DS74" s="1013">
        <f>ROUND(C74*DR74,4)</f>
        <v>0</v>
      </c>
      <c r="DT74" s="1225"/>
      <c r="DU74" s="1013"/>
      <c r="DV74" s="1000"/>
      <c r="DW74" s="1234"/>
      <c r="DX74" s="1238"/>
      <c r="DY74" s="847"/>
      <c r="DZ74" s="847"/>
      <c r="EA74" s="847"/>
      <c r="EB74" s="847"/>
      <c r="EC74" s="847"/>
      <c r="ED74" s="847"/>
      <c r="EE74" s="847"/>
      <c r="EF74" s="847"/>
      <c r="EG74" s="1212"/>
      <c r="EH74" s="847">
        <v>0.21600000000000003</v>
      </c>
      <c r="EI74" s="1212">
        <f>ROUND(C74*EH74,4)</f>
        <v>0</v>
      </c>
      <c r="EJ74" s="1101">
        <v>0</v>
      </c>
      <c r="EK74" s="1101">
        <v>340.27</v>
      </c>
    </row>
    <row r="75" spans="1:141" s="714" customFormat="1" ht="13.5">
      <c r="A75" s="1009"/>
      <c r="B75" s="1212" t="s">
        <v>2067</v>
      </c>
      <c r="C75" s="1213">
        <v>0</v>
      </c>
      <c r="D75" s="1013" t="s">
        <v>92</v>
      </c>
      <c r="E75" s="847"/>
      <c r="F75" s="1013"/>
      <c r="G75" s="847"/>
      <c r="H75" s="1013"/>
      <c r="I75" s="847"/>
      <c r="J75" s="1013"/>
      <c r="K75" s="847"/>
      <c r="L75" s="1013"/>
      <c r="M75" s="1013"/>
      <c r="N75" s="1013"/>
      <c r="O75" s="847"/>
      <c r="P75" s="1013"/>
      <c r="Q75" s="1013"/>
      <c r="R75" s="847"/>
      <c r="S75" s="847"/>
      <c r="T75" s="1013"/>
      <c r="U75" s="1013"/>
      <c r="V75" s="1013"/>
      <c r="W75" s="1013"/>
      <c r="X75" s="1013"/>
      <c r="Y75" s="1013"/>
      <c r="Z75" s="1013"/>
      <c r="AA75" s="1013"/>
      <c r="AB75" s="1013"/>
      <c r="AC75" s="1013"/>
      <c r="AD75" s="1013"/>
      <c r="AE75" s="1013"/>
      <c r="AF75" s="1013"/>
      <c r="AG75" s="1013"/>
      <c r="AH75" s="1013"/>
      <c r="AI75" s="1013"/>
      <c r="AJ75" s="1013"/>
      <c r="AK75" s="1013"/>
      <c r="AL75" s="1013"/>
      <c r="AM75" s="1013"/>
      <c r="AN75" s="1013"/>
      <c r="AO75" s="1013"/>
      <c r="AP75" s="1013"/>
      <c r="AQ75" s="1013"/>
      <c r="AR75" s="1013"/>
      <c r="AS75" s="1013"/>
      <c r="AT75" s="1013"/>
      <c r="AU75" s="1013"/>
      <c r="AV75" s="1013"/>
      <c r="AW75" s="1013"/>
      <c r="AX75" s="1013"/>
      <c r="AY75" s="1013"/>
      <c r="AZ75" s="1013"/>
      <c r="BA75" s="1013"/>
      <c r="BB75" s="1013"/>
      <c r="BC75" s="1013"/>
      <c r="BD75" s="1013"/>
      <c r="BE75" s="1013"/>
      <c r="BF75" s="1013"/>
      <c r="BG75" s="1013"/>
      <c r="BH75" s="1013"/>
      <c r="BI75" s="1013"/>
      <c r="BJ75" s="1013"/>
      <c r="BK75" s="1013"/>
      <c r="BL75" s="1013"/>
      <c r="BM75" s="1013"/>
      <c r="BN75" s="1013"/>
      <c r="BO75" s="1013"/>
      <c r="BP75" s="1013"/>
      <c r="BQ75" s="1013"/>
      <c r="BR75" s="1013"/>
      <c r="BS75" s="1013"/>
      <c r="BT75" s="1013"/>
      <c r="BU75" s="1013"/>
      <c r="BV75" s="1013"/>
      <c r="BW75" s="1013"/>
      <c r="BX75" s="1013"/>
      <c r="BY75" s="1013"/>
      <c r="BZ75" s="1013"/>
      <c r="CA75" s="1013"/>
      <c r="CB75" s="1013"/>
      <c r="CC75" s="1013"/>
      <c r="CD75" s="1013"/>
      <c r="CE75" s="1013"/>
      <c r="CF75" s="1013"/>
      <c r="CG75" s="1013"/>
      <c r="CH75" s="1013"/>
      <c r="CI75" s="1013"/>
      <c r="CJ75" s="1013"/>
      <c r="CK75" s="1013"/>
      <c r="CL75" s="1013"/>
      <c r="CM75" s="1013"/>
      <c r="CN75" s="1013"/>
      <c r="CO75" s="1013"/>
      <c r="CP75" s="1013"/>
      <c r="CQ75" s="1013"/>
      <c r="CR75" s="1013"/>
      <c r="CS75" s="1013"/>
      <c r="CT75" s="1013"/>
      <c r="CU75" s="1013"/>
      <c r="CV75" s="1013"/>
      <c r="CW75" s="1013"/>
      <c r="CX75" s="1013"/>
      <c r="CY75" s="1013"/>
      <c r="CZ75" s="1013"/>
      <c r="DA75" s="1013"/>
      <c r="DB75" s="1013"/>
      <c r="DC75" s="1013"/>
      <c r="DD75" s="1013"/>
      <c r="DE75" s="1013"/>
      <c r="DF75" s="1013"/>
      <c r="DG75" s="1013"/>
      <c r="DH75" s="1013"/>
      <c r="DI75" s="1013"/>
      <c r="DJ75" s="1013"/>
      <c r="DK75" s="1013"/>
      <c r="DL75" s="1013"/>
      <c r="DM75" s="1214"/>
      <c r="DN75" s="1172">
        <f>DN74+('Lead &amp; ANALYSIS'!G1778*5%/1.25)</f>
        <v>0.84000000000000008</v>
      </c>
      <c r="DO75" s="1225">
        <f t="shared" si="0"/>
        <v>0</v>
      </c>
      <c r="DP75" s="1231">
        <f>DP74+('Lead &amp; ANALYSIS'!G1776*5%/1.25)</f>
        <v>5.04E-2</v>
      </c>
      <c r="DQ75" s="1236">
        <f>ROUND(C75*DP75,4)</f>
        <v>0</v>
      </c>
      <c r="DR75" s="1172">
        <f>DR74+('Lead &amp; ANALYSIS'!G1777*5%/1.25)</f>
        <v>0.42000000000000004</v>
      </c>
      <c r="DS75" s="1013">
        <f>ROUND(C75*DR75,4)</f>
        <v>0</v>
      </c>
      <c r="DT75" s="1225"/>
      <c r="DU75" s="1013"/>
      <c r="DV75" s="1000"/>
      <c r="DW75" s="1234"/>
      <c r="DX75" s="1238"/>
      <c r="DY75" s="847"/>
      <c r="DZ75" s="847"/>
      <c r="EA75" s="847"/>
      <c r="EB75" s="847"/>
      <c r="EC75" s="847"/>
      <c r="ED75" s="847"/>
      <c r="EE75" s="847"/>
      <c r="EF75" s="847"/>
      <c r="EG75" s="1212"/>
      <c r="EH75" s="847">
        <f>EH74</f>
        <v>0.21600000000000003</v>
      </c>
      <c r="EI75" s="1212">
        <f>ROUND(C75*EH75,4)</f>
        <v>0</v>
      </c>
      <c r="EJ75" s="1101">
        <v>0</v>
      </c>
      <c r="EK75" s="1101">
        <v>355.10999999999996</v>
      </c>
    </row>
    <row r="76" spans="1:141" s="714" customFormat="1" ht="13.5">
      <c r="A76" s="1009">
        <v>23</v>
      </c>
      <c r="B76" s="1212" t="s">
        <v>1590</v>
      </c>
      <c r="C76" s="1213">
        <v>0</v>
      </c>
      <c r="D76" s="1013" t="s">
        <v>49</v>
      </c>
      <c r="E76" s="847"/>
      <c r="F76" s="1013"/>
      <c r="G76" s="847"/>
      <c r="H76" s="1013"/>
      <c r="I76" s="847"/>
      <c r="J76" s="1013"/>
      <c r="K76" s="847"/>
      <c r="L76" s="1013"/>
      <c r="M76" s="1013"/>
      <c r="N76" s="1013"/>
      <c r="O76" s="847"/>
      <c r="P76" s="1013"/>
      <c r="Q76" s="1013"/>
      <c r="R76" s="847"/>
      <c r="S76" s="847"/>
      <c r="T76" s="1013"/>
      <c r="U76" s="1013"/>
      <c r="V76" s="1013"/>
      <c r="W76" s="1013"/>
      <c r="X76" s="1013"/>
      <c r="Y76" s="1013"/>
      <c r="Z76" s="1013"/>
      <c r="AA76" s="1013"/>
      <c r="AB76" s="1013"/>
      <c r="AC76" s="1013"/>
      <c r="AD76" s="1013"/>
      <c r="AE76" s="1013"/>
      <c r="AF76" s="1013"/>
      <c r="AG76" s="1013"/>
      <c r="AH76" s="1013"/>
      <c r="AI76" s="1013"/>
      <c r="AJ76" s="1013"/>
      <c r="AK76" s="1013"/>
      <c r="AL76" s="1013"/>
      <c r="AM76" s="1013"/>
      <c r="AN76" s="1013"/>
      <c r="AO76" s="1013"/>
      <c r="AP76" s="1013"/>
      <c r="AQ76" s="1013"/>
      <c r="AR76" s="1013"/>
      <c r="AS76" s="1013"/>
      <c r="AT76" s="1013"/>
      <c r="AU76" s="1013"/>
      <c r="AV76" s="1013"/>
      <c r="AW76" s="1013"/>
      <c r="AX76" s="1013"/>
      <c r="AY76" s="1013"/>
      <c r="AZ76" s="1013"/>
      <c r="BA76" s="1013"/>
      <c r="BB76" s="1013"/>
      <c r="BC76" s="1013"/>
      <c r="BD76" s="1013"/>
      <c r="BE76" s="1013"/>
      <c r="BF76" s="1013"/>
      <c r="BG76" s="1013"/>
      <c r="BH76" s="1013"/>
      <c r="BI76" s="1013"/>
      <c r="BJ76" s="1013"/>
      <c r="BK76" s="1013"/>
      <c r="BL76" s="1013"/>
      <c r="BM76" s="1013"/>
      <c r="BN76" s="1013"/>
      <c r="BO76" s="1013"/>
      <c r="BP76" s="1013"/>
      <c r="BQ76" s="1013"/>
      <c r="BR76" s="1013"/>
      <c r="BS76" s="1013"/>
      <c r="BT76" s="1013"/>
      <c r="BU76" s="1013"/>
      <c r="BV76" s="1013"/>
      <c r="BW76" s="1013"/>
      <c r="BX76" s="1013"/>
      <c r="BY76" s="1013"/>
      <c r="BZ76" s="1013"/>
      <c r="CA76" s="1013"/>
      <c r="CB76" s="1013"/>
      <c r="CC76" s="1013"/>
      <c r="CD76" s="1013"/>
      <c r="CE76" s="1013"/>
      <c r="CF76" s="1013"/>
      <c r="CG76" s="1013"/>
      <c r="CH76" s="1013"/>
      <c r="CI76" s="1013"/>
      <c r="CJ76" s="1013"/>
      <c r="CK76" s="1013"/>
      <c r="CL76" s="1013"/>
      <c r="CM76" s="1013"/>
      <c r="CN76" s="1013"/>
      <c r="CO76" s="1013"/>
      <c r="CP76" s="1013"/>
      <c r="CQ76" s="1013"/>
      <c r="CR76" s="1013"/>
      <c r="CS76" s="1013"/>
      <c r="CT76" s="1013"/>
      <c r="CU76" s="1013"/>
      <c r="CV76" s="1013"/>
      <c r="CW76" s="1013"/>
      <c r="CX76" s="1013"/>
      <c r="CY76" s="1013"/>
      <c r="CZ76" s="1013"/>
      <c r="DA76" s="1013"/>
      <c r="DB76" s="1013"/>
      <c r="DC76" s="1013"/>
      <c r="DD76" s="1013"/>
      <c r="DE76" s="1013"/>
      <c r="DF76" s="1013"/>
      <c r="DG76" s="1013"/>
      <c r="DH76" s="1013"/>
      <c r="DI76" s="1013"/>
      <c r="DJ76" s="1013"/>
      <c r="DK76" s="1013"/>
      <c r="DL76" s="1013"/>
      <c r="DM76" s="1214"/>
      <c r="DN76" s="1222">
        <f>'Lead &amp; ANALYSIS'!G1803/100+'Lead &amp; ANALYSIS'!G1803*2%/100+(('Lead &amp; ANALYSIS'!G1803/100+'Lead &amp; ANALYSIS'!G1803*2%/100)*20%)</f>
        <v>0.52632000000000001</v>
      </c>
      <c r="DO76" s="1225">
        <f t="shared" si="0"/>
        <v>0</v>
      </c>
      <c r="DP76" s="847"/>
      <c r="DQ76" s="1013"/>
      <c r="DR76" s="1225"/>
      <c r="DS76" s="1013"/>
      <c r="DT76" s="1225"/>
      <c r="DU76" s="1013"/>
      <c r="DV76" s="1000"/>
      <c r="DW76" s="1234"/>
      <c r="DX76" s="1238"/>
      <c r="DY76" s="847"/>
      <c r="DZ76" s="847"/>
      <c r="EA76" s="847"/>
      <c r="EB76" s="847"/>
      <c r="EC76" s="847"/>
      <c r="ED76" s="847"/>
      <c r="EE76" s="847"/>
      <c r="EF76" s="847"/>
      <c r="EG76" s="1212"/>
      <c r="EH76" s="847"/>
      <c r="EI76" s="1212"/>
      <c r="EJ76" s="733">
        <f t="shared" ref="EJ76:EJ88" si="1">DO76*200+DQ76*220+DS76*240+DU76*260</f>
        <v>0</v>
      </c>
      <c r="EK76" s="1101">
        <v>118.05359999999999</v>
      </c>
    </row>
    <row r="77" spans="1:141" s="714" customFormat="1" ht="13.5">
      <c r="A77" s="1009">
        <v>24</v>
      </c>
      <c r="B77" s="1212" t="s">
        <v>1590</v>
      </c>
      <c r="C77" s="1213">
        <v>0</v>
      </c>
      <c r="D77" s="1013" t="s">
        <v>49</v>
      </c>
      <c r="E77" s="847"/>
      <c r="F77" s="1013"/>
      <c r="G77" s="847"/>
      <c r="H77" s="1013"/>
      <c r="I77" s="847"/>
      <c r="J77" s="1013"/>
      <c r="K77" s="847"/>
      <c r="L77" s="1013"/>
      <c r="M77" s="1013"/>
      <c r="N77" s="1013"/>
      <c r="O77" s="847"/>
      <c r="P77" s="1013"/>
      <c r="Q77" s="1013"/>
      <c r="R77" s="847"/>
      <c r="S77" s="847"/>
      <c r="T77" s="1013"/>
      <c r="U77" s="1013"/>
      <c r="V77" s="1013"/>
      <c r="W77" s="1013"/>
      <c r="X77" s="1013"/>
      <c r="Y77" s="1013"/>
      <c r="Z77" s="1013"/>
      <c r="AA77" s="1013"/>
      <c r="AB77" s="1013"/>
      <c r="AC77" s="1013"/>
      <c r="AD77" s="1013"/>
      <c r="AE77" s="1013"/>
      <c r="AF77" s="1013"/>
      <c r="AG77" s="1013"/>
      <c r="AH77" s="1013"/>
      <c r="AI77" s="1013"/>
      <c r="AJ77" s="1013"/>
      <c r="AK77" s="1013"/>
      <c r="AL77" s="1013"/>
      <c r="AM77" s="1013"/>
      <c r="AN77" s="1013"/>
      <c r="AO77" s="1013"/>
      <c r="AP77" s="1013"/>
      <c r="AQ77" s="1013"/>
      <c r="AR77" s="1013"/>
      <c r="AS77" s="1013"/>
      <c r="AT77" s="1013"/>
      <c r="AU77" s="1013"/>
      <c r="AV77" s="1013"/>
      <c r="AW77" s="1013"/>
      <c r="AX77" s="1013"/>
      <c r="AY77" s="1013"/>
      <c r="AZ77" s="1013"/>
      <c r="BA77" s="1013"/>
      <c r="BB77" s="1013"/>
      <c r="BC77" s="1013"/>
      <c r="BD77" s="1013"/>
      <c r="BE77" s="1013"/>
      <c r="BF77" s="1013"/>
      <c r="BG77" s="1013"/>
      <c r="BH77" s="1013"/>
      <c r="BI77" s="1013"/>
      <c r="BJ77" s="1013"/>
      <c r="BK77" s="1013"/>
      <c r="BL77" s="1013"/>
      <c r="BM77" s="1013"/>
      <c r="BN77" s="1013"/>
      <c r="BO77" s="1013"/>
      <c r="BP77" s="1013"/>
      <c r="BQ77" s="1013"/>
      <c r="BR77" s="1013"/>
      <c r="BS77" s="1013"/>
      <c r="BT77" s="1013"/>
      <c r="BU77" s="1013"/>
      <c r="BV77" s="1013"/>
      <c r="BW77" s="1013"/>
      <c r="BX77" s="1013"/>
      <c r="BY77" s="1013"/>
      <c r="BZ77" s="1013"/>
      <c r="CA77" s="1013"/>
      <c r="CB77" s="1013"/>
      <c r="CC77" s="1013"/>
      <c r="CD77" s="1013"/>
      <c r="CE77" s="1013"/>
      <c r="CF77" s="1013"/>
      <c r="CG77" s="1013"/>
      <c r="CH77" s="1013"/>
      <c r="CI77" s="1013"/>
      <c r="CJ77" s="1013"/>
      <c r="CK77" s="1013"/>
      <c r="CL77" s="1013"/>
      <c r="CM77" s="1013"/>
      <c r="CN77" s="1013"/>
      <c r="CO77" s="1013"/>
      <c r="CP77" s="1013"/>
      <c r="CQ77" s="1013"/>
      <c r="CR77" s="1013"/>
      <c r="CS77" s="1013"/>
      <c r="CT77" s="1013"/>
      <c r="CU77" s="1013"/>
      <c r="CV77" s="1013"/>
      <c r="CW77" s="1013"/>
      <c r="CX77" s="1013"/>
      <c r="CY77" s="1013"/>
      <c r="CZ77" s="1013"/>
      <c r="DA77" s="1013"/>
      <c r="DB77" s="1013"/>
      <c r="DC77" s="1013"/>
      <c r="DD77" s="1013"/>
      <c r="DE77" s="1013"/>
      <c r="DF77" s="1013"/>
      <c r="DG77" s="1013"/>
      <c r="DH77" s="1013"/>
      <c r="DI77" s="1013"/>
      <c r="DJ77" s="1013"/>
      <c r="DK77" s="1013"/>
      <c r="DL77" s="1013"/>
      <c r="DM77" s="1214"/>
      <c r="DN77" s="1222">
        <f>'Lead &amp; ANALYSIS'!G1818/100+('Lead &amp; ANALYSIS'!G1818*2%/100)</f>
        <v>0.72083399999999997</v>
      </c>
      <c r="DO77" s="1225">
        <f t="shared" si="0"/>
        <v>0</v>
      </c>
      <c r="DP77" s="847"/>
      <c r="DQ77" s="1013"/>
      <c r="DR77" s="1225"/>
      <c r="DS77" s="1013"/>
      <c r="DT77" s="1225"/>
      <c r="DU77" s="1013"/>
      <c r="DV77" s="1000"/>
      <c r="DW77" s="1234"/>
      <c r="DX77" s="1238"/>
      <c r="DY77" s="847"/>
      <c r="DZ77" s="847"/>
      <c r="EA77" s="847"/>
      <c r="EB77" s="847"/>
      <c r="EC77" s="847"/>
      <c r="ED77" s="847"/>
      <c r="EE77" s="847"/>
      <c r="EF77" s="847"/>
      <c r="EG77" s="1212"/>
      <c r="EH77" s="847"/>
      <c r="EI77" s="1212"/>
      <c r="EJ77" s="733">
        <f t="shared" si="1"/>
        <v>0</v>
      </c>
      <c r="EK77" s="1101">
        <v>161.68</v>
      </c>
    </row>
    <row r="78" spans="1:141" s="714" customFormat="1" ht="13.5">
      <c r="A78" s="1009"/>
      <c r="B78" s="1212"/>
      <c r="C78" s="1213">
        <v>0</v>
      </c>
      <c r="D78" s="1013" t="s">
        <v>49</v>
      </c>
      <c r="E78" s="847"/>
      <c r="F78" s="1013"/>
      <c r="G78" s="847"/>
      <c r="H78" s="1013"/>
      <c r="I78" s="847"/>
      <c r="J78" s="1013"/>
      <c r="K78" s="847"/>
      <c r="L78" s="1013"/>
      <c r="M78" s="1013"/>
      <c r="N78" s="1013"/>
      <c r="O78" s="847"/>
      <c r="P78" s="1013"/>
      <c r="Q78" s="1013"/>
      <c r="R78" s="847"/>
      <c r="S78" s="847"/>
      <c r="T78" s="1013"/>
      <c r="U78" s="1013"/>
      <c r="V78" s="1013"/>
      <c r="W78" s="1013"/>
      <c r="X78" s="1013"/>
      <c r="Y78" s="1013"/>
      <c r="Z78" s="1013"/>
      <c r="AA78" s="1013"/>
      <c r="AB78" s="1013"/>
      <c r="AC78" s="1013"/>
      <c r="AD78" s="1013"/>
      <c r="AE78" s="1013"/>
      <c r="AF78" s="1013"/>
      <c r="AG78" s="1013"/>
      <c r="AH78" s="1013"/>
      <c r="AI78" s="1013"/>
      <c r="AJ78" s="1013"/>
      <c r="AK78" s="1013"/>
      <c r="AL78" s="1013"/>
      <c r="AM78" s="1013"/>
      <c r="AN78" s="1013"/>
      <c r="AO78" s="1013"/>
      <c r="AP78" s="1013"/>
      <c r="AQ78" s="1013"/>
      <c r="AR78" s="1013"/>
      <c r="AS78" s="1013"/>
      <c r="AT78" s="1013"/>
      <c r="AU78" s="1013"/>
      <c r="AV78" s="1013"/>
      <c r="AW78" s="1013"/>
      <c r="AX78" s="1013"/>
      <c r="AY78" s="1013"/>
      <c r="AZ78" s="1013"/>
      <c r="BA78" s="1013"/>
      <c r="BB78" s="1013"/>
      <c r="BC78" s="1013"/>
      <c r="BD78" s="1013"/>
      <c r="BE78" s="1013"/>
      <c r="BF78" s="1013"/>
      <c r="BG78" s="1013"/>
      <c r="BH78" s="1013"/>
      <c r="BI78" s="1013"/>
      <c r="BJ78" s="1013"/>
      <c r="BK78" s="1013"/>
      <c r="BL78" s="1013"/>
      <c r="BM78" s="1013"/>
      <c r="BN78" s="1013"/>
      <c r="BO78" s="1013"/>
      <c r="BP78" s="1013"/>
      <c r="BQ78" s="1013"/>
      <c r="BR78" s="1013"/>
      <c r="BS78" s="1013"/>
      <c r="BT78" s="1013"/>
      <c r="BU78" s="1013"/>
      <c r="BV78" s="1013"/>
      <c r="BW78" s="1013"/>
      <c r="BX78" s="1013"/>
      <c r="BY78" s="1013"/>
      <c r="BZ78" s="1013"/>
      <c r="CA78" s="1013"/>
      <c r="CB78" s="1013"/>
      <c r="CC78" s="1013"/>
      <c r="CD78" s="1013"/>
      <c r="CE78" s="1013"/>
      <c r="CF78" s="1013"/>
      <c r="CG78" s="1013"/>
      <c r="CH78" s="1013"/>
      <c r="CI78" s="1013"/>
      <c r="CJ78" s="1013"/>
      <c r="CK78" s="1013"/>
      <c r="CL78" s="1013"/>
      <c r="CM78" s="1013"/>
      <c r="CN78" s="1013"/>
      <c r="CO78" s="1013"/>
      <c r="CP78" s="1013"/>
      <c r="CQ78" s="1013"/>
      <c r="CR78" s="1013"/>
      <c r="CS78" s="1013"/>
      <c r="CT78" s="1013"/>
      <c r="CU78" s="1013"/>
      <c r="CV78" s="1013"/>
      <c r="CW78" s="1013"/>
      <c r="CX78" s="1013"/>
      <c r="CY78" s="1013"/>
      <c r="CZ78" s="1013"/>
      <c r="DA78" s="1013"/>
      <c r="DB78" s="1013"/>
      <c r="DC78" s="1013"/>
      <c r="DD78" s="1013"/>
      <c r="DE78" s="1013"/>
      <c r="DF78" s="1013"/>
      <c r="DG78" s="1013"/>
      <c r="DH78" s="1013"/>
      <c r="DI78" s="1013"/>
      <c r="DJ78" s="1013"/>
      <c r="DK78" s="1013"/>
      <c r="DL78" s="1013"/>
      <c r="DM78" s="1214"/>
      <c r="DN78" s="1222">
        <f>'Lead &amp; ANALYSIS'!G1818/100+'Lead &amp; ANALYSIS'!G1818*2%/100+(('Lead &amp; ANALYSIS'!G1818/100+'Lead &amp; ANALYSIS'!G1818*2%/100)*20%)</f>
        <v>0.86500080000000001</v>
      </c>
      <c r="DO78" s="1225">
        <f t="shared" si="0"/>
        <v>0</v>
      </c>
      <c r="DP78" s="847"/>
      <c r="DQ78" s="1013"/>
      <c r="DR78" s="1225"/>
      <c r="DS78" s="1013"/>
      <c r="DT78" s="1225"/>
      <c r="DU78" s="1239"/>
      <c r="DV78" s="1000"/>
      <c r="DW78" s="1234"/>
      <c r="DX78" s="1240"/>
      <c r="DY78" s="847"/>
      <c r="DZ78" s="847"/>
      <c r="EA78" s="847"/>
      <c r="EB78" s="847"/>
      <c r="EC78" s="847"/>
      <c r="ED78" s="847"/>
      <c r="EE78" s="847"/>
      <c r="EF78" s="847"/>
      <c r="EG78" s="1212"/>
      <c r="EH78" s="847"/>
      <c r="EI78" s="1212"/>
      <c r="EJ78" s="1101">
        <f t="shared" si="1"/>
        <v>0</v>
      </c>
      <c r="EK78" s="1101">
        <v>194.02</v>
      </c>
    </row>
    <row r="79" spans="1:141" s="714" customFormat="1" ht="13.5">
      <c r="A79" s="1009">
        <v>25</v>
      </c>
      <c r="B79" s="1212" t="s">
        <v>3033</v>
      </c>
      <c r="C79" s="1213">
        <v>0</v>
      </c>
      <c r="D79" s="1013" t="s">
        <v>49</v>
      </c>
      <c r="E79" s="847"/>
      <c r="F79" s="1013"/>
      <c r="G79" s="847"/>
      <c r="H79" s="1013"/>
      <c r="I79" s="847"/>
      <c r="J79" s="1013"/>
      <c r="K79" s="847"/>
      <c r="L79" s="1013"/>
      <c r="M79" s="1013"/>
      <c r="N79" s="1013"/>
      <c r="O79" s="847"/>
      <c r="P79" s="1013"/>
      <c r="Q79" s="1013"/>
      <c r="R79" s="847"/>
      <c r="S79" s="847"/>
      <c r="T79" s="1013"/>
      <c r="U79" s="1013"/>
      <c r="V79" s="1013"/>
      <c r="W79" s="1013"/>
      <c r="X79" s="1013"/>
      <c r="Y79" s="1013"/>
      <c r="Z79" s="1013"/>
      <c r="AA79" s="1013"/>
      <c r="AB79" s="1013"/>
      <c r="AC79" s="1013"/>
      <c r="AD79" s="1013"/>
      <c r="AE79" s="1013"/>
      <c r="AF79" s="1013"/>
      <c r="AG79" s="1013"/>
      <c r="AH79" s="1013"/>
      <c r="AI79" s="1013"/>
      <c r="AJ79" s="1013"/>
      <c r="AK79" s="1013"/>
      <c r="AL79" s="1013"/>
      <c r="AM79" s="1013"/>
      <c r="AN79" s="1013"/>
      <c r="AO79" s="1013"/>
      <c r="AP79" s="1013"/>
      <c r="AQ79" s="1013"/>
      <c r="AR79" s="1013"/>
      <c r="AS79" s="1013"/>
      <c r="AT79" s="1013"/>
      <c r="AU79" s="1013"/>
      <c r="AV79" s="1013"/>
      <c r="AW79" s="1013"/>
      <c r="AX79" s="1013"/>
      <c r="AY79" s="1013"/>
      <c r="AZ79" s="1013"/>
      <c r="BA79" s="1013"/>
      <c r="BB79" s="1013"/>
      <c r="BC79" s="1013"/>
      <c r="BD79" s="1013"/>
      <c r="BE79" s="1013"/>
      <c r="BF79" s="1013"/>
      <c r="BG79" s="1013"/>
      <c r="BH79" s="1013"/>
      <c r="BI79" s="1013"/>
      <c r="BJ79" s="1013"/>
      <c r="BK79" s="1013"/>
      <c r="BL79" s="1013"/>
      <c r="BM79" s="1013"/>
      <c r="BN79" s="1013"/>
      <c r="BO79" s="1013"/>
      <c r="BP79" s="1013"/>
      <c r="BQ79" s="1013"/>
      <c r="BR79" s="1013"/>
      <c r="BS79" s="1013"/>
      <c r="BT79" s="1013"/>
      <c r="BU79" s="1013"/>
      <c r="BV79" s="1013"/>
      <c r="BW79" s="1013"/>
      <c r="BX79" s="1013"/>
      <c r="BY79" s="1013"/>
      <c r="BZ79" s="1013"/>
      <c r="CA79" s="1013"/>
      <c r="CB79" s="1013"/>
      <c r="CC79" s="1013"/>
      <c r="CD79" s="1013"/>
      <c r="CE79" s="1013"/>
      <c r="CF79" s="1013"/>
      <c r="CG79" s="1013"/>
      <c r="CH79" s="1013"/>
      <c r="CI79" s="1013"/>
      <c r="CJ79" s="1013"/>
      <c r="CK79" s="1013"/>
      <c r="CL79" s="1013"/>
      <c r="CM79" s="1013"/>
      <c r="CN79" s="1013"/>
      <c r="CO79" s="1013"/>
      <c r="CP79" s="1013"/>
      <c r="CQ79" s="1013"/>
      <c r="CR79" s="1013"/>
      <c r="CS79" s="1013"/>
      <c r="CT79" s="1013"/>
      <c r="CU79" s="1013"/>
      <c r="CV79" s="1013"/>
      <c r="CW79" s="1013"/>
      <c r="CX79" s="1013"/>
      <c r="CY79" s="1013"/>
      <c r="CZ79" s="1013"/>
      <c r="DA79" s="1013"/>
      <c r="DB79" s="1013"/>
      <c r="DC79" s="1013"/>
      <c r="DD79" s="1013"/>
      <c r="DE79" s="1013"/>
      <c r="DF79" s="1013"/>
      <c r="DG79" s="1013"/>
      <c r="DH79" s="1013"/>
      <c r="DI79" s="1013"/>
      <c r="DJ79" s="1013"/>
      <c r="DK79" s="1013"/>
      <c r="DL79" s="1013"/>
      <c r="DM79" s="1214"/>
      <c r="DN79" s="1222">
        <f>'Lead &amp; ANALYSIS'!G1829/100+'Lead &amp; ANALYSIS'!G1829*2%/100+(('Lead &amp; ANALYSIS'!G1829/100+'Lead &amp; ANALYSIS'!G1829*2%/100)*20%)</f>
        <v>0.39168000000000003</v>
      </c>
      <c r="DO79" s="1225">
        <f t="shared" si="0"/>
        <v>0</v>
      </c>
      <c r="DP79" s="847"/>
      <c r="DQ79" s="1013"/>
      <c r="DR79" s="1225"/>
      <c r="DS79" s="1013"/>
      <c r="DT79" s="1225"/>
      <c r="DU79" s="1013"/>
      <c r="DV79" s="1000"/>
      <c r="DW79" s="1234"/>
      <c r="DX79" s="1238"/>
      <c r="DY79" s="847"/>
      <c r="DZ79" s="847"/>
      <c r="EA79" s="847"/>
      <c r="EB79" s="847"/>
      <c r="EC79" s="847"/>
      <c r="ED79" s="847"/>
      <c r="EE79" s="847"/>
      <c r="EF79" s="847"/>
      <c r="EG79" s="1212"/>
      <c r="EH79" s="847"/>
      <c r="EI79" s="1212"/>
      <c r="EJ79" s="733">
        <f t="shared" si="1"/>
        <v>0</v>
      </c>
      <c r="EK79" s="1101">
        <v>87.853800000000007</v>
      </c>
    </row>
    <row r="80" spans="1:141" s="714" customFormat="1" ht="13.5">
      <c r="A80" s="1009">
        <v>26</v>
      </c>
      <c r="B80" s="1212" t="s">
        <v>3033</v>
      </c>
      <c r="C80" s="1213">
        <v>0</v>
      </c>
      <c r="D80" s="1013" t="s">
        <v>49</v>
      </c>
      <c r="E80" s="847"/>
      <c r="F80" s="1013"/>
      <c r="G80" s="847"/>
      <c r="H80" s="1013"/>
      <c r="I80" s="847"/>
      <c r="J80" s="1013"/>
      <c r="K80" s="847"/>
      <c r="L80" s="1013"/>
      <c r="M80" s="1013"/>
      <c r="N80" s="1013"/>
      <c r="O80" s="847"/>
      <c r="P80" s="1013"/>
      <c r="Q80" s="1013"/>
      <c r="R80" s="847"/>
      <c r="S80" s="847"/>
      <c r="T80" s="1013"/>
      <c r="U80" s="1013"/>
      <c r="V80" s="1013"/>
      <c r="W80" s="1013"/>
      <c r="X80" s="1013"/>
      <c r="Y80" s="1013"/>
      <c r="Z80" s="1013"/>
      <c r="AA80" s="1013"/>
      <c r="AB80" s="1013"/>
      <c r="AC80" s="1013"/>
      <c r="AD80" s="1013"/>
      <c r="AE80" s="1013"/>
      <c r="AF80" s="1013"/>
      <c r="AG80" s="1013"/>
      <c r="AH80" s="1013"/>
      <c r="AI80" s="1013"/>
      <c r="AJ80" s="1013"/>
      <c r="AK80" s="1013"/>
      <c r="AL80" s="1013"/>
      <c r="AM80" s="1013"/>
      <c r="AN80" s="1013"/>
      <c r="AO80" s="1013"/>
      <c r="AP80" s="1013"/>
      <c r="AQ80" s="1013"/>
      <c r="AR80" s="1013"/>
      <c r="AS80" s="1013"/>
      <c r="AT80" s="1013"/>
      <c r="AU80" s="1013"/>
      <c r="AV80" s="1013"/>
      <c r="AW80" s="1013"/>
      <c r="AX80" s="1013"/>
      <c r="AY80" s="1013"/>
      <c r="AZ80" s="1013"/>
      <c r="BA80" s="1013"/>
      <c r="BB80" s="1013"/>
      <c r="BC80" s="1013"/>
      <c r="BD80" s="1013"/>
      <c r="BE80" s="1013"/>
      <c r="BF80" s="1013"/>
      <c r="BG80" s="1013"/>
      <c r="BH80" s="1013"/>
      <c r="BI80" s="1013"/>
      <c r="BJ80" s="1013"/>
      <c r="BK80" s="1013"/>
      <c r="BL80" s="1013"/>
      <c r="BM80" s="1013"/>
      <c r="BN80" s="1013"/>
      <c r="BO80" s="1013"/>
      <c r="BP80" s="1013"/>
      <c r="BQ80" s="1013"/>
      <c r="BR80" s="1013"/>
      <c r="BS80" s="1013"/>
      <c r="BT80" s="1013"/>
      <c r="BU80" s="1013"/>
      <c r="BV80" s="1013"/>
      <c r="BW80" s="1013"/>
      <c r="BX80" s="1013"/>
      <c r="BY80" s="1013"/>
      <c r="BZ80" s="1013"/>
      <c r="CA80" s="1013"/>
      <c r="CB80" s="1013"/>
      <c r="CC80" s="1013"/>
      <c r="CD80" s="1013"/>
      <c r="CE80" s="1013"/>
      <c r="CF80" s="1013"/>
      <c r="CG80" s="1013"/>
      <c r="CH80" s="1013"/>
      <c r="CI80" s="1013"/>
      <c r="CJ80" s="1013"/>
      <c r="CK80" s="1013"/>
      <c r="CL80" s="1013"/>
      <c r="CM80" s="1013"/>
      <c r="CN80" s="1013"/>
      <c r="CO80" s="1013"/>
      <c r="CP80" s="1013"/>
      <c r="CQ80" s="1013"/>
      <c r="CR80" s="1013"/>
      <c r="CS80" s="1013"/>
      <c r="CT80" s="1013"/>
      <c r="CU80" s="1013"/>
      <c r="CV80" s="1013"/>
      <c r="CW80" s="1013"/>
      <c r="CX80" s="1013"/>
      <c r="CY80" s="1013"/>
      <c r="CZ80" s="1013"/>
      <c r="DA80" s="1013"/>
      <c r="DB80" s="1013"/>
      <c r="DC80" s="1013"/>
      <c r="DD80" s="1013"/>
      <c r="DE80" s="1013"/>
      <c r="DF80" s="1013"/>
      <c r="DG80" s="1013"/>
      <c r="DH80" s="1013"/>
      <c r="DI80" s="1013"/>
      <c r="DJ80" s="1013"/>
      <c r="DK80" s="1013"/>
      <c r="DL80" s="1013"/>
      <c r="DM80" s="1214"/>
      <c r="DN80" s="1222">
        <f>'Lead &amp; ANALYSIS'!G1839/100+('Lead &amp; ANALYSIS'!G1839*2%/100)</f>
        <v>0.58017600000000003</v>
      </c>
      <c r="DO80" s="1225">
        <f t="shared" si="0"/>
        <v>0</v>
      </c>
      <c r="DP80" s="847"/>
      <c r="DQ80" s="1013"/>
      <c r="DR80" s="1225"/>
      <c r="DS80" s="1013"/>
      <c r="DT80" s="1225"/>
      <c r="DU80" s="1013"/>
      <c r="DV80" s="1000"/>
      <c r="DW80" s="1234"/>
      <c r="DX80" s="1238"/>
      <c r="DY80" s="847"/>
      <c r="DZ80" s="847"/>
      <c r="EA80" s="847"/>
      <c r="EB80" s="847"/>
      <c r="EC80" s="847"/>
      <c r="ED80" s="847"/>
      <c r="EE80" s="847"/>
      <c r="EF80" s="847"/>
      <c r="EG80" s="1212"/>
      <c r="EH80" s="847"/>
      <c r="EI80" s="1212"/>
      <c r="EJ80" s="733">
        <f t="shared" si="1"/>
        <v>0</v>
      </c>
      <c r="EK80" s="1101">
        <v>130.13</v>
      </c>
    </row>
    <row r="81" spans="1:141" s="714" customFormat="1" ht="13.5">
      <c r="A81" s="1009"/>
      <c r="B81" s="1212"/>
      <c r="C81" s="1213">
        <v>0</v>
      </c>
      <c r="D81" s="1013" t="s">
        <v>49</v>
      </c>
      <c r="E81" s="847"/>
      <c r="F81" s="1013"/>
      <c r="G81" s="847"/>
      <c r="H81" s="1013"/>
      <c r="I81" s="847"/>
      <c r="J81" s="1013"/>
      <c r="K81" s="847"/>
      <c r="L81" s="1013"/>
      <c r="M81" s="1013"/>
      <c r="N81" s="1013"/>
      <c r="O81" s="847"/>
      <c r="P81" s="1013"/>
      <c r="Q81" s="1013"/>
      <c r="R81" s="847"/>
      <c r="S81" s="847"/>
      <c r="T81" s="1013"/>
      <c r="U81" s="1013"/>
      <c r="V81" s="1013"/>
      <c r="W81" s="1013"/>
      <c r="X81" s="1013"/>
      <c r="Y81" s="1013"/>
      <c r="Z81" s="1013"/>
      <c r="AA81" s="1013"/>
      <c r="AB81" s="1013"/>
      <c r="AC81" s="1013"/>
      <c r="AD81" s="1013"/>
      <c r="AE81" s="1013"/>
      <c r="AF81" s="1013"/>
      <c r="AG81" s="1013"/>
      <c r="AH81" s="1013"/>
      <c r="AI81" s="1013"/>
      <c r="AJ81" s="1013"/>
      <c r="AK81" s="1013"/>
      <c r="AL81" s="1013"/>
      <c r="AM81" s="1013"/>
      <c r="AN81" s="1013"/>
      <c r="AO81" s="1013"/>
      <c r="AP81" s="1013"/>
      <c r="AQ81" s="1013"/>
      <c r="AR81" s="1013"/>
      <c r="AS81" s="1013"/>
      <c r="AT81" s="1013"/>
      <c r="AU81" s="1013"/>
      <c r="AV81" s="1013"/>
      <c r="AW81" s="1013"/>
      <c r="AX81" s="1013"/>
      <c r="AY81" s="1013"/>
      <c r="AZ81" s="1013"/>
      <c r="BA81" s="1013"/>
      <c r="BB81" s="1013"/>
      <c r="BC81" s="1013"/>
      <c r="BD81" s="1013"/>
      <c r="BE81" s="1013"/>
      <c r="BF81" s="1013"/>
      <c r="BG81" s="1013"/>
      <c r="BH81" s="1013"/>
      <c r="BI81" s="1013"/>
      <c r="BJ81" s="1013"/>
      <c r="BK81" s="1013"/>
      <c r="BL81" s="1013"/>
      <c r="BM81" s="1013"/>
      <c r="BN81" s="1013"/>
      <c r="BO81" s="1013"/>
      <c r="BP81" s="1013"/>
      <c r="BQ81" s="1013"/>
      <c r="BR81" s="1013"/>
      <c r="BS81" s="1013"/>
      <c r="BT81" s="1013"/>
      <c r="BU81" s="1013"/>
      <c r="BV81" s="1013"/>
      <c r="BW81" s="1013"/>
      <c r="BX81" s="1013"/>
      <c r="BY81" s="1013"/>
      <c r="BZ81" s="1013"/>
      <c r="CA81" s="1013"/>
      <c r="CB81" s="1013"/>
      <c r="CC81" s="1013"/>
      <c r="CD81" s="1013"/>
      <c r="CE81" s="1013"/>
      <c r="CF81" s="1013"/>
      <c r="CG81" s="1013"/>
      <c r="CH81" s="1013"/>
      <c r="CI81" s="1013"/>
      <c r="CJ81" s="1013"/>
      <c r="CK81" s="1013"/>
      <c r="CL81" s="1013"/>
      <c r="CM81" s="1013"/>
      <c r="CN81" s="1013"/>
      <c r="CO81" s="1013"/>
      <c r="CP81" s="1013"/>
      <c r="CQ81" s="1013"/>
      <c r="CR81" s="1013"/>
      <c r="CS81" s="1013"/>
      <c r="CT81" s="1013"/>
      <c r="CU81" s="1013"/>
      <c r="CV81" s="1013"/>
      <c r="CW81" s="1013"/>
      <c r="CX81" s="1013"/>
      <c r="CY81" s="1013"/>
      <c r="CZ81" s="1013"/>
      <c r="DA81" s="1013"/>
      <c r="DB81" s="1013"/>
      <c r="DC81" s="1013"/>
      <c r="DD81" s="1013"/>
      <c r="DE81" s="1013"/>
      <c r="DF81" s="1013"/>
      <c r="DG81" s="1013"/>
      <c r="DH81" s="1013"/>
      <c r="DI81" s="1013"/>
      <c r="DJ81" s="1013"/>
      <c r="DK81" s="1013"/>
      <c r="DL81" s="1013"/>
      <c r="DM81" s="1214"/>
      <c r="DN81" s="1222">
        <f>'Lead &amp; ANALYSIS'!G1839/100+'Lead &amp; ANALYSIS'!G1839*2%/100+(('Lead &amp; ANALYSIS'!G1839/100+'Lead &amp; ANALYSIS'!G1839*2%/100)*20%)</f>
        <v>0.69621120000000003</v>
      </c>
      <c r="DO81" s="1225">
        <f t="shared" si="0"/>
        <v>0</v>
      </c>
      <c r="DP81" s="847"/>
      <c r="DQ81" s="1013"/>
      <c r="DR81" s="1225"/>
      <c r="DS81" s="1013"/>
      <c r="DT81" s="1225"/>
      <c r="DU81" s="1013"/>
      <c r="DV81" s="1000"/>
      <c r="DW81" s="1234"/>
      <c r="DX81" s="1238"/>
      <c r="DY81" s="847"/>
      <c r="DZ81" s="847"/>
      <c r="EA81" s="847"/>
      <c r="EB81" s="847"/>
      <c r="EC81" s="847"/>
      <c r="ED81" s="847"/>
      <c r="EE81" s="847"/>
      <c r="EF81" s="847"/>
      <c r="EG81" s="1212"/>
      <c r="EH81" s="847"/>
      <c r="EI81" s="1212"/>
      <c r="EJ81" s="733">
        <f t="shared" si="1"/>
        <v>0</v>
      </c>
      <c r="EK81" s="1101">
        <v>156.16</v>
      </c>
    </row>
    <row r="82" spans="1:141" s="714" customFormat="1" ht="13.5">
      <c r="A82" s="1009">
        <v>27</v>
      </c>
      <c r="B82" s="1212" t="s">
        <v>3034</v>
      </c>
      <c r="C82" s="1213">
        <v>0</v>
      </c>
      <c r="D82" s="1013" t="s">
        <v>49</v>
      </c>
      <c r="E82" s="847"/>
      <c r="F82" s="1013"/>
      <c r="G82" s="847"/>
      <c r="H82" s="1013"/>
      <c r="I82" s="847"/>
      <c r="J82" s="1013"/>
      <c r="K82" s="847"/>
      <c r="L82" s="1013"/>
      <c r="M82" s="1013"/>
      <c r="N82" s="1013"/>
      <c r="O82" s="847"/>
      <c r="P82" s="1013"/>
      <c r="Q82" s="1013"/>
      <c r="R82" s="847"/>
      <c r="S82" s="847"/>
      <c r="T82" s="1013"/>
      <c r="U82" s="1013"/>
      <c r="V82" s="1013"/>
      <c r="W82" s="1013"/>
      <c r="X82" s="1013"/>
      <c r="Y82" s="1013"/>
      <c r="Z82" s="1013"/>
      <c r="AA82" s="1013"/>
      <c r="AB82" s="1013"/>
      <c r="AC82" s="1013"/>
      <c r="AD82" s="1013"/>
      <c r="AE82" s="1013"/>
      <c r="AF82" s="1013"/>
      <c r="AG82" s="1013"/>
      <c r="AH82" s="1013"/>
      <c r="AI82" s="1013"/>
      <c r="AJ82" s="1013"/>
      <c r="AK82" s="1013"/>
      <c r="AL82" s="1013"/>
      <c r="AM82" s="1013"/>
      <c r="AN82" s="1013"/>
      <c r="AO82" s="1013"/>
      <c r="AP82" s="1013"/>
      <c r="AQ82" s="1013"/>
      <c r="AR82" s="1013"/>
      <c r="AS82" s="1013"/>
      <c r="AT82" s="1013"/>
      <c r="AU82" s="1013"/>
      <c r="AV82" s="1013"/>
      <c r="AW82" s="1013"/>
      <c r="AX82" s="1013"/>
      <c r="AY82" s="1013"/>
      <c r="AZ82" s="1013"/>
      <c r="BA82" s="1013"/>
      <c r="BB82" s="1013"/>
      <c r="BC82" s="1013"/>
      <c r="BD82" s="1013"/>
      <c r="BE82" s="1013"/>
      <c r="BF82" s="1013"/>
      <c r="BG82" s="1013"/>
      <c r="BH82" s="1013"/>
      <c r="BI82" s="1013"/>
      <c r="BJ82" s="1013"/>
      <c r="BK82" s="1013"/>
      <c r="BL82" s="1013"/>
      <c r="BM82" s="1013"/>
      <c r="BN82" s="1013"/>
      <c r="BO82" s="1013"/>
      <c r="BP82" s="1013"/>
      <c r="BQ82" s="1013"/>
      <c r="BR82" s="1013"/>
      <c r="BS82" s="1013"/>
      <c r="BT82" s="1013"/>
      <c r="BU82" s="1013"/>
      <c r="BV82" s="1013"/>
      <c r="BW82" s="1013"/>
      <c r="BX82" s="1013"/>
      <c r="BY82" s="1013"/>
      <c r="BZ82" s="1013"/>
      <c r="CA82" s="1013"/>
      <c r="CB82" s="1013"/>
      <c r="CC82" s="1013"/>
      <c r="CD82" s="1013"/>
      <c r="CE82" s="1013"/>
      <c r="CF82" s="1013"/>
      <c r="CG82" s="1013"/>
      <c r="CH82" s="1013"/>
      <c r="CI82" s="1013"/>
      <c r="CJ82" s="1013"/>
      <c r="CK82" s="1013"/>
      <c r="CL82" s="1013"/>
      <c r="CM82" s="1013"/>
      <c r="CN82" s="1013"/>
      <c r="CO82" s="1013"/>
      <c r="CP82" s="1013"/>
      <c r="CQ82" s="1013"/>
      <c r="CR82" s="1013"/>
      <c r="CS82" s="1013"/>
      <c r="CT82" s="1013"/>
      <c r="CU82" s="1013"/>
      <c r="CV82" s="1013"/>
      <c r="CW82" s="1013"/>
      <c r="CX82" s="1013"/>
      <c r="CY82" s="1013"/>
      <c r="CZ82" s="1013"/>
      <c r="DA82" s="1013"/>
      <c r="DB82" s="1013"/>
      <c r="DC82" s="1013"/>
      <c r="DD82" s="1013"/>
      <c r="DE82" s="1013"/>
      <c r="DF82" s="1013"/>
      <c r="DG82" s="1013"/>
      <c r="DH82" s="1013"/>
      <c r="DI82" s="1013"/>
      <c r="DJ82" s="1013"/>
      <c r="DK82" s="1013"/>
      <c r="DL82" s="1013"/>
      <c r="DM82" s="1214"/>
      <c r="DN82" s="1222">
        <f>'Lead &amp; ANALYSIS'!G1850/100+'Lead &amp; ANALYSIS'!G1850*2%/100+(('Lead &amp; ANALYSIS'!G1850/100+'Lead &amp; ANALYSIS'!G1850*2%/100)*20%)</f>
        <v>0.53855999999999993</v>
      </c>
      <c r="DO82" s="1225">
        <f t="shared" si="0"/>
        <v>0</v>
      </c>
      <c r="DP82" s="847"/>
      <c r="DQ82" s="1013"/>
      <c r="DR82" s="1225"/>
      <c r="DS82" s="1013"/>
      <c r="DT82" s="1225"/>
      <c r="DU82" s="1013"/>
      <c r="DV82" s="1000"/>
      <c r="DW82" s="1234"/>
      <c r="DX82" s="1238"/>
      <c r="DY82" s="847"/>
      <c r="DZ82" s="847"/>
      <c r="EA82" s="847"/>
      <c r="EB82" s="847"/>
      <c r="EC82" s="847"/>
      <c r="ED82" s="847"/>
      <c r="EE82" s="847"/>
      <c r="EF82" s="847"/>
      <c r="EG82" s="1212"/>
      <c r="EH82" s="847"/>
      <c r="EI82" s="1212"/>
      <c r="EJ82" s="733">
        <f t="shared" si="1"/>
        <v>0</v>
      </c>
      <c r="EK82" s="1101">
        <v>120.79899999999999</v>
      </c>
    </row>
    <row r="83" spans="1:141" s="714" customFormat="1" ht="13.5">
      <c r="A83" s="1009">
        <v>28</v>
      </c>
      <c r="B83" s="1212" t="s">
        <v>3034</v>
      </c>
      <c r="C83" s="1213">
        <v>0</v>
      </c>
      <c r="D83" s="1013" t="s">
        <v>49</v>
      </c>
      <c r="E83" s="847"/>
      <c r="F83" s="1013"/>
      <c r="G83" s="847"/>
      <c r="H83" s="1013"/>
      <c r="I83" s="847"/>
      <c r="J83" s="1013"/>
      <c r="K83" s="847"/>
      <c r="L83" s="1013"/>
      <c r="M83" s="1013"/>
      <c r="N83" s="1013"/>
      <c r="O83" s="847"/>
      <c r="P83" s="1013"/>
      <c r="Q83" s="1013"/>
      <c r="R83" s="847"/>
      <c r="S83" s="847"/>
      <c r="T83" s="1013"/>
      <c r="U83" s="1013"/>
      <c r="V83" s="1013"/>
      <c r="W83" s="1013"/>
      <c r="X83" s="1013"/>
      <c r="Y83" s="1013"/>
      <c r="Z83" s="1013"/>
      <c r="AA83" s="1013"/>
      <c r="AB83" s="1013"/>
      <c r="AC83" s="1013"/>
      <c r="AD83" s="1013"/>
      <c r="AE83" s="1013"/>
      <c r="AF83" s="1013"/>
      <c r="AG83" s="1013"/>
      <c r="AH83" s="1013"/>
      <c r="AI83" s="1013"/>
      <c r="AJ83" s="1013"/>
      <c r="AK83" s="1013"/>
      <c r="AL83" s="1013"/>
      <c r="AM83" s="1013"/>
      <c r="AN83" s="1013"/>
      <c r="AO83" s="1013"/>
      <c r="AP83" s="1013"/>
      <c r="AQ83" s="1013"/>
      <c r="AR83" s="1013"/>
      <c r="AS83" s="1013"/>
      <c r="AT83" s="1013"/>
      <c r="AU83" s="1013"/>
      <c r="AV83" s="1013"/>
      <c r="AW83" s="1013"/>
      <c r="AX83" s="1013"/>
      <c r="AY83" s="1013"/>
      <c r="AZ83" s="1013"/>
      <c r="BA83" s="1013"/>
      <c r="BB83" s="1013"/>
      <c r="BC83" s="1013"/>
      <c r="BD83" s="1013"/>
      <c r="BE83" s="1013"/>
      <c r="BF83" s="1013"/>
      <c r="BG83" s="1013"/>
      <c r="BH83" s="1013"/>
      <c r="BI83" s="1013"/>
      <c r="BJ83" s="1013"/>
      <c r="BK83" s="1013"/>
      <c r="BL83" s="1013"/>
      <c r="BM83" s="1013"/>
      <c r="BN83" s="1013"/>
      <c r="BO83" s="1013"/>
      <c r="BP83" s="1013"/>
      <c r="BQ83" s="1013"/>
      <c r="BR83" s="1013"/>
      <c r="BS83" s="1013"/>
      <c r="BT83" s="1013"/>
      <c r="BU83" s="1013"/>
      <c r="BV83" s="1013"/>
      <c r="BW83" s="1013"/>
      <c r="BX83" s="1013"/>
      <c r="BY83" s="1013"/>
      <c r="BZ83" s="1013"/>
      <c r="CA83" s="1013"/>
      <c r="CB83" s="1013"/>
      <c r="CC83" s="1013"/>
      <c r="CD83" s="1013"/>
      <c r="CE83" s="1013"/>
      <c r="CF83" s="1013"/>
      <c r="CG83" s="1013"/>
      <c r="CH83" s="1013"/>
      <c r="CI83" s="1013"/>
      <c r="CJ83" s="1013"/>
      <c r="CK83" s="1013"/>
      <c r="CL83" s="1013"/>
      <c r="CM83" s="1013"/>
      <c r="CN83" s="1013"/>
      <c r="CO83" s="1013"/>
      <c r="CP83" s="1013"/>
      <c r="CQ83" s="1013"/>
      <c r="CR83" s="1013"/>
      <c r="CS83" s="1013"/>
      <c r="CT83" s="1013"/>
      <c r="CU83" s="1013"/>
      <c r="CV83" s="1013"/>
      <c r="CW83" s="1013"/>
      <c r="CX83" s="1013"/>
      <c r="CY83" s="1013"/>
      <c r="CZ83" s="1013"/>
      <c r="DA83" s="1013"/>
      <c r="DB83" s="1013"/>
      <c r="DC83" s="1013"/>
      <c r="DD83" s="1013"/>
      <c r="DE83" s="1013"/>
      <c r="DF83" s="1013"/>
      <c r="DG83" s="1013"/>
      <c r="DH83" s="1013"/>
      <c r="DI83" s="1013"/>
      <c r="DJ83" s="1013"/>
      <c r="DK83" s="1013"/>
      <c r="DL83" s="1013"/>
      <c r="DM83" s="1214"/>
      <c r="DN83" s="1222">
        <f>'Lead &amp; ANALYSIS'!G1860/100+('Lead &amp; ANALYSIS'!G1860*2%/100)</f>
        <v>0.7669720000000001</v>
      </c>
      <c r="DO83" s="1225">
        <f t="shared" si="0"/>
        <v>0</v>
      </c>
      <c r="DP83" s="847"/>
      <c r="DQ83" s="1013"/>
      <c r="DR83" s="1225"/>
      <c r="DS83" s="1013"/>
      <c r="DT83" s="1225"/>
      <c r="DU83" s="1013"/>
      <c r="DV83" s="1000"/>
      <c r="DW83" s="1234"/>
      <c r="DX83" s="1238"/>
      <c r="DY83" s="847"/>
      <c r="DZ83" s="847"/>
      <c r="EA83" s="847"/>
      <c r="EB83" s="847"/>
      <c r="EC83" s="847"/>
      <c r="ED83" s="847"/>
      <c r="EE83" s="847"/>
      <c r="EF83" s="847"/>
      <c r="EG83" s="1212"/>
      <c r="EH83" s="847"/>
      <c r="EI83" s="1212"/>
      <c r="EJ83" s="733">
        <f t="shared" si="1"/>
        <v>0</v>
      </c>
      <c r="EK83" s="1101">
        <v>172.03</v>
      </c>
    </row>
    <row r="84" spans="1:141" s="714" customFormat="1" ht="13.5">
      <c r="A84" s="1009"/>
      <c r="B84" s="1212"/>
      <c r="C84" s="1213">
        <v>0</v>
      </c>
      <c r="D84" s="1013" t="s">
        <v>49</v>
      </c>
      <c r="E84" s="847"/>
      <c r="F84" s="1013"/>
      <c r="G84" s="847"/>
      <c r="H84" s="1013"/>
      <c r="I84" s="847"/>
      <c r="J84" s="1013"/>
      <c r="K84" s="847"/>
      <c r="L84" s="1013"/>
      <c r="M84" s="1013"/>
      <c r="N84" s="1013"/>
      <c r="O84" s="847"/>
      <c r="P84" s="1013"/>
      <c r="Q84" s="1013"/>
      <c r="R84" s="847"/>
      <c r="S84" s="847"/>
      <c r="T84" s="1013"/>
      <c r="U84" s="1013"/>
      <c r="V84" s="1013"/>
      <c r="W84" s="1013"/>
      <c r="X84" s="1013"/>
      <c r="Y84" s="1013"/>
      <c r="Z84" s="1013"/>
      <c r="AA84" s="1013"/>
      <c r="AB84" s="1013"/>
      <c r="AC84" s="1013"/>
      <c r="AD84" s="1013"/>
      <c r="AE84" s="1013"/>
      <c r="AF84" s="1013"/>
      <c r="AG84" s="1013"/>
      <c r="AH84" s="1013"/>
      <c r="AI84" s="1013"/>
      <c r="AJ84" s="1013"/>
      <c r="AK84" s="1013"/>
      <c r="AL84" s="1013"/>
      <c r="AM84" s="1013"/>
      <c r="AN84" s="1013"/>
      <c r="AO84" s="1013"/>
      <c r="AP84" s="1013"/>
      <c r="AQ84" s="1013"/>
      <c r="AR84" s="1013"/>
      <c r="AS84" s="1013"/>
      <c r="AT84" s="1013"/>
      <c r="AU84" s="1013"/>
      <c r="AV84" s="1013"/>
      <c r="AW84" s="1013"/>
      <c r="AX84" s="1013"/>
      <c r="AY84" s="1013"/>
      <c r="AZ84" s="1013"/>
      <c r="BA84" s="1013"/>
      <c r="BB84" s="1013"/>
      <c r="BC84" s="1013"/>
      <c r="BD84" s="1013"/>
      <c r="BE84" s="1013"/>
      <c r="BF84" s="1013"/>
      <c r="BG84" s="1013"/>
      <c r="BH84" s="1013"/>
      <c r="BI84" s="1013"/>
      <c r="BJ84" s="1013"/>
      <c r="BK84" s="1013"/>
      <c r="BL84" s="1013"/>
      <c r="BM84" s="1013"/>
      <c r="BN84" s="1013"/>
      <c r="BO84" s="1013"/>
      <c r="BP84" s="1013"/>
      <c r="BQ84" s="1013"/>
      <c r="BR84" s="1013"/>
      <c r="BS84" s="1013"/>
      <c r="BT84" s="1013"/>
      <c r="BU84" s="1013"/>
      <c r="BV84" s="1013"/>
      <c r="BW84" s="1013"/>
      <c r="BX84" s="1013"/>
      <c r="BY84" s="1013"/>
      <c r="BZ84" s="1013"/>
      <c r="CA84" s="1013"/>
      <c r="CB84" s="1013"/>
      <c r="CC84" s="1013"/>
      <c r="CD84" s="1013"/>
      <c r="CE84" s="1013"/>
      <c r="CF84" s="1013"/>
      <c r="CG84" s="1013"/>
      <c r="CH84" s="1013"/>
      <c r="CI84" s="1013"/>
      <c r="CJ84" s="1013"/>
      <c r="CK84" s="1013"/>
      <c r="CL84" s="1013"/>
      <c r="CM84" s="1013"/>
      <c r="CN84" s="1013"/>
      <c r="CO84" s="1013"/>
      <c r="CP84" s="1013"/>
      <c r="CQ84" s="1013"/>
      <c r="CR84" s="1013"/>
      <c r="CS84" s="1013"/>
      <c r="CT84" s="1013"/>
      <c r="CU84" s="1013"/>
      <c r="CV84" s="1013"/>
      <c r="CW84" s="1013"/>
      <c r="CX84" s="1013"/>
      <c r="CY84" s="1013"/>
      <c r="CZ84" s="1013"/>
      <c r="DA84" s="1013"/>
      <c r="DB84" s="1013"/>
      <c r="DC84" s="1013"/>
      <c r="DD84" s="1013"/>
      <c r="DE84" s="1013"/>
      <c r="DF84" s="1013"/>
      <c r="DG84" s="1013"/>
      <c r="DH84" s="1013"/>
      <c r="DI84" s="1013"/>
      <c r="DJ84" s="1013"/>
      <c r="DK84" s="1013"/>
      <c r="DL84" s="1013"/>
      <c r="DM84" s="1214"/>
      <c r="DN84" s="1222">
        <f>'Lead &amp; ANALYSIS'!G1860/100+'Lead &amp; ANALYSIS'!G1860*2%/100+(('Lead &amp; ANALYSIS'!G1860/100+'Lead &amp; ANALYSIS'!G1860*2%/100)*20%)</f>
        <v>0.92036640000000014</v>
      </c>
      <c r="DO84" s="1225">
        <f t="shared" si="0"/>
        <v>0</v>
      </c>
      <c r="DP84" s="847"/>
      <c r="DQ84" s="1013"/>
      <c r="DR84" s="1225"/>
      <c r="DS84" s="1013"/>
      <c r="DT84" s="1225"/>
      <c r="DU84" s="1013"/>
      <c r="DV84" s="1000"/>
      <c r="DW84" s="1234"/>
      <c r="DX84" s="1238"/>
      <c r="DY84" s="847"/>
      <c r="DZ84" s="847"/>
      <c r="EA84" s="847"/>
      <c r="EB84" s="847"/>
      <c r="EC84" s="847"/>
      <c r="ED84" s="847"/>
      <c r="EE84" s="847"/>
      <c r="EF84" s="847"/>
      <c r="EG84" s="1212"/>
      <c r="EH84" s="847"/>
      <c r="EI84" s="1212"/>
      <c r="EJ84" s="733">
        <f t="shared" si="1"/>
        <v>0</v>
      </c>
      <c r="EK84" s="1101">
        <v>206.44</v>
      </c>
    </row>
    <row r="85" spans="1:141" s="714" customFormat="1" ht="13.5">
      <c r="A85" s="1009">
        <v>29</v>
      </c>
      <c r="B85" s="1212" t="s">
        <v>3035</v>
      </c>
      <c r="C85" s="1213">
        <v>0</v>
      </c>
      <c r="D85" s="1013" t="s">
        <v>49</v>
      </c>
      <c r="E85" s="847"/>
      <c r="F85" s="1013"/>
      <c r="G85" s="847"/>
      <c r="H85" s="1013"/>
      <c r="I85" s="847"/>
      <c r="J85" s="1013"/>
      <c r="K85" s="847"/>
      <c r="L85" s="1013"/>
      <c r="M85" s="1013"/>
      <c r="N85" s="1013"/>
      <c r="O85" s="847"/>
      <c r="P85" s="1013"/>
      <c r="Q85" s="1013"/>
      <c r="R85" s="847"/>
      <c r="S85" s="847"/>
      <c r="T85" s="1013"/>
      <c r="U85" s="1013"/>
      <c r="V85" s="1013"/>
      <c r="W85" s="1013"/>
      <c r="X85" s="1013"/>
      <c r="Y85" s="1013"/>
      <c r="Z85" s="1013"/>
      <c r="AA85" s="1013"/>
      <c r="AB85" s="1013"/>
      <c r="AC85" s="1013"/>
      <c r="AD85" s="1013"/>
      <c r="AE85" s="1013"/>
      <c r="AF85" s="1013"/>
      <c r="AG85" s="1013"/>
      <c r="AH85" s="1013"/>
      <c r="AI85" s="1013"/>
      <c r="AJ85" s="1013"/>
      <c r="AK85" s="1013"/>
      <c r="AL85" s="1013"/>
      <c r="AM85" s="1013"/>
      <c r="AN85" s="1013"/>
      <c r="AO85" s="1013"/>
      <c r="AP85" s="1013"/>
      <c r="AQ85" s="1013"/>
      <c r="AR85" s="1013"/>
      <c r="AS85" s="1013"/>
      <c r="AT85" s="1013"/>
      <c r="AU85" s="1013"/>
      <c r="AV85" s="1013"/>
      <c r="AW85" s="1013"/>
      <c r="AX85" s="1013"/>
      <c r="AY85" s="1013"/>
      <c r="AZ85" s="1013"/>
      <c r="BA85" s="1013"/>
      <c r="BB85" s="1013"/>
      <c r="BC85" s="1013"/>
      <c r="BD85" s="1013"/>
      <c r="BE85" s="1013"/>
      <c r="BF85" s="1013"/>
      <c r="BG85" s="1013"/>
      <c r="BH85" s="1013"/>
      <c r="BI85" s="1013"/>
      <c r="BJ85" s="1013"/>
      <c r="BK85" s="1013"/>
      <c r="BL85" s="1013"/>
      <c r="BM85" s="1013"/>
      <c r="BN85" s="1013"/>
      <c r="BO85" s="1013"/>
      <c r="BP85" s="1013"/>
      <c r="BQ85" s="1013"/>
      <c r="BR85" s="1013"/>
      <c r="BS85" s="1013"/>
      <c r="BT85" s="1013"/>
      <c r="BU85" s="1013"/>
      <c r="BV85" s="1013"/>
      <c r="BW85" s="1013"/>
      <c r="BX85" s="1013"/>
      <c r="BY85" s="1013"/>
      <c r="BZ85" s="1013"/>
      <c r="CA85" s="1013"/>
      <c r="CB85" s="1013"/>
      <c r="CC85" s="1013"/>
      <c r="CD85" s="1013"/>
      <c r="CE85" s="1013"/>
      <c r="CF85" s="1013"/>
      <c r="CG85" s="1013"/>
      <c r="CH85" s="1013"/>
      <c r="CI85" s="1013"/>
      <c r="CJ85" s="1013"/>
      <c r="CK85" s="1013"/>
      <c r="CL85" s="1013"/>
      <c r="CM85" s="1013"/>
      <c r="CN85" s="1013"/>
      <c r="CO85" s="1013"/>
      <c r="CP85" s="1013"/>
      <c r="CQ85" s="1013"/>
      <c r="CR85" s="1013"/>
      <c r="CS85" s="1013"/>
      <c r="CT85" s="1013"/>
      <c r="CU85" s="1013"/>
      <c r="CV85" s="1013"/>
      <c r="CW85" s="1013"/>
      <c r="CX85" s="1013"/>
      <c r="CY85" s="1013"/>
      <c r="CZ85" s="1013"/>
      <c r="DA85" s="1013"/>
      <c r="DB85" s="1013"/>
      <c r="DC85" s="1013"/>
      <c r="DD85" s="1013"/>
      <c r="DE85" s="1013"/>
      <c r="DF85" s="1013"/>
      <c r="DG85" s="1013"/>
      <c r="DH85" s="1013"/>
      <c r="DI85" s="1013"/>
      <c r="DJ85" s="1013"/>
      <c r="DK85" s="1013"/>
      <c r="DL85" s="1013"/>
      <c r="DM85" s="1214"/>
      <c r="DN85" s="1222">
        <f>'Lead &amp; ANALYSIS'!G1871/100+'Lead &amp; ANALYSIS'!G1871*2%/100+(('Lead &amp; ANALYSIS'!G1871/100+'Lead &amp; ANALYSIS'!G1871*2%/100)*20%)</f>
        <v>0.82081439999999994</v>
      </c>
      <c r="DO85" s="1225">
        <f t="shared" si="0"/>
        <v>0</v>
      </c>
      <c r="DP85" s="847"/>
      <c r="DQ85" s="1013"/>
      <c r="DR85" s="1225"/>
      <c r="DS85" s="1013"/>
      <c r="DT85" s="1225"/>
      <c r="DU85" s="1013"/>
      <c r="DV85" s="1000"/>
      <c r="DW85" s="1234"/>
      <c r="DX85" s="1238"/>
      <c r="DY85" s="847"/>
      <c r="DZ85" s="847"/>
      <c r="EA85" s="847"/>
      <c r="EB85" s="847"/>
      <c r="EC85" s="847"/>
      <c r="ED85" s="847"/>
      <c r="EE85" s="847"/>
      <c r="EF85" s="847"/>
      <c r="EG85" s="1212"/>
      <c r="EH85" s="847"/>
      <c r="EI85" s="1212"/>
      <c r="EJ85" s="733">
        <f t="shared" si="1"/>
        <v>0</v>
      </c>
      <c r="EK85" s="1101">
        <v>184.1087</v>
      </c>
    </row>
    <row r="86" spans="1:141" s="714" customFormat="1" ht="13.5">
      <c r="A86" s="1009">
        <v>30</v>
      </c>
      <c r="B86" s="1212" t="s">
        <v>3035</v>
      </c>
      <c r="C86" s="1213">
        <v>0</v>
      </c>
      <c r="D86" s="1013" t="s">
        <v>49</v>
      </c>
      <c r="E86" s="847"/>
      <c r="F86" s="1013"/>
      <c r="G86" s="847"/>
      <c r="H86" s="1013"/>
      <c r="I86" s="847"/>
      <c r="J86" s="1013"/>
      <c r="K86" s="847"/>
      <c r="L86" s="1013"/>
      <c r="M86" s="1013"/>
      <c r="N86" s="1013"/>
      <c r="O86" s="847"/>
      <c r="P86" s="1013"/>
      <c r="Q86" s="1013"/>
      <c r="R86" s="847"/>
      <c r="S86" s="847"/>
      <c r="T86" s="1013"/>
      <c r="U86" s="1013"/>
      <c r="V86" s="1013"/>
      <c r="W86" s="1013"/>
      <c r="X86" s="1013"/>
      <c r="Y86" s="1013"/>
      <c r="Z86" s="1013"/>
      <c r="AA86" s="1013"/>
      <c r="AB86" s="1013"/>
      <c r="AC86" s="1013"/>
      <c r="AD86" s="1013"/>
      <c r="AE86" s="1013"/>
      <c r="AF86" s="1013"/>
      <c r="AG86" s="1013"/>
      <c r="AH86" s="1013"/>
      <c r="AI86" s="1013"/>
      <c r="AJ86" s="1013"/>
      <c r="AK86" s="1013"/>
      <c r="AL86" s="1013"/>
      <c r="AM86" s="1013"/>
      <c r="AN86" s="1013"/>
      <c r="AO86" s="1013"/>
      <c r="AP86" s="1013"/>
      <c r="AQ86" s="1013"/>
      <c r="AR86" s="1013"/>
      <c r="AS86" s="1013"/>
      <c r="AT86" s="1013"/>
      <c r="AU86" s="1013"/>
      <c r="AV86" s="1013"/>
      <c r="AW86" s="1013"/>
      <c r="AX86" s="1013"/>
      <c r="AY86" s="1013"/>
      <c r="AZ86" s="1013"/>
      <c r="BA86" s="1013"/>
      <c r="BB86" s="1013"/>
      <c r="BC86" s="1013"/>
      <c r="BD86" s="1013"/>
      <c r="BE86" s="1013"/>
      <c r="BF86" s="1013"/>
      <c r="BG86" s="1013"/>
      <c r="BH86" s="1013"/>
      <c r="BI86" s="1013"/>
      <c r="BJ86" s="1013"/>
      <c r="BK86" s="1013"/>
      <c r="BL86" s="1013"/>
      <c r="BM86" s="1013"/>
      <c r="BN86" s="1013"/>
      <c r="BO86" s="1013"/>
      <c r="BP86" s="1013"/>
      <c r="BQ86" s="1013"/>
      <c r="BR86" s="1013"/>
      <c r="BS86" s="1013"/>
      <c r="BT86" s="1013"/>
      <c r="BU86" s="1013"/>
      <c r="BV86" s="1013"/>
      <c r="BW86" s="1013"/>
      <c r="BX86" s="1013"/>
      <c r="BY86" s="1013"/>
      <c r="BZ86" s="1013"/>
      <c r="CA86" s="1013"/>
      <c r="CB86" s="1013"/>
      <c r="CC86" s="1013"/>
      <c r="CD86" s="1013"/>
      <c r="CE86" s="1013"/>
      <c r="CF86" s="1013"/>
      <c r="CG86" s="1013"/>
      <c r="CH86" s="1013"/>
      <c r="CI86" s="1013"/>
      <c r="CJ86" s="1013"/>
      <c r="CK86" s="1013"/>
      <c r="CL86" s="1013"/>
      <c r="CM86" s="1013"/>
      <c r="CN86" s="1013"/>
      <c r="CO86" s="1013"/>
      <c r="CP86" s="1013"/>
      <c r="CQ86" s="1013"/>
      <c r="CR86" s="1013"/>
      <c r="CS86" s="1013"/>
      <c r="CT86" s="1013"/>
      <c r="CU86" s="1013"/>
      <c r="CV86" s="1013"/>
      <c r="CW86" s="1013"/>
      <c r="CX86" s="1013"/>
      <c r="CY86" s="1013"/>
      <c r="CZ86" s="1013"/>
      <c r="DA86" s="1013"/>
      <c r="DB86" s="1013"/>
      <c r="DC86" s="1013"/>
      <c r="DD86" s="1013"/>
      <c r="DE86" s="1013"/>
      <c r="DF86" s="1013"/>
      <c r="DG86" s="1013"/>
      <c r="DH86" s="1013"/>
      <c r="DI86" s="1013"/>
      <c r="DJ86" s="1013"/>
      <c r="DK86" s="1013"/>
      <c r="DL86" s="1013"/>
      <c r="DM86" s="1214"/>
      <c r="DN86" s="1222">
        <f>'Lead &amp; ANALYSIS'!G1881/100+('Lead &amp; ANALYSIS'!G1881*2%/100)</f>
        <v>0.99990600000000007</v>
      </c>
      <c r="DO86" s="1225">
        <f t="shared" si="0"/>
        <v>0</v>
      </c>
      <c r="DP86" s="847"/>
      <c r="DQ86" s="1013"/>
      <c r="DR86" s="1225"/>
      <c r="DS86" s="1013"/>
      <c r="DT86" s="1225"/>
      <c r="DU86" s="1013"/>
      <c r="DV86" s="1000"/>
      <c r="DW86" s="1234"/>
      <c r="DX86" s="1238"/>
      <c r="DY86" s="847"/>
      <c r="DZ86" s="847"/>
      <c r="EA86" s="847"/>
      <c r="EB86" s="847"/>
      <c r="EC86" s="847"/>
      <c r="ED86" s="847"/>
      <c r="EE86" s="847"/>
      <c r="EF86" s="847"/>
      <c r="EG86" s="1212"/>
      <c r="EH86" s="847"/>
      <c r="EI86" s="1212"/>
      <c r="EJ86" s="733">
        <f t="shared" si="1"/>
        <v>0</v>
      </c>
      <c r="EK86" s="1101">
        <v>224.28</v>
      </c>
    </row>
    <row r="87" spans="1:141" s="714" customFormat="1" ht="13.5">
      <c r="A87" s="1009"/>
      <c r="B87" s="1212"/>
      <c r="C87" s="1213">
        <v>0</v>
      </c>
      <c r="D87" s="1013" t="s">
        <v>49</v>
      </c>
      <c r="E87" s="847"/>
      <c r="F87" s="1013"/>
      <c r="G87" s="847"/>
      <c r="H87" s="1013"/>
      <c r="I87" s="847"/>
      <c r="J87" s="1013"/>
      <c r="K87" s="847"/>
      <c r="L87" s="1013"/>
      <c r="M87" s="1013"/>
      <c r="N87" s="1013"/>
      <c r="O87" s="847"/>
      <c r="P87" s="1013"/>
      <c r="Q87" s="1013"/>
      <c r="R87" s="847"/>
      <c r="S87" s="847"/>
      <c r="T87" s="1013"/>
      <c r="U87" s="1013"/>
      <c r="V87" s="1013"/>
      <c r="W87" s="1013"/>
      <c r="X87" s="1013"/>
      <c r="Y87" s="1013"/>
      <c r="Z87" s="1013"/>
      <c r="AA87" s="1013"/>
      <c r="AB87" s="1013"/>
      <c r="AC87" s="1013"/>
      <c r="AD87" s="1013"/>
      <c r="AE87" s="1013"/>
      <c r="AF87" s="1013"/>
      <c r="AG87" s="1013"/>
      <c r="AH87" s="1013"/>
      <c r="AI87" s="1013"/>
      <c r="AJ87" s="1013"/>
      <c r="AK87" s="1013"/>
      <c r="AL87" s="1013"/>
      <c r="AM87" s="1013"/>
      <c r="AN87" s="1013"/>
      <c r="AO87" s="1013"/>
      <c r="AP87" s="1013"/>
      <c r="AQ87" s="1013"/>
      <c r="AR87" s="1013"/>
      <c r="AS87" s="1013"/>
      <c r="AT87" s="1013"/>
      <c r="AU87" s="1013"/>
      <c r="AV87" s="1013"/>
      <c r="AW87" s="1013"/>
      <c r="AX87" s="1013"/>
      <c r="AY87" s="1013"/>
      <c r="AZ87" s="1013"/>
      <c r="BA87" s="1013"/>
      <c r="BB87" s="1013"/>
      <c r="BC87" s="1013"/>
      <c r="BD87" s="1013"/>
      <c r="BE87" s="1013"/>
      <c r="BF87" s="1013"/>
      <c r="BG87" s="1013"/>
      <c r="BH87" s="1013"/>
      <c r="BI87" s="1013"/>
      <c r="BJ87" s="1013"/>
      <c r="BK87" s="1013"/>
      <c r="BL87" s="1013"/>
      <c r="BM87" s="1013"/>
      <c r="BN87" s="1013"/>
      <c r="BO87" s="1013"/>
      <c r="BP87" s="1013"/>
      <c r="BQ87" s="1013"/>
      <c r="BR87" s="1013"/>
      <c r="BS87" s="1013"/>
      <c r="BT87" s="1013"/>
      <c r="BU87" s="1013"/>
      <c r="BV87" s="1013"/>
      <c r="BW87" s="1013"/>
      <c r="BX87" s="1013"/>
      <c r="BY87" s="1013"/>
      <c r="BZ87" s="1013"/>
      <c r="CA87" s="1013"/>
      <c r="CB87" s="1013"/>
      <c r="CC87" s="1013"/>
      <c r="CD87" s="1013"/>
      <c r="CE87" s="1013"/>
      <c r="CF87" s="1013"/>
      <c r="CG87" s="1013"/>
      <c r="CH87" s="1013"/>
      <c r="CI87" s="1013"/>
      <c r="CJ87" s="1013"/>
      <c r="CK87" s="1013"/>
      <c r="CL87" s="1013"/>
      <c r="CM87" s="1013"/>
      <c r="CN87" s="1013"/>
      <c r="CO87" s="1013"/>
      <c r="CP87" s="1013"/>
      <c r="CQ87" s="1013"/>
      <c r="CR87" s="1013"/>
      <c r="CS87" s="1013"/>
      <c r="CT87" s="1013"/>
      <c r="CU87" s="1013"/>
      <c r="CV87" s="1013"/>
      <c r="CW87" s="1013"/>
      <c r="CX87" s="1013"/>
      <c r="CY87" s="1013"/>
      <c r="CZ87" s="1013"/>
      <c r="DA87" s="1013"/>
      <c r="DB87" s="1013"/>
      <c r="DC87" s="1013"/>
      <c r="DD87" s="1013"/>
      <c r="DE87" s="1013"/>
      <c r="DF87" s="1013"/>
      <c r="DG87" s="1013"/>
      <c r="DH87" s="1013"/>
      <c r="DI87" s="1013"/>
      <c r="DJ87" s="1013"/>
      <c r="DK87" s="1013"/>
      <c r="DL87" s="1013"/>
      <c r="DM87" s="1214"/>
      <c r="DN87" s="1222">
        <f>'Lead &amp; ANALYSIS'!G1881/100+'Lead &amp; ANALYSIS'!G1881*2%/100+(('Lead &amp; ANALYSIS'!G1881/100+'Lead &amp; ANALYSIS'!G1881*2%/100)*20%)</f>
        <v>1.1998872</v>
      </c>
      <c r="DO87" s="1225">
        <f t="shared" si="0"/>
        <v>0</v>
      </c>
      <c r="DP87" s="847"/>
      <c r="DQ87" s="1013"/>
      <c r="DR87" s="1225"/>
      <c r="DS87" s="1013"/>
      <c r="DT87" s="1225"/>
      <c r="DU87" s="1013"/>
      <c r="DV87" s="1000"/>
      <c r="DW87" s="1234"/>
      <c r="DX87" s="1238"/>
      <c r="DY87" s="847"/>
      <c r="DZ87" s="847"/>
      <c r="EA87" s="847"/>
      <c r="EB87" s="847"/>
      <c r="EC87" s="847"/>
      <c r="ED87" s="847"/>
      <c r="EE87" s="847"/>
      <c r="EF87" s="847"/>
      <c r="EG87" s="1212"/>
      <c r="EH87" s="847"/>
      <c r="EI87" s="1212"/>
      <c r="EJ87" s="733">
        <f t="shared" si="1"/>
        <v>0</v>
      </c>
      <c r="EK87" s="1101">
        <v>269.14</v>
      </c>
    </row>
    <row r="88" spans="1:141" s="714" customFormat="1" ht="13.5">
      <c r="A88" s="1009">
        <v>31</v>
      </c>
      <c r="B88" s="1212" t="s">
        <v>3036</v>
      </c>
      <c r="C88" s="1213">
        <v>0</v>
      </c>
      <c r="D88" s="1013" t="s">
        <v>49</v>
      </c>
      <c r="E88" s="847"/>
      <c r="F88" s="1013"/>
      <c r="G88" s="847"/>
      <c r="H88" s="1013"/>
      <c r="I88" s="847"/>
      <c r="J88" s="1013"/>
      <c r="K88" s="847"/>
      <c r="L88" s="1013"/>
      <c r="M88" s="1013"/>
      <c r="N88" s="1013"/>
      <c r="O88" s="847"/>
      <c r="P88" s="1013"/>
      <c r="Q88" s="1013"/>
      <c r="R88" s="847"/>
      <c r="S88" s="847"/>
      <c r="T88" s="1013"/>
      <c r="U88" s="1013"/>
      <c r="V88" s="1013"/>
      <c r="W88" s="1013"/>
      <c r="X88" s="1013"/>
      <c r="Y88" s="1013"/>
      <c r="Z88" s="1013"/>
      <c r="AA88" s="1013"/>
      <c r="AB88" s="1013"/>
      <c r="AC88" s="1013"/>
      <c r="AD88" s="1013"/>
      <c r="AE88" s="1013"/>
      <c r="AF88" s="1013"/>
      <c r="AG88" s="1013"/>
      <c r="AH88" s="1013"/>
      <c r="AI88" s="1013"/>
      <c r="AJ88" s="1013"/>
      <c r="AK88" s="1013"/>
      <c r="AL88" s="1013"/>
      <c r="AM88" s="1013"/>
      <c r="AN88" s="1013"/>
      <c r="AO88" s="1013"/>
      <c r="AP88" s="1013"/>
      <c r="AQ88" s="1013"/>
      <c r="AR88" s="1013"/>
      <c r="AS88" s="1013"/>
      <c r="AT88" s="1013"/>
      <c r="AU88" s="1013"/>
      <c r="AV88" s="1013"/>
      <c r="AW88" s="1013"/>
      <c r="AX88" s="1013"/>
      <c r="AY88" s="1013"/>
      <c r="AZ88" s="1013"/>
      <c r="BA88" s="1013"/>
      <c r="BB88" s="1013"/>
      <c r="BC88" s="1013"/>
      <c r="BD88" s="1013"/>
      <c r="BE88" s="1013"/>
      <c r="BF88" s="1013"/>
      <c r="BG88" s="1013"/>
      <c r="BH88" s="1013"/>
      <c r="BI88" s="1013"/>
      <c r="BJ88" s="1013"/>
      <c r="BK88" s="1013"/>
      <c r="BL88" s="1013"/>
      <c r="BM88" s="1013"/>
      <c r="BN88" s="1013"/>
      <c r="BO88" s="1013"/>
      <c r="BP88" s="1013"/>
      <c r="BQ88" s="1013"/>
      <c r="BR88" s="1013"/>
      <c r="BS88" s="1013"/>
      <c r="BT88" s="1013"/>
      <c r="BU88" s="1013"/>
      <c r="BV88" s="1013"/>
      <c r="BW88" s="1013"/>
      <c r="BX88" s="1013"/>
      <c r="BY88" s="1013"/>
      <c r="BZ88" s="1013"/>
      <c r="CA88" s="1013"/>
      <c r="CB88" s="1013"/>
      <c r="CC88" s="1013"/>
      <c r="CD88" s="1013"/>
      <c r="CE88" s="1013"/>
      <c r="CF88" s="1013"/>
      <c r="CG88" s="1013"/>
      <c r="CH88" s="1013"/>
      <c r="CI88" s="1013"/>
      <c r="CJ88" s="1013"/>
      <c r="CK88" s="1013"/>
      <c r="CL88" s="1013"/>
      <c r="CM88" s="1013"/>
      <c r="CN88" s="1013"/>
      <c r="CO88" s="1013"/>
      <c r="CP88" s="1013"/>
      <c r="CQ88" s="1013"/>
      <c r="CR88" s="1013"/>
      <c r="CS88" s="1013"/>
      <c r="CT88" s="1013"/>
      <c r="CU88" s="1013"/>
      <c r="CV88" s="1013"/>
      <c r="CW88" s="1013"/>
      <c r="CX88" s="1013"/>
      <c r="CY88" s="1013"/>
      <c r="CZ88" s="1013"/>
      <c r="DA88" s="1013"/>
      <c r="DB88" s="1013"/>
      <c r="DC88" s="1013"/>
      <c r="DD88" s="1013"/>
      <c r="DE88" s="1013"/>
      <c r="DF88" s="1013"/>
      <c r="DG88" s="1013"/>
      <c r="DH88" s="1013"/>
      <c r="DI88" s="1013"/>
      <c r="DJ88" s="1013"/>
      <c r="DK88" s="1013"/>
      <c r="DL88" s="1013"/>
      <c r="DM88" s="1214"/>
      <c r="DN88" s="1222">
        <f>'Lead &amp; ANALYSIS'!G1892+'Lead &amp; ANALYSIS'!G1892*2%</f>
        <v>3.8148000000000004</v>
      </c>
      <c r="DO88" s="1225">
        <f t="shared" si="0"/>
        <v>0</v>
      </c>
      <c r="DP88" s="847"/>
      <c r="DQ88" s="1013"/>
      <c r="DR88" s="1225"/>
      <c r="DS88" s="1013"/>
      <c r="DT88" s="1225"/>
      <c r="DU88" s="1013"/>
      <c r="DV88" s="1000"/>
      <c r="DW88" s="1234"/>
      <c r="DX88" s="1238"/>
      <c r="DY88" s="847"/>
      <c r="DZ88" s="847"/>
      <c r="EA88" s="847"/>
      <c r="EB88" s="847"/>
      <c r="EC88" s="847"/>
      <c r="ED88" s="847"/>
      <c r="EE88" s="847"/>
      <c r="EF88" s="847"/>
      <c r="EG88" s="1212"/>
      <c r="EH88" s="847"/>
      <c r="EI88" s="1212"/>
      <c r="EJ88" s="733">
        <f t="shared" si="1"/>
        <v>0</v>
      </c>
      <c r="EK88" s="1101">
        <v>855.66</v>
      </c>
    </row>
    <row r="89" spans="1:141" s="733" customFormat="1" ht="13.5">
      <c r="A89" s="1009">
        <v>33</v>
      </c>
      <c r="B89" s="1212" t="s">
        <v>1591</v>
      </c>
      <c r="C89" s="1213">
        <v>0</v>
      </c>
      <c r="D89" s="1013" t="s">
        <v>49</v>
      </c>
      <c r="E89" s="1013">
        <f>'Lead &amp; ANALYSIS'!G1920/100</f>
        <v>1</v>
      </c>
      <c r="F89" s="1013">
        <f>ROUND(C89*E89,2)</f>
        <v>0</v>
      </c>
      <c r="G89" s="847"/>
      <c r="H89" s="1013"/>
      <c r="I89" s="847"/>
      <c r="J89" s="1013"/>
      <c r="K89" s="847"/>
      <c r="L89" s="1013"/>
      <c r="M89" s="1013"/>
      <c r="N89" s="1013"/>
      <c r="O89" s="847"/>
      <c r="P89" s="1013"/>
      <c r="Q89" s="1013"/>
      <c r="R89" s="847"/>
      <c r="S89" s="847"/>
      <c r="T89" s="1013"/>
      <c r="U89" s="1013"/>
      <c r="V89" s="1013"/>
      <c r="W89" s="1013"/>
      <c r="X89" s="1013"/>
      <c r="Y89" s="1013"/>
      <c r="Z89" s="1013"/>
      <c r="AA89" s="1013"/>
      <c r="AB89" s="1013"/>
      <c r="AC89" s="1013"/>
      <c r="AD89" s="1013"/>
      <c r="AE89" s="1013"/>
      <c r="AF89" s="1013"/>
      <c r="AG89" s="1013"/>
      <c r="AH89" s="1013"/>
      <c r="AI89" s="1013"/>
      <c r="AJ89" s="1013"/>
      <c r="AK89" s="1013"/>
      <c r="AL89" s="1013"/>
      <c r="AM89" s="1013"/>
      <c r="AN89" s="1013"/>
      <c r="AO89" s="1013"/>
      <c r="AP89" s="1013"/>
      <c r="AQ89" s="1013"/>
      <c r="AR89" s="1013"/>
      <c r="AS89" s="1013"/>
      <c r="AT89" s="1013"/>
      <c r="AU89" s="1013"/>
      <c r="AV89" s="1013"/>
      <c r="AW89" s="1013"/>
      <c r="AX89" s="1013"/>
      <c r="AY89" s="1013"/>
      <c r="AZ89" s="1013"/>
      <c r="BA89" s="1013"/>
      <c r="BB89" s="1013"/>
      <c r="BC89" s="1013"/>
      <c r="BD89" s="1013"/>
      <c r="BE89" s="1013"/>
      <c r="BF89" s="1013"/>
      <c r="BG89" s="1013"/>
      <c r="BH89" s="1013"/>
      <c r="BI89" s="1013"/>
      <c r="BJ89" s="1013"/>
      <c r="BK89" s="1013"/>
      <c r="BL89" s="1013"/>
      <c r="BM89" s="1013"/>
      <c r="BN89" s="1013"/>
      <c r="BO89" s="1013"/>
      <c r="BP89" s="1013"/>
      <c r="BQ89" s="1013"/>
      <c r="BR89" s="1013"/>
      <c r="BS89" s="1013"/>
      <c r="BT89" s="1013"/>
      <c r="BU89" s="1013"/>
      <c r="BV89" s="1013"/>
      <c r="BW89" s="1013"/>
      <c r="BX89" s="1013"/>
      <c r="BY89" s="1013"/>
      <c r="BZ89" s="1013"/>
      <c r="CA89" s="1013"/>
      <c r="CB89" s="1013"/>
      <c r="CC89" s="1013"/>
      <c r="CD89" s="1013"/>
      <c r="CE89" s="1013"/>
      <c r="CF89" s="1013"/>
      <c r="CG89" s="1013"/>
      <c r="CH89" s="1013"/>
      <c r="CI89" s="1013"/>
      <c r="CJ89" s="1013"/>
      <c r="CK89" s="1013"/>
      <c r="CL89" s="1013"/>
      <c r="CM89" s="1013"/>
      <c r="CN89" s="1013"/>
      <c r="CO89" s="1013"/>
      <c r="CP89" s="1013"/>
      <c r="CQ89" s="1013"/>
      <c r="CR89" s="1013"/>
      <c r="CS89" s="1013"/>
      <c r="CT89" s="1013"/>
      <c r="CU89" s="1013"/>
      <c r="CV89" s="1013"/>
      <c r="CW89" s="1013"/>
      <c r="CX89" s="1013"/>
      <c r="CY89" s="1013"/>
      <c r="CZ89" s="1013"/>
      <c r="DA89" s="1013"/>
      <c r="DB89" s="1013"/>
      <c r="DC89" s="1013"/>
      <c r="DD89" s="1013"/>
      <c r="DE89" s="1013"/>
      <c r="DF89" s="1013"/>
      <c r="DG89" s="1013"/>
      <c r="DH89" s="1013"/>
      <c r="DI89" s="1013"/>
      <c r="DJ89" s="1013"/>
      <c r="DK89" s="1013"/>
      <c r="DL89" s="1013"/>
      <c r="DM89" s="1214"/>
      <c r="DN89" s="1222">
        <f>'Lead &amp; ANALYSIS'!G1910/100+'Lead &amp; ANALYSIS'!G1910*2%/100</f>
        <v>0.12607199999999999</v>
      </c>
      <c r="DO89" s="1225">
        <f t="shared" si="0"/>
        <v>0</v>
      </c>
      <c r="DP89" s="847"/>
      <c r="DQ89" s="1013"/>
      <c r="DR89" s="1225"/>
      <c r="DS89" s="1013"/>
      <c r="DT89" s="1225"/>
      <c r="DU89" s="1013"/>
      <c r="DV89" s="1226"/>
      <c r="DW89" s="1232"/>
      <c r="DX89" s="1222"/>
      <c r="DY89" s="847"/>
      <c r="DZ89" s="847"/>
      <c r="EA89" s="847"/>
      <c r="EB89" s="847"/>
      <c r="EC89" s="847"/>
      <c r="ED89" s="847"/>
      <c r="EE89" s="847"/>
      <c r="EF89" s="847"/>
      <c r="EG89" s="1212"/>
      <c r="EH89" s="847"/>
      <c r="EI89" s="1212"/>
      <c r="EJ89" s="733">
        <v>0</v>
      </c>
      <c r="EK89" s="1101">
        <v>392.94800000000004</v>
      </c>
    </row>
    <row r="90" spans="1:141" s="733" customFormat="1" ht="13.5">
      <c r="A90" s="1009">
        <v>34</v>
      </c>
      <c r="B90" s="1212" t="s">
        <v>3037</v>
      </c>
      <c r="C90" s="1213">
        <v>0</v>
      </c>
      <c r="D90" s="1013" t="s">
        <v>49</v>
      </c>
      <c r="DM90" s="1214"/>
      <c r="DN90" s="1241"/>
      <c r="DP90" s="847"/>
      <c r="DQ90" s="1013"/>
      <c r="DR90" s="1225"/>
      <c r="DS90" s="1013"/>
      <c r="DT90" s="1225"/>
      <c r="DU90" s="1013"/>
      <c r="DV90" s="1238"/>
      <c r="DX90" s="1222"/>
      <c r="DY90" s="847"/>
      <c r="DZ90" s="847"/>
      <c r="EA90" s="847"/>
      <c r="EB90" s="847"/>
      <c r="EC90" s="847"/>
      <c r="ED90" s="847"/>
      <c r="EE90" s="847"/>
      <c r="EF90" s="847"/>
      <c r="EG90" s="1212"/>
      <c r="EH90" s="847"/>
      <c r="EI90" s="1212"/>
    </row>
    <row r="91" spans="1:141" s="733" customFormat="1" ht="13.5">
      <c r="A91" s="1009"/>
      <c r="B91" s="1212" t="s">
        <v>2068</v>
      </c>
      <c r="C91" s="1213">
        <v>0</v>
      </c>
      <c r="D91" s="1013" t="s">
        <v>49</v>
      </c>
      <c r="E91" s="847"/>
      <c r="F91" s="1013"/>
      <c r="G91" s="1013">
        <f>'Lead &amp; ANALYSIS'!G1930</f>
        <v>0.48</v>
      </c>
      <c r="H91" s="1013">
        <f>ROUND(C91*G91,2)</f>
        <v>0</v>
      </c>
      <c r="I91" s="847"/>
      <c r="J91" s="1013"/>
      <c r="K91" s="847">
        <f>'Lead &amp; ANALYSIS'!G1931</f>
        <v>1.72</v>
      </c>
      <c r="L91" s="1013">
        <f>ROUND(C91*K91,2)</f>
        <v>0</v>
      </c>
      <c r="M91" s="1013"/>
      <c r="N91" s="1013"/>
      <c r="O91" s="847">
        <f>'Lead &amp; ANALYSIS'!G1929</f>
        <v>0.96</v>
      </c>
      <c r="P91" s="1013">
        <f>ROUND(C91*O91,2)</f>
        <v>0</v>
      </c>
      <c r="Q91" s="1013"/>
      <c r="R91" s="847"/>
      <c r="S91" s="847"/>
      <c r="T91" s="1013"/>
      <c r="U91" s="1013"/>
      <c r="V91" s="1013"/>
      <c r="W91" s="1013"/>
      <c r="X91" s="1013"/>
      <c r="Y91" s="1013"/>
      <c r="Z91" s="1013"/>
      <c r="AA91" s="1013"/>
      <c r="AB91" s="1013"/>
      <c r="AC91" s="1013"/>
      <c r="AD91" s="1013"/>
      <c r="AE91" s="1013"/>
      <c r="AF91" s="1013"/>
      <c r="AG91" s="1013"/>
      <c r="AH91" s="1013"/>
      <c r="AI91" s="1013"/>
      <c r="AJ91" s="1013"/>
      <c r="AK91" s="1013"/>
      <c r="AL91" s="1013"/>
      <c r="AM91" s="1013"/>
      <c r="AN91" s="1013"/>
      <c r="AO91" s="1013"/>
      <c r="AP91" s="1013"/>
      <c r="AQ91" s="1013"/>
      <c r="AR91" s="1013"/>
      <c r="AS91" s="1013"/>
      <c r="AT91" s="1013"/>
      <c r="AU91" s="1013"/>
      <c r="AV91" s="1013"/>
      <c r="AW91" s="1013"/>
      <c r="AX91" s="1013"/>
      <c r="AY91" s="1013"/>
      <c r="AZ91" s="1013"/>
      <c r="BA91" s="1013"/>
      <c r="BB91" s="1013"/>
      <c r="BC91" s="1013"/>
      <c r="BD91" s="1013"/>
      <c r="BE91" s="1013"/>
      <c r="BF91" s="1013"/>
      <c r="BG91" s="1013"/>
      <c r="BH91" s="1013"/>
      <c r="BI91" s="1013"/>
      <c r="BJ91" s="1013"/>
      <c r="BK91" s="1013"/>
      <c r="BL91" s="1013"/>
      <c r="BM91" s="1013"/>
      <c r="BN91" s="1013"/>
      <c r="BO91" s="1013"/>
      <c r="BP91" s="1013"/>
      <c r="BQ91" s="1013"/>
      <c r="BR91" s="1013"/>
      <c r="BS91" s="1013"/>
      <c r="BT91" s="1013"/>
      <c r="BU91" s="1013"/>
      <c r="BV91" s="1013"/>
      <c r="BW91" s="1013"/>
      <c r="BX91" s="1013"/>
      <c r="BY91" s="1013"/>
      <c r="BZ91" s="1013"/>
      <c r="CA91" s="1013"/>
      <c r="CB91" s="1013"/>
      <c r="CC91" s="1013"/>
      <c r="CD91" s="1013"/>
      <c r="CE91" s="1013"/>
      <c r="CF91" s="1013"/>
      <c r="CG91" s="1013"/>
      <c r="CH91" s="1013"/>
      <c r="CI91" s="1013"/>
      <c r="CJ91" s="1013"/>
      <c r="CK91" s="1013"/>
      <c r="CL91" s="1013"/>
      <c r="CM91" s="1013"/>
      <c r="CN91" s="1013"/>
      <c r="CO91" s="1013"/>
      <c r="CP91" s="1013"/>
      <c r="CQ91" s="1013"/>
      <c r="CR91" s="1013"/>
      <c r="CS91" s="1013"/>
      <c r="CT91" s="1013"/>
      <c r="CU91" s="1013"/>
      <c r="CV91" s="1013"/>
      <c r="CW91" s="1013"/>
      <c r="CX91" s="1013"/>
      <c r="CY91" s="1013"/>
      <c r="CZ91" s="1013"/>
      <c r="DA91" s="1013"/>
      <c r="DB91" s="1013"/>
      <c r="DC91" s="1013"/>
      <c r="DD91" s="1013"/>
      <c r="DE91" s="1013"/>
      <c r="DF91" s="1013"/>
      <c r="DG91" s="1013"/>
      <c r="DH91" s="1013"/>
      <c r="DI91" s="1013"/>
      <c r="DJ91" s="1013"/>
      <c r="DK91" s="1013"/>
      <c r="DL91" s="1013"/>
      <c r="DM91" s="1214"/>
      <c r="DN91" s="1242">
        <f>'Lead &amp; ANALYSIS'!G1935</f>
        <v>3.9</v>
      </c>
      <c r="DO91" s="1225">
        <f>ROUND(C91*DN91,4)</f>
        <v>0</v>
      </c>
      <c r="DP91" s="847"/>
      <c r="DQ91" s="1013"/>
      <c r="DR91" s="1225">
        <f>'Lead &amp; ANALYSIS'!G1934</f>
        <v>0.18</v>
      </c>
      <c r="DS91" s="1013">
        <f>ROUND(C91*DR91,4)</f>
        <v>0</v>
      </c>
      <c r="DT91" s="1225"/>
      <c r="DU91" s="1013"/>
      <c r="DV91" s="1226"/>
      <c r="DW91" s="1232"/>
      <c r="DX91" s="1222"/>
      <c r="DY91" s="847"/>
      <c r="DZ91" s="847"/>
      <c r="EA91" s="847"/>
      <c r="EB91" s="847"/>
      <c r="EC91" s="847"/>
      <c r="ED91" s="847"/>
      <c r="EE91" s="847"/>
      <c r="EF91" s="847"/>
      <c r="EG91" s="1212"/>
      <c r="EH91" s="847"/>
      <c r="EI91" s="1212"/>
      <c r="EJ91" s="733">
        <v>0</v>
      </c>
      <c r="EK91" s="1101">
        <v>3180.6400000000003</v>
      </c>
    </row>
    <row r="92" spans="1:141" s="733" customFormat="1" ht="13.5">
      <c r="A92" s="1009"/>
      <c r="B92" s="1212" t="s">
        <v>2069</v>
      </c>
      <c r="C92" s="1213">
        <v>0</v>
      </c>
      <c r="D92" s="1013" t="s">
        <v>49</v>
      </c>
      <c r="E92" s="847"/>
      <c r="F92" s="1013"/>
      <c r="G92" s="1013">
        <f>'Lead &amp; ANALYSIS'!G1930</f>
        <v>0.48</v>
      </c>
      <c r="H92" s="1013">
        <f>ROUND(C92*G92,2)</f>
        <v>0</v>
      </c>
      <c r="I92" s="847"/>
      <c r="J92" s="1013"/>
      <c r="K92" s="847">
        <f>K91</f>
        <v>1.72</v>
      </c>
      <c r="L92" s="1013">
        <f>ROUND(C92*K92,2)</f>
        <v>0</v>
      </c>
      <c r="M92" s="1013"/>
      <c r="N92" s="1013"/>
      <c r="O92" s="847">
        <f>'Lead &amp; ANALYSIS'!G1929</f>
        <v>0.96</v>
      </c>
      <c r="P92" s="1013"/>
      <c r="Q92" s="1013">
        <f>ROUND(C92*O92,2)</f>
        <v>0</v>
      </c>
      <c r="R92" s="847"/>
      <c r="S92" s="847"/>
      <c r="T92" s="1013"/>
      <c r="U92" s="1013"/>
      <c r="V92" s="1013"/>
      <c r="W92" s="1013"/>
      <c r="X92" s="1013"/>
      <c r="Y92" s="1013"/>
      <c r="Z92" s="1013"/>
      <c r="AA92" s="1013"/>
      <c r="AB92" s="1013"/>
      <c r="AC92" s="1013"/>
      <c r="AD92" s="1013"/>
      <c r="AE92" s="1013"/>
      <c r="AF92" s="1013"/>
      <c r="AG92" s="1013"/>
      <c r="AH92" s="1013"/>
      <c r="AI92" s="1013"/>
      <c r="AJ92" s="1013"/>
      <c r="AK92" s="1013"/>
      <c r="AL92" s="1013"/>
      <c r="AM92" s="1013"/>
      <c r="AN92" s="1013"/>
      <c r="AO92" s="1013"/>
      <c r="AP92" s="1013"/>
      <c r="AQ92" s="1013"/>
      <c r="AR92" s="1013"/>
      <c r="AS92" s="1013"/>
      <c r="AT92" s="1013"/>
      <c r="AU92" s="1013"/>
      <c r="AV92" s="1013"/>
      <c r="AW92" s="1013"/>
      <c r="AX92" s="1013"/>
      <c r="AY92" s="1013"/>
      <c r="AZ92" s="1013"/>
      <c r="BA92" s="1013"/>
      <c r="BB92" s="1013"/>
      <c r="BC92" s="1013"/>
      <c r="BD92" s="1013"/>
      <c r="BE92" s="1013"/>
      <c r="BF92" s="1013"/>
      <c r="BG92" s="1013"/>
      <c r="BH92" s="1013"/>
      <c r="BI92" s="1013"/>
      <c r="BJ92" s="1013"/>
      <c r="BK92" s="1013"/>
      <c r="BL92" s="1013"/>
      <c r="BM92" s="1013"/>
      <c r="BN92" s="1013"/>
      <c r="BO92" s="1013"/>
      <c r="BP92" s="1013"/>
      <c r="BQ92" s="1013"/>
      <c r="BR92" s="1013"/>
      <c r="BS92" s="1013"/>
      <c r="BT92" s="1013"/>
      <c r="BU92" s="1013"/>
      <c r="BV92" s="1013"/>
      <c r="BW92" s="1013"/>
      <c r="BX92" s="1013"/>
      <c r="BY92" s="1013"/>
      <c r="BZ92" s="1013"/>
      <c r="CA92" s="1013"/>
      <c r="CB92" s="1013"/>
      <c r="CC92" s="1013"/>
      <c r="CD92" s="1013"/>
      <c r="CE92" s="1013"/>
      <c r="CF92" s="1013"/>
      <c r="CG92" s="1013"/>
      <c r="CH92" s="1013"/>
      <c r="CI92" s="1013"/>
      <c r="CJ92" s="1013"/>
      <c r="CK92" s="1013"/>
      <c r="CL92" s="1013"/>
      <c r="CM92" s="1013"/>
      <c r="CN92" s="1013"/>
      <c r="CO92" s="1013"/>
      <c r="CP92" s="1013"/>
      <c r="CQ92" s="1013"/>
      <c r="CR92" s="1013"/>
      <c r="CS92" s="1013"/>
      <c r="CT92" s="1013"/>
      <c r="CU92" s="1013"/>
      <c r="CV92" s="1013"/>
      <c r="CW92" s="1013"/>
      <c r="CX92" s="1013"/>
      <c r="CY92" s="1013"/>
      <c r="CZ92" s="1013"/>
      <c r="DA92" s="1013"/>
      <c r="DB92" s="1013"/>
      <c r="DC92" s="1013"/>
      <c r="DD92" s="1013"/>
      <c r="DE92" s="1013"/>
      <c r="DF92" s="1013"/>
      <c r="DG92" s="1013"/>
      <c r="DH92" s="1013"/>
      <c r="DI92" s="1013"/>
      <c r="DJ92" s="1013"/>
      <c r="DK92" s="1013"/>
      <c r="DL92" s="1013"/>
      <c r="DM92" s="1214"/>
      <c r="DN92" s="1242">
        <f>DN91</f>
        <v>3.9</v>
      </c>
      <c r="DO92" s="1225">
        <f>ROUND(C92*DN92,4)</f>
        <v>0</v>
      </c>
      <c r="DP92" s="847"/>
      <c r="DQ92" s="1013"/>
      <c r="DR92" s="1225">
        <f>DR91</f>
        <v>0.18</v>
      </c>
      <c r="DS92" s="1013">
        <f>ROUND(C92*DR92,4)</f>
        <v>0</v>
      </c>
      <c r="DT92" s="1225"/>
      <c r="DU92" s="1013"/>
      <c r="DV92" s="1226"/>
      <c r="DW92" s="1232"/>
      <c r="DX92" s="1222"/>
      <c r="DY92" s="847"/>
      <c r="DZ92" s="847"/>
      <c r="EA92" s="847"/>
      <c r="EB92" s="847"/>
      <c r="EC92" s="847"/>
      <c r="ED92" s="847"/>
      <c r="EE92" s="847"/>
      <c r="EF92" s="847"/>
      <c r="EG92" s="1212"/>
      <c r="EH92" s="847"/>
      <c r="EI92" s="1212"/>
      <c r="EJ92" s="1101">
        <v>0</v>
      </c>
      <c r="EK92" s="1101">
        <v>3320.8</v>
      </c>
    </row>
    <row r="93" spans="1:141" s="733" customFormat="1" ht="13.5">
      <c r="A93" s="1009">
        <v>35</v>
      </c>
      <c r="B93" s="1212" t="s">
        <v>1592</v>
      </c>
      <c r="C93" s="1213">
        <v>0</v>
      </c>
      <c r="D93" s="1013" t="s">
        <v>49</v>
      </c>
      <c r="DM93" s="1214"/>
      <c r="DN93" s="1243"/>
      <c r="DP93" s="847"/>
      <c r="DQ93" s="1013"/>
      <c r="DS93" s="1013"/>
      <c r="DU93" s="1013"/>
      <c r="DV93" s="1238"/>
      <c r="DX93" s="1222"/>
      <c r="DY93" s="847"/>
      <c r="DZ93" s="847"/>
      <c r="EA93" s="847"/>
      <c r="EB93" s="847"/>
      <c r="EC93" s="847"/>
      <c r="ED93" s="847"/>
      <c r="EE93" s="847"/>
      <c r="EF93" s="847"/>
      <c r="EG93" s="1212"/>
      <c r="EH93" s="847"/>
      <c r="EI93" s="1212"/>
    </row>
    <row r="94" spans="1:141" s="733" customFormat="1" ht="13.5">
      <c r="A94" s="1009"/>
      <c r="B94" s="1212" t="s">
        <v>2068</v>
      </c>
      <c r="C94" s="1213">
        <v>0</v>
      </c>
      <c r="D94" s="1013" t="s">
        <v>49</v>
      </c>
      <c r="E94" s="847"/>
      <c r="F94" s="1013"/>
      <c r="G94" s="1013">
        <f>'Lead &amp; ANALYSIS'!G1956</f>
        <v>0.48</v>
      </c>
      <c r="H94" s="1013">
        <f>ROUND(C94*G94,2)</f>
        <v>0</v>
      </c>
      <c r="I94" s="847"/>
      <c r="J94" s="1013"/>
      <c r="K94" s="847">
        <f>'Lead &amp; ANALYSIS'!G1957</f>
        <v>2.29</v>
      </c>
      <c r="L94" s="1013">
        <f>ROUND(C94*K94,2)</f>
        <v>0</v>
      </c>
      <c r="M94" s="1013"/>
      <c r="N94" s="1013"/>
      <c r="O94" s="847">
        <f>'Lead &amp; ANALYSIS'!G1955</f>
        <v>0.96</v>
      </c>
      <c r="P94" s="1013">
        <f>ROUND(C94*O94,2)</f>
        <v>0</v>
      </c>
      <c r="Q94" s="1013"/>
      <c r="R94" s="847"/>
      <c r="S94" s="847"/>
      <c r="T94" s="1013"/>
      <c r="U94" s="1013"/>
      <c r="V94" s="1013"/>
      <c r="W94" s="1013"/>
      <c r="X94" s="1013"/>
      <c r="Y94" s="1013"/>
      <c r="Z94" s="1013"/>
      <c r="AA94" s="1013"/>
      <c r="AB94" s="1013"/>
      <c r="AC94" s="1013"/>
      <c r="AD94" s="1013"/>
      <c r="AE94" s="1013"/>
      <c r="AF94" s="1013"/>
      <c r="AG94" s="1013"/>
      <c r="AH94" s="1013"/>
      <c r="AI94" s="1013"/>
      <c r="AJ94" s="1013"/>
      <c r="AK94" s="1013"/>
      <c r="AL94" s="1013"/>
      <c r="AM94" s="1013"/>
      <c r="AN94" s="1013"/>
      <c r="AO94" s="1013"/>
      <c r="AP94" s="1013"/>
      <c r="AQ94" s="1013"/>
      <c r="AR94" s="1013"/>
      <c r="AS94" s="1013"/>
      <c r="AT94" s="1013"/>
      <c r="AU94" s="1013"/>
      <c r="AV94" s="1013"/>
      <c r="AW94" s="1013"/>
      <c r="AX94" s="1013"/>
      <c r="AY94" s="1013"/>
      <c r="AZ94" s="1013"/>
      <c r="BA94" s="1013"/>
      <c r="BB94" s="1013"/>
      <c r="BC94" s="1013"/>
      <c r="BD94" s="1013"/>
      <c r="BE94" s="1013"/>
      <c r="BF94" s="1013"/>
      <c r="BG94" s="1013"/>
      <c r="BH94" s="1013"/>
      <c r="BI94" s="1013"/>
      <c r="BJ94" s="1013"/>
      <c r="BK94" s="1013"/>
      <c r="BL94" s="1013"/>
      <c r="BM94" s="1013"/>
      <c r="BN94" s="1013"/>
      <c r="BO94" s="1013"/>
      <c r="BP94" s="1013"/>
      <c r="BQ94" s="1013"/>
      <c r="BR94" s="1013"/>
      <c r="BS94" s="1013"/>
      <c r="BT94" s="1013"/>
      <c r="BU94" s="1013"/>
      <c r="BV94" s="1013"/>
      <c r="BW94" s="1013"/>
      <c r="BX94" s="1013"/>
      <c r="BY94" s="1013"/>
      <c r="BZ94" s="1013"/>
      <c r="CA94" s="1013"/>
      <c r="CB94" s="1013"/>
      <c r="CC94" s="1013"/>
      <c r="CD94" s="1013"/>
      <c r="CE94" s="1013"/>
      <c r="CF94" s="1013"/>
      <c r="CG94" s="1013"/>
      <c r="CH94" s="1013"/>
      <c r="CI94" s="1013"/>
      <c r="CJ94" s="1013"/>
      <c r="CK94" s="1013"/>
      <c r="CL94" s="1013"/>
      <c r="CM94" s="1013"/>
      <c r="CN94" s="1013"/>
      <c r="CO94" s="1013"/>
      <c r="CP94" s="1013"/>
      <c r="CQ94" s="1013"/>
      <c r="CR94" s="1013"/>
      <c r="CS94" s="1013"/>
      <c r="CT94" s="1013"/>
      <c r="CU94" s="1013"/>
      <c r="CV94" s="1013"/>
      <c r="CW94" s="1013"/>
      <c r="CX94" s="1013"/>
      <c r="CY94" s="1013"/>
      <c r="CZ94" s="1013"/>
      <c r="DA94" s="1013"/>
      <c r="DB94" s="1013"/>
      <c r="DC94" s="1013"/>
      <c r="DD94" s="1013"/>
      <c r="DE94" s="1013"/>
      <c r="DF94" s="1013"/>
      <c r="DG94" s="1013"/>
      <c r="DH94" s="1013"/>
      <c r="DI94" s="1013"/>
      <c r="DJ94" s="1013"/>
      <c r="DK94" s="1013"/>
      <c r="DL94" s="1013"/>
      <c r="DM94" s="1214"/>
      <c r="DN94" s="1242">
        <f>'Lead &amp; ANALYSIS'!G1961</f>
        <v>3.9</v>
      </c>
      <c r="DO94" s="1225">
        <f>ROUND(C94*DN94,4)</f>
        <v>0</v>
      </c>
      <c r="DP94" s="847"/>
      <c r="DQ94" s="1013"/>
      <c r="DR94" s="1225">
        <f>'Lead &amp; ANALYSIS'!G1960</f>
        <v>0.18</v>
      </c>
      <c r="DS94" s="1013">
        <f>ROUND(C94*DR94,4)</f>
        <v>0</v>
      </c>
      <c r="DT94" s="1225"/>
      <c r="DU94" s="1013"/>
      <c r="DV94" s="1226"/>
      <c r="DW94" s="1232"/>
      <c r="DX94" s="1222"/>
      <c r="DY94" s="847"/>
      <c r="DZ94" s="847"/>
      <c r="EA94" s="847"/>
      <c r="EB94" s="847"/>
      <c r="EC94" s="847"/>
      <c r="ED94" s="847"/>
      <c r="EE94" s="847"/>
      <c r="EF94" s="847"/>
      <c r="EG94" s="1212"/>
      <c r="EH94" s="847"/>
      <c r="EI94" s="1212"/>
      <c r="EJ94" s="1101">
        <v>0</v>
      </c>
      <c r="EK94" s="1101">
        <v>3551.2299999999996</v>
      </c>
    </row>
    <row r="95" spans="1:141" s="733" customFormat="1" ht="13.5">
      <c r="A95" s="1009"/>
      <c r="B95" s="1212" t="s">
        <v>2069</v>
      </c>
      <c r="C95" s="1213">
        <v>0</v>
      </c>
      <c r="D95" s="1013" t="s">
        <v>49</v>
      </c>
      <c r="E95" s="847"/>
      <c r="F95" s="1013"/>
      <c r="G95" s="1013">
        <f>'Lead &amp; ANALYSIS'!G1956</f>
        <v>0.48</v>
      </c>
      <c r="H95" s="1013">
        <f>ROUND(C95*G95,2)</f>
        <v>0</v>
      </c>
      <c r="I95" s="847"/>
      <c r="J95" s="1013"/>
      <c r="K95" s="847">
        <f>K94</f>
        <v>2.29</v>
      </c>
      <c r="L95" s="1013">
        <f>ROUND(C95*K95,2)</f>
        <v>0</v>
      </c>
      <c r="M95" s="1013"/>
      <c r="N95" s="1013"/>
      <c r="O95" s="847">
        <f>'Lead &amp; ANALYSIS'!G1955</f>
        <v>0.96</v>
      </c>
      <c r="P95" s="1013"/>
      <c r="Q95" s="1013">
        <f>ROUND(C95*O95,2)</f>
        <v>0</v>
      </c>
      <c r="R95" s="847"/>
      <c r="S95" s="847"/>
      <c r="T95" s="1013"/>
      <c r="U95" s="1013"/>
      <c r="V95" s="1013"/>
      <c r="W95" s="1013"/>
      <c r="X95" s="1013"/>
      <c r="Y95" s="1013"/>
      <c r="Z95" s="1013"/>
      <c r="AA95" s="1013"/>
      <c r="AB95" s="1013"/>
      <c r="AC95" s="1013"/>
      <c r="AD95" s="1013"/>
      <c r="AE95" s="1013"/>
      <c r="AF95" s="1013"/>
      <c r="AG95" s="1013"/>
      <c r="AH95" s="1013"/>
      <c r="AI95" s="1013"/>
      <c r="AJ95" s="1013"/>
      <c r="AK95" s="1013"/>
      <c r="AL95" s="1013"/>
      <c r="AM95" s="1013"/>
      <c r="AN95" s="1013"/>
      <c r="AO95" s="1013"/>
      <c r="AP95" s="1013"/>
      <c r="AQ95" s="1013"/>
      <c r="AR95" s="1013"/>
      <c r="AS95" s="1013"/>
      <c r="AT95" s="1013"/>
      <c r="AU95" s="1013"/>
      <c r="AV95" s="1013"/>
      <c r="AW95" s="1013"/>
      <c r="AX95" s="1013"/>
      <c r="AY95" s="1013"/>
      <c r="AZ95" s="1013"/>
      <c r="BA95" s="1013"/>
      <c r="BB95" s="1013"/>
      <c r="BC95" s="1013"/>
      <c r="BD95" s="1013"/>
      <c r="BE95" s="1013"/>
      <c r="BF95" s="1013"/>
      <c r="BG95" s="1013"/>
      <c r="BH95" s="1013"/>
      <c r="BI95" s="1013"/>
      <c r="BJ95" s="1013"/>
      <c r="BK95" s="1013"/>
      <c r="BL95" s="1013"/>
      <c r="BM95" s="1013"/>
      <c r="BN95" s="1013"/>
      <c r="BO95" s="1013"/>
      <c r="BP95" s="1013"/>
      <c r="BQ95" s="1013"/>
      <c r="BR95" s="1013"/>
      <c r="BS95" s="1013"/>
      <c r="BT95" s="1013"/>
      <c r="BU95" s="1013"/>
      <c r="BV95" s="1013"/>
      <c r="BW95" s="1013"/>
      <c r="BX95" s="1013"/>
      <c r="BY95" s="1013"/>
      <c r="BZ95" s="1013"/>
      <c r="CA95" s="1013"/>
      <c r="CB95" s="1013"/>
      <c r="CC95" s="1013"/>
      <c r="CD95" s="1013"/>
      <c r="CE95" s="1013"/>
      <c r="CF95" s="1013"/>
      <c r="CG95" s="1013"/>
      <c r="CH95" s="1013"/>
      <c r="CI95" s="1013"/>
      <c r="CJ95" s="1013"/>
      <c r="CK95" s="1013"/>
      <c r="CL95" s="1013"/>
      <c r="CM95" s="1013"/>
      <c r="CN95" s="1013"/>
      <c r="CO95" s="1013"/>
      <c r="CP95" s="1013"/>
      <c r="CQ95" s="1013"/>
      <c r="CR95" s="1013"/>
      <c r="CS95" s="1013"/>
      <c r="CT95" s="1013"/>
      <c r="CU95" s="1013"/>
      <c r="CV95" s="1013"/>
      <c r="CW95" s="1013"/>
      <c r="CX95" s="1013"/>
      <c r="CY95" s="1013"/>
      <c r="CZ95" s="1013"/>
      <c r="DA95" s="1013"/>
      <c r="DB95" s="1013"/>
      <c r="DC95" s="1013"/>
      <c r="DD95" s="1013"/>
      <c r="DE95" s="1013"/>
      <c r="DF95" s="1013"/>
      <c r="DG95" s="1013"/>
      <c r="DH95" s="1013"/>
      <c r="DI95" s="1013"/>
      <c r="DJ95" s="1013"/>
      <c r="DK95" s="1013"/>
      <c r="DL95" s="1013"/>
      <c r="DM95" s="1214"/>
      <c r="DN95" s="1242">
        <f>DN94</f>
        <v>3.9</v>
      </c>
      <c r="DO95" s="1225">
        <f>ROUND(C95*DN95,4)</f>
        <v>0</v>
      </c>
      <c r="DP95" s="847"/>
      <c r="DQ95" s="1013"/>
      <c r="DR95" s="1225">
        <f>DR94</f>
        <v>0.18</v>
      </c>
      <c r="DS95" s="1013">
        <f>ROUND(C95*DR95,4)</f>
        <v>0</v>
      </c>
      <c r="DT95" s="1225"/>
      <c r="DU95" s="1214"/>
      <c r="DV95" s="1226"/>
      <c r="DW95" s="1232"/>
      <c r="DX95" s="1222"/>
      <c r="DY95" s="847"/>
      <c r="DZ95" s="847"/>
      <c r="EA95" s="847"/>
      <c r="EB95" s="847"/>
      <c r="EC95" s="847"/>
      <c r="ED95" s="847"/>
      <c r="EE95" s="847"/>
      <c r="EF95" s="847"/>
      <c r="EG95" s="1212"/>
      <c r="EH95" s="847"/>
      <c r="EI95" s="1212"/>
      <c r="EJ95" s="1101">
        <v>0</v>
      </c>
      <c r="EK95" s="1101">
        <v>3691.3899999999994</v>
      </c>
    </row>
    <row r="96" spans="1:141" s="733" customFormat="1" ht="13.5">
      <c r="A96" s="1009">
        <v>36</v>
      </c>
      <c r="B96" s="1212" t="s">
        <v>3038</v>
      </c>
      <c r="C96" s="1213">
        <v>0</v>
      </c>
      <c r="D96" s="1013" t="s">
        <v>49</v>
      </c>
      <c r="E96" s="847"/>
      <c r="F96" s="1013"/>
      <c r="G96" s="1013"/>
      <c r="H96" s="1013"/>
      <c r="I96" s="847"/>
      <c r="J96" s="1013"/>
      <c r="K96" s="847"/>
      <c r="L96" s="1013"/>
      <c r="M96" s="847"/>
      <c r="N96" s="1013"/>
      <c r="O96" s="1013"/>
      <c r="P96" s="1013"/>
      <c r="Q96" s="1013"/>
      <c r="R96" s="847"/>
      <c r="S96" s="847"/>
      <c r="T96" s="847"/>
      <c r="U96" s="847"/>
      <c r="V96" s="847"/>
      <c r="W96" s="847"/>
      <c r="X96" s="847"/>
      <c r="Y96" s="847"/>
      <c r="Z96" s="847"/>
      <c r="AA96" s="847"/>
      <c r="AB96" s="847"/>
      <c r="AC96" s="847"/>
      <c r="AD96" s="847"/>
      <c r="AE96" s="847"/>
      <c r="AF96" s="847"/>
      <c r="AG96" s="847"/>
      <c r="AH96" s="847"/>
      <c r="AI96" s="847"/>
      <c r="AJ96" s="847"/>
      <c r="AK96" s="847"/>
      <c r="AL96" s="847"/>
      <c r="AM96" s="847"/>
      <c r="AN96" s="847"/>
      <c r="AO96" s="847"/>
      <c r="AP96" s="847"/>
      <c r="AQ96" s="847"/>
      <c r="AR96" s="847"/>
      <c r="AS96" s="847"/>
      <c r="AT96" s="847"/>
      <c r="AU96" s="847"/>
      <c r="AV96" s="847"/>
      <c r="AW96" s="847"/>
      <c r="AX96" s="847"/>
      <c r="AY96" s="847"/>
      <c r="AZ96" s="847"/>
      <c r="BA96" s="847"/>
      <c r="BB96" s="847"/>
      <c r="BC96" s="847"/>
      <c r="BD96" s="847"/>
      <c r="BE96" s="847"/>
      <c r="BF96" s="847"/>
      <c r="BG96" s="847"/>
      <c r="BH96" s="847"/>
      <c r="BI96" s="847"/>
      <c r="BJ96" s="847"/>
      <c r="BK96" s="847"/>
      <c r="BL96" s="847"/>
      <c r="BM96" s="847"/>
      <c r="BN96" s="847"/>
      <c r="BO96" s="847"/>
      <c r="BP96" s="847"/>
      <c r="BQ96" s="847"/>
      <c r="BR96" s="847"/>
      <c r="BS96" s="847"/>
      <c r="BT96" s="847"/>
      <c r="BU96" s="847"/>
      <c r="BV96" s="847"/>
      <c r="BW96" s="847"/>
      <c r="BX96" s="847"/>
      <c r="BY96" s="847"/>
      <c r="BZ96" s="847"/>
      <c r="CA96" s="847"/>
      <c r="CB96" s="847"/>
      <c r="CC96" s="847"/>
      <c r="CD96" s="847"/>
      <c r="CE96" s="847"/>
      <c r="CF96" s="847"/>
      <c r="CG96" s="847"/>
      <c r="CH96" s="847"/>
      <c r="CI96" s="847"/>
      <c r="CJ96" s="847"/>
      <c r="CK96" s="847"/>
      <c r="CL96" s="847"/>
      <c r="CM96" s="847"/>
      <c r="CN96" s="847"/>
      <c r="CO96" s="847"/>
      <c r="CP96" s="847"/>
      <c r="CQ96" s="847"/>
      <c r="CR96" s="847"/>
      <c r="CS96" s="847"/>
      <c r="CT96" s="847"/>
      <c r="CU96" s="847"/>
      <c r="CV96" s="847"/>
      <c r="CW96" s="847"/>
      <c r="CX96" s="847"/>
      <c r="CY96" s="847"/>
      <c r="CZ96" s="847"/>
      <c r="DA96" s="847"/>
      <c r="DB96" s="847"/>
      <c r="DC96" s="847"/>
      <c r="DD96" s="847"/>
      <c r="DE96" s="847"/>
      <c r="DF96" s="847"/>
      <c r="DG96" s="847"/>
      <c r="DH96" s="847"/>
      <c r="DI96" s="847"/>
      <c r="DJ96" s="847"/>
      <c r="DK96" s="847"/>
      <c r="DL96" s="847"/>
      <c r="DM96" s="1214"/>
      <c r="DN96" s="1222"/>
      <c r="DO96" s="1013"/>
      <c r="DP96" s="847"/>
      <c r="DQ96" s="1013"/>
      <c r="DR96" s="1225"/>
      <c r="DS96" s="1013"/>
      <c r="DT96" s="1225"/>
      <c r="DU96" s="1214"/>
      <c r="DV96" s="1242"/>
      <c r="DW96" s="1232"/>
      <c r="DX96" s="1222"/>
      <c r="DY96" s="847"/>
      <c r="DZ96" s="847"/>
      <c r="EA96" s="847"/>
      <c r="EB96" s="847"/>
      <c r="EC96" s="847"/>
      <c r="ED96" s="847"/>
      <c r="EE96" s="847"/>
      <c r="EF96" s="847"/>
      <c r="EG96" s="1212"/>
      <c r="EH96" s="847"/>
      <c r="EI96" s="1212"/>
    </row>
    <row r="97" spans="1:141" s="733" customFormat="1" ht="13.5">
      <c r="A97" s="1009"/>
      <c r="B97" s="1212" t="s">
        <v>2066</v>
      </c>
      <c r="C97" s="1213">
        <v>0</v>
      </c>
      <c r="D97" s="1013" t="s">
        <v>49</v>
      </c>
      <c r="E97" s="847"/>
      <c r="F97" s="1013"/>
      <c r="G97" s="1013">
        <f>'Lead &amp; ANALYSIS'!G1987</f>
        <v>0.45</v>
      </c>
      <c r="H97" s="1013">
        <f>ROUND(C97*G97,2)</f>
        <v>0</v>
      </c>
      <c r="I97" s="847"/>
      <c r="J97" s="1013"/>
      <c r="K97" s="847">
        <f>'Lead &amp; ANALYSIS'!G1988</f>
        <v>3.23</v>
      </c>
      <c r="L97" s="1013">
        <f>ROUND(C97*K97,2)</f>
        <v>0</v>
      </c>
      <c r="M97" s="847"/>
      <c r="N97" s="1013"/>
      <c r="O97" s="1013"/>
      <c r="P97" s="1013"/>
      <c r="Q97" s="1013"/>
      <c r="R97" s="1013">
        <f>'Lead &amp; ANALYSIS'!G1986</f>
        <v>0.9</v>
      </c>
      <c r="S97" s="847"/>
      <c r="T97" s="847"/>
      <c r="U97" s="1013">
        <f>ROUND(C97*R97,2)</f>
        <v>0</v>
      </c>
      <c r="V97" s="847"/>
      <c r="W97" s="847"/>
      <c r="X97" s="847"/>
      <c r="Y97" s="847"/>
      <c r="Z97" s="847"/>
      <c r="AA97" s="847"/>
      <c r="AB97" s="847"/>
      <c r="AC97" s="847"/>
      <c r="AD97" s="847"/>
      <c r="AE97" s="847"/>
      <c r="AF97" s="847"/>
      <c r="AG97" s="847"/>
      <c r="AH97" s="847"/>
      <c r="AI97" s="847"/>
      <c r="AJ97" s="847"/>
      <c r="AK97" s="847"/>
      <c r="AL97" s="847"/>
      <c r="AM97" s="847"/>
      <c r="AN97" s="847"/>
      <c r="AO97" s="847"/>
      <c r="AP97" s="847"/>
      <c r="AQ97" s="847"/>
      <c r="AR97" s="847"/>
      <c r="AS97" s="847"/>
      <c r="AT97" s="847"/>
      <c r="AU97" s="847"/>
      <c r="AV97" s="847"/>
      <c r="AW97" s="847"/>
      <c r="AX97" s="847"/>
      <c r="AY97" s="847"/>
      <c r="AZ97" s="847"/>
      <c r="BA97" s="847"/>
      <c r="BB97" s="847"/>
      <c r="BC97" s="847"/>
      <c r="BD97" s="847"/>
      <c r="BE97" s="847"/>
      <c r="BF97" s="847"/>
      <c r="BG97" s="847"/>
      <c r="BH97" s="847"/>
      <c r="BI97" s="847"/>
      <c r="BJ97" s="847"/>
      <c r="BK97" s="847"/>
      <c r="BL97" s="847"/>
      <c r="BM97" s="847"/>
      <c r="BN97" s="847"/>
      <c r="BO97" s="847"/>
      <c r="BP97" s="847"/>
      <c r="BQ97" s="847"/>
      <c r="BR97" s="847"/>
      <c r="BS97" s="847"/>
      <c r="BT97" s="847"/>
      <c r="BU97" s="847"/>
      <c r="BV97" s="847"/>
      <c r="BW97" s="847"/>
      <c r="BX97" s="847"/>
      <c r="BY97" s="847"/>
      <c r="BZ97" s="847"/>
      <c r="CA97" s="847"/>
      <c r="CB97" s="847"/>
      <c r="CC97" s="847"/>
      <c r="CD97" s="847"/>
      <c r="CE97" s="847"/>
      <c r="CF97" s="847"/>
      <c r="CG97" s="847"/>
      <c r="CH97" s="847"/>
      <c r="CI97" s="847"/>
      <c r="CJ97" s="847"/>
      <c r="CK97" s="847"/>
      <c r="CL97" s="847"/>
      <c r="CM97" s="847"/>
      <c r="CN97" s="847"/>
      <c r="CO97" s="847"/>
      <c r="CP97" s="847"/>
      <c r="CQ97" s="847"/>
      <c r="CR97" s="847"/>
      <c r="CS97" s="847"/>
      <c r="CT97" s="847"/>
      <c r="CU97" s="847"/>
      <c r="CV97" s="847"/>
      <c r="CW97" s="847"/>
      <c r="CX97" s="847"/>
      <c r="CY97" s="847"/>
      <c r="CZ97" s="847"/>
      <c r="DA97" s="847"/>
      <c r="DB97" s="847"/>
      <c r="DC97" s="847"/>
      <c r="DD97" s="847"/>
      <c r="DE97" s="847"/>
      <c r="DF97" s="847"/>
      <c r="DG97" s="847"/>
      <c r="DH97" s="847"/>
      <c r="DI97" s="847"/>
      <c r="DJ97" s="847"/>
      <c r="DK97" s="847"/>
      <c r="DL97" s="847"/>
      <c r="DM97" s="1214"/>
      <c r="DN97" s="1224">
        <f>'Lead &amp; ANALYSIS'!G1992</f>
        <v>4.5999999999999996</v>
      </c>
      <c r="DO97" s="1225">
        <f>ROUND(C97*DN97,4)</f>
        <v>0</v>
      </c>
      <c r="DP97" s="847"/>
      <c r="DQ97" s="1013"/>
      <c r="DR97" s="1225">
        <f>'Lead &amp; ANALYSIS'!G1991</f>
        <v>0.68</v>
      </c>
      <c r="DS97" s="1013">
        <f>ROUND(C97*DR97,4)</f>
        <v>0</v>
      </c>
      <c r="DT97" s="1225"/>
      <c r="DU97" s="1214"/>
      <c r="DV97" s="1226"/>
      <c r="DW97" s="1232"/>
      <c r="DX97" s="1222"/>
      <c r="DY97" s="847"/>
      <c r="DZ97" s="847"/>
      <c r="EA97" s="847"/>
      <c r="EB97" s="847"/>
      <c r="EC97" s="847"/>
      <c r="ED97" s="847"/>
      <c r="EE97" s="847"/>
      <c r="EF97" s="847"/>
      <c r="EG97" s="1212"/>
      <c r="EH97" s="847"/>
      <c r="EI97" s="1212"/>
      <c r="EJ97" s="1101">
        <v>0</v>
      </c>
      <c r="EK97" s="1101">
        <v>4671.01</v>
      </c>
    </row>
    <row r="98" spans="1:141" s="733" customFormat="1" ht="13.5">
      <c r="A98" s="1009"/>
      <c r="B98" s="1212" t="s">
        <v>2067</v>
      </c>
      <c r="C98" s="1213">
        <v>0</v>
      </c>
      <c r="D98" s="1013" t="s">
        <v>49</v>
      </c>
      <c r="E98" s="847"/>
      <c r="F98" s="1013"/>
      <c r="G98" s="1013">
        <f>G97</f>
        <v>0.45</v>
      </c>
      <c r="H98" s="1013">
        <f>ROUND(C98*G98,2)</f>
        <v>0</v>
      </c>
      <c r="I98" s="847"/>
      <c r="J98" s="1013"/>
      <c r="K98" s="847">
        <f>K97</f>
        <v>3.23</v>
      </c>
      <c r="L98" s="1013">
        <f>ROUND(C98*K98,2)</f>
        <v>0</v>
      </c>
      <c r="M98" s="847"/>
      <c r="N98" s="1013"/>
      <c r="O98" s="1013"/>
      <c r="P98" s="1013"/>
      <c r="Q98" s="1013"/>
      <c r="R98" s="1013">
        <f>R97</f>
        <v>0.9</v>
      </c>
      <c r="S98" s="847"/>
      <c r="T98" s="847"/>
      <c r="U98" s="1013">
        <f>ROUND(C98*R98,2)</f>
        <v>0</v>
      </c>
      <c r="V98" s="847"/>
      <c r="W98" s="847"/>
      <c r="X98" s="847"/>
      <c r="Y98" s="847"/>
      <c r="Z98" s="847"/>
      <c r="AA98" s="847"/>
      <c r="AB98" s="847"/>
      <c r="AC98" s="847"/>
      <c r="AD98" s="847"/>
      <c r="AE98" s="847"/>
      <c r="AF98" s="847"/>
      <c r="AG98" s="847"/>
      <c r="AH98" s="847"/>
      <c r="AI98" s="847"/>
      <c r="AJ98" s="847"/>
      <c r="AK98" s="847"/>
      <c r="AL98" s="847"/>
      <c r="AM98" s="847"/>
      <c r="AN98" s="847"/>
      <c r="AO98" s="847"/>
      <c r="AP98" s="847"/>
      <c r="AQ98" s="847"/>
      <c r="AR98" s="847"/>
      <c r="AS98" s="847"/>
      <c r="AT98" s="847"/>
      <c r="AU98" s="847"/>
      <c r="AV98" s="847"/>
      <c r="AW98" s="847"/>
      <c r="AX98" s="847"/>
      <c r="AY98" s="847"/>
      <c r="AZ98" s="847"/>
      <c r="BA98" s="847"/>
      <c r="BB98" s="847"/>
      <c r="BC98" s="847"/>
      <c r="BD98" s="847"/>
      <c r="BE98" s="847"/>
      <c r="BF98" s="847"/>
      <c r="BG98" s="847"/>
      <c r="BH98" s="847"/>
      <c r="BI98" s="847"/>
      <c r="BJ98" s="847"/>
      <c r="BK98" s="847"/>
      <c r="BL98" s="847"/>
      <c r="BM98" s="847"/>
      <c r="BN98" s="847"/>
      <c r="BO98" s="847"/>
      <c r="BP98" s="847"/>
      <c r="BQ98" s="847"/>
      <c r="BR98" s="847"/>
      <c r="BS98" s="847"/>
      <c r="BT98" s="847"/>
      <c r="BU98" s="847"/>
      <c r="BV98" s="847"/>
      <c r="BW98" s="847"/>
      <c r="BX98" s="847"/>
      <c r="BY98" s="847"/>
      <c r="BZ98" s="847"/>
      <c r="CA98" s="847"/>
      <c r="CB98" s="847"/>
      <c r="CC98" s="847"/>
      <c r="CD98" s="847"/>
      <c r="CE98" s="847"/>
      <c r="CF98" s="847"/>
      <c r="CG98" s="847"/>
      <c r="CH98" s="847"/>
      <c r="CI98" s="847"/>
      <c r="CJ98" s="847"/>
      <c r="CK98" s="847"/>
      <c r="CL98" s="847"/>
      <c r="CM98" s="847"/>
      <c r="CN98" s="847"/>
      <c r="CO98" s="847"/>
      <c r="CP98" s="847"/>
      <c r="CQ98" s="847"/>
      <c r="CR98" s="847"/>
      <c r="CS98" s="847"/>
      <c r="CT98" s="847"/>
      <c r="CU98" s="847"/>
      <c r="CV98" s="847"/>
      <c r="CW98" s="847"/>
      <c r="CX98" s="847"/>
      <c r="CY98" s="847"/>
      <c r="CZ98" s="847"/>
      <c r="DA98" s="847"/>
      <c r="DB98" s="847"/>
      <c r="DC98" s="847"/>
      <c r="DD98" s="847"/>
      <c r="DE98" s="847"/>
      <c r="DF98" s="847"/>
      <c r="DG98" s="847"/>
      <c r="DH98" s="847"/>
      <c r="DI98" s="847"/>
      <c r="DJ98" s="847"/>
      <c r="DK98" s="847"/>
      <c r="DL98" s="847"/>
      <c r="DM98" s="1212"/>
      <c r="DN98" s="1224">
        <f>DN97+DN97*15%</f>
        <v>5.2899999999999991</v>
      </c>
      <c r="DO98" s="1225">
        <f>ROUND(C98*DN98,4)</f>
        <v>0</v>
      </c>
      <c r="DP98" s="847"/>
      <c r="DQ98" s="1013"/>
      <c r="DR98" s="847">
        <f>DR97+DR97*15%</f>
        <v>0.78200000000000003</v>
      </c>
      <c r="DS98" s="1013">
        <f>ROUND(C98*DR98,4)</f>
        <v>0</v>
      </c>
      <c r="DT98" s="847"/>
      <c r="DU98" s="1214"/>
      <c r="DV98" s="1226"/>
      <c r="DW98" s="1232"/>
      <c r="DX98" s="1222"/>
      <c r="DY98" s="847"/>
      <c r="DZ98" s="847"/>
      <c r="EA98" s="847"/>
      <c r="EB98" s="847"/>
      <c r="EC98" s="847"/>
      <c r="ED98" s="847"/>
      <c r="EE98" s="847"/>
      <c r="EF98" s="847"/>
      <c r="EG98" s="1212"/>
      <c r="EH98" s="847"/>
      <c r="EI98" s="1212"/>
      <c r="EJ98" s="1101">
        <v>0</v>
      </c>
      <c r="EK98" s="1101">
        <v>4852.74</v>
      </c>
    </row>
    <row r="99" spans="1:141" s="733" customFormat="1" ht="13.5">
      <c r="A99" s="1009">
        <v>37</v>
      </c>
      <c r="B99" s="1212" t="s">
        <v>3039</v>
      </c>
      <c r="C99" s="1213">
        <v>0</v>
      </c>
      <c r="D99" s="1013" t="s">
        <v>49</v>
      </c>
      <c r="E99" s="847"/>
      <c r="F99" s="1013"/>
      <c r="G99" s="1013"/>
      <c r="H99" s="1013"/>
      <c r="I99" s="847"/>
      <c r="J99" s="1013"/>
      <c r="K99" s="847"/>
      <c r="L99" s="1013"/>
      <c r="M99" s="847"/>
      <c r="N99" s="1013"/>
      <c r="O99" s="847"/>
      <c r="P99" s="1013"/>
      <c r="Q99" s="1013"/>
      <c r="R99" s="847"/>
      <c r="S99" s="847"/>
      <c r="T99" s="847"/>
      <c r="U99" s="847"/>
      <c r="V99" s="847"/>
      <c r="W99" s="847"/>
      <c r="X99" s="847"/>
      <c r="Y99" s="847"/>
      <c r="Z99" s="847"/>
      <c r="AA99" s="847"/>
      <c r="AB99" s="847"/>
      <c r="AC99" s="847"/>
      <c r="AD99" s="847"/>
      <c r="AE99" s="847"/>
      <c r="AF99" s="847"/>
      <c r="AG99" s="847"/>
      <c r="AH99" s="847"/>
      <c r="AI99" s="847"/>
      <c r="AJ99" s="847"/>
      <c r="AK99" s="847"/>
      <c r="AL99" s="847"/>
      <c r="AM99" s="847"/>
      <c r="AN99" s="847"/>
      <c r="AO99" s="847"/>
      <c r="AP99" s="847"/>
      <c r="AQ99" s="847"/>
      <c r="AR99" s="847"/>
      <c r="AS99" s="847"/>
      <c r="AT99" s="847"/>
      <c r="AU99" s="847"/>
      <c r="AV99" s="847"/>
      <c r="AW99" s="847"/>
      <c r="AX99" s="847"/>
      <c r="AY99" s="847"/>
      <c r="AZ99" s="847"/>
      <c r="BA99" s="847"/>
      <c r="BB99" s="847"/>
      <c r="BC99" s="847"/>
      <c r="BD99" s="847"/>
      <c r="BE99" s="847"/>
      <c r="BF99" s="847"/>
      <c r="BG99" s="847"/>
      <c r="BH99" s="847"/>
      <c r="BI99" s="847"/>
      <c r="BJ99" s="847"/>
      <c r="BK99" s="847"/>
      <c r="BL99" s="847"/>
      <c r="BM99" s="847"/>
      <c r="BN99" s="847"/>
      <c r="BO99" s="847"/>
      <c r="BP99" s="847"/>
      <c r="BQ99" s="847"/>
      <c r="BR99" s="847"/>
      <c r="BS99" s="847"/>
      <c r="BT99" s="847"/>
      <c r="BU99" s="847"/>
      <c r="BV99" s="847"/>
      <c r="BW99" s="847"/>
      <c r="BX99" s="847"/>
      <c r="BY99" s="847"/>
      <c r="BZ99" s="847"/>
      <c r="CA99" s="847"/>
      <c r="CB99" s="847"/>
      <c r="CC99" s="847"/>
      <c r="CD99" s="847"/>
      <c r="CE99" s="847"/>
      <c r="CF99" s="847"/>
      <c r="CG99" s="847"/>
      <c r="CH99" s="847"/>
      <c r="CI99" s="847"/>
      <c r="CJ99" s="847"/>
      <c r="CK99" s="847"/>
      <c r="CL99" s="847"/>
      <c r="CM99" s="847"/>
      <c r="CN99" s="847"/>
      <c r="CO99" s="847"/>
      <c r="CP99" s="847"/>
      <c r="CQ99" s="847"/>
      <c r="CR99" s="847"/>
      <c r="CS99" s="847"/>
      <c r="CT99" s="847"/>
      <c r="CU99" s="847"/>
      <c r="CV99" s="847"/>
      <c r="CW99" s="847"/>
      <c r="CX99" s="847"/>
      <c r="CY99" s="847"/>
      <c r="CZ99" s="847"/>
      <c r="DA99" s="847"/>
      <c r="DB99" s="847"/>
      <c r="DC99" s="847"/>
      <c r="DD99" s="847"/>
      <c r="DE99" s="847"/>
      <c r="DF99" s="847"/>
      <c r="DG99" s="847"/>
      <c r="DH99" s="847"/>
      <c r="DI99" s="847"/>
      <c r="DJ99" s="847"/>
      <c r="DK99" s="847"/>
      <c r="DL99" s="847"/>
      <c r="DM99" s="1212"/>
      <c r="DN99" s="1224"/>
      <c r="DO99" s="1013"/>
      <c r="DP99" s="847"/>
      <c r="DQ99" s="1013"/>
      <c r="DR99" s="1225"/>
      <c r="DS99" s="1013"/>
      <c r="DT99" s="1225"/>
      <c r="DU99" s="1214"/>
      <c r="DV99" s="1242"/>
      <c r="DW99" s="1232"/>
      <c r="DX99" s="1222"/>
      <c r="DY99" s="847"/>
      <c r="DZ99" s="847"/>
      <c r="EA99" s="847"/>
      <c r="EB99" s="847"/>
      <c r="EC99" s="847"/>
      <c r="ED99" s="847"/>
      <c r="EE99" s="847"/>
      <c r="EF99" s="847"/>
      <c r="EG99" s="1212"/>
      <c r="EH99" s="847"/>
      <c r="EI99" s="1212"/>
    </row>
    <row r="100" spans="1:141" s="733" customFormat="1" ht="13.5">
      <c r="A100" s="1009"/>
      <c r="B100" s="1212" t="s">
        <v>2070</v>
      </c>
      <c r="C100" s="1213">
        <v>0</v>
      </c>
      <c r="D100" s="1013" t="s">
        <v>49</v>
      </c>
      <c r="E100" s="847"/>
      <c r="F100" s="1013"/>
      <c r="G100" s="1013">
        <f>'Lead &amp; ANALYSIS'!G2055</f>
        <v>0.28000000000000003</v>
      </c>
      <c r="H100" s="1013">
        <f>ROUND(C100*G100,2)</f>
        <v>0</v>
      </c>
      <c r="I100" s="1013">
        <f>'Lead &amp; ANALYSIS'!G2054</f>
        <v>350</v>
      </c>
      <c r="J100" s="1013">
        <f>ROUND(C100*I100,2)</f>
        <v>0</v>
      </c>
      <c r="K100" s="1013">
        <f>'Lead &amp; ANALYSIS'!G2056</f>
        <v>1</v>
      </c>
      <c r="L100" s="1013">
        <f>ROUND(C100*K100,2)</f>
        <v>0</v>
      </c>
      <c r="M100" s="847"/>
      <c r="N100" s="1013"/>
      <c r="O100" s="847"/>
      <c r="P100" s="1013"/>
      <c r="Q100" s="847"/>
      <c r="R100" s="847"/>
      <c r="S100" s="847"/>
      <c r="T100" s="847"/>
      <c r="U100" s="847"/>
      <c r="V100" s="847"/>
      <c r="W100" s="847"/>
      <c r="X100" s="847"/>
      <c r="Y100" s="847"/>
      <c r="Z100" s="847"/>
      <c r="AA100" s="847"/>
      <c r="AB100" s="847"/>
      <c r="AC100" s="847"/>
      <c r="AD100" s="847"/>
      <c r="AE100" s="847"/>
      <c r="AF100" s="847"/>
      <c r="AG100" s="847"/>
      <c r="AH100" s="847"/>
      <c r="AI100" s="847"/>
      <c r="AJ100" s="847"/>
      <c r="AK100" s="847"/>
      <c r="AL100" s="847"/>
      <c r="AM100" s="847"/>
      <c r="AN100" s="847"/>
      <c r="AO100" s="847"/>
      <c r="AP100" s="847"/>
      <c r="AQ100" s="847"/>
      <c r="AR100" s="847"/>
      <c r="AS100" s="847"/>
      <c r="AT100" s="847"/>
      <c r="AU100" s="847"/>
      <c r="AV100" s="847"/>
      <c r="AW100" s="847"/>
      <c r="AX100" s="847"/>
      <c r="AY100" s="847"/>
      <c r="AZ100" s="847"/>
      <c r="BA100" s="847"/>
      <c r="BB100" s="847"/>
      <c r="BC100" s="847"/>
      <c r="BD100" s="847"/>
      <c r="BE100" s="847"/>
      <c r="BF100" s="847"/>
      <c r="BG100" s="847"/>
      <c r="BH100" s="847"/>
      <c r="BI100" s="847"/>
      <c r="BJ100" s="847"/>
      <c r="BK100" s="847"/>
      <c r="BL100" s="847"/>
      <c r="BM100" s="847"/>
      <c r="BN100" s="847"/>
      <c r="BO100" s="847"/>
      <c r="BP100" s="847"/>
      <c r="BQ100" s="847"/>
      <c r="BR100" s="847"/>
      <c r="BS100" s="847"/>
      <c r="BT100" s="847"/>
      <c r="BU100" s="847"/>
      <c r="BV100" s="847"/>
      <c r="BW100" s="847"/>
      <c r="BX100" s="847"/>
      <c r="BY100" s="847"/>
      <c r="BZ100" s="847"/>
      <c r="CA100" s="847"/>
      <c r="CB100" s="847"/>
      <c r="CC100" s="847"/>
      <c r="CD100" s="847"/>
      <c r="CE100" s="847"/>
      <c r="CF100" s="847"/>
      <c r="CG100" s="847"/>
      <c r="CH100" s="847"/>
      <c r="CI100" s="847"/>
      <c r="CJ100" s="847"/>
      <c r="CK100" s="847"/>
      <c r="CL100" s="847"/>
      <c r="CM100" s="847"/>
      <c r="CN100" s="847"/>
      <c r="CO100" s="847"/>
      <c r="CP100" s="847"/>
      <c r="CQ100" s="847"/>
      <c r="CR100" s="847"/>
      <c r="CS100" s="847"/>
      <c r="CT100" s="847"/>
      <c r="CU100" s="847"/>
      <c r="CV100" s="847"/>
      <c r="CW100" s="847"/>
      <c r="CX100" s="847"/>
      <c r="CY100" s="847"/>
      <c r="CZ100" s="847"/>
      <c r="DA100" s="847"/>
      <c r="DB100" s="847"/>
      <c r="DC100" s="847"/>
      <c r="DD100" s="847"/>
      <c r="DE100" s="847"/>
      <c r="DF100" s="847"/>
      <c r="DG100" s="847"/>
      <c r="DH100" s="847"/>
      <c r="DI100" s="847"/>
      <c r="DJ100" s="847"/>
      <c r="DK100" s="847"/>
      <c r="DL100" s="847"/>
      <c r="DM100" s="1212"/>
      <c r="DN100" s="1224">
        <f>'Lead &amp; ANALYSIS'!G2061</f>
        <v>2.96</v>
      </c>
      <c r="DO100" s="1013">
        <f>ROUND(C100*DN100,2)</f>
        <v>0</v>
      </c>
      <c r="DP100" s="847"/>
      <c r="DQ100" s="1013"/>
      <c r="DR100" s="1225">
        <f>'Lead &amp; ANALYSIS'!G2060</f>
        <v>1.05</v>
      </c>
      <c r="DS100" s="1013">
        <f>ROUND(C100*DR100,2)</f>
        <v>0</v>
      </c>
      <c r="DT100" s="1225">
        <v>0.35</v>
      </c>
      <c r="DU100" s="1214">
        <f>ROUND(C100*DT100,2)</f>
        <v>0</v>
      </c>
      <c r="DV100" s="1244"/>
      <c r="DW100" s="1232"/>
      <c r="DX100" s="1222"/>
      <c r="DY100" s="847"/>
      <c r="DZ100" s="847"/>
      <c r="EA100" s="847"/>
      <c r="EB100" s="847"/>
      <c r="EC100" s="847"/>
      <c r="ED100" s="847"/>
      <c r="EE100" s="847"/>
      <c r="EF100" s="847"/>
      <c r="EG100" s="1212"/>
      <c r="EH100" s="847"/>
      <c r="EI100" s="1212"/>
    </row>
    <row r="101" spans="1:141" s="733" customFormat="1" ht="13.5">
      <c r="A101" s="1009"/>
      <c r="B101" s="1212" t="s">
        <v>2071</v>
      </c>
      <c r="C101" s="1213">
        <v>0</v>
      </c>
      <c r="D101" s="1013" t="s">
        <v>49</v>
      </c>
      <c r="E101" s="847"/>
      <c r="F101" s="1013"/>
      <c r="G101" s="1013">
        <f>G100</f>
        <v>0.28000000000000003</v>
      </c>
      <c r="H101" s="1013">
        <f>ROUND(C101*G101,2)</f>
        <v>0</v>
      </c>
      <c r="I101" s="1013">
        <f>I100</f>
        <v>350</v>
      </c>
      <c r="J101" s="1013">
        <f>ROUND(C101*I101,2)</f>
        <v>0</v>
      </c>
      <c r="K101" s="1013">
        <f>K100</f>
        <v>1</v>
      </c>
      <c r="L101" s="1013">
        <f>ROUND(C101*K101,2)</f>
        <v>0</v>
      </c>
      <c r="M101" s="847"/>
      <c r="N101" s="1013"/>
      <c r="O101" s="847"/>
      <c r="P101" s="1013"/>
      <c r="Q101" s="847"/>
      <c r="R101" s="847"/>
      <c r="S101" s="847"/>
      <c r="T101" s="847"/>
      <c r="U101" s="847"/>
      <c r="V101" s="847"/>
      <c r="W101" s="847"/>
      <c r="X101" s="847"/>
      <c r="Y101" s="847"/>
      <c r="Z101" s="847"/>
      <c r="AA101" s="847"/>
      <c r="AB101" s="847"/>
      <c r="AC101" s="847"/>
      <c r="AD101" s="847"/>
      <c r="AE101" s="847"/>
      <c r="AF101" s="847"/>
      <c r="AG101" s="847"/>
      <c r="AH101" s="847"/>
      <c r="AI101" s="847"/>
      <c r="AJ101" s="847"/>
      <c r="AK101" s="847"/>
      <c r="AL101" s="847"/>
      <c r="AM101" s="847"/>
      <c r="AN101" s="847"/>
      <c r="AO101" s="847"/>
      <c r="AP101" s="847"/>
      <c r="AQ101" s="847"/>
      <c r="AR101" s="847"/>
      <c r="AS101" s="847"/>
      <c r="AT101" s="847"/>
      <c r="AU101" s="847"/>
      <c r="AV101" s="847"/>
      <c r="AW101" s="847"/>
      <c r="AX101" s="847"/>
      <c r="AY101" s="847"/>
      <c r="AZ101" s="847"/>
      <c r="BA101" s="847"/>
      <c r="BB101" s="847"/>
      <c r="BC101" s="847"/>
      <c r="BD101" s="847"/>
      <c r="BE101" s="847"/>
      <c r="BF101" s="847"/>
      <c r="BG101" s="847"/>
      <c r="BH101" s="847"/>
      <c r="BI101" s="847"/>
      <c r="BJ101" s="847"/>
      <c r="BK101" s="847"/>
      <c r="BL101" s="847"/>
      <c r="BM101" s="847"/>
      <c r="BN101" s="847"/>
      <c r="BO101" s="847"/>
      <c r="BP101" s="847"/>
      <c r="BQ101" s="847"/>
      <c r="BR101" s="847"/>
      <c r="BS101" s="847"/>
      <c r="BT101" s="847"/>
      <c r="BU101" s="847"/>
      <c r="BV101" s="847"/>
      <c r="BW101" s="847"/>
      <c r="BX101" s="847"/>
      <c r="BY101" s="847"/>
      <c r="BZ101" s="847"/>
      <c r="CA101" s="847"/>
      <c r="CB101" s="847"/>
      <c r="CC101" s="847"/>
      <c r="CD101" s="847"/>
      <c r="CE101" s="847"/>
      <c r="CF101" s="847"/>
      <c r="CG101" s="847"/>
      <c r="CH101" s="847"/>
      <c r="CI101" s="847"/>
      <c r="CJ101" s="847"/>
      <c r="CK101" s="847"/>
      <c r="CL101" s="847"/>
      <c r="CM101" s="847"/>
      <c r="CN101" s="847"/>
      <c r="CO101" s="847"/>
      <c r="CP101" s="847"/>
      <c r="CQ101" s="847"/>
      <c r="CR101" s="847"/>
      <c r="CS101" s="847"/>
      <c r="CT101" s="847"/>
      <c r="CU101" s="847"/>
      <c r="CV101" s="847"/>
      <c r="CW101" s="847"/>
      <c r="CX101" s="847"/>
      <c r="CY101" s="847"/>
      <c r="CZ101" s="847"/>
      <c r="DA101" s="847"/>
      <c r="DB101" s="847"/>
      <c r="DC101" s="847"/>
      <c r="DD101" s="847"/>
      <c r="DE101" s="847"/>
      <c r="DF101" s="847"/>
      <c r="DG101" s="847"/>
      <c r="DH101" s="847"/>
      <c r="DI101" s="847"/>
      <c r="DJ101" s="847"/>
      <c r="DK101" s="847"/>
      <c r="DL101" s="847"/>
      <c r="DM101" s="1212"/>
      <c r="DN101" s="1224">
        <f>DN100+'Lead &amp; ANALYSIS'!K2073/'Lead &amp; ANALYSIS'!L134</f>
        <v>3.0556521739130433</v>
      </c>
      <c r="DO101" s="1013">
        <f>ROUND(C101*DN101,2)</f>
        <v>0</v>
      </c>
      <c r="DP101" s="847"/>
      <c r="DQ101" s="1013"/>
      <c r="DR101" s="1225">
        <f>DR100</f>
        <v>1.05</v>
      </c>
      <c r="DS101" s="1013">
        <f>ROUND(C101*DR101,2)</f>
        <v>0</v>
      </c>
      <c r="DT101" s="1225">
        <f>DT100</f>
        <v>0.35</v>
      </c>
      <c r="DU101" s="1214">
        <f>ROUND(C101*DT101,2)</f>
        <v>0</v>
      </c>
      <c r="DV101" s="1244"/>
      <c r="DW101" s="1232"/>
      <c r="DX101" s="1222"/>
      <c r="DY101" s="847"/>
      <c r="DZ101" s="847"/>
      <c r="EA101" s="847"/>
      <c r="EB101" s="847"/>
      <c r="EC101" s="847"/>
      <c r="ED101" s="847"/>
      <c r="EE101" s="847"/>
      <c r="EF101" s="847"/>
      <c r="EG101" s="1212"/>
      <c r="EH101" s="847"/>
      <c r="EI101" s="1212"/>
    </row>
    <row r="102" spans="1:141" s="733" customFormat="1" ht="13.5">
      <c r="A102" s="1009"/>
      <c r="B102" s="1212" t="s">
        <v>2067</v>
      </c>
      <c r="C102" s="1213">
        <v>0</v>
      </c>
      <c r="D102" s="1013" t="s">
        <v>49</v>
      </c>
      <c r="E102" s="847"/>
      <c r="F102" s="1013"/>
      <c r="G102" s="1013">
        <f>G100</f>
        <v>0.28000000000000003</v>
      </c>
      <c r="H102" s="1013">
        <f>ROUND(C102*G102,2)</f>
        <v>0</v>
      </c>
      <c r="I102" s="1013">
        <f>I100</f>
        <v>350</v>
      </c>
      <c r="J102" s="1013">
        <f>ROUND(C102*I102,2)</f>
        <v>0</v>
      </c>
      <c r="K102" s="1013">
        <f>K100</f>
        <v>1</v>
      </c>
      <c r="L102" s="1013">
        <f>ROUND(C102*K102,2)</f>
        <v>0</v>
      </c>
      <c r="M102" s="847"/>
      <c r="N102" s="1013"/>
      <c r="O102" s="847"/>
      <c r="P102" s="1013"/>
      <c r="Q102" s="847"/>
      <c r="R102" s="847"/>
      <c r="S102" s="847"/>
      <c r="T102" s="847"/>
      <c r="U102" s="847"/>
      <c r="V102" s="847"/>
      <c r="W102" s="847"/>
      <c r="X102" s="847"/>
      <c r="Y102" s="847"/>
      <c r="Z102" s="847"/>
      <c r="AA102" s="847"/>
      <c r="AB102" s="847"/>
      <c r="AC102" s="847"/>
      <c r="AD102" s="847"/>
      <c r="AE102" s="847"/>
      <c r="AF102" s="847"/>
      <c r="AG102" s="847"/>
      <c r="AH102" s="847"/>
      <c r="AI102" s="847"/>
      <c r="AJ102" s="847"/>
      <c r="AK102" s="847"/>
      <c r="AL102" s="847"/>
      <c r="AM102" s="847"/>
      <c r="AN102" s="847"/>
      <c r="AO102" s="847"/>
      <c r="AP102" s="847"/>
      <c r="AQ102" s="847"/>
      <c r="AR102" s="847"/>
      <c r="AS102" s="847"/>
      <c r="AT102" s="847"/>
      <c r="AU102" s="847"/>
      <c r="AV102" s="847"/>
      <c r="AW102" s="847"/>
      <c r="AX102" s="847"/>
      <c r="AY102" s="847"/>
      <c r="AZ102" s="847"/>
      <c r="BA102" s="847"/>
      <c r="BB102" s="847"/>
      <c r="BC102" s="847"/>
      <c r="BD102" s="847"/>
      <c r="BE102" s="847"/>
      <c r="BF102" s="847"/>
      <c r="BG102" s="847"/>
      <c r="BH102" s="847"/>
      <c r="BI102" s="847"/>
      <c r="BJ102" s="847"/>
      <c r="BK102" s="847"/>
      <c r="BL102" s="847"/>
      <c r="BM102" s="847"/>
      <c r="BN102" s="847"/>
      <c r="BO102" s="847"/>
      <c r="BP102" s="847"/>
      <c r="BQ102" s="847"/>
      <c r="BR102" s="847"/>
      <c r="BS102" s="847"/>
      <c r="BT102" s="847"/>
      <c r="BU102" s="847"/>
      <c r="BV102" s="847"/>
      <c r="BW102" s="847"/>
      <c r="BX102" s="847"/>
      <c r="BY102" s="847"/>
      <c r="BZ102" s="847"/>
      <c r="CA102" s="847"/>
      <c r="CB102" s="847"/>
      <c r="CC102" s="847"/>
      <c r="CD102" s="847"/>
      <c r="CE102" s="847"/>
      <c r="CF102" s="847"/>
      <c r="CG102" s="847"/>
      <c r="CH102" s="847"/>
      <c r="CI102" s="847"/>
      <c r="CJ102" s="847"/>
      <c r="CK102" s="847"/>
      <c r="CL102" s="847"/>
      <c r="CM102" s="847"/>
      <c r="CN102" s="847"/>
      <c r="CO102" s="847"/>
      <c r="CP102" s="847"/>
      <c r="CQ102" s="847"/>
      <c r="CR102" s="847"/>
      <c r="CS102" s="847"/>
      <c r="CT102" s="847"/>
      <c r="CU102" s="847"/>
      <c r="CV102" s="847"/>
      <c r="CW102" s="847"/>
      <c r="CX102" s="847"/>
      <c r="CY102" s="847"/>
      <c r="CZ102" s="847"/>
      <c r="DA102" s="847"/>
      <c r="DB102" s="847"/>
      <c r="DC102" s="847"/>
      <c r="DD102" s="847"/>
      <c r="DE102" s="847"/>
      <c r="DF102" s="847"/>
      <c r="DG102" s="847"/>
      <c r="DH102" s="847"/>
      <c r="DI102" s="847"/>
      <c r="DJ102" s="847"/>
      <c r="DK102" s="847"/>
      <c r="DL102" s="847"/>
      <c r="DM102" s="1212"/>
      <c r="DN102" s="1224">
        <f>DN101+DN100*15%</f>
        <v>3.4996521739130433</v>
      </c>
      <c r="DO102" s="1013">
        <f>ROUND(C102*DN102,2)</f>
        <v>0</v>
      </c>
      <c r="DP102" s="847"/>
      <c r="DQ102" s="1013"/>
      <c r="DR102" s="847">
        <f>DR101+DR100*15%</f>
        <v>1.2075</v>
      </c>
      <c r="DS102" s="1013">
        <f>ROUND(C102*DR102,2)</f>
        <v>0</v>
      </c>
      <c r="DT102" s="847">
        <f>DT101+DT100*15%</f>
        <v>0.40249999999999997</v>
      </c>
      <c r="DU102" s="1214">
        <f>ROUND(C102*DT102,2)</f>
        <v>0</v>
      </c>
      <c r="DV102" s="1244"/>
      <c r="DW102" s="1232"/>
      <c r="DX102" s="1222"/>
      <c r="DY102" s="847"/>
      <c r="DZ102" s="847"/>
      <c r="EA102" s="847"/>
      <c r="EB102" s="847"/>
      <c r="EC102" s="847"/>
      <c r="ED102" s="847"/>
      <c r="EE102" s="847"/>
      <c r="EF102" s="847"/>
      <c r="EG102" s="1212"/>
      <c r="EH102" s="847"/>
      <c r="EI102" s="1212"/>
    </row>
    <row r="103" spans="1:141" s="733" customFormat="1" ht="13.5">
      <c r="A103" s="1009">
        <v>38</v>
      </c>
      <c r="B103" s="1212" t="s">
        <v>3040</v>
      </c>
      <c r="C103" s="1213">
        <v>0</v>
      </c>
      <c r="D103" s="1013" t="s">
        <v>49</v>
      </c>
      <c r="E103" s="847"/>
      <c r="F103" s="1013"/>
      <c r="G103" s="1013"/>
      <c r="H103" s="1013"/>
      <c r="I103" s="847"/>
      <c r="J103" s="1013"/>
      <c r="K103" s="847"/>
      <c r="L103" s="1013"/>
      <c r="M103" s="847"/>
      <c r="N103" s="1013"/>
      <c r="O103" s="847"/>
      <c r="P103" s="1013"/>
      <c r="Q103" s="847"/>
      <c r="R103" s="847"/>
      <c r="S103" s="847"/>
      <c r="T103" s="847"/>
      <c r="U103" s="847"/>
      <c r="V103" s="847"/>
      <c r="W103" s="847"/>
      <c r="X103" s="847"/>
      <c r="Y103" s="847"/>
      <c r="Z103" s="847"/>
      <c r="AA103" s="847"/>
      <c r="AB103" s="847"/>
      <c r="AC103" s="847"/>
      <c r="AD103" s="847"/>
      <c r="AE103" s="847"/>
      <c r="AF103" s="847"/>
      <c r="AG103" s="847"/>
      <c r="AH103" s="847"/>
      <c r="AI103" s="847"/>
      <c r="AJ103" s="847"/>
      <c r="AK103" s="847"/>
      <c r="AL103" s="847"/>
      <c r="AM103" s="847"/>
      <c r="AN103" s="847"/>
      <c r="AO103" s="847"/>
      <c r="AP103" s="847"/>
      <c r="AQ103" s="847"/>
      <c r="AR103" s="847"/>
      <c r="AS103" s="847"/>
      <c r="AT103" s="847"/>
      <c r="AU103" s="847"/>
      <c r="AV103" s="847"/>
      <c r="AW103" s="847"/>
      <c r="AX103" s="847"/>
      <c r="AY103" s="847"/>
      <c r="AZ103" s="847"/>
      <c r="BA103" s="847"/>
      <c r="BB103" s="847"/>
      <c r="BC103" s="847"/>
      <c r="BD103" s="847"/>
      <c r="BE103" s="847"/>
      <c r="BF103" s="847"/>
      <c r="BG103" s="847"/>
      <c r="BH103" s="847"/>
      <c r="BI103" s="847"/>
      <c r="BJ103" s="847"/>
      <c r="BK103" s="847"/>
      <c r="BL103" s="847"/>
      <c r="BM103" s="847"/>
      <c r="BN103" s="847"/>
      <c r="BO103" s="847"/>
      <c r="BP103" s="847"/>
      <c r="BQ103" s="847"/>
      <c r="BR103" s="847"/>
      <c r="BS103" s="847"/>
      <c r="BT103" s="847"/>
      <c r="BU103" s="847"/>
      <c r="BV103" s="847"/>
      <c r="BW103" s="847"/>
      <c r="BX103" s="847"/>
      <c r="BY103" s="847"/>
      <c r="BZ103" s="847"/>
      <c r="CA103" s="847"/>
      <c r="CB103" s="847"/>
      <c r="CC103" s="847"/>
      <c r="CD103" s="847"/>
      <c r="CE103" s="847"/>
      <c r="CF103" s="847"/>
      <c r="CG103" s="847"/>
      <c r="CH103" s="847"/>
      <c r="CI103" s="847"/>
      <c r="CJ103" s="847"/>
      <c r="CK103" s="847"/>
      <c r="CL103" s="847"/>
      <c r="CM103" s="847"/>
      <c r="CN103" s="847"/>
      <c r="CO103" s="847"/>
      <c r="CP103" s="847"/>
      <c r="CQ103" s="847"/>
      <c r="CR103" s="847"/>
      <c r="CS103" s="847"/>
      <c r="CT103" s="847"/>
      <c r="CU103" s="847"/>
      <c r="CV103" s="847"/>
      <c r="CW103" s="847"/>
      <c r="CX103" s="847"/>
      <c r="CY103" s="847"/>
      <c r="CZ103" s="847"/>
      <c r="DA103" s="847"/>
      <c r="DB103" s="847"/>
      <c r="DC103" s="847"/>
      <c r="DD103" s="847"/>
      <c r="DE103" s="847"/>
      <c r="DF103" s="847"/>
      <c r="DG103" s="847"/>
      <c r="DH103" s="847"/>
      <c r="DI103" s="847"/>
      <c r="DJ103" s="847"/>
      <c r="DK103" s="847"/>
      <c r="DL103" s="847"/>
      <c r="DM103" s="1212"/>
      <c r="DN103" s="1224"/>
      <c r="DO103" s="1013"/>
      <c r="DP103" s="847"/>
      <c r="DQ103" s="1013"/>
      <c r="DR103" s="1225"/>
      <c r="DS103" s="1013"/>
      <c r="DT103" s="1225"/>
      <c r="DU103" s="1214"/>
      <c r="DV103" s="1242"/>
      <c r="DW103" s="1232"/>
      <c r="DX103" s="1222"/>
      <c r="DY103" s="847"/>
      <c r="DZ103" s="847"/>
      <c r="EA103" s="847"/>
      <c r="EB103" s="847"/>
      <c r="EC103" s="847"/>
      <c r="ED103" s="847"/>
      <c r="EE103" s="847"/>
      <c r="EF103" s="847"/>
      <c r="EG103" s="1212"/>
      <c r="EH103" s="847"/>
      <c r="EI103" s="1212"/>
    </row>
    <row r="104" spans="1:141" s="733" customFormat="1" ht="13.5">
      <c r="A104" s="1009"/>
      <c r="B104" s="1212" t="s">
        <v>2070</v>
      </c>
      <c r="C104" s="1213">
        <v>0</v>
      </c>
      <c r="D104" s="1013" t="s">
        <v>49</v>
      </c>
      <c r="E104" s="847"/>
      <c r="F104" s="1013"/>
      <c r="G104" s="1013">
        <f>'Lead &amp; ANALYSIS'!G2098</f>
        <v>0.28000000000000003</v>
      </c>
      <c r="H104" s="1013">
        <f>ROUND(C104*G104,2)</f>
        <v>0</v>
      </c>
      <c r="I104" s="1013">
        <f>'Lead &amp; ANALYSIS'!G2097</f>
        <v>350</v>
      </c>
      <c r="J104" s="1013">
        <f>ROUND(C104*I104,2)</f>
        <v>0</v>
      </c>
      <c r="K104" s="847">
        <f>'Lead &amp; ANALYSIS'!G2099</f>
        <v>0.67200000000000004</v>
      </c>
      <c r="L104" s="1013">
        <f>ROUND(C104*K104,2)</f>
        <v>0</v>
      </c>
      <c r="M104" s="847"/>
      <c r="N104" s="1013"/>
      <c r="O104" s="847"/>
      <c r="P104" s="1013"/>
      <c r="Q104" s="847"/>
      <c r="R104" s="847"/>
      <c r="S104" s="847"/>
      <c r="T104" s="847"/>
      <c r="U104" s="847"/>
      <c r="V104" s="847"/>
      <c r="W104" s="847"/>
      <c r="X104" s="847"/>
      <c r="Y104" s="847"/>
      <c r="Z104" s="847"/>
      <c r="AA104" s="847"/>
      <c r="AB104" s="847"/>
      <c r="AC104" s="847"/>
      <c r="AD104" s="847"/>
      <c r="AE104" s="847"/>
      <c r="AF104" s="847"/>
      <c r="AG104" s="847"/>
      <c r="AH104" s="847"/>
      <c r="AI104" s="847"/>
      <c r="AJ104" s="847"/>
      <c r="AK104" s="847"/>
      <c r="AL104" s="847"/>
      <c r="AM104" s="847"/>
      <c r="AN104" s="847"/>
      <c r="AO104" s="847"/>
      <c r="AP104" s="847"/>
      <c r="AQ104" s="847"/>
      <c r="AR104" s="847"/>
      <c r="AS104" s="847"/>
      <c r="AT104" s="847"/>
      <c r="AU104" s="847"/>
      <c r="AV104" s="847"/>
      <c r="AW104" s="847"/>
      <c r="AX104" s="847"/>
      <c r="AY104" s="847"/>
      <c r="AZ104" s="847"/>
      <c r="BA104" s="847"/>
      <c r="BB104" s="847"/>
      <c r="BC104" s="847"/>
      <c r="BD104" s="847"/>
      <c r="BE104" s="847"/>
      <c r="BF104" s="847"/>
      <c r="BG104" s="847"/>
      <c r="BH104" s="847"/>
      <c r="BI104" s="847"/>
      <c r="BJ104" s="847"/>
      <c r="BK104" s="847"/>
      <c r="BL104" s="847"/>
      <c r="BM104" s="847"/>
      <c r="BN104" s="847"/>
      <c r="BO104" s="847"/>
      <c r="BP104" s="847"/>
      <c r="BQ104" s="847"/>
      <c r="BR104" s="847"/>
      <c r="BS104" s="847"/>
      <c r="BT104" s="847"/>
      <c r="BU104" s="847"/>
      <c r="BV104" s="847"/>
      <c r="BW104" s="847"/>
      <c r="BX104" s="847"/>
      <c r="BY104" s="847"/>
      <c r="BZ104" s="847"/>
      <c r="CA104" s="847"/>
      <c r="CB104" s="847"/>
      <c r="CC104" s="847"/>
      <c r="CD104" s="847"/>
      <c r="CE104" s="847"/>
      <c r="CF104" s="847"/>
      <c r="CG104" s="847"/>
      <c r="CH104" s="847"/>
      <c r="CI104" s="847"/>
      <c r="CJ104" s="847"/>
      <c r="CK104" s="847"/>
      <c r="CL104" s="847"/>
      <c r="CM104" s="847"/>
      <c r="CN104" s="847"/>
      <c r="CO104" s="847"/>
      <c r="CP104" s="847"/>
      <c r="CQ104" s="847"/>
      <c r="CR104" s="847"/>
      <c r="CS104" s="847"/>
      <c r="CT104" s="847"/>
      <c r="CU104" s="847"/>
      <c r="CV104" s="847"/>
      <c r="CW104" s="847"/>
      <c r="CX104" s="847"/>
      <c r="CY104" s="847"/>
      <c r="CZ104" s="847"/>
      <c r="DA104" s="847"/>
      <c r="DB104" s="847"/>
      <c r="DC104" s="847"/>
      <c r="DD104" s="847"/>
      <c r="DE104" s="847"/>
      <c r="DF104" s="847"/>
      <c r="DG104" s="847"/>
      <c r="DH104" s="847"/>
      <c r="DI104" s="847"/>
      <c r="DJ104" s="847"/>
      <c r="DK104" s="847"/>
      <c r="DL104" s="847"/>
      <c r="DM104" s="1212"/>
      <c r="DN104" s="1224">
        <f>'Lead &amp; ANALYSIS'!G2104</f>
        <v>2.96</v>
      </c>
      <c r="DO104" s="1013">
        <f>ROUND(C104*DN104,2)</f>
        <v>0</v>
      </c>
      <c r="DP104" s="847"/>
      <c r="DQ104" s="1013"/>
      <c r="DR104" s="1225">
        <f>'Lead &amp; ANALYSIS'!G2103</f>
        <v>1.05</v>
      </c>
      <c r="DS104" s="1013">
        <f>ROUND(C104*DR104,2)</f>
        <v>0</v>
      </c>
      <c r="DT104" s="1225">
        <v>0.35</v>
      </c>
      <c r="DU104" s="1214">
        <f>ROUND(C104*DT104,2)</f>
        <v>0</v>
      </c>
      <c r="DV104" s="1244"/>
      <c r="DW104" s="1232"/>
      <c r="DX104" s="1222"/>
      <c r="DY104" s="847"/>
      <c r="DZ104" s="847"/>
      <c r="EA104" s="847"/>
      <c r="EB104" s="847"/>
      <c r="EC104" s="847"/>
      <c r="ED104" s="847"/>
      <c r="EE104" s="847"/>
      <c r="EF104" s="847"/>
      <c r="EG104" s="1212"/>
      <c r="EH104" s="847"/>
      <c r="EI104" s="1212"/>
    </row>
    <row r="105" spans="1:141" s="733" customFormat="1" ht="13.5">
      <c r="A105" s="1009"/>
      <c r="B105" s="1212" t="s">
        <v>2071</v>
      </c>
      <c r="C105" s="1213">
        <v>0</v>
      </c>
      <c r="D105" s="1013" t="s">
        <v>49</v>
      </c>
      <c r="E105" s="847"/>
      <c r="F105" s="1013"/>
      <c r="G105" s="1013">
        <f>G104</f>
        <v>0.28000000000000003</v>
      </c>
      <c r="H105" s="1013">
        <f>ROUND(C105*G105,2)</f>
        <v>0</v>
      </c>
      <c r="I105" s="1013">
        <f>I104</f>
        <v>350</v>
      </c>
      <c r="J105" s="1013">
        <f>ROUND(C105*I105,2)</f>
        <v>0</v>
      </c>
      <c r="K105" s="1225">
        <f>K104</f>
        <v>0.67200000000000004</v>
      </c>
      <c r="L105" s="1013">
        <f>ROUND(C105*K105,2)</f>
        <v>0</v>
      </c>
      <c r="M105" s="847"/>
      <c r="N105" s="1013"/>
      <c r="O105" s="847"/>
      <c r="P105" s="1013"/>
      <c r="Q105" s="847"/>
      <c r="R105" s="847"/>
      <c r="S105" s="847"/>
      <c r="T105" s="847"/>
      <c r="U105" s="847"/>
      <c r="V105" s="847"/>
      <c r="W105" s="847"/>
      <c r="X105" s="847"/>
      <c r="Y105" s="847"/>
      <c r="Z105" s="847"/>
      <c r="AA105" s="847"/>
      <c r="AB105" s="847"/>
      <c r="AC105" s="847"/>
      <c r="AD105" s="847"/>
      <c r="AE105" s="847"/>
      <c r="AF105" s="847"/>
      <c r="AG105" s="847"/>
      <c r="AH105" s="847"/>
      <c r="AI105" s="847"/>
      <c r="AJ105" s="847"/>
      <c r="AK105" s="847"/>
      <c r="AL105" s="847"/>
      <c r="AM105" s="847"/>
      <c r="AN105" s="847"/>
      <c r="AO105" s="847"/>
      <c r="AP105" s="847"/>
      <c r="AQ105" s="847"/>
      <c r="AR105" s="847"/>
      <c r="AS105" s="847"/>
      <c r="AT105" s="847"/>
      <c r="AU105" s="847"/>
      <c r="AV105" s="847"/>
      <c r="AW105" s="847"/>
      <c r="AX105" s="847"/>
      <c r="AY105" s="847"/>
      <c r="AZ105" s="847"/>
      <c r="BA105" s="847"/>
      <c r="BB105" s="847"/>
      <c r="BC105" s="847"/>
      <c r="BD105" s="847"/>
      <c r="BE105" s="847"/>
      <c r="BF105" s="847"/>
      <c r="BG105" s="847"/>
      <c r="BH105" s="847"/>
      <c r="BI105" s="847"/>
      <c r="BJ105" s="847"/>
      <c r="BK105" s="847"/>
      <c r="BL105" s="847"/>
      <c r="BM105" s="847"/>
      <c r="BN105" s="847"/>
      <c r="BO105" s="847"/>
      <c r="BP105" s="847"/>
      <c r="BQ105" s="847"/>
      <c r="BR105" s="847"/>
      <c r="BS105" s="847"/>
      <c r="BT105" s="847"/>
      <c r="BU105" s="847"/>
      <c r="BV105" s="847"/>
      <c r="BW105" s="847"/>
      <c r="BX105" s="847"/>
      <c r="BY105" s="847"/>
      <c r="BZ105" s="847"/>
      <c r="CA105" s="847"/>
      <c r="CB105" s="847"/>
      <c r="CC105" s="847"/>
      <c r="CD105" s="847"/>
      <c r="CE105" s="847"/>
      <c r="CF105" s="847"/>
      <c r="CG105" s="847"/>
      <c r="CH105" s="847"/>
      <c r="CI105" s="847"/>
      <c r="CJ105" s="847"/>
      <c r="CK105" s="847"/>
      <c r="CL105" s="847"/>
      <c r="CM105" s="847"/>
      <c r="CN105" s="847"/>
      <c r="CO105" s="847"/>
      <c r="CP105" s="847"/>
      <c r="CQ105" s="847"/>
      <c r="CR105" s="847"/>
      <c r="CS105" s="847"/>
      <c r="CT105" s="847"/>
      <c r="CU105" s="847"/>
      <c r="CV105" s="847"/>
      <c r="CW105" s="847"/>
      <c r="CX105" s="847"/>
      <c r="CY105" s="847"/>
      <c r="CZ105" s="847"/>
      <c r="DA105" s="847"/>
      <c r="DB105" s="847"/>
      <c r="DC105" s="847"/>
      <c r="DD105" s="847"/>
      <c r="DE105" s="847"/>
      <c r="DF105" s="847"/>
      <c r="DG105" s="847"/>
      <c r="DH105" s="847"/>
      <c r="DI105" s="847"/>
      <c r="DJ105" s="847"/>
      <c r="DK105" s="847"/>
      <c r="DL105" s="847"/>
      <c r="DM105" s="1212"/>
      <c r="DN105" s="1224">
        <f>DN104+'Lead &amp; ANALYSIS'!K2116/'Lead &amp; ANALYSIS'!L134</f>
        <v>3.0556521739130433</v>
      </c>
      <c r="DO105" s="1013">
        <f>ROUND(C105*DN105,2)</f>
        <v>0</v>
      </c>
      <c r="DP105" s="847"/>
      <c r="DQ105" s="1013"/>
      <c r="DR105" s="1225">
        <f>DR104</f>
        <v>1.05</v>
      </c>
      <c r="DS105" s="1013">
        <f>ROUND(C105*DR105,2)</f>
        <v>0</v>
      </c>
      <c r="DT105" s="1225">
        <f>DT104</f>
        <v>0.35</v>
      </c>
      <c r="DU105" s="1214">
        <f>ROUND(C105*DT105,2)</f>
        <v>0</v>
      </c>
      <c r="DV105" s="1244"/>
      <c r="DW105" s="1232"/>
      <c r="DX105" s="1222"/>
      <c r="DY105" s="847"/>
      <c r="DZ105" s="847"/>
      <c r="EA105" s="847"/>
      <c r="EB105" s="847"/>
      <c r="EC105" s="847"/>
      <c r="ED105" s="847"/>
      <c r="EE105" s="847"/>
      <c r="EF105" s="847"/>
      <c r="EG105" s="1212"/>
      <c r="EH105" s="847"/>
      <c r="EI105" s="1212"/>
    </row>
    <row r="106" spans="1:141" s="733" customFormat="1" ht="13.5">
      <c r="A106" s="1009"/>
      <c r="B106" s="1212" t="s">
        <v>2067</v>
      </c>
      <c r="C106" s="1213">
        <v>0</v>
      </c>
      <c r="D106" s="1013" t="s">
        <v>49</v>
      </c>
      <c r="E106" s="847"/>
      <c r="F106" s="1013"/>
      <c r="G106" s="1013">
        <f>G104</f>
        <v>0.28000000000000003</v>
      </c>
      <c r="H106" s="1013">
        <f>ROUND(C106*G106,2)</f>
        <v>0</v>
      </c>
      <c r="I106" s="1013">
        <f>I104</f>
        <v>350</v>
      </c>
      <c r="J106" s="1013">
        <f>ROUND(C106*I106,2)</f>
        <v>0</v>
      </c>
      <c r="K106" s="847">
        <f>K104</f>
        <v>0.67200000000000004</v>
      </c>
      <c r="L106" s="1013">
        <f>ROUND(C106*K106,2)</f>
        <v>0</v>
      </c>
      <c r="M106" s="847"/>
      <c r="N106" s="1013"/>
      <c r="O106" s="847"/>
      <c r="P106" s="1013"/>
      <c r="Q106" s="847"/>
      <c r="R106" s="847"/>
      <c r="S106" s="847"/>
      <c r="T106" s="847"/>
      <c r="U106" s="847"/>
      <c r="V106" s="847"/>
      <c r="W106" s="847"/>
      <c r="X106" s="847"/>
      <c r="Y106" s="847"/>
      <c r="Z106" s="847"/>
      <c r="AA106" s="847"/>
      <c r="AB106" s="847"/>
      <c r="AC106" s="847"/>
      <c r="AD106" s="847"/>
      <c r="AE106" s="847"/>
      <c r="AF106" s="847"/>
      <c r="AG106" s="847"/>
      <c r="AH106" s="847"/>
      <c r="AI106" s="847"/>
      <c r="AJ106" s="847"/>
      <c r="AK106" s="847"/>
      <c r="AL106" s="847"/>
      <c r="AM106" s="847"/>
      <c r="AN106" s="847"/>
      <c r="AO106" s="847"/>
      <c r="AP106" s="847"/>
      <c r="AQ106" s="847"/>
      <c r="AR106" s="847"/>
      <c r="AS106" s="847"/>
      <c r="AT106" s="847"/>
      <c r="AU106" s="847"/>
      <c r="AV106" s="847"/>
      <c r="AW106" s="847"/>
      <c r="AX106" s="847"/>
      <c r="AY106" s="847"/>
      <c r="AZ106" s="847"/>
      <c r="BA106" s="847"/>
      <c r="BB106" s="847"/>
      <c r="BC106" s="847"/>
      <c r="BD106" s="847"/>
      <c r="BE106" s="847"/>
      <c r="BF106" s="847"/>
      <c r="BG106" s="847"/>
      <c r="BH106" s="847"/>
      <c r="BI106" s="847"/>
      <c r="BJ106" s="847"/>
      <c r="BK106" s="847"/>
      <c r="BL106" s="847"/>
      <c r="BM106" s="847"/>
      <c r="BN106" s="847"/>
      <c r="BO106" s="847"/>
      <c r="BP106" s="847"/>
      <c r="BQ106" s="847"/>
      <c r="BR106" s="847"/>
      <c r="BS106" s="847"/>
      <c r="BT106" s="847"/>
      <c r="BU106" s="847"/>
      <c r="BV106" s="847"/>
      <c r="BW106" s="847"/>
      <c r="BX106" s="847"/>
      <c r="BY106" s="847"/>
      <c r="BZ106" s="847"/>
      <c r="CA106" s="847"/>
      <c r="CB106" s="847"/>
      <c r="CC106" s="847"/>
      <c r="CD106" s="847"/>
      <c r="CE106" s="847"/>
      <c r="CF106" s="847"/>
      <c r="CG106" s="847"/>
      <c r="CH106" s="847"/>
      <c r="CI106" s="847"/>
      <c r="CJ106" s="847"/>
      <c r="CK106" s="847"/>
      <c r="CL106" s="847"/>
      <c r="CM106" s="847"/>
      <c r="CN106" s="847"/>
      <c r="CO106" s="847"/>
      <c r="CP106" s="847"/>
      <c r="CQ106" s="847"/>
      <c r="CR106" s="847"/>
      <c r="CS106" s="847"/>
      <c r="CT106" s="847"/>
      <c r="CU106" s="847"/>
      <c r="CV106" s="847"/>
      <c r="CW106" s="847"/>
      <c r="CX106" s="847"/>
      <c r="CY106" s="847"/>
      <c r="CZ106" s="847"/>
      <c r="DA106" s="847"/>
      <c r="DB106" s="847"/>
      <c r="DC106" s="847"/>
      <c r="DD106" s="847"/>
      <c r="DE106" s="847"/>
      <c r="DF106" s="847"/>
      <c r="DG106" s="847"/>
      <c r="DH106" s="847"/>
      <c r="DI106" s="847"/>
      <c r="DJ106" s="847"/>
      <c r="DK106" s="847"/>
      <c r="DL106" s="847"/>
      <c r="DM106" s="1212"/>
      <c r="DN106" s="1224">
        <f>DN105+DN104*15%</f>
        <v>3.4996521739130433</v>
      </c>
      <c r="DO106" s="1013">
        <f>ROUND(C106*DN106,2)</f>
        <v>0</v>
      </c>
      <c r="DP106" s="847"/>
      <c r="DQ106" s="1013"/>
      <c r="DR106" s="847">
        <f>DR105+DR104*15%</f>
        <v>1.2075</v>
      </c>
      <c r="DS106" s="1013">
        <f>ROUND(C106*DR106,2)</f>
        <v>0</v>
      </c>
      <c r="DT106" s="847">
        <f>DT105+DT104*15%</f>
        <v>0.40249999999999997</v>
      </c>
      <c r="DU106" s="1214">
        <f>ROUND(C106*DT106,2)</f>
        <v>0</v>
      </c>
      <c r="DV106" s="1244"/>
      <c r="DW106" s="1232"/>
      <c r="DX106" s="1222"/>
      <c r="DY106" s="847"/>
      <c r="DZ106" s="847"/>
      <c r="EA106" s="847"/>
      <c r="EB106" s="847"/>
      <c r="EC106" s="847"/>
      <c r="ED106" s="847"/>
      <c r="EE106" s="847"/>
      <c r="EF106" s="847"/>
      <c r="EG106" s="1212"/>
      <c r="EH106" s="847"/>
      <c r="EI106" s="1212"/>
    </row>
    <row r="107" spans="1:141" s="733" customFormat="1" ht="13.5">
      <c r="A107" s="1009">
        <v>39</v>
      </c>
      <c r="B107" s="1212" t="s">
        <v>3041</v>
      </c>
      <c r="C107" s="1213">
        <v>0</v>
      </c>
      <c r="D107" s="1013" t="s">
        <v>49</v>
      </c>
      <c r="E107" s="847"/>
      <c r="F107" s="1013"/>
      <c r="G107" s="1013"/>
      <c r="H107" s="1013"/>
      <c r="I107" s="847"/>
      <c r="J107" s="1013"/>
      <c r="K107" s="847"/>
      <c r="L107" s="1013"/>
      <c r="M107" s="847"/>
      <c r="N107" s="1013"/>
      <c r="O107" s="847"/>
      <c r="P107" s="1013"/>
      <c r="Q107" s="847"/>
      <c r="R107" s="847"/>
      <c r="S107" s="847"/>
      <c r="T107" s="847"/>
      <c r="U107" s="847"/>
      <c r="V107" s="847"/>
      <c r="W107" s="847"/>
      <c r="X107" s="847"/>
      <c r="Y107" s="847"/>
      <c r="Z107" s="847"/>
      <c r="AA107" s="847"/>
      <c r="AB107" s="847"/>
      <c r="AC107" s="847"/>
      <c r="AD107" s="847"/>
      <c r="AE107" s="847"/>
      <c r="AF107" s="847"/>
      <c r="AG107" s="847"/>
      <c r="AH107" s="847"/>
      <c r="AI107" s="847"/>
      <c r="AJ107" s="847"/>
      <c r="AK107" s="847"/>
      <c r="AL107" s="847"/>
      <c r="AM107" s="847"/>
      <c r="AN107" s="847"/>
      <c r="AO107" s="847"/>
      <c r="AP107" s="847"/>
      <c r="AQ107" s="847"/>
      <c r="AR107" s="847"/>
      <c r="AS107" s="847"/>
      <c r="AT107" s="847"/>
      <c r="AU107" s="847"/>
      <c r="AV107" s="847"/>
      <c r="AW107" s="847"/>
      <c r="AX107" s="847"/>
      <c r="AY107" s="847"/>
      <c r="AZ107" s="847"/>
      <c r="BA107" s="847"/>
      <c r="BB107" s="847"/>
      <c r="BC107" s="847"/>
      <c r="BD107" s="847"/>
      <c r="BE107" s="847"/>
      <c r="BF107" s="847"/>
      <c r="BG107" s="847"/>
      <c r="BH107" s="847"/>
      <c r="BI107" s="847"/>
      <c r="BJ107" s="847"/>
      <c r="BK107" s="847"/>
      <c r="BL107" s="847"/>
      <c r="BM107" s="847"/>
      <c r="BN107" s="847"/>
      <c r="BO107" s="847"/>
      <c r="BP107" s="847"/>
      <c r="BQ107" s="847"/>
      <c r="BR107" s="847"/>
      <c r="BS107" s="847"/>
      <c r="BT107" s="847"/>
      <c r="BU107" s="847"/>
      <c r="BV107" s="847"/>
      <c r="BW107" s="847"/>
      <c r="BX107" s="847"/>
      <c r="BY107" s="847"/>
      <c r="BZ107" s="847"/>
      <c r="CA107" s="847"/>
      <c r="CB107" s="847"/>
      <c r="CC107" s="847"/>
      <c r="CD107" s="847"/>
      <c r="CE107" s="847"/>
      <c r="CF107" s="847"/>
      <c r="CG107" s="847"/>
      <c r="CH107" s="847"/>
      <c r="CI107" s="847"/>
      <c r="CJ107" s="847"/>
      <c r="CK107" s="847"/>
      <c r="CL107" s="847"/>
      <c r="CM107" s="847"/>
      <c r="CN107" s="847"/>
      <c r="CO107" s="847"/>
      <c r="CP107" s="847"/>
      <c r="CQ107" s="847"/>
      <c r="CR107" s="847"/>
      <c r="CS107" s="847"/>
      <c r="CT107" s="847"/>
      <c r="CU107" s="847"/>
      <c r="CV107" s="847"/>
      <c r="CW107" s="847"/>
      <c r="CX107" s="847"/>
      <c r="CY107" s="847"/>
      <c r="CZ107" s="847"/>
      <c r="DA107" s="847"/>
      <c r="DB107" s="847"/>
      <c r="DC107" s="847"/>
      <c r="DD107" s="847"/>
      <c r="DE107" s="847"/>
      <c r="DF107" s="847"/>
      <c r="DG107" s="847"/>
      <c r="DH107" s="847"/>
      <c r="DI107" s="847"/>
      <c r="DJ107" s="847"/>
      <c r="DK107" s="847"/>
      <c r="DL107" s="847"/>
      <c r="DM107" s="1212"/>
      <c r="DN107" s="1222"/>
      <c r="DO107" s="1013"/>
      <c r="DP107" s="847"/>
      <c r="DQ107" s="1013"/>
      <c r="DR107" s="1225"/>
      <c r="DS107" s="1013"/>
      <c r="DT107" s="1225"/>
      <c r="DU107" s="1214"/>
      <c r="DV107" s="1242"/>
      <c r="DW107" s="1232"/>
      <c r="DX107" s="1222"/>
      <c r="DY107" s="847"/>
      <c r="DZ107" s="847"/>
      <c r="EA107" s="847"/>
      <c r="EB107" s="847"/>
      <c r="EC107" s="847"/>
      <c r="ED107" s="847"/>
      <c r="EE107" s="847"/>
      <c r="EF107" s="847"/>
      <c r="EG107" s="1212"/>
      <c r="EH107" s="847"/>
      <c r="EI107" s="1212"/>
    </row>
    <row r="108" spans="1:141" s="733" customFormat="1" ht="13.5">
      <c r="A108" s="1009"/>
      <c r="B108" s="1212" t="s">
        <v>2070</v>
      </c>
      <c r="C108" s="1213">
        <v>0</v>
      </c>
      <c r="D108" s="1013" t="s">
        <v>49</v>
      </c>
      <c r="E108" s="847"/>
      <c r="F108" s="1013"/>
      <c r="G108" s="1013">
        <f>'Lead &amp; ANALYSIS'!G2141</f>
        <v>0.28000000000000003</v>
      </c>
      <c r="H108" s="1013">
        <f>ROUND(C108*G108,2)</f>
        <v>0</v>
      </c>
      <c r="I108" s="1013">
        <f>'Lead &amp; ANALYSIS'!G2140</f>
        <v>350</v>
      </c>
      <c r="J108" s="1013">
        <f>ROUND(C108*I108,2)</f>
        <v>0</v>
      </c>
      <c r="K108" s="847">
        <f>'Lead &amp; ANALYSIS'!G2142</f>
        <v>0.67200000000000004</v>
      </c>
      <c r="L108" s="1013">
        <f>ROUND(C108*K108,2)</f>
        <v>0</v>
      </c>
      <c r="M108" s="847"/>
      <c r="N108" s="1013"/>
      <c r="O108" s="847"/>
      <c r="P108" s="1013"/>
      <c r="Q108" s="847"/>
      <c r="R108" s="847"/>
      <c r="S108" s="847"/>
      <c r="T108" s="847"/>
      <c r="U108" s="847"/>
      <c r="V108" s="847"/>
      <c r="W108" s="847"/>
      <c r="X108" s="847"/>
      <c r="Y108" s="847"/>
      <c r="Z108" s="847"/>
      <c r="AA108" s="847"/>
      <c r="AB108" s="847"/>
      <c r="AC108" s="847"/>
      <c r="AD108" s="847"/>
      <c r="AE108" s="847"/>
      <c r="AF108" s="847"/>
      <c r="AG108" s="847"/>
      <c r="AH108" s="847"/>
      <c r="AI108" s="847"/>
      <c r="AJ108" s="847"/>
      <c r="AK108" s="847"/>
      <c r="AL108" s="847"/>
      <c r="AM108" s="847"/>
      <c r="AN108" s="847"/>
      <c r="AO108" s="847"/>
      <c r="AP108" s="847"/>
      <c r="AQ108" s="847"/>
      <c r="AR108" s="847"/>
      <c r="AS108" s="847"/>
      <c r="AT108" s="847"/>
      <c r="AU108" s="847"/>
      <c r="AV108" s="847"/>
      <c r="AW108" s="847"/>
      <c r="AX108" s="847"/>
      <c r="AY108" s="847"/>
      <c r="AZ108" s="847"/>
      <c r="BA108" s="847"/>
      <c r="BB108" s="847"/>
      <c r="BC108" s="847"/>
      <c r="BD108" s="847"/>
      <c r="BE108" s="847"/>
      <c r="BF108" s="847"/>
      <c r="BG108" s="847"/>
      <c r="BH108" s="847"/>
      <c r="BI108" s="847"/>
      <c r="BJ108" s="847"/>
      <c r="BK108" s="847"/>
      <c r="BL108" s="847"/>
      <c r="BM108" s="847"/>
      <c r="BN108" s="847"/>
      <c r="BO108" s="847"/>
      <c r="BP108" s="847"/>
      <c r="BQ108" s="847"/>
      <c r="BR108" s="847"/>
      <c r="BS108" s="847"/>
      <c r="BT108" s="847"/>
      <c r="BU108" s="847"/>
      <c r="BV108" s="847"/>
      <c r="BW108" s="847"/>
      <c r="BX108" s="847"/>
      <c r="BY108" s="847"/>
      <c r="BZ108" s="847"/>
      <c r="CA108" s="847"/>
      <c r="CB108" s="847"/>
      <c r="CC108" s="847"/>
      <c r="CD108" s="847"/>
      <c r="CE108" s="847"/>
      <c r="CF108" s="847"/>
      <c r="CG108" s="847"/>
      <c r="CH108" s="847"/>
      <c r="CI108" s="847"/>
      <c r="CJ108" s="847"/>
      <c r="CK108" s="847"/>
      <c r="CL108" s="847"/>
      <c r="CM108" s="847"/>
      <c r="CN108" s="847"/>
      <c r="CO108" s="847"/>
      <c r="CP108" s="847"/>
      <c r="CQ108" s="847"/>
      <c r="CR108" s="847"/>
      <c r="CS108" s="847"/>
      <c r="CT108" s="847"/>
      <c r="CU108" s="847"/>
      <c r="CV108" s="847"/>
      <c r="CW108" s="847"/>
      <c r="CX108" s="847"/>
      <c r="CY108" s="847"/>
      <c r="CZ108" s="847"/>
      <c r="DA108" s="847"/>
      <c r="DB108" s="847"/>
      <c r="DC108" s="847"/>
      <c r="DD108" s="847"/>
      <c r="DE108" s="847"/>
      <c r="DF108" s="847"/>
      <c r="DG108" s="847"/>
      <c r="DH108" s="847"/>
      <c r="DI108" s="847"/>
      <c r="DJ108" s="847"/>
      <c r="DK108" s="847"/>
      <c r="DL108" s="847"/>
      <c r="DM108" s="1212"/>
      <c r="DN108" s="1222">
        <f>'Lead &amp; ANALYSIS'!G2147</f>
        <v>2.96</v>
      </c>
      <c r="DO108" s="1013">
        <f>ROUND(C108*DN108,2)</f>
        <v>0</v>
      </c>
      <c r="DP108" s="847"/>
      <c r="DQ108" s="1013"/>
      <c r="DR108" s="1225">
        <f>'Lead &amp; ANALYSIS'!G2146</f>
        <v>1.05</v>
      </c>
      <c r="DS108" s="1013">
        <f>ROUND(C108*DR108,2)</f>
        <v>0</v>
      </c>
      <c r="DT108" s="1225">
        <v>0.35</v>
      </c>
      <c r="DU108" s="1214">
        <f>ROUND(C108*DT108,2)</f>
        <v>0</v>
      </c>
      <c r="DV108" s="1244"/>
      <c r="DW108" s="1232"/>
      <c r="DX108" s="1222"/>
      <c r="DY108" s="847"/>
      <c r="DZ108" s="847"/>
      <c r="EA108" s="847"/>
      <c r="EB108" s="847"/>
      <c r="EC108" s="847"/>
      <c r="ED108" s="847"/>
      <c r="EE108" s="847"/>
      <c r="EF108" s="847"/>
      <c r="EG108" s="1212"/>
      <c r="EH108" s="847"/>
      <c r="EI108" s="1212"/>
    </row>
    <row r="109" spans="1:141" s="733" customFormat="1" ht="13.5">
      <c r="A109" s="1009"/>
      <c r="B109" s="1212" t="s">
        <v>2071</v>
      </c>
      <c r="C109" s="1213">
        <v>0</v>
      </c>
      <c r="D109" s="1013" t="s">
        <v>49</v>
      </c>
      <c r="E109" s="847"/>
      <c r="F109" s="1013"/>
      <c r="G109" s="1013">
        <f>G108</f>
        <v>0.28000000000000003</v>
      </c>
      <c r="H109" s="1013">
        <f>ROUND(C109*G109,2)</f>
        <v>0</v>
      </c>
      <c r="I109" s="1013">
        <f>I108</f>
        <v>350</v>
      </c>
      <c r="J109" s="1013">
        <f>ROUND(C109*I109,2)</f>
        <v>0</v>
      </c>
      <c r="K109" s="1225">
        <f>K108</f>
        <v>0.67200000000000004</v>
      </c>
      <c r="L109" s="1013">
        <f>ROUND(C109*K109,2)</f>
        <v>0</v>
      </c>
      <c r="M109" s="847"/>
      <c r="N109" s="1013"/>
      <c r="O109" s="847"/>
      <c r="P109" s="1013"/>
      <c r="Q109" s="847"/>
      <c r="R109" s="847"/>
      <c r="S109" s="847"/>
      <c r="T109" s="847"/>
      <c r="U109" s="847"/>
      <c r="V109" s="847"/>
      <c r="W109" s="847"/>
      <c r="X109" s="847"/>
      <c r="Y109" s="847"/>
      <c r="Z109" s="847"/>
      <c r="AA109" s="847"/>
      <c r="AB109" s="847"/>
      <c r="AC109" s="847"/>
      <c r="AD109" s="847"/>
      <c r="AE109" s="847"/>
      <c r="AF109" s="847"/>
      <c r="AG109" s="847"/>
      <c r="AH109" s="847"/>
      <c r="AI109" s="847"/>
      <c r="AJ109" s="847"/>
      <c r="AK109" s="847"/>
      <c r="AL109" s="847"/>
      <c r="AM109" s="847"/>
      <c r="AN109" s="847"/>
      <c r="AO109" s="847"/>
      <c r="AP109" s="847"/>
      <c r="AQ109" s="847"/>
      <c r="AR109" s="847"/>
      <c r="AS109" s="847"/>
      <c r="AT109" s="847"/>
      <c r="AU109" s="847"/>
      <c r="AV109" s="847"/>
      <c r="AW109" s="847"/>
      <c r="AX109" s="847"/>
      <c r="AY109" s="847"/>
      <c r="AZ109" s="847"/>
      <c r="BA109" s="847"/>
      <c r="BB109" s="847"/>
      <c r="BC109" s="847"/>
      <c r="BD109" s="847"/>
      <c r="BE109" s="847"/>
      <c r="BF109" s="847"/>
      <c r="BG109" s="847"/>
      <c r="BH109" s="847"/>
      <c r="BI109" s="847"/>
      <c r="BJ109" s="847"/>
      <c r="BK109" s="847"/>
      <c r="BL109" s="847"/>
      <c r="BM109" s="847"/>
      <c r="BN109" s="847"/>
      <c r="BO109" s="847"/>
      <c r="BP109" s="847"/>
      <c r="BQ109" s="847"/>
      <c r="BR109" s="847"/>
      <c r="BS109" s="847"/>
      <c r="BT109" s="847"/>
      <c r="BU109" s="847"/>
      <c r="BV109" s="847"/>
      <c r="BW109" s="847"/>
      <c r="BX109" s="847"/>
      <c r="BY109" s="847"/>
      <c r="BZ109" s="847"/>
      <c r="CA109" s="847"/>
      <c r="CB109" s="847"/>
      <c r="CC109" s="847"/>
      <c r="CD109" s="847"/>
      <c r="CE109" s="847"/>
      <c r="CF109" s="847"/>
      <c r="CG109" s="847"/>
      <c r="CH109" s="847"/>
      <c r="CI109" s="847"/>
      <c r="CJ109" s="847"/>
      <c r="CK109" s="847"/>
      <c r="CL109" s="847"/>
      <c r="CM109" s="847"/>
      <c r="CN109" s="847"/>
      <c r="CO109" s="847"/>
      <c r="CP109" s="847"/>
      <c r="CQ109" s="847"/>
      <c r="CR109" s="847"/>
      <c r="CS109" s="847"/>
      <c r="CT109" s="847"/>
      <c r="CU109" s="847"/>
      <c r="CV109" s="847"/>
      <c r="CW109" s="847"/>
      <c r="CX109" s="847"/>
      <c r="CY109" s="847"/>
      <c r="CZ109" s="847"/>
      <c r="DA109" s="847"/>
      <c r="DB109" s="847"/>
      <c r="DC109" s="847"/>
      <c r="DD109" s="847"/>
      <c r="DE109" s="847"/>
      <c r="DF109" s="847"/>
      <c r="DG109" s="847"/>
      <c r="DH109" s="847"/>
      <c r="DI109" s="847"/>
      <c r="DJ109" s="847"/>
      <c r="DK109" s="847"/>
      <c r="DL109" s="847"/>
      <c r="DM109" s="1212"/>
      <c r="DN109" s="1224">
        <f>DN108+'Lead &amp; ANALYSIS'!K2159/'Lead &amp; ANALYSIS'!L134</f>
        <v>3.0556521739130433</v>
      </c>
      <c r="DO109" s="1013">
        <f>ROUND(C109*DN109,2)</f>
        <v>0</v>
      </c>
      <c r="DP109" s="847"/>
      <c r="DQ109" s="1013"/>
      <c r="DR109" s="1225">
        <f>DR108</f>
        <v>1.05</v>
      </c>
      <c r="DS109" s="1013">
        <f>ROUND(C109*DR109,2)</f>
        <v>0</v>
      </c>
      <c r="DT109" s="1225">
        <f>DT108</f>
        <v>0.35</v>
      </c>
      <c r="DU109" s="1214">
        <f>ROUND(C109*DT109,2)</f>
        <v>0</v>
      </c>
      <c r="DV109" s="1244"/>
      <c r="DW109" s="1232"/>
      <c r="DX109" s="1222"/>
      <c r="DY109" s="847"/>
      <c r="DZ109" s="847"/>
      <c r="EA109" s="847"/>
      <c r="EB109" s="847"/>
      <c r="EC109" s="847"/>
      <c r="ED109" s="847"/>
      <c r="EE109" s="847"/>
      <c r="EF109" s="847"/>
      <c r="EG109" s="1212"/>
      <c r="EH109" s="847"/>
      <c r="EI109" s="1212"/>
    </row>
    <row r="110" spans="1:141" s="733" customFormat="1" ht="13.5">
      <c r="A110" s="1009"/>
      <c r="B110" s="1212" t="s">
        <v>2067</v>
      </c>
      <c r="C110" s="1213">
        <v>0</v>
      </c>
      <c r="D110" s="1013" t="s">
        <v>49</v>
      </c>
      <c r="E110" s="847"/>
      <c r="F110" s="1013"/>
      <c r="G110" s="1013">
        <f>G108</f>
        <v>0.28000000000000003</v>
      </c>
      <c r="H110" s="1013">
        <f>ROUND(C110*G110,2)</f>
        <v>0</v>
      </c>
      <c r="I110" s="1013">
        <f>I108</f>
        <v>350</v>
      </c>
      <c r="J110" s="1013">
        <f>ROUND(C110*I110,2)</f>
        <v>0</v>
      </c>
      <c r="K110" s="847">
        <f>K108</f>
        <v>0.67200000000000004</v>
      </c>
      <c r="L110" s="1013">
        <f>ROUND(C110*K110,2)</f>
        <v>0</v>
      </c>
      <c r="M110" s="847"/>
      <c r="N110" s="1013"/>
      <c r="O110" s="847"/>
      <c r="P110" s="1013"/>
      <c r="Q110" s="847"/>
      <c r="R110" s="847"/>
      <c r="S110" s="847"/>
      <c r="T110" s="847"/>
      <c r="U110" s="847"/>
      <c r="V110" s="847"/>
      <c r="W110" s="847"/>
      <c r="X110" s="847"/>
      <c r="Y110" s="847"/>
      <c r="Z110" s="847"/>
      <c r="AA110" s="847"/>
      <c r="AB110" s="847"/>
      <c r="AC110" s="847"/>
      <c r="AD110" s="847"/>
      <c r="AE110" s="847"/>
      <c r="AF110" s="847"/>
      <c r="AG110" s="847"/>
      <c r="AH110" s="847"/>
      <c r="AI110" s="847"/>
      <c r="AJ110" s="847"/>
      <c r="AK110" s="847"/>
      <c r="AL110" s="847"/>
      <c r="AM110" s="847"/>
      <c r="AN110" s="847"/>
      <c r="AO110" s="847"/>
      <c r="AP110" s="847"/>
      <c r="AQ110" s="847"/>
      <c r="AR110" s="847"/>
      <c r="AS110" s="847"/>
      <c r="AT110" s="847"/>
      <c r="AU110" s="847"/>
      <c r="AV110" s="847"/>
      <c r="AW110" s="847"/>
      <c r="AX110" s="847"/>
      <c r="AY110" s="847"/>
      <c r="AZ110" s="847"/>
      <c r="BA110" s="847"/>
      <c r="BB110" s="847"/>
      <c r="BC110" s="847"/>
      <c r="BD110" s="847"/>
      <c r="BE110" s="847"/>
      <c r="BF110" s="847"/>
      <c r="BG110" s="847"/>
      <c r="BH110" s="847"/>
      <c r="BI110" s="847"/>
      <c r="BJ110" s="847"/>
      <c r="BK110" s="847"/>
      <c r="BL110" s="847"/>
      <c r="BM110" s="847"/>
      <c r="BN110" s="847"/>
      <c r="BO110" s="847"/>
      <c r="BP110" s="847"/>
      <c r="BQ110" s="847"/>
      <c r="BR110" s="847"/>
      <c r="BS110" s="847"/>
      <c r="BT110" s="847"/>
      <c r="BU110" s="847"/>
      <c r="BV110" s="847"/>
      <c r="BW110" s="847"/>
      <c r="BX110" s="847"/>
      <c r="BY110" s="847"/>
      <c r="BZ110" s="847"/>
      <c r="CA110" s="847"/>
      <c r="CB110" s="847"/>
      <c r="CC110" s="847"/>
      <c r="CD110" s="847"/>
      <c r="CE110" s="847"/>
      <c r="CF110" s="847"/>
      <c r="CG110" s="847"/>
      <c r="CH110" s="847"/>
      <c r="CI110" s="847"/>
      <c r="CJ110" s="847"/>
      <c r="CK110" s="847"/>
      <c r="CL110" s="847"/>
      <c r="CM110" s="847"/>
      <c r="CN110" s="847"/>
      <c r="CO110" s="847"/>
      <c r="CP110" s="847"/>
      <c r="CQ110" s="847"/>
      <c r="CR110" s="847"/>
      <c r="CS110" s="847"/>
      <c r="CT110" s="847"/>
      <c r="CU110" s="847"/>
      <c r="CV110" s="847"/>
      <c r="CW110" s="847"/>
      <c r="CX110" s="847"/>
      <c r="CY110" s="847"/>
      <c r="CZ110" s="847"/>
      <c r="DA110" s="847"/>
      <c r="DB110" s="847"/>
      <c r="DC110" s="847"/>
      <c r="DD110" s="847"/>
      <c r="DE110" s="847"/>
      <c r="DF110" s="847"/>
      <c r="DG110" s="847"/>
      <c r="DH110" s="847"/>
      <c r="DI110" s="847"/>
      <c r="DJ110" s="847"/>
      <c r="DK110" s="847"/>
      <c r="DL110" s="847"/>
      <c r="DM110" s="1212"/>
      <c r="DN110" s="1222">
        <f>DN109+DN108*15%</f>
        <v>3.4996521739130433</v>
      </c>
      <c r="DO110" s="1013">
        <f>ROUND(C110*DN110,2)</f>
        <v>0</v>
      </c>
      <c r="DP110" s="847"/>
      <c r="DQ110" s="1013"/>
      <c r="DR110" s="847">
        <f>DR109+DR108*15%</f>
        <v>1.2075</v>
      </c>
      <c r="DS110" s="1013">
        <f>ROUND(C110*DR110,2)</f>
        <v>0</v>
      </c>
      <c r="DT110" s="847">
        <f>DT109+DT108*15%</f>
        <v>0.40249999999999997</v>
      </c>
      <c r="DU110" s="1214">
        <f>ROUND(C110*DT110,2)</f>
        <v>0</v>
      </c>
      <c r="DV110" s="1244"/>
      <c r="DW110" s="1232"/>
      <c r="DX110" s="1222"/>
      <c r="DY110" s="847"/>
      <c r="DZ110" s="847"/>
      <c r="EA110" s="847"/>
      <c r="EB110" s="847"/>
      <c r="EC110" s="847"/>
      <c r="ED110" s="847"/>
      <c r="EE110" s="847"/>
      <c r="EF110" s="847"/>
      <c r="EG110" s="1212"/>
      <c r="EH110" s="847"/>
      <c r="EI110" s="1212"/>
    </row>
    <row r="111" spans="1:141" s="733" customFormat="1" ht="13.5">
      <c r="A111" s="1009">
        <v>41</v>
      </c>
      <c r="B111" s="1212" t="s">
        <v>1596</v>
      </c>
      <c r="C111" s="1213">
        <v>0</v>
      </c>
      <c r="D111" s="1013" t="s">
        <v>49</v>
      </c>
      <c r="E111" s="847"/>
      <c r="F111" s="1013"/>
      <c r="G111" s="1013"/>
      <c r="H111" s="1013"/>
      <c r="I111" s="847"/>
      <c r="J111" s="1013"/>
      <c r="K111" s="847"/>
      <c r="L111" s="1013"/>
      <c r="M111" s="847"/>
      <c r="N111" s="1013"/>
      <c r="O111" s="847"/>
      <c r="P111" s="1013"/>
      <c r="Q111" s="847"/>
      <c r="R111" s="847"/>
      <c r="S111" s="847"/>
      <c r="T111" s="847"/>
      <c r="U111" s="847"/>
      <c r="V111" s="847"/>
      <c r="W111" s="847"/>
      <c r="X111" s="847"/>
      <c r="Y111" s="847"/>
      <c r="Z111" s="847"/>
      <c r="AA111" s="847"/>
      <c r="AB111" s="847"/>
      <c r="AC111" s="847"/>
      <c r="AD111" s="847"/>
      <c r="AE111" s="847"/>
      <c r="AF111" s="847"/>
      <c r="AG111" s="847"/>
      <c r="AH111" s="847"/>
      <c r="AI111" s="847"/>
      <c r="AJ111" s="847"/>
      <c r="AK111" s="847"/>
      <c r="AL111" s="847"/>
      <c r="AM111" s="847"/>
      <c r="AN111" s="847"/>
      <c r="AO111" s="847"/>
      <c r="AP111" s="847"/>
      <c r="AQ111" s="847"/>
      <c r="AR111" s="847"/>
      <c r="AS111" s="847"/>
      <c r="AT111" s="847"/>
      <c r="AU111" s="847"/>
      <c r="AV111" s="847"/>
      <c r="AW111" s="847"/>
      <c r="AX111" s="847"/>
      <c r="AY111" s="847"/>
      <c r="AZ111" s="847"/>
      <c r="BA111" s="847"/>
      <c r="BB111" s="847"/>
      <c r="BC111" s="847"/>
      <c r="BD111" s="847"/>
      <c r="BE111" s="847"/>
      <c r="BF111" s="847"/>
      <c r="BG111" s="847"/>
      <c r="BH111" s="847"/>
      <c r="BI111" s="847"/>
      <c r="BJ111" s="847"/>
      <c r="BK111" s="847"/>
      <c r="BL111" s="847"/>
      <c r="BM111" s="847"/>
      <c r="BN111" s="847"/>
      <c r="BO111" s="847"/>
      <c r="BP111" s="847"/>
      <c r="BQ111" s="847"/>
      <c r="BR111" s="847"/>
      <c r="BS111" s="847"/>
      <c r="BT111" s="847"/>
      <c r="BU111" s="847"/>
      <c r="BV111" s="847"/>
      <c r="BW111" s="847"/>
      <c r="BX111" s="847"/>
      <c r="BY111" s="847"/>
      <c r="BZ111" s="847"/>
      <c r="CA111" s="847"/>
      <c r="CB111" s="847"/>
      <c r="CC111" s="847"/>
      <c r="CD111" s="847"/>
      <c r="CE111" s="847"/>
      <c r="CF111" s="847"/>
      <c r="CG111" s="847"/>
      <c r="CH111" s="847"/>
      <c r="CI111" s="847"/>
      <c r="CJ111" s="847"/>
      <c r="CK111" s="847"/>
      <c r="CL111" s="847"/>
      <c r="CM111" s="847"/>
      <c r="CN111" s="847"/>
      <c r="CO111" s="847"/>
      <c r="CP111" s="847"/>
      <c r="CQ111" s="847"/>
      <c r="CR111" s="847"/>
      <c r="CS111" s="847"/>
      <c r="CT111" s="847"/>
      <c r="CU111" s="847"/>
      <c r="CV111" s="847"/>
      <c r="CW111" s="847"/>
      <c r="CX111" s="847"/>
      <c r="CY111" s="847"/>
      <c r="CZ111" s="847"/>
      <c r="DA111" s="847"/>
      <c r="DB111" s="847"/>
      <c r="DC111" s="847"/>
      <c r="DD111" s="847"/>
      <c r="DE111" s="847"/>
      <c r="DF111" s="847"/>
      <c r="DG111" s="847"/>
      <c r="DH111" s="847"/>
      <c r="DI111" s="847"/>
      <c r="DJ111" s="847"/>
      <c r="DK111" s="847"/>
      <c r="DL111" s="847"/>
      <c r="DM111" s="1212"/>
      <c r="DN111" s="1222"/>
      <c r="DO111" s="1013"/>
      <c r="DP111" s="847"/>
      <c r="DQ111" s="1013"/>
      <c r="DR111" s="1225"/>
      <c r="DS111" s="1013"/>
      <c r="DT111" s="1225"/>
      <c r="DU111" s="1214"/>
      <c r="DV111" s="1242"/>
      <c r="DW111" s="1232"/>
      <c r="DX111" s="1222"/>
      <c r="DY111" s="847"/>
      <c r="DZ111" s="847"/>
      <c r="EA111" s="847"/>
      <c r="EB111" s="847"/>
      <c r="EC111" s="847"/>
      <c r="ED111" s="847"/>
      <c r="EE111" s="847"/>
      <c r="EF111" s="847"/>
      <c r="EG111" s="1212"/>
      <c r="EH111" s="847"/>
      <c r="EI111" s="1212"/>
    </row>
    <row r="112" spans="1:141" s="733" customFormat="1" ht="13.5">
      <c r="A112" s="1009"/>
      <c r="B112" s="1212" t="s">
        <v>2070</v>
      </c>
      <c r="C112" s="1213">
        <v>0</v>
      </c>
      <c r="D112" s="1013" t="s">
        <v>49</v>
      </c>
      <c r="E112" s="847"/>
      <c r="F112" s="1013"/>
      <c r="G112" s="1013">
        <f>'Lead &amp; ANALYSIS'!G2227</f>
        <v>0.28000000000000003</v>
      </c>
      <c r="H112" s="1013">
        <f>ROUND(C112*G112,2)</f>
        <v>0</v>
      </c>
      <c r="I112" s="1013">
        <f>'Lead &amp; ANALYSIS'!G2226</f>
        <v>350</v>
      </c>
      <c r="J112" s="1013">
        <f>ROUND(C112*I112,2)</f>
        <v>0</v>
      </c>
      <c r="K112" s="847">
        <f>'Lead &amp; ANALYSIS'!G2228</f>
        <v>0.67200000000000004</v>
      </c>
      <c r="L112" s="1013">
        <f>ROUND(C112*K112,2)</f>
        <v>0</v>
      </c>
      <c r="M112" s="847"/>
      <c r="N112" s="1013"/>
      <c r="O112" s="847"/>
      <c r="P112" s="1013"/>
      <c r="Q112" s="847"/>
      <c r="R112" s="847"/>
      <c r="S112" s="847"/>
      <c r="T112" s="847"/>
      <c r="U112" s="847"/>
      <c r="V112" s="847"/>
      <c r="W112" s="847"/>
      <c r="X112" s="847"/>
      <c r="Y112" s="847"/>
      <c r="Z112" s="847"/>
      <c r="AA112" s="847"/>
      <c r="AB112" s="847"/>
      <c r="AC112" s="847"/>
      <c r="AD112" s="847"/>
      <c r="AE112" s="847"/>
      <c r="AF112" s="847"/>
      <c r="AG112" s="847"/>
      <c r="AH112" s="847"/>
      <c r="AI112" s="847"/>
      <c r="AJ112" s="847"/>
      <c r="AK112" s="847"/>
      <c r="AL112" s="847"/>
      <c r="AM112" s="847"/>
      <c r="AN112" s="847"/>
      <c r="AO112" s="847"/>
      <c r="AP112" s="847"/>
      <c r="AQ112" s="847"/>
      <c r="AR112" s="847"/>
      <c r="AS112" s="847"/>
      <c r="AT112" s="847"/>
      <c r="AU112" s="847"/>
      <c r="AV112" s="847"/>
      <c r="AW112" s="847"/>
      <c r="AX112" s="847"/>
      <c r="AY112" s="847"/>
      <c r="AZ112" s="847"/>
      <c r="BA112" s="847"/>
      <c r="BB112" s="847"/>
      <c r="BC112" s="847"/>
      <c r="BD112" s="847"/>
      <c r="BE112" s="847"/>
      <c r="BF112" s="847"/>
      <c r="BG112" s="847"/>
      <c r="BH112" s="847"/>
      <c r="BI112" s="847"/>
      <c r="BJ112" s="847"/>
      <c r="BK112" s="847"/>
      <c r="BL112" s="847"/>
      <c r="BM112" s="847"/>
      <c r="BN112" s="847"/>
      <c r="BO112" s="847"/>
      <c r="BP112" s="847"/>
      <c r="BQ112" s="847"/>
      <c r="BR112" s="847"/>
      <c r="BS112" s="847"/>
      <c r="BT112" s="847"/>
      <c r="BU112" s="847"/>
      <c r="BV112" s="847"/>
      <c r="BW112" s="847"/>
      <c r="BX112" s="847"/>
      <c r="BY112" s="847"/>
      <c r="BZ112" s="847"/>
      <c r="CA112" s="847"/>
      <c r="CB112" s="847"/>
      <c r="CC112" s="847"/>
      <c r="CD112" s="847"/>
      <c r="CE112" s="847"/>
      <c r="CF112" s="847"/>
      <c r="CG112" s="847"/>
      <c r="CH112" s="847"/>
      <c r="CI112" s="847"/>
      <c r="CJ112" s="847"/>
      <c r="CK112" s="847"/>
      <c r="CL112" s="847"/>
      <c r="CM112" s="847"/>
      <c r="CN112" s="847"/>
      <c r="CO112" s="847"/>
      <c r="CP112" s="847"/>
      <c r="CQ112" s="847"/>
      <c r="CR112" s="847"/>
      <c r="CS112" s="847"/>
      <c r="CT112" s="847"/>
      <c r="CU112" s="847"/>
      <c r="CV112" s="847"/>
      <c r="CW112" s="847"/>
      <c r="CX112" s="847"/>
      <c r="CY112" s="847"/>
      <c r="CZ112" s="847"/>
      <c r="DA112" s="847"/>
      <c r="DB112" s="847"/>
      <c r="DC112" s="847"/>
      <c r="DD112" s="847"/>
      <c r="DE112" s="847"/>
      <c r="DF112" s="847"/>
      <c r="DG112" s="847"/>
      <c r="DH112" s="847"/>
      <c r="DI112" s="847"/>
      <c r="DJ112" s="847"/>
      <c r="DK112" s="847"/>
      <c r="DL112" s="847"/>
      <c r="DM112" s="1212"/>
      <c r="DN112" s="1222">
        <f>'Lead &amp; ANALYSIS'!G2233</f>
        <v>2.96</v>
      </c>
      <c r="DO112" s="1013">
        <f>ROUND(C112*DN112,2)</f>
        <v>0</v>
      </c>
      <c r="DP112" s="847"/>
      <c r="DQ112" s="1013"/>
      <c r="DR112" s="1225">
        <f>'Lead &amp; ANALYSIS'!G2232</f>
        <v>1.05</v>
      </c>
      <c r="DS112" s="1013">
        <f>ROUND(C112*DR112,2)</f>
        <v>0</v>
      </c>
      <c r="DT112" s="1225">
        <v>0.35</v>
      </c>
      <c r="DU112" s="1214">
        <f>ROUND(C112*DT112,2)</f>
        <v>0</v>
      </c>
      <c r="DV112" s="1244"/>
      <c r="DW112" s="1232"/>
      <c r="DX112" s="1222"/>
      <c r="DY112" s="847"/>
      <c r="DZ112" s="847"/>
      <c r="EA112" s="847"/>
      <c r="EB112" s="847"/>
      <c r="EC112" s="847"/>
      <c r="ED112" s="847"/>
      <c r="EE112" s="847"/>
      <c r="EF112" s="847"/>
      <c r="EG112" s="1212"/>
      <c r="EH112" s="847"/>
      <c r="EI112" s="1212"/>
    </row>
    <row r="113" spans="1:139" s="733" customFormat="1" ht="13.5">
      <c r="A113" s="1009"/>
      <c r="B113" s="1212" t="s">
        <v>2071</v>
      </c>
      <c r="C113" s="1213">
        <v>0</v>
      </c>
      <c r="D113" s="1013" t="s">
        <v>49</v>
      </c>
      <c r="E113" s="847"/>
      <c r="F113" s="1013"/>
      <c r="G113" s="1013">
        <f>G112</f>
        <v>0.28000000000000003</v>
      </c>
      <c r="H113" s="1013">
        <f>ROUND(C113*G113,2)</f>
        <v>0</v>
      </c>
      <c r="I113" s="1013">
        <f>I112</f>
        <v>350</v>
      </c>
      <c r="J113" s="1013">
        <f>ROUND(C113*I113,2)</f>
        <v>0</v>
      </c>
      <c r="K113" s="1225">
        <f>K112</f>
        <v>0.67200000000000004</v>
      </c>
      <c r="L113" s="1013">
        <f>ROUND(C113*K113,2)</f>
        <v>0</v>
      </c>
      <c r="M113" s="847"/>
      <c r="N113" s="1013"/>
      <c r="O113" s="847"/>
      <c r="P113" s="1013"/>
      <c r="Q113" s="847"/>
      <c r="R113" s="847"/>
      <c r="S113" s="847"/>
      <c r="T113" s="847"/>
      <c r="U113" s="847"/>
      <c r="V113" s="847"/>
      <c r="W113" s="847"/>
      <c r="X113" s="847"/>
      <c r="Y113" s="847"/>
      <c r="Z113" s="847"/>
      <c r="AA113" s="847"/>
      <c r="AB113" s="847"/>
      <c r="AC113" s="847"/>
      <c r="AD113" s="847"/>
      <c r="AE113" s="847"/>
      <c r="AF113" s="847"/>
      <c r="AG113" s="847"/>
      <c r="AH113" s="847"/>
      <c r="AI113" s="847"/>
      <c r="AJ113" s="847"/>
      <c r="AK113" s="847"/>
      <c r="AL113" s="847"/>
      <c r="AM113" s="847"/>
      <c r="AN113" s="847"/>
      <c r="AO113" s="847"/>
      <c r="AP113" s="847"/>
      <c r="AQ113" s="847"/>
      <c r="AR113" s="847"/>
      <c r="AS113" s="847"/>
      <c r="AT113" s="847"/>
      <c r="AU113" s="847"/>
      <c r="AV113" s="847"/>
      <c r="AW113" s="847"/>
      <c r="AX113" s="847"/>
      <c r="AY113" s="847"/>
      <c r="AZ113" s="847"/>
      <c r="BA113" s="847"/>
      <c r="BB113" s="847"/>
      <c r="BC113" s="847"/>
      <c r="BD113" s="847"/>
      <c r="BE113" s="847"/>
      <c r="BF113" s="847"/>
      <c r="BG113" s="847"/>
      <c r="BH113" s="847"/>
      <c r="BI113" s="847"/>
      <c r="BJ113" s="847"/>
      <c r="BK113" s="847"/>
      <c r="BL113" s="847"/>
      <c r="BM113" s="847"/>
      <c r="BN113" s="847"/>
      <c r="BO113" s="847"/>
      <c r="BP113" s="847"/>
      <c r="BQ113" s="847"/>
      <c r="BR113" s="847"/>
      <c r="BS113" s="847"/>
      <c r="BT113" s="847"/>
      <c r="BU113" s="847"/>
      <c r="BV113" s="847"/>
      <c r="BW113" s="847"/>
      <c r="BX113" s="847"/>
      <c r="BY113" s="847"/>
      <c r="BZ113" s="847"/>
      <c r="CA113" s="847"/>
      <c r="CB113" s="847"/>
      <c r="CC113" s="847"/>
      <c r="CD113" s="847"/>
      <c r="CE113" s="847"/>
      <c r="CF113" s="847"/>
      <c r="CG113" s="847"/>
      <c r="CH113" s="847"/>
      <c r="CI113" s="847"/>
      <c r="CJ113" s="847"/>
      <c r="CK113" s="847"/>
      <c r="CL113" s="847"/>
      <c r="CM113" s="847"/>
      <c r="CN113" s="847"/>
      <c r="CO113" s="847"/>
      <c r="CP113" s="847"/>
      <c r="CQ113" s="847"/>
      <c r="CR113" s="847"/>
      <c r="CS113" s="847"/>
      <c r="CT113" s="847"/>
      <c r="CU113" s="847"/>
      <c r="CV113" s="847"/>
      <c r="CW113" s="847"/>
      <c r="CX113" s="847"/>
      <c r="CY113" s="847"/>
      <c r="CZ113" s="847"/>
      <c r="DA113" s="847"/>
      <c r="DB113" s="847"/>
      <c r="DC113" s="847"/>
      <c r="DD113" s="847"/>
      <c r="DE113" s="847"/>
      <c r="DF113" s="847"/>
      <c r="DG113" s="847"/>
      <c r="DH113" s="847"/>
      <c r="DI113" s="847"/>
      <c r="DJ113" s="847"/>
      <c r="DK113" s="847"/>
      <c r="DL113" s="847"/>
      <c r="DM113" s="1212"/>
      <c r="DN113" s="1224">
        <f>DN112+'Lead &amp; ANALYSIS'!K2247/'Lead &amp; ANALYSIS'!L134</f>
        <v>3.0556521739130433</v>
      </c>
      <c r="DO113" s="1013">
        <f>ROUND(C113*DN113,2)</f>
        <v>0</v>
      </c>
      <c r="DP113" s="847"/>
      <c r="DQ113" s="1013"/>
      <c r="DR113" s="1225">
        <f>DR112</f>
        <v>1.05</v>
      </c>
      <c r="DS113" s="1013">
        <f>ROUND(C113*DR113,2)</f>
        <v>0</v>
      </c>
      <c r="DT113" s="1225">
        <f>DT112</f>
        <v>0.35</v>
      </c>
      <c r="DU113" s="1214">
        <f>ROUND(C113*DT113,2)</f>
        <v>0</v>
      </c>
      <c r="DV113" s="1242"/>
      <c r="DW113" s="1232"/>
      <c r="DX113" s="1222"/>
      <c r="DY113" s="847"/>
      <c r="DZ113" s="847"/>
      <c r="EA113" s="847"/>
      <c r="EB113" s="847"/>
      <c r="EC113" s="847"/>
      <c r="ED113" s="847"/>
      <c r="EE113" s="847"/>
      <c r="EF113" s="847"/>
      <c r="EG113" s="1212"/>
      <c r="EH113" s="847"/>
      <c r="EI113" s="1212"/>
    </row>
    <row r="114" spans="1:139" s="733" customFormat="1" ht="13.5">
      <c r="A114" s="1009"/>
      <c r="B114" s="1212" t="s">
        <v>2067</v>
      </c>
      <c r="C114" s="1213">
        <v>0</v>
      </c>
      <c r="D114" s="1013" t="s">
        <v>49</v>
      </c>
      <c r="E114" s="847"/>
      <c r="F114" s="1013"/>
      <c r="G114" s="1013">
        <f>G112</f>
        <v>0.28000000000000003</v>
      </c>
      <c r="H114" s="1013">
        <f>ROUND(C114*G114,2)</f>
        <v>0</v>
      </c>
      <c r="I114" s="1013">
        <f>I112</f>
        <v>350</v>
      </c>
      <c r="J114" s="1013">
        <f>ROUND(C114*I114,2)</f>
        <v>0</v>
      </c>
      <c r="K114" s="847">
        <f>K112</f>
        <v>0.67200000000000004</v>
      </c>
      <c r="L114" s="1013">
        <f>ROUND(C114*K114,2)</f>
        <v>0</v>
      </c>
      <c r="M114" s="847"/>
      <c r="N114" s="1013"/>
      <c r="O114" s="847"/>
      <c r="P114" s="1013"/>
      <c r="Q114" s="847"/>
      <c r="R114" s="847"/>
      <c r="S114" s="847"/>
      <c r="T114" s="847"/>
      <c r="U114" s="847"/>
      <c r="V114" s="847"/>
      <c r="W114" s="847"/>
      <c r="X114" s="847"/>
      <c r="Y114" s="847"/>
      <c r="Z114" s="847"/>
      <c r="AA114" s="847"/>
      <c r="AB114" s="847"/>
      <c r="AC114" s="847"/>
      <c r="AD114" s="847"/>
      <c r="AE114" s="847"/>
      <c r="AF114" s="847"/>
      <c r="AG114" s="847"/>
      <c r="AH114" s="847"/>
      <c r="AI114" s="847"/>
      <c r="AJ114" s="847"/>
      <c r="AK114" s="847"/>
      <c r="AL114" s="847"/>
      <c r="AM114" s="847"/>
      <c r="AN114" s="847"/>
      <c r="AO114" s="847"/>
      <c r="AP114" s="847"/>
      <c r="AQ114" s="847"/>
      <c r="AR114" s="847"/>
      <c r="AS114" s="847"/>
      <c r="AT114" s="847"/>
      <c r="AU114" s="847"/>
      <c r="AV114" s="847"/>
      <c r="AW114" s="847"/>
      <c r="AX114" s="847"/>
      <c r="AY114" s="847"/>
      <c r="AZ114" s="847"/>
      <c r="BA114" s="847"/>
      <c r="BB114" s="847"/>
      <c r="BC114" s="847"/>
      <c r="BD114" s="847"/>
      <c r="BE114" s="847"/>
      <c r="BF114" s="847"/>
      <c r="BG114" s="847"/>
      <c r="BH114" s="847"/>
      <c r="BI114" s="847"/>
      <c r="BJ114" s="847"/>
      <c r="BK114" s="847"/>
      <c r="BL114" s="847"/>
      <c r="BM114" s="847"/>
      <c r="BN114" s="847"/>
      <c r="BO114" s="847"/>
      <c r="BP114" s="847"/>
      <c r="BQ114" s="847"/>
      <c r="BR114" s="847"/>
      <c r="BS114" s="847"/>
      <c r="BT114" s="847"/>
      <c r="BU114" s="847"/>
      <c r="BV114" s="847"/>
      <c r="BW114" s="847"/>
      <c r="BX114" s="847"/>
      <c r="BY114" s="847"/>
      <c r="BZ114" s="847"/>
      <c r="CA114" s="847"/>
      <c r="CB114" s="847"/>
      <c r="CC114" s="847"/>
      <c r="CD114" s="847"/>
      <c r="CE114" s="847"/>
      <c r="CF114" s="847"/>
      <c r="CG114" s="847"/>
      <c r="CH114" s="847"/>
      <c r="CI114" s="847"/>
      <c r="CJ114" s="847"/>
      <c r="CK114" s="847"/>
      <c r="CL114" s="847"/>
      <c r="CM114" s="847"/>
      <c r="CN114" s="847"/>
      <c r="CO114" s="847"/>
      <c r="CP114" s="847"/>
      <c r="CQ114" s="847"/>
      <c r="CR114" s="847"/>
      <c r="CS114" s="847"/>
      <c r="CT114" s="847"/>
      <c r="CU114" s="847"/>
      <c r="CV114" s="847"/>
      <c r="CW114" s="847"/>
      <c r="CX114" s="847"/>
      <c r="CY114" s="847"/>
      <c r="CZ114" s="847"/>
      <c r="DA114" s="847"/>
      <c r="DB114" s="847"/>
      <c r="DC114" s="847"/>
      <c r="DD114" s="847"/>
      <c r="DE114" s="847"/>
      <c r="DF114" s="847"/>
      <c r="DG114" s="847"/>
      <c r="DH114" s="847"/>
      <c r="DI114" s="847"/>
      <c r="DJ114" s="847"/>
      <c r="DK114" s="847"/>
      <c r="DL114" s="847"/>
      <c r="DM114" s="1212"/>
      <c r="DN114" s="1222">
        <f>DN113+DN112*15%</f>
        <v>3.4996521739130433</v>
      </c>
      <c r="DO114" s="1013">
        <f>ROUND(C114*DN114,2)</f>
        <v>0</v>
      </c>
      <c r="DP114" s="847"/>
      <c r="DQ114" s="1013"/>
      <c r="DR114" s="847">
        <f>DR113+DR112*15%</f>
        <v>1.2075</v>
      </c>
      <c r="DS114" s="1013">
        <f>ROUND(C114*DR114,2)</f>
        <v>0</v>
      </c>
      <c r="DT114" s="847">
        <f>DT113+DT112*15%</f>
        <v>0.40249999999999997</v>
      </c>
      <c r="DU114" s="1214">
        <f>ROUND(C114*DT114,2)</f>
        <v>0</v>
      </c>
      <c r="DV114" s="1244"/>
      <c r="DW114" s="1232"/>
      <c r="DX114" s="1222"/>
      <c r="DY114" s="847"/>
      <c r="DZ114" s="847"/>
      <c r="EA114" s="847"/>
      <c r="EB114" s="847"/>
      <c r="EC114" s="847"/>
      <c r="ED114" s="847"/>
      <c r="EE114" s="847"/>
      <c r="EF114" s="847"/>
      <c r="EG114" s="1212"/>
      <c r="EH114" s="847"/>
      <c r="EI114" s="1212"/>
    </row>
    <row r="115" spans="1:139" s="733" customFormat="1" ht="13.5">
      <c r="A115" s="1009">
        <v>42</v>
      </c>
      <c r="B115" s="1212" t="s">
        <v>1593</v>
      </c>
      <c r="C115" s="1213">
        <v>0</v>
      </c>
      <c r="D115" s="1013" t="s">
        <v>49</v>
      </c>
      <c r="E115" s="847"/>
      <c r="F115" s="1013"/>
      <c r="G115" s="1013"/>
      <c r="H115" s="1013"/>
      <c r="I115" s="847"/>
      <c r="J115" s="1013"/>
      <c r="K115" s="847"/>
      <c r="L115" s="1013"/>
      <c r="M115" s="847"/>
      <c r="N115" s="1013"/>
      <c r="O115" s="847"/>
      <c r="P115" s="1013"/>
      <c r="Q115" s="847"/>
      <c r="R115" s="847"/>
      <c r="S115" s="847"/>
      <c r="T115" s="847"/>
      <c r="U115" s="847"/>
      <c r="V115" s="847"/>
      <c r="W115" s="847"/>
      <c r="X115" s="847"/>
      <c r="Y115" s="847"/>
      <c r="Z115" s="847"/>
      <c r="AA115" s="847"/>
      <c r="AB115" s="847"/>
      <c r="AC115" s="847"/>
      <c r="AD115" s="847"/>
      <c r="AE115" s="847"/>
      <c r="AF115" s="847"/>
      <c r="AG115" s="847"/>
      <c r="AH115" s="847"/>
      <c r="AI115" s="847"/>
      <c r="AJ115" s="847"/>
      <c r="AK115" s="847"/>
      <c r="AL115" s="847"/>
      <c r="AM115" s="847"/>
      <c r="AN115" s="847"/>
      <c r="AO115" s="847"/>
      <c r="AP115" s="847"/>
      <c r="AQ115" s="847"/>
      <c r="AR115" s="847"/>
      <c r="AS115" s="847"/>
      <c r="AT115" s="847"/>
      <c r="AU115" s="847"/>
      <c r="AV115" s="847"/>
      <c r="AW115" s="847"/>
      <c r="AX115" s="847"/>
      <c r="AY115" s="847"/>
      <c r="AZ115" s="847"/>
      <c r="BA115" s="847"/>
      <c r="BB115" s="847"/>
      <c r="BC115" s="847"/>
      <c r="BD115" s="847"/>
      <c r="BE115" s="847"/>
      <c r="BF115" s="847"/>
      <c r="BG115" s="847"/>
      <c r="BH115" s="847"/>
      <c r="BI115" s="847"/>
      <c r="BJ115" s="847"/>
      <c r="BK115" s="847"/>
      <c r="BL115" s="847"/>
      <c r="BM115" s="847"/>
      <c r="BN115" s="847"/>
      <c r="BO115" s="847"/>
      <c r="BP115" s="847"/>
      <c r="BQ115" s="847"/>
      <c r="BR115" s="847"/>
      <c r="BS115" s="847"/>
      <c r="BT115" s="847"/>
      <c r="BU115" s="847"/>
      <c r="BV115" s="847"/>
      <c r="BW115" s="847"/>
      <c r="BX115" s="847"/>
      <c r="BY115" s="847"/>
      <c r="BZ115" s="847"/>
      <c r="CA115" s="847"/>
      <c r="CB115" s="847"/>
      <c r="CC115" s="847"/>
      <c r="CD115" s="847"/>
      <c r="CE115" s="847"/>
      <c r="CF115" s="847"/>
      <c r="CG115" s="847"/>
      <c r="CH115" s="847"/>
      <c r="CI115" s="847"/>
      <c r="CJ115" s="847"/>
      <c r="CK115" s="847"/>
      <c r="CL115" s="847"/>
      <c r="CM115" s="847"/>
      <c r="CN115" s="847"/>
      <c r="CO115" s="847"/>
      <c r="CP115" s="847"/>
      <c r="CQ115" s="847"/>
      <c r="CR115" s="847"/>
      <c r="CS115" s="847"/>
      <c r="CT115" s="847"/>
      <c r="CU115" s="847"/>
      <c r="CV115" s="847"/>
      <c r="CW115" s="847"/>
      <c r="CX115" s="847"/>
      <c r="CY115" s="847"/>
      <c r="CZ115" s="847"/>
      <c r="DA115" s="847"/>
      <c r="DB115" s="847"/>
      <c r="DC115" s="847"/>
      <c r="DD115" s="847"/>
      <c r="DE115" s="847"/>
      <c r="DF115" s="847"/>
      <c r="DG115" s="847"/>
      <c r="DH115" s="847"/>
      <c r="DI115" s="847"/>
      <c r="DJ115" s="847"/>
      <c r="DK115" s="847"/>
      <c r="DL115" s="847"/>
      <c r="DM115" s="1212"/>
      <c r="DN115" s="1222"/>
      <c r="DO115" s="1013"/>
      <c r="DP115" s="847"/>
      <c r="DQ115" s="1013"/>
      <c r="DR115" s="1225"/>
      <c r="DS115" s="1013"/>
      <c r="DT115" s="1225"/>
      <c r="DU115" s="1214"/>
      <c r="DV115" s="1242"/>
      <c r="DW115" s="1232"/>
      <c r="DX115" s="1222"/>
      <c r="DY115" s="847"/>
      <c r="DZ115" s="847"/>
      <c r="EA115" s="847"/>
      <c r="EB115" s="847"/>
      <c r="EC115" s="847"/>
      <c r="ED115" s="847"/>
      <c r="EE115" s="847"/>
      <c r="EF115" s="847"/>
      <c r="EG115" s="1212"/>
      <c r="EH115" s="847"/>
      <c r="EI115" s="1212"/>
    </row>
    <row r="116" spans="1:139" s="733" customFormat="1" ht="13.5">
      <c r="A116" s="1009"/>
      <c r="B116" s="1212" t="s">
        <v>2070</v>
      </c>
      <c r="C116" s="1213">
        <v>0</v>
      </c>
      <c r="D116" s="1013" t="s">
        <v>49</v>
      </c>
      <c r="E116" s="847"/>
      <c r="F116" s="1013"/>
      <c r="G116" s="1013">
        <f>'Lead &amp; ANALYSIS'!G2280</f>
        <v>0.24</v>
      </c>
      <c r="H116" s="1013">
        <f t="shared" ref="H116:H124" si="2">ROUND(C116*G116,2)</f>
        <v>0</v>
      </c>
      <c r="I116" s="1013"/>
      <c r="J116" s="1013"/>
      <c r="K116" s="847">
        <f>'Lead &amp; ANALYSIS'!G2281</f>
        <v>0.57199999999999995</v>
      </c>
      <c r="L116" s="1013">
        <f t="shared" ref="L116:L124" si="3">ROUND(C116*K116,2)</f>
        <v>0</v>
      </c>
      <c r="M116" s="847"/>
      <c r="N116" s="1013"/>
      <c r="O116" s="847"/>
      <c r="P116" s="1013"/>
      <c r="Q116" s="847"/>
      <c r="R116" s="847"/>
      <c r="S116" s="847"/>
      <c r="T116" s="847"/>
      <c r="U116" s="847"/>
      <c r="V116" s="847"/>
      <c r="W116" s="847"/>
      <c r="X116" s="847"/>
      <c r="Y116" s="847"/>
      <c r="Z116" s="847"/>
      <c r="AA116" s="847"/>
      <c r="AB116" s="847"/>
      <c r="AC116" s="1013">
        <f>'Lead &amp; ANALYSIS'!G2279</f>
        <v>1</v>
      </c>
      <c r="AD116" s="1013">
        <f t="shared" ref="AD116:AD121" si="4">ROUND(C116*AC116,2)</f>
        <v>0</v>
      </c>
      <c r="AE116" s="847"/>
      <c r="AF116" s="847"/>
      <c r="AG116" s="847"/>
      <c r="AH116" s="847"/>
      <c r="AI116" s="847"/>
      <c r="AJ116" s="847"/>
      <c r="AK116" s="847"/>
      <c r="AL116" s="847"/>
      <c r="AM116" s="847"/>
      <c r="AN116" s="847"/>
      <c r="AO116" s="847"/>
      <c r="AP116" s="847"/>
      <c r="AQ116" s="847"/>
      <c r="AR116" s="847"/>
      <c r="AS116" s="847"/>
      <c r="AT116" s="847"/>
      <c r="AU116" s="847"/>
      <c r="AV116" s="847"/>
      <c r="AW116" s="847"/>
      <c r="AX116" s="847"/>
      <c r="AY116" s="847"/>
      <c r="AZ116" s="847"/>
      <c r="BA116" s="847"/>
      <c r="BB116" s="847"/>
      <c r="BC116" s="847"/>
      <c r="BD116" s="847"/>
      <c r="BE116" s="847"/>
      <c r="BF116" s="847"/>
      <c r="BG116" s="847"/>
      <c r="BH116" s="847"/>
      <c r="BI116" s="847"/>
      <c r="BJ116" s="847"/>
      <c r="BK116" s="847"/>
      <c r="BL116" s="847"/>
      <c r="BM116" s="847"/>
      <c r="BN116" s="847"/>
      <c r="BO116" s="847"/>
      <c r="BP116" s="847"/>
      <c r="BQ116" s="847"/>
      <c r="BR116" s="847"/>
      <c r="BS116" s="847"/>
      <c r="BT116" s="847"/>
      <c r="BU116" s="847"/>
      <c r="BV116" s="847"/>
      <c r="BW116" s="847"/>
      <c r="BX116" s="847"/>
      <c r="BY116" s="847"/>
      <c r="BZ116" s="847"/>
      <c r="CA116" s="847"/>
      <c r="CB116" s="847"/>
      <c r="CC116" s="847"/>
      <c r="CD116" s="847"/>
      <c r="CE116" s="847"/>
      <c r="CF116" s="847"/>
      <c r="CG116" s="847"/>
      <c r="CH116" s="847"/>
      <c r="CI116" s="847"/>
      <c r="CJ116" s="847"/>
      <c r="CK116" s="847"/>
      <c r="CL116" s="847"/>
      <c r="CM116" s="847"/>
      <c r="CN116" s="847"/>
      <c r="CO116" s="847"/>
      <c r="CP116" s="847"/>
      <c r="CQ116" s="847"/>
      <c r="CR116" s="847"/>
      <c r="CS116" s="847"/>
      <c r="CT116" s="847"/>
      <c r="CU116" s="847"/>
      <c r="CV116" s="847"/>
      <c r="CW116" s="847"/>
      <c r="CX116" s="847"/>
      <c r="CY116" s="847"/>
      <c r="CZ116" s="847"/>
      <c r="DA116" s="847"/>
      <c r="DB116" s="847"/>
      <c r="DC116" s="847"/>
      <c r="DD116" s="847"/>
      <c r="DE116" s="847"/>
      <c r="DF116" s="847"/>
      <c r="DG116" s="847"/>
      <c r="DH116" s="847"/>
      <c r="DI116" s="847"/>
      <c r="DJ116" s="847"/>
      <c r="DK116" s="847"/>
      <c r="DL116" s="847"/>
      <c r="DM116" s="1212"/>
      <c r="DN116" s="1222">
        <f>'Lead &amp; ANALYSIS'!G2288</f>
        <v>1.21</v>
      </c>
      <c r="DO116" s="1013">
        <f t="shared" ref="DO116:DO125" si="5">ROUND(C116*DN116,2)</f>
        <v>0</v>
      </c>
      <c r="DP116" s="847">
        <f>'Lead &amp; ANALYSIS'!G2285</f>
        <v>1.41</v>
      </c>
      <c r="DQ116" s="1013">
        <f t="shared" ref="DQ116:DQ121" si="6">ROUND(C116*DP116,2)</f>
        <v>0</v>
      </c>
      <c r="DR116" s="1225">
        <f>'Lead &amp; ANALYSIS'!G2287</f>
        <v>1.05</v>
      </c>
      <c r="DS116" s="1013">
        <f t="shared" ref="DS116:DS123" si="7">ROUND(C116*DR116,2)</f>
        <v>0</v>
      </c>
      <c r="DT116" s="1225">
        <f>'Lead &amp; ANALYSIS'!G2284+'Lead &amp; ANALYSIS'!G2286</f>
        <v>2.2949999999999999</v>
      </c>
      <c r="DU116" s="1214">
        <f t="shared" ref="DU116:DU124" si="8">ROUND(C116*DT116,2)</f>
        <v>0</v>
      </c>
      <c r="DV116" s="1244"/>
      <c r="DW116" s="1232"/>
      <c r="DX116" s="1222"/>
      <c r="DY116" s="847"/>
      <c r="DZ116" s="847"/>
      <c r="EA116" s="847"/>
      <c r="EB116" s="847"/>
      <c r="EC116" s="847"/>
      <c r="ED116" s="847"/>
      <c r="EE116" s="847"/>
      <c r="EF116" s="847"/>
      <c r="EG116" s="1212"/>
      <c r="EH116" s="847"/>
      <c r="EI116" s="1212"/>
    </row>
    <row r="117" spans="1:139" s="733" customFormat="1" ht="13.5">
      <c r="A117" s="1009"/>
      <c r="B117" s="1212" t="s">
        <v>2071</v>
      </c>
      <c r="C117" s="1213">
        <v>0</v>
      </c>
      <c r="D117" s="1013" t="s">
        <v>49</v>
      </c>
      <c r="E117" s="847"/>
      <c r="F117" s="1013"/>
      <c r="G117" s="1013">
        <f>G116</f>
        <v>0.24</v>
      </c>
      <c r="H117" s="1013">
        <f t="shared" si="2"/>
        <v>0</v>
      </c>
      <c r="I117" s="1013"/>
      <c r="J117" s="1013"/>
      <c r="K117" s="1225">
        <f>K116</f>
        <v>0.57199999999999995</v>
      </c>
      <c r="L117" s="1013">
        <f t="shared" si="3"/>
        <v>0</v>
      </c>
      <c r="M117" s="847"/>
      <c r="N117" s="1013"/>
      <c r="O117" s="847"/>
      <c r="P117" s="1013"/>
      <c r="Q117" s="847"/>
      <c r="R117" s="847"/>
      <c r="S117" s="847"/>
      <c r="T117" s="847"/>
      <c r="U117" s="847"/>
      <c r="V117" s="847"/>
      <c r="W117" s="847"/>
      <c r="X117" s="847"/>
      <c r="Y117" s="847"/>
      <c r="Z117" s="847"/>
      <c r="AA117" s="847"/>
      <c r="AB117" s="847"/>
      <c r="AC117" s="1013">
        <f>AC116</f>
        <v>1</v>
      </c>
      <c r="AD117" s="1013">
        <f t="shared" si="4"/>
        <v>0</v>
      </c>
      <c r="AE117" s="847"/>
      <c r="AF117" s="847"/>
      <c r="AG117" s="847"/>
      <c r="AH117" s="847"/>
      <c r="AI117" s="847"/>
      <c r="AJ117" s="847"/>
      <c r="AK117" s="847"/>
      <c r="AL117" s="847"/>
      <c r="AM117" s="847"/>
      <c r="AN117" s="847"/>
      <c r="AO117" s="847"/>
      <c r="AP117" s="847"/>
      <c r="AQ117" s="847"/>
      <c r="AR117" s="847"/>
      <c r="AS117" s="847"/>
      <c r="AT117" s="847"/>
      <c r="AU117" s="847"/>
      <c r="AV117" s="847"/>
      <c r="AW117" s="847"/>
      <c r="AX117" s="847"/>
      <c r="AY117" s="847"/>
      <c r="AZ117" s="847"/>
      <c r="BA117" s="847"/>
      <c r="BB117" s="847"/>
      <c r="BC117" s="847"/>
      <c r="BD117" s="847"/>
      <c r="BE117" s="847"/>
      <c r="BF117" s="847"/>
      <c r="BG117" s="847"/>
      <c r="BH117" s="847"/>
      <c r="BI117" s="847"/>
      <c r="BJ117" s="847"/>
      <c r="BK117" s="847"/>
      <c r="BL117" s="847"/>
      <c r="BM117" s="847"/>
      <c r="BN117" s="847"/>
      <c r="BO117" s="847"/>
      <c r="BP117" s="847"/>
      <c r="BQ117" s="847"/>
      <c r="BR117" s="847"/>
      <c r="BS117" s="847"/>
      <c r="BT117" s="847"/>
      <c r="BU117" s="847"/>
      <c r="BV117" s="847"/>
      <c r="BW117" s="847"/>
      <c r="BX117" s="847"/>
      <c r="BY117" s="847"/>
      <c r="BZ117" s="847"/>
      <c r="CA117" s="847"/>
      <c r="CB117" s="847"/>
      <c r="CC117" s="847"/>
      <c r="CD117" s="847"/>
      <c r="CE117" s="847"/>
      <c r="CF117" s="847"/>
      <c r="CG117" s="847"/>
      <c r="CH117" s="847"/>
      <c r="CI117" s="847"/>
      <c r="CJ117" s="847"/>
      <c r="CK117" s="847"/>
      <c r="CL117" s="847"/>
      <c r="CM117" s="847"/>
      <c r="CN117" s="847"/>
      <c r="CO117" s="847"/>
      <c r="CP117" s="847"/>
      <c r="CQ117" s="847"/>
      <c r="CR117" s="847"/>
      <c r="CS117" s="847"/>
      <c r="CT117" s="847"/>
      <c r="CU117" s="847"/>
      <c r="CV117" s="847"/>
      <c r="CW117" s="847"/>
      <c r="CX117" s="847"/>
      <c r="CY117" s="847"/>
      <c r="CZ117" s="847"/>
      <c r="DA117" s="847"/>
      <c r="DB117" s="847"/>
      <c r="DC117" s="847"/>
      <c r="DD117" s="847"/>
      <c r="DE117" s="847"/>
      <c r="DF117" s="847"/>
      <c r="DG117" s="847"/>
      <c r="DH117" s="847"/>
      <c r="DI117" s="847"/>
      <c r="DJ117" s="847"/>
      <c r="DK117" s="847"/>
      <c r="DL117" s="847"/>
      <c r="DM117" s="1212"/>
      <c r="DN117" s="1231">
        <f>DN116+ROUND('Lead &amp; ANALYSIS'!K2301/'Lead &amp; ANALYSIS'!L134,4)</f>
        <v>1.3313999999999999</v>
      </c>
      <c r="DO117" s="1013">
        <f t="shared" si="5"/>
        <v>0</v>
      </c>
      <c r="DP117" s="847">
        <f>DP116</f>
        <v>1.41</v>
      </c>
      <c r="DQ117" s="1013">
        <f t="shared" si="6"/>
        <v>0</v>
      </c>
      <c r="DR117" s="1225">
        <f>DR116</f>
        <v>1.05</v>
      </c>
      <c r="DS117" s="1013">
        <f t="shared" si="7"/>
        <v>0</v>
      </c>
      <c r="DT117" s="1225">
        <f>DT116</f>
        <v>2.2949999999999999</v>
      </c>
      <c r="DU117" s="1214">
        <f t="shared" si="8"/>
        <v>0</v>
      </c>
      <c r="DV117" s="1242"/>
      <c r="DW117" s="1214"/>
      <c r="DX117" s="1222"/>
      <c r="DY117" s="847"/>
      <c r="DZ117" s="847"/>
      <c r="EA117" s="847"/>
      <c r="EB117" s="847"/>
      <c r="EC117" s="847"/>
      <c r="ED117" s="847"/>
      <c r="EE117" s="847"/>
      <c r="EF117" s="847"/>
      <c r="EG117" s="1212"/>
      <c r="EH117" s="847"/>
      <c r="EI117" s="1212"/>
    </row>
    <row r="118" spans="1:139" s="733" customFormat="1" ht="13.5">
      <c r="A118" s="1009"/>
      <c r="B118" s="1212" t="s">
        <v>2067</v>
      </c>
      <c r="C118" s="1213">
        <v>0</v>
      </c>
      <c r="D118" s="1013" t="s">
        <v>49</v>
      </c>
      <c r="E118" s="847"/>
      <c r="F118" s="1013"/>
      <c r="G118" s="1013">
        <f>G116</f>
        <v>0.24</v>
      </c>
      <c r="H118" s="1013">
        <f t="shared" si="2"/>
        <v>0</v>
      </c>
      <c r="I118" s="1013"/>
      <c r="J118" s="1013"/>
      <c r="K118" s="847">
        <f>K116</f>
        <v>0.57199999999999995</v>
      </c>
      <c r="L118" s="1013">
        <f t="shared" si="3"/>
        <v>0</v>
      </c>
      <c r="M118" s="847"/>
      <c r="N118" s="1013"/>
      <c r="O118" s="847"/>
      <c r="P118" s="1013"/>
      <c r="Q118" s="847"/>
      <c r="R118" s="847"/>
      <c r="S118" s="847"/>
      <c r="T118" s="847"/>
      <c r="U118" s="847"/>
      <c r="V118" s="847"/>
      <c r="W118" s="847"/>
      <c r="X118" s="847"/>
      <c r="Y118" s="847"/>
      <c r="Z118" s="847"/>
      <c r="AA118" s="847"/>
      <c r="AB118" s="847"/>
      <c r="AC118" s="1013">
        <f>AC117</f>
        <v>1</v>
      </c>
      <c r="AD118" s="1013">
        <f t="shared" si="4"/>
        <v>0</v>
      </c>
      <c r="AE118" s="847"/>
      <c r="AF118" s="847"/>
      <c r="AG118" s="847"/>
      <c r="AH118" s="847"/>
      <c r="AI118" s="847"/>
      <c r="AJ118" s="847"/>
      <c r="AK118" s="847"/>
      <c r="AL118" s="847"/>
      <c r="AM118" s="847"/>
      <c r="AN118" s="847"/>
      <c r="AO118" s="847"/>
      <c r="AP118" s="847"/>
      <c r="AQ118" s="847"/>
      <c r="AR118" s="847"/>
      <c r="AS118" s="847"/>
      <c r="AT118" s="847"/>
      <c r="AU118" s="847"/>
      <c r="AV118" s="847"/>
      <c r="AW118" s="847"/>
      <c r="AX118" s="847"/>
      <c r="AY118" s="847"/>
      <c r="AZ118" s="847"/>
      <c r="BA118" s="847"/>
      <c r="BB118" s="847"/>
      <c r="BC118" s="847"/>
      <c r="BD118" s="847"/>
      <c r="BE118" s="847"/>
      <c r="BF118" s="847"/>
      <c r="BG118" s="847"/>
      <c r="BH118" s="847"/>
      <c r="BI118" s="847"/>
      <c r="BJ118" s="847"/>
      <c r="BK118" s="847"/>
      <c r="BL118" s="847"/>
      <c r="BM118" s="847"/>
      <c r="BN118" s="847"/>
      <c r="BO118" s="847"/>
      <c r="BP118" s="847"/>
      <c r="BQ118" s="847"/>
      <c r="BR118" s="847"/>
      <c r="BS118" s="847"/>
      <c r="BT118" s="847"/>
      <c r="BU118" s="847"/>
      <c r="BV118" s="847"/>
      <c r="BW118" s="847"/>
      <c r="BX118" s="847"/>
      <c r="BY118" s="847"/>
      <c r="BZ118" s="847"/>
      <c r="CA118" s="847"/>
      <c r="CB118" s="847"/>
      <c r="CC118" s="847"/>
      <c r="CD118" s="847"/>
      <c r="CE118" s="847"/>
      <c r="CF118" s="847"/>
      <c r="CG118" s="847"/>
      <c r="CH118" s="847"/>
      <c r="CI118" s="847"/>
      <c r="CJ118" s="847"/>
      <c r="CK118" s="847"/>
      <c r="CL118" s="847"/>
      <c r="CM118" s="847"/>
      <c r="CN118" s="847"/>
      <c r="CO118" s="847"/>
      <c r="CP118" s="847"/>
      <c r="CQ118" s="847"/>
      <c r="CR118" s="847"/>
      <c r="CS118" s="847"/>
      <c r="CT118" s="847"/>
      <c r="CU118" s="847"/>
      <c r="CV118" s="847"/>
      <c r="CW118" s="847"/>
      <c r="CX118" s="847"/>
      <c r="CY118" s="847"/>
      <c r="CZ118" s="847"/>
      <c r="DA118" s="847"/>
      <c r="DB118" s="847"/>
      <c r="DC118" s="847"/>
      <c r="DD118" s="847"/>
      <c r="DE118" s="847"/>
      <c r="DF118" s="847"/>
      <c r="DG118" s="847"/>
      <c r="DH118" s="847"/>
      <c r="DI118" s="847"/>
      <c r="DJ118" s="847"/>
      <c r="DK118" s="847"/>
      <c r="DL118" s="847"/>
      <c r="DM118" s="1212"/>
      <c r="DN118" s="1222">
        <f>DN117+DN116*15%</f>
        <v>1.5128999999999999</v>
      </c>
      <c r="DO118" s="1013">
        <f t="shared" si="5"/>
        <v>0</v>
      </c>
      <c r="DP118" s="847">
        <f>DP117+DP116*15%</f>
        <v>1.6214999999999999</v>
      </c>
      <c r="DQ118" s="1013">
        <f t="shared" si="6"/>
        <v>0</v>
      </c>
      <c r="DR118" s="847">
        <f>DR117+DR116*15%</f>
        <v>1.2075</v>
      </c>
      <c r="DS118" s="1013">
        <f t="shared" si="7"/>
        <v>0</v>
      </c>
      <c r="DT118" s="847">
        <f>DT117+DT116*15%</f>
        <v>2.6392500000000001</v>
      </c>
      <c r="DU118" s="1214">
        <f t="shared" si="8"/>
        <v>0</v>
      </c>
      <c r="DV118" s="1244"/>
      <c r="DW118" s="1214"/>
      <c r="DX118" s="1222"/>
      <c r="DY118" s="847"/>
      <c r="DZ118" s="847"/>
      <c r="EA118" s="847"/>
      <c r="EB118" s="847"/>
      <c r="EC118" s="847"/>
      <c r="ED118" s="847"/>
      <c r="EE118" s="847"/>
      <c r="EF118" s="847"/>
      <c r="EG118" s="1212"/>
      <c r="EH118" s="847"/>
      <c r="EI118" s="1212"/>
    </row>
    <row r="119" spans="1:139" s="733" customFormat="1" ht="13.5">
      <c r="A119" s="1009" t="s">
        <v>201</v>
      </c>
      <c r="B119" s="1245" t="s">
        <v>444</v>
      </c>
      <c r="C119" s="1213">
        <v>0</v>
      </c>
      <c r="D119" s="1013" t="s">
        <v>49</v>
      </c>
      <c r="E119" s="847"/>
      <c r="F119" s="1013"/>
      <c r="G119" s="1013"/>
      <c r="H119" s="1013"/>
      <c r="I119" s="1013"/>
      <c r="J119" s="1013"/>
      <c r="K119" s="847"/>
      <c r="L119" s="1013"/>
      <c r="M119" s="847"/>
      <c r="N119" s="1013"/>
      <c r="O119" s="847"/>
      <c r="P119" s="1013"/>
      <c r="Q119" s="847"/>
      <c r="R119" s="847"/>
      <c r="S119" s="847"/>
      <c r="T119" s="847"/>
      <c r="U119" s="847"/>
      <c r="V119" s="847"/>
      <c r="W119" s="847"/>
      <c r="X119" s="847"/>
      <c r="Y119" s="847"/>
      <c r="Z119" s="847"/>
      <c r="AA119" s="847"/>
      <c r="AB119" s="847"/>
      <c r="AC119" s="1013">
        <f>AC118</f>
        <v>1</v>
      </c>
      <c r="AD119" s="1013">
        <f t="shared" si="4"/>
        <v>0</v>
      </c>
      <c r="AE119" s="847"/>
      <c r="AF119" s="847"/>
      <c r="AG119" s="847"/>
      <c r="AH119" s="847"/>
      <c r="AI119" s="847"/>
      <c r="AJ119" s="847"/>
      <c r="AK119" s="847"/>
      <c r="AL119" s="847"/>
      <c r="AM119" s="847"/>
      <c r="AN119" s="847"/>
      <c r="AO119" s="847"/>
      <c r="AP119" s="847"/>
      <c r="AQ119" s="847"/>
      <c r="AR119" s="847"/>
      <c r="AS119" s="847"/>
      <c r="AT119" s="847"/>
      <c r="AU119" s="847"/>
      <c r="AV119" s="847"/>
      <c r="AW119" s="847"/>
      <c r="AX119" s="847"/>
      <c r="AY119" s="847"/>
      <c r="AZ119" s="847"/>
      <c r="BA119" s="847"/>
      <c r="BB119" s="847"/>
      <c r="BC119" s="847"/>
      <c r="BD119" s="847"/>
      <c r="BE119" s="847"/>
      <c r="BF119" s="847"/>
      <c r="BG119" s="847"/>
      <c r="BH119" s="847"/>
      <c r="BI119" s="847"/>
      <c r="BJ119" s="847"/>
      <c r="BK119" s="847"/>
      <c r="BL119" s="847"/>
      <c r="BM119" s="847"/>
      <c r="BN119" s="847"/>
      <c r="BO119" s="847"/>
      <c r="BP119" s="847"/>
      <c r="BQ119" s="847"/>
      <c r="BR119" s="847"/>
      <c r="BS119" s="847"/>
      <c r="BT119" s="847"/>
      <c r="BU119" s="847"/>
      <c r="BV119" s="847"/>
      <c r="BW119" s="847"/>
      <c r="BX119" s="847"/>
      <c r="BY119" s="847"/>
      <c r="BZ119" s="847"/>
      <c r="CA119" s="847"/>
      <c r="CB119" s="847"/>
      <c r="CC119" s="847"/>
      <c r="CD119" s="847"/>
      <c r="CE119" s="847"/>
      <c r="CF119" s="847"/>
      <c r="CG119" s="847"/>
      <c r="CH119" s="847"/>
      <c r="CI119" s="847"/>
      <c r="CJ119" s="847"/>
      <c r="CK119" s="847"/>
      <c r="CL119" s="847"/>
      <c r="CM119" s="847"/>
      <c r="CN119" s="847"/>
      <c r="CO119" s="847"/>
      <c r="CP119" s="847"/>
      <c r="CQ119" s="847"/>
      <c r="CR119" s="847"/>
      <c r="CS119" s="847"/>
      <c r="CT119" s="847"/>
      <c r="CU119" s="847"/>
      <c r="CV119" s="847"/>
      <c r="CW119" s="847"/>
      <c r="CX119" s="847"/>
      <c r="CY119" s="847"/>
      <c r="CZ119" s="847"/>
      <c r="DA119" s="847"/>
      <c r="DB119" s="847"/>
      <c r="DC119" s="847"/>
      <c r="DD119" s="847"/>
      <c r="DE119" s="847"/>
      <c r="DF119" s="847"/>
      <c r="DG119" s="847"/>
      <c r="DH119" s="847"/>
      <c r="DI119" s="847"/>
      <c r="DJ119" s="847"/>
      <c r="DK119" s="847"/>
      <c r="DL119" s="847"/>
      <c r="DM119" s="1212"/>
      <c r="DN119" s="1222">
        <f>DN116+'Lead &amp; ANALYSIS'!K2324/'Lead &amp; ANALYSIS'!L134</f>
        <v>1.4178260869565218</v>
      </c>
      <c r="DO119" s="1013">
        <f t="shared" si="5"/>
        <v>0</v>
      </c>
      <c r="DP119" s="847">
        <f>DP117</f>
        <v>1.41</v>
      </c>
      <c r="DQ119" s="1013">
        <f t="shared" si="6"/>
        <v>0</v>
      </c>
      <c r="DR119" s="1225">
        <f>DR117</f>
        <v>1.05</v>
      </c>
      <c r="DS119" s="1013">
        <f t="shared" si="7"/>
        <v>0</v>
      </c>
      <c r="DT119" s="1225">
        <f>DT117</f>
        <v>2.2949999999999999</v>
      </c>
      <c r="DU119" s="1214">
        <f t="shared" si="8"/>
        <v>0</v>
      </c>
      <c r="DV119" s="1246"/>
      <c r="DW119" s="1214"/>
      <c r="DX119" s="1222"/>
      <c r="DY119" s="847"/>
      <c r="DZ119" s="847"/>
      <c r="EA119" s="847"/>
      <c r="EB119" s="847"/>
      <c r="EC119" s="847"/>
      <c r="ED119" s="847"/>
      <c r="EE119" s="847"/>
      <c r="EF119" s="847"/>
      <c r="EG119" s="1212"/>
      <c r="EH119" s="847"/>
      <c r="EI119" s="1212"/>
    </row>
    <row r="120" spans="1:139" s="733" customFormat="1" ht="13.5">
      <c r="A120" s="1009" t="s">
        <v>220</v>
      </c>
      <c r="B120" s="1245" t="s">
        <v>446</v>
      </c>
      <c r="C120" s="1213">
        <v>0</v>
      </c>
      <c r="D120" s="1013" t="s">
        <v>49</v>
      </c>
      <c r="E120" s="847"/>
      <c r="F120" s="1013"/>
      <c r="G120" s="1013"/>
      <c r="H120" s="1013"/>
      <c r="I120" s="1013"/>
      <c r="J120" s="1013"/>
      <c r="K120" s="847"/>
      <c r="L120" s="1013"/>
      <c r="M120" s="847"/>
      <c r="N120" s="1013"/>
      <c r="O120" s="847"/>
      <c r="P120" s="1013"/>
      <c r="Q120" s="847"/>
      <c r="R120" s="847"/>
      <c r="S120" s="847"/>
      <c r="T120" s="847"/>
      <c r="U120" s="847"/>
      <c r="V120" s="847"/>
      <c r="W120" s="847"/>
      <c r="X120" s="847"/>
      <c r="Y120" s="847"/>
      <c r="Z120" s="847"/>
      <c r="AA120" s="847"/>
      <c r="AB120" s="847"/>
      <c r="AC120" s="1013">
        <f>AC119</f>
        <v>1</v>
      </c>
      <c r="AD120" s="1013">
        <f t="shared" si="4"/>
        <v>0</v>
      </c>
      <c r="AE120" s="847"/>
      <c r="AF120" s="847"/>
      <c r="AG120" s="847"/>
      <c r="AH120" s="847"/>
      <c r="AI120" s="847"/>
      <c r="AJ120" s="847"/>
      <c r="AK120" s="847"/>
      <c r="AL120" s="847"/>
      <c r="AM120" s="847"/>
      <c r="AN120" s="847"/>
      <c r="AO120" s="847"/>
      <c r="AP120" s="847"/>
      <c r="AQ120" s="847"/>
      <c r="AR120" s="847"/>
      <c r="AS120" s="847"/>
      <c r="AT120" s="847"/>
      <c r="AU120" s="847"/>
      <c r="AV120" s="847"/>
      <c r="AW120" s="847"/>
      <c r="AX120" s="847"/>
      <c r="AY120" s="847"/>
      <c r="AZ120" s="847"/>
      <c r="BA120" s="847"/>
      <c r="BB120" s="847"/>
      <c r="BC120" s="847"/>
      <c r="BD120" s="847"/>
      <c r="BE120" s="847"/>
      <c r="BF120" s="847"/>
      <c r="BG120" s="847"/>
      <c r="BH120" s="847"/>
      <c r="BI120" s="847"/>
      <c r="BJ120" s="847"/>
      <c r="BK120" s="847"/>
      <c r="BL120" s="847"/>
      <c r="BM120" s="847"/>
      <c r="BN120" s="847"/>
      <c r="BO120" s="847"/>
      <c r="BP120" s="847"/>
      <c r="BQ120" s="847"/>
      <c r="BR120" s="847"/>
      <c r="BS120" s="847"/>
      <c r="BT120" s="847"/>
      <c r="BU120" s="847"/>
      <c r="BV120" s="847"/>
      <c r="BW120" s="847"/>
      <c r="BX120" s="847"/>
      <c r="BY120" s="847"/>
      <c r="BZ120" s="847"/>
      <c r="CA120" s="847"/>
      <c r="CB120" s="847"/>
      <c r="CC120" s="847"/>
      <c r="CD120" s="847"/>
      <c r="CE120" s="847"/>
      <c r="CF120" s="847"/>
      <c r="CG120" s="847"/>
      <c r="CH120" s="847"/>
      <c r="CI120" s="847"/>
      <c r="CJ120" s="847"/>
      <c r="CK120" s="847"/>
      <c r="CL120" s="847"/>
      <c r="CM120" s="847"/>
      <c r="CN120" s="847"/>
      <c r="CO120" s="847"/>
      <c r="CP120" s="847"/>
      <c r="CQ120" s="847"/>
      <c r="CR120" s="847"/>
      <c r="CS120" s="847"/>
      <c r="CT120" s="847"/>
      <c r="CU120" s="847"/>
      <c r="CV120" s="847"/>
      <c r="CW120" s="847"/>
      <c r="CX120" s="847"/>
      <c r="CY120" s="847"/>
      <c r="CZ120" s="847"/>
      <c r="DA120" s="847"/>
      <c r="DB120" s="847"/>
      <c r="DC120" s="847"/>
      <c r="DD120" s="847"/>
      <c r="DE120" s="847"/>
      <c r="DF120" s="847"/>
      <c r="DG120" s="847"/>
      <c r="DH120" s="847"/>
      <c r="DI120" s="847"/>
      <c r="DJ120" s="847"/>
      <c r="DK120" s="847"/>
      <c r="DL120" s="847"/>
      <c r="DM120" s="1212"/>
      <c r="DN120" s="1222">
        <f>DN119+DN116*15%</f>
        <v>1.5993260869565218</v>
      </c>
      <c r="DO120" s="1013">
        <f t="shared" si="5"/>
        <v>0</v>
      </c>
      <c r="DP120" s="847">
        <f>DP119+DP116*15%</f>
        <v>1.6214999999999999</v>
      </c>
      <c r="DQ120" s="1013">
        <f t="shared" si="6"/>
        <v>0</v>
      </c>
      <c r="DR120" s="847">
        <f>DR119+DR116*15%</f>
        <v>1.2075</v>
      </c>
      <c r="DS120" s="1013">
        <f t="shared" si="7"/>
        <v>0</v>
      </c>
      <c r="DT120" s="847">
        <f>DT119+DT116*15%</f>
        <v>2.6392500000000001</v>
      </c>
      <c r="DU120" s="1214">
        <f t="shared" si="8"/>
        <v>0</v>
      </c>
      <c r="DV120" s="1246"/>
      <c r="DW120" s="1214"/>
      <c r="DX120" s="1222"/>
      <c r="DY120" s="847"/>
      <c r="DZ120" s="847"/>
      <c r="EA120" s="847"/>
      <c r="EB120" s="847"/>
      <c r="EC120" s="847"/>
      <c r="ED120" s="847"/>
      <c r="EE120" s="847"/>
      <c r="EF120" s="847"/>
      <c r="EG120" s="1212"/>
      <c r="EH120" s="847"/>
      <c r="EI120" s="1212"/>
    </row>
    <row r="121" spans="1:139" s="733" customFormat="1" ht="13.5">
      <c r="A121" s="1009" t="s">
        <v>244</v>
      </c>
      <c r="B121" s="1245" t="s">
        <v>448</v>
      </c>
      <c r="C121" s="1213">
        <v>0</v>
      </c>
      <c r="D121" s="1013" t="s">
        <v>49</v>
      </c>
      <c r="E121" s="847"/>
      <c r="F121" s="1013"/>
      <c r="G121" s="1013"/>
      <c r="H121" s="1013"/>
      <c r="I121" s="1013"/>
      <c r="J121" s="1013"/>
      <c r="K121" s="847"/>
      <c r="L121" s="1013"/>
      <c r="M121" s="847"/>
      <c r="N121" s="1013"/>
      <c r="O121" s="847"/>
      <c r="P121" s="1013"/>
      <c r="Q121" s="847"/>
      <c r="R121" s="847"/>
      <c r="S121" s="847"/>
      <c r="T121" s="847"/>
      <c r="U121" s="847"/>
      <c r="V121" s="847"/>
      <c r="W121" s="847"/>
      <c r="X121" s="847"/>
      <c r="Y121" s="847"/>
      <c r="Z121" s="847"/>
      <c r="AA121" s="847"/>
      <c r="AB121" s="847"/>
      <c r="AC121" s="1013">
        <f>AC120</f>
        <v>1</v>
      </c>
      <c r="AD121" s="1013">
        <f t="shared" si="4"/>
        <v>0</v>
      </c>
      <c r="AE121" s="847"/>
      <c r="AF121" s="847"/>
      <c r="AG121" s="847"/>
      <c r="AH121" s="847"/>
      <c r="AI121" s="847"/>
      <c r="AJ121" s="847"/>
      <c r="AK121" s="847"/>
      <c r="AL121" s="847"/>
      <c r="AM121" s="847"/>
      <c r="AN121" s="847"/>
      <c r="AO121" s="847"/>
      <c r="AP121" s="847"/>
      <c r="AQ121" s="847"/>
      <c r="AR121" s="847"/>
      <c r="AS121" s="847"/>
      <c r="AT121" s="847"/>
      <c r="AU121" s="847"/>
      <c r="AV121" s="847"/>
      <c r="AW121" s="847"/>
      <c r="AX121" s="847"/>
      <c r="AY121" s="847"/>
      <c r="AZ121" s="847"/>
      <c r="BA121" s="847"/>
      <c r="BB121" s="847"/>
      <c r="BC121" s="847"/>
      <c r="BD121" s="847"/>
      <c r="BE121" s="847"/>
      <c r="BF121" s="847"/>
      <c r="BG121" s="847"/>
      <c r="BH121" s="847"/>
      <c r="BI121" s="847"/>
      <c r="BJ121" s="847"/>
      <c r="BK121" s="847"/>
      <c r="BL121" s="847"/>
      <c r="BM121" s="847"/>
      <c r="BN121" s="847"/>
      <c r="BO121" s="847"/>
      <c r="BP121" s="847"/>
      <c r="BQ121" s="847"/>
      <c r="BR121" s="847"/>
      <c r="BS121" s="847"/>
      <c r="BT121" s="847"/>
      <c r="BU121" s="847"/>
      <c r="BV121" s="847"/>
      <c r="BW121" s="847"/>
      <c r="BX121" s="847"/>
      <c r="BY121" s="847"/>
      <c r="BZ121" s="847"/>
      <c r="CA121" s="847"/>
      <c r="CB121" s="847"/>
      <c r="CC121" s="847"/>
      <c r="CD121" s="847"/>
      <c r="CE121" s="847"/>
      <c r="CF121" s="847"/>
      <c r="CG121" s="847"/>
      <c r="CH121" s="847"/>
      <c r="CI121" s="847"/>
      <c r="CJ121" s="847"/>
      <c r="CK121" s="847"/>
      <c r="CL121" s="847"/>
      <c r="CM121" s="847"/>
      <c r="CN121" s="847"/>
      <c r="CO121" s="847"/>
      <c r="CP121" s="847"/>
      <c r="CQ121" s="847"/>
      <c r="CR121" s="847"/>
      <c r="CS121" s="847"/>
      <c r="CT121" s="847"/>
      <c r="CU121" s="847"/>
      <c r="CV121" s="847"/>
      <c r="CW121" s="847"/>
      <c r="CX121" s="847"/>
      <c r="CY121" s="847"/>
      <c r="CZ121" s="847"/>
      <c r="DA121" s="847"/>
      <c r="DB121" s="847"/>
      <c r="DC121" s="847"/>
      <c r="DD121" s="847"/>
      <c r="DE121" s="847"/>
      <c r="DF121" s="847"/>
      <c r="DG121" s="847"/>
      <c r="DH121" s="847"/>
      <c r="DI121" s="847"/>
      <c r="DJ121" s="847"/>
      <c r="DK121" s="847"/>
      <c r="DL121" s="847"/>
      <c r="DM121" s="1212"/>
      <c r="DN121" s="1222">
        <f>DN120+DN116*20%</f>
        <v>1.8413260869565218</v>
      </c>
      <c r="DO121" s="1013">
        <f t="shared" si="5"/>
        <v>0</v>
      </c>
      <c r="DP121" s="847">
        <f>DP120+DP116*20%</f>
        <v>1.9035</v>
      </c>
      <c r="DQ121" s="1013">
        <f t="shared" si="6"/>
        <v>0</v>
      </c>
      <c r="DR121" s="847">
        <f>DR120+DR116*20%</f>
        <v>1.4175</v>
      </c>
      <c r="DS121" s="1013">
        <f t="shared" si="7"/>
        <v>0</v>
      </c>
      <c r="DT121" s="847">
        <f>DT120+DT116*20%</f>
        <v>3.0982500000000002</v>
      </c>
      <c r="DU121" s="1214">
        <f t="shared" si="8"/>
        <v>0</v>
      </c>
      <c r="DV121" s="1246"/>
      <c r="DW121" s="1214"/>
      <c r="DX121" s="1222"/>
      <c r="DY121" s="847"/>
      <c r="DZ121" s="847"/>
      <c r="EA121" s="847"/>
      <c r="EB121" s="847"/>
      <c r="EC121" s="847"/>
      <c r="ED121" s="847"/>
      <c r="EE121" s="847"/>
      <c r="EF121" s="847"/>
      <c r="EG121" s="1212"/>
      <c r="EH121" s="847"/>
      <c r="EI121" s="1212"/>
    </row>
    <row r="122" spans="1:139" s="733" customFormat="1" ht="13.5">
      <c r="A122" s="1009">
        <v>43</v>
      </c>
      <c r="B122" s="1212" t="s">
        <v>3042</v>
      </c>
      <c r="C122" s="1213">
        <v>0</v>
      </c>
      <c r="D122" s="1013" t="s">
        <v>49</v>
      </c>
      <c r="E122" s="847"/>
      <c r="F122" s="1013"/>
      <c r="G122" s="1013">
        <f>'Lead &amp; ANALYSIS'!G2341</f>
        <v>0.34</v>
      </c>
      <c r="H122" s="1013">
        <f t="shared" si="2"/>
        <v>0</v>
      </c>
      <c r="I122" s="847"/>
      <c r="J122" s="1013"/>
      <c r="K122" s="847">
        <f>'Lead &amp; ANALYSIS'!G2342*10</f>
        <v>1.2156</v>
      </c>
      <c r="L122" s="1013">
        <f t="shared" si="3"/>
        <v>0</v>
      </c>
      <c r="M122" s="847"/>
      <c r="N122" s="1013"/>
      <c r="O122" s="847"/>
      <c r="P122" s="1013"/>
      <c r="Q122" s="847"/>
      <c r="R122" s="847"/>
      <c r="S122" s="847"/>
      <c r="T122" s="847"/>
      <c r="U122" s="847"/>
      <c r="V122" s="847"/>
      <c r="W122" s="847"/>
      <c r="X122" s="847"/>
      <c r="Y122" s="847"/>
      <c r="Z122" s="847"/>
      <c r="AA122" s="847"/>
      <c r="AB122" s="847"/>
      <c r="AC122" s="847"/>
      <c r="AD122" s="847"/>
      <c r="AE122" s="847"/>
      <c r="AF122" s="847"/>
      <c r="AG122" s="847"/>
      <c r="AH122" s="847"/>
      <c r="AI122" s="1013">
        <f>'Lead &amp; ANALYSIS'!G2340</f>
        <v>1</v>
      </c>
      <c r="AJ122" s="1013">
        <f>ROUND(C122*AI122,2)</f>
        <v>0</v>
      </c>
      <c r="AK122" s="847"/>
      <c r="AL122" s="847"/>
      <c r="AM122" s="847"/>
      <c r="AN122" s="847"/>
      <c r="AO122" s="847"/>
      <c r="AP122" s="847"/>
      <c r="AQ122" s="847"/>
      <c r="AR122" s="847"/>
      <c r="AS122" s="847"/>
      <c r="AT122" s="847"/>
      <c r="AU122" s="847"/>
      <c r="AV122" s="847"/>
      <c r="AW122" s="847"/>
      <c r="AX122" s="847"/>
      <c r="AY122" s="847"/>
      <c r="AZ122" s="847"/>
      <c r="BA122" s="847"/>
      <c r="BB122" s="847"/>
      <c r="BC122" s="847"/>
      <c r="BD122" s="847"/>
      <c r="BE122" s="847"/>
      <c r="BF122" s="847"/>
      <c r="BG122" s="847"/>
      <c r="BH122" s="847"/>
      <c r="BI122" s="847"/>
      <c r="BJ122" s="847"/>
      <c r="BK122" s="847"/>
      <c r="BL122" s="847"/>
      <c r="BM122" s="847"/>
      <c r="BN122" s="847"/>
      <c r="BO122" s="847"/>
      <c r="BP122" s="847"/>
      <c r="BQ122" s="847"/>
      <c r="BR122" s="847"/>
      <c r="BS122" s="847"/>
      <c r="BT122" s="847"/>
      <c r="BU122" s="847"/>
      <c r="BV122" s="847"/>
      <c r="BW122" s="847"/>
      <c r="BX122" s="847"/>
      <c r="BY122" s="847"/>
      <c r="BZ122" s="847"/>
      <c r="CA122" s="847"/>
      <c r="CB122" s="847"/>
      <c r="CC122" s="847"/>
      <c r="CD122" s="847"/>
      <c r="CE122" s="847"/>
      <c r="CF122" s="847"/>
      <c r="CG122" s="847"/>
      <c r="CH122" s="847"/>
      <c r="CI122" s="847"/>
      <c r="CJ122" s="847"/>
      <c r="CK122" s="847"/>
      <c r="CL122" s="847"/>
      <c r="CM122" s="847"/>
      <c r="CN122" s="847"/>
      <c r="CO122" s="847"/>
      <c r="CP122" s="847"/>
      <c r="CQ122" s="847"/>
      <c r="CR122" s="847"/>
      <c r="CS122" s="847"/>
      <c r="CT122" s="847"/>
      <c r="CU122" s="847"/>
      <c r="CV122" s="847"/>
      <c r="CW122" s="847"/>
      <c r="CX122" s="847"/>
      <c r="CY122" s="847"/>
      <c r="CZ122" s="847"/>
      <c r="DA122" s="847"/>
      <c r="DB122" s="847"/>
      <c r="DC122" s="847"/>
      <c r="DD122" s="847"/>
      <c r="DE122" s="847"/>
      <c r="DF122" s="847"/>
      <c r="DG122" s="847"/>
      <c r="DH122" s="847"/>
      <c r="DI122" s="847"/>
      <c r="DJ122" s="847"/>
      <c r="DK122" s="847"/>
      <c r="DL122" s="847"/>
      <c r="DM122" s="1212"/>
      <c r="DN122" s="1222">
        <f>'Lead &amp; ANALYSIS'!G2347</f>
        <v>3.17</v>
      </c>
      <c r="DO122" s="1013">
        <f t="shared" si="5"/>
        <v>0</v>
      </c>
      <c r="DP122" s="847"/>
      <c r="DQ122" s="1013"/>
      <c r="DR122" s="1225">
        <f>'Lead &amp; ANALYSIS'!G2346</f>
        <v>1.41</v>
      </c>
      <c r="DS122" s="1013">
        <f t="shared" si="7"/>
        <v>0</v>
      </c>
      <c r="DT122" s="1225">
        <f>'Lead &amp; ANALYSIS'!G2345</f>
        <v>0.35</v>
      </c>
      <c r="DU122" s="1214">
        <f t="shared" si="8"/>
        <v>0</v>
      </c>
      <c r="DV122" s="1246"/>
      <c r="DW122" s="1214"/>
      <c r="DX122" s="1222"/>
      <c r="DY122" s="847"/>
      <c r="DZ122" s="847"/>
      <c r="EA122" s="847"/>
      <c r="EB122" s="847"/>
      <c r="EC122" s="847"/>
      <c r="ED122" s="847"/>
      <c r="EE122" s="847"/>
      <c r="EF122" s="847"/>
      <c r="EG122" s="1212"/>
      <c r="EH122" s="847"/>
      <c r="EI122" s="1212"/>
    </row>
    <row r="123" spans="1:139" s="733" customFormat="1" ht="13.5">
      <c r="A123" s="1009">
        <v>44</v>
      </c>
      <c r="B123" s="1212" t="s">
        <v>3043</v>
      </c>
      <c r="C123" s="1213">
        <v>0</v>
      </c>
      <c r="D123" s="1013" t="s">
        <v>49</v>
      </c>
      <c r="E123" s="847"/>
      <c r="F123" s="1013"/>
      <c r="G123" s="1013">
        <f>'Lead &amp; ANALYSIS'!G2362</f>
        <v>0.34</v>
      </c>
      <c r="H123" s="1013">
        <f t="shared" si="2"/>
        <v>0</v>
      </c>
      <c r="I123" s="847"/>
      <c r="J123" s="1013"/>
      <c r="K123" s="847">
        <f>'Lead &amp; ANALYSIS'!G2363*10</f>
        <v>0.81509999999999994</v>
      </c>
      <c r="L123" s="1013">
        <f t="shared" si="3"/>
        <v>0</v>
      </c>
      <c r="M123" s="847"/>
      <c r="N123" s="1013"/>
      <c r="O123" s="847"/>
      <c r="P123" s="1013"/>
      <c r="Q123" s="847"/>
      <c r="R123" s="847"/>
      <c r="S123" s="847"/>
      <c r="T123" s="847"/>
      <c r="U123" s="847"/>
      <c r="V123" s="847"/>
      <c r="W123" s="847"/>
      <c r="X123" s="847"/>
      <c r="Y123" s="847"/>
      <c r="Z123" s="847"/>
      <c r="AA123" s="847"/>
      <c r="AB123" s="847"/>
      <c r="AC123" s="847"/>
      <c r="AD123" s="847"/>
      <c r="AE123" s="847"/>
      <c r="AF123" s="847"/>
      <c r="AG123" s="847"/>
      <c r="AH123" s="847"/>
      <c r="AI123" s="1013">
        <f>'Lead &amp; ANALYSIS'!G2361</f>
        <v>1</v>
      </c>
      <c r="AJ123" s="1013">
        <f>ROUND(C123*AI123,2)</f>
        <v>0</v>
      </c>
      <c r="AK123" s="847"/>
      <c r="AL123" s="847"/>
      <c r="AM123" s="847"/>
      <c r="AN123" s="847"/>
      <c r="AO123" s="847"/>
      <c r="AP123" s="847"/>
      <c r="AQ123" s="847"/>
      <c r="AR123" s="847"/>
      <c r="AS123" s="847"/>
      <c r="AT123" s="847"/>
      <c r="AU123" s="847"/>
      <c r="AV123" s="847"/>
      <c r="AW123" s="847"/>
      <c r="AX123" s="847"/>
      <c r="AY123" s="847"/>
      <c r="AZ123" s="847"/>
      <c r="BA123" s="847"/>
      <c r="BB123" s="847"/>
      <c r="BC123" s="847"/>
      <c r="BD123" s="847"/>
      <c r="BE123" s="847"/>
      <c r="BF123" s="847"/>
      <c r="BG123" s="847"/>
      <c r="BH123" s="847"/>
      <c r="BI123" s="847"/>
      <c r="BJ123" s="847"/>
      <c r="BK123" s="847"/>
      <c r="BL123" s="847"/>
      <c r="BM123" s="847"/>
      <c r="BN123" s="847"/>
      <c r="BO123" s="847"/>
      <c r="BP123" s="847"/>
      <c r="BQ123" s="847"/>
      <c r="BR123" s="847"/>
      <c r="BS123" s="847"/>
      <c r="BT123" s="847"/>
      <c r="BU123" s="847"/>
      <c r="BV123" s="847"/>
      <c r="BW123" s="847"/>
      <c r="BX123" s="847"/>
      <c r="BY123" s="847"/>
      <c r="BZ123" s="847"/>
      <c r="CA123" s="847"/>
      <c r="CB123" s="847"/>
      <c r="CC123" s="847"/>
      <c r="CD123" s="847"/>
      <c r="CE123" s="847"/>
      <c r="CF123" s="847"/>
      <c r="CG123" s="847"/>
      <c r="CH123" s="847"/>
      <c r="CI123" s="847"/>
      <c r="CJ123" s="847"/>
      <c r="CK123" s="847"/>
      <c r="CL123" s="847"/>
      <c r="CM123" s="847"/>
      <c r="CN123" s="847"/>
      <c r="CO123" s="847"/>
      <c r="CP123" s="847"/>
      <c r="CQ123" s="847"/>
      <c r="CR123" s="847"/>
      <c r="CS123" s="847"/>
      <c r="CT123" s="847"/>
      <c r="CU123" s="847"/>
      <c r="CV123" s="847"/>
      <c r="CW123" s="847"/>
      <c r="CX123" s="847"/>
      <c r="CY123" s="847"/>
      <c r="CZ123" s="847"/>
      <c r="DA123" s="847"/>
      <c r="DB123" s="847"/>
      <c r="DC123" s="847"/>
      <c r="DD123" s="847"/>
      <c r="DE123" s="847"/>
      <c r="DF123" s="847"/>
      <c r="DG123" s="847"/>
      <c r="DH123" s="847"/>
      <c r="DI123" s="847"/>
      <c r="DJ123" s="847"/>
      <c r="DK123" s="847"/>
      <c r="DL123" s="847"/>
      <c r="DM123" s="1212"/>
      <c r="DN123" s="1222">
        <f>'Lead &amp; ANALYSIS'!G2368</f>
        <v>3.17</v>
      </c>
      <c r="DO123" s="1013">
        <f>ROUND(C123*DN123,2)</f>
        <v>0</v>
      </c>
      <c r="DP123" s="847"/>
      <c r="DQ123" s="1013"/>
      <c r="DR123" s="1225">
        <f>'Lead &amp; ANALYSIS'!G2367</f>
        <v>1.41</v>
      </c>
      <c r="DS123" s="1013">
        <f t="shared" si="7"/>
        <v>0</v>
      </c>
      <c r="DT123" s="1225">
        <f>'Lead &amp; ANALYSIS'!G2366</f>
        <v>0.35</v>
      </c>
      <c r="DU123" s="1214">
        <f t="shared" si="8"/>
        <v>0</v>
      </c>
      <c r="DV123" s="1246"/>
      <c r="DW123" s="1214"/>
      <c r="DX123" s="1222"/>
      <c r="DY123" s="847"/>
      <c r="DZ123" s="847"/>
      <c r="EA123" s="847"/>
      <c r="EB123" s="847"/>
      <c r="EC123" s="847"/>
      <c r="ED123" s="847"/>
      <c r="EE123" s="847"/>
      <c r="EF123" s="847"/>
      <c r="EG123" s="1212"/>
      <c r="EH123" s="847"/>
      <c r="EI123" s="1212"/>
    </row>
    <row r="124" spans="1:139" s="733" customFormat="1" ht="13.5">
      <c r="A124" s="1009">
        <v>45</v>
      </c>
      <c r="B124" s="1212" t="s">
        <v>3044</v>
      </c>
      <c r="C124" s="1213">
        <v>0</v>
      </c>
      <c r="D124" s="1013" t="s">
        <v>92</v>
      </c>
      <c r="E124" s="847"/>
      <c r="F124" s="1013"/>
      <c r="G124" s="1225">
        <f>'Lead &amp; ANALYSIS'!G2384</f>
        <v>1.2E-2</v>
      </c>
      <c r="H124" s="1013">
        <f t="shared" si="2"/>
        <v>0</v>
      </c>
      <c r="I124" s="847"/>
      <c r="J124" s="1013"/>
      <c r="K124" s="847">
        <f>'Lead &amp; ANALYSIS'!G2385</f>
        <v>7.5399999999999995E-2</v>
      </c>
      <c r="L124" s="1013">
        <f t="shared" si="3"/>
        <v>0</v>
      </c>
      <c r="M124" s="847"/>
      <c r="N124" s="1013"/>
      <c r="O124" s="847"/>
      <c r="P124" s="1013"/>
      <c r="Q124" s="847"/>
      <c r="R124" s="847">
        <f>'Lead &amp; ANALYSIS'!G2383</f>
        <v>2.3E-2</v>
      </c>
      <c r="S124" s="847"/>
      <c r="T124" s="847"/>
      <c r="U124" s="1013">
        <f>ROUND(C124*R124,2)</f>
        <v>0</v>
      </c>
      <c r="V124" s="847"/>
      <c r="W124" s="847"/>
      <c r="X124" s="847"/>
      <c r="Y124" s="847"/>
      <c r="Z124" s="847"/>
      <c r="AA124" s="847"/>
      <c r="AB124" s="847"/>
      <c r="AC124" s="847"/>
      <c r="AD124" s="847"/>
      <c r="AE124" s="847"/>
      <c r="AF124" s="847"/>
      <c r="AG124" s="847"/>
      <c r="AH124" s="847"/>
      <c r="AI124" s="847"/>
      <c r="AJ124" s="847"/>
      <c r="AK124" s="847"/>
      <c r="AL124" s="847"/>
      <c r="AM124" s="847"/>
      <c r="AN124" s="847"/>
      <c r="AO124" s="847"/>
      <c r="AP124" s="847"/>
      <c r="AQ124" s="847"/>
      <c r="AR124" s="847"/>
      <c r="AS124" s="847"/>
      <c r="AT124" s="847"/>
      <c r="AU124" s="847"/>
      <c r="AV124" s="847"/>
      <c r="AW124" s="847"/>
      <c r="AX124" s="847"/>
      <c r="AY124" s="847"/>
      <c r="AZ124" s="847"/>
      <c r="BA124" s="847"/>
      <c r="BB124" s="847"/>
      <c r="BC124" s="847"/>
      <c r="BD124" s="847"/>
      <c r="BE124" s="847"/>
      <c r="BF124" s="847"/>
      <c r="BG124" s="847"/>
      <c r="BH124" s="847"/>
      <c r="BI124" s="847"/>
      <c r="BJ124" s="847"/>
      <c r="BK124" s="847"/>
      <c r="BL124" s="847"/>
      <c r="BM124" s="847"/>
      <c r="BN124" s="847"/>
      <c r="BO124" s="847"/>
      <c r="BP124" s="847"/>
      <c r="BQ124" s="847"/>
      <c r="BR124" s="847"/>
      <c r="BS124" s="847"/>
      <c r="BT124" s="847"/>
      <c r="BU124" s="847"/>
      <c r="BV124" s="847"/>
      <c r="BW124" s="847"/>
      <c r="BX124" s="847"/>
      <c r="BY124" s="847"/>
      <c r="BZ124" s="847"/>
      <c r="CA124" s="847"/>
      <c r="CB124" s="847"/>
      <c r="CC124" s="847"/>
      <c r="CD124" s="847"/>
      <c r="CE124" s="847"/>
      <c r="CF124" s="847"/>
      <c r="CG124" s="847"/>
      <c r="CH124" s="847"/>
      <c r="CI124" s="847"/>
      <c r="CJ124" s="847"/>
      <c r="CK124" s="847"/>
      <c r="CL124" s="847"/>
      <c r="CM124" s="847"/>
      <c r="CN124" s="847"/>
      <c r="CO124" s="847"/>
      <c r="CP124" s="847"/>
      <c r="CQ124" s="847"/>
      <c r="CR124" s="847"/>
      <c r="CS124" s="847"/>
      <c r="CT124" s="847"/>
      <c r="CU124" s="847"/>
      <c r="CV124" s="847"/>
      <c r="CW124" s="847"/>
      <c r="CX124" s="847"/>
      <c r="CY124" s="847"/>
      <c r="CZ124" s="847"/>
      <c r="DA124" s="847"/>
      <c r="DB124" s="847"/>
      <c r="DC124" s="847"/>
      <c r="DD124" s="847"/>
      <c r="DE124" s="847"/>
      <c r="DF124" s="847"/>
      <c r="DG124" s="847"/>
      <c r="DH124" s="847"/>
      <c r="DI124" s="847"/>
      <c r="DJ124" s="847"/>
      <c r="DK124" s="847"/>
      <c r="DL124" s="847"/>
      <c r="DM124" s="1212"/>
      <c r="DN124" s="1222">
        <f>'Lead &amp; ANALYSIS'!G2389</f>
        <v>0.36</v>
      </c>
      <c r="DO124" s="1013">
        <f t="shared" si="5"/>
        <v>0</v>
      </c>
      <c r="DP124" s="847"/>
      <c r="DQ124" s="1013"/>
      <c r="DR124" s="1225"/>
      <c r="DS124" s="1013"/>
      <c r="DT124" s="1225">
        <f>'Lead &amp; ANALYSIS'!G2388</f>
        <v>0.10299999999999999</v>
      </c>
      <c r="DU124" s="1214">
        <f t="shared" si="8"/>
        <v>0</v>
      </c>
      <c r="DV124" s="1246"/>
      <c r="DW124" s="1214"/>
      <c r="DX124" s="1222"/>
      <c r="DY124" s="847"/>
      <c r="DZ124" s="847"/>
      <c r="EA124" s="847"/>
      <c r="EB124" s="847"/>
      <c r="EC124" s="847"/>
      <c r="ED124" s="847"/>
      <c r="EE124" s="847"/>
      <c r="EF124" s="847"/>
      <c r="EG124" s="1212"/>
      <c r="EH124" s="847"/>
      <c r="EI124" s="1212"/>
    </row>
    <row r="125" spans="1:139" s="733" customFormat="1" ht="13.5">
      <c r="A125" s="1009">
        <v>46</v>
      </c>
      <c r="B125" s="1212" t="s">
        <v>3045</v>
      </c>
      <c r="C125" s="1213">
        <v>0</v>
      </c>
      <c r="D125" s="1013" t="s">
        <v>49</v>
      </c>
      <c r="E125" s="847"/>
      <c r="F125" s="1013"/>
      <c r="G125" s="847"/>
      <c r="H125" s="1013"/>
      <c r="I125" s="847"/>
      <c r="J125" s="1013"/>
      <c r="K125" s="847"/>
      <c r="L125" s="1013"/>
      <c r="M125" s="847"/>
      <c r="N125" s="1013"/>
      <c r="O125" s="847"/>
      <c r="P125" s="1013"/>
      <c r="Q125" s="847"/>
      <c r="R125" s="847"/>
      <c r="S125" s="847"/>
      <c r="T125" s="847"/>
      <c r="U125" s="1013"/>
      <c r="V125" s="847"/>
      <c r="W125" s="847"/>
      <c r="X125" s="847"/>
      <c r="Y125" s="847"/>
      <c r="Z125" s="847"/>
      <c r="AA125" s="847"/>
      <c r="AB125" s="847"/>
      <c r="AC125" s="847"/>
      <c r="AD125" s="847"/>
      <c r="AE125" s="847"/>
      <c r="AF125" s="847"/>
      <c r="AG125" s="847"/>
      <c r="AH125" s="847"/>
      <c r="AI125" s="847"/>
      <c r="AJ125" s="847"/>
      <c r="AK125" s="847"/>
      <c r="AL125" s="847"/>
      <c r="AM125" s="847"/>
      <c r="AN125" s="847"/>
      <c r="AO125" s="847"/>
      <c r="AP125" s="847"/>
      <c r="AQ125" s="1013">
        <v>1</v>
      </c>
      <c r="AR125" s="1013"/>
      <c r="AS125" s="847"/>
      <c r="AT125" s="847"/>
      <c r="AU125" s="847"/>
      <c r="AV125" s="847"/>
      <c r="AW125" s="847"/>
      <c r="AX125" s="847"/>
      <c r="AY125" s="847"/>
      <c r="AZ125" s="847"/>
      <c r="BA125" s="847"/>
      <c r="BB125" s="847"/>
      <c r="BC125" s="847"/>
      <c r="BD125" s="847"/>
      <c r="BE125" s="847"/>
      <c r="BF125" s="847"/>
      <c r="BG125" s="847"/>
      <c r="BH125" s="847"/>
      <c r="BI125" s="847"/>
      <c r="BJ125" s="847"/>
      <c r="BK125" s="847"/>
      <c r="BL125" s="847"/>
      <c r="BM125" s="847"/>
      <c r="BN125" s="847"/>
      <c r="BO125" s="847"/>
      <c r="BP125" s="847"/>
      <c r="BQ125" s="847"/>
      <c r="BR125" s="847"/>
      <c r="BS125" s="847"/>
      <c r="BT125" s="847"/>
      <c r="BU125" s="847"/>
      <c r="BV125" s="847"/>
      <c r="BW125" s="847"/>
      <c r="BX125" s="847"/>
      <c r="BY125" s="847"/>
      <c r="BZ125" s="847"/>
      <c r="CA125" s="847"/>
      <c r="CB125" s="847"/>
      <c r="CC125" s="847"/>
      <c r="CD125" s="847"/>
      <c r="CE125" s="847"/>
      <c r="CF125" s="847"/>
      <c r="CG125" s="847"/>
      <c r="CH125" s="847"/>
      <c r="CI125" s="847"/>
      <c r="CJ125" s="847"/>
      <c r="CK125" s="847"/>
      <c r="CL125" s="847"/>
      <c r="CM125" s="847"/>
      <c r="CN125" s="847"/>
      <c r="CO125" s="847"/>
      <c r="CP125" s="847"/>
      <c r="CQ125" s="847"/>
      <c r="CR125" s="847"/>
      <c r="CS125" s="847"/>
      <c r="CT125" s="847"/>
      <c r="CU125" s="847"/>
      <c r="CV125" s="847"/>
      <c r="CW125" s="847"/>
      <c r="CX125" s="847"/>
      <c r="CY125" s="847"/>
      <c r="CZ125" s="847"/>
      <c r="DA125" s="847"/>
      <c r="DB125" s="847"/>
      <c r="DC125" s="847"/>
      <c r="DD125" s="847"/>
      <c r="DE125" s="847"/>
      <c r="DF125" s="847"/>
      <c r="DG125" s="847"/>
      <c r="DH125" s="847"/>
      <c r="DI125" s="847"/>
      <c r="DJ125" s="847"/>
      <c r="DK125" s="847"/>
      <c r="DL125" s="847"/>
      <c r="DM125" s="1212"/>
      <c r="DN125" s="1222">
        <f>'Lead &amp; ANALYSIS'!G1803/100*2/3+'Lead &amp; ANALYSIS'!G1803*2%/100*2/3</f>
        <v>0.29239999999999999</v>
      </c>
      <c r="DO125" s="1013">
        <f t="shared" si="5"/>
        <v>0</v>
      </c>
      <c r="DP125" s="847"/>
      <c r="DQ125" s="1013"/>
      <c r="DR125" s="1225"/>
      <c r="DS125" s="1013"/>
      <c r="DT125" s="1225"/>
      <c r="DU125" s="1214"/>
      <c r="DV125" s="1246"/>
      <c r="DW125" s="1214"/>
      <c r="DX125" s="1222"/>
      <c r="DY125" s="847"/>
      <c r="DZ125" s="847"/>
      <c r="EA125" s="847"/>
      <c r="EB125" s="847"/>
      <c r="EC125" s="847"/>
      <c r="ED125" s="847"/>
      <c r="EE125" s="847"/>
      <c r="EF125" s="847"/>
      <c r="EG125" s="1212"/>
      <c r="EH125" s="847"/>
      <c r="EI125" s="1212"/>
    </row>
    <row r="126" spans="1:139" s="733" customFormat="1" ht="13.5">
      <c r="A126" s="1009">
        <v>47</v>
      </c>
      <c r="B126" s="1212" t="s">
        <v>3046</v>
      </c>
      <c r="C126" s="1213">
        <v>0</v>
      </c>
      <c r="D126" s="1013" t="s">
        <v>49</v>
      </c>
      <c r="E126" s="847"/>
      <c r="F126" s="1013"/>
      <c r="G126" s="1013"/>
      <c r="H126" s="1013"/>
      <c r="I126" s="847"/>
      <c r="J126" s="1013"/>
      <c r="K126" s="847"/>
      <c r="L126" s="1013"/>
      <c r="M126" s="847"/>
      <c r="N126" s="1013"/>
      <c r="O126" s="847"/>
      <c r="P126" s="1013"/>
      <c r="Q126" s="847"/>
      <c r="R126" s="847"/>
      <c r="S126" s="847"/>
      <c r="T126" s="847"/>
      <c r="U126" s="1013"/>
      <c r="V126" s="847"/>
      <c r="W126" s="847"/>
      <c r="X126" s="847"/>
      <c r="Y126" s="847"/>
      <c r="Z126" s="847"/>
      <c r="AA126" s="847"/>
      <c r="AB126" s="847"/>
      <c r="AC126" s="847"/>
      <c r="AD126" s="847"/>
      <c r="AE126" s="847"/>
      <c r="AF126" s="847"/>
      <c r="AG126" s="847"/>
      <c r="AH126" s="847"/>
      <c r="AI126" s="847"/>
      <c r="AJ126" s="847"/>
      <c r="AK126" s="847"/>
      <c r="AL126" s="847"/>
      <c r="AM126" s="847"/>
      <c r="AN126" s="847"/>
      <c r="AO126" s="847"/>
      <c r="AP126" s="847"/>
      <c r="AQ126" s="847"/>
      <c r="AR126" s="847"/>
      <c r="AS126" s="847"/>
      <c r="AT126" s="847"/>
      <c r="AU126" s="847"/>
      <c r="AV126" s="847"/>
      <c r="AW126" s="847"/>
      <c r="AX126" s="847"/>
      <c r="AY126" s="847"/>
      <c r="AZ126" s="847"/>
      <c r="BA126" s="847"/>
      <c r="BB126" s="847"/>
      <c r="BC126" s="847"/>
      <c r="BD126" s="847"/>
      <c r="BE126" s="847"/>
      <c r="BF126" s="847"/>
      <c r="BG126" s="847"/>
      <c r="BH126" s="847"/>
      <c r="BI126" s="847"/>
      <c r="BJ126" s="847"/>
      <c r="BK126" s="847"/>
      <c r="BL126" s="847"/>
      <c r="BM126" s="847"/>
      <c r="BN126" s="847"/>
      <c r="BO126" s="847"/>
      <c r="BP126" s="847"/>
      <c r="BQ126" s="847"/>
      <c r="BR126" s="847"/>
      <c r="BS126" s="847"/>
      <c r="BT126" s="847"/>
      <c r="BU126" s="847"/>
      <c r="BV126" s="847"/>
      <c r="BW126" s="847"/>
      <c r="BX126" s="847"/>
      <c r="BY126" s="847"/>
      <c r="BZ126" s="847"/>
      <c r="CA126" s="847"/>
      <c r="CB126" s="847"/>
      <c r="CC126" s="847"/>
      <c r="CD126" s="847"/>
      <c r="CE126" s="847"/>
      <c r="CF126" s="847"/>
      <c r="CG126" s="847"/>
      <c r="CH126" s="847"/>
      <c r="CI126" s="847"/>
      <c r="CJ126" s="847"/>
      <c r="CK126" s="847"/>
      <c r="CL126" s="847"/>
      <c r="CM126" s="847"/>
      <c r="CN126" s="847"/>
      <c r="CO126" s="847"/>
      <c r="CP126" s="847"/>
      <c r="CQ126" s="847"/>
      <c r="CR126" s="847"/>
      <c r="CS126" s="847"/>
      <c r="CT126" s="847"/>
      <c r="CU126" s="847"/>
      <c r="CV126" s="847"/>
      <c r="CW126" s="847"/>
      <c r="CX126" s="847"/>
      <c r="CY126" s="847"/>
      <c r="CZ126" s="847"/>
      <c r="DA126" s="847"/>
      <c r="DB126" s="847"/>
      <c r="DC126" s="847"/>
      <c r="DD126" s="847"/>
      <c r="DE126" s="847"/>
      <c r="DF126" s="847"/>
      <c r="DG126" s="847"/>
      <c r="DH126" s="847"/>
      <c r="DI126" s="847"/>
      <c r="DJ126" s="847"/>
      <c r="DK126" s="847"/>
      <c r="DL126" s="847"/>
      <c r="DM126" s="1212"/>
      <c r="DN126" s="1222"/>
      <c r="DO126" s="1013"/>
      <c r="DP126" s="847"/>
      <c r="DQ126" s="1013"/>
      <c r="DR126" s="1225"/>
      <c r="DS126" s="1013"/>
      <c r="DT126" s="1225"/>
      <c r="DU126" s="1214"/>
      <c r="DV126" s="1242"/>
      <c r="DW126" s="1227"/>
      <c r="DX126" s="1222"/>
      <c r="DY126" s="847"/>
      <c r="DZ126" s="847"/>
      <c r="EA126" s="847"/>
      <c r="EB126" s="847"/>
      <c r="EC126" s="847"/>
      <c r="ED126" s="847"/>
      <c r="EE126" s="847"/>
      <c r="EF126" s="847"/>
      <c r="EG126" s="1212"/>
      <c r="EH126" s="847"/>
      <c r="EI126" s="1212"/>
    </row>
    <row r="127" spans="1:139" s="733" customFormat="1" ht="13.5">
      <c r="A127" s="1009"/>
      <c r="B127" s="1212" t="s">
        <v>2066</v>
      </c>
      <c r="C127" s="1213">
        <v>0</v>
      </c>
      <c r="D127" s="1013" t="s">
        <v>49</v>
      </c>
      <c r="E127" s="847"/>
      <c r="F127" s="1013"/>
      <c r="G127" s="1013">
        <f>'Lead &amp; ANALYSIS'!G2407/15</f>
        <v>0.45</v>
      </c>
      <c r="H127" s="1013">
        <f>ROUND(C127*G127,2)</f>
        <v>0</v>
      </c>
      <c r="I127" s="847"/>
      <c r="J127" s="1013"/>
      <c r="K127" s="847">
        <f>'Lead &amp; ANALYSIS'!G2408/15*10</f>
        <v>3.4733333333333332</v>
      </c>
      <c r="L127" s="1013">
        <f>ROUND(C127*K127,2)</f>
        <v>0</v>
      </c>
      <c r="M127" s="847"/>
      <c r="N127" s="1013"/>
      <c r="O127" s="847"/>
      <c r="P127" s="1013"/>
      <c r="Q127" s="847"/>
      <c r="R127" s="847">
        <f>'Lead &amp; ANALYSIS'!G2405/15</f>
        <v>0.53999999999999992</v>
      </c>
      <c r="S127" s="847"/>
      <c r="T127" s="1013">
        <f>ROUND(C127*R127,2)</f>
        <v>0</v>
      </c>
      <c r="U127" s="1013"/>
      <c r="V127" s="847"/>
      <c r="W127" s="847"/>
      <c r="X127" s="847"/>
      <c r="Y127" s="847"/>
      <c r="Z127" s="847"/>
      <c r="AA127" s="847"/>
      <c r="AB127" s="847"/>
      <c r="AC127" s="847"/>
      <c r="AD127" s="847"/>
      <c r="AE127" s="847"/>
      <c r="AF127" s="847"/>
      <c r="AG127" s="847"/>
      <c r="AH127" s="847"/>
      <c r="AI127" s="847"/>
      <c r="AJ127" s="847"/>
      <c r="AK127" s="847"/>
      <c r="AL127" s="847"/>
      <c r="AM127" s="847"/>
      <c r="AN127" s="847"/>
      <c r="AO127" s="847"/>
      <c r="AP127" s="847"/>
      <c r="AQ127" s="847"/>
      <c r="AR127" s="847"/>
      <c r="AS127" s="847"/>
      <c r="AT127" s="847"/>
      <c r="AU127" s="847"/>
      <c r="AV127" s="847"/>
      <c r="AW127" s="847"/>
      <c r="AX127" s="847"/>
      <c r="AY127" s="847"/>
      <c r="AZ127" s="847"/>
      <c r="BA127" s="847"/>
      <c r="BB127" s="847"/>
      <c r="BC127" s="847"/>
      <c r="BD127" s="847"/>
      <c r="BE127" s="847"/>
      <c r="BF127" s="847"/>
      <c r="BG127" s="847"/>
      <c r="BH127" s="847"/>
      <c r="BI127" s="847"/>
      <c r="BJ127" s="847"/>
      <c r="BK127" s="847"/>
      <c r="BL127" s="847"/>
      <c r="BM127" s="847"/>
      <c r="BN127" s="847"/>
      <c r="BO127" s="847"/>
      <c r="BP127" s="847"/>
      <c r="BQ127" s="847"/>
      <c r="BR127" s="847"/>
      <c r="BS127" s="847"/>
      <c r="BT127" s="847"/>
      <c r="BU127" s="847"/>
      <c r="BV127" s="847"/>
      <c r="BW127" s="847"/>
      <c r="BX127" s="847"/>
      <c r="BY127" s="847"/>
      <c r="BZ127" s="847"/>
      <c r="CA127" s="847"/>
      <c r="CB127" s="847"/>
      <c r="CC127" s="847"/>
      <c r="CD127" s="847"/>
      <c r="CE127" s="847"/>
      <c r="CF127" s="847"/>
      <c r="CG127" s="847"/>
      <c r="CH127" s="847"/>
      <c r="CI127" s="847"/>
      <c r="CJ127" s="847"/>
      <c r="CK127" s="847"/>
      <c r="CL127" s="847"/>
      <c r="CM127" s="847"/>
      <c r="CN127" s="847"/>
      <c r="CO127" s="847"/>
      <c r="CP127" s="847"/>
      <c r="CQ127" s="847"/>
      <c r="CR127" s="847"/>
      <c r="CS127" s="847"/>
      <c r="CT127" s="847"/>
      <c r="CU127" s="847"/>
      <c r="CV127" s="847"/>
      <c r="CW127" s="847"/>
      <c r="CX127" s="847"/>
      <c r="CY127" s="847"/>
      <c r="CZ127" s="847"/>
      <c r="DA127" s="847"/>
      <c r="DB127" s="847"/>
      <c r="DC127" s="847"/>
      <c r="DD127" s="847"/>
      <c r="DE127" s="847"/>
      <c r="DF127" s="847"/>
      <c r="DG127" s="847"/>
      <c r="DH127" s="847"/>
      <c r="DI127" s="847"/>
      <c r="DJ127" s="847"/>
      <c r="DK127" s="847"/>
      <c r="DL127" s="847"/>
      <c r="DM127" s="1212"/>
      <c r="DN127" s="1222">
        <f>'Lead &amp; ANALYSIS'!G2413/15</f>
        <v>1.3333333333333333</v>
      </c>
      <c r="DO127" s="1013">
        <f>ROUND(C127*DN127,2)</f>
        <v>0</v>
      </c>
      <c r="DP127" s="847">
        <f>'Lead &amp; ANALYSIS'!G2411/15</f>
        <v>5.7333333333333333E-2</v>
      </c>
      <c r="DQ127" s="1013">
        <f>ROUND(C127*DP127,2)</f>
        <v>0</v>
      </c>
      <c r="DR127" s="1225">
        <f>'Lead &amp; ANALYSIS'!G2412/15</f>
        <v>0.1</v>
      </c>
      <c r="DS127" s="1013">
        <f>ROUND(C127*DR127,2)</f>
        <v>0</v>
      </c>
      <c r="DT127" s="1225"/>
      <c r="DU127" s="1214"/>
      <c r="DV127" s="1224"/>
      <c r="DW127" s="1232"/>
      <c r="DX127" s="1222"/>
      <c r="DY127" s="847"/>
      <c r="DZ127" s="847"/>
      <c r="EA127" s="847"/>
      <c r="EB127" s="847"/>
      <c r="EC127" s="847"/>
      <c r="ED127" s="847"/>
      <c r="EE127" s="847"/>
      <c r="EF127" s="847"/>
      <c r="EG127" s="1212"/>
      <c r="EH127" s="847"/>
      <c r="EI127" s="1212"/>
    </row>
    <row r="128" spans="1:139" s="733" customFormat="1" ht="13.5">
      <c r="A128" s="1009"/>
      <c r="B128" s="1212"/>
      <c r="C128" s="1213">
        <v>0</v>
      </c>
      <c r="D128" s="1013" t="s">
        <v>49</v>
      </c>
      <c r="E128" s="847"/>
      <c r="F128" s="1013"/>
      <c r="G128" s="1013"/>
      <c r="H128" s="1013"/>
      <c r="I128" s="847"/>
      <c r="J128" s="1013"/>
      <c r="K128" s="847"/>
      <c r="L128" s="1013"/>
      <c r="M128" s="847"/>
      <c r="N128" s="1013"/>
      <c r="O128" s="847"/>
      <c r="P128" s="1013"/>
      <c r="Q128" s="847"/>
      <c r="R128" s="847">
        <f>'Lead &amp; ANALYSIS'!G2406/15</f>
        <v>0.36000000000000004</v>
      </c>
      <c r="S128" s="847"/>
      <c r="T128" s="1013"/>
      <c r="U128" s="1013"/>
      <c r="V128" s="1013">
        <f>ROUND(C128*R128,2)</f>
        <v>0</v>
      </c>
      <c r="W128" s="847"/>
      <c r="X128" s="847"/>
      <c r="Y128" s="847"/>
      <c r="Z128" s="847"/>
      <c r="AA128" s="847"/>
      <c r="AB128" s="847"/>
      <c r="AC128" s="847"/>
      <c r="AD128" s="847"/>
      <c r="AE128" s="847"/>
      <c r="AF128" s="847"/>
      <c r="AG128" s="847"/>
      <c r="AH128" s="847"/>
      <c r="AI128" s="847"/>
      <c r="AJ128" s="847"/>
      <c r="AK128" s="847"/>
      <c r="AL128" s="847"/>
      <c r="AM128" s="847"/>
      <c r="AN128" s="847"/>
      <c r="AO128" s="847"/>
      <c r="AP128" s="847"/>
      <c r="AQ128" s="847"/>
      <c r="AR128" s="847"/>
      <c r="AS128" s="847"/>
      <c r="AT128" s="847"/>
      <c r="AU128" s="847"/>
      <c r="AV128" s="847"/>
      <c r="AW128" s="847"/>
      <c r="AX128" s="847"/>
      <c r="AY128" s="847"/>
      <c r="AZ128" s="847"/>
      <c r="BA128" s="847"/>
      <c r="BB128" s="847"/>
      <c r="BC128" s="847"/>
      <c r="BD128" s="847"/>
      <c r="BE128" s="847"/>
      <c r="BF128" s="847"/>
      <c r="BG128" s="847"/>
      <c r="BH128" s="847"/>
      <c r="BI128" s="847"/>
      <c r="BJ128" s="847"/>
      <c r="BK128" s="847"/>
      <c r="BL128" s="847"/>
      <c r="BM128" s="847"/>
      <c r="BN128" s="847"/>
      <c r="BO128" s="847"/>
      <c r="BP128" s="847"/>
      <c r="BQ128" s="847"/>
      <c r="BR128" s="847"/>
      <c r="BS128" s="847"/>
      <c r="BT128" s="847"/>
      <c r="BU128" s="847"/>
      <c r="BV128" s="847"/>
      <c r="BW128" s="847"/>
      <c r="BX128" s="847"/>
      <c r="BY128" s="847"/>
      <c r="BZ128" s="847"/>
      <c r="CA128" s="847"/>
      <c r="CB128" s="847"/>
      <c r="CC128" s="847"/>
      <c r="CD128" s="847"/>
      <c r="CE128" s="847"/>
      <c r="CF128" s="847"/>
      <c r="CG128" s="847"/>
      <c r="CH128" s="847"/>
      <c r="CI128" s="847"/>
      <c r="CJ128" s="847"/>
      <c r="CK128" s="847"/>
      <c r="CL128" s="847"/>
      <c r="CM128" s="847"/>
      <c r="CN128" s="847"/>
      <c r="CO128" s="847"/>
      <c r="CP128" s="847"/>
      <c r="CQ128" s="847"/>
      <c r="CR128" s="847"/>
      <c r="CS128" s="847"/>
      <c r="CT128" s="847"/>
      <c r="CU128" s="847"/>
      <c r="CV128" s="847"/>
      <c r="CW128" s="847"/>
      <c r="CX128" s="847"/>
      <c r="CY128" s="847"/>
      <c r="CZ128" s="847"/>
      <c r="DA128" s="847"/>
      <c r="DB128" s="847"/>
      <c r="DC128" s="847"/>
      <c r="DD128" s="847"/>
      <c r="DE128" s="847"/>
      <c r="DF128" s="847"/>
      <c r="DG128" s="847"/>
      <c r="DH128" s="847"/>
      <c r="DI128" s="847"/>
      <c r="DJ128" s="847"/>
      <c r="DK128" s="847"/>
      <c r="DL128" s="847"/>
      <c r="DM128" s="1212"/>
      <c r="DN128" s="1222"/>
      <c r="DO128" s="1013"/>
      <c r="DP128" s="847"/>
      <c r="DQ128" s="1013"/>
      <c r="DR128" s="1225"/>
      <c r="DS128" s="1013"/>
      <c r="DT128" s="1225"/>
      <c r="DU128" s="1214"/>
      <c r="DV128" s="1224"/>
      <c r="DW128" s="1232"/>
      <c r="DX128" s="1222"/>
      <c r="DY128" s="847"/>
      <c r="DZ128" s="847"/>
      <c r="EA128" s="847"/>
      <c r="EB128" s="847"/>
      <c r="EC128" s="847"/>
      <c r="ED128" s="847"/>
      <c r="EE128" s="847"/>
      <c r="EF128" s="847"/>
      <c r="EG128" s="1212"/>
      <c r="EH128" s="847"/>
      <c r="EI128" s="1212"/>
    </row>
    <row r="129" spans="1:139" s="733" customFormat="1" ht="13.5">
      <c r="A129" s="1009"/>
      <c r="B129" s="1212" t="s">
        <v>2067</v>
      </c>
      <c r="C129" s="1213">
        <v>0</v>
      </c>
      <c r="D129" s="1013" t="s">
        <v>49</v>
      </c>
      <c r="E129" s="847"/>
      <c r="F129" s="1013"/>
      <c r="G129" s="1013">
        <f>G127</f>
        <v>0.45</v>
      </c>
      <c r="H129" s="1013">
        <f>ROUND(C129*G129,2)</f>
        <v>0</v>
      </c>
      <c r="I129" s="847"/>
      <c r="J129" s="1013"/>
      <c r="K129" s="847">
        <f>K127</f>
        <v>3.4733333333333332</v>
      </c>
      <c r="L129" s="1013">
        <f>ROUND(C129*K129,2)</f>
        <v>0</v>
      </c>
      <c r="M129" s="847"/>
      <c r="N129" s="1013"/>
      <c r="O129" s="847"/>
      <c r="P129" s="1013"/>
      <c r="Q129" s="847"/>
      <c r="R129" s="847">
        <f>R127</f>
        <v>0.53999999999999992</v>
      </c>
      <c r="S129" s="847"/>
      <c r="T129" s="1013">
        <f>ROUND(C129*R129,2)</f>
        <v>0</v>
      </c>
      <c r="U129" s="1013"/>
      <c r="V129" s="1013"/>
      <c r="W129" s="847"/>
      <c r="X129" s="847"/>
      <c r="Y129" s="847"/>
      <c r="Z129" s="847"/>
      <c r="AA129" s="847"/>
      <c r="AB129" s="847"/>
      <c r="AC129" s="847"/>
      <c r="AD129" s="847"/>
      <c r="AE129" s="847"/>
      <c r="AF129" s="847"/>
      <c r="AG129" s="847"/>
      <c r="AH129" s="847"/>
      <c r="AI129" s="847"/>
      <c r="AJ129" s="847"/>
      <c r="AK129" s="847"/>
      <c r="AL129" s="847"/>
      <c r="AM129" s="847"/>
      <c r="AN129" s="847"/>
      <c r="AO129" s="847"/>
      <c r="AP129" s="847"/>
      <c r="AQ129" s="847"/>
      <c r="AR129" s="847"/>
      <c r="AS129" s="847"/>
      <c r="AT129" s="847"/>
      <c r="AU129" s="847"/>
      <c r="AV129" s="847"/>
      <c r="AW129" s="847"/>
      <c r="AX129" s="847"/>
      <c r="AY129" s="847"/>
      <c r="AZ129" s="847"/>
      <c r="BA129" s="847"/>
      <c r="BB129" s="847"/>
      <c r="BC129" s="847"/>
      <c r="BD129" s="847"/>
      <c r="BE129" s="847"/>
      <c r="BF129" s="847"/>
      <c r="BG129" s="847"/>
      <c r="BH129" s="847"/>
      <c r="BI129" s="847"/>
      <c r="BJ129" s="847"/>
      <c r="BK129" s="847"/>
      <c r="BL129" s="847"/>
      <c r="BM129" s="847"/>
      <c r="BN129" s="847"/>
      <c r="BO129" s="847"/>
      <c r="BP129" s="847"/>
      <c r="BQ129" s="847"/>
      <c r="BR129" s="847"/>
      <c r="BS129" s="847"/>
      <c r="BT129" s="847"/>
      <c r="BU129" s="847"/>
      <c r="BV129" s="847"/>
      <c r="BW129" s="847"/>
      <c r="BX129" s="847"/>
      <c r="BY129" s="847"/>
      <c r="BZ129" s="847"/>
      <c r="CA129" s="847"/>
      <c r="CB129" s="847"/>
      <c r="CC129" s="847"/>
      <c r="CD129" s="847"/>
      <c r="CE129" s="847"/>
      <c r="CF129" s="847"/>
      <c r="CG129" s="847"/>
      <c r="CH129" s="847"/>
      <c r="CI129" s="847"/>
      <c r="CJ129" s="847"/>
      <c r="CK129" s="847"/>
      <c r="CL129" s="847"/>
      <c r="CM129" s="847"/>
      <c r="CN129" s="847"/>
      <c r="CO129" s="847"/>
      <c r="CP129" s="847"/>
      <c r="CQ129" s="847"/>
      <c r="CR129" s="847"/>
      <c r="CS129" s="847"/>
      <c r="CT129" s="847"/>
      <c r="CU129" s="847"/>
      <c r="CV129" s="847"/>
      <c r="CW129" s="847"/>
      <c r="CX129" s="847"/>
      <c r="CY129" s="847"/>
      <c r="CZ129" s="847"/>
      <c r="DA129" s="847"/>
      <c r="DB129" s="847"/>
      <c r="DC129" s="847"/>
      <c r="DD129" s="847"/>
      <c r="DE129" s="847"/>
      <c r="DF129" s="847"/>
      <c r="DG129" s="847"/>
      <c r="DH129" s="847"/>
      <c r="DI129" s="847"/>
      <c r="DJ129" s="847"/>
      <c r="DK129" s="847"/>
      <c r="DL129" s="847"/>
      <c r="DM129" s="1212"/>
      <c r="DN129" s="1222">
        <f>DN127+DN127*15%</f>
        <v>1.5333333333333332</v>
      </c>
      <c r="DO129" s="1013">
        <f>ROUND(C129*DN129,2)</f>
        <v>0</v>
      </c>
      <c r="DP129" s="847">
        <f>DP127+DP127*15%</f>
        <v>6.593333333333333E-2</v>
      </c>
      <c r="DQ129" s="1013">
        <f>ROUND(C129*DP129,2)</f>
        <v>0</v>
      </c>
      <c r="DR129" s="847">
        <f>DR127+DR127*15%</f>
        <v>0.115</v>
      </c>
      <c r="DS129" s="1013">
        <f>ROUND(C129*DR129,2)</f>
        <v>0</v>
      </c>
      <c r="DT129" s="847"/>
      <c r="DU129" s="1214"/>
      <c r="DV129" s="1224"/>
      <c r="DW129" s="1232"/>
      <c r="DX129" s="1222"/>
      <c r="DY129" s="847"/>
      <c r="DZ129" s="847"/>
      <c r="EA129" s="847"/>
      <c r="EB129" s="847"/>
      <c r="EC129" s="847"/>
      <c r="ED129" s="847"/>
      <c r="EE129" s="847"/>
      <c r="EF129" s="847"/>
      <c r="EG129" s="1212"/>
      <c r="EH129" s="847"/>
      <c r="EI129" s="1212"/>
    </row>
    <row r="130" spans="1:139" s="733" customFormat="1" ht="13.5">
      <c r="A130" s="1009"/>
      <c r="B130" s="1212"/>
      <c r="C130" s="1213">
        <v>0</v>
      </c>
      <c r="D130" s="1013" t="s">
        <v>49</v>
      </c>
      <c r="E130" s="847"/>
      <c r="F130" s="1013"/>
      <c r="G130" s="1013"/>
      <c r="H130" s="1013"/>
      <c r="I130" s="847"/>
      <c r="J130" s="1013"/>
      <c r="K130" s="847"/>
      <c r="L130" s="1013"/>
      <c r="M130" s="847"/>
      <c r="N130" s="1013"/>
      <c r="O130" s="847"/>
      <c r="P130" s="1013"/>
      <c r="Q130" s="847"/>
      <c r="R130" s="847">
        <f>R128</f>
        <v>0.36000000000000004</v>
      </c>
      <c r="S130" s="847"/>
      <c r="T130" s="847"/>
      <c r="U130" s="1013"/>
      <c r="V130" s="1013">
        <f>ROUND(C130*R130,2)</f>
        <v>0</v>
      </c>
      <c r="W130" s="847"/>
      <c r="X130" s="847"/>
      <c r="Y130" s="847"/>
      <c r="Z130" s="847"/>
      <c r="AA130" s="847"/>
      <c r="AB130" s="847"/>
      <c r="AC130" s="847"/>
      <c r="AD130" s="847"/>
      <c r="AE130" s="847"/>
      <c r="AF130" s="847"/>
      <c r="AG130" s="847"/>
      <c r="AH130" s="847"/>
      <c r="AI130" s="847"/>
      <c r="AJ130" s="847"/>
      <c r="AK130" s="847"/>
      <c r="AL130" s="847"/>
      <c r="AM130" s="847"/>
      <c r="AN130" s="847"/>
      <c r="AO130" s="847"/>
      <c r="AP130" s="847"/>
      <c r="AQ130" s="847"/>
      <c r="AR130" s="847"/>
      <c r="AS130" s="847"/>
      <c r="AT130" s="847"/>
      <c r="AU130" s="847"/>
      <c r="AV130" s="847"/>
      <c r="AW130" s="847"/>
      <c r="AX130" s="847"/>
      <c r="AY130" s="847"/>
      <c r="AZ130" s="847"/>
      <c r="BA130" s="847"/>
      <c r="BB130" s="847"/>
      <c r="BC130" s="847"/>
      <c r="BD130" s="847"/>
      <c r="BE130" s="847"/>
      <c r="BF130" s="847"/>
      <c r="BG130" s="847"/>
      <c r="BH130" s="847"/>
      <c r="BI130" s="847"/>
      <c r="BJ130" s="847"/>
      <c r="BK130" s="847"/>
      <c r="BL130" s="847"/>
      <c r="BM130" s="847"/>
      <c r="BN130" s="847"/>
      <c r="BO130" s="847"/>
      <c r="BP130" s="847"/>
      <c r="BQ130" s="847"/>
      <c r="BR130" s="847"/>
      <c r="BS130" s="847"/>
      <c r="BT130" s="847"/>
      <c r="BU130" s="847"/>
      <c r="BV130" s="847"/>
      <c r="BW130" s="847"/>
      <c r="BX130" s="847"/>
      <c r="BY130" s="847"/>
      <c r="BZ130" s="847"/>
      <c r="CA130" s="847"/>
      <c r="CB130" s="847"/>
      <c r="CC130" s="847"/>
      <c r="CD130" s="847"/>
      <c r="CE130" s="847"/>
      <c r="CF130" s="847"/>
      <c r="CG130" s="847"/>
      <c r="CH130" s="847"/>
      <c r="CI130" s="847"/>
      <c r="CJ130" s="847"/>
      <c r="CK130" s="847"/>
      <c r="CL130" s="847"/>
      <c r="CM130" s="847"/>
      <c r="CN130" s="847"/>
      <c r="CO130" s="847"/>
      <c r="CP130" s="847"/>
      <c r="CQ130" s="847"/>
      <c r="CR130" s="847"/>
      <c r="CS130" s="847"/>
      <c r="CT130" s="847"/>
      <c r="CU130" s="847"/>
      <c r="CV130" s="847"/>
      <c r="CW130" s="847"/>
      <c r="CX130" s="847"/>
      <c r="CY130" s="847"/>
      <c r="CZ130" s="847"/>
      <c r="DA130" s="847"/>
      <c r="DB130" s="847"/>
      <c r="DC130" s="847"/>
      <c r="DD130" s="847"/>
      <c r="DE130" s="847"/>
      <c r="DF130" s="847"/>
      <c r="DG130" s="847"/>
      <c r="DH130" s="847"/>
      <c r="DI130" s="847"/>
      <c r="DJ130" s="847"/>
      <c r="DK130" s="847"/>
      <c r="DL130" s="847"/>
      <c r="DM130" s="1212"/>
      <c r="DN130" s="1222"/>
      <c r="DO130" s="1013"/>
      <c r="DP130" s="847"/>
      <c r="DQ130" s="1013"/>
      <c r="DR130" s="847"/>
      <c r="DS130" s="1013"/>
      <c r="DT130" s="847"/>
      <c r="DU130" s="1214"/>
      <c r="DV130" s="1224"/>
      <c r="DW130" s="1232"/>
      <c r="DX130" s="1222"/>
      <c r="DY130" s="847"/>
      <c r="DZ130" s="847"/>
      <c r="EA130" s="847"/>
      <c r="EB130" s="847"/>
      <c r="EC130" s="847"/>
      <c r="ED130" s="847"/>
      <c r="EE130" s="847"/>
      <c r="EF130" s="847"/>
      <c r="EG130" s="1212"/>
      <c r="EH130" s="847"/>
      <c r="EI130" s="1212"/>
    </row>
    <row r="131" spans="1:139" s="733" customFormat="1" ht="13.5">
      <c r="A131" s="1009">
        <v>48</v>
      </c>
      <c r="B131" s="1212" t="s">
        <v>3047</v>
      </c>
      <c r="C131" s="1213">
        <v>0</v>
      </c>
      <c r="D131" s="1013" t="s">
        <v>49</v>
      </c>
      <c r="E131" s="847"/>
      <c r="F131" s="1013"/>
      <c r="G131" s="1013"/>
      <c r="H131" s="1013"/>
      <c r="I131" s="847"/>
      <c r="J131" s="1013"/>
      <c r="K131" s="847"/>
      <c r="L131" s="1013"/>
      <c r="M131" s="847"/>
      <c r="N131" s="1013"/>
      <c r="O131" s="847"/>
      <c r="P131" s="1013"/>
      <c r="Q131" s="847"/>
      <c r="R131" s="847"/>
      <c r="S131" s="847"/>
      <c r="T131" s="847"/>
      <c r="U131" s="1013"/>
      <c r="V131" s="847"/>
      <c r="W131" s="847"/>
      <c r="X131" s="847"/>
      <c r="Y131" s="847"/>
      <c r="Z131" s="847"/>
      <c r="AA131" s="847"/>
      <c r="AB131" s="847"/>
      <c r="AC131" s="847"/>
      <c r="AD131" s="847"/>
      <c r="AE131" s="847"/>
      <c r="AF131" s="847"/>
      <c r="AG131" s="847"/>
      <c r="AH131" s="847"/>
      <c r="AI131" s="847"/>
      <c r="AJ131" s="847"/>
      <c r="AK131" s="847"/>
      <c r="AL131" s="847"/>
      <c r="AM131" s="847"/>
      <c r="AN131" s="847"/>
      <c r="AO131" s="847"/>
      <c r="AP131" s="847"/>
      <c r="AQ131" s="847"/>
      <c r="AR131" s="847"/>
      <c r="AS131" s="847"/>
      <c r="AT131" s="847"/>
      <c r="AU131" s="847"/>
      <c r="AV131" s="847"/>
      <c r="AW131" s="847"/>
      <c r="AX131" s="847"/>
      <c r="AY131" s="847"/>
      <c r="AZ131" s="847"/>
      <c r="BA131" s="847"/>
      <c r="BB131" s="847"/>
      <c r="BC131" s="847"/>
      <c r="BD131" s="847"/>
      <c r="BE131" s="847"/>
      <c r="BF131" s="847"/>
      <c r="BG131" s="847"/>
      <c r="BH131" s="847"/>
      <c r="BI131" s="847"/>
      <c r="BJ131" s="847"/>
      <c r="BK131" s="847"/>
      <c r="BL131" s="847"/>
      <c r="BM131" s="847"/>
      <c r="BN131" s="847"/>
      <c r="BO131" s="847"/>
      <c r="BP131" s="847"/>
      <c r="BQ131" s="847"/>
      <c r="BR131" s="847"/>
      <c r="BS131" s="847"/>
      <c r="BT131" s="847"/>
      <c r="BU131" s="847"/>
      <c r="BV131" s="847"/>
      <c r="BW131" s="847"/>
      <c r="BX131" s="847"/>
      <c r="BY131" s="847"/>
      <c r="BZ131" s="847"/>
      <c r="CA131" s="847"/>
      <c r="CB131" s="847"/>
      <c r="CC131" s="847"/>
      <c r="CD131" s="847"/>
      <c r="CE131" s="847"/>
      <c r="CF131" s="847"/>
      <c r="CG131" s="847"/>
      <c r="CH131" s="847"/>
      <c r="CI131" s="847"/>
      <c r="CJ131" s="847"/>
      <c r="CK131" s="847"/>
      <c r="CL131" s="847"/>
      <c r="CM131" s="847"/>
      <c r="CN131" s="847"/>
      <c r="CO131" s="847"/>
      <c r="CP131" s="847"/>
      <c r="CQ131" s="847"/>
      <c r="CR131" s="847"/>
      <c r="CS131" s="847"/>
      <c r="CT131" s="847"/>
      <c r="CU131" s="847"/>
      <c r="CV131" s="847"/>
      <c r="CW131" s="847"/>
      <c r="CX131" s="847"/>
      <c r="CY131" s="847"/>
      <c r="CZ131" s="847"/>
      <c r="DA131" s="847"/>
      <c r="DB131" s="847"/>
      <c r="DC131" s="847"/>
      <c r="DD131" s="847"/>
      <c r="DE131" s="847"/>
      <c r="DF131" s="847"/>
      <c r="DG131" s="847"/>
      <c r="DH131" s="847"/>
      <c r="DI131" s="847"/>
      <c r="DJ131" s="847"/>
      <c r="DK131" s="847"/>
      <c r="DL131" s="847"/>
      <c r="DM131" s="1212"/>
      <c r="DN131" s="1222"/>
      <c r="DO131" s="1013"/>
      <c r="DP131" s="847"/>
      <c r="DQ131" s="1013"/>
      <c r="DR131" s="1225"/>
      <c r="DS131" s="1013"/>
      <c r="DT131" s="1225"/>
      <c r="DU131" s="1214"/>
      <c r="DV131" s="1242"/>
      <c r="DW131" s="1232"/>
      <c r="DX131" s="1222"/>
      <c r="DY131" s="847"/>
      <c r="DZ131" s="847"/>
      <c r="EA131" s="847"/>
      <c r="EB131" s="847"/>
      <c r="EC131" s="847"/>
      <c r="ED131" s="847"/>
      <c r="EE131" s="847"/>
      <c r="EF131" s="847"/>
      <c r="EG131" s="1212"/>
      <c r="EH131" s="847"/>
      <c r="EI131" s="1212"/>
    </row>
    <row r="132" spans="1:139" s="733" customFormat="1" ht="13.5">
      <c r="A132" s="1009"/>
      <c r="B132" s="1212" t="s">
        <v>2066</v>
      </c>
      <c r="C132" s="1213">
        <v>0</v>
      </c>
      <c r="D132" s="1013" t="s">
        <v>49</v>
      </c>
      <c r="E132" s="847"/>
      <c r="F132" s="1013"/>
      <c r="G132" s="1013">
        <f>'Lead &amp; ANALYSIS'!G2462</f>
        <v>0.45</v>
      </c>
      <c r="H132" s="1013">
        <f>ROUND(C132*G132,2)</f>
        <v>0</v>
      </c>
      <c r="I132" s="847"/>
      <c r="J132" s="1013"/>
      <c r="K132" s="847">
        <f>'Lead &amp; ANALYSIS'!G2463</f>
        <v>2.8</v>
      </c>
      <c r="L132" s="1013">
        <f>ROUND(C132*K132,2)</f>
        <v>0</v>
      </c>
      <c r="M132" s="847"/>
      <c r="N132" s="1013"/>
      <c r="O132" s="847"/>
      <c r="P132" s="1013"/>
      <c r="Q132" s="847"/>
      <c r="R132" s="847">
        <f>'Lead &amp; ANALYSIS'!G2460</f>
        <v>0.54</v>
      </c>
      <c r="S132" s="847"/>
      <c r="T132" s="1013">
        <f>ROUND(C132*R132,2)</f>
        <v>0</v>
      </c>
      <c r="U132" s="1013"/>
      <c r="V132" s="847"/>
      <c r="W132" s="847"/>
      <c r="X132" s="847"/>
      <c r="Y132" s="847"/>
      <c r="Z132" s="847"/>
      <c r="AA132" s="847"/>
      <c r="AB132" s="847"/>
      <c r="AC132" s="847"/>
      <c r="AD132" s="847"/>
      <c r="AE132" s="847"/>
      <c r="AF132" s="847"/>
      <c r="AG132" s="847"/>
      <c r="AH132" s="847"/>
      <c r="AI132" s="847"/>
      <c r="AJ132" s="847"/>
      <c r="AK132" s="847"/>
      <c r="AL132" s="847"/>
      <c r="AM132" s="847"/>
      <c r="AN132" s="847"/>
      <c r="AO132" s="847"/>
      <c r="AP132" s="847"/>
      <c r="AQ132" s="847"/>
      <c r="AR132" s="847"/>
      <c r="AS132" s="847"/>
      <c r="AT132" s="847"/>
      <c r="AU132" s="847"/>
      <c r="AV132" s="847"/>
      <c r="AW132" s="847"/>
      <c r="AX132" s="847"/>
      <c r="AY132" s="847"/>
      <c r="AZ132" s="847"/>
      <c r="BA132" s="847"/>
      <c r="BB132" s="847"/>
      <c r="BC132" s="847"/>
      <c r="BD132" s="847"/>
      <c r="BE132" s="847"/>
      <c r="BF132" s="847"/>
      <c r="BG132" s="847"/>
      <c r="BH132" s="847"/>
      <c r="BI132" s="847"/>
      <c r="BJ132" s="847"/>
      <c r="BK132" s="847"/>
      <c r="BL132" s="847"/>
      <c r="BM132" s="847"/>
      <c r="BN132" s="847"/>
      <c r="BO132" s="847"/>
      <c r="BP132" s="847"/>
      <c r="BQ132" s="847"/>
      <c r="BR132" s="847"/>
      <c r="BS132" s="847"/>
      <c r="BT132" s="847"/>
      <c r="BU132" s="847"/>
      <c r="BV132" s="847"/>
      <c r="BW132" s="847"/>
      <c r="BX132" s="847"/>
      <c r="BY132" s="847"/>
      <c r="BZ132" s="847"/>
      <c r="CA132" s="847"/>
      <c r="CB132" s="847"/>
      <c r="CC132" s="847"/>
      <c r="CD132" s="847"/>
      <c r="CE132" s="847"/>
      <c r="CF132" s="847"/>
      <c r="CG132" s="847"/>
      <c r="CH132" s="847"/>
      <c r="CI132" s="847"/>
      <c r="CJ132" s="847"/>
      <c r="CK132" s="847"/>
      <c r="CL132" s="847"/>
      <c r="CM132" s="847"/>
      <c r="CN132" s="847"/>
      <c r="CO132" s="847"/>
      <c r="CP132" s="847"/>
      <c r="CQ132" s="847"/>
      <c r="CR132" s="847"/>
      <c r="CS132" s="847"/>
      <c r="CT132" s="847"/>
      <c r="CU132" s="847"/>
      <c r="CV132" s="847"/>
      <c r="CW132" s="847"/>
      <c r="CX132" s="847"/>
      <c r="CY132" s="847"/>
      <c r="CZ132" s="847"/>
      <c r="DA132" s="847"/>
      <c r="DB132" s="847"/>
      <c r="DC132" s="847"/>
      <c r="DD132" s="847"/>
      <c r="DE132" s="847"/>
      <c r="DF132" s="847"/>
      <c r="DG132" s="847"/>
      <c r="DH132" s="847"/>
      <c r="DI132" s="847"/>
      <c r="DJ132" s="847"/>
      <c r="DK132" s="847"/>
      <c r="DL132" s="847"/>
      <c r="DM132" s="1212"/>
      <c r="DN132" s="1231">
        <f>'Lead &amp; ANALYSIS'!G2468</f>
        <v>1.33</v>
      </c>
      <c r="DO132" s="1013">
        <f>ROUND(C132*DN132,2)</f>
        <v>0</v>
      </c>
      <c r="DP132" s="847">
        <f>'Lead &amp; ANALYSIS'!G2466</f>
        <v>0.06</v>
      </c>
      <c r="DQ132" s="1013">
        <f>ROUND(C132*DP132,2)</f>
        <v>0</v>
      </c>
      <c r="DR132" s="1225">
        <f>'Lead &amp; ANALYSIS'!G2467</f>
        <v>0.1</v>
      </c>
      <c r="DS132" s="1013">
        <f>ROUND(C132*DR132,2)</f>
        <v>0</v>
      </c>
      <c r="DT132" s="1225"/>
      <c r="DU132" s="1214"/>
      <c r="DV132" s="1224"/>
      <c r="DW132" s="1232"/>
      <c r="DX132" s="1222"/>
      <c r="DY132" s="847"/>
      <c r="DZ132" s="847"/>
      <c r="EA132" s="847"/>
      <c r="EB132" s="847"/>
      <c r="EC132" s="847"/>
      <c r="ED132" s="847"/>
      <c r="EE132" s="847"/>
      <c r="EF132" s="847"/>
      <c r="EG132" s="1212"/>
      <c r="EH132" s="847"/>
      <c r="EI132" s="1212"/>
    </row>
    <row r="133" spans="1:139" s="733" customFormat="1" ht="13.5">
      <c r="A133" s="1009"/>
      <c r="B133" s="1212"/>
      <c r="C133" s="1213">
        <v>0</v>
      </c>
      <c r="D133" s="1013" t="s">
        <v>49</v>
      </c>
      <c r="E133" s="847"/>
      <c r="F133" s="1013"/>
      <c r="G133" s="1013"/>
      <c r="H133" s="1013"/>
      <c r="I133" s="847"/>
      <c r="J133" s="1013"/>
      <c r="K133" s="847"/>
      <c r="L133" s="1013"/>
      <c r="M133" s="847"/>
      <c r="N133" s="1013"/>
      <c r="O133" s="847"/>
      <c r="P133" s="1013"/>
      <c r="Q133" s="847"/>
      <c r="R133" s="847">
        <f>'Lead &amp; ANALYSIS'!G2461</f>
        <v>0.36</v>
      </c>
      <c r="S133" s="847"/>
      <c r="T133" s="1013"/>
      <c r="U133" s="1013"/>
      <c r="V133" s="1013">
        <f>ROUND(C133*R133,2)</f>
        <v>0</v>
      </c>
      <c r="W133" s="847"/>
      <c r="X133" s="847"/>
      <c r="Y133" s="847"/>
      <c r="Z133" s="847"/>
      <c r="AA133" s="847"/>
      <c r="AB133" s="847"/>
      <c r="AC133" s="847"/>
      <c r="AD133" s="847"/>
      <c r="AE133" s="847"/>
      <c r="AF133" s="847"/>
      <c r="AG133" s="847"/>
      <c r="AH133" s="847"/>
      <c r="AI133" s="847"/>
      <c r="AJ133" s="847"/>
      <c r="AK133" s="847"/>
      <c r="AL133" s="847"/>
      <c r="AM133" s="847"/>
      <c r="AN133" s="847"/>
      <c r="AO133" s="847"/>
      <c r="AP133" s="847"/>
      <c r="AQ133" s="847"/>
      <c r="AR133" s="847"/>
      <c r="AS133" s="847"/>
      <c r="AT133" s="847"/>
      <c r="AU133" s="847"/>
      <c r="AV133" s="847"/>
      <c r="AW133" s="847"/>
      <c r="AX133" s="847"/>
      <c r="AY133" s="847"/>
      <c r="AZ133" s="847"/>
      <c r="BA133" s="847"/>
      <c r="BB133" s="847"/>
      <c r="BC133" s="847"/>
      <c r="BD133" s="847"/>
      <c r="BE133" s="847"/>
      <c r="BF133" s="847"/>
      <c r="BG133" s="847"/>
      <c r="BH133" s="847"/>
      <c r="BI133" s="847"/>
      <c r="BJ133" s="847"/>
      <c r="BK133" s="847"/>
      <c r="BL133" s="847"/>
      <c r="BM133" s="847"/>
      <c r="BN133" s="847"/>
      <c r="BO133" s="847"/>
      <c r="BP133" s="847"/>
      <c r="BQ133" s="847"/>
      <c r="BR133" s="847"/>
      <c r="BS133" s="847"/>
      <c r="BT133" s="847"/>
      <c r="BU133" s="847"/>
      <c r="BV133" s="847"/>
      <c r="BW133" s="847"/>
      <c r="BX133" s="847"/>
      <c r="BY133" s="847"/>
      <c r="BZ133" s="847"/>
      <c r="CA133" s="847"/>
      <c r="CB133" s="847"/>
      <c r="CC133" s="847"/>
      <c r="CD133" s="847"/>
      <c r="CE133" s="847"/>
      <c r="CF133" s="847"/>
      <c r="CG133" s="847"/>
      <c r="CH133" s="847"/>
      <c r="CI133" s="847"/>
      <c r="CJ133" s="847"/>
      <c r="CK133" s="847"/>
      <c r="CL133" s="847"/>
      <c r="CM133" s="847"/>
      <c r="CN133" s="847"/>
      <c r="CO133" s="847"/>
      <c r="CP133" s="847"/>
      <c r="CQ133" s="847"/>
      <c r="CR133" s="847"/>
      <c r="CS133" s="847"/>
      <c r="CT133" s="847"/>
      <c r="CU133" s="847"/>
      <c r="CV133" s="847"/>
      <c r="CW133" s="847"/>
      <c r="CX133" s="847"/>
      <c r="CY133" s="847"/>
      <c r="CZ133" s="847"/>
      <c r="DA133" s="847"/>
      <c r="DB133" s="847"/>
      <c r="DC133" s="847"/>
      <c r="DD133" s="847"/>
      <c r="DE133" s="847"/>
      <c r="DF133" s="847"/>
      <c r="DG133" s="847"/>
      <c r="DH133" s="847"/>
      <c r="DI133" s="847"/>
      <c r="DJ133" s="847"/>
      <c r="DK133" s="847"/>
      <c r="DL133" s="847"/>
      <c r="DM133" s="1212"/>
      <c r="DN133" s="1222"/>
      <c r="DO133" s="1013"/>
      <c r="DP133" s="847"/>
      <c r="DQ133" s="1013"/>
      <c r="DR133" s="1225"/>
      <c r="DS133" s="1013"/>
      <c r="DT133" s="1225"/>
      <c r="DU133" s="1214"/>
      <c r="DV133" s="1242"/>
      <c r="DW133" s="1232"/>
      <c r="DX133" s="1222"/>
      <c r="DY133" s="847"/>
      <c r="DZ133" s="847"/>
      <c r="EA133" s="847"/>
      <c r="EB133" s="847"/>
      <c r="EC133" s="847"/>
      <c r="ED133" s="847"/>
      <c r="EE133" s="847"/>
      <c r="EF133" s="847"/>
      <c r="EG133" s="1212"/>
      <c r="EH133" s="847"/>
      <c r="EI133" s="1212"/>
    </row>
    <row r="134" spans="1:139" s="733" customFormat="1" ht="13.5">
      <c r="A134" s="1009"/>
      <c r="B134" s="1212" t="s">
        <v>2067</v>
      </c>
      <c r="C134" s="1213">
        <v>0</v>
      </c>
      <c r="D134" s="1013" t="s">
        <v>49</v>
      </c>
      <c r="E134" s="847"/>
      <c r="F134" s="1013"/>
      <c r="G134" s="1013">
        <f>G132</f>
        <v>0.45</v>
      </c>
      <c r="H134" s="1013">
        <f>ROUND(C134*G134,2)</f>
        <v>0</v>
      </c>
      <c r="I134" s="847"/>
      <c r="J134" s="1013"/>
      <c r="K134" s="847">
        <f>K132</f>
        <v>2.8</v>
      </c>
      <c r="L134" s="1013">
        <f>ROUND(C134*K134,2)</f>
        <v>0</v>
      </c>
      <c r="M134" s="847"/>
      <c r="N134" s="1013"/>
      <c r="O134" s="847"/>
      <c r="P134" s="1013"/>
      <c r="Q134" s="847"/>
      <c r="R134" s="847">
        <f>R132</f>
        <v>0.54</v>
      </c>
      <c r="S134" s="847"/>
      <c r="T134" s="1013">
        <f>ROUND(C134*R134,2)</f>
        <v>0</v>
      </c>
      <c r="U134" s="1013"/>
      <c r="V134" s="1013"/>
      <c r="W134" s="847"/>
      <c r="X134" s="847"/>
      <c r="Y134" s="847"/>
      <c r="Z134" s="847"/>
      <c r="AA134" s="847"/>
      <c r="AB134" s="847"/>
      <c r="AC134" s="847"/>
      <c r="AD134" s="847"/>
      <c r="AE134" s="847"/>
      <c r="AF134" s="847"/>
      <c r="AG134" s="847"/>
      <c r="AH134" s="847"/>
      <c r="AI134" s="847"/>
      <c r="AJ134" s="847"/>
      <c r="AK134" s="847"/>
      <c r="AL134" s="847"/>
      <c r="AM134" s="847"/>
      <c r="AN134" s="847"/>
      <c r="AO134" s="847"/>
      <c r="AP134" s="847"/>
      <c r="AQ134" s="847"/>
      <c r="AR134" s="847"/>
      <c r="AS134" s="847"/>
      <c r="AT134" s="847"/>
      <c r="AU134" s="847"/>
      <c r="AV134" s="847"/>
      <c r="AW134" s="847"/>
      <c r="AX134" s="847"/>
      <c r="AY134" s="847"/>
      <c r="AZ134" s="847"/>
      <c r="BA134" s="847"/>
      <c r="BB134" s="847"/>
      <c r="BC134" s="847"/>
      <c r="BD134" s="847"/>
      <c r="BE134" s="847"/>
      <c r="BF134" s="847"/>
      <c r="BG134" s="847"/>
      <c r="BH134" s="847"/>
      <c r="BI134" s="847"/>
      <c r="BJ134" s="847"/>
      <c r="BK134" s="847"/>
      <c r="BL134" s="847"/>
      <c r="BM134" s="847"/>
      <c r="BN134" s="847"/>
      <c r="BO134" s="847"/>
      <c r="BP134" s="847"/>
      <c r="BQ134" s="847"/>
      <c r="BR134" s="847"/>
      <c r="BS134" s="847"/>
      <c r="BT134" s="847"/>
      <c r="BU134" s="847"/>
      <c r="BV134" s="847"/>
      <c r="BW134" s="847"/>
      <c r="BX134" s="847"/>
      <c r="BY134" s="847"/>
      <c r="BZ134" s="847"/>
      <c r="CA134" s="847"/>
      <c r="CB134" s="847"/>
      <c r="CC134" s="847"/>
      <c r="CD134" s="847"/>
      <c r="CE134" s="847"/>
      <c r="CF134" s="847"/>
      <c r="CG134" s="847"/>
      <c r="CH134" s="847"/>
      <c r="CI134" s="847"/>
      <c r="CJ134" s="847"/>
      <c r="CK134" s="847"/>
      <c r="CL134" s="847"/>
      <c r="CM134" s="847"/>
      <c r="CN134" s="847"/>
      <c r="CO134" s="847"/>
      <c r="CP134" s="847"/>
      <c r="CQ134" s="847"/>
      <c r="CR134" s="847"/>
      <c r="CS134" s="847"/>
      <c r="CT134" s="847"/>
      <c r="CU134" s="847"/>
      <c r="CV134" s="847"/>
      <c r="CW134" s="847"/>
      <c r="CX134" s="847"/>
      <c r="CY134" s="847"/>
      <c r="CZ134" s="847"/>
      <c r="DA134" s="847"/>
      <c r="DB134" s="847"/>
      <c r="DC134" s="847"/>
      <c r="DD134" s="847"/>
      <c r="DE134" s="847"/>
      <c r="DF134" s="847"/>
      <c r="DG134" s="847"/>
      <c r="DH134" s="847"/>
      <c r="DI134" s="847"/>
      <c r="DJ134" s="847"/>
      <c r="DK134" s="847"/>
      <c r="DL134" s="847"/>
      <c r="DM134" s="1212"/>
      <c r="DN134" s="1222">
        <f>DN132+DN132*15%</f>
        <v>1.5295000000000001</v>
      </c>
      <c r="DO134" s="1013">
        <f>ROUND(C134*DN134,2)</f>
        <v>0</v>
      </c>
      <c r="DP134" s="847">
        <f>DP132+DP132*15%</f>
        <v>6.8999999999999992E-2</v>
      </c>
      <c r="DQ134" s="1013">
        <f>ROUND(C134*DP134,2)</f>
        <v>0</v>
      </c>
      <c r="DR134" s="847">
        <f>DR132+DR132*15%</f>
        <v>0.115</v>
      </c>
      <c r="DS134" s="1013">
        <f>ROUND(C134*DR134,2)</f>
        <v>0</v>
      </c>
      <c r="DT134" s="847"/>
      <c r="DU134" s="1214"/>
      <c r="DV134" s="1224"/>
      <c r="DW134" s="1232"/>
      <c r="DX134" s="1222"/>
      <c r="DY134" s="847"/>
      <c r="DZ134" s="847"/>
      <c r="EA134" s="847"/>
      <c r="EB134" s="847"/>
      <c r="EC134" s="847"/>
      <c r="ED134" s="847"/>
      <c r="EE134" s="847"/>
      <c r="EF134" s="847"/>
      <c r="EG134" s="1212"/>
      <c r="EH134" s="847"/>
      <c r="EI134" s="1212"/>
    </row>
    <row r="135" spans="1:139" s="733" customFormat="1" ht="13.5">
      <c r="A135" s="1009"/>
      <c r="B135" s="1212"/>
      <c r="C135" s="1213">
        <v>0</v>
      </c>
      <c r="D135" s="1013" t="s">
        <v>49</v>
      </c>
      <c r="E135" s="847"/>
      <c r="F135" s="1013"/>
      <c r="G135" s="1013"/>
      <c r="H135" s="1013"/>
      <c r="I135" s="847"/>
      <c r="J135" s="1013"/>
      <c r="K135" s="847"/>
      <c r="L135" s="1013"/>
      <c r="M135" s="847"/>
      <c r="N135" s="1013"/>
      <c r="O135" s="847"/>
      <c r="P135" s="1013"/>
      <c r="Q135" s="847"/>
      <c r="R135" s="847">
        <f>R133</f>
        <v>0.36</v>
      </c>
      <c r="S135" s="847"/>
      <c r="T135" s="847"/>
      <c r="U135" s="1013"/>
      <c r="V135" s="1013">
        <f>ROUND(C135*R135,2)</f>
        <v>0</v>
      </c>
      <c r="W135" s="847"/>
      <c r="X135" s="847"/>
      <c r="Y135" s="847"/>
      <c r="Z135" s="847"/>
      <c r="AA135" s="847"/>
      <c r="AB135" s="847"/>
      <c r="AC135" s="847"/>
      <c r="AD135" s="847"/>
      <c r="AE135" s="847"/>
      <c r="AF135" s="847"/>
      <c r="AG135" s="847"/>
      <c r="AH135" s="847"/>
      <c r="AI135" s="847"/>
      <c r="AJ135" s="847"/>
      <c r="AK135" s="847"/>
      <c r="AL135" s="847"/>
      <c r="AM135" s="847"/>
      <c r="AN135" s="847"/>
      <c r="AO135" s="847"/>
      <c r="AP135" s="847"/>
      <c r="AQ135" s="847"/>
      <c r="AR135" s="847"/>
      <c r="AS135" s="847"/>
      <c r="AT135" s="847"/>
      <c r="AU135" s="847"/>
      <c r="AV135" s="847"/>
      <c r="AW135" s="847"/>
      <c r="AX135" s="847"/>
      <c r="AY135" s="847"/>
      <c r="AZ135" s="847"/>
      <c r="BA135" s="847"/>
      <c r="BB135" s="847"/>
      <c r="BC135" s="847"/>
      <c r="BD135" s="847"/>
      <c r="BE135" s="847"/>
      <c r="BF135" s="847"/>
      <c r="BG135" s="847"/>
      <c r="BH135" s="847"/>
      <c r="BI135" s="847"/>
      <c r="BJ135" s="847"/>
      <c r="BK135" s="847"/>
      <c r="BL135" s="847"/>
      <c r="BM135" s="847"/>
      <c r="BN135" s="847"/>
      <c r="BO135" s="847"/>
      <c r="BP135" s="847"/>
      <c r="BQ135" s="847"/>
      <c r="BR135" s="847"/>
      <c r="BS135" s="847"/>
      <c r="BT135" s="847"/>
      <c r="BU135" s="847"/>
      <c r="BV135" s="847"/>
      <c r="BW135" s="847"/>
      <c r="BX135" s="847"/>
      <c r="BY135" s="847"/>
      <c r="BZ135" s="847"/>
      <c r="CA135" s="847"/>
      <c r="CB135" s="847"/>
      <c r="CC135" s="847"/>
      <c r="CD135" s="847"/>
      <c r="CE135" s="847"/>
      <c r="CF135" s="847"/>
      <c r="CG135" s="847"/>
      <c r="CH135" s="847"/>
      <c r="CI135" s="847"/>
      <c r="CJ135" s="847"/>
      <c r="CK135" s="847"/>
      <c r="CL135" s="847"/>
      <c r="CM135" s="847"/>
      <c r="CN135" s="847"/>
      <c r="CO135" s="847"/>
      <c r="CP135" s="847"/>
      <c r="CQ135" s="847"/>
      <c r="CR135" s="847"/>
      <c r="CS135" s="847"/>
      <c r="CT135" s="847"/>
      <c r="CU135" s="847"/>
      <c r="CV135" s="847"/>
      <c r="CW135" s="847"/>
      <c r="CX135" s="847"/>
      <c r="CY135" s="847"/>
      <c r="CZ135" s="847"/>
      <c r="DA135" s="847"/>
      <c r="DB135" s="847"/>
      <c r="DC135" s="847"/>
      <c r="DD135" s="847"/>
      <c r="DE135" s="847"/>
      <c r="DF135" s="847"/>
      <c r="DG135" s="847"/>
      <c r="DH135" s="847"/>
      <c r="DI135" s="847"/>
      <c r="DJ135" s="847"/>
      <c r="DK135" s="847"/>
      <c r="DL135" s="847"/>
      <c r="DM135" s="1212"/>
      <c r="DN135" s="1222"/>
      <c r="DO135" s="1013"/>
      <c r="DP135" s="847"/>
      <c r="DQ135" s="1013"/>
      <c r="DR135" s="847"/>
      <c r="DS135" s="1013"/>
      <c r="DT135" s="847"/>
      <c r="DU135" s="1214"/>
      <c r="DV135" s="1242"/>
      <c r="DW135" s="1232"/>
      <c r="DX135" s="1222"/>
      <c r="DY135" s="847"/>
      <c r="DZ135" s="847"/>
      <c r="EA135" s="847"/>
      <c r="EB135" s="847"/>
      <c r="EC135" s="847"/>
      <c r="ED135" s="847"/>
      <c r="EE135" s="847"/>
      <c r="EF135" s="847"/>
      <c r="EG135" s="1212"/>
      <c r="EH135" s="847"/>
      <c r="EI135" s="1212"/>
    </row>
    <row r="136" spans="1:139" s="733" customFormat="1" ht="13.5">
      <c r="A136" s="1009">
        <v>49</v>
      </c>
      <c r="B136" s="1212" t="s">
        <v>3048</v>
      </c>
      <c r="C136" s="1213">
        <v>0</v>
      </c>
      <c r="D136" s="1013" t="s">
        <v>49</v>
      </c>
      <c r="E136" s="847"/>
      <c r="F136" s="1013"/>
      <c r="G136" s="1013"/>
      <c r="H136" s="1013"/>
      <c r="I136" s="847"/>
      <c r="J136" s="1013"/>
      <c r="K136" s="847"/>
      <c r="L136" s="1013"/>
      <c r="M136" s="847"/>
      <c r="N136" s="1013"/>
      <c r="O136" s="847"/>
      <c r="P136" s="1013"/>
      <c r="Q136" s="847"/>
      <c r="R136" s="847"/>
      <c r="S136" s="847"/>
      <c r="T136" s="847"/>
      <c r="U136" s="1013"/>
      <c r="V136" s="847"/>
      <c r="W136" s="847"/>
      <c r="X136" s="847"/>
      <c r="Y136" s="847"/>
      <c r="Z136" s="847"/>
      <c r="AA136" s="847"/>
      <c r="AB136" s="847"/>
      <c r="AC136" s="847"/>
      <c r="AD136" s="847"/>
      <c r="AE136" s="847"/>
      <c r="AF136" s="847"/>
      <c r="AG136" s="847"/>
      <c r="AH136" s="847"/>
      <c r="AI136" s="847"/>
      <c r="AJ136" s="847"/>
      <c r="AK136" s="847"/>
      <c r="AL136" s="847"/>
      <c r="AM136" s="847"/>
      <c r="AN136" s="847"/>
      <c r="AO136" s="847"/>
      <c r="AP136" s="847"/>
      <c r="AQ136" s="847"/>
      <c r="AR136" s="847"/>
      <c r="AS136" s="847"/>
      <c r="AT136" s="847"/>
      <c r="AU136" s="847"/>
      <c r="AV136" s="847"/>
      <c r="AW136" s="847"/>
      <c r="AX136" s="847"/>
      <c r="AY136" s="847"/>
      <c r="AZ136" s="847"/>
      <c r="BA136" s="847"/>
      <c r="BB136" s="847"/>
      <c r="BC136" s="847"/>
      <c r="BD136" s="847"/>
      <c r="BE136" s="847"/>
      <c r="BF136" s="847"/>
      <c r="BG136" s="847"/>
      <c r="BH136" s="847"/>
      <c r="BI136" s="847"/>
      <c r="BJ136" s="847"/>
      <c r="BK136" s="847"/>
      <c r="BL136" s="847"/>
      <c r="BM136" s="847"/>
      <c r="BN136" s="847"/>
      <c r="BO136" s="847"/>
      <c r="BP136" s="847"/>
      <c r="BQ136" s="847"/>
      <c r="BR136" s="847"/>
      <c r="BS136" s="847"/>
      <c r="BT136" s="847"/>
      <c r="BU136" s="847"/>
      <c r="BV136" s="847"/>
      <c r="BW136" s="847"/>
      <c r="BX136" s="847"/>
      <c r="BY136" s="847"/>
      <c r="BZ136" s="847"/>
      <c r="CA136" s="847"/>
      <c r="CB136" s="847"/>
      <c r="CC136" s="847"/>
      <c r="CD136" s="847"/>
      <c r="CE136" s="847"/>
      <c r="CF136" s="847"/>
      <c r="CG136" s="847"/>
      <c r="CH136" s="847"/>
      <c r="CI136" s="847"/>
      <c r="CJ136" s="847"/>
      <c r="CK136" s="847"/>
      <c r="CL136" s="847"/>
      <c r="CM136" s="847"/>
      <c r="CN136" s="847"/>
      <c r="CO136" s="847"/>
      <c r="CP136" s="847"/>
      <c r="CQ136" s="847"/>
      <c r="CR136" s="847"/>
      <c r="CS136" s="847"/>
      <c r="CT136" s="847"/>
      <c r="CU136" s="847"/>
      <c r="CV136" s="847"/>
      <c r="CW136" s="847"/>
      <c r="CX136" s="847"/>
      <c r="CY136" s="847"/>
      <c r="CZ136" s="847"/>
      <c r="DA136" s="847"/>
      <c r="DB136" s="847"/>
      <c r="DC136" s="847"/>
      <c r="DD136" s="847"/>
      <c r="DE136" s="847"/>
      <c r="DF136" s="847"/>
      <c r="DG136" s="847"/>
      <c r="DH136" s="847"/>
      <c r="DI136" s="847"/>
      <c r="DJ136" s="847"/>
      <c r="DK136" s="847"/>
      <c r="DL136" s="847"/>
      <c r="DM136" s="1212"/>
      <c r="DN136" s="1222"/>
      <c r="DO136" s="1013"/>
      <c r="DP136" s="847"/>
      <c r="DQ136" s="1013"/>
      <c r="DR136" s="1225"/>
      <c r="DS136" s="1013"/>
      <c r="DT136" s="1225"/>
      <c r="DU136" s="1214"/>
      <c r="DV136" s="1242"/>
      <c r="DW136" s="1232"/>
      <c r="DX136" s="1222"/>
      <c r="DY136" s="847"/>
      <c r="DZ136" s="847"/>
      <c r="EA136" s="847"/>
      <c r="EB136" s="847"/>
      <c r="EC136" s="847"/>
      <c r="ED136" s="847"/>
      <c r="EE136" s="847"/>
      <c r="EF136" s="847"/>
      <c r="EG136" s="1212"/>
      <c r="EH136" s="847"/>
      <c r="EI136" s="1212"/>
    </row>
    <row r="137" spans="1:139" s="733" customFormat="1" ht="13.5">
      <c r="A137" s="1009"/>
      <c r="B137" s="1212" t="s">
        <v>2066</v>
      </c>
      <c r="C137" s="1213">
        <v>0</v>
      </c>
      <c r="D137" s="1013" t="s">
        <v>49</v>
      </c>
      <c r="E137" s="847"/>
      <c r="F137" s="1013"/>
      <c r="G137" s="1013">
        <f>'Lead &amp; ANALYSIS'!G2517/15</f>
        <v>0.45</v>
      </c>
      <c r="H137" s="1013">
        <f>ROUND(C137*G137,2)</f>
        <v>0</v>
      </c>
      <c r="I137" s="847"/>
      <c r="J137" s="1013"/>
      <c r="K137" s="847">
        <f>'Lead &amp; ANALYSIS'!G2518/15*10</f>
        <v>3.4733333333333332</v>
      </c>
      <c r="L137" s="1013">
        <f>ROUND(C137*K137,2)</f>
        <v>0</v>
      </c>
      <c r="M137" s="847"/>
      <c r="N137" s="1013"/>
      <c r="O137" s="847"/>
      <c r="P137" s="1013"/>
      <c r="Q137" s="847"/>
      <c r="R137" s="847">
        <f>'Lead &amp; ANALYSIS'!G2515/15</f>
        <v>0.53999999999999992</v>
      </c>
      <c r="S137" s="847"/>
      <c r="T137" s="1013">
        <f>ROUND(C137*R137,2)</f>
        <v>0</v>
      </c>
      <c r="U137" s="1013"/>
      <c r="V137" s="847"/>
      <c r="W137" s="847"/>
      <c r="X137" s="847"/>
      <c r="Y137" s="847"/>
      <c r="Z137" s="847"/>
      <c r="AA137" s="847"/>
      <c r="AB137" s="847"/>
      <c r="AC137" s="847"/>
      <c r="AD137" s="847"/>
      <c r="AE137" s="847"/>
      <c r="AF137" s="847"/>
      <c r="AG137" s="847"/>
      <c r="AH137" s="847"/>
      <c r="AI137" s="847"/>
      <c r="AJ137" s="847"/>
      <c r="AK137" s="847"/>
      <c r="AL137" s="847"/>
      <c r="AM137" s="847"/>
      <c r="AN137" s="847"/>
      <c r="AO137" s="847"/>
      <c r="AP137" s="847"/>
      <c r="AQ137" s="847"/>
      <c r="AR137" s="847"/>
      <c r="AS137" s="847"/>
      <c r="AT137" s="847"/>
      <c r="AU137" s="847"/>
      <c r="AV137" s="847"/>
      <c r="AW137" s="847"/>
      <c r="AX137" s="847"/>
      <c r="AY137" s="847"/>
      <c r="AZ137" s="847"/>
      <c r="BA137" s="847"/>
      <c r="BB137" s="847"/>
      <c r="BC137" s="847"/>
      <c r="BD137" s="847"/>
      <c r="BE137" s="847"/>
      <c r="BF137" s="847"/>
      <c r="BG137" s="847"/>
      <c r="BH137" s="847"/>
      <c r="BI137" s="847"/>
      <c r="BJ137" s="847"/>
      <c r="BK137" s="847"/>
      <c r="BL137" s="847"/>
      <c r="BM137" s="847"/>
      <c r="BN137" s="847"/>
      <c r="BO137" s="847"/>
      <c r="BP137" s="847"/>
      <c r="BQ137" s="847"/>
      <c r="BR137" s="847"/>
      <c r="BS137" s="847"/>
      <c r="BT137" s="847"/>
      <c r="BU137" s="847"/>
      <c r="BV137" s="847"/>
      <c r="BW137" s="847"/>
      <c r="BX137" s="847"/>
      <c r="BY137" s="847"/>
      <c r="BZ137" s="847"/>
      <c r="CA137" s="847"/>
      <c r="CB137" s="847"/>
      <c r="CC137" s="847"/>
      <c r="CD137" s="847"/>
      <c r="CE137" s="847"/>
      <c r="CF137" s="847"/>
      <c r="CG137" s="847"/>
      <c r="CH137" s="847"/>
      <c r="CI137" s="847"/>
      <c r="CJ137" s="847"/>
      <c r="CK137" s="847"/>
      <c r="CL137" s="847"/>
      <c r="CM137" s="847"/>
      <c r="CN137" s="847"/>
      <c r="CO137" s="847"/>
      <c r="CP137" s="847"/>
      <c r="CQ137" s="847"/>
      <c r="CR137" s="847"/>
      <c r="CS137" s="847"/>
      <c r="CT137" s="847"/>
      <c r="CU137" s="847"/>
      <c r="CV137" s="847"/>
      <c r="CW137" s="847"/>
      <c r="CX137" s="847"/>
      <c r="CY137" s="847"/>
      <c r="CZ137" s="847"/>
      <c r="DA137" s="847"/>
      <c r="DB137" s="847"/>
      <c r="DC137" s="847"/>
      <c r="DD137" s="847"/>
      <c r="DE137" s="847"/>
      <c r="DF137" s="847"/>
      <c r="DG137" s="847"/>
      <c r="DH137" s="847"/>
      <c r="DI137" s="847"/>
      <c r="DJ137" s="847"/>
      <c r="DK137" s="847"/>
      <c r="DL137" s="847"/>
      <c r="DM137" s="1212"/>
      <c r="DN137" s="1222">
        <f>'Lead &amp; ANALYSIS'!G2523/15</f>
        <v>1.3333333333333333</v>
      </c>
      <c r="DO137" s="1013">
        <f>ROUND(C137*DN137,2)</f>
        <v>0</v>
      </c>
      <c r="DP137" s="847">
        <f>'Lead &amp; ANALYSIS'!G2521/15</f>
        <v>5.7333333333333333E-2</v>
      </c>
      <c r="DQ137" s="1013">
        <f>ROUND(C137*DP137,2)</f>
        <v>0</v>
      </c>
      <c r="DR137" s="1225">
        <f>'Lead &amp; ANALYSIS'!G2522/15</f>
        <v>0.1</v>
      </c>
      <c r="DS137" s="1013">
        <f>ROUND(C137*DR137,2)</f>
        <v>0</v>
      </c>
      <c r="DT137" s="1225"/>
      <c r="DU137" s="1214"/>
      <c r="DV137" s="1224"/>
      <c r="DW137" s="1232"/>
      <c r="DX137" s="1222"/>
      <c r="DY137" s="847"/>
      <c r="DZ137" s="847"/>
      <c r="EA137" s="847"/>
      <c r="EB137" s="847"/>
      <c r="EC137" s="847"/>
      <c r="ED137" s="847"/>
      <c r="EE137" s="847"/>
      <c r="EF137" s="847"/>
      <c r="EG137" s="1212"/>
      <c r="EH137" s="847"/>
      <c r="EI137" s="1212"/>
    </row>
    <row r="138" spans="1:139" s="733" customFormat="1" ht="13.5">
      <c r="A138" s="1009"/>
      <c r="B138" s="1212"/>
      <c r="C138" s="1213">
        <v>0</v>
      </c>
      <c r="D138" s="1013" t="s">
        <v>49</v>
      </c>
      <c r="E138" s="847"/>
      <c r="F138" s="1013"/>
      <c r="G138" s="1013"/>
      <c r="H138" s="1013"/>
      <c r="I138" s="847"/>
      <c r="J138" s="1013"/>
      <c r="K138" s="847"/>
      <c r="L138" s="1013"/>
      <c r="M138" s="847"/>
      <c r="N138" s="1013"/>
      <c r="O138" s="847"/>
      <c r="P138" s="1013"/>
      <c r="Q138" s="847"/>
      <c r="R138" s="847">
        <f>'Lead &amp; ANALYSIS'!G2516/15</f>
        <v>0.36000000000000004</v>
      </c>
      <c r="S138" s="847"/>
      <c r="T138" s="1013"/>
      <c r="U138" s="1013"/>
      <c r="V138" s="1013">
        <f>ROUND(C138*R138,2)</f>
        <v>0</v>
      </c>
      <c r="W138" s="847"/>
      <c r="X138" s="847"/>
      <c r="Y138" s="847"/>
      <c r="Z138" s="847"/>
      <c r="AA138" s="847"/>
      <c r="AB138" s="847"/>
      <c r="AC138" s="847"/>
      <c r="AD138" s="847"/>
      <c r="AE138" s="847"/>
      <c r="AF138" s="847"/>
      <c r="AG138" s="847"/>
      <c r="AH138" s="847"/>
      <c r="AI138" s="847"/>
      <c r="AJ138" s="847"/>
      <c r="AK138" s="847"/>
      <c r="AL138" s="847"/>
      <c r="AM138" s="847"/>
      <c r="AN138" s="847"/>
      <c r="AO138" s="847"/>
      <c r="AP138" s="847"/>
      <c r="AQ138" s="847"/>
      <c r="AR138" s="847"/>
      <c r="AS138" s="847"/>
      <c r="AT138" s="847"/>
      <c r="AU138" s="847"/>
      <c r="AV138" s="847"/>
      <c r="AW138" s="847"/>
      <c r="AX138" s="847"/>
      <c r="AY138" s="847"/>
      <c r="AZ138" s="847"/>
      <c r="BA138" s="847"/>
      <c r="BB138" s="847"/>
      <c r="BC138" s="847"/>
      <c r="BD138" s="847"/>
      <c r="BE138" s="847"/>
      <c r="BF138" s="847"/>
      <c r="BG138" s="847"/>
      <c r="BH138" s="847"/>
      <c r="BI138" s="847"/>
      <c r="BJ138" s="847"/>
      <c r="BK138" s="847"/>
      <c r="BL138" s="847"/>
      <c r="BM138" s="847"/>
      <c r="BN138" s="847"/>
      <c r="BO138" s="847"/>
      <c r="BP138" s="847"/>
      <c r="BQ138" s="847"/>
      <c r="BR138" s="847"/>
      <c r="BS138" s="847"/>
      <c r="BT138" s="847"/>
      <c r="BU138" s="847"/>
      <c r="BV138" s="847"/>
      <c r="BW138" s="847"/>
      <c r="BX138" s="847"/>
      <c r="BY138" s="847"/>
      <c r="BZ138" s="847"/>
      <c r="CA138" s="847"/>
      <c r="CB138" s="847"/>
      <c r="CC138" s="847"/>
      <c r="CD138" s="847"/>
      <c r="CE138" s="847"/>
      <c r="CF138" s="847"/>
      <c r="CG138" s="847"/>
      <c r="CH138" s="847"/>
      <c r="CI138" s="847"/>
      <c r="CJ138" s="847"/>
      <c r="CK138" s="847"/>
      <c r="CL138" s="847"/>
      <c r="CM138" s="847"/>
      <c r="CN138" s="847"/>
      <c r="CO138" s="847"/>
      <c r="CP138" s="847"/>
      <c r="CQ138" s="847"/>
      <c r="CR138" s="847"/>
      <c r="CS138" s="847"/>
      <c r="CT138" s="847"/>
      <c r="CU138" s="847"/>
      <c r="CV138" s="847"/>
      <c r="CW138" s="847"/>
      <c r="CX138" s="847"/>
      <c r="CY138" s="847"/>
      <c r="CZ138" s="847"/>
      <c r="DA138" s="847"/>
      <c r="DB138" s="847"/>
      <c r="DC138" s="847"/>
      <c r="DD138" s="847"/>
      <c r="DE138" s="847"/>
      <c r="DF138" s="847"/>
      <c r="DG138" s="847"/>
      <c r="DH138" s="847"/>
      <c r="DI138" s="847"/>
      <c r="DJ138" s="847"/>
      <c r="DK138" s="847"/>
      <c r="DL138" s="847"/>
      <c r="DM138" s="1212"/>
      <c r="DN138" s="1222"/>
      <c r="DO138" s="1013"/>
      <c r="DP138" s="847"/>
      <c r="DQ138" s="1013"/>
      <c r="DR138" s="1225"/>
      <c r="DS138" s="1013"/>
      <c r="DT138" s="1225"/>
      <c r="DU138" s="1214"/>
      <c r="DV138" s="1242"/>
      <c r="DW138" s="1232"/>
      <c r="DX138" s="1222"/>
      <c r="DY138" s="847"/>
      <c r="DZ138" s="847"/>
      <c r="EA138" s="847"/>
      <c r="EB138" s="847"/>
      <c r="EC138" s="847"/>
      <c r="ED138" s="847"/>
      <c r="EE138" s="847"/>
      <c r="EF138" s="847"/>
      <c r="EG138" s="1212"/>
      <c r="EH138" s="847"/>
      <c r="EI138" s="1212"/>
    </row>
    <row r="139" spans="1:139" s="733" customFormat="1" ht="13.5">
      <c r="A139" s="1009"/>
      <c r="B139" s="1212" t="s">
        <v>2067</v>
      </c>
      <c r="C139" s="1213">
        <v>0</v>
      </c>
      <c r="D139" s="1013" t="s">
        <v>49</v>
      </c>
      <c r="E139" s="847"/>
      <c r="F139" s="1013"/>
      <c r="G139" s="1013">
        <f>G137</f>
        <v>0.45</v>
      </c>
      <c r="H139" s="1013">
        <f>ROUND(C139*G139,2)</f>
        <v>0</v>
      </c>
      <c r="I139" s="847"/>
      <c r="J139" s="1013"/>
      <c r="K139" s="847">
        <f>K137</f>
        <v>3.4733333333333332</v>
      </c>
      <c r="L139" s="1013">
        <f>ROUND(C139*K139,2)</f>
        <v>0</v>
      </c>
      <c r="M139" s="847"/>
      <c r="N139" s="1013"/>
      <c r="O139" s="847"/>
      <c r="P139" s="1013"/>
      <c r="Q139" s="847"/>
      <c r="R139" s="847">
        <f>R137</f>
        <v>0.53999999999999992</v>
      </c>
      <c r="S139" s="847"/>
      <c r="T139" s="1013">
        <f>ROUND(C139*R139,2)</f>
        <v>0</v>
      </c>
      <c r="U139" s="1013"/>
      <c r="V139" s="1013"/>
      <c r="W139" s="847"/>
      <c r="X139" s="847"/>
      <c r="Y139" s="847"/>
      <c r="Z139" s="847"/>
      <c r="AA139" s="847"/>
      <c r="AB139" s="847"/>
      <c r="AC139" s="847"/>
      <c r="AD139" s="847"/>
      <c r="AE139" s="847"/>
      <c r="AF139" s="847"/>
      <c r="AG139" s="847"/>
      <c r="AH139" s="847"/>
      <c r="AI139" s="847"/>
      <c r="AJ139" s="847"/>
      <c r="AK139" s="847"/>
      <c r="AL139" s="847"/>
      <c r="AM139" s="847"/>
      <c r="AN139" s="847"/>
      <c r="AO139" s="847"/>
      <c r="AP139" s="847"/>
      <c r="AQ139" s="847"/>
      <c r="AR139" s="847"/>
      <c r="AS139" s="847"/>
      <c r="AT139" s="847"/>
      <c r="AU139" s="847"/>
      <c r="AV139" s="847"/>
      <c r="AW139" s="847"/>
      <c r="AX139" s="847"/>
      <c r="AY139" s="847"/>
      <c r="AZ139" s="847"/>
      <c r="BA139" s="847"/>
      <c r="BB139" s="847"/>
      <c r="BC139" s="847"/>
      <c r="BD139" s="847"/>
      <c r="BE139" s="847"/>
      <c r="BF139" s="847"/>
      <c r="BG139" s="847"/>
      <c r="BH139" s="847"/>
      <c r="BI139" s="847"/>
      <c r="BJ139" s="847"/>
      <c r="BK139" s="847"/>
      <c r="BL139" s="847"/>
      <c r="BM139" s="847"/>
      <c r="BN139" s="847"/>
      <c r="BO139" s="847"/>
      <c r="BP139" s="847"/>
      <c r="BQ139" s="847"/>
      <c r="BR139" s="847"/>
      <c r="BS139" s="847"/>
      <c r="BT139" s="847"/>
      <c r="BU139" s="847"/>
      <c r="BV139" s="847"/>
      <c r="BW139" s="847"/>
      <c r="BX139" s="847"/>
      <c r="BY139" s="847"/>
      <c r="BZ139" s="847"/>
      <c r="CA139" s="847"/>
      <c r="CB139" s="847"/>
      <c r="CC139" s="847"/>
      <c r="CD139" s="847"/>
      <c r="CE139" s="847"/>
      <c r="CF139" s="847"/>
      <c r="CG139" s="847"/>
      <c r="CH139" s="847"/>
      <c r="CI139" s="847"/>
      <c r="CJ139" s="847"/>
      <c r="CK139" s="847"/>
      <c r="CL139" s="847"/>
      <c r="CM139" s="847"/>
      <c r="CN139" s="847"/>
      <c r="CO139" s="847"/>
      <c r="CP139" s="847"/>
      <c r="CQ139" s="847"/>
      <c r="CR139" s="847"/>
      <c r="CS139" s="847"/>
      <c r="CT139" s="847"/>
      <c r="CU139" s="847"/>
      <c r="CV139" s="847"/>
      <c r="CW139" s="847"/>
      <c r="CX139" s="847"/>
      <c r="CY139" s="847"/>
      <c r="CZ139" s="847"/>
      <c r="DA139" s="847"/>
      <c r="DB139" s="847"/>
      <c r="DC139" s="847"/>
      <c r="DD139" s="847"/>
      <c r="DE139" s="847"/>
      <c r="DF139" s="847"/>
      <c r="DG139" s="847"/>
      <c r="DH139" s="847"/>
      <c r="DI139" s="847"/>
      <c r="DJ139" s="847"/>
      <c r="DK139" s="847"/>
      <c r="DL139" s="847"/>
      <c r="DM139" s="1212"/>
      <c r="DN139" s="1222">
        <f>DN137+DN137*15%</f>
        <v>1.5333333333333332</v>
      </c>
      <c r="DO139" s="1013">
        <f>ROUND(C139*DN139,2)</f>
        <v>0</v>
      </c>
      <c r="DP139" s="847">
        <f>DP137+DP137*15%</f>
        <v>6.593333333333333E-2</v>
      </c>
      <c r="DQ139" s="1013">
        <f>ROUND(C139*DP139,2)</f>
        <v>0</v>
      </c>
      <c r="DR139" s="847">
        <f>DR137+DR137*15%</f>
        <v>0.115</v>
      </c>
      <c r="DS139" s="1013">
        <f>ROUND(C139*DR139,2)</f>
        <v>0</v>
      </c>
      <c r="DT139" s="847"/>
      <c r="DU139" s="1214"/>
      <c r="DV139" s="1224"/>
      <c r="DW139" s="1232"/>
      <c r="DX139" s="1222"/>
      <c r="DY139" s="847"/>
      <c r="DZ139" s="847"/>
      <c r="EA139" s="847"/>
      <c r="EB139" s="847"/>
      <c r="EC139" s="847"/>
      <c r="ED139" s="847"/>
      <c r="EE139" s="847"/>
      <c r="EF139" s="847"/>
      <c r="EG139" s="1212"/>
      <c r="EH139" s="847"/>
      <c r="EI139" s="1212"/>
    </row>
    <row r="140" spans="1:139" s="733" customFormat="1" ht="13.5">
      <c r="A140" s="1009"/>
      <c r="B140" s="1212"/>
      <c r="C140" s="1213">
        <v>0</v>
      </c>
      <c r="D140" s="1013" t="s">
        <v>49</v>
      </c>
      <c r="E140" s="847"/>
      <c r="F140" s="1013"/>
      <c r="G140" s="1013"/>
      <c r="H140" s="1013"/>
      <c r="I140" s="847"/>
      <c r="J140" s="1013"/>
      <c r="K140" s="847"/>
      <c r="L140" s="1013"/>
      <c r="M140" s="847"/>
      <c r="N140" s="1013"/>
      <c r="O140" s="847"/>
      <c r="P140" s="1013"/>
      <c r="Q140" s="847"/>
      <c r="R140" s="847">
        <f>R138</f>
        <v>0.36000000000000004</v>
      </c>
      <c r="S140" s="847"/>
      <c r="T140" s="847"/>
      <c r="U140" s="1013"/>
      <c r="V140" s="1013">
        <f>ROUND(C140*R140,2)</f>
        <v>0</v>
      </c>
      <c r="W140" s="847"/>
      <c r="X140" s="847"/>
      <c r="Y140" s="847"/>
      <c r="Z140" s="847"/>
      <c r="AA140" s="847"/>
      <c r="AB140" s="847"/>
      <c r="AC140" s="847"/>
      <c r="AD140" s="847"/>
      <c r="AE140" s="847"/>
      <c r="AF140" s="847"/>
      <c r="AG140" s="847"/>
      <c r="AH140" s="847"/>
      <c r="AI140" s="847"/>
      <c r="AJ140" s="847"/>
      <c r="AK140" s="847"/>
      <c r="AL140" s="847"/>
      <c r="AM140" s="847"/>
      <c r="AN140" s="847"/>
      <c r="AO140" s="847"/>
      <c r="AP140" s="847"/>
      <c r="AQ140" s="847"/>
      <c r="AR140" s="847"/>
      <c r="AS140" s="847"/>
      <c r="AT140" s="847"/>
      <c r="AU140" s="847"/>
      <c r="AV140" s="847"/>
      <c r="AW140" s="847"/>
      <c r="AX140" s="847"/>
      <c r="AY140" s="847"/>
      <c r="AZ140" s="847"/>
      <c r="BA140" s="847"/>
      <c r="BB140" s="847"/>
      <c r="BC140" s="847"/>
      <c r="BD140" s="847"/>
      <c r="BE140" s="847"/>
      <c r="BF140" s="847"/>
      <c r="BG140" s="847"/>
      <c r="BH140" s="847"/>
      <c r="BI140" s="847"/>
      <c r="BJ140" s="847"/>
      <c r="BK140" s="847"/>
      <c r="BL140" s="847"/>
      <c r="BM140" s="847"/>
      <c r="BN140" s="847"/>
      <c r="BO140" s="847"/>
      <c r="BP140" s="847"/>
      <c r="BQ140" s="847"/>
      <c r="BR140" s="847"/>
      <c r="BS140" s="847"/>
      <c r="BT140" s="847"/>
      <c r="BU140" s="847"/>
      <c r="BV140" s="847"/>
      <c r="BW140" s="847"/>
      <c r="BX140" s="847"/>
      <c r="BY140" s="847"/>
      <c r="BZ140" s="847"/>
      <c r="CA140" s="847"/>
      <c r="CB140" s="847"/>
      <c r="CC140" s="847"/>
      <c r="CD140" s="847"/>
      <c r="CE140" s="847"/>
      <c r="CF140" s="847"/>
      <c r="CG140" s="847"/>
      <c r="CH140" s="847"/>
      <c r="CI140" s="847"/>
      <c r="CJ140" s="847"/>
      <c r="CK140" s="847"/>
      <c r="CL140" s="847"/>
      <c r="CM140" s="847"/>
      <c r="CN140" s="847"/>
      <c r="CO140" s="847"/>
      <c r="CP140" s="847"/>
      <c r="CQ140" s="847"/>
      <c r="CR140" s="847"/>
      <c r="CS140" s="847"/>
      <c r="CT140" s="847"/>
      <c r="CU140" s="847"/>
      <c r="CV140" s="847"/>
      <c r="CW140" s="847"/>
      <c r="CX140" s="847"/>
      <c r="CY140" s="847"/>
      <c r="CZ140" s="847"/>
      <c r="DA140" s="847"/>
      <c r="DB140" s="847"/>
      <c r="DC140" s="847"/>
      <c r="DD140" s="847"/>
      <c r="DE140" s="847"/>
      <c r="DF140" s="847"/>
      <c r="DG140" s="847"/>
      <c r="DH140" s="847"/>
      <c r="DI140" s="847"/>
      <c r="DJ140" s="847"/>
      <c r="DK140" s="847"/>
      <c r="DL140" s="847"/>
      <c r="DM140" s="1212"/>
      <c r="DN140" s="1222"/>
      <c r="DO140" s="1013"/>
      <c r="DP140" s="847"/>
      <c r="DQ140" s="1013"/>
      <c r="DR140" s="847"/>
      <c r="DS140" s="1013"/>
      <c r="DT140" s="847"/>
      <c r="DU140" s="1214"/>
      <c r="DV140" s="1242"/>
      <c r="DW140" s="1232"/>
      <c r="DX140" s="1222"/>
      <c r="DY140" s="847"/>
      <c r="DZ140" s="847"/>
      <c r="EA140" s="847"/>
      <c r="EB140" s="847"/>
      <c r="EC140" s="847"/>
      <c r="ED140" s="847"/>
      <c r="EE140" s="847"/>
      <c r="EF140" s="847"/>
      <c r="EG140" s="1212"/>
      <c r="EH140" s="847"/>
      <c r="EI140" s="1212"/>
    </row>
    <row r="141" spans="1:139" s="733" customFormat="1" ht="13.5">
      <c r="A141" s="1009">
        <v>50</v>
      </c>
      <c r="B141" s="1212" t="s">
        <v>1594</v>
      </c>
      <c r="C141" s="1213">
        <v>0</v>
      </c>
      <c r="D141" s="1013" t="s">
        <v>49</v>
      </c>
      <c r="E141" s="847"/>
      <c r="F141" s="1013"/>
      <c r="G141" s="1013"/>
      <c r="H141" s="1013"/>
      <c r="I141" s="847"/>
      <c r="J141" s="1013"/>
      <c r="K141" s="847"/>
      <c r="L141" s="1013"/>
      <c r="M141" s="847"/>
      <c r="N141" s="1013"/>
      <c r="O141" s="847"/>
      <c r="P141" s="1013"/>
      <c r="Q141" s="847"/>
      <c r="R141" s="847"/>
      <c r="S141" s="847"/>
      <c r="T141" s="847"/>
      <c r="U141" s="1013"/>
      <c r="V141" s="847"/>
      <c r="W141" s="847"/>
      <c r="X141" s="847"/>
      <c r="Y141" s="847"/>
      <c r="Z141" s="847"/>
      <c r="AA141" s="847"/>
      <c r="AB141" s="847"/>
      <c r="AC141" s="847"/>
      <c r="AD141" s="847"/>
      <c r="AE141" s="847"/>
      <c r="AF141" s="847"/>
      <c r="AG141" s="847"/>
      <c r="AH141" s="847"/>
      <c r="AI141" s="847"/>
      <c r="AJ141" s="847"/>
      <c r="AK141" s="847"/>
      <c r="AL141" s="847"/>
      <c r="AM141" s="847"/>
      <c r="AN141" s="847"/>
      <c r="AO141" s="847"/>
      <c r="AP141" s="847"/>
      <c r="AQ141" s="847"/>
      <c r="AR141" s="847"/>
      <c r="AS141" s="847"/>
      <c r="AT141" s="847"/>
      <c r="AU141" s="847"/>
      <c r="AV141" s="847"/>
      <c r="AW141" s="847"/>
      <c r="AX141" s="847"/>
      <c r="AY141" s="847"/>
      <c r="AZ141" s="847"/>
      <c r="BA141" s="847"/>
      <c r="BB141" s="847"/>
      <c r="BC141" s="847"/>
      <c r="BD141" s="847"/>
      <c r="BE141" s="847"/>
      <c r="BF141" s="847"/>
      <c r="BG141" s="847"/>
      <c r="BH141" s="847"/>
      <c r="BI141" s="847"/>
      <c r="BJ141" s="847"/>
      <c r="BK141" s="847"/>
      <c r="BL141" s="847"/>
      <c r="BM141" s="847"/>
      <c r="BN141" s="847"/>
      <c r="BO141" s="847"/>
      <c r="BP141" s="847"/>
      <c r="BQ141" s="847"/>
      <c r="BR141" s="847"/>
      <c r="BS141" s="847"/>
      <c r="BT141" s="847"/>
      <c r="BU141" s="847"/>
      <c r="BV141" s="847"/>
      <c r="BW141" s="847"/>
      <c r="BX141" s="847"/>
      <c r="BY141" s="847"/>
      <c r="BZ141" s="847"/>
      <c r="CA141" s="847"/>
      <c r="CB141" s="847"/>
      <c r="CC141" s="847"/>
      <c r="CD141" s="847"/>
      <c r="CE141" s="847"/>
      <c r="CF141" s="847"/>
      <c r="CG141" s="847"/>
      <c r="CH141" s="847"/>
      <c r="CI141" s="847"/>
      <c r="CJ141" s="847"/>
      <c r="CK141" s="847"/>
      <c r="CL141" s="847"/>
      <c r="CM141" s="847"/>
      <c r="CN141" s="847"/>
      <c r="CO141" s="847"/>
      <c r="CP141" s="847"/>
      <c r="CQ141" s="847"/>
      <c r="CR141" s="847"/>
      <c r="CS141" s="847"/>
      <c r="CT141" s="847"/>
      <c r="CU141" s="847"/>
      <c r="CV141" s="847"/>
      <c r="CW141" s="847"/>
      <c r="CX141" s="847"/>
      <c r="CY141" s="847"/>
      <c r="CZ141" s="847"/>
      <c r="DA141" s="847"/>
      <c r="DB141" s="847"/>
      <c r="DC141" s="847"/>
      <c r="DD141" s="847"/>
      <c r="DE141" s="847"/>
      <c r="DF141" s="847"/>
      <c r="DG141" s="847"/>
      <c r="DH141" s="847"/>
      <c r="DI141" s="847"/>
      <c r="DJ141" s="847"/>
      <c r="DK141" s="847"/>
      <c r="DL141" s="847"/>
      <c r="DM141" s="1212"/>
      <c r="DN141" s="1222"/>
      <c r="DO141" s="1013"/>
      <c r="DP141" s="847"/>
      <c r="DQ141" s="1013"/>
      <c r="DR141" s="1225"/>
      <c r="DS141" s="1013"/>
      <c r="DT141" s="1225"/>
      <c r="DU141" s="1214"/>
      <c r="DV141" s="1242"/>
      <c r="DW141" s="1232"/>
      <c r="DX141" s="1222"/>
      <c r="DY141" s="847"/>
      <c r="DZ141" s="847"/>
      <c r="EA141" s="847"/>
      <c r="EB141" s="847"/>
      <c r="EC141" s="847"/>
      <c r="ED141" s="847"/>
      <c r="EE141" s="847"/>
      <c r="EF141" s="847"/>
      <c r="EG141" s="1212"/>
      <c r="EH141" s="847"/>
      <c r="EI141" s="1212"/>
    </row>
    <row r="142" spans="1:139" s="733" customFormat="1" ht="13.5">
      <c r="A142" s="1009"/>
      <c r="B142" s="1212" t="s">
        <v>2066</v>
      </c>
      <c r="C142" s="1213">
        <v>0</v>
      </c>
      <c r="D142" s="1013" t="s">
        <v>49</v>
      </c>
      <c r="E142" s="847"/>
      <c r="F142" s="1013"/>
      <c r="G142" s="1013">
        <f>'Lead &amp; ANALYSIS'!G2574</f>
        <v>0.45</v>
      </c>
      <c r="H142" s="1013">
        <f>ROUND(C142*G142,2)</f>
        <v>0</v>
      </c>
      <c r="I142" s="847"/>
      <c r="J142" s="1013"/>
      <c r="K142" s="847">
        <f>'Lead &amp; ANALYSIS'!G2575</f>
        <v>4.29</v>
      </c>
      <c r="L142" s="1013">
        <f>ROUND(C142*K142,2)</f>
        <v>0</v>
      </c>
      <c r="M142" s="847"/>
      <c r="N142" s="1013"/>
      <c r="O142" s="847"/>
      <c r="P142" s="1013"/>
      <c r="Q142" s="847"/>
      <c r="R142" s="1013">
        <f>'Lead &amp; ANALYSIS'!G2573</f>
        <v>0.9</v>
      </c>
      <c r="S142" s="847"/>
      <c r="T142" s="847"/>
      <c r="U142" s="1013">
        <f>ROUND(C142*R142,2)</f>
        <v>0</v>
      </c>
      <c r="V142" s="847"/>
      <c r="W142" s="847"/>
      <c r="X142" s="847"/>
      <c r="Y142" s="847"/>
      <c r="Z142" s="847"/>
      <c r="AA142" s="847"/>
      <c r="AB142" s="847"/>
      <c r="AC142" s="847"/>
      <c r="AD142" s="847"/>
      <c r="AE142" s="847"/>
      <c r="AF142" s="847"/>
      <c r="AG142" s="847"/>
      <c r="AH142" s="847"/>
      <c r="AI142" s="847"/>
      <c r="AJ142" s="847"/>
      <c r="AK142" s="847"/>
      <c r="AL142" s="847"/>
      <c r="AM142" s="847"/>
      <c r="AN142" s="847"/>
      <c r="AO142" s="847"/>
      <c r="AP142" s="847"/>
      <c r="AQ142" s="847"/>
      <c r="AR142" s="847"/>
      <c r="AS142" s="847"/>
      <c r="AT142" s="847"/>
      <c r="AU142" s="847"/>
      <c r="AV142" s="847"/>
      <c r="AW142" s="847"/>
      <c r="AX142" s="847"/>
      <c r="AY142" s="847"/>
      <c r="AZ142" s="847"/>
      <c r="BA142" s="847"/>
      <c r="BB142" s="847"/>
      <c r="BC142" s="847"/>
      <c r="BD142" s="847"/>
      <c r="BE142" s="847"/>
      <c r="BF142" s="847"/>
      <c r="BG142" s="847"/>
      <c r="BH142" s="847"/>
      <c r="BI142" s="847"/>
      <c r="BJ142" s="847"/>
      <c r="BK142" s="847"/>
      <c r="BL142" s="847"/>
      <c r="BM142" s="847"/>
      <c r="BN142" s="847"/>
      <c r="BO142" s="847"/>
      <c r="BP142" s="847"/>
      <c r="BQ142" s="847"/>
      <c r="BR142" s="847"/>
      <c r="BS142" s="847"/>
      <c r="BT142" s="847"/>
      <c r="BU142" s="847"/>
      <c r="BV142" s="847"/>
      <c r="BW142" s="847"/>
      <c r="BX142" s="847"/>
      <c r="BY142" s="847"/>
      <c r="BZ142" s="847"/>
      <c r="CA142" s="847"/>
      <c r="CB142" s="847"/>
      <c r="CC142" s="847"/>
      <c r="CD142" s="847"/>
      <c r="CE142" s="847"/>
      <c r="CF142" s="847"/>
      <c r="CG142" s="847"/>
      <c r="CH142" s="847"/>
      <c r="CI142" s="847"/>
      <c r="CJ142" s="847"/>
      <c r="CK142" s="847"/>
      <c r="CL142" s="847"/>
      <c r="CM142" s="847"/>
      <c r="CN142" s="847"/>
      <c r="CO142" s="847"/>
      <c r="CP142" s="847"/>
      <c r="CQ142" s="847"/>
      <c r="CR142" s="847"/>
      <c r="CS142" s="847"/>
      <c r="CT142" s="847"/>
      <c r="CU142" s="847"/>
      <c r="CV142" s="847"/>
      <c r="CW142" s="847"/>
      <c r="CX142" s="847"/>
      <c r="CY142" s="847"/>
      <c r="CZ142" s="847"/>
      <c r="DA142" s="847"/>
      <c r="DB142" s="847"/>
      <c r="DC142" s="847"/>
      <c r="DD142" s="847"/>
      <c r="DE142" s="847"/>
      <c r="DF142" s="847"/>
      <c r="DG142" s="847"/>
      <c r="DH142" s="847"/>
      <c r="DI142" s="847"/>
      <c r="DJ142" s="847"/>
      <c r="DK142" s="847"/>
      <c r="DL142" s="847"/>
      <c r="DM142" s="1212"/>
      <c r="DN142" s="1242">
        <f>'Lead &amp; ANALYSIS'!G2579</f>
        <v>4.5999999999999996</v>
      </c>
      <c r="DO142" s="1013">
        <f>ROUND(C142*DN142,2)</f>
        <v>0</v>
      </c>
      <c r="DP142" s="847"/>
      <c r="DQ142" s="1013"/>
      <c r="DR142" s="1225">
        <f>'Lead &amp; ANALYSIS'!G2578</f>
        <v>0.68</v>
      </c>
      <c r="DS142" s="1013">
        <f>ROUND(C142*DR142,2)</f>
        <v>0</v>
      </c>
      <c r="DT142" s="1225"/>
      <c r="DU142" s="1214"/>
      <c r="DV142" s="1224"/>
      <c r="DW142" s="1232"/>
      <c r="DX142" s="1222"/>
      <c r="DY142" s="847"/>
      <c r="DZ142" s="847"/>
      <c r="EA142" s="847"/>
      <c r="EB142" s="847"/>
      <c r="EC142" s="847"/>
      <c r="ED142" s="847"/>
      <c r="EE142" s="847"/>
      <c r="EF142" s="847"/>
      <c r="EG142" s="1212"/>
      <c r="EH142" s="847"/>
      <c r="EI142" s="1212"/>
    </row>
    <row r="143" spans="1:139" s="733" customFormat="1" ht="13.5">
      <c r="A143" s="1009"/>
      <c r="B143" s="1212" t="s">
        <v>2067</v>
      </c>
      <c r="C143" s="1213">
        <v>0</v>
      </c>
      <c r="D143" s="1013" t="s">
        <v>49</v>
      </c>
      <c r="E143" s="847"/>
      <c r="F143" s="1013"/>
      <c r="G143" s="1013">
        <f>G142</f>
        <v>0.45</v>
      </c>
      <c r="H143" s="1013">
        <f>ROUND(C143*G143,2)</f>
        <v>0</v>
      </c>
      <c r="I143" s="847"/>
      <c r="J143" s="1013"/>
      <c r="K143" s="847">
        <f>K142</f>
        <v>4.29</v>
      </c>
      <c r="L143" s="1013">
        <f>ROUND(C143*K143,2)</f>
        <v>0</v>
      </c>
      <c r="M143" s="847"/>
      <c r="N143" s="1013"/>
      <c r="O143" s="847"/>
      <c r="P143" s="1013"/>
      <c r="Q143" s="847"/>
      <c r="R143" s="1013">
        <f>R142</f>
        <v>0.9</v>
      </c>
      <c r="S143" s="847"/>
      <c r="T143" s="847"/>
      <c r="U143" s="1013">
        <f>ROUND(C143*R143,2)</f>
        <v>0</v>
      </c>
      <c r="V143" s="847"/>
      <c r="W143" s="847"/>
      <c r="X143" s="847"/>
      <c r="Y143" s="847"/>
      <c r="Z143" s="847"/>
      <c r="AA143" s="847"/>
      <c r="AB143" s="847"/>
      <c r="AC143" s="847"/>
      <c r="AD143" s="847"/>
      <c r="AE143" s="847"/>
      <c r="AF143" s="847"/>
      <c r="AG143" s="847"/>
      <c r="AH143" s="847"/>
      <c r="AI143" s="847"/>
      <c r="AJ143" s="847"/>
      <c r="AK143" s="847"/>
      <c r="AL143" s="847"/>
      <c r="AM143" s="847"/>
      <c r="AN143" s="847"/>
      <c r="AO143" s="847"/>
      <c r="AP143" s="847"/>
      <c r="AQ143" s="847"/>
      <c r="AR143" s="847"/>
      <c r="AS143" s="847"/>
      <c r="AT143" s="847"/>
      <c r="AU143" s="847"/>
      <c r="AV143" s="847"/>
      <c r="AW143" s="847"/>
      <c r="AX143" s="847"/>
      <c r="AY143" s="847"/>
      <c r="AZ143" s="847"/>
      <c r="BA143" s="847"/>
      <c r="BB143" s="847"/>
      <c r="BC143" s="847"/>
      <c r="BD143" s="847"/>
      <c r="BE143" s="847"/>
      <c r="BF143" s="847"/>
      <c r="BG143" s="847"/>
      <c r="BH143" s="847"/>
      <c r="BI143" s="847"/>
      <c r="BJ143" s="847"/>
      <c r="BK143" s="847"/>
      <c r="BL143" s="847"/>
      <c r="BM143" s="847"/>
      <c r="BN143" s="847"/>
      <c r="BO143" s="847"/>
      <c r="BP143" s="847"/>
      <c r="BQ143" s="847"/>
      <c r="BR143" s="847"/>
      <c r="BS143" s="847"/>
      <c r="BT143" s="847"/>
      <c r="BU143" s="847"/>
      <c r="BV143" s="847"/>
      <c r="BW143" s="847"/>
      <c r="BX143" s="847"/>
      <c r="BY143" s="847"/>
      <c r="BZ143" s="847"/>
      <c r="CA143" s="847"/>
      <c r="CB143" s="847"/>
      <c r="CC143" s="847"/>
      <c r="CD143" s="847"/>
      <c r="CE143" s="847"/>
      <c r="CF143" s="847"/>
      <c r="CG143" s="847"/>
      <c r="CH143" s="847"/>
      <c r="CI143" s="847"/>
      <c r="CJ143" s="847"/>
      <c r="CK143" s="847"/>
      <c r="CL143" s="847"/>
      <c r="CM143" s="847"/>
      <c r="CN143" s="847"/>
      <c r="CO143" s="847"/>
      <c r="CP143" s="847"/>
      <c r="CQ143" s="847"/>
      <c r="CR143" s="847"/>
      <c r="CS143" s="847"/>
      <c r="CT143" s="847"/>
      <c r="CU143" s="847"/>
      <c r="CV143" s="847"/>
      <c r="CW143" s="847"/>
      <c r="CX143" s="847"/>
      <c r="CY143" s="847"/>
      <c r="CZ143" s="847"/>
      <c r="DA143" s="847"/>
      <c r="DB143" s="847"/>
      <c r="DC143" s="847"/>
      <c r="DD143" s="847"/>
      <c r="DE143" s="847"/>
      <c r="DF143" s="847"/>
      <c r="DG143" s="847"/>
      <c r="DH143" s="847"/>
      <c r="DI143" s="847"/>
      <c r="DJ143" s="847"/>
      <c r="DK143" s="847"/>
      <c r="DL143" s="847"/>
      <c r="DM143" s="1212"/>
      <c r="DN143" s="1222">
        <f>DN142+DN142*15%</f>
        <v>5.2899999999999991</v>
      </c>
      <c r="DO143" s="1013">
        <f>ROUND(C143*DN143,2)</f>
        <v>0</v>
      </c>
      <c r="DP143" s="847"/>
      <c r="DQ143" s="1013"/>
      <c r="DR143" s="847">
        <f>DR142+DR142*15%</f>
        <v>0.78200000000000003</v>
      </c>
      <c r="DS143" s="1013">
        <f>ROUND(C143*DR143,2)</f>
        <v>0</v>
      </c>
      <c r="DT143" s="847"/>
      <c r="DU143" s="1214"/>
      <c r="DV143" s="1224"/>
      <c r="DW143" s="1232"/>
      <c r="DX143" s="1222"/>
      <c r="DY143" s="847"/>
      <c r="DZ143" s="847"/>
      <c r="EA143" s="847"/>
      <c r="EB143" s="847"/>
      <c r="EC143" s="847"/>
      <c r="ED143" s="847"/>
      <c r="EE143" s="847"/>
      <c r="EF143" s="847"/>
      <c r="EG143" s="1212"/>
      <c r="EH143" s="847"/>
      <c r="EI143" s="1212"/>
    </row>
    <row r="144" spans="1:139" s="733" customFormat="1" ht="13.5">
      <c r="A144" s="1009">
        <v>51</v>
      </c>
      <c r="B144" s="1212" t="s">
        <v>456</v>
      </c>
      <c r="C144" s="1213">
        <v>0</v>
      </c>
      <c r="D144" s="1013" t="s">
        <v>49</v>
      </c>
      <c r="E144" s="847"/>
      <c r="F144" s="1013"/>
      <c r="G144" s="847"/>
      <c r="H144" s="1013"/>
      <c r="I144" s="847"/>
      <c r="J144" s="1013"/>
      <c r="K144" s="847"/>
      <c r="L144" s="1013"/>
      <c r="M144" s="847"/>
      <c r="N144" s="1013"/>
      <c r="O144" s="847"/>
      <c r="P144" s="1013"/>
      <c r="Q144" s="847"/>
      <c r="R144" s="847"/>
      <c r="S144" s="847"/>
      <c r="T144" s="847"/>
      <c r="U144" s="847"/>
      <c r="V144" s="847"/>
      <c r="W144" s="847"/>
      <c r="X144" s="847"/>
      <c r="Y144" s="847"/>
      <c r="Z144" s="847"/>
      <c r="AA144" s="847"/>
      <c r="AB144" s="847"/>
      <c r="AC144" s="847"/>
      <c r="AD144" s="847"/>
      <c r="AE144" s="847"/>
      <c r="AF144" s="847"/>
      <c r="AG144" s="847"/>
      <c r="AH144" s="847"/>
      <c r="AI144" s="847"/>
      <c r="AJ144" s="847"/>
      <c r="AK144" s="847"/>
      <c r="AL144" s="847"/>
      <c r="AM144" s="847"/>
      <c r="AN144" s="847"/>
      <c r="AO144" s="847"/>
      <c r="AP144" s="847"/>
      <c r="AQ144" s="847"/>
      <c r="AR144" s="847"/>
      <c r="AS144" s="847"/>
      <c r="AT144" s="847"/>
      <c r="AU144" s="847"/>
      <c r="AV144" s="847"/>
      <c r="AW144" s="847"/>
      <c r="AX144" s="847"/>
      <c r="AY144" s="847"/>
      <c r="AZ144" s="847"/>
      <c r="BA144" s="847"/>
      <c r="BB144" s="847"/>
      <c r="BC144" s="847"/>
      <c r="BD144" s="847"/>
      <c r="BE144" s="847"/>
      <c r="BF144" s="847"/>
      <c r="BG144" s="847"/>
      <c r="BH144" s="847"/>
      <c r="BI144" s="847"/>
      <c r="BJ144" s="847"/>
      <c r="BK144" s="847"/>
      <c r="BL144" s="847"/>
      <c r="BM144" s="847"/>
      <c r="BN144" s="847"/>
      <c r="BO144" s="847"/>
      <c r="BP144" s="847"/>
      <c r="BQ144" s="847"/>
      <c r="BR144" s="847"/>
      <c r="BS144" s="847"/>
      <c r="BT144" s="847"/>
      <c r="BU144" s="847"/>
      <c r="BV144" s="847"/>
      <c r="BW144" s="847"/>
      <c r="BX144" s="847"/>
      <c r="BY144" s="847"/>
      <c r="BZ144" s="847"/>
      <c r="CA144" s="847"/>
      <c r="CB144" s="847"/>
      <c r="CC144" s="847"/>
      <c r="CD144" s="847"/>
      <c r="CE144" s="847"/>
      <c r="CF144" s="847"/>
      <c r="CG144" s="847"/>
      <c r="CH144" s="847"/>
      <c r="CI144" s="847"/>
      <c r="CJ144" s="847"/>
      <c r="CK144" s="847"/>
      <c r="CL144" s="847"/>
      <c r="CM144" s="847"/>
      <c r="CN144" s="847"/>
      <c r="CO144" s="847"/>
      <c r="CP144" s="847"/>
      <c r="CQ144" s="847"/>
      <c r="CR144" s="847"/>
      <c r="CS144" s="847"/>
      <c r="CT144" s="847"/>
      <c r="CU144" s="847"/>
      <c r="CV144" s="847"/>
      <c r="CW144" s="847"/>
      <c r="CX144" s="847"/>
      <c r="CY144" s="847"/>
      <c r="CZ144" s="847"/>
      <c r="DA144" s="847"/>
      <c r="DB144" s="847"/>
      <c r="DC144" s="847"/>
      <c r="DD144" s="847"/>
      <c r="DE144" s="847"/>
      <c r="DF144" s="847"/>
      <c r="DG144" s="847"/>
      <c r="DH144" s="847"/>
      <c r="DI144" s="847"/>
      <c r="DJ144" s="847"/>
      <c r="DK144" s="847"/>
      <c r="DL144" s="847"/>
      <c r="DM144" s="1212"/>
      <c r="DN144" s="1222"/>
      <c r="DO144" s="1013"/>
      <c r="DP144" s="847"/>
      <c r="DQ144" s="1013"/>
      <c r="DR144" s="1225"/>
      <c r="DS144" s="1013"/>
      <c r="DT144" s="1225"/>
      <c r="DU144" s="1214"/>
      <c r="DV144" s="1242"/>
      <c r="DW144" s="1232"/>
      <c r="DX144" s="1222"/>
      <c r="DY144" s="847"/>
      <c r="DZ144" s="847"/>
      <c r="EA144" s="847"/>
      <c r="EB144" s="847"/>
      <c r="EC144" s="847"/>
      <c r="ED144" s="847"/>
      <c r="EE144" s="847"/>
      <c r="EF144" s="847"/>
      <c r="EG144" s="1212"/>
      <c r="EH144" s="847"/>
      <c r="EI144" s="1212"/>
    </row>
    <row r="145" spans="1:139" s="733" customFormat="1" ht="13.5">
      <c r="A145" s="1009" t="s">
        <v>201</v>
      </c>
      <c r="B145" s="1212" t="s">
        <v>850</v>
      </c>
      <c r="C145" s="1213">
        <v>0</v>
      </c>
      <c r="D145" s="1013" t="s">
        <v>49</v>
      </c>
      <c r="E145" s="847"/>
      <c r="F145" s="1013"/>
      <c r="G145" s="847"/>
      <c r="H145" s="1013"/>
      <c r="I145" s="847"/>
      <c r="J145" s="1013"/>
      <c r="K145" s="847"/>
      <c r="L145" s="1013"/>
      <c r="M145" s="847"/>
      <c r="N145" s="1013"/>
      <c r="O145" s="847"/>
      <c r="P145" s="1013"/>
      <c r="Q145" s="847"/>
      <c r="R145" s="847"/>
      <c r="S145" s="847"/>
      <c r="T145" s="847"/>
      <c r="U145" s="847"/>
      <c r="V145" s="847"/>
      <c r="W145" s="847"/>
      <c r="X145" s="847"/>
      <c r="Y145" s="847"/>
      <c r="Z145" s="847"/>
      <c r="AA145" s="847"/>
      <c r="AB145" s="847"/>
      <c r="AC145" s="847"/>
      <c r="AD145" s="847"/>
      <c r="AE145" s="847"/>
      <c r="AF145" s="847"/>
      <c r="AG145" s="847"/>
      <c r="AH145" s="847"/>
      <c r="AI145" s="847"/>
      <c r="AJ145" s="847"/>
      <c r="AK145" s="847"/>
      <c r="AL145" s="847"/>
      <c r="AM145" s="847"/>
      <c r="AN145" s="847"/>
      <c r="AO145" s="847"/>
      <c r="AP145" s="847"/>
      <c r="AQ145" s="847"/>
      <c r="AR145" s="847"/>
      <c r="AS145" s="847"/>
      <c r="AT145" s="847"/>
      <c r="AU145" s="847"/>
      <c r="AV145" s="847"/>
      <c r="AW145" s="847"/>
      <c r="AX145" s="847"/>
      <c r="AY145" s="847"/>
      <c r="AZ145" s="847"/>
      <c r="BA145" s="847"/>
      <c r="BB145" s="847"/>
      <c r="BC145" s="847"/>
      <c r="BD145" s="847"/>
      <c r="BE145" s="847"/>
      <c r="BF145" s="847"/>
      <c r="BG145" s="847"/>
      <c r="BH145" s="847"/>
      <c r="BI145" s="847"/>
      <c r="BJ145" s="847"/>
      <c r="BK145" s="847"/>
      <c r="BL145" s="847"/>
      <c r="BM145" s="847"/>
      <c r="BN145" s="847"/>
      <c r="BO145" s="847"/>
      <c r="BP145" s="847"/>
      <c r="BQ145" s="847"/>
      <c r="BR145" s="847"/>
      <c r="BS145" s="847"/>
      <c r="BT145" s="847"/>
      <c r="BU145" s="847"/>
      <c r="BV145" s="847"/>
      <c r="BW145" s="847"/>
      <c r="BX145" s="847"/>
      <c r="BY145" s="847"/>
      <c r="BZ145" s="847"/>
      <c r="CA145" s="847"/>
      <c r="CB145" s="847"/>
      <c r="CC145" s="847"/>
      <c r="CD145" s="847"/>
      <c r="CE145" s="847"/>
      <c r="CF145" s="847"/>
      <c r="CG145" s="847"/>
      <c r="CH145" s="847"/>
      <c r="CI145" s="847"/>
      <c r="CJ145" s="847"/>
      <c r="CK145" s="847"/>
      <c r="CL145" s="847"/>
      <c r="CM145" s="847"/>
      <c r="CN145" s="847"/>
      <c r="CO145" s="847"/>
      <c r="CP145" s="847"/>
      <c r="CQ145" s="847"/>
      <c r="CR145" s="847"/>
      <c r="CS145" s="847"/>
      <c r="CT145" s="847"/>
      <c r="CU145" s="847"/>
      <c r="CV145" s="847"/>
      <c r="CW145" s="847"/>
      <c r="CX145" s="847"/>
      <c r="CY145" s="847"/>
      <c r="CZ145" s="847"/>
      <c r="DA145" s="847"/>
      <c r="DB145" s="847"/>
      <c r="DC145" s="847"/>
      <c r="DD145" s="847"/>
      <c r="DE145" s="847"/>
      <c r="DF145" s="847"/>
      <c r="DG145" s="847"/>
      <c r="DH145" s="847"/>
      <c r="DI145" s="847"/>
      <c r="DJ145" s="847"/>
      <c r="DK145" s="847"/>
      <c r="DL145" s="847"/>
      <c r="DM145" s="1212"/>
      <c r="DN145" s="1222"/>
      <c r="DO145" s="1013"/>
      <c r="DP145" s="847"/>
      <c r="DQ145" s="1013"/>
      <c r="DR145" s="1225"/>
      <c r="DS145" s="1013"/>
      <c r="DT145" s="1225"/>
      <c r="DU145" s="1214"/>
      <c r="DV145" s="1242"/>
      <c r="DW145" s="1232"/>
      <c r="DX145" s="1222"/>
      <c r="DY145" s="847"/>
      <c r="DZ145" s="847"/>
      <c r="EA145" s="847"/>
      <c r="EB145" s="847"/>
      <c r="EC145" s="847"/>
      <c r="ED145" s="847"/>
      <c r="EE145" s="847"/>
      <c r="EF145" s="847"/>
      <c r="EG145" s="1212"/>
      <c r="EH145" s="847"/>
      <c r="EI145" s="1212"/>
    </row>
    <row r="146" spans="1:139" s="733" customFormat="1" ht="13.5">
      <c r="A146" s="1009"/>
      <c r="B146" s="1212" t="s">
        <v>2066</v>
      </c>
      <c r="C146" s="1213">
        <v>0</v>
      </c>
      <c r="D146" s="1013" t="s">
        <v>92</v>
      </c>
      <c r="E146" s="847"/>
      <c r="F146" s="1013"/>
      <c r="G146" s="847"/>
      <c r="H146" s="1013"/>
      <c r="I146" s="847"/>
      <c r="J146" s="1013"/>
      <c r="K146" s="847"/>
      <c r="L146" s="1013"/>
      <c r="M146" s="847"/>
      <c r="N146" s="1013"/>
      <c r="O146" s="847"/>
      <c r="P146" s="1013"/>
      <c r="Q146" s="847"/>
      <c r="R146" s="847"/>
      <c r="S146" s="847"/>
      <c r="T146" s="847"/>
      <c r="U146" s="847"/>
      <c r="V146" s="847"/>
      <c r="W146" s="847"/>
      <c r="X146" s="847"/>
      <c r="Y146" s="847"/>
      <c r="Z146" s="847"/>
      <c r="AA146" s="847"/>
      <c r="AB146" s="847"/>
      <c r="AC146" s="847"/>
      <c r="AD146" s="847"/>
      <c r="AE146" s="847"/>
      <c r="AF146" s="847"/>
      <c r="AG146" s="847"/>
      <c r="AH146" s="847"/>
      <c r="AI146" s="847"/>
      <c r="AJ146" s="847"/>
      <c r="AK146" s="847"/>
      <c r="AL146" s="847"/>
      <c r="AM146" s="847"/>
      <c r="AN146" s="847"/>
      <c r="AO146" s="847"/>
      <c r="AP146" s="847"/>
      <c r="AQ146" s="847"/>
      <c r="AR146" s="847"/>
      <c r="AS146" s="847"/>
      <c r="AT146" s="847"/>
      <c r="AU146" s="847"/>
      <c r="AV146" s="847"/>
      <c r="AW146" s="847"/>
      <c r="AX146" s="847"/>
      <c r="AY146" s="847"/>
      <c r="AZ146" s="847"/>
      <c r="BA146" s="847"/>
      <c r="BB146" s="847"/>
      <c r="BC146" s="847"/>
      <c r="BD146" s="847"/>
      <c r="BE146" s="847"/>
      <c r="BF146" s="847"/>
      <c r="BG146" s="847"/>
      <c r="BH146" s="847"/>
      <c r="BI146" s="847"/>
      <c r="BJ146" s="847"/>
      <c r="BK146" s="847"/>
      <c r="BL146" s="847"/>
      <c r="BM146" s="847"/>
      <c r="BN146" s="847"/>
      <c r="BO146" s="847"/>
      <c r="BP146" s="847"/>
      <c r="BQ146" s="847"/>
      <c r="BR146" s="847"/>
      <c r="BS146" s="847"/>
      <c r="BT146" s="847"/>
      <c r="BU146" s="1228">
        <f>'Lead &amp; ANALYSIS'!G2626/10/10</f>
        <v>2.6700000000000001E-3</v>
      </c>
      <c r="BV146" s="847">
        <f>ROUND(C146*BU146,2)</f>
        <v>0</v>
      </c>
      <c r="BW146" s="847"/>
      <c r="BX146" s="847"/>
      <c r="BY146" s="1247">
        <f>'Lead &amp; ANALYSIS'!G2628/10/10</f>
        <v>3.284E-3</v>
      </c>
      <c r="BZ146" s="847">
        <f>ROUND(C146*BY146,2)</f>
        <v>0</v>
      </c>
      <c r="CA146" s="847"/>
      <c r="CB146" s="847"/>
      <c r="CC146" s="1236">
        <f>'Lead &amp; ANALYSIS'!G2627/10/10</f>
        <v>0.126</v>
      </c>
      <c r="CD146" s="847">
        <f>ROUND(C146*CC146,2)</f>
        <v>0</v>
      </c>
      <c r="CE146" s="847"/>
      <c r="CF146" s="847"/>
      <c r="CG146" s="847"/>
      <c r="CH146" s="847"/>
      <c r="CI146" s="847"/>
      <c r="CJ146" s="847"/>
      <c r="CK146" s="847"/>
      <c r="CL146" s="847"/>
      <c r="CM146" s="847"/>
      <c r="CN146" s="847"/>
      <c r="CO146" s="847"/>
      <c r="CP146" s="847"/>
      <c r="CQ146" s="847"/>
      <c r="CR146" s="847"/>
      <c r="CS146" s="847"/>
      <c r="CT146" s="847"/>
      <c r="CU146" s="847"/>
      <c r="CV146" s="847"/>
      <c r="CW146" s="847"/>
      <c r="CX146" s="847"/>
      <c r="CY146" s="847"/>
      <c r="CZ146" s="847"/>
      <c r="DA146" s="847"/>
      <c r="DB146" s="847"/>
      <c r="DC146" s="847"/>
      <c r="DD146" s="847"/>
      <c r="DE146" s="847"/>
      <c r="DF146" s="847"/>
      <c r="DG146" s="847"/>
      <c r="DH146" s="847"/>
      <c r="DI146" s="847"/>
      <c r="DJ146" s="847"/>
      <c r="DK146" s="847"/>
      <c r="DL146" s="847"/>
      <c r="DM146" s="1212"/>
      <c r="DN146" s="1222"/>
      <c r="DO146" s="1013"/>
      <c r="DP146" s="1013">
        <f>'Lead &amp; ANALYSIS'!G2633/10</f>
        <v>0.05</v>
      </c>
      <c r="DQ146" s="1013">
        <f>ROUND(C146*DP146,2)</f>
        <v>0</v>
      </c>
      <c r="DR146" s="1225">
        <f>'Lead &amp; ANALYSIS'!G2632/10</f>
        <v>0.05</v>
      </c>
      <c r="DS146" s="1013">
        <f>ROUND(C146*DR146,2)</f>
        <v>0</v>
      </c>
      <c r="DT146" s="1225"/>
      <c r="DU146" s="1214"/>
      <c r="DV146" s="1224"/>
      <c r="DW146" s="1227"/>
      <c r="DX146" s="1222"/>
      <c r="DY146" s="847"/>
      <c r="DZ146" s="847"/>
      <c r="EA146" s="847"/>
      <c r="EB146" s="847"/>
      <c r="EC146" s="847"/>
      <c r="ED146" s="847"/>
      <c r="EE146" s="847"/>
      <c r="EF146" s="847"/>
      <c r="EG146" s="1212"/>
      <c r="EH146" s="847"/>
      <c r="EI146" s="1212"/>
    </row>
    <row r="147" spans="1:139" s="733" customFormat="1" ht="13.5">
      <c r="A147" s="1009"/>
      <c r="B147" s="1212" t="s">
        <v>2067</v>
      </c>
      <c r="C147" s="1213">
        <v>0</v>
      </c>
      <c r="D147" s="1013" t="s">
        <v>92</v>
      </c>
      <c r="E147" s="847"/>
      <c r="F147" s="1013"/>
      <c r="G147" s="847"/>
      <c r="H147" s="1013"/>
      <c r="I147" s="847"/>
      <c r="J147" s="1013"/>
      <c r="K147" s="847"/>
      <c r="L147" s="1013"/>
      <c r="M147" s="847"/>
      <c r="N147" s="1013"/>
      <c r="O147" s="847"/>
      <c r="P147" s="1013"/>
      <c r="Q147" s="847"/>
      <c r="R147" s="847"/>
      <c r="S147" s="847"/>
      <c r="T147" s="847"/>
      <c r="U147" s="847"/>
      <c r="V147" s="847"/>
      <c r="W147" s="847"/>
      <c r="X147" s="847"/>
      <c r="Y147" s="847"/>
      <c r="Z147" s="847"/>
      <c r="AA147" s="847"/>
      <c r="AB147" s="847"/>
      <c r="AC147" s="847"/>
      <c r="AD147" s="847"/>
      <c r="AE147" s="847"/>
      <c r="AF147" s="847"/>
      <c r="AG147" s="847"/>
      <c r="AH147" s="847"/>
      <c r="AI147" s="847"/>
      <c r="AJ147" s="847"/>
      <c r="AK147" s="847"/>
      <c r="AL147" s="847"/>
      <c r="AM147" s="847"/>
      <c r="AN147" s="847"/>
      <c r="AO147" s="847"/>
      <c r="AP147" s="847"/>
      <c r="AQ147" s="847"/>
      <c r="AR147" s="847"/>
      <c r="AS147" s="847"/>
      <c r="AT147" s="847"/>
      <c r="AU147" s="847"/>
      <c r="AV147" s="847"/>
      <c r="AW147" s="847"/>
      <c r="AX147" s="847"/>
      <c r="AY147" s="847"/>
      <c r="AZ147" s="847"/>
      <c r="BA147" s="847"/>
      <c r="BB147" s="847"/>
      <c r="BC147" s="847"/>
      <c r="BD147" s="847"/>
      <c r="BE147" s="847"/>
      <c r="BF147" s="847"/>
      <c r="BG147" s="847"/>
      <c r="BH147" s="847"/>
      <c r="BI147" s="847"/>
      <c r="BJ147" s="847"/>
      <c r="BK147" s="847"/>
      <c r="BL147" s="847"/>
      <c r="BM147" s="847"/>
      <c r="BN147" s="847"/>
      <c r="BO147" s="847"/>
      <c r="BP147" s="847"/>
      <c r="BQ147" s="847"/>
      <c r="BR147" s="847"/>
      <c r="BS147" s="847"/>
      <c r="BT147" s="847"/>
      <c r="BU147" s="847">
        <f>BU146+BU146*20%</f>
        <v>3.2040000000000003E-3</v>
      </c>
      <c r="BV147" s="847">
        <f>ROUND(C147*BU147,2)</f>
        <v>0</v>
      </c>
      <c r="BW147" s="847"/>
      <c r="BX147" s="847"/>
      <c r="BY147" s="847">
        <f>BY146+BY146*20%</f>
        <v>3.9408000000000004E-3</v>
      </c>
      <c r="BZ147" s="847">
        <f>ROUND(C147*BY147,2)</f>
        <v>0</v>
      </c>
      <c r="CA147" s="847"/>
      <c r="CB147" s="847"/>
      <c r="CC147" s="847">
        <f>CC146+CC146*20%</f>
        <v>0.1512</v>
      </c>
      <c r="CD147" s="847">
        <f>ROUND(C147*CC147,2)</f>
        <v>0</v>
      </c>
      <c r="CE147" s="847"/>
      <c r="CF147" s="847"/>
      <c r="CG147" s="847"/>
      <c r="CH147" s="847"/>
      <c r="CI147" s="847"/>
      <c r="CJ147" s="847"/>
      <c r="CK147" s="847"/>
      <c r="CL147" s="847"/>
      <c r="CM147" s="847"/>
      <c r="CN147" s="847"/>
      <c r="CO147" s="847"/>
      <c r="CP147" s="847"/>
      <c r="CQ147" s="847"/>
      <c r="CR147" s="847"/>
      <c r="CS147" s="847"/>
      <c r="CT147" s="847"/>
      <c r="CU147" s="847"/>
      <c r="CV147" s="847"/>
      <c r="CW147" s="847"/>
      <c r="CX147" s="847"/>
      <c r="CY147" s="847"/>
      <c r="CZ147" s="847"/>
      <c r="DA147" s="847"/>
      <c r="DB147" s="847"/>
      <c r="DC147" s="847"/>
      <c r="DD147" s="847"/>
      <c r="DE147" s="847"/>
      <c r="DF147" s="847"/>
      <c r="DG147" s="847"/>
      <c r="DH147" s="847"/>
      <c r="DI147" s="847"/>
      <c r="DJ147" s="847"/>
      <c r="DK147" s="847"/>
      <c r="DL147" s="847"/>
      <c r="DM147" s="1212"/>
      <c r="DN147" s="1222"/>
      <c r="DO147" s="1013"/>
      <c r="DP147" s="847">
        <f>DP146+'Lead &amp; ANALYSIS'!K2645/2/'Lead &amp; ANALYSIS'!J2633</f>
        <v>9.5220779220779234E-2</v>
      </c>
      <c r="DQ147" s="1013">
        <f>ROUND(C147*DP147,2)</f>
        <v>0</v>
      </c>
      <c r="DR147" s="847">
        <f>DR146+'Lead &amp; ANALYSIS'!K2645/2/'Lead &amp; ANALYSIS'!J2632</f>
        <v>9.0022988505747137E-2</v>
      </c>
      <c r="DS147" s="1013">
        <f>ROUND(C147*DR147,2)</f>
        <v>0</v>
      </c>
      <c r="DT147" s="1225"/>
      <c r="DU147" s="1214"/>
      <c r="DV147" s="1224"/>
      <c r="DW147" s="1227"/>
      <c r="DX147" s="1222"/>
      <c r="DY147" s="847"/>
      <c r="DZ147" s="847"/>
      <c r="EA147" s="847"/>
      <c r="EB147" s="847"/>
      <c r="EC147" s="847"/>
      <c r="ED147" s="847"/>
      <c r="EE147" s="847"/>
      <c r="EF147" s="847"/>
      <c r="EG147" s="1212"/>
      <c r="EH147" s="847"/>
      <c r="EI147" s="1212"/>
    </row>
    <row r="148" spans="1:139" s="733" customFormat="1" ht="13.5">
      <c r="A148" s="1009" t="s">
        <v>220</v>
      </c>
      <c r="B148" s="1212" t="s">
        <v>863</v>
      </c>
      <c r="C148" s="1213">
        <v>0</v>
      </c>
      <c r="D148" s="1013" t="s">
        <v>92</v>
      </c>
      <c r="E148" s="847"/>
      <c r="F148" s="1013"/>
      <c r="G148" s="847"/>
      <c r="H148" s="1013"/>
      <c r="I148" s="847"/>
      <c r="J148" s="1013"/>
      <c r="K148" s="847"/>
      <c r="L148" s="1013"/>
      <c r="M148" s="847"/>
      <c r="N148" s="1013"/>
      <c r="O148" s="847"/>
      <c r="P148" s="1013"/>
      <c r="Q148" s="847"/>
      <c r="R148" s="847"/>
      <c r="S148" s="847"/>
      <c r="T148" s="847"/>
      <c r="U148" s="847"/>
      <c r="V148" s="847"/>
      <c r="W148" s="847"/>
      <c r="X148" s="847"/>
      <c r="Y148" s="847"/>
      <c r="Z148" s="847"/>
      <c r="AA148" s="847"/>
      <c r="AB148" s="847"/>
      <c r="AC148" s="847"/>
      <c r="AD148" s="847"/>
      <c r="AE148" s="847"/>
      <c r="AF148" s="847"/>
      <c r="AG148" s="847"/>
      <c r="AH148" s="847"/>
      <c r="AI148" s="847"/>
      <c r="AJ148" s="847"/>
      <c r="AK148" s="847"/>
      <c r="AL148" s="847"/>
      <c r="AM148" s="847"/>
      <c r="AN148" s="847"/>
      <c r="AO148" s="847"/>
      <c r="AP148" s="847"/>
      <c r="AQ148" s="847"/>
      <c r="AR148" s="847"/>
      <c r="AS148" s="847"/>
      <c r="AT148" s="847"/>
      <c r="AU148" s="847"/>
      <c r="AV148" s="847"/>
      <c r="AW148" s="847"/>
      <c r="AX148" s="847"/>
      <c r="AY148" s="847"/>
      <c r="AZ148" s="847"/>
      <c r="BA148" s="847"/>
      <c r="BB148" s="847"/>
      <c r="BC148" s="847"/>
      <c r="BD148" s="847"/>
      <c r="BE148" s="847"/>
      <c r="BF148" s="847"/>
      <c r="BG148" s="847"/>
      <c r="BH148" s="847"/>
      <c r="BI148" s="847"/>
      <c r="BJ148" s="847"/>
      <c r="BK148" s="847"/>
      <c r="BL148" s="847"/>
      <c r="BM148" s="847"/>
      <c r="BN148" s="847"/>
      <c r="BO148" s="847"/>
      <c r="BP148" s="847"/>
      <c r="BQ148" s="847"/>
      <c r="BR148" s="847"/>
      <c r="BS148" s="847"/>
      <c r="BT148" s="847"/>
      <c r="BU148" s="847"/>
      <c r="BV148" s="847"/>
      <c r="BW148" s="847"/>
      <c r="BX148" s="847"/>
      <c r="BY148" s="847"/>
      <c r="BZ148" s="847"/>
      <c r="CA148" s="847"/>
      <c r="CB148" s="847"/>
      <c r="CC148" s="847"/>
      <c r="CD148" s="847"/>
      <c r="CE148" s="847"/>
      <c r="CF148" s="847"/>
      <c r="CG148" s="847"/>
      <c r="CH148" s="847"/>
      <c r="CI148" s="847"/>
      <c r="CJ148" s="847"/>
      <c r="CK148" s="847"/>
      <c r="CL148" s="847"/>
      <c r="CM148" s="847"/>
      <c r="CN148" s="847"/>
      <c r="CO148" s="847"/>
      <c r="CP148" s="847"/>
      <c r="CQ148" s="847"/>
      <c r="CR148" s="847"/>
      <c r="CS148" s="847"/>
      <c r="CT148" s="847"/>
      <c r="CU148" s="847"/>
      <c r="CV148" s="847"/>
      <c r="CW148" s="847"/>
      <c r="CX148" s="847"/>
      <c r="CY148" s="847"/>
      <c r="CZ148" s="847"/>
      <c r="DA148" s="847"/>
      <c r="DB148" s="847"/>
      <c r="DC148" s="847"/>
      <c r="DD148" s="847"/>
      <c r="DE148" s="847"/>
      <c r="DF148" s="847"/>
      <c r="DG148" s="847"/>
      <c r="DH148" s="847"/>
      <c r="DI148" s="847"/>
      <c r="DJ148" s="847"/>
      <c r="DK148" s="847"/>
      <c r="DL148" s="847"/>
      <c r="DM148" s="1212"/>
      <c r="DN148" s="1222"/>
      <c r="DO148" s="1013"/>
      <c r="DP148" s="847"/>
      <c r="DQ148" s="1013"/>
      <c r="DR148" s="1225"/>
      <c r="DS148" s="1013"/>
      <c r="DT148" s="1225"/>
      <c r="DU148" s="1214"/>
      <c r="DV148" s="1242"/>
      <c r="DW148" s="1232"/>
      <c r="DX148" s="1222"/>
      <c r="DY148" s="847"/>
      <c r="DZ148" s="847"/>
      <c r="EA148" s="847"/>
      <c r="EB148" s="847"/>
      <c r="EC148" s="847"/>
      <c r="ED148" s="847"/>
      <c r="EE148" s="847"/>
      <c r="EF148" s="847"/>
      <c r="EG148" s="1212"/>
      <c r="EH148" s="847"/>
      <c r="EI148" s="1212"/>
    </row>
    <row r="149" spans="1:139" s="733" customFormat="1" ht="13.5">
      <c r="A149" s="1009"/>
      <c r="B149" s="1212" t="s">
        <v>2066</v>
      </c>
      <c r="C149" s="1213">
        <v>0</v>
      </c>
      <c r="D149" s="1013" t="s">
        <v>92</v>
      </c>
      <c r="E149" s="847"/>
      <c r="F149" s="1013"/>
      <c r="G149" s="847"/>
      <c r="H149" s="1013"/>
      <c r="I149" s="847"/>
      <c r="J149" s="1013"/>
      <c r="K149" s="847"/>
      <c r="L149" s="1013"/>
      <c r="M149" s="847"/>
      <c r="N149" s="1013"/>
      <c r="O149" s="847"/>
      <c r="P149" s="1013"/>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847"/>
      <c r="AL149" s="847"/>
      <c r="AM149" s="847"/>
      <c r="AN149" s="847"/>
      <c r="AO149" s="847"/>
      <c r="AP149" s="847"/>
      <c r="AQ149" s="847"/>
      <c r="AR149" s="847"/>
      <c r="AS149" s="847"/>
      <c r="AT149" s="847"/>
      <c r="AU149" s="847"/>
      <c r="AV149" s="847"/>
      <c r="AW149" s="847"/>
      <c r="AX149" s="847"/>
      <c r="AY149" s="847"/>
      <c r="AZ149" s="847"/>
      <c r="BA149" s="847"/>
      <c r="BB149" s="847"/>
      <c r="BC149" s="847"/>
      <c r="BD149" s="847"/>
      <c r="BE149" s="847"/>
      <c r="BF149" s="847"/>
      <c r="BG149" s="847"/>
      <c r="BH149" s="847"/>
      <c r="BI149" s="847"/>
      <c r="BJ149" s="847"/>
      <c r="BK149" s="847"/>
      <c r="BL149" s="847"/>
      <c r="BM149" s="847"/>
      <c r="BN149" s="847"/>
      <c r="BO149" s="847"/>
      <c r="BP149" s="847"/>
      <c r="BQ149" s="847"/>
      <c r="BR149" s="847"/>
      <c r="BS149" s="847"/>
      <c r="BT149" s="847"/>
      <c r="BU149" s="847"/>
      <c r="BV149" s="847"/>
      <c r="BW149" s="847">
        <f>'Lead &amp; ANALYSIS'!G2663/9/10</f>
        <v>3.7777777777777779E-3</v>
      </c>
      <c r="BX149" s="847">
        <f>ROUND(C149*BW149,2)</f>
        <v>0</v>
      </c>
      <c r="BY149" s="847">
        <f>'Lead &amp; ANALYSIS'!G2665/9/10</f>
        <v>1.2688888888888888E-2</v>
      </c>
      <c r="BZ149" s="847">
        <f>ROUND(C149*BY149,2)</f>
        <v>0</v>
      </c>
      <c r="CA149" s="847">
        <f>'Lead &amp; ANALYSIS'!G2662/9/10</f>
        <v>1.2444444444444445E-3</v>
      </c>
      <c r="CB149" s="847">
        <f>ROUND(C149*CA149,2)</f>
        <v>0</v>
      </c>
      <c r="CC149" s="847"/>
      <c r="CD149" s="847"/>
      <c r="CE149" s="847"/>
      <c r="CF149" s="847"/>
      <c r="CG149" s="847"/>
      <c r="CH149" s="847"/>
      <c r="CI149" s="847">
        <f>'Lead &amp; ANALYSIS'!G2664/9/10</f>
        <v>0.62222222222222223</v>
      </c>
      <c r="CJ149" s="847">
        <f>ROUND(C149*CI149,2)</f>
        <v>0</v>
      </c>
      <c r="CK149" s="847"/>
      <c r="CL149" s="847"/>
      <c r="CM149" s="847"/>
      <c r="CN149" s="847"/>
      <c r="CO149" s="847"/>
      <c r="CP149" s="847"/>
      <c r="CQ149" s="847"/>
      <c r="CR149" s="847"/>
      <c r="CS149" s="847"/>
      <c r="CT149" s="847"/>
      <c r="CU149" s="847"/>
      <c r="CV149" s="847"/>
      <c r="CW149" s="847"/>
      <c r="CX149" s="847"/>
      <c r="CY149" s="847"/>
      <c r="CZ149" s="847"/>
      <c r="DA149" s="847"/>
      <c r="DB149" s="847"/>
      <c r="DC149" s="847"/>
      <c r="DD149" s="847"/>
      <c r="DE149" s="847"/>
      <c r="DF149" s="847"/>
      <c r="DG149" s="847"/>
      <c r="DH149" s="847"/>
      <c r="DI149" s="847"/>
      <c r="DJ149" s="847"/>
      <c r="DK149" s="847"/>
      <c r="DL149" s="847"/>
      <c r="DM149" s="1212"/>
      <c r="DN149" s="1222"/>
      <c r="DO149" s="1013"/>
      <c r="DP149" s="1013">
        <f>'Lead &amp; ANALYSIS'!G2670/9</f>
        <v>0.30555555555555558</v>
      </c>
      <c r="DQ149" s="1013">
        <f>ROUND(C149*DP149,2)</f>
        <v>0</v>
      </c>
      <c r="DR149" s="1225">
        <f>'Lead &amp; ANALYSIS'!G2669/9</f>
        <v>0.30555555555555558</v>
      </c>
      <c r="DS149" s="1013">
        <f>ROUND(C149*DR149,2)</f>
        <v>0</v>
      </c>
      <c r="DT149" s="1225"/>
      <c r="DU149" s="1214"/>
      <c r="DV149" s="1224"/>
      <c r="DW149" s="1227"/>
      <c r="DX149" s="1222"/>
      <c r="DY149" s="847"/>
      <c r="DZ149" s="847"/>
      <c r="EA149" s="847"/>
      <c r="EB149" s="847"/>
      <c r="EC149" s="847"/>
      <c r="ED149" s="847"/>
      <c r="EE149" s="847"/>
      <c r="EF149" s="847"/>
      <c r="EG149" s="1212"/>
      <c r="EH149" s="847"/>
      <c r="EI149" s="1212"/>
    </row>
    <row r="150" spans="1:139" s="733" customFormat="1" ht="13.5">
      <c r="A150" s="1009"/>
      <c r="B150" s="1212" t="s">
        <v>2067</v>
      </c>
      <c r="C150" s="1213">
        <v>0</v>
      </c>
      <c r="D150" s="1013" t="s">
        <v>92</v>
      </c>
      <c r="E150" s="847"/>
      <c r="F150" s="1013"/>
      <c r="G150" s="847"/>
      <c r="H150" s="1013"/>
      <c r="I150" s="847"/>
      <c r="J150" s="1013"/>
      <c r="K150" s="847"/>
      <c r="L150" s="1013"/>
      <c r="M150" s="847"/>
      <c r="N150" s="1013"/>
      <c r="O150" s="847"/>
      <c r="P150" s="1013"/>
      <c r="Q150" s="847"/>
      <c r="R150" s="847"/>
      <c r="S150" s="847"/>
      <c r="T150" s="847"/>
      <c r="U150" s="847"/>
      <c r="V150" s="847"/>
      <c r="W150" s="847"/>
      <c r="X150" s="847"/>
      <c r="Y150" s="847"/>
      <c r="Z150" s="847"/>
      <c r="AA150" s="847"/>
      <c r="AB150" s="847"/>
      <c r="AC150" s="847"/>
      <c r="AD150" s="847"/>
      <c r="AE150" s="847"/>
      <c r="AF150" s="847"/>
      <c r="AG150" s="847"/>
      <c r="AH150" s="847"/>
      <c r="AI150" s="847"/>
      <c r="AJ150" s="847"/>
      <c r="AK150" s="847"/>
      <c r="AL150" s="847"/>
      <c r="AM150" s="847"/>
      <c r="AN150" s="847"/>
      <c r="AO150" s="847"/>
      <c r="AP150" s="847"/>
      <c r="AQ150" s="847"/>
      <c r="AR150" s="847"/>
      <c r="AS150" s="847"/>
      <c r="AT150" s="847"/>
      <c r="AU150" s="847"/>
      <c r="AV150" s="847"/>
      <c r="AW150" s="847"/>
      <c r="AX150" s="847"/>
      <c r="AY150" s="847"/>
      <c r="AZ150" s="847"/>
      <c r="BA150" s="847"/>
      <c r="BB150" s="847"/>
      <c r="BC150" s="847"/>
      <c r="BD150" s="847"/>
      <c r="BE150" s="847"/>
      <c r="BF150" s="847"/>
      <c r="BG150" s="847"/>
      <c r="BH150" s="847"/>
      <c r="BI150" s="847"/>
      <c r="BJ150" s="847"/>
      <c r="BK150" s="847"/>
      <c r="BL150" s="847"/>
      <c r="BM150" s="847"/>
      <c r="BN150" s="847"/>
      <c r="BO150" s="847"/>
      <c r="BP150" s="847"/>
      <c r="BQ150" s="847"/>
      <c r="BR150" s="847"/>
      <c r="BS150" s="847"/>
      <c r="BT150" s="847"/>
      <c r="BU150" s="847"/>
      <c r="BV150" s="847"/>
      <c r="BW150" s="847">
        <f>BW149+BW149*20%</f>
        <v>4.5333333333333337E-3</v>
      </c>
      <c r="BX150" s="847">
        <f>ROUND(C150*BW150,2)</f>
        <v>0</v>
      </c>
      <c r="BY150" s="847">
        <f>BY149+BY149*20%</f>
        <v>1.5226666666666666E-2</v>
      </c>
      <c r="BZ150" s="847">
        <f>ROUND(C150*BY150,2)</f>
        <v>0</v>
      </c>
      <c r="CA150" s="847">
        <f>CA149+CA149*20%</f>
        <v>1.4933333333333335E-3</v>
      </c>
      <c r="CB150" s="847">
        <f>ROUND(C150*CA150,2)</f>
        <v>0</v>
      </c>
      <c r="CC150" s="847"/>
      <c r="CD150" s="847"/>
      <c r="CE150" s="847"/>
      <c r="CF150" s="847"/>
      <c r="CG150" s="847"/>
      <c r="CH150" s="847"/>
      <c r="CI150" s="847">
        <f>CI149+CI149*20%</f>
        <v>0.7466666666666667</v>
      </c>
      <c r="CJ150" s="847">
        <f>ROUND(C150*CI150,2)</f>
        <v>0</v>
      </c>
      <c r="CK150" s="847"/>
      <c r="CL150" s="847"/>
      <c r="CM150" s="847"/>
      <c r="CN150" s="847"/>
      <c r="CO150" s="847"/>
      <c r="CP150" s="847"/>
      <c r="CQ150" s="847"/>
      <c r="CR150" s="847"/>
      <c r="CS150" s="847"/>
      <c r="CT150" s="847"/>
      <c r="CU150" s="847"/>
      <c r="CV150" s="847"/>
      <c r="CW150" s="847"/>
      <c r="CX150" s="847"/>
      <c r="CY150" s="847"/>
      <c r="CZ150" s="847"/>
      <c r="DA150" s="847"/>
      <c r="DB150" s="847"/>
      <c r="DC150" s="847"/>
      <c r="DD150" s="847"/>
      <c r="DE150" s="847"/>
      <c r="DF150" s="847"/>
      <c r="DG150" s="847"/>
      <c r="DH150" s="847"/>
      <c r="DI150" s="847"/>
      <c r="DJ150" s="847"/>
      <c r="DK150" s="847"/>
      <c r="DL150" s="847"/>
      <c r="DM150" s="1212"/>
      <c r="DN150" s="1222"/>
      <c r="DO150" s="1013"/>
      <c r="DP150" s="847">
        <f>DP149+'Lead &amp; ANALYSIS'!K2681/2/'Lead &amp; ANALYSIS'!J2670</f>
        <v>0.37063347763347765</v>
      </c>
      <c r="DQ150" s="1013">
        <f>ROUND(C150*DP150,2)</f>
        <v>0</v>
      </c>
      <c r="DR150" s="847">
        <f>DR149+'Lead &amp; ANALYSIS'!K2681/2/'Lead &amp; ANALYSIS'!J2669</f>
        <v>0.36315325670498089</v>
      </c>
      <c r="DS150" s="1013">
        <f>ROUND(C150*DR150,2)</f>
        <v>0</v>
      </c>
      <c r="DT150" s="1225"/>
      <c r="DU150" s="1214"/>
      <c r="DV150" s="1224"/>
      <c r="DW150" s="1227"/>
      <c r="DX150" s="1222"/>
      <c r="DY150" s="847"/>
      <c r="DZ150" s="847"/>
      <c r="EA150" s="847"/>
      <c r="EB150" s="847"/>
      <c r="EC150" s="847"/>
      <c r="ED150" s="847"/>
      <c r="EE150" s="847"/>
      <c r="EF150" s="847"/>
      <c r="EG150" s="1212"/>
      <c r="EH150" s="847"/>
      <c r="EI150" s="1212"/>
    </row>
    <row r="151" spans="1:139" s="733" customFormat="1" ht="13.5">
      <c r="A151" s="1009" t="s">
        <v>244</v>
      </c>
      <c r="B151" s="1212" t="s">
        <v>868</v>
      </c>
      <c r="C151" s="1213">
        <v>0</v>
      </c>
      <c r="D151" s="1013" t="s">
        <v>92</v>
      </c>
      <c r="E151" s="847"/>
      <c r="F151" s="1013"/>
      <c r="G151" s="847"/>
      <c r="H151" s="1013"/>
      <c r="I151" s="847"/>
      <c r="J151" s="1013"/>
      <c r="K151" s="847"/>
      <c r="L151" s="1013"/>
      <c r="M151" s="847"/>
      <c r="N151" s="1013"/>
      <c r="O151" s="847"/>
      <c r="P151" s="1013"/>
      <c r="Q151" s="847"/>
      <c r="R151" s="847"/>
      <c r="S151" s="847"/>
      <c r="T151" s="847"/>
      <c r="U151" s="847"/>
      <c r="V151" s="847"/>
      <c r="W151" s="847"/>
      <c r="X151" s="847"/>
      <c r="Y151" s="847"/>
      <c r="Z151" s="847"/>
      <c r="AA151" s="847"/>
      <c r="AB151" s="847"/>
      <c r="AC151" s="847"/>
      <c r="AD151" s="847"/>
      <c r="AE151" s="847"/>
      <c r="AF151" s="847"/>
      <c r="AG151" s="847"/>
      <c r="AH151" s="847"/>
      <c r="AI151" s="847"/>
      <c r="AJ151" s="847"/>
      <c r="AK151" s="847"/>
      <c r="AL151" s="847"/>
      <c r="AM151" s="847"/>
      <c r="AN151" s="847"/>
      <c r="AO151" s="847"/>
      <c r="AP151" s="847"/>
      <c r="AQ151" s="847"/>
      <c r="AR151" s="847"/>
      <c r="AS151" s="847"/>
      <c r="AT151" s="847"/>
      <c r="AU151" s="847"/>
      <c r="AV151" s="847"/>
      <c r="AW151" s="847"/>
      <c r="AX151" s="847"/>
      <c r="AY151" s="847"/>
      <c r="AZ151" s="847"/>
      <c r="BA151" s="847"/>
      <c r="BB151" s="847"/>
      <c r="BC151" s="847"/>
      <c r="BD151" s="847"/>
      <c r="BE151" s="847"/>
      <c r="BF151" s="847"/>
      <c r="BG151" s="847"/>
      <c r="BH151" s="847"/>
      <c r="BI151" s="847"/>
      <c r="BJ151" s="847"/>
      <c r="BK151" s="847"/>
      <c r="BL151" s="847"/>
      <c r="BM151" s="847"/>
      <c r="BN151" s="847"/>
      <c r="BO151" s="847"/>
      <c r="BP151" s="847"/>
      <c r="BQ151" s="847"/>
      <c r="BR151" s="847"/>
      <c r="BS151" s="847"/>
      <c r="BT151" s="847"/>
      <c r="BU151" s="847"/>
      <c r="BV151" s="847"/>
      <c r="BW151" s="847"/>
      <c r="BX151" s="847"/>
      <c r="BY151" s="847"/>
      <c r="BZ151" s="847"/>
      <c r="CA151" s="847"/>
      <c r="CB151" s="847"/>
      <c r="CC151" s="847"/>
      <c r="CD151" s="847"/>
      <c r="CE151" s="847"/>
      <c r="CF151" s="847"/>
      <c r="CG151" s="847"/>
      <c r="CH151" s="847"/>
      <c r="CI151" s="847"/>
      <c r="CJ151" s="847"/>
      <c r="CK151" s="847"/>
      <c r="CL151" s="847"/>
      <c r="CM151" s="847"/>
      <c r="CN151" s="847"/>
      <c r="CO151" s="847"/>
      <c r="CP151" s="847"/>
      <c r="CQ151" s="847"/>
      <c r="CR151" s="847"/>
      <c r="CS151" s="847"/>
      <c r="CT151" s="847"/>
      <c r="CU151" s="847"/>
      <c r="CV151" s="847"/>
      <c r="CW151" s="847"/>
      <c r="CX151" s="847"/>
      <c r="CY151" s="847"/>
      <c r="CZ151" s="847"/>
      <c r="DA151" s="847"/>
      <c r="DB151" s="847"/>
      <c r="DC151" s="847"/>
      <c r="DD151" s="847"/>
      <c r="DE151" s="847"/>
      <c r="DF151" s="847"/>
      <c r="DG151" s="847"/>
      <c r="DH151" s="847"/>
      <c r="DI151" s="847"/>
      <c r="DJ151" s="847"/>
      <c r="DK151" s="847"/>
      <c r="DL151" s="847"/>
      <c r="DM151" s="1212"/>
      <c r="DN151" s="1222"/>
      <c r="DO151" s="1013"/>
      <c r="DP151" s="847"/>
      <c r="DQ151" s="1013"/>
      <c r="DR151" s="1225"/>
      <c r="DS151" s="1013"/>
      <c r="DT151" s="1225"/>
      <c r="DU151" s="1214"/>
      <c r="DV151" s="1242"/>
      <c r="DW151" s="1232"/>
      <c r="DX151" s="1222"/>
      <c r="DY151" s="847"/>
      <c r="DZ151" s="847"/>
      <c r="EA151" s="847"/>
      <c r="EB151" s="847"/>
      <c r="EC151" s="847"/>
      <c r="ED151" s="847"/>
      <c r="EE151" s="847"/>
      <c r="EF151" s="847"/>
      <c r="EG151" s="1212"/>
      <c r="EH151" s="847"/>
      <c r="EI151" s="1212"/>
    </row>
    <row r="152" spans="1:139" s="733" customFormat="1" ht="13.5">
      <c r="A152" s="1009"/>
      <c r="B152" s="1212" t="s">
        <v>2066</v>
      </c>
      <c r="C152" s="1213">
        <v>0</v>
      </c>
      <c r="D152" s="1013" t="s">
        <v>92</v>
      </c>
      <c r="E152" s="847"/>
      <c r="F152" s="1013"/>
      <c r="G152" s="847"/>
      <c r="H152" s="1013"/>
      <c r="I152" s="847"/>
      <c r="J152" s="1013"/>
      <c r="K152" s="847"/>
      <c r="L152" s="1013"/>
      <c r="M152" s="847"/>
      <c r="N152" s="1013"/>
      <c r="O152" s="847"/>
      <c r="P152" s="1013"/>
      <c r="Q152" s="847"/>
      <c r="R152" s="847"/>
      <c r="S152" s="847"/>
      <c r="T152" s="847"/>
      <c r="U152" s="847"/>
      <c r="V152" s="847"/>
      <c r="W152" s="847"/>
      <c r="X152" s="847"/>
      <c r="Y152" s="847"/>
      <c r="Z152" s="847"/>
      <c r="AA152" s="847"/>
      <c r="AB152" s="847"/>
      <c r="AC152" s="847"/>
      <c r="AD152" s="847"/>
      <c r="AE152" s="847"/>
      <c r="AF152" s="847"/>
      <c r="AG152" s="847"/>
      <c r="AH152" s="847"/>
      <c r="AI152" s="847"/>
      <c r="AJ152" s="847"/>
      <c r="AK152" s="847"/>
      <c r="AL152" s="847"/>
      <c r="AM152" s="847"/>
      <c r="AN152" s="847"/>
      <c r="AO152" s="847"/>
      <c r="AP152" s="847"/>
      <c r="AQ152" s="847"/>
      <c r="AR152" s="847"/>
      <c r="AS152" s="847"/>
      <c r="AT152" s="847"/>
      <c r="AU152" s="847"/>
      <c r="AV152" s="847"/>
      <c r="AW152" s="847"/>
      <c r="AX152" s="847"/>
      <c r="AY152" s="847"/>
      <c r="AZ152" s="847"/>
      <c r="BA152" s="847"/>
      <c r="BB152" s="847"/>
      <c r="BC152" s="847"/>
      <c r="BD152" s="847"/>
      <c r="BE152" s="847"/>
      <c r="BF152" s="847"/>
      <c r="BG152" s="847"/>
      <c r="BH152" s="847"/>
      <c r="BI152" s="847"/>
      <c r="BJ152" s="847"/>
      <c r="BK152" s="847"/>
      <c r="BL152" s="847"/>
      <c r="BM152" s="847"/>
      <c r="BN152" s="847"/>
      <c r="BO152" s="847"/>
      <c r="BP152" s="847"/>
      <c r="BQ152" s="847"/>
      <c r="BR152" s="847"/>
      <c r="BS152" s="847"/>
      <c r="BT152" s="847"/>
      <c r="BU152" s="847"/>
      <c r="BV152" s="847"/>
      <c r="BW152" s="847">
        <f>'Lead &amp; ANALYSIS'!G2708/5/10</f>
        <v>4.5599999999999998E-3</v>
      </c>
      <c r="BX152" s="847">
        <f>ROUND(C152*BW152,2)</f>
        <v>0</v>
      </c>
      <c r="BY152" s="1236">
        <f>'Lead &amp; ANALYSIS'!G2710/5/10</f>
        <v>6.9999999999999993E-3</v>
      </c>
      <c r="BZ152" s="847">
        <f>ROUND(C152*BY152,2)</f>
        <v>0</v>
      </c>
      <c r="CA152" s="1247">
        <f>'Lead &amp; ANALYSIS'!G2707/5/10</f>
        <v>7.7999999999999999E-4</v>
      </c>
      <c r="CB152" s="847">
        <f>ROUND(C152*CA152,2)</f>
        <v>0</v>
      </c>
      <c r="CC152" s="847"/>
      <c r="CD152" s="847"/>
      <c r="CE152" s="1236">
        <f>'Lead &amp; ANALYSIS'!G2709/5/10</f>
        <v>0.13</v>
      </c>
      <c r="CF152" s="847">
        <f>ROUND(C152*CE152,2)</f>
        <v>0</v>
      </c>
      <c r="CG152" s="847"/>
      <c r="CH152" s="847"/>
      <c r="CI152" s="847"/>
      <c r="CJ152" s="847"/>
      <c r="CK152" s="847"/>
      <c r="CL152" s="847"/>
      <c r="CM152" s="847"/>
      <c r="CN152" s="847"/>
      <c r="CO152" s="847"/>
      <c r="CP152" s="847"/>
      <c r="CQ152" s="847"/>
      <c r="CR152" s="847"/>
      <c r="CS152" s="847"/>
      <c r="CT152" s="847"/>
      <c r="CU152" s="847"/>
      <c r="CV152" s="847"/>
      <c r="CW152" s="847"/>
      <c r="CX152" s="847"/>
      <c r="CY152" s="847"/>
      <c r="CZ152" s="847"/>
      <c r="DA152" s="847"/>
      <c r="DB152" s="847"/>
      <c r="DC152" s="847"/>
      <c r="DD152" s="847"/>
      <c r="DE152" s="847"/>
      <c r="DF152" s="847"/>
      <c r="DG152" s="847"/>
      <c r="DH152" s="847"/>
      <c r="DI152" s="847"/>
      <c r="DJ152" s="847"/>
      <c r="DK152" s="847"/>
      <c r="DL152" s="847"/>
      <c r="DM152" s="1212"/>
      <c r="DN152" s="1222"/>
      <c r="DO152" s="1013"/>
      <c r="DP152" s="1013">
        <f>'Lead &amp; ANALYSIS'!G2715/5</f>
        <v>0.55000000000000004</v>
      </c>
      <c r="DQ152" s="1013">
        <f>ROUND(C152*DP152,2)</f>
        <v>0</v>
      </c>
      <c r="DR152" s="1225">
        <f>'Lead &amp; ANALYSIS'!G2714/5</f>
        <v>0.55000000000000004</v>
      </c>
      <c r="DS152" s="1013">
        <f>ROUND(C152*DR152,2)</f>
        <v>0</v>
      </c>
      <c r="DT152" s="1225"/>
      <c r="DU152" s="1214"/>
      <c r="DV152" s="1224"/>
      <c r="DW152" s="1232"/>
      <c r="DX152" s="1222"/>
      <c r="DY152" s="847"/>
      <c r="DZ152" s="847"/>
      <c r="EA152" s="847"/>
      <c r="EB152" s="847"/>
      <c r="EC152" s="847"/>
      <c r="ED152" s="847"/>
      <c r="EE152" s="847"/>
      <c r="EF152" s="847"/>
      <c r="EG152" s="1212"/>
      <c r="EH152" s="847"/>
      <c r="EI152" s="1212"/>
    </row>
    <row r="153" spans="1:139" s="733" customFormat="1" ht="13.5">
      <c r="A153" s="1009"/>
      <c r="B153" s="1212" t="s">
        <v>2067</v>
      </c>
      <c r="C153" s="1213">
        <v>0</v>
      </c>
      <c r="D153" s="1013" t="s">
        <v>92</v>
      </c>
      <c r="E153" s="847"/>
      <c r="F153" s="1013"/>
      <c r="G153" s="847"/>
      <c r="H153" s="1013"/>
      <c r="I153" s="847"/>
      <c r="J153" s="1013"/>
      <c r="K153" s="847"/>
      <c r="L153" s="1013"/>
      <c r="M153" s="847"/>
      <c r="N153" s="1013"/>
      <c r="O153" s="847"/>
      <c r="P153" s="1013"/>
      <c r="Q153" s="847"/>
      <c r="R153" s="847"/>
      <c r="S153" s="847"/>
      <c r="T153" s="847"/>
      <c r="U153" s="847"/>
      <c r="V153" s="847"/>
      <c r="W153" s="847"/>
      <c r="X153" s="847"/>
      <c r="Y153" s="847"/>
      <c r="Z153" s="847"/>
      <c r="AA153" s="847"/>
      <c r="AB153" s="847"/>
      <c r="AC153" s="847"/>
      <c r="AD153" s="847"/>
      <c r="AE153" s="847"/>
      <c r="AF153" s="847"/>
      <c r="AG153" s="847"/>
      <c r="AH153" s="847"/>
      <c r="AI153" s="847"/>
      <c r="AJ153" s="847"/>
      <c r="AK153" s="847"/>
      <c r="AL153" s="847"/>
      <c r="AM153" s="847"/>
      <c r="AN153" s="847"/>
      <c r="AO153" s="847"/>
      <c r="AP153" s="847"/>
      <c r="AQ153" s="847"/>
      <c r="AR153" s="847"/>
      <c r="AS153" s="847"/>
      <c r="AT153" s="847"/>
      <c r="AU153" s="847"/>
      <c r="AV153" s="847"/>
      <c r="AW153" s="847"/>
      <c r="AX153" s="847"/>
      <c r="AY153" s="847"/>
      <c r="AZ153" s="847"/>
      <c r="BA153" s="847"/>
      <c r="BB153" s="847"/>
      <c r="BC153" s="847"/>
      <c r="BD153" s="847"/>
      <c r="BE153" s="847"/>
      <c r="BF153" s="847"/>
      <c r="BG153" s="847"/>
      <c r="BH153" s="847"/>
      <c r="BI153" s="847"/>
      <c r="BJ153" s="847"/>
      <c r="BK153" s="847"/>
      <c r="BL153" s="847"/>
      <c r="BM153" s="847"/>
      <c r="BN153" s="847"/>
      <c r="BO153" s="847"/>
      <c r="BP153" s="847"/>
      <c r="BQ153" s="847"/>
      <c r="BR153" s="847"/>
      <c r="BS153" s="847"/>
      <c r="BT153" s="847"/>
      <c r="BU153" s="847"/>
      <c r="BV153" s="847"/>
      <c r="BW153" s="847">
        <f>BW152+BW152*20%</f>
        <v>5.4719999999999994E-3</v>
      </c>
      <c r="BX153" s="847">
        <f>ROUND(C153*BW153,2)</f>
        <v>0</v>
      </c>
      <c r="BY153" s="847">
        <f>BY152+BY152*20%</f>
        <v>8.3999999999999995E-3</v>
      </c>
      <c r="BZ153" s="847">
        <f>ROUND(C153*BY153,2)</f>
        <v>0</v>
      </c>
      <c r="CA153" s="847">
        <f>CA152+CA152*20%</f>
        <v>9.3599999999999998E-4</v>
      </c>
      <c r="CB153" s="847">
        <f>ROUND(C153*CA153,2)</f>
        <v>0</v>
      </c>
      <c r="CC153" s="847"/>
      <c r="CD153" s="847"/>
      <c r="CE153" s="847">
        <f>CE152+CE152*20%</f>
        <v>0.156</v>
      </c>
      <c r="CF153" s="847">
        <f>ROUND(C153*CE153,2)</f>
        <v>0</v>
      </c>
      <c r="CG153" s="847"/>
      <c r="CH153" s="847"/>
      <c r="CI153" s="847"/>
      <c r="CJ153" s="847"/>
      <c r="CK153" s="847"/>
      <c r="CL153" s="847"/>
      <c r="CM153" s="847"/>
      <c r="CN153" s="847"/>
      <c r="CO153" s="847"/>
      <c r="CP153" s="847"/>
      <c r="CQ153" s="847"/>
      <c r="CR153" s="847"/>
      <c r="CS153" s="847"/>
      <c r="CT153" s="847"/>
      <c r="CU153" s="847"/>
      <c r="CV153" s="847"/>
      <c r="CW153" s="847"/>
      <c r="CX153" s="847"/>
      <c r="CY153" s="847"/>
      <c r="CZ153" s="847"/>
      <c r="DA153" s="847"/>
      <c r="DB153" s="847"/>
      <c r="DC153" s="847"/>
      <c r="DD153" s="847"/>
      <c r="DE153" s="847"/>
      <c r="DF153" s="847"/>
      <c r="DG153" s="847"/>
      <c r="DH153" s="847"/>
      <c r="DI153" s="847"/>
      <c r="DJ153" s="847"/>
      <c r="DK153" s="847"/>
      <c r="DL153" s="847"/>
      <c r="DM153" s="1212"/>
      <c r="DN153" s="1222"/>
      <c r="DO153" s="1013"/>
      <c r="DP153" s="847">
        <f>DP152+'Lead &amp; ANALYSIS'!K2727/2/'Lead &amp; ANALYSIS'!J2715</f>
        <v>0.66714285714285715</v>
      </c>
      <c r="DQ153" s="1013">
        <f>ROUND(C153*DP153,2)</f>
        <v>0</v>
      </c>
      <c r="DR153" s="847">
        <f>DR152+'Lead &amp; ANALYSIS'!K2727/2/'Lead &amp; ANALYSIS'!J2714</f>
        <v>0.65367816091954023</v>
      </c>
      <c r="DS153" s="1013">
        <f>ROUND(C153*DR153,2)</f>
        <v>0</v>
      </c>
      <c r="DT153" s="1225"/>
      <c r="DU153" s="1214"/>
      <c r="DV153" s="1224"/>
      <c r="DW153" s="1232"/>
      <c r="DX153" s="1222"/>
      <c r="DY153" s="847"/>
      <c r="DZ153" s="847"/>
      <c r="EA153" s="847"/>
      <c r="EB153" s="847"/>
      <c r="EC153" s="847"/>
      <c r="ED153" s="847"/>
      <c r="EE153" s="847"/>
      <c r="EF153" s="847"/>
      <c r="EG153" s="1212"/>
      <c r="EH153" s="847"/>
      <c r="EI153" s="1212"/>
    </row>
    <row r="154" spans="1:139" s="733" customFormat="1" ht="13.5">
      <c r="A154" s="1009" t="s">
        <v>291</v>
      </c>
      <c r="B154" s="1212" t="s">
        <v>872</v>
      </c>
      <c r="C154" s="1213">
        <v>0</v>
      </c>
      <c r="D154" s="1013" t="s">
        <v>92</v>
      </c>
      <c r="E154" s="847"/>
      <c r="F154" s="1013"/>
      <c r="G154" s="847"/>
      <c r="H154" s="1013"/>
      <c r="I154" s="847"/>
      <c r="J154" s="1013"/>
      <c r="K154" s="847"/>
      <c r="L154" s="1013"/>
      <c r="M154" s="847"/>
      <c r="N154" s="1013"/>
      <c r="O154" s="847"/>
      <c r="P154" s="1013"/>
      <c r="Q154" s="847"/>
      <c r="R154" s="847"/>
      <c r="S154" s="847"/>
      <c r="T154" s="847"/>
      <c r="U154" s="847"/>
      <c r="V154" s="847"/>
      <c r="W154" s="847"/>
      <c r="X154" s="847"/>
      <c r="Y154" s="847"/>
      <c r="Z154" s="847"/>
      <c r="AA154" s="847"/>
      <c r="AB154" s="847"/>
      <c r="AC154" s="847"/>
      <c r="AD154" s="847"/>
      <c r="AE154" s="847"/>
      <c r="AF154" s="847"/>
      <c r="AG154" s="847"/>
      <c r="AH154" s="847"/>
      <c r="AI154" s="847"/>
      <c r="AJ154" s="847"/>
      <c r="AK154" s="847"/>
      <c r="AL154" s="847"/>
      <c r="AM154" s="847"/>
      <c r="AN154" s="847"/>
      <c r="AO154" s="847"/>
      <c r="AP154" s="847"/>
      <c r="AQ154" s="847"/>
      <c r="AR154" s="847"/>
      <c r="AS154" s="847"/>
      <c r="AT154" s="847"/>
      <c r="AU154" s="847"/>
      <c r="AV154" s="847"/>
      <c r="AW154" s="847"/>
      <c r="AX154" s="847"/>
      <c r="AY154" s="847"/>
      <c r="AZ154" s="847"/>
      <c r="BA154" s="847"/>
      <c r="BB154" s="847"/>
      <c r="BC154" s="847"/>
      <c r="BD154" s="847"/>
      <c r="BE154" s="847"/>
      <c r="BF154" s="847"/>
      <c r="BG154" s="847"/>
      <c r="BH154" s="847"/>
      <c r="BI154" s="847"/>
      <c r="BJ154" s="847"/>
      <c r="BK154" s="847"/>
      <c r="BL154" s="847"/>
      <c r="BM154" s="847"/>
      <c r="BN154" s="847"/>
      <c r="BO154" s="847"/>
      <c r="BP154" s="847"/>
      <c r="BQ154" s="847"/>
      <c r="BR154" s="847"/>
      <c r="BS154" s="847"/>
      <c r="BT154" s="847"/>
      <c r="BU154" s="847"/>
      <c r="BV154" s="847"/>
      <c r="BW154" s="847"/>
      <c r="BX154" s="847"/>
      <c r="BY154" s="847"/>
      <c r="BZ154" s="847"/>
      <c r="CA154" s="847"/>
      <c r="CB154" s="847"/>
      <c r="CC154" s="847"/>
      <c r="CD154" s="847"/>
      <c r="CE154" s="847"/>
      <c r="CF154" s="847"/>
      <c r="CG154" s="847"/>
      <c r="CH154" s="847"/>
      <c r="CI154" s="847"/>
      <c r="CJ154" s="847"/>
      <c r="CK154" s="847"/>
      <c r="CL154" s="847"/>
      <c r="CM154" s="847"/>
      <c r="CN154" s="847"/>
      <c r="CO154" s="847"/>
      <c r="CP154" s="847"/>
      <c r="CQ154" s="847"/>
      <c r="CR154" s="847"/>
      <c r="CS154" s="847"/>
      <c r="CT154" s="847"/>
      <c r="CU154" s="847"/>
      <c r="CV154" s="847"/>
      <c r="CW154" s="847"/>
      <c r="CX154" s="847"/>
      <c r="CY154" s="847"/>
      <c r="CZ154" s="847"/>
      <c r="DA154" s="847"/>
      <c r="DB154" s="847"/>
      <c r="DC154" s="847"/>
      <c r="DD154" s="847"/>
      <c r="DE154" s="847"/>
      <c r="DF154" s="847"/>
      <c r="DG154" s="847"/>
      <c r="DH154" s="847"/>
      <c r="DI154" s="847"/>
      <c r="DJ154" s="847"/>
      <c r="DK154" s="847"/>
      <c r="DL154" s="847"/>
      <c r="DM154" s="1212"/>
      <c r="DN154" s="1222"/>
      <c r="DO154" s="1013"/>
      <c r="DP154" s="847"/>
      <c r="DQ154" s="1013"/>
      <c r="DR154" s="1225"/>
      <c r="DS154" s="1013"/>
      <c r="DT154" s="1225"/>
      <c r="DU154" s="1214"/>
      <c r="DV154" s="1242"/>
      <c r="DW154" s="1232"/>
      <c r="DX154" s="1222"/>
      <c r="DY154" s="847"/>
      <c r="DZ154" s="847"/>
      <c r="EA154" s="847"/>
      <c r="EB154" s="847"/>
      <c r="EC154" s="847"/>
      <c r="ED154" s="847"/>
      <c r="EE154" s="847"/>
      <c r="EF154" s="847"/>
      <c r="EG154" s="1212"/>
      <c r="EH154" s="847"/>
      <c r="EI154" s="1212"/>
    </row>
    <row r="155" spans="1:139" s="733" customFormat="1" ht="13.5">
      <c r="A155" s="1009"/>
      <c r="B155" s="1212" t="s">
        <v>2066</v>
      </c>
      <c r="C155" s="1213">
        <v>0</v>
      </c>
      <c r="D155" s="1013" t="s">
        <v>92</v>
      </c>
      <c r="E155" s="847"/>
      <c r="F155" s="1013"/>
      <c r="G155" s="847"/>
      <c r="H155" s="1013"/>
      <c r="I155" s="847"/>
      <c r="J155" s="1013"/>
      <c r="K155" s="847"/>
      <c r="L155" s="1013"/>
      <c r="M155" s="847"/>
      <c r="N155" s="1013"/>
      <c r="O155" s="847"/>
      <c r="P155" s="1013"/>
      <c r="Q155" s="847"/>
      <c r="R155" s="847"/>
      <c r="S155" s="847"/>
      <c r="T155" s="847"/>
      <c r="U155" s="847"/>
      <c r="V155" s="847"/>
      <c r="W155" s="847"/>
      <c r="X155" s="847"/>
      <c r="Y155" s="847"/>
      <c r="Z155" s="847"/>
      <c r="AA155" s="847"/>
      <c r="AB155" s="847"/>
      <c r="AC155" s="847"/>
      <c r="AD155" s="847"/>
      <c r="AE155" s="847"/>
      <c r="AF155" s="847"/>
      <c r="AG155" s="847"/>
      <c r="AH155" s="847"/>
      <c r="AI155" s="847"/>
      <c r="AJ155" s="847"/>
      <c r="AK155" s="847"/>
      <c r="AL155" s="847"/>
      <c r="AM155" s="847"/>
      <c r="AN155" s="847"/>
      <c r="AO155" s="847"/>
      <c r="AP155" s="847"/>
      <c r="AQ155" s="847"/>
      <c r="AR155" s="847"/>
      <c r="AS155" s="847"/>
      <c r="AT155" s="847"/>
      <c r="AU155" s="847"/>
      <c r="AV155" s="847"/>
      <c r="AW155" s="847"/>
      <c r="AX155" s="847"/>
      <c r="AY155" s="847"/>
      <c r="AZ155" s="847"/>
      <c r="BA155" s="847"/>
      <c r="BB155" s="847"/>
      <c r="BC155" s="847"/>
      <c r="BD155" s="847"/>
      <c r="BE155" s="847"/>
      <c r="BF155" s="847"/>
      <c r="BG155" s="847"/>
      <c r="BH155" s="847"/>
      <c r="BI155" s="847"/>
      <c r="BJ155" s="847"/>
      <c r="BK155" s="847"/>
      <c r="BL155" s="847"/>
      <c r="BM155" s="847"/>
      <c r="BN155" s="847"/>
      <c r="BO155" s="847"/>
      <c r="BP155" s="847"/>
      <c r="BQ155" s="847"/>
      <c r="BR155" s="847"/>
      <c r="BS155" s="847"/>
      <c r="BT155" s="847"/>
      <c r="BU155" s="847"/>
      <c r="BV155" s="847"/>
      <c r="BW155" s="847">
        <f>'Lead &amp; ANALYSIS'!G2753/4.2/10</f>
        <v>5.1904761904761907E-3</v>
      </c>
      <c r="BX155" s="847">
        <f>ROUND(C155*BW155,2)</f>
        <v>0</v>
      </c>
      <c r="BY155" s="847">
        <f>'Lead &amp; ANALYSIS'!G2756/4.2/10</f>
        <v>1.0857142857142857E-2</v>
      </c>
      <c r="BZ155" s="847">
        <f>ROUND(C155*BY155,2)</f>
        <v>0</v>
      </c>
      <c r="CA155" s="847"/>
      <c r="CB155" s="847"/>
      <c r="CC155" s="847"/>
      <c r="CD155" s="847"/>
      <c r="CE155" s="847"/>
      <c r="CF155" s="847"/>
      <c r="CG155" s="847">
        <f>'Lead &amp; ANALYSIS'!G2755/4.2/10</f>
        <v>0.19047619047619047</v>
      </c>
      <c r="CH155" s="1013">
        <f>ROUND(C155*CG155,2)</f>
        <v>0</v>
      </c>
      <c r="CI155" s="847">
        <f>'Lead &amp; ANALYSIS'!G2754/4.2/10</f>
        <v>0.36190476190476184</v>
      </c>
      <c r="CJ155" s="847">
        <f>ROUND(C155*CI155,2)</f>
        <v>0</v>
      </c>
      <c r="CK155" s="847"/>
      <c r="CL155" s="847"/>
      <c r="CM155" s="847"/>
      <c r="CN155" s="847"/>
      <c r="CO155" s="847"/>
      <c r="CP155" s="847"/>
      <c r="CQ155" s="847"/>
      <c r="CR155" s="847"/>
      <c r="CS155" s="847"/>
      <c r="CT155" s="847"/>
      <c r="CU155" s="847"/>
      <c r="CV155" s="847"/>
      <c r="CW155" s="847"/>
      <c r="CX155" s="847"/>
      <c r="CY155" s="847"/>
      <c r="CZ155" s="847"/>
      <c r="DA155" s="847"/>
      <c r="DB155" s="847"/>
      <c r="DC155" s="847"/>
      <c r="DD155" s="847"/>
      <c r="DE155" s="847"/>
      <c r="DF155" s="847"/>
      <c r="DG155" s="847"/>
      <c r="DH155" s="847"/>
      <c r="DI155" s="847"/>
      <c r="DJ155" s="847"/>
      <c r="DK155" s="847"/>
      <c r="DL155" s="847"/>
      <c r="DM155" s="1212"/>
      <c r="DN155" s="1222"/>
      <c r="DO155" s="1013"/>
      <c r="DP155" s="1013">
        <f>'Lead &amp; ANALYSIS'!G2761/4.2</f>
        <v>0.65476190476190477</v>
      </c>
      <c r="DQ155" s="1013">
        <f>ROUND(C155*DP155,2)</f>
        <v>0</v>
      </c>
      <c r="DR155" s="1225">
        <f>'Lead &amp; ANALYSIS'!G2760/4.2</f>
        <v>0.65476190476190477</v>
      </c>
      <c r="DS155" s="1013">
        <f>ROUND(C155*DR155,2)</f>
        <v>0</v>
      </c>
      <c r="DT155" s="1225"/>
      <c r="DU155" s="1214"/>
      <c r="DV155" s="1224"/>
      <c r="DW155" s="1232"/>
      <c r="DX155" s="1222"/>
      <c r="DY155" s="847"/>
      <c r="DZ155" s="847"/>
      <c r="EA155" s="847"/>
      <c r="EB155" s="847"/>
      <c r="EC155" s="847"/>
      <c r="ED155" s="847"/>
      <c r="EE155" s="847"/>
      <c r="EF155" s="847"/>
      <c r="EG155" s="1212"/>
      <c r="EH155" s="847"/>
      <c r="EI155" s="1212"/>
    </row>
    <row r="156" spans="1:139" s="733" customFormat="1" ht="13.5">
      <c r="A156" s="1009"/>
      <c r="B156" s="1212" t="s">
        <v>2067</v>
      </c>
      <c r="C156" s="1213">
        <v>0</v>
      </c>
      <c r="D156" s="1013" t="s">
        <v>92</v>
      </c>
      <c r="E156" s="847"/>
      <c r="F156" s="1013"/>
      <c r="G156" s="847"/>
      <c r="H156" s="1013"/>
      <c r="I156" s="847"/>
      <c r="J156" s="1013"/>
      <c r="K156" s="847"/>
      <c r="L156" s="1013"/>
      <c r="M156" s="847"/>
      <c r="N156" s="1013"/>
      <c r="O156" s="847"/>
      <c r="P156" s="1013"/>
      <c r="Q156" s="847"/>
      <c r="R156" s="847"/>
      <c r="S156" s="847"/>
      <c r="T156" s="847"/>
      <c r="U156" s="847"/>
      <c r="V156" s="847"/>
      <c r="W156" s="847"/>
      <c r="X156" s="847"/>
      <c r="Y156" s="847"/>
      <c r="Z156" s="847"/>
      <c r="AA156" s="847"/>
      <c r="AB156" s="847"/>
      <c r="AC156" s="847"/>
      <c r="AD156" s="847"/>
      <c r="AE156" s="847"/>
      <c r="AF156" s="847"/>
      <c r="AG156" s="847"/>
      <c r="AH156" s="847"/>
      <c r="AI156" s="847"/>
      <c r="AJ156" s="847"/>
      <c r="AK156" s="847"/>
      <c r="AL156" s="847"/>
      <c r="AM156" s="847"/>
      <c r="AN156" s="847"/>
      <c r="AO156" s="847"/>
      <c r="AP156" s="847"/>
      <c r="AQ156" s="847"/>
      <c r="AR156" s="847"/>
      <c r="AS156" s="847"/>
      <c r="AT156" s="847"/>
      <c r="AU156" s="847"/>
      <c r="AV156" s="847"/>
      <c r="AW156" s="847"/>
      <c r="AX156" s="847"/>
      <c r="AY156" s="847"/>
      <c r="AZ156" s="847"/>
      <c r="BA156" s="847"/>
      <c r="BB156" s="847"/>
      <c r="BC156" s="847"/>
      <c r="BD156" s="847"/>
      <c r="BE156" s="847"/>
      <c r="BF156" s="847"/>
      <c r="BG156" s="847"/>
      <c r="BH156" s="847"/>
      <c r="BI156" s="847"/>
      <c r="BJ156" s="847"/>
      <c r="BK156" s="847"/>
      <c r="BL156" s="847"/>
      <c r="BM156" s="847"/>
      <c r="BN156" s="847"/>
      <c r="BO156" s="847"/>
      <c r="BP156" s="847"/>
      <c r="BQ156" s="847"/>
      <c r="BR156" s="847"/>
      <c r="BS156" s="847"/>
      <c r="BT156" s="847"/>
      <c r="BU156" s="847"/>
      <c r="BV156" s="847"/>
      <c r="BW156" s="847">
        <f>BW155+BW155*20%</f>
        <v>6.2285714285714288E-3</v>
      </c>
      <c r="BX156" s="847">
        <f>ROUND(C156*BW156,2)</f>
        <v>0</v>
      </c>
      <c r="BY156" s="847">
        <f>BY155+BY155*20%</f>
        <v>1.3028571428571428E-2</v>
      </c>
      <c r="BZ156" s="847">
        <f>ROUND(C156*BY156,2)</f>
        <v>0</v>
      </c>
      <c r="CA156" s="847"/>
      <c r="CB156" s="847"/>
      <c r="CC156" s="847"/>
      <c r="CD156" s="847"/>
      <c r="CE156" s="847"/>
      <c r="CF156" s="847"/>
      <c r="CG156" s="847">
        <f>CG155+CG155*20%</f>
        <v>0.22857142857142856</v>
      </c>
      <c r="CH156" s="1013">
        <f>ROUND(C156*CG156,2)</f>
        <v>0</v>
      </c>
      <c r="CI156" s="847">
        <f>CI155+CI155*20%</f>
        <v>0.43428571428571422</v>
      </c>
      <c r="CJ156" s="847">
        <f>ROUND(C156*CI156,2)</f>
        <v>0</v>
      </c>
      <c r="CK156" s="847"/>
      <c r="CL156" s="847"/>
      <c r="CM156" s="847"/>
      <c r="CN156" s="847"/>
      <c r="CO156" s="847"/>
      <c r="CP156" s="847"/>
      <c r="CQ156" s="847"/>
      <c r="CR156" s="847"/>
      <c r="CS156" s="847"/>
      <c r="CT156" s="847"/>
      <c r="CU156" s="847"/>
      <c r="CV156" s="847"/>
      <c r="CW156" s="847"/>
      <c r="CX156" s="847"/>
      <c r="CY156" s="847"/>
      <c r="CZ156" s="847"/>
      <c r="DA156" s="847"/>
      <c r="DB156" s="847"/>
      <c r="DC156" s="847"/>
      <c r="DD156" s="847"/>
      <c r="DE156" s="847"/>
      <c r="DF156" s="847"/>
      <c r="DG156" s="847"/>
      <c r="DH156" s="847"/>
      <c r="DI156" s="847"/>
      <c r="DJ156" s="847"/>
      <c r="DK156" s="847"/>
      <c r="DL156" s="847"/>
      <c r="DM156" s="1212"/>
      <c r="DN156" s="1222"/>
      <c r="DO156" s="1013"/>
      <c r="DP156" s="847">
        <f>DP155+'Lead &amp; ANALYSIS'!K2772/2/'Lead &amp; ANALYSIS'!J2761</f>
        <v>0.79421645021645015</v>
      </c>
      <c r="DQ156" s="1013">
        <f>ROUND(C156*DP156,2)</f>
        <v>0</v>
      </c>
      <c r="DR156" s="847">
        <f>DR155+'Lead &amp; ANALYSIS'!K2772/2/'Lead &amp; ANALYSIS'!J2760</f>
        <v>0.77818719211822662</v>
      </c>
      <c r="DS156" s="1013">
        <f>ROUND(C156*DR156,2)</f>
        <v>0</v>
      </c>
      <c r="DT156" s="1225"/>
      <c r="DU156" s="1214"/>
      <c r="DV156" s="1224"/>
      <c r="DW156" s="1232"/>
      <c r="DX156" s="1222"/>
      <c r="DY156" s="847"/>
      <c r="DZ156" s="847"/>
      <c r="EA156" s="847"/>
      <c r="EB156" s="847"/>
      <c r="EC156" s="847"/>
      <c r="ED156" s="847"/>
      <c r="EE156" s="847"/>
      <c r="EF156" s="847"/>
      <c r="EG156" s="1212"/>
      <c r="EH156" s="847"/>
      <c r="EI156" s="1212"/>
    </row>
    <row r="157" spans="1:139" s="733" customFormat="1" ht="13.5">
      <c r="A157" s="1009" t="s">
        <v>308</v>
      </c>
      <c r="B157" s="1212" t="s">
        <v>876</v>
      </c>
      <c r="C157" s="1213">
        <v>0</v>
      </c>
      <c r="D157" s="1013" t="s">
        <v>92</v>
      </c>
      <c r="E157" s="847"/>
      <c r="F157" s="1013"/>
      <c r="G157" s="847"/>
      <c r="H157" s="1013"/>
      <c r="I157" s="847"/>
      <c r="J157" s="1013"/>
      <c r="K157" s="847"/>
      <c r="L157" s="1013"/>
      <c r="M157" s="847"/>
      <c r="N157" s="1013"/>
      <c r="O157" s="847"/>
      <c r="P157" s="1013"/>
      <c r="Q157" s="847"/>
      <c r="R157" s="847"/>
      <c r="S157" s="847"/>
      <c r="T157" s="847"/>
      <c r="U157" s="847"/>
      <c r="V157" s="847"/>
      <c r="W157" s="847"/>
      <c r="X157" s="847"/>
      <c r="Y157" s="847"/>
      <c r="Z157" s="847"/>
      <c r="AA157" s="847"/>
      <c r="AB157" s="847"/>
      <c r="AC157" s="847"/>
      <c r="AD157" s="847"/>
      <c r="AE157" s="847"/>
      <c r="AF157" s="847"/>
      <c r="AG157" s="847"/>
      <c r="AH157" s="847"/>
      <c r="AI157" s="847"/>
      <c r="AJ157" s="847"/>
      <c r="AK157" s="847"/>
      <c r="AL157" s="847"/>
      <c r="AM157" s="847"/>
      <c r="AN157" s="847"/>
      <c r="AO157" s="847"/>
      <c r="AP157" s="847"/>
      <c r="AQ157" s="847"/>
      <c r="AR157" s="847"/>
      <c r="AS157" s="847"/>
      <c r="AT157" s="847"/>
      <c r="AU157" s="847"/>
      <c r="AV157" s="847"/>
      <c r="AW157" s="847"/>
      <c r="AX157" s="847"/>
      <c r="AY157" s="847"/>
      <c r="AZ157" s="847"/>
      <c r="BA157" s="847"/>
      <c r="BB157" s="847"/>
      <c r="BC157" s="847"/>
      <c r="BD157" s="847"/>
      <c r="BE157" s="847"/>
      <c r="BF157" s="847"/>
      <c r="BG157" s="847"/>
      <c r="BH157" s="847"/>
      <c r="BI157" s="847"/>
      <c r="BJ157" s="847"/>
      <c r="BK157" s="847"/>
      <c r="BL157" s="847"/>
      <c r="BM157" s="847"/>
      <c r="BN157" s="847"/>
      <c r="BO157" s="847"/>
      <c r="BP157" s="847"/>
      <c r="BQ157" s="847"/>
      <c r="BR157" s="847"/>
      <c r="BS157" s="847"/>
      <c r="BT157" s="847"/>
      <c r="BU157" s="847"/>
      <c r="BV157" s="847"/>
      <c r="BW157" s="847"/>
      <c r="BX157" s="847"/>
      <c r="BY157" s="847"/>
      <c r="BZ157" s="847"/>
      <c r="CA157" s="847"/>
      <c r="CB157" s="847"/>
      <c r="CC157" s="847"/>
      <c r="CD157" s="847"/>
      <c r="CE157" s="847"/>
      <c r="CF157" s="847"/>
      <c r="CG157" s="847"/>
      <c r="CH157" s="847"/>
      <c r="CI157" s="847"/>
      <c r="CJ157" s="847"/>
      <c r="CK157" s="847"/>
      <c r="CL157" s="847"/>
      <c r="CM157" s="847"/>
      <c r="CN157" s="847"/>
      <c r="CO157" s="847"/>
      <c r="CP157" s="847"/>
      <c r="CQ157" s="847"/>
      <c r="CR157" s="847"/>
      <c r="CS157" s="847"/>
      <c r="CT157" s="847"/>
      <c r="CU157" s="847"/>
      <c r="CV157" s="847"/>
      <c r="CW157" s="847"/>
      <c r="CX157" s="847"/>
      <c r="CY157" s="847"/>
      <c r="CZ157" s="847"/>
      <c r="DA157" s="847"/>
      <c r="DB157" s="847"/>
      <c r="DC157" s="847"/>
      <c r="DD157" s="847"/>
      <c r="DE157" s="847"/>
      <c r="DF157" s="847"/>
      <c r="DG157" s="847"/>
      <c r="DH157" s="847"/>
      <c r="DI157" s="847"/>
      <c r="DJ157" s="847"/>
      <c r="DK157" s="847"/>
      <c r="DL157" s="847"/>
      <c r="DM157" s="1212"/>
      <c r="DN157" s="1222"/>
      <c r="DO157" s="1013"/>
      <c r="DP157" s="847"/>
      <c r="DQ157" s="1013"/>
      <c r="DR157" s="1225"/>
      <c r="DS157" s="1013"/>
      <c r="DT157" s="1225"/>
      <c r="DU157" s="1214"/>
      <c r="DV157" s="1242"/>
      <c r="DW157" s="1232"/>
      <c r="DX157" s="1222"/>
      <c r="DY157" s="847"/>
      <c r="DZ157" s="847"/>
      <c r="EA157" s="847"/>
      <c r="EB157" s="847"/>
      <c r="EC157" s="847"/>
      <c r="ED157" s="847"/>
      <c r="EE157" s="847"/>
      <c r="EF157" s="847"/>
      <c r="EG157" s="1212"/>
      <c r="EH157" s="847"/>
      <c r="EI157" s="1212"/>
    </row>
    <row r="158" spans="1:139" s="733" customFormat="1" ht="13.5">
      <c r="A158" s="1009"/>
      <c r="B158" s="1212" t="s">
        <v>2066</v>
      </c>
      <c r="C158" s="1213">
        <v>0</v>
      </c>
      <c r="D158" s="1013" t="s">
        <v>92</v>
      </c>
      <c r="E158" s="847"/>
      <c r="F158" s="1013"/>
      <c r="G158" s="847"/>
      <c r="H158" s="1013"/>
      <c r="I158" s="847"/>
      <c r="J158" s="1013"/>
      <c r="K158" s="847"/>
      <c r="L158" s="1013"/>
      <c r="M158" s="847"/>
      <c r="N158" s="1013"/>
      <c r="O158" s="847"/>
      <c r="P158" s="1013"/>
      <c r="Q158" s="847"/>
      <c r="R158" s="847"/>
      <c r="S158" s="847"/>
      <c r="T158" s="847"/>
      <c r="U158" s="847"/>
      <c r="V158" s="847"/>
      <c r="W158" s="847"/>
      <c r="X158" s="847"/>
      <c r="Y158" s="847"/>
      <c r="Z158" s="847"/>
      <c r="AA158" s="847"/>
      <c r="AB158" s="847"/>
      <c r="AC158" s="847"/>
      <c r="AD158" s="847"/>
      <c r="AE158" s="847"/>
      <c r="AF158" s="847"/>
      <c r="AG158" s="847"/>
      <c r="AH158" s="847"/>
      <c r="AI158" s="847"/>
      <c r="AJ158" s="847"/>
      <c r="AK158" s="847"/>
      <c r="AL158" s="847"/>
      <c r="AM158" s="847"/>
      <c r="AN158" s="847"/>
      <c r="AO158" s="847"/>
      <c r="AP158" s="847"/>
      <c r="AQ158" s="847"/>
      <c r="AR158" s="847"/>
      <c r="AS158" s="847"/>
      <c r="AT158" s="847"/>
      <c r="AU158" s="847"/>
      <c r="AV158" s="847"/>
      <c r="AW158" s="847"/>
      <c r="AX158" s="847"/>
      <c r="AY158" s="847"/>
      <c r="AZ158" s="847"/>
      <c r="BA158" s="847"/>
      <c r="BB158" s="847"/>
      <c r="BC158" s="847"/>
      <c r="BD158" s="847"/>
      <c r="BE158" s="847"/>
      <c r="BF158" s="847"/>
      <c r="BG158" s="847"/>
      <c r="BH158" s="847"/>
      <c r="BI158" s="847"/>
      <c r="BJ158" s="847"/>
      <c r="BK158" s="847"/>
      <c r="BL158" s="847"/>
      <c r="BM158" s="847"/>
      <c r="BN158" s="847"/>
      <c r="BO158" s="847"/>
      <c r="BP158" s="847"/>
      <c r="BQ158" s="847"/>
      <c r="BR158" s="847"/>
      <c r="BS158" s="847"/>
      <c r="BT158" s="847"/>
      <c r="BU158" s="847"/>
      <c r="BV158" s="847"/>
      <c r="BW158" s="847">
        <f>'Lead &amp; ANALYSIS'!G2798/23.9/10</f>
        <v>1.1255230125523014E-3</v>
      </c>
      <c r="BX158" s="847">
        <f>ROUND(C158*BW158,2)</f>
        <v>0</v>
      </c>
      <c r="BY158" s="847">
        <f>'Lead &amp; ANALYSIS'!G2800/23.9/10</f>
        <v>1.0297071129707113E-2</v>
      </c>
      <c r="BZ158" s="847">
        <f>ROUND(C158*BY158,2)</f>
        <v>0</v>
      </c>
      <c r="CA158" s="847">
        <f>'Lead &amp; ANALYSIS'!G2797/23.9/10</f>
        <v>3.9916317991631799E-3</v>
      </c>
      <c r="CB158" s="847">
        <f>ROUND(C158*CA158,2)</f>
        <v>0</v>
      </c>
      <c r="CC158" s="847"/>
      <c r="CD158" s="847"/>
      <c r="CE158" s="847">
        <f>'Lead &amp; ANALYSIS'!G2799/23.9/10</f>
        <v>0.42175732217573225</v>
      </c>
      <c r="CF158" s="847">
        <f>ROUND(C158*CE158,2)</f>
        <v>0</v>
      </c>
      <c r="CG158" s="847"/>
      <c r="CH158" s="847"/>
      <c r="CI158" s="847"/>
      <c r="CJ158" s="847"/>
      <c r="CK158" s="847"/>
      <c r="CL158" s="847"/>
      <c r="CM158" s="847"/>
      <c r="CN158" s="847"/>
      <c r="CO158" s="847"/>
      <c r="CP158" s="847"/>
      <c r="CQ158" s="847"/>
      <c r="CR158" s="847"/>
      <c r="CS158" s="847"/>
      <c r="CT158" s="847"/>
      <c r="CU158" s="847"/>
      <c r="CV158" s="847"/>
      <c r="CW158" s="847"/>
      <c r="CX158" s="847"/>
      <c r="CY158" s="847"/>
      <c r="CZ158" s="847"/>
      <c r="DA158" s="847"/>
      <c r="DB158" s="847"/>
      <c r="DC158" s="847"/>
      <c r="DD158" s="847"/>
      <c r="DE158" s="847"/>
      <c r="DF158" s="847"/>
      <c r="DG158" s="847"/>
      <c r="DH158" s="847"/>
      <c r="DI158" s="847"/>
      <c r="DJ158" s="847"/>
      <c r="DK158" s="847"/>
      <c r="DL158" s="847"/>
      <c r="DM158" s="1212"/>
      <c r="DN158" s="1222"/>
      <c r="DO158" s="1013"/>
      <c r="DP158" s="1013">
        <f>'Lead &amp; ANALYSIS'!G2805/23.9</f>
        <v>0.56485355648535573</v>
      </c>
      <c r="DQ158" s="1013">
        <f>ROUND(C158*DP158,2)</f>
        <v>0</v>
      </c>
      <c r="DR158" s="1225">
        <f>'Lead &amp; ANALYSIS'!G2804/23.9</f>
        <v>0.56485355648535573</v>
      </c>
      <c r="DS158" s="1013">
        <f>ROUND(C158*DR158,2)</f>
        <v>0</v>
      </c>
      <c r="DT158" s="1225"/>
      <c r="DU158" s="1214"/>
      <c r="DV158" s="1224"/>
      <c r="DW158" s="1232"/>
      <c r="DX158" s="1222"/>
      <c r="DY158" s="847"/>
      <c r="DZ158" s="847"/>
      <c r="EA158" s="847"/>
      <c r="EB158" s="847"/>
      <c r="EC158" s="847"/>
      <c r="ED158" s="847"/>
      <c r="EE158" s="847"/>
      <c r="EF158" s="847"/>
      <c r="EG158" s="1212"/>
      <c r="EH158" s="847"/>
      <c r="EI158" s="1212"/>
    </row>
    <row r="159" spans="1:139" s="733" customFormat="1" ht="13.5">
      <c r="A159" s="1009"/>
      <c r="B159" s="1212" t="s">
        <v>2067</v>
      </c>
      <c r="C159" s="1213">
        <v>0</v>
      </c>
      <c r="D159" s="1013" t="s">
        <v>92</v>
      </c>
      <c r="E159" s="847"/>
      <c r="F159" s="1013"/>
      <c r="G159" s="847"/>
      <c r="H159" s="1013"/>
      <c r="I159" s="847"/>
      <c r="J159" s="1013"/>
      <c r="K159" s="847"/>
      <c r="L159" s="1013"/>
      <c r="M159" s="847"/>
      <c r="N159" s="1013"/>
      <c r="O159" s="847"/>
      <c r="P159" s="1013"/>
      <c r="Q159" s="847"/>
      <c r="R159" s="847"/>
      <c r="S159" s="847"/>
      <c r="T159" s="847"/>
      <c r="U159" s="847"/>
      <c r="V159" s="847"/>
      <c r="W159" s="847"/>
      <c r="X159" s="847"/>
      <c r="Y159" s="847"/>
      <c r="Z159" s="847"/>
      <c r="AA159" s="847"/>
      <c r="AB159" s="847"/>
      <c r="AC159" s="847"/>
      <c r="AD159" s="847"/>
      <c r="AE159" s="847"/>
      <c r="AF159" s="847"/>
      <c r="AG159" s="847"/>
      <c r="AH159" s="847"/>
      <c r="AI159" s="847"/>
      <c r="AJ159" s="847"/>
      <c r="AK159" s="847"/>
      <c r="AL159" s="847"/>
      <c r="AM159" s="847"/>
      <c r="AN159" s="847"/>
      <c r="AO159" s="847"/>
      <c r="AP159" s="847"/>
      <c r="AQ159" s="847"/>
      <c r="AR159" s="847"/>
      <c r="AS159" s="847"/>
      <c r="AT159" s="847"/>
      <c r="AU159" s="847"/>
      <c r="AV159" s="847"/>
      <c r="AW159" s="847"/>
      <c r="AX159" s="847"/>
      <c r="AY159" s="847"/>
      <c r="AZ159" s="847"/>
      <c r="BA159" s="847"/>
      <c r="BB159" s="847"/>
      <c r="BC159" s="847"/>
      <c r="BD159" s="847"/>
      <c r="BE159" s="847"/>
      <c r="BF159" s="847"/>
      <c r="BG159" s="847"/>
      <c r="BH159" s="847"/>
      <c r="BI159" s="847"/>
      <c r="BJ159" s="847"/>
      <c r="BK159" s="847"/>
      <c r="BL159" s="847"/>
      <c r="BM159" s="847"/>
      <c r="BN159" s="847"/>
      <c r="BO159" s="847"/>
      <c r="BP159" s="847"/>
      <c r="BQ159" s="847"/>
      <c r="BR159" s="847"/>
      <c r="BS159" s="847"/>
      <c r="BT159" s="847"/>
      <c r="BU159" s="847"/>
      <c r="BV159" s="847"/>
      <c r="BW159" s="847">
        <f>BW158+BW158*20%</f>
        <v>1.3506276150627617E-3</v>
      </c>
      <c r="BX159" s="847">
        <f>ROUND(C159*BW159,2)</f>
        <v>0</v>
      </c>
      <c r="BY159" s="847">
        <f>BY158+BY158*20%</f>
        <v>1.2356485355648535E-2</v>
      </c>
      <c r="BZ159" s="847">
        <f>ROUND(C159*BY159,2)</f>
        <v>0</v>
      </c>
      <c r="CA159" s="847">
        <f>CA158+CA158*20%</f>
        <v>4.7899581589958161E-3</v>
      </c>
      <c r="CB159" s="847">
        <f>ROUND(C159*CA159,2)</f>
        <v>0</v>
      </c>
      <c r="CC159" s="847"/>
      <c r="CD159" s="847"/>
      <c r="CE159" s="847">
        <f>CE158+CE158*20%</f>
        <v>0.50610878661087866</v>
      </c>
      <c r="CF159" s="847">
        <f>ROUND(C159*CE159,2)</f>
        <v>0</v>
      </c>
      <c r="CG159" s="847"/>
      <c r="CH159" s="847"/>
      <c r="CI159" s="847"/>
      <c r="CJ159" s="847"/>
      <c r="CK159" s="847"/>
      <c r="CL159" s="847"/>
      <c r="CM159" s="847"/>
      <c r="CN159" s="847"/>
      <c r="CO159" s="847"/>
      <c r="CP159" s="847"/>
      <c r="CQ159" s="847"/>
      <c r="CR159" s="847"/>
      <c r="CS159" s="847"/>
      <c r="CT159" s="847"/>
      <c r="CU159" s="847"/>
      <c r="CV159" s="847"/>
      <c r="CW159" s="847"/>
      <c r="CX159" s="847"/>
      <c r="CY159" s="847"/>
      <c r="CZ159" s="847"/>
      <c r="DA159" s="847"/>
      <c r="DB159" s="847"/>
      <c r="DC159" s="847"/>
      <c r="DD159" s="847"/>
      <c r="DE159" s="847"/>
      <c r="DF159" s="847"/>
      <c r="DG159" s="847"/>
      <c r="DH159" s="847"/>
      <c r="DI159" s="847"/>
      <c r="DJ159" s="847"/>
      <c r="DK159" s="847"/>
      <c r="DL159" s="847"/>
      <c r="DM159" s="1212"/>
      <c r="DN159" s="1222"/>
      <c r="DO159" s="1013"/>
      <c r="DP159" s="847">
        <f>DP158+'Lead &amp; ANALYSIS'!K2816/2/'Lead &amp; ANALYSIS'!J2805</f>
        <v>0.68516524479704399</v>
      </c>
      <c r="DQ159" s="1013">
        <f>ROUND(C159*DP159,2)</f>
        <v>0</v>
      </c>
      <c r="DR159" s="847">
        <f>DR158+'Lead &amp; ANALYSIS'!K2816/2/'Lead &amp; ANALYSIS'!J2804</f>
        <v>0.67133631510604541</v>
      </c>
      <c r="DS159" s="1013">
        <f>ROUND(C159*DR159,2)</f>
        <v>0</v>
      </c>
      <c r="DT159" s="1225"/>
      <c r="DU159" s="1214"/>
      <c r="DV159" s="1224"/>
      <c r="DW159" s="1232"/>
      <c r="DX159" s="1222"/>
      <c r="DY159" s="847"/>
      <c r="DZ159" s="847"/>
      <c r="EA159" s="847"/>
      <c r="EB159" s="847"/>
      <c r="EC159" s="847"/>
      <c r="ED159" s="847"/>
      <c r="EE159" s="847"/>
      <c r="EF159" s="847"/>
      <c r="EG159" s="1212"/>
      <c r="EH159" s="847"/>
      <c r="EI159" s="1212"/>
    </row>
    <row r="160" spans="1:139" s="733" customFormat="1" ht="13.5">
      <c r="A160" s="1009" t="s">
        <v>352</v>
      </c>
      <c r="B160" s="1212" t="s">
        <v>879</v>
      </c>
      <c r="C160" s="1213">
        <v>0</v>
      </c>
      <c r="D160" s="1013" t="s">
        <v>92</v>
      </c>
      <c r="E160" s="847"/>
      <c r="F160" s="1013"/>
      <c r="G160" s="847"/>
      <c r="H160" s="1013"/>
      <c r="I160" s="847"/>
      <c r="J160" s="1013"/>
      <c r="K160" s="847"/>
      <c r="L160" s="1013"/>
      <c r="M160" s="847"/>
      <c r="N160" s="1013"/>
      <c r="O160" s="847"/>
      <c r="P160" s="1013"/>
      <c r="Q160" s="847"/>
      <c r="R160" s="847"/>
      <c r="S160" s="847"/>
      <c r="T160" s="847"/>
      <c r="U160" s="847"/>
      <c r="V160" s="847"/>
      <c r="W160" s="847"/>
      <c r="X160" s="847"/>
      <c r="Y160" s="847"/>
      <c r="Z160" s="847"/>
      <c r="AA160" s="847"/>
      <c r="AB160" s="847"/>
      <c r="AC160" s="847"/>
      <c r="AD160" s="847"/>
      <c r="AE160" s="847"/>
      <c r="AF160" s="847"/>
      <c r="AG160" s="847"/>
      <c r="AH160" s="847"/>
      <c r="AI160" s="847"/>
      <c r="AJ160" s="847"/>
      <c r="AK160" s="847"/>
      <c r="AL160" s="847"/>
      <c r="AM160" s="847"/>
      <c r="AN160" s="847"/>
      <c r="AO160" s="847"/>
      <c r="AP160" s="847"/>
      <c r="AQ160" s="847"/>
      <c r="AR160" s="847"/>
      <c r="AS160" s="847"/>
      <c r="AT160" s="847"/>
      <c r="AU160" s="847"/>
      <c r="AV160" s="847"/>
      <c r="AW160" s="847"/>
      <c r="AX160" s="847"/>
      <c r="AY160" s="847"/>
      <c r="AZ160" s="847"/>
      <c r="BA160" s="847"/>
      <c r="BB160" s="847"/>
      <c r="BC160" s="847"/>
      <c r="BD160" s="847"/>
      <c r="BE160" s="847"/>
      <c r="BF160" s="847"/>
      <c r="BG160" s="847"/>
      <c r="BH160" s="847"/>
      <c r="BI160" s="847"/>
      <c r="BJ160" s="847"/>
      <c r="BK160" s="847"/>
      <c r="BL160" s="847"/>
      <c r="BM160" s="847"/>
      <c r="BN160" s="847"/>
      <c r="BO160" s="847"/>
      <c r="BP160" s="847"/>
      <c r="BQ160" s="847"/>
      <c r="BR160" s="847"/>
      <c r="BS160" s="847"/>
      <c r="BT160" s="847"/>
      <c r="BU160" s="847"/>
      <c r="BV160" s="847"/>
      <c r="BW160" s="847"/>
      <c r="BX160" s="847"/>
      <c r="BY160" s="847"/>
      <c r="BZ160" s="847"/>
      <c r="CA160" s="847"/>
      <c r="CB160" s="847"/>
      <c r="CC160" s="847"/>
      <c r="CD160" s="847"/>
      <c r="CE160" s="847"/>
      <c r="CF160" s="847"/>
      <c r="CG160" s="847"/>
      <c r="CH160" s="847"/>
      <c r="CI160" s="847"/>
      <c r="CJ160" s="847"/>
      <c r="CK160" s="847"/>
      <c r="CL160" s="847"/>
      <c r="CM160" s="847"/>
      <c r="CN160" s="847"/>
      <c r="CO160" s="847"/>
      <c r="CP160" s="847"/>
      <c r="CQ160" s="847"/>
      <c r="CR160" s="847"/>
      <c r="CS160" s="847"/>
      <c r="CT160" s="847"/>
      <c r="CU160" s="847"/>
      <c r="CV160" s="847"/>
      <c r="CW160" s="847"/>
      <c r="CX160" s="847"/>
      <c r="CY160" s="847"/>
      <c r="CZ160" s="847"/>
      <c r="DA160" s="847"/>
      <c r="DB160" s="847"/>
      <c r="DC160" s="847"/>
      <c r="DD160" s="847"/>
      <c r="DE160" s="847"/>
      <c r="DF160" s="847"/>
      <c r="DG160" s="847"/>
      <c r="DH160" s="847"/>
      <c r="DI160" s="847"/>
      <c r="DJ160" s="847"/>
      <c r="DK160" s="847"/>
      <c r="DL160" s="847"/>
      <c r="DM160" s="1212"/>
      <c r="DN160" s="1222"/>
      <c r="DO160" s="1013"/>
      <c r="DP160" s="847"/>
      <c r="DQ160" s="1013"/>
      <c r="DR160" s="1225"/>
      <c r="DS160" s="1013"/>
      <c r="DT160" s="1225"/>
      <c r="DU160" s="1214"/>
      <c r="DV160" s="1242"/>
      <c r="DW160" s="1232"/>
      <c r="DX160" s="1222"/>
      <c r="DY160" s="847"/>
      <c r="DZ160" s="847"/>
      <c r="EA160" s="847"/>
      <c r="EB160" s="847"/>
      <c r="EC160" s="847"/>
      <c r="ED160" s="847"/>
      <c r="EE160" s="847"/>
      <c r="EF160" s="847"/>
      <c r="EG160" s="1212"/>
      <c r="EH160" s="847"/>
      <c r="EI160" s="1212"/>
    </row>
    <row r="161" spans="1:139" s="733" customFormat="1" ht="13.5">
      <c r="A161" s="1009"/>
      <c r="B161" s="1212" t="s">
        <v>2066</v>
      </c>
      <c r="C161" s="1213">
        <v>0</v>
      </c>
      <c r="D161" s="1013" t="s">
        <v>92</v>
      </c>
      <c r="E161" s="847"/>
      <c r="F161" s="1013"/>
      <c r="G161" s="847"/>
      <c r="H161" s="1013"/>
      <c r="I161" s="847"/>
      <c r="J161" s="1013"/>
      <c r="K161" s="847"/>
      <c r="L161" s="1013"/>
      <c r="M161" s="847"/>
      <c r="N161" s="1013"/>
      <c r="O161" s="847"/>
      <c r="P161" s="1013"/>
      <c r="Q161" s="847"/>
      <c r="R161" s="847"/>
      <c r="S161" s="847"/>
      <c r="T161" s="847"/>
      <c r="U161" s="847"/>
      <c r="V161" s="847"/>
      <c r="W161" s="847"/>
      <c r="X161" s="847"/>
      <c r="Y161" s="847"/>
      <c r="Z161" s="847"/>
      <c r="AA161" s="847"/>
      <c r="AB161" s="847"/>
      <c r="AC161" s="847"/>
      <c r="AD161" s="847"/>
      <c r="AE161" s="847"/>
      <c r="AF161" s="847"/>
      <c r="AG161" s="847"/>
      <c r="AH161" s="847"/>
      <c r="AI161" s="847"/>
      <c r="AJ161" s="847"/>
      <c r="AK161" s="847"/>
      <c r="AL161" s="847"/>
      <c r="AM161" s="847"/>
      <c r="AN161" s="847"/>
      <c r="AO161" s="847"/>
      <c r="AP161" s="847"/>
      <c r="AQ161" s="847"/>
      <c r="AR161" s="847"/>
      <c r="AS161" s="847"/>
      <c r="AT161" s="847"/>
      <c r="AU161" s="847"/>
      <c r="AV161" s="847"/>
      <c r="AW161" s="847"/>
      <c r="AX161" s="847"/>
      <c r="AY161" s="847"/>
      <c r="AZ161" s="847"/>
      <c r="BA161" s="847"/>
      <c r="BB161" s="847"/>
      <c r="BC161" s="847"/>
      <c r="BD161" s="847"/>
      <c r="BE161" s="847"/>
      <c r="BF161" s="847"/>
      <c r="BG161" s="847"/>
      <c r="BH161" s="847"/>
      <c r="BI161" s="847"/>
      <c r="BJ161" s="847"/>
      <c r="BK161" s="847"/>
      <c r="BL161" s="847"/>
      <c r="BM161" s="847"/>
      <c r="BN161" s="847"/>
      <c r="BO161" s="847"/>
      <c r="BP161" s="847"/>
      <c r="BQ161" s="847"/>
      <c r="BR161" s="847"/>
      <c r="BS161" s="847"/>
      <c r="BT161" s="847"/>
      <c r="BU161" s="847"/>
      <c r="BV161" s="847"/>
      <c r="BW161" s="847">
        <f>'Lead &amp; ANALYSIS'!G2841/7.8/10</f>
        <v>5.2948717948717947E-3</v>
      </c>
      <c r="BX161" s="847">
        <f>ROUND(C161*BW161,2)</f>
        <v>0</v>
      </c>
      <c r="BY161" s="847">
        <f>'Lead &amp; ANALYSIS'!G2843/7.8/10</f>
        <v>8.8333333333333337E-3</v>
      </c>
      <c r="BZ161" s="847">
        <f>ROUND(C161*BY161,2)</f>
        <v>0</v>
      </c>
      <c r="CA161" s="847"/>
      <c r="CB161" s="847"/>
      <c r="CC161" s="847"/>
      <c r="CD161" s="847"/>
      <c r="CE161" s="847">
        <f>'Lead &amp; ANALYSIS'!G2842/7.8/10</f>
        <v>0.26923076923076927</v>
      </c>
      <c r="CF161" s="847">
        <f>ROUND(C161*CE161,2)</f>
        <v>0</v>
      </c>
      <c r="CG161" s="847"/>
      <c r="CH161" s="847"/>
      <c r="CI161" s="847"/>
      <c r="CJ161" s="847"/>
      <c r="CK161" s="847"/>
      <c r="CL161" s="847"/>
      <c r="CM161" s="847"/>
      <c r="CN161" s="847"/>
      <c r="CO161" s="847"/>
      <c r="CP161" s="847"/>
      <c r="CQ161" s="847"/>
      <c r="CR161" s="847"/>
      <c r="CS161" s="847"/>
      <c r="CT161" s="847"/>
      <c r="CU161" s="847"/>
      <c r="CV161" s="847"/>
      <c r="CW161" s="847"/>
      <c r="CX161" s="847"/>
      <c r="CY161" s="847"/>
      <c r="CZ161" s="847"/>
      <c r="DA161" s="847"/>
      <c r="DB161" s="847"/>
      <c r="DC161" s="847"/>
      <c r="DD161" s="847"/>
      <c r="DE161" s="847"/>
      <c r="DF161" s="847"/>
      <c r="DG161" s="847"/>
      <c r="DH161" s="847"/>
      <c r="DI161" s="847"/>
      <c r="DJ161" s="847"/>
      <c r="DK161" s="847"/>
      <c r="DL161" s="847"/>
      <c r="DM161" s="1212"/>
      <c r="DN161" s="1222"/>
      <c r="DO161" s="1013"/>
      <c r="DP161" s="1013">
        <f>'Lead &amp; ANALYSIS'!G2848/7.8</f>
        <v>0.16025641025641027</v>
      </c>
      <c r="DQ161" s="1013">
        <f>ROUND(C161*DP161,2)</f>
        <v>0</v>
      </c>
      <c r="DR161" s="1225">
        <f>'Lead &amp; ANALYSIS'!G2847/7.8</f>
        <v>0.16025641025641027</v>
      </c>
      <c r="DS161" s="1013">
        <f>ROUND(C161*DR161,2)</f>
        <v>0</v>
      </c>
      <c r="DT161" s="1225"/>
      <c r="DU161" s="1214"/>
      <c r="DV161" s="1224"/>
      <c r="DW161" s="1232"/>
      <c r="DX161" s="1222"/>
      <c r="DY161" s="847"/>
      <c r="DZ161" s="847"/>
      <c r="EA161" s="847"/>
      <c r="EB161" s="847"/>
      <c r="EC161" s="847"/>
      <c r="ED161" s="847"/>
      <c r="EE161" s="847"/>
      <c r="EF161" s="847"/>
      <c r="EG161" s="1212"/>
      <c r="EH161" s="847"/>
      <c r="EI161" s="1212"/>
    </row>
    <row r="162" spans="1:139" s="733" customFormat="1" ht="13.5">
      <c r="A162" s="1009"/>
      <c r="B162" s="1212" t="s">
        <v>2067</v>
      </c>
      <c r="C162" s="1213">
        <v>0</v>
      </c>
      <c r="D162" s="1013" t="s">
        <v>92</v>
      </c>
      <c r="E162" s="847"/>
      <c r="F162" s="1013"/>
      <c r="G162" s="847"/>
      <c r="H162" s="1013"/>
      <c r="I162" s="847"/>
      <c r="J162" s="1013"/>
      <c r="K162" s="847"/>
      <c r="L162" s="1013"/>
      <c r="M162" s="847"/>
      <c r="N162" s="1013"/>
      <c r="O162" s="847"/>
      <c r="P162" s="1013"/>
      <c r="Q162" s="847"/>
      <c r="R162" s="847"/>
      <c r="S162" s="847"/>
      <c r="T162" s="847"/>
      <c r="U162" s="847"/>
      <c r="V162" s="847"/>
      <c r="W162" s="847"/>
      <c r="X162" s="847"/>
      <c r="Y162" s="847"/>
      <c r="Z162" s="847"/>
      <c r="AA162" s="847"/>
      <c r="AB162" s="847"/>
      <c r="AC162" s="847"/>
      <c r="AD162" s="847"/>
      <c r="AE162" s="847"/>
      <c r="AF162" s="847"/>
      <c r="AG162" s="847"/>
      <c r="AH162" s="847"/>
      <c r="AI162" s="847"/>
      <c r="AJ162" s="847"/>
      <c r="AK162" s="847"/>
      <c r="AL162" s="847"/>
      <c r="AM162" s="847"/>
      <c r="AN162" s="847"/>
      <c r="AO162" s="847"/>
      <c r="AP162" s="847"/>
      <c r="AQ162" s="847"/>
      <c r="AR162" s="847"/>
      <c r="AS162" s="847"/>
      <c r="AT162" s="847"/>
      <c r="AU162" s="847"/>
      <c r="AV162" s="847"/>
      <c r="AW162" s="847"/>
      <c r="AX162" s="847"/>
      <c r="AY162" s="847"/>
      <c r="AZ162" s="847"/>
      <c r="BA162" s="847"/>
      <c r="BB162" s="847"/>
      <c r="BC162" s="847"/>
      <c r="BD162" s="847"/>
      <c r="BE162" s="847"/>
      <c r="BF162" s="847"/>
      <c r="BG162" s="847"/>
      <c r="BH162" s="847"/>
      <c r="BI162" s="847"/>
      <c r="BJ162" s="847"/>
      <c r="BK162" s="847"/>
      <c r="BL162" s="847"/>
      <c r="BM162" s="847"/>
      <c r="BN162" s="847"/>
      <c r="BO162" s="847"/>
      <c r="BP162" s="847"/>
      <c r="BQ162" s="847"/>
      <c r="BR162" s="847"/>
      <c r="BS162" s="847"/>
      <c r="BT162" s="847"/>
      <c r="BU162" s="847"/>
      <c r="BV162" s="847"/>
      <c r="BW162" s="847">
        <f>BW161+BW161*20%</f>
        <v>6.3538461538461535E-3</v>
      </c>
      <c r="BX162" s="847">
        <f>ROUND(C162*BW162,2)</f>
        <v>0</v>
      </c>
      <c r="BY162" s="847">
        <f>BY161+BY161*20%</f>
        <v>1.06E-2</v>
      </c>
      <c r="BZ162" s="847">
        <f>ROUND(C162*BY162,2)</f>
        <v>0</v>
      </c>
      <c r="CA162" s="847"/>
      <c r="CB162" s="847"/>
      <c r="CC162" s="847"/>
      <c r="CD162" s="847"/>
      <c r="CE162" s="847">
        <f>CE161+CE161*20%</f>
        <v>0.32307692307692315</v>
      </c>
      <c r="CF162" s="847">
        <f>ROUND(C162*CE162,2)</f>
        <v>0</v>
      </c>
      <c r="CG162" s="847"/>
      <c r="CH162" s="847"/>
      <c r="CI162" s="847"/>
      <c r="CJ162" s="847"/>
      <c r="CK162" s="847"/>
      <c r="CL162" s="847"/>
      <c r="CM162" s="847"/>
      <c r="CN162" s="847"/>
      <c r="CO162" s="847"/>
      <c r="CP162" s="847"/>
      <c r="CQ162" s="847"/>
      <c r="CR162" s="847"/>
      <c r="CS162" s="847"/>
      <c r="CT162" s="847"/>
      <c r="CU162" s="847"/>
      <c r="CV162" s="847"/>
      <c r="CW162" s="847"/>
      <c r="CX162" s="847"/>
      <c r="CY162" s="847"/>
      <c r="CZ162" s="847"/>
      <c r="DA162" s="847"/>
      <c r="DB162" s="847"/>
      <c r="DC162" s="847"/>
      <c r="DD162" s="847"/>
      <c r="DE162" s="847"/>
      <c r="DF162" s="847"/>
      <c r="DG162" s="847"/>
      <c r="DH162" s="847"/>
      <c r="DI162" s="847"/>
      <c r="DJ162" s="847"/>
      <c r="DK162" s="847"/>
      <c r="DL162" s="847"/>
      <c r="DM162" s="1212"/>
      <c r="DN162" s="1222"/>
      <c r="DO162" s="1013"/>
      <c r="DP162" s="847">
        <f>DP161+'Lead &amp; ANALYSIS'!K2859/2/'Lead &amp; ANALYSIS'!J2848</f>
        <v>0.19438628038628039</v>
      </c>
      <c r="DQ162" s="1013">
        <f>ROUND(C162*DP162,2)</f>
        <v>0</v>
      </c>
      <c r="DR162" s="847">
        <f>DR161+'Lead &amp; ANALYSIS'!K2859/2/'Lead &amp; ANALYSIS'!J2847</f>
        <v>0.19046330680813442</v>
      </c>
      <c r="DS162" s="1013">
        <f>ROUND(C162*DR162,2)</f>
        <v>0</v>
      </c>
      <c r="DT162" s="1225"/>
      <c r="DU162" s="1214"/>
      <c r="DV162" s="1224"/>
      <c r="DW162" s="1232"/>
      <c r="DX162" s="1222"/>
      <c r="DY162" s="847"/>
      <c r="DZ162" s="847"/>
      <c r="EA162" s="847"/>
      <c r="EB162" s="847"/>
      <c r="EC162" s="847"/>
      <c r="ED162" s="847"/>
      <c r="EE162" s="847"/>
      <c r="EF162" s="847"/>
      <c r="EG162" s="1212"/>
      <c r="EH162" s="847"/>
      <c r="EI162" s="1212"/>
    </row>
    <row r="163" spans="1:139" s="733" customFormat="1" ht="13.5">
      <c r="A163" s="1009" t="s">
        <v>2072</v>
      </c>
      <c r="B163" s="1212" t="s">
        <v>883</v>
      </c>
      <c r="C163" s="1213">
        <v>0</v>
      </c>
      <c r="D163" s="1013" t="s">
        <v>92</v>
      </c>
      <c r="E163" s="847"/>
      <c r="F163" s="1013"/>
      <c r="G163" s="847"/>
      <c r="H163" s="1013"/>
      <c r="I163" s="847"/>
      <c r="J163" s="1013"/>
      <c r="K163" s="847"/>
      <c r="L163" s="1013"/>
      <c r="M163" s="847"/>
      <c r="N163" s="1013"/>
      <c r="O163" s="847"/>
      <c r="P163" s="1013"/>
      <c r="Q163" s="847"/>
      <c r="R163" s="847"/>
      <c r="S163" s="847"/>
      <c r="T163" s="847"/>
      <c r="U163" s="847"/>
      <c r="V163" s="847"/>
      <c r="W163" s="847"/>
      <c r="X163" s="847"/>
      <c r="Y163" s="847"/>
      <c r="Z163" s="847"/>
      <c r="AA163" s="847"/>
      <c r="AB163" s="847"/>
      <c r="AC163" s="847"/>
      <c r="AD163" s="847"/>
      <c r="AE163" s="847"/>
      <c r="AF163" s="847"/>
      <c r="AG163" s="847"/>
      <c r="AH163" s="847"/>
      <c r="AI163" s="847"/>
      <c r="AJ163" s="847"/>
      <c r="AK163" s="847"/>
      <c r="AL163" s="847"/>
      <c r="AM163" s="847"/>
      <c r="AN163" s="847"/>
      <c r="AO163" s="847"/>
      <c r="AP163" s="847"/>
      <c r="AQ163" s="847"/>
      <c r="AR163" s="847"/>
      <c r="AS163" s="847"/>
      <c r="AT163" s="847"/>
      <c r="AU163" s="847"/>
      <c r="AV163" s="847"/>
      <c r="AW163" s="847"/>
      <c r="AX163" s="847"/>
      <c r="AY163" s="847"/>
      <c r="AZ163" s="847"/>
      <c r="BA163" s="847"/>
      <c r="BB163" s="847"/>
      <c r="BC163" s="847"/>
      <c r="BD163" s="847"/>
      <c r="BE163" s="847"/>
      <c r="BF163" s="847"/>
      <c r="BG163" s="847"/>
      <c r="BH163" s="847"/>
      <c r="BI163" s="847"/>
      <c r="BJ163" s="847"/>
      <c r="BK163" s="847"/>
      <c r="BL163" s="847"/>
      <c r="BM163" s="847"/>
      <c r="BN163" s="847"/>
      <c r="BO163" s="847"/>
      <c r="BP163" s="847"/>
      <c r="BQ163" s="847"/>
      <c r="BR163" s="847"/>
      <c r="BS163" s="847"/>
      <c r="BT163" s="847"/>
      <c r="BU163" s="847"/>
      <c r="BV163" s="847"/>
      <c r="BW163" s="847"/>
      <c r="BX163" s="847"/>
      <c r="BY163" s="847"/>
      <c r="BZ163" s="847"/>
      <c r="CA163" s="847"/>
      <c r="CB163" s="847"/>
      <c r="CC163" s="847"/>
      <c r="CD163" s="847"/>
      <c r="CE163" s="847"/>
      <c r="CF163" s="847"/>
      <c r="CG163" s="847"/>
      <c r="CH163" s="847"/>
      <c r="CI163" s="847"/>
      <c r="CJ163" s="847"/>
      <c r="CK163" s="847"/>
      <c r="CL163" s="847"/>
      <c r="CM163" s="847"/>
      <c r="CN163" s="847"/>
      <c r="CO163" s="847"/>
      <c r="CP163" s="847"/>
      <c r="CQ163" s="847"/>
      <c r="CR163" s="847"/>
      <c r="CS163" s="847"/>
      <c r="CT163" s="847"/>
      <c r="CU163" s="847"/>
      <c r="CV163" s="847"/>
      <c r="CW163" s="847"/>
      <c r="CX163" s="847"/>
      <c r="CY163" s="847"/>
      <c r="CZ163" s="847"/>
      <c r="DA163" s="847"/>
      <c r="DB163" s="847"/>
      <c r="DC163" s="847"/>
      <c r="DD163" s="847"/>
      <c r="DE163" s="847"/>
      <c r="DF163" s="847"/>
      <c r="DG163" s="847"/>
      <c r="DH163" s="847"/>
      <c r="DI163" s="847"/>
      <c r="DJ163" s="847"/>
      <c r="DK163" s="847"/>
      <c r="DL163" s="847"/>
      <c r="DM163" s="1212"/>
      <c r="DN163" s="1222"/>
      <c r="DO163" s="1013"/>
      <c r="DP163" s="847"/>
      <c r="DQ163" s="1013"/>
      <c r="DR163" s="847"/>
      <c r="DS163" s="1013"/>
      <c r="DT163" s="1225"/>
      <c r="DU163" s="1214"/>
      <c r="DV163" s="1242"/>
      <c r="DW163" s="1232"/>
      <c r="DX163" s="1222"/>
      <c r="DY163" s="847"/>
      <c r="DZ163" s="847"/>
      <c r="EA163" s="847"/>
      <c r="EB163" s="847"/>
      <c r="EC163" s="847"/>
      <c r="ED163" s="847"/>
      <c r="EE163" s="847"/>
      <c r="EF163" s="847"/>
      <c r="EG163" s="1212"/>
      <c r="EH163" s="847"/>
      <c r="EI163" s="1212"/>
    </row>
    <row r="164" spans="1:139" s="733" customFormat="1" ht="13.5">
      <c r="A164" s="1009"/>
      <c r="B164" s="1212" t="s">
        <v>2066</v>
      </c>
      <c r="C164" s="1213">
        <v>0</v>
      </c>
      <c r="D164" s="1013" t="s">
        <v>92</v>
      </c>
      <c r="E164" s="847"/>
      <c r="F164" s="1013"/>
      <c r="G164" s="847"/>
      <c r="H164" s="1013"/>
      <c r="I164" s="847"/>
      <c r="J164" s="1013"/>
      <c r="K164" s="847"/>
      <c r="L164" s="1013"/>
      <c r="M164" s="847"/>
      <c r="N164" s="1013"/>
      <c r="O164" s="847"/>
      <c r="P164" s="1013"/>
      <c r="Q164" s="847"/>
      <c r="R164" s="847"/>
      <c r="S164" s="847"/>
      <c r="T164" s="847"/>
      <c r="U164" s="847"/>
      <c r="V164" s="847"/>
      <c r="W164" s="847"/>
      <c r="X164" s="847"/>
      <c r="Y164" s="847"/>
      <c r="Z164" s="847"/>
      <c r="AA164" s="847"/>
      <c r="AB164" s="847"/>
      <c r="AC164" s="847"/>
      <c r="AD164" s="847"/>
      <c r="AE164" s="847"/>
      <c r="AF164" s="847"/>
      <c r="AG164" s="847"/>
      <c r="AH164" s="847"/>
      <c r="AI164" s="847"/>
      <c r="AJ164" s="847"/>
      <c r="AK164" s="847"/>
      <c r="AL164" s="847"/>
      <c r="AM164" s="847"/>
      <c r="AN164" s="847"/>
      <c r="AO164" s="847"/>
      <c r="AP164" s="847"/>
      <c r="AQ164" s="847"/>
      <c r="AR164" s="847"/>
      <c r="AS164" s="847"/>
      <c r="AT164" s="847"/>
      <c r="AU164" s="847"/>
      <c r="AV164" s="847"/>
      <c r="AW164" s="847"/>
      <c r="AX164" s="847"/>
      <c r="AY164" s="847"/>
      <c r="AZ164" s="847"/>
      <c r="BA164" s="847"/>
      <c r="BB164" s="847"/>
      <c r="BC164" s="847"/>
      <c r="BD164" s="847"/>
      <c r="BE164" s="847"/>
      <c r="BF164" s="847"/>
      <c r="BG164" s="847"/>
      <c r="BH164" s="847"/>
      <c r="BI164" s="847"/>
      <c r="BJ164" s="847"/>
      <c r="BK164" s="847"/>
      <c r="BL164" s="847"/>
      <c r="BM164" s="847"/>
      <c r="BN164" s="847"/>
      <c r="BO164" s="847"/>
      <c r="BP164" s="847"/>
      <c r="BQ164" s="847"/>
      <c r="BR164" s="847"/>
      <c r="BS164" s="847"/>
      <c r="BT164" s="847"/>
      <c r="BU164" s="847">
        <f>'Lead &amp; ANALYSIS'!G2887/9.3/10</f>
        <v>7.5376344086021494E-4</v>
      </c>
      <c r="BV164" s="847">
        <f>ROUND(C164*BU164,2)</f>
        <v>0</v>
      </c>
      <c r="BW164" s="847">
        <f>'Lead &amp; ANALYSIS'!G2884/9.3/10</f>
        <v>4.2365591397849466E-3</v>
      </c>
      <c r="BX164" s="847">
        <f>ROUND(C164*BW164,2)</f>
        <v>0</v>
      </c>
      <c r="BY164" s="847">
        <f>'Lead &amp; ANALYSIS'!G2888/9.3/10</f>
        <v>1.4636559139784944E-2</v>
      </c>
      <c r="BZ164" s="847">
        <f>ROUND(C164*BY164,2)</f>
        <v>0</v>
      </c>
      <c r="CA164" s="847"/>
      <c r="CB164" s="847"/>
      <c r="CC164" s="847">
        <f>'Lead &amp; ANALYSIS'!G2886/9.3/10</f>
        <v>0.15075268817204299</v>
      </c>
      <c r="CD164" s="847">
        <f>ROUND(C164*CC164,2)</f>
        <v>0</v>
      </c>
      <c r="CE164" s="847"/>
      <c r="CF164" s="847"/>
      <c r="CG164" s="847"/>
      <c r="CH164" s="847"/>
      <c r="CI164" s="847">
        <f>'Lead &amp; ANALYSIS'!G2885/9.3/10</f>
        <v>0.78677419354838707</v>
      </c>
      <c r="CJ164" s="847">
        <f>ROUND(C164*CI164,2)</f>
        <v>0</v>
      </c>
      <c r="CK164" s="847"/>
      <c r="CL164" s="847"/>
      <c r="CM164" s="847"/>
      <c r="CN164" s="847"/>
      <c r="CO164" s="847"/>
      <c r="CP164" s="847"/>
      <c r="CQ164" s="847"/>
      <c r="CR164" s="847"/>
      <c r="CS164" s="847"/>
      <c r="CT164" s="847"/>
      <c r="CU164" s="847"/>
      <c r="CV164" s="847"/>
      <c r="CW164" s="847"/>
      <c r="CX164" s="847"/>
      <c r="CY164" s="847"/>
      <c r="CZ164" s="847"/>
      <c r="DA164" s="847"/>
      <c r="DB164" s="847"/>
      <c r="DC164" s="847"/>
      <c r="DD164" s="847"/>
      <c r="DE164" s="847"/>
      <c r="DF164" s="847"/>
      <c r="DG164" s="847"/>
      <c r="DH164" s="847"/>
      <c r="DI164" s="847"/>
      <c r="DJ164" s="847"/>
      <c r="DK164" s="847"/>
      <c r="DL164" s="847"/>
      <c r="DM164" s="1212"/>
      <c r="DN164" s="1222"/>
      <c r="DO164" s="1013"/>
      <c r="DP164" s="847">
        <f>'Lead &amp; ANALYSIS'!G2893/9.3</f>
        <v>0.36881720430107529</v>
      </c>
      <c r="DQ164" s="1013"/>
      <c r="DR164" s="847">
        <f>'Lead &amp; ANALYSIS'!G2892/9.3</f>
        <v>0.36881720430107529</v>
      </c>
      <c r="DS164" s="1013"/>
      <c r="DT164" s="1225"/>
      <c r="DU164" s="1214"/>
      <c r="DV164" s="1224"/>
      <c r="DW164" s="1232"/>
      <c r="DX164" s="1222"/>
      <c r="DY164" s="847"/>
      <c r="DZ164" s="847"/>
      <c r="EA164" s="847"/>
      <c r="EB164" s="847"/>
      <c r="EC164" s="847"/>
      <c r="ED164" s="847"/>
      <c r="EE164" s="847"/>
      <c r="EF164" s="847"/>
      <c r="EG164" s="1212"/>
      <c r="EH164" s="847"/>
      <c r="EI164" s="1212"/>
    </row>
    <row r="165" spans="1:139" s="733" customFormat="1" ht="13.5">
      <c r="A165" s="1009"/>
      <c r="B165" s="1212" t="s">
        <v>2067</v>
      </c>
      <c r="C165" s="1213">
        <v>0</v>
      </c>
      <c r="D165" s="1013" t="s">
        <v>92</v>
      </c>
      <c r="E165" s="847"/>
      <c r="F165" s="1013"/>
      <c r="G165" s="847"/>
      <c r="H165" s="1013"/>
      <c r="I165" s="847"/>
      <c r="J165" s="1013"/>
      <c r="K165" s="847"/>
      <c r="L165" s="1013"/>
      <c r="M165" s="847"/>
      <c r="N165" s="1013"/>
      <c r="O165" s="847"/>
      <c r="P165" s="1013"/>
      <c r="Q165" s="847"/>
      <c r="R165" s="847"/>
      <c r="S165" s="847"/>
      <c r="T165" s="847"/>
      <c r="U165" s="847"/>
      <c r="V165" s="847"/>
      <c r="W165" s="847"/>
      <c r="X165" s="847"/>
      <c r="Y165" s="847"/>
      <c r="Z165" s="847"/>
      <c r="AA165" s="847"/>
      <c r="AB165" s="847"/>
      <c r="AC165" s="847"/>
      <c r="AD165" s="847"/>
      <c r="AE165" s="847"/>
      <c r="AF165" s="847"/>
      <c r="AG165" s="847"/>
      <c r="AH165" s="847"/>
      <c r="AI165" s="847"/>
      <c r="AJ165" s="847"/>
      <c r="AK165" s="847"/>
      <c r="AL165" s="847"/>
      <c r="AM165" s="847"/>
      <c r="AN165" s="847"/>
      <c r="AO165" s="847"/>
      <c r="AP165" s="847"/>
      <c r="AQ165" s="847"/>
      <c r="AR165" s="847"/>
      <c r="AS165" s="847"/>
      <c r="AT165" s="847"/>
      <c r="AU165" s="847"/>
      <c r="AV165" s="847"/>
      <c r="AW165" s="847"/>
      <c r="AX165" s="847"/>
      <c r="AY165" s="847"/>
      <c r="AZ165" s="847"/>
      <c r="BA165" s="847"/>
      <c r="BB165" s="847"/>
      <c r="BC165" s="847"/>
      <c r="BD165" s="847"/>
      <c r="BE165" s="847"/>
      <c r="BF165" s="847"/>
      <c r="BG165" s="847"/>
      <c r="BH165" s="847"/>
      <c r="BI165" s="847"/>
      <c r="BJ165" s="847"/>
      <c r="BK165" s="847"/>
      <c r="BL165" s="847"/>
      <c r="BM165" s="847"/>
      <c r="BN165" s="847"/>
      <c r="BO165" s="847"/>
      <c r="BP165" s="847"/>
      <c r="BQ165" s="847"/>
      <c r="BR165" s="847"/>
      <c r="BS165" s="847"/>
      <c r="BT165" s="847"/>
      <c r="BU165" s="847">
        <f>BU164+BU164*20%</f>
        <v>9.0451612903225793E-4</v>
      </c>
      <c r="BV165" s="847">
        <f>ROUND(C165*BU165,2)</f>
        <v>0</v>
      </c>
      <c r="BW165" s="847">
        <f>BW164+BW164*20%</f>
        <v>5.0838709677419359E-3</v>
      </c>
      <c r="BX165" s="847">
        <f>ROUND(C165*BW165,2)</f>
        <v>0</v>
      </c>
      <c r="BY165" s="847">
        <f>BY164+BY164*20%</f>
        <v>1.7563870967741934E-2</v>
      </c>
      <c r="BZ165" s="847">
        <f>ROUND(C165*BY165,2)</f>
        <v>0</v>
      </c>
      <c r="CA165" s="847"/>
      <c r="CB165" s="847"/>
      <c r="CC165" s="847">
        <f>CC164+CC164*20%</f>
        <v>0.18090322580645157</v>
      </c>
      <c r="CD165" s="847">
        <f>ROUND(C165*CC165,2)</f>
        <v>0</v>
      </c>
      <c r="CE165" s="847"/>
      <c r="CF165" s="847"/>
      <c r="CG165" s="847"/>
      <c r="CH165" s="847"/>
      <c r="CI165" s="847">
        <f>CI164+CI164*20%</f>
        <v>0.94412903225806444</v>
      </c>
      <c r="CJ165" s="847">
        <f>ROUND(C165*CI165,2)</f>
        <v>0</v>
      </c>
      <c r="CK165" s="847"/>
      <c r="CL165" s="847"/>
      <c r="CM165" s="847"/>
      <c r="CN165" s="847"/>
      <c r="CO165" s="847"/>
      <c r="CP165" s="847"/>
      <c r="CQ165" s="847"/>
      <c r="CR165" s="847"/>
      <c r="CS165" s="847"/>
      <c r="CT165" s="847"/>
      <c r="CU165" s="847"/>
      <c r="CV165" s="847"/>
      <c r="CW165" s="847"/>
      <c r="CX165" s="847"/>
      <c r="CY165" s="847"/>
      <c r="CZ165" s="847"/>
      <c r="DA165" s="847"/>
      <c r="DB165" s="847"/>
      <c r="DC165" s="847"/>
      <c r="DD165" s="847"/>
      <c r="DE165" s="847"/>
      <c r="DF165" s="847"/>
      <c r="DG165" s="847"/>
      <c r="DH165" s="847"/>
      <c r="DI165" s="847"/>
      <c r="DJ165" s="847"/>
      <c r="DK165" s="847"/>
      <c r="DL165" s="847"/>
      <c r="DM165" s="1212"/>
      <c r="DN165" s="1222"/>
      <c r="DO165" s="1013"/>
      <c r="DP165" s="847">
        <f>DP164+'Lead &amp; ANALYSIS'!K2901/2/'Lead &amp; ANALYSIS'!J2893</f>
        <v>0.53408993157380258</v>
      </c>
      <c r="DQ165" s="1013"/>
      <c r="DR165" s="847">
        <f>DR164+'Lead &amp; ANALYSIS'!K2901/2/'Lead &amp; ANALYSIS'!J2892</f>
        <v>0.51509306637004082</v>
      </c>
      <c r="DS165" s="1013"/>
      <c r="DT165" s="1225"/>
      <c r="DU165" s="1214"/>
      <c r="DV165" s="1224"/>
      <c r="DW165" s="1232"/>
      <c r="DX165" s="1222"/>
      <c r="DY165" s="847"/>
      <c r="DZ165" s="847"/>
      <c r="EA165" s="847"/>
      <c r="EB165" s="847"/>
      <c r="EC165" s="847"/>
      <c r="ED165" s="847"/>
      <c r="EE165" s="847"/>
      <c r="EF165" s="847"/>
      <c r="EG165" s="1212"/>
      <c r="EH165" s="847"/>
      <c r="EI165" s="1212"/>
    </row>
    <row r="166" spans="1:139" s="733" customFormat="1" ht="13.5">
      <c r="A166" s="1009">
        <v>52</v>
      </c>
      <c r="B166" s="1212" t="s">
        <v>1595</v>
      </c>
      <c r="C166" s="1213">
        <v>0</v>
      </c>
      <c r="D166" s="1013" t="s">
        <v>92</v>
      </c>
      <c r="E166" s="847"/>
      <c r="F166" s="1013"/>
      <c r="G166" s="847"/>
      <c r="H166" s="1013"/>
      <c r="I166" s="847"/>
      <c r="J166" s="1013"/>
      <c r="K166" s="847"/>
      <c r="L166" s="1013"/>
      <c r="M166" s="847"/>
      <c r="N166" s="1013"/>
      <c r="O166" s="847"/>
      <c r="P166" s="1013"/>
      <c r="Q166" s="847"/>
      <c r="R166" s="847"/>
      <c r="S166" s="847"/>
      <c r="T166" s="847"/>
      <c r="U166" s="847"/>
      <c r="V166" s="847"/>
      <c r="W166" s="847"/>
      <c r="X166" s="847"/>
      <c r="Y166" s="847"/>
      <c r="Z166" s="847"/>
      <c r="AA166" s="847"/>
      <c r="AB166" s="847"/>
      <c r="AC166" s="847"/>
      <c r="AD166" s="847"/>
      <c r="AE166" s="847"/>
      <c r="AF166" s="847"/>
      <c r="AG166" s="847"/>
      <c r="AH166" s="847"/>
      <c r="AI166" s="847"/>
      <c r="AJ166" s="847"/>
      <c r="AK166" s="847"/>
      <c r="AL166" s="847"/>
      <c r="AM166" s="847"/>
      <c r="AN166" s="847"/>
      <c r="AO166" s="847"/>
      <c r="AP166" s="847"/>
      <c r="AQ166" s="847"/>
      <c r="AR166" s="847"/>
      <c r="AS166" s="847"/>
      <c r="AT166" s="847"/>
      <c r="AU166" s="847"/>
      <c r="AV166" s="847"/>
      <c r="AW166" s="847"/>
      <c r="AX166" s="847"/>
      <c r="AY166" s="847"/>
      <c r="AZ166" s="847"/>
      <c r="BA166" s="847"/>
      <c r="BB166" s="847"/>
      <c r="BC166" s="847"/>
      <c r="BD166" s="847"/>
      <c r="BE166" s="847"/>
      <c r="BF166" s="847"/>
      <c r="BG166" s="847"/>
      <c r="BH166" s="847"/>
      <c r="BI166" s="847"/>
      <c r="BJ166" s="847"/>
      <c r="BK166" s="847"/>
      <c r="BL166" s="847"/>
      <c r="BM166" s="847"/>
      <c r="BN166" s="847"/>
      <c r="BO166" s="847"/>
      <c r="BP166" s="847"/>
      <c r="BQ166" s="847"/>
      <c r="BR166" s="847"/>
      <c r="BS166" s="847"/>
      <c r="BT166" s="847"/>
      <c r="BU166" s="847"/>
      <c r="BV166" s="847"/>
      <c r="BW166" s="847"/>
      <c r="BX166" s="847"/>
      <c r="BY166" s="847"/>
      <c r="BZ166" s="847"/>
      <c r="CA166" s="847"/>
      <c r="CB166" s="847"/>
      <c r="CC166" s="847"/>
      <c r="CD166" s="847"/>
      <c r="CE166" s="847"/>
      <c r="CF166" s="847"/>
      <c r="CG166" s="847"/>
      <c r="CH166" s="847"/>
      <c r="CI166" s="847"/>
      <c r="CJ166" s="847"/>
      <c r="CK166" s="847"/>
      <c r="CL166" s="847"/>
      <c r="CM166" s="847"/>
      <c r="CN166" s="847"/>
      <c r="CO166" s="847"/>
      <c r="CP166" s="847"/>
      <c r="CQ166" s="847"/>
      <c r="CR166" s="847"/>
      <c r="CS166" s="847"/>
      <c r="CT166" s="847"/>
      <c r="CU166" s="847"/>
      <c r="CV166" s="847"/>
      <c r="CW166" s="847"/>
      <c r="CX166" s="847"/>
      <c r="CY166" s="847"/>
      <c r="CZ166" s="847"/>
      <c r="DA166" s="847"/>
      <c r="DB166" s="847"/>
      <c r="DC166" s="847"/>
      <c r="DD166" s="847"/>
      <c r="DE166" s="847"/>
      <c r="DF166" s="847"/>
      <c r="DG166" s="847"/>
      <c r="DH166" s="847"/>
      <c r="DI166" s="847"/>
      <c r="DJ166" s="847"/>
      <c r="DK166" s="847"/>
      <c r="DL166" s="847"/>
      <c r="DM166" s="1212"/>
      <c r="DN166" s="1222"/>
      <c r="DO166" s="1013"/>
      <c r="DP166" s="847"/>
      <c r="DQ166" s="1013"/>
      <c r="DR166" s="1225"/>
      <c r="DS166" s="1013"/>
      <c r="DT166" s="1225"/>
      <c r="DU166" s="1214"/>
      <c r="DV166" s="1242"/>
      <c r="DW166" s="1232"/>
      <c r="DX166" s="1222"/>
      <c r="DY166" s="847"/>
      <c r="DZ166" s="847"/>
      <c r="EA166" s="847"/>
      <c r="EB166" s="847"/>
      <c r="EC166" s="847"/>
      <c r="ED166" s="847"/>
      <c r="EE166" s="847"/>
      <c r="EF166" s="847"/>
      <c r="EG166" s="1212"/>
      <c r="EH166" s="847"/>
      <c r="EI166" s="1212"/>
    </row>
    <row r="167" spans="1:139" s="733" customFormat="1" ht="13.5">
      <c r="A167" s="1009"/>
      <c r="B167" s="1212" t="s">
        <v>2066</v>
      </c>
      <c r="C167" s="1213">
        <v>0</v>
      </c>
      <c r="D167" s="1013" t="s">
        <v>125</v>
      </c>
      <c r="E167" s="847"/>
      <c r="F167" s="1013"/>
      <c r="G167" s="847"/>
      <c r="H167" s="1013"/>
      <c r="I167" s="847"/>
      <c r="J167" s="1013"/>
      <c r="K167" s="847"/>
      <c r="L167" s="1013"/>
      <c r="M167" s="847">
        <f>'Lead &amp; ANALYSIS'!G3243</f>
        <v>1.05</v>
      </c>
      <c r="N167" s="1013">
        <f>ROUND(C167*M167,2)</f>
        <v>0</v>
      </c>
      <c r="O167" s="847"/>
      <c r="P167" s="1013"/>
      <c r="Q167" s="847"/>
      <c r="R167" s="847"/>
      <c r="S167" s="847"/>
      <c r="T167" s="847"/>
      <c r="U167" s="847"/>
      <c r="V167" s="847"/>
      <c r="W167" s="847"/>
      <c r="X167" s="847"/>
      <c r="Y167" s="847"/>
      <c r="Z167" s="847"/>
      <c r="AA167" s="847"/>
      <c r="AB167" s="847"/>
      <c r="AC167" s="847"/>
      <c r="AD167" s="847"/>
      <c r="AE167" s="847"/>
      <c r="AF167" s="847"/>
      <c r="AG167" s="847"/>
      <c r="AH167" s="847"/>
      <c r="AI167" s="847"/>
      <c r="AJ167" s="847"/>
      <c r="AK167" s="847"/>
      <c r="AL167" s="847"/>
      <c r="AM167" s="847"/>
      <c r="AN167" s="847"/>
      <c r="AO167" s="847"/>
      <c r="AP167" s="847"/>
      <c r="AQ167" s="847"/>
      <c r="AR167" s="847"/>
      <c r="AS167" s="847"/>
      <c r="AT167" s="847"/>
      <c r="AU167" s="847"/>
      <c r="AV167" s="847"/>
      <c r="AW167" s="847"/>
      <c r="AX167" s="847"/>
      <c r="AY167" s="847"/>
      <c r="AZ167" s="847"/>
      <c r="BA167" s="847"/>
      <c r="BB167" s="847"/>
      <c r="BC167" s="847"/>
      <c r="BD167" s="847"/>
      <c r="BE167" s="847"/>
      <c r="BF167" s="847"/>
      <c r="BG167" s="847"/>
      <c r="BH167" s="847"/>
      <c r="BI167" s="847"/>
      <c r="BJ167" s="847"/>
      <c r="BK167" s="847"/>
      <c r="BL167" s="847"/>
      <c r="BM167" s="847"/>
      <c r="BN167" s="847"/>
      <c r="BO167" s="847"/>
      <c r="BP167" s="847"/>
      <c r="BQ167" s="847"/>
      <c r="BR167" s="847"/>
      <c r="BS167" s="847">
        <f>'Lead &amp; ANALYSIS'!G3244/10</f>
        <v>0.8</v>
      </c>
      <c r="BT167" s="1013">
        <f>ROUND(C167*BS167,2)</f>
        <v>0</v>
      </c>
      <c r="BU167" s="847"/>
      <c r="BV167" s="847"/>
      <c r="BW167" s="847"/>
      <c r="BX167" s="847"/>
      <c r="BY167" s="847"/>
      <c r="BZ167" s="847"/>
      <c r="CA167" s="847"/>
      <c r="CB167" s="847"/>
      <c r="CC167" s="847"/>
      <c r="CD167" s="847"/>
      <c r="CE167" s="847"/>
      <c r="CF167" s="847"/>
      <c r="CG167" s="847"/>
      <c r="CH167" s="847"/>
      <c r="CI167" s="847"/>
      <c r="CJ167" s="847"/>
      <c r="CK167" s="847"/>
      <c r="CL167" s="847"/>
      <c r="CM167" s="847"/>
      <c r="CN167" s="847"/>
      <c r="CO167" s="847"/>
      <c r="CP167" s="847"/>
      <c r="CQ167" s="847"/>
      <c r="CR167" s="847"/>
      <c r="CS167" s="847"/>
      <c r="CT167" s="847"/>
      <c r="CU167" s="847"/>
      <c r="CV167" s="847"/>
      <c r="CW167" s="847"/>
      <c r="CX167" s="847"/>
      <c r="CY167" s="847"/>
      <c r="CZ167" s="847"/>
      <c r="DA167" s="847"/>
      <c r="DB167" s="847"/>
      <c r="DC167" s="847"/>
      <c r="DD167" s="847"/>
      <c r="DE167" s="847"/>
      <c r="DF167" s="847"/>
      <c r="DG167" s="847"/>
      <c r="DH167" s="847"/>
      <c r="DI167" s="847"/>
      <c r="DJ167" s="847"/>
      <c r="DK167" s="847"/>
      <c r="DL167" s="847"/>
      <c r="DM167" s="1212"/>
      <c r="DN167" s="1242">
        <f>'Lead &amp; ANALYSIS'!G3249/10</f>
        <v>0.8</v>
      </c>
      <c r="DO167" s="1013">
        <f>ROUND(C167*DN167,2)</f>
        <v>0</v>
      </c>
      <c r="DP167" s="1013">
        <f>'Lead &amp; ANALYSIS'!G3247/10</f>
        <v>4.3999999999999997E-2</v>
      </c>
      <c r="DQ167" s="1013">
        <f>ROUND(C167*DP167,2)</f>
        <v>0</v>
      </c>
      <c r="DR167" s="1225"/>
      <c r="DS167" s="1013"/>
      <c r="DT167" s="1225">
        <f>'Lead &amp; ANALYSIS'!G3248/10</f>
        <v>0.3</v>
      </c>
      <c r="DU167" s="1214">
        <f>ROUND(C167*DT167,2)</f>
        <v>0</v>
      </c>
      <c r="DV167" s="1224"/>
      <c r="DW167" s="1232"/>
      <c r="DX167" s="1222"/>
      <c r="DY167" s="847"/>
      <c r="DZ167" s="847"/>
      <c r="EA167" s="847"/>
      <c r="EB167" s="847"/>
      <c r="EC167" s="847"/>
      <c r="ED167" s="847"/>
      <c r="EE167" s="847"/>
      <c r="EF167" s="847"/>
      <c r="EG167" s="1212"/>
      <c r="EH167" s="847"/>
      <c r="EI167" s="1212"/>
    </row>
    <row r="168" spans="1:139" s="733" customFormat="1" ht="13.5">
      <c r="A168" s="1009"/>
      <c r="B168" s="1212" t="s">
        <v>2067</v>
      </c>
      <c r="C168" s="1213">
        <v>0</v>
      </c>
      <c r="D168" s="1013" t="s">
        <v>125</v>
      </c>
      <c r="E168" s="847"/>
      <c r="F168" s="1013"/>
      <c r="G168" s="847"/>
      <c r="H168" s="1013"/>
      <c r="I168" s="847"/>
      <c r="J168" s="1013"/>
      <c r="K168" s="847"/>
      <c r="L168" s="1013"/>
      <c r="M168" s="847">
        <f>M167</f>
        <v>1.05</v>
      </c>
      <c r="N168" s="1013">
        <f>ROUND(C168*M168,2)</f>
        <v>0</v>
      </c>
      <c r="O168" s="847"/>
      <c r="P168" s="1013"/>
      <c r="Q168" s="847"/>
      <c r="R168" s="847"/>
      <c r="S168" s="847"/>
      <c r="T168" s="847"/>
      <c r="U168" s="847"/>
      <c r="V168" s="847"/>
      <c r="W168" s="847"/>
      <c r="X168" s="847"/>
      <c r="Y168" s="847"/>
      <c r="Z168" s="847"/>
      <c r="AA168" s="847"/>
      <c r="AB168" s="847"/>
      <c r="AC168" s="847"/>
      <c r="AD168" s="847"/>
      <c r="AE168" s="847"/>
      <c r="AF168" s="847"/>
      <c r="AG168" s="847"/>
      <c r="AH168" s="847"/>
      <c r="AI168" s="847"/>
      <c r="AJ168" s="847"/>
      <c r="AK168" s="847"/>
      <c r="AL168" s="847"/>
      <c r="AM168" s="847"/>
      <c r="AN168" s="847"/>
      <c r="AO168" s="847"/>
      <c r="AP168" s="847"/>
      <c r="AQ168" s="847"/>
      <c r="AR168" s="847"/>
      <c r="AS168" s="847"/>
      <c r="AT168" s="847"/>
      <c r="AU168" s="847"/>
      <c r="AV168" s="847"/>
      <c r="AW168" s="847"/>
      <c r="AX168" s="847"/>
      <c r="AY168" s="847"/>
      <c r="AZ168" s="847"/>
      <c r="BA168" s="847"/>
      <c r="BB168" s="847"/>
      <c r="BC168" s="847"/>
      <c r="BD168" s="847"/>
      <c r="BE168" s="847"/>
      <c r="BF168" s="847"/>
      <c r="BG168" s="847"/>
      <c r="BH168" s="847"/>
      <c r="BI168" s="847"/>
      <c r="BJ168" s="847"/>
      <c r="BK168" s="847"/>
      <c r="BL168" s="847"/>
      <c r="BM168" s="847"/>
      <c r="BN168" s="847"/>
      <c r="BO168" s="847"/>
      <c r="BP168" s="847"/>
      <c r="BQ168" s="847"/>
      <c r="BR168" s="847"/>
      <c r="BS168" s="847">
        <f>BS167</f>
        <v>0.8</v>
      </c>
      <c r="BT168" s="1013">
        <f>ROUND(C168*BS168,2)</f>
        <v>0</v>
      </c>
      <c r="BU168" s="847"/>
      <c r="BV168" s="847"/>
      <c r="BW168" s="847"/>
      <c r="BX168" s="847"/>
      <c r="BY168" s="847"/>
      <c r="BZ168" s="847"/>
      <c r="CA168" s="847"/>
      <c r="CB168" s="847"/>
      <c r="CC168" s="847"/>
      <c r="CD168" s="847"/>
      <c r="CE168" s="847"/>
      <c r="CF168" s="847"/>
      <c r="CG168" s="847"/>
      <c r="CH168" s="847"/>
      <c r="CI168" s="847"/>
      <c r="CJ168" s="847"/>
      <c r="CK168" s="847"/>
      <c r="CL168" s="847"/>
      <c r="CM168" s="847"/>
      <c r="CN168" s="847"/>
      <c r="CO168" s="847"/>
      <c r="CP168" s="847"/>
      <c r="CQ168" s="847"/>
      <c r="CR168" s="847"/>
      <c r="CS168" s="847"/>
      <c r="CT168" s="847"/>
      <c r="CU168" s="847"/>
      <c r="CV168" s="847"/>
      <c r="CW168" s="847"/>
      <c r="CX168" s="847"/>
      <c r="CY168" s="847"/>
      <c r="CZ168" s="847"/>
      <c r="DA168" s="847"/>
      <c r="DB168" s="847"/>
      <c r="DC168" s="847"/>
      <c r="DD168" s="847"/>
      <c r="DE168" s="847"/>
      <c r="DF168" s="847"/>
      <c r="DG168" s="847"/>
      <c r="DH168" s="847"/>
      <c r="DI168" s="847"/>
      <c r="DJ168" s="847"/>
      <c r="DK168" s="847"/>
      <c r="DL168" s="847"/>
      <c r="DM168" s="1212"/>
      <c r="DN168" s="1222">
        <f>DN167+DN167*5%</f>
        <v>0.84000000000000008</v>
      </c>
      <c r="DO168" s="1013">
        <f>ROUND(C168*DN168,2)</f>
        <v>0</v>
      </c>
      <c r="DP168" s="847">
        <f>DP167+DP167*5%</f>
        <v>4.6199999999999998E-2</v>
      </c>
      <c r="DQ168" s="1013">
        <f>ROUND(C168*DP168,2)</f>
        <v>0</v>
      </c>
      <c r="DR168" s="847"/>
      <c r="DS168" s="1013"/>
      <c r="DT168" s="847">
        <f>DT167+DT167*5%</f>
        <v>0.315</v>
      </c>
      <c r="DU168" s="1214">
        <f>ROUND(C168*DT168,2)</f>
        <v>0</v>
      </c>
      <c r="DV168" s="1224"/>
      <c r="DW168" s="1232"/>
      <c r="DX168" s="1222"/>
      <c r="DY168" s="847"/>
      <c r="DZ168" s="847"/>
      <c r="EA168" s="847"/>
      <c r="EB168" s="847"/>
      <c r="EC168" s="847"/>
      <c r="ED168" s="847"/>
      <c r="EE168" s="847"/>
      <c r="EF168" s="847"/>
      <c r="EG168" s="1212"/>
      <c r="EH168" s="847"/>
      <c r="EI168" s="1212"/>
    </row>
    <row r="169" spans="1:139" s="733" customFormat="1" ht="13.5">
      <c r="A169" s="1009">
        <v>53</v>
      </c>
      <c r="B169" s="1212" t="s">
        <v>3049</v>
      </c>
      <c r="C169" s="1213">
        <v>0</v>
      </c>
      <c r="D169" s="1013" t="s">
        <v>37</v>
      </c>
      <c r="E169" s="847"/>
      <c r="F169" s="1013"/>
      <c r="G169" s="1013"/>
      <c r="H169" s="1013"/>
      <c r="I169" s="847"/>
      <c r="J169" s="1013"/>
      <c r="K169" s="847"/>
      <c r="L169" s="1013"/>
      <c r="M169" s="847"/>
      <c r="N169" s="1013"/>
      <c r="O169" s="847"/>
      <c r="P169" s="1013"/>
      <c r="Q169" s="847"/>
      <c r="R169" s="847"/>
      <c r="S169" s="847"/>
      <c r="T169" s="847"/>
      <c r="U169" s="847"/>
      <c r="V169" s="847"/>
      <c r="W169" s="847"/>
      <c r="X169" s="847"/>
      <c r="Y169" s="847"/>
      <c r="Z169" s="847"/>
      <c r="AA169" s="847"/>
      <c r="AB169" s="847"/>
      <c r="AC169" s="847"/>
      <c r="AD169" s="847"/>
      <c r="AE169" s="847"/>
      <c r="AF169" s="847"/>
      <c r="AG169" s="847"/>
      <c r="AH169" s="847"/>
      <c r="AI169" s="847"/>
      <c r="AJ169" s="847"/>
      <c r="AK169" s="847"/>
      <c r="AL169" s="847"/>
      <c r="AM169" s="847"/>
      <c r="AN169" s="847"/>
      <c r="AO169" s="847"/>
      <c r="AP169" s="847"/>
      <c r="AQ169" s="847"/>
      <c r="AR169" s="847"/>
      <c r="AS169" s="847"/>
      <c r="AT169" s="847"/>
      <c r="AU169" s="847"/>
      <c r="AV169" s="847"/>
      <c r="AW169" s="847"/>
      <c r="AX169" s="847"/>
      <c r="AY169" s="847"/>
      <c r="AZ169" s="847"/>
      <c r="BA169" s="847"/>
      <c r="BB169" s="847"/>
      <c r="BC169" s="847"/>
      <c r="BD169" s="847"/>
      <c r="BE169" s="847"/>
      <c r="BF169" s="847"/>
      <c r="BG169" s="847"/>
      <c r="BH169" s="847"/>
      <c r="BI169" s="847"/>
      <c r="BJ169" s="847"/>
      <c r="BK169" s="847"/>
      <c r="BL169" s="847"/>
      <c r="BM169" s="847"/>
      <c r="BN169" s="847"/>
      <c r="BO169" s="847"/>
      <c r="BP169" s="847"/>
      <c r="BQ169" s="847"/>
      <c r="BR169" s="847"/>
      <c r="BS169" s="847"/>
      <c r="BT169" s="847"/>
      <c r="BU169" s="847"/>
      <c r="BV169" s="847"/>
      <c r="BW169" s="847"/>
      <c r="BX169" s="847"/>
      <c r="BY169" s="847"/>
      <c r="BZ169" s="847"/>
      <c r="CA169" s="847"/>
      <c r="CB169" s="847"/>
      <c r="CC169" s="847"/>
      <c r="CD169" s="847"/>
      <c r="CE169" s="847"/>
      <c r="CF169" s="847"/>
      <c r="CG169" s="847"/>
      <c r="CH169" s="847"/>
      <c r="CI169" s="847"/>
      <c r="CJ169" s="847"/>
      <c r="CK169" s="847"/>
      <c r="CL169" s="847"/>
      <c r="CM169" s="847"/>
      <c r="CN169" s="847"/>
      <c r="CO169" s="847"/>
      <c r="CP169" s="847"/>
      <c r="CQ169" s="847"/>
      <c r="CR169" s="847"/>
      <c r="CS169" s="847"/>
      <c r="CT169" s="847"/>
      <c r="CU169" s="847"/>
      <c r="CV169" s="847"/>
      <c r="CW169" s="847"/>
      <c r="CX169" s="847"/>
      <c r="CY169" s="847"/>
      <c r="CZ169" s="847"/>
      <c r="DA169" s="847"/>
      <c r="DB169" s="847"/>
      <c r="DC169" s="847"/>
      <c r="DD169" s="847"/>
      <c r="DE169" s="847"/>
      <c r="DF169" s="847"/>
      <c r="DG169" s="847"/>
      <c r="DH169" s="847"/>
      <c r="DI169" s="847"/>
      <c r="DJ169" s="847"/>
      <c r="DK169" s="847"/>
      <c r="DL169" s="847"/>
      <c r="DM169" s="1212"/>
      <c r="DN169" s="1222"/>
      <c r="DO169" s="1013"/>
      <c r="DP169" s="847"/>
      <c r="DQ169" s="1013"/>
      <c r="DR169" s="1225"/>
      <c r="DS169" s="1013"/>
      <c r="DT169" s="1225"/>
      <c r="DU169" s="1214"/>
      <c r="DV169" s="1242"/>
      <c r="DW169" s="1232"/>
      <c r="DX169" s="1222"/>
      <c r="DY169" s="847"/>
      <c r="DZ169" s="847"/>
      <c r="EA169" s="847"/>
      <c r="EB169" s="847"/>
      <c r="EC169" s="847"/>
      <c r="ED169" s="847"/>
      <c r="EE169" s="847"/>
      <c r="EF169" s="847"/>
      <c r="EG169" s="1212"/>
      <c r="EH169" s="847"/>
      <c r="EI169" s="1212"/>
    </row>
    <row r="170" spans="1:139" s="733" customFormat="1" ht="13.5">
      <c r="A170" s="1009">
        <v>54</v>
      </c>
      <c r="B170" s="1212" t="s">
        <v>3050</v>
      </c>
      <c r="C170" s="1213">
        <v>0</v>
      </c>
      <c r="D170" s="1013" t="s">
        <v>37</v>
      </c>
      <c r="E170" s="847"/>
      <c r="F170" s="1013"/>
      <c r="G170" s="1013"/>
      <c r="H170" s="1013"/>
      <c r="I170" s="847"/>
      <c r="J170" s="1013"/>
      <c r="K170" s="847"/>
      <c r="L170" s="1013"/>
      <c r="M170" s="847"/>
      <c r="N170" s="1013"/>
      <c r="O170" s="847"/>
      <c r="P170" s="1013"/>
      <c r="Q170" s="847"/>
      <c r="R170" s="847"/>
      <c r="S170" s="847"/>
      <c r="T170" s="847"/>
      <c r="U170" s="847"/>
      <c r="V170" s="847"/>
      <c r="W170" s="847"/>
      <c r="X170" s="847"/>
      <c r="Y170" s="847"/>
      <c r="Z170" s="847"/>
      <c r="AA170" s="847"/>
      <c r="AB170" s="847"/>
      <c r="AC170" s="847"/>
      <c r="AD170" s="847"/>
      <c r="AE170" s="847"/>
      <c r="AF170" s="847"/>
      <c r="AG170" s="847"/>
      <c r="AH170" s="847"/>
      <c r="AI170" s="847"/>
      <c r="AJ170" s="847"/>
      <c r="AK170" s="847"/>
      <c r="AL170" s="847"/>
      <c r="AM170" s="847"/>
      <c r="AN170" s="847"/>
      <c r="AO170" s="847"/>
      <c r="AP170" s="847"/>
      <c r="AQ170" s="847"/>
      <c r="AR170" s="847"/>
      <c r="AS170" s="847"/>
      <c r="AT170" s="847"/>
      <c r="AU170" s="847"/>
      <c r="AV170" s="847"/>
      <c r="AW170" s="847"/>
      <c r="AX170" s="847"/>
      <c r="AY170" s="847"/>
      <c r="AZ170" s="847"/>
      <c r="BA170" s="847"/>
      <c r="BB170" s="847"/>
      <c r="BC170" s="847"/>
      <c r="BD170" s="847"/>
      <c r="BE170" s="847"/>
      <c r="BF170" s="847"/>
      <c r="BG170" s="847"/>
      <c r="BH170" s="847"/>
      <c r="BI170" s="847"/>
      <c r="BJ170" s="847"/>
      <c r="BK170" s="847"/>
      <c r="BL170" s="847"/>
      <c r="BM170" s="847"/>
      <c r="BN170" s="847"/>
      <c r="BO170" s="847"/>
      <c r="BP170" s="847"/>
      <c r="BQ170" s="847"/>
      <c r="BR170" s="847"/>
      <c r="BS170" s="847"/>
      <c r="BT170" s="847"/>
      <c r="BU170" s="847"/>
      <c r="BV170" s="847"/>
      <c r="BW170" s="847"/>
      <c r="BX170" s="847"/>
      <c r="BY170" s="847"/>
      <c r="BZ170" s="847"/>
      <c r="CA170" s="847"/>
      <c r="CB170" s="847"/>
      <c r="CC170" s="847"/>
      <c r="CD170" s="847"/>
      <c r="CE170" s="847"/>
      <c r="CF170" s="847"/>
      <c r="CG170" s="847"/>
      <c r="CH170" s="847"/>
      <c r="CI170" s="847"/>
      <c r="CJ170" s="847"/>
      <c r="CK170" s="847"/>
      <c r="CL170" s="847"/>
      <c r="CM170" s="847"/>
      <c r="CN170" s="847"/>
      <c r="CO170" s="847"/>
      <c r="CP170" s="847"/>
      <c r="CQ170" s="847"/>
      <c r="CR170" s="847"/>
      <c r="CS170" s="847"/>
      <c r="CT170" s="847"/>
      <c r="CU170" s="847"/>
      <c r="CV170" s="847"/>
      <c r="CW170" s="847"/>
      <c r="CX170" s="847"/>
      <c r="CY170" s="847"/>
      <c r="CZ170" s="847"/>
      <c r="DA170" s="847"/>
      <c r="DB170" s="847"/>
      <c r="DC170" s="847"/>
      <c r="DD170" s="847"/>
      <c r="DE170" s="847"/>
      <c r="DF170" s="847"/>
      <c r="DG170" s="847"/>
      <c r="DH170" s="847"/>
      <c r="DI170" s="847"/>
      <c r="DJ170" s="847"/>
      <c r="DK170" s="847"/>
      <c r="DL170" s="847"/>
      <c r="DM170" s="1212"/>
      <c r="DN170" s="1222"/>
      <c r="DO170" s="1013"/>
      <c r="DP170" s="847"/>
      <c r="DQ170" s="1013"/>
      <c r="DR170" s="1225"/>
      <c r="DS170" s="1013"/>
      <c r="DT170" s="1225"/>
      <c r="DU170" s="1214"/>
      <c r="DV170" s="1242"/>
      <c r="DW170" s="1232"/>
      <c r="DX170" s="1222"/>
      <c r="DY170" s="847"/>
      <c r="DZ170" s="847"/>
      <c r="EA170" s="847"/>
      <c r="EB170" s="847"/>
      <c r="EC170" s="847"/>
      <c r="ED170" s="847"/>
      <c r="EE170" s="847"/>
      <c r="EF170" s="847"/>
      <c r="EG170" s="1212"/>
      <c r="EH170" s="847"/>
      <c r="EI170" s="1212"/>
    </row>
    <row r="171" spans="1:139" s="733" customFormat="1" ht="13.5">
      <c r="A171" s="1009">
        <v>55</v>
      </c>
      <c r="B171" s="1212" t="s">
        <v>1597</v>
      </c>
      <c r="C171" s="1213">
        <v>0</v>
      </c>
      <c r="D171" s="1013" t="s">
        <v>92</v>
      </c>
      <c r="E171" s="847"/>
      <c r="F171" s="1013"/>
      <c r="G171" s="1013"/>
      <c r="H171" s="1013"/>
      <c r="I171" s="847"/>
      <c r="J171" s="1013"/>
      <c r="K171" s="847"/>
      <c r="L171" s="1013"/>
      <c r="M171" s="847"/>
      <c r="N171" s="1013"/>
      <c r="O171" s="847"/>
      <c r="P171" s="1013"/>
      <c r="Q171" s="847"/>
      <c r="R171" s="847"/>
      <c r="S171" s="847"/>
      <c r="T171" s="847"/>
      <c r="U171" s="847"/>
      <c r="V171" s="847"/>
      <c r="W171" s="847"/>
      <c r="X171" s="847"/>
      <c r="Y171" s="847"/>
      <c r="Z171" s="847"/>
      <c r="AA171" s="847"/>
      <c r="AB171" s="847"/>
      <c r="AC171" s="847"/>
      <c r="AD171" s="847"/>
      <c r="AE171" s="847"/>
      <c r="AF171" s="847"/>
      <c r="AG171" s="847"/>
      <c r="AH171" s="847"/>
      <c r="AI171" s="847"/>
      <c r="AJ171" s="847"/>
      <c r="AK171" s="847"/>
      <c r="AL171" s="847"/>
      <c r="AM171" s="847"/>
      <c r="AN171" s="847"/>
      <c r="AO171" s="847"/>
      <c r="AP171" s="847"/>
      <c r="AQ171" s="847"/>
      <c r="AR171" s="847"/>
      <c r="AS171" s="847"/>
      <c r="AT171" s="847"/>
      <c r="AU171" s="847"/>
      <c r="AV171" s="847"/>
      <c r="AW171" s="847"/>
      <c r="AX171" s="847"/>
      <c r="AY171" s="847"/>
      <c r="AZ171" s="847"/>
      <c r="BA171" s="847"/>
      <c r="BB171" s="847"/>
      <c r="BC171" s="847"/>
      <c r="BD171" s="847"/>
      <c r="BE171" s="847"/>
      <c r="BF171" s="847"/>
      <c r="BG171" s="847"/>
      <c r="BH171" s="847"/>
      <c r="BI171" s="847"/>
      <c r="BJ171" s="847"/>
      <c r="BK171" s="847"/>
      <c r="BL171" s="847"/>
      <c r="BM171" s="847"/>
      <c r="BN171" s="847"/>
      <c r="BO171" s="847"/>
      <c r="BP171" s="847"/>
      <c r="BQ171" s="847"/>
      <c r="BR171" s="847"/>
      <c r="BS171" s="847"/>
      <c r="BT171" s="847"/>
      <c r="BU171" s="847"/>
      <c r="BV171" s="847"/>
      <c r="BW171" s="847"/>
      <c r="BX171" s="847"/>
      <c r="BY171" s="847"/>
      <c r="BZ171" s="847"/>
      <c r="CA171" s="847"/>
      <c r="CB171" s="847"/>
      <c r="CC171" s="847"/>
      <c r="CD171" s="847"/>
      <c r="CE171" s="847"/>
      <c r="CF171" s="847"/>
      <c r="CG171" s="847"/>
      <c r="CH171" s="847"/>
      <c r="CI171" s="847"/>
      <c r="CJ171" s="847"/>
      <c r="CK171" s="847"/>
      <c r="CL171" s="847"/>
      <c r="CM171" s="847"/>
      <c r="CN171" s="847"/>
      <c r="CO171" s="847"/>
      <c r="CP171" s="847"/>
      <c r="CQ171" s="847"/>
      <c r="CR171" s="847"/>
      <c r="CS171" s="847"/>
      <c r="CT171" s="847"/>
      <c r="CU171" s="847"/>
      <c r="CV171" s="847"/>
      <c r="CW171" s="847"/>
      <c r="CX171" s="847"/>
      <c r="CY171" s="847"/>
      <c r="CZ171" s="847"/>
      <c r="DA171" s="847"/>
      <c r="DB171" s="847"/>
      <c r="DC171" s="847"/>
      <c r="DD171" s="847"/>
      <c r="DE171" s="847"/>
      <c r="DF171" s="847"/>
      <c r="DG171" s="847"/>
      <c r="DH171" s="847"/>
      <c r="DI171" s="847"/>
      <c r="DJ171" s="847"/>
      <c r="DK171" s="847"/>
      <c r="DL171" s="847"/>
      <c r="DM171" s="1212"/>
      <c r="DN171" s="1222"/>
      <c r="DO171" s="1013"/>
      <c r="DP171" s="847"/>
      <c r="DQ171" s="1013"/>
      <c r="DR171" s="1225"/>
      <c r="DS171" s="1013"/>
      <c r="DT171" s="1225"/>
      <c r="DU171" s="1214"/>
      <c r="DV171" s="1242"/>
      <c r="DW171" s="1232"/>
      <c r="DX171" s="1222"/>
      <c r="DY171" s="847"/>
      <c r="DZ171" s="847"/>
      <c r="EA171" s="847"/>
      <c r="EB171" s="847"/>
      <c r="EC171" s="847"/>
      <c r="ED171" s="847"/>
      <c r="EE171" s="847"/>
      <c r="EF171" s="847"/>
      <c r="EG171" s="1212"/>
      <c r="EH171" s="847"/>
      <c r="EI171" s="1212"/>
    </row>
    <row r="172" spans="1:139" s="733" customFormat="1" ht="13.5">
      <c r="A172" s="1009"/>
      <c r="B172" s="1212" t="s">
        <v>2066</v>
      </c>
      <c r="C172" s="1213">
        <v>0</v>
      </c>
      <c r="D172" s="1013" t="s">
        <v>92</v>
      </c>
      <c r="E172" s="847"/>
      <c r="F172" s="1013"/>
      <c r="G172" s="1225">
        <f>'Lead &amp; ANALYSIS'!G3465</f>
        <v>1.4999999999999999E-2</v>
      </c>
      <c r="H172" s="1013">
        <f>ROUND(C172*G172,2)</f>
        <v>0</v>
      </c>
      <c r="I172" s="847"/>
      <c r="J172" s="1013"/>
      <c r="K172" s="847">
        <f>'Lead &amp; ANALYSIS'!G3466</f>
        <v>3.5799999999999998E-2</v>
      </c>
      <c r="L172" s="1013">
        <f>ROUND(C172*K172,2)</f>
        <v>0</v>
      </c>
      <c r="M172" s="847"/>
      <c r="N172" s="1013"/>
      <c r="O172" s="847"/>
      <c r="P172" s="1013"/>
      <c r="Q172" s="847"/>
      <c r="R172" s="847"/>
      <c r="S172" s="847"/>
      <c r="T172" s="847"/>
      <c r="U172" s="847"/>
      <c r="V172" s="847"/>
      <c r="W172" s="847"/>
      <c r="X172" s="847"/>
      <c r="Y172" s="847"/>
      <c r="Z172" s="847"/>
      <c r="AA172" s="847"/>
      <c r="AB172" s="847"/>
      <c r="AC172" s="847"/>
      <c r="AD172" s="847"/>
      <c r="AE172" s="847"/>
      <c r="AF172" s="847"/>
      <c r="AG172" s="847"/>
      <c r="AH172" s="847"/>
      <c r="AI172" s="847"/>
      <c r="AJ172" s="847"/>
      <c r="AK172" s="847"/>
      <c r="AL172" s="847"/>
      <c r="AM172" s="847"/>
      <c r="AN172" s="847"/>
      <c r="AO172" s="847"/>
      <c r="AP172" s="847"/>
      <c r="AQ172" s="847"/>
      <c r="AR172" s="847"/>
      <c r="AS172" s="847"/>
      <c r="AT172" s="847"/>
      <c r="AU172" s="847"/>
      <c r="AV172" s="847"/>
      <c r="AW172" s="847"/>
      <c r="AX172" s="847"/>
      <c r="AY172" s="847"/>
      <c r="AZ172" s="847"/>
      <c r="BA172" s="847"/>
      <c r="BB172" s="847"/>
      <c r="BC172" s="847"/>
      <c r="BD172" s="847"/>
      <c r="BE172" s="847"/>
      <c r="BF172" s="847"/>
      <c r="BG172" s="847"/>
      <c r="BH172" s="847"/>
      <c r="BI172" s="847"/>
      <c r="BJ172" s="847"/>
      <c r="BK172" s="847"/>
      <c r="BL172" s="847"/>
      <c r="BM172" s="847"/>
      <c r="BN172" s="847"/>
      <c r="BO172" s="847"/>
      <c r="BP172" s="847"/>
      <c r="BQ172" s="847"/>
      <c r="BR172" s="847"/>
      <c r="BS172" s="847"/>
      <c r="BT172" s="847"/>
      <c r="BU172" s="847"/>
      <c r="BV172" s="847"/>
      <c r="BW172" s="847"/>
      <c r="BX172" s="847"/>
      <c r="BY172" s="847"/>
      <c r="BZ172" s="847"/>
      <c r="CA172" s="847"/>
      <c r="CB172" s="847"/>
      <c r="CC172" s="847"/>
      <c r="CD172" s="847"/>
      <c r="CE172" s="847"/>
      <c r="CF172" s="847"/>
      <c r="CG172" s="847"/>
      <c r="CH172" s="847"/>
      <c r="CI172" s="847"/>
      <c r="CJ172" s="847"/>
      <c r="CK172" s="847"/>
      <c r="CL172" s="847"/>
      <c r="CM172" s="847"/>
      <c r="CN172" s="847"/>
      <c r="CO172" s="847"/>
      <c r="CP172" s="847"/>
      <c r="CQ172" s="847"/>
      <c r="CR172" s="847"/>
      <c r="CS172" s="847"/>
      <c r="CT172" s="847"/>
      <c r="CU172" s="847"/>
      <c r="CV172" s="847"/>
      <c r="CW172" s="847"/>
      <c r="CX172" s="847"/>
      <c r="CY172" s="847"/>
      <c r="CZ172" s="847"/>
      <c r="DA172" s="847"/>
      <c r="DB172" s="847"/>
      <c r="DC172" s="847"/>
      <c r="DD172" s="847"/>
      <c r="DE172" s="847"/>
      <c r="DF172" s="847"/>
      <c r="DG172" s="847"/>
      <c r="DH172" s="847"/>
      <c r="DI172" s="847"/>
      <c r="DJ172" s="847"/>
      <c r="DK172" s="847"/>
      <c r="DL172" s="847"/>
      <c r="DM172" s="1212"/>
      <c r="DN172" s="1222">
        <f>'Lead &amp; ANALYSIS'!G3470</f>
        <v>0.12</v>
      </c>
      <c r="DO172" s="1013">
        <f>ROUND(C172*DN172,2)</f>
        <v>0</v>
      </c>
      <c r="DP172" s="847"/>
      <c r="DQ172" s="1013"/>
      <c r="DR172" s="1225">
        <f>'Lead &amp; ANALYSIS'!G3469</f>
        <v>0.14000000000000001</v>
      </c>
      <c r="DS172" s="1013">
        <f>ROUND(C172*DR172,2)</f>
        <v>0</v>
      </c>
      <c r="DT172" s="1225"/>
      <c r="DU172" s="1214"/>
      <c r="DV172" s="1242"/>
      <c r="DW172" s="1232"/>
      <c r="DX172" s="1222"/>
      <c r="DY172" s="847"/>
      <c r="DZ172" s="847"/>
      <c r="EA172" s="847"/>
      <c r="EB172" s="847"/>
      <c r="EC172" s="847"/>
      <c r="ED172" s="847"/>
      <c r="EE172" s="847"/>
      <c r="EF172" s="847"/>
      <c r="EG172" s="1212"/>
      <c r="EH172" s="847"/>
      <c r="EI172" s="1212"/>
    </row>
    <row r="173" spans="1:139" s="733" customFormat="1" ht="13.5">
      <c r="A173" s="1009"/>
      <c r="B173" s="1212" t="s">
        <v>2067</v>
      </c>
      <c r="C173" s="1213">
        <v>0</v>
      </c>
      <c r="D173" s="1013" t="s">
        <v>92</v>
      </c>
      <c r="E173" s="847"/>
      <c r="F173" s="1013"/>
      <c r="G173" s="1225">
        <f>G172</f>
        <v>1.4999999999999999E-2</v>
      </c>
      <c r="H173" s="1013">
        <f>ROUND(C173*G173,2)</f>
        <v>0</v>
      </c>
      <c r="I173" s="847"/>
      <c r="J173" s="1013"/>
      <c r="K173" s="847">
        <f>K172</f>
        <v>3.5799999999999998E-2</v>
      </c>
      <c r="L173" s="1013">
        <f>ROUND(C173*K173,2)</f>
        <v>0</v>
      </c>
      <c r="M173" s="847"/>
      <c r="N173" s="1013"/>
      <c r="O173" s="847"/>
      <c r="P173" s="1013"/>
      <c r="Q173" s="847"/>
      <c r="R173" s="847"/>
      <c r="S173" s="847"/>
      <c r="T173" s="847"/>
      <c r="U173" s="847"/>
      <c r="V173" s="847"/>
      <c r="W173" s="847"/>
      <c r="X173" s="847"/>
      <c r="Y173" s="847"/>
      <c r="Z173" s="847"/>
      <c r="AA173" s="847"/>
      <c r="AB173" s="847"/>
      <c r="AC173" s="847"/>
      <c r="AD173" s="847"/>
      <c r="AE173" s="847"/>
      <c r="AF173" s="847"/>
      <c r="AG173" s="847"/>
      <c r="AH173" s="847"/>
      <c r="AI173" s="847"/>
      <c r="AJ173" s="847"/>
      <c r="AK173" s="847"/>
      <c r="AL173" s="847"/>
      <c r="AM173" s="847"/>
      <c r="AN173" s="847"/>
      <c r="AO173" s="847"/>
      <c r="AP173" s="847"/>
      <c r="AQ173" s="847"/>
      <c r="AR173" s="847"/>
      <c r="AS173" s="847"/>
      <c r="AT173" s="847"/>
      <c r="AU173" s="847"/>
      <c r="AV173" s="847"/>
      <c r="AW173" s="847"/>
      <c r="AX173" s="847"/>
      <c r="AY173" s="847"/>
      <c r="AZ173" s="847"/>
      <c r="BA173" s="847"/>
      <c r="BB173" s="847"/>
      <c r="BC173" s="847"/>
      <c r="BD173" s="847"/>
      <c r="BE173" s="847"/>
      <c r="BF173" s="847"/>
      <c r="BG173" s="847"/>
      <c r="BH173" s="847"/>
      <c r="BI173" s="847"/>
      <c r="BJ173" s="847"/>
      <c r="BK173" s="847"/>
      <c r="BL173" s="847"/>
      <c r="BM173" s="847"/>
      <c r="BN173" s="847"/>
      <c r="BO173" s="847"/>
      <c r="BP173" s="847"/>
      <c r="BQ173" s="847"/>
      <c r="BR173" s="847"/>
      <c r="BS173" s="847"/>
      <c r="BT173" s="847"/>
      <c r="BU173" s="847"/>
      <c r="BV173" s="847"/>
      <c r="BW173" s="847"/>
      <c r="BX173" s="847"/>
      <c r="BY173" s="847"/>
      <c r="BZ173" s="847"/>
      <c r="CA173" s="847"/>
      <c r="CB173" s="847"/>
      <c r="CC173" s="847"/>
      <c r="CD173" s="847"/>
      <c r="CE173" s="847"/>
      <c r="CF173" s="847"/>
      <c r="CG173" s="847"/>
      <c r="CH173" s="847"/>
      <c r="CI173" s="847"/>
      <c r="CJ173" s="847"/>
      <c r="CK173" s="847"/>
      <c r="CL173" s="847"/>
      <c r="CM173" s="847"/>
      <c r="CN173" s="847"/>
      <c r="CO173" s="847"/>
      <c r="CP173" s="847"/>
      <c r="CQ173" s="847"/>
      <c r="CR173" s="847"/>
      <c r="CS173" s="847"/>
      <c r="CT173" s="847"/>
      <c r="CU173" s="847"/>
      <c r="CV173" s="847"/>
      <c r="CW173" s="847"/>
      <c r="CX173" s="847"/>
      <c r="CY173" s="847"/>
      <c r="CZ173" s="847"/>
      <c r="DA173" s="847"/>
      <c r="DB173" s="847"/>
      <c r="DC173" s="847"/>
      <c r="DD173" s="847"/>
      <c r="DE173" s="847"/>
      <c r="DF173" s="847"/>
      <c r="DG173" s="847"/>
      <c r="DH173" s="847"/>
      <c r="DI173" s="847"/>
      <c r="DJ173" s="847"/>
      <c r="DK173" s="847"/>
      <c r="DL173" s="847"/>
      <c r="DM173" s="1212"/>
      <c r="DN173" s="1222">
        <f>DN172+DN172*3%</f>
        <v>0.1236</v>
      </c>
      <c r="DO173" s="1013">
        <f>ROUND(C173*DN173,2)</f>
        <v>0</v>
      </c>
      <c r="DP173" s="847"/>
      <c r="DQ173" s="1013"/>
      <c r="DR173" s="847">
        <f>DR172+DR172*3%</f>
        <v>0.14420000000000002</v>
      </c>
      <c r="DS173" s="1013">
        <f>ROUND(C173*DR173,2)</f>
        <v>0</v>
      </c>
      <c r="DT173" s="1225"/>
      <c r="DU173" s="1214"/>
      <c r="DV173" s="1242"/>
      <c r="DW173" s="1232"/>
      <c r="DX173" s="1222"/>
      <c r="DY173" s="847"/>
      <c r="DZ173" s="847"/>
      <c r="EA173" s="847"/>
      <c r="EB173" s="847"/>
      <c r="EC173" s="847"/>
      <c r="ED173" s="847"/>
      <c r="EE173" s="847"/>
      <c r="EF173" s="847"/>
      <c r="EG173" s="1212"/>
      <c r="EH173" s="847"/>
      <c r="EI173" s="1212"/>
    </row>
    <row r="174" spans="1:139" s="733" customFormat="1" ht="13.5">
      <c r="A174" s="1009">
        <v>56</v>
      </c>
      <c r="B174" s="1212" t="s">
        <v>1598</v>
      </c>
      <c r="C174" s="1213">
        <v>0</v>
      </c>
      <c r="D174" s="1013" t="s">
        <v>92</v>
      </c>
      <c r="E174" s="847"/>
      <c r="F174" s="1013"/>
      <c r="G174" s="1013"/>
      <c r="H174" s="1013"/>
      <c r="I174" s="847"/>
      <c r="J174" s="1013"/>
      <c r="K174" s="847"/>
      <c r="L174" s="1013"/>
      <c r="M174" s="847"/>
      <c r="N174" s="1013"/>
      <c r="O174" s="847"/>
      <c r="P174" s="1013"/>
      <c r="Q174" s="847"/>
      <c r="R174" s="847"/>
      <c r="S174" s="847"/>
      <c r="T174" s="847"/>
      <c r="U174" s="847"/>
      <c r="V174" s="847"/>
      <c r="W174" s="847"/>
      <c r="X174" s="847"/>
      <c r="Y174" s="847"/>
      <c r="Z174" s="847"/>
      <c r="AA174" s="847"/>
      <c r="AB174" s="847"/>
      <c r="AC174" s="847"/>
      <c r="AD174" s="847"/>
      <c r="AE174" s="847"/>
      <c r="AF174" s="847"/>
      <c r="AG174" s="847"/>
      <c r="AH174" s="847"/>
      <c r="AI174" s="847"/>
      <c r="AJ174" s="847"/>
      <c r="AK174" s="847"/>
      <c r="AL174" s="847"/>
      <c r="AM174" s="847"/>
      <c r="AN174" s="847"/>
      <c r="AO174" s="847"/>
      <c r="AP174" s="847"/>
      <c r="AQ174" s="847"/>
      <c r="AR174" s="847"/>
      <c r="AS174" s="847"/>
      <c r="AT174" s="847"/>
      <c r="AU174" s="847"/>
      <c r="AV174" s="847"/>
      <c r="AW174" s="847"/>
      <c r="AX174" s="847"/>
      <c r="AY174" s="847"/>
      <c r="AZ174" s="847"/>
      <c r="BA174" s="847"/>
      <c r="BB174" s="847"/>
      <c r="BC174" s="847"/>
      <c r="BD174" s="847"/>
      <c r="BE174" s="847"/>
      <c r="BF174" s="847"/>
      <c r="BG174" s="847"/>
      <c r="BH174" s="847"/>
      <c r="BI174" s="847"/>
      <c r="BJ174" s="847"/>
      <c r="BK174" s="847"/>
      <c r="BL174" s="847"/>
      <c r="BM174" s="847"/>
      <c r="BN174" s="847"/>
      <c r="BO174" s="847"/>
      <c r="BP174" s="847"/>
      <c r="BQ174" s="847"/>
      <c r="BR174" s="847"/>
      <c r="BS174" s="847"/>
      <c r="BT174" s="847"/>
      <c r="BU174" s="847"/>
      <c r="BV174" s="847"/>
      <c r="BW174" s="847"/>
      <c r="BX174" s="847"/>
      <c r="BY174" s="847"/>
      <c r="BZ174" s="847"/>
      <c r="CA174" s="847"/>
      <c r="CB174" s="847"/>
      <c r="CC174" s="847"/>
      <c r="CD174" s="847"/>
      <c r="CE174" s="847"/>
      <c r="CF174" s="847"/>
      <c r="CG174" s="847"/>
      <c r="CH174" s="847"/>
      <c r="CI174" s="847"/>
      <c r="CJ174" s="847"/>
      <c r="CK174" s="847"/>
      <c r="CL174" s="847"/>
      <c r="CM174" s="847"/>
      <c r="CN174" s="847"/>
      <c r="CO174" s="847"/>
      <c r="CP174" s="847"/>
      <c r="CQ174" s="847"/>
      <c r="CR174" s="847"/>
      <c r="CS174" s="847"/>
      <c r="CT174" s="847"/>
      <c r="CU174" s="847"/>
      <c r="CV174" s="847"/>
      <c r="CW174" s="847"/>
      <c r="CX174" s="847"/>
      <c r="CY174" s="847"/>
      <c r="CZ174" s="847"/>
      <c r="DA174" s="847"/>
      <c r="DB174" s="847"/>
      <c r="DC174" s="847"/>
      <c r="DD174" s="847"/>
      <c r="DE174" s="847"/>
      <c r="DF174" s="847"/>
      <c r="DG174" s="847"/>
      <c r="DH174" s="847"/>
      <c r="DI174" s="847"/>
      <c r="DJ174" s="847"/>
      <c r="DK174" s="847"/>
      <c r="DL174" s="847"/>
      <c r="DM174" s="1212"/>
      <c r="DN174" s="1222"/>
      <c r="DO174" s="1013"/>
      <c r="DP174" s="847"/>
      <c r="DQ174" s="1013"/>
      <c r="DR174" s="1225"/>
      <c r="DS174" s="1013"/>
      <c r="DT174" s="1225"/>
      <c r="DU174" s="1214"/>
      <c r="DV174" s="1242"/>
      <c r="DW174" s="1232"/>
      <c r="DX174" s="1222"/>
      <c r="DY174" s="847"/>
      <c r="DZ174" s="847"/>
      <c r="EA174" s="847"/>
      <c r="EB174" s="847"/>
      <c r="EC174" s="847"/>
      <c r="ED174" s="847"/>
      <c r="EE174" s="847"/>
      <c r="EF174" s="847"/>
      <c r="EG174" s="1212"/>
      <c r="EH174" s="847"/>
      <c r="EI174" s="1212"/>
    </row>
    <row r="175" spans="1:139" s="733" customFormat="1" ht="13.5">
      <c r="A175" s="1009"/>
      <c r="B175" s="1212" t="s">
        <v>2066</v>
      </c>
      <c r="C175" s="1213">
        <v>0</v>
      </c>
      <c r="D175" s="1013" t="s">
        <v>92</v>
      </c>
      <c r="E175" s="847"/>
      <c r="F175" s="1013"/>
      <c r="G175" s="1225">
        <f>'Lead &amp; ANALYSIS'!G3536</f>
        <v>1.4999999999999999E-2</v>
      </c>
      <c r="H175" s="1013">
        <f>ROUND(C175*G175,2)</f>
        <v>0</v>
      </c>
      <c r="I175" s="847"/>
      <c r="J175" s="1013"/>
      <c r="K175" s="847">
        <f>'Lead &amp; ANALYSIS'!G3537</f>
        <v>6.4399999999999999E-2</v>
      </c>
      <c r="L175" s="1013">
        <f>ROUND(C175*K175,2)</f>
        <v>0</v>
      </c>
      <c r="M175" s="847"/>
      <c r="N175" s="1013"/>
      <c r="O175" s="847"/>
      <c r="P175" s="1013"/>
      <c r="Q175" s="847"/>
      <c r="R175" s="847"/>
      <c r="S175" s="847"/>
      <c r="T175" s="847"/>
      <c r="U175" s="847"/>
      <c r="V175" s="847"/>
      <c r="W175" s="847"/>
      <c r="X175" s="847"/>
      <c r="Y175" s="847"/>
      <c r="Z175" s="847"/>
      <c r="AA175" s="847"/>
      <c r="AB175" s="847"/>
      <c r="AC175" s="847"/>
      <c r="AD175" s="847"/>
      <c r="AE175" s="847"/>
      <c r="AF175" s="847"/>
      <c r="AG175" s="847"/>
      <c r="AH175" s="847"/>
      <c r="AI175" s="847"/>
      <c r="AJ175" s="847"/>
      <c r="AK175" s="847"/>
      <c r="AL175" s="847"/>
      <c r="AM175" s="847"/>
      <c r="AN175" s="847"/>
      <c r="AO175" s="847"/>
      <c r="AP175" s="847"/>
      <c r="AQ175" s="847"/>
      <c r="AR175" s="847"/>
      <c r="AS175" s="847"/>
      <c r="AT175" s="847"/>
      <c r="AU175" s="847"/>
      <c r="AV175" s="847"/>
      <c r="AW175" s="847"/>
      <c r="AX175" s="847"/>
      <c r="AY175" s="847"/>
      <c r="AZ175" s="847"/>
      <c r="BA175" s="847"/>
      <c r="BB175" s="847"/>
      <c r="BC175" s="847"/>
      <c r="BD175" s="847"/>
      <c r="BE175" s="847"/>
      <c r="BF175" s="847"/>
      <c r="BG175" s="847"/>
      <c r="BH175" s="847"/>
      <c r="BI175" s="847"/>
      <c r="BJ175" s="847"/>
      <c r="BK175" s="847"/>
      <c r="BL175" s="847"/>
      <c r="BM175" s="847"/>
      <c r="BN175" s="847"/>
      <c r="BO175" s="847"/>
      <c r="BP175" s="847"/>
      <c r="BQ175" s="847"/>
      <c r="BR175" s="847"/>
      <c r="BS175" s="847"/>
      <c r="BT175" s="847"/>
      <c r="BU175" s="847"/>
      <c r="BV175" s="847"/>
      <c r="BW175" s="847"/>
      <c r="BX175" s="847"/>
      <c r="BY175" s="847"/>
      <c r="BZ175" s="847"/>
      <c r="CA175" s="847"/>
      <c r="CB175" s="847"/>
      <c r="CC175" s="847"/>
      <c r="CD175" s="847"/>
      <c r="CE175" s="847"/>
      <c r="CF175" s="847"/>
      <c r="CG175" s="847"/>
      <c r="CH175" s="847"/>
      <c r="CI175" s="847"/>
      <c r="CJ175" s="847"/>
      <c r="CK175" s="847"/>
      <c r="CL175" s="847"/>
      <c r="CM175" s="847"/>
      <c r="CN175" s="847"/>
      <c r="CO175" s="847"/>
      <c r="CP175" s="847"/>
      <c r="CQ175" s="847"/>
      <c r="CR175" s="847"/>
      <c r="CS175" s="847"/>
      <c r="CT175" s="847"/>
      <c r="CU175" s="847"/>
      <c r="CV175" s="847"/>
      <c r="CW175" s="847"/>
      <c r="CX175" s="847"/>
      <c r="CY175" s="847"/>
      <c r="CZ175" s="847"/>
      <c r="DA175" s="847"/>
      <c r="DB175" s="847"/>
      <c r="DC175" s="847"/>
      <c r="DD175" s="847"/>
      <c r="DE175" s="847"/>
      <c r="DF175" s="847"/>
      <c r="DG175" s="847"/>
      <c r="DH175" s="847"/>
      <c r="DI175" s="847"/>
      <c r="DJ175" s="847"/>
      <c r="DK175" s="847"/>
      <c r="DL175" s="847"/>
      <c r="DM175" s="1212"/>
      <c r="DN175" s="1222">
        <f>'Lead &amp; ANALYSIS'!G3541</f>
        <v>0.11</v>
      </c>
      <c r="DO175" s="1013">
        <f>ROUND(C175*DN175,2)</f>
        <v>0</v>
      </c>
      <c r="DP175" s="847"/>
      <c r="DQ175" s="1013"/>
      <c r="DR175" s="1225">
        <f>'Lead &amp; ANALYSIS'!G3540</f>
        <v>0.15</v>
      </c>
      <c r="DS175" s="1013">
        <f>ROUND(C175*DR175,2)</f>
        <v>0</v>
      </c>
      <c r="DT175" s="1225"/>
      <c r="DU175" s="1214"/>
      <c r="DV175" s="1242"/>
      <c r="DW175" s="1232"/>
      <c r="DX175" s="1222"/>
      <c r="DY175" s="847"/>
      <c r="DZ175" s="847"/>
      <c r="EA175" s="847"/>
      <c r="EB175" s="847"/>
      <c r="EC175" s="847"/>
      <c r="ED175" s="847"/>
      <c r="EE175" s="847"/>
      <c r="EF175" s="847"/>
      <c r="EG175" s="1212"/>
      <c r="EH175" s="847"/>
      <c r="EI175" s="1212"/>
    </row>
    <row r="176" spans="1:139" s="733" customFormat="1" ht="13.5">
      <c r="A176" s="1009"/>
      <c r="B176" s="1212" t="s">
        <v>2067</v>
      </c>
      <c r="C176" s="1213">
        <v>0</v>
      </c>
      <c r="D176" s="1013" t="s">
        <v>92</v>
      </c>
      <c r="E176" s="847"/>
      <c r="F176" s="1013"/>
      <c r="G176" s="1225">
        <f>G175</f>
        <v>1.4999999999999999E-2</v>
      </c>
      <c r="H176" s="1013">
        <f>ROUND(C176*G176,2)</f>
        <v>0</v>
      </c>
      <c r="I176" s="847"/>
      <c r="J176" s="1013"/>
      <c r="K176" s="847">
        <f>K175</f>
        <v>6.4399999999999999E-2</v>
      </c>
      <c r="L176" s="1013">
        <f>ROUND(C176*K176,2)</f>
        <v>0</v>
      </c>
      <c r="M176" s="847"/>
      <c r="N176" s="1013"/>
      <c r="O176" s="847"/>
      <c r="P176" s="1013"/>
      <c r="Q176" s="847"/>
      <c r="R176" s="847"/>
      <c r="S176" s="847"/>
      <c r="T176" s="847"/>
      <c r="U176" s="847"/>
      <c r="V176" s="847"/>
      <c r="W176" s="847"/>
      <c r="X176" s="847"/>
      <c r="Y176" s="847"/>
      <c r="Z176" s="847"/>
      <c r="AA176" s="847"/>
      <c r="AB176" s="847"/>
      <c r="AC176" s="847"/>
      <c r="AD176" s="847"/>
      <c r="AE176" s="847"/>
      <c r="AF176" s="847"/>
      <c r="AG176" s="847"/>
      <c r="AH176" s="847"/>
      <c r="AI176" s="847"/>
      <c r="AJ176" s="847"/>
      <c r="AK176" s="847"/>
      <c r="AL176" s="847"/>
      <c r="AM176" s="847"/>
      <c r="AN176" s="847"/>
      <c r="AO176" s="847"/>
      <c r="AP176" s="847"/>
      <c r="AQ176" s="847"/>
      <c r="AR176" s="847"/>
      <c r="AS176" s="847"/>
      <c r="AT176" s="847"/>
      <c r="AU176" s="847"/>
      <c r="AV176" s="847"/>
      <c r="AW176" s="847"/>
      <c r="AX176" s="847"/>
      <c r="AY176" s="847"/>
      <c r="AZ176" s="847"/>
      <c r="BA176" s="847"/>
      <c r="BB176" s="847"/>
      <c r="BC176" s="847"/>
      <c r="BD176" s="847"/>
      <c r="BE176" s="847"/>
      <c r="BF176" s="847"/>
      <c r="BG176" s="847"/>
      <c r="BH176" s="847"/>
      <c r="BI176" s="847"/>
      <c r="BJ176" s="847"/>
      <c r="BK176" s="847"/>
      <c r="BL176" s="847"/>
      <c r="BM176" s="847"/>
      <c r="BN176" s="847"/>
      <c r="BO176" s="847"/>
      <c r="BP176" s="847"/>
      <c r="BQ176" s="847"/>
      <c r="BR176" s="847"/>
      <c r="BS176" s="847"/>
      <c r="BT176" s="847"/>
      <c r="BU176" s="847"/>
      <c r="BV176" s="847"/>
      <c r="BW176" s="847"/>
      <c r="BX176" s="847"/>
      <c r="BY176" s="847"/>
      <c r="BZ176" s="847"/>
      <c r="CA176" s="847"/>
      <c r="CB176" s="847"/>
      <c r="CC176" s="847"/>
      <c r="CD176" s="847"/>
      <c r="CE176" s="847"/>
      <c r="CF176" s="847"/>
      <c r="CG176" s="847"/>
      <c r="CH176" s="847"/>
      <c r="CI176" s="847"/>
      <c r="CJ176" s="847"/>
      <c r="CK176" s="847"/>
      <c r="CL176" s="847"/>
      <c r="CM176" s="847"/>
      <c r="CN176" s="847"/>
      <c r="CO176" s="847"/>
      <c r="CP176" s="847"/>
      <c r="CQ176" s="847"/>
      <c r="CR176" s="847"/>
      <c r="CS176" s="847"/>
      <c r="CT176" s="847"/>
      <c r="CU176" s="847"/>
      <c r="CV176" s="847"/>
      <c r="CW176" s="847"/>
      <c r="CX176" s="847"/>
      <c r="CY176" s="847"/>
      <c r="CZ176" s="847"/>
      <c r="DA176" s="847"/>
      <c r="DB176" s="847"/>
      <c r="DC176" s="847"/>
      <c r="DD176" s="847"/>
      <c r="DE176" s="847"/>
      <c r="DF176" s="847"/>
      <c r="DG176" s="847"/>
      <c r="DH176" s="847"/>
      <c r="DI176" s="847"/>
      <c r="DJ176" s="847"/>
      <c r="DK176" s="847"/>
      <c r="DL176" s="847"/>
      <c r="DM176" s="1212"/>
      <c r="DN176" s="1222">
        <f>DN175+DN175*3%</f>
        <v>0.1133</v>
      </c>
      <c r="DO176" s="1013">
        <f>ROUND(C176*DN176,2)</f>
        <v>0</v>
      </c>
      <c r="DP176" s="847"/>
      <c r="DQ176" s="1013"/>
      <c r="DR176" s="847">
        <f>DR175+DR175*3%</f>
        <v>0.1545</v>
      </c>
      <c r="DS176" s="1013">
        <f>ROUND(C176*DR176,2)</f>
        <v>0</v>
      </c>
      <c r="DT176" s="1225"/>
      <c r="DU176" s="1214"/>
      <c r="DV176" s="1242"/>
      <c r="DW176" s="1232"/>
      <c r="DX176" s="1222"/>
      <c r="DY176" s="847"/>
      <c r="DZ176" s="847"/>
      <c r="EA176" s="847"/>
      <c r="EB176" s="847"/>
      <c r="EC176" s="847"/>
      <c r="ED176" s="847"/>
      <c r="EE176" s="847"/>
      <c r="EF176" s="847"/>
      <c r="EG176" s="1212"/>
      <c r="EH176" s="847"/>
      <c r="EI176" s="1212"/>
    </row>
    <row r="177" spans="1:139" s="733" customFormat="1" ht="13.5">
      <c r="A177" s="1009">
        <v>57</v>
      </c>
      <c r="B177" s="1212" t="s">
        <v>3051</v>
      </c>
      <c r="C177" s="1213">
        <v>0</v>
      </c>
      <c r="D177" s="1013" t="s">
        <v>92</v>
      </c>
      <c r="E177" s="847"/>
      <c r="F177" s="1013"/>
      <c r="G177" s="1013"/>
      <c r="H177" s="1013"/>
      <c r="I177" s="847"/>
      <c r="J177" s="1013"/>
      <c r="K177" s="847"/>
      <c r="L177" s="1013"/>
      <c r="M177" s="847"/>
      <c r="N177" s="1013"/>
      <c r="O177" s="847"/>
      <c r="P177" s="1013"/>
      <c r="Q177" s="847"/>
      <c r="R177" s="847"/>
      <c r="S177" s="847"/>
      <c r="T177" s="847"/>
      <c r="U177" s="847"/>
      <c r="V177" s="847"/>
      <c r="W177" s="847"/>
      <c r="X177" s="847"/>
      <c r="Y177" s="847"/>
      <c r="Z177" s="847"/>
      <c r="AA177" s="847"/>
      <c r="AB177" s="847"/>
      <c r="AC177" s="847"/>
      <c r="AD177" s="847"/>
      <c r="AE177" s="847"/>
      <c r="AF177" s="847"/>
      <c r="AG177" s="847"/>
      <c r="AH177" s="847"/>
      <c r="AI177" s="847"/>
      <c r="AJ177" s="847"/>
      <c r="AK177" s="847"/>
      <c r="AL177" s="847"/>
      <c r="AM177" s="847"/>
      <c r="AN177" s="847"/>
      <c r="AO177" s="847"/>
      <c r="AP177" s="847"/>
      <c r="AQ177" s="847"/>
      <c r="AR177" s="847"/>
      <c r="AS177" s="847"/>
      <c r="AT177" s="847"/>
      <c r="AU177" s="847"/>
      <c r="AV177" s="847"/>
      <c r="AW177" s="847"/>
      <c r="AX177" s="847"/>
      <c r="AY177" s="847"/>
      <c r="AZ177" s="847"/>
      <c r="BA177" s="847"/>
      <c r="BB177" s="847"/>
      <c r="BC177" s="847"/>
      <c r="BD177" s="847"/>
      <c r="BE177" s="847"/>
      <c r="BF177" s="847"/>
      <c r="BG177" s="847"/>
      <c r="BH177" s="847"/>
      <c r="BI177" s="847"/>
      <c r="BJ177" s="847"/>
      <c r="BK177" s="847"/>
      <c r="BL177" s="847"/>
      <c r="BM177" s="847"/>
      <c r="BN177" s="847"/>
      <c r="BO177" s="847"/>
      <c r="BP177" s="847"/>
      <c r="BQ177" s="847"/>
      <c r="BR177" s="847"/>
      <c r="BS177" s="847"/>
      <c r="BT177" s="847"/>
      <c r="BU177" s="847"/>
      <c r="BV177" s="847"/>
      <c r="BW177" s="847"/>
      <c r="BX177" s="847"/>
      <c r="BY177" s="847"/>
      <c r="BZ177" s="847"/>
      <c r="CA177" s="847"/>
      <c r="CB177" s="847"/>
      <c r="CC177" s="847"/>
      <c r="CD177" s="847"/>
      <c r="CE177" s="847"/>
      <c r="CF177" s="847"/>
      <c r="CG177" s="847"/>
      <c r="CH177" s="847"/>
      <c r="CI177" s="847"/>
      <c r="CJ177" s="847"/>
      <c r="CK177" s="847"/>
      <c r="CL177" s="847"/>
      <c r="CM177" s="847"/>
      <c r="CN177" s="847"/>
      <c r="CO177" s="847"/>
      <c r="CP177" s="847"/>
      <c r="CQ177" s="847"/>
      <c r="CR177" s="847"/>
      <c r="CS177" s="847"/>
      <c r="CT177" s="847"/>
      <c r="CU177" s="847"/>
      <c r="CV177" s="847"/>
      <c r="CW177" s="847"/>
      <c r="CX177" s="847"/>
      <c r="CY177" s="847"/>
      <c r="CZ177" s="847"/>
      <c r="DA177" s="847"/>
      <c r="DB177" s="847"/>
      <c r="DC177" s="847"/>
      <c r="DD177" s="847"/>
      <c r="DE177" s="847"/>
      <c r="DF177" s="847"/>
      <c r="DG177" s="847"/>
      <c r="DH177" s="847"/>
      <c r="DI177" s="847"/>
      <c r="DJ177" s="847"/>
      <c r="DK177" s="847"/>
      <c r="DL177" s="847"/>
      <c r="DM177" s="1212"/>
      <c r="DN177" s="1222"/>
      <c r="DO177" s="1013"/>
      <c r="DP177" s="847"/>
      <c r="DQ177" s="1013"/>
      <c r="DR177" s="1225"/>
      <c r="DS177" s="1013"/>
      <c r="DT177" s="1225"/>
      <c r="DU177" s="1214"/>
      <c r="DV177" s="1242"/>
      <c r="DW177" s="1232"/>
      <c r="DX177" s="1222"/>
      <c r="DY177" s="847"/>
      <c r="DZ177" s="847"/>
      <c r="EA177" s="847"/>
      <c r="EB177" s="847"/>
      <c r="EC177" s="847"/>
      <c r="ED177" s="847"/>
      <c r="EE177" s="847"/>
      <c r="EF177" s="847"/>
      <c r="EG177" s="1212"/>
      <c r="EH177" s="847"/>
      <c r="EI177" s="1212"/>
    </row>
    <row r="178" spans="1:139" s="733" customFormat="1" ht="13.5">
      <c r="A178" s="1009"/>
      <c r="B178" s="1212" t="s">
        <v>2066</v>
      </c>
      <c r="C178" s="1213">
        <v>0</v>
      </c>
      <c r="D178" s="1013" t="s">
        <v>92</v>
      </c>
      <c r="E178" s="847"/>
      <c r="F178" s="1013"/>
      <c r="G178" s="1225">
        <f>'Lead &amp; ANALYSIS'!G3536</f>
        <v>1.4999999999999999E-2</v>
      </c>
      <c r="H178" s="1013">
        <f>ROUND(C178*G178,2)</f>
        <v>0</v>
      </c>
      <c r="I178" s="847"/>
      <c r="J178" s="1013"/>
      <c r="K178" s="847">
        <f>'Lead &amp; ANALYSIS'!G3537</f>
        <v>6.4399999999999999E-2</v>
      </c>
      <c r="L178" s="1013">
        <f>ROUND(C178*K178,2)</f>
        <v>0</v>
      </c>
      <c r="M178" s="847"/>
      <c r="N178" s="1013"/>
      <c r="O178" s="847"/>
      <c r="P178" s="1013"/>
      <c r="Q178" s="847"/>
      <c r="R178" s="847"/>
      <c r="S178" s="847"/>
      <c r="T178" s="847"/>
      <c r="U178" s="847"/>
      <c r="V178" s="847"/>
      <c r="W178" s="847"/>
      <c r="X178" s="847"/>
      <c r="Y178" s="847"/>
      <c r="Z178" s="847"/>
      <c r="AA178" s="847"/>
      <c r="AB178" s="847"/>
      <c r="AC178" s="847"/>
      <c r="AD178" s="847"/>
      <c r="AE178" s="847"/>
      <c r="AF178" s="847"/>
      <c r="AG178" s="847"/>
      <c r="AH178" s="847"/>
      <c r="AI178" s="847"/>
      <c r="AJ178" s="847"/>
      <c r="AK178" s="847"/>
      <c r="AL178" s="847"/>
      <c r="AM178" s="847"/>
      <c r="AN178" s="847"/>
      <c r="AO178" s="847"/>
      <c r="AP178" s="847"/>
      <c r="AQ178" s="847"/>
      <c r="AR178" s="847"/>
      <c r="AS178" s="847">
        <f>'Lead &amp; ANALYSIS'!G3585/9.3</f>
        <v>1.9354838709677417E-2</v>
      </c>
      <c r="AT178" s="847">
        <f>ROUND(C178*AS178,2)</f>
        <v>0</v>
      </c>
      <c r="AU178" s="847"/>
      <c r="AV178" s="847"/>
      <c r="AW178" s="847"/>
      <c r="AX178" s="847"/>
      <c r="AY178" s="847"/>
      <c r="AZ178" s="847"/>
      <c r="BA178" s="847"/>
      <c r="BB178" s="847"/>
      <c r="BC178" s="847"/>
      <c r="BD178" s="847"/>
      <c r="BE178" s="847"/>
      <c r="BF178" s="847"/>
      <c r="BG178" s="847"/>
      <c r="BH178" s="847"/>
      <c r="BI178" s="847"/>
      <c r="BJ178" s="847"/>
      <c r="BK178" s="847"/>
      <c r="BL178" s="847"/>
      <c r="BM178" s="847"/>
      <c r="BN178" s="847"/>
      <c r="BO178" s="847"/>
      <c r="BP178" s="847"/>
      <c r="BQ178" s="847"/>
      <c r="BR178" s="847"/>
      <c r="BS178" s="847"/>
      <c r="BT178" s="847"/>
      <c r="BU178" s="847"/>
      <c r="BV178" s="847"/>
      <c r="BW178" s="847"/>
      <c r="BX178" s="847"/>
      <c r="BY178" s="847"/>
      <c r="BZ178" s="847"/>
      <c r="CA178" s="847"/>
      <c r="CB178" s="847"/>
      <c r="CC178" s="847"/>
      <c r="CD178" s="847"/>
      <c r="CE178" s="847"/>
      <c r="CF178" s="847"/>
      <c r="CG178" s="847"/>
      <c r="CH178" s="847"/>
      <c r="CI178" s="847"/>
      <c r="CJ178" s="847"/>
      <c r="CK178" s="847"/>
      <c r="CL178" s="847"/>
      <c r="CM178" s="847"/>
      <c r="CN178" s="847"/>
      <c r="CO178" s="847"/>
      <c r="CP178" s="847"/>
      <c r="CQ178" s="847"/>
      <c r="CR178" s="847"/>
      <c r="CS178" s="847"/>
      <c r="CT178" s="847"/>
      <c r="CU178" s="847"/>
      <c r="CV178" s="847"/>
      <c r="CW178" s="847"/>
      <c r="CX178" s="847"/>
      <c r="CY178" s="847"/>
      <c r="CZ178" s="847"/>
      <c r="DA178" s="847"/>
      <c r="DB178" s="847"/>
      <c r="DC178" s="847"/>
      <c r="DD178" s="847"/>
      <c r="DE178" s="847"/>
      <c r="DF178" s="847"/>
      <c r="DG178" s="847"/>
      <c r="DH178" s="847"/>
      <c r="DI178" s="847"/>
      <c r="DJ178" s="847"/>
      <c r="DK178" s="847"/>
      <c r="DL178" s="847"/>
      <c r="DM178" s="1212"/>
      <c r="DN178" s="1222">
        <f>DN175+'Lead &amp; ANALYSIS'!G3583/9.3</f>
        <v>0.21752688172043011</v>
      </c>
      <c r="DO178" s="1013">
        <f>ROUND(C178*DN178,2)</f>
        <v>0</v>
      </c>
      <c r="DP178" s="847"/>
      <c r="DQ178" s="1013"/>
      <c r="DR178" s="1225">
        <f>DR175</f>
        <v>0.15</v>
      </c>
      <c r="DS178" s="1013">
        <f>ROUND(C178*DR178,2)</f>
        <v>0</v>
      </c>
      <c r="DT178" s="1225"/>
      <c r="DU178" s="1214"/>
      <c r="DV178" s="1242"/>
      <c r="DW178" s="1232"/>
      <c r="DX178" s="1222"/>
      <c r="DY178" s="847"/>
      <c r="DZ178" s="847"/>
      <c r="EA178" s="847"/>
      <c r="EB178" s="847"/>
      <c r="EC178" s="847"/>
      <c r="ED178" s="847"/>
      <c r="EE178" s="847"/>
      <c r="EF178" s="847"/>
      <c r="EG178" s="1212"/>
      <c r="EH178" s="847"/>
      <c r="EI178" s="1212"/>
    </row>
    <row r="179" spans="1:139" s="733" customFormat="1" ht="13.5">
      <c r="A179" s="1009"/>
      <c r="B179" s="1212" t="s">
        <v>2067</v>
      </c>
      <c r="C179" s="1213">
        <v>0</v>
      </c>
      <c r="D179" s="1013" t="s">
        <v>92</v>
      </c>
      <c r="E179" s="847"/>
      <c r="F179" s="1013"/>
      <c r="G179" s="1225">
        <f>G178</f>
        <v>1.4999999999999999E-2</v>
      </c>
      <c r="H179" s="1013">
        <f>ROUND(C179*G179,2)</f>
        <v>0</v>
      </c>
      <c r="I179" s="847"/>
      <c r="J179" s="1013"/>
      <c r="K179" s="847">
        <f>K178</f>
        <v>6.4399999999999999E-2</v>
      </c>
      <c r="L179" s="1013">
        <f>ROUND(C179*K179,2)</f>
        <v>0</v>
      </c>
      <c r="M179" s="847"/>
      <c r="N179" s="1013"/>
      <c r="O179" s="847"/>
      <c r="P179" s="1013"/>
      <c r="Q179" s="847"/>
      <c r="R179" s="847"/>
      <c r="S179" s="847"/>
      <c r="T179" s="847"/>
      <c r="U179" s="847"/>
      <c r="V179" s="847"/>
      <c r="W179" s="847"/>
      <c r="X179" s="847"/>
      <c r="Y179" s="847"/>
      <c r="Z179" s="847"/>
      <c r="AA179" s="847"/>
      <c r="AB179" s="847"/>
      <c r="AC179" s="847"/>
      <c r="AD179" s="847"/>
      <c r="AE179" s="847"/>
      <c r="AF179" s="847"/>
      <c r="AG179" s="847"/>
      <c r="AH179" s="847"/>
      <c r="AI179" s="847"/>
      <c r="AJ179" s="847"/>
      <c r="AK179" s="847"/>
      <c r="AL179" s="847"/>
      <c r="AM179" s="847"/>
      <c r="AN179" s="847"/>
      <c r="AO179" s="847"/>
      <c r="AP179" s="847"/>
      <c r="AQ179" s="847"/>
      <c r="AR179" s="847"/>
      <c r="AS179" s="847">
        <f>AS178</f>
        <v>1.9354838709677417E-2</v>
      </c>
      <c r="AT179" s="847">
        <f>ROUND(C179*AS179,2)</f>
        <v>0</v>
      </c>
      <c r="AU179" s="847"/>
      <c r="AV179" s="847"/>
      <c r="AW179" s="847"/>
      <c r="AX179" s="847"/>
      <c r="AY179" s="847"/>
      <c r="AZ179" s="847"/>
      <c r="BA179" s="847"/>
      <c r="BB179" s="847"/>
      <c r="BC179" s="847"/>
      <c r="BD179" s="847"/>
      <c r="BE179" s="847"/>
      <c r="BF179" s="847"/>
      <c r="BG179" s="847"/>
      <c r="BH179" s="847"/>
      <c r="BI179" s="847"/>
      <c r="BJ179" s="847"/>
      <c r="BK179" s="847"/>
      <c r="BL179" s="847"/>
      <c r="BM179" s="847"/>
      <c r="BN179" s="847"/>
      <c r="BO179" s="847"/>
      <c r="BP179" s="847"/>
      <c r="BQ179" s="847"/>
      <c r="BR179" s="847"/>
      <c r="BS179" s="847"/>
      <c r="BT179" s="847"/>
      <c r="BU179" s="847"/>
      <c r="BV179" s="847"/>
      <c r="BW179" s="847"/>
      <c r="BX179" s="847"/>
      <c r="BY179" s="847"/>
      <c r="BZ179" s="847"/>
      <c r="CA179" s="847"/>
      <c r="CB179" s="847"/>
      <c r="CC179" s="847"/>
      <c r="CD179" s="847"/>
      <c r="CE179" s="847"/>
      <c r="CF179" s="847"/>
      <c r="CG179" s="847"/>
      <c r="CH179" s="847"/>
      <c r="CI179" s="847"/>
      <c r="CJ179" s="847"/>
      <c r="CK179" s="847"/>
      <c r="CL179" s="847"/>
      <c r="CM179" s="847"/>
      <c r="CN179" s="847"/>
      <c r="CO179" s="847"/>
      <c r="CP179" s="847"/>
      <c r="CQ179" s="847"/>
      <c r="CR179" s="847"/>
      <c r="CS179" s="847"/>
      <c r="CT179" s="847"/>
      <c r="CU179" s="847"/>
      <c r="CV179" s="847"/>
      <c r="CW179" s="847"/>
      <c r="CX179" s="847"/>
      <c r="CY179" s="847"/>
      <c r="CZ179" s="847"/>
      <c r="DA179" s="847"/>
      <c r="DB179" s="847"/>
      <c r="DC179" s="847"/>
      <c r="DD179" s="847"/>
      <c r="DE179" s="847"/>
      <c r="DF179" s="847"/>
      <c r="DG179" s="847"/>
      <c r="DH179" s="847"/>
      <c r="DI179" s="847"/>
      <c r="DJ179" s="847"/>
      <c r="DK179" s="847"/>
      <c r="DL179" s="847"/>
      <c r="DM179" s="1212"/>
      <c r="DN179" s="1222">
        <f>DN178+DN178*3%</f>
        <v>0.22405268817204302</v>
      </c>
      <c r="DO179" s="1013">
        <f>ROUND(C179*DN179,2)</f>
        <v>0</v>
      </c>
      <c r="DP179" s="847"/>
      <c r="DQ179" s="1013"/>
      <c r="DR179" s="847">
        <f>DR178+DR178*3%</f>
        <v>0.1545</v>
      </c>
      <c r="DS179" s="1013">
        <f>ROUND(C179*DR179,2)</f>
        <v>0</v>
      </c>
      <c r="DT179" s="1225"/>
      <c r="DU179" s="1214"/>
      <c r="DV179" s="1242"/>
      <c r="DW179" s="1232"/>
      <c r="DX179" s="1222"/>
      <c r="DY179" s="847"/>
      <c r="DZ179" s="847"/>
      <c r="EA179" s="847"/>
      <c r="EB179" s="847"/>
      <c r="EC179" s="847"/>
      <c r="ED179" s="847"/>
      <c r="EE179" s="847"/>
      <c r="EF179" s="847"/>
      <c r="EG179" s="1212"/>
      <c r="EH179" s="847"/>
      <c r="EI179" s="1212"/>
    </row>
    <row r="180" spans="1:139" s="733" customFormat="1" ht="13.5">
      <c r="A180" s="1009">
        <v>58</v>
      </c>
      <c r="B180" s="1212" t="s">
        <v>1599</v>
      </c>
      <c r="C180" s="1213">
        <v>0</v>
      </c>
      <c r="D180" s="1013" t="s">
        <v>92</v>
      </c>
      <c r="E180" s="847"/>
      <c r="F180" s="1013"/>
      <c r="G180" s="1013"/>
      <c r="H180" s="1013"/>
      <c r="I180" s="847"/>
      <c r="J180" s="1013"/>
      <c r="K180" s="847"/>
      <c r="L180" s="1013"/>
      <c r="M180" s="847"/>
      <c r="N180" s="1013"/>
      <c r="O180" s="847"/>
      <c r="P180" s="1013"/>
      <c r="Q180" s="847"/>
      <c r="R180" s="847"/>
      <c r="S180" s="847"/>
      <c r="T180" s="847"/>
      <c r="U180" s="847"/>
      <c r="V180" s="847"/>
      <c r="W180" s="847"/>
      <c r="X180" s="847"/>
      <c r="Y180" s="847"/>
      <c r="Z180" s="847"/>
      <c r="AA180" s="847"/>
      <c r="AB180" s="847"/>
      <c r="AC180" s="847"/>
      <c r="AD180" s="847"/>
      <c r="AE180" s="847"/>
      <c r="AF180" s="847"/>
      <c r="AG180" s="847"/>
      <c r="AH180" s="847"/>
      <c r="AI180" s="847"/>
      <c r="AJ180" s="847"/>
      <c r="AK180" s="847"/>
      <c r="AL180" s="847"/>
      <c r="AM180" s="847"/>
      <c r="AN180" s="847"/>
      <c r="AO180" s="847"/>
      <c r="AP180" s="847"/>
      <c r="AQ180" s="847"/>
      <c r="AR180" s="847"/>
      <c r="AS180" s="847"/>
      <c r="AT180" s="847"/>
      <c r="AU180" s="847"/>
      <c r="AV180" s="847"/>
      <c r="AW180" s="847"/>
      <c r="AX180" s="847"/>
      <c r="AY180" s="847"/>
      <c r="AZ180" s="847"/>
      <c r="BA180" s="847"/>
      <c r="BB180" s="847"/>
      <c r="BC180" s="847"/>
      <c r="BD180" s="847"/>
      <c r="BE180" s="847"/>
      <c r="BF180" s="847"/>
      <c r="BG180" s="847"/>
      <c r="BH180" s="847"/>
      <c r="BI180" s="847"/>
      <c r="BJ180" s="847"/>
      <c r="BK180" s="847"/>
      <c r="BL180" s="847"/>
      <c r="BM180" s="847"/>
      <c r="BN180" s="847"/>
      <c r="BO180" s="847"/>
      <c r="BP180" s="847"/>
      <c r="BQ180" s="847"/>
      <c r="BR180" s="847"/>
      <c r="BS180" s="847"/>
      <c r="BT180" s="847"/>
      <c r="BU180" s="847"/>
      <c r="BV180" s="847"/>
      <c r="BW180" s="847"/>
      <c r="BX180" s="847"/>
      <c r="BY180" s="847"/>
      <c r="BZ180" s="847"/>
      <c r="CA180" s="847"/>
      <c r="CB180" s="847"/>
      <c r="CC180" s="847"/>
      <c r="CD180" s="847"/>
      <c r="CE180" s="847"/>
      <c r="CF180" s="847"/>
      <c r="CG180" s="847"/>
      <c r="CH180" s="847"/>
      <c r="CI180" s="847"/>
      <c r="CJ180" s="847"/>
      <c r="CK180" s="847"/>
      <c r="CL180" s="847"/>
      <c r="CM180" s="847"/>
      <c r="CN180" s="847"/>
      <c r="CO180" s="847"/>
      <c r="CP180" s="847"/>
      <c r="CQ180" s="847"/>
      <c r="CR180" s="847"/>
      <c r="CS180" s="847"/>
      <c r="CT180" s="847"/>
      <c r="CU180" s="847"/>
      <c r="CV180" s="847"/>
      <c r="CW180" s="847"/>
      <c r="CX180" s="847"/>
      <c r="CY180" s="847"/>
      <c r="CZ180" s="847"/>
      <c r="DA180" s="847"/>
      <c r="DB180" s="847"/>
      <c r="DC180" s="847"/>
      <c r="DD180" s="847"/>
      <c r="DE180" s="847"/>
      <c r="DF180" s="847"/>
      <c r="DG180" s="847"/>
      <c r="DH180" s="847"/>
      <c r="DI180" s="847"/>
      <c r="DJ180" s="847"/>
      <c r="DK180" s="847"/>
      <c r="DL180" s="847"/>
      <c r="DM180" s="1212"/>
      <c r="DN180" s="1222"/>
      <c r="DO180" s="1013"/>
      <c r="DP180" s="847"/>
      <c r="DQ180" s="1013"/>
      <c r="DR180" s="1225"/>
      <c r="DS180" s="1013"/>
      <c r="DT180" s="1225"/>
      <c r="DU180" s="1214"/>
      <c r="DV180" s="1242"/>
      <c r="DW180" s="1232"/>
      <c r="DX180" s="1222"/>
      <c r="DY180" s="847"/>
      <c r="DZ180" s="847"/>
      <c r="EA180" s="847"/>
      <c r="EB180" s="847"/>
      <c r="EC180" s="847"/>
      <c r="ED180" s="847"/>
      <c r="EE180" s="847"/>
      <c r="EF180" s="847"/>
      <c r="EG180" s="1212"/>
      <c r="EH180" s="847"/>
      <c r="EI180" s="1212"/>
    </row>
    <row r="181" spans="1:139" s="733" customFormat="1" ht="13.5">
      <c r="A181" s="1009"/>
      <c r="B181" s="1212" t="s">
        <v>2066</v>
      </c>
      <c r="C181" s="1213">
        <v>0</v>
      </c>
      <c r="D181" s="1013" t="s">
        <v>92</v>
      </c>
      <c r="E181" s="847"/>
      <c r="F181" s="1013"/>
      <c r="G181" s="1225">
        <f>'Lead &amp; ANALYSIS'!G3626</f>
        <v>1.7999999999999999E-2</v>
      </c>
      <c r="H181" s="1013">
        <f>ROUND(C181*G181,2)</f>
        <v>0</v>
      </c>
      <c r="I181" s="847"/>
      <c r="J181" s="1013"/>
      <c r="K181" s="847">
        <f>'Lead &amp; ANALYSIS'!G3627</f>
        <v>4.2999999999999997E-2</v>
      </c>
      <c r="L181" s="1013">
        <f>ROUND(C181*K181,2)</f>
        <v>0</v>
      </c>
      <c r="M181" s="847"/>
      <c r="N181" s="1013"/>
      <c r="O181" s="847"/>
      <c r="P181" s="1013"/>
      <c r="Q181" s="847"/>
      <c r="R181" s="847"/>
      <c r="S181" s="847"/>
      <c r="T181" s="847"/>
      <c r="U181" s="847"/>
      <c r="V181" s="847"/>
      <c r="W181" s="847"/>
      <c r="X181" s="847"/>
      <c r="Y181" s="847"/>
      <c r="Z181" s="847"/>
      <c r="AA181" s="847"/>
      <c r="AB181" s="847"/>
      <c r="AC181" s="847"/>
      <c r="AD181" s="847"/>
      <c r="AE181" s="847"/>
      <c r="AF181" s="847"/>
      <c r="AG181" s="847"/>
      <c r="AH181" s="847"/>
      <c r="AI181" s="847"/>
      <c r="AJ181" s="847"/>
      <c r="AK181" s="847"/>
      <c r="AL181" s="847"/>
      <c r="AM181" s="847"/>
      <c r="AN181" s="847"/>
      <c r="AO181" s="847"/>
      <c r="AP181" s="847"/>
      <c r="AQ181" s="847"/>
      <c r="AR181" s="847"/>
      <c r="AS181" s="847"/>
      <c r="AT181" s="847"/>
      <c r="AU181" s="847"/>
      <c r="AV181" s="847"/>
      <c r="AW181" s="847"/>
      <c r="AX181" s="847"/>
      <c r="AY181" s="847"/>
      <c r="AZ181" s="847"/>
      <c r="BA181" s="847"/>
      <c r="BB181" s="847"/>
      <c r="BC181" s="847"/>
      <c r="BD181" s="847"/>
      <c r="BE181" s="847"/>
      <c r="BF181" s="847"/>
      <c r="BG181" s="847"/>
      <c r="BH181" s="847"/>
      <c r="BI181" s="847"/>
      <c r="BJ181" s="847"/>
      <c r="BK181" s="847"/>
      <c r="BL181" s="847"/>
      <c r="BM181" s="847"/>
      <c r="BN181" s="847"/>
      <c r="BO181" s="847"/>
      <c r="BP181" s="847"/>
      <c r="BQ181" s="847"/>
      <c r="BR181" s="847"/>
      <c r="BS181" s="847"/>
      <c r="BT181" s="847"/>
      <c r="BU181" s="847"/>
      <c r="BV181" s="847"/>
      <c r="BW181" s="847"/>
      <c r="BX181" s="847"/>
      <c r="BY181" s="847"/>
      <c r="BZ181" s="847"/>
      <c r="CA181" s="847"/>
      <c r="CB181" s="847"/>
      <c r="CC181" s="847"/>
      <c r="CD181" s="847"/>
      <c r="CE181" s="847"/>
      <c r="CF181" s="847"/>
      <c r="CG181" s="847"/>
      <c r="CH181" s="847"/>
      <c r="CI181" s="847"/>
      <c r="CJ181" s="847"/>
      <c r="CK181" s="847"/>
      <c r="CL181" s="847"/>
      <c r="CM181" s="847"/>
      <c r="CN181" s="847"/>
      <c r="CO181" s="847"/>
      <c r="CP181" s="847"/>
      <c r="CQ181" s="847"/>
      <c r="CR181" s="847"/>
      <c r="CS181" s="847"/>
      <c r="CT181" s="847"/>
      <c r="CU181" s="847"/>
      <c r="CV181" s="847"/>
      <c r="CW181" s="847"/>
      <c r="CX181" s="847"/>
      <c r="CY181" s="847"/>
      <c r="CZ181" s="847"/>
      <c r="DA181" s="847"/>
      <c r="DB181" s="847"/>
      <c r="DC181" s="847"/>
      <c r="DD181" s="847"/>
      <c r="DE181" s="847"/>
      <c r="DF181" s="847"/>
      <c r="DG181" s="847"/>
      <c r="DH181" s="847"/>
      <c r="DI181" s="847"/>
      <c r="DJ181" s="847"/>
      <c r="DK181" s="847"/>
      <c r="DL181" s="847"/>
      <c r="DM181" s="1212"/>
      <c r="DN181" s="1222">
        <f>'Lead &amp; ANALYSIS'!G3631</f>
        <v>0.24</v>
      </c>
      <c r="DO181" s="1013">
        <f>ROUND(C181*DN181,2)</f>
        <v>0</v>
      </c>
      <c r="DP181" s="847"/>
      <c r="DQ181" s="1013"/>
      <c r="DR181" s="1225">
        <f>'Lead &amp; ANALYSIS'!G3630</f>
        <v>0.16</v>
      </c>
      <c r="DS181" s="1013">
        <f>ROUND(C181*DR181,2)</f>
        <v>0</v>
      </c>
      <c r="DT181" s="1225"/>
      <c r="DU181" s="1214"/>
      <c r="DV181" s="1242"/>
      <c r="DW181" s="1232"/>
      <c r="DX181" s="1222"/>
      <c r="DY181" s="847"/>
      <c r="DZ181" s="847"/>
      <c r="EA181" s="847"/>
      <c r="EB181" s="847"/>
      <c r="EC181" s="847"/>
      <c r="ED181" s="847"/>
      <c r="EE181" s="847"/>
      <c r="EF181" s="847"/>
      <c r="EG181" s="1212"/>
      <c r="EH181" s="847"/>
      <c r="EI181" s="1212"/>
    </row>
    <row r="182" spans="1:139" s="733" customFormat="1" ht="13.5">
      <c r="A182" s="1009"/>
      <c r="B182" s="1212" t="s">
        <v>2067</v>
      </c>
      <c r="C182" s="1213">
        <v>0</v>
      </c>
      <c r="D182" s="1013" t="s">
        <v>92</v>
      </c>
      <c r="E182" s="847"/>
      <c r="F182" s="1013"/>
      <c r="G182" s="1225">
        <f>G181</f>
        <v>1.7999999999999999E-2</v>
      </c>
      <c r="H182" s="1013">
        <f>ROUND(C182*G182,2)</f>
        <v>0</v>
      </c>
      <c r="I182" s="847"/>
      <c r="J182" s="1013"/>
      <c r="K182" s="847">
        <f>K181</f>
        <v>4.2999999999999997E-2</v>
      </c>
      <c r="L182" s="1013">
        <f>ROUND(C182*K182,2)</f>
        <v>0</v>
      </c>
      <c r="M182" s="847"/>
      <c r="N182" s="1013"/>
      <c r="O182" s="847"/>
      <c r="P182" s="1013"/>
      <c r="Q182" s="847"/>
      <c r="R182" s="847"/>
      <c r="S182" s="847"/>
      <c r="T182" s="847"/>
      <c r="U182" s="847"/>
      <c r="V182" s="847"/>
      <c r="W182" s="847"/>
      <c r="X182" s="847"/>
      <c r="Y182" s="847"/>
      <c r="Z182" s="847"/>
      <c r="AA182" s="847"/>
      <c r="AB182" s="847"/>
      <c r="AC182" s="847"/>
      <c r="AD182" s="847"/>
      <c r="AE182" s="847"/>
      <c r="AF182" s="847"/>
      <c r="AG182" s="847"/>
      <c r="AH182" s="847"/>
      <c r="AI182" s="847"/>
      <c r="AJ182" s="847"/>
      <c r="AK182" s="847"/>
      <c r="AL182" s="847"/>
      <c r="AM182" s="847"/>
      <c r="AN182" s="847"/>
      <c r="AO182" s="847"/>
      <c r="AP182" s="847"/>
      <c r="AQ182" s="847"/>
      <c r="AR182" s="847"/>
      <c r="AS182" s="847"/>
      <c r="AT182" s="847"/>
      <c r="AU182" s="847"/>
      <c r="AV182" s="847"/>
      <c r="AW182" s="847"/>
      <c r="AX182" s="847"/>
      <c r="AY182" s="847"/>
      <c r="AZ182" s="847"/>
      <c r="BA182" s="847"/>
      <c r="BB182" s="847"/>
      <c r="BC182" s="847"/>
      <c r="BD182" s="847"/>
      <c r="BE182" s="847"/>
      <c r="BF182" s="847"/>
      <c r="BG182" s="847"/>
      <c r="BH182" s="847"/>
      <c r="BI182" s="847"/>
      <c r="BJ182" s="847"/>
      <c r="BK182" s="847"/>
      <c r="BL182" s="847"/>
      <c r="BM182" s="847"/>
      <c r="BN182" s="847"/>
      <c r="BO182" s="847"/>
      <c r="BP182" s="847"/>
      <c r="BQ182" s="847"/>
      <c r="BR182" s="847"/>
      <c r="BS182" s="847"/>
      <c r="BT182" s="847"/>
      <c r="BU182" s="847"/>
      <c r="BV182" s="847"/>
      <c r="BW182" s="847"/>
      <c r="BX182" s="847"/>
      <c r="BY182" s="847"/>
      <c r="BZ182" s="847"/>
      <c r="CA182" s="847"/>
      <c r="CB182" s="847"/>
      <c r="CC182" s="847"/>
      <c r="CD182" s="847"/>
      <c r="CE182" s="847"/>
      <c r="CF182" s="847"/>
      <c r="CG182" s="847"/>
      <c r="CH182" s="847"/>
      <c r="CI182" s="847"/>
      <c r="CJ182" s="847"/>
      <c r="CK182" s="847"/>
      <c r="CL182" s="847"/>
      <c r="CM182" s="847"/>
      <c r="CN182" s="847"/>
      <c r="CO182" s="847"/>
      <c r="CP182" s="847"/>
      <c r="CQ182" s="847"/>
      <c r="CR182" s="847"/>
      <c r="CS182" s="847"/>
      <c r="CT182" s="847"/>
      <c r="CU182" s="847"/>
      <c r="CV182" s="847"/>
      <c r="CW182" s="847"/>
      <c r="CX182" s="847"/>
      <c r="CY182" s="847"/>
      <c r="CZ182" s="847"/>
      <c r="DA182" s="847"/>
      <c r="DB182" s="847"/>
      <c r="DC182" s="847"/>
      <c r="DD182" s="847"/>
      <c r="DE182" s="847"/>
      <c r="DF182" s="847"/>
      <c r="DG182" s="847"/>
      <c r="DH182" s="847"/>
      <c r="DI182" s="847"/>
      <c r="DJ182" s="847"/>
      <c r="DK182" s="847"/>
      <c r="DL182" s="847"/>
      <c r="DM182" s="1212"/>
      <c r="DN182" s="1222">
        <f>DN181+DN181*3%</f>
        <v>0.2472</v>
      </c>
      <c r="DO182" s="1013">
        <f>ROUND(C182*DN182,2)</f>
        <v>0</v>
      </c>
      <c r="DP182" s="847"/>
      <c r="DQ182" s="1013"/>
      <c r="DR182" s="847">
        <f>DR181+DR181*3%</f>
        <v>0.1648</v>
      </c>
      <c r="DS182" s="1013">
        <f>ROUND(C182*DR182,2)</f>
        <v>0</v>
      </c>
      <c r="DT182" s="1225"/>
      <c r="DU182" s="1214"/>
      <c r="DV182" s="1242"/>
      <c r="DW182" s="1232"/>
      <c r="DX182" s="1222"/>
      <c r="DY182" s="847"/>
      <c r="DZ182" s="847"/>
      <c r="EA182" s="847"/>
      <c r="EB182" s="847"/>
      <c r="EC182" s="847"/>
      <c r="ED182" s="847"/>
      <c r="EE182" s="847"/>
      <c r="EF182" s="847"/>
      <c r="EG182" s="1212"/>
      <c r="EH182" s="847"/>
      <c r="EI182" s="1212"/>
    </row>
    <row r="183" spans="1:139" s="733" customFormat="1" ht="13.5">
      <c r="A183" s="1009">
        <v>59</v>
      </c>
      <c r="B183" s="1212" t="s">
        <v>3052</v>
      </c>
      <c r="C183" s="1213">
        <v>0</v>
      </c>
      <c r="D183" s="1013" t="s">
        <v>92</v>
      </c>
      <c r="E183" s="847"/>
      <c r="F183" s="1013"/>
      <c r="G183" s="1225"/>
      <c r="H183" s="1013"/>
      <c r="I183" s="847"/>
      <c r="J183" s="1013"/>
      <c r="K183" s="847"/>
      <c r="L183" s="1013"/>
      <c r="M183" s="847"/>
      <c r="N183" s="1013"/>
      <c r="O183" s="847"/>
      <c r="P183" s="1013"/>
      <c r="Q183" s="847"/>
      <c r="R183" s="847"/>
      <c r="S183" s="847"/>
      <c r="T183" s="847"/>
      <c r="U183" s="847"/>
      <c r="V183" s="847"/>
      <c r="W183" s="847"/>
      <c r="X183" s="847"/>
      <c r="Y183" s="847"/>
      <c r="Z183" s="847"/>
      <c r="AA183" s="847"/>
      <c r="AB183" s="847"/>
      <c r="AC183" s="847"/>
      <c r="AD183" s="847"/>
      <c r="AE183" s="847"/>
      <c r="AF183" s="847"/>
      <c r="AG183" s="847"/>
      <c r="AH183" s="847"/>
      <c r="AI183" s="847"/>
      <c r="AJ183" s="847"/>
      <c r="AK183" s="847"/>
      <c r="AL183" s="847"/>
      <c r="AM183" s="847"/>
      <c r="AN183" s="847"/>
      <c r="AO183" s="847"/>
      <c r="AP183" s="847"/>
      <c r="AQ183" s="847"/>
      <c r="AR183" s="847"/>
      <c r="AS183" s="847"/>
      <c r="AT183" s="847"/>
      <c r="AU183" s="847"/>
      <c r="AV183" s="847"/>
      <c r="AW183" s="847"/>
      <c r="AX183" s="847"/>
      <c r="AY183" s="847"/>
      <c r="AZ183" s="847"/>
      <c r="BA183" s="847"/>
      <c r="BB183" s="847"/>
      <c r="BC183" s="847"/>
      <c r="BD183" s="847"/>
      <c r="BE183" s="847"/>
      <c r="BF183" s="847"/>
      <c r="BG183" s="847"/>
      <c r="BH183" s="847"/>
      <c r="BI183" s="847"/>
      <c r="BJ183" s="847"/>
      <c r="BK183" s="847"/>
      <c r="BL183" s="847"/>
      <c r="BM183" s="847"/>
      <c r="BN183" s="847"/>
      <c r="BO183" s="847"/>
      <c r="BP183" s="847"/>
      <c r="BQ183" s="847"/>
      <c r="BR183" s="847"/>
      <c r="BS183" s="847"/>
      <c r="BT183" s="847"/>
      <c r="BU183" s="847"/>
      <c r="BV183" s="847"/>
      <c r="BW183" s="847"/>
      <c r="BX183" s="847"/>
      <c r="BY183" s="847"/>
      <c r="BZ183" s="847"/>
      <c r="CA183" s="847"/>
      <c r="CB183" s="847"/>
      <c r="CC183" s="847"/>
      <c r="CD183" s="847"/>
      <c r="CE183" s="847"/>
      <c r="CF183" s="847"/>
      <c r="CG183" s="847"/>
      <c r="CH183" s="847"/>
      <c r="CI183" s="847"/>
      <c r="CJ183" s="847"/>
      <c r="CK183" s="847"/>
      <c r="CL183" s="847"/>
      <c r="CM183" s="847"/>
      <c r="CN183" s="847"/>
      <c r="CO183" s="847"/>
      <c r="CP183" s="847"/>
      <c r="CQ183" s="847"/>
      <c r="CR183" s="847"/>
      <c r="CS183" s="847"/>
      <c r="CT183" s="847"/>
      <c r="CU183" s="847"/>
      <c r="CV183" s="847"/>
      <c r="CW183" s="847"/>
      <c r="CX183" s="847"/>
      <c r="CY183" s="847"/>
      <c r="CZ183" s="847"/>
      <c r="DA183" s="847"/>
      <c r="DB183" s="847"/>
      <c r="DC183" s="847"/>
      <c r="DD183" s="847"/>
      <c r="DE183" s="847"/>
      <c r="DF183" s="847"/>
      <c r="DG183" s="847"/>
      <c r="DH183" s="847"/>
      <c r="DI183" s="847"/>
      <c r="DJ183" s="847"/>
      <c r="DK183" s="847"/>
      <c r="DL183" s="847"/>
      <c r="DM183" s="1212"/>
      <c r="DN183" s="1222"/>
      <c r="DO183" s="1013"/>
      <c r="DP183" s="847"/>
      <c r="DQ183" s="1013"/>
      <c r="DR183" s="1225"/>
      <c r="DS183" s="1013"/>
      <c r="DT183" s="1225"/>
      <c r="DU183" s="1214"/>
      <c r="DV183" s="1242"/>
      <c r="DW183" s="1232"/>
      <c r="DX183" s="1222"/>
      <c r="DY183" s="847"/>
      <c r="DZ183" s="847"/>
      <c r="EA183" s="847"/>
      <c r="EB183" s="847"/>
      <c r="EC183" s="847"/>
      <c r="ED183" s="847"/>
      <c r="EE183" s="847"/>
      <c r="EF183" s="847"/>
      <c r="EG183" s="1212"/>
      <c r="EH183" s="847"/>
      <c r="EI183" s="1212"/>
    </row>
    <row r="184" spans="1:139" s="733" customFormat="1" ht="13.5">
      <c r="A184" s="1009"/>
      <c r="B184" s="1212" t="s">
        <v>2066</v>
      </c>
      <c r="C184" s="1213">
        <v>0</v>
      </c>
      <c r="D184" s="1013" t="s">
        <v>92</v>
      </c>
      <c r="E184" s="847"/>
      <c r="F184" s="1013"/>
      <c r="G184" s="1225">
        <f>'Lead &amp; ANALYSIS'!G3671</f>
        <v>1.7999999999999999E-2</v>
      </c>
      <c r="H184" s="1013">
        <f>ROUND(C184*G184,2)</f>
        <v>0</v>
      </c>
      <c r="I184" s="847"/>
      <c r="J184" s="1013"/>
      <c r="K184" s="847">
        <f>'Lead &amp; ANALYSIS'!G3672</f>
        <v>5.4399999999999997E-2</v>
      </c>
      <c r="L184" s="1013">
        <f>ROUND(C184*K184,2)</f>
        <v>0</v>
      </c>
      <c r="M184" s="847"/>
      <c r="N184" s="1013"/>
      <c r="O184" s="847"/>
      <c r="P184" s="1013"/>
      <c r="Q184" s="847"/>
      <c r="R184" s="847"/>
      <c r="S184" s="847"/>
      <c r="T184" s="847"/>
      <c r="U184" s="847"/>
      <c r="V184" s="847"/>
      <c r="W184" s="847"/>
      <c r="X184" s="847"/>
      <c r="Y184" s="847"/>
      <c r="Z184" s="847"/>
      <c r="AA184" s="847"/>
      <c r="AB184" s="847"/>
      <c r="AC184" s="847"/>
      <c r="AD184" s="847"/>
      <c r="AE184" s="847"/>
      <c r="AF184" s="847"/>
      <c r="AG184" s="847"/>
      <c r="AH184" s="847"/>
      <c r="AI184" s="847"/>
      <c r="AJ184" s="847"/>
      <c r="AK184" s="847"/>
      <c r="AL184" s="847"/>
      <c r="AM184" s="847"/>
      <c r="AN184" s="847"/>
      <c r="AO184" s="847"/>
      <c r="AP184" s="847"/>
      <c r="AQ184" s="847"/>
      <c r="AR184" s="847"/>
      <c r="AS184" s="847"/>
      <c r="AT184" s="847"/>
      <c r="AU184" s="847"/>
      <c r="AV184" s="847"/>
      <c r="AW184" s="847"/>
      <c r="AX184" s="847"/>
      <c r="AY184" s="847"/>
      <c r="AZ184" s="847"/>
      <c r="BA184" s="847"/>
      <c r="BB184" s="847"/>
      <c r="BC184" s="847"/>
      <c r="BD184" s="847"/>
      <c r="BE184" s="847"/>
      <c r="BF184" s="847"/>
      <c r="BG184" s="847"/>
      <c r="BH184" s="847"/>
      <c r="BI184" s="847"/>
      <c r="BJ184" s="847"/>
      <c r="BK184" s="847"/>
      <c r="BL184" s="847"/>
      <c r="BM184" s="847"/>
      <c r="BN184" s="847"/>
      <c r="BO184" s="847"/>
      <c r="BP184" s="847"/>
      <c r="BQ184" s="847"/>
      <c r="BR184" s="847"/>
      <c r="BS184" s="847"/>
      <c r="BT184" s="847"/>
      <c r="BU184" s="847"/>
      <c r="BV184" s="847"/>
      <c r="BW184" s="847"/>
      <c r="BX184" s="847"/>
      <c r="BY184" s="847"/>
      <c r="BZ184" s="847"/>
      <c r="CA184" s="847"/>
      <c r="CB184" s="847"/>
      <c r="CC184" s="847"/>
      <c r="CD184" s="847"/>
      <c r="CE184" s="847"/>
      <c r="CF184" s="847"/>
      <c r="CG184" s="847"/>
      <c r="CH184" s="847"/>
      <c r="CI184" s="847"/>
      <c r="CJ184" s="847"/>
      <c r="CK184" s="847"/>
      <c r="CL184" s="847"/>
      <c r="CM184" s="847"/>
      <c r="CN184" s="847"/>
      <c r="CO184" s="847"/>
      <c r="CP184" s="847"/>
      <c r="CQ184" s="847"/>
      <c r="CR184" s="847"/>
      <c r="CS184" s="847"/>
      <c r="CT184" s="847"/>
      <c r="CU184" s="847"/>
      <c r="CV184" s="847"/>
      <c r="CW184" s="847"/>
      <c r="CX184" s="847"/>
      <c r="CY184" s="847"/>
      <c r="CZ184" s="847"/>
      <c r="DA184" s="847"/>
      <c r="DB184" s="847"/>
      <c r="DC184" s="847"/>
      <c r="DD184" s="847"/>
      <c r="DE184" s="847"/>
      <c r="DF184" s="847"/>
      <c r="DG184" s="847"/>
      <c r="DH184" s="847"/>
      <c r="DI184" s="847"/>
      <c r="DJ184" s="847"/>
      <c r="DK184" s="847"/>
      <c r="DL184" s="847"/>
      <c r="DM184" s="1212"/>
      <c r="DN184" s="1222">
        <f>'Lead &amp; ANALYSIS'!G3676</f>
        <v>0.26700000000000002</v>
      </c>
      <c r="DO184" s="1013">
        <f>ROUND(C184*DN184,2)</f>
        <v>0</v>
      </c>
      <c r="DP184" s="847"/>
      <c r="DQ184" s="1013"/>
      <c r="DR184" s="1225">
        <f>'Lead &amp; ANALYSIS'!G3675</f>
        <v>0.187</v>
      </c>
      <c r="DS184" s="1013">
        <f>ROUND(C184*DR184,2)</f>
        <v>0</v>
      </c>
      <c r="DT184" s="1225"/>
      <c r="DU184" s="1214"/>
      <c r="DV184" s="1242"/>
      <c r="DW184" s="1232"/>
      <c r="DX184" s="1222"/>
      <c r="DY184" s="847"/>
      <c r="DZ184" s="847"/>
      <c r="EA184" s="847"/>
      <c r="EB184" s="847"/>
      <c r="EC184" s="847"/>
      <c r="ED184" s="847"/>
      <c r="EE184" s="847"/>
      <c r="EF184" s="847"/>
      <c r="EG184" s="1212"/>
      <c r="EH184" s="847"/>
      <c r="EI184" s="1212"/>
    </row>
    <row r="185" spans="1:139" s="733" customFormat="1" ht="13.5">
      <c r="A185" s="1009"/>
      <c r="B185" s="1212" t="s">
        <v>2067</v>
      </c>
      <c r="C185" s="1213">
        <v>0</v>
      </c>
      <c r="D185" s="1013" t="s">
        <v>92</v>
      </c>
      <c r="E185" s="847"/>
      <c r="F185" s="1013"/>
      <c r="G185" s="1225">
        <f>G184</f>
        <v>1.7999999999999999E-2</v>
      </c>
      <c r="H185" s="1013">
        <f>ROUND(C185*G185,2)</f>
        <v>0</v>
      </c>
      <c r="I185" s="847"/>
      <c r="J185" s="1013"/>
      <c r="K185" s="847">
        <f>K184</f>
        <v>5.4399999999999997E-2</v>
      </c>
      <c r="L185" s="1013">
        <f>ROUND(C185*K185,2)</f>
        <v>0</v>
      </c>
      <c r="M185" s="847"/>
      <c r="N185" s="1013"/>
      <c r="O185" s="847"/>
      <c r="P185" s="1013"/>
      <c r="Q185" s="847"/>
      <c r="R185" s="847"/>
      <c r="S185" s="847"/>
      <c r="T185" s="847"/>
      <c r="U185" s="847"/>
      <c r="V185" s="847"/>
      <c r="W185" s="847"/>
      <c r="X185" s="847"/>
      <c r="Y185" s="847"/>
      <c r="Z185" s="847"/>
      <c r="AA185" s="847"/>
      <c r="AB185" s="847"/>
      <c r="AC185" s="847"/>
      <c r="AD185" s="847"/>
      <c r="AE185" s="847"/>
      <c r="AF185" s="847"/>
      <c r="AG185" s="847"/>
      <c r="AH185" s="847"/>
      <c r="AI185" s="847"/>
      <c r="AJ185" s="847"/>
      <c r="AK185" s="847"/>
      <c r="AL185" s="847"/>
      <c r="AM185" s="847"/>
      <c r="AN185" s="847"/>
      <c r="AO185" s="847"/>
      <c r="AP185" s="847"/>
      <c r="AQ185" s="847"/>
      <c r="AR185" s="847"/>
      <c r="AS185" s="847"/>
      <c r="AT185" s="847"/>
      <c r="AU185" s="847"/>
      <c r="AV185" s="847"/>
      <c r="AW185" s="847"/>
      <c r="AX185" s="847"/>
      <c r="AY185" s="847"/>
      <c r="AZ185" s="847"/>
      <c r="BA185" s="847"/>
      <c r="BB185" s="847"/>
      <c r="BC185" s="847"/>
      <c r="BD185" s="847"/>
      <c r="BE185" s="847"/>
      <c r="BF185" s="847"/>
      <c r="BG185" s="847"/>
      <c r="BH185" s="847"/>
      <c r="BI185" s="847"/>
      <c r="BJ185" s="847"/>
      <c r="BK185" s="847"/>
      <c r="BL185" s="847"/>
      <c r="BM185" s="847"/>
      <c r="BN185" s="847"/>
      <c r="BO185" s="847"/>
      <c r="BP185" s="847"/>
      <c r="BQ185" s="847"/>
      <c r="BR185" s="847"/>
      <c r="BS185" s="847"/>
      <c r="BT185" s="847"/>
      <c r="BU185" s="847"/>
      <c r="BV185" s="847"/>
      <c r="BW185" s="847"/>
      <c r="BX185" s="847"/>
      <c r="BY185" s="847"/>
      <c r="BZ185" s="847"/>
      <c r="CA185" s="847"/>
      <c r="CB185" s="847"/>
      <c r="CC185" s="847"/>
      <c r="CD185" s="847"/>
      <c r="CE185" s="847"/>
      <c r="CF185" s="847"/>
      <c r="CG185" s="847"/>
      <c r="CH185" s="847"/>
      <c r="CI185" s="847"/>
      <c r="CJ185" s="847"/>
      <c r="CK185" s="847"/>
      <c r="CL185" s="847"/>
      <c r="CM185" s="847"/>
      <c r="CN185" s="847"/>
      <c r="CO185" s="847"/>
      <c r="CP185" s="847"/>
      <c r="CQ185" s="847"/>
      <c r="CR185" s="847"/>
      <c r="CS185" s="847"/>
      <c r="CT185" s="847"/>
      <c r="CU185" s="847"/>
      <c r="CV185" s="847"/>
      <c r="CW185" s="847"/>
      <c r="CX185" s="847"/>
      <c r="CY185" s="847"/>
      <c r="CZ185" s="847"/>
      <c r="DA185" s="847"/>
      <c r="DB185" s="847"/>
      <c r="DC185" s="847"/>
      <c r="DD185" s="847"/>
      <c r="DE185" s="847"/>
      <c r="DF185" s="847"/>
      <c r="DG185" s="847"/>
      <c r="DH185" s="847"/>
      <c r="DI185" s="847"/>
      <c r="DJ185" s="847"/>
      <c r="DK185" s="847"/>
      <c r="DL185" s="847"/>
      <c r="DM185" s="1212"/>
      <c r="DN185" s="1222">
        <f>DN184+DN184*3%</f>
        <v>0.27501000000000003</v>
      </c>
      <c r="DO185" s="1013">
        <f>ROUND(C185*DN185,2)</f>
        <v>0</v>
      </c>
      <c r="DP185" s="847"/>
      <c r="DQ185" s="1013"/>
      <c r="DR185" s="847">
        <f>DR184+DR184*3%</f>
        <v>0.19261</v>
      </c>
      <c r="DS185" s="1013">
        <f>ROUND(C185*DR185,2)</f>
        <v>0</v>
      </c>
      <c r="DT185" s="1225"/>
      <c r="DU185" s="1214"/>
      <c r="DV185" s="1242"/>
      <c r="DW185" s="1232"/>
      <c r="DX185" s="1222"/>
      <c r="DY185" s="847"/>
      <c r="DZ185" s="847"/>
      <c r="EA185" s="847"/>
      <c r="EB185" s="847"/>
      <c r="EC185" s="847"/>
      <c r="ED185" s="847"/>
      <c r="EE185" s="847"/>
      <c r="EF185" s="847"/>
      <c r="EG185" s="1212"/>
      <c r="EH185" s="847"/>
      <c r="EI185" s="1212"/>
    </row>
    <row r="186" spans="1:139" s="733" customFormat="1" ht="13.5">
      <c r="A186" s="1009">
        <v>60</v>
      </c>
      <c r="B186" s="1212" t="s">
        <v>3053</v>
      </c>
      <c r="C186" s="1213">
        <v>0</v>
      </c>
      <c r="D186" s="1013" t="s">
        <v>92</v>
      </c>
      <c r="E186" s="847"/>
      <c r="F186" s="1013"/>
      <c r="G186" s="1013"/>
      <c r="H186" s="1013"/>
      <c r="I186" s="847"/>
      <c r="J186" s="1013"/>
      <c r="K186" s="847"/>
      <c r="L186" s="1013"/>
      <c r="M186" s="847"/>
      <c r="N186" s="1013"/>
      <c r="O186" s="847"/>
      <c r="P186" s="1013"/>
      <c r="Q186" s="847"/>
      <c r="R186" s="847"/>
      <c r="S186" s="847"/>
      <c r="T186" s="847"/>
      <c r="U186" s="847"/>
      <c r="V186" s="847"/>
      <c r="W186" s="847"/>
      <c r="X186" s="847"/>
      <c r="Y186" s="847"/>
      <c r="Z186" s="847"/>
      <c r="AA186" s="847"/>
      <c r="AB186" s="847"/>
      <c r="AC186" s="847"/>
      <c r="AD186" s="847"/>
      <c r="AE186" s="847"/>
      <c r="AF186" s="847"/>
      <c r="AG186" s="847"/>
      <c r="AH186" s="847"/>
      <c r="AI186" s="847"/>
      <c r="AJ186" s="847"/>
      <c r="AK186" s="847"/>
      <c r="AL186" s="847"/>
      <c r="AM186" s="847"/>
      <c r="AN186" s="847"/>
      <c r="AO186" s="847"/>
      <c r="AP186" s="847"/>
      <c r="AQ186" s="847"/>
      <c r="AR186" s="847"/>
      <c r="AS186" s="847"/>
      <c r="AT186" s="847"/>
      <c r="AU186" s="847"/>
      <c r="AV186" s="847"/>
      <c r="AW186" s="847"/>
      <c r="AX186" s="847"/>
      <c r="AY186" s="847"/>
      <c r="AZ186" s="847"/>
      <c r="BA186" s="847"/>
      <c r="BB186" s="847"/>
      <c r="BC186" s="847"/>
      <c r="BD186" s="847"/>
      <c r="BE186" s="847"/>
      <c r="BF186" s="847"/>
      <c r="BG186" s="847"/>
      <c r="BH186" s="847"/>
      <c r="BI186" s="847"/>
      <c r="BJ186" s="847"/>
      <c r="BK186" s="847"/>
      <c r="BL186" s="847"/>
      <c r="BM186" s="847"/>
      <c r="BN186" s="847"/>
      <c r="BO186" s="847"/>
      <c r="BP186" s="847"/>
      <c r="BQ186" s="847"/>
      <c r="BR186" s="847"/>
      <c r="BS186" s="847"/>
      <c r="BT186" s="847"/>
      <c r="BU186" s="847"/>
      <c r="BV186" s="847"/>
      <c r="BW186" s="847"/>
      <c r="BX186" s="847"/>
      <c r="BY186" s="847"/>
      <c r="BZ186" s="847"/>
      <c r="CA186" s="847"/>
      <c r="CB186" s="847"/>
      <c r="CC186" s="847"/>
      <c r="CD186" s="847"/>
      <c r="CE186" s="847"/>
      <c r="CF186" s="847"/>
      <c r="CG186" s="847"/>
      <c r="CH186" s="847"/>
      <c r="CI186" s="847"/>
      <c r="CJ186" s="847"/>
      <c r="CK186" s="847"/>
      <c r="CL186" s="847"/>
      <c r="CM186" s="847"/>
      <c r="CN186" s="847"/>
      <c r="CO186" s="847"/>
      <c r="CP186" s="847"/>
      <c r="CQ186" s="847"/>
      <c r="CR186" s="847"/>
      <c r="CS186" s="847"/>
      <c r="CT186" s="847"/>
      <c r="CU186" s="847"/>
      <c r="CV186" s="847"/>
      <c r="CW186" s="847"/>
      <c r="CX186" s="847"/>
      <c r="CY186" s="847"/>
      <c r="CZ186" s="847"/>
      <c r="DA186" s="847"/>
      <c r="DB186" s="847"/>
      <c r="DC186" s="847"/>
      <c r="DD186" s="847"/>
      <c r="DE186" s="847"/>
      <c r="DF186" s="847"/>
      <c r="DG186" s="847"/>
      <c r="DH186" s="847"/>
      <c r="DI186" s="847"/>
      <c r="DJ186" s="847"/>
      <c r="DK186" s="847"/>
      <c r="DL186" s="847"/>
      <c r="DM186" s="1212"/>
      <c r="DN186" s="1222"/>
      <c r="DO186" s="1013"/>
      <c r="DP186" s="847"/>
      <c r="DQ186" s="1013"/>
      <c r="DR186" s="1225"/>
      <c r="DS186" s="1013"/>
      <c r="DT186" s="1225"/>
      <c r="DU186" s="1214"/>
      <c r="DV186" s="1242"/>
      <c r="DW186" s="1232"/>
      <c r="DX186" s="1222"/>
      <c r="DY186" s="847"/>
      <c r="DZ186" s="847"/>
      <c r="EA186" s="847"/>
      <c r="EB186" s="847"/>
      <c r="EC186" s="847"/>
      <c r="ED186" s="847"/>
      <c r="EE186" s="847"/>
      <c r="EF186" s="847"/>
      <c r="EG186" s="1212"/>
      <c r="EH186" s="847"/>
      <c r="EI186" s="1212"/>
    </row>
    <row r="187" spans="1:139" s="733" customFormat="1" ht="13.5">
      <c r="A187" s="1009"/>
      <c r="B187" s="1212" t="s">
        <v>2066</v>
      </c>
      <c r="C187" s="1213">
        <v>0</v>
      </c>
      <c r="D187" s="1013" t="s">
        <v>92</v>
      </c>
      <c r="E187" s="847"/>
      <c r="F187" s="1013"/>
      <c r="G187" s="1236">
        <f>'Lead &amp; ANALYSIS'!G3717</f>
        <v>7.4999999999999997E-3</v>
      </c>
      <c r="H187" s="1013">
        <f>ROUND(C187*G187,2)</f>
        <v>0</v>
      </c>
      <c r="I187" s="847"/>
      <c r="J187" s="1013"/>
      <c r="K187" s="847">
        <f>'Lead &amp; ANALYSIS'!G3718</f>
        <v>3.7199999999999997E-2</v>
      </c>
      <c r="L187" s="1013">
        <f>ROUND(C187*K187,2)</f>
        <v>0</v>
      </c>
      <c r="M187" s="847"/>
      <c r="N187" s="1013"/>
      <c r="O187" s="847"/>
      <c r="P187" s="1013"/>
      <c r="Q187" s="847"/>
      <c r="R187" s="847"/>
      <c r="S187" s="847"/>
      <c r="T187" s="847"/>
      <c r="U187" s="847"/>
      <c r="V187" s="847"/>
      <c r="W187" s="847"/>
      <c r="X187" s="847"/>
      <c r="Y187" s="847"/>
      <c r="Z187" s="847"/>
      <c r="AA187" s="847"/>
      <c r="AB187" s="847"/>
      <c r="AC187" s="847"/>
      <c r="AD187" s="847"/>
      <c r="AE187" s="847"/>
      <c r="AF187" s="847"/>
      <c r="AG187" s="847"/>
      <c r="AH187" s="847"/>
      <c r="AI187" s="847"/>
      <c r="AJ187" s="847"/>
      <c r="AK187" s="847"/>
      <c r="AL187" s="847"/>
      <c r="AM187" s="847"/>
      <c r="AN187" s="847"/>
      <c r="AO187" s="847"/>
      <c r="AP187" s="847"/>
      <c r="AQ187" s="847"/>
      <c r="AR187" s="847"/>
      <c r="AS187" s="847"/>
      <c r="AT187" s="847"/>
      <c r="AU187" s="847"/>
      <c r="AV187" s="847"/>
      <c r="AW187" s="847"/>
      <c r="AX187" s="847"/>
      <c r="AY187" s="847"/>
      <c r="AZ187" s="847"/>
      <c r="BA187" s="847"/>
      <c r="BB187" s="847"/>
      <c r="BC187" s="847"/>
      <c r="BD187" s="847"/>
      <c r="BE187" s="847"/>
      <c r="BF187" s="847"/>
      <c r="BG187" s="847"/>
      <c r="BH187" s="847"/>
      <c r="BI187" s="847"/>
      <c r="BJ187" s="847"/>
      <c r="BK187" s="847"/>
      <c r="BL187" s="847"/>
      <c r="BM187" s="847"/>
      <c r="BN187" s="847"/>
      <c r="BO187" s="847"/>
      <c r="BP187" s="847"/>
      <c r="BQ187" s="847"/>
      <c r="BR187" s="847"/>
      <c r="BS187" s="847"/>
      <c r="BT187" s="847"/>
      <c r="BU187" s="847"/>
      <c r="BV187" s="847"/>
      <c r="BW187" s="847"/>
      <c r="BX187" s="847"/>
      <c r="BY187" s="847"/>
      <c r="BZ187" s="847"/>
      <c r="CA187" s="847"/>
      <c r="CB187" s="847"/>
      <c r="CC187" s="847"/>
      <c r="CD187" s="847"/>
      <c r="CE187" s="847"/>
      <c r="CF187" s="847"/>
      <c r="CG187" s="847"/>
      <c r="CH187" s="847"/>
      <c r="CI187" s="847"/>
      <c r="CJ187" s="847"/>
      <c r="CK187" s="847"/>
      <c r="CL187" s="847"/>
      <c r="CM187" s="847"/>
      <c r="CN187" s="847"/>
      <c r="CO187" s="847"/>
      <c r="CP187" s="847"/>
      <c r="CQ187" s="847"/>
      <c r="CR187" s="847"/>
      <c r="CS187" s="847"/>
      <c r="CT187" s="847"/>
      <c r="CU187" s="847"/>
      <c r="CV187" s="847"/>
      <c r="CW187" s="847"/>
      <c r="CX187" s="847"/>
      <c r="CY187" s="847"/>
      <c r="CZ187" s="847"/>
      <c r="DA187" s="847"/>
      <c r="DB187" s="847"/>
      <c r="DC187" s="847"/>
      <c r="DD187" s="847"/>
      <c r="DE187" s="847"/>
      <c r="DF187" s="847"/>
      <c r="DG187" s="847"/>
      <c r="DH187" s="847"/>
      <c r="DI187" s="847"/>
      <c r="DJ187" s="847"/>
      <c r="DK187" s="847"/>
      <c r="DL187" s="847"/>
      <c r="DM187" s="1212"/>
      <c r="DN187" s="1222">
        <f>'Lead &amp; ANALYSIS'!G3722</f>
        <v>0.17</v>
      </c>
      <c r="DO187" s="1013">
        <f>ROUND(C187*DN187,2)</f>
        <v>0</v>
      </c>
      <c r="DP187" s="847"/>
      <c r="DQ187" s="1013"/>
      <c r="DR187" s="1225">
        <f>'Lead &amp; ANALYSIS'!G3721</f>
        <v>0.14000000000000001</v>
      </c>
      <c r="DS187" s="1013">
        <f>ROUND(C187*DR187,2)</f>
        <v>0</v>
      </c>
      <c r="DT187" s="1225"/>
      <c r="DU187" s="1214"/>
      <c r="DV187" s="1242"/>
      <c r="DW187" s="1232"/>
      <c r="DX187" s="1222"/>
      <c r="DY187" s="847"/>
      <c r="DZ187" s="847"/>
      <c r="EA187" s="847"/>
      <c r="EB187" s="847"/>
      <c r="EC187" s="847"/>
      <c r="ED187" s="847"/>
      <c r="EE187" s="847"/>
      <c r="EF187" s="847"/>
      <c r="EG187" s="1212"/>
      <c r="EH187" s="847"/>
      <c r="EI187" s="1212"/>
    </row>
    <row r="188" spans="1:139" s="733" customFormat="1" ht="13.5">
      <c r="A188" s="1009"/>
      <c r="B188" s="1212" t="s">
        <v>2067</v>
      </c>
      <c r="C188" s="1213">
        <v>0</v>
      </c>
      <c r="D188" s="1013" t="s">
        <v>92</v>
      </c>
      <c r="E188" s="847"/>
      <c r="F188" s="1013"/>
      <c r="G188" s="1236">
        <f>G187</f>
        <v>7.4999999999999997E-3</v>
      </c>
      <c r="H188" s="1013">
        <f>ROUND(C188*G188,2)</f>
        <v>0</v>
      </c>
      <c r="I188" s="847"/>
      <c r="J188" s="1013"/>
      <c r="K188" s="847">
        <f>K187</f>
        <v>3.7199999999999997E-2</v>
      </c>
      <c r="L188" s="1013">
        <f>ROUND(C188*K188,2)</f>
        <v>0</v>
      </c>
      <c r="M188" s="847"/>
      <c r="N188" s="1013"/>
      <c r="O188" s="847"/>
      <c r="P188" s="1013"/>
      <c r="Q188" s="847"/>
      <c r="R188" s="847"/>
      <c r="S188" s="847"/>
      <c r="T188" s="847"/>
      <c r="U188" s="847"/>
      <c r="V188" s="847"/>
      <c r="W188" s="847"/>
      <c r="X188" s="847"/>
      <c r="Y188" s="847"/>
      <c r="Z188" s="847"/>
      <c r="AA188" s="847"/>
      <c r="AB188" s="847"/>
      <c r="AC188" s="847"/>
      <c r="AD188" s="847"/>
      <c r="AE188" s="847"/>
      <c r="AF188" s="847"/>
      <c r="AG188" s="847"/>
      <c r="AH188" s="847"/>
      <c r="AI188" s="847"/>
      <c r="AJ188" s="847"/>
      <c r="AK188" s="847"/>
      <c r="AL188" s="847"/>
      <c r="AM188" s="847"/>
      <c r="AN188" s="847"/>
      <c r="AO188" s="847"/>
      <c r="AP188" s="847"/>
      <c r="AQ188" s="847"/>
      <c r="AR188" s="847"/>
      <c r="AS188" s="847"/>
      <c r="AT188" s="847"/>
      <c r="AU188" s="847"/>
      <c r="AV188" s="847"/>
      <c r="AW188" s="847"/>
      <c r="AX188" s="847"/>
      <c r="AY188" s="847"/>
      <c r="AZ188" s="847"/>
      <c r="BA188" s="847"/>
      <c r="BB188" s="847"/>
      <c r="BC188" s="847"/>
      <c r="BD188" s="847"/>
      <c r="BE188" s="847"/>
      <c r="BF188" s="847"/>
      <c r="BG188" s="847"/>
      <c r="BH188" s="847"/>
      <c r="BI188" s="847"/>
      <c r="BJ188" s="847"/>
      <c r="BK188" s="847"/>
      <c r="BL188" s="847"/>
      <c r="BM188" s="847"/>
      <c r="BN188" s="847"/>
      <c r="BO188" s="847"/>
      <c r="BP188" s="847"/>
      <c r="BQ188" s="847"/>
      <c r="BR188" s="847"/>
      <c r="BS188" s="847"/>
      <c r="BT188" s="847"/>
      <c r="BU188" s="847"/>
      <c r="BV188" s="847"/>
      <c r="BW188" s="847"/>
      <c r="BX188" s="847"/>
      <c r="BY188" s="847"/>
      <c r="BZ188" s="847"/>
      <c r="CA188" s="847"/>
      <c r="CB188" s="847"/>
      <c r="CC188" s="847"/>
      <c r="CD188" s="847"/>
      <c r="CE188" s="847"/>
      <c r="CF188" s="847"/>
      <c r="CG188" s="847"/>
      <c r="CH188" s="847"/>
      <c r="CI188" s="847"/>
      <c r="CJ188" s="847"/>
      <c r="CK188" s="847"/>
      <c r="CL188" s="847"/>
      <c r="CM188" s="847"/>
      <c r="CN188" s="847"/>
      <c r="CO188" s="847"/>
      <c r="CP188" s="847"/>
      <c r="CQ188" s="847"/>
      <c r="CR188" s="847"/>
      <c r="CS188" s="847"/>
      <c r="CT188" s="847"/>
      <c r="CU188" s="847"/>
      <c r="CV188" s="847"/>
      <c r="CW188" s="847"/>
      <c r="CX188" s="847"/>
      <c r="CY188" s="847"/>
      <c r="CZ188" s="847"/>
      <c r="DA188" s="847"/>
      <c r="DB188" s="847"/>
      <c r="DC188" s="847"/>
      <c r="DD188" s="847"/>
      <c r="DE188" s="847"/>
      <c r="DF188" s="847"/>
      <c r="DG188" s="847"/>
      <c r="DH188" s="847"/>
      <c r="DI188" s="847"/>
      <c r="DJ188" s="847"/>
      <c r="DK188" s="847"/>
      <c r="DL188" s="847"/>
      <c r="DM188" s="1212"/>
      <c r="DN188" s="1222">
        <f>DN187+DN187*3%</f>
        <v>0.17510000000000001</v>
      </c>
      <c r="DO188" s="1013">
        <f>ROUND(C188*DN188,2)</f>
        <v>0</v>
      </c>
      <c r="DP188" s="847"/>
      <c r="DQ188" s="1013"/>
      <c r="DR188" s="847">
        <f>DR187+DR187*3%</f>
        <v>0.14420000000000002</v>
      </c>
      <c r="DS188" s="1013">
        <f>ROUND(C188*DR188,2)</f>
        <v>0</v>
      </c>
      <c r="DT188" s="1225"/>
      <c r="DU188" s="1214"/>
      <c r="DV188" s="1242"/>
      <c r="DW188" s="1232"/>
      <c r="DX188" s="1222"/>
      <c r="DY188" s="847"/>
      <c r="DZ188" s="847"/>
      <c r="EA188" s="847"/>
      <c r="EB188" s="847"/>
      <c r="EC188" s="847"/>
      <c r="ED188" s="847"/>
      <c r="EE188" s="847"/>
      <c r="EF188" s="847"/>
      <c r="EG188" s="1212"/>
      <c r="EH188" s="847"/>
      <c r="EI188" s="1212"/>
    </row>
    <row r="189" spans="1:139" s="733" customFormat="1" ht="13.5">
      <c r="A189" s="1009">
        <v>61</v>
      </c>
      <c r="B189" s="1212" t="s">
        <v>1600</v>
      </c>
      <c r="C189" s="1213">
        <v>0</v>
      </c>
      <c r="D189" s="1013" t="s">
        <v>92</v>
      </c>
      <c r="E189" s="847"/>
      <c r="F189" s="1013"/>
      <c r="G189" s="1225"/>
      <c r="H189" s="1013"/>
      <c r="I189" s="847"/>
      <c r="J189" s="1013"/>
      <c r="K189" s="847"/>
      <c r="L189" s="1013"/>
      <c r="M189" s="847"/>
      <c r="N189" s="1013"/>
      <c r="O189" s="847"/>
      <c r="P189" s="1013"/>
      <c r="Q189" s="847"/>
      <c r="R189" s="847"/>
      <c r="S189" s="847"/>
      <c r="T189" s="847"/>
      <c r="U189" s="847"/>
      <c r="V189" s="847"/>
      <c r="W189" s="847"/>
      <c r="X189" s="847"/>
      <c r="Y189" s="847"/>
      <c r="Z189" s="847"/>
      <c r="AA189" s="847"/>
      <c r="AB189" s="847"/>
      <c r="AC189" s="847"/>
      <c r="AD189" s="847"/>
      <c r="AE189" s="847"/>
      <c r="AF189" s="847"/>
      <c r="AG189" s="847"/>
      <c r="AH189" s="847"/>
      <c r="AI189" s="847"/>
      <c r="AJ189" s="847"/>
      <c r="AK189" s="847"/>
      <c r="AL189" s="847"/>
      <c r="AM189" s="847"/>
      <c r="AN189" s="847"/>
      <c r="AO189" s="847"/>
      <c r="AP189" s="847"/>
      <c r="AQ189" s="847"/>
      <c r="AR189" s="847"/>
      <c r="AS189" s="847"/>
      <c r="AT189" s="847"/>
      <c r="AU189" s="847"/>
      <c r="AV189" s="847"/>
      <c r="AW189" s="847"/>
      <c r="AX189" s="847"/>
      <c r="AY189" s="847"/>
      <c r="AZ189" s="847"/>
      <c r="BA189" s="847"/>
      <c r="BB189" s="847"/>
      <c r="BC189" s="847"/>
      <c r="BD189" s="847"/>
      <c r="BE189" s="847"/>
      <c r="BF189" s="847"/>
      <c r="BG189" s="847"/>
      <c r="BH189" s="847"/>
      <c r="BI189" s="847"/>
      <c r="BJ189" s="847"/>
      <c r="BK189" s="847"/>
      <c r="BL189" s="847"/>
      <c r="BM189" s="847"/>
      <c r="BN189" s="847"/>
      <c r="BO189" s="847"/>
      <c r="BP189" s="847"/>
      <c r="BQ189" s="847"/>
      <c r="BR189" s="847"/>
      <c r="BS189" s="847"/>
      <c r="BT189" s="847"/>
      <c r="BU189" s="847"/>
      <c r="BV189" s="847"/>
      <c r="BW189" s="847"/>
      <c r="BX189" s="847"/>
      <c r="BY189" s="847"/>
      <c r="BZ189" s="847"/>
      <c r="CA189" s="847"/>
      <c r="CB189" s="847"/>
      <c r="CC189" s="847"/>
      <c r="CD189" s="847"/>
      <c r="CE189" s="847"/>
      <c r="CF189" s="847"/>
      <c r="CG189" s="847"/>
      <c r="CH189" s="847"/>
      <c r="CI189" s="847"/>
      <c r="CJ189" s="847"/>
      <c r="CK189" s="847"/>
      <c r="CL189" s="847"/>
      <c r="CM189" s="847"/>
      <c r="CN189" s="847"/>
      <c r="CO189" s="847"/>
      <c r="CP189" s="847"/>
      <c r="CQ189" s="847"/>
      <c r="CR189" s="847"/>
      <c r="CS189" s="847"/>
      <c r="CT189" s="847"/>
      <c r="CU189" s="847"/>
      <c r="CV189" s="847"/>
      <c r="CW189" s="847"/>
      <c r="CX189" s="847"/>
      <c r="CY189" s="847"/>
      <c r="CZ189" s="847"/>
      <c r="DA189" s="847"/>
      <c r="DB189" s="847"/>
      <c r="DC189" s="847"/>
      <c r="DD189" s="847"/>
      <c r="DE189" s="847"/>
      <c r="DF189" s="847"/>
      <c r="DG189" s="847"/>
      <c r="DH189" s="847"/>
      <c r="DI189" s="847"/>
      <c r="DJ189" s="847"/>
      <c r="DK189" s="847"/>
      <c r="DL189" s="847"/>
      <c r="DM189" s="1212"/>
      <c r="DN189" s="1222"/>
      <c r="DO189" s="1013"/>
      <c r="DP189" s="847"/>
      <c r="DQ189" s="1013"/>
      <c r="DR189" s="1225"/>
      <c r="DS189" s="1013"/>
      <c r="DT189" s="1225"/>
      <c r="DU189" s="1214"/>
      <c r="DV189" s="1242"/>
      <c r="DW189" s="1232"/>
      <c r="DX189" s="1222"/>
      <c r="DY189" s="847"/>
      <c r="DZ189" s="847"/>
      <c r="EA189" s="847"/>
      <c r="EB189" s="847"/>
      <c r="EC189" s="847"/>
      <c r="ED189" s="847"/>
      <c r="EE189" s="847"/>
      <c r="EF189" s="847"/>
      <c r="EG189" s="1212"/>
      <c r="EH189" s="847"/>
      <c r="EI189" s="1212"/>
    </row>
    <row r="190" spans="1:139" s="733" customFormat="1" ht="13.5">
      <c r="A190" s="1009"/>
      <c r="B190" s="1212" t="s">
        <v>2066</v>
      </c>
      <c r="C190" s="1213">
        <v>0</v>
      </c>
      <c r="D190" s="1013" t="s">
        <v>92</v>
      </c>
      <c r="E190" s="847"/>
      <c r="F190" s="1013"/>
      <c r="G190" s="1225">
        <f>'Lead &amp; ANALYSIS'!G3763</f>
        <v>2.1000000000000001E-2</v>
      </c>
      <c r="H190" s="1013">
        <f>ROUND(C190*G190,2)</f>
        <v>0</v>
      </c>
      <c r="I190" s="847"/>
      <c r="J190" s="1013"/>
      <c r="K190" s="847">
        <f>'Lead &amp; ANALYSIS'!G3764</f>
        <v>7.4399999999999994E-2</v>
      </c>
      <c r="L190" s="1013">
        <f>ROUND(C190*K190,2)</f>
        <v>0</v>
      </c>
      <c r="M190" s="847"/>
      <c r="N190" s="1013"/>
      <c r="O190" s="847"/>
      <c r="P190" s="1013"/>
      <c r="Q190" s="847"/>
      <c r="R190" s="847"/>
      <c r="S190" s="847"/>
      <c r="T190" s="847"/>
      <c r="U190" s="847"/>
      <c r="V190" s="847"/>
      <c r="W190" s="847"/>
      <c r="X190" s="847"/>
      <c r="Y190" s="847"/>
      <c r="Z190" s="847"/>
      <c r="AA190" s="847"/>
      <c r="AB190" s="847"/>
      <c r="AC190" s="847"/>
      <c r="AD190" s="847"/>
      <c r="AE190" s="847"/>
      <c r="AF190" s="847"/>
      <c r="AG190" s="847"/>
      <c r="AH190" s="847"/>
      <c r="AI190" s="847"/>
      <c r="AJ190" s="847"/>
      <c r="AK190" s="847"/>
      <c r="AL190" s="847"/>
      <c r="AM190" s="847"/>
      <c r="AN190" s="847"/>
      <c r="AO190" s="847"/>
      <c r="AP190" s="847"/>
      <c r="AQ190" s="847"/>
      <c r="AR190" s="847"/>
      <c r="AS190" s="847"/>
      <c r="AT190" s="847"/>
      <c r="AU190" s="847"/>
      <c r="AV190" s="847"/>
      <c r="AW190" s="847"/>
      <c r="AX190" s="847"/>
      <c r="AY190" s="847"/>
      <c r="AZ190" s="847"/>
      <c r="BA190" s="847"/>
      <c r="BB190" s="847"/>
      <c r="BC190" s="847"/>
      <c r="BD190" s="847"/>
      <c r="BE190" s="847"/>
      <c r="BF190" s="847"/>
      <c r="BG190" s="847"/>
      <c r="BH190" s="847"/>
      <c r="BI190" s="847"/>
      <c r="BJ190" s="847"/>
      <c r="BK190" s="847"/>
      <c r="BL190" s="847"/>
      <c r="BM190" s="847"/>
      <c r="BN190" s="847"/>
      <c r="BO190" s="847"/>
      <c r="BP190" s="847"/>
      <c r="BQ190" s="847"/>
      <c r="BR190" s="847"/>
      <c r="BS190" s="847"/>
      <c r="BT190" s="847"/>
      <c r="BU190" s="847"/>
      <c r="BV190" s="847"/>
      <c r="BW190" s="847"/>
      <c r="BX190" s="847"/>
      <c r="BY190" s="847"/>
      <c r="BZ190" s="847"/>
      <c r="CA190" s="847"/>
      <c r="CB190" s="847"/>
      <c r="CC190" s="847"/>
      <c r="CD190" s="847"/>
      <c r="CE190" s="847"/>
      <c r="CF190" s="847"/>
      <c r="CG190" s="847"/>
      <c r="CH190" s="847"/>
      <c r="CI190" s="847"/>
      <c r="CJ190" s="847"/>
      <c r="CK190" s="847"/>
      <c r="CL190" s="847"/>
      <c r="CM190" s="847"/>
      <c r="CN190" s="847"/>
      <c r="CO190" s="847"/>
      <c r="CP190" s="847"/>
      <c r="CQ190" s="847"/>
      <c r="CR190" s="847"/>
      <c r="CS190" s="847"/>
      <c r="CT190" s="847"/>
      <c r="CU190" s="847"/>
      <c r="CV190" s="847"/>
      <c r="CW190" s="847"/>
      <c r="CX190" s="847"/>
      <c r="CY190" s="847"/>
      <c r="CZ190" s="847"/>
      <c r="DA190" s="847"/>
      <c r="DB190" s="847"/>
      <c r="DC190" s="847"/>
      <c r="DD190" s="847"/>
      <c r="DE190" s="847"/>
      <c r="DF190" s="847"/>
      <c r="DG190" s="847"/>
      <c r="DH190" s="847"/>
      <c r="DI190" s="847"/>
      <c r="DJ190" s="847"/>
      <c r="DK190" s="847"/>
      <c r="DL190" s="847"/>
      <c r="DM190" s="1212"/>
      <c r="DN190" s="1222">
        <f>'Lead &amp; ANALYSIS'!G3768</f>
        <v>0.24</v>
      </c>
      <c r="DO190" s="1013">
        <f>ROUND(C190*DN190,2)</f>
        <v>0</v>
      </c>
      <c r="DP190" s="847"/>
      <c r="DQ190" s="1013"/>
      <c r="DR190" s="1225">
        <f>'Lead &amp; ANALYSIS'!G3767</f>
        <v>0.16</v>
      </c>
      <c r="DS190" s="1013">
        <f>ROUND(C190*DR190,2)</f>
        <v>0</v>
      </c>
      <c r="DT190" s="1225"/>
      <c r="DU190" s="1214"/>
      <c r="DV190" s="1242"/>
      <c r="DW190" s="1232"/>
      <c r="DX190" s="1222"/>
      <c r="DY190" s="847"/>
      <c r="DZ190" s="847"/>
      <c r="EA190" s="847"/>
      <c r="EB190" s="847"/>
      <c r="EC190" s="847"/>
      <c r="ED190" s="847"/>
      <c r="EE190" s="847"/>
      <c r="EF190" s="847"/>
      <c r="EG190" s="1212"/>
      <c r="EH190" s="847"/>
      <c r="EI190" s="1212"/>
    </row>
    <row r="191" spans="1:139" s="733" customFormat="1" ht="13.5">
      <c r="A191" s="1009"/>
      <c r="B191" s="1212" t="s">
        <v>2067</v>
      </c>
      <c r="C191" s="1213">
        <v>0</v>
      </c>
      <c r="D191" s="1013" t="s">
        <v>92</v>
      </c>
      <c r="E191" s="847"/>
      <c r="F191" s="1013"/>
      <c r="G191" s="1225">
        <f>G190</f>
        <v>2.1000000000000001E-2</v>
      </c>
      <c r="H191" s="1013">
        <f>ROUND(C191*G191,2)</f>
        <v>0</v>
      </c>
      <c r="I191" s="847"/>
      <c r="J191" s="1013"/>
      <c r="K191" s="847">
        <f>K190</f>
        <v>7.4399999999999994E-2</v>
      </c>
      <c r="L191" s="1013">
        <f>ROUND(C191*K191,2)</f>
        <v>0</v>
      </c>
      <c r="M191" s="847"/>
      <c r="N191" s="1013"/>
      <c r="O191" s="847"/>
      <c r="P191" s="1013"/>
      <c r="Q191" s="847"/>
      <c r="R191" s="847"/>
      <c r="S191" s="847"/>
      <c r="T191" s="847"/>
      <c r="U191" s="847"/>
      <c r="V191" s="847"/>
      <c r="W191" s="847"/>
      <c r="X191" s="847"/>
      <c r="Y191" s="847"/>
      <c r="Z191" s="847"/>
      <c r="AA191" s="847"/>
      <c r="AB191" s="847"/>
      <c r="AC191" s="847"/>
      <c r="AD191" s="847"/>
      <c r="AE191" s="847"/>
      <c r="AF191" s="847"/>
      <c r="AG191" s="847"/>
      <c r="AH191" s="847"/>
      <c r="AI191" s="847"/>
      <c r="AJ191" s="847"/>
      <c r="AK191" s="847"/>
      <c r="AL191" s="847"/>
      <c r="AM191" s="847"/>
      <c r="AN191" s="847"/>
      <c r="AO191" s="847"/>
      <c r="AP191" s="847"/>
      <c r="AQ191" s="847"/>
      <c r="AR191" s="847"/>
      <c r="AS191" s="847"/>
      <c r="AT191" s="847"/>
      <c r="AU191" s="847"/>
      <c r="AV191" s="847"/>
      <c r="AW191" s="847"/>
      <c r="AX191" s="847"/>
      <c r="AY191" s="847"/>
      <c r="AZ191" s="847"/>
      <c r="BA191" s="847"/>
      <c r="BB191" s="847"/>
      <c r="BC191" s="847"/>
      <c r="BD191" s="847"/>
      <c r="BE191" s="847"/>
      <c r="BF191" s="847"/>
      <c r="BG191" s="847"/>
      <c r="BH191" s="847"/>
      <c r="BI191" s="847"/>
      <c r="BJ191" s="847"/>
      <c r="BK191" s="847"/>
      <c r="BL191" s="847"/>
      <c r="BM191" s="847"/>
      <c r="BN191" s="847"/>
      <c r="BO191" s="847"/>
      <c r="BP191" s="847"/>
      <c r="BQ191" s="847"/>
      <c r="BR191" s="847"/>
      <c r="BS191" s="847"/>
      <c r="BT191" s="847"/>
      <c r="BU191" s="847"/>
      <c r="BV191" s="847"/>
      <c r="BW191" s="847"/>
      <c r="BX191" s="847"/>
      <c r="BY191" s="847"/>
      <c r="BZ191" s="847"/>
      <c r="CA191" s="847"/>
      <c r="CB191" s="847"/>
      <c r="CC191" s="847"/>
      <c r="CD191" s="847"/>
      <c r="CE191" s="847"/>
      <c r="CF191" s="847"/>
      <c r="CG191" s="847"/>
      <c r="CH191" s="847"/>
      <c r="CI191" s="847"/>
      <c r="CJ191" s="847"/>
      <c r="CK191" s="847"/>
      <c r="CL191" s="847"/>
      <c r="CM191" s="847"/>
      <c r="CN191" s="847"/>
      <c r="CO191" s="847"/>
      <c r="CP191" s="847"/>
      <c r="CQ191" s="847"/>
      <c r="CR191" s="847"/>
      <c r="CS191" s="847"/>
      <c r="CT191" s="847"/>
      <c r="CU191" s="847"/>
      <c r="CV191" s="847"/>
      <c r="CW191" s="847"/>
      <c r="CX191" s="847"/>
      <c r="CY191" s="847"/>
      <c r="CZ191" s="847"/>
      <c r="DA191" s="847"/>
      <c r="DB191" s="847"/>
      <c r="DC191" s="847"/>
      <c r="DD191" s="847"/>
      <c r="DE191" s="847"/>
      <c r="DF191" s="847"/>
      <c r="DG191" s="847"/>
      <c r="DH191" s="847"/>
      <c r="DI191" s="847"/>
      <c r="DJ191" s="847"/>
      <c r="DK191" s="847"/>
      <c r="DL191" s="847"/>
      <c r="DM191" s="1212"/>
      <c r="DN191" s="1222">
        <f>DN190+DN190*3%</f>
        <v>0.2472</v>
      </c>
      <c r="DO191" s="1013">
        <f>ROUND(C191*DN191,2)</f>
        <v>0</v>
      </c>
      <c r="DP191" s="847"/>
      <c r="DQ191" s="1013"/>
      <c r="DR191" s="847">
        <f>DR190+DR190*3%</f>
        <v>0.1648</v>
      </c>
      <c r="DS191" s="1013">
        <f>ROUND(C191*DR191,2)</f>
        <v>0</v>
      </c>
      <c r="DT191" s="1225"/>
      <c r="DU191" s="1214"/>
      <c r="DV191" s="1242"/>
      <c r="DW191" s="1232"/>
      <c r="DX191" s="1222"/>
      <c r="DY191" s="847"/>
      <c r="DZ191" s="847"/>
      <c r="EA191" s="847"/>
      <c r="EB191" s="847"/>
      <c r="EC191" s="847"/>
      <c r="ED191" s="847"/>
      <c r="EE191" s="847"/>
      <c r="EF191" s="847"/>
      <c r="EG191" s="1212"/>
      <c r="EH191" s="847"/>
      <c r="EI191" s="1212"/>
    </row>
    <row r="192" spans="1:139" s="733" customFormat="1" ht="13.5">
      <c r="A192" s="1009">
        <v>62</v>
      </c>
      <c r="B192" s="1212" t="s">
        <v>3054</v>
      </c>
      <c r="C192" s="1213">
        <v>0</v>
      </c>
      <c r="D192" s="1013" t="s">
        <v>92</v>
      </c>
      <c r="E192" s="847"/>
      <c r="F192" s="1013"/>
      <c r="G192" s="1225"/>
      <c r="H192" s="1013"/>
      <c r="I192" s="847"/>
      <c r="J192" s="1013"/>
      <c r="K192" s="847"/>
      <c r="L192" s="1013"/>
      <c r="M192" s="847"/>
      <c r="N192" s="1013"/>
      <c r="O192" s="847"/>
      <c r="P192" s="1013"/>
      <c r="Q192" s="847"/>
      <c r="R192" s="847"/>
      <c r="S192" s="847"/>
      <c r="T192" s="847"/>
      <c r="U192" s="847"/>
      <c r="V192" s="847"/>
      <c r="W192" s="847"/>
      <c r="X192" s="847"/>
      <c r="Y192" s="847"/>
      <c r="Z192" s="847"/>
      <c r="AA192" s="847"/>
      <c r="AB192" s="847"/>
      <c r="AC192" s="847"/>
      <c r="AD192" s="847"/>
      <c r="AE192" s="847"/>
      <c r="AF192" s="847"/>
      <c r="AG192" s="847"/>
      <c r="AH192" s="847"/>
      <c r="AI192" s="847"/>
      <c r="AJ192" s="847"/>
      <c r="AK192" s="847"/>
      <c r="AL192" s="847"/>
      <c r="AM192" s="847"/>
      <c r="AN192" s="847"/>
      <c r="AO192" s="847"/>
      <c r="AP192" s="847"/>
      <c r="AQ192" s="847"/>
      <c r="AR192" s="847"/>
      <c r="AS192" s="847"/>
      <c r="AT192" s="847"/>
      <c r="AU192" s="847"/>
      <c r="AV192" s="847"/>
      <c r="AW192" s="847"/>
      <c r="AX192" s="847"/>
      <c r="AY192" s="847"/>
      <c r="AZ192" s="847"/>
      <c r="BA192" s="847"/>
      <c r="BB192" s="847"/>
      <c r="BC192" s="847"/>
      <c r="BD192" s="847"/>
      <c r="BE192" s="847"/>
      <c r="BF192" s="847"/>
      <c r="BG192" s="847"/>
      <c r="BH192" s="847"/>
      <c r="BI192" s="847"/>
      <c r="BJ192" s="847"/>
      <c r="BK192" s="847"/>
      <c r="BL192" s="847"/>
      <c r="BM192" s="847"/>
      <c r="BN192" s="847"/>
      <c r="BO192" s="847"/>
      <c r="BP192" s="847"/>
      <c r="BQ192" s="847"/>
      <c r="BR192" s="847"/>
      <c r="BS192" s="847"/>
      <c r="BT192" s="847"/>
      <c r="BU192" s="847"/>
      <c r="BV192" s="847"/>
      <c r="BW192" s="847"/>
      <c r="BX192" s="847"/>
      <c r="BY192" s="847"/>
      <c r="BZ192" s="847"/>
      <c r="CA192" s="847"/>
      <c r="CB192" s="847"/>
      <c r="CC192" s="847"/>
      <c r="CD192" s="847"/>
      <c r="CE192" s="847"/>
      <c r="CF192" s="847"/>
      <c r="CG192" s="847"/>
      <c r="CH192" s="847"/>
      <c r="CI192" s="847"/>
      <c r="CJ192" s="847"/>
      <c r="CK192" s="847"/>
      <c r="CL192" s="847"/>
      <c r="CM192" s="847"/>
      <c r="CN192" s="847"/>
      <c r="CO192" s="847"/>
      <c r="CP192" s="847"/>
      <c r="CQ192" s="847"/>
      <c r="CR192" s="847"/>
      <c r="CS192" s="847"/>
      <c r="CT192" s="847"/>
      <c r="CU192" s="847"/>
      <c r="CV192" s="847"/>
      <c r="CW192" s="847"/>
      <c r="CX192" s="847"/>
      <c r="CY192" s="847"/>
      <c r="CZ192" s="847"/>
      <c r="DA192" s="847"/>
      <c r="DB192" s="847"/>
      <c r="DC192" s="847"/>
      <c r="DD192" s="847"/>
      <c r="DE192" s="847"/>
      <c r="DF192" s="847"/>
      <c r="DG192" s="847"/>
      <c r="DH192" s="847"/>
      <c r="DI192" s="847"/>
      <c r="DJ192" s="847"/>
      <c r="DK192" s="847"/>
      <c r="DL192" s="847"/>
      <c r="DM192" s="1212"/>
      <c r="DN192" s="1222"/>
      <c r="DO192" s="1013"/>
      <c r="DP192" s="847"/>
      <c r="DQ192" s="1013"/>
      <c r="DR192" s="847"/>
      <c r="DS192" s="1013"/>
      <c r="DT192" s="1225"/>
      <c r="DU192" s="1214"/>
      <c r="DV192" s="1242"/>
      <c r="DW192" s="1232"/>
      <c r="DX192" s="1222"/>
      <c r="DY192" s="847"/>
      <c r="DZ192" s="847"/>
      <c r="EA192" s="847"/>
      <c r="EB192" s="847"/>
      <c r="EC192" s="847"/>
      <c r="ED192" s="847"/>
      <c r="EE192" s="847"/>
      <c r="EF192" s="847"/>
      <c r="EG192" s="1212"/>
      <c r="EH192" s="847"/>
      <c r="EI192" s="1212"/>
    </row>
    <row r="193" spans="1:139" s="733" customFormat="1" ht="13.5">
      <c r="A193" s="1009"/>
      <c r="B193" s="1212" t="s">
        <v>2066</v>
      </c>
      <c r="C193" s="1213">
        <v>0</v>
      </c>
      <c r="D193" s="1013" t="s">
        <v>92</v>
      </c>
      <c r="E193" s="847"/>
      <c r="F193" s="1013"/>
      <c r="G193" s="1225">
        <f>'Lead &amp; ANALYSIS'!G3809</f>
        <v>2.1000000000000001E-2</v>
      </c>
      <c r="H193" s="1013">
        <f t="shared" ref="H193:H268" si="9">ROUND(C193*G193,2)</f>
        <v>0</v>
      </c>
      <c r="I193" s="847"/>
      <c r="J193" s="1013"/>
      <c r="K193" s="847">
        <f>'Lead &amp; ANALYSIS'!G3810</f>
        <v>5.7000000000000002E-2</v>
      </c>
      <c r="L193" s="1013">
        <f t="shared" ref="L193:L268" si="10">ROUND(C193*K193,2)</f>
        <v>0</v>
      </c>
      <c r="M193" s="847"/>
      <c r="N193" s="1013"/>
      <c r="O193" s="847"/>
      <c r="P193" s="1013"/>
      <c r="Q193" s="847"/>
      <c r="R193" s="847"/>
      <c r="S193" s="847"/>
      <c r="T193" s="847"/>
      <c r="U193" s="847"/>
      <c r="V193" s="847"/>
      <c r="W193" s="847"/>
      <c r="X193" s="847"/>
      <c r="Y193" s="847"/>
      <c r="Z193" s="847"/>
      <c r="AA193" s="847"/>
      <c r="AB193" s="847"/>
      <c r="AC193" s="847"/>
      <c r="AD193" s="847"/>
      <c r="AE193" s="847"/>
      <c r="AF193" s="847"/>
      <c r="AG193" s="847"/>
      <c r="AH193" s="847"/>
      <c r="AI193" s="847"/>
      <c r="AJ193" s="847"/>
      <c r="AK193" s="847"/>
      <c r="AL193" s="847"/>
      <c r="AM193" s="847"/>
      <c r="AN193" s="847"/>
      <c r="AO193" s="847"/>
      <c r="AP193" s="847"/>
      <c r="AQ193" s="847"/>
      <c r="AR193" s="847"/>
      <c r="AS193" s="847"/>
      <c r="AT193" s="847"/>
      <c r="AU193" s="847"/>
      <c r="AV193" s="847"/>
      <c r="AW193" s="847"/>
      <c r="AX193" s="847"/>
      <c r="AY193" s="847"/>
      <c r="AZ193" s="847"/>
      <c r="BA193" s="847"/>
      <c r="BB193" s="847"/>
      <c r="BC193" s="847"/>
      <c r="BD193" s="847"/>
      <c r="BE193" s="847"/>
      <c r="BF193" s="847"/>
      <c r="BG193" s="847"/>
      <c r="BH193" s="847"/>
      <c r="BI193" s="847"/>
      <c r="BJ193" s="847"/>
      <c r="BK193" s="847"/>
      <c r="BL193" s="847"/>
      <c r="BM193" s="847"/>
      <c r="BN193" s="847"/>
      <c r="BO193" s="847"/>
      <c r="BP193" s="847"/>
      <c r="BQ193" s="847"/>
      <c r="BR193" s="847"/>
      <c r="BS193" s="847"/>
      <c r="BT193" s="847"/>
      <c r="BU193" s="847"/>
      <c r="BV193" s="847"/>
      <c r="BW193" s="847"/>
      <c r="BX193" s="847"/>
      <c r="BY193" s="847"/>
      <c r="BZ193" s="847"/>
      <c r="CA193" s="847"/>
      <c r="CB193" s="847"/>
      <c r="CC193" s="847"/>
      <c r="CD193" s="847"/>
      <c r="CE193" s="847"/>
      <c r="CF193" s="847"/>
      <c r="CG193" s="847"/>
      <c r="CH193" s="847"/>
      <c r="CI193" s="847"/>
      <c r="CJ193" s="847"/>
      <c r="CK193" s="847"/>
      <c r="CL193" s="847"/>
      <c r="CM193" s="847"/>
      <c r="CN193" s="847"/>
      <c r="CO193" s="847"/>
      <c r="CP193" s="847"/>
      <c r="CQ193" s="847"/>
      <c r="CR193" s="847"/>
      <c r="CS193" s="847"/>
      <c r="CT193" s="847"/>
      <c r="CU193" s="847"/>
      <c r="CV193" s="847"/>
      <c r="CW193" s="847"/>
      <c r="CX193" s="847"/>
      <c r="CY193" s="847"/>
      <c r="CZ193" s="847"/>
      <c r="DA193" s="847"/>
      <c r="DB193" s="847"/>
      <c r="DC193" s="847"/>
      <c r="DD193" s="847"/>
      <c r="DE193" s="847"/>
      <c r="DF193" s="847"/>
      <c r="DG193" s="847"/>
      <c r="DH193" s="847"/>
      <c r="DI193" s="847"/>
      <c r="DJ193" s="847"/>
      <c r="DK193" s="847"/>
      <c r="DL193" s="847"/>
      <c r="DM193" s="1212"/>
      <c r="DN193" s="1242">
        <f>'Lead &amp; ANALYSIS'!G3814</f>
        <v>0.24</v>
      </c>
      <c r="DO193" s="1013">
        <f>ROUND(C193*DN193,2)</f>
        <v>0</v>
      </c>
      <c r="DP193" s="847"/>
      <c r="DQ193" s="1013"/>
      <c r="DR193" s="1225">
        <f>'Lead &amp; ANALYSIS'!G3813</f>
        <v>0.16</v>
      </c>
      <c r="DS193" s="1013">
        <f>ROUND(C193*DR193,2)</f>
        <v>0</v>
      </c>
      <c r="DT193" s="1225"/>
      <c r="DU193" s="1214"/>
      <c r="DV193" s="1242"/>
      <c r="DW193" s="1232"/>
      <c r="DX193" s="1222"/>
      <c r="DY193" s="847"/>
      <c r="DZ193" s="847"/>
      <c r="EA193" s="847"/>
      <c r="EB193" s="847"/>
      <c r="EC193" s="847"/>
      <c r="ED193" s="847"/>
      <c r="EE193" s="847"/>
      <c r="EF193" s="847"/>
      <c r="EG193" s="1212"/>
      <c r="EH193" s="847"/>
      <c r="EI193" s="1212"/>
    </row>
    <row r="194" spans="1:139" s="733" customFormat="1" ht="13.5">
      <c r="A194" s="1009"/>
      <c r="B194" s="1212" t="s">
        <v>2067</v>
      </c>
      <c r="C194" s="1213">
        <v>0</v>
      </c>
      <c r="D194" s="1013" t="s">
        <v>92</v>
      </c>
      <c r="E194" s="847"/>
      <c r="F194" s="1013"/>
      <c r="G194" s="1225">
        <f>G193</f>
        <v>2.1000000000000001E-2</v>
      </c>
      <c r="H194" s="1013">
        <f t="shared" si="9"/>
        <v>0</v>
      </c>
      <c r="I194" s="847"/>
      <c r="J194" s="1013"/>
      <c r="K194" s="847">
        <f>K193</f>
        <v>5.7000000000000002E-2</v>
      </c>
      <c r="L194" s="1013">
        <f t="shared" si="10"/>
        <v>0</v>
      </c>
      <c r="M194" s="847"/>
      <c r="N194" s="1013"/>
      <c r="O194" s="847"/>
      <c r="P194" s="1013"/>
      <c r="Q194" s="847"/>
      <c r="R194" s="847"/>
      <c r="S194" s="847"/>
      <c r="T194" s="847"/>
      <c r="U194" s="847"/>
      <c r="V194" s="847"/>
      <c r="W194" s="847"/>
      <c r="X194" s="847"/>
      <c r="Y194" s="847"/>
      <c r="Z194" s="847"/>
      <c r="AA194" s="847"/>
      <c r="AB194" s="847"/>
      <c r="AC194" s="847"/>
      <c r="AD194" s="847"/>
      <c r="AE194" s="847"/>
      <c r="AF194" s="847"/>
      <c r="AG194" s="847"/>
      <c r="AH194" s="847"/>
      <c r="AI194" s="847"/>
      <c r="AJ194" s="847"/>
      <c r="AK194" s="847"/>
      <c r="AL194" s="847"/>
      <c r="AM194" s="847"/>
      <c r="AN194" s="847"/>
      <c r="AO194" s="847"/>
      <c r="AP194" s="847"/>
      <c r="AQ194" s="847"/>
      <c r="AR194" s="847"/>
      <c r="AS194" s="847"/>
      <c r="AT194" s="847"/>
      <c r="AU194" s="847"/>
      <c r="AV194" s="847"/>
      <c r="AW194" s="847"/>
      <c r="AX194" s="847"/>
      <c r="AY194" s="847"/>
      <c r="AZ194" s="847"/>
      <c r="BA194" s="847"/>
      <c r="BB194" s="847"/>
      <c r="BC194" s="847"/>
      <c r="BD194" s="847"/>
      <c r="BE194" s="847"/>
      <c r="BF194" s="847"/>
      <c r="BG194" s="847"/>
      <c r="BH194" s="847"/>
      <c r="BI194" s="847"/>
      <c r="BJ194" s="847"/>
      <c r="BK194" s="847"/>
      <c r="BL194" s="847"/>
      <c r="BM194" s="847"/>
      <c r="BN194" s="847"/>
      <c r="BO194" s="847"/>
      <c r="BP194" s="847"/>
      <c r="BQ194" s="847"/>
      <c r="BR194" s="847"/>
      <c r="BS194" s="847"/>
      <c r="BT194" s="847"/>
      <c r="BU194" s="847"/>
      <c r="BV194" s="847"/>
      <c r="BW194" s="847"/>
      <c r="BX194" s="847"/>
      <c r="BY194" s="847"/>
      <c r="BZ194" s="847"/>
      <c r="CA194" s="847"/>
      <c r="CB194" s="847"/>
      <c r="CC194" s="847"/>
      <c r="CD194" s="847"/>
      <c r="CE194" s="847"/>
      <c r="CF194" s="847"/>
      <c r="CG194" s="847"/>
      <c r="CH194" s="847"/>
      <c r="CI194" s="847"/>
      <c r="CJ194" s="847"/>
      <c r="CK194" s="847"/>
      <c r="CL194" s="847"/>
      <c r="CM194" s="847"/>
      <c r="CN194" s="847"/>
      <c r="CO194" s="847"/>
      <c r="CP194" s="847"/>
      <c r="CQ194" s="847"/>
      <c r="CR194" s="847"/>
      <c r="CS194" s="847"/>
      <c r="CT194" s="847"/>
      <c r="CU194" s="847"/>
      <c r="CV194" s="847"/>
      <c r="CW194" s="847"/>
      <c r="CX194" s="847"/>
      <c r="CY194" s="847"/>
      <c r="CZ194" s="847"/>
      <c r="DA194" s="847"/>
      <c r="DB194" s="847"/>
      <c r="DC194" s="847"/>
      <c r="DD194" s="847"/>
      <c r="DE194" s="847"/>
      <c r="DF194" s="847"/>
      <c r="DG194" s="847"/>
      <c r="DH194" s="847"/>
      <c r="DI194" s="847"/>
      <c r="DJ194" s="847"/>
      <c r="DK194" s="847"/>
      <c r="DL194" s="847"/>
      <c r="DM194" s="1212"/>
      <c r="DN194" s="1222">
        <f>DN193+DN193*3%</f>
        <v>0.2472</v>
      </c>
      <c r="DO194" s="1013">
        <f>ROUND(C194*DN194,2)</f>
        <v>0</v>
      </c>
      <c r="DP194" s="847"/>
      <c r="DQ194" s="1013"/>
      <c r="DR194" s="847">
        <f>DR193+DR193*3%</f>
        <v>0.1648</v>
      </c>
      <c r="DS194" s="1013">
        <f>ROUND(C194*DR194,2)</f>
        <v>0</v>
      </c>
      <c r="DT194" s="1225"/>
      <c r="DU194" s="1214"/>
      <c r="DV194" s="1242"/>
      <c r="DW194" s="1232"/>
      <c r="DX194" s="1222"/>
      <c r="DY194" s="847"/>
      <c r="DZ194" s="847"/>
      <c r="EA194" s="847"/>
      <c r="EB194" s="847"/>
      <c r="EC194" s="847"/>
      <c r="ED194" s="847"/>
      <c r="EE194" s="847"/>
      <c r="EF194" s="847"/>
      <c r="EG194" s="1212"/>
      <c r="EH194" s="847"/>
      <c r="EI194" s="1212"/>
    </row>
    <row r="195" spans="1:139" s="733" customFormat="1" ht="13.5">
      <c r="A195" s="1009">
        <v>63</v>
      </c>
      <c r="B195" s="1212" t="s">
        <v>3055</v>
      </c>
      <c r="C195" s="1213">
        <v>0</v>
      </c>
      <c r="D195" s="1013" t="s">
        <v>92</v>
      </c>
      <c r="E195" s="847"/>
      <c r="F195" s="1013"/>
      <c r="G195" s="1225"/>
      <c r="H195" s="1013"/>
      <c r="I195" s="847"/>
      <c r="J195" s="1013"/>
      <c r="K195" s="847"/>
      <c r="L195" s="1013"/>
      <c r="M195" s="847"/>
      <c r="N195" s="1013"/>
      <c r="O195" s="847"/>
      <c r="P195" s="1013"/>
      <c r="Q195" s="847"/>
      <c r="R195" s="847"/>
      <c r="S195" s="847"/>
      <c r="T195" s="847"/>
      <c r="U195" s="847"/>
      <c r="V195" s="847"/>
      <c r="W195" s="847"/>
      <c r="X195" s="847"/>
      <c r="Y195" s="847"/>
      <c r="Z195" s="847"/>
      <c r="AA195" s="847"/>
      <c r="AB195" s="847"/>
      <c r="AC195" s="847"/>
      <c r="AD195" s="847"/>
      <c r="AE195" s="847"/>
      <c r="AF195" s="847"/>
      <c r="AG195" s="847"/>
      <c r="AH195" s="847"/>
      <c r="AI195" s="847"/>
      <c r="AJ195" s="847"/>
      <c r="AK195" s="847"/>
      <c r="AL195" s="847"/>
      <c r="AM195" s="847"/>
      <c r="AN195" s="847"/>
      <c r="AO195" s="847"/>
      <c r="AP195" s="847"/>
      <c r="AQ195" s="847"/>
      <c r="AR195" s="847"/>
      <c r="AS195" s="847"/>
      <c r="AT195" s="847"/>
      <c r="AU195" s="847"/>
      <c r="AV195" s="847"/>
      <c r="AW195" s="847"/>
      <c r="AX195" s="847"/>
      <c r="AY195" s="847"/>
      <c r="AZ195" s="847"/>
      <c r="BA195" s="847"/>
      <c r="BB195" s="847"/>
      <c r="BC195" s="847"/>
      <c r="BD195" s="847"/>
      <c r="BE195" s="847"/>
      <c r="BF195" s="847"/>
      <c r="BG195" s="847"/>
      <c r="BH195" s="847"/>
      <c r="BI195" s="847"/>
      <c r="BJ195" s="847"/>
      <c r="BK195" s="847"/>
      <c r="BL195" s="847"/>
      <c r="BM195" s="847"/>
      <c r="BN195" s="847"/>
      <c r="BO195" s="847"/>
      <c r="BP195" s="847"/>
      <c r="BQ195" s="847"/>
      <c r="BR195" s="847"/>
      <c r="BS195" s="847"/>
      <c r="BT195" s="847"/>
      <c r="BU195" s="847"/>
      <c r="BV195" s="847"/>
      <c r="BW195" s="847"/>
      <c r="BX195" s="847"/>
      <c r="BY195" s="847"/>
      <c r="BZ195" s="847"/>
      <c r="CA195" s="847"/>
      <c r="CB195" s="847"/>
      <c r="CC195" s="847"/>
      <c r="CD195" s="847"/>
      <c r="CE195" s="847"/>
      <c r="CF195" s="847"/>
      <c r="CG195" s="847"/>
      <c r="CH195" s="847"/>
      <c r="CI195" s="847"/>
      <c r="CJ195" s="847"/>
      <c r="CK195" s="847"/>
      <c r="CL195" s="847"/>
      <c r="CM195" s="847"/>
      <c r="CN195" s="847"/>
      <c r="CO195" s="847"/>
      <c r="CP195" s="847"/>
      <c r="CQ195" s="847"/>
      <c r="CR195" s="847"/>
      <c r="CS195" s="847"/>
      <c r="CT195" s="847"/>
      <c r="CU195" s="847"/>
      <c r="CV195" s="847"/>
      <c r="CW195" s="847"/>
      <c r="CX195" s="847"/>
      <c r="CY195" s="847"/>
      <c r="CZ195" s="847"/>
      <c r="DA195" s="847"/>
      <c r="DB195" s="847"/>
      <c r="DC195" s="847"/>
      <c r="DD195" s="847"/>
      <c r="DE195" s="847"/>
      <c r="DF195" s="847"/>
      <c r="DG195" s="847"/>
      <c r="DH195" s="847"/>
      <c r="DI195" s="847"/>
      <c r="DJ195" s="847"/>
      <c r="DK195" s="847"/>
      <c r="DL195" s="847"/>
      <c r="DM195" s="1212"/>
      <c r="DN195" s="1222"/>
      <c r="DO195" s="1013"/>
      <c r="DP195" s="847"/>
      <c r="DQ195" s="1013"/>
      <c r="DR195" s="847"/>
      <c r="DS195" s="1013"/>
      <c r="DT195" s="1225"/>
      <c r="DU195" s="1214"/>
      <c r="DV195" s="1242"/>
      <c r="DW195" s="1232"/>
      <c r="DX195" s="1222"/>
      <c r="DY195" s="847"/>
      <c r="DZ195" s="847"/>
      <c r="EA195" s="847"/>
      <c r="EB195" s="847"/>
      <c r="EC195" s="847"/>
      <c r="ED195" s="847"/>
      <c r="EE195" s="847"/>
      <c r="EF195" s="847"/>
      <c r="EG195" s="1212"/>
      <c r="EH195" s="847"/>
      <c r="EI195" s="1212"/>
    </row>
    <row r="196" spans="1:139" s="733" customFormat="1" ht="13.5">
      <c r="A196" s="1009"/>
      <c r="B196" s="1212" t="s">
        <v>2066</v>
      </c>
      <c r="C196" s="1213">
        <v>0</v>
      </c>
      <c r="D196" s="1013" t="s">
        <v>92</v>
      </c>
      <c r="E196" s="847"/>
      <c r="F196" s="1013"/>
      <c r="G196" s="1225"/>
      <c r="H196" s="1013"/>
      <c r="I196" s="847"/>
      <c r="J196" s="1013"/>
      <c r="K196" s="847"/>
      <c r="L196" s="1013"/>
      <c r="M196" s="847"/>
      <c r="N196" s="1013"/>
      <c r="O196" s="847"/>
      <c r="P196" s="1013"/>
      <c r="Q196" s="847"/>
      <c r="R196" s="847"/>
      <c r="S196" s="847"/>
      <c r="T196" s="847"/>
      <c r="U196" s="847"/>
      <c r="V196" s="847"/>
      <c r="W196" s="847"/>
      <c r="X196" s="847"/>
      <c r="Y196" s="847"/>
      <c r="Z196" s="847"/>
      <c r="AA196" s="847"/>
      <c r="AB196" s="847"/>
      <c r="AC196" s="847"/>
      <c r="AD196" s="847"/>
      <c r="AE196" s="847"/>
      <c r="AF196" s="847"/>
      <c r="AG196" s="847"/>
      <c r="AH196" s="847"/>
      <c r="AI196" s="847"/>
      <c r="AJ196" s="847"/>
      <c r="AK196" s="847"/>
      <c r="AL196" s="847"/>
      <c r="AM196" s="847"/>
      <c r="AN196" s="847"/>
      <c r="AO196" s="847"/>
      <c r="AP196" s="847"/>
      <c r="AQ196" s="847"/>
      <c r="AR196" s="847"/>
      <c r="AS196" s="847"/>
      <c r="AT196" s="847"/>
      <c r="AU196" s="847"/>
      <c r="AV196" s="847"/>
      <c r="AW196" s="847"/>
      <c r="AX196" s="847"/>
      <c r="AY196" s="847"/>
      <c r="AZ196" s="847"/>
      <c r="BA196" s="847"/>
      <c r="BB196" s="847"/>
      <c r="BC196" s="847"/>
      <c r="BD196" s="847"/>
      <c r="BE196" s="847"/>
      <c r="BF196" s="847"/>
      <c r="BG196" s="847"/>
      <c r="BH196" s="847"/>
      <c r="BI196" s="847"/>
      <c r="BJ196" s="847"/>
      <c r="BK196" s="847"/>
      <c r="BL196" s="847"/>
      <c r="BM196" s="847"/>
      <c r="BN196" s="847"/>
      <c r="BO196" s="847"/>
      <c r="BP196" s="847"/>
      <c r="BQ196" s="847"/>
      <c r="BR196" s="847"/>
      <c r="BS196" s="847"/>
      <c r="BT196" s="847"/>
      <c r="BU196" s="847"/>
      <c r="BV196" s="847"/>
      <c r="BW196" s="847"/>
      <c r="BX196" s="847"/>
      <c r="BY196" s="847"/>
      <c r="BZ196" s="847"/>
      <c r="CA196" s="847"/>
      <c r="CB196" s="847"/>
      <c r="CC196" s="847"/>
      <c r="CD196" s="847"/>
      <c r="CE196" s="847"/>
      <c r="CF196" s="847"/>
      <c r="CG196" s="847"/>
      <c r="CH196" s="847"/>
      <c r="CI196" s="847"/>
      <c r="CJ196" s="847"/>
      <c r="CK196" s="847"/>
      <c r="CL196" s="847"/>
      <c r="CM196" s="847"/>
      <c r="CN196" s="847"/>
      <c r="CO196" s="847"/>
      <c r="CP196" s="847"/>
      <c r="CQ196" s="847"/>
      <c r="CR196" s="847"/>
      <c r="CS196" s="847"/>
      <c r="CT196" s="847"/>
      <c r="CU196" s="847"/>
      <c r="CV196" s="847"/>
      <c r="CW196" s="847"/>
      <c r="CX196" s="847"/>
      <c r="CY196" s="847"/>
      <c r="CZ196" s="847"/>
      <c r="DA196" s="847"/>
      <c r="DB196" s="847"/>
      <c r="DC196" s="847"/>
      <c r="DD196" s="847"/>
      <c r="DE196" s="847"/>
      <c r="DF196" s="847"/>
      <c r="DG196" s="847"/>
      <c r="DH196" s="847"/>
      <c r="DI196" s="847"/>
      <c r="DJ196" s="847"/>
      <c r="DK196" s="847"/>
      <c r="DL196" s="847"/>
      <c r="DM196" s="1212"/>
      <c r="DN196" s="1231">
        <f>'Lead &amp; ANALYSIS'!G3855/10+('Lead &amp; ANALYSIS'!G3855*2%/10)</f>
        <v>5.1000000000000004E-2</v>
      </c>
      <c r="DO196" s="1013">
        <f>ROUND(C196*DN196,2)</f>
        <v>0</v>
      </c>
      <c r="DP196" s="847"/>
      <c r="DQ196" s="1013"/>
      <c r="DR196" s="1225"/>
      <c r="DS196" s="1013"/>
      <c r="DT196" s="1225"/>
      <c r="DU196" s="1214"/>
      <c r="DV196" s="1242"/>
      <c r="DW196" s="1232"/>
      <c r="DX196" s="1222"/>
      <c r="DY196" s="847"/>
      <c r="DZ196" s="847"/>
      <c r="EA196" s="847"/>
      <c r="EB196" s="847"/>
      <c r="EC196" s="847"/>
      <c r="ED196" s="847"/>
      <c r="EE196" s="847"/>
      <c r="EF196" s="847"/>
      <c r="EG196" s="1212"/>
      <c r="EH196" s="847"/>
      <c r="EI196" s="1212"/>
    </row>
    <row r="197" spans="1:139" s="733" customFormat="1" ht="13.5">
      <c r="A197" s="1009"/>
      <c r="B197" s="1212" t="s">
        <v>2067</v>
      </c>
      <c r="C197" s="1213">
        <v>0</v>
      </c>
      <c r="D197" s="1013" t="s">
        <v>92</v>
      </c>
      <c r="E197" s="847"/>
      <c r="F197" s="1013"/>
      <c r="G197" s="1225"/>
      <c r="H197" s="1013"/>
      <c r="I197" s="847"/>
      <c r="J197" s="1013"/>
      <c r="K197" s="847"/>
      <c r="L197" s="1013"/>
      <c r="M197" s="847"/>
      <c r="N197" s="1013"/>
      <c r="O197" s="847"/>
      <c r="P197" s="1013"/>
      <c r="Q197" s="847"/>
      <c r="R197" s="847"/>
      <c r="S197" s="847"/>
      <c r="T197" s="847"/>
      <c r="U197" s="847"/>
      <c r="V197" s="847"/>
      <c r="W197" s="847"/>
      <c r="X197" s="847"/>
      <c r="Y197" s="847"/>
      <c r="Z197" s="847"/>
      <c r="AA197" s="847"/>
      <c r="AB197" s="847"/>
      <c r="AC197" s="847"/>
      <c r="AD197" s="847"/>
      <c r="AE197" s="847"/>
      <c r="AF197" s="847"/>
      <c r="AG197" s="847"/>
      <c r="AH197" s="847"/>
      <c r="AI197" s="847"/>
      <c r="AJ197" s="847"/>
      <c r="AK197" s="847"/>
      <c r="AL197" s="847"/>
      <c r="AM197" s="847"/>
      <c r="AN197" s="847"/>
      <c r="AO197" s="847"/>
      <c r="AP197" s="847"/>
      <c r="AQ197" s="847"/>
      <c r="AR197" s="847"/>
      <c r="AS197" s="847"/>
      <c r="AT197" s="847"/>
      <c r="AU197" s="847"/>
      <c r="AV197" s="847"/>
      <c r="AW197" s="847"/>
      <c r="AX197" s="847"/>
      <c r="AY197" s="847"/>
      <c r="AZ197" s="847"/>
      <c r="BA197" s="847"/>
      <c r="BB197" s="847"/>
      <c r="BC197" s="847"/>
      <c r="BD197" s="847"/>
      <c r="BE197" s="847"/>
      <c r="BF197" s="847"/>
      <c r="BG197" s="847"/>
      <c r="BH197" s="847"/>
      <c r="BI197" s="847"/>
      <c r="BJ197" s="847"/>
      <c r="BK197" s="847"/>
      <c r="BL197" s="847"/>
      <c r="BM197" s="847"/>
      <c r="BN197" s="847"/>
      <c r="BO197" s="847"/>
      <c r="BP197" s="847"/>
      <c r="BQ197" s="847"/>
      <c r="BR197" s="847"/>
      <c r="BS197" s="847"/>
      <c r="BT197" s="847"/>
      <c r="BU197" s="847"/>
      <c r="BV197" s="847"/>
      <c r="BW197" s="847"/>
      <c r="BX197" s="847"/>
      <c r="BY197" s="847"/>
      <c r="BZ197" s="847"/>
      <c r="CA197" s="847"/>
      <c r="CB197" s="847"/>
      <c r="CC197" s="847"/>
      <c r="CD197" s="847"/>
      <c r="CE197" s="847"/>
      <c r="CF197" s="847"/>
      <c r="CG197" s="847"/>
      <c r="CH197" s="847"/>
      <c r="CI197" s="847"/>
      <c r="CJ197" s="847"/>
      <c r="CK197" s="847"/>
      <c r="CL197" s="847"/>
      <c r="CM197" s="847"/>
      <c r="CN197" s="847"/>
      <c r="CO197" s="847"/>
      <c r="CP197" s="847"/>
      <c r="CQ197" s="847"/>
      <c r="CR197" s="847"/>
      <c r="CS197" s="847"/>
      <c r="CT197" s="847"/>
      <c r="CU197" s="847"/>
      <c r="CV197" s="847"/>
      <c r="CW197" s="847"/>
      <c r="CX197" s="847"/>
      <c r="CY197" s="847"/>
      <c r="CZ197" s="847"/>
      <c r="DA197" s="847"/>
      <c r="DB197" s="847"/>
      <c r="DC197" s="847"/>
      <c r="DD197" s="847"/>
      <c r="DE197" s="847"/>
      <c r="DF197" s="847"/>
      <c r="DG197" s="847"/>
      <c r="DH197" s="847"/>
      <c r="DI197" s="847"/>
      <c r="DJ197" s="847"/>
      <c r="DK197" s="847"/>
      <c r="DL197" s="847"/>
      <c r="DM197" s="1212"/>
      <c r="DN197" s="1222">
        <f>DN196+DN196*3%</f>
        <v>5.2530000000000007E-2</v>
      </c>
      <c r="DO197" s="1013">
        <f>ROUND(C197*DN197,2)</f>
        <v>0</v>
      </c>
      <c r="DP197" s="847"/>
      <c r="DQ197" s="1013"/>
      <c r="DR197" s="847"/>
      <c r="DS197" s="1013"/>
      <c r="DT197" s="1225"/>
      <c r="DU197" s="1214"/>
      <c r="DV197" s="1242"/>
      <c r="DW197" s="1232"/>
      <c r="DX197" s="1222"/>
      <c r="DY197" s="847"/>
      <c r="DZ197" s="847"/>
      <c r="EA197" s="847"/>
      <c r="EB197" s="847"/>
      <c r="EC197" s="847"/>
      <c r="ED197" s="847"/>
      <c r="EE197" s="847"/>
      <c r="EF197" s="847"/>
      <c r="EG197" s="1212"/>
      <c r="EH197" s="847"/>
      <c r="EI197" s="1212"/>
    </row>
    <row r="198" spans="1:139" s="733" customFormat="1" ht="13.5">
      <c r="A198" s="1009">
        <v>64</v>
      </c>
      <c r="B198" s="1212" t="s">
        <v>3056</v>
      </c>
      <c r="C198" s="1213">
        <v>0</v>
      </c>
      <c r="D198" s="1013" t="s">
        <v>92</v>
      </c>
      <c r="E198" s="847"/>
      <c r="F198" s="1013"/>
      <c r="G198" s="847"/>
      <c r="H198" s="1013"/>
      <c r="I198" s="847"/>
      <c r="J198" s="1013"/>
      <c r="K198" s="847">
        <f>'Lead &amp; ANALYSIS'!G3875</f>
        <v>1.14E-2</v>
      </c>
      <c r="L198" s="1013">
        <f t="shared" si="10"/>
        <v>0</v>
      </c>
      <c r="M198" s="847"/>
      <c r="N198" s="1013"/>
      <c r="O198" s="847"/>
      <c r="P198" s="1013"/>
      <c r="Q198" s="847"/>
      <c r="R198" s="847"/>
      <c r="S198" s="847"/>
      <c r="T198" s="847"/>
      <c r="U198" s="847"/>
      <c r="V198" s="847"/>
      <c r="W198" s="847"/>
      <c r="X198" s="847"/>
      <c r="Y198" s="847"/>
      <c r="Z198" s="847"/>
      <c r="AA198" s="847"/>
      <c r="AB198" s="847"/>
      <c r="AC198" s="847"/>
      <c r="AD198" s="847"/>
      <c r="AE198" s="847"/>
      <c r="AF198" s="847"/>
      <c r="AG198" s="847"/>
      <c r="AH198" s="847"/>
      <c r="AI198" s="847"/>
      <c r="AJ198" s="847"/>
      <c r="AK198" s="847"/>
      <c r="AL198" s="847"/>
      <c r="AM198" s="847"/>
      <c r="AN198" s="847"/>
      <c r="AO198" s="847"/>
      <c r="AP198" s="847"/>
      <c r="AQ198" s="847"/>
      <c r="AR198" s="847"/>
      <c r="AS198" s="847"/>
      <c r="AT198" s="847"/>
      <c r="AU198" s="847"/>
      <c r="AV198" s="847"/>
      <c r="AW198" s="847"/>
      <c r="AX198" s="847"/>
      <c r="AY198" s="847"/>
      <c r="AZ198" s="847"/>
      <c r="BA198" s="847"/>
      <c r="BB198" s="847"/>
      <c r="BC198" s="847"/>
      <c r="BD198" s="847"/>
      <c r="BE198" s="847"/>
      <c r="BF198" s="847"/>
      <c r="BG198" s="847"/>
      <c r="BH198" s="847"/>
      <c r="BI198" s="847"/>
      <c r="BJ198" s="847"/>
      <c r="BK198" s="847"/>
      <c r="BL198" s="847"/>
      <c r="BM198" s="847"/>
      <c r="BN198" s="847"/>
      <c r="BO198" s="847"/>
      <c r="BP198" s="847"/>
      <c r="BQ198" s="847"/>
      <c r="BR198" s="847"/>
      <c r="BS198" s="847"/>
      <c r="BT198" s="847"/>
      <c r="BU198" s="847"/>
      <c r="BV198" s="847"/>
      <c r="BW198" s="847"/>
      <c r="BX198" s="847"/>
      <c r="BY198" s="847"/>
      <c r="BZ198" s="847"/>
      <c r="CA198" s="847"/>
      <c r="CB198" s="847"/>
      <c r="CC198" s="847"/>
      <c r="CD198" s="847"/>
      <c r="CE198" s="847"/>
      <c r="CF198" s="847"/>
      <c r="CG198" s="847"/>
      <c r="CH198" s="847"/>
      <c r="CI198" s="847"/>
      <c r="CJ198" s="847"/>
      <c r="CK198" s="847"/>
      <c r="CL198" s="847"/>
      <c r="CM198" s="847"/>
      <c r="CN198" s="847"/>
      <c r="CO198" s="847"/>
      <c r="CP198" s="847"/>
      <c r="CQ198" s="847"/>
      <c r="CR198" s="847"/>
      <c r="CS198" s="847"/>
      <c r="CT198" s="847"/>
      <c r="CU198" s="847"/>
      <c r="CV198" s="847"/>
      <c r="CW198" s="847"/>
      <c r="CX198" s="847"/>
      <c r="CY198" s="847"/>
      <c r="CZ198" s="847"/>
      <c r="DA198" s="847"/>
      <c r="DB198" s="847"/>
      <c r="DC198" s="847"/>
      <c r="DD198" s="847"/>
      <c r="DE198" s="847"/>
      <c r="DF198" s="847"/>
      <c r="DG198" s="847"/>
      <c r="DH198" s="847"/>
      <c r="DI198" s="847"/>
      <c r="DJ198" s="847"/>
      <c r="DK198" s="847"/>
      <c r="DL198" s="847"/>
      <c r="DM198" s="1212"/>
      <c r="DN198" s="1222">
        <f>'Lead &amp; ANALYSIS'!G3879</f>
        <v>2.7E-2</v>
      </c>
      <c r="DO198" s="1013">
        <f>ROUND(C198*DN198,2)</f>
        <v>0</v>
      </c>
      <c r="DP198" s="847"/>
      <c r="DQ198" s="1013"/>
      <c r="DR198" s="1225"/>
      <c r="DS198" s="1013"/>
      <c r="DT198" s="1225">
        <f>'Lead &amp; ANALYSIS'!G3878</f>
        <v>2.7E-2</v>
      </c>
      <c r="DU198" s="1214">
        <f>ROUND(C198*DT198,2)</f>
        <v>0</v>
      </c>
      <c r="DV198" s="1242"/>
      <c r="DW198" s="1232"/>
      <c r="DX198" s="1222"/>
      <c r="DY198" s="847"/>
      <c r="DZ198" s="847"/>
      <c r="EA198" s="847"/>
      <c r="EB198" s="847"/>
      <c r="EC198" s="847"/>
      <c r="ED198" s="847"/>
      <c r="EE198" s="847"/>
      <c r="EF198" s="847"/>
      <c r="EG198" s="1212"/>
      <c r="EH198" s="847"/>
      <c r="EI198" s="1212"/>
    </row>
    <row r="199" spans="1:139" s="733" customFormat="1" ht="13.5">
      <c r="A199" s="1009">
        <v>65</v>
      </c>
      <c r="B199" s="1212" t="s">
        <v>3057</v>
      </c>
      <c r="C199" s="1213">
        <v>0</v>
      </c>
      <c r="D199" s="1013" t="s">
        <v>92</v>
      </c>
      <c r="E199" s="847"/>
      <c r="F199" s="1013"/>
      <c r="G199" s="847"/>
      <c r="H199" s="1013"/>
      <c r="I199" s="847"/>
      <c r="J199" s="1013"/>
      <c r="K199" s="847"/>
      <c r="L199" s="1013"/>
      <c r="M199" s="847"/>
      <c r="N199" s="1013"/>
      <c r="O199" s="847"/>
      <c r="P199" s="1013"/>
      <c r="Q199" s="847"/>
      <c r="R199" s="847"/>
      <c r="S199" s="847"/>
      <c r="T199" s="847"/>
      <c r="U199" s="847"/>
      <c r="V199" s="847"/>
      <c r="W199" s="847"/>
      <c r="X199" s="847"/>
      <c r="Y199" s="847"/>
      <c r="Z199" s="847"/>
      <c r="AA199" s="847"/>
      <c r="AB199" s="847"/>
      <c r="AC199" s="847"/>
      <c r="AD199" s="847"/>
      <c r="AE199" s="847">
        <f>'Lead &amp; ANALYSIS'!G3889</f>
        <v>0.14000000000000001</v>
      </c>
      <c r="AF199" s="1013">
        <f>ROUND(C199*AE199,2)</f>
        <v>0</v>
      </c>
      <c r="AG199" s="1013"/>
      <c r="AH199" s="1013"/>
      <c r="AI199" s="847"/>
      <c r="AJ199" s="847"/>
      <c r="AK199" s="847"/>
      <c r="AL199" s="847"/>
      <c r="AM199" s="847"/>
      <c r="AN199" s="847"/>
      <c r="AO199" s="847"/>
      <c r="AP199" s="847"/>
      <c r="AQ199" s="847"/>
      <c r="AR199" s="847"/>
      <c r="AS199" s="847"/>
      <c r="AT199" s="847"/>
      <c r="AU199" s="847"/>
      <c r="AV199" s="847"/>
      <c r="AW199" s="847"/>
      <c r="AX199" s="847"/>
      <c r="AY199" s="847"/>
      <c r="AZ199" s="847"/>
      <c r="BA199" s="847"/>
      <c r="BB199" s="847"/>
      <c r="BC199" s="847"/>
      <c r="BD199" s="847"/>
      <c r="BE199" s="847"/>
      <c r="BF199" s="847"/>
      <c r="BG199" s="847"/>
      <c r="BH199" s="847"/>
      <c r="BI199" s="847"/>
      <c r="BJ199" s="847"/>
      <c r="BK199" s="847"/>
      <c r="BL199" s="847"/>
      <c r="BM199" s="847"/>
      <c r="BN199" s="847"/>
      <c r="BO199" s="847"/>
      <c r="BP199" s="847"/>
      <c r="BQ199" s="847"/>
      <c r="BR199" s="847"/>
      <c r="BS199" s="847"/>
      <c r="BT199" s="847"/>
      <c r="BU199" s="847"/>
      <c r="BV199" s="847"/>
      <c r="BW199" s="847"/>
      <c r="BX199" s="847"/>
      <c r="BY199" s="847"/>
      <c r="BZ199" s="847"/>
      <c r="CA199" s="847"/>
      <c r="CB199" s="847"/>
      <c r="CC199" s="847"/>
      <c r="CD199" s="847"/>
      <c r="CE199" s="847"/>
      <c r="CF199" s="847"/>
      <c r="CG199" s="847"/>
      <c r="CH199" s="847"/>
      <c r="CI199" s="847"/>
      <c r="CJ199" s="847"/>
      <c r="CK199" s="847"/>
      <c r="CL199" s="847"/>
      <c r="CM199" s="847"/>
      <c r="CN199" s="847"/>
      <c r="CO199" s="847"/>
      <c r="CP199" s="847"/>
      <c r="CQ199" s="847"/>
      <c r="CR199" s="847"/>
      <c r="CS199" s="847"/>
      <c r="CT199" s="847"/>
      <c r="CU199" s="847"/>
      <c r="CV199" s="847"/>
      <c r="CW199" s="847"/>
      <c r="CX199" s="847"/>
      <c r="CY199" s="847"/>
      <c r="CZ199" s="847"/>
      <c r="DA199" s="847"/>
      <c r="DB199" s="847"/>
      <c r="DC199" s="847"/>
      <c r="DD199" s="847"/>
      <c r="DE199" s="847"/>
      <c r="DF199" s="847"/>
      <c r="DG199" s="847"/>
      <c r="DH199" s="847"/>
      <c r="DI199" s="847"/>
      <c r="DJ199" s="847"/>
      <c r="DK199" s="847"/>
      <c r="DL199" s="847"/>
      <c r="DM199" s="1212"/>
      <c r="DN199" s="1222">
        <f>'Lead &amp; ANALYSIS'!G3893</f>
        <v>0.28000000000000003</v>
      </c>
      <c r="DO199" s="1013">
        <f>ROUND(C199*DN199,2)</f>
        <v>0</v>
      </c>
      <c r="DP199" s="847"/>
      <c r="DQ199" s="1013"/>
      <c r="DR199" s="1225">
        <f>'Lead &amp; ANALYSIS'!G3892</f>
        <v>0.05</v>
      </c>
      <c r="DS199" s="1013">
        <f>ROUND(C199*DR199,2)</f>
        <v>0</v>
      </c>
      <c r="DT199" s="1225"/>
      <c r="DU199" s="1214"/>
      <c r="DV199" s="1242"/>
      <c r="DW199" s="1232"/>
      <c r="DX199" s="1222"/>
      <c r="DY199" s="847"/>
      <c r="DZ199" s="847"/>
      <c r="EA199" s="847"/>
      <c r="EB199" s="847"/>
      <c r="EC199" s="847"/>
      <c r="ED199" s="847"/>
      <c r="EE199" s="847"/>
      <c r="EF199" s="847"/>
      <c r="EG199" s="1212"/>
      <c r="EH199" s="847"/>
      <c r="EI199" s="1212"/>
    </row>
    <row r="200" spans="1:139" s="733" customFormat="1" ht="13.5">
      <c r="A200" s="1009">
        <v>66</v>
      </c>
      <c r="B200" s="1212" t="s">
        <v>3058</v>
      </c>
      <c r="C200" s="1213">
        <v>0</v>
      </c>
      <c r="D200" s="1013" t="s">
        <v>92</v>
      </c>
      <c r="E200" s="847"/>
      <c r="F200" s="1013"/>
      <c r="G200" s="847"/>
      <c r="H200" s="1013"/>
      <c r="I200" s="847"/>
      <c r="J200" s="1013"/>
      <c r="K200" s="847"/>
      <c r="L200" s="1013"/>
      <c r="M200" s="847"/>
      <c r="N200" s="1013"/>
      <c r="O200" s="847"/>
      <c r="P200" s="1013"/>
      <c r="Q200" s="847"/>
      <c r="R200" s="847"/>
      <c r="S200" s="847"/>
      <c r="T200" s="847"/>
      <c r="U200" s="847"/>
      <c r="V200" s="847"/>
      <c r="W200" s="847"/>
      <c r="X200" s="847"/>
      <c r="Y200" s="847"/>
      <c r="Z200" s="847"/>
      <c r="AA200" s="847"/>
      <c r="AB200" s="847"/>
      <c r="AC200" s="847"/>
      <c r="AD200" s="847"/>
      <c r="AE200" s="847"/>
      <c r="AF200" s="1013"/>
      <c r="AG200" s="1013"/>
      <c r="AH200" s="1013"/>
      <c r="AI200" s="847"/>
      <c r="AJ200" s="847"/>
      <c r="AK200" s="847"/>
      <c r="AL200" s="847"/>
      <c r="AM200" s="847">
        <f>'Lead &amp; ANALYSIS'!G3903</f>
        <v>0.14000000000000001</v>
      </c>
      <c r="AN200" s="847">
        <f>C200*AM200</f>
        <v>0</v>
      </c>
      <c r="AO200" s="847"/>
      <c r="AP200" s="847"/>
      <c r="AQ200" s="847"/>
      <c r="AR200" s="847"/>
      <c r="AS200" s="847"/>
      <c r="AT200" s="847"/>
      <c r="AU200" s="847"/>
      <c r="AV200" s="847"/>
      <c r="AW200" s="847"/>
      <c r="AX200" s="847"/>
      <c r="AY200" s="847"/>
      <c r="AZ200" s="847"/>
      <c r="BA200" s="847"/>
      <c r="BB200" s="847"/>
      <c r="BC200" s="847"/>
      <c r="BD200" s="847"/>
      <c r="BE200" s="847"/>
      <c r="BF200" s="847"/>
      <c r="BG200" s="847"/>
      <c r="BH200" s="847"/>
      <c r="BI200" s="847"/>
      <c r="BJ200" s="847"/>
      <c r="BK200" s="847"/>
      <c r="BL200" s="847"/>
      <c r="BM200" s="847"/>
      <c r="BN200" s="847"/>
      <c r="BO200" s="847"/>
      <c r="BP200" s="847"/>
      <c r="BQ200" s="847"/>
      <c r="BR200" s="847"/>
      <c r="BS200" s="847"/>
      <c r="BT200" s="847"/>
      <c r="BU200" s="847"/>
      <c r="BV200" s="847"/>
      <c r="BW200" s="847"/>
      <c r="BX200" s="847"/>
      <c r="BY200" s="847"/>
      <c r="BZ200" s="847"/>
      <c r="CA200" s="847"/>
      <c r="CB200" s="847"/>
      <c r="CC200" s="847"/>
      <c r="CD200" s="847"/>
      <c r="CE200" s="847"/>
      <c r="CF200" s="847"/>
      <c r="CG200" s="847"/>
      <c r="CH200" s="847"/>
      <c r="CI200" s="847"/>
      <c r="CJ200" s="847"/>
      <c r="CK200" s="847"/>
      <c r="CL200" s="847"/>
      <c r="CM200" s="847"/>
      <c r="CN200" s="847"/>
      <c r="CO200" s="847"/>
      <c r="CP200" s="847"/>
      <c r="CQ200" s="847"/>
      <c r="CR200" s="847"/>
      <c r="CS200" s="847"/>
      <c r="CT200" s="847"/>
      <c r="CU200" s="847"/>
      <c r="CV200" s="847"/>
      <c r="CW200" s="847"/>
      <c r="CX200" s="847"/>
      <c r="CY200" s="847"/>
      <c r="CZ200" s="847"/>
      <c r="DA200" s="847"/>
      <c r="DB200" s="847"/>
      <c r="DC200" s="847"/>
      <c r="DD200" s="847"/>
      <c r="DE200" s="847"/>
      <c r="DF200" s="847"/>
      <c r="DG200" s="847"/>
      <c r="DH200" s="847"/>
      <c r="DI200" s="847"/>
      <c r="DJ200" s="847"/>
      <c r="DK200" s="847"/>
      <c r="DL200" s="847"/>
      <c r="DM200" s="1212"/>
      <c r="DN200" s="1222">
        <f>'Lead &amp; ANALYSIS'!G3907</f>
        <v>0.28000000000000003</v>
      </c>
      <c r="DO200" s="1013">
        <f>ROUND(C200*DN200,2)</f>
        <v>0</v>
      </c>
      <c r="DP200" s="847"/>
      <c r="DQ200" s="1013"/>
      <c r="DR200" s="1225">
        <f>'Lead &amp; ANALYSIS'!G3906</f>
        <v>0.05</v>
      </c>
      <c r="DS200" s="1013">
        <f>ROUND(C200*DR200,2)</f>
        <v>0</v>
      </c>
      <c r="DT200" s="1225"/>
      <c r="DU200" s="1214"/>
      <c r="DV200" s="1242"/>
      <c r="DW200" s="1232"/>
      <c r="DX200" s="1222"/>
      <c r="DY200" s="847"/>
      <c r="DZ200" s="847"/>
      <c r="EA200" s="847"/>
      <c r="EB200" s="847"/>
      <c r="EC200" s="847"/>
      <c r="ED200" s="847"/>
      <c r="EE200" s="847"/>
      <c r="EF200" s="847"/>
      <c r="EG200" s="1212"/>
      <c r="EH200" s="847"/>
      <c r="EI200" s="1212"/>
    </row>
    <row r="201" spans="1:139" s="733" customFormat="1" ht="13.5">
      <c r="A201" s="1009">
        <v>67</v>
      </c>
      <c r="B201" s="1212" t="s">
        <v>1601</v>
      </c>
      <c r="C201" s="1213">
        <v>0</v>
      </c>
      <c r="D201" s="1013" t="s">
        <v>92</v>
      </c>
      <c r="E201" s="847"/>
      <c r="F201" s="1013"/>
      <c r="G201" s="1225">
        <f>'Lead &amp; ANALYSIS'!G3919</f>
        <v>1.2E-2</v>
      </c>
      <c r="H201" s="1013">
        <f t="shared" si="9"/>
        <v>0</v>
      </c>
      <c r="I201" s="847"/>
      <c r="J201" s="1013"/>
      <c r="K201" s="847">
        <f>'Lead &amp; ANALYSIS'!G3920</f>
        <v>8.5800000000000001E-2</v>
      </c>
      <c r="L201" s="1013">
        <f t="shared" si="10"/>
        <v>0</v>
      </c>
      <c r="M201" s="847"/>
      <c r="N201" s="1013"/>
      <c r="O201" s="847"/>
      <c r="P201" s="1013"/>
      <c r="Q201" s="847"/>
      <c r="R201" s="847">
        <f>'Lead &amp; ANALYSIS'!G3918</f>
        <v>2.3E-2</v>
      </c>
      <c r="S201" s="847"/>
      <c r="T201" s="847"/>
      <c r="U201" s="1013">
        <f>ROUND(C201*R201,2)</f>
        <v>0</v>
      </c>
      <c r="V201" s="1013"/>
      <c r="W201" s="1013"/>
      <c r="X201" s="1013"/>
      <c r="Y201" s="1013"/>
      <c r="Z201" s="1013"/>
      <c r="AA201" s="1013"/>
      <c r="AB201" s="1013"/>
      <c r="AC201" s="847"/>
      <c r="AD201" s="847"/>
      <c r="AE201" s="847"/>
      <c r="AF201" s="847"/>
      <c r="AG201" s="847"/>
      <c r="AH201" s="847"/>
      <c r="AI201" s="847"/>
      <c r="AJ201" s="847"/>
      <c r="AK201" s="847"/>
      <c r="AL201" s="847"/>
      <c r="AM201" s="847"/>
      <c r="AN201" s="847"/>
      <c r="AO201" s="847"/>
      <c r="AP201" s="847"/>
      <c r="AQ201" s="847"/>
      <c r="AR201" s="847"/>
      <c r="AS201" s="847"/>
      <c r="AT201" s="847"/>
      <c r="AU201" s="847"/>
      <c r="AV201" s="847"/>
      <c r="AW201" s="847"/>
      <c r="AX201" s="847"/>
      <c r="AY201" s="847"/>
      <c r="AZ201" s="847"/>
      <c r="BA201" s="847"/>
      <c r="BB201" s="847"/>
      <c r="BC201" s="847"/>
      <c r="BD201" s="847"/>
      <c r="BE201" s="847"/>
      <c r="BF201" s="847"/>
      <c r="BG201" s="847"/>
      <c r="BH201" s="847"/>
      <c r="BI201" s="847"/>
      <c r="BJ201" s="847"/>
      <c r="BK201" s="847"/>
      <c r="BL201" s="847"/>
      <c r="BM201" s="847"/>
      <c r="BN201" s="847"/>
      <c r="BO201" s="847"/>
      <c r="BP201" s="847"/>
      <c r="BQ201" s="847"/>
      <c r="BR201" s="847"/>
      <c r="BS201" s="847"/>
      <c r="BT201" s="847"/>
      <c r="BU201" s="847"/>
      <c r="BV201" s="847"/>
      <c r="BW201" s="847"/>
      <c r="BX201" s="847"/>
      <c r="BY201" s="847"/>
      <c r="BZ201" s="847"/>
      <c r="CA201" s="847"/>
      <c r="CB201" s="847"/>
      <c r="CC201" s="847"/>
      <c r="CD201" s="847"/>
      <c r="CE201" s="847"/>
      <c r="CF201" s="847"/>
      <c r="CG201" s="847"/>
      <c r="CH201" s="847"/>
      <c r="CI201" s="847"/>
      <c r="CJ201" s="847"/>
      <c r="CK201" s="847"/>
      <c r="CL201" s="847"/>
      <c r="CM201" s="847"/>
      <c r="CN201" s="847"/>
      <c r="CO201" s="847"/>
      <c r="CP201" s="847"/>
      <c r="CQ201" s="847"/>
      <c r="CR201" s="847"/>
      <c r="CS201" s="847"/>
      <c r="CT201" s="847"/>
      <c r="CU201" s="847"/>
      <c r="CV201" s="847"/>
      <c r="CW201" s="847"/>
      <c r="CX201" s="847"/>
      <c r="CY201" s="847"/>
      <c r="CZ201" s="847"/>
      <c r="DA201" s="847"/>
      <c r="DB201" s="847"/>
      <c r="DC201" s="847"/>
      <c r="DD201" s="847"/>
      <c r="DE201" s="847"/>
      <c r="DF201" s="847"/>
      <c r="DG201" s="847"/>
      <c r="DH201" s="847"/>
      <c r="DI201" s="847"/>
      <c r="DJ201" s="847"/>
      <c r="DK201" s="847"/>
      <c r="DL201" s="847"/>
      <c r="DM201" s="1212"/>
      <c r="DN201" s="1222"/>
      <c r="DO201" s="1013"/>
      <c r="DP201" s="847"/>
      <c r="DQ201" s="1013"/>
      <c r="DR201" s="1225"/>
      <c r="DS201" s="1013"/>
      <c r="DT201" s="1225"/>
      <c r="DU201" s="1214"/>
      <c r="DV201" s="1242"/>
      <c r="DW201" s="1232"/>
      <c r="DX201" s="1222"/>
      <c r="DY201" s="847"/>
      <c r="DZ201" s="847"/>
      <c r="EA201" s="847"/>
      <c r="EB201" s="847"/>
      <c r="EC201" s="847"/>
      <c r="ED201" s="847"/>
      <c r="EE201" s="847"/>
      <c r="EF201" s="847"/>
      <c r="EG201" s="1212"/>
      <c r="EH201" s="847"/>
      <c r="EI201" s="1212"/>
    </row>
    <row r="202" spans="1:139" s="733" customFormat="1" ht="13.5">
      <c r="A202" s="1009"/>
      <c r="B202" s="1212" t="s">
        <v>2066</v>
      </c>
      <c r="C202" s="1213">
        <v>0</v>
      </c>
      <c r="D202" s="1013" t="s">
        <v>92</v>
      </c>
      <c r="E202" s="847"/>
      <c r="F202" s="1013"/>
      <c r="G202" s="1225">
        <f>G201</f>
        <v>1.2E-2</v>
      </c>
      <c r="H202" s="1013">
        <f t="shared" si="9"/>
        <v>0</v>
      </c>
      <c r="I202" s="847"/>
      <c r="J202" s="1013"/>
      <c r="K202" s="847">
        <f>K201</f>
        <v>8.5800000000000001E-2</v>
      </c>
      <c r="L202" s="1013">
        <f t="shared" si="10"/>
        <v>0</v>
      </c>
      <c r="M202" s="847"/>
      <c r="N202" s="1013"/>
      <c r="O202" s="847"/>
      <c r="P202" s="1013"/>
      <c r="Q202" s="847"/>
      <c r="R202" s="847">
        <f>R201</f>
        <v>2.3E-2</v>
      </c>
      <c r="S202" s="847"/>
      <c r="T202" s="847"/>
      <c r="U202" s="1013">
        <f>ROUND(C202*R202,2)</f>
        <v>0</v>
      </c>
      <c r="V202" s="1013"/>
      <c r="W202" s="1013"/>
      <c r="X202" s="1013"/>
      <c r="Y202" s="1013"/>
      <c r="Z202" s="1013"/>
      <c r="AA202" s="1013"/>
      <c r="AB202" s="1013"/>
      <c r="AC202" s="847"/>
      <c r="AD202" s="847"/>
      <c r="AE202" s="847"/>
      <c r="AF202" s="847"/>
      <c r="AG202" s="847"/>
      <c r="AH202" s="847"/>
      <c r="AI202" s="847"/>
      <c r="AJ202" s="847"/>
      <c r="AK202" s="847"/>
      <c r="AL202" s="847"/>
      <c r="AM202" s="847"/>
      <c r="AN202" s="847"/>
      <c r="AO202" s="847"/>
      <c r="AP202" s="847"/>
      <c r="AQ202" s="847"/>
      <c r="AR202" s="847"/>
      <c r="AS202" s="847"/>
      <c r="AT202" s="847"/>
      <c r="AU202" s="847"/>
      <c r="AV202" s="847"/>
      <c r="AW202" s="847"/>
      <c r="AX202" s="847"/>
      <c r="AY202" s="847"/>
      <c r="AZ202" s="847"/>
      <c r="BA202" s="847"/>
      <c r="BB202" s="847"/>
      <c r="BC202" s="847"/>
      <c r="BD202" s="847"/>
      <c r="BE202" s="847"/>
      <c r="BF202" s="847"/>
      <c r="BG202" s="847"/>
      <c r="BH202" s="847"/>
      <c r="BI202" s="847"/>
      <c r="BJ202" s="847"/>
      <c r="BK202" s="847"/>
      <c r="BL202" s="847"/>
      <c r="BM202" s="847"/>
      <c r="BN202" s="847"/>
      <c r="BO202" s="847"/>
      <c r="BP202" s="847"/>
      <c r="BQ202" s="847"/>
      <c r="BR202" s="847"/>
      <c r="BS202" s="847"/>
      <c r="BT202" s="847"/>
      <c r="BU202" s="847"/>
      <c r="BV202" s="847"/>
      <c r="BW202" s="847"/>
      <c r="BX202" s="847"/>
      <c r="BY202" s="847"/>
      <c r="BZ202" s="847"/>
      <c r="CA202" s="847"/>
      <c r="CB202" s="847"/>
      <c r="CC202" s="847"/>
      <c r="CD202" s="847"/>
      <c r="CE202" s="847"/>
      <c r="CF202" s="847"/>
      <c r="CG202" s="847"/>
      <c r="CH202" s="847"/>
      <c r="CI202" s="847"/>
      <c r="CJ202" s="847"/>
      <c r="CK202" s="847"/>
      <c r="CL202" s="847"/>
      <c r="CM202" s="847"/>
      <c r="CN202" s="847"/>
      <c r="CO202" s="847"/>
      <c r="CP202" s="847"/>
      <c r="CQ202" s="847"/>
      <c r="CR202" s="847"/>
      <c r="CS202" s="847"/>
      <c r="CT202" s="847"/>
      <c r="CU202" s="847"/>
      <c r="CV202" s="847"/>
      <c r="CW202" s="847"/>
      <c r="CX202" s="847"/>
      <c r="CY202" s="847"/>
      <c r="CZ202" s="847"/>
      <c r="DA202" s="847"/>
      <c r="DB202" s="847"/>
      <c r="DC202" s="847"/>
      <c r="DD202" s="847"/>
      <c r="DE202" s="847"/>
      <c r="DF202" s="847"/>
      <c r="DG202" s="847"/>
      <c r="DH202" s="847"/>
      <c r="DI202" s="847"/>
      <c r="DJ202" s="847"/>
      <c r="DK202" s="847"/>
      <c r="DL202" s="847"/>
      <c r="DM202" s="1212"/>
      <c r="DN202" s="1222">
        <f>'Lead &amp; ANALYSIS'!G3924</f>
        <v>0.36</v>
      </c>
      <c r="DO202" s="1013">
        <f>ROUND(C202*DN202,2)</f>
        <v>0</v>
      </c>
      <c r="DP202" s="847"/>
      <c r="DQ202" s="1013"/>
      <c r="DR202" s="1225"/>
      <c r="DS202" s="1013"/>
      <c r="DT202" s="1225">
        <f>'Lead &amp; ANALYSIS'!G3923</f>
        <v>0.13</v>
      </c>
      <c r="DU202" s="1214">
        <f>ROUND(C202*DT202,2)</f>
        <v>0</v>
      </c>
      <c r="DV202" s="1242"/>
      <c r="DW202" s="1232"/>
      <c r="DX202" s="1222"/>
      <c r="DY202" s="847"/>
      <c r="DZ202" s="847"/>
      <c r="EA202" s="847"/>
      <c r="EB202" s="847"/>
      <c r="EC202" s="847"/>
      <c r="ED202" s="847"/>
      <c r="EE202" s="847"/>
      <c r="EF202" s="847"/>
      <c r="EG202" s="1212"/>
      <c r="EH202" s="847"/>
      <c r="EI202" s="1212"/>
    </row>
    <row r="203" spans="1:139" s="733" customFormat="1" ht="13.5">
      <c r="A203" s="1009"/>
      <c r="B203" s="1212" t="s">
        <v>2067</v>
      </c>
      <c r="C203" s="1213">
        <v>0</v>
      </c>
      <c r="D203" s="1013" t="s">
        <v>92</v>
      </c>
      <c r="E203" s="847"/>
      <c r="F203" s="1013"/>
      <c r="G203" s="1013"/>
      <c r="H203" s="1013"/>
      <c r="I203" s="847"/>
      <c r="J203" s="1013"/>
      <c r="K203" s="847"/>
      <c r="L203" s="1013"/>
      <c r="M203" s="847"/>
      <c r="N203" s="1013"/>
      <c r="O203" s="847"/>
      <c r="P203" s="1013"/>
      <c r="Q203" s="847"/>
      <c r="R203" s="847"/>
      <c r="S203" s="847"/>
      <c r="T203" s="847"/>
      <c r="U203" s="1013"/>
      <c r="V203" s="1013"/>
      <c r="W203" s="1013"/>
      <c r="X203" s="1013"/>
      <c r="Y203" s="1013"/>
      <c r="Z203" s="1013"/>
      <c r="AA203" s="1013"/>
      <c r="AB203" s="1013"/>
      <c r="AC203" s="847"/>
      <c r="AD203" s="847"/>
      <c r="AE203" s="847"/>
      <c r="AF203" s="847"/>
      <c r="AG203" s="847"/>
      <c r="AH203" s="847"/>
      <c r="AI203" s="847"/>
      <c r="AJ203" s="847"/>
      <c r="AK203" s="847"/>
      <c r="AL203" s="847"/>
      <c r="AM203" s="847"/>
      <c r="AN203" s="847"/>
      <c r="AO203" s="847"/>
      <c r="AP203" s="847"/>
      <c r="AQ203" s="847"/>
      <c r="AR203" s="847"/>
      <c r="AS203" s="847"/>
      <c r="AT203" s="847"/>
      <c r="AU203" s="847"/>
      <c r="AV203" s="847"/>
      <c r="AW203" s="847"/>
      <c r="AX203" s="847"/>
      <c r="AY203" s="847"/>
      <c r="AZ203" s="847"/>
      <c r="BA203" s="847"/>
      <c r="BB203" s="847"/>
      <c r="BC203" s="847"/>
      <c r="BD203" s="847"/>
      <c r="BE203" s="847"/>
      <c r="BF203" s="847"/>
      <c r="BG203" s="847"/>
      <c r="BH203" s="847"/>
      <c r="BI203" s="847"/>
      <c r="BJ203" s="847"/>
      <c r="BK203" s="847"/>
      <c r="BL203" s="847"/>
      <c r="BM203" s="847"/>
      <c r="BN203" s="847"/>
      <c r="BO203" s="847"/>
      <c r="BP203" s="847"/>
      <c r="BQ203" s="847"/>
      <c r="BR203" s="847"/>
      <c r="BS203" s="847"/>
      <c r="BT203" s="847"/>
      <c r="BU203" s="847"/>
      <c r="BV203" s="847"/>
      <c r="BW203" s="847"/>
      <c r="BX203" s="847"/>
      <c r="BY203" s="847"/>
      <c r="BZ203" s="847"/>
      <c r="CA203" s="847"/>
      <c r="CB203" s="847"/>
      <c r="CC203" s="847"/>
      <c r="CD203" s="847"/>
      <c r="CE203" s="847"/>
      <c r="CF203" s="847"/>
      <c r="CG203" s="847"/>
      <c r="CH203" s="847"/>
      <c r="CI203" s="847"/>
      <c r="CJ203" s="847"/>
      <c r="CK203" s="847"/>
      <c r="CL203" s="847"/>
      <c r="CM203" s="847"/>
      <c r="CN203" s="847"/>
      <c r="CO203" s="847"/>
      <c r="CP203" s="847"/>
      <c r="CQ203" s="847"/>
      <c r="CR203" s="847"/>
      <c r="CS203" s="847"/>
      <c r="CT203" s="847"/>
      <c r="CU203" s="847"/>
      <c r="CV203" s="847"/>
      <c r="CW203" s="847"/>
      <c r="CX203" s="847"/>
      <c r="CY203" s="847"/>
      <c r="CZ203" s="847"/>
      <c r="DA203" s="847"/>
      <c r="DB203" s="847"/>
      <c r="DC203" s="847"/>
      <c r="DD203" s="847"/>
      <c r="DE203" s="847"/>
      <c r="DF203" s="847"/>
      <c r="DG203" s="847"/>
      <c r="DH203" s="847"/>
      <c r="DI203" s="847"/>
      <c r="DJ203" s="847"/>
      <c r="DK203" s="847"/>
      <c r="DL203" s="847"/>
      <c r="DM203" s="1212"/>
      <c r="DN203" s="1222">
        <f>DN202+DN202*3%</f>
        <v>0.37079999999999996</v>
      </c>
      <c r="DO203" s="1013">
        <f>ROUND(C203*DN203,2)</f>
        <v>0</v>
      </c>
      <c r="DP203" s="847"/>
      <c r="DQ203" s="1013"/>
      <c r="DR203" s="1225"/>
      <c r="DS203" s="1013"/>
      <c r="DT203" s="847">
        <f>DT202+DT202*3%</f>
        <v>0.13389999999999999</v>
      </c>
      <c r="DU203" s="1214">
        <f>ROUND(C203*DT203,2)</f>
        <v>0</v>
      </c>
      <c r="DV203" s="1242"/>
      <c r="DW203" s="1232"/>
      <c r="DX203" s="1222"/>
      <c r="DY203" s="847"/>
      <c r="DZ203" s="847"/>
      <c r="EA203" s="847"/>
      <c r="EB203" s="847"/>
      <c r="EC203" s="847"/>
      <c r="ED203" s="847"/>
      <c r="EE203" s="847"/>
      <c r="EF203" s="847"/>
      <c r="EG203" s="1212"/>
      <c r="EH203" s="847"/>
      <c r="EI203" s="1212"/>
    </row>
    <row r="204" spans="1:139" s="733" customFormat="1" ht="13.5">
      <c r="A204" s="1009">
        <v>68</v>
      </c>
      <c r="B204" s="1212" t="s">
        <v>3059</v>
      </c>
      <c r="C204" s="1213">
        <v>0</v>
      </c>
      <c r="D204" s="1013" t="s">
        <v>92</v>
      </c>
      <c r="E204" s="847"/>
      <c r="F204" s="1013"/>
      <c r="G204" s="1013"/>
      <c r="H204" s="1013"/>
      <c r="I204" s="847"/>
      <c r="J204" s="1013"/>
      <c r="K204" s="847"/>
      <c r="L204" s="1013"/>
      <c r="M204" s="847"/>
      <c r="N204" s="1013"/>
      <c r="O204" s="847"/>
      <c r="P204" s="1013"/>
      <c r="Q204" s="847"/>
      <c r="R204" s="847"/>
      <c r="S204" s="847"/>
      <c r="T204" s="847"/>
      <c r="U204" s="1013"/>
      <c r="V204" s="1013"/>
      <c r="W204" s="1013"/>
      <c r="X204" s="1013"/>
      <c r="Y204" s="1013"/>
      <c r="Z204" s="1013"/>
      <c r="AA204" s="1013"/>
      <c r="AB204" s="1013"/>
      <c r="AC204" s="847"/>
      <c r="AD204" s="847"/>
      <c r="AE204" s="847"/>
      <c r="AF204" s="847"/>
      <c r="AG204" s="847"/>
      <c r="AH204" s="847"/>
      <c r="AI204" s="847"/>
      <c r="AJ204" s="847"/>
      <c r="AK204" s="847"/>
      <c r="AL204" s="847"/>
      <c r="AM204" s="847"/>
      <c r="AN204" s="847"/>
      <c r="AO204" s="847"/>
      <c r="AP204" s="847"/>
      <c r="AQ204" s="847"/>
      <c r="AR204" s="847"/>
      <c r="AS204" s="847"/>
      <c r="AT204" s="847"/>
      <c r="AU204" s="847"/>
      <c r="AV204" s="847"/>
      <c r="AW204" s="847"/>
      <c r="AX204" s="847"/>
      <c r="AY204" s="847"/>
      <c r="AZ204" s="847"/>
      <c r="BA204" s="847"/>
      <c r="BB204" s="847"/>
      <c r="BC204" s="847"/>
      <c r="BD204" s="847"/>
      <c r="BE204" s="847"/>
      <c r="BF204" s="847"/>
      <c r="BG204" s="847"/>
      <c r="BH204" s="847"/>
      <c r="BI204" s="847"/>
      <c r="BJ204" s="847"/>
      <c r="BK204" s="847"/>
      <c r="BL204" s="847"/>
      <c r="BM204" s="847"/>
      <c r="BN204" s="847"/>
      <c r="BO204" s="847"/>
      <c r="BP204" s="847"/>
      <c r="BQ204" s="847"/>
      <c r="BR204" s="847"/>
      <c r="BS204" s="847"/>
      <c r="BT204" s="847"/>
      <c r="BU204" s="847"/>
      <c r="BV204" s="847"/>
      <c r="BW204" s="847"/>
      <c r="BX204" s="847"/>
      <c r="BY204" s="847"/>
      <c r="BZ204" s="847"/>
      <c r="CA204" s="847"/>
      <c r="CB204" s="847"/>
      <c r="CC204" s="847"/>
      <c r="CD204" s="847"/>
      <c r="CE204" s="847"/>
      <c r="CF204" s="847"/>
      <c r="CG204" s="847"/>
      <c r="CH204" s="847"/>
      <c r="CI204" s="847"/>
      <c r="CJ204" s="847"/>
      <c r="CK204" s="847"/>
      <c r="CL204" s="847"/>
      <c r="CM204" s="847"/>
      <c r="CN204" s="847"/>
      <c r="CO204" s="847"/>
      <c r="CP204" s="847"/>
      <c r="CQ204" s="847"/>
      <c r="CR204" s="847"/>
      <c r="CS204" s="847"/>
      <c r="CT204" s="847"/>
      <c r="CU204" s="847"/>
      <c r="CV204" s="847"/>
      <c r="CW204" s="847"/>
      <c r="CX204" s="847"/>
      <c r="CY204" s="847"/>
      <c r="CZ204" s="847"/>
      <c r="DA204" s="847"/>
      <c r="DB204" s="847"/>
      <c r="DC204" s="847"/>
      <c r="DD204" s="847"/>
      <c r="DE204" s="847"/>
      <c r="DF204" s="847"/>
      <c r="DG204" s="847"/>
      <c r="DH204" s="847"/>
      <c r="DI204" s="847"/>
      <c r="DJ204" s="847"/>
      <c r="DK204" s="847"/>
      <c r="DL204" s="847"/>
      <c r="DM204" s="1212"/>
      <c r="DN204" s="1222"/>
      <c r="DO204" s="1013"/>
      <c r="DP204" s="847"/>
      <c r="DQ204" s="1013"/>
      <c r="DR204" s="1225"/>
      <c r="DS204" s="1013"/>
      <c r="DT204" s="1225"/>
      <c r="DU204" s="1214"/>
      <c r="DV204" s="1242"/>
      <c r="DW204" s="1232"/>
      <c r="DX204" s="1222"/>
      <c r="DY204" s="847"/>
      <c r="DZ204" s="847"/>
      <c r="EA204" s="847"/>
      <c r="EB204" s="847"/>
      <c r="EC204" s="847"/>
      <c r="ED204" s="847"/>
      <c r="EE204" s="847"/>
      <c r="EF204" s="847"/>
      <c r="EG204" s="1212"/>
      <c r="EH204" s="847"/>
      <c r="EI204" s="1212"/>
    </row>
    <row r="205" spans="1:139" s="733" customFormat="1" ht="13.5">
      <c r="A205" s="1009"/>
      <c r="B205" s="1212" t="s">
        <v>2066</v>
      </c>
      <c r="C205" s="1213">
        <v>0</v>
      </c>
      <c r="D205" s="1013" t="s">
        <v>92</v>
      </c>
      <c r="E205" s="847"/>
      <c r="F205" s="1013"/>
      <c r="G205" s="1236">
        <f>'Lead &amp; ANALYSIS'!G3990</f>
        <v>1.6899999999999998E-2</v>
      </c>
      <c r="H205" s="1013">
        <f t="shared" si="9"/>
        <v>0</v>
      </c>
      <c r="I205" s="847"/>
      <c r="J205" s="1013"/>
      <c r="K205" s="847">
        <f>'Lead &amp; ANALYSIS'!G3991</f>
        <v>0.1208</v>
      </c>
      <c r="L205" s="1013">
        <f t="shared" si="10"/>
        <v>0</v>
      </c>
      <c r="M205" s="847"/>
      <c r="N205" s="1013"/>
      <c r="O205" s="847"/>
      <c r="P205" s="1013"/>
      <c r="Q205" s="847"/>
      <c r="R205" s="847">
        <f>'Lead &amp; ANALYSIS'!G3989</f>
        <v>1.6899999999999998E-2</v>
      </c>
      <c r="S205" s="847"/>
      <c r="T205" s="847"/>
      <c r="U205" s="1013"/>
      <c r="V205" s="1013"/>
      <c r="W205" s="1013">
        <f>ROUND(C205*R205,2)</f>
        <v>0</v>
      </c>
      <c r="X205" s="1013"/>
      <c r="Y205" s="1013"/>
      <c r="Z205" s="1013"/>
      <c r="AA205" s="1013"/>
      <c r="AB205" s="1013"/>
      <c r="AC205" s="847"/>
      <c r="AD205" s="847"/>
      <c r="AE205" s="847"/>
      <c r="AF205" s="847"/>
      <c r="AG205" s="847"/>
      <c r="AH205" s="847"/>
      <c r="AI205" s="847"/>
      <c r="AJ205" s="847"/>
      <c r="AK205" s="847"/>
      <c r="AL205" s="847"/>
      <c r="AM205" s="847"/>
      <c r="AN205" s="847"/>
      <c r="AO205" s="847"/>
      <c r="AP205" s="847"/>
      <c r="AQ205" s="847"/>
      <c r="AR205" s="847"/>
      <c r="AS205" s="847"/>
      <c r="AT205" s="847"/>
      <c r="AU205" s="847"/>
      <c r="AV205" s="847"/>
      <c r="AW205" s="847"/>
      <c r="AX205" s="847"/>
      <c r="AY205" s="847"/>
      <c r="AZ205" s="847"/>
      <c r="BA205" s="847"/>
      <c r="BB205" s="847"/>
      <c r="BC205" s="847"/>
      <c r="BD205" s="847"/>
      <c r="BE205" s="847"/>
      <c r="BF205" s="847"/>
      <c r="BG205" s="847"/>
      <c r="BH205" s="847"/>
      <c r="BI205" s="847"/>
      <c r="BJ205" s="847"/>
      <c r="BK205" s="847"/>
      <c r="BL205" s="847"/>
      <c r="BM205" s="847"/>
      <c r="BN205" s="847"/>
      <c r="BO205" s="847"/>
      <c r="BP205" s="847"/>
      <c r="BQ205" s="847"/>
      <c r="BR205" s="847"/>
      <c r="BS205" s="847"/>
      <c r="BT205" s="847"/>
      <c r="BU205" s="847"/>
      <c r="BV205" s="847"/>
      <c r="BW205" s="847"/>
      <c r="BX205" s="847"/>
      <c r="BY205" s="847"/>
      <c r="BZ205" s="847"/>
      <c r="CA205" s="847"/>
      <c r="CB205" s="847"/>
      <c r="CC205" s="847"/>
      <c r="CD205" s="847"/>
      <c r="CE205" s="847"/>
      <c r="CF205" s="847"/>
      <c r="CG205" s="847"/>
      <c r="CH205" s="847"/>
      <c r="CI205" s="847"/>
      <c r="CJ205" s="847"/>
      <c r="CK205" s="847"/>
      <c r="CL205" s="847"/>
      <c r="CM205" s="847"/>
      <c r="CN205" s="847"/>
      <c r="CO205" s="847"/>
      <c r="CP205" s="847"/>
      <c r="CQ205" s="847"/>
      <c r="CR205" s="847"/>
      <c r="CS205" s="847"/>
      <c r="CT205" s="847"/>
      <c r="CU205" s="847"/>
      <c r="CV205" s="847"/>
      <c r="CW205" s="847"/>
      <c r="CX205" s="847"/>
      <c r="CY205" s="847"/>
      <c r="CZ205" s="847"/>
      <c r="DA205" s="847"/>
      <c r="DB205" s="847"/>
      <c r="DC205" s="847"/>
      <c r="DD205" s="847"/>
      <c r="DE205" s="847"/>
      <c r="DF205" s="847"/>
      <c r="DG205" s="847"/>
      <c r="DH205" s="847"/>
      <c r="DI205" s="847"/>
      <c r="DJ205" s="847"/>
      <c r="DK205" s="847"/>
      <c r="DL205" s="847"/>
      <c r="DM205" s="1212"/>
      <c r="DN205" s="1222">
        <f>'Lead &amp; ANALYSIS'!G3995</f>
        <v>0.36</v>
      </c>
      <c r="DO205" s="1013">
        <f>ROUND(C205*DN205,2)</f>
        <v>0</v>
      </c>
      <c r="DP205" s="847"/>
      <c r="DQ205" s="1013"/>
      <c r="DR205" s="1225"/>
      <c r="DS205" s="1013"/>
      <c r="DT205" s="1225">
        <f>'Lead &amp; ANALYSIS'!G3994</f>
        <v>0.1</v>
      </c>
      <c r="DU205" s="1214">
        <f>ROUND(C205*DT205,2)</f>
        <v>0</v>
      </c>
      <c r="DV205" s="1242"/>
      <c r="DW205" s="1232"/>
      <c r="DX205" s="1222"/>
      <c r="DY205" s="847"/>
      <c r="DZ205" s="847"/>
      <c r="EA205" s="847"/>
      <c r="EB205" s="847"/>
      <c r="EC205" s="847"/>
      <c r="ED205" s="847"/>
      <c r="EE205" s="847"/>
      <c r="EF205" s="847"/>
      <c r="EG205" s="1212"/>
      <c r="EH205" s="847"/>
      <c r="EI205" s="1212"/>
    </row>
    <row r="206" spans="1:139" s="733" customFormat="1" ht="13.5">
      <c r="A206" s="1009"/>
      <c r="B206" s="1212" t="s">
        <v>2067</v>
      </c>
      <c r="C206" s="1213">
        <v>0</v>
      </c>
      <c r="D206" s="1013" t="s">
        <v>92</v>
      </c>
      <c r="E206" s="847"/>
      <c r="F206" s="1013"/>
      <c r="G206" s="1236">
        <f>G205</f>
        <v>1.6899999999999998E-2</v>
      </c>
      <c r="H206" s="1013">
        <f t="shared" si="9"/>
        <v>0</v>
      </c>
      <c r="I206" s="847"/>
      <c r="J206" s="1013"/>
      <c r="K206" s="847">
        <f>K205</f>
        <v>0.1208</v>
      </c>
      <c r="L206" s="1013">
        <f t="shared" si="10"/>
        <v>0</v>
      </c>
      <c r="M206" s="847"/>
      <c r="N206" s="1013"/>
      <c r="O206" s="847"/>
      <c r="P206" s="1013"/>
      <c r="Q206" s="847"/>
      <c r="R206" s="847">
        <f>R205</f>
        <v>1.6899999999999998E-2</v>
      </c>
      <c r="S206" s="847"/>
      <c r="T206" s="847"/>
      <c r="U206" s="1013"/>
      <c r="V206" s="1013"/>
      <c r="W206" s="1013">
        <f>ROUND(C206*R206,2)</f>
        <v>0</v>
      </c>
      <c r="X206" s="1013"/>
      <c r="Y206" s="1013"/>
      <c r="Z206" s="1013"/>
      <c r="AA206" s="1013"/>
      <c r="AB206" s="1013"/>
      <c r="AC206" s="847"/>
      <c r="AD206" s="847"/>
      <c r="AE206" s="847"/>
      <c r="AF206" s="847"/>
      <c r="AG206" s="847"/>
      <c r="AH206" s="847"/>
      <c r="AI206" s="847"/>
      <c r="AJ206" s="847"/>
      <c r="AK206" s="847"/>
      <c r="AL206" s="847"/>
      <c r="AM206" s="847"/>
      <c r="AN206" s="847"/>
      <c r="AO206" s="847"/>
      <c r="AP206" s="847"/>
      <c r="AQ206" s="847"/>
      <c r="AR206" s="847"/>
      <c r="AS206" s="847"/>
      <c r="AT206" s="847"/>
      <c r="AU206" s="847"/>
      <c r="AV206" s="847"/>
      <c r="AW206" s="847"/>
      <c r="AX206" s="847"/>
      <c r="AY206" s="847"/>
      <c r="AZ206" s="847"/>
      <c r="BA206" s="847"/>
      <c r="BB206" s="847"/>
      <c r="BC206" s="847"/>
      <c r="BD206" s="847"/>
      <c r="BE206" s="847"/>
      <c r="BF206" s="847"/>
      <c r="BG206" s="847"/>
      <c r="BH206" s="847"/>
      <c r="BI206" s="847"/>
      <c r="BJ206" s="847"/>
      <c r="BK206" s="847"/>
      <c r="BL206" s="847"/>
      <c r="BM206" s="847"/>
      <c r="BN206" s="847"/>
      <c r="BO206" s="847"/>
      <c r="BP206" s="847"/>
      <c r="BQ206" s="847"/>
      <c r="BR206" s="847"/>
      <c r="BS206" s="847"/>
      <c r="BT206" s="847"/>
      <c r="BU206" s="847"/>
      <c r="BV206" s="847"/>
      <c r="BW206" s="847"/>
      <c r="BX206" s="847"/>
      <c r="BY206" s="847"/>
      <c r="BZ206" s="847"/>
      <c r="CA206" s="847"/>
      <c r="CB206" s="847"/>
      <c r="CC206" s="847"/>
      <c r="CD206" s="847"/>
      <c r="CE206" s="847"/>
      <c r="CF206" s="847"/>
      <c r="CG206" s="847"/>
      <c r="CH206" s="847"/>
      <c r="CI206" s="847"/>
      <c r="CJ206" s="847"/>
      <c r="CK206" s="847"/>
      <c r="CL206" s="847"/>
      <c r="CM206" s="847"/>
      <c r="CN206" s="847"/>
      <c r="CO206" s="847"/>
      <c r="CP206" s="847"/>
      <c r="CQ206" s="847"/>
      <c r="CR206" s="847"/>
      <c r="CS206" s="847"/>
      <c r="CT206" s="847"/>
      <c r="CU206" s="847"/>
      <c r="CV206" s="847"/>
      <c r="CW206" s="847"/>
      <c r="CX206" s="847"/>
      <c r="CY206" s="847"/>
      <c r="CZ206" s="847"/>
      <c r="DA206" s="847"/>
      <c r="DB206" s="847"/>
      <c r="DC206" s="847"/>
      <c r="DD206" s="847"/>
      <c r="DE206" s="847"/>
      <c r="DF206" s="847"/>
      <c r="DG206" s="847"/>
      <c r="DH206" s="847"/>
      <c r="DI206" s="847"/>
      <c r="DJ206" s="847"/>
      <c r="DK206" s="847"/>
      <c r="DL206" s="847"/>
      <c r="DM206" s="1212"/>
      <c r="DN206" s="1222">
        <f>DN205+DN205*3%</f>
        <v>0.37079999999999996</v>
      </c>
      <c r="DO206" s="1013">
        <f>ROUND(C206*DN206,2)</f>
        <v>0</v>
      </c>
      <c r="DP206" s="847"/>
      <c r="DQ206" s="1013"/>
      <c r="DR206" s="1225"/>
      <c r="DS206" s="1013"/>
      <c r="DT206" s="847">
        <f>DT205+DT205*3%</f>
        <v>0.10300000000000001</v>
      </c>
      <c r="DU206" s="1214">
        <f>ROUND(C206*DT206,2)</f>
        <v>0</v>
      </c>
      <c r="DV206" s="1242"/>
      <c r="DW206" s="1232"/>
      <c r="DX206" s="1222"/>
      <c r="DY206" s="847"/>
      <c r="DZ206" s="847"/>
      <c r="EA206" s="847"/>
      <c r="EB206" s="847"/>
      <c r="EC206" s="847"/>
      <c r="ED206" s="847"/>
      <c r="EE206" s="847"/>
      <c r="EF206" s="847"/>
      <c r="EG206" s="1212"/>
      <c r="EH206" s="847"/>
      <c r="EI206" s="1212"/>
    </row>
    <row r="207" spans="1:139" s="733" customFormat="1" ht="13.5">
      <c r="A207" s="1009">
        <v>69</v>
      </c>
      <c r="B207" s="1212" t="s">
        <v>3060</v>
      </c>
      <c r="C207" s="1213">
        <v>0</v>
      </c>
      <c r="D207" s="1013" t="s">
        <v>92</v>
      </c>
      <c r="E207" s="847"/>
      <c r="F207" s="1013"/>
      <c r="G207" s="1236"/>
      <c r="H207" s="1013"/>
      <c r="I207" s="847"/>
      <c r="J207" s="1013"/>
      <c r="K207" s="847"/>
      <c r="L207" s="1013"/>
      <c r="M207" s="847"/>
      <c r="N207" s="1013"/>
      <c r="O207" s="847"/>
      <c r="P207" s="1013"/>
      <c r="Q207" s="847"/>
      <c r="R207" s="847"/>
      <c r="S207" s="847"/>
      <c r="T207" s="847"/>
      <c r="U207" s="1013"/>
      <c r="V207" s="1013"/>
      <c r="W207" s="1013"/>
      <c r="X207" s="1013"/>
      <c r="Y207" s="1013"/>
      <c r="Z207" s="1013"/>
      <c r="AA207" s="1013"/>
      <c r="AB207" s="1013"/>
      <c r="AC207" s="847"/>
      <c r="AD207" s="847"/>
      <c r="AE207" s="847"/>
      <c r="AF207" s="847"/>
      <c r="AG207" s="847"/>
      <c r="AH207" s="847"/>
      <c r="AI207" s="847"/>
      <c r="AJ207" s="847"/>
      <c r="AK207" s="847"/>
      <c r="AL207" s="847"/>
      <c r="AM207" s="847"/>
      <c r="AN207" s="847"/>
      <c r="AO207" s="847"/>
      <c r="AP207" s="847"/>
      <c r="AQ207" s="847"/>
      <c r="AR207" s="847"/>
      <c r="AS207" s="847"/>
      <c r="AT207" s="847"/>
      <c r="AU207" s="847"/>
      <c r="AV207" s="847"/>
      <c r="AW207" s="847"/>
      <c r="AX207" s="847"/>
      <c r="AY207" s="847"/>
      <c r="AZ207" s="847"/>
      <c r="BA207" s="847"/>
      <c r="BB207" s="847"/>
      <c r="BC207" s="847"/>
      <c r="BD207" s="847"/>
      <c r="BE207" s="847"/>
      <c r="BF207" s="847"/>
      <c r="BG207" s="847"/>
      <c r="BH207" s="847"/>
      <c r="BI207" s="847"/>
      <c r="BJ207" s="847"/>
      <c r="BK207" s="847"/>
      <c r="BL207" s="847"/>
      <c r="BM207" s="847"/>
      <c r="BN207" s="847"/>
      <c r="BO207" s="847"/>
      <c r="BP207" s="847"/>
      <c r="BQ207" s="847"/>
      <c r="BR207" s="847"/>
      <c r="BS207" s="847"/>
      <c r="BT207" s="847"/>
      <c r="BU207" s="847"/>
      <c r="BV207" s="847"/>
      <c r="BW207" s="847"/>
      <c r="BX207" s="847"/>
      <c r="BY207" s="847"/>
      <c r="BZ207" s="847"/>
      <c r="CA207" s="847"/>
      <c r="CB207" s="847"/>
      <c r="CC207" s="847"/>
      <c r="CD207" s="847"/>
      <c r="CE207" s="847"/>
      <c r="CF207" s="847"/>
      <c r="CG207" s="847"/>
      <c r="CH207" s="847"/>
      <c r="CI207" s="847"/>
      <c r="CJ207" s="847"/>
      <c r="CK207" s="847"/>
      <c r="CL207" s="847"/>
      <c r="CM207" s="847"/>
      <c r="CN207" s="847"/>
      <c r="CO207" s="847"/>
      <c r="CP207" s="847"/>
      <c r="CQ207" s="847"/>
      <c r="CR207" s="847"/>
      <c r="CS207" s="847"/>
      <c r="CT207" s="847"/>
      <c r="CU207" s="847"/>
      <c r="CV207" s="847"/>
      <c r="CW207" s="847"/>
      <c r="CX207" s="847"/>
      <c r="CY207" s="847"/>
      <c r="CZ207" s="847"/>
      <c r="DA207" s="847"/>
      <c r="DB207" s="847"/>
      <c r="DC207" s="847"/>
      <c r="DD207" s="847"/>
      <c r="DE207" s="847"/>
      <c r="DF207" s="847"/>
      <c r="DG207" s="847"/>
      <c r="DH207" s="847"/>
      <c r="DI207" s="847"/>
      <c r="DJ207" s="847"/>
      <c r="DK207" s="847"/>
      <c r="DL207" s="847"/>
      <c r="DM207" s="1212"/>
      <c r="DN207" s="1222"/>
      <c r="DO207" s="1013"/>
      <c r="DP207" s="847"/>
      <c r="DQ207" s="1013"/>
      <c r="DR207" s="1225"/>
      <c r="DS207" s="1013"/>
      <c r="DT207" s="1225"/>
      <c r="DU207" s="1214"/>
      <c r="DV207" s="1242"/>
      <c r="DW207" s="1232"/>
      <c r="DX207" s="1222"/>
      <c r="DY207" s="847"/>
      <c r="DZ207" s="847"/>
      <c r="EA207" s="847"/>
      <c r="EB207" s="847"/>
      <c r="EC207" s="847"/>
      <c r="ED207" s="847"/>
      <c r="EE207" s="847"/>
      <c r="EF207" s="847"/>
      <c r="EG207" s="1212"/>
      <c r="EH207" s="847"/>
      <c r="EI207" s="1212"/>
    </row>
    <row r="208" spans="1:139" s="733" customFormat="1" ht="13.5">
      <c r="A208" s="1009"/>
      <c r="B208" s="1212" t="s">
        <v>2066</v>
      </c>
      <c r="C208" s="1213">
        <v>0</v>
      </c>
      <c r="D208" s="1013" t="s">
        <v>92</v>
      </c>
      <c r="E208" s="847"/>
      <c r="F208" s="1013"/>
      <c r="G208" s="1236">
        <f>'Lead &amp; ANALYSIS'!G4039</f>
        <v>1.7999999999999999E-2</v>
      </c>
      <c r="H208" s="1013">
        <f t="shared" si="9"/>
        <v>0</v>
      </c>
      <c r="I208" s="847"/>
      <c r="J208" s="1013"/>
      <c r="K208" s="847">
        <f>'Lead &amp; ANALYSIS'!G4040</f>
        <v>0.12870000000000001</v>
      </c>
      <c r="L208" s="1013">
        <f t="shared" si="10"/>
        <v>0</v>
      </c>
      <c r="M208" s="847"/>
      <c r="N208" s="1013"/>
      <c r="O208" s="847"/>
      <c r="P208" s="1013"/>
      <c r="Q208" s="847"/>
      <c r="R208" s="847">
        <f>'Lead &amp; ANALYSIS'!G4037</f>
        <v>1.7999999999999999E-2</v>
      </c>
      <c r="S208" s="847"/>
      <c r="T208" s="847"/>
      <c r="U208" s="1013">
        <f>ROUND(C208*R208,2)</f>
        <v>0</v>
      </c>
      <c r="V208" s="1013"/>
      <c r="W208" s="1013"/>
      <c r="X208" s="1013"/>
      <c r="Y208" s="1013"/>
      <c r="Z208" s="1013"/>
      <c r="AA208" s="1013"/>
      <c r="AB208" s="1013"/>
      <c r="AC208" s="847"/>
      <c r="AD208" s="847"/>
      <c r="AE208" s="847"/>
      <c r="AF208" s="847"/>
      <c r="AG208" s="847"/>
      <c r="AH208" s="847"/>
      <c r="AI208" s="847"/>
      <c r="AJ208" s="847"/>
      <c r="AK208" s="847"/>
      <c r="AL208" s="847"/>
      <c r="AM208" s="847"/>
      <c r="AN208" s="847"/>
      <c r="AO208" s="847"/>
      <c r="AP208" s="847"/>
      <c r="AQ208" s="847"/>
      <c r="AR208" s="847"/>
      <c r="AS208" s="847"/>
      <c r="AT208" s="847"/>
      <c r="AU208" s="847"/>
      <c r="AV208" s="847"/>
      <c r="AW208" s="847"/>
      <c r="AX208" s="847"/>
      <c r="AY208" s="847"/>
      <c r="AZ208" s="847"/>
      <c r="BA208" s="847"/>
      <c r="BB208" s="847"/>
      <c r="BC208" s="847"/>
      <c r="BD208" s="847"/>
      <c r="BE208" s="847"/>
      <c r="BF208" s="847"/>
      <c r="BG208" s="847"/>
      <c r="BH208" s="847"/>
      <c r="BI208" s="847"/>
      <c r="BJ208" s="847"/>
      <c r="BK208" s="847"/>
      <c r="BL208" s="847"/>
      <c r="BM208" s="847"/>
      <c r="BN208" s="847"/>
      <c r="BO208" s="847"/>
      <c r="BP208" s="847"/>
      <c r="BQ208" s="847"/>
      <c r="BR208" s="847"/>
      <c r="BS208" s="847"/>
      <c r="BT208" s="847"/>
      <c r="BU208" s="847"/>
      <c r="BV208" s="847"/>
      <c r="BW208" s="847"/>
      <c r="BX208" s="847"/>
      <c r="BY208" s="847"/>
      <c r="BZ208" s="847"/>
      <c r="CA208" s="847"/>
      <c r="CB208" s="847"/>
      <c r="CC208" s="847"/>
      <c r="CD208" s="847"/>
      <c r="CE208" s="847"/>
      <c r="CF208" s="847"/>
      <c r="CG208" s="847"/>
      <c r="CH208" s="847"/>
      <c r="CI208" s="847"/>
      <c r="CJ208" s="847"/>
      <c r="CK208" s="847"/>
      <c r="CL208" s="847"/>
      <c r="CM208" s="847"/>
      <c r="CN208" s="847"/>
      <c r="CO208" s="847"/>
      <c r="CP208" s="847"/>
      <c r="CQ208" s="847"/>
      <c r="CR208" s="847"/>
      <c r="CS208" s="847"/>
      <c r="CT208" s="847"/>
      <c r="CU208" s="847"/>
      <c r="CV208" s="847"/>
      <c r="CW208" s="847"/>
      <c r="CX208" s="847"/>
      <c r="CY208" s="847"/>
      <c r="CZ208" s="847"/>
      <c r="DA208" s="847"/>
      <c r="DB208" s="847"/>
      <c r="DC208" s="847"/>
      <c r="DD208" s="847"/>
      <c r="DE208" s="847"/>
      <c r="DF208" s="847"/>
      <c r="DG208" s="847"/>
      <c r="DH208" s="847"/>
      <c r="DI208" s="847"/>
      <c r="DJ208" s="847"/>
      <c r="DK208" s="847"/>
      <c r="DL208" s="847"/>
      <c r="DM208" s="1212"/>
      <c r="DN208" s="1222">
        <f>'Lead &amp; ANALYSIS'!G4044</f>
        <v>1.008</v>
      </c>
      <c r="DO208" s="1013">
        <f>ROUND(C208*DN208,2)</f>
        <v>0</v>
      </c>
      <c r="DP208" s="847"/>
      <c r="DQ208" s="1013"/>
      <c r="DR208" s="1225"/>
      <c r="DS208" s="1013"/>
      <c r="DT208" s="1225">
        <f>'Lead &amp; ANALYSIS'!G4043</f>
        <v>0.16500000000000001</v>
      </c>
      <c r="DU208" s="1214">
        <f>ROUND(C208*DT208,2)</f>
        <v>0</v>
      </c>
      <c r="DV208" s="1242"/>
      <c r="DW208" s="1232"/>
      <c r="DX208" s="1222"/>
      <c r="DY208" s="847"/>
      <c r="DZ208" s="847"/>
      <c r="EA208" s="847"/>
      <c r="EB208" s="847"/>
      <c r="EC208" s="847"/>
      <c r="ED208" s="847"/>
      <c r="EE208" s="847"/>
      <c r="EF208" s="847"/>
      <c r="EG208" s="1212"/>
      <c r="EH208" s="847"/>
      <c r="EI208" s="1212"/>
    </row>
    <row r="209" spans="1:139" s="733" customFormat="1" ht="13.5">
      <c r="A209" s="1009"/>
      <c r="B209" s="1212"/>
      <c r="C209" s="1213">
        <v>0</v>
      </c>
      <c r="D209" s="1013" t="s">
        <v>92</v>
      </c>
      <c r="E209" s="847"/>
      <c r="F209" s="1013"/>
      <c r="G209" s="1236"/>
      <c r="H209" s="1013"/>
      <c r="I209" s="847"/>
      <c r="J209" s="1013"/>
      <c r="K209" s="847"/>
      <c r="L209" s="1013"/>
      <c r="M209" s="847"/>
      <c r="N209" s="1013"/>
      <c r="O209" s="847"/>
      <c r="P209" s="1013"/>
      <c r="Q209" s="847"/>
      <c r="R209" s="847">
        <f>'Lead &amp; ANALYSIS'!G4037</f>
        <v>1.7999999999999999E-2</v>
      </c>
      <c r="S209" s="847"/>
      <c r="T209" s="847"/>
      <c r="U209" s="1013"/>
      <c r="V209" s="1013"/>
      <c r="W209" s="1013"/>
      <c r="X209" s="1013">
        <f>ROUND(C209*R209,2)</f>
        <v>0</v>
      </c>
      <c r="Y209" s="1013"/>
      <c r="Z209" s="1013"/>
      <c r="AA209" s="1013"/>
      <c r="AB209" s="1013"/>
      <c r="AC209" s="847"/>
      <c r="AD209" s="847"/>
      <c r="AE209" s="847"/>
      <c r="AF209" s="847"/>
      <c r="AG209" s="847"/>
      <c r="AH209" s="847"/>
      <c r="AI209" s="847"/>
      <c r="AJ209" s="847"/>
      <c r="AK209" s="847"/>
      <c r="AL209" s="847"/>
      <c r="AM209" s="847"/>
      <c r="AN209" s="847"/>
      <c r="AO209" s="847"/>
      <c r="AP209" s="847"/>
      <c r="AQ209" s="847"/>
      <c r="AR209" s="847"/>
      <c r="AS209" s="847"/>
      <c r="AT209" s="847"/>
      <c r="AU209" s="847"/>
      <c r="AV209" s="847"/>
      <c r="AW209" s="847"/>
      <c r="AX209" s="847"/>
      <c r="AY209" s="847"/>
      <c r="AZ209" s="847"/>
      <c r="BA209" s="847"/>
      <c r="BB209" s="847"/>
      <c r="BC209" s="847"/>
      <c r="BD209" s="847"/>
      <c r="BE209" s="847"/>
      <c r="BF209" s="847"/>
      <c r="BG209" s="847"/>
      <c r="BH209" s="847"/>
      <c r="BI209" s="847"/>
      <c r="BJ209" s="847"/>
      <c r="BK209" s="847"/>
      <c r="BL209" s="847"/>
      <c r="BM209" s="847"/>
      <c r="BN209" s="847"/>
      <c r="BO209" s="847"/>
      <c r="BP209" s="847"/>
      <c r="BQ209" s="847"/>
      <c r="BR209" s="847"/>
      <c r="BS209" s="847"/>
      <c r="BT209" s="847"/>
      <c r="BU209" s="847"/>
      <c r="BV209" s="847"/>
      <c r="BW209" s="847"/>
      <c r="BX209" s="847"/>
      <c r="BY209" s="847"/>
      <c r="BZ209" s="847"/>
      <c r="CA209" s="847"/>
      <c r="CB209" s="847"/>
      <c r="CC209" s="847"/>
      <c r="CD209" s="847"/>
      <c r="CE209" s="847"/>
      <c r="CF209" s="847"/>
      <c r="CG209" s="847"/>
      <c r="CH209" s="847"/>
      <c r="CI209" s="847"/>
      <c r="CJ209" s="847"/>
      <c r="CK209" s="847"/>
      <c r="CL209" s="847"/>
      <c r="CM209" s="847"/>
      <c r="CN209" s="847"/>
      <c r="CO209" s="847"/>
      <c r="CP209" s="847"/>
      <c r="CQ209" s="847"/>
      <c r="CR209" s="847"/>
      <c r="CS209" s="847"/>
      <c r="CT209" s="847"/>
      <c r="CU209" s="847"/>
      <c r="CV209" s="847"/>
      <c r="CW209" s="847"/>
      <c r="CX209" s="847"/>
      <c r="CY209" s="847"/>
      <c r="CZ209" s="847"/>
      <c r="DA209" s="847"/>
      <c r="DB209" s="847"/>
      <c r="DC209" s="847"/>
      <c r="DD209" s="847"/>
      <c r="DE209" s="847"/>
      <c r="DF209" s="847"/>
      <c r="DG209" s="847"/>
      <c r="DH209" s="847"/>
      <c r="DI209" s="847"/>
      <c r="DJ209" s="847"/>
      <c r="DK209" s="847"/>
      <c r="DL209" s="847"/>
      <c r="DM209" s="1212"/>
      <c r="DN209" s="1222"/>
      <c r="DO209" s="1013"/>
      <c r="DP209" s="847"/>
      <c r="DQ209" s="1013"/>
      <c r="DR209" s="1225"/>
      <c r="DS209" s="1013"/>
      <c r="DT209" s="1225"/>
      <c r="DU209" s="1214"/>
      <c r="DV209" s="1242"/>
      <c r="DW209" s="1232"/>
      <c r="DX209" s="1222"/>
      <c r="DY209" s="847"/>
      <c r="DZ209" s="847"/>
      <c r="EA209" s="847"/>
      <c r="EB209" s="847"/>
      <c r="EC209" s="847"/>
      <c r="ED209" s="847"/>
      <c r="EE209" s="847"/>
      <c r="EF209" s="847"/>
      <c r="EG209" s="1212"/>
      <c r="EH209" s="847"/>
      <c r="EI209" s="1212"/>
    </row>
    <row r="210" spans="1:139" s="733" customFormat="1" ht="13.5">
      <c r="A210" s="1009"/>
      <c r="B210" s="1212" t="s">
        <v>2067</v>
      </c>
      <c r="C210" s="1213">
        <v>0</v>
      </c>
      <c r="D210" s="1013" t="s">
        <v>92</v>
      </c>
      <c r="E210" s="847"/>
      <c r="F210" s="1013"/>
      <c r="G210" s="1236">
        <f>G208</f>
        <v>1.7999999999999999E-2</v>
      </c>
      <c r="H210" s="1013">
        <f t="shared" si="9"/>
        <v>0</v>
      </c>
      <c r="I210" s="847"/>
      <c r="J210" s="1013"/>
      <c r="K210" s="847">
        <f>K208</f>
        <v>0.12870000000000001</v>
      </c>
      <c r="L210" s="1013">
        <f t="shared" si="10"/>
        <v>0</v>
      </c>
      <c r="M210" s="847"/>
      <c r="N210" s="1013"/>
      <c r="O210" s="847"/>
      <c r="P210" s="1013"/>
      <c r="Q210" s="847"/>
      <c r="R210" s="847">
        <f>R208</f>
        <v>1.7999999999999999E-2</v>
      </c>
      <c r="S210" s="847"/>
      <c r="T210" s="847"/>
      <c r="U210" s="1013">
        <f>ROUND(C210*R210,2)</f>
        <v>0</v>
      </c>
      <c r="V210" s="1013"/>
      <c r="W210" s="1013"/>
      <c r="X210" s="1013"/>
      <c r="Y210" s="1013"/>
      <c r="Z210" s="1013"/>
      <c r="AA210" s="1013"/>
      <c r="AB210" s="1013"/>
      <c r="AC210" s="847"/>
      <c r="AD210" s="847"/>
      <c r="AE210" s="847"/>
      <c r="AF210" s="847"/>
      <c r="AG210" s="847"/>
      <c r="AH210" s="847"/>
      <c r="AI210" s="847"/>
      <c r="AJ210" s="847"/>
      <c r="AK210" s="847"/>
      <c r="AL210" s="847"/>
      <c r="AM210" s="847"/>
      <c r="AN210" s="847"/>
      <c r="AO210" s="847"/>
      <c r="AP210" s="847"/>
      <c r="AQ210" s="847"/>
      <c r="AR210" s="847"/>
      <c r="AS210" s="847"/>
      <c r="AT210" s="847"/>
      <c r="AU210" s="847"/>
      <c r="AV210" s="847"/>
      <c r="AW210" s="847"/>
      <c r="AX210" s="847"/>
      <c r="AY210" s="847"/>
      <c r="AZ210" s="847"/>
      <c r="BA210" s="847"/>
      <c r="BB210" s="847"/>
      <c r="BC210" s="847"/>
      <c r="BD210" s="847"/>
      <c r="BE210" s="847"/>
      <c r="BF210" s="847"/>
      <c r="BG210" s="847"/>
      <c r="BH210" s="847"/>
      <c r="BI210" s="847"/>
      <c r="BJ210" s="847"/>
      <c r="BK210" s="847"/>
      <c r="BL210" s="847"/>
      <c r="BM210" s="847"/>
      <c r="BN210" s="847"/>
      <c r="BO210" s="847"/>
      <c r="BP210" s="847"/>
      <c r="BQ210" s="847"/>
      <c r="BR210" s="847"/>
      <c r="BS210" s="847"/>
      <c r="BT210" s="847"/>
      <c r="BU210" s="847"/>
      <c r="BV210" s="847"/>
      <c r="BW210" s="847"/>
      <c r="BX210" s="847"/>
      <c r="BY210" s="847"/>
      <c r="BZ210" s="847"/>
      <c r="CA210" s="847"/>
      <c r="CB210" s="847"/>
      <c r="CC210" s="847"/>
      <c r="CD210" s="847"/>
      <c r="CE210" s="847"/>
      <c r="CF210" s="847"/>
      <c r="CG210" s="847"/>
      <c r="CH210" s="847"/>
      <c r="CI210" s="847"/>
      <c r="CJ210" s="847"/>
      <c r="CK210" s="847"/>
      <c r="CL210" s="847"/>
      <c r="CM210" s="847"/>
      <c r="CN210" s="847"/>
      <c r="CO210" s="847"/>
      <c r="CP210" s="847"/>
      <c r="CQ210" s="847"/>
      <c r="CR210" s="847"/>
      <c r="CS210" s="847"/>
      <c r="CT210" s="847"/>
      <c r="CU210" s="847"/>
      <c r="CV210" s="847"/>
      <c r="CW210" s="847"/>
      <c r="CX210" s="847"/>
      <c r="CY210" s="847"/>
      <c r="CZ210" s="847"/>
      <c r="DA210" s="847"/>
      <c r="DB210" s="847"/>
      <c r="DC210" s="847"/>
      <c r="DD210" s="847"/>
      <c r="DE210" s="847"/>
      <c r="DF210" s="847"/>
      <c r="DG210" s="847"/>
      <c r="DH210" s="847"/>
      <c r="DI210" s="847"/>
      <c r="DJ210" s="847"/>
      <c r="DK210" s="847"/>
      <c r="DL210" s="847"/>
      <c r="DM210" s="1212"/>
      <c r="DN210" s="1222">
        <f>DN208+DN208*3%</f>
        <v>1.0382400000000001</v>
      </c>
      <c r="DO210" s="1013">
        <f>ROUND(C210*DN210,2)</f>
        <v>0</v>
      </c>
      <c r="DP210" s="847"/>
      <c r="DQ210" s="1013"/>
      <c r="DR210" s="1225"/>
      <c r="DS210" s="1013"/>
      <c r="DT210" s="1225">
        <f>DT208+DT208*3%</f>
        <v>0.16995000000000002</v>
      </c>
      <c r="DU210" s="1214">
        <f>ROUND(C210*DT210,2)</f>
        <v>0</v>
      </c>
      <c r="DV210" s="1242"/>
      <c r="DW210" s="1232"/>
      <c r="DX210" s="1222"/>
      <c r="DY210" s="847"/>
      <c r="DZ210" s="847"/>
      <c r="EA210" s="847"/>
      <c r="EB210" s="847"/>
      <c r="EC210" s="847"/>
      <c r="ED210" s="847"/>
      <c r="EE210" s="847"/>
      <c r="EF210" s="847"/>
      <c r="EG210" s="1212"/>
      <c r="EH210" s="847"/>
      <c r="EI210" s="1212"/>
    </row>
    <row r="211" spans="1:139" s="733" customFormat="1" ht="13.5">
      <c r="A211" s="1009"/>
      <c r="B211" s="1212"/>
      <c r="C211" s="1213">
        <v>0</v>
      </c>
      <c r="D211" s="1013" t="s">
        <v>92</v>
      </c>
      <c r="E211" s="847"/>
      <c r="F211" s="1013"/>
      <c r="G211" s="1013"/>
      <c r="H211" s="1013"/>
      <c r="I211" s="847"/>
      <c r="J211" s="1013"/>
      <c r="K211" s="847"/>
      <c r="L211" s="1013"/>
      <c r="M211" s="847"/>
      <c r="N211" s="1013"/>
      <c r="O211" s="847"/>
      <c r="P211" s="1013"/>
      <c r="Q211" s="847"/>
      <c r="R211" s="847">
        <f>R209</f>
        <v>1.7999999999999999E-2</v>
      </c>
      <c r="S211" s="847"/>
      <c r="T211" s="847"/>
      <c r="U211" s="1013"/>
      <c r="V211" s="1013"/>
      <c r="W211" s="1013"/>
      <c r="X211" s="1013">
        <f>ROUND(C211*R211,2)</f>
        <v>0</v>
      </c>
      <c r="Y211" s="1013"/>
      <c r="Z211" s="1013"/>
      <c r="AA211" s="1013"/>
      <c r="AB211" s="1013"/>
      <c r="AC211" s="847"/>
      <c r="AD211" s="847"/>
      <c r="AE211" s="847"/>
      <c r="AF211" s="847"/>
      <c r="AG211" s="847"/>
      <c r="AH211" s="847"/>
      <c r="AI211" s="847"/>
      <c r="AJ211" s="847"/>
      <c r="AK211" s="847"/>
      <c r="AL211" s="847"/>
      <c r="AM211" s="847"/>
      <c r="AN211" s="847"/>
      <c r="AO211" s="847"/>
      <c r="AP211" s="847"/>
      <c r="AQ211" s="847"/>
      <c r="AR211" s="847"/>
      <c r="AS211" s="847"/>
      <c r="AT211" s="847"/>
      <c r="AU211" s="847"/>
      <c r="AV211" s="847"/>
      <c r="AW211" s="847"/>
      <c r="AX211" s="847"/>
      <c r="AY211" s="847"/>
      <c r="AZ211" s="847"/>
      <c r="BA211" s="847"/>
      <c r="BB211" s="847"/>
      <c r="BC211" s="847"/>
      <c r="BD211" s="847"/>
      <c r="BE211" s="847"/>
      <c r="BF211" s="847"/>
      <c r="BG211" s="847"/>
      <c r="BH211" s="847"/>
      <c r="BI211" s="847"/>
      <c r="BJ211" s="847"/>
      <c r="BK211" s="847"/>
      <c r="BL211" s="847"/>
      <c r="BM211" s="847"/>
      <c r="BN211" s="847"/>
      <c r="BO211" s="847"/>
      <c r="BP211" s="847"/>
      <c r="BQ211" s="847"/>
      <c r="BR211" s="847"/>
      <c r="BS211" s="847"/>
      <c r="BT211" s="847"/>
      <c r="BU211" s="847"/>
      <c r="BV211" s="847"/>
      <c r="BW211" s="847"/>
      <c r="BX211" s="847"/>
      <c r="BY211" s="847"/>
      <c r="BZ211" s="847"/>
      <c r="CA211" s="847"/>
      <c r="CB211" s="847"/>
      <c r="CC211" s="847"/>
      <c r="CD211" s="847"/>
      <c r="CE211" s="847"/>
      <c r="CF211" s="847"/>
      <c r="CG211" s="847"/>
      <c r="CH211" s="847"/>
      <c r="CI211" s="847"/>
      <c r="CJ211" s="847"/>
      <c r="CK211" s="847"/>
      <c r="CL211" s="847"/>
      <c r="CM211" s="847"/>
      <c r="CN211" s="847"/>
      <c r="CO211" s="847"/>
      <c r="CP211" s="847"/>
      <c r="CQ211" s="847"/>
      <c r="CR211" s="847"/>
      <c r="CS211" s="847"/>
      <c r="CT211" s="847"/>
      <c r="CU211" s="847"/>
      <c r="CV211" s="847"/>
      <c r="CW211" s="847"/>
      <c r="CX211" s="847"/>
      <c r="CY211" s="847"/>
      <c r="CZ211" s="847"/>
      <c r="DA211" s="847"/>
      <c r="DB211" s="847"/>
      <c r="DC211" s="847"/>
      <c r="DD211" s="847"/>
      <c r="DE211" s="847"/>
      <c r="DF211" s="847"/>
      <c r="DG211" s="847"/>
      <c r="DH211" s="847"/>
      <c r="DI211" s="847"/>
      <c r="DJ211" s="847"/>
      <c r="DK211" s="847"/>
      <c r="DL211" s="847"/>
      <c r="DM211" s="1212"/>
      <c r="DN211" s="1222"/>
      <c r="DO211" s="1013"/>
      <c r="DP211" s="847"/>
      <c r="DQ211" s="1013"/>
      <c r="DR211" s="1225"/>
      <c r="DS211" s="1013"/>
      <c r="DT211" s="1225"/>
      <c r="DU211" s="1214"/>
      <c r="DV211" s="1242"/>
      <c r="DW211" s="1232"/>
      <c r="DX211" s="1222"/>
      <c r="DY211" s="847"/>
      <c r="DZ211" s="847"/>
      <c r="EA211" s="847"/>
      <c r="EB211" s="847"/>
      <c r="EC211" s="847"/>
      <c r="ED211" s="847"/>
      <c r="EE211" s="847"/>
      <c r="EF211" s="847"/>
      <c r="EG211" s="1212"/>
      <c r="EH211" s="847"/>
      <c r="EI211" s="1212"/>
    </row>
    <row r="212" spans="1:139" s="733" customFormat="1" ht="13.5">
      <c r="A212" s="1009">
        <v>70</v>
      </c>
      <c r="B212" s="1212" t="s">
        <v>3061</v>
      </c>
      <c r="C212" s="1213">
        <v>0</v>
      </c>
      <c r="D212" s="1013" t="s">
        <v>92</v>
      </c>
      <c r="E212" s="847"/>
      <c r="F212" s="1013"/>
      <c r="G212" s="1013"/>
      <c r="H212" s="1013"/>
      <c r="I212" s="847"/>
      <c r="J212" s="1013"/>
      <c r="K212" s="847"/>
      <c r="L212" s="1013"/>
      <c r="M212" s="847"/>
      <c r="N212" s="1013"/>
      <c r="O212" s="847"/>
      <c r="P212" s="1013"/>
      <c r="Q212" s="847"/>
      <c r="R212" s="847"/>
      <c r="S212" s="847"/>
      <c r="T212" s="847"/>
      <c r="U212" s="847"/>
      <c r="V212" s="847"/>
      <c r="W212" s="847"/>
      <c r="X212" s="847"/>
      <c r="Y212" s="847"/>
      <c r="Z212" s="847"/>
      <c r="AA212" s="847"/>
      <c r="AB212" s="847"/>
      <c r="AC212" s="847"/>
      <c r="AD212" s="847"/>
      <c r="AE212" s="847"/>
      <c r="AF212" s="847"/>
      <c r="AG212" s="847"/>
      <c r="AH212" s="847"/>
      <c r="AI212" s="847"/>
      <c r="AJ212" s="847"/>
      <c r="AK212" s="847"/>
      <c r="AL212" s="847"/>
      <c r="AM212" s="847"/>
      <c r="AN212" s="847"/>
      <c r="AO212" s="847"/>
      <c r="AP212" s="847"/>
      <c r="AQ212" s="847"/>
      <c r="AR212" s="847"/>
      <c r="AS212" s="847"/>
      <c r="AT212" s="847"/>
      <c r="AU212" s="847"/>
      <c r="AV212" s="847"/>
      <c r="AW212" s="847"/>
      <c r="AX212" s="847"/>
      <c r="AY212" s="847"/>
      <c r="AZ212" s="847"/>
      <c r="BA212" s="847"/>
      <c r="BB212" s="847"/>
      <c r="BC212" s="847"/>
      <c r="BD212" s="847"/>
      <c r="BE212" s="847"/>
      <c r="BF212" s="847"/>
      <c r="BG212" s="847"/>
      <c r="BH212" s="847"/>
      <c r="BI212" s="847"/>
      <c r="BJ212" s="847"/>
      <c r="BK212" s="847"/>
      <c r="BL212" s="847"/>
      <c r="BM212" s="847"/>
      <c r="BN212" s="847"/>
      <c r="BO212" s="847"/>
      <c r="BP212" s="847"/>
      <c r="BQ212" s="847"/>
      <c r="BR212" s="847"/>
      <c r="BS212" s="847"/>
      <c r="BT212" s="847"/>
      <c r="BU212" s="847"/>
      <c r="BV212" s="847"/>
      <c r="BW212" s="847"/>
      <c r="BX212" s="847"/>
      <c r="BY212" s="847"/>
      <c r="BZ212" s="847"/>
      <c r="CA212" s="847"/>
      <c r="CB212" s="847"/>
      <c r="CC212" s="847"/>
      <c r="CD212" s="847"/>
      <c r="CE212" s="847"/>
      <c r="CF212" s="847"/>
      <c r="CG212" s="847"/>
      <c r="CH212" s="847"/>
      <c r="CI212" s="847"/>
      <c r="CJ212" s="847"/>
      <c r="CK212" s="847"/>
      <c r="CL212" s="847"/>
      <c r="CM212" s="847"/>
      <c r="CN212" s="847"/>
      <c r="CO212" s="847"/>
      <c r="CP212" s="847"/>
      <c r="CQ212" s="847"/>
      <c r="CR212" s="847"/>
      <c r="CS212" s="847"/>
      <c r="CT212" s="847"/>
      <c r="CU212" s="847"/>
      <c r="CV212" s="847"/>
      <c r="CW212" s="847"/>
      <c r="CX212" s="847"/>
      <c r="CY212" s="847"/>
      <c r="CZ212" s="847"/>
      <c r="DA212" s="847"/>
      <c r="DB212" s="847"/>
      <c r="DC212" s="847"/>
      <c r="DD212" s="847"/>
      <c r="DE212" s="847"/>
      <c r="DF212" s="847"/>
      <c r="DG212" s="847"/>
      <c r="DH212" s="847"/>
      <c r="DI212" s="847"/>
      <c r="DJ212" s="847"/>
      <c r="DK212" s="847"/>
      <c r="DL212" s="847"/>
      <c r="DM212" s="1212"/>
      <c r="DN212" s="1222"/>
      <c r="DO212" s="1013"/>
      <c r="DP212" s="847"/>
      <c r="DQ212" s="1013"/>
      <c r="DR212" s="1225"/>
      <c r="DS212" s="1013"/>
      <c r="DT212" s="1225"/>
      <c r="DU212" s="1214"/>
      <c r="DV212" s="1242"/>
      <c r="DW212" s="1232"/>
      <c r="DX212" s="1222"/>
      <c r="DY212" s="847"/>
      <c r="DZ212" s="847"/>
      <c r="EA212" s="847"/>
      <c r="EB212" s="847"/>
      <c r="EC212" s="847"/>
      <c r="ED212" s="847"/>
      <c r="EE212" s="847"/>
      <c r="EF212" s="847"/>
      <c r="EG212" s="1212"/>
      <c r="EH212" s="847"/>
      <c r="EI212" s="1212"/>
    </row>
    <row r="213" spans="1:139" s="733" customFormat="1" ht="13.5">
      <c r="A213" s="1009" t="s">
        <v>201</v>
      </c>
      <c r="B213" s="1212" t="s">
        <v>230</v>
      </c>
      <c r="C213" s="1213">
        <v>0</v>
      </c>
      <c r="D213" s="1013" t="s">
        <v>92</v>
      </c>
      <c r="E213" s="847"/>
      <c r="F213" s="1013"/>
      <c r="G213" s="1013"/>
      <c r="H213" s="1013"/>
      <c r="I213" s="847"/>
      <c r="J213" s="1013"/>
      <c r="K213" s="847"/>
      <c r="L213" s="1013"/>
      <c r="M213" s="847"/>
      <c r="N213" s="1013"/>
      <c r="O213" s="847"/>
      <c r="P213" s="1013"/>
      <c r="Q213" s="847"/>
      <c r="R213" s="847"/>
      <c r="S213" s="847"/>
      <c r="T213" s="847"/>
      <c r="U213" s="847"/>
      <c r="V213" s="847"/>
      <c r="W213" s="847"/>
      <c r="X213" s="847"/>
      <c r="Y213" s="847"/>
      <c r="Z213" s="847"/>
      <c r="AA213" s="847"/>
      <c r="AB213" s="847"/>
      <c r="AC213" s="847"/>
      <c r="AD213" s="847"/>
      <c r="AE213" s="847"/>
      <c r="AF213" s="847"/>
      <c r="AG213" s="847"/>
      <c r="AH213" s="847"/>
      <c r="AI213" s="847"/>
      <c r="AJ213" s="847"/>
      <c r="AK213" s="847"/>
      <c r="AL213" s="847"/>
      <c r="AM213" s="847"/>
      <c r="AN213" s="847"/>
      <c r="AO213" s="847"/>
      <c r="AP213" s="847"/>
      <c r="AQ213" s="847"/>
      <c r="AR213" s="847"/>
      <c r="AS213" s="847"/>
      <c r="AT213" s="847"/>
      <c r="AU213" s="847"/>
      <c r="AV213" s="847"/>
      <c r="AW213" s="847"/>
      <c r="AX213" s="847"/>
      <c r="AY213" s="847"/>
      <c r="AZ213" s="847"/>
      <c r="BA213" s="847"/>
      <c r="BB213" s="847"/>
      <c r="BC213" s="847"/>
      <c r="BD213" s="847"/>
      <c r="BE213" s="847"/>
      <c r="BF213" s="847"/>
      <c r="BG213" s="847"/>
      <c r="BH213" s="847"/>
      <c r="BI213" s="847"/>
      <c r="BJ213" s="847"/>
      <c r="BK213" s="847"/>
      <c r="BL213" s="847"/>
      <c r="BM213" s="847"/>
      <c r="BN213" s="847"/>
      <c r="BO213" s="847"/>
      <c r="BP213" s="847"/>
      <c r="BQ213" s="847"/>
      <c r="BR213" s="847"/>
      <c r="BS213" s="847"/>
      <c r="BT213" s="847"/>
      <c r="BU213" s="847"/>
      <c r="BV213" s="847"/>
      <c r="BW213" s="847"/>
      <c r="BX213" s="847"/>
      <c r="BY213" s="847"/>
      <c r="BZ213" s="847"/>
      <c r="CA213" s="847"/>
      <c r="CB213" s="847"/>
      <c r="CC213" s="847"/>
      <c r="CD213" s="847"/>
      <c r="CE213" s="847"/>
      <c r="CF213" s="847"/>
      <c r="CG213" s="847"/>
      <c r="CH213" s="847"/>
      <c r="CI213" s="847"/>
      <c r="CJ213" s="847"/>
      <c r="CK213" s="847"/>
      <c r="CL213" s="847"/>
      <c r="CM213" s="847"/>
      <c r="CN213" s="847"/>
      <c r="CO213" s="847"/>
      <c r="CP213" s="847"/>
      <c r="CQ213" s="847"/>
      <c r="CR213" s="847"/>
      <c r="CS213" s="847"/>
      <c r="CT213" s="847"/>
      <c r="CU213" s="847"/>
      <c r="CV213" s="847"/>
      <c r="CW213" s="847"/>
      <c r="CX213" s="847"/>
      <c r="CY213" s="847"/>
      <c r="CZ213" s="847"/>
      <c r="DA213" s="847"/>
      <c r="DB213" s="847"/>
      <c r="DC213" s="847"/>
      <c r="DD213" s="847"/>
      <c r="DE213" s="847"/>
      <c r="DF213" s="847"/>
      <c r="DG213" s="847"/>
      <c r="DH213" s="847"/>
      <c r="DI213" s="847"/>
      <c r="DJ213" s="847"/>
      <c r="DK213" s="847"/>
      <c r="DL213" s="847"/>
      <c r="DM213" s="1212"/>
      <c r="DN213" s="1222"/>
      <c r="DO213" s="1013"/>
      <c r="DP213" s="847"/>
      <c r="DQ213" s="1013"/>
      <c r="DR213" s="1225"/>
      <c r="DS213" s="1013"/>
      <c r="DT213" s="1225"/>
      <c r="DU213" s="1214"/>
      <c r="DV213" s="1242"/>
      <c r="DW213" s="1232"/>
      <c r="DX213" s="1222"/>
      <c r="DY213" s="847"/>
      <c r="DZ213" s="847"/>
      <c r="EA213" s="847"/>
      <c r="EB213" s="847"/>
      <c r="EC213" s="847"/>
      <c r="ED213" s="847"/>
      <c r="EE213" s="847"/>
      <c r="EF213" s="847"/>
      <c r="EG213" s="1212"/>
      <c r="EH213" s="847"/>
      <c r="EI213" s="1212"/>
    </row>
    <row r="214" spans="1:139" s="733" customFormat="1" ht="13.5">
      <c r="A214" s="1009"/>
      <c r="B214" s="1212" t="s">
        <v>2066</v>
      </c>
      <c r="C214" s="1213">
        <v>0</v>
      </c>
      <c r="D214" s="1013" t="s">
        <v>92</v>
      </c>
      <c r="E214" s="847"/>
      <c r="F214" s="1013"/>
      <c r="G214" s="1225">
        <f>'Lead &amp; ANALYSIS'!G4071/10</f>
        <v>1.3000000000000001E-2</v>
      </c>
      <c r="H214" s="1013">
        <f t="shared" si="9"/>
        <v>0</v>
      </c>
      <c r="I214" s="847"/>
      <c r="J214" s="1013"/>
      <c r="K214" s="847">
        <f>'Lead &amp; ANALYSIS'!G4072/10</f>
        <v>0.2737</v>
      </c>
      <c r="L214" s="1013">
        <f t="shared" si="10"/>
        <v>0</v>
      </c>
      <c r="M214" s="847"/>
      <c r="N214" s="1013"/>
      <c r="O214" s="847"/>
      <c r="P214" s="1013"/>
      <c r="Q214" s="847"/>
      <c r="R214" s="847"/>
      <c r="S214" s="847"/>
      <c r="T214" s="847"/>
      <c r="U214" s="847"/>
      <c r="V214" s="847"/>
      <c r="W214" s="847"/>
      <c r="X214" s="847"/>
      <c r="Y214" s="847"/>
      <c r="Z214" s="847"/>
      <c r="AA214" s="847"/>
      <c r="AB214" s="847"/>
      <c r="AC214" s="847"/>
      <c r="AD214" s="847"/>
      <c r="AE214" s="847"/>
      <c r="AF214" s="847"/>
      <c r="AG214" s="847"/>
      <c r="AH214" s="847"/>
      <c r="AI214" s="847"/>
      <c r="AJ214" s="847"/>
      <c r="AK214" s="847"/>
      <c r="AL214" s="847"/>
      <c r="AM214" s="847"/>
      <c r="AN214" s="847"/>
      <c r="AO214" s="847"/>
      <c r="AP214" s="847"/>
      <c r="AQ214" s="847"/>
      <c r="AR214" s="847"/>
      <c r="AS214" s="847"/>
      <c r="AT214" s="847"/>
      <c r="AU214" s="847"/>
      <c r="AV214" s="847"/>
      <c r="AW214" s="847"/>
      <c r="AX214" s="847"/>
      <c r="AY214" s="847"/>
      <c r="AZ214" s="847"/>
      <c r="BA214" s="847"/>
      <c r="BB214" s="847"/>
      <c r="BC214" s="847"/>
      <c r="BD214" s="847"/>
      <c r="BE214" s="847"/>
      <c r="BF214" s="847"/>
      <c r="BG214" s="847"/>
      <c r="BH214" s="847"/>
      <c r="BI214" s="847"/>
      <c r="BJ214" s="847"/>
      <c r="BK214" s="847"/>
      <c r="BL214" s="847"/>
      <c r="BM214" s="847"/>
      <c r="BN214" s="847"/>
      <c r="BO214" s="847"/>
      <c r="BP214" s="847"/>
      <c r="BQ214" s="847"/>
      <c r="BR214" s="847"/>
      <c r="BS214" s="847"/>
      <c r="BT214" s="847"/>
      <c r="BU214" s="847"/>
      <c r="BV214" s="847"/>
      <c r="BW214" s="847"/>
      <c r="BX214" s="847"/>
      <c r="BY214" s="847"/>
      <c r="BZ214" s="847"/>
      <c r="CA214" s="847"/>
      <c r="CB214" s="847"/>
      <c r="CC214" s="847"/>
      <c r="CD214" s="847"/>
      <c r="CE214" s="847"/>
      <c r="CF214" s="847"/>
      <c r="CG214" s="847"/>
      <c r="CH214" s="847"/>
      <c r="CI214" s="847"/>
      <c r="CJ214" s="847"/>
      <c r="CK214" s="847"/>
      <c r="CL214" s="847"/>
      <c r="CM214" s="847"/>
      <c r="CN214" s="847"/>
      <c r="CO214" s="847"/>
      <c r="CP214" s="847"/>
      <c r="CQ214" s="847"/>
      <c r="CR214" s="847"/>
      <c r="CS214" s="1013">
        <f>'Lead &amp; ANALYSIS'!G4083/10</f>
        <v>1</v>
      </c>
      <c r="CT214" s="847">
        <f>ROUND(C214*CS214,2)</f>
        <v>0</v>
      </c>
      <c r="CU214" s="847"/>
      <c r="CV214" s="847"/>
      <c r="CW214" s="847"/>
      <c r="CX214" s="847"/>
      <c r="CY214" s="847"/>
      <c r="CZ214" s="847"/>
      <c r="DA214" s="847"/>
      <c r="DB214" s="847"/>
      <c r="DC214" s="847"/>
      <c r="DD214" s="847"/>
      <c r="DE214" s="847"/>
      <c r="DF214" s="847"/>
      <c r="DG214" s="847"/>
      <c r="DH214" s="847"/>
      <c r="DI214" s="847"/>
      <c r="DJ214" s="847"/>
      <c r="DK214" s="847"/>
      <c r="DL214" s="847"/>
      <c r="DM214" s="1212"/>
      <c r="DN214" s="1222">
        <f>'Lead &amp; ANALYSIS'!G4077/10</f>
        <v>0.21600000000000003</v>
      </c>
      <c r="DO214" s="1013">
        <f>ROUND(C214*DN214,2)</f>
        <v>0</v>
      </c>
      <c r="DP214" s="847">
        <f>'Lead &amp; ANALYSIS'!G4076/10</f>
        <v>0.55000000000000004</v>
      </c>
      <c r="DQ214" s="1013">
        <f>ROUND(C214*DP214,2)</f>
        <v>0</v>
      </c>
      <c r="DR214" s="1225"/>
      <c r="DS214" s="1013"/>
      <c r="DT214" s="1225">
        <f>'Lead &amp; ANALYSIS'!G4075/10</f>
        <v>0.21600000000000003</v>
      </c>
      <c r="DU214" s="1214">
        <f>ROUND(C214*DT214,2)</f>
        <v>0</v>
      </c>
      <c r="DV214" s="1242"/>
      <c r="DW214" s="1232"/>
      <c r="DX214" s="1222"/>
      <c r="DY214" s="847"/>
      <c r="DZ214" s="847"/>
      <c r="EA214" s="847"/>
      <c r="EB214" s="847"/>
      <c r="EC214" s="847"/>
      <c r="ED214" s="847"/>
      <c r="EE214" s="847"/>
      <c r="EF214" s="847"/>
      <c r="EG214" s="1212"/>
      <c r="EH214" s="847"/>
      <c r="EI214" s="1212"/>
    </row>
    <row r="215" spans="1:139" s="733" customFormat="1" ht="13.5">
      <c r="A215" s="1009"/>
      <c r="B215" s="1212" t="s">
        <v>2067</v>
      </c>
      <c r="C215" s="1213">
        <v>0</v>
      </c>
      <c r="D215" s="1013" t="s">
        <v>92</v>
      </c>
      <c r="E215" s="847"/>
      <c r="F215" s="1013"/>
      <c r="G215" s="1225">
        <f>G214</f>
        <v>1.3000000000000001E-2</v>
      </c>
      <c r="H215" s="1013">
        <f t="shared" si="9"/>
        <v>0</v>
      </c>
      <c r="I215" s="847"/>
      <c r="J215" s="1013"/>
      <c r="K215" s="847">
        <f>K214</f>
        <v>0.2737</v>
      </c>
      <c r="L215" s="1013">
        <f t="shared" si="10"/>
        <v>0</v>
      </c>
      <c r="M215" s="847"/>
      <c r="N215" s="1013"/>
      <c r="O215" s="847"/>
      <c r="P215" s="1013"/>
      <c r="Q215" s="847"/>
      <c r="R215" s="847"/>
      <c r="S215" s="847"/>
      <c r="T215" s="847"/>
      <c r="U215" s="847"/>
      <c r="V215" s="847"/>
      <c r="W215" s="847"/>
      <c r="X215" s="847"/>
      <c r="Y215" s="847"/>
      <c r="Z215" s="847"/>
      <c r="AA215" s="847"/>
      <c r="AB215" s="847"/>
      <c r="AC215" s="847"/>
      <c r="AD215" s="847"/>
      <c r="AE215" s="847"/>
      <c r="AF215" s="847"/>
      <c r="AG215" s="847"/>
      <c r="AH215" s="847"/>
      <c r="AI215" s="847"/>
      <c r="AJ215" s="847"/>
      <c r="AK215" s="847"/>
      <c r="AL215" s="847"/>
      <c r="AM215" s="847"/>
      <c r="AN215" s="847"/>
      <c r="AO215" s="847"/>
      <c r="AP215" s="847"/>
      <c r="AQ215" s="847"/>
      <c r="AR215" s="847"/>
      <c r="AS215" s="847"/>
      <c r="AT215" s="847"/>
      <c r="AU215" s="847"/>
      <c r="AV215" s="847"/>
      <c r="AW215" s="847"/>
      <c r="AX215" s="847"/>
      <c r="AY215" s="847"/>
      <c r="AZ215" s="847"/>
      <c r="BA215" s="847"/>
      <c r="BB215" s="847"/>
      <c r="BC215" s="847"/>
      <c r="BD215" s="847"/>
      <c r="BE215" s="847"/>
      <c r="BF215" s="847"/>
      <c r="BG215" s="847"/>
      <c r="BH215" s="847"/>
      <c r="BI215" s="847"/>
      <c r="BJ215" s="847"/>
      <c r="BK215" s="847"/>
      <c r="BL215" s="847"/>
      <c r="BM215" s="847"/>
      <c r="BN215" s="847"/>
      <c r="BO215" s="847"/>
      <c r="BP215" s="847"/>
      <c r="BQ215" s="847"/>
      <c r="BR215" s="847"/>
      <c r="BS215" s="847"/>
      <c r="BT215" s="847"/>
      <c r="BU215" s="847"/>
      <c r="BV215" s="847"/>
      <c r="BW215" s="847"/>
      <c r="BX215" s="847"/>
      <c r="BY215" s="847"/>
      <c r="BZ215" s="847"/>
      <c r="CA215" s="847"/>
      <c r="CB215" s="847"/>
      <c r="CC215" s="847"/>
      <c r="CD215" s="847"/>
      <c r="CE215" s="847"/>
      <c r="CF215" s="847"/>
      <c r="CG215" s="847"/>
      <c r="CH215" s="847"/>
      <c r="CI215" s="847"/>
      <c r="CJ215" s="847"/>
      <c r="CK215" s="847"/>
      <c r="CL215" s="847"/>
      <c r="CM215" s="847"/>
      <c r="CN215" s="847"/>
      <c r="CO215" s="847"/>
      <c r="CP215" s="847"/>
      <c r="CQ215" s="847"/>
      <c r="CR215" s="847"/>
      <c r="CS215" s="1013">
        <f>CS214</f>
        <v>1</v>
      </c>
      <c r="CT215" s="847">
        <f>ROUND(C215*CS215,2)</f>
        <v>0</v>
      </c>
      <c r="CU215" s="847"/>
      <c r="CV215" s="847"/>
      <c r="CW215" s="847"/>
      <c r="CX215" s="847"/>
      <c r="CY215" s="847"/>
      <c r="CZ215" s="847"/>
      <c r="DA215" s="847"/>
      <c r="DB215" s="847"/>
      <c r="DC215" s="847"/>
      <c r="DD215" s="847"/>
      <c r="DE215" s="847"/>
      <c r="DF215" s="847"/>
      <c r="DG215" s="847"/>
      <c r="DH215" s="847"/>
      <c r="DI215" s="847"/>
      <c r="DJ215" s="847"/>
      <c r="DK215" s="847"/>
      <c r="DL215" s="847"/>
      <c r="DM215" s="1212"/>
      <c r="DN215" s="1222">
        <f>DN214+DN214*5%</f>
        <v>0.22680000000000003</v>
      </c>
      <c r="DO215" s="1013">
        <f>ROUND(C215*DN215,2)</f>
        <v>0</v>
      </c>
      <c r="DP215" s="847">
        <f>DP214+DP214*5%</f>
        <v>0.57750000000000001</v>
      </c>
      <c r="DQ215" s="1013">
        <f>ROUND(C215*DP215,2)</f>
        <v>0</v>
      </c>
      <c r="DR215" s="1225"/>
      <c r="DS215" s="1013"/>
      <c r="DT215" s="847">
        <f>DT214+DT214*5%</f>
        <v>0.22680000000000003</v>
      </c>
      <c r="DU215" s="1214">
        <f>ROUND(C215*DT215,2)</f>
        <v>0</v>
      </c>
      <c r="DV215" s="1242"/>
      <c r="DW215" s="1232"/>
      <c r="DX215" s="1222"/>
      <c r="DY215" s="847"/>
      <c r="DZ215" s="847"/>
      <c r="EA215" s="847"/>
      <c r="EB215" s="847"/>
      <c r="EC215" s="847"/>
      <c r="ED215" s="847"/>
      <c r="EE215" s="847"/>
      <c r="EF215" s="847"/>
      <c r="EG215" s="1212"/>
      <c r="EH215" s="847"/>
      <c r="EI215" s="1212"/>
    </row>
    <row r="216" spans="1:139" s="733" customFormat="1" ht="13.5">
      <c r="A216" s="1009" t="s">
        <v>220</v>
      </c>
      <c r="B216" s="1212" t="s">
        <v>236</v>
      </c>
      <c r="C216" s="1213">
        <v>0</v>
      </c>
      <c r="D216" s="1013" t="s">
        <v>92</v>
      </c>
      <c r="E216" s="847"/>
      <c r="F216" s="1013"/>
      <c r="G216" s="1225"/>
      <c r="H216" s="1013"/>
      <c r="I216" s="847"/>
      <c r="J216" s="1013"/>
      <c r="K216" s="847"/>
      <c r="L216" s="1013"/>
      <c r="M216" s="847"/>
      <c r="N216" s="1013"/>
      <c r="O216" s="847"/>
      <c r="P216" s="1013"/>
      <c r="Q216" s="847"/>
      <c r="R216" s="847"/>
      <c r="S216" s="847"/>
      <c r="T216" s="847"/>
      <c r="U216" s="847"/>
      <c r="V216" s="847"/>
      <c r="W216" s="847"/>
      <c r="X216" s="847"/>
      <c r="Y216" s="847"/>
      <c r="Z216" s="847"/>
      <c r="AA216" s="847"/>
      <c r="AB216" s="847"/>
      <c r="AC216" s="847"/>
      <c r="AD216" s="847"/>
      <c r="AE216" s="847"/>
      <c r="AF216" s="847"/>
      <c r="AG216" s="847"/>
      <c r="AH216" s="847"/>
      <c r="AI216" s="847"/>
      <c r="AJ216" s="847"/>
      <c r="AK216" s="847"/>
      <c r="AL216" s="847"/>
      <c r="AM216" s="847"/>
      <c r="AN216" s="847"/>
      <c r="AO216" s="847"/>
      <c r="AP216" s="847"/>
      <c r="AQ216" s="847"/>
      <c r="AR216" s="847"/>
      <c r="AS216" s="847"/>
      <c r="AT216" s="847"/>
      <c r="AU216" s="847"/>
      <c r="AV216" s="847"/>
      <c r="AW216" s="847"/>
      <c r="AX216" s="847"/>
      <c r="AY216" s="847"/>
      <c r="AZ216" s="847"/>
      <c r="BA216" s="847"/>
      <c r="BB216" s="847"/>
      <c r="BC216" s="847"/>
      <c r="BD216" s="847"/>
      <c r="BE216" s="847"/>
      <c r="BF216" s="847"/>
      <c r="BG216" s="847"/>
      <c r="BH216" s="847"/>
      <c r="BI216" s="847"/>
      <c r="BJ216" s="847"/>
      <c r="BK216" s="847"/>
      <c r="BL216" s="847"/>
      <c r="BM216" s="847"/>
      <c r="BN216" s="847"/>
      <c r="BO216" s="847"/>
      <c r="BP216" s="847"/>
      <c r="BQ216" s="847"/>
      <c r="BR216" s="847"/>
      <c r="BS216" s="847"/>
      <c r="BT216" s="847"/>
      <c r="BU216" s="847"/>
      <c r="BV216" s="847"/>
      <c r="BW216" s="847"/>
      <c r="BX216" s="847"/>
      <c r="BY216" s="847"/>
      <c r="BZ216" s="847"/>
      <c r="CA216" s="847"/>
      <c r="CB216" s="847"/>
      <c r="CC216" s="847"/>
      <c r="CD216" s="847"/>
      <c r="CE216" s="847"/>
      <c r="CF216" s="847"/>
      <c r="CG216" s="847"/>
      <c r="CH216" s="847"/>
      <c r="CI216" s="847"/>
      <c r="CJ216" s="847"/>
      <c r="CK216" s="847"/>
      <c r="CL216" s="847"/>
      <c r="CM216" s="847"/>
      <c r="CN216" s="847"/>
      <c r="CO216" s="847"/>
      <c r="CP216" s="847"/>
      <c r="CQ216" s="847"/>
      <c r="CR216" s="847"/>
      <c r="CS216" s="847"/>
      <c r="CT216" s="847"/>
      <c r="CU216" s="847"/>
      <c r="CV216" s="847"/>
      <c r="CW216" s="847"/>
      <c r="CX216" s="847"/>
      <c r="CY216" s="847"/>
      <c r="CZ216" s="847"/>
      <c r="DA216" s="847"/>
      <c r="DB216" s="847"/>
      <c r="DC216" s="847"/>
      <c r="DD216" s="847"/>
      <c r="DE216" s="847"/>
      <c r="DF216" s="847"/>
      <c r="DG216" s="847"/>
      <c r="DH216" s="847"/>
      <c r="DI216" s="847"/>
      <c r="DJ216" s="847"/>
      <c r="DK216" s="847"/>
      <c r="DL216" s="847"/>
      <c r="DM216" s="1212"/>
      <c r="DN216" s="1222"/>
      <c r="DO216" s="1013"/>
      <c r="DP216" s="847"/>
      <c r="DQ216" s="1013"/>
      <c r="DR216" s="1225"/>
      <c r="DS216" s="1013"/>
      <c r="DT216" s="1225"/>
      <c r="DU216" s="1214"/>
      <c r="DV216" s="1242"/>
      <c r="DW216" s="1232"/>
      <c r="DX216" s="1222"/>
      <c r="DY216" s="847"/>
      <c r="DZ216" s="847"/>
      <c r="EA216" s="847"/>
      <c r="EB216" s="847"/>
      <c r="EC216" s="847"/>
      <c r="ED216" s="847"/>
      <c r="EE216" s="847"/>
      <c r="EF216" s="847"/>
      <c r="EG216" s="1212"/>
      <c r="EH216" s="847"/>
      <c r="EI216" s="1212"/>
    </row>
    <row r="217" spans="1:139" s="733" customFormat="1" ht="13.5">
      <c r="A217" s="1009"/>
      <c r="B217" s="1212" t="s">
        <v>2066</v>
      </c>
      <c r="C217" s="1213">
        <v>0</v>
      </c>
      <c r="D217" s="1013" t="s">
        <v>92</v>
      </c>
      <c r="E217" s="847"/>
      <c r="F217" s="1013"/>
      <c r="G217" s="1225">
        <f>G214</f>
        <v>1.3000000000000001E-2</v>
      </c>
      <c r="H217" s="1013">
        <f>ROUND(C217*G217,2)</f>
        <v>0</v>
      </c>
      <c r="I217" s="847"/>
      <c r="J217" s="1013"/>
      <c r="K217" s="847">
        <f>K214</f>
        <v>0.2737</v>
      </c>
      <c r="L217" s="1013">
        <f>ROUND(C217*K217,2)</f>
        <v>0</v>
      </c>
      <c r="M217" s="847"/>
      <c r="N217" s="1013"/>
      <c r="O217" s="847"/>
      <c r="P217" s="1013"/>
      <c r="Q217" s="847"/>
      <c r="R217" s="847"/>
      <c r="S217" s="847"/>
      <c r="T217" s="847"/>
      <c r="U217" s="847"/>
      <c r="V217" s="847"/>
      <c r="W217" s="847"/>
      <c r="X217" s="847"/>
      <c r="Y217" s="847"/>
      <c r="Z217" s="847"/>
      <c r="AA217" s="847"/>
      <c r="AB217" s="847"/>
      <c r="AC217" s="847"/>
      <c r="AD217" s="847"/>
      <c r="AE217" s="847"/>
      <c r="AF217" s="847"/>
      <c r="AG217" s="847"/>
      <c r="AH217" s="847"/>
      <c r="AI217" s="847"/>
      <c r="AJ217" s="847"/>
      <c r="AK217" s="847"/>
      <c r="AL217" s="847"/>
      <c r="AM217" s="847"/>
      <c r="AN217" s="847"/>
      <c r="AO217" s="847"/>
      <c r="AP217" s="847"/>
      <c r="AQ217" s="847"/>
      <c r="AR217" s="847"/>
      <c r="AS217" s="847"/>
      <c r="AT217" s="847"/>
      <c r="AU217" s="847"/>
      <c r="AV217" s="847"/>
      <c r="AW217" s="847"/>
      <c r="AX217" s="847"/>
      <c r="AY217" s="847"/>
      <c r="AZ217" s="847"/>
      <c r="BA217" s="847"/>
      <c r="BB217" s="847"/>
      <c r="BC217" s="847"/>
      <c r="BD217" s="847"/>
      <c r="BE217" s="847"/>
      <c r="BF217" s="847"/>
      <c r="BG217" s="847"/>
      <c r="BH217" s="847"/>
      <c r="BI217" s="847"/>
      <c r="BJ217" s="847"/>
      <c r="BK217" s="847"/>
      <c r="BL217" s="847"/>
      <c r="BM217" s="847"/>
      <c r="BN217" s="847"/>
      <c r="BO217" s="847"/>
      <c r="BP217" s="847"/>
      <c r="BQ217" s="847"/>
      <c r="BR217" s="847"/>
      <c r="BS217" s="847"/>
      <c r="BT217" s="847"/>
      <c r="BU217" s="847"/>
      <c r="BV217" s="847"/>
      <c r="BW217" s="847"/>
      <c r="BX217" s="847"/>
      <c r="BY217" s="847"/>
      <c r="BZ217" s="847"/>
      <c r="CA217" s="847"/>
      <c r="CB217" s="847"/>
      <c r="CC217" s="847"/>
      <c r="CD217" s="847"/>
      <c r="CE217" s="847"/>
      <c r="CF217" s="847"/>
      <c r="CG217" s="847"/>
      <c r="CH217" s="847"/>
      <c r="CI217" s="847"/>
      <c r="CJ217" s="847"/>
      <c r="CK217" s="847"/>
      <c r="CL217" s="847"/>
      <c r="CM217" s="847"/>
      <c r="CN217" s="847"/>
      <c r="CO217" s="847"/>
      <c r="CP217" s="847"/>
      <c r="CQ217" s="847"/>
      <c r="CR217" s="847"/>
      <c r="CS217" s="1013">
        <f>CS214</f>
        <v>1</v>
      </c>
      <c r="CT217" s="847"/>
      <c r="CU217" s="847">
        <f>ROUND(C217*CS217,2)</f>
        <v>0</v>
      </c>
      <c r="CV217" s="847"/>
      <c r="CW217" s="847"/>
      <c r="CX217" s="847"/>
      <c r="CY217" s="847"/>
      <c r="CZ217" s="847"/>
      <c r="DA217" s="847"/>
      <c r="DB217" s="847"/>
      <c r="DC217" s="847"/>
      <c r="DD217" s="847"/>
      <c r="DE217" s="847"/>
      <c r="DF217" s="847"/>
      <c r="DG217" s="847"/>
      <c r="DH217" s="847"/>
      <c r="DI217" s="847"/>
      <c r="DJ217" s="847"/>
      <c r="DK217" s="847"/>
      <c r="DL217" s="847"/>
      <c r="DM217" s="1212"/>
      <c r="DN217" s="1222">
        <f>'Lead &amp; ANALYSIS'!G4077/10</f>
        <v>0.21600000000000003</v>
      </c>
      <c r="DO217" s="1013">
        <f>ROUND(C217*DN217,2)</f>
        <v>0</v>
      </c>
      <c r="DP217" s="847">
        <f>'Lead &amp; ANALYSIS'!G4076/10</f>
        <v>0.55000000000000004</v>
      </c>
      <c r="DQ217" s="1013">
        <f>ROUND(C217*DP217,2)</f>
        <v>0</v>
      </c>
      <c r="DR217" s="1225"/>
      <c r="DS217" s="1013"/>
      <c r="DT217" s="1225">
        <f>'Lead &amp; ANALYSIS'!G4075/10</f>
        <v>0.21600000000000003</v>
      </c>
      <c r="DU217" s="1214">
        <f>ROUND(C217*DT217,2)</f>
        <v>0</v>
      </c>
      <c r="DV217" s="1242"/>
      <c r="DW217" s="1232"/>
      <c r="DX217" s="1222"/>
      <c r="DY217" s="847"/>
      <c r="DZ217" s="847"/>
      <c r="EA217" s="847"/>
      <c r="EB217" s="847"/>
      <c r="EC217" s="847"/>
      <c r="ED217" s="847"/>
      <c r="EE217" s="847"/>
      <c r="EF217" s="847"/>
      <c r="EG217" s="1212"/>
      <c r="EH217" s="847"/>
      <c r="EI217" s="1212"/>
    </row>
    <row r="218" spans="1:139" s="733" customFormat="1" ht="13.5">
      <c r="A218" s="1009"/>
      <c r="B218" s="1212" t="s">
        <v>2067</v>
      </c>
      <c r="C218" s="1213">
        <v>0</v>
      </c>
      <c r="D218" s="1013" t="s">
        <v>92</v>
      </c>
      <c r="E218" s="847"/>
      <c r="F218" s="1013"/>
      <c r="G218" s="1225">
        <f>G217</f>
        <v>1.3000000000000001E-2</v>
      </c>
      <c r="H218" s="1013">
        <f>ROUND(C218*G218,2)</f>
        <v>0</v>
      </c>
      <c r="I218" s="847"/>
      <c r="J218" s="1013"/>
      <c r="K218" s="847">
        <f>K217</f>
        <v>0.2737</v>
      </c>
      <c r="L218" s="1013">
        <f>ROUND(C218*K218,2)</f>
        <v>0</v>
      </c>
      <c r="M218" s="847"/>
      <c r="N218" s="1013"/>
      <c r="O218" s="847"/>
      <c r="P218" s="1013"/>
      <c r="Q218" s="847"/>
      <c r="R218" s="847"/>
      <c r="S218" s="847"/>
      <c r="T218" s="847"/>
      <c r="U218" s="847"/>
      <c r="V218" s="847"/>
      <c r="W218" s="847"/>
      <c r="X218" s="847"/>
      <c r="Y218" s="847"/>
      <c r="Z218" s="847"/>
      <c r="AA218" s="847"/>
      <c r="AB218" s="847"/>
      <c r="AC218" s="847"/>
      <c r="AD218" s="847"/>
      <c r="AE218" s="847"/>
      <c r="AF218" s="847"/>
      <c r="AG218" s="847"/>
      <c r="AH218" s="847"/>
      <c r="AI218" s="847"/>
      <c r="AJ218" s="847"/>
      <c r="AK218" s="847"/>
      <c r="AL218" s="847"/>
      <c r="AM218" s="847"/>
      <c r="AN218" s="847"/>
      <c r="AO218" s="847"/>
      <c r="AP218" s="847"/>
      <c r="AQ218" s="847"/>
      <c r="AR218" s="847"/>
      <c r="AS218" s="847"/>
      <c r="AT218" s="847"/>
      <c r="AU218" s="847"/>
      <c r="AV218" s="847"/>
      <c r="AW218" s="847"/>
      <c r="AX218" s="847"/>
      <c r="AY218" s="847"/>
      <c r="AZ218" s="847"/>
      <c r="BA218" s="847"/>
      <c r="BB218" s="847"/>
      <c r="BC218" s="847"/>
      <c r="BD218" s="847"/>
      <c r="BE218" s="847"/>
      <c r="BF218" s="847"/>
      <c r="BG218" s="847"/>
      <c r="BH218" s="847"/>
      <c r="BI218" s="847"/>
      <c r="BJ218" s="847"/>
      <c r="BK218" s="847"/>
      <c r="BL218" s="847"/>
      <c r="BM218" s="847"/>
      <c r="BN218" s="847"/>
      <c r="BO218" s="847"/>
      <c r="BP218" s="847"/>
      <c r="BQ218" s="847"/>
      <c r="BR218" s="847"/>
      <c r="BS218" s="847"/>
      <c r="BT218" s="847"/>
      <c r="BU218" s="847"/>
      <c r="BV218" s="847"/>
      <c r="BW218" s="847"/>
      <c r="BX218" s="847"/>
      <c r="BY218" s="847"/>
      <c r="BZ218" s="847"/>
      <c r="CA218" s="847"/>
      <c r="CB218" s="847"/>
      <c r="CC218" s="847"/>
      <c r="CD218" s="847"/>
      <c r="CE218" s="847"/>
      <c r="CF218" s="847"/>
      <c r="CG218" s="847"/>
      <c r="CH218" s="847"/>
      <c r="CI218" s="847"/>
      <c r="CJ218" s="847"/>
      <c r="CK218" s="847"/>
      <c r="CL218" s="847"/>
      <c r="CM218" s="847"/>
      <c r="CN218" s="847"/>
      <c r="CO218" s="847"/>
      <c r="CP218" s="847"/>
      <c r="CQ218" s="847"/>
      <c r="CR218" s="847"/>
      <c r="CS218" s="1013">
        <f>CS217</f>
        <v>1</v>
      </c>
      <c r="CT218" s="847"/>
      <c r="CU218" s="847">
        <f>ROUND(C218*CS218,2)</f>
        <v>0</v>
      </c>
      <c r="CV218" s="847"/>
      <c r="CW218" s="847"/>
      <c r="CX218" s="847"/>
      <c r="CY218" s="847"/>
      <c r="CZ218" s="847"/>
      <c r="DA218" s="847"/>
      <c r="DB218" s="847"/>
      <c r="DC218" s="847"/>
      <c r="DD218" s="847"/>
      <c r="DE218" s="847"/>
      <c r="DF218" s="847"/>
      <c r="DG218" s="847"/>
      <c r="DH218" s="847"/>
      <c r="DI218" s="847"/>
      <c r="DJ218" s="847"/>
      <c r="DK218" s="847"/>
      <c r="DL218" s="847"/>
      <c r="DM218" s="1212"/>
      <c r="DN218" s="1222">
        <f>DN217+DN217*5%</f>
        <v>0.22680000000000003</v>
      </c>
      <c r="DO218" s="1013">
        <f>ROUND(C218*DN218,2)</f>
        <v>0</v>
      </c>
      <c r="DP218" s="847">
        <f>DP217+DP217*5%</f>
        <v>0.57750000000000001</v>
      </c>
      <c r="DQ218" s="1013">
        <f>ROUND(C218*DP218,2)</f>
        <v>0</v>
      </c>
      <c r="DR218" s="1225"/>
      <c r="DS218" s="1013"/>
      <c r="DT218" s="847">
        <f>DT217+DT217*5%</f>
        <v>0.22680000000000003</v>
      </c>
      <c r="DU218" s="1214">
        <f>ROUND(C218*DT218,2)</f>
        <v>0</v>
      </c>
      <c r="DV218" s="1242"/>
      <c r="DW218" s="1232"/>
      <c r="DX218" s="1222"/>
      <c r="DY218" s="847"/>
      <c r="DZ218" s="847"/>
      <c r="EA218" s="847"/>
      <c r="EB218" s="847"/>
      <c r="EC218" s="847"/>
      <c r="ED218" s="847"/>
      <c r="EE218" s="847"/>
      <c r="EF218" s="847"/>
      <c r="EG218" s="1212"/>
      <c r="EH218" s="847"/>
      <c r="EI218" s="1212"/>
    </row>
    <row r="219" spans="1:139" s="733" customFormat="1" ht="13.5">
      <c r="A219" s="1009" t="s">
        <v>244</v>
      </c>
      <c r="B219" s="1212" t="s">
        <v>231</v>
      </c>
      <c r="C219" s="1213">
        <v>0</v>
      </c>
      <c r="D219" s="1013" t="s">
        <v>92</v>
      </c>
      <c r="E219" s="847"/>
      <c r="F219" s="1013"/>
      <c r="G219" s="1225"/>
      <c r="H219" s="1013"/>
      <c r="I219" s="847"/>
      <c r="J219" s="1013"/>
      <c r="K219" s="847"/>
      <c r="L219" s="1013"/>
      <c r="M219" s="847"/>
      <c r="N219" s="1013"/>
      <c r="O219" s="847"/>
      <c r="P219" s="1013"/>
      <c r="Q219" s="847"/>
      <c r="R219" s="847"/>
      <c r="S219" s="847"/>
      <c r="T219" s="847"/>
      <c r="U219" s="847"/>
      <c r="V219" s="847"/>
      <c r="W219" s="847"/>
      <c r="X219" s="847"/>
      <c r="Y219" s="847"/>
      <c r="Z219" s="847"/>
      <c r="AA219" s="847"/>
      <c r="AB219" s="847"/>
      <c r="AC219" s="847"/>
      <c r="AD219" s="847"/>
      <c r="AE219" s="847"/>
      <c r="AF219" s="847"/>
      <c r="AG219" s="847"/>
      <c r="AH219" s="847"/>
      <c r="AI219" s="847"/>
      <c r="AJ219" s="847"/>
      <c r="AK219" s="847"/>
      <c r="AL219" s="847"/>
      <c r="AM219" s="847"/>
      <c r="AN219" s="847"/>
      <c r="AO219" s="847"/>
      <c r="AP219" s="847"/>
      <c r="AQ219" s="847"/>
      <c r="AR219" s="847"/>
      <c r="AS219" s="847"/>
      <c r="AT219" s="847"/>
      <c r="AU219" s="847"/>
      <c r="AV219" s="847"/>
      <c r="AW219" s="847"/>
      <c r="AX219" s="847"/>
      <c r="AY219" s="847"/>
      <c r="AZ219" s="847"/>
      <c r="BA219" s="847"/>
      <c r="BB219" s="847"/>
      <c r="BC219" s="847"/>
      <c r="BD219" s="847"/>
      <c r="BE219" s="847"/>
      <c r="BF219" s="847"/>
      <c r="BG219" s="847"/>
      <c r="BH219" s="847"/>
      <c r="BI219" s="847"/>
      <c r="BJ219" s="847"/>
      <c r="BK219" s="847"/>
      <c r="BL219" s="847"/>
      <c r="BM219" s="847"/>
      <c r="BN219" s="847"/>
      <c r="BO219" s="847"/>
      <c r="BP219" s="847"/>
      <c r="BQ219" s="847"/>
      <c r="BR219" s="847"/>
      <c r="BS219" s="847"/>
      <c r="BT219" s="847"/>
      <c r="BU219" s="847"/>
      <c r="BV219" s="847"/>
      <c r="BW219" s="847"/>
      <c r="BX219" s="847"/>
      <c r="BY219" s="847"/>
      <c r="BZ219" s="847"/>
      <c r="CA219" s="847"/>
      <c r="CB219" s="847"/>
      <c r="CC219" s="847"/>
      <c r="CD219" s="847"/>
      <c r="CE219" s="847"/>
      <c r="CF219" s="847"/>
      <c r="CG219" s="847"/>
      <c r="CH219" s="847"/>
      <c r="CI219" s="847"/>
      <c r="CJ219" s="847"/>
      <c r="CK219" s="847"/>
      <c r="CL219" s="847"/>
      <c r="CM219" s="847"/>
      <c r="CN219" s="847"/>
      <c r="CO219" s="847"/>
      <c r="CP219" s="847"/>
      <c r="CQ219" s="847"/>
      <c r="CR219" s="847"/>
      <c r="CS219" s="847"/>
      <c r="CT219" s="847"/>
      <c r="CU219" s="847"/>
      <c r="CV219" s="847"/>
      <c r="CW219" s="847"/>
      <c r="CX219" s="847"/>
      <c r="CY219" s="847"/>
      <c r="CZ219" s="847"/>
      <c r="DA219" s="847"/>
      <c r="DB219" s="847"/>
      <c r="DC219" s="847"/>
      <c r="DD219" s="847"/>
      <c r="DE219" s="847"/>
      <c r="DF219" s="847"/>
      <c r="DG219" s="847"/>
      <c r="DH219" s="847"/>
      <c r="DI219" s="847"/>
      <c r="DJ219" s="847"/>
      <c r="DK219" s="847"/>
      <c r="DL219" s="847"/>
      <c r="DM219" s="1212"/>
      <c r="DN219" s="1222"/>
      <c r="DO219" s="1013"/>
      <c r="DP219" s="847"/>
      <c r="DQ219" s="1013"/>
      <c r="DR219" s="1225"/>
      <c r="DS219" s="1013"/>
      <c r="DT219" s="1225"/>
      <c r="DU219" s="1214"/>
      <c r="DV219" s="1242"/>
      <c r="DW219" s="1232"/>
      <c r="DX219" s="1222"/>
      <c r="DY219" s="847"/>
      <c r="DZ219" s="847"/>
      <c r="EA219" s="847"/>
      <c r="EB219" s="847"/>
      <c r="EC219" s="847"/>
      <c r="ED219" s="847"/>
      <c r="EE219" s="847"/>
      <c r="EF219" s="847"/>
      <c r="EG219" s="1212"/>
      <c r="EH219" s="847"/>
      <c r="EI219" s="1212"/>
    </row>
    <row r="220" spans="1:139" s="733" customFormat="1" ht="13.5">
      <c r="A220" s="1009"/>
      <c r="B220" s="1212" t="s">
        <v>2066</v>
      </c>
      <c r="C220" s="1213">
        <v>0</v>
      </c>
      <c r="D220" s="1013" t="s">
        <v>92</v>
      </c>
      <c r="E220" s="847"/>
      <c r="F220" s="1013"/>
      <c r="G220" s="1225">
        <f>G214</f>
        <v>1.3000000000000001E-2</v>
      </c>
      <c r="H220" s="1013">
        <f t="shared" si="9"/>
        <v>0</v>
      </c>
      <c r="I220" s="847"/>
      <c r="J220" s="1013"/>
      <c r="K220" s="847">
        <f>K214</f>
        <v>0.2737</v>
      </c>
      <c r="L220" s="1013">
        <f t="shared" si="10"/>
        <v>0</v>
      </c>
      <c r="M220" s="847"/>
      <c r="N220" s="1013"/>
      <c r="O220" s="847"/>
      <c r="P220" s="1013"/>
      <c r="Q220" s="847"/>
      <c r="R220" s="847"/>
      <c r="S220" s="847"/>
      <c r="T220" s="847"/>
      <c r="U220" s="847"/>
      <c r="V220" s="847"/>
      <c r="W220" s="847"/>
      <c r="X220" s="847"/>
      <c r="Y220" s="847"/>
      <c r="Z220" s="847"/>
      <c r="AA220" s="847"/>
      <c r="AB220" s="847"/>
      <c r="AC220" s="847"/>
      <c r="AD220" s="847"/>
      <c r="AE220" s="847"/>
      <c r="AF220" s="847"/>
      <c r="AG220" s="847"/>
      <c r="AH220" s="847"/>
      <c r="AI220" s="847"/>
      <c r="AJ220" s="847"/>
      <c r="AK220" s="847"/>
      <c r="AL220" s="847"/>
      <c r="AM220" s="847"/>
      <c r="AN220" s="847"/>
      <c r="AO220" s="847"/>
      <c r="AP220" s="847"/>
      <c r="AQ220" s="847"/>
      <c r="AR220" s="847"/>
      <c r="AS220" s="847"/>
      <c r="AT220" s="847"/>
      <c r="AU220" s="847"/>
      <c r="AV220" s="847"/>
      <c r="AW220" s="847"/>
      <c r="AX220" s="847"/>
      <c r="AY220" s="847"/>
      <c r="AZ220" s="847"/>
      <c r="BA220" s="847"/>
      <c r="BB220" s="847"/>
      <c r="BC220" s="847"/>
      <c r="BD220" s="847"/>
      <c r="BE220" s="847"/>
      <c r="BF220" s="847"/>
      <c r="BG220" s="847"/>
      <c r="BH220" s="847"/>
      <c r="BI220" s="847"/>
      <c r="BJ220" s="847"/>
      <c r="BK220" s="847"/>
      <c r="BL220" s="847"/>
      <c r="BM220" s="847"/>
      <c r="BN220" s="847"/>
      <c r="BO220" s="847"/>
      <c r="BP220" s="847"/>
      <c r="BQ220" s="847"/>
      <c r="BR220" s="847"/>
      <c r="BS220" s="847"/>
      <c r="BT220" s="847"/>
      <c r="BU220" s="847"/>
      <c r="BV220" s="847"/>
      <c r="BW220" s="847"/>
      <c r="BX220" s="847"/>
      <c r="BY220" s="847"/>
      <c r="BZ220" s="847"/>
      <c r="CA220" s="847"/>
      <c r="CB220" s="847"/>
      <c r="CC220" s="847"/>
      <c r="CD220" s="847"/>
      <c r="CE220" s="847"/>
      <c r="CF220" s="847"/>
      <c r="CG220" s="847"/>
      <c r="CH220" s="847"/>
      <c r="CI220" s="847"/>
      <c r="CJ220" s="847"/>
      <c r="CK220" s="847"/>
      <c r="CL220" s="847"/>
      <c r="CM220" s="847"/>
      <c r="CN220" s="847"/>
      <c r="CO220" s="847"/>
      <c r="CP220" s="847"/>
      <c r="CQ220" s="847"/>
      <c r="CR220" s="847"/>
      <c r="CS220" s="1013">
        <f>CS214</f>
        <v>1</v>
      </c>
      <c r="CT220" s="847"/>
      <c r="CU220" s="847"/>
      <c r="CV220" s="847">
        <f>ROUND(C220*CS220,2)</f>
        <v>0</v>
      </c>
      <c r="CW220" s="847"/>
      <c r="CX220" s="847"/>
      <c r="CY220" s="847"/>
      <c r="CZ220" s="847"/>
      <c r="DA220" s="847"/>
      <c r="DB220" s="847"/>
      <c r="DC220" s="847"/>
      <c r="DD220" s="847"/>
      <c r="DE220" s="847"/>
      <c r="DF220" s="847"/>
      <c r="DG220" s="847"/>
      <c r="DH220" s="847"/>
      <c r="DI220" s="847"/>
      <c r="DJ220" s="847"/>
      <c r="DK220" s="847"/>
      <c r="DL220" s="847"/>
      <c r="DM220" s="1212"/>
      <c r="DN220" s="1222">
        <f>'Lead &amp; ANALYSIS'!G4077/10</f>
        <v>0.21600000000000003</v>
      </c>
      <c r="DO220" s="1013">
        <f>ROUND(C220*DN220,2)</f>
        <v>0</v>
      </c>
      <c r="DP220" s="847">
        <f>'Lead &amp; ANALYSIS'!G4076/10</f>
        <v>0.55000000000000004</v>
      </c>
      <c r="DQ220" s="1013">
        <f>ROUND(C220*DP220,2)</f>
        <v>0</v>
      </c>
      <c r="DR220" s="1225"/>
      <c r="DS220" s="1013"/>
      <c r="DT220" s="1225">
        <f>'Lead &amp; ANALYSIS'!G4075/10</f>
        <v>0.21600000000000003</v>
      </c>
      <c r="DU220" s="1214">
        <f>ROUND(C220*DT220,2)</f>
        <v>0</v>
      </c>
      <c r="DV220" s="1242"/>
      <c r="DW220" s="1232"/>
      <c r="DX220" s="1222"/>
      <c r="DY220" s="847"/>
      <c r="DZ220" s="847"/>
      <c r="EA220" s="847"/>
      <c r="EB220" s="847"/>
      <c r="EC220" s="847"/>
      <c r="ED220" s="847"/>
      <c r="EE220" s="847"/>
      <c r="EF220" s="847"/>
      <c r="EG220" s="1212"/>
      <c r="EH220" s="847"/>
      <c r="EI220" s="1212"/>
    </row>
    <row r="221" spans="1:139" s="733" customFormat="1" ht="13.5">
      <c r="A221" s="1009"/>
      <c r="B221" s="1212" t="s">
        <v>2067</v>
      </c>
      <c r="C221" s="1213">
        <v>0</v>
      </c>
      <c r="D221" s="1013" t="s">
        <v>92</v>
      </c>
      <c r="E221" s="847"/>
      <c r="F221" s="1013"/>
      <c r="G221" s="1225">
        <f>G220</f>
        <v>1.3000000000000001E-2</v>
      </c>
      <c r="H221" s="1013">
        <f t="shared" si="9"/>
        <v>0</v>
      </c>
      <c r="I221" s="847"/>
      <c r="J221" s="1013"/>
      <c r="K221" s="847">
        <f>K220</f>
        <v>0.2737</v>
      </c>
      <c r="L221" s="1013">
        <f t="shared" si="10"/>
        <v>0</v>
      </c>
      <c r="M221" s="847"/>
      <c r="N221" s="1013"/>
      <c r="O221" s="847"/>
      <c r="P221" s="1013"/>
      <c r="Q221" s="847"/>
      <c r="R221" s="847"/>
      <c r="S221" s="847"/>
      <c r="T221" s="847"/>
      <c r="U221" s="847"/>
      <c r="V221" s="847"/>
      <c r="W221" s="847"/>
      <c r="X221" s="847"/>
      <c r="Y221" s="847"/>
      <c r="Z221" s="847"/>
      <c r="AA221" s="847"/>
      <c r="AB221" s="847"/>
      <c r="AC221" s="847"/>
      <c r="AD221" s="847"/>
      <c r="AE221" s="847"/>
      <c r="AF221" s="847"/>
      <c r="AG221" s="847"/>
      <c r="AH221" s="847"/>
      <c r="AI221" s="847"/>
      <c r="AJ221" s="847"/>
      <c r="AK221" s="847"/>
      <c r="AL221" s="847"/>
      <c r="AM221" s="847"/>
      <c r="AN221" s="847"/>
      <c r="AO221" s="847"/>
      <c r="AP221" s="847"/>
      <c r="AQ221" s="847"/>
      <c r="AR221" s="847"/>
      <c r="AS221" s="847"/>
      <c r="AT221" s="847"/>
      <c r="AU221" s="847"/>
      <c r="AV221" s="847"/>
      <c r="AW221" s="847"/>
      <c r="AX221" s="847"/>
      <c r="AY221" s="847"/>
      <c r="AZ221" s="847"/>
      <c r="BA221" s="847"/>
      <c r="BB221" s="847"/>
      <c r="BC221" s="847"/>
      <c r="BD221" s="847"/>
      <c r="BE221" s="847"/>
      <c r="BF221" s="847"/>
      <c r="BG221" s="847"/>
      <c r="BH221" s="847"/>
      <c r="BI221" s="847"/>
      <c r="BJ221" s="847"/>
      <c r="BK221" s="847"/>
      <c r="BL221" s="847"/>
      <c r="BM221" s="847"/>
      <c r="BN221" s="847"/>
      <c r="BO221" s="847"/>
      <c r="BP221" s="847"/>
      <c r="BQ221" s="847"/>
      <c r="BR221" s="847"/>
      <c r="BS221" s="847"/>
      <c r="BT221" s="847"/>
      <c r="BU221" s="847"/>
      <c r="BV221" s="847"/>
      <c r="BW221" s="847"/>
      <c r="BX221" s="847"/>
      <c r="BY221" s="847"/>
      <c r="BZ221" s="847"/>
      <c r="CA221" s="847"/>
      <c r="CB221" s="847"/>
      <c r="CC221" s="847"/>
      <c r="CD221" s="847"/>
      <c r="CE221" s="847"/>
      <c r="CF221" s="847"/>
      <c r="CG221" s="847"/>
      <c r="CH221" s="847"/>
      <c r="CI221" s="847"/>
      <c r="CJ221" s="847"/>
      <c r="CK221" s="847"/>
      <c r="CL221" s="847"/>
      <c r="CM221" s="847"/>
      <c r="CN221" s="847"/>
      <c r="CO221" s="847"/>
      <c r="CP221" s="847"/>
      <c r="CQ221" s="847"/>
      <c r="CR221" s="847"/>
      <c r="CS221" s="1013">
        <f>CS220</f>
        <v>1</v>
      </c>
      <c r="CT221" s="847"/>
      <c r="CU221" s="847"/>
      <c r="CV221" s="847">
        <f>ROUND(C221*CS221,2)</f>
        <v>0</v>
      </c>
      <c r="CW221" s="847"/>
      <c r="CX221" s="847"/>
      <c r="CY221" s="847"/>
      <c r="CZ221" s="847"/>
      <c r="DA221" s="847"/>
      <c r="DB221" s="847"/>
      <c r="DC221" s="847"/>
      <c r="DD221" s="847"/>
      <c r="DE221" s="847"/>
      <c r="DF221" s="847"/>
      <c r="DG221" s="847"/>
      <c r="DH221" s="847"/>
      <c r="DI221" s="847"/>
      <c r="DJ221" s="847"/>
      <c r="DK221" s="847"/>
      <c r="DL221" s="847"/>
      <c r="DM221" s="1212"/>
      <c r="DN221" s="1222">
        <f>DN220+DN220*5%</f>
        <v>0.22680000000000003</v>
      </c>
      <c r="DO221" s="1013">
        <f>ROUND(C221*DN221,2)</f>
        <v>0</v>
      </c>
      <c r="DP221" s="847">
        <f>DP220+DP220*5%</f>
        <v>0.57750000000000001</v>
      </c>
      <c r="DQ221" s="1013">
        <f>ROUND(C221*DP221,2)</f>
        <v>0</v>
      </c>
      <c r="DR221" s="1225"/>
      <c r="DS221" s="1013"/>
      <c r="DT221" s="847">
        <f>DT220+DT220*5%</f>
        <v>0.22680000000000003</v>
      </c>
      <c r="DU221" s="1214">
        <f>ROUND(C221*DT221,2)</f>
        <v>0</v>
      </c>
      <c r="DV221" s="1242"/>
      <c r="DW221" s="1232"/>
      <c r="DX221" s="1222"/>
      <c r="DY221" s="847"/>
      <c r="DZ221" s="847"/>
      <c r="EA221" s="847"/>
      <c r="EB221" s="847"/>
      <c r="EC221" s="847"/>
      <c r="ED221" s="847"/>
      <c r="EE221" s="847"/>
      <c r="EF221" s="847"/>
      <c r="EG221" s="1212"/>
      <c r="EH221" s="847"/>
      <c r="EI221" s="1212"/>
    </row>
    <row r="222" spans="1:139" s="733" customFormat="1" ht="13.5">
      <c r="A222" s="1009" t="s">
        <v>291</v>
      </c>
      <c r="B222" s="1212" t="s">
        <v>222</v>
      </c>
      <c r="C222" s="1213">
        <v>0</v>
      </c>
      <c r="D222" s="1013" t="s">
        <v>92</v>
      </c>
      <c r="E222" s="847"/>
      <c r="F222" s="1013"/>
      <c r="G222" s="1225"/>
      <c r="H222" s="1013"/>
      <c r="I222" s="847"/>
      <c r="J222" s="1013"/>
      <c r="K222" s="847"/>
      <c r="L222" s="1013"/>
      <c r="M222" s="847"/>
      <c r="N222" s="1013"/>
      <c r="O222" s="847"/>
      <c r="P222" s="1013"/>
      <c r="Q222" s="847"/>
      <c r="R222" s="847"/>
      <c r="S222" s="847"/>
      <c r="T222" s="847"/>
      <c r="U222" s="847"/>
      <c r="V222" s="847"/>
      <c r="W222" s="847"/>
      <c r="X222" s="847"/>
      <c r="Y222" s="847"/>
      <c r="Z222" s="847"/>
      <c r="AA222" s="847"/>
      <c r="AB222" s="847"/>
      <c r="AC222" s="847"/>
      <c r="AD222" s="847"/>
      <c r="AE222" s="847"/>
      <c r="AF222" s="847"/>
      <c r="AG222" s="847"/>
      <c r="AH222" s="847"/>
      <c r="AI222" s="847"/>
      <c r="AJ222" s="847"/>
      <c r="AK222" s="847"/>
      <c r="AL222" s="847"/>
      <c r="AM222" s="847"/>
      <c r="AN222" s="847"/>
      <c r="AO222" s="847"/>
      <c r="AP222" s="847"/>
      <c r="AQ222" s="847"/>
      <c r="AR222" s="847"/>
      <c r="AS222" s="847"/>
      <c r="AT222" s="847"/>
      <c r="AU222" s="847"/>
      <c r="AV222" s="847"/>
      <c r="AW222" s="847"/>
      <c r="AX222" s="847"/>
      <c r="AY222" s="847"/>
      <c r="AZ222" s="847"/>
      <c r="BA222" s="847"/>
      <c r="BB222" s="847"/>
      <c r="BC222" s="847"/>
      <c r="BD222" s="847"/>
      <c r="BE222" s="847"/>
      <c r="BF222" s="847"/>
      <c r="BG222" s="847"/>
      <c r="BH222" s="847"/>
      <c r="BI222" s="847"/>
      <c r="BJ222" s="847"/>
      <c r="BK222" s="847"/>
      <c r="BL222" s="847"/>
      <c r="BM222" s="847"/>
      <c r="BN222" s="847"/>
      <c r="BO222" s="847"/>
      <c r="BP222" s="847"/>
      <c r="BQ222" s="847"/>
      <c r="BR222" s="847"/>
      <c r="BS222" s="847"/>
      <c r="BT222" s="847"/>
      <c r="BU222" s="847"/>
      <c r="BV222" s="847"/>
      <c r="BW222" s="847"/>
      <c r="BX222" s="847"/>
      <c r="BY222" s="847"/>
      <c r="BZ222" s="847"/>
      <c r="CA222" s="847"/>
      <c r="CB222" s="847"/>
      <c r="CC222" s="847"/>
      <c r="CD222" s="847"/>
      <c r="CE222" s="847"/>
      <c r="CF222" s="847"/>
      <c r="CG222" s="847"/>
      <c r="CH222" s="847"/>
      <c r="CI222" s="847"/>
      <c r="CJ222" s="847"/>
      <c r="CK222" s="847"/>
      <c r="CL222" s="847"/>
      <c r="CM222" s="847"/>
      <c r="CN222" s="847"/>
      <c r="CO222" s="847"/>
      <c r="CP222" s="847"/>
      <c r="CQ222" s="847"/>
      <c r="CR222" s="847"/>
      <c r="CS222" s="847"/>
      <c r="CT222" s="847"/>
      <c r="CU222" s="847"/>
      <c r="CV222" s="847"/>
      <c r="CW222" s="847"/>
      <c r="CX222" s="847"/>
      <c r="CY222" s="847"/>
      <c r="CZ222" s="847"/>
      <c r="DA222" s="847"/>
      <c r="DB222" s="847"/>
      <c r="DC222" s="847"/>
      <c r="DD222" s="847"/>
      <c r="DE222" s="847"/>
      <c r="DF222" s="847"/>
      <c r="DG222" s="847"/>
      <c r="DH222" s="847"/>
      <c r="DI222" s="847"/>
      <c r="DJ222" s="847"/>
      <c r="DK222" s="847"/>
      <c r="DL222" s="847"/>
      <c r="DM222" s="1212"/>
      <c r="DN222" s="1222"/>
      <c r="DO222" s="1013"/>
      <c r="DP222" s="847"/>
      <c r="DQ222" s="1013"/>
      <c r="DR222" s="1225"/>
      <c r="DS222" s="1013"/>
      <c r="DT222" s="1225"/>
      <c r="DU222" s="1214"/>
      <c r="DV222" s="1242"/>
      <c r="DW222" s="1232"/>
      <c r="DX222" s="1222"/>
      <c r="DY222" s="847"/>
      <c r="DZ222" s="847"/>
      <c r="EA222" s="847"/>
      <c r="EB222" s="847"/>
      <c r="EC222" s="847"/>
      <c r="ED222" s="847"/>
      <c r="EE222" s="847"/>
      <c r="EF222" s="847"/>
      <c r="EG222" s="1212"/>
      <c r="EH222" s="847"/>
      <c r="EI222" s="1212"/>
    </row>
    <row r="223" spans="1:139" s="733" customFormat="1" ht="13.5">
      <c r="A223" s="1009"/>
      <c r="B223" s="1212" t="s">
        <v>2066</v>
      </c>
      <c r="C223" s="1213">
        <v>0</v>
      </c>
      <c r="D223" s="1013" t="s">
        <v>92</v>
      </c>
      <c r="E223" s="847"/>
      <c r="F223" s="1013"/>
      <c r="G223" s="1225">
        <f>G220</f>
        <v>1.3000000000000001E-2</v>
      </c>
      <c r="H223" s="1013">
        <f t="shared" si="9"/>
        <v>0</v>
      </c>
      <c r="I223" s="847"/>
      <c r="J223" s="1013"/>
      <c r="K223" s="847">
        <f>K220</f>
        <v>0.2737</v>
      </c>
      <c r="L223" s="1013">
        <f t="shared" si="10"/>
        <v>0</v>
      </c>
      <c r="M223" s="847"/>
      <c r="N223" s="1013"/>
      <c r="O223" s="847"/>
      <c r="P223" s="1013"/>
      <c r="Q223" s="847"/>
      <c r="R223" s="847"/>
      <c r="S223" s="847"/>
      <c r="T223" s="847"/>
      <c r="U223" s="847"/>
      <c r="V223" s="847"/>
      <c r="W223" s="847"/>
      <c r="X223" s="847"/>
      <c r="Y223" s="847"/>
      <c r="Z223" s="847"/>
      <c r="AA223" s="847"/>
      <c r="AB223" s="847"/>
      <c r="AC223" s="847"/>
      <c r="AD223" s="847"/>
      <c r="AE223" s="847"/>
      <c r="AF223" s="847"/>
      <c r="AG223" s="847"/>
      <c r="AH223" s="847"/>
      <c r="AI223" s="847"/>
      <c r="AJ223" s="847"/>
      <c r="AK223" s="847"/>
      <c r="AL223" s="847"/>
      <c r="AM223" s="847"/>
      <c r="AN223" s="847"/>
      <c r="AO223" s="847"/>
      <c r="AP223" s="847"/>
      <c r="AQ223" s="847"/>
      <c r="AR223" s="847"/>
      <c r="AS223" s="847"/>
      <c r="AT223" s="847"/>
      <c r="AU223" s="847"/>
      <c r="AV223" s="847"/>
      <c r="AW223" s="847"/>
      <c r="AX223" s="847"/>
      <c r="AY223" s="847"/>
      <c r="AZ223" s="847"/>
      <c r="BA223" s="847"/>
      <c r="BB223" s="847"/>
      <c r="BC223" s="847"/>
      <c r="BD223" s="847"/>
      <c r="BE223" s="847"/>
      <c r="BF223" s="847"/>
      <c r="BG223" s="847"/>
      <c r="BH223" s="847"/>
      <c r="BI223" s="847"/>
      <c r="BJ223" s="847"/>
      <c r="BK223" s="847"/>
      <c r="BL223" s="847"/>
      <c r="BM223" s="847"/>
      <c r="BN223" s="847"/>
      <c r="BO223" s="847"/>
      <c r="BP223" s="847"/>
      <c r="BQ223" s="847"/>
      <c r="BR223" s="847"/>
      <c r="BS223" s="847"/>
      <c r="BT223" s="847"/>
      <c r="BU223" s="847"/>
      <c r="BV223" s="847"/>
      <c r="BW223" s="847"/>
      <c r="BX223" s="847"/>
      <c r="BY223" s="847"/>
      <c r="BZ223" s="847"/>
      <c r="CA223" s="847"/>
      <c r="CB223" s="847"/>
      <c r="CC223" s="847"/>
      <c r="CD223" s="847"/>
      <c r="CE223" s="847"/>
      <c r="CF223" s="847"/>
      <c r="CG223" s="847"/>
      <c r="CH223" s="847"/>
      <c r="CI223" s="847"/>
      <c r="CJ223" s="847"/>
      <c r="CK223" s="847"/>
      <c r="CL223" s="847"/>
      <c r="CM223" s="847"/>
      <c r="CN223" s="847"/>
      <c r="CO223" s="847"/>
      <c r="CP223" s="847"/>
      <c r="CQ223" s="847"/>
      <c r="CR223" s="847"/>
      <c r="CS223" s="1013">
        <f>CS220</f>
        <v>1</v>
      </c>
      <c r="CT223" s="847"/>
      <c r="CU223" s="847"/>
      <c r="CV223" s="847"/>
      <c r="CW223" s="847">
        <f>ROUND(C223*CS223,2)</f>
        <v>0</v>
      </c>
      <c r="CX223" s="847"/>
      <c r="CY223" s="847"/>
      <c r="CZ223" s="847"/>
      <c r="DA223" s="847"/>
      <c r="DB223" s="847"/>
      <c r="DC223" s="847"/>
      <c r="DD223" s="847"/>
      <c r="DE223" s="847"/>
      <c r="DF223" s="847"/>
      <c r="DG223" s="847"/>
      <c r="DH223" s="847"/>
      <c r="DI223" s="847"/>
      <c r="DJ223" s="847"/>
      <c r="DK223" s="847"/>
      <c r="DL223" s="847"/>
      <c r="DM223" s="1212"/>
      <c r="DN223" s="1222">
        <f>'Lead &amp; ANALYSIS'!G4077/10</f>
        <v>0.21600000000000003</v>
      </c>
      <c r="DO223" s="1013">
        <f>ROUND(C223*DN223,2)</f>
        <v>0</v>
      </c>
      <c r="DP223" s="847">
        <f>'Lead &amp; ANALYSIS'!G4076/10</f>
        <v>0.55000000000000004</v>
      </c>
      <c r="DQ223" s="1013">
        <f>ROUND(C223*DP223,2)</f>
        <v>0</v>
      </c>
      <c r="DR223" s="1225"/>
      <c r="DS223" s="1013"/>
      <c r="DT223" s="1225">
        <f>'Lead &amp; ANALYSIS'!G4075/10</f>
        <v>0.21600000000000003</v>
      </c>
      <c r="DU223" s="1214">
        <f>ROUND(C223*DT223,2)</f>
        <v>0</v>
      </c>
      <c r="DV223" s="1242"/>
      <c r="DW223" s="1232"/>
      <c r="DX223" s="1222"/>
      <c r="DY223" s="847"/>
      <c r="DZ223" s="847"/>
      <c r="EA223" s="847"/>
      <c r="EB223" s="847"/>
      <c r="EC223" s="847"/>
      <c r="ED223" s="847"/>
      <c r="EE223" s="847"/>
      <c r="EF223" s="847"/>
      <c r="EG223" s="1212"/>
      <c r="EH223" s="847"/>
      <c r="EI223" s="1212"/>
    </row>
    <row r="224" spans="1:139" s="733" customFormat="1" ht="13.5">
      <c r="A224" s="1009"/>
      <c r="B224" s="1212" t="s">
        <v>2067</v>
      </c>
      <c r="C224" s="1213">
        <v>0</v>
      </c>
      <c r="D224" s="1013" t="s">
        <v>92</v>
      </c>
      <c r="E224" s="847"/>
      <c r="F224" s="1013"/>
      <c r="G224" s="1225">
        <f>G223</f>
        <v>1.3000000000000001E-2</v>
      </c>
      <c r="H224" s="1013">
        <f t="shared" si="9"/>
        <v>0</v>
      </c>
      <c r="I224" s="847"/>
      <c r="J224" s="1013"/>
      <c r="K224" s="847">
        <f>K223</f>
        <v>0.2737</v>
      </c>
      <c r="L224" s="1013">
        <f t="shared" si="10"/>
        <v>0</v>
      </c>
      <c r="M224" s="847"/>
      <c r="N224" s="1013"/>
      <c r="O224" s="847"/>
      <c r="P224" s="1013"/>
      <c r="Q224" s="847"/>
      <c r="R224" s="847"/>
      <c r="S224" s="847"/>
      <c r="T224" s="847"/>
      <c r="U224" s="847"/>
      <c r="V224" s="847"/>
      <c r="W224" s="847"/>
      <c r="X224" s="847"/>
      <c r="Y224" s="847"/>
      <c r="Z224" s="847"/>
      <c r="AA224" s="847"/>
      <c r="AB224" s="847"/>
      <c r="AC224" s="847"/>
      <c r="AD224" s="847"/>
      <c r="AE224" s="847"/>
      <c r="AF224" s="847"/>
      <c r="AG224" s="847"/>
      <c r="AH224" s="847"/>
      <c r="AI224" s="847"/>
      <c r="AJ224" s="847"/>
      <c r="AK224" s="847"/>
      <c r="AL224" s="847"/>
      <c r="AM224" s="847"/>
      <c r="AN224" s="847"/>
      <c r="AO224" s="847"/>
      <c r="AP224" s="847"/>
      <c r="AQ224" s="847"/>
      <c r="AR224" s="847"/>
      <c r="AS224" s="847"/>
      <c r="AT224" s="847"/>
      <c r="AU224" s="847"/>
      <c r="AV224" s="847"/>
      <c r="AW224" s="847"/>
      <c r="AX224" s="847"/>
      <c r="AY224" s="847"/>
      <c r="AZ224" s="847"/>
      <c r="BA224" s="847"/>
      <c r="BB224" s="847"/>
      <c r="BC224" s="847"/>
      <c r="BD224" s="847"/>
      <c r="BE224" s="847"/>
      <c r="BF224" s="847"/>
      <c r="BG224" s="847"/>
      <c r="BH224" s="847"/>
      <c r="BI224" s="847"/>
      <c r="BJ224" s="847"/>
      <c r="BK224" s="847"/>
      <c r="BL224" s="847"/>
      <c r="BM224" s="847"/>
      <c r="BN224" s="847"/>
      <c r="BO224" s="847"/>
      <c r="BP224" s="847"/>
      <c r="BQ224" s="847"/>
      <c r="BR224" s="847"/>
      <c r="BS224" s="847"/>
      <c r="BT224" s="847"/>
      <c r="BU224" s="847"/>
      <c r="BV224" s="847"/>
      <c r="BW224" s="847"/>
      <c r="BX224" s="847"/>
      <c r="BY224" s="847"/>
      <c r="BZ224" s="847"/>
      <c r="CA224" s="847"/>
      <c r="CB224" s="847"/>
      <c r="CC224" s="847"/>
      <c r="CD224" s="847"/>
      <c r="CE224" s="847"/>
      <c r="CF224" s="847"/>
      <c r="CG224" s="847"/>
      <c r="CH224" s="847"/>
      <c r="CI224" s="847"/>
      <c r="CJ224" s="847"/>
      <c r="CK224" s="847"/>
      <c r="CL224" s="847"/>
      <c r="CM224" s="847"/>
      <c r="CN224" s="847"/>
      <c r="CO224" s="847"/>
      <c r="CP224" s="847"/>
      <c r="CQ224" s="847"/>
      <c r="CR224" s="847"/>
      <c r="CS224" s="1013">
        <f>CS223</f>
        <v>1</v>
      </c>
      <c r="CT224" s="847"/>
      <c r="CU224" s="847"/>
      <c r="CV224" s="847"/>
      <c r="CW224" s="847">
        <f>ROUND(C224*CS224,2)</f>
        <v>0</v>
      </c>
      <c r="CX224" s="847"/>
      <c r="CY224" s="847"/>
      <c r="CZ224" s="847"/>
      <c r="DA224" s="847"/>
      <c r="DB224" s="847"/>
      <c r="DC224" s="847"/>
      <c r="DD224" s="847"/>
      <c r="DE224" s="847"/>
      <c r="DF224" s="847"/>
      <c r="DG224" s="847"/>
      <c r="DH224" s="847"/>
      <c r="DI224" s="847"/>
      <c r="DJ224" s="847"/>
      <c r="DK224" s="847"/>
      <c r="DL224" s="847"/>
      <c r="DM224" s="1212"/>
      <c r="DN224" s="1222">
        <f>DN223+DN223*5%</f>
        <v>0.22680000000000003</v>
      </c>
      <c r="DO224" s="1013">
        <f>ROUND(C224*DN224,2)</f>
        <v>0</v>
      </c>
      <c r="DP224" s="847">
        <f>DP223+DP223*5%</f>
        <v>0.57750000000000001</v>
      </c>
      <c r="DQ224" s="1013">
        <f>ROUND(C224*DP224,2)</f>
        <v>0</v>
      </c>
      <c r="DR224" s="1225"/>
      <c r="DS224" s="1013"/>
      <c r="DT224" s="847">
        <f>DT223+DT223*5%</f>
        <v>0.22680000000000003</v>
      </c>
      <c r="DU224" s="1214">
        <f>ROUND(C224*DT224,2)</f>
        <v>0</v>
      </c>
      <c r="DV224" s="1242"/>
      <c r="DW224" s="1232"/>
      <c r="DX224" s="1222"/>
      <c r="DY224" s="847"/>
      <c r="DZ224" s="847"/>
      <c r="EA224" s="847"/>
      <c r="EB224" s="847"/>
      <c r="EC224" s="847"/>
      <c r="ED224" s="847"/>
      <c r="EE224" s="847"/>
      <c r="EF224" s="847"/>
      <c r="EG224" s="1212"/>
      <c r="EH224" s="847"/>
      <c r="EI224" s="1212"/>
    </row>
    <row r="225" spans="1:139" s="733" customFormat="1" ht="13.5">
      <c r="A225" s="1009" t="s">
        <v>308</v>
      </c>
      <c r="B225" s="1212" t="s">
        <v>228</v>
      </c>
      <c r="C225" s="1213">
        <v>0</v>
      </c>
      <c r="D225" s="1013" t="s">
        <v>92</v>
      </c>
      <c r="E225" s="847"/>
      <c r="F225" s="1013"/>
      <c r="G225" s="1225"/>
      <c r="H225" s="1013"/>
      <c r="I225" s="847"/>
      <c r="J225" s="1013"/>
      <c r="K225" s="847"/>
      <c r="L225" s="1013"/>
      <c r="M225" s="847"/>
      <c r="N225" s="1013"/>
      <c r="O225" s="847"/>
      <c r="P225" s="1013"/>
      <c r="Q225" s="847"/>
      <c r="R225" s="847"/>
      <c r="S225" s="847"/>
      <c r="T225" s="847"/>
      <c r="U225" s="847"/>
      <c r="V225" s="847"/>
      <c r="W225" s="847"/>
      <c r="X225" s="847"/>
      <c r="Y225" s="847"/>
      <c r="Z225" s="847"/>
      <c r="AA225" s="847"/>
      <c r="AB225" s="847"/>
      <c r="AC225" s="847"/>
      <c r="AD225" s="847"/>
      <c r="AE225" s="847"/>
      <c r="AF225" s="847"/>
      <c r="AG225" s="847"/>
      <c r="AH225" s="847"/>
      <c r="AI225" s="847"/>
      <c r="AJ225" s="847"/>
      <c r="AK225" s="847"/>
      <c r="AL225" s="847"/>
      <c r="AM225" s="847"/>
      <c r="AN225" s="847"/>
      <c r="AO225" s="847"/>
      <c r="AP225" s="847"/>
      <c r="AQ225" s="847"/>
      <c r="AR225" s="847"/>
      <c r="AS225" s="847"/>
      <c r="AT225" s="847"/>
      <c r="AU225" s="847"/>
      <c r="AV225" s="847"/>
      <c r="AW225" s="847"/>
      <c r="AX225" s="847"/>
      <c r="AY225" s="847"/>
      <c r="AZ225" s="847"/>
      <c r="BA225" s="847"/>
      <c r="BB225" s="847"/>
      <c r="BC225" s="847"/>
      <c r="BD225" s="847"/>
      <c r="BE225" s="847"/>
      <c r="BF225" s="847"/>
      <c r="BG225" s="847"/>
      <c r="BH225" s="847"/>
      <c r="BI225" s="847"/>
      <c r="BJ225" s="847"/>
      <c r="BK225" s="847"/>
      <c r="BL225" s="847"/>
      <c r="BM225" s="847"/>
      <c r="BN225" s="847"/>
      <c r="BO225" s="847"/>
      <c r="BP225" s="847"/>
      <c r="BQ225" s="847"/>
      <c r="BR225" s="847"/>
      <c r="BS225" s="847"/>
      <c r="BT225" s="847"/>
      <c r="BU225" s="847"/>
      <c r="BV225" s="847"/>
      <c r="BW225" s="847"/>
      <c r="BX225" s="847"/>
      <c r="BY225" s="847"/>
      <c r="BZ225" s="847"/>
      <c r="CA225" s="847"/>
      <c r="CB225" s="847"/>
      <c r="CC225" s="847"/>
      <c r="CD225" s="847"/>
      <c r="CE225" s="847"/>
      <c r="CF225" s="847"/>
      <c r="CG225" s="847"/>
      <c r="CH225" s="847"/>
      <c r="CI225" s="847"/>
      <c r="CJ225" s="847"/>
      <c r="CK225" s="847"/>
      <c r="CL225" s="847"/>
      <c r="CM225" s="847"/>
      <c r="CN225" s="847"/>
      <c r="CO225" s="847"/>
      <c r="CP225" s="847"/>
      <c r="CQ225" s="847"/>
      <c r="CR225" s="847"/>
      <c r="CS225" s="847"/>
      <c r="CT225" s="847"/>
      <c r="CU225" s="847"/>
      <c r="CV225" s="847"/>
      <c r="CW225" s="847"/>
      <c r="CX225" s="847"/>
      <c r="CY225" s="847"/>
      <c r="CZ225" s="847"/>
      <c r="DA225" s="847"/>
      <c r="DB225" s="847"/>
      <c r="DC225" s="847"/>
      <c r="DD225" s="847"/>
      <c r="DE225" s="847"/>
      <c r="DF225" s="847"/>
      <c r="DG225" s="847"/>
      <c r="DH225" s="847"/>
      <c r="DI225" s="847"/>
      <c r="DJ225" s="847"/>
      <c r="DK225" s="847"/>
      <c r="DL225" s="847"/>
      <c r="DM225" s="1212"/>
      <c r="DN225" s="1222"/>
      <c r="DO225" s="1013"/>
      <c r="DP225" s="847"/>
      <c r="DQ225" s="1013"/>
      <c r="DR225" s="1225"/>
      <c r="DS225" s="1013"/>
      <c r="DT225" s="1225"/>
      <c r="DU225" s="1214"/>
      <c r="DV225" s="1242"/>
      <c r="DW225" s="1232"/>
      <c r="DX225" s="1222"/>
      <c r="DY225" s="847"/>
      <c r="DZ225" s="847"/>
      <c r="EA225" s="847"/>
      <c r="EB225" s="847"/>
      <c r="EC225" s="847"/>
      <c r="ED225" s="847"/>
      <c r="EE225" s="847"/>
      <c r="EF225" s="847"/>
      <c r="EG225" s="1212"/>
      <c r="EH225" s="847"/>
      <c r="EI225" s="1212"/>
    </row>
    <row r="226" spans="1:139" s="733" customFormat="1" ht="13.5">
      <c r="A226" s="1009"/>
      <c r="B226" s="1212" t="s">
        <v>2066</v>
      </c>
      <c r="C226" s="1213">
        <v>0</v>
      </c>
      <c r="D226" s="1013" t="s">
        <v>92</v>
      </c>
      <c r="E226" s="847"/>
      <c r="F226" s="1013"/>
      <c r="G226" s="1225">
        <f>G223</f>
        <v>1.3000000000000001E-2</v>
      </c>
      <c r="H226" s="1013">
        <f t="shared" si="9"/>
        <v>0</v>
      </c>
      <c r="I226" s="847"/>
      <c r="J226" s="1013"/>
      <c r="K226" s="847">
        <f>K223</f>
        <v>0.2737</v>
      </c>
      <c r="L226" s="1013">
        <f t="shared" si="10"/>
        <v>0</v>
      </c>
      <c r="M226" s="847"/>
      <c r="N226" s="1013"/>
      <c r="O226" s="847"/>
      <c r="P226" s="1013"/>
      <c r="Q226" s="847"/>
      <c r="R226" s="847"/>
      <c r="S226" s="847"/>
      <c r="T226" s="847"/>
      <c r="U226" s="847"/>
      <c r="V226" s="847"/>
      <c r="W226" s="847"/>
      <c r="X226" s="847"/>
      <c r="Y226" s="847"/>
      <c r="Z226" s="847"/>
      <c r="AA226" s="847"/>
      <c r="AB226" s="847"/>
      <c r="AC226" s="847"/>
      <c r="AD226" s="847"/>
      <c r="AE226" s="847"/>
      <c r="AF226" s="847"/>
      <c r="AG226" s="847"/>
      <c r="AH226" s="847"/>
      <c r="AI226" s="847"/>
      <c r="AJ226" s="847"/>
      <c r="AK226" s="847"/>
      <c r="AL226" s="847"/>
      <c r="AM226" s="847"/>
      <c r="AN226" s="847"/>
      <c r="AO226" s="847"/>
      <c r="AP226" s="847"/>
      <c r="AQ226" s="847"/>
      <c r="AR226" s="847"/>
      <c r="AS226" s="847"/>
      <c r="AT226" s="847"/>
      <c r="AU226" s="847"/>
      <c r="AV226" s="847"/>
      <c r="AW226" s="847"/>
      <c r="AX226" s="847"/>
      <c r="AY226" s="847"/>
      <c r="AZ226" s="847"/>
      <c r="BA226" s="847"/>
      <c r="BB226" s="847"/>
      <c r="BC226" s="847"/>
      <c r="BD226" s="847"/>
      <c r="BE226" s="847"/>
      <c r="BF226" s="847"/>
      <c r="BG226" s="847"/>
      <c r="BH226" s="847"/>
      <c r="BI226" s="847"/>
      <c r="BJ226" s="847"/>
      <c r="BK226" s="847"/>
      <c r="BL226" s="847"/>
      <c r="BM226" s="847"/>
      <c r="BN226" s="847"/>
      <c r="BO226" s="847"/>
      <c r="BP226" s="847"/>
      <c r="BQ226" s="847"/>
      <c r="BR226" s="847"/>
      <c r="BS226" s="847"/>
      <c r="BT226" s="847"/>
      <c r="BU226" s="847"/>
      <c r="BV226" s="847"/>
      <c r="BW226" s="847"/>
      <c r="BX226" s="847"/>
      <c r="BY226" s="847"/>
      <c r="BZ226" s="847"/>
      <c r="CA226" s="847"/>
      <c r="CB226" s="847"/>
      <c r="CC226" s="847"/>
      <c r="CD226" s="847"/>
      <c r="CE226" s="847"/>
      <c r="CF226" s="847"/>
      <c r="CG226" s="847"/>
      <c r="CH226" s="847"/>
      <c r="CI226" s="847"/>
      <c r="CJ226" s="847"/>
      <c r="CK226" s="847"/>
      <c r="CL226" s="847"/>
      <c r="CM226" s="847"/>
      <c r="CN226" s="847"/>
      <c r="CO226" s="847"/>
      <c r="CP226" s="847"/>
      <c r="CQ226" s="847"/>
      <c r="CR226" s="847"/>
      <c r="CS226" s="1013">
        <f>CS223</f>
        <v>1</v>
      </c>
      <c r="CT226" s="847"/>
      <c r="CU226" s="847"/>
      <c r="CV226" s="847"/>
      <c r="CW226" s="847"/>
      <c r="CX226" s="847">
        <f>ROUND(C226*CS226,2)</f>
        <v>0</v>
      </c>
      <c r="CY226" s="847"/>
      <c r="CZ226" s="847"/>
      <c r="DA226" s="847"/>
      <c r="DB226" s="847"/>
      <c r="DC226" s="847"/>
      <c r="DD226" s="847"/>
      <c r="DE226" s="847"/>
      <c r="DF226" s="847"/>
      <c r="DG226" s="847"/>
      <c r="DH226" s="847"/>
      <c r="DI226" s="847"/>
      <c r="DJ226" s="847"/>
      <c r="DK226" s="847"/>
      <c r="DL226" s="847"/>
      <c r="DM226" s="1212"/>
      <c r="DN226" s="1222">
        <f>'Lead &amp; ANALYSIS'!G4077/10</f>
        <v>0.21600000000000003</v>
      </c>
      <c r="DO226" s="1013">
        <f>ROUND(C226*DN226,2)</f>
        <v>0</v>
      </c>
      <c r="DP226" s="847">
        <f>'Lead &amp; ANALYSIS'!G4076/10</f>
        <v>0.55000000000000004</v>
      </c>
      <c r="DQ226" s="1013">
        <f>ROUND(C226*DP226,2)</f>
        <v>0</v>
      </c>
      <c r="DR226" s="1225"/>
      <c r="DS226" s="1013"/>
      <c r="DT226" s="1225">
        <f>'Lead &amp; ANALYSIS'!G4075/10</f>
        <v>0.21600000000000003</v>
      </c>
      <c r="DU226" s="1214">
        <f>ROUND(C226*DT226,2)</f>
        <v>0</v>
      </c>
      <c r="DV226" s="1242"/>
      <c r="DW226" s="1232"/>
      <c r="DX226" s="1222"/>
      <c r="DY226" s="847"/>
      <c r="DZ226" s="847"/>
      <c r="EA226" s="847"/>
      <c r="EB226" s="847"/>
      <c r="EC226" s="847"/>
      <c r="ED226" s="847"/>
      <c r="EE226" s="847"/>
      <c r="EF226" s="847"/>
      <c r="EG226" s="1212"/>
      <c r="EH226" s="847"/>
      <c r="EI226" s="1212"/>
    </row>
    <row r="227" spans="1:139" s="733" customFormat="1" ht="13.5">
      <c r="A227" s="1009"/>
      <c r="B227" s="1212" t="s">
        <v>2067</v>
      </c>
      <c r="C227" s="1213">
        <v>0</v>
      </c>
      <c r="D227" s="1013" t="s">
        <v>92</v>
      </c>
      <c r="E227" s="847"/>
      <c r="F227" s="1013"/>
      <c r="G227" s="1225">
        <f>G226</f>
        <v>1.3000000000000001E-2</v>
      </c>
      <c r="H227" s="1013">
        <f t="shared" si="9"/>
        <v>0</v>
      </c>
      <c r="I227" s="847"/>
      <c r="J227" s="1013"/>
      <c r="K227" s="847">
        <f>K226</f>
        <v>0.2737</v>
      </c>
      <c r="L227" s="1013">
        <f t="shared" si="10"/>
        <v>0</v>
      </c>
      <c r="M227" s="847"/>
      <c r="N227" s="1013"/>
      <c r="O227" s="847"/>
      <c r="P227" s="1013"/>
      <c r="Q227" s="847"/>
      <c r="R227" s="847"/>
      <c r="S227" s="847"/>
      <c r="T227" s="847"/>
      <c r="U227" s="847"/>
      <c r="V227" s="847"/>
      <c r="W227" s="847"/>
      <c r="X227" s="847"/>
      <c r="Y227" s="847"/>
      <c r="Z227" s="847"/>
      <c r="AA227" s="847"/>
      <c r="AB227" s="847"/>
      <c r="AC227" s="847"/>
      <c r="AD227" s="847"/>
      <c r="AE227" s="847"/>
      <c r="AF227" s="847"/>
      <c r="AG227" s="847"/>
      <c r="AH227" s="847"/>
      <c r="AI227" s="847"/>
      <c r="AJ227" s="847"/>
      <c r="AK227" s="847"/>
      <c r="AL227" s="847"/>
      <c r="AM227" s="847"/>
      <c r="AN227" s="847"/>
      <c r="AO227" s="847"/>
      <c r="AP227" s="847"/>
      <c r="AQ227" s="847"/>
      <c r="AR227" s="847"/>
      <c r="AS227" s="847"/>
      <c r="AT227" s="847"/>
      <c r="AU227" s="847"/>
      <c r="AV227" s="847"/>
      <c r="AW227" s="847"/>
      <c r="AX227" s="847"/>
      <c r="AY227" s="847"/>
      <c r="AZ227" s="847"/>
      <c r="BA227" s="847"/>
      <c r="BB227" s="847"/>
      <c r="BC227" s="847"/>
      <c r="BD227" s="847"/>
      <c r="BE227" s="847"/>
      <c r="BF227" s="847"/>
      <c r="BG227" s="847"/>
      <c r="BH227" s="847"/>
      <c r="BI227" s="847"/>
      <c r="BJ227" s="847"/>
      <c r="BK227" s="847"/>
      <c r="BL227" s="847"/>
      <c r="BM227" s="847"/>
      <c r="BN227" s="847"/>
      <c r="BO227" s="847"/>
      <c r="BP227" s="847"/>
      <c r="BQ227" s="847"/>
      <c r="BR227" s="847"/>
      <c r="BS227" s="847"/>
      <c r="BT227" s="847"/>
      <c r="BU227" s="847"/>
      <c r="BV227" s="847"/>
      <c r="BW227" s="847"/>
      <c r="BX227" s="847"/>
      <c r="BY227" s="847"/>
      <c r="BZ227" s="847"/>
      <c r="CA227" s="847"/>
      <c r="CB227" s="847"/>
      <c r="CC227" s="847"/>
      <c r="CD227" s="847"/>
      <c r="CE227" s="847"/>
      <c r="CF227" s="847"/>
      <c r="CG227" s="847"/>
      <c r="CH227" s="847"/>
      <c r="CI227" s="847"/>
      <c r="CJ227" s="847"/>
      <c r="CK227" s="847"/>
      <c r="CL227" s="847"/>
      <c r="CM227" s="847"/>
      <c r="CN227" s="847"/>
      <c r="CO227" s="847"/>
      <c r="CP227" s="847"/>
      <c r="CQ227" s="847"/>
      <c r="CR227" s="847"/>
      <c r="CS227" s="1013">
        <f>CS226</f>
        <v>1</v>
      </c>
      <c r="CT227" s="847"/>
      <c r="CU227" s="847"/>
      <c r="CV227" s="847"/>
      <c r="CW227" s="847"/>
      <c r="CX227" s="847">
        <f>ROUND(C227*CS227,2)</f>
        <v>0</v>
      </c>
      <c r="CY227" s="847"/>
      <c r="CZ227" s="847"/>
      <c r="DA227" s="847"/>
      <c r="DB227" s="847"/>
      <c r="DC227" s="847"/>
      <c r="DD227" s="847"/>
      <c r="DE227" s="847"/>
      <c r="DF227" s="847"/>
      <c r="DG227" s="847"/>
      <c r="DH227" s="847"/>
      <c r="DI227" s="847"/>
      <c r="DJ227" s="847"/>
      <c r="DK227" s="847"/>
      <c r="DL227" s="847"/>
      <c r="DM227" s="1212"/>
      <c r="DN227" s="1222">
        <f>DN226+DN226*5%</f>
        <v>0.22680000000000003</v>
      </c>
      <c r="DO227" s="1013">
        <f>ROUND(C227*DN227,2)</f>
        <v>0</v>
      </c>
      <c r="DP227" s="847">
        <f>DP226+DP226*5%</f>
        <v>0.57750000000000001</v>
      </c>
      <c r="DQ227" s="1013">
        <f>ROUND(C227*DP227,2)</f>
        <v>0</v>
      </c>
      <c r="DR227" s="1225"/>
      <c r="DS227" s="1013"/>
      <c r="DT227" s="847">
        <f>DT226+DT226*5%</f>
        <v>0.22680000000000003</v>
      </c>
      <c r="DU227" s="1214">
        <f>ROUND(C227*DT227,2)</f>
        <v>0</v>
      </c>
      <c r="DV227" s="1242"/>
      <c r="DW227" s="1232"/>
      <c r="DX227" s="1222"/>
      <c r="DY227" s="847"/>
      <c r="DZ227" s="847"/>
      <c r="EA227" s="847"/>
      <c r="EB227" s="847"/>
      <c r="EC227" s="847"/>
      <c r="ED227" s="847"/>
      <c r="EE227" s="847"/>
      <c r="EF227" s="847"/>
      <c r="EG227" s="1212"/>
      <c r="EH227" s="847"/>
      <c r="EI227" s="1212"/>
    </row>
    <row r="228" spans="1:139" s="733" customFormat="1" ht="13.5">
      <c r="A228" s="1009" t="s">
        <v>352</v>
      </c>
      <c r="B228" s="1212" t="s">
        <v>225</v>
      </c>
      <c r="C228" s="1213">
        <v>0</v>
      </c>
      <c r="D228" s="1013" t="s">
        <v>92</v>
      </c>
      <c r="E228" s="847"/>
      <c r="F228" s="1013"/>
      <c r="G228" s="1225"/>
      <c r="H228" s="1013"/>
      <c r="I228" s="847"/>
      <c r="J228" s="1013"/>
      <c r="K228" s="847"/>
      <c r="L228" s="1013"/>
      <c r="M228" s="847"/>
      <c r="N228" s="1013"/>
      <c r="O228" s="847"/>
      <c r="P228" s="1013"/>
      <c r="Q228" s="847"/>
      <c r="R228" s="847"/>
      <c r="S228" s="847"/>
      <c r="T228" s="847"/>
      <c r="U228" s="847"/>
      <c r="V228" s="847"/>
      <c r="W228" s="847"/>
      <c r="X228" s="847"/>
      <c r="Y228" s="847"/>
      <c r="Z228" s="847"/>
      <c r="AA228" s="847"/>
      <c r="AB228" s="847"/>
      <c r="AC228" s="847"/>
      <c r="AD228" s="847"/>
      <c r="AE228" s="847"/>
      <c r="AF228" s="847"/>
      <c r="AG228" s="847"/>
      <c r="AH228" s="847"/>
      <c r="AI228" s="847"/>
      <c r="AJ228" s="847"/>
      <c r="AK228" s="847"/>
      <c r="AL228" s="847"/>
      <c r="AM228" s="847"/>
      <c r="AN228" s="847"/>
      <c r="AO228" s="847"/>
      <c r="AP228" s="847"/>
      <c r="AQ228" s="847"/>
      <c r="AR228" s="847"/>
      <c r="AS228" s="847"/>
      <c r="AT228" s="847"/>
      <c r="AU228" s="847"/>
      <c r="AV228" s="847"/>
      <c r="AW228" s="847"/>
      <c r="AX228" s="847"/>
      <c r="AY228" s="847"/>
      <c r="AZ228" s="847"/>
      <c r="BA228" s="847"/>
      <c r="BB228" s="847"/>
      <c r="BC228" s="847"/>
      <c r="BD228" s="847"/>
      <c r="BE228" s="847"/>
      <c r="BF228" s="847"/>
      <c r="BG228" s="847"/>
      <c r="BH228" s="847"/>
      <c r="BI228" s="847"/>
      <c r="BJ228" s="847"/>
      <c r="BK228" s="847"/>
      <c r="BL228" s="847"/>
      <c r="BM228" s="847"/>
      <c r="BN228" s="847"/>
      <c r="BO228" s="847"/>
      <c r="BP228" s="847"/>
      <c r="BQ228" s="847"/>
      <c r="BR228" s="847"/>
      <c r="BS228" s="847"/>
      <c r="BT228" s="847"/>
      <c r="BU228" s="847"/>
      <c r="BV228" s="847"/>
      <c r="BW228" s="847"/>
      <c r="BX228" s="847"/>
      <c r="BY228" s="847"/>
      <c r="BZ228" s="847"/>
      <c r="CA228" s="847"/>
      <c r="CB228" s="847"/>
      <c r="CC228" s="847"/>
      <c r="CD228" s="847"/>
      <c r="CE228" s="847"/>
      <c r="CF228" s="847"/>
      <c r="CG228" s="847"/>
      <c r="CH228" s="847"/>
      <c r="CI228" s="847"/>
      <c r="CJ228" s="847"/>
      <c r="CK228" s="847"/>
      <c r="CL228" s="847"/>
      <c r="CM228" s="847"/>
      <c r="CN228" s="847"/>
      <c r="CO228" s="847"/>
      <c r="CP228" s="847"/>
      <c r="CQ228" s="847"/>
      <c r="CR228" s="847"/>
      <c r="CS228" s="847"/>
      <c r="CT228" s="847"/>
      <c r="CU228" s="847"/>
      <c r="CV228" s="847"/>
      <c r="CW228" s="847"/>
      <c r="CX228" s="847"/>
      <c r="CY228" s="847"/>
      <c r="CZ228" s="847"/>
      <c r="DA228" s="847"/>
      <c r="DB228" s="847"/>
      <c r="DC228" s="847"/>
      <c r="DD228" s="847"/>
      <c r="DE228" s="847"/>
      <c r="DF228" s="847"/>
      <c r="DG228" s="847"/>
      <c r="DH228" s="847"/>
      <c r="DI228" s="847"/>
      <c r="DJ228" s="847"/>
      <c r="DK228" s="847"/>
      <c r="DL228" s="847"/>
      <c r="DM228" s="1212"/>
      <c r="DN228" s="1222"/>
      <c r="DO228" s="1013"/>
      <c r="DP228" s="847"/>
      <c r="DQ228" s="1013"/>
      <c r="DR228" s="1225"/>
      <c r="DS228" s="1013"/>
      <c r="DT228" s="1225"/>
      <c r="DU228" s="1214"/>
      <c r="DV228" s="1242"/>
      <c r="DW228" s="1232"/>
      <c r="DX228" s="1222"/>
      <c r="DY228" s="847"/>
      <c r="DZ228" s="847"/>
      <c r="EA228" s="847"/>
      <c r="EB228" s="847"/>
      <c r="EC228" s="847"/>
      <c r="ED228" s="847"/>
      <c r="EE228" s="847"/>
      <c r="EF228" s="847"/>
      <c r="EG228" s="1212"/>
      <c r="EH228" s="847"/>
      <c r="EI228" s="1212"/>
    </row>
    <row r="229" spans="1:139" s="733" customFormat="1" ht="13.5">
      <c r="A229" s="1009"/>
      <c r="B229" s="1212" t="s">
        <v>2066</v>
      </c>
      <c r="C229" s="1213">
        <v>0</v>
      </c>
      <c r="D229" s="1013" t="s">
        <v>92</v>
      </c>
      <c r="E229" s="847"/>
      <c r="F229" s="1013"/>
      <c r="G229" s="1225">
        <f>G226</f>
        <v>1.3000000000000001E-2</v>
      </c>
      <c r="H229" s="1013">
        <f t="shared" si="9"/>
        <v>0</v>
      </c>
      <c r="I229" s="847"/>
      <c r="J229" s="1013"/>
      <c r="K229" s="847">
        <f>K226</f>
        <v>0.2737</v>
      </c>
      <c r="L229" s="1013">
        <f t="shared" si="10"/>
        <v>0</v>
      </c>
      <c r="M229" s="847"/>
      <c r="N229" s="1013"/>
      <c r="O229" s="847"/>
      <c r="P229" s="1013"/>
      <c r="Q229" s="847"/>
      <c r="R229" s="847"/>
      <c r="S229" s="847"/>
      <c r="T229" s="847"/>
      <c r="U229" s="847"/>
      <c r="V229" s="847"/>
      <c r="W229" s="847"/>
      <c r="X229" s="847"/>
      <c r="Y229" s="847"/>
      <c r="Z229" s="847"/>
      <c r="AA229" s="847"/>
      <c r="AB229" s="847"/>
      <c r="AC229" s="847"/>
      <c r="AD229" s="847"/>
      <c r="AE229" s="847"/>
      <c r="AF229" s="847"/>
      <c r="AG229" s="847"/>
      <c r="AH229" s="847"/>
      <c r="AI229" s="847"/>
      <c r="AJ229" s="847"/>
      <c r="AK229" s="847"/>
      <c r="AL229" s="847"/>
      <c r="AM229" s="847"/>
      <c r="AN229" s="847"/>
      <c r="AO229" s="847"/>
      <c r="AP229" s="847"/>
      <c r="AQ229" s="847"/>
      <c r="AR229" s="847"/>
      <c r="AS229" s="847"/>
      <c r="AT229" s="847"/>
      <c r="AU229" s="847"/>
      <c r="AV229" s="847"/>
      <c r="AW229" s="847"/>
      <c r="AX229" s="847"/>
      <c r="AY229" s="847"/>
      <c r="AZ229" s="847"/>
      <c r="BA229" s="847"/>
      <c r="BB229" s="847"/>
      <c r="BC229" s="847"/>
      <c r="BD229" s="847"/>
      <c r="BE229" s="847"/>
      <c r="BF229" s="847"/>
      <c r="BG229" s="847"/>
      <c r="BH229" s="847"/>
      <c r="BI229" s="847"/>
      <c r="BJ229" s="847"/>
      <c r="BK229" s="847"/>
      <c r="BL229" s="847"/>
      <c r="BM229" s="847"/>
      <c r="BN229" s="847"/>
      <c r="BO229" s="847"/>
      <c r="BP229" s="847"/>
      <c r="BQ229" s="847"/>
      <c r="BR229" s="847"/>
      <c r="BS229" s="847"/>
      <c r="BT229" s="847"/>
      <c r="BU229" s="847"/>
      <c r="BV229" s="847"/>
      <c r="BW229" s="847"/>
      <c r="BX229" s="847"/>
      <c r="BY229" s="847"/>
      <c r="BZ229" s="847"/>
      <c r="CA229" s="847"/>
      <c r="CB229" s="847"/>
      <c r="CC229" s="847"/>
      <c r="CD229" s="847"/>
      <c r="CE229" s="847"/>
      <c r="CF229" s="847"/>
      <c r="CG229" s="847"/>
      <c r="CH229" s="847"/>
      <c r="CI229" s="847"/>
      <c r="CJ229" s="847"/>
      <c r="CK229" s="847"/>
      <c r="CL229" s="847"/>
      <c r="CM229" s="847"/>
      <c r="CN229" s="847"/>
      <c r="CO229" s="847"/>
      <c r="CP229" s="847"/>
      <c r="CQ229" s="847"/>
      <c r="CR229" s="847"/>
      <c r="CS229" s="1013">
        <f>CS226</f>
        <v>1</v>
      </c>
      <c r="CT229" s="847"/>
      <c r="CU229" s="847"/>
      <c r="CV229" s="847"/>
      <c r="CW229" s="847"/>
      <c r="CX229" s="847"/>
      <c r="CY229" s="847"/>
      <c r="CZ229" s="847">
        <f>ROUND(C229*CS229,2)</f>
        <v>0</v>
      </c>
      <c r="DA229" s="847"/>
      <c r="DB229" s="847"/>
      <c r="DC229" s="847"/>
      <c r="DD229" s="847"/>
      <c r="DE229" s="847"/>
      <c r="DF229" s="847"/>
      <c r="DG229" s="847"/>
      <c r="DH229" s="847"/>
      <c r="DI229" s="847"/>
      <c r="DJ229" s="847"/>
      <c r="DK229" s="847"/>
      <c r="DL229" s="847"/>
      <c r="DM229" s="1212"/>
      <c r="DN229" s="1222">
        <f>'Lead &amp; ANALYSIS'!G4077/10</f>
        <v>0.21600000000000003</v>
      </c>
      <c r="DO229" s="1013">
        <f>ROUND(C229*DN229,2)</f>
        <v>0</v>
      </c>
      <c r="DP229" s="847">
        <f>'Lead &amp; ANALYSIS'!G4076/10</f>
        <v>0.55000000000000004</v>
      </c>
      <c r="DQ229" s="1013">
        <f>ROUND(C229*DP229,2)</f>
        <v>0</v>
      </c>
      <c r="DR229" s="1225"/>
      <c r="DS229" s="1013"/>
      <c r="DT229" s="1225">
        <f>'Lead &amp; ANALYSIS'!G4075/10</f>
        <v>0.21600000000000003</v>
      </c>
      <c r="DU229" s="1214">
        <f>ROUND(C229*DT229,2)</f>
        <v>0</v>
      </c>
      <c r="DV229" s="1242"/>
      <c r="DW229" s="1232"/>
      <c r="DX229" s="1222"/>
      <c r="DY229" s="847"/>
      <c r="DZ229" s="847"/>
      <c r="EA229" s="847"/>
      <c r="EB229" s="847"/>
      <c r="EC229" s="847"/>
      <c r="ED229" s="847"/>
      <c r="EE229" s="847"/>
      <c r="EF229" s="847"/>
      <c r="EG229" s="1212"/>
      <c r="EH229" s="847"/>
      <c r="EI229" s="1212"/>
    </row>
    <row r="230" spans="1:139" s="733" customFormat="1" ht="13.5">
      <c r="A230" s="1009"/>
      <c r="B230" s="1212" t="s">
        <v>2067</v>
      </c>
      <c r="C230" s="1213">
        <v>0</v>
      </c>
      <c r="D230" s="1013" t="s">
        <v>92</v>
      </c>
      <c r="E230" s="847"/>
      <c r="F230" s="1013"/>
      <c r="G230" s="1225">
        <f>G229</f>
        <v>1.3000000000000001E-2</v>
      </c>
      <c r="H230" s="1013">
        <f t="shared" si="9"/>
        <v>0</v>
      </c>
      <c r="I230" s="847"/>
      <c r="J230" s="1013"/>
      <c r="K230" s="847">
        <f>K229</f>
        <v>0.2737</v>
      </c>
      <c r="L230" s="1013">
        <f t="shared" si="10"/>
        <v>0</v>
      </c>
      <c r="M230" s="847"/>
      <c r="N230" s="1013"/>
      <c r="O230" s="847"/>
      <c r="P230" s="1013"/>
      <c r="Q230" s="847"/>
      <c r="R230" s="847"/>
      <c r="S230" s="847"/>
      <c r="T230" s="847"/>
      <c r="U230" s="847"/>
      <c r="V230" s="847"/>
      <c r="W230" s="847"/>
      <c r="X230" s="847"/>
      <c r="Y230" s="847"/>
      <c r="Z230" s="847"/>
      <c r="AA230" s="847"/>
      <c r="AB230" s="847"/>
      <c r="AC230" s="847"/>
      <c r="AD230" s="847"/>
      <c r="AE230" s="847"/>
      <c r="AF230" s="847"/>
      <c r="AG230" s="847"/>
      <c r="AH230" s="847"/>
      <c r="AI230" s="847"/>
      <c r="AJ230" s="847"/>
      <c r="AK230" s="847"/>
      <c r="AL230" s="847"/>
      <c r="AM230" s="847"/>
      <c r="AN230" s="847"/>
      <c r="AO230" s="847"/>
      <c r="AP230" s="847"/>
      <c r="AQ230" s="847"/>
      <c r="AR230" s="847"/>
      <c r="AS230" s="847"/>
      <c r="AT230" s="847"/>
      <c r="AU230" s="847"/>
      <c r="AV230" s="847"/>
      <c r="AW230" s="847"/>
      <c r="AX230" s="847"/>
      <c r="AY230" s="847"/>
      <c r="AZ230" s="847"/>
      <c r="BA230" s="847"/>
      <c r="BB230" s="847"/>
      <c r="BC230" s="847"/>
      <c r="BD230" s="847"/>
      <c r="BE230" s="847"/>
      <c r="BF230" s="847"/>
      <c r="BG230" s="847"/>
      <c r="BH230" s="847"/>
      <c r="BI230" s="847"/>
      <c r="BJ230" s="847"/>
      <c r="BK230" s="847"/>
      <c r="BL230" s="847"/>
      <c r="BM230" s="847"/>
      <c r="BN230" s="847"/>
      <c r="BO230" s="847"/>
      <c r="BP230" s="847"/>
      <c r="BQ230" s="847"/>
      <c r="BR230" s="847"/>
      <c r="BS230" s="847"/>
      <c r="BT230" s="847"/>
      <c r="BU230" s="847"/>
      <c r="BV230" s="847"/>
      <c r="BW230" s="847"/>
      <c r="BX230" s="847"/>
      <c r="BY230" s="847"/>
      <c r="BZ230" s="847"/>
      <c r="CA230" s="847"/>
      <c r="CB230" s="847"/>
      <c r="CC230" s="847"/>
      <c r="CD230" s="847"/>
      <c r="CE230" s="847"/>
      <c r="CF230" s="847"/>
      <c r="CG230" s="847"/>
      <c r="CH230" s="847"/>
      <c r="CI230" s="847"/>
      <c r="CJ230" s="847"/>
      <c r="CK230" s="847"/>
      <c r="CL230" s="847"/>
      <c r="CM230" s="847"/>
      <c r="CN230" s="847"/>
      <c r="CO230" s="847"/>
      <c r="CP230" s="847"/>
      <c r="CQ230" s="847"/>
      <c r="CR230" s="847"/>
      <c r="CS230" s="1013">
        <f>CS229</f>
        <v>1</v>
      </c>
      <c r="CT230" s="847"/>
      <c r="CU230" s="847"/>
      <c r="CV230" s="847"/>
      <c r="CW230" s="847"/>
      <c r="CX230" s="847"/>
      <c r="CY230" s="847"/>
      <c r="CZ230" s="847">
        <f>ROUND(C230*CS230,2)</f>
        <v>0</v>
      </c>
      <c r="DA230" s="847"/>
      <c r="DB230" s="847"/>
      <c r="DC230" s="847"/>
      <c r="DD230" s="847"/>
      <c r="DE230" s="847"/>
      <c r="DF230" s="847"/>
      <c r="DG230" s="847"/>
      <c r="DH230" s="847"/>
      <c r="DI230" s="847"/>
      <c r="DJ230" s="847"/>
      <c r="DK230" s="847"/>
      <c r="DL230" s="847"/>
      <c r="DM230" s="1212"/>
      <c r="DN230" s="1222">
        <f>DN229+DN229*5%</f>
        <v>0.22680000000000003</v>
      </c>
      <c r="DO230" s="1013">
        <f>ROUND(C230*DN230,2)</f>
        <v>0</v>
      </c>
      <c r="DP230" s="847">
        <f>DP229+DP229*5%</f>
        <v>0.57750000000000001</v>
      </c>
      <c r="DQ230" s="1013">
        <f>ROUND(C230*DP230,2)</f>
        <v>0</v>
      </c>
      <c r="DR230" s="1225"/>
      <c r="DS230" s="1013"/>
      <c r="DT230" s="847">
        <f>DT229+DT229*5%</f>
        <v>0.22680000000000003</v>
      </c>
      <c r="DU230" s="1214">
        <f>ROUND(C230*DT230,2)</f>
        <v>0</v>
      </c>
      <c r="DV230" s="1242"/>
      <c r="DW230" s="1232"/>
      <c r="DX230" s="1222"/>
      <c r="DY230" s="847"/>
      <c r="DZ230" s="847"/>
      <c r="EA230" s="847"/>
      <c r="EB230" s="847"/>
      <c r="EC230" s="847"/>
      <c r="ED230" s="847"/>
      <c r="EE230" s="847"/>
      <c r="EF230" s="847"/>
      <c r="EG230" s="1212"/>
      <c r="EH230" s="847"/>
      <c r="EI230" s="1212"/>
    </row>
    <row r="231" spans="1:139" s="733" customFormat="1" ht="13.5">
      <c r="A231" s="1009">
        <v>71</v>
      </c>
      <c r="B231" s="1212" t="s">
        <v>1602</v>
      </c>
      <c r="C231" s="1213">
        <v>0</v>
      </c>
      <c r="D231" s="1013" t="s">
        <v>92</v>
      </c>
      <c r="E231" s="847"/>
      <c r="F231" s="1013"/>
      <c r="G231" s="1013"/>
      <c r="H231" s="1013"/>
      <c r="I231" s="847"/>
      <c r="J231" s="1013"/>
      <c r="K231" s="847"/>
      <c r="L231" s="1013"/>
      <c r="M231" s="847"/>
      <c r="N231" s="1013"/>
      <c r="O231" s="847"/>
      <c r="P231" s="1013"/>
      <c r="Q231" s="847"/>
      <c r="R231" s="847"/>
      <c r="S231" s="847"/>
      <c r="T231" s="847"/>
      <c r="U231" s="847"/>
      <c r="V231" s="847"/>
      <c r="W231" s="847"/>
      <c r="X231" s="847"/>
      <c r="Y231" s="847"/>
      <c r="Z231" s="847"/>
      <c r="AA231" s="847"/>
      <c r="AB231" s="847"/>
      <c r="AC231" s="847"/>
      <c r="AD231" s="847"/>
      <c r="AE231" s="847"/>
      <c r="AF231" s="847"/>
      <c r="AG231" s="847"/>
      <c r="AH231" s="847"/>
      <c r="AI231" s="847"/>
      <c r="AJ231" s="847"/>
      <c r="AK231" s="847"/>
      <c r="AL231" s="847"/>
      <c r="AM231" s="847"/>
      <c r="AN231" s="847"/>
      <c r="AO231" s="847"/>
      <c r="AP231" s="847"/>
      <c r="AQ231" s="847"/>
      <c r="AR231" s="847"/>
      <c r="AS231" s="847"/>
      <c r="AT231" s="847"/>
      <c r="AU231" s="847"/>
      <c r="AV231" s="847"/>
      <c r="AW231" s="847"/>
      <c r="AX231" s="847"/>
      <c r="AY231" s="847"/>
      <c r="AZ231" s="847"/>
      <c r="BA231" s="847"/>
      <c r="BB231" s="847"/>
      <c r="BC231" s="847"/>
      <c r="BD231" s="847"/>
      <c r="BE231" s="847"/>
      <c r="BF231" s="847"/>
      <c r="BG231" s="847"/>
      <c r="BH231" s="847"/>
      <c r="BI231" s="847"/>
      <c r="BJ231" s="847"/>
      <c r="BK231" s="847"/>
      <c r="BL231" s="847"/>
      <c r="BM231" s="847"/>
      <c r="BN231" s="847"/>
      <c r="BO231" s="847"/>
      <c r="BP231" s="847"/>
      <c r="BQ231" s="847"/>
      <c r="BR231" s="847"/>
      <c r="BS231" s="847"/>
      <c r="BT231" s="847"/>
      <c r="BU231" s="847"/>
      <c r="BV231" s="847"/>
      <c r="BW231" s="847"/>
      <c r="BX231" s="847"/>
      <c r="BY231" s="847"/>
      <c r="BZ231" s="847"/>
      <c r="CA231" s="847"/>
      <c r="CB231" s="847"/>
      <c r="CC231" s="847"/>
      <c r="CD231" s="847"/>
      <c r="CE231" s="847"/>
      <c r="CF231" s="847"/>
      <c r="CG231" s="847"/>
      <c r="CH231" s="847"/>
      <c r="CI231" s="847"/>
      <c r="CJ231" s="847"/>
      <c r="CK231" s="847"/>
      <c r="CL231" s="847"/>
      <c r="CM231" s="847"/>
      <c r="CN231" s="847"/>
      <c r="CO231" s="847"/>
      <c r="CP231" s="847"/>
      <c r="CQ231" s="847"/>
      <c r="CR231" s="847"/>
      <c r="CS231" s="847"/>
      <c r="CT231" s="847"/>
      <c r="CU231" s="847"/>
      <c r="CV231" s="847"/>
      <c r="CW231" s="847"/>
      <c r="CX231" s="847"/>
      <c r="CY231" s="847"/>
      <c r="CZ231" s="847"/>
      <c r="DA231" s="847"/>
      <c r="DB231" s="847"/>
      <c r="DC231" s="847"/>
      <c r="DD231" s="847"/>
      <c r="DE231" s="847"/>
      <c r="DF231" s="847"/>
      <c r="DG231" s="847"/>
      <c r="DH231" s="847"/>
      <c r="DI231" s="847"/>
      <c r="DJ231" s="847"/>
      <c r="DK231" s="847"/>
      <c r="DL231" s="847"/>
      <c r="DM231" s="1212"/>
      <c r="DN231" s="1222"/>
      <c r="DO231" s="1013"/>
      <c r="DP231" s="847"/>
      <c r="DQ231" s="1013"/>
      <c r="DR231" s="1225"/>
      <c r="DS231" s="1013"/>
      <c r="DT231" s="1225"/>
      <c r="DU231" s="1214"/>
      <c r="DV231" s="1242"/>
      <c r="DW231" s="1232"/>
      <c r="DX231" s="1222"/>
      <c r="DY231" s="847"/>
      <c r="DZ231" s="847"/>
      <c r="EA231" s="847"/>
      <c r="EB231" s="847"/>
      <c r="EC231" s="847"/>
      <c r="ED231" s="847"/>
      <c r="EE231" s="847"/>
      <c r="EF231" s="847"/>
      <c r="EG231" s="1212"/>
      <c r="EH231" s="847"/>
      <c r="EI231" s="1212"/>
    </row>
    <row r="232" spans="1:139" s="733" customFormat="1" ht="13.5">
      <c r="A232" s="1009" t="s">
        <v>201</v>
      </c>
      <c r="B232" s="1212" t="s">
        <v>230</v>
      </c>
      <c r="C232" s="1213">
        <v>0</v>
      </c>
      <c r="D232" s="1013" t="s">
        <v>92</v>
      </c>
      <c r="E232" s="847"/>
      <c r="F232" s="1013"/>
      <c r="G232" s="1013"/>
      <c r="H232" s="1013"/>
      <c r="I232" s="847"/>
      <c r="J232" s="1013"/>
      <c r="K232" s="847"/>
      <c r="L232" s="1013"/>
      <c r="M232" s="847"/>
      <c r="N232" s="1013"/>
      <c r="O232" s="847"/>
      <c r="P232" s="1013"/>
      <c r="Q232" s="847"/>
      <c r="R232" s="847"/>
      <c r="S232" s="847"/>
      <c r="T232" s="847"/>
      <c r="U232" s="847"/>
      <c r="V232" s="847"/>
      <c r="W232" s="847"/>
      <c r="X232" s="847"/>
      <c r="Y232" s="847"/>
      <c r="Z232" s="847"/>
      <c r="AA232" s="847"/>
      <c r="AB232" s="847"/>
      <c r="AC232" s="847"/>
      <c r="AD232" s="847"/>
      <c r="AE232" s="847"/>
      <c r="AF232" s="847"/>
      <c r="AG232" s="847"/>
      <c r="AH232" s="847"/>
      <c r="AI232" s="847"/>
      <c r="AJ232" s="847"/>
      <c r="AK232" s="847"/>
      <c r="AL232" s="847"/>
      <c r="AM232" s="847"/>
      <c r="AN232" s="847"/>
      <c r="AO232" s="847"/>
      <c r="AP232" s="847"/>
      <c r="AQ232" s="847"/>
      <c r="AR232" s="847"/>
      <c r="AS232" s="847"/>
      <c r="AT232" s="847"/>
      <c r="AU232" s="847"/>
      <c r="AV232" s="847"/>
      <c r="AW232" s="847"/>
      <c r="AX232" s="847"/>
      <c r="AY232" s="847"/>
      <c r="AZ232" s="847"/>
      <c r="BA232" s="847"/>
      <c r="BB232" s="847"/>
      <c r="BC232" s="847"/>
      <c r="BD232" s="847"/>
      <c r="BE232" s="847"/>
      <c r="BF232" s="847"/>
      <c r="BG232" s="847"/>
      <c r="BH232" s="847"/>
      <c r="BI232" s="847"/>
      <c r="BJ232" s="847"/>
      <c r="BK232" s="847"/>
      <c r="BL232" s="847"/>
      <c r="BM232" s="847"/>
      <c r="BN232" s="847"/>
      <c r="BO232" s="847"/>
      <c r="BP232" s="847"/>
      <c r="BQ232" s="847"/>
      <c r="BR232" s="847"/>
      <c r="BS232" s="847"/>
      <c r="BT232" s="847"/>
      <c r="BU232" s="847"/>
      <c r="BV232" s="847"/>
      <c r="BW232" s="847"/>
      <c r="BX232" s="847"/>
      <c r="BY232" s="847"/>
      <c r="BZ232" s="847"/>
      <c r="CA232" s="847"/>
      <c r="CB232" s="847"/>
      <c r="CC232" s="847"/>
      <c r="CD232" s="847"/>
      <c r="CE232" s="847"/>
      <c r="CF232" s="847"/>
      <c r="CG232" s="847"/>
      <c r="CH232" s="847"/>
      <c r="CI232" s="847"/>
      <c r="CJ232" s="847"/>
      <c r="CK232" s="847"/>
      <c r="CL232" s="847"/>
      <c r="CM232" s="847"/>
      <c r="CN232" s="847"/>
      <c r="CO232" s="847"/>
      <c r="CP232" s="847"/>
      <c r="CQ232" s="847"/>
      <c r="CR232" s="847"/>
      <c r="CS232" s="847"/>
      <c r="CT232" s="847"/>
      <c r="CU232" s="847"/>
      <c r="CV232" s="847"/>
      <c r="CW232" s="847"/>
      <c r="CX232" s="847"/>
      <c r="CY232" s="847"/>
      <c r="CZ232" s="847"/>
      <c r="DA232" s="847"/>
      <c r="DB232" s="847"/>
      <c r="DC232" s="847"/>
      <c r="DD232" s="847"/>
      <c r="DE232" s="847"/>
      <c r="DF232" s="847"/>
      <c r="DG232" s="847"/>
      <c r="DH232" s="847"/>
      <c r="DI232" s="847"/>
      <c r="DJ232" s="847"/>
      <c r="DK232" s="847"/>
      <c r="DL232" s="847"/>
      <c r="DM232" s="1212"/>
      <c r="DN232" s="1222"/>
      <c r="DO232" s="1013"/>
      <c r="DP232" s="847"/>
      <c r="DQ232" s="1013"/>
      <c r="DR232" s="1225"/>
      <c r="DS232" s="1013"/>
      <c r="DT232" s="1225"/>
      <c r="DU232" s="1214"/>
      <c r="DV232" s="1242"/>
      <c r="DW232" s="1232"/>
      <c r="DX232" s="1222"/>
      <c r="DY232" s="847"/>
      <c r="DZ232" s="847"/>
      <c r="EA232" s="847"/>
      <c r="EB232" s="847"/>
      <c r="EC232" s="847"/>
      <c r="ED232" s="847"/>
      <c r="EE232" s="847"/>
      <c r="EF232" s="847"/>
      <c r="EG232" s="1212"/>
      <c r="EH232" s="847"/>
      <c r="EI232" s="1212"/>
    </row>
    <row r="233" spans="1:139" s="733" customFormat="1" ht="13.5">
      <c r="A233" s="1009"/>
      <c r="B233" s="1212" t="s">
        <v>2066</v>
      </c>
      <c r="C233" s="1213">
        <v>0</v>
      </c>
      <c r="D233" s="1013" t="s">
        <v>92</v>
      </c>
      <c r="E233" s="847"/>
      <c r="F233" s="1013"/>
      <c r="G233" s="1225">
        <f>'Lead &amp; ANALYSIS'!G4221/10</f>
        <v>2.0999999999999998E-2</v>
      </c>
      <c r="H233" s="1013">
        <f t="shared" si="9"/>
        <v>0</v>
      </c>
      <c r="I233" s="847"/>
      <c r="J233" s="1013"/>
      <c r="K233" s="847">
        <f>'Lead &amp; ANALYSIS'!G4222/10</f>
        <v>0.10740000000000001</v>
      </c>
      <c r="L233" s="1013">
        <f t="shared" si="10"/>
        <v>0</v>
      </c>
      <c r="M233" s="847"/>
      <c r="N233" s="1013"/>
      <c r="O233" s="847"/>
      <c r="P233" s="1013"/>
      <c r="Q233" s="847"/>
      <c r="R233" s="847"/>
      <c r="S233" s="847"/>
      <c r="T233" s="847"/>
      <c r="U233" s="847"/>
      <c r="V233" s="847"/>
      <c r="W233" s="847"/>
      <c r="X233" s="847"/>
      <c r="Y233" s="847"/>
      <c r="Z233" s="847"/>
      <c r="AA233" s="847"/>
      <c r="AB233" s="847"/>
      <c r="AC233" s="847"/>
      <c r="AD233" s="847"/>
      <c r="AE233" s="847"/>
      <c r="AF233" s="847"/>
      <c r="AG233" s="847"/>
      <c r="AH233" s="847"/>
      <c r="AI233" s="847"/>
      <c r="AJ233" s="847"/>
      <c r="AK233" s="847"/>
      <c r="AL233" s="847"/>
      <c r="AM233" s="847"/>
      <c r="AN233" s="847"/>
      <c r="AO233" s="847"/>
      <c r="AP233" s="847"/>
      <c r="AQ233" s="847"/>
      <c r="AR233" s="847"/>
      <c r="AS233" s="847"/>
      <c r="AT233" s="847"/>
      <c r="AU233" s="847">
        <f>'Lead &amp; ANALYSIS'!G4223/10</f>
        <v>7.6E-3</v>
      </c>
      <c r="AV233" s="847">
        <f>ROUND(C233*AU233,2)</f>
        <v>0</v>
      </c>
      <c r="AW233" s="847"/>
      <c r="AX233" s="847"/>
      <c r="AY233" s="847"/>
      <c r="AZ233" s="847"/>
      <c r="BA233" s="847"/>
      <c r="BB233" s="847"/>
      <c r="BC233" s="847"/>
      <c r="BD233" s="847"/>
      <c r="BE233" s="847"/>
      <c r="BF233" s="847"/>
      <c r="BG233" s="847"/>
      <c r="BH233" s="847"/>
      <c r="BI233" s="847"/>
      <c r="BJ233" s="847"/>
      <c r="BK233" s="847"/>
      <c r="BL233" s="847"/>
      <c r="BM233" s="847"/>
      <c r="BN233" s="847"/>
      <c r="BO233" s="847"/>
      <c r="BP233" s="847"/>
      <c r="BQ233" s="847"/>
      <c r="BR233" s="847"/>
      <c r="BS233" s="847"/>
      <c r="BT233" s="847"/>
      <c r="BU233" s="847"/>
      <c r="BV233" s="847"/>
      <c r="BW233" s="847"/>
      <c r="BX233" s="847"/>
      <c r="BY233" s="847"/>
      <c r="BZ233" s="847"/>
      <c r="CA233" s="847"/>
      <c r="CB233" s="847"/>
      <c r="CC233" s="847"/>
      <c r="CD233" s="847"/>
      <c r="CE233" s="847"/>
      <c r="CF233" s="847"/>
      <c r="CG233" s="847"/>
      <c r="CH233" s="847"/>
      <c r="CI233" s="847"/>
      <c r="CJ233" s="847"/>
      <c r="CK233" s="847"/>
      <c r="CL233" s="847"/>
      <c r="CM233" s="847"/>
      <c r="CN233" s="847"/>
      <c r="CO233" s="847"/>
      <c r="CP233" s="847"/>
      <c r="CQ233" s="847"/>
      <c r="CR233" s="847"/>
      <c r="CS233" s="1013">
        <f>CS230</f>
        <v>1</v>
      </c>
      <c r="CT233" s="847">
        <f>ROUND(C233*CS233,2)</f>
        <v>0</v>
      </c>
      <c r="CU233" s="847"/>
      <c r="CV233" s="847"/>
      <c r="CW233" s="847"/>
      <c r="CX233" s="847"/>
      <c r="CY233" s="847"/>
      <c r="CZ233" s="847"/>
      <c r="DA233" s="847"/>
      <c r="DB233" s="847"/>
      <c r="DC233" s="847"/>
      <c r="DD233" s="847"/>
      <c r="DE233" s="847"/>
      <c r="DF233" s="847"/>
      <c r="DG233" s="847"/>
      <c r="DH233" s="847"/>
      <c r="DI233" s="847"/>
      <c r="DJ233" s="847"/>
      <c r="DK233" s="847"/>
      <c r="DL233" s="847"/>
      <c r="DM233" s="1212"/>
      <c r="DN233" s="1222">
        <f>'Lead &amp; ANALYSIS'!G4227/10</f>
        <v>0.21600000000000003</v>
      </c>
      <c r="DO233" s="1013">
        <f>ROUND(C233*DN233,2)</f>
        <v>0</v>
      </c>
      <c r="DP233" s="847"/>
      <c r="DQ233" s="1013"/>
      <c r="DR233" s="1225"/>
      <c r="DS233" s="1013"/>
      <c r="DT233" s="1225">
        <f>'Lead &amp; ANALYSIS'!G4226/10</f>
        <v>0.21600000000000003</v>
      </c>
      <c r="DU233" s="1214">
        <f>ROUND(C233*DT233,2)</f>
        <v>0</v>
      </c>
      <c r="DV233" s="1242"/>
      <c r="DW233" s="1232"/>
      <c r="DX233" s="1222"/>
      <c r="DY233" s="847"/>
      <c r="DZ233" s="847"/>
      <c r="EA233" s="847"/>
      <c r="EB233" s="847"/>
      <c r="EC233" s="847"/>
      <c r="ED233" s="847"/>
      <c r="EE233" s="847"/>
      <c r="EF233" s="847"/>
      <c r="EG233" s="1212"/>
      <c r="EH233" s="847"/>
      <c r="EI233" s="1212"/>
    </row>
    <row r="234" spans="1:139" s="733" customFormat="1" ht="13.5">
      <c r="A234" s="1009"/>
      <c r="B234" s="1212" t="s">
        <v>2067</v>
      </c>
      <c r="C234" s="1213">
        <v>0</v>
      </c>
      <c r="D234" s="1013" t="s">
        <v>92</v>
      </c>
      <c r="E234" s="847"/>
      <c r="F234" s="1013"/>
      <c r="G234" s="1225">
        <f>G233</f>
        <v>2.0999999999999998E-2</v>
      </c>
      <c r="H234" s="1013">
        <f t="shared" si="9"/>
        <v>0</v>
      </c>
      <c r="I234" s="847"/>
      <c r="J234" s="1013"/>
      <c r="K234" s="847">
        <f>K233</f>
        <v>0.10740000000000001</v>
      </c>
      <c r="L234" s="1013">
        <f t="shared" si="10"/>
        <v>0</v>
      </c>
      <c r="M234" s="847"/>
      <c r="N234" s="1013"/>
      <c r="O234" s="847"/>
      <c r="P234" s="1013"/>
      <c r="Q234" s="847"/>
      <c r="R234" s="847"/>
      <c r="S234" s="847"/>
      <c r="T234" s="847"/>
      <c r="U234" s="847"/>
      <c r="V234" s="847"/>
      <c r="W234" s="847"/>
      <c r="X234" s="847"/>
      <c r="Y234" s="847"/>
      <c r="Z234" s="847"/>
      <c r="AA234" s="847"/>
      <c r="AB234" s="847"/>
      <c r="AC234" s="847"/>
      <c r="AD234" s="847"/>
      <c r="AE234" s="847"/>
      <c r="AF234" s="847"/>
      <c r="AG234" s="847"/>
      <c r="AH234" s="847"/>
      <c r="AI234" s="847"/>
      <c r="AJ234" s="847"/>
      <c r="AK234" s="847"/>
      <c r="AL234" s="847"/>
      <c r="AM234" s="847"/>
      <c r="AN234" s="847"/>
      <c r="AO234" s="847"/>
      <c r="AP234" s="847"/>
      <c r="AQ234" s="847"/>
      <c r="AR234" s="847"/>
      <c r="AS234" s="847"/>
      <c r="AT234" s="847"/>
      <c r="AU234" s="847">
        <f>AU233</f>
        <v>7.6E-3</v>
      </c>
      <c r="AV234" s="847">
        <f>ROUND(C234*AU234,2)</f>
        <v>0</v>
      </c>
      <c r="AW234" s="847"/>
      <c r="AX234" s="847"/>
      <c r="AY234" s="847"/>
      <c r="AZ234" s="847"/>
      <c r="BA234" s="847"/>
      <c r="BB234" s="847"/>
      <c r="BC234" s="847"/>
      <c r="BD234" s="847"/>
      <c r="BE234" s="847"/>
      <c r="BF234" s="847"/>
      <c r="BG234" s="847"/>
      <c r="BH234" s="847"/>
      <c r="BI234" s="847"/>
      <c r="BJ234" s="847"/>
      <c r="BK234" s="847"/>
      <c r="BL234" s="847"/>
      <c r="BM234" s="847"/>
      <c r="BN234" s="847"/>
      <c r="BO234" s="847"/>
      <c r="BP234" s="847"/>
      <c r="BQ234" s="847"/>
      <c r="BR234" s="847"/>
      <c r="BS234" s="847"/>
      <c r="BT234" s="847"/>
      <c r="BU234" s="847"/>
      <c r="BV234" s="847"/>
      <c r="BW234" s="847"/>
      <c r="BX234" s="847"/>
      <c r="BY234" s="847"/>
      <c r="BZ234" s="847"/>
      <c r="CA234" s="847"/>
      <c r="CB234" s="847"/>
      <c r="CC234" s="847"/>
      <c r="CD234" s="847"/>
      <c r="CE234" s="847"/>
      <c r="CF234" s="847"/>
      <c r="CG234" s="847"/>
      <c r="CH234" s="847"/>
      <c r="CI234" s="847"/>
      <c r="CJ234" s="847"/>
      <c r="CK234" s="847"/>
      <c r="CL234" s="847"/>
      <c r="CM234" s="847"/>
      <c r="CN234" s="847"/>
      <c r="CO234" s="847"/>
      <c r="CP234" s="847"/>
      <c r="CQ234" s="847"/>
      <c r="CR234" s="847"/>
      <c r="CS234" s="1013">
        <f>CS233</f>
        <v>1</v>
      </c>
      <c r="CT234" s="847">
        <f>ROUND(C234*CS234,2)</f>
        <v>0</v>
      </c>
      <c r="CU234" s="847"/>
      <c r="CV234" s="847"/>
      <c r="CW234" s="847"/>
      <c r="CX234" s="847"/>
      <c r="CY234" s="847"/>
      <c r="CZ234" s="847"/>
      <c r="DA234" s="847"/>
      <c r="DB234" s="847"/>
      <c r="DC234" s="847"/>
      <c r="DD234" s="847"/>
      <c r="DE234" s="847"/>
      <c r="DF234" s="847"/>
      <c r="DG234" s="847"/>
      <c r="DH234" s="847"/>
      <c r="DI234" s="847"/>
      <c r="DJ234" s="847"/>
      <c r="DK234" s="847"/>
      <c r="DL234" s="847"/>
      <c r="DM234" s="1212"/>
      <c r="DN234" s="1222">
        <f>DN233+DN233*5%</f>
        <v>0.22680000000000003</v>
      </c>
      <c r="DO234" s="1013">
        <f>ROUND(C234*DN234,2)</f>
        <v>0</v>
      </c>
      <c r="DP234" s="847"/>
      <c r="DQ234" s="1013"/>
      <c r="DR234" s="1225"/>
      <c r="DS234" s="1013"/>
      <c r="DT234" s="847">
        <f>DT233+DT233*5%</f>
        <v>0.22680000000000003</v>
      </c>
      <c r="DU234" s="1214">
        <f>ROUND(C234*DT234,2)</f>
        <v>0</v>
      </c>
      <c r="DV234" s="1242"/>
      <c r="DW234" s="1232"/>
      <c r="DX234" s="1222"/>
      <c r="DY234" s="847"/>
      <c r="DZ234" s="847"/>
      <c r="EA234" s="847"/>
      <c r="EB234" s="847"/>
      <c r="EC234" s="847"/>
      <c r="ED234" s="847"/>
      <c r="EE234" s="847"/>
      <c r="EF234" s="847"/>
      <c r="EG234" s="1212"/>
      <c r="EH234" s="847"/>
      <c r="EI234" s="1212"/>
    </row>
    <row r="235" spans="1:139" s="733" customFormat="1" ht="13.5">
      <c r="A235" s="1009" t="s">
        <v>220</v>
      </c>
      <c r="B235" s="1212" t="s">
        <v>236</v>
      </c>
      <c r="C235" s="1213">
        <v>0</v>
      </c>
      <c r="D235" s="1013" t="s">
        <v>92</v>
      </c>
      <c r="E235" s="847"/>
      <c r="F235" s="1013"/>
      <c r="G235" s="1225"/>
      <c r="H235" s="1013"/>
      <c r="I235" s="847"/>
      <c r="J235" s="1013"/>
      <c r="K235" s="847"/>
      <c r="L235" s="1013"/>
      <c r="M235" s="847"/>
      <c r="N235" s="1013"/>
      <c r="O235" s="847"/>
      <c r="P235" s="1013"/>
      <c r="Q235" s="847"/>
      <c r="R235" s="847"/>
      <c r="S235" s="847"/>
      <c r="T235" s="847"/>
      <c r="U235" s="847"/>
      <c r="V235" s="847"/>
      <c r="W235" s="847"/>
      <c r="X235" s="847"/>
      <c r="Y235" s="847"/>
      <c r="Z235" s="847"/>
      <c r="AA235" s="847"/>
      <c r="AB235" s="847"/>
      <c r="AC235" s="847"/>
      <c r="AD235" s="847"/>
      <c r="AE235" s="847"/>
      <c r="AF235" s="847"/>
      <c r="AG235" s="847"/>
      <c r="AH235" s="847"/>
      <c r="AI235" s="847"/>
      <c r="AJ235" s="847"/>
      <c r="AK235" s="847"/>
      <c r="AL235" s="847"/>
      <c r="AM235" s="847"/>
      <c r="AN235" s="847"/>
      <c r="AO235" s="847"/>
      <c r="AP235" s="847"/>
      <c r="AQ235" s="847"/>
      <c r="AR235" s="847"/>
      <c r="AS235" s="847"/>
      <c r="AT235" s="847"/>
      <c r="AU235" s="847"/>
      <c r="AV235" s="847"/>
      <c r="AW235" s="847"/>
      <c r="AX235" s="847"/>
      <c r="AY235" s="847"/>
      <c r="AZ235" s="847"/>
      <c r="BA235" s="847"/>
      <c r="BB235" s="847"/>
      <c r="BC235" s="847"/>
      <c r="BD235" s="847"/>
      <c r="BE235" s="847"/>
      <c r="BF235" s="847"/>
      <c r="BG235" s="847"/>
      <c r="BH235" s="847"/>
      <c r="BI235" s="847"/>
      <c r="BJ235" s="847"/>
      <c r="BK235" s="847"/>
      <c r="BL235" s="847"/>
      <c r="BM235" s="847"/>
      <c r="BN235" s="847"/>
      <c r="BO235" s="847"/>
      <c r="BP235" s="847"/>
      <c r="BQ235" s="847"/>
      <c r="BR235" s="847"/>
      <c r="BS235" s="847"/>
      <c r="BT235" s="847"/>
      <c r="BU235" s="847"/>
      <c r="BV235" s="847"/>
      <c r="BW235" s="847"/>
      <c r="BX235" s="847"/>
      <c r="BY235" s="847"/>
      <c r="BZ235" s="847"/>
      <c r="CA235" s="847"/>
      <c r="CB235" s="847"/>
      <c r="CC235" s="847"/>
      <c r="CD235" s="847"/>
      <c r="CE235" s="847"/>
      <c r="CF235" s="847"/>
      <c r="CG235" s="847"/>
      <c r="CH235" s="847"/>
      <c r="CI235" s="847"/>
      <c r="CJ235" s="847"/>
      <c r="CK235" s="847"/>
      <c r="CL235" s="847"/>
      <c r="CM235" s="847"/>
      <c r="CN235" s="847"/>
      <c r="CO235" s="847"/>
      <c r="CP235" s="847"/>
      <c r="CQ235" s="847"/>
      <c r="CR235" s="847"/>
      <c r="CS235" s="847"/>
      <c r="CT235" s="847"/>
      <c r="CU235" s="847"/>
      <c r="CV235" s="847"/>
      <c r="CW235" s="847"/>
      <c r="CX235" s="847"/>
      <c r="CY235" s="847"/>
      <c r="CZ235" s="847"/>
      <c r="DA235" s="847"/>
      <c r="DB235" s="847"/>
      <c r="DC235" s="847"/>
      <c r="DD235" s="847"/>
      <c r="DE235" s="847"/>
      <c r="DF235" s="847"/>
      <c r="DG235" s="847"/>
      <c r="DH235" s="847"/>
      <c r="DI235" s="847"/>
      <c r="DJ235" s="847"/>
      <c r="DK235" s="847"/>
      <c r="DL235" s="847"/>
      <c r="DM235" s="1212"/>
      <c r="DN235" s="1222"/>
      <c r="DO235" s="1013"/>
      <c r="DP235" s="847"/>
      <c r="DQ235" s="1013"/>
      <c r="DR235" s="1225"/>
      <c r="DS235" s="1013"/>
      <c r="DT235" s="1225"/>
      <c r="DU235" s="1214"/>
      <c r="DV235" s="1242"/>
      <c r="DW235" s="1232"/>
      <c r="DX235" s="1222"/>
      <c r="DY235" s="847"/>
      <c r="DZ235" s="847"/>
      <c r="EA235" s="847"/>
      <c r="EB235" s="847"/>
      <c r="EC235" s="847"/>
      <c r="ED235" s="847"/>
      <c r="EE235" s="847"/>
      <c r="EF235" s="847"/>
      <c r="EG235" s="1212"/>
      <c r="EH235" s="847"/>
      <c r="EI235" s="1212"/>
    </row>
    <row r="236" spans="1:139" s="733" customFormat="1" ht="13.5">
      <c r="A236" s="1009"/>
      <c r="B236" s="1212" t="s">
        <v>2066</v>
      </c>
      <c r="C236" s="1213">
        <v>0</v>
      </c>
      <c r="D236" s="1013" t="s">
        <v>92</v>
      </c>
      <c r="E236" s="847"/>
      <c r="F236" s="1013"/>
      <c r="G236" s="1225">
        <f>G233</f>
        <v>2.0999999999999998E-2</v>
      </c>
      <c r="H236" s="1013">
        <f>ROUND(C236*G236,2)</f>
        <v>0</v>
      </c>
      <c r="I236" s="847"/>
      <c r="J236" s="1013"/>
      <c r="K236" s="847">
        <f>K233</f>
        <v>0.10740000000000001</v>
      </c>
      <c r="L236" s="1013">
        <f>ROUND(C236*K236,2)</f>
        <v>0</v>
      </c>
      <c r="M236" s="847"/>
      <c r="N236" s="1013"/>
      <c r="O236" s="847"/>
      <c r="P236" s="1013"/>
      <c r="Q236" s="847"/>
      <c r="R236" s="847"/>
      <c r="S236" s="847"/>
      <c r="T236" s="847"/>
      <c r="U236" s="847"/>
      <c r="V236" s="847"/>
      <c r="W236" s="847"/>
      <c r="X236" s="847"/>
      <c r="Y236" s="847"/>
      <c r="Z236" s="847"/>
      <c r="AA236" s="847"/>
      <c r="AB236" s="847"/>
      <c r="AC236" s="847"/>
      <c r="AD236" s="847"/>
      <c r="AE236" s="847"/>
      <c r="AF236" s="847"/>
      <c r="AG236" s="847"/>
      <c r="AH236" s="847"/>
      <c r="AI236" s="847"/>
      <c r="AJ236" s="847"/>
      <c r="AK236" s="847"/>
      <c r="AL236" s="847"/>
      <c r="AM236" s="847"/>
      <c r="AN236" s="847"/>
      <c r="AO236" s="847"/>
      <c r="AP236" s="847"/>
      <c r="AQ236" s="847"/>
      <c r="AR236" s="847"/>
      <c r="AS236" s="847"/>
      <c r="AT236" s="847"/>
      <c r="AU236" s="847">
        <f>AU233</f>
        <v>7.6E-3</v>
      </c>
      <c r="AV236" s="847">
        <f>ROUND(C236*AU236,2)</f>
        <v>0</v>
      </c>
      <c r="AW236" s="847"/>
      <c r="AX236" s="847"/>
      <c r="AY236" s="847"/>
      <c r="AZ236" s="847"/>
      <c r="BA236" s="847"/>
      <c r="BB236" s="847"/>
      <c r="BC236" s="847"/>
      <c r="BD236" s="847"/>
      <c r="BE236" s="847"/>
      <c r="BF236" s="847"/>
      <c r="BG236" s="847"/>
      <c r="BH236" s="847"/>
      <c r="BI236" s="847"/>
      <c r="BJ236" s="847"/>
      <c r="BK236" s="847"/>
      <c r="BL236" s="847"/>
      <c r="BM236" s="847"/>
      <c r="BN236" s="847"/>
      <c r="BO236" s="847"/>
      <c r="BP236" s="847"/>
      <c r="BQ236" s="847"/>
      <c r="BR236" s="847"/>
      <c r="BS236" s="847"/>
      <c r="BT236" s="847"/>
      <c r="BU236" s="847"/>
      <c r="BV236" s="847"/>
      <c r="BW236" s="847"/>
      <c r="BX236" s="847"/>
      <c r="BY236" s="847"/>
      <c r="BZ236" s="847"/>
      <c r="CA236" s="847"/>
      <c r="CB236" s="847"/>
      <c r="CC236" s="847"/>
      <c r="CD236" s="847"/>
      <c r="CE236" s="847"/>
      <c r="CF236" s="847"/>
      <c r="CG236" s="847"/>
      <c r="CH236" s="847"/>
      <c r="CI236" s="847"/>
      <c r="CJ236" s="847"/>
      <c r="CK236" s="847"/>
      <c r="CL236" s="847"/>
      <c r="CM236" s="847"/>
      <c r="CN236" s="847"/>
      <c r="CO236" s="847"/>
      <c r="CP236" s="847"/>
      <c r="CQ236" s="847"/>
      <c r="CR236" s="847"/>
      <c r="CS236" s="1013">
        <f>CS230</f>
        <v>1</v>
      </c>
      <c r="CT236" s="847"/>
      <c r="CU236" s="847">
        <f>ROUND(C236*CS236,2)</f>
        <v>0</v>
      </c>
      <c r="CV236" s="847"/>
      <c r="CW236" s="847"/>
      <c r="CX236" s="847"/>
      <c r="CY236" s="847"/>
      <c r="CZ236" s="847"/>
      <c r="DA236" s="847"/>
      <c r="DB236" s="847"/>
      <c r="DC236" s="847"/>
      <c r="DD236" s="847"/>
      <c r="DE236" s="847"/>
      <c r="DF236" s="847"/>
      <c r="DG236" s="847"/>
      <c r="DH236" s="847"/>
      <c r="DI236" s="847"/>
      <c r="DJ236" s="847"/>
      <c r="DK236" s="847"/>
      <c r="DL236" s="847"/>
      <c r="DM236" s="1212"/>
      <c r="DN236" s="1222">
        <f>'Lead &amp; ANALYSIS'!G4227/10</f>
        <v>0.21600000000000003</v>
      </c>
      <c r="DO236" s="1013">
        <f>ROUND(C236*DN236,2)</f>
        <v>0</v>
      </c>
      <c r="DP236" s="847"/>
      <c r="DQ236" s="1013"/>
      <c r="DR236" s="1225"/>
      <c r="DS236" s="1013"/>
      <c r="DT236" s="1225">
        <f>'Lead &amp; ANALYSIS'!G4226/10</f>
        <v>0.21600000000000003</v>
      </c>
      <c r="DU236" s="1214">
        <f>ROUND(C236*DT236,2)</f>
        <v>0</v>
      </c>
      <c r="DV236" s="1242"/>
      <c r="DW236" s="1232"/>
      <c r="DX236" s="1222"/>
      <c r="DY236" s="847"/>
      <c r="DZ236" s="847"/>
      <c r="EA236" s="847"/>
      <c r="EB236" s="847"/>
      <c r="EC236" s="847"/>
      <c r="ED236" s="847"/>
      <c r="EE236" s="847"/>
      <c r="EF236" s="847"/>
      <c r="EG236" s="1212"/>
      <c r="EH236" s="847"/>
      <c r="EI236" s="1212"/>
    </row>
    <row r="237" spans="1:139" s="733" customFormat="1" ht="13.5">
      <c r="A237" s="1009"/>
      <c r="B237" s="1212" t="s">
        <v>2067</v>
      </c>
      <c r="C237" s="1213">
        <v>0</v>
      </c>
      <c r="D237" s="1013" t="s">
        <v>92</v>
      </c>
      <c r="E237" s="847"/>
      <c r="F237" s="1013"/>
      <c r="G237" s="1225">
        <f>G236</f>
        <v>2.0999999999999998E-2</v>
      </c>
      <c r="H237" s="1013">
        <f>ROUND(C237*G237,2)</f>
        <v>0</v>
      </c>
      <c r="I237" s="847"/>
      <c r="J237" s="1013"/>
      <c r="K237" s="847">
        <f>K236</f>
        <v>0.10740000000000001</v>
      </c>
      <c r="L237" s="1013">
        <f>ROUND(C237*K237,2)</f>
        <v>0</v>
      </c>
      <c r="M237" s="847"/>
      <c r="N237" s="1013"/>
      <c r="O237" s="847"/>
      <c r="P237" s="1013"/>
      <c r="Q237" s="847"/>
      <c r="R237" s="847"/>
      <c r="S237" s="847"/>
      <c r="T237" s="847"/>
      <c r="U237" s="847"/>
      <c r="V237" s="847"/>
      <c r="W237" s="847"/>
      <c r="X237" s="847"/>
      <c r="Y237" s="847"/>
      <c r="Z237" s="847"/>
      <c r="AA237" s="847"/>
      <c r="AB237" s="847"/>
      <c r="AC237" s="847"/>
      <c r="AD237" s="847"/>
      <c r="AE237" s="847"/>
      <c r="AF237" s="847"/>
      <c r="AG237" s="847"/>
      <c r="AH237" s="847"/>
      <c r="AI237" s="847"/>
      <c r="AJ237" s="847"/>
      <c r="AK237" s="847"/>
      <c r="AL237" s="847"/>
      <c r="AM237" s="847"/>
      <c r="AN237" s="847"/>
      <c r="AO237" s="847"/>
      <c r="AP237" s="847"/>
      <c r="AQ237" s="847"/>
      <c r="AR237" s="847"/>
      <c r="AS237" s="847"/>
      <c r="AT237" s="847"/>
      <c r="AU237" s="847">
        <f>AU236</f>
        <v>7.6E-3</v>
      </c>
      <c r="AV237" s="847">
        <f>ROUND(C237*AU237,2)</f>
        <v>0</v>
      </c>
      <c r="AW237" s="847"/>
      <c r="AX237" s="847"/>
      <c r="AY237" s="847"/>
      <c r="AZ237" s="847"/>
      <c r="BA237" s="847"/>
      <c r="BB237" s="847"/>
      <c r="BC237" s="847"/>
      <c r="BD237" s="847"/>
      <c r="BE237" s="847"/>
      <c r="BF237" s="847"/>
      <c r="BG237" s="847"/>
      <c r="BH237" s="847"/>
      <c r="BI237" s="847"/>
      <c r="BJ237" s="847"/>
      <c r="BK237" s="847"/>
      <c r="BL237" s="847"/>
      <c r="BM237" s="847"/>
      <c r="BN237" s="847"/>
      <c r="BO237" s="847"/>
      <c r="BP237" s="847"/>
      <c r="BQ237" s="847"/>
      <c r="BR237" s="847"/>
      <c r="BS237" s="847"/>
      <c r="BT237" s="847"/>
      <c r="BU237" s="847"/>
      <c r="BV237" s="847"/>
      <c r="BW237" s="847"/>
      <c r="BX237" s="847"/>
      <c r="BY237" s="847"/>
      <c r="BZ237" s="847"/>
      <c r="CA237" s="847"/>
      <c r="CB237" s="847"/>
      <c r="CC237" s="847"/>
      <c r="CD237" s="847"/>
      <c r="CE237" s="847"/>
      <c r="CF237" s="847"/>
      <c r="CG237" s="847"/>
      <c r="CH237" s="847"/>
      <c r="CI237" s="847"/>
      <c r="CJ237" s="847"/>
      <c r="CK237" s="847"/>
      <c r="CL237" s="847"/>
      <c r="CM237" s="847"/>
      <c r="CN237" s="847"/>
      <c r="CO237" s="847"/>
      <c r="CP237" s="847"/>
      <c r="CQ237" s="847"/>
      <c r="CR237" s="847"/>
      <c r="CS237" s="1013">
        <f>CS236</f>
        <v>1</v>
      </c>
      <c r="CT237" s="847"/>
      <c r="CU237" s="847">
        <f>ROUND(C237*CS237,2)</f>
        <v>0</v>
      </c>
      <c r="CV237" s="847"/>
      <c r="CW237" s="847"/>
      <c r="CX237" s="847"/>
      <c r="CY237" s="847"/>
      <c r="CZ237" s="847"/>
      <c r="DA237" s="847"/>
      <c r="DB237" s="847"/>
      <c r="DC237" s="847"/>
      <c r="DD237" s="847"/>
      <c r="DE237" s="847"/>
      <c r="DF237" s="847"/>
      <c r="DG237" s="847"/>
      <c r="DH237" s="847"/>
      <c r="DI237" s="847"/>
      <c r="DJ237" s="847"/>
      <c r="DK237" s="847"/>
      <c r="DL237" s="847"/>
      <c r="DM237" s="1212"/>
      <c r="DN237" s="1222">
        <f>DN236+DN236*5%</f>
        <v>0.22680000000000003</v>
      </c>
      <c r="DO237" s="1013">
        <f>ROUND(C237*DN237,2)</f>
        <v>0</v>
      </c>
      <c r="DP237" s="847"/>
      <c r="DQ237" s="1013"/>
      <c r="DR237" s="1225"/>
      <c r="DS237" s="1013"/>
      <c r="DT237" s="847">
        <f>DT236+DT236*5%</f>
        <v>0.22680000000000003</v>
      </c>
      <c r="DU237" s="1214">
        <f>ROUND(C237*DT237,2)</f>
        <v>0</v>
      </c>
      <c r="DV237" s="1242"/>
      <c r="DW237" s="1232"/>
      <c r="DX237" s="1222"/>
      <c r="DY237" s="847"/>
      <c r="DZ237" s="847"/>
      <c r="EA237" s="847"/>
      <c r="EB237" s="847"/>
      <c r="EC237" s="847"/>
      <c r="ED237" s="847"/>
      <c r="EE237" s="847"/>
      <c r="EF237" s="847"/>
      <c r="EG237" s="1212"/>
      <c r="EH237" s="847"/>
      <c r="EI237" s="1212"/>
    </row>
    <row r="238" spans="1:139" s="733" customFormat="1" ht="13.5">
      <c r="A238" s="1009" t="s">
        <v>244</v>
      </c>
      <c r="B238" s="1212" t="s">
        <v>231</v>
      </c>
      <c r="C238" s="1213">
        <v>0</v>
      </c>
      <c r="D238" s="1013" t="s">
        <v>92</v>
      </c>
      <c r="E238" s="847"/>
      <c r="F238" s="1013"/>
      <c r="G238" s="1225"/>
      <c r="H238" s="1013"/>
      <c r="I238" s="847"/>
      <c r="J238" s="1013"/>
      <c r="K238" s="847"/>
      <c r="L238" s="1013"/>
      <c r="M238" s="847"/>
      <c r="N238" s="1013"/>
      <c r="O238" s="847"/>
      <c r="P238" s="1013"/>
      <c r="Q238" s="847"/>
      <c r="R238" s="847"/>
      <c r="S238" s="847"/>
      <c r="T238" s="847"/>
      <c r="U238" s="847"/>
      <c r="V238" s="847"/>
      <c r="W238" s="847"/>
      <c r="X238" s="847"/>
      <c r="Y238" s="847"/>
      <c r="Z238" s="847"/>
      <c r="AA238" s="847"/>
      <c r="AB238" s="847"/>
      <c r="AC238" s="847"/>
      <c r="AD238" s="847"/>
      <c r="AE238" s="847"/>
      <c r="AF238" s="847"/>
      <c r="AG238" s="847"/>
      <c r="AH238" s="847"/>
      <c r="AI238" s="847"/>
      <c r="AJ238" s="847"/>
      <c r="AK238" s="847"/>
      <c r="AL238" s="847"/>
      <c r="AM238" s="847"/>
      <c r="AN238" s="847"/>
      <c r="AO238" s="847"/>
      <c r="AP238" s="847"/>
      <c r="AQ238" s="847"/>
      <c r="AR238" s="847"/>
      <c r="AS238" s="847"/>
      <c r="AT238" s="847"/>
      <c r="AU238" s="847"/>
      <c r="AV238" s="847"/>
      <c r="AW238" s="847"/>
      <c r="AX238" s="847"/>
      <c r="AY238" s="847"/>
      <c r="AZ238" s="847"/>
      <c r="BA238" s="847"/>
      <c r="BB238" s="847"/>
      <c r="BC238" s="847"/>
      <c r="BD238" s="847"/>
      <c r="BE238" s="847"/>
      <c r="BF238" s="847"/>
      <c r="BG238" s="847"/>
      <c r="BH238" s="847"/>
      <c r="BI238" s="847"/>
      <c r="BJ238" s="847"/>
      <c r="BK238" s="847"/>
      <c r="BL238" s="847"/>
      <c r="BM238" s="847"/>
      <c r="BN238" s="847"/>
      <c r="BO238" s="847"/>
      <c r="BP238" s="847"/>
      <c r="BQ238" s="847"/>
      <c r="BR238" s="847"/>
      <c r="BS238" s="847"/>
      <c r="BT238" s="847"/>
      <c r="BU238" s="847"/>
      <c r="BV238" s="847"/>
      <c r="BW238" s="847"/>
      <c r="BX238" s="847"/>
      <c r="BY238" s="847"/>
      <c r="BZ238" s="847"/>
      <c r="CA238" s="847"/>
      <c r="CB238" s="847"/>
      <c r="CC238" s="847"/>
      <c r="CD238" s="847"/>
      <c r="CE238" s="847"/>
      <c r="CF238" s="847"/>
      <c r="CG238" s="847"/>
      <c r="CH238" s="847"/>
      <c r="CI238" s="847"/>
      <c r="CJ238" s="847"/>
      <c r="CK238" s="847"/>
      <c r="CL238" s="847"/>
      <c r="CM238" s="847"/>
      <c r="CN238" s="847"/>
      <c r="CO238" s="847"/>
      <c r="CP238" s="847"/>
      <c r="CQ238" s="847"/>
      <c r="CR238" s="847"/>
      <c r="CS238" s="847"/>
      <c r="CT238" s="847"/>
      <c r="CU238" s="847"/>
      <c r="CV238" s="847"/>
      <c r="CW238" s="847"/>
      <c r="CX238" s="847"/>
      <c r="CY238" s="847"/>
      <c r="CZ238" s="847"/>
      <c r="DA238" s="847"/>
      <c r="DB238" s="847"/>
      <c r="DC238" s="847"/>
      <c r="DD238" s="847"/>
      <c r="DE238" s="847"/>
      <c r="DF238" s="847"/>
      <c r="DG238" s="847"/>
      <c r="DH238" s="847"/>
      <c r="DI238" s="847"/>
      <c r="DJ238" s="847"/>
      <c r="DK238" s="847"/>
      <c r="DL238" s="847"/>
      <c r="DM238" s="1212"/>
      <c r="DN238" s="1222"/>
      <c r="DO238" s="1013"/>
      <c r="DP238" s="847"/>
      <c r="DQ238" s="1013"/>
      <c r="DR238" s="1225"/>
      <c r="DS238" s="1013"/>
      <c r="DT238" s="1225"/>
      <c r="DU238" s="1214"/>
      <c r="DV238" s="1242"/>
      <c r="DW238" s="1232"/>
      <c r="DX238" s="1222"/>
      <c r="DY238" s="847"/>
      <c r="DZ238" s="847"/>
      <c r="EA238" s="847"/>
      <c r="EB238" s="847"/>
      <c r="EC238" s="847"/>
      <c r="ED238" s="847"/>
      <c r="EE238" s="847"/>
      <c r="EF238" s="847"/>
      <c r="EG238" s="1212"/>
      <c r="EH238" s="847"/>
      <c r="EI238" s="1212"/>
    </row>
    <row r="239" spans="1:139" s="733" customFormat="1" ht="13.5">
      <c r="A239" s="1009"/>
      <c r="B239" s="1212" t="s">
        <v>2066</v>
      </c>
      <c r="C239" s="1213">
        <v>0</v>
      </c>
      <c r="D239" s="1013" t="s">
        <v>92</v>
      </c>
      <c r="E239" s="847"/>
      <c r="F239" s="1013"/>
      <c r="G239" s="1225">
        <f>G233</f>
        <v>2.0999999999999998E-2</v>
      </c>
      <c r="H239" s="1013">
        <f t="shared" si="9"/>
        <v>0</v>
      </c>
      <c r="I239" s="847"/>
      <c r="J239" s="1013"/>
      <c r="K239" s="847">
        <f>K233</f>
        <v>0.10740000000000001</v>
      </c>
      <c r="L239" s="1013">
        <f t="shared" si="10"/>
        <v>0</v>
      </c>
      <c r="M239" s="847"/>
      <c r="N239" s="1013"/>
      <c r="O239" s="847"/>
      <c r="P239" s="1013"/>
      <c r="Q239" s="847"/>
      <c r="R239" s="847"/>
      <c r="S239" s="847"/>
      <c r="T239" s="847"/>
      <c r="U239" s="847"/>
      <c r="V239" s="847"/>
      <c r="W239" s="847"/>
      <c r="X239" s="847"/>
      <c r="Y239" s="847"/>
      <c r="Z239" s="847"/>
      <c r="AA239" s="847"/>
      <c r="AB239" s="847"/>
      <c r="AC239" s="847"/>
      <c r="AD239" s="847"/>
      <c r="AE239" s="847"/>
      <c r="AF239" s="847"/>
      <c r="AG239" s="847"/>
      <c r="AH239" s="847"/>
      <c r="AI239" s="847"/>
      <c r="AJ239" s="847"/>
      <c r="AK239" s="847"/>
      <c r="AL239" s="847"/>
      <c r="AM239" s="847"/>
      <c r="AN239" s="847"/>
      <c r="AO239" s="847"/>
      <c r="AP239" s="847"/>
      <c r="AQ239" s="847"/>
      <c r="AR239" s="847"/>
      <c r="AS239" s="847"/>
      <c r="AT239" s="847"/>
      <c r="AU239" s="847">
        <f>AU233</f>
        <v>7.6E-3</v>
      </c>
      <c r="AV239" s="847">
        <f>ROUND(C239*AU239,2)</f>
        <v>0</v>
      </c>
      <c r="AW239" s="847"/>
      <c r="AX239" s="847"/>
      <c r="AY239" s="847"/>
      <c r="AZ239" s="847"/>
      <c r="BA239" s="847"/>
      <c r="BB239" s="847"/>
      <c r="BC239" s="847"/>
      <c r="BD239" s="847"/>
      <c r="BE239" s="847"/>
      <c r="BF239" s="847"/>
      <c r="BG239" s="847"/>
      <c r="BH239" s="847"/>
      <c r="BI239" s="847"/>
      <c r="BJ239" s="847"/>
      <c r="BK239" s="847"/>
      <c r="BL239" s="847"/>
      <c r="BM239" s="847"/>
      <c r="BN239" s="847"/>
      <c r="BO239" s="847"/>
      <c r="BP239" s="847"/>
      <c r="BQ239" s="847"/>
      <c r="BR239" s="847"/>
      <c r="BS239" s="847"/>
      <c r="BT239" s="847"/>
      <c r="BU239" s="847"/>
      <c r="BV239" s="847"/>
      <c r="BW239" s="847"/>
      <c r="BX239" s="847"/>
      <c r="BY239" s="847"/>
      <c r="BZ239" s="847"/>
      <c r="CA239" s="847"/>
      <c r="CB239" s="847"/>
      <c r="CC239" s="847"/>
      <c r="CD239" s="847"/>
      <c r="CE239" s="847"/>
      <c r="CF239" s="847"/>
      <c r="CG239" s="847"/>
      <c r="CH239" s="847"/>
      <c r="CI239" s="847"/>
      <c r="CJ239" s="847"/>
      <c r="CK239" s="847"/>
      <c r="CL239" s="847"/>
      <c r="CM239" s="847"/>
      <c r="CN239" s="847"/>
      <c r="CO239" s="847"/>
      <c r="CP239" s="847"/>
      <c r="CQ239" s="847"/>
      <c r="CR239" s="847"/>
      <c r="CS239" s="1013">
        <f>CS233</f>
        <v>1</v>
      </c>
      <c r="CT239" s="847"/>
      <c r="CU239" s="847"/>
      <c r="CV239" s="847">
        <f>ROUND(C239*CS239,2)</f>
        <v>0</v>
      </c>
      <c r="CW239" s="847"/>
      <c r="CX239" s="847"/>
      <c r="CY239" s="847"/>
      <c r="CZ239" s="847"/>
      <c r="DA239" s="847"/>
      <c r="DB239" s="847"/>
      <c r="DC239" s="847"/>
      <c r="DD239" s="847"/>
      <c r="DE239" s="847"/>
      <c r="DF239" s="847"/>
      <c r="DG239" s="847"/>
      <c r="DH239" s="847"/>
      <c r="DI239" s="847"/>
      <c r="DJ239" s="847"/>
      <c r="DK239" s="847"/>
      <c r="DL239" s="847"/>
      <c r="DM239" s="1212"/>
      <c r="DN239" s="1222">
        <f>'Lead &amp; ANALYSIS'!G4227/10</f>
        <v>0.21600000000000003</v>
      </c>
      <c r="DO239" s="1013">
        <f>ROUND(C239*DN239,2)</f>
        <v>0</v>
      </c>
      <c r="DP239" s="847"/>
      <c r="DQ239" s="1013"/>
      <c r="DR239" s="1225"/>
      <c r="DS239" s="1013"/>
      <c r="DT239" s="1225">
        <f>'Lead &amp; ANALYSIS'!G4226/10</f>
        <v>0.21600000000000003</v>
      </c>
      <c r="DU239" s="1214">
        <f>ROUND(C239*DT239,2)</f>
        <v>0</v>
      </c>
      <c r="DV239" s="1242"/>
      <c r="DW239" s="1232"/>
      <c r="DX239" s="1222"/>
      <c r="DY239" s="847"/>
      <c r="DZ239" s="847"/>
      <c r="EA239" s="847"/>
      <c r="EB239" s="847"/>
      <c r="EC239" s="847"/>
      <c r="ED239" s="847"/>
      <c r="EE239" s="847"/>
      <c r="EF239" s="847"/>
      <c r="EG239" s="1212"/>
      <c r="EH239" s="847"/>
      <c r="EI239" s="1212"/>
    </row>
    <row r="240" spans="1:139" s="733" customFormat="1" ht="13.5">
      <c r="A240" s="1009"/>
      <c r="B240" s="1212" t="s">
        <v>2067</v>
      </c>
      <c r="C240" s="1213">
        <v>0</v>
      </c>
      <c r="D240" s="1013" t="s">
        <v>92</v>
      </c>
      <c r="E240" s="847"/>
      <c r="F240" s="1013"/>
      <c r="G240" s="1225">
        <f>G239</f>
        <v>2.0999999999999998E-2</v>
      </c>
      <c r="H240" s="1013">
        <f t="shared" si="9"/>
        <v>0</v>
      </c>
      <c r="I240" s="847"/>
      <c r="J240" s="1013"/>
      <c r="K240" s="847">
        <f>K239</f>
        <v>0.10740000000000001</v>
      </c>
      <c r="L240" s="1013">
        <f t="shared" si="10"/>
        <v>0</v>
      </c>
      <c r="M240" s="847"/>
      <c r="N240" s="1013"/>
      <c r="O240" s="847"/>
      <c r="P240" s="1013"/>
      <c r="Q240" s="847"/>
      <c r="R240" s="847"/>
      <c r="S240" s="847"/>
      <c r="T240" s="847"/>
      <c r="U240" s="847"/>
      <c r="V240" s="847"/>
      <c r="W240" s="847"/>
      <c r="X240" s="847"/>
      <c r="Y240" s="847"/>
      <c r="Z240" s="847"/>
      <c r="AA240" s="847"/>
      <c r="AB240" s="847"/>
      <c r="AC240" s="847"/>
      <c r="AD240" s="847"/>
      <c r="AE240" s="847"/>
      <c r="AF240" s="847"/>
      <c r="AG240" s="847"/>
      <c r="AH240" s="847"/>
      <c r="AI240" s="847"/>
      <c r="AJ240" s="847"/>
      <c r="AK240" s="847"/>
      <c r="AL240" s="847"/>
      <c r="AM240" s="847"/>
      <c r="AN240" s="847"/>
      <c r="AO240" s="847"/>
      <c r="AP240" s="847"/>
      <c r="AQ240" s="847"/>
      <c r="AR240" s="847"/>
      <c r="AS240" s="847"/>
      <c r="AT240" s="847"/>
      <c r="AU240" s="847">
        <f>AU239</f>
        <v>7.6E-3</v>
      </c>
      <c r="AV240" s="847">
        <f>ROUND(C240*AU240,2)</f>
        <v>0</v>
      </c>
      <c r="AW240" s="847"/>
      <c r="AX240" s="847"/>
      <c r="AY240" s="847"/>
      <c r="AZ240" s="847"/>
      <c r="BA240" s="847"/>
      <c r="BB240" s="847"/>
      <c r="BC240" s="847"/>
      <c r="BD240" s="847"/>
      <c r="BE240" s="847"/>
      <c r="BF240" s="847"/>
      <c r="BG240" s="847"/>
      <c r="BH240" s="847"/>
      <c r="BI240" s="847"/>
      <c r="BJ240" s="847"/>
      <c r="BK240" s="847"/>
      <c r="BL240" s="847"/>
      <c r="BM240" s="847"/>
      <c r="BN240" s="847"/>
      <c r="BO240" s="847"/>
      <c r="BP240" s="847"/>
      <c r="BQ240" s="847"/>
      <c r="BR240" s="847"/>
      <c r="BS240" s="847"/>
      <c r="BT240" s="847"/>
      <c r="BU240" s="847"/>
      <c r="BV240" s="847"/>
      <c r="BW240" s="847"/>
      <c r="BX240" s="847"/>
      <c r="BY240" s="847"/>
      <c r="BZ240" s="847"/>
      <c r="CA240" s="847"/>
      <c r="CB240" s="847"/>
      <c r="CC240" s="847"/>
      <c r="CD240" s="847"/>
      <c r="CE240" s="847"/>
      <c r="CF240" s="847"/>
      <c r="CG240" s="847"/>
      <c r="CH240" s="847"/>
      <c r="CI240" s="847"/>
      <c r="CJ240" s="847"/>
      <c r="CK240" s="847"/>
      <c r="CL240" s="847"/>
      <c r="CM240" s="847"/>
      <c r="CN240" s="847"/>
      <c r="CO240" s="847"/>
      <c r="CP240" s="847"/>
      <c r="CQ240" s="847"/>
      <c r="CR240" s="847"/>
      <c r="CS240" s="1013">
        <f>CS239</f>
        <v>1</v>
      </c>
      <c r="CT240" s="847"/>
      <c r="CU240" s="847"/>
      <c r="CV240" s="847">
        <f>ROUND(C240*CS240,2)</f>
        <v>0</v>
      </c>
      <c r="CW240" s="847"/>
      <c r="CX240" s="847"/>
      <c r="CY240" s="847"/>
      <c r="CZ240" s="847"/>
      <c r="DA240" s="847"/>
      <c r="DB240" s="847"/>
      <c r="DC240" s="847"/>
      <c r="DD240" s="847"/>
      <c r="DE240" s="847"/>
      <c r="DF240" s="847"/>
      <c r="DG240" s="847"/>
      <c r="DH240" s="847"/>
      <c r="DI240" s="847"/>
      <c r="DJ240" s="847"/>
      <c r="DK240" s="847"/>
      <c r="DL240" s="847"/>
      <c r="DM240" s="1212"/>
      <c r="DN240" s="1222">
        <f>DN239+DN239*5%</f>
        <v>0.22680000000000003</v>
      </c>
      <c r="DO240" s="1013">
        <f>ROUND(C240*DN240,2)</f>
        <v>0</v>
      </c>
      <c r="DP240" s="847"/>
      <c r="DQ240" s="1013"/>
      <c r="DR240" s="1225"/>
      <c r="DS240" s="1013"/>
      <c r="DT240" s="847">
        <f>DT239+DT239*5%</f>
        <v>0.22680000000000003</v>
      </c>
      <c r="DU240" s="1214">
        <f>ROUND(C240*DT240,2)</f>
        <v>0</v>
      </c>
      <c r="DV240" s="1242"/>
      <c r="DW240" s="1232"/>
      <c r="DX240" s="1222"/>
      <c r="DY240" s="847"/>
      <c r="DZ240" s="847"/>
      <c r="EA240" s="847"/>
      <c r="EB240" s="847"/>
      <c r="EC240" s="847"/>
      <c r="ED240" s="847"/>
      <c r="EE240" s="847"/>
      <c r="EF240" s="847"/>
      <c r="EG240" s="1212"/>
      <c r="EH240" s="847"/>
      <c r="EI240" s="1212"/>
    </row>
    <row r="241" spans="1:139" s="733" customFormat="1" ht="13.5">
      <c r="A241" s="1009" t="s">
        <v>291</v>
      </c>
      <c r="B241" s="1212" t="s">
        <v>222</v>
      </c>
      <c r="C241" s="1213">
        <v>0</v>
      </c>
      <c r="D241" s="1013" t="s">
        <v>92</v>
      </c>
      <c r="E241" s="847"/>
      <c r="F241" s="1013"/>
      <c r="G241" s="1225"/>
      <c r="H241" s="1013"/>
      <c r="I241" s="847"/>
      <c r="J241" s="1013"/>
      <c r="K241" s="847"/>
      <c r="L241" s="1013"/>
      <c r="M241" s="847"/>
      <c r="N241" s="1013"/>
      <c r="O241" s="847"/>
      <c r="P241" s="1013"/>
      <c r="Q241" s="847"/>
      <c r="R241" s="847"/>
      <c r="S241" s="847"/>
      <c r="T241" s="847"/>
      <c r="U241" s="847"/>
      <c r="V241" s="847"/>
      <c r="W241" s="847"/>
      <c r="X241" s="847"/>
      <c r="Y241" s="847"/>
      <c r="Z241" s="847"/>
      <c r="AA241" s="847"/>
      <c r="AB241" s="847"/>
      <c r="AC241" s="847"/>
      <c r="AD241" s="847"/>
      <c r="AE241" s="847"/>
      <c r="AF241" s="847"/>
      <c r="AG241" s="847"/>
      <c r="AH241" s="847"/>
      <c r="AI241" s="847"/>
      <c r="AJ241" s="847"/>
      <c r="AK241" s="847"/>
      <c r="AL241" s="847"/>
      <c r="AM241" s="847"/>
      <c r="AN241" s="847"/>
      <c r="AO241" s="847"/>
      <c r="AP241" s="847"/>
      <c r="AQ241" s="847"/>
      <c r="AR241" s="847"/>
      <c r="AS241" s="847"/>
      <c r="AT241" s="847"/>
      <c r="AU241" s="847"/>
      <c r="AV241" s="847"/>
      <c r="AW241" s="847"/>
      <c r="AX241" s="847"/>
      <c r="AY241" s="847"/>
      <c r="AZ241" s="847"/>
      <c r="BA241" s="847"/>
      <c r="BB241" s="847"/>
      <c r="BC241" s="847"/>
      <c r="BD241" s="847"/>
      <c r="BE241" s="847"/>
      <c r="BF241" s="847"/>
      <c r="BG241" s="847"/>
      <c r="BH241" s="847"/>
      <c r="BI241" s="847"/>
      <c r="BJ241" s="847"/>
      <c r="BK241" s="847"/>
      <c r="BL241" s="847"/>
      <c r="BM241" s="847"/>
      <c r="BN241" s="847"/>
      <c r="BO241" s="847"/>
      <c r="BP241" s="847"/>
      <c r="BQ241" s="847"/>
      <c r="BR241" s="847"/>
      <c r="BS241" s="847"/>
      <c r="BT241" s="847"/>
      <c r="BU241" s="847"/>
      <c r="BV241" s="847"/>
      <c r="BW241" s="847"/>
      <c r="BX241" s="847"/>
      <c r="BY241" s="847"/>
      <c r="BZ241" s="847"/>
      <c r="CA241" s="847"/>
      <c r="CB241" s="847"/>
      <c r="CC241" s="847"/>
      <c r="CD241" s="847"/>
      <c r="CE241" s="847"/>
      <c r="CF241" s="847"/>
      <c r="CG241" s="847"/>
      <c r="CH241" s="847"/>
      <c r="CI241" s="847"/>
      <c r="CJ241" s="847"/>
      <c r="CK241" s="847"/>
      <c r="CL241" s="847"/>
      <c r="CM241" s="847"/>
      <c r="CN241" s="847"/>
      <c r="CO241" s="847"/>
      <c r="CP241" s="847"/>
      <c r="CQ241" s="847"/>
      <c r="CR241" s="847"/>
      <c r="CS241" s="847"/>
      <c r="CT241" s="847"/>
      <c r="CU241" s="847"/>
      <c r="CV241" s="847"/>
      <c r="CW241" s="847"/>
      <c r="CX241" s="847"/>
      <c r="CY241" s="847"/>
      <c r="CZ241" s="847"/>
      <c r="DA241" s="847"/>
      <c r="DB241" s="847"/>
      <c r="DC241" s="847"/>
      <c r="DD241" s="847"/>
      <c r="DE241" s="847"/>
      <c r="DF241" s="847"/>
      <c r="DG241" s="847"/>
      <c r="DH241" s="847"/>
      <c r="DI241" s="847"/>
      <c r="DJ241" s="847"/>
      <c r="DK241" s="847"/>
      <c r="DL241" s="847"/>
      <c r="DM241" s="1212"/>
      <c r="DN241" s="1222"/>
      <c r="DO241" s="1013"/>
      <c r="DP241" s="847"/>
      <c r="DQ241" s="1013"/>
      <c r="DR241" s="1225"/>
      <c r="DS241" s="1013"/>
      <c r="DT241" s="1225"/>
      <c r="DU241" s="1214"/>
      <c r="DV241" s="1242"/>
      <c r="DW241" s="1232"/>
      <c r="DX241" s="1222"/>
      <c r="DY241" s="847"/>
      <c r="DZ241" s="847"/>
      <c r="EA241" s="847"/>
      <c r="EB241" s="847"/>
      <c r="EC241" s="847"/>
      <c r="ED241" s="847"/>
      <c r="EE241" s="847"/>
      <c r="EF241" s="847"/>
      <c r="EG241" s="1212"/>
      <c r="EH241" s="847"/>
      <c r="EI241" s="1212"/>
    </row>
    <row r="242" spans="1:139" s="733" customFormat="1" ht="13.5">
      <c r="A242" s="1009"/>
      <c r="B242" s="1212" t="s">
        <v>2066</v>
      </c>
      <c r="C242" s="1213">
        <v>0</v>
      </c>
      <c r="D242" s="1013" t="s">
        <v>92</v>
      </c>
      <c r="E242" s="847"/>
      <c r="F242" s="1013"/>
      <c r="G242" s="1225">
        <f>G239</f>
        <v>2.0999999999999998E-2</v>
      </c>
      <c r="H242" s="1013">
        <f t="shared" si="9"/>
        <v>0</v>
      </c>
      <c r="I242" s="847"/>
      <c r="J242" s="1013"/>
      <c r="K242" s="847">
        <f>K239</f>
        <v>0.10740000000000001</v>
      </c>
      <c r="L242" s="1013">
        <f t="shared" si="10"/>
        <v>0</v>
      </c>
      <c r="M242" s="847"/>
      <c r="N242" s="1013"/>
      <c r="O242" s="847"/>
      <c r="P242" s="1013"/>
      <c r="Q242" s="847"/>
      <c r="R242" s="847"/>
      <c r="S242" s="847"/>
      <c r="T242" s="847"/>
      <c r="U242" s="847"/>
      <c r="V242" s="847"/>
      <c r="W242" s="847"/>
      <c r="X242" s="847"/>
      <c r="Y242" s="847"/>
      <c r="Z242" s="847"/>
      <c r="AA242" s="847"/>
      <c r="AB242" s="847"/>
      <c r="AC242" s="847"/>
      <c r="AD242" s="847"/>
      <c r="AE242" s="847"/>
      <c r="AF242" s="847"/>
      <c r="AG242" s="847"/>
      <c r="AH242" s="847"/>
      <c r="AI242" s="847"/>
      <c r="AJ242" s="847"/>
      <c r="AK242" s="847"/>
      <c r="AL242" s="847"/>
      <c r="AM242" s="847"/>
      <c r="AN242" s="847"/>
      <c r="AO242" s="847"/>
      <c r="AP242" s="847"/>
      <c r="AQ242" s="847"/>
      <c r="AR242" s="847"/>
      <c r="AS242" s="847"/>
      <c r="AT242" s="847"/>
      <c r="AU242" s="847">
        <f>AU239</f>
        <v>7.6E-3</v>
      </c>
      <c r="AV242" s="847">
        <f>ROUND(C242*AU242,2)</f>
        <v>0</v>
      </c>
      <c r="AW242" s="847"/>
      <c r="AX242" s="847"/>
      <c r="AY242" s="847"/>
      <c r="AZ242" s="847"/>
      <c r="BA242" s="847"/>
      <c r="BB242" s="847"/>
      <c r="BC242" s="847"/>
      <c r="BD242" s="847"/>
      <c r="BE242" s="847"/>
      <c r="BF242" s="847"/>
      <c r="BG242" s="847"/>
      <c r="BH242" s="847"/>
      <c r="BI242" s="847"/>
      <c r="BJ242" s="847"/>
      <c r="BK242" s="847"/>
      <c r="BL242" s="847"/>
      <c r="BM242" s="847"/>
      <c r="BN242" s="847"/>
      <c r="BO242" s="847"/>
      <c r="BP242" s="847"/>
      <c r="BQ242" s="847"/>
      <c r="BR242" s="847"/>
      <c r="BS242" s="847"/>
      <c r="BT242" s="847"/>
      <c r="BU242" s="847"/>
      <c r="BV242" s="847"/>
      <c r="BW242" s="847"/>
      <c r="BX242" s="847"/>
      <c r="BY242" s="847"/>
      <c r="BZ242" s="847"/>
      <c r="CA242" s="847"/>
      <c r="CB242" s="847"/>
      <c r="CC242" s="847"/>
      <c r="CD242" s="847"/>
      <c r="CE242" s="847"/>
      <c r="CF242" s="847"/>
      <c r="CG242" s="847"/>
      <c r="CH242" s="847"/>
      <c r="CI242" s="847"/>
      <c r="CJ242" s="847"/>
      <c r="CK242" s="847"/>
      <c r="CL242" s="847"/>
      <c r="CM242" s="847"/>
      <c r="CN242" s="847"/>
      <c r="CO242" s="847"/>
      <c r="CP242" s="847"/>
      <c r="CQ242" s="847"/>
      <c r="CR242" s="847"/>
      <c r="CS242" s="1013">
        <f>CS239</f>
        <v>1</v>
      </c>
      <c r="CT242" s="847"/>
      <c r="CU242" s="847"/>
      <c r="CV242" s="847"/>
      <c r="CW242" s="847">
        <f>ROUND(C242*CS242,2)</f>
        <v>0</v>
      </c>
      <c r="CX242" s="847"/>
      <c r="CY242" s="847"/>
      <c r="CZ242" s="847"/>
      <c r="DA242" s="847"/>
      <c r="DB242" s="847"/>
      <c r="DC242" s="847"/>
      <c r="DD242" s="847"/>
      <c r="DE242" s="847"/>
      <c r="DF242" s="847"/>
      <c r="DG242" s="847"/>
      <c r="DH242" s="847"/>
      <c r="DI242" s="847"/>
      <c r="DJ242" s="847"/>
      <c r="DK242" s="847"/>
      <c r="DL242" s="847"/>
      <c r="DM242" s="1212"/>
      <c r="DN242" s="1222">
        <f>'Lead &amp; ANALYSIS'!G4227/10</f>
        <v>0.21600000000000003</v>
      </c>
      <c r="DO242" s="1013">
        <f>ROUND(C242*DN242,2)</f>
        <v>0</v>
      </c>
      <c r="DP242" s="847"/>
      <c r="DQ242" s="1013"/>
      <c r="DR242" s="1225"/>
      <c r="DS242" s="1013"/>
      <c r="DT242" s="1225">
        <f>'Lead &amp; ANALYSIS'!G4226/10</f>
        <v>0.21600000000000003</v>
      </c>
      <c r="DU242" s="1214">
        <f>ROUND(C242*DT242,2)</f>
        <v>0</v>
      </c>
      <c r="DV242" s="1242"/>
      <c r="DW242" s="1232"/>
      <c r="DX242" s="1222"/>
      <c r="DY242" s="847"/>
      <c r="DZ242" s="847"/>
      <c r="EA242" s="847"/>
      <c r="EB242" s="847"/>
      <c r="EC242" s="847"/>
      <c r="ED242" s="847"/>
      <c r="EE242" s="847"/>
      <c r="EF242" s="847"/>
      <c r="EG242" s="1212"/>
      <c r="EH242" s="847"/>
      <c r="EI242" s="1212"/>
    </row>
    <row r="243" spans="1:139" s="733" customFormat="1" ht="13.5">
      <c r="A243" s="1009"/>
      <c r="B243" s="1212" t="s">
        <v>2067</v>
      </c>
      <c r="C243" s="1213">
        <v>0</v>
      </c>
      <c r="D243" s="1013" t="s">
        <v>92</v>
      </c>
      <c r="E243" s="847"/>
      <c r="F243" s="1013"/>
      <c r="G243" s="1225">
        <f>G242</f>
        <v>2.0999999999999998E-2</v>
      </c>
      <c r="H243" s="1013">
        <f t="shared" si="9"/>
        <v>0</v>
      </c>
      <c r="I243" s="847"/>
      <c r="J243" s="1013"/>
      <c r="K243" s="847">
        <f>K242</f>
        <v>0.10740000000000001</v>
      </c>
      <c r="L243" s="1013">
        <f t="shared" si="10"/>
        <v>0</v>
      </c>
      <c r="M243" s="847"/>
      <c r="N243" s="1013"/>
      <c r="O243" s="847"/>
      <c r="P243" s="1013"/>
      <c r="Q243" s="847"/>
      <c r="R243" s="847"/>
      <c r="S243" s="847"/>
      <c r="T243" s="847"/>
      <c r="U243" s="847"/>
      <c r="V243" s="847"/>
      <c r="W243" s="847"/>
      <c r="X243" s="847"/>
      <c r="Y243" s="847"/>
      <c r="Z243" s="847"/>
      <c r="AA243" s="847"/>
      <c r="AB243" s="847"/>
      <c r="AC243" s="847"/>
      <c r="AD243" s="847"/>
      <c r="AE243" s="847"/>
      <c r="AF243" s="847"/>
      <c r="AG243" s="847"/>
      <c r="AH243" s="847"/>
      <c r="AI243" s="847"/>
      <c r="AJ243" s="847"/>
      <c r="AK243" s="847"/>
      <c r="AL243" s="847"/>
      <c r="AM243" s="847"/>
      <c r="AN243" s="847"/>
      <c r="AO243" s="847"/>
      <c r="AP243" s="847"/>
      <c r="AQ243" s="847"/>
      <c r="AR243" s="847"/>
      <c r="AS243" s="847"/>
      <c r="AT243" s="847"/>
      <c r="AU243" s="847">
        <f>AU242</f>
        <v>7.6E-3</v>
      </c>
      <c r="AV243" s="847">
        <f>ROUND(C243*AU243,2)</f>
        <v>0</v>
      </c>
      <c r="AW243" s="847"/>
      <c r="AX243" s="847"/>
      <c r="AY243" s="847"/>
      <c r="AZ243" s="847"/>
      <c r="BA243" s="847"/>
      <c r="BB243" s="847"/>
      <c r="BC243" s="847"/>
      <c r="BD243" s="847"/>
      <c r="BE243" s="847"/>
      <c r="BF243" s="847"/>
      <c r="BG243" s="847"/>
      <c r="BH243" s="847"/>
      <c r="BI243" s="847"/>
      <c r="BJ243" s="847"/>
      <c r="BK243" s="847"/>
      <c r="BL243" s="847"/>
      <c r="BM243" s="847"/>
      <c r="BN243" s="847"/>
      <c r="BO243" s="847"/>
      <c r="BP243" s="847"/>
      <c r="BQ243" s="847"/>
      <c r="BR243" s="847"/>
      <c r="BS243" s="847"/>
      <c r="BT243" s="847"/>
      <c r="BU243" s="847"/>
      <c r="BV243" s="847"/>
      <c r="BW243" s="847"/>
      <c r="BX243" s="847"/>
      <c r="BY243" s="847"/>
      <c r="BZ243" s="847"/>
      <c r="CA243" s="847"/>
      <c r="CB243" s="847"/>
      <c r="CC243" s="847"/>
      <c r="CD243" s="847"/>
      <c r="CE243" s="847"/>
      <c r="CF243" s="847"/>
      <c r="CG243" s="847"/>
      <c r="CH243" s="847"/>
      <c r="CI243" s="847"/>
      <c r="CJ243" s="847"/>
      <c r="CK243" s="847"/>
      <c r="CL243" s="847"/>
      <c r="CM243" s="847"/>
      <c r="CN243" s="847"/>
      <c r="CO243" s="847"/>
      <c r="CP243" s="847"/>
      <c r="CQ243" s="847"/>
      <c r="CR243" s="847"/>
      <c r="CS243" s="1013">
        <f>CS242</f>
        <v>1</v>
      </c>
      <c r="CT243" s="847"/>
      <c r="CU243" s="847"/>
      <c r="CV243" s="847"/>
      <c r="CW243" s="847">
        <f>ROUND(C243*CS243,2)</f>
        <v>0</v>
      </c>
      <c r="CX243" s="847"/>
      <c r="CY243" s="847"/>
      <c r="CZ243" s="847"/>
      <c r="DA243" s="847"/>
      <c r="DB243" s="847"/>
      <c r="DC243" s="847"/>
      <c r="DD243" s="847"/>
      <c r="DE243" s="847"/>
      <c r="DF243" s="847"/>
      <c r="DG243" s="847"/>
      <c r="DH243" s="847"/>
      <c r="DI243" s="847"/>
      <c r="DJ243" s="847"/>
      <c r="DK243" s="847"/>
      <c r="DL243" s="847"/>
      <c r="DM243" s="1212"/>
      <c r="DN243" s="1222">
        <f>DN242+DN242*5%</f>
        <v>0.22680000000000003</v>
      </c>
      <c r="DO243" s="1013">
        <f>ROUND(C243*DN243,2)</f>
        <v>0</v>
      </c>
      <c r="DP243" s="847"/>
      <c r="DQ243" s="1013"/>
      <c r="DR243" s="1225"/>
      <c r="DS243" s="1013"/>
      <c r="DT243" s="847">
        <f>DT242+DT242*5%</f>
        <v>0.22680000000000003</v>
      </c>
      <c r="DU243" s="1214">
        <f>ROUND(C243*DT243,2)</f>
        <v>0</v>
      </c>
      <c r="DV243" s="1242"/>
      <c r="DW243" s="1232"/>
      <c r="DX243" s="1222"/>
      <c r="DY243" s="847"/>
      <c r="DZ243" s="847"/>
      <c r="EA243" s="847"/>
      <c r="EB243" s="847"/>
      <c r="EC243" s="847"/>
      <c r="ED243" s="847"/>
      <c r="EE243" s="847"/>
      <c r="EF243" s="847"/>
      <c r="EG243" s="1212"/>
      <c r="EH243" s="847"/>
      <c r="EI243" s="1212"/>
    </row>
    <row r="244" spans="1:139" s="733" customFormat="1" ht="13.5">
      <c r="A244" s="1009" t="s">
        <v>308</v>
      </c>
      <c r="B244" s="1212" t="s">
        <v>228</v>
      </c>
      <c r="C244" s="1213">
        <v>0</v>
      </c>
      <c r="D244" s="1013" t="s">
        <v>92</v>
      </c>
      <c r="E244" s="847"/>
      <c r="F244" s="1013"/>
      <c r="G244" s="1225"/>
      <c r="H244" s="1013"/>
      <c r="I244" s="847"/>
      <c r="J244" s="1013"/>
      <c r="K244" s="847"/>
      <c r="L244" s="1013"/>
      <c r="M244" s="847"/>
      <c r="N244" s="1013"/>
      <c r="O244" s="847"/>
      <c r="P244" s="1013"/>
      <c r="Q244" s="847"/>
      <c r="R244" s="847"/>
      <c r="S244" s="847"/>
      <c r="T244" s="847"/>
      <c r="U244" s="847"/>
      <c r="V244" s="847"/>
      <c r="W244" s="847"/>
      <c r="X244" s="847"/>
      <c r="Y244" s="847"/>
      <c r="Z244" s="847"/>
      <c r="AA244" s="847"/>
      <c r="AB244" s="847"/>
      <c r="AC244" s="847"/>
      <c r="AD244" s="847"/>
      <c r="AE244" s="847"/>
      <c r="AF244" s="847"/>
      <c r="AG244" s="847"/>
      <c r="AH244" s="847"/>
      <c r="AI244" s="847"/>
      <c r="AJ244" s="847"/>
      <c r="AK244" s="847"/>
      <c r="AL244" s="847"/>
      <c r="AM244" s="847"/>
      <c r="AN244" s="847"/>
      <c r="AO244" s="847"/>
      <c r="AP244" s="847"/>
      <c r="AQ244" s="847"/>
      <c r="AR244" s="847"/>
      <c r="AS244" s="847"/>
      <c r="AT244" s="847"/>
      <c r="AU244" s="847"/>
      <c r="AV244" s="847"/>
      <c r="AW244" s="847"/>
      <c r="AX244" s="847"/>
      <c r="AY244" s="847"/>
      <c r="AZ244" s="847"/>
      <c r="BA244" s="847"/>
      <c r="BB244" s="847"/>
      <c r="BC244" s="847"/>
      <c r="BD244" s="847"/>
      <c r="BE244" s="847"/>
      <c r="BF244" s="847"/>
      <c r="BG244" s="847"/>
      <c r="BH244" s="847"/>
      <c r="BI244" s="847"/>
      <c r="BJ244" s="847"/>
      <c r="BK244" s="847"/>
      <c r="BL244" s="847"/>
      <c r="BM244" s="847"/>
      <c r="BN244" s="847"/>
      <c r="BO244" s="847"/>
      <c r="BP244" s="847"/>
      <c r="BQ244" s="847"/>
      <c r="BR244" s="847"/>
      <c r="BS244" s="847"/>
      <c r="BT244" s="847"/>
      <c r="BU244" s="847"/>
      <c r="BV244" s="847"/>
      <c r="BW244" s="847"/>
      <c r="BX244" s="847"/>
      <c r="BY244" s="847"/>
      <c r="BZ244" s="847"/>
      <c r="CA244" s="847"/>
      <c r="CB244" s="847"/>
      <c r="CC244" s="847"/>
      <c r="CD244" s="847"/>
      <c r="CE244" s="847"/>
      <c r="CF244" s="847"/>
      <c r="CG244" s="847"/>
      <c r="CH244" s="847"/>
      <c r="CI244" s="847"/>
      <c r="CJ244" s="847"/>
      <c r="CK244" s="847"/>
      <c r="CL244" s="847"/>
      <c r="CM244" s="847"/>
      <c r="CN244" s="847"/>
      <c r="CO244" s="847"/>
      <c r="CP244" s="847"/>
      <c r="CQ244" s="847"/>
      <c r="CR244" s="847"/>
      <c r="CS244" s="847"/>
      <c r="CT244" s="847"/>
      <c r="CU244" s="847"/>
      <c r="CV244" s="847"/>
      <c r="CW244" s="847"/>
      <c r="CX244" s="847"/>
      <c r="CY244" s="847"/>
      <c r="CZ244" s="847"/>
      <c r="DA244" s="847"/>
      <c r="DB244" s="847"/>
      <c r="DC244" s="847"/>
      <c r="DD244" s="847"/>
      <c r="DE244" s="847"/>
      <c r="DF244" s="847"/>
      <c r="DG244" s="847"/>
      <c r="DH244" s="847"/>
      <c r="DI244" s="847"/>
      <c r="DJ244" s="847"/>
      <c r="DK244" s="847"/>
      <c r="DL244" s="847"/>
      <c r="DM244" s="1212"/>
      <c r="DN244" s="1222"/>
      <c r="DO244" s="1013"/>
      <c r="DP244" s="847"/>
      <c r="DQ244" s="1013"/>
      <c r="DR244" s="1225"/>
      <c r="DS244" s="1013"/>
      <c r="DT244" s="1225"/>
      <c r="DU244" s="1214"/>
      <c r="DV244" s="1242"/>
      <c r="DW244" s="1232"/>
      <c r="DX244" s="1222"/>
      <c r="DY244" s="847"/>
      <c r="DZ244" s="847"/>
      <c r="EA244" s="847"/>
      <c r="EB244" s="847"/>
      <c r="EC244" s="847"/>
      <c r="ED244" s="847"/>
      <c r="EE244" s="847"/>
      <c r="EF244" s="847"/>
      <c r="EG244" s="1212"/>
      <c r="EH244" s="847"/>
      <c r="EI244" s="1212"/>
    </row>
    <row r="245" spans="1:139" s="733" customFormat="1" ht="13.5">
      <c r="A245" s="1009"/>
      <c r="B245" s="1212" t="s">
        <v>2066</v>
      </c>
      <c r="C245" s="1213">
        <v>0</v>
      </c>
      <c r="D245" s="1013" t="s">
        <v>92</v>
      </c>
      <c r="E245" s="847"/>
      <c r="F245" s="1013"/>
      <c r="G245" s="1225">
        <f>G242</f>
        <v>2.0999999999999998E-2</v>
      </c>
      <c r="H245" s="1013">
        <f t="shared" si="9"/>
        <v>0</v>
      </c>
      <c r="I245" s="847"/>
      <c r="J245" s="1013"/>
      <c r="K245" s="847">
        <f>K242</f>
        <v>0.10740000000000001</v>
      </c>
      <c r="L245" s="1013">
        <f t="shared" si="10"/>
        <v>0</v>
      </c>
      <c r="M245" s="847"/>
      <c r="N245" s="1013"/>
      <c r="O245" s="847"/>
      <c r="P245" s="1013"/>
      <c r="Q245" s="847"/>
      <c r="R245" s="847"/>
      <c r="S245" s="847"/>
      <c r="T245" s="847"/>
      <c r="U245" s="847"/>
      <c r="V245" s="847"/>
      <c r="W245" s="847"/>
      <c r="X245" s="847"/>
      <c r="Y245" s="847"/>
      <c r="Z245" s="847"/>
      <c r="AA245" s="847"/>
      <c r="AB245" s="847"/>
      <c r="AC245" s="847"/>
      <c r="AD245" s="847"/>
      <c r="AE245" s="847"/>
      <c r="AF245" s="847"/>
      <c r="AG245" s="847"/>
      <c r="AH245" s="847"/>
      <c r="AI245" s="847"/>
      <c r="AJ245" s="847"/>
      <c r="AK245" s="847"/>
      <c r="AL245" s="847"/>
      <c r="AM245" s="847"/>
      <c r="AN245" s="847"/>
      <c r="AO245" s="847"/>
      <c r="AP245" s="847"/>
      <c r="AQ245" s="847"/>
      <c r="AR245" s="847"/>
      <c r="AS245" s="847"/>
      <c r="AT245" s="847"/>
      <c r="AU245" s="847">
        <f>AU242</f>
        <v>7.6E-3</v>
      </c>
      <c r="AV245" s="847">
        <f>ROUND(C245*AU245,2)</f>
        <v>0</v>
      </c>
      <c r="AW245" s="847"/>
      <c r="AX245" s="847"/>
      <c r="AY245" s="847"/>
      <c r="AZ245" s="847"/>
      <c r="BA245" s="847"/>
      <c r="BB245" s="847"/>
      <c r="BC245" s="847"/>
      <c r="BD245" s="847"/>
      <c r="BE245" s="847"/>
      <c r="BF245" s="847"/>
      <c r="BG245" s="847"/>
      <c r="BH245" s="847"/>
      <c r="BI245" s="847"/>
      <c r="BJ245" s="847"/>
      <c r="BK245" s="847"/>
      <c r="BL245" s="847"/>
      <c r="BM245" s="847"/>
      <c r="BN245" s="847"/>
      <c r="BO245" s="847"/>
      <c r="BP245" s="847"/>
      <c r="BQ245" s="847"/>
      <c r="BR245" s="847"/>
      <c r="BS245" s="847"/>
      <c r="BT245" s="847"/>
      <c r="BU245" s="847"/>
      <c r="BV245" s="847"/>
      <c r="BW245" s="847"/>
      <c r="BX245" s="847"/>
      <c r="BY245" s="847"/>
      <c r="BZ245" s="847"/>
      <c r="CA245" s="847"/>
      <c r="CB245" s="847"/>
      <c r="CC245" s="847"/>
      <c r="CD245" s="847"/>
      <c r="CE245" s="847"/>
      <c r="CF245" s="847"/>
      <c r="CG245" s="847"/>
      <c r="CH245" s="847"/>
      <c r="CI245" s="847"/>
      <c r="CJ245" s="847"/>
      <c r="CK245" s="847"/>
      <c r="CL245" s="847"/>
      <c r="CM245" s="847"/>
      <c r="CN245" s="847"/>
      <c r="CO245" s="847"/>
      <c r="CP245" s="847"/>
      <c r="CQ245" s="847"/>
      <c r="CR245" s="847"/>
      <c r="CS245" s="1013">
        <f>CS242</f>
        <v>1</v>
      </c>
      <c r="CT245" s="847"/>
      <c r="CU245" s="847"/>
      <c r="CV245" s="847"/>
      <c r="CW245" s="847"/>
      <c r="CX245" s="847">
        <f>ROUND(C245*CS245,2)</f>
        <v>0</v>
      </c>
      <c r="CY245" s="847"/>
      <c r="CZ245" s="847"/>
      <c r="DA245" s="847"/>
      <c r="DB245" s="847"/>
      <c r="DC245" s="847"/>
      <c r="DD245" s="847"/>
      <c r="DE245" s="847"/>
      <c r="DF245" s="847"/>
      <c r="DG245" s="847"/>
      <c r="DH245" s="847"/>
      <c r="DI245" s="847"/>
      <c r="DJ245" s="847"/>
      <c r="DK245" s="847"/>
      <c r="DL245" s="847"/>
      <c r="DM245" s="1212"/>
      <c r="DN245" s="1222">
        <f>'Lead &amp; ANALYSIS'!G4227/10</f>
        <v>0.21600000000000003</v>
      </c>
      <c r="DO245" s="1013">
        <f>ROUND(C245*DN245,2)</f>
        <v>0</v>
      </c>
      <c r="DP245" s="847"/>
      <c r="DQ245" s="1013"/>
      <c r="DR245" s="1225"/>
      <c r="DS245" s="1013"/>
      <c r="DT245" s="1225">
        <f>'Lead &amp; ANALYSIS'!G4226/10</f>
        <v>0.21600000000000003</v>
      </c>
      <c r="DU245" s="1214">
        <f>ROUND(C245*DT245,2)</f>
        <v>0</v>
      </c>
      <c r="DV245" s="1242"/>
      <c r="DW245" s="1232"/>
      <c r="DX245" s="1222"/>
      <c r="DY245" s="847"/>
      <c r="DZ245" s="847"/>
      <c r="EA245" s="847"/>
      <c r="EB245" s="847"/>
      <c r="EC245" s="847"/>
      <c r="ED245" s="847"/>
      <c r="EE245" s="847"/>
      <c r="EF245" s="847"/>
      <c r="EG245" s="1212"/>
      <c r="EH245" s="847"/>
      <c r="EI245" s="1212"/>
    </row>
    <row r="246" spans="1:139" s="733" customFormat="1" ht="13.5">
      <c r="A246" s="1009"/>
      <c r="B246" s="1212" t="s">
        <v>2067</v>
      </c>
      <c r="C246" s="1213">
        <v>0</v>
      </c>
      <c r="D246" s="1013" t="s">
        <v>92</v>
      </c>
      <c r="E246" s="847"/>
      <c r="F246" s="1013"/>
      <c r="G246" s="1225">
        <f>G245</f>
        <v>2.0999999999999998E-2</v>
      </c>
      <c r="H246" s="1013">
        <f t="shared" si="9"/>
        <v>0</v>
      </c>
      <c r="I246" s="847"/>
      <c r="J246" s="1013"/>
      <c r="K246" s="847">
        <f>K245</f>
        <v>0.10740000000000001</v>
      </c>
      <c r="L246" s="1013">
        <f t="shared" si="10"/>
        <v>0</v>
      </c>
      <c r="M246" s="847"/>
      <c r="N246" s="1013"/>
      <c r="O246" s="847"/>
      <c r="P246" s="1013"/>
      <c r="Q246" s="847"/>
      <c r="R246" s="847"/>
      <c r="S246" s="847"/>
      <c r="T246" s="847"/>
      <c r="U246" s="847"/>
      <c r="V246" s="847"/>
      <c r="W246" s="847"/>
      <c r="X246" s="847"/>
      <c r="Y246" s="847"/>
      <c r="Z246" s="847"/>
      <c r="AA246" s="847"/>
      <c r="AB246" s="847"/>
      <c r="AC246" s="847"/>
      <c r="AD246" s="847"/>
      <c r="AE246" s="847"/>
      <c r="AF246" s="847"/>
      <c r="AG246" s="847"/>
      <c r="AH246" s="847"/>
      <c r="AI246" s="847"/>
      <c r="AJ246" s="847"/>
      <c r="AK246" s="847"/>
      <c r="AL246" s="847"/>
      <c r="AM246" s="847"/>
      <c r="AN246" s="847"/>
      <c r="AO246" s="847"/>
      <c r="AP246" s="847"/>
      <c r="AQ246" s="847"/>
      <c r="AR246" s="847"/>
      <c r="AS246" s="847"/>
      <c r="AT246" s="847"/>
      <c r="AU246" s="847">
        <f>AU245</f>
        <v>7.6E-3</v>
      </c>
      <c r="AV246" s="847">
        <f>ROUND(C246*AU246,2)</f>
        <v>0</v>
      </c>
      <c r="AW246" s="847"/>
      <c r="AX246" s="847"/>
      <c r="AY246" s="847"/>
      <c r="AZ246" s="847"/>
      <c r="BA246" s="847"/>
      <c r="BB246" s="847"/>
      <c r="BC246" s="847"/>
      <c r="BD246" s="847"/>
      <c r="BE246" s="847"/>
      <c r="BF246" s="847"/>
      <c r="BG246" s="847"/>
      <c r="BH246" s="847"/>
      <c r="BI246" s="847"/>
      <c r="BJ246" s="847"/>
      <c r="BK246" s="847"/>
      <c r="BL246" s="847"/>
      <c r="BM246" s="847"/>
      <c r="BN246" s="847"/>
      <c r="BO246" s="847"/>
      <c r="BP246" s="847"/>
      <c r="BQ246" s="847"/>
      <c r="BR246" s="847"/>
      <c r="BS246" s="847"/>
      <c r="BT246" s="847"/>
      <c r="BU246" s="847"/>
      <c r="BV246" s="847"/>
      <c r="BW246" s="847"/>
      <c r="BX246" s="847"/>
      <c r="BY246" s="847"/>
      <c r="BZ246" s="847"/>
      <c r="CA246" s="847"/>
      <c r="CB246" s="847"/>
      <c r="CC246" s="847"/>
      <c r="CD246" s="847"/>
      <c r="CE246" s="847"/>
      <c r="CF246" s="847"/>
      <c r="CG246" s="847"/>
      <c r="CH246" s="847"/>
      <c r="CI246" s="847"/>
      <c r="CJ246" s="847"/>
      <c r="CK246" s="847"/>
      <c r="CL246" s="847"/>
      <c r="CM246" s="847"/>
      <c r="CN246" s="847"/>
      <c r="CO246" s="847"/>
      <c r="CP246" s="847"/>
      <c r="CQ246" s="847"/>
      <c r="CR246" s="847"/>
      <c r="CS246" s="1013">
        <f>CS245</f>
        <v>1</v>
      </c>
      <c r="CT246" s="847"/>
      <c r="CU246" s="847"/>
      <c r="CV246" s="847"/>
      <c r="CW246" s="847"/>
      <c r="CX246" s="847">
        <f>ROUND(C246*CS246,2)</f>
        <v>0</v>
      </c>
      <c r="CY246" s="847"/>
      <c r="CZ246" s="847"/>
      <c r="DA246" s="847"/>
      <c r="DB246" s="847"/>
      <c r="DC246" s="847"/>
      <c r="DD246" s="847"/>
      <c r="DE246" s="847"/>
      <c r="DF246" s="847"/>
      <c r="DG246" s="847"/>
      <c r="DH246" s="847"/>
      <c r="DI246" s="847"/>
      <c r="DJ246" s="847"/>
      <c r="DK246" s="847"/>
      <c r="DL246" s="847"/>
      <c r="DM246" s="1212"/>
      <c r="DN246" s="1222">
        <f>DN245+DN245*5%</f>
        <v>0.22680000000000003</v>
      </c>
      <c r="DO246" s="1013">
        <f>ROUND(C246*DN246,2)</f>
        <v>0</v>
      </c>
      <c r="DP246" s="847"/>
      <c r="DQ246" s="1013"/>
      <c r="DR246" s="1225"/>
      <c r="DS246" s="1013"/>
      <c r="DT246" s="847">
        <f>DT245+DT245*5%</f>
        <v>0.22680000000000003</v>
      </c>
      <c r="DU246" s="1214">
        <f>ROUND(C246*DT246,2)</f>
        <v>0</v>
      </c>
      <c r="DV246" s="1242"/>
      <c r="DW246" s="1232"/>
      <c r="DX246" s="1222"/>
      <c r="DY246" s="847"/>
      <c r="DZ246" s="847"/>
      <c r="EA246" s="847"/>
      <c r="EB246" s="847"/>
      <c r="EC246" s="847"/>
      <c r="ED246" s="847"/>
      <c r="EE246" s="847"/>
      <c r="EF246" s="847"/>
      <c r="EG246" s="1212"/>
      <c r="EH246" s="847"/>
      <c r="EI246" s="1212"/>
    </row>
    <row r="247" spans="1:139" s="733" customFormat="1" ht="13.5">
      <c r="A247" s="1009" t="s">
        <v>352</v>
      </c>
      <c r="B247" s="1212" t="s">
        <v>225</v>
      </c>
      <c r="C247" s="1213">
        <v>0</v>
      </c>
      <c r="D247" s="1013" t="s">
        <v>92</v>
      </c>
      <c r="E247" s="847"/>
      <c r="F247" s="1013"/>
      <c r="G247" s="1225"/>
      <c r="H247" s="1013"/>
      <c r="I247" s="847"/>
      <c r="J247" s="1013"/>
      <c r="K247" s="847"/>
      <c r="L247" s="1013"/>
      <c r="M247" s="847"/>
      <c r="N247" s="1013"/>
      <c r="O247" s="847"/>
      <c r="P247" s="1013"/>
      <c r="Q247" s="847"/>
      <c r="R247" s="847"/>
      <c r="S247" s="847"/>
      <c r="T247" s="847"/>
      <c r="U247" s="847"/>
      <c r="V247" s="847"/>
      <c r="W247" s="847"/>
      <c r="X247" s="847"/>
      <c r="Y247" s="847"/>
      <c r="Z247" s="847"/>
      <c r="AA247" s="847"/>
      <c r="AB247" s="847"/>
      <c r="AC247" s="847"/>
      <c r="AD247" s="847"/>
      <c r="AE247" s="847"/>
      <c r="AF247" s="847"/>
      <c r="AG247" s="847"/>
      <c r="AH247" s="847"/>
      <c r="AI247" s="847"/>
      <c r="AJ247" s="847"/>
      <c r="AK247" s="847"/>
      <c r="AL247" s="847"/>
      <c r="AM247" s="847"/>
      <c r="AN247" s="847"/>
      <c r="AO247" s="847"/>
      <c r="AP247" s="847"/>
      <c r="AQ247" s="847"/>
      <c r="AR247" s="847"/>
      <c r="AS247" s="847"/>
      <c r="AT247" s="847"/>
      <c r="AU247" s="847"/>
      <c r="AV247" s="847"/>
      <c r="AW247" s="847"/>
      <c r="AX247" s="847"/>
      <c r="AY247" s="847"/>
      <c r="AZ247" s="847"/>
      <c r="BA247" s="847"/>
      <c r="BB247" s="847"/>
      <c r="BC247" s="847"/>
      <c r="BD247" s="847"/>
      <c r="BE247" s="847"/>
      <c r="BF247" s="847"/>
      <c r="BG247" s="847"/>
      <c r="BH247" s="847"/>
      <c r="BI247" s="847"/>
      <c r="BJ247" s="847"/>
      <c r="BK247" s="847"/>
      <c r="BL247" s="847"/>
      <c r="BM247" s="847"/>
      <c r="BN247" s="847"/>
      <c r="BO247" s="847"/>
      <c r="BP247" s="847"/>
      <c r="BQ247" s="847"/>
      <c r="BR247" s="847"/>
      <c r="BS247" s="847"/>
      <c r="BT247" s="847"/>
      <c r="BU247" s="847"/>
      <c r="BV247" s="847"/>
      <c r="BW247" s="847"/>
      <c r="BX247" s="847"/>
      <c r="BY247" s="847"/>
      <c r="BZ247" s="847"/>
      <c r="CA247" s="847"/>
      <c r="CB247" s="847"/>
      <c r="CC247" s="847"/>
      <c r="CD247" s="847"/>
      <c r="CE247" s="847"/>
      <c r="CF247" s="847"/>
      <c r="CG247" s="847"/>
      <c r="CH247" s="847"/>
      <c r="CI247" s="847"/>
      <c r="CJ247" s="847"/>
      <c r="CK247" s="847"/>
      <c r="CL247" s="847"/>
      <c r="CM247" s="847"/>
      <c r="CN247" s="847"/>
      <c r="CO247" s="847"/>
      <c r="CP247" s="847"/>
      <c r="CQ247" s="847"/>
      <c r="CR247" s="847"/>
      <c r="CS247" s="847"/>
      <c r="CT247" s="847"/>
      <c r="CU247" s="847"/>
      <c r="CV247" s="847"/>
      <c r="CW247" s="847"/>
      <c r="CX247" s="847"/>
      <c r="CY247" s="847"/>
      <c r="CZ247" s="847"/>
      <c r="DA247" s="847"/>
      <c r="DB247" s="847"/>
      <c r="DC247" s="847"/>
      <c r="DD247" s="847"/>
      <c r="DE247" s="847"/>
      <c r="DF247" s="847"/>
      <c r="DG247" s="847"/>
      <c r="DH247" s="847"/>
      <c r="DI247" s="847"/>
      <c r="DJ247" s="847"/>
      <c r="DK247" s="847"/>
      <c r="DL247" s="847"/>
      <c r="DM247" s="1212"/>
      <c r="DN247" s="1222"/>
      <c r="DO247" s="1013"/>
      <c r="DP247" s="847"/>
      <c r="DQ247" s="1013"/>
      <c r="DR247" s="1225"/>
      <c r="DS247" s="1013"/>
      <c r="DT247" s="1225"/>
      <c r="DU247" s="1214"/>
      <c r="DV247" s="1242"/>
      <c r="DW247" s="1232"/>
      <c r="DX247" s="1222"/>
      <c r="DY247" s="847"/>
      <c r="DZ247" s="847"/>
      <c r="EA247" s="847"/>
      <c r="EB247" s="847"/>
      <c r="EC247" s="847"/>
      <c r="ED247" s="847"/>
      <c r="EE247" s="847"/>
      <c r="EF247" s="847"/>
      <c r="EG247" s="1212"/>
      <c r="EH247" s="847"/>
      <c r="EI247" s="1212"/>
    </row>
    <row r="248" spans="1:139" s="733" customFormat="1" ht="13.5">
      <c r="A248" s="1009"/>
      <c r="B248" s="1212" t="s">
        <v>2066</v>
      </c>
      <c r="C248" s="1213">
        <v>0</v>
      </c>
      <c r="D248" s="1013" t="s">
        <v>92</v>
      </c>
      <c r="E248" s="847"/>
      <c r="F248" s="1013"/>
      <c r="G248" s="1225">
        <f>G245</f>
        <v>2.0999999999999998E-2</v>
      </c>
      <c r="H248" s="1013">
        <f t="shared" si="9"/>
        <v>0</v>
      </c>
      <c r="I248" s="847"/>
      <c r="J248" s="1013"/>
      <c r="K248" s="847">
        <f>K245</f>
        <v>0.10740000000000001</v>
      </c>
      <c r="L248" s="1013">
        <f t="shared" si="10"/>
        <v>0</v>
      </c>
      <c r="M248" s="847"/>
      <c r="N248" s="1013"/>
      <c r="O248" s="847"/>
      <c r="P248" s="1013"/>
      <c r="Q248" s="847"/>
      <c r="R248" s="847"/>
      <c r="S248" s="847"/>
      <c r="T248" s="847"/>
      <c r="U248" s="847"/>
      <c r="V248" s="847"/>
      <c r="W248" s="847"/>
      <c r="X248" s="847"/>
      <c r="Y248" s="847"/>
      <c r="Z248" s="847"/>
      <c r="AA248" s="847"/>
      <c r="AB248" s="847"/>
      <c r="AC248" s="847"/>
      <c r="AD248" s="847"/>
      <c r="AE248" s="847"/>
      <c r="AF248" s="847"/>
      <c r="AG248" s="847"/>
      <c r="AH248" s="847"/>
      <c r="AI248" s="847"/>
      <c r="AJ248" s="847"/>
      <c r="AK248" s="847"/>
      <c r="AL248" s="847"/>
      <c r="AM248" s="847"/>
      <c r="AN248" s="847"/>
      <c r="AO248" s="847"/>
      <c r="AP248" s="847"/>
      <c r="AQ248" s="847"/>
      <c r="AR248" s="847"/>
      <c r="AS248" s="847"/>
      <c r="AT248" s="847"/>
      <c r="AU248" s="847">
        <f>AU245</f>
        <v>7.6E-3</v>
      </c>
      <c r="AV248" s="847">
        <f>ROUND(C248*AU248,2)</f>
        <v>0</v>
      </c>
      <c r="AW248" s="847"/>
      <c r="AX248" s="847"/>
      <c r="AY248" s="847"/>
      <c r="AZ248" s="847"/>
      <c r="BA248" s="847"/>
      <c r="BB248" s="847"/>
      <c r="BC248" s="847"/>
      <c r="BD248" s="847"/>
      <c r="BE248" s="847"/>
      <c r="BF248" s="847"/>
      <c r="BG248" s="847"/>
      <c r="BH248" s="847"/>
      <c r="BI248" s="847"/>
      <c r="BJ248" s="847"/>
      <c r="BK248" s="847"/>
      <c r="BL248" s="847"/>
      <c r="BM248" s="847"/>
      <c r="BN248" s="847"/>
      <c r="BO248" s="847"/>
      <c r="BP248" s="847"/>
      <c r="BQ248" s="847"/>
      <c r="BR248" s="847"/>
      <c r="BS248" s="847"/>
      <c r="BT248" s="847"/>
      <c r="BU248" s="847"/>
      <c r="BV248" s="847"/>
      <c r="BW248" s="847"/>
      <c r="BX248" s="847"/>
      <c r="BY248" s="847"/>
      <c r="BZ248" s="847"/>
      <c r="CA248" s="847"/>
      <c r="CB248" s="847"/>
      <c r="CC248" s="847"/>
      <c r="CD248" s="847"/>
      <c r="CE248" s="847"/>
      <c r="CF248" s="847"/>
      <c r="CG248" s="847"/>
      <c r="CH248" s="847"/>
      <c r="CI248" s="847"/>
      <c r="CJ248" s="847"/>
      <c r="CK248" s="847"/>
      <c r="CL248" s="847"/>
      <c r="CM248" s="847"/>
      <c r="CN248" s="847"/>
      <c r="CO248" s="847"/>
      <c r="CP248" s="847"/>
      <c r="CQ248" s="847"/>
      <c r="CR248" s="847"/>
      <c r="CS248" s="1013">
        <f>CS245</f>
        <v>1</v>
      </c>
      <c r="CT248" s="847"/>
      <c r="CU248" s="847"/>
      <c r="CV248" s="847"/>
      <c r="CW248" s="847"/>
      <c r="CX248" s="847"/>
      <c r="CY248" s="847"/>
      <c r="CZ248" s="847">
        <f>ROUND(C248*CS248,2)</f>
        <v>0</v>
      </c>
      <c r="DA248" s="847"/>
      <c r="DB248" s="847"/>
      <c r="DC248" s="847"/>
      <c r="DD248" s="847"/>
      <c r="DE248" s="847"/>
      <c r="DF248" s="847"/>
      <c r="DG248" s="847"/>
      <c r="DH248" s="847"/>
      <c r="DI248" s="847"/>
      <c r="DJ248" s="847"/>
      <c r="DK248" s="847"/>
      <c r="DL248" s="847"/>
      <c r="DM248" s="1212"/>
      <c r="DN248" s="1222">
        <f>'Lead &amp; ANALYSIS'!G4227/10</f>
        <v>0.21600000000000003</v>
      </c>
      <c r="DO248" s="1013">
        <f>ROUND(C248*DN248,2)</f>
        <v>0</v>
      </c>
      <c r="DP248" s="847"/>
      <c r="DQ248" s="1013"/>
      <c r="DR248" s="1225"/>
      <c r="DS248" s="1013"/>
      <c r="DT248" s="1225">
        <f>'Lead &amp; ANALYSIS'!G4226/10</f>
        <v>0.21600000000000003</v>
      </c>
      <c r="DU248" s="1214">
        <f>ROUND(C248*DT248,2)</f>
        <v>0</v>
      </c>
      <c r="DV248" s="1242"/>
      <c r="DW248" s="1232"/>
      <c r="DX248" s="1222"/>
      <c r="DY248" s="847"/>
      <c r="DZ248" s="847"/>
      <c r="EA248" s="847"/>
      <c r="EB248" s="847"/>
      <c r="EC248" s="847"/>
      <c r="ED248" s="847"/>
      <c r="EE248" s="847"/>
      <c r="EF248" s="847"/>
      <c r="EG248" s="1212"/>
      <c r="EH248" s="847"/>
      <c r="EI248" s="1212"/>
    </row>
    <row r="249" spans="1:139" s="733" customFormat="1" ht="13.5">
      <c r="A249" s="1009"/>
      <c r="B249" s="1212" t="s">
        <v>2067</v>
      </c>
      <c r="C249" s="1213">
        <v>0</v>
      </c>
      <c r="D249" s="1013" t="s">
        <v>92</v>
      </c>
      <c r="E249" s="847"/>
      <c r="F249" s="1013"/>
      <c r="G249" s="1225">
        <f>G248</f>
        <v>2.0999999999999998E-2</v>
      </c>
      <c r="H249" s="1013">
        <f t="shared" si="9"/>
        <v>0</v>
      </c>
      <c r="I249" s="847"/>
      <c r="J249" s="1013"/>
      <c r="K249" s="847">
        <f>K248</f>
        <v>0.10740000000000001</v>
      </c>
      <c r="L249" s="1013">
        <f t="shared" si="10"/>
        <v>0</v>
      </c>
      <c r="M249" s="847"/>
      <c r="N249" s="1013"/>
      <c r="O249" s="847"/>
      <c r="P249" s="1013"/>
      <c r="Q249" s="847"/>
      <c r="R249" s="847"/>
      <c r="S249" s="847"/>
      <c r="T249" s="847"/>
      <c r="U249" s="847"/>
      <c r="V249" s="847"/>
      <c r="W249" s="847"/>
      <c r="X249" s="847"/>
      <c r="Y249" s="847"/>
      <c r="Z249" s="847"/>
      <c r="AA249" s="847"/>
      <c r="AB249" s="847"/>
      <c r="AC249" s="847"/>
      <c r="AD249" s="847"/>
      <c r="AE249" s="847"/>
      <c r="AF249" s="847"/>
      <c r="AG249" s="847"/>
      <c r="AH249" s="847"/>
      <c r="AI249" s="847"/>
      <c r="AJ249" s="847"/>
      <c r="AK249" s="847"/>
      <c r="AL249" s="847"/>
      <c r="AM249" s="847"/>
      <c r="AN249" s="847"/>
      <c r="AO249" s="847"/>
      <c r="AP249" s="847"/>
      <c r="AQ249" s="847"/>
      <c r="AR249" s="847"/>
      <c r="AS249" s="847"/>
      <c r="AT249" s="847"/>
      <c r="AU249" s="847">
        <f>AU248</f>
        <v>7.6E-3</v>
      </c>
      <c r="AV249" s="847">
        <f>ROUND(C249*AU249,2)</f>
        <v>0</v>
      </c>
      <c r="AW249" s="847"/>
      <c r="AX249" s="847"/>
      <c r="AY249" s="847"/>
      <c r="AZ249" s="847"/>
      <c r="BA249" s="847"/>
      <c r="BB249" s="847"/>
      <c r="BC249" s="847"/>
      <c r="BD249" s="847"/>
      <c r="BE249" s="847"/>
      <c r="BF249" s="847"/>
      <c r="BG249" s="847"/>
      <c r="BH249" s="847"/>
      <c r="BI249" s="847"/>
      <c r="BJ249" s="847"/>
      <c r="BK249" s="847"/>
      <c r="BL249" s="847"/>
      <c r="BM249" s="847"/>
      <c r="BN249" s="847"/>
      <c r="BO249" s="847"/>
      <c r="BP249" s="847"/>
      <c r="BQ249" s="847"/>
      <c r="BR249" s="847"/>
      <c r="BS249" s="847"/>
      <c r="BT249" s="847"/>
      <c r="BU249" s="847"/>
      <c r="BV249" s="847"/>
      <c r="BW249" s="847"/>
      <c r="BX249" s="847"/>
      <c r="BY249" s="847"/>
      <c r="BZ249" s="847"/>
      <c r="CA249" s="847"/>
      <c r="CB249" s="847"/>
      <c r="CC249" s="847"/>
      <c r="CD249" s="847"/>
      <c r="CE249" s="847"/>
      <c r="CF249" s="847"/>
      <c r="CG249" s="847"/>
      <c r="CH249" s="847"/>
      <c r="CI249" s="847"/>
      <c r="CJ249" s="847"/>
      <c r="CK249" s="847"/>
      <c r="CL249" s="847"/>
      <c r="CM249" s="847"/>
      <c r="CN249" s="847"/>
      <c r="CO249" s="847"/>
      <c r="CP249" s="847"/>
      <c r="CQ249" s="847"/>
      <c r="CR249" s="847"/>
      <c r="CS249" s="1013">
        <f>CS248</f>
        <v>1</v>
      </c>
      <c r="CT249" s="847"/>
      <c r="CU249" s="847"/>
      <c r="CV249" s="847"/>
      <c r="CW249" s="847"/>
      <c r="CX249" s="847"/>
      <c r="CY249" s="847"/>
      <c r="CZ249" s="847">
        <f>ROUND(C249*CS249,2)</f>
        <v>0</v>
      </c>
      <c r="DA249" s="847"/>
      <c r="DB249" s="847"/>
      <c r="DC249" s="847"/>
      <c r="DD249" s="847"/>
      <c r="DE249" s="847"/>
      <c r="DF249" s="847"/>
      <c r="DG249" s="847"/>
      <c r="DH249" s="847"/>
      <c r="DI249" s="847"/>
      <c r="DJ249" s="847"/>
      <c r="DK249" s="847"/>
      <c r="DL249" s="847"/>
      <c r="DM249" s="1212"/>
      <c r="DN249" s="1222">
        <f>DN248+DN248*5%</f>
        <v>0.22680000000000003</v>
      </c>
      <c r="DO249" s="1013">
        <f>ROUND(C249*DN249,2)</f>
        <v>0</v>
      </c>
      <c r="DP249" s="847"/>
      <c r="DQ249" s="1013"/>
      <c r="DR249" s="1225"/>
      <c r="DS249" s="1013"/>
      <c r="DT249" s="847">
        <f>DT248+DT248*5%</f>
        <v>0.22680000000000003</v>
      </c>
      <c r="DU249" s="1214">
        <f>ROUND(C249*DT249,2)</f>
        <v>0</v>
      </c>
      <c r="DV249" s="1242"/>
      <c r="DW249" s="1232"/>
      <c r="DX249" s="1222"/>
      <c r="DY249" s="847"/>
      <c r="DZ249" s="847"/>
      <c r="EA249" s="847"/>
      <c r="EB249" s="847"/>
      <c r="EC249" s="847"/>
      <c r="ED249" s="847"/>
      <c r="EE249" s="847"/>
      <c r="EF249" s="847"/>
      <c r="EG249" s="1212"/>
      <c r="EH249" s="847"/>
      <c r="EI249" s="1212"/>
    </row>
    <row r="250" spans="1:139" s="733" customFormat="1" ht="13.5">
      <c r="A250" s="1009">
        <v>72</v>
      </c>
      <c r="B250" s="1212" t="s">
        <v>3062</v>
      </c>
      <c r="C250" s="1213">
        <v>0</v>
      </c>
      <c r="D250" s="1013" t="s">
        <v>92</v>
      </c>
      <c r="E250" s="847"/>
      <c r="F250" s="1013"/>
      <c r="G250" s="1013"/>
      <c r="H250" s="1013"/>
      <c r="I250" s="847"/>
      <c r="J250" s="1013"/>
      <c r="K250" s="847"/>
      <c r="L250" s="1013"/>
      <c r="M250" s="847"/>
      <c r="N250" s="1013"/>
      <c r="O250" s="847"/>
      <c r="P250" s="1013"/>
      <c r="Q250" s="847"/>
      <c r="R250" s="847"/>
      <c r="S250" s="847"/>
      <c r="T250" s="847"/>
      <c r="U250" s="847"/>
      <c r="V250" s="847"/>
      <c r="W250" s="847"/>
      <c r="X250" s="847"/>
      <c r="Y250" s="847"/>
      <c r="Z250" s="847"/>
      <c r="AA250" s="847"/>
      <c r="AB250" s="847"/>
      <c r="AC250" s="847"/>
      <c r="AD250" s="847"/>
      <c r="AE250" s="847"/>
      <c r="AF250" s="847"/>
      <c r="AG250" s="847"/>
      <c r="AH250" s="847"/>
      <c r="AI250" s="847"/>
      <c r="AJ250" s="847"/>
      <c r="AK250" s="847"/>
      <c r="AL250" s="847"/>
      <c r="AM250" s="847"/>
      <c r="AN250" s="847"/>
      <c r="AO250" s="847"/>
      <c r="AP250" s="847"/>
      <c r="AQ250" s="847"/>
      <c r="AR250" s="847"/>
      <c r="AS250" s="847"/>
      <c r="AT250" s="847"/>
      <c r="AU250" s="847"/>
      <c r="AV250" s="847"/>
      <c r="AW250" s="847"/>
      <c r="AX250" s="847"/>
      <c r="AY250" s="847"/>
      <c r="AZ250" s="847"/>
      <c r="BA250" s="847"/>
      <c r="BB250" s="847"/>
      <c r="BC250" s="847"/>
      <c r="BD250" s="847"/>
      <c r="BE250" s="847"/>
      <c r="BF250" s="847"/>
      <c r="BG250" s="847"/>
      <c r="BH250" s="847"/>
      <c r="BI250" s="847"/>
      <c r="BJ250" s="847"/>
      <c r="BK250" s="847"/>
      <c r="BL250" s="847"/>
      <c r="BM250" s="847"/>
      <c r="BN250" s="847"/>
      <c r="BO250" s="847"/>
      <c r="BP250" s="847"/>
      <c r="BQ250" s="847"/>
      <c r="BR250" s="847"/>
      <c r="BS250" s="847"/>
      <c r="BT250" s="847"/>
      <c r="BU250" s="847"/>
      <c r="BV250" s="847"/>
      <c r="BW250" s="847"/>
      <c r="BX250" s="847"/>
      <c r="BY250" s="847"/>
      <c r="BZ250" s="847"/>
      <c r="CA250" s="847"/>
      <c r="CB250" s="847"/>
      <c r="CC250" s="847"/>
      <c r="CD250" s="847"/>
      <c r="CE250" s="847"/>
      <c r="CF250" s="847"/>
      <c r="CG250" s="847"/>
      <c r="CH250" s="847"/>
      <c r="CI250" s="847"/>
      <c r="CJ250" s="847"/>
      <c r="CK250" s="847"/>
      <c r="CL250" s="847"/>
      <c r="CM250" s="847"/>
      <c r="CN250" s="847"/>
      <c r="CO250" s="847"/>
      <c r="CP250" s="847"/>
      <c r="CQ250" s="847"/>
      <c r="CR250" s="847"/>
      <c r="CS250" s="847"/>
      <c r="CT250" s="847"/>
      <c r="CU250" s="847"/>
      <c r="CV250" s="847"/>
      <c r="CW250" s="847"/>
      <c r="CX250" s="847"/>
      <c r="CY250" s="847"/>
      <c r="CZ250" s="847"/>
      <c r="DA250" s="847"/>
      <c r="DB250" s="847"/>
      <c r="DC250" s="847"/>
      <c r="DD250" s="847"/>
      <c r="DE250" s="847"/>
      <c r="DF250" s="847"/>
      <c r="DG250" s="847"/>
      <c r="DH250" s="847"/>
      <c r="DI250" s="847"/>
      <c r="DJ250" s="847"/>
      <c r="DK250" s="847"/>
      <c r="DL250" s="847"/>
      <c r="DM250" s="1212"/>
      <c r="DN250" s="1222"/>
      <c r="DO250" s="1013"/>
      <c r="DP250" s="847"/>
      <c r="DQ250" s="1013"/>
      <c r="DR250" s="1225"/>
      <c r="DS250" s="1013"/>
      <c r="DT250" s="1225"/>
      <c r="DU250" s="1214"/>
      <c r="DV250" s="1242"/>
      <c r="DW250" s="1232"/>
      <c r="DX250" s="1222"/>
      <c r="DY250" s="847"/>
      <c r="DZ250" s="847"/>
      <c r="EA250" s="847"/>
      <c r="EB250" s="847"/>
      <c r="EC250" s="847"/>
      <c r="ED250" s="847"/>
      <c r="EE250" s="847"/>
      <c r="EF250" s="847"/>
      <c r="EG250" s="1212"/>
      <c r="EH250" s="847"/>
      <c r="EI250" s="1212"/>
    </row>
    <row r="251" spans="1:139" s="733" customFormat="1" ht="13.5">
      <c r="A251" s="1009" t="s">
        <v>201</v>
      </c>
      <c r="B251" s="1212" t="s">
        <v>230</v>
      </c>
      <c r="C251" s="1213">
        <v>0</v>
      </c>
      <c r="D251" s="1013" t="s">
        <v>92</v>
      </c>
      <c r="E251" s="847"/>
      <c r="F251" s="1013"/>
      <c r="G251" s="1013"/>
      <c r="H251" s="1013"/>
      <c r="I251" s="847"/>
      <c r="J251" s="1013"/>
      <c r="K251" s="847"/>
      <c r="L251" s="1013"/>
      <c r="M251" s="847"/>
      <c r="N251" s="1013"/>
      <c r="O251" s="847"/>
      <c r="P251" s="1013"/>
      <c r="Q251" s="847"/>
      <c r="R251" s="847"/>
      <c r="S251" s="847"/>
      <c r="T251" s="847"/>
      <c r="U251" s="847"/>
      <c r="V251" s="847"/>
      <c r="W251" s="847"/>
      <c r="X251" s="847"/>
      <c r="Y251" s="847"/>
      <c r="Z251" s="847"/>
      <c r="AA251" s="847"/>
      <c r="AB251" s="847"/>
      <c r="AC251" s="847"/>
      <c r="AD251" s="847"/>
      <c r="AE251" s="847"/>
      <c r="AF251" s="847"/>
      <c r="AG251" s="847"/>
      <c r="AH251" s="847"/>
      <c r="AI251" s="847"/>
      <c r="AJ251" s="847"/>
      <c r="AK251" s="847"/>
      <c r="AL251" s="847"/>
      <c r="AM251" s="847"/>
      <c r="AN251" s="847"/>
      <c r="AO251" s="847"/>
      <c r="AP251" s="847"/>
      <c r="AQ251" s="847"/>
      <c r="AR251" s="847"/>
      <c r="AS251" s="847"/>
      <c r="AT251" s="847"/>
      <c r="AU251" s="847"/>
      <c r="AV251" s="847"/>
      <c r="AW251" s="847"/>
      <c r="AX251" s="847"/>
      <c r="AY251" s="847"/>
      <c r="AZ251" s="847"/>
      <c r="BA251" s="847"/>
      <c r="BB251" s="847"/>
      <c r="BC251" s="847"/>
      <c r="BD251" s="847"/>
      <c r="BE251" s="847"/>
      <c r="BF251" s="847"/>
      <c r="BG251" s="847"/>
      <c r="BH251" s="847"/>
      <c r="BI251" s="847"/>
      <c r="BJ251" s="847"/>
      <c r="BK251" s="847"/>
      <c r="BL251" s="847"/>
      <c r="BM251" s="847"/>
      <c r="BN251" s="847"/>
      <c r="BO251" s="847"/>
      <c r="BP251" s="847"/>
      <c r="BQ251" s="847"/>
      <c r="BR251" s="847"/>
      <c r="BS251" s="847"/>
      <c r="BT251" s="847"/>
      <c r="BU251" s="847"/>
      <c r="BV251" s="847"/>
      <c r="BW251" s="847"/>
      <c r="BX251" s="847"/>
      <c r="BY251" s="847"/>
      <c r="BZ251" s="847"/>
      <c r="CA251" s="847"/>
      <c r="CB251" s="847"/>
      <c r="CC251" s="847"/>
      <c r="CD251" s="847"/>
      <c r="CE251" s="847"/>
      <c r="CF251" s="847"/>
      <c r="CG251" s="847"/>
      <c r="CH251" s="847"/>
      <c r="CI251" s="847"/>
      <c r="CJ251" s="847"/>
      <c r="CK251" s="847"/>
      <c r="CL251" s="847"/>
      <c r="CM251" s="847"/>
      <c r="CN251" s="847"/>
      <c r="CO251" s="847"/>
      <c r="CP251" s="847"/>
      <c r="CQ251" s="847"/>
      <c r="CR251" s="847"/>
      <c r="CS251" s="847"/>
      <c r="CT251" s="847"/>
      <c r="CU251" s="847"/>
      <c r="CV251" s="847"/>
      <c r="CW251" s="847"/>
      <c r="CX251" s="847"/>
      <c r="CY251" s="847"/>
      <c r="CZ251" s="847"/>
      <c r="DA251" s="847"/>
      <c r="DB251" s="847"/>
      <c r="DC251" s="847"/>
      <c r="DD251" s="847"/>
      <c r="DE251" s="847"/>
      <c r="DF251" s="847"/>
      <c r="DG251" s="847"/>
      <c r="DH251" s="847"/>
      <c r="DI251" s="847"/>
      <c r="DJ251" s="847"/>
      <c r="DK251" s="847"/>
      <c r="DL251" s="847"/>
      <c r="DM251" s="1212"/>
      <c r="DN251" s="1222"/>
      <c r="DO251" s="1013"/>
      <c r="DP251" s="847"/>
      <c r="DQ251" s="1013"/>
      <c r="DR251" s="1225"/>
      <c r="DS251" s="1013"/>
      <c r="DT251" s="1225"/>
      <c r="DU251" s="1214"/>
      <c r="DV251" s="1242"/>
      <c r="DW251" s="1232"/>
      <c r="DX251" s="1222"/>
      <c r="DY251" s="847"/>
      <c r="DZ251" s="847"/>
      <c r="EA251" s="847"/>
      <c r="EB251" s="847"/>
      <c r="EC251" s="847"/>
      <c r="ED251" s="847"/>
      <c r="EE251" s="847"/>
      <c r="EF251" s="847"/>
      <c r="EG251" s="1212"/>
      <c r="EH251" s="847"/>
      <c r="EI251" s="1212"/>
    </row>
    <row r="252" spans="1:139" s="733" customFormat="1" ht="13.5">
      <c r="A252" s="1009"/>
      <c r="B252" s="1212" t="s">
        <v>2066</v>
      </c>
      <c r="C252" s="1213">
        <v>0</v>
      </c>
      <c r="D252" s="1013" t="s">
        <v>92</v>
      </c>
      <c r="E252" s="847"/>
      <c r="F252" s="1013"/>
      <c r="G252" s="1225">
        <f>'Lead &amp; ANALYSIS'!G4454/10</f>
        <v>1.4999999999999999E-2</v>
      </c>
      <c r="H252" s="1013">
        <f t="shared" si="9"/>
        <v>0</v>
      </c>
      <c r="I252" s="847"/>
      <c r="J252" s="1013"/>
      <c r="K252" s="847">
        <v>0.13750000000000001</v>
      </c>
      <c r="L252" s="1013">
        <f t="shared" si="10"/>
        <v>0</v>
      </c>
      <c r="M252" s="847"/>
      <c r="N252" s="1013"/>
      <c r="O252" s="847"/>
      <c r="P252" s="1013"/>
      <c r="Q252" s="847"/>
      <c r="R252" s="847"/>
      <c r="S252" s="847"/>
      <c r="T252" s="847"/>
      <c r="U252" s="847"/>
      <c r="V252" s="847"/>
      <c r="W252" s="847"/>
      <c r="X252" s="847"/>
      <c r="Y252" s="847"/>
      <c r="Z252" s="847"/>
      <c r="AA252" s="847"/>
      <c r="AB252" s="847"/>
      <c r="AC252" s="847"/>
      <c r="AD252" s="847"/>
      <c r="AE252" s="847"/>
      <c r="AF252" s="847"/>
      <c r="AG252" s="847"/>
      <c r="AH252" s="847"/>
      <c r="AI252" s="847"/>
      <c r="AJ252" s="847"/>
      <c r="AK252" s="847"/>
      <c r="AL252" s="847"/>
      <c r="AM252" s="847"/>
      <c r="AN252" s="847"/>
      <c r="AO252" s="847"/>
      <c r="AP252" s="847"/>
      <c r="AQ252" s="847"/>
      <c r="AR252" s="847"/>
      <c r="AS252" s="847"/>
      <c r="AT252" s="847"/>
      <c r="AU252" s="847"/>
      <c r="AV252" s="847"/>
      <c r="AW252" s="847"/>
      <c r="AX252" s="847"/>
      <c r="AY252" s="847"/>
      <c r="AZ252" s="847"/>
      <c r="BA252" s="847"/>
      <c r="BB252" s="847"/>
      <c r="BC252" s="847"/>
      <c r="BD252" s="847"/>
      <c r="BE252" s="847"/>
      <c r="BF252" s="847"/>
      <c r="BG252" s="847"/>
      <c r="BH252" s="847"/>
      <c r="BI252" s="847"/>
      <c r="BJ252" s="847"/>
      <c r="BK252" s="847"/>
      <c r="BL252" s="847"/>
      <c r="BM252" s="847"/>
      <c r="BN252" s="847"/>
      <c r="BO252" s="847"/>
      <c r="BP252" s="847"/>
      <c r="BQ252" s="847"/>
      <c r="BR252" s="847"/>
      <c r="BS252" s="847"/>
      <c r="BT252" s="847"/>
      <c r="BU252" s="847"/>
      <c r="BV252" s="847"/>
      <c r="BW252" s="847"/>
      <c r="BX252" s="847"/>
      <c r="BY252" s="847"/>
      <c r="BZ252" s="847"/>
      <c r="CA252" s="847"/>
      <c r="CB252" s="847"/>
      <c r="CC252" s="847"/>
      <c r="CD252" s="847"/>
      <c r="CE252" s="847"/>
      <c r="CF252" s="847"/>
      <c r="CG252" s="847"/>
      <c r="CH252" s="847"/>
      <c r="CI252" s="847"/>
      <c r="CJ252" s="847"/>
      <c r="CK252" s="847"/>
      <c r="CL252" s="847"/>
      <c r="CM252" s="847"/>
      <c r="CN252" s="847"/>
      <c r="CO252" s="847"/>
      <c r="CP252" s="847"/>
      <c r="CQ252" s="847"/>
      <c r="CR252" s="847"/>
      <c r="CS252" s="1013">
        <f>CS248</f>
        <v>1</v>
      </c>
      <c r="CT252" s="847">
        <f>ROUND(C252*CS252,2)</f>
        <v>0</v>
      </c>
      <c r="CU252" s="847"/>
      <c r="CV252" s="847"/>
      <c r="CW252" s="847"/>
      <c r="CX252" s="847"/>
      <c r="CY252" s="847"/>
      <c r="CZ252" s="847"/>
      <c r="DA252" s="847"/>
      <c r="DB252" s="847"/>
      <c r="DC252" s="847"/>
      <c r="DD252" s="847"/>
      <c r="DE252" s="847"/>
      <c r="DF252" s="847"/>
      <c r="DG252" s="847"/>
      <c r="DH252" s="847"/>
      <c r="DI252" s="847"/>
      <c r="DJ252" s="847"/>
      <c r="DK252" s="847"/>
      <c r="DL252" s="847"/>
      <c r="DM252" s="1212"/>
      <c r="DN252" s="1222">
        <f>'Lead &amp; ANALYSIS'!G4460/10</f>
        <v>0.32500000000000001</v>
      </c>
      <c r="DO252" s="1013">
        <f>ROUND(C252*DN252,2)</f>
        <v>0</v>
      </c>
      <c r="DP252" s="847"/>
      <c r="DQ252" s="1013"/>
      <c r="DR252" s="1225"/>
      <c r="DS252" s="1013"/>
      <c r="DT252" s="1225">
        <f>'Lead &amp; ANALYSIS'!G4458/10</f>
        <v>0.32500000000000001</v>
      </c>
      <c r="DU252" s="1214">
        <f>ROUND(C252*DT252,2)</f>
        <v>0</v>
      </c>
      <c r="DV252" s="1242"/>
      <c r="DW252" s="1232"/>
      <c r="DX252" s="1222"/>
      <c r="DY252" s="847"/>
      <c r="DZ252" s="847"/>
      <c r="EA252" s="847"/>
      <c r="EB252" s="847"/>
      <c r="EC252" s="847"/>
      <c r="ED252" s="847"/>
      <c r="EE252" s="847"/>
      <c r="EF252" s="847"/>
      <c r="EG252" s="1212"/>
      <c r="EH252" s="847"/>
      <c r="EI252" s="1212"/>
    </row>
    <row r="253" spans="1:139" s="733" customFormat="1" ht="13.5">
      <c r="A253" s="1009"/>
      <c r="B253" s="1212" t="s">
        <v>2067</v>
      </c>
      <c r="C253" s="1213">
        <v>0</v>
      </c>
      <c r="D253" s="1013" t="s">
        <v>92</v>
      </c>
      <c r="E253" s="847"/>
      <c r="F253" s="1013"/>
      <c r="G253" s="1225">
        <f>G252</f>
        <v>1.4999999999999999E-2</v>
      </c>
      <c r="H253" s="1013">
        <f t="shared" si="9"/>
        <v>0</v>
      </c>
      <c r="I253" s="847"/>
      <c r="J253" s="1013"/>
      <c r="K253" s="847">
        <f>K252</f>
        <v>0.13750000000000001</v>
      </c>
      <c r="L253" s="1013">
        <f t="shared" si="10"/>
        <v>0</v>
      </c>
      <c r="M253" s="847"/>
      <c r="N253" s="1013"/>
      <c r="O253" s="847"/>
      <c r="P253" s="1013"/>
      <c r="Q253" s="847"/>
      <c r="R253" s="847"/>
      <c r="S253" s="847"/>
      <c r="T253" s="847"/>
      <c r="U253" s="847"/>
      <c r="V253" s="847"/>
      <c r="W253" s="847"/>
      <c r="X253" s="847"/>
      <c r="Y253" s="847"/>
      <c r="Z253" s="847"/>
      <c r="AA253" s="847"/>
      <c r="AB253" s="847"/>
      <c r="AC253" s="847"/>
      <c r="AD253" s="847"/>
      <c r="AE253" s="847"/>
      <c r="AF253" s="847"/>
      <c r="AG253" s="847"/>
      <c r="AH253" s="847"/>
      <c r="AI253" s="847"/>
      <c r="AJ253" s="847"/>
      <c r="AK253" s="847"/>
      <c r="AL253" s="847"/>
      <c r="AM253" s="847"/>
      <c r="AN253" s="847"/>
      <c r="AO253" s="847"/>
      <c r="AP253" s="847"/>
      <c r="AQ253" s="847"/>
      <c r="AR253" s="847"/>
      <c r="AS253" s="847"/>
      <c r="AT253" s="847"/>
      <c r="AU253" s="847"/>
      <c r="AV253" s="847"/>
      <c r="AW253" s="847"/>
      <c r="AX253" s="847"/>
      <c r="AY253" s="847"/>
      <c r="AZ253" s="847"/>
      <c r="BA253" s="847"/>
      <c r="BB253" s="847"/>
      <c r="BC253" s="847"/>
      <c r="BD253" s="847"/>
      <c r="BE253" s="847"/>
      <c r="BF253" s="847"/>
      <c r="BG253" s="847"/>
      <c r="BH253" s="847"/>
      <c r="BI253" s="847"/>
      <c r="BJ253" s="847"/>
      <c r="BK253" s="847"/>
      <c r="BL253" s="847"/>
      <c r="BM253" s="847"/>
      <c r="BN253" s="847"/>
      <c r="BO253" s="847"/>
      <c r="BP253" s="847"/>
      <c r="BQ253" s="847"/>
      <c r="BR253" s="847"/>
      <c r="BS253" s="847"/>
      <c r="BT253" s="847"/>
      <c r="BU253" s="847"/>
      <c r="BV253" s="847"/>
      <c r="BW253" s="847"/>
      <c r="BX253" s="847"/>
      <c r="BY253" s="847"/>
      <c r="BZ253" s="847"/>
      <c r="CA253" s="847"/>
      <c r="CB253" s="847"/>
      <c r="CC253" s="847"/>
      <c r="CD253" s="847"/>
      <c r="CE253" s="847"/>
      <c r="CF253" s="847"/>
      <c r="CG253" s="847"/>
      <c r="CH253" s="847"/>
      <c r="CI253" s="847"/>
      <c r="CJ253" s="847"/>
      <c r="CK253" s="847"/>
      <c r="CL253" s="847"/>
      <c r="CM253" s="847"/>
      <c r="CN253" s="847"/>
      <c r="CO253" s="847"/>
      <c r="CP253" s="847"/>
      <c r="CQ253" s="847"/>
      <c r="CR253" s="847"/>
      <c r="CS253" s="1013">
        <f>CS252</f>
        <v>1</v>
      </c>
      <c r="CT253" s="847">
        <f>ROUND(C253*CS253,2)</f>
        <v>0</v>
      </c>
      <c r="CU253" s="847"/>
      <c r="CV253" s="847"/>
      <c r="CW253" s="847"/>
      <c r="CX253" s="847"/>
      <c r="CY253" s="847"/>
      <c r="CZ253" s="847"/>
      <c r="DA253" s="847"/>
      <c r="DB253" s="847"/>
      <c r="DC253" s="847"/>
      <c r="DD253" s="847"/>
      <c r="DE253" s="847"/>
      <c r="DF253" s="847"/>
      <c r="DG253" s="847"/>
      <c r="DH253" s="847"/>
      <c r="DI253" s="847"/>
      <c r="DJ253" s="847"/>
      <c r="DK253" s="847"/>
      <c r="DL253" s="847"/>
      <c r="DM253" s="1212"/>
      <c r="DN253" s="1222">
        <f>DN252+DN252*5%</f>
        <v>0.34125</v>
      </c>
      <c r="DO253" s="1013">
        <f>ROUND(C253*DN253,2)</f>
        <v>0</v>
      </c>
      <c r="DP253" s="847"/>
      <c r="DQ253" s="1013"/>
      <c r="DR253" s="1225"/>
      <c r="DS253" s="1013"/>
      <c r="DT253" s="847">
        <f>DT252+DT252*5%</f>
        <v>0.34125</v>
      </c>
      <c r="DU253" s="1214">
        <f>ROUND(C253*DT253,2)</f>
        <v>0</v>
      </c>
      <c r="DV253" s="1242"/>
      <c r="DW253" s="1232"/>
      <c r="DX253" s="1222"/>
      <c r="DY253" s="847"/>
      <c r="DZ253" s="847"/>
      <c r="EA253" s="847"/>
      <c r="EB253" s="847"/>
      <c r="EC253" s="847"/>
      <c r="ED253" s="847"/>
      <c r="EE253" s="847"/>
      <c r="EF253" s="847"/>
      <c r="EG253" s="1212"/>
      <c r="EH253" s="847"/>
      <c r="EI253" s="1212"/>
    </row>
    <row r="254" spans="1:139" s="733" customFormat="1" ht="13.5">
      <c r="A254" s="1009" t="s">
        <v>220</v>
      </c>
      <c r="B254" s="1212" t="s">
        <v>236</v>
      </c>
      <c r="C254" s="1213">
        <v>0</v>
      </c>
      <c r="D254" s="1013" t="s">
        <v>92</v>
      </c>
      <c r="E254" s="847"/>
      <c r="F254" s="1013"/>
      <c r="G254" s="1225"/>
      <c r="H254" s="1013"/>
      <c r="I254" s="847"/>
      <c r="J254" s="1013"/>
      <c r="K254" s="847"/>
      <c r="L254" s="1013"/>
      <c r="M254" s="847"/>
      <c r="N254" s="1013"/>
      <c r="O254" s="847"/>
      <c r="P254" s="1013"/>
      <c r="Q254" s="847"/>
      <c r="R254" s="847"/>
      <c r="S254" s="847"/>
      <c r="T254" s="847"/>
      <c r="U254" s="847"/>
      <c r="V254" s="847"/>
      <c r="W254" s="847"/>
      <c r="X254" s="847"/>
      <c r="Y254" s="847"/>
      <c r="Z254" s="847"/>
      <c r="AA254" s="847"/>
      <c r="AB254" s="847"/>
      <c r="AC254" s="847"/>
      <c r="AD254" s="847"/>
      <c r="AE254" s="847"/>
      <c r="AF254" s="847"/>
      <c r="AG254" s="847"/>
      <c r="AH254" s="847"/>
      <c r="AI254" s="847"/>
      <c r="AJ254" s="847"/>
      <c r="AK254" s="847"/>
      <c r="AL254" s="847"/>
      <c r="AM254" s="847"/>
      <c r="AN254" s="847"/>
      <c r="AO254" s="847"/>
      <c r="AP254" s="847"/>
      <c r="AQ254" s="847"/>
      <c r="AR254" s="847"/>
      <c r="AS254" s="847"/>
      <c r="AT254" s="847"/>
      <c r="AU254" s="847"/>
      <c r="AV254" s="847"/>
      <c r="AW254" s="847"/>
      <c r="AX254" s="847"/>
      <c r="AY254" s="847"/>
      <c r="AZ254" s="847"/>
      <c r="BA254" s="847"/>
      <c r="BB254" s="847"/>
      <c r="BC254" s="847"/>
      <c r="BD254" s="847"/>
      <c r="BE254" s="847"/>
      <c r="BF254" s="847"/>
      <c r="BG254" s="847"/>
      <c r="BH254" s="847"/>
      <c r="BI254" s="847"/>
      <c r="BJ254" s="847"/>
      <c r="BK254" s="847"/>
      <c r="BL254" s="847"/>
      <c r="BM254" s="847"/>
      <c r="BN254" s="847"/>
      <c r="BO254" s="847"/>
      <c r="BP254" s="847"/>
      <c r="BQ254" s="847"/>
      <c r="BR254" s="847"/>
      <c r="BS254" s="847"/>
      <c r="BT254" s="847"/>
      <c r="BU254" s="847"/>
      <c r="BV254" s="847"/>
      <c r="BW254" s="847"/>
      <c r="BX254" s="847"/>
      <c r="BY254" s="847"/>
      <c r="BZ254" s="847"/>
      <c r="CA254" s="847"/>
      <c r="CB254" s="847"/>
      <c r="CC254" s="847"/>
      <c r="CD254" s="847"/>
      <c r="CE254" s="847"/>
      <c r="CF254" s="847"/>
      <c r="CG254" s="847"/>
      <c r="CH254" s="847"/>
      <c r="CI254" s="847"/>
      <c r="CJ254" s="847"/>
      <c r="CK254" s="847"/>
      <c r="CL254" s="847"/>
      <c r="CM254" s="847"/>
      <c r="CN254" s="847"/>
      <c r="CO254" s="847"/>
      <c r="CP254" s="847"/>
      <c r="CQ254" s="847"/>
      <c r="CR254" s="847"/>
      <c r="CS254" s="847"/>
      <c r="CT254" s="847"/>
      <c r="CU254" s="847"/>
      <c r="CV254" s="847"/>
      <c r="CW254" s="847"/>
      <c r="CX254" s="847"/>
      <c r="CY254" s="847"/>
      <c r="CZ254" s="847"/>
      <c r="DA254" s="847"/>
      <c r="DB254" s="847"/>
      <c r="DC254" s="847"/>
      <c r="DD254" s="847"/>
      <c r="DE254" s="847"/>
      <c r="DF254" s="847"/>
      <c r="DG254" s="847"/>
      <c r="DH254" s="847"/>
      <c r="DI254" s="847"/>
      <c r="DJ254" s="847"/>
      <c r="DK254" s="847"/>
      <c r="DL254" s="847"/>
      <c r="DM254" s="1212"/>
      <c r="DN254" s="1222"/>
      <c r="DO254" s="1013"/>
      <c r="DP254" s="847"/>
      <c r="DQ254" s="1013"/>
      <c r="DR254" s="1225"/>
      <c r="DS254" s="1013"/>
      <c r="DT254" s="1225"/>
      <c r="DU254" s="1214"/>
      <c r="DV254" s="1242"/>
      <c r="DW254" s="1232"/>
      <c r="DX254" s="1222"/>
      <c r="DY254" s="847"/>
      <c r="DZ254" s="847"/>
      <c r="EA254" s="847"/>
      <c r="EB254" s="847"/>
      <c r="EC254" s="847"/>
      <c r="ED254" s="847"/>
      <c r="EE254" s="847"/>
      <c r="EF254" s="847"/>
      <c r="EG254" s="1212"/>
      <c r="EH254" s="847"/>
      <c r="EI254" s="1212"/>
    </row>
    <row r="255" spans="1:139" s="733" customFormat="1" ht="13.5">
      <c r="A255" s="1009"/>
      <c r="B255" s="1212" t="s">
        <v>2066</v>
      </c>
      <c r="C255" s="1213">
        <v>0</v>
      </c>
      <c r="D255" s="1013" t="s">
        <v>92</v>
      </c>
      <c r="E255" s="847"/>
      <c r="F255" s="1013"/>
      <c r="G255" s="1225">
        <f>G252</f>
        <v>1.4999999999999999E-2</v>
      </c>
      <c r="H255" s="1013">
        <f>ROUND(C255*G255,2)</f>
        <v>0</v>
      </c>
      <c r="I255" s="847"/>
      <c r="J255" s="1013"/>
      <c r="K255" s="847">
        <f>K252</f>
        <v>0.13750000000000001</v>
      </c>
      <c r="L255" s="1013">
        <f>ROUND(C255*K255,2)</f>
        <v>0</v>
      </c>
      <c r="M255" s="847"/>
      <c r="N255" s="1013"/>
      <c r="O255" s="847"/>
      <c r="P255" s="1013"/>
      <c r="Q255" s="847"/>
      <c r="R255" s="847"/>
      <c r="S255" s="847"/>
      <c r="T255" s="847"/>
      <c r="U255" s="847"/>
      <c r="V255" s="847"/>
      <c r="W255" s="847"/>
      <c r="X255" s="847"/>
      <c r="Y255" s="847"/>
      <c r="Z255" s="847"/>
      <c r="AA255" s="847"/>
      <c r="AB255" s="847"/>
      <c r="AC255" s="847"/>
      <c r="AD255" s="847"/>
      <c r="AE255" s="847"/>
      <c r="AF255" s="847"/>
      <c r="AG255" s="847"/>
      <c r="AH255" s="847"/>
      <c r="AI255" s="847"/>
      <c r="AJ255" s="847"/>
      <c r="AK255" s="847"/>
      <c r="AL255" s="847"/>
      <c r="AM255" s="847"/>
      <c r="AN255" s="847"/>
      <c r="AO255" s="847"/>
      <c r="AP255" s="847"/>
      <c r="AQ255" s="847"/>
      <c r="AR255" s="847"/>
      <c r="AS255" s="847"/>
      <c r="AT255" s="847"/>
      <c r="AU255" s="847">
        <f>AU249</f>
        <v>7.6E-3</v>
      </c>
      <c r="AV255" s="847">
        <f>ROUND(C255*AU255,2)</f>
        <v>0</v>
      </c>
      <c r="AW255" s="847"/>
      <c r="AX255" s="847"/>
      <c r="AY255" s="847"/>
      <c r="AZ255" s="847"/>
      <c r="BA255" s="847"/>
      <c r="BB255" s="847"/>
      <c r="BC255" s="847"/>
      <c r="BD255" s="847"/>
      <c r="BE255" s="847"/>
      <c r="BF255" s="847"/>
      <c r="BG255" s="847"/>
      <c r="BH255" s="847"/>
      <c r="BI255" s="847"/>
      <c r="BJ255" s="847"/>
      <c r="BK255" s="847"/>
      <c r="BL255" s="847"/>
      <c r="BM255" s="847"/>
      <c r="BN255" s="847"/>
      <c r="BO255" s="847"/>
      <c r="BP255" s="847"/>
      <c r="BQ255" s="847"/>
      <c r="BR255" s="847"/>
      <c r="BS255" s="847"/>
      <c r="BT255" s="847"/>
      <c r="BU255" s="847"/>
      <c r="BV255" s="847"/>
      <c r="BW255" s="847"/>
      <c r="BX255" s="847"/>
      <c r="BY255" s="847"/>
      <c r="BZ255" s="847"/>
      <c r="CA255" s="847"/>
      <c r="CB255" s="847"/>
      <c r="CC255" s="847"/>
      <c r="CD255" s="847"/>
      <c r="CE255" s="847"/>
      <c r="CF255" s="847"/>
      <c r="CG255" s="847"/>
      <c r="CH255" s="847"/>
      <c r="CI255" s="847"/>
      <c r="CJ255" s="847"/>
      <c r="CK255" s="847"/>
      <c r="CL255" s="847"/>
      <c r="CM255" s="847"/>
      <c r="CN255" s="847"/>
      <c r="CO255" s="847"/>
      <c r="CP255" s="847"/>
      <c r="CQ255" s="847"/>
      <c r="CR255" s="847"/>
      <c r="CS255" s="1013">
        <f>CS249</f>
        <v>1</v>
      </c>
      <c r="CT255" s="847"/>
      <c r="CU255" s="847">
        <f>ROUND(C255*CS255,2)</f>
        <v>0</v>
      </c>
      <c r="CV255" s="847"/>
      <c r="CW255" s="847"/>
      <c r="CX255" s="847"/>
      <c r="CY255" s="847"/>
      <c r="CZ255" s="847"/>
      <c r="DA255" s="847"/>
      <c r="DB255" s="847"/>
      <c r="DC255" s="847"/>
      <c r="DD255" s="847"/>
      <c r="DE255" s="847"/>
      <c r="DF255" s="847"/>
      <c r="DG255" s="847"/>
      <c r="DH255" s="847"/>
      <c r="DI255" s="847"/>
      <c r="DJ255" s="847"/>
      <c r="DK255" s="847"/>
      <c r="DL255" s="847"/>
      <c r="DM255" s="1212"/>
      <c r="DN255" s="1222">
        <f>'Lead &amp; ANALYSIS'!G4460/10</f>
        <v>0.32500000000000001</v>
      </c>
      <c r="DO255" s="1013">
        <f>ROUND(C255*DN255,2)</f>
        <v>0</v>
      </c>
      <c r="DP255" s="847"/>
      <c r="DQ255" s="1013"/>
      <c r="DR255" s="1225"/>
      <c r="DS255" s="1013"/>
      <c r="DT255" s="1225">
        <f>'Lead &amp; ANALYSIS'!G4458/10</f>
        <v>0.32500000000000001</v>
      </c>
      <c r="DU255" s="1214">
        <f>ROUND(C255*DT255,2)</f>
        <v>0</v>
      </c>
      <c r="DV255" s="1242"/>
      <c r="DW255" s="1232"/>
      <c r="DX255" s="1222"/>
      <c r="DY255" s="847"/>
      <c r="DZ255" s="847"/>
      <c r="EA255" s="847"/>
      <c r="EB255" s="847"/>
      <c r="EC255" s="847"/>
      <c r="ED255" s="847"/>
      <c r="EE255" s="847"/>
      <c r="EF255" s="847"/>
      <c r="EG255" s="1212"/>
      <c r="EH255" s="847"/>
      <c r="EI255" s="1212"/>
    </row>
    <row r="256" spans="1:139" s="733" customFormat="1" ht="13.5">
      <c r="A256" s="1009"/>
      <c r="B256" s="1212" t="s">
        <v>2067</v>
      </c>
      <c r="C256" s="1213">
        <v>0</v>
      </c>
      <c r="D256" s="1013" t="s">
        <v>92</v>
      </c>
      <c r="E256" s="847"/>
      <c r="F256" s="1013"/>
      <c r="G256" s="1225">
        <f>G255</f>
        <v>1.4999999999999999E-2</v>
      </c>
      <c r="H256" s="1013">
        <f>ROUND(C256*G256,2)</f>
        <v>0</v>
      </c>
      <c r="I256" s="847"/>
      <c r="J256" s="1013"/>
      <c r="K256" s="847">
        <f>K255</f>
        <v>0.13750000000000001</v>
      </c>
      <c r="L256" s="1013">
        <f>ROUND(C256*K256,2)</f>
        <v>0</v>
      </c>
      <c r="M256" s="847"/>
      <c r="N256" s="1013"/>
      <c r="O256" s="847"/>
      <c r="P256" s="1013"/>
      <c r="Q256" s="847"/>
      <c r="R256" s="847"/>
      <c r="S256" s="847"/>
      <c r="T256" s="847"/>
      <c r="U256" s="847"/>
      <c r="V256" s="847"/>
      <c r="W256" s="847"/>
      <c r="X256" s="847"/>
      <c r="Y256" s="847"/>
      <c r="Z256" s="847"/>
      <c r="AA256" s="847"/>
      <c r="AB256" s="847"/>
      <c r="AC256" s="847"/>
      <c r="AD256" s="847"/>
      <c r="AE256" s="847"/>
      <c r="AF256" s="847"/>
      <c r="AG256" s="847"/>
      <c r="AH256" s="847"/>
      <c r="AI256" s="847"/>
      <c r="AJ256" s="847"/>
      <c r="AK256" s="847"/>
      <c r="AL256" s="847"/>
      <c r="AM256" s="847"/>
      <c r="AN256" s="847"/>
      <c r="AO256" s="847"/>
      <c r="AP256" s="847"/>
      <c r="AQ256" s="847"/>
      <c r="AR256" s="847"/>
      <c r="AS256" s="847"/>
      <c r="AT256" s="847"/>
      <c r="AU256" s="847">
        <f>AU255</f>
        <v>7.6E-3</v>
      </c>
      <c r="AV256" s="847">
        <f>ROUND(C256*AU256,2)</f>
        <v>0</v>
      </c>
      <c r="AW256" s="847"/>
      <c r="AX256" s="847"/>
      <c r="AY256" s="847"/>
      <c r="AZ256" s="847"/>
      <c r="BA256" s="847"/>
      <c r="BB256" s="847"/>
      <c r="BC256" s="847"/>
      <c r="BD256" s="847"/>
      <c r="BE256" s="847"/>
      <c r="BF256" s="847"/>
      <c r="BG256" s="847"/>
      <c r="BH256" s="847"/>
      <c r="BI256" s="847"/>
      <c r="BJ256" s="847"/>
      <c r="BK256" s="847"/>
      <c r="BL256" s="847"/>
      <c r="BM256" s="847"/>
      <c r="BN256" s="847"/>
      <c r="BO256" s="847"/>
      <c r="BP256" s="847"/>
      <c r="BQ256" s="847"/>
      <c r="BR256" s="847"/>
      <c r="BS256" s="847"/>
      <c r="BT256" s="847"/>
      <c r="BU256" s="847"/>
      <c r="BV256" s="847"/>
      <c r="BW256" s="847"/>
      <c r="BX256" s="847"/>
      <c r="BY256" s="847"/>
      <c r="BZ256" s="847"/>
      <c r="CA256" s="847"/>
      <c r="CB256" s="847"/>
      <c r="CC256" s="847"/>
      <c r="CD256" s="847"/>
      <c r="CE256" s="847"/>
      <c r="CF256" s="847"/>
      <c r="CG256" s="847"/>
      <c r="CH256" s="847"/>
      <c r="CI256" s="847"/>
      <c r="CJ256" s="847"/>
      <c r="CK256" s="847"/>
      <c r="CL256" s="847"/>
      <c r="CM256" s="847"/>
      <c r="CN256" s="847"/>
      <c r="CO256" s="847"/>
      <c r="CP256" s="847"/>
      <c r="CQ256" s="847"/>
      <c r="CR256" s="847"/>
      <c r="CS256" s="1013">
        <f>CS255</f>
        <v>1</v>
      </c>
      <c r="CT256" s="847"/>
      <c r="CU256" s="847">
        <f>ROUND(C256*CS256,2)</f>
        <v>0</v>
      </c>
      <c r="CV256" s="847"/>
      <c r="CW256" s="847"/>
      <c r="CX256" s="847"/>
      <c r="CY256" s="847"/>
      <c r="CZ256" s="847"/>
      <c r="DA256" s="847"/>
      <c r="DB256" s="847"/>
      <c r="DC256" s="847"/>
      <c r="DD256" s="847"/>
      <c r="DE256" s="847"/>
      <c r="DF256" s="847"/>
      <c r="DG256" s="847"/>
      <c r="DH256" s="847"/>
      <c r="DI256" s="847"/>
      <c r="DJ256" s="847"/>
      <c r="DK256" s="847"/>
      <c r="DL256" s="847"/>
      <c r="DM256" s="1212"/>
      <c r="DN256" s="1222">
        <f>DN255+DN255*5%</f>
        <v>0.34125</v>
      </c>
      <c r="DO256" s="1013">
        <f>ROUND(C256*DN256,2)</f>
        <v>0</v>
      </c>
      <c r="DP256" s="847"/>
      <c r="DQ256" s="1013"/>
      <c r="DR256" s="1225"/>
      <c r="DS256" s="1013"/>
      <c r="DT256" s="847">
        <f>DT255+DT255*5%</f>
        <v>0.34125</v>
      </c>
      <c r="DU256" s="1214">
        <f>ROUND(C256*DT256,2)</f>
        <v>0</v>
      </c>
      <c r="DV256" s="1242"/>
      <c r="DW256" s="1232"/>
      <c r="DX256" s="1222"/>
      <c r="DY256" s="847"/>
      <c r="DZ256" s="847"/>
      <c r="EA256" s="847"/>
      <c r="EB256" s="847"/>
      <c r="EC256" s="847"/>
      <c r="ED256" s="847"/>
      <c r="EE256" s="847"/>
      <c r="EF256" s="847"/>
      <c r="EG256" s="1212"/>
      <c r="EH256" s="847"/>
      <c r="EI256" s="1212"/>
    </row>
    <row r="257" spans="1:139" s="733" customFormat="1" ht="13.5">
      <c r="A257" s="1009" t="s">
        <v>220</v>
      </c>
      <c r="B257" s="1212" t="s">
        <v>231</v>
      </c>
      <c r="C257" s="1213">
        <v>0</v>
      </c>
      <c r="D257" s="1013" t="s">
        <v>92</v>
      </c>
      <c r="E257" s="847"/>
      <c r="F257" s="1013"/>
      <c r="G257" s="1225"/>
      <c r="H257" s="1013"/>
      <c r="I257" s="847"/>
      <c r="J257" s="1013"/>
      <c r="K257" s="847"/>
      <c r="L257" s="1013"/>
      <c r="M257" s="847"/>
      <c r="N257" s="1013"/>
      <c r="O257" s="847"/>
      <c r="P257" s="1013"/>
      <c r="Q257" s="847"/>
      <c r="R257" s="847"/>
      <c r="S257" s="847"/>
      <c r="T257" s="847"/>
      <c r="U257" s="847"/>
      <c r="V257" s="847"/>
      <c r="W257" s="847"/>
      <c r="X257" s="847"/>
      <c r="Y257" s="847"/>
      <c r="Z257" s="847"/>
      <c r="AA257" s="847"/>
      <c r="AB257" s="847"/>
      <c r="AC257" s="847"/>
      <c r="AD257" s="847"/>
      <c r="AE257" s="847"/>
      <c r="AF257" s="847"/>
      <c r="AG257" s="847"/>
      <c r="AH257" s="847"/>
      <c r="AI257" s="847"/>
      <c r="AJ257" s="847"/>
      <c r="AK257" s="847"/>
      <c r="AL257" s="847"/>
      <c r="AM257" s="847"/>
      <c r="AN257" s="847"/>
      <c r="AO257" s="847"/>
      <c r="AP257" s="847"/>
      <c r="AQ257" s="847"/>
      <c r="AR257" s="847"/>
      <c r="AS257" s="847"/>
      <c r="AT257" s="847"/>
      <c r="AU257" s="847"/>
      <c r="AV257" s="847"/>
      <c r="AW257" s="847"/>
      <c r="AX257" s="847"/>
      <c r="AY257" s="847"/>
      <c r="AZ257" s="847"/>
      <c r="BA257" s="847"/>
      <c r="BB257" s="847"/>
      <c r="BC257" s="847"/>
      <c r="BD257" s="847"/>
      <c r="BE257" s="847"/>
      <c r="BF257" s="847"/>
      <c r="BG257" s="847"/>
      <c r="BH257" s="847"/>
      <c r="BI257" s="847"/>
      <c r="BJ257" s="847"/>
      <c r="BK257" s="847"/>
      <c r="BL257" s="847"/>
      <c r="BM257" s="847"/>
      <c r="BN257" s="847"/>
      <c r="BO257" s="847"/>
      <c r="BP257" s="847"/>
      <c r="BQ257" s="847"/>
      <c r="BR257" s="847"/>
      <c r="BS257" s="847"/>
      <c r="BT257" s="847"/>
      <c r="BU257" s="847"/>
      <c r="BV257" s="847"/>
      <c r="BW257" s="847"/>
      <c r="BX257" s="847"/>
      <c r="BY257" s="847"/>
      <c r="BZ257" s="847"/>
      <c r="CA257" s="847"/>
      <c r="CB257" s="847"/>
      <c r="CC257" s="847"/>
      <c r="CD257" s="847"/>
      <c r="CE257" s="847"/>
      <c r="CF257" s="847"/>
      <c r="CG257" s="847"/>
      <c r="CH257" s="847"/>
      <c r="CI257" s="847"/>
      <c r="CJ257" s="847"/>
      <c r="CK257" s="847"/>
      <c r="CL257" s="847"/>
      <c r="CM257" s="847"/>
      <c r="CN257" s="847"/>
      <c r="CO257" s="847"/>
      <c r="CP257" s="847"/>
      <c r="CQ257" s="847"/>
      <c r="CR257" s="847"/>
      <c r="CS257" s="847"/>
      <c r="CT257" s="847"/>
      <c r="CU257" s="847"/>
      <c r="CV257" s="847"/>
      <c r="CW257" s="847"/>
      <c r="CX257" s="847"/>
      <c r="CY257" s="847"/>
      <c r="CZ257" s="847"/>
      <c r="DA257" s="847"/>
      <c r="DB257" s="847"/>
      <c r="DC257" s="847"/>
      <c r="DD257" s="847"/>
      <c r="DE257" s="847"/>
      <c r="DF257" s="847"/>
      <c r="DG257" s="847"/>
      <c r="DH257" s="847"/>
      <c r="DI257" s="847"/>
      <c r="DJ257" s="847"/>
      <c r="DK257" s="847"/>
      <c r="DL257" s="847"/>
      <c r="DM257" s="1212"/>
      <c r="DN257" s="1222"/>
      <c r="DO257" s="1013"/>
      <c r="DP257" s="847"/>
      <c r="DQ257" s="1013"/>
      <c r="DR257" s="1225"/>
      <c r="DS257" s="1013"/>
      <c r="DT257" s="1225"/>
      <c r="DU257" s="1214"/>
      <c r="DV257" s="1242"/>
      <c r="DW257" s="1232"/>
      <c r="DX257" s="1222"/>
      <c r="DY257" s="847"/>
      <c r="DZ257" s="847"/>
      <c r="EA257" s="847"/>
      <c r="EB257" s="847"/>
      <c r="EC257" s="847"/>
      <c r="ED257" s="847"/>
      <c r="EE257" s="847"/>
      <c r="EF257" s="847"/>
      <c r="EG257" s="1212"/>
      <c r="EH257" s="847"/>
      <c r="EI257" s="1212"/>
    </row>
    <row r="258" spans="1:139" s="733" customFormat="1" ht="13.5">
      <c r="A258" s="1009"/>
      <c r="B258" s="1212" t="s">
        <v>2066</v>
      </c>
      <c r="C258" s="1213">
        <v>0</v>
      </c>
      <c r="D258" s="1013" t="s">
        <v>92</v>
      </c>
      <c r="E258" s="847"/>
      <c r="F258" s="1013"/>
      <c r="G258" s="1225">
        <f>G252</f>
        <v>1.4999999999999999E-2</v>
      </c>
      <c r="H258" s="1013">
        <f t="shared" si="9"/>
        <v>0</v>
      </c>
      <c r="I258" s="847"/>
      <c r="J258" s="1013"/>
      <c r="K258" s="847">
        <f>K252</f>
        <v>0.13750000000000001</v>
      </c>
      <c r="L258" s="1013">
        <f t="shared" si="10"/>
        <v>0</v>
      </c>
      <c r="M258" s="847"/>
      <c r="N258" s="1013"/>
      <c r="O258" s="847"/>
      <c r="P258" s="1013"/>
      <c r="Q258" s="847"/>
      <c r="R258" s="847"/>
      <c r="S258" s="847"/>
      <c r="T258" s="847"/>
      <c r="U258" s="847"/>
      <c r="V258" s="847"/>
      <c r="W258" s="847"/>
      <c r="X258" s="847"/>
      <c r="Y258" s="847"/>
      <c r="Z258" s="847"/>
      <c r="AA258" s="847"/>
      <c r="AB258" s="847"/>
      <c r="AC258" s="847"/>
      <c r="AD258" s="847"/>
      <c r="AE258" s="847"/>
      <c r="AF258" s="847"/>
      <c r="AG258" s="847"/>
      <c r="AH258" s="847"/>
      <c r="AI258" s="847"/>
      <c r="AJ258" s="847"/>
      <c r="AK258" s="847"/>
      <c r="AL258" s="847"/>
      <c r="AM258" s="847"/>
      <c r="AN258" s="847"/>
      <c r="AO258" s="847"/>
      <c r="AP258" s="847"/>
      <c r="AQ258" s="847"/>
      <c r="AR258" s="847"/>
      <c r="AS258" s="847"/>
      <c r="AT258" s="847"/>
      <c r="AU258" s="847"/>
      <c r="AV258" s="847"/>
      <c r="AW258" s="847"/>
      <c r="AX258" s="847"/>
      <c r="AY258" s="847"/>
      <c r="AZ258" s="847"/>
      <c r="BA258" s="847"/>
      <c r="BB258" s="847"/>
      <c r="BC258" s="847"/>
      <c r="BD258" s="847"/>
      <c r="BE258" s="847"/>
      <c r="BF258" s="847"/>
      <c r="BG258" s="847"/>
      <c r="BH258" s="847"/>
      <c r="BI258" s="847"/>
      <c r="BJ258" s="847"/>
      <c r="BK258" s="847"/>
      <c r="BL258" s="847"/>
      <c r="BM258" s="847"/>
      <c r="BN258" s="847"/>
      <c r="BO258" s="847"/>
      <c r="BP258" s="847"/>
      <c r="BQ258" s="847"/>
      <c r="BR258" s="847"/>
      <c r="BS258" s="847"/>
      <c r="BT258" s="847"/>
      <c r="BU258" s="847"/>
      <c r="BV258" s="847"/>
      <c r="BW258" s="847"/>
      <c r="BX258" s="847"/>
      <c r="BY258" s="847"/>
      <c r="BZ258" s="847"/>
      <c r="CA258" s="847"/>
      <c r="CB258" s="847"/>
      <c r="CC258" s="847"/>
      <c r="CD258" s="847"/>
      <c r="CE258" s="847"/>
      <c r="CF258" s="847"/>
      <c r="CG258" s="847"/>
      <c r="CH258" s="847"/>
      <c r="CI258" s="847"/>
      <c r="CJ258" s="847"/>
      <c r="CK258" s="847"/>
      <c r="CL258" s="847"/>
      <c r="CM258" s="847"/>
      <c r="CN258" s="847"/>
      <c r="CO258" s="847"/>
      <c r="CP258" s="847"/>
      <c r="CQ258" s="847"/>
      <c r="CR258" s="847"/>
      <c r="CS258" s="1013">
        <f>CS252</f>
        <v>1</v>
      </c>
      <c r="CT258" s="847"/>
      <c r="CU258" s="847"/>
      <c r="CV258" s="847">
        <f>ROUND(C258*CS258,2)</f>
        <v>0</v>
      </c>
      <c r="CW258" s="847"/>
      <c r="CX258" s="847"/>
      <c r="CY258" s="847"/>
      <c r="CZ258" s="847"/>
      <c r="DA258" s="847"/>
      <c r="DB258" s="847"/>
      <c r="DC258" s="847"/>
      <c r="DD258" s="847"/>
      <c r="DE258" s="847"/>
      <c r="DF258" s="847"/>
      <c r="DG258" s="847"/>
      <c r="DH258" s="847"/>
      <c r="DI258" s="847"/>
      <c r="DJ258" s="847"/>
      <c r="DK258" s="847"/>
      <c r="DL258" s="847"/>
      <c r="DM258" s="1212"/>
      <c r="DN258" s="1222">
        <f>'Lead &amp; ANALYSIS'!G4460/10</f>
        <v>0.32500000000000001</v>
      </c>
      <c r="DO258" s="1013">
        <f>ROUND(C258*DN258,2)</f>
        <v>0</v>
      </c>
      <c r="DP258" s="847"/>
      <c r="DQ258" s="1013"/>
      <c r="DR258" s="1225"/>
      <c r="DS258" s="1013"/>
      <c r="DT258" s="1225">
        <f>'Lead &amp; ANALYSIS'!G4458/10</f>
        <v>0.32500000000000001</v>
      </c>
      <c r="DU258" s="1214">
        <f>ROUND(C258*DT258,2)</f>
        <v>0</v>
      </c>
      <c r="DV258" s="1242"/>
      <c r="DW258" s="1232"/>
      <c r="DX258" s="1222"/>
      <c r="DY258" s="847"/>
      <c r="DZ258" s="847"/>
      <c r="EA258" s="847"/>
      <c r="EB258" s="847"/>
      <c r="EC258" s="847"/>
      <c r="ED258" s="847"/>
      <c r="EE258" s="847"/>
      <c r="EF258" s="847"/>
      <c r="EG258" s="1212"/>
      <c r="EH258" s="847"/>
      <c r="EI258" s="1212"/>
    </row>
    <row r="259" spans="1:139" s="733" customFormat="1" ht="13.5">
      <c r="A259" s="1009"/>
      <c r="B259" s="1212" t="s">
        <v>2067</v>
      </c>
      <c r="C259" s="1213">
        <v>0</v>
      </c>
      <c r="D259" s="1013" t="s">
        <v>92</v>
      </c>
      <c r="E259" s="847"/>
      <c r="F259" s="1013"/>
      <c r="G259" s="1225">
        <f>G258</f>
        <v>1.4999999999999999E-2</v>
      </c>
      <c r="H259" s="1013">
        <f t="shared" si="9"/>
        <v>0</v>
      </c>
      <c r="I259" s="847"/>
      <c r="J259" s="1013"/>
      <c r="K259" s="847">
        <f>K258</f>
        <v>0.13750000000000001</v>
      </c>
      <c r="L259" s="1013">
        <f t="shared" si="10"/>
        <v>0</v>
      </c>
      <c r="M259" s="847"/>
      <c r="N259" s="1013"/>
      <c r="O259" s="847"/>
      <c r="P259" s="1013"/>
      <c r="Q259" s="847"/>
      <c r="R259" s="847"/>
      <c r="S259" s="847"/>
      <c r="T259" s="847"/>
      <c r="U259" s="847"/>
      <c r="V259" s="847"/>
      <c r="W259" s="847"/>
      <c r="X259" s="847"/>
      <c r="Y259" s="847"/>
      <c r="Z259" s="847"/>
      <c r="AA259" s="847"/>
      <c r="AB259" s="847"/>
      <c r="AC259" s="847"/>
      <c r="AD259" s="847"/>
      <c r="AE259" s="847"/>
      <c r="AF259" s="847"/>
      <c r="AG259" s="847"/>
      <c r="AH259" s="847"/>
      <c r="AI259" s="847"/>
      <c r="AJ259" s="847"/>
      <c r="AK259" s="847"/>
      <c r="AL259" s="847"/>
      <c r="AM259" s="847"/>
      <c r="AN259" s="847"/>
      <c r="AO259" s="847"/>
      <c r="AP259" s="847"/>
      <c r="AQ259" s="847"/>
      <c r="AR259" s="847"/>
      <c r="AS259" s="847"/>
      <c r="AT259" s="847"/>
      <c r="AU259" s="847"/>
      <c r="AV259" s="847"/>
      <c r="AW259" s="847"/>
      <c r="AX259" s="847"/>
      <c r="AY259" s="847"/>
      <c r="AZ259" s="847"/>
      <c r="BA259" s="847"/>
      <c r="BB259" s="847"/>
      <c r="BC259" s="847"/>
      <c r="BD259" s="847"/>
      <c r="BE259" s="847"/>
      <c r="BF259" s="847"/>
      <c r="BG259" s="847"/>
      <c r="BH259" s="847"/>
      <c r="BI259" s="847"/>
      <c r="BJ259" s="847"/>
      <c r="BK259" s="847"/>
      <c r="BL259" s="847"/>
      <c r="BM259" s="847"/>
      <c r="BN259" s="847"/>
      <c r="BO259" s="847"/>
      <c r="BP259" s="847"/>
      <c r="BQ259" s="847"/>
      <c r="BR259" s="847"/>
      <c r="BS259" s="847"/>
      <c r="BT259" s="847"/>
      <c r="BU259" s="847"/>
      <c r="BV259" s="847"/>
      <c r="BW259" s="847"/>
      <c r="BX259" s="847"/>
      <c r="BY259" s="847"/>
      <c r="BZ259" s="847"/>
      <c r="CA259" s="847"/>
      <c r="CB259" s="847"/>
      <c r="CC259" s="847"/>
      <c r="CD259" s="847"/>
      <c r="CE259" s="847"/>
      <c r="CF259" s="847"/>
      <c r="CG259" s="847"/>
      <c r="CH259" s="847"/>
      <c r="CI259" s="847"/>
      <c r="CJ259" s="847"/>
      <c r="CK259" s="847"/>
      <c r="CL259" s="847"/>
      <c r="CM259" s="847"/>
      <c r="CN259" s="847"/>
      <c r="CO259" s="847"/>
      <c r="CP259" s="847"/>
      <c r="CQ259" s="847"/>
      <c r="CR259" s="847"/>
      <c r="CS259" s="1013">
        <f>CS258</f>
        <v>1</v>
      </c>
      <c r="CT259" s="847"/>
      <c r="CU259" s="847"/>
      <c r="CV259" s="847">
        <f>ROUND(C259*CS259,2)</f>
        <v>0</v>
      </c>
      <c r="CW259" s="847"/>
      <c r="CX259" s="847"/>
      <c r="CY259" s="847"/>
      <c r="CZ259" s="847"/>
      <c r="DA259" s="847"/>
      <c r="DB259" s="847"/>
      <c r="DC259" s="847"/>
      <c r="DD259" s="847"/>
      <c r="DE259" s="847"/>
      <c r="DF259" s="847"/>
      <c r="DG259" s="847"/>
      <c r="DH259" s="847"/>
      <c r="DI259" s="847"/>
      <c r="DJ259" s="847"/>
      <c r="DK259" s="847"/>
      <c r="DL259" s="847"/>
      <c r="DM259" s="1212"/>
      <c r="DN259" s="1222">
        <f>DN258+DN258*5%</f>
        <v>0.34125</v>
      </c>
      <c r="DO259" s="1013">
        <f>ROUND(C259*DN259,2)</f>
        <v>0</v>
      </c>
      <c r="DP259" s="847"/>
      <c r="DQ259" s="1013"/>
      <c r="DR259" s="1225"/>
      <c r="DS259" s="1013"/>
      <c r="DT259" s="847">
        <f>DT258+DT258*5%</f>
        <v>0.34125</v>
      </c>
      <c r="DU259" s="1214">
        <f>ROUND(C259*DT259,2)</f>
        <v>0</v>
      </c>
      <c r="DV259" s="1242"/>
      <c r="DW259" s="1232"/>
      <c r="DX259" s="1222"/>
      <c r="DY259" s="847"/>
      <c r="DZ259" s="847"/>
      <c r="EA259" s="847"/>
      <c r="EB259" s="847"/>
      <c r="EC259" s="847"/>
      <c r="ED259" s="847"/>
      <c r="EE259" s="847"/>
      <c r="EF259" s="847"/>
      <c r="EG259" s="1212"/>
      <c r="EH259" s="847"/>
      <c r="EI259" s="1212"/>
    </row>
    <row r="260" spans="1:139" s="733" customFormat="1" ht="13.5">
      <c r="A260" s="1009" t="s">
        <v>244</v>
      </c>
      <c r="B260" s="1212" t="s">
        <v>225</v>
      </c>
      <c r="C260" s="1213">
        <v>0</v>
      </c>
      <c r="D260" s="1013" t="s">
        <v>92</v>
      </c>
      <c r="E260" s="847"/>
      <c r="F260" s="1013"/>
      <c r="G260" s="1225"/>
      <c r="H260" s="1013"/>
      <c r="I260" s="847"/>
      <c r="J260" s="1013"/>
      <c r="K260" s="847"/>
      <c r="L260" s="1013"/>
      <c r="M260" s="847"/>
      <c r="N260" s="1013"/>
      <c r="O260" s="847"/>
      <c r="P260" s="1013"/>
      <c r="Q260" s="847"/>
      <c r="R260" s="847"/>
      <c r="S260" s="847"/>
      <c r="T260" s="847"/>
      <c r="U260" s="847"/>
      <c r="V260" s="847"/>
      <c r="W260" s="847"/>
      <c r="X260" s="847"/>
      <c r="Y260" s="847"/>
      <c r="Z260" s="847"/>
      <c r="AA260" s="847"/>
      <c r="AB260" s="847"/>
      <c r="AC260" s="847"/>
      <c r="AD260" s="847"/>
      <c r="AE260" s="847"/>
      <c r="AF260" s="847"/>
      <c r="AG260" s="847"/>
      <c r="AH260" s="847"/>
      <c r="AI260" s="847"/>
      <c r="AJ260" s="847"/>
      <c r="AK260" s="847"/>
      <c r="AL260" s="847"/>
      <c r="AM260" s="847"/>
      <c r="AN260" s="847"/>
      <c r="AO260" s="847"/>
      <c r="AP260" s="847"/>
      <c r="AQ260" s="847"/>
      <c r="AR260" s="847"/>
      <c r="AS260" s="847"/>
      <c r="AT260" s="847"/>
      <c r="AU260" s="847"/>
      <c r="AV260" s="847"/>
      <c r="AW260" s="847"/>
      <c r="AX260" s="847"/>
      <c r="AY260" s="847"/>
      <c r="AZ260" s="847"/>
      <c r="BA260" s="847"/>
      <c r="BB260" s="847"/>
      <c r="BC260" s="847"/>
      <c r="BD260" s="847"/>
      <c r="BE260" s="847"/>
      <c r="BF260" s="847"/>
      <c r="BG260" s="847"/>
      <c r="BH260" s="847"/>
      <c r="BI260" s="847"/>
      <c r="BJ260" s="847"/>
      <c r="BK260" s="847"/>
      <c r="BL260" s="847"/>
      <c r="BM260" s="847"/>
      <c r="BN260" s="847"/>
      <c r="BO260" s="847"/>
      <c r="BP260" s="847"/>
      <c r="BQ260" s="847"/>
      <c r="BR260" s="847"/>
      <c r="BS260" s="847"/>
      <c r="BT260" s="847"/>
      <c r="BU260" s="847"/>
      <c r="BV260" s="847"/>
      <c r="BW260" s="847"/>
      <c r="BX260" s="847"/>
      <c r="BY260" s="847"/>
      <c r="BZ260" s="847"/>
      <c r="CA260" s="847"/>
      <c r="CB260" s="847"/>
      <c r="CC260" s="847"/>
      <c r="CD260" s="847"/>
      <c r="CE260" s="847"/>
      <c r="CF260" s="847"/>
      <c r="CG260" s="847"/>
      <c r="CH260" s="847"/>
      <c r="CI260" s="847"/>
      <c r="CJ260" s="847"/>
      <c r="CK260" s="847"/>
      <c r="CL260" s="847"/>
      <c r="CM260" s="847"/>
      <c r="CN260" s="847"/>
      <c r="CO260" s="847"/>
      <c r="CP260" s="847"/>
      <c r="CQ260" s="847"/>
      <c r="CR260" s="847"/>
      <c r="CS260" s="847"/>
      <c r="CT260" s="847"/>
      <c r="CU260" s="847"/>
      <c r="CV260" s="847"/>
      <c r="CW260" s="847"/>
      <c r="CX260" s="847"/>
      <c r="CY260" s="847"/>
      <c r="CZ260" s="847"/>
      <c r="DA260" s="847"/>
      <c r="DB260" s="847"/>
      <c r="DC260" s="847"/>
      <c r="DD260" s="847"/>
      <c r="DE260" s="847"/>
      <c r="DF260" s="847"/>
      <c r="DG260" s="847"/>
      <c r="DH260" s="847"/>
      <c r="DI260" s="847"/>
      <c r="DJ260" s="847"/>
      <c r="DK260" s="847"/>
      <c r="DL260" s="847"/>
      <c r="DM260" s="1212"/>
      <c r="DN260" s="1222"/>
      <c r="DO260" s="1013"/>
      <c r="DP260" s="847"/>
      <c r="DQ260" s="1013"/>
      <c r="DR260" s="1225"/>
      <c r="DS260" s="1013"/>
      <c r="DT260" s="1225"/>
      <c r="DU260" s="1214"/>
      <c r="DV260" s="1242"/>
      <c r="DW260" s="1232"/>
      <c r="DX260" s="1222"/>
      <c r="DY260" s="847"/>
      <c r="DZ260" s="847"/>
      <c r="EA260" s="847"/>
      <c r="EB260" s="847"/>
      <c r="EC260" s="847"/>
      <c r="ED260" s="847"/>
      <c r="EE260" s="847"/>
      <c r="EF260" s="847"/>
      <c r="EG260" s="1212"/>
      <c r="EH260" s="847"/>
      <c r="EI260" s="1212"/>
    </row>
    <row r="261" spans="1:139" s="733" customFormat="1" ht="13.5">
      <c r="A261" s="1009"/>
      <c r="B261" s="1212" t="s">
        <v>2066</v>
      </c>
      <c r="C261" s="1213">
        <v>0</v>
      </c>
      <c r="D261" s="1013" t="s">
        <v>92</v>
      </c>
      <c r="E261" s="847"/>
      <c r="F261" s="1013"/>
      <c r="G261" s="1225">
        <f>G258</f>
        <v>1.4999999999999999E-2</v>
      </c>
      <c r="H261" s="1013">
        <f t="shared" si="9"/>
        <v>0</v>
      </c>
      <c r="I261" s="847"/>
      <c r="J261" s="1013"/>
      <c r="K261" s="847">
        <f>K258</f>
        <v>0.13750000000000001</v>
      </c>
      <c r="L261" s="1013">
        <f t="shared" si="10"/>
        <v>0</v>
      </c>
      <c r="M261" s="847"/>
      <c r="N261" s="1013"/>
      <c r="O261" s="847"/>
      <c r="P261" s="1013"/>
      <c r="Q261" s="847"/>
      <c r="R261" s="847"/>
      <c r="S261" s="847"/>
      <c r="T261" s="847"/>
      <c r="U261" s="847"/>
      <c r="V261" s="847"/>
      <c r="W261" s="847"/>
      <c r="X261" s="847"/>
      <c r="Y261" s="847"/>
      <c r="Z261" s="847"/>
      <c r="AA261" s="847"/>
      <c r="AB261" s="847"/>
      <c r="AC261" s="847"/>
      <c r="AD261" s="847"/>
      <c r="AE261" s="847"/>
      <c r="AF261" s="847"/>
      <c r="AG261" s="847"/>
      <c r="AH261" s="847"/>
      <c r="AI261" s="847"/>
      <c r="AJ261" s="847"/>
      <c r="AK261" s="847"/>
      <c r="AL261" s="847"/>
      <c r="AM261" s="847"/>
      <c r="AN261" s="847"/>
      <c r="AO261" s="847"/>
      <c r="AP261" s="847"/>
      <c r="AQ261" s="847"/>
      <c r="AR261" s="847"/>
      <c r="AS261" s="847"/>
      <c r="AT261" s="847"/>
      <c r="AU261" s="847"/>
      <c r="AV261" s="847"/>
      <c r="AW261" s="847"/>
      <c r="AX261" s="847"/>
      <c r="AY261" s="847"/>
      <c r="AZ261" s="847"/>
      <c r="BA261" s="847"/>
      <c r="BB261" s="847"/>
      <c r="BC261" s="847"/>
      <c r="BD261" s="847"/>
      <c r="BE261" s="847"/>
      <c r="BF261" s="847"/>
      <c r="BG261" s="847"/>
      <c r="BH261" s="847"/>
      <c r="BI261" s="847"/>
      <c r="BJ261" s="847"/>
      <c r="BK261" s="847"/>
      <c r="BL261" s="847"/>
      <c r="BM261" s="847"/>
      <c r="BN261" s="847"/>
      <c r="BO261" s="847"/>
      <c r="BP261" s="847"/>
      <c r="BQ261" s="847"/>
      <c r="BR261" s="847"/>
      <c r="BS261" s="847"/>
      <c r="BT261" s="847"/>
      <c r="BU261" s="847"/>
      <c r="BV261" s="847"/>
      <c r="BW261" s="847"/>
      <c r="BX261" s="847"/>
      <c r="BY261" s="847"/>
      <c r="BZ261" s="847"/>
      <c r="CA261" s="847"/>
      <c r="CB261" s="847"/>
      <c r="CC261" s="847"/>
      <c r="CD261" s="847"/>
      <c r="CE261" s="847"/>
      <c r="CF261" s="847"/>
      <c r="CG261" s="847"/>
      <c r="CH261" s="847"/>
      <c r="CI261" s="847"/>
      <c r="CJ261" s="847"/>
      <c r="CK261" s="847"/>
      <c r="CL261" s="847"/>
      <c r="CM261" s="847"/>
      <c r="CN261" s="847"/>
      <c r="CO261" s="847"/>
      <c r="CP261" s="847"/>
      <c r="CQ261" s="847"/>
      <c r="CR261" s="847"/>
      <c r="CS261" s="1013">
        <f>CS258</f>
        <v>1</v>
      </c>
      <c r="CT261" s="847"/>
      <c r="CU261" s="847"/>
      <c r="CV261" s="847"/>
      <c r="CW261" s="847"/>
      <c r="CX261" s="847"/>
      <c r="CY261" s="847"/>
      <c r="CZ261" s="847">
        <f>ROUND(C261*CS261,2)</f>
        <v>0</v>
      </c>
      <c r="DA261" s="847"/>
      <c r="DB261" s="847"/>
      <c r="DC261" s="847"/>
      <c r="DD261" s="847"/>
      <c r="DE261" s="847"/>
      <c r="DF261" s="847"/>
      <c r="DG261" s="847"/>
      <c r="DH261" s="847"/>
      <c r="DI261" s="847"/>
      <c r="DJ261" s="847"/>
      <c r="DK261" s="847"/>
      <c r="DL261" s="847"/>
      <c r="DM261" s="1212"/>
      <c r="DN261" s="1222">
        <f>'Lead &amp; ANALYSIS'!G4460/10</f>
        <v>0.32500000000000001</v>
      </c>
      <c r="DO261" s="1013">
        <f>ROUND(C261*DN261,2)</f>
        <v>0</v>
      </c>
      <c r="DP261" s="847"/>
      <c r="DQ261" s="1013"/>
      <c r="DR261" s="1225"/>
      <c r="DS261" s="1013"/>
      <c r="DT261" s="1225">
        <f>'Lead &amp; ANALYSIS'!G4458/10</f>
        <v>0.32500000000000001</v>
      </c>
      <c r="DU261" s="1214">
        <f>ROUND(C261*DT261,2)</f>
        <v>0</v>
      </c>
      <c r="DV261" s="1242"/>
      <c r="DW261" s="1232"/>
      <c r="DX261" s="1222"/>
      <c r="DY261" s="847"/>
      <c r="DZ261" s="847"/>
      <c r="EA261" s="847"/>
      <c r="EB261" s="847"/>
      <c r="EC261" s="847"/>
      <c r="ED261" s="847"/>
      <c r="EE261" s="847"/>
      <c r="EF261" s="847"/>
      <c r="EG261" s="1212"/>
      <c r="EH261" s="847"/>
      <c r="EI261" s="1212"/>
    </row>
    <row r="262" spans="1:139" s="733" customFormat="1" ht="13.5">
      <c r="A262" s="1009"/>
      <c r="B262" s="1212" t="s">
        <v>2067</v>
      </c>
      <c r="C262" s="1213">
        <v>0</v>
      </c>
      <c r="D262" s="1013" t="s">
        <v>92</v>
      </c>
      <c r="E262" s="847"/>
      <c r="F262" s="1013"/>
      <c r="G262" s="1225">
        <f>G261</f>
        <v>1.4999999999999999E-2</v>
      </c>
      <c r="H262" s="1013">
        <f t="shared" si="9"/>
        <v>0</v>
      </c>
      <c r="I262" s="847"/>
      <c r="J262" s="1013"/>
      <c r="K262" s="847">
        <f>K261</f>
        <v>0.13750000000000001</v>
      </c>
      <c r="L262" s="1013">
        <f t="shared" si="10"/>
        <v>0</v>
      </c>
      <c r="M262" s="847"/>
      <c r="N262" s="1013"/>
      <c r="O262" s="847"/>
      <c r="P262" s="1013"/>
      <c r="Q262" s="847"/>
      <c r="R262" s="847"/>
      <c r="S262" s="847"/>
      <c r="T262" s="847"/>
      <c r="U262" s="847"/>
      <c r="V262" s="847"/>
      <c r="W262" s="847"/>
      <c r="X262" s="847"/>
      <c r="Y262" s="847"/>
      <c r="Z262" s="847"/>
      <c r="AA262" s="847"/>
      <c r="AB262" s="847"/>
      <c r="AC262" s="847"/>
      <c r="AD262" s="847"/>
      <c r="AE262" s="847"/>
      <c r="AF262" s="847"/>
      <c r="AG262" s="847"/>
      <c r="AH262" s="847"/>
      <c r="AI262" s="847"/>
      <c r="AJ262" s="847"/>
      <c r="AK262" s="847"/>
      <c r="AL262" s="847"/>
      <c r="AM262" s="847"/>
      <c r="AN262" s="847"/>
      <c r="AO262" s="847"/>
      <c r="AP262" s="847"/>
      <c r="AQ262" s="847"/>
      <c r="AR262" s="847"/>
      <c r="AS262" s="847"/>
      <c r="AT262" s="847"/>
      <c r="AU262" s="847"/>
      <c r="AV262" s="847"/>
      <c r="AW262" s="847"/>
      <c r="AX262" s="847"/>
      <c r="AY262" s="847"/>
      <c r="AZ262" s="847"/>
      <c r="BA262" s="847"/>
      <c r="BB262" s="847"/>
      <c r="BC262" s="847"/>
      <c r="BD262" s="847"/>
      <c r="BE262" s="847"/>
      <c r="BF262" s="847"/>
      <c r="BG262" s="847"/>
      <c r="BH262" s="847"/>
      <c r="BI262" s="847"/>
      <c r="BJ262" s="847"/>
      <c r="BK262" s="847"/>
      <c r="BL262" s="847"/>
      <c r="BM262" s="847"/>
      <c r="BN262" s="847"/>
      <c r="BO262" s="847"/>
      <c r="BP262" s="847"/>
      <c r="BQ262" s="847"/>
      <c r="BR262" s="847"/>
      <c r="BS262" s="847"/>
      <c r="BT262" s="847"/>
      <c r="BU262" s="847"/>
      <c r="BV262" s="847"/>
      <c r="BW262" s="847"/>
      <c r="BX262" s="847"/>
      <c r="BY262" s="847"/>
      <c r="BZ262" s="847"/>
      <c r="CA262" s="847"/>
      <c r="CB262" s="847"/>
      <c r="CC262" s="847"/>
      <c r="CD262" s="847"/>
      <c r="CE262" s="847"/>
      <c r="CF262" s="847"/>
      <c r="CG262" s="847"/>
      <c r="CH262" s="847"/>
      <c r="CI262" s="847"/>
      <c r="CJ262" s="847"/>
      <c r="CK262" s="847"/>
      <c r="CL262" s="847"/>
      <c r="CM262" s="847"/>
      <c r="CN262" s="847"/>
      <c r="CO262" s="847"/>
      <c r="CP262" s="847"/>
      <c r="CQ262" s="847"/>
      <c r="CR262" s="847"/>
      <c r="CS262" s="1013">
        <f>CS261</f>
        <v>1</v>
      </c>
      <c r="CT262" s="847"/>
      <c r="CU262" s="847"/>
      <c r="CV262" s="847"/>
      <c r="CW262" s="847"/>
      <c r="CX262" s="847"/>
      <c r="CY262" s="847"/>
      <c r="CZ262" s="847">
        <f>ROUND(C262*CS262,2)</f>
        <v>0</v>
      </c>
      <c r="DA262" s="847"/>
      <c r="DB262" s="847"/>
      <c r="DC262" s="847"/>
      <c r="DD262" s="847"/>
      <c r="DE262" s="847"/>
      <c r="DF262" s="847"/>
      <c r="DG262" s="847"/>
      <c r="DH262" s="847"/>
      <c r="DI262" s="847"/>
      <c r="DJ262" s="847"/>
      <c r="DK262" s="847"/>
      <c r="DL262" s="847"/>
      <c r="DM262" s="1212"/>
      <c r="DN262" s="1222">
        <f>DN261+DN261*5%</f>
        <v>0.34125</v>
      </c>
      <c r="DO262" s="1013">
        <f>ROUND(C262*DN262,2)</f>
        <v>0</v>
      </c>
      <c r="DP262" s="847"/>
      <c r="DQ262" s="1013"/>
      <c r="DR262" s="1225"/>
      <c r="DS262" s="1013"/>
      <c r="DT262" s="847">
        <f>DT261+DT261*5%</f>
        <v>0.34125</v>
      </c>
      <c r="DU262" s="1214">
        <f>ROUND(C262*DT262,2)</f>
        <v>0</v>
      </c>
      <c r="DV262" s="1242"/>
      <c r="DW262" s="1232"/>
      <c r="DX262" s="1222"/>
      <c r="DY262" s="847"/>
      <c r="DZ262" s="847"/>
      <c r="EA262" s="847"/>
      <c r="EB262" s="847"/>
      <c r="EC262" s="847"/>
      <c r="ED262" s="847"/>
      <c r="EE262" s="847"/>
      <c r="EF262" s="847"/>
      <c r="EG262" s="1212"/>
      <c r="EH262" s="847"/>
      <c r="EI262" s="1212"/>
    </row>
    <row r="263" spans="1:139" s="733" customFormat="1" ht="13.5">
      <c r="A263" s="1009" t="s">
        <v>291</v>
      </c>
      <c r="B263" s="1212" t="s">
        <v>527</v>
      </c>
      <c r="C263" s="1213">
        <v>0</v>
      </c>
      <c r="D263" s="1013" t="s">
        <v>92</v>
      </c>
      <c r="E263" s="847"/>
      <c r="F263" s="1013"/>
      <c r="G263" s="1225"/>
      <c r="H263" s="1013"/>
      <c r="I263" s="847"/>
      <c r="J263" s="1013"/>
      <c r="K263" s="847"/>
      <c r="L263" s="1013"/>
      <c r="M263" s="847"/>
      <c r="N263" s="1013"/>
      <c r="O263" s="847"/>
      <c r="P263" s="1013"/>
      <c r="Q263" s="847"/>
      <c r="R263" s="847"/>
      <c r="S263" s="847"/>
      <c r="T263" s="847"/>
      <c r="U263" s="847"/>
      <c r="V263" s="847"/>
      <c r="W263" s="847"/>
      <c r="X263" s="847"/>
      <c r="Y263" s="847"/>
      <c r="Z263" s="847"/>
      <c r="AA263" s="847"/>
      <c r="AB263" s="847"/>
      <c r="AC263" s="847"/>
      <c r="AD263" s="847"/>
      <c r="AE263" s="847"/>
      <c r="AF263" s="847"/>
      <c r="AG263" s="847"/>
      <c r="AH263" s="847"/>
      <c r="AI263" s="847"/>
      <c r="AJ263" s="847"/>
      <c r="AK263" s="847"/>
      <c r="AL263" s="847"/>
      <c r="AM263" s="847"/>
      <c r="AN263" s="847"/>
      <c r="AO263" s="847"/>
      <c r="AP263" s="847"/>
      <c r="AQ263" s="847"/>
      <c r="AR263" s="847"/>
      <c r="AS263" s="847"/>
      <c r="AT263" s="847"/>
      <c r="AU263" s="847"/>
      <c r="AV263" s="847"/>
      <c r="AW263" s="847"/>
      <c r="AX263" s="847"/>
      <c r="AY263" s="847"/>
      <c r="AZ263" s="847"/>
      <c r="BA263" s="847"/>
      <c r="BB263" s="847"/>
      <c r="BC263" s="847"/>
      <c r="BD263" s="847"/>
      <c r="BE263" s="847"/>
      <c r="BF263" s="847"/>
      <c r="BG263" s="847"/>
      <c r="BH263" s="847"/>
      <c r="BI263" s="847"/>
      <c r="BJ263" s="847"/>
      <c r="BK263" s="847"/>
      <c r="BL263" s="847"/>
      <c r="BM263" s="847"/>
      <c r="BN263" s="847"/>
      <c r="BO263" s="847"/>
      <c r="BP263" s="847"/>
      <c r="BQ263" s="847"/>
      <c r="BR263" s="847"/>
      <c r="BS263" s="847"/>
      <c r="BT263" s="847"/>
      <c r="BU263" s="847"/>
      <c r="BV263" s="847"/>
      <c r="BW263" s="847"/>
      <c r="BX263" s="847"/>
      <c r="BY263" s="847"/>
      <c r="BZ263" s="847"/>
      <c r="CA263" s="847"/>
      <c r="CB263" s="847"/>
      <c r="CC263" s="847"/>
      <c r="CD263" s="847"/>
      <c r="CE263" s="847"/>
      <c r="CF263" s="847"/>
      <c r="CG263" s="847"/>
      <c r="CH263" s="847"/>
      <c r="CI263" s="847"/>
      <c r="CJ263" s="847"/>
      <c r="CK263" s="847"/>
      <c r="CL263" s="847"/>
      <c r="CM263" s="847"/>
      <c r="CN263" s="847"/>
      <c r="CO263" s="847"/>
      <c r="CP263" s="847"/>
      <c r="CQ263" s="847"/>
      <c r="CR263" s="847"/>
      <c r="CS263" s="847"/>
      <c r="CT263" s="847"/>
      <c r="CU263" s="847"/>
      <c r="CV263" s="847"/>
      <c r="CW263" s="847"/>
      <c r="CX263" s="847"/>
      <c r="CY263" s="847"/>
      <c r="CZ263" s="847"/>
      <c r="DA263" s="847"/>
      <c r="DB263" s="847"/>
      <c r="DC263" s="847"/>
      <c r="DD263" s="847"/>
      <c r="DE263" s="847"/>
      <c r="DF263" s="847"/>
      <c r="DG263" s="847"/>
      <c r="DH263" s="847"/>
      <c r="DI263" s="847"/>
      <c r="DJ263" s="847"/>
      <c r="DK263" s="847"/>
      <c r="DL263" s="847"/>
      <c r="DM263" s="1212"/>
      <c r="DN263" s="1222"/>
      <c r="DO263" s="1013"/>
      <c r="DP263" s="847"/>
      <c r="DQ263" s="1013"/>
      <c r="DR263" s="1225"/>
      <c r="DS263" s="1013"/>
      <c r="DT263" s="1225"/>
      <c r="DU263" s="1214"/>
      <c r="DV263" s="1242"/>
      <c r="DW263" s="1232"/>
      <c r="DX263" s="1222"/>
      <c r="DY263" s="847"/>
      <c r="DZ263" s="847"/>
      <c r="EA263" s="847"/>
      <c r="EB263" s="847"/>
      <c r="EC263" s="847"/>
      <c r="ED263" s="847"/>
      <c r="EE263" s="847"/>
      <c r="EF263" s="847"/>
      <c r="EG263" s="1212"/>
      <c r="EH263" s="847"/>
      <c r="EI263" s="1212"/>
    </row>
    <row r="264" spans="1:139" s="733" customFormat="1" ht="13.5">
      <c r="A264" s="1009"/>
      <c r="B264" s="1212" t="s">
        <v>2066</v>
      </c>
      <c r="C264" s="1213">
        <v>0</v>
      </c>
      <c r="D264" s="1013" t="s">
        <v>92</v>
      </c>
      <c r="E264" s="847"/>
      <c r="F264" s="1013"/>
      <c r="G264" s="1225">
        <f>G261</f>
        <v>1.4999999999999999E-2</v>
      </c>
      <c r="H264" s="1013">
        <f t="shared" si="9"/>
        <v>0</v>
      </c>
      <c r="I264" s="847"/>
      <c r="J264" s="1013"/>
      <c r="K264" s="847">
        <f>K261</f>
        <v>0.13750000000000001</v>
      </c>
      <c r="L264" s="1013">
        <f t="shared" si="10"/>
        <v>0</v>
      </c>
      <c r="M264" s="847"/>
      <c r="N264" s="1013"/>
      <c r="O264" s="847"/>
      <c r="P264" s="1013"/>
      <c r="Q264" s="847"/>
      <c r="R264" s="847"/>
      <c r="S264" s="847"/>
      <c r="T264" s="847"/>
      <c r="U264" s="847"/>
      <c r="V264" s="847"/>
      <c r="W264" s="847"/>
      <c r="X264" s="847"/>
      <c r="Y264" s="847"/>
      <c r="Z264" s="847"/>
      <c r="AA264" s="847"/>
      <c r="AB264" s="847"/>
      <c r="AC264" s="847"/>
      <c r="AD264" s="847"/>
      <c r="AE264" s="847"/>
      <c r="AF264" s="847"/>
      <c r="AG264" s="847"/>
      <c r="AH264" s="847"/>
      <c r="AI264" s="847"/>
      <c r="AJ264" s="847"/>
      <c r="AK264" s="847"/>
      <c r="AL264" s="847"/>
      <c r="AM264" s="847"/>
      <c r="AN264" s="847"/>
      <c r="AO264" s="847"/>
      <c r="AP264" s="847"/>
      <c r="AQ264" s="847"/>
      <c r="AR264" s="847"/>
      <c r="AS264" s="847"/>
      <c r="AT264" s="847"/>
      <c r="AU264" s="847"/>
      <c r="AV264" s="847"/>
      <c r="AW264" s="847"/>
      <c r="AX264" s="847"/>
      <c r="AY264" s="847"/>
      <c r="AZ264" s="847"/>
      <c r="BA264" s="847"/>
      <c r="BB264" s="847"/>
      <c r="BC264" s="847"/>
      <c r="BD264" s="847"/>
      <c r="BE264" s="847"/>
      <c r="BF264" s="847"/>
      <c r="BG264" s="847"/>
      <c r="BH264" s="847"/>
      <c r="BI264" s="847"/>
      <c r="BJ264" s="847"/>
      <c r="BK264" s="847"/>
      <c r="BL264" s="847"/>
      <c r="BM264" s="847"/>
      <c r="BN264" s="847"/>
      <c r="BO264" s="847"/>
      <c r="BP264" s="847"/>
      <c r="BQ264" s="847"/>
      <c r="BR264" s="847"/>
      <c r="BS264" s="847"/>
      <c r="BT264" s="847"/>
      <c r="BU264" s="847"/>
      <c r="BV264" s="847"/>
      <c r="BW264" s="847"/>
      <c r="BX264" s="847"/>
      <c r="BY264" s="847"/>
      <c r="BZ264" s="847"/>
      <c r="CA264" s="847"/>
      <c r="CB264" s="847"/>
      <c r="CC264" s="847"/>
      <c r="CD264" s="847"/>
      <c r="CE264" s="847"/>
      <c r="CF264" s="847"/>
      <c r="CG264" s="847"/>
      <c r="CH264" s="847"/>
      <c r="CI264" s="847"/>
      <c r="CJ264" s="847"/>
      <c r="CK264" s="847"/>
      <c r="CL264" s="847"/>
      <c r="CM264" s="847"/>
      <c r="CN264" s="847"/>
      <c r="CO264" s="847"/>
      <c r="CP264" s="847"/>
      <c r="CQ264" s="847"/>
      <c r="CR264" s="847"/>
      <c r="CS264" s="1013">
        <f>CS261</f>
        <v>1</v>
      </c>
      <c r="CT264" s="847"/>
      <c r="CU264" s="847"/>
      <c r="CV264" s="847"/>
      <c r="CW264" s="847"/>
      <c r="CX264" s="847">
        <f>ROUND(C264*CS264,2)</f>
        <v>0</v>
      </c>
      <c r="CY264" s="847"/>
      <c r="CZ264" s="847"/>
      <c r="DA264" s="847"/>
      <c r="DB264" s="847"/>
      <c r="DC264" s="847"/>
      <c r="DD264" s="847"/>
      <c r="DE264" s="847"/>
      <c r="DF264" s="847"/>
      <c r="DG264" s="847"/>
      <c r="DH264" s="847"/>
      <c r="DI264" s="847"/>
      <c r="DJ264" s="847"/>
      <c r="DK264" s="847"/>
      <c r="DL264" s="847"/>
      <c r="DM264" s="1212"/>
      <c r="DN264" s="1222">
        <f>'Lead &amp; ANALYSIS'!G4460/10</f>
        <v>0.32500000000000001</v>
      </c>
      <c r="DO264" s="1013">
        <f>ROUND(C264*DN264,2)</f>
        <v>0</v>
      </c>
      <c r="DP264" s="847"/>
      <c r="DQ264" s="1013"/>
      <c r="DR264" s="1225"/>
      <c r="DS264" s="1013"/>
      <c r="DT264" s="1225">
        <f>'Lead &amp; ANALYSIS'!G4458/10</f>
        <v>0.32500000000000001</v>
      </c>
      <c r="DU264" s="1214">
        <f>ROUND(C264*DT264,2)</f>
        <v>0</v>
      </c>
      <c r="DV264" s="1242"/>
      <c r="DW264" s="1232"/>
      <c r="DX264" s="1222"/>
      <c r="DY264" s="847"/>
      <c r="DZ264" s="847"/>
      <c r="EA264" s="847"/>
      <c r="EB264" s="847"/>
      <c r="EC264" s="847"/>
      <c r="ED264" s="847"/>
      <c r="EE264" s="847"/>
      <c r="EF264" s="847"/>
      <c r="EG264" s="1212"/>
      <c r="EH264" s="847"/>
      <c r="EI264" s="1212"/>
    </row>
    <row r="265" spans="1:139" s="733" customFormat="1" ht="13.5">
      <c r="A265" s="1009"/>
      <c r="B265" s="1212" t="s">
        <v>2067</v>
      </c>
      <c r="C265" s="1213">
        <v>0</v>
      </c>
      <c r="D265" s="1013" t="s">
        <v>92</v>
      </c>
      <c r="E265" s="847"/>
      <c r="F265" s="1013"/>
      <c r="G265" s="1225">
        <f>G264</f>
        <v>1.4999999999999999E-2</v>
      </c>
      <c r="H265" s="1013">
        <f t="shared" si="9"/>
        <v>0</v>
      </c>
      <c r="I265" s="847"/>
      <c r="J265" s="1013"/>
      <c r="K265" s="847">
        <f>K264</f>
        <v>0.13750000000000001</v>
      </c>
      <c r="L265" s="1013">
        <f t="shared" si="10"/>
        <v>0</v>
      </c>
      <c r="M265" s="847"/>
      <c r="N265" s="1013"/>
      <c r="O265" s="847"/>
      <c r="P265" s="1013"/>
      <c r="Q265" s="847"/>
      <c r="R265" s="847"/>
      <c r="S265" s="847"/>
      <c r="T265" s="847"/>
      <c r="U265" s="847"/>
      <c r="V265" s="847"/>
      <c r="W265" s="847"/>
      <c r="X265" s="847"/>
      <c r="Y265" s="847"/>
      <c r="Z265" s="847"/>
      <c r="AA265" s="847"/>
      <c r="AB265" s="847"/>
      <c r="AC265" s="847"/>
      <c r="AD265" s="847"/>
      <c r="AE265" s="847"/>
      <c r="AF265" s="847"/>
      <c r="AG265" s="847"/>
      <c r="AH265" s="847"/>
      <c r="AI265" s="847"/>
      <c r="AJ265" s="847"/>
      <c r="AK265" s="847"/>
      <c r="AL265" s="847"/>
      <c r="AM265" s="847"/>
      <c r="AN265" s="847"/>
      <c r="AO265" s="847"/>
      <c r="AP265" s="847"/>
      <c r="AQ265" s="847"/>
      <c r="AR265" s="847"/>
      <c r="AS265" s="847"/>
      <c r="AT265" s="847"/>
      <c r="AU265" s="847"/>
      <c r="AV265" s="847"/>
      <c r="AW265" s="847"/>
      <c r="AX265" s="847"/>
      <c r="AY265" s="847"/>
      <c r="AZ265" s="847"/>
      <c r="BA265" s="847"/>
      <c r="BB265" s="847"/>
      <c r="BC265" s="847"/>
      <c r="BD265" s="847"/>
      <c r="BE265" s="847"/>
      <c r="BF265" s="847"/>
      <c r="BG265" s="847"/>
      <c r="BH265" s="847"/>
      <c r="BI265" s="847"/>
      <c r="BJ265" s="847"/>
      <c r="BK265" s="847"/>
      <c r="BL265" s="847"/>
      <c r="BM265" s="847"/>
      <c r="BN265" s="847"/>
      <c r="BO265" s="847"/>
      <c r="BP265" s="847"/>
      <c r="BQ265" s="847"/>
      <c r="BR265" s="847"/>
      <c r="BS265" s="847"/>
      <c r="BT265" s="847"/>
      <c r="BU265" s="847"/>
      <c r="BV265" s="847"/>
      <c r="BW265" s="847"/>
      <c r="BX265" s="847"/>
      <c r="BY265" s="847"/>
      <c r="BZ265" s="847"/>
      <c r="CA265" s="847"/>
      <c r="CB265" s="847"/>
      <c r="CC265" s="847"/>
      <c r="CD265" s="847"/>
      <c r="CE265" s="847"/>
      <c r="CF265" s="847"/>
      <c r="CG265" s="847"/>
      <c r="CH265" s="847"/>
      <c r="CI265" s="847"/>
      <c r="CJ265" s="847"/>
      <c r="CK265" s="847"/>
      <c r="CL265" s="847"/>
      <c r="CM265" s="847"/>
      <c r="CN265" s="847"/>
      <c r="CO265" s="847"/>
      <c r="CP265" s="847"/>
      <c r="CQ265" s="847"/>
      <c r="CR265" s="847"/>
      <c r="CS265" s="1013">
        <f>CS264</f>
        <v>1</v>
      </c>
      <c r="CT265" s="847"/>
      <c r="CU265" s="847"/>
      <c r="CV265" s="847"/>
      <c r="CW265" s="847"/>
      <c r="CX265" s="847">
        <f>ROUND(C265*CS265,2)</f>
        <v>0</v>
      </c>
      <c r="CY265" s="847"/>
      <c r="CZ265" s="847"/>
      <c r="DA265" s="847"/>
      <c r="DB265" s="847"/>
      <c r="DC265" s="847"/>
      <c r="DD265" s="847"/>
      <c r="DE265" s="847"/>
      <c r="DF265" s="847"/>
      <c r="DG265" s="847"/>
      <c r="DH265" s="847"/>
      <c r="DI265" s="847"/>
      <c r="DJ265" s="847"/>
      <c r="DK265" s="847"/>
      <c r="DL265" s="847"/>
      <c r="DM265" s="1212"/>
      <c r="DN265" s="1222">
        <f>DN264+DN264*5%</f>
        <v>0.34125</v>
      </c>
      <c r="DO265" s="1013">
        <f>ROUND(C265*DN265,2)</f>
        <v>0</v>
      </c>
      <c r="DP265" s="847"/>
      <c r="DQ265" s="1013"/>
      <c r="DR265" s="1225"/>
      <c r="DS265" s="1013"/>
      <c r="DT265" s="847">
        <f>DT264+DT264*5%</f>
        <v>0.34125</v>
      </c>
      <c r="DU265" s="1214">
        <f>ROUND(C265*DT265,2)</f>
        <v>0</v>
      </c>
      <c r="DV265" s="1242"/>
      <c r="DW265" s="1232"/>
      <c r="DX265" s="1222"/>
      <c r="DY265" s="847"/>
      <c r="DZ265" s="847"/>
      <c r="EA265" s="847"/>
      <c r="EB265" s="847"/>
      <c r="EC265" s="847"/>
      <c r="ED265" s="847"/>
      <c r="EE265" s="847"/>
      <c r="EF265" s="847"/>
      <c r="EG265" s="1212"/>
      <c r="EH265" s="847"/>
      <c r="EI265" s="1212"/>
    </row>
    <row r="266" spans="1:139" s="733" customFormat="1" ht="13.5">
      <c r="A266" s="1009" t="s">
        <v>308</v>
      </c>
      <c r="B266" s="1212" t="s">
        <v>528</v>
      </c>
      <c r="C266" s="1213">
        <v>0</v>
      </c>
      <c r="D266" s="1013" t="s">
        <v>92</v>
      </c>
      <c r="E266" s="847"/>
      <c r="F266" s="1013"/>
      <c r="G266" s="1225"/>
      <c r="H266" s="1013"/>
      <c r="I266" s="847"/>
      <c r="J266" s="1013"/>
      <c r="K266" s="847"/>
      <c r="L266" s="1013"/>
      <c r="M266" s="847"/>
      <c r="N266" s="1013"/>
      <c r="O266" s="847"/>
      <c r="P266" s="1013"/>
      <c r="Q266" s="847"/>
      <c r="R266" s="847"/>
      <c r="S266" s="847"/>
      <c r="T266" s="847"/>
      <c r="U266" s="847"/>
      <c r="V266" s="847"/>
      <c r="W266" s="847"/>
      <c r="X266" s="847"/>
      <c r="Y266" s="847"/>
      <c r="Z266" s="847"/>
      <c r="AA266" s="847"/>
      <c r="AB266" s="847"/>
      <c r="AC266" s="847"/>
      <c r="AD266" s="847"/>
      <c r="AE266" s="847"/>
      <c r="AF266" s="847"/>
      <c r="AG266" s="847"/>
      <c r="AH266" s="847"/>
      <c r="AI266" s="847"/>
      <c r="AJ266" s="847"/>
      <c r="AK266" s="847"/>
      <c r="AL266" s="847"/>
      <c r="AM266" s="847"/>
      <c r="AN266" s="847"/>
      <c r="AO266" s="847"/>
      <c r="AP266" s="847"/>
      <c r="AQ266" s="847"/>
      <c r="AR266" s="847"/>
      <c r="AS266" s="847"/>
      <c r="AT266" s="847"/>
      <c r="AU266" s="847"/>
      <c r="AV266" s="847"/>
      <c r="AW266" s="847"/>
      <c r="AX266" s="847"/>
      <c r="AY266" s="847"/>
      <c r="AZ266" s="847"/>
      <c r="BA266" s="847"/>
      <c r="BB266" s="847"/>
      <c r="BC266" s="847"/>
      <c r="BD266" s="847"/>
      <c r="BE266" s="847"/>
      <c r="BF266" s="847"/>
      <c r="BG266" s="847"/>
      <c r="BH266" s="847"/>
      <c r="BI266" s="847"/>
      <c r="BJ266" s="847"/>
      <c r="BK266" s="847"/>
      <c r="BL266" s="847"/>
      <c r="BM266" s="847"/>
      <c r="BN266" s="847"/>
      <c r="BO266" s="847"/>
      <c r="BP266" s="847"/>
      <c r="BQ266" s="847"/>
      <c r="BR266" s="847"/>
      <c r="BS266" s="847"/>
      <c r="BT266" s="847"/>
      <c r="BU266" s="847"/>
      <c r="BV266" s="847"/>
      <c r="BW266" s="847"/>
      <c r="BX266" s="847"/>
      <c r="BY266" s="847"/>
      <c r="BZ266" s="847"/>
      <c r="CA266" s="847"/>
      <c r="CB266" s="847"/>
      <c r="CC266" s="847"/>
      <c r="CD266" s="847"/>
      <c r="CE266" s="847"/>
      <c r="CF266" s="847"/>
      <c r="CG266" s="847"/>
      <c r="CH266" s="847"/>
      <c r="CI266" s="847"/>
      <c r="CJ266" s="847"/>
      <c r="CK266" s="847"/>
      <c r="CL266" s="847"/>
      <c r="CM266" s="847"/>
      <c r="CN266" s="847"/>
      <c r="CO266" s="847"/>
      <c r="CP266" s="847"/>
      <c r="CQ266" s="847"/>
      <c r="CR266" s="847"/>
      <c r="CS266" s="847"/>
      <c r="CT266" s="847"/>
      <c r="CU266" s="847"/>
      <c r="CV266" s="847"/>
      <c r="CW266" s="847"/>
      <c r="CX266" s="847"/>
      <c r="CY266" s="847"/>
      <c r="CZ266" s="847"/>
      <c r="DA266" s="847"/>
      <c r="DB266" s="847"/>
      <c r="DC266" s="847"/>
      <c r="DD266" s="847"/>
      <c r="DE266" s="847"/>
      <c r="DF266" s="847"/>
      <c r="DG266" s="847"/>
      <c r="DH266" s="847"/>
      <c r="DI266" s="847"/>
      <c r="DJ266" s="847"/>
      <c r="DK266" s="847"/>
      <c r="DL266" s="847"/>
      <c r="DM266" s="1212"/>
      <c r="DN266" s="1222"/>
      <c r="DO266" s="1013"/>
      <c r="DP266" s="847"/>
      <c r="DQ266" s="1013"/>
      <c r="DR266" s="1225"/>
      <c r="DS266" s="1013"/>
      <c r="DT266" s="1225"/>
      <c r="DU266" s="1214"/>
      <c r="DV266" s="1242"/>
      <c r="DW266" s="1232"/>
      <c r="DX266" s="1222"/>
      <c r="DY266" s="847"/>
      <c r="DZ266" s="847"/>
      <c r="EA266" s="847"/>
      <c r="EB266" s="847"/>
      <c r="EC266" s="847"/>
      <c r="ED266" s="847"/>
      <c r="EE266" s="847"/>
      <c r="EF266" s="847"/>
      <c r="EG266" s="1212"/>
      <c r="EH266" s="847"/>
      <c r="EI266" s="1212"/>
    </row>
    <row r="267" spans="1:139" s="733" customFormat="1" ht="13.5">
      <c r="A267" s="1009"/>
      <c r="B267" s="1212" t="s">
        <v>2066</v>
      </c>
      <c r="C267" s="1213">
        <v>0</v>
      </c>
      <c r="D267" s="1013" t="s">
        <v>92</v>
      </c>
      <c r="E267" s="847"/>
      <c r="F267" s="1013"/>
      <c r="G267" s="1225">
        <f>G264</f>
        <v>1.4999999999999999E-2</v>
      </c>
      <c r="H267" s="1013">
        <f t="shared" si="9"/>
        <v>0</v>
      </c>
      <c r="I267" s="847"/>
      <c r="J267" s="1013"/>
      <c r="K267" s="847">
        <f>K264</f>
        <v>0.13750000000000001</v>
      </c>
      <c r="L267" s="1013">
        <f t="shared" si="10"/>
        <v>0</v>
      </c>
      <c r="M267" s="847"/>
      <c r="N267" s="1013"/>
      <c r="O267" s="847"/>
      <c r="P267" s="1013"/>
      <c r="Q267" s="847"/>
      <c r="R267" s="847"/>
      <c r="S267" s="847"/>
      <c r="T267" s="847"/>
      <c r="U267" s="847"/>
      <c r="V267" s="847"/>
      <c r="W267" s="847"/>
      <c r="X267" s="847"/>
      <c r="Y267" s="847"/>
      <c r="Z267" s="847"/>
      <c r="AA267" s="847"/>
      <c r="AB267" s="847"/>
      <c r="AC267" s="847"/>
      <c r="AD267" s="847"/>
      <c r="AE267" s="847"/>
      <c r="AF267" s="847"/>
      <c r="AG267" s="847"/>
      <c r="AH267" s="847"/>
      <c r="AI267" s="847"/>
      <c r="AJ267" s="847"/>
      <c r="AK267" s="847"/>
      <c r="AL267" s="847"/>
      <c r="AM267" s="847"/>
      <c r="AN267" s="847"/>
      <c r="AO267" s="847"/>
      <c r="AP267" s="847"/>
      <c r="AQ267" s="847"/>
      <c r="AR267" s="847"/>
      <c r="AS267" s="847"/>
      <c r="AT267" s="847"/>
      <c r="AU267" s="847"/>
      <c r="AV267" s="847"/>
      <c r="AW267" s="847"/>
      <c r="AX267" s="847"/>
      <c r="AY267" s="847"/>
      <c r="AZ267" s="847"/>
      <c r="BA267" s="847"/>
      <c r="BB267" s="847"/>
      <c r="BC267" s="847"/>
      <c r="BD267" s="847"/>
      <c r="BE267" s="847"/>
      <c r="BF267" s="847"/>
      <c r="BG267" s="847"/>
      <c r="BH267" s="847"/>
      <c r="BI267" s="847"/>
      <c r="BJ267" s="847"/>
      <c r="BK267" s="847"/>
      <c r="BL267" s="847"/>
      <c r="BM267" s="847"/>
      <c r="BN267" s="847"/>
      <c r="BO267" s="847"/>
      <c r="BP267" s="847"/>
      <c r="BQ267" s="847"/>
      <c r="BR267" s="847"/>
      <c r="BS267" s="847"/>
      <c r="BT267" s="847"/>
      <c r="BU267" s="847"/>
      <c r="BV267" s="847"/>
      <c r="BW267" s="847"/>
      <c r="BX267" s="847"/>
      <c r="BY267" s="847"/>
      <c r="BZ267" s="847"/>
      <c r="CA267" s="847"/>
      <c r="CB267" s="847"/>
      <c r="CC267" s="847"/>
      <c r="CD267" s="847"/>
      <c r="CE267" s="847"/>
      <c r="CF267" s="847"/>
      <c r="CG267" s="847"/>
      <c r="CH267" s="847"/>
      <c r="CI267" s="847"/>
      <c r="CJ267" s="847"/>
      <c r="CK267" s="847"/>
      <c r="CL267" s="847"/>
      <c r="CM267" s="847"/>
      <c r="CN267" s="847"/>
      <c r="CO267" s="847"/>
      <c r="CP267" s="847"/>
      <c r="CQ267" s="847"/>
      <c r="CR267" s="847"/>
      <c r="CS267" s="1013">
        <f>CS264</f>
        <v>1</v>
      </c>
      <c r="CT267" s="847"/>
      <c r="CU267" s="847"/>
      <c r="CV267" s="847"/>
      <c r="CW267" s="847"/>
      <c r="CX267" s="847"/>
      <c r="CY267" s="847">
        <f>ROUND(C267*CS267,2)</f>
        <v>0</v>
      </c>
      <c r="CZ267" s="847"/>
      <c r="DA267" s="847"/>
      <c r="DB267" s="847"/>
      <c r="DC267" s="847"/>
      <c r="DD267" s="847"/>
      <c r="DE267" s="847"/>
      <c r="DF267" s="847"/>
      <c r="DG267" s="847"/>
      <c r="DH267" s="847"/>
      <c r="DI267" s="847"/>
      <c r="DJ267" s="847"/>
      <c r="DK267" s="847"/>
      <c r="DL267" s="847"/>
      <c r="DM267" s="1212"/>
      <c r="DN267" s="1222">
        <f>'Lead &amp; ANALYSIS'!G4460/10</f>
        <v>0.32500000000000001</v>
      </c>
      <c r="DO267" s="1013">
        <f>ROUND(C267*DN267,2)</f>
        <v>0</v>
      </c>
      <c r="DP267" s="847"/>
      <c r="DQ267" s="1013"/>
      <c r="DR267" s="1225"/>
      <c r="DS267" s="1013"/>
      <c r="DT267" s="1225">
        <f>'Lead &amp; ANALYSIS'!G4458/10</f>
        <v>0.32500000000000001</v>
      </c>
      <c r="DU267" s="1214">
        <f>ROUND(C267*DT267,2)</f>
        <v>0</v>
      </c>
      <c r="DV267" s="1242"/>
      <c r="DW267" s="1232"/>
      <c r="DX267" s="1222"/>
      <c r="DY267" s="847"/>
      <c r="DZ267" s="847"/>
      <c r="EA267" s="847"/>
      <c r="EB267" s="847"/>
      <c r="EC267" s="847"/>
      <c r="ED267" s="847"/>
      <c r="EE267" s="847"/>
      <c r="EF267" s="847"/>
      <c r="EG267" s="1212"/>
      <c r="EH267" s="847"/>
      <c r="EI267" s="1212"/>
    </row>
    <row r="268" spans="1:139" s="733" customFormat="1" ht="13.5">
      <c r="A268" s="1009"/>
      <c r="B268" s="1212" t="s">
        <v>2067</v>
      </c>
      <c r="C268" s="1213">
        <v>0</v>
      </c>
      <c r="D268" s="1013" t="s">
        <v>92</v>
      </c>
      <c r="E268" s="847"/>
      <c r="F268" s="1013"/>
      <c r="G268" s="1225">
        <f>G267</f>
        <v>1.4999999999999999E-2</v>
      </c>
      <c r="H268" s="1013">
        <f t="shared" si="9"/>
        <v>0</v>
      </c>
      <c r="I268" s="847"/>
      <c r="J268" s="1013"/>
      <c r="K268" s="847">
        <f>K267</f>
        <v>0.13750000000000001</v>
      </c>
      <c r="L268" s="1013">
        <f t="shared" si="10"/>
        <v>0</v>
      </c>
      <c r="M268" s="847"/>
      <c r="N268" s="1013"/>
      <c r="O268" s="847"/>
      <c r="P268" s="1013"/>
      <c r="Q268" s="847"/>
      <c r="R268" s="847"/>
      <c r="S268" s="847"/>
      <c r="T268" s="847"/>
      <c r="U268" s="847"/>
      <c r="V268" s="847"/>
      <c r="W268" s="847"/>
      <c r="X268" s="847"/>
      <c r="Y268" s="847"/>
      <c r="Z268" s="847"/>
      <c r="AA268" s="847"/>
      <c r="AB268" s="847"/>
      <c r="AC268" s="847"/>
      <c r="AD268" s="847"/>
      <c r="AE268" s="847"/>
      <c r="AF268" s="847"/>
      <c r="AG268" s="847"/>
      <c r="AH268" s="847"/>
      <c r="AI268" s="847"/>
      <c r="AJ268" s="847"/>
      <c r="AK268" s="847"/>
      <c r="AL268" s="847"/>
      <c r="AM268" s="847"/>
      <c r="AN268" s="847"/>
      <c r="AO268" s="847"/>
      <c r="AP268" s="847"/>
      <c r="AQ268" s="847"/>
      <c r="AR268" s="847"/>
      <c r="AS268" s="847"/>
      <c r="AT268" s="847"/>
      <c r="AU268" s="847"/>
      <c r="AV268" s="847"/>
      <c r="AW268" s="847"/>
      <c r="AX268" s="847"/>
      <c r="AY268" s="847"/>
      <c r="AZ268" s="847"/>
      <c r="BA268" s="847"/>
      <c r="BB268" s="847"/>
      <c r="BC268" s="847"/>
      <c r="BD268" s="847"/>
      <c r="BE268" s="847"/>
      <c r="BF268" s="847"/>
      <c r="BG268" s="847"/>
      <c r="BH268" s="847"/>
      <c r="BI268" s="847"/>
      <c r="BJ268" s="847"/>
      <c r="BK268" s="847"/>
      <c r="BL268" s="847"/>
      <c r="BM268" s="847"/>
      <c r="BN268" s="847"/>
      <c r="BO268" s="847"/>
      <c r="BP268" s="847"/>
      <c r="BQ268" s="847"/>
      <c r="BR268" s="847"/>
      <c r="BS268" s="847"/>
      <c r="BT268" s="847"/>
      <c r="BU268" s="847"/>
      <c r="BV268" s="847"/>
      <c r="BW268" s="847"/>
      <c r="BX268" s="847"/>
      <c r="BY268" s="847"/>
      <c r="BZ268" s="847"/>
      <c r="CA268" s="847"/>
      <c r="CB268" s="847"/>
      <c r="CC268" s="847"/>
      <c r="CD268" s="847"/>
      <c r="CE268" s="847"/>
      <c r="CF268" s="847"/>
      <c r="CG268" s="847"/>
      <c r="CH268" s="847"/>
      <c r="CI268" s="847"/>
      <c r="CJ268" s="847"/>
      <c r="CK268" s="847"/>
      <c r="CL268" s="847"/>
      <c r="CM268" s="847"/>
      <c r="CN268" s="847"/>
      <c r="CO268" s="847"/>
      <c r="CP268" s="847"/>
      <c r="CQ268" s="847"/>
      <c r="CR268" s="847"/>
      <c r="CS268" s="1013">
        <f>CS267</f>
        <v>1</v>
      </c>
      <c r="CT268" s="847"/>
      <c r="CU268" s="847"/>
      <c r="CV268" s="847"/>
      <c r="CW268" s="847"/>
      <c r="CX268" s="847"/>
      <c r="CY268" s="847">
        <f>ROUND(C268*CS268,2)</f>
        <v>0</v>
      </c>
      <c r="CZ268" s="847"/>
      <c r="DA268" s="847"/>
      <c r="DB268" s="847"/>
      <c r="DC268" s="847"/>
      <c r="DD268" s="847"/>
      <c r="DE268" s="847"/>
      <c r="DF268" s="847"/>
      <c r="DG268" s="847"/>
      <c r="DH268" s="847"/>
      <c r="DI268" s="847"/>
      <c r="DJ268" s="847"/>
      <c r="DK268" s="847"/>
      <c r="DL268" s="847"/>
      <c r="DM268" s="1212"/>
      <c r="DN268" s="1222">
        <f>DN267+DN267*5%</f>
        <v>0.34125</v>
      </c>
      <c r="DO268" s="1013">
        <f>ROUND(C268*DN268,2)</f>
        <v>0</v>
      </c>
      <c r="DP268" s="847"/>
      <c r="DQ268" s="1013"/>
      <c r="DR268" s="1225"/>
      <c r="DS268" s="1013"/>
      <c r="DT268" s="847">
        <f>DT267+DT267*5%</f>
        <v>0.34125</v>
      </c>
      <c r="DU268" s="1214">
        <f>ROUND(C268*DT268,2)</f>
        <v>0</v>
      </c>
      <c r="DV268" s="1242"/>
      <c r="DW268" s="1232"/>
      <c r="DX268" s="1222"/>
      <c r="DY268" s="847"/>
      <c r="DZ268" s="847"/>
      <c r="EA268" s="847"/>
      <c r="EB268" s="847"/>
      <c r="EC268" s="847"/>
      <c r="ED268" s="847"/>
      <c r="EE268" s="847"/>
      <c r="EF268" s="847"/>
      <c r="EG268" s="1212"/>
      <c r="EH268" s="847"/>
      <c r="EI268" s="1212"/>
    </row>
    <row r="269" spans="1:139" s="733" customFormat="1" ht="13.5">
      <c r="A269" s="1009">
        <v>73</v>
      </c>
      <c r="B269" s="1212" t="s">
        <v>3063</v>
      </c>
      <c r="C269" s="1213">
        <v>0</v>
      </c>
      <c r="D269" s="1013" t="s">
        <v>92</v>
      </c>
      <c r="E269" s="847"/>
      <c r="F269" s="1013"/>
      <c r="G269" s="847"/>
      <c r="H269" s="1013"/>
      <c r="I269" s="847"/>
      <c r="J269" s="1013"/>
      <c r="K269" s="847"/>
      <c r="L269" s="1013"/>
      <c r="M269" s="847"/>
      <c r="N269" s="1013"/>
      <c r="O269" s="847"/>
      <c r="P269" s="1013"/>
      <c r="Q269" s="847"/>
      <c r="R269" s="847"/>
      <c r="S269" s="847"/>
      <c r="T269" s="847"/>
      <c r="U269" s="847"/>
      <c r="V269" s="847"/>
      <c r="W269" s="847"/>
      <c r="X269" s="847"/>
      <c r="Y269" s="847"/>
      <c r="Z269" s="847"/>
      <c r="AA269" s="847"/>
      <c r="AB269" s="847"/>
      <c r="AC269" s="847"/>
      <c r="AD269" s="847"/>
      <c r="AE269" s="847"/>
      <c r="AF269" s="847"/>
      <c r="AG269" s="847"/>
      <c r="AH269" s="847"/>
      <c r="AI269" s="847"/>
      <c r="AJ269" s="847"/>
      <c r="AK269" s="847"/>
      <c r="AL269" s="847"/>
      <c r="AM269" s="847"/>
      <c r="AN269" s="847"/>
      <c r="AO269" s="847"/>
      <c r="AP269" s="847"/>
      <c r="AQ269" s="847"/>
      <c r="AR269" s="847"/>
      <c r="AS269" s="847"/>
      <c r="AT269" s="847"/>
      <c r="AU269" s="847"/>
      <c r="AV269" s="847"/>
      <c r="AW269" s="847"/>
      <c r="AX269" s="847"/>
      <c r="AY269" s="847"/>
      <c r="AZ269" s="847"/>
      <c r="BA269" s="847"/>
      <c r="BB269" s="847"/>
      <c r="BC269" s="847"/>
      <c r="BD269" s="847"/>
      <c r="BE269" s="847"/>
      <c r="BF269" s="847"/>
      <c r="BG269" s="847"/>
      <c r="BH269" s="847"/>
      <c r="BI269" s="847"/>
      <c r="BJ269" s="847"/>
      <c r="BK269" s="847"/>
      <c r="BL269" s="847"/>
      <c r="BM269" s="847"/>
      <c r="BN269" s="847"/>
      <c r="BO269" s="847"/>
      <c r="BP269" s="847"/>
      <c r="BQ269" s="847"/>
      <c r="BR269" s="847"/>
      <c r="BS269" s="847"/>
      <c r="BT269" s="847"/>
      <c r="BU269" s="847"/>
      <c r="BV269" s="847"/>
      <c r="BW269" s="847"/>
      <c r="BX269" s="847"/>
      <c r="BY269" s="847"/>
      <c r="BZ269" s="847"/>
      <c r="CA269" s="847"/>
      <c r="CB269" s="847"/>
      <c r="CC269" s="847"/>
      <c r="CD269" s="847"/>
      <c r="CE269" s="847"/>
      <c r="CF269" s="847"/>
      <c r="CG269" s="847"/>
      <c r="CH269" s="847"/>
      <c r="CI269" s="847"/>
      <c r="CJ269" s="847"/>
      <c r="CK269" s="847"/>
      <c r="CL269" s="847"/>
      <c r="CM269" s="847"/>
      <c r="CN269" s="847"/>
      <c r="CO269" s="847"/>
      <c r="CP269" s="847"/>
      <c r="CQ269" s="847"/>
      <c r="CR269" s="847"/>
      <c r="CS269" s="847"/>
      <c r="CT269" s="847"/>
      <c r="CU269" s="847"/>
      <c r="CV269" s="847"/>
      <c r="CW269" s="847"/>
      <c r="CX269" s="847"/>
      <c r="CY269" s="847"/>
      <c r="CZ269" s="847"/>
      <c r="DA269" s="847"/>
      <c r="DB269" s="847"/>
      <c r="DC269" s="847"/>
      <c r="DD269" s="847"/>
      <c r="DE269" s="847"/>
      <c r="DF269" s="847"/>
      <c r="DG269" s="847"/>
      <c r="DH269" s="847"/>
      <c r="DI269" s="847"/>
      <c r="DJ269" s="847"/>
      <c r="DK269" s="847"/>
      <c r="DL269" s="847"/>
      <c r="DM269" s="1212"/>
      <c r="DN269" s="1222"/>
      <c r="DO269" s="1013"/>
      <c r="DP269" s="847"/>
      <c r="DQ269" s="1013"/>
      <c r="DR269" s="1225"/>
      <c r="DS269" s="1013"/>
      <c r="DT269" s="1225"/>
      <c r="DU269" s="1214"/>
      <c r="DV269" s="1242"/>
      <c r="DW269" s="1232"/>
      <c r="DX269" s="1222"/>
      <c r="DY269" s="847"/>
      <c r="DZ269" s="847"/>
      <c r="EA269" s="847"/>
      <c r="EB269" s="847"/>
      <c r="EC269" s="847"/>
      <c r="ED269" s="847"/>
      <c r="EE269" s="847"/>
      <c r="EF269" s="847"/>
      <c r="EG269" s="1212"/>
      <c r="EH269" s="847"/>
      <c r="EI269" s="1212"/>
    </row>
    <row r="270" spans="1:139" s="733" customFormat="1" ht="13.5">
      <c r="A270" s="1009" t="s">
        <v>468</v>
      </c>
      <c r="B270" s="1212" t="s">
        <v>230</v>
      </c>
      <c r="C270" s="1213">
        <v>0</v>
      </c>
      <c r="D270" s="1013" t="s">
        <v>92</v>
      </c>
      <c r="E270" s="847"/>
      <c r="F270" s="1013"/>
      <c r="G270" s="847"/>
      <c r="H270" s="1013"/>
      <c r="I270" s="847"/>
      <c r="J270" s="1013"/>
      <c r="K270" s="847"/>
      <c r="L270" s="1013"/>
      <c r="M270" s="847"/>
      <c r="N270" s="1013"/>
      <c r="O270" s="847"/>
      <c r="P270" s="1013"/>
      <c r="Q270" s="847"/>
      <c r="R270" s="847"/>
      <c r="S270" s="847"/>
      <c r="T270" s="847"/>
      <c r="U270" s="847"/>
      <c r="V270" s="847"/>
      <c r="W270" s="847"/>
      <c r="X270" s="847"/>
      <c r="Y270" s="847"/>
      <c r="Z270" s="847"/>
      <c r="AA270" s="847"/>
      <c r="AB270" s="847"/>
      <c r="AC270" s="847"/>
      <c r="AD270" s="847"/>
      <c r="AE270" s="847"/>
      <c r="AF270" s="847"/>
      <c r="AG270" s="847"/>
      <c r="AH270" s="847"/>
      <c r="AI270" s="847"/>
      <c r="AJ270" s="847"/>
      <c r="AK270" s="847"/>
      <c r="AL270" s="847"/>
      <c r="AM270" s="847"/>
      <c r="AN270" s="847"/>
      <c r="AO270" s="847"/>
      <c r="AP270" s="847"/>
      <c r="AQ270" s="847"/>
      <c r="AR270" s="847"/>
      <c r="AS270" s="847"/>
      <c r="AT270" s="847"/>
      <c r="AU270" s="847"/>
      <c r="AV270" s="847"/>
      <c r="AW270" s="847"/>
      <c r="AX270" s="847"/>
      <c r="AY270" s="847"/>
      <c r="AZ270" s="847"/>
      <c r="BA270" s="847"/>
      <c r="BB270" s="847"/>
      <c r="BC270" s="847"/>
      <c r="BD270" s="847"/>
      <c r="BE270" s="847"/>
      <c r="BF270" s="847"/>
      <c r="BG270" s="847"/>
      <c r="BH270" s="847"/>
      <c r="BI270" s="847"/>
      <c r="BJ270" s="847"/>
      <c r="BK270" s="847"/>
      <c r="BL270" s="847"/>
      <c r="BM270" s="847"/>
      <c r="BN270" s="847"/>
      <c r="BO270" s="847"/>
      <c r="BP270" s="847"/>
      <c r="BQ270" s="847"/>
      <c r="BR270" s="847"/>
      <c r="BS270" s="847"/>
      <c r="BT270" s="847"/>
      <c r="BU270" s="847"/>
      <c r="BV270" s="847"/>
      <c r="BW270" s="847"/>
      <c r="BX270" s="847"/>
      <c r="BY270" s="847"/>
      <c r="BZ270" s="847"/>
      <c r="CA270" s="847"/>
      <c r="CB270" s="847"/>
      <c r="CC270" s="847"/>
      <c r="CD270" s="847"/>
      <c r="CE270" s="847"/>
      <c r="CF270" s="847"/>
      <c r="CG270" s="847"/>
      <c r="CH270" s="847"/>
      <c r="CI270" s="847"/>
      <c r="CJ270" s="847"/>
      <c r="CK270" s="847"/>
      <c r="CL270" s="847"/>
      <c r="CM270" s="847"/>
      <c r="CN270" s="847"/>
      <c r="CO270" s="847"/>
      <c r="CP270" s="847"/>
      <c r="CQ270" s="847"/>
      <c r="CR270" s="847"/>
      <c r="CS270" s="847"/>
      <c r="CT270" s="847"/>
      <c r="CU270" s="847"/>
      <c r="CV270" s="847"/>
      <c r="CW270" s="847"/>
      <c r="CX270" s="847"/>
      <c r="CY270" s="847"/>
      <c r="CZ270" s="847"/>
      <c r="DA270" s="847"/>
      <c r="DB270" s="847"/>
      <c r="DC270" s="847"/>
      <c r="DD270" s="847"/>
      <c r="DE270" s="847"/>
      <c r="DF270" s="847"/>
      <c r="DG270" s="847"/>
      <c r="DH270" s="847"/>
      <c r="DI270" s="847"/>
      <c r="DJ270" s="847"/>
      <c r="DK270" s="847"/>
      <c r="DL270" s="847"/>
      <c r="DM270" s="1212"/>
      <c r="DN270" s="1222"/>
      <c r="DO270" s="1013"/>
      <c r="DP270" s="847"/>
      <c r="DQ270" s="1013"/>
      <c r="DR270" s="1225"/>
      <c r="DS270" s="1013"/>
      <c r="DT270" s="1225"/>
      <c r="DU270" s="1214"/>
      <c r="DV270" s="1242"/>
      <c r="DW270" s="1232"/>
      <c r="DX270" s="1222"/>
      <c r="DY270" s="847"/>
      <c r="DZ270" s="847"/>
      <c r="EA270" s="847"/>
      <c r="EB270" s="847"/>
      <c r="EC270" s="847"/>
      <c r="ED270" s="847"/>
      <c r="EE270" s="847"/>
      <c r="EF270" s="847"/>
      <c r="EG270" s="1212"/>
      <c r="EH270" s="847"/>
      <c r="EI270" s="1212"/>
    </row>
    <row r="271" spans="1:139" s="733" customFormat="1" ht="13.5">
      <c r="A271" s="1009"/>
      <c r="B271" s="1212" t="s">
        <v>2066</v>
      </c>
      <c r="C271" s="1213">
        <v>0</v>
      </c>
      <c r="D271" s="1013" t="s">
        <v>92</v>
      </c>
      <c r="E271" s="847"/>
      <c r="F271" s="1013"/>
      <c r="G271" s="847"/>
      <c r="H271" s="1013"/>
      <c r="I271" s="847"/>
      <c r="J271" s="1013"/>
      <c r="K271" s="847"/>
      <c r="L271" s="1013"/>
      <c r="M271" s="847"/>
      <c r="N271" s="1013"/>
      <c r="O271" s="847"/>
      <c r="P271" s="1013"/>
      <c r="Q271" s="847"/>
      <c r="R271" s="847"/>
      <c r="S271" s="847"/>
      <c r="T271" s="847"/>
      <c r="U271" s="847"/>
      <c r="V271" s="847"/>
      <c r="W271" s="847"/>
      <c r="X271" s="847"/>
      <c r="Y271" s="847"/>
      <c r="Z271" s="847"/>
      <c r="AA271" s="847"/>
      <c r="AB271" s="847"/>
      <c r="AC271" s="847"/>
      <c r="AD271" s="847"/>
      <c r="AE271" s="847"/>
      <c r="AF271" s="847"/>
      <c r="AG271" s="847"/>
      <c r="AH271" s="847"/>
      <c r="AI271" s="847"/>
      <c r="AJ271" s="847"/>
      <c r="AK271" s="847"/>
      <c r="AL271" s="847"/>
      <c r="AM271" s="847"/>
      <c r="AN271" s="847"/>
      <c r="AO271" s="847"/>
      <c r="AP271" s="847"/>
      <c r="AQ271" s="847"/>
      <c r="AR271" s="847"/>
      <c r="AS271" s="847"/>
      <c r="AT271" s="847"/>
      <c r="AU271" s="847"/>
      <c r="AV271" s="847"/>
      <c r="AW271" s="847"/>
      <c r="AX271" s="847"/>
      <c r="AY271" s="847"/>
      <c r="AZ271" s="847"/>
      <c r="BA271" s="847"/>
      <c r="BB271" s="847"/>
      <c r="BC271" s="847"/>
      <c r="BD271" s="847"/>
      <c r="BE271" s="847"/>
      <c r="BF271" s="847"/>
      <c r="BG271" s="847"/>
      <c r="BH271" s="847"/>
      <c r="BI271" s="847"/>
      <c r="BJ271" s="847"/>
      <c r="BK271" s="847"/>
      <c r="BL271" s="847"/>
      <c r="BM271" s="847"/>
      <c r="BN271" s="847"/>
      <c r="BO271" s="847"/>
      <c r="BP271" s="847"/>
      <c r="BQ271" s="847"/>
      <c r="BR271" s="847"/>
      <c r="BS271" s="847"/>
      <c r="BT271" s="847"/>
      <c r="BU271" s="847"/>
      <c r="BV271" s="847"/>
      <c r="BW271" s="847"/>
      <c r="BX271" s="847"/>
      <c r="BY271" s="847"/>
      <c r="BZ271" s="847"/>
      <c r="CA271" s="847"/>
      <c r="CB271" s="847"/>
      <c r="CC271" s="847"/>
      <c r="CD271" s="847"/>
      <c r="CE271" s="847"/>
      <c r="CF271" s="847"/>
      <c r="CG271" s="847"/>
      <c r="CH271" s="847"/>
      <c r="CI271" s="847"/>
      <c r="CJ271" s="847"/>
      <c r="CK271" s="847"/>
      <c r="CL271" s="847"/>
      <c r="CM271" s="847"/>
      <c r="CN271" s="847"/>
      <c r="CO271" s="847"/>
      <c r="CP271" s="847"/>
      <c r="CQ271" s="847"/>
      <c r="CR271" s="847"/>
      <c r="CS271" s="1013">
        <f>CS267</f>
        <v>1</v>
      </c>
      <c r="CT271" s="847">
        <f>ROUND(C271*CS271,2)</f>
        <v>0</v>
      </c>
      <c r="CU271" s="847"/>
      <c r="CV271" s="847"/>
      <c r="CW271" s="847"/>
      <c r="CX271" s="847"/>
      <c r="CY271" s="847"/>
      <c r="CZ271" s="847"/>
      <c r="DA271" s="847"/>
      <c r="DB271" s="847"/>
      <c r="DC271" s="847"/>
      <c r="DD271" s="847"/>
      <c r="DE271" s="847"/>
      <c r="DF271" s="847"/>
      <c r="DG271" s="847"/>
      <c r="DH271" s="847"/>
      <c r="DI271" s="847"/>
      <c r="DJ271" s="847"/>
      <c r="DK271" s="847"/>
      <c r="DL271" s="847"/>
      <c r="DM271" s="1212"/>
      <c r="DN271" s="1222">
        <f>'Lead &amp; ANALYSIS'!G4672/10</f>
        <v>0.21600000000000003</v>
      </c>
      <c r="DO271" s="1013">
        <f>ROUND(C271*DN271,2)</f>
        <v>0</v>
      </c>
      <c r="DP271" s="847"/>
      <c r="DQ271" s="1013"/>
      <c r="DR271" s="1225"/>
      <c r="DS271" s="1013"/>
      <c r="DT271" s="1225">
        <f>'Lead &amp; ANALYSIS'!G4671/10</f>
        <v>0.21600000000000003</v>
      </c>
      <c r="DU271" s="1214">
        <f>ROUND(C271*DT271,2)</f>
        <v>0</v>
      </c>
      <c r="DV271" s="1242"/>
      <c r="DW271" s="1232"/>
      <c r="DX271" s="1222"/>
      <c r="DY271" s="847"/>
      <c r="DZ271" s="847"/>
      <c r="EA271" s="847"/>
      <c r="EB271" s="847"/>
      <c r="EC271" s="847"/>
      <c r="ED271" s="847"/>
      <c r="EE271" s="847"/>
      <c r="EF271" s="847"/>
      <c r="EG271" s="1212"/>
      <c r="EH271" s="847"/>
      <c r="EI271" s="1212"/>
    </row>
    <row r="272" spans="1:139" s="733" customFormat="1" ht="13.5">
      <c r="A272" s="1009"/>
      <c r="B272" s="1212" t="s">
        <v>2067</v>
      </c>
      <c r="C272" s="1213">
        <v>0</v>
      </c>
      <c r="D272" s="1013" t="s">
        <v>92</v>
      </c>
      <c r="E272" s="847"/>
      <c r="F272" s="1013"/>
      <c r="G272" s="847"/>
      <c r="H272" s="1013"/>
      <c r="I272" s="847"/>
      <c r="J272" s="1013"/>
      <c r="K272" s="847"/>
      <c r="L272" s="1013"/>
      <c r="M272" s="847"/>
      <c r="N272" s="1013"/>
      <c r="O272" s="847"/>
      <c r="P272" s="1013"/>
      <c r="Q272" s="847"/>
      <c r="R272" s="847"/>
      <c r="S272" s="847"/>
      <c r="T272" s="847"/>
      <c r="U272" s="847"/>
      <c r="V272" s="847"/>
      <c r="W272" s="847"/>
      <c r="X272" s="847"/>
      <c r="Y272" s="847"/>
      <c r="Z272" s="847"/>
      <c r="AA272" s="847"/>
      <c r="AB272" s="847"/>
      <c r="AC272" s="847"/>
      <c r="AD272" s="847"/>
      <c r="AE272" s="847"/>
      <c r="AF272" s="847"/>
      <c r="AG272" s="847"/>
      <c r="AH272" s="847"/>
      <c r="AI272" s="847"/>
      <c r="AJ272" s="847"/>
      <c r="AK272" s="847"/>
      <c r="AL272" s="847"/>
      <c r="AM272" s="847"/>
      <c r="AN272" s="847"/>
      <c r="AO272" s="847"/>
      <c r="AP272" s="847"/>
      <c r="AQ272" s="847"/>
      <c r="AR272" s="847"/>
      <c r="AS272" s="847"/>
      <c r="AT272" s="847"/>
      <c r="AU272" s="847"/>
      <c r="AV272" s="847"/>
      <c r="AW272" s="847"/>
      <c r="AX272" s="847"/>
      <c r="AY272" s="847"/>
      <c r="AZ272" s="847"/>
      <c r="BA272" s="847"/>
      <c r="BB272" s="847"/>
      <c r="BC272" s="847"/>
      <c r="BD272" s="847"/>
      <c r="BE272" s="847"/>
      <c r="BF272" s="847"/>
      <c r="BG272" s="847"/>
      <c r="BH272" s="847"/>
      <c r="BI272" s="847"/>
      <c r="BJ272" s="847"/>
      <c r="BK272" s="847"/>
      <c r="BL272" s="847"/>
      <c r="BM272" s="847"/>
      <c r="BN272" s="847"/>
      <c r="BO272" s="847"/>
      <c r="BP272" s="847"/>
      <c r="BQ272" s="847"/>
      <c r="BR272" s="847"/>
      <c r="BS272" s="847"/>
      <c r="BT272" s="847"/>
      <c r="BU272" s="847"/>
      <c r="BV272" s="847"/>
      <c r="BW272" s="847"/>
      <c r="BX272" s="847"/>
      <c r="BY272" s="847"/>
      <c r="BZ272" s="847"/>
      <c r="CA272" s="847"/>
      <c r="CB272" s="847"/>
      <c r="CC272" s="847"/>
      <c r="CD272" s="847"/>
      <c r="CE272" s="847"/>
      <c r="CF272" s="847"/>
      <c r="CG272" s="847"/>
      <c r="CH272" s="847"/>
      <c r="CI272" s="847"/>
      <c r="CJ272" s="847"/>
      <c r="CK272" s="847"/>
      <c r="CL272" s="847"/>
      <c r="CM272" s="847"/>
      <c r="CN272" s="847"/>
      <c r="CO272" s="847"/>
      <c r="CP272" s="847"/>
      <c r="CQ272" s="847"/>
      <c r="CR272" s="847"/>
      <c r="CS272" s="1013">
        <f>CS271</f>
        <v>1</v>
      </c>
      <c r="CT272" s="847">
        <f>ROUND(C272*CS272,2)</f>
        <v>0</v>
      </c>
      <c r="CU272" s="847"/>
      <c r="CV272" s="847"/>
      <c r="CW272" s="847"/>
      <c r="CX272" s="847"/>
      <c r="CY272" s="847"/>
      <c r="CZ272" s="847"/>
      <c r="DA272" s="847"/>
      <c r="DB272" s="847"/>
      <c r="DC272" s="847"/>
      <c r="DD272" s="847"/>
      <c r="DE272" s="847"/>
      <c r="DF272" s="847"/>
      <c r="DG272" s="847"/>
      <c r="DH272" s="847"/>
      <c r="DI272" s="847"/>
      <c r="DJ272" s="847"/>
      <c r="DK272" s="847"/>
      <c r="DL272" s="847"/>
      <c r="DM272" s="1212"/>
      <c r="DN272" s="1222">
        <f>DN271+DN271*5%</f>
        <v>0.22680000000000003</v>
      </c>
      <c r="DO272" s="1013">
        <f>ROUND(C272*DN272,2)</f>
        <v>0</v>
      </c>
      <c r="DP272" s="847"/>
      <c r="DQ272" s="1013"/>
      <c r="DR272" s="1225"/>
      <c r="DS272" s="1013"/>
      <c r="DT272" s="847">
        <f>DT271+DT271*5%</f>
        <v>0.22680000000000003</v>
      </c>
      <c r="DU272" s="1214">
        <f>ROUND(C272*DT272,2)</f>
        <v>0</v>
      </c>
      <c r="DV272" s="1242"/>
      <c r="DW272" s="1232"/>
      <c r="DX272" s="1222"/>
      <c r="DY272" s="847"/>
      <c r="DZ272" s="847"/>
      <c r="EA272" s="847"/>
      <c r="EB272" s="847"/>
      <c r="EC272" s="847"/>
      <c r="ED272" s="847"/>
      <c r="EE272" s="847"/>
      <c r="EF272" s="847"/>
      <c r="EG272" s="1212"/>
      <c r="EH272" s="847"/>
      <c r="EI272" s="1212"/>
    </row>
    <row r="273" spans="1:139" s="733" customFormat="1" ht="13.5">
      <c r="A273" s="1009" t="s">
        <v>470</v>
      </c>
      <c r="B273" s="1212" t="s">
        <v>236</v>
      </c>
      <c r="C273" s="1213">
        <v>0</v>
      </c>
      <c r="D273" s="1013" t="s">
        <v>92</v>
      </c>
      <c r="E273" s="847"/>
      <c r="F273" s="1013"/>
      <c r="G273" s="847"/>
      <c r="H273" s="1013"/>
      <c r="I273" s="847"/>
      <c r="J273" s="1013"/>
      <c r="K273" s="847"/>
      <c r="L273" s="1013"/>
      <c r="M273" s="847"/>
      <c r="N273" s="1013"/>
      <c r="O273" s="847"/>
      <c r="P273" s="1013"/>
      <c r="Q273" s="847"/>
      <c r="R273" s="847"/>
      <c r="S273" s="847"/>
      <c r="T273" s="847"/>
      <c r="U273" s="847"/>
      <c r="V273" s="847"/>
      <c r="W273" s="847"/>
      <c r="X273" s="847"/>
      <c r="Y273" s="847"/>
      <c r="Z273" s="847"/>
      <c r="AA273" s="847"/>
      <c r="AB273" s="847"/>
      <c r="AC273" s="847"/>
      <c r="AD273" s="847"/>
      <c r="AE273" s="847"/>
      <c r="AF273" s="847"/>
      <c r="AG273" s="847"/>
      <c r="AH273" s="847"/>
      <c r="AI273" s="847"/>
      <c r="AJ273" s="847"/>
      <c r="AK273" s="847"/>
      <c r="AL273" s="847"/>
      <c r="AM273" s="847"/>
      <c r="AN273" s="847"/>
      <c r="AO273" s="847"/>
      <c r="AP273" s="847"/>
      <c r="AQ273" s="847"/>
      <c r="AR273" s="847"/>
      <c r="AS273" s="847"/>
      <c r="AT273" s="847"/>
      <c r="AU273" s="847"/>
      <c r="AV273" s="847"/>
      <c r="AW273" s="847"/>
      <c r="AX273" s="847"/>
      <c r="AY273" s="847"/>
      <c r="AZ273" s="847"/>
      <c r="BA273" s="847"/>
      <c r="BB273" s="847"/>
      <c r="BC273" s="847"/>
      <c r="BD273" s="847"/>
      <c r="BE273" s="847"/>
      <c r="BF273" s="847"/>
      <c r="BG273" s="847"/>
      <c r="BH273" s="847"/>
      <c r="BI273" s="847"/>
      <c r="BJ273" s="847"/>
      <c r="BK273" s="847"/>
      <c r="BL273" s="847"/>
      <c r="BM273" s="847"/>
      <c r="BN273" s="847"/>
      <c r="BO273" s="847"/>
      <c r="BP273" s="847"/>
      <c r="BQ273" s="847"/>
      <c r="BR273" s="847"/>
      <c r="BS273" s="847"/>
      <c r="BT273" s="847"/>
      <c r="BU273" s="847"/>
      <c r="BV273" s="847"/>
      <c r="BW273" s="847"/>
      <c r="BX273" s="847"/>
      <c r="BY273" s="847"/>
      <c r="BZ273" s="847"/>
      <c r="CA273" s="847"/>
      <c r="CB273" s="847"/>
      <c r="CC273" s="847"/>
      <c r="CD273" s="847"/>
      <c r="CE273" s="847"/>
      <c r="CF273" s="847"/>
      <c r="CG273" s="847"/>
      <c r="CH273" s="847"/>
      <c r="CI273" s="847"/>
      <c r="CJ273" s="847"/>
      <c r="CK273" s="847"/>
      <c r="CL273" s="847"/>
      <c r="CM273" s="847"/>
      <c r="CN273" s="847"/>
      <c r="CO273" s="847"/>
      <c r="CP273" s="847"/>
      <c r="CQ273" s="847"/>
      <c r="CR273" s="847"/>
      <c r="CS273" s="1013"/>
      <c r="CT273" s="847"/>
      <c r="CU273" s="847"/>
      <c r="CV273" s="847"/>
      <c r="CW273" s="847"/>
      <c r="CX273" s="847"/>
      <c r="CY273" s="847"/>
      <c r="CZ273" s="847"/>
      <c r="DA273" s="847"/>
      <c r="DB273" s="847"/>
      <c r="DC273" s="847"/>
      <c r="DD273" s="847"/>
      <c r="DE273" s="847"/>
      <c r="DF273" s="847"/>
      <c r="DG273" s="847"/>
      <c r="DH273" s="847"/>
      <c r="DI273" s="847"/>
      <c r="DJ273" s="847"/>
      <c r="DK273" s="847"/>
      <c r="DL273" s="847"/>
      <c r="DM273" s="1212"/>
      <c r="DN273" s="1222"/>
      <c r="DO273" s="1013"/>
      <c r="DP273" s="847"/>
      <c r="DQ273" s="1013"/>
      <c r="DR273" s="1225"/>
      <c r="DS273" s="1013"/>
      <c r="DT273" s="847"/>
      <c r="DU273" s="1214"/>
      <c r="DV273" s="1242"/>
      <c r="DW273" s="1232"/>
      <c r="DX273" s="1222"/>
      <c r="DY273" s="847"/>
      <c r="DZ273" s="847"/>
      <c r="EA273" s="847"/>
      <c r="EB273" s="847"/>
      <c r="EC273" s="847"/>
      <c r="ED273" s="847"/>
      <c r="EE273" s="847"/>
      <c r="EF273" s="847"/>
      <c r="EG273" s="1212"/>
      <c r="EH273" s="847"/>
      <c r="EI273" s="1212"/>
    </row>
    <row r="274" spans="1:139" s="733" customFormat="1" ht="13.5">
      <c r="A274" s="1009"/>
      <c r="B274" s="1212" t="s">
        <v>2066</v>
      </c>
      <c r="C274" s="1213">
        <v>0</v>
      </c>
      <c r="D274" s="1013" t="s">
        <v>92</v>
      </c>
      <c r="E274" s="847"/>
      <c r="F274" s="1013"/>
      <c r="G274" s="847"/>
      <c r="H274" s="1013"/>
      <c r="I274" s="847"/>
      <c r="J274" s="1013"/>
      <c r="K274" s="847"/>
      <c r="L274" s="1013"/>
      <c r="M274" s="847"/>
      <c r="N274" s="1013"/>
      <c r="O274" s="847"/>
      <c r="P274" s="1013"/>
      <c r="Q274" s="847"/>
      <c r="R274" s="847"/>
      <c r="S274" s="847"/>
      <c r="T274" s="847"/>
      <c r="U274" s="847"/>
      <c r="V274" s="847"/>
      <c r="W274" s="847"/>
      <c r="X274" s="847"/>
      <c r="Y274" s="847"/>
      <c r="Z274" s="847"/>
      <c r="AA274" s="847"/>
      <c r="AB274" s="847"/>
      <c r="AC274" s="847"/>
      <c r="AD274" s="847"/>
      <c r="AE274" s="847"/>
      <c r="AF274" s="847"/>
      <c r="AG274" s="847"/>
      <c r="AH274" s="847"/>
      <c r="AI274" s="847"/>
      <c r="AJ274" s="847"/>
      <c r="AK274" s="847"/>
      <c r="AL274" s="847"/>
      <c r="AM274" s="847"/>
      <c r="AN274" s="847"/>
      <c r="AO274" s="847"/>
      <c r="AP274" s="847"/>
      <c r="AQ274" s="847"/>
      <c r="AR274" s="847"/>
      <c r="AS274" s="847"/>
      <c r="AT274" s="847"/>
      <c r="AU274" s="847"/>
      <c r="AV274" s="847"/>
      <c r="AW274" s="847"/>
      <c r="AX274" s="847"/>
      <c r="AY274" s="847"/>
      <c r="AZ274" s="847"/>
      <c r="BA274" s="847"/>
      <c r="BB274" s="847"/>
      <c r="BC274" s="847"/>
      <c r="BD274" s="847"/>
      <c r="BE274" s="847"/>
      <c r="BF274" s="847"/>
      <c r="BG274" s="847"/>
      <c r="BH274" s="847"/>
      <c r="BI274" s="847"/>
      <c r="BJ274" s="847"/>
      <c r="BK274" s="847"/>
      <c r="BL274" s="847"/>
      <c r="BM274" s="847"/>
      <c r="BN274" s="847"/>
      <c r="BO274" s="847"/>
      <c r="BP274" s="847"/>
      <c r="BQ274" s="847"/>
      <c r="BR274" s="847"/>
      <c r="BS274" s="847"/>
      <c r="BT274" s="847"/>
      <c r="BU274" s="847"/>
      <c r="BV274" s="847"/>
      <c r="BW274" s="847"/>
      <c r="BX274" s="847"/>
      <c r="BY274" s="847"/>
      <c r="BZ274" s="847"/>
      <c r="CA274" s="847"/>
      <c r="CB274" s="847"/>
      <c r="CC274" s="847"/>
      <c r="CD274" s="847"/>
      <c r="CE274" s="847"/>
      <c r="CF274" s="847"/>
      <c r="CG274" s="847"/>
      <c r="CH274" s="847"/>
      <c r="CI274" s="847"/>
      <c r="CJ274" s="847"/>
      <c r="CK274" s="847"/>
      <c r="CL274" s="847"/>
      <c r="CM274" s="847"/>
      <c r="CN274" s="847"/>
      <c r="CO274" s="847"/>
      <c r="CP274" s="847"/>
      <c r="CQ274" s="847"/>
      <c r="CR274" s="847"/>
      <c r="CS274" s="1013">
        <f>CS271</f>
        <v>1</v>
      </c>
      <c r="CT274" s="847"/>
      <c r="CU274" s="847">
        <f>ROUND(C274*CS274,2)</f>
        <v>0</v>
      </c>
      <c r="CV274" s="847"/>
      <c r="CW274" s="847"/>
      <c r="CX274" s="847"/>
      <c r="CY274" s="847"/>
      <c r="CZ274" s="847"/>
      <c r="DA274" s="847"/>
      <c r="DB274" s="847"/>
      <c r="DC274" s="847"/>
      <c r="DD274" s="847"/>
      <c r="DE274" s="847"/>
      <c r="DF274" s="847"/>
      <c r="DG274" s="847"/>
      <c r="DH274" s="847"/>
      <c r="DI274" s="847"/>
      <c r="DJ274" s="847"/>
      <c r="DK274" s="847"/>
      <c r="DL274" s="847"/>
      <c r="DM274" s="1212"/>
      <c r="DN274" s="1222">
        <f>'Lead &amp; ANALYSIS'!G4672/10</f>
        <v>0.21600000000000003</v>
      </c>
      <c r="DO274" s="1013">
        <f>ROUND(C274*DN274,2)</f>
        <v>0</v>
      </c>
      <c r="DP274" s="847"/>
      <c r="DQ274" s="1013"/>
      <c r="DR274" s="1225"/>
      <c r="DS274" s="1013"/>
      <c r="DT274" s="1225">
        <f>'Lead &amp; ANALYSIS'!G4672/10</f>
        <v>0.21600000000000003</v>
      </c>
      <c r="DU274" s="1214">
        <f>ROUND(C274*DT274,2)</f>
        <v>0</v>
      </c>
      <c r="DV274" s="1242"/>
      <c r="DW274" s="1232"/>
      <c r="DX274" s="1222"/>
      <c r="DY274" s="847"/>
      <c r="DZ274" s="847"/>
      <c r="EA274" s="847"/>
      <c r="EB274" s="847"/>
      <c r="EC274" s="847"/>
      <c r="ED274" s="847"/>
      <c r="EE274" s="847"/>
      <c r="EF274" s="847"/>
      <c r="EG274" s="1212"/>
      <c r="EH274" s="847"/>
      <c r="EI274" s="1212"/>
    </row>
    <row r="275" spans="1:139" s="733" customFormat="1" ht="13.5">
      <c r="A275" s="1009"/>
      <c r="B275" s="1212" t="s">
        <v>2067</v>
      </c>
      <c r="C275" s="1213">
        <v>0</v>
      </c>
      <c r="D275" s="1013" t="s">
        <v>92</v>
      </c>
      <c r="E275" s="847"/>
      <c r="F275" s="1013"/>
      <c r="G275" s="847"/>
      <c r="H275" s="1013"/>
      <c r="I275" s="847"/>
      <c r="J275" s="1013"/>
      <c r="K275" s="847"/>
      <c r="L275" s="1013"/>
      <c r="M275" s="847"/>
      <c r="N275" s="1013"/>
      <c r="O275" s="847"/>
      <c r="P275" s="1013"/>
      <c r="Q275" s="847"/>
      <c r="R275" s="847"/>
      <c r="S275" s="847"/>
      <c r="T275" s="847"/>
      <c r="U275" s="847"/>
      <c r="V275" s="847"/>
      <c r="W275" s="847"/>
      <c r="X275" s="847"/>
      <c r="Y275" s="847"/>
      <c r="Z275" s="847"/>
      <c r="AA275" s="847"/>
      <c r="AB275" s="847"/>
      <c r="AC275" s="847"/>
      <c r="AD275" s="847"/>
      <c r="AE275" s="847"/>
      <c r="AF275" s="847"/>
      <c r="AG275" s="847"/>
      <c r="AH275" s="847"/>
      <c r="AI275" s="847"/>
      <c r="AJ275" s="847"/>
      <c r="AK275" s="847"/>
      <c r="AL275" s="847"/>
      <c r="AM275" s="847"/>
      <c r="AN275" s="847"/>
      <c r="AO275" s="847"/>
      <c r="AP275" s="847"/>
      <c r="AQ275" s="847"/>
      <c r="AR275" s="847"/>
      <c r="AS275" s="847"/>
      <c r="AT275" s="847"/>
      <c r="AU275" s="847"/>
      <c r="AV275" s="847"/>
      <c r="AW275" s="847"/>
      <c r="AX275" s="847"/>
      <c r="AY275" s="847"/>
      <c r="AZ275" s="847"/>
      <c r="BA275" s="847"/>
      <c r="BB275" s="847"/>
      <c r="BC275" s="847"/>
      <c r="BD275" s="847"/>
      <c r="BE275" s="847"/>
      <c r="BF275" s="847"/>
      <c r="BG275" s="847"/>
      <c r="BH275" s="847"/>
      <c r="BI275" s="847"/>
      <c r="BJ275" s="847"/>
      <c r="BK275" s="847"/>
      <c r="BL275" s="847"/>
      <c r="BM275" s="847"/>
      <c r="BN275" s="847"/>
      <c r="BO275" s="847"/>
      <c r="BP275" s="847"/>
      <c r="BQ275" s="847"/>
      <c r="BR275" s="847"/>
      <c r="BS275" s="847"/>
      <c r="BT275" s="847"/>
      <c r="BU275" s="847"/>
      <c r="BV275" s="847"/>
      <c r="BW275" s="847"/>
      <c r="BX275" s="847"/>
      <c r="BY275" s="847"/>
      <c r="BZ275" s="847"/>
      <c r="CA275" s="847"/>
      <c r="CB275" s="847"/>
      <c r="CC275" s="847"/>
      <c r="CD275" s="847"/>
      <c r="CE275" s="847"/>
      <c r="CF275" s="847"/>
      <c r="CG275" s="847"/>
      <c r="CH275" s="847"/>
      <c r="CI275" s="847"/>
      <c r="CJ275" s="847"/>
      <c r="CK275" s="847"/>
      <c r="CL275" s="847"/>
      <c r="CM275" s="847"/>
      <c r="CN275" s="847"/>
      <c r="CO275" s="847"/>
      <c r="CP275" s="847"/>
      <c r="CQ275" s="847"/>
      <c r="CR275" s="847"/>
      <c r="CS275" s="1013">
        <f>CS274</f>
        <v>1</v>
      </c>
      <c r="CT275" s="847"/>
      <c r="CU275" s="847">
        <f>ROUND(C275*CS275,2)</f>
        <v>0</v>
      </c>
      <c r="CV275" s="847"/>
      <c r="CW275" s="847"/>
      <c r="CX275" s="847"/>
      <c r="CY275" s="847"/>
      <c r="CZ275" s="847"/>
      <c r="DA275" s="847"/>
      <c r="DB275" s="847"/>
      <c r="DC275" s="847"/>
      <c r="DD275" s="847"/>
      <c r="DE275" s="847"/>
      <c r="DF275" s="847"/>
      <c r="DG275" s="847"/>
      <c r="DH275" s="847"/>
      <c r="DI275" s="847"/>
      <c r="DJ275" s="847"/>
      <c r="DK275" s="847"/>
      <c r="DL275" s="847"/>
      <c r="DM275" s="1212"/>
      <c r="DN275" s="1222">
        <f>DN274+DN274*5%</f>
        <v>0.22680000000000003</v>
      </c>
      <c r="DO275" s="1013">
        <f>ROUND(C275*DN275,2)</f>
        <v>0</v>
      </c>
      <c r="DP275" s="847"/>
      <c r="DQ275" s="1013"/>
      <c r="DR275" s="1225"/>
      <c r="DS275" s="1013"/>
      <c r="DT275" s="847">
        <f>DT274+DT274*5%</f>
        <v>0.22680000000000003</v>
      </c>
      <c r="DU275" s="1214">
        <f>ROUND(C275*DT275,2)</f>
        <v>0</v>
      </c>
      <c r="DV275" s="1242"/>
      <c r="DW275" s="1232"/>
      <c r="DX275" s="1222"/>
      <c r="DY275" s="847"/>
      <c r="DZ275" s="847"/>
      <c r="EA275" s="847"/>
      <c r="EB275" s="847"/>
      <c r="EC275" s="847"/>
      <c r="ED275" s="847"/>
      <c r="EE275" s="847"/>
      <c r="EF275" s="847"/>
      <c r="EG275" s="1212"/>
      <c r="EH275" s="847"/>
      <c r="EI275" s="1212"/>
    </row>
    <row r="276" spans="1:139" s="733" customFormat="1" ht="13.5">
      <c r="A276" s="1009">
        <v>74</v>
      </c>
      <c r="B276" s="1212" t="s">
        <v>3064</v>
      </c>
      <c r="C276" s="1213">
        <v>0</v>
      </c>
      <c r="D276" s="1013" t="s">
        <v>92</v>
      </c>
      <c r="E276" s="847"/>
      <c r="F276" s="1013"/>
      <c r="G276" s="847"/>
      <c r="H276" s="1013"/>
      <c r="I276" s="847"/>
      <c r="J276" s="1013"/>
      <c r="K276" s="847"/>
      <c r="L276" s="1013"/>
      <c r="M276" s="847"/>
      <c r="N276" s="1013"/>
      <c r="O276" s="847"/>
      <c r="P276" s="1013"/>
      <c r="Q276" s="847"/>
      <c r="R276" s="847"/>
      <c r="S276" s="847"/>
      <c r="T276" s="847"/>
      <c r="U276" s="847"/>
      <c r="V276" s="847"/>
      <c r="W276" s="847"/>
      <c r="X276" s="847"/>
      <c r="Y276" s="847"/>
      <c r="Z276" s="847"/>
      <c r="AA276" s="847"/>
      <c r="AB276" s="847"/>
      <c r="AC276" s="847"/>
      <c r="AD276" s="847"/>
      <c r="AE276" s="847"/>
      <c r="AF276" s="847"/>
      <c r="AG276" s="847"/>
      <c r="AH276" s="847"/>
      <c r="AI276" s="847"/>
      <c r="AJ276" s="847"/>
      <c r="AK276" s="847"/>
      <c r="AL276" s="847"/>
      <c r="AM276" s="847"/>
      <c r="AN276" s="847"/>
      <c r="AO276" s="847"/>
      <c r="AP276" s="847"/>
      <c r="AQ276" s="847"/>
      <c r="AR276" s="847"/>
      <c r="AS276" s="847"/>
      <c r="AT276" s="847"/>
      <c r="AU276" s="847"/>
      <c r="AV276" s="847"/>
      <c r="AW276" s="847"/>
      <c r="AX276" s="847"/>
      <c r="AY276" s="847"/>
      <c r="AZ276" s="847"/>
      <c r="BA276" s="847"/>
      <c r="BB276" s="847"/>
      <c r="BC276" s="847"/>
      <c r="BD276" s="847"/>
      <c r="BE276" s="847"/>
      <c r="BF276" s="847"/>
      <c r="BG276" s="847"/>
      <c r="BH276" s="847"/>
      <c r="BI276" s="847"/>
      <c r="BJ276" s="847"/>
      <c r="BK276" s="847"/>
      <c r="BL276" s="847"/>
      <c r="BM276" s="847"/>
      <c r="BN276" s="847"/>
      <c r="BO276" s="847"/>
      <c r="BP276" s="847"/>
      <c r="BQ276" s="847"/>
      <c r="BR276" s="847"/>
      <c r="BS276" s="847"/>
      <c r="BT276" s="847"/>
      <c r="BU276" s="847"/>
      <c r="BV276" s="847"/>
      <c r="BW276" s="847"/>
      <c r="BX276" s="847"/>
      <c r="BY276" s="847"/>
      <c r="BZ276" s="847"/>
      <c r="CA276" s="847"/>
      <c r="CB276" s="847"/>
      <c r="CC276" s="847"/>
      <c r="CD276" s="847"/>
      <c r="CE276" s="847"/>
      <c r="CF276" s="847"/>
      <c r="CG276" s="847"/>
      <c r="CH276" s="847"/>
      <c r="CI276" s="847"/>
      <c r="CJ276" s="847"/>
      <c r="CK276" s="847"/>
      <c r="CL276" s="847"/>
      <c r="CM276" s="847"/>
      <c r="CN276" s="847"/>
      <c r="CO276" s="847"/>
      <c r="CP276" s="847"/>
      <c r="CQ276" s="847"/>
      <c r="CR276" s="847"/>
      <c r="CS276" s="847"/>
      <c r="CT276" s="847"/>
      <c r="CU276" s="847"/>
      <c r="CV276" s="847"/>
      <c r="CW276" s="847"/>
      <c r="CX276" s="847"/>
      <c r="CY276" s="847"/>
      <c r="CZ276" s="847"/>
      <c r="DA276" s="847"/>
      <c r="DB276" s="847"/>
      <c r="DC276" s="847"/>
      <c r="DD276" s="847"/>
      <c r="DE276" s="847"/>
      <c r="DF276" s="847"/>
      <c r="DG276" s="847"/>
      <c r="DH276" s="847"/>
      <c r="DI276" s="847"/>
      <c r="DJ276" s="847"/>
      <c r="DK276" s="847"/>
      <c r="DL276" s="847"/>
      <c r="DM276" s="1212"/>
      <c r="DN276" s="1222"/>
      <c r="DO276" s="1013"/>
      <c r="DP276" s="847"/>
      <c r="DQ276" s="1013"/>
      <c r="DR276" s="1225"/>
      <c r="DS276" s="1013"/>
      <c r="DT276" s="1225"/>
      <c r="DU276" s="1214"/>
      <c r="DV276" s="1242"/>
      <c r="DW276" s="1232"/>
      <c r="DX276" s="1222"/>
      <c r="DY276" s="847"/>
      <c r="DZ276" s="847"/>
      <c r="EA276" s="847"/>
      <c r="EB276" s="847"/>
      <c r="EC276" s="847"/>
      <c r="ED276" s="847"/>
      <c r="EE276" s="847"/>
      <c r="EF276" s="847"/>
      <c r="EG276" s="1212"/>
      <c r="EH276" s="847"/>
      <c r="EI276" s="1212"/>
    </row>
    <row r="277" spans="1:139" s="733" customFormat="1" ht="13.5">
      <c r="A277" s="1009" t="s">
        <v>468</v>
      </c>
      <c r="B277" s="1212" t="s">
        <v>230</v>
      </c>
      <c r="C277" s="1213">
        <v>0</v>
      </c>
      <c r="D277" s="1013" t="s">
        <v>92</v>
      </c>
      <c r="E277" s="847"/>
      <c r="F277" s="1013"/>
      <c r="G277" s="847"/>
      <c r="H277" s="1013"/>
      <c r="I277" s="847"/>
      <c r="J277" s="1013"/>
      <c r="K277" s="847"/>
      <c r="L277" s="1013"/>
      <c r="M277" s="847"/>
      <c r="N277" s="1013"/>
      <c r="O277" s="847"/>
      <c r="P277" s="1013"/>
      <c r="Q277" s="847"/>
      <c r="R277" s="847"/>
      <c r="S277" s="847"/>
      <c r="T277" s="847"/>
      <c r="U277" s="847"/>
      <c r="V277" s="847"/>
      <c r="W277" s="847"/>
      <c r="X277" s="847"/>
      <c r="Y277" s="847"/>
      <c r="Z277" s="847"/>
      <c r="AA277" s="847"/>
      <c r="AB277" s="847"/>
      <c r="AC277" s="847"/>
      <c r="AD277" s="847"/>
      <c r="AE277" s="847"/>
      <c r="AF277" s="847"/>
      <c r="AG277" s="847"/>
      <c r="AH277" s="847"/>
      <c r="AI277" s="847"/>
      <c r="AJ277" s="847"/>
      <c r="AK277" s="847"/>
      <c r="AL277" s="847"/>
      <c r="AM277" s="847"/>
      <c r="AN277" s="847"/>
      <c r="AO277" s="847"/>
      <c r="AP277" s="847"/>
      <c r="AQ277" s="847"/>
      <c r="AR277" s="847"/>
      <c r="AS277" s="847"/>
      <c r="AT277" s="847"/>
      <c r="AU277" s="847"/>
      <c r="AV277" s="847"/>
      <c r="AW277" s="847"/>
      <c r="AX277" s="847"/>
      <c r="AY277" s="847"/>
      <c r="AZ277" s="847"/>
      <c r="BA277" s="847"/>
      <c r="BB277" s="847"/>
      <c r="BC277" s="847"/>
      <c r="BD277" s="847"/>
      <c r="BE277" s="847"/>
      <c r="BF277" s="847"/>
      <c r="BG277" s="847"/>
      <c r="BH277" s="847"/>
      <c r="BI277" s="847"/>
      <c r="BJ277" s="847"/>
      <c r="BK277" s="847"/>
      <c r="BL277" s="847"/>
      <c r="BM277" s="847"/>
      <c r="BN277" s="847"/>
      <c r="BO277" s="847"/>
      <c r="BP277" s="847"/>
      <c r="BQ277" s="847"/>
      <c r="BR277" s="847"/>
      <c r="BS277" s="847"/>
      <c r="BT277" s="847"/>
      <c r="BU277" s="847"/>
      <c r="BV277" s="847"/>
      <c r="BW277" s="847"/>
      <c r="BX277" s="847"/>
      <c r="BY277" s="847"/>
      <c r="BZ277" s="847"/>
      <c r="CA277" s="847"/>
      <c r="CB277" s="847"/>
      <c r="CC277" s="847"/>
      <c r="CD277" s="847"/>
      <c r="CE277" s="847"/>
      <c r="CF277" s="847"/>
      <c r="CG277" s="847"/>
      <c r="CH277" s="847"/>
      <c r="CI277" s="847"/>
      <c r="CJ277" s="847"/>
      <c r="CK277" s="847"/>
      <c r="CL277" s="847"/>
      <c r="CM277" s="847"/>
      <c r="CN277" s="847"/>
      <c r="CO277" s="847"/>
      <c r="CP277" s="847"/>
      <c r="CQ277" s="847"/>
      <c r="CR277" s="847"/>
      <c r="CS277" s="847"/>
      <c r="CT277" s="847"/>
      <c r="CU277" s="847"/>
      <c r="CV277" s="847"/>
      <c r="CW277" s="847"/>
      <c r="CX277" s="847"/>
      <c r="CY277" s="847"/>
      <c r="CZ277" s="847"/>
      <c r="DA277" s="847"/>
      <c r="DB277" s="847"/>
      <c r="DC277" s="847"/>
      <c r="DD277" s="847"/>
      <c r="DE277" s="847"/>
      <c r="DF277" s="847"/>
      <c r="DG277" s="847"/>
      <c r="DH277" s="847"/>
      <c r="DI277" s="847"/>
      <c r="DJ277" s="847"/>
      <c r="DK277" s="847"/>
      <c r="DL277" s="847"/>
      <c r="DM277" s="1212"/>
      <c r="DN277" s="1222"/>
      <c r="DO277" s="1013"/>
      <c r="DP277" s="847"/>
      <c r="DQ277" s="1013"/>
      <c r="DR277" s="1225"/>
      <c r="DS277" s="1013"/>
      <c r="DT277" s="1225"/>
      <c r="DU277" s="1214"/>
      <c r="DV277" s="1242"/>
      <c r="DW277" s="1232"/>
      <c r="DX277" s="1222"/>
      <c r="DY277" s="847"/>
      <c r="DZ277" s="847"/>
      <c r="EA277" s="847"/>
      <c r="EB277" s="847"/>
      <c r="EC277" s="847"/>
      <c r="ED277" s="847"/>
      <c r="EE277" s="847"/>
      <c r="EF277" s="847"/>
      <c r="EG277" s="1212"/>
      <c r="EH277" s="847"/>
      <c r="EI277" s="1212"/>
    </row>
    <row r="278" spans="1:139" s="733" customFormat="1" ht="13.5">
      <c r="A278" s="1009"/>
      <c r="B278" s="1212" t="s">
        <v>2066</v>
      </c>
      <c r="C278" s="1213">
        <v>0</v>
      </c>
      <c r="D278" s="1013" t="s">
        <v>92</v>
      </c>
      <c r="E278" s="847"/>
      <c r="F278" s="1013"/>
      <c r="G278" s="847"/>
      <c r="H278" s="1013"/>
      <c r="I278" s="847"/>
      <c r="J278" s="1013"/>
      <c r="K278" s="847"/>
      <c r="L278" s="1013"/>
      <c r="M278" s="847"/>
      <c r="N278" s="1013"/>
      <c r="O278" s="847"/>
      <c r="P278" s="1013"/>
      <c r="Q278" s="847"/>
      <c r="R278" s="847"/>
      <c r="S278" s="847"/>
      <c r="T278" s="847"/>
      <c r="U278" s="847"/>
      <c r="V278" s="847"/>
      <c r="W278" s="847"/>
      <c r="X278" s="847"/>
      <c r="Y278" s="847"/>
      <c r="Z278" s="847"/>
      <c r="AA278" s="847"/>
      <c r="AB278" s="847"/>
      <c r="AC278" s="847"/>
      <c r="AD278" s="847"/>
      <c r="AE278" s="847"/>
      <c r="AF278" s="847"/>
      <c r="AG278" s="847"/>
      <c r="AH278" s="847"/>
      <c r="AI278" s="847"/>
      <c r="AJ278" s="847"/>
      <c r="AK278" s="847"/>
      <c r="AL278" s="847"/>
      <c r="AM278" s="847"/>
      <c r="AN278" s="847"/>
      <c r="AO278" s="847"/>
      <c r="AP278" s="847"/>
      <c r="AQ278" s="847"/>
      <c r="AR278" s="847"/>
      <c r="AS278" s="847"/>
      <c r="AT278" s="847"/>
      <c r="AU278" s="847"/>
      <c r="AV278" s="847"/>
      <c r="AW278" s="847"/>
      <c r="AX278" s="847"/>
      <c r="AY278" s="847"/>
      <c r="AZ278" s="847"/>
      <c r="BA278" s="847"/>
      <c r="BB278" s="847"/>
      <c r="BC278" s="847"/>
      <c r="BD278" s="847"/>
      <c r="BE278" s="847"/>
      <c r="BF278" s="847"/>
      <c r="BG278" s="847"/>
      <c r="BH278" s="847"/>
      <c r="BI278" s="847"/>
      <c r="BJ278" s="847"/>
      <c r="BK278" s="847"/>
      <c r="BL278" s="847"/>
      <c r="BM278" s="847"/>
      <c r="BN278" s="847"/>
      <c r="BO278" s="847"/>
      <c r="BP278" s="847"/>
      <c r="BQ278" s="847"/>
      <c r="BR278" s="847"/>
      <c r="BS278" s="847"/>
      <c r="BT278" s="847"/>
      <c r="BU278" s="847"/>
      <c r="BV278" s="847"/>
      <c r="BW278" s="847"/>
      <c r="BX278" s="847"/>
      <c r="BY278" s="847"/>
      <c r="BZ278" s="847"/>
      <c r="CA278" s="847"/>
      <c r="CB278" s="847"/>
      <c r="CC278" s="847"/>
      <c r="CD278" s="847"/>
      <c r="CE278" s="847"/>
      <c r="CF278" s="847"/>
      <c r="CG278" s="847"/>
      <c r="CH278" s="847"/>
      <c r="CI278" s="847"/>
      <c r="CJ278" s="847"/>
      <c r="CK278" s="847"/>
      <c r="CL278" s="847"/>
      <c r="CM278" s="847"/>
      <c r="CN278" s="847"/>
      <c r="CO278" s="847"/>
      <c r="CP278" s="847"/>
      <c r="CQ278" s="847"/>
      <c r="CR278" s="847"/>
      <c r="CS278" s="1013">
        <f>CS274</f>
        <v>1</v>
      </c>
      <c r="CT278" s="847">
        <f>ROUND(C278*CS278,2)</f>
        <v>0</v>
      </c>
      <c r="CU278" s="847"/>
      <c r="CV278" s="847"/>
      <c r="CW278" s="847"/>
      <c r="CX278" s="847"/>
      <c r="CY278" s="847"/>
      <c r="CZ278" s="847"/>
      <c r="DA278" s="847"/>
      <c r="DB278" s="847"/>
      <c r="DC278" s="847"/>
      <c r="DD278" s="847"/>
      <c r="DE278" s="847"/>
      <c r="DF278" s="847"/>
      <c r="DG278" s="847"/>
      <c r="DH278" s="847"/>
      <c r="DI278" s="847"/>
      <c r="DJ278" s="847"/>
      <c r="DK278" s="847"/>
      <c r="DL278" s="847"/>
      <c r="DM278" s="1212"/>
      <c r="DN278" s="1222">
        <f>'Lead &amp; ANALYSIS'!G4724/10</f>
        <v>0.21600000000000003</v>
      </c>
      <c r="DO278" s="1013">
        <f t="shared" ref="DO278:DO286" si="11">ROUND(C278*DN278,2)</f>
        <v>0</v>
      </c>
      <c r="DP278" s="847"/>
      <c r="DQ278" s="1013"/>
      <c r="DR278" s="1225"/>
      <c r="DS278" s="1013"/>
      <c r="DT278" s="1225">
        <f>'Lead &amp; ANALYSIS'!G4723/10</f>
        <v>0.21600000000000003</v>
      </c>
      <c r="DU278" s="1214">
        <f>ROUND(C278*DT278,2)</f>
        <v>0</v>
      </c>
      <c r="DV278" s="1242"/>
      <c r="DW278" s="1232"/>
      <c r="DX278" s="1222"/>
      <c r="DY278" s="847"/>
      <c r="DZ278" s="847"/>
      <c r="EA278" s="847"/>
      <c r="EB278" s="847"/>
      <c r="EC278" s="847"/>
      <c r="ED278" s="847"/>
      <c r="EE278" s="847"/>
      <c r="EF278" s="847"/>
      <c r="EG278" s="1212"/>
      <c r="EH278" s="847"/>
      <c r="EI278" s="1212"/>
    </row>
    <row r="279" spans="1:139" s="733" customFormat="1" ht="13.5">
      <c r="A279" s="1009"/>
      <c r="B279" s="1212" t="s">
        <v>2067</v>
      </c>
      <c r="C279" s="1213">
        <v>0</v>
      </c>
      <c r="D279" s="1013" t="s">
        <v>92</v>
      </c>
      <c r="E279" s="847"/>
      <c r="F279" s="1013"/>
      <c r="G279" s="847"/>
      <c r="H279" s="1013"/>
      <c r="I279" s="847"/>
      <c r="J279" s="1013"/>
      <c r="K279" s="847"/>
      <c r="L279" s="1013"/>
      <c r="M279" s="847"/>
      <c r="N279" s="1013"/>
      <c r="O279" s="847"/>
      <c r="P279" s="1013"/>
      <c r="Q279" s="847"/>
      <c r="R279" s="847"/>
      <c r="S279" s="847"/>
      <c r="T279" s="847"/>
      <c r="U279" s="847"/>
      <c r="V279" s="847"/>
      <c r="W279" s="847"/>
      <c r="X279" s="847"/>
      <c r="Y279" s="847"/>
      <c r="Z279" s="847"/>
      <c r="AA279" s="847"/>
      <c r="AB279" s="847"/>
      <c r="AC279" s="847"/>
      <c r="AD279" s="847"/>
      <c r="AE279" s="847"/>
      <c r="AF279" s="847"/>
      <c r="AG279" s="847"/>
      <c r="AH279" s="847"/>
      <c r="AI279" s="847"/>
      <c r="AJ279" s="847"/>
      <c r="AK279" s="847"/>
      <c r="AL279" s="847"/>
      <c r="AM279" s="847"/>
      <c r="AN279" s="847"/>
      <c r="AO279" s="847"/>
      <c r="AP279" s="847"/>
      <c r="AQ279" s="847"/>
      <c r="AR279" s="847"/>
      <c r="AS279" s="847"/>
      <c r="AT279" s="847"/>
      <c r="AU279" s="847"/>
      <c r="AV279" s="847"/>
      <c r="AW279" s="847"/>
      <c r="AX279" s="847"/>
      <c r="AY279" s="847"/>
      <c r="AZ279" s="847"/>
      <c r="BA279" s="847"/>
      <c r="BB279" s="847"/>
      <c r="BC279" s="847"/>
      <c r="BD279" s="847"/>
      <c r="BE279" s="847"/>
      <c r="BF279" s="847"/>
      <c r="BG279" s="847"/>
      <c r="BH279" s="847"/>
      <c r="BI279" s="847"/>
      <c r="BJ279" s="847"/>
      <c r="BK279" s="847"/>
      <c r="BL279" s="847"/>
      <c r="BM279" s="847"/>
      <c r="BN279" s="847"/>
      <c r="BO279" s="847"/>
      <c r="BP279" s="847"/>
      <c r="BQ279" s="847"/>
      <c r="BR279" s="847"/>
      <c r="BS279" s="847"/>
      <c r="BT279" s="847"/>
      <c r="BU279" s="847"/>
      <c r="BV279" s="847"/>
      <c r="BW279" s="847"/>
      <c r="BX279" s="847"/>
      <c r="BY279" s="847"/>
      <c r="BZ279" s="847"/>
      <c r="CA279" s="847"/>
      <c r="CB279" s="847"/>
      <c r="CC279" s="847"/>
      <c r="CD279" s="847"/>
      <c r="CE279" s="847"/>
      <c r="CF279" s="847"/>
      <c r="CG279" s="847"/>
      <c r="CH279" s="847"/>
      <c r="CI279" s="847"/>
      <c r="CJ279" s="847"/>
      <c r="CK279" s="847"/>
      <c r="CL279" s="847"/>
      <c r="CM279" s="847"/>
      <c r="CN279" s="847"/>
      <c r="CO279" s="847"/>
      <c r="CP279" s="847"/>
      <c r="CQ279" s="847"/>
      <c r="CR279" s="847"/>
      <c r="CS279" s="1013">
        <f>CS278</f>
        <v>1</v>
      </c>
      <c r="CT279" s="847">
        <f>ROUND(C279*CS279,2)</f>
        <v>0</v>
      </c>
      <c r="CU279" s="847"/>
      <c r="CV279" s="847"/>
      <c r="CW279" s="847"/>
      <c r="CX279" s="847"/>
      <c r="CY279" s="847"/>
      <c r="CZ279" s="847"/>
      <c r="DA279" s="847"/>
      <c r="DB279" s="847"/>
      <c r="DC279" s="847"/>
      <c r="DD279" s="847"/>
      <c r="DE279" s="847"/>
      <c r="DF279" s="847"/>
      <c r="DG279" s="847"/>
      <c r="DH279" s="847"/>
      <c r="DI279" s="847"/>
      <c r="DJ279" s="847"/>
      <c r="DK279" s="847"/>
      <c r="DL279" s="847"/>
      <c r="DM279" s="1212"/>
      <c r="DN279" s="1222">
        <f>DN278+DN278*5%</f>
        <v>0.22680000000000003</v>
      </c>
      <c r="DO279" s="1013">
        <f t="shared" si="11"/>
        <v>0</v>
      </c>
      <c r="DP279" s="847"/>
      <c r="DQ279" s="1013"/>
      <c r="DR279" s="1225"/>
      <c r="DS279" s="1013"/>
      <c r="DT279" s="847">
        <f>DT278+DT278*5%</f>
        <v>0.22680000000000003</v>
      </c>
      <c r="DU279" s="1214">
        <f>ROUND(C279*DT279,2)</f>
        <v>0</v>
      </c>
      <c r="DV279" s="1242"/>
      <c r="DW279" s="1232"/>
      <c r="DX279" s="1222"/>
      <c r="DY279" s="847"/>
      <c r="DZ279" s="847"/>
      <c r="EA279" s="847"/>
      <c r="EB279" s="847"/>
      <c r="EC279" s="847"/>
      <c r="ED279" s="847"/>
      <c r="EE279" s="847"/>
      <c r="EF279" s="847"/>
      <c r="EG279" s="1212"/>
      <c r="EH279" s="847"/>
      <c r="EI279" s="1212"/>
    </row>
    <row r="280" spans="1:139" s="733" customFormat="1" ht="13.5">
      <c r="A280" s="1009" t="s">
        <v>470</v>
      </c>
      <c r="B280" s="1212" t="s">
        <v>236</v>
      </c>
      <c r="C280" s="1213">
        <v>0</v>
      </c>
      <c r="D280" s="1013" t="s">
        <v>92</v>
      </c>
      <c r="E280" s="847"/>
      <c r="F280" s="1013"/>
      <c r="G280" s="847"/>
      <c r="H280" s="1013"/>
      <c r="I280" s="847"/>
      <c r="J280" s="1013"/>
      <c r="K280" s="847"/>
      <c r="L280" s="1013"/>
      <c r="M280" s="847"/>
      <c r="N280" s="1013"/>
      <c r="O280" s="847"/>
      <c r="P280" s="1013"/>
      <c r="Q280" s="847"/>
      <c r="R280" s="847"/>
      <c r="S280" s="847"/>
      <c r="T280" s="847"/>
      <c r="U280" s="847"/>
      <c r="V280" s="847"/>
      <c r="W280" s="847"/>
      <c r="X280" s="847"/>
      <c r="Y280" s="847"/>
      <c r="Z280" s="847"/>
      <c r="AA280" s="847"/>
      <c r="AB280" s="847"/>
      <c r="AC280" s="847"/>
      <c r="AD280" s="847"/>
      <c r="AE280" s="847"/>
      <c r="AF280" s="847"/>
      <c r="AG280" s="847"/>
      <c r="AH280" s="847"/>
      <c r="AI280" s="847"/>
      <c r="AJ280" s="847"/>
      <c r="AK280" s="847"/>
      <c r="AL280" s="847"/>
      <c r="AM280" s="847"/>
      <c r="AN280" s="847"/>
      <c r="AO280" s="847"/>
      <c r="AP280" s="847"/>
      <c r="AQ280" s="847"/>
      <c r="AR280" s="847"/>
      <c r="AS280" s="847"/>
      <c r="AT280" s="847"/>
      <c r="AU280" s="847"/>
      <c r="AV280" s="847"/>
      <c r="AW280" s="847"/>
      <c r="AX280" s="847"/>
      <c r="AY280" s="847"/>
      <c r="AZ280" s="847"/>
      <c r="BA280" s="847"/>
      <c r="BB280" s="847"/>
      <c r="BC280" s="847"/>
      <c r="BD280" s="847"/>
      <c r="BE280" s="847"/>
      <c r="BF280" s="847"/>
      <c r="BG280" s="847"/>
      <c r="BH280" s="847"/>
      <c r="BI280" s="847"/>
      <c r="BJ280" s="847"/>
      <c r="BK280" s="847"/>
      <c r="BL280" s="847"/>
      <c r="BM280" s="847"/>
      <c r="BN280" s="847"/>
      <c r="BO280" s="847"/>
      <c r="BP280" s="847"/>
      <c r="BQ280" s="847"/>
      <c r="BR280" s="847"/>
      <c r="BS280" s="847"/>
      <c r="BT280" s="847"/>
      <c r="BU280" s="847"/>
      <c r="BV280" s="847"/>
      <c r="BW280" s="847"/>
      <c r="BX280" s="847"/>
      <c r="BY280" s="847"/>
      <c r="BZ280" s="847"/>
      <c r="CA280" s="847"/>
      <c r="CB280" s="847"/>
      <c r="CC280" s="847"/>
      <c r="CD280" s="847"/>
      <c r="CE280" s="847"/>
      <c r="CF280" s="847"/>
      <c r="CG280" s="847"/>
      <c r="CH280" s="847"/>
      <c r="CI280" s="847"/>
      <c r="CJ280" s="847"/>
      <c r="CK280" s="847"/>
      <c r="CL280" s="847"/>
      <c r="CM280" s="847"/>
      <c r="CN280" s="847"/>
      <c r="CO280" s="847"/>
      <c r="CP280" s="847"/>
      <c r="CQ280" s="847"/>
      <c r="CR280" s="847"/>
      <c r="CS280" s="1013"/>
      <c r="CT280" s="847"/>
      <c r="CU280" s="847"/>
      <c r="CV280" s="847"/>
      <c r="CW280" s="847"/>
      <c r="CX280" s="847"/>
      <c r="CY280" s="847"/>
      <c r="CZ280" s="847"/>
      <c r="DA280" s="847"/>
      <c r="DB280" s="847"/>
      <c r="DC280" s="847"/>
      <c r="DD280" s="847"/>
      <c r="DE280" s="847"/>
      <c r="DF280" s="847"/>
      <c r="DG280" s="847"/>
      <c r="DH280" s="847"/>
      <c r="DI280" s="847"/>
      <c r="DJ280" s="847"/>
      <c r="DK280" s="847"/>
      <c r="DL280" s="847"/>
      <c r="DM280" s="1212"/>
      <c r="DN280" s="1222"/>
      <c r="DO280" s="1013"/>
      <c r="DP280" s="847"/>
      <c r="DQ280" s="1013"/>
      <c r="DR280" s="1225"/>
      <c r="DS280" s="1013"/>
      <c r="DT280" s="847"/>
      <c r="DU280" s="1214"/>
      <c r="DV280" s="1242"/>
      <c r="DW280" s="1232"/>
      <c r="DX280" s="1222"/>
      <c r="DY280" s="847"/>
      <c r="DZ280" s="847"/>
      <c r="EA280" s="847"/>
      <c r="EB280" s="847"/>
      <c r="EC280" s="847"/>
      <c r="ED280" s="847"/>
      <c r="EE280" s="847"/>
      <c r="EF280" s="847"/>
      <c r="EG280" s="1212"/>
      <c r="EH280" s="847"/>
      <c r="EI280" s="1212"/>
    </row>
    <row r="281" spans="1:139" s="733" customFormat="1" ht="13.5">
      <c r="A281" s="1009"/>
      <c r="B281" s="1212" t="s">
        <v>2066</v>
      </c>
      <c r="C281" s="1213">
        <v>0</v>
      </c>
      <c r="D281" s="1013" t="s">
        <v>92</v>
      </c>
      <c r="E281" s="847"/>
      <c r="F281" s="1013"/>
      <c r="G281" s="847"/>
      <c r="H281" s="1013"/>
      <c r="I281" s="847"/>
      <c r="J281" s="1013"/>
      <c r="K281" s="847"/>
      <c r="L281" s="1013"/>
      <c r="M281" s="847"/>
      <c r="N281" s="1013"/>
      <c r="O281" s="847"/>
      <c r="P281" s="1013"/>
      <c r="Q281" s="847"/>
      <c r="R281" s="847"/>
      <c r="S281" s="847"/>
      <c r="T281" s="847"/>
      <c r="U281" s="847"/>
      <c r="V281" s="847"/>
      <c r="W281" s="847"/>
      <c r="X281" s="847"/>
      <c r="Y281" s="847"/>
      <c r="Z281" s="847"/>
      <c r="AA281" s="847"/>
      <c r="AB281" s="847"/>
      <c r="AC281" s="847"/>
      <c r="AD281" s="847"/>
      <c r="AE281" s="847"/>
      <c r="AF281" s="847"/>
      <c r="AG281" s="847"/>
      <c r="AH281" s="847"/>
      <c r="AI281" s="847"/>
      <c r="AJ281" s="847"/>
      <c r="AK281" s="847"/>
      <c r="AL281" s="847"/>
      <c r="AM281" s="847"/>
      <c r="AN281" s="847"/>
      <c r="AO281" s="847"/>
      <c r="AP281" s="847"/>
      <c r="AQ281" s="847"/>
      <c r="AR281" s="847"/>
      <c r="AS281" s="847"/>
      <c r="AT281" s="847"/>
      <c r="AU281" s="847"/>
      <c r="AV281" s="847"/>
      <c r="AW281" s="847"/>
      <c r="AX281" s="847"/>
      <c r="AY281" s="847"/>
      <c r="AZ281" s="847"/>
      <c r="BA281" s="847"/>
      <c r="BB281" s="847"/>
      <c r="BC281" s="847"/>
      <c r="BD281" s="847"/>
      <c r="BE281" s="847"/>
      <c r="BF281" s="847"/>
      <c r="BG281" s="847"/>
      <c r="BH281" s="847"/>
      <c r="BI281" s="847"/>
      <c r="BJ281" s="847"/>
      <c r="BK281" s="847"/>
      <c r="BL281" s="847"/>
      <c r="BM281" s="847"/>
      <c r="BN281" s="847"/>
      <c r="BO281" s="847"/>
      <c r="BP281" s="847"/>
      <c r="BQ281" s="847"/>
      <c r="BR281" s="847"/>
      <c r="BS281" s="847"/>
      <c r="BT281" s="847"/>
      <c r="BU281" s="847"/>
      <c r="BV281" s="847"/>
      <c r="BW281" s="847"/>
      <c r="BX281" s="847"/>
      <c r="BY281" s="847"/>
      <c r="BZ281" s="847"/>
      <c r="CA281" s="847"/>
      <c r="CB281" s="847"/>
      <c r="CC281" s="847"/>
      <c r="CD281" s="847"/>
      <c r="CE281" s="847"/>
      <c r="CF281" s="847"/>
      <c r="CG281" s="847"/>
      <c r="CH281" s="847"/>
      <c r="CI281" s="847"/>
      <c r="CJ281" s="847"/>
      <c r="CK281" s="847"/>
      <c r="CL281" s="847"/>
      <c r="CM281" s="847"/>
      <c r="CN281" s="847"/>
      <c r="CO281" s="847"/>
      <c r="CP281" s="847"/>
      <c r="CQ281" s="847"/>
      <c r="CR281" s="847"/>
      <c r="CS281" s="1013">
        <f>CS278</f>
        <v>1</v>
      </c>
      <c r="CT281" s="847"/>
      <c r="CU281" s="847">
        <f>ROUND(C281*CS281,2)</f>
        <v>0</v>
      </c>
      <c r="CV281" s="847"/>
      <c r="CW281" s="847"/>
      <c r="CX281" s="847"/>
      <c r="CY281" s="847"/>
      <c r="CZ281" s="847"/>
      <c r="DA281" s="847"/>
      <c r="DB281" s="847"/>
      <c r="DC281" s="847"/>
      <c r="DD281" s="847"/>
      <c r="DE281" s="847"/>
      <c r="DF281" s="847"/>
      <c r="DG281" s="847"/>
      <c r="DH281" s="847"/>
      <c r="DI281" s="847"/>
      <c r="DJ281" s="847"/>
      <c r="DK281" s="847"/>
      <c r="DL281" s="847"/>
      <c r="DM281" s="1212"/>
      <c r="DN281" s="1222">
        <f>'Lead &amp; ANALYSIS'!G4724/10</f>
        <v>0.21600000000000003</v>
      </c>
      <c r="DO281" s="1013">
        <f>ROUND(C281*DN281,2)</f>
        <v>0</v>
      </c>
      <c r="DP281" s="847"/>
      <c r="DQ281" s="1013"/>
      <c r="DR281" s="1225"/>
      <c r="DS281" s="1013"/>
      <c r="DT281" s="1225">
        <f>'Lead &amp; ANALYSIS'!G4723/10</f>
        <v>0.21600000000000003</v>
      </c>
      <c r="DU281" s="1214">
        <f>ROUND(C281*DT281,2)</f>
        <v>0</v>
      </c>
      <c r="DV281" s="1242"/>
      <c r="DW281" s="1232"/>
      <c r="DX281" s="1222"/>
      <c r="DY281" s="847"/>
      <c r="DZ281" s="847"/>
      <c r="EA281" s="847"/>
      <c r="EB281" s="847"/>
      <c r="EC281" s="847"/>
      <c r="ED281" s="847"/>
      <c r="EE281" s="847"/>
      <c r="EF281" s="847"/>
      <c r="EG281" s="1212"/>
      <c r="EH281" s="847"/>
      <c r="EI281" s="1212"/>
    </row>
    <row r="282" spans="1:139" s="733" customFormat="1" ht="13.5">
      <c r="A282" s="1009"/>
      <c r="B282" s="1212" t="s">
        <v>2067</v>
      </c>
      <c r="C282" s="1213">
        <v>0</v>
      </c>
      <c r="D282" s="1013" t="s">
        <v>92</v>
      </c>
      <c r="E282" s="847"/>
      <c r="F282" s="1013"/>
      <c r="G282" s="847"/>
      <c r="H282" s="1013"/>
      <c r="I282" s="847"/>
      <c r="J282" s="1013"/>
      <c r="K282" s="847"/>
      <c r="L282" s="1013"/>
      <c r="M282" s="847"/>
      <c r="N282" s="1013"/>
      <c r="O282" s="847"/>
      <c r="P282" s="1013"/>
      <c r="Q282" s="847"/>
      <c r="R282" s="847"/>
      <c r="S282" s="847"/>
      <c r="T282" s="847"/>
      <c r="U282" s="847"/>
      <c r="V282" s="847"/>
      <c r="W282" s="847"/>
      <c r="X282" s="847"/>
      <c r="Y282" s="847"/>
      <c r="Z282" s="847"/>
      <c r="AA282" s="847"/>
      <c r="AB282" s="847"/>
      <c r="AC282" s="847"/>
      <c r="AD282" s="847"/>
      <c r="AE282" s="847"/>
      <c r="AF282" s="847"/>
      <c r="AG282" s="847"/>
      <c r="AH282" s="847"/>
      <c r="AI282" s="847"/>
      <c r="AJ282" s="847"/>
      <c r="AK282" s="847"/>
      <c r="AL282" s="847"/>
      <c r="AM282" s="847"/>
      <c r="AN282" s="847"/>
      <c r="AO282" s="847"/>
      <c r="AP282" s="847"/>
      <c r="AQ282" s="847"/>
      <c r="AR282" s="847"/>
      <c r="AS282" s="847"/>
      <c r="AT282" s="847"/>
      <c r="AU282" s="847"/>
      <c r="AV282" s="847"/>
      <c r="AW282" s="847"/>
      <c r="AX282" s="847"/>
      <c r="AY282" s="847"/>
      <c r="AZ282" s="847"/>
      <c r="BA282" s="847"/>
      <c r="BB282" s="847"/>
      <c r="BC282" s="847"/>
      <c r="BD282" s="847"/>
      <c r="BE282" s="847"/>
      <c r="BF282" s="847"/>
      <c r="BG282" s="847"/>
      <c r="BH282" s="847"/>
      <c r="BI282" s="847"/>
      <c r="BJ282" s="847"/>
      <c r="BK282" s="847"/>
      <c r="BL282" s="847"/>
      <c r="BM282" s="847"/>
      <c r="BN282" s="847"/>
      <c r="BO282" s="847"/>
      <c r="BP282" s="847"/>
      <c r="BQ282" s="847"/>
      <c r="BR282" s="847"/>
      <c r="BS282" s="847"/>
      <c r="BT282" s="847"/>
      <c r="BU282" s="847"/>
      <c r="BV282" s="847"/>
      <c r="BW282" s="847"/>
      <c r="BX282" s="847"/>
      <c r="BY282" s="847"/>
      <c r="BZ282" s="847"/>
      <c r="CA282" s="847"/>
      <c r="CB282" s="847"/>
      <c r="CC282" s="847"/>
      <c r="CD282" s="847"/>
      <c r="CE282" s="847"/>
      <c r="CF282" s="847"/>
      <c r="CG282" s="847"/>
      <c r="CH282" s="847"/>
      <c r="CI282" s="847"/>
      <c r="CJ282" s="847"/>
      <c r="CK282" s="847"/>
      <c r="CL282" s="847"/>
      <c r="CM282" s="847"/>
      <c r="CN282" s="847"/>
      <c r="CO282" s="847"/>
      <c r="CP282" s="847"/>
      <c r="CQ282" s="847"/>
      <c r="CR282" s="847"/>
      <c r="CS282" s="1013">
        <f>CS281</f>
        <v>1</v>
      </c>
      <c r="CT282" s="847"/>
      <c r="CU282" s="847">
        <f>ROUND(C282*CS282,2)</f>
        <v>0</v>
      </c>
      <c r="CV282" s="847"/>
      <c r="CW282" s="847"/>
      <c r="CX282" s="847"/>
      <c r="CY282" s="847"/>
      <c r="CZ282" s="847"/>
      <c r="DA282" s="847"/>
      <c r="DB282" s="847"/>
      <c r="DC282" s="847"/>
      <c r="DD282" s="847"/>
      <c r="DE282" s="847"/>
      <c r="DF282" s="847"/>
      <c r="DG282" s="847"/>
      <c r="DH282" s="847"/>
      <c r="DI282" s="847"/>
      <c r="DJ282" s="847"/>
      <c r="DK282" s="847"/>
      <c r="DL282" s="847"/>
      <c r="DM282" s="1212"/>
      <c r="DN282" s="1222">
        <f>DN281+DN281*5%</f>
        <v>0.22680000000000003</v>
      </c>
      <c r="DO282" s="1013">
        <f>ROUND(C282*DN282,2)</f>
        <v>0</v>
      </c>
      <c r="DP282" s="847"/>
      <c r="DQ282" s="1013"/>
      <c r="DR282" s="1225"/>
      <c r="DS282" s="1013"/>
      <c r="DT282" s="847">
        <f>DT281+DT281*5%</f>
        <v>0.22680000000000003</v>
      </c>
      <c r="DU282" s="1214">
        <f>ROUND(C282*DT282,2)</f>
        <v>0</v>
      </c>
      <c r="DV282" s="1242"/>
      <c r="DW282" s="1232"/>
      <c r="DX282" s="1222"/>
      <c r="DY282" s="847"/>
      <c r="DZ282" s="847"/>
      <c r="EA282" s="847"/>
      <c r="EB282" s="847"/>
      <c r="EC282" s="847"/>
      <c r="ED282" s="847"/>
      <c r="EE282" s="847"/>
      <c r="EF282" s="847"/>
      <c r="EG282" s="1212"/>
      <c r="EH282" s="847"/>
      <c r="EI282" s="1212"/>
    </row>
    <row r="283" spans="1:139" s="733" customFormat="1" ht="13.5">
      <c r="A283" s="1009">
        <v>75</v>
      </c>
      <c r="B283" s="1212" t="s">
        <v>3065</v>
      </c>
      <c r="C283" s="1213">
        <v>0</v>
      </c>
      <c r="D283" s="1013" t="s">
        <v>49</v>
      </c>
      <c r="E283" s="847"/>
      <c r="F283" s="1013"/>
      <c r="G283" s="847"/>
      <c r="H283" s="1013"/>
      <c r="I283" s="847"/>
      <c r="J283" s="1013"/>
      <c r="K283" s="847"/>
      <c r="L283" s="1013"/>
      <c r="M283" s="847"/>
      <c r="N283" s="1013"/>
      <c r="O283" s="847"/>
      <c r="P283" s="1013"/>
      <c r="Q283" s="847"/>
      <c r="R283" s="847"/>
      <c r="S283" s="847"/>
      <c r="T283" s="847"/>
      <c r="U283" s="847"/>
      <c r="V283" s="847"/>
      <c r="W283" s="847"/>
      <c r="X283" s="847"/>
      <c r="Y283" s="847"/>
      <c r="Z283" s="847"/>
      <c r="AA283" s="847"/>
      <c r="AB283" s="847"/>
      <c r="AC283" s="847"/>
      <c r="AD283" s="847"/>
      <c r="AE283" s="847"/>
      <c r="AF283" s="847"/>
      <c r="AG283" s="847"/>
      <c r="AH283" s="847"/>
      <c r="AI283" s="847"/>
      <c r="AJ283" s="847"/>
      <c r="AK283" s="847"/>
      <c r="AL283" s="847"/>
      <c r="AM283" s="847"/>
      <c r="AN283" s="847"/>
      <c r="AO283" s="847"/>
      <c r="AP283" s="847"/>
      <c r="AQ283" s="847"/>
      <c r="AR283" s="847"/>
      <c r="AS283" s="847"/>
      <c r="AT283" s="847"/>
      <c r="AU283" s="847"/>
      <c r="AV283" s="847"/>
      <c r="AW283" s="847"/>
      <c r="AX283" s="847"/>
      <c r="AY283" s="847"/>
      <c r="AZ283" s="847"/>
      <c r="BA283" s="847"/>
      <c r="BB283" s="847"/>
      <c r="BC283" s="847"/>
      <c r="BD283" s="847"/>
      <c r="BE283" s="847"/>
      <c r="BF283" s="847"/>
      <c r="BG283" s="847"/>
      <c r="BH283" s="847"/>
      <c r="BI283" s="847"/>
      <c r="BJ283" s="847"/>
      <c r="BK283" s="847"/>
      <c r="BL283" s="847"/>
      <c r="BM283" s="847"/>
      <c r="BN283" s="847"/>
      <c r="BO283" s="847"/>
      <c r="BP283" s="847"/>
      <c r="BQ283" s="847"/>
      <c r="BR283" s="847"/>
      <c r="BS283" s="847"/>
      <c r="BT283" s="847"/>
      <c r="BU283" s="847"/>
      <c r="BV283" s="847"/>
      <c r="BW283" s="847"/>
      <c r="BX283" s="847"/>
      <c r="BY283" s="847"/>
      <c r="BZ283" s="847"/>
      <c r="CA283" s="847"/>
      <c r="CB283" s="847"/>
      <c r="CC283" s="847"/>
      <c r="CD283" s="847"/>
      <c r="CE283" s="847"/>
      <c r="CF283" s="847"/>
      <c r="CG283" s="847"/>
      <c r="CH283" s="847"/>
      <c r="CI283" s="847"/>
      <c r="CJ283" s="847"/>
      <c r="CK283" s="847">
        <f>'Lead &amp; ANALYSIS'!G4769</f>
        <v>2.8000000000000001E-2</v>
      </c>
      <c r="CL283" s="847">
        <f>ROUND(C283*CK283,2)</f>
        <v>0</v>
      </c>
      <c r="CM283" s="847"/>
      <c r="CN283" s="847"/>
      <c r="CO283" s="847"/>
      <c r="CP283" s="847"/>
      <c r="CQ283" s="847"/>
      <c r="CR283" s="847"/>
      <c r="CS283" s="847"/>
      <c r="CT283" s="847"/>
      <c r="CU283" s="847"/>
      <c r="CV283" s="847"/>
      <c r="CW283" s="847"/>
      <c r="CX283" s="847"/>
      <c r="CY283" s="847"/>
      <c r="CZ283" s="847"/>
      <c r="DA283" s="847"/>
      <c r="DB283" s="847"/>
      <c r="DC283" s="847"/>
      <c r="DD283" s="847"/>
      <c r="DE283" s="847"/>
      <c r="DF283" s="847"/>
      <c r="DG283" s="847"/>
      <c r="DH283" s="847"/>
      <c r="DI283" s="847"/>
      <c r="DJ283" s="847"/>
      <c r="DK283" s="847"/>
      <c r="DL283" s="847"/>
      <c r="DM283" s="1212"/>
      <c r="DN283" s="1222">
        <f>'Lead &amp; ANALYSIS'!G4773/0.028</f>
        <v>17.857142857142858</v>
      </c>
      <c r="DO283" s="1013">
        <f t="shared" si="11"/>
        <v>0</v>
      </c>
      <c r="DP283" s="847"/>
      <c r="DQ283" s="1013"/>
      <c r="DR283" s="1225"/>
      <c r="DS283" s="1013"/>
      <c r="DT283" s="1013">
        <f>'Lead &amp; ANALYSIS'!G4772/0.028</f>
        <v>17.857142857142858</v>
      </c>
      <c r="DU283" s="1214">
        <f>ROUND(C283*DT283,2)</f>
        <v>0</v>
      </c>
      <c r="DV283" s="1242"/>
      <c r="DW283" s="1232"/>
      <c r="DX283" s="1222"/>
      <c r="DY283" s="847"/>
      <c r="DZ283" s="847"/>
      <c r="EA283" s="847"/>
      <c r="EB283" s="847"/>
      <c r="EC283" s="847"/>
      <c r="ED283" s="847"/>
      <c r="EE283" s="847"/>
      <c r="EF283" s="847"/>
      <c r="EG283" s="1212"/>
      <c r="EH283" s="847"/>
      <c r="EI283" s="1212"/>
    </row>
    <row r="284" spans="1:139" s="733" customFormat="1" ht="13.5">
      <c r="A284" s="1009">
        <v>76</v>
      </c>
      <c r="B284" s="1212" t="s">
        <v>3066</v>
      </c>
      <c r="C284" s="1213">
        <v>0</v>
      </c>
      <c r="D284" s="1013" t="s">
        <v>92</v>
      </c>
      <c r="E284" s="847"/>
      <c r="F284" s="1013"/>
      <c r="G284" s="847"/>
      <c r="H284" s="1013"/>
      <c r="I284" s="847"/>
      <c r="J284" s="1013"/>
      <c r="K284" s="847"/>
      <c r="L284" s="1013"/>
      <c r="M284" s="847"/>
      <c r="N284" s="1013"/>
      <c r="O284" s="847"/>
      <c r="P284" s="1013"/>
      <c r="Q284" s="847"/>
      <c r="R284" s="847"/>
      <c r="S284" s="847"/>
      <c r="T284" s="847"/>
      <c r="U284" s="847"/>
      <c r="V284" s="847"/>
      <c r="W284" s="847"/>
      <c r="X284" s="847"/>
      <c r="Y284" s="847"/>
      <c r="Z284" s="847"/>
      <c r="AA284" s="847"/>
      <c r="AB284" s="847"/>
      <c r="AC284" s="847"/>
      <c r="AD284" s="847"/>
      <c r="AE284" s="847"/>
      <c r="AF284" s="847"/>
      <c r="AG284" s="847"/>
      <c r="AH284" s="847"/>
      <c r="AI284" s="847"/>
      <c r="AJ284" s="847"/>
      <c r="AK284" s="847"/>
      <c r="AL284" s="847"/>
      <c r="AM284" s="847"/>
      <c r="AN284" s="847"/>
      <c r="AO284" s="847"/>
      <c r="AP284" s="847"/>
      <c r="AQ284" s="847"/>
      <c r="AR284" s="847"/>
      <c r="AS284" s="847"/>
      <c r="AT284" s="847"/>
      <c r="AU284" s="847"/>
      <c r="AV284" s="847"/>
      <c r="AW284" s="847"/>
      <c r="AX284" s="847"/>
      <c r="AY284" s="847"/>
      <c r="AZ284" s="847"/>
      <c r="BA284" s="847"/>
      <c r="BB284" s="847"/>
      <c r="BC284" s="847"/>
      <c r="BD284" s="847"/>
      <c r="BE284" s="847"/>
      <c r="BF284" s="847"/>
      <c r="BG284" s="847"/>
      <c r="BH284" s="847"/>
      <c r="BI284" s="847"/>
      <c r="BJ284" s="847"/>
      <c r="BK284" s="847"/>
      <c r="BL284" s="847"/>
      <c r="BM284" s="847"/>
      <c r="BN284" s="847"/>
      <c r="BO284" s="847"/>
      <c r="BP284" s="847"/>
      <c r="BQ284" s="847"/>
      <c r="BR284" s="847"/>
      <c r="BS284" s="847"/>
      <c r="BT284" s="847"/>
      <c r="BU284" s="847"/>
      <c r="BV284" s="847"/>
      <c r="BW284" s="847"/>
      <c r="BX284" s="847"/>
      <c r="BY284" s="847"/>
      <c r="BZ284" s="847"/>
      <c r="CA284" s="847"/>
      <c r="CB284" s="847"/>
      <c r="CC284" s="847"/>
      <c r="CD284" s="847"/>
      <c r="CE284" s="847"/>
      <c r="CF284" s="847"/>
      <c r="CG284" s="847"/>
      <c r="CH284" s="847"/>
      <c r="CI284" s="847"/>
      <c r="CJ284" s="847"/>
      <c r="CK284" s="847"/>
      <c r="CL284" s="847"/>
      <c r="CM284" s="847">
        <f>'Lead &amp; ANALYSIS'!G4781</f>
        <v>6.6559999999999994E-2</v>
      </c>
      <c r="CN284" s="847">
        <f>ROUND(C284*CM284,2)</f>
        <v>0</v>
      </c>
      <c r="CO284" s="847"/>
      <c r="CP284" s="847"/>
      <c r="CQ284" s="847"/>
      <c r="CR284" s="847"/>
      <c r="CS284" s="847"/>
      <c r="CT284" s="847"/>
      <c r="CU284" s="847"/>
      <c r="CV284" s="847"/>
      <c r="CW284" s="847"/>
      <c r="CX284" s="847"/>
      <c r="CY284" s="847"/>
      <c r="CZ284" s="847"/>
      <c r="DA284" s="847"/>
      <c r="DB284" s="847"/>
      <c r="DC284" s="847"/>
      <c r="DD284" s="847"/>
      <c r="DE284" s="847"/>
      <c r="DF284" s="847"/>
      <c r="DG284" s="847"/>
      <c r="DH284" s="847"/>
      <c r="DI284" s="847"/>
      <c r="DJ284" s="847"/>
      <c r="DK284" s="847"/>
      <c r="DL284" s="847"/>
      <c r="DM284" s="1212"/>
      <c r="DN284" s="1222">
        <f>'Lead &amp; ANALYSIS'!G4788/1.88</f>
        <v>0.53191489361702127</v>
      </c>
      <c r="DO284" s="1013">
        <f t="shared" si="11"/>
        <v>0</v>
      </c>
      <c r="DP284" s="1013">
        <f>'Lead &amp; ANALYSIS'!G4786/1.88</f>
        <v>2</v>
      </c>
      <c r="DQ284" s="1013">
        <f>ROUND(C284*DP284,2)</f>
        <v>0</v>
      </c>
      <c r="DR284" s="1225">
        <f>'Lead &amp; ANALYSIS'!G4787/1.88</f>
        <v>0.53191489361702127</v>
      </c>
      <c r="DS284" s="1013">
        <f>ROUND(C284*DR284,2)</f>
        <v>0</v>
      </c>
      <c r="DT284" s="1225">
        <f>'Lead &amp; ANALYSIS'!G4785/1.88</f>
        <v>2</v>
      </c>
      <c r="DU284" s="1214">
        <f>ROUND(C284*DT284,2)</f>
        <v>0</v>
      </c>
      <c r="DV284" s="1242"/>
      <c r="DW284" s="1232"/>
      <c r="DX284" s="1222"/>
      <c r="DY284" s="847"/>
      <c r="DZ284" s="847"/>
      <c r="EA284" s="847"/>
      <c r="EB284" s="847"/>
      <c r="EC284" s="847"/>
      <c r="ED284" s="847"/>
      <c r="EE284" s="847"/>
      <c r="EF284" s="847"/>
      <c r="EG284" s="1212"/>
      <c r="EH284" s="847"/>
      <c r="EI284" s="1212"/>
    </row>
    <row r="285" spans="1:139" s="733" customFormat="1" ht="13.5">
      <c r="A285" s="1009">
        <v>77</v>
      </c>
      <c r="B285" s="1212" t="s">
        <v>3065</v>
      </c>
      <c r="C285" s="1213">
        <v>0</v>
      </c>
      <c r="D285" s="1013" t="s">
        <v>49</v>
      </c>
      <c r="E285" s="847"/>
      <c r="F285" s="1013"/>
      <c r="G285" s="847"/>
      <c r="H285" s="1013"/>
      <c r="I285" s="847"/>
      <c r="J285" s="1013"/>
      <c r="K285" s="847"/>
      <c r="L285" s="1013"/>
      <c r="M285" s="847"/>
      <c r="N285" s="1013"/>
      <c r="O285" s="847"/>
      <c r="P285" s="1013"/>
      <c r="Q285" s="847"/>
      <c r="R285" s="847"/>
      <c r="S285" s="847"/>
      <c r="T285" s="847"/>
      <c r="U285" s="847"/>
      <c r="V285" s="847"/>
      <c r="W285" s="847"/>
      <c r="X285" s="847"/>
      <c r="Y285" s="847"/>
      <c r="Z285" s="847"/>
      <c r="AA285" s="847"/>
      <c r="AB285" s="847"/>
      <c r="AC285" s="847"/>
      <c r="AD285" s="847"/>
      <c r="AE285" s="847"/>
      <c r="AF285" s="847"/>
      <c r="AG285" s="847"/>
      <c r="AH285" s="847"/>
      <c r="AI285" s="847"/>
      <c r="AJ285" s="847"/>
      <c r="AK285" s="847"/>
      <c r="AL285" s="847"/>
      <c r="AM285" s="847"/>
      <c r="AN285" s="847"/>
      <c r="AO285" s="847"/>
      <c r="AP285" s="847"/>
      <c r="AQ285" s="847"/>
      <c r="AR285" s="847"/>
      <c r="AS285" s="847"/>
      <c r="AT285" s="847"/>
      <c r="AU285" s="847"/>
      <c r="AV285" s="847"/>
      <c r="AW285" s="847"/>
      <c r="AX285" s="847"/>
      <c r="AY285" s="847"/>
      <c r="AZ285" s="847"/>
      <c r="BA285" s="847"/>
      <c r="BB285" s="847"/>
      <c r="BC285" s="847"/>
      <c r="BD285" s="847"/>
      <c r="BE285" s="847"/>
      <c r="BF285" s="847"/>
      <c r="BG285" s="847"/>
      <c r="BH285" s="847"/>
      <c r="BI285" s="847"/>
      <c r="BJ285" s="847"/>
      <c r="BK285" s="847"/>
      <c r="BL285" s="847"/>
      <c r="BM285" s="847"/>
      <c r="BN285" s="847"/>
      <c r="BO285" s="847"/>
      <c r="BP285" s="847"/>
      <c r="BQ285" s="847"/>
      <c r="BR285" s="847"/>
      <c r="BS285" s="847"/>
      <c r="BT285" s="847"/>
      <c r="BU285" s="847"/>
      <c r="BV285" s="847"/>
      <c r="BW285" s="847"/>
      <c r="BX285" s="847"/>
      <c r="BY285" s="847"/>
      <c r="BZ285" s="847"/>
      <c r="CA285" s="847"/>
      <c r="CB285" s="847"/>
      <c r="CC285" s="847"/>
      <c r="CD285" s="847"/>
      <c r="CE285" s="847"/>
      <c r="CF285" s="847"/>
      <c r="CG285" s="847"/>
      <c r="CH285" s="847"/>
      <c r="CI285" s="847"/>
      <c r="CJ285" s="847"/>
      <c r="CK285" s="847"/>
      <c r="CL285" s="847"/>
      <c r="CM285" s="847"/>
      <c r="CN285" s="847"/>
      <c r="CO285" s="847"/>
      <c r="CP285" s="847"/>
      <c r="CQ285" s="847"/>
      <c r="CR285" s="847"/>
      <c r="CS285" s="847"/>
      <c r="CT285" s="847"/>
      <c r="CU285" s="847"/>
      <c r="CV285" s="847"/>
      <c r="CW285" s="847"/>
      <c r="CX285" s="847"/>
      <c r="CY285" s="847"/>
      <c r="CZ285" s="847"/>
      <c r="DA285" s="847"/>
      <c r="DB285" s="847"/>
      <c r="DC285" s="847"/>
      <c r="DD285" s="847"/>
      <c r="DE285" s="847"/>
      <c r="DF285" s="847"/>
      <c r="DG285" s="847"/>
      <c r="DH285" s="847"/>
      <c r="DI285" s="847"/>
      <c r="DJ285" s="847"/>
      <c r="DK285" s="847"/>
      <c r="DL285" s="847"/>
      <c r="DM285" s="1212"/>
      <c r="DN285" s="1222">
        <f>'Lead &amp; ANALYSIS'!G4802/0.028</f>
        <v>17.857142857142858</v>
      </c>
      <c r="DO285" s="1013">
        <f t="shared" si="11"/>
        <v>0</v>
      </c>
      <c r="DP285" s="847"/>
      <c r="DQ285" s="1013"/>
      <c r="DR285" s="1225"/>
      <c r="DS285" s="1013"/>
      <c r="DT285" s="1013">
        <f>'Lead &amp; ANALYSIS'!G4801/0.028</f>
        <v>17.857142857142858</v>
      </c>
      <c r="DU285" s="1214">
        <f>ROUND(C285*DT285,2)</f>
        <v>0</v>
      </c>
      <c r="DV285" s="1242"/>
      <c r="DW285" s="1232"/>
      <c r="DX285" s="1222"/>
      <c r="DY285" s="847"/>
      <c r="DZ285" s="847"/>
      <c r="EA285" s="847"/>
      <c r="EB285" s="847"/>
      <c r="EC285" s="847"/>
      <c r="ED285" s="847"/>
      <c r="EE285" s="847"/>
      <c r="EF285" s="847"/>
      <c r="EG285" s="1212"/>
      <c r="EH285" s="847"/>
      <c r="EI285" s="1212"/>
    </row>
    <row r="286" spans="1:139" s="733" customFormat="1" ht="13.5">
      <c r="A286" s="1009">
        <v>78</v>
      </c>
      <c r="B286" s="1212" t="s">
        <v>3066</v>
      </c>
      <c r="C286" s="1213">
        <v>0</v>
      </c>
      <c r="D286" s="1013" t="s">
        <v>92</v>
      </c>
      <c r="E286" s="847"/>
      <c r="F286" s="1013"/>
      <c r="G286" s="847"/>
      <c r="H286" s="1013"/>
      <c r="I286" s="847"/>
      <c r="J286" s="1013"/>
      <c r="K286" s="847"/>
      <c r="L286" s="1013"/>
      <c r="M286" s="847"/>
      <c r="N286" s="1013"/>
      <c r="O286" s="847"/>
      <c r="P286" s="1013"/>
      <c r="Q286" s="847"/>
      <c r="R286" s="847"/>
      <c r="S286" s="847"/>
      <c r="T286" s="847"/>
      <c r="U286" s="847"/>
      <c r="V286" s="847"/>
      <c r="W286" s="847"/>
      <c r="X286" s="847"/>
      <c r="Y286" s="847"/>
      <c r="Z286" s="847"/>
      <c r="AA286" s="847"/>
      <c r="AB286" s="847"/>
      <c r="AC286" s="847"/>
      <c r="AD286" s="847"/>
      <c r="AE286" s="847"/>
      <c r="AF286" s="847"/>
      <c r="AG286" s="847"/>
      <c r="AH286" s="847"/>
      <c r="AI286" s="847"/>
      <c r="AJ286" s="847"/>
      <c r="AK286" s="847"/>
      <c r="AL286" s="847"/>
      <c r="AM286" s="847"/>
      <c r="AN286" s="847"/>
      <c r="AO286" s="847"/>
      <c r="AP286" s="847"/>
      <c r="AQ286" s="847"/>
      <c r="AR286" s="847"/>
      <c r="AS286" s="847"/>
      <c r="AT286" s="847"/>
      <c r="AU286" s="847"/>
      <c r="AV286" s="847"/>
      <c r="AW286" s="847"/>
      <c r="AX286" s="847"/>
      <c r="AY286" s="847"/>
      <c r="AZ286" s="847"/>
      <c r="BA286" s="847"/>
      <c r="BB286" s="847"/>
      <c r="BC286" s="847"/>
      <c r="BD286" s="847"/>
      <c r="BE286" s="847"/>
      <c r="BF286" s="847"/>
      <c r="BG286" s="847"/>
      <c r="BH286" s="847"/>
      <c r="BI286" s="847"/>
      <c r="BJ286" s="847"/>
      <c r="BK286" s="847"/>
      <c r="BL286" s="847"/>
      <c r="BM286" s="847"/>
      <c r="BN286" s="847"/>
      <c r="BO286" s="847"/>
      <c r="BP286" s="847"/>
      <c r="BQ286" s="847"/>
      <c r="BR286" s="847"/>
      <c r="BS286" s="847"/>
      <c r="BT286" s="847"/>
      <c r="BU286" s="847"/>
      <c r="BV286" s="847"/>
      <c r="BW286" s="847"/>
      <c r="BX286" s="847"/>
      <c r="BY286" s="847"/>
      <c r="BZ286" s="847"/>
      <c r="CA286" s="847"/>
      <c r="CB286" s="847"/>
      <c r="CC286" s="847"/>
      <c r="CD286" s="847"/>
      <c r="CE286" s="847"/>
      <c r="CF286" s="847"/>
      <c r="CG286" s="847"/>
      <c r="CH286" s="847"/>
      <c r="CI286" s="847"/>
      <c r="CJ286" s="847"/>
      <c r="CK286" s="847"/>
      <c r="CL286" s="847"/>
      <c r="CM286" s="847"/>
      <c r="CN286" s="847"/>
      <c r="CO286" s="847"/>
      <c r="CP286" s="847"/>
      <c r="CQ286" s="847"/>
      <c r="CR286" s="847"/>
      <c r="CS286" s="847"/>
      <c r="CT286" s="847"/>
      <c r="CU286" s="847"/>
      <c r="CV286" s="847"/>
      <c r="CW286" s="847"/>
      <c r="CX286" s="847"/>
      <c r="CY286" s="847"/>
      <c r="CZ286" s="847"/>
      <c r="DA286" s="847"/>
      <c r="DB286" s="847"/>
      <c r="DC286" s="847"/>
      <c r="DD286" s="847"/>
      <c r="DE286" s="847"/>
      <c r="DF286" s="847"/>
      <c r="DG286" s="847"/>
      <c r="DH286" s="847"/>
      <c r="DI286" s="847"/>
      <c r="DJ286" s="847"/>
      <c r="DK286" s="847"/>
      <c r="DL286" s="847"/>
      <c r="DM286" s="1212"/>
      <c r="DN286" s="1222">
        <f>'Lead &amp; ANALYSIS'!G4819/1.88</f>
        <v>0.53191489361702127</v>
      </c>
      <c r="DO286" s="1013">
        <f t="shared" si="11"/>
        <v>0</v>
      </c>
      <c r="DP286" s="847"/>
      <c r="DQ286" s="1013"/>
      <c r="DR286" s="1225">
        <f>'Lead &amp; ANALYSIS'!G4818/1.88</f>
        <v>0.53191489361702127</v>
      </c>
      <c r="DS286" s="1013">
        <f>ROUND(C286*DR286,2)</f>
        <v>0</v>
      </c>
      <c r="DT286" s="1225"/>
      <c r="DU286" s="1214"/>
      <c r="DV286" s="1242"/>
      <c r="DW286" s="1232"/>
      <c r="DX286" s="1222"/>
      <c r="DY286" s="847"/>
      <c r="DZ286" s="847"/>
      <c r="EA286" s="847"/>
      <c r="EB286" s="847"/>
      <c r="EC286" s="847"/>
      <c r="ED286" s="847"/>
      <c r="EE286" s="847"/>
      <c r="EF286" s="847"/>
      <c r="EG286" s="1212"/>
      <c r="EH286" s="847"/>
      <c r="EI286" s="1212"/>
    </row>
    <row r="287" spans="1:139" s="733" customFormat="1" ht="13.5">
      <c r="A287" s="1009">
        <v>79</v>
      </c>
      <c r="B287" s="1212" t="s">
        <v>3067</v>
      </c>
      <c r="C287" s="1213">
        <v>0</v>
      </c>
      <c r="D287" s="1013" t="s">
        <v>125</v>
      </c>
      <c r="E287" s="847"/>
      <c r="F287" s="1013"/>
      <c r="G287" s="847"/>
      <c r="H287" s="1013"/>
      <c r="I287" s="847"/>
      <c r="J287" s="1013"/>
      <c r="K287" s="847"/>
      <c r="L287" s="1013"/>
      <c r="M287" s="847"/>
      <c r="N287" s="1013"/>
      <c r="O287" s="847"/>
      <c r="P287" s="1013"/>
      <c r="Q287" s="847"/>
      <c r="R287" s="847"/>
      <c r="S287" s="847"/>
      <c r="T287" s="847"/>
      <c r="U287" s="847"/>
      <c r="V287" s="847"/>
      <c r="W287" s="847"/>
      <c r="X287" s="847"/>
      <c r="Y287" s="847"/>
      <c r="Z287" s="847"/>
      <c r="AA287" s="847"/>
      <c r="AB287" s="847"/>
      <c r="AC287" s="847"/>
      <c r="AD287" s="847"/>
      <c r="AE287" s="847"/>
      <c r="AF287" s="847"/>
      <c r="AG287" s="847"/>
      <c r="AH287" s="847"/>
      <c r="AI287" s="847"/>
      <c r="AJ287" s="847"/>
      <c r="AK287" s="847"/>
      <c r="AL287" s="847"/>
      <c r="AM287" s="847"/>
      <c r="AN287" s="847"/>
      <c r="AO287" s="847"/>
      <c r="AP287" s="847"/>
      <c r="AQ287" s="847"/>
      <c r="AR287" s="847"/>
      <c r="AS287" s="847"/>
      <c r="AT287" s="847"/>
      <c r="AU287" s="847"/>
      <c r="AV287" s="847"/>
      <c r="AW287" s="847"/>
      <c r="AX287" s="847"/>
      <c r="AY287" s="847"/>
      <c r="AZ287" s="847"/>
      <c r="BA287" s="847"/>
      <c r="BB287" s="847"/>
      <c r="BC287" s="847"/>
      <c r="BD287" s="847"/>
      <c r="BE287" s="847"/>
      <c r="BF287" s="847"/>
      <c r="BG287" s="847"/>
      <c r="BH287" s="847"/>
      <c r="BI287" s="847"/>
      <c r="BJ287" s="847"/>
      <c r="BK287" s="847"/>
      <c r="BL287" s="847"/>
      <c r="BM287" s="847"/>
      <c r="BN287" s="847"/>
      <c r="BO287" s="847"/>
      <c r="BP287" s="847"/>
      <c r="BQ287" s="847"/>
      <c r="BR287" s="847"/>
      <c r="BS287" s="847"/>
      <c r="BT287" s="847"/>
      <c r="BU287" s="847"/>
      <c r="BV287" s="847"/>
      <c r="BW287" s="847"/>
      <c r="BX287" s="847"/>
      <c r="BY287" s="847"/>
      <c r="BZ287" s="847"/>
      <c r="CA287" s="847"/>
      <c r="CB287" s="847"/>
      <c r="CC287" s="847"/>
      <c r="CD287" s="847"/>
      <c r="CE287" s="847"/>
      <c r="CF287" s="847"/>
      <c r="CG287" s="847"/>
      <c r="CH287" s="847"/>
      <c r="CI287" s="847"/>
      <c r="CJ287" s="847"/>
      <c r="CK287" s="847"/>
      <c r="CL287" s="847"/>
      <c r="CM287" s="847"/>
      <c r="CN287" s="847"/>
      <c r="CO287" s="847"/>
      <c r="CP287" s="847"/>
      <c r="CQ287" s="847"/>
      <c r="CR287" s="847"/>
      <c r="CS287" s="847"/>
      <c r="CT287" s="847"/>
      <c r="CU287" s="847"/>
      <c r="CV287" s="847"/>
      <c r="CW287" s="847"/>
      <c r="CX287" s="847"/>
      <c r="CY287" s="847"/>
      <c r="CZ287" s="847"/>
      <c r="DA287" s="847"/>
      <c r="DB287" s="847"/>
      <c r="DC287" s="847"/>
      <c r="DD287" s="847"/>
      <c r="DE287" s="847"/>
      <c r="DF287" s="847"/>
      <c r="DG287" s="847"/>
      <c r="DH287" s="847"/>
      <c r="DI287" s="847"/>
      <c r="DJ287" s="847"/>
      <c r="DK287" s="847"/>
      <c r="DL287" s="847"/>
      <c r="DM287" s="1212"/>
      <c r="DN287" s="1222"/>
      <c r="DO287" s="1013"/>
      <c r="DP287" s="847"/>
      <c r="DQ287" s="1013"/>
      <c r="DR287" s="1225"/>
      <c r="DS287" s="1013"/>
      <c r="DT287" s="1225"/>
      <c r="DU287" s="1214"/>
      <c r="DV287" s="1242"/>
      <c r="DW287" s="1232"/>
      <c r="DX287" s="1222"/>
      <c r="DY287" s="847"/>
      <c r="DZ287" s="847"/>
      <c r="EA287" s="847"/>
      <c r="EB287" s="847"/>
      <c r="EC287" s="847"/>
      <c r="ED287" s="847"/>
      <c r="EE287" s="847"/>
      <c r="EF287" s="847"/>
      <c r="EG287" s="1212"/>
      <c r="EH287" s="847"/>
      <c r="EI287" s="1212"/>
    </row>
    <row r="288" spans="1:139" s="733" customFormat="1" ht="13.5">
      <c r="A288" s="1009">
        <v>80</v>
      </c>
      <c r="B288" s="1212" t="s">
        <v>3068</v>
      </c>
      <c r="C288" s="1213">
        <v>0</v>
      </c>
      <c r="D288" s="1013" t="s">
        <v>125</v>
      </c>
      <c r="E288" s="847"/>
      <c r="F288" s="1013"/>
      <c r="G288" s="847"/>
      <c r="H288" s="1013"/>
      <c r="I288" s="847"/>
      <c r="J288" s="1013"/>
      <c r="K288" s="847"/>
      <c r="L288" s="1013"/>
      <c r="M288" s="847"/>
      <c r="N288" s="1013"/>
      <c r="O288" s="847"/>
      <c r="P288" s="1013"/>
      <c r="Q288" s="847"/>
      <c r="R288" s="847"/>
      <c r="S288" s="847"/>
      <c r="T288" s="847"/>
      <c r="U288" s="847"/>
      <c r="V288" s="847"/>
      <c r="W288" s="847"/>
      <c r="X288" s="847"/>
      <c r="Y288" s="847"/>
      <c r="Z288" s="847"/>
      <c r="AA288" s="847"/>
      <c r="AB288" s="847"/>
      <c r="AC288" s="847"/>
      <c r="AD288" s="847"/>
      <c r="AE288" s="847"/>
      <c r="AF288" s="847"/>
      <c r="AG288" s="847"/>
      <c r="AH288" s="847"/>
      <c r="AI288" s="847"/>
      <c r="AJ288" s="847"/>
      <c r="AK288" s="847"/>
      <c r="AL288" s="847"/>
      <c r="AM288" s="847"/>
      <c r="AN288" s="847"/>
      <c r="AO288" s="847"/>
      <c r="AP288" s="847"/>
      <c r="AQ288" s="847"/>
      <c r="AR288" s="847"/>
      <c r="AS288" s="847"/>
      <c r="AT288" s="847"/>
      <c r="AU288" s="847"/>
      <c r="AV288" s="847"/>
      <c r="AW288" s="847"/>
      <c r="AX288" s="847"/>
      <c r="AY288" s="847"/>
      <c r="AZ288" s="847"/>
      <c r="BA288" s="847"/>
      <c r="BB288" s="847"/>
      <c r="BC288" s="847"/>
      <c r="BD288" s="847"/>
      <c r="BE288" s="847"/>
      <c r="BF288" s="847"/>
      <c r="BG288" s="847"/>
      <c r="BH288" s="847"/>
      <c r="BI288" s="847"/>
      <c r="BJ288" s="847"/>
      <c r="BK288" s="847"/>
      <c r="BL288" s="847"/>
      <c r="BM288" s="847"/>
      <c r="BN288" s="847"/>
      <c r="BO288" s="847"/>
      <c r="BP288" s="847"/>
      <c r="BQ288" s="847"/>
      <c r="BR288" s="847"/>
      <c r="BS288" s="847"/>
      <c r="BT288" s="847"/>
      <c r="BU288" s="847"/>
      <c r="BV288" s="847"/>
      <c r="BW288" s="847"/>
      <c r="BX288" s="847"/>
      <c r="BY288" s="847"/>
      <c r="BZ288" s="847"/>
      <c r="CA288" s="847"/>
      <c r="CB288" s="847"/>
      <c r="CC288" s="847"/>
      <c r="CD288" s="847"/>
      <c r="CE288" s="847"/>
      <c r="CF288" s="847"/>
      <c r="CG288" s="847"/>
      <c r="CH288" s="847"/>
      <c r="CI288" s="847"/>
      <c r="CJ288" s="847"/>
      <c r="CK288" s="847"/>
      <c r="CL288" s="847"/>
      <c r="CM288" s="847"/>
      <c r="CN288" s="847"/>
      <c r="CO288" s="847"/>
      <c r="CP288" s="847"/>
      <c r="CQ288" s="847"/>
      <c r="CR288" s="847"/>
      <c r="CS288" s="847"/>
      <c r="CT288" s="847"/>
      <c r="CU288" s="847"/>
      <c r="CV288" s="847"/>
      <c r="CW288" s="847"/>
      <c r="CX288" s="847"/>
      <c r="CY288" s="847"/>
      <c r="CZ288" s="847"/>
      <c r="DA288" s="847"/>
      <c r="DB288" s="847"/>
      <c r="DC288" s="847"/>
      <c r="DD288" s="847"/>
      <c r="DE288" s="847"/>
      <c r="DF288" s="847"/>
      <c r="DG288" s="847"/>
      <c r="DH288" s="847"/>
      <c r="DI288" s="847"/>
      <c r="DJ288" s="847"/>
      <c r="DK288" s="847"/>
      <c r="DL288" s="847"/>
      <c r="DM288" s="1212"/>
      <c r="DN288" s="1222"/>
      <c r="DO288" s="1013"/>
      <c r="DP288" s="847"/>
      <c r="DQ288" s="1013"/>
      <c r="DR288" s="1225"/>
      <c r="DS288" s="1013"/>
      <c r="DT288" s="1225"/>
      <c r="DU288" s="1214"/>
      <c r="DV288" s="1242"/>
      <c r="DW288" s="1232"/>
      <c r="DX288" s="1222"/>
      <c r="DY288" s="847"/>
      <c r="DZ288" s="847"/>
      <c r="EA288" s="847"/>
      <c r="EB288" s="847"/>
      <c r="EC288" s="847"/>
      <c r="ED288" s="847"/>
      <c r="EE288" s="847"/>
      <c r="EF288" s="847"/>
      <c r="EG288" s="1212"/>
      <c r="EH288" s="847"/>
      <c r="EI288" s="1212"/>
    </row>
    <row r="289" spans="1:139" s="733" customFormat="1" ht="13.5">
      <c r="A289" s="1009">
        <v>81</v>
      </c>
      <c r="B289" s="1212" t="s">
        <v>3069</v>
      </c>
      <c r="C289" s="1213">
        <v>0</v>
      </c>
      <c r="D289" s="1013" t="s">
        <v>125</v>
      </c>
      <c r="E289" s="847"/>
      <c r="F289" s="1013"/>
      <c r="G289" s="847"/>
      <c r="H289" s="1013"/>
      <c r="I289" s="847"/>
      <c r="J289" s="1013"/>
      <c r="K289" s="847"/>
      <c r="L289" s="1013"/>
      <c r="M289" s="847"/>
      <c r="N289" s="1013"/>
      <c r="O289" s="847"/>
      <c r="P289" s="1013"/>
      <c r="Q289" s="847"/>
      <c r="R289" s="847"/>
      <c r="S289" s="847"/>
      <c r="T289" s="847"/>
      <c r="U289" s="847"/>
      <c r="V289" s="847"/>
      <c r="W289" s="847"/>
      <c r="X289" s="847"/>
      <c r="Y289" s="847"/>
      <c r="Z289" s="847"/>
      <c r="AA289" s="847"/>
      <c r="AB289" s="847"/>
      <c r="AC289" s="847"/>
      <c r="AD289" s="847"/>
      <c r="AE289" s="847"/>
      <c r="AF289" s="847"/>
      <c r="AG289" s="847"/>
      <c r="AH289" s="847"/>
      <c r="AI289" s="847"/>
      <c r="AJ289" s="847"/>
      <c r="AK289" s="847"/>
      <c r="AL289" s="847"/>
      <c r="AM289" s="847"/>
      <c r="AN289" s="847"/>
      <c r="AO289" s="847"/>
      <c r="AP289" s="847"/>
      <c r="AQ289" s="847"/>
      <c r="AR289" s="847"/>
      <c r="AS289" s="847"/>
      <c r="AT289" s="847"/>
      <c r="AU289" s="847"/>
      <c r="AV289" s="847"/>
      <c r="AW289" s="847"/>
      <c r="AX289" s="847"/>
      <c r="AY289" s="847"/>
      <c r="AZ289" s="847"/>
      <c r="BA289" s="847"/>
      <c r="BB289" s="847"/>
      <c r="BC289" s="847"/>
      <c r="BD289" s="847"/>
      <c r="BE289" s="847"/>
      <c r="BF289" s="847"/>
      <c r="BG289" s="847"/>
      <c r="BH289" s="847"/>
      <c r="BI289" s="847"/>
      <c r="BJ289" s="847"/>
      <c r="BK289" s="847"/>
      <c r="BL289" s="847"/>
      <c r="BM289" s="847"/>
      <c r="BN289" s="847"/>
      <c r="BO289" s="847"/>
      <c r="BP289" s="847"/>
      <c r="BQ289" s="847"/>
      <c r="BR289" s="847"/>
      <c r="BS289" s="847"/>
      <c r="BT289" s="847"/>
      <c r="BU289" s="847"/>
      <c r="BV289" s="847"/>
      <c r="BW289" s="847"/>
      <c r="BX289" s="847"/>
      <c r="BY289" s="847"/>
      <c r="BZ289" s="847"/>
      <c r="CA289" s="847"/>
      <c r="CB289" s="847"/>
      <c r="CC289" s="847"/>
      <c r="CD289" s="847"/>
      <c r="CE289" s="847"/>
      <c r="CF289" s="847"/>
      <c r="CG289" s="847"/>
      <c r="CH289" s="847"/>
      <c r="CI289" s="847"/>
      <c r="CJ289" s="847"/>
      <c r="CK289" s="847"/>
      <c r="CL289" s="847"/>
      <c r="CM289" s="847"/>
      <c r="CN289" s="847"/>
      <c r="CO289" s="847"/>
      <c r="CP289" s="847"/>
      <c r="CQ289" s="847"/>
      <c r="CR289" s="847"/>
      <c r="CS289" s="847"/>
      <c r="CT289" s="847"/>
      <c r="CU289" s="847"/>
      <c r="CV289" s="847"/>
      <c r="CW289" s="847"/>
      <c r="CX289" s="847"/>
      <c r="CY289" s="847"/>
      <c r="CZ289" s="847"/>
      <c r="DA289" s="847"/>
      <c r="DB289" s="847"/>
      <c r="DC289" s="847"/>
      <c r="DD289" s="847"/>
      <c r="DE289" s="847"/>
      <c r="DF289" s="847"/>
      <c r="DG289" s="847"/>
      <c r="DH289" s="847"/>
      <c r="DI289" s="847"/>
      <c r="DJ289" s="847"/>
      <c r="DK289" s="847"/>
      <c r="DL289" s="847"/>
      <c r="DM289" s="1212"/>
      <c r="DN289" s="1222"/>
      <c r="DO289" s="1013"/>
      <c r="DP289" s="847"/>
      <c r="DQ289" s="1013"/>
      <c r="DR289" s="1225"/>
      <c r="DS289" s="1013"/>
      <c r="DT289" s="1225"/>
      <c r="DU289" s="1214"/>
      <c r="DV289" s="1242"/>
      <c r="DW289" s="1232"/>
      <c r="DX289" s="1222"/>
      <c r="DY289" s="847"/>
      <c r="DZ289" s="847"/>
      <c r="EA289" s="847"/>
      <c r="EB289" s="847"/>
      <c r="EC289" s="847"/>
      <c r="ED289" s="847"/>
      <c r="EE289" s="847"/>
      <c r="EF289" s="847"/>
      <c r="EG289" s="1212"/>
      <c r="EH289" s="847"/>
      <c r="EI289" s="1212"/>
    </row>
    <row r="290" spans="1:139" s="733" customFormat="1" ht="13.5">
      <c r="A290" s="1009">
        <v>82</v>
      </c>
      <c r="B290" s="1212" t="s">
        <v>3070</v>
      </c>
      <c r="C290" s="1213">
        <v>0</v>
      </c>
      <c r="D290" s="1013" t="s">
        <v>92</v>
      </c>
      <c r="E290" s="847"/>
      <c r="F290" s="1013"/>
      <c r="G290" s="847"/>
      <c r="H290" s="1013"/>
      <c r="I290" s="847"/>
      <c r="J290" s="1013"/>
      <c r="K290" s="847"/>
      <c r="L290" s="1013"/>
      <c r="M290" s="847"/>
      <c r="N290" s="1013"/>
      <c r="O290" s="847"/>
      <c r="P290" s="1013"/>
      <c r="Q290" s="847"/>
      <c r="R290" s="847"/>
      <c r="S290" s="847"/>
      <c r="T290" s="847"/>
      <c r="U290" s="847"/>
      <c r="V290" s="847"/>
      <c r="W290" s="847"/>
      <c r="X290" s="847"/>
      <c r="Y290" s="847"/>
      <c r="Z290" s="847"/>
      <c r="AA290" s="847"/>
      <c r="AB290" s="847"/>
      <c r="AC290" s="847"/>
      <c r="AD290" s="847"/>
      <c r="AE290" s="847"/>
      <c r="AF290" s="847"/>
      <c r="AG290" s="847"/>
      <c r="AH290" s="847"/>
      <c r="AI290" s="847"/>
      <c r="AJ290" s="847"/>
      <c r="AK290" s="847"/>
      <c r="AL290" s="847"/>
      <c r="AM290" s="847"/>
      <c r="AN290" s="847"/>
      <c r="AO290" s="847"/>
      <c r="AP290" s="847"/>
      <c r="AQ290" s="847"/>
      <c r="AR290" s="847"/>
      <c r="AS290" s="847"/>
      <c r="AT290" s="847"/>
      <c r="AU290" s="847"/>
      <c r="AV290" s="847"/>
      <c r="AW290" s="847"/>
      <c r="AX290" s="847"/>
      <c r="AY290" s="847"/>
      <c r="AZ290" s="847"/>
      <c r="BA290" s="847"/>
      <c r="BB290" s="847"/>
      <c r="BC290" s="847"/>
      <c r="BD290" s="847"/>
      <c r="BE290" s="847"/>
      <c r="BF290" s="847"/>
      <c r="BG290" s="847"/>
      <c r="BH290" s="847"/>
      <c r="BI290" s="847"/>
      <c r="BJ290" s="847"/>
      <c r="BK290" s="847"/>
      <c r="BL290" s="847"/>
      <c r="BM290" s="847"/>
      <c r="BN290" s="847"/>
      <c r="BO290" s="847"/>
      <c r="BP290" s="847"/>
      <c r="BQ290" s="847"/>
      <c r="BR290" s="847"/>
      <c r="BS290" s="847"/>
      <c r="BT290" s="847"/>
      <c r="BU290" s="847"/>
      <c r="BV290" s="847"/>
      <c r="BW290" s="847"/>
      <c r="BX290" s="847"/>
      <c r="BY290" s="847"/>
      <c r="BZ290" s="847"/>
      <c r="CA290" s="847"/>
      <c r="CB290" s="847"/>
      <c r="CC290" s="847"/>
      <c r="CD290" s="847"/>
      <c r="CE290" s="847"/>
      <c r="CF290" s="847"/>
      <c r="CG290" s="847"/>
      <c r="CH290" s="847"/>
      <c r="CI290" s="847"/>
      <c r="CJ290" s="847"/>
      <c r="CK290" s="847"/>
      <c r="CL290" s="847"/>
      <c r="CM290" s="847"/>
      <c r="CN290" s="847"/>
      <c r="CO290" s="847"/>
      <c r="CP290" s="847"/>
      <c r="CQ290" s="847"/>
      <c r="CR290" s="847"/>
      <c r="CS290" s="847"/>
      <c r="CT290" s="847"/>
      <c r="CU290" s="847"/>
      <c r="CV290" s="847"/>
      <c r="CW290" s="847"/>
      <c r="CX290" s="847"/>
      <c r="CY290" s="847"/>
      <c r="CZ290" s="847"/>
      <c r="DA290" s="847"/>
      <c r="DB290" s="847"/>
      <c r="DC290" s="847"/>
      <c r="DD290" s="847"/>
      <c r="DE290" s="847"/>
      <c r="DF290" s="847"/>
      <c r="DG290" s="847"/>
      <c r="DH290" s="847"/>
      <c r="DI290" s="847"/>
      <c r="DJ290" s="847"/>
      <c r="DK290" s="847"/>
      <c r="DL290" s="847"/>
      <c r="DM290" s="1212"/>
      <c r="DN290" s="1222">
        <f>'Lead &amp; ANALYSIS'!G4879/4.76</f>
        <v>0.69327731092436973</v>
      </c>
      <c r="DO290" s="1013">
        <f>ROUND(C290*DN290,2)</f>
        <v>0</v>
      </c>
      <c r="DP290" s="847">
        <f>'Lead &amp; ANALYSIS'!G4878/4.76</f>
        <v>0.69327731092436973</v>
      </c>
      <c r="DQ290" s="1013">
        <f>ROUND(C290*DP290,2)</f>
        <v>0</v>
      </c>
      <c r="DR290" s="1225">
        <f>'Lead &amp; ANALYSIS'!G4877/4.76</f>
        <v>0.31512605042016806</v>
      </c>
      <c r="DS290" s="1013">
        <f>ROUND(C290*DR290,2)</f>
        <v>0</v>
      </c>
      <c r="DT290" s="1225">
        <f>'Lead &amp; ANALYSIS'!G4876/4.76</f>
        <v>0.31512605042016806</v>
      </c>
      <c r="DU290" s="1214">
        <f t="shared" ref="DU290:DU304" si="12">ROUND(C290*DT290,2)</f>
        <v>0</v>
      </c>
      <c r="DV290" s="1242"/>
      <c r="DW290" s="1232"/>
      <c r="DX290" s="1222"/>
      <c r="DY290" s="847"/>
      <c r="DZ290" s="847"/>
      <c r="EA290" s="847"/>
      <c r="EB290" s="847"/>
      <c r="EC290" s="847"/>
      <c r="ED290" s="847"/>
      <c r="EE290" s="847"/>
      <c r="EF290" s="847"/>
      <c r="EG290" s="1212"/>
      <c r="EH290" s="847"/>
      <c r="EI290" s="1212"/>
    </row>
    <row r="291" spans="1:139" s="733" customFormat="1" ht="13.5">
      <c r="A291" s="1009"/>
      <c r="B291" s="1212"/>
      <c r="C291" s="1213">
        <v>0</v>
      </c>
      <c r="D291" s="1013" t="s">
        <v>95</v>
      </c>
      <c r="E291" s="847"/>
      <c r="F291" s="1013"/>
      <c r="G291" s="847"/>
      <c r="H291" s="1013"/>
      <c r="I291" s="847"/>
      <c r="J291" s="1013"/>
      <c r="K291" s="847"/>
      <c r="L291" s="1013"/>
      <c r="M291" s="847"/>
      <c r="N291" s="1013"/>
      <c r="O291" s="847"/>
      <c r="P291" s="1013"/>
      <c r="Q291" s="847"/>
      <c r="R291" s="847"/>
      <c r="S291" s="847"/>
      <c r="T291" s="847"/>
      <c r="U291" s="847"/>
      <c r="V291" s="847"/>
      <c r="W291" s="847"/>
      <c r="X291" s="847"/>
      <c r="Y291" s="847"/>
      <c r="Z291" s="847"/>
      <c r="AA291" s="847"/>
      <c r="AB291" s="847"/>
      <c r="AC291" s="847"/>
      <c r="AD291" s="847"/>
      <c r="AE291" s="847"/>
      <c r="AF291" s="847"/>
      <c r="AG291" s="847"/>
      <c r="AH291" s="847"/>
      <c r="AI291" s="847"/>
      <c r="AJ291" s="847"/>
      <c r="AK291" s="847"/>
      <c r="AL291" s="847"/>
      <c r="AM291" s="847"/>
      <c r="AN291" s="847"/>
      <c r="AO291" s="847"/>
      <c r="AP291" s="847"/>
      <c r="AQ291" s="847"/>
      <c r="AR291" s="847"/>
      <c r="AS291" s="847"/>
      <c r="AT291" s="847"/>
      <c r="AU291" s="847"/>
      <c r="AV291" s="847"/>
      <c r="AW291" s="847"/>
      <c r="AX291" s="847"/>
      <c r="AY291" s="847"/>
      <c r="AZ291" s="847"/>
      <c r="BA291" s="847"/>
      <c r="BB291" s="847"/>
      <c r="BC291" s="847"/>
      <c r="BD291" s="847"/>
      <c r="BE291" s="847"/>
      <c r="BF291" s="847"/>
      <c r="BG291" s="847"/>
      <c r="BH291" s="847"/>
      <c r="BI291" s="847"/>
      <c r="BJ291" s="847"/>
      <c r="BK291" s="847"/>
      <c r="BL291" s="847"/>
      <c r="BM291" s="847"/>
      <c r="BN291" s="847"/>
      <c r="BO291" s="847"/>
      <c r="BP291" s="847"/>
      <c r="BQ291" s="847"/>
      <c r="BR291" s="847"/>
      <c r="BS291" s="847"/>
      <c r="BT291" s="847"/>
      <c r="BU291" s="847"/>
      <c r="BV291" s="847"/>
      <c r="BW291" s="847"/>
      <c r="BX291" s="847"/>
      <c r="BY291" s="847"/>
      <c r="BZ291" s="847"/>
      <c r="CA291" s="847"/>
      <c r="CB291" s="847"/>
      <c r="CC291" s="847"/>
      <c r="CD291" s="847"/>
      <c r="CE291" s="847"/>
      <c r="CF291" s="847"/>
      <c r="CG291" s="847"/>
      <c r="CH291" s="847"/>
      <c r="CI291" s="847"/>
      <c r="CJ291" s="847"/>
      <c r="CK291" s="847"/>
      <c r="CL291" s="847"/>
      <c r="CM291" s="847"/>
      <c r="CN291" s="847"/>
      <c r="CO291" s="847"/>
      <c r="CP291" s="847"/>
      <c r="CQ291" s="847"/>
      <c r="CR291" s="847"/>
      <c r="CS291" s="847"/>
      <c r="CT291" s="847"/>
      <c r="CU291" s="847"/>
      <c r="CV291" s="847"/>
      <c r="CW291" s="847"/>
      <c r="CX291" s="847"/>
      <c r="CY291" s="847"/>
      <c r="CZ291" s="847"/>
      <c r="DA291" s="847"/>
      <c r="DB291" s="847"/>
      <c r="DC291" s="847"/>
      <c r="DD291" s="847"/>
      <c r="DE291" s="847"/>
      <c r="DF291" s="847"/>
      <c r="DG291" s="847"/>
      <c r="DH291" s="847"/>
      <c r="DI291" s="847"/>
      <c r="DJ291" s="847"/>
      <c r="DK291" s="847"/>
      <c r="DL291" s="847"/>
      <c r="DM291" s="1212"/>
      <c r="DN291" s="1222">
        <f>'Lead &amp; ANALYSIS'!G4879/'Lead &amp; ANALYSIS'!D4857</f>
        <v>0.13530135301353013</v>
      </c>
      <c r="DO291" s="1013">
        <f>ROUND(C291*DN291,2)</f>
        <v>0</v>
      </c>
      <c r="DP291" s="847">
        <f>'Lead &amp; ANALYSIS'!G4878/'Lead &amp; ANALYSIS'!D4857</f>
        <v>0.13530135301353013</v>
      </c>
      <c r="DQ291" s="1013">
        <f>ROUND(C291*DP291,2)</f>
        <v>0</v>
      </c>
      <c r="DR291" s="1225">
        <f>'Lead &amp; ANALYSIS'!G4877/'Lead &amp; ANALYSIS'!D4857</f>
        <v>6.1500615006150061E-2</v>
      </c>
      <c r="DS291" s="1013">
        <f>ROUND(C291*DR291,2)</f>
        <v>0</v>
      </c>
      <c r="DT291" s="1225">
        <f>'Lead &amp; ANALYSIS'!G4876/'Lead &amp; ANALYSIS'!D4857</f>
        <v>6.1500615006150061E-2</v>
      </c>
      <c r="DU291" s="1214">
        <f t="shared" si="12"/>
        <v>0</v>
      </c>
      <c r="DV291" s="1242"/>
      <c r="DW291" s="1232"/>
      <c r="DX291" s="1222"/>
      <c r="DY291" s="847"/>
      <c r="DZ291" s="847"/>
      <c r="EA291" s="847"/>
      <c r="EB291" s="847"/>
      <c r="EC291" s="847"/>
      <c r="ED291" s="847"/>
      <c r="EE291" s="847"/>
      <c r="EF291" s="847"/>
      <c r="EG291" s="1212"/>
      <c r="EH291" s="847"/>
      <c r="EI291" s="1212"/>
    </row>
    <row r="292" spans="1:139" s="733" customFormat="1" ht="13.5">
      <c r="A292" s="1009">
        <v>83</v>
      </c>
      <c r="B292" s="1212" t="s">
        <v>3070</v>
      </c>
      <c r="C292" s="1213">
        <v>0</v>
      </c>
      <c r="D292" s="1013" t="s">
        <v>92</v>
      </c>
      <c r="E292" s="847"/>
      <c r="F292" s="1013"/>
      <c r="G292" s="847"/>
      <c r="H292" s="1013"/>
      <c r="I292" s="847"/>
      <c r="J292" s="1013"/>
      <c r="K292" s="847"/>
      <c r="L292" s="1013"/>
      <c r="M292" s="847"/>
      <c r="N292" s="1013"/>
      <c r="O292" s="847"/>
      <c r="P292" s="1013"/>
      <c r="Q292" s="847"/>
      <c r="R292" s="847"/>
      <c r="S292" s="847"/>
      <c r="T292" s="847"/>
      <c r="U292" s="847"/>
      <c r="V292" s="847"/>
      <c r="W292" s="847"/>
      <c r="X292" s="847"/>
      <c r="Y292" s="847"/>
      <c r="Z292" s="847"/>
      <c r="AA292" s="847"/>
      <c r="AB292" s="847"/>
      <c r="AC292" s="847"/>
      <c r="AD292" s="847"/>
      <c r="AE292" s="847"/>
      <c r="AF292" s="847"/>
      <c r="AG292" s="847"/>
      <c r="AH292" s="847"/>
      <c r="AI292" s="847"/>
      <c r="AJ292" s="847"/>
      <c r="AK292" s="847"/>
      <c r="AL292" s="847"/>
      <c r="AM292" s="847"/>
      <c r="AN292" s="847"/>
      <c r="AO292" s="847"/>
      <c r="AP292" s="847"/>
      <c r="AQ292" s="847"/>
      <c r="AR292" s="847"/>
      <c r="AS292" s="847"/>
      <c r="AT292" s="847"/>
      <c r="AU292" s="847"/>
      <c r="AV292" s="847"/>
      <c r="AW292" s="847"/>
      <c r="AX292" s="847"/>
      <c r="AY292" s="847"/>
      <c r="AZ292" s="847"/>
      <c r="BA292" s="847"/>
      <c r="BB292" s="847"/>
      <c r="BC292" s="847"/>
      <c r="BD292" s="847"/>
      <c r="BE292" s="847"/>
      <c r="BF292" s="847"/>
      <c r="BG292" s="847"/>
      <c r="BH292" s="847"/>
      <c r="BI292" s="847"/>
      <c r="BJ292" s="847"/>
      <c r="BK292" s="847"/>
      <c r="BL292" s="847"/>
      <c r="BM292" s="847"/>
      <c r="BN292" s="847"/>
      <c r="BO292" s="847"/>
      <c r="BP292" s="847"/>
      <c r="BQ292" s="847"/>
      <c r="BR292" s="847"/>
      <c r="BS292" s="847"/>
      <c r="BT292" s="847"/>
      <c r="BU292" s="847"/>
      <c r="BV292" s="847"/>
      <c r="BW292" s="847"/>
      <c r="BX292" s="847"/>
      <c r="BY292" s="847"/>
      <c r="BZ292" s="847"/>
      <c r="CA292" s="847"/>
      <c r="CB292" s="847"/>
      <c r="CC292" s="847"/>
      <c r="CD292" s="847"/>
      <c r="CE292" s="847"/>
      <c r="CF292" s="847"/>
      <c r="CG292" s="847"/>
      <c r="CH292" s="847"/>
      <c r="CI292" s="847"/>
      <c r="CJ292" s="847"/>
      <c r="CK292" s="847"/>
      <c r="CL292" s="847"/>
      <c r="CM292" s="847"/>
      <c r="CN292" s="847"/>
      <c r="CO292" s="847"/>
      <c r="CP292" s="847"/>
      <c r="CQ292" s="847"/>
      <c r="CR292" s="847"/>
      <c r="CS292" s="847"/>
      <c r="CT292" s="847"/>
      <c r="CU292" s="847"/>
      <c r="CV292" s="847"/>
      <c r="CW292" s="847"/>
      <c r="CX292" s="847"/>
      <c r="CY292" s="847"/>
      <c r="CZ292" s="847"/>
      <c r="DA292" s="847"/>
      <c r="DB292" s="847"/>
      <c r="DC292" s="847"/>
      <c r="DD292" s="847"/>
      <c r="DE292" s="847"/>
      <c r="DF292" s="847"/>
      <c r="DG292" s="847"/>
      <c r="DH292" s="847"/>
      <c r="DI292" s="847"/>
      <c r="DJ292" s="847"/>
      <c r="DK292" s="847"/>
      <c r="DL292" s="847"/>
      <c r="DM292" s="1212"/>
      <c r="DN292" s="1222">
        <f>'Lead &amp; ANALYSIS'!G4905/4.76</f>
        <v>3.5714285714285716</v>
      </c>
      <c r="DO292" s="1013">
        <f>ROUND(C292*DN292,2)</f>
        <v>0</v>
      </c>
      <c r="DP292" s="847"/>
      <c r="DQ292" s="1013"/>
      <c r="DR292" s="1225"/>
      <c r="DS292" s="1013"/>
      <c r="DT292" s="1225">
        <f>'Lead &amp; ANALYSIS'!G4904/4.76</f>
        <v>3.5714285714285716</v>
      </c>
      <c r="DU292" s="1214">
        <f t="shared" si="12"/>
        <v>0</v>
      </c>
      <c r="DV292" s="1242"/>
      <c r="DW292" s="1232"/>
      <c r="DX292" s="1222"/>
      <c r="DY292" s="847"/>
      <c r="DZ292" s="847"/>
      <c r="EA292" s="847"/>
      <c r="EB292" s="847"/>
      <c r="EC292" s="847"/>
      <c r="ED292" s="847"/>
      <c r="EE292" s="847"/>
      <c r="EF292" s="847"/>
      <c r="EG292" s="1212"/>
      <c r="EH292" s="847"/>
      <c r="EI292" s="1212"/>
    </row>
    <row r="293" spans="1:139" s="733" customFormat="1" ht="13.5">
      <c r="A293" s="1009">
        <v>84</v>
      </c>
      <c r="B293" s="1212" t="s">
        <v>3071</v>
      </c>
      <c r="C293" s="1213">
        <v>0</v>
      </c>
      <c r="D293" s="1013" t="s">
        <v>92</v>
      </c>
      <c r="E293" s="847"/>
      <c r="F293" s="1013"/>
      <c r="G293" s="847"/>
      <c r="H293" s="1013"/>
      <c r="I293" s="847"/>
      <c r="J293" s="1013"/>
      <c r="K293" s="847"/>
      <c r="L293" s="1013"/>
      <c r="M293" s="847"/>
      <c r="N293" s="1013"/>
      <c r="O293" s="847"/>
      <c r="P293" s="1013"/>
      <c r="Q293" s="847"/>
      <c r="R293" s="847"/>
      <c r="S293" s="847"/>
      <c r="T293" s="847"/>
      <c r="U293" s="847"/>
      <c r="V293" s="847"/>
      <c r="W293" s="847"/>
      <c r="X293" s="847"/>
      <c r="Y293" s="847"/>
      <c r="Z293" s="847"/>
      <c r="AA293" s="847"/>
      <c r="AB293" s="847"/>
      <c r="AC293" s="847"/>
      <c r="AD293" s="847"/>
      <c r="AE293" s="847"/>
      <c r="AF293" s="847"/>
      <c r="AG293" s="847"/>
      <c r="AH293" s="847"/>
      <c r="AI293" s="847"/>
      <c r="AJ293" s="847"/>
      <c r="AK293" s="847"/>
      <c r="AL293" s="847"/>
      <c r="AM293" s="847"/>
      <c r="AN293" s="847"/>
      <c r="AO293" s="847"/>
      <c r="AP293" s="847"/>
      <c r="AQ293" s="847"/>
      <c r="AR293" s="847"/>
      <c r="AS293" s="847"/>
      <c r="AT293" s="847"/>
      <c r="AU293" s="847"/>
      <c r="AV293" s="847"/>
      <c r="AW293" s="847"/>
      <c r="AX293" s="847"/>
      <c r="AY293" s="847"/>
      <c r="AZ293" s="847"/>
      <c r="BA293" s="847"/>
      <c r="BB293" s="847"/>
      <c r="BC293" s="847"/>
      <c r="BD293" s="847"/>
      <c r="BE293" s="847"/>
      <c r="BF293" s="847"/>
      <c r="BG293" s="847"/>
      <c r="BH293" s="847"/>
      <c r="BI293" s="847"/>
      <c r="BJ293" s="847"/>
      <c r="BK293" s="847"/>
      <c r="BL293" s="847"/>
      <c r="BM293" s="847"/>
      <c r="BN293" s="847"/>
      <c r="BO293" s="847"/>
      <c r="BP293" s="847"/>
      <c r="BQ293" s="847"/>
      <c r="BR293" s="847"/>
      <c r="BS293" s="847"/>
      <c r="BT293" s="847"/>
      <c r="BU293" s="847"/>
      <c r="BV293" s="847"/>
      <c r="BW293" s="847"/>
      <c r="BX293" s="847"/>
      <c r="BY293" s="847"/>
      <c r="BZ293" s="847"/>
      <c r="CA293" s="847"/>
      <c r="CB293" s="847"/>
      <c r="CC293" s="847"/>
      <c r="CD293" s="847"/>
      <c r="CE293" s="847"/>
      <c r="CF293" s="847"/>
      <c r="CG293" s="847"/>
      <c r="CH293" s="847"/>
      <c r="CI293" s="847"/>
      <c r="CJ293" s="847"/>
      <c r="CK293" s="847"/>
      <c r="CL293" s="847"/>
      <c r="CM293" s="847"/>
      <c r="CN293" s="847"/>
      <c r="CO293" s="847"/>
      <c r="CP293" s="847"/>
      <c r="CQ293" s="847"/>
      <c r="CR293" s="847"/>
      <c r="CS293" s="847"/>
      <c r="CT293" s="847"/>
      <c r="CU293" s="847"/>
      <c r="CV293" s="847"/>
      <c r="CW293" s="847"/>
      <c r="CX293" s="847"/>
      <c r="CY293" s="847"/>
      <c r="CZ293" s="847"/>
      <c r="DA293" s="847"/>
      <c r="DB293" s="847"/>
      <c r="DC293" s="847"/>
      <c r="DD293" s="847"/>
      <c r="DE293" s="847"/>
      <c r="DF293" s="847"/>
      <c r="DG293" s="847"/>
      <c r="DH293" s="847"/>
      <c r="DI293" s="847"/>
      <c r="DJ293" s="847"/>
      <c r="DK293" s="847"/>
      <c r="DL293" s="847"/>
      <c r="DM293" s="1212"/>
      <c r="DN293" s="1222">
        <f>'Lead &amp; ANALYSIS'!G4937/2.16</f>
        <v>1.3888888888888888</v>
      </c>
      <c r="DO293" s="1013">
        <f>ROUND(C293*DN293,2)</f>
        <v>0</v>
      </c>
      <c r="DP293" s="847">
        <f>'Lead &amp; ANALYSIS'!G4936/2.16</f>
        <v>1.0648148148148147</v>
      </c>
      <c r="DQ293" s="1013">
        <f>ROUND(C293*DP293,2)</f>
        <v>0</v>
      </c>
      <c r="DR293" s="1225">
        <f>'Lead &amp; ANALYSIS'!G4935/2.16</f>
        <v>0.77777777777777768</v>
      </c>
      <c r="DS293" s="1013">
        <f>ROUND(C293*DR293,2)</f>
        <v>0</v>
      </c>
      <c r="DT293" s="1225">
        <f>'Lead &amp; ANALYSIS'!G4934/2.16</f>
        <v>0.19444444444444442</v>
      </c>
      <c r="DU293" s="1214">
        <f t="shared" si="12"/>
        <v>0</v>
      </c>
      <c r="DV293" s="1242"/>
      <c r="DW293" s="1232"/>
      <c r="DX293" s="1222"/>
      <c r="DY293" s="847"/>
      <c r="DZ293" s="847"/>
      <c r="EA293" s="847"/>
      <c r="EB293" s="847"/>
      <c r="EC293" s="847"/>
      <c r="ED293" s="847"/>
      <c r="EE293" s="847"/>
      <c r="EF293" s="847"/>
      <c r="EG293" s="1212"/>
      <c r="EH293" s="847"/>
      <c r="EI293" s="1212"/>
    </row>
    <row r="294" spans="1:139" s="733" customFormat="1" ht="13.5">
      <c r="A294" s="1009">
        <v>85</v>
      </c>
      <c r="B294" s="1212" t="s">
        <v>3072</v>
      </c>
      <c r="C294" s="1213">
        <v>0</v>
      </c>
      <c r="D294" s="1013" t="s">
        <v>92</v>
      </c>
      <c r="E294" s="847"/>
      <c r="F294" s="1013"/>
      <c r="G294" s="847"/>
      <c r="H294" s="1013"/>
      <c r="I294" s="847"/>
      <c r="J294" s="1013"/>
      <c r="K294" s="847"/>
      <c r="L294" s="1013"/>
      <c r="M294" s="847"/>
      <c r="N294" s="1013"/>
      <c r="O294" s="847"/>
      <c r="P294" s="1013"/>
      <c r="Q294" s="847"/>
      <c r="R294" s="847"/>
      <c r="S294" s="847"/>
      <c r="T294" s="847"/>
      <c r="U294" s="847"/>
      <c r="V294" s="847"/>
      <c r="W294" s="847"/>
      <c r="X294" s="847"/>
      <c r="Y294" s="847"/>
      <c r="Z294" s="847"/>
      <c r="AA294" s="847"/>
      <c r="AB294" s="847"/>
      <c r="AC294" s="847"/>
      <c r="AD294" s="847"/>
      <c r="AE294" s="847"/>
      <c r="AF294" s="847"/>
      <c r="AG294" s="847"/>
      <c r="AH294" s="847"/>
      <c r="AI294" s="847"/>
      <c r="AJ294" s="847"/>
      <c r="AK294" s="847"/>
      <c r="AL294" s="847"/>
      <c r="AM294" s="847"/>
      <c r="AN294" s="847"/>
      <c r="AO294" s="847"/>
      <c r="AP294" s="847"/>
      <c r="AQ294" s="847"/>
      <c r="AR294" s="847"/>
      <c r="AS294" s="847"/>
      <c r="AT294" s="847"/>
      <c r="AU294" s="847"/>
      <c r="AV294" s="847"/>
      <c r="AW294" s="847"/>
      <c r="AX294" s="847"/>
      <c r="AY294" s="847"/>
      <c r="AZ294" s="847"/>
      <c r="BA294" s="847"/>
      <c r="BB294" s="847"/>
      <c r="BC294" s="847"/>
      <c r="BD294" s="847"/>
      <c r="BE294" s="847"/>
      <c r="BF294" s="847"/>
      <c r="BG294" s="847"/>
      <c r="BH294" s="847"/>
      <c r="BI294" s="847"/>
      <c r="BJ294" s="847"/>
      <c r="BK294" s="847"/>
      <c r="BL294" s="847"/>
      <c r="BM294" s="847"/>
      <c r="BN294" s="847"/>
      <c r="BO294" s="847"/>
      <c r="BP294" s="847"/>
      <c r="BQ294" s="847"/>
      <c r="BR294" s="847"/>
      <c r="BS294" s="847"/>
      <c r="BT294" s="847"/>
      <c r="BU294" s="847"/>
      <c r="BV294" s="847"/>
      <c r="BW294" s="847"/>
      <c r="BX294" s="847"/>
      <c r="BY294" s="847"/>
      <c r="BZ294" s="847"/>
      <c r="CA294" s="847"/>
      <c r="CB294" s="847"/>
      <c r="CC294" s="847"/>
      <c r="CD294" s="847"/>
      <c r="CE294" s="847"/>
      <c r="CF294" s="847"/>
      <c r="CG294" s="847"/>
      <c r="CH294" s="847"/>
      <c r="CI294" s="847"/>
      <c r="CJ294" s="847"/>
      <c r="CK294" s="847"/>
      <c r="CL294" s="847"/>
      <c r="CM294" s="847"/>
      <c r="CN294" s="847"/>
      <c r="CO294" s="847"/>
      <c r="CP294" s="847"/>
      <c r="CQ294" s="847"/>
      <c r="CR294" s="847"/>
      <c r="CS294" s="847"/>
      <c r="CT294" s="847"/>
      <c r="CU294" s="847"/>
      <c r="CV294" s="847"/>
      <c r="CW294" s="847"/>
      <c r="CX294" s="847"/>
      <c r="CY294" s="847"/>
      <c r="CZ294" s="847"/>
      <c r="DA294" s="847"/>
      <c r="DB294" s="847"/>
      <c r="DC294" s="847"/>
      <c r="DD294" s="847"/>
      <c r="DE294" s="847"/>
      <c r="DF294" s="847"/>
      <c r="DG294" s="847"/>
      <c r="DH294" s="847"/>
      <c r="DI294" s="847"/>
      <c r="DJ294" s="847"/>
      <c r="DK294" s="847"/>
      <c r="DL294" s="847"/>
      <c r="DM294" s="1212"/>
      <c r="DN294" s="1222">
        <f>'Lead &amp; ANALYSIS'!G4971/1.81</f>
        <v>0.82872928176795579</v>
      </c>
      <c r="DO294" s="1013">
        <f>ROUND(C294*DN294,2)</f>
        <v>0</v>
      </c>
      <c r="DP294" s="847">
        <f>'Lead &amp; ANALYSIS'!G4970/1.81</f>
        <v>0.66298342541436461</v>
      </c>
      <c r="DQ294" s="1013">
        <f>ROUND(C294*DP294,2)</f>
        <v>0</v>
      </c>
      <c r="DR294" s="1225">
        <f>'Lead &amp; ANALYSIS'!G4969/1.81</f>
        <v>0.82872928176795579</v>
      </c>
      <c r="DS294" s="1013">
        <f>ROUND(C294*DR294,2)</f>
        <v>0</v>
      </c>
      <c r="DT294" s="1225">
        <f>'Lead &amp; ANALYSIS'!G4968/1.81</f>
        <v>0.23204419889502761</v>
      </c>
      <c r="DU294" s="1214">
        <f t="shared" si="12"/>
        <v>0</v>
      </c>
      <c r="DV294" s="1242"/>
      <c r="DW294" s="1232"/>
      <c r="DX294" s="1222"/>
      <c r="DY294" s="847"/>
      <c r="DZ294" s="847"/>
      <c r="EA294" s="847"/>
      <c r="EB294" s="847"/>
      <c r="EC294" s="847"/>
      <c r="ED294" s="847"/>
      <c r="EE294" s="847"/>
      <c r="EF294" s="847"/>
      <c r="EG294" s="1212"/>
      <c r="EH294" s="847"/>
      <c r="EI294" s="1212"/>
    </row>
    <row r="295" spans="1:139" s="733" customFormat="1" ht="13.5">
      <c r="A295" s="1009">
        <v>86</v>
      </c>
      <c r="B295" s="1212" t="s">
        <v>3071</v>
      </c>
      <c r="C295" s="1213">
        <v>0</v>
      </c>
      <c r="D295" s="1013" t="s">
        <v>92</v>
      </c>
      <c r="E295" s="847"/>
      <c r="F295" s="1013"/>
      <c r="G295" s="847"/>
      <c r="H295" s="1013"/>
      <c r="I295" s="847"/>
      <c r="J295" s="1013"/>
      <c r="K295" s="847"/>
      <c r="L295" s="1013"/>
      <c r="M295" s="847"/>
      <c r="N295" s="1013"/>
      <c r="O295" s="847"/>
      <c r="P295" s="1013"/>
      <c r="Q295" s="847"/>
      <c r="R295" s="847"/>
      <c r="S295" s="847"/>
      <c r="T295" s="847"/>
      <c r="U295" s="847"/>
      <c r="V295" s="847"/>
      <c r="W295" s="847"/>
      <c r="X295" s="847"/>
      <c r="Y295" s="847"/>
      <c r="Z295" s="847"/>
      <c r="AA295" s="847"/>
      <c r="AB295" s="847"/>
      <c r="AC295" s="847"/>
      <c r="AD295" s="847"/>
      <c r="AE295" s="847"/>
      <c r="AF295" s="847"/>
      <c r="AG295" s="847"/>
      <c r="AH295" s="847"/>
      <c r="AI295" s="847"/>
      <c r="AJ295" s="847"/>
      <c r="AK295" s="847"/>
      <c r="AL295" s="847"/>
      <c r="AM295" s="847"/>
      <c r="AN295" s="847"/>
      <c r="AO295" s="847"/>
      <c r="AP295" s="847"/>
      <c r="AQ295" s="847"/>
      <c r="AR295" s="847"/>
      <c r="AS295" s="847"/>
      <c r="AT295" s="847"/>
      <c r="AU295" s="847"/>
      <c r="AV295" s="847"/>
      <c r="AW295" s="847"/>
      <c r="AX295" s="847"/>
      <c r="AY295" s="847"/>
      <c r="AZ295" s="847"/>
      <c r="BA295" s="847"/>
      <c r="BB295" s="847"/>
      <c r="BC295" s="847"/>
      <c r="BD295" s="847"/>
      <c r="BE295" s="847"/>
      <c r="BF295" s="847"/>
      <c r="BG295" s="847"/>
      <c r="BH295" s="847"/>
      <c r="BI295" s="847"/>
      <c r="BJ295" s="847"/>
      <c r="BK295" s="847"/>
      <c r="BL295" s="847"/>
      <c r="BM295" s="847"/>
      <c r="BN295" s="847"/>
      <c r="BO295" s="847"/>
      <c r="BP295" s="847"/>
      <c r="BQ295" s="847"/>
      <c r="BR295" s="847"/>
      <c r="BS295" s="847"/>
      <c r="BT295" s="847"/>
      <c r="BU295" s="847"/>
      <c r="BV295" s="847"/>
      <c r="BW295" s="847"/>
      <c r="BX295" s="847"/>
      <c r="BY295" s="847"/>
      <c r="BZ295" s="847"/>
      <c r="CA295" s="847"/>
      <c r="CB295" s="847"/>
      <c r="CC295" s="847"/>
      <c r="CD295" s="847"/>
      <c r="CE295" s="847"/>
      <c r="CF295" s="847"/>
      <c r="CG295" s="847"/>
      <c r="CH295" s="847"/>
      <c r="CI295" s="847"/>
      <c r="CJ295" s="847"/>
      <c r="CK295" s="847"/>
      <c r="CL295" s="847"/>
      <c r="CM295" s="847"/>
      <c r="CN295" s="847"/>
      <c r="CO295" s="847"/>
      <c r="CP295" s="847"/>
      <c r="CQ295" s="847"/>
      <c r="CR295" s="847"/>
      <c r="CS295" s="847"/>
      <c r="CT295" s="847"/>
      <c r="CU295" s="847"/>
      <c r="CV295" s="847"/>
      <c r="CW295" s="847"/>
      <c r="CX295" s="847"/>
      <c r="CY295" s="847"/>
      <c r="CZ295" s="847"/>
      <c r="DA295" s="847"/>
      <c r="DB295" s="847"/>
      <c r="DC295" s="847"/>
      <c r="DD295" s="847"/>
      <c r="DE295" s="847"/>
      <c r="DF295" s="847"/>
      <c r="DG295" s="847"/>
      <c r="DH295" s="847"/>
      <c r="DI295" s="847"/>
      <c r="DJ295" s="847"/>
      <c r="DK295" s="847"/>
      <c r="DL295" s="847"/>
      <c r="DM295" s="1212"/>
      <c r="DN295" s="1222"/>
      <c r="DO295" s="1013"/>
      <c r="DP295" s="847">
        <f>'Lead &amp; ANALYSIS'!G5000/2.16</f>
        <v>2.8796296296296293</v>
      </c>
      <c r="DQ295" s="1013">
        <f>ROUND(C295*DP295,2)</f>
        <v>0</v>
      </c>
      <c r="DR295" s="1225"/>
      <c r="DS295" s="1013"/>
      <c r="DT295" s="1225">
        <f>'Lead &amp; ANALYSIS'!G4999/2.16</f>
        <v>2.8796296296296293</v>
      </c>
      <c r="DU295" s="1214">
        <f t="shared" si="12"/>
        <v>0</v>
      </c>
      <c r="DV295" s="1242"/>
      <c r="DW295" s="1232"/>
      <c r="DX295" s="1222"/>
      <c r="DY295" s="847"/>
      <c r="DZ295" s="847"/>
      <c r="EA295" s="847"/>
      <c r="EB295" s="847"/>
      <c r="EC295" s="847"/>
      <c r="ED295" s="847"/>
      <c r="EE295" s="847"/>
      <c r="EF295" s="847"/>
      <c r="EG295" s="1212"/>
      <c r="EH295" s="847"/>
      <c r="EI295" s="1212"/>
    </row>
    <row r="296" spans="1:139" s="733" customFormat="1" ht="13.5">
      <c r="A296" s="1009">
        <v>87</v>
      </c>
      <c r="B296" s="1212" t="s">
        <v>3072</v>
      </c>
      <c r="C296" s="1213">
        <v>0</v>
      </c>
      <c r="D296" s="1013" t="s">
        <v>92</v>
      </c>
      <c r="E296" s="847"/>
      <c r="F296" s="1013"/>
      <c r="G296" s="847"/>
      <c r="H296" s="1013"/>
      <c r="I296" s="847"/>
      <c r="J296" s="1013"/>
      <c r="K296" s="847"/>
      <c r="L296" s="1013"/>
      <c r="M296" s="847"/>
      <c r="N296" s="1013"/>
      <c r="O296" s="847"/>
      <c r="P296" s="1013"/>
      <c r="Q296" s="847"/>
      <c r="R296" s="847"/>
      <c r="S296" s="847"/>
      <c r="T296" s="847"/>
      <c r="U296" s="847"/>
      <c r="V296" s="847"/>
      <c r="W296" s="847"/>
      <c r="X296" s="847"/>
      <c r="Y296" s="847"/>
      <c r="Z296" s="847"/>
      <c r="AA296" s="847"/>
      <c r="AB296" s="847"/>
      <c r="AC296" s="847"/>
      <c r="AD296" s="847"/>
      <c r="AE296" s="847"/>
      <c r="AF296" s="847"/>
      <c r="AG296" s="847"/>
      <c r="AH296" s="847"/>
      <c r="AI296" s="847"/>
      <c r="AJ296" s="847"/>
      <c r="AK296" s="847"/>
      <c r="AL296" s="847"/>
      <c r="AM296" s="847"/>
      <c r="AN296" s="847"/>
      <c r="AO296" s="847"/>
      <c r="AP296" s="847"/>
      <c r="AQ296" s="847"/>
      <c r="AR296" s="847"/>
      <c r="AS296" s="847"/>
      <c r="AT296" s="847"/>
      <c r="AU296" s="847"/>
      <c r="AV296" s="847"/>
      <c r="AW296" s="847"/>
      <c r="AX296" s="847"/>
      <c r="AY296" s="847"/>
      <c r="AZ296" s="847"/>
      <c r="BA296" s="847"/>
      <c r="BB296" s="847"/>
      <c r="BC296" s="847"/>
      <c r="BD296" s="847"/>
      <c r="BE296" s="847"/>
      <c r="BF296" s="847"/>
      <c r="BG296" s="847"/>
      <c r="BH296" s="847"/>
      <c r="BI296" s="847"/>
      <c r="BJ296" s="847"/>
      <c r="BK296" s="847"/>
      <c r="BL296" s="847"/>
      <c r="BM296" s="847"/>
      <c r="BN296" s="847"/>
      <c r="BO296" s="847"/>
      <c r="BP296" s="847"/>
      <c r="BQ296" s="847"/>
      <c r="BR296" s="847"/>
      <c r="BS296" s="847"/>
      <c r="BT296" s="847"/>
      <c r="BU296" s="847"/>
      <c r="BV296" s="847"/>
      <c r="BW296" s="847"/>
      <c r="BX296" s="847"/>
      <c r="BY296" s="847"/>
      <c r="BZ296" s="847"/>
      <c r="CA296" s="847"/>
      <c r="CB296" s="847"/>
      <c r="CC296" s="847"/>
      <c r="CD296" s="847"/>
      <c r="CE296" s="847"/>
      <c r="CF296" s="847"/>
      <c r="CG296" s="847"/>
      <c r="CH296" s="847"/>
      <c r="CI296" s="847"/>
      <c r="CJ296" s="847"/>
      <c r="CK296" s="847"/>
      <c r="CL296" s="847"/>
      <c r="CM296" s="847"/>
      <c r="CN296" s="847"/>
      <c r="CO296" s="847"/>
      <c r="CP296" s="847"/>
      <c r="CQ296" s="847"/>
      <c r="CR296" s="847"/>
      <c r="CS296" s="847"/>
      <c r="CT296" s="847"/>
      <c r="CU296" s="847"/>
      <c r="CV296" s="847"/>
      <c r="CW296" s="847"/>
      <c r="CX296" s="847"/>
      <c r="CY296" s="847"/>
      <c r="CZ296" s="847"/>
      <c r="DA296" s="847"/>
      <c r="DB296" s="847"/>
      <c r="DC296" s="847"/>
      <c r="DD296" s="847"/>
      <c r="DE296" s="847"/>
      <c r="DF296" s="847"/>
      <c r="DG296" s="847"/>
      <c r="DH296" s="847"/>
      <c r="DI296" s="847"/>
      <c r="DJ296" s="847"/>
      <c r="DK296" s="847"/>
      <c r="DL296" s="847"/>
      <c r="DM296" s="1212"/>
      <c r="DN296" s="1222"/>
      <c r="DO296" s="1013"/>
      <c r="DP296" s="847">
        <f>'Lead &amp; ANALYSIS'!G5030/1.81</f>
        <v>3.4364640883977899</v>
      </c>
      <c r="DQ296" s="1013">
        <f>ROUND(C296*DP296,2)</f>
        <v>0</v>
      </c>
      <c r="DR296" s="1225"/>
      <c r="DS296" s="1013"/>
      <c r="DT296" s="1225">
        <f>'Lead &amp; ANALYSIS'!G5029/1.81</f>
        <v>3.4364640883977899</v>
      </c>
      <c r="DU296" s="1214">
        <f t="shared" si="12"/>
        <v>0</v>
      </c>
      <c r="DV296" s="1242"/>
      <c r="DW296" s="1232"/>
      <c r="DX296" s="1222"/>
      <c r="DY296" s="847"/>
      <c r="DZ296" s="847"/>
      <c r="EA296" s="847"/>
      <c r="EB296" s="847"/>
      <c r="EC296" s="847"/>
      <c r="ED296" s="847"/>
      <c r="EE296" s="847"/>
      <c r="EF296" s="847"/>
      <c r="EG296" s="1212"/>
      <c r="EH296" s="847"/>
      <c r="EI296" s="1212"/>
    </row>
    <row r="297" spans="1:139" s="733" customFormat="1" ht="13.5">
      <c r="A297" s="1009">
        <v>88</v>
      </c>
      <c r="B297" s="1212" t="s">
        <v>3073</v>
      </c>
      <c r="C297" s="1213">
        <v>0</v>
      </c>
      <c r="D297" s="1013" t="s">
        <v>92</v>
      </c>
      <c r="E297" s="847"/>
      <c r="F297" s="1013"/>
      <c r="G297" s="847"/>
      <c r="H297" s="1013"/>
      <c r="I297" s="847"/>
      <c r="J297" s="1013"/>
      <c r="K297" s="847"/>
      <c r="L297" s="1013"/>
      <c r="M297" s="847"/>
      <c r="N297" s="1013"/>
      <c r="O297" s="847"/>
      <c r="P297" s="1013"/>
      <c r="Q297" s="847"/>
      <c r="R297" s="847"/>
      <c r="S297" s="847"/>
      <c r="T297" s="847"/>
      <c r="U297" s="847"/>
      <c r="V297" s="847"/>
      <c r="W297" s="847"/>
      <c r="X297" s="847"/>
      <c r="Y297" s="847"/>
      <c r="Z297" s="847"/>
      <c r="AA297" s="847"/>
      <c r="AB297" s="847"/>
      <c r="AC297" s="847"/>
      <c r="AD297" s="847"/>
      <c r="AE297" s="847"/>
      <c r="AF297" s="847"/>
      <c r="AG297" s="847"/>
      <c r="AH297" s="847"/>
      <c r="AI297" s="847"/>
      <c r="AJ297" s="847"/>
      <c r="AK297" s="847"/>
      <c r="AL297" s="847"/>
      <c r="AM297" s="847"/>
      <c r="AN297" s="847"/>
      <c r="AO297" s="847"/>
      <c r="AP297" s="847"/>
      <c r="AQ297" s="847"/>
      <c r="AR297" s="847"/>
      <c r="AS297" s="847"/>
      <c r="AT297" s="847"/>
      <c r="AU297" s="847"/>
      <c r="AV297" s="847"/>
      <c r="AW297" s="847"/>
      <c r="AX297" s="847"/>
      <c r="AY297" s="847"/>
      <c r="AZ297" s="847"/>
      <c r="BA297" s="847"/>
      <c r="BB297" s="847"/>
      <c r="BC297" s="847"/>
      <c r="BD297" s="847"/>
      <c r="BE297" s="847"/>
      <c r="BF297" s="847"/>
      <c r="BG297" s="847"/>
      <c r="BH297" s="847"/>
      <c r="BI297" s="847"/>
      <c r="BJ297" s="847"/>
      <c r="BK297" s="847"/>
      <c r="BL297" s="847"/>
      <c r="BM297" s="847"/>
      <c r="BN297" s="847"/>
      <c r="BO297" s="847"/>
      <c r="BP297" s="847"/>
      <c r="BQ297" s="847"/>
      <c r="BR297" s="847"/>
      <c r="BS297" s="847"/>
      <c r="BT297" s="847"/>
      <c r="BU297" s="847"/>
      <c r="BV297" s="847"/>
      <c r="BW297" s="847"/>
      <c r="BX297" s="847"/>
      <c r="BY297" s="847"/>
      <c r="BZ297" s="847"/>
      <c r="CA297" s="847"/>
      <c r="CB297" s="847"/>
      <c r="CC297" s="847"/>
      <c r="CD297" s="847"/>
      <c r="CE297" s="847"/>
      <c r="CF297" s="847"/>
      <c r="CG297" s="847"/>
      <c r="CH297" s="847"/>
      <c r="CI297" s="847"/>
      <c r="CJ297" s="847"/>
      <c r="CK297" s="847"/>
      <c r="CL297" s="847"/>
      <c r="CM297" s="847"/>
      <c r="CN297" s="847"/>
      <c r="CO297" s="847"/>
      <c r="CP297" s="847"/>
      <c r="CQ297" s="847"/>
      <c r="CR297" s="847"/>
      <c r="CS297" s="847"/>
      <c r="CT297" s="847"/>
      <c r="CU297" s="847"/>
      <c r="CV297" s="847"/>
      <c r="CW297" s="847"/>
      <c r="CX297" s="847"/>
      <c r="CY297" s="847"/>
      <c r="CZ297" s="847"/>
      <c r="DA297" s="847"/>
      <c r="DB297" s="847"/>
      <c r="DC297" s="847"/>
      <c r="DD297" s="847"/>
      <c r="DE297" s="847"/>
      <c r="DF297" s="847"/>
      <c r="DG297" s="847"/>
      <c r="DH297" s="847"/>
      <c r="DI297" s="847"/>
      <c r="DJ297" s="847"/>
      <c r="DK297" s="847"/>
      <c r="DL297" s="847"/>
      <c r="DM297" s="1212"/>
      <c r="DN297" s="1222"/>
      <c r="DO297" s="1013"/>
      <c r="DP297" s="847">
        <f>'Lead &amp; ANALYSIS'!G5050/1.49</f>
        <v>3.5771812080536916</v>
      </c>
      <c r="DQ297" s="1013">
        <f t="shared" ref="DQ297:DQ303" si="13">ROUND(C297*DP297,2)</f>
        <v>0</v>
      </c>
      <c r="DR297" s="1225"/>
      <c r="DS297" s="1013"/>
      <c r="DT297" s="1225">
        <f>'Lead &amp; ANALYSIS'!G5049/1.49</f>
        <v>3.5771812080536916</v>
      </c>
      <c r="DU297" s="1214">
        <f t="shared" si="12"/>
        <v>0</v>
      </c>
      <c r="DV297" s="1242"/>
      <c r="DW297" s="1232"/>
      <c r="DX297" s="1222"/>
      <c r="DY297" s="847"/>
      <c r="DZ297" s="847"/>
      <c r="EA297" s="847"/>
      <c r="EB297" s="847"/>
      <c r="EC297" s="847"/>
      <c r="ED297" s="847"/>
      <c r="EE297" s="847"/>
      <c r="EF297" s="847"/>
      <c r="EG297" s="1212"/>
      <c r="EH297" s="847"/>
      <c r="EI297" s="1212"/>
    </row>
    <row r="298" spans="1:139" s="733" customFormat="1" ht="13.5">
      <c r="A298" s="1009">
        <v>89</v>
      </c>
      <c r="B298" s="1212" t="s">
        <v>3074</v>
      </c>
      <c r="C298" s="1213">
        <v>0</v>
      </c>
      <c r="D298" s="1013" t="s">
        <v>92</v>
      </c>
      <c r="E298" s="847"/>
      <c r="F298" s="1013"/>
      <c r="G298" s="847"/>
      <c r="H298" s="1013"/>
      <c r="I298" s="847"/>
      <c r="J298" s="1013"/>
      <c r="K298" s="847"/>
      <c r="L298" s="1013"/>
      <c r="M298" s="847"/>
      <c r="N298" s="1013"/>
      <c r="O298" s="847"/>
      <c r="P298" s="1013"/>
      <c r="Q298" s="847"/>
      <c r="R298" s="847"/>
      <c r="S298" s="847"/>
      <c r="T298" s="847"/>
      <c r="U298" s="847"/>
      <c r="V298" s="847"/>
      <c r="W298" s="847"/>
      <c r="X298" s="847"/>
      <c r="Y298" s="847"/>
      <c r="Z298" s="847"/>
      <c r="AA298" s="847"/>
      <c r="AB298" s="847"/>
      <c r="AC298" s="847"/>
      <c r="AD298" s="847"/>
      <c r="AE298" s="847"/>
      <c r="AF298" s="847"/>
      <c r="AG298" s="847"/>
      <c r="AH298" s="847"/>
      <c r="AI298" s="847"/>
      <c r="AJ298" s="847"/>
      <c r="AK298" s="847"/>
      <c r="AL298" s="847"/>
      <c r="AM298" s="847"/>
      <c r="AN298" s="847"/>
      <c r="AO298" s="847"/>
      <c r="AP298" s="847"/>
      <c r="AQ298" s="847"/>
      <c r="AR298" s="847"/>
      <c r="AS298" s="847"/>
      <c r="AT298" s="847"/>
      <c r="AU298" s="847"/>
      <c r="AV298" s="847"/>
      <c r="AW298" s="847"/>
      <c r="AX298" s="847"/>
      <c r="AY298" s="847"/>
      <c r="AZ298" s="847"/>
      <c r="BA298" s="847"/>
      <c r="BB298" s="847"/>
      <c r="BC298" s="847"/>
      <c r="BD298" s="847"/>
      <c r="BE298" s="847"/>
      <c r="BF298" s="847"/>
      <c r="BG298" s="847"/>
      <c r="BH298" s="847"/>
      <c r="BI298" s="847"/>
      <c r="BJ298" s="847"/>
      <c r="BK298" s="847"/>
      <c r="BL298" s="847"/>
      <c r="BM298" s="847"/>
      <c r="BN298" s="847"/>
      <c r="BO298" s="847"/>
      <c r="BP298" s="847"/>
      <c r="BQ298" s="847"/>
      <c r="BR298" s="847"/>
      <c r="BS298" s="847"/>
      <c r="BT298" s="847"/>
      <c r="BU298" s="847"/>
      <c r="BV298" s="847"/>
      <c r="BW298" s="847"/>
      <c r="BX298" s="847"/>
      <c r="BY298" s="847"/>
      <c r="BZ298" s="847"/>
      <c r="CA298" s="847"/>
      <c r="CB298" s="847"/>
      <c r="CC298" s="847"/>
      <c r="CD298" s="847"/>
      <c r="CE298" s="847"/>
      <c r="CF298" s="847"/>
      <c r="CG298" s="847"/>
      <c r="CH298" s="847"/>
      <c r="CI298" s="847"/>
      <c r="CJ298" s="847"/>
      <c r="CK298" s="847"/>
      <c r="CL298" s="847"/>
      <c r="CM298" s="847"/>
      <c r="CN298" s="847"/>
      <c r="CO298" s="847"/>
      <c r="CP298" s="847"/>
      <c r="CQ298" s="847"/>
      <c r="CR298" s="847"/>
      <c r="CS298" s="847"/>
      <c r="CT298" s="847"/>
      <c r="CU298" s="847"/>
      <c r="CV298" s="847"/>
      <c r="CW298" s="847"/>
      <c r="CX298" s="847"/>
      <c r="CY298" s="847"/>
      <c r="CZ298" s="847"/>
      <c r="DA298" s="847"/>
      <c r="DB298" s="847"/>
      <c r="DC298" s="847"/>
      <c r="DD298" s="847"/>
      <c r="DE298" s="847"/>
      <c r="DF298" s="847"/>
      <c r="DG298" s="847"/>
      <c r="DH298" s="847"/>
      <c r="DI298" s="847"/>
      <c r="DJ298" s="847"/>
      <c r="DK298" s="847"/>
      <c r="DL298" s="847"/>
      <c r="DM298" s="1212"/>
      <c r="DN298" s="1222">
        <v>1.0067114093959733</v>
      </c>
      <c r="DO298" s="1013">
        <f>ROUND(C298*DN298,2)</f>
        <v>0</v>
      </c>
      <c r="DP298" s="847">
        <f>'Lead &amp; ANALYSIS'!G5079/1.49</f>
        <v>1.0067114093959733</v>
      </c>
      <c r="DQ298" s="1013">
        <f t="shared" si="13"/>
        <v>0</v>
      </c>
      <c r="DR298" s="1225">
        <f>'Lead &amp; ANALYSIS'!G5078/1.49</f>
        <v>0.33557046979865773</v>
      </c>
      <c r="DS298" s="1013">
        <f>ROUND(C298*DR298,2)</f>
        <v>0</v>
      </c>
      <c r="DT298" s="1225">
        <f>'Lead &amp; ANALYSIS'!G5077/1.49</f>
        <v>0.33557046979865773</v>
      </c>
      <c r="DU298" s="1214">
        <f t="shared" si="12"/>
        <v>0</v>
      </c>
      <c r="DV298" s="1242"/>
      <c r="DW298" s="1232"/>
      <c r="DX298" s="1222"/>
      <c r="DY298" s="847"/>
      <c r="DZ298" s="847"/>
      <c r="EA298" s="847"/>
      <c r="EB298" s="847"/>
      <c r="EC298" s="847"/>
      <c r="ED298" s="847"/>
      <c r="EE298" s="847"/>
      <c r="EF298" s="847"/>
      <c r="EG298" s="1212"/>
      <c r="EH298" s="847"/>
      <c r="EI298" s="1212"/>
    </row>
    <row r="299" spans="1:139" s="733" customFormat="1" ht="13.5">
      <c r="A299" s="1009">
        <v>90</v>
      </c>
      <c r="B299" s="1212" t="s">
        <v>3075</v>
      </c>
      <c r="C299" s="1213">
        <v>0</v>
      </c>
      <c r="D299" s="1013" t="s">
        <v>92</v>
      </c>
      <c r="E299" s="847"/>
      <c r="F299" s="1013"/>
      <c r="G299" s="847"/>
      <c r="H299" s="1013"/>
      <c r="I299" s="847"/>
      <c r="J299" s="1013"/>
      <c r="K299" s="847"/>
      <c r="L299" s="1013"/>
      <c r="M299" s="847"/>
      <c r="N299" s="1013"/>
      <c r="O299" s="847"/>
      <c r="P299" s="1013"/>
      <c r="Q299" s="847"/>
      <c r="R299" s="847"/>
      <c r="S299" s="847"/>
      <c r="T299" s="847"/>
      <c r="U299" s="847"/>
      <c r="V299" s="847"/>
      <c r="W299" s="847"/>
      <c r="X299" s="847"/>
      <c r="Y299" s="847"/>
      <c r="Z299" s="847"/>
      <c r="AA299" s="847"/>
      <c r="AB299" s="847"/>
      <c r="AC299" s="847"/>
      <c r="AD299" s="847"/>
      <c r="AE299" s="847"/>
      <c r="AF299" s="847"/>
      <c r="AG299" s="847"/>
      <c r="AH299" s="847"/>
      <c r="AI299" s="847"/>
      <c r="AJ299" s="847"/>
      <c r="AK299" s="847"/>
      <c r="AL299" s="847"/>
      <c r="AM299" s="847"/>
      <c r="AN299" s="847"/>
      <c r="AO299" s="847"/>
      <c r="AP299" s="847"/>
      <c r="AQ299" s="847"/>
      <c r="AR299" s="847"/>
      <c r="AS299" s="847"/>
      <c r="AT299" s="847"/>
      <c r="AU299" s="847"/>
      <c r="AV299" s="847"/>
      <c r="AW299" s="847"/>
      <c r="AX299" s="847"/>
      <c r="AY299" s="847"/>
      <c r="AZ299" s="847"/>
      <c r="BA299" s="847"/>
      <c r="BB299" s="847"/>
      <c r="BC299" s="847"/>
      <c r="BD299" s="847"/>
      <c r="BE299" s="847"/>
      <c r="BF299" s="847"/>
      <c r="BG299" s="847"/>
      <c r="BH299" s="847"/>
      <c r="BI299" s="847"/>
      <c r="BJ299" s="847"/>
      <c r="BK299" s="847"/>
      <c r="BL299" s="847"/>
      <c r="BM299" s="847"/>
      <c r="BN299" s="847"/>
      <c r="BO299" s="847"/>
      <c r="BP299" s="847"/>
      <c r="BQ299" s="847"/>
      <c r="BR299" s="847"/>
      <c r="BS299" s="847"/>
      <c r="BT299" s="847"/>
      <c r="BU299" s="847"/>
      <c r="BV299" s="847"/>
      <c r="BW299" s="847"/>
      <c r="BX299" s="847"/>
      <c r="BY299" s="847"/>
      <c r="BZ299" s="847"/>
      <c r="CA299" s="847"/>
      <c r="CB299" s="847"/>
      <c r="CC299" s="847"/>
      <c r="CD299" s="847"/>
      <c r="CE299" s="847"/>
      <c r="CF299" s="847"/>
      <c r="CG299" s="847"/>
      <c r="CH299" s="847"/>
      <c r="CI299" s="847"/>
      <c r="CJ299" s="847"/>
      <c r="CK299" s="847"/>
      <c r="CL299" s="847"/>
      <c r="CM299" s="847"/>
      <c r="CN299" s="847"/>
      <c r="CO299" s="847"/>
      <c r="CP299" s="847"/>
      <c r="CQ299" s="847"/>
      <c r="CR299" s="847"/>
      <c r="CS299" s="847"/>
      <c r="CT299" s="847"/>
      <c r="CU299" s="847"/>
      <c r="CV299" s="847"/>
      <c r="CW299" s="847"/>
      <c r="CX299" s="847"/>
      <c r="CY299" s="847"/>
      <c r="CZ299" s="847"/>
      <c r="DA299" s="847"/>
      <c r="DB299" s="847"/>
      <c r="DC299" s="847"/>
      <c r="DD299" s="847"/>
      <c r="DE299" s="847"/>
      <c r="DF299" s="847"/>
      <c r="DG299" s="847"/>
      <c r="DH299" s="847"/>
      <c r="DI299" s="847"/>
      <c r="DJ299" s="847"/>
      <c r="DK299" s="847"/>
      <c r="DL299" s="847"/>
      <c r="DM299" s="1212"/>
      <c r="DN299" s="1222">
        <v>1.3452914798206279</v>
      </c>
      <c r="DO299" s="1013">
        <f>ROUND(C299*DN299,2)</f>
        <v>0</v>
      </c>
      <c r="DP299" s="847">
        <f>'Lead &amp; ANALYSIS'!G5110/2.23</f>
        <v>1.0762331838565022</v>
      </c>
      <c r="DQ299" s="1013">
        <f t="shared" si="13"/>
        <v>0</v>
      </c>
      <c r="DR299" s="1225">
        <f>'Lead &amp; ANALYSIS'!G5109/2.23</f>
        <v>0.72645739910313911</v>
      </c>
      <c r="DS299" s="1013">
        <f>ROUND(C299*DR299,2)</f>
        <v>0</v>
      </c>
      <c r="DT299" s="1225">
        <f>'Lead &amp; ANALYSIS'!G5108/2.23</f>
        <v>0.26905829596412556</v>
      </c>
      <c r="DU299" s="1214">
        <f t="shared" si="12"/>
        <v>0</v>
      </c>
      <c r="DV299" s="1242"/>
      <c r="DW299" s="1232"/>
      <c r="DX299" s="1222"/>
      <c r="DY299" s="847"/>
      <c r="DZ299" s="847"/>
      <c r="EA299" s="847"/>
      <c r="EB299" s="847"/>
      <c r="EC299" s="847"/>
      <c r="ED299" s="847"/>
      <c r="EE299" s="847"/>
      <c r="EF299" s="847"/>
      <c r="EG299" s="1212"/>
      <c r="EH299" s="847"/>
      <c r="EI299" s="1212"/>
    </row>
    <row r="300" spans="1:139" s="733" customFormat="1" ht="13.5">
      <c r="A300" s="1009">
        <v>91</v>
      </c>
      <c r="B300" s="1212" t="s">
        <v>3076</v>
      </c>
      <c r="C300" s="1213">
        <v>0</v>
      </c>
      <c r="D300" s="1013" t="s">
        <v>92</v>
      </c>
      <c r="E300" s="847"/>
      <c r="F300" s="1013"/>
      <c r="G300" s="847"/>
      <c r="H300" s="1013"/>
      <c r="I300" s="847"/>
      <c r="J300" s="1013"/>
      <c r="K300" s="847"/>
      <c r="L300" s="1013"/>
      <c r="M300" s="847"/>
      <c r="N300" s="1013"/>
      <c r="O300" s="847"/>
      <c r="P300" s="1013"/>
      <c r="Q300" s="847"/>
      <c r="R300" s="847"/>
      <c r="S300" s="847"/>
      <c r="T300" s="847"/>
      <c r="U300" s="847"/>
      <c r="V300" s="847"/>
      <c r="W300" s="847"/>
      <c r="X300" s="847"/>
      <c r="Y300" s="847"/>
      <c r="Z300" s="847"/>
      <c r="AA300" s="847"/>
      <c r="AB300" s="847"/>
      <c r="AC300" s="847"/>
      <c r="AD300" s="847"/>
      <c r="AE300" s="847"/>
      <c r="AF300" s="847"/>
      <c r="AG300" s="847"/>
      <c r="AH300" s="847"/>
      <c r="AI300" s="847"/>
      <c r="AJ300" s="847"/>
      <c r="AK300" s="847"/>
      <c r="AL300" s="847"/>
      <c r="AM300" s="847"/>
      <c r="AN300" s="847"/>
      <c r="AO300" s="847"/>
      <c r="AP300" s="847"/>
      <c r="AQ300" s="847"/>
      <c r="AR300" s="847"/>
      <c r="AS300" s="847"/>
      <c r="AT300" s="847"/>
      <c r="AU300" s="847"/>
      <c r="AV300" s="847"/>
      <c r="AW300" s="847"/>
      <c r="AX300" s="847"/>
      <c r="AY300" s="847"/>
      <c r="AZ300" s="847"/>
      <c r="BA300" s="847"/>
      <c r="BB300" s="847"/>
      <c r="BC300" s="847"/>
      <c r="BD300" s="847"/>
      <c r="BE300" s="847"/>
      <c r="BF300" s="847"/>
      <c r="BG300" s="847"/>
      <c r="BH300" s="847"/>
      <c r="BI300" s="847"/>
      <c r="BJ300" s="847"/>
      <c r="BK300" s="847"/>
      <c r="BL300" s="847"/>
      <c r="BM300" s="847"/>
      <c r="BN300" s="847"/>
      <c r="BO300" s="847"/>
      <c r="BP300" s="847"/>
      <c r="BQ300" s="847"/>
      <c r="BR300" s="847"/>
      <c r="BS300" s="847"/>
      <c r="BT300" s="847"/>
      <c r="BU300" s="847"/>
      <c r="BV300" s="847"/>
      <c r="BW300" s="847"/>
      <c r="BX300" s="847"/>
      <c r="BY300" s="847"/>
      <c r="BZ300" s="847"/>
      <c r="CA300" s="847"/>
      <c r="CB300" s="847"/>
      <c r="CC300" s="847"/>
      <c r="CD300" s="847"/>
      <c r="CE300" s="847"/>
      <c r="CF300" s="847"/>
      <c r="CG300" s="847"/>
      <c r="CH300" s="847"/>
      <c r="CI300" s="847"/>
      <c r="CJ300" s="847"/>
      <c r="CK300" s="847"/>
      <c r="CL300" s="847"/>
      <c r="CM300" s="847"/>
      <c r="CN300" s="847"/>
      <c r="CO300" s="847"/>
      <c r="CP300" s="847"/>
      <c r="CQ300" s="847"/>
      <c r="CR300" s="847"/>
      <c r="CS300" s="847"/>
      <c r="CT300" s="847"/>
      <c r="CU300" s="847"/>
      <c r="CV300" s="847"/>
      <c r="CW300" s="847"/>
      <c r="CX300" s="847"/>
      <c r="CY300" s="847"/>
      <c r="CZ300" s="847"/>
      <c r="DA300" s="847"/>
      <c r="DB300" s="847"/>
      <c r="DC300" s="847"/>
      <c r="DD300" s="847"/>
      <c r="DE300" s="847"/>
      <c r="DF300" s="847"/>
      <c r="DG300" s="847"/>
      <c r="DH300" s="847"/>
      <c r="DI300" s="847"/>
      <c r="DJ300" s="847"/>
      <c r="DK300" s="847"/>
      <c r="DL300" s="847"/>
      <c r="DM300" s="1212"/>
      <c r="DN300" s="1242"/>
      <c r="DO300" s="1013"/>
      <c r="DP300" s="847">
        <f>'Lead &amp; ANALYSIS'!G5134/2.32</f>
        <v>1.0732758620689657</v>
      </c>
      <c r="DQ300" s="1013">
        <f t="shared" si="13"/>
        <v>0</v>
      </c>
      <c r="DR300" s="1225"/>
      <c r="DS300" s="1013"/>
      <c r="DT300" s="1225">
        <f>'Lead &amp; ANALYSIS'!G5133/2.32</f>
        <v>1.0732758620689657</v>
      </c>
      <c r="DU300" s="1214">
        <f t="shared" si="12"/>
        <v>0</v>
      </c>
      <c r="DV300" s="1242"/>
      <c r="DW300" s="1232"/>
      <c r="DX300" s="1222"/>
      <c r="DY300" s="847"/>
      <c r="DZ300" s="847"/>
      <c r="EA300" s="847"/>
      <c r="EB300" s="847"/>
      <c r="EC300" s="847"/>
      <c r="ED300" s="847"/>
      <c r="EE300" s="847"/>
      <c r="EF300" s="847"/>
      <c r="EG300" s="1212"/>
      <c r="EH300" s="847"/>
      <c r="EI300" s="1212"/>
    </row>
    <row r="301" spans="1:139" s="733" customFormat="1" ht="13.5">
      <c r="A301" s="1009">
        <v>92</v>
      </c>
      <c r="B301" s="1212" t="s">
        <v>3077</v>
      </c>
      <c r="C301" s="1213">
        <v>0</v>
      </c>
      <c r="D301" s="1013" t="s">
        <v>92</v>
      </c>
      <c r="E301" s="847"/>
      <c r="F301" s="1013"/>
      <c r="G301" s="847"/>
      <c r="H301" s="1013"/>
      <c r="I301" s="847"/>
      <c r="J301" s="1013"/>
      <c r="K301" s="847"/>
      <c r="L301" s="1013"/>
      <c r="M301" s="847"/>
      <c r="N301" s="1013"/>
      <c r="O301" s="847"/>
      <c r="P301" s="1013"/>
      <c r="Q301" s="847"/>
      <c r="R301" s="847"/>
      <c r="S301" s="847"/>
      <c r="T301" s="847"/>
      <c r="U301" s="847"/>
      <c r="V301" s="847"/>
      <c r="W301" s="847"/>
      <c r="X301" s="847"/>
      <c r="Y301" s="847"/>
      <c r="Z301" s="847"/>
      <c r="AA301" s="847"/>
      <c r="AB301" s="847"/>
      <c r="AC301" s="847"/>
      <c r="AD301" s="847"/>
      <c r="AE301" s="847"/>
      <c r="AF301" s="847"/>
      <c r="AG301" s="847"/>
      <c r="AH301" s="847"/>
      <c r="AI301" s="847"/>
      <c r="AJ301" s="847"/>
      <c r="AK301" s="847"/>
      <c r="AL301" s="847"/>
      <c r="AM301" s="847"/>
      <c r="AN301" s="847"/>
      <c r="AO301" s="847"/>
      <c r="AP301" s="847"/>
      <c r="AQ301" s="847"/>
      <c r="AR301" s="847"/>
      <c r="AS301" s="847"/>
      <c r="AT301" s="847"/>
      <c r="AU301" s="847"/>
      <c r="AV301" s="847"/>
      <c r="AW301" s="847"/>
      <c r="AX301" s="847"/>
      <c r="AY301" s="847"/>
      <c r="AZ301" s="847"/>
      <c r="BA301" s="847"/>
      <c r="BB301" s="847"/>
      <c r="BC301" s="847"/>
      <c r="BD301" s="847"/>
      <c r="BE301" s="847"/>
      <c r="BF301" s="847"/>
      <c r="BG301" s="847"/>
      <c r="BH301" s="847"/>
      <c r="BI301" s="847"/>
      <c r="BJ301" s="847"/>
      <c r="BK301" s="847"/>
      <c r="BL301" s="847"/>
      <c r="BM301" s="847"/>
      <c r="BN301" s="847"/>
      <c r="BO301" s="847"/>
      <c r="BP301" s="847"/>
      <c r="BQ301" s="847"/>
      <c r="BR301" s="847"/>
      <c r="BS301" s="847"/>
      <c r="BT301" s="847"/>
      <c r="BU301" s="847"/>
      <c r="BV301" s="847"/>
      <c r="BW301" s="847"/>
      <c r="BX301" s="847"/>
      <c r="BY301" s="847"/>
      <c r="BZ301" s="847"/>
      <c r="CA301" s="847"/>
      <c r="CB301" s="847"/>
      <c r="CC301" s="847"/>
      <c r="CD301" s="847"/>
      <c r="CE301" s="847"/>
      <c r="CF301" s="847"/>
      <c r="CG301" s="847"/>
      <c r="CH301" s="847"/>
      <c r="CI301" s="847"/>
      <c r="CJ301" s="847"/>
      <c r="CK301" s="847"/>
      <c r="CL301" s="847"/>
      <c r="CM301" s="847"/>
      <c r="CN301" s="847"/>
      <c r="CO301" s="847"/>
      <c r="CP301" s="847"/>
      <c r="CQ301" s="847"/>
      <c r="CR301" s="847"/>
      <c r="CS301" s="847"/>
      <c r="CT301" s="847"/>
      <c r="CU301" s="847"/>
      <c r="CV301" s="847"/>
      <c r="CW301" s="847"/>
      <c r="CX301" s="847"/>
      <c r="CY301" s="847"/>
      <c r="CZ301" s="847"/>
      <c r="DA301" s="847"/>
      <c r="DB301" s="847"/>
      <c r="DC301" s="847"/>
      <c r="DD301" s="847"/>
      <c r="DE301" s="847"/>
      <c r="DF301" s="847"/>
      <c r="DG301" s="847"/>
      <c r="DH301" s="847"/>
      <c r="DI301" s="847"/>
      <c r="DJ301" s="847"/>
      <c r="DK301" s="847"/>
      <c r="DL301" s="847"/>
      <c r="DM301" s="1212"/>
      <c r="DN301" s="1242"/>
      <c r="DO301" s="1013"/>
      <c r="DP301" s="847">
        <f>'Lead &amp; ANALYSIS'!G5154/1.4</f>
        <v>0.84285714285714286</v>
      </c>
      <c r="DQ301" s="1013">
        <f t="shared" si="13"/>
        <v>0</v>
      </c>
      <c r="DR301" s="1225"/>
      <c r="DS301" s="1013"/>
      <c r="DT301" s="1225">
        <f>'Lead &amp; ANALYSIS'!G5153/1.4</f>
        <v>0.84285714285714286</v>
      </c>
      <c r="DU301" s="1214">
        <f t="shared" si="12"/>
        <v>0</v>
      </c>
      <c r="DV301" s="1242"/>
      <c r="DW301" s="1232"/>
      <c r="DX301" s="1222"/>
      <c r="DY301" s="847"/>
      <c r="DZ301" s="847"/>
      <c r="EA301" s="847"/>
      <c r="EB301" s="847"/>
      <c r="EC301" s="847"/>
      <c r="ED301" s="847"/>
      <c r="EE301" s="847"/>
      <c r="EF301" s="847"/>
      <c r="EG301" s="1212"/>
      <c r="EH301" s="847"/>
      <c r="EI301" s="1212"/>
    </row>
    <row r="302" spans="1:139" s="733" customFormat="1" ht="13.5">
      <c r="A302" s="1009">
        <v>93</v>
      </c>
      <c r="B302" s="1212" t="s">
        <v>3078</v>
      </c>
      <c r="C302" s="1213">
        <v>0</v>
      </c>
      <c r="D302" s="1013" t="s">
        <v>92</v>
      </c>
      <c r="E302" s="847"/>
      <c r="F302" s="1013"/>
      <c r="G302" s="847"/>
      <c r="H302" s="1013"/>
      <c r="I302" s="847"/>
      <c r="J302" s="1013"/>
      <c r="K302" s="847"/>
      <c r="L302" s="1013"/>
      <c r="M302" s="847"/>
      <c r="N302" s="1013"/>
      <c r="O302" s="847"/>
      <c r="P302" s="1013"/>
      <c r="Q302" s="847"/>
      <c r="R302" s="847"/>
      <c r="S302" s="847"/>
      <c r="T302" s="847"/>
      <c r="U302" s="847"/>
      <c r="V302" s="847"/>
      <c r="W302" s="847"/>
      <c r="X302" s="847"/>
      <c r="Y302" s="847"/>
      <c r="Z302" s="847"/>
      <c r="AA302" s="847"/>
      <c r="AB302" s="847"/>
      <c r="AC302" s="847"/>
      <c r="AD302" s="847"/>
      <c r="AE302" s="847"/>
      <c r="AF302" s="847"/>
      <c r="AG302" s="847"/>
      <c r="AH302" s="847"/>
      <c r="AI302" s="847"/>
      <c r="AJ302" s="847"/>
      <c r="AK302" s="847"/>
      <c r="AL302" s="847"/>
      <c r="AM302" s="847"/>
      <c r="AN302" s="847"/>
      <c r="AO302" s="847"/>
      <c r="AP302" s="847"/>
      <c r="AQ302" s="847"/>
      <c r="AR302" s="847"/>
      <c r="AS302" s="847"/>
      <c r="AT302" s="847"/>
      <c r="AU302" s="847"/>
      <c r="AV302" s="847"/>
      <c r="AW302" s="847"/>
      <c r="AX302" s="847"/>
      <c r="AY302" s="847"/>
      <c r="AZ302" s="847"/>
      <c r="BA302" s="847"/>
      <c r="BB302" s="847"/>
      <c r="BC302" s="847"/>
      <c r="BD302" s="847"/>
      <c r="BE302" s="847"/>
      <c r="BF302" s="847"/>
      <c r="BG302" s="847"/>
      <c r="BH302" s="847"/>
      <c r="BI302" s="847"/>
      <c r="BJ302" s="847"/>
      <c r="BK302" s="847"/>
      <c r="BL302" s="847"/>
      <c r="BM302" s="847"/>
      <c r="BN302" s="847"/>
      <c r="BO302" s="847"/>
      <c r="BP302" s="847"/>
      <c r="BQ302" s="847"/>
      <c r="BR302" s="847"/>
      <c r="BS302" s="847"/>
      <c r="BT302" s="847"/>
      <c r="BU302" s="847"/>
      <c r="BV302" s="847"/>
      <c r="BW302" s="847"/>
      <c r="BX302" s="847"/>
      <c r="BY302" s="847"/>
      <c r="BZ302" s="847"/>
      <c r="CA302" s="847"/>
      <c r="CB302" s="847"/>
      <c r="CC302" s="847"/>
      <c r="CD302" s="847"/>
      <c r="CE302" s="847"/>
      <c r="CF302" s="847"/>
      <c r="CG302" s="847"/>
      <c r="CH302" s="847"/>
      <c r="CI302" s="847"/>
      <c r="CJ302" s="847"/>
      <c r="CK302" s="847"/>
      <c r="CL302" s="847"/>
      <c r="CM302" s="847"/>
      <c r="CN302" s="847"/>
      <c r="CO302" s="847"/>
      <c r="CP302" s="847"/>
      <c r="CQ302" s="847"/>
      <c r="CR302" s="847"/>
      <c r="CS302" s="847"/>
      <c r="CT302" s="847"/>
      <c r="CU302" s="847"/>
      <c r="CV302" s="847"/>
      <c r="CW302" s="847"/>
      <c r="CX302" s="847"/>
      <c r="CY302" s="847"/>
      <c r="CZ302" s="847"/>
      <c r="DA302" s="847"/>
      <c r="DB302" s="847"/>
      <c r="DC302" s="847"/>
      <c r="DD302" s="847"/>
      <c r="DE302" s="847"/>
      <c r="DF302" s="847"/>
      <c r="DG302" s="847"/>
      <c r="DH302" s="847"/>
      <c r="DI302" s="847"/>
      <c r="DJ302" s="847"/>
      <c r="DK302" s="847"/>
      <c r="DL302" s="847"/>
      <c r="DM302" s="1212"/>
      <c r="DN302" s="1222"/>
      <c r="DO302" s="1013"/>
      <c r="DP302" s="847">
        <f>'Lead &amp; ANALYSIS'!G5179/2.32</f>
        <v>1.0732758620689657</v>
      </c>
      <c r="DQ302" s="1013">
        <f t="shared" si="13"/>
        <v>0</v>
      </c>
      <c r="DR302" s="1225"/>
      <c r="DS302" s="1013"/>
      <c r="DT302" s="1225">
        <f>'Lead &amp; ANALYSIS'!G5179/2.32</f>
        <v>1.0732758620689657</v>
      </c>
      <c r="DU302" s="1214">
        <f t="shared" si="12"/>
        <v>0</v>
      </c>
      <c r="DV302" s="1242"/>
      <c r="DW302" s="1232"/>
      <c r="DX302" s="1222"/>
      <c r="DY302" s="847"/>
      <c r="DZ302" s="847"/>
      <c r="EA302" s="847"/>
      <c r="EB302" s="847"/>
      <c r="EC302" s="847"/>
      <c r="ED302" s="847"/>
      <c r="EE302" s="847"/>
      <c r="EF302" s="847"/>
      <c r="EG302" s="1212"/>
      <c r="EH302" s="847"/>
      <c r="EI302" s="1212"/>
    </row>
    <row r="303" spans="1:139" s="733" customFormat="1" ht="13.5">
      <c r="A303" s="1009">
        <v>94</v>
      </c>
      <c r="B303" s="1212" t="s">
        <v>3079</v>
      </c>
      <c r="C303" s="1213">
        <v>0</v>
      </c>
      <c r="D303" s="1013" t="s">
        <v>92</v>
      </c>
      <c r="E303" s="847"/>
      <c r="F303" s="1013"/>
      <c r="G303" s="847"/>
      <c r="H303" s="1013"/>
      <c r="I303" s="847"/>
      <c r="J303" s="1013"/>
      <c r="K303" s="847"/>
      <c r="L303" s="1013"/>
      <c r="M303" s="847"/>
      <c r="N303" s="1013"/>
      <c r="O303" s="847"/>
      <c r="P303" s="1013"/>
      <c r="Q303" s="847"/>
      <c r="R303" s="847"/>
      <c r="S303" s="847"/>
      <c r="T303" s="847"/>
      <c r="U303" s="847"/>
      <c r="V303" s="847"/>
      <c r="W303" s="847"/>
      <c r="X303" s="847"/>
      <c r="Y303" s="847"/>
      <c r="Z303" s="847"/>
      <c r="AA303" s="847"/>
      <c r="AB303" s="847"/>
      <c r="AC303" s="847"/>
      <c r="AD303" s="847"/>
      <c r="AE303" s="847"/>
      <c r="AF303" s="847"/>
      <c r="AG303" s="847"/>
      <c r="AH303" s="847"/>
      <c r="AI303" s="847"/>
      <c r="AJ303" s="847"/>
      <c r="AK303" s="847"/>
      <c r="AL303" s="847"/>
      <c r="AM303" s="847"/>
      <c r="AN303" s="847"/>
      <c r="AO303" s="847"/>
      <c r="AP303" s="847"/>
      <c r="AQ303" s="847"/>
      <c r="AR303" s="847"/>
      <c r="AS303" s="847"/>
      <c r="AT303" s="847"/>
      <c r="AU303" s="847"/>
      <c r="AV303" s="847"/>
      <c r="AW303" s="847"/>
      <c r="AX303" s="847"/>
      <c r="AY303" s="847"/>
      <c r="AZ303" s="847"/>
      <c r="BA303" s="847"/>
      <c r="BB303" s="847"/>
      <c r="BC303" s="847"/>
      <c r="BD303" s="847"/>
      <c r="BE303" s="847"/>
      <c r="BF303" s="847"/>
      <c r="BG303" s="847"/>
      <c r="BH303" s="847"/>
      <c r="BI303" s="847"/>
      <c r="BJ303" s="847"/>
      <c r="BK303" s="847"/>
      <c r="BL303" s="847"/>
      <c r="BM303" s="847"/>
      <c r="BN303" s="847"/>
      <c r="BO303" s="847"/>
      <c r="BP303" s="847"/>
      <c r="BQ303" s="847"/>
      <c r="BR303" s="847"/>
      <c r="BS303" s="847"/>
      <c r="BT303" s="847"/>
      <c r="BU303" s="847"/>
      <c r="BV303" s="847"/>
      <c r="BW303" s="847"/>
      <c r="BX303" s="847"/>
      <c r="BY303" s="847"/>
      <c r="BZ303" s="847"/>
      <c r="CA303" s="847"/>
      <c r="CB303" s="847"/>
      <c r="CC303" s="847"/>
      <c r="CD303" s="847"/>
      <c r="CE303" s="847"/>
      <c r="CF303" s="847"/>
      <c r="CG303" s="847"/>
      <c r="CH303" s="847"/>
      <c r="CI303" s="847"/>
      <c r="CJ303" s="847"/>
      <c r="CK303" s="847"/>
      <c r="CL303" s="847"/>
      <c r="CM303" s="847"/>
      <c r="CN303" s="847"/>
      <c r="CO303" s="847"/>
      <c r="CP303" s="847"/>
      <c r="CQ303" s="847"/>
      <c r="CR303" s="847"/>
      <c r="CS303" s="847"/>
      <c r="CT303" s="847"/>
      <c r="CU303" s="847"/>
      <c r="CV303" s="847"/>
      <c r="CW303" s="847"/>
      <c r="CX303" s="847"/>
      <c r="CY303" s="847"/>
      <c r="CZ303" s="847"/>
      <c r="DA303" s="847"/>
      <c r="DB303" s="847"/>
      <c r="DC303" s="847"/>
      <c r="DD303" s="847"/>
      <c r="DE303" s="847"/>
      <c r="DF303" s="847"/>
      <c r="DG303" s="847"/>
      <c r="DH303" s="847"/>
      <c r="DI303" s="847"/>
      <c r="DJ303" s="847"/>
      <c r="DK303" s="847"/>
      <c r="DL303" s="847"/>
      <c r="DM303" s="1212"/>
      <c r="DN303" s="1222"/>
      <c r="DO303" s="1013"/>
      <c r="DP303" s="847">
        <f>'Lead &amp; ANALYSIS'!G5207/4.18</f>
        <v>1.0717703349282299</v>
      </c>
      <c r="DQ303" s="1013">
        <f t="shared" si="13"/>
        <v>0</v>
      </c>
      <c r="DR303" s="1225"/>
      <c r="DS303" s="1013"/>
      <c r="DT303" s="1225">
        <f>'Lead &amp; ANALYSIS'!G5206/4.18</f>
        <v>1.0717703349282299</v>
      </c>
      <c r="DU303" s="1214">
        <f t="shared" si="12"/>
        <v>0</v>
      </c>
      <c r="DV303" s="1242"/>
      <c r="DW303" s="1232"/>
      <c r="DX303" s="1222"/>
      <c r="DY303" s="847"/>
      <c r="DZ303" s="847"/>
      <c r="EA303" s="847"/>
      <c r="EB303" s="847"/>
      <c r="EC303" s="847"/>
      <c r="ED303" s="847"/>
      <c r="EE303" s="847"/>
      <c r="EF303" s="847"/>
      <c r="EG303" s="1212"/>
      <c r="EH303" s="847"/>
      <c r="EI303" s="1212"/>
    </row>
    <row r="304" spans="1:139" s="733" customFormat="1" ht="13.5">
      <c r="A304" s="1009">
        <v>95</v>
      </c>
      <c r="B304" s="1212" t="s">
        <v>3080</v>
      </c>
      <c r="C304" s="1213">
        <v>0</v>
      </c>
      <c r="D304" s="1013" t="s">
        <v>92</v>
      </c>
      <c r="E304" s="847"/>
      <c r="F304" s="1013"/>
      <c r="G304" s="847"/>
      <c r="H304" s="1013"/>
      <c r="I304" s="847"/>
      <c r="J304" s="1013"/>
      <c r="K304" s="847"/>
      <c r="L304" s="1013"/>
      <c r="M304" s="847"/>
      <c r="N304" s="1013"/>
      <c r="O304" s="847"/>
      <c r="P304" s="1013"/>
      <c r="Q304" s="847"/>
      <c r="R304" s="847"/>
      <c r="S304" s="847"/>
      <c r="T304" s="847"/>
      <c r="U304" s="847"/>
      <c r="V304" s="847"/>
      <c r="W304" s="847"/>
      <c r="X304" s="847"/>
      <c r="Y304" s="847"/>
      <c r="Z304" s="847"/>
      <c r="AA304" s="847"/>
      <c r="AB304" s="847"/>
      <c r="AC304" s="847"/>
      <c r="AD304" s="847"/>
      <c r="AE304" s="847"/>
      <c r="AF304" s="847"/>
      <c r="AG304" s="847"/>
      <c r="AH304" s="847"/>
      <c r="AI304" s="847"/>
      <c r="AJ304" s="847"/>
      <c r="AK304" s="847"/>
      <c r="AL304" s="847"/>
      <c r="AM304" s="847"/>
      <c r="AN304" s="847"/>
      <c r="AO304" s="847"/>
      <c r="AP304" s="847"/>
      <c r="AQ304" s="847"/>
      <c r="AR304" s="847"/>
      <c r="AS304" s="847"/>
      <c r="AT304" s="847"/>
      <c r="AU304" s="847"/>
      <c r="AV304" s="847"/>
      <c r="AW304" s="847"/>
      <c r="AX304" s="847"/>
      <c r="AY304" s="847"/>
      <c r="AZ304" s="847"/>
      <c r="BA304" s="847"/>
      <c r="BB304" s="847"/>
      <c r="BC304" s="847"/>
      <c r="BD304" s="847"/>
      <c r="BE304" s="847"/>
      <c r="BF304" s="847"/>
      <c r="BG304" s="847"/>
      <c r="BH304" s="847"/>
      <c r="BI304" s="847"/>
      <c r="BJ304" s="847"/>
      <c r="BK304" s="847"/>
      <c r="BL304" s="847"/>
      <c r="BM304" s="847"/>
      <c r="BN304" s="847"/>
      <c r="BO304" s="847"/>
      <c r="BP304" s="847"/>
      <c r="BQ304" s="847"/>
      <c r="BR304" s="847"/>
      <c r="BS304" s="847"/>
      <c r="BT304" s="847"/>
      <c r="BU304" s="847"/>
      <c r="BV304" s="847"/>
      <c r="BW304" s="847"/>
      <c r="BX304" s="847"/>
      <c r="BY304" s="847"/>
      <c r="BZ304" s="847"/>
      <c r="CA304" s="847"/>
      <c r="CB304" s="847"/>
      <c r="CC304" s="847"/>
      <c r="CD304" s="847"/>
      <c r="CE304" s="847"/>
      <c r="CF304" s="847"/>
      <c r="CG304" s="847"/>
      <c r="CH304" s="847"/>
      <c r="CI304" s="847"/>
      <c r="CJ304" s="847"/>
      <c r="CK304" s="847"/>
      <c r="CL304" s="847"/>
      <c r="CM304" s="847"/>
      <c r="CN304" s="847"/>
      <c r="CO304" s="847"/>
      <c r="CP304" s="847"/>
      <c r="CQ304" s="847"/>
      <c r="CR304" s="847"/>
      <c r="CS304" s="847"/>
      <c r="CT304" s="847"/>
      <c r="CU304" s="847"/>
      <c r="CV304" s="847"/>
      <c r="CW304" s="847"/>
      <c r="CX304" s="847"/>
      <c r="CY304" s="847"/>
      <c r="CZ304" s="847"/>
      <c r="DA304" s="847"/>
      <c r="DB304" s="847"/>
      <c r="DC304" s="847"/>
      <c r="DD304" s="847"/>
      <c r="DE304" s="847"/>
      <c r="DF304" s="847"/>
      <c r="DG304" s="847"/>
      <c r="DH304" s="847"/>
      <c r="DI304" s="847"/>
      <c r="DJ304" s="847"/>
      <c r="DK304" s="847"/>
      <c r="DL304" s="847"/>
      <c r="DM304" s="1212"/>
      <c r="DN304" s="1222">
        <f>'Lead &amp; ANALYSIS'!G5222*30%/4.72</f>
        <v>3.1779661016949151E-2</v>
      </c>
      <c r="DO304" s="1013">
        <f>ROUND(C304*DN304,2)</f>
        <v>0</v>
      </c>
      <c r="DP304" s="847"/>
      <c r="DQ304" s="1013"/>
      <c r="DR304" s="1225"/>
      <c r="DS304" s="1013"/>
      <c r="DT304" s="1225">
        <f>'Lead &amp; ANALYSIS'!G5221*30%/4.72</f>
        <v>3.1779661016949151E-2</v>
      </c>
      <c r="DU304" s="1214">
        <f t="shared" si="12"/>
        <v>0</v>
      </c>
      <c r="DV304" s="1242"/>
      <c r="DW304" s="1232"/>
      <c r="DX304" s="1222"/>
      <c r="DY304" s="847"/>
      <c r="DZ304" s="847"/>
      <c r="EA304" s="847"/>
      <c r="EB304" s="847"/>
      <c r="EC304" s="847"/>
      <c r="ED304" s="847"/>
      <c r="EE304" s="847"/>
      <c r="EF304" s="847"/>
      <c r="EG304" s="1212"/>
      <c r="EH304" s="847"/>
      <c r="EI304" s="1212"/>
    </row>
    <row r="305" spans="1:139" s="733" customFormat="1" ht="13.5">
      <c r="A305" s="1009">
        <v>96</v>
      </c>
      <c r="B305" s="1212" t="s">
        <v>3081</v>
      </c>
      <c r="C305" s="1213">
        <v>0</v>
      </c>
      <c r="D305" s="1013" t="s">
        <v>92</v>
      </c>
      <c r="E305" s="847"/>
      <c r="F305" s="1013"/>
      <c r="G305" s="847"/>
      <c r="H305" s="1013"/>
      <c r="I305" s="847"/>
      <c r="J305" s="1013"/>
      <c r="K305" s="847"/>
      <c r="L305" s="1013"/>
      <c r="M305" s="847"/>
      <c r="N305" s="1013"/>
      <c r="O305" s="847"/>
      <c r="P305" s="1013"/>
      <c r="Q305" s="847"/>
      <c r="R305" s="847"/>
      <c r="S305" s="847"/>
      <c r="T305" s="847"/>
      <c r="U305" s="847"/>
      <c r="V305" s="847"/>
      <c r="W305" s="847"/>
      <c r="X305" s="847"/>
      <c r="Y305" s="847"/>
      <c r="Z305" s="847"/>
      <c r="AA305" s="847"/>
      <c r="AB305" s="847"/>
      <c r="AC305" s="847"/>
      <c r="AD305" s="847"/>
      <c r="AE305" s="847"/>
      <c r="AF305" s="847"/>
      <c r="AG305" s="847"/>
      <c r="AH305" s="847"/>
      <c r="AI305" s="847"/>
      <c r="AJ305" s="847"/>
      <c r="AK305" s="847"/>
      <c r="AL305" s="847"/>
      <c r="AM305" s="847"/>
      <c r="AN305" s="847"/>
      <c r="AO305" s="847"/>
      <c r="AP305" s="847"/>
      <c r="AQ305" s="847"/>
      <c r="AR305" s="847"/>
      <c r="AS305" s="847"/>
      <c r="AT305" s="847"/>
      <c r="AU305" s="847"/>
      <c r="AV305" s="847"/>
      <c r="AW305" s="847"/>
      <c r="AX305" s="847"/>
      <c r="AY305" s="847"/>
      <c r="AZ305" s="847"/>
      <c r="BA305" s="847"/>
      <c r="BB305" s="847"/>
      <c r="BC305" s="847"/>
      <c r="BD305" s="847"/>
      <c r="BE305" s="847"/>
      <c r="BF305" s="847"/>
      <c r="BG305" s="847"/>
      <c r="BH305" s="847"/>
      <c r="BI305" s="847"/>
      <c r="BJ305" s="847"/>
      <c r="BK305" s="847"/>
      <c r="BL305" s="847"/>
      <c r="BM305" s="847"/>
      <c r="BN305" s="847"/>
      <c r="BO305" s="847"/>
      <c r="BP305" s="847"/>
      <c r="BQ305" s="847"/>
      <c r="BR305" s="847"/>
      <c r="BS305" s="847"/>
      <c r="BT305" s="847"/>
      <c r="BU305" s="847"/>
      <c r="BV305" s="847"/>
      <c r="BW305" s="847"/>
      <c r="BX305" s="847"/>
      <c r="BY305" s="847"/>
      <c r="BZ305" s="847"/>
      <c r="CA305" s="847"/>
      <c r="CB305" s="847"/>
      <c r="CC305" s="847"/>
      <c r="CD305" s="847"/>
      <c r="CE305" s="847"/>
      <c r="CF305" s="847"/>
      <c r="CG305" s="847"/>
      <c r="CH305" s="847"/>
      <c r="CI305" s="847"/>
      <c r="CJ305" s="847"/>
      <c r="CK305" s="847"/>
      <c r="CL305" s="847"/>
      <c r="CM305" s="847"/>
      <c r="CN305" s="847"/>
      <c r="CO305" s="847"/>
      <c r="CP305" s="847"/>
      <c r="CQ305" s="847"/>
      <c r="CR305" s="847"/>
      <c r="CS305" s="847"/>
      <c r="CT305" s="847"/>
      <c r="CU305" s="847"/>
      <c r="CV305" s="847"/>
      <c r="CW305" s="847"/>
      <c r="CX305" s="847"/>
      <c r="CY305" s="847"/>
      <c r="CZ305" s="847"/>
      <c r="DA305" s="847"/>
      <c r="DB305" s="847"/>
      <c r="DC305" s="847"/>
      <c r="DD305" s="847"/>
      <c r="DE305" s="847"/>
      <c r="DF305" s="847"/>
      <c r="DG305" s="847"/>
      <c r="DH305" s="847"/>
      <c r="DI305" s="847"/>
      <c r="DJ305" s="847"/>
      <c r="DK305" s="847"/>
      <c r="DL305" s="847"/>
      <c r="DM305" s="1212"/>
      <c r="DN305" s="1222">
        <f>'Lead &amp; ANALYSIS'!G5232/1.88</f>
        <v>0.53191489361702127</v>
      </c>
      <c r="DO305" s="1013">
        <f>ROUND(C305*DN305,2)</f>
        <v>0</v>
      </c>
      <c r="DP305" s="847"/>
      <c r="DQ305" s="1013"/>
      <c r="DR305" s="1225">
        <f>'Lead &amp; ANALYSIS'!G5231/1.88</f>
        <v>0.53191489361702127</v>
      </c>
      <c r="DS305" s="1013">
        <f>ROUND(C305*DR305,2)</f>
        <v>0</v>
      </c>
      <c r="DT305" s="1225"/>
      <c r="DU305" s="1214"/>
      <c r="DV305" s="1242"/>
      <c r="DW305" s="1232"/>
      <c r="DX305" s="1222"/>
      <c r="DY305" s="847"/>
      <c r="DZ305" s="847"/>
      <c r="EA305" s="847"/>
      <c r="EB305" s="847"/>
      <c r="EC305" s="847"/>
      <c r="ED305" s="847"/>
      <c r="EE305" s="847"/>
      <c r="EF305" s="847"/>
      <c r="EG305" s="1212"/>
      <c r="EH305" s="847"/>
      <c r="EI305" s="1212"/>
    </row>
    <row r="306" spans="1:139" s="733" customFormat="1" ht="13.5">
      <c r="A306" s="1009">
        <v>97</v>
      </c>
      <c r="B306" s="1212" t="s">
        <v>3082</v>
      </c>
      <c r="C306" s="1213">
        <v>0</v>
      </c>
      <c r="D306" s="1013" t="s">
        <v>92</v>
      </c>
      <c r="E306" s="847"/>
      <c r="F306" s="1013"/>
      <c r="G306" s="847"/>
      <c r="H306" s="1013"/>
      <c r="I306" s="847"/>
      <c r="J306" s="1013"/>
      <c r="K306" s="847"/>
      <c r="L306" s="1013"/>
      <c r="M306" s="847"/>
      <c r="N306" s="1013"/>
      <c r="O306" s="847"/>
      <c r="P306" s="1013"/>
      <c r="Q306" s="847"/>
      <c r="R306" s="847"/>
      <c r="S306" s="847"/>
      <c r="T306" s="847"/>
      <c r="U306" s="847"/>
      <c r="V306" s="847"/>
      <c r="W306" s="847"/>
      <c r="X306" s="847"/>
      <c r="Y306" s="847"/>
      <c r="Z306" s="847"/>
      <c r="AA306" s="847"/>
      <c r="AB306" s="847"/>
      <c r="AC306" s="847"/>
      <c r="AD306" s="847"/>
      <c r="AE306" s="847"/>
      <c r="AF306" s="847"/>
      <c r="AG306" s="847"/>
      <c r="AH306" s="847"/>
      <c r="AI306" s="847"/>
      <c r="AJ306" s="847"/>
      <c r="AK306" s="847"/>
      <c r="AL306" s="847"/>
      <c r="AM306" s="847"/>
      <c r="AN306" s="847"/>
      <c r="AO306" s="847"/>
      <c r="AP306" s="847"/>
      <c r="AQ306" s="847"/>
      <c r="AR306" s="847"/>
      <c r="AS306" s="847"/>
      <c r="AT306" s="847"/>
      <c r="AU306" s="847"/>
      <c r="AV306" s="847"/>
      <c r="AW306" s="847"/>
      <c r="AX306" s="847"/>
      <c r="AY306" s="847"/>
      <c r="AZ306" s="847"/>
      <c r="BA306" s="847"/>
      <c r="BB306" s="847"/>
      <c r="BC306" s="847"/>
      <c r="BD306" s="847"/>
      <c r="BE306" s="847"/>
      <c r="BF306" s="847"/>
      <c r="BG306" s="847"/>
      <c r="BH306" s="847"/>
      <c r="BI306" s="847"/>
      <c r="BJ306" s="847"/>
      <c r="BK306" s="847"/>
      <c r="BL306" s="847"/>
      <c r="BM306" s="847"/>
      <c r="BN306" s="847"/>
      <c r="BO306" s="847"/>
      <c r="BP306" s="847"/>
      <c r="BQ306" s="847"/>
      <c r="BR306" s="847"/>
      <c r="BS306" s="847"/>
      <c r="BT306" s="847"/>
      <c r="BU306" s="847"/>
      <c r="BV306" s="847"/>
      <c r="BW306" s="847"/>
      <c r="BX306" s="847"/>
      <c r="BY306" s="847"/>
      <c r="BZ306" s="847"/>
      <c r="CA306" s="847"/>
      <c r="CB306" s="847"/>
      <c r="CC306" s="847"/>
      <c r="CD306" s="847"/>
      <c r="CE306" s="847"/>
      <c r="CF306" s="847"/>
      <c r="CG306" s="847"/>
      <c r="CH306" s="847"/>
      <c r="CI306" s="847"/>
      <c r="CJ306" s="847"/>
      <c r="CK306" s="847"/>
      <c r="CL306" s="847"/>
      <c r="CM306" s="847"/>
      <c r="CN306" s="847"/>
      <c r="CO306" s="847"/>
      <c r="CP306" s="847"/>
      <c r="CQ306" s="847"/>
      <c r="CR306" s="847"/>
      <c r="CS306" s="847"/>
      <c r="CT306" s="847"/>
      <c r="CU306" s="847"/>
      <c r="CV306" s="847"/>
      <c r="CW306" s="847"/>
      <c r="CX306" s="847"/>
      <c r="CY306" s="847"/>
      <c r="CZ306" s="847"/>
      <c r="DA306" s="847"/>
      <c r="DB306" s="847"/>
      <c r="DC306" s="847"/>
      <c r="DD306" s="847"/>
      <c r="DE306" s="847"/>
      <c r="DF306" s="847"/>
      <c r="DG306" s="847"/>
      <c r="DH306" s="847"/>
      <c r="DI306" s="847"/>
      <c r="DJ306" s="847"/>
      <c r="DK306" s="847"/>
      <c r="DL306" s="847"/>
      <c r="DM306" s="1212"/>
      <c r="DN306" s="1222"/>
      <c r="DO306" s="1013"/>
      <c r="DP306" s="847">
        <f>'Lead &amp; ANALYSIS'!G5264/3.26</f>
        <v>0.27300613496932519</v>
      </c>
      <c r="DQ306" s="1013">
        <f>ROUND(C306*DP306,2)</f>
        <v>0</v>
      </c>
      <c r="DR306" s="1225"/>
      <c r="DS306" s="1013"/>
      <c r="DT306" s="1225">
        <f>'Lead &amp; ANALYSIS'!G5263/3.26</f>
        <v>0.27300613496932519</v>
      </c>
      <c r="DU306" s="1214">
        <f t="shared" ref="DU306:DU313" si="14">ROUND(C306*DT306,2)</f>
        <v>0</v>
      </c>
      <c r="DV306" s="1242"/>
      <c r="DW306" s="1232"/>
      <c r="DX306" s="1222"/>
      <c r="DY306" s="847"/>
      <c r="DZ306" s="847"/>
      <c r="EA306" s="847"/>
      <c r="EB306" s="847"/>
      <c r="EC306" s="847"/>
      <c r="ED306" s="847"/>
      <c r="EE306" s="847"/>
      <c r="EF306" s="847"/>
      <c r="EG306" s="1212"/>
      <c r="EH306" s="847"/>
      <c r="EI306" s="1212"/>
    </row>
    <row r="307" spans="1:139" s="733" customFormat="1" ht="13.5">
      <c r="A307" s="1009">
        <v>98</v>
      </c>
      <c r="B307" s="1212" t="s">
        <v>3083</v>
      </c>
      <c r="C307" s="1213">
        <v>0</v>
      </c>
      <c r="D307" s="1013" t="s">
        <v>92</v>
      </c>
      <c r="E307" s="847"/>
      <c r="F307" s="1013"/>
      <c r="G307" s="847"/>
      <c r="H307" s="1013"/>
      <c r="I307" s="847"/>
      <c r="J307" s="1013"/>
      <c r="K307" s="847"/>
      <c r="L307" s="1013"/>
      <c r="M307" s="847"/>
      <c r="N307" s="1013"/>
      <c r="O307" s="847"/>
      <c r="P307" s="1013"/>
      <c r="Q307" s="847"/>
      <c r="R307" s="847"/>
      <c r="S307" s="847"/>
      <c r="T307" s="847"/>
      <c r="U307" s="847"/>
      <c r="V307" s="847"/>
      <c r="W307" s="847"/>
      <c r="X307" s="847"/>
      <c r="Y307" s="847"/>
      <c r="Z307" s="847"/>
      <c r="AA307" s="847"/>
      <c r="AB307" s="847"/>
      <c r="AC307" s="847"/>
      <c r="AD307" s="847"/>
      <c r="AE307" s="847"/>
      <c r="AF307" s="847"/>
      <c r="AG307" s="847"/>
      <c r="AH307" s="847"/>
      <c r="AI307" s="847"/>
      <c r="AJ307" s="847"/>
      <c r="AK307" s="847"/>
      <c r="AL307" s="847"/>
      <c r="AM307" s="847"/>
      <c r="AN307" s="847"/>
      <c r="AO307" s="847"/>
      <c r="AP307" s="847"/>
      <c r="AQ307" s="847"/>
      <c r="AR307" s="847"/>
      <c r="AS307" s="847"/>
      <c r="AT307" s="847"/>
      <c r="AU307" s="847"/>
      <c r="AV307" s="847"/>
      <c r="AW307" s="847"/>
      <c r="AX307" s="847"/>
      <c r="AY307" s="847"/>
      <c r="AZ307" s="847"/>
      <c r="BA307" s="847"/>
      <c r="BB307" s="847"/>
      <c r="BC307" s="847"/>
      <c r="BD307" s="847"/>
      <c r="BE307" s="847"/>
      <c r="BF307" s="847"/>
      <c r="BG307" s="847"/>
      <c r="BH307" s="847"/>
      <c r="BI307" s="847"/>
      <c r="BJ307" s="847"/>
      <c r="BK307" s="847"/>
      <c r="BL307" s="847"/>
      <c r="BM307" s="847"/>
      <c r="BN307" s="847"/>
      <c r="BO307" s="847"/>
      <c r="BP307" s="847"/>
      <c r="BQ307" s="847"/>
      <c r="BR307" s="847"/>
      <c r="BS307" s="847"/>
      <c r="BT307" s="847"/>
      <c r="BU307" s="847"/>
      <c r="BV307" s="847"/>
      <c r="BW307" s="847"/>
      <c r="BX307" s="847"/>
      <c r="BY307" s="847"/>
      <c r="BZ307" s="847"/>
      <c r="CA307" s="847"/>
      <c r="CB307" s="847"/>
      <c r="CC307" s="847"/>
      <c r="CD307" s="847"/>
      <c r="CE307" s="847"/>
      <c r="CF307" s="847"/>
      <c r="CG307" s="847"/>
      <c r="CH307" s="847"/>
      <c r="CI307" s="847"/>
      <c r="CJ307" s="847"/>
      <c r="CK307" s="847"/>
      <c r="CL307" s="847"/>
      <c r="CM307" s="847"/>
      <c r="CN307" s="847"/>
      <c r="CO307" s="847"/>
      <c r="CP307" s="847"/>
      <c r="CQ307" s="847"/>
      <c r="CR307" s="847"/>
      <c r="CS307" s="847"/>
      <c r="CT307" s="847"/>
      <c r="CU307" s="847"/>
      <c r="CV307" s="847"/>
      <c r="CW307" s="847"/>
      <c r="CX307" s="847"/>
      <c r="CY307" s="847"/>
      <c r="CZ307" s="847"/>
      <c r="DA307" s="847"/>
      <c r="DB307" s="847"/>
      <c r="DC307" s="847"/>
      <c r="DD307" s="847"/>
      <c r="DE307" s="847"/>
      <c r="DF307" s="847"/>
      <c r="DG307" s="847"/>
      <c r="DH307" s="847">
        <f>'Lead &amp; ANALYSIS'!G5282</f>
        <v>1.1000000000000001</v>
      </c>
      <c r="DI307" s="847">
        <f>ROUND(C307*DH307,2)</f>
        <v>0</v>
      </c>
      <c r="DJ307" s="847"/>
      <c r="DK307" s="847"/>
      <c r="DL307" s="847"/>
      <c r="DM307" s="1212"/>
      <c r="DN307" s="1222">
        <f>'Lead &amp; ANALYSIS'!G5276/9.3</f>
        <v>0.21505376344086019</v>
      </c>
      <c r="DO307" s="1013">
        <f t="shared" ref="DO307:DO313" si="15">ROUND(C307*DN307,2)</f>
        <v>0</v>
      </c>
      <c r="DP307" s="847"/>
      <c r="DQ307" s="1013"/>
      <c r="DR307" s="1225"/>
      <c r="DS307" s="1013"/>
      <c r="DT307" s="1225">
        <f>('Lead &amp; ANALYSIS'!G5275+'Lead &amp; ANALYSIS'!G5274)/9.3</f>
        <v>0.16129032258064516</v>
      </c>
      <c r="DU307" s="1214">
        <f t="shared" si="14"/>
        <v>0</v>
      </c>
      <c r="DV307" s="1242"/>
      <c r="DW307" s="1232"/>
      <c r="DX307" s="1222"/>
      <c r="DY307" s="847"/>
      <c r="DZ307" s="847"/>
      <c r="EA307" s="847"/>
      <c r="EB307" s="847"/>
      <c r="EC307" s="847"/>
      <c r="ED307" s="847"/>
      <c r="EE307" s="847"/>
      <c r="EF307" s="847"/>
      <c r="EG307" s="1212"/>
      <c r="EH307" s="847"/>
      <c r="EI307" s="1212"/>
    </row>
    <row r="308" spans="1:139" s="733" customFormat="1" ht="13.5">
      <c r="A308" s="1009">
        <v>99</v>
      </c>
      <c r="B308" s="1212" t="s">
        <v>3084</v>
      </c>
      <c r="C308" s="1213">
        <v>0</v>
      </c>
      <c r="D308" s="1013" t="s">
        <v>92</v>
      </c>
      <c r="E308" s="847"/>
      <c r="F308" s="1013"/>
      <c r="G308" s="847"/>
      <c r="H308" s="1013"/>
      <c r="I308" s="847"/>
      <c r="J308" s="1013"/>
      <c r="K308" s="847"/>
      <c r="L308" s="1013"/>
      <c r="M308" s="847"/>
      <c r="N308" s="1013"/>
      <c r="O308" s="847"/>
      <c r="P308" s="1013"/>
      <c r="Q308" s="847"/>
      <c r="R308" s="847"/>
      <c r="S308" s="847"/>
      <c r="T308" s="847"/>
      <c r="U308" s="847"/>
      <c r="V308" s="847"/>
      <c r="W308" s="847"/>
      <c r="X308" s="847"/>
      <c r="Y308" s="847"/>
      <c r="Z308" s="847"/>
      <c r="AA308" s="847"/>
      <c r="AB308" s="847"/>
      <c r="AC308" s="847"/>
      <c r="AD308" s="847"/>
      <c r="AE308" s="847"/>
      <c r="AF308" s="847"/>
      <c r="AG308" s="847"/>
      <c r="AH308" s="847"/>
      <c r="AI308" s="847"/>
      <c r="AJ308" s="847"/>
      <c r="AK308" s="847"/>
      <c r="AL308" s="847"/>
      <c r="AM308" s="847"/>
      <c r="AN308" s="847"/>
      <c r="AO308" s="847"/>
      <c r="AP308" s="847"/>
      <c r="AQ308" s="847"/>
      <c r="AR308" s="847"/>
      <c r="AS308" s="847"/>
      <c r="AT308" s="847"/>
      <c r="AU308" s="847"/>
      <c r="AV308" s="847"/>
      <c r="AW308" s="847"/>
      <c r="AX308" s="847"/>
      <c r="AY308" s="847"/>
      <c r="AZ308" s="847"/>
      <c r="BA308" s="847"/>
      <c r="BB308" s="847"/>
      <c r="BC308" s="847"/>
      <c r="BD308" s="847"/>
      <c r="BE308" s="847"/>
      <c r="BF308" s="847"/>
      <c r="BG308" s="847"/>
      <c r="BH308" s="847"/>
      <c r="BI308" s="847"/>
      <c r="BJ308" s="847"/>
      <c r="BK308" s="847"/>
      <c r="BL308" s="847"/>
      <c r="BM308" s="847"/>
      <c r="BN308" s="847"/>
      <c r="BO308" s="847"/>
      <c r="BP308" s="847"/>
      <c r="BQ308" s="847"/>
      <c r="BR308" s="847"/>
      <c r="BS308" s="847"/>
      <c r="BT308" s="847"/>
      <c r="BU308" s="847"/>
      <c r="BV308" s="847"/>
      <c r="BW308" s="847"/>
      <c r="BX308" s="847"/>
      <c r="BY308" s="847"/>
      <c r="BZ308" s="847"/>
      <c r="CA308" s="847"/>
      <c r="CB308" s="847"/>
      <c r="CC308" s="847"/>
      <c r="CD308" s="847"/>
      <c r="CE308" s="847"/>
      <c r="CF308" s="847"/>
      <c r="CG308" s="847"/>
      <c r="CH308" s="847"/>
      <c r="CI308" s="847"/>
      <c r="CJ308" s="847"/>
      <c r="CK308" s="847"/>
      <c r="CL308" s="847"/>
      <c r="CM308" s="847"/>
      <c r="CN308" s="847"/>
      <c r="CO308" s="847"/>
      <c r="CP308" s="847"/>
      <c r="CQ308" s="847"/>
      <c r="CR308" s="847"/>
      <c r="CS308" s="847"/>
      <c r="CT308" s="847"/>
      <c r="CU308" s="847"/>
      <c r="CV308" s="847"/>
      <c r="CW308" s="847"/>
      <c r="CX308" s="847"/>
      <c r="CY308" s="847"/>
      <c r="CZ308" s="847"/>
      <c r="DA308" s="847"/>
      <c r="DB308" s="847"/>
      <c r="DC308" s="847"/>
      <c r="DD308" s="847"/>
      <c r="DE308" s="847"/>
      <c r="DF308" s="847"/>
      <c r="DG308" s="847"/>
      <c r="DH308" s="847"/>
      <c r="DI308" s="847"/>
      <c r="DJ308" s="847">
        <f>'Lead &amp; ANALYSIS'!G5294</f>
        <v>1.1000000000000001</v>
      </c>
      <c r="DK308" s="847">
        <f>ROUND(C308*DJ308,2)</f>
        <v>0</v>
      </c>
      <c r="DL308" s="847"/>
      <c r="DM308" s="1212"/>
      <c r="DN308" s="1222">
        <f>'Lead &amp; ANALYSIS'!G5288/9.3</f>
        <v>0.32258064516129031</v>
      </c>
      <c r="DO308" s="1013">
        <f t="shared" si="15"/>
        <v>0</v>
      </c>
      <c r="DP308" s="847"/>
      <c r="DQ308" s="1013"/>
      <c r="DR308" s="1225"/>
      <c r="DS308" s="1013"/>
      <c r="DT308" s="1225">
        <f>'Lead &amp; ANALYSIS'!G5287/9.3</f>
        <v>0.1075268817204301</v>
      </c>
      <c r="DU308" s="1214">
        <f t="shared" si="14"/>
        <v>0</v>
      </c>
      <c r="DV308" s="1242"/>
      <c r="DW308" s="1232"/>
      <c r="DX308" s="1222"/>
      <c r="DY308" s="847"/>
      <c r="DZ308" s="847"/>
      <c r="EA308" s="847"/>
      <c r="EB308" s="847"/>
      <c r="EC308" s="847"/>
      <c r="ED308" s="847"/>
      <c r="EE308" s="847"/>
      <c r="EF308" s="847"/>
      <c r="EG308" s="1212"/>
      <c r="EH308" s="847"/>
      <c r="EI308" s="1212"/>
    </row>
    <row r="309" spans="1:139" s="733" customFormat="1" ht="13.5">
      <c r="A309" s="1009">
        <v>100</v>
      </c>
      <c r="B309" s="1212" t="s">
        <v>3085</v>
      </c>
      <c r="C309" s="1213">
        <v>0</v>
      </c>
      <c r="D309" s="1013" t="s">
        <v>92</v>
      </c>
      <c r="E309" s="847"/>
      <c r="F309" s="1013"/>
      <c r="G309" s="847"/>
      <c r="H309" s="1013"/>
      <c r="I309" s="847"/>
      <c r="J309" s="1013"/>
      <c r="K309" s="847"/>
      <c r="L309" s="1013"/>
      <c r="M309" s="847"/>
      <c r="N309" s="1013"/>
      <c r="O309" s="847"/>
      <c r="P309" s="1013"/>
      <c r="Q309" s="847"/>
      <c r="R309" s="847"/>
      <c r="S309" s="847"/>
      <c r="T309" s="847"/>
      <c r="U309" s="847"/>
      <c r="V309" s="847"/>
      <c r="W309" s="847"/>
      <c r="X309" s="847"/>
      <c r="Y309" s="847"/>
      <c r="Z309" s="847"/>
      <c r="AA309" s="847"/>
      <c r="AB309" s="847"/>
      <c r="AC309" s="847"/>
      <c r="AD309" s="847"/>
      <c r="AE309" s="847"/>
      <c r="AF309" s="847"/>
      <c r="AG309" s="847"/>
      <c r="AH309" s="847"/>
      <c r="AI309" s="847"/>
      <c r="AJ309" s="847"/>
      <c r="AK309" s="847"/>
      <c r="AL309" s="847"/>
      <c r="AM309" s="847"/>
      <c r="AN309" s="847"/>
      <c r="AO309" s="847"/>
      <c r="AP309" s="847"/>
      <c r="AQ309" s="847"/>
      <c r="AR309" s="847"/>
      <c r="AS309" s="847"/>
      <c r="AT309" s="847"/>
      <c r="AU309" s="847"/>
      <c r="AV309" s="847"/>
      <c r="AW309" s="847"/>
      <c r="AX309" s="847"/>
      <c r="AY309" s="847"/>
      <c r="AZ309" s="847"/>
      <c r="BA309" s="847"/>
      <c r="BB309" s="847"/>
      <c r="BC309" s="847"/>
      <c r="BD309" s="847"/>
      <c r="BE309" s="847"/>
      <c r="BF309" s="847"/>
      <c r="BG309" s="847"/>
      <c r="BH309" s="847"/>
      <c r="BI309" s="847"/>
      <c r="BJ309" s="847"/>
      <c r="BK309" s="847"/>
      <c r="BL309" s="847"/>
      <c r="BM309" s="847"/>
      <c r="BN309" s="847"/>
      <c r="BO309" s="847"/>
      <c r="BP309" s="847"/>
      <c r="BQ309" s="847"/>
      <c r="BR309" s="847"/>
      <c r="BS309" s="847"/>
      <c r="BT309" s="847"/>
      <c r="BU309" s="847"/>
      <c r="BV309" s="847"/>
      <c r="BW309" s="847"/>
      <c r="BX309" s="847"/>
      <c r="BY309" s="847"/>
      <c r="BZ309" s="847"/>
      <c r="CA309" s="847"/>
      <c r="CB309" s="847"/>
      <c r="CC309" s="847"/>
      <c r="CD309" s="847"/>
      <c r="CE309" s="847"/>
      <c r="CF309" s="847"/>
      <c r="CG309" s="847"/>
      <c r="CH309" s="847"/>
      <c r="CI309" s="847"/>
      <c r="CJ309" s="847"/>
      <c r="CK309" s="847"/>
      <c r="CL309" s="847"/>
      <c r="CM309" s="847"/>
      <c r="CN309" s="847"/>
      <c r="CO309" s="847"/>
      <c r="CP309" s="847"/>
      <c r="CQ309" s="847"/>
      <c r="CR309" s="847"/>
      <c r="CS309" s="847"/>
      <c r="CT309" s="847"/>
      <c r="CU309" s="847"/>
      <c r="CV309" s="847"/>
      <c r="CW309" s="847"/>
      <c r="CX309" s="847"/>
      <c r="CY309" s="847"/>
      <c r="CZ309" s="847"/>
      <c r="DA309" s="847"/>
      <c r="DB309" s="847"/>
      <c r="DC309" s="847"/>
      <c r="DD309" s="847"/>
      <c r="DE309" s="847"/>
      <c r="DF309" s="847"/>
      <c r="DG309" s="847"/>
      <c r="DH309" s="847"/>
      <c r="DI309" s="847"/>
      <c r="DJ309" s="847"/>
      <c r="DK309" s="847"/>
      <c r="DL309" s="847">
        <f>'Lead &amp; ANALYSIS'!G5308</f>
        <v>1.65</v>
      </c>
      <c r="DM309" s="1212">
        <f>ROUND(C309*DL309,2)</f>
        <v>0</v>
      </c>
      <c r="DN309" s="1222">
        <f>'Lead &amp; ANALYSIS'!G5302/30.48</f>
        <v>0.13123359580052493</v>
      </c>
      <c r="DO309" s="1013">
        <f t="shared" si="15"/>
        <v>0</v>
      </c>
      <c r="DP309" s="847"/>
      <c r="DQ309" s="1013"/>
      <c r="DR309" s="1225">
        <f>'Lead &amp; ANALYSIS'!G5300/30.48</f>
        <v>4.9212598425196846E-2</v>
      </c>
      <c r="DS309" s="1013">
        <f>ROUND(C309*DR309,2)</f>
        <v>0</v>
      </c>
      <c r="DT309" s="1225">
        <f>('Lead &amp; ANALYSIS'!G5301+'Lead &amp; ANALYSIS'!G5299)/30.48</f>
        <v>0.11482939632545931</v>
      </c>
      <c r="DU309" s="1214">
        <f t="shared" si="14"/>
        <v>0</v>
      </c>
      <c r="DV309" s="1242"/>
      <c r="DW309" s="1232"/>
      <c r="DX309" s="1222"/>
      <c r="DY309" s="847"/>
      <c r="DZ309" s="847"/>
      <c r="EA309" s="847"/>
      <c r="EB309" s="847"/>
      <c r="EC309" s="847"/>
      <c r="ED309" s="847"/>
      <c r="EE309" s="847"/>
      <c r="EF309" s="847"/>
      <c r="EG309" s="1212"/>
      <c r="EH309" s="847"/>
      <c r="EI309" s="1212"/>
    </row>
    <row r="310" spans="1:139" s="733" customFormat="1" ht="13.5">
      <c r="A310" s="1009">
        <v>101</v>
      </c>
      <c r="B310" s="1212" t="s">
        <v>3086</v>
      </c>
      <c r="C310" s="1213">
        <v>0</v>
      </c>
      <c r="D310" s="1013" t="s">
        <v>92</v>
      </c>
      <c r="E310" s="847"/>
      <c r="F310" s="1013"/>
      <c r="G310" s="847"/>
      <c r="H310" s="1013"/>
      <c r="I310" s="847"/>
      <c r="J310" s="1013"/>
      <c r="K310" s="847"/>
      <c r="L310" s="1013"/>
      <c r="M310" s="847"/>
      <c r="N310" s="1013"/>
      <c r="O310" s="847"/>
      <c r="P310" s="1013"/>
      <c r="Q310" s="847"/>
      <c r="R310" s="847"/>
      <c r="S310" s="847"/>
      <c r="T310" s="847"/>
      <c r="U310" s="847"/>
      <c r="V310" s="847"/>
      <c r="W310" s="847"/>
      <c r="X310" s="847"/>
      <c r="Y310" s="847"/>
      <c r="Z310" s="847"/>
      <c r="AA310" s="847"/>
      <c r="AB310" s="847"/>
      <c r="AC310" s="847"/>
      <c r="AD310" s="847"/>
      <c r="AE310" s="847"/>
      <c r="AF310" s="847"/>
      <c r="AG310" s="847"/>
      <c r="AH310" s="847"/>
      <c r="AI310" s="847"/>
      <c r="AJ310" s="847"/>
      <c r="AK310" s="847"/>
      <c r="AL310" s="847"/>
      <c r="AM310" s="847"/>
      <c r="AN310" s="847"/>
      <c r="AO310" s="847"/>
      <c r="AP310" s="847"/>
      <c r="AQ310" s="847"/>
      <c r="AR310" s="847"/>
      <c r="AS310" s="847"/>
      <c r="AT310" s="847"/>
      <c r="AU310" s="847"/>
      <c r="AV310" s="847"/>
      <c r="AW310" s="847"/>
      <c r="AX310" s="847"/>
      <c r="AY310" s="847"/>
      <c r="AZ310" s="847"/>
      <c r="BA310" s="847"/>
      <c r="BB310" s="847"/>
      <c r="BC310" s="847"/>
      <c r="BD310" s="847"/>
      <c r="BE310" s="847"/>
      <c r="BF310" s="847"/>
      <c r="BG310" s="847"/>
      <c r="BH310" s="847"/>
      <c r="BI310" s="847"/>
      <c r="BJ310" s="847"/>
      <c r="BK310" s="847"/>
      <c r="BL310" s="847"/>
      <c r="BM310" s="847"/>
      <c r="BN310" s="847"/>
      <c r="BO310" s="847"/>
      <c r="BP310" s="847"/>
      <c r="BQ310" s="847"/>
      <c r="BR310" s="847"/>
      <c r="BS310" s="847"/>
      <c r="BT310" s="847"/>
      <c r="BU310" s="847"/>
      <c r="BV310" s="847"/>
      <c r="BW310" s="847"/>
      <c r="BX310" s="847"/>
      <c r="BY310" s="847"/>
      <c r="BZ310" s="847"/>
      <c r="CA310" s="847"/>
      <c r="CB310" s="847"/>
      <c r="CC310" s="847"/>
      <c r="CD310" s="847"/>
      <c r="CE310" s="847"/>
      <c r="CF310" s="847"/>
      <c r="CG310" s="847"/>
      <c r="CH310" s="847"/>
      <c r="CI310" s="847"/>
      <c r="CJ310" s="847"/>
      <c r="CK310" s="847"/>
      <c r="CL310" s="847"/>
      <c r="CM310" s="847"/>
      <c r="CN310" s="847"/>
      <c r="CO310" s="847"/>
      <c r="CP310" s="847"/>
      <c r="CQ310" s="847"/>
      <c r="CR310" s="847"/>
      <c r="CS310" s="847"/>
      <c r="CT310" s="847"/>
      <c r="CU310" s="847"/>
      <c r="CV310" s="847"/>
      <c r="CW310" s="847"/>
      <c r="CX310" s="847"/>
      <c r="CY310" s="847"/>
      <c r="CZ310" s="847"/>
      <c r="DA310" s="847"/>
      <c r="DB310" s="847"/>
      <c r="DC310" s="847"/>
      <c r="DD310" s="847"/>
      <c r="DE310" s="847"/>
      <c r="DF310" s="847"/>
      <c r="DG310" s="847"/>
      <c r="DH310" s="847"/>
      <c r="DI310" s="847"/>
      <c r="DJ310" s="847"/>
      <c r="DK310" s="847"/>
      <c r="DL310" s="847"/>
      <c r="DM310" s="1212"/>
      <c r="DN310" s="1222">
        <f>'Lead &amp; ANALYSIS'!G5331/19.53</f>
        <v>0.2560163850486431</v>
      </c>
      <c r="DO310" s="1013">
        <f t="shared" si="15"/>
        <v>0</v>
      </c>
      <c r="DP310" s="847"/>
      <c r="DQ310" s="1013"/>
      <c r="DR310" s="1225"/>
      <c r="DS310" s="1013"/>
      <c r="DT310" s="1225">
        <f>'Lead &amp; ANALYSIS'!G5330/19.53</f>
        <v>0.2560163850486431</v>
      </c>
      <c r="DU310" s="1214">
        <f t="shared" si="14"/>
        <v>0</v>
      </c>
      <c r="DV310" s="1242"/>
      <c r="DW310" s="1232"/>
      <c r="DX310" s="1222"/>
      <c r="DY310" s="847"/>
      <c r="DZ310" s="847"/>
      <c r="EA310" s="847"/>
      <c r="EB310" s="847"/>
      <c r="EC310" s="847"/>
      <c r="ED310" s="847"/>
      <c r="EE310" s="847"/>
      <c r="EF310" s="847"/>
      <c r="EG310" s="1212"/>
      <c r="EH310" s="847"/>
      <c r="EI310" s="1212"/>
    </row>
    <row r="311" spans="1:139" s="733" customFormat="1" ht="13.5">
      <c r="A311" s="1009">
        <v>102</v>
      </c>
      <c r="B311" s="1212" t="s">
        <v>3087</v>
      </c>
      <c r="C311" s="1213">
        <v>0</v>
      </c>
      <c r="D311" s="1013" t="s">
        <v>92</v>
      </c>
      <c r="E311" s="847"/>
      <c r="F311" s="1013"/>
      <c r="G311" s="847"/>
      <c r="H311" s="1013"/>
      <c r="I311" s="847"/>
      <c r="J311" s="1013"/>
      <c r="K311" s="847"/>
      <c r="L311" s="1013"/>
      <c r="M311" s="847"/>
      <c r="N311" s="1013"/>
      <c r="O311" s="847"/>
      <c r="P311" s="1013"/>
      <c r="Q311" s="847"/>
      <c r="R311" s="847"/>
      <c r="S311" s="847"/>
      <c r="T311" s="847"/>
      <c r="U311" s="847"/>
      <c r="V311" s="847"/>
      <c r="W311" s="847"/>
      <c r="X311" s="847"/>
      <c r="Y311" s="847"/>
      <c r="Z311" s="847"/>
      <c r="AA311" s="847"/>
      <c r="AB311" s="847"/>
      <c r="AC311" s="847"/>
      <c r="AD311" s="847"/>
      <c r="AE311" s="847"/>
      <c r="AF311" s="847"/>
      <c r="AG311" s="847"/>
      <c r="AH311" s="847"/>
      <c r="AI311" s="847"/>
      <c r="AJ311" s="847"/>
      <c r="AK311" s="847"/>
      <c r="AL311" s="847"/>
      <c r="AM311" s="847"/>
      <c r="AN311" s="847"/>
      <c r="AO311" s="847"/>
      <c r="AP311" s="847"/>
      <c r="AQ311" s="847"/>
      <c r="AR311" s="847"/>
      <c r="AS311" s="847"/>
      <c r="AT311" s="847"/>
      <c r="AU311" s="847"/>
      <c r="AV311" s="847"/>
      <c r="AW311" s="847"/>
      <c r="AX311" s="847"/>
      <c r="AY311" s="847"/>
      <c r="AZ311" s="847"/>
      <c r="BA311" s="847"/>
      <c r="BB311" s="847"/>
      <c r="BC311" s="847"/>
      <c r="BD311" s="847"/>
      <c r="BE311" s="847"/>
      <c r="BF311" s="847"/>
      <c r="BG311" s="847"/>
      <c r="BH311" s="847"/>
      <c r="BI311" s="847"/>
      <c r="BJ311" s="847"/>
      <c r="BK311" s="847"/>
      <c r="BL311" s="847"/>
      <c r="BM311" s="847"/>
      <c r="BN311" s="847"/>
      <c r="BO311" s="847"/>
      <c r="BP311" s="847"/>
      <c r="BQ311" s="847"/>
      <c r="BR311" s="847"/>
      <c r="BS311" s="847"/>
      <c r="BT311" s="847"/>
      <c r="BU311" s="847"/>
      <c r="BV311" s="847"/>
      <c r="BW311" s="847"/>
      <c r="BX311" s="847"/>
      <c r="BY311" s="847"/>
      <c r="BZ311" s="847"/>
      <c r="CA311" s="847"/>
      <c r="CB311" s="847"/>
      <c r="CC311" s="847"/>
      <c r="CD311" s="847"/>
      <c r="CE311" s="847"/>
      <c r="CF311" s="847"/>
      <c r="CG311" s="847"/>
      <c r="CH311" s="847"/>
      <c r="CI311" s="847"/>
      <c r="CJ311" s="847"/>
      <c r="CK311" s="847"/>
      <c r="CL311" s="847"/>
      <c r="CM311" s="847"/>
      <c r="CN311" s="847"/>
      <c r="CO311" s="847"/>
      <c r="CP311" s="847"/>
      <c r="CQ311" s="847"/>
      <c r="CR311" s="847"/>
      <c r="CS311" s="847"/>
      <c r="CT311" s="847"/>
      <c r="CU311" s="847"/>
      <c r="CV311" s="847"/>
      <c r="CW311" s="847"/>
      <c r="CX311" s="847"/>
      <c r="CY311" s="847"/>
      <c r="CZ311" s="847"/>
      <c r="DA311" s="847"/>
      <c r="DB311" s="847"/>
      <c r="DC311" s="847"/>
      <c r="DD311" s="847"/>
      <c r="DE311" s="847"/>
      <c r="DF311" s="847"/>
      <c r="DG311" s="847"/>
      <c r="DH311" s="847"/>
      <c r="DI311" s="847"/>
      <c r="DJ311" s="847"/>
      <c r="DK311" s="847"/>
      <c r="DL311" s="847"/>
      <c r="DM311" s="1212"/>
      <c r="DN311" s="1222">
        <f>'Lead &amp; ANALYSIS'!G5357/19.53</f>
        <v>0.2560163850486431</v>
      </c>
      <c r="DO311" s="1013">
        <f t="shared" si="15"/>
        <v>0</v>
      </c>
      <c r="DP311" s="847"/>
      <c r="DQ311" s="1013"/>
      <c r="DR311" s="1225"/>
      <c r="DS311" s="1013"/>
      <c r="DT311" s="1225">
        <f>'Lead &amp; ANALYSIS'!G5356/19.53</f>
        <v>0.2560163850486431</v>
      </c>
      <c r="DU311" s="1214">
        <f t="shared" si="14"/>
        <v>0</v>
      </c>
      <c r="DV311" s="1242"/>
      <c r="DW311" s="1232"/>
      <c r="DX311" s="1222"/>
      <c r="DY311" s="847"/>
      <c r="DZ311" s="847"/>
      <c r="EA311" s="847"/>
      <c r="EB311" s="847"/>
      <c r="EC311" s="847"/>
      <c r="ED311" s="847"/>
      <c r="EE311" s="847"/>
      <c r="EF311" s="847"/>
      <c r="EG311" s="1212"/>
      <c r="EH311" s="847"/>
      <c r="EI311" s="1212"/>
    </row>
    <row r="312" spans="1:139" s="733" customFormat="1" ht="13.5">
      <c r="A312" s="1009">
        <v>103</v>
      </c>
      <c r="B312" s="1212" t="s">
        <v>3088</v>
      </c>
      <c r="C312" s="1213">
        <v>0</v>
      </c>
      <c r="D312" s="1013" t="s">
        <v>92</v>
      </c>
      <c r="E312" s="847"/>
      <c r="F312" s="1013"/>
      <c r="G312" s="847"/>
      <c r="H312" s="1013"/>
      <c r="I312" s="847"/>
      <c r="J312" s="1013"/>
      <c r="K312" s="847"/>
      <c r="L312" s="1013"/>
      <c r="M312" s="847"/>
      <c r="N312" s="1013"/>
      <c r="O312" s="847"/>
      <c r="P312" s="1013"/>
      <c r="Q312" s="847"/>
      <c r="R312" s="847"/>
      <c r="S312" s="847"/>
      <c r="T312" s="847"/>
      <c r="U312" s="847"/>
      <c r="V312" s="847"/>
      <c r="W312" s="847"/>
      <c r="X312" s="847"/>
      <c r="Y312" s="847"/>
      <c r="Z312" s="847"/>
      <c r="AA312" s="847"/>
      <c r="AB312" s="847"/>
      <c r="AC312" s="847"/>
      <c r="AD312" s="847"/>
      <c r="AE312" s="847"/>
      <c r="AF312" s="847"/>
      <c r="AG312" s="847"/>
      <c r="AH312" s="847"/>
      <c r="AI312" s="847"/>
      <c r="AJ312" s="847"/>
      <c r="AK312" s="847"/>
      <c r="AL312" s="847"/>
      <c r="AM312" s="847"/>
      <c r="AN312" s="847"/>
      <c r="AO312" s="847"/>
      <c r="AP312" s="847"/>
      <c r="AQ312" s="847"/>
      <c r="AR312" s="847"/>
      <c r="AS312" s="847"/>
      <c r="AT312" s="847"/>
      <c r="AU312" s="847"/>
      <c r="AV312" s="847"/>
      <c r="AW312" s="847"/>
      <c r="AX312" s="847"/>
      <c r="AY312" s="847"/>
      <c r="AZ312" s="847"/>
      <c r="BA312" s="847"/>
      <c r="BB312" s="847"/>
      <c r="BC312" s="847"/>
      <c r="BD312" s="847"/>
      <c r="BE312" s="847"/>
      <c r="BF312" s="847"/>
      <c r="BG312" s="847"/>
      <c r="BH312" s="847"/>
      <c r="BI312" s="847"/>
      <c r="BJ312" s="847"/>
      <c r="BK312" s="847"/>
      <c r="BL312" s="847"/>
      <c r="BM312" s="847"/>
      <c r="BN312" s="847"/>
      <c r="BO312" s="847"/>
      <c r="BP312" s="847"/>
      <c r="BQ312" s="847"/>
      <c r="BR312" s="847"/>
      <c r="BS312" s="847"/>
      <c r="BT312" s="847"/>
      <c r="BU312" s="847"/>
      <c r="BV312" s="847"/>
      <c r="BW312" s="847"/>
      <c r="BX312" s="847"/>
      <c r="BY312" s="847"/>
      <c r="BZ312" s="847"/>
      <c r="CA312" s="847"/>
      <c r="CB312" s="847"/>
      <c r="CC312" s="847"/>
      <c r="CD312" s="847"/>
      <c r="CE312" s="847"/>
      <c r="CF312" s="847"/>
      <c r="CG312" s="847"/>
      <c r="CH312" s="847"/>
      <c r="CI312" s="847"/>
      <c r="CJ312" s="847"/>
      <c r="CK312" s="847"/>
      <c r="CL312" s="847"/>
      <c r="CM312" s="847"/>
      <c r="CN312" s="847"/>
      <c r="CO312" s="847"/>
      <c r="CP312" s="847"/>
      <c r="CQ312" s="847"/>
      <c r="CR312" s="847"/>
      <c r="CS312" s="847"/>
      <c r="CT312" s="847"/>
      <c r="CU312" s="847"/>
      <c r="CV312" s="847"/>
      <c r="CW312" s="847"/>
      <c r="CX312" s="847"/>
      <c r="CY312" s="847"/>
      <c r="CZ312" s="847"/>
      <c r="DA312" s="847"/>
      <c r="DB312" s="847"/>
      <c r="DC312" s="847"/>
      <c r="DD312" s="847"/>
      <c r="DE312" s="847"/>
      <c r="DF312" s="847"/>
      <c r="DG312" s="847"/>
      <c r="DH312" s="847"/>
      <c r="DI312" s="847"/>
      <c r="DJ312" s="847"/>
      <c r="DK312" s="847"/>
      <c r="DL312" s="847"/>
      <c r="DM312" s="1212"/>
      <c r="DN312" s="1222">
        <f>'Lead &amp; ANALYSIS'!G5383/19.53</f>
        <v>0.2560163850486431</v>
      </c>
      <c r="DO312" s="1013">
        <f t="shared" si="15"/>
        <v>0</v>
      </c>
      <c r="DP312" s="847"/>
      <c r="DQ312" s="1013"/>
      <c r="DR312" s="1225"/>
      <c r="DS312" s="1013"/>
      <c r="DT312" s="1225">
        <f>'Lead &amp; ANALYSIS'!G5382/19.53</f>
        <v>0.2560163850486431</v>
      </c>
      <c r="DU312" s="1214">
        <f t="shared" si="14"/>
        <v>0</v>
      </c>
      <c r="DV312" s="1242"/>
      <c r="DW312" s="1232"/>
      <c r="DX312" s="1222"/>
      <c r="DY312" s="847"/>
      <c r="DZ312" s="847"/>
      <c r="EA312" s="847"/>
      <c r="EB312" s="847"/>
      <c r="EC312" s="847"/>
      <c r="ED312" s="847"/>
      <c r="EE312" s="847"/>
      <c r="EF312" s="847"/>
      <c r="EG312" s="1212"/>
      <c r="EH312" s="847"/>
      <c r="EI312" s="1212"/>
    </row>
    <row r="313" spans="1:139" s="733" customFormat="1" ht="13.5">
      <c r="A313" s="1009">
        <v>104</v>
      </c>
      <c r="B313" s="1212" t="s">
        <v>3089</v>
      </c>
      <c r="C313" s="1213">
        <v>0</v>
      </c>
      <c r="D313" s="1013" t="s">
        <v>92</v>
      </c>
      <c r="E313" s="847"/>
      <c r="F313" s="1013"/>
      <c r="G313" s="847"/>
      <c r="H313" s="1013"/>
      <c r="I313" s="847"/>
      <c r="J313" s="1013"/>
      <c r="K313" s="847"/>
      <c r="L313" s="1013"/>
      <c r="M313" s="847"/>
      <c r="N313" s="1013"/>
      <c r="O313" s="847"/>
      <c r="P313" s="1013"/>
      <c r="Q313" s="847"/>
      <c r="R313" s="847"/>
      <c r="S313" s="847"/>
      <c r="T313" s="847"/>
      <c r="U313" s="847"/>
      <c r="V313" s="847"/>
      <c r="W313" s="847"/>
      <c r="X313" s="847"/>
      <c r="Y313" s="847"/>
      <c r="Z313" s="847"/>
      <c r="AA313" s="847"/>
      <c r="AB313" s="847"/>
      <c r="AC313" s="847"/>
      <c r="AD313" s="847"/>
      <c r="AE313" s="847"/>
      <c r="AF313" s="847"/>
      <c r="AG313" s="847"/>
      <c r="AH313" s="847"/>
      <c r="AI313" s="847"/>
      <c r="AJ313" s="847"/>
      <c r="AK313" s="847"/>
      <c r="AL313" s="847"/>
      <c r="AM313" s="847"/>
      <c r="AN313" s="847"/>
      <c r="AO313" s="847"/>
      <c r="AP313" s="847"/>
      <c r="AQ313" s="847"/>
      <c r="AR313" s="847"/>
      <c r="AS313" s="847"/>
      <c r="AT313" s="847"/>
      <c r="AU313" s="847"/>
      <c r="AV313" s="847"/>
      <c r="AW313" s="847"/>
      <c r="AX313" s="847"/>
      <c r="AY313" s="847"/>
      <c r="AZ313" s="847"/>
      <c r="BA313" s="847"/>
      <c r="BB313" s="847"/>
      <c r="BC313" s="847"/>
      <c r="BD313" s="847"/>
      <c r="BE313" s="847"/>
      <c r="BF313" s="847"/>
      <c r="BG313" s="847"/>
      <c r="BH313" s="847"/>
      <c r="BI313" s="847"/>
      <c r="BJ313" s="847"/>
      <c r="BK313" s="847"/>
      <c r="BL313" s="847"/>
      <c r="BM313" s="847"/>
      <c r="BN313" s="847"/>
      <c r="BO313" s="847"/>
      <c r="BP313" s="847"/>
      <c r="BQ313" s="847"/>
      <c r="BR313" s="847"/>
      <c r="BS313" s="847"/>
      <c r="BT313" s="847"/>
      <c r="BU313" s="847"/>
      <c r="BV313" s="847"/>
      <c r="BW313" s="847"/>
      <c r="BX313" s="847"/>
      <c r="BY313" s="847"/>
      <c r="BZ313" s="847"/>
      <c r="CA313" s="847"/>
      <c r="CB313" s="847"/>
      <c r="CC313" s="847"/>
      <c r="CD313" s="847"/>
      <c r="CE313" s="847"/>
      <c r="CF313" s="847"/>
      <c r="CG313" s="847"/>
      <c r="CH313" s="847"/>
      <c r="CI313" s="847"/>
      <c r="CJ313" s="847"/>
      <c r="CK313" s="847"/>
      <c r="CL313" s="847"/>
      <c r="CM313" s="847"/>
      <c r="CN313" s="847"/>
      <c r="CO313" s="847"/>
      <c r="CP313" s="847"/>
      <c r="CQ313" s="847"/>
      <c r="CR313" s="847"/>
      <c r="CS313" s="847"/>
      <c r="CT313" s="847"/>
      <c r="CU313" s="847"/>
      <c r="CV313" s="847"/>
      <c r="CW313" s="847"/>
      <c r="CX313" s="847"/>
      <c r="CY313" s="847"/>
      <c r="CZ313" s="847"/>
      <c r="DA313" s="847"/>
      <c r="DB313" s="847"/>
      <c r="DC313" s="847"/>
      <c r="DD313" s="847"/>
      <c r="DE313" s="847"/>
      <c r="DF313" s="847"/>
      <c r="DG313" s="847"/>
      <c r="DH313" s="847"/>
      <c r="DI313" s="847"/>
      <c r="DJ313" s="847"/>
      <c r="DK313" s="847"/>
      <c r="DL313" s="847"/>
      <c r="DM313" s="1212"/>
      <c r="DN313" s="1222">
        <f>'Lead &amp; ANALYSIS'!G5409/19.53</f>
        <v>0.2560163850486431</v>
      </c>
      <c r="DO313" s="1013">
        <f t="shared" si="15"/>
        <v>0</v>
      </c>
      <c r="DP313" s="847"/>
      <c r="DQ313" s="1013"/>
      <c r="DR313" s="1225"/>
      <c r="DS313" s="1013"/>
      <c r="DT313" s="1225">
        <f>'Lead &amp; ANALYSIS'!G5408/19.53</f>
        <v>0.2560163850486431</v>
      </c>
      <c r="DU313" s="1214">
        <f t="shared" si="14"/>
        <v>0</v>
      </c>
      <c r="DV313" s="1242"/>
      <c r="DW313" s="1232"/>
      <c r="DX313" s="1222"/>
      <c r="DY313" s="847"/>
      <c r="DZ313" s="847"/>
      <c r="EA313" s="847"/>
      <c r="EB313" s="847"/>
      <c r="EC313" s="847"/>
      <c r="ED313" s="847"/>
      <c r="EE313" s="847"/>
      <c r="EF313" s="847"/>
      <c r="EG313" s="1212"/>
      <c r="EH313" s="847"/>
      <c r="EI313" s="1212"/>
    </row>
    <row r="314" spans="1:139" s="733" customFormat="1" ht="13.5">
      <c r="A314" s="1009">
        <v>105</v>
      </c>
      <c r="B314" s="1212" t="s">
        <v>553</v>
      </c>
      <c r="C314" s="1213">
        <v>0</v>
      </c>
      <c r="D314" s="1013" t="s">
        <v>92</v>
      </c>
      <c r="E314" s="847"/>
      <c r="F314" s="1013"/>
      <c r="G314" s="847"/>
      <c r="H314" s="1013"/>
      <c r="I314" s="847"/>
      <c r="J314" s="1013"/>
      <c r="K314" s="847"/>
      <c r="L314" s="1013"/>
      <c r="M314" s="847"/>
      <c r="N314" s="1013"/>
      <c r="O314" s="847"/>
      <c r="P314" s="1013"/>
      <c r="Q314" s="847"/>
      <c r="R314" s="847"/>
      <c r="S314" s="847"/>
      <c r="T314" s="847"/>
      <c r="U314" s="847"/>
      <c r="V314" s="847"/>
      <c r="W314" s="847"/>
      <c r="X314" s="847"/>
      <c r="Y314" s="847"/>
      <c r="Z314" s="847"/>
      <c r="AA314" s="847"/>
      <c r="AB314" s="847"/>
      <c r="AC314" s="847"/>
      <c r="AD314" s="847"/>
      <c r="AE314" s="847"/>
      <c r="AF314" s="847"/>
      <c r="AG314" s="847"/>
      <c r="AH314" s="847"/>
      <c r="AI314" s="847"/>
      <c r="AJ314" s="847"/>
      <c r="AK314" s="847"/>
      <c r="AL314" s="847"/>
      <c r="AM314" s="847"/>
      <c r="AN314" s="847"/>
      <c r="AO314" s="847"/>
      <c r="AP314" s="847"/>
      <c r="AQ314" s="847"/>
      <c r="AR314" s="847"/>
      <c r="AS314" s="847"/>
      <c r="AT314" s="847"/>
      <c r="AU314" s="847"/>
      <c r="AV314" s="847"/>
      <c r="AW314" s="847"/>
      <c r="AX314" s="847"/>
      <c r="AY314" s="847"/>
      <c r="AZ314" s="847"/>
      <c r="BA314" s="847"/>
      <c r="BB314" s="847"/>
      <c r="BC314" s="847"/>
      <c r="BD314" s="847"/>
      <c r="BE314" s="847"/>
      <c r="BF314" s="847"/>
      <c r="BG314" s="847"/>
      <c r="BH314" s="847"/>
      <c r="BI314" s="847"/>
      <c r="BJ314" s="847"/>
      <c r="BK314" s="847"/>
      <c r="BL314" s="847"/>
      <c r="BM314" s="847"/>
      <c r="BN314" s="847"/>
      <c r="BO314" s="847"/>
      <c r="BP314" s="847"/>
      <c r="BQ314" s="847"/>
      <c r="BR314" s="847"/>
      <c r="BS314" s="847"/>
      <c r="BT314" s="847"/>
      <c r="BU314" s="847"/>
      <c r="BV314" s="847"/>
      <c r="BW314" s="847"/>
      <c r="BX314" s="847"/>
      <c r="BY314" s="847"/>
      <c r="BZ314" s="847"/>
      <c r="CA314" s="847"/>
      <c r="CB314" s="847"/>
      <c r="CC314" s="847"/>
      <c r="CD314" s="847"/>
      <c r="CE314" s="847"/>
      <c r="CF314" s="847"/>
      <c r="CG314" s="847"/>
      <c r="CH314" s="847"/>
      <c r="CI314" s="847"/>
      <c r="CJ314" s="847"/>
      <c r="CK314" s="847"/>
      <c r="CL314" s="847"/>
      <c r="CM314" s="847"/>
      <c r="CN314" s="847"/>
      <c r="CO314" s="847"/>
      <c r="CP314" s="847"/>
      <c r="CQ314" s="847"/>
      <c r="CR314" s="847"/>
      <c r="CS314" s="847"/>
      <c r="CT314" s="847"/>
      <c r="CU314" s="847"/>
      <c r="CV314" s="847"/>
      <c r="CW314" s="847"/>
      <c r="CX314" s="847"/>
      <c r="CY314" s="847"/>
      <c r="CZ314" s="847"/>
      <c r="DA314" s="847"/>
      <c r="DB314" s="847"/>
      <c r="DC314" s="847"/>
      <c r="DD314" s="847"/>
      <c r="DE314" s="847"/>
      <c r="DF314" s="847"/>
      <c r="DG314" s="847"/>
      <c r="DH314" s="847"/>
      <c r="DI314" s="847"/>
      <c r="DJ314" s="847"/>
      <c r="DK314" s="847"/>
      <c r="DL314" s="847"/>
      <c r="DM314" s="1212"/>
      <c r="DN314" s="1222"/>
      <c r="DO314" s="1013"/>
      <c r="DP314" s="847"/>
      <c r="DQ314" s="1013"/>
      <c r="DR314" s="1225"/>
      <c r="DS314" s="1013"/>
      <c r="DT314" s="1225"/>
      <c r="DU314" s="1214"/>
      <c r="DV314" s="1242"/>
      <c r="DW314" s="1232"/>
      <c r="DX314" s="1222"/>
      <c r="DY314" s="847"/>
      <c r="DZ314" s="847"/>
      <c r="EA314" s="847"/>
      <c r="EB314" s="847"/>
      <c r="EC314" s="847"/>
      <c r="ED314" s="847"/>
      <c r="EE314" s="847"/>
      <c r="EF314" s="847"/>
      <c r="EG314" s="1212"/>
      <c r="EH314" s="847"/>
      <c r="EI314" s="1212"/>
    </row>
    <row r="315" spans="1:139" s="733" customFormat="1" ht="13.5">
      <c r="A315" s="1009">
        <v>105</v>
      </c>
      <c r="B315" s="1212" t="s">
        <v>1606</v>
      </c>
      <c r="C315" s="1213">
        <v>0</v>
      </c>
      <c r="D315" s="1013" t="s">
        <v>92</v>
      </c>
      <c r="E315" s="847"/>
      <c r="F315" s="1013"/>
      <c r="G315" s="847"/>
      <c r="H315" s="1013"/>
      <c r="I315" s="847"/>
      <c r="J315" s="1013"/>
      <c r="K315" s="847"/>
      <c r="L315" s="1013"/>
      <c r="M315" s="847"/>
      <c r="N315" s="1013"/>
      <c r="O315" s="847"/>
      <c r="P315" s="1013"/>
      <c r="Q315" s="847"/>
      <c r="R315" s="847"/>
      <c r="S315" s="847"/>
      <c r="T315" s="847"/>
      <c r="U315" s="847"/>
      <c r="V315" s="847"/>
      <c r="W315" s="847"/>
      <c r="X315" s="847"/>
      <c r="Y315" s="847"/>
      <c r="Z315" s="847"/>
      <c r="AA315" s="847"/>
      <c r="AB315" s="847"/>
      <c r="AC315" s="847"/>
      <c r="AD315" s="847"/>
      <c r="AE315" s="847"/>
      <c r="AF315" s="847"/>
      <c r="AG315" s="847"/>
      <c r="AH315" s="847"/>
      <c r="AI315" s="847"/>
      <c r="AJ315" s="847"/>
      <c r="AK315" s="847"/>
      <c r="AL315" s="847"/>
      <c r="AM315" s="847"/>
      <c r="AN315" s="847"/>
      <c r="AO315" s="847"/>
      <c r="AP315" s="847"/>
      <c r="AQ315" s="847"/>
      <c r="AR315" s="847"/>
      <c r="AS315" s="847"/>
      <c r="AT315" s="847"/>
      <c r="AU315" s="847"/>
      <c r="AV315" s="847"/>
      <c r="AW315" s="847"/>
      <c r="AX315" s="847"/>
      <c r="AY315" s="847"/>
      <c r="AZ315" s="847"/>
      <c r="BA315" s="847"/>
      <c r="BB315" s="847"/>
      <c r="BC315" s="847"/>
      <c r="BD315" s="847"/>
      <c r="BE315" s="847"/>
      <c r="BF315" s="847"/>
      <c r="BG315" s="847"/>
      <c r="BH315" s="847"/>
      <c r="BI315" s="847"/>
      <c r="BJ315" s="847"/>
      <c r="BK315" s="847"/>
      <c r="BL315" s="847"/>
      <c r="BM315" s="847"/>
      <c r="BN315" s="847"/>
      <c r="BO315" s="847"/>
      <c r="BP315" s="847"/>
      <c r="BQ315" s="847"/>
      <c r="BR315" s="847"/>
      <c r="BS315" s="847"/>
      <c r="BT315" s="847"/>
      <c r="BU315" s="847"/>
      <c r="BV315" s="847"/>
      <c r="BW315" s="847"/>
      <c r="BX315" s="847"/>
      <c r="BY315" s="847"/>
      <c r="BZ315" s="847"/>
      <c r="CA315" s="847"/>
      <c r="CB315" s="847"/>
      <c r="CC315" s="847"/>
      <c r="CD315" s="847"/>
      <c r="CE315" s="847"/>
      <c r="CF315" s="847"/>
      <c r="CG315" s="847"/>
      <c r="CH315" s="847"/>
      <c r="CI315" s="847"/>
      <c r="CJ315" s="847"/>
      <c r="CK315" s="847"/>
      <c r="CL315" s="847"/>
      <c r="CM315" s="847"/>
      <c r="CN315" s="847"/>
      <c r="CO315" s="847"/>
      <c r="CP315" s="847"/>
      <c r="CQ315" s="847"/>
      <c r="CR315" s="847"/>
      <c r="CS315" s="847"/>
      <c r="CT315" s="847"/>
      <c r="CU315" s="847"/>
      <c r="CV315" s="847"/>
      <c r="CW315" s="847"/>
      <c r="CX315" s="847"/>
      <c r="CY315" s="847"/>
      <c r="CZ315" s="847"/>
      <c r="DA315" s="847"/>
      <c r="DB315" s="847"/>
      <c r="DC315" s="847"/>
      <c r="DD315" s="847"/>
      <c r="DE315" s="847"/>
      <c r="DF315" s="847"/>
      <c r="DG315" s="847"/>
      <c r="DH315" s="847"/>
      <c r="DI315" s="847"/>
      <c r="DJ315" s="847"/>
      <c r="DK315" s="847"/>
      <c r="DL315" s="847"/>
      <c r="DM315" s="1212"/>
      <c r="DN315" s="1222"/>
      <c r="DO315" s="1013"/>
      <c r="DP315" s="847"/>
      <c r="DQ315" s="1013"/>
      <c r="DR315" s="1225"/>
      <c r="DS315" s="1013"/>
      <c r="DT315" s="1225"/>
      <c r="DU315" s="1214"/>
      <c r="DV315" s="1242"/>
      <c r="DW315" s="1232"/>
      <c r="DX315" s="1222"/>
      <c r="DY315" s="847"/>
      <c r="DZ315" s="847"/>
      <c r="EA315" s="847"/>
      <c r="EB315" s="847"/>
      <c r="EC315" s="847"/>
      <c r="ED315" s="847"/>
      <c r="EE315" s="847"/>
      <c r="EF315" s="847"/>
      <c r="EG315" s="1212"/>
      <c r="EH315" s="847"/>
      <c r="EI315" s="1212"/>
    </row>
    <row r="316" spans="1:139" s="733" customFormat="1" ht="13.5">
      <c r="A316" s="1009"/>
      <c r="B316" s="1212" t="s">
        <v>2066</v>
      </c>
      <c r="C316" s="1213">
        <v>0</v>
      </c>
      <c r="D316" s="1013" t="s">
        <v>92</v>
      </c>
      <c r="E316" s="847"/>
      <c r="F316" s="1013"/>
      <c r="G316" s="847"/>
      <c r="H316" s="1013"/>
      <c r="I316" s="847"/>
      <c r="J316" s="1013"/>
      <c r="K316" s="847">
        <f>'Lead &amp; ANALYSIS'!G5551/93</f>
        <v>1.0763440860215053E-2</v>
      </c>
      <c r="L316" s="1013">
        <f>ROUND(C316*K316,2)</f>
        <v>0</v>
      </c>
      <c r="M316" s="847"/>
      <c r="N316" s="1013"/>
      <c r="O316" s="847"/>
      <c r="P316" s="1013"/>
      <c r="Q316" s="847"/>
      <c r="R316" s="847"/>
      <c r="S316" s="847"/>
      <c r="T316" s="847"/>
      <c r="U316" s="847"/>
      <c r="V316" s="847"/>
      <c r="W316" s="847"/>
      <c r="X316" s="847"/>
      <c r="Y316" s="847"/>
      <c r="Z316" s="847"/>
      <c r="AA316" s="847"/>
      <c r="AB316" s="847"/>
      <c r="AC316" s="847"/>
      <c r="AD316" s="847"/>
      <c r="AE316" s="847"/>
      <c r="AF316" s="847"/>
      <c r="AG316" s="847"/>
      <c r="AH316" s="847"/>
      <c r="AI316" s="847"/>
      <c r="AJ316" s="847"/>
      <c r="AK316" s="847"/>
      <c r="AL316" s="847"/>
      <c r="AM316" s="847"/>
      <c r="AN316" s="847"/>
      <c r="AO316" s="847"/>
      <c r="AP316" s="847"/>
      <c r="AQ316" s="847"/>
      <c r="AR316" s="847"/>
      <c r="AS316" s="847"/>
      <c r="AT316" s="847"/>
      <c r="AU316" s="847"/>
      <c r="AV316" s="847"/>
      <c r="AW316" s="847"/>
      <c r="AX316" s="847"/>
      <c r="AY316" s="847"/>
      <c r="AZ316" s="847"/>
      <c r="BA316" s="847"/>
      <c r="BB316" s="847"/>
      <c r="BC316" s="847"/>
      <c r="BD316" s="847"/>
      <c r="BE316" s="847"/>
      <c r="BF316" s="847"/>
      <c r="BG316" s="847"/>
      <c r="BH316" s="847"/>
      <c r="BI316" s="847"/>
      <c r="BJ316" s="847"/>
      <c r="BK316" s="847"/>
      <c r="BL316" s="847"/>
      <c r="BM316" s="847"/>
      <c r="BN316" s="847"/>
      <c r="BO316" s="847"/>
      <c r="BP316" s="847"/>
      <c r="BQ316" s="847"/>
      <c r="BR316" s="847"/>
      <c r="BS316" s="847"/>
      <c r="BT316" s="847"/>
      <c r="BU316" s="847"/>
      <c r="BV316" s="847"/>
      <c r="BW316" s="847"/>
      <c r="BX316" s="847"/>
      <c r="BY316" s="847"/>
      <c r="BZ316" s="847"/>
      <c r="CA316" s="847"/>
      <c r="CB316" s="847"/>
      <c r="CC316" s="847"/>
      <c r="CD316" s="847"/>
      <c r="CE316" s="847"/>
      <c r="CF316" s="847"/>
      <c r="CG316" s="847"/>
      <c r="CH316" s="847"/>
      <c r="CI316" s="847"/>
      <c r="CJ316" s="847"/>
      <c r="CK316" s="847"/>
      <c r="CL316" s="847"/>
      <c r="CM316" s="847"/>
      <c r="CN316" s="847"/>
      <c r="CO316" s="847"/>
      <c r="CP316" s="847"/>
      <c r="CQ316" s="847"/>
      <c r="CR316" s="847"/>
      <c r="CS316" s="847"/>
      <c r="CT316" s="847"/>
      <c r="CU316" s="847"/>
      <c r="CV316" s="847"/>
      <c r="CW316" s="847"/>
      <c r="CX316" s="847"/>
      <c r="CY316" s="847"/>
      <c r="CZ316" s="847"/>
      <c r="DA316" s="847"/>
      <c r="DB316" s="847"/>
      <c r="DC316" s="847"/>
      <c r="DD316" s="847"/>
      <c r="DE316" s="847"/>
      <c r="DF316" s="847"/>
      <c r="DG316" s="847"/>
      <c r="DH316" s="847"/>
      <c r="DI316" s="847"/>
      <c r="DJ316" s="847"/>
      <c r="DK316" s="847"/>
      <c r="DL316" s="847"/>
      <c r="DM316" s="1212"/>
      <c r="DN316" s="1224">
        <f>'Lead &amp; ANALYSIS'!G5555/93</f>
        <v>1.0752688172043012E-2</v>
      </c>
      <c r="DO316" s="1013">
        <f>ROUND(C316*DN316,2)</f>
        <v>0</v>
      </c>
      <c r="DP316" s="847"/>
      <c r="DQ316" s="1013"/>
      <c r="DR316" s="1228">
        <f>'Lead &amp; ANALYSIS'!G5554/93</f>
        <v>8.0645161290322578E-3</v>
      </c>
      <c r="DS316" s="1013">
        <f>ROUND(C316*DR316,2)</f>
        <v>0</v>
      </c>
      <c r="DT316" s="1225"/>
      <c r="DU316" s="1214"/>
      <c r="DV316" s="1242"/>
      <c r="DW316" s="1232"/>
      <c r="DX316" s="1222"/>
      <c r="DY316" s="847"/>
      <c r="DZ316" s="847"/>
      <c r="EA316" s="847"/>
      <c r="EB316" s="847"/>
      <c r="EC316" s="847"/>
      <c r="ED316" s="847"/>
      <c r="EE316" s="847"/>
      <c r="EF316" s="847"/>
      <c r="EG316" s="1212"/>
      <c r="EH316" s="847"/>
      <c r="EI316" s="1212"/>
    </row>
    <row r="317" spans="1:139" s="733" customFormat="1" ht="13.5">
      <c r="A317" s="1009"/>
      <c r="B317" s="1212" t="s">
        <v>2067</v>
      </c>
      <c r="C317" s="1213">
        <v>0</v>
      </c>
      <c r="D317" s="1013" t="s">
        <v>92</v>
      </c>
      <c r="E317" s="847"/>
      <c r="F317" s="1013"/>
      <c r="G317" s="847"/>
      <c r="H317" s="1013"/>
      <c r="I317" s="847"/>
      <c r="J317" s="1013"/>
      <c r="K317" s="847">
        <f>K316</f>
        <v>1.0763440860215053E-2</v>
      </c>
      <c r="L317" s="1013">
        <f>ROUND(C317*K317,2)</f>
        <v>0</v>
      </c>
      <c r="M317" s="847"/>
      <c r="N317" s="1013"/>
      <c r="O317" s="847"/>
      <c r="P317" s="1013"/>
      <c r="Q317" s="847"/>
      <c r="R317" s="847"/>
      <c r="S317" s="847"/>
      <c r="T317" s="847"/>
      <c r="U317" s="847"/>
      <c r="V317" s="847"/>
      <c r="W317" s="847"/>
      <c r="X317" s="847"/>
      <c r="Y317" s="847"/>
      <c r="Z317" s="847"/>
      <c r="AA317" s="847"/>
      <c r="AB317" s="847"/>
      <c r="AC317" s="847"/>
      <c r="AD317" s="847"/>
      <c r="AE317" s="847"/>
      <c r="AF317" s="847"/>
      <c r="AG317" s="847"/>
      <c r="AH317" s="847"/>
      <c r="AI317" s="847"/>
      <c r="AJ317" s="847"/>
      <c r="AK317" s="847"/>
      <c r="AL317" s="847"/>
      <c r="AM317" s="847"/>
      <c r="AN317" s="847"/>
      <c r="AO317" s="847"/>
      <c r="AP317" s="847"/>
      <c r="AQ317" s="847"/>
      <c r="AR317" s="847"/>
      <c r="AS317" s="847"/>
      <c r="AT317" s="847"/>
      <c r="AU317" s="847"/>
      <c r="AV317" s="847"/>
      <c r="AW317" s="847"/>
      <c r="AX317" s="847"/>
      <c r="AY317" s="847"/>
      <c r="AZ317" s="847"/>
      <c r="BA317" s="847"/>
      <c r="BB317" s="847"/>
      <c r="BC317" s="847"/>
      <c r="BD317" s="847"/>
      <c r="BE317" s="847"/>
      <c r="BF317" s="847"/>
      <c r="BG317" s="847"/>
      <c r="BH317" s="847"/>
      <c r="BI317" s="847"/>
      <c r="BJ317" s="847"/>
      <c r="BK317" s="847"/>
      <c r="BL317" s="847"/>
      <c r="BM317" s="847"/>
      <c r="BN317" s="847"/>
      <c r="BO317" s="847"/>
      <c r="BP317" s="847"/>
      <c r="BQ317" s="847"/>
      <c r="BR317" s="847"/>
      <c r="BS317" s="847"/>
      <c r="BT317" s="847"/>
      <c r="BU317" s="847"/>
      <c r="BV317" s="847"/>
      <c r="BW317" s="847"/>
      <c r="BX317" s="847"/>
      <c r="BY317" s="847"/>
      <c r="BZ317" s="847"/>
      <c r="CA317" s="847"/>
      <c r="CB317" s="847"/>
      <c r="CC317" s="847"/>
      <c r="CD317" s="847"/>
      <c r="CE317" s="847"/>
      <c r="CF317" s="847"/>
      <c r="CG317" s="847"/>
      <c r="CH317" s="847"/>
      <c r="CI317" s="847"/>
      <c r="CJ317" s="847"/>
      <c r="CK317" s="847"/>
      <c r="CL317" s="847"/>
      <c r="CM317" s="847"/>
      <c r="CN317" s="847"/>
      <c r="CO317" s="847"/>
      <c r="CP317" s="847"/>
      <c r="CQ317" s="847"/>
      <c r="CR317" s="847"/>
      <c r="CS317" s="847"/>
      <c r="CT317" s="847"/>
      <c r="CU317" s="847"/>
      <c r="CV317" s="847"/>
      <c r="CW317" s="847"/>
      <c r="CX317" s="847"/>
      <c r="CY317" s="847"/>
      <c r="CZ317" s="847"/>
      <c r="DA317" s="847"/>
      <c r="DB317" s="847"/>
      <c r="DC317" s="847"/>
      <c r="DD317" s="847"/>
      <c r="DE317" s="847"/>
      <c r="DF317" s="847"/>
      <c r="DG317" s="847"/>
      <c r="DH317" s="847"/>
      <c r="DI317" s="847"/>
      <c r="DJ317" s="847"/>
      <c r="DK317" s="847"/>
      <c r="DL317" s="847"/>
      <c r="DM317" s="1212"/>
      <c r="DN317" s="1222">
        <f>DN316+DN316*3%</f>
        <v>1.1075268817204302E-2</v>
      </c>
      <c r="DO317" s="1013">
        <f>ROUND(C317*DN317,2)</f>
        <v>0</v>
      </c>
      <c r="DP317" s="847"/>
      <c r="DQ317" s="1013"/>
      <c r="DR317" s="1228">
        <f>DR316+DR316*3%</f>
        <v>8.3064516129032259E-3</v>
      </c>
      <c r="DS317" s="1013">
        <f>ROUND(C317*DR317,2)</f>
        <v>0</v>
      </c>
      <c r="DT317" s="847"/>
      <c r="DU317" s="1214"/>
      <c r="DV317" s="1242"/>
      <c r="DW317" s="1232"/>
      <c r="DX317" s="1222"/>
      <c r="DY317" s="847"/>
      <c r="DZ317" s="847"/>
      <c r="EA317" s="847"/>
      <c r="EB317" s="847"/>
      <c r="EC317" s="847"/>
      <c r="ED317" s="847"/>
      <c r="EE317" s="847"/>
      <c r="EF317" s="847"/>
      <c r="EG317" s="1212"/>
      <c r="EH317" s="847"/>
      <c r="EI317" s="1212"/>
    </row>
    <row r="318" spans="1:139" s="733" customFormat="1" ht="13.5">
      <c r="A318" s="1009">
        <v>106</v>
      </c>
      <c r="B318" s="1212" t="s">
        <v>1607</v>
      </c>
      <c r="C318" s="1213">
        <v>0</v>
      </c>
      <c r="D318" s="1013" t="s">
        <v>92</v>
      </c>
      <c r="E318" s="847"/>
      <c r="F318" s="1013"/>
      <c r="G318" s="847"/>
      <c r="H318" s="1013"/>
      <c r="I318" s="847"/>
      <c r="J318" s="1013"/>
      <c r="K318" s="847"/>
      <c r="L318" s="1013"/>
      <c r="M318" s="847"/>
      <c r="N318" s="1013"/>
      <c r="O318" s="847"/>
      <c r="P318" s="1013"/>
      <c r="Q318" s="847"/>
      <c r="R318" s="847"/>
      <c r="S318" s="847"/>
      <c r="T318" s="847"/>
      <c r="U318" s="847"/>
      <c r="V318" s="847"/>
      <c r="W318" s="847"/>
      <c r="X318" s="847"/>
      <c r="Y318" s="847"/>
      <c r="Z318" s="847"/>
      <c r="AA318" s="847"/>
      <c r="AB318" s="847"/>
      <c r="AC318" s="847"/>
      <c r="AD318" s="847"/>
      <c r="AE318" s="847"/>
      <c r="AF318" s="847"/>
      <c r="AG318" s="847"/>
      <c r="AH318" s="847"/>
      <c r="AI318" s="847"/>
      <c r="AJ318" s="847"/>
      <c r="AK318" s="847"/>
      <c r="AL318" s="847"/>
      <c r="AM318" s="847"/>
      <c r="AN318" s="847"/>
      <c r="AO318" s="847"/>
      <c r="AP318" s="847"/>
      <c r="AQ318" s="847"/>
      <c r="AR318" s="847"/>
      <c r="AS318" s="847"/>
      <c r="AT318" s="847"/>
      <c r="AU318" s="847"/>
      <c r="AV318" s="847"/>
      <c r="AW318" s="847"/>
      <c r="AX318" s="847"/>
      <c r="AY318" s="847"/>
      <c r="AZ318" s="847"/>
      <c r="BA318" s="847"/>
      <c r="BB318" s="847"/>
      <c r="BC318" s="847"/>
      <c r="BD318" s="847"/>
      <c r="BE318" s="847"/>
      <c r="BF318" s="847"/>
      <c r="BG318" s="847"/>
      <c r="BH318" s="847"/>
      <c r="BI318" s="847"/>
      <c r="BJ318" s="847"/>
      <c r="BK318" s="847"/>
      <c r="BL318" s="847"/>
      <c r="BM318" s="847"/>
      <c r="BN318" s="847"/>
      <c r="BO318" s="847"/>
      <c r="BP318" s="847"/>
      <c r="BQ318" s="847"/>
      <c r="BR318" s="847"/>
      <c r="BS318" s="847"/>
      <c r="BT318" s="847"/>
      <c r="BU318" s="847"/>
      <c r="BV318" s="847"/>
      <c r="BW318" s="847"/>
      <c r="BX318" s="847"/>
      <c r="BY318" s="847"/>
      <c r="BZ318" s="847"/>
      <c r="CA318" s="847"/>
      <c r="CB318" s="847"/>
      <c r="CC318" s="847"/>
      <c r="CD318" s="847"/>
      <c r="CE318" s="847"/>
      <c r="CF318" s="847"/>
      <c r="CG318" s="847"/>
      <c r="CH318" s="847"/>
      <c r="CI318" s="847"/>
      <c r="CJ318" s="847"/>
      <c r="CK318" s="847"/>
      <c r="CL318" s="847"/>
      <c r="CM318" s="847"/>
      <c r="CN318" s="847"/>
      <c r="CO318" s="847"/>
      <c r="CP318" s="847"/>
      <c r="CQ318" s="847"/>
      <c r="CR318" s="847"/>
      <c r="CS318" s="847"/>
      <c r="CT318" s="847"/>
      <c r="CU318" s="847"/>
      <c r="CV318" s="847"/>
      <c r="CW318" s="847"/>
      <c r="CX318" s="847"/>
      <c r="CY318" s="847"/>
      <c r="CZ318" s="847"/>
      <c r="DA318" s="847"/>
      <c r="DB318" s="847"/>
      <c r="DC318" s="847"/>
      <c r="DD318" s="847"/>
      <c r="DE318" s="847"/>
      <c r="DF318" s="847"/>
      <c r="DG318" s="847"/>
      <c r="DH318" s="847"/>
      <c r="DI318" s="847"/>
      <c r="DJ318" s="847"/>
      <c r="DK318" s="847"/>
      <c r="DL318" s="847"/>
      <c r="DM318" s="1212"/>
      <c r="DN318" s="1222"/>
      <c r="DO318" s="1013"/>
      <c r="DP318" s="847"/>
      <c r="DQ318" s="1013"/>
      <c r="DR318" s="1225"/>
      <c r="DS318" s="1013"/>
      <c r="DT318" s="1225"/>
      <c r="DU318" s="1214"/>
      <c r="DV318" s="1242"/>
      <c r="DW318" s="1232"/>
      <c r="DX318" s="1222"/>
      <c r="DY318" s="847"/>
      <c r="DZ318" s="847"/>
      <c r="EA318" s="847"/>
      <c r="EB318" s="847"/>
      <c r="EC318" s="847"/>
      <c r="ED318" s="847"/>
      <c r="EE318" s="847"/>
      <c r="EF318" s="847"/>
      <c r="EG318" s="1212"/>
      <c r="EH318" s="847"/>
      <c r="EI318" s="1212"/>
    </row>
    <row r="319" spans="1:139" s="733" customFormat="1" ht="13.5">
      <c r="A319" s="1009"/>
      <c r="B319" s="1212" t="s">
        <v>2066</v>
      </c>
      <c r="C319" s="1213">
        <v>0</v>
      </c>
      <c r="D319" s="1013" t="s">
        <v>92</v>
      </c>
      <c r="E319" s="847"/>
      <c r="F319" s="1013"/>
      <c r="G319" s="847"/>
      <c r="H319" s="1013"/>
      <c r="I319" s="847"/>
      <c r="J319" s="1013"/>
      <c r="K319" s="847"/>
      <c r="L319" s="1013"/>
      <c r="M319" s="847"/>
      <c r="N319" s="1013"/>
      <c r="O319" s="847"/>
      <c r="P319" s="1013"/>
      <c r="Q319" s="847"/>
      <c r="R319" s="847"/>
      <c r="S319" s="847"/>
      <c r="T319" s="847"/>
      <c r="U319" s="847"/>
      <c r="V319" s="847"/>
      <c r="W319" s="847"/>
      <c r="X319" s="847"/>
      <c r="Y319" s="847"/>
      <c r="Z319" s="847"/>
      <c r="AA319" s="847"/>
      <c r="AB319" s="847"/>
      <c r="AC319" s="847"/>
      <c r="AD319" s="847"/>
      <c r="AE319" s="847"/>
      <c r="AF319" s="847"/>
      <c r="AG319" s="847"/>
      <c r="AH319" s="847"/>
      <c r="AI319" s="847"/>
      <c r="AJ319" s="847"/>
      <c r="AK319" s="847"/>
      <c r="AL319" s="847"/>
      <c r="AM319" s="847"/>
      <c r="AN319" s="847"/>
      <c r="AO319" s="847"/>
      <c r="AP319" s="847"/>
      <c r="AQ319" s="847"/>
      <c r="AR319" s="847"/>
      <c r="AS319" s="847"/>
      <c r="AT319" s="847"/>
      <c r="AU319" s="847"/>
      <c r="AV319" s="847"/>
      <c r="AW319" s="1225">
        <f>'Lead &amp; ANALYSIS'!G5630/9.3</f>
        <v>9.0322580645161282E-3</v>
      </c>
      <c r="AX319" s="847">
        <f>ROUND(C319*AW319,2)</f>
        <v>0</v>
      </c>
      <c r="AY319" s="847"/>
      <c r="AZ319" s="847"/>
      <c r="BA319" s="847"/>
      <c r="BB319" s="847"/>
      <c r="BC319" s="847"/>
      <c r="BD319" s="847"/>
      <c r="BE319" s="847"/>
      <c r="BF319" s="847"/>
      <c r="BG319" s="847"/>
      <c r="BH319" s="847"/>
      <c r="BI319" s="847"/>
      <c r="BJ319" s="847"/>
      <c r="BK319" s="847"/>
      <c r="BL319" s="847"/>
      <c r="BM319" s="847"/>
      <c r="BN319" s="847"/>
      <c r="BO319" s="847"/>
      <c r="BP319" s="847"/>
      <c r="BQ319" s="847"/>
      <c r="BR319" s="847"/>
      <c r="BS319" s="847"/>
      <c r="BT319" s="847"/>
      <c r="BU319" s="847"/>
      <c r="BV319" s="847"/>
      <c r="BW319" s="847"/>
      <c r="BX319" s="847"/>
      <c r="BY319" s="847"/>
      <c r="BZ319" s="847"/>
      <c r="CA319" s="847"/>
      <c r="CB319" s="847"/>
      <c r="CC319" s="847"/>
      <c r="CD319" s="847"/>
      <c r="CE319" s="847"/>
      <c r="CF319" s="847"/>
      <c r="CG319" s="847"/>
      <c r="CH319" s="847"/>
      <c r="CI319" s="847"/>
      <c r="CJ319" s="847"/>
      <c r="CK319" s="847"/>
      <c r="CL319" s="847"/>
      <c r="CM319" s="847"/>
      <c r="CN319" s="847"/>
      <c r="CO319" s="847"/>
      <c r="CP319" s="847"/>
      <c r="CQ319" s="847"/>
      <c r="CR319" s="847"/>
      <c r="CS319" s="847"/>
      <c r="CT319" s="847"/>
      <c r="CU319" s="847"/>
      <c r="CV319" s="847"/>
      <c r="CW319" s="847"/>
      <c r="CX319" s="847"/>
      <c r="CY319" s="847"/>
      <c r="CZ319" s="847"/>
      <c r="DA319" s="847"/>
      <c r="DB319" s="847"/>
      <c r="DC319" s="847"/>
      <c r="DD319" s="847"/>
      <c r="DE319" s="847"/>
      <c r="DF319" s="847"/>
      <c r="DG319" s="847"/>
      <c r="DH319" s="847"/>
      <c r="DI319" s="847"/>
      <c r="DJ319" s="847"/>
      <c r="DK319" s="847"/>
      <c r="DL319" s="847"/>
      <c r="DM319" s="1212"/>
      <c r="DN319" s="1224">
        <f>'Lead &amp; ANALYSIS'!G5624/9.3</f>
        <v>5.3763440860215048E-2</v>
      </c>
      <c r="DO319" s="1013">
        <f>ROUND(C319*DN319,2)</f>
        <v>0</v>
      </c>
      <c r="DP319" s="847"/>
      <c r="DQ319" s="1013"/>
      <c r="DR319" s="1228"/>
      <c r="DS319" s="1013"/>
      <c r="DT319" s="1225">
        <f>'Lead &amp; ANALYSIS'!G5623/9.3</f>
        <v>5.3763440860215048E-2</v>
      </c>
      <c r="DU319" s="1214">
        <f>ROUND(C319*DT319,2)</f>
        <v>0</v>
      </c>
      <c r="DV319" s="1242"/>
      <c r="DW319" s="1232"/>
      <c r="DX319" s="1222"/>
      <c r="DY319" s="847"/>
      <c r="DZ319" s="847"/>
      <c r="EA319" s="847"/>
      <c r="EB319" s="847"/>
      <c r="EC319" s="847"/>
      <c r="ED319" s="847"/>
      <c r="EE319" s="847"/>
      <c r="EF319" s="847"/>
      <c r="EG319" s="1212"/>
      <c r="EH319" s="847"/>
      <c r="EI319" s="1212"/>
    </row>
    <row r="320" spans="1:139" s="733" customFormat="1" ht="13.5">
      <c r="A320" s="1009"/>
      <c r="B320" s="1212" t="s">
        <v>2067</v>
      </c>
      <c r="C320" s="1213">
        <v>0</v>
      </c>
      <c r="D320" s="1013" t="s">
        <v>92</v>
      </c>
      <c r="E320" s="847"/>
      <c r="F320" s="1013"/>
      <c r="G320" s="847"/>
      <c r="H320" s="1013"/>
      <c r="I320" s="847"/>
      <c r="J320" s="1013"/>
      <c r="K320" s="847"/>
      <c r="L320" s="1013"/>
      <c r="M320" s="847"/>
      <c r="N320" s="1013"/>
      <c r="O320" s="847"/>
      <c r="P320" s="1013"/>
      <c r="Q320" s="847"/>
      <c r="R320" s="847"/>
      <c r="S320" s="847"/>
      <c r="T320" s="847"/>
      <c r="U320" s="847"/>
      <c r="V320" s="847"/>
      <c r="W320" s="847"/>
      <c r="X320" s="847"/>
      <c r="Y320" s="847"/>
      <c r="Z320" s="847"/>
      <c r="AA320" s="847"/>
      <c r="AB320" s="847"/>
      <c r="AC320" s="847"/>
      <c r="AD320" s="847"/>
      <c r="AE320" s="847"/>
      <c r="AF320" s="847"/>
      <c r="AG320" s="847"/>
      <c r="AH320" s="847"/>
      <c r="AI320" s="847"/>
      <c r="AJ320" s="847"/>
      <c r="AK320" s="847"/>
      <c r="AL320" s="847"/>
      <c r="AM320" s="847"/>
      <c r="AN320" s="847"/>
      <c r="AO320" s="847"/>
      <c r="AP320" s="847"/>
      <c r="AQ320" s="847"/>
      <c r="AR320" s="847"/>
      <c r="AS320" s="847"/>
      <c r="AT320" s="847"/>
      <c r="AU320" s="847"/>
      <c r="AV320" s="847"/>
      <c r="AW320" s="1225">
        <f>AW319</f>
        <v>9.0322580645161282E-3</v>
      </c>
      <c r="AX320" s="847">
        <f>ROUND(C320*AW320,2)</f>
        <v>0</v>
      </c>
      <c r="AY320" s="847"/>
      <c r="AZ320" s="847"/>
      <c r="BA320" s="847"/>
      <c r="BB320" s="847"/>
      <c r="BC320" s="847"/>
      <c r="BD320" s="847"/>
      <c r="BE320" s="847"/>
      <c r="BF320" s="847"/>
      <c r="BG320" s="847"/>
      <c r="BH320" s="847"/>
      <c r="BI320" s="847"/>
      <c r="BJ320" s="847"/>
      <c r="BK320" s="847"/>
      <c r="BL320" s="847"/>
      <c r="BM320" s="847"/>
      <c r="BN320" s="847"/>
      <c r="BO320" s="847"/>
      <c r="BP320" s="847"/>
      <c r="BQ320" s="847"/>
      <c r="BR320" s="847"/>
      <c r="BS320" s="847"/>
      <c r="BT320" s="847"/>
      <c r="BU320" s="847"/>
      <c r="BV320" s="847"/>
      <c r="BW320" s="847"/>
      <c r="BX320" s="847"/>
      <c r="BY320" s="847"/>
      <c r="BZ320" s="847"/>
      <c r="CA320" s="847"/>
      <c r="CB320" s="847"/>
      <c r="CC320" s="847"/>
      <c r="CD320" s="847"/>
      <c r="CE320" s="847"/>
      <c r="CF320" s="847"/>
      <c r="CG320" s="847"/>
      <c r="CH320" s="847"/>
      <c r="CI320" s="847"/>
      <c r="CJ320" s="847"/>
      <c r="CK320" s="847"/>
      <c r="CL320" s="847"/>
      <c r="CM320" s="847"/>
      <c r="CN320" s="847"/>
      <c r="CO320" s="847"/>
      <c r="CP320" s="847"/>
      <c r="CQ320" s="847"/>
      <c r="CR320" s="847"/>
      <c r="CS320" s="847"/>
      <c r="CT320" s="847"/>
      <c r="CU320" s="847"/>
      <c r="CV320" s="847"/>
      <c r="CW320" s="847"/>
      <c r="CX320" s="847"/>
      <c r="CY320" s="847"/>
      <c r="CZ320" s="847"/>
      <c r="DA320" s="847"/>
      <c r="DB320" s="847"/>
      <c r="DC320" s="847"/>
      <c r="DD320" s="847"/>
      <c r="DE320" s="847"/>
      <c r="DF320" s="847"/>
      <c r="DG320" s="847"/>
      <c r="DH320" s="847"/>
      <c r="DI320" s="847"/>
      <c r="DJ320" s="847"/>
      <c r="DK320" s="847"/>
      <c r="DL320" s="847"/>
      <c r="DM320" s="1212"/>
      <c r="DN320" s="1222">
        <f>DN319+DN319*3%</f>
        <v>5.5376344086021496E-2</v>
      </c>
      <c r="DO320" s="1013">
        <f>ROUND(C320*DN320,2)</f>
        <v>0</v>
      </c>
      <c r="DP320" s="847"/>
      <c r="DQ320" s="1013"/>
      <c r="DR320" s="1228"/>
      <c r="DS320" s="1013"/>
      <c r="DT320" s="1228">
        <f>DT319+DT319*3%</f>
        <v>5.5376344086021496E-2</v>
      </c>
      <c r="DU320" s="1214">
        <f>ROUND(C320*DT320,2)</f>
        <v>0</v>
      </c>
      <c r="DV320" s="1242"/>
      <c r="DW320" s="1232"/>
      <c r="DX320" s="1222"/>
      <c r="DY320" s="847"/>
      <c r="DZ320" s="847"/>
      <c r="EA320" s="847"/>
      <c r="EB320" s="847"/>
      <c r="EC320" s="847"/>
      <c r="ED320" s="847"/>
      <c r="EE320" s="847"/>
      <c r="EF320" s="847"/>
      <c r="EG320" s="1212"/>
      <c r="EH320" s="847"/>
      <c r="EI320" s="1212"/>
    </row>
    <row r="321" spans="1:139" s="733" customFormat="1" ht="13.5">
      <c r="A321" s="1009">
        <v>107</v>
      </c>
      <c r="B321" s="1212" t="s">
        <v>3090</v>
      </c>
      <c r="C321" s="1213">
        <v>0</v>
      </c>
      <c r="D321" s="1013" t="s">
        <v>92</v>
      </c>
      <c r="E321" s="847"/>
      <c r="F321" s="1013"/>
      <c r="G321" s="847"/>
      <c r="H321" s="1013"/>
      <c r="I321" s="847"/>
      <c r="J321" s="1013"/>
      <c r="K321" s="847"/>
      <c r="L321" s="1013"/>
      <c r="M321" s="847"/>
      <c r="N321" s="1013"/>
      <c r="O321" s="847"/>
      <c r="P321" s="1013"/>
      <c r="Q321" s="847"/>
      <c r="R321" s="847"/>
      <c r="S321" s="847"/>
      <c r="T321" s="847"/>
      <c r="U321" s="847"/>
      <c r="V321" s="847"/>
      <c r="W321" s="847"/>
      <c r="X321" s="847"/>
      <c r="Y321" s="847"/>
      <c r="Z321" s="847"/>
      <c r="AA321" s="847"/>
      <c r="AB321" s="847"/>
      <c r="AC321" s="847"/>
      <c r="AD321" s="847"/>
      <c r="AE321" s="847"/>
      <c r="AF321" s="847"/>
      <c r="AG321" s="847"/>
      <c r="AH321" s="847"/>
      <c r="AI321" s="847"/>
      <c r="AJ321" s="847"/>
      <c r="AK321" s="847"/>
      <c r="AL321" s="847"/>
      <c r="AM321" s="847"/>
      <c r="AN321" s="847"/>
      <c r="AO321" s="847"/>
      <c r="AP321" s="847"/>
      <c r="AQ321" s="847"/>
      <c r="AR321" s="847"/>
      <c r="AS321" s="847"/>
      <c r="AT321" s="847"/>
      <c r="AU321" s="847"/>
      <c r="AV321" s="847"/>
      <c r="AW321" s="847"/>
      <c r="AX321" s="847"/>
      <c r="AY321" s="847"/>
      <c r="AZ321" s="847"/>
      <c r="BA321" s="847"/>
      <c r="BB321" s="847"/>
      <c r="BC321" s="847"/>
      <c r="BD321" s="847"/>
      <c r="BE321" s="847"/>
      <c r="BF321" s="847"/>
      <c r="BG321" s="847"/>
      <c r="BH321" s="847"/>
      <c r="BI321" s="847"/>
      <c r="BJ321" s="847"/>
      <c r="BK321" s="847"/>
      <c r="BL321" s="847"/>
      <c r="BM321" s="847"/>
      <c r="BN321" s="847"/>
      <c r="BO321" s="847"/>
      <c r="BP321" s="847"/>
      <c r="BQ321" s="847"/>
      <c r="BR321" s="847"/>
      <c r="BS321" s="847"/>
      <c r="BT321" s="847"/>
      <c r="BU321" s="847"/>
      <c r="BV321" s="847"/>
      <c r="BW321" s="847"/>
      <c r="BX321" s="847"/>
      <c r="BY321" s="847"/>
      <c r="BZ321" s="847"/>
      <c r="CA321" s="847"/>
      <c r="CB321" s="847"/>
      <c r="CC321" s="847"/>
      <c r="CD321" s="847"/>
      <c r="CE321" s="847"/>
      <c r="CF321" s="847"/>
      <c r="CG321" s="847"/>
      <c r="CH321" s="847"/>
      <c r="CI321" s="847"/>
      <c r="CJ321" s="847"/>
      <c r="CK321" s="847"/>
      <c r="CL321" s="847"/>
      <c r="CM321" s="847"/>
      <c r="CN321" s="847"/>
      <c r="CO321" s="847"/>
      <c r="CP321" s="847"/>
      <c r="CQ321" s="847"/>
      <c r="CR321" s="847"/>
      <c r="CS321" s="847"/>
      <c r="CT321" s="847"/>
      <c r="CU321" s="847"/>
      <c r="CV321" s="847"/>
      <c r="CW321" s="847"/>
      <c r="CX321" s="847"/>
      <c r="CY321" s="847"/>
      <c r="CZ321" s="847"/>
      <c r="DA321" s="847"/>
      <c r="DB321" s="847"/>
      <c r="DC321" s="847"/>
      <c r="DD321" s="847"/>
      <c r="DE321" s="847"/>
      <c r="DF321" s="847"/>
      <c r="DG321" s="847"/>
      <c r="DH321" s="847"/>
      <c r="DI321" s="847"/>
      <c r="DJ321" s="847"/>
      <c r="DK321" s="847"/>
      <c r="DL321" s="847"/>
      <c r="DM321" s="1212"/>
      <c r="DN321" s="1222"/>
      <c r="DO321" s="1013"/>
      <c r="DP321" s="847"/>
      <c r="DQ321" s="1013"/>
      <c r="DR321" s="1225"/>
      <c r="DS321" s="1013"/>
      <c r="DT321" s="1225"/>
      <c r="DU321" s="1214"/>
      <c r="DV321" s="1242"/>
      <c r="DW321" s="1232"/>
      <c r="DX321" s="1222"/>
      <c r="DY321" s="847"/>
      <c r="DZ321" s="847"/>
      <c r="EA321" s="847"/>
      <c r="EB321" s="847"/>
      <c r="EC321" s="847"/>
      <c r="ED321" s="847"/>
      <c r="EE321" s="847"/>
      <c r="EF321" s="847"/>
      <c r="EG321" s="1212"/>
      <c r="EH321" s="847"/>
      <c r="EI321" s="1212"/>
    </row>
    <row r="322" spans="1:139" s="733" customFormat="1" ht="13.5">
      <c r="A322" s="1009"/>
      <c r="B322" s="1212" t="s">
        <v>2066</v>
      </c>
      <c r="C322" s="1213">
        <v>0</v>
      </c>
      <c r="D322" s="1013" t="s">
        <v>92</v>
      </c>
      <c r="E322" s="847"/>
      <c r="F322" s="1013"/>
      <c r="G322" s="847"/>
      <c r="H322" s="1013"/>
      <c r="I322" s="847"/>
      <c r="J322" s="1013"/>
      <c r="K322" s="847"/>
      <c r="L322" s="1013"/>
      <c r="M322" s="847"/>
      <c r="N322" s="1013"/>
      <c r="O322" s="847"/>
      <c r="P322" s="1013"/>
      <c r="Q322" s="847"/>
      <c r="R322" s="847"/>
      <c r="S322" s="847"/>
      <c r="T322" s="847"/>
      <c r="U322" s="847"/>
      <c r="V322" s="847"/>
      <c r="W322" s="847"/>
      <c r="X322" s="847"/>
      <c r="Y322" s="847"/>
      <c r="Z322" s="847"/>
      <c r="AA322" s="847"/>
      <c r="AB322" s="847"/>
      <c r="AC322" s="847"/>
      <c r="AD322" s="847"/>
      <c r="AE322" s="847"/>
      <c r="AF322" s="847"/>
      <c r="AG322" s="847"/>
      <c r="AH322" s="847"/>
      <c r="AI322" s="847"/>
      <c r="AJ322" s="847"/>
      <c r="AK322" s="847"/>
      <c r="AL322" s="847"/>
      <c r="AM322" s="847"/>
      <c r="AN322" s="847"/>
      <c r="AO322" s="847"/>
      <c r="AP322" s="847"/>
      <c r="AQ322" s="847"/>
      <c r="AR322" s="847"/>
      <c r="AS322" s="847"/>
      <c r="AT322" s="847"/>
      <c r="AU322" s="847"/>
      <c r="AV322" s="847"/>
      <c r="AW322" s="847"/>
      <c r="AX322" s="847"/>
      <c r="AY322" s="847"/>
      <c r="AZ322" s="847"/>
      <c r="BA322" s="847"/>
      <c r="BB322" s="847"/>
      <c r="BC322" s="847">
        <f>'Lead &amp; ANALYSIS'!G5699</f>
        <v>0.16600000000000001</v>
      </c>
      <c r="BD322" s="847">
        <f>ROUND(C322*BC322,2)</f>
        <v>0</v>
      </c>
      <c r="BE322" s="847"/>
      <c r="BF322" s="847"/>
      <c r="BG322" s="847"/>
      <c r="BH322" s="847"/>
      <c r="BI322" s="847"/>
      <c r="BJ322" s="847"/>
      <c r="BK322" s="847"/>
      <c r="BL322" s="847"/>
      <c r="BM322" s="847"/>
      <c r="BN322" s="847"/>
      <c r="BO322" s="847"/>
      <c r="BP322" s="847"/>
      <c r="BQ322" s="847"/>
      <c r="BR322" s="847"/>
      <c r="BS322" s="847"/>
      <c r="BT322" s="847"/>
      <c r="BU322" s="847"/>
      <c r="BV322" s="847"/>
      <c r="BW322" s="847"/>
      <c r="BX322" s="847"/>
      <c r="BY322" s="847"/>
      <c r="BZ322" s="847"/>
      <c r="CA322" s="847"/>
      <c r="CB322" s="847"/>
      <c r="CC322" s="847"/>
      <c r="CD322" s="847"/>
      <c r="CE322" s="847"/>
      <c r="CF322" s="847"/>
      <c r="CG322" s="847"/>
      <c r="CH322" s="847"/>
      <c r="CI322" s="847"/>
      <c r="CJ322" s="847"/>
      <c r="CK322" s="847"/>
      <c r="CL322" s="847"/>
      <c r="CM322" s="847"/>
      <c r="CN322" s="847"/>
      <c r="CO322" s="847"/>
      <c r="CP322" s="847"/>
      <c r="CQ322" s="847"/>
      <c r="CR322" s="847"/>
      <c r="CS322" s="847"/>
      <c r="CT322" s="847"/>
      <c r="CU322" s="847"/>
      <c r="CV322" s="847"/>
      <c r="CW322" s="847"/>
      <c r="CX322" s="847"/>
      <c r="CY322" s="847"/>
      <c r="CZ322" s="847"/>
      <c r="DA322" s="847"/>
      <c r="DB322" s="847"/>
      <c r="DC322" s="847"/>
      <c r="DD322" s="847"/>
      <c r="DE322" s="847"/>
      <c r="DF322" s="847"/>
      <c r="DG322" s="847"/>
      <c r="DH322" s="847"/>
      <c r="DI322" s="847"/>
      <c r="DJ322" s="847"/>
      <c r="DK322" s="847"/>
      <c r="DL322" s="847"/>
      <c r="DM322" s="1212"/>
      <c r="DN322" s="1231">
        <f>'Lead &amp; ANALYSIS'!G5693/10</f>
        <v>2.1999999999999999E-2</v>
      </c>
      <c r="DO322" s="1013">
        <f>ROUND(C322*DN322,2)</f>
        <v>0</v>
      </c>
      <c r="DP322" s="847"/>
      <c r="DQ322" s="1013"/>
      <c r="DR322" s="1225"/>
      <c r="DS322" s="1013"/>
      <c r="DT322" s="1225">
        <f>'Lead &amp; ANALYSIS'!G5692/10</f>
        <v>1.4999999999999999E-2</v>
      </c>
      <c r="DU322" s="1214">
        <f>ROUND(C322*DT322,2)</f>
        <v>0</v>
      </c>
      <c r="DV322" s="1242"/>
      <c r="DW322" s="1232"/>
      <c r="DX322" s="1222"/>
      <c r="DY322" s="847"/>
      <c r="DZ322" s="847"/>
      <c r="EA322" s="847"/>
      <c r="EB322" s="847"/>
      <c r="EC322" s="847"/>
      <c r="ED322" s="847"/>
      <c r="EE322" s="847"/>
      <c r="EF322" s="847"/>
      <c r="EG322" s="1212"/>
      <c r="EH322" s="847"/>
      <c r="EI322" s="1212"/>
    </row>
    <row r="323" spans="1:139" s="733" customFormat="1" ht="13.5">
      <c r="A323" s="1009"/>
      <c r="B323" s="1212" t="s">
        <v>2067</v>
      </c>
      <c r="C323" s="1213">
        <v>0</v>
      </c>
      <c r="D323" s="1013" t="s">
        <v>92</v>
      </c>
      <c r="E323" s="847"/>
      <c r="F323" s="1013"/>
      <c r="G323" s="847"/>
      <c r="H323" s="1013"/>
      <c r="I323" s="847"/>
      <c r="J323" s="1013"/>
      <c r="K323" s="847"/>
      <c r="L323" s="1013"/>
      <c r="M323" s="847"/>
      <c r="N323" s="1013"/>
      <c r="O323" s="847"/>
      <c r="P323" s="1013"/>
      <c r="Q323" s="847"/>
      <c r="R323" s="847"/>
      <c r="S323" s="847"/>
      <c r="T323" s="847"/>
      <c r="U323" s="847"/>
      <c r="V323" s="847"/>
      <c r="W323" s="847"/>
      <c r="X323" s="847"/>
      <c r="Y323" s="847"/>
      <c r="Z323" s="847"/>
      <c r="AA323" s="847"/>
      <c r="AB323" s="847"/>
      <c r="AC323" s="847"/>
      <c r="AD323" s="847"/>
      <c r="AE323" s="847"/>
      <c r="AF323" s="847"/>
      <c r="AG323" s="847"/>
      <c r="AH323" s="847"/>
      <c r="AI323" s="847"/>
      <c r="AJ323" s="847"/>
      <c r="AK323" s="847"/>
      <c r="AL323" s="847"/>
      <c r="AM323" s="847"/>
      <c r="AN323" s="847"/>
      <c r="AO323" s="847"/>
      <c r="AP323" s="847"/>
      <c r="AQ323" s="847"/>
      <c r="AR323" s="847"/>
      <c r="AS323" s="847"/>
      <c r="AT323" s="847"/>
      <c r="AU323" s="847"/>
      <c r="AV323" s="847"/>
      <c r="AW323" s="847"/>
      <c r="AX323" s="847"/>
      <c r="AY323" s="847"/>
      <c r="AZ323" s="847"/>
      <c r="BA323" s="847"/>
      <c r="BB323" s="847"/>
      <c r="BC323" s="847">
        <f>BC322</f>
        <v>0.16600000000000001</v>
      </c>
      <c r="BD323" s="847">
        <f>ROUND(C323*BC323,2)</f>
        <v>0</v>
      </c>
      <c r="BE323" s="847"/>
      <c r="BF323" s="847"/>
      <c r="BG323" s="847"/>
      <c r="BH323" s="847"/>
      <c r="BI323" s="847"/>
      <c r="BJ323" s="847"/>
      <c r="BK323" s="847"/>
      <c r="BL323" s="847"/>
      <c r="BM323" s="847"/>
      <c r="BN323" s="847"/>
      <c r="BO323" s="847"/>
      <c r="BP323" s="847"/>
      <c r="BQ323" s="847"/>
      <c r="BR323" s="847"/>
      <c r="BS323" s="847"/>
      <c r="BT323" s="847"/>
      <c r="BU323" s="847"/>
      <c r="BV323" s="847"/>
      <c r="BW323" s="847"/>
      <c r="BX323" s="847"/>
      <c r="BY323" s="847"/>
      <c r="BZ323" s="847"/>
      <c r="CA323" s="847"/>
      <c r="CB323" s="847"/>
      <c r="CC323" s="847"/>
      <c r="CD323" s="847"/>
      <c r="CE323" s="847"/>
      <c r="CF323" s="847"/>
      <c r="CG323" s="847"/>
      <c r="CH323" s="847"/>
      <c r="CI323" s="847"/>
      <c r="CJ323" s="847"/>
      <c r="CK323" s="847"/>
      <c r="CL323" s="847"/>
      <c r="CM323" s="847"/>
      <c r="CN323" s="847"/>
      <c r="CO323" s="847"/>
      <c r="CP323" s="847"/>
      <c r="CQ323" s="847"/>
      <c r="CR323" s="847"/>
      <c r="CS323" s="847"/>
      <c r="CT323" s="847"/>
      <c r="CU323" s="847"/>
      <c r="CV323" s="847"/>
      <c r="CW323" s="847"/>
      <c r="CX323" s="847"/>
      <c r="CY323" s="847"/>
      <c r="CZ323" s="847"/>
      <c r="DA323" s="847"/>
      <c r="DB323" s="847"/>
      <c r="DC323" s="847"/>
      <c r="DD323" s="847"/>
      <c r="DE323" s="847"/>
      <c r="DF323" s="847"/>
      <c r="DG323" s="847"/>
      <c r="DH323" s="847"/>
      <c r="DI323" s="847"/>
      <c r="DJ323" s="847"/>
      <c r="DK323" s="847"/>
      <c r="DL323" s="847"/>
      <c r="DM323" s="1212"/>
      <c r="DN323" s="1231">
        <f>DN322+DN322*3%</f>
        <v>2.266E-2</v>
      </c>
      <c r="DO323" s="1013">
        <f>ROUND(C323*DN323,2)</f>
        <v>0</v>
      </c>
      <c r="DP323" s="847"/>
      <c r="DQ323" s="1013"/>
      <c r="DR323" s="1225"/>
      <c r="DS323" s="1013"/>
      <c r="DT323" s="847">
        <f>DT322+DT322*3%</f>
        <v>1.545E-2</v>
      </c>
      <c r="DU323" s="1214">
        <f>ROUND(C323*DT323,2)</f>
        <v>0</v>
      </c>
      <c r="DV323" s="1242"/>
      <c r="DW323" s="1232"/>
      <c r="DX323" s="1222"/>
      <c r="DY323" s="847"/>
      <c r="DZ323" s="847"/>
      <c r="EA323" s="847"/>
      <c r="EB323" s="847"/>
      <c r="EC323" s="847"/>
      <c r="ED323" s="847"/>
      <c r="EE323" s="847"/>
      <c r="EF323" s="847"/>
      <c r="EG323" s="1212"/>
      <c r="EH323" s="847"/>
      <c r="EI323" s="1212"/>
    </row>
    <row r="324" spans="1:139" s="733" customFormat="1" ht="13.5">
      <c r="A324" s="1009">
        <v>108</v>
      </c>
      <c r="B324" s="1212" t="s">
        <v>3091</v>
      </c>
      <c r="C324" s="1213">
        <v>0</v>
      </c>
      <c r="D324" s="1013" t="s">
        <v>92</v>
      </c>
      <c r="E324" s="847"/>
      <c r="F324" s="1013"/>
      <c r="G324" s="847"/>
      <c r="H324" s="1013"/>
      <c r="I324" s="847"/>
      <c r="J324" s="1013"/>
      <c r="K324" s="847"/>
      <c r="L324" s="1013"/>
      <c r="M324" s="847"/>
      <c r="N324" s="1013"/>
      <c r="O324" s="847"/>
      <c r="P324" s="1013"/>
      <c r="Q324" s="847"/>
      <c r="R324" s="847"/>
      <c r="S324" s="847"/>
      <c r="T324" s="847"/>
      <c r="U324" s="847"/>
      <c r="V324" s="847"/>
      <c r="W324" s="847"/>
      <c r="X324" s="847"/>
      <c r="Y324" s="847"/>
      <c r="Z324" s="847"/>
      <c r="AA324" s="847"/>
      <c r="AB324" s="847"/>
      <c r="AC324" s="847"/>
      <c r="AD324" s="847"/>
      <c r="AE324" s="847"/>
      <c r="AF324" s="847"/>
      <c r="AG324" s="847"/>
      <c r="AH324" s="847"/>
      <c r="AI324" s="847"/>
      <c r="AJ324" s="847"/>
      <c r="AK324" s="847"/>
      <c r="AL324" s="847"/>
      <c r="AM324" s="847"/>
      <c r="AN324" s="847"/>
      <c r="AO324" s="847"/>
      <c r="AP324" s="847"/>
      <c r="AQ324" s="847"/>
      <c r="AR324" s="847"/>
      <c r="AS324" s="847"/>
      <c r="AT324" s="847"/>
      <c r="AU324" s="847"/>
      <c r="AV324" s="847"/>
      <c r="AW324" s="847"/>
      <c r="AX324" s="847"/>
      <c r="AY324" s="847"/>
      <c r="AZ324" s="847"/>
      <c r="BA324" s="847"/>
      <c r="BB324" s="847"/>
      <c r="BC324" s="847"/>
      <c r="BD324" s="847"/>
      <c r="BE324" s="847"/>
      <c r="BF324" s="847"/>
      <c r="BG324" s="847"/>
      <c r="BH324" s="847"/>
      <c r="BI324" s="847"/>
      <c r="BJ324" s="847"/>
      <c r="BK324" s="847"/>
      <c r="BL324" s="847"/>
      <c r="BM324" s="847"/>
      <c r="BN324" s="847"/>
      <c r="BO324" s="847"/>
      <c r="BP324" s="847"/>
      <c r="BQ324" s="847"/>
      <c r="BR324" s="847"/>
      <c r="BS324" s="847"/>
      <c r="BT324" s="847"/>
      <c r="BU324" s="847"/>
      <c r="BV324" s="847"/>
      <c r="BW324" s="847"/>
      <c r="BX324" s="847"/>
      <c r="BY324" s="847"/>
      <c r="BZ324" s="847"/>
      <c r="CA324" s="847"/>
      <c r="CB324" s="847"/>
      <c r="CC324" s="847"/>
      <c r="CD324" s="847"/>
      <c r="CE324" s="847"/>
      <c r="CF324" s="847"/>
      <c r="CG324" s="847"/>
      <c r="CH324" s="847"/>
      <c r="CI324" s="847"/>
      <c r="CJ324" s="847"/>
      <c r="CK324" s="847"/>
      <c r="CL324" s="847"/>
      <c r="CM324" s="847"/>
      <c r="CN324" s="847"/>
      <c r="CO324" s="847"/>
      <c r="CP324" s="847"/>
      <c r="CQ324" s="847"/>
      <c r="CR324" s="847"/>
      <c r="CS324" s="847"/>
      <c r="CT324" s="847"/>
      <c r="CU324" s="847"/>
      <c r="CV324" s="847"/>
      <c r="CW324" s="847"/>
      <c r="CX324" s="847"/>
      <c r="CY324" s="847"/>
      <c r="CZ324" s="847"/>
      <c r="DA324" s="847"/>
      <c r="DB324" s="847"/>
      <c r="DC324" s="847"/>
      <c r="DD324" s="847"/>
      <c r="DE324" s="847"/>
      <c r="DF324" s="847"/>
      <c r="DG324" s="847"/>
      <c r="DH324" s="847"/>
      <c r="DI324" s="847"/>
      <c r="DJ324" s="847"/>
      <c r="DK324" s="847"/>
      <c r="DL324" s="847"/>
      <c r="DM324" s="1212"/>
      <c r="DN324" s="1222"/>
      <c r="DO324" s="1013"/>
      <c r="DP324" s="847"/>
      <c r="DQ324" s="1013"/>
      <c r="DR324" s="1225"/>
      <c r="DS324" s="1013"/>
      <c r="DT324" s="1225"/>
      <c r="DU324" s="1214"/>
      <c r="DV324" s="1242"/>
      <c r="DW324" s="1232"/>
      <c r="DX324" s="1222"/>
      <c r="DY324" s="847"/>
      <c r="DZ324" s="847"/>
      <c r="EA324" s="847"/>
      <c r="EB324" s="847"/>
      <c r="EC324" s="847"/>
      <c r="ED324" s="847"/>
      <c r="EE324" s="847"/>
      <c r="EF324" s="847"/>
      <c r="EG324" s="1212"/>
      <c r="EH324" s="847"/>
      <c r="EI324" s="1212"/>
    </row>
    <row r="325" spans="1:139" s="733" customFormat="1" ht="13.5">
      <c r="A325" s="1009"/>
      <c r="B325" s="1212" t="s">
        <v>2066</v>
      </c>
      <c r="C325" s="1213">
        <v>0</v>
      </c>
      <c r="D325" s="1013" t="s">
        <v>92</v>
      </c>
      <c r="E325" s="847"/>
      <c r="F325" s="1013"/>
      <c r="G325" s="847"/>
      <c r="H325" s="1013"/>
      <c r="I325" s="847"/>
      <c r="J325" s="1013"/>
      <c r="K325" s="847"/>
      <c r="L325" s="1013"/>
      <c r="M325" s="847"/>
      <c r="N325" s="1013"/>
      <c r="O325" s="847"/>
      <c r="P325" s="1013"/>
      <c r="Q325" s="847"/>
      <c r="R325" s="847"/>
      <c r="S325" s="847"/>
      <c r="T325" s="847"/>
      <c r="U325" s="847"/>
      <c r="V325" s="847"/>
      <c r="W325" s="847"/>
      <c r="X325" s="847"/>
      <c r="Y325" s="847"/>
      <c r="Z325" s="847"/>
      <c r="AA325" s="847"/>
      <c r="AB325" s="847"/>
      <c r="AC325" s="847"/>
      <c r="AD325" s="847"/>
      <c r="AE325" s="847"/>
      <c r="AF325" s="847"/>
      <c r="AG325" s="847"/>
      <c r="AH325" s="847"/>
      <c r="AI325" s="847"/>
      <c r="AJ325" s="847"/>
      <c r="AK325" s="847"/>
      <c r="AL325" s="847"/>
      <c r="AM325" s="847"/>
      <c r="AN325" s="847"/>
      <c r="AO325" s="847"/>
      <c r="AP325" s="847"/>
      <c r="AQ325" s="847"/>
      <c r="AR325" s="847"/>
      <c r="AS325" s="847"/>
      <c r="AT325" s="847"/>
      <c r="AU325" s="847"/>
      <c r="AV325" s="847"/>
      <c r="AW325" s="847"/>
      <c r="AX325" s="847"/>
      <c r="AY325" s="847"/>
      <c r="AZ325" s="847"/>
      <c r="BA325" s="847"/>
      <c r="BB325" s="847"/>
      <c r="BC325" s="847">
        <f>'Lead &amp; ANALYSIS'!G5768</f>
        <v>0.25</v>
      </c>
      <c r="BD325" s="847">
        <f>ROUND(C325*BC325,2)</f>
        <v>0</v>
      </c>
      <c r="BE325" s="847"/>
      <c r="BF325" s="847"/>
      <c r="BG325" s="847"/>
      <c r="BH325" s="847"/>
      <c r="BI325" s="847"/>
      <c r="BJ325" s="847"/>
      <c r="BK325" s="847"/>
      <c r="BL325" s="847"/>
      <c r="BM325" s="847"/>
      <c r="BN325" s="847"/>
      <c r="BO325" s="847"/>
      <c r="BP325" s="847"/>
      <c r="BQ325" s="847"/>
      <c r="BR325" s="847"/>
      <c r="BS325" s="847"/>
      <c r="BT325" s="847"/>
      <c r="BU325" s="847"/>
      <c r="BV325" s="847"/>
      <c r="BW325" s="847"/>
      <c r="BX325" s="847"/>
      <c r="BY325" s="847"/>
      <c r="BZ325" s="847"/>
      <c r="CA325" s="847"/>
      <c r="CB325" s="847"/>
      <c r="CC325" s="847"/>
      <c r="CD325" s="847"/>
      <c r="CE325" s="847"/>
      <c r="CF325" s="847"/>
      <c r="CG325" s="847"/>
      <c r="CH325" s="847"/>
      <c r="CI325" s="847"/>
      <c r="CJ325" s="847"/>
      <c r="CK325" s="847"/>
      <c r="CL325" s="847"/>
      <c r="CM325" s="847"/>
      <c r="CN325" s="847"/>
      <c r="CO325" s="847"/>
      <c r="CP325" s="847"/>
      <c r="CQ325" s="847"/>
      <c r="CR325" s="847"/>
      <c r="CS325" s="847"/>
      <c r="CT325" s="847"/>
      <c r="CU325" s="847"/>
      <c r="CV325" s="847"/>
      <c r="CW325" s="847"/>
      <c r="CX325" s="847"/>
      <c r="CY325" s="847"/>
      <c r="CZ325" s="847"/>
      <c r="DA325" s="847"/>
      <c r="DB325" s="847"/>
      <c r="DC325" s="847"/>
      <c r="DD325" s="847"/>
      <c r="DE325" s="847"/>
      <c r="DF325" s="847"/>
      <c r="DG325" s="847"/>
      <c r="DH325" s="847"/>
      <c r="DI325" s="847"/>
      <c r="DJ325" s="847"/>
      <c r="DK325" s="847"/>
      <c r="DL325" s="847"/>
      <c r="DM325" s="1212"/>
      <c r="DN325" s="1224">
        <f>'Lead &amp; ANALYSIS'!G5762/10</f>
        <v>3.2000000000000001E-2</v>
      </c>
      <c r="DO325" s="1013">
        <f>ROUND(C325*DN325,2)</f>
        <v>0</v>
      </c>
      <c r="DP325" s="847"/>
      <c r="DQ325" s="1013"/>
      <c r="DR325" s="1225"/>
      <c r="DS325" s="1013"/>
      <c r="DT325" s="1225">
        <f>'Lead &amp; ANALYSIS'!G5761/10</f>
        <v>2.1999999999999999E-2</v>
      </c>
      <c r="DU325" s="1214">
        <f>ROUND(C325*DT325,2)</f>
        <v>0</v>
      </c>
      <c r="DV325" s="1242"/>
      <c r="DW325" s="1232"/>
      <c r="DX325" s="1222"/>
      <c r="DY325" s="847"/>
      <c r="DZ325" s="847"/>
      <c r="EA325" s="847"/>
      <c r="EB325" s="847"/>
      <c r="EC325" s="847"/>
      <c r="ED325" s="847"/>
      <c r="EE325" s="847"/>
      <c r="EF325" s="847"/>
      <c r="EG325" s="1212"/>
      <c r="EH325" s="847"/>
      <c r="EI325" s="1212"/>
    </row>
    <row r="326" spans="1:139" s="733" customFormat="1" ht="13.5">
      <c r="A326" s="1009"/>
      <c r="B326" s="1212" t="s">
        <v>2067</v>
      </c>
      <c r="C326" s="1213">
        <v>0</v>
      </c>
      <c r="D326" s="1013" t="s">
        <v>92</v>
      </c>
      <c r="E326" s="847"/>
      <c r="F326" s="1013"/>
      <c r="G326" s="847"/>
      <c r="H326" s="1013"/>
      <c r="I326" s="847"/>
      <c r="J326" s="1013"/>
      <c r="K326" s="847"/>
      <c r="L326" s="1013"/>
      <c r="M326" s="847"/>
      <c r="N326" s="1013"/>
      <c r="O326" s="847"/>
      <c r="P326" s="1013"/>
      <c r="Q326" s="847"/>
      <c r="R326" s="847"/>
      <c r="S326" s="847"/>
      <c r="T326" s="847"/>
      <c r="U326" s="847"/>
      <c r="V326" s="847"/>
      <c r="W326" s="847"/>
      <c r="X326" s="847"/>
      <c r="Y326" s="847"/>
      <c r="Z326" s="847"/>
      <c r="AA326" s="847"/>
      <c r="AB326" s="847"/>
      <c r="AC326" s="847"/>
      <c r="AD326" s="847"/>
      <c r="AE326" s="847"/>
      <c r="AF326" s="847"/>
      <c r="AG326" s="847"/>
      <c r="AH326" s="847"/>
      <c r="AI326" s="847"/>
      <c r="AJ326" s="847"/>
      <c r="AK326" s="847"/>
      <c r="AL326" s="847"/>
      <c r="AM326" s="847"/>
      <c r="AN326" s="847"/>
      <c r="AO326" s="847"/>
      <c r="AP326" s="847"/>
      <c r="AQ326" s="847"/>
      <c r="AR326" s="847"/>
      <c r="AS326" s="847"/>
      <c r="AT326" s="847"/>
      <c r="AU326" s="847"/>
      <c r="AV326" s="847"/>
      <c r="AW326" s="847"/>
      <c r="AX326" s="847"/>
      <c r="AY326" s="847"/>
      <c r="AZ326" s="847"/>
      <c r="BA326" s="847"/>
      <c r="BB326" s="847"/>
      <c r="BC326" s="847">
        <f>BC325</f>
        <v>0.25</v>
      </c>
      <c r="BD326" s="847">
        <f>ROUND(C326*BC326,2)</f>
        <v>0</v>
      </c>
      <c r="BE326" s="847"/>
      <c r="BF326" s="847"/>
      <c r="BG326" s="847"/>
      <c r="BH326" s="847"/>
      <c r="BI326" s="847"/>
      <c r="BJ326" s="847"/>
      <c r="BK326" s="847"/>
      <c r="BL326" s="847"/>
      <c r="BM326" s="847"/>
      <c r="BN326" s="847"/>
      <c r="BO326" s="847"/>
      <c r="BP326" s="847"/>
      <c r="BQ326" s="847"/>
      <c r="BR326" s="847"/>
      <c r="BS326" s="847"/>
      <c r="BT326" s="847"/>
      <c r="BU326" s="847"/>
      <c r="BV326" s="847"/>
      <c r="BW326" s="847"/>
      <c r="BX326" s="847"/>
      <c r="BY326" s="847"/>
      <c r="BZ326" s="847"/>
      <c r="CA326" s="847"/>
      <c r="CB326" s="847"/>
      <c r="CC326" s="847"/>
      <c r="CD326" s="847"/>
      <c r="CE326" s="847"/>
      <c r="CF326" s="847"/>
      <c r="CG326" s="847"/>
      <c r="CH326" s="847"/>
      <c r="CI326" s="847"/>
      <c r="CJ326" s="847"/>
      <c r="CK326" s="847"/>
      <c r="CL326" s="847"/>
      <c r="CM326" s="847"/>
      <c r="CN326" s="847"/>
      <c r="CO326" s="847"/>
      <c r="CP326" s="847"/>
      <c r="CQ326" s="847"/>
      <c r="CR326" s="847"/>
      <c r="CS326" s="847"/>
      <c r="CT326" s="847"/>
      <c r="CU326" s="847"/>
      <c r="CV326" s="847"/>
      <c r="CW326" s="847"/>
      <c r="CX326" s="847"/>
      <c r="CY326" s="847"/>
      <c r="CZ326" s="847"/>
      <c r="DA326" s="847"/>
      <c r="DB326" s="847"/>
      <c r="DC326" s="847"/>
      <c r="DD326" s="847"/>
      <c r="DE326" s="847"/>
      <c r="DF326" s="847"/>
      <c r="DG326" s="847"/>
      <c r="DH326" s="847"/>
      <c r="DI326" s="847"/>
      <c r="DJ326" s="847"/>
      <c r="DK326" s="847"/>
      <c r="DL326" s="847"/>
      <c r="DM326" s="1212"/>
      <c r="DN326" s="1224">
        <f>DN325+DN325*3%</f>
        <v>3.2960000000000003E-2</v>
      </c>
      <c r="DO326" s="1013">
        <f>ROUND(C326*DN326,2)</f>
        <v>0</v>
      </c>
      <c r="DP326" s="847"/>
      <c r="DQ326" s="1013"/>
      <c r="DR326" s="1225"/>
      <c r="DS326" s="1013"/>
      <c r="DT326" s="847">
        <f>DT325+DT325*3%</f>
        <v>2.266E-2</v>
      </c>
      <c r="DU326" s="1214">
        <f>ROUND(C326*DT326,2)</f>
        <v>0</v>
      </c>
      <c r="DV326" s="1242"/>
      <c r="DW326" s="1232"/>
      <c r="DX326" s="1222"/>
      <c r="DY326" s="847"/>
      <c r="DZ326" s="847"/>
      <c r="EA326" s="847"/>
      <c r="EB326" s="847"/>
      <c r="EC326" s="847"/>
      <c r="ED326" s="847"/>
      <c r="EE326" s="847"/>
      <c r="EF326" s="847"/>
      <c r="EG326" s="1212"/>
      <c r="EH326" s="847"/>
      <c r="EI326" s="1212"/>
    </row>
    <row r="327" spans="1:139" s="733" customFormat="1" ht="13.5">
      <c r="A327" s="1009">
        <v>109</v>
      </c>
      <c r="B327" s="1212" t="s">
        <v>1608</v>
      </c>
      <c r="C327" s="1213">
        <v>0</v>
      </c>
      <c r="D327" s="1013" t="s">
        <v>92</v>
      </c>
      <c r="E327" s="847"/>
      <c r="F327" s="1013"/>
      <c r="G327" s="847"/>
      <c r="H327" s="1013"/>
      <c r="I327" s="847"/>
      <c r="J327" s="1013"/>
      <c r="K327" s="847"/>
      <c r="L327" s="1013"/>
      <c r="M327" s="847"/>
      <c r="N327" s="1013"/>
      <c r="O327" s="847"/>
      <c r="P327" s="1013"/>
      <c r="Q327" s="847"/>
      <c r="R327" s="847"/>
      <c r="S327" s="847"/>
      <c r="T327" s="847"/>
      <c r="U327" s="847"/>
      <c r="V327" s="847"/>
      <c r="W327" s="847"/>
      <c r="X327" s="847"/>
      <c r="Y327" s="847"/>
      <c r="Z327" s="847"/>
      <c r="AA327" s="847"/>
      <c r="AB327" s="847"/>
      <c r="AC327" s="847"/>
      <c r="AD327" s="847"/>
      <c r="AE327" s="847"/>
      <c r="AF327" s="847"/>
      <c r="AG327" s="847"/>
      <c r="AH327" s="847"/>
      <c r="AI327" s="847"/>
      <c r="AJ327" s="847"/>
      <c r="AK327" s="847"/>
      <c r="AL327" s="847"/>
      <c r="AM327" s="847"/>
      <c r="AN327" s="847"/>
      <c r="AO327" s="847"/>
      <c r="AP327" s="847"/>
      <c r="AQ327" s="847"/>
      <c r="AR327" s="847"/>
      <c r="AS327" s="847"/>
      <c r="AT327" s="847"/>
      <c r="AU327" s="847"/>
      <c r="AV327" s="847"/>
      <c r="AW327" s="847"/>
      <c r="AX327" s="847"/>
      <c r="AY327" s="847"/>
      <c r="AZ327" s="847"/>
      <c r="BA327" s="847"/>
      <c r="BB327" s="847"/>
      <c r="BC327" s="847"/>
      <c r="BD327" s="847"/>
      <c r="BE327" s="847"/>
      <c r="BF327" s="847"/>
      <c r="BG327" s="847"/>
      <c r="BH327" s="847"/>
      <c r="BI327" s="847"/>
      <c r="BJ327" s="847"/>
      <c r="BK327" s="847"/>
      <c r="BL327" s="847"/>
      <c r="BM327" s="847"/>
      <c r="BN327" s="847"/>
      <c r="BO327" s="847"/>
      <c r="BP327" s="847"/>
      <c r="BQ327" s="847"/>
      <c r="BR327" s="847"/>
      <c r="BS327" s="847"/>
      <c r="BT327" s="847"/>
      <c r="BU327" s="847"/>
      <c r="BV327" s="847"/>
      <c r="BW327" s="847"/>
      <c r="BX327" s="847"/>
      <c r="BY327" s="847"/>
      <c r="BZ327" s="847"/>
      <c r="CA327" s="847"/>
      <c r="CB327" s="847"/>
      <c r="CC327" s="847"/>
      <c r="CD327" s="847"/>
      <c r="CE327" s="847"/>
      <c r="CF327" s="847"/>
      <c r="CG327" s="847"/>
      <c r="CH327" s="847"/>
      <c r="CI327" s="847"/>
      <c r="CJ327" s="847"/>
      <c r="CK327" s="847"/>
      <c r="CL327" s="847"/>
      <c r="CM327" s="847"/>
      <c r="CN327" s="847"/>
      <c r="CO327" s="847"/>
      <c r="CP327" s="847"/>
      <c r="CQ327" s="847"/>
      <c r="CR327" s="847"/>
      <c r="CS327" s="847"/>
      <c r="CT327" s="847"/>
      <c r="CU327" s="847"/>
      <c r="CV327" s="847"/>
      <c r="CW327" s="847"/>
      <c r="CX327" s="847"/>
      <c r="CY327" s="847"/>
      <c r="CZ327" s="847"/>
      <c r="DA327" s="847"/>
      <c r="DB327" s="847"/>
      <c r="DC327" s="847"/>
      <c r="DD327" s="847"/>
      <c r="DE327" s="847"/>
      <c r="DF327" s="847"/>
      <c r="DG327" s="847"/>
      <c r="DH327" s="847"/>
      <c r="DI327" s="847"/>
      <c r="DJ327" s="847"/>
      <c r="DK327" s="847"/>
      <c r="DL327" s="847"/>
      <c r="DM327" s="1212"/>
      <c r="DN327" s="1222"/>
      <c r="DO327" s="1013"/>
      <c r="DP327" s="847"/>
      <c r="DQ327" s="1013"/>
      <c r="DR327" s="1225"/>
      <c r="DS327" s="1013"/>
      <c r="DT327" s="1225"/>
      <c r="DU327" s="1214"/>
      <c r="DV327" s="1242"/>
      <c r="DW327" s="1232"/>
      <c r="DX327" s="1222"/>
      <c r="DY327" s="847"/>
      <c r="DZ327" s="847"/>
      <c r="EA327" s="847"/>
      <c r="EB327" s="847"/>
      <c r="EC327" s="847"/>
      <c r="ED327" s="847"/>
      <c r="EE327" s="847"/>
      <c r="EF327" s="847"/>
      <c r="EG327" s="1212"/>
      <c r="EH327" s="847"/>
      <c r="EI327" s="1212"/>
    </row>
    <row r="328" spans="1:139" s="733" customFormat="1" ht="13.5">
      <c r="A328" s="1009"/>
      <c r="B328" s="1212" t="s">
        <v>2066</v>
      </c>
      <c r="C328" s="1213">
        <v>0</v>
      </c>
      <c r="D328" s="1013" t="s">
        <v>92</v>
      </c>
      <c r="E328" s="847"/>
      <c r="F328" s="1013"/>
      <c r="G328" s="847"/>
      <c r="H328" s="1013"/>
      <c r="I328" s="847"/>
      <c r="J328" s="1013"/>
      <c r="K328" s="847"/>
      <c r="L328" s="1013"/>
      <c r="M328" s="847"/>
      <c r="N328" s="1013"/>
      <c r="O328" s="847"/>
      <c r="P328" s="1013"/>
      <c r="Q328" s="847"/>
      <c r="R328" s="847"/>
      <c r="S328" s="847"/>
      <c r="T328" s="847"/>
      <c r="U328" s="847"/>
      <c r="V328" s="847"/>
      <c r="W328" s="847"/>
      <c r="X328" s="847"/>
      <c r="Y328" s="847"/>
      <c r="Z328" s="847"/>
      <c r="AA328" s="847"/>
      <c r="AB328" s="847"/>
      <c r="AC328" s="847"/>
      <c r="AD328" s="847"/>
      <c r="AE328" s="847"/>
      <c r="AF328" s="847"/>
      <c r="AG328" s="847"/>
      <c r="AH328" s="847"/>
      <c r="AI328" s="847"/>
      <c r="AJ328" s="847"/>
      <c r="AK328" s="847"/>
      <c r="AL328" s="847"/>
      <c r="AM328" s="847"/>
      <c r="AN328" s="847"/>
      <c r="AO328" s="847"/>
      <c r="AP328" s="847"/>
      <c r="AQ328" s="847"/>
      <c r="AR328" s="847"/>
      <c r="AS328" s="847"/>
      <c r="AT328" s="847"/>
      <c r="AU328" s="847"/>
      <c r="AV328" s="847"/>
      <c r="AW328" s="847"/>
      <c r="AX328" s="847"/>
      <c r="AY328" s="847"/>
      <c r="AZ328" s="847"/>
      <c r="BA328" s="847"/>
      <c r="BB328" s="847"/>
      <c r="BC328" s="847"/>
      <c r="BD328" s="847"/>
      <c r="BE328" s="847"/>
      <c r="BF328" s="847"/>
      <c r="BG328" s="847">
        <f>'Lead &amp; ANALYSIS'!G5837</f>
        <v>0.125</v>
      </c>
      <c r="BH328" s="847">
        <f>ROUND(C328*BG328,2)</f>
        <v>0</v>
      </c>
      <c r="BI328" s="847"/>
      <c r="BJ328" s="847"/>
      <c r="BK328" s="847"/>
      <c r="BL328" s="847"/>
      <c r="BM328" s="847"/>
      <c r="BN328" s="847"/>
      <c r="BO328" s="847"/>
      <c r="BP328" s="847"/>
      <c r="BQ328" s="847"/>
      <c r="BR328" s="847"/>
      <c r="BS328" s="847"/>
      <c r="BT328" s="847"/>
      <c r="BU328" s="847"/>
      <c r="BV328" s="847"/>
      <c r="BW328" s="847"/>
      <c r="BX328" s="847"/>
      <c r="BY328" s="847"/>
      <c r="BZ328" s="847"/>
      <c r="CA328" s="847"/>
      <c r="CB328" s="847"/>
      <c r="CC328" s="847"/>
      <c r="CD328" s="847"/>
      <c r="CE328" s="847"/>
      <c r="CF328" s="847"/>
      <c r="CG328" s="847"/>
      <c r="CH328" s="847"/>
      <c r="CI328" s="847"/>
      <c r="CJ328" s="847"/>
      <c r="CK328" s="847"/>
      <c r="CL328" s="847"/>
      <c r="CM328" s="847"/>
      <c r="CN328" s="847"/>
      <c r="CO328" s="847"/>
      <c r="CP328" s="847"/>
      <c r="CQ328" s="847"/>
      <c r="CR328" s="847"/>
      <c r="CS328" s="847"/>
      <c r="CT328" s="847"/>
      <c r="CU328" s="847"/>
      <c r="CV328" s="847"/>
      <c r="CW328" s="847"/>
      <c r="CX328" s="847"/>
      <c r="CY328" s="847"/>
      <c r="CZ328" s="847"/>
      <c r="DA328" s="847"/>
      <c r="DB328" s="847"/>
      <c r="DC328" s="847"/>
      <c r="DD328" s="847"/>
      <c r="DE328" s="847"/>
      <c r="DF328" s="847"/>
      <c r="DG328" s="847"/>
      <c r="DH328" s="847"/>
      <c r="DI328" s="847"/>
      <c r="DJ328" s="847"/>
      <c r="DK328" s="847"/>
      <c r="DL328" s="847"/>
      <c r="DM328" s="1212"/>
      <c r="DN328" s="1222">
        <f>'Lead &amp; ANALYSIS'!G5830/10</f>
        <v>6.4000000000000001E-2</v>
      </c>
      <c r="DO328" s="1013">
        <f>ROUND(C328*DN328,2)</f>
        <v>0</v>
      </c>
      <c r="DP328" s="847"/>
      <c r="DQ328" s="1013"/>
      <c r="DR328" s="1225"/>
      <c r="DS328" s="1013"/>
      <c r="DT328" s="1225">
        <f>'Lead &amp; ANALYSIS'!G5829/10</f>
        <v>5.4000000000000006E-2</v>
      </c>
      <c r="DU328" s="1214">
        <f>ROUND(C328*DT328,2)</f>
        <v>0</v>
      </c>
      <c r="DV328" s="1242"/>
      <c r="DW328" s="1232"/>
      <c r="DX328" s="1222"/>
      <c r="DY328" s="847"/>
      <c r="DZ328" s="847"/>
      <c r="EA328" s="847"/>
      <c r="EB328" s="847"/>
      <c r="EC328" s="847"/>
      <c r="ED328" s="847"/>
      <c r="EE328" s="847"/>
      <c r="EF328" s="847"/>
      <c r="EG328" s="1212"/>
      <c r="EH328" s="847"/>
      <c r="EI328" s="1212"/>
    </row>
    <row r="329" spans="1:139" s="733" customFormat="1" ht="13.5">
      <c r="A329" s="1009"/>
      <c r="B329" s="1212" t="s">
        <v>2067</v>
      </c>
      <c r="C329" s="1213">
        <v>0</v>
      </c>
      <c r="D329" s="1013" t="s">
        <v>92</v>
      </c>
      <c r="E329" s="847"/>
      <c r="F329" s="1013"/>
      <c r="G329" s="847"/>
      <c r="H329" s="1013"/>
      <c r="I329" s="847"/>
      <c r="J329" s="1013"/>
      <c r="K329" s="847"/>
      <c r="L329" s="1013"/>
      <c r="M329" s="847"/>
      <c r="N329" s="1013"/>
      <c r="O329" s="847"/>
      <c r="P329" s="1013"/>
      <c r="Q329" s="847"/>
      <c r="R329" s="847"/>
      <c r="S329" s="847"/>
      <c r="T329" s="847"/>
      <c r="U329" s="847"/>
      <c r="V329" s="847"/>
      <c r="W329" s="847"/>
      <c r="X329" s="847"/>
      <c r="Y329" s="847"/>
      <c r="Z329" s="847"/>
      <c r="AA329" s="847"/>
      <c r="AB329" s="847"/>
      <c r="AC329" s="847"/>
      <c r="AD329" s="847"/>
      <c r="AE329" s="847"/>
      <c r="AF329" s="847"/>
      <c r="AG329" s="847"/>
      <c r="AH329" s="847"/>
      <c r="AI329" s="847"/>
      <c r="AJ329" s="847"/>
      <c r="AK329" s="847"/>
      <c r="AL329" s="847"/>
      <c r="AM329" s="847"/>
      <c r="AN329" s="847"/>
      <c r="AO329" s="847"/>
      <c r="AP329" s="847"/>
      <c r="AQ329" s="847"/>
      <c r="AR329" s="847"/>
      <c r="AS329" s="847"/>
      <c r="AT329" s="847"/>
      <c r="AU329" s="847"/>
      <c r="AV329" s="847"/>
      <c r="AW329" s="847"/>
      <c r="AX329" s="847"/>
      <c r="AY329" s="847"/>
      <c r="AZ329" s="847"/>
      <c r="BA329" s="847"/>
      <c r="BB329" s="847"/>
      <c r="BC329" s="847"/>
      <c r="BD329" s="847"/>
      <c r="BE329" s="847"/>
      <c r="BF329" s="847"/>
      <c r="BG329" s="847">
        <f>BG328</f>
        <v>0.125</v>
      </c>
      <c r="BH329" s="847">
        <f>ROUND(C329*BG329,2)</f>
        <v>0</v>
      </c>
      <c r="BI329" s="847"/>
      <c r="BJ329" s="847"/>
      <c r="BK329" s="847"/>
      <c r="BL329" s="847"/>
      <c r="BM329" s="847"/>
      <c r="BN329" s="847"/>
      <c r="BO329" s="847"/>
      <c r="BP329" s="847"/>
      <c r="BQ329" s="847"/>
      <c r="BR329" s="847"/>
      <c r="BS329" s="847"/>
      <c r="BT329" s="847"/>
      <c r="BU329" s="847"/>
      <c r="BV329" s="847"/>
      <c r="BW329" s="847"/>
      <c r="BX329" s="847"/>
      <c r="BY329" s="847"/>
      <c r="BZ329" s="847"/>
      <c r="CA329" s="847"/>
      <c r="CB329" s="847"/>
      <c r="CC329" s="847"/>
      <c r="CD329" s="847"/>
      <c r="CE329" s="847"/>
      <c r="CF329" s="847"/>
      <c r="CG329" s="847"/>
      <c r="CH329" s="847"/>
      <c r="CI329" s="847"/>
      <c r="CJ329" s="847"/>
      <c r="CK329" s="847"/>
      <c r="CL329" s="847"/>
      <c r="CM329" s="847"/>
      <c r="CN329" s="847"/>
      <c r="CO329" s="847"/>
      <c r="CP329" s="847"/>
      <c r="CQ329" s="847"/>
      <c r="CR329" s="847"/>
      <c r="CS329" s="847"/>
      <c r="CT329" s="847"/>
      <c r="CU329" s="847"/>
      <c r="CV329" s="847"/>
      <c r="CW329" s="847"/>
      <c r="CX329" s="847"/>
      <c r="CY329" s="847"/>
      <c r="CZ329" s="847"/>
      <c r="DA329" s="847"/>
      <c r="DB329" s="847"/>
      <c r="DC329" s="847"/>
      <c r="DD329" s="847"/>
      <c r="DE329" s="847"/>
      <c r="DF329" s="847"/>
      <c r="DG329" s="847"/>
      <c r="DH329" s="847"/>
      <c r="DI329" s="847"/>
      <c r="DJ329" s="847"/>
      <c r="DK329" s="847"/>
      <c r="DL329" s="847"/>
      <c r="DM329" s="1212"/>
      <c r="DN329" s="1222">
        <f>DN328+DN328*5%</f>
        <v>6.7199999999999996E-2</v>
      </c>
      <c r="DO329" s="1013">
        <f>ROUND(C329*DN329,2)</f>
        <v>0</v>
      </c>
      <c r="DP329" s="847"/>
      <c r="DQ329" s="1013"/>
      <c r="DR329" s="1225"/>
      <c r="DS329" s="1013"/>
      <c r="DT329" s="847">
        <f>DT328+DT328*5%</f>
        <v>5.6700000000000007E-2</v>
      </c>
      <c r="DU329" s="1214">
        <f>ROUND(C329*DT329,2)</f>
        <v>0</v>
      </c>
      <c r="DV329" s="1242"/>
      <c r="DW329" s="1232"/>
      <c r="DX329" s="1222"/>
      <c r="DY329" s="847"/>
      <c r="DZ329" s="847"/>
      <c r="EA329" s="847"/>
      <c r="EB329" s="847"/>
      <c r="EC329" s="847"/>
      <c r="ED329" s="847"/>
      <c r="EE329" s="847"/>
      <c r="EF329" s="847"/>
      <c r="EG329" s="1212"/>
      <c r="EH329" s="847"/>
      <c r="EI329" s="1212"/>
    </row>
    <row r="330" spans="1:139" s="733" customFormat="1" ht="13.5">
      <c r="A330" s="1009">
        <v>110</v>
      </c>
      <c r="B330" s="1212" t="s">
        <v>3092</v>
      </c>
      <c r="C330" s="1213">
        <v>0</v>
      </c>
      <c r="D330" s="1013" t="s">
        <v>92</v>
      </c>
      <c r="E330" s="847"/>
      <c r="F330" s="1013"/>
      <c r="G330" s="847"/>
      <c r="H330" s="1013"/>
      <c r="I330" s="847"/>
      <c r="J330" s="1013"/>
      <c r="K330" s="847"/>
      <c r="L330" s="1013"/>
      <c r="M330" s="847"/>
      <c r="N330" s="1013"/>
      <c r="O330" s="847"/>
      <c r="P330" s="1013"/>
      <c r="Q330" s="847"/>
      <c r="R330" s="847"/>
      <c r="S330" s="847"/>
      <c r="T330" s="847"/>
      <c r="U330" s="847"/>
      <c r="V330" s="847"/>
      <c r="W330" s="847"/>
      <c r="X330" s="847"/>
      <c r="Y330" s="847"/>
      <c r="Z330" s="847"/>
      <c r="AA330" s="847"/>
      <c r="AB330" s="847"/>
      <c r="AC330" s="847"/>
      <c r="AD330" s="847"/>
      <c r="AE330" s="847"/>
      <c r="AF330" s="847"/>
      <c r="AG330" s="847"/>
      <c r="AH330" s="847"/>
      <c r="AI330" s="847"/>
      <c r="AJ330" s="847"/>
      <c r="AK330" s="847"/>
      <c r="AL330" s="847"/>
      <c r="AM330" s="847"/>
      <c r="AN330" s="847"/>
      <c r="AO330" s="847"/>
      <c r="AP330" s="847"/>
      <c r="AQ330" s="847"/>
      <c r="AR330" s="847"/>
      <c r="AS330" s="847"/>
      <c r="AT330" s="847"/>
      <c r="AU330" s="847"/>
      <c r="AV330" s="847"/>
      <c r="AW330" s="847"/>
      <c r="AX330" s="847"/>
      <c r="AY330" s="847"/>
      <c r="AZ330" s="847"/>
      <c r="BA330" s="847"/>
      <c r="BB330" s="847"/>
      <c r="BC330" s="847"/>
      <c r="BD330" s="847"/>
      <c r="BE330" s="847"/>
      <c r="BF330" s="847"/>
      <c r="BG330" s="847"/>
      <c r="BH330" s="847"/>
      <c r="BI330" s="847"/>
      <c r="BJ330" s="847"/>
      <c r="BK330" s="847"/>
      <c r="BL330" s="847"/>
      <c r="BM330" s="847"/>
      <c r="BN330" s="847"/>
      <c r="BO330" s="847"/>
      <c r="BP330" s="847"/>
      <c r="BQ330" s="847"/>
      <c r="BR330" s="847"/>
      <c r="BS330" s="847"/>
      <c r="BT330" s="847"/>
      <c r="BU330" s="847"/>
      <c r="BV330" s="847"/>
      <c r="BW330" s="847"/>
      <c r="BX330" s="847"/>
      <c r="BY330" s="847"/>
      <c r="BZ330" s="847"/>
      <c r="CA330" s="847"/>
      <c r="CB330" s="847"/>
      <c r="CC330" s="847"/>
      <c r="CD330" s="847"/>
      <c r="CE330" s="847"/>
      <c r="CF330" s="847"/>
      <c r="CG330" s="847"/>
      <c r="CH330" s="847"/>
      <c r="CI330" s="847"/>
      <c r="CJ330" s="847"/>
      <c r="CK330" s="847"/>
      <c r="CL330" s="847"/>
      <c r="CM330" s="847"/>
      <c r="CN330" s="847"/>
      <c r="CO330" s="847"/>
      <c r="CP330" s="847"/>
      <c r="CQ330" s="847"/>
      <c r="CR330" s="847"/>
      <c r="CS330" s="847"/>
      <c r="CT330" s="847"/>
      <c r="CU330" s="847"/>
      <c r="CV330" s="847"/>
      <c r="CW330" s="847"/>
      <c r="CX330" s="847"/>
      <c r="CY330" s="847"/>
      <c r="CZ330" s="847"/>
      <c r="DA330" s="847"/>
      <c r="DB330" s="847"/>
      <c r="DC330" s="847"/>
      <c r="DD330" s="847"/>
      <c r="DE330" s="847"/>
      <c r="DF330" s="847"/>
      <c r="DG330" s="847"/>
      <c r="DH330" s="847"/>
      <c r="DI330" s="847"/>
      <c r="DJ330" s="847"/>
      <c r="DK330" s="847"/>
      <c r="DL330" s="847"/>
      <c r="DM330" s="1212"/>
      <c r="DN330" s="1222"/>
      <c r="DO330" s="1013"/>
      <c r="DP330" s="847"/>
      <c r="DQ330" s="1013"/>
      <c r="DR330" s="1225"/>
      <c r="DS330" s="1013"/>
      <c r="DT330" s="1225"/>
      <c r="DU330" s="1214"/>
      <c r="DV330" s="1242"/>
      <c r="DW330" s="1232"/>
      <c r="DX330" s="1222"/>
      <c r="DY330" s="847"/>
      <c r="DZ330" s="847"/>
      <c r="EA330" s="847"/>
      <c r="EB330" s="847"/>
      <c r="EC330" s="847"/>
      <c r="ED330" s="847"/>
      <c r="EE330" s="847"/>
      <c r="EF330" s="847"/>
      <c r="EG330" s="1212"/>
      <c r="EH330" s="847"/>
      <c r="EI330" s="1212"/>
    </row>
    <row r="331" spans="1:139" s="733" customFormat="1" ht="13.5">
      <c r="A331" s="1009"/>
      <c r="B331" s="1212" t="s">
        <v>2066</v>
      </c>
      <c r="C331" s="1213">
        <v>0</v>
      </c>
      <c r="D331" s="1013" t="s">
        <v>92</v>
      </c>
      <c r="E331" s="847"/>
      <c r="F331" s="1013"/>
      <c r="G331" s="847"/>
      <c r="H331" s="1013"/>
      <c r="I331" s="847"/>
      <c r="J331" s="1013"/>
      <c r="K331" s="847"/>
      <c r="L331" s="1013"/>
      <c r="M331" s="847"/>
      <c r="N331" s="1013"/>
      <c r="O331" s="847"/>
      <c r="P331" s="1013"/>
      <c r="Q331" s="847"/>
      <c r="R331" s="847"/>
      <c r="S331" s="847"/>
      <c r="T331" s="847"/>
      <c r="U331" s="847"/>
      <c r="V331" s="847"/>
      <c r="W331" s="847"/>
      <c r="X331" s="847"/>
      <c r="Y331" s="847"/>
      <c r="Z331" s="847"/>
      <c r="AA331" s="847"/>
      <c r="AB331" s="847"/>
      <c r="AC331" s="847"/>
      <c r="AD331" s="847"/>
      <c r="AE331" s="847"/>
      <c r="AF331" s="847"/>
      <c r="AG331" s="847"/>
      <c r="AH331" s="847"/>
      <c r="AI331" s="847"/>
      <c r="AJ331" s="847"/>
      <c r="AK331" s="847"/>
      <c r="AL331" s="847"/>
      <c r="AM331" s="847"/>
      <c r="AN331" s="847"/>
      <c r="AO331" s="847"/>
      <c r="AP331" s="847"/>
      <c r="AQ331" s="847"/>
      <c r="AR331" s="847"/>
      <c r="AS331" s="847"/>
      <c r="AT331" s="847"/>
      <c r="AU331" s="847"/>
      <c r="AV331" s="847"/>
      <c r="AW331" s="847">
        <f>'Lead &amp; ANALYSIS'!G5879</f>
        <v>8.4000000000000005E-2</v>
      </c>
      <c r="AX331" s="847">
        <f>ROUND(C331*AW331,2)</f>
        <v>0</v>
      </c>
      <c r="AY331" s="847"/>
      <c r="AZ331" s="847"/>
      <c r="BA331" s="847"/>
      <c r="BB331" s="847"/>
      <c r="BC331" s="847"/>
      <c r="BD331" s="847"/>
      <c r="BE331" s="847"/>
      <c r="BF331" s="847"/>
      <c r="BG331" s="847">
        <f>'Lead &amp; ANALYSIS'!G5880</f>
        <v>0.125</v>
      </c>
      <c r="BH331" s="847">
        <f>ROUND(C331*BG331,2)</f>
        <v>0</v>
      </c>
      <c r="BI331" s="847"/>
      <c r="BJ331" s="847"/>
      <c r="BK331" s="847"/>
      <c r="BL331" s="847"/>
      <c r="BM331" s="847"/>
      <c r="BN331" s="847"/>
      <c r="BO331" s="847"/>
      <c r="BP331" s="847"/>
      <c r="BQ331" s="847"/>
      <c r="BR331" s="847"/>
      <c r="BS331" s="847"/>
      <c r="BT331" s="847"/>
      <c r="BU331" s="847"/>
      <c r="BV331" s="847"/>
      <c r="BW331" s="847"/>
      <c r="BX331" s="847"/>
      <c r="BY331" s="847"/>
      <c r="BZ331" s="847"/>
      <c r="CA331" s="847"/>
      <c r="CB331" s="847"/>
      <c r="CC331" s="847"/>
      <c r="CD331" s="847"/>
      <c r="CE331" s="847"/>
      <c r="CF331" s="847"/>
      <c r="CG331" s="847"/>
      <c r="CH331" s="847"/>
      <c r="CI331" s="847"/>
      <c r="CJ331" s="847"/>
      <c r="CK331" s="847"/>
      <c r="CL331" s="847"/>
      <c r="CM331" s="847"/>
      <c r="CN331" s="847"/>
      <c r="CO331" s="847"/>
      <c r="CP331" s="847"/>
      <c r="CQ331" s="847"/>
      <c r="CR331" s="847"/>
      <c r="CS331" s="847"/>
      <c r="CT331" s="847"/>
      <c r="CU331" s="847"/>
      <c r="CV331" s="847"/>
      <c r="CW331" s="847"/>
      <c r="CX331" s="847"/>
      <c r="CY331" s="847"/>
      <c r="CZ331" s="847"/>
      <c r="DA331" s="847"/>
      <c r="DB331" s="847"/>
      <c r="DC331" s="847"/>
      <c r="DD331" s="847"/>
      <c r="DE331" s="847"/>
      <c r="DF331" s="847"/>
      <c r="DG331" s="847"/>
      <c r="DH331" s="847"/>
      <c r="DI331" s="847"/>
      <c r="DJ331" s="847"/>
      <c r="DK331" s="847"/>
      <c r="DL331" s="847"/>
      <c r="DM331" s="1212"/>
      <c r="DN331" s="1231">
        <f>'Lead &amp; ANALYSIS'!G5873/10</f>
        <v>0.1177</v>
      </c>
      <c r="DO331" s="1013">
        <f>ROUND(C331*DN331,2)</f>
        <v>0</v>
      </c>
      <c r="DP331" s="847"/>
      <c r="DQ331" s="1013"/>
      <c r="DR331" s="1225"/>
      <c r="DS331" s="1013"/>
      <c r="DT331" s="1236">
        <f>'Lead &amp; ANALYSIS'!G5872/10</f>
        <v>0.10769999999999999</v>
      </c>
      <c r="DU331" s="1214">
        <f>ROUND(C331*DT331,2)</f>
        <v>0</v>
      </c>
      <c r="DV331" s="1242"/>
      <c r="DW331" s="1232"/>
      <c r="DX331" s="1222"/>
      <c r="DY331" s="847"/>
      <c r="DZ331" s="847"/>
      <c r="EA331" s="847"/>
      <c r="EB331" s="847"/>
      <c r="EC331" s="847"/>
      <c r="ED331" s="847"/>
      <c r="EE331" s="847"/>
      <c r="EF331" s="847"/>
      <c r="EG331" s="1212"/>
      <c r="EH331" s="847"/>
      <c r="EI331" s="1212"/>
    </row>
    <row r="332" spans="1:139" s="733" customFormat="1" ht="13.5">
      <c r="A332" s="1009"/>
      <c r="B332" s="1212" t="s">
        <v>2067</v>
      </c>
      <c r="C332" s="1213">
        <v>0</v>
      </c>
      <c r="D332" s="1013" t="s">
        <v>92</v>
      </c>
      <c r="E332" s="847"/>
      <c r="F332" s="1013"/>
      <c r="G332" s="847"/>
      <c r="H332" s="1013"/>
      <c r="I332" s="847"/>
      <c r="J332" s="1013"/>
      <c r="K332" s="847"/>
      <c r="L332" s="1013"/>
      <c r="M332" s="847"/>
      <c r="N332" s="1013"/>
      <c r="O332" s="847"/>
      <c r="P332" s="1013"/>
      <c r="Q332" s="847"/>
      <c r="R332" s="847"/>
      <c r="S332" s="847"/>
      <c r="T332" s="847"/>
      <c r="U332" s="847"/>
      <c r="V332" s="847"/>
      <c r="W332" s="847"/>
      <c r="X332" s="847"/>
      <c r="Y332" s="847"/>
      <c r="Z332" s="847"/>
      <c r="AA332" s="847"/>
      <c r="AB332" s="847"/>
      <c r="AC332" s="847"/>
      <c r="AD332" s="847"/>
      <c r="AE332" s="847"/>
      <c r="AF332" s="847"/>
      <c r="AG332" s="847"/>
      <c r="AH332" s="847"/>
      <c r="AI332" s="847"/>
      <c r="AJ332" s="847"/>
      <c r="AK332" s="847"/>
      <c r="AL332" s="847"/>
      <c r="AM332" s="847"/>
      <c r="AN332" s="847"/>
      <c r="AO332" s="847"/>
      <c r="AP332" s="847"/>
      <c r="AQ332" s="847"/>
      <c r="AR332" s="847"/>
      <c r="AS332" s="847"/>
      <c r="AT332" s="847"/>
      <c r="AU332" s="847"/>
      <c r="AV332" s="847"/>
      <c r="AW332" s="847">
        <f>AW331</f>
        <v>8.4000000000000005E-2</v>
      </c>
      <c r="AX332" s="847">
        <f>ROUND(C332*AW332,2)</f>
        <v>0</v>
      </c>
      <c r="AY332" s="847"/>
      <c r="AZ332" s="847"/>
      <c r="BA332" s="847"/>
      <c r="BB332" s="847"/>
      <c r="BC332" s="847"/>
      <c r="BD332" s="847"/>
      <c r="BE332" s="847"/>
      <c r="BF332" s="847"/>
      <c r="BG332" s="847">
        <f>BG331</f>
        <v>0.125</v>
      </c>
      <c r="BH332" s="847">
        <f>ROUND(C332*BG332,2)</f>
        <v>0</v>
      </c>
      <c r="BI332" s="847"/>
      <c r="BJ332" s="847"/>
      <c r="BK332" s="847"/>
      <c r="BL332" s="847"/>
      <c r="BM332" s="847"/>
      <c r="BN332" s="847"/>
      <c r="BO332" s="847"/>
      <c r="BP332" s="847"/>
      <c r="BQ332" s="847"/>
      <c r="BR332" s="847"/>
      <c r="BS332" s="847"/>
      <c r="BT332" s="847"/>
      <c r="BU332" s="847"/>
      <c r="BV332" s="847"/>
      <c r="BW332" s="847"/>
      <c r="BX332" s="847"/>
      <c r="BY332" s="847"/>
      <c r="BZ332" s="847"/>
      <c r="CA332" s="847"/>
      <c r="CB332" s="847"/>
      <c r="CC332" s="847"/>
      <c r="CD332" s="847"/>
      <c r="CE332" s="847"/>
      <c r="CF332" s="847"/>
      <c r="CG332" s="847"/>
      <c r="CH332" s="847"/>
      <c r="CI332" s="847"/>
      <c r="CJ332" s="847"/>
      <c r="CK332" s="847"/>
      <c r="CL332" s="847"/>
      <c r="CM332" s="847"/>
      <c r="CN332" s="847"/>
      <c r="CO332" s="847"/>
      <c r="CP332" s="847"/>
      <c r="CQ332" s="847"/>
      <c r="CR332" s="847"/>
      <c r="CS332" s="847"/>
      <c r="CT332" s="847"/>
      <c r="CU332" s="847"/>
      <c r="CV332" s="847"/>
      <c r="CW332" s="847"/>
      <c r="CX332" s="847"/>
      <c r="CY332" s="847"/>
      <c r="CZ332" s="847"/>
      <c r="DA332" s="847"/>
      <c r="DB332" s="847"/>
      <c r="DC332" s="847"/>
      <c r="DD332" s="847"/>
      <c r="DE332" s="847"/>
      <c r="DF332" s="847"/>
      <c r="DG332" s="847"/>
      <c r="DH332" s="847"/>
      <c r="DI332" s="847"/>
      <c r="DJ332" s="847"/>
      <c r="DK332" s="847"/>
      <c r="DL332" s="847"/>
      <c r="DM332" s="1212"/>
      <c r="DN332" s="1231">
        <f>DN331+DN331*5%</f>
        <v>0.123585</v>
      </c>
      <c r="DO332" s="1013">
        <f>ROUND(C332*DN332,2)</f>
        <v>0</v>
      </c>
      <c r="DP332" s="847"/>
      <c r="DQ332" s="1013"/>
      <c r="DR332" s="1225"/>
      <c r="DS332" s="1013"/>
      <c r="DT332" s="847">
        <f>DT331+DT331*5%</f>
        <v>0.11308499999999999</v>
      </c>
      <c r="DU332" s="1214">
        <f>ROUND(C332*DT332,2)</f>
        <v>0</v>
      </c>
      <c r="DV332" s="1242"/>
      <c r="DW332" s="1232"/>
      <c r="DX332" s="1222"/>
      <c r="DY332" s="847"/>
      <c r="DZ332" s="847"/>
      <c r="EA332" s="847"/>
      <c r="EB332" s="847"/>
      <c r="EC332" s="847"/>
      <c r="ED332" s="847"/>
      <c r="EE332" s="847"/>
      <c r="EF332" s="847"/>
      <c r="EG332" s="1212"/>
      <c r="EH332" s="847"/>
      <c r="EI332" s="1212"/>
    </row>
    <row r="333" spans="1:139" s="733" customFormat="1" ht="13.5">
      <c r="A333" s="1009">
        <v>111</v>
      </c>
      <c r="B333" s="1212" t="s">
        <v>3093</v>
      </c>
      <c r="C333" s="1213">
        <v>0</v>
      </c>
      <c r="D333" s="1013" t="s">
        <v>92</v>
      </c>
      <c r="E333" s="847"/>
      <c r="F333" s="1013"/>
      <c r="G333" s="847"/>
      <c r="H333" s="1013"/>
      <c r="I333" s="847"/>
      <c r="J333" s="1013"/>
      <c r="K333" s="847"/>
      <c r="L333" s="1013"/>
      <c r="M333" s="847"/>
      <c r="N333" s="1013"/>
      <c r="O333" s="847"/>
      <c r="P333" s="1013"/>
      <c r="Q333" s="847"/>
      <c r="R333" s="847"/>
      <c r="S333" s="847"/>
      <c r="T333" s="847"/>
      <c r="U333" s="847"/>
      <c r="V333" s="847"/>
      <c r="W333" s="847"/>
      <c r="X333" s="847"/>
      <c r="Y333" s="847"/>
      <c r="Z333" s="847"/>
      <c r="AA333" s="847"/>
      <c r="AB333" s="847"/>
      <c r="AC333" s="847"/>
      <c r="AD333" s="847"/>
      <c r="AE333" s="847"/>
      <c r="AF333" s="847"/>
      <c r="AG333" s="847"/>
      <c r="AH333" s="847"/>
      <c r="AI333" s="847"/>
      <c r="AJ333" s="847"/>
      <c r="AK333" s="847"/>
      <c r="AL333" s="847"/>
      <c r="AM333" s="847"/>
      <c r="AN333" s="847"/>
      <c r="AO333" s="847"/>
      <c r="AP333" s="847"/>
      <c r="AQ333" s="847"/>
      <c r="AR333" s="847"/>
      <c r="AS333" s="847"/>
      <c r="AT333" s="847"/>
      <c r="AU333" s="847"/>
      <c r="AV333" s="847"/>
      <c r="AW333" s="847"/>
      <c r="AX333" s="847"/>
      <c r="AY333" s="847"/>
      <c r="AZ333" s="847"/>
      <c r="BA333" s="847"/>
      <c r="BB333" s="847"/>
      <c r="BC333" s="847"/>
      <c r="BD333" s="847"/>
      <c r="BE333" s="847"/>
      <c r="BF333" s="847"/>
      <c r="BG333" s="847"/>
      <c r="BH333" s="847"/>
      <c r="BI333" s="847"/>
      <c r="BJ333" s="847"/>
      <c r="BK333" s="847"/>
      <c r="BL333" s="847"/>
      <c r="BM333" s="847"/>
      <c r="BN333" s="847"/>
      <c r="BO333" s="847"/>
      <c r="BP333" s="847"/>
      <c r="BQ333" s="847"/>
      <c r="BR333" s="847"/>
      <c r="BS333" s="847"/>
      <c r="BT333" s="847"/>
      <c r="BU333" s="847"/>
      <c r="BV333" s="847"/>
      <c r="BW333" s="847"/>
      <c r="BX333" s="847"/>
      <c r="BY333" s="847"/>
      <c r="BZ333" s="847"/>
      <c r="CA333" s="847"/>
      <c r="CB333" s="847"/>
      <c r="CC333" s="847"/>
      <c r="CD333" s="847"/>
      <c r="CE333" s="847"/>
      <c r="CF333" s="847"/>
      <c r="CG333" s="847"/>
      <c r="CH333" s="847"/>
      <c r="CI333" s="847"/>
      <c r="CJ333" s="847"/>
      <c r="CK333" s="847"/>
      <c r="CL333" s="847"/>
      <c r="CM333" s="847"/>
      <c r="CN333" s="847"/>
      <c r="CO333" s="847"/>
      <c r="CP333" s="847"/>
      <c r="CQ333" s="847"/>
      <c r="CR333" s="847"/>
      <c r="CS333" s="847"/>
      <c r="CT333" s="847"/>
      <c r="CU333" s="847"/>
      <c r="CV333" s="847"/>
      <c r="CW333" s="847"/>
      <c r="CX333" s="847"/>
      <c r="CY333" s="847"/>
      <c r="CZ333" s="847"/>
      <c r="DA333" s="847"/>
      <c r="DB333" s="847"/>
      <c r="DC333" s="847"/>
      <c r="DD333" s="847"/>
      <c r="DE333" s="847"/>
      <c r="DF333" s="847"/>
      <c r="DG333" s="847"/>
      <c r="DH333" s="847"/>
      <c r="DI333" s="847"/>
      <c r="DJ333" s="847"/>
      <c r="DK333" s="847"/>
      <c r="DL333" s="847"/>
      <c r="DM333" s="1212"/>
      <c r="DN333" s="1222"/>
      <c r="DO333" s="1013"/>
      <c r="DP333" s="847"/>
      <c r="DQ333" s="1013"/>
      <c r="DR333" s="1225"/>
      <c r="DS333" s="1013"/>
      <c r="DT333" s="1225"/>
      <c r="DU333" s="1214"/>
      <c r="DV333" s="1242"/>
      <c r="DW333" s="1232"/>
      <c r="DX333" s="1222"/>
      <c r="DY333" s="847"/>
      <c r="DZ333" s="847"/>
      <c r="EA333" s="847"/>
      <c r="EB333" s="847"/>
      <c r="EC333" s="847"/>
      <c r="ED333" s="847"/>
      <c r="EE333" s="847"/>
      <c r="EF333" s="847"/>
      <c r="EG333" s="1212"/>
      <c r="EH333" s="847"/>
      <c r="EI333" s="1212"/>
    </row>
    <row r="334" spans="1:139" s="733" customFormat="1" ht="13.5">
      <c r="A334" s="1009"/>
      <c r="B334" s="1212" t="s">
        <v>2066</v>
      </c>
      <c r="C334" s="1213">
        <v>0</v>
      </c>
      <c r="D334" s="1013" t="s">
        <v>92</v>
      </c>
      <c r="E334" s="847"/>
      <c r="F334" s="1013"/>
      <c r="G334" s="847"/>
      <c r="H334" s="1013"/>
      <c r="I334" s="847"/>
      <c r="J334" s="1013"/>
      <c r="K334" s="847"/>
      <c r="L334" s="1013"/>
      <c r="M334" s="847"/>
      <c r="N334" s="1013"/>
      <c r="O334" s="847"/>
      <c r="P334" s="1013"/>
      <c r="Q334" s="847"/>
      <c r="R334" s="847"/>
      <c r="S334" s="847"/>
      <c r="T334" s="847"/>
      <c r="U334" s="847"/>
      <c r="V334" s="847"/>
      <c r="W334" s="847"/>
      <c r="X334" s="847"/>
      <c r="Y334" s="847"/>
      <c r="Z334" s="847"/>
      <c r="AA334" s="847"/>
      <c r="AB334" s="847"/>
      <c r="AC334" s="847"/>
      <c r="AD334" s="847"/>
      <c r="AE334" s="847"/>
      <c r="AF334" s="847"/>
      <c r="AG334" s="847"/>
      <c r="AH334" s="847"/>
      <c r="AI334" s="847"/>
      <c r="AJ334" s="847"/>
      <c r="AK334" s="847"/>
      <c r="AL334" s="847"/>
      <c r="AM334" s="847"/>
      <c r="AN334" s="847"/>
      <c r="AO334" s="847"/>
      <c r="AP334" s="847"/>
      <c r="AQ334" s="847"/>
      <c r="AR334" s="847"/>
      <c r="AS334" s="847"/>
      <c r="AT334" s="847"/>
      <c r="AU334" s="847"/>
      <c r="AV334" s="847"/>
      <c r="AW334" s="847"/>
      <c r="AX334" s="847"/>
      <c r="AY334" s="847"/>
      <c r="AZ334" s="847"/>
      <c r="BA334" s="847"/>
      <c r="BB334" s="847"/>
      <c r="BC334" s="847"/>
      <c r="BD334" s="847"/>
      <c r="BE334" s="847"/>
      <c r="BF334" s="847"/>
      <c r="BG334" s="847"/>
      <c r="BH334" s="847"/>
      <c r="BI334" s="847"/>
      <c r="BJ334" s="847"/>
      <c r="BK334" s="847"/>
      <c r="BL334" s="847"/>
      <c r="BM334" s="847"/>
      <c r="BN334" s="847"/>
      <c r="BO334" s="847">
        <f>'Lead &amp; ANALYSIS'!G5915/10</f>
        <v>0.8</v>
      </c>
      <c r="BP334" s="847">
        <f>ROUND(C334*BO334,2)</f>
        <v>0</v>
      </c>
      <c r="BQ334" s="847"/>
      <c r="BR334" s="847"/>
      <c r="BS334" s="847"/>
      <c r="BT334" s="847"/>
      <c r="BU334" s="847"/>
      <c r="BV334" s="847"/>
      <c r="BW334" s="847"/>
      <c r="BX334" s="847"/>
      <c r="BY334" s="847"/>
      <c r="BZ334" s="847"/>
      <c r="CA334" s="847"/>
      <c r="CB334" s="847"/>
      <c r="CC334" s="847"/>
      <c r="CD334" s="847"/>
      <c r="CE334" s="847"/>
      <c r="CF334" s="847"/>
      <c r="CG334" s="847"/>
      <c r="CH334" s="847"/>
      <c r="CI334" s="847"/>
      <c r="CJ334" s="847"/>
      <c r="CK334" s="847"/>
      <c r="CL334" s="847"/>
      <c r="CM334" s="847"/>
      <c r="CN334" s="847"/>
      <c r="CO334" s="847"/>
      <c r="CP334" s="847"/>
      <c r="CQ334" s="847"/>
      <c r="CR334" s="847"/>
      <c r="CS334" s="847"/>
      <c r="CT334" s="847"/>
      <c r="CU334" s="847"/>
      <c r="CV334" s="847"/>
      <c r="CW334" s="847"/>
      <c r="CX334" s="847"/>
      <c r="CY334" s="847"/>
      <c r="CZ334" s="847"/>
      <c r="DA334" s="847"/>
      <c r="DB334" s="847"/>
      <c r="DC334" s="847"/>
      <c r="DD334" s="847"/>
      <c r="DE334" s="847"/>
      <c r="DF334" s="847"/>
      <c r="DG334" s="847"/>
      <c r="DH334" s="847"/>
      <c r="DI334" s="847"/>
      <c r="DJ334" s="847"/>
      <c r="DK334" s="847"/>
      <c r="DL334" s="847"/>
      <c r="DM334" s="1212"/>
      <c r="DN334" s="1224">
        <f>'Lead &amp; ANALYSIS'!G5918/10</f>
        <v>5.6999999999999995E-2</v>
      </c>
      <c r="DO334" s="1013">
        <f>ROUND(C334*DN334,2)</f>
        <v>0</v>
      </c>
      <c r="DP334" s="847"/>
      <c r="DQ334" s="1013"/>
      <c r="DR334" s="1225">
        <f>'Lead &amp; ANALYSIS'!G5917/10</f>
        <v>0.05</v>
      </c>
      <c r="DS334" s="1013">
        <f>ROUND(C334*DR334,2)</f>
        <v>0</v>
      </c>
      <c r="DT334" s="1225"/>
      <c r="DU334" s="1214"/>
      <c r="DV334" s="1242"/>
      <c r="DW334" s="1232"/>
      <c r="DX334" s="1222"/>
      <c r="DY334" s="847"/>
      <c r="DZ334" s="847"/>
      <c r="EA334" s="847"/>
      <c r="EB334" s="847"/>
      <c r="EC334" s="847"/>
      <c r="ED334" s="847"/>
      <c r="EE334" s="847"/>
      <c r="EF334" s="847"/>
      <c r="EG334" s="1212"/>
      <c r="EH334" s="847"/>
      <c r="EI334" s="1212"/>
    </row>
    <row r="335" spans="1:139" s="733" customFormat="1" ht="13.5">
      <c r="A335" s="1009"/>
      <c r="B335" s="1212" t="s">
        <v>2067</v>
      </c>
      <c r="C335" s="1213">
        <v>0</v>
      </c>
      <c r="D335" s="1013" t="s">
        <v>92</v>
      </c>
      <c r="E335" s="847"/>
      <c r="F335" s="1013"/>
      <c r="G335" s="847"/>
      <c r="H335" s="1013"/>
      <c r="I335" s="847"/>
      <c r="J335" s="1013"/>
      <c r="K335" s="847"/>
      <c r="L335" s="1013"/>
      <c r="M335" s="847"/>
      <c r="N335" s="1013"/>
      <c r="O335" s="847"/>
      <c r="P335" s="1013"/>
      <c r="Q335" s="847"/>
      <c r="R335" s="847"/>
      <c r="S335" s="847"/>
      <c r="T335" s="847"/>
      <c r="U335" s="847"/>
      <c r="V335" s="847"/>
      <c r="W335" s="847"/>
      <c r="X335" s="847"/>
      <c r="Y335" s="847"/>
      <c r="Z335" s="847"/>
      <c r="AA335" s="847"/>
      <c r="AB335" s="847"/>
      <c r="AC335" s="847"/>
      <c r="AD335" s="847"/>
      <c r="AE335" s="847"/>
      <c r="AF335" s="847"/>
      <c r="AG335" s="847"/>
      <c r="AH335" s="847"/>
      <c r="AI335" s="847"/>
      <c r="AJ335" s="847"/>
      <c r="AK335" s="847"/>
      <c r="AL335" s="847"/>
      <c r="AM335" s="847"/>
      <c r="AN335" s="847"/>
      <c r="AO335" s="847"/>
      <c r="AP335" s="847"/>
      <c r="AQ335" s="847"/>
      <c r="AR335" s="847"/>
      <c r="AS335" s="847"/>
      <c r="AT335" s="847"/>
      <c r="AU335" s="847"/>
      <c r="AV335" s="847"/>
      <c r="AW335" s="847"/>
      <c r="AX335" s="847"/>
      <c r="AY335" s="847"/>
      <c r="AZ335" s="847"/>
      <c r="BA335" s="847"/>
      <c r="BB335" s="847"/>
      <c r="BC335" s="847"/>
      <c r="BD335" s="847"/>
      <c r="BE335" s="847"/>
      <c r="BF335" s="847"/>
      <c r="BG335" s="847"/>
      <c r="BH335" s="847"/>
      <c r="BI335" s="847"/>
      <c r="BJ335" s="847"/>
      <c r="BK335" s="847"/>
      <c r="BL335" s="847"/>
      <c r="BM335" s="847"/>
      <c r="BN335" s="847"/>
      <c r="BO335" s="847">
        <f>BO334</f>
        <v>0.8</v>
      </c>
      <c r="BP335" s="847">
        <f>ROUND(C335*BO335,2)</f>
        <v>0</v>
      </c>
      <c r="BQ335" s="847"/>
      <c r="BR335" s="847"/>
      <c r="BS335" s="847"/>
      <c r="BT335" s="847"/>
      <c r="BU335" s="847"/>
      <c r="BV335" s="847"/>
      <c r="BW335" s="847"/>
      <c r="BX335" s="847"/>
      <c r="BY335" s="847"/>
      <c r="BZ335" s="847"/>
      <c r="CA335" s="847"/>
      <c r="CB335" s="847"/>
      <c r="CC335" s="847"/>
      <c r="CD335" s="847"/>
      <c r="CE335" s="847"/>
      <c r="CF335" s="847"/>
      <c r="CG335" s="847"/>
      <c r="CH335" s="847"/>
      <c r="CI335" s="847"/>
      <c r="CJ335" s="847"/>
      <c r="CK335" s="847"/>
      <c r="CL335" s="847"/>
      <c r="CM335" s="847"/>
      <c r="CN335" s="847"/>
      <c r="CO335" s="847"/>
      <c r="CP335" s="847"/>
      <c r="CQ335" s="847"/>
      <c r="CR335" s="847"/>
      <c r="CS335" s="847"/>
      <c r="CT335" s="847"/>
      <c r="CU335" s="847"/>
      <c r="CV335" s="847"/>
      <c r="CW335" s="847"/>
      <c r="CX335" s="847"/>
      <c r="CY335" s="847"/>
      <c r="CZ335" s="847"/>
      <c r="DA335" s="847"/>
      <c r="DB335" s="847"/>
      <c r="DC335" s="847"/>
      <c r="DD335" s="847"/>
      <c r="DE335" s="847"/>
      <c r="DF335" s="847"/>
      <c r="DG335" s="847"/>
      <c r="DH335" s="847"/>
      <c r="DI335" s="847"/>
      <c r="DJ335" s="847"/>
      <c r="DK335" s="847"/>
      <c r="DL335" s="847"/>
      <c r="DM335" s="1212"/>
      <c r="DN335" s="1222">
        <f>DN334+DN334*3%</f>
        <v>5.8709999999999998E-2</v>
      </c>
      <c r="DO335" s="1013">
        <f>ROUND(C335*DN335,2)</f>
        <v>0</v>
      </c>
      <c r="DP335" s="847"/>
      <c r="DQ335" s="1013"/>
      <c r="DR335" s="847">
        <f>DR334+DR334*3%</f>
        <v>5.1500000000000004E-2</v>
      </c>
      <c r="DS335" s="1013">
        <f>ROUND(C335*DR335,2)</f>
        <v>0</v>
      </c>
      <c r="DT335" s="847"/>
      <c r="DU335" s="1214"/>
      <c r="DV335" s="1242"/>
      <c r="DW335" s="1232"/>
      <c r="DX335" s="1222"/>
      <c r="DY335" s="847"/>
      <c r="DZ335" s="847"/>
      <c r="EA335" s="847"/>
      <c r="EB335" s="847"/>
      <c r="EC335" s="847"/>
      <c r="ED335" s="847"/>
      <c r="EE335" s="847"/>
      <c r="EF335" s="847"/>
      <c r="EG335" s="1212"/>
      <c r="EH335" s="847"/>
      <c r="EI335" s="1212"/>
    </row>
    <row r="336" spans="1:139" s="733" customFormat="1" ht="13.5">
      <c r="A336" s="1009">
        <v>112</v>
      </c>
      <c r="B336" s="1212" t="s">
        <v>3094</v>
      </c>
      <c r="C336" s="1213">
        <v>0</v>
      </c>
      <c r="D336" s="1013" t="s">
        <v>92</v>
      </c>
      <c r="E336" s="847"/>
      <c r="F336" s="1013"/>
      <c r="G336" s="847"/>
      <c r="H336" s="1013"/>
      <c r="I336" s="847"/>
      <c r="J336" s="1013"/>
      <c r="K336" s="847"/>
      <c r="L336" s="1013"/>
      <c r="M336" s="847"/>
      <c r="N336" s="1013"/>
      <c r="O336" s="847"/>
      <c r="P336" s="1013"/>
      <c r="Q336" s="847"/>
      <c r="R336" s="847"/>
      <c r="S336" s="847"/>
      <c r="T336" s="847"/>
      <c r="U336" s="847"/>
      <c r="V336" s="847"/>
      <c r="W336" s="847"/>
      <c r="X336" s="847"/>
      <c r="Y336" s="847"/>
      <c r="Z336" s="847"/>
      <c r="AA336" s="847"/>
      <c r="AB336" s="847"/>
      <c r="AC336" s="847"/>
      <c r="AD336" s="847"/>
      <c r="AE336" s="847"/>
      <c r="AF336" s="847"/>
      <c r="AG336" s="847"/>
      <c r="AH336" s="847"/>
      <c r="AI336" s="847"/>
      <c r="AJ336" s="847"/>
      <c r="AK336" s="847"/>
      <c r="AL336" s="847"/>
      <c r="AM336" s="847"/>
      <c r="AN336" s="847"/>
      <c r="AO336" s="847"/>
      <c r="AP336" s="847"/>
      <c r="AQ336" s="847"/>
      <c r="AR336" s="847"/>
      <c r="AS336" s="847"/>
      <c r="AT336" s="847"/>
      <c r="AU336" s="847"/>
      <c r="AV336" s="847"/>
      <c r="AW336" s="847"/>
      <c r="AX336" s="847"/>
      <c r="AY336" s="847"/>
      <c r="AZ336" s="847"/>
      <c r="BA336" s="847"/>
      <c r="BB336" s="847"/>
      <c r="BC336" s="847"/>
      <c r="BD336" s="847"/>
      <c r="BE336" s="847"/>
      <c r="BF336" s="847"/>
      <c r="BG336" s="847"/>
      <c r="BH336" s="847"/>
      <c r="BI336" s="847"/>
      <c r="BJ336" s="847"/>
      <c r="BK336" s="847"/>
      <c r="BL336" s="847"/>
      <c r="BM336" s="847"/>
      <c r="BN336" s="847"/>
      <c r="BO336" s="847"/>
      <c r="BP336" s="847"/>
      <c r="BQ336" s="847"/>
      <c r="BR336" s="847"/>
      <c r="BS336" s="847"/>
      <c r="BT336" s="847"/>
      <c r="BU336" s="847"/>
      <c r="BV336" s="847"/>
      <c r="BW336" s="847"/>
      <c r="BX336" s="847"/>
      <c r="BY336" s="847"/>
      <c r="BZ336" s="847"/>
      <c r="CA336" s="847"/>
      <c r="CB336" s="847"/>
      <c r="CC336" s="847"/>
      <c r="CD336" s="847"/>
      <c r="CE336" s="847"/>
      <c r="CF336" s="847"/>
      <c r="CG336" s="847"/>
      <c r="CH336" s="847"/>
      <c r="CI336" s="847"/>
      <c r="CJ336" s="847"/>
      <c r="CK336" s="847"/>
      <c r="CL336" s="847"/>
      <c r="CM336" s="847"/>
      <c r="CN336" s="847"/>
      <c r="CO336" s="847"/>
      <c r="CP336" s="847"/>
      <c r="CQ336" s="847"/>
      <c r="CR336" s="847"/>
      <c r="CS336" s="847"/>
      <c r="CT336" s="847"/>
      <c r="CU336" s="847"/>
      <c r="CV336" s="847"/>
      <c r="CW336" s="847"/>
      <c r="CX336" s="847"/>
      <c r="CY336" s="847"/>
      <c r="CZ336" s="847"/>
      <c r="DA336" s="847"/>
      <c r="DB336" s="847"/>
      <c r="DC336" s="847"/>
      <c r="DD336" s="847"/>
      <c r="DE336" s="847"/>
      <c r="DF336" s="847"/>
      <c r="DG336" s="847"/>
      <c r="DH336" s="847"/>
      <c r="DI336" s="847"/>
      <c r="DJ336" s="847"/>
      <c r="DK336" s="847"/>
      <c r="DL336" s="847"/>
      <c r="DM336" s="1212"/>
      <c r="DN336" s="1222"/>
      <c r="DO336" s="1013"/>
      <c r="DP336" s="847"/>
      <c r="DQ336" s="1013"/>
      <c r="DR336" s="1225"/>
      <c r="DS336" s="1013"/>
      <c r="DT336" s="1225"/>
      <c r="DU336" s="1214"/>
      <c r="DV336" s="1242"/>
      <c r="DW336" s="1232"/>
      <c r="DX336" s="1222"/>
      <c r="DY336" s="847"/>
      <c r="DZ336" s="847"/>
      <c r="EA336" s="847"/>
      <c r="EB336" s="847"/>
      <c r="EC336" s="847"/>
      <c r="ED336" s="847"/>
      <c r="EE336" s="847"/>
      <c r="EF336" s="847"/>
      <c r="EG336" s="1212"/>
      <c r="EH336" s="847"/>
      <c r="EI336" s="1212"/>
    </row>
    <row r="337" spans="1:139" s="733" customFormat="1" ht="13.5">
      <c r="A337" s="1009"/>
      <c r="B337" s="1212" t="s">
        <v>2066</v>
      </c>
      <c r="C337" s="1213">
        <v>0</v>
      </c>
      <c r="D337" s="1013" t="s">
        <v>92</v>
      </c>
      <c r="E337" s="847"/>
      <c r="F337" s="1013"/>
      <c r="G337" s="847"/>
      <c r="H337" s="1013"/>
      <c r="I337" s="847"/>
      <c r="J337" s="1013"/>
      <c r="K337" s="847"/>
      <c r="L337" s="1013"/>
      <c r="M337" s="847"/>
      <c r="N337" s="1013"/>
      <c r="O337" s="847"/>
      <c r="P337" s="1013"/>
      <c r="Q337" s="847"/>
      <c r="R337" s="847"/>
      <c r="S337" s="847"/>
      <c r="T337" s="847"/>
      <c r="U337" s="847"/>
      <c r="V337" s="847"/>
      <c r="W337" s="847"/>
      <c r="X337" s="847"/>
      <c r="Y337" s="847"/>
      <c r="Z337" s="847"/>
      <c r="AA337" s="847"/>
      <c r="AB337" s="847"/>
      <c r="AC337" s="847"/>
      <c r="AD337" s="847"/>
      <c r="AE337" s="847"/>
      <c r="AF337" s="847"/>
      <c r="AG337" s="847"/>
      <c r="AH337" s="847"/>
      <c r="AI337" s="847"/>
      <c r="AJ337" s="847"/>
      <c r="AK337" s="847"/>
      <c r="AL337" s="847"/>
      <c r="AM337" s="847"/>
      <c r="AN337" s="847"/>
      <c r="AO337" s="847"/>
      <c r="AP337" s="847"/>
      <c r="AQ337" s="847"/>
      <c r="AR337" s="847"/>
      <c r="AS337" s="847"/>
      <c r="AT337" s="847"/>
      <c r="AU337" s="847"/>
      <c r="AV337" s="847"/>
      <c r="AW337" s="847"/>
      <c r="AX337" s="847"/>
      <c r="AY337" s="847"/>
      <c r="AZ337" s="847"/>
      <c r="BA337" s="847"/>
      <c r="BB337" s="847"/>
      <c r="BC337" s="847"/>
      <c r="BD337" s="847"/>
      <c r="BE337" s="847"/>
      <c r="BF337" s="847"/>
      <c r="BG337" s="847"/>
      <c r="BH337" s="847"/>
      <c r="BI337" s="847"/>
      <c r="BJ337" s="847"/>
      <c r="BK337" s="847"/>
      <c r="BL337" s="847"/>
      <c r="BM337" s="847">
        <f>'Lead &amp; ANALYSIS'!G5940/10</f>
        <v>0.8</v>
      </c>
      <c r="BN337" s="847">
        <f>ROUND(C337*BM337,2)</f>
        <v>0</v>
      </c>
      <c r="BO337" s="847"/>
      <c r="BP337" s="847"/>
      <c r="BQ337" s="847"/>
      <c r="BR337" s="847"/>
      <c r="BS337" s="847"/>
      <c r="BT337" s="847"/>
      <c r="BU337" s="847"/>
      <c r="BV337" s="847"/>
      <c r="BW337" s="847"/>
      <c r="BX337" s="847"/>
      <c r="BY337" s="847"/>
      <c r="BZ337" s="847"/>
      <c r="CA337" s="847"/>
      <c r="CB337" s="847"/>
      <c r="CC337" s="847"/>
      <c r="CD337" s="847"/>
      <c r="CE337" s="847"/>
      <c r="CF337" s="847"/>
      <c r="CG337" s="847"/>
      <c r="CH337" s="847"/>
      <c r="CI337" s="847"/>
      <c r="CJ337" s="847"/>
      <c r="CK337" s="847"/>
      <c r="CL337" s="847"/>
      <c r="CM337" s="847"/>
      <c r="CN337" s="847"/>
      <c r="CO337" s="847"/>
      <c r="CP337" s="847"/>
      <c r="CQ337" s="847"/>
      <c r="CR337" s="847"/>
      <c r="CS337" s="847"/>
      <c r="CT337" s="847"/>
      <c r="CU337" s="847"/>
      <c r="CV337" s="847"/>
      <c r="CW337" s="847"/>
      <c r="CX337" s="847"/>
      <c r="CY337" s="847"/>
      <c r="CZ337" s="847"/>
      <c r="DA337" s="847"/>
      <c r="DB337" s="847"/>
      <c r="DC337" s="847"/>
      <c r="DD337" s="847"/>
      <c r="DE337" s="847"/>
      <c r="DF337" s="847"/>
      <c r="DG337" s="847"/>
      <c r="DH337" s="847"/>
      <c r="DI337" s="847"/>
      <c r="DJ337" s="847"/>
      <c r="DK337" s="847"/>
      <c r="DL337" s="847"/>
      <c r="DM337" s="1212"/>
      <c r="DN337" s="1222">
        <f>'Lead &amp; ANALYSIS'!G5943/10</f>
        <v>5.6999999999999995E-2</v>
      </c>
      <c r="DO337" s="1013">
        <f>ROUND(C337*DN337,2)</f>
        <v>0</v>
      </c>
      <c r="DP337" s="847"/>
      <c r="DQ337" s="1013"/>
      <c r="DR337" s="1225">
        <f>'Lead &amp; ANALYSIS'!G5942/10</f>
        <v>0.05</v>
      </c>
      <c r="DS337" s="1013">
        <f>ROUND(C337*DR337,2)</f>
        <v>0</v>
      </c>
      <c r="DT337" s="1225"/>
      <c r="DU337" s="1214"/>
      <c r="DV337" s="1242"/>
      <c r="DW337" s="1232"/>
      <c r="DX337" s="1222"/>
      <c r="DY337" s="847"/>
      <c r="DZ337" s="847"/>
      <c r="EA337" s="847"/>
      <c r="EB337" s="847"/>
      <c r="EC337" s="847"/>
      <c r="ED337" s="847"/>
      <c r="EE337" s="847"/>
      <c r="EF337" s="847"/>
      <c r="EG337" s="1212"/>
      <c r="EH337" s="847"/>
      <c r="EI337" s="1212"/>
    </row>
    <row r="338" spans="1:139" s="733" customFormat="1" ht="13.5">
      <c r="A338" s="1009"/>
      <c r="B338" s="1212" t="s">
        <v>2067</v>
      </c>
      <c r="C338" s="1213">
        <v>0</v>
      </c>
      <c r="D338" s="1013" t="s">
        <v>92</v>
      </c>
      <c r="E338" s="847"/>
      <c r="F338" s="1013"/>
      <c r="G338" s="847"/>
      <c r="H338" s="1013"/>
      <c r="I338" s="847"/>
      <c r="J338" s="1013"/>
      <c r="K338" s="847"/>
      <c r="L338" s="1013"/>
      <c r="M338" s="847"/>
      <c r="N338" s="1013"/>
      <c r="O338" s="847"/>
      <c r="P338" s="1013"/>
      <c r="Q338" s="847"/>
      <c r="R338" s="847"/>
      <c r="S338" s="847"/>
      <c r="T338" s="847"/>
      <c r="U338" s="847"/>
      <c r="V338" s="847"/>
      <c r="W338" s="847"/>
      <c r="X338" s="847"/>
      <c r="Y338" s="847"/>
      <c r="Z338" s="847"/>
      <c r="AA338" s="847"/>
      <c r="AB338" s="847"/>
      <c r="AC338" s="847"/>
      <c r="AD338" s="847"/>
      <c r="AE338" s="847"/>
      <c r="AF338" s="847"/>
      <c r="AG338" s="847"/>
      <c r="AH338" s="847"/>
      <c r="AI338" s="847"/>
      <c r="AJ338" s="847"/>
      <c r="AK338" s="847"/>
      <c r="AL338" s="847"/>
      <c r="AM338" s="847"/>
      <c r="AN338" s="847"/>
      <c r="AO338" s="847"/>
      <c r="AP338" s="847"/>
      <c r="AQ338" s="847"/>
      <c r="AR338" s="847"/>
      <c r="AS338" s="847"/>
      <c r="AT338" s="847"/>
      <c r="AU338" s="847"/>
      <c r="AV338" s="847"/>
      <c r="AW338" s="847"/>
      <c r="AX338" s="847"/>
      <c r="AY338" s="847"/>
      <c r="AZ338" s="847"/>
      <c r="BA338" s="847"/>
      <c r="BB338" s="847"/>
      <c r="BC338" s="847"/>
      <c r="BD338" s="847"/>
      <c r="BE338" s="847"/>
      <c r="BF338" s="847"/>
      <c r="BG338" s="847"/>
      <c r="BH338" s="847"/>
      <c r="BI338" s="847"/>
      <c r="BJ338" s="847"/>
      <c r="BK338" s="847"/>
      <c r="BL338" s="847"/>
      <c r="BM338" s="847">
        <f>BM337</f>
        <v>0.8</v>
      </c>
      <c r="BN338" s="847">
        <f>ROUND(C338*BM338,2)</f>
        <v>0</v>
      </c>
      <c r="BO338" s="847"/>
      <c r="BP338" s="847"/>
      <c r="BQ338" s="847"/>
      <c r="BR338" s="847"/>
      <c r="BS338" s="847"/>
      <c r="BT338" s="847"/>
      <c r="BU338" s="847"/>
      <c r="BV338" s="847"/>
      <c r="BW338" s="847"/>
      <c r="BX338" s="847"/>
      <c r="BY338" s="847"/>
      <c r="BZ338" s="847"/>
      <c r="CA338" s="847"/>
      <c r="CB338" s="847"/>
      <c r="CC338" s="847"/>
      <c r="CD338" s="847"/>
      <c r="CE338" s="847"/>
      <c r="CF338" s="847"/>
      <c r="CG338" s="847"/>
      <c r="CH338" s="847"/>
      <c r="CI338" s="847"/>
      <c r="CJ338" s="847"/>
      <c r="CK338" s="847"/>
      <c r="CL338" s="847"/>
      <c r="CM338" s="847"/>
      <c r="CN338" s="847"/>
      <c r="CO338" s="847"/>
      <c r="CP338" s="847"/>
      <c r="CQ338" s="847"/>
      <c r="CR338" s="847"/>
      <c r="CS338" s="847"/>
      <c r="CT338" s="847"/>
      <c r="CU338" s="847"/>
      <c r="CV338" s="847"/>
      <c r="CW338" s="847"/>
      <c r="CX338" s="847"/>
      <c r="CY338" s="847"/>
      <c r="CZ338" s="847"/>
      <c r="DA338" s="847"/>
      <c r="DB338" s="847"/>
      <c r="DC338" s="847"/>
      <c r="DD338" s="847"/>
      <c r="DE338" s="847"/>
      <c r="DF338" s="847"/>
      <c r="DG338" s="847"/>
      <c r="DH338" s="847"/>
      <c r="DI338" s="847"/>
      <c r="DJ338" s="847"/>
      <c r="DK338" s="847"/>
      <c r="DL338" s="847"/>
      <c r="DM338" s="1212"/>
      <c r="DN338" s="1222">
        <f>DN337+DN337*3%</f>
        <v>5.8709999999999998E-2</v>
      </c>
      <c r="DO338" s="1013">
        <f>ROUND(C338*DN338,2)</f>
        <v>0</v>
      </c>
      <c r="DP338" s="847"/>
      <c r="DQ338" s="1013"/>
      <c r="DR338" s="847">
        <f>DR337+DR337*3%</f>
        <v>5.1500000000000004E-2</v>
      </c>
      <c r="DS338" s="1013">
        <f>ROUND(C338*DR338,2)</f>
        <v>0</v>
      </c>
      <c r="DT338" s="847"/>
      <c r="DU338" s="1214"/>
      <c r="DV338" s="1242"/>
      <c r="DW338" s="1232"/>
      <c r="DX338" s="1222"/>
      <c r="DY338" s="847"/>
      <c r="DZ338" s="847"/>
      <c r="EA338" s="847"/>
      <c r="EB338" s="847"/>
      <c r="EC338" s="847"/>
      <c r="ED338" s="847"/>
      <c r="EE338" s="847"/>
      <c r="EF338" s="847"/>
      <c r="EG338" s="1212"/>
      <c r="EH338" s="847"/>
      <c r="EI338" s="1212"/>
    </row>
    <row r="339" spans="1:139" s="733" customFormat="1" ht="13.5">
      <c r="A339" s="1009">
        <v>113</v>
      </c>
      <c r="B339" s="1212" t="s">
        <v>3095</v>
      </c>
      <c r="C339" s="1213">
        <v>0</v>
      </c>
      <c r="D339" s="1013" t="s">
        <v>92</v>
      </c>
      <c r="E339" s="847"/>
      <c r="F339" s="1013"/>
      <c r="G339" s="847"/>
      <c r="H339" s="1013"/>
      <c r="I339" s="847"/>
      <c r="J339" s="1013"/>
      <c r="K339" s="847"/>
      <c r="L339" s="1013"/>
      <c r="M339" s="847"/>
      <c r="N339" s="1013"/>
      <c r="O339" s="847"/>
      <c r="P339" s="1013"/>
      <c r="Q339" s="847"/>
      <c r="R339" s="847"/>
      <c r="S339" s="847"/>
      <c r="T339" s="847"/>
      <c r="U339" s="847"/>
      <c r="V339" s="847"/>
      <c r="W339" s="847"/>
      <c r="X339" s="847"/>
      <c r="Y339" s="847"/>
      <c r="Z339" s="847"/>
      <c r="AA339" s="847"/>
      <c r="AB339" s="847"/>
      <c r="AC339" s="847"/>
      <c r="AD339" s="847"/>
      <c r="AE339" s="847"/>
      <c r="AF339" s="847"/>
      <c r="AG339" s="847"/>
      <c r="AH339" s="847"/>
      <c r="AI339" s="847"/>
      <c r="AJ339" s="847"/>
      <c r="AK339" s="847"/>
      <c r="AL339" s="847"/>
      <c r="AM339" s="847"/>
      <c r="AN339" s="847"/>
      <c r="AO339" s="847"/>
      <c r="AP339" s="847"/>
      <c r="AQ339" s="847"/>
      <c r="AR339" s="847"/>
      <c r="AS339" s="847"/>
      <c r="AT339" s="847"/>
      <c r="AU339" s="847"/>
      <c r="AV339" s="847"/>
      <c r="AW339" s="847"/>
      <c r="AX339" s="847"/>
      <c r="AY339" s="847"/>
      <c r="AZ339" s="847"/>
      <c r="BA339" s="847"/>
      <c r="BB339" s="847"/>
      <c r="BC339" s="847"/>
      <c r="BD339" s="847"/>
      <c r="BE339" s="847"/>
      <c r="BF339" s="847"/>
      <c r="BG339" s="847"/>
      <c r="BH339" s="847"/>
      <c r="BI339" s="847"/>
      <c r="BJ339" s="847"/>
      <c r="BK339" s="847"/>
      <c r="BL339" s="847"/>
      <c r="BM339" s="847"/>
      <c r="BN339" s="847"/>
      <c r="BO339" s="847"/>
      <c r="BP339" s="847"/>
      <c r="BQ339" s="847"/>
      <c r="BR339" s="847"/>
      <c r="BS339" s="847"/>
      <c r="BT339" s="847"/>
      <c r="BU339" s="847"/>
      <c r="BV339" s="847"/>
      <c r="BW339" s="847"/>
      <c r="BX339" s="847"/>
      <c r="BY339" s="847"/>
      <c r="BZ339" s="847"/>
      <c r="CA339" s="847"/>
      <c r="CB339" s="847"/>
      <c r="CC339" s="847"/>
      <c r="CD339" s="847"/>
      <c r="CE339" s="847"/>
      <c r="CF339" s="847"/>
      <c r="CG339" s="847"/>
      <c r="CH339" s="847"/>
      <c r="CI339" s="847"/>
      <c r="CJ339" s="847"/>
      <c r="CK339" s="847"/>
      <c r="CL339" s="847"/>
      <c r="CM339" s="847"/>
      <c r="CN339" s="847"/>
      <c r="CO339" s="847"/>
      <c r="CP339" s="847"/>
      <c r="CQ339" s="847"/>
      <c r="CR339" s="847"/>
      <c r="CS339" s="847"/>
      <c r="CT339" s="847"/>
      <c r="CU339" s="847"/>
      <c r="CV339" s="847"/>
      <c r="CW339" s="847"/>
      <c r="CX339" s="847"/>
      <c r="CY339" s="847"/>
      <c r="CZ339" s="847"/>
      <c r="DA339" s="847"/>
      <c r="DB339" s="847"/>
      <c r="DC339" s="847"/>
      <c r="DD339" s="847"/>
      <c r="DE339" s="847"/>
      <c r="DF339" s="847"/>
      <c r="DG339" s="847"/>
      <c r="DH339" s="847"/>
      <c r="DI339" s="847"/>
      <c r="DJ339" s="847"/>
      <c r="DK339" s="847"/>
      <c r="DL339" s="847"/>
      <c r="DM339" s="1212"/>
      <c r="DN339" s="1222"/>
      <c r="DO339" s="1013"/>
      <c r="DP339" s="847"/>
      <c r="DQ339" s="1013"/>
      <c r="DR339" s="1225"/>
      <c r="DS339" s="1013"/>
      <c r="DT339" s="1225"/>
      <c r="DU339" s="1214"/>
      <c r="DV339" s="1242"/>
      <c r="DW339" s="1232"/>
      <c r="DX339" s="1222"/>
      <c r="DY339" s="847"/>
      <c r="DZ339" s="847"/>
      <c r="EA339" s="847"/>
      <c r="EB339" s="847"/>
      <c r="EC339" s="847"/>
      <c r="ED339" s="847"/>
      <c r="EE339" s="847"/>
      <c r="EF339" s="847"/>
      <c r="EG339" s="1212"/>
      <c r="EH339" s="847"/>
      <c r="EI339" s="1212"/>
    </row>
    <row r="340" spans="1:139" s="733" customFormat="1" ht="13.5">
      <c r="A340" s="1009"/>
      <c r="B340" s="1212" t="s">
        <v>2066</v>
      </c>
      <c r="C340" s="1213">
        <v>0</v>
      </c>
      <c r="D340" s="1013" t="s">
        <v>92</v>
      </c>
      <c r="E340" s="847"/>
      <c r="F340" s="1013"/>
      <c r="G340" s="847"/>
      <c r="H340" s="1013"/>
      <c r="I340" s="847"/>
      <c r="J340" s="1013"/>
      <c r="K340" s="847"/>
      <c r="L340" s="1013"/>
      <c r="M340" s="847"/>
      <c r="N340" s="1013"/>
      <c r="O340" s="847"/>
      <c r="P340" s="1013"/>
      <c r="Q340" s="847"/>
      <c r="R340" s="847"/>
      <c r="S340" s="847"/>
      <c r="T340" s="847"/>
      <c r="U340" s="847"/>
      <c r="V340" s="847"/>
      <c r="W340" s="847"/>
      <c r="X340" s="847"/>
      <c r="Y340" s="847"/>
      <c r="Z340" s="847"/>
      <c r="AA340" s="847"/>
      <c r="AB340" s="847"/>
      <c r="AC340" s="847"/>
      <c r="AD340" s="847"/>
      <c r="AE340" s="847"/>
      <c r="AF340" s="847"/>
      <c r="AG340" s="847"/>
      <c r="AH340" s="847"/>
      <c r="AI340" s="847"/>
      <c r="AJ340" s="847"/>
      <c r="AK340" s="847"/>
      <c r="AL340" s="847"/>
      <c r="AM340" s="847"/>
      <c r="AN340" s="847"/>
      <c r="AO340" s="847"/>
      <c r="AP340" s="847"/>
      <c r="AQ340" s="847"/>
      <c r="AR340" s="847"/>
      <c r="AS340" s="847"/>
      <c r="AT340" s="847"/>
      <c r="AU340" s="847"/>
      <c r="AV340" s="847"/>
      <c r="AW340" s="847"/>
      <c r="AX340" s="847"/>
      <c r="AY340" s="847"/>
      <c r="AZ340" s="847"/>
      <c r="BA340" s="847"/>
      <c r="BB340" s="847"/>
      <c r="BC340" s="847"/>
      <c r="BD340" s="847"/>
      <c r="BE340" s="847"/>
      <c r="BF340" s="847"/>
      <c r="BG340" s="847"/>
      <c r="BH340" s="847"/>
      <c r="BI340" s="847"/>
      <c r="BJ340" s="847"/>
      <c r="BK340" s="1225">
        <f>'Lead &amp; ANALYSIS'!G5988</f>
        <v>0.125</v>
      </c>
      <c r="BL340" s="847">
        <f>ROUND(C340*BK340,2)</f>
        <v>0</v>
      </c>
      <c r="BM340" s="847"/>
      <c r="BN340" s="847"/>
      <c r="BO340" s="847"/>
      <c r="BP340" s="847"/>
      <c r="BQ340" s="847"/>
      <c r="BR340" s="847"/>
      <c r="BS340" s="847"/>
      <c r="BT340" s="847"/>
      <c r="BU340" s="847"/>
      <c r="BV340" s="847"/>
      <c r="BW340" s="847"/>
      <c r="BX340" s="847"/>
      <c r="BY340" s="847"/>
      <c r="BZ340" s="847"/>
      <c r="CA340" s="847"/>
      <c r="CB340" s="847"/>
      <c r="CC340" s="847"/>
      <c r="CD340" s="847"/>
      <c r="CE340" s="847"/>
      <c r="CF340" s="847"/>
      <c r="CG340" s="847"/>
      <c r="CH340" s="847"/>
      <c r="CI340" s="847"/>
      <c r="CJ340" s="847"/>
      <c r="CK340" s="847"/>
      <c r="CL340" s="847"/>
      <c r="CM340" s="847"/>
      <c r="CN340" s="847"/>
      <c r="CO340" s="847"/>
      <c r="CP340" s="847"/>
      <c r="CQ340" s="847"/>
      <c r="CR340" s="847"/>
      <c r="CS340" s="847"/>
      <c r="CT340" s="847"/>
      <c r="CU340" s="847"/>
      <c r="CV340" s="847"/>
      <c r="CW340" s="847"/>
      <c r="CX340" s="847"/>
      <c r="CY340" s="847"/>
      <c r="CZ340" s="847"/>
      <c r="DA340" s="847"/>
      <c r="DB340" s="847"/>
      <c r="DC340" s="847"/>
      <c r="DD340" s="847"/>
      <c r="DE340" s="847"/>
      <c r="DF340" s="847"/>
      <c r="DG340" s="847"/>
      <c r="DH340" s="847"/>
      <c r="DI340" s="847"/>
      <c r="DJ340" s="847"/>
      <c r="DK340" s="847"/>
      <c r="DL340" s="847"/>
      <c r="DM340" s="1212"/>
      <c r="DN340" s="1222">
        <f>'Lead &amp; ANALYSIS'!G5981/10</f>
        <v>6.4000000000000001E-2</v>
      </c>
      <c r="DO340" s="1013">
        <f>ROUND(C340*DN340,2)</f>
        <v>0</v>
      </c>
      <c r="DP340" s="847"/>
      <c r="DQ340" s="1013"/>
      <c r="DR340" s="1225">
        <f>'Lead &amp; ANALYSIS'!G5980/10</f>
        <v>5.4000000000000006E-2</v>
      </c>
      <c r="DS340" s="1013">
        <f>ROUND(C340*DR340,2)</f>
        <v>0</v>
      </c>
      <c r="DT340" s="1225"/>
      <c r="DU340" s="1214"/>
      <c r="DV340" s="1242"/>
      <c r="DW340" s="1232"/>
      <c r="DX340" s="1222"/>
      <c r="DY340" s="847"/>
      <c r="DZ340" s="847"/>
      <c r="EA340" s="847"/>
      <c r="EB340" s="847"/>
      <c r="EC340" s="847"/>
      <c r="ED340" s="847"/>
      <c r="EE340" s="847"/>
      <c r="EF340" s="847"/>
      <c r="EG340" s="1212"/>
      <c r="EH340" s="847"/>
      <c r="EI340" s="1212"/>
    </row>
    <row r="341" spans="1:139" s="733" customFormat="1" ht="13.5">
      <c r="A341" s="1009"/>
      <c r="B341" s="1212" t="s">
        <v>2067</v>
      </c>
      <c r="C341" s="1213">
        <v>0</v>
      </c>
      <c r="D341" s="1013" t="s">
        <v>92</v>
      </c>
      <c r="E341" s="847"/>
      <c r="F341" s="1013"/>
      <c r="G341" s="847"/>
      <c r="H341" s="1013"/>
      <c r="I341" s="847"/>
      <c r="J341" s="1013"/>
      <c r="K341" s="847"/>
      <c r="L341" s="1013"/>
      <c r="M341" s="847"/>
      <c r="N341" s="1013"/>
      <c r="O341" s="847"/>
      <c r="P341" s="1013"/>
      <c r="Q341" s="847"/>
      <c r="R341" s="847"/>
      <c r="S341" s="847"/>
      <c r="T341" s="847"/>
      <c r="U341" s="847"/>
      <c r="V341" s="847"/>
      <c r="W341" s="847"/>
      <c r="X341" s="847"/>
      <c r="Y341" s="847"/>
      <c r="Z341" s="847"/>
      <c r="AA341" s="847"/>
      <c r="AB341" s="847"/>
      <c r="AC341" s="847"/>
      <c r="AD341" s="847"/>
      <c r="AE341" s="847"/>
      <c r="AF341" s="847"/>
      <c r="AG341" s="847"/>
      <c r="AH341" s="847"/>
      <c r="AI341" s="847"/>
      <c r="AJ341" s="847"/>
      <c r="AK341" s="847"/>
      <c r="AL341" s="847"/>
      <c r="AM341" s="847"/>
      <c r="AN341" s="847"/>
      <c r="AO341" s="847"/>
      <c r="AP341" s="847"/>
      <c r="AQ341" s="847"/>
      <c r="AR341" s="847"/>
      <c r="AS341" s="847"/>
      <c r="AT341" s="847"/>
      <c r="AU341" s="847"/>
      <c r="AV341" s="847"/>
      <c r="AW341" s="847"/>
      <c r="AX341" s="847"/>
      <c r="AY341" s="847"/>
      <c r="AZ341" s="847"/>
      <c r="BA341" s="847"/>
      <c r="BB341" s="847"/>
      <c r="BC341" s="847"/>
      <c r="BD341" s="847"/>
      <c r="BE341" s="847"/>
      <c r="BF341" s="847"/>
      <c r="BG341" s="847"/>
      <c r="BH341" s="847"/>
      <c r="BI341" s="847"/>
      <c r="BJ341" s="847"/>
      <c r="BK341" s="847">
        <f>BK340</f>
        <v>0.125</v>
      </c>
      <c r="BL341" s="847">
        <f>ROUND(C341*BK341,2)</f>
        <v>0</v>
      </c>
      <c r="BM341" s="847"/>
      <c r="BN341" s="847"/>
      <c r="BO341" s="847"/>
      <c r="BP341" s="847"/>
      <c r="BQ341" s="847"/>
      <c r="BR341" s="847"/>
      <c r="BS341" s="847"/>
      <c r="BT341" s="847"/>
      <c r="BU341" s="847"/>
      <c r="BV341" s="847"/>
      <c r="BW341" s="847"/>
      <c r="BX341" s="847"/>
      <c r="BY341" s="847"/>
      <c r="BZ341" s="847"/>
      <c r="CA341" s="847"/>
      <c r="CB341" s="847"/>
      <c r="CC341" s="847"/>
      <c r="CD341" s="847"/>
      <c r="CE341" s="847"/>
      <c r="CF341" s="847"/>
      <c r="CG341" s="847"/>
      <c r="CH341" s="847"/>
      <c r="CI341" s="847"/>
      <c r="CJ341" s="847"/>
      <c r="CK341" s="847"/>
      <c r="CL341" s="847"/>
      <c r="CM341" s="847"/>
      <c r="CN341" s="847"/>
      <c r="CO341" s="847"/>
      <c r="CP341" s="847"/>
      <c r="CQ341" s="847"/>
      <c r="CR341" s="847"/>
      <c r="CS341" s="847"/>
      <c r="CT341" s="847"/>
      <c r="CU341" s="847"/>
      <c r="CV341" s="847"/>
      <c r="CW341" s="847"/>
      <c r="CX341" s="847"/>
      <c r="CY341" s="847"/>
      <c r="CZ341" s="847"/>
      <c r="DA341" s="847"/>
      <c r="DB341" s="847"/>
      <c r="DC341" s="847"/>
      <c r="DD341" s="847"/>
      <c r="DE341" s="847"/>
      <c r="DF341" s="847"/>
      <c r="DG341" s="847"/>
      <c r="DH341" s="847"/>
      <c r="DI341" s="847"/>
      <c r="DJ341" s="847"/>
      <c r="DK341" s="847"/>
      <c r="DL341" s="847"/>
      <c r="DM341" s="1212"/>
      <c r="DN341" s="1222">
        <f>DN340+DN340*3%</f>
        <v>6.5920000000000006E-2</v>
      </c>
      <c r="DO341" s="1013">
        <f>ROUND(C341*DN341,2)</f>
        <v>0</v>
      </c>
      <c r="DP341" s="847"/>
      <c r="DQ341" s="1013"/>
      <c r="DR341" s="847">
        <f>DR340+DR340*3%</f>
        <v>5.562000000000001E-2</v>
      </c>
      <c r="DS341" s="1013">
        <f>ROUND(C341*DR341,2)</f>
        <v>0</v>
      </c>
      <c r="DT341" s="847"/>
      <c r="DU341" s="1214"/>
      <c r="DV341" s="1242"/>
      <c r="DW341" s="1232"/>
      <c r="DX341" s="1222"/>
      <c r="DY341" s="847"/>
      <c r="DZ341" s="847"/>
      <c r="EA341" s="847"/>
      <c r="EB341" s="847"/>
      <c r="EC341" s="847"/>
      <c r="ED341" s="847"/>
      <c r="EE341" s="847"/>
      <c r="EF341" s="847"/>
      <c r="EG341" s="1212"/>
      <c r="EH341" s="847"/>
      <c r="EI341" s="1212"/>
    </row>
    <row r="342" spans="1:139" s="733" customFormat="1" ht="13.5">
      <c r="A342" s="1009">
        <v>114</v>
      </c>
      <c r="B342" s="1212" t="s">
        <v>3096</v>
      </c>
      <c r="C342" s="1213">
        <v>0</v>
      </c>
      <c r="D342" s="1013" t="s">
        <v>92</v>
      </c>
      <c r="E342" s="847"/>
      <c r="F342" s="1013"/>
      <c r="G342" s="847"/>
      <c r="H342" s="1013"/>
      <c r="I342" s="847"/>
      <c r="J342" s="1013"/>
      <c r="K342" s="847"/>
      <c r="L342" s="1013"/>
      <c r="M342" s="847"/>
      <c r="N342" s="1013"/>
      <c r="O342" s="847"/>
      <c r="P342" s="1013"/>
      <c r="Q342" s="847"/>
      <c r="R342" s="847"/>
      <c r="S342" s="847"/>
      <c r="T342" s="847"/>
      <c r="U342" s="847"/>
      <c r="V342" s="847"/>
      <c r="W342" s="847"/>
      <c r="X342" s="847"/>
      <c r="Y342" s="847"/>
      <c r="Z342" s="847"/>
      <c r="AA342" s="847"/>
      <c r="AB342" s="847"/>
      <c r="AC342" s="847"/>
      <c r="AD342" s="847"/>
      <c r="AE342" s="847"/>
      <c r="AF342" s="847"/>
      <c r="AG342" s="847"/>
      <c r="AH342" s="847"/>
      <c r="AI342" s="847"/>
      <c r="AJ342" s="847"/>
      <c r="AK342" s="847"/>
      <c r="AL342" s="847"/>
      <c r="AM342" s="847"/>
      <c r="AN342" s="847"/>
      <c r="AO342" s="847"/>
      <c r="AP342" s="847"/>
      <c r="AQ342" s="847"/>
      <c r="AR342" s="847"/>
      <c r="AS342" s="847"/>
      <c r="AT342" s="847"/>
      <c r="AU342" s="847"/>
      <c r="AV342" s="847"/>
      <c r="AW342" s="847"/>
      <c r="AX342" s="847"/>
      <c r="AY342" s="847"/>
      <c r="AZ342" s="847"/>
      <c r="BA342" s="847"/>
      <c r="BB342" s="847"/>
      <c r="BC342" s="847"/>
      <c r="BD342" s="847"/>
      <c r="BE342" s="847"/>
      <c r="BF342" s="847"/>
      <c r="BG342" s="847"/>
      <c r="BH342" s="847"/>
      <c r="BI342" s="847"/>
      <c r="BJ342" s="847"/>
      <c r="BK342" s="847"/>
      <c r="BL342" s="847"/>
      <c r="BM342" s="847"/>
      <c r="BN342" s="847"/>
      <c r="BO342" s="847"/>
      <c r="BP342" s="847"/>
      <c r="BQ342" s="847"/>
      <c r="BR342" s="847"/>
      <c r="BS342" s="847"/>
      <c r="BT342" s="847"/>
      <c r="BU342" s="847"/>
      <c r="BV342" s="847"/>
      <c r="BW342" s="847"/>
      <c r="BX342" s="847"/>
      <c r="BY342" s="847"/>
      <c r="BZ342" s="847"/>
      <c r="CA342" s="847"/>
      <c r="CB342" s="847"/>
      <c r="CC342" s="847"/>
      <c r="CD342" s="847"/>
      <c r="CE342" s="847"/>
      <c r="CF342" s="847"/>
      <c r="CG342" s="847"/>
      <c r="CH342" s="847"/>
      <c r="CI342" s="847"/>
      <c r="CJ342" s="847"/>
      <c r="CK342" s="847"/>
      <c r="CL342" s="847"/>
      <c r="CM342" s="847"/>
      <c r="CN342" s="847"/>
      <c r="CO342" s="847"/>
      <c r="CP342" s="847"/>
      <c r="CQ342" s="847"/>
      <c r="CR342" s="847"/>
      <c r="CS342" s="847"/>
      <c r="CT342" s="847"/>
      <c r="CU342" s="847"/>
      <c r="CV342" s="847"/>
      <c r="CW342" s="847"/>
      <c r="CX342" s="847"/>
      <c r="CY342" s="847"/>
      <c r="CZ342" s="847"/>
      <c r="DA342" s="847"/>
      <c r="DB342" s="847"/>
      <c r="DC342" s="847"/>
      <c r="DD342" s="847"/>
      <c r="DE342" s="847"/>
      <c r="DF342" s="847"/>
      <c r="DG342" s="847"/>
      <c r="DH342" s="847"/>
      <c r="DI342" s="847"/>
      <c r="DJ342" s="847"/>
      <c r="DK342" s="847"/>
      <c r="DL342" s="847"/>
      <c r="DM342" s="1212"/>
      <c r="DN342" s="1222"/>
      <c r="DO342" s="1013"/>
      <c r="DP342" s="847"/>
      <c r="DQ342" s="1013"/>
      <c r="DR342" s="1225"/>
      <c r="DS342" s="1013"/>
      <c r="DT342" s="1225"/>
      <c r="DU342" s="1214"/>
      <c r="DV342" s="1242"/>
      <c r="DW342" s="1232"/>
      <c r="DX342" s="1222"/>
      <c r="DY342" s="847"/>
      <c r="DZ342" s="847"/>
      <c r="EA342" s="847"/>
      <c r="EB342" s="847"/>
      <c r="EC342" s="847"/>
      <c r="ED342" s="847"/>
      <c r="EE342" s="847"/>
      <c r="EF342" s="847"/>
      <c r="EG342" s="1212"/>
      <c r="EH342" s="847"/>
      <c r="EI342" s="1212"/>
    </row>
    <row r="343" spans="1:139" s="733" customFormat="1" ht="13.5">
      <c r="A343" s="1009"/>
      <c r="B343" s="1212" t="s">
        <v>2066</v>
      </c>
      <c r="C343" s="1213">
        <v>0</v>
      </c>
      <c r="D343" s="1013" t="s">
        <v>92</v>
      </c>
      <c r="E343" s="847"/>
      <c r="F343" s="1013"/>
      <c r="G343" s="847"/>
      <c r="H343" s="1013"/>
      <c r="I343" s="847"/>
      <c r="J343" s="1013"/>
      <c r="K343" s="847"/>
      <c r="L343" s="1013"/>
      <c r="M343" s="847"/>
      <c r="N343" s="1013"/>
      <c r="O343" s="847"/>
      <c r="P343" s="1013"/>
      <c r="Q343" s="847"/>
      <c r="R343" s="847"/>
      <c r="S343" s="847"/>
      <c r="T343" s="847"/>
      <c r="U343" s="847"/>
      <c r="V343" s="847"/>
      <c r="W343" s="847"/>
      <c r="X343" s="847"/>
      <c r="Y343" s="847"/>
      <c r="Z343" s="847"/>
      <c r="AA343" s="847"/>
      <c r="AB343" s="847"/>
      <c r="AC343" s="847"/>
      <c r="AD343" s="847"/>
      <c r="AE343" s="847"/>
      <c r="AF343" s="847"/>
      <c r="AG343" s="847"/>
      <c r="AH343" s="847"/>
      <c r="AI343" s="847"/>
      <c r="AJ343" s="847"/>
      <c r="AK343" s="847"/>
      <c r="AL343" s="847"/>
      <c r="AM343" s="847"/>
      <c r="AN343" s="847"/>
      <c r="AO343" s="847"/>
      <c r="AP343" s="847"/>
      <c r="AQ343" s="847"/>
      <c r="AR343" s="847"/>
      <c r="AS343" s="847"/>
      <c r="AT343" s="847"/>
      <c r="AU343" s="847"/>
      <c r="AV343" s="847"/>
      <c r="AW343" s="847">
        <f>'Lead &amp; ANALYSIS'!G6030</f>
        <v>8.4000000000000005E-2</v>
      </c>
      <c r="AX343" s="847">
        <f>ROUND(C343*AW343,2)</f>
        <v>0</v>
      </c>
      <c r="AY343" s="847"/>
      <c r="AZ343" s="847"/>
      <c r="BA343" s="847"/>
      <c r="BB343" s="847"/>
      <c r="BC343" s="847"/>
      <c r="BD343" s="847"/>
      <c r="BE343" s="847"/>
      <c r="BF343" s="847"/>
      <c r="BG343" s="847"/>
      <c r="BH343" s="847"/>
      <c r="BI343" s="847"/>
      <c r="BJ343" s="847"/>
      <c r="BK343" s="847">
        <f>'Lead &amp; ANALYSIS'!G6031</f>
        <v>0.125</v>
      </c>
      <c r="BL343" s="847">
        <f>ROUND(C343*BK343,2)</f>
        <v>0</v>
      </c>
      <c r="BM343" s="847"/>
      <c r="BN343" s="847"/>
      <c r="BO343" s="847"/>
      <c r="BP343" s="847"/>
      <c r="BQ343" s="847"/>
      <c r="BR343" s="847"/>
      <c r="BS343" s="847"/>
      <c r="BT343" s="847"/>
      <c r="BU343" s="847"/>
      <c r="BV343" s="847"/>
      <c r="BW343" s="847"/>
      <c r="BX343" s="847"/>
      <c r="BY343" s="847"/>
      <c r="BZ343" s="847"/>
      <c r="CA343" s="847"/>
      <c r="CB343" s="847"/>
      <c r="CC343" s="847"/>
      <c r="CD343" s="847"/>
      <c r="CE343" s="847"/>
      <c r="CF343" s="847"/>
      <c r="CG343" s="847"/>
      <c r="CH343" s="847"/>
      <c r="CI343" s="847"/>
      <c r="CJ343" s="847"/>
      <c r="CK343" s="847"/>
      <c r="CL343" s="847"/>
      <c r="CM343" s="847"/>
      <c r="CN343" s="847"/>
      <c r="CO343" s="847"/>
      <c r="CP343" s="847"/>
      <c r="CQ343" s="847"/>
      <c r="CR343" s="847"/>
      <c r="CS343" s="847"/>
      <c r="CT343" s="847"/>
      <c r="CU343" s="847"/>
      <c r="CV343" s="847"/>
      <c r="CW343" s="847"/>
      <c r="CX343" s="847"/>
      <c r="CY343" s="847"/>
      <c r="CZ343" s="847"/>
      <c r="DA343" s="847"/>
      <c r="DB343" s="847"/>
      <c r="DC343" s="847"/>
      <c r="DD343" s="847"/>
      <c r="DE343" s="847"/>
      <c r="DF343" s="847"/>
      <c r="DG343" s="847"/>
      <c r="DH343" s="847"/>
      <c r="DI343" s="847"/>
      <c r="DJ343" s="847"/>
      <c r="DK343" s="847"/>
      <c r="DL343" s="847"/>
      <c r="DM343" s="1212"/>
      <c r="DN343" s="1231">
        <f>'Lead &amp; ANALYSIS'!G6024/10</f>
        <v>0.1177</v>
      </c>
      <c r="DO343" s="1013">
        <f>ROUND(C343*DN343,2)</f>
        <v>0</v>
      </c>
      <c r="DP343" s="847"/>
      <c r="DQ343" s="1013"/>
      <c r="DR343" s="1236">
        <f>'Lead &amp; ANALYSIS'!G6023/10</f>
        <v>0.10769999999999999</v>
      </c>
      <c r="DS343" s="1013">
        <f>ROUND(C343*DR343,2)</f>
        <v>0</v>
      </c>
      <c r="DT343" s="1225"/>
      <c r="DU343" s="1214"/>
      <c r="DV343" s="1242"/>
      <c r="DW343" s="1232"/>
      <c r="DX343" s="1222"/>
      <c r="DY343" s="847"/>
      <c r="DZ343" s="847"/>
      <c r="EA343" s="847"/>
      <c r="EB343" s="847"/>
      <c r="EC343" s="847"/>
      <c r="ED343" s="847"/>
      <c r="EE343" s="847"/>
      <c r="EF343" s="847"/>
      <c r="EG343" s="1212"/>
      <c r="EH343" s="847"/>
      <c r="EI343" s="1212"/>
    </row>
    <row r="344" spans="1:139" s="733" customFormat="1" ht="13.5">
      <c r="A344" s="1009"/>
      <c r="B344" s="1212" t="s">
        <v>2067</v>
      </c>
      <c r="C344" s="1213">
        <v>0</v>
      </c>
      <c r="D344" s="1013" t="s">
        <v>92</v>
      </c>
      <c r="E344" s="847"/>
      <c r="F344" s="1013"/>
      <c r="G344" s="847"/>
      <c r="H344" s="1013"/>
      <c r="I344" s="847"/>
      <c r="J344" s="1013"/>
      <c r="K344" s="847"/>
      <c r="L344" s="1013"/>
      <c r="M344" s="847"/>
      <c r="N344" s="1013"/>
      <c r="O344" s="847"/>
      <c r="P344" s="1013"/>
      <c r="Q344" s="847"/>
      <c r="R344" s="847"/>
      <c r="S344" s="847"/>
      <c r="T344" s="847"/>
      <c r="U344" s="847"/>
      <c r="V344" s="847"/>
      <c r="W344" s="847"/>
      <c r="X344" s="847"/>
      <c r="Y344" s="847"/>
      <c r="Z344" s="847"/>
      <c r="AA344" s="847"/>
      <c r="AB344" s="847"/>
      <c r="AC344" s="847"/>
      <c r="AD344" s="847"/>
      <c r="AE344" s="847"/>
      <c r="AF344" s="847"/>
      <c r="AG344" s="847"/>
      <c r="AH344" s="847"/>
      <c r="AI344" s="847"/>
      <c r="AJ344" s="847"/>
      <c r="AK344" s="847"/>
      <c r="AL344" s="847"/>
      <c r="AM344" s="847"/>
      <c r="AN344" s="847"/>
      <c r="AO344" s="847"/>
      <c r="AP344" s="847"/>
      <c r="AQ344" s="847"/>
      <c r="AR344" s="847"/>
      <c r="AS344" s="847"/>
      <c r="AT344" s="847"/>
      <c r="AU344" s="847"/>
      <c r="AV344" s="847"/>
      <c r="AW344" s="847">
        <f>AW343</f>
        <v>8.4000000000000005E-2</v>
      </c>
      <c r="AX344" s="847">
        <f>ROUND(C344*AW344,2)</f>
        <v>0</v>
      </c>
      <c r="AY344" s="847"/>
      <c r="AZ344" s="847"/>
      <c r="BA344" s="847"/>
      <c r="BB344" s="847"/>
      <c r="BC344" s="847"/>
      <c r="BD344" s="847"/>
      <c r="BE344" s="847"/>
      <c r="BF344" s="847"/>
      <c r="BG344" s="847"/>
      <c r="BH344" s="847"/>
      <c r="BI344" s="847"/>
      <c r="BJ344" s="847"/>
      <c r="BK344" s="847">
        <f>BK343</f>
        <v>0.125</v>
      </c>
      <c r="BL344" s="847">
        <f>ROUND(C344*BK344,2)</f>
        <v>0</v>
      </c>
      <c r="BM344" s="847"/>
      <c r="BN344" s="847"/>
      <c r="BO344" s="847"/>
      <c r="BP344" s="847"/>
      <c r="BQ344" s="847"/>
      <c r="BR344" s="847"/>
      <c r="BS344" s="847"/>
      <c r="BT344" s="847"/>
      <c r="BU344" s="847"/>
      <c r="BV344" s="847"/>
      <c r="BW344" s="847"/>
      <c r="BX344" s="847"/>
      <c r="BY344" s="847"/>
      <c r="BZ344" s="847"/>
      <c r="CA344" s="847"/>
      <c r="CB344" s="847"/>
      <c r="CC344" s="847"/>
      <c r="CD344" s="847"/>
      <c r="CE344" s="847"/>
      <c r="CF344" s="847"/>
      <c r="CG344" s="847"/>
      <c r="CH344" s="847"/>
      <c r="CI344" s="847"/>
      <c r="CJ344" s="847"/>
      <c r="CK344" s="847"/>
      <c r="CL344" s="847"/>
      <c r="CM344" s="847"/>
      <c r="CN344" s="847"/>
      <c r="CO344" s="847"/>
      <c r="CP344" s="847"/>
      <c r="CQ344" s="847"/>
      <c r="CR344" s="847"/>
      <c r="CS344" s="847"/>
      <c r="CT344" s="847"/>
      <c r="CU344" s="847"/>
      <c r="CV344" s="847"/>
      <c r="CW344" s="847"/>
      <c r="CX344" s="847"/>
      <c r="CY344" s="847"/>
      <c r="CZ344" s="847"/>
      <c r="DA344" s="847"/>
      <c r="DB344" s="847"/>
      <c r="DC344" s="847"/>
      <c r="DD344" s="847"/>
      <c r="DE344" s="847"/>
      <c r="DF344" s="847"/>
      <c r="DG344" s="847"/>
      <c r="DH344" s="847"/>
      <c r="DI344" s="847"/>
      <c r="DJ344" s="847"/>
      <c r="DK344" s="847"/>
      <c r="DL344" s="847"/>
      <c r="DM344" s="1212"/>
      <c r="DN344" s="1231">
        <f>DN343+DN343*3%</f>
        <v>0.12123100000000001</v>
      </c>
      <c r="DO344" s="1013">
        <f>ROUND(C344*DN344,2)</f>
        <v>0</v>
      </c>
      <c r="DP344" s="847"/>
      <c r="DQ344" s="1013"/>
      <c r="DR344" s="847">
        <f>DR343+DR343*3%</f>
        <v>0.11093099999999999</v>
      </c>
      <c r="DS344" s="1013">
        <f>ROUND(C344*DR344,2)</f>
        <v>0</v>
      </c>
      <c r="DT344" s="847"/>
      <c r="DU344" s="1214"/>
      <c r="DV344" s="1242"/>
      <c r="DW344" s="1232"/>
      <c r="DX344" s="1222"/>
      <c r="DY344" s="847"/>
      <c r="DZ344" s="847"/>
      <c r="EA344" s="847"/>
      <c r="EB344" s="847"/>
      <c r="EC344" s="847"/>
      <c r="ED344" s="847"/>
      <c r="EE344" s="847"/>
      <c r="EF344" s="847"/>
      <c r="EG344" s="1212"/>
      <c r="EH344" s="847"/>
      <c r="EI344" s="1212"/>
    </row>
    <row r="345" spans="1:139" s="733" customFormat="1" ht="13.5">
      <c r="A345" s="1009">
        <v>115</v>
      </c>
      <c r="B345" s="1212" t="s">
        <v>3097</v>
      </c>
      <c r="C345" s="1213">
        <v>0</v>
      </c>
      <c r="D345" s="1013" t="s">
        <v>92</v>
      </c>
      <c r="E345" s="847"/>
      <c r="F345" s="1013"/>
      <c r="G345" s="847"/>
      <c r="H345" s="1013"/>
      <c r="I345" s="847"/>
      <c r="J345" s="1013"/>
      <c r="K345" s="847"/>
      <c r="L345" s="1013"/>
      <c r="M345" s="847"/>
      <c r="N345" s="1013"/>
      <c r="O345" s="847"/>
      <c r="P345" s="1013"/>
      <c r="Q345" s="847"/>
      <c r="R345" s="847"/>
      <c r="S345" s="847"/>
      <c r="T345" s="847"/>
      <c r="U345" s="847"/>
      <c r="V345" s="847"/>
      <c r="W345" s="847"/>
      <c r="X345" s="847"/>
      <c r="Y345" s="847"/>
      <c r="Z345" s="847"/>
      <c r="AA345" s="847"/>
      <c r="AB345" s="847"/>
      <c r="AC345" s="847"/>
      <c r="AD345" s="847"/>
      <c r="AE345" s="847"/>
      <c r="AF345" s="847"/>
      <c r="AG345" s="847"/>
      <c r="AH345" s="847"/>
      <c r="AI345" s="847"/>
      <c r="AJ345" s="847"/>
      <c r="AK345" s="847"/>
      <c r="AL345" s="847"/>
      <c r="AM345" s="847"/>
      <c r="AN345" s="847"/>
      <c r="AO345" s="847"/>
      <c r="AP345" s="847"/>
      <c r="AQ345" s="847"/>
      <c r="AR345" s="847"/>
      <c r="AS345" s="847"/>
      <c r="AT345" s="847"/>
      <c r="AU345" s="847"/>
      <c r="AV345" s="847"/>
      <c r="AW345" s="847"/>
      <c r="AX345" s="847"/>
      <c r="AY345" s="847"/>
      <c r="AZ345" s="847"/>
      <c r="BA345" s="847"/>
      <c r="BB345" s="847"/>
      <c r="BC345" s="847"/>
      <c r="BD345" s="847"/>
      <c r="BE345" s="847"/>
      <c r="BF345" s="847"/>
      <c r="BG345" s="847"/>
      <c r="BH345" s="847"/>
      <c r="BI345" s="847"/>
      <c r="BJ345" s="847"/>
      <c r="BK345" s="847"/>
      <c r="BL345" s="847"/>
      <c r="BM345" s="847"/>
      <c r="BN345" s="847"/>
      <c r="BO345" s="847"/>
      <c r="BP345" s="847"/>
      <c r="BQ345" s="847"/>
      <c r="BR345" s="847"/>
      <c r="BS345" s="847"/>
      <c r="BT345" s="847"/>
      <c r="BU345" s="847"/>
      <c r="BV345" s="847"/>
      <c r="BW345" s="847"/>
      <c r="BX345" s="847"/>
      <c r="BY345" s="847"/>
      <c r="BZ345" s="847"/>
      <c r="CA345" s="847"/>
      <c r="CB345" s="847"/>
      <c r="CC345" s="847"/>
      <c r="CD345" s="847"/>
      <c r="CE345" s="847"/>
      <c r="CF345" s="847"/>
      <c r="CG345" s="847"/>
      <c r="CH345" s="847"/>
      <c r="CI345" s="847"/>
      <c r="CJ345" s="847"/>
      <c r="CK345" s="847"/>
      <c r="CL345" s="847"/>
      <c r="CM345" s="847"/>
      <c r="CN345" s="847"/>
      <c r="CO345" s="847"/>
      <c r="CP345" s="847"/>
      <c r="CQ345" s="847"/>
      <c r="CR345" s="847"/>
      <c r="CS345" s="847"/>
      <c r="CT345" s="847"/>
      <c r="CU345" s="847"/>
      <c r="CV345" s="847"/>
      <c r="CW345" s="847"/>
      <c r="CX345" s="847"/>
      <c r="CY345" s="847"/>
      <c r="CZ345" s="847"/>
      <c r="DA345" s="847"/>
      <c r="DB345" s="847"/>
      <c r="DC345" s="847"/>
      <c r="DD345" s="847"/>
      <c r="DE345" s="847"/>
      <c r="DF345" s="847"/>
      <c r="DG345" s="847"/>
      <c r="DH345" s="847"/>
      <c r="DI345" s="847"/>
      <c r="DJ345" s="847"/>
      <c r="DK345" s="847"/>
      <c r="DL345" s="847"/>
      <c r="DM345" s="1212"/>
      <c r="DN345" s="1222"/>
      <c r="DO345" s="1013"/>
      <c r="DP345" s="847"/>
      <c r="DQ345" s="1013"/>
      <c r="DR345" s="1225"/>
      <c r="DS345" s="1013"/>
      <c r="DT345" s="1225"/>
      <c r="DU345" s="1214"/>
      <c r="DV345" s="1242"/>
      <c r="DW345" s="1232"/>
      <c r="DX345" s="1222"/>
      <c r="DY345" s="847"/>
      <c r="DZ345" s="847"/>
      <c r="EA345" s="847"/>
      <c r="EB345" s="847"/>
      <c r="EC345" s="847"/>
      <c r="ED345" s="847"/>
      <c r="EE345" s="847"/>
      <c r="EF345" s="847"/>
      <c r="EG345" s="1212"/>
      <c r="EH345" s="847"/>
      <c r="EI345" s="1212"/>
    </row>
    <row r="346" spans="1:139" s="733" customFormat="1" ht="13.5">
      <c r="A346" s="1009"/>
      <c r="B346" s="1212" t="s">
        <v>2066</v>
      </c>
      <c r="C346" s="1213">
        <v>0</v>
      </c>
      <c r="D346" s="1013" t="s">
        <v>92</v>
      </c>
      <c r="E346" s="847"/>
      <c r="F346" s="1013"/>
      <c r="G346" s="847"/>
      <c r="H346" s="1013"/>
      <c r="I346" s="847"/>
      <c r="J346" s="1013"/>
      <c r="K346" s="847"/>
      <c r="L346" s="1013"/>
      <c r="M346" s="847"/>
      <c r="N346" s="1013"/>
      <c r="O346" s="847"/>
      <c r="P346" s="1013"/>
      <c r="Q346" s="847"/>
      <c r="R346" s="847"/>
      <c r="S346" s="847"/>
      <c r="T346" s="847"/>
      <c r="U346" s="847"/>
      <c r="V346" s="847"/>
      <c r="W346" s="847"/>
      <c r="X346" s="847"/>
      <c r="Y346" s="847"/>
      <c r="Z346" s="847"/>
      <c r="AA346" s="847"/>
      <c r="AB346" s="847"/>
      <c r="AC346" s="847"/>
      <c r="AD346" s="847"/>
      <c r="AE346" s="847"/>
      <c r="AF346" s="847"/>
      <c r="AG346" s="847"/>
      <c r="AH346" s="847"/>
      <c r="AI346" s="847"/>
      <c r="AJ346" s="847"/>
      <c r="AK346" s="847"/>
      <c r="AL346" s="847"/>
      <c r="AM346" s="847"/>
      <c r="AN346" s="847"/>
      <c r="AO346" s="847"/>
      <c r="AP346" s="847"/>
      <c r="AQ346" s="847"/>
      <c r="AR346" s="847"/>
      <c r="AS346" s="847"/>
      <c r="AT346" s="847"/>
      <c r="AU346" s="847"/>
      <c r="AV346" s="847"/>
      <c r="AW346" s="847"/>
      <c r="AX346" s="847"/>
      <c r="AY346" s="847"/>
      <c r="AZ346" s="847"/>
      <c r="BA346" s="847"/>
      <c r="BB346" s="847"/>
      <c r="BC346" s="847"/>
      <c r="BD346" s="847"/>
      <c r="BE346" s="847">
        <f>'Lead &amp; ANALYSIS'!G6073</f>
        <v>0.16600000000000001</v>
      </c>
      <c r="BF346" s="847">
        <f>ROUND(C346*BE346,2)</f>
        <v>0</v>
      </c>
      <c r="BG346" s="847"/>
      <c r="BH346" s="847"/>
      <c r="BI346" s="847"/>
      <c r="BJ346" s="847"/>
      <c r="BK346" s="847"/>
      <c r="BL346" s="847"/>
      <c r="BM346" s="847"/>
      <c r="BN346" s="847"/>
      <c r="BO346" s="847"/>
      <c r="BP346" s="847"/>
      <c r="BQ346" s="847"/>
      <c r="BR346" s="847"/>
      <c r="BS346" s="847"/>
      <c r="BT346" s="847"/>
      <c r="BU346" s="847"/>
      <c r="BV346" s="847"/>
      <c r="BW346" s="847"/>
      <c r="BX346" s="847"/>
      <c r="BY346" s="847"/>
      <c r="BZ346" s="847"/>
      <c r="CA346" s="847"/>
      <c r="CB346" s="847"/>
      <c r="CC346" s="847"/>
      <c r="CD346" s="847"/>
      <c r="CE346" s="847"/>
      <c r="CF346" s="847"/>
      <c r="CG346" s="847"/>
      <c r="CH346" s="847"/>
      <c r="CI346" s="847"/>
      <c r="CJ346" s="847"/>
      <c r="CK346" s="847"/>
      <c r="CL346" s="847"/>
      <c r="CM346" s="847"/>
      <c r="CN346" s="847"/>
      <c r="CO346" s="847"/>
      <c r="CP346" s="847"/>
      <c r="CQ346" s="847"/>
      <c r="CR346" s="847"/>
      <c r="CS346" s="847"/>
      <c r="CT346" s="847"/>
      <c r="CU346" s="847"/>
      <c r="CV346" s="847"/>
      <c r="CW346" s="847"/>
      <c r="CX346" s="847"/>
      <c r="CY346" s="847"/>
      <c r="CZ346" s="847"/>
      <c r="DA346" s="847"/>
      <c r="DB346" s="847"/>
      <c r="DC346" s="847"/>
      <c r="DD346" s="847"/>
      <c r="DE346" s="847"/>
      <c r="DF346" s="847"/>
      <c r="DG346" s="847"/>
      <c r="DH346" s="847"/>
      <c r="DI346" s="847"/>
      <c r="DJ346" s="847"/>
      <c r="DK346" s="847"/>
      <c r="DL346" s="847"/>
      <c r="DM346" s="1212"/>
      <c r="DN346" s="1224">
        <f>'Lead &amp; ANALYSIS'!G6067/10</f>
        <v>0.04</v>
      </c>
      <c r="DO346" s="1013">
        <f>ROUND(C346*DN346,2)</f>
        <v>0</v>
      </c>
      <c r="DP346" s="847"/>
      <c r="DQ346" s="1013"/>
      <c r="DR346" s="1225"/>
      <c r="DS346" s="1013"/>
      <c r="DT346" s="1225">
        <f>'Lead &amp; ANALYSIS'!G6066/10</f>
        <v>3.3000000000000002E-2</v>
      </c>
      <c r="DU346" s="1214">
        <f>ROUND(C346*DT346,2)</f>
        <v>0</v>
      </c>
      <c r="DV346" s="1242"/>
      <c r="DW346" s="1232"/>
      <c r="DX346" s="1222"/>
      <c r="DY346" s="847"/>
      <c r="DZ346" s="847"/>
      <c r="EA346" s="847"/>
      <c r="EB346" s="847"/>
      <c r="EC346" s="847"/>
      <c r="ED346" s="847"/>
      <c r="EE346" s="847"/>
      <c r="EF346" s="847"/>
      <c r="EG346" s="1212"/>
      <c r="EH346" s="847"/>
      <c r="EI346" s="1212"/>
    </row>
    <row r="347" spans="1:139" s="733" customFormat="1" ht="13.5">
      <c r="A347" s="1009"/>
      <c r="B347" s="1212" t="s">
        <v>2067</v>
      </c>
      <c r="C347" s="1213">
        <v>0</v>
      </c>
      <c r="D347" s="1013" t="s">
        <v>92</v>
      </c>
      <c r="E347" s="847"/>
      <c r="F347" s="1013"/>
      <c r="G347" s="847"/>
      <c r="H347" s="1013"/>
      <c r="I347" s="847"/>
      <c r="J347" s="1013"/>
      <c r="K347" s="847"/>
      <c r="L347" s="1013"/>
      <c r="M347" s="847"/>
      <c r="N347" s="1013"/>
      <c r="O347" s="847"/>
      <c r="P347" s="1013"/>
      <c r="Q347" s="847"/>
      <c r="R347" s="847"/>
      <c r="S347" s="847"/>
      <c r="T347" s="847"/>
      <c r="U347" s="847"/>
      <c r="V347" s="847"/>
      <c r="W347" s="847"/>
      <c r="X347" s="847"/>
      <c r="Y347" s="847"/>
      <c r="Z347" s="847"/>
      <c r="AA347" s="847"/>
      <c r="AB347" s="847"/>
      <c r="AC347" s="847"/>
      <c r="AD347" s="847"/>
      <c r="AE347" s="847"/>
      <c r="AF347" s="847"/>
      <c r="AG347" s="847"/>
      <c r="AH347" s="847"/>
      <c r="AI347" s="847"/>
      <c r="AJ347" s="847"/>
      <c r="AK347" s="847"/>
      <c r="AL347" s="847"/>
      <c r="AM347" s="847"/>
      <c r="AN347" s="847"/>
      <c r="AO347" s="847"/>
      <c r="AP347" s="847"/>
      <c r="AQ347" s="847"/>
      <c r="AR347" s="847"/>
      <c r="AS347" s="847"/>
      <c r="AT347" s="847"/>
      <c r="AU347" s="847"/>
      <c r="AV347" s="847"/>
      <c r="AW347" s="847"/>
      <c r="AX347" s="847"/>
      <c r="AY347" s="847"/>
      <c r="AZ347" s="847"/>
      <c r="BA347" s="847"/>
      <c r="BB347" s="847"/>
      <c r="BC347" s="847"/>
      <c r="BD347" s="847"/>
      <c r="BE347" s="847">
        <f>BE346</f>
        <v>0.16600000000000001</v>
      </c>
      <c r="BF347" s="847">
        <f>ROUND(C347*BE347,2)</f>
        <v>0</v>
      </c>
      <c r="BG347" s="847"/>
      <c r="BH347" s="847"/>
      <c r="BI347" s="847"/>
      <c r="BJ347" s="847"/>
      <c r="BK347" s="847"/>
      <c r="BL347" s="847"/>
      <c r="BM347" s="847"/>
      <c r="BN347" s="847"/>
      <c r="BO347" s="847"/>
      <c r="BP347" s="847"/>
      <c r="BQ347" s="847"/>
      <c r="BR347" s="847"/>
      <c r="BS347" s="847"/>
      <c r="BT347" s="847"/>
      <c r="BU347" s="847"/>
      <c r="BV347" s="847"/>
      <c r="BW347" s="847"/>
      <c r="BX347" s="847"/>
      <c r="BY347" s="847"/>
      <c r="BZ347" s="847"/>
      <c r="CA347" s="847"/>
      <c r="CB347" s="847"/>
      <c r="CC347" s="847"/>
      <c r="CD347" s="847"/>
      <c r="CE347" s="847"/>
      <c r="CF347" s="847"/>
      <c r="CG347" s="847"/>
      <c r="CH347" s="847"/>
      <c r="CI347" s="847"/>
      <c r="CJ347" s="847"/>
      <c r="CK347" s="847"/>
      <c r="CL347" s="847"/>
      <c r="CM347" s="847"/>
      <c r="CN347" s="847"/>
      <c r="CO347" s="847"/>
      <c r="CP347" s="847"/>
      <c r="CQ347" s="847"/>
      <c r="CR347" s="847"/>
      <c r="CS347" s="847"/>
      <c r="CT347" s="847"/>
      <c r="CU347" s="847"/>
      <c r="CV347" s="847"/>
      <c r="CW347" s="847"/>
      <c r="CX347" s="847"/>
      <c r="CY347" s="847"/>
      <c r="CZ347" s="847"/>
      <c r="DA347" s="847"/>
      <c r="DB347" s="847"/>
      <c r="DC347" s="847"/>
      <c r="DD347" s="847"/>
      <c r="DE347" s="847"/>
      <c r="DF347" s="847"/>
      <c r="DG347" s="847"/>
      <c r="DH347" s="847"/>
      <c r="DI347" s="847"/>
      <c r="DJ347" s="847"/>
      <c r="DK347" s="847"/>
      <c r="DL347" s="847"/>
      <c r="DM347" s="1212"/>
      <c r="DN347" s="1222">
        <f>DN346+DN346*3%</f>
        <v>4.1200000000000001E-2</v>
      </c>
      <c r="DO347" s="1013">
        <f>ROUND(C347*DN347,2)</f>
        <v>0</v>
      </c>
      <c r="DP347" s="847"/>
      <c r="DQ347" s="1013"/>
      <c r="DR347" s="1225"/>
      <c r="DS347" s="1013"/>
      <c r="DT347" s="847">
        <f>DT346+DT346*3%</f>
        <v>3.3989999999999999E-2</v>
      </c>
      <c r="DU347" s="1214">
        <f>ROUND(C347*DT347,2)</f>
        <v>0</v>
      </c>
      <c r="DV347" s="1242"/>
      <c r="DW347" s="1232"/>
      <c r="DX347" s="1222"/>
      <c r="DY347" s="847"/>
      <c r="DZ347" s="847"/>
      <c r="EA347" s="847"/>
      <c r="EB347" s="847"/>
      <c r="EC347" s="847"/>
      <c r="ED347" s="847"/>
      <c r="EE347" s="847"/>
      <c r="EF347" s="847"/>
      <c r="EG347" s="1212"/>
      <c r="EH347" s="847"/>
      <c r="EI347" s="1212"/>
    </row>
    <row r="348" spans="1:139" s="733" customFormat="1" ht="13.5">
      <c r="A348" s="1009">
        <v>116</v>
      </c>
      <c r="B348" s="1212" t="s">
        <v>1609</v>
      </c>
      <c r="C348" s="1213">
        <v>0</v>
      </c>
      <c r="D348" s="1013" t="s">
        <v>92</v>
      </c>
      <c r="E348" s="847"/>
      <c r="F348" s="1013"/>
      <c r="G348" s="847"/>
      <c r="H348" s="1013"/>
      <c r="I348" s="847"/>
      <c r="J348" s="1013"/>
      <c r="K348" s="847"/>
      <c r="L348" s="1013"/>
      <c r="M348" s="847"/>
      <c r="N348" s="1013"/>
      <c r="O348" s="847"/>
      <c r="P348" s="1013"/>
      <c r="Q348" s="847"/>
      <c r="R348" s="847"/>
      <c r="S348" s="847"/>
      <c r="T348" s="847"/>
      <c r="U348" s="847"/>
      <c r="V348" s="847"/>
      <c r="W348" s="847"/>
      <c r="X348" s="847"/>
      <c r="Y348" s="847"/>
      <c r="Z348" s="847"/>
      <c r="AA348" s="847"/>
      <c r="AB348" s="847"/>
      <c r="AC348" s="847"/>
      <c r="AD348" s="847"/>
      <c r="AE348" s="847"/>
      <c r="AF348" s="847"/>
      <c r="AG348" s="847"/>
      <c r="AH348" s="847"/>
      <c r="AI348" s="847"/>
      <c r="AJ348" s="847"/>
      <c r="AK348" s="847"/>
      <c r="AL348" s="847"/>
      <c r="AM348" s="847"/>
      <c r="AN348" s="847"/>
      <c r="AO348" s="847"/>
      <c r="AP348" s="847"/>
      <c r="AQ348" s="847"/>
      <c r="AR348" s="847"/>
      <c r="AS348" s="847"/>
      <c r="AT348" s="847"/>
      <c r="AU348" s="847"/>
      <c r="AV348" s="847"/>
      <c r="AW348" s="847"/>
      <c r="AX348" s="847"/>
      <c r="AY348" s="847"/>
      <c r="AZ348" s="847"/>
      <c r="BA348" s="847"/>
      <c r="BB348" s="847"/>
      <c r="BC348" s="847"/>
      <c r="BD348" s="847"/>
      <c r="BE348" s="847"/>
      <c r="BF348" s="847"/>
      <c r="BG348" s="847"/>
      <c r="BH348" s="847"/>
      <c r="BI348" s="847"/>
      <c r="BJ348" s="847"/>
      <c r="BK348" s="847"/>
      <c r="BL348" s="847"/>
      <c r="BM348" s="847"/>
      <c r="BN348" s="847"/>
      <c r="BO348" s="847"/>
      <c r="BP348" s="847"/>
      <c r="BQ348" s="847"/>
      <c r="BR348" s="847"/>
      <c r="BS348" s="847"/>
      <c r="BT348" s="847"/>
      <c r="BU348" s="847"/>
      <c r="BV348" s="847"/>
      <c r="BW348" s="847"/>
      <c r="BX348" s="847"/>
      <c r="BY348" s="847"/>
      <c r="BZ348" s="847"/>
      <c r="CA348" s="847"/>
      <c r="CB348" s="847"/>
      <c r="CC348" s="847"/>
      <c r="CD348" s="847"/>
      <c r="CE348" s="847"/>
      <c r="CF348" s="847"/>
      <c r="CG348" s="847"/>
      <c r="CH348" s="847"/>
      <c r="CI348" s="847"/>
      <c r="CJ348" s="847"/>
      <c r="CK348" s="847"/>
      <c r="CL348" s="847"/>
      <c r="CM348" s="847"/>
      <c r="CN348" s="847"/>
      <c r="CO348" s="847"/>
      <c r="CP348" s="847"/>
      <c r="CQ348" s="847"/>
      <c r="CR348" s="847"/>
      <c r="CS348" s="847"/>
      <c r="CT348" s="847"/>
      <c r="CU348" s="847"/>
      <c r="CV348" s="847"/>
      <c r="CW348" s="847"/>
      <c r="CX348" s="847"/>
      <c r="CY348" s="847"/>
      <c r="CZ348" s="847"/>
      <c r="DA348" s="847"/>
      <c r="DB348" s="847"/>
      <c r="DC348" s="847"/>
      <c r="DD348" s="847"/>
      <c r="DE348" s="847"/>
      <c r="DF348" s="847"/>
      <c r="DG348" s="847"/>
      <c r="DH348" s="847"/>
      <c r="DI348" s="847"/>
      <c r="DJ348" s="847"/>
      <c r="DK348" s="847"/>
      <c r="DL348" s="847"/>
      <c r="DM348" s="1212"/>
      <c r="DN348" s="1222"/>
      <c r="DO348" s="1013"/>
      <c r="DP348" s="847"/>
      <c r="DQ348" s="1013"/>
      <c r="DR348" s="1225"/>
      <c r="DS348" s="1013"/>
      <c r="DT348" s="1225"/>
      <c r="DU348" s="1214"/>
      <c r="DV348" s="1242"/>
      <c r="DW348" s="1232"/>
      <c r="DX348" s="1222"/>
      <c r="DY348" s="847"/>
      <c r="DZ348" s="847"/>
      <c r="EA348" s="847"/>
      <c r="EB348" s="847"/>
      <c r="EC348" s="847"/>
      <c r="ED348" s="847"/>
      <c r="EE348" s="847"/>
      <c r="EF348" s="847"/>
      <c r="EG348" s="1212"/>
      <c r="EH348" s="847"/>
      <c r="EI348" s="1212"/>
    </row>
    <row r="349" spans="1:139" s="733" customFormat="1" ht="13.5">
      <c r="A349" s="1009"/>
      <c r="B349" s="1212" t="s">
        <v>2066</v>
      </c>
      <c r="C349" s="1213">
        <v>0</v>
      </c>
      <c r="D349" s="1013" t="s">
        <v>92</v>
      </c>
      <c r="E349" s="847"/>
      <c r="F349" s="1013"/>
      <c r="G349" s="847"/>
      <c r="H349" s="1013"/>
      <c r="I349" s="847"/>
      <c r="J349" s="1013"/>
      <c r="K349" s="847"/>
      <c r="L349" s="1013"/>
      <c r="M349" s="847"/>
      <c r="N349" s="1013"/>
      <c r="O349" s="847"/>
      <c r="P349" s="1013"/>
      <c r="Q349" s="847"/>
      <c r="R349" s="847"/>
      <c r="S349" s="847"/>
      <c r="T349" s="847"/>
      <c r="U349" s="847"/>
      <c r="V349" s="847"/>
      <c r="W349" s="847"/>
      <c r="X349" s="847"/>
      <c r="Y349" s="847"/>
      <c r="Z349" s="847"/>
      <c r="AA349" s="847"/>
      <c r="AB349" s="847"/>
      <c r="AC349" s="847"/>
      <c r="AD349" s="847"/>
      <c r="AE349" s="847"/>
      <c r="AF349" s="847"/>
      <c r="AG349" s="847"/>
      <c r="AH349" s="847"/>
      <c r="AI349" s="847"/>
      <c r="AJ349" s="847"/>
      <c r="AK349" s="847"/>
      <c r="AL349" s="847"/>
      <c r="AM349" s="847"/>
      <c r="AN349" s="847"/>
      <c r="AO349" s="847"/>
      <c r="AP349" s="847"/>
      <c r="AQ349" s="847"/>
      <c r="AR349" s="847"/>
      <c r="AS349" s="847"/>
      <c r="AT349" s="847"/>
      <c r="AU349" s="847"/>
      <c r="AV349" s="847"/>
      <c r="AW349" s="847"/>
      <c r="AX349" s="847"/>
      <c r="AY349" s="847"/>
      <c r="AZ349" s="847"/>
      <c r="BA349" s="847"/>
      <c r="BB349" s="847"/>
      <c r="BC349" s="847"/>
      <c r="BD349" s="847"/>
      <c r="BE349" s="847">
        <f>'Lead &amp; ANALYSIS'!G6115</f>
        <v>0.25</v>
      </c>
      <c r="BF349" s="847">
        <f>ROUND(C349*BE349,2)</f>
        <v>0</v>
      </c>
      <c r="BG349" s="847"/>
      <c r="BH349" s="847"/>
      <c r="BI349" s="847"/>
      <c r="BJ349" s="847"/>
      <c r="BK349" s="847"/>
      <c r="BL349" s="847"/>
      <c r="BM349" s="847"/>
      <c r="BN349" s="847"/>
      <c r="BO349" s="847"/>
      <c r="BP349" s="847"/>
      <c r="BQ349" s="847"/>
      <c r="BR349" s="847"/>
      <c r="BS349" s="847"/>
      <c r="BT349" s="847"/>
      <c r="BU349" s="847"/>
      <c r="BV349" s="847"/>
      <c r="BW349" s="847"/>
      <c r="BX349" s="847"/>
      <c r="BY349" s="847"/>
      <c r="BZ349" s="847"/>
      <c r="CA349" s="847"/>
      <c r="CB349" s="847"/>
      <c r="CC349" s="847"/>
      <c r="CD349" s="847"/>
      <c r="CE349" s="847"/>
      <c r="CF349" s="847"/>
      <c r="CG349" s="847"/>
      <c r="CH349" s="847"/>
      <c r="CI349" s="847"/>
      <c r="CJ349" s="847"/>
      <c r="CK349" s="847"/>
      <c r="CL349" s="847"/>
      <c r="CM349" s="847"/>
      <c r="CN349" s="847"/>
      <c r="CO349" s="847"/>
      <c r="CP349" s="847"/>
      <c r="CQ349" s="847"/>
      <c r="CR349" s="847"/>
      <c r="CS349" s="847"/>
      <c r="CT349" s="847"/>
      <c r="CU349" s="847"/>
      <c r="CV349" s="847"/>
      <c r="CW349" s="847"/>
      <c r="CX349" s="847"/>
      <c r="CY349" s="847"/>
      <c r="CZ349" s="847"/>
      <c r="DA349" s="847"/>
      <c r="DB349" s="847"/>
      <c r="DC349" s="847"/>
      <c r="DD349" s="847"/>
      <c r="DE349" s="847"/>
      <c r="DF349" s="847"/>
      <c r="DG349" s="847"/>
      <c r="DH349" s="847"/>
      <c r="DI349" s="847"/>
      <c r="DJ349" s="847"/>
      <c r="DK349" s="847"/>
      <c r="DL349" s="847"/>
      <c r="DM349" s="1212"/>
      <c r="DN349" s="1222">
        <f>'Lead &amp; ANALYSIS'!G6109/10</f>
        <v>6.2E-2</v>
      </c>
      <c r="DO349" s="1013">
        <f>ROUND(C349*DN349,2)</f>
        <v>0</v>
      </c>
      <c r="DP349" s="847"/>
      <c r="DQ349" s="1013"/>
      <c r="DR349" s="1225"/>
      <c r="DS349" s="1013"/>
      <c r="DT349" s="1225">
        <f>'Lead &amp; ANALYSIS'!G6108/10</f>
        <v>5.2000000000000005E-2</v>
      </c>
      <c r="DU349" s="1214">
        <f>ROUND(C349*DT349,2)</f>
        <v>0</v>
      </c>
      <c r="DV349" s="1242"/>
      <c r="DW349" s="1232"/>
      <c r="DX349" s="1222"/>
      <c r="DY349" s="847"/>
      <c r="DZ349" s="847"/>
      <c r="EA349" s="847"/>
      <c r="EB349" s="847"/>
      <c r="EC349" s="847"/>
      <c r="ED349" s="847"/>
      <c r="EE349" s="847"/>
      <c r="EF349" s="847"/>
      <c r="EG349" s="1212"/>
      <c r="EH349" s="847"/>
      <c r="EI349" s="1212"/>
    </row>
    <row r="350" spans="1:139" s="733" customFormat="1" ht="13.5">
      <c r="A350" s="1009"/>
      <c r="B350" s="1212" t="s">
        <v>2067</v>
      </c>
      <c r="C350" s="1213">
        <v>0</v>
      </c>
      <c r="D350" s="1013" t="s">
        <v>92</v>
      </c>
      <c r="E350" s="847"/>
      <c r="F350" s="1013"/>
      <c r="G350" s="847"/>
      <c r="H350" s="1013"/>
      <c r="I350" s="847"/>
      <c r="J350" s="1013"/>
      <c r="K350" s="847"/>
      <c r="L350" s="1013"/>
      <c r="M350" s="847"/>
      <c r="N350" s="1013"/>
      <c r="O350" s="847"/>
      <c r="P350" s="1013"/>
      <c r="Q350" s="847"/>
      <c r="R350" s="847"/>
      <c r="S350" s="847"/>
      <c r="T350" s="847"/>
      <c r="U350" s="847"/>
      <c r="V350" s="847"/>
      <c r="W350" s="847"/>
      <c r="X350" s="847"/>
      <c r="Y350" s="847"/>
      <c r="Z350" s="847"/>
      <c r="AA350" s="847"/>
      <c r="AB350" s="847"/>
      <c r="AC350" s="847"/>
      <c r="AD350" s="847"/>
      <c r="AE350" s="847"/>
      <c r="AF350" s="847"/>
      <c r="AG350" s="847"/>
      <c r="AH350" s="847"/>
      <c r="AI350" s="847"/>
      <c r="AJ350" s="847"/>
      <c r="AK350" s="847"/>
      <c r="AL350" s="847"/>
      <c r="AM350" s="847"/>
      <c r="AN350" s="847"/>
      <c r="AO350" s="847"/>
      <c r="AP350" s="847"/>
      <c r="AQ350" s="847"/>
      <c r="AR350" s="847"/>
      <c r="AS350" s="847"/>
      <c r="AT350" s="847"/>
      <c r="AU350" s="847"/>
      <c r="AV350" s="847"/>
      <c r="AW350" s="847"/>
      <c r="AX350" s="847"/>
      <c r="AY350" s="847"/>
      <c r="AZ350" s="847"/>
      <c r="BA350" s="847"/>
      <c r="BB350" s="847"/>
      <c r="BC350" s="847"/>
      <c r="BD350" s="847"/>
      <c r="BE350" s="847">
        <f>BE349</f>
        <v>0.25</v>
      </c>
      <c r="BF350" s="847">
        <f>ROUND(C350*BE350,2)</f>
        <v>0</v>
      </c>
      <c r="BG350" s="847"/>
      <c r="BH350" s="847"/>
      <c r="BI350" s="847"/>
      <c r="BJ350" s="847"/>
      <c r="BK350" s="847"/>
      <c r="BL350" s="847"/>
      <c r="BM350" s="847"/>
      <c r="BN350" s="847"/>
      <c r="BO350" s="847"/>
      <c r="BP350" s="847"/>
      <c r="BQ350" s="847"/>
      <c r="BR350" s="847"/>
      <c r="BS350" s="847"/>
      <c r="BT350" s="847"/>
      <c r="BU350" s="847"/>
      <c r="BV350" s="847"/>
      <c r="BW350" s="847"/>
      <c r="BX350" s="847"/>
      <c r="BY350" s="847"/>
      <c r="BZ350" s="847"/>
      <c r="CA350" s="847"/>
      <c r="CB350" s="847"/>
      <c r="CC350" s="847"/>
      <c r="CD350" s="847"/>
      <c r="CE350" s="847"/>
      <c r="CF350" s="847"/>
      <c r="CG350" s="847"/>
      <c r="CH350" s="847"/>
      <c r="CI350" s="847"/>
      <c r="CJ350" s="847"/>
      <c r="CK350" s="847"/>
      <c r="CL350" s="847"/>
      <c r="CM350" s="847"/>
      <c r="CN350" s="847"/>
      <c r="CO350" s="847"/>
      <c r="CP350" s="847"/>
      <c r="CQ350" s="847"/>
      <c r="CR350" s="847"/>
      <c r="CS350" s="847"/>
      <c r="CT350" s="847"/>
      <c r="CU350" s="847"/>
      <c r="CV350" s="847"/>
      <c r="CW350" s="847"/>
      <c r="CX350" s="847"/>
      <c r="CY350" s="847"/>
      <c r="CZ350" s="847"/>
      <c r="DA350" s="847"/>
      <c r="DB350" s="847"/>
      <c r="DC350" s="847"/>
      <c r="DD350" s="847"/>
      <c r="DE350" s="847"/>
      <c r="DF350" s="847"/>
      <c r="DG350" s="847"/>
      <c r="DH350" s="847"/>
      <c r="DI350" s="847"/>
      <c r="DJ350" s="847"/>
      <c r="DK350" s="847"/>
      <c r="DL350" s="847"/>
      <c r="DM350" s="1212"/>
      <c r="DN350" s="1222">
        <f>DN349+DN349*3%</f>
        <v>6.386E-2</v>
      </c>
      <c r="DO350" s="1013">
        <f>ROUND(C350*DN350,2)</f>
        <v>0</v>
      </c>
      <c r="DP350" s="847"/>
      <c r="DQ350" s="1013"/>
      <c r="DR350" s="1225"/>
      <c r="DS350" s="1013"/>
      <c r="DT350" s="847">
        <f>DT349+DT349*3%</f>
        <v>5.3560000000000003E-2</v>
      </c>
      <c r="DU350" s="1214">
        <f>ROUND(C350*DT350,2)</f>
        <v>0</v>
      </c>
      <c r="DV350" s="1242"/>
      <c r="DW350" s="1232"/>
      <c r="DX350" s="1222"/>
      <c r="DY350" s="847"/>
      <c r="DZ350" s="847"/>
      <c r="EA350" s="847"/>
      <c r="EB350" s="847"/>
      <c r="EC350" s="847"/>
      <c r="ED350" s="847"/>
      <c r="EE350" s="847"/>
      <c r="EF350" s="847"/>
      <c r="EG350" s="1212"/>
      <c r="EH350" s="847"/>
      <c r="EI350" s="1212"/>
    </row>
    <row r="351" spans="1:139" s="733" customFormat="1" ht="13.5">
      <c r="A351" s="1009">
        <v>117</v>
      </c>
      <c r="B351" s="1212" t="s">
        <v>3098</v>
      </c>
      <c r="C351" s="1213">
        <v>0</v>
      </c>
      <c r="D351" s="1013" t="s">
        <v>92</v>
      </c>
      <c r="E351" s="847"/>
      <c r="F351" s="1013"/>
      <c r="G351" s="847"/>
      <c r="H351" s="1013"/>
      <c r="I351" s="847"/>
      <c r="J351" s="1013"/>
      <c r="K351" s="847"/>
      <c r="L351" s="1013"/>
      <c r="M351" s="847"/>
      <c r="N351" s="1013"/>
      <c r="O351" s="847"/>
      <c r="P351" s="1013"/>
      <c r="Q351" s="847"/>
      <c r="R351" s="847"/>
      <c r="S351" s="847"/>
      <c r="T351" s="847"/>
      <c r="U351" s="847"/>
      <c r="V351" s="847"/>
      <c r="W351" s="847"/>
      <c r="X351" s="847"/>
      <c r="Y351" s="847"/>
      <c r="Z351" s="847"/>
      <c r="AA351" s="847"/>
      <c r="AB351" s="847"/>
      <c r="AC351" s="847"/>
      <c r="AD351" s="847"/>
      <c r="AE351" s="847"/>
      <c r="AF351" s="847"/>
      <c r="AG351" s="847"/>
      <c r="AH351" s="847"/>
      <c r="AI351" s="847"/>
      <c r="AJ351" s="847"/>
      <c r="AK351" s="847"/>
      <c r="AL351" s="847"/>
      <c r="AM351" s="847"/>
      <c r="AN351" s="847"/>
      <c r="AO351" s="847"/>
      <c r="AP351" s="847"/>
      <c r="AQ351" s="847"/>
      <c r="AR351" s="847"/>
      <c r="AS351" s="847"/>
      <c r="AT351" s="847"/>
      <c r="AU351" s="847"/>
      <c r="AV351" s="847"/>
      <c r="AW351" s="847"/>
      <c r="AX351" s="847"/>
      <c r="AY351" s="847"/>
      <c r="AZ351" s="847"/>
      <c r="BA351" s="847"/>
      <c r="BB351" s="847"/>
      <c r="BC351" s="847"/>
      <c r="BD351" s="847"/>
      <c r="BE351" s="847"/>
      <c r="BF351" s="847"/>
      <c r="BG351" s="847"/>
      <c r="BH351" s="847"/>
      <c r="BI351" s="847"/>
      <c r="BJ351" s="847"/>
      <c r="BK351" s="847"/>
      <c r="BL351" s="847"/>
      <c r="BM351" s="847"/>
      <c r="BN351" s="847"/>
      <c r="BO351" s="847"/>
      <c r="BP351" s="847"/>
      <c r="BQ351" s="847"/>
      <c r="BR351" s="847"/>
      <c r="BS351" s="847"/>
      <c r="BT351" s="847"/>
      <c r="BU351" s="847"/>
      <c r="BV351" s="847"/>
      <c r="BW351" s="847"/>
      <c r="BX351" s="847"/>
      <c r="BY351" s="847"/>
      <c r="BZ351" s="847"/>
      <c r="CA351" s="847"/>
      <c r="CB351" s="847"/>
      <c r="CC351" s="847"/>
      <c r="CD351" s="847"/>
      <c r="CE351" s="847"/>
      <c r="CF351" s="847"/>
      <c r="CG351" s="847"/>
      <c r="CH351" s="847"/>
      <c r="CI351" s="847"/>
      <c r="CJ351" s="847"/>
      <c r="CK351" s="847"/>
      <c r="CL351" s="847"/>
      <c r="CM351" s="847"/>
      <c r="CN351" s="847"/>
      <c r="CO351" s="847"/>
      <c r="CP351" s="847"/>
      <c r="CQ351" s="847"/>
      <c r="CR351" s="847"/>
      <c r="CS351" s="847"/>
      <c r="CT351" s="847"/>
      <c r="CU351" s="847"/>
      <c r="CV351" s="847"/>
      <c r="CW351" s="847"/>
      <c r="CX351" s="847"/>
      <c r="CY351" s="847"/>
      <c r="CZ351" s="847"/>
      <c r="DA351" s="847"/>
      <c r="DB351" s="847"/>
      <c r="DC351" s="847"/>
      <c r="DD351" s="847"/>
      <c r="DE351" s="847"/>
      <c r="DF351" s="847"/>
      <c r="DG351" s="847"/>
      <c r="DH351" s="847"/>
      <c r="DI351" s="847"/>
      <c r="DJ351" s="847"/>
      <c r="DK351" s="847"/>
      <c r="DL351" s="847"/>
      <c r="DM351" s="1212"/>
      <c r="DN351" s="1222"/>
      <c r="DO351" s="1013"/>
      <c r="DP351" s="847"/>
      <c r="DQ351" s="1013"/>
      <c r="DR351" s="1225"/>
      <c r="DS351" s="1013"/>
      <c r="DT351" s="1225"/>
      <c r="DU351" s="1214"/>
      <c r="DV351" s="1242"/>
      <c r="DW351" s="1232"/>
      <c r="DX351" s="1222"/>
      <c r="DY351" s="847"/>
      <c r="DZ351" s="847"/>
      <c r="EA351" s="847"/>
      <c r="EB351" s="847"/>
      <c r="EC351" s="847"/>
      <c r="ED351" s="847"/>
      <c r="EE351" s="847"/>
      <c r="EF351" s="847"/>
      <c r="EG351" s="1212"/>
      <c r="EH351" s="847"/>
      <c r="EI351" s="1212"/>
    </row>
    <row r="352" spans="1:139" s="733" customFormat="1" ht="13.5">
      <c r="A352" s="1009"/>
      <c r="B352" s="1212" t="s">
        <v>2066</v>
      </c>
      <c r="C352" s="1213">
        <v>0</v>
      </c>
      <c r="D352" s="1013" t="s">
        <v>92</v>
      </c>
      <c r="E352" s="847"/>
      <c r="F352" s="1013"/>
      <c r="G352" s="847"/>
      <c r="H352" s="1013"/>
      <c r="I352" s="847"/>
      <c r="J352" s="1013"/>
      <c r="K352" s="847"/>
      <c r="L352" s="1013"/>
      <c r="M352" s="847"/>
      <c r="N352" s="1013"/>
      <c r="O352" s="847"/>
      <c r="P352" s="1013"/>
      <c r="Q352" s="847"/>
      <c r="R352" s="847"/>
      <c r="S352" s="847"/>
      <c r="T352" s="847"/>
      <c r="U352" s="847"/>
      <c r="V352" s="847"/>
      <c r="W352" s="847"/>
      <c r="X352" s="847"/>
      <c r="Y352" s="847"/>
      <c r="Z352" s="847"/>
      <c r="AA352" s="847"/>
      <c r="AB352" s="847"/>
      <c r="AC352" s="847"/>
      <c r="AD352" s="847"/>
      <c r="AE352" s="847"/>
      <c r="AF352" s="847"/>
      <c r="AG352" s="847"/>
      <c r="AH352" s="847"/>
      <c r="AI352" s="847"/>
      <c r="AJ352" s="847"/>
      <c r="AK352" s="847"/>
      <c r="AL352" s="847"/>
      <c r="AM352" s="847"/>
      <c r="AN352" s="847"/>
      <c r="AO352" s="847"/>
      <c r="AP352" s="847"/>
      <c r="AQ352" s="847"/>
      <c r="AR352" s="847"/>
      <c r="AS352" s="847"/>
      <c r="AT352" s="847"/>
      <c r="AU352" s="847"/>
      <c r="AV352" s="847"/>
      <c r="AW352" s="847">
        <f>'Lead &amp; ANALYSIS'!G6158</f>
        <v>8.4000000000000005E-2</v>
      </c>
      <c r="AX352" s="847">
        <f>ROUND(C352*AW352,2)</f>
        <v>0</v>
      </c>
      <c r="AY352" s="847"/>
      <c r="AZ352" s="847"/>
      <c r="BA352" s="847"/>
      <c r="BB352" s="847"/>
      <c r="BC352" s="847"/>
      <c r="BD352" s="847"/>
      <c r="BE352" s="847">
        <f>'Lead &amp; ANALYSIS'!G6157</f>
        <v>0.25</v>
      </c>
      <c r="BF352" s="847">
        <f>ROUND(C352*BE352,2)</f>
        <v>0</v>
      </c>
      <c r="BG352" s="847"/>
      <c r="BH352" s="847"/>
      <c r="BI352" s="847"/>
      <c r="BJ352" s="847"/>
      <c r="BK352" s="847"/>
      <c r="BL352" s="847"/>
      <c r="BM352" s="847"/>
      <c r="BN352" s="847"/>
      <c r="BO352" s="847"/>
      <c r="BP352" s="847"/>
      <c r="BQ352" s="847"/>
      <c r="BR352" s="847"/>
      <c r="BS352" s="847"/>
      <c r="BT352" s="847"/>
      <c r="BU352" s="847"/>
      <c r="BV352" s="847"/>
      <c r="BW352" s="847"/>
      <c r="BX352" s="847"/>
      <c r="BY352" s="847"/>
      <c r="BZ352" s="847"/>
      <c r="CA352" s="847"/>
      <c r="CB352" s="847"/>
      <c r="CC352" s="847"/>
      <c r="CD352" s="847"/>
      <c r="CE352" s="847"/>
      <c r="CF352" s="847"/>
      <c r="CG352" s="847"/>
      <c r="CH352" s="847"/>
      <c r="CI352" s="847"/>
      <c r="CJ352" s="847"/>
      <c r="CK352" s="847"/>
      <c r="CL352" s="847"/>
      <c r="CM352" s="847"/>
      <c r="CN352" s="847"/>
      <c r="CO352" s="847"/>
      <c r="CP352" s="847"/>
      <c r="CQ352" s="847"/>
      <c r="CR352" s="847"/>
      <c r="CS352" s="847"/>
      <c r="CT352" s="847"/>
      <c r="CU352" s="847"/>
      <c r="CV352" s="847"/>
      <c r="CW352" s="847"/>
      <c r="CX352" s="847"/>
      <c r="CY352" s="847"/>
      <c r="CZ352" s="847"/>
      <c r="DA352" s="847"/>
      <c r="DB352" s="847"/>
      <c r="DC352" s="847"/>
      <c r="DD352" s="847"/>
      <c r="DE352" s="847"/>
      <c r="DF352" s="847"/>
      <c r="DG352" s="847"/>
      <c r="DH352" s="847"/>
      <c r="DI352" s="847"/>
      <c r="DJ352" s="847"/>
      <c r="DK352" s="847"/>
      <c r="DL352" s="847"/>
      <c r="DM352" s="1212"/>
      <c r="DN352" s="1231">
        <f>'Lead &amp; ANALYSIS'!G6151/10</f>
        <v>0.1157</v>
      </c>
      <c r="DO352" s="1013">
        <f>ROUND(C352*DN352,2)</f>
        <v>0</v>
      </c>
      <c r="DP352" s="847"/>
      <c r="DQ352" s="1013"/>
      <c r="DR352" s="1225"/>
      <c r="DS352" s="1013"/>
      <c r="DT352" s="1236">
        <f>'Lead &amp; ANALYSIS'!G6150/10</f>
        <v>0.10569999999999999</v>
      </c>
      <c r="DU352" s="1214">
        <f>ROUND(C352*DT352,2)</f>
        <v>0</v>
      </c>
      <c r="DV352" s="1242"/>
      <c r="DW352" s="1232"/>
      <c r="DX352" s="1222"/>
      <c r="DY352" s="847"/>
      <c r="DZ352" s="847"/>
      <c r="EA352" s="847"/>
      <c r="EB352" s="847"/>
      <c r="EC352" s="847"/>
      <c r="ED352" s="847"/>
      <c r="EE352" s="847"/>
      <c r="EF352" s="847"/>
      <c r="EG352" s="1212"/>
      <c r="EH352" s="847"/>
      <c r="EI352" s="1212"/>
    </row>
    <row r="353" spans="1:139" s="733" customFormat="1" ht="13.5">
      <c r="A353" s="1009"/>
      <c r="B353" s="1212" t="s">
        <v>2067</v>
      </c>
      <c r="C353" s="1213">
        <v>0</v>
      </c>
      <c r="D353" s="1013" t="s">
        <v>92</v>
      </c>
      <c r="E353" s="847"/>
      <c r="F353" s="1013"/>
      <c r="G353" s="847"/>
      <c r="H353" s="1013"/>
      <c r="I353" s="847"/>
      <c r="J353" s="1013"/>
      <c r="K353" s="847"/>
      <c r="L353" s="1013"/>
      <c r="M353" s="847"/>
      <c r="N353" s="1013"/>
      <c r="O353" s="847"/>
      <c r="P353" s="1013"/>
      <c r="Q353" s="847"/>
      <c r="R353" s="847"/>
      <c r="S353" s="847"/>
      <c r="T353" s="847"/>
      <c r="U353" s="847"/>
      <c r="V353" s="847"/>
      <c r="W353" s="847"/>
      <c r="X353" s="847"/>
      <c r="Y353" s="847"/>
      <c r="Z353" s="847"/>
      <c r="AA353" s="847"/>
      <c r="AB353" s="847"/>
      <c r="AC353" s="847"/>
      <c r="AD353" s="847"/>
      <c r="AE353" s="847"/>
      <c r="AF353" s="847"/>
      <c r="AG353" s="847"/>
      <c r="AH353" s="847"/>
      <c r="AI353" s="847"/>
      <c r="AJ353" s="847"/>
      <c r="AK353" s="847"/>
      <c r="AL353" s="847"/>
      <c r="AM353" s="847"/>
      <c r="AN353" s="847"/>
      <c r="AO353" s="847"/>
      <c r="AP353" s="847"/>
      <c r="AQ353" s="847"/>
      <c r="AR353" s="847"/>
      <c r="AS353" s="847"/>
      <c r="AT353" s="847"/>
      <c r="AU353" s="847"/>
      <c r="AV353" s="847"/>
      <c r="AW353" s="847">
        <f>AW352</f>
        <v>8.4000000000000005E-2</v>
      </c>
      <c r="AX353" s="847">
        <f>ROUND(C353*AW353,2)</f>
        <v>0</v>
      </c>
      <c r="AY353" s="847"/>
      <c r="AZ353" s="847"/>
      <c r="BA353" s="847"/>
      <c r="BB353" s="847"/>
      <c r="BC353" s="847"/>
      <c r="BD353" s="847"/>
      <c r="BE353" s="847">
        <f>BE352</f>
        <v>0.25</v>
      </c>
      <c r="BF353" s="847">
        <f>ROUND(C353*BE353,2)</f>
        <v>0</v>
      </c>
      <c r="BG353" s="847"/>
      <c r="BH353" s="847"/>
      <c r="BI353" s="847"/>
      <c r="BJ353" s="847"/>
      <c r="BK353" s="847"/>
      <c r="BL353" s="847"/>
      <c r="BM353" s="847"/>
      <c r="BN353" s="847"/>
      <c r="BO353" s="847"/>
      <c r="BP353" s="847"/>
      <c r="BQ353" s="847"/>
      <c r="BR353" s="847"/>
      <c r="BS353" s="847"/>
      <c r="BT353" s="847"/>
      <c r="BU353" s="847"/>
      <c r="BV353" s="847"/>
      <c r="BW353" s="847"/>
      <c r="BX353" s="847"/>
      <c r="BY353" s="847"/>
      <c r="BZ353" s="847"/>
      <c r="CA353" s="847"/>
      <c r="CB353" s="847"/>
      <c r="CC353" s="847"/>
      <c r="CD353" s="847"/>
      <c r="CE353" s="847"/>
      <c r="CF353" s="847"/>
      <c r="CG353" s="847"/>
      <c r="CH353" s="847"/>
      <c r="CI353" s="847"/>
      <c r="CJ353" s="847"/>
      <c r="CK353" s="847"/>
      <c r="CL353" s="847"/>
      <c r="CM353" s="847"/>
      <c r="CN353" s="847"/>
      <c r="CO353" s="847"/>
      <c r="CP353" s="847"/>
      <c r="CQ353" s="847"/>
      <c r="CR353" s="847"/>
      <c r="CS353" s="847"/>
      <c r="CT353" s="847"/>
      <c r="CU353" s="847"/>
      <c r="CV353" s="847"/>
      <c r="CW353" s="847"/>
      <c r="CX353" s="847"/>
      <c r="CY353" s="847"/>
      <c r="CZ353" s="847"/>
      <c r="DA353" s="847"/>
      <c r="DB353" s="847"/>
      <c r="DC353" s="847"/>
      <c r="DD353" s="847"/>
      <c r="DE353" s="847"/>
      <c r="DF353" s="847"/>
      <c r="DG353" s="847"/>
      <c r="DH353" s="847"/>
      <c r="DI353" s="847"/>
      <c r="DJ353" s="847"/>
      <c r="DK353" s="847"/>
      <c r="DL353" s="847"/>
      <c r="DM353" s="1212"/>
      <c r="DN353" s="1222">
        <f>DN352+DN352*3%</f>
        <v>0.119171</v>
      </c>
      <c r="DO353" s="1013">
        <f>ROUND(C353*DN353,2)</f>
        <v>0</v>
      </c>
      <c r="DP353" s="847"/>
      <c r="DQ353" s="1013"/>
      <c r="DR353" s="1225"/>
      <c r="DS353" s="1013"/>
      <c r="DT353" s="847">
        <f>DT352+DT352*3%</f>
        <v>0.10887099999999998</v>
      </c>
      <c r="DU353" s="1214">
        <f>ROUND(C353*DT353,2)</f>
        <v>0</v>
      </c>
      <c r="DV353" s="1242"/>
      <c r="DW353" s="1232"/>
      <c r="DX353" s="1222"/>
      <c r="DY353" s="847"/>
      <c r="DZ353" s="847"/>
      <c r="EA353" s="847"/>
      <c r="EB353" s="847"/>
      <c r="EC353" s="847"/>
      <c r="ED353" s="847"/>
      <c r="EE353" s="847"/>
      <c r="EF353" s="847"/>
      <c r="EG353" s="1212"/>
      <c r="EH353" s="847"/>
      <c r="EI353" s="1212"/>
    </row>
    <row r="354" spans="1:139" s="733" customFormat="1" ht="13.5">
      <c r="A354" s="1009">
        <v>118</v>
      </c>
      <c r="B354" s="1212" t="s">
        <v>3099</v>
      </c>
      <c r="C354" s="1213">
        <v>0</v>
      </c>
      <c r="D354" s="1013" t="s">
        <v>92</v>
      </c>
      <c r="E354" s="847"/>
      <c r="F354" s="1013"/>
      <c r="G354" s="847"/>
      <c r="H354" s="1013"/>
      <c r="I354" s="847"/>
      <c r="J354" s="1013"/>
      <c r="K354" s="847"/>
      <c r="L354" s="1013"/>
      <c r="M354" s="847"/>
      <c r="N354" s="1013"/>
      <c r="O354" s="847"/>
      <c r="P354" s="1013"/>
      <c r="Q354" s="847"/>
      <c r="R354" s="847"/>
      <c r="S354" s="847"/>
      <c r="T354" s="847"/>
      <c r="U354" s="847"/>
      <c r="V354" s="847"/>
      <c r="W354" s="847"/>
      <c r="X354" s="847"/>
      <c r="Y354" s="847"/>
      <c r="Z354" s="847"/>
      <c r="AA354" s="847"/>
      <c r="AB354" s="847"/>
      <c r="AC354" s="847"/>
      <c r="AD354" s="847"/>
      <c r="AE354" s="847"/>
      <c r="AF354" s="847"/>
      <c r="AG354" s="847"/>
      <c r="AH354" s="847"/>
      <c r="AI354" s="847"/>
      <c r="AJ354" s="847"/>
      <c r="AK354" s="847"/>
      <c r="AL354" s="847"/>
      <c r="AM354" s="847"/>
      <c r="AN354" s="847"/>
      <c r="AO354" s="847"/>
      <c r="AP354" s="847"/>
      <c r="AQ354" s="847"/>
      <c r="AR354" s="847"/>
      <c r="AS354" s="847"/>
      <c r="AT354" s="847"/>
      <c r="AU354" s="847"/>
      <c r="AV354" s="847"/>
      <c r="AW354" s="847"/>
      <c r="AX354" s="847"/>
      <c r="AY354" s="847"/>
      <c r="AZ354" s="847"/>
      <c r="BA354" s="847"/>
      <c r="BB354" s="847"/>
      <c r="BC354" s="847"/>
      <c r="BD354" s="847"/>
      <c r="BE354" s="847"/>
      <c r="BF354" s="847"/>
      <c r="BG354" s="847"/>
      <c r="BH354" s="847"/>
      <c r="BI354" s="847"/>
      <c r="BJ354" s="847"/>
      <c r="BK354" s="847"/>
      <c r="BL354" s="847"/>
      <c r="BM354" s="847"/>
      <c r="BN354" s="847"/>
      <c r="BO354" s="847"/>
      <c r="BP354" s="847"/>
      <c r="BQ354" s="847"/>
      <c r="BR354" s="847"/>
      <c r="BS354" s="847"/>
      <c r="BT354" s="847"/>
      <c r="BU354" s="847"/>
      <c r="BV354" s="847"/>
      <c r="BW354" s="847"/>
      <c r="BX354" s="847"/>
      <c r="BY354" s="847"/>
      <c r="BZ354" s="847"/>
      <c r="CA354" s="847"/>
      <c r="CB354" s="847"/>
      <c r="CC354" s="847"/>
      <c r="CD354" s="847"/>
      <c r="CE354" s="847"/>
      <c r="CF354" s="847"/>
      <c r="CG354" s="847"/>
      <c r="CH354" s="847"/>
      <c r="CI354" s="847"/>
      <c r="CJ354" s="847"/>
      <c r="CK354" s="847"/>
      <c r="CL354" s="847"/>
      <c r="CM354" s="847"/>
      <c r="CN354" s="847"/>
      <c r="CO354" s="847"/>
      <c r="CP354" s="847"/>
      <c r="CQ354" s="847"/>
      <c r="CR354" s="847"/>
      <c r="CS354" s="847"/>
      <c r="CT354" s="847"/>
      <c r="CU354" s="847"/>
      <c r="CV354" s="847"/>
      <c r="CW354" s="847"/>
      <c r="CX354" s="847"/>
      <c r="CY354" s="847"/>
      <c r="CZ354" s="847"/>
      <c r="DA354" s="847"/>
      <c r="DB354" s="847"/>
      <c r="DC354" s="847"/>
      <c r="DD354" s="847"/>
      <c r="DE354" s="847"/>
      <c r="DF354" s="847"/>
      <c r="DG354" s="847"/>
      <c r="DH354" s="847"/>
      <c r="DI354" s="847"/>
      <c r="DJ354" s="847"/>
      <c r="DK354" s="847"/>
      <c r="DL354" s="847"/>
      <c r="DM354" s="1212"/>
      <c r="DN354" s="1222"/>
      <c r="DO354" s="1013"/>
      <c r="DP354" s="847"/>
      <c r="DQ354" s="1013"/>
      <c r="DR354" s="1225"/>
      <c r="DS354" s="1013"/>
      <c r="DT354" s="1225"/>
      <c r="DU354" s="1214"/>
      <c r="DV354" s="1242"/>
      <c r="DW354" s="1232"/>
      <c r="DX354" s="1222"/>
      <c r="DY354" s="847"/>
      <c r="DZ354" s="847"/>
      <c r="EA354" s="847"/>
      <c r="EB354" s="847"/>
      <c r="EC354" s="847"/>
      <c r="ED354" s="847"/>
      <c r="EE354" s="847"/>
      <c r="EF354" s="847"/>
      <c r="EG354" s="1212"/>
      <c r="EH354" s="847"/>
      <c r="EI354" s="1212"/>
    </row>
    <row r="355" spans="1:139" s="733" customFormat="1" ht="13.5">
      <c r="A355" s="1009"/>
      <c r="B355" s="1212" t="s">
        <v>2066</v>
      </c>
      <c r="C355" s="1213">
        <v>0</v>
      </c>
      <c r="D355" s="1013" t="s">
        <v>92</v>
      </c>
      <c r="E355" s="847"/>
      <c r="F355" s="1013"/>
      <c r="G355" s="847"/>
      <c r="H355" s="1013"/>
      <c r="I355" s="847"/>
      <c r="J355" s="1013"/>
      <c r="K355" s="847"/>
      <c r="L355" s="1013"/>
      <c r="M355" s="847"/>
      <c r="N355" s="1013"/>
      <c r="O355" s="847"/>
      <c r="P355" s="1013"/>
      <c r="Q355" s="847"/>
      <c r="R355" s="847"/>
      <c r="S355" s="847"/>
      <c r="T355" s="847"/>
      <c r="U355" s="847"/>
      <c r="V355" s="847"/>
      <c r="W355" s="847"/>
      <c r="X355" s="847"/>
      <c r="Y355" s="847"/>
      <c r="Z355" s="847"/>
      <c r="AA355" s="847"/>
      <c r="AB355" s="847"/>
      <c r="AC355" s="847"/>
      <c r="AD355" s="847"/>
      <c r="AE355" s="847"/>
      <c r="AF355" s="847"/>
      <c r="AG355" s="847"/>
      <c r="AH355" s="847"/>
      <c r="AI355" s="847"/>
      <c r="AJ355" s="847"/>
      <c r="AK355" s="847"/>
      <c r="AL355" s="847"/>
      <c r="AM355" s="847"/>
      <c r="AN355" s="847"/>
      <c r="AO355" s="847"/>
      <c r="AP355" s="847"/>
      <c r="AQ355" s="847"/>
      <c r="AR355" s="847"/>
      <c r="AS355" s="847"/>
      <c r="AT355" s="847"/>
      <c r="AU355" s="847"/>
      <c r="AV355" s="847"/>
      <c r="AW355" s="847"/>
      <c r="AX355" s="847"/>
      <c r="AY355" s="847"/>
      <c r="AZ355" s="847"/>
      <c r="BA355" s="847"/>
      <c r="BB355" s="847"/>
      <c r="BC355" s="847"/>
      <c r="BD355" s="847"/>
      <c r="BE355" s="847"/>
      <c r="BF355" s="847"/>
      <c r="BG355" s="847"/>
      <c r="BH355" s="847"/>
      <c r="BI355" s="847"/>
      <c r="BJ355" s="847"/>
      <c r="BK355" s="847"/>
      <c r="BL355" s="847"/>
      <c r="BM355" s="847"/>
      <c r="BN355" s="847"/>
      <c r="BO355" s="847"/>
      <c r="BP355" s="847"/>
      <c r="BQ355" s="847">
        <f>'Lead &amp; ANALYSIS'!G6193/93</f>
        <v>0.20064516129032259</v>
      </c>
      <c r="BR355" s="847">
        <f>ROUND(C355*BQ355,2)</f>
        <v>0</v>
      </c>
      <c r="BS355" s="847"/>
      <c r="BT355" s="847"/>
      <c r="BU355" s="847"/>
      <c r="BV355" s="847"/>
      <c r="BW355" s="847"/>
      <c r="BX355" s="847"/>
      <c r="BY355" s="847"/>
      <c r="BZ355" s="847"/>
      <c r="CA355" s="847"/>
      <c r="CB355" s="847"/>
      <c r="CC355" s="847"/>
      <c r="CD355" s="847"/>
      <c r="CE355" s="847"/>
      <c r="CF355" s="847"/>
      <c r="CG355" s="847"/>
      <c r="CH355" s="847"/>
      <c r="CI355" s="847"/>
      <c r="CJ355" s="847"/>
      <c r="CK355" s="847"/>
      <c r="CL355" s="847"/>
      <c r="CM355" s="847"/>
      <c r="CN355" s="847"/>
      <c r="CO355" s="847"/>
      <c r="CP355" s="847"/>
      <c r="CQ355" s="847"/>
      <c r="CR355" s="847"/>
      <c r="CS355" s="847"/>
      <c r="CT355" s="847"/>
      <c r="CU355" s="847"/>
      <c r="CV355" s="847"/>
      <c r="CW355" s="847"/>
      <c r="CX355" s="847"/>
      <c r="CY355" s="847"/>
      <c r="CZ355" s="847"/>
      <c r="DA355" s="847"/>
      <c r="DB355" s="847"/>
      <c r="DC355" s="847"/>
      <c r="DD355" s="847"/>
      <c r="DE355" s="847"/>
      <c r="DF355" s="847"/>
      <c r="DG355" s="847"/>
      <c r="DH355" s="847"/>
      <c r="DI355" s="847"/>
      <c r="DJ355" s="847"/>
      <c r="DK355" s="847"/>
      <c r="DL355" s="847"/>
      <c r="DM355" s="1212"/>
      <c r="DN355" s="1231">
        <f>'Lead &amp; ANALYSIS'!G6197/93</f>
        <v>8.0645161290322578E-3</v>
      </c>
      <c r="DO355" s="1013">
        <f>ROUND(C355*DN355,2)</f>
        <v>0</v>
      </c>
      <c r="DP355" s="847"/>
      <c r="DQ355" s="1013"/>
      <c r="DR355" s="1236">
        <f>'Lead &amp; ANALYSIS'!G6196/93</f>
        <v>1.0752688172043012E-2</v>
      </c>
      <c r="DS355" s="1013">
        <f>ROUND(C355*DR355,2)</f>
        <v>0</v>
      </c>
      <c r="DT355" s="1225"/>
      <c r="DU355" s="1214"/>
      <c r="DV355" s="1242"/>
      <c r="DW355" s="1232"/>
      <c r="DX355" s="1222"/>
      <c r="DY355" s="847"/>
      <c r="DZ355" s="847"/>
      <c r="EA355" s="847"/>
      <c r="EB355" s="847"/>
      <c r="EC355" s="847"/>
      <c r="ED355" s="847"/>
      <c r="EE355" s="847"/>
      <c r="EF355" s="847"/>
      <c r="EG355" s="1212"/>
      <c r="EH355" s="847"/>
      <c r="EI355" s="1212"/>
    </row>
    <row r="356" spans="1:139" s="733" customFormat="1" ht="13.5">
      <c r="A356" s="1009"/>
      <c r="B356" s="1212" t="s">
        <v>2067</v>
      </c>
      <c r="C356" s="1213">
        <v>0</v>
      </c>
      <c r="D356" s="1013" t="s">
        <v>92</v>
      </c>
      <c r="E356" s="847"/>
      <c r="F356" s="1013"/>
      <c r="G356" s="847"/>
      <c r="H356" s="1013"/>
      <c r="I356" s="847"/>
      <c r="J356" s="1013"/>
      <c r="K356" s="847"/>
      <c r="L356" s="1013"/>
      <c r="M356" s="847"/>
      <c r="N356" s="1013"/>
      <c r="O356" s="847"/>
      <c r="P356" s="1013"/>
      <c r="Q356" s="847"/>
      <c r="R356" s="847"/>
      <c r="S356" s="847"/>
      <c r="T356" s="847"/>
      <c r="U356" s="847"/>
      <c r="V356" s="847"/>
      <c r="W356" s="847"/>
      <c r="X356" s="847"/>
      <c r="Y356" s="847"/>
      <c r="Z356" s="847"/>
      <c r="AA356" s="847"/>
      <c r="AB356" s="847"/>
      <c r="AC356" s="847"/>
      <c r="AD356" s="847"/>
      <c r="AE356" s="847"/>
      <c r="AF356" s="847"/>
      <c r="AG356" s="847"/>
      <c r="AH356" s="847"/>
      <c r="AI356" s="847"/>
      <c r="AJ356" s="847"/>
      <c r="AK356" s="847"/>
      <c r="AL356" s="847"/>
      <c r="AM356" s="847"/>
      <c r="AN356" s="847"/>
      <c r="AO356" s="847"/>
      <c r="AP356" s="847"/>
      <c r="AQ356" s="847"/>
      <c r="AR356" s="847"/>
      <c r="AS356" s="847"/>
      <c r="AT356" s="847"/>
      <c r="AU356" s="847"/>
      <c r="AV356" s="847"/>
      <c r="AW356" s="847"/>
      <c r="AX356" s="847"/>
      <c r="AY356" s="847"/>
      <c r="AZ356" s="847"/>
      <c r="BA356" s="847"/>
      <c r="BB356" s="847"/>
      <c r="BC356" s="847"/>
      <c r="BD356" s="847"/>
      <c r="BE356" s="847"/>
      <c r="BF356" s="847"/>
      <c r="BG356" s="847"/>
      <c r="BH356" s="847"/>
      <c r="BI356" s="847"/>
      <c r="BJ356" s="847"/>
      <c r="BK356" s="847"/>
      <c r="BL356" s="847"/>
      <c r="BM356" s="847"/>
      <c r="BN356" s="847"/>
      <c r="BO356" s="847"/>
      <c r="BP356" s="847"/>
      <c r="BQ356" s="847">
        <f>BQ355</f>
        <v>0.20064516129032259</v>
      </c>
      <c r="BR356" s="847">
        <f>ROUND(C356*BQ356,2)</f>
        <v>0</v>
      </c>
      <c r="BS356" s="847"/>
      <c r="BT356" s="847"/>
      <c r="BU356" s="847"/>
      <c r="BV356" s="847"/>
      <c r="BW356" s="847"/>
      <c r="BX356" s="847"/>
      <c r="BY356" s="847"/>
      <c r="BZ356" s="847"/>
      <c r="CA356" s="847"/>
      <c r="CB356" s="847"/>
      <c r="CC356" s="847"/>
      <c r="CD356" s="847"/>
      <c r="CE356" s="847"/>
      <c r="CF356" s="847"/>
      <c r="CG356" s="847"/>
      <c r="CH356" s="847"/>
      <c r="CI356" s="847"/>
      <c r="CJ356" s="847"/>
      <c r="CK356" s="847"/>
      <c r="CL356" s="847"/>
      <c r="CM356" s="847"/>
      <c r="CN356" s="847"/>
      <c r="CO356" s="847"/>
      <c r="CP356" s="847"/>
      <c r="CQ356" s="847"/>
      <c r="CR356" s="847"/>
      <c r="CS356" s="847"/>
      <c r="CT356" s="847"/>
      <c r="CU356" s="847"/>
      <c r="CV356" s="847"/>
      <c r="CW356" s="847"/>
      <c r="CX356" s="847"/>
      <c r="CY356" s="847"/>
      <c r="CZ356" s="847"/>
      <c r="DA356" s="847"/>
      <c r="DB356" s="847"/>
      <c r="DC356" s="847"/>
      <c r="DD356" s="847"/>
      <c r="DE356" s="847"/>
      <c r="DF356" s="847"/>
      <c r="DG356" s="847"/>
      <c r="DH356" s="847"/>
      <c r="DI356" s="847"/>
      <c r="DJ356" s="847"/>
      <c r="DK356" s="847"/>
      <c r="DL356" s="847"/>
      <c r="DM356" s="1212"/>
      <c r="DN356" s="1231">
        <f>DN355+DN355*3%</f>
        <v>8.3064516129032259E-3</v>
      </c>
      <c r="DO356" s="1013">
        <f>ROUND(C356*DN356,2)</f>
        <v>0</v>
      </c>
      <c r="DP356" s="847"/>
      <c r="DQ356" s="1013"/>
      <c r="DR356" s="847">
        <f>DR355+DR355*3%</f>
        <v>1.1075268817204302E-2</v>
      </c>
      <c r="DS356" s="1013">
        <f>ROUND(C356*DR356,2)</f>
        <v>0</v>
      </c>
      <c r="DT356" s="847"/>
      <c r="DU356" s="1214"/>
      <c r="DV356" s="1242"/>
      <c r="DW356" s="1232"/>
      <c r="DX356" s="1222"/>
      <c r="DY356" s="847"/>
      <c r="DZ356" s="847"/>
      <c r="EA356" s="847"/>
      <c r="EB356" s="847"/>
      <c r="EC356" s="847"/>
      <c r="ED356" s="847"/>
      <c r="EE356" s="847"/>
      <c r="EF356" s="847"/>
      <c r="EG356" s="1212"/>
      <c r="EH356" s="847"/>
      <c r="EI356" s="1212"/>
    </row>
    <row r="357" spans="1:139" s="733" customFormat="1" ht="13.5">
      <c r="A357" s="1009">
        <v>119</v>
      </c>
      <c r="B357" s="1212" t="s">
        <v>3100</v>
      </c>
      <c r="C357" s="1213">
        <v>0</v>
      </c>
      <c r="D357" s="1013" t="s">
        <v>92</v>
      </c>
      <c r="E357" s="847"/>
      <c r="F357" s="1013"/>
      <c r="G357" s="847"/>
      <c r="H357" s="1013"/>
      <c r="I357" s="847"/>
      <c r="J357" s="1013"/>
      <c r="K357" s="847"/>
      <c r="L357" s="1013"/>
      <c r="M357" s="847"/>
      <c r="N357" s="1013"/>
      <c r="O357" s="847"/>
      <c r="P357" s="1013"/>
      <c r="Q357" s="847"/>
      <c r="R357" s="847"/>
      <c r="S357" s="847"/>
      <c r="T357" s="847"/>
      <c r="U357" s="847"/>
      <c r="V357" s="847"/>
      <c r="W357" s="847"/>
      <c r="X357" s="847"/>
      <c r="Y357" s="847"/>
      <c r="Z357" s="847"/>
      <c r="AA357" s="847"/>
      <c r="AB357" s="847"/>
      <c r="AC357" s="847"/>
      <c r="AD357" s="847"/>
      <c r="AE357" s="847"/>
      <c r="AF357" s="847"/>
      <c r="AG357" s="847"/>
      <c r="AH357" s="847"/>
      <c r="AI357" s="847"/>
      <c r="AJ357" s="847"/>
      <c r="AK357" s="847"/>
      <c r="AL357" s="847"/>
      <c r="AM357" s="847"/>
      <c r="AN357" s="847"/>
      <c r="AO357" s="847"/>
      <c r="AP357" s="847"/>
      <c r="AQ357" s="847"/>
      <c r="AR357" s="847"/>
      <c r="AS357" s="847"/>
      <c r="AT357" s="847"/>
      <c r="AU357" s="847"/>
      <c r="AV357" s="847"/>
      <c r="AW357" s="847"/>
      <c r="AX357" s="847"/>
      <c r="AY357" s="847"/>
      <c r="AZ357" s="847"/>
      <c r="BA357" s="847"/>
      <c r="BB357" s="847"/>
      <c r="BC357" s="847"/>
      <c r="BD357" s="847"/>
      <c r="BE357" s="847"/>
      <c r="BF357" s="847"/>
      <c r="BG357" s="847"/>
      <c r="BH357" s="847"/>
      <c r="BI357" s="847"/>
      <c r="BJ357" s="847"/>
      <c r="BK357" s="847"/>
      <c r="BL357" s="847"/>
      <c r="BM357" s="847"/>
      <c r="BN357" s="847"/>
      <c r="BO357" s="847"/>
      <c r="BP357" s="847"/>
      <c r="BQ357" s="847"/>
      <c r="BR357" s="847"/>
      <c r="BS357" s="847"/>
      <c r="BT357" s="847"/>
      <c r="BU357" s="847"/>
      <c r="BV357" s="847"/>
      <c r="BW357" s="847"/>
      <c r="BX357" s="847"/>
      <c r="BY357" s="847"/>
      <c r="BZ357" s="847"/>
      <c r="CA357" s="847"/>
      <c r="CB357" s="847"/>
      <c r="CC357" s="847"/>
      <c r="CD357" s="847"/>
      <c r="CE357" s="847"/>
      <c r="CF357" s="847"/>
      <c r="CG357" s="847"/>
      <c r="CH357" s="847"/>
      <c r="CI357" s="847"/>
      <c r="CJ357" s="847"/>
      <c r="CK357" s="847"/>
      <c r="CL357" s="847"/>
      <c r="CM357" s="847"/>
      <c r="CN357" s="847"/>
      <c r="CO357" s="847"/>
      <c r="CP357" s="847"/>
      <c r="CQ357" s="847"/>
      <c r="CR357" s="847"/>
      <c r="CS357" s="847"/>
      <c r="CT357" s="847"/>
      <c r="CU357" s="847"/>
      <c r="CV357" s="847"/>
      <c r="CW357" s="847"/>
      <c r="CX357" s="847"/>
      <c r="CY357" s="847"/>
      <c r="CZ357" s="847"/>
      <c r="DA357" s="847"/>
      <c r="DB357" s="847"/>
      <c r="DC357" s="847"/>
      <c r="DD357" s="847"/>
      <c r="DE357" s="847"/>
      <c r="DF357" s="847"/>
      <c r="DG357" s="847"/>
      <c r="DH357" s="847"/>
      <c r="DI357" s="847"/>
      <c r="DJ357" s="847"/>
      <c r="DK357" s="847"/>
      <c r="DL357" s="847"/>
      <c r="DM357" s="1212"/>
      <c r="DN357" s="1222"/>
      <c r="DO357" s="1013"/>
      <c r="DP357" s="847"/>
      <c r="DQ357" s="1013"/>
      <c r="DR357" s="1225"/>
      <c r="DS357" s="1013"/>
      <c r="DT357" s="1225"/>
      <c r="DU357" s="1214"/>
      <c r="DV357" s="1242"/>
      <c r="DW357" s="1232"/>
      <c r="DX357" s="1222"/>
      <c r="DY357" s="847"/>
      <c r="DZ357" s="847"/>
      <c r="EA357" s="847"/>
      <c r="EB357" s="847"/>
      <c r="EC357" s="847"/>
      <c r="ED357" s="847"/>
      <c r="EE357" s="847"/>
      <c r="EF357" s="847"/>
      <c r="EG357" s="1212"/>
      <c r="EH357" s="847"/>
      <c r="EI357" s="1212"/>
    </row>
    <row r="358" spans="1:139" s="733" customFormat="1" ht="13.5">
      <c r="A358" s="1009"/>
      <c r="B358" s="1212" t="s">
        <v>2066</v>
      </c>
      <c r="C358" s="1213">
        <v>0</v>
      </c>
      <c r="D358" s="1013" t="s">
        <v>92</v>
      </c>
      <c r="E358" s="847"/>
      <c r="F358" s="1013"/>
      <c r="G358" s="847"/>
      <c r="H358" s="1013"/>
      <c r="I358" s="847"/>
      <c r="J358" s="1013"/>
      <c r="K358" s="847"/>
      <c r="L358" s="1013"/>
      <c r="M358" s="847"/>
      <c r="N358" s="1013"/>
      <c r="O358" s="847"/>
      <c r="P358" s="1013"/>
      <c r="Q358" s="847"/>
      <c r="R358" s="847"/>
      <c r="S358" s="847"/>
      <c r="T358" s="847"/>
      <c r="U358" s="847"/>
      <c r="V358" s="847"/>
      <c r="W358" s="847"/>
      <c r="X358" s="847"/>
      <c r="Y358" s="847"/>
      <c r="Z358" s="847"/>
      <c r="AA358" s="847"/>
      <c r="AB358" s="847"/>
      <c r="AC358" s="847"/>
      <c r="AD358" s="847"/>
      <c r="AE358" s="847"/>
      <c r="AF358" s="847"/>
      <c r="AG358" s="847"/>
      <c r="AH358" s="847"/>
      <c r="AI358" s="847"/>
      <c r="AJ358" s="847"/>
      <c r="AK358" s="847"/>
      <c r="AL358" s="847"/>
      <c r="AM358" s="847"/>
      <c r="AN358" s="847"/>
      <c r="AO358" s="847"/>
      <c r="AP358" s="847"/>
      <c r="AQ358" s="847"/>
      <c r="AR358" s="847"/>
      <c r="AS358" s="847"/>
      <c r="AT358" s="847"/>
      <c r="AU358" s="847"/>
      <c r="AV358" s="847"/>
      <c r="AW358" s="847"/>
      <c r="AX358" s="847"/>
      <c r="AY358" s="847"/>
      <c r="AZ358" s="847"/>
      <c r="BA358" s="847"/>
      <c r="BB358" s="847"/>
      <c r="BC358" s="847"/>
      <c r="BD358" s="847"/>
      <c r="BE358" s="847"/>
      <c r="BF358" s="847"/>
      <c r="BG358" s="847"/>
      <c r="BH358" s="847"/>
      <c r="BI358" s="847"/>
      <c r="BJ358" s="847"/>
      <c r="BK358" s="847"/>
      <c r="BL358" s="847"/>
      <c r="BM358" s="847"/>
      <c r="BN358" s="847"/>
      <c r="BO358" s="847"/>
      <c r="BP358" s="847"/>
      <c r="BQ358" s="847">
        <f>'Lead &amp; ANALYSIS'!G6218/93</f>
        <v>0.25075268817204299</v>
      </c>
      <c r="BR358" s="847">
        <f>ROUND(C358*BQ358,2)</f>
        <v>0</v>
      </c>
      <c r="BS358" s="847"/>
      <c r="BT358" s="847"/>
      <c r="BU358" s="847"/>
      <c r="BV358" s="847"/>
      <c r="BW358" s="847"/>
      <c r="BX358" s="847"/>
      <c r="BY358" s="847"/>
      <c r="BZ358" s="847"/>
      <c r="CA358" s="847"/>
      <c r="CB358" s="847"/>
      <c r="CC358" s="847"/>
      <c r="CD358" s="847"/>
      <c r="CE358" s="847"/>
      <c r="CF358" s="847"/>
      <c r="CG358" s="847"/>
      <c r="CH358" s="847"/>
      <c r="CI358" s="847"/>
      <c r="CJ358" s="847"/>
      <c r="CK358" s="847"/>
      <c r="CL358" s="847"/>
      <c r="CM358" s="847"/>
      <c r="CN358" s="847"/>
      <c r="CO358" s="847"/>
      <c r="CP358" s="847"/>
      <c r="CQ358" s="847"/>
      <c r="CR358" s="847"/>
      <c r="CS358" s="847"/>
      <c r="CT358" s="847"/>
      <c r="CU358" s="847"/>
      <c r="CV358" s="847"/>
      <c r="CW358" s="847"/>
      <c r="CX358" s="847"/>
      <c r="CY358" s="847"/>
      <c r="CZ358" s="847"/>
      <c r="DA358" s="847"/>
      <c r="DB358" s="847"/>
      <c r="DC358" s="847"/>
      <c r="DD358" s="847"/>
      <c r="DE358" s="847"/>
      <c r="DF358" s="847"/>
      <c r="DG358" s="847"/>
      <c r="DH358" s="847"/>
      <c r="DI358" s="847"/>
      <c r="DJ358" s="847"/>
      <c r="DK358" s="847"/>
      <c r="DL358" s="847"/>
      <c r="DM358" s="1212"/>
      <c r="DN358" s="1231">
        <f>'Lead &amp; ANALYSIS'!G6222/93</f>
        <v>1.0752688172043012E-2</v>
      </c>
      <c r="DO358" s="1013">
        <f>ROUND(C358*DN358,2)</f>
        <v>0</v>
      </c>
      <c r="DP358" s="847"/>
      <c r="DQ358" s="1013"/>
      <c r="DR358" s="1236">
        <f>'Lead &amp; ANALYSIS'!G6221/93</f>
        <v>1.6129032258064516E-2</v>
      </c>
      <c r="DS358" s="1013">
        <f>ROUND(C358*DR358,2)</f>
        <v>0</v>
      </c>
      <c r="DT358" s="1225"/>
      <c r="DU358" s="1214"/>
      <c r="DV358" s="1242"/>
      <c r="DW358" s="1232"/>
      <c r="DX358" s="1222"/>
      <c r="DY358" s="847"/>
      <c r="DZ358" s="847"/>
      <c r="EA358" s="847"/>
      <c r="EB358" s="847"/>
      <c r="EC358" s="847"/>
      <c r="ED358" s="847"/>
      <c r="EE358" s="847"/>
      <c r="EF358" s="847"/>
      <c r="EG358" s="1212"/>
      <c r="EH358" s="847"/>
      <c r="EI358" s="1212"/>
    </row>
    <row r="359" spans="1:139" s="733" customFormat="1" ht="13.5">
      <c r="A359" s="1009"/>
      <c r="B359" s="1212" t="s">
        <v>2067</v>
      </c>
      <c r="C359" s="1213">
        <v>0</v>
      </c>
      <c r="D359" s="1013" t="s">
        <v>92</v>
      </c>
      <c r="E359" s="847"/>
      <c r="F359" s="1013"/>
      <c r="G359" s="847"/>
      <c r="H359" s="1013"/>
      <c r="I359" s="847"/>
      <c r="J359" s="1013"/>
      <c r="K359" s="847"/>
      <c r="L359" s="1013"/>
      <c r="M359" s="847"/>
      <c r="N359" s="1013"/>
      <c r="O359" s="847"/>
      <c r="P359" s="1013"/>
      <c r="Q359" s="847"/>
      <c r="R359" s="847"/>
      <c r="S359" s="847"/>
      <c r="T359" s="847"/>
      <c r="U359" s="847"/>
      <c r="V359" s="847"/>
      <c r="W359" s="847"/>
      <c r="X359" s="847"/>
      <c r="Y359" s="847"/>
      <c r="Z359" s="847"/>
      <c r="AA359" s="847"/>
      <c r="AB359" s="847"/>
      <c r="AC359" s="847"/>
      <c r="AD359" s="847"/>
      <c r="AE359" s="847"/>
      <c r="AF359" s="847"/>
      <c r="AG359" s="847"/>
      <c r="AH359" s="847"/>
      <c r="AI359" s="847"/>
      <c r="AJ359" s="847"/>
      <c r="AK359" s="847"/>
      <c r="AL359" s="847"/>
      <c r="AM359" s="847"/>
      <c r="AN359" s="847"/>
      <c r="AO359" s="847"/>
      <c r="AP359" s="847"/>
      <c r="AQ359" s="847"/>
      <c r="AR359" s="847"/>
      <c r="AS359" s="847"/>
      <c r="AT359" s="847"/>
      <c r="AU359" s="847"/>
      <c r="AV359" s="847"/>
      <c r="AW359" s="847"/>
      <c r="AX359" s="847"/>
      <c r="AY359" s="847"/>
      <c r="AZ359" s="847"/>
      <c r="BA359" s="847"/>
      <c r="BB359" s="847"/>
      <c r="BC359" s="847"/>
      <c r="BD359" s="847"/>
      <c r="BE359" s="847"/>
      <c r="BF359" s="847"/>
      <c r="BG359" s="847"/>
      <c r="BH359" s="847"/>
      <c r="BI359" s="847"/>
      <c r="BJ359" s="847"/>
      <c r="BK359" s="847"/>
      <c r="BL359" s="847"/>
      <c r="BM359" s="847"/>
      <c r="BN359" s="847"/>
      <c r="BO359" s="847"/>
      <c r="BP359" s="847"/>
      <c r="BQ359" s="847">
        <f>BQ358</f>
        <v>0.25075268817204299</v>
      </c>
      <c r="BR359" s="847">
        <f>ROUND(C359*BQ359,2)</f>
        <v>0</v>
      </c>
      <c r="BS359" s="847"/>
      <c r="BT359" s="847"/>
      <c r="BU359" s="847"/>
      <c r="BV359" s="847"/>
      <c r="BW359" s="847"/>
      <c r="BX359" s="847"/>
      <c r="BY359" s="847"/>
      <c r="BZ359" s="847"/>
      <c r="CA359" s="847"/>
      <c r="CB359" s="847"/>
      <c r="CC359" s="847"/>
      <c r="CD359" s="847"/>
      <c r="CE359" s="847"/>
      <c r="CF359" s="847"/>
      <c r="CG359" s="847"/>
      <c r="CH359" s="847"/>
      <c r="CI359" s="847"/>
      <c r="CJ359" s="847"/>
      <c r="CK359" s="847"/>
      <c r="CL359" s="847"/>
      <c r="CM359" s="847"/>
      <c r="CN359" s="847"/>
      <c r="CO359" s="847"/>
      <c r="CP359" s="847"/>
      <c r="CQ359" s="847"/>
      <c r="CR359" s="847"/>
      <c r="CS359" s="847"/>
      <c r="CT359" s="847"/>
      <c r="CU359" s="847"/>
      <c r="CV359" s="847"/>
      <c r="CW359" s="847"/>
      <c r="CX359" s="847"/>
      <c r="CY359" s="847"/>
      <c r="CZ359" s="847"/>
      <c r="DA359" s="847"/>
      <c r="DB359" s="847"/>
      <c r="DC359" s="847"/>
      <c r="DD359" s="847"/>
      <c r="DE359" s="847"/>
      <c r="DF359" s="847"/>
      <c r="DG359" s="847"/>
      <c r="DH359" s="847"/>
      <c r="DI359" s="847"/>
      <c r="DJ359" s="847"/>
      <c r="DK359" s="847"/>
      <c r="DL359" s="847"/>
      <c r="DM359" s="1212"/>
      <c r="DN359" s="1231">
        <f>DN358+DN358*3%</f>
        <v>1.1075268817204302E-2</v>
      </c>
      <c r="DO359" s="1013">
        <f>ROUND(C359*DN359,2)</f>
        <v>0</v>
      </c>
      <c r="DP359" s="847"/>
      <c r="DQ359" s="1013"/>
      <c r="DR359" s="847">
        <f>DR358+DR358*3%</f>
        <v>1.6612903225806452E-2</v>
      </c>
      <c r="DS359" s="1013">
        <f>ROUND(C359*DR359,2)</f>
        <v>0</v>
      </c>
      <c r="DT359" s="847"/>
      <c r="DU359" s="1214"/>
      <c r="DV359" s="1242"/>
      <c r="DW359" s="1232"/>
      <c r="DX359" s="1222"/>
      <c r="DY359" s="847"/>
      <c r="DZ359" s="847"/>
      <c r="EA359" s="847"/>
      <c r="EB359" s="847"/>
      <c r="EC359" s="847"/>
      <c r="ED359" s="847"/>
      <c r="EE359" s="847"/>
      <c r="EF359" s="847"/>
      <c r="EG359" s="1212"/>
      <c r="EH359" s="847"/>
      <c r="EI359" s="1212"/>
    </row>
    <row r="360" spans="1:139" s="733" customFormat="1" ht="13.5">
      <c r="A360" s="1009">
        <v>120</v>
      </c>
      <c r="B360" s="1212" t="s">
        <v>3101</v>
      </c>
      <c r="C360" s="1213">
        <v>0</v>
      </c>
      <c r="D360" s="1013" t="s">
        <v>92</v>
      </c>
      <c r="E360" s="847"/>
      <c r="F360" s="1013"/>
      <c r="G360" s="847"/>
      <c r="H360" s="1013"/>
      <c r="I360" s="847"/>
      <c r="J360" s="1013"/>
      <c r="K360" s="847"/>
      <c r="L360" s="1013"/>
      <c r="M360" s="847"/>
      <c r="N360" s="1013"/>
      <c r="O360" s="847"/>
      <c r="P360" s="1013"/>
      <c r="Q360" s="847"/>
      <c r="R360" s="847"/>
      <c r="S360" s="847"/>
      <c r="T360" s="847"/>
      <c r="U360" s="847"/>
      <c r="V360" s="847"/>
      <c r="W360" s="847"/>
      <c r="X360" s="847"/>
      <c r="Y360" s="847"/>
      <c r="Z360" s="847"/>
      <c r="AA360" s="847"/>
      <c r="AB360" s="847"/>
      <c r="AC360" s="847"/>
      <c r="AD360" s="847"/>
      <c r="AE360" s="847"/>
      <c r="AF360" s="847"/>
      <c r="AG360" s="847"/>
      <c r="AH360" s="847"/>
      <c r="AI360" s="847"/>
      <c r="AJ360" s="847"/>
      <c r="AK360" s="847"/>
      <c r="AL360" s="847"/>
      <c r="AM360" s="847"/>
      <c r="AN360" s="847"/>
      <c r="AO360" s="847"/>
      <c r="AP360" s="847"/>
      <c r="AQ360" s="847"/>
      <c r="AR360" s="847"/>
      <c r="AS360" s="847"/>
      <c r="AT360" s="847"/>
      <c r="AU360" s="847"/>
      <c r="AV360" s="847"/>
      <c r="AW360" s="847"/>
      <c r="AX360" s="847"/>
      <c r="AY360" s="847"/>
      <c r="AZ360" s="847"/>
      <c r="BA360" s="847"/>
      <c r="BB360" s="847"/>
      <c r="BC360" s="847"/>
      <c r="BD360" s="847"/>
      <c r="BE360" s="847"/>
      <c r="BF360" s="847"/>
      <c r="BG360" s="847"/>
      <c r="BH360" s="847"/>
      <c r="BI360" s="847"/>
      <c r="BJ360" s="847"/>
      <c r="BK360" s="847"/>
      <c r="BL360" s="847"/>
      <c r="BM360" s="847"/>
      <c r="BN360" s="847"/>
      <c r="BO360" s="847"/>
      <c r="BP360" s="847"/>
      <c r="BQ360" s="847"/>
      <c r="BR360" s="847"/>
      <c r="BS360" s="847"/>
      <c r="BT360" s="847"/>
      <c r="BU360" s="847"/>
      <c r="BV360" s="847"/>
      <c r="BW360" s="847"/>
      <c r="BX360" s="847"/>
      <c r="BY360" s="847"/>
      <c r="BZ360" s="847"/>
      <c r="CA360" s="847"/>
      <c r="CB360" s="847"/>
      <c r="CC360" s="847"/>
      <c r="CD360" s="847"/>
      <c r="CE360" s="847"/>
      <c r="CF360" s="847"/>
      <c r="CG360" s="847"/>
      <c r="CH360" s="847"/>
      <c r="CI360" s="847"/>
      <c r="CJ360" s="847"/>
      <c r="CK360" s="847"/>
      <c r="CL360" s="847"/>
      <c r="CM360" s="847"/>
      <c r="CN360" s="847"/>
      <c r="CO360" s="847"/>
      <c r="CP360" s="847"/>
      <c r="CQ360" s="847"/>
      <c r="CR360" s="847"/>
      <c r="CS360" s="847"/>
      <c r="CT360" s="847"/>
      <c r="CU360" s="847"/>
      <c r="CV360" s="847"/>
      <c r="CW360" s="847"/>
      <c r="CX360" s="847"/>
      <c r="CY360" s="847"/>
      <c r="CZ360" s="847"/>
      <c r="DA360" s="847"/>
      <c r="DB360" s="847"/>
      <c r="DC360" s="847"/>
      <c r="DD360" s="847"/>
      <c r="DE360" s="847"/>
      <c r="DF360" s="847"/>
      <c r="DG360" s="847"/>
      <c r="DH360" s="847"/>
      <c r="DI360" s="847"/>
      <c r="DJ360" s="847"/>
      <c r="DK360" s="847"/>
      <c r="DL360" s="847"/>
      <c r="DM360" s="1212"/>
      <c r="DN360" s="1222"/>
      <c r="DO360" s="1013"/>
      <c r="DP360" s="847"/>
      <c r="DQ360" s="1013"/>
      <c r="DR360" s="1225"/>
      <c r="DS360" s="1013"/>
      <c r="DT360" s="1225"/>
      <c r="DU360" s="1214"/>
      <c r="DV360" s="1242"/>
      <c r="DW360" s="1232"/>
      <c r="DX360" s="1222"/>
      <c r="DY360" s="847"/>
      <c r="DZ360" s="847"/>
      <c r="EA360" s="847"/>
      <c r="EB360" s="847"/>
      <c r="EC360" s="847"/>
      <c r="ED360" s="847"/>
      <c r="EE360" s="847"/>
      <c r="EF360" s="847"/>
      <c r="EG360" s="1212"/>
      <c r="EH360" s="847"/>
      <c r="EI360" s="1212"/>
    </row>
    <row r="361" spans="1:139" s="733" customFormat="1" ht="13.5">
      <c r="A361" s="1009"/>
      <c r="B361" s="1212" t="s">
        <v>2066</v>
      </c>
      <c r="C361" s="1213">
        <v>0</v>
      </c>
      <c r="D361" s="1013" t="s">
        <v>92</v>
      </c>
      <c r="E361" s="847"/>
      <c r="F361" s="1013"/>
      <c r="G361" s="847"/>
      <c r="H361" s="1013"/>
      <c r="I361" s="847"/>
      <c r="J361" s="1013"/>
      <c r="K361" s="847"/>
      <c r="L361" s="1013"/>
      <c r="M361" s="847"/>
      <c r="N361" s="1013"/>
      <c r="O361" s="847"/>
      <c r="P361" s="1013"/>
      <c r="Q361" s="847"/>
      <c r="R361" s="847"/>
      <c r="S361" s="847"/>
      <c r="T361" s="847"/>
      <c r="U361" s="847"/>
      <c r="V361" s="847"/>
      <c r="W361" s="847"/>
      <c r="X361" s="847"/>
      <c r="Y361" s="847"/>
      <c r="Z361" s="847"/>
      <c r="AA361" s="847"/>
      <c r="AB361" s="847"/>
      <c r="AC361" s="847"/>
      <c r="AD361" s="847"/>
      <c r="AE361" s="847"/>
      <c r="AF361" s="847"/>
      <c r="AG361" s="847"/>
      <c r="AH361" s="847"/>
      <c r="AI361" s="847"/>
      <c r="AJ361" s="847"/>
      <c r="AK361" s="847"/>
      <c r="AL361" s="847"/>
      <c r="AM361" s="847"/>
      <c r="AN361" s="847"/>
      <c r="AO361" s="847"/>
      <c r="AP361" s="847"/>
      <c r="AQ361" s="847"/>
      <c r="AR361" s="847"/>
      <c r="AS361" s="847"/>
      <c r="AT361" s="847"/>
      <c r="AU361" s="847"/>
      <c r="AV361" s="847"/>
      <c r="AW361" s="847"/>
      <c r="AX361" s="847"/>
      <c r="AY361" s="847"/>
      <c r="AZ361" s="847"/>
      <c r="BA361" s="847"/>
      <c r="BB361" s="847"/>
      <c r="BC361" s="847"/>
      <c r="BD361" s="847"/>
      <c r="BE361" s="847"/>
      <c r="BF361" s="847"/>
      <c r="BG361" s="847"/>
      <c r="BH361" s="847"/>
      <c r="BI361" s="847"/>
      <c r="BJ361" s="847"/>
      <c r="BK361" s="847"/>
      <c r="BL361" s="847"/>
      <c r="BM361" s="847"/>
      <c r="BN361" s="847"/>
      <c r="BO361" s="847"/>
      <c r="BP361" s="847"/>
      <c r="BQ361" s="847">
        <f>'Lead &amp; ANALYSIS'!G6218/93</f>
        <v>0.25075268817204299</v>
      </c>
      <c r="BR361" s="847">
        <f>ROUND(C361*BQ361,2)</f>
        <v>0</v>
      </c>
      <c r="BS361" s="847"/>
      <c r="BT361" s="847"/>
      <c r="BU361" s="847"/>
      <c r="BV361" s="847"/>
      <c r="BW361" s="847"/>
      <c r="BX361" s="847"/>
      <c r="BY361" s="847"/>
      <c r="BZ361" s="847"/>
      <c r="CA361" s="847"/>
      <c r="CB361" s="847"/>
      <c r="CC361" s="847"/>
      <c r="CD361" s="847"/>
      <c r="CE361" s="847"/>
      <c r="CF361" s="847"/>
      <c r="CG361" s="847"/>
      <c r="CH361" s="847"/>
      <c r="CI361" s="847"/>
      <c r="CJ361" s="847"/>
      <c r="CK361" s="847"/>
      <c r="CL361" s="847"/>
      <c r="CM361" s="847"/>
      <c r="CN361" s="847"/>
      <c r="CO361" s="847"/>
      <c r="CP361" s="847"/>
      <c r="CQ361" s="847"/>
      <c r="CR361" s="847"/>
      <c r="CS361" s="847"/>
      <c r="CT361" s="847"/>
      <c r="CU361" s="847"/>
      <c r="CV361" s="847"/>
      <c r="CW361" s="847"/>
      <c r="CX361" s="847"/>
      <c r="CY361" s="847"/>
      <c r="CZ361" s="847"/>
      <c r="DA361" s="847"/>
      <c r="DB361" s="847"/>
      <c r="DC361" s="847"/>
      <c r="DD361" s="847"/>
      <c r="DE361" s="847"/>
      <c r="DF361" s="847"/>
      <c r="DG361" s="847"/>
      <c r="DH361" s="847"/>
      <c r="DI361" s="847"/>
      <c r="DJ361" s="847"/>
      <c r="DK361" s="847"/>
      <c r="DL361" s="847"/>
      <c r="DM361" s="1212"/>
      <c r="DN361" s="1231">
        <f>DN358</f>
        <v>1.0752688172043012E-2</v>
      </c>
      <c r="DO361" s="1013">
        <f>ROUND(C361*DN361,2)</f>
        <v>0</v>
      </c>
      <c r="DP361" s="847"/>
      <c r="DQ361" s="1013"/>
      <c r="DR361" s="1228">
        <f>DR358</f>
        <v>1.6129032258064516E-2</v>
      </c>
      <c r="DS361" s="1013">
        <f>ROUND(C361*DR361,2)</f>
        <v>0</v>
      </c>
      <c r="DT361" s="1225"/>
      <c r="DU361" s="1214"/>
      <c r="DV361" s="1242"/>
      <c r="DW361" s="1232"/>
      <c r="DX361" s="1222"/>
      <c r="DY361" s="847"/>
      <c r="DZ361" s="847"/>
      <c r="EA361" s="847"/>
      <c r="EB361" s="847"/>
      <c r="EC361" s="847"/>
      <c r="ED361" s="847"/>
      <c r="EE361" s="847"/>
      <c r="EF361" s="847"/>
      <c r="EG361" s="1212"/>
      <c r="EH361" s="847"/>
      <c r="EI361" s="1212"/>
    </row>
    <row r="362" spans="1:139" s="733" customFormat="1" ht="13.5">
      <c r="A362" s="1009"/>
      <c r="B362" s="1212" t="s">
        <v>2067</v>
      </c>
      <c r="C362" s="1213">
        <v>0</v>
      </c>
      <c r="D362" s="1013" t="s">
        <v>92</v>
      </c>
      <c r="E362" s="847"/>
      <c r="F362" s="1013"/>
      <c r="G362" s="847"/>
      <c r="H362" s="1013"/>
      <c r="I362" s="847"/>
      <c r="J362" s="1013"/>
      <c r="K362" s="847"/>
      <c r="L362" s="1013"/>
      <c r="M362" s="847"/>
      <c r="N362" s="1013"/>
      <c r="O362" s="847"/>
      <c r="P362" s="1013"/>
      <c r="Q362" s="847"/>
      <c r="R362" s="847"/>
      <c r="S362" s="847"/>
      <c r="T362" s="847"/>
      <c r="U362" s="847"/>
      <c r="V362" s="847"/>
      <c r="W362" s="847"/>
      <c r="X362" s="847"/>
      <c r="Y362" s="847"/>
      <c r="Z362" s="847"/>
      <c r="AA362" s="847"/>
      <c r="AB362" s="847"/>
      <c r="AC362" s="847"/>
      <c r="AD362" s="847"/>
      <c r="AE362" s="847"/>
      <c r="AF362" s="847"/>
      <c r="AG362" s="847"/>
      <c r="AH362" s="847"/>
      <c r="AI362" s="847"/>
      <c r="AJ362" s="847"/>
      <c r="AK362" s="847"/>
      <c r="AL362" s="847"/>
      <c r="AM362" s="847"/>
      <c r="AN362" s="847"/>
      <c r="AO362" s="847"/>
      <c r="AP362" s="847"/>
      <c r="AQ362" s="847"/>
      <c r="AR362" s="847"/>
      <c r="AS362" s="847"/>
      <c r="AT362" s="847"/>
      <c r="AU362" s="847"/>
      <c r="AV362" s="847"/>
      <c r="AW362" s="847"/>
      <c r="AX362" s="847"/>
      <c r="AY362" s="847"/>
      <c r="AZ362" s="847"/>
      <c r="BA362" s="847"/>
      <c r="BB362" s="847"/>
      <c r="BC362" s="847"/>
      <c r="BD362" s="847"/>
      <c r="BE362" s="847"/>
      <c r="BF362" s="847"/>
      <c r="BG362" s="847"/>
      <c r="BH362" s="847"/>
      <c r="BI362" s="847"/>
      <c r="BJ362" s="847"/>
      <c r="BK362" s="847"/>
      <c r="BL362" s="847"/>
      <c r="BM362" s="847"/>
      <c r="BN362" s="847"/>
      <c r="BO362" s="847"/>
      <c r="BP362" s="847"/>
      <c r="BQ362" s="847">
        <f>BQ361</f>
        <v>0.25075268817204299</v>
      </c>
      <c r="BR362" s="847">
        <f>ROUND(C362*BQ362,2)</f>
        <v>0</v>
      </c>
      <c r="BS362" s="847"/>
      <c r="BT362" s="847"/>
      <c r="BU362" s="847"/>
      <c r="BV362" s="847"/>
      <c r="BW362" s="847"/>
      <c r="BX362" s="847"/>
      <c r="BY362" s="847"/>
      <c r="BZ362" s="847"/>
      <c r="CA362" s="847"/>
      <c r="CB362" s="847"/>
      <c r="CC362" s="847"/>
      <c r="CD362" s="847"/>
      <c r="CE362" s="847"/>
      <c r="CF362" s="847"/>
      <c r="CG362" s="847"/>
      <c r="CH362" s="847"/>
      <c r="CI362" s="847"/>
      <c r="CJ362" s="847"/>
      <c r="CK362" s="847"/>
      <c r="CL362" s="847"/>
      <c r="CM362" s="847"/>
      <c r="CN362" s="847"/>
      <c r="CO362" s="847"/>
      <c r="CP362" s="847"/>
      <c r="CQ362" s="847"/>
      <c r="CR362" s="847"/>
      <c r="CS362" s="847"/>
      <c r="CT362" s="847"/>
      <c r="CU362" s="847"/>
      <c r="CV362" s="847"/>
      <c r="CW362" s="847"/>
      <c r="CX362" s="847"/>
      <c r="CY362" s="847"/>
      <c r="CZ362" s="847"/>
      <c r="DA362" s="847"/>
      <c r="DB362" s="847"/>
      <c r="DC362" s="847"/>
      <c r="DD362" s="847"/>
      <c r="DE362" s="847"/>
      <c r="DF362" s="847"/>
      <c r="DG362" s="847"/>
      <c r="DH362" s="847"/>
      <c r="DI362" s="847"/>
      <c r="DJ362" s="847"/>
      <c r="DK362" s="847"/>
      <c r="DL362" s="847"/>
      <c r="DM362" s="1212"/>
      <c r="DN362" s="1231">
        <f>DN361+DN361*5%</f>
        <v>1.1290322580645162E-2</v>
      </c>
      <c r="DO362" s="1013">
        <f>ROUND(C362*DN362,2)</f>
        <v>0</v>
      </c>
      <c r="DP362" s="847"/>
      <c r="DQ362" s="1013"/>
      <c r="DR362" s="1248">
        <f>DR361+DR361*5%</f>
        <v>1.693548387096774E-2</v>
      </c>
      <c r="DS362" s="1013">
        <f>ROUND(C362*DR362,2)</f>
        <v>0</v>
      </c>
      <c r="DT362" s="847"/>
      <c r="DU362" s="1214"/>
      <c r="DV362" s="1242"/>
      <c r="DW362" s="1232"/>
      <c r="DX362" s="1222"/>
      <c r="DY362" s="847"/>
      <c r="DZ362" s="847"/>
      <c r="EA362" s="847"/>
      <c r="EB362" s="847"/>
      <c r="EC362" s="847"/>
      <c r="ED362" s="847"/>
      <c r="EE362" s="847"/>
      <c r="EF362" s="847"/>
      <c r="EG362" s="1212"/>
      <c r="EH362" s="847"/>
      <c r="EI362" s="1212"/>
    </row>
    <row r="363" spans="1:139" s="733" customFormat="1" ht="13.5">
      <c r="A363" s="1009">
        <v>121</v>
      </c>
      <c r="B363" s="1212" t="s">
        <v>3102</v>
      </c>
      <c r="C363" s="1213">
        <v>0</v>
      </c>
      <c r="D363" s="1013" t="s">
        <v>92</v>
      </c>
      <c r="E363" s="847"/>
      <c r="F363" s="1013"/>
      <c r="G363" s="847"/>
      <c r="H363" s="1013"/>
      <c r="I363" s="847"/>
      <c r="J363" s="1013"/>
      <c r="K363" s="847"/>
      <c r="L363" s="1013"/>
      <c r="M363" s="847"/>
      <c r="N363" s="1013"/>
      <c r="O363" s="847"/>
      <c r="P363" s="1013"/>
      <c r="Q363" s="847"/>
      <c r="R363" s="847"/>
      <c r="S363" s="847"/>
      <c r="T363" s="847"/>
      <c r="U363" s="847"/>
      <c r="V363" s="847"/>
      <c r="W363" s="847"/>
      <c r="X363" s="847"/>
      <c r="Y363" s="847"/>
      <c r="Z363" s="847"/>
      <c r="AA363" s="847"/>
      <c r="AB363" s="847"/>
      <c r="AC363" s="847"/>
      <c r="AD363" s="847"/>
      <c r="AE363" s="847"/>
      <c r="AF363" s="847"/>
      <c r="AG363" s="847"/>
      <c r="AH363" s="847"/>
      <c r="AI363" s="847"/>
      <c r="AJ363" s="847"/>
      <c r="AK363" s="847"/>
      <c r="AL363" s="847"/>
      <c r="AM363" s="847"/>
      <c r="AN363" s="847"/>
      <c r="AO363" s="847"/>
      <c r="AP363" s="847"/>
      <c r="AQ363" s="847"/>
      <c r="AR363" s="847"/>
      <c r="AS363" s="847"/>
      <c r="AT363" s="847"/>
      <c r="AU363" s="847"/>
      <c r="AV363" s="847"/>
      <c r="AW363" s="847"/>
      <c r="AX363" s="847"/>
      <c r="AY363" s="847"/>
      <c r="AZ363" s="847"/>
      <c r="BA363" s="847"/>
      <c r="BB363" s="847"/>
      <c r="BC363" s="847"/>
      <c r="BD363" s="847"/>
      <c r="BE363" s="847"/>
      <c r="BF363" s="847"/>
      <c r="BG363" s="847"/>
      <c r="BH363" s="847"/>
      <c r="BI363" s="847"/>
      <c r="BJ363" s="847"/>
      <c r="BK363" s="847"/>
      <c r="BL363" s="847"/>
      <c r="BM363" s="847"/>
      <c r="BN363" s="847"/>
      <c r="BO363" s="847"/>
      <c r="BP363" s="847"/>
      <c r="BQ363" s="847"/>
      <c r="BR363" s="847"/>
      <c r="BS363" s="847"/>
      <c r="BT363" s="847"/>
      <c r="BU363" s="847"/>
      <c r="BV363" s="847"/>
      <c r="BW363" s="847"/>
      <c r="BX363" s="847"/>
      <c r="BY363" s="847"/>
      <c r="BZ363" s="847"/>
      <c r="CA363" s="847"/>
      <c r="CB363" s="847"/>
      <c r="CC363" s="847"/>
      <c r="CD363" s="847"/>
      <c r="CE363" s="847"/>
      <c r="CF363" s="847"/>
      <c r="CG363" s="847"/>
      <c r="CH363" s="847"/>
      <c r="CI363" s="847"/>
      <c r="CJ363" s="847"/>
      <c r="CK363" s="847"/>
      <c r="CL363" s="847"/>
      <c r="CM363" s="847"/>
      <c r="CN363" s="847"/>
      <c r="CO363" s="847"/>
      <c r="CP363" s="847"/>
      <c r="CQ363" s="847"/>
      <c r="CR363" s="847"/>
      <c r="CS363" s="847"/>
      <c r="CT363" s="847"/>
      <c r="CU363" s="847"/>
      <c r="CV363" s="847"/>
      <c r="CW363" s="847"/>
      <c r="CX363" s="847"/>
      <c r="CY363" s="847"/>
      <c r="CZ363" s="847"/>
      <c r="DA363" s="847"/>
      <c r="DB363" s="847"/>
      <c r="DC363" s="847"/>
      <c r="DD363" s="847"/>
      <c r="DE363" s="847"/>
      <c r="DF363" s="847"/>
      <c r="DG363" s="847"/>
      <c r="DH363" s="847"/>
      <c r="DI363" s="847"/>
      <c r="DJ363" s="847"/>
      <c r="DK363" s="847"/>
      <c r="DL363" s="847"/>
      <c r="DM363" s="1212"/>
      <c r="DN363" s="1222"/>
      <c r="DO363" s="1013"/>
      <c r="DP363" s="847"/>
      <c r="DQ363" s="1013"/>
      <c r="DR363" s="1225"/>
      <c r="DS363" s="1013"/>
      <c r="DT363" s="1225"/>
      <c r="DU363" s="1214"/>
      <c r="DV363" s="1242"/>
      <c r="DW363" s="1232"/>
      <c r="DX363" s="1222"/>
      <c r="DY363" s="847"/>
      <c r="DZ363" s="847"/>
      <c r="EA363" s="847"/>
      <c r="EB363" s="847"/>
      <c r="EC363" s="847"/>
      <c r="ED363" s="847"/>
      <c r="EE363" s="847"/>
      <c r="EF363" s="847"/>
      <c r="EG363" s="1212"/>
      <c r="EH363" s="847"/>
      <c r="EI363" s="1212"/>
    </row>
    <row r="364" spans="1:139" s="733" customFormat="1" ht="13.5">
      <c r="A364" s="1009"/>
      <c r="B364" s="1212" t="s">
        <v>2066</v>
      </c>
      <c r="C364" s="1213">
        <v>0</v>
      </c>
      <c r="D364" s="1013" t="s">
        <v>92</v>
      </c>
      <c r="E364" s="847"/>
      <c r="F364" s="1013"/>
      <c r="G364" s="847"/>
      <c r="H364" s="1013"/>
      <c r="I364" s="847"/>
      <c r="J364" s="1013"/>
      <c r="K364" s="847"/>
      <c r="L364" s="1013"/>
      <c r="M364" s="847"/>
      <c r="N364" s="1013"/>
      <c r="O364" s="847"/>
      <c r="P364" s="1013"/>
      <c r="Q364" s="847"/>
      <c r="R364" s="847"/>
      <c r="S364" s="847"/>
      <c r="T364" s="847"/>
      <c r="U364" s="847"/>
      <c r="V364" s="847"/>
      <c r="W364" s="847"/>
      <c r="X364" s="847"/>
      <c r="Y364" s="847"/>
      <c r="Z364" s="847"/>
      <c r="AA364" s="847"/>
      <c r="AB364" s="847"/>
      <c r="AC364" s="847"/>
      <c r="AD364" s="847"/>
      <c r="AE364" s="847"/>
      <c r="AF364" s="847"/>
      <c r="AG364" s="847"/>
      <c r="AH364" s="847"/>
      <c r="AI364" s="847"/>
      <c r="AJ364" s="847"/>
      <c r="AK364" s="847"/>
      <c r="AL364" s="847"/>
      <c r="AM364" s="847"/>
      <c r="AN364" s="847"/>
      <c r="AO364" s="847"/>
      <c r="AP364" s="847"/>
      <c r="AQ364" s="847"/>
      <c r="AR364" s="847"/>
      <c r="AS364" s="847"/>
      <c r="AT364" s="847"/>
      <c r="AU364" s="847"/>
      <c r="AV364" s="847"/>
      <c r="AW364" s="847"/>
      <c r="AX364" s="847"/>
      <c r="AY364" s="847"/>
      <c r="AZ364" s="847"/>
      <c r="BA364" s="847"/>
      <c r="BB364" s="847"/>
      <c r="BC364" s="847"/>
      <c r="BD364" s="847"/>
      <c r="BE364" s="847"/>
      <c r="BF364" s="847"/>
      <c r="BG364" s="847"/>
      <c r="BH364" s="847"/>
      <c r="BI364" s="847">
        <f>'Lead &amp; ANALYSIS'!G6272</f>
        <v>0.125</v>
      </c>
      <c r="BJ364" s="847">
        <f>ROUND(C364*BI364,2)</f>
        <v>0</v>
      </c>
      <c r="BK364" s="847"/>
      <c r="BL364" s="847"/>
      <c r="BM364" s="847"/>
      <c r="BN364" s="847"/>
      <c r="BO364" s="847"/>
      <c r="BP364" s="847"/>
      <c r="BQ364" s="847"/>
      <c r="BR364" s="847"/>
      <c r="BS364" s="847"/>
      <c r="BT364" s="847"/>
      <c r="BU364" s="847"/>
      <c r="BV364" s="847"/>
      <c r="BW364" s="847"/>
      <c r="BX364" s="847"/>
      <c r="BY364" s="847"/>
      <c r="BZ364" s="847"/>
      <c r="CA364" s="847"/>
      <c r="CB364" s="847"/>
      <c r="CC364" s="847"/>
      <c r="CD364" s="847"/>
      <c r="CE364" s="847"/>
      <c r="CF364" s="847"/>
      <c r="CG364" s="847"/>
      <c r="CH364" s="847"/>
      <c r="CI364" s="847"/>
      <c r="CJ364" s="847"/>
      <c r="CK364" s="847"/>
      <c r="CL364" s="847"/>
      <c r="CM364" s="847"/>
      <c r="CN364" s="847"/>
      <c r="CO364" s="847"/>
      <c r="CP364" s="847"/>
      <c r="CQ364" s="847"/>
      <c r="CR364" s="847"/>
      <c r="CS364" s="847"/>
      <c r="CT364" s="847"/>
      <c r="CU364" s="847"/>
      <c r="CV364" s="847"/>
      <c r="CW364" s="847"/>
      <c r="CX364" s="847"/>
      <c r="CY364" s="847"/>
      <c r="CZ364" s="847"/>
      <c r="DA364" s="847"/>
      <c r="DB364" s="847"/>
      <c r="DC364" s="847"/>
      <c r="DD364" s="847"/>
      <c r="DE364" s="847"/>
      <c r="DF364" s="847"/>
      <c r="DG364" s="847"/>
      <c r="DH364" s="847"/>
      <c r="DI364" s="847"/>
      <c r="DJ364" s="847"/>
      <c r="DK364" s="847"/>
      <c r="DL364" s="847"/>
      <c r="DM364" s="1212"/>
      <c r="DN364" s="1242">
        <f>'Lead &amp; ANALYSIS'!G6265/9.3</f>
        <v>0.11827956989247312</v>
      </c>
      <c r="DO364" s="1013">
        <f>ROUND(C364*DN364,2)</f>
        <v>0</v>
      </c>
      <c r="DP364" s="847"/>
      <c r="DQ364" s="1013"/>
      <c r="DR364" s="1225"/>
      <c r="DS364" s="1013"/>
      <c r="DT364" s="1225">
        <f>'Lead &amp; ANALYSIS'!G6264/9.3</f>
        <v>0.13440860215053763</v>
      </c>
      <c r="DU364" s="1214">
        <f>ROUND(C364*DT364,2)</f>
        <v>0</v>
      </c>
      <c r="DV364" s="1242"/>
      <c r="DW364" s="1232"/>
      <c r="DX364" s="1222"/>
      <c r="DY364" s="847"/>
      <c r="DZ364" s="847"/>
      <c r="EA364" s="847"/>
      <c r="EB364" s="847"/>
      <c r="EC364" s="847"/>
      <c r="ED364" s="847"/>
      <c r="EE364" s="847"/>
      <c r="EF364" s="847"/>
      <c r="EG364" s="1212"/>
      <c r="EH364" s="847"/>
      <c r="EI364" s="1212"/>
    </row>
    <row r="365" spans="1:139" s="733" customFormat="1" ht="13.5">
      <c r="A365" s="1009"/>
      <c r="B365" s="1212" t="s">
        <v>2067</v>
      </c>
      <c r="C365" s="1213">
        <v>0</v>
      </c>
      <c r="D365" s="1013" t="s">
        <v>92</v>
      </c>
      <c r="E365" s="847"/>
      <c r="F365" s="1013"/>
      <c r="G365" s="847"/>
      <c r="H365" s="1013"/>
      <c r="I365" s="847"/>
      <c r="J365" s="1013"/>
      <c r="K365" s="847"/>
      <c r="L365" s="1013"/>
      <c r="M365" s="847"/>
      <c r="N365" s="1013"/>
      <c r="O365" s="847"/>
      <c r="P365" s="1013"/>
      <c r="Q365" s="847"/>
      <c r="R365" s="847"/>
      <c r="S365" s="847"/>
      <c r="T365" s="847"/>
      <c r="U365" s="847"/>
      <c r="V365" s="847"/>
      <c r="W365" s="847"/>
      <c r="X365" s="847"/>
      <c r="Y365" s="847"/>
      <c r="Z365" s="847"/>
      <c r="AA365" s="847"/>
      <c r="AB365" s="847"/>
      <c r="AC365" s="847"/>
      <c r="AD365" s="847"/>
      <c r="AE365" s="847"/>
      <c r="AF365" s="847"/>
      <c r="AG365" s="847"/>
      <c r="AH365" s="847"/>
      <c r="AI365" s="847"/>
      <c r="AJ365" s="847"/>
      <c r="AK365" s="847"/>
      <c r="AL365" s="847"/>
      <c r="AM365" s="847"/>
      <c r="AN365" s="847"/>
      <c r="AO365" s="847"/>
      <c r="AP365" s="847"/>
      <c r="AQ365" s="847"/>
      <c r="AR365" s="847"/>
      <c r="AS365" s="847"/>
      <c r="AT365" s="847"/>
      <c r="AU365" s="847"/>
      <c r="AV365" s="847"/>
      <c r="AW365" s="847"/>
      <c r="AX365" s="847"/>
      <c r="AY365" s="847"/>
      <c r="AZ365" s="847"/>
      <c r="BA365" s="847"/>
      <c r="BB365" s="847"/>
      <c r="BC365" s="847"/>
      <c r="BD365" s="847"/>
      <c r="BE365" s="847"/>
      <c r="BF365" s="847"/>
      <c r="BG365" s="847"/>
      <c r="BH365" s="847"/>
      <c r="BI365" s="847">
        <f>BI364</f>
        <v>0.125</v>
      </c>
      <c r="BJ365" s="847">
        <f>ROUND(C365*BI365,2)</f>
        <v>0</v>
      </c>
      <c r="BK365" s="847"/>
      <c r="BL365" s="847"/>
      <c r="BM365" s="847"/>
      <c r="BN365" s="847"/>
      <c r="BO365" s="847"/>
      <c r="BP365" s="847"/>
      <c r="BQ365" s="847"/>
      <c r="BR365" s="847"/>
      <c r="BS365" s="847"/>
      <c r="BT365" s="847"/>
      <c r="BU365" s="847"/>
      <c r="BV365" s="847"/>
      <c r="BW365" s="847"/>
      <c r="BX365" s="847"/>
      <c r="BY365" s="847"/>
      <c r="BZ365" s="847"/>
      <c r="CA365" s="847"/>
      <c r="CB365" s="847"/>
      <c r="CC365" s="847"/>
      <c r="CD365" s="847"/>
      <c r="CE365" s="847"/>
      <c r="CF365" s="847"/>
      <c r="CG365" s="847"/>
      <c r="CH365" s="847"/>
      <c r="CI365" s="847"/>
      <c r="CJ365" s="847"/>
      <c r="CK365" s="847"/>
      <c r="CL365" s="847"/>
      <c r="CM365" s="847"/>
      <c r="CN365" s="847"/>
      <c r="CO365" s="847"/>
      <c r="CP365" s="847"/>
      <c r="CQ365" s="847"/>
      <c r="CR365" s="847"/>
      <c r="CS365" s="847"/>
      <c r="CT365" s="847"/>
      <c r="CU365" s="847"/>
      <c r="CV365" s="847"/>
      <c r="CW365" s="847"/>
      <c r="CX365" s="847"/>
      <c r="CY365" s="847"/>
      <c r="CZ365" s="847"/>
      <c r="DA365" s="847"/>
      <c r="DB365" s="847"/>
      <c r="DC365" s="847"/>
      <c r="DD365" s="847"/>
      <c r="DE365" s="847"/>
      <c r="DF365" s="847"/>
      <c r="DG365" s="847"/>
      <c r="DH365" s="847"/>
      <c r="DI365" s="847"/>
      <c r="DJ365" s="847"/>
      <c r="DK365" s="847"/>
      <c r="DL365" s="847"/>
      <c r="DM365" s="1212"/>
      <c r="DN365" s="1222">
        <f>DN364+DN364*3%</f>
        <v>0.12182795698924732</v>
      </c>
      <c r="DO365" s="1013">
        <f>ROUND(C365*DN365,2)</f>
        <v>0</v>
      </c>
      <c r="DP365" s="847"/>
      <c r="DQ365" s="1013"/>
      <c r="DR365" s="1225"/>
      <c r="DS365" s="1013"/>
      <c r="DT365" s="847">
        <f>DT364+DT364*3%</f>
        <v>0.13844086021505375</v>
      </c>
      <c r="DU365" s="1214">
        <f>ROUND(C365*DT365,2)</f>
        <v>0</v>
      </c>
      <c r="DV365" s="1242"/>
      <c r="DW365" s="1232"/>
      <c r="DX365" s="1222"/>
      <c r="DY365" s="847"/>
      <c r="DZ365" s="847"/>
      <c r="EA365" s="847"/>
      <c r="EB365" s="847"/>
      <c r="EC365" s="847"/>
      <c r="ED365" s="847"/>
      <c r="EE365" s="847"/>
      <c r="EF365" s="847"/>
      <c r="EG365" s="1212"/>
      <c r="EH365" s="847"/>
      <c r="EI365" s="1212"/>
    </row>
    <row r="366" spans="1:139" s="733" customFormat="1" ht="13.5">
      <c r="A366" s="1009">
        <v>122</v>
      </c>
      <c r="B366" s="1212" t="s">
        <v>3103</v>
      </c>
      <c r="C366" s="1213">
        <v>0</v>
      </c>
      <c r="D366" s="1013" t="s">
        <v>92</v>
      </c>
      <c r="E366" s="847"/>
      <c r="F366" s="1013"/>
      <c r="G366" s="847"/>
      <c r="H366" s="1013"/>
      <c r="I366" s="847"/>
      <c r="J366" s="1013"/>
      <c r="K366" s="847"/>
      <c r="L366" s="1013"/>
      <c r="M366" s="847"/>
      <c r="N366" s="1013"/>
      <c r="O366" s="847"/>
      <c r="P366" s="1013"/>
      <c r="Q366" s="847"/>
      <c r="R366" s="847"/>
      <c r="S366" s="847"/>
      <c r="T366" s="847"/>
      <c r="U366" s="847"/>
      <c r="V366" s="847"/>
      <c r="W366" s="847"/>
      <c r="X366" s="847"/>
      <c r="Y366" s="847"/>
      <c r="Z366" s="847"/>
      <c r="AA366" s="847"/>
      <c r="AB366" s="847"/>
      <c r="AC366" s="847"/>
      <c r="AD366" s="847"/>
      <c r="AE366" s="847"/>
      <c r="AF366" s="847"/>
      <c r="AG366" s="847"/>
      <c r="AH366" s="847"/>
      <c r="AI366" s="847"/>
      <c r="AJ366" s="847"/>
      <c r="AK366" s="847"/>
      <c r="AL366" s="847"/>
      <c r="AM366" s="847"/>
      <c r="AN366" s="847"/>
      <c r="AO366" s="847"/>
      <c r="AP366" s="847"/>
      <c r="AQ366" s="847"/>
      <c r="AR366" s="847"/>
      <c r="AS366" s="847"/>
      <c r="AT366" s="847"/>
      <c r="AU366" s="847"/>
      <c r="AV366" s="847"/>
      <c r="AW366" s="847"/>
      <c r="AX366" s="847"/>
      <c r="AY366" s="847"/>
      <c r="AZ366" s="847"/>
      <c r="BA366" s="847"/>
      <c r="BB366" s="847"/>
      <c r="BC366" s="847"/>
      <c r="BD366" s="847"/>
      <c r="BE366" s="847"/>
      <c r="BF366" s="847"/>
      <c r="BG366" s="847"/>
      <c r="BH366" s="847"/>
      <c r="BI366" s="847"/>
      <c r="BJ366" s="847"/>
      <c r="BK366" s="847"/>
      <c r="BL366" s="847"/>
      <c r="BM366" s="847"/>
      <c r="BN366" s="847"/>
      <c r="BO366" s="847"/>
      <c r="BP366" s="847"/>
      <c r="BQ366" s="847"/>
      <c r="BR366" s="847"/>
      <c r="BS366" s="847"/>
      <c r="BT366" s="847"/>
      <c r="BU366" s="847"/>
      <c r="BV366" s="847"/>
      <c r="BW366" s="847"/>
      <c r="BX366" s="847"/>
      <c r="BY366" s="847"/>
      <c r="BZ366" s="847"/>
      <c r="CA366" s="847"/>
      <c r="CB366" s="847"/>
      <c r="CC366" s="847"/>
      <c r="CD366" s="847"/>
      <c r="CE366" s="847"/>
      <c r="CF366" s="847"/>
      <c r="CG366" s="847"/>
      <c r="CH366" s="847"/>
      <c r="CI366" s="847"/>
      <c r="CJ366" s="847"/>
      <c r="CK366" s="847"/>
      <c r="CL366" s="847"/>
      <c r="CM366" s="847"/>
      <c r="CN366" s="847"/>
      <c r="CO366" s="847"/>
      <c r="CP366" s="847"/>
      <c r="CQ366" s="847"/>
      <c r="CR366" s="847"/>
      <c r="CS366" s="847"/>
      <c r="CT366" s="847"/>
      <c r="CU366" s="847"/>
      <c r="CV366" s="847"/>
      <c r="CW366" s="847"/>
      <c r="CX366" s="847"/>
      <c r="CY366" s="847"/>
      <c r="CZ366" s="847"/>
      <c r="DA366" s="847"/>
      <c r="DB366" s="847"/>
      <c r="DC366" s="847"/>
      <c r="DD366" s="847"/>
      <c r="DE366" s="847"/>
      <c r="DF366" s="847"/>
      <c r="DG366" s="847"/>
      <c r="DH366" s="847"/>
      <c r="DI366" s="847"/>
      <c r="DJ366" s="847"/>
      <c r="DK366" s="847"/>
      <c r="DL366" s="847"/>
      <c r="DM366" s="1212"/>
      <c r="DN366" s="1222"/>
      <c r="DO366" s="1013"/>
      <c r="DP366" s="847"/>
      <c r="DQ366" s="1013"/>
      <c r="DR366" s="1225"/>
      <c r="DS366" s="1013"/>
      <c r="DT366" s="1225"/>
      <c r="DU366" s="1214"/>
      <c r="DV366" s="1242"/>
      <c r="DW366" s="1232"/>
      <c r="DX366" s="1222"/>
      <c r="DY366" s="847"/>
      <c r="DZ366" s="847"/>
      <c r="EA366" s="847"/>
      <c r="EB366" s="847"/>
      <c r="EC366" s="847"/>
      <c r="ED366" s="847"/>
      <c r="EE366" s="847"/>
      <c r="EF366" s="847"/>
      <c r="EG366" s="1212"/>
      <c r="EH366" s="847"/>
      <c r="EI366" s="1212"/>
    </row>
    <row r="367" spans="1:139" s="733" customFormat="1" ht="13.5">
      <c r="A367" s="1009"/>
      <c r="B367" s="1212" t="s">
        <v>2066</v>
      </c>
      <c r="C367" s="1213">
        <v>0</v>
      </c>
      <c r="D367" s="1013" t="s">
        <v>92</v>
      </c>
      <c r="E367" s="847"/>
      <c r="F367" s="1013"/>
      <c r="G367" s="847"/>
      <c r="H367" s="1013"/>
      <c r="I367" s="847"/>
      <c r="J367" s="1013"/>
      <c r="K367" s="847"/>
      <c r="L367" s="1013"/>
      <c r="M367" s="847"/>
      <c r="N367" s="1013"/>
      <c r="O367" s="847"/>
      <c r="P367" s="1013"/>
      <c r="Q367" s="847"/>
      <c r="R367" s="847"/>
      <c r="S367" s="847"/>
      <c r="T367" s="847"/>
      <c r="U367" s="847"/>
      <c r="V367" s="847"/>
      <c r="W367" s="847"/>
      <c r="X367" s="847"/>
      <c r="Y367" s="847"/>
      <c r="Z367" s="847"/>
      <c r="AA367" s="847"/>
      <c r="AB367" s="847"/>
      <c r="AC367" s="847"/>
      <c r="AD367" s="847"/>
      <c r="AE367" s="847"/>
      <c r="AF367" s="847"/>
      <c r="AG367" s="847"/>
      <c r="AH367" s="847"/>
      <c r="AI367" s="847"/>
      <c r="AJ367" s="847"/>
      <c r="AK367" s="847"/>
      <c r="AL367" s="847"/>
      <c r="AM367" s="847"/>
      <c r="AN367" s="847"/>
      <c r="AO367" s="847"/>
      <c r="AP367" s="847"/>
      <c r="AQ367" s="847"/>
      <c r="AR367" s="847"/>
      <c r="AS367" s="847"/>
      <c r="AT367" s="847"/>
      <c r="AU367" s="847"/>
      <c r="AV367" s="847"/>
      <c r="AW367" s="847"/>
      <c r="AX367" s="847"/>
      <c r="AY367" s="847">
        <f>'Lead &amp; ANALYSIS'!G6296</f>
        <v>5.3999999999999999E-2</v>
      </c>
      <c r="AZ367" s="847">
        <f>ROUND(C367*AY367,2)</f>
        <v>0</v>
      </c>
      <c r="BA367" s="847"/>
      <c r="BB367" s="847"/>
      <c r="BC367" s="847"/>
      <c r="BD367" s="847"/>
      <c r="BE367" s="847"/>
      <c r="BF367" s="847"/>
      <c r="BG367" s="847"/>
      <c r="BH367" s="847"/>
      <c r="BI367" s="847">
        <f>'Lead &amp; ANALYSIS'!G6297</f>
        <v>0.125</v>
      </c>
      <c r="BJ367" s="847">
        <f>ROUND(C367*BI367,2)</f>
        <v>0</v>
      </c>
      <c r="BK367" s="847"/>
      <c r="BL367" s="847"/>
      <c r="BM367" s="847"/>
      <c r="BN367" s="847"/>
      <c r="BO367" s="847"/>
      <c r="BP367" s="847"/>
      <c r="BQ367" s="847"/>
      <c r="BR367" s="847"/>
      <c r="BS367" s="847"/>
      <c r="BT367" s="847"/>
      <c r="BU367" s="847"/>
      <c r="BV367" s="847"/>
      <c r="BW367" s="847"/>
      <c r="BX367" s="847"/>
      <c r="BY367" s="847"/>
      <c r="BZ367" s="847"/>
      <c r="CA367" s="847"/>
      <c r="CB367" s="847"/>
      <c r="CC367" s="847"/>
      <c r="CD367" s="847"/>
      <c r="CE367" s="847"/>
      <c r="CF367" s="847"/>
      <c r="CG367" s="847"/>
      <c r="CH367" s="847"/>
      <c r="CI367" s="847"/>
      <c r="CJ367" s="847"/>
      <c r="CK367" s="847"/>
      <c r="CL367" s="847"/>
      <c r="CM367" s="847"/>
      <c r="CN367" s="847"/>
      <c r="CO367" s="847"/>
      <c r="CP367" s="847"/>
      <c r="CQ367" s="847"/>
      <c r="CR367" s="847"/>
      <c r="CS367" s="847"/>
      <c r="CT367" s="847"/>
      <c r="CU367" s="847"/>
      <c r="CV367" s="847"/>
      <c r="CW367" s="847"/>
      <c r="CX367" s="847"/>
      <c r="CY367" s="847"/>
      <c r="CZ367" s="847"/>
      <c r="DA367" s="847"/>
      <c r="DB367" s="847"/>
      <c r="DC367" s="847"/>
      <c r="DD367" s="847"/>
      <c r="DE367" s="847"/>
      <c r="DF367" s="847"/>
      <c r="DG367" s="847"/>
      <c r="DH367" s="847"/>
      <c r="DI367" s="847"/>
      <c r="DJ367" s="847"/>
      <c r="DK367" s="847"/>
      <c r="DL367" s="847"/>
      <c r="DM367" s="1212"/>
      <c r="DN367" s="1242">
        <f>'Lead &amp; ANALYSIS'!G6290/9.3</f>
        <v>0.17204301075268816</v>
      </c>
      <c r="DO367" s="1013">
        <f>ROUND(C367*DN367,2)</f>
        <v>0</v>
      </c>
      <c r="DP367" s="847"/>
      <c r="DQ367" s="1013"/>
      <c r="DR367" s="1225"/>
      <c r="DS367" s="1013"/>
      <c r="DT367" s="1225">
        <f>'Lead &amp; ANALYSIS'!G6289/9.3</f>
        <v>0.18817204301075269</v>
      </c>
      <c r="DU367" s="1214">
        <f>ROUND(C367*DT367,2)</f>
        <v>0</v>
      </c>
      <c r="DV367" s="1242"/>
      <c r="DW367" s="1232"/>
      <c r="DX367" s="1222"/>
      <c r="DY367" s="847"/>
      <c r="DZ367" s="847"/>
      <c r="EA367" s="847"/>
      <c r="EB367" s="847"/>
      <c r="EC367" s="847"/>
      <c r="ED367" s="847"/>
      <c r="EE367" s="847"/>
      <c r="EF367" s="847"/>
      <c r="EG367" s="1212"/>
      <c r="EH367" s="847"/>
      <c r="EI367" s="1212"/>
    </row>
    <row r="368" spans="1:139" s="733" customFormat="1" ht="13.5">
      <c r="A368" s="1009"/>
      <c r="B368" s="1212" t="s">
        <v>2067</v>
      </c>
      <c r="C368" s="1213">
        <v>0</v>
      </c>
      <c r="D368" s="1013" t="s">
        <v>92</v>
      </c>
      <c r="E368" s="847"/>
      <c r="F368" s="1013"/>
      <c r="G368" s="847"/>
      <c r="H368" s="1013"/>
      <c r="I368" s="847"/>
      <c r="J368" s="1013"/>
      <c r="K368" s="847"/>
      <c r="L368" s="1013"/>
      <c r="M368" s="847"/>
      <c r="N368" s="1013"/>
      <c r="O368" s="847"/>
      <c r="P368" s="1013"/>
      <c r="Q368" s="847"/>
      <c r="R368" s="847"/>
      <c r="S368" s="847"/>
      <c r="T368" s="847"/>
      <c r="U368" s="847"/>
      <c r="V368" s="847"/>
      <c r="W368" s="847"/>
      <c r="X368" s="847"/>
      <c r="Y368" s="847"/>
      <c r="Z368" s="847"/>
      <c r="AA368" s="847"/>
      <c r="AB368" s="847"/>
      <c r="AC368" s="847"/>
      <c r="AD368" s="847"/>
      <c r="AE368" s="847"/>
      <c r="AF368" s="847"/>
      <c r="AG368" s="847"/>
      <c r="AH368" s="847"/>
      <c r="AI368" s="847"/>
      <c r="AJ368" s="847"/>
      <c r="AK368" s="847"/>
      <c r="AL368" s="847"/>
      <c r="AM368" s="847"/>
      <c r="AN368" s="847"/>
      <c r="AO368" s="847"/>
      <c r="AP368" s="847"/>
      <c r="AQ368" s="847"/>
      <c r="AR368" s="847"/>
      <c r="AS368" s="847"/>
      <c r="AT368" s="847"/>
      <c r="AU368" s="847"/>
      <c r="AV368" s="847"/>
      <c r="AW368" s="847"/>
      <c r="AX368" s="847"/>
      <c r="AY368" s="847">
        <f>AY367</f>
        <v>5.3999999999999999E-2</v>
      </c>
      <c r="AZ368" s="847">
        <f>ROUND(C368*AY368,2)</f>
        <v>0</v>
      </c>
      <c r="BA368" s="847"/>
      <c r="BB368" s="847"/>
      <c r="BC368" s="847"/>
      <c r="BD368" s="847"/>
      <c r="BE368" s="847"/>
      <c r="BF368" s="847"/>
      <c r="BG368" s="847"/>
      <c r="BH368" s="847"/>
      <c r="BI368" s="847">
        <f>BI367</f>
        <v>0.125</v>
      </c>
      <c r="BJ368" s="847">
        <f>ROUND(C368*BI368,2)</f>
        <v>0</v>
      </c>
      <c r="BK368" s="847"/>
      <c r="BL368" s="847"/>
      <c r="BM368" s="847"/>
      <c r="BN368" s="847"/>
      <c r="BO368" s="847"/>
      <c r="BP368" s="847"/>
      <c r="BQ368" s="847"/>
      <c r="BR368" s="847"/>
      <c r="BS368" s="847"/>
      <c r="BT368" s="847"/>
      <c r="BU368" s="847"/>
      <c r="BV368" s="847"/>
      <c r="BW368" s="847"/>
      <c r="BX368" s="847"/>
      <c r="BY368" s="847"/>
      <c r="BZ368" s="847"/>
      <c r="CA368" s="847"/>
      <c r="CB368" s="847"/>
      <c r="CC368" s="847"/>
      <c r="CD368" s="847"/>
      <c r="CE368" s="847"/>
      <c r="CF368" s="847"/>
      <c r="CG368" s="847"/>
      <c r="CH368" s="847"/>
      <c r="CI368" s="847"/>
      <c r="CJ368" s="847"/>
      <c r="CK368" s="847"/>
      <c r="CL368" s="847"/>
      <c r="CM368" s="847"/>
      <c r="CN368" s="847"/>
      <c r="CO368" s="847"/>
      <c r="CP368" s="847"/>
      <c r="CQ368" s="847"/>
      <c r="CR368" s="847"/>
      <c r="CS368" s="847"/>
      <c r="CT368" s="847"/>
      <c r="CU368" s="847"/>
      <c r="CV368" s="847"/>
      <c r="CW368" s="847"/>
      <c r="CX368" s="847"/>
      <c r="CY368" s="847"/>
      <c r="CZ368" s="847"/>
      <c r="DA368" s="847"/>
      <c r="DB368" s="847"/>
      <c r="DC368" s="847"/>
      <c r="DD368" s="847"/>
      <c r="DE368" s="847"/>
      <c r="DF368" s="847"/>
      <c r="DG368" s="847"/>
      <c r="DH368" s="847"/>
      <c r="DI368" s="847"/>
      <c r="DJ368" s="847"/>
      <c r="DK368" s="847"/>
      <c r="DL368" s="847"/>
      <c r="DM368" s="1212"/>
      <c r="DN368" s="1222">
        <f>DN367+DN367*3%</f>
        <v>0.1772043010752688</v>
      </c>
      <c r="DO368" s="1013">
        <f>ROUND(C368*DN368,2)</f>
        <v>0</v>
      </c>
      <c r="DP368" s="847"/>
      <c r="DQ368" s="1013"/>
      <c r="DR368" s="1225"/>
      <c r="DS368" s="1013"/>
      <c r="DT368" s="847">
        <f>DT367+DT367*3%</f>
        <v>0.19381720430107527</v>
      </c>
      <c r="DU368" s="1214">
        <f>ROUND(C368*DT368,2)</f>
        <v>0</v>
      </c>
      <c r="DV368" s="1242"/>
      <c r="DW368" s="1232"/>
      <c r="DX368" s="1222"/>
      <c r="DY368" s="847"/>
      <c r="DZ368" s="847"/>
      <c r="EA368" s="847"/>
      <c r="EB368" s="847"/>
      <c r="EC368" s="847"/>
      <c r="ED368" s="847"/>
      <c r="EE368" s="847"/>
      <c r="EF368" s="847"/>
      <c r="EG368" s="1212"/>
      <c r="EH368" s="847"/>
      <c r="EI368" s="1212"/>
    </row>
    <row r="369" spans="1:139" s="733" customFormat="1" ht="13.5">
      <c r="A369" s="1009">
        <v>123</v>
      </c>
      <c r="B369" s="1212" t="s">
        <v>3104</v>
      </c>
      <c r="C369" s="1213">
        <v>0</v>
      </c>
      <c r="D369" s="1013" t="s">
        <v>92</v>
      </c>
      <c r="E369" s="847"/>
      <c r="F369" s="1013"/>
      <c r="G369" s="847"/>
      <c r="H369" s="1013"/>
      <c r="I369" s="847"/>
      <c r="J369" s="1013"/>
      <c r="K369" s="847"/>
      <c r="L369" s="1013"/>
      <c r="M369" s="847"/>
      <c r="N369" s="1013"/>
      <c r="O369" s="847"/>
      <c r="P369" s="1013"/>
      <c r="Q369" s="847"/>
      <c r="R369" s="847"/>
      <c r="S369" s="847"/>
      <c r="T369" s="847"/>
      <c r="U369" s="847"/>
      <c r="V369" s="847"/>
      <c r="W369" s="847"/>
      <c r="X369" s="847"/>
      <c r="Y369" s="847"/>
      <c r="Z369" s="847"/>
      <c r="AA369" s="847"/>
      <c r="AB369" s="847"/>
      <c r="AC369" s="847"/>
      <c r="AD369" s="847"/>
      <c r="AE369" s="847"/>
      <c r="AF369" s="847"/>
      <c r="AG369" s="847"/>
      <c r="AH369" s="847"/>
      <c r="AI369" s="847"/>
      <c r="AJ369" s="847"/>
      <c r="AK369" s="847"/>
      <c r="AL369" s="847"/>
      <c r="AM369" s="847"/>
      <c r="AN369" s="847"/>
      <c r="AO369" s="847"/>
      <c r="AP369" s="847"/>
      <c r="AQ369" s="847"/>
      <c r="AR369" s="847"/>
      <c r="AS369" s="847"/>
      <c r="AT369" s="847"/>
      <c r="AU369" s="847"/>
      <c r="AV369" s="847"/>
      <c r="AW369" s="847"/>
      <c r="AX369" s="847"/>
      <c r="AY369" s="847"/>
      <c r="AZ369" s="847"/>
      <c r="BA369" s="847"/>
      <c r="BB369" s="847"/>
      <c r="BC369" s="847"/>
      <c r="BD369" s="847"/>
      <c r="BE369" s="847"/>
      <c r="BF369" s="847"/>
      <c r="BG369" s="847"/>
      <c r="BH369" s="847"/>
      <c r="BI369" s="847"/>
      <c r="BJ369" s="847"/>
      <c r="BK369" s="847"/>
      <c r="BL369" s="847"/>
      <c r="BM369" s="847"/>
      <c r="BN369" s="847"/>
      <c r="BO369" s="847"/>
      <c r="BP369" s="847"/>
      <c r="BQ369" s="847"/>
      <c r="BR369" s="847"/>
      <c r="BS369" s="847"/>
      <c r="BT369" s="847"/>
      <c r="BU369" s="847"/>
      <c r="BV369" s="847"/>
      <c r="BW369" s="847"/>
      <c r="BX369" s="847"/>
      <c r="BY369" s="847"/>
      <c r="BZ369" s="847"/>
      <c r="CA369" s="847"/>
      <c r="CB369" s="847"/>
      <c r="CC369" s="847"/>
      <c r="CD369" s="847"/>
      <c r="CE369" s="847"/>
      <c r="CF369" s="847"/>
      <c r="CG369" s="847"/>
      <c r="CH369" s="847"/>
      <c r="CI369" s="847"/>
      <c r="CJ369" s="847"/>
      <c r="CK369" s="847"/>
      <c r="CL369" s="847"/>
      <c r="CM369" s="847"/>
      <c r="CN369" s="847"/>
      <c r="CO369" s="847"/>
      <c r="CP369" s="847"/>
      <c r="CQ369" s="847"/>
      <c r="CR369" s="847"/>
      <c r="CS369" s="847"/>
      <c r="CT369" s="847"/>
      <c r="CU369" s="847"/>
      <c r="CV369" s="847"/>
      <c r="CW369" s="847"/>
      <c r="CX369" s="847"/>
      <c r="CY369" s="847"/>
      <c r="CZ369" s="847"/>
      <c r="DA369" s="847"/>
      <c r="DB369" s="847"/>
      <c r="DC369" s="847"/>
      <c r="DD369" s="847"/>
      <c r="DE369" s="847"/>
      <c r="DF369" s="847"/>
      <c r="DG369" s="847"/>
      <c r="DH369" s="847"/>
      <c r="DI369" s="847"/>
      <c r="DJ369" s="847"/>
      <c r="DK369" s="847"/>
      <c r="DL369" s="847"/>
      <c r="DM369" s="1212"/>
      <c r="DN369" s="1222"/>
      <c r="DO369" s="1013"/>
      <c r="DP369" s="847"/>
      <c r="DQ369" s="1013"/>
      <c r="DR369" s="1225"/>
      <c r="DS369" s="1013"/>
      <c r="DT369" s="1225"/>
      <c r="DU369" s="1214"/>
      <c r="DV369" s="1242"/>
      <c r="DW369" s="1232"/>
      <c r="DX369" s="1222"/>
      <c r="DY369" s="847"/>
      <c r="DZ369" s="847"/>
      <c r="EA369" s="847"/>
      <c r="EB369" s="847"/>
      <c r="EC369" s="847"/>
      <c r="ED369" s="847"/>
      <c r="EE369" s="847"/>
      <c r="EF369" s="847"/>
      <c r="EG369" s="1212"/>
      <c r="EH369" s="847"/>
      <c r="EI369" s="1212"/>
    </row>
    <row r="370" spans="1:139" s="733" customFormat="1" ht="13.5">
      <c r="A370" s="1009"/>
      <c r="B370" s="1212" t="s">
        <v>2066</v>
      </c>
      <c r="C370" s="1213">
        <v>0</v>
      </c>
      <c r="D370" s="1013" t="s">
        <v>92</v>
      </c>
      <c r="E370" s="847"/>
      <c r="F370" s="1013"/>
      <c r="G370" s="847"/>
      <c r="H370" s="1013"/>
      <c r="I370" s="847"/>
      <c r="J370" s="1013"/>
      <c r="K370" s="847"/>
      <c r="L370" s="1013"/>
      <c r="M370" s="847"/>
      <c r="N370" s="1013"/>
      <c r="O370" s="847"/>
      <c r="P370" s="1013"/>
      <c r="Q370" s="847"/>
      <c r="R370" s="847"/>
      <c r="S370" s="847"/>
      <c r="T370" s="847"/>
      <c r="U370" s="847"/>
      <c r="V370" s="847"/>
      <c r="W370" s="847"/>
      <c r="X370" s="847"/>
      <c r="Y370" s="847"/>
      <c r="Z370" s="847"/>
      <c r="AA370" s="847"/>
      <c r="AB370" s="847"/>
      <c r="AC370" s="847"/>
      <c r="AD370" s="847"/>
      <c r="AE370" s="847"/>
      <c r="AF370" s="847"/>
      <c r="AG370" s="847"/>
      <c r="AH370" s="847"/>
      <c r="AI370" s="847"/>
      <c r="AJ370" s="847"/>
      <c r="AK370" s="847"/>
      <c r="AL370" s="847"/>
      <c r="AM370" s="847"/>
      <c r="AN370" s="847"/>
      <c r="AO370" s="847"/>
      <c r="AP370" s="847"/>
      <c r="AQ370" s="847"/>
      <c r="AR370" s="847"/>
      <c r="AS370" s="847">
        <f>'Lead &amp; ANALYSIS'!G6337</f>
        <v>0.28000000000000003</v>
      </c>
      <c r="AT370" s="847">
        <f>ROUND(C370*AS370,2)</f>
        <v>0</v>
      </c>
      <c r="AU370" s="847"/>
      <c r="AV370" s="847"/>
      <c r="AW370" s="847"/>
      <c r="AX370" s="847"/>
      <c r="AY370" s="847"/>
      <c r="AZ370" s="847"/>
      <c r="BA370" s="847"/>
      <c r="BB370" s="847"/>
      <c r="BC370" s="847"/>
      <c r="BD370" s="847"/>
      <c r="BE370" s="847"/>
      <c r="BF370" s="847"/>
      <c r="BG370" s="847"/>
      <c r="BH370" s="847"/>
      <c r="BI370" s="847"/>
      <c r="BJ370" s="847"/>
      <c r="BK370" s="847"/>
      <c r="BL370" s="847"/>
      <c r="BM370" s="847"/>
      <c r="BN370" s="847"/>
      <c r="BO370" s="847"/>
      <c r="BP370" s="847"/>
      <c r="BQ370" s="847"/>
      <c r="BR370" s="847"/>
      <c r="BS370" s="847"/>
      <c r="BT370" s="847"/>
      <c r="BU370" s="847"/>
      <c r="BV370" s="847"/>
      <c r="BW370" s="847"/>
      <c r="BX370" s="847"/>
      <c r="BY370" s="847"/>
      <c r="BZ370" s="847"/>
      <c r="CA370" s="847"/>
      <c r="CB370" s="847"/>
      <c r="CC370" s="847"/>
      <c r="CD370" s="847"/>
      <c r="CE370" s="847"/>
      <c r="CF370" s="847"/>
      <c r="CG370" s="847"/>
      <c r="CH370" s="847"/>
      <c r="CI370" s="847"/>
      <c r="CJ370" s="847"/>
      <c r="CK370" s="847"/>
      <c r="CL370" s="847"/>
      <c r="CM370" s="847"/>
      <c r="CN370" s="847"/>
      <c r="CO370" s="847"/>
      <c r="CP370" s="847"/>
      <c r="CQ370" s="847"/>
      <c r="CR370" s="847"/>
      <c r="CS370" s="847"/>
      <c r="CT370" s="847"/>
      <c r="CU370" s="847"/>
      <c r="CV370" s="847"/>
      <c r="CW370" s="847"/>
      <c r="CX370" s="847"/>
      <c r="CY370" s="847"/>
      <c r="CZ370" s="847"/>
      <c r="DA370" s="847"/>
      <c r="DB370" s="847"/>
      <c r="DC370" s="847"/>
      <c r="DD370" s="847"/>
      <c r="DE370" s="847"/>
      <c r="DF370" s="847"/>
      <c r="DG370" s="847"/>
      <c r="DH370" s="847"/>
      <c r="DI370" s="847"/>
      <c r="DJ370" s="847"/>
      <c r="DK370" s="847"/>
      <c r="DL370" s="847"/>
      <c r="DM370" s="1212"/>
      <c r="DN370" s="1222">
        <f>'Lead &amp; ANALYSIS'!G6331/9.3</f>
        <v>5.3763440860215048E-2</v>
      </c>
      <c r="DO370" s="1013">
        <f>ROUND(C370*DN370,2)</f>
        <v>0</v>
      </c>
      <c r="DP370" s="847"/>
      <c r="DQ370" s="1013"/>
      <c r="DR370" s="1225"/>
      <c r="DS370" s="1013"/>
      <c r="DT370" s="1225"/>
      <c r="DU370" s="1214"/>
      <c r="DV370" s="1242"/>
      <c r="DW370" s="1232"/>
      <c r="DX370" s="1222"/>
      <c r="DY370" s="847"/>
      <c r="DZ370" s="847"/>
      <c r="EA370" s="847"/>
      <c r="EB370" s="847"/>
      <c r="EC370" s="847"/>
      <c r="ED370" s="847"/>
      <c r="EE370" s="847"/>
      <c r="EF370" s="847"/>
      <c r="EG370" s="1212"/>
      <c r="EH370" s="847"/>
      <c r="EI370" s="1212"/>
    </row>
    <row r="371" spans="1:139" s="733" customFormat="1" ht="13.5">
      <c r="A371" s="1009"/>
      <c r="B371" s="1212" t="s">
        <v>2067</v>
      </c>
      <c r="C371" s="1213">
        <v>0</v>
      </c>
      <c r="D371" s="1013" t="s">
        <v>92</v>
      </c>
      <c r="E371" s="847"/>
      <c r="F371" s="1013"/>
      <c r="G371" s="847"/>
      <c r="H371" s="1013"/>
      <c r="I371" s="847"/>
      <c r="J371" s="1013"/>
      <c r="K371" s="847"/>
      <c r="L371" s="1013"/>
      <c r="M371" s="847"/>
      <c r="N371" s="1013"/>
      <c r="O371" s="847"/>
      <c r="P371" s="1013"/>
      <c r="Q371" s="847"/>
      <c r="R371" s="847"/>
      <c r="S371" s="847"/>
      <c r="T371" s="847"/>
      <c r="U371" s="847"/>
      <c r="V371" s="847"/>
      <c r="W371" s="847"/>
      <c r="X371" s="847"/>
      <c r="Y371" s="847"/>
      <c r="Z371" s="847"/>
      <c r="AA371" s="847"/>
      <c r="AB371" s="847"/>
      <c r="AC371" s="847"/>
      <c r="AD371" s="847"/>
      <c r="AE371" s="847"/>
      <c r="AF371" s="847"/>
      <c r="AG371" s="847"/>
      <c r="AH371" s="847"/>
      <c r="AI371" s="847"/>
      <c r="AJ371" s="847"/>
      <c r="AK371" s="847"/>
      <c r="AL371" s="847"/>
      <c r="AM371" s="847"/>
      <c r="AN371" s="847"/>
      <c r="AO371" s="847"/>
      <c r="AP371" s="847"/>
      <c r="AQ371" s="847"/>
      <c r="AR371" s="847"/>
      <c r="AS371" s="847">
        <f>AS370</f>
        <v>0.28000000000000003</v>
      </c>
      <c r="AT371" s="847">
        <f>ROUND(C371*AS371,2)</f>
        <v>0</v>
      </c>
      <c r="AU371" s="847"/>
      <c r="AV371" s="847"/>
      <c r="AW371" s="847"/>
      <c r="AX371" s="847"/>
      <c r="AY371" s="847"/>
      <c r="AZ371" s="847"/>
      <c r="BA371" s="847"/>
      <c r="BB371" s="847"/>
      <c r="BC371" s="847"/>
      <c r="BD371" s="847"/>
      <c r="BE371" s="847"/>
      <c r="BF371" s="847"/>
      <c r="BG371" s="847"/>
      <c r="BH371" s="847"/>
      <c r="BI371" s="847"/>
      <c r="BJ371" s="847"/>
      <c r="BK371" s="847"/>
      <c r="BL371" s="847"/>
      <c r="BM371" s="847"/>
      <c r="BN371" s="847"/>
      <c r="BO371" s="847"/>
      <c r="BP371" s="847"/>
      <c r="BQ371" s="847"/>
      <c r="BR371" s="847"/>
      <c r="BS371" s="847"/>
      <c r="BT371" s="847"/>
      <c r="BU371" s="847"/>
      <c r="BV371" s="847"/>
      <c r="BW371" s="847"/>
      <c r="BX371" s="847"/>
      <c r="BY371" s="847"/>
      <c r="BZ371" s="847"/>
      <c r="CA371" s="847"/>
      <c r="CB371" s="847"/>
      <c r="CC371" s="847"/>
      <c r="CD371" s="847"/>
      <c r="CE371" s="847"/>
      <c r="CF371" s="847"/>
      <c r="CG371" s="847"/>
      <c r="CH371" s="847"/>
      <c r="CI371" s="847"/>
      <c r="CJ371" s="847"/>
      <c r="CK371" s="847"/>
      <c r="CL371" s="847"/>
      <c r="CM371" s="847"/>
      <c r="CN371" s="847"/>
      <c r="CO371" s="847"/>
      <c r="CP371" s="847"/>
      <c r="CQ371" s="847"/>
      <c r="CR371" s="847"/>
      <c r="CS371" s="847"/>
      <c r="CT371" s="847"/>
      <c r="CU371" s="847"/>
      <c r="CV371" s="847"/>
      <c r="CW371" s="847"/>
      <c r="CX371" s="847"/>
      <c r="CY371" s="847"/>
      <c r="CZ371" s="847"/>
      <c r="DA371" s="847"/>
      <c r="DB371" s="847"/>
      <c r="DC371" s="847"/>
      <c r="DD371" s="847"/>
      <c r="DE371" s="847"/>
      <c r="DF371" s="847"/>
      <c r="DG371" s="847"/>
      <c r="DH371" s="847"/>
      <c r="DI371" s="847"/>
      <c r="DJ371" s="847"/>
      <c r="DK371" s="847"/>
      <c r="DL371" s="847"/>
      <c r="DM371" s="1212"/>
      <c r="DN371" s="1222">
        <f>DN370+DN370*3%</f>
        <v>5.5376344086021496E-2</v>
      </c>
      <c r="DO371" s="1013">
        <f>ROUND(C371*DN371,2)</f>
        <v>0</v>
      </c>
      <c r="DP371" s="847"/>
      <c r="DQ371" s="1013"/>
      <c r="DR371" s="1225"/>
      <c r="DS371" s="1013"/>
      <c r="DT371" s="847"/>
      <c r="DU371" s="1214"/>
      <c r="DV371" s="1242"/>
      <c r="DW371" s="1232"/>
      <c r="DX371" s="1222"/>
      <c r="DY371" s="847"/>
      <c r="DZ371" s="847"/>
      <c r="EA371" s="847"/>
      <c r="EB371" s="847"/>
      <c r="EC371" s="847"/>
      <c r="ED371" s="847"/>
      <c r="EE371" s="847"/>
      <c r="EF371" s="847"/>
      <c r="EG371" s="1212"/>
      <c r="EH371" s="847"/>
      <c r="EI371" s="1212"/>
    </row>
    <row r="372" spans="1:139" s="733" customFormat="1" ht="13.5">
      <c r="A372" s="1009">
        <v>124</v>
      </c>
      <c r="B372" s="1212" t="s">
        <v>3105</v>
      </c>
      <c r="C372" s="1213">
        <v>0</v>
      </c>
      <c r="D372" s="1013" t="s">
        <v>92</v>
      </c>
      <c r="E372" s="847"/>
      <c r="F372" s="1013"/>
      <c r="G372" s="847"/>
      <c r="H372" s="1013"/>
      <c r="I372" s="847"/>
      <c r="J372" s="1013"/>
      <c r="K372" s="847"/>
      <c r="L372" s="1013"/>
      <c r="M372" s="847"/>
      <c r="N372" s="1013"/>
      <c r="O372" s="847"/>
      <c r="P372" s="1013"/>
      <c r="Q372" s="847"/>
      <c r="R372" s="847"/>
      <c r="S372" s="847"/>
      <c r="T372" s="847"/>
      <c r="U372" s="847"/>
      <c r="V372" s="847"/>
      <c r="W372" s="847"/>
      <c r="X372" s="847"/>
      <c r="Y372" s="847"/>
      <c r="Z372" s="847"/>
      <c r="AA372" s="847"/>
      <c r="AB372" s="847"/>
      <c r="AC372" s="847"/>
      <c r="AD372" s="847"/>
      <c r="AE372" s="847"/>
      <c r="AF372" s="847"/>
      <c r="AG372" s="847"/>
      <c r="AH372" s="847"/>
      <c r="AI372" s="847"/>
      <c r="AJ372" s="847"/>
      <c r="AK372" s="847"/>
      <c r="AL372" s="847"/>
      <c r="AM372" s="847"/>
      <c r="AN372" s="847"/>
      <c r="AO372" s="847"/>
      <c r="AP372" s="847"/>
      <c r="AQ372" s="847"/>
      <c r="AR372" s="847"/>
      <c r="AS372" s="847"/>
      <c r="AT372" s="847"/>
      <c r="AU372" s="847"/>
      <c r="AV372" s="847"/>
      <c r="AW372" s="847"/>
      <c r="AX372" s="847"/>
      <c r="AY372" s="847"/>
      <c r="AZ372" s="847"/>
      <c r="BA372" s="847"/>
      <c r="BB372" s="847"/>
      <c r="BC372" s="847"/>
      <c r="BD372" s="847"/>
      <c r="BE372" s="847"/>
      <c r="BF372" s="847"/>
      <c r="BG372" s="847"/>
      <c r="BH372" s="847"/>
      <c r="BI372" s="847"/>
      <c r="BJ372" s="847"/>
      <c r="BK372" s="847"/>
      <c r="BL372" s="847"/>
      <c r="BM372" s="847"/>
      <c r="BN372" s="847"/>
      <c r="BO372" s="847"/>
      <c r="BP372" s="847"/>
      <c r="BQ372" s="847"/>
      <c r="BR372" s="847"/>
      <c r="BS372" s="847"/>
      <c r="BT372" s="847"/>
      <c r="BU372" s="847"/>
      <c r="BV372" s="847"/>
      <c r="BW372" s="847"/>
      <c r="BX372" s="847"/>
      <c r="BY372" s="847"/>
      <c r="BZ372" s="847"/>
      <c r="CA372" s="847"/>
      <c r="CB372" s="847"/>
      <c r="CC372" s="847"/>
      <c r="CD372" s="847"/>
      <c r="CE372" s="847"/>
      <c r="CF372" s="847"/>
      <c r="CG372" s="847"/>
      <c r="CH372" s="847"/>
      <c r="CI372" s="847"/>
      <c r="CJ372" s="847"/>
      <c r="CK372" s="847"/>
      <c r="CL372" s="847"/>
      <c r="CM372" s="847"/>
      <c r="CN372" s="847"/>
      <c r="CO372" s="847"/>
      <c r="CP372" s="847"/>
      <c r="CQ372" s="847"/>
      <c r="CR372" s="847"/>
      <c r="CS372" s="847"/>
      <c r="CT372" s="847"/>
      <c r="CU372" s="847"/>
      <c r="CV372" s="847"/>
      <c r="CW372" s="847"/>
      <c r="CX372" s="847"/>
      <c r="CY372" s="847"/>
      <c r="CZ372" s="847"/>
      <c r="DA372" s="847"/>
      <c r="DB372" s="847"/>
      <c r="DC372" s="847"/>
      <c r="DD372" s="847"/>
      <c r="DE372" s="847"/>
      <c r="DF372" s="847"/>
      <c r="DG372" s="847"/>
      <c r="DH372" s="847"/>
      <c r="DI372" s="847"/>
      <c r="DJ372" s="847"/>
      <c r="DK372" s="847"/>
      <c r="DL372" s="847"/>
      <c r="DM372" s="1212"/>
      <c r="DN372" s="1222"/>
      <c r="DO372" s="1013"/>
      <c r="DP372" s="847"/>
      <c r="DQ372" s="1013"/>
      <c r="DR372" s="1225"/>
      <c r="DS372" s="1013"/>
      <c r="DT372" s="1225"/>
      <c r="DU372" s="1214"/>
      <c r="DV372" s="1242"/>
      <c r="DW372" s="1232"/>
      <c r="DX372" s="1222"/>
      <c r="DY372" s="847"/>
      <c r="DZ372" s="847"/>
      <c r="EA372" s="847"/>
      <c r="EB372" s="847"/>
      <c r="EC372" s="847"/>
      <c r="ED372" s="847"/>
      <c r="EE372" s="847"/>
      <c r="EF372" s="847"/>
      <c r="EG372" s="1212"/>
      <c r="EH372" s="847"/>
      <c r="EI372" s="1212"/>
    </row>
    <row r="373" spans="1:139" s="733" customFormat="1" ht="13.5">
      <c r="A373" s="1009"/>
      <c r="B373" s="1212" t="s">
        <v>2066</v>
      </c>
      <c r="C373" s="1213">
        <v>0</v>
      </c>
      <c r="D373" s="1013" t="s">
        <v>92</v>
      </c>
      <c r="E373" s="847"/>
      <c r="F373" s="1013"/>
      <c r="G373" s="847"/>
      <c r="H373" s="1013"/>
      <c r="I373" s="847"/>
      <c r="J373" s="1013"/>
      <c r="K373" s="847"/>
      <c r="L373" s="1013"/>
      <c r="M373" s="847"/>
      <c r="N373" s="1013"/>
      <c r="O373" s="847"/>
      <c r="P373" s="1013"/>
      <c r="Q373" s="847"/>
      <c r="R373" s="847"/>
      <c r="S373" s="847"/>
      <c r="T373" s="847"/>
      <c r="U373" s="847"/>
      <c r="V373" s="847"/>
      <c r="W373" s="847"/>
      <c r="X373" s="847"/>
      <c r="Y373" s="847"/>
      <c r="Z373" s="847"/>
      <c r="AA373" s="847"/>
      <c r="AB373" s="847"/>
      <c r="AC373" s="847"/>
      <c r="AD373" s="847"/>
      <c r="AE373" s="847"/>
      <c r="AF373" s="847"/>
      <c r="AG373" s="847"/>
      <c r="AH373" s="847"/>
      <c r="AI373" s="847"/>
      <c r="AJ373" s="847"/>
      <c r="AK373" s="847"/>
      <c r="AL373" s="847"/>
      <c r="AM373" s="847"/>
      <c r="AN373" s="847"/>
      <c r="AO373" s="847"/>
      <c r="AP373" s="847"/>
      <c r="AQ373" s="847"/>
      <c r="AR373" s="847"/>
      <c r="AS373" s="847"/>
      <c r="AT373" s="847"/>
      <c r="AU373" s="847"/>
      <c r="AV373" s="847"/>
      <c r="AW373" s="847"/>
      <c r="AX373" s="847"/>
      <c r="AY373" s="847">
        <f>'Lead &amp; ANALYSIS'!G6381</f>
        <v>7.4999999999999997E-2</v>
      </c>
      <c r="AZ373" s="847">
        <f>ROUND(C373*AY373,2)</f>
        <v>0</v>
      </c>
      <c r="BA373" s="847"/>
      <c r="BB373" s="847"/>
      <c r="BC373" s="847"/>
      <c r="BD373" s="847"/>
      <c r="BE373" s="847"/>
      <c r="BF373" s="847"/>
      <c r="BG373" s="847"/>
      <c r="BH373" s="847"/>
      <c r="BI373" s="847"/>
      <c r="BJ373" s="847"/>
      <c r="BK373" s="847"/>
      <c r="BL373" s="847"/>
      <c r="BM373" s="847"/>
      <c r="BN373" s="847"/>
      <c r="BO373" s="847"/>
      <c r="BP373" s="847"/>
      <c r="BQ373" s="847"/>
      <c r="BR373" s="847"/>
      <c r="BS373" s="847"/>
      <c r="BT373" s="847"/>
      <c r="BU373" s="847"/>
      <c r="BV373" s="847"/>
      <c r="BW373" s="847"/>
      <c r="BX373" s="847"/>
      <c r="BY373" s="847"/>
      <c r="BZ373" s="847"/>
      <c r="CA373" s="847"/>
      <c r="CB373" s="847"/>
      <c r="CC373" s="847"/>
      <c r="CD373" s="847"/>
      <c r="CE373" s="847"/>
      <c r="CF373" s="847"/>
      <c r="CG373" s="847"/>
      <c r="CH373" s="847"/>
      <c r="CI373" s="847"/>
      <c r="CJ373" s="847"/>
      <c r="CK373" s="847"/>
      <c r="CL373" s="847"/>
      <c r="CM373" s="847"/>
      <c r="CN373" s="847"/>
      <c r="CO373" s="847"/>
      <c r="CP373" s="847"/>
      <c r="CQ373" s="847"/>
      <c r="CR373" s="847"/>
      <c r="CS373" s="847"/>
      <c r="CT373" s="847"/>
      <c r="CU373" s="847"/>
      <c r="CV373" s="847"/>
      <c r="CW373" s="847"/>
      <c r="CX373" s="847"/>
      <c r="CY373" s="847"/>
      <c r="CZ373" s="847"/>
      <c r="DA373" s="847"/>
      <c r="DB373" s="847"/>
      <c r="DC373" s="847"/>
      <c r="DD373" s="847"/>
      <c r="DE373" s="847"/>
      <c r="DF373" s="847"/>
      <c r="DG373" s="847"/>
      <c r="DH373" s="847"/>
      <c r="DI373" s="847"/>
      <c r="DJ373" s="847"/>
      <c r="DK373" s="847"/>
      <c r="DL373" s="847"/>
      <c r="DM373" s="1212"/>
      <c r="DN373" s="1222">
        <f>'Lead &amp; ANALYSIS'!G6375/9.3</f>
        <v>5.3763440860215048E-2</v>
      </c>
      <c r="DO373" s="1013">
        <f>ROUND(C373*DN373,2)</f>
        <v>0</v>
      </c>
      <c r="DP373" s="847"/>
      <c r="DQ373" s="1013"/>
      <c r="DR373" s="1225"/>
      <c r="DS373" s="1013"/>
      <c r="DT373" s="1225">
        <f>'Lead &amp; ANALYSIS'!G6374/9.3</f>
        <v>5.3763440860215048E-2</v>
      </c>
      <c r="DU373" s="1214">
        <f>ROUND(C373*DT373,2)</f>
        <v>0</v>
      </c>
      <c r="DV373" s="1242"/>
      <c r="DW373" s="1232"/>
      <c r="DX373" s="1222"/>
      <c r="DY373" s="847"/>
      <c r="DZ373" s="847"/>
      <c r="EA373" s="847"/>
      <c r="EB373" s="847"/>
      <c r="EC373" s="847"/>
      <c r="ED373" s="847"/>
      <c r="EE373" s="847"/>
      <c r="EF373" s="847"/>
      <c r="EG373" s="1212"/>
      <c r="EH373" s="847"/>
      <c r="EI373" s="1212"/>
    </row>
    <row r="374" spans="1:139" s="733" customFormat="1" ht="13.5">
      <c r="A374" s="1009"/>
      <c r="B374" s="1212" t="s">
        <v>2067</v>
      </c>
      <c r="C374" s="1213">
        <v>0</v>
      </c>
      <c r="D374" s="1013" t="s">
        <v>92</v>
      </c>
      <c r="E374" s="847"/>
      <c r="F374" s="1013"/>
      <c r="G374" s="847"/>
      <c r="H374" s="1013"/>
      <c r="I374" s="847"/>
      <c r="J374" s="1013"/>
      <c r="K374" s="847"/>
      <c r="L374" s="1013"/>
      <c r="M374" s="847"/>
      <c r="N374" s="1013"/>
      <c r="O374" s="847"/>
      <c r="P374" s="1013"/>
      <c r="Q374" s="847"/>
      <c r="R374" s="847"/>
      <c r="S374" s="847"/>
      <c r="T374" s="847"/>
      <c r="U374" s="847"/>
      <c r="V374" s="847"/>
      <c r="W374" s="847"/>
      <c r="X374" s="847"/>
      <c r="Y374" s="847"/>
      <c r="Z374" s="847"/>
      <c r="AA374" s="847"/>
      <c r="AB374" s="847"/>
      <c r="AC374" s="847"/>
      <c r="AD374" s="847"/>
      <c r="AE374" s="847"/>
      <c r="AF374" s="847"/>
      <c r="AG374" s="847"/>
      <c r="AH374" s="847"/>
      <c r="AI374" s="847"/>
      <c r="AJ374" s="847"/>
      <c r="AK374" s="847"/>
      <c r="AL374" s="847"/>
      <c r="AM374" s="847"/>
      <c r="AN374" s="847"/>
      <c r="AO374" s="847"/>
      <c r="AP374" s="847"/>
      <c r="AQ374" s="847"/>
      <c r="AR374" s="847"/>
      <c r="AS374" s="847"/>
      <c r="AT374" s="847"/>
      <c r="AU374" s="847"/>
      <c r="AV374" s="847"/>
      <c r="AW374" s="847"/>
      <c r="AX374" s="847"/>
      <c r="AY374" s="847">
        <f>AY373</f>
        <v>7.4999999999999997E-2</v>
      </c>
      <c r="AZ374" s="847">
        <f>ROUND(C374*AY374,2)</f>
        <v>0</v>
      </c>
      <c r="BA374" s="847"/>
      <c r="BB374" s="847"/>
      <c r="BC374" s="847"/>
      <c r="BD374" s="847"/>
      <c r="BE374" s="847"/>
      <c r="BF374" s="847"/>
      <c r="BG374" s="847"/>
      <c r="BH374" s="847"/>
      <c r="BI374" s="847"/>
      <c r="BJ374" s="847"/>
      <c r="BK374" s="847"/>
      <c r="BL374" s="847"/>
      <c r="BM374" s="847"/>
      <c r="BN374" s="847"/>
      <c r="BO374" s="847"/>
      <c r="BP374" s="847"/>
      <c r="BQ374" s="847"/>
      <c r="BR374" s="847"/>
      <c r="BS374" s="847"/>
      <c r="BT374" s="847"/>
      <c r="BU374" s="847"/>
      <c r="BV374" s="847"/>
      <c r="BW374" s="847"/>
      <c r="BX374" s="847"/>
      <c r="BY374" s="847"/>
      <c r="BZ374" s="847"/>
      <c r="CA374" s="847"/>
      <c r="CB374" s="847"/>
      <c r="CC374" s="847"/>
      <c r="CD374" s="847"/>
      <c r="CE374" s="847"/>
      <c r="CF374" s="847"/>
      <c r="CG374" s="847"/>
      <c r="CH374" s="847"/>
      <c r="CI374" s="847"/>
      <c r="CJ374" s="847"/>
      <c r="CK374" s="847"/>
      <c r="CL374" s="847"/>
      <c r="CM374" s="847"/>
      <c r="CN374" s="847"/>
      <c r="CO374" s="847"/>
      <c r="CP374" s="847"/>
      <c r="CQ374" s="847"/>
      <c r="CR374" s="847"/>
      <c r="CS374" s="847"/>
      <c r="CT374" s="847"/>
      <c r="CU374" s="847"/>
      <c r="CV374" s="847"/>
      <c r="CW374" s="847"/>
      <c r="CX374" s="847"/>
      <c r="CY374" s="847"/>
      <c r="CZ374" s="847"/>
      <c r="DA374" s="847"/>
      <c r="DB374" s="847"/>
      <c r="DC374" s="847"/>
      <c r="DD374" s="847"/>
      <c r="DE374" s="847"/>
      <c r="DF374" s="847"/>
      <c r="DG374" s="847"/>
      <c r="DH374" s="847"/>
      <c r="DI374" s="847"/>
      <c r="DJ374" s="847"/>
      <c r="DK374" s="847"/>
      <c r="DL374" s="847"/>
      <c r="DM374" s="1212"/>
      <c r="DN374" s="1222">
        <f>DN373+DN373*3%</f>
        <v>5.5376344086021496E-2</v>
      </c>
      <c r="DO374" s="1013">
        <f>ROUND(C374*DN374,2)</f>
        <v>0</v>
      </c>
      <c r="DP374" s="847"/>
      <c r="DQ374" s="1013"/>
      <c r="DR374" s="1225"/>
      <c r="DS374" s="1013"/>
      <c r="DT374" s="847">
        <f>DT373+DT373*3%</f>
        <v>5.5376344086021496E-2</v>
      </c>
      <c r="DU374" s="1214">
        <f>ROUND(C374*DT374,2)</f>
        <v>0</v>
      </c>
      <c r="DV374" s="1242"/>
      <c r="DW374" s="1232"/>
      <c r="DX374" s="1222"/>
      <c r="DY374" s="847"/>
      <c r="DZ374" s="847"/>
      <c r="EA374" s="847"/>
      <c r="EB374" s="847"/>
      <c r="EC374" s="847"/>
      <c r="ED374" s="847"/>
      <c r="EE374" s="847"/>
      <c r="EF374" s="847"/>
      <c r="EG374" s="1212"/>
      <c r="EH374" s="847"/>
      <c r="EI374" s="1212"/>
    </row>
    <row r="375" spans="1:139" s="733" customFormat="1" ht="13.5">
      <c r="A375" s="1009">
        <v>125</v>
      </c>
      <c r="B375" s="1212" t="s">
        <v>1610</v>
      </c>
      <c r="C375" s="1213">
        <v>0</v>
      </c>
      <c r="D375" s="1013" t="s">
        <v>92</v>
      </c>
      <c r="E375" s="847"/>
      <c r="F375" s="1013"/>
      <c r="G375" s="847"/>
      <c r="H375" s="1013"/>
      <c r="I375" s="847"/>
      <c r="J375" s="1013"/>
      <c r="K375" s="847"/>
      <c r="L375" s="1013"/>
      <c r="M375" s="847"/>
      <c r="N375" s="1013"/>
      <c r="O375" s="847"/>
      <c r="P375" s="1013"/>
      <c r="Q375" s="847"/>
      <c r="R375" s="847"/>
      <c r="S375" s="847"/>
      <c r="T375" s="847"/>
      <c r="U375" s="847"/>
      <c r="V375" s="847"/>
      <c r="W375" s="847"/>
      <c r="X375" s="847"/>
      <c r="Y375" s="847"/>
      <c r="Z375" s="847"/>
      <c r="AA375" s="847"/>
      <c r="AB375" s="847"/>
      <c r="AC375" s="847"/>
      <c r="AD375" s="847"/>
      <c r="AE375" s="847"/>
      <c r="AF375" s="847"/>
      <c r="AG375" s="847"/>
      <c r="AH375" s="847"/>
      <c r="AI375" s="847"/>
      <c r="AJ375" s="847"/>
      <c r="AK375" s="847"/>
      <c r="AL375" s="847"/>
      <c r="AM375" s="847"/>
      <c r="AN375" s="847"/>
      <c r="AO375" s="847"/>
      <c r="AP375" s="847"/>
      <c r="AQ375" s="847"/>
      <c r="AR375" s="847"/>
      <c r="AS375" s="847"/>
      <c r="AT375" s="847"/>
      <c r="AU375" s="847"/>
      <c r="AV375" s="847"/>
      <c r="AW375" s="847"/>
      <c r="AX375" s="847"/>
      <c r="AY375" s="847"/>
      <c r="AZ375" s="847"/>
      <c r="BA375" s="847"/>
      <c r="BB375" s="847"/>
      <c r="BC375" s="847"/>
      <c r="BD375" s="847"/>
      <c r="BE375" s="847"/>
      <c r="BF375" s="847"/>
      <c r="BG375" s="847"/>
      <c r="BH375" s="847"/>
      <c r="BI375" s="847"/>
      <c r="BJ375" s="847"/>
      <c r="BK375" s="847"/>
      <c r="BL375" s="847"/>
      <c r="BM375" s="847"/>
      <c r="BN375" s="847"/>
      <c r="BO375" s="847"/>
      <c r="BP375" s="847"/>
      <c r="BQ375" s="847"/>
      <c r="BR375" s="847"/>
      <c r="BS375" s="847"/>
      <c r="BT375" s="847"/>
      <c r="BU375" s="847"/>
      <c r="BV375" s="847"/>
      <c r="BW375" s="847"/>
      <c r="BX375" s="847"/>
      <c r="BY375" s="847"/>
      <c r="BZ375" s="847"/>
      <c r="CA375" s="847"/>
      <c r="CB375" s="847"/>
      <c r="CC375" s="847"/>
      <c r="CD375" s="847"/>
      <c r="CE375" s="847"/>
      <c r="CF375" s="847"/>
      <c r="CG375" s="847"/>
      <c r="CH375" s="847"/>
      <c r="CI375" s="847"/>
      <c r="CJ375" s="847"/>
      <c r="CK375" s="847"/>
      <c r="CL375" s="847"/>
      <c r="CM375" s="847"/>
      <c r="CN375" s="847"/>
      <c r="CO375" s="847"/>
      <c r="CP375" s="847"/>
      <c r="CQ375" s="847"/>
      <c r="CR375" s="847"/>
      <c r="CS375" s="847"/>
      <c r="CT375" s="847"/>
      <c r="CU375" s="847"/>
      <c r="CV375" s="847"/>
      <c r="CW375" s="847"/>
      <c r="CX375" s="847"/>
      <c r="CY375" s="847"/>
      <c r="CZ375" s="847"/>
      <c r="DA375" s="847"/>
      <c r="DB375" s="847"/>
      <c r="DC375" s="847"/>
      <c r="DD375" s="847"/>
      <c r="DE375" s="847"/>
      <c r="DF375" s="847"/>
      <c r="DG375" s="847"/>
      <c r="DH375" s="847"/>
      <c r="DI375" s="847"/>
      <c r="DJ375" s="847"/>
      <c r="DK375" s="847"/>
      <c r="DL375" s="847"/>
      <c r="DM375" s="1212"/>
      <c r="DN375" s="1222"/>
      <c r="DO375" s="1013"/>
      <c r="DP375" s="847"/>
      <c r="DQ375" s="1013"/>
      <c r="DR375" s="1225"/>
      <c r="DS375" s="1013"/>
      <c r="DT375" s="1225"/>
      <c r="DU375" s="1214"/>
      <c r="DV375" s="1242"/>
      <c r="DW375" s="1232"/>
      <c r="DX375" s="1222"/>
      <c r="DY375" s="847"/>
      <c r="DZ375" s="847"/>
      <c r="EA375" s="847"/>
      <c r="EB375" s="847"/>
      <c r="EC375" s="847"/>
      <c r="ED375" s="847"/>
      <c r="EE375" s="847"/>
      <c r="EF375" s="847"/>
      <c r="EG375" s="1212"/>
      <c r="EH375" s="847"/>
      <c r="EI375" s="1212"/>
    </row>
    <row r="376" spans="1:139" s="733" customFormat="1" ht="13.5">
      <c r="A376" s="1009"/>
      <c r="B376" s="1212" t="s">
        <v>2066</v>
      </c>
      <c r="C376" s="1213">
        <v>0</v>
      </c>
      <c r="D376" s="1013" t="s">
        <v>92</v>
      </c>
      <c r="E376" s="847"/>
      <c r="F376" s="1013"/>
      <c r="G376" s="847"/>
      <c r="H376" s="1013"/>
      <c r="I376" s="847"/>
      <c r="J376" s="1013"/>
      <c r="K376" s="847"/>
      <c r="L376" s="1013"/>
      <c r="M376" s="847"/>
      <c r="N376" s="1013"/>
      <c r="O376" s="847"/>
      <c r="P376" s="1013"/>
      <c r="Q376" s="847"/>
      <c r="R376" s="847"/>
      <c r="S376" s="847"/>
      <c r="T376" s="847"/>
      <c r="U376" s="847"/>
      <c r="V376" s="847"/>
      <c r="W376" s="847"/>
      <c r="X376" s="847"/>
      <c r="Y376" s="847"/>
      <c r="Z376" s="847"/>
      <c r="AA376" s="847"/>
      <c r="AB376" s="847"/>
      <c r="AC376" s="847"/>
      <c r="AD376" s="847"/>
      <c r="AE376" s="847"/>
      <c r="AF376" s="847"/>
      <c r="AG376" s="847"/>
      <c r="AH376" s="847"/>
      <c r="AI376" s="847"/>
      <c r="AJ376" s="847"/>
      <c r="AK376" s="847"/>
      <c r="AL376" s="847"/>
      <c r="AM376" s="847"/>
      <c r="AN376" s="847"/>
      <c r="AO376" s="847"/>
      <c r="AP376" s="847"/>
      <c r="AQ376" s="847"/>
      <c r="AR376" s="847"/>
      <c r="AS376" s="847"/>
      <c r="AT376" s="847"/>
      <c r="AU376" s="847"/>
      <c r="AV376" s="847"/>
      <c r="AW376" s="847"/>
      <c r="AX376" s="847"/>
      <c r="AY376" s="847"/>
      <c r="AZ376" s="847"/>
      <c r="BA376" s="847"/>
      <c r="BB376" s="847"/>
      <c r="BC376" s="847"/>
      <c r="BD376" s="847"/>
      <c r="BE376" s="847"/>
      <c r="BF376" s="847"/>
      <c r="BG376" s="847"/>
      <c r="BH376" s="847"/>
      <c r="BI376" s="847">
        <f>'Lead &amp; ANALYSIS'!G6426</f>
        <v>0.125</v>
      </c>
      <c r="BJ376" s="847">
        <f>ROUND(C376*BI376,2)</f>
        <v>0</v>
      </c>
      <c r="BK376" s="847"/>
      <c r="BL376" s="847"/>
      <c r="BM376" s="847"/>
      <c r="BN376" s="847"/>
      <c r="BO376" s="847"/>
      <c r="BP376" s="847"/>
      <c r="BQ376" s="847"/>
      <c r="BR376" s="847"/>
      <c r="BS376" s="847"/>
      <c r="BT376" s="847"/>
      <c r="BU376" s="847"/>
      <c r="BV376" s="847"/>
      <c r="BW376" s="847"/>
      <c r="BX376" s="847"/>
      <c r="BY376" s="847"/>
      <c r="BZ376" s="847"/>
      <c r="CA376" s="847"/>
      <c r="CB376" s="847"/>
      <c r="CC376" s="847"/>
      <c r="CD376" s="847"/>
      <c r="CE376" s="847"/>
      <c r="CF376" s="847"/>
      <c r="CG376" s="847"/>
      <c r="CH376" s="847"/>
      <c r="CI376" s="847"/>
      <c r="CJ376" s="847"/>
      <c r="CK376" s="847"/>
      <c r="CL376" s="847"/>
      <c r="CM376" s="847"/>
      <c r="CN376" s="847"/>
      <c r="CO376" s="847"/>
      <c r="CP376" s="847"/>
      <c r="CQ376" s="847"/>
      <c r="CR376" s="847"/>
      <c r="CS376" s="847"/>
      <c r="CT376" s="847"/>
      <c r="CU376" s="847"/>
      <c r="CV376" s="847"/>
      <c r="CW376" s="847"/>
      <c r="CX376" s="847"/>
      <c r="CY376" s="847"/>
      <c r="CZ376" s="847"/>
      <c r="DA376" s="847"/>
      <c r="DB376" s="847"/>
      <c r="DC376" s="847"/>
      <c r="DD376" s="847"/>
      <c r="DE376" s="847"/>
      <c r="DF376" s="847"/>
      <c r="DG376" s="847"/>
      <c r="DH376" s="847"/>
      <c r="DI376" s="847"/>
      <c r="DJ376" s="847"/>
      <c r="DK376" s="847"/>
      <c r="DL376" s="847"/>
      <c r="DM376" s="1212"/>
      <c r="DN376" s="1222">
        <f>'Lead &amp; ANALYSIS'!G6419/9.3</f>
        <v>0.11827956989247312</v>
      </c>
      <c r="DO376" s="1013">
        <f>ROUND(C376*DN376,2)</f>
        <v>0</v>
      </c>
      <c r="DP376" s="847"/>
      <c r="DQ376" s="1013"/>
      <c r="DR376" s="1225"/>
      <c r="DS376" s="1013"/>
      <c r="DT376" s="1225">
        <f>'Lead &amp; ANALYSIS'!G6418/9.3</f>
        <v>0.13440860215053763</v>
      </c>
      <c r="DU376" s="1214">
        <f>ROUND(C376*DT376,2)</f>
        <v>0</v>
      </c>
      <c r="DV376" s="1242"/>
      <c r="DW376" s="1232"/>
      <c r="DX376" s="1222"/>
      <c r="DY376" s="847"/>
      <c r="DZ376" s="847"/>
      <c r="EA376" s="847"/>
      <c r="EB376" s="847"/>
      <c r="EC376" s="847"/>
      <c r="ED376" s="847"/>
      <c r="EE376" s="847"/>
      <c r="EF376" s="847"/>
      <c r="EG376" s="1212"/>
      <c r="EH376" s="847"/>
      <c r="EI376" s="1212"/>
    </row>
    <row r="377" spans="1:139" s="733" customFormat="1" ht="13.5">
      <c r="A377" s="1009"/>
      <c r="B377" s="1212" t="s">
        <v>2067</v>
      </c>
      <c r="C377" s="1213">
        <v>0</v>
      </c>
      <c r="D377" s="1013" t="s">
        <v>92</v>
      </c>
      <c r="E377" s="847"/>
      <c r="F377" s="1013"/>
      <c r="G377" s="847"/>
      <c r="H377" s="1013"/>
      <c r="I377" s="847"/>
      <c r="J377" s="1013"/>
      <c r="K377" s="847"/>
      <c r="L377" s="1013"/>
      <c r="M377" s="847"/>
      <c r="N377" s="1013"/>
      <c r="O377" s="847"/>
      <c r="P377" s="1013"/>
      <c r="Q377" s="847"/>
      <c r="R377" s="847"/>
      <c r="S377" s="847"/>
      <c r="T377" s="847"/>
      <c r="U377" s="847"/>
      <c r="V377" s="847"/>
      <c r="W377" s="847"/>
      <c r="X377" s="847"/>
      <c r="Y377" s="847"/>
      <c r="Z377" s="847"/>
      <c r="AA377" s="847"/>
      <c r="AB377" s="847"/>
      <c r="AC377" s="847"/>
      <c r="AD377" s="847"/>
      <c r="AE377" s="847"/>
      <c r="AF377" s="847"/>
      <c r="AG377" s="847"/>
      <c r="AH377" s="847"/>
      <c r="AI377" s="847"/>
      <c r="AJ377" s="847"/>
      <c r="AK377" s="847"/>
      <c r="AL377" s="847"/>
      <c r="AM377" s="847"/>
      <c r="AN377" s="847"/>
      <c r="AO377" s="847"/>
      <c r="AP377" s="847"/>
      <c r="AQ377" s="847"/>
      <c r="AR377" s="847"/>
      <c r="AS377" s="847"/>
      <c r="AT377" s="847"/>
      <c r="AU377" s="847"/>
      <c r="AV377" s="847"/>
      <c r="AW377" s="847"/>
      <c r="AX377" s="847"/>
      <c r="AY377" s="847"/>
      <c r="AZ377" s="847"/>
      <c r="BA377" s="847"/>
      <c r="BB377" s="847"/>
      <c r="BC377" s="847"/>
      <c r="BD377" s="847"/>
      <c r="BE377" s="847"/>
      <c r="BF377" s="847"/>
      <c r="BG377" s="847"/>
      <c r="BH377" s="847"/>
      <c r="BI377" s="847">
        <f>BI376</f>
        <v>0.125</v>
      </c>
      <c r="BJ377" s="847">
        <f>ROUND(C377*BI377,2)</f>
        <v>0</v>
      </c>
      <c r="BK377" s="847"/>
      <c r="BL377" s="847"/>
      <c r="BM377" s="847"/>
      <c r="BN377" s="847"/>
      <c r="BO377" s="847"/>
      <c r="BP377" s="847"/>
      <c r="BQ377" s="847"/>
      <c r="BR377" s="847"/>
      <c r="BS377" s="847"/>
      <c r="BT377" s="847"/>
      <c r="BU377" s="847"/>
      <c r="BV377" s="847"/>
      <c r="BW377" s="847"/>
      <c r="BX377" s="847"/>
      <c r="BY377" s="847"/>
      <c r="BZ377" s="847"/>
      <c r="CA377" s="847"/>
      <c r="CB377" s="847"/>
      <c r="CC377" s="847"/>
      <c r="CD377" s="847"/>
      <c r="CE377" s="847"/>
      <c r="CF377" s="847"/>
      <c r="CG377" s="847"/>
      <c r="CH377" s="847"/>
      <c r="CI377" s="847"/>
      <c r="CJ377" s="847"/>
      <c r="CK377" s="847"/>
      <c r="CL377" s="847"/>
      <c r="CM377" s="847"/>
      <c r="CN377" s="847"/>
      <c r="CO377" s="847"/>
      <c r="CP377" s="847"/>
      <c r="CQ377" s="847"/>
      <c r="CR377" s="847"/>
      <c r="CS377" s="847"/>
      <c r="CT377" s="847"/>
      <c r="CU377" s="847"/>
      <c r="CV377" s="847"/>
      <c r="CW377" s="847"/>
      <c r="CX377" s="847"/>
      <c r="CY377" s="847"/>
      <c r="CZ377" s="847"/>
      <c r="DA377" s="847"/>
      <c r="DB377" s="847"/>
      <c r="DC377" s="847"/>
      <c r="DD377" s="847"/>
      <c r="DE377" s="847"/>
      <c r="DF377" s="847"/>
      <c r="DG377" s="847"/>
      <c r="DH377" s="847"/>
      <c r="DI377" s="847"/>
      <c r="DJ377" s="847"/>
      <c r="DK377" s="847"/>
      <c r="DL377" s="847"/>
      <c r="DM377" s="1212"/>
      <c r="DN377" s="1222">
        <f>DN376+DN376*3%</f>
        <v>0.12182795698924732</v>
      </c>
      <c r="DO377" s="1013">
        <f>ROUND(C377*DN377,2)</f>
        <v>0</v>
      </c>
      <c r="DP377" s="847"/>
      <c r="DQ377" s="1013"/>
      <c r="DR377" s="1225"/>
      <c r="DS377" s="1013"/>
      <c r="DT377" s="847">
        <f>DT376+DT376*3%</f>
        <v>0.13844086021505375</v>
      </c>
      <c r="DU377" s="1214">
        <f>ROUND(C377*DT377,2)</f>
        <v>0</v>
      </c>
      <c r="DV377" s="1242"/>
      <c r="DW377" s="1232"/>
      <c r="DX377" s="1222"/>
      <c r="DY377" s="847"/>
      <c r="DZ377" s="847"/>
      <c r="EA377" s="847"/>
      <c r="EB377" s="847"/>
      <c r="EC377" s="847"/>
      <c r="ED377" s="847"/>
      <c r="EE377" s="847"/>
      <c r="EF377" s="847"/>
      <c r="EG377" s="1212"/>
      <c r="EH377" s="847"/>
      <c r="EI377" s="1212"/>
    </row>
    <row r="378" spans="1:139" s="733" customFormat="1" ht="13.5">
      <c r="A378" s="1009">
        <v>126</v>
      </c>
      <c r="B378" s="1212" t="s">
        <v>3106</v>
      </c>
      <c r="C378" s="1213">
        <v>0</v>
      </c>
      <c r="D378" s="1013" t="s">
        <v>92</v>
      </c>
      <c r="E378" s="847"/>
      <c r="F378" s="1013"/>
      <c r="G378" s="847"/>
      <c r="H378" s="1013"/>
      <c r="I378" s="847"/>
      <c r="J378" s="1013"/>
      <c r="K378" s="847"/>
      <c r="L378" s="1013"/>
      <c r="M378" s="847"/>
      <c r="N378" s="1013"/>
      <c r="O378" s="847"/>
      <c r="P378" s="1013"/>
      <c r="Q378" s="847"/>
      <c r="R378" s="847"/>
      <c r="S378" s="847"/>
      <c r="T378" s="847"/>
      <c r="U378" s="847"/>
      <c r="V378" s="847"/>
      <c r="W378" s="847"/>
      <c r="X378" s="847"/>
      <c r="Y378" s="847"/>
      <c r="Z378" s="847"/>
      <c r="AA378" s="847"/>
      <c r="AB378" s="847"/>
      <c r="AC378" s="847"/>
      <c r="AD378" s="847"/>
      <c r="AE378" s="847"/>
      <c r="AF378" s="847"/>
      <c r="AG378" s="847"/>
      <c r="AH378" s="847"/>
      <c r="AI378" s="847"/>
      <c r="AJ378" s="847"/>
      <c r="AK378" s="847"/>
      <c r="AL378" s="847"/>
      <c r="AM378" s="847"/>
      <c r="AN378" s="847"/>
      <c r="AO378" s="847"/>
      <c r="AP378" s="847"/>
      <c r="AQ378" s="847"/>
      <c r="AR378" s="847"/>
      <c r="AS378" s="847"/>
      <c r="AT378" s="847"/>
      <c r="AU378" s="847"/>
      <c r="AV378" s="847"/>
      <c r="AW378" s="847"/>
      <c r="AX378" s="847"/>
      <c r="AY378" s="847"/>
      <c r="AZ378" s="847"/>
      <c r="BA378" s="847"/>
      <c r="BB378" s="847"/>
      <c r="BC378" s="847"/>
      <c r="BD378" s="847"/>
      <c r="BE378" s="847"/>
      <c r="BF378" s="847"/>
      <c r="BG378" s="847"/>
      <c r="BH378" s="847"/>
      <c r="BI378" s="847"/>
      <c r="BJ378" s="847"/>
      <c r="BK378" s="847"/>
      <c r="BL378" s="847"/>
      <c r="BM378" s="847"/>
      <c r="BN378" s="847"/>
      <c r="BO378" s="847"/>
      <c r="BP378" s="847"/>
      <c r="BQ378" s="847"/>
      <c r="BR378" s="847"/>
      <c r="BS378" s="847"/>
      <c r="BT378" s="847"/>
      <c r="BU378" s="847"/>
      <c r="BV378" s="847"/>
      <c r="BW378" s="847"/>
      <c r="BX378" s="847"/>
      <c r="BY378" s="847"/>
      <c r="BZ378" s="847"/>
      <c r="CA378" s="847"/>
      <c r="CB378" s="847"/>
      <c r="CC378" s="847"/>
      <c r="CD378" s="847"/>
      <c r="CE378" s="847"/>
      <c r="CF378" s="847"/>
      <c r="CG378" s="847"/>
      <c r="CH378" s="847"/>
      <c r="CI378" s="847"/>
      <c r="CJ378" s="847"/>
      <c r="CK378" s="847"/>
      <c r="CL378" s="847"/>
      <c r="CM378" s="847"/>
      <c r="CN378" s="847"/>
      <c r="CO378" s="847"/>
      <c r="CP378" s="847"/>
      <c r="CQ378" s="847"/>
      <c r="CR378" s="847"/>
      <c r="CS378" s="847"/>
      <c r="CT378" s="847"/>
      <c r="CU378" s="847"/>
      <c r="CV378" s="847"/>
      <c r="CW378" s="847"/>
      <c r="CX378" s="847"/>
      <c r="CY378" s="847"/>
      <c r="CZ378" s="847"/>
      <c r="DA378" s="847"/>
      <c r="DB378" s="847"/>
      <c r="DC378" s="847"/>
      <c r="DD378" s="847"/>
      <c r="DE378" s="847"/>
      <c r="DF378" s="847"/>
      <c r="DG378" s="847"/>
      <c r="DH378" s="847"/>
      <c r="DI378" s="847"/>
      <c r="DJ378" s="847"/>
      <c r="DK378" s="847"/>
      <c r="DL378" s="847"/>
      <c r="DM378" s="1212"/>
      <c r="DN378" s="1222"/>
      <c r="DO378" s="1013"/>
      <c r="DP378" s="847"/>
      <c r="DQ378" s="1013"/>
      <c r="DR378" s="1225"/>
      <c r="DS378" s="1013"/>
      <c r="DT378" s="1225"/>
      <c r="DU378" s="1214"/>
      <c r="DV378" s="1242"/>
      <c r="DW378" s="1232"/>
      <c r="DX378" s="1222"/>
      <c r="DY378" s="847"/>
      <c r="DZ378" s="847"/>
      <c r="EA378" s="847"/>
      <c r="EB378" s="847"/>
      <c r="EC378" s="847"/>
      <c r="ED378" s="847"/>
      <c r="EE378" s="847"/>
      <c r="EF378" s="847"/>
      <c r="EG378" s="1212"/>
      <c r="EH378" s="847"/>
      <c r="EI378" s="1212"/>
    </row>
    <row r="379" spans="1:139" s="733" customFormat="1" ht="13.5">
      <c r="A379" s="1009"/>
      <c r="B379" s="1212" t="s">
        <v>2066</v>
      </c>
      <c r="C379" s="1213">
        <v>0</v>
      </c>
      <c r="D379" s="1013" t="s">
        <v>92</v>
      </c>
      <c r="E379" s="847"/>
      <c r="F379" s="1013"/>
      <c r="G379" s="847"/>
      <c r="H379" s="1013"/>
      <c r="I379" s="847"/>
      <c r="J379" s="1013"/>
      <c r="K379" s="847"/>
      <c r="L379" s="1013"/>
      <c r="M379" s="847"/>
      <c r="N379" s="1013"/>
      <c r="O379" s="847"/>
      <c r="P379" s="1013"/>
      <c r="Q379" s="847"/>
      <c r="R379" s="847"/>
      <c r="S379" s="847"/>
      <c r="T379" s="847"/>
      <c r="U379" s="847"/>
      <c r="V379" s="847"/>
      <c r="W379" s="847"/>
      <c r="X379" s="847"/>
      <c r="Y379" s="847"/>
      <c r="Z379" s="847"/>
      <c r="AA379" s="847"/>
      <c r="AB379" s="847"/>
      <c r="AC379" s="847"/>
      <c r="AD379" s="847"/>
      <c r="AE379" s="847"/>
      <c r="AF379" s="847"/>
      <c r="AG379" s="847"/>
      <c r="AH379" s="847"/>
      <c r="AI379" s="847"/>
      <c r="AJ379" s="847"/>
      <c r="AK379" s="847"/>
      <c r="AL379" s="847"/>
      <c r="AM379" s="847"/>
      <c r="AN379" s="847"/>
      <c r="AO379" s="847"/>
      <c r="AP379" s="847"/>
      <c r="AQ379" s="847"/>
      <c r="AR379" s="847"/>
      <c r="AS379" s="847"/>
      <c r="AT379" s="847"/>
      <c r="AU379" s="847"/>
      <c r="AV379" s="847"/>
      <c r="AW379" s="847"/>
      <c r="AX379" s="847"/>
      <c r="AY379" s="847"/>
      <c r="AZ379" s="847"/>
      <c r="BA379" s="847">
        <f>'Lead &amp; ANALYSIS'!G6450</f>
        <v>7.4999999999999997E-2</v>
      </c>
      <c r="BB379" s="847">
        <f>ROUND(C379*BA379,2)</f>
        <v>0</v>
      </c>
      <c r="BC379" s="847"/>
      <c r="BD379" s="847"/>
      <c r="BE379" s="847"/>
      <c r="BF379" s="847"/>
      <c r="BG379" s="847"/>
      <c r="BH379" s="847"/>
      <c r="BI379" s="847">
        <f>'Lead &amp; ANALYSIS'!G6451</f>
        <v>0.125</v>
      </c>
      <c r="BJ379" s="847">
        <f>ROUND(C379*BI379,2)</f>
        <v>0</v>
      </c>
      <c r="BK379" s="847"/>
      <c r="BL379" s="847"/>
      <c r="BM379" s="847"/>
      <c r="BN379" s="847"/>
      <c r="BO379" s="847"/>
      <c r="BP379" s="847"/>
      <c r="BQ379" s="847"/>
      <c r="BR379" s="847"/>
      <c r="BS379" s="847"/>
      <c r="BT379" s="847"/>
      <c r="BU379" s="847"/>
      <c r="BV379" s="847"/>
      <c r="BW379" s="847"/>
      <c r="BX379" s="847"/>
      <c r="BY379" s="847"/>
      <c r="BZ379" s="847"/>
      <c r="CA379" s="847"/>
      <c r="CB379" s="847"/>
      <c r="CC379" s="847"/>
      <c r="CD379" s="847"/>
      <c r="CE379" s="847"/>
      <c r="CF379" s="847"/>
      <c r="CG379" s="847"/>
      <c r="CH379" s="847"/>
      <c r="CI379" s="847"/>
      <c r="CJ379" s="847"/>
      <c r="CK379" s="847"/>
      <c r="CL379" s="847"/>
      <c r="CM379" s="847"/>
      <c r="CN379" s="847"/>
      <c r="CO379" s="847"/>
      <c r="CP379" s="847"/>
      <c r="CQ379" s="847"/>
      <c r="CR379" s="847"/>
      <c r="CS379" s="847"/>
      <c r="CT379" s="847"/>
      <c r="CU379" s="847"/>
      <c r="CV379" s="847"/>
      <c r="CW379" s="847"/>
      <c r="CX379" s="847"/>
      <c r="CY379" s="847"/>
      <c r="CZ379" s="847"/>
      <c r="DA379" s="847"/>
      <c r="DB379" s="847"/>
      <c r="DC379" s="847"/>
      <c r="DD379" s="847"/>
      <c r="DE379" s="847"/>
      <c r="DF379" s="847"/>
      <c r="DG379" s="847"/>
      <c r="DH379" s="847"/>
      <c r="DI379" s="847"/>
      <c r="DJ379" s="847"/>
      <c r="DK379" s="847"/>
      <c r="DL379" s="847"/>
      <c r="DM379" s="1212"/>
      <c r="DN379" s="1222">
        <f>'Lead &amp; ANALYSIS'!G6444/9.3</f>
        <v>0.17204301075268816</v>
      </c>
      <c r="DO379" s="1013">
        <f t="shared" ref="DO379:DO388" si="16">ROUND(C379*DN379,2)</f>
        <v>0</v>
      </c>
      <c r="DP379" s="847"/>
      <c r="DQ379" s="1013"/>
      <c r="DR379" s="1225"/>
      <c r="DS379" s="1013"/>
      <c r="DT379" s="1225">
        <f>'Lead &amp; ANALYSIS'!G6443/9.3</f>
        <v>0.18817204301075269</v>
      </c>
      <c r="DU379" s="1214">
        <f>ROUND(C379*DT379,2)</f>
        <v>0</v>
      </c>
      <c r="DV379" s="1242"/>
      <c r="DW379" s="1232"/>
      <c r="DX379" s="1222"/>
      <c r="DY379" s="847"/>
      <c r="DZ379" s="847"/>
      <c r="EA379" s="847"/>
      <c r="EB379" s="847"/>
      <c r="EC379" s="847"/>
      <c r="ED379" s="847"/>
      <c r="EE379" s="847"/>
      <c r="EF379" s="847"/>
      <c r="EG379" s="1212"/>
      <c r="EH379" s="847"/>
      <c r="EI379" s="1212"/>
    </row>
    <row r="380" spans="1:139" s="733" customFormat="1" ht="13.5">
      <c r="A380" s="1009"/>
      <c r="B380" s="1212" t="s">
        <v>2067</v>
      </c>
      <c r="C380" s="1213">
        <v>0</v>
      </c>
      <c r="D380" s="1013" t="s">
        <v>92</v>
      </c>
      <c r="E380" s="847"/>
      <c r="F380" s="1013"/>
      <c r="G380" s="847"/>
      <c r="H380" s="1013"/>
      <c r="I380" s="847"/>
      <c r="J380" s="1013"/>
      <c r="K380" s="847"/>
      <c r="L380" s="1013"/>
      <c r="M380" s="847"/>
      <c r="N380" s="1013"/>
      <c r="O380" s="847"/>
      <c r="P380" s="1013"/>
      <c r="Q380" s="847"/>
      <c r="R380" s="847"/>
      <c r="S380" s="847"/>
      <c r="T380" s="847"/>
      <c r="U380" s="847"/>
      <c r="V380" s="847"/>
      <c r="W380" s="847"/>
      <c r="X380" s="847"/>
      <c r="Y380" s="847"/>
      <c r="Z380" s="847"/>
      <c r="AA380" s="847"/>
      <c r="AB380" s="847"/>
      <c r="AC380" s="847"/>
      <c r="AD380" s="847"/>
      <c r="AE380" s="847"/>
      <c r="AF380" s="847"/>
      <c r="AG380" s="847"/>
      <c r="AH380" s="847"/>
      <c r="AI380" s="847"/>
      <c r="AJ380" s="847"/>
      <c r="AK380" s="847"/>
      <c r="AL380" s="847"/>
      <c r="AM380" s="847"/>
      <c r="AN380" s="847"/>
      <c r="AO380" s="847"/>
      <c r="AP380" s="847"/>
      <c r="AQ380" s="847"/>
      <c r="AR380" s="847"/>
      <c r="AS380" s="847"/>
      <c r="AT380" s="847"/>
      <c r="AU380" s="847"/>
      <c r="AV380" s="847"/>
      <c r="AW380" s="847"/>
      <c r="AX380" s="847"/>
      <c r="AY380" s="847"/>
      <c r="AZ380" s="847"/>
      <c r="BA380" s="847">
        <f>BA379</f>
        <v>7.4999999999999997E-2</v>
      </c>
      <c r="BB380" s="847">
        <f>ROUND(C380*BA380,2)</f>
        <v>0</v>
      </c>
      <c r="BC380" s="847"/>
      <c r="BD380" s="847"/>
      <c r="BE380" s="847"/>
      <c r="BF380" s="847"/>
      <c r="BG380" s="847"/>
      <c r="BH380" s="847"/>
      <c r="BI380" s="847">
        <f>BI379</f>
        <v>0.125</v>
      </c>
      <c r="BJ380" s="847">
        <f>ROUND(C380*BI380,2)</f>
        <v>0</v>
      </c>
      <c r="BK380" s="847"/>
      <c r="BL380" s="847"/>
      <c r="BM380" s="847"/>
      <c r="BN380" s="847"/>
      <c r="BO380" s="847"/>
      <c r="BP380" s="847"/>
      <c r="BQ380" s="847"/>
      <c r="BR380" s="847"/>
      <c r="BS380" s="847"/>
      <c r="BT380" s="847"/>
      <c r="BU380" s="847"/>
      <c r="BV380" s="847"/>
      <c r="BW380" s="847"/>
      <c r="BX380" s="847"/>
      <c r="BY380" s="847"/>
      <c r="BZ380" s="847"/>
      <c r="CA380" s="847"/>
      <c r="CB380" s="847"/>
      <c r="CC380" s="847"/>
      <c r="CD380" s="847"/>
      <c r="CE380" s="847"/>
      <c r="CF380" s="847"/>
      <c r="CG380" s="847"/>
      <c r="CH380" s="847"/>
      <c r="CI380" s="847"/>
      <c r="CJ380" s="847"/>
      <c r="CK380" s="847"/>
      <c r="CL380" s="847"/>
      <c r="CM380" s="847"/>
      <c r="CN380" s="847"/>
      <c r="CO380" s="847"/>
      <c r="CP380" s="847"/>
      <c r="CQ380" s="847"/>
      <c r="CR380" s="847"/>
      <c r="CS380" s="847"/>
      <c r="CT380" s="847"/>
      <c r="CU380" s="847"/>
      <c r="CV380" s="847"/>
      <c r="CW380" s="847"/>
      <c r="CX380" s="847"/>
      <c r="CY380" s="847"/>
      <c r="CZ380" s="847"/>
      <c r="DA380" s="847"/>
      <c r="DB380" s="847"/>
      <c r="DC380" s="847"/>
      <c r="DD380" s="847"/>
      <c r="DE380" s="847"/>
      <c r="DF380" s="847"/>
      <c r="DG380" s="847"/>
      <c r="DH380" s="847"/>
      <c r="DI380" s="847"/>
      <c r="DJ380" s="847"/>
      <c r="DK380" s="847"/>
      <c r="DL380" s="847"/>
      <c r="DM380" s="1212"/>
      <c r="DN380" s="1222">
        <f>DN379+DN379*3%</f>
        <v>0.1772043010752688</v>
      </c>
      <c r="DO380" s="1013">
        <f t="shared" si="16"/>
        <v>0</v>
      </c>
      <c r="DP380" s="847"/>
      <c r="DQ380" s="1013"/>
      <c r="DR380" s="1225"/>
      <c r="DS380" s="1013"/>
      <c r="DT380" s="847">
        <f>DT379+DT379*3%</f>
        <v>0.19381720430107527</v>
      </c>
      <c r="DU380" s="1214">
        <f>ROUND(C380*DT380,2)</f>
        <v>0</v>
      </c>
      <c r="DV380" s="1242"/>
      <c r="DW380" s="1232"/>
      <c r="DX380" s="1222"/>
      <c r="DY380" s="847"/>
      <c r="DZ380" s="847"/>
      <c r="EA380" s="847"/>
      <c r="EB380" s="847"/>
      <c r="EC380" s="847"/>
      <c r="ED380" s="847"/>
      <c r="EE380" s="847"/>
      <c r="EF380" s="847"/>
      <c r="EG380" s="1212"/>
      <c r="EH380" s="847"/>
      <c r="EI380" s="1212"/>
    </row>
    <row r="381" spans="1:139" s="733" customFormat="1" ht="13.5">
      <c r="A381" s="1009">
        <v>127</v>
      </c>
      <c r="B381" s="1212" t="s">
        <v>3107</v>
      </c>
      <c r="C381" s="1213">
        <v>0</v>
      </c>
      <c r="D381" s="1013" t="s">
        <v>92</v>
      </c>
      <c r="E381" s="847"/>
      <c r="F381" s="1013"/>
      <c r="G381" s="847"/>
      <c r="H381" s="1013"/>
      <c r="I381" s="847"/>
      <c r="J381" s="1013"/>
      <c r="K381" s="847"/>
      <c r="L381" s="1013"/>
      <c r="M381" s="847"/>
      <c r="N381" s="1013"/>
      <c r="O381" s="847"/>
      <c r="P381" s="1013"/>
      <c r="Q381" s="847"/>
      <c r="R381" s="847"/>
      <c r="S381" s="847"/>
      <c r="T381" s="847"/>
      <c r="U381" s="847"/>
      <c r="V381" s="847"/>
      <c r="W381" s="847"/>
      <c r="X381" s="847"/>
      <c r="Y381" s="847"/>
      <c r="Z381" s="847"/>
      <c r="AA381" s="847"/>
      <c r="AB381" s="847"/>
      <c r="AC381" s="847"/>
      <c r="AD381" s="847"/>
      <c r="AE381" s="847"/>
      <c r="AF381" s="847"/>
      <c r="AG381" s="847"/>
      <c r="AH381" s="847"/>
      <c r="AI381" s="847"/>
      <c r="AJ381" s="847"/>
      <c r="AK381" s="847"/>
      <c r="AL381" s="847"/>
      <c r="AM381" s="847"/>
      <c r="AN381" s="847"/>
      <c r="AO381" s="847"/>
      <c r="AP381" s="847"/>
      <c r="AQ381" s="847"/>
      <c r="AR381" s="847"/>
      <c r="AS381" s="847"/>
      <c r="AT381" s="847"/>
      <c r="AU381" s="847"/>
      <c r="AV381" s="847"/>
      <c r="AW381" s="847"/>
      <c r="AX381" s="847"/>
      <c r="AY381" s="847"/>
      <c r="AZ381" s="847"/>
      <c r="BA381" s="847"/>
      <c r="BB381" s="847"/>
      <c r="BC381" s="847"/>
      <c r="BD381" s="847"/>
      <c r="BE381" s="847"/>
      <c r="BF381" s="847"/>
      <c r="BG381" s="847"/>
      <c r="BH381" s="847"/>
      <c r="BI381" s="847"/>
      <c r="BJ381" s="847"/>
      <c r="BK381" s="847"/>
      <c r="BL381" s="847"/>
      <c r="BM381" s="847"/>
      <c r="BN381" s="847"/>
      <c r="BO381" s="847"/>
      <c r="BP381" s="847"/>
      <c r="BQ381" s="847"/>
      <c r="BR381" s="847"/>
      <c r="BS381" s="847"/>
      <c r="BT381" s="847"/>
      <c r="BU381" s="847"/>
      <c r="BV381" s="847"/>
      <c r="BW381" s="847"/>
      <c r="BX381" s="847"/>
      <c r="BY381" s="847"/>
      <c r="BZ381" s="847"/>
      <c r="CA381" s="847"/>
      <c r="CB381" s="847"/>
      <c r="CC381" s="847"/>
      <c r="CD381" s="847"/>
      <c r="CE381" s="847"/>
      <c r="CF381" s="847"/>
      <c r="CG381" s="847"/>
      <c r="CH381" s="847"/>
      <c r="CI381" s="847"/>
      <c r="CJ381" s="847"/>
      <c r="CK381" s="847"/>
      <c r="CL381" s="847"/>
      <c r="CM381" s="847"/>
      <c r="CN381" s="847"/>
      <c r="CO381" s="847"/>
      <c r="CP381" s="847"/>
      <c r="CQ381" s="847"/>
      <c r="CR381" s="847"/>
      <c r="CS381" s="847"/>
      <c r="CT381" s="847"/>
      <c r="CU381" s="847"/>
      <c r="CV381" s="847"/>
      <c r="CW381" s="847"/>
      <c r="CX381" s="847"/>
      <c r="CY381" s="847"/>
      <c r="CZ381" s="847"/>
      <c r="DA381" s="847"/>
      <c r="DB381" s="847"/>
      <c r="DC381" s="847"/>
      <c r="DD381" s="847"/>
      <c r="DE381" s="847"/>
      <c r="DF381" s="847"/>
      <c r="DG381" s="847"/>
      <c r="DH381" s="847"/>
      <c r="DI381" s="847"/>
      <c r="DJ381" s="847"/>
      <c r="DK381" s="847"/>
      <c r="DL381" s="847"/>
      <c r="DM381" s="1212"/>
      <c r="DN381" s="1222">
        <f>'Lead &amp; ANALYSIS'!G6468/100+('Lead &amp; ANALYSIS'!G6468*2%/100)</f>
        <v>1.0200000000000001E-2</v>
      </c>
      <c r="DO381" s="1013">
        <f t="shared" si="16"/>
        <v>0</v>
      </c>
      <c r="DP381" s="847"/>
      <c r="DQ381" s="1013"/>
      <c r="DR381" s="1225"/>
      <c r="DS381" s="1013"/>
      <c r="DT381" s="847"/>
      <c r="DU381" s="1214"/>
      <c r="DV381" s="1242"/>
      <c r="DW381" s="1232"/>
      <c r="DX381" s="1222"/>
      <c r="DY381" s="847"/>
      <c r="DZ381" s="847"/>
      <c r="EA381" s="847"/>
      <c r="EB381" s="847"/>
      <c r="EC381" s="847"/>
      <c r="ED381" s="847"/>
      <c r="EE381" s="847"/>
      <c r="EF381" s="847"/>
      <c r="EG381" s="1212"/>
      <c r="EH381" s="847"/>
      <c r="EI381" s="1212"/>
    </row>
    <row r="382" spans="1:139" s="733" customFormat="1" ht="13.5">
      <c r="A382" s="1009">
        <v>128</v>
      </c>
      <c r="B382" s="1212" t="s">
        <v>3108</v>
      </c>
      <c r="C382" s="1213">
        <v>0</v>
      </c>
      <c r="D382" s="1013" t="s">
        <v>92</v>
      </c>
      <c r="E382" s="847"/>
      <c r="F382" s="1013"/>
      <c r="G382" s="847"/>
      <c r="H382" s="1013"/>
      <c r="I382" s="847"/>
      <c r="J382" s="1013"/>
      <c r="K382" s="847"/>
      <c r="L382" s="1013"/>
      <c r="M382" s="847"/>
      <c r="N382" s="1013"/>
      <c r="O382" s="847"/>
      <c r="P382" s="1013"/>
      <c r="Q382" s="847"/>
      <c r="R382" s="847"/>
      <c r="S382" s="847"/>
      <c r="T382" s="847"/>
      <c r="U382" s="847"/>
      <c r="V382" s="847"/>
      <c r="W382" s="847"/>
      <c r="X382" s="847"/>
      <c r="Y382" s="847"/>
      <c r="Z382" s="847"/>
      <c r="AA382" s="847"/>
      <c r="AB382" s="847"/>
      <c r="AC382" s="847"/>
      <c r="AD382" s="847"/>
      <c r="AE382" s="847"/>
      <c r="AF382" s="847"/>
      <c r="AG382" s="847"/>
      <c r="AH382" s="847"/>
      <c r="AI382" s="847"/>
      <c r="AJ382" s="847"/>
      <c r="AK382" s="847"/>
      <c r="AL382" s="847"/>
      <c r="AM382" s="847"/>
      <c r="AN382" s="847"/>
      <c r="AO382" s="847"/>
      <c r="AP382" s="847"/>
      <c r="AQ382" s="847"/>
      <c r="AR382" s="847"/>
      <c r="AS382" s="847"/>
      <c r="AT382" s="847"/>
      <c r="AU382" s="847"/>
      <c r="AV382" s="847"/>
      <c r="AW382" s="847"/>
      <c r="AX382" s="847"/>
      <c r="AY382" s="847"/>
      <c r="AZ382" s="847"/>
      <c r="BA382" s="847"/>
      <c r="BB382" s="847"/>
      <c r="BC382" s="847"/>
      <c r="BD382" s="847"/>
      <c r="BE382" s="847"/>
      <c r="BF382" s="847"/>
      <c r="BG382" s="847"/>
      <c r="BH382" s="847"/>
      <c r="BI382" s="847"/>
      <c r="BJ382" s="847"/>
      <c r="BK382" s="847"/>
      <c r="BL382" s="847"/>
      <c r="BM382" s="847"/>
      <c r="BN382" s="847"/>
      <c r="BO382" s="847"/>
      <c r="BP382" s="847"/>
      <c r="BQ382" s="847"/>
      <c r="BR382" s="847"/>
      <c r="BS382" s="847"/>
      <c r="BT382" s="847"/>
      <c r="BU382" s="847"/>
      <c r="BV382" s="847"/>
      <c r="BW382" s="847"/>
      <c r="BX382" s="847"/>
      <c r="BY382" s="847"/>
      <c r="BZ382" s="847"/>
      <c r="CA382" s="847"/>
      <c r="CB382" s="847"/>
      <c r="CC382" s="847"/>
      <c r="CD382" s="847"/>
      <c r="CE382" s="847"/>
      <c r="CF382" s="847"/>
      <c r="CG382" s="847"/>
      <c r="CH382" s="847"/>
      <c r="CI382" s="847"/>
      <c r="CJ382" s="847"/>
      <c r="CK382" s="847"/>
      <c r="CL382" s="847"/>
      <c r="CM382" s="847"/>
      <c r="CN382" s="847"/>
      <c r="CO382" s="847"/>
      <c r="CP382" s="847"/>
      <c r="CQ382" s="847"/>
      <c r="CR382" s="847"/>
      <c r="CS382" s="847"/>
      <c r="CT382" s="847"/>
      <c r="CU382" s="847"/>
      <c r="CV382" s="847"/>
      <c r="CW382" s="847"/>
      <c r="CX382" s="847"/>
      <c r="CY382" s="847"/>
      <c r="CZ382" s="847"/>
      <c r="DA382" s="847"/>
      <c r="DB382" s="847"/>
      <c r="DC382" s="847"/>
      <c r="DD382" s="847"/>
      <c r="DE382" s="847"/>
      <c r="DF382" s="847"/>
      <c r="DG382" s="847"/>
      <c r="DH382" s="847"/>
      <c r="DI382" s="847"/>
      <c r="DJ382" s="847"/>
      <c r="DK382" s="847"/>
      <c r="DL382" s="847"/>
      <c r="DM382" s="1212"/>
      <c r="DN382" s="1224">
        <f>'Lead &amp; ANALYSIS'!G6478/10000</f>
        <v>5.0000000000000001E-3</v>
      </c>
      <c r="DO382" s="1013">
        <f t="shared" si="16"/>
        <v>0</v>
      </c>
      <c r="DP382" s="847">
        <f>'Lead &amp; ANALYSIS'!G6477/10000</f>
        <v>2.0000000000000001E-4</v>
      </c>
      <c r="DQ382" s="1013">
        <f t="shared" ref="DQ382:DQ388" si="17">ROUND(C382*DP382,2)</f>
        <v>0</v>
      </c>
      <c r="DR382" s="1225"/>
      <c r="DS382" s="1013"/>
      <c r="DT382" s="847"/>
      <c r="DU382" s="1214"/>
      <c r="DV382" s="1242"/>
      <c r="DW382" s="1232"/>
      <c r="DX382" s="1222"/>
      <c r="DY382" s="847"/>
      <c r="DZ382" s="847"/>
      <c r="EA382" s="847"/>
      <c r="EB382" s="847"/>
      <c r="EC382" s="847"/>
      <c r="ED382" s="847"/>
      <c r="EE382" s="847"/>
      <c r="EF382" s="847"/>
      <c r="EG382" s="1212"/>
      <c r="EH382" s="847"/>
      <c r="EI382" s="1212"/>
    </row>
    <row r="383" spans="1:139" s="733" customFormat="1" ht="13.5">
      <c r="A383" s="1009">
        <v>129</v>
      </c>
      <c r="B383" s="1212" t="s">
        <v>3109</v>
      </c>
      <c r="C383" s="1213">
        <v>0</v>
      </c>
      <c r="D383" s="1013" t="s">
        <v>92</v>
      </c>
      <c r="E383" s="847"/>
      <c r="F383" s="1013"/>
      <c r="G383" s="847"/>
      <c r="H383" s="1013"/>
      <c r="I383" s="847"/>
      <c r="J383" s="1013"/>
      <c r="K383" s="847"/>
      <c r="L383" s="1013"/>
      <c r="M383" s="847"/>
      <c r="N383" s="1013"/>
      <c r="O383" s="847"/>
      <c r="P383" s="1013"/>
      <c r="Q383" s="847"/>
      <c r="R383" s="847"/>
      <c r="S383" s="847"/>
      <c r="T383" s="847"/>
      <c r="U383" s="847"/>
      <c r="V383" s="847"/>
      <c r="W383" s="847"/>
      <c r="X383" s="847"/>
      <c r="Y383" s="847"/>
      <c r="Z383" s="847"/>
      <c r="AA383" s="847"/>
      <c r="AB383" s="847"/>
      <c r="AC383" s="847"/>
      <c r="AD383" s="847"/>
      <c r="AE383" s="847"/>
      <c r="AF383" s="847"/>
      <c r="AG383" s="847"/>
      <c r="AH383" s="847"/>
      <c r="AI383" s="847"/>
      <c r="AJ383" s="847"/>
      <c r="AK383" s="847"/>
      <c r="AL383" s="847"/>
      <c r="AM383" s="847"/>
      <c r="AN383" s="847"/>
      <c r="AO383" s="847"/>
      <c r="AP383" s="847"/>
      <c r="AQ383" s="847"/>
      <c r="AR383" s="847"/>
      <c r="AS383" s="847"/>
      <c r="AT383" s="847"/>
      <c r="AU383" s="847"/>
      <c r="AV383" s="847"/>
      <c r="AW383" s="847"/>
      <c r="AX383" s="847"/>
      <c r="AY383" s="847"/>
      <c r="AZ383" s="847"/>
      <c r="BA383" s="847"/>
      <c r="BB383" s="847"/>
      <c r="BC383" s="847"/>
      <c r="BD383" s="847"/>
      <c r="BE383" s="847"/>
      <c r="BF383" s="847"/>
      <c r="BG383" s="847"/>
      <c r="BH383" s="847"/>
      <c r="BI383" s="847"/>
      <c r="BJ383" s="847"/>
      <c r="BK383" s="847"/>
      <c r="BL383" s="847"/>
      <c r="BM383" s="847"/>
      <c r="BN383" s="847"/>
      <c r="BO383" s="847"/>
      <c r="BP383" s="847"/>
      <c r="BQ383" s="847"/>
      <c r="BR383" s="847"/>
      <c r="BS383" s="847"/>
      <c r="BT383" s="847"/>
      <c r="BU383" s="847"/>
      <c r="BV383" s="847"/>
      <c r="BW383" s="847"/>
      <c r="BX383" s="847"/>
      <c r="BY383" s="847"/>
      <c r="BZ383" s="847"/>
      <c r="CA383" s="847"/>
      <c r="CB383" s="847"/>
      <c r="CC383" s="847"/>
      <c r="CD383" s="847"/>
      <c r="CE383" s="847"/>
      <c r="CF383" s="847"/>
      <c r="CG383" s="847"/>
      <c r="CH383" s="847"/>
      <c r="CI383" s="847"/>
      <c r="CJ383" s="847"/>
      <c r="CK383" s="847"/>
      <c r="CL383" s="847"/>
      <c r="CM383" s="847"/>
      <c r="CN383" s="847"/>
      <c r="CO383" s="847"/>
      <c r="CP383" s="847"/>
      <c r="CQ383" s="847"/>
      <c r="CR383" s="847"/>
      <c r="CS383" s="847"/>
      <c r="CT383" s="847"/>
      <c r="CU383" s="847"/>
      <c r="CV383" s="847"/>
      <c r="CW383" s="847"/>
      <c r="CX383" s="847"/>
      <c r="CY383" s="847"/>
      <c r="CZ383" s="847"/>
      <c r="DA383" s="847"/>
      <c r="DB383" s="847"/>
      <c r="DC383" s="847"/>
      <c r="DD383" s="847"/>
      <c r="DE383" s="847"/>
      <c r="DF383" s="847"/>
      <c r="DG383" s="847"/>
      <c r="DH383" s="847"/>
      <c r="DI383" s="847"/>
      <c r="DJ383" s="847"/>
      <c r="DK383" s="847"/>
      <c r="DL383" s="847"/>
      <c r="DM383" s="1212"/>
      <c r="DN383" s="1222">
        <f>'Lead &amp; ANALYSIS'!G6488/10000</f>
        <v>1.4999999999999999E-2</v>
      </c>
      <c r="DO383" s="1013">
        <f t="shared" si="16"/>
        <v>0</v>
      </c>
      <c r="DP383" s="847">
        <f>'Lead &amp; ANALYSIS'!G6487/10000</f>
        <v>5.9999999999999995E-4</v>
      </c>
      <c r="DQ383" s="1013">
        <f t="shared" si="17"/>
        <v>0</v>
      </c>
      <c r="DR383" s="1225"/>
      <c r="DS383" s="1013"/>
      <c r="DT383" s="1225"/>
      <c r="DU383" s="1214"/>
      <c r="DV383" s="1242"/>
      <c r="DW383" s="1232"/>
      <c r="DX383" s="1222"/>
      <c r="DY383" s="847"/>
      <c r="DZ383" s="847"/>
      <c r="EA383" s="847"/>
      <c r="EB383" s="847"/>
      <c r="EC383" s="847"/>
      <c r="ED383" s="847"/>
      <c r="EE383" s="847"/>
      <c r="EF383" s="847"/>
      <c r="EG383" s="1212"/>
      <c r="EH383" s="847"/>
      <c r="EI383" s="1212"/>
    </row>
    <row r="384" spans="1:139" s="733" customFormat="1" ht="13.5">
      <c r="A384" s="1009" t="s">
        <v>413</v>
      </c>
      <c r="B384" s="1212" t="s">
        <v>594</v>
      </c>
      <c r="C384" s="1213">
        <v>0</v>
      </c>
      <c r="D384" s="1013" t="s">
        <v>92</v>
      </c>
      <c r="E384" s="847"/>
      <c r="F384" s="1013"/>
      <c r="G384" s="847"/>
      <c r="H384" s="1013"/>
      <c r="I384" s="847"/>
      <c r="J384" s="1013"/>
      <c r="K384" s="847"/>
      <c r="L384" s="1013"/>
      <c r="M384" s="847"/>
      <c r="N384" s="1013"/>
      <c r="O384" s="847"/>
      <c r="P384" s="1013"/>
      <c r="Q384" s="847"/>
      <c r="R384" s="847"/>
      <c r="S384" s="847"/>
      <c r="T384" s="847"/>
      <c r="U384" s="847"/>
      <c r="V384" s="847"/>
      <c r="W384" s="847"/>
      <c r="X384" s="847"/>
      <c r="Y384" s="847"/>
      <c r="Z384" s="847"/>
      <c r="AA384" s="847"/>
      <c r="AB384" s="847"/>
      <c r="AC384" s="847"/>
      <c r="AD384" s="847"/>
      <c r="AE384" s="847"/>
      <c r="AF384" s="847"/>
      <c r="AG384" s="847"/>
      <c r="AH384" s="847"/>
      <c r="AI384" s="847"/>
      <c r="AJ384" s="847"/>
      <c r="AK384" s="847"/>
      <c r="AL384" s="847"/>
      <c r="AM384" s="847"/>
      <c r="AN384" s="847"/>
      <c r="AO384" s="847"/>
      <c r="AP384" s="847"/>
      <c r="AQ384" s="847"/>
      <c r="AR384" s="847"/>
      <c r="AS384" s="847"/>
      <c r="AT384" s="847"/>
      <c r="AU384" s="847"/>
      <c r="AV384" s="847"/>
      <c r="AW384" s="847"/>
      <c r="AX384" s="847"/>
      <c r="AY384" s="847"/>
      <c r="AZ384" s="847"/>
      <c r="BA384" s="847"/>
      <c r="BB384" s="847"/>
      <c r="BC384" s="847"/>
      <c r="BD384" s="847"/>
      <c r="BE384" s="847"/>
      <c r="BF384" s="847"/>
      <c r="BG384" s="847"/>
      <c r="BH384" s="847"/>
      <c r="BI384" s="847"/>
      <c r="BJ384" s="847"/>
      <c r="BK384" s="847"/>
      <c r="BL384" s="847"/>
      <c r="BM384" s="847"/>
      <c r="BN384" s="847"/>
      <c r="BO384" s="847"/>
      <c r="BP384" s="847"/>
      <c r="BQ384" s="847"/>
      <c r="BR384" s="847"/>
      <c r="BS384" s="847"/>
      <c r="BT384" s="847"/>
      <c r="BU384" s="847"/>
      <c r="BV384" s="847"/>
      <c r="BW384" s="847"/>
      <c r="BX384" s="847"/>
      <c r="BY384" s="847"/>
      <c r="BZ384" s="847"/>
      <c r="CA384" s="847"/>
      <c r="CB384" s="847"/>
      <c r="CC384" s="847"/>
      <c r="CD384" s="847"/>
      <c r="CE384" s="847"/>
      <c r="CF384" s="847"/>
      <c r="CG384" s="847"/>
      <c r="CH384" s="847"/>
      <c r="CI384" s="847"/>
      <c r="CJ384" s="847"/>
      <c r="CK384" s="847"/>
      <c r="CL384" s="847"/>
      <c r="CM384" s="847"/>
      <c r="CN384" s="847"/>
      <c r="CO384" s="847"/>
      <c r="CP384" s="847"/>
      <c r="CQ384" s="847"/>
      <c r="CR384" s="847"/>
      <c r="CS384" s="847"/>
      <c r="CT384" s="847"/>
      <c r="CU384" s="847"/>
      <c r="CV384" s="847"/>
      <c r="CW384" s="847"/>
      <c r="CX384" s="847"/>
      <c r="CY384" s="847"/>
      <c r="CZ384" s="847"/>
      <c r="DA384" s="847"/>
      <c r="DB384" s="847"/>
      <c r="DC384" s="847"/>
      <c r="DD384" s="847"/>
      <c r="DE384" s="847"/>
      <c r="DF384" s="847"/>
      <c r="DG384" s="847"/>
      <c r="DH384" s="847"/>
      <c r="DI384" s="847"/>
      <c r="DJ384" s="847"/>
      <c r="DK384" s="847"/>
      <c r="DL384" s="847"/>
      <c r="DM384" s="1212"/>
      <c r="DN384" s="1224">
        <f>'Lead &amp; ANALYSIS'!G6488/10000</f>
        <v>1.4999999999999999E-2</v>
      </c>
      <c r="DO384" s="1013">
        <f t="shared" si="16"/>
        <v>0</v>
      </c>
      <c r="DP384" s="847">
        <f>'Lead &amp; ANALYSIS'!G6487/10000</f>
        <v>5.9999999999999995E-4</v>
      </c>
      <c r="DQ384" s="1013">
        <f t="shared" si="17"/>
        <v>0</v>
      </c>
      <c r="DR384" s="1225"/>
      <c r="DS384" s="1013"/>
      <c r="DT384" s="1225"/>
      <c r="DU384" s="1214"/>
      <c r="DV384" s="1242"/>
      <c r="DW384" s="1232"/>
      <c r="DX384" s="1222"/>
      <c r="DY384" s="847"/>
      <c r="DZ384" s="847"/>
      <c r="EA384" s="847"/>
      <c r="EB384" s="847"/>
      <c r="EC384" s="847"/>
      <c r="ED384" s="847"/>
      <c r="EE384" s="847"/>
      <c r="EF384" s="847"/>
      <c r="EG384" s="1212"/>
      <c r="EH384" s="847"/>
      <c r="EI384" s="1212"/>
    </row>
    <row r="385" spans="1:139" s="733" customFormat="1" ht="13.5">
      <c r="A385" s="1009" t="s">
        <v>415</v>
      </c>
      <c r="B385" s="1212" t="s">
        <v>595</v>
      </c>
      <c r="C385" s="1213">
        <v>0</v>
      </c>
      <c r="D385" s="1013" t="s">
        <v>92</v>
      </c>
      <c r="E385" s="847"/>
      <c r="F385" s="1013"/>
      <c r="G385" s="847"/>
      <c r="H385" s="1013"/>
      <c r="I385" s="847"/>
      <c r="J385" s="1013"/>
      <c r="K385" s="847"/>
      <c r="L385" s="1013"/>
      <c r="M385" s="847"/>
      <c r="N385" s="1013"/>
      <c r="O385" s="847"/>
      <c r="P385" s="1013"/>
      <c r="Q385" s="847"/>
      <c r="R385" s="847"/>
      <c r="S385" s="847"/>
      <c r="T385" s="847"/>
      <c r="U385" s="847"/>
      <c r="V385" s="847"/>
      <c r="W385" s="847"/>
      <c r="X385" s="847"/>
      <c r="Y385" s="847"/>
      <c r="Z385" s="847"/>
      <c r="AA385" s="847"/>
      <c r="AB385" s="847"/>
      <c r="AC385" s="847"/>
      <c r="AD385" s="847"/>
      <c r="AE385" s="847"/>
      <c r="AF385" s="847"/>
      <c r="AG385" s="847"/>
      <c r="AH385" s="847"/>
      <c r="AI385" s="847"/>
      <c r="AJ385" s="847"/>
      <c r="AK385" s="847"/>
      <c r="AL385" s="847"/>
      <c r="AM385" s="847"/>
      <c r="AN385" s="847"/>
      <c r="AO385" s="847"/>
      <c r="AP385" s="847"/>
      <c r="AQ385" s="847"/>
      <c r="AR385" s="847"/>
      <c r="AS385" s="847"/>
      <c r="AT385" s="847"/>
      <c r="AU385" s="847"/>
      <c r="AV385" s="847"/>
      <c r="AW385" s="847"/>
      <c r="AX385" s="847"/>
      <c r="AY385" s="847"/>
      <c r="AZ385" s="847"/>
      <c r="BA385" s="847"/>
      <c r="BB385" s="847"/>
      <c r="BC385" s="847"/>
      <c r="BD385" s="847"/>
      <c r="BE385" s="847"/>
      <c r="BF385" s="847"/>
      <c r="BG385" s="847"/>
      <c r="BH385" s="847"/>
      <c r="BI385" s="847"/>
      <c r="BJ385" s="847"/>
      <c r="BK385" s="847"/>
      <c r="BL385" s="847"/>
      <c r="BM385" s="847"/>
      <c r="BN385" s="847"/>
      <c r="BO385" s="847"/>
      <c r="BP385" s="847"/>
      <c r="BQ385" s="847"/>
      <c r="BR385" s="847"/>
      <c r="BS385" s="847"/>
      <c r="BT385" s="847"/>
      <c r="BU385" s="847"/>
      <c r="BV385" s="847"/>
      <c r="BW385" s="847"/>
      <c r="BX385" s="847"/>
      <c r="BY385" s="847"/>
      <c r="BZ385" s="847"/>
      <c r="CA385" s="847"/>
      <c r="CB385" s="847"/>
      <c r="CC385" s="847"/>
      <c r="CD385" s="847"/>
      <c r="CE385" s="847"/>
      <c r="CF385" s="847"/>
      <c r="CG385" s="847"/>
      <c r="CH385" s="847"/>
      <c r="CI385" s="847"/>
      <c r="CJ385" s="847"/>
      <c r="CK385" s="847"/>
      <c r="CL385" s="847"/>
      <c r="CM385" s="847"/>
      <c r="CN385" s="847"/>
      <c r="CO385" s="847"/>
      <c r="CP385" s="847"/>
      <c r="CQ385" s="847"/>
      <c r="CR385" s="847"/>
      <c r="CS385" s="847"/>
      <c r="CT385" s="847"/>
      <c r="CU385" s="847"/>
      <c r="CV385" s="847"/>
      <c r="CW385" s="847"/>
      <c r="CX385" s="847"/>
      <c r="CY385" s="847"/>
      <c r="CZ385" s="847"/>
      <c r="DA385" s="847"/>
      <c r="DB385" s="847"/>
      <c r="DC385" s="847"/>
      <c r="DD385" s="847"/>
      <c r="DE385" s="847"/>
      <c r="DF385" s="847"/>
      <c r="DG385" s="847"/>
      <c r="DH385" s="847"/>
      <c r="DI385" s="847"/>
      <c r="DJ385" s="847"/>
      <c r="DK385" s="847"/>
      <c r="DL385" s="847"/>
      <c r="DM385" s="1212"/>
      <c r="DN385" s="1224">
        <f>'Lead &amp; ANALYSIS'!G6500/10000</f>
        <v>0.02</v>
      </c>
      <c r="DO385" s="1013">
        <f t="shared" si="16"/>
        <v>0</v>
      </c>
      <c r="DP385" s="847">
        <f>'Lead &amp; ANALYSIS'!G6499/10000</f>
        <v>8.0000000000000004E-4</v>
      </c>
      <c r="DQ385" s="1013">
        <f t="shared" si="17"/>
        <v>0</v>
      </c>
      <c r="DR385" s="1225"/>
      <c r="DS385" s="1013"/>
      <c r="DT385" s="1225"/>
      <c r="DU385" s="1214"/>
      <c r="DV385" s="1242"/>
      <c r="DW385" s="1232"/>
      <c r="DX385" s="1222"/>
      <c r="DY385" s="847"/>
      <c r="DZ385" s="847"/>
      <c r="EA385" s="847"/>
      <c r="EB385" s="847"/>
      <c r="EC385" s="847"/>
      <c r="ED385" s="847"/>
      <c r="EE385" s="847"/>
      <c r="EF385" s="847"/>
      <c r="EG385" s="1212"/>
      <c r="EH385" s="847"/>
      <c r="EI385" s="1212"/>
    </row>
    <row r="386" spans="1:139" s="733" customFormat="1" ht="13.5">
      <c r="A386" s="1009">
        <v>130</v>
      </c>
      <c r="B386" s="1212" t="s">
        <v>596</v>
      </c>
      <c r="C386" s="1213">
        <v>0</v>
      </c>
      <c r="D386" s="1013" t="s">
        <v>49</v>
      </c>
      <c r="E386" s="847"/>
      <c r="F386" s="1013"/>
      <c r="G386" s="847"/>
      <c r="H386" s="1013"/>
      <c r="I386" s="847"/>
      <c r="J386" s="1013"/>
      <c r="K386" s="847"/>
      <c r="L386" s="1013"/>
      <c r="M386" s="847"/>
      <c r="N386" s="1013"/>
      <c r="O386" s="847"/>
      <c r="P386" s="1013"/>
      <c r="Q386" s="847"/>
      <c r="R386" s="847"/>
      <c r="S386" s="847"/>
      <c r="T386" s="847"/>
      <c r="U386" s="847"/>
      <c r="V386" s="847"/>
      <c r="W386" s="847"/>
      <c r="X386" s="847"/>
      <c r="Y386" s="847"/>
      <c r="Z386" s="847"/>
      <c r="AA386" s="847"/>
      <c r="AB386" s="847"/>
      <c r="AC386" s="847"/>
      <c r="AD386" s="847"/>
      <c r="AE386" s="847"/>
      <c r="AF386" s="847"/>
      <c r="AG386" s="847"/>
      <c r="AH386" s="847"/>
      <c r="AI386" s="847"/>
      <c r="AJ386" s="847"/>
      <c r="AK386" s="847"/>
      <c r="AL386" s="847"/>
      <c r="AM386" s="847"/>
      <c r="AN386" s="847"/>
      <c r="AO386" s="847"/>
      <c r="AP386" s="847"/>
      <c r="AQ386" s="847"/>
      <c r="AR386" s="847"/>
      <c r="AS386" s="847"/>
      <c r="AT386" s="847"/>
      <c r="AU386" s="847"/>
      <c r="AV386" s="847"/>
      <c r="AW386" s="847"/>
      <c r="AX386" s="847"/>
      <c r="AY386" s="847"/>
      <c r="AZ386" s="847"/>
      <c r="BA386" s="847"/>
      <c r="BB386" s="847"/>
      <c r="BC386" s="847"/>
      <c r="BD386" s="847"/>
      <c r="BE386" s="847"/>
      <c r="BF386" s="847"/>
      <c r="BG386" s="847"/>
      <c r="BH386" s="847"/>
      <c r="BI386" s="847"/>
      <c r="BJ386" s="847"/>
      <c r="BK386" s="847"/>
      <c r="BL386" s="847"/>
      <c r="BM386" s="847"/>
      <c r="BN386" s="847"/>
      <c r="BO386" s="847"/>
      <c r="BP386" s="847"/>
      <c r="BQ386" s="847"/>
      <c r="BR386" s="847"/>
      <c r="BS386" s="847"/>
      <c r="BT386" s="847"/>
      <c r="BU386" s="847"/>
      <c r="BV386" s="847"/>
      <c r="BW386" s="847"/>
      <c r="BX386" s="847"/>
      <c r="BY386" s="847"/>
      <c r="BZ386" s="847"/>
      <c r="CA386" s="847"/>
      <c r="CB386" s="847"/>
      <c r="CC386" s="847"/>
      <c r="CD386" s="847"/>
      <c r="CE386" s="847"/>
      <c r="CF386" s="847"/>
      <c r="CG386" s="847"/>
      <c r="CH386" s="847"/>
      <c r="CI386" s="847"/>
      <c r="CJ386" s="847"/>
      <c r="CK386" s="847"/>
      <c r="CL386" s="847"/>
      <c r="CM386" s="847"/>
      <c r="CN386" s="847"/>
      <c r="CO386" s="847"/>
      <c r="CP386" s="847"/>
      <c r="CQ386" s="847"/>
      <c r="CR386" s="847"/>
      <c r="CS386" s="847"/>
      <c r="CT386" s="847"/>
      <c r="CU386" s="847"/>
      <c r="CV386" s="847"/>
      <c r="CW386" s="847"/>
      <c r="CX386" s="847"/>
      <c r="CY386" s="847"/>
      <c r="CZ386" s="847"/>
      <c r="DA386" s="847"/>
      <c r="DB386" s="847"/>
      <c r="DC386" s="847"/>
      <c r="DD386" s="847"/>
      <c r="DE386" s="847"/>
      <c r="DF386" s="847"/>
      <c r="DG386" s="847"/>
      <c r="DH386" s="847"/>
      <c r="DI386" s="847"/>
      <c r="DJ386" s="847"/>
      <c r="DK386" s="847"/>
      <c r="DL386" s="847"/>
      <c r="DM386" s="1212"/>
      <c r="DN386" s="1224" t="e">
        <f>'Lead &amp; ANALYSIS'!#REF!/1.25</f>
        <v>#REF!</v>
      </c>
      <c r="DO386" s="1013" t="e">
        <f t="shared" si="16"/>
        <v>#REF!</v>
      </c>
      <c r="DP386" s="847" t="e">
        <f>'Lead &amp; ANALYSIS'!#REF!/1.25</f>
        <v>#REF!</v>
      </c>
      <c r="DQ386" s="1013" t="e">
        <f t="shared" si="17"/>
        <v>#REF!</v>
      </c>
      <c r="DR386" s="1225"/>
      <c r="DS386" s="1013"/>
      <c r="DT386" s="1225"/>
      <c r="DU386" s="1214"/>
      <c r="DV386" s="1242"/>
      <c r="DW386" s="1232"/>
      <c r="DX386" s="1222"/>
      <c r="DY386" s="847"/>
      <c r="DZ386" s="847"/>
      <c r="EA386" s="847"/>
      <c r="EB386" s="847"/>
      <c r="EC386" s="847"/>
      <c r="ED386" s="847"/>
      <c r="EE386" s="847"/>
      <c r="EF386" s="847"/>
      <c r="EG386" s="1212"/>
      <c r="EH386" s="847"/>
      <c r="EI386" s="1212"/>
    </row>
    <row r="387" spans="1:139" s="733" customFormat="1" ht="13.5">
      <c r="A387" s="1009">
        <v>131</v>
      </c>
      <c r="B387" s="1212" t="s">
        <v>597</v>
      </c>
      <c r="C387" s="1213">
        <v>0</v>
      </c>
      <c r="D387" s="1013" t="s">
        <v>49</v>
      </c>
      <c r="E387" s="847"/>
      <c r="F387" s="1013"/>
      <c r="G387" s="847"/>
      <c r="H387" s="1013"/>
      <c r="I387" s="847"/>
      <c r="J387" s="1013"/>
      <c r="K387" s="847"/>
      <c r="L387" s="1013"/>
      <c r="M387" s="847"/>
      <c r="N387" s="1013"/>
      <c r="O387" s="847"/>
      <c r="P387" s="1013"/>
      <c r="Q387" s="847"/>
      <c r="R387" s="847"/>
      <c r="S387" s="847"/>
      <c r="T387" s="847"/>
      <c r="U387" s="847"/>
      <c r="V387" s="847"/>
      <c r="W387" s="847"/>
      <c r="X387" s="847"/>
      <c r="Y387" s="847"/>
      <c r="Z387" s="847"/>
      <c r="AA387" s="847"/>
      <c r="AB387" s="847"/>
      <c r="AC387" s="847"/>
      <c r="AD387" s="847"/>
      <c r="AE387" s="847"/>
      <c r="AF387" s="847"/>
      <c r="AG387" s="847"/>
      <c r="AH387" s="847"/>
      <c r="AI387" s="847"/>
      <c r="AJ387" s="847"/>
      <c r="AK387" s="847"/>
      <c r="AL387" s="847"/>
      <c r="AM387" s="847"/>
      <c r="AN387" s="847"/>
      <c r="AO387" s="847"/>
      <c r="AP387" s="847"/>
      <c r="AQ387" s="847"/>
      <c r="AR387" s="847"/>
      <c r="AS387" s="847"/>
      <c r="AT387" s="847"/>
      <c r="AU387" s="847"/>
      <c r="AV387" s="847"/>
      <c r="AW387" s="847"/>
      <c r="AX387" s="847"/>
      <c r="AY387" s="847"/>
      <c r="AZ387" s="847"/>
      <c r="BA387" s="847"/>
      <c r="BB387" s="847"/>
      <c r="BC387" s="847"/>
      <c r="BD387" s="847"/>
      <c r="BE387" s="847"/>
      <c r="BF387" s="847"/>
      <c r="BG387" s="847"/>
      <c r="BH387" s="847"/>
      <c r="BI387" s="847"/>
      <c r="BJ387" s="847"/>
      <c r="BK387" s="847"/>
      <c r="BL387" s="847"/>
      <c r="BM387" s="847"/>
      <c r="BN387" s="847"/>
      <c r="BO387" s="847"/>
      <c r="BP387" s="847"/>
      <c r="BQ387" s="847"/>
      <c r="BR387" s="847"/>
      <c r="BS387" s="847"/>
      <c r="BT387" s="847"/>
      <c r="BU387" s="847"/>
      <c r="BV387" s="847"/>
      <c r="BW387" s="847"/>
      <c r="BX387" s="847"/>
      <c r="BY387" s="847"/>
      <c r="BZ387" s="847"/>
      <c r="CA387" s="847"/>
      <c r="CB387" s="847"/>
      <c r="CC387" s="847"/>
      <c r="CD387" s="847"/>
      <c r="CE387" s="847"/>
      <c r="CF387" s="847"/>
      <c r="CG387" s="847"/>
      <c r="CH387" s="847"/>
      <c r="CI387" s="847"/>
      <c r="CJ387" s="847"/>
      <c r="CK387" s="847"/>
      <c r="CL387" s="847"/>
      <c r="CM387" s="847"/>
      <c r="CN387" s="847"/>
      <c r="CO387" s="847"/>
      <c r="CP387" s="847"/>
      <c r="CQ387" s="847"/>
      <c r="CR387" s="847"/>
      <c r="CS387" s="847"/>
      <c r="CT387" s="847"/>
      <c r="CU387" s="847"/>
      <c r="CV387" s="847"/>
      <c r="CW387" s="847"/>
      <c r="CX387" s="847"/>
      <c r="CY387" s="847"/>
      <c r="CZ387" s="847"/>
      <c r="DA387" s="847"/>
      <c r="DB387" s="847"/>
      <c r="DC387" s="847"/>
      <c r="DD387" s="847"/>
      <c r="DE387" s="847"/>
      <c r="DF387" s="847"/>
      <c r="DG387" s="847"/>
      <c r="DH387" s="847"/>
      <c r="DI387" s="847"/>
      <c r="DJ387" s="847"/>
      <c r="DK387" s="847"/>
      <c r="DL387" s="847"/>
      <c r="DM387" s="1212"/>
      <c r="DN387" s="1224" t="e">
        <f>'Lead &amp; ANALYSIS'!#REF!/1.25</f>
        <v>#REF!</v>
      </c>
      <c r="DO387" s="1013" t="e">
        <f t="shared" si="16"/>
        <v>#REF!</v>
      </c>
      <c r="DP387" s="847" t="e">
        <f>'Lead &amp; ANALYSIS'!#REF!/1.25</f>
        <v>#REF!</v>
      </c>
      <c r="DQ387" s="1013" t="e">
        <f t="shared" si="17"/>
        <v>#REF!</v>
      </c>
      <c r="DR387" s="1225"/>
      <c r="DS387" s="1013"/>
      <c r="DT387" s="1225"/>
      <c r="DU387" s="1214"/>
      <c r="DV387" s="1242"/>
      <c r="DW387" s="1232"/>
      <c r="DX387" s="1222"/>
      <c r="DY387" s="847"/>
      <c r="DZ387" s="847"/>
      <c r="EA387" s="847"/>
      <c r="EB387" s="847"/>
      <c r="EC387" s="847"/>
      <c r="ED387" s="847"/>
      <c r="EE387" s="847"/>
      <c r="EF387" s="847"/>
      <c r="EG387" s="1212"/>
      <c r="EH387" s="847"/>
      <c r="EI387" s="1212"/>
    </row>
    <row r="388" spans="1:139" s="733" customFormat="1" ht="13.5">
      <c r="A388" s="1009">
        <v>132</v>
      </c>
      <c r="B388" s="1212" t="s">
        <v>598</v>
      </c>
      <c r="C388" s="1213">
        <v>0</v>
      </c>
      <c r="D388" s="1013" t="s">
        <v>37</v>
      </c>
      <c r="E388" s="847"/>
      <c r="F388" s="1013"/>
      <c r="G388" s="847"/>
      <c r="H388" s="1013"/>
      <c r="I388" s="847"/>
      <c r="J388" s="1013"/>
      <c r="K388" s="847"/>
      <c r="L388" s="1013"/>
      <c r="M388" s="847"/>
      <c r="N388" s="1013"/>
      <c r="O388" s="847"/>
      <c r="P388" s="1013"/>
      <c r="Q388" s="847"/>
      <c r="R388" s="847"/>
      <c r="S388" s="847"/>
      <c r="T388" s="847"/>
      <c r="U388" s="847"/>
      <c r="V388" s="847"/>
      <c r="W388" s="847"/>
      <c r="X388" s="847"/>
      <c r="Y388" s="847"/>
      <c r="Z388" s="847"/>
      <c r="AA388" s="847"/>
      <c r="AB388" s="847"/>
      <c r="AC388" s="847"/>
      <c r="AD388" s="847"/>
      <c r="AE388" s="847"/>
      <c r="AF388" s="847"/>
      <c r="AG388" s="847"/>
      <c r="AH388" s="847"/>
      <c r="AI388" s="847"/>
      <c r="AJ388" s="847"/>
      <c r="AK388" s="847"/>
      <c r="AL388" s="847"/>
      <c r="AM388" s="847"/>
      <c r="AN388" s="847"/>
      <c r="AO388" s="847"/>
      <c r="AP388" s="847"/>
      <c r="AQ388" s="847"/>
      <c r="AR388" s="847"/>
      <c r="AS388" s="847"/>
      <c r="AT388" s="847"/>
      <c r="AU388" s="847"/>
      <c r="AV388" s="847"/>
      <c r="AW388" s="847"/>
      <c r="AX388" s="847"/>
      <c r="AY388" s="847"/>
      <c r="AZ388" s="847"/>
      <c r="BA388" s="847"/>
      <c r="BB388" s="847"/>
      <c r="BC388" s="847"/>
      <c r="BD388" s="847"/>
      <c r="BE388" s="847"/>
      <c r="BF388" s="847"/>
      <c r="BG388" s="847"/>
      <c r="BH388" s="847"/>
      <c r="BI388" s="847"/>
      <c r="BJ388" s="847"/>
      <c r="BK388" s="847"/>
      <c r="BL388" s="847"/>
      <c r="BM388" s="847"/>
      <c r="BN388" s="847"/>
      <c r="BO388" s="847"/>
      <c r="BP388" s="847"/>
      <c r="BQ388" s="847"/>
      <c r="BR388" s="847"/>
      <c r="BS388" s="847"/>
      <c r="BT388" s="847"/>
      <c r="BU388" s="847"/>
      <c r="BV388" s="847"/>
      <c r="BW388" s="847"/>
      <c r="BX388" s="847"/>
      <c r="BY388" s="847"/>
      <c r="BZ388" s="847"/>
      <c r="CA388" s="847"/>
      <c r="CB388" s="847"/>
      <c r="CC388" s="847"/>
      <c r="CD388" s="847"/>
      <c r="CE388" s="847"/>
      <c r="CF388" s="847"/>
      <c r="CG388" s="847"/>
      <c r="CH388" s="847"/>
      <c r="CI388" s="847"/>
      <c r="CJ388" s="847"/>
      <c r="CK388" s="847"/>
      <c r="CL388" s="847"/>
      <c r="CM388" s="847"/>
      <c r="CN388" s="847"/>
      <c r="CO388" s="847"/>
      <c r="CP388" s="847"/>
      <c r="CQ388" s="847"/>
      <c r="CR388" s="847"/>
      <c r="CS388" s="847"/>
      <c r="CT388" s="847"/>
      <c r="CU388" s="847"/>
      <c r="CV388" s="847"/>
      <c r="CW388" s="847"/>
      <c r="CX388" s="847"/>
      <c r="CY388" s="847"/>
      <c r="CZ388" s="847"/>
      <c r="DA388" s="847"/>
      <c r="DB388" s="847"/>
      <c r="DC388" s="847"/>
      <c r="DD388" s="847"/>
      <c r="DE388" s="847"/>
      <c r="DF388" s="847"/>
      <c r="DG388" s="847"/>
      <c r="DH388" s="847"/>
      <c r="DI388" s="847"/>
      <c r="DJ388" s="847"/>
      <c r="DK388" s="847"/>
      <c r="DL388" s="847"/>
      <c r="DM388" s="1212"/>
      <c r="DN388" s="1231" t="e">
        <f>'Lead &amp; ANALYSIS'!#REF!/1000</f>
        <v>#REF!</v>
      </c>
      <c r="DO388" s="1013" t="e">
        <f t="shared" si="16"/>
        <v>#REF!</v>
      </c>
      <c r="DP388" s="847" t="e">
        <f>'Lead &amp; ANALYSIS'!#REF!/1000</f>
        <v>#REF!</v>
      </c>
      <c r="DQ388" s="1013" t="e">
        <f t="shared" si="17"/>
        <v>#REF!</v>
      </c>
      <c r="DR388" s="1225"/>
      <c r="DS388" s="1013"/>
      <c r="DT388" s="1225"/>
      <c r="DU388" s="1214"/>
      <c r="DV388" s="1242"/>
      <c r="DW388" s="1232"/>
      <c r="DX388" s="1222"/>
      <c r="DY388" s="847"/>
      <c r="DZ388" s="847"/>
      <c r="EA388" s="847"/>
      <c r="EB388" s="847"/>
      <c r="EC388" s="847"/>
      <c r="ED388" s="847"/>
      <c r="EE388" s="847"/>
      <c r="EF388" s="847"/>
      <c r="EG388" s="1212"/>
      <c r="EH388" s="847"/>
      <c r="EI388" s="1212"/>
    </row>
    <row r="389" spans="1:139" s="733" customFormat="1" ht="13.5">
      <c r="A389" s="1009">
        <v>133</v>
      </c>
      <c r="B389" s="1212" t="s">
        <v>599</v>
      </c>
      <c r="C389" s="1213">
        <v>0</v>
      </c>
      <c r="D389" s="1013" t="s">
        <v>37</v>
      </c>
      <c r="E389" s="847"/>
      <c r="F389" s="1013"/>
      <c r="G389" s="847"/>
      <c r="H389" s="1013"/>
      <c r="I389" s="847"/>
      <c r="J389" s="1013"/>
      <c r="K389" s="847"/>
      <c r="L389" s="1013"/>
      <c r="M389" s="847"/>
      <c r="N389" s="1013"/>
      <c r="O389" s="847"/>
      <c r="P389" s="1013"/>
      <c r="Q389" s="847"/>
      <c r="R389" s="847"/>
      <c r="S389" s="847"/>
      <c r="T389" s="847"/>
      <c r="U389" s="847"/>
      <c r="V389" s="847"/>
      <c r="W389" s="847"/>
      <c r="X389" s="847"/>
      <c r="Y389" s="847"/>
      <c r="Z389" s="847"/>
      <c r="AA389" s="847"/>
      <c r="AB389" s="847"/>
      <c r="AC389" s="847"/>
      <c r="AD389" s="847"/>
      <c r="AE389" s="847"/>
      <c r="AF389" s="847"/>
      <c r="AG389" s="847"/>
      <c r="AH389" s="847"/>
      <c r="AI389" s="847"/>
      <c r="AJ389" s="847"/>
      <c r="AK389" s="847"/>
      <c r="AL389" s="847"/>
      <c r="AM389" s="847"/>
      <c r="AN389" s="847"/>
      <c r="AO389" s="847"/>
      <c r="AP389" s="847"/>
      <c r="AQ389" s="847"/>
      <c r="AR389" s="847"/>
      <c r="AS389" s="847"/>
      <c r="AT389" s="847"/>
      <c r="AU389" s="847"/>
      <c r="AV389" s="847"/>
      <c r="AW389" s="847"/>
      <c r="AX389" s="847"/>
      <c r="AY389" s="847"/>
      <c r="AZ389" s="847"/>
      <c r="BA389" s="847"/>
      <c r="BB389" s="847"/>
      <c r="BC389" s="847"/>
      <c r="BD389" s="847"/>
      <c r="BE389" s="847"/>
      <c r="BF389" s="847"/>
      <c r="BG389" s="847"/>
      <c r="BH389" s="847"/>
      <c r="BI389" s="847"/>
      <c r="BJ389" s="847"/>
      <c r="BK389" s="847"/>
      <c r="BL389" s="847"/>
      <c r="BM389" s="847"/>
      <c r="BN389" s="847"/>
      <c r="BO389" s="847"/>
      <c r="BP389" s="847"/>
      <c r="BQ389" s="847"/>
      <c r="BR389" s="847"/>
      <c r="BS389" s="847"/>
      <c r="BT389" s="847"/>
      <c r="BU389" s="847"/>
      <c r="BV389" s="847"/>
      <c r="BW389" s="847"/>
      <c r="BX389" s="847"/>
      <c r="BY389" s="847"/>
      <c r="BZ389" s="847"/>
      <c r="CA389" s="847"/>
      <c r="CB389" s="847"/>
      <c r="CC389" s="847"/>
      <c r="CD389" s="847"/>
      <c r="CE389" s="847"/>
      <c r="CF389" s="847"/>
      <c r="CG389" s="847"/>
      <c r="CH389" s="847"/>
      <c r="CI389" s="847"/>
      <c r="CJ389" s="847"/>
      <c r="CK389" s="847"/>
      <c r="CL389" s="847"/>
      <c r="CM389" s="847"/>
      <c r="CN389" s="847"/>
      <c r="CO389" s="847"/>
      <c r="CP389" s="847"/>
      <c r="CQ389" s="847"/>
      <c r="CR389" s="847"/>
      <c r="CS389" s="847"/>
      <c r="CT389" s="847"/>
      <c r="CU389" s="847"/>
      <c r="CV389" s="847"/>
      <c r="CW389" s="847"/>
      <c r="CX389" s="847"/>
      <c r="CY389" s="847"/>
      <c r="CZ389" s="847"/>
      <c r="DA389" s="847"/>
      <c r="DB389" s="847"/>
      <c r="DC389" s="847"/>
      <c r="DD389" s="847"/>
      <c r="DE389" s="847"/>
      <c r="DF389" s="847"/>
      <c r="DG389" s="847"/>
      <c r="DH389" s="847"/>
      <c r="DI389" s="847"/>
      <c r="DJ389" s="847"/>
      <c r="DK389" s="847"/>
      <c r="DL389" s="847"/>
      <c r="DM389" s="1212"/>
      <c r="DN389" s="1231" t="e">
        <f>'Lead &amp; ANALYSIS'!#REF!/1000</f>
        <v>#REF!</v>
      </c>
      <c r="DO389" s="1013" t="e">
        <f>ROUND(C389*DN389,2)</f>
        <v>#REF!</v>
      </c>
      <c r="DP389" s="847" t="e">
        <f>'Lead &amp; ANALYSIS'!#REF!/1000</f>
        <v>#REF!</v>
      </c>
      <c r="DQ389" s="1013" t="e">
        <f>ROUND(C389*DP389,2)</f>
        <v>#REF!</v>
      </c>
      <c r="DR389" s="1225"/>
      <c r="DS389" s="1013"/>
      <c r="DT389" s="1225"/>
      <c r="DU389" s="1214"/>
      <c r="DV389" s="1242"/>
      <c r="DW389" s="1232"/>
      <c r="DX389" s="1222"/>
      <c r="DY389" s="847"/>
      <c r="DZ389" s="847"/>
      <c r="EA389" s="847"/>
      <c r="EB389" s="847"/>
      <c r="EC389" s="847"/>
      <c r="ED389" s="847"/>
      <c r="EE389" s="847"/>
      <c r="EF389" s="847"/>
      <c r="EG389" s="1212"/>
      <c r="EH389" s="847"/>
      <c r="EI389" s="1212"/>
    </row>
    <row r="390" spans="1:139" s="733" customFormat="1" ht="13.5">
      <c r="A390" s="1009">
        <v>134</v>
      </c>
      <c r="B390" s="1212" t="s">
        <v>600</v>
      </c>
      <c r="C390" s="1213">
        <v>0</v>
      </c>
      <c r="D390" s="1013" t="s">
        <v>92</v>
      </c>
      <c r="E390" s="847"/>
      <c r="F390" s="1013"/>
      <c r="G390" s="847"/>
      <c r="H390" s="1013"/>
      <c r="I390" s="847"/>
      <c r="J390" s="1013"/>
      <c r="K390" s="847"/>
      <c r="L390" s="1013"/>
      <c r="M390" s="847"/>
      <c r="N390" s="1013"/>
      <c r="O390" s="847"/>
      <c r="P390" s="1013"/>
      <c r="Q390" s="847"/>
      <c r="R390" s="847"/>
      <c r="S390" s="847"/>
      <c r="T390" s="847"/>
      <c r="U390" s="847"/>
      <c r="V390" s="847"/>
      <c r="W390" s="847"/>
      <c r="X390" s="847"/>
      <c r="Y390" s="847"/>
      <c r="Z390" s="847"/>
      <c r="AA390" s="847"/>
      <c r="AB390" s="847"/>
      <c r="AC390" s="847"/>
      <c r="AD390" s="847"/>
      <c r="AE390" s="847"/>
      <c r="AF390" s="847"/>
      <c r="AG390" s="847"/>
      <c r="AH390" s="847"/>
      <c r="AI390" s="847"/>
      <c r="AJ390" s="847"/>
      <c r="AK390" s="847"/>
      <c r="AL390" s="847"/>
      <c r="AM390" s="847"/>
      <c r="AN390" s="847"/>
      <c r="AO390" s="847"/>
      <c r="AP390" s="847"/>
      <c r="AQ390" s="847"/>
      <c r="AR390" s="847"/>
      <c r="AS390" s="847"/>
      <c r="AT390" s="847"/>
      <c r="AU390" s="847"/>
      <c r="AV390" s="847"/>
      <c r="AW390" s="847"/>
      <c r="AX390" s="847"/>
      <c r="AY390" s="847"/>
      <c r="AZ390" s="847"/>
      <c r="BA390" s="847"/>
      <c r="BB390" s="847"/>
      <c r="BC390" s="847"/>
      <c r="BD390" s="847"/>
      <c r="BE390" s="847"/>
      <c r="BF390" s="847"/>
      <c r="BG390" s="847"/>
      <c r="BH390" s="847"/>
      <c r="BI390" s="847"/>
      <c r="BJ390" s="847"/>
      <c r="BK390" s="847"/>
      <c r="BL390" s="847"/>
      <c r="BM390" s="847"/>
      <c r="BN390" s="847"/>
      <c r="BO390" s="847"/>
      <c r="BP390" s="847"/>
      <c r="BQ390" s="847"/>
      <c r="BR390" s="847"/>
      <c r="BS390" s="847"/>
      <c r="BT390" s="847"/>
      <c r="BU390" s="847"/>
      <c r="BV390" s="847"/>
      <c r="BW390" s="847"/>
      <c r="BX390" s="847"/>
      <c r="BY390" s="847"/>
      <c r="BZ390" s="847"/>
      <c r="CA390" s="847"/>
      <c r="CB390" s="847"/>
      <c r="CC390" s="847"/>
      <c r="CD390" s="847"/>
      <c r="CE390" s="847"/>
      <c r="CF390" s="847"/>
      <c r="CG390" s="847"/>
      <c r="CH390" s="847"/>
      <c r="CI390" s="847"/>
      <c r="CJ390" s="847"/>
      <c r="CK390" s="847"/>
      <c r="CL390" s="847"/>
      <c r="CM390" s="847"/>
      <c r="CN390" s="847"/>
      <c r="CO390" s="847"/>
      <c r="CP390" s="847"/>
      <c r="CQ390" s="847"/>
      <c r="CR390" s="847"/>
      <c r="CS390" s="847"/>
      <c r="CT390" s="847"/>
      <c r="CU390" s="847"/>
      <c r="CV390" s="847"/>
      <c r="CW390" s="847"/>
      <c r="CX390" s="847"/>
      <c r="CY390" s="847"/>
      <c r="CZ390" s="847"/>
      <c r="DA390" s="847"/>
      <c r="DB390" s="847"/>
      <c r="DC390" s="847"/>
      <c r="DD390" s="847"/>
      <c r="DE390" s="847"/>
      <c r="DF390" s="847"/>
      <c r="DG390" s="847"/>
      <c r="DH390" s="847"/>
      <c r="DI390" s="847"/>
      <c r="DJ390" s="847"/>
      <c r="DK390" s="847"/>
      <c r="DL390" s="847"/>
      <c r="DM390" s="1212"/>
      <c r="DN390" s="1231">
        <f>'Lead &amp; ANALYSIS'!G1803/100+('Lead &amp; ANALYSIS'!G1803*2%/100)</f>
        <v>0.43859999999999999</v>
      </c>
      <c r="DO390" s="1013">
        <f>ROUND(C390*DN390,2)</f>
        <v>0</v>
      </c>
      <c r="DP390" s="847"/>
      <c r="DQ390" s="1013"/>
      <c r="DR390" s="1225"/>
      <c r="DS390" s="1013"/>
      <c r="DT390" s="1225"/>
      <c r="DU390" s="1214"/>
      <c r="DV390" s="1242"/>
      <c r="DW390" s="1232"/>
      <c r="DX390" s="1222"/>
      <c r="DY390" s="847"/>
      <c r="DZ390" s="847"/>
      <c r="EA390" s="847"/>
      <c r="EB390" s="847"/>
      <c r="EC390" s="847"/>
      <c r="ED390" s="847"/>
      <c r="EE390" s="847"/>
      <c r="EF390" s="847"/>
      <c r="EG390" s="1212"/>
      <c r="EH390" s="847"/>
      <c r="EI390" s="1212"/>
    </row>
    <row r="391" spans="1:139" s="733" customFormat="1" ht="13.5">
      <c r="A391" s="1009">
        <v>135</v>
      </c>
      <c r="B391" s="1212" t="s">
        <v>3110</v>
      </c>
      <c r="C391" s="1213">
        <v>0</v>
      </c>
      <c r="D391" s="1013" t="s">
        <v>37</v>
      </c>
      <c r="E391" s="847"/>
      <c r="F391" s="1013"/>
      <c r="G391" s="847"/>
      <c r="H391" s="1013"/>
      <c r="I391" s="847"/>
      <c r="J391" s="1013"/>
      <c r="K391" s="847"/>
      <c r="L391" s="1013"/>
      <c r="M391" s="847"/>
      <c r="N391" s="1013"/>
      <c r="O391" s="847"/>
      <c r="P391" s="1013"/>
      <c r="Q391" s="847"/>
      <c r="R391" s="847"/>
      <c r="S391" s="847"/>
      <c r="T391" s="847"/>
      <c r="U391" s="847"/>
      <c r="V391" s="847"/>
      <c r="W391" s="847"/>
      <c r="X391" s="847"/>
      <c r="Y391" s="847"/>
      <c r="Z391" s="847"/>
      <c r="AA391" s="847"/>
      <c r="AB391" s="847"/>
      <c r="AC391" s="847"/>
      <c r="AD391" s="847"/>
      <c r="AE391" s="847"/>
      <c r="AF391" s="847"/>
      <c r="AG391" s="847"/>
      <c r="AH391" s="847"/>
      <c r="AI391" s="847"/>
      <c r="AJ391" s="847"/>
      <c r="AK391" s="847"/>
      <c r="AL391" s="847"/>
      <c r="AM391" s="847"/>
      <c r="AN391" s="847"/>
      <c r="AO391" s="847"/>
      <c r="AP391" s="847"/>
      <c r="AQ391" s="847"/>
      <c r="AR391" s="847"/>
      <c r="AS391" s="847"/>
      <c r="AT391" s="847"/>
      <c r="AU391" s="847"/>
      <c r="AV391" s="847"/>
      <c r="AW391" s="847"/>
      <c r="AX391" s="847"/>
      <c r="AY391" s="847"/>
      <c r="AZ391" s="847"/>
      <c r="BA391" s="847"/>
      <c r="BB391" s="847"/>
      <c r="BC391" s="847"/>
      <c r="BD391" s="847"/>
      <c r="BE391" s="847"/>
      <c r="BF391" s="847"/>
      <c r="BG391" s="847"/>
      <c r="BH391" s="847"/>
      <c r="BI391" s="847"/>
      <c r="BJ391" s="847"/>
      <c r="BK391" s="847"/>
      <c r="BL391" s="847"/>
      <c r="BM391" s="847"/>
      <c r="BN391" s="847"/>
      <c r="BO391" s="847"/>
      <c r="BP391" s="847"/>
      <c r="BQ391" s="847"/>
      <c r="BR391" s="847"/>
      <c r="BS391" s="847"/>
      <c r="BT391" s="847"/>
      <c r="BU391" s="847"/>
      <c r="BV391" s="847"/>
      <c r="BW391" s="847"/>
      <c r="BX391" s="847"/>
      <c r="BY391" s="847"/>
      <c r="BZ391" s="847"/>
      <c r="CA391" s="847"/>
      <c r="CB391" s="847"/>
      <c r="CC391" s="847"/>
      <c r="CD391" s="847"/>
      <c r="CE391" s="847"/>
      <c r="CF391" s="847"/>
      <c r="CG391" s="847"/>
      <c r="CH391" s="847"/>
      <c r="CI391" s="847"/>
      <c r="CJ391" s="847"/>
      <c r="CK391" s="847"/>
      <c r="CL391" s="847"/>
      <c r="CM391" s="847"/>
      <c r="CN391" s="847"/>
      <c r="CO391" s="847"/>
      <c r="CP391" s="847"/>
      <c r="CQ391" s="847"/>
      <c r="CR391" s="847"/>
      <c r="CS391" s="847"/>
      <c r="CT391" s="847"/>
      <c r="CU391" s="847"/>
      <c r="CV391" s="847"/>
      <c r="CW391" s="847"/>
      <c r="CX391" s="847"/>
      <c r="CY391" s="847"/>
      <c r="CZ391" s="847"/>
      <c r="DA391" s="847"/>
      <c r="DB391" s="847"/>
      <c r="DC391" s="847"/>
      <c r="DD391" s="847"/>
      <c r="DE391" s="847"/>
      <c r="DF391" s="847"/>
      <c r="DG391" s="847"/>
      <c r="DH391" s="847"/>
      <c r="DI391" s="847"/>
      <c r="DJ391" s="847"/>
      <c r="DK391" s="847"/>
      <c r="DL391" s="847"/>
      <c r="DM391" s="1212"/>
      <c r="DN391" s="1222"/>
      <c r="DO391" s="1013"/>
      <c r="DP391" s="847"/>
      <c r="DQ391" s="1013"/>
      <c r="DR391" s="1225"/>
      <c r="DS391" s="1013"/>
      <c r="DT391" s="1225"/>
      <c r="DU391" s="1214"/>
      <c r="DV391" s="1242"/>
      <c r="DW391" s="1232"/>
      <c r="DX391" s="1222"/>
      <c r="DY391" s="847"/>
      <c r="DZ391" s="847"/>
      <c r="EA391" s="847"/>
      <c r="EB391" s="847"/>
      <c r="EC391" s="847"/>
      <c r="ED391" s="847"/>
      <c r="EE391" s="847"/>
      <c r="EF391" s="847"/>
      <c r="EG391" s="1212"/>
      <c r="EH391" s="847"/>
      <c r="EI391" s="1212"/>
    </row>
    <row r="392" spans="1:139" s="733" customFormat="1" ht="13.5">
      <c r="A392" s="1009">
        <v>136</v>
      </c>
      <c r="B392" s="1212" t="s">
        <v>3111</v>
      </c>
      <c r="C392" s="1213">
        <v>0</v>
      </c>
      <c r="D392" s="1013" t="s">
        <v>49</v>
      </c>
      <c r="E392" s="847"/>
      <c r="F392" s="1013"/>
      <c r="G392" s="1013" t="e">
        <f>'Lead &amp; ANALYSIS'!#REF!</f>
        <v>#REF!</v>
      </c>
      <c r="H392" s="1013" t="e">
        <f>ROUND(C392*G392,2)</f>
        <v>#REF!</v>
      </c>
      <c r="I392" s="847"/>
      <c r="J392" s="1013"/>
      <c r="K392" s="847" t="e">
        <f>'Lead &amp; ANALYSIS'!#REF!*10</f>
        <v>#REF!</v>
      </c>
      <c r="L392" s="1013" t="e">
        <f>ROUND(C392*K392,2)</f>
        <v>#REF!</v>
      </c>
      <c r="M392" s="847"/>
      <c r="N392" s="1013"/>
      <c r="O392" s="847"/>
      <c r="P392" s="1013"/>
      <c r="Q392" s="847"/>
      <c r="R392" s="847"/>
      <c r="S392" s="847"/>
      <c r="T392" s="847"/>
      <c r="U392" s="847"/>
      <c r="V392" s="847"/>
      <c r="W392" s="847"/>
      <c r="X392" s="847"/>
      <c r="Y392" s="847"/>
      <c r="Z392" s="847"/>
      <c r="AA392" s="847"/>
      <c r="AB392" s="847"/>
      <c r="AC392" s="847"/>
      <c r="AD392" s="847"/>
      <c r="AE392" s="847"/>
      <c r="AF392" s="847"/>
      <c r="AG392" s="847"/>
      <c r="AH392" s="847"/>
      <c r="AI392" s="1013" t="e">
        <f>'Lead &amp; ANALYSIS'!#REF!</f>
        <v>#REF!</v>
      </c>
      <c r="AJ392" s="1013" t="e">
        <f>ROUND(C392*AI392,2)</f>
        <v>#REF!</v>
      </c>
      <c r="AK392" s="847"/>
      <c r="AL392" s="847"/>
      <c r="AM392" s="847"/>
      <c r="AN392" s="847"/>
      <c r="AO392" s="847"/>
      <c r="AP392" s="847"/>
      <c r="AQ392" s="847"/>
      <c r="AR392" s="847"/>
      <c r="AS392" s="847"/>
      <c r="AT392" s="847"/>
      <c r="AU392" s="847"/>
      <c r="AV392" s="847"/>
      <c r="AW392" s="847"/>
      <c r="AX392" s="847"/>
      <c r="AY392" s="847"/>
      <c r="AZ392" s="847"/>
      <c r="BA392" s="847"/>
      <c r="BB392" s="847"/>
      <c r="BC392" s="847"/>
      <c r="BD392" s="847"/>
      <c r="BE392" s="847"/>
      <c r="BF392" s="847"/>
      <c r="BG392" s="847"/>
      <c r="BH392" s="847"/>
      <c r="BI392" s="847"/>
      <c r="BJ392" s="847"/>
      <c r="BK392" s="847"/>
      <c r="BL392" s="847"/>
      <c r="BM392" s="847"/>
      <c r="BN392" s="847"/>
      <c r="BO392" s="847"/>
      <c r="BP392" s="847"/>
      <c r="BQ392" s="847"/>
      <c r="BR392" s="847"/>
      <c r="BS392" s="847"/>
      <c r="BT392" s="847"/>
      <c r="BU392" s="847"/>
      <c r="BV392" s="847"/>
      <c r="BW392" s="847"/>
      <c r="BX392" s="847"/>
      <c r="BY392" s="847"/>
      <c r="BZ392" s="847"/>
      <c r="CA392" s="847"/>
      <c r="CB392" s="847"/>
      <c r="CC392" s="847"/>
      <c r="CD392" s="847"/>
      <c r="CE392" s="847"/>
      <c r="CF392" s="847"/>
      <c r="CG392" s="847"/>
      <c r="CH392" s="847"/>
      <c r="CI392" s="847"/>
      <c r="CJ392" s="847"/>
      <c r="CK392" s="847"/>
      <c r="CL392" s="847"/>
      <c r="CM392" s="847"/>
      <c r="CN392" s="847"/>
      <c r="CO392" s="847"/>
      <c r="CP392" s="847"/>
      <c r="CQ392" s="847"/>
      <c r="CR392" s="847"/>
      <c r="CS392" s="847"/>
      <c r="CT392" s="847"/>
      <c r="CU392" s="847"/>
      <c r="CV392" s="847"/>
      <c r="CW392" s="847"/>
      <c r="CX392" s="847"/>
      <c r="CY392" s="847"/>
      <c r="CZ392" s="847"/>
      <c r="DA392" s="847"/>
      <c r="DB392" s="847"/>
      <c r="DC392" s="847"/>
      <c r="DD392" s="847"/>
      <c r="DE392" s="847"/>
      <c r="DF392" s="847"/>
      <c r="DG392" s="847"/>
      <c r="DH392" s="847"/>
      <c r="DI392" s="847"/>
      <c r="DJ392" s="847"/>
      <c r="DK392" s="847"/>
      <c r="DL392" s="847"/>
      <c r="DM392" s="1212"/>
      <c r="DN392" s="1222" t="e">
        <f>'Lead &amp; ANALYSIS'!#REF!</f>
        <v>#REF!</v>
      </c>
      <c r="DO392" s="1013" t="e">
        <f>ROUND(C392*DN392,2)</f>
        <v>#REF!</v>
      </c>
      <c r="DP392" s="847"/>
      <c r="DQ392" s="1013"/>
      <c r="DR392" s="1225" t="e">
        <f>'Lead &amp; ANALYSIS'!#REF!</f>
        <v>#REF!</v>
      </c>
      <c r="DS392" s="1013" t="e">
        <f>ROUND(C392*DR392,2)</f>
        <v>#REF!</v>
      </c>
      <c r="DT392" s="1225" t="e">
        <f>'Lead &amp; ANALYSIS'!#REF!</f>
        <v>#REF!</v>
      </c>
      <c r="DU392" s="1214" t="e">
        <f>ROUND(C392*DT392,2)</f>
        <v>#REF!</v>
      </c>
      <c r="DV392" s="1242"/>
      <c r="DW392" s="1232"/>
      <c r="DX392" s="1222"/>
      <c r="DY392" s="847"/>
      <c r="DZ392" s="847"/>
      <c r="EA392" s="847"/>
      <c r="EB392" s="847"/>
      <c r="EC392" s="847"/>
      <c r="ED392" s="847"/>
      <c r="EE392" s="847"/>
      <c r="EF392" s="847"/>
      <c r="EG392" s="1212"/>
      <c r="EH392" s="847"/>
      <c r="EI392" s="1212"/>
    </row>
    <row r="393" spans="1:139" s="733" customFormat="1" ht="13.5">
      <c r="A393" s="1009">
        <v>137</v>
      </c>
      <c r="B393" s="1212" t="s">
        <v>3112</v>
      </c>
      <c r="C393" s="1213">
        <v>0</v>
      </c>
      <c r="D393" s="1013" t="s">
        <v>49</v>
      </c>
      <c r="E393" s="847"/>
      <c r="F393" s="1013"/>
      <c r="G393" s="1013" t="e">
        <f>'Lead &amp; ANALYSIS'!#REF!</f>
        <v>#REF!</v>
      </c>
      <c r="H393" s="1013" t="e">
        <f>ROUND(C393*G393,2)</f>
        <v>#REF!</v>
      </c>
      <c r="I393" s="847"/>
      <c r="J393" s="1013"/>
      <c r="K393" s="847"/>
      <c r="L393" s="1013"/>
      <c r="M393" s="847"/>
      <c r="N393" s="1013"/>
      <c r="O393" s="847"/>
      <c r="P393" s="1013"/>
      <c r="Q393" s="847"/>
      <c r="R393" s="847"/>
      <c r="S393" s="847"/>
      <c r="T393" s="847"/>
      <c r="U393" s="847"/>
      <c r="V393" s="847"/>
      <c r="W393" s="847"/>
      <c r="X393" s="847"/>
      <c r="Y393" s="847"/>
      <c r="Z393" s="847"/>
      <c r="AA393" s="847"/>
      <c r="AB393" s="847"/>
      <c r="AC393" s="847"/>
      <c r="AD393" s="847"/>
      <c r="AE393" s="847"/>
      <c r="AF393" s="847"/>
      <c r="AG393" s="847"/>
      <c r="AH393" s="847"/>
      <c r="AI393" s="1013" t="e">
        <f>'Lead &amp; ANALYSIS'!#REF!</f>
        <v>#REF!</v>
      </c>
      <c r="AJ393" s="1013" t="e">
        <f>ROUND(C393*AI393,2)</f>
        <v>#REF!</v>
      </c>
      <c r="AK393" s="847"/>
      <c r="AL393" s="847"/>
      <c r="AM393" s="847"/>
      <c r="AN393" s="847"/>
      <c r="AO393" s="847"/>
      <c r="AP393" s="847"/>
      <c r="AQ393" s="847"/>
      <c r="AR393" s="847"/>
      <c r="AS393" s="847"/>
      <c r="AT393" s="847"/>
      <c r="AU393" s="847"/>
      <c r="AV393" s="847"/>
      <c r="AW393" s="847"/>
      <c r="AX393" s="847"/>
      <c r="AY393" s="847"/>
      <c r="AZ393" s="847"/>
      <c r="BA393" s="847"/>
      <c r="BB393" s="847"/>
      <c r="BC393" s="847"/>
      <c r="BD393" s="847"/>
      <c r="BE393" s="847"/>
      <c r="BF393" s="847"/>
      <c r="BG393" s="847"/>
      <c r="BH393" s="847"/>
      <c r="BI393" s="847"/>
      <c r="BJ393" s="847"/>
      <c r="BK393" s="847"/>
      <c r="BL393" s="847"/>
      <c r="BM393" s="847"/>
      <c r="BN393" s="847"/>
      <c r="BO393" s="847"/>
      <c r="BP393" s="847"/>
      <c r="BQ393" s="847"/>
      <c r="BR393" s="847"/>
      <c r="BS393" s="847"/>
      <c r="BT393" s="847"/>
      <c r="BU393" s="847"/>
      <c r="BV393" s="847"/>
      <c r="BW393" s="847"/>
      <c r="BX393" s="847"/>
      <c r="BY393" s="847"/>
      <c r="BZ393" s="847"/>
      <c r="CA393" s="847"/>
      <c r="CB393" s="847"/>
      <c r="CC393" s="847"/>
      <c r="CD393" s="847"/>
      <c r="CE393" s="847"/>
      <c r="CF393" s="847"/>
      <c r="CG393" s="847"/>
      <c r="CH393" s="847"/>
      <c r="CI393" s="847"/>
      <c r="CJ393" s="847"/>
      <c r="CK393" s="847"/>
      <c r="CL393" s="847"/>
      <c r="CM393" s="847"/>
      <c r="CN393" s="847"/>
      <c r="CO393" s="847"/>
      <c r="CP393" s="847"/>
      <c r="CQ393" s="847"/>
      <c r="CR393" s="847"/>
      <c r="CS393" s="847"/>
      <c r="CT393" s="847"/>
      <c r="CU393" s="847"/>
      <c r="CV393" s="847"/>
      <c r="CW393" s="847"/>
      <c r="CX393" s="847"/>
      <c r="CY393" s="847"/>
      <c r="CZ393" s="847"/>
      <c r="DA393" s="847"/>
      <c r="DB393" s="847"/>
      <c r="DC393" s="847"/>
      <c r="DD393" s="847"/>
      <c r="DE393" s="847"/>
      <c r="DF393" s="847"/>
      <c r="DG393" s="847"/>
      <c r="DH393" s="847"/>
      <c r="DI393" s="847"/>
      <c r="DJ393" s="847"/>
      <c r="DK393" s="847"/>
      <c r="DL393" s="847"/>
      <c r="DM393" s="1212"/>
      <c r="DN393" s="1222" t="e">
        <f>'Lead &amp; ANALYSIS'!#REF!</f>
        <v>#REF!</v>
      </c>
      <c r="DO393" s="1013" t="e">
        <f>ROUND(C393*DN393,2)</f>
        <v>#REF!</v>
      </c>
      <c r="DP393" s="847"/>
      <c r="DQ393" s="1013"/>
      <c r="DR393" s="1225" t="e">
        <f>'Lead &amp; ANALYSIS'!#REF!</f>
        <v>#REF!</v>
      </c>
      <c r="DS393" s="1013" t="e">
        <f>ROUND(C393*DR393,2)</f>
        <v>#REF!</v>
      </c>
      <c r="DT393" s="1225"/>
      <c r="DU393" s="1214"/>
      <c r="DV393" s="1242"/>
      <c r="DW393" s="1232"/>
      <c r="DX393" s="1222"/>
      <c r="DY393" s="847"/>
      <c r="DZ393" s="847"/>
      <c r="EA393" s="847"/>
      <c r="EB393" s="847"/>
      <c r="EC393" s="847"/>
      <c r="ED393" s="847"/>
      <c r="EE393" s="847"/>
      <c r="EF393" s="847"/>
      <c r="EG393" s="1212"/>
      <c r="EH393" s="847"/>
      <c r="EI393" s="1212"/>
    </row>
    <row r="394" spans="1:139" s="733" customFormat="1" ht="13.5">
      <c r="A394" s="1009">
        <v>138</v>
      </c>
      <c r="B394" s="1212" t="s">
        <v>3113</v>
      </c>
      <c r="C394" s="1213">
        <v>0</v>
      </c>
      <c r="D394" s="1013" t="s">
        <v>49</v>
      </c>
      <c r="E394" s="847"/>
      <c r="F394" s="1013"/>
      <c r="G394" s="1236" t="e">
        <f>'Lead &amp; ANALYSIS'!#REF!*0.05/30</f>
        <v>#REF!</v>
      </c>
      <c r="H394" s="1013" t="e">
        <f>ROUND(C394*G394,2)</f>
        <v>#REF!</v>
      </c>
      <c r="I394" s="847"/>
      <c r="J394" s="1013"/>
      <c r="K394" s="1236" t="e">
        <f>'Lead &amp; ANALYSIS'!#REF!*10*0.05/30</f>
        <v>#REF!</v>
      </c>
      <c r="L394" s="1013" t="e">
        <f>ROUND(C394*K394,2)</f>
        <v>#REF!</v>
      </c>
      <c r="M394" s="847"/>
      <c r="N394" s="1013"/>
      <c r="O394" s="847"/>
      <c r="P394" s="1013"/>
      <c r="Q394" s="847"/>
      <c r="R394" s="847"/>
      <c r="S394" s="847"/>
      <c r="T394" s="847"/>
      <c r="U394" s="847"/>
      <c r="V394" s="847"/>
      <c r="W394" s="847"/>
      <c r="X394" s="847"/>
      <c r="Y394" s="847"/>
      <c r="Z394" s="847"/>
      <c r="AA394" s="847"/>
      <c r="AB394" s="847"/>
      <c r="AC394" s="847"/>
      <c r="AD394" s="847"/>
      <c r="AE394" s="847"/>
      <c r="AF394" s="847"/>
      <c r="AG394" s="847"/>
      <c r="AH394" s="847"/>
      <c r="AI394" s="847"/>
      <c r="AJ394" s="847"/>
      <c r="AK394" s="847"/>
      <c r="AL394" s="847"/>
      <c r="AM394" s="847"/>
      <c r="AN394" s="847"/>
      <c r="AO394" s="847"/>
      <c r="AP394" s="847"/>
      <c r="AQ394" s="847"/>
      <c r="AR394" s="847"/>
      <c r="AS394" s="847"/>
      <c r="AT394" s="847"/>
      <c r="AU394" s="847"/>
      <c r="AV394" s="847"/>
      <c r="AW394" s="847"/>
      <c r="AX394" s="847"/>
      <c r="AY394" s="847"/>
      <c r="AZ394" s="847"/>
      <c r="BA394" s="847"/>
      <c r="BB394" s="847"/>
      <c r="BC394" s="847"/>
      <c r="BD394" s="847"/>
      <c r="BE394" s="847"/>
      <c r="BF394" s="847"/>
      <c r="BG394" s="847"/>
      <c r="BH394" s="847"/>
      <c r="BI394" s="847"/>
      <c r="BJ394" s="847"/>
      <c r="BK394" s="847"/>
      <c r="BL394" s="847"/>
      <c r="BM394" s="847"/>
      <c r="BN394" s="847"/>
      <c r="BO394" s="847"/>
      <c r="BP394" s="847"/>
      <c r="BQ394" s="847"/>
      <c r="BR394" s="847"/>
      <c r="BS394" s="847"/>
      <c r="BT394" s="847"/>
      <c r="BU394" s="847"/>
      <c r="BV394" s="847"/>
      <c r="BW394" s="847"/>
      <c r="BX394" s="847"/>
      <c r="BY394" s="847"/>
      <c r="BZ394" s="847"/>
      <c r="CA394" s="847"/>
      <c r="CB394" s="847"/>
      <c r="CC394" s="847"/>
      <c r="CD394" s="847"/>
      <c r="CE394" s="847"/>
      <c r="CF394" s="847"/>
      <c r="CG394" s="847"/>
      <c r="CH394" s="847"/>
      <c r="CI394" s="847"/>
      <c r="CJ394" s="847"/>
      <c r="CK394" s="847"/>
      <c r="CL394" s="847"/>
      <c r="CM394" s="847"/>
      <c r="CN394" s="847"/>
      <c r="CO394" s="847"/>
      <c r="CP394" s="847"/>
      <c r="CQ394" s="847"/>
      <c r="CR394" s="847"/>
      <c r="CS394" s="847"/>
      <c r="CT394" s="847"/>
      <c r="CU394" s="847"/>
      <c r="CV394" s="847"/>
      <c r="CW394" s="847"/>
      <c r="CX394" s="847"/>
      <c r="CY394" s="847"/>
      <c r="CZ394" s="847"/>
      <c r="DA394" s="847"/>
      <c r="DB394" s="847"/>
      <c r="DC394" s="847"/>
      <c r="DD394" s="847"/>
      <c r="DE394" s="847"/>
      <c r="DF394" s="847"/>
      <c r="DG394" s="847"/>
      <c r="DH394" s="847"/>
      <c r="DI394" s="847"/>
      <c r="DJ394" s="847"/>
      <c r="DK394" s="847"/>
      <c r="DL394" s="847"/>
      <c r="DM394" s="1212"/>
      <c r="DN394" s="1222" t="e">
        <f>'Lead &amp; ANALYSIS'!#REF!*0.05/30+'Lead &amp; ANALYSIS'!#REF!/30</f>
        <v>#REF!</v>
      </c>
      <c r="DO394" s="1013" t="e">
        <f>ROUND(C394*DN394,2)</f>
        <v>#REF!</v>
      </c>
      <c r="DP394" s="847" t="e">
        <f>'Lead &amp; ANALYSIS'!#REF!*0.05/30+'Lead &amp; ANALYSIS'!#REF!/30</f>
        <v>#REF!</v>
      </c>
      <c r="DQ394" s="1013" t="e">
        <f>ROUND(C394*DP394,2)</f>
        <v>#REF!</v>
      </c>
      <c r="DR394" s="1225" t="e">
        <f>'Lead &amp; ANALYSIS'!#REF!/30</f>
        <v>#REF!</v>
      </c>
      <c r="DS394" s="1013" t="e">
        <f>ROUND(C394*DR394,2)</f>
        <v>#REF!</v>
      </c>
      <c r="DT394" s="1225"/>
      <c r="DU394" s="1214"/>
      <c r="DV394" s="1242"/>
      <c r="DW394" s="1232"/>
      <c r="DX394" s="1222"/>
      <c r="DY394" s="847"/>
      <c r="DZ394" s="847"/>
      <c r="EA394" s="847"/>
      <c r="EB394" s="847"/>
      <c r="EC394" s="847"/>
      <c r="ED394" s="847"/>
      <c r="EE394" s="847"/>
      <c r="EF394" s="847"/>
      <c r="EG394" s="1212"/>
      <c r="EH394" s="847"/>
      <c r="EI394" s="1212"/>
    </row>
    <row r="395" spans="1:139" s="733" customFormat="1" ht="13.5">
      <c r="A395" s="1009">
        <v>139</v>
      </c>
      <c r="B395" s="1212" t="s">
        <v>3114</v>
      </c>
      <c r="C395" s="1213">
        <v>0</v>
      </c>
      <c r="D395" s="1013" t="s">
        <v>92</v>
      </c>
      <c r="E395" s="847"/>
      <c r="F395" s="1013"/>
      <c r="G395" s="1013"/>
      <c r="H395" s="1013"/>
      <c r="I395" s="847"/>
      <c r="J395" s="1013"/>
      <c r="K395" s="847"/>
      <c r="L395" s="1013"/>
      <c r="M395" s="847"/>
      <c r="N395" s="1013"/>
      <c r="O395" s="847"/>
      <c r="P395" s="1013"/>
      <c r="Q395" s="847"/>
      <c r="R395" s="847"/>
      <c r="S395" s="847"/>
      <c r="T395" s="847"/>
      <c r="U395" s="847"/>
      <c r="V395" s="847"/>
      <c r="W395" s="847"/>
      <c r="X395" s="847"/>
      <c r="Y395" s="847"/>
      <c r="Z395" s="847"/>
      <c r="AA395" s="847"/>
      <c r="AB395" s="847"/>
      <c r="AC395" s="847"/>
      <c r="AD395" s="847"/>
      <c r="AE395" s="847"/>
      <c r="AF395" s="847"/>
      <c r="AG395" s="847"/>
      <c r="AH395" s="847"/>
      <c r="AI395" s="847"/>
      <c r="AJ395" s="847"/>
      <c r="AK395" s="847"/>
      <c r="AL395" s="847"/>
      <c r="AM395" s="847"/>
      <c r="AN395" s="847"/>
      <c r="AO395" s="847"/>
      <c r="AP395" s="847"/>
      <c r="AQ395" s="847"/>
      <c r="AR395" s="847"/>
      <c r="AS395" s="847"/>
      <c r="AT395" s="847"/>
      <c r="AU395" s="847"/>
      <c r="AV395" s="847"/>
      <c r="AW395" s="847"/>
      <c r="AX395" s="847"/>
      <c r="AY395" s="847"/>
      <c r="AZ395" s="847"/>
      <c r="BA395" s="847"/>
      <c r="BB395" s="847"/>
      <c r="BC395" s="847"/>
      <c r="BD395" s="847"/>
      <c r="BE395" s="847"/>
      <c r="BF395" s="847"/>
      <c r="BG395" s="847"/>
      <c r="BH395" s="847"/>
      <c r="BI395" s="847"/>
      <c r="BJ395" s="847"/>
      <c r="BK395" s="847"/>
      <c r="BL395" s="847"/>
      <c r="BM395" s="847"/>
      <c r="BN395" s="847"/>
      <c r="BO395" s="847"/>
      <c r="BP395" s="847"/>
      <c r="BQ395" s="847"/>
      <c r="BR395" s="847"/>
      <c r="BS395" s="847"/>
      <c r="BT395" s="847"/>
      <c r="BU395" s="847"/>
      <c r="BV395" s="847"/>
      <c r="BW395" s="847"/>
      <c r="BX395" s="847"/>
      <c r="BY395" s="847"/>
      <c r="BZ395" s="847"/>
      <c r="CA395" s="847"/>
      <c r="CB395" s="847"/>
      <c r="CC395" s="847"/>
      <c r="CD395" s="847"/>
      <c r="CE395" s="847"/>
      <c r="CF395" s="847"/>
      <c r="CG395" s="847"/>
      <c r="CH395" s="847"/>
      <c r="CI395" s="847"/>
      <c r="CJ395" s="847"/>
      <c r="CK395" s="847"/>
      <c r="CL395" s="847"/>
      <c r="CM395" s="847"/>
      <c r="CN395" s="847"/>
      <c r="CO395" s="847"/>
      <c r="CP395" s="847"/>
      <c r="CQ395" s="847"/>
      <c r="CR395" s="847"/>
      <c r="CS395" s="847"/>
      <c r="CT395" s="847"/>
      <c r="CU395" s="847"/>
      <c r="CV395" s="847"/>
      <c r="CW395" s="847"/>
      <c r="CX395" s="847"/>
      <c r="CY395" s="847"/>
      <c r="CZ395" s="847"/>
      <c r="DA395" s="847"/>
      <c r="DB395" s="847"/>
      <c r="DC395" s="847"/>
      <c r="DD395" s="847"/>
      <c r="DE395" s="847"/>
      <c r="DF395" s="847"/>
      <c r="DG395" s="847"/>
      <c r="DH395" s="847"/>
      <c r="DI395" s="847"/>
      <c r="DJ395" s="847"/>
      <c r="DK395" s="847"/>
      <c r="DL395" s="847"/>
      <c r="DM395" s="1212"/>
      <c r="DN395" s="1222"/>
      <c r="DO395" s="1013"/>
      <c r="DP395" s="847"/>
      <c r="DQ395" s="1013"/>
      <c r="DR395" s="1225"/>
      <c r="DS395" s="1013"/>
      <c r="DT395" s="1225"/>
      <c r="DU395" s="1214"/>
      <c r="DV395" s="1242"/>
      <c r="DW395" s="1232"/>
      <c r="DX395" s="1222"/>
      <c r="DY395" s="847"/>
      <c r="DZ395" s="847"/>
      <c r="EA395" s="847"/>
      <c r="EB395" s="847"/>
      <c r="EC395" s="847"/>
      <c r="ED395" s="847"/>
      <c r="EE395" s="847"/>
      <c r="EF395" s="847"/>
      <c r="EG395" s="1212"/>
      <c r="EH395" s="847"/>
      <c r="EI395" s="1212"/>
    </row>
    <row r="396" spans="1:139" s="733" customFormat="1" ht="13.5">
      <c r="A396" s="1009"/>
      <c r="B396" s="1212" t="s">
        <v>2066</v>
      </c>
      <c r="C396" s="1213">
        <v>0</v>
      </c>
      <c r="D396" s="1013" t="s">
        <v>92</v>
      </c>
      <c r="E396" s="847"/>
      <c r="F396" s="1013"/>
      <c r="G396" s="1225" t="e">
        <f>'Lead &amp; ANALYSIS'!#REF!</f>
        <v>#REF!</v>
      </c>
      <c r="H396" s="1013" t="e">
        <f>ROUND(C396*G396,2)</f>
        <v>#REF!</v>
      </c>
      <c r="I396" s="847"/>
      <c r="J396" s="1013"/>
      <c r="K396" s="847" t="e">
        <f>'Lead &amp; ANALYSIS'!#REF!+'Lead &amp; ANALYSIS'!#REF!</f>
        <v>#REF!</v>
      </c>
      <c r="L396" s="1013" t="e">
        <f>ROUND(C396*K396,2)</f>
        <v>#REF!</v>
      </c>
      <c r="M396" s="847"/>
      <c r="N396" s="1013"/>
      <c r="O396" s="847"/>
      <c r="P396" s="1013"/>
      <c r="Q396" s="847"/>
      <c r="R396" s="847"/>
      <c r="S396" s="847"/>
      <c r="T396" s="847"/>
      <c r="U396" s="847"/>
      <c r="V396" s="847"/>
      <c r="W396" s="847"/>
      <c r="X396" s="847"/>
      <c r="Y396" s="847"/>
      <c r="Z396" s="847"/>
      <c r="AA396" s="847"/>
      <c r="AB396" s="847"/>
      <c r="AC396" s="847"/>
      <c r="AD396" s="847"/>
      <c r="AE396" s="847"/>
      <c r="AF396" s="847"/>
      <c r="AG396" s="847"/>
      <c r="AH396" s="847"/>
      <c r="AI396" s="847"/>
      <c r="AJ396" s="847"/>
      <c r="AK396" s="847"/>
      <c r="AL396" s="847"/>
      <c r="AM396" s="847"/>
      <c r="AN396" s="847"/>
      <c r="AO396" s="847"/>
      <c r="AP396" s="847"/>
      <c r="AQ396" s="847"/>
      <c r="AR396" s="847"/>
      <c r="AS396" s="847"/>
      <c r="AT396" s="847"/>
      <c r="AU396" s="847"/>
      <c r="AV396" s="847"/>
      <c r="AW396" s="847"/>
      <c r="AX396" s="847"/>
      <c r="AY396" s="847"/>
      <c r="AZ396" s="847"/>
      <c r="BA396" s="847"/>
      <c r="BB396" s="847"/>
      <c r="BC396" s="847"/>
      <c r="BD396" s="847"/>
      <c r="BE396" s="847"/>
      <c r="BF396" s="847"/>
      <c r="BG396" s="847"/>
      <c r="BH396" s="847"/>
      <c r="BI396" s="847"/>
      <c r="BJ396" s="847"/>
      <c r="BK396" s="847"/>
      <c r="BL396" s="847"/>
      <c r="BM396" s="847"/>
      <c r="BN396" s="847"/>
      <c r="BO396" s="847"/>
      <c r="BP396" s="847"/>
      <c r="BQ396" s="847"/>
      <c r="BR396" s="847"/>
      <c r="BS396" s="847"/>
      <c r="BT396" s="847"/>
      <c r="BU396" s="847"/>
      <c r="BV396" s="847"/>
      <c r="BW396" s="847"/>
      <c r="BX396" s="847"/>
      <c r="BY396" s="847"/>
      <c r="BZ396" s="847"/>
      <c r="CA396" s="847"/>
      <c r="CB396" s="847"/>
      <c r="CC396" s="847"/>
      <c r="CD396" s="847"/>
      <c r="CE396" s="847"/>
      <c r="CF396" s="847"/>
      <c r="CG396" s="847"/>
      <c r="CH396" s="847"/>
      <c r="CI396" s="847"/>
      <c r="CJ396" s="847"/>
      <c r="CK396" s="847"/>
      <c r="CL396" s="847"/>
      <c r="CM396" s="847"/>
      <c r="CN396" s="847"/>
      <c r="CO396" s="847"/>
      <c r="CP396" s="847"/>
      <c r="CQ396" s="847"/>
      <c r="CR396" s="847"/>
      <c r="CS396" s="847"/>
      <c r="CT396" s="847"/>
      <c r="CU396" s="847"/>
      <c r="CV396" s="847"/>
      <c r="CW396" s="847"/>
      <c r="CX396" s="847"/>
      <c r="CY396" s="847"/>
      <c r="CZ396" s="847"/>
      <c r="DA396" s="847"/>
      <c r="DB396" s="847"/>
      <c r="DC396" s="847"/>
      <c r="DD396" s="847"/>
      <c r="DE396" s="847"/>
      <c r="DF396" s="847"/>
      <c r="DG396" s="847"/>
      <c r="DH396" s="847"/>
      <c r="DI396" s="847"/>
      <c r="DJ396" s="847"/>
      <c r="DK396" s="847"/>
      <c r="DL396" s="847"/>
      <c r="DM396" s="1212"/>
      <c r="DN396" s="1222" t="e">
        <f>'Lead &amp; ANALYSIS'!#REF!+'Lead &amp; ANALYSIS'!#REF!</f>
        <v>#REF!</v>
      </c>
      <c r="DO396" s="1013" t="e">
        <f t="shared" ref="DO396:DO406" si="18">ROUND(C396*DN396,2)</f>
        <v>#REF!</v>
      </c>
      <c r="DP396" s="847"/>
      <c r="DQ396" s="1013"/>
      <c r="DR396" s="1225" t="e">
        <f>'Lead &amp; ANALYSIS'!#REF!</f>
        <v>#REF!</v>
      </c>
      <c r="DS396" s="1013" t="e">
        <f>ROUND(C396*DR396,2)</f>
        <v>#REF!</v>
      </c>
      <c r="DT396" s="1225" t="e">
        <f>'Lead &amp; ANALYSIS'!#REF!</f>
        <v>#REF!</v>
      </c>
      <c r="DU396" s="1214" t="e">
        <f>ROUND(C396*DT396,2)</f>
        <v>#REF!</v>
      </c>
      <c r="DV396" s="1242"/>
      <c r="DW396" s="1232"/>
      <c r="DX396" s="1222"/>
      <c r="DY396" s="847"/>
      <c r="DZ396" s="847"/>
      <c r="EA396" s="847"/>
      <c r="EB396" s="847"/>
      <c r="EC396" s="847"/>
      <c r="ED396" s="847"/>
      <c r="EE396" s="847"/>
      <c r="EF396" s="847"/>
      <c r="EG396" s="1212"/>
      <c r="EH396" s="847"/>
      <c r="EI396" s="1212"/>
    </row>
    <row r="397" spans="1:139" s="733" customFormat="1" ht="13.5">
      <c r="A397" s="1009">
        <v>140</v>
      </c>
      <c r="B397" s="1212" t="s">
        <v>3115</v>
      </c>
      <c r="C397" s="1213">
        <v>0</v>
      </c>
      <c r="D397" s="1013" t="s">
        <v>49</v>
      </c>
      <c r="E397" s="847"/>
      <c r="F397" s="1013"/>
      <c r="G397" s="1236"/>
      <c r="H397" s="1013"/>
      <c r="I397" s="847"/>
      <c r="J397" s="1013"/>
      <c r="K397" s="847"/>
      <c r="L397" s="1013"/>
      <c r="M397" s="847"/>
      <c r="N397" s="1013"/>
      <c r="O397" s="847"/>
      <c r="P397" s="1013"/>
      <c r="Q397" s="847"/>
      <c r="R397" s="847"/>
      <c r="S397" s="847"/>
      <c r="T397" s="847"/>
      <c r="U397" s="847"/>
      <c r="V397" s="847"/>
      <c r="W397" s="847"/>
      <c r="X397" s="847"/>
      <c r="Y397" s="847"/>
      <c r="Z397" s="847"/>
      <c r="AA397" s="847"/>
      <c r="AB397" s="847"/>
      <c r="AC397" s="847"/>
      <c r="AD397" s="847"/>
      <c r="AE397" s="847"/>
      <c r="AF397" s="847"/>
      <c r="AG397" s="847"/>
      <c r="AH397" s="847"/>
      <c r="AI397" s="847"/>
      <c r="AJ397" s="847"/>
      <c r="AK397" s="847"/>
      <c r="AL397" s="847"/>
      <c r="AM397" s="847"/>
      <c r="AN397" s="847"/>
      <c r="AO397" s="1013" t="e">
        <f>'Lead &amp; ANALYSIS'!#REF!</f>
        <v>#REF!</v>
      </c>
      <c r="AP397" s="1013" t="e">
        <f>ROUND(C397*AO397,2)</f>
        <v>#REF!</v>
      </c>
      <c r="AQ397" s="847"/>
      <c r="AR397" s="847"/>
      <c r="AS397" s="847"/>
      <c r="AT397" s="847"/>
      <c r="AU397" s="847"/>
      <c r="AV397" s="847"/>
      <c r="AW397" s="847"/>
      <c r="AX397" s="847"/>
      <c r="AY397" s="847"/>
      <c r="AZ397" s="847"/>
      <c r="BA397" s="847"/>
      <c r="BB397" s="847"/>
      <c r="BC397" s="847"/>
      <c r="BD397" s="847"/>
      <c r="BE397" s="847"/>
      <c r="BF397" s="847"/>
      <c r="BG397" s="847"/>
      <c r="BH397" s="847"/>
      <c r="BI397" s="847"/>
      <c r="BJ397" s="847"/>
      <c r="BK397" s="847"/>
      <c r="BL397" s="847"/>
      <c r="BM397" s="847"/>
      <c r="BN397" s="847"/>
      <c r="BO397" s="847"/>
      <c r="BP397" s="847"/>
      <c r="BQ397" s="847"/>
      <c r="BR397" s="847"/>
      <c r="BS397" s="847"/>
      <c r="BT397" s="847"/>
      <c r="BU397" s="847"/>
      <c r="BV397" s="847"/>
      <c r="BW397" s="847"/>
      <c r="BX397" s="847"/>
      <c r="BY397" s="847"/>
      <c r="BZ397" s="847"/>
      <c r="CA397" s="847"/>
      <c r="CB397" s="847"/>
      <c r="CC397" s="847"/>
      <c r="CD397" s="847"/>
      <c r="CE397" s="847"/>
      <c r="CF397" s="847"/>
      <c r="CG397" s="847"/>
      <c r="CH397" s="847"/>
      <c r="CI397" s="847"/>
      <c r="CJ397" s="847"/>
      <c r="CK397" s="847"/>
      <c r="CL397" s="847"/>
      <c r="CM397" s="847"/>
      <c r="CN397" s="847"/>
      <c r="CO397" s="847"/>
      <c r="CP397" s="847"/>
      <c r="CQ397" s="847"/>
      <c r="CR397" s="847"/>
      <c r="CS397" s="847"/>
      <c r="CT397" s="847"/>
      <c r="CU397" s="847"/>
      <c r="CV397" s="847"/>
      <c r="CW397" s="847"/>
      <c r="CX397" s="847"/>
      <c r="CY397" s="847"/>
      <c r="CZ397" s="847"/>
      <c r="DA397" s="847"/>
      <c r="DB397" s="847"/>
      <c r="DC397" s="847"/>
      <c r="DD397" s="847"/>
      <c r="DE397" s="847"/>
      <c r="DF397" s="847"/>
      <c r="DG397" s="847"/>
      <c r="DH397" s="847"/>
      <c r="DI397" s="847"/>
      <c r="DJ397" s="847"/>
      <c r="DK397" s="847"/>
      <c r="DL397" s="847"/>
      <c r="DM397" s="1212"/>
      <c r="DN397" s="1222" t="e">
        <f>'Lead &amp; ANALYSIS'!#REF!</f>
        <v>#REF!</v>
      </c>
      <c r="DO397" s="1013" t="e">
        <f t="shared" si="18"/>
        <v>#REF!</v>
      </c>
      <c r="DP397" s="847"/>
      <c r="DQ397" s="1013"/>
      <c r="DR397" s="1225"/>
      <c r="DS397" s="1013"/>
      <c r="DT397" s="1225"/>
      <c r="DU397" s="1214"/>
      <c r="DV397" s="1242"/>
      <c r="DW397" s="1232"/>
      <c r="DX397" s="1222"/>
      <c r="DY397" s="847"/>
      <c r="DZ397" s="847"/>
      <c r="EA397" s="847"/>
      <c r="EB397" s="847"/>
      <c r="EC397" s="847"/>
      <c r="ED397" s="847"/>
      <c r="EE397" s="847"/>
      <c r="EF397" s="847"/>
      <c r="EG397" s="1212"/>
      <c r="EH397" s="847"/>
      <c r="EI397" s="1212"/>
    </row>
    <row r="398" spans="1:139" s="733" customFormat="1" ht="13.5">
      <c r="A398" s="1009">
        <v>141</v>
      </c>
      <c r="B398" s="1212" t="s">
        <v>603</v>
      </c>
      <c r="C398" s="1213">
        <v>0</v>
      </c>
      <c r="D398" s="1013" t="s">
        <v>49</v>
      </c>
      <c r="E398" s="847"/>
      <c r="F398" s="1013"/>
      <c r="G398" s="1236"/>
      <c r="H398" s="1013"/>
      <c r="I398" s="847"/>
      <c r="J398" s="1013"/>
      <c r="K398" s="847"/>
      <c r="L398" s="1013"/>
      <c r="M398" s="847"/>
      <c r="N398" s="1013"/>
      <c r="O398" s="847"/>
      <c r="P398" s="1013"/>
      <c r="Q398" s="847"/>
      <c r="R398" s="847"/>
      <c r="S398" s="847"/>
      <c r="T398" s="847"/>
      <c r="U398" s="847"/>
      <c r="V398" s="847"/>
      <c r="W398" s="847"/>
      <c r="X398" s="847"/>
      <c r="Y398" s="847"/>
      <c r="Z398" s="847"/>
      <c r="AA398" s="847"/>
      <c r="AB398" s="847"/>
      <c r="AC398" s="847"/>
      <c r="AD398" s="847"/>
      <c r="AE398" s="847"/>
      <c r="AF398" s="847"/>
      <c r="AG398" s="1013" t="e">
        <f>'Lead &amp; ANALYSIS'!#REF!</f>
        <v>#REF!</v>
      </c>
      <c r="AH398" s="1013" t="e">
        <f>ROUND(C398*AG398,2)</f>
        <v>#REF!</v>
      </c>
      <c r="AI398" s="847"/>
      <c r="AJ398" s="847"/>
      <c r="AK398" s="847"/>
      <c r="AL398" s="847"/>
      <c r="AM398" s="847"/>
      <c r="AN398" s="847"/>
      <c r="AO398" s="1013"/>
      <c r="AP398" s="1013"/>
      <c r="AQ398" s="847"/>
      <c r="AR398" s="847"/>
      <c r="AS398" s="847"/>
      <c r="AT398" s="847"/>
      <c r="AU398" s="847"/>
      <c r="AV398" s="847"/>
      <c r="AW398" s="847"/>
      <c r="AX398" s="847"/>
      <c r="AY398" s="847"/>
      <c r="AZ398" s="847"/>
      <c r="BA398" s="847"/>
      <c r="BB398" s="847"/>
      <c r="BC398" s="847"/>
      <c r="BD398" s="847"/>
      <c r="BE398" s="847"/>
      <c r="BF398" s="847"/>
      <c r="BG398" s="847"/>
      <c r="BH398" s="847"/>
      <c r="BI398" s="847"/>
      <c r="BJ398" s="847"/>
      <c r="BK398" s="847"/>
      <c r="BL398" s="847"/>
      <c r="BM398" s="847"/>
      <c r="BN398" s="847"/>
      <c r="BO398" s="847"/>
      <c r="BP398" s="847"/>
      <c r="BQ398" s="847"/>
      <c r="BR398" s="847"/>
      <c r="BS398" s="847"/>
      <c r="BT398" s="847"/>
      <c r="BU398" s="847"/>
      <c r="BV398" s="847"/>
      <c r="BW398" s="847"/>
      <c r="BX398" s="847"/>
      <c r="BY398" s="847"/>
      <c r="BZ398" s="847"/>
      <c r="CA398" s="847"/>
      <c r="CB398" s="847"/>
      <c r="CC398" s="847"/>
      <c r="CD398" s="847"/>
      <c r="CE398" s="847"/>
      <c r="CF398" s="847"/>
      <c r="CG398" s="847"/>
      <c r="CH398" s="847"/>
      <c r="CI398" s="847"/>
      <c r="CJ398" s="847"/>
      <c r="CK398" s="847"/>
      <c r="CL398" s="847"/>
      <c r="CM398" s="847"/>
      <c r="CN398" s="847"/>
      <c r="CO398" s="847"/>
      <c r="CP398" s="847"/>
      <c r="CQ398" s="847"/>
      <c r="CR398" s="847"/>
      <c r="CS398" s="847"/>
      <c r="CT398" s="847"/>
      <c r="CU398" s="847"/>
      <c r="CV398" s="847"/>
      <c r="CW398" s="847"/>
      <c r="CX398" s="847"/>
      <c r="CY398" s="847"/>
      <c r="CZ398" s="847"/>
      <c r="DA398" s="847"/>
      <c r="DB398" s="847"/>
      <c r="DC398" s="847"/>
      <c r="DD398" s="847"/>
      <c r="DE398" s="847"/>
      <c r="DF398" s="847"/>
      <c r="DG398" s="847"/>
      <c r="DH398" s="847"/>
      <c r="DI398" s="847"/>
      <c r="DJ398" s="847"/>
      <c r="DK398" s="847"/>
      <c r="DL398" s="847"/>
      <c r="DM398" s="1212"/>
      <c r="DN398" s="1222" t="e">
        <f>'Lead &amp; ANALYSIS'!#REF!</f>
        <v>#REF!</v>
      </c>
      <c r="DO398" s="1013" t="e">
        <f>ROUND(C398*DN398,2)</f>
        <v>#REF!</v>
      </c>
      <c r="DP398" s="847"/>
      <c r="DQ398" s="1013"/>
      <c r="DR398" s="1225"/>
      <c r="DS398" s="1013"/>
      <c r="DT398" s="1225"/>
      <c r="DU398" s="1214"/>
      <c r="DV398" s="1242"/>
      <c r="DW398" s="1232"/>
      <c r="DX398" s="1222"/>
      <c r="DY398" s="847"/>
      <c r="DZ398" s="847"/>
      <c r="EA398" s="847"/>
      <c r="EB398" s="847"/>
      <c r="EC398" s="847"/>
      <c r="ED398" s="847"/>
      <c r="EE398" s="847"/>
      <c r="EF398" s="847"/>
      <c r="EG398" s="1212"/>
      <c r="EH398" s="847"/>
      <c r="EI398" s="1212"/>
    </row>
    <row r="399" spans="1:139" s="733" customFormat="1" ht="13.5">
      <c r="A399" s="1009">
        <v>142</v>
      </c>
      <c r="B399" s="1212" t="s">
        <v>3116</v>
      </c>
      <c r="C399" s="1213">
        <v>0</v>
      </c>
      <c r="D399" s="1013" t="s">
        <v>49</v>
      </c>
      <c r="E399" s="847"/>
      <c r="F399" s="1013"/>
      <c r="G399" s="1236"/>
      <c r="H399" s="1013"/>
      <c r="I399" s="847"/>
      <c r="J399" s="1013"/>
      <c r="K399" s="847"/>
      <c r="L399" s="1013"/>
      <c r="M399" s="847"/>
      <c r="N399" s="1013"/>
      <c r="O399" s="847"/>
      <c r="P399" s="1013"/>
      <c r="Q399" s="847"/>
      <c r="R399" s="847"/>
      <c r="S399" s="847"/>
      <c r="T399" s="847"/>
      <c r="U399" s="847"/>
      <c r="V399" s="847"/>
      <c r="W399" s="847"/>
      <c r="X399" s="847"/>
      <c r="Y399" s="847"/>
      <c r="Z399" s="847"/>
      <c r="AA399" s="847"/>
      <c r="AB399" s="847"/>
      <c r="AC399" s="847"/>
      <c r="AD399" s="847"/>
      <c r="AE399" s="847"/>
      <c r="AF399" s="847"/>
      <c r="AG399" s="847"/>
      <c r="AH399" s="847"/>
      <c r="AI399" s="1013" t="e">
        <f>'Lead &amp; ANALYSIS'!#REF!</f>
        <v>#REF!</v>
      </c>
      <c r="AJ399" s="1013" t="e">
        <f>ROUND(C399*AI399,2)</f>
        <v>#REF!</v>
      </c>
      <c r="AK399" s="1013"/>
      <c r="AL399" s="847"/>
      <c r="AM399" s="847"/>
      <c r="AN399" s="847"/>
      <c r="AO399" s="847"/>
      <c r="AP399" s="847"/>
      <c r="AQ399" s="847"/>
      <c r="AR399" s="847"/>
      <c r="AS399" s="847"/>
      <c r="AT399" s="847"/>
      <c r="AU399" s="847"/>
      <c r="AV399" s="847"/>
      <c r="AW399" s="847"/>
      <c r="AX399" s="847"/>
      <c r="AY399" s="847"/>
      <c r="AZ399" s="847"/>
      <c r="BA399" s="847"/>
      <c r="BB399" s="847"/>
      <c r="BC399" s="847"/>
      <c r="BD399" s="847"/>
      <c r="BE399" s="847"/>
      <c r="BF399" s="847"/>
      <c r="BG399" s="847"/>
      <c r="BH399" s="847"/>
      <c r="BI399" s="847"/>
      <c r="BJ399" s="847"/>
      <c r="BK399" s="847"/>
      <c r="BL399" s="847"/>
      <c r="BM399" s="847"/>
      <c r="BN399" s="847"/>
      <c r="BO399" s="847"/>
      <c r="BP399" s="847"/>
      <c r="BQ399" s="847"/>
      <c r="BR399" s="847"/>
      <c r="BS399" s="847"/>
      <c r="BT399" s="847"/>
      <c r="BU399" s="847"/>
      <c r="BV399" s="847"/>
      <c r="BW399" s="847"/>
      <c r="BX399" s="847"/>
      <c r="BY399" s="847"/>
      <c r="BZ399" s="847"/>
      <c r="CA399" s="847"/>
      <c r="CB399" s="847"/>
      <c r="CC399" s="847"/>
      <c r="CD399" s="847"/>
      <c r="CE399" s="847"/>
      <c r="CF399" s="847"/>
      <c r="CG399" s="847"/>
      <c r="CH399" s="847"/>
      <c r="CI399" s="847"/>
      <c r="CJ399" s="847"/>
      <c r="CK399" s="847"/>
      <c r="CL399" s="847"/>
      <c r="CM399" s="847"/>
      <c r="CN399" s="847"/>
      <c r="CO399" s="847"/>
      <c r="CP399" s="847"/>
      <c r="CQ399" s="847"/>
      <c r="CR399" s="847"/>
      <c r="CS399" s="847"/>
      <c r="CT399" s="847"/>
      <c r="CU399" s="847"/>
      <c r="CV399" s="847"/>
      <c r="CW399" s="847"/>
      <c r="CX399" s="847"/>
      <c r="CY399" s="847"/>
      <c r="CZ399" s="847"/>
      <c r="DA399" s="847"/>
      <c r="DB399" s="847"/>
      <c r="DC399" s="847"/>
      <c r="DD399" s="847"/>
      <c r="DE399" s="847"/>
      <c r="DF399" s="847"/>
      <c r="DG399" s="847"/>
      <c r="DH399" s="847"/>
      <c r="DI399" s="847"/>
      <c r="DJ399" s="847"/>
      <c r="DK399" s="847"/>
      <c r="DL399" s="847"/>
      <c r="DM399" s="1212"/>
      <c r="DN399" s="1222" t="e">
        <f>'Lead &amp; ANALYSIS'!#REF!</f>
        <v>#REF!</v>
      </c>
      <c r="DO399" s="1013" t="e">
        <f t="shared" si="18"/>
        <v>#REF!</v>
      </c>
      <c r="DP399" s="847" t="e">
        <f>'Lead &amp; ANALYSIS'!#REF!</f>
        <v>#REF!</v>
      </c>
      <c r="DQ399" s="1013" t="e">
        <f>ROUND(C399*DP399,2)</f>
        <v>#REF!</v>
      </c>
      <c r="DR399" s="1225"/>
      <c r="DS399" s="1013"/>
      <c r="DT399" s="1225" t="e">
        <f>'Lead &amp; ANALYSIS'!#REF!</f>
        <v>#REF!</v>
      </c>
      <c r="DU399" s="1214" t="e">
        <f>ROUND(C399*DT399,2)</f>
        <v>#REF!</v>
      </c>
      <c r="DV399" s="1242"/>
      <c r="DW399" s="1232"/>
      <c r="DX399" s="1222"/>
      <c r="DY399" s="847"/>
      <c r="DZ399" s="847"/>
      <c r="EA399" s="847"/>
      <c r="EB399" s="847"/>
      <c r="EC399" s="847"/>
      <c r="ED399" s="847"/>
      <c r="EE399" s="847"/>
      <c r="EF399" s="847"/>
      <c r="EG399" s="1212"/>
      <c r="EH399" s="847"/>
      <c r="EI399" s="1212"/>
    </row>
    <row r="400" spans="1:139" s="733" customFormat="1" ht="13.5">
      <c r="A400" s="1009">
        <v>143</v>
      </c>
      <c r="B400" s="1212" t="s">
        <v>3117</v>
      </c>
      <c r="C400" s="1213">
        <v>0</v>
      </c>
      <c r="D400" s="1013" t="s">
        <v>49</v>
      </c>
      <c r="E400" s="847"/>
      <c r="F400" s="1013"/>
      <c r="G400" s="1236" t="e">
        <f>'Lead &amp; ANALYSIS'!#REF!</f>
        <v>#REF!</v>
      </c>
      <c r="H400" s="1013" t="e">
        <f>ROUND(C400*G400,2)</f>
        <v>#REF!</v>
      </c>
      <c r="I400" s="847"/>
      <c r="J400" s="1013"/>
      <c r="K400" s="847" t="e">
        <f>'Lead &amp; ANALYSIS'!#REF!*10</f>
        <v>#REF!</v>
      </c>
      <c r="L400" s="1013" t="e">
        <f>ROUND(C400*K400,2)</f>
        <v>#REF!</v>
      </c>
      <c r="M400" s="847"/>
      <c r="N400" s="1013"/>
      <c r="O400" s="847"/>
      <c r="P400" s="1013"/>
      <c r="Q400" s="847"/>
      <c r="R400" s="847" t="e">
        <f>'Lead &amp; ANALYSIS'!#REF!</f>
        <v>#REF!</v>
      </c>
      <c r="S400" s="1013" t="e">
        <f>ROUND(C400*R400,2)</f>
        <v>#REF!</v>
      </c>
      <c r="T400" s="847"/>
      <c r="U400" s="847"/>
      <c r="V400" s="847"/>
      <c r="W400" s="847"/>
      <c r="X400" s="847"/>
      <c r="Y400" s="847"/>
      <c r="Z400" s="847"/>
      <c r="AA400" s="847"/>
      <c r="AB400" s="847"/>
      <c r="AC400" s="847"/>
      <c r="AD400" s="847"/>
      <c r="AE400" s="847"/>
      <c r="AF400" s="847"/>
      <c r="AG400" s="847"/>
      <c r="AH400" s="847"/>
      <c r="AI400" s="1013"/>
      <c r="AJ400" s="1013"/>
      <c r="AK400" s="1013"/>
      <c r="AL400" s="847"/>
      <c r="AM400" s="847"/>
      <c r="AN400" s="847"/>
      <c r="AO400" s="847"/>
      <c r="AP400" s="847"/>
      <c r="AQ400" s="847"/>
      <c r="AR400" s="847"/>
      <c r="AS400" s="847"/>
      <c r="AT400" s="847"/>
      <c r="AU400" s="847"/>
      <c r="AV400" s="847"/>
      <c r="AW400" s="847"/>
      <c r="AX400" s="847"/>
      <c r="AY400" s="847"/>
      <c r="AZ400" s="847"/>
      <c r="BA400" s="847"/>
      <c r="BB400" s="847"/>
      <c r="BC400" s="847"/>
      <c r="BD400" s="847"/>
      <c r="BE400" s="847"/>
      <c r="BF400" s="847"/>
      <c r="BG400" s="847"/>
      <c r="BH400" s="847"/>
      <c r="BI400" s="847"/>
      <c r="BJ400" s="847"/>
      <c r="BK400" s="847"/>
      <c r="BL400" s="847"/>
      <c r="BM400" s="847"/>
      <c r="BN400" s="847"/>
      <c r="BO400" s="847"/>
      <c r="BP400" s="847"/>
      <c r="BQ400" s="847"/>
      <c r="BR400" s="847"/>
      <c r="BS400" s="847"/>
      <c r="BT400" s="847"/>
      <c r="BU400" s="847"/>
      <c r="BV400" s="847"/>
      <c r="BW400" s="847"/>
      <c r="BX400" s="847"/>
      <c r="BY400" s="847"/>
      <c r="BZ400" s="847"/>
      <c r="CA400" s="847"/>
      <c r="CB400" s="847"/>
      <c r="CC400" s="847"/>
      <c r="CD400" s="847"/>
      <c r="CE400" s="847"/>
      <c r="CF400" s="847"/>
      <c r="CG400" s="847"/>
      <c r="CH400" s="847"/>
      <c r="CI400" s="847"/>
      <c r="CJ400" s="847"/>
      <c r="CK400" s="847"/>
      <c r="CL400" s="847"/>
      <c r="CM400" s="847"/>
      <c r="CN400" s="847"/>
      <c r="CO400" s="847"/>
      <c r="CP400" s="847"/>
      <c r="CQ400" s="847"/>
      <c r="CR400" s="847"/>
      <c r="CS400" s="847"/>
      <c r="CT400" s="847"/>
      <c r="CU400" s="847"/>
      <c r="CV400" s="847"/>
      <c r="CW400" s="847"/>
      <c r="CX400" s="847"/>
      <c r="CY400" s="847"/>
      <c r="CZ400" s="847"/>
      <c r="DA400" s="847"/>
      <c r="DB400" s="847"/>
      <c r="DC400" s="847"/>
      <c r="DD400" s="847"/>
      <c r="DE400" s="847"/>
      <c r="DF400" s="847"/>
      <c r="DG400" s="847"/>
      <c r="DH400" s="847"/>
      <c r="DI400" s="847"/>
      <c r="DJ400" s="847"/>
      <c r="DK400" s="847"/>
      <c r="DL400" s="847"/>
      <c r="DM400" s="1212"/>
      <c r="DN400" s="1222" t="e">
        <f>'Lead &amp; ANALYSIS'!#REF!</f>
        <v>#REF!</v>
      </c>
      <c r="DO400" s="1013" t="e">
        <f t="shared" si="18"/>
        <v>#REF!</v>
      </c>
      <c r="DP400" s="847"/>
      <c r="DQ400" s="1013"/>
      <c r="DR400" s="1225" t="e">
        <f>'Lead &amp; ANALYSIS'!#REF!</f>
        <v>#REF!</v>
      </c>
      <c r="DS400" s="1013" t="e">
        <f>ROUND(C400*DR400,2)</f>
        <v>#REF!</v>
      </c>
      <c r="DT400" s="1225" t="e">
        <f>'Lead &amp; ANALYSIS'!#REF!</f>
        <v>#REF!</v>
      </c>
      <c r="DU400" s="1214" t="e">
        <f>ROUND(C400*DT400,2)</f>
        <v>#REF!</v>
      </c>
      <c r="DV400" s="1242"/>
      <c r="DW400" s="1232"/>
      <c r="DX400" s="1222"/>
      <c r="DY400" s="847"/>
      <c r="DZ400" s="847"/>
      <c r="EA400" s="847"/>
      <c r="EB400" s="847"/>
      <c r="EC400" s="847"/>
      <c r="ED400" s="847"/>
      <c r="EE400" s="847"/>
      <c r="EF400" s="847"/>
      <c r="EG400" s="1212"/>
      <c r="EH400" s="847"/>
      <c r="EI400" s="1212"/>
    </row>
    <row r="401" spans="1:139" s="733" customFormat="1" ht="13.5">
      <c r="A401" s="1009">
        <v>144</v>
      </c>
      <c r="B401" s="1212" t="s">
        <v>3118</v>
      </c>
      <c r="C401" s="1213">
        <v>0</v>
      </c>
      <c r="D401" s="1013" t="s">
        <v>49</v>
      </c>
      <c r="E401" s="847"/>
      <c r="F401" s="1013"/>
      <c r="G401" s="847"/>
      <c r="H401" s="1013"/>
      <c r="I401" s="847"/>
      <c r="J401" s="1013"/>
      <c r="K401" s="847"/>
      <c r="L401" s="1013"/>
      <c r="M401" s="847"/>
      <c r="N401" s="1013"/>
      <c r="O401" s="847"/>
      <c r="P401" s="1013"/>
      <c r="Q401" s="847"/>
      <c r="R401" s="847"/>
      <c r="S401" s="847"/>
      <c r="T401" s="847"/>
      <c r="U401" s="847"/>
      <c r="V401" s="847"/>
      <c r="W401" s="847"/>
      <c r="X401" s="847"/>
      <c r="Y401" s="847"/>
      <c r="Z401" s="847"/>
      <c r="AA401" s="847"/>
      <c r="AB401" s="847"/>
      <c r="AC401" s="847"/>
      <c r="AD401" s="847"/>
      <c r="AE401" s="847"/>
      <c r="AF401" s="847"/>
      <c r="AG401" s="847"/>
      <c r="AH401" s="847"/>
      <c r="AI401" s="1013"/>
      <c r="AJ401" s="1013"/>
      <c r="AK401" s="1013" t="e">
        <f>'Lead &amp; ANALYSIS'!#REF!</f>
        <v>#REF!</v>
      </c>
      <c r="AL401" s="1013" t="e">
        <f>ROUND(C401*AK401,2)</f>
        <v>#REF!</v>
      </c>
      <c r="AM401" s="1013"/>
      <c r="AN401" s="1013"/>
      <c r="AO401" s="847"/>
      <c r="AP401" s="847"/>
      <c r="AQ401" s="847"/>
      <c r="AR401" s="847"/>
      <c r="AS401" s="847"/>
      <c r="AT401" s="847"/>
      <c r="AU401" s="847"/>
      <c r="AV401" s="847"/>
      <c r="AW401" s="847"/>
      <c r="AX401" s="847"/>
      <c r="AY401" s="847"/>
      <c r="AZ401" s="847"/>
      <c r="BA401" s="847"/>
      <c r="BB401" s="847"/>
      <c r="BC401" s="847"/>
      <c r="BD401" s="847"/>
      <c r="BE401" s="847"/>
      <c r="BF401" s="847"/>
      <c r="BG401" s="847"/>
      <c r="BH401" s="847"/>
      <c r="BI401" s="847"/>
      <c r="BJ401" s="847"/>
      <c r="BK401" s="847"/>
      <c r="BL401" s="847"/>
      <c r="BM401" s="847"/>
      <c r="BN401" s="847"/>
      <c r="BO401" s="847"/>
      <c r="BP401" s="847"/>
      <c r="BQ401" s="847"/>
      <c r="BR401" s="847"/>
      <c r="BS401" s="847"/>
      <c r="BT401" s="847"/>
      <c r="BU401" s="847"/>
      <c r="BV401" s="847"/>
      <c r="BW401" s="847"/>
      <c r="BX401" s="847"/>
      <c r="BY401" s="847"/>
      <c r="BZ401" s="847"/>
      <c r="CA401" s="847"/>
      <c r="CB401" s="847"/>
      <c r="CC401" s="847"/>
      <c r="CD401" s="847"/>
      <c r="CE401" s="847"/>
      <c r="CF401" s="847"/>
      <c r="CG401" s="847"/>
      <c r="CH401" s="847"/>
      <c r="CI401" s="847"/>
      <c r="CJ401" s="847"/>
      <c r="CK401" s="847"/>
      <c r="CL401" s="847"/>
      <c r="CM401" s="847"/>
      <c r="CN401" s="847"/>
      <c r="CO401" s="847"/>
      <c r="CP401" s="847"/>
      <c r="CQ401" s="847"/>
      <c r="CR401" s="847"/>
      <c r="CS401" s="847"/>
      <c r="CT401" s="847"/>
      <c r="CU401" s="847"/>
      <c r="CV401" s="847"/>
      <c r="CW401" s="847"/>
      <c r="CX401" s="847"/>
      <c r="CY401" s="847"/>
      <c r="CZ401" s="847"/>
      <c r="DA401" s="847"/>
      <c r="DB401" s="847"/>
      <c r="DC401" s="847"/>
      <c r="DD401" s="847"/>
      <c r="DE401" s="847"/>
      <c r="DF401" s="847"/>
      <c r="DG401" s="847"/>
      <c r="DH401" s="847"/>
      <c r="DI401" s="847"/>
      <c r="DJ401" s="847"/>
      <c r="DK401" s="847"/>
      <c r="DL401" s="847"/>
      <c r="DM401" s="1212"/>
      <c r="DN401" s="1222" t="e">
        <f>'Lead &amp; ANALYSIS'!#REF!/2.83</f>
        <v>#REF!</v>
      </c>
      <c r="DO401" s="1013" t="e">
        <f t="shared" si="18"/>
        <v>#REF!</v>
      </c>
      <c r="DP401" s="847" t="e">
        <f>'Lead &amp; ANALYSIS'!#REF!/2.83</f>
        <v>#REF!</v>
      </c>
      <c r="DQ401" s="1013" t="e">
        <f>ROUND(C401*DP401,2)</f>
        <v>#REF!</v>
      </c>
      <c r="DR401" s="1225"/>
      <c r="DS401" s="1013"/>
      <c r="DT401" s="1225"/>
      <c r="DU401" s="1214"/>
      <c r="DV401" s="1242"/>
      <c r="DW401" s="1232"/>
      <c r="DX401" s="1222"/>
      <c r="DY401" s="847"/>
      <c r="DZ401" s="847"/>
      <c r="EA401" s="847"/>
      <c r="EB401" s="847"/>
      <c r="EC401" s="847"/>
      <c r="ED401" s="847"/>
      <c r="EE401" s="847"/>
      <c r="EF401" s="847"/>
      <c r="EG401" s="1212"/>
      <c r="EH401" s="847"/>
      <c r="EI401" s="1212"/>
    </row>
    <row r="402" spans="1:139" s="733" customFormat="1" ht="13.5">
      <c r="A402" s="1009">
        <v>145</v>
      </c>
      <c r="B402" s="1212" t="s">
        <v>606</v>
      </c>
      <c r="C402" s="1213">
        <v>0</v>
      </c>
      <c r="D402" s="1013" t="s">
        <v>49</v>
      </c>
      <c r="E402" s="847"/>
      <c r="F402" s="1013"/>
      <c r="G402" s="847"/>
      <c r="H402" s="1013"/>
      <c r="I402" s="847"/>
      <c r="J402" s="1013"/>
      <c r="K402" s="847"/>
      <c r="L402" s="1013"/>
      <c r="M402" s="847"/>
      <c r="N402" s="1013"/>
      <c r="O402" s="847"/>
      <c r="P402" s="1013"/>
      <c r="Q402" s="847"/>
      <c r="R402" s="847"/>
      <c r="S402" s="847"/>
      <c r="T402" s="847"/>
      <c r="U402" s="847"/>
      <c r="V402" s="847"/>
      <c r="W402" s="847"/>
      <c r="X402" s="847"/>
      <c r="Y402" s="847"/>
      <c r="Z402" s="847"/>
      <c r="AA402" s="847"/>
      <c r="AB402" s="847"/>
      <c r="AC402" s="847"/>
      <c r="AD402" s="847"/>
      <c r="AE402" s="847"/>
      <c r="AF402" s="847"/>
      <c r="AG402" s="847"/>
      <c r="AH402" s="847"/>
      <c r="AI402" s="1013"/>
      <c r="AJ402" s="1013"/>
      <c r="AK402" s="1013"/>
      <c r="AL402" s="1013"/>
      <c r="AM402" s="1013"/>
      <c r="AN402" s="1013"/>
      <c r="AO402" s="847"/>
      <c r="AP402" s="847"/>
      <c r="AQ402" s="847"/>
      <c r="AR402" s="847"/>
      <c r="AS402" s="847"/>
      <c r="AT402" s="847"/>
      <c r="AU402" s="847"/>
      <c r="AV402" s="847"/>
      <c r="AW402" s="847"/>
      <c r="AX402" s="847"/>
      <c r="AY402" s="847"/>
      <c r="AZ402" s="847"/>
      <c r="BA402" s="847"/>
      <c r="BB402" s="847"/>
      <c r="BC402" s="847"/>
      <c r="BD402" s="847"/>
      <c r="BE402" s="847"/>
      <c r="BF402" s="847"/>
      <c r="BG402" s="847"/>
      <c r="BH402" s="847"/>
      <c r="BI402" s="847"/>
      <c r="BJ402" s="847"/>
      <c r="BK402" s="847"/>
      <c r="BL402" s="847"/>
      <c r="BM402" s="847"/>
      <c r="BN402" s="847"/>
      <c r="BO402" s="847"/>
      <c r="BP402" s="847"/>
      <c r="BQ402" s="847"/>
      <c r="BR402" s="847"/>
      <c r="BS402" s="847"/>
      <c r="BT402" s="847"/>
      <c r="BU402" s="847"/>
      <c r="BV402" s="847"/>
      <c r="BW402" s="847"/>
      <c r="BX402" s="847"/>
      <c r="BY402" s="847"/>
      <c r="BZ402" s="847"/>
      <c r="CA402" s="847"/>
      <c r="CB402" s="847"/>
      <c r="CC402" s="847"/>
      <c r="CD402" s="847"/>
      <c r="CE402" s="847"/>
      <c r="CF402" s="847"/>
      <c r="CG402" s="847"/>
      <c r="CH402" s="847"/>
      <c r="CI402" s="847"/>
      <c r="CJ402" s="847"/>
      <c r="CK402" s="847"/>
      <c r="CL402" s="847"/>
      <c r="CM402" s="847"/>
      <c r="CN402" s="847"/>
      <c r="CO402" s="847"/>
      <c r="CP402" s="847"/>
      <c r="CQ402" s="847"/>
      <c r="CR402" s="847"/>
      <c r="CS402" s="847"/>
      <c r="CT402" s="847"/>
      <c r="CU402" s="847"/>
      <c r="CV402" s="847"/>
      <c r="CW402" s="847"/>
      <c r="CX402" s="847"/>
      <c r="CY402" s="847"/>
      <c r="CZ402" s="847"/>
      <c r="DA402" s="847"/>
      <c r="DB402" s="847"/>
      <c r="DC402" s="847"/>
      <c r="DD402" s="847"/>
      <c r="DE402" s="847"/>
      <c r="DF402" s="847"/>
      <c r="DG402" s="847"/>
      <c r="DH402" s="847"/>
      <c r="DI402" s="847"/>
      <c r="DJ402" s="847"/>
      <c r="DK402" s="847"/>
      <c r="DL402" s="847"/>
      <c r="DM402" s="1212"/>
      <c r="DN402" s="1222"/>
      <c r="DO402" s="1013"/>
      <c r="DP402" s="847"/>
      <c r="DQ402" s="1013"/>
      <c r="DR402" s="1225"/>
      <c r="DS402" s="1013"/>
      <c r="DT402" s="1225"/>
      <c r="DU402" s="1214"/>
      <c r="DV402" s="1242"/>
      <c r="DW402" s="1232"/>
      <c r="DX402" s="1222"/>
      <c r="DY402" s="847"/>
      <c r="DZ402" s="847"/>
      <c r="EA402" s="847"/>
      <c r="EB402" s="847"/>
      <c r="EC402" s="847"/>
      <c r="ED402" s="847"/>
      <c r="EE402" s="847"/>
      <c r="EF402" s="847"/>
      <c r="EG402" s="1212"/>
      <c r="EH402" s="847"/>
      <c r="EI402" s="1212"/>
    </row>
    <row r="403" spans="1:139" s="733" customFormat="1" ht="13.5">
      <c r="A403" s="1009"/>
      <c r="B403" s="1212" t="s">
        <v>607</v>
      </c>
      <c r="C403" s="1213">
        <v>0</v>
      </c>
      <c r="D403" s="1013" t="s">
        <v>49</v>
      </c>
      <c r="E403" s="847"/>
      <c r="F403" s="1013"/>
      <c r="G403" s="847"/>
      <c r="H403" s="1013"/>
      <c r="I403" s="847"/>
      <c r="J403" s="1013"/>
      <c r="K403" s="847"/>
      <c r="L403" s="1013"/>
      <c r="M403" s="847"/>
      <c r="N403" s="1013"/>
      <c r="O403" s="847"/>
      <c r="P403" s="1013"/>
      <c r="Q403" s="847"/>
      <c r="R403" s="847"/>
      <c r="S403" s="847"/>
      <c r="T403" s="847"/>
      <c r="U403" s="847"/>
      <c r="V403" s="847"/>
      <c r="W403" s="847"/>
      <c r="X403" s="847"/>
      <c r="Y403" s="847" t="e">
        <f>'Lead &amp; ANALYSIS'!#REF!</f>
        <v>#REF!</v>
      </c>
      <c r="Z403" s="847" t="e">
        <f>ROUND(C403*Y403,2)</f>
        <v>#REF!</v>
      </c>
      <c r="AA403" s="847"/>
      <c r="AB403" s="847"/>
      <c r="AC403" s="847"/>
      <c r="AD403" s="847"/>
      <c r="AE403" s="847"/>
      <c r="AF403" s="847"/>
      <c r="AG403" s="847"/>
      <c r="AH403" s="847"/>
      <c r="AI403" s="1013"/>
      <c r="AJ403" s="1013"/>
      <c r="AK403" s="1013"/>
      <c r="AL403" s="1013"/>
      <c r="AM403" s="1013"/>
      <c r="AN403" s="1013"/>
      <c r="AO403" s="1013" t="e">
        <f>'Lead &amp; ANALYSIS'!#REF!</f>
        <v>#REF!</v>
      </c>
      <c r="AP403" s="847" t="e">
        <f>ROUND(C403*AO403,2)</f>
        <v>#REF!</v>
      </c>
      <c r="AQ403" s="847"/>
      <c r="AR403" s="847"/>
      <c r="AS403" s="847"/>
      <c r="AT403" s="847"/>
      <c r="AU403" s="847"/>
      <c r="AV403" s="847"/>
      <c r="AW403" s="847"/>
      <c r="AX403" s="847"/>
      <c r="AY403" s="847"/>
      <c r="AZ403" s="847"/>
      <c r="BA403" s="847"/>
      <c r="BB403" s="847"/>
      <c r="BC403" s="847"/>
      <c r="BD403" s="847"/>
      <c r="BE403" s="847"/>
      <c r="BF403" s="847"/>
      <c r="BG403" s="847"/>
      <c r="BH403" s="847"/>
      <c r="BI403" s="847"/>
      <c r="BJ403" s="847"/>
      <c r="BK403" s="847"/>
      <c r="BL403" s="847"/>
      <c r="BM403" s="847"/>
      <c r="BN403" s="847"/>
      <c r="BO403" s="847"/>
      <c r="BP403" s="847"/>
      <c r="BQ403" s="847"/>
      <c r="BR403" s="847"/>
      <c r="BS403" s="847"/>
      <c r="BT403" s="847"/>
      <c r="BU403" s="847"/>
      <c r="BV403" s="847"/>
      <c r="BW403" s="847"/>
      <c r="BX403" s="847"/>
      <c r="BY403" s="847"/>
      <c r="BZ403" s="847"/>
      <c r="CA403" s="847"/>
      <c r="CB403" s="847"/>
      <c r="CC403" s="847"/>
      <c r="CD403" s="847"/>
      <c r="CE403" s="847"/>
      <c r="CF403" s="847"/>
      <c r="CG403" s="847"/>
      <c r="CH403" s="847"/>
      <c r="CI403" s="847"/>
      <c r="CJ403" s="847"/>
      <c r="CK403" s="847"/>
      <c r="CL403" s="847"/>
      <c r="CM403" s="847"/>
      <c r="CN403" s="847"/>
      <c r="CO403" s="847"/>
      <c r="CP403" s="847"/>
      <c r="CQ403" s="847"/>
      <c r="CR403" s="847"/>
      <c r="CS403" s="847"/>
      <c r="CT403" s="847"/>
      <c r="CU403" s="847"/>
      <c r="CV403" s="847"/>
      <c r="CW403" s="847"/>
      <c r="CX403" s="847"/>
      <c r="CY403" s="847"/>
      <c r="CZ403" s="847"/>
      <c r="DA403" s="847"/>
      <c r="DB403" s="847"/>
      <c r="DC403" s="847"/>
      <c r="DD403" s="847"/>
      <c r="DE403" s="847"/>
      <c r="DF403" s="847"/>
      <c r="DG403" s="847"/>
      <c r="DH403" s="847"/>
      <c r="DI403" s="847"/>
      <c r="DJ403" s="847"/>
      <c r="DK403" s="847"/>
      <c r="DL403" s="847"/>
      <c r="DM403" s="1212"/>
      <c r="DN403" s="1222"/>
      <c r="DO403" s="1013"/>
      <c r="DP403" s="847"/>
      <c r="DQ403" s="1013"/>
      <c r="DR403" s="1225"/>
      <c r="DS403" s="1013"/>
      <c r="DT403" s="1225"/>
      <c r="DU403" s="1214"/>
      <c r="DV403" s="1242"/>
      <c r="DW403" s="1232"/>
      <c r="DX403" s="1222"/>
      <c r="DY403" s="847"/>
      <c r="DZ403" s="847"/>
      <c r="EA403" s="847"/>
      <c r="EB403" s="847"/>
      <c r="EC403" s="847"/>
      <c r="ED403" s="847"/>
      <c r="EE403" s="847"/>
      <c r="EF403" s="847"/>
      <c r="EG403" s="1212"/>
      <c r="EH403" s="847"/>
      <c r="EI403" s="1212"/>
    </row>
    <row r="404" spans="1:139" s="733" customFormat="1" ht="13.5">
      <c r="A404" s="1009"/>
      <c r="B404" s="1212" t="s">
        <v>608</v>
      </c>
      <c r="C404" s="1213">
        <v>0</v>
      </c>
      <c r="D404" s="1013" t="s">
        <v>49</v>
      </c>
      <c r="E404" s="847"/>
      <c r="F404" s="1013"/>
      <c r="G404" s="847"/>
      <c r="H404" s="1013"/>
      <c r="I404" s="847"/>
      <c r="J404" s="1013"/>
      <c r="K404" s="847"/>
      <c r="L404" s="1013"/>
      <c r="M404" s="847"/>
      <c r="N404" s="1013"/>
      <c r="O404" s="847"/>
      <c r="P404" s="1013"/>
      <c r="Q404" s="847"/>
      <c r="R404" s="847"/>
      <c r="S404" s="847"/>
      <c r="T404" s="847"/>
      <c r="U404" s="847"/>
      <c r="V404" s="847"/>
      <c r="W404" s="847"/>
      <c r="X404" s="847"/>
      <c r="Y404" s="847" t="e">
        <f>'Lead &amp; ANALYSIS'!#REF!</f>
        <v>#REF!</v>
      </c>
      <c r="Z404" s="847"/>
      <c r="AA404" s="847" t="e">
        <f>ROUND(C404*Y404,2)</f>
        <v>#REF!</v>
      </c>
      <c r="AB404" s="847"/>
      <c r="AC404" s="847"/>
      <c r="AD404" s="847"/>
      <c r="AE404" s="847"/>
      <c r="AF404" s="847"/>
      <c r="AG404" s="847"/>
      <c r="AH404" s="847"/>
      <c r="AI404" s="1013"/>
      <c r="AJ404" s="1013"/>
      <c r="AK404" s="1013"/>
      <c r="AL404" s="1013"/>
      <c r="AM404" s="1013"/>
      <c r="AN404" s="1013"/>
      <c r="AO404" s="1013" t="e">
        <f>'Lead &amp; ANALYSIS'!#REF!</f>
        <v>#REF!</v>
      </c>
      <c r="AP404" s="847" t="e">
        <f>ROUND(C404*AO404,2)</f>
        <v>#REF!</v>
      </c>
      <c r="AQ404" s="847"/>
      <c r="AR404" s="847"/>
      <c r="AS404" s="847"/>
      <c r="AT404" s="847"/>
      <c r="AU404" s="847"/>
      <c r="AV404" s="847"/>
      <c r="AW404" s="847"/>
      <c r="AX404" s="847"/>
      <c r="AY404" s="847"/>
      <c r="AZ404" s="847"/>
      <c r="BA404" s="847"/>
      <c r="BB404" s="847"/>
      <c r="BC404" s="847"/>
      <c r="BD404" s="847"/>
      <c r="BE404" s="847"/>
      <c r="BF404" s="847"/>
      <c r="BG404" s="847"/>
      <c r="BH404" s="847"/>
      <c r="BI404" s="847"/>
      <c r="BJ404" s="847"/>
      <c r="BK404" s="847"/>
      <c r="BL404" s="847"/>
      <c r="BM404" s="847"/>
      <c r="BN404" s="847"/>
      <c r="BO404" s="847"/>
      <c r="BP404" s="847"/>
      <c r="BQ404" s="847"/>
      <c r="BR404" s="847"/>
      <c r="BS404" s="847"/>
      <c r="BT404" s="847"/>
      <c r="BU404" s="847"/>
      <c r="BV404" s="847"/>
      <c r="BW404" s="847"/>
      <c r="BX404" s="847"/>
      <c r="BY404" s="847"/>
      <c r="BZ404" s="847"/>
      <c r="CA404" s="847"/>
      <c r="CB404" s="847"/>
      <c r="CC404" s="847"/>
      <c r="CD404" s="847"/>
      <c r="CE404" s="847"/>
      <c r="CF404" s="847"/>
      <c r="CG404" s="847"/>
      <c r="CH404" s="847"/>
      <c r="CI404" s="847"/>
      <c r="CJ404" s="847"/>
      <c r="CK404" s="847"/>
      <c r="CL404" s="847"/>
      <c r="CM404" s="847"/>
      <c r="CN404" s="847"/>
      <c r="CO404" s="847"/>
      <c r="CP404" s="847"/>
      <c r="CQ404" s="847"/>
      <c r="CR404" s="847"/>
      <c r="CS404" s="847"/>
      <c r="CT404" s="847"/>
      <c r="CU404" s="847"/>
      <c r="CV404" s="847"/>
      <c r="CW404" s="847"/>
      <c r="CX404" s="847"/>
      <c r="CY404" s="847"/>
      <c r="CZ404" s="847"/>
      <c r="DA404" s="847"/>
      <c r="DB404" s="847"/>
      <c r="DC404" s="847"/>
      <c r="DD404" s="847"/>
      <c r="DE404" s="847"/>
      <c r="DF404" s="847"/>
      <c r="DG404" s="847"/>
      <c r="DH404" s="847"/>
      <c r="DI404" s="847"/>
      <c r="DJ404" s="847"/>
      <c r="DK404" s="847"/>
      <c r="DL404" s="847"/>
      <c r="DM404" s="1212"/>
      <c r="DN404" s="1222"/>
      <c r="DO404" s="1013"/>
      <c r="DP404" s="847"/>
      <c r="DQ404" s="1013"/>
      <c r="DR404" s="1225"/>
      <c r="DS404" s="1013"/>
      <c r="DT404" s="1225"/>
      <c r="DU404" s="1214"/>
      <c r="DV404" s="1242"/>
      <c r="DW404" s="1232"/>
      <c r="DX404" s="1222"/>
      <c r="DY404" s="847"/>
      <c r="DZ404" s="847"/>
      <c r="EA404" s="847"/>
      <c r="EB404" s="847"/>
      <c r="EC404" s="847"/>
      <c r="ED404" s="847"/>
      <c r="EE404" s="847"/>
      <c r="EF404" s="847"/>
      <c r="EG404" s="1212"/>
      <c r="EH404" s="847"/>
      <c r="EI404" s="1212"/>
    </row>
    <row r="405" spans="1:139" s="733" customFormat="1" ht="13.5">
      <c r="A405" s="1009"/>
      <c r="B405" s="1212" t="s">
        <v>609</v>
      </c>
      <c r="C405" s="1213">
        <v>0</v>
      </c>
      <c r="D405" s="1013" t="s">
        <v>49</v>
      </c>
      <c r="E405" s="847"/>
      <c r="F405" s="1013"/>
      <c r="G405" s="847"/>
      <c r="H405" s="1013"/>
      <c r="I405" s="847"/>
      <c r="J405" s="1013"/>
      <c r="K405" s="847"/>
      <c r="L405" s="1013"/>
      <c r="M405" s="847"/>
      <c r="N405" s="1013"/>
      <c r="O405" s="847"/>
      <c r="P405" s="1013"/>
      <c r="Q405" s="847"/>
      <c r="R405" s="847"/>
      <c r="S405" s="847"/>
      <c r="T405" s="847"/>
      <c r="U405" s="847"/>
      <c r="V405" s="847"/>
      <c r="W405" s="847"/>
      <c r="X405" s="847"/>
      <c r="Y405" s="847" t="e">
        <f>'Lead &amp; ANALYSIS'!#REF!</f>
        <v>#REF!</v>
      </c>
      <c r="Z405" s="847"/>
      <c r="AA405" s="847"/>
      <c r="AB405" s="847" t="e">
        <f>ROUND(C405*Y405,2)</f>
        <v>#REF!</v>
      </c>
      <c r="AC405" s="847"/>
      <c r="AD405" s="847"/>
      <c r="AE405" s="847"/>
      <c r="AF405" s="847"/>
      <c r="AG405" s="847"/>
      <c r="AH405" s="847"/>
      <c r="AI405" s="1013"/>
      <c r="AJ405" s="1013"/>
      <c r="AK405" s="1013"/>
      <c r="AL405" s="1013"/>
      <c r="AM405" s="1013"/>
      <c r="AN405" s="1013"/>
      <c r="AO405" s="1013" t="e">
        <f>'Lead &amp; ANALYSIS'!#REF!</f>
        <v>#REF!</v>
      </c>
      <c r="AP405" s="847" t="e">
        <f>ROUND(C405*AO405,2)</f>
        <v>#REF!</v>
      </c>
      <c r="AQ405" s="847"/>
      <c r="AR405" s="847"/>
      <c r="AS405" s="847"/>
      <c r="AT405" s="847"/>
      <c r="AU405" s="847"/>
      <c r="AV405" s="847"/>
      <c r="AW405" s="847"/>
      <c r="AX405" s="847"/>
      <c r="AY405" s="847"/>
      <c r="AZ405" s="847"/>
      <c r="BA405" s="847"/>
      <c r="BB405" s="847"/>
      <c r="BC405" s="847"/>
      <c r="BD405" s="847"/>
      <c r="BE405" s="847"/>
      <c r="BF405" s="847"/>
      <c r="BG405" s="847"/>
      <c r="BH405" s="847"/>
      <c r="BI405" s="847"/>
      <c r="BJ405" s="847"/>
      <c r="BK405" s="847"/>
      <c r="BL405" s="847"/>
      <c r="BM405" s="847"/>
      <c r="BN405" s="847"/>
      <c r="BO405" s="847"/>
      <c r="BP405" s="847"/>
      <c r="BQ405" s="847"/>
      <c r="BR405" s="847"/>
      <c r="BS405" s="847"/>
      <c r="BT405" s="847"/>
      <c r="BU405" s="847"/>
      <c r="BV405" s="847"/>
      <c r="BW405" s="847"/>
      <c r="BX405" s="847"/>
      <c r="BY405" s="847"/>
      <c r="BZ405" s="847"/>
      <c r="CA405" s="847"/>
      <c r="CB405" s="847"/>
      <c r="CC405" s="847"/>
      <c r="CD405" s="847"/>
      <c r="CE405" s="847"/>
      <c r="CF405" s="847"/>
      <c r="CG405" s="847"/>
      <c r="CH405" s="847"/>
      <c r="CI405" s="847"/>
      <c r="CJ405" s="847"/>
      <c r="CK405" s="847"/>
      <c r="CL405" s="847"/>
      <c r="CM405" s="847"/>
      <c r="CN405" s="847"/>
      <c r="CO405" s="847"/>
      <c r="CP405" s="847"/>
      <c r="CQ405" s="847"/>
      <c r="CR405" s="847"/>
      <c r="CS405" s="847"/>
      <c r="CT405" s="847"/>
      <c r="CU405" s="847"/>
      <c r="CV405" s="847"/>
      <c r="CW405" s="847"/>
      <c r="CX405" s="847"/>
      <c r="CY405" s="847"/>
      <c r="CZ405" s="847"/>
      <c r="DA405" s="847"/>
      <c r="DB405" s="847"/>
      <c r="DC405" s="847"/>
      <c r="DD405" s="847"/>
      <c r="DE405" s="847"/>
      <c r="DF405" s="847"/>
      <c r="DG405" s="847"/>
      <c r="DH405" s="847"/>
      <c r="DI405" s="847"/>
      <c r="DJ405" s="847"/>
      <c r="DK405" s="847"/>
      <c r="DL405" s="847"/>
      <c r="DM405" s="1212"/>
      <c r="DN405" s="1222"/>
      <c r="DO405" s="1013"/>
      <c r="DP405" s="847"/>
      <c r="DQ405" s="1013"/>
      <c r="DR405" s="1225"/>
      <c r="DS405" s="1013"/>
      <c r="DT405" s="1225"/>
      <c r="DU405" s="1214"/>
      <c r="DV405" s="1242"/>
      <c r="DW405" s="1232"/>
      <c r="DX405" s="1222"/>
      <c r="DY405" s="847"/>
      <c r="DZ405" s="847"/>
      <c r="EA405" s="847"/>
      <c r="EB405" s="847"/>
      <c r="EC405" s="847"/>
      <c r="ED405" s="847"/>
      <c r="EE405" s="847"/>
      <c r="EF405" s="847"/>
      <c r="EG405" s="1212"/>
      <c r="EH405" s="847"/>
      <c r="EI405" s="1212"/>
    </row>
    <row r="406" spans="1:139" s="733" customFormat="1" ht="13.5">
      <c r="A406" s="1009">
        <v>146</v>
      </c>
      <c r="B406" s="1212" t="s">
        <v>3119</v>
      </c>
      <c r="C406" s="1213">
        <v>0</v>
      </c>
      <c r="D406" s="1013" t="s">
        <v>49</v>
      </c>
      <c r="E406" s="847"/>
      <c r="F406" s="1013"/>
      <c r="G406" s="847"/>
      <c r="H406" s="1013"/>
      <c r="I406" s="847"/>
      <c r="J406" s="1013"/>
      <c r="K406" s="847"/>
      <c r="L406" s="1013"/>
      <c r="M406" s="847"/>
      <c r="N406" s="1013"/>
      <c r="O406" s="847"/>
      <c r="P406" s="1013"/>
      <c r="Q406" s="847"/>
      <c r="R406" s="847"/>
      <c r="S406" s="847"/>
      <c r="T406" s="847"/>
      <c r="U406" s="847"/>
      <c r="V406" s="847"/>
      <c r="W406" s="847"/>
      <c r="X406" s="847"/>
      <c r="Y406" s="847"/>
      <c r="Z406" s="847"/>
      <c r="AA406" s="847"/>
      <c r="AB406" s="847"/>
      <c r="AC406" s="847"/>
      <c r="AD406" s="847"/>
      <c r="AE406" s="847"/>
      <c r="AF406" s="847"/>
      <c r="AG406" s="847"/>
      <c r="AH406" s="847"/>
      <c r="AI406" s="1013"/>
      <c r="AJ406" s="1013"/>
      <c r="AK406" s="1013"/>
      <c r="AL406" s="847"/>
      <c r="AM406" s="847"/>
      <c r="AN406" s="847"/>
      <c r="AO406" s="847"/>
      <c r="AP406" s="847"/>
      <c r="AQ406" s="1013">
        <v>1</v>
      </c>
      <c r="AR406" s="1013">
        <f>ROUND(C406*AQ406,2)</f>
        <v>0</v>
      </c>
      <c r="AS406" s="847"/>
      <c r="AT406" s="847"/>
      <c r="AU406" s="847"/>
      <c r="AV406" s="847"/>
      <c r="AW406" s="847"/>
      <c r="AX406" s="847"/>
      <c r="AY406" s="847"/>
      <c r="AZ406" s="847"/>
      <c r="BA406" s="847"/>
      <c r="BB406" s="847"/>
      <c r="BC406" s="847"/>
      <c r="BD406" s="847"/>
      <c r="BE406" s="847"/>
      <c r="BF406" s="847"/>
      <c r="BG406" s="847"/>
      <c r="BH406" s="847"/>
      <c r="BI406" s="847"/>
      <c r="BJ406" s="847"/>
      <c r="BK406" s="847"/>
      <c r="BL406" s="847"/>
      <c r="BM406" s="847"/>
      <c r="BN406" s="847"/>
      <c r="BO406" s="847"/>
      <c r="BP406" s="847"/>
      <c r="BQ406" s="847"/>
      <c r="BR406" s="847"/>
      <c r="BS406" s="847"/>
      <c r="BT406" s="847"/>
      <c r="BU406" s="847"/>
      <c r="BV406" s="847"/>
      <c r="BW406" s="847"/>
      <c r="BX406" s="847"/>
      <c r="BY406" s="847"/>
      <c r="BZ406" s="847"/>
      <c r="CA406" s="847"/>
      <c r="CB406" s="847"/>
      <c r="CC406" s="847"/>
      <c r="CD406" s="847"/>
      <c r="CE406" s="847"/>
      <c r="CF406" s="847"/>
      <c r="CG406" s="847"/>
      <c r="CH406" s="847"/>
      <c r="CI406" s="847"/>
      <c r="CJ406" s="847"/>
      <c r="CK406" s="847"/>
      <c r="CL406" s="847"/>
      <c r="CM406" s="847"/>
      <c r="CN406" s="847"/>
      <c r="CO406" s="847"/>
      <c r="CP406" s="847"/>
      <c r="CQ406" s="847"/>
      <c r="CR406" s="847"/>
      <c r="CS406" s="847"/>
      <c r="CT406" s="847"/>
      <c r="CU406" s="847"/>
      <c r="CV406" s="847"/>
      <c r="CW406" s="847"/>
      <c r="CX406" s="847"/>
      <c r="CY406" s="847"/>
      <c r="CZ406" s="847"/>
      <c r="DA406" s="847"/>
      <c r="DB406" s="847"/>
      <c r="DC406" s="847"/>
      <c r="DD406" s="847"/>
      <c r="DE406" s="847"/>
      <c r="DF406" s="847"/>
      <c r="DG406" s="847"/>
      <c r="DH406" s="847"/>
      <c r="DI406" s="847"/>
      <c r="DJ406" s="847"/>
      <c r="DK406" s="847"/>
      <c r="DL406" s="847"/>
      <c r="DM406" s="1212"/>
      <c r="DN406" s="1231" t="e">
        <f>'Lead &amp; ANALYSIS'!#REF!+('Lead &amp; ANALYSIS'!#REF!*2%)</f>
        <v>#REF!</v>
      </c>
      <c r="DO406" s="1013" t="e">
        <f t="shared" si="18"/>
        <v>#REF!</v>
      </c>
      <c r="DP406" s="847"/>
      <c r="DQ406" s="1013"/>
      <c r="DR406" s="1225"/>
      <c r="DS406" s="1013"/>
      <c r="DT406" s="1225"/>
      <c r="DU406" s="1214"/>
      <c r="DV406" s="1242"/>
      <c r="DW406" s="1232"/>
      <c r="DX406" s="1222"/>
      <c r="DY406" s="847"/>
      <c r="DZ406" s="847"/>
      <c r="EA406" s="847"/>
      <c r="EB406" s="847"/>
      <c r="EC406" s="847"/>
      <c r="ED406" s="847"/>
      <c r="EE406" s="847"/>
      <c r="EF406" s="847"/>
      <c r="EG406" s="1212"/>
      <c r="EH406" s="847"/>
      <c r="EI406" s="1212"/>
    </row>
    <row r="407" spans="1:139" s="733" customFormat="1" ht="13.5">
      <c r="A407" s="1009">
        <v>147</v>
      </c>
      <c r="B407" s="1212" t="s">
        <v>613</v>
      </c>
      <c r="C407" s="1213">
        <v>0</v>
      </c>
      <c r="D407" s="1013" t="s">
        <v>49</v>
      </c>
      <c r="E407" s="847"/>
      <c r="F407" s="1013"/>
      <c r="G407" s="847"/>
      <c r="H407" s="1013"/>
      <c r="I407" s="847"/>
      <c r="J407" s="1013"/>
      <c r="K407" s="847"/>
      <c r="L407" s="1013"/>
      <c r="M407" s="847"/>
      <c r="N407" s="1013"/>
      <c r="O407" s="847"/>
      <c r="P407" s="1013"/>
      <c r="Q407" s="847"/>
      <c r="R407" s="847"/>
      <c r="S407" s="847"/>
      <c r="T407" s="847"/>
      <c r="U407" s="847"/>
      <c r="V407" s="847"/>
      <c r="W407" s="847"/>
      <c r="X407" s="847"/>
      <c r="Y407" s="847"/>
      <c r="Z407" s="847"/>
      <c r="AA407" s="847"/>
      <c r="AB407" s="847"/>
      <c r="AC407" s="847"/>
      <c r="AD407" s="847"/>
      <c r="AE407" s="847"/>
      <c r="AF407" s="847"/>
      <c r="AG407" s="847"/>
      <c r="AH407" s="847"/>
      <c r="AI407" s="1013"/>
      <c r="AJ407" s="1013"/>
      <c r="AK407" s="1013"/>
      <c r="AL407" s="847"/>
      <c r="AM407" s="847"/>
      <c r="AN407" s="847"/>
      <c r="AO407" s="847"/>
      <c r="AP407" s="847"/>
      <c r="AQ407" s="1013">
        <v>1</v>
      </c>
      <c r="AR407" s="1013">
        <f>ROUND(C407*AQ407,2)</f>
        <v>0</v>
      </c>
      <c r="AS407" s="847"/>
      <c r="AT407" s="847"/>
      <c r="AU407" s="847"/>
      <c r="AV407" s="847"/>
      <c r="AW407" s="847"/>
      <c r="AX407" s="847"/>
      <c r="AY407" s="847"/>
      <c r="AZ407" s="847"/>
      <c r="BA407" s="847"/>
      <c r="BB407" s="847"/>
      <c r="BC407" s="847"/>
      <c r="BD407" s="847"/>
      <c r="BE407" s="847"/>
      <c r="BF407" s="847"/>
      <c r="BG407" s="847"/>
      <c r="BH407" s="847"/>
      <c r="BI407" s="847"/>
      <c r="BJ407" s="847"/>
      <c r="BK407" s="847"/>
      <c r="BL407" s="847"/>
      <c r="BM407" s="847"/>
      <c r="BN407" s="847"/>
      <c r="BO407" s="847"/>
      <c r="BP407" s="847"/>
      <c r="BQ407" s="847"/>
      <c r="BR407" s="847"/>
      <c r="BS407" s="847"/>
      <c r="BT407" s="847"/>
      <c r="BU407" s="847"/>
      <c r="BV407" s="847"/>
      <c r="BW407" s="847"/>
      <c r="BX407" s="847"/>
      <c r="BY407" s="847"/>
      <c r="BZ407" s="847"/>
      <c r="CA407" s="847"/>
      <c r="CB407" s="847"/>
      <c r="CC407" s="847"/>
      <c r="CD407" s="847"/>
      <c r="CE407" s="847"/>
      <c r="CF407" s="847"/>
      <c r="CG407" s="847"/>
      <c r="CH407" s="847"/>
      <c r="CI407" s="847"/>
      <c r="CJ407" s="847"/>
      <c r="CK407" s="847"/>
      <c r="CL407" s="847"/>
      <c r="CM407" s="847"/>
      <c r="CN407" s="847"/>
      <c r="CO407" s="847"/>
      <c r="CP407" s="847"/>
      <c r="CQ407" s="847"/>
      <c r="CR407" s="847"/>
      <c r="CS407" s="847"/>
      <c r="CT407" s="847"/>
      <c r="CU407" s="847"/>
      <c r="CV407" s="847"/>
      <c r="CW407" s="847"/>
      <c r="CX407" s="847"/>
      <c r="CY407" s="847"/>
      <c r="CZ407" s="847"/>
      <c r="DA407" s="847"/>
      <c r="DB407" s="847"/>
      <c r="DC407" s="847"/>
      <c r="DD407" s="847"/>
      <c r="DE407" s="847"/>
      <c r="DF407" s="847"/>
      <c r="DG407" s="847"/>
      <c r="DH407" s="847"/>
      <c r="DI407" s="847"/>
      <c r="DJ407" s="847"/>
      <c r="DK407" s="847"/>
      <c r="DL407" s="847"/>
      <c r="DM407" s="1212"/>
      <c r="DN407" s="1242"/>
      <c r="DO407" s="1013"/>
      <c r="DP407" s="847"/>
      <c r="DQ407" s="1013"/>
      <c r="DR407" s="1225"/>
      <c r="DS407" s="1013"/>
      <c r="DT407" s="1225"/>
      <c r="DU407" s="1214"/>
      <c r="DV407" s="1242"/>
      <c r="DW407" s="1232"/>
      <c r="DX407" s="1222"/>
      <c r="DY407" s="847"/>
      <c r="DZ407" s="847"/>
      <c r="EA407" s="847"/>
      <c r="EB407" s="847"/>
      <c r="EC407" s="847"/>
      <c r="ED407" s="847"/>
      <c r="EE407" s="847"/>
      <c r="EF407" s="847"/>
      <c r="EG407" s="1212"/>
      <c r="EH407" s="847"/>
      <c r="EI407" s="1212"/>
    </row>
    <row r="408" spans="1:139" s="733" customFormat="1" ht="13.5">
      <c r="A408" s="1009">
        <v>148</v>
      </c>
      <c r="B408" s="1212" t="s">
        <v>3120</v>
      </c>
      <c r="C408" s="1213">
        <v>0</v>
      </c>
      <c r="D408" s="1013" t="s">
        <v>49</v>
      </c>
      <c r="E408" s="847"/>
      <c r="F408" s="1013"/>
      <c r="G408" s="847"/>
      <c r="H408" s="1013"/>
      <c r="I408" s="847"/>
      <c r="J408" s="1013"/>
      <c r="K408" s="847"/>
      <c r="L408" s="1013"/>
      <c r="M408" s="847"/>
      <c r="N408" s="1013"/>
      <c r="O408" s="847"/>
      <c r="P408" s="1013"/>
      <c r="Q408" s="847"/>
      <c r="R408" s="847"/>
      <c r="S408" s="847"/>
      <c r="T408" s="847"/>
      <c r="U408" s="847"/>
      <c r="V408" s="847"/>
      <c r="W408" s="847"/>
      <c r="X408" s="847"/>
      <c r="Y408" s="847"/>
      <c r="Z408" s="847"/>
      <c r="AA408" s="847"/>
      <c r="AB408" s="847"/>
      <c r="AC408" s="847"/>
      <c r="AD408" s="847"/>
      <c r="AE408" s="847"/>
      <c r="AF408" s="847"/>
      <c r="AG408" s="847"/>
      <c r="AH408" s="847"/>
      <c r="AI408" s="1013"/>
      <c r="AJ408" s="1013"/>
      <c r="AK408" s="1013"/>
      <c r="AL408" s="847"/>
      <c r="AM408" s="847"/>
      <c r="AN408" s="847"/>
      <c r="AO408" s="847"/>
      <c r="AP408" s="847"/>
      <c r="AQ408" s="1013">
        <v>1</v>
      </c>
      <c r="AR408" s="1013">
        <f>ROUND(C408*AQ408,2)</f>
        <v>0</v>
      </c>
      <c r="AS408" s="847"/>
      <c r="AT408" s="847"/>
      <c r="AU408" s="847"/>
      <c r="AV408" s="847"/>
      <c r="AW408" s="847"/>
      <c r="AX408" s="847"/>
      <c r="AY408" s="847"/>
      <c r="AZ408" s="847"/>
      <c r="BA408" s="847"/>
      <c r="BB408" s="847"/>
      <c r="BC408" s="847"/>
      <c r="BD408" s="847"/>
      <c r="BE408" s="847"/>
      <c r="BF408" s="847"/>
      <c r="BG408" s="847"/>
      <c r="BH408" s="847"/>
      <c r="BI408" s="847"/>
      <c r="BJ408" s="847"/>
      <c r="BK408" s="847"/>
      <c r="BL408" s="847"/>
      <c r="BM408" s="847"/>
      <c r="BN408" s="847"/>
      <c r="BO408" s="847"/>
      <c r="BP408" s="847"/>
      <c r="BQ408" s="847"/>
      <c r="BR408" s="847"/>
      <c r="BS408" s="847"/>
      <c r="BT408" s="847"/>
      <c r="BU408" s="847"/>
      <c r="BV408" s="847"/>
      <c r="BW408" s="847"/>
      <c r="BX408" s="847"/>
      <c r="BY408" s="847"/>
      <c r="BZ408" s="847"/>
      <c r="CA408" s="847"/>
      <c r="CB408" s="847"/>
      <c r="CC408" s="847"/>
      <c r="CD408" s="847"/>
      <c r="CE408" s="847"/>
      <c r="CF408" s="847"/>
      <c r="CG408" s="847"/>
      <c r="CH408" s="847"/>
      <c r="CI408" s="847"/>
      <c r="CJ408" s="847"/>
      <c r="CK408" s="847"/>
      <c r="CL408" s="847"/>
      <c r="CM408" s="847"/>
      <c r="CN408" s="847"/>
      <c r="CO408" s="847"/>
      <c r="CP408" s="847"/>
      <c r="CQ408" s="847"/>
      <c r="CR408" s="847"/>
      <c r="CS408" s="847"/>
      <c r="CT408" s="847"/>
      <c r="CU408" s="847"/>
      <c r="CV408" s="847"/>
      <c r="CW408" s="847"/>
      <c r="CX408" s="847"/>
      <c r="CY408" s="847"/>
      <c r="CZ408" s="847"/>
      <c r="DA408" s="847"/>
      <c r="DB408" s="847"/>
      <c r="DC408" s="847"/>
      <c r="DD408" s="847"/>
      <c r="DE408" s="847"/>
      <c r="DF408" s="847"/>
      <c r="DG408" s="847"/>
      <c r="DH408" s="847"/>
      <c r="DI408" s="847"/>
      <c r="DJ408" s="847"/>
      <c r="DK408" s="847"/>
      <c r="DL408" s="847"/>
      <c r="DM408" s="1212"/>
      <c r="DN408" s="1224" t="e">
        <f>'Lead &amp; ANALYSIS'!#REF!/100</f>
        <v>#REF!</v>
      </c>
      <c r="DO408" s="1013" t="e">
        <f>ROUND(C408*DN408,2)</f>
        <v>#REF!</v>
      </c>
      <c r="DP408" s="1228" t="e">
        <f>'Lead &amp; ANALYSIS'!#REF!/100</f>
        <v>#REF!</v>
      </c>
      <c r="DQ408" s="1013" t="e">
        <f>ROUND(C408*DP408,2)</f>
        <v>#REF!</v>
      </c>
      <c r="DR408" s="1225"/>
      <c r="DS408" s="1013"/>
      <c r="DT408" s="1225"/>
      <c r="DU408" s="1214"/>
      <c r="DV408" s="1242"/>
      <c r="DW408" s="1232"/>
      <c r="DX408" s="1222"/>
      <c r="DY408" s="847"/>
      <c r="DZ408" s="847"/>
      <c r="EA408" s="847"/>
      <c r="EB408" s="847"/>
      <c r="EC408" s="847"/>
      <c r="ED408" s="847"/>
      <c r="EE408" s="847"/>
      <c r="EF408" s="847"/>
      <c r="EG408" s="1212"/>
      <c r="EH408" s="847"/>
      <c r="EI408" s="1212"/>
    </row>
    <row r="409" spans="1:139" s="733" customFormat="1" ht="13.5">
      <c r="A409" s="1009">
        <v>149</v>
      </c>
      <c r="B409" s="1212" t="s">
        <v>3121</v>
      </c>
      <c r="C409" s="1213">
        <v>0</v>
      </c>
      <c r="D409" s="1013" t="s">
        <v>49</v>
      </c>
      <c r="E409" s="847"/>
      <c r="F409" s="1013"/>
      <c r="G409" s="847"/>
      <c r="H409" s="1013"/>
      <c r="I409" s="847"/>
      <c r="J409" s="1013"/>
      <c r="K409" s="847"/>
      <c r="L409" s="1013"/>
      <c r="M409" s="847"/>
      <c r="N409" s="1013"/>
      <c r="O409" s="847"/>
      <c r="P409" s="1013"/>
      <c r="Q409" s="847"/>
      <c r="R409" s="847"/>
      <c r="S409" s="847"/>
      <c r="T409" s="847"/>
      <c r="U409" s="847"/>
      <c r="V409" s="847"/>
      <c r="W409" s="847"/>
      <c r="X409" s="847"/>
      <c r="Y409" s="847"/>
      <c r="Z409" s="847"/>
      <c r="AA409" s="847"/>
      <c r="AB409" s="847"/>
      <c r="AC409" s="847"/>
      <c r="AD409" s="847"/>
      <c r="AE409" s="847"/>
      <c r="AF409" s="847"/>
      <c r="AG409" s="847"/>
      <c r="AH409" s="847"/>
      <c r="AI409" s="847"/>
      <c r="AJ409" s="847"/>
      <c r="AK409" s="847"/>
      <c r="AL409" s="847"/>
      <c r="AM409" s="847"/>
      <c r="AN409" s="847"/>
      <c r="AO409" s="847"/>
      <c r="AP409" s="847"/>
      <c r="AQ409" s="1013">
        <v>1</v>
      </c>
      <c r="AR409" s="1013">
        <f>ROUND(C409*AQ409,2)</f>
        <v>0</v>
      </c>
      <c r="AS409" s="847"/>
      <c r="AT409" s="847"/>
      <c r="AU409" s="847"/>
      <c r="AV409" s="847"/>
      <c r="AW409" s="847"/>
      <c r="AX409" s="847"/>
      <c r="AY409" s="847"/>
      <c r="AZ409" s="847"/>
      <c r="BA409" s="847"/>
      <c r="BB409" s="847"/>
      <c r="BC409" s="847"/>
      <c r="BD409" s="847"/>
      <c r="BE409" s="847"/>
      <c r="BF409" s="847"/>
      <c r="BG409" s="847"/>
      <c r="BH409" s="847"/>
      <c r="BI409" s="847"/>
      <c r="BJ409" s="847"/>
      <c r="BK409" s="847"/>
      <c r="BL409" s="847"/>
      <c r="BM409" s="847"/>
      <c r="BN409" s="847"/>
      <c r="BO409" s="847"/>
      <c r="BP409" s="847"/>
      <c r="BQ409" s="847"/>
      <c r="BR409" s="847"/>
      <c r="BS409" s="847"/>
      <c r="BT409" s="847"/>
      <c r="BU409" s="847"/>
      <c r="BV409" s="847"/>
      <c r="BW409" s="847"/>
      <c r="BX409" s="847"/>
      <c r="BY409" s="847"/>
      <c r="BZ409" s="847"/>
      <c r="CA409" s="847"/>
      <c r="CB409" s="847"/>
      <c r="CC409" s="847"/>
      <c r="CD409" s="847"/>
      <c r="CE409" s="847"/>
      <c r="CF409" s="847"/>
      <c r="CG409" s="847"/>
      <c r="CH409" s="847"/>
      <c r="CI409" s="847"/>
      <c r="CJ409" s="847"/>
      <c r="CK409" s="847"/>
      <c r="CL409" s="847"/>
      <c r="CM409" s="847"/>
      <c r="CN409" s="847"/>
      <c r="CO409" s="847"/>
      <c r="CP409" s="847"/>
      <c r="CQ409" s="847"/>
      <c r="CR409" s="847"/>
      <c r="CS409" s="847"/>
      <c r="CT409" s="847"/>
      <c r="CU409" s="847"/>
      <c r="CV409" s="847"/>
      <c r="CW409" s="847"/>
      <c r="CX409" s="847"/>
      <c r="CY409" s="847"/>
      <c r="CZ409" s="847"/>
      <c r="DA409" s="847"/>
      <c r="DB409" s="847"/>
      <c r="DC409" s="847"/>
      <c r="DD409" s="847"/>
      <c r="DE409" s="847"/>
      <c r="DF409" s="847"/>
      <c r="DG409" s="847"/>
      <c r="DH409" s="847"/>
      <c r="DI409" s="847"/>
      <c r="DJ409" s="847"/>
      <c r="DK409" s="847"/>
      <c r="DL409" s="847"/>
      <c r="DM409" s="1212"/>
      <c r="DN409" s="1231" t="e">
        <f>'Lead &amp; ANALYSIS'!#REF!/100</f>
        <v>#REF!</v>
      </c>
      <c r="DO409" s="1013" t="e">
        <f>ROUND(C409*DN409,2)</f>
        <v>#REF!</v>
      </c>
      <c r="DP409" s="847"/>
      <c r="DQ409" s="1013"/>
      <c r="DR409" s="1225"/>
      <c r="DS409" s="1013"/>
      <c r="DT409" s="1225"/>
      <c r="DU409" s="1214"/>
      <c r="DV409" s="1242"/>
      <c r="DW409" s="1232"/>
      <c r="DX409" s="1222"/>
      <c r="DY409" s="847"/>
      <c r="DZ409" s="847"/>
      <c r="EA409" s="847"/>
      <c r="EB409" s="847"/>
      <c r="EC409" s="847"/>
      <c r="ED409" s="847"/>
      <c r="EE409" s="847"/>
      <c r="EF409" s="847"/>
      <c r="EG409" s="1212"/>
      <c r="EH409" s="847"/>
      <c r="EI409" s="1212"/>
    </row>
    <row r="410" spans="1:139" s="733" customFormat="1" ht="13.5">
      <c r="A410" s="1009">
        <v>151</v>
      </c>
      <c r="B410" s="1212" t="s">
        <v>3122</v>
      </c>
      <c r="C410" s="1213">
        <v>0</v>
      </c>
      <c r="D410" s="1013" t="s">
        <v>49</v>
      </c>
      <c r="E410" s="847"/>
      <c r="F410" s="1013"/>
      <c r="G410" s="847"/>
      <c r="H410" s="1013"/>
      <c r="I410" s="847"/>
      <c r="J410" s="1013"/>
      <c r="K410" s="847"/>
      <c r="L410" s="1013"/>
      <c r="M410" s="847"/>
      <c r="N410" s="1013"/>
      <c r="O410" s="847"/>
      <c r="P410" s="1013"/>
      <c r="Q410" s="847"/>
      <c r="R410" s="847"/>
      <c r="S410" s="847"/>
      <c r="T410" s="847"/>
      <c r="U410" s="847"/>
      <c r="V410" s="847"/>
      <c r="W410" s="847"/>
      <c r="X410" s="847"/>
      <c r="Y410" s="847"/>
      <c r="Z410" s="847"/>
      <c r="AA410" s="847"/>
      <c r="AB410" s="847"/>
      <c r="AC410" s="847"/>
      <c r="AD410" s="847"/>
      <c r="AE410" s="847"/>
      <c r="AF410" s="847"/>
      <c r="AG410" s="847"/>
      <c r="AH410" s="847"/>
      <c r="AI410" s="847"/>
      <c r="AJ410" s="847"/>
      <c r="AK410" s="847"/>
      <c r="AL410" s="847"/>
      <c r="AM410" s="847"/>
      <c r="AN410" s="847"/>
      <c r="AO410" s="1013" t="e">
        <f>'Lead &amp; ANALYSIS'!#REF!</f>
        <v>#REF!</v>
      </c>
      <c r="AP410" s="1013" t="e">
        <f>ROUND(C410*AO410,2)</f>
        <v>#REF!</v>
      </c>
      <c r="AQ410" s="847"/>
      <c r="AR410" s="847"/>
      <c r="AS410" s="847"/>
      <c r="AT410" s="847"/>
      <c r="AU410" s="847"/>
      <c r="AV410" s="847"/>
      <c r="AW410" s="847"/>
      <c r="AX410" s="847"/>
      <c r="AY410" s="847"/>
      <c r="AZ410" s="847"/>
      <c r="BA410" s="847"/>
      <c r="BB410" s="847"/>
      <c r="BC410" s="847"/>
      <c r="BD410" s="847"/>
      <c r="BE410" s="847"/>
      <c r="BF410" s="847"/>
      <c r="BG410" s="847"/>
      <c r="BH410" s="847"/>
      <c r="BI410" s="847"/>
      <c r="BJ410" s="847"/>
      <c r="BK410" s="847"/>
      <c r="BL410" s="847"/>
      <c r="BM410" s="847"/>
      <c r="BN410" s="847"/>
      <c r="BO410" s="847"/>
      <c r="BP410" s="847"/>
      <c r="BQ410" s="847"/>
      <c r="BR410" s="847"/>
      <c r="BS410" s="847"/>
      <c r="BT410" s="847"/>
      <c r="BU410" s="847"/>
      <c r="BV410" s="847"/>
      <c r="BW410" s="847"/>
      <c r="BX410" s="847"/>
      <c r="BY410" s="847"/>
      <c r="BZ410" s="847"/>
      <c r="CA410" s="847"/>
      <c r="CB410" s="847"/>
      <c r="CC410" s="847"/>
      <c r="CD410" s="847"/>
      <c r="CE410" s="847"/>
      <c r="CF410" s="847"/>
      <c r="CG410" s="847"/>
      <c r="CH410" s="847"/>
      <c r="CI410" s="847"/>
      <c r="CJ410" s="847"/>
      <c r="CK410" s="847"/>
      <c r="CL410" s="847"/>
      <c r="CM410" s="847"/>
      <c r="CN410" s="847"/>
      <c r="CO410" s="847"/>
      <c r="CP410" s="847"/>
      <c r="CQ410" s="847"/>
      <c r="CR410" s="847"/>
      <c r="CS410" s="847"/>
      <c r="CT410" s="847"/>
      <c r="CU410" s="847"/>
      <c r="CV410" s="847"/>
      <c r="CW410" s="847"/>
      <c r="CX410" s="847"/>
      <c r="CY410" s="847"/>
      <c r="CZ410" s="847"/>
      <c r="DA410" s="847"/>
      <c r="DB410" s="847"/>
      <c r="DC410" s="847"/>
      <c r="DD410" s="847"/>
      <c r="DE410" s="847"/>
      <c r="DF410" s="847"/>
      <c r="DG410" s="847"/>
      <c r="DH410" s="847"/>
      <c r="DI410" s="847"/>
      <c r="DJ410" s="847"/>
      <c r="DK410" s="847"/>
      <c r="DL410" s="847"/>
      <c r="DM410" s="1212"/>
      <c r="DN410" s="1224"/>
      <c r="DO410" s="1013"/>
      <c r="DP410" s="847"/>
      <c r="DQ410" s="1013"/>
      <c r="DR410" s="1225"/>
      <c r="DS410" s="1013"/>
      <c r="DT410" s="1225"/>
      <c r="DU410" s="1214"/>
      <c r="DV410" s="1242"/>
      <c r="DW410" s="1232"/>
      <c r="DX410" s="1222"/>
      <c r="DY410" s="847"/>
      <c r="DZ410" s="847"/>
      <c r="EA410" s="847"/>
      <c r="EB410" s="847"/>
      <c r="EC410" s="847"/>
      <c r="ED410" s="847"/>
      <c r="EE410" s="847"/>
      <c r="EF410" s="847"/>
      <c r="EG410" s="1212"/>
      <c r="EH410" s="847"/>
      <c r="EI410" s="1212"/>
    </row>
    <row r="411" spans="1:139" s="733" customFormat="1" ht="13.5">
      <c r="A411" s="1009">
        <v>152</v>
      </c>
      <c r="B411" s="1212" t="s">
        <v>3123</v>
      </c>
      <c r="C411" s="1213">
        <v>0</v>
      </c>
      <c r="D411" s="1013" t="s">
        <v>49</v>
      </c>
      <c r="E411" s="847"/>
      <c r="F411" s="1013"/>
      <c r="G411" s="847"/>
      <c r="H411" s="1013"/>
      <c r="I411" s="847"/>
      <c r="J411" s="1013"/>
      <c r="K411" s="847"/>
      <c r="L411" s="1013"/>
      <c r="M411" s="847"/>
      <c r="N411" s="1013"/>
      <c r="O411" s="847"/>
      <c r="P411" s="1013"/>
      <c r="Q411" s="847"/>
      <c r="R411" s="847"/>
      <c r="S411" s="847"/>
      <c r="T411" s="847"/>
      <c r="U411" s="847"/>
      <c r="V411" s="847"/>
      <c r="W411" s="847"/>
      <c r="X411" s="847"/>
      <c r="Y411" s="847"/>
      <c r="Z411" s="847"/>
      <c r="AA411" s="847"/>
      <c r="AB411" s="847"/>
      <c r="AC411" s="847"/>
      <c r="AD411" s="847"/>
      <c r="AE411" s="847"/>
      <c r="AF411" s="847"/>
      <c r="AG411" s="847"/>
      <c r="AH411" s="847"/>
      <c r="AI411" s="847"/>
      <c r="AJ411" s="847"/>
      <c r="AK411" s="847"/>
      <c r="AL411" s="847"/>
      <c r="AM411" s="847"/>
      <c r="AN411" s="847"/>
      <c r="AO411" s="847"/>
      <c r="AP411" s="1013"/>
      <c r="AQ411" s="847"/>
      <c r="AR411" s="847"/>
      <c r="AS411" s="847"/>
      <c r="AT411" s="847"/>
      <c r="AU411" s="847"/>
      <c r="AV411" s="847"/>
      <c r="AW411" s="847"/>
      <c r="AX411" s="847"/>
      <c r="AY411" s="847"/>
      <c r="AZ411" s="847"/>
      <c r="BA411" s="847"/>
      <c r="BB411" s="847"/>
      <c r="BC411" s="847"/>
      <c r="BD411" s="847"/>
      <c r="BE411" s="847"/>
      <c r="BF411" s="847"/>
      <c r="BG411" s="847"/>
      <c r="BH411" s="847"/>
      <c r="BI411" s="847"/>
      <c r="BJ411" s="847"/>
      <c r="BK411" s="847"/>
      <c r="BL411" s="847"/>
      <c r="BM411" s="847"/>
      <c r="BN411" s="847"/>
      <c r="BO411" s="847"/>
      <c r="BP411" s="847"/>
      <c r="BQ411" s="847"/>
      <c r="BR411" s="847"/>
      <c r="BS411" s="847"/>
      <c r="BT411" s="847"/>
      <c r="BU411" s="847"/>
      <c r="BV411" s="847"/>
      <c r="BW411" s="847"/>
      <c r="BX411" s="847"/>
      <c r="BY411" s="847"/>
      <c r="BZ411" s="847"/>
      <c r="CA411" s="847"/>
      <c r="CB411" s="847"/>
      <c r="CC411" s="847"/>
      <c r="CD411" s="847"/>
      <c r="CE411" s="847"/>
      <c r="CF411" s="847"/>
      <c r="CG411" s="847"/>
      <c r="CH411" s="847"/>
      <c r="CI411" s="847"/>
      <c r="CJ411" s="847"/>
      <c r="CK411" s="847"/>
      <c r="CL411" s="847"/>
      <c r="CM411" s="847"/>
      <c r="CN411" s="847"/>
      <c r="CO411" s="847"/>
      <c r="CP411" s="847"/>
      <c r="CQ411" s="847"/>
      <c r="CR411" s="847"/>
      <c r="CS411" s="847"/>
      <c r="CT411" s="847"/>
      <c r="CU411" s="847"/>
      <c r="CV411" s="847"/>
      <c r="CW411" s="847"/>
      <c r="CX411" s="847"/>
      <c r="CY411" s="847"/>
      <c r="CZ411" s="847"/>
      <c r="DA411" s="847"/>
      <c r="DB411" s="847"/>
      <c r="DC411" s="847"/>
      <c r="DD411" s="847"/>
      <c r="DE411" s="847"/>
      <c r="DF411" s="847"/>
      <c r="DG411" s="847"/>
      <c r="DH411" s="847"/>
      <c r="DI411" s="847"/>
      <c r="DJ411" s="847"/>
      <c r="DK411" s="847"/>
      <c r="DL411" s="847"/>
      <c r="DM411" s="1212"/>
      <c r="DN411" s="1231" t="e">
        <f>'Lead &amp; ANALYSIS'!#REF!/93*100/0.6+(0.5376*2%)</f>
        <v>#REF!</v>
      </c>
      <c r="DO411" s="1013" t="e">
        <f t="shared" ref="DO411:DO418" si="19">ROUND(C411*DN411,2)</f>
        <v>#REF!</v>
      </c>
      <c r="DP411" s="847"/>
      <c r="DQ411" s="1013"/>
      <c r="DR411" s="1225"/>
      <c r="DS411" s="1013"/>
      <c r="DT411" s="1225"/>
      <c r="DU411" s="1214"/>
      <c r="DV411" s="1242"/>
      <c r="DW411" s="1232"/>
      <c r="DX411" s="1222"/>
      <c r="DY411" s="847"/>
      <c r="DZ411" s="847"/>
      <c r="EA411" s="847"/>
      <c r="EB411" s="847"/>
      <c r="EC411" s="847"/>
      <c r="ED411" s="847"/>
      <c r="EE411" s="847"/>
      <c r="EF411" s="847"/>
      <c r="EG411" s="1212"/>
      <c r="EH411" s="847"/>
      <c r="EI411" s="1212"/>
    </row>
    <row r="412" spans="1:139" s="733" customFormat="1" ht="13.5">
      <c r="A412" s="1009">
        <v>153</v>
      </c>
      <c r="B412" s="1212" t="s">
        <v>618</v>
      </c>
      <c r="C412" s="1213">
        <v>0</v>
      </c>
      <c r="D412" s="1013" t="s">
        <v>49</v>
      </c>
      <c r="E412" s="847"/>
      <c r="F412" s="1013"/>
      <c r="G412" s="847"/>
      <c r="H412" s="1013"/>
      <c r="I412" s="847"/>
      <c r="J412" s="1013"/>
      <c r="K412" s="847"/>
      <c r="L412" s="1013"/>
      <c r="M412" s="847"/>
      <c r="N412" s="1013"/>
      <c r="O412" s="847"/>
      <c r="P412" s="1013"/>
      <c r="Q412" s="847"/>
      <c r="R412" s="847"/>
      <c r="S412" s="847"/>
      <c r="T412" s="847"/>
      <c r="U412" s="847"/>
      <c r="V412" s="847"/>
      <c r="W412" s="847"/>
      <c r="X412" s="847"/>
      <c r="Y412" s="847"/>
      <c r="Z412" s="847"/>
      <c r="AA412" s="847"/>
      <c r="AB412" s="847"/>
      <c r="AC412" s="847"/>
      <c r="AD412" s="847"/>
      <c r="AE412" s="847"/>
      <c r="AF412" s="847"/>
      <c r="AG412" s="847"/>
      <c r="AH412" s="847"/>
      <c r="AI412" s="847"/>
      <c r="AJ412" s="847"/>
      <c r="AK412" s="847"/>
      <c r="AL412" s="847"/>
      <c r="AM412" s="847"/>
      <c r="AN412" s="847"/>
      <c r="AO412" s="847"/>
      <c r="AP412" s="1013"/>
      <c r="AQ412" s="847"/>
      <c r="AR412" s="847"/>
      <c r="AS412" s="847"/>
      <c r="AT412" s="847"/>
      <c r="AU412" s="847"/>
      <c r="AV412" s="847"/>
      <c r="AW412" s="847"/>
      <c r="AX412" s="847"/>
      <c r="AY412" s="847"/>
      <c r="AZ412" s="847"/>
      <c r="BA412" s="847"/>
      <c r="BB412" s="847"/>
      <c r="BC412" s="847"/>
      <c r="BD412" s="847"/>
      <c r="BE412" s="847"/>
      <c r="BF412" s="847"/>
      <c r="BG412" s="847"/>
      <c r="BH412" s="847"/>
      <c r="BI412" s="847"/>
      <c r="BJ412" s="847"/>
      <c r="BK412" s="847"/>
      <c r="BL412" s="847"/>
      <c r="BM412" s="847"/>
      <c r="BN412" s="847"/>
      <c r="BO412" s="847"/>
      <c r="BP412" s="847"/>
      <c r="BQ412" s="847"/>
      <c r="BR412" s="847"/>
      <c r="BS412" s="847"/>
      <c r="BT412" s="847"/>
      <c r="BU412" s="847"/>
      <c r="BV412" s="847"/>
      <c r="BW412" s="847"/>
      <c r="BX412" s="847"/>
      <c r="BY412" s="847"/>
      <c r="BZ412" s="847"/>
      <c r="CA412" s="847"/>
      <c r="CB412" s="847"/>
      <c r="CC412" s="847"/>
      <c r="CD412" s="847"/>
      <c r="CE412" s="847"/>
      <c r="CF412" s="847"/>
      <c r="CG412" s="847"/>
      <c r="CH412" s="847"/>
      <c r="CI412" s="847"/>
      <c r="CJ412" s="847"/>
      <c r="CK412" s="847"/>
      <c r="CL412" s="847"/>
      <c r="CM412" s="847"/>
      <c r="CN412" s="847"/>
      <c r="CO412" s="847"/>
      <c r="CP412" s="847"/>
      <c r="CQ412" s="847"/>
      <c r="CR412" s="847"/>
      <c r="CS412" s="847"/>
      <c r="CT412" s="847"/>
      <c r="CU412" s="847"/>
      <c r="CV412" s="847"/>
      <c r="CW412" s="847"/>
      <c r="CX412" s="847"/>
      <c r="CY412" s="847"/>
      <c r="CZ412" s="847"/>
      <c r="DA412" s="847"/>
      <c r="DB412" s="847"/>
      <c r="DC412" s="847"/>
      <c r="DD412" s="847"/>
      <c r="DE412" s="847"/>
      <c r="DF412" s="847"/>
      <c r="DG412" s="847"/>
      <c r="DH412" s="847"/>
      <c r="DI412" s="847"/>
      <c r="DJ412" s="847"/>
      <c r="DK412" s="847"/>
      <c r="DL412" s="847"/>
      <c r="DM412" s="1212"/>
      <c r="DN412" s="1231" t="e">
        <f>'Lead &amp; ANALYSIS'!#REF!/2.83</f>
        <v>#REF!</v>
      </c>
      <c r="DO412" s="1013" t="e">
        <f t="shared" si="19"/>
        <v>#REF!</v>
      </c>
      <c r="DP412" s="847"/>
      <c r="DQ412" s="1013"/>
      <c r="DR412" s="1225"/>
      <c r="DS412" s="1013"/>
      <c r="DT412" s="1225"/>
      <c r="DU412" s="1214"/>
      <c r="DV412" s="1242"/>
      <c r="DW412" s="1232"/>
      <c r="DX412" s="1222"/>
      <c r="DY412" s="847"/>
      <c r="DZ412" s="847"/>
      <c r="EA412" s="847"/>
      <c r="EB412" s="847"/>
      <c r="EC412" s="847"/>
      <c r="ED412" s="847"/>
      <c r="EE412" s="847"/>
      <c r="EF412" s="847"/>
      <c r="EG412" s="1212"/>
      <c r="EH412" s="847"/>
      <c r="EI412" s="1212"/>
    </row>
    <row r="413" spans="1:139" s="733" customFormat="1" ht="13.5">
      <c r="A413" s="1009">
        <v>154</v>
      </c>
      <c r="B413" s="1212" t="s">
        <v>621</v>
      </c>
      <c r="C413" s="1213">
        <v>0</v>
      </c>
      <c r="D413" s="1013" t="s">
        <v>92</v>
      </c>
      <c r="E413" s="847"/>
      <c r="F413" s="1013"/>
      <c r="G413" s="847"/>
      <c r="H413" s="1013"/>
      <c r="I413" s="847"/>
      <c r="J413" s="1013"/>
      <c r="K413" s="847"/>
      <c r="L413" s="1013"/>
      <c r="M413" s="847"/>
      <c r="N413" s="1013"/>
      <c r="O413" s="847"/>
      <c r="P413" s="1013"/>
      <c r="Q413" s="847"/>
      <c r="R413" s="847"/>
      <c r="S413" s="847"/>
      <c r="T413" s="847"/>
      <c r="U413" s="847"/>
      <c r="V413" s="847"/>
      <c r="W413" s="847"/>
      <c r="X413" s="847"/>
      <c r="Y413" s="847"/>
      <c r="Z413" s="847"/>
      <c r="AA413" s="847"/>
      <c r="AB413" s="847"/>
      <c r="AC413" s="847"/>
      <c r="AD413" s="847"/>
      <c r="AE413" s="847"/>
      <c r="AF413" s="847"/>
      <c r="AG413" s="847"/>
      <c r="AH413" s="847"/>
      <c r="AI413" s="847"/>
      <c r="AJ413" s="847"/>
      <c r="AK413" s="847"/>
      <c r="AL413" s="847"/>
      <c r="AM413" s="847"/>
      <c r="AN413" s="847"/>
      <c r="AO413" s="847"/>
      <c r="AP413" s="1013"/>
      <c r="AQ413" s="847"/>
      <c r="AR413" s="847"/>
      <c r="AS413" s="847"/>
      <c r="AT413" s="847"/>
      <c r="AU413" s="847"/>
      <c r="AV413" s="847"/>
      <c r="AW413" s="847"/>
      <c r="AX413" s="847"/>
      <c r="AY413" s="847"/>
      <c r="AZ413" s="847"/>
      <c r="BA413" s="847"/>
      <c r="BB413" s="847"/>
      <c r="BC413" s="847"/>
      <c r="BD413" s="847"/>
      <c r="BE413" s="847"/>
      <c r="BF413" s="847"/>
      <c r="BG413" s="847"/>
      <c r="BH413" s="847"/>
      <c r="BI413" s="847"/>
      <c r="BJ413" s="847"/>
      <c r="BK413" s="847"/>
      <c r="BL413" s="847"/>
      <c r="BM413" s="847"/>
      <c r="BN413" s="847"/>
      <c r="BO413" s="847"/>
      <c r="BP413" s="847"/>
      <c r="BQ413" s="847"/>
      <c r="BR413" s="847"/>
      <c r="BS413" s="847"/>
      <c r="BT413" s="847"/>
      <c r="BU413" s="847"/>
      <c r="BV413" s="847"/>
      <c r="BW413" s="847"/>
      <c r="BX413" s="847"/>
      <c r="BY413" s="847"/>
      <c r="BZ413" s="847"/>
      <c r="CA413" s="847"/>
      <c r="CB413" s="847"/>
      <c r="CC413" s="847"/>
      <c r="CD413" s="847"/>
      <c r="CE413" s="847"/>
      <c r="CF413" s="847"/>
      <c r="CG413" s="847"/>
      <c r="CH413" s="847"/>
      <c r="CI413" s="847"/>
      <c r="CJ413" s="847"/>
      <c r="CK413" s="847"/>
      <c r="CL413" s="847"/>
      <c r="CM413" s="847"/>
      <c r="CN413" s="847"/>
      <c r="CO413" s="847"/>
      <c r="CP413" s="847"/>
      <c r="CQ413" s="847"/>
      <c r="CR413" s="847"/>
      <c r="CS413" s="847"/>
      <c r="CT413" s="847"/>
      <c r="CU413" s="847"/>
      <c r="CV413" s="847"/>
      <c r="CW413" s="847"/>
      <c r="CX413" s="847"/>
      <c r="CY413" s="847"/>
      <c r="CZ413" s="847"/>
      <c r="DA413" s="847"/>
      <c r="DB413" s="847"/>
      <c r="DC413" s="847"/>
      <c r="DD413" s="847"/>
      <c r="DE413" s="847"/>
      <c r="DF413" s="847"/>
      <c r="DG413" s="847"/>
      <c r="DH413" s="847"/>
      <c r="DI413" s="847"/>
      <c r="DJ413" s="847"/>
      <c r="DK413" s="847"/>
      <c r="DL413" s="847"/>
      <c r="DM413" s="1212"/>
      <c r="DN413" s="1231" t="e">
        <f>'Lead &amp; ANALYSIS'!#REF!/9.3</f>
        <v>#REF!</v>
      </c>
      <c r="DO413" s="1013" t="e">
        <f t="shared" si="19"/>
        <v>#REF!</v>
      </c>
      <c r="DP413" s="847"/>
      <c r="DQ413" s="1013"/>
      <c r="DR413" s="1225"/>
      <c r="DS413" s="1013"/>
      <c r="DT413" s="1225"/>
      <c r="DU413" s="1214"/>
      <c r="DV413" s="1242"/>
      <c r="DW413" s="1232"/>
      <c r="DX413" s="1222"/>
      <c r="DY413" s="847"/>
      <c r="DZ413" s="847"/>
      <c r="EA413" s="847"/>
      <c r="EB413" s="847"/>
      <c r="EC413" s="847"/>
      <c r="ED413" s="847"/>
      <c r="EE413" s="847"/>
      <c r="EF413" s="847"/>
      <c r="EG413" s="1212"/>
      <c r="EH413" s="847"/>
      <c r="EI413" s="1212"/>
    </row>
    <row r="414" spans="1:139" s="733" customFormat="1" ht="13.5">
      <c r="A414" s="1009">
        <v>155</v>
      </c>
      <c r="B414" s="1212" t="s">
        <v>622</v>
      </c>
      <c r="C414" s="1213">
        <v>0</v>
      </c>
      <c r="D414" s="1013" t="s">
        <v>92</v>
      </c>
      <c r="E414" s="847"/>
      <c r="F414" s="1013"/>
      <c r="G414" s="847"/>
      <c r="H414" s="1013"/>
      <c r="I414" s="847"/>
      <c r="J414" s="1013"/>
      <c r="K414" s="847"/>
      <c r="L414" s="1013"/>
      <c r="M414" s="847"/>
      <c r="N414" s="1013"/>
      <c r="O414" s="847"/>
      <c r="P414" s="1013"/>
      <c r="Q414" s="847"/>
      <c r="R414" s="847"/>
      <c r="S414" s="847"/>
      <c r="T414" s="847"/>
      <c r="U414" s="847"/>
      <c r="V414" s="847"/>
      <c r="W414" s="847"/>
      <c r="X414" s="847"/>
      <c r="Y414" s="847"/>
      <c r="Z414" s="847"/>
      <c r="AA414" s="847"/>
      <c r="AB414" s="847"/>
      <c r="AC414" s="847"/>
      <c r="AD414" s="847"/>
      <c r="AE414" s="847"/>
      <c r="AF414" s="847"/>
      <c r="AG414" s="847"/>
      <c r="AH414" s="847"/>
      <c r="AI414" s="847"/>
      <c r="AJ414" s="847"/>
      <c r="AK414" s="847"/>
      <c r="AL414" s="847"/>
      <c r="AM414" s="847"/>
      <c r="AN414" s="847"/>
      <c r="AO414" s="847"/>
      <c r="AP414" s="1013"/>
      <c r="AQ414" s="847"/>
      <c r="AR414" s="847"/>
      <c r="AS414" s="847"/>
      <c r="AT414" s="847"/>
      <c r="AU414" s="847"/>
      <c r="AV414" s="847"/>
      <c r="AW414" s="847"/>
      <c r="AX414" s="847"/>
      <c r="AY414" s="847"/>
      <c r="AZ414" s="847"/>
      <c r="BA414" s="847"/>
      <c r="BB414" s="847"/>
      <c r="BC414" s="847"/>
      <c r="BD414" s="847"/>
      <c r="BE414" s="847"/>
      <c r="BF414" s="847"/>
      <c r="BG414" s="847"/>
      <c r="BH414" s="847"/>
      <c r="BI414" s="847"/>
      <c r="BJ414" s="847"/>
      <c r="BK414" s="847"/>
      <c r="BL414" s="847"/>
      <c r="BM414" s="847"/>
      <c r="BN414" s="847"/>
      <c r="BO414" s="847"/>
      <c r="BP414" s="847"/>
      <c r="BQ414" s="847"/>
      <c r="BR414" s="847"/>
      <c r="BS414" s="847"/>
      <c r="BT414" s="847"/>
      <c r="BU414" s="847"/>
      <c r="BV414" s="847"/>
      <c r="BW414" s="847"/>
      <c r="BX414" s="847"/>
      <c r="BY414" s="847"/>
      <c r="BZ414" s="847"/>
      <c r="CA414" s="847"/>
      <c r="CB414" s="847"/>
      <c r="CC414" s="847"/>
      <c r="CD414" s="847"/>
      <c r="CE414" s="847"/>
      <c r="CF414" s="847"/>
      <c r="CG414" s="847"/>
      <c r="CH414" s="847"/>
      <c r="CI414" s="847"/>
      <c r="CJ414" s="847"/>
      <c r="CK414" s="847"/>
      <c r="CL414" s="847"/>
      <c r="CM414" s="847"/>
      <c r="CN414" s="847"/>
      <c r="CO414" s="847"/>
      <c r="CP414" s="847"/>
      <c r="CQ414" s="847"/>
      <c r="CR414" s="847"/>
      <c r="CS414" s="847"/>
      <c r="CT414" s="847"/>
      <c r="CU414" s="847"/>
      <c r="CV414" s="847"/>
      <c r="CW414" s="847"/>
      <c r="CX414" s="847"/>
      <c r="CY414" s="847"/>
      <c r="CZ414" s="847"/>
      <c r="DA414" s="847"/>
      <c r="DB414" s="847"/>
      <c r="DC414" s="847"/>
      <c r="DD414" s="847"/>
      <c r="DE414" s="847"/>
      <c r="DF414" s="847"/>
      <c r="DG414" s="847"/>
      <c r="DH414" s="847"/>
      <c r="DI414" s="847"/>
      <c r="DJ414" s="847"/>
      <c r="DK414" s="847"/>
      <c r="DL414" s="847"/>
      <c r="DM414" s="1212"/>
      <c r="DN414" s="1231" t="e">
        <f>'Lead &amp; ANALYSIS'!#REF!/9.3</f>
        <v>#REF!</v>
      </c>
      <c r="DO414" s="1013" t="e">
        <f t="shared" si="19"/>
        <v>#REF!</v>
      </c>
      <c r="DP414" s="847"/>
      <c r="DQ414" s="1013"/>
      <c r="DR414" s="1225"/>
      <c r="DS414" s="1013"/>
      <c r="DT414" s="1225"/>
      <c r="DU414" s="1214"/>
      <c r="DV414" s="1242"/>
      <c r="DW414" s="1232"/>
      <c r="DX414" s="1222"/>
      <c r="DY414" s="847"/>
      <c r="DZ414" s="847"/>
      <c r="EA414" s="847"/>
      <c r="EB414" s="847"/>
      <c r="EC414" s="847"/>
      <c r="ED414" s="847"/>
      <c r="EE414" s="847"/>
      <c r="EF414" s="847"/>
      <c r="EG414" s="1212"/>
      <c r="EH414" s="847"/>
      <c r="EI414" s="1212"/>
    </row>
    <row r="415" spans="1:139" s="733" customFormat="1" ht="13.5">
      <c r="A415" s="1009">
        <v>156</v>
      </c>
      <c r="B415" s="1212" t="s">
        <v>3124</v>
      </c>
      <c r="C415" s="1213">
        <v>0</v>
      </c>
      <c r="D415" s="1013" t="s">
        <v>49</v>
      </c>
      <c r="E415" s="847"/>
      <c r="F415" s="1013"/>
      <c r="G415" s="847"/>
      <c r="H415" s="1013"/>
      <c r="I415" s="847"/>
      <c r="J415" s="1013"/>
      <c r="K415" s="847"/>
      <c r="L415" s="1013"/>
      <c r="M415" s="847"/>
      <c r="N415" s="1013"/>
      <c r="O415" s="847"/>
      <c r="P415" s="1013"/>
      <c r="Q415" s="847"/>
      <c r="R415" s="847"/>
      <c r="S415" s="847"/>
      <c r="T415" s="847"/>
      <c r="U415" s="847"/>
      <c r="V415" s="847"/>
      <c r="W415" s="847"/>
      <c r="X415" s="847"/>
      <c r="Y415" s="847"/>
      <c r="Z415" s="847"/>
      <c r="AA415" s="847"/>
      <c r="AB415" s="847"/>
      <c r="AC415" s="847"/>
      <c r="AD415" s="847"/>
      <c r="AE415" s="847"/>
      <c r="AF415" s="847"/>
      <c r="AG415" s="847"/>
      <c r="AH415" s="847"/>
      <c r="AI415" s="847"/>
      <c r="AJ415" s="847"/>
      <c r="AK415" s="847"/>
      <c r="AL415" s="847"/>
      <c r="AM415" s="847"/>
      <c r="AN415" s="847"/>
      <c r="AO415" s="1013" t="e">
        <f>'Lead &amp; ANALYSIS'!#REF!</f>
        <v>#REF!</v>
      </c>
      <c r="AP415" s="1013" t="e">
        <f>ROUND(C415*AO415,2)</f>
        <v>#REF!</v>
      </c>
      <c r="AQ415" s="847"/>
      <c r="AR415" s="847"/>
      <c r="AS415" s="847"/>
      <c r="AT415" s="847"/>
      <c r="AU415" s="847"/>
      <c r="AV415" s="847"/>
      <c r="AW415" s="847"/>
      <c r="AX415" s="847"/>
      <c r="AY415" s="847"/>
      <c r="AZ415" s="847"/>
      <c r="BA415" s="847"/>
      <c r="BB415" s="847"/>
      <c r="BC415" s="847"/>
      <c r="BD415" s="847"/>
      <c r="BE415" s="847"/>
      <c r="BF415" s="847"/>
      <c r="BG415" s="847"/>
      <c r="BH415" s="847"/>
      <c r="BI415" s="847"/>
      <c r="BJ415" s="847"/>
      <c r="BK415" s="847"/>
      <c r="BL415" s="847"/>
      <c r="BM415" s="847"/>
      <c r="BN415" s="847"/>
      <c r="BO415" s="847"/>
      <c r="BP415" s="847"/>
      <c r="BQ415" s="847"/>
      <c r="BR415" s="847"/>
      <c r="BS415" s="847"/>
      <c r="BT415" s="847"/>
      <c r="BU415" s="847"/>
      <c r="BV415" s="847"/>
      <c r="BW415" s="847"/>
      <c r="BX415" s="847"/>
      <c r="BY415" s="847"/>
      <c r="BZ415" s="847"/>
      <c r="CA415" s="847"/>
      <c r="CB415" s="847"/>
      <c r="CC415" s="847"/>
      <c r="CD415" s="847"/>
      <c r="CE415" s="847"/>
      <c r="CF415" s="847"/>
      <c r="CG415" s="847"/>
      <c r="CH415" s="847"/>
      <c r="CI415" s="847"/>
      <c r="CJ415" s="847"/>
      <c r="CK415" s="847"/>
      <c r="CL415" s="847"/>
      <c r="CM415" s="847"/>
      <c r="CN415" s="847"/>
      <c r="CO415" s="847"/>
      <c r="CP415" s="847"/>
      <c r="CQ415" s="847"/>
      <c r="CR415" s="847"/>
      <c r="CS415" s="847"/>
      <c r="CT415" s="847"/>
      <c r="CU415" s="847"/>
      <c r="CV415" s="847"/>
      <c r="CW415" s="847"/>
      <c r="CX415" s="847"/>
      <c r="CY415" s="847"/>
      <c r="CZ415" s="847"/>
      <c r="DA415" s="847"/>
      <c r="DB415" s="847"/>
      <c r="DC415" s="847"/>
      <c r="DD415" s="847"/>
      <c r="DE415" s="847"/>
      <c r="DF415" s="847"/>
      <c r="DG415" s="847"/>
      <c r="DH415" s="847"/>
      <c r="DI415" s="847"/>
      <c r="DJ415" s="847"/>
      <c r="DK415" s="847"/>
      <c r="DL415" s="847"/>
      <c r="DM415" s="1212"/>
      <c r="DN415" s="1231" t="e">
        <f>'Lead &amp; ANALYSIS'!#REF!/0.6</f>
        <v>#REF!</v>
      </c>
      <c r="DO415" s="1013" t="e">
        <f t="shared" si="19"/>
        <v>#REF!</v>
      </c>
      <c r="DP415" s="847"/>
      <c r="DQ415" s="1013"/>
      <c r="DR415" s="1225"/>
      <c r="DS415" s="1013"/>
      <c r="DT415" s="1225"/>
      <c r="DU415" s="1214"/>
      <c r="DV415" s="1242"/>
      <c r="DW415" s="1232"/>
      <c r="DX415" s="1222"/>
      <c r="DY415" s="847"/>
      <c r="DZ415" s="847"/>
      <c r="EA415" s="847"/>
      <c r="EB415" s="847"/>
      <c r="EC415" s="847"/>
      <c r="ED415" s="847"/>
      <c r="EE415" s="847"/>
      <c r="EF415" s="847"/>
      <c r="EG415" s="1212"/>
      <c r="EH415" s="847"/>
      <c r="EI415" s="1212"/>
    </row>
    <row r="416" spans="1:139" s="733" customFormat="1" ht="13.5">
      <c r="A416" s="1009">
        <v>157</v>
      </c>
      <c r="B416" s="1212" t="s">
        <v>3125</v>
      </c>
      <c r="C416" s="1213">
        <v>0</v>
      </c>
      <c r="D416" s="1013" t="s">
        <v>49</v>
      </c>
      <c r="E416" s="847"/>
      <c r="F416" s="1013"/>
      <c r="G416" s="847"/>
      <c r="H416" s="1013"/>
      <c r="I416" s="847"/>
      <c r="J416" s="1013"/>
      <c r="K416" s="847"/>
      <c r="L416" s="1013"/>
      <c r="M416" s="847"/>
      <c r="N416" s="1013"/>
      <c r="O416" s="847"/>
      <c r="P416" s="1013"/>
      <c r="Q416" s="847"/>
      <c r="R416" s="847"/>
      <c r="S416" s="847"/>
      <c r="T416" s="847"/>
      <c r="U416" s="847"/>
      <c r="V416" s="847"/>
      <c r="W416" s="847"/>
      <c r="X416" s="847"/>
      <c r="Y416" s="847"/>
      <c r="Z416" s="847"/>
      <c r="AA416" s="847"/>
      <c r="AB416" s="847"/>
      <c r="AC416" s="847"/>
      <c r="AD416" s="847"/>
      <c r="AE416" s="847"/>
      <c r="AF416" s="847"/>
      <c r="AG416" s="847"/>
      <c r="AH416" s="847"/>
      <c r="AI416" s="847"/>
      <c r="AJ416" s="847"/>
      <c r="AK416" s="847"/>
      <c r="AL416" s="847"/>
      <c r="AM416" s="847"/>
      <c r="AN416" s="847"/>
      <c r="AO416" s="1013" t="e">
        <f>AO415</f>
        <v>#REF!</v>
      </c>
      <c r="AP416" s="1013" t="e">
        <f>ROUND(C416*AO416,2)</f>
        <v>#REF!</v>
      </c>
      <c r="AQ416" s="847"/>
      <c r="AR416" s="847"/>
      <c r="AS416" s="847"/>
      <c r="AT416" s="847"/>
      <c r="AU416" s="847"/>
      <c r="AV416" s="847"/>
      <c r="AW416" s="847"/>
      <c r="AX416" s="847"/>
      <c r="AY416" s="847"/>
      <c r="AZ416" s="847"/>
      <c r="BA416" s="847"/>
      <c r="BB416" s="847"/>
      <c r="BC416" s="847"/>
      <c r="BD416" s="847"/>
      <c r="BE416" s="847"/>
      <c r="BF416" s="847"/>
      <c r="BG416" s="847"/>
      <c r="BH416" s="847"/>
      <c r="BI416" s="847"/>
      <c r="BJ416" s="847"/>
      <c r="BK416" s="847"/>
      <c r="BL416" s="847"/>
      <c r="BM416" s="847"/>
      <c r="BN416" s="847"/>
      <c r="BO416" s="847"/>
      <c r="BP416" s="847"/>
      <c r="BQ416" s="847"/>
      <c r="BR416" s="847"/>
      <c r="BS416" s="847"/>
      <c r="BT416" s="847"/>
      <c r="BU416" s="847"/>
      <c r="BV416" s="847"/>
      <c r="BW416" s="847"/>
      <c r="BX416" s="847"/>
      <c r="BY416" s="847"/>
      <c r="BZ416" s="847"/>
      <c r="CA416" s="847"/>
      <c r="CB416" s="847"/>
      <c r="CC416" s="847"/>
      <c r="CD416" s="847"/>
      <c r="CE416" s="847"/>
      <c r="CF416" s="847"/>
      <c r="CG416" s="847"/>
      <c r="CH416" s="847"/>
      <c r="CI416" s="847"/>
      <c r="CJ416" s="847"/>
      <c r="CK416" s="847"/>
      <c r="CL416" s="847"/>
      <c r="CM416" s="847"/>
      <c r="CN416" s="847"/>
      <c r="CO416" s="847"/>
      <c r="CP416" s="847"/>
      <c r="CQ416" s="847"/>
      <c r="CR416" s="847"/>
      <c r="CS416" s="847"/>
      <c r="CT416" s="847"/>
      <c r="CU416" s="847"/>
      <c r="CV416" s="847"/>
      <c r="CW416" s="847"/>
      <c r="CX416" s="847"/>
      <c r="CY416" s="847"/>
      <c r="CZ416" s="847"/>
      <c r="DA416" s="847"/>
      <c r="DB416" s="847"/>
      <c r="DC416" s="847"/>
      <c r="DD416" s="847"/>
      <c r="DE416" s="847"/>
      <c r="DF416" s="847"/>
      <c r="DG416" s="847"/>
      <c r="DH416" s="847"/>
      <c r="DI416" s="847"/>
      <c r="DJ416" s="847"/>
      <c r="DK416" s="847"/>
      <c r="DL416" s="847"/>
      <c r="DM416" s="1212"/>
      <c r="DN416" s="1231" t="e">
        <f>DN411</f>
        <v>#REF!</v>
      </c>
      <c r="DO416" s="1013" t="e">
        <f t="shared" si="19"/>
        <v>#REF!</v>
      </c>
      <c r="DP416" s="847"/>
      <c r="DQ416" s="1013"/>
      <c r="DR416" s="1225"/>
      <c r="DS416" s="1013"/>
      <c r="DT416" s="1225"/>
      <c r="DU416" s="1214"/>
      <c r="DV416" s="1242"/>
      <c r="DW416" s="1232"/>
      <c r="DX416" s="1222"/>
      <c r="DY416" s="847"/>
      <c r="DZ416" s="847"/>
      <c r="EA416" s="847"/>
      <c r="EB416" s="847"/>
      <c r="EC416" s="847"/>
      <c r="ED416" s="847"/>
      <c r="EE416" s="847"/>
      <c r="EF416" s="847"/>
      <c r="EG416" s="1212"/>
      <c r="EH416" s="847"/>
      <c r="EI416" s="1212"/>
    </row>
    <row r="417" spans="1:139" s="733" customFormat="1" ht="13.5">
      <c r="A417" s="1009">
        <v>158</v>
      </c>
      <c r="B417" s="1212" t="s">
        <v>3126</v>
      </c>
      <c r="C417" s="1213">
        <v>0</v>
      </c>
      <c r="D417" s="1013" t="s">
        <v>49</v>
      </c>
      <c r="E417" s="847"/>
      <c r="F417" s="1013"/>
      <c r="G417" s="847"/>
      <c r="H417" s="1013"/>
      <c r="I417" s="847"/>
      <c r="J417" s="1013"/>
      <c r="K417" s="847"/>
      <c r="L417" s="1013"/>
      <c r="M417" s="847"/>
      <c r="N417" s="1013"/>
      <c r="O417" s="847"/>
      <c r="P417" s="1013"/>
      <c r="Q417" s="847"/>
      <c r="R417" s="847"/>
      <c r="S417" s="847"/>
      <c r="T417" s="847"/>
      <c r="U417" s="847"/>
      <c r="V417" s="847"/>
      <c r="W417" s="847"/>
      <c r="X417" s="847"/>
      <c r="Y417" s="847"/>
      <c r="Z417" s="847"/>
      <c r="AA417" s="847"/>
      <c r="AB417" s="847"/>
      <c r="AC417" s="847"/>
      <c r="AD417" s="847"/>
      <c r="AE417" s="847"/>
      <c r="AF417" s="847"/>
      <c r="AG417" s="847"/>
      <c r="AH417" s="847"/>
      <c r="AI417" s="847"/>
      <c r="AJ417" s="847"/>
      <c r="AK417" s="847"/>
      <c r="AL417" s="847"/>
      <c r="AM417" s="847"/>
      <c r="AN417" s="847"/>
      <c r="AO417" s="847">
        <v>1.28</v>
      </c>
      <c r="AP417" s="1013">
        <f>ROUND(C417*AO417,2)</f>
        <v>0</v>
      </c>
      <c r="AQ417" s="847"/>
      <c r="AR417" s="847"/>
      <c r="AS417" s="847"/>
      <c r="AT417" s="847"/>
      <c r="AU417" s="847"/>
      <c r="AV417" s="847"/>
      <c r="AW417" s="847"/>
      <c r="AX417" s="847"/>
      <c r="AY417" s="847"/>
      <c r="AZ417" s="847"/>
      <c r="BA417" s="847"/>
      <c r="BB417" s="847"/>
      <c r="BC417" s="847"/>
      <c r="BD417" s="847"/>
      <c r="BE417" s="847"/>
      <c r="BF417" s="847"/>
      <c r="BG417" s="847"/>
      <c r="BH417" s="847"/>
      <c r="BI417" s="847"/>
      <c r="BJ417" s="847"/>
      <c r="BK417" s="847"/>
      <c r="BL417" s="847"/>
      <c r="BM417" s="847"/>
      <c r="BN417" s="847"/>
      <c r="BO417" s="847"/>
      <c r="BP417" s="847"/>
      <c r="BQ417" s="847"/>
      <c r="BR417" s="847"/>
      <c r="BS417" s="847"/>
      <c r="BT417" s="847"/>
      <c r="BU417" s="847"/>
      <c r="BV417" s="847"/>
      <c r="BW417" s="847"/>
      <c r="BX417" s="847"/>
      <c r="BY417" s="847"/>
      <c r="BZ417" s="847"/>
      <c r="CA417" s="847"/>
      <c r="CB417" s="847"/>
      <c r="CC417" s="847"/>
      <c r="CD417" s="847"/>
      <c r="CE417" s="847"/>
      <c r="CF417" s="847"/>
      <c r="CG417" s="847"/>
      <c r="CH417" s="847"/>
      <c r="CI417" s="847"/>
      <c r="CJ417" s="847"/>
      <c r="CK417" s="847"/>
      <c r="CL417" s="847"/>
      <c r="CM417" s="847"/>
      <c r="CN417" s="847"/>
      <c r="CO417" s="847"/>
      <c r="CP417" s="847"/>
      <c r="CQ417" s="847"/>
      <c r="CR417" s="847"/>
      <c r="CS417" s="847"/>
      <c r="CT417" s="847"/>
      <c r="CU417" s="847"/>
      <c r="CV417" s="847"/>
      <c r="CW417" s="847"/>
      <c r="CX417" s="847"/>
      <c r="CY417" s="847"/>
      <c r="CZ417" s="847"/>
      <c r="DA417" s="847"/>
      <c r="DB417" s="847"/>
      <c r="DC417" s="847"/>
      <c r="DD417" s="847"/>
      <c r="DE417" s="847"/>
      <c r="DF417" s="847"/>
      <c r="DG417" s="847"/>
      <c r="DH417" s="847"/>
      <c r="DI417" s="847"/>
      <c r="DJ417" s="847"/>
      <c r="DK417" s="847"/>
      <c r="DL417" s="847"/>
      <c r="DM417" s="1212"/>
      <c r="DN417" s="1222" t="e">
        <f>'Lead &amp; ANALYSIS'!#REF!/2.83</f>
        <v>#REF!</v>
      </c>
      <c r="DO417" s="1013" t="e">
        <f t="shared" si="19"/>
        <v>#REF!</v>
      </c>
      <c r="DP417" s="847"/>
      <c r="DQ417" s="1013"/>
      <c r="DR417" s="1225"/>
      <c r="DS417" s="1013"/>
      <c r="DT417" s="1225"/>
      <c r="DU417" s="1214"/>
      <c r="DV417" s="1242"/>
      <c r="DW417" s="1232"/>
      <c r="DX417" s="1222"/>
      <c r="DY417" s="847"/>
      <c r="DZ417" s="847"/>
      <c r="EA417" s="847"/>
      <c r="EB417" s="847"/>
      <c r="EC417" s="847"/>
      <c r="ED417" s="847"/>
      <c r="EE417" s="847"/>
      <c r="EF417" s="847"/>
      <c r="EG417" s="1212"/>
      <c r="EH417" s="847"/>
      <c r="EI417" s="1212"/>
    </row>
    <row r="418" spans="1:139" s="733" customFormat="1" ht="13.5">
      <c r="A418" s="1009">
        <v>159</v>
      </c>
      <c r="B418" s="1212" t="s">
        <v>3127</v>
      </c>
      <c r="C418" s="1213">
        <v>0</v>
      </c>
      <c r="D418" s="1013" t="s">
        <v>92</v>
      </c>
      <c r="E418" s="847"/>
      <c r="F418" s="1013"/>
      <c r="G418" s="847"/>
      <c r="H418" s="1013"/>
      <c r="I418" s="847"/>
      <c r="J418" s="1013"/>
      <c r="K418" s="847"/>
      <c r="L418" s="1013"/>
      <c r="M418" s="847"/>
      <c r="N418" s="1013"/>
      <c r="O418" s="847"/>
      <c r="P418" s="1013"/>
      <c r="Q418" s="847"/>
      <c r="R418" s="847"/>
      <c r="S418" s="847"/>
      <c r="T418" s="847"/>
      <c r="U418" s="847"/>
      <c r="V418" s="847"/>
      <c r="W418" s="847"/>
      <c r="X418" s="847"/>
      <c r="Y418" s="847"/>
      <c r="Z418" s="847"/>
      <c r="AA418" s="847"/>
      <c r="AB418" s="847"/>
      <c r="AC418" s="847"/>
      <c r="AD418" s="847"/>
      <c r="AE418" s="847"/>
      <c r="AF418" s="847"/>
      <c r="AG418" s="847"/>
      <c r="AH418" s="847"/>
      <c r="AI418" s="847"/>
      <c r="AJ418" s="847"/>
      <c r="AK418" s="847"/>
      <c r="AL418" s="847"/>
      <c r="AM418" s="847"/>
      <c r="AN418" s="847"/>
      <c r="AO418" s="847"/>
      <c r="AP418" s="847"/>
      <c r="AQ418" s="847"/>
      <c r="AR418" s="847"/>
      <c r="AS418" s="847"/>
      <c r="AT418" s="847"/>
      <c r="AU418" s="847"/>
      <c r="AV418" s="847"/>
      <c r="AW418" s="847"/>
      <c r="AX418" s="847"/>
      <c r="AY418" s="847"/>
      <c r="AZ418" s="847"/>
      <c r="BA418" s="847"/>
      <c r="BB418" s="847"/>
      <c r="BC418" s="847"/>
      <c r="BD418" s="847"/>
      <c r="BE418" s="847"/>
      <c r="BF418" s="847"/>
      <c r="BG418" s="847"/>
      <c r="BH418" s="847"/>
      <c r="BI418" s="847"/>
      <c r="BJ418" s="847"/>
      <c r="BK418" s="847"/>
      <c r="BL418" s="847"/>
      <c r="BM418" s="847"/>
      <c r="BN418" s="847"/>
      <c r="BO418" s="847"/>
      <c r="BP418" s="847"/>
      <c r="BQ418" s="847"/>
      <c r="BR418" s="847"/>
      <c r="BS418" s="847"/>
      <c r="BT418" s="847"/>
      <c r="BU418" s="847"/>
      <c r="BV418" s="847"/>
      <c r="BW418" s="847"/>
      <c r="BX418" s="847"/>
      <c r="BY418" s="847"/>
      <c r="BZ418" s="847"/>
      <c r="CA418" s="847"/>
      <c r="CB418" s="847"/>
      <c r="CC418" s="847"/>
      <c r="CD418" s="847"/>
      <c r="CE418" s="847"/>
      <c r="CF418" s="847"/>
      <c r="CG418" s="847"/>
      <c r="CH418" s="847"/>
      <c r="CI418" s="847"/>
      <c r="CJ418" s="847"/>
      <c r="CK418" s="847"/>
      <c r="CL418" s="847"/>
      <c r="CM418" s="847"/>
      <c r="CN418" s="847"/>
      <c r="CO418" s="847"/>
      <c r="CP418" s="847"/>
      <c r="CQ418" s="847"/>
      <c r="CR418" s="847"/>
      <c r="CS418" s="847"/>
      <c r="CT418" s="847"/>
      <c r="CU418" s="847"/>
      <c r="CV418" s="847"/>
      <c r="CW418" s="847"/>
      <c r="CX418" s="847"/>
      <c r="CY418" s="847"/>
      <c r="CZ418" s="847"/>
      <c r="DA418" s="847"/>
      <c r="DB418" s="847"/>
      <c r="DC418" s="847"/>
      <c r="DD418" s="847"/>
      <c r="DE418" s="847"/>
      <c r="DF418" s="847"/>
      <c r="DG418" s="847"/>
      <c r="DH418" s="847"/>
      <c r="DI418" s="847"/>
      <c r="DJ418" s="847"/>
      <c r="DK418" s="847"/>
      <c r="DL418" s="847"/>
      <c r="DM418" s="1212"/>
      <c r="DN418" s="1222" t="e">
        <f>'Lead &amp; ANALYSIS'!#REF!/100</f>
        <v>#REF!</v>
      </c>
      <c r="DO418" s="1013" t="e">
        <f t="shared" si="19"/>
        <v>#REF!</v>
      </c>
      <c r="DP418" s="847"/>
      <c r="DQ418" s="1013"/>
      <c r="DR418" s="1225"/>
      <c r="DS418" s="1013"/>
      <c r="DT418" s="1225"/>
      <c r="DU418" s="1214"/>
      <c r="DV418" s="1242"/>
      <c r="DW418" s="1232"/>
      <c r="DX418" s="1222"/>
      <c r="DY418" s="847"/>
      <c r="DZ418" s="847"/>
      <c r="EA418" s="847"/>
      <c r="EB418" s="847"/>
      <c r="EC418" s="847"/>
      <c r="ED418" s="847"/>
      <c r="EE418" s="847"/>
      <c r="EF418" s="847"/>
      <c r="EG418" s="1212"/>
      <c r="EH418" s="847"/>
      <c r="EI418" s="1212"/>
    </row>
    <row r="419" spans="1:139" s="733" customFormat="1" ht="13.5">
      <c r="A419" s="1009">
        <v>160</v>
      </c>
      <c r="B419" s="1212" t="s">
        <v>3128</v>
      </c>
      <c r="C419" s="1213">
        <v>0</v>
      </c>
      <c r="D419" s="1013" t="s">
        <v>49</v>
      </c>
      <c r="E419" s="847"/>
      <c r="F419" s="1013"/>
      <c r="G419" s="847"/>
      <c r="H419" s="1013"/>
      <c r="I419" s="847"/>
      <c r="J419" s="1013"/>
      <c r="K419" s="847"/>
      <c r="L419" s="1013"/>
      <c r="M419" s="847"/>
      <c r="N419" s="1013"/>
      <c r="O419" s="847"/>
      <c r="P419" s="1013"/>
      <c r="Q419" s="847"/>
      <c r="R419" s="847"/>
      <c r="S419" s="847"/>
      <c r="T419" s="847"/>
      <c r="U419" s="847"/>
      <c r="V419" s="847"/>
      <c r="W419" s="847"/>
      <c r="X419" s="847"/>
      <c r="Y419" s="847"/>
      <c r="Z419" s="847"/>
      <c r="AA419" s="847"/>
      <c r="AB419" s="847"/>
      <c r="AC419" s="847"/>
      <c r="AD419" s="847"/>
      <c r="AE419" s="847"/>
      <c r="AF419" s="847"/>
      <c r="AG419" s="847"/>
      <c r="AH419" s="847"/>
      <c r="AI419" s="847"/>
      <c r="AJ419" s="847"/>
      <c r="AK419" s="847"/>
      <c r="AL419" s="847"/>
      <c r="AM419" s="847"/>
      <c r="AN419" s="847"/>
      <c r="AO419" s="847"/>
      <c r="AP419" s="847"/>
      <c r="AQ419" s="847"/>
      <c r="AR419" s="847"/>
      <c r="AS419" s="847"/>
      <c r="AT419" s="847"/>
      <c r="AU419" s="847"/>
      <c r="AV419" s="847"/>
      <c r="AW419" s="847"/>
      <c r="AX419" s="847"/>
      <c r="AY419" s="847"/>
      <c r="AZ419" s="847"/>
      <c r="BA419" s="847"/>
      <c r="BB419" s="847"/>
      <c r="BC419" s="847"/>
      <c r="BD419" s="847"/>
      <c r="BE419" s="847"/>
      <c r="BF419" s="847"/>
      <c r="BG419" s="847"/>
      <c r="BH419" s="847"/>
      <c r="BI419" s="847"/>
      <c r="BJ419" s="847"/>
      <c r="BK419" s="847"/>
      <c r="BL419" s="847"/>
      <c r="BM419" s="847"/>
      <c r="BN419" s="847"/>
      <c r="BO419" s="847"/>
      <c r="BP419" s="847"/>
      <c r="BQ419" s="847"/>
      <c r="BR419" s="847"/>
      <c r="BS419" s="847"/>
      <c r="BT419" s="847"/>
      <c r="BU419" s="847"/>
      <c r="BV419" s="847"/>
      <c r="BW419" s="847"/>
      <c r="BX419" s="847"/>
      <c r="BY419" s="847"/>
      <c r="BZ419" s="847"/>
      <c r="CA419" s="847"/>
      <c r="CB419" s="847"/>
      <c r="CC419" s="847"/>
      <c r="CD419" s="847"/>
      <c r="CE419" s="847"/>
      <c r="CF419" s="847"/>
      <c r="CG419" s="847"/>
      <c r="CH419" s="847"/>
      <c r="CI419" s="847"/>
      <c r="CJ419" s="847"/>
      <c r="CK419" s="847"/>
      <c r="CL419" s="847"/>
      <c r="CM419" s="847"/>
      <c r="CN419" s="847"/>
      <c r="CO419" s="847"/>
      <c r="CP419" s="847"/>
      <c r="CQ419" s="847"/>
      <c r="CR419" s="847"/>
      <c r="CS419" s="847"/>
      <c r="CT419" s="847"/>
      <c r="CU419" s="847"/>
      <c r="CV419" s="847"/>
      <c r="CW419" s="847"/>
      <c r="CX419" s="847"/>
      <c r="CY419" s="847"/>
      <c r="CZ419" s="847"/>
      <c r="DA419" s="847"/>
      <c r="DB419" s="847"/>
      <c r="DC419" s="847"/>
      <c r="DD419" s="847"/>
      <c r="DE419" s="847"/>
      <c r="DF419" s="847"/>
      <c r="DG419" s="847"/>
      <c r="DH419" s="847"/>
      <c r="DI419" s="847"/>
      <c r="DJ419" s="847"/>
      <c r="DK419" s="847"/>
      <c r="DL419" s="847"/>
      <c r="DM419" s="1212"/>
      <c r="DN419" s="1222"/>
      <c r="DO419" s="1013"/>
      <c r="DP419" s="847"/>
      <c r="DQ419" s="1013"/>
      <c r="DR419" s="1225"/>
      <c r="DS419" s="1013"/>
      <c r="DT419" s="1225"/>
      <c r="DU419" s="1214"/>
      <c r="DV419" s="1242"/>
      <c r="DW419" s="1232"/>
      <c r="DX419" s="1231">
        <v>1.1299435028248588E-2</v>
      </c>
      <c r="DY419" s="847"/>
      <c r="DZ419" s="847"/>
      <c r="EA419" s="847"/>
      <c r="EB419" s="847"/>
      <c r="EC419" s="847"/>
      <c r="ED419" s="847"/>
      <c r="EE419" s="847"/>
      <c r="EF419" s="847"/>
      <c r="EG419" s="1212"/>
      <c r="EH419" s="847"/>
      <c r="EI419" s="1212"/>
    </row>
    <row r="420" spans="1:139" s="733" customFormat="1" ht="13.5">
      <c r="A420" s="1009">
        <v>161</v>
      </c>
      <c r="B420" s="1212" t="s">
        <v>3129</v>
      </c>
      <c r="C420" s="1213">
        <v>0</v>
      </c>
      <c r="D420" s="1013" t="s">
        <v>49</v>
      </c>
      <c r="E420" s="847"/>
      <c r="F420" s="1013"/>
      <c r="G420" s="847"/>
      <c r="H420" s="1013"/>
      <c r="I420" s="847"/>
      <c r="J420" s="1013"/>
      <c r="K420" s="847"/>
      <c r="L420" s="1013"/>
      <c r="M420" s="847"/>
      <c r="N420" s="1013"/>
      <c r="O420" s="847"/>
      <c r="P420" s="1013"/>
      <c r="Q420" s="847"/>
      <c r="R420" s="847"/>
      <c r="S420" s="847"/>
      <c r="T420" s="847"/>
      <c r="U420" s="847"/>
      <c r="V420" s="847"/>
      <c r="W420" s="847"/>
      <c r="X420" s="847"/>
      <c r="Y420" s="847"/>
      <c r="Z420" s="847"/>
      <c r="AA420" s="847"/>
      <c r="AB420" s="847"/>
      <c r="AC420" s="847"/>
      <c r="AD420" s="847"/>
      <c r="AE420" s="847"/>
      <c r="AF420" s="847"/>
      <c r="AG420" s="847"/>
      <c r="AH420" s="847"/>
      <c r="AI420" s="847"/>
      <c r="AJ420" s="847"/>
      <c r="AK420" s="847"/>
      <c r="AL420" s="847"/>
      <c r="AM420" s="847"/>
      <c r="AN420" s="847"/>
      <c r="AO420" s="847"/>
      <c r="AP420" s="847"/>
      <c r="AQ420" s="847"/>
      <c r="AR420" s="847"/>
      <c r="AS420" s="847"/>
      <c r="AT420" s="847"/>
      <c r="AU420" s="847"/>
      <c r="AV420" s="847"/>
      <c r="AW420" s="847"/>
      <c r="AX420" s="847"/>
      <c r="AY420" s="847"/>
      <c r="AZ420" s="847"/>
      <c r="BA420" s="847"/>
      <c r="BB420" s="847"/>
      <c r="BC420" s="847"/>
      <c r="BD420" s="847"/>
      <c r="BE420" s="847"/>
      <c r="BF420" s="847"/>
      <c r="BG420" s="847"/>
      <c r="BH420" s="847"/>
      <c r="BI420" s="847"/>
      <c r="BJ420" s="847"/>
      <c r="BK420" s="847"/>
      <c r="BL420" s="847"/>
      <c r="BM420" s="847"/>
      <c r="BN420" s="847"/>
      <c r="BO420" s="847"/>
      <c r="BP420" s="847"/>
      <c r="BQ420" s="847"/>
      <c r="BR420" s="847"/>
      <c r="BS420" s="847"/>
      <c r="BT420" s="847"/>
      <c r="BU420" s="847"/>
      <c r="BV420" s="847"/>
      <c r="BW420" s="847"/>
      <c r="BX420" s="847"/>
      <c r="BY420" s="847"/>
      <c r="BZ420" s="847"/>
      <c r="CA420" s="847"/>
      <c r="CB420" s="847"/>
      <c r="CC420" s="847"/>
      <c r="CD420" s="847"/>
      <c r="CE420" s="847"/>
      <c r="CF420" s="847"/>
      <c r="CG420" s="847"/>
      <c r="CH420" s="847"/>
      <c r="CI420" s="847"/>
      <c r="CJ420" s="847"/>
      <c r="CK420" s="847"/>
      <c r="CL420" s="847"/>
      <c r="CM420" s="847"/>
      <c r="CN420" s="847"/>
      <c r="CO420" s="847"/>
      <c r="CP420" s="847"/>
      <c r="CQ420" s="847"/>
      <c r="CR420" s="847"/>
      <c r="CS420" s="847"/>
      <c r="CT420" s="847"/>
      <c r="CU420" s="847"/>
      <c r="CV420" s="847"/>
      <c r="CW420" s="847"/>
      <c r="CX420" s="847"/>
      <c r="CY420" s="847"/>
      <c r="CZ420" s="847"/>
      <c r="DA420" s="847"/>
      <c r="DB420" s="847"/>
      <c r="DC420" s="847"/>
      <c r="DD420" s="847"/>
      <c r="DE420" s="847"/>
      <c r="DF420" s="847"/>
      <c r="DG420" s="847"/>
      <c r="DH420" s="847"/>
      <c r="DI420" s="847"/>
      <c r="DJ420" s="847"/>
      <c r="DK420" s="847"/>
      <c r="DL420" s="847"/>
      <c r="DM420" s="1212"/>
      <c r="DN420" s="1222"/>
      <c r="DO420" s="1013"/>
      <c r="DP420" s="847"/>
      <c r="DQ420" s="1013"/>
      <c r="DR420" s="1225"/>
      <c r="DS420" s="1013"/>
      <c r="DT420" s="1225"/>
      <c r="DU420" s="1214"/>
      <c r="DV420" s="1242"/>
      <c r="DW420" s="1232"/>
      <c r="DX420" s="1222"/>
      <c r="DY420" s="847"/>
      <c r="DZ420" s="847"/>
      <c r="EA420" s="847"/>
      <c r="EB420" s="847"/>
      <c r="EC420" s="847"/>
      <c r="ED420" s="847"/>
      <c r="EE420" s="847"/>
      <c r="EF420" s="847"/>
      <c r="EG420" s="1212"/>
      <c r="EH420" s="847"/>
      <c r="EI420" s="1212"/>
    </row>
    <row r="421" spans="1:139" s="733" customFormat="1" ht="13.5">
      <c r="A421" s="1009" t="s">
        <v>201</v>
      </c>
      <c r="B421" s="1212" t="s">
        <v>1432</v>
      </c>
      <c r="C421" s="1213">
        <v>0</v>
      </c>
      <c r="D421" s="1013" t="s">
        <v>49</v>
      </c>
      <c r="E421" s="847"/>
      <c r="F421" s="1013"/>
      <c r="G421" s="847"/>
      <c r="H421" s="1013"/>
      <c r="I421" s="847"/>
      <c r="J421" s="1013"/>
      <c r="K421" s="847"/>
      <c r="L421" s="1013"/>
      <c r="M421" s="847"/>
      <c r="N421" s="1013"/>
      <c r="O421" s="847"/>
      <c r="P421" s="1013"/>
      <c r="Q421" s="847"/>
      <c r="R421" s="847"/>
      <c r="S421" s="847"/>
      <c r="T421" s="847"/>
      <c r="U421" s="847"/>
      <c r="V421" s="847"/>
      <c r="W421" s="847"/>
      <c r="X421" s="847"/>
      <c r="Y421" s="847"/>
      <c r="Z421" s="847"/>
      <c r="AA421" s="847"/>
      <c r="AB421" s="847"/>
      <c r="AC421" s="847"/>
      <c r="AD421" s="847"/>
      <c r="AE421" s="847"/>
      <c r="AF421" s="847"/>
      <c r="AG421" s="847"/>
      <c r="AH421" s="847"/>
      <c r="AI421" s="847"/>
      <c r="AJ421" s="847"/>
      <c r="AK421" s="847"/>
      <c r="AL421" s="847"/>
      <c r="AM421" s="847"/>
      <c r="AN421" s="847"/>
      <c r="AO421" s="847"/>
      <c r="AP421" s="847"/>
      <c r="AQ421" s="847"/>
      <c r="AR421" s="847"/>
      <c r="AS421" s="847"/>
      <c r="AT421" s="847"/>
      <c r="AU421" s="847"/>
      <c r="AV421" s="847"/>
      <c r="AW421" s="847"/>
      <c r="AX421" s="847"/>
      <c r="AY421" s="847"/>
      <c r="AZ421" s="847"/>
      <c r="BA421" s="847"/>
      <c r="BB421" s="847"/>
      <c r="BC421" s="847"/>
      <c r="BD421" s="847"/>
      <c r="BE421" s="847"/>
      <c r="BF421" s="847"/>
      <c r="BG421" s="847"/>
      <c r="BH421" s="847"/>
      <c r="BI421" s="847"/>
      <c r="BJ421" s="847"/>
      <c r="BK421" s="847"/>
      <c r="BL421" s="847"/>
      <c r="BM421" s="847"/>
      <c r="BN421" s="847"/>
      <c r="BO421" s="847"/>
      <c r="BP421" s="847"/>
      <c r="BQ421" s="847"/>
      <c r="BR421" s="847"/>
      <c r="BS421" s="847"/>
      <c r="BT421" s="847"/>
      <c r="BU421" s="847"/>
      <c r="BV421" s="847"/>
      <c r="BW421" s="847"/>
      <c r="BX421" s="847"/>
      <c r="BY421" s="847"/>
      <c r="BZ421" s="847"/>
      <c r="CA421" s="847"/>
      <c r="CB421" s="847"/>
      <c r="CC421" s="847"/>
      <c r="CD421" s="847"/>
      <c r="CE421" s="847"/>
      <c r="CF421" s="847"/>
      <c r="CG421" s="847"/>
      <c r="CH421" s="847"/>
      <c r="CI421" s="847"/>
      <c r="CJ421" s="847"/>
      <c r="CK421" s="847"/>
      <c r="CL421" s="847"/>
      <c r="CM421" s="847"/>
      <c r="CN421" s="847"/>
      <c r="CO421" s="847"/>
      <c r="CP421" s="847"/>
      <c r="CQ421" s="847"/>
      <c r="CR421" s="847"/>
      <c r="CS421" s="847"/>
      <c r="CT421" s="847"/>
      <c r="CU421" s="847"/>
      <c r="CV421" s="847"/>
      <c r="CW421" s="847"/>
      <c r="CX421" s="847"/>
      <c r="CY421" s="847"/>
      <c r="CZ421" s="847"/>
      <c r="DA421" s="847"/>
      <c r="DB421" s="847"/>
      <c r="DC421" s="847"/>
      <c r="DD421" s="847"/>
      <c r="DE421" s="847"/>
      <c r="DF421" s="847"/>
      <c r="DG421" s="847"/>
      <c r="DH421" s="847"/>
      <c r="DI421" s="847"/>
      <c r="DJ421" s="847"/>
      <c r="DK421" s="847"/>
      <c r="DL421" s="847"/>
      <c r="DM421" s="1212"/>
      <c r="DN421" s="1222"/>
      <c r="DO421" s="1013"/>
      <c r="DP421" s="847"/>
      <c r="DQ421" s="1013"/>
      <c r="DR421" s="1225"/>
      <c r="DS421" s="1013"/>
      <c r="DT421" s="1225"/>
      <c r="DU421" s="1214"/>
      <c r="DV421" s="1242"/>
      <c r="DW421" s="1232"/>
      <c r="DX421" s="1222">
        <v>1.8823529411764704E-2</v>
      </c>
      <c r="DY421" s="847"/>
      <c r="DZ421" s="847"/>
      <c r="EA421" s="847"/>
      <c r="EB421" s="847"/>
      <c r="EC421" s="847"/>
      <c r="ED421" s="847"/>
      <c r="EE421" s="847"/>
      <c r="EF421" s="847"/>
      <c r="EG421" s="1212"/>
      <c r="EH421" s="847"/>
      <c r="EI421" s="1212"/>
    </row>
    <row r="422" spans="1:139" s="733" customFormat="1" ht="13.5">
      <c r="A422" s="1009" t="s">
        <v>220</v>
      </c>
      <c r="B422" s="1212" t="s">
        <v>1441</v>
      </c>
      <c r="C422" s="1213">
        <v>0</v>
      </c>
      <c r="D422" s="1013" t="s">
        <v>49</v>
      </c>
      <c r="E422" s="847"/>
      <c r="F422" s="1013"/>
      <c r="G422" s="847"/>
      <c r="H422" s="1013"/>
      <c r="I422" s="847"/>
      <c r="J422" s="1013"/>
      <c r="K422" s="847"/>
      <c r="L422" s="1013"/>
      <c r="M422" s="847"/>
      <c r="N422" s="1013"/>
      <c r="O422" s="847"/>
      <c r="P422" s="1013"/>
      <c r="Q422" s="847"/>
      <c r="R422" s="847"/>
      <c r="S422" s="847"/>
      <c r="T422" s="847"/>
      <c r="U422" s="847"/>
      <c r="V422" s="847"/>
      <c r="W422" s="847"/>
      <c r="X422" s="847"/>
      <c r="Y422" s="847"/>
      <c r="Z422" s="847"/>
      <c r="AA422" s="847"/>
      <c r="AB422" s="847"/>
      <c r="AC422" s="847"/>
      <c r="AD422" s="847"/>
      <c r="AE422" s="847"/>
      <c r="AF422" s="847"/>
      <c r="AG422" s="847"/>
      <c r="AH422" s="847"/>
      <c r="AI422" s="847"/>
      <c r="AJ422" s="847"/>
      <c r="AK422" s="847"/>
      <c r="AL422" s="847"/>
      <c r="AM422" s="847"/>
      <c r="AN422" s="847"/>
      <c r="AO422" s="847"/>
      <c r="AP422" s="847"/>
      <c r="AQ422" s="847"/>
      <c r="AR422" s="847"/>
      <c r="AS422" s="847"/>
      <c r="AT422" s="847"/>
      <c r="AU422" s="847"/>
      <c r="AV422" s="847"/>
      <c r="AW422" s="847"/>
      <c r="AX422" s="847"/>
      <c r="AY422" s="847"/>
      <c r="AZ422" s="847"/>
      <c r="BA422" s="847"/>
      <c r="BB422" s="847"/>
      <c r="BC422" s="847"/>
      <c r="BD422" s="847"/>
      <c r="BE422" s="847"/>
      <c r="BF422" s="847"/>
      <c r="BG422" s="847"/>
      <c r="BH422" s="847"/>
      <c r="BI422" s="847"/>
      <c r="BJ422" s="847"/>
      <c r="BK422" s="847"/>
      <c r="BL422" s="847"/>
      <c r="BM422" s="847"/>
      <c r="BN422" s="847"/>
      <c r="BO422" s="847"/>
      <c r="BP422" s="847"/>
      <c r="BQ422" s="847"/>
      <c r="BR422" s="847"/>
      <c r="BS422" s="847"/>
      <c r="BT422" s="847"/>
      <c r="BU422" s="847"/>
      <c r="BV422" s="847"/>
      <c r="BW422" s="847"/>
      <c r="BX422" s="847"/>
      <c r="BY422" s="847"/>
      <c r="BZ422" s="847"/>
      <c r="CA422" s="847"/>
      <c r="CB422" s="847"/>
      <c r="CC422" s="847"/>
      <c r="CD422" s="847"/>
      <c r="CE422" s="847"/>
      <c r="CF422" s="847"/>
      <c r="CG422" s="847"/>
      <c r="CH422" s="847"/>
      <c r="CI422" s="847"/>
      <c r="CJ422" s="847"/>
      <c r="CK422" s="847"/>
      <c r="CL422" s="847"/>
      <c r="CM422" s="847"/>
      <c r="CN422" s="847"/>
      <c r="CO422" s="847"/>
      <c r="CP422" s="847"/>
      <c r="CQ422" s="847"/>
      <c r="CR422" s="847"/>
      <c r="CS422" s="847"/>
      <c r="CT422" s="847"/>
      <c r="CU422" s="847"/>
      <c r="CV422" s="847"/>
      <c r="CW422" s="847"/>
      <c r="CX422" s="847"/>
      <c r="CY422" s="847"/>
      <c r="CZ422" s="847"/>
      <c r="DA422" s="847"/>
      <c r="DB422" s="847"/>
      <c r="DC422" s="847"/>
      <c r="DD422" s="847"/>
      <c r="DE422" s="847"/>
      <c r="DF422" s="847"/>
      <c r="DG422" s="847"/>
      <c r="DH422" s="847"/>
      <c r="DI422" s="847"/>
      <c r="DJ422" s="847"/>
      <c r="DK422" s="847"/>
      <c r="DL422" s="847"/>
      <c r="DM422" s="1212"/>
      <c r="DN422" s="1222"/>
      <c r="DO422" s="1013"/>
      <c r="DP422" s="847"/>
      <c r="DQ422" s="1013"/>
      <c r="DR422" s="1225"/>
      <c r="DS422" s="1013"/>
      <c r="DT422" s="1225"/>
      <c r="DU422" s="1214"/>
      <c r="DV422" s="1242"/>
      <c r="DW422" s="1232"/>
      <c r="DX422" s="1222"/>
      <c r="DY422" s="847"/>
      <c r="DZ422" s="847"/>
      <c r="EA422" s="847"/>
      <c r="EB422" s="847"/>
      <c r="EC422" s="847"/>
      <c r="ED422" s="847"/>
      <c r="EE422" s="847"/>
      <c r="EF422" s="847"/>
      <c r="EG422" s="1212"/>
      <c r="EH422" s="847"/>
      <c r="EI422" s="1212"/>
    </row>
    <row r="423" spans="1:139" s="733" customFormat="1" ht="13.5">
      <c r="A423" s="1009" t="s">
        <v>244</v>
      </c>
      <c r="B423" s="1212" t="s">
        <v>1447</v>
      </c>
      <c r="C423" s="1213">
        <v>0</v>
      </c>
      <c r="D423" s="1013" t="s">
        <v>49</v>
      </c>
      <c r="E423" s="847"/>
      <c r="F423" s="1013"/>
      <c r="G423" s="847"/>
      <c r="H423" s="1013"/>
      <c r="I423" s="847"/>
      <c r="J423" s="1013"/>
      <c r="K423" s="847"/>
      <c r="L423" s="1013"/>
      <c r="M423" s="847"/>
      <c r="N423" s="1013"/>
      <c r="O423" s="847"/>
      <c r="P423" s="1013"/>
      <c r="Q423" s="847"/>
      <c r="R423" s="847"/>
      <c r="S423" s="847"/>
      <c r="T423" s="847"/>
      <c r="U423" s="847"/>
      <c r="V423" s="847"/>
      <c r="W423" s="847"/>
      <c r="X423" s="847"/>
      <c r="Y423" s="847"/>
      <c r="Z423" s="847"/>
      <c r="AA423" s="847"/>
      <c r="AB423" s="847"/>
      <c r="AC423" s="847"/>
      <c r="AD423" s="847"/>
      <c r="AE423" s="847"/>
      <c r="AF423" s="847"/>
      <c r="AG423" s="847"/>
      <c r="AH423" s="847"/>
      <c r="AI423" s="847"/>
      <c r="AJ423" s="847"/>
      <c r="AK423" s="847"/>
      <c r="AL423" s="847"/>
      <c r="AM423" s="847"/>
      <c r="AN423" s="847"/>
      <c r="AO423" s="847"/>
      <c r="AP423" s="847"/>
      <c r="AQ423" s="847"/>
      <c r="AR423" s="847"/>
      <c r="AS423" s="847"/>
      <c r="AT423" s="847"/>
      <c r="AU423" s="847"/>
      <c r="AV423" s="847"/>
      <c r="AW423" s="847"/>
      <c r="AX423" s="847"/>
      <c r="AY423" s="847"/>
      <c r="AZ423" s="847"/>
      <c r="BA423" s="847"/>
      <c r="BB423" s="847"/>
      <c r="BC423" s="847"/>
      <c r="BD423" s="847"/>
      <c r="BE423" s="847"/>
      <c r="BF423" s="847"/>
      <c r="BG423" s="847"/>
      <c r="BH423" s="847"/>
      <c r="BI423" s="847"/>
      <c r="BJ423" s="847"/>
      <c r="BK423" s="847"/>
      <c r="BL423" s="847"/>
      <c r="BM423" s="847"/>
      <c r="BN423" s="847"/>
      <c r="BO423" s="847"/>
      <c r="BP423" s="847"/>
      <c r="BQ423" s="847"/>
      <c r="BR423" s="847"/>
      <c r="BS423" s="847"/>
      <c r="BT423" s="847"/>
      <c r="BU423" s="847"/>
      <c r="BV423" s="847"/>
      <c r="BW423" s="847"/>
      <c r="BX423" s="847"/>
      <c r="BY423" s="847"/>
      <c r="BZ423" s="847"/>
      <c r="CA423" s="847"/>
      <c r="CB423" s="847"/>
      <c r="CC423" s="847"/>
      <c r="CD423" s="847"/>
      <c r="CE423" s="847"/>
      <c r="CF423" s="847"/>
      <c r="CG423" s="847"/>
      <c r="CH423" s="847"/>
      <c r="CI423" s="847"/>
      <c r="CJ423" s="847"/>
      <c r="CK423" s="847"/>
      <c r="CL423" s="847"/>
      <c r="CM423" s="847"/>
      <c r="CN423" s="847"/>
      <c r="CO423" s="847"/>
      <c r="CP423" s="847"/>
      <c r="CQ423" s="847"/>
      <c r="CR423" s="847"/>
      <c r="CS423" s="847"/>
      <c r="CT423" s="847"/>
      <c r="CU423" s="847"/>
      <c r="CV423" s="847"/>
      <c r="CW423" s="847"/>
      <c r="CX423" s="847"/>
      <c r="CY423" s="847"/>
      <c r="CZ423" s="847"/>
      <c r="DA423" s="847"/>
      <c r="DB423" s="847"/>
      <c r="DC423" s="847"/>
      <c r="DD423" s="847"/>
      <c r="DE423" s="847"/>
      <c r="DF423" s="847"/>
      <c r="DG423" s="847"/>
      <c r="DH423" s="847"/>
      <c r="DI423" s="847"/>
      <c r="DJ423" s="847"/>
      <c r="DK423" s="847"/>
      <c r="DL423" s="847"/>
      <c r="DM423" s="1212"/>
      <c r="DN423" s="1222" t="e">
        <f>'Lead &amp; ANALYSIS'!#REF!/100</f>
        <v>#REF!</v>
      </c>
      <c r="DO423" s="1013" t="e">
        <f>ROUND(C423*DN423,2)</f>
        <v>#REF!</v>
      </c>
      <c r="DP423" s="847"/>
      <c r="DQ423" s="1013"/>
      <c r="DR423" s="1225"/>
      <c r="DS423" s="1013"/>
      <c r="DT423" s="1225"/>
      <c r="DU423" s="1214"/>
      <c r="DV423" s="1242"/>
      <c r="DW423" s="1232"/>
      <c r="DX423" s="1222"/>
      <c r="DY423" s="847"/>
      <c r="DZ423" s="847"/>
      <c r="EA423" s="847"/>
      <c r="EB423" s="847"/>
      <c r="EC423" s="847"/>
      <c r="ED423" s="847"/>
      <c r="EE423" s="847"/>
      <c r="EF423" s="847"/>
      <c r="EG423" s="1212"/>
      <c r="EH423" s="847"/>
      <c r="EI423" s="1212"/>
    </row>
    <row r="424" spans="1:139" s="733" customFormat="1" ht="13.5">
      <c r="A424" s="1009">
        <v>162</v>
      </c>
      <c r="B424" s="1212" t="s">
        <v>3130</v>
      </c>
      <c r="C424" s="1213">
        <v>0</v>
      </c>
      <c r="D424" s="1013" t="s">
        <v>92</v>
      </c>
      <c r="E424" s="847"/>
      <c r="F424" s="1013"/>
      <c r="G424" s="847"/>
      <c r="H424" s="1013"/>
      <c r="I424" s="847"/>
      <c r="J424" s="1013"/>
      <c r="K424" s="847"/>
      <c r="L424" s="1013"/>
      <c r="M424" s="847"/>
      <c r="N424" s="1013"/>
      <c r="O424" s="847"/>
      <c r="P424" s="1013"/>
      <c r="Q424" s="847"/>
      <c r="R424" s="847"/>
      <c r="S424" s="847"/>
      <c r="T424" s="847"/>
      <c r="U424" s="847"/>
      <c r="V424" s="847"/>
      <c r="W424" s="847"/>
      <c r="X424" s="847"/>
      <c r="Y424" s="847"/>
      <c r="Z424" s="847"/>
      <c r="AA424" s="847"/>
      <c r="AB424" s="847"/>
      <c r="AC424" s="847"/>
      <c r="AD424" s="847"/>
      <c r="AE424" s="847"/>
      <c r="AF424" s="847"/>
      <c r="AG424" s="847"/>
      <c r="AH424" s="847"/>
      <c r="AI424" s="847"/>
      <c r="AJ424" s="847"/>
      <c r="AK424" s="847"/>
      <c r="AL424" s="847"/>
      <c r="AM424" s="847"/>
      <c r="AN424" s="847"/>
      <c r="AO424" s="847"/>
      <c r="AP424" s="847"/>
      <c r="AQ424" s="847"/>
      <c r="AR424" s="847"/>
      <c r="AS424" s="847"/>
      <c r="AT424" s="847"/>
      <c r="AU424" s="847"/>
      <c r="AV424" s="847"/>
      <c r="AW424" s="847"/>
      <c r="AX424" s="847"/>
      <c r="AY424" s="847"/>
      <c r="AZ424" s="847"/>
      <c r="BA424" s="847"/>
      <c r="BB424" s="847"/>
      <c r="BC424" s="847"/>
      <c r="BD424" s="847"/>
      <c r="BE424" s="847"/>
      <c r="BF424" s="847"/>
      <c r="BG424" s="847"/>
      <c r="BH424" s="847"/>
      <c r="BI424" s="847"/>
      <c r="BJ424" s="847"/>
      <c r="BK424" s="847"/>
      <c r="BL424" s="847"/>
      <c r="BM424" s="847"/>
      <c r="BN424" s="847"/>
      <c r="BO424" s="847"/>
      <c r="BP424" s="847"/>
      <c r="BQ424" s="847"/>
      <c r="BR424" s="847"/>
      <c r="BS424" s="847"/>
      <c r="BT424" s="847"/>
      <c r="BU424" s="847"/>
      <c r="BV424" s="847"/>
      <c r="BW424" s="847"/>
      <c r="BX424" s="847"/>
      <c r="BY424" s="847"/>
      <c r="BZ424" s="847"/>
      <c r="CA424" s="847"/>
      <c r="CB424" s="847"/>
      <c r="CC424" s="847"/>
      <c r="CD424" s="847"/>
      <c r="CE424" s="847"/>
      <c r="CF424" s="847"/>
      <c r="CG424" s="847"/>
      <c r="CH424" s="847"/>
      <c r="CI424" s="847"/>
      <c r="CJ424" s="847"/>
      <c r="CK424" s="847"/>
      <c r="CL424" s="847"/>
      <c r="CM424" s="847"/>
      <c r="CN424" s="847"/>
      <c r="CO424" s="847"/>
      <c r="CP424" s="847"/>
      <c r="CQ424" s="847"/>
      <c r="CR424" s="847"/>
      <c r="CS424" s="847"/>
      <c r="CT424" s="847"/>
      <c r="CU424" s="847"/>
      <c r="CV424" s="847"/>
      <c r="CW424" s="847"/>
      <c r="CX424" s="847"/>
      <c r="CY424" s="847"/>
      <c r="CZ424" s="847"/>
      <c r="DA424" s="847"/>
      <c r="DB424" s="847"/>
      <c r="DC424" s="847"/>
      <c r="DD424" s="847"/>
      <c r="DE424" s="847"/>
      <c r="DF424" s="847"/>
      <c r="DG424" s="847"/>
      <c r="DH424" s="847"/>
      <c r="DI424" s="847"/>
      <c r="DJ424" s="847"/>
      <c r="DK424" s="847"/>
      <c r="DL424" s="847"/>
      <c r="DM424" s="1212"/>
      <c r="DN424" s="1222" t="e">
        <f>'Lead &amp; ANALYSIS'!#REF!/100</f>
        <v>#REF!</v>
      </c>
      <c r="DO424" s="1013" t="e">
        <f>ROUND(C424*DN424,2)</f>
        <v>#REF!</v>
      </c>
      <c r="DP424" s="847"/>
      <c r="DQ424" s="1013"/>
      <c r="DR424" s="1225"/>
      <c r="DS424" s="1013"/>
      <c r="DT424" s="1225"/>
      <c r="DU424" s="1214"/>
      <c r="DV424" s="1242"/>
      <c r="DW424" s="1232"/>
      <c r="DX424" s="1222"/>
      <c r="DY424" s="847"/>
      <c r="DZ424" s="847"/>
      <c r="EA424" s="847"/>
      <c r="EB424" s="847"/>
      <c r="EC424" s="847"/>
      <c r="ED424" s="847"/>
      <c r="EE424" s="847"/>
      <c r="EF424" s="847"/>
      <c r="EG424" s="1212"/>
      <c r="EH424" s="847"/>
      <c r="EI424" s="1212"/>
    </row>
    <row r="425" spans="1:139" s="733" customFormat="1" ht="13.5">
      <c r="A425" s="1009">
        <v>163</v>
      </c>
      <c r="B425" s="1212" t="s">
        <v>3131</v>
      </c>
      <c r="C425" s="1213">
        <v>0</v>
      </c>
      <c r="D425" s="1013" t="s">
        <v>49</v>
      </c>
      <c r="E425" s="847"/>
      <c r="F425" s="1013"/>
      <c r="G425" s="847"/>
      <c r="H425" s="1013"/>
      <c r="I425" s="847"/>
      <c r="J425" s="1013"/>
      <c r="K425" s="847"/>
      <c r="L425" s="1013"/>
      <c r="M425" s="847"/>
      <c r="N425" s="1013"/>
      <c r="O425" s="847"/>
      <c r="P425" s="1013"/>
      <c r="Q425" s="847"/>
      <c r="R425" s="847"/>
      <c r="S425" s="847"/>
      <c r="T425" s="847"/>
      <c r="U425" s="847"/>
      <c r="V425" s="847"/>
      <c r="W425" s="847"/>
      <c r="X425" s="847"/>
      <c r="Y425" s="847"/>
      <c r="Z425" s="847"/>
      <c r="AA425" s="847"/>
      <c r="AB425" s="847"/>
      <c r="AC425" s="847"/>
      <c r="AD425" s="847"/>
      <c r="AE425" s="847"/>
      <c r="AF425" s="847"/>
      <c r="AG425" s="847"/>
      <c r="AH425" s="847"/>
      <c r="AI425" s="847"/>
      <c r="AJ425" s="847"/>
      <c r="AK425" s="847"/>
      <c r="AL425" s="847"/>
      <c r="AM425" s="847"/>
      <c r="AN425" s="847"/>
      <c r="AO425" s="847"/>
      <c r="AP425" s="847"/>
      <c r="AQ425" s="847"/>
      <c r="AR425" s="847"/>
      <c r="AS425" s="847"/>
      <c r="AT425" s="847"/>
      <c r="AU425" s="847"/>
      <c r="AV425" s="847"/>
      <c r="AW425" s="847"/>
      <c r="AX425" s="847"/>
      <c r="AY425" s="847"/>
      <c r="AZ425" s="847"/>
      <c r="BA425" s="847"/>
      <c r="BB425" s="847"/>
      <c r="BC425" s="847"/>
      <c r="BD425" s="847"/>
      <c r="BE425" s="847"/>
      <c r="BF425" s="847"/>
      <c r="BG425" s="847"/>
      <c r="BH425" s="847"/>
      <c r="BI425" s="847"/>
      <c r="BJ425" s="847"/>
      <c r="BK425" s="847"/>
      <c r="BL425" s="847"/>
      <c r="BM425" s="847"/>
      <c r="BN425" s="847"/>
      <c r="BO425" s="847"/>
      <c r="BP425" s="847"/>
      <c r="BQ425" s="847"/>
      <c r="BR425" s="847"/>
      <c r="BS425" s="847"/>
      <c r="BT425" s="847"/>
      <c r="BU425" s="847"/>
      <c r="BV425" s="847"/>
      <c r="BW425" s="847"/>
      <c r="BX425" s="847"/>
      <c r="BY425" s="847"/>
      <c r="BZ425" s="847"/>
      <c r="CA425" s="847"/>
      <c r="CB425" s="847"/>
      <c r="CC425" s="847"/>
      <c r="CD425" s="847"/>
      <c r="CE425" s="847"/>
      <c r="CF425" s="847"/>
      <c r="CG425" s="847"/>
      <c r="CH425" s="847"/>
      <c r="CI425" s="847"/>
      <c r="CJ425" s="847"/>
      <c r="CK425" s="847"/>
      <c r="CL425" s="847"/>
      <c r="CM425" s="847"/>
      <c r="CN425" s="847"/>
      <c r="CO425" s="847"/>
      <c r="CP425" s="847"/>
      <c r="CQ425" s="847"/>
      <c r="CR425" s="847"/>
      <c r="CS425" s="847"/>
      <c r="CT425" s="847"/>
      <c r="CU425" s="847"/>
      <c r="CV425" s="847"/>
      <c r="CW425" s="847"/>
      <c r="CX425" s="847"/>
      <c r="CY425" s="847"/>
      <c r="CZ425" s="847"/>
      <c r="DA425" s="847"/>
      <c r="DB425" s="847"/>
      <c r="DC425" s="847"/>
      <c r="DD425" s="847"/>
      <c r="DE425" s="847"/>
      <c r="DF425" s="847"/>
      <c r="DG425" s="847"/>
      <c r="DH425" s="847"/>
      <c r="DI425" s="847"/>
      <c r="DJ425" s="847"/>
      <c r="DK425" s="847"/>
      <c r="DL425" s="847"/>
      <c r="DM425" s="1212"/>
      <c r="DN425" s="1222" t="e">
        <f>('Lead &amp; ANALYSIS'!#REF!+'Lead &amp; ANALYSIS'!#REF!)/28.31</f>
        <v>#REF!</v>
      </c>
      <c r="DO425" s="1013" t="e">
        <f>ROUND(C425*DN425,2)</f>
        <v>#REF!</v>
      </c>
      <c r="DP425" s="847"/>
      <c r="DQ425" s="1013"/>
      <c r="DR425" s="1225"/>
      <c r="DS425" s="1013"/>
      <c r="DT425" s="1225"/>
      <c r="DU425" s="1214"/>
      <c r="DV425" s="1242"/>
      <c r="DW425" s="1232"/>
      <c r="DX425" s="1222"/>
      <c r="DY425" s="847"/>
      <c r="DZ425" s="847"/>
      <c r="EA425" s="847"/>
      <c r="EB425" s="847"/>
      <c r="EC425" s="847"/>
      <c r="ED425" s="847"/>
      <c r="EE425" s="847"/>
      <c r="EF425" s="847"/>
      <c r="EG425" s="1212"/>
      <c r="EH425" s="847"/>
      <c r="EI425" s="1212"/>
    </row>
    <row r="426" spans="1:139" s="733" customFormat="1" ht="13.5">
      <c r="A426" s="1009">
        <v>164</v>
      </c>
      <c r="B426" s="1212" t="s">
        <v>3132</v>
      </c>
      <c r="C426" s="1213">
        <v>0</v>
      </c>
      <c r="D426" s="1013" t="s">
        <v>49</v>
      </c>
      <c r="E426" s="847"/>
      <c r="F426" s="1013"/>
      <c r="G426" s="847"/>
      <c r="H426" s="1013"/>
      <c r="I426" s="847"/>
      <c r="J426" s="1013"/>
      <c r="K426" s="847"/>
      <c r="L426" s="1013"/>
      <c r="M426" s="847"/>
      <c r="N426" s="1013"/>
      <c r="O426" s="847"/>
      <c r="P426" s="1013"/>
      <c r="Q426" s="847"/>
      <c r="R426" s="847"/>
      <c r="S426" s="847"/>
      <c r="T426" s="847"/>
      <c r="U426" s="847"/>
      <c r="V426" s="847"/>
      <c r="W426" s="847"/>
      <c r="X426" s="847"/>
      <c r="Y426" s="847"/>
      <c r="Z426" s="847"/>
      <c r="AA426" s="847"/>
      <c r="AB426" s="847"/>
      <c r="AC426" s="847"/>
      <c r="AD426" s="847"/>
      <c r="AE426" s="847"/>
      <c r="AF426" s="847"/>
      <c r="AG426" s="847"/>
      <c r="AH426" s="847"/>
      <c r="AI426" s="847"/>
      <c r="AJ426" s="847"/>
      <c r="AK426" s="847"/>
      <c r="AL426" s="847"/>
      <c r="AM426" s="847"/>
      <c r="AN426" s="847"/>
      <c r="AO426" s="847"/>
      <c r="AP426" s="847"/>
      <c r="AQ426" s="847"/>
      <c r="AR426" s="847"/>
      <c r="AS426" s="847"/>
      <c r="AT426" s="847"/>
      <c r="AU426" s="847"/>
      <c r="AV426" s="847"/>
      <c r="AW426" s="847"/>
      <c r="AX426" s="847"/>
      <c r="AY426" s="847"/>
      <c r="AZ426" s="847"/>
      <c r="BA426" s="847"/>
      <c r="BB426" s="847"/>
      <c r="BC426" s="847"/>
      <c r="BD426" s="847"/>
      <c r="BE426" s="847"/>
      <c r="BF426" s="847"/>
      <c r="BG426" s="847"/>
      <c r="BH426" s="847"/>
      <c r="BI426" s="847"/>
      <c r="BJ426" s="847"/>
      <c r="BK426" s="847"/>
      <c r="BL426" s="847"/>
      <c r="BM426" s="847"/>
      <c r="BN426" s="847"/>
      <c r="BO426" s="847"/>
      <c r="BP426" s="847"/>
      <c r="BQ426" s="847"/>
      <c r="BR426" s="847"/>
      <c r="BS426" s="847"/>
      <c r="BT426" s="847"/>
      <c r="BU426" s="847"/>
      <c r="BV426" s="847"/>
      <c r="BW426" s="847"/>
      <c r="BX426" s="847"/>
      <c r="BY426" s="847"/>
      <c r="BZ426" s="847"/>
      <c r="CA426" s="847"/>
      <c r="CB426" s="847"/>
      <c r="CC426" s="847"/>
      <c r="CD426" s="847"/>
      <c r="CE426" s="847"/>
      <c r="CF426" s="847"/>
      <c r="CG426" s="847"/>
      <c r="CH426" s="847"/>
      <c r="CI426" s="847"/>
      <c r="CJ426" s="847"/>
      <c r="CK426" s="847"/>
      <c r="CL426" s="847"/>
      <c r="CM426" s="847"/>
      <c r="CN426" s="847"/>
      <c r="CO426" s="847"/>
      <c r="CP426" s="847"/>
      <c r="CQ426" s="847"/>
      <c r="CR426" s="847"/>
      <c r="CS426" s="847"/>
      <c r="CT426" s="847"/>
      <c r="CU426" s="847"/>
      <c r="CV426" s="847"/>
      <c r="CW426" s="847"/>
      <c r="CX426" s="847"/>
      <c r="CY426" s="847"/>
      <c r="CZ426" s="847"/>
      <c r="DA426" s="847"/>
      <c r="DB426" s="847"/>
      <c r="DC426" s="847"/>
      <c r="DD426" s="847"/>
      <c r="DE426" s="847"/>
      <c r="DF426" s="847"/>
      <c r="DG426" s="847"/>
      <c r="DH426" s="847"/>
      <c r="DI426" s="847"/>
      <c r="DJ426" s="847"/>
      <c r="DK426" s="847"/>
      <c r="DL426" s="847"/>
      <c r="DM426" s="1212"/>
      <c r="DN426" s="1222"/>
      <c r="DO426" s="1013"/>
      <c r="DP426" s="847"/>
      <c r="DQ426" s="1013"/>
      <c r="DR426" s="1225"/>
      <c r="DS426" s="1013"/>
      <c r="DT426" s="1225"/>
      <c r="DU426" s="1214"/>
      <c r="DV426" s="1242"/>
      <c r="DW426" s="1232"/>
      <c r="DX426" s="1222"/>
      <c r="DY426" s="847"/>
      <c r="DZ426" s="847"/>
      <c r="EA426" s="847"/>
      <c r="EB426" s="847"/>
      <c r="EC426" s="847"/>
      <c r="ED426" s="847"/>
      <c r="EE426" s="847"/>
      <c r="EF426" s="847"/>
      <c r="EG426" s="1212"/>
      <c r="EH426" s="847"/>
      <c r="EI426" s="1212"/>
    </row>
    <row r="427" spans="1:139" s="733" customFormat="1" ht="13.5">
      <c r="A427" s="1009" t="s">
        <v>458</v>
      </c>
      <c r="B427" s="1212" t="s">
        <v>1458</v>
      </c>
      <c r="C427" s="1213">
        <v>0</v>
      </c>
      <c r="D427" s="1013" t="s">
        <v>49</v>
      </c>
      <c r="E427" s="847"/>
      <c r="F427" s="1013"/>
      <c r="G427" s="847"/>
      <c r="H427" s="1013"/>
      <c r="I427" s="847"/>
      <c r="J427" s="1013"/>
      <c r="K427" s="847"/>
      <c r="L427" s="1013"/>
      <c r="M427" s="847"/>
      <c r="N427" s="1013"/>
      <c r="O427" s="847"/>
      <c r="P427" s="1013"/>
      <c r="Q427" s="847"/>
      <c r="R427" s="847"/>
      <c r="S427" s="847"/>
      <c r="T427" s="847"/>
      <c r="U427" s="847"/>
      <c r="V427" s="847"/>
      <c r="W427" s="847"/>
      <c r="X427" s="847"/>
      <c r="Y427" s="847"/>
      <c r="Z427" s="847"/>
      <c r="AA427" s="847"/>
      <c r="AB427" s="847"/>
      <c r="AC427" s="847"/>
      <c r="AD427" s="847"/>
      <c r="AE427" s="847"/>
      <c r="AF427" s="847"/>
      <c r="AG427" s="847"/>
      <c r="AH427" s="847"/>
      <c r="AI427" s="847"/>
      <c r="AJ427" s="847"/>
      <c r="AK427" s="847"/>
      <c r="AL427" s="847"/>
      <c r="AM427" s="847"/>
      <c r="AN427" s="847"/>
      <c r="AO427" s="847"/>
      <c r="AP427" s="847"/>
      <c r="AQ427" s="847"/>
      <c r="AR427" s="847"/>
      <c r="AS427" s="847"/>
      <c r="AT427" s="847"/>
      <c r="AU427" s="847"/>
      <c r="AV427" s="847"/>
      <c r="AW427" s="847"/>
      <c r="AX427" s="847"/>
      <c r="AY427" s="847"/>
      <c r="AZ427" s="847"/>
      <c r="BA427" s="847"/>
      <c r="BB427" s="847"/>
      <c r="BC427" s="847"/>
      <c r="BD427" s="847"/>
      <c r="BE427" s="847"/>
      <c r="BF427" s="847"/>
      <c r="BG427" s="847"/>
      <c r="BH427" s="847"/>
      <c r="BI427" s="847"/>
      <c r="BJ427" s="847"/>
      <c r="BK427" s="847"/>
      <c r="BL427" s="847"/>
      <c r="BM427" s="847"/>
      <c r="BN427" s="847"/>
      <c r="BO427" s="847"/>
      <c r="BP427" s="847"/>
      <c r="BQ427" s="847"/>
      <c r="BR427" s="847"/>
      <c r="BS427" s="847"/>
      <c r="BT427" s="847"/>
      <c r="BU427" s="847"/>
      <c r="BV427" s="847"/>
      <c r="BW427" s="847"/>
      <c r="BX427" s="847"/>
      <c r="BY427" s="847"/>
      <c r="BZ427" s="847"/>
      <c r="CA427" s="847"/>
      <c r="CB427" s="847"/>
      <c r="CC427" s="847"/>
      <c r="CD427" s="847"/>
      <c r="CE427" s="847"/>
      <c r="CF427" s="847"/>
      <c r="CG427" s="847"/>
      <c r="CH427" s="847"/>
      <c r="CI427" s="847"/>
      <c r="CJ427" s="847"/>
      <c r="CK427" s="847"/>
      <c r="CL427" s="847"/>
      <c r="CM427" s="847"/>
      <c r="CN427" s="847"/>
      <c r="CO427" s="847"/>
      <c r="CP427" s="847"/>
      <c r="CQ427" s="847"/>
      <c r="CR427" s="847"/>
      <c r="CS427" s="847"/>
      <c r="CT427" s="847"/>
      <c r="CU427" s="847"/>
      <c r="CV427" s="847"/>
      <c r="CW427" s="847"/>
      <c r="CX427" s="847"/>
      <c r="CY427" s="847"/>
      <c r="CZ427" s="847"/>
      <c r="DA427" s="847"/>
      <c r="DB427" s="847"/>
      <c r="DC427" s="847"/>
      <c r="DD427" s="847"/>
      <c r="DE427" s="847"/>
      <c r="DF427" s="847"/>
      <c r="DG427" s="847"/>
      <c r="DH427" s="847"/>
      <c r="DI427" s="847"/>
      <c r="DJ427" s="847"/>
      <c r="DK427" s="847"/>
      <c r="DL427" s="847"/>
      <c r="DM427" s="1212"/>
      <c r="DN427" s="1222" t="e">
        <f>'Lead &amp; ANALYSIS'!#REF!/100</f>
        <v>#REF!</v>
      </c>
      <c r="DO427" s="1013" t="e">
        <f t="shared" ref="DO427:DO436" si="20">ROUND(C427*DN427,2)</f>
        <v>#REF!</v>
      </c>
      <c r="DP427" s="847"/>
      <c r="DQ427" s="1013"/>
      <c r="DR427" s="1225"/>
      <c r="DS427" s="1013"/>
      <c r="DT427" s="1225"/>
      <c r="DU427" s="1214"/>
      <c r="DV427" s="1242"/>
      <c r="DW427" s="1232"/>
      <c r="DX427" s="1222"/>
      <c r="DY427" s="847"/>
      <c r="DZ427" s="847"/>
      <c r="EA427" s="847"/>
      <c r="EB427" s="847"/>
      <c r="EC427" s="847"/>
      <c r="ED427" s="847"/>
      <c r="EE427" s="847"/>
      <c r="EF427" s="847"/>
      <c r="EG427" s="1212"/>
      <c r="EH427" s="847"/>
      <c r="EI427" s="1212"/>
    </row>
    <row r="428" spans="1:139" s="733" customFormat="1" ht="13.5">
      <c r="A428" s="1009" t="s">
        <v>459</v>
      </c>
      <c r="B428" s="1212" t="s">
        <v>1459</v>
      </c>
      <c r="C428" s="1213">
        <v>0</v>
      </c>
      <c r="D428" s="1013" t="s">
        <v>49</v>
      </c>
      <c r="E428" s="847"/>
      <c r="F428" s="1013"/>
      <c r="G428" s="847"/>
      <c r="H428" s="1013"/>
      <c r="I428" s="847"/>
      <c r="J428" s="1013"/>
      <c r="K428" s="847"/>
      <c r="L428" s="1013"/>
      <c r="M428" s="847"/>
      <c r="N428" s="1013"/>
      <c r="O428" s="847"/>
      <c r="P428" s="1013"/>
      <c r="Q428" s="847"/>
      <c r="R428" s="847"/>
      <c r="S428" s="847"/>
      <c r="T428" s="847"/>
      <c r="U428" s="847"/>
      <c r="V428" s="847"/>
      <c r="W428" s="847"/>
      <c r="X428" s="847"/>
      <c r="Y428" s="847"/>
      <c r="Z428" s="847"/>
      <c r="AA428" s="847"/>
      <c r="AB428" s="847"/>
      <c r="AC428" s="847"/>
      <c r="AD428" s="847"/>
      <c r="AE428" s="847"/>
      <c r="AF428" s="847"/>
      <c r="AG428" s="847"/>
      <c r="AH428" s="847"/>
      <c r="AI428" s="847"/>
      <c r="AJ428" s="847"/>
      <c r="AK428" s="847"/>
      <c r="AL428" s="847"/>
      <c r="AM428" s="847"/>
      <c r="AN428" s="847"/>
      <c r="AO428" s="847"/>
      <c r="AP428" s="847"/>
      <c r="AQ428" s="847"/>
      <c r="AR428" s="847"/>
      <c r="AS428" s="847"/>
      <c r="AT428" s="847"/>
      <c r="AU428" s="847"/>
      <c r="AV428" s="847"/>
      <c r="AW428" s="847"/>
      <c r="AX428" s="847"/>
      <c r="AY428" s="847"/>
      <c r="AZ428" s="847"/>
      <c r="BA428" s="847"/>
      <c r="BB428" s="847"/>
      <c r="BC428" s="847"/>
      <c r="BD428" s="847"/>
      <c r="BE428" s="847"/>
      <c r="BF428" s="847"/>
      <c r="BG428" s="847"/>
      <c r="BH428" s="847"/>
      <c r="BI428" s="847"/>
      <c r="BJ428" s="847"/>
      <c r="BK428" s="847"/>
      <c r="BL428" s="847"/>
      <c r="BM428" s="847"/>
      <c r="BN428" s="847"/>
      <c r="BO428" s="847"/>
      <c r="BP428" s="847"/>
      <c r="BQ428" s="847"/>
      <c r="BR428" s="847"/>
      <c r="BS428" s="847"/>
      <c r="BT428" s="847"/>
      <c r="BU428" s="847"/>
      <c r="BV428" s="847"/>
      <c r="BW428" s="847"/>
      <c r="BX428" s="847"/>
      <c r="BY428" s="847"/>
      <c r="BZ428" s="847"/>
      <c r="CA428" s="847"/>
      <c r="CB428" s="847"/>
      <c r="CC428" s="847"/>
      <c r="CD428" s="847"/>
      <c r="CE428" s="847"/>
      <c r="CF428" s="847"/>
      <c r="CG428" s="847"/>
      <c r="CH428" s="847"/>
      <c r="CI428" s="847"/>
      <c r="CJ428" s="847"/>
      <c r="CK428" s="847"/>
      <c r="CL428" s="847"/>
      <c r="CM428" s="847"/>
      <c r="CN428" s="847"/>
      <c r="CO428" s="847"/>
      <c r="CP428" s="847"/>
      <c r="CQ428" s="847"/>
      <c r="CR428" s="847"/>
      <c r="CS428" s="847"/>
      <c r="CT428" s="847"/>
      <c r="CU428" s="847"/>
      <c r="CV428" s="847"/>
      <c r="CW428" s="847"/>
      <c r="CX428" s="847"/>
      <c r="CY428" s="847"/>
      <c r="CZ428" s="847"/>
      <c r="DA428" s="847"/>
      <c r="DB428" s="847"/>
      <c r="DC428" s="847"/>
      <c r="DD428" s="847"/>
      <c r="DE428" s="847"/>
      <c r="DF428" s="847"/>
      <c r="DG428" s="847"/>
      <c r="DH428" s="847"/>
      <c r="DI428" s="847"/>
      <c r="DJ428" s="847"/>
      <c r="DK428" s="847"/>
      <c r="DL428" s="847"/>
      <c r="DM428" s="1212"/>
      <c r="DN428" s="1222" t="e">
        <f>'Lead &amp; ANALYSIS'!#REF!/100</f>
        <v>#REF!</v>
      </c>
      <c r="DO428" s="1013" t="e">
        <f t="shared" si="20"/>
        <v>#REF!</v>
      </c>
      <c r="DP428" s="847"/>
      <c r="DQ428" s="1013"/>
      <c r="DR428" s="1225"/>
      <c r="DS428" s="1013"/>
      <c r="DT428" s="1225"/>
      <c r="DU428" s="1214"/>
      <c r="DV428" s="1242"/>
      <c r="DW428" s="1232"/>
      <c r="DX428" s="1222"/>
      <c r="DY428" s="847"/>
      <c r="DZ428" s="847"/>
      <c r="EA428" s="847"/>
      <c r="EB428" s="847"/>
      <c r="EC428" s="847"/>
      <c r="ED428" s="847"/>
      <c r="EE428" s="847"/>
      <c r="EF428" s="847"/>
      <c r="EG428" s="1212"/>
      <c r="EH428" s="847"/>
      <c r="EI428" s="1212"/>
    </row>
    <row r="429" spans="1:139" s="733" customFormat="1" ht="13.5">
      <c r="A429" s="1009" t="s">
        <v>460</v>
      </c>
      <c r="B429" s="1212" t="s">
        <v>1460</v>
      </c>
      <c r="C429" s="1213">
        <v>0</v>
      </c>
      <c r="D429" s="1013" t="s">
        <v>49</v>
      </c>
      <c r="E429" s="847"/>
      <c r="F429" s="1013"/>
      <c r="G429" s="847"/>
      <c r="H429" s="1013"/>
      <c r="I429" s="847"/>
      <c r="J429" s="1013"/>
      <c r="K429" s="847"/>
      <c r="L429" s="1013"/>
      <c r="M429" s="847"/>
      <c r="N429" s="1013"/>
      <c r="O429" s="847"/>
      <c r="P429" s="1013"/>
      <c r="Q429" s="847"/>
      <c r="R429" s="847"/>
      <c r="S429" s="847"/>
      <c r="T429" s="847"/>
      <c r="U429" s="847"/>
      <c r="V429" s="847"/>
      <c r="W429" s="847"/>
      <c r="X429" s="847"/>
      <c r="Y429" s="847"/>
      <c r="Z429" s="847"/>
      <c r="AA429" s="847"/>
      <c r="AB429" s="847"/>
      <c r="AC429" s="847"/>
      <c r="AD429" s="847"/>
      <c r="AE429" s="847"/>
      <c r="AF429" s="847"/>
      <c r="AG429" s="847"/>
      <c r="AH429" s="847"/>
      <c r="AI429" s="847"/>
      <c r="AJ429" s="847"/>
      <c r="AK429" s="847"/>
      <c r="AL429" s="847"/>
      <c r="AM429" s="847"/>
      <c r="AN429" s="847"/>
      <c r="AO429" s="847"/>
      <c r="AP429" s="847"/>
      <c r="AQ429" s="847"/>
      <c r="AR429" s="847"/>
      <c r="AS429" s="847"/>
      <c r="AT429" s="847"/>
      <c r="AU429" s="847"/>
      <c r="AV429" s="847"/>
      <c r="AW429" s="847"/>
      <c r="AX429" s="847"/>
      <c r="AY429" s="847"/>
      <c r="AZ429" s="847"/>
      <c r="BA429" s="847"/>
      <c r="BB429" s="847"/>
      <c r="BC429" s="847"/>
      <c r="BD429" s="847"/>
      <c r="BE429" s="847"/>
      <c r="BF429" s="847"/>
      <c r="BG429" s="847"/>
      <c r="BH429" s="847"/>
      <c r="BI429" s="847"/>
      <c r="BJ429" s="847"/>
      <c r="BK429" s="847"/>
      <c r="BL429" s="847"/>
      <c r="BM429" s="847"/>
      <c r="BN429" s="847"/>
      <c r="BO429" s="847"/>
      <c r="BP429" s="847"/>
      <c r="BQ429" s="847"/>
      <c r="BR429" s="847"/>
      <c r="BS429" s="847"/>
      <c r="BT429" s="847"/>
      <c r="BU429" s="847"/>
      <c r="BV429" s="847"/>
      <c r="BW429" s="847"/>
      <c r="BX429" s="847"/>
      <c r="BY429" s="847"/>
      <c r="BZ429" s="847"/>
      <c r="CA429" s="847"/>
      <c r="CB429" s="847"/>
      <c r="CC429" s="847"/>
      <c r="CD429" s="847"/>
      <c r="CE429" s="847"/>
      <c r="CF429" s="847"/>
      <c r="CG429" s="847"/>
      <c r="CH429" s="847"/>
      <c r="CI429" s="847"/>
      <c r="CJ429" s="847"/>
      <c r="CK429" s="847"/>
      <c r="CL429" s="847"/>
      <c r="CM429" s="847"/>
      <c r="CN429" s="847"/>
      <c r="CO429" s="847"/>
      <c r="CP429" s="847"/>
      <c r="CQ429" s="847"/>
      <c r="CR429" s="847"/>
      <c r="CS429" s="847"/>
      <c r="CT429" s="847"/>
      <c r="CU429" s="847"/>
      <c r="CV429" s="847"/>
      <c r="CW429" s="847"/>
      <c r="CX429" s="847"/>
      <c r="CY429" s="847"/>
      <c r="CZ429" s="847"/>
      <c r="DA429" s="847"/>
      <c r="DB429" s="847"/>
      <c r="DC429" s="847"/>
      <c r="DD429" s="847"/>
      <c r="DE429" s="847"/>
      <c r="DF429" s="847"/>
      <c r="DG429" s="847"/>
      <c r="DH429" s="847"/>
      <c r="DI429" s="847"/>
      <c r="DJ429" s="847"/>
      <c r="DK429" s="847"/>
      <c r="DL429" s="847"/>
      <c r="DM429" s="1212"/>
      <c r="DN429" s="1222" t="e">
        <f>'Lead &amp; ANALYSIS'!#REF!/100</f>
        <v>#REF!</v>
      </c>
      <c r="DO429" s="1013" t="e">
        <f t="shared" si="20"/>
        <v>#REF!</v>
      </c>
      <c r="DP429" s="847"/>
      <c r="DQ429" s="1013"/>
      <c r="DR429" s="1225"/>
      <c r="DS429" s="1013"/>
      <c r="DT429" s="1225"/>
      <c r="DU429" s="1214"/>
      <c r="DV429" s="1242"/>
      <c r="DW429" s="1232"/>
      <c r="DX429" s="1222"/>
      <c r="DY429" s="847"/>
      <c r="DZ429" s="847"/>
      <c r="EA429" s="847"/>
      <c r="EB429" s="847"/>
      <c r="EC429" s="847"/>
      <c r="ED429" s="847"/>
      <c r="EE429" s="847"/>
      <c r="EF429" s="847"/>
      <c r="EG429" s="1212"/>
      <c r="EH429" s="847"/>
      <c r="EI429" s="1212"/>
    </row>
    <row r="430" spans="1:139" s="733" customFormat="1" ht="13.5">
      <c r="A430" s="1009" t="s">
        <v>461</v>
      </c>
      <c r="B430" s="1212" t="s">
        <v>1461</v>
      </c>
      <c r="C430" s="1213">
        <v>0</v>
      </c>
      <c r="D430" s="1013" t="s">
        <v>49</v>
      </c>
      <c r="E430" s="847"/>
      <c r="F430" s="1013"/>
      <c r="G430" s="847"/>
      <c r="H430" s="1013"/>
      <c r="I430" s="847"/>
      <c r="J430" s="1013"/>
      <c r="K430" s="847"/>
      <c r="L430" s="1013"/>
      <c r="M430" s="847"/>
      <c r="N430" s="1013"/>
      <c r="O430" s="847"/>
      <c r="P430" s="1013"/>
      <c r="Q430" s="847"/>
      <c r="R430" s="847"/>
      <c r="S430" s="847"/>
      <c r="T430" s="847"/>
      <c r="U430" s="847"/>
      <c r="V430" s="847"/>
      <c r="W430" s="847"/>
      <c r="X430" s="847"/>
      <c r="Y430" s="847"/>
      <c r="Z430" s="847"/>
      <c r="AA430" s="847"/>
      <c r="AB430" s="847"/>
      <c r="AC430" s="847"/>
      <c r="AD430" s="847"/>
      <c r="AE430" s="847"/>
      <c r="AF430" s="847"/>
      <c r="AG430" s="847"/>
      <c r="AH430" s="847"/>
      <c r="AI430" s="847"/>
      <c r="AJ430" s="847"/>
      <c r="AK430" s="847"/>
      <c r="AL430" s="847"/>
      <c r="AM430" s="847"/>
      <c r="AN430" s="847"/>
      <c r="AO430" s="847"/>
      <c r="AP430" s="847"/>
      <c r="AQ430" s="847"/>
      <c r="AR430" s="847"/>
      <c r="AS430" s="847"/>
      <c r="AT430" s="847"/>
      <c r="AU430" s="847"/>
      <c r="AV430" s="847"/>
      <c r="AW430" s="847"/>
      <c r="AX430" s="847"/>
      <c r="AY430" s="847"/>
      <c r="AZ430" s="847"/>
      <c r="BA430" s="847"/>
      <c r="BB430" s="847"/>
      <c r="BC430" s="847"/>
      <c r="BD430" s="847"/>
      <c r="BE430" s="847"/>
      <c r="BF430" s="847"/>
      <c r="BG430" s="847"/>
      <c r="BH430" s="847"/>
      <c r="BI430" s="847"/>
      <c r="BJ430" s="847"/>
      <c r="BK430" s="847"/>
      <c r="BL430" s="847"/>
      <c r="BM430" s="847"/>
      <c r="BN430" s="847"/>
      <c r="BO430" s="847"/>
      <c r="BP430" s="847"/>
      <c r="BQ430" s="847"/>
      <c r="BR430" s="847"/>
      <c r="BS430" s="847"/>
      <c r="BT430" s="847"/>
      <c r="BU430" s="847"/>
      <c r="BV430" s="847"/>
      <c r="BW430" s="847"/>
      <c r="BX430" s="847"/>
      <c r="BY430" s="847"/>
      <c r="BZ430" s="847"/>
      <c r="CA430" s="847"/>
      <c r="CB430" s="847"/>
      <c r="CC430" s="847"/>
      <c r="CD430" s="847"/>
      <c r="CE430" s="847"/>
      <c r="CF430" s="847"/>
      <c r="CG430" s="847"/>
      <c r="CH430" s="847"/>
      <c r="CI430" s="847"/>
      <c r="CJ430" s="847"/>
      <c r="CK430" s="847"/>
      <c r="CL430" s="847"/>
      <c r="CM430" s="847"/>
      <c r="CN430" s="847"/>
      <c r="CO430" s="847"/>
      <c r="CP430" s="847"/>
      <c r="CQ430" s="847"/>
      <c r="CR430" s="847"/>
      <c r="CS430" s="847"/>
      <c r="CT430" s="847"/>
      <c r="CU430" s="847"/>
      <c r="CV430" s="847"/>
      <c r="CW430" s="847"/>
      <c r="CX430" s="847"/>
      <c r="CY430" s="847"/>
      <c r="CZ430" s="847"/>
      <c r="DA430" s="847"/>
      <c r="DB430" s="847"/>
      <c r="DC430" s="847"/>
      <c r="DD430" s="847"/>
      <c r="DE430" s="847"/>
      <c r="DF430" s="847"/>
      <c r="DG430" s="847"/>
      <c r="DH430" s="847"/>
      <c r="DI430" s="847"/>
      <c r="DJ430" s="847"/>
      <c r="DK430" s="847"/>
      <c r="DL430" s="847"/>
      <c r="DM430" s="1212"/>
      <c r="DN430" s="1222" t="e">
        <f>'Lead &amp; ANALYSIS'!#REF!/100</f>
        <v>#REF!</v>
      </c>
      <c r="DO430" s="1013" t="e">
        <f t="shared" si="20"/>
        <v>#REF!</v>
      </c>
      <c r="DP430" s="847"/>
      <c r="DQ430" s="1013"/>
      <c r="DR430" s="1225"/>
      <c r="DS430" s="1013"/>
      <c r="DT430" s="1225"/>
      <c r="DU430" s="1214"/>
      <c r="DV430" s="1242"/>
      <c r="DW430" s="1232"/>
      <c r="DX430" s="1222"/>
      <c r="DY430" s="847"/>
      <c r="DZ430" s="847"/>
      <c r="EA430" s="847"/>
      <c r="EB430" s="847"/>
      <c r="EC430" s="847"/>
      <c r="ED430" s="847"/>
      <c r="EE430" s="847"/>
      <c r="EF430" s="847"/>
      <c r="EG430" s="1212"/>
      <c r="EH430" s="847"/>
      <c r="EI430" s="1212"/>
    </row>
    <row r="431" spans="1:139" s="733" customFormat="1" ht="13.5">
      <c r="A431" s="1009" t="s">
        <v>462</v>
      </c>
      <c r="B431" s="1212" t="s">
        <v>1462</v>
      </c>
      <c r="C431" s="1213">
        <v>0</v>
      </c>
      <c r="D431" s="1013" t="s">
        <v>49</v>
      </c>
      <c r="E431" s="847"/>
      <c r="F431" s="1013"/>
      <c r="G431" s="847"/>
      <c r="H431" s="1013"/>
      <c r="I431" s="847"/>
      <c r="J431" s="1013"/>
      <c r="K431" s="847"/>
      <c r="L431" s="1013"/>
      <c r="M431" s="847"/>
      <c r="N431" s="1013"/>
      <c r="O431" s="847"/>
      <c r="P431" s="1013"/>
      <c r="Q431" s="847"/>
      <c r="R431" s="847"/>
      <c r="S431" s="847"/>
      <c r="T431" s="847"/>
      <c r="U431" s="847"/>
      <c r="V431" s="847"/>
      <c r="W431" s="847"/>
      <c r="X431" s="847"/>
      <c r="Y431" s="847"/>
      <c r="Z431" s="847"/>
      <c r="AA431" s="847"/>
      <c r="AB431" s="847"/>
      <c r="AC431" s="847"/>
      <c r="AD431" s="847"/>
      <c r="AE431" s="847"/>
      <c r="AF431" s="847"/>
      <c r="AG431" s="847"/>
      <c r="AH431" s="847"/>
      <c r="AI431" s="847"/>
      <c r="AJ431" s="847"/>
      <c r="AK431" s="847"/>
      <c r="AL431" s="847"/>
      <c r="AM431" s="847"/>
      <c r="AN431" s="847"/>
      <c r="AO431" s="847"/>
      <c r="AP431" s="847"/>
      <c r="AQ431" s="847"/>
      <c r="AR431" s="847"/>
      <c r="AS431" s="847"/>
      <c r="AT431" s="847"/>
      <c r="AU431" s="847"/>
      <c r="AV431" s="847"/>
      <c r="AW431" s="847"/>
      <c r="AX431" s="847"/>
      <c r="AY431" s="847"/>
      <c r="AZ431" s="847"/>
      <c r="BA431" s="847"/>
      <c r="BB431" s="847"/>
      <c r="BC431" s="847"/>
      <c r="BD431" s="847"/>
      <c r="BE431" s="847"/>
      <c r="BF431" s="847"/>
      <c r="BG431" s="847"/>
      <c r="BH431" s="847"/>
      <c r="BI431" s="847"/>
      <c r="BJ431" s="847"/>
      <c r="BK431" s="847"/>
      <c r="BL431" s="847"/>
      <c r="BM431" s="847"/>
      <c r="BN431" s="847"/>
      <c r="BO431" s="847"/>
      <c r="BP431" s="847"/>
      <c r="BQ431" s="847"/>
      <c r="BR431" s="847"/>
      <c r="BS431" s="847"/>
      <c r="BT431" s="847"/>
      <c r="BU431" s="847"/>
      <c r="BV431" s="847"/>
      <c r="BW431" s="847"/>
      <c r="BX431" s="847"/>
      <c r="BY431" s="847"/>
      <c r="BZ431" s="847"/>
      <c r="CA431" s="847"/>
      <c r="CB431" s="847"/>
      <c r="CC431" s="847"/>
      <c r="CD431" s="847"/>
      <c r="CE431" s="847"/>
      <c r="CF431" s="847"/>
      <c r="CG431" s="847"/>
      <c r="CH431" s="847"/>
      <c r="CI431" s="847"/>
      <c r="CJ431" s="847"/>
      <c r="CK431" s="847"/>
      <c r="CL431" s="847"/>
      <c r="CM431" s="847"/>
      <c r="CN431" s="847"/>
      <c r="CO431" s="847"/>
      <c r="CP431" s="847"/>
      <c r="CQ431" s="847"/>
      <c r="CR431" s="847"/>
      <c r="CS431" s="847"/>
      <c r="CT431" s="847"/>
      <c r="CU431" s="847"/>
      <c r="CV431" s="847"/>
      <c r="CW431" s="847"/>
      <c r="CX431" s="847"/>
      <c r="CY431" s="847"/>
      <c r="CZ431" s="847"/>
      <c r="DA431" s="847"/>
      <c r="DB431" s="847"/>
      <c r="DC431" s="847"/>
      <c r="DD431" s="847"/>
      <c r="DE431" s="847"/>
      <c r="DF431" s="847"/>
      <c r="DG431" s="847"/>
      <c r="DH431" s="847"/>
      <c r="DI431" s="847"/>
      <c r="DJ431" s="847"/>
      <c r="DK431" s="847"/>
      <c r="DL431" s="847"/>
      <c r="DM431" s="1212"/>
      <c r="DN431" s="1222" t="e">
        <f>'Lead &amp; ANALYSIS'!#REF!/100</f>
        <v>#REF!</v>
      </c>
      <c r="DO431" s="1013" t="e">
        <f t="shared" si="20"/>
        <v>#REF!</v>
      </c>
      <c r="DP431" s="847"/>
      <c r="DQ431" s="1013"/>
      <c r="DR431" s="1225"/>
      <c r="DS431" s="1013"/>
      <c r="DT431" s="1225"/>
      <c r="DU431" s="1214"/>
      <c r="DV431" s="1242"/>
      <c r="DW431" s="1232"/>
      <c r="DX431" s="1222"/>
      <c r="DY431" s="847"/>
      <c r="DZ431" s="847"/>
      <c r="EA431" s="847"/>
      <c r="EB431" s="847"/>
      <c r="EC431" s="847"/>
      <c r="ED431" s="847"/>
      <c r="EE431" s="847"/>
      <c r="EF431" s="847"/>
      <c r="EG431" s="1212"/>
      <c r="EH431" s="847"/>
      <c r="EI431" s="1212"/>
    </row>
    <row r="432" spans="1:139" s="733" customFormat="1" ht="13.5">
      <c r="A432" s="1009">
        <v>165</v>
      </c>
      <c r="B432" s="1212" t="s">
        <v>3133</v>
      </c>
      <c r="C432" s="1213">
        <v>0</v>
      </c>
      <c r="D432" s="1013" t="s">
        <v>49</v>
      </c>
      <c r="E432" s="847"/>
      <c r="F432" s="1013"/>
      <c r="G432" s="847"/>
      <c r="H432" s="1013"/>
      <c r="I432" s="847"/>
      <c r="J432" s="1013"/>
      <c r="K432" s="847"/>
      <c r="L432" s="1013"/>
      <c r="M432" s="847"/>
      <c r="N432" s="1013"/>
      <c r="O432" s="847"/>
      <c r="P432" s="1013"/>
      <c r="Q432" s="847"/>
      <c r="R432" s="847"/>
      <c r="S432" s="847"/>
      <c r="T432" s="847"/>
      <c r="U432" s="847"/>
      <c r="V432" s="847"/>
      <c r="W432" s="847"/>
      <c r="X432" s="847"/>
      <c r="Y432" s="847"/>
      <c r="Z432" s="847"/>
      <c r="AA432" s="847"/>
      <c r="AB432" s="847"/>
      <c r="AC432" s="847"/>
      <c r="AD432" s="847"/>
      <c r="AE432" s="847"/>
      <c r="AF432" s="847"/>
      <c r="AG432" s="847"/>
      <c r="AH432" s="847"/>
      <c r="AI432" s="847"/>
      <c r="AJ432" s="847"/>
      <c r="AK432" s="847"/>
      <c r="AL432" s="847"/>
      <c r="AM432" s="847"/>
      <c r="AN432" s="847"/>
      <c r="AO432" s="847"/>
      <c r="AP432" s="847"/>
      <c r="AQ432" s="847"/>
      <c r="AR432" s="847"/>
      <c r="AS432" s="847"/>
      <c r="AT432" s="847"/>
      <c r="AU432" s="847"/>
      <c r="AV432" s="847"/>
      <c r="AW432" s="847"/>
      <c r="AX432" s="847"/>
      <c r="AY432" s="847"/>
      <c r="AZ432" s="847"/>
      <c r="BA432" s="847"/>
      <c r="BB432" s="847"/>
      <c r="BC432" s="847"/>
      <c r="BD432" s="847"/>
      <c r="BE432" s="847"/>
      <c r="BF432" s="847"/>
      <c r="BG432" s="847"/>
      <c r="BH432" s="847"/>
      <c r="BI432" s="847"/>
      <c r="BJ432" s="847"/>
      <c r="BK432" s="847"/>
      <c r="BL432" s="847"/>
      <c r="BM432" s="847"/>
      <c r="BN432" s="847"/>
      <c r="BO432" s="847"/>
      <c r="BP432" s="847"/>
      <c r="BQ432" s="847"/>
      <c r="BR432" s="847"/>
      <c r="BS432" s="847"/>
      <c r="BT432" s="847"/>
      <c r="BU432" s="847"/>
      <c r="BV432" s="847"/>
      <c r="BW432" s="847"/>
      <c r="BX432" s="847"/>
      <c r="BY432" s="847"/>
      <c r="BZ432" s="847"/>
      <c r="CA432" s="847"/>
      <c r="CB432" s="847"/>
      <c r="CC432" s="847"/>
      <c r="CD432" s="847"/>
      <c r="CE432" s="847"/>
      <c r="CF432" s="847"/>
      <c r="CG432" s="847"/>
      <c r="CH432" s="847"/>
      <c r="CI432" s="847"/>
      <c r="CJ432" s="847"/>
      <c r="CK432" s="847"/>
      <c r="CL432" s="847"/>
      <c r="CM432" s="847"/>
      <c r="CN432" s="847"/>
      <c r="CO432" s="847"/>
      <c r="CP432" s="847"/>
      <c r="CQ432" s="847"/>
      <c r="CR432" s="847"/>
      <c r="CS432" s="847"/>
      <c r="CT432" s="847"/>
      <c r="CU432" s="847"/>
      <c r="CV432" s="847"/>
      <c r="CW432" s="847"/>
      <c r="CX432" s="847"/>
      <c r="CY432" s="847"/>
      <c r="CZ432" s="847"/>
      <c r="DA432" s="847"/>
      <c r="DB432" s="847"/>
      <c r="DC432" s="847"/>
      <c r="DD432" s="847"/>
      <c r="DE432" s="847"/>
      <c r="DF432" s="847"/>
      <c r="DG432" s="847"/>
      <c r="DH432" s="847"/>
      <c r="DI432" s="847"/>
      <c r="DJ432" s="847"/>
      <c r="DK432" s="847"/>
      <c r="DL432" s="847"/>
      <c r="DM432" s="1212"/>
      <c r="DN432" s="1222" t="e">
        <f>'Lead &amp; ANALYSIS'!#REF!/100+('Lead &amp; ANALYSIS'!#REF!*2%/100)</f>
        <v>#REF!</v>
      </c>
      <c r="DO432" s="1013" t="e">
        <f t="shared" si="20"/>
        <v>#REF!</v>
      </c>
      <c r="DP432" s="847"/>
      <c r="DQ432" s="1013"/>
      <c r="DR432" s="1225"/>
      <c r="DS432" s="1013"/>
      <c r="DT432" s="1225"/>
      <c r="DU432" s="1214"/>
      <c r="DV432" s="1242"/>
      <c r="DW432" s="1232"/>
      <c r="DX432" s="1222"/>
      <c r="DY432" s="847"/>
      <c r="DZ432" s="847"/>
      <c r="EA432" s="847"/>
      <c r="EB432" s="847"/>
      <c r="EC432" s="847"/>
      <c r="ED432" s="847"/>
      <c r="EE432" s="847"/>
      <c r="EF432" s="847"/>
      <c r="EG432" s="1212"/>
      <c r="EH432" s="847"/>
      <c r="EI432" s="1212"/>
    </row>
    <row r="433" spans="1:139" s="733" customFormat="1" ht="13.5">
      <c r="A433" s="1009">
        <v>166</v>
      </c>
      <c r="B433" s="1212" t="s">
        <v>631</v>
      </c>
      <c r="C433" s="1213">
        <v>0</v>
      </c>
      <c r="D433" s="1013" t="s">
        <v>49</v>
      </c>
      <c r="E433" s="847"/>
      <c r="F433" s="1013"/>
      <c r="G433" s="847"/>
      <c r="H433" s="1013"/>
      <c r="I433" s="847"/>
      <c r="J433" s="1013"/>
      <c r="K433" s="847"/>
      <c r="L433" s="1013"/>
      <c r="M433" s="847"/>
      <c r="N433" s="1013"/>
      <c r="O433" s="847"/>
      <c r="P433" s="1013"/>
      <c r="Q433" s="847"/>
      <c r="R433" s="847"/>
      <c r="S433" s="847"/>
      <c r="T433" s="847"/>
      <c r="U433" s="847"/>
      <c r="V433" s="847"/>
      <c r="W433" s="847"/>
      <c r="X433" s="847"/>
      <c r="Y433" s="847"/>
      <c r="Z433" s="847"/>
      <c r="AA433" s="847"/>
      <c r="AB433" s="847"/>
      <c r="AC433" s="847"/>
      <c r="AD433" s="847"/>
      <c r="AE433" s="847"/>
      <c r="AF433" s="847"/>
      <c r="AG433" s="847"/>
      <c r="AH433" s="847"/>
      <c r="AI433" s="847"/>
      <c r="AJ433" s="847"/>
      <c r="AK433" s="847"/>
      <c r="AL433" s="847"/>
      <c r="AM433" s="847"/>
      <c r="AN433" s="847"/>
      <c r="AO433" s="847"/>
      <c r="AP433" s="847"/>
      <c r="AQ433" s="847"/>
      <c r="AR433" s="847"/>
      <c r="AS433" s="847"/>
      <c r="AT433" s="847"/>
      <c r="AU433" s="847"/>
      <c r="AV433" s="847"/>
      <c r="AW433" s="847"/>
      <c r="AX433" s="847"/>
      <c r="AY433" s="847"/>
      <c r="AZ433" s="847"/>
      <c r="BA433" s="847"/>
      <c r="BB433" s="847"/>
      <c r="BC433" s="847"/>
      <c r="BD433" s="847"/>
      <c r="BE433" s="847"/>
      <c r="BF433" s="847"/>
      <c r="BG433" s="847"/>
      <c r="BH433" s="847"/>
      <c r="BI433" s="847"/>
      <c r="BJ433" s="847"/>
      <c r="BK433" s="847"/>
      <c r="BL433" s="847"/>
      <c r="BM433" s="847"/>
      <c r="BN433" s="847"/>
      <c r="BO433" s="847"/>
      <c r="BP433" s="847"/>
      <c r="BQ433" s="847"/>
      <c r="BR433" s="847"/>
      <c r="BS433" s="847"/>
      <c r="BT433" s="847"/>
      <c r="BU433" s="847"/>
      <c r="BV433" s="847"/>
      <c r="BW433" s="847"/>
      <c r="BX433" s="847"/>
      <c r="BY433" s="847"/>
      <c r="BZ433" s="847"/>
      <c r="CA433" s="847"/>
      <c r="CB433" s="847"/>
      <c r="CC433" s="847"/>
      <c r="CD433" s="847"/>
      <c r="CE433" s="847"/>
      <c r="CF433" s="847"/>
      <c r="CG433" s="847"/>
      <c r="CH433" s="847"/>
      <c r="CI433" s="847"/>
      <c r="CJ433" s="847"/>
      <c r="CK433" s="847"/>
      <c r="CL433" s="847"/>
      <c r="CM433" s="847"/>
      <c r="CN433" s="847"/>
      <c r="CO433" s="847"/>
      <c r="CP433" s="847"/>
      <c r="CQ433" s="847"/>
      <c r="CR433" s="847"/>
      <c r="CS433" s="847"/>
      <c r="CT433" s="847"/>
      <c r="CU433" s="847"/>
      <c r="CV433" s="847"/>
      <c r="CW433" s="847"/>
      <c r="CX433" s="847"/>
      <c r="CY433" s="847"/>
      <c r="CZ433" s="847"/>
      <c r="DA433" s="847"/>
      <c r="DB433" s="847"/>
      <c r="DC433" s="847"/>
      <c r="DD433" s="847"/>
      <c r="DE433" s="847"/>
      <c r="DF433" s="847"/>
      <c r="DG433" s="847"/>
      <c r="DH433" s="847"/>
      <c r="DI433" s="847"/>
      <c r="DJ433" s="847"/>
      <c r="DK433" s="847"/>
      <c r="DL433" s="847"/>
      <c r="DM433" s="1212"/>
      <c r="DN433" s="1242" t="e">
        <f>'Lead &amp; ANALYSIS'!#REF!</f>
        <v>#REF!</v>
      </c>
      <c r="DO433" s="1013" t="e">
        <f t="shared" si="20"/>
        <v>#REF!</v>
      </c>
      <c r="DP433" s="1013" t="e">
        <f>'Lead &amp; ANALYSIS'!#REF!</f>
        <v>#REF!</v>
      </c>
      <c r="DQ433" s="1013" t="e">
        <f>ROUND(C433*DP433,2)</f>
        <v>#REF!</v>
      </c>
      <c r="DR433" s="1225"/>
      <c r="DS433" s="1013"/>
      <c r="DT433" s="1225"/>
      <c r="DU433" s="1214"/>
      <c r="DV433" s="1242"/>
      <c r="DW433" s="1232"/>
      <c r="DX433" s="1222"/>
      <c r="DY433" s="847"/>
      <c r="DZ433" s="847"/>
      <c r="EA433" s="847"/>
      <c r="EB433" s="847"/>
      <c r="EC433" s="847"/>
      <c r="ED433" s="847"/>
      <c r="EE433" s="847"/>
      <c r="EF433" s="847"/>
      <c r="EG433" s="1212"/>
      <c r="EH433" s="847"/>
      <c r="EI433" s="1212"/>
    </row>
    <row r="434" spans="1:139" s="733" customFormat="1" ht="13.5">
      <c r="A434" s="1009">
        <v>167</v>
      </c>
      <c r="B434" s="1212" t="s">
        <v>632</v>
      </c>
      <c r="C434" s="1213">
        <v>0</v>
      </c>
      <c r="D434" s="1013" t="s">
        <v>49</v>
      </c>
      <c r="E434" s="847"/>
      <c r="F434" s="1013"/>
      <c r="G434" s="847"/>
      <c r="H434" s="1013"/>
      <c r="I434" s="847"/>
      <c r="J434" s="1013"/>
      <c r="K434" s="847"/>
      <c r="L434" s="1013"/>
      <c r="M434" s="847"/>
      <c r="N434" s="1013"/>
      <c r="O434" s="847"/>
      <c r="P434" s="1013"/>
      <c r="Q434" s="847"/>
      <c r="R434" s="847"/>
      <c r="S434" s="847"/>
      <c r="T434" s="847"/>
      <c r="U434" s="847"/>
      <c r="V434" s="847"/>
      <c r="W434" s="847"/>
      <c r="X434" s="847"/>
      <c r="Y434" s="847"/>
      <c r="Z434" s="847"/>
      <c r="AA434" s="847"/>
      <c r="AB434" s="847"/>
      <c r="AC434" s="847"/>
      <c r="AD434" s="847"/>
      <c r="AE434" s="847"/>
      <c r="AF434" s="847"/>
      <c r="AG434" s="847"/>
      <c r="AH434" s="847"/>
      <c r="AI434" s="847"/>
      <c r="AJ434" s="847"/>
      <c r="AK434" s="847"/>
      <c r="AL434" s="847"/>
      <c r="AM434" s="847"/>
      <c r="AN434" s="847"/>
      <c r="AO434" s="847"/>
      <c r="AP434" s="847"/>
      <c r="AQ434" s="847"/>
      <c r="AR434" s="847"/>
      <c r="AS434" s="847"/>
      <c r="AT434" s="847"/>
      <c r="AU434" s="847"/>
      <c r="AV434" s="847"/>
      <c r="AW434" s="847"/>
      <c r="AX434" s="847"/>
      <c r="AY434" s="847"/>
      <c r="AZ434" s="847"/>
      <c r="BA434" s="847"/>
      <c r="BB434" s="847"/>
      <c r="BC434" s="847"/>
      <c r="BD434" s="847"/>
      <c r="BE434" s="847"/>
      <c r="BF434" s="847"/>
      <c r="BG434" s="847"/>
      <c r="BH434" s="847"/>
      <c r="BI434" s="847"/>
      <c r="BJ434" s="847"/>
      <c r="BK434" s="847"/>
      <c r="BL434" s="847"/>
      <c r="BM434" s="847"/>
      <c r="BN434" s="847"/>
      <c r="BO434" s="847"/>
      <c r="BP434" s="847"/>
      <c r="BQ434" s="847"/>
      <c r="BR434" s="847"/>
      <c r="BS434" s="847"/>
      <c r="BT434" s="847"/>
      <c r="BU434" s="847"/>
      <c r="BV434" s="847"/>
      <c r="BW434" s="847"/>
      <c r="BX434" s="847"/>
      <c r="BY434" s="847"/>
      <c r="BZ434" s="847"/>
      <c r="CA434" s="847"/>
      <c r="CB434" s="847"/>
      <c r="CC434" s="847"/>
      <c r="CD434" s="847"/>
      <c r="CE434" s="847"/>
      <c r="CF434" s="847"/>
      <c r="CG434" s="847"/>
      <c r="CH434" s="847"/>
      <c r="CI434" s="847"/>
      <c r="CJ434" s="847"/>
      <c r="CK434" s="847"/>
      <c r="CL434" s="847"/>
      <c r="CM434" s="847"/>
      <c r="CN434" s="847"/>
      <c r="CO434" s="847"/>
      <c r="CP434" s="847"/>
      <c r="CQ434" s="847"/>
      <c r="CR434" s="847"/>
      <c r="CS434" s="847"/>
      <c r="CT434" s="847"/>
      <c r="CU434" s="847"/>
      <c r="CV434" s="847"/>
      <c r="CW434" s="847"/>
      <c r="CX434" s="847"/>
      <c r="CY434" s="847"/>
      <c r="CZ434" s="847"/>
      <c r="DA434" s="847"/>
      <c r="DB434" s="847"/>
      <c r="DC434" s="847"/>
      <c r="DD434" s="847"/>
      <c r="DE434" s="847"/>
      <c r="DF434" s="847"/>
      <c r="DG434" s="847"/>
      <c r="DH434" s="847"/>
      <c r="DI434" s="847"/>
      <c r="DJ434" s="847"/>
      <c r="DK434" s="847"/>
      <c r="DL434" s="847"/>
      <c r="DM434" s="1212"/>
      <c r="DN434" s="1242" t="e">
        <f>DN433</f>
        <v>#REF!</v>
      </c>
      <c r="DO434" s="1013" t="e">
        <f t="shared" si="20"/>
        <v>#REF!</v>
      </c>
      <c r="DP434" s="1013" t="e">
        <f>DP433</f>
        <v>#REF!</v>
      </c>
      <c r="DQ434" s="1013" t="e">
        <f>ROUND(C434*DP434,2)</f>
        <v>#REF!</v>
      </c>
      <c r="DR434" s="1225"/>
      <c r="DS434" s="1013"/>
      <c r="DT434" s="1225"/>
      <c r="DU434" s="1214"/>
      <c r="DV434" s="1242"/>
      <c r="DW434" s="1232"/>
      <c r="DX434" s="1222"/>
      <c r="DY434" s="847"/>
      <c r="DZ434" s="847"/>
      <c r="EA434" s="847"/>
      <c r="EB434" s="847"/>
      <c r="EC434" s="847"/>
      <c r="ED434" s="847"/>
      <c r="EE434" s="847"/>
      <c r="EF434" s="847"/>
      <c r="EG434" s="1212"/>
      <c r="EH434" s="847"/>
      <c r="EI434" s="1212"/>
    </row>
    <row r="435" spans="1:139" s="733" customFormat="1" ht="13.5">
      <c r="A435" s="1009">
        <v>168</v>
      </c>
      <c r="B435" s="1212" t="s">
        <v>631</v>
      </c>
      <c r="C435" s="1213">
        <v>0</v>
      </c>
      <c r="D435" s="1013" t="s">
        <v>49</v>
      </c>
      <c r="E435" s="847"/>
      <c r="F435" s="1013"/>
      <c r="G435" s="847"/>
      <c r="H435" s="1013"/>
      <c r="I435" s="847"/>
      <c r="J435" s="1013"/>
      <c r="K435" s="847"/>
      <c r="L435" s="1013"/>
      <c r="M435" s="847"/>
      <c r="N435" s="1013"/>
      <c r="O435" s="847"/>
      <c r="P435" s="1013"/>
      <c r="Q435" s="847"/>
      <c r="R435" s="847"/>
      <c r="S435" s="847"/>
      <c r="T435" s="847"/>
      <c r="U435" s="847"/>
      <c r="V435" s="847"/>
      <c r="W435" s="847"/>
      <c r="X435" s="847"/>
      <c r="Y435" s="847"/>
      <c r="Z435" s="847"/>
      <c r="AA435" s="847"/>
      <c r="AB435" s="847"/>
      <c r="AC435" s="847"/>
      <c r="AD435" s="847"/>
      <c r="AE435" s="847"/>
      <c r="AF435" s="847"/>
      <c r="AG435" s="847"/>
      <c r="AH435" s="847"/>
      <c r="AI435" s="847"/>
      <c r="AJ435" s="847"/>
      <c r="AK435" s="847"/>
      <c r="AL435" s="847"/>
      <c r="AM435" s="847"/>
      <c r="AN435" s="847"/>
      <c r="AO435" s="847"/>
      <c r="AP435" s="847"/>
      <c r="AQ435" s="847"/>
      <c r="AR435" s="847"/>
      <c r="AS435" s="847"/>
      <c r="AT435" s="847"/>
      <c r="AU435" s="847"/>
      <c r="AV435" s="847"/>
      <c r="AW435" s="847"/>
      <c r="AX435" s="847"/>
      <c r="AY435" s="847"/>
      <c r="AZ435" s="847"/>
      <c r="BA435" s="847"/>
      <c r="BB435" s="847"/>
      <c r="BC435" s="847"/>
      <c r="BD435" s="847"/>
      <c r="BE435" s="847"/>
      <c r="BF435" s="847"/>
      <c r="BG435" s="847"/>
      <c r="BH435" s="847"/>
      <c r="BI435" s="847"/>
      <c r="BJ435" s="847"/>
      <c r="BK435" s="847"/>
      <c r="BL435" s="847"/>
      <c r="BM435" s="847"/>
      <c r="BN435" s="847"/>
      <c r="BO435" s="847"/>
      <c r="BP435" s="847"/>
      <c r="BQ435" s="847"/>
      <c r="BR435" s="847"/>
      <c r="BS435" s="847"/>
      <c r="BT435" s="847"/>
      <c r="BU435" s="847"/>
      <c r="BV435" s="847"/>
      <c r="BW435" s="847"/>
      <c r="BX435" s="847"/>
      <c r="BY435" s="847"/>
      <c r="BZ435" s="847"/>
      <c r="CA435" s="847"/>
      <c r="CB435" s="847"/>
      <c r="CC435" s="847"/>
      <c r="CD435" s="847"/>
      <c r="CE435" s="847"/>
      <c r="CF435" s="847"/>
      <c r="CG435" s="847"/>
      <c r="CH435" s="847"/>
      <c r="CI435" s="847"/>
      <c r="CJ435" s="847"/>
      <c r="CK435" s="847"/>
      <c r="CL435" s="847"/>
      <c r="CM435" s="847"/>
      <c r="CN435" s="847"/>
      <c r="CO435" s="847"/>
      <c r="CP435" s="847"/>
      <c r="CQ435" s="847"/>
      <c r="CR435" s="847"/>
      <c r="CS435" s="847"/>
      <c r="CT435" s="847"/>
      <c r="CU435" s="847"/>
      <c r="CV435" s="847"/>
      <c r="CW435" s="847"/>
      <c r="CX435" s="847"/>
      <c r="CY435" s="847"/>
      <c r="CZ435" s="847"/>
      <c r="DA435" s="847"/>
      <c r="DB435" s="847"/>
      <c r="DC435" s="847"/>
      <c r="DD435" s="847"/>
      <c r="DE435" s="847"/>
      <c r="DF435" s="847"/>
      <c r="DG435" s="847"/>
      <c r="DH435" s="847"/>
      <c r="DI435" s="847"/>
      <c r="DJ435" s="847"/>
      <c r="DK435" s="847"/>
      <c r="DL435" s="847"/>
      <c r="DM435" s="1212"/>
      <c r="DN435" s="1242" t="e">
        <f>'Lead &amp; ANALYSIS'!#REF!</f>
        <v>#REF!</v>
      </c>
      <c r="DO435" s="1013" t="e">
        <f t="shared" si="20"/>
        <v>#REF!</v>
      </c>
      <c r="DP435" s="1013" t="e">
        <f>'Lead &amp; ANALYSIS'!#REF!</f>
        <v>#REF!</v>
      </c>
      <c r="DQ435" s="1013" t="e">
        <f>ROUND(C435*DP435,2)</f>
        <v>#REF!</v>
      </c>
      <c r="DR435" s="1225"/>
      <c r="DS435" s="1013"/>
      <c r="DT435" s="1225"/>
      <c r="DU435" s="1214"/>
      <c r="DV435" s="1242"/>
      <c r="DW435" s="1232"/>
      <c r="DX435" s="1222"/>
      <c r="DY435" s="847"/>
      <c r="DZ435" s="847"/>
      <c r="EA435" s="847"/>
      <c r="EB435" s="847"/>
      <c r="EC435" s="847"/>
      <c r="ED435" s="847"/>
      <c r="EE435" s="847"/>
      <c r="EF435" s="847"/>
      <c r="EG435" s="1212"/>
      <c r="EH435" s="847"/>
      <c r="EI435" s="1212"/>
    </row>
    <row r="436" spans="1:139" s="733" customFormat="1" ht="13.5">
      <c r="A436" s="1009">
        <v>169</v>
      </c>
      <c r="B436" s="1212" t="s">
        <v>632</v>
      </c>
      <c r="C436" s="1213">
        <v>0</v>
      </c>
      <c r="D436" s="1013" t="s">
        <v>49</v>
      </c>
      <c r="E436" s="847"/>
      <c r="F436" s="1013"/>
      <c r="G436" s="847"/>
      <c r="H436" s="1013"/>
      <c r="I436" s="847"/>
      <c r="J436" s="1013"/>
      <c r="K436" s="847"/>
      <c r="L436" s="1013"/>
      <c r="M436" s="847"/>
      <c r="N436" s="1013"/>
      <c r="O436" s="847"/>
      <c r="P436" s="1013"/>
      <c r="Q436" s="847"/>
      <c r="R436" s="847"/>
      <c r="S436" s="847"/>
      <c r="T436" s="847"/>
      <c r="U436" s="847"/>
      <c r="V436" s="847"/>
      <c r="W436" s="847"/>
      <c r="X436" s="847"/>
      <c r="Y436" s="847"/>
      <c r="Z436" s="847"/>
      <c r="AA436" s="847"/>
      <c r="AB436" s="847"/>
      <c r="AC436" s="847"/>
      <c r="AD436" s="847"/>
      <c r="AE436" s="847"/>
      <c r="AF436" s="847"/>
      <c r="AG436" s="847"/>
      <c r="AH436" s="847"/>
      <c r="AI436" s="847"/>
      <c r="AJ436" s="847"/>
      <c r="AK436" s="847"/>
      <c r="AL436" s="847"/>
      <c r="AM436" s="847"/>
      <c r="AN436" s="847"/>
      <c r="AO436" s="847"/>
      <c r="AP436" s="847"/>
      <c r="AQ436" s="847"/>
      <c r="AR436" s="847"/>
      <c r="AS436" s="847"/>
      <c r="AT436" s="847"/>
      <c r="AU436" s="847"/>
      <c r="AV436" s="847"/>
      <c r="AW436" s="847"/>
      <c r="AX436" s="847"/>
      <c r="AY436" s="847"/>
      <c r="AZ436" s="847"/>
      <c r="BA436" s="847"/>
      <c r="BB436" s="847"/>
      <c r="BC436" s="847"/>
      <c r="BD436" s="847"/>
      <c r="BE436" s="847"/>
      <c r="BF436" s="847"/>
      <c r="BG436" s="847"/>
      <c r="BH436" s="847"/>
      <c r="BI436" s="847"/>
      <c r="BJ436" s="847"/>
      <c r="BK436" s="847"/>
      <c r="BL436" s="847"/>
      <c r="BM436" s="847"/>
      <c r="BN436" s="847"/>
      <c r="BO436" s="847"/>
      <c r="BP436" s="847"/>
      <c r="BQ436" s="847"/>
      <c r="BR436" s="847"/>
      <c r="BS436" s="847"/>
      <c r="BT436" s="847"/>
      <c r="BU436" s="847"/>
      <c r="BV436" s="847"/>
      <c r="BW436" s="847"/>
      <c r="BX436" s="847"/>
      <c r="BY436" s="847"/>
      <c r="BZ436" s="847"/>
      <c r="CA436" s="847"/>
      <c r="CB436" s="847"/>
      <c r="CC436" s="847"/>
      <c r="CD436" s="847"/>
      <c r="CE436" s="847"/>
      <c r="CF436" s="847"/>
      <c r="CG436" s="847"/>
      <c r="CH436" s="847"/>
      <c r="CI436" s="847"/>
      <c r="CJ436" s="847"/>
      <c r="CK436" s="847"/>
      <c r="CL436" s="847"/>
      <c r="CM436" s="847"/>
      <c r="CN436" s="847"/>
      <c r="CO436" s="847"/>
      <c r="CP436" s="847"/>
      <c r="CQ436" s="847"/>
      <c r="CR436" s="847"/>
      <c r="CS436" s="847"/>
      <c r="CT436" s="847"/>
      <c r="CU436" s="847"/>
      <c r="CV436" s="847"/>
      <c r="CW436" s="847"/>
      <c r="CX436" s="847"/>
      <c r="CY436" s="847"/>
      <c r="CZ436" s="847"/>
      <c r="DA436" s="847"/>
      <c r="DB436" s="847"/>
      <c r="DC436" s="847"/>
      <c r="DD436" s="847"/>
      <c r="DE436" s="847"/>
      <c r="DF436" s="847"/>
      <c r="DG436" s="847"/>
      <c r="DH436" s="847"/>
      <c r="DI436" s="847"/>
      <c r="DJ436" s="847"/>
      <c r="DK436" s="847"/>
      <c r="DL436" s="847"/>
      <c r="DM436" s="1212"/>
      <c r="DN436" s="1242" t="e">
        <f>DN435</f>
        <v>#REF!</v>
      </c>
      <c r="DO436" s="1013" t="e">
        <f t="shared" si="20"/>
        <v>#REF!</v>
      </c>
      <c r="DP436" s="1013" t="e">
        <f>DP435</f>
        <v>#REF!</v>
      </c>
      <c r="DQ436" s="1013" t="e">
        <f>ROUND(C436*DP436,2)</f>
        <v>#REF!</v>
      </c>
      <c r="DR436" s="1225"/>
      <c r="DS436" s="1013"/>
      <c r="DT436" s="1225"/>
      <c r="DU436" s="1214"/>
      <c r="DV436" s="1242"/>
      <c r="DW436" s="1232"/>
      <c r="DX436" s="1222"/>
      <c r="DY436" s="847"/>
      <c r="DZ436" s="847"/>
      <c r="EA436" s="847"/>
      <c r="EB436" s="847"/>
      <c r="EC436" s="847"/>
      <c r="ED436" s="847"/>
      <c r="EE436" s="847"/>
      <c r="EF436" s="847"/>
      <c r="EG436" s="1212"/>
      <c r="EH436" s="847"/>
      <c r="EI436" s="1212"/>
    </row>
    <row r="437" spans="1:139" s="733" customFormat="1" ht="13.5">
      <c r="A437" s="1009">
        <v>170</v>
      </c>
      <c r="B437" s="1212" t="s">
        <v>633</v>
      </c>
      <c r="C437" s="1213">
        <v>0</v>
      </c>
      <c r="D437" s="1013" t="s">
        <v>49</v>
      </c>
      <c r="E437" s="847"/>
      <c r="F437" s="1013"/>
      <c r="G437" s="847"/>
      <c r="H437" s="1013"/>
      <c r="I437" s="847"/>
      <c r="J437" s="1013"/>
      <c r="K437" s="847"/>
      <c r="L437" s="1013"/>
      <c r="M437" s="847"/>
      <c r="N437" s="1013"/>
      <c r="O437" s="847"/>
      <c r="P437" s="1013"/>
      <c r="Q437" s="847"/>
      <c r="R437" s="847"/>
      <c r="S437" s="847"/>
      <c r="T437" s="847"/>
      <c r="U437" s="847"/>
      <c r="V437" s="847"/>
      <c r="W437" s="847"/>
      <c r="X437" s="847"/>
      <c r="Y437" s="847"/>
      <c r="Z437" s="847"/>
      <c r="AA437" s="847"/>
      <c r="AB437" s="847"/>
      <c r="AC437" s="847"/>
      <c r="AD437" s="847"/>
      <c r="AE437" s="847"/>
      <c r="AF437" s="847"/>
      <c r="AG437" s="847"/>
      <c r="AH437" s="847"/>
      <c r="AI437" s="847"/>
      <c r="AJ437" s="847"/>
      <c r="AK437" s="847"/>
      <c r="AL437" s="847"/>
      <c r="AM437" s="847"/>
      <c r="AN437" s="847"/>
      <c r="AO437" s="847"/>
      <c r="AP437" s="847"/>
      <c r="AQ437" s="847"/>
      <c r="AR437" s="847"/>
      <c r="AS437" s="847"/>
      <c r="AT437" s="847"/>
      <c r="AU437" s="847"/>
      <c r="AV437" s="847"/>
      <c r="AW437" s="847"/>
      <c r="AX437" s="847"/>
      <c r="AY437" s="847"/>
      <c r="AZ437" s="847"/>
      <c r="BA437" s="847"/>
      <c r="BB437" s="847"/>
      <c r="BC437" s="847"/>
      <c r="BD437" s="847"/>
      <c r="BE437" s="847"/>
      <c r="BF437" s="847"/>
      <c r="BG437" s="847"/>
      <c r="BH437" s="847"/>
      <c r="BI437" s="847"/>
      <c r="BJ437" s="847"/>
      <c r="BK437" s="847"/>
      <c r="BL437" s="847"/>
      <c r="BM437" s="847"/>
      <c r="BN437" s="847"/>
      <c r="BO437" s="847"/>
      <c r="BP437" s="847"/>
      <c r="BQ437" s="847"/>
      <c r="BR437" s="847"/>
      <c r="BS437" s="847"/>
      <c r="BT437" s="847"/>
      <c r="BU437" s="847"/>
      <c r="BV437" s="847"/>
      <c r="BW437" s="847"/>
      <c r="BX437" s="847"/>
      <c r="BY437" s="847"/>
      <c r="BZ437" s="847"/>
      <c r="CA437" s="847"/>
      <c r="CB437" s="847"/>
      <c r="CC437" s="847"/>
      <c r="CD437" s="847"/>
      <c r="CE437" s="847"/>
      <c r="CF437" s="847"/>
      <c r="CG437" s="847"/>
      <c r="CH437" s="847"/>
      <c r="CI437" s="847"/>
      <c r="CJ437" s="847"/>
      <c r="CK437" s="847"/>
      <c r="CL437" s="847"/>
      <c r="CM437" s="847"/>
      <c r="CN437" s="847"/>
      <c r="CO437" s="847"/>
      <c r="CP437" s="847"/>
      <c r="CQ437" s="847"/>
      <c r="CR437" s="847"/>
      <c r="CS437" s="847"/>
      <c r="CT437" s="847"/>
      <c r="CU437" s="847"/>
      <c r="CV437" s="847"/>
      <c r="CW437" s="847"/>
      <c r="CX437" s="847"/>
      <c r="CY437" s="847"/>
      <c r="CZ437" s="847"/>
      <c r="DA437" s="847"/>
      <c r="DB437" s="847"/>
      <c r="DC437" s="847"/>
      <c r="DD437" s="847"/>
      <c r="DE437" s="847"/>
      <c r="DF437" s="847"/>
      <c r="DG437" s="847"/>
      <c r="DH437" s="847"/>
      <c r="DI437" s="847"/>
      <c r="DJ437" s="847"/>
      <c r="DK437" s="847"/>
      <c r="DL437" s="847"/>
      <c r="DM437" s="1212"/>
      <c r="DN437" s="1222"/>
      <c r="DO437" s="1013"/>
      <c r="DP437" s="847"/>
      <c r="DQ437" s="1013"/>
      <c r="DR437" s="1225"/>
      <c r="DS437" s="1013"/>
      <c r="DT437" s="1225"/>
      <c r="DU437" s="1214"/>
      <c r="DV437" s="1242"/>
      <c r="DW437" s="1232"/>
      <c r="DX437" s="1222"/>
      <c r="DY437" s="847"/>
      <c r="DZ437" s="847"/>
      <c r="EA437" s="847"/>
      <c r="EB437" s="847"/>
      <c r="EC437" s="847"/>
      <c r="ED437" s="847"/>
      <c r="EE437" s="847"/>
      <c r="EF437" s="847"/>
      <c r="EG437" s="1212"/>
      <c r="EH437" s="847"/>
      <c r="EI437" s="1212"/>
    </row>
    <row r="438" spans="1:139" s="733" customFormat="1" ht="13.5">
      <c r="A438" s="1009"/>
      <c r="B438" s="1245" t="s">
        <v>1472</v>
      </c>
      <c r="C438" s="1213">
        <v>0</v>
      </c>
      <c r="D438" s="1013" t="s">
        <v>49</v>
      </c>
      <c r="E438" s="847"/>
      <c r="F438" s="1013"/>
      <c r="G438" s="847"/>
      <c r="H438" s="1013"/>
      <c r="I438" s="847"/>
      <c r="J438" s="1013"/>
      <c r="K438" s="847"/>
      <c r="L438" s="1013"/>
      <c r="M438" s="847"/>
      <c r="N438" s="1013"/>
      <c r="O438" s="847"/>
      <c r="P438" s="1013"/>
      <c r="Q438" s="847"/>
      <c r="R438" s="847"/>
      <c r="S438" s="847"/>
      <c r="T438" s="847"/>
      <c r="U438" s="847"/>
      <c r="V438" s="847"/>
      <c r="W438" s="847"/>
      <c r="X438" s="847"/>
      <c r="Y438" s="847"/>
      <c r="Z438" s="847"/>
      <c r="AA438" s="847"/>
      <c r="AB438" s="847"/>
      <c r="AC438" s="847"/>
      <c r="AD438" s="847"/>
      <c r="AE438" s="847"/>
      <c r="AF438" s="847"/>
      <c r="AG438" s="847"/>
      <c r="AH438" s="847"/>
      <c r="AI438" s="847"/>
      <c r="AJ438" s="847"/>
      <c r="AK438" s="847"/>
      <c r="AL438" s="847"/>
      <c r="AM438" s="847"/>
      <c r="AN438" s="847"/>
      <c r="AO438" s="847"/>
      <c r="AP438" s="847"/>
      <c r="AQ438" s="847"/>
      <c r="AR438" s="847"/>
      <c r="AS438" s="847"/>
      <c r="AT438" s="847"/>
      <c r="AU438" s="847"/>
      <c r="AV438" s="847"/>
      <c r="AW438" s="847"/>
      <c r="AX438" s="847"/>
      <c r="AY438" s="847"/>
      <c r="AZ438" s="847"/>
      <c r="BA438" s="847"/>
      <c r="BB438" s="847"/>
      <c r="BC438" s="847"/>
      <c r="BD438" s="847"/>
      <c r="BE438" s="847"/>
      <c r="BF438" s="847"/>
      <c r="BG438" s="847"/>
      <c r="BH438" s="847"/>
      <c r="BI438" s="847"/>
      <c r="BJ438" s="847"/>
      <c r="BK438" s="847"/>
      <c r="BL438" s="847"/>
      <c r="BM438" s="847"/>
      <c r="BN438" s="847"/>
      <c r="BO438" s="847"/>
      <c r="BP438" s="847"/>
      <c r="BQ438" s="847"/>
      <c r="BR438" s="847"/>
      <c r="BS438" s="847"/>
      <c r="BT438" s="847"/>
      <c r="BU438" s="847"/>
      <c r="BV438" s="847"/>
      <c r="BW438" s="847"/>
      <c r="BX438" s="847"/>
      <c r="BY438" s="847"/>
      <c r="BZ438" s="847"/>
      <c r="CA438" s="847"/>
      <c r="CB438" s="847"/>
      <c r="CC438" s="847"/>
      <c r="CD438" s="847"/>
      <c r="CE438" s="847"/>
      <c r="CF438" s="847"/>
      <c r="CG438" s="847"/>
      <c r="CH438" s="847"/>
      <c r="CI438" s="847"/>
      <c r="CJ438" s="847"/>
      <c r="CK438" s="847"/>
      <c r="CL438" s="847"/>
      <c r="CM438" s="847"/>
      <c r="CN438" s="847"/>
      <c r="CO438" s="847"/>
      <c r="CP438" s="847"/>
      <c r="CQ438" s="847"/>
      <c r="CR438" s="847"/>
      <c r="CS438" s="847"/>
      <c r="CT438" s="847"/>
      <c r="CU438" s="847"/>
      <c r="CV438" s="847"/>
      <c r="CW438" s="847"/>
      <c r="CX438" s="847"/>
      <c r="CY438" s="847"/>
      <c r="CZ438" s="847"/>
      <c r="DA438" s="847"/>
      <c r="DB438" s="847"/>
      <c r="DC438" s="847"/>
      <c r="DD438" s="847"/>
      <c r="DE438" s="847"/>
      <c r="DF438" s="847"/>
      <c r="DG438" s="847"/>
      <c r="DH438" s="847"/>
      <c r="DI438" s="847"/>
      <c r="DJ438" s="847"/>
      <c r="DK438" s="847"/>
      <c r="DL438" s="847"/>
      <c r="DM438" s="1212"/>
      <c r="DN438" s="1222"/>
      <c r="DO438" s="1013"/>
      <c r="DP438" s="847"/>
      <c r="DQ438" s="1013"/>
      <c r="DR438" s="1225"/>
      <c r="DS438" s="1013"/>
      <c r="DT438" s="1225"/>
      <c r="DU438" s="1214"/>
      <c r="DV438" s="1242"/>
      <c r="DW438" s="1232"/>
      <c r="DX438" s="1222"/>
      <c r="DY438" s="847"/>
      <c r="DZ438" s="847"/>
      <c r="EA438" s="847"/>
      <c r="EB438" s="847"/>
      <c r="EC438" s="847"/>
      <c r="ED438" s="847"/>
      <c r="EE438" s="847"/>
      <c r="EF438" s="847"/>
      <c r="EG438" s="1212"/>
      <c r="EH438" s="847"/>
      <c r="EI438" s="1212"/>
    </row>
    <row r="439" spans="1:139" s="733" customFormat="1" ht="13.5">
      <c r="A439" s="1009"/>
      <c r="B439" s="1212" t="s">
        <v>636</v>
      </c>
      <c r="C439" s="1213">
        <v>0</v>
      </c>
      <c r="D439" s="1013" t="s">
        <v>49</v>
      </c>
      <c r="E439" s="847"/>
      <c r="F439" s="1013"/>
      <c r="G439" s="847"/>
      <c r="H439" s="1013"/>
      <c r="I439" s="847"/>
      <c r="J439" s="1013"/>
      <c r="K439" s="847"/>
      <c r="L439" s="1013"/>
      <c r="M439" s="847"/>
      <c r="N439" s="1013"/>
      <c r="O439" s="847"/>
      <c r="P439" s="1013"/>
      <c r="Q439" s="847"/>
      <c r="R439" s="847"/>
      <c r="S439" s="847"/>
      <c r="T439" s="847"/>
      <c r="U439" s="847"/>
      <c r="V439" s="847"/>
      <c r="W439" s="847"/>
      <c r="X439" s="847"/>
      <c r="Y439" s="847"/>
      <c r="Z439" s="847"/>
      <c r="AA439" s="847"/>
      <c r="AB439" s="847"/>
      <c r="AC439" s="847"/>
      <c r="AD439" s="847"/>
      <c r="AE439" s="847"/>
      <c r="AF439" s="847"/>
      <c r="AG439" s="847"/>
      <c r="AH439" s="847"/>
      <c r="AI439" s="847"/>
      <c r="AJ439" s="847"/>
      <c r="AK439" s="847"/>
      <c r="AL439" s="847"/>
      <c r="AM439" s="847"/>
      <c r="AN439" s="847"/>
      <c r="AO439" s="847"/>
      <c r="AP439" s="847"/>
      <c r="AQ439" s="847"/>
      <c r="AR439" s="847"/>
      <c r="AS439" s="847"/>
      <c r="AT439" s="847"/>
      <c r="AU439" s="847"/>
      <c r="AV439" s="847"/>
      <c r="AW439" s="847"/>
      <c r="AX439" s="847"/>
      <c r="AY439" s="847"/>
      <c r="AZ439" s="847"/>
      <c r="BA439" s="847"/>
      <c r="BB439" s="847"/>
      <c r="BC439" s="847"/>
      <c r="BD439" s="847"/>
      <c r="BE439" s="847"/>
      <c r="BF439" s="847"/>
      <c r="BG439" s="847"/>
      <c r="BH439" s="847"/>
      <c r="BI439" s="847"/>
      <c r="BJ439" s="847"/>
      <c r="BK439" s="847"/>
      <c r="BL439" s="847"/>
      <c r="BM439" s="847"/>
      <c r="BN439" s="847"/>
      <c r="BO439" s="847"/>
      <c r="BP439" s="847"/>
      <c r="BQ439" s="847"/>
      <c r="BR439" s="847"/>
      <c r="BS439" s="847"/>
      <c r="BT439" s="847"/>
      <c r="BU439" s="847"/>
      <c r="BV439" s="847"/>
      <c r="BW439" s="847"/>
      <c r="BX439" s="847"/>
      <c r="BY439" s="847"/>
      <c r="BZ439" s="847"/>
      <c r="CA439" s="847"/>
      <c r="CB439" s="847"/>
      <c r="CC439" s="847"/>
      <c r="CD439" s="847"/>
      <c r="CE439" s="847"/>
      <c r="CF439" s="847"/>
      <c r="CG439" s="847"/>
      <c r="CH439" s="847"/>
      <c r="CI439" s="847"/>
      <c r="CJ439" s="847"/>
      <c r="CK439" s="847"/>
      <c r="CL439" s="847"/>
      <c r="CM439" s="847"/>
      <c r="CN439" s="847"/>
      <c r="CO439" s="847"/>
      <c r="CP439" s="847"/>
      <c r="CQ439" s="847"/>
      <c r="CR439" s="847"/>
      <c r="CS439" s="847"/>
      <c r="CT439" s="847"/>
      <c r="CU439" s="847"/>
      <c r="CV439" s="847"/>
      <c r="CW439" s="847"/>
      <c r="CX439" s="847"/>
      <c r="CY439" s="847"/>
      <c r="CZ439" s="847"/>
      <c r="DA439" s="847"/>
      <c r="DB439" s="847"/>
      <c r="DC439" s="847"/>
      <c r="DD439" s="847"/>
      <c r="DE439" s="847"/>
      <c r="DF439" s="847"/>
      <c r="DG439" s="847"/>
      <c r="DH439" s="847"/>
      <c r="DI439" s="847"/>
      <c r="DJ439" s="847"/>
      <c r="DK439" s="847"/>
      <c r="DL439" s="847"/>
      <c r="DM439" s="1212"/>
      <c r="DN439" s="1222">
        <f>DN79</f>
        <v>0.39168000000000003</v>
      </c>
      <c r="DO439" s="1013">
        <f>ROUND(C439*DN439,2)</f>
        <v>0</v>
      </c>
      <c r="DP439" s="847"/>
      <c r="DQ439" s="1013"/>
      <c r="DR439" s="1225"/>
      <c r="DS439" s="1013"/>
      <c r="DT439" s="1225"/>
      <c r="DU439" s="1214"/>
      <c r="DV439" s="1242"/>
      <c r="DW439" s="1232"/>
      <c r="DX439" s="1222"/>
      <c r="DY439" s="847"/>
      <c r="DZ439" s="847"/>
      <c r="EA439" s="847"/>
      <c r="EB439" s="847"/>
      <c r="EC439" s="847"/>
      <c r="ED439" s="847"/>
      <c r="EE439" s="847"/>
      <c r="EF439" s="847"/>
      <c r="EG439" s="1212"/>
      <c r="EH439" s="847"/>
      <c r="EI439" s="1212"/>
    </row>
    <row r="440" spans="1:139" s="733" customFormat="1" ht="13.5">
      <c r="A440" s="1009"/>
      <c r="B440" s="1212" t="s">
        <v>637</v>
      </c>
      <c r="C440" s="1213">
        <v>0</v>
      </c>
      <c r="D440" s="1013" t="s">
        <v>49</v>
      </c>
      <c r="E440" s="847"/>
      <c r="F440" s="1013"/>
      <c r="G440" s="847"/>
      <c r="H440" s="1013"/>
      <c r="I440" s="847"/>
      <c r="J440" s="1013"/>
      <c r="K440" s="847"/>
      <c r="L440" s="1013"/>
      <c r="M440" s="847"/>
      <c r="N440" s="1013"/>
      <c r="O440" s="847"/>
      <c r="P440" s="1013"/>
      <c r="Q440" s="847"/>
      <c r="R440" s="847"/>
      <c r="S440" s="847"/>
      <c r="T440" s="847"/>
      <c r="U440" s="847"/>
      <c r="V440" s="847"/>
      <c r="W440" s="847"/>
      <c r="X440" s="847"/>
      <c r="Y440" s="847"/>
      <c r="Z440" s="847"/>
      <c r="AA440" s="847"/>
      <c r="AB440" s="847"/>
      <c r="AC440" s="847"/>
      <c r="AD440" s="847"/>
      <c r="AE440" s="847"/>
      <c r="AF440" s="847"/>
      <c r="AG440" s="847"/>
      <c r="AH440" s="847"/>
      <c r="AI440" s="847"/>
      <c r="AJ440" s="847"/>
      <c r="AK440" s="847"/>
      <c r="AL440" s="847"/>
      <c r="AM440" s="847"/>
      <c r="AN440" s="847"/>
      <c r="AO440" s="847"/>
      <c r="AP440" s="847"/>
      <c r="AQ440" s="847"/>
      <c r="AR440" s="847"/>
      <c r="AS440" s="847"/>
      <c r="AT440" s="847"/>
      <c r="AU440" s="847"/>
      <c r="AV440" s="847"/>
      <c r="AW440" s="847"/>
      <c r="AX440" s="847"/>
      <c r="AY440" s="847"/>
      <c r="AZ440" s="847"/>
      <c r="BA440" s="847"/>
      <c r="BB440" s="847"/>
      <c r="BC440" s="847"/>
      <c r="BD440" s="847"/>
      <c r="BE440" s="847"/>
      <c r="BF440" s="847"/>
      <c r="BG440" s="847"/>
      <c r="BH440" s="847"/>
      <c r="BI440" s="847"/>
      <c r="BJ440" s="847"/>
      <c r="BK440" s="847"/>
      <c r="BL440" s="847"/>
      <c r="BM440" s="847"/>
      <c r="BN440" s="847"/>
      <c r="BO440" s="847"/>
      <c r="BP440" s="847"/>
      <c r="BQ440" s="847"/>
      <c r="BR440" s="847"/>
      <c r="BS440" s="847"/>
      <c r="BT440" s="847"/>
      <c r="BU440" s="847"/>
      <c r="BV440" s="847"/>
      <c r="BW440" s="847"/>
      <c r="BX440" s="847"/>
      <c r="BY440" s="847"/>
      <c r="BZ440" s="847"/>
      <c r="CA440" s="847"/>
      <c r="CB440" s="847"/>
      <c r="CC440" s="847"/>
      <c r="CD440" s="847"/>
      <c r="CE440" s="847"/>
      <c r="CF440" s="847"/>
      <c r="CG440" s="847"/>
      <c r="CH440" s="847"/>
      <c r="CI440" s="847"/>
      <c r="CJ440" s="847"/>
      <c r="CK440" s="847"/>
      <c r="CL440" s="847"/>
      <c r="CM440" s="847"/>
      <c r="CN440" s="847"/>
      <c r="CO440" s="847"/>
      <c r="CP440" s="847"/>
      <c r="CQ440" s="847"/>
      <c r="CR440" s="847"/>
      <c r="CS440" s="847"/>
      <c r="CT440" s="847"/>
      <c r="CU440" s="847"/>
      <c r="CV440" s="847"/>
      <c r="CW440" s="847"/>
      <c r="CX440" s="847"/>
      <c r="CY440" s="847"/>
      <c r="CZ440" s="847"/>
      <c r="DA440" s="847"/>
      <c r="DB440" s="847"/>
      <c r="DC440" s="847"/>
      <c r="DD440" s="847"/>
      <c r="DE440" s="847"/>
      <c r="DF440" s="847"/>
      <c r="DG440" s="847"/>
      <c r="DH440" s="847"/>
      <c r="DI440" s="847"/>
      <c r="DJ440" s="847"/>
      <c r="DK440" s="847"/>
      <c r="DL440" s="847"/>
      <c r="DM440" s="1212"/>
      <c r="DN440" s="1222">
        <f>DN82</f>
        <v>0.53855999999999993</v>
      </c>
      <c r="DO440" s="1013">
        <f>ROUND(C440*DN440,2)</f>
        <v>0</v>
      </c>
      <c r="DP440" s="847"/>
      <c r="DQ440" s="1013"/>
      <c r="DR440" s="1225"/>
      <c r="DS440" s="1013"/>
      <c r="DT440" s="1225"/>
      <c r="DU440" s="1214"/>
      <c r="DV440" s="1242"/>
      <c r="DW440" s="1232"/>
      <c r="DX440" s="1222"/>
      <c r="DY440" s="847"/>
      <c r="DZ440" s="847"/>
      <c r="EA440" s="847"/>
      <c r="EB440" s="847"/>
      <c r="EC440" s="847"/>
      <c r="ED440" s="847"/>
      <c r="EE440" s="847"/>
      <c r="EF440" s="847"/>
      <c r="EG440" s="1212"/>
      <c r="EH440" s="847"/>
      <c r="EI440" s="1212"/>
    </row>
    <row r="441" spans="1:139" s="733" customFormat="1" ht="13.5">
      <c r="A441" s="1009"/>
      <c r="B441" s="1212" t="s">
        <v>639</v>
      </c>
      <c r="C441" s="1213">
        <v>0</v>
      </c>
      <c r="D441" s="1013" t="s">
        <v>49</v>
      </c>
      <c r="E441" s="847"/>
      <c r="F441" s="1013"/>
      <c r="G441" s="847"/>
      <c r="H441" s="1013"/>
      <c r="I441" s="847"/>
      <c r="J441" s="1013"/>
      <c r="K441" s="847"/>
      <c r="L441" s="1013"/>
      <c r="M441" s="847"/>
      <c r="N441" s="1013"/>
      <c r="O441" s="847"/>
      <c r="P441" s="1013"/>
      <c r="Q441" s="847"/>
      <c r="R441" s="847"/>
      <c r="S441" s="847"/>
      <c r="T441" s="847"/>
      <c r="U441" s="847"/>
      <c r="V441" s="847"/>
      <c r="W441" s="847"/>
      <c r="X441" s="847"/>
      <c r="Y441" s="847"/>
      <c r="Z441" s="847"/>
      <c r="AA441" s="847"/>
      <c r="AB441" s="847"/>
      <c r="AC441" s="847"/>
      <c r="AD441" s="847"/>
      <c r="AE441" s="847"/>
      <c r="AF441" s="847"/>
      <c r="AG441" s="847"/>
      <c r="AH441" s="847"/>
      <c r="AI441" s="847"/>
      <c r="AJ441" s="847"/>
      <c r="AK441" s="847"/>
      <c r="AL441" s="847"/>
      <c r="AM441" s="847"/>
      <c r="AN441" s="847"/>
      <c r="AO441" s="847"/>
      <c r="AP441" s="847"/>
      <c r="AQ441" s="847"/>
      <c r="AR441" s="847"/>
      <c r="AS441" s="847"/>
      <c r="AT441" s="847"/>
      <c r="AU441" s="847"/>
      <c r="AV441" s="847"/>
      <c r="AW441" s="847"/>
      <c r="AX441" s="847"/>
      <c r="AY441" s="847"/>
      <c r="AZ441" s="847"/>
      <c r="BA441" s="847"/>
      <c r="BB441" s="847"/>
      <c r="BC441" s="847"/>
      <c r="BD441" s="847"/>
      <c r="BE441" s="847"/>
      <c r="BF441" s="847"/>
      <c r="BG441" s="847"/>
      <c r="BH441" s="847"/>
      <c r="BI441" s="847"/>
      <c r="BJ441" s="847"/>
      <c r="BK441" s="847"/>
      <c r="BL441" s="847"/>
      <c r="BM441" s="847"/>
      <c r="BN441" s="847"/>
      <c r="BO441" s="847"/>
      <c r="BP441" s="847"/>
      <c r="BQ441" s="847"/>
      <c r="BR441" s="847"/>
      <c r="BS441" s="847"/>
      <c r="BT441" s="847"/>
      <c r="BU441" s="847"/>
      <c r="BV441" s="847"/>
      <c r="BW441" s="847"/>
      <c r="BX441" s="847"/>
      <c r="BY441" s="847"/>
      <c r="BZ441" s="847"/>
      <c r="CA441" s="847"/>
      <c r="CB441" s="847"/>
      <c r="CC441" s="847"/>
      <c r="CD441" s="847"/>
      <c r="CE441" s="847"/>
      <c r="CF441" s="847"/>
      <c r="CG441" s="847"/>
      <c r="CH441" s="847"/>
      <c r="CI441" s="847"/>
      <c r="CJ441" s="847"/>
      <c r="CK441" s="847"/>
      <c r="CL441" s="847"/>
      <c r="CM441" s="847"/>
      <c r="CN441" s="847"/>
      <c r="CO441" s="847"/>
      <c r="CP441" s="847"/>
      <c r="CQ441" s="847"/>
      <c r="CR441" s="847"/>
      <c r="CS441" s="847"/>
      <c r="CT441" s="847"/>
      <c r="CU441" s="847"/>
      <c r="CV441" s="847"/>
      <c r="CW441" s="847"/>
      <c r="CX441" s="847"/>
      <c r="CY441" s="847"/>
      <c r="CZ441" s="847"/>
      <c r="DA441" s="847"/>
      <c r="DB441" s="847"/>
      <c r="DC441" s="847"/>
      <c r="DD441" s="847"/>
      <c r="DE441" s="847"/>
      <c r="DF441" s="847"/>
      <c r="DG441" s="847"/>
      <c r="DH441" s="847"/>
      <c r="DI441" s="847"/>
      <c r="DJ441" s="847"/>
      <c r="DK441" s="847"/>
      <c r="DL441" s="847"/>
      <c r="DM441" s="1212"/>
      <c r="DN441" s="1222">
        <f>DN83</f>
        <v>0.7669720000000001</v>
      </c>
      <c r="DO441" s="1013">
        <f>ROUND(C441*DN441,2)</f>
        <v>0</v>
      </c>
      <c r="DP441" s="847"/>
      <c r="DQ441" s="1013"/>
      <c r="DR441" s="1225"/>
      <c r="DS441" s="1013"/>
      <c r="DT441" s="1225"/>
      <c r="DU441" s="1214"/>
      <c r="DV441" s="1242"/>
      <c r="DW441" s="1232"/>
      <c r="DX441" s="1222"/>
      <c r="DY441" s="847"/>
      <c r="DZ441" s="847"/>
      <c r="EA441" s="847"/>
      <c r="EB441" s="847"/>
      <c r="EC441" s="847"/>
      <c r="ED441" s="847"/>
      <c r="EE441" s="847"/>
      <c r="EF441" s="847"/>
      <c r="EG441" s="1212"/>
      <c r="EH441" s="847"/>
      <c r="EI441" s="1212"/>
    </row>
    <row r="442" spans="1:139" s="733" customFormat="1" ht="13.5">
      <c r="A442" s="1009"/>
      <c r="B442" s="1212" t="s">
        <v>641</v>
      </c>
      <c r="C442" s="1213">
        <v>0</v>
      </c>
      <c r="D442" s="1013" t="s">
        <v>49</v>
      </c>
      <c r="E442" s="847"/>
      <c r="F442" s="1013"/>
      <c r="G442" s="847"/>
      <c r="H442" s="1013"/>
      <c r="I442" s="847"/>
      <c r="J442" s="1013"/>
      <c r="K442" s="847"/>
      <c r="L442" s="1013"/>
      <c r="M442" s="847"/>
      <c r="N442" s="1013"/>
      <c r="O442" s="847"/>
      <c r="P442" s="1013"/>
      <c r="Q442" s="847"/>
      <c r="R442" s="847"/>
      <c r="S442" s="847"/>
      <c r="T442" s="847"/>
      <c r="U442" s="847"/>
      <c r="V442" s="847"/>
      <c r="W442" s="847"/>
      <c r="X442" s="847"/>
      <c r="Y442" s="847"/>
      <c r="Z442" s="847"/>
      <c r="AA442" s="847"/>
      <c r="AB442" s="847"/>
      <c r="AC442" s="847"/>
      <c r="AD442" s="847"/>
      <c r="AE442" s="847"/>
      <c r="AF442" s="847"/>
      <c r="AG442" s="847"/>
      <c r="AH442" s="847"/>
      <c r="AI442" s="847"/>
      <c r="AJ442" s="847"/>
      <c r="AK442" s="847"/>
      <c r="AL442" s="847"/>
      <c r="AM442" s="847"/>
      <c r="AN442" s="847"/>
      <c r="AO442" s="847"/>
      <c r="AP442" s="847"/>
      <c r="AQ442" s="847"/>
      <c r="AR442" s="847"/>
      <c r="AS442" s="847"/>
      <c r="AT442" s="847"/>
      <c r="AU442" s="847"/>
      <c r="AV442" s="847"/>
      <c r="AW442" s="847"/>
      <c r="AX442" s="847"/>
      <c r="AY442" s="847"/>
      <c r="AZ442" s="847"/>
      <c r="BA442" s="847"/>
      <c r="BB442" s="847"/>
      <c r="BC442" s="847"/>
      <c r="BD442" s="847"/>
      <c r="BE442" s="847"/>
      <c r="BF442" s="847"/>
      <c r="BG442" s="847"/>
      <c r="BH442" s="847"/>
      <c r="BI442" s="847"/>
      <c r="BJ442" s="847"/>
      <c r="BK442" s="847"/>
      <c r="BL442" s="847"/>
      <c r="BM442" s="847"/>
      <c r="BN442" s="847"/>
      <c r="BO442" s="847"/>
      <c r="BP442" s="847"/>
      <c r="BQ442" s="847"/>
      <c r="BR442" s="847"/>
      <c r="BS442" s="847"/>
      <c r="BT442" s="847"/>
      <c r="BU442" s="847"/>
      <c r="BV442" s="847"/>
      <c r="BW442" s="847"/>
      <c r="BX442" s="847"/>
      <c r="BY442" s="847"/>
      <c r="BZ442" s="847"/>
      <c r="CA442" s="847"/>
      <c r="CB442" s="847"/>
      <c r="CC442" s="847"/>
      <c r="CD442" s="847"/>
      <c r="CE442" s="847"/>
      <c r="CF442" s="847"/>
      <c r="CG442" s="847"/>
      <c r="CH442" s="847"/>
      <c r="CI442" s="847"/>
      <c r="CJ442" s="847"/>
      <c r="CK442" s="847"/>
      <c r="CL442" s="847"/>
      <c r="CM442" s="847"/>
      <c r="CN442" s="847"/>
      <c r="CO442" s="847"/>
      <c r="CP442" s="847"/>
      <c r="CQ442" s="847"/>
      <c r="CR442" s="847"/>
      <c r="CS442" s="847"/>
      <c r="CT442" s="847"/>
      <c r="CU442" s="847"/>
      <c r="CV442" s="847"/>
      <c r="CW442" s="847"/>
      <c r="CX442" s="847"/>
      <c r="CY442" s="847"/>
      <c r="CZ442" s="847"/>
      <c r="DA442" s="847"/>
      <c r="DB442" s="847"/>
      <c r="DC442" s="847"/>
      <c r="DD442" s="847"/>
      <c r="DE442" s="847"/>
      <c r="DF442" s="847"/>
      <c r="DG442" s="847"/>
      <c r="DH442" s="847"/>
      <c r="DI442" s="847"/>
      <c r="DJ442" s="847"/>
      <c r="DK442" s="847"/>
      <c r="DL442" s="847"/>
      <c r="DM442" s="1212"/>
      <c r="DN442" s="1222">
        <f>DN85</f>
        <v>0.82081439999999994</v>
      </c>
      <c r="DO442" s="1013">
        <f>ROUND(C442*DN442,2)</f>
        <v>0</v>
      </c>
      <c r="DP442" s="847"/>
      <c r="DQ442" s="1013"/>
      <c r="DR442" s="1225"/>
      <c r="DS442" s="1013"/>
      <c r="DT442" s="1225"/>
      <c r="DU442" s="1214"/>
      <c r="DV442" s="1242"/>
      <c r="DW442" s="1232"/>
      <c r="DX442" s="1222"/>
      <c r="DY442" s="847"/>
      <c r="DZ442" s="847"/>
      <c r="EA442" s="847"/>
      <c r="EB442" s="847"/>
      <c r="EC442" s="847"/>
      <c r="ED442" s="847"/>
      <c r="EE442" s="847"/>
      <c r="EF442" s="847"/>
      <c r="EG442" s="1212"/>
      <c r="EH442" s="847"/>
      <c r="EI442" s="1212"/>
    </row>
    <row r="443" spans="1:139" s="733" customFormat="1" ht="13.5">
      <c r="A443" s="1009"/>
      <c r="B443" s="1212" t="s">
        <v>643</v>
      </c>
      <c r="C443" s="1213">
        <v>0</v>
      </c>
      <c r="D443" s="1013" t="s">
        <v>49</v>
      </c>
      <c r="E443" s="847"/>
      <c r="F443" s="1013"/>
      <c r="G443" s="847"/>
      <c r="H443" s="1013"/>
      <c r="I443" s="847"/>
      <c r="J443" s="1013"/>
      <c r="K443" s="847"/>
      <c r="L443" s="1013"/>
      <c r="M443" s="847"/>
      <c r="N443" s="1013"/>
      <c r="O443" s="847"/>
      <c r="P443" s="1013"/>
      <c r="Q443" s="847"/>
      <c r="R443" s="847"/>
      <c r="S443" s="847"/>
      <c r="T443" s="847"/>
      <c r="U443" s="847"/>
      <c r="V443" s="847"/>
      <c r="W443" s="847"/>
      <c r="X443" s="847"/>
      <c r="Y443" s="847"/>
      <c r="Z443" s="847"/>
      <c r="AA443" s="847"/>
      <c r="AB443" s="847"/>
      <c r="AC443" s="847"/>
      <c r="AD443" s="847"/>
      <c r="AE443" s="847"/>
      <c r="AF443" s="847"/>
      <c r="AG443" s="847"/>
      <c r="AH443" s="847"/>
      <c r="AI443" s="847"/>
      <c r="AJ443" s="847"/>
      <c r="AK443" s="847"/>
      <c r="AL443" s="847"/>
      <c r="AM443" s="847"/>
      <c r="AN443" s="847"/>
      <c r="AO443" s="847"/>
      <c r="AP443" s="847"/>
      <c r="AQ443" s="847"/>
      <c r="AR443" s="847"/>
      <c r="AS443" s="847"/>
      <c r="AT443" s="847"/>
      <c r="AU443" s="847"/>
      <c r="AV443" s="847"/>
      <c r="AW443" s="847"/>
      <c r="AX443" s="847"/>
      <c r="AY443" s="847"/>
      <c r="AZ443" s="847"/>
      <c r="BA443" s="847"/>
      <c r="BB443" s="847"/>
      <c r="BC443" s="847"/>
      <c r="BD443" s="847"/>
      <c r="BE443" s="847"/>
      <c r="BF443" s="847"/>
      <c r="BG443" s="847"/>
      <c r="BH443" s="847"/>
      <c r="BI443" s="847"/>
      <c r="BJ443" s="847"/>
      <c r="BK443" s="847"/>
      <c r="BL443" s="847"/>
      <c r="BM443" s="847"/>
      <c r="BN443" s="847"/>
      <c r="BO443" s="847"/>
      <c r="BP443" s="847"/>
      <c r="BQ443" s="847"/>
      <c r="BR443" s="847"/>
      <c r="BS443" s="847"/>
      <c r="BT443" s="847"/>
      <c r="BU443" s="847"/>
      <c r="BV443" s="847"/>
      <c r="BW443" s="847"/>
      <c r="BX443" s="847"/>
      <c r="BY443" s="847"/>
      <c r="BZ443" s="847"/>
      <c r="CA443" s="847"/>
      <c r="CB443" s="847"/>
      <c r="CC443" s="847"/>
      <c r="CD443" s="847"/>
      <c r="CE443" s="847"/>
      <c r="CF443" s="847"/>
      <c r="CG443" s="847"/>
      <c r="CH443" s="847"/>
      <c r="CI443" s="847"/>
      <c r="CJ443" s="847"/>
      <c r="CK443" s="847"/>
      <c r="CL443" s="847"/>
      <c r="CM443" s="847"/>
      <c r="CN443" s="847"/>
      <c r="CO443" s="847"/>
      <c r="CP443" s="847"/>
      <c r="CQ443" s="847"/>
      <c r="CR443" s="847"/>
      <c r="CS443" s="847"/>
      <c r="CT443" s="847"/>
      <c r="CU443" s="847"/>
      <c r="CV443" s="847"/>
      <c r="CW443" s="847"/>
      <c r="CX443" s="847"/>
      <c r="CY443" s="847"/>
      <c r="CZ443" s="847"/>
      <c r="DA443" s="847"/>
      <c r="DB443" s="847"/>
      <c r="DC443" s="847"/>
      <c r="DD443" s="847"/>
      <c r="DE443" s="847"/>
      <c r="DF443" s="847"/>
      <c r="DG443" s="847"/>
      <c r="DH443" s="847"/>
      <c r="DI443" s="847"/>
      <c r="DJ443" s="847"/>
      <c r="DK443" s="847"/>
      <c r="DL443" s="847"/>
      <c r="DM443" s="1212"/>
      <c r="DN443" s="1222">
        <f>(DN439+DN440+DN441+DN442)/4</f>
        <v>0.62950660000000003</v>
      </c>
      <c r="DO443" s="1013">
        <f>ROUND(C443*DN443,2)</f>
        <v>0</v>
      </c>
      <c r="DP443" s="847"/>
      <c r="DQ443" s="1013"/>
      <c r="DR443" s="1225"/>
      <c r="DS443" s="1013"/>
      <c r="DT443" s="1225"/>
      <c r="DU443" s="1214"/>
      <c r="DV443" s="1242"/>
      <c r="DW443" s="1232"/>
      <c r="DX443" s="1222"/>
      <c r="DY443" s="847"/>
      <c r="DZ443" s="847"/>
      <c r="EA443" s="847"/>
      <c r="EB443" s="847"/>
      <c r="EC443" s="847"/>
      <c r="ED443" s="847"/>
      <c r="EE443" s="847"/>
      <c r="EF443" s="847"/>
      <c r="EG443" s="1212"/>
      <c r="EH443" s="847"/>
      <c r="EI443" s="1212"/>
    </row>
    <row r="444" spans="1:139" s="733" customFormat="1" ht="13.5">
      <c r="A444" s="1009"/>
      <c r="B444" s="1245" t="s">
        <v>1474</v>
      </c>
      <c r="C444" s="1213">
        <v>0</v>
      </c>
      <c r="D444" s="1013" t="s">
        <v>49</v>
      </c>
      <c r="E444" s="847"/>
      <c r="F444" s="1013"/>
      <c r="G444" s="847"/>
      <c r="H444" s="1013"/>
      <c r="I444" s="847"/>
      <c r="J444" s="1013"/>
      <c r="K444" s="847"/>
      <c r="L444" s="1013"/>
      <c r="M444" s="847"/>
      <c r="N444" s="1013"/>
      <c r="O444" s="847"/>
      <c r="P444" s="1013"/>
      <c r="Q444" s="847"/>
      <c r="R444" s="847"/>
      <c r="S444" s="847"/>
      <c r="T444" s="847"/>
      <c r="U444" s="847"/>
      <c r="V444" s="847"/>
      <c r="W444" s="847"/>
      <c r="X444" s="847"/>
      <c r="Y444" s="847"/>
      <c r="Z444" s="847"/>
      <c r="AA444" s="847"/>
      <c r="AB444" s="847"/>
      <c r="AC444" s="847"/>
      <c r="AD444" s="847"/>
      <c r="AE444" s="847"/>
      <c r="AF444" s="847"/>
      <c r="AG444" s="847"/>
      <c r="AH444" s="847"/>
      <c r="AI444" s="847"/>
      <c r="AJ444" s="847"/>
      <c r="AK444" s="847"/>
      <c r="AL444" s="847"/>
      <c r="AM444" s="847"/>
      <c r="AN444" s="847"/>
      <c r="AO444" s="847"/>
      <c r="AP444" s="847"/>
      <c r="AQ444" s="847"/>
      <c r="AR444" s="847"/>
      <c r="AS444" s="847"/>
      <c r="AT444" s="847"/>
      <c r="AU444" s="847"/>
      <c r="AV444" s="847"/>
      <c r="AW444" s="847"/>
      <c r="AX444" s="847"/>
      <c r="AY444" s="847"/>
      <c r="AZ444" s="847"/>
      <c r="BA444" s="847"/>
      <c r="BB444" s="847"/>
      <c r="BC444" s="847"/>
      <c r="BD444" s="847"/>
      <c r="BE444" s="847"/>
      <c r="BF444" s="847"/>
      <c r="BG444" s="847"/>
      <c r="BH444" s="847"/>
      <c r="BI444" s="847"/>
      <c r="BJ444" s="847"/>
      <c r="BK444" s="847"/>
      <c r="BL444" s="847"/>
      <c r="BM444" s="847"/>
      <c r="BN444" s="847"/>
      <c r="BO444" s="847"/>
      <c r="BP444" s="847"/>
      <c r="BQ444" s="847"/>
      <c r="BR444" s="847"/>
      <c r="BS444" s="847"/>
      <c r="BT444" s="847"/>
      <c r="BU444" s="847"/>
      <c r="BV444" s="847"/>
      <c r="BW444" s="847"/>
      <c r="BX444" s="847"/>
      <c r="BY444" s="847"/>
      <c r="BZ444" s="847"/>
      <c r="CA444" s="847"/>
      <c r="CB444" s="847"/>
      <c r="CC444" s="847"/>
      <c r="CD444" s="847"/>
      <c r="CE444" s="847"/>
      <c r="CF444" s="847"/>
      <c r="CG444" s="847"/>
      <c r="CH444" s="847"/>
      <c r="CI444" s="847"/>
      <c r="CJ444" s="847"/>
      <c r="CK444" s="847"/>
      <c r="CL444" s="847"/>
      <c r="CM444" s="847"/>
      <c r="CN444" s="847"/>
      <c r="CO444" s="847"/>
      <c r="CP444" s="847"/>
      <c r="CQ444" s="847"/>
      <c r="CR444" s="847"/>
      <c r="CS444" s="847"/>
      <c r="CT444" s="847"/>
      <c r="CU444" s="847"/>
      <c r="CV444" s="847"/>
      <c r="CW444" s="847"/>
      <c r="CX444" s="847"/>
      <c r="CY444" s="847"/>
      <c r="CZ444" s="847"/>
      <c r="DA444" s="847"/>
      <c r="DB444" s="847"/>
      <c r="DC444" s="847"/>
      <c r="DD444" s="847"/>
      <c r="DE444" s="847"/>
      <c r="DF444" s="847"/>
      <c r="DG444" s="847"/>
      <c r="DH444" s="847"/>
      <c r="DI444" s="847"/>
      <c r="DJ444" s="847"/>
      <c r="DK444" s="847"/>
      <c r="DL444" s="847"/>
      <c r="DM444" s="1212"/>
      <c r="DN444" s="1222"/>
      <c r="DO444" s="1013"/>
      <c r="DP444" s="847"/>
      <c r="DQ444" s="1013"/>
      <c r="DR444" s="1225"/>
      <c r="DS444" s="1013"/>
      <c r="DT444" s="1225"/>
      <c r="DU444" s="1214"/>
      <c r="DV444" s="1242"/>
      <c r="DW444" s="1232"/>
      <c r="DX444" s="1222"/>
      <c r="DY444" s="847"/>
      <c r="DZ444" s="847"/>
      <c r="EA444" s="847"/>
      <c r="EB444" s="847"/>
      <c r="EC444" s="847"/>
      <c r="ED444" s="847"/>
      <c r="EE444" s="847"/>
      <c r="EF444" s="847"/>
      <c r="EG444" s="1212"/>
      <c r="EH444" s="847"/>
      <c r="EI444" s="1212"/>
    </row>
    <row r="445" spans="1:139" s="733" customFormat="1" ht="13.5">
      <c r="A445" s="1009"/>
      <c r="B445" s="1212" t="str">
        <f>B439</f>
        <v>i.Ordinary Soil.</v>
      </c>
      <c r="C445" s="1213">
        <v>0</v>
      </c>
      <c r="D445" s="1013" t="s">
        <v>49</v>
      </c>
      <c r="E445" s="847"/>
      <c r="F445" s="1013"/>
      <c r="G445" s="847"/>
      <c r="H445" s="1013"/>
      <c r="I445" s="847"/>
      <c r="J445" s="1013"/>
      <c r="K445" s="847"/>
      <c r="L445" s="1013"/>
      <c r="M445" s="847"/>
      <c r="N445" s="1013"/>
      <c r="O445" s="847"/>
      <c r="P445" s="1013"/>
      <c r="Q445" s="847"/>
      <c r="R445" s="847"/>
      <c r="S445" s="847"/>
      <c r="T445" s="847"/>
      <c r="U445" s="847"/>
      <c r="V445" s="847"/>
      <c r="W445" s="847"/>
      <c r="X445" s="847"/>
      <c r="Y445" s="847"/>
      <c r="Z445" s="847"/>
      <c r="AA445" s="847"/>
      <c r="AB445" s="847"/>
      <c r="AC445" s="847"/>
      <c r="AD445" s="847"/>
      <c r="AE445" s="847"/>
      <c r="AF445" s="847"/>
      <c r="AG445" s="847"/>
      <c r="AH445" s="847"/>
      <c r="AI445" s="847"/>
      <c r="AJ445" s="847"/>
      <c r="AK445" s="847"/>
      <c r="AL445" s="847"/>
      <c r="AM445" s="847"/>
      <c r="AN445" s="847"/>
      <c r="AO445" s="847"/>
      <c r="AP445" s="847"/>
      <c r="AQ445" s="847"/>
      <c r="AR445" s="847"/>
      <c r="AS445" s="847"/>
      <c r="AT445" s="847"/>
      <c r="AU445" s="847"/>
      <c r="AV445" s="847"/>
      <c r="AW445" s="847"/>
      <c r="AX445" s="847"/>
      <c r="AY445" s="847"/>
      <c r="AZ445" s="847"/>
      <c r="BA445" s="847"/>
      <c r="BB445" s="847"/>
      <c r="BC445" s="847"/>
      <c r="BD445" s="847"/>
      <c r="BE445" s="847"/>
      <c r="BF445" s="847"/>
      <c r="BG445" s="847"/>
      <c r="BH445" s="847"/>
      <c r="BI445" s="847"/>
      <c r="BJ445" s="847"/>
      <c r="BK445" s="847"/>
      <c r="BL445" s="847"/>
      <c r="BM445" s="847"/>
      <c r="BN445" s="847"/>
      <c r="BO445" s="847"/>
      <c r="BP445" s="847"/>
      <c r="BQ445" s="847"/>
      <c r="BR445" s="847"/>
      <c r="BS445" s="847"/>
      <c r="BT445" s="847"/>
      <c r="BU445" s="847"/>
      <c r="BV445" s="847"/>
      <c r="BW445" s="847"/>
      <c r="BX445" s="847"/>
      <c r="BY445" s="847"/>
      <c r="BZ445" s="847"/>
      <c r="CA445" s="847"/>
      <c r="CB445" s="847"/>
      <c r="CC445" s="847"/>
      <c r="CD445" s="847"/>
      <c r="CE445" s="847"/>
      <c r="CF445" s="847"/>
      <c r="CG445" s="847"/>
      <c r="CH445" s="847"/>
      <c r="CI445" s="847"/>
      <c r="CJ445" s="847"/>
      <c r="CK445" s="847"/>
      <c r="CL445" s="847"/>
      <c r="CM445" s="847"/>
      <c r="CN445" s="847"/>
      <c r="CO445" s="847"/>
      <c r="CP445" s="847"/>
      <c r="CQ445" s="847"/>
      <c r="CR445" s="847"/>
      <c r="CS445" s="847"/>
      <c r="CT445" s="847"/>
      <c r="CU445" s="847"/>
      <c r="CV445" s="847"/>
      <c r="CW445" s="847"/>
      <c r="CX445" s="847"/>
      <c r="CY445" s="847"/>
      <c r="CZ445" s="847"/>
      <c r="DA445" s="847"/>
      <c r="DB445" s="847"/>
      <c r="DC445" s="847"/>
      <c r="DD445" s="847"/>
      <c r="DE445" s="847"/>
      <c r="DF445" s="847"/>
      <c r="DG445" s="847"/>
      <c r="DH445" s="847"/>
      <c r="DI445" s="847"/>
      <c r="DJ445" s="847"/>
      <c r="DK445" s="847"/>
      <c r="DL445" s="847"/>
      <c r="DM445" s="1212"/>
      <c r="DN445" s="1222" t="e">
        <f>'Lead &amp; ANALYSIS'!#REF!*#REF!+'Lead &amp; ANALYSIS'!#REF!*#REF!</f>
        <v>#REF!</v>
      </c>
      <c r="DO445" s="1013" t="e">
        <f>ROUND(C445*DN445,2)</f>
        <v>#REF!</v>
      </c>
      <c r="DP445" s="847"/>
      <c r="DQ445" s="1013"/>
      <c r="DR445" s="1225"/>
      <c r="DS445" s="1013"/>
      <c r="DT445" s="1225"/>
      <c r="DU445" s="1214"/>
      <c r="DV445" s="1242"/>
      <c r="DW445" s="1232"/>
      <c r="DX445" s="1222"/>
      <c r="DY445" s="847"/>
      <c r="DZ445" s="847"/>
      <c r="EA445" s="847"/>
      <c r="EB445" s="847"/>
      <c r="EC445" s="847"/>
      <c r="ED445" s="847"/>
      <c r="EE445" s="847"/>
      <c r="EF445" s="847"/>
      <c r="EG445" s="1212"/>
      <c r="EH445" s="847"/>
      <c r="EI445" s="1212"/>
    </row>
    <row r="446" spans="1:139" s="733" customFormat="1" ht="13.5">
      <c r="A446" s="1009"/>
      <c r="B446" s="1212" t="str">
        <f>B440</f>
        <v>ii.Slushy Soil</v>
      </c>
      <c r="C446" s="1213">
        <v>0</v>
      </c>
      <c r="D446" s="1013" t="s">
        <v>49</v>
      </c>
      <c r="E446" s="847"/>
      <c r="F446" s="1013"/>
      <c r="G446" s="847"/>
      <c r="H446" s="1013"/>
      <c r="I446" s="847"/>
      <c r="J446" s="1013"/>
      <c r="K446" s="847"/>
      <c r="L446" s="1013"/>
      <c r="M446" s="847"/>
      <c r="N446" s="1013"/>
      <c r="O446" s="847"/>
      <c r="P446" s="1013"/>
      <c r="Q446" s="847"/>
      <c r="R446" s="847"/>
      <c r="S446" s="847"/>
      <c r="T446" s="847"/>
      <c r="U446" s="847"/>
      <c r="V446" s="847"/>
      <c r="W446" s="847"/>
      <c r="X446" s="847"/>
      <c r="Y446" s="847"/>
      <c r="Z446" s="847"/>
      <c r="AA446" s="847"/>
      <c r="AB446" s="847"/>
      <c r="AC446" s="847"/>
      <c r="AD446" s="847"/>
      <c r="AE446" s="847"/>
      <c r="AF446" s="847"/>
      <c r="AG446" s="847"/>
      <c r="AH446" s="847"/>
      <c r="AI446" s="847"/>
      <c r="AJ446" s="847"/>
      <c r="AK446" s="847"/>
      <c r="AL446" s="847"/>
      <c r="AM446" s="847"/>
      <c r="AN446" s="847"/>
      <c r="AO446" s="847"/>
      <c r="AP446" s="847"/>
      <c r="AQ446" s="847"/>
      <c r="AR446" s="847"/>
      <c r="AS446" s="847"/>
      <c r="AT446" s="847"/>
      <c r="AU446" s="847"/>
      <c r="AV446" s="847"/>
      <c r="AW446" s="847"/>
      <c r="AX446" s="847"/>
      <c r="AY446" s="847"/>
      <c r="AZ446" s="847"/>
      <c r="BA446" s="847"/>
      <c r="BB446" s="847"/>
      <c r="BC446" s="847"/>
      <c r="BD446" s="847"/>
      <c r="BE446" s="847"/>
      <c r="BF446" s="847"/>
      <c r="BG446" s="847"/>
      <c r="BH446" s="847"/>
      <c r="BI446" s="847"/>
      <c r="BJ446" s="847"/>
      <c r="BK446" s="847"/>
      <c r="BL446" s="847"/>
      <c r="BM446" s="847"/>
      <c r="BN446" s="847"/>
      <c r="BO446" s="847"/>
      <c r="BP446" s="847"/>
      <c r="BQ446" s="847"/>
      <c r="BR446" s="847"/>
      <c r="BS446" s="847"/>
      <c r="BT446" s="847"/>
      <c r="BU446" s="847"/>
      <c r="BV446" s="847"/>
      <c r="BW446" s="847"/>
      <c r="BX446" s="847"/>
      <c r="BY446" s="847"/>
      <c r="BZ446" s="847"/>
      <c r="CA446" s="847"/>
      <c r="CB446" s="847"/>
      <c r="CC446" s="847"/>
      <c r="CD446" s="847"/>
      <c r="CE446" s="847"/>
      <c r="CF446" s="847"/>
      <c r="CG446" s="847"/>
      <c r="CH446" s="847"/>
      <c r="CI446" s="847"/>
      <c r="CJ446" s="847"/>
      <c r="CK446" s="847"/>
      <c r="CL446" s="847"/>
      <c r="CM446" s="847"/>
      <c r="CN446" s="847"/>
      <c r="CO446" s="847"/>
      <c r="CP446" s="847"/>
      <c r="CQ446" s="847"/>
      <c r="CR446" s="847"/>
      <c r="CS446" s="847"/>
      <c r="CT446" s="847"/>
      <c r="CU446" s="847"/>
      <c r="CV446" s="847"/>
      <c r="CW446" s="847"/>
      <c r="CX446" s="847"/>
      <c r="CY446" s="847"/>
      <c r="CZ446" s="847"/>
      <c r="DA446" s="847"/>
      <c r="DB446" s="847"/>
      <c r="DC446" s="847"/>
      <c r="DD446" s="847"/>
      <c r="DE446" s="847"/>
      <c r="DF446" s="847"/>
      <c r="DG446" s="847"/>
      <c r="DH446" s="847"/>
      <c r="DI446" s="847"/>
      <c r="DJ446" s="847"/>
      <c r="DK446" s="847"/>
      <c r="DL446" s="847"/>
      <c r="DM446" s="1212"/>
      <c r="DN446" s="1222">
        <v>0.87056999999999984</v>
      </c>
      <c r="DO446" s="1013">
        <f>ROUND(C446*DN446,2)</f>
        <v>0</v>
      </c>
      <c r="DP446" s="847"/>
      <c r="DQ446" s="1013"/>
      <c r="DR446" s="1225"/>
      <c r="DS446" s="1013"/>
      <c r="DT446" s="1225"/>
      <c r="DU446" s="1214"/>
      <c r="DV446" s="1242"/>
      <c r="DW446" s="1232"/>
      <c r="DX446" s="1222"/>
      <c r="DY446" s="847"/>
      <c r="DZ446" s="847"/>
      <c r="EA446" s="847"/>
      <c r="EB446" s="847"/>
      <c r="EC446" s="847"/>
      <c r="ED446" s="847"/>
      <c r="EE446" s="847"/>
      <c r="EF446" s="847"/>
      <c r="EG446" s="1212"/>
      <c r="EH446" s="847"/>
      <c r="EI446" s="1212"/>
    </row>
    <row r="447" spans="1:139" s="733" customFormat="1" ht="13.5">
      <c r="A447" s="1009"/>
      <c r="B447" s="1212" t="str">
        <f>B441</f>
        <v>iii.Hard Sooil</v>
      </c>
      <c r="C447" s="1213">
        <v>0</v>
      </c>
      <c r="D447" s="1013" t="s">
        <v>49</v>
      </c>
      <c r="E447" s="847"/>
      <c r="F447" s="1013"/>
      <c r="G447" s="847"/>
      <c r="H447" s="1013"/>
      <c r="I447" s="847"/>
      <c r="J447" s="1013"/>
      <c r="K447" s="847"/>
      <c r="L447" s="1013"/>
      <c r="M447" s="847"/>
      <c r="N447" s="1013"/>
      <c r="O447" s="847"/>
      <c r="P447" s="1013"/>
      <c r="Q447" s="847"/>
      <c r="R447" s="847"/>
      <c r="S447" s="847"/>
      <c r="T447" s="847"/>
      <c r="U447" s="847"/>
      <c r="V447" s="847"/>
      <c r="W447" s="847"/>
      <c r="X447" s="847"/>
      <c r="Y447" s="847"/>
      <c r="Z447" s="847"/>
      <c r="AA447" s="847"/>
      <c r="AB447" s="847"/>
      <c r="AC447" s="847"/>
      <c r="AD447" s="847"/>
      <c r="AE447" s="847"/>
      <c r="AF447" s="847"/>
      <c r="AG447" s="847"/>
      <c r="AH447" s="847"/>
      <c r="AI447" s="847"/>
      <c r="AJ447" s="847"/>
      <c r="AK447" s="847"/>
      <c r="AL447" s="847"/>
      <c r="AM447" s="847"/>
      <c r="AN447" s="847"/>
      <c r="AO447" s="847"/>
      <c r="AP447" s="847"/>
      <c r="AQ447" s="847"/>
      <c r="AR447" s="847"/>
      <c r="AS447" s="847"/>
      <c r="AT447" s="847"/>
      <c r="AU447" s="847"/>
      <c r="AV447" s="847"/>
      <c r="AW447" s="847"/>
      <c r="AX447" s="847"/>
      <c r="AY447" s="847"/>
      <c r="AZ447" s="847"/>
      <c r="BA447" s="847"/>
      <c r="BB447" s="847"/>
      <c r="BC447" s="847"/>
      <c r="BD447" s="847"/>
      <c r="BE447" s="847"/>
      <c r="BF447" s="847"/>
      <c r="BG447" s="847"/>
      <c r="BH447" s="847"/>
      <c r="BI447" s="847"/>
      <c r="BJ447" s="847"/>
      <c r="BK447" s="847"/>
      <c r="BL447" s="847"/>
      <c r="BM447" s="847"/>
      <c r="BN447" s="847"/>
      <c r="BO447" s="847"/>
      <c r="BP447" s="847"/>
      <c r="BQ447" s="847"/>
      <c r="BR447" s="847"/>
      <c r="BS447" s="847"/>
      <c r="BT447" s="847"/>
      <c r="BU447" s="847"/>
      <c r="BV447" s="847"/>
      <c r="BW447" s="847"/>
      <c r="BX447" s="847"/>
      <c r="BY447" s="847"/>
      <c r="BZ447" s="847"/>
      <c r="CA447" s="847"/>
      <c r="CB447" s="847"/>
      <c r="CC447" s="847"/>
      <c r="CD447" s="847"/>
      <c r="CE447" s="847"/>
      <c r="CF447" s="847"/>
      <c r="CG447" s="847"/>
      <c r="CH447" s="847"/>
      <c r="CI447" s="847"/>
      <c r="CJ447" s="847"/>
      <c r="CK447" s="847"/>
      <c r="CL447" s="847"/>
      <c r="CM447" s="847"/>
      <c r="CN447" s="847"/>
      <c r="CO447" s="847"/>
      <c r="CP447" s="847"/>
      <c r="CQ447" s="847"/>
      <c r="CR447" s="847"/>
      <c r="CS447" s="847"/>
      <c r="CT447" s="847"/>
      <c r="CU447" s="847"/>
      <c r="CV447" s="847"/>
      <c r="CW447" s="847"/>
      <c r="CX447" s="847"/>
      <c r="CY447" s="847"/>
      <c r="CZ447" s="847"/>
      <c r="DA447" s="847"/>
      <c r="DB447" s="847"/>
      <c r="DC447" s="847"/>
      <c r="DD447" s="847"/>
      <c r="DE447" s="847"/>
      <c r="DF447" s="847"/>
      <c r="DG447" s="847"/>
      <c r="DH447" s="847"/>
      <c r="DI447" s="847"/>
      <c r="DJ447" s="847"/>
      <c r="DK447" s="847"/>
      <c r="DL447" s="847"/>
      <c r="DM447" s="1212"/>
      <c r="DN447" s="1222" t="e">
        <f>'Lead &amp; ANALYSIS'!#REF!*#REF!+'Lead &amp; ANALYSIS'!#REF!*#REF!</f>
        <v>#REF!</v>
      </c>
      <c r="DO447" s="1013" t="e">
        <f>ROUND(C447*DN447,2)</f>
        <v>#REF!</v>
      </c>
      <c r="DP447" s="847"/>
      <c r="DQ447" s="1013"/>
      <c r="DR447" s="1225"/>
      <c r="DS447" s="1013"/>
      <c r="DT447" s="1225"/>
      <c r="DU447" s="1214"/>
      <c r="DV447" s="1242"/>
      <c r="DW447" s="1232"/>
      <c r="DX447" s="1222"/>
      <c r="DY447" s="847"/>
      <c r="DZ447" s="847"/>
      <c r="EA447" s="847"/>
      <c r="EB447" s="847"/>
      <c r="EC447" s="847"/>
      <c r="ED447" s="847"/>
      <c r="EE447" s="847"/>
      <c r="EF447" s="847"/>
      <c r="EG447" s="1212"/>
      <c r="EH447" s="847"/>
      <c r="EI447" s="1212"/>
    </row>
    <row r="448" spans="1:139" s="733" customFormat="1" ht="13.5">
      <c r="A448" s="1009"/>
      <c r="B448" s="1212" t="str">
        <f>B442</f>
        <v>IV.Stony Earth</v>
      </c>
      <c r="C448" s="1213">
        <v>0</v>
      </c>
      <c r="D448" s="1013" t="s">
        <v>49</v>
      </c>
      <c r="E448" s="847"/>
      <c r="F448" s="1013"/>
      <c r="G448" s="847"/>
      <c r="H448" s="1013"/>
      <c r="I448" s="847"/>
      <c r="J448" s="1013"/>
      <c r="K448" s="847"/>
      <c r="L448" s="1013"/>
      <c r="M448" s="847"/>
      <c r="N448" s="1013"/>
      <c r="O448" s="847"/>
      <c r="P448" s="1013"/>
      <c r="Q448" s="847"/>
      <c r="R448" s="847"/>
      <c r="S448" s="847"/>
      <c r="T448" s="847"/>
      <c r="U448" s="847"/>
      <c r="V448" s="847"/>
      <c r="W448" s="847"/>
      <c r="X448" s="847"/>
      <c r="Y448" s="847"/>
      <c r="Z448" s="847"/>
      <c r="AA448" s="847"/>
      <c r="AB448" s="847"/>
      <c r="AC448" s="847"/>
      <c r="AD448" s="847"/>
      <c r="AE448" s="847"/>
      <c r="AF448" s="847"/>
      <c r="AG448" s="847"/>
      <c r="AH448" s="847"/>
      <c r="AI448" s="847"/>
      <c r="AJ448" s="847"/>
      <c r="AK448" s="847"/>
      <c r="AL448" s="847"/>
      <c r="AM448" s="847"/>
      <c r="AN448" s="847"/>
      <c r="AO448" s="847"/>
      <c r="AP448" s="847"/>
      <c r="AQ448" s="847"/>
      <c r="AR448" s="847"/>
      <c r="AS448" s="847"/>
      <c r="AT448" s="847"/>
      <c r="AU448" s="847"/>
      <c r="AV448" s="847"/>
      <c r="AW448" s="847"/>
      <c r="AX448" s="847"/>
      <c r="AY448" s="847"/>
      <c r="AZ448" s="847"/>
      <c r="BA448" s="847"/>
      <c r="BB448" s="847"/>
      <c r="BC448" s="847"/>
      <c r="BD448" s="847"/>
      <c r="BE448" s="847"/>
      <c r="BF448" s="847"/>
      <c r="BG448" s="847"/>
      <c r="BH448" s="847"/>
      <c r="BI448" s="847"/>
      <c r="BJ448" s="847"/>
      <c r="BK448" s="847"/>
      <c r="BL448" s="847"/>
      <c r="BM448" s="847"/>
      <c r="BN448" s="847"/>
      <c r="BO448" s="847"/>
      <c r="BP448" s="847"/>
      <c r="BQ448" s="847"/>
      <c r="BR448" s="847"/>
      <c r="BS448" s="847"/>
      <c r="BT448" s="847"/>
      <c r="BU448" s="847"/>
      <c r="BV448" s="847"/>
      <c r="BW448" s="847"/>
      <c r="BX448" s="847"/>
      <c r="BY448" s="847"/>
      <c r="BZ448" s="847"/>
      <c r="CA448" s="847"/>
      <c r="CB448" s="847"/>
      <c r="CC448" s="847"/>
      <c r="CD448" s="847"/>
      <c r="CE448" s="847"/>
      <c r="CF448" s="847"/>
      <c r="CG448" s="847"/>
      <c r="CH448" s="847"/>
      <c r="CI448" s="847"/>
      <c r="CJ448" s="847"/>
      <c r="CK448" s="847"/>
      <c r="CL448" s="847"/>
      <c r="CM448" s="847"/>
      <c r="CN448" s="847"/>
      <c r="CO448" s="847"/>
      <c r="CP448" s="847"/>
      <c r="CQ448" s="847"/>
      <c r="CR448" s="847"/>
      <c r="CS448" s="847"/>
      <c r="CT448" s="847"/>
      <c r="CU448" s="847"/>
      <c r="CV448" s="847"/>
      <c r="CW448" s="847"/>
      <c r="CX448" s="847"/>
      <c r="CY448" s="847"/>
      <c r="CZ448" s="847"/>
      <c r="DA448" s="847"/>
      <c r="DB448" s="847"/>
      <c r="DC448" s="847"/>
      <c r="DD448" s="847"/>
      <c r="DE448" s="847"/>
      <c r="DF448" s="847"/>
      <c r="DG448" s="847"/>
      <c r="DH448" s="847"/>
      <c r="DI448" s="847"/>
      <c r="DJ448" s="847"/>
      <c r="DK448" s="847"/>
      <c r="DL448" s="847"/>
      <c r="DM448" s="1212"/>
      <c r="DN448" s="1222" t="e">
        <f>'Lead &amp; ANALYSIS'!#REF!*#REF!+'Lead &amp; ANALYSIS'!#REF!*#REF!</f>
        <v>#REF!</v>
      </c>
      <c r="DO448" s="1013" t="e">
        <f>ROUND(C448*DN448,2)</f>
        <v>#REF!</v>
      </c>
      <c r="DP448" s="847"/>
      <c r="DQ448" s="1013"/>
      <c r="DR448" s="1225"/>
      <c r="DS448" s="1013"/>
      <c r="DT448" s="1225"/>
      <c r="DU448" s="1214"/>
      <c r="DV448" s="1242"/>
      <c r="DW448" s="1232"/>
      <c r="DX448" s="1222"/>
      <c r="DY448" s="847"/>
      <c r="DZ448" s="847"/>
      <c r="EA448" s="847"/>
      <c r="EB448" s="847"/>
      <c r="EC448" s="847"/>
      <c r="ED448" s="847"/>
      <c r="EE448" s="847"/>
      <c r="EF448" s="847"/>
      <c r="EG448" s="1212"/>
      <c r="EH448" s="847"/>
      <c r="EI448" s="1212"/>
    </row>
    <row r="449" spans="1:139" s="733" customFormat="1" ht="13.5">
      <c r="A449" s="1009"/>
      <c r="B449" s="1212" t="str">
        <f>B443</f>
        <v>V.All Kinds of Soil</v>
      </c>
      <c r="C449" s="1213">
        <v>0</v>
      </c>
      <c r="D449" s="1013" t="s">
        <v>49</v>
      </c>
      <c r="E449" s="847"/>
      <c r="F449" s="1013"/>
      <c r="G449" s="847"/>
      <c r="H449" s="1013"/>
      <c r="I449" s="847"/>
      <c r="J449" s="1013"/>
      <c r="K449" s="847"/>
      <c r="L449" s="1013"/>
      <c r="M449" s="847"/>
      <c r="N449" s="1013"/>
      <c r="O449" s="847"/>
      <c r="P449" s="1013"/>
      <c r="Q449" s="847"/>
      <c r="R449" s="847"/>
      <c r="S449" s="847"/>
      <c r="T449" s="847"/>
      <c r="U449" s="847"/>
      <c r="V449" s="847"/>
      <c r="W449" s="847"/>
      <c r="X449" s="847"/>
      <c r="Y449" s="847"/>
      <c r="Z449" s="847"/>
      <c r="AA449" s="847"/>
      <c r="AB449" s="847"/>
      <c r="AC449" s="847"/>
      <c r="AD449" s="847"/>
      <c r="AE449" s="847"/>
      <c r="AF449" s="847"/>
      <c r="AG449" s="847"/>
      <c r="AH449" s="847"/>
      <c r="AI449" s="847"/>
      <c r="AJ449" s="847"/>
      <c r="AK449" s="847"/>
      <c r="AL449" s="847"/>
      <c r="AM449" s="847"/>
      <c r="AN449" s="847"/>
      <c r="AO449" s="847"/>
      <c r="AP449" s="847"/>
      <c r="AQ449" s="847"/>
      <c r="AR449" s="847"/>
      <c r="AS449" s="847"/>
      <c r="AT449" s="847"/>
      <c r="AU449" s="847"/>
      <c r="AV449" s="847"/>
      <c r="AW449" s="847"/>
      <c r="AX449" s="847"/>
      <c r="AY449" s="847"/>
      <c r="AZ449" s="847"/>
      <c r="BA449" s="847"/>
      <c r="BB449" s="847"/>
      <c r="BC449" s="847"/>
      <c r="BD449" s="847"/>
      <c r="BE449" s="847"/>
      <c r="BF449" s="847"/>
      <c r="BG449" s="847"/>
      <c r="BH449" s="847"/>
      <c r="BI449" s="847"/>
      <c r="BJ449" s="847"/>
      <c r="BK449" s="847"/>
      <c r="BL449" s="847"/>
      <c r="BM449" s="847"/>
      <c r="BN449" s="847"/>
      <c r="BO449" s="847"/>
      <c r="BP449" s="847"/>
      <c r="BQ449" s="847"/>
      <c r="BR449" s="847"/>
      <c r="BS449" s="847"/>
      <c r="BT449" s="847"/>
      <c r="BU449" s="847"/>
      <c r="BV449" s="847"/>
      <c r="BW449" s="847"/>
      <c r="BX449" s="847"/>
      <c r="BY449" s="847"/>
      <c r="BZ449" s="847"/>
      <c r="CA449" s="847"/>
      <c r="CB449" s="847"/>
      <c r="CC449" s="847"/>
      <c r="CD449" s="847"/>
      <c r="CE449" s="847"/>
      <c r="CF449" s="847"/>
      <c r="CG449" s="847"/>
      <c r="CH449" s="847"/>
      <c r="CI449" s="847"/>
      <c r="CJ449" s="847"/>
      <c r="CK449" s="847"/>
      <c r="CL449" s="847"/>
      <c r="CM449" s="847"/>
      <c r="CN449" s="847"/>
      <c r="CO449" s="847"/>
      <c r="CP449" s="847"/>
      <c r="CQ449" s="847"/>
      <c r="CR449" s="847"/>
      <c r="CS449" s="847"/>
      <c r="CT449" s="847"/>
      <c r="CU449" s="847"/>
      <c r="CV449" s="847"/>
      <c r="CW449" s="847"/>
      <c r="CX449" s="847"/>
      <c r="CY449" s="847"/>
      <c r="CZ449" s="847"/>
      <c r="DA449" s="847"/>
      <c r="DB449" s="847"/>
      <c r="DC449" s="847"/>
      <c r="DD449" s="847"/>
      <c r="DE449" s="847"/>
      <c r="DF449" s="847"/>
      <c r="DG449" s="847"/>
      <c r="DH449" s="847"/>
      <c r="DI449" s="847"/>
      <c r="DJ449" s="847"/>
      <c r="DK449" s="847"/>
      <c r="DL449" s="847"/>
      <c r="DM449" s="1212"/>
      <c r="DN449" s="1222" t="e">
        <f>'Lead &amp; ANALYSIS'!#REF!*#REF!+'Lead &amp; ANALYSIS'!#REF!*#REF!</f>
        <v>#REF!</v>
      </c>
      <c r="DO449" s="1013" t="e">
        <f>ROUND(C449*DN449,2)</f>
        <v>#REF!</v>
      </c>
      <c r="DP449" s="847"/>
      <c r="DQ449" s="1013"/>
      <c r="DR449" s="1225"/>
      <c r="DS449" s="1013"/>
      <c r="DT449" s="1225"/>
      <c r="DU449" s="1214"/>
      <c r="DV449" s="1242"/>
      <c r="DW449" s="1232"/>
      <c r="DX449" s="1222"/>
      <c r="DY449" s="847"/>
      <c r="DZ449" s="847"/>
      <c r="EA449" s="847"/>
      <c r="EB449" s="847"/>
      <c r="EC449" s="847"/>
      <c r="ED449" s="847"/>
      <c r="EE449" s="847"/>
      <c r="EF449" s="847"/>
      <c r="EG449" s="1212"/>
      <c r="EH449" s="847"/>
      <c r="EI449" s="1212"/>
    </row>
    <row r="450" spans="1:139" s="733" customFormat="1" ht="13.5">
      <c r="A450" s="1009"/>
      <c r="B450" s="1245" t="s">
        <v>1477</v>
      </c>
      <c r="C450" s="1213">
        <v>0</v>
      </c>
      <c r="D450" s="1013" t="s">
        <v>49</v>
      </c>
      <c r="E450" s="847"/>
      <c r="F450" s="1013"/>
      <c r="G450" s="847"/>
      <c r="H450" s="1013"/>
      <c r="I450" s="847"/>
      <c r="J450" s="1013"/>
      <c r="K450" s="847"/>
      <c r="L450" s="1013"/>
      <c r="M450" s="847"/>
      <c r="N450" s="1013"/>
      <c r="O450" s="847"/>
      <c r="P450" s="1013"/>
      <c r="Q450" s="847"/>
      <c r="R450" s="847"/>
      <c r="S450" s="847"/>
      <c r="T450" s="847"/>
      <c r="U450" s="847"/>
      <c r="V450" s="847"/>
      <c r="W450" s="847"/>
      <c r="X450" s="847"/>
      <c r="Y450" s="847"/>
      <c r="Z450" s="847"/>
      <c r="AA450" s="847"/>
      <c r="AB450" s="847"/>
      <c r="AC450" s="847"/>
      <c r="AD450" s="847"/>
      <c r="AE450" s="847"/>
      <c r="AF450" s="847"/>
      <c r="AG450" s="847"/>
      <c r="AH450" s="847"/>
      <c r="AI450" s="847"/>
      <c r="AJ450" s="847"/>
      <c r="AK450" s="847"/>
      <c r="AL450" s="847"/>
      <c r="AM450" s="847"/>
      <c r="AN450" s="847"/>
      <c r="AO450" s="847"/>
      <c r="AP450" s="847"/>
      <c r="AQ450" s="847"/>
      <c r="AR450" s="847"/>
      <c r="AS450" s="847"/>
      <c r="AT450" s="847"/>
      <c r="AU450" s="847"/>
      <c r="AV450" s="847"/>
      <c r="AW450" s="847"/>
      <c r="AX450" s="847"/>
      <c r="AY450" s="847"/>
      <c r="AZ450" s="847"/>
      <c r="BA450" s="847"/>
      <c r="BB450" s="847"/>
      <c r="BC450" s="847"/>
      <c r="BD450" s="847"/>
      <c r="BE450" s="847"/>
      <c r="BF450" s="847"/>
      <c r="BG450" s="847"/>
      <c r="BH450" s="847"/>
      <c r="BI450" s="847"/>
      <c r="BJ450" s="847"/>
      <c r="BK450" s="847"/>
      <c r="BL450" s="847"/>
      <c r="BM450" s="847"/>
      <c r="BN450" s="847"/>
      <c r="BO450" s="847"/>
      <c r="BP450" s="847"/>
      <c r="BQ450" s="847"/>
      <c r="BR450" s="847"/>
      <c r="BS450" s="847"/>
      <c r="BT450" s="847"/>
      <c r="BU450" s="847"/>
      <c r="BV450" s="847"/>
      <c r="BW450" s="847"/>
      <c r="BX450" s="847"/>
      <c r="BY450" s="847"/>
      <c r="BZ450" s="847"/>
      <c r="CA450" s="847"/>
      <c r="CB450" s="847"/>
      <c r="CC450" s="847"/>
      <c r="CD450" s="847"/>
      <c r="CE450" s="847"/>
      <c r="CF450" s="847"/>
      <c r="CG450" s="847"/>
      <c r="CH450" s="847"/>
      <c r="CI450" s="847"/>
      <c r="CJ450" s="847"/>
      <c r="CK450" s="847"/>
      <c r="CL450" s="847"/>
      <c r="CM450" s="847"/>
      <c r="CN450" s="847"/>
      <c r="CO450" s="847"/>
      <c r="CP450" s="847"/>
      <c r="CQ450" s="847"/>
      <c r="CR450" s="847"/>
      <c r="CS450" s="847"/>
      <c r="CT450" s="847"/>
      <c r="CU450" s="847"/>
      <c r="CV450" s="847"/>
      <c r="CW450" s="847"/>
      <c r="CX450" s="847"/>
      <c r="CY450" s="847"/>
      <c r="CZ450" s="847"/>
      <c r="DA450" s="847"/>
      <c r="DB450" s="847"/>
      <c r="DC450" s="847"/>
      <c r="DD450" s="847"/>
      <c r="DE450" s="847"/>
      <c r="DF450" s="847"/>
      <c r="DG450" s="847"/>
      <c r="DH450" s="847"/>
      <c r="DI450" s="847"/>
      <c r="DJ450" s="847"/>
      <c r="DK450" s="847"/>
      <c r="DL450" s="847"/>
      <c r="DM450" s="1212"/>
      <c r="DN450" s="1222"/>
      <c r="DO450" s="1013"/>
      <c r="DP450" s="847"/>
      <c r="DQ450" s="1013"/>
      <c r="DR450" s="1225"/>
      <c r="DS450" s="1013"/>
      <c r="DT450" s="1225"/>
      <c r="DU450" s="1214"/>
      <c r="DV450" s="1242"/>
      <c r="DW450" s="1232"/>
      <c r="DX450" s="1222"/>
      <c r="DY450" s="847"/>
      <c r="DZ450" s="847"/>
      <c r="EA450" s="847"/>
      <c r="EB450" s="847"/>
      <c r="EC450" s="847"/>
      <c r="ED450" s="847"/>
      <c r="EE450" s="847"/>
      <c r="EF450" s="847"/>
      <c r="EG450" s="1212"/>
      <c r="EH450" s="847"/>
      <c r="EI450" s="1212"/>
    </row>
    <row r="451" spans="1:139" s="733" customFormat="1" ht="13.5">
      <c r="A451" s="1009"/>
      <c r="B451" s="1212" t="str">
        <f>B445</f>
        <v>i.Ordinary Soil.</v>
      </c>
      <c r="C451" s="1213">
        <v>0</v>
      </c>
      <c r="D451" s="1013" t="s">
        <v>49</v>
      </c>
      <c r="E451" s="847"/>
      <c r="F451" s="1013"/>
      <c r="G451" s="847"/>
      <c r="H451" s="1013"/>
      <c r="I451" s="847"/>
      <c r="J451" s="1013"/>
      <c r="K451" s="847"/>
      <c r="L451" s="1013"/>
      <c r="M451" s="847"/>
      <c r="N451" s="1013"/>
      <c r="O451" s="847"/>
      <c r="P451" s="1013"/>
      <c r="Q451" s="847"/>
      <c r="R451" s="847"/>
      <c r="S451" s="847"/>
      <c r="T451" s="847"/>
      <c r="U451" s="847"/>
      <c r="V451" s="847"/>
      <c r="W451" s="847"/>
      <c r="X451" s="847"/>
      <c r="Y451" s="847"/>
      <c r="Z451" s="847"/>
      <c r="AA451" s="847"/>
      <c r="AB451" s="847"/>
      <c r="AC451" s="847"/>
      <c r="AD451" s="847"/>
      <c r="AE451" s="847"/>
      <c r="AF451" s="847"/>
      <c r="AG451" s="847"/>
      <c r="AH451" s="847"/>
      <c r="AI451" s="847"/>
      <c r="AJ451" s="847"/>
      <c r="AK451" s="847"/>
      <c r="AL451" s="847"/>
      <c r="AM451" s="847"/>
      <c r="AN451" s="847"/>
      <c r="AO451" s="847"/>
      <c r="AP451" s="847"/>
      <c r="AQ451" s="847"/>
      <c r="AR451" s="847"/>
      <c r="AS451" s="847"/>
      <c r="AT451" s="847"/>
      <c r="AU451" s="847"/>
      <c r="AV451" s="847"/>
      <c r="AW451" s="847"/>
      <c r="AX451" s="847"/>
      <c r="AY451" s="847"/>
      <c r="AZ451" s="847"/>
      <c r="BA451" s="847"/>
      <c r="BB451" s="847"/>
      <c r="BC451" s="847"/>
      <c r="BD451" s="847"/>
      <c r="BE451" s="847"/>
      <c r="BF451" s="847"/>
      <c r="BG451" s="847"/>
      <c r="BH451" s="847"/>
      <c r="BI451" s="847"/>
      <c r="BJ451" s="847"/>
      <c r="BK451" s="847"/>
      <c r="BL451" s="847"/>
      <c r="BM451" s="847"/>
      <c r="BN451" s="847"/>
      <c r="BO451" s="847"/>
      <c r="BP451" s="847"/>
      <c r="BQ451" s="847"/>
      <c r="BR451" s="847"/>
      <c r="BS451" s="847"/>
      <c r="BT451" s="847"/>
      <c r="BU451" s="847"/>
      <c r="BV451" s="847"/>
      <c r="BW451" s="847"/>
      <c r="BX451" s="847"/>
      <c r="BY451" s="847"/>
      <c r="BZ451" s="847"/>
      <c r="CA451" s="847"/>
      <c r="CB451" s="847"/>
      <c r="CC451" s="847"/>
      <c r="CD451" s="847"/>
      <c r="CE451" s="847"/>
      <c r="CF451" s="847"/>
      <c r="CG451" s="847"/>
      <c r="CH451" s="847"/>
      <c r="CI451" s="847"/>
      <c r="CJ451" s="847"/>
      <c r="CK451" s="847"/>
      <c r="CL451" s="847"/>
      <c r="CM451" s="847"/>
      <c r="CN451" s="847"/>
      <c r="CO451" s="847"/>
      <c r="CP451" s="847"/>
      <c r="CQ451" s="847"/>
      <c r="CR451" s="847"/>
      <c r="CS451" s="847"/>
      <c r="CT451" s="847"/>
      <c r="CU451" s="847"/>
      <c r="CV451" s="847"/>
      <c r="CW451" s="847"/>
      <c r="CX451" s="847"/>
      <c r="CY451" s="847"/>
      <c r="CZ451" s="847"/>
      <c r="DA451" s="847"/>
      <c r="DB451" s="847"/>
      <c r="DC451" s="847"/>
      <c r="DD451" s="847"/>
      <c r="DE451" s="847"/>
      <c r="DF451" s="847"/>
      <c r="DG451" s="847"/>
      <c r="DH451" s="847"/>
      <c r="DI451" s="847"/>
      <c r="DJ451" s="847"/>
      <c r="DK451" s="847"/>
      <c r="DL451" s="847"/>
      <c r="DM451" s="1212"/>
      <c r="DN451" s="1222" t="e">
        <f>'Lead &amp; ANALYSIS'!#REF!*#REF!+'Lead &amp; ANALYSIS'!#REF!*#REF!</f>
        <v>#REF!</v>
      </c>
      <c r="DO451" s="1013" t="e">
        <f>ROUND(C451*DN451,2)</f>
        <v>#REF!</v>
      </c>
      <c r="DP451" s="847"/>
      <c r="DQ451" s="1013"/>
      <c r="DR451" s="1225"/>
      <c r="DS451" s="1013"/>
      <c r="DT451" s="1225"/>
      <c r="DU451" s="1214"/>
      <c r="DV451" s="1242"/>
      <c r="DW451" s="1232"/>
      <c r="DX451" s="1222"/>
      <c r="DY451" s="847"/>
      <c r="DZ451" s="847"/>
      <c r="EA451" s="847"/>
      <c r="EB451" s="847"/>
      <c r="EC451" s="847"/>
      <c r="ED451" s="847"/>
      <c r="EE451" s="847"/>
      <c r="EF451" s="847"/>
      <c r="EG451" s="1212"/>
      <c r="EH451" s="847"/>
      <c r="EI451" s="1212"/>
    </row>
    <row r="452" spans="1:139" s="733" customFormat="1" ht="13.5">
      <c r="A452" s="1009"/>
      <c r="B452" s="1212" t="str">
        <f>B446</f>
        <v>ii.Slushy Soil</v>
      </c>
      <c r="C452" s="1213">
        <v>0</v>
      </c>
      <c r="D452" s="1013" t="s">
        <v>49</v>
      </c>
      <c r="E452" s="847"/>
      <c r="F452" s="1013"/>
      <c r="G452" s="847"/>
      <c r="H452" s="1013"/>
      <c r="I452" s="847"/>
      <c r="J452" s="1013"/>
      <c r="K452" s="847"/>
      <c r="L452" s="1013"/>
      <c r="M452" s="847"/>
      <c r="N452" s="1013"/>
      <c r="O452" s="847"/>
      <c r="P452" s="1013"/>
      <c r="Q452" s="847"/>
      <c r="R452" s="847"/>
      <c r="S452" s="847"/>
      <c r="T452" s="847"/>
      <c r="U452" s="847"/>
      <c r="V452" s="847"/>
      <c r="W452" s="847"/>
      <c r="X452" s="847"/>
      <c r="Y452" s="847"/>
      <c r="Z452" s="847"/>
      <c r="AA452" s="847"/>
      <c r="AB452" s="847"/>
      <c r="AC452" s="847"/>
      <c r="AD452" s="847"/>
      <c r="AE452" s="847"/>
      <c r="AF452" s="847"/>
      <c r="AG452" s="847"/>
      <c r="AH452" s="847"/>
      <c r="AI452" s="847"/>
      <c r="AJ452" s="847"/>
      <c r="AK452" s="847"/>
      <c r="AL452" s="847"/>
      <c r="AM452" s="847"/>
      <c r="AN452" s="847"/>
      <c r="AO452" s="847"/>
      <c r="AP452" s="847"/>
      <c r="AQ452" s="847"/>
      <c r="AR452" s="847"/>
      <c r="AS452" s="847"/>
      <c r="AT452" s="847"/>
      <c r="AU452" s="847"/>
      <c r="AV452" s="847"/>
      <c r="AW452" s="847"/>
      <c r="AX452" s="847"/>
      <c r="AY452" s="847"/>
      <c r="AZ452" s="847"/>
      <c r="BA452" s="847"/>
      <c r="BB452" s="847"/>
      <c r="BC452" s="847"/>
      <c r="BD452" s="847"/>
      <c r="BE452" s="847"/>
      <c r="BF452" s="847"/>
      <c r="BG452" s="847"/>
      <c r="BH452" s="847"/>
      <c r="BI452" s="847"/>
      <c r="BJ452" s="847"/>
      <c r="BK452" s="847"/>
      <c r="BL452" s="847"/>
      <c r="BM452" s="847"/>
      <c r="BN452" s="847"/>
      <c r="BO452" s="847"/>
      <c r="BP452" s="847"/>
      <c r="BQ452" s="847"/>
      <c r="BR452" s="847"/>
      <c r="BS452" s="847"/>
      <c r="BT452" s="847"/>
      <c r="BU452" s="847"/>
      <c r="BV452" s="847"/>
      <c r="BW452" s="847"/>
      <c r="BX452" s="847"/>
      <c r="BY452" s="847"/>
      <c r="BZ452" s="847"/>
      <c r="CA452" s="847"/>
      <c r="CB452" s="847"/>
      <c r="CC452" s="847"/>
      <c r="CD452" s="847"/>
      <c r="CE452" s="847"/>
      <c r="CF452" s="847"/>
      <c r="CG452" s="847"/>
      <c r="CH452" s="847"/>
      <c r="CI452" s="847"/>
      <c r="CJ452" s="847"/>
      <c r="CK452" s="847"/>
      <c r="CL452" s="847"/>
      <c r="CM452" s="847"/>
      <c r="CN452" s="847"/>
      <c r="CO452" s="847"/>
      <c r="CP452" s="847"/>
      <c r="CQ452" s="847"/>
      <c r="CR452" s="847"/>
      <c r="CS452" s="847"/>
      <c r="CT452" s="847"/>
      <c r="CU452" s="847"/>
      <c r="CV452" s="847"/>
      <c r="CW452" s="847"/>
      <c r="CX452" s="847"/>
      <c r="CY452" s="847"/>
      <c r="CZ452" s="847"/>
      <c r="DA452" s="847"/>
      <c r="DB452" s="847"/>
      <c r="DC452" s="847"/>
      <c r="DD452" s="847"/>
      <c r="DE452" s="847"/>
      <c r="DF452" s="847"/>
      <c r="DG452" s="847"/>
      <c r="DH452" s="847"/>
      <c r="DI452" s="847"/>
      <c r="DJ452" s="847"/>
      <c r="DK452" s="847"/>
      <c r="DL452" s="847"/>
      <c r="DM452" s="1212"/>
      <c r="DN452" s="1222" t="e">
        <f>'Lead &amp; ANALYSIS'!#REF!*#REF!+'Lead &amp; ANALYSIS'!#REF!*#REF!</f>
        <v>#REF!</v>
      </c>
      <c r="DO452" s="1013" t="e">
        <f>ROUND(C452*DN452,2)</f>
        <v>#REF!</v>
      </c>
      <c r="DP452" s="847"/>
      <c r="DQ452" s="1013"/>
      <c r="DR452" s="1225"/>
      <c r="DS452" s="1013"/>
      <c r="DT452" s="1225"/>
      <c r="DU452" s="1214"/>
      <c r="DV452" s="1242"/>
      <c r="DW452" s="1232"/>
      <c r="DX452" s="1222"/>
      <c r="DY452" s="847"/>
      <c r="DZ452" s="847"/>
      <c r="EA452" s="847"/>
      <c r="EB452" s="847"/>
      <c r="EC452" s="847"/>
      <c r="ED452" s="847"/>
      <c r="EE452" s="847"/>
      <c r="EF452" s="847"/>
      <c r="EG452" s="1212"/>
      <c r="EH452" s="847"/>
      <c r="EI452" s="1212"/>
    </row>
    <row r="453" spans="1:139" s="733" customFormat="1" ht="13.5">
      <c r="A453" s="1009"/>
      <c r="B453" s="1212" t="str">
        <f>B447</f>
        <v>iii.Hard Sooil</v>
      </c>
      <c r="C453" s="1213">
        <v>0</v>
      </c>
      <c r="D453" s="1013" t="s">
        <v>49</v>
      </c>
      <c r="E453" s="847"/>
      <c r="F453" s="1013"/>
      <c r="G453" s="847"/>
      <c r="H453" s="1013"/>
      <c r="I453" s="847"/>
      <c r="J453" s="1013"/>
      <c r="K453" s="847"/>
      <c r="L453" s="1013"/>
      <c r="M453" s="847"/>
      <c r="N453" s="1013"/>
      <c r="O453" s="847"/>
      <c r="P453" s="1013"/>
      <c r="Q453" s="847"/>
      <c r="R453" s="847"/>
      <c r="S453" s="847"/>
      <c r="T453" s="847"/>
      <c r="U453" s="847"/>
      <c r="V453" s="847"/>
      <c r="W453" s="847"/>
      <c r="X453" s="847"/>
      <c r="Y453" s="847"/>
      <c r="Z453" s="847"/>
      <c r="AA453" s="847"/>
      <c r="AB453" s="847"/>
      <c r="AC453" s="847"/>
      <c r="AD453" s="847"/>
      <c r="AE453" s="847"/>
      <c r="AF453" s="847"/>
      <c r="AG453" s="847"/>
      <c r="AH453" s="847"/>
      <c r="AI453" s="847"/>
      <c r="AJ453" s="847"/>
      <c r="AK453" s="847"/>
      <c r="AL453" s="847"/>
      <c r="AM453" s="847"/>
      <c r="AN453" s="847"/>
      <c r="AO453" s="847"/>
      <c r="AP453" s="847"/>
      <c r="AQ453" s="847"/>
      <c r="AR453" s="847"/>
      <c r="AS453" s="847"/>
      <c r="AT453" s="847"/>
      <c r="AU453" s="847"/>
      <c r="AV453" s="847"/>
      <c r="AW453" s="847"/>
      <c r="AX453" s="847"/>
      <c r="AY453" s="847"/>
      <c r="AZ453" s="847"/>
      <c r="BA453" s="847"/>
      <c r="BB453" s="847"/>
      <c r="BC453" s="847"/>
      <c r="BD453" s="847"/>
      <c r="BE453" s="847"/>
      <c r="BF453" s="847"/>
      <c r="BG453" s="847"/>
      <c r="BH453" s="847"/>
      <c r="BI453" s="847"/>
      <c r="BJ453" s="847"/>
      <c r="BK453" s="847"/>
      <c r="BL453" s="847"/>
      <c r="BM453" s="847"/>
      <c r="BN453" s="847"/>
      <c r="BO453" s="847"/>
      <c r="BP453" s="847"/>
      <c r="BQ453" s="847"/>
      <c r="BR453" s="847"/>
      <c r="BS453" s="847"/>
      <c r="BT453" s="847"/>
      <c r="BU453" s="847"/>
      <c r="BV453" s="847"/>
      <c r="BW453" s="847"/>
      <c r="BX453" s="847"/>
      <c r="BY453" s="847"/>
      <c r="BZ453" s="847"/>
      <c r="CA453" s="847"/>
      <c r="CB453" s="847"/>
      <c r="CC453" s="847"/>
      <c r="CD453" s="847"/>
      <c r="CE453" s="847"/>
      <c r="CF453" s="847"/>
      <c r="CG453" s="847"/>
      <c r="CH453" s="847"/>
      <c r="CI453" s="847"/>
      <c r="CJ453" s="847"/>
      <c r="CK453" s="847"/>
      <c r="CL453" s="847"/>
      <c r="CM453" s="847"/>
      <c r="CN453" s="847"/>
      <c r="CO453" s="847"/>
      <c r="CP453" s="847"/>
      <c r="CQ453" s="847"/>
      <c r="CR453" s="847"/>
      <c r="CS453" s="847"/>
      <c r="CT453" s="847"/>
      <c r="CU453" s="847"/>
      <c r="CV453" s="847"/>
      <c r="CW453" s="847"/>
      <c r="CX453" s="847"/>
      <c r="CY453" s="847"/>
      <c r="CZ453" s="847"/>
      <c r="DA453" s="847"/>
      <c r="DB453" s="847"/>
      <c r="DC453" s="847"/>
      <c r="DD453" s="847"/>
      <c r="DE453" s="847"/>
      <c r="DF453" s="847"/>
      <c r="DG453" s="847"/>
      <c r="DH453" s="847"/>
      <c r="DI453" s="847"/>
      <c r="DJ453" s="847"/>
      <c r="DK453" s="847"/>
      <c r="DL453" s="847"/>
      <c r="DM453" s="1212"/>
      <c r="DN453" s="1222" t="e">
        <f>'Lead &amp; ANALYSIS'!#REF!*#REF!+'Lead &amp; ANALYSIS'!#REF!*#REF!</f>
        <v>#REF!</v>
      </c>
      <c r="DO453" s="1013" t="e">
        <f>ROUND(C453*DN453,2)</f>
        <v>#REF!</v>
      </c>
      <c r="DP453" s="847"/>
      <c r="DQ453" s="1013"/>
      <c r="DR453" s="1225"/>
      <c r="DS453" s="1013"/>
      <c r="DT453" s="1225"/>
      <c r="DU453" s="1214"/>
      <c r="DV453" s="1242"/>
      <c r="DW453" s="1232"/>
      <c r="DX453" s="1222"/>
      <c r="DY453" s="847"/>
      <c r="DZ453" s="847"/>
      <c r="EA453" s="847"/>
      <c r="EB453" s="847"/>
      <c r="EC453" s="847"/>
      <c r="ED453" s="847"/>
      <c r="EE453" s="847"/>
      <c r="EF453" s="847"/>
      <c r="EG453" s="1212"/>
      <c r="EH453" s="847"/>
      <c r="EI453" s="1212"/>
    </row>
    <row r="454" spans="1:139" s="733" customFormat="1" ht="13.5">
      <c r="A454" s="1009"/>
      <c r="B454" s="1212" t="str">
        <f>B448</f>
        <v>IV.Stony Earth</v>
      </c>
      <c r="C454" s="1213">
        <v>0</v>
      </c>
      <c r="D454" s="1013" t="s">
        <v>49</v>
      </c>
      <c r="E454" s="847"/>
      <c r="F454" s="1013"/>
      <c r="G454" s="847"/>
      <c r="H454" s="1013"/>
      <c r="I454" s="847"/>
      <c r="J454" s="1013"/>
      <c r="K454" s="847"/>
      <c r="L454" s="1013"/>
      <c r="M454" s="847"/>
      <c r="N454" s="1013"/>
      <c r="O454" s="847"/>
      <c r="P454" s="1013"/>
      <c r="Q454" s="847"/>
      <c r="R454" s="847"/>
      <c r="S454" s="847"/>
      <c r="T454" s="847"/>
      <c r="U454" s="847"/>
      <c r="V454" s="847"/>
      <c r="W454" s="847"/>
      <c r="X454" s="847"/>
      <c r="Y454" s="847"/>
      <c r="Z454" s="847"/>
      <c r="AA454" s="847"/>
      <c r="AB454" s="847"/>
      <c r="AC454" s="847"/>
      <c r="AD454" s="847"/>
      <c r="AE454" s="847"/>
      <c r="AF454" s="847"/>
      <c r="AG454" s="847"/>
      <c r="AH454" s="847"/>
      <c r="AI454" s="847"/>
      <c r="AJ454" s="847"/>
      <c r="AK454" s="847"/>
      <c r="AL454" s="847"/>
      <c r="AM454" s="847"/>
      <c r="AN454" s="847"/>
      <c r="AO454" s="847"/>
      <c r="AP454" s="847"/>
      <c r="AQ454" s="847"/>
      <c r="AR454" s="847"/>
      <c r="AS454" s="847"/>
      <c r="AT454" s="847"/>
      <c r="AU454" s="847"/>
      <c r="AV454" s="847"/>
      <c r="AW454" s="847"/>
      <c r="AX454" s="847"/>
      <c r="AY454" s="847"/>
      <c r="AZ454" s="847"/>
      <c r="BA454" s="847"/>
      <c r="BB454" s="847"/>
      <c r="BC454" s="847"/>
      <c r="BD454" s="847"/>
      <c r="BE454" s="847"/>
      <c r="BF454" s="847"/>
      <c r="BG454" s="847"/>
      <c r="BH454" s="847"/>
      <c r="BI454" s="847"/>
      <c r="BJ454" s="847"/>
      <c r="BK454" s="847"/>
      <c r="BL454" s="847"/>
      <c r="BM454" s="847"/>
      <c r="BN454" s="847"/>
      <c r="BO454" s="847"/>
      <c r="BP454" s="847"/>
      <c r="BQ454" s="847"/>
      <c r="BR454" s="847"/>
      <c r="BS454" s="847"/>
      <c r="BT454" s="847"/>
      <c r="BU454" s="847"/>
      <c r="BV454" s="847"/>
      <c r="BW454" s="847"/>
      <c r="BX454" s="847"/>
      <c r="BY454" s="847"/>
      <c r="BZ454" s="847"/>
      <c r="CA454" s="847"/>
      <c r="CB454" s="847"/>
      <c r="CC454" s="847"/>
      <c r="CD454" s="847"/>
      <c r="CE454" s="847"/>
      <c r="CF454" s="847"/>
      <c r="CG454" s="847"/>
      <c r="CH454" s="847"/>
      <c r="CI454" s="847"/>
      <c r="CJ454" s="847"/>
      <c r="CK454" s="847"/>
      <c r="CL454" s="847"/>
      <c r="CM454" s="847"/>
      <c r="CN454" s="847"/>
      <c r="CO454" s="847"/>
      <c r="CP454" s="847"/>
      <c r="CQ454" s="847"/>
      <c r="CR454" s="847"/>
      <c r="CS454" s="847"/>
      <c r="CT454" s="847"/>
      <c r="CU454" s="847"/>
      <c r="CV454" s="847"/>
      <c r="CW454" s="847"/>
      <c r="CX454" s="847"/>
      <c r="CY454" s="847"/>
      <c r="CZ454" s="847"/>
      <c r="DA454" s="847"/>
      <c r="DB454" s="847"/>
      <c r="DC454" s="847"/>
      <c r="DD454" s="847"/>
      <c r="DE454" s="847"/>
      <c r="DF454" s="847"/>
      <c r="DG454" s="847"/>
      <c r="DH454" s="847"/>
      <c r="DI454" s="847"/>
      <c r="DJ454" s="847"/>
      <c r="DK454" s="847"/>
      <c r="DL454" s="847"/>
      <c r="DM454" s="1212"/>
      <c r="DN454" s="1222" t="e">
        <f>'Lead &amp; ANALYSIS'!#REF!*#REF!+'Lead &amp; ANALYSIS'!#REF!*#REF!</f>
        <v>#REF!</v>
      </c>
      <c r="DO454" s="1013" t="e">
        <f>ROUND(C454*DN454,2)</f>
        <v>#REF!</v>
      </c>
      <c r="DP454" s="847"/>
      <c r="DQ454" s="1013"/>
      <c r="DR454" s="1225"/>
      <c r="DS454" s="1013"/>
      <c r="DT454" s="1225"/>
      <c r="DU454" s="1214"/>
      <c r="DV454" s="1242"/>
      <c r="DW454" s="1232"/>
      <c r="DX454" s="1222"/>
      <c r="DY454" s="847"/>
      <c r="DZ454" s="847"/>
      <c r="EA454" s="847"/>
      <c r="EB454" s="847"/>
      <c r="EC454" s="847"/>
      <c r="ED454" s="847"/>
      <c r="EE454" s="847"/>
      <c r="EF454" s="847"/>
      <c r="EG454" s="1212"/>
      <c r="EH454" s="847"/>
      <c r="EI454" s="1212"/>
    </row>
    <row r="455" spans="1:139" s="733" customFormat="1" ht="13.5">
      <c r="A455" s="1009"/>
      <c r="B455" s="1212" t="str">
        <f>B449</f>
        <v>V.All Kinds of Soil</v>
      </c>
      <c r="C455" s="1213">
        <v>0</v>
      </c>
      <c r="D455" s="1013" t="s">
        <v>49</v>
      </c>
      <c r="E455" s="847"/>
      <c r="F455" s="1013"/>
      <c r="G455" s="847"/>
      <c r="H455" s="1013"/>
      <c r="I455" s="847"/>
      <c r="J455" s="1013"/>
      <c r="K455" s="847"/>
      <c r="L455" s="1013"/>
      <c r="M455" s="847"/>
      <c r="N455" s="1013"/>
      <c r="O455" s="847"/>
      <c r="P455" s="1013"/>
      <c r="Q455" s="847"/>
      <c r="R455" s="847"/>
      <c r="S455" s="847"/>
      <c r="T455" s="847"/>
      <c r="U455" s="847"/>
      <c r="V455" s="847"/>
      <c r="W455" s="847"/>
      <c r="X455" s="847"/>
      <c r="Y455" s="847"/>
      <c r="Z455" s="847"/>
      <c r="AA455" s="847"/>
      <c r="AB455" s="847"/>
      <c r="AC455" s="847"/>
      <c r="AD455" s="847"/>
      <c r="AE455" s="847"/>
      <c r="AF455" s="847"/>
      <c r="AG455" s="847"/>
      <c r="AH455" s="847"/>
      <c r="AI455" s="847"/>
      <c r="AJ455" s="847"/>
      <c r="AK455" s="847"/>
      <c r="AL455" s="847"/>
      <c r="AM455" s="847"/>
      <c r="AN455" s="847"/>
      <c r="AO455" s="847"/>
      <c r="AP455" s="847"/>
      <c r="AQ455" s="847"/>
      <c r="AR455" s="847"/>
      <c r="AS455" s="847"/>
      <c r="AT455" s="847"/>
      <c r="AU455" s="847"/>
      <c r="AV455" s="847"/>
      <c r="AW455" s="847"/>
      <c r="AX455" s="847"/>
      <c r="AY455" s="847"/>
      <c r="AZ455" s="847"/>
      <c r="BA455" s="847"/>
      <c r="BB455" s="847"/>
      <c r="BC455" s="847"/>
      <c r="BD455" s="847"/>
      <c r="BE455" s="847"/>
      <c r="BF455" s="847"/>
      <c r="BG455" s="847"/>
      <c r="BH455" s="847"/>
      <c r="BI455" s="847"/>
      <c r="BJ455" s="847"/>
      <c r="BK455" s="847"/>
      <c r="BL455" s="847"/>
      <c r="BM455" s="847"/>
      <c r="BN455" s="847"/>
      <c r="BO455" s="847"/>
      <c r="BP455" s="847"/>
      <c r="BQ455" s="847"/>
      <c r="BR455" s="847"/>
      <c r="BS455" s="847"/>
      <c r="BT455" s="847"/>
      <c r="BU455" s="847"/>
      <c r="BV455" s="847"/>
      <c r="BW455" s="847"/>
      <c r="BX455" s="847"/>
      <c r="BY455" s="847"/>
      <c r="BZ455" s="847"/>
      <c r="CA455" s="847"/>
      <c r="CB455" s="847"/>
      <c r="CC455" s="847"/>
      <c r="CD455" s="847"/>
      <c r="CE455" s="847"/>
      <c r="CF455" s="847"/>
      <c r="CG455" s="847"/>
      <c r="CH455" s="847"/>
      <c r="CI455" s="847"/>
      <c r="CJ455" s="847"/>
      <c r="CK455" s="847"/>
      <c r="CL455" s="847"/>
      <c r="CM455" s="847"/>
      <c r="CN455" s="847"/>
      <c r="CO455" s="847"/>
      <c r="CP455" s="847"/>
      <c r="CQ455" s="847"/>
      <c r="CR455" s="847"/>
      <c r="CS455" s="847"/>
      <c r="CT455" s="847"/>
      <c r="CU455" s="847"/>
      <c r="CV455" s="847"/>
      <c r="CW455" s="847"/>
      <c r="CX455" s="847"/>
      <c r="CY455" s="847"/>
      <c r="CZ455" s="847"/>
      <c r="DA455" s="847"/>
      <c r="DB455" s="847"/>
      <c r="DC455" s="847"/>
      <c r="DD455" s="847"/>
      <c r="DE455" s="847"/>
      <c r="DF455" s="847"/>
      <c r="DG455" s="847"/>
      <c r="DH455" s="847"/>
      <c r="DI455" s="847"/>
      <c r="DJ455" s="847"/>
      <c r="DK455" s="847"/>
      <c r="DL455" s="847"/>
      <c r="DM455" s="1212"/>
      <c r="DN455" s="1222" t="e">
        <f>'Lead &amp; ANALYSIS'!#REF!*#REF!+'Lead &amp; ANALYSIS'!#REF!*#REF!</f>
        <v>#REF!</v>
      </c>
      <c r="DO455" s="1013" t="e">
        <f>ROUND(C455*DN455,2)</f>
        <v>#REF!</v>
      </c>
      <c r="DP455" s="847"/>
      <c r="DQ455" s="1013"/>
      <c r="DR455" s="1225"/>
      <c r="DS455" s="1013"/>
      <c r="DT455" s="1225"/>
      <c r="DU455" s="1214"/>
      <c r="DV455" s="1242"/>
      <c r="DW455" s="1232"/>
      <c r="DX455" s="1222"/>
      <c r="DY455" s="847"/>
      <c r="DZ455" s="847"/>
      <c r="EA455" s="847"/>
      <c r="EB455" s="847"/>
      <c r="EC455" s="847"/>
      <c r="ED455" s="847"/>
      <c r="EE455" s="847"/>
      <c r="EF455" s="847"/>
      <c r="EG455" s="1212"/>
      <c r="EH455" s="847"/>
      <c r="EI455" s="1212"/>
    </row>
    <row r="456" spans="1:139" s="733" customFormat="1" ht="13.5">
      <c r="A456" s="1009"/>
      <c r="B456" s="1245" t="s">
        <v>1480</v>
      </c>
      <c r="C456" s="1213">
        <v>0</v>
      </c>
      <c r="D456" s="1013" t="s">
        <v>49</v>
      </c>
      <c r="E456" s="847"/>
      <c r="F456" s="1013"/>
      <c r="G456" s="847"/>
      <c r="H456" s="1013"/>
      <c r="I456" s="847"/>
      <c r="J456" s="1013"/>
      <c r="K456" s="847"/>
      <c r="L456" s="1013"/>
      <c r="M456" s="847"/>
      <c r="N456" s="1013"/>
      <c r="O456" s="847"/>
      <c r="P456" s="1013"/>
      <c r="Q456" s="847"/>
      <c r="R456" s="847"/>
      <c r="S456" s="847"/>
      <c r="T456" s="847"/>
      <c r="U456" s="847"/>
      <c r="V456" s="847"/>
      <c r="W456" s="847"/>
      <c r="X456" s="847"/>
      <c r="Y456" s="847"/>
      <c r="Z456" s="847"/>
      <c r="AA456" s="847"/>
      <c r="AB456" s="847"/>
      <c r="AC456" s="847"/>
      <c r="AD456" s="847"/>
      <c r="AE456" s="847"/>
      <c r="AF456" s="847"/>
      <c r="AG456" s="847"/>
      <c r="AH456" s="847"/>
      <c r="AI456" s="847"/>
      <c r="AJ456" s="847"/>
      <c r="AK456" s="847"/>
      <c r="AL456" s="847"/>
      <c r="AM456" s="847"/>
      <c r="AN456" s="847"/>
      <c r="AO456" s="847"/>
      <c r="AP456" s="847"/>
      <c r="AQ456" s="847"/>
      <c r="AR456" s="847"/>
      <c r="AS456" s="847"/>
      <c r="AT456" s="847"/>
      <c r="AU456" s="847"/>
      <c r="AV456" s="847"/>
      <c r="AW456" s="847"/>
      <c r="AX456" s="847"/>
      <c r="AY456" s="847"/>
      <c r="AZ456" s="847"/>
      <c r="BA456" s="847"/>
      <c r="BB456" s="847"/>
      <c r="BC456" s="847"/>
      <c r="BD456" s="847"/>
      <c r="BE456" s="847"/>
      <c r="BF456" s="847"/>
      <c r="BG456" s="847"/>
      <c r="BH456" s="847"/>
      <c r="BI456" s="847"/>
      <c r="BJ456" s="847"/>
      <c r="BK456" s="847"/>
      <c r="BL456" s="847"/>
      <c r="BM456" s="847"/>
      <c r="BN456" s="847"/>
      <c r="BO456" s="847"/>
      <c r="BP456" s="847"/>
      <c r="BQ456" s="847"/>
      <c r="BR456" s="847"/>
      <c r="BS456" s="847"/>
      <c r="BT456" s="847"/>
      <c r="BU456" s="847"/>
      <c r="BV456" s="847"/>
      <c r="BW456" s="847"/>
      <c r="BX456" s="847"/>
      <c r="BY456" s="847"/>
      <c r="BZ456" s="847"/>
      <c r="CA456" s="847"/>
      <c r="CB456" s="847"/>
      <c r="CC456" s="847"/>
      <c r="CD456" s="847"/>
      <c r="CE456" s="847"/>
      <c r="CF456" s="847"/>
      <c r="CG456" s="847"/>
      <c r="CH456" s="847"/>
      <c r="CI456" s="847"/>
      <c r="CJ456" s="847"/>
      <c r="CK456" s="847"/>
      <c r="CL456" s="847"/>
      <c r="CM456" s="847"/>
      <c r="CN456" s="847"/>
      <c r="CO456" s="847"/>
      <c r="CP456" s="847"/>
      <c r="CQ456" s="847"/>
      <c r="CR456" s="847"/>
      <c r="CS456" s="847"/>
      <c r="CT456" s="847"/>
      <c r="CU456" s="847"/>
      <c r="CV456" s="847"/>
      <c r="CW456" s="847"/>
      <c r="CX456" s="847"/>
      <c r="CY456" s="847"/>
      <c r="CZ456" s="847"/>
      <c r="DA456" s="847"/>
      <c r="DB456" s="847"/>
      <c r="DC456" s="847"/>
      <c r="DD456" s="847"/>
      <c r="DE456" s="847"/>
      <c r="DF456" s="847"/>
      <c r="DG456" s="847"/>
      <c r="DH456" s="847"/>
      <c r="DI456" s="847"/>
      <c r="DJ456" s="847"/>
      <c r="DK456" s="847"/>
      <c r="DL456" s="847"/>
      <c r="DM456" s="1212"/>
      <c r="DN456" s="1222"/>
      <c r="DO456" s="1013"/>
      <c r="DP456" s="847"/>
      <c r="DQ456" s="1013"/>
      <c r="DR456" s="1225"/>
      <c r="DS456" s="1013"/>
      <c r="DT456" s="1225"/>
      <c r="DU456" s="1214"/>
      <c r="DV456" s="1242"/>
      <c r="DW456" s="1232"/>
      <c r="DX456" s="1222"/>
      <c r="DY456" s="847"/>
      <c r="DZ456" s="847"/>
      <c r="EA456" s="847"/>
      <c r="EB456" s="847"/>
      <c r="EC456" s="847"/>
      <c r="ED456" s="847"/>
      <c r="EE456" s="847"/>
      <c r="EF456" s="847"/>
      <c r="EG456" s="1212"/>
      <c r="EH456" s="847"/>
      <c r="EI456" s="1212"/>
    </row>
    <row r="457" spans="1:139" s="733" customFormat="1" ht="13.5">
      <c r="A457" s="1009"/>
      <c r="B457" s="1212" t="str">
        <f>B451</f>
        <v>i.Ordinary Soil.</v>
      </c>
      <c r="C457" s="1213">
        <v>0</v>
      </c>
      <c r="D457" s="1013" t="s">
        <v>49</v>
      </c>
      <c r="E457" s="847"/>
      <c r="F457" s="1013"/>
      <c r="G457" s="847"/>
      <c r="H457" s="1013"/>
      <c r="I457" s="847"/>
      <c r="J457" s="1013"/>
      <c r="K457" s="847"/>
      <c r="L457" s="1013"/>
      <c r="M457" s="847"/>
      <c r="N457" s="1013"/>
      <c r="O457" s="847"/>
      <c r="P457" s="1013"/>
      <c r="Q457" s="847"/>
      <c r="R457" s="847"/>
      <c r="S457" s="847"/>
      <c r="T457" s="847"/>
      <c r="U457" s="847"/>
      <c r="V457" s="847"/>
      <c r="W457" s="847"/>
      <c r="X457" s="847"/>
      <c r="Y457" s="847"/>
      <c r="Z457" s="847"/>
      <c r="AA457" s="847"/>
      <c r="AB457" s="847"/>
      <c r="AC457" s="847"/>
      <c r="AD457" s="847"/>
      <c r="AE457" s="847"/>
      <c r="AF457" s="847"/>
      <c r="AG457" s="847"/>
      <c r="AH457" s="847"/>
      <c r="AI457" s="847"/>
      <c r="AJ457" s="847"/>
      <c r="AK457" s="847"/>
      <c r="AL457" s="847"/>
      <c r="AM457" s="847"/>
      <c r="AN457" s="847"/>
      <c r="AO457" s="847"/>
      <c r="AP457" s="847"/>
      <c r="AQ457" s="847"/>
      <c r="AR457" s="847"/>
      <c r="AS457" s="847"/>
      <c r="AT457" s="847"/>
      <c r="AU457" s="847"/>
      <c r="AV457" s="847"/>
      <c r="AW457" s="847"/>
      <c r="AX457" s="847"/>
      <c r="AY457" s="847"/>
      <c r="AZ457" s="847"/>
      <c r="BA457" s="847"/>
      <c r="BB457" s="847"/>
      <c r="BC457" s="847"/>
      <c r="BD457" s="847"/>
      <c r="BE457" s="847"/>
      <c r="BF457" s="847"/>
      <c r="BG457" s="847"/>
      <c r="BH457" s="847"/>
      <c r="BI457" s="847"/>
      <c r="BJ457" s="847"/>
      <c r="BK457" s="847"/>
      <c r="BL457" s="847"/>
      <c r="BM457" s="847"/>
      <c r="BN457" s="847"/>
      <c r="BO457" s="847"/>
      <c r="BP457" s="847"/>
      <c r="BQ457" s="847"/>
      <c r="BR457" s="847"/>
      <c r="BS457" s="847"/>
      <c r="BT457" s="847"/>
      <c r="BU457" s="847"/>
      <c r="BV457" s="847"/>
      <c r="BW457" s="847"/>
      <c r="BX457" s="847"/>
      <c r="BY457" s="847"/>
      <c r="BZ457" s="847"/>
      <c r="CA457" s="847"/>
      <c r="CB457" s="847"/>
      <c r="CC457" s="847"/>
      <c r="CD457" s="847"/>
      <c r="CE457" s="847"/>
      <c r="CF457" s="847"/>
      <c r="CG457" s="847"/>
      <c r="CH457" s="847"/>
      <c r="CI457" s="847"/>
      <c r="CJ457" s="847"/>
      <c r="CK457" s="847"/>
      <c r="CL457" s="847"/>
      <c r="CM457" s="847"/>
      <c r="CN457" s="847"/>
      <c r="CO457" s="847"/>
      <c r="CP457" s="847"/>
      <c r="CQ457" s="847"/>
      <c r="CR457" s="847"/>
      <c r="CS457" s="847"/>
      <c r="CT457" s="847"/>
      <c r="CU457" s="847"/>
      <c r="CV457" s="847"/>
      <c r="CW457" s="847"/>
      <c r="CX457" s="847"/>
      <c r="CY457" s="847"/>
      <c r="CZ457" s="847"/>
      <c r="DA457" s="847"/>
      <c r="DB457" s="847"/>
      <c r="DC457" s="847"/>
      <c r="DD457" s="847"/>
      <c r="DE457" s="847"/>
      <c r="DF457" s="847"/>
      <c r="DG457" s="847"/>
      <c r="DH457" s="847"/>
      <c r="DI457" s="847"/>
      <c r="DJ457" s="847"/>
      <c r="DK457" s="847"/>
      <c r="DL457" s="847"/>
      <c r="DM457" s="1212"/>
      <c r="DN457" s="1222" t="e">
        <f>'Lead &amp; ANALYSIS'!#REF!*#REF!+'Lead &amp; ANALYSIS'!#REF!*#REF!</f>
        <v>#REF!</v>
      </c>
      <c r="DO457" s="1013" t="e">
        <f>ROUND(C457*DN457,2)</f>
        <v>#REF!</v>
      </c>
      <c r="DP457" s="847"/>
      <c r="DQ457" s="1013"/>
      <c r="DR457" s="1225"/>
      <c r="DS457" s="1013"/>
      <c r="DT457" s="1225"/>
      <c r="DU457" s="1214"/>
      <c r="DV457" s="1242"/>
      <c r="DW457" s="1232"/>
      <c r="DX457" s="1222"/>
      <c r="DY457" s="847"/>
      <c r="DZ457" s="847"/>
      <c r="EA457" s="847"/>
      <c r="EB457" s="847"/>
      <c r="EC457" s="847"/>
      <c r="ED457" s="847"/>
      <c r="EE457" s="847"/>
      <c r="EF457" s="847"/>
      <c r="EG457" s="1212"/>
      <c r="EH457" s="847"/>
      <c r="EI457" s="1212"/>
    </row>
    <row r="458" spans="1:139" s="733" customFormat="1" ht="13.5">
      <c r="A458" s="1009"/>
      <c r="B458" s="1212" t="str">
        <f>B452</f>
        <v>ii.Slushy Soil</v>
      </c>
      <c r="C458" s="1213">
        <v>0</v>
      </c>
      <c r="D458" s="1013" t="s">
        <v>49</v>
      </c>
      <c r="E458" s="847"/>
      <c r="F458" s="1013"/>
      <c r="G458" s="847"/>
      <c r="H458" s="1013"/>
      <c r="I458" s="847"/>
      <c r="J458" s="1013"/>
      <c r="K458" s="847"/>
      <c r="L458" s="1013"/>
      <c r="M458" s="847"/>
      <c r="N458" s="1013"/>
      <c r="O458" s="847"/>
      <c r="P458" s="1013"/>
      <c r="Q458" s="847"/>
      <c r="R458" s="847"/>
      <c r="S458" s="847"/>
      <c r="T458" s="847"/>
      <c r="U458" s="847"/>
      <c r="V458" s="847"/>
      <c r="W458" s="847"/>
      <c r="X458" s="847"/>
      <c r="Y458" s="847"/>
      <c r="Z458" s="847"/>
      <c r="AA458" s="847"/>
      <c r="AB458" s="847"/>
      <c r="AC458" s="847"/>
      <c r="AD458" s="847"/>
      <c r="AE458" s="847"/>
      <c r="AF458" s="847"/>
      <c r="AG458" s="847"/>
      <c r="AH458" s="847"/>
      <c r="AI458" s="847"/>
      <c r="AJ458" s="847"/>
      <c r="AK458" s="847"/>
      <c r="AL458" s="847"/>
      <c r="AM458" s="847"/>
      <c r="AN458" s="847"/>
      <c r="AO458" s="847"/>
      <c r="AP458" s="847"/>
      <c r="AQ458" s="847"/>
      <c r="AR458" s="847"/>
      <c r="AS458" s="847"/>
      <c r="AT458" s="847"/>
      <c r="AU458" s="847"/>
      <c r="AV458" s="847"/>
      <c r="AW458" s="847"/>
      <c r="AX458" s="847"/>
      <c r="AY458" s="847"/>
      <c r="AZ458" s="847"/>
      <c r="BA458" s="847"/>
      <c r="BB458" s="847"/>
      <c r="BC458" s="847"/>
      <c r="BD458" s="847"/>
      <c r="BE458" s="847"/>
      <c r="BF458" s="847"/>
      <c r="BG458" s="847"/>
      <c r="BH458" s="847"/>
      <c r="BI458" s="847"/>
      <c r="BJ458" s="847"/>
      <c r="BK458" s="847"/>
      <c r="BL458" s="847"/>
      <c r="BM458" s="847"/>
      <c r="BN458" s="847"/>
      <c r="BO458" s="847"/>
      <c r="BP458" s="847"/>
      <c r="BQ458" s="847"/>
      <c r="BR458" s="847"/>
      <c r="BS458" s="847"/>
      <c r="BT458" s="847"/>
      <c r="BU458" s="847"/>
      <c r="BV458" s="847"/>
      <c r="BW458" s="847"/>
      <c r="BX458" s="847"/>
      <c r="BY458" s="847"/>
      <c r="BZ458" s="847"/>
      <c r="CA458" s="847"/>
      <c r="CB458" s="847"/>
      <c r="CC458" s="847"/>
      <c r="CD458" s="847"/>
      <c r="CE458" s="847"/>
      <c r="CF458" s="847"/>
      <c r="CG458" s="847"/>
      <c r="CH458" s="847"/>
      <c r="CI458" s="847"/>
      <c r="CJ458" s="847"/>
      <c r="CK458" s="847"/>
      <c r="CL458" s="847"/>
      <c r="CM458" s="847"/>
      <c r="CN458" s="847"/>
      <c r="CO458" s="847"/>
      <c r="CP458" s="847"/>
      <c r="CQ458" s="847"/>
      <c r="CR458" s="847"/>
      <c r="CS458" s="847"/>
      <c r="CT458" s="847"/>
      <c r="CU458" s="847"/>
      <c r="CV458" s="847"/>
      <c r="CW458" s="847"/>
      <c r="CX458" s="847"/>
      <c r="CY458" s="847"/>
      <c r="CZ458" s="847"/>
      <c r="DA458" s="847"/>
      <c r="DB458" s="847"/>
      <c r="DC458" s="847"/>
      <c r="DD458" s="847"/>
      <c r="DE458" s="847"/>
      <c r="DF458" s="847"/>
      <c r="DG458" s="847"/>
      <c r="DH458" s="847"/>
      <c r="DI458" s="847"/>
      <c r="DJ458" s="847"/>
      <c r="DK458" s="847"/>
      <c r="DL458" s="847"/>
      <c r="DM458" s="1212"/>
      <c r="DN458" s="1222" t="e">
        <f>'Lead &amp; ANALYSIS'!#REF!*#REF!+'Lead &amp; ANALYSIS'!#REF!*#REF!</f>
        <v>#REF!</v>
      </c>
      <c r="DO458" s="1013" t="e">
        <f>ROUND(C458*DN458,2)</f>
        <v>#REF!</v>
      </c>
      <c r="DP458" s="847"/>
      <c r="DQ458" s="1013"/>
      <c r="DR458" s="1225"/>
      <c r="DS458" s="1013"/>
      <c r="DT458" s="1225"/>
      <c r="DU458" s="1214"/>
      <c r="DV458" s="1242"/>
      <c r="DW458" s="1232"/>
      <c r="DX458" s="1222"/>
      <c r="DY458" s="847"/>
      <c r="DZ458" s="847"/>
      <c r="EA458" s="847"/>
      <c r="EB458" s="847"/>
      <c r="EC458" s="847"/>
      <c r="ED458" s="847"/>
      <c r="EE458" s="847"/>
      <c r="EF458" s="847"/>
      <c r="EG458" s="1212"/>
      <c r="EH458" s="847"/>
      <c r="EI458" s="1212"/>
    </row>
    <row r="459" spans="1:139" s="733" customFormat="1" ht="13.5">
      <c r="A459" s="1009"/>
      <c r="B459" s="1212" t="str">
        <f>B453</f>
        <v>iii.Hard Sooil</v>
      </c>
      <c r="C459" s="1213">
        <v>0</v>
      </c>
      <c r="D459" s="1013" t="s">
        <v>49</v>
      </c>
      <c r="E459" s="847"/>
      <c r="F459" s="1013"/>
      <c r="G459" s="847"/>
      <c r="H459" s="1013"/>
      <c r="I459" s="847"/>
      <c r="J459" s="1013"/>
      <c r="K459" s="847"/>
      <c r="L459" s="1013"/>
      <c r="M459" s="847"/>
      <c r="N459" s="1013"/>
      <c r="O459" s="847"/>
      <c r="P459" s="1013"/>
      <c r="Q459" s="847"/>
      <c r="R459" s="847"/>
      <c r="S459" s="847"/>
      <c r="T459" s="847"/>
      <c r="U459" s="847"/>
      <c r="V459" s="847"/>
      <c r="W459" s="847"/>
      <c r="X459" s="847"/>
      <c r="Y459" s="847"/>
      <c r="Z459" s="847"/>
      <c r="AA459" s="847"/>
      <c r="AB459" s="847"/>
      <c r="AC459" s="847"/>
      <c r="AD459" s="847"/>
      <c r="AE459" s="847"/>
      <c r="AF459" s="847"/>
      <c r="AG459" s="847"/>
      <c r="AH459" s="847"/>
      <c r="AI459" s="847"/>
      <c r="AJ459" s="847"/>
      <c r="AK459" s="847"/>
      <c r="AL459" s="847"/>
      <c r="AM459" s="847"/>
      <c r="AN459" s="847"/>
      <c r="AO459" s="847"/>
      <c r="AP459" s="847"/>
      <c r="AQ459" s="847"/>
      <c r="AR459" s="847"/>
      <c r="AS459" s="847"/>
      <c r="AT459" s="847"/>
      <c r="AU459" s="847"/>
      <c r="AV459" s="847"/>
      <c r="AW459" s="847"/>
      <c r="AX459" s="847"/>
      <c r="AY459" s="847"/>
      <c r="AZ459" s="847"/>
      <c r="BA459" s="847"/>
      <c r="BB459" s="847"/>
      <c r="BC459" s="847"/>
      <c r="BD459" s="847"/>
      <c r="BE459" s="847"/>
      <c r="BF459" s="847"/>
      <c r="BG459" s="847"/>
      <c r="BH459" s="847"/>
      <c r="BI459" s="847"/>
      <c r="BJ459" s="847"/>
      <c r="BK459" s="847"/>
      <c r="BL459" s="847"/>
      <c r="BM459" s="847"/>
      <c r="BN459" s="847"/>
      <c r="BO459" s="847"/>
      <c r="BP459" s="847"/>
      <c r="BQ459" s="847"/>
      <c r="BR459" s="847"/>
      <c r="BS459" s="847"/>
      <c r="BT459" s="847"/>
      <c r="BU459" s="847"/>
      <c r="BV459" s="847"/>
      <c r="BW459" s="847"/>
      <c r="BX459" s="847"/>
      <c r="BY459" s="847"/>
      <c r="BZ459" s="847"/>
      <c r="CA459" s="847"/>
      <c r="CB459" s="847"/>
      <c r="CC459" s="847"/>
      <c r="CD459" s="847"/>
      <c r="CE459" s="847"/>
      <c r="CF459" s="847"/>
      <c r="CG459" s="847"/>
      <c r="CH459" s="847"/>
      <c r="CI459" s="847"/>
      <c r="CJ459" s="847"/>
      <c r="CK459" s="847"/>
      <c r="CL459" s="847"/>
      <c r="CM459" s="847"/>
      <c r="CN459" s="847"/>
      <c r="CO459" s="847"/>
      <c r="CP459" s="847"/>
      <c r="CQ459" s="847"/>
      <c r="CR459" s="847"/>
      <c r="CS459" s="847"/>
      <c r="CT459" s="847"/>
      <c r="CU459" s="847"/>
      <c r="CV459" s="847"/>
      <c r="CW459" s="847"/>
      <c r="CX459" s="847"/>
      <c r="CY459" s="847"/>
      <c r="CZ459" s="847"/>
      <c r="DA459" s="847"/>
      <c r="DB459" s="847"/>
      <c r="DC459" s="847"/>
      <c r="DD459" s="847"/>
      <c r="DE459" s="847"/>
      <c r="DF459" s="847"/>
      <c r="DG459" s="847"/>
      <c r="DH459" s="847"/>
      <c r="DI459" s="847"/>
      <c r="DJ459" s="847"/>
      <c r="DK459" s="847"/>
      <c r="DL459" s="847"/>
      <c r="DM459" s="1212"/>
      <c r="DN459" s="1222" t="e">
        <f>'Lead &amp; ANALYSIS'!#REF!*#REF!+'Lead &amp; ANALYSIS'!#REF!*#REF!</f>
        <v>#REF!</v>
      </c>
      <c r="DO459" s="1013" t="e">
        <f>ROUND(C459*DN459,2)</f>
        <v>#REF!</v>
      </c>
      <c r="DP459" s="847"/>
      <c r="DQ459" s="1013"/>
      <c r="DR459" s="1225"/>
      <c r="DS459" s="1013"/>
      <c r="DT459" s="1225"/>
      <c r="DU459" s="1214"/>
      <c r="DV459" s="1242"/>
      <c r="DW459" s="1232"/>
      <c r="DX459" s="1222"/>
      <c r="DY459" s="847"/>
      <c r="DZ459" s="847"/>
      <c r="EA459" s="847"/>
      <c r="EB459" s="847"/>
      <c r="EC459" s="847"/>
      <c r="ED459" s="847"/>
      <c r="EE459" s="847"/>
      <c r="EF459" s="847"/>
      <c r="EG459" s="1212"/>
      <c r="EH459" s="847"/>
      <c r="EI459" s="1212"/>
    </row>
    <row r="460" spans="1:139" s="733" customFormat="1" ht="13.5">
      <c r="A460" s="1009"/>
      <c r="B460" s="1212" t="str">
        <f>B454</f>
        <v>IV.Stony Earth</v>
      </c>
      <c r="C460" s="1213">
        <v>0</v>
      </c>
      <c r="D460" s="1013" t="s">
        <v>49</v>
      </c>
      <c r="E460" s="847"/>
      <c r="F460" s="1013"/>
      <c r="G460" s="847"/>
      <c r="H460" s="1013"/>
      <c r="I460" s="847"/>
      <c r="J460" s="1013"/>
      <c r="K460" s="847"/>
      <c r="L460" s="1013"/>
      <c r="M460" s="847"/>
      <c r="N460" s="1013"/>
      <c r="O460" s="847"/>
      <c r="P460" s="1013"/>
      <c r="Q460" s="847"/>
      <c r="R460" s="847"/>
      <c r="S460" s="847"/>
      <c r="T460" s="847"/>
      <c r="U460" s="847"/>
      <c r="V460" s="847"/>
      <c r="W460" s="847"/>
      <c r="X460" s="847"/>
      <c r="Y460" s="847"/>
      <c r="Z460" s="847"/>
      <c r="AA460" s="847"/>
      <c r="AB460" s="847"/>
      <c r="AC460" s="847"/>
      <c r="AD460" s="847"/>
      <c r="AE460" s="847"/>
      <c r="AF460" s="847"/>
      <c r="AG460" s="847"/>
      <c r="AH460" s="847"/>
      <c r="AI460" s="847"/>
      <c r="AJ460" s="847"/>
      <c r="AK460" s="847"/>
      <c r="AL460" s="847"/>
      <c r="AM460" s="847"/>
      <c r="AN460" s="847"/>
      <c r="AO460" s="847"/>
      <c r="AP460" s="847"/>
      <c r="AQ460" s="847"/>
      <c r="AR460" s="847"/>
      <c r="AS460" s="847"/>
      <c r="AT460" s="847"/>
      <c r="AU460" s="847"/>
      <c r="AV460" s="847"/>
      <c r="AW460" s="847"/>
      <c r="AX460" s="847"/>
      <c r="AY460" s="847"/>
      <c r="AZ460" s="847"/>
      <c r="BA460" s="847"/>
      <c r="BB460" s="847"/>
      <c r="BC460" s="847"/>
      <c r="BD460" s="847"/>
      <c r="BE460" s="847"/>
      <c r="BF460" s="847"/>
      <c r="BG460" s="847"/>
      <c r="BH460" s="847"/>
      <c r="BI460" s="847"/>
      <c r="BJ460" s="847"/>
      <c r="BK460" s="847"/>
      <c r="BL460" s="847"/>
      <c r="BM460" s="847"/>
      <c r="BN460" s="847"/>
      <c r="BO460" s="847"/>
      <c r="BP460" s="847"/>
      <c r="BQ460" s="847"/>
      <c r="BR460" s="847"/>
      <c r="BS460" s="847"/>
      <c r="BT460" s="847"/>
      <c r="BU460" s="847"/>
      <c r="BV460" s="847"/>
      <c r="BW460" s="847"/>
      <c r="BX460" s="847"/>
      <c r="BY460" s="847"/>
      <c r="BZ460" s="847"/>
      <c r="CA460" s="847"/>
      <c r="CB460" s="847"/>
      <c r="CC460" s="847"/>
      <c r="CD460" s="847"/>
      <c r="CE460" s="847"/>
      <c r="CF460" s="847"/>
      <c r="CG460" s="847"/>
      <c r="CH460" s="847"/>
      <c r="CI460" s="847"/>
      <c r="CJ460" s="847"/>
      <c r="CK460" s="847"/>
      <c r="CL460" s="847"/>
      <c r="CM460" s="847"/>
      <c r="CN460" s="847"/>
      <c r="CO460" s="847"/>
      <c r="CP460" s="847"/>
      <c r="CQ460" s="847"/>
      <c r="CR460" s="847"/>
      <c r="CS460" s="847"/>
      <c r="CT460" s="847"/>
      <c r="CU460" s="847"/>
      <c r="CV460" s="847"/>
      <c r="CW460" s="847"/>
      <c r="CX460" s="847"/>
      <c r="CY460" s="847"/>
      <c r="CZ460" s="847"/>
      <c r="DA460" s="847"/>
      <c r="DB460" s="847"/>
      <c r="DC460" s="847"/>
      <c r="DD460" s="847"/>
      <c r="DE460" s="847"/>
      <c r="DF460" s="847"/>
      <c r="DG460" s="847"/>
      <c r="DH460" s="847"/>
      <c r="DI460" s="847"/>
      <c r="DJ460" s="847"/>
      <c r="DK460" s="847"/>
      <c r="DL460" s="847"/>
      <c r="DM460" s="1212"/>
      <c r="DN460" s="1222" t="e">
        <f>'Lead &amp; ANALYSIS'!#REF!*#REF!+'Lead &amp; ANALYSIS'!#REF!*#REF!</f>
        <v>#REF!</v>
      </c>
      <c r="DO460" s="1013" t="e">
        <f>ROUND(C460*DN460,2)</f>
        <v>#REF!</v>
      </c>
      <c r="DP460" s="847"/>
      <c r="DQ460" s="1013"/>
      <c r="DR460" s="1225"/>
      <c r="DS460" s="1013"/>
      <c r="DT460" s="1225"/>
      <c r="DU460" s="1214"/>
      <c r="DV460" s="1242"/>
      <c r="DW460" s="1232"/>
      <c r="DX460" s="1222"/>
      <c r="DY460" s="847"/>
      <c r="DZ460" s="847"/>
      <c r="EA460" s="847"/>
      <c r="EB460" s="847"/>
      <c r="EC460" s="847"/>
      <c r="ED460" s="847"/>
      <c r="EE460" s="847"/>
      <c r="EF460" s="847"/>
      <c r="EG460" s="1212"/>
      <c r="EH460" s="847"/>
      <c r="EI460" s="1212"/>
    </row>
    <row r="461" spans="1:139" s="733" customFormat="1" ht="13.5">
      <c r="A461" s="1009"/>
      <c r="B461" s="1212" t="str">
        <f>B455</f>
        <v>V.All Kinds of Soil</v>
      </c>
      <c r="C461" s="1213">
        <v>0</v>
      </c>
      <c r="D461" s="1013" t="s">
        <v>49</v>
      </c>
      <c r="E461" s="847"/>
      <c r="F461" s="1013"/>
      <c r="G461" s="847"/>
      <c r="H461" s="1013"/>
      <c r="I461" s="847"/>
      <c r="J461" s="1013"/>
      <c r="K461" s="847"/>
      <c r="L461" s="1013"/>
      <c r="M461" s="847"/>
      <c r="N461" s="1013"/>
      <c r="O461" s="847"/>
      <c r="P461" s="1013"/>
      <c r="Q461" s="847"/>
      <c r="R461" s="847"/>
      <c r="S461" s="847"/>
      <c r="T461" s="847"/>
      <c r="U461" s="847"/>
      <c r="V461" s="847"/>
      <c r="W461" s="847"/>
      <c r="X461" s="847"/>
      <c r="Y461" s="847"/>
      <c r="Z461" s="847"/>
      <c r="AA461" s="847"/>
      <c r="AB461" s="847"/>
      <c r="AC461" s="847"/>
      <c r="AD461" s="847"/>
      <c r="AE461" s="847"/>
      <c r="AF461" s="847"/>
      <c r="AG461" s="847"/>
      <c r="AH461" s="847"/>
      <c r="AI461" s="847"/>
      <c r="AJ461" s="847"/>
      <c r="AK461" s="847"/>
      <c r="AL461" s="847"/>
      <c r="AM461" s="847"/>
      <c r="AN461" s="847"/>
      <c r="AO461" s="847"/>
      <c r="AP461" s="847"/>
      <c r="AQ461" s="847"/>
      <c r="AR461" s="847"/>
      <c r="AS461" s="847"/>
      <c r="AT461" s="847"/>
      <c r="AU461" s="847"/>
      <c r="AV461" s="847"/>
      <c r="AW461" s="847"/>
      <c r="AX461" s="847"/>
      <c r="AY461" s="847"/>
      <c r="AZ461" s="847"/>
      <c r="BA461" s="847"/>
      <c r="BB461" s="847"/>
      <c r="BC461" s="847"/>
      <c r="BD461" s="847"/>
      <c r="BE461" s="847"/>
      <c r="BF461" s="847"/>
      <c r="BG461" s="847"/>
      <c r="BH461" s="847"/>
      <c r="BI461" s="847"/>
      <c r="BJ461" s="847"/>
      <c r="BK461" s="847"/>
      <c r="BL461" s="847"/>
      <c r="BM461" s="847"/>
      <c r="BN461" s="847"/>
      <c r="BO461" s="847"/>
      <c r="BP461" s="847"/>
      <c r="BQ461" s="847"/>
      <c r="BR461" s="847"/>
      <c r="BS461" s="847"/>
      <c r="BT461" s="847"/>
      <c r="BU461" s="847"/>
      <c r="BV461" s="847"/>
      <c r="BW461" s="847"/>
      <c r="BX461" s="847"/>
      <c r="BY461" s="847"/>
      <c r="BZ461" s="847"/>
      <c r="CA461" s="847"/>
      <c r="CB461" s="847"/>
      <c r="CC461" s="847"/>
      <c r="CD461" s="847"/>
      <c r="CE461" s="847"/>
      <c r="CF461" s="847"/>
      <c r="CG461" s="847"/>
      <c r="CH461" s="847"/>
      <c r="CI461" s="847"/>
      <c r="CJ461" s="847"/>
      <c r="CK461" s="847"/>
      <c r="CL461" s="847"/>
      <c r="CM461" s="847"/>
      <c r="CN461" s="847"/>
      <c r="CO461" s="847"/>
      <c r="CP461" s="847"/>
      <c r="CQ461" s="847"/>
      <c r="CR461" s="847"/>
      <c r="CS461" s="847"/>
      <c r="CT461" s="847"/>
      <c r="CU461" s="847"/>
      <c r="CV461" s="847"/>
      <c r="CW461" s="847"/>
      <c r="CX461" s="847"/>
      <c r="CY461" s="847"/>
      <c r="CZ461" s="847"/>
      <c r="DA461" s="847"/>
      <c r="DB461" s="847"/>
      <c r="DC461" s="847"/>
      <c r="DD461" s="847"/>
      <c r="DE461" s="847"/>
      <c r="DF461" s="847"/>
      <c r="DG461" s="847"/>
      <c r="DH461" s="847"/>
      <c r="DI461" s="847"/>
      <c r="DJ461" s="847"/>
      <c r="DK461" s="847"/>
      <c r="DL461" s="847"/>
      <c r="DM461" s="1212"/>
      <c r="DN461" s="1222" t="e">
        <f>'Lead &amp; ANALYSIS'!#REF!*#REF!+'Lead &amp; ANALYSIS'!#REF!*#REF!</f>
        <v>#REF!</v>
      </c>
      <c r="DO461" s="1013" t="e">
        <f>ROUND(C461*DN461,2)</f>
        <v>#REF!</v>
      </c>
      <c r="DP461" s="847"/>
      <c r="DQ461" s="1013"/>
      <c r="DR461" s="1225"/>
      <c r="DS461" s="1013"/>
      <c r="DT461" s="1225"/>
      <c r="DU461" s="1214"/>
      <c r="DV461" s="1242"/>
      <c r="DW461" s="1232"/>
      <c r="DX461" s="1222"/>
      <c r="DY461" s="847"/>
      <c r="DZ461" s="847"/>
      <c r="EA461" s="847"/>
      <c r="EB461" s="847"/>
      <c r="EC461" s="847"/>
      <c r="ED461" s="847"/>
      <c r="EE461" s="847"/>
      <c r="EF461" s="847"/>
      <c r="EG461" s="1212"/>
      <c r="EH461" s="847"/>
      <c r="EI461" s="1212"/>
    </row>
    <row r="462" spans="1:139" s="733" customFormat="1" ht="13.5">
      <c r="A462" s="1009"/>
      <c r="B462" s="1245" t="s">
        <v>1483</v>
      </c>
      <c r="C462" s="1213">
        <v>0</v>
      </c>
      <c r="D462" s="1013" t="s">
        <v>49</v>
      </c>
      <c r="E462" s="847"/>
      <c r="F462" s="1013"/>
      <c r="G462" s="847"/>
      <c r="H462" s="1013"/>
      <c r="I462" s="847"/>
      <c r="J462" s="1013"/>
      <c r="K462" s="847"/>
      <c r="L462" s="1013"/>
      <c r="M462" s="847"/>
      <c r="N462" s="1013"/>
      <c r="O462" s="847"/>
      <c r="P462" s="1013"/>
      <c r="Q462" s="847"/>
      <c r="R462" s="847"/>
      <c r="S462" s="847"/>
      <c r="T462" s="847"/>
      <c r="U462" s="847"/>
      <c r="V462" s="847"/>
      <c r="W462" s="847"/>
      <c r="X462" s="847"/>
      <c r="Y462" s="847"/>
      <c r="Z462" s="847"/>
      <c r="AA462" s="847"/>
      <c r="AB462" s="847"/>
      <c r="AC462" s="847"/>
      <c r="AD462" s="847"/>
      <c r="AE462" s="847"/>
      <c r="AF462" s="847"/>
      <c r="AG462" s="847"/>
      <c r="AH462" s="847"/>
      <c r="AI462" s="847"/>
      <c r="AJ462" s="847"/>
      <c r="AK462" s="847"/>
      <c r="AL462" s="847"/>
      <c r="AM462" s="847"/>
      <c r="AN462" s="847"/>
      <c r="AO462" s="847"/>
      <c r="AP462" s="847"/>
      <c r="AQ462" s="847"/>
      <c r="AR462" s="847"/>
      <c r="AS462" s="847"/>
      <c r="AT462" s="847"/>
      <c r="AU462" s="847"/>
      <c r="AV462" s="847"/>
      <c r="AW462" s="847"/>
      <c r="AX462" s="847"/>
      <c r="AY462" s="847"/>
      <c r="AZ462" s="847"/>
      <c r="BA462" s="847"/>
      <c r="BB462" s="847"/>
      <c r="BC462" s="847"/>
      <c r="BD462" s="847"/>
      <c r="BE462" s="847"/>
      <c r="BF462" s="847"/>
      <c r="BG462" s="847"/>
      <c r="BH462" s="847"/>
      <c r="BI462" s="847"/>
      <c r="BJ462" s="847"/>
      <c r="BK462" s="847"/>
      <c r="BL462" s="847"/>
      <c r="BM462" s="847"/>
      <c r="BN462" s="847"/>
      <c r="BO462" s="847"/>
      <c r="BP462" s="847"/>
      <c r="BQ462" s="847"/>
      <c r="BR462" s="847"/>
      <c r="BS462" s="847"/>
      <c r="BT462" s="847"/>
      <c r="BU462" s="847"/>
      <c r="BV462" s="847"/>
      <c r="BW462" s="847"/>
      <c r="BX462" s="847"/>
      <c r="BY462" s="847"/>
      <c r="BZ462" s="847"/>
      <c r="CA462" s="847"/>
      <c r="CB462" s="847"/>
      <c r="CC462" s="847"/>
      <c r="CD462" s="847"/>
      <c r="CE462" s="847"/>
      <c r="CF462" s="847"/>
      <c r="CG462" s="847"/>
      <c r="CH462" s="847"/>
      <c r="CI462" s="847"/>
      <c r="CJ462" s="847"/>
      <c r="CK462" s="847"/>
      <c r="CL462" s="847"/>
      <c r="CM462" s="847"/>
      <c r="CN462" s="847"/>
      <c r="CO462" s="847"/>
      <c r="CP462" s="847"/>
      <c r="CQ462" s="847"/>
      <c r="CR462" s="847"/>
      <c r="CS462" s="847"/>
      <c r="CT462" s="847"/>
      <c r="CU462" s="847"/>
      <c r="CV462" s="847"/>
      <c r="CW462" s="847"/>
      <c r="CX462" s="847"/>
      <c r="CY462" s="847"/>
      <c r="CZ462" s="847"/>
      <c r="DA462" s="847"/>
      <c r="DB462" s="847"/>
      <c r="DC462" s="847"/>
      <c r="DD462" s="847"/>
      <c r="DE462" s="847"/>
      <c r="DF462" s="847"/>
      <c r="DG462" s="847"/>
      <c r="DH462" s="847"/>
      <c r="DI462" s="847"/>
      <c r="DJ462" s="847"/>
      <c r="DK462" s="847"/>
      <c r="DL462" s="847"/>
      <c r="DM462" s="1212"/>
      <c r="DN462" s="1222"/>
      <c r="DO462" s="1013"/>
      <c r="DP462" s="847"/>
      <c r="DQ462" s="1013"/>
      <c r="DR462" s="1225"/>
      <c r="DS462" s="1013"/>
      <c r="DT462" s="1225"/>
      <c r="DU462" s="1214"/>
      <c r="DV462" s="1242"/>
      <c r="DW462" s="1232"/>
      <c r="DX462" s="1222"/>
      <c r="DY462" s="847"/>
      <c r="DZ462" s="847"/>
      <c r="EA462" s="847"/>
      <c r="EB462" s="847"/>
      <c r="EC462" s="847"/>
      <c r="ED462" s="847"/>
      <c r="EE462" s="847"/>
      <c r="EF462" s="847"/>
      <c r="EG462" s="1212"/>
      <c r="EH462" s="847"/>
      <c r="EI462" s="1212"/>
    </row>
    <row r="463" spans="1:139" s="733" customFormat="1" ht="13.5">
      <c r="A463" s="1009"/>
      <c r="B463" s="1212" t="str">
        <f>B457</f>
        <v>i.Ordinary Soil.</v>
      </c>
      <c r="C463" s="1213">
        <v>0</v>
      </c>
      <c r="D463" s="1013" t="s">
        <v>49</v>
      </c>
      <c r="E463" s="847"/>
      <c r="F463" s="1013"/>
      <c r="G463" s="847"/>
      <c r="H463" s="1013"/>
      <c r="I463" s="847"/>
      <c r="J463" s="1013"/>
      <c r="K463" s="847"/>
      <c r="L463" s="1013"/>
      <c r="M463" s="847"/>
      <c r="N463" s="1013"/>
      <c r="O463" s="847"/>
      <c r="P463" s="1013"/>
      <c r="Q463" s="847"/>
      <c r="R463" s="847"/>
      <c r="S463" s="847"/>
      <c r="T463" s="847"/>
      <c r="U463" s="847"/>
      <c r="V463" s="847"/>
      <c r="W463" s="847"/>
      <c r="X463" s="847"/>
      <c r="Y463" s="847"/>
      <c r="Z463" s="847"/>
      <c r="AA463" s="847"/>
      <c r="AB463" s="847"/>
      <c r="AC463" s="847"/>
      <c r="AD463" s="847"/>
      <c r="AE463" s="847"/>
      <c r="AF463" s="847"/>
      <c r="AG463" s="847"/>
      <c r="AH463" s="847"/>
      <c r="AI463" s="847"/>
      <c r="AJ463" s="847"/>
      <c r="AK463" s="847"/>
      <c r="AL463" s="847"/>
      <c r="AM463" s="847"/>
      <c r="AN463" s="847"/>
      <c r="AO463" s="847"/>
      <c r="AP463" s="847"/>
      <c r="AQ463" s="847"/>
      <c r="AR463" s="847"/>
      <c r="AS463" s="847"/>
      <c r="AT463" s="847"/>
      <c r="AU463" s="847"/>
      <c r="AV463" s="847"/>
      <c r="AW463" s="847"/>
      <c r="AX463" s="847"/>
      <c r="AY463" s="847"/>
      <c r="AZ463" s="847"/>
      <c r="BA463" s="847"/>
      <c r="BB463" s="847"/>
      <c r="BC463" s="847"/>
      <c r="BD463" s="847"/>
      <c r="BE463" s="847"/>
      <c r="BF463" s="847"/>
      <c r="BG463" s="847"/>
      <c r="BH463" s="847"/>
      <c r="BI463" s="847"/>
      <c r="BJ463" s="847"/>
      <c r="BK463" s="847"/>
      <c r="BL463" s="847"/>
      <c r="BM463" s="847"/>
      <c r="BN463" s="847"/>
      <c r="BO463" s="847"/>
      <c r="BP463" s="847"/>
      <c r="BQ463" s="847"/>
      <c r="BR463" s="847"/>
      <c r="BS463" s="847"/>
      <c r="BT463" s="847"/>
      <c r="BU463" s="847"/>
      <c r="BV463" s="847"/>
      <c r="BW463" s="847"/>
      <c r="BX463" s="847"/>
      <c r="BY463" s="847"/>
      <c r="BZ463" s="847"/>
      <c r="CA463" s="847"/>
      <c r="CB463" s="847"/>
      <c r="CC463" s="847"/>
      <c r="CD463" s="847"/>
      <c r="CE463" s="847"/>
      <c r="CF463" s="847"/>
      <c r="CG463" s="847"/>
      <c r="CH463" s="847"/>
      <c r="CI463" s="847"/>
      <c r="CJ463" s="847"/>
      <c r="CK463" s="847"/>
      <c r="CL463" s="847"/>
      <c r="CM463" s="847"/>
      <c r="CN463" s="847"/>
      <c r="CO463" s="847"/>
      <c r="CP463" s="847"/>
      <c r="CQ463" s="847"/>
      <c r="CR463" s="847"/>
      <c r="CS463" s="847"/>
      <c r="CT463" s="847"/>
      <c r="CU463" s="847"/>
      <c r="CV463" s="847"/>
      <c r="CW463" s="847"/>
      <c r="CX463" s="847"/>
      <c r="CY463" s="847"/>
      <c r="CZ463" s="847"/>
      <c r="DA463" s="847"/>
      <c r="DB463" s="847"/>
      <c r="DC463" s="847"/>
      <c r="DD463" s="847"/>
      <c r="DE463" s="847"/>
      <c r="DF463" s="847"/>
      <c r="DG463" s="847"/>
      <c r="DH463" s="847"/>
      <c r="DI463" s="847"/>
      <c r="DJ463" s="847"/>
      <c r="DK463" s="847"/>
      <c r="DL463" s="847"/>
      <c r="DM463" s="1212"/>
      <c r="DN463" s="1222" t="e">
        <f>'Lead &amp; ANALYSIS'!#REF!*#REF!+'Lead &amp; ANALYSIS'!#REF!*#REF!</f>
        <v>#REF!</v>
      </c>
      <c r="DO463" s="1013" t="e">
        <f>ROUND(C463*DN463,2)</f>
        <v>#REF!</v>
      </c>
      <c r="DP463" s="847"/>
      <c r="DQ463" s="1013"/>
      <c r="DR463" s="1225"/>
      <c r="DS463" s="1013"/>
      <c r="DT463" s="1225"/>
      <c r="DU463" s="1214"/>
      <c r="DV463" s="1242"/>
      <c r="DW463" s="1232"/>
      <c r="DX463" s="1222"/>
      <c r="DY463" s="847"/>
      <c r="DZ463" s="847"/>
      <c r="EA463" s="847"/>
      <c r="EB463" s="847"/>
      <c r="EC463" s="847"/>
      <c r="ED463" s="847"/>
      <c r="EE463" s="847"/>
      <c r="EF463" s="847"/>
      <c r="EG463" s="1212"/>
      <c r="EH463" s="847"/>
      <c r="EI463" s="1212"/>
    </row>
    <row r="464" spans="1:139" s="733" customFormat="1" ht="13.5">
      <c r="A464" s="1009"/>
      <c r="B464" s="1212" t="str">
        <f>B458</f>
        <v>ii.Slushy Soil</v>
      </c>
      <c r="C464" s="1213">
        <v>0</v>
      </c>
      <c r="D464" s="1013" t="s">
        <v>49</v>
      </c>
      <c r="E464" s="847"/>
      <c r="F464" s="1013"/>
      <c r="G464" s="847"/>
      <c r="H464" s="1013"/>
      <c r="I464" s="847"/>
      <c r="J464" s="1013"/>
      <c r="K464" s="847"/>
      <c r="L464" s="1013"/>
      <c r="M464" s="847"/>
      <c r="N464" s="1013"/>
      <c r="O464" s="847"/>
      <c r="P464" s="1013"/>
      <c r="Q464" s="847"/>
      <c r="R464" s="847"/>
      <c r="S464" s="847"/>
      <c r="T464" s="847"/>
      <c r="U464" s="847"/>
      <c r="V464" s="847"/>
      <c r="W464" s="847"/>
      <c r="X464" s="847"/>
      <c r="Y464" s="847"/>
      <c r="Z464" s="847"/>
      <c r="AA464" s="847"/>
      <c r="AB464" s="847"/>
      <c r="AC464" s="847"/>
      <c r="AD464" s="847"/>
      <c r="AE464" s="847"/>
      <c r="AF464" s="847"/>
      <c r="AG464" s="847"/>
      <c r="AH464" s="847"/>
      <c r="AI464" s="847"/>
      <c r="AJ464" s="847"/>
      <c r="AK464" s="847"/>
      <c r="AL464" s="847"/>
      <c r="AM464" s="847"/>
      <c r="AN464" s="847"/>
      <c r="AO464" s="847"/>
      <c r="AP464" s="847"/>
      <c r="AQ464" s="847"/>
      <c r="AR464" s="847"/>
      <c r="AS464" s="847"/>
      <c r="AT464" s="847"/>
      <c r="AU464" s="847"/>
      <c r="AV464" s="847"/>
      <c r="AW464" s="847"/>
      <c r="AX464" s="847"/>
      <c r="AY464" s="847"/>
      <c r="AZ464" s="847"/>
      <c r="BA464" s="847"/>
      <c r="BB464" s="847"/>
      <c r="BC464" s="847"/>
      <c r="BD464" s="847"/>
      <c r="BE464" s="847"/>
      <c r="BF464" s="847"/>
      <c r="BG464" s="847"/>
      <c r="BH464" s="847"/>
      <c r="BI464" s="847"/>
      <c r="BJ464" s="847"/>
      <c r="BK464" s="847"/>
      <c r="BL464" s="847"/>
      <c r="BM464" s="847"/>
      <c r="BN464" s="847"/>
      <c r="BO464" s="847"/>
      <c r="BP464" s="847"/>
      <c r="BQ464" s="847"/>
      <c r="BR464" s="847"/>
      <c r="BS464" s="847"/>
      <c r="BT464" s="847"/>
      <c r="BU464" s="847"/>
      <c r="BV464" s="847"/>
      <c r="BW464" s="847"/>
      <c r="BX464" s="847"/>
      <c r="BY464" s="847"/>
      <c r="BZ464" s="847"/>
      <c r="CA464" s="847"/>
      <c r="CB464" s="847"/>
      <c r="CC464" s="847"/>
      <c r="CD464" s="847"/>
      <c r="CE464" s="847"/>
      <c r="CF464" s="847"/>
      <c r="CG464" s="847"/>
      <c r="CH464" s="847"/>
      <c r="CI464" s="847"/>
      <c r="CJ464" s="847"/>
      <c r="CK464" s="847"/>
      <c r="CL464" s="847"/>
      <c r="CM464" s="847"/>
      <c r="CN464" s="847"/>
      <c r="CO464" s="847"/>
      <c r="CP464" s="847"/>
      <c r="CQ464" s="847"/>
      <c r="CR464" s="847"/>
      <c r="CS464" s="847"/>
      <c r="CT464" s="847"/>
      <c r="CU464" s="847"/>
      <c r="CV464" s="847"/>
      <c r="CW464" s="847"/>
      <c r="CX464" s="847"/>
      <c r="CY464" s="847"/>
      <c r="CZ464" s="847"/>
      <c r="DA464" s="847"/>
      <c r="DB464" s="847"/>
      <c r="DC464" s="847"/>
      <c r="DD464" s="847"/>
      <c r="DE464" s="847"/>
      <c r="DF464" s="847"/>
      <c r="DG464" s="847"/>
      <c r="DH464" s="847"/>
      <c r="DI464" s="847"/>
      <c r="DJ464" s="847"/>
      <c r="DK464" s="847"/>
      <c r="DL464" s="847"/>
      <c r="DM464" s="1212"/>
      <c r="DN464" s="1222" t="e">
        <f>'Lead &amp; ANALYSIS'!#REF!*#REF!+'Lead &amp; ANALYSIS'!#REF!*#REF!</f>
        <v>#REF!</v>
      </c>
      <c r="DO464" s="1013" t="e">
        <f>ROUND(C464*DN464,2)</f>
        <v>#REF!</v>
      </c>
      <c r="DP464" s="847"/>
      <c r="DQ464" s="1013"/>
      <c r="DR464" s="1225"/>
      <c r="DS464" s="1013"/>
      <c r="DT464" s="1225"/>
      <c r="DU464" s="1214"/>
      <c r="DV464" s="1242"/>
      <c r="DW464" s="1232"/>
      <c r="DX464" s="1222"/>
      <c r="DY464" s="847"/>
      <c r="DZ464" s="847"/>
      <c r="EA464" s="847"/>
      <c r="EB464" s="847"/>
      <c r="EC464" s="847"/>
      <c r="ED464" s="847"/>
      <c r="EE464" s="847"/>
      <c r="EF464" s="847"/>
      <c r="EG464" s="1212"/>
      <c r="EH464" s="847"/>
      <c r="EI464" s="1212"/>
    </row>
    <row r="465" spans="1:139" s="733" customFormat="1" ht="13.5">
      <c r="A465" s="1009"/>
      <c r="B465" s="1212" t="str">
        <f>B459</f>
        <v>iii.Hard Sooil</v>
      </c>
      <c r="C465" s="1213">
        <v>0</v>
      </c>
      <c r="D465" s="1013" t="s">
        <v>49</v>
      </c>
      <c r="E465" s="847"/>
      <c r="F465" s="1013"/>
      <c r="G465" s="847"/>
      <c r="H465" s="1013"/>
      <c r="I465" s="847"/>
      <c r="J465" s="1013"/>
      <c r="K465" s="847"/>
      <c r="L465" s="1013"/>
      <c r="M465" s="847"/>
      <c r="N465" s="1013"/>
      <c r="O465" s="847"/>
      <c r="P465" s="1013"/>
      <c r="Q465" s="847"/>
      <c r="R465" s="847"/>
      <c r="S465" s="847"/>
      <c r="T465" s="847"/>
      <c r="U465" s="847"/>
      <c r="V465" s="847"/>
      <c r="W465" s="847"/>
      <c r="X465" s="847"/>
      <c r="Y465" s="847"/>
      <c r="Z465" s="847"/>
      <c r="AA465" s="847"/>
      <c r="AB465" s="847"/>
      <c r="AC465" s="847"/>
      <c r="AD465" s="847"/>
      <c r="AE465" s="847"/>
      <c r="AF465" s="847"/>
      <c r="AG465" s="847"/>
      <c r="AH465" s="847"/>
      <c r="AI465" s="847"/>
      <c r="AJ465" s="847"/>
      <c r="AK465" s="847"/>
      <c r="AL465" s="847"/>
      <c r="AM465" s="847"/>
      <c r="AN465" s="847"/>
      <c r="AO465" s="847"/>
      <c r="AP465" s="847"/>
      <c r="AQ465" s="847"/>
      <c r="AR465" s="847"/>
      <c r="AS465" s="847"/>
      <c r="AT465" s="847"/>
      <c r="AU465" s="847"/>
      <c r="AV465" s="847"/>
      <c r="AW465" s="847"/>
      <c r="AX465" s="847"/>
      <c r="AY465" s="847"/>
      <c r="AZ465" s="847"/>
      <c r="BA465" s="847"/>
      <c r="BB465" s="847"/>
      <c r="BC465" s="847"/>
      <c r="BD465" s="847"/>
      <c r="BE465" s="847"/>
      <c r="BF465" s="847"/>
      <c r="BG465" s="847"/>
      <c r="BH465" s="847"/>
      <c r="BI465" s="847"/>
      <c r="BJ465" s="847"/>
      <c r="BK465" s="847"/>
      <c r="BL465" s="847"/>
      <c r="BM465" s="847"/>
      <c r="BN465" s="847"/>
      <c r="BO465" s="847"/>
      <c r="BP465" s="847"/>
      <c r="BQ465" s="847"/>
      <c r="BR465" s="847"/>
      <c r="BS465" s="847"/>
      <c r="BT465" s="847"/>
      <c r="BU465" s="847"/>
      <c r="BV465" s="847"/>
      <c r="BW465" s="847"/>
      <c r="BX465" s="847"/>
      <c r="BY465" s="847"/>
      <c r="BZ465" s="847"/>
      <c r="CA465" s="847"/>
      <c r="CB465" s="847"/>
      <c r="CC465" s="847"/>
      <c r="CD465" s="847"/>
      <c r="CE465" s="847"/>
      <c r="CF465" s="847"/>
      <c r="CG465" s="847"/>
      <c r="CH465" s="847"/>
      <c r="CI465" s="847"/>
      <c r="CJ465" s="847"/>
      <c r="CK465" s="847"/>
      <c r="CL465" s="847"/>
      <c r="CM465" s="847"/>
      <c r="CN465" s="847"/>
      <c r="CO465" s="847"/>
      <c r="CP465" s="847"/>
      <c r="CQ465" s="847"/>
      <c r="CR465" s="847"/>
      <c r="CS465" s="847"/>
      <c r="CT465" s="847"/>
      <c r="CU465" s="847"/>
      <c r="CV465" s="847"/>
      <c r="CW465" s="847"/>
      <c r="CX465" s="847"/>
      <c r="CY465" s="847"/>
      <c r="CZ465" s="847"/>
      <c r="DA465" s="847"/>
      <c r="DB465" s="847"/>
      <c r="DC465" s="847"/>
      <c r="DD465" s="847"/>
      <c r="DE465" s="847"/>
      <c r="DF465" s="847"/>
      <c r="DG465" s="847"/>
      <c r="DH465" s="847"/>
      <c r="DI465" s="847"/>
      <c r="DJ465" s="847"/>
      <c r="DK465" s="847"/>
      <c r="DL465" s="847"/>
      <c r="DM465" s="1212"/>
      <c r="DN465" s="1222" t="e">
        <f>'Lead &amp; ANALYSIS'!#REF!*#REF!+'Lead &amp; ANALYSIS'!#REF!*#REF!</f>
        <v>#REF!</v>
      </c>
      <c r="DO465" s="1013" t="e">
        <f>ROUND(C465*DN465,2)</f>
        <v>#REF!</v>
      </c>
      <c r="DP465" s="847"/>
      <c r="DQ465" s="1013"/>
      <c r="DR465" s="1225"/>
      <c r="DS465" s="1013"/>
      <c r="DT465" s="1225"/>
      <c r="DU465" s="1214"/>
      <c r="DV465" s="1242"/>
      <c r="DW465" s="1232"/>
      <c r="DX465" s="1222"/>
      <c r="DY465" s="847"/>
      <c r="DZ465" s="847"/>
      <c r="EA465" s="847"/>
      <c r="EB465" s="847"/>
      <c r="EC465" s="847"/>
      <c r="ED465" s="847"/>
      <c r="EE465" s="847"/>
      <c r="EF465" s="847"/>
      <c r="EG465" s="1212"/>
      <c r="EH465" s="847"/>
      <c r="EI465" s="1212"/>
    </row>
    <row r="466" spans="1:139" s="733" customFormat="1" ht="13.5">
      <c r="A466" s="1009"/>
      <c r="B466" s="1212" t="str">
        <f>B460</f>
        <v>IV.Stony Earth</v>
      </c>
      <c r="C466" s="1213">
        <v>0</v>
      </c>
      <c r="D466" s="1013" t="s">
        <v>49</v>
      </c>
      <c r="E466" s="847"/>
      <c r="F466" s="1013"/>
      <c r="G466" s="847"/>
      <c r="H466" s="1013"/>
      <c r="I466" s="847"/>
      <c r="J466" s="1013"/>
      <c r="K466" s="847"/>
      <c r="L466" s="1013"/>
      <c r="M466" s="847"/>
      <c r="N466" s="1013"/>
      <c r="O466" s="847"/>
      <c r="P466" s="1013"/>
      <c r="Q466" s="847"/>
      <c r="R466" s="847"/>
      <c r="S466" s="847"/>
      <c r="T466" s="847"/>
      <c r="U466" s="847"/>
      <c r="V466" s="847"/>
      <c r="W466" s="847"/>
      <c r="X466" s="847"/>
      <c r="Y466" s="847"/>
      <c r="Z466" s="847"/>
      <c r="AA466" s="847"/>
      <c r="AB466" s="847"/>
      <c r="AC466" s="847"/>
      <c r="AD466" s="847"/>
      <c r="AE466" s="847"/>
      <c r="AF466" s="847"/>
      <c r="AG466" s="847"/>
      <c r="AH466" s="847"/>
      <c r="AI466" s="847"/>
      <c r="AJ466" s="847"/>
      <c r="AK466" s="847"/>
      <c r="AL466" s="847"/>
      <c r="AM466" s="847"/>
      <c r="AN466" s="847"/>
      <c r="AO466" s="847"/>
      <c r="AP466" s="847"/>
      <c r="AQ466" s="847"/>
      <c r="AR466" s="847"/>
      <c r="AS466" s="847"/>
      <c r="AT466" s="847"/>
      <c r="AU466" s="847"/>
      <c r="AV466" s="847"/>
      <c r="AW466" s="847"/>
      <c r="AX466" s="847"/>
      <c r="AY466" s="847"/>
      <c r="AZ466" s="847"/>
      <c r="BA466" s="847"/>
      <c r="BB466" s="847"/>
      <c r="BC466" s="847"/>
      <c r="BD466" s="847"/>
      <c r="BE466" s="847"/>
      <c r="BF466" s="847"/>
      <c r="BG466" s="847"/>
      <c r="BH466" s="847"/>
      <c r="BI466" s="847"/>
      <c r="BJ466" s="847"/>
      <c r="BK466" s="847"/>
      <c r="BL466" s="847"/>
      <c r="BM466" s="847"/>
      <c r="BN466" s="847"/>
      <c r="BO466" s="847"/>
      <c r="BP466" s="847"/>
      <c r="BQ466" s="847"/>
      <c r="BR466" s="847"/>
      <c r="BS466" s="847"/>
      <c r="BT466" s="847"/>
      <c r="BU466" s="847"/>
      <c r="BV466" s="847"/>
      <c r="BW466" s="847"/>
      <c r="BX466" s="847"/>
      <c r="BY466" s="847"/>
      <c r="BZ466" s="847"/>
      <c r="CA466" s="847"/>
      <c r="CB466" s="847"/>
      <c r="CC466" s="847"/>
      <c r="CD466" s="847"/>
      <c r="CE466" s="847"/>
      <c r="CF466" s="847"/>
      <c r="CG466" s="847"/>
      <c r="CH466" s="847"/>
      <c r="CI466" s="847"/>
      <c r="CJ466" s="847"/>
      <c r="CK466" s="847"/>
      <c r="CL466" s="847"/>
      <c r="CM466" s="847"/>
      <c r="CN466" s="847"/>
      <c r="CO466" s="847"/>
      <c r="CP466" s="847"/>
      <c r="CQ466" s="847"/>
      <c r="CR466" s="847"/>
      <c r="CS466" s="847"/>
      <c r="CT466" s="847"/>
      <c r="CU466" s="847"/>
      <c r="CV466" s="847"/>
      <c r="CW466" s="847"/>
      <c r="CX466" s="847"/>
      <c r="CY466" s="847"/>
      <c r="CZ466" s="847"/>
      <c r="DA466" s="847"/>
      <c r="DB466" s="847"/>
      <c r="DC466" s="847"/>
      <c r="DD466" s="847"/>
      <c r="DE466" s="847"/>
      <c r="DF466" s="847"/>
      <c r="DG466" s="847"/>
      <c r="DH466" s="847"/>
      <c r="DI466" s="847"/>
      <c r="DJ466" s="847"/>
      <c r="DK466" s="847"/>
      <c r="DL466" s="847"/>
      <c r="DM466" s="1212"/>
      <c r="DN466" s="1222" t="e">
        <f>'Lead &amp; ANALYSIS'!#REF!*#REF!+'Lead &amp; ANALYSIS'!#REF!*#REF!</f>
        <v>#REF!</v>
      </c>
      <c r="DO466" s="1013" t="e">
        <f>ROUND(C466*DN466,2)</f>
        <v>#REF!</v>
      </c>
      <c r="DP466" s="847"/>
      <c r="DQ466" s="1013"/>
      <c r="DR466" s="1225"/>
      <c r="DS466" s="1013"/>
      <c r="DT466" s="1225"/>
      <c r="DU466" s="1214"/>
      <c r="DV466" s="1242"/>
      <c r="DW466" s="1232"/>
      <c r="DX466" s="1222"/>
      <c r="DY466" s="847"/>
      <c r="DZ466" s="847"/>
      <c r="EA466" s="847"/>
      <c r="EB466" s="847"/>
      <c r="EC466" s="847"/>
      <c r="ED466" s="847"/>
      <c r="EE466" s="847"/>
      <c r="EF466" s="847"/>
      <c r="EG466" s="1212"/>
      <c r="EH466" s="847"/>
      <c r="EI466" s="1212"/>
    </row>
    <row r="467" spans="1:139" s="733" customFormat="1" ht="13.5">
      <c r="A467" s="1009"/>
      <c r="B467" s="1212" t="str">
        <f>B461</f>
        <v>V.All Kinds of Soil</v>
      </c>
      <c r="C467" s="1213">
        <v>0</v>
      </c>
      <c r="D467" s="1013" t="s">
        <v>49</v>
      </c>
      <c r="E467" s="847"/>
      <c r="F467" s="1013"/>
      <c r="G467" s="847"/>
      <c r="H467" s="1013"/>
      <c r="I467" s="847"/>
      <c r="J467" s="1013"/>
      <c r="K467" s="847"/>
      <c r="L467" s="1013"/>
      <c r="M467" s="847"/>
      <c r="N467" s="1013"/>
      <c r="O467" s="847"/>
      <c r="P467" s="1013"/>
      <c r="Q467" s="847"/>
      <c r="R467" s="847"/>
      <c r="S467" s="847"/>
      <c r="T467" s="847"/>
      <c r="U467" s="847"/>
      <c r="V467" s="847"/>
      <c r="W467" s="847"/>
      <c r="X467" s="847"/>
      <c r="Y467" s="847"/>
      <c r="Z467" s="847"/>
      <c r="AA467" s="847"/>
      <c r="AB467" s="847"/>
      <c r="AC467" s="847"/>
      <c r="AD467" s="847"/>
      <c r="AE467" s="847"/>
      <c r="AF467" s="847"/>
      <c r="AG467" s="847"/>
      <c r="AH467" s="847"/>
      <c r="AI467" s="847"/>
      <c r="AJ467" s="847"/>
      <c r="AK467" s="847"/>
      <c r="AL467" s="847"/>
      <c r="AM467" s="847"/>
      <c r="AN467" s="847"/>
      <c r="AO467" s="847"/>
      <c r="AP467" s="847"/>
      <c r="AQ467" s="847"/>
      <c r="AR467" s="847"/>
      <c r="AS467" s="847"/>
      <c r="AT467" s="847"/>
      <c r="AU467" s="847"/>
      <c r="AV467" s="847"/>
      <c r="AW467" s="847"/>
      <c r="AX467" s="847"/>
      <c r="AY467" s="847"/>
      <c r="AZ467" s="847"/>
      <c r="BA467" s="847"/>
      <c r="BB467" s="847"/>
      <c r="BC467" s="847"/>
      <c r="BD467" s="847"/>
      <c r="BE467" s="847"/>
      <c r="BF467" s="847"/>
      <c r="BG467" s="847"/>
      <c r="BH467" s="847"/>
      <c r="BI467" s="847"/>
      <c r="BJ467" s="847"/>
      <c r="BK467" s="847"/>
      <c r="BL467" s="847"/>
      <c r="BM467" s="847"/>
      <c r="BN467" s="847"/>
      <c r="BO467" s="847"/>
      <c r="BP467" s="847"/>
      <c r="BQ467" s="847"/>
      <c r="BR467" s="847"/>
      <c r="BS467" s="847"/>
      <c r="BT467" s="847"/>
      <c r="BU467" s="847"/>
      <c r="BV467" s="847"/>
      <c r="BW467" s="847"/>
      <c r="BX467" s="847"/>
      <c r="BY467" s="847"/>
      <c r="BZ467" s="847"/>
      <c r="CA467" s="847"/>
      <c r="CB467" s="847"/>
      <c r="CC467" s="847"/>
      <c r="CD467" s="847"/>
      <c r="CE467" s="847"/>
      <c r="CF467" s="847"/>
      <c r="CG467" s="847"/>
      <c r="CH467" s="847"/>
      <c r="CI467" s="847"/>
      <c r="CJ467" s="847"/>
      <c r="CK467" s="847"/>
      <c r="CL467" s="847"/>
      <c r="CM467" s="847"/>
      <c r="CN467" s="847"/>
      <c r="CO467" s="847"/>
      <c r="CP467" s="847"/>
      <c r="CQ467" s="847"/>
      <c r="CR467" s="847"/>
      <c r="CS467" s="847"/>
      <c r="CT467" s="847"/>
      <c r="CU467" s="847"/>
      <c r="CV467" s="847"/>
      <c r="CW467" s="847"/>
      <c r="CX467" s="847"/>
      <c r="CY467" s="847"/>
      <c r="CZ467" s="847"/>
      <c r="DA467" s="847"/>
      <c r="DB467" s="847"/>
      <c r="DC467" s="847"/>
      <c r="DD467" s="847"/>
      <c r="DE467" s="847"/>
      <c r="DF467" s="847"/>
      <c r="DG467" s="847"/>
      <c r="DH467" s="847"/>
      <c r="DI467" s="847"/>
      <c r="DJ467" s="847"/>
      <c r="DK467" s="847"/>
      <c r="DL467" s="847"/>
      <c r="DM467" s="1212"/>
      <c r="DN467" s="1222" t="e">
        <f>'Lead &amp; ANALYSIS'!#REF!*#REF!+'Lead &amp; ANALYSIS'!#REF!*#REF!</f>
        <v>#REF!</v>
      </c>
      <c r="DO467" s="1013" t="e">
        <f>ROUND(C467*DN467,2)</f>
        <v>#REF!</v>
      </c>
      <c r="DP467" s="847"/>
      <c r="DQ467" s="1013"/>
      <c r="DR467" s="1225"/>
      <c r="DS467" s="1013"/>
      <c r="DT467" s="1225"/>
      <c r="DU467" s="1214"/>
      <c r="DV467" s="1242"/>
      <c r="DW467" s="1232"/>
      <c r="DX467" s="1222"/>
      <c r="DY467" s="847"/>
      <c r="DZ467" s="847"/>
      <c r="EA467" s="847"/>
      <c r="EB467" s="847"/>
      <c r="EC467" s="847"/>
      <c r="ED467" s="847"/>
      <c r="EE467" s="847"/>
      <c r="EF467" s="847"/>
      <c r="EG467" s="1212"/>
      <c r="EH467" s="847"/>
      <c r="EI467" s="1212"/>
    </row>
    <row r="468" spans="1:139" s="733" customFormat="1" ht="13.5">
      <c r="A468" s="1009"/>
      <c r="B468" s="1245" t="s">
        <v>1486</v>
      </c>
      <c r="C468" s="1213">
        <v>0</v>
      </c>
      <c r="D468" s="1013" t="s">
        <v>49</v>
      </c>
      <c r="E468" s="847"/>
      <c r="F468" s="1013"/>
      <c r="G468" s="847"/>
      <c r="H468" s="1013"/>
      <c r="I468" s="847"/>
      <c r="J468" s="1013"/>
      <c r="K468" s="847"/>
      <c r="L468" s="1013"/>
      <c r="M468" s="847"/>
      <c r="N468" s="1013"/>
      <c r="O468" s="847"/>
      <c r="P468" s="1013"/>
      <c r="Q468" s="847"/>
      <c r="R468" s="847"/>
      <c r="S468" s="847"/>
      <c r="T468" s="847"/>
      <c r="U468" s="847"/>
      <c r="V468" s="847"/>
      <c r="W468" s="847"/>
      <c r="X468" s="847"/>
      <c r="Y468" s="847"/>
      <c r="Z468" s="847"/>
      <c r="AA468" s="847"/>
      <c r="AB468" s="847"/>
      <c r="AC468" s="847"/>
      <c r="AD468" s="847"/>
      <c r="AE468" s="847"/>
      <c r="AF468" s="847"/>
      <c r="AG468" s="847"/>
      <c r="AH468" s="847"/>
      <c r="AI468" s="847"/>
      <c r="AJ468" s="847"/>
      <c r="AK468" s="847"/>
      <c r="AL468" s="847"/>
      <c r="AM468" s="847"/>
      <c r="AN468" s="847"/>
      <c r="AO468" s="847"/>
      <c r="AP468" s="847"/>
      <c r="AQ468" s="847"/>
      <c r="AR468" s="847"/>
      <c r="AS468" s="847"/>
      <c r="AT468" s="847"/>
      <c r="AU468" s="847"/>
      <c r="AV468" s="847"/>
      <c r="AW468" s="847"/>
      <c r="AX468" s="847"/>
      <c r="AY468" s="847"/>
      <c r="AZ468" s="847"/>
      <c r="BA468" s="847"/>
      <c r="BB468" s="847"/>
      <c r="BC468" s="847"/>
      <c r="BD468" s="847"/>
      <c r="BE468" s="847"/>
      <c r="BF468" s="847"/>
      <c r="BG468" s="847"/>
      <c r="BH468" s="847"/>
      <c r="BI468" s="847"/>
      <c r="BJ468" s="847"/>
      <c r="BK468" s="847"/>
      <c r="BL468" s="847"/>
      <c r="BM468" s="847"/>
      <c r="BN468" s="847"/>
      <c r="BO468" s="847"/>
      <c r="BP468" s="847"/>
      <c r="BQ468" s="847"/>
      <c r="BR468" s="847"/>
      <c r="BS468" s="847"/>
      <c r="BT468" s="847"/>
      <c r="BU468" s="847"/>
      <c r="BV468" s="847"/>
      <c r="BW468" s="847"/>
      <c r="BX468" s="847"/>
      <c r="BY468" s="847"/>
      <c r="BZ468" s="847"/>
      <c r="CA468" s="847"/>
      <c r="CB468" s="847"/>
      <c r="CC468" s="847"/>
      <c r="CD468" s="847"/>
      <c r="CE468" s="847"/>
      <c r="CF468" s="847"/>
      <c r="CG468" s="847"/>
      <c r="CH468" s="847"/>
      <c r="CI468" s="847"/>
      <c r="CJ468" s="847"/>
      <c r="CK468" s="847"/>
      <c r="CL468" s="847"/>
      <c r="CM468" s="847"/>
      <c r="CN468" s="847"/>
      <c r="CO468" s="847"/>
      <c r="CP468" s="847"/>
      <c r="CQ468" s="847"/>
      <c r="CR468" s="847"/>
      <c r="CS468" s="847"/>
      <c r="CT468" s="847"/>
      <c r="CU468" s="847"/>
      <c r="CV468" s="847"/>
      <c r="CW468" s="847"/>
      <c r="CX468" s="847"/>
      <c r="CY468" s="847"/>
      <c r="CZ468" s="847"/>
      <c r="DA468" s="847"/>
      <c r="DB468" s="847"/>
      <c r="DC468" s="847"/>
      <c r="DD468" s="847"/>
      <c r="DE468" s="847"/>
      <c r="DF468" s="847"/>
      <c r="DG468" s="847"/>
      <c r="DH468" s="847"/>
      <c r="DI468" s="847"/>
      <c r="DJ468" s="847"/>
      <c r="DK468" s="847"/>
      <c r="DL468" s="847"/>
      <c r="DM468" s="1212"/>
      <c r="DN468" s="1222"/>
      <c r="DO468" s="1013"/>
      <c r="DP468" s="847"/>
      <c r="DQ468" s="1013"/>
      <c r="DR468" s="1225"/>
      <c r="DS468" s="1013"/>
      <c r="DT468" s="1225"/>
      <c r="DU468" s="1214"/>
      <c r="DV468" s="1242"/>
      <c r="DW468" s="1232"/>
      <c r="DX468" s="1222"/>
      <c r="DY468" s="847"/>
      <c r="DZ468" s="847"/>
      <c r="EA468" s="847"/>
      <c r="EB468" s="847"/>
      <c r="EC468" s="847"/>
      <c r="ED468" s="847"/>
      <c r="EE468" s="847"/>
      <c r="EF468" s="847"/>
      <c r="EG468" s="1212"/>
      <c r="EH468" s="847"/>
      <c r="EI468" s="1212"/>
    </row>
    <row r="469" spans="1:139" s="733" customFormat="1" ht="13.5">
      <c r="A469" s="1009"/>
      <c r="B469" s="1212" t="str">
        <f>B463</f>
        <v>i.Ordinary Soil.</v>
      </c>
      <c r="C469" s="1213">
        <v>0</v>
      </c>
      <c r="D469" s="1013" t="s">
        <v>49</v>
      </c>
      <c r="E469" s="847"/>
      <c r="F469" s="1013"/>
      <c r="G469" s="847"/>
      <c r="H469" s="1013"/>
      <c r="I469" s="847"/>
      <c r="J469" s="1013"/>
      <c r="K469" s="847"/>
      <c r="L469" s="1013"/>
      <c r="M469" s="847"/>
      <c r="N469" s="1013"/>
      <c r="O469" s="847"/>
      <c r="P469" s="1013"/>
      <c r="Q469" s="847"/>
      <c r="R469" s="847"/>
      <c r="S469" s="847"/>
      <c r="T469" s="847"/>
      <c r="U469" s="847"/>
      <c r="V469" s="847"/>
      <c r="W469" s="847"/>
      <c r="X469" s="847"/>
      <c r="Y469" s="847"/>
      <c r="Z469" s="847"/>
      <c r="AA469" s="847"/>
      <c r="AB469" s="847"/>
      <c r="AC469" s="847"/>
      <c r="AD469" s="847"/>
      <c r="AE469" s="847"/>
      <c r="AF469" s="847"/>
      <c r="AG469" s="847"/>
      <c r="AH469" s="847"/>
      <c r="AI469" s="847"/>
      <c r="AJ469" s="847"/>
      <c r="AK469" s="847"/>
      <c r="AL469" s="847"/>
      <c r="AM469" s="847"/>
      <c r="AN469" s="847"/>
      <c r="AO469" s="847"/>
      <c r="AP469" s="847"/>
      <c r="AQ469" s="847"/>
      <c r="AR469" s="847"/>
      <c r="AS469" s="847"/>
      <c r="AT469" s="847"/>
      <c r="AU469" s="847"/>
      <c r="AV469" s="847"/>
      <c r="AW469" s="847"/>
      <c r="AX469" s="847"/>
      <c r="AY469" s="847"/>
      <c r="AZ469" s="847"/>
      <c r="BA469" s="847"/>
      <c r="BB469" s="847"/>
      <c r="BC469" s="847"/>
      <c r="BD469" s="847"/>
      <c r="BE469" s="847"/>
      <c r="BF469" s="847"/>
      <c r="BG469" s="847"/>
      <c r="BH469" s="847"/>
      <c r="BI469" s="847"/>
      <c r="BJ469" s="847"/>
      <c r="BK469" s="847"/>
      <c r="BL469" s="847"/>
      <c r="BM469" s="847"/>
      <c r="BN469" s="847"/>
      <c r="BO469" s="847"/>
      <c r="BP469" s="847"/>
      <c r="BQ469" s="847"/>
      <c r="BR469" s="847"/>
      <c r="BS469" s="847"/>
      <c r="BT469" s="847"/>
      <c r="BU469" s="847"/>
      <c r="BV469" s="847"/>
      <c r="BW469" s="847"/>
      <c r="BX469" s="847"/>
      <c r="BY469" s="847"/>
      <c r="BZ469" s="847"/>
      <c r="CA469" s="847"/>
      <c r="CB469" s="847"/>
      <c r="CC469" s="847"/>
      <c r="CD469" s="847"/>
      <c r="CE469" s="847"/>
      <c r="CF469" s="847"/>
      <c r="CG469" s="847"/>
      <c r="CH469" s="847"/>
      <c r="CI469" s="847"/>
      <c r="CJ469" s="847"/>
      <c r="CK469" s="847"/>
      <c r="CL469" s="847"/>
      <c r="CM469" s="847"/>
      <c r="CN469" s="847"/>
      <c r="CO469" s="847"/>
      <c r="CP469" s="847"/>
      <c r="CQ469" s="847"/>
      <c r="CR469" s="847"/>
      <c r="CS469" s="847"/>
      <c r="CT469" s="847"/>
      <c r="CU469" s="847"/>
      <c r="CV469" s="847"/>
      <c r="CW469" s="847"/>
      <c r="CX469" s="847"/>
      <c r="CY469" s="847"/>
      <c r="CZ469" s="847"/>
      <c r="DA469" s="847"/>
      <c r="DB469" s="847"/>
      <c r="DC469" s="847"/>
      <c r="DD469" s="847"/>
      <c r="DE469" s="847"/>
      <c r="DF469" s="847"/>
      <c r="DG469" s="847"/>
      <c r="DH469" s="847"/>
      <c r="DI469" s="847"/>
      <c r="DJ469" s="847"/>
      <c r="DK469" s="847"/>
      <c r="DL469" s="847"/>
      <c r="DM469" s="1212"/>
      <c r="DN469" s="1222" t="e">
        <f>'Lead &amp; ANALYSIS'!#REF!*#REF!+'Lead &amp; ANALYSIS'!#REF!*#REF!</f>
        <v>#REF!</v>
      </c>
      <c r="DO469" s="1013" t="e">
        <f>ROUND(C469*DN469,2)</f>
        <v>#REF!</v>
      </c>
      <c r="DP469" s="847"/>
      <c r="DQ469" s="1013"/>
      <c r="DR469" s="1225"/>
      <c r="DS469" s="1013"/>
      <c r="DT469" s="1225"/>
      <c r="DU469" s="1214"/>
      <c r="DV469" s="1242"/>
      <c r="DW469" s="1232"/>
      <c r="DX469" s="1222"/>
      <c r="DY469" s="847"/>
      <c r="DZ469" s="847"/>
      <c r="EA469" s="847"/>
      <c r="EB469" s="847"/>
      <c r="EC469" s="847"/>
      <c r="ED469" s="847"/>
      <c r="EE469" s="847"/>
      <c r="EF469" s="847"/>
      <c r="EG469" s="1212"/>
      <c r="EH469" s="847"/>
      <c r="EI469" s="1212"/>
    </row>
    <row r="470" spans="1:139" s="733" customFormat="1" ht="13.5">
      <c r="A470" s="1009"/>
      <c r="B470" s="1212" t="str">
        <f>B464</f>
        <v>ii.Slushy Soil</v>
      </c>
      <c r="C470" s="1213">
        <v>0</v>
      </c>
      <c r="D470" s="1013" t="s">
        <v>49</v>
      </c>
      <c r="E470" s="847"/>
      <c r="F470" s="1013"/>
      <c r="G470" s="847"/>
      <c r="H470" s="1013"/>
      <c r="I470" s="847"/>
      <c r="J470" s="1013"/>
      <c r="K470" s="847"/>
      <c r="L470" s="1013"/>
      <c r="M470" s="847"/>
      <c r="N470" s="1013"/>
      <c r="O470" s="847"/>
      <c r="P470" s="1013"/>
      <c r="Q470" s="847"/>
      <c r="R470" s="847"/>
      <c r="S470" s="847"/>
      <c r="T470" s="847"/>
      <c r="U470" s="847"/>
      <c r="V470" s="847"/>
      <c r="W470" s="847"/>
      <c r="X470" s="847"/>
      <c r="Y470" s="847"/>
      <c r="Z470" s="847"/>
      <c r="AA470" s="847"/>
      <c r="AB470" s="847"/>
      <c r="AC470" s="847"/>
      <c r="AD470" s="847"/>
      <c r="AE470" s="847"/>
      <c r="AF470" s="847"/>
      <c r="AG470" s="847"/>
      <c r="AH470" s="847"/>
      <c r="AI470" s="847"/>
      <c r="AJ470" s="847"/>
      <c r="AK470" s="847"/>
      <c r="AL470" s="847"/>
      <c r="AM470" s="847"/>
      <c r="AN470" s="847"/>
      <c r="AO470" s="847"/>
      <c r="AP470" s="847"/>
      <c r="AQ470" s="847"/>
      <c r="AR470" s="847"/>
      <c r="AS470" s="847"/>
      <c r="AT470" s="847"/>
      <c r="AU470" s="847"/>
      <c r="AV470" s="847"/>
      <c r="AW470" s="847"/>
      <c r="AX470" s="847"/>
      <c r="AY470" s="847"/>
      <c r="AZ470" s="847"/>
      <c r="BA470" s="847"/>
      <c r="BB470" s="847"/>
      <c r="BC470" s="847"/>
      <c r="BD470" s="847"/>
      <c r="BE470" s="847"/>
      <c r="BF470" s="847"/>
      <c r="BG470" s="847"/>
      <c r="BH470" s="847"/>
      <c r="BI470" s="847"/>
      <c r="BJ470" s="847"/>
      <c r="BK470" s="847"/>
      <c r="BL470" s="847"/>
      <c r="BM470" s="847"/>
      <c r="BN470" s="847"/>
      <c r="BO470" s="847"/>
      <c r="BP470" s="847"/>
      <c r="BQ470" s="847"/>
      <c r="BR470" s="847"/>
      <c r="BS470" s="847"/>
      <c r="BT470" s="847"/>
      <c r="BU470" s="847"/>
      <c r="BV470" s="847"/>
      <c r="BW470" s="847"/>
      <c r="BX470" s="847"/>
      <c r="BY470" s="847"/>
      <c r="BZ470" s="847"/>
      <c r="CA470" s="847"/>
      <c r="CB470" s="847"/>
      <c r="CC470" s="847"/>
      <c r="CD470" s="847"/>
      <c r="CE470" s="847"/>
      <c r="CF470" s="847"/>
      <c r="CG470" s="847"/>
      <c r="CH470" s="847"/>
      <c r="CI470" s="847"/>
      <c r="CJ470" s="847"/>
      <c r="CK470" s="847"/>
      <c r="CL470" s="847"/>
      <c r="CM470" s="847"/>
      <c r="CN470" s="847"/>
      <c r="CO470" s="847"/>
      <c r="CP470" s="847"/>
      <c r="CQ470" s="847"/>
      <c r="CR470" s="847"/>
      <c r="CS470" s="847"/>
      <c r="CT470" s="847"/>
      <c r="CU470" s="847"/>
      <c r="CV470" s="847"/>
      <c r="CW470" s="847"/>
      <c r="CX470" s="847"/>
      <c r="CY470" s="847"/>
      <c r="CZ470" s="847"/>
      <c r="DA470" s="847"/>
      <c r="DB470" s="847"/>
      <c r="DC470" s="847"/>
      <c r="DD470" s="847"/>
      <c r="DE470" s="847"/>
      <c r="DF470" s="847"/>
      <c r="DG470" s="847"/>
      <c r="DH470" s="847"/>
      <c r="DI470" s="847"/>
      <c r="DJ470" s="847"/>
      <c r="DK470" s="847"/>
      <c r="DL470" s="847"/>
      <c r="DM470" s="1212"/>
      <c r="DN470" s="1222" t="e">
        <f>'Lead &amp; ANALYSIS'!#REF!*#REF!+'Lead &amp; ANALYSIS'!#REF!*#REF!</f>
        <v>#REF!</v>
      </c>
      <c r="DO470" s="1013" t="e">
        <f>ROUND(C470*DN470,2)</f>
        <v>#REF!</v>
      </c>
      <c r="DP470" s="847"/>
      <c r="DQ470" s="1013"/>
      <c r="DR470" s="1225"/>
      <c r="DS470" s="1013"/>
      <c r="DT470" s="1225"/>
      <c r="DU470" s="1214"/>
      <c r="DV470" s="1242"/>
      <c r="DW470" s="1232"/>
      <c r="DX470" s="1222"/>
      <c r="DY470" s="847"/>
      <c r="DZ470" s="847"/>
      <c r="EA470" s="847"/>
      <c r="EB470" s="847"/>
      <c r="EC470" s="847"/>
      <c r="ED470" s="847"/>
      <c r="EE470" s="847"/>
      <c r="EF470" s="847"/>
      <c r="EG470" s="1212"/>
      <c r="EH470" s="847"/>
      <c r="EI470" s="1212"/>
    </row>
    <row r="471" spans="1:139" s="733" customFormat="1" ht="13.5">
      <c r="A471" s="1009"/>
      <c r="B471" s="1212" t="str">
        <f>B465</f>
        <v>iii.Hard Sooil</v>
      </c>
      <c r="C471" s="1213">
        <v>0</v>
      </c>
      <c r="D471" s="1013" t="s">
        <v>49</v>
      </c>
      <c r="E471" s="847"/>
      <c r="F471" s="1013"/>
      <c r="G471" s="847"/>
      <c r="H471" s="1013"/>
      <c r="I471" s="847"/>
      <c r="J471" s="1013"/>
      <c r="K471" s="847"/>
      <c r="L471" s="1013"/>
      <c r="M471" s="847"/>
      <c r="N471" s="1013"/>
      <c r="O471" s="847"/>
      <c r="P471" s="1013"/>
      <c r="Q471" s="847"/>
      <c r="R471" s="847"/>
      <c r="S471" s="847"/>
      <c r="T471" s="847"/>
      <c r="U471" s="847"/>
      <c r="V471" s="847"/>
      <c r="W471" s="847"/>
      <c r="X471" s="847"/>
      <c r="Y471" s="847"/>
      <c r="Z471" s="847"/>
      <c r="AA471" s="847"/>
      <c r="AB471" s="847"/>
      <c r="AC471" s="847"/>
      <c r="AD471" s="847"/>
      <c r="AE471" s="847"/>
      <c r="AF471" s="847"/>
      <c r="AG471" s="847"/>
      <c r="AH471" s="847"/>
      <c r="AI471" s="847"/>
      <c r="AJ471" s="847"/>
      <c r="AK471" s="847"/>
      <c r="AL471" s="847"/>
      <c r="AM471" s="847"/>
      <c r="AN471" s="847"/>
      <c r="AO471" s="847"/>
      <c r="AP471" s="847"/>
      <c r="AQ471" s="847"/>
      <c r="AR471" s="847"/>
      <c r="AS471" s="847"/>
      <c r="AT471" s="847"/>
      <c r="AU471" s="847"/>
      <c r="AV471" s="847"/>
      <c r="AW471" s="847"/>
      <c r="AX471" s="847"/>
      <c r="AY471" s="847"/>
      <c r="AZ471" s="847"/>
      <c r="BA471" s="847"/>
      <c r="BB471" s="847"/>
      <c r="BC471" s="847"/>
      <c r="BD471" s="847"/>
      <c r="BE471" s="847"/>
      <c r="BF471" s="847"/>
      <c r="BG471" s="847"/>
      <c r="BH471" s="847"/>
      <c r="BI471" s="847"/>
      <c r="BJ471" s="847"/>
      <c r="BK471" s="847"/>
      <c r="BL471" s="847"/>
      <c r="BM471" s="847"/>
      <c r="BN471" s="847"/>
      <c r="BO471" s="847"/>
      <c r="BP471" s="847"/>
      <c r="BQ471" s="847"/>
      <c r="BR471" s="847"/>
      <c r="BS471" s="847"/>
      <c r="BT471" s="847"/>
      <c r="BU471" s="847"/>
      <c r="BV471" s="847"/>
      <c r="BW471" s="847"/>
      <c r="BX471" s="847"/>
      <c r="BY471" s="847"/>
      <c r="BZ471" s="847"/>
      <c r="CA471" s="847"/>
      <c r="CB471" s="847"/>
      <c r="CC471" s="847"/>
      <c r="CD471" s="847"/>
      <c r="CE471" s="847"/>
      <c r="CF471" s="847"/>
      <c r="CG471" s="847"/>
      <c r="CH471" s="847"/>
      <c r="CI471" s="847"/>
      <c r="CJ471" s="847"/>
      <c r="CK471" s="847"/>
      <c r="CL471" s="847"/>
      <c r="CM471" s="847"/>
      <c r="CN471" s="847"/>
      <c r="CO471" s="847"/>
      <c r="CP471" s="847"/>
      <c r="CQ471" s="847"/>
      <c r="CR471" s="847"/>
      <c r="CS471" s="847"/>
      <c r="CT471" s="847"/>
      <c r="CU471" s="847"/>
      <c r="CV471" s="847"/>
      <c r="CW471" s="847"/>
      <c r="CX471" s="847"/>
      <c r="CY471" s="847"/>
      <c r="CZ471" s="847"/>
      <c r="DA471" s="847"/>
      <c r="DB471" s="847"/>
      <c r="DC471" s="847"/>
      <c r="DD471" s="847"/>
      <c r="DE471" s="847"/>
      <c r="DF471" s="847"/>
      <c r="DG471" s="847"/>
      <c r="DH471" s="847"/>
      <c r="DI471" s="847"/>
      <c r="DJ471" s="847"/>
      <c r="DK471" s="847"/>
      <c r="DL471" s="847"/>
      <c r="DM471" s="1212"/>
      <c r="DN471" s="1222" t="e">
        <f>'Lead &amp; ANALYSIS'!#REF!*#REF!+'Lead &amp; ANALYSIS'!#REF!*#REF!</f>
        <v>#REF!</v>
      </c>
      <c r="DO471" s="1013" t="e">
        <f>ROUND(C471*DN471,2)</f>
        <v>#REF!</v>
      </c>
      <c r="DP471" s="847"/>
      <c r="DQ471" s="1013"/>
      <c r="DR471" s="1225"/>
      <c r="DS471" s="1013"/>
      <c r="DT471" s="1225"/>
      <c r="DU471" s="1214"/>
      <c r="DV471" s="1242"/>
      <c r="DW471" s="1232"/>
      <c r="DX471" s="1222"/>
      <c r="DY471" s="847"/>
      <c r="DZ471" s="847"/>
      <c r="EA471" s="847"/>
      <c r="EB471" s="847"/>
      <c r="EC471" s="847"/>
      <c r="ED471" s="847"/>
      <c r="EE471" s="847"/>
      <c r="EF471" s="847"/>
      <c r="EG471" s="1212"/>
      <c r="EH471" s="847"/>
      <c r="EI471" s="1212"/>
    </row>
    <row r="472" spans="1:139" s="733" customFormat="1" ht="13.5">
      <c r="A472" s="1009"/>
      <c r="B472" s="1212" t="str">
        <f>B466</f>
        <v>IV.Stony Earth</v>
      </c>
      <c r="C472" s="1213">
        <v>0</v>
      </c>
      <c r="D472" s="1013" t="s">
        <v>49</v>
      </c>
      <c r="E472" s="847"/>
      <c r="F472" s="1013"/>
      <c r="G472" s="847"/>
      <c r="H472" s="1013"/>
      <c r="I472" s="847"/>
      <c r="J472" s="1013"/>
      <c r="K472" s="847"/>
      <c r="L472" s="1013"/>
      <c r="M472" s="847"/>
      <c r="N472" s="1013"/>
      <c r="O472" s="847"/>
      <c r="P472" s="1013"/>
      <c r="Q472" s="847"/>
      <c r="R472" s="847"/>
      <c r="S472" s="847"/>
      <c r="T472" s="847"/>
      <c r="U472" s="847"/>
      <c r="V472" s="847"/>
      <c r="W472" s="847"/>
      <c r="X472" s="847"/>
      <c r="Y472" s="847"/>
      <c r="Z472" s="847"/>
      <c r="AA472" s="847"/>
      <c r="AB472" s="847"/>
      <c r="AC472" s="847"/>
      <c r="AD472" s="847"/>
      <c r="AE472" s="847"/>
      <c r="AF472" s="847"/>
      <c r="AG472" s="847"/>
      <c r="AH472" s="847"/>
      <c r="AI472" s="847"/>
      <c r="AJ472" s="847"/>
      <c r="AK472" s="847"/>
      <c r="AL472" s="847"/>
      <c r="AM472" s="847"/>
      <c r="AN472" s="847"/>
      <c r="AO472" s="847"/>
      <c r="AP472" s="847"/>
      <c r="AQ472" s="847"/>
      <c r="AR472" s="847"/>
      <c r="AS472" s="847"/>
      <c r="AT472" s="847"/>
      <c r="AU472" s="847"/>
      <c r="AV472" s="847"/>
      <c r="AW472" s="847"/>
      <c r="AX472" s="847"/>
      <c r="AY472" s="847"/>
      <c r="AZ472" s="847"/>
      <c r="BA472" s="847"/>
      <c r="BB472" s="847"/>
      <c r="BC472" s="847"/>
      <c r="BD472" s="847"/>
      <c r="BE472" s="847"/>
      <c r="BF472" s="847"/>
      <c r="BG472" s="847"/>
      <c r="BH472" s="847"/>
      <c r="BI472" s="847"/>
      <c r="BJ472" s="847"/>
      <c r="BK472" s="847"/>
      <c r="BL472" s="847"/>
      <c r="BM472" s="847"/>
      <c r="BN472" s="847"/>
      <c r="BO472" s="847"/>
      <c r="BP472" s="847"/>
      <c r="BQ472" s="847"/>
      <c r="BR472" s="847"/>
      <c r="BS472" s="847"/>
      <c r="BT472" s="847"/>
      <c r="BU472" s="847"/>
      <c r="BV472" s="847"/>
      <c r="BW472" s="847"/>
      <c r="BX472" s="847"/>
      <c r="BY472" s="847"/>
      <c r="BZ472" s="847"/>
      <c r="CA472" s="847"/>
      <c r="CB472" s="847"/>
      <c r="CC472" s="847"/>
      <c r="CD472" s="847"/>
      <c r="CE472" s="847"/>
      <c r="CF472" s="847"/>
      <c r="CG472" s="847"/>
      <c r="CH472" s="847"/>
      <c r="CI472" s="847"/>
      <c r="CJ472" s="847"/>
      <c r="CK472" s="847"/>
      <c r="CL472" s="847"/>
      <c r="CM472" s="847"/>
      <c r="CN472" s="847"/>
      <c r="CO472" s="847"/>
      <c r="CP472" s="847"/>
      <c r="CQ472" s="847"/>
      <c r="CR472" s="847"/>
      <c r="CS472" s="847"/>
      <c r="CT472" s="847"/>
      <c r="CU472" s="847"/>
      <c r="CV472" s="847"/>
      <c r="CW472" s="847"/>
      <c r="CX472" s="847"/>
      <c r="CY472" s="847"/>
      <c r="CZ472" s="847"/>
      <c r="DA472" s="847"/>
      <c r="DB472" s="847"/>
      <c r="DC472" s="847"/>
      <c r="DD472" s="847"/>
      <c r="DE472" s="847"/>
      <c r="DF472" s="847"/>
      <c r="DG472" s="847"/>
      <c r="DH472" s="847"/>
      <c r="DI472" s="847"/>
      <c r="DJ472" s="847"/>
      <c r="DK472" s="847"/>
      <c r="DL472" s="847"/>
      <c r="DM472" s="1212"/>
      <c r="DN472" s="1222" t="e">
        <f>'Lead &amp; ANALYSIS'!#REF!*#REF!+'Lead &amp; ANALYSIS'!#REF!*#REF!</f>
        <v>#REF!</v>
      </c>
      <c r="DO472" s="1013" t="e">
        <f>ROUND(C472*DN472,2)</f>
        <v>#REF!</v>
      </c>
      <c r="DP472" s="847"/>
      <c r="DQ472" s="1013"/>
      <c r="DR472" s="1225"/>
      <c r="DS472" s="1013"/>
      <c r="DT472" s="1225"/>
      <c r="DU472" s="1214"/>
      <c r="DV472" s="1242"/>
      <c r="DW472" s="1232"/>
      <c r="DX472" s="1222"/>
      <c r="DY472" s="847"/>
      <c r="DZ472" s="847"/>
      <c r="EA472" s="847"/>
      <c r="EB472" s="847"/>
      <c r="EC472" s="847"/>
      <c r="ED472" s="847"/>
      <c r="EE472" s="847"/>
      <c r="EF472" s="847"/>
      <c r="EG472" s="1212"/>
      <c r="EH472" s="847"/>
      <c r="EI472" s="1212"/>
    </row>
    <row r="473" spans="1:139" s="733" customFormat="1" ht="13.5">
      <c r="A473" s="1009"/>
      <c r="B473" s="1212" t="str">
        <f>B467</f>
        <v>V.All Kinds of Soil</v>
      </c>
      <c r="C473" s="1213">
        <v>0</v>
      </c>
      <c r="D473" s="1013" t="s">
        <v>49</v>
      </c>
      <c r="E473" s="847"/>
      <c r="F473" s="1013"/>
      <c r="G473" s="847"/>
      <c r="H473" s="1013"/>
      <c r="I473" s="847"/>
      <c r="J473" s="1013"/>
      <c r="K473" s="847"/>
      <c r="L473" s="1013"/>
      <c r="M473" s="847"/>
      <c r="N473" s="1013"/>
      <c r="O473" s="847"/>
      <c r="P473" s="1013"/>
      <c r="Q473" s="847"/>
      <c r="R473" s="847"/>
      <c r="S473" s="847"/>
      <c r="T473" s="847"/>
      <c r="U473" s="847"/>
      <c r="V473" s="847"/>
      <c r="W473" s="847"/>
      <c r="X473" s="847"/>
      <c r="Y473" s="847"/>
      <c r="Z473" s="847"/>
      <c r="AA473" s="847"/>
      <c r="AB473" s="847"/>
      <c r="AC473" s="847"/>
      <c r="AD473" s="847"/>
      <c r="AE473" s="847"/>
      <c r="AF473" s="847"/>
      <c r="AG473" s="847"/>
      <c r="AH473" s="847"/>
      <c r="AI473" s="847"/>
      <c r="AJ473" s="847"/>
      <c r="AK473" s="847"/>
      <c r="AL473" s="847"/>
      <c r="AM473" s="847"/>
      <c r="AN473" s="847"/>
      <c r="AO473" s="847"/>
      <c r="AP473" s="847"/>
      <c r="AQ473" s="847"/>
      <c r="AR473" s="847"/>
      <c r="AS473" s="847"/>
      <c r="AT473" s="847"/>
      <c r="AU473" s="847"/>
      <c r="AV473" s="847"/>
      <c r="AW473" s="847"/>
      <c r="AX473" s="847"/>
      <c r="AY473" s="847"/>
      <c r="AZ473" s="847"/>
      <c r="BA473" s="847"/>
      <c r="BB473" s="847"/>
      <c r="BC473" s="847"/>
      <c r="BD473" s="847"/>
      <c r="BE473" s="847"/>
      <c r="BF473" s="847"/>
      <c r="BG473" s="847"/>
      <c r="BH473" s="847"/>
      <c r="BI473" s="847"/>
      <c r="BJ473" s="847"/>
      <c r="BK473" s="847"/>
      <c r="BL473" s="847"/>
      <c r="BM473" s="847"/>
      <c r="BN473" s="847"/>
      <c r="BO473" s="847"/>
      <c r="BP473" s="847"/>
      <c r="BQ473" s="847"/>
      <c r="BR473" s="847"/>
      <c r="BS473" s="847"/>
      <c r="BT473" s="847"/>
      <c r="BU473" s="847"/>
      <c r="BV473" s="847"/>
      <c r="BW473" s="847"/>
      <c r="BX473" s="847"/>
      <c r="BY473" s="847"/>
      <c r="BZ473" s="847"/>
      <c r="CA473" s="847"/>
      <c r="CB473" s="847"/>
      <c r="CC473" s="847"/>
      <c r="CD473" s="847"/>
      <c r="CE473" s="847"/>
      <c r="CF473" s="847"/>
      <c r="CG473" s="847"/>
      <c r="CH473" s="847"/>
      <c r="CI473" s="847"/>
      <c r="CJ473" s="847"/>
      <c r="CK473" s="847"/>
      <c r="CL473" s="847"/>
      <c r="CM473" s="847"/>
      <c r="CN473" s="847"/>
      <c r="CO473" s="847"/>
      <c r="CP473" s="847"/>
      <c r="CQ473" s="847"/>
      <c r="CR473" s="847"/>
      <c r="CS473" s="847"/>
      <c r="CT473" s="847"/>
      <c r="CU473" s="847"/>
      <c r="CV473" s="847"/>
      <c r="CW473" s="847"/>
      <c r="CX473" s="847"/>
      <c r="CY473" s="847"/>
      <c r="CZ473" s="847"/>
      <c r="DA473" s="847"/>
      <c r="DB473" s="847"/>
      <c r="DC473" s="847"/>
      <c r="DD473" s="847"/>
      <c r="DE473" s="847"/>
      <c r="DF473" s="847"/>
      <c r="DG473" s="847"/>
      <c r="DH473" s="847"/>
      <c r="DI473" s="847"/>
      <c r="DJ473" s="847"/>
      <c r="DK473" s="847"/>
      <c r="DL473" s="847"/>
      <c r="DM473" s="1212"/>
      <c r="DN473" s="1222" t="e">
        <f>'Lead &amp; ANALYSIS'!#REF!*#REF!+'Lead &amp; ANALYSIS'!#REF!*#REF!</f>
        <v>#REF!</v>
      </c>
      <c r="DO473" s="1013" t="e">
        <f>ROUND(C473*DN473,2)</f>
        <v>#REF!</v>
      </c>
      <c r="DP473" s="847"/>
      <c r="DQ473" s="1013"/>
      <c r="DR473" s="1225"/>
      <c r="DS473" s="1013"/>
      <c r="DT473" s="1225"/>
      <c r="DU473" s="1214"/>
      <c r="DV473" s="1242"/>
      <c r="DW473" s="1232"/>
      <c r="DX473" s="1222"/>
      <c r="DY473" s="847"/>
      <c r="DZ473" s="847"/>
      <c r="EA473" s="847"/>
      <c r="EB473" s="847"/>
      <c r="EC473" s="847"/>
      <c r="ED473" s="847"/>
      <c r="EE473" s="847"/>
      <c r="EF473" s="847"/>
      <c r="EG473" s="1212"/>
      <c r="EH473" s="847"/>
      <c r="EI473" s="1212"/>
    </row>
    <row r="474" spans="1:139" s="733" customFormat="1" ht="13.5">
      <c r="A474" s="1009"/>
      <c r="B474" s="1245" t="s">
        <v>1489</v>
      </c>
      <c r="C474" s="1213">
        <v>0</v>
      </c>
      <c r="D474" s="1013" t="s">
        <v>49</v>
      </c>
      <c r="E474" s="847"/>
      <c r="F474" s="1013"/>
      <c r="G474" s="847"/>
      <c r="H474" s="1013"/>
      <c r="I474" s="847"/>
      <c r="J474" s="1013"/>
      <c r="K474" s="847"/>
      <c r="L474" s="1013"/>
      <c r="M474" s="847"/>
      <c r="N474" s="1013"/>
      <c r="O474" s="847"/>
      <c r="P474" s="1013"/>
      <c r="Q474" s="847"/>
      <c r="R474" s="847"/>
      <c r="S474" s="847"/>
      <c r="T474" s="847"/>
      <c r="U474" s="847"/>
      <c r="V474" s="847"/>
      <c r="W474" s="847"/>
      <c r="X474" s="847"/>
      <c r="Y474" s="847"/>
      <c r="Z474" s="847"/>
      <c r="AA474" s="847"/>
      <c r="AB474" s="847"/>
      <c r="AC474" s="847"/>
      <c r="AD474" s="847"/>
      <c r="AE474" s="847"/>
      <c r="AF474" s="847"/>
      <c r="AG474" s="847"/>
      <c r="AH474" s="847"/>
      <c r="AI474" s="847"/>
      <c r="AJ474" s="847"/>
      <c r="AK474" s="847"/>
      <c r="AL474" s="847"/>
      <c r="AM474" s="847"/>
      <c r="AN474" s="847"/>
      <c r="AO474" s="847"/>
      <c r="AP474" s="847"/>
      <c r="AQ474" s="847"/>
      <c r="AR474" s="847"/>
      <c r="AS474" s="847"/>
      <c r="AT474" s="847"/>
      <c r="AU474" s="847"/>
      <c r="AV474" s="847"/>
      <c r="AW474" s="847"/>
      <c r="AX474" s="847"/>
      <c r="AY474" s="847"/>
      <c r="AZ474" s="847"/>
      <c r="BA474" s="847"/>
      <c r="BB474" s="847"/>
      <c r="BC474" s="847"/>
      <c r="BD474" s="847"/>
      <c r="BE474" s="847"/>
      <c r="BF474" s="847"/>
      <c r="BG474" s="847"/>
      <c r="BH474" s="847"/>
      <c r="BI474" s="847"/>
      <c r="BJ474" s="847"/>
      <c r="BK474" s="847"/>
      <c r="BL474" s="847"/>
      <c r="BM474" s="847"/>
      <c r="BN474" s="847"/>
      <c r="BO474" s="847"/>
      <c r="BP474" s="847"/>
      <c r="BQ474" s="847"/>
      <c r="BR474" s="847"/>
      <c r="BS474" s="847"/>
      <c r="BT474" s="847"/>
      <c r="BU474" s="847"/>
      <c r="BV474" s="847"/>
      <c r="BW474" s="847"/>
      <c r="BX474" s="847"/>
      <c r="BY474" s="847"/>
      <c r="BZ474" s="847"/>
      <c r="CA474" s="847"/>
      <c r="CB474" s="847"/>
      <c r="CC474" s="847"/>
      <c r="CD474" s="847"/>
      <c r="CE474" s="847"/>
      <c r="CF474" s="847"/>
      <c r="CG474" s="847"/>
      <c r="CH474" s="847"/>
      <c r="CI474" s="847"/>
      <c r="CJ474" s="847"/>
      <c r="CK474" s="847"/>
      <c r="CL474" s="847"/>
      <c r="CM474" s="847"/>
      <c r="CN474" s="847"/>
      <c r="CO474" s="847"/>
      <c r="CP474" s="847"/>
      <c r="CQ474" s="847"/>
      <c r="CR474" s="847"/>
      <c r="CS474" s="847"/>
      <c r="CT474" s="847"/>
      <c r="CU474" s="847"/>
      <c r="CV474" s="847"/>
      <c r="CW474" s="847"/>
      <c r="CX474" s="847"/>
      <c r="CY474" s="847"/>
      <c r="CZ474" s="847"/>
      <c r="DA474" s="847"/>
      <c r="DB474" s="847"/>
      <c r="DC474" s="847"/>
      <c r="DD474" s="847"/>
      <c r="DE474" s="847"/>
      <c r="DF474" s="847"/>
      <c r="DG474" s="847"/>
      <c r="DH474" s="847"/>
      <c r="DI474" s="847"/>
      <c r="DJ474" s="847"/>
      <c r="DK474" s="847"/>
      <c r="DL474" s="847"/>
      <c r="DM474" s="1212"/>
      <c r="DN474" s="1222"/>
      <c r="DO474" s="1013"/>
      <c r="DP474" s="847"/>
      <c r="DQ474" s="1013"/>
      <c r="DR474" s="1225"/>
      <c r="DS474" s="1013"/>
      <c r="DT474" s="1225"/>
      <c r="DU474" s="1214"/>
      <c r="DV474" s="1242"/>
      <c r="DW474" s="1232"/>
      <c r="DX474" s="1222"/>
      <c r="DY474" s="847"/>
      <c r="DZ474" s="847"/>
      <c r="EA474" s="847"/>
      <c r="EB474" s="847"/>
      <c r="EC474" s="847"/>
      <c r="ED474" s="847"/>
      <c r="EE474" s="847"/>
      <c r="EF474" s="847"/>
      <c r="EG474" s="1212"/>
      <c r="EH474" s="847"/>
      <c r="EI474" s="1212"/>
    </row>
    <row r="475" spans="1:139" s="733" customFormat="1" ht="13.5">
      <c r="A475" s="1009"/>
      <c r="B475" s="1212" t="str">
        <f>B469</f>
        <v>i.Ordinary Soil.</v>
      </c>
      <c r="C475" s="1213">
        <v>0</v>
      </c>
      <c r="D475" s="1013" t="s">
        <v>49</v>
      </c>
      <c r="E475" s="847"/>
      <c r="F475" s="1013"/>
      <c r="G475" s="847"/>
      <c r="H475" s="1013"/>
      <c r="I475" s="847"/>
      <c r="J475" s="1013"/>
      <c r="K475" s="847"/>
      <c r="L475" s="1013"/>
      <c r="M475" s="847"/>
      <c r="N475" s="1013"/>
      <c r="O475" s="847"/>
      <c r="P475" s="1013"/>
      <c r="Q475" s="847"/>
      <c r="R475" s="847"/>
      <c r="S475" s="847"/>
      <c r="T475" s="847"/>
      <c r="U475" s="847"/>
      <c r="V475" s="847"/>
      <c r="W475" s="847"/>
      <c r="X475" s="847"/>
      <c r="Y475" s="847"/>
      <c r="Z475" s="847"/>
      <c r="AA475" s="847"/>
      <c r="AB475" s="847"/>
      <c r="AC475" s="847"/>
      <c r="AD475" s="847"/>
      <c r="AE475" s="847"/>
      <c r="AF475" s="847"/>
      <c r="AG475" s="847"/>
      <c r="AH475" s="847"/>
      <c r="AI475" s="847"/>
      <c r="AJ475" s="847"/>
      <c r="AK475" s="847"/>
      <c r="AL475" s="847"/>
      <c r="AM475" s="847"/>
      <c r="AN475" s="847"/>
      <c r="AO475" s="847"/>
      <c r="AP475" s="847"/>
      <c r="AQ475" s="847"/>
      <c r="AR475" s="847"/>
      <c r="AS475" s="847"/>
      <c r="AT475" s="847"/>
      <c r="AU475" s="847"/>
      <c r="AV475" s="847"/>
      <c r="AW475" s="847"/>
      <c r="AX475" s="847"/>
      <c r="AY475" s="847"/>
      <c r="AZ475" s="847"/>
      <c r="BA475" s="847"/>
      <c r="BB475" s="847"/>
      <c r="BC475" s="847"/>
      <c r="BD475" s="847"/>
      <c r="BE475" s="847"/>
      <c r="BF475" s="847"/>
      <c r="BG475" s="847"/>
      <c r="BH475" s="847"/>
      <c r="BI475" s="847"/>
      <c r="BJ475" s="847"/>
      <c r="BK475" s="847"/>
      <c r="BL475" s="847"/>
      <c r="BM475" s="847"/>
      <c r="BN475" s="847"/>
      <c r="BO475" s="847"/>
      <c r="BP475" s="847"/>
      <c r="BQ475" s="847"/>
      <c r="BR475" s="847"/>
      <c r="BS475" s="847"/>
      <c r="BT475" s="847"/>
      <c r="BU475" s="847"/>
      <c r="BV475" s="847"/>
      <c r="BW475" s="847"/>
      <c r="BX475" s="847"/>
      <c r="BY475" s="847"/>
      <c r="BZ475" s="847"/>
      <c r="CA475" s="847"/>
      <c r="CB475" s="847"/>
      <c r="CC475" s="847"/>
      <c r="CD475" s="847"/>
      <c r="CE475" s="847"/>
      <c r="CF475" s="847"/>
      <c r="CG475" s="847"/>
      <c r="CH475" s="847"/>
      <c r="CI475" s="847"/>
      <c r="CJ475" s="847"/>
      <c r="CK475" s="847"/>
      <c r="CL475" s="847"/>
      <c r="CM475" s="847"/>
      <c r="CN475" s="847"/>
      <c r="CO475" s="847"/>
      <c r="CP475" s="847"/>
      <c r="CQ475" s="847"/>
      <c r="CR475" s="847"/>
      <c r="CS475" s="847"/>
      <c r="CT475" s="847"/>
      <c r="CU475" s="847"/>
      <c r="CV475" s="847"/>
      <c r="CW475" s="847"/>
      <c r="CX475" s="847"/>
      <c r="CY475" s="847"/>
      <c r="CZ475" s="847"/>
      <c r="DA475" s="847"/>
      <c r="DB475" s="847"/>
      <c r="DC475" s="847"/>
      <c r="DD475" s="847"/>
      <c r="DE475" s="847"/>
      <c r="DF475" s="847"/>
      <c r="DG475" s="847"/>
      <c r="DH475" s="847"/>
      <c r="DI475" s="847"/>
      <c r="DJ475" s="847"/>
      <c r="DK475" s="847"/>
      <c r="DL475" s="847"/>
      <c r="DM475" s="1212"/>
      <c r="DN475" s="1222" t="e">
        <f>'Lead &amp; ANALYSIS'!#REF!*#REF!+'Lead &amp; ANALYSIS'!#REF!*#REF!</f>
        <v>#REF!</v>
      </c>
      <c r="DO475" s="1013" t="e">
        <f>ROUND(C475*DN475,2)</f>
        <v>#REF!</v>
      </c>
      <c r="DP475" s="847"/>
      <c r="DQ475" s="1013"/>
      <c r="DR475" s="1225"/>
      <c r="DS475" s="1013"/>
      <c r="DT475" s="1225"/>
      <c r="DU475" s="1214"/>
      <c r="DV475" s="1242"/>
      <c r="DW475" s="1232"/>
      <c r="DX475" s="1222"/>
      <c r="DY475" s="847"/>
      <c r="DZ475" s="847"/>
      <c r="EA475" s="847"/>
      <c r="EB475" s="847"/>
      <c r="EC475" s="847"/>
      <c r="ED475" s="847"/>
      <c r="EE475" s="847"/>
      <c r="EF475" s="847"/>
      <c r="EG475" s="1212"/>
      <c r="EH475" s="847"/>
      <c r="EI475" s="1212"/>
    </row>
    <row r="476" spans="1:139" s="733" customFormat="1" ht="13.5">
      <c r="A476" s="1009"/>
      <c r="B476" s="1212" t="str">
        <f>B470</f>
        <v>ii.Slushy Soil</v>
      </c>
      <c r="C476" s="1213">
        <v>0</v>
      </c>
      <c r="D476" s="1013" t="s">
        <v>49</v>
      </c>
      <c r="E476" s="847"/>
      <c r="F476" s="1013"/>
      <c r="G476" s="847"/>
      <c r="H476" s="1013"/>
      <c r="I476" s="847"/>
      <c r="J476" s="1013"/>
      <c r="K476" s="847"/>
      <c r="L476" s="1013"/>
      <c r="M476" s="847"/>
      <c r="N476" s="1013"/>
      <c r="O476" s="847"/>
      <c r="P476" s="1013"/>
      <c r="Q476" s="847"/>
      <c r="R476" s="847"/>
      <c r="S476" s="847"/>
      <c r="T476" s="847"/>
      <c r="U476" s="847"/>
      <c r="V476" s="847"/>
      <c r="W476" s="847"/>
      <c r="X476" s="847"/>
      <c r="Y476" s="847"/>
      <c r="Z476" s="847"/>
      <c r="AA476" s="847"/>
      <c r="AB476" s="847"/>
      <c r="AC476" s="847"/>
      <c r="AD476" s="847"/>
      <c r="AE476" s="847"/>
      <c r="AF476" s="847"/>
      <c r="AG476" s="847"/>
      <c r="AH476" s="847"/>
      <c r="AI476" s="847"/>
      <c r="AJ476" s="847"/>
      <c r="AK476" s="847"/>
      <c r="AL476" s="847"/>
      <c r="AM476" s="847"/>
      <c r="AN476" s="847"/>
      <c r="AO476" s="847"/>
      <c r="AP476" s="847"/>
      <c r="AQ476" s="847"/>
      <c r="AR476" s="847"/>
      <c r="AS476" s="847"/>
      <c r="AT476" s="847"/>
      <c r="AU476" s="847"/>
      <c r="AV476" s="847"/>
      <c r="AW476" s="847"/>
      <c r="AX476" s="847"/>
      <c r="AY476" s="847"/>
      <c r="AZ476" s="847"/>
      <c r="BA476" s="847"/>
      <c r="BB476" s="847"/>
      <c r="BC476" s="847"/>
      <c r="BD476" s="847"/>
      <c r="BE476" s="847"/>
      <c r="BF476" s="847"/>
      <c r="BG476" s="847"/>
      <c r="BH476" s="847"/>
      <c r="BI476" s="847"/>
      <c r="BJ476" s="847"/>
      <c r="BK476" s="847"/>
      <c r="BL476" s="847"/>
      <c r="BM476" s="847"/>
      <c r="BN476" s="847"/>
      <c r="BO476" s="847"/>
      <c r="BP476" s="847"/>
      <c r="BQ476" s="847"/>
      <c r="BR476" s="847"/>
      <c r="BS476" s="847"/>
      <c r="BT476" s="847"/>
      <c r="BU476" s="847"/>
      <c r="BV476" s="847"/>
      <c r="BW476" s="847"/>
      <c r="BX476" s="847"/>
      <c r="BY476" s="847"/>
      <c r="BZ476" s="847"/>
      <c r="CA476" s="847"/>
      <c r="CB476" s="847"/>
      <c r="CC476" s="847"/>
      <c r="CD476" s="847"/>
      <c r="CE476" s="847"/>
      <c r="CF476" s="847"/>
      <c r="CG476" s="847"/>
      <c r="CH476" s="847"/>
      <c r="CI476" s="847"/>
      <c r="CJ476" s="847"/>
      <c r="CK476" s="847"/>
      <c r="CL476" s="847"/>
      <c r="CM476" s="847"/>
      <c r="CN476" s="847"/>
      <c r="CO476" s="847"/>
      <c r="CP476" s="847"/>
      <c r="CQ476" s="847"/>
      <c r="CR476" s="847"/>
      <c r="CS476" s="847"/>
      <c r="CT476" s="847"/>
      <c r="CU476" s="847"/>
      <c r="CV476" s="847"/>
      <c r="CW476" s="847"/>
      <c r="CX476" s="847"/>
      <c r="CY476" s="847"/>
      <c r="CZ476" s="847"/>
      <c r="DA476" s="847"/>
      <c r="DB476" s="847"/>
      <c r="DC476" s="847"/>
      <c r="DD476" s="847"/>
      <c r="DE476" s="847"/>
      <c r="DF476" s="847"/>
      <c r="DG476" s="847"/>
      <c r="DH476" s="847"/>
      <c r="DI476" s="847"/>
      <c r="DJ476" s="847"/>
      <c r="DK476" s="847"/>
      <c r="DL476" s="847"/>
      <c r="DM476" s="1212"/>
      <c r="DN476" s="1222" t="e">
        <f>'Lead &amp; ANALYSIS'!#REF!*#REF!+'Lead &amp; ANALYSIS'!#REF!*#REF!</f>
        <v>#REF!</v>
      </c>
      <c r="DO476" s="1013" t="e">
        <f>ROUND(C476*DN476,2)</f>
        <v>#REF!</v>
      </c>
      <c r="DP476" s="847"/>
      <c r="DQ476" s="1013"/>
      <c r="DR476" s="1225"/>
      <c r="DS476" s="1013"/>
      <c r="DT476" s="1225"/>
      <c r="DU476" s="1214"/>
      <c r="DV476" s="1242"/>
      <c r="DW476" s="1232"/>
      <c r="DX476" s="1222"/>
      <c r="DY476" s="847"/>
      <c r="DZ476" s="847"/>
      <c r="EA476" s="847"/>
      <c r="EB476" s="847"/>
      <c r="EC476" s="847"/>
      <c r="ED476" s="847"/>
      <c r="EE476" s="847"/>
      <c r="EF476" s="847"/>
      <c r="EG476" s="1212"/>
      <c r="EH476" s="847"/>
      <c r="EI476" s="1212"/>
    </row>
    <row r="477" spans="1:139" s="733" customFormat="1" ht="13.5">
      <c r="A477" s="1009"/>
      <c r="B477" s="1212" t="str">
        <f>B471</f>
        <v>iii.Hard Sooil</v>
      </c>
      <c r="C477" s="1213">
        <v>0</v>
      </c>
      <c r="D477" s="1013" t="s">
        <v>49</v>
      </c>
      <c r="E477" s="847"/>
      <c r="F477" s="1013"/>
      <c r="G477" s="847"/>
      <c r="H477" s="1013"/>
      <c r="I477" s="847"/>
      <c r="J477" s="1013"/>
      <c r="K477" s="847"/>
      <c r="L477" s="1013"/>
      <c r="M477" s="847"/>
      <c r="N477" s="1013"/>
      <c r="O477" s="847"/>
      <c r="P477" s="1013"/>
      <c r="Q477" s="847"/>
      <c r="R477" s="847"/>
      <c r="S477" s="847"/>
      <c r="T477" s="847"/>
      <c r="U477" s="847"/>
      <c r="V477" s="847"/>
      <c r="W477" s="847"/>
      <c r="X477" s="847"/>
      <c r="Y477" s="847"/>
      <c r="Z477" s="847"/>
      <c r="AA477" s="847"/>
      <c r="AB477" s="847"/>
      <c r="AC477" s="847"/>
      <c r="AD477" s="847"/>
      <c r="AE477" s="847"/>
      <c r="AF477" s="847"/>
      <c r="AG477" s="847"/>
      <c r="AH477" s="847"/>
      <c r="AI477" s="847"/>
      <c r="AJ477" s="847"/>
      <c r="AK477" s="847"/>
      <c r="AL477" s="847"/>
      <c r="AM477" s="847"/>
      <c r="AN477" s="847"/>
      <c r="AO477" s="847"/>
      <c r="AP477" s="847"/>
      <c r="AQ477" s="847"/>
      <c r="AR477" s="847"/>
      <c r="AS477" s="847"/>
      <c r="AT477" s="847"/>
      <c r="AU477" s="847"/>
      <c r="AV477" s="847"/>
      <c r="AW477" s="847"/>
      <c r="AX477" s="847"/>
      <c r="AY477" s="847"/>
      <c r="AZ477" s="847"/>
      <c r="BA477" s="847"/>
      <c r="BB477" s="847"/>
      <c r="BC477" s="847"/>
      <c r="BD477" s="847"/>
      <c r="BE477" s="847"/>
      <c r="BF477" s="847"/>
      <c r="BG477" s="847"/>
      <c r="BH477" s="847"/>
      <c r="BI477" s="847"/>
      <c r="BJ477" s="847"/>
      <c r="BK477" s="847"/>
      <c r="BL477" s="847"/>
      <c r="BM477" s="847"/>
      <c r="BN477" s="847"/>
      <c r="BO477" s="847"/>
      <c r="BP477" s="847"/>
      <c r="BQ477" s="847"/>
      <c r="BR477" s="847"/>
      <c r="BS477" s="847"/>
      <c r="BT477" s="847"/>
      <c r="BU477" s="847"/>
      <c r="BV477" s="847"/>
      <c r="BW477" s="847"/>
      <c r="BX477" s="847"/>
      <c r="BY477" s="847"/>
      <c r="BZ477" s="847"/>
      <c r="CA477" s="847"/>
      <c r="CB477" s="847"/>
      <c r="CC477" s="847"/>
      <c r="CD477" s="847"/>
      <c r="CE477" s="847"/>
      <c r="CF477" s="847"/>
      <c r="CG477" s="847"/>
      <c r="CH477" s="847"/>
      <c r="CI477" s="847"/>
      <c r="CJ477" s="847"/>
      <c r="CK477" s="847"/>
      <c r="CL477" s="847"/>
      <c r="CM477" s="847"/>
      <c r="CN477" s="847"/>
      <c r="CO477" s="847"/>
      <c r="CP477" s="847"/>
      <c r="CQ477" s="847"/>
      <c r="CR477" s="847"/>
      <c r="CS477" s="847"/>
      <c r="CT477" s="847"/>
      <c r="CU477" s="847"/>
      <c r="CV477" s="847"/>
      <c r="CW477" s="847"/>
      <c r="CX477" s="847"/>
      <c r="CY477" s="847"/>
      <c r="CZ477" s="847"/>
      <c r="DA477" s="847"/>
      <c r="DB477" s="847"/>
      <c r="DC477" s="847"/>
      <c r="DD477" s="847"/>
      <c r="DE477" s="847"/>
      <c r="DF477" s="847"/>
      <c r="DG477" s="847"/>
      <c r="DH477" s="847"/>
      <c r="DI477" s="847"/>
      <c r="DJ477" s="847"/>
      <c r="DK477" s="847"/>
      <c r="DL477" s="847"/>
      <c r="DM477" s="1212"/>
      <c r="DN477" s="1222" t="e">
        <f>'Lead &amp; ANALYSIS'!#REF!*#REF!+'Lead &amp; ANALYSIS'!#REF!*#REF!</f>
        <v>#REF!</v>
      </c>
      <c r="DO477" s="1013" t="e">
        <f>ROUND(C477*DN477,2)</f>
        <v>#REF!</v>
      </c>
      <c r="DP477" s="847"/>
      <c r="DQ477" s="1013"/>
      <c r="DR477" s="1225"/>
      <c r="DS477" s="1013"/>
      <c r="DT477" s="1225"/>
      <c r="DU477" s="1214"/>
      <c r="DV477" s="1242"/>
      <c r="DW477" s="1232"/>
      <c r="DX477" s="1222"/>
      <c r="DY477" s="847"/>
      <c r="DZ477" s="847"/>
      <c r="EA477" s="847"/>
      <c r="EB477" s="847"/>
      <c r="EC477" s="847"/>
      <c r="ED477" s="847"/>
      <c r="EE477" s="847"/>
      <c r="EF477" s="847"/>
      <c r="EG477" s="1212"/>
      <c r="EH477" s="847"/>
      <c r="EI477" s="1212"/>
    </row>
    <row r="478" spans="1:139" s="733" customFormat="1" ht="13.5">
      <c r="A478" s="1009"/>
      <c r="B478" s="1212" t="str">
        <f>B472</f>
        <v>IV.Stony Earth</v>
      </c>
      <c r="C478" s="1213">
        <v>0</v>
      </c>
      <c r="D478" s="1013" t="s">
        <v>49</v>
      </c>
      <c r="E478" s="847"/>
      <c r="F478" s="1013"/>
      <c r="G478" s="847"/>
      <c r="H478" s="1013"/>
      <c r="I478" s="847"/>
      <c r="J478" s="1013"/>
      <c r="K478" s="847"/>
      <c r="L478" s="1013"/>
      <c r="M478" s="847"/>
      <c r="N478" s="1013"/>
      <c r="O478" s="847"/>
      <c r="P478" s="1013"/>
      <c r="Q478" s="847"/>
      <c r="R478" s="847"/>
      <c r="S478" s="847"/>
      <c r="T478" s="847"/>
      <c r="U478" s="847"/>
      <c r="V478" s="847"/>
      <c r="W478" s="847"/>
      <c r="X478" s="847"/>
      <c r="Y478" s="847"/>
      <c r="Z478" s="847"/>
      <c r="AA478" s="847"/>
      <c r="AB478" s="847"/>
      <c r="AC478" s="847"/>
      <c r="AD478" s="847"/>
      <c r="AE478" s="847"/>
      <c r="AF478" s="847"/>
      <c r="AG478" s="847"/>
      <c r="AH478" s="847"/>
      <c r="AI478" s="847"/>
      <c r="AJ478" s="847"/>
      <c r="AK478" s="847"/>
      <c r="AL478" s="847"/>
      <c r="AM478" s="847"/>
      <c r="AN478" s="847"/>
      <c r="AO478" s="847"/>
      <c r="AP478" s="847"/>
      <c r="AQ478" s="847"/>
      <c r="AR478" s="847"/>
      <c r="AS478" s="847"/>
      <c r="AT478" s="847"/>
      <c r="AU478" s="847"/>
      <c r="AV478" s="847"/>
      <c r="AW478" s="847"/>
      <c r="AX478" s="847"/>
      <c r="AY478" s="847"/>
      <c r="AZ478" s="847"/>
      <c r="BA478" s="847"/>
      <c r="BB478" s="847"/>
      <c r="BC478" s="847"/>
      <c r="BD478" s="847"/>
      <c r="BE478" s="847"/>
      <c r="BF478" s="847"/>
      <c r="BG478" s="847"/>
      <c r="BH478" s="847"/>
      <c r="BI478" s="847"/>
      <c r="BJ478" s="847"/>
      <c r="BK478" s="847"/>
      <c r="BL478" s="847"/>
      <c r="BM478" s="847"/>
      <c r="BN478" s="847"/>
      <c r="BO478" s="847"/>
      <c r="BP478" s="847"/>
      <c r="BQ478" s="847"/>
      <c r="BR478" s="847"/>
      <c r="BS478" s="847"/>
      <c r="BT478" s="847"/>
      <c r="BU478" s="847"/>
      <c r="BV478" s="847"/>
      <c r="BW478" s="847"/>
      <c r="BX478" s="847"/>
      <c r="BY478" s="847"/>
      <c r="BZ478" s="847"/>
      <c r="CA478" s="847"/>
      <c r="CB478" s="847"/>
      <c r="CC478" s="847"/>
      <c r="CD478" s="847"/>
      <c r="CE478" s="847"/>
      <c r="CF478" s="847"/>
      <c r="CG478" s="847"/>
      <c r="CH478" s="847"/>
      <c r="CI478" s="847"/>
      <c r="CJ478" s="847"/>
      <c r="CK478" s="847"/>
      <c r="CL478" s="847"/>
      <c r="CM478" s="847"/>
      <c r="CN478" s="847"/>
      <c r="CO478" s="847"/>
      <c r="CP478" s="847"/>
      <c r="CQ478" s="847"/>
      <c r="CR478" s="847"/>
      <c r="CS478" s="847"/>
      <c r="CT478" s="847"/>
      <c r="CU478" s="847"/>
      <c r="CV478" s="847"/>
      <c r="CW478" s="847"/>
      <c r="CX478" s="847"/>
      <c r="CY478" s="847"/>
      <c r="CZ478" s="847"/>
      <c r="DA478" s="847"/>
      <c r="DB478" s="847"/>
      <c r="DC478" s="847"/>
      <c r="DD478" s="847"/>
      <c r="DE478" s="847"/>
      <c r="DF478" s="847"/>
      <c r="DG478" s="847"/>
      <c r="DH478" s="847"/>
      <c r="DI478" s="847"/>
      <c r="DJ478" s="847"/>
      <c r="DK478" s="847"/>
      <c r="DL478" s="847"/>
      <c r="DM478" s="1212"/>
      <c r="DN478" s="1222" t="e">
        <f>'Lead &amp; ANALYSIS'!#REF!*#REF!+'Lead &amp; ANALYSIS'!#REF!*#REF!</f>
        <v>#REF!</v>
      </c>
      <c r="DO478" s="1013" t="e">
        <f>ROUND(C478*DN478,2)</f>
        <v>#REF!</v>
      </c>
      <c r="DP478" s="847"/>
      <c r="DQ478" s="1013"/>
      <c r="DR478" s="1225"/>
      <c r="DS478" s="1013"/>
      <c r="DT478" s="1225"/>
      <c r="DU478" s="1214"/>
      <c r="DV478" s="1242"/>
      <c r="DW478" s="1232"/>
      <c r="DX478" s="1222"/>
      <c r="DY478" s="847"/>
      <c r="DZ478" s="847"/>
      <c r="EA478" s="847"/>
      <c r="EB478" s="847"/>
      <c r="EC478" s="847"/>
      <c r="ED478" s="847"/>
      <c r="EE478" s="847"/>
      <c r="EF478" s="847"/>
      <c r="EG478" s="1212"/>
      <c r="EH478" s="847"/>
      <c r="EI478" s="1212"/>
    </row>
    <row r="479" spans="1:139" s="733" customFormat="1" ht="13.5">
      <c r="A479" s="1009"/>
      <c r="B479" s="1212" t="str">
        <f>B473</f>
        <v>V.All Kinds of Soil</v>
      </c>
      <c r="C479" s="1213">
        <v>0</v>
      </c>
      <c r="D479" s="1013" t="s">
        <v>49</v>
      </c>
      <c r="E479" s="847"/>
      <c r="F479" s="1013"/>
      <c r="G479" s="847"/>
      <c r="H479" s="1013"/>
      <c r="I479" s="847"/>
      <c r="J479" s="1013"/>
      <c r="K479" s="847"/>
      <c r="L479" s="1013"/>
      <c r="M479" s="847"/>
      <c r="N479" s="1013"/>
      <c r="O479" s="847"/>
      <c r="P479" s="1013"/>
      <c r="Q479" s="847"/>
      <c r="R479" s="847"/>
      <c r="S479" s="847"/>
      <c r="T479" s="847"/>
      <c r="U479" s="847"/>
      <c r="V479" s="847"/>
      <c r="W479" s="847"/>
      <c r="X479" s="847"/>
      <c r="Y479" s="847"/>
      <c r="Z479" s="847"/>
      <c r="AA479" s="847"/>
      <c r="AB479" s="847"/>
      <c r="AC479" s="847"/>
      <c r="AD479" s="847"/>
      <c r="AE479" s="847"/>
      <c r="AF479" s="847"/>
      <c r="AG479" s="847"/>
      <c r="AH479" s="847"/>
      <c r="AI479" s="847"/>
      <c r="AJ479" s="847"/>
      <c r="AK479" s="847"/>
      <c r="AL479" s="847"/>
      <c r="AM479" s="847"/>
      <c r="AN479" s="847"/>
      <c r="AO479" s="847"/>
      <c r="AP479" s="847"/>
      <c r="AQ479" s="847"/>
      <c r="AR479" s="847"/>
      <c r="AS479" s="847"/>
      <c r="AT479" s="847"/>
      <c r="AU479" s="847"/>
      <c r="AV479" s="847"/>
      <c r="AW479" s="847"/>
      <c r="AX479" s="847"/>
      <c r="AY479" s="847"/>
      <c r="AZ479" s="847"/>
      <c r="BA479" s="847"/>
      <c r="BB479" s="847"/>
      <c r="BC479" s="847"/>
      <c r="BD479" s="847"/>
      <c r="BE479" s="847"/>
      <c r="BF479" s="847"/>
      <c r="BG479" s="847"/>
      <c r="BH479" s="847"/>
      <c r="BI479" s="847"/>
      <c r="BJ479" s="847"/>
      <c r="BK479" s="847"/>
      <c r="BL479" s="847"/>
      <c r="BM479" s="847"/>
      <c r="BN479" s="847"/>
      <c r="BO479" s="847"/>
      <c r="BP479" s="847"/>
      <c r="BQ479" s="847"/>
      <c r="BR479" s="847"/>
      <c r="BS479" s="847"/>
      <c r="BT479" s="847"/>
      <c r="BU479" s="847"/>
      <c r="BV479" s="847"/>
      <c r="BW479" s="847"/>
      <c r="BX479" s="847"/>
      <c r="BY479" s="847"/>
      <c r="BZ479" s="847"/>
      <c r="CA479" s="847"/>
      <c r="CB479" s="847"/>
      <c r="CC479" s="847"/>
      <c r="CD479" s="847"/>
      <c r="CE479" s="847"/>
      <c r="CF479" s="847"/>
      <c r="CG479" s="847"/>
      <c r="CH479" s="847"/>
      <c r="CI479" s="847"/>
      <c r="CJ479" s="847"/>
      <c r="CK479" s="847"/>
      <c r="CL479" s="847"/>
      <c r="CM479" s="847"/>
      <c r="CN479" s="847"/>
      <c r="CO479" s="847"/>
      <c r="CP479" s="847"/>
      <c r="CQ479" s="847"/>
      <c r="CR479" s="847"/>
      <c r="CS479" s="847"/>
      <c r="CT479" s="847"/>
      <c r="CU479" s="847"/>
      <c r="CV479" s="847"/>
      <c r="CW479" s="847"/>
      <c r="CX479" s="847"/>
      <c r="CY479" s="847"/>
      <c r="CZ479" s="847"/>
      <c r="DA479" s="847"/>
      <c r="DB479" s="847"/>
      <c r="DC479" s="847"/>
      <c r="DD479" s="847"/>
      <c r="DE479" s="847"/>
      <c r="DF479" s="847"/>
      <c r="DG479" s="847"/>
      <c r="DH479" s="847"/>
      <c r="DI479" s="847"/>
      <c r="DJ479" s="847"/>
      <c r="DK479" s="847"/>
      <c r="DL479" s="847"/>
      <c r="DM479" s="1212"/>
      <c r="DN479" s="1222" t="e">
        <f>'Lead &amp; ANALYSIS'!#REF!*#REF!+'Lead &amp; ANALYSIS'!#REF!*#REF!</f>
        <v>#REF!</v>
      </c>
      <c r="DO479" s="1013" t="e">
        <f>ROUND(C479*DN479,2)</f>
        <v>#REF!</v>
      </c>
      <c r="DP479" s="847"/>
      <c r="DQ479" s="1013"/>
      <c r="DR479" s="1225"/>
      <c r="DS479" s="1013"/>
      <c r="DT479" s="1225"/>
      <c r="DU479" s="1214"/>
      <c r="DV479" s="1242"/>
      <c r="DW479" s="1232"/>
      <c r="DX479" s="1222"/>
      <c r="DY479" s="847"/>
      <c r="DZ479" s="847"/>
      <c r="EA479" s="847"/>
      <c r="EB479" s="847"/>
      <c r="EC479" s="847"/>
      <c r="ED479" s="847"/>
      <c r="EE479" s="847"/>
      <c r="EF479" s="847"/>
      <c r="EG479" s="1212"/>
      <c r="EH479" s="847"/>
      <c r="EI479" s="1212"/>
    </row>
    <row r="480" spans="1:139" s="733" customFormat="1" ht="13.5">
      <c r="A480" s="1009"/>
      <c r="B480" s="1245" t="s">
        <v>1492</v>
      </c>
      <c r="C480" s="1213">
        <v>0</v>
      </c>
      <c r="D480" s="1013" t="s">
        <v>49</v>
      </c>
      <c r="E480" s="847"/>
      <c r="F480" s="1013"/>
      <c r="G480" s="847"/>
      <c r="H480" s="1013"/>
      <c r="I480" s="847"/>
      <c r="J480" s="1013"/>
      <c r="K480" s="847"/>
      <c r="L480" s="1013"/>
      <c r="M480" s="847"/>
      <c r="N480" s="1013"/>
      <c r="O480" s="847"/>
      <c r="P480" s="1013"/>
      <c r="Q480" s="847"/>
      <c r="R480" s="847"/>
      <c r="S480" s="847"/>
      <c r="T480" s="847"/>
      <c r="U480" s="847"/>
      <c r="V480" s="847"/>
      <c r="W480" s="847"/>
      <c r="X480" s="847"/>
      <c r="Y480" s="847"/>
      <c r="Z480" s="847"/>
      <c r="AA480" s="847"/>
      <c r="AB480" s="847"/>
      <c r="AC480" s="847"/>
      <c r="AD480" s="847"/>
      <c r="AE480" s="847"/>
      <c r="AF480" s="847"/>
      <c r="AG480" s="847"/>
      <c r="AH480" s="847"/>
      <c r="AI480" s="847"/>
      <c r="AJ480" s="847"/>
      <c r="AK480" s="847"/>
      <c r="AL480" s="847"/>
      <c r="AM480" s="847"/>
      <c r="AN480" s="847"/>
      <c r="AO480" s="847"/>
      <c r="AP480" s="847"/>
      <c r="AQ480" s="847"/>
      <c r="AR480" s="847"/>
      <c r="AS480" s="847"/>
      <c r="AT480" s="847"/>
      <c r="AU480" s="847"/>
      <c r="AV480" s="847"/>
      <c r="AW480" s="847"/>
      <c r="AX480" s="847"/>
      <c r="AY480" s="847"/>
      <c r="AZ480" s="847"/>
      <c r="BA480" s="847"/>
      <c r="BB480" s="847"/>
      <c r="BC480" s="847"/>
      <c r="BD480" s="847"/>
      <c r="BE480" s="847"/>
      <c r="BF480" s="847"/>
      <c r="BG480" s="847"/>
      <c r="BH480" s="847"/>
      <c r="BI480" s="847"/>
      <c r="BJ480" s="847"/>
      <c r="BK480" s="847"/>
      <c r="BL480" s="847"/>
      <c r="BM480" s="847"/>
      <c r="BN480" s="847"/>
      <c r="BO480" s="847"/>
      <c r="BP480" s="847"/>
      <c r="BQ480" s="847"/>
      <c r="BR480" s="847"/>
      <c r="BS480" s="847"/>
      <c r="BT480" s="847"/>
      <c r="BU480" s="847"/>
      <c r="BV480" s="847"/>
      <c r="BW480" s="847"/>
      <c r="BX480" s="847"/>
      <c r="BY480" s="847"/>
      <c r="BZ480" s="847"/>
      <c r="CA480" s="847"/>
      <c r="CB480" s="847"/>
      <c r="CC480" s="847"/>
      <c r="CD480" s="847"/>
      <c r="CE480" s="847"/>
      <c r="CF480" s="847"/>
      <c r="CG480" s="847"/>
      <c r="CH480" s="847"/>
      <c r="CI480" s="847"/>
      <c r="CJ480" s="847"/>
      <c r="CK480" s="847"/>
      <c r="CL480" s="847"/>
      <c r="CM480" s="847"/>
      <c r="CN480" s="847"/>
      <c r="CO480" s="847"/>
      <c r="CP480" s="847"/>
      <c r="CQ480" s="847"/>
      <c r="CR480" s="847"/>
      <c r="CS480" s="847"/>
      <c r="CT480" s="847"/>
      <c r="CU480" s="847"/>
      <c r="CV480" s="847"/>
      <c r="CW480" s="847"/>
      <c r="CX480" s="847"/>
      <c r="CY480" s="847"/>
      <c r="CZ480" s="847"/>
      <c r="DA480" s="847"/>
      <c r="DB480" s="847"/>
      <c r="DC480" s="847"/>
      <c r="DD480" s="847"/>
      <c r="DE480" s="847"/>
      <c r="DF480" s="847"/>
      <c r="DG480" s="847"/>
      <c r="DH480" s="847"/>
      <c r="DI480" s="847"/>
      <c r="DJ480" s="847"/>
      <c r="DK480" s="847"/>
      <c r="DL480" s="847"/>
      <c r="DM480" s="1212"/>
      <c r="DN480" s="1222"/>
      <c r="DO480" s="1013"/>
      <c r="DP480" s="847"/>
      <c r="DQ480" s="1013"/>
      <c r="DR480" s="1225"/>
      <c r="DS480" s="1013"/>
      <c r="DT480" s="1225"/>
      <c r="DU480" s="1214"/>
      <c r="DV480" s="1242"/>
      <c r="DW480" s="1232"/>
      <c r="DX480" s="1222"/>
      <c r="DY480" s="847"/>
      <c r="DZ480" s="847"/>
      <c r="EA480" s="847"/>
      <c r="EB480" s="847"/>
      <c r="EC480" s="847"/>
      <c r="ED480" s="847"/>
      <c r="EE480" s="847"/>
      <c r="EF480" s="847"/>
      <c r="EG480" s="1212"/>
      <c r="EH480" s="847"/>
      <c r="EI480" s="1212"/>
    </row>
    <row r="481" spans="1:139" s="733" customFormat="1" ht="13.5">
      <c r="A481" s="1009"/>
      <c r="B481" s="1212" t="str">
        <f>B475</f>
        <v>i.Ordinary Soil.</v>
      </c>
      <c r="C481" s="1213">
        <v>0</v>
      </c>
      <c r="D481" s="1013" t="s">
        <v>49</v>
      </c>
      <c r="E481" s="847"/>
      <c r="F481" s="1013"/>
      <c r="G481" s="847"/>
      <c r="H481" s="1013"/>
      <c r="I481" s="847"/>
      <c r="J481" s="1013"/>
      <c r="K481" s="847"/>
      <c r="L481" s="1013"/>
      <c r="M481" s="847"/>
      <c r="N481" s="1013"/>
      <c r="O481" s="847"/>
      <c r="P481" s="1013"/>
      <c r="Q481" s="847"/>
      <c r="R481" s="847"/>
      <c r="S481" s="847"/>
      <c r="T481" s="847"/>
      <c r="U481" s="847"/>
      <c r="V481" s="847"/>
      <c r="W481" s="847"/>
      <c r="X481" s="847"/>
      <c r="Y481" s="847"/>
      <c r="Z481" s="847"/>
      <c r="AA481" s="847"/>
      <c r="AB481" s="847"/>
      <c r="AC481" s="847"/>
      <c r="AD481" s="847"/>
      <c r="AE481" s="847"/>
      <c r="AF481" s="847"/>
      <c r="AG481" s="847"/>
      <c r="AH481" s="847"/>
      <c r="AI481" s="847"/>
      <c r="AJ481" s="847"/>
      <c r="AK481" s="847"/>
      <c r="AL481" s="847"/>
      <c r="AM481" s="847"/>
      <c r="AN481" s="847"/>
      <c r="AO481" s="847"/>
      <c r="AP481" s="847"/>
      <c r="AQ481" s="847"/>
      <c r="AR481" s="847"/>
      <c r="AS481" s="847"/>
      <c r="AT481" s="847"/>
      <c r="AU481" s="847"/>
      <c r="AV481" s="847"/>
      <c r="AW481" s="847"/>
      <c r="AX481" s="847"/>
      <c r="AY481" s="847"/>
      <c r="AZ481" s="847"/>
      <c r="BA481" s="847"/>
      <c r="BB481" s="847"/>
      <c r="BC481" s="847"/>
      <c r="BD481" s="847"/>
      <c r="BE481" s="847"/>
      <c r="BF481" s="847"/>
      <c r="BG481" s="847"/>
      <c r="BH481" s="847"/>
      <c r="BI481" s="847"/>
      <c r="BJ481" s="847"/>
      <c r="BK481" s="847"/>
      <c r="BL481" s="847"/>
      <c r="BM481" s="847"/>
      <c r="BN481" s="847"/>
      <c r="BO481" s="847"/>
      <c r="BP481" s="847"/>
      <c r="BQ481" s="847"/>
      <c r="BR481" s="847"/>
      <c r="BS481" s="847"/>
      <c r="BT481" s="847"/>
      <c r="BU481" s="847"/>
      <c r="BV481" s="847"/>
      <c r="BW481" s="847"/>
      <c r="BX481" s="847"/>
      <c r="BY481" s="847"/>
      <c r="BZ481" s="847"/>
      <c r="CA481" s="847"/>
      <c r="CB481" s="847"/>
      <c r="CC481" s="847"/>
      <c r="CD481" s="847"/>
      <c r="CE481" s="847"/>
      <c r="CF481" s="847"/>
      <c r="CG481" s="847"/>
      <c r="CH481" s="847"/>
      <c r="CI481" s="847"/>
      <c r="CJ481" s="847"/>
      <c r="CK481" s="847"/>
      <c r="CL481" s="847"/>
      <c r="CM481" s="847"/>
      <c r="CN481" s="847"/>
      <c r="CO481" s="847"/>
      <c r="CP481" s="847"/>
      <c r="CQ481" s="847"/>
      <c r="CR481" s="847"/>
      <c r="CS481" s="847"/>
      <c r="CT481" s="847"/>
      <c r="CU481" s="847"/>
      <c r="CV481" s="847"/>
      <c r="CW481" s="847"/>
      <c r="CX481" s="847"/>
      <c r="CY481" s="847"/>
      <c r="CZ481" s="847"/>
      <c r="DA481" s="847"/>
      <c r="DB481" s="847"/>
      <c r="DC481" s="847"/>
      <c r="DD481" s="847"/>
      <c r="DE481" s="847"/>
      <c r="DF481" s="847"/>
      <c r="DG481" s="847"/>
      <c r="DH481" s="847"/>
      <c r="DI481" s="847"/>
      <c r="DJ481" s="847"/>
      <c r="DK481" s="847"/>
      <c r="DL481" s="847"/>
      <c r="DM481" s="1212"/>
      <c r="DN481" s="1222" t="e">
        <f>'Lead &amp; ANALYSIS'!#REF!*#REF!+'Lead &amp; ANALYSIS'!#REF!*#REF!</f>
        <v>#REF!</v>
      </c>
      <c r="DO481" s="1013" t="e">
        <f>ROUND(C481*DN481,2)</f>
        <v>#REF!</v>
      </c>
      <c r="DP481" s="847"/>
      <c r="DQ481" s="1013"/>
      <c r="DR481" s="1225"/>
      <c r="DS481" s="1013"/>
      <c r="DT481" s="1225"/>
      <c r="DU481" s="1214"/>
      <c r="DV481" s="1242"/>
      <c r="DW481" s="1232"/>
      <c r="DX481" s="1222"/>
      <c r="DY481" s="847"/>
      <c r="DZ481" s="847"/>
      <c r="EA481" s="847"/>
      <c r="EB481" s="847"/>
      <c r="EC481" s="847"/>
      <c r="ED481" s="847"/>
      <c r="EE481" s="847"/>
      <c r="EF481" s="847"/>
      <c r="EG481" s="1212"/>
      <c r="EH481" s="847"/>
      <c r="EI481" s="1212"/>
    </row>
    <row r="482" spans="1:139" s="733" customFormat="1" ht="13.5">
      <c r="A482" s="1009"/>
      <c r="B482" s="1212" t="str">
        <f>B476</f>
        <v>ii.Slushy Soil</v>
      </c>
      <c r="C482" s="1213">
        <v>0</v>
      </c>
      <c r="D482" s="1013" t="s">
        <v>49</v>
      </c>
      <c r="E482" s="847"/>
      <c r="F482" s="1013"/>
      <c r="G482" s="847"/>
      <c r="H482" s="1013"/>
      <c r="I482" s="847"/>
      <c r="J482" s="1013"/>
      <c r="K482" s="847"/>
      <c r="L482" s="1013"/>
      <c r="M482" s="847"/>
      <c r="N482" s="1013"/>
      <c r="O482" s="847"/>
      <c r="P482" s="1013"/>
      <c r="Q482" s="847"/>
      <c r="R482" s="847"/>
      <c r="S482" s="847"/>
      <c r="T482" s="847"/>
      <c r="U482" s="847"/>
      <c r="V482" s="847"/>
      <c r="W482" s="847"/>
      <c r="X482" s="847"/>
      <c r="Y482" s="847"/>
      <c r="Z482" s="847"/>
      <c r="AA482" s="847"/>
      <c r="AB482" s="847"/>
      <c r="AC482" s="847"/>
      <c r="AD482" s="847"/>
      <c r="AE482" s="847"/>
      <c r="AF482" s="847"/>
      <c r="AG482" s="847"/>
      <c r="AH482" s="847"/>
      <c r="AI482" s="847"/>
      <c r="AJ482" s="847"/>
      <c r="AK482" s="847"/>
      <c r="AL482" s="847"/>
      <c r="AM482" s="847"/>
      <c r="AN482" s="847"/>
      <c r="AO482" s="847"/>
      <c r="AP482" s="847"/>
      <c r="AQ482" s="847"/>
      <c r="AR482" s="847"/>
      <c r="AS482" s="847"/>
      <c r="AT482" s="847"/>
      <c r="AU482" s="847"/>
      <c r="AV482" s="847"/>
      <c r="AW482" s="847"/>
      <c r="AX482" s="847"/>
      <c r="AY482" s="847"/>
      <c r="AZ482" s="847"/>
      <c r="BA482" s="847"/>
      <c r="BB482" s="847"/>
      <c r="BC482" s="847"/>
      <c r="BD482" s="847"/>
      <c r="BE482" s="847"/>
      <c r="BF482" s="847"/>
      <c r="BG482" s="847"/>
      <c r="BH482" s="847"/>
      <c r="BI482" s="847"/>
      <c r="BJ482" s="847"/>
      <c r="BK482" s="847"/>
      <c r="BL482" s="847"/>
      <c r="BM482" s="847"/>
      <c r="BN482" s="847"/>
      <c r="BO482" s="847"/>
      <c r="BP482" s="847"/>
      <c r="BQ482" s="847"/>
      <c r="BR482" s="847"/>
      <c r="BS482" s="847"/>
      <c r="BT482" s="847"/>
      <c r="BU482" s="847"/>
      <c r="BV482" s="847"/>
      <c r="BW482" s="847"/>
      <c r="BX482" s="847"/>
      <c r="BY482" s="847"/>
      <c r="BZ482" s="847"/>
      <c r="CA482" s="847"/>
      <c r="CB482" s="847"/>
      <c r="CC482" s="847"/>
      <c r="CD482" s="847"/>
      <c r="CE482" s="847"/>
      <c r="CF482" s="847"/>
      <c r="CG482" s="847"/>
      <c r="CH482" s="847"/>
      <c r="CI482" s="847"/>
      <c r="CJ482" s="847"/>
      <c r="CK482" s="847"/>
      <c r="CL482" s="847"/>
      <c r="CM482" s="847"/>
      <c r="CN482" s="847"/>
      <c r="CO482" s="847"/>
      <c r="CP482" s="847"/>
      <c r="CQ482" s="847"/>
      <c r="CR482" s="847"/>
      <c r="CS482" s="847"/>
      <c r="CT482" s="847"/>
      <c r="CU482" s="847"/>
      <c r="CV482" s="847"/>
      <c r="CW482" s="847"/>
      <c r="CX482" s="847"/>
      <c r="CY482" s="847"/>
      <c r="CZ482" s="847"/>
      <c r="DA482" s="847"/>
      <c r="DB482" s="847"/>
      <c r="DC482" s="847"/>
      <c r="DD482" s="847"/>
      <c r="DE482" s="847"/>
      <c r="DF482" s="847"/>
      <c r="DG482" s="847"/>
      <c r="DH482" s="847"/>
      <c r="DI482" s="847"/>
      <c r="DJ482" s="847"/>
      <c r="DK482" s="847"/>
      <c r="DL482" s="847"/>
      <c r="DM482" s="1212"/>
      <c r="DN482" s="1222" t="e">
        <f>'Lead &amp; ANALYSIS'!#REF!*#REF!+'Lead &amp; ANALYSIS'!#REF!*#REF!</f>
        <v>#REF!</v>
      </c>
      <c r="DO482" s="1013" t="e">
        <f>ROUND(C482*DN482,2)</f>
        <v>#REF!</v>
      </c>
      <c r="DP482" s="847"/>
      <c r="DQ482" s="1013"/>
      <c r="DR482" s="1225"/>
      <c r="DS482" s="1013"/>
      <c r="DT482" s="1225"/>
      <c r="DU482" s="1214"/>
      <c r="DV482" s="1242"/>
      <c r="DW482" s="1232"/>
      <c r="DX482" s="1222"/>
      <c r="DY482" s="847"/>
      <c r="DZ482" s="847"/>
      <c r="EA482" s="847"/>
      <c r="EB482" s="847"/>
      <c r="EC482" s="847"/>
      <c r="ED482" s="847"/>
      <c r="EE482" s="847"/>
      <c r="EF482" s="847"/>
      <c r="EG482" s="1212"/>
      <c r="EH482" s="847"/>
      <c r="EI482" s="1212"/>
    </row>
    <row r="483" spans="1:139" s="733" customFormat="1" ht="13.5">
      <c r="A483" s="1009"/>
      <c r="B483" s="1212" t="str">
        <f>B477</f>
        <v>iii.Hard Sooil</v>
      </c>
      <c r="C483" s="1213">
        <v>0</v>
      </c>
      <c r="D483" s="1013" t="s">
        <v>49</v>
      </c>
      <c r="E483" s="847"/>
      <c r="F483" s="1013"/>
      <c r="G483" s="847"/>
      <c r="H483" s="1013"/>
      <c r="I483" s="847"/>
      <c r="J483" s="1013"/>
      <c r="K483" s="847"/>
      <c r="L483" s="1013"/>
      <c r="M483" s="847"/>
      <c r="N483" s="1013"/>
      <c r="O483" s="847"/>
      <c r="P483" s="1013"/>
      <c r="Q483" s="847"/>
      <c r="R483" s="847"/>
      <c r="S483" s="847"/>
      <c r="T483" s="847"/>
      <c r="U483" s="847"/>
      <c r="V483" s="847"/>
      <c r="W483" s="847"/>
      <c r="X483" s="847"/>
      <c r="Y483" s="847"/>
      <c r="Z483" s="847"/>
      <c r="AA483" s="847"/>
      <c r="AB483" s="847"/>
      <c r="AC483" s="847"/>
      <c r="AD483" s="847"/>
      <c r="AE483" s="847"/>
      <c r="AF483" s="847"/>
      <c r="AG483" s="847"/>
      <c r="AH483" s="847"/>
      <c r="AI483" s="847"/>
      <c r="AJ483" s="847"/>
      <c r="AK483" s="847"/>
      <c r="AL483" s="847"/>
      <c r="AM483" s="847"/>
      <c r="AN483" s="847"/>
      <c r="AO483" s="847"/>
      <c r="AP483" s="847"/>
      <c r="AQ483" s="847"/>
      <c r="AR483" s="847"/>
      <c r="AS483" s="847"/>
      <c r="AT483" s="847"/>
      <c r="AU483" s="847"/>
      <c r="AV483" s="847"/>
      <c r="AW483" s="847"/>
      <c r="AX483" s="847"/>
      <c r="AY483" s="847"/>
      <c r="AZ483" s="847"/>
      <c r="BA483" s="847"/>
      <c r="BB483" s="847"/>
      <c r="BC483" s="847"/>
      <c r="BD483" s="847"/>
      <c r="BE483" s="847"/>
      <c r="BF483" s="847"/>
      <c r="BG483" s="847"/>
      <c r="BH483" s="847"/>
      <c r="BI483" s="847"/>
      <c r="BJ483" s="847"/>
      <c r="BK483" s="847"/>
      <c r="BL483" s="847"/>
      <c r="BM483" s="847"/>
      <c r="BN483" s="847"/>
      <c r="BO483" s="847"/>
      <c r="BP483" s="847"/>
      <c r="BQ483" s="847"/>
      <c r="BR483" s="847"/>
      <c r="BS483" s="847"/>
      <c r="BT483" s="847"/>
      <c r="BU483" s="847"/>
      <c r="BV483" s="847"/>
      <c r="BW483" s="847"/>
      <c r="BX483" s="847"/>
      <c r="BY483" s="847"/>
      <c r="BZ483" s="847"/>
      <c r="CA483" s="847"/>
      <c r="CB483" s="847"/>
      <c r="CC483" s="847"/>
      <c r="CD483" s="847"/>
      <c r="CE483" s="847"/>
      <c r="CF483" s="847"/>
      <c r="CG483" s="847"/>
      <c r="CH483" s="847"/>
      <c r="CI483" s="847"/>
      <c r="CJ483" s="847"/>
      <c r="CK483" s="847"/>
      <c r="CL483" s="847"/>
      <c r="CM483" s="847"/>
      <c r="CN483" s="847"/>
      <c r="CO483" s="847"/>
      <c r="CP483" s="847"/>
      <c r="CQ483" s="847"/>
      <c r="CR483" s="847"/>
      <c r="CS483" s="847"/>
      <c r="CT483" s="847"/>
      <c r="CU483" s="847"/>
      <c r="CV483" s="847"/>
      <c r="CW483" s="847"/>
      <c r="CX483" s="847"/>
      <c r="CY483" s="847"/>
      <c r="CZ483" s="847"/>
      <c r="DA483" s="847"/>
      <c r="DB483" s="847"/>
      <c r="DC483" s="847"/>
      <c r="DD483" s="847"/>
      <c r="DE483" s="847"/>
      <c r="DF483" s="847"/>
      <c r="DG483" s="847"/>
      <c r="DH483" s="847"/>
      <c r="DI483" s="847"/>
      <c r="DJ483" s="847"/>
      <c r="DK483" s="847"/>
      <c r="DL483" s="847"/>
      <c r="DM483" s="1212"/>
      <c r="DN483" s="1222" t="e">
        <f>'Lead &amp; ANALYSIS'!#REF!*#REF!+'Lead &amp; ANALYSIS'!#REF!*#REF!</f>
        <v>#REF!</v>
      </c>
      <c r="DO483" s="1013" t="e">
        <f>ROUND(C483*DN483,2)</f>
        <v>#REF!</v>
      </c>
      <c r="DP483" s="847"/>
      <c r="DQ483" s="1013"/>
      <c r="DR483" s="1225"/>
      <c r="DS483" s="1013"/>
      <c r="DT483" s="1225"/>
      <c r="DU483" s="1214"/>
      <c r="DV483" s="1242"/>
      <c r="DW483" s="1232"/>
      <c r="DX483" s="1222"/>
      <c r="DY483" s="847"/>
      <c r="DZ483" s="847"/>
      <c r="EA483" s="847"/>
      <c r="EB483" s="847"/>
      <c r="EC483" s="847"/>
      <c r="ED483" s="847"/>
      <c r="EE483" s="847"/>
      <c r="EF483" s="847"/>
      <c r="EG483" s="1212"/>
      <c r="EH483" s="847"/>
      <c r="EI483" s="1212"/>
    </row>
    <row r="484" spans="1:139" s="733" customFormat="1" ht="13.5">
      <c r="A484" s="1009"/>
      <c r="B484" s="1212" t="str">
        <f>B478</f>
        <v>IV.Stony Earth</v>
      </c>
      <c r="C484" s="1213">
        <v>0</v>
      </c>
      <c r="D484" s="1013" t="s">
        <v>49</v>
      </c>
      <c r="E484" s="847"/>
      <c r="F484" s="1013"/>
      <c r="G484" s="847"/>
      <c r="H484" s="1013"/>
      <c r="I484" s="847"/>
      <c r="J484" s="1013"/>
      <c r="K484" s="847"/>
      <c r="L484" s="1013"/>
      <c r="M484" s="847"/>
      <c r="N484" s="1013"/>
      <c r="O484" s="847"/>
      <c r="P484" s="1013"/>
      <c r="Q484" s="847"/>
      <c r="R484" s="847"/>
      <c r="S484" s="847"/>
      <c r="T484" s="847"/>
      <c r="U484" s="847"/>
      <c r="V484" s="847"/>
      <c r="W484" s="847"/>
      <c r="X484" s="847"/>
      <c r="Y484" s="847"/>
      <c r="Z484" s="847"/>
      <c r="AA484" s="847"/>
      <c r="AB484" s="847"/>
      <c r="AC484" s="847"/>
      <c r="AD484" s="847"/>
      <c r="AE484" s="847"/>
      <c r="AF484" s="847"/>
      <c r="AG484" s="847"/>
      <c r="AH484" s="847"/>
      <c r="AI484" s="847"/>
      <c r="AJ484" s="847"/>
      <c r="AK484" s="847"/>
      <c r="AL484" s="847"/>
      <c r="AM484" s="847"/>
      <c r="AN484" s="847"/>
      <c r="AO484" s="847"/>
      <c r="AP484" s="847"/>
      <c r="AQ484" s="847"/>
      <c r="AR484" s="847"/>
      <c r="AS484" s="847"/>
      <c r="AT484" s="847"/>
      <c r="AU484" s="847"/>
      <c r="AV484" s="847"/>
      <c r="AW484" s="847"/>
      <c r="AX484" s="847"/>
      <c r="AY484" s="847"/>
      <c r="AZ484" s="847"/>
      <c r="BA484" s="847"/>
      <c r="BB484" s="847"/>
      <c r="BC484" s="847"/>
      <c r="BD484" s="847"/>
      <c r="BE484" s="847"/>
      <c r="BF484" s="847"/>
      <c r="BG484" s="847"/>
      <c r="BH484" s="847"/>
      <c r="BI484" s="847"/>
      <c r="BJ484" s="847"/>
      <c r="BK484" s="847"/>
      <c r="BL484" s="847"/>
      <c r="BM484" s="847"/>
      <c r="BN484" s="847"/>
      <c r="BO484" s="847"/>
      <c r="BP484" s="847"/>
      <c r="BQ484" s="847"/>
      <c r="BR484" s="847"/>
      <c r="BS484" s="847"/>
      <c r="BT484" s="847"/>
      <c r="BU484" s="847"/>
      <c r="BV484" s="847"/>
      <c r="BW484" s="847"/>
      <c r="BX484" s="847"/>
      <c r="BY484" s="847"/>
      <c r="BZ484" s="847"/>
      <c r="CA484" s="847"/>
      <c r="CB484" s="847"/>
      <c r="CC484" s="847"/>
      <c r="CD484" s="847"/>
      <c r="CE484" s="847"/>
      <c r="CF484" s="847"/>
      <c r="CG484" s="847"/>
      <c r="CH484" s="847"/>
      <c r="CI484" s="847"/>
      <c r="CJ484" s="847"/>
      <c r="CK484" s="847"/>
      <c r="CL484" s="847"/>
      <c r="CM484" s="847"/>
      <c r="CN484" s="847"/>
      <c r="CO484" s="847"/>
      <c r="CP484" s="847"/>
      <c r="CQ484" s="847"/>
      <c r="CR484" s="847"/>
      <c r="CS484" s="847"/>
      <c r="CT484" s="847"/>
      <c r="CU484" s="847"/>
      <c r="CV484" s="847"/>
      <c r="CW484" s="847"/>
      <c r="CX484" s="847"/>
      <c r="CY484" s="847"/>
      <c r="CZ484" s="847"/>
      <c r="DA484" s="847"/>
      <c r="DB484" s="847"/>
      <c r="DC484" s="847"/>
      <c r="DD484" s="847"/>
      <c r="DE484" s="847"/>
      <c r="DF484" s="847"/>
      <c r="DG484" s="847"/>
      <c r="DH484" s="847"/>
      <c r="DI484" s="847"/>
      <c r="DJ484" s="847"/>
      <c r="DK484" s="847"/>
      <c r="DL484" s="847"/>
      <c r="DM484" s="1212"/>
      <c r="DN484" s="1222" t="e">
        <f>'Lead &amp; ANALYSIS'!#REF!*#REF!+'Lead &amp; ANALYSIS'!#REF!*#REF!</f>
        <v>#REF!</v>
      </c>
      <c r="DO484" s="1013" t="e">
        <f>ROUND(C484*DN484,2)</f>
        <v>#REF!</v>
      </c>
      <c r="DP484" s="847"/>
      <c r="DQ484" s="1013"/>
      <c r="DR484" s="1225"/>
      <c r="DS484" s="1013"/>
      <c r="DT484" s="1225"/>
      <c r="DU484" s="1214"/>
      <c r="DV484" s="1242"/>
      <c r="DW484" s="1232"/>
      <c r="DX484" s="1222"/>
      <c r="DY484" s="847"/>
      <c r="DZ484" s="847"/>
      <c r="EA484" s="847"/>
      <c r="EB484" s="847"/>
      <c r="EC484" s="847"/>
      <c r="ED484" s="847"/>
      <c r="EE484" s="847"/>
      <c r="EF484" s="847"/>
      <c r="EG484" s="1212"/>
      <c r="EH484" s="847"/>
      <c r="EI484" s="1212"/>
    </row>
    <row r="485" spans="1:139" s="733" customFormat="1" ht="13.5">
      <c r="A485" s="1009"/>
      <c r="B485" s="1212" t="str">
        <f>B479</f>
        <v>V.All Kinds of Soil</v>
      </c>
      <c r="C485" s="1213">
        <v>0</v>
      </c>
      <c r="D485" s="1013" t="s">
        <v>49</v>
      </c>
      <c r="E485" s="847"/>
      <c r="F485" s="1013"/>
      <c r="G485" s="847"/>
      <c r="H485" s="1013"/>
      <c r="I485" s="847"/>
      <c r="J485" s="1013"/>
      <c r="K485" s="847"/>
      <c r="L485" s="1013"/>
      <c r="M485" s="847"/>
      <c r="N485" s="1013"/>
      <c r="O485" s="847"/>
      <c r="P485" s="1013"/>
      <c r="Q485" s="847"/>
      <c r="R485" s="847"/>
      <c r="S485" s="847"/>
      <c r="T485" s="847"/>
      <c r="U485" s="847"/>
      <c r="V485" s="847"/>
      <c r="W485" s="847"/>
      <c r="X485" s="847"/>
      <c r="Y485" s="847"/>
      <c r="Z485" s="847"/>
      <c r="AA485" s="847"/>
      <c r="AB485" s="847"/>
      <c r="AC485" s="847"/>
      <c r="AD485" s="847"/>
      <c r="AE485" s="847"/>
      <c r="AF485" s="847"/>
      <c r="AG485" s="847"/>
      <c r="AH485" s="847"/>
      <c r="AI485" s="847"/>
      <c r="AJ485" s="847"/>
      <c r="AK485" s="847"/>
      <c r="AL485" s="847"/>
      <c r="AM485" s="847"/>
      <c r="AN485" s="847"/>
      <c r="AO485" s="847"/>
      <c r="AP485" s="847"/>
      <c r="AQ485" s="847"/>
      <c r="AR485" s="847"/>
      <c r="AS485" s="847"/>
      <c r="AT485" s="847"/>
      <c r="AU485" s="847"/>
      <c r="AV485" s="847"/>
      <c r="AW485" s="847"/>
      <c r="AX485" s="847"/>
      <c r="AY485" s="847"/>
      <c r="AZ485" s="847"/>
      <c r="BA485" s="847"/>
      <c r="BB485" s="847"/>
      <c r="BC485" s="847"/>
      <c r="BD485" s="847"/>
      <c r="BE485" s="847"/>
      <c r="BF485" s="847"/>
      <c r="BG485" s="847"/>
      <c r="BH485" s="847"/>
      <c r="BI485" s="847"/>
      <c r="BJ485" s="847"/>
      <c r="BK485" s="847"/>
      <c r="BL485" s="847"/>
      <c r="BM485" s="847"/>
      <c r="BN485" s="847"/>
      <c r="BO485" s="847"/>
      <c r="BP485" s="847"/>
      <c r="BQ485" s="847"/>
      <c r="BR485" s="847"/>
      <c r="BS485" s="847"/>
      <c r="BT485" s="847"/>
      <c r="BU485" s="847"/>
      <c r="BV485" s="847"/>
      <c r="BW485" s="847"/>
      <c r="BX485" s="847"/>
      <c r="BY485" s="847"/>
      <c r="BZ485" s="847"/>
      <c r="CA485" s="847"/>
      <c r="CB485" s="847"/>
      <c r="CC485" s="847"/>
      <c r="CD485" s="847"/>
      <c r="CE485" s="847"/>
      <c r="CF485" s="847"/>
      <c r="CG485" s="847"/>
      <c r="CH485" s="847"/>
      <c r="CI485" s="847"/>
      <c r="CJ485" s="847"/>
      <c r="CK485" s="847"/>
      <c r="CL485" s="847"/>
      <c r="CM485" s="847"/>
      <c r="CN485" s="847"/>
      <c r="CO485" s="847"/>
      <c r="CP485" s="847"/>
      <c r="CQ485" s="847"/>
      <c r="CR485" s="847"/>
      <c r="CS485" s="847"/>
      <c r="CT485" s="847"/>
      <c r="CU485" s="847"/>
      <c r="CV485" s="847"/>
      <c r="CW485" s="847"/>
      <c r="CX485" s="847"/>
      <c r="CY485" s="847"/>
      <c r="CZ485" s="847"/>
      <c r="DA485" s="847"/>
      <c r="DB485" s="847"/>
      <c r="DC485" s="847"/>
      <c r="DD485" s="847"/>
      <c r="DE485" s="847"/>
      <c r="DF485" s="847"/>
      <c r="DG485" s="847"/>
      <c r="DH485" s="847"/>
      <c r="DI485" s="847"/>
      <c r="DJ485" s="847"/>
      <c r="DK485" s="847"/>
      <c r="DL485" s="847"/>
      <c r="DM485" s="1212"/>
      <c r="DN485" s="1222" t="e">
        <f>'Lead &amp; ANALYSIS'!#REF!*#REF!+'Lead &amp; ANALYSIS'!#REF!*#REF!</f>
        <v>#REF!</v>
      </c>
      <c r="DO485" s="1013" t="e">
        <f>ROUND(C485*DN485,2)</f>
        <v>#REF!</v>
      </c>
      <c r="DP485" s="847"/>
      <c r="DQ485" s="1013"/>
      <c r="DR485" s="1225"/>
      <c r="DS485" s="1013"/>
      <c r="DT485" s="1225"/>
      <c r="DU485" s="1214"/>
      <c r="DV485" s="1242"/>
      <c r="DW485" s="1232"/>
      <c r="DX485" s="1222"/>
      <c r="DY485" s="847"/>
      <c r="DZ485" s="847"/>
      <c r="EA485" s="847"/>
      <c r="EB485" s="847"/>
      <c r="EC485" s="847"/>
      <c r="ED485" s="847"/>
      <c r="EE485" s="847"/>
      <c r="EF485" s="847"/>
      <c r="EG485" s="1212"/>
      <c r="EH485" s="847"/>
      <c r="EI485" s="1212"/>
    </row>
    <row r="486" spans="1:139" s="733" customFormat="1" ht="13.5">
      <c r="A486" s="1009">
        <v>171</v>
      </c>
      <c r="B486" s="1212" t="s">
        <v>633</v>
      </c>
      <c r="C486" s="1213">
        <v>0</v>
      </c>
      <c r="D486" s="1013" t="s">
        <v>49</v>
      </c>
      <c r="E486" s="847"/>
      <c r="F486" s="1013"/>
      <c r="G486" s="847"/>
      <c r="H486" s="1013"/>
      <c r="I486" s="847"/>
      <c r="J486" s="1013"/>
      <c r="K486" s="847"/>
      <c r="L486" s="1013"/>
      <c r="M486" s="847"/>
      <c r="N486" s="1013"/>
      <c r="O486" s="847"/>
      <c r="P486" s="1013"/>
      <c r="Q486" s="847"/>
      <c r="R486" s="847"/>
      <c r="S486" s="847"/>
      <c r="T486" s="847"/>
      <c r="U486" s="847"/>
      <c r="V486" s="847"/>
      <c r="W486" s="847"/>
      <c r="X486" s="847"/>
      <c r="Y486" s="847"/>
      <c r="Z486" s="847"/>
      <c r="AA486" s="847"/>
      <c r="AB486" s="847"/>
      <c r="AC486" s="847"/>
      <c r="AD486" s="847"/>
      <c r="AE486" s="847"/>
      <c r="AF486" s="847"/>
      <c r="AG486" s="847"/>
      <c r="AH486" s="847"/>
      <c r="AI486" s="847"/>
      <c r="AJ486" s="847"/>
      <c r="AK486" s="847"/>
      <c r="AL486" s="847"/>
      <c r="AM486" s="847"/>
      <c r="AN486" s="847"/>
      <c r="AO486" s="847"/>
      <c r="AP486" s="847"/>
      <c r="AQ486" s="847"/>
      <c r="AR486" s="847"/>
      <c r="AS486" s="847"/>
      <c r="AT486" s="847"/>
      <c r="AU486" s="847"/>
      <c r="AV486" s="847"/>
      <c r="AW486" s="847"/>
      <c r="AX486" s="847"/>
      <c r="AY486" s="847"/>
      <c r="AZ486" s="847"/>
      <c r="BA486" s="847"/>
      <c r="BB486" s="847"/>
      <c r="BC486" s="847"/>
      <c r="BD486" s="847"/>
      <c r="BE486" s="847"/>
      <c r="BF486" s="847"/>
      <c r="BG486" s="847"/>
      <c r="BH486" s="847"/>
      <c r="BI486" s="847"/>
      <c r="BJ486" s="847"/>
      <c r="BK486" s="847"/>
      <c r="BL486" s="847"/>
      <c r="BM486" s="847"/>
      <c r="BN486" s="847"/>
      <c r="BO486" s="847"/>
      <c r="BP486" s="847"/>
      <c r="BQ486" s="847"/>
      <c r="BR486" s="847"/>
      <c r="BS486" s="847"/>
      <c r="BT486" s="847"/>
      <c r="BU486" s="847"/>
      <c r="BV486" s="847"/>
      <c r="BW486" s="847"/>
      <c r="BX486" s="847"/>
      <c r="BY486" s="847"/>
      <c r="BZ486" s="847"/>
      <c r="CA486" s="847"/>
      <c r="CB486" s="847"/>
      <c r="CC486" s="847"/>
      <c r="CD486" s="847"/>
      <c r="CE486" s="847"/>
      <c r="CF486" s="847"/>
      <c r="CG486" s="847"/>
      <c r="CH486" s="847"/>
      <c r="CI486" s="847"/>
      <c r="CJ486" s="847"/>
      <c r="CK486" s="847"/>
      <c r="CL486" s="847"/>
      <c r="CM486" s="847"/>
      <c r="CN486" s="847"/>
      <c r="CO486" s="847"/>
      <c r="CP486" s="847"/>
      <c r="CQ486" s="847"/>
      <c r="CR486" s="847"/>
      <c r="CS486" s="847"/>
      <c r="CT486" s="847"/>
      <c r="CU486" s="847"/>
      <c r="CV486" s="847"/>
      <c r="CW486" s="847"/>
      <c r="CX486" s="847"/>
      <c r="CY486" s="847"/>
      <c r="CZ486" s="847"/>
      <c r="DA486" s="847"/>
      <c r="DB486" s="847"/>
      <c r="DC486" s="847"/>
      <c r="DD486" s="847"/>
      <c r="DE486" s="847"/>
      <c r="DF486" s="847"/>
      <c r="DG486" s="847"/>
      <c r="DH486" s="847"/>
      <c r="DI486" s="847"/>
      <c r="DJ486" s="847"/>
      <c r="DK486" s="847"/>
      <c r="DL486" s="847"/>
      <c r="DM486" s="1212"/>
      <c r="DN486" s="1222"/>
      <c r="DO486" s="1013"/>
      <c r="DP486" s="847"/>
      <c r="DQ486" s="1013"/>
      <c r="DR486" s="1225"/>
      <c r="DS486" s="1013"/>
      <c r="DT486" s="1225"/>
      <c r="DU486" s="1214"/>
      <c r="DV486" s="1242"/>
      <c r="DW486" s="1232"/>
      <c r="DX486" s="1222"/>
      <c r="DY486" s="847"/>
      <c r="DZ486" s="847"/>
      <c r="EA486" s="847"/>
      <c r="EB486" s="847"/>
      <c r="EC486" s="847"/>
      <c r="ED486" s="847"/>
      <c r="EE486" s="847"/>
      <c r="EF486" s="847"/>
      <c r="EG486" s="1212"/>
      <c r="EH486" s="847"/>
      <c r="EI486" s="1212"/>
    </row>
    <row r="487" spans="1:139" s="733" customFormat="1" ht="13.5">
      <c r="A487" s="1009"/>
      <c r="B487" s="1245" t="str">
        <f>B438</f>
        <v>A. 1ST DEPTH OF 1.5MTR.</v>
      </c>
      <c r="C487" s="1213">
        <v>0</v>
      </c>
      <c r="D487" s="1013" t="s">
        <v>49</v>
      </c>
      <c r="E487" s="847"/>
      <c r="F487" s="1013"/>
      <c r="G487" s="847"/>
      <c r="H487" s="1013"/>
      <c r="I487" s="847"/>
      <c r="J487" s="1013"/>
      <c r="K487" s="847"/>
      <c r="L487" s="1013"/>
      <c r="M487" s="847"/>
      <c r="N487" s="1013"/>
      <c r="O487" s="847"/>
      <c r="P487" s="1013"/>
      <c r="Q487" s="847"/>
      <c r="R487" s="847"/>
      <c r="S487" s="847"/>
      <c r="T487" s="847"/>
      <c r="U487" s="847"/>
      <c r="V487" s="847"/>
      <c r="W487" s="847"/>
      <c r="X487" s="847"/>
      <c r="Y487" s="847"/>
      <c r="Z487" s="847"/>
      <c r="AA487" s="847"/>
      <c r="AB487" s="847"/>
      <c r="AC487" s="847"/>
      <c r="AD487" s="847"/>
      <c r="AE487" s="847"/>
      <c r="AF487" s="847"/>
      <c r="AG487" s="847"/>
      <c r="AH487" s="847"/>
      <c r="AI487" s="847"/>
      <c r="AJ487" s="847"/>
      <c r="AK487" s="847"/>
      <c r="AL487" s="847"/>
      <c r="AM487" s="847"/>
      <c r="AN487" s="847"/>
      <c r="AO487" s="847"/>
      <c r="AP487" s="847"/>
      <c r="AQ487" s="847"/>
      <c r="AR487" s="847"/>
      <c r="AS487" s="847"/>
      <c r="AT487" s="847"/>
      <c r="AU487" s="847"/>
      <c r="AV487" s="847"/>
      <c r="AW487" s="847"/>
      <c r="AX487" s="847"/>
      <c r="AY487" s="847"/>
      <c r="AZ487" s="847"/>
      <c r="BA487" s="847"/>
      <c r="BB487" s="847"/>
      <c r="BC487" s="847"/>
      <c r="BD487" s="847"/>
      <c r="BE487" s="847"/>
      <c r="BF487" s="847"/>
      <c r="BG487" s="847"/>
      <c r="BH487" s="847"/>
      <c r="BI487" s="847"/>
      <c r="BJ487" s="847"/>
      <c r="BK487" s="847"/>
      <c r="BL487" s="847"/>
      <c r="BM487" s="847"/>
      <c r="BN487" s="847"/>
      <c r="BO487" s="847"/>
      <c r="BP487" s="847"/>
      <c r="BQ487" s="847"/>
      <c r="BR487" s="847"/>
      <c r="BS487" s="847"/>
      <c r="BT487" s="847"/>
      <c r="BU487" s="847"/>
      <c r="BV487" s="847"/>
      <c r="BW487" s="847"/>
      <c r="BX487" s="847"/>
      <c r="BY487" s="847"/>
      <c r="BZ487" s="847"/>
      <c r="CA487" s="847"/>
      <c r="CB487" s="847"/>
      <c r="CC487" s="847"/>
      <c r="CD487" s="847"/>
      <c r="CE487" s="847"/>
      <c r="CF487" s="847"/>
      <c r="CG487" s="847"/>
      <c r="CH487" s="847"/>
      <c r="CI487" s="847"/>
      <c r="CJ487" s="847"/>
      <c r="CK487" s="847"/>
      <c r="CL487" s="847"/>
      <c r="CM487" s="847"/>
      <c r="CN487" s="847"/>
      <c r="CO487" s="847"/>
      <c r="CP487" s="847"/>
      <c r="CQ487" s="847"/>
      <c r="CR487" s="847"/>
      <c r="CS487" s="847"/>
      <c r="CT487" s="847"/>
      <c r="CU487" s="847"/>
      <c r="CV487" s="847"/>
      <c r="CW487" s="847"/>
      <c r="CX487" s="847"/>
      <c r="CY487" s="847"/>
      <c r="CZ487" s="847"/>
      <c r="DA487" s="847"/>
      <c r="DB487" s="847"/>
      <c r="DC487" s="847"/>
      <c r="DD487" s="847"/>
      <c r="DE487" s="847"/>
      <c r="DF487" s="847"/>
      <c r="DG487" s="847"/>
      <c r="DH487" s="847"/>
      <c r="DI487" s="847"/>
      <c r="DJ487" s="847"/>
      <c r="DK487" s="847"/>
      <c r="DL487" s="847"/>
      <c r="DM487" s="1212"/>
      <c r="DN487" s="1222"/>
      <c r="DO487" s="1013"/>
      <c r="DP487" s="847"/>
      <c r="DQ487" s="1013"/>
      <c r="DR487" s="1225"/>
      <c r="DS487" s="1013"/>
      <c r="DT487" s="1225"/>
      <c r="DU487" s="1214"/>
      <c r="DV487" s="1242"/>
      <c r="DW487" s="1232"/>
      <c r="DX487" s="1222"/>
      <c r="DY487" s="847"/>
      <c r="DZ487" s="847"/>
      <c r="EA487" s="847"/>
      <c r="EB487" s="847"/>
      <c r="EC487" s="847"/>
      <c r="ED487" s="847"/>
      <c r="EE487" s="847"/>
      <c r="EF487" s="847"/>
      <c r="EG487" s="1212"/>
      <c r="EH487" s="847"/>
      <c r="EI487" s="1212"/>
    </row>
    <row r="488" spans="1:139" s="733" customFormat="1" ht="13.5">
      <c r="A488" s="1009"/>
      <c r="B488" s="1212" t="str">
        <f t="shared" ref="B488:B534" si="21">B439</f>
        <v>i.Ordinary Soil.</v>
      </c>
      <c r="C488" s="1213">
        <v>0</v>
      </c>
      <c r="D488" s="1013" t="s">
        <v>49</v>
      </c>
      <c r="E488" s="847"/>
      <c r="F488" s="1013"/>
      <c r="G488" s="847"/>
      <c r="H488" s="1013"/>
      <c r="I488" s="847"/>
      <c r="J488" s="1013"/>
      <c r="K488" s="847"/>
      <c r="L488" s="1013"/>
      <c r="M488" s="847"/>
      <c r="N488" s="1013"/>
      <c r="O488" s="847"/>
      <c r="P488" s="1013"/>
      <c r="Q488" s="847"/>
      <c r="R488" s="847"/>
      <c r="S488" s="847"/>
      <c r="T488" s="847"/>
      <c r="U488" s="847"/>
      <c r="V488" s="847"/>
      <c r="W488" s="847"/>
      <c r="X488" s="847"/>
      <c r="Y488" s="847"/>
      <c r="Z488" s="847"/>
      <c r="AA488" s="847"/>
      <c r="AB488" s="847"/>
      <c r="AC488" s="847"/>
      <c r="AD488" s="847"/>
      <c r="AE488" s="847"/>
      <c r="AF488" s="847"/>
      <c r="AG488" s="847"/>
      <c r="AH488" s="847"/>
      <c r="AI488" s="847"/>
      <c r="AJ488" s="847"/>
      <c r="AK488" s="847"/>
      <c r="AL488" s="847"/>
      <c r="AM488" s="847"/>
      <c r="AN488" s="847"/>
      <c r="AO488" s="847"/>
      <c r="AP488" s="847"/>
      <c r="AQ488" s="847"/>
      <c r="AR488" s="847"/>
      <c r="AS488" s="847"/>
      <c r="AT488" s="847"/>
      <c r="AU488" s="847"/>
      <c r="AV488" s="847"/>
      <c r="AW488" s="847"/>
      <c r="AX488" s="847"/>
      <c r="AY488" s="847"/>
      <c r="AZ488" s="847"/>
      <c r="BA488" s="847"/>
      <c r="BB488" s="847"/>
      <c r="BC488" s="847"/>
      <c r="BD488" s="847"/>
      <c r="BE488" s="847"/>
      <c r="BF488" s="847"/>
      <c r="BG488" s="847"/>
      <c r="BH488" s="847"/>
      <c r="BI488" s="847"/>
      <c r="BJ488" s="847"/>
      <c r="BK488" s="847"/>
      <c r="BL488" s="847"/>
      <c r="BM488" s="847"/>
      <c r="BN488" s="847"/>
      <c r="BO488" s="847"/>
      <c r="BP488" s="847"/>
      <c r="BQ488" s="847"/>
      <c r="BR488" s="847"/>
      <c r="BS488" s="847"/>
      <c r="BT488" s="847"/>
      <c r="BU488" s="847"/>
      <c r="BV488" s="847"/>
      <c r="BW488" s="847"/>
      <c r="BX488" s="847"/>
      <c r="BY488" s="847"/>
      <c r="BZ488" s="847"/>
      <c r="CA488" s="847"/>
      <c r="CB488" s="847"/>
      <c r="CC488" s="847"/>
      <c r="CD488" s="847"/>
      <c r="CE488" s="847"/>
      <c r="CF488" s="847"/>
      <c r="CG488" s="847"/>
      <c r="CH488" s="847"/>
      <c r="CI488" s="847"/>
      <c r="CJ488" s="847"/>
      <c r="CK488" s="847"/>
      <c r="CL488" s="847"/>
      <c r="CM488" s="847"/>
      <c r="CN488" s="847"/>
      <c r="CO488" s="847"/>
      <c r="CP488" s="847"/>
      <c r="CQ488" s="847"/>
      <c r="CR488" s="847"/>
      <c r="CS488" s="847"/>
      <c r="CT488" s="847"/>
      <c r="CU488" s="847"/>
      <c r="CV488" s="847"/>
      <c r="CW488" s="847"/>
      <c r="CX488" s="847"/>
      <c r="CY488" s="847"/>
      <c r="CZ488" s="847"/>
      <c r="DA488" s="847"/>
      <c r="DB488" s="847"/>
      <c r="DC488" s="847"/>
      <c r="DD488" s="847"/>
      <c r="DE488" s="847"/>
      <c r="DF488" s="847"/>
      <c r="DG488" s="847"/>
      <c r="DH488" s="847"/>
      <c r="DI488" s="847"/>
      <c r="DJ488" s="847"/>
      <c r="DK488" s="847"/>
      <c r="DL488" s="847"/>
      <c r="DM488" s="1212"/>
      <c r="DN488" s="1222">
        <f>DN81</f>
        <v>0.69621120000000003</v>
      </c>
      <c r="DO488" s="1013">
        <f>ROUND(C488*DN488,2)</f>
        <v>0</v>
      </c>
      <c r="DP488" s="847"/>
      <c r="DQ488" s="1013"/>
      <c r="DR488" s="1225"/>
      <c r="DS488" s="1013"/>
      <c r="DT488" s="1225"/>
      <c r="DU488" s="1214"/>
      <c r="DV488" s="1242"/>
      <c r="DW488" s="1232"/>
      <c r="DX488" s="1222"/>
      <c r="DY488" s="847"/>
      <c r="DZ488" s="847"/>
      <c r="EA488" s="847"/>
      <c r="EB488" s="847"/>
      <c r="EC488" s="847"/>
      <c r="ED488" s="847"/>
      <c r="EE488" s="847"/>
      <c r="EF488" s="847"/>
      <c r="EG488" s="1212"/>
      <c r="EH488" s="847"/>
      <c r="EI488" s="1212"/>
    </row>
    <row r="489" spans="1:139" s="733" customFormat="1" ht="13.5">
      <c r="A489" s="1009"/>
      <c r="B489" s="1212" t="str">
        <f t="shared" si="21"/>
        <v>ii.Slushy Soil</v>
      </c>
      <c r="C489" s="1213">
        <v>0</v>
      </c>
      <c r="D489" s="1013" t="s">
        <v>49</v>
      </c>
      <c r="E489" s="847"/>
      <c r="F489" s="1013"/>
      <c r="G489" s="847"/>
      <c r="H489" s="1013"/>
      <c r="I489" s="847"/>
      <c r="J489" s="1013"/>
      <c r="K489" s="847"/>
      <c r="L489" s="1013"/>
      <c r="M489" s="847"/>
      <c r="N489" s="1013"/>
      <c r="O489" s="847"/>
      <c r="P489" s="1013"/>
      <c r="Q489" s="847"/>
      <c r="R489" s="847"/>
      <c r="S489" s="847"/>
      <c r="T489" s="847"/>
      <c r="U489" s="847"/>
      <c r="V489" s="847"/>
      <c r="W489" s="847"/>
      <c r="X489" s="847"/>
      <c r="Y489" s="847"/>
      <c r="Z489" s="847"/>
      <c r="AA489" s="847"/>
      <c r="AB489" s="847"/>
      <c r="AC489" s="847"/>
      <c r="AD489" s="847"/>
      <c r="AE489" s="847"/>
      <c r="AF489" s="847"/>
      <c r="AG489" s="847"/>
      <c r="AH489" s="847"/>
      <c r="AI489" s="847"/>
      <c r="AJ489" s="847"/>
      <c r="AK489" s="847"/>
      <c r="AL489" s="847"/>
      <c r="AM489" s="847"/>
      <c r="AN489" s="847"/>
      <c r="AO489" s="847"/>
      <c r="AP489" s="847"/>
      <c r="AQ489" s="847"/>
      <c r="AR489" s="847"/>
      <c r="AS489" s="847"/>
      <c r="AT489" s="847"/>
      <c r="AU489" s="847"/>
      <c r="AV489" s="847"/>
      <c r="AW489" s="847"/>
      <c r="AX489" s="847"/>
      <c r="AY489" s="847"/>
      <c r="AZ489" s="847"/>
      <c r="BA489" s="847"/>
      <c r="BB489" s="847"/>
      <c r="BC489" s="847"/>
      <c r="BD489" s="847"/>
      <c r="BE489" s="847"/>
      <c r="BF489" s="847"/>
      <c r="BG489" s="847"/>
      <c r="BH489" s="847"/>
      <c r="BI489" s="847"/>
      <c r="BJ489" s="847"/>
      <c r="BK489" s="847"/>
      <c r="BL489" s="847"/>
      <c r="BM489" s="847"/>
      <c r="BN489" s="847"/>
      <c r="BO489" s="847"/>
      <c r="BP489" s="847"/>
      <c r="BQ489" s="847"/>
      <c r="BR489" s="847"/>
      <c r="BS489" s="847"/>
      <c r="BT489" s="847"/>
      <c r="BU489" s="847"/>
      <c r="BV489" s="847"/>
      <c r="BW489" s="847"/>
      <c r="BX489" s="847"/>
      <c r="BY489" s="847"/>
      <c r="BZ489" s="847"/>
      <c r="CA489" s="847"/>
      <c r="CB489" s="847"/>
      <c r="CC489" s="847"/>
      <c r="CD489" s="847"/>
      <c r="CE489" s="847"/>
      <c r="CF489" s="847"/>
      <c r="CG489" s="847"/>
      <c r="CH489" s="847"/>
      <c r="CI489" s="847"/>
      <c r="CJ489" s="847"/>
      <c r="CK489" s="847"/>
      <c r="CL489" s="847"/>
      <c r="CM489" s="847"/>
      <c r="CN489" s="847"/>
      <c r="CO489" s="847"/>
      <c r="CP489" s="847"/>
      <c r="CQ489" s="847"/>
      <c r="CR489" s="847"/>
      <c r="CS489" s="847"/>
      <c r="CT489" s="847"/>
      <c r="CU489" s="847"/>
      <c r="CV489" s="847"/>
      <c r="CW489" s="847"/>
      <c r="CX489" s="847"/>
      <c r="CY489" s="847"/>
      <c r="CZ489" s="847"/>
      <c r="DA489" s="847"/>
      <c r="DB489" s="847"/>
      <c r="DC489" s="847"/>
      <c r="DD489" s="847"/>
      <c r="DE489" s="847"/>
      <c r="DF489" s="847"/>
      <c r="DG489" s="847"/>
      <c r="DH489" s="847"/>
      <c r="DI489" s="847"/>
      <c r="DJ489" s="847"/>
      <c r="DK489" s="847"/>
      <c r="DL489" s="847"/>
      <c r="DM489" s="1212"/>
      <c r="DN489" s="1222">
        <f>DN84</f>
        <v>0.92036640000000014</v>
      </c>
      <c r="DO489" s="1013">
        <f>ROUND(C489*DN489,2)</f>
        <v>0</v>
      </c>
      <c r="DP489" s="847"/>
      <c r="DQ489" s="1013"/>
      <c r="DR489" s="1225"/>
      <c r="DS489" s="1013"/>
      <c r="DT489" s="1225"/>
      <c r="DU489" s="1214"/>
      <c r="DV489" s="1242"/>
      <c r="DW489" s="1232"/>
      <c r="DX489" s="1222"/>
      <c r="DY489" s="847"/>
      <c r="DZ489" s="847"/>
      <c r="EA489" s="847"/>
      <c r="EB489" s="847"/>
      <c r="EC489" s="847"/>
      <c r="ED489" s="847"/>
      <c r="EE489" s="847"/>
      <c r="EF489" s="847"/>
      <c r="EG489" s="1212"/>
      <c r="EH489" s="847"/>
      <c r="EI489" s="1212"/>
    </row>
    <row r="490" spans="1:139" s="733" customFormat="1" ht="13.5">
      <c r="A490" s="1009"/>
      <c r="B490" s="1212" t="str">
        <f t="shared" si="21"/>
        <v>iii.Hard Sooil</v>
      </c>
      <c r="C490" s="1213">
        <v>0</v>
      </c>
      <c r="D490" s="1013" t="s">
        <v>49</v>
      </c>
      <c r="E490" s="847"/>
      <c r="F490" s="1013"/>
      <c r="G490" s="847"/>
      <c r="H490" s="1013"/>
      <c r="I490" s="847"/>
      <c r="J490" s="1013"/>
      <c r="K490" s="847"/>
      <c r="L490" s="1013"/>
      <c r="M490" s="847"/>
      <c r="N490" s="1013"/>
      <c r="O490" s="847"/>
      <c r="P490" s="1013"/>
      <c r="Q490" s="847"/>
      <c r="R490" s="847"/>
      <c r="S490" s="847"/>
      <c r="T490" s="847"/>
      <c r="U490" s="847"/>
      <c r="V490" s="847"/>
      <c r="W490" s="847"/>
      <c r="X490" s="847"/>
      <c r="Y490" s="847"/>
      <c r="Z490" s="847"/>
      <c r="AA490" s="847"/>
      <c r="AB490" s="847"/>
      <c r="AC490" s="847"/>
      <c r="AD490" s="847"/>
      <c r="AE490" s="847"/>
      <c r="AF490" s="847"/>
      <c r="AG490" s="847"/>
      <c r="AH490" s="847"/>
      <c r="AI490" s="847"/>
      <c r="AJ490" s="847"/>
      <c r="AK490" s="847"/>
      <c r="AL490" s="847"/>
      <c r="AM490" s="847"/>
      <c r="AN490" s="847"/>
      <c r="AO490" s="847"/>
      <c r="AP490" s="847"/>
      <c r="AQ490" s="847"/>
      <c r="AR490" s="847"/>
      <c r="AS490" s="847"/>
      <c r="AT490" s="847"/>
      <c r="AU490" s="847"/>
      <c r="AV490" s="847"/>
      <c r="AW490" s="847"/>
      <c r="AX490" s="847"/>
      <c r="AY490" s="847"/>
      <c r="AZ490" s="847"/>
      <c r="BA490" s="847"/>
      <c r="BB490" s="847"/>
      <c r="BC490" s="847"/>
      <c r="BD490" s="847"/>
      <c r="BE490" s="847"/>
      <c r="BF490" s="847"/>
      <c r="BG490" s="847"/>
      <c r="BH490" s="847"/>
      <c r="BI490" s="847"/>
      <c r="BJ490" s="847"/>
      <c r="BK490" s="847"/>
      <c r="BL490" s="847"/>
      <c r="BM490" s="847"/>
      <c r="BN490" s="847"/>
      <c r="BO490" s="847"/>
      <c r="BP490" s="847"/>
      <c r="BQ490" s="847"/>
      <c r="BR490" s="847"/>
      <c r="BS490" s="847"/>
      <c r="BT490" s="847"/>
      <c r="BU490" s="847"/>
      <c r="BV490" s="847"/>
      <c r="BW490" s="847"/>
      <c r="BX490" s="847"/>
      <c r="BY490" s="847"/>
      <c r="BZ490" s="847"/>
      <c r="CA490" s="847"/>
      <c r="CB490" s="847"/>
      <c r="CC490" s="847"/>
      <c r="CD490" s="847"/>
      <c r="CE490" s="847"/>
      <c r="CF490" s="847"/>
      <c r="CG490" s="847"/>
      <c r="CH490" s="847"/>
      <c r="CI490" s="847"/>
      <c r="CJ490" s="847"/>
      <c r="CK490" s="847"/>
      <c r="CL490" s="847"/>
      <c r="CM490" s="847"/>
      <c r="CN490" s="847"/>
      <c r="CO490" s="847"/>
      <c r="CP490" s="847"/>
      <c r="CQ490" s="847"/>
      <c r="CR490" s="847"/>
      <c r="CS490" s="847"/>
      <c r="CT490" s="847"/>
      <c r="CU490" s="847"/>
      <c r="CV490" s="847"/>
      <c r="CW490" s="847"/>
      <c r="CX490" s="847"/>
      <c r="CY490" s="847"/>
      <c r="CZ490" s="847"/>
      <c r="DA490" s="847"/>
      <c r="DB490" s="847"/>
      <c r="DC490" s="847"/>
      <c r="DD490" s="847"/>
      <c r="DE490" s="847"/>
      <c r="DF490" s="847"/>
      <c r="DG490" s="847"/>
      <c r="DH490" s="847"/>
      <c r="DI490" s="847"/>
      <c r="DJ490" s="847"/>
      <c r="DK490" s="847"/>
      <c r="DL490" s="847"/>
      <c r="DM490" s="1212"/>
      <c r="DN490" s="1222">
        <f>DN78</f>
        <v>0.86500080000000001</v>
      </c>
      <c r="DO490" s="1013">
        <f>ROUND(C490*DN490,2)</f>
        <v>0</v>
      </c>
      <c r="DP490" s="847"/>
      <c r="DQ490" s="1013"/>
      <c r="DR490" s="1225"/>
      <c r="DS490" s="1013"/>
      <c r="DT490" s="1225"/>
      <c r="DU490" s="1214"/>
      <c r="DV490" s="1242"/>
      <c r="DW490" s="1232"/>
      <c r="DX490" s="1222"/>
      <c r="DY490" s="847"/>
      <c r="DZ490" s="847"/>
      <c r="EA490" s="847"/>
      <c r="EB490" s="847"/>
      <c r="EC490" s="847"/>
      <c r="ED490" s="847"/>
      <c r="EE490" s="847"/>
      <c r="EF490" s="847"/>
      <c r="EG490" s="1212"/>
      <c r="EH490" s="847"/>
      <c r="EI490" s="1212"/>
    </row>
    <row r="491" spans="1:139" s="733" customFormat="1" ht="13.5">
      <c r="A491" s="1009"/>
      <c r="B491" s="1212" t="str">
        <f t="shared" si="21"/>
        <v>IV.Stony Earth</v>
      </c>
      <c r="C491" s="1213">
        <v>0</v>
      </c>
      <c r="D491" s="1013" t="s">
        <v>49</v>
      </c>
      <c r="E491" s="847"/>
      <c r="F491" s="1013"/>
      <c r="G491" s="847"/>
      <c r="H491" s="1013"/>
      <c r="I491" s="847"/>
      <c r="J491" s="1013"/>
      <c r="K491" s="847"/>
      <c r="L491" s="1013"/>
      <c r="M491" s="847"/>
      <c r="N491" s="1013"/>
      <c r="O491" s="847"/>
      <c r="P491" s="1013"/>
      <c r="Q491" s="847"/>
      <c r="R491" s="847"/>
      <c r="S491" s="847"/>
      <c r="T491" s="847"/>
      <c r="U491" s="847"/>
      <c r="V491" s="847"/>
      <c r="W491" s="847"/>
      <c r="X491" s="847"/>
      <c r="Y491" s="847"/>
      <c r="Z491" s="847"/>
      <c r="AA491" s="847"/>
      <c r="AB491" s="847"/>
      <c r="AC491" s="847"/>
      <c r="AD491" s="847"/>
      <c r="AE491" s="847"/>
      <c r="AF491" s="847"/>
      <c r="AG491" s="847"/>
      <c r="AH491" s="847"/>
      <c r="AI491" s="847"/>
      <c r="AJ491" s="847"/>
      <c r="AK491" s="847"/>
      <c r="AL491" s="847"/>
      <c r="AM491" s="847"/>
      <c r="AN491" s="847"/>
      <c r="AO491" s="847"/>
      <c r="AP491" s="847"/>
      <c r="AQ491" s="847"/>
      <c r="AR491" s="847"/>
      <c r="AS491" s="847"/>
      <c r="AT491" s="847"/>
      <c r="AU491" s="847"/>
      <c r="AV491" s="847"/>
      <c r="AW491" s="847"/>
      <c r="AX491" s="847"/>
      <c r="AY491" s="847"/>
      <c r="AZ491" s="847"/>
      <c r="BA491" s="847"/>
      <c r="BB491" s="847"/>
      <c r="BC491" s="847"/>
      <c r="BD491" s="847"/>
      <c r="BE491" s="847"/>
      <c r="BF491" s="847"/>
      <c r="BG491" s="847"/>
      <c r="BH491" s="847"/>
      <c r="BI491" s="847"/>
      <c r="BJ491" s="847"/>
      <c r="BK491" s="847"/>
      <c r="BL491" s="847"/>
      <c r="BM491" s="847"/>
      <c r="BN491" s="847"/>
      <c r="BO491" s="847"/>
      <c r="BP491" s="847"/>
      <c r="BQ491" s="847"/>
      <c r="BR491" s="847"/>
      <c r="BS491" s="847"/>
      <c r="BT491" s="847"/>
      <c r="BU491" s="847"/>
      <c r="BV491" s="847"/>
      <c r="BW491" s="847"/>
      <c r="BX491" s="847"/>
      <c r="BY491" s="847"/>
      <c r="BZ491" s="847"/>
      <c r="CA491" s="847"/>
      <c r="CB491" s="847"/>
      <c r="CC491" s="847"/>
      <c r="CD491" s="847"/>
      <c r="CE491" s="847"/>
      <c r="CF491" s="847"/>
      <c r="CG491" s="847"/>
      <c r="CH491" s="847"/>
      <c r="CI491" s="847"/>
      <c r="CJ491" s="847"/>
      <c r="CK491" s="847"/>
      <c r="CL491" s="847"/>
      <c r="CM491" s="847"/>
      <c r="CN491" s="847"/>
      <c r="CO491" s="847"/>
      <c r="CP491" s="847"/>
      <c r="CQ491" s="847"/>
      <c r="CR491" s="847"/>
      <c r="CS491" s="847"/>
      <c r="CT491" s="847"/>
      <c r="CU491" s="847"/>
      <c r="CV491" s="847"/>
      <c r="CW491" s="847"/>
      <c r="CX491" s="847"/>
      <c r="CY491" s="847"/>
      <c r="CZ491" s="847"/>
      <c r="DA491" s="847"/>
      <c r="DB491" s="847"/>
      <c r="DC491" s="847"/>
      <c r="DD491" s="847"/>
      <c r="DE491" s="847"/>
      <c r="DF491" s="847"/>
      <c r="DG491" s="847"/>
      <c r="DH491" s="847"/>
      <c r="DI491" s="847"/>
      <c r="DJ491" s="847"/>
      <c r="DK491" s="847"/>
      <c r="DL491" s="847"/>
      <c r="DM491" s="1212"/>
      <c r="DN491" s="1222">
        <f>DN87</f>
        <v>1.1998872</v>
      </c>
      <c r="DO491" s="1013">
        <f>ROUND(C491*DN491,2)</f>
        <v>0</v>
      </c>
      <c r="DP491" s="847"/>
      <c r="DQ491" s="1013"/>
      <c r="DR491" s="1225"/>
      <c r="DS491" s="1013"/>
      <c r="DT491" s="1225"/>
      <c r="DU491" s="1214"/>
      <c r="DV491" s="1242"/>
      <c r="DW491" s="1232"/>
      <c r="DX491" s="1222"/>
      <c r="DY491" s="847"/>
      <c r="DZ491" s="847"/>
      <c r="EA491" s="847"/>
      <c r="EB491" s="847"/>
      <c r="EC491" s="847"/>
      <c r="ED491" s="847"/>
      <c r="EE491" s="847"/>
      <c r="EF491" s="847"/>
      <c r="EG491" s="1212"/>
      <c r="EH491" s="847"/>
      <c r="EI491" s="1212"/>
    </row>
    <row r="492" spans="1:139" s="733" customFormat="1" ht="13.5">
      <c r="A492" s="1009"/>
      <c r="B492" s="1212" t="str">
        <f t="shared" si="21"/>
        <v>V.All Kinds of Soil</v>
      </c>
      <c r="C492" s="1213">
        <v>0</v>
      </c>
      <c r="D492" s="1013" t="s">
        <v>49</v>
      </c>
      <c r="E492" s="847"/>
      <c r="F492" s="1013"/>
      <c r="G492" s="847"/>
      <c r="H492" s="1013"/>
      <c r="I492" s="847"/>
      <c r="J492" s="1013"/>
      <c r="K492" s="847"/>
      <c r="L492" s="1013"/>
      <c r="M492" s="847"/>
      <c r="N492" s="1013"/>
      <c r="O492" s="847"/>
      <c r="P492" s="1013"/>
      <c r="Q492" s="847"/>
      <c r="R492" s="847"/>
      <c r="S492" s="847"/>
      <c r="T492" s="847"/>
      <c r="U492" s="847"/>
      <c r="V492" s="847"/>
      <c r="W492" s="847"/>
      <c r="X492" s="847"/>
      <c r="Y492" s="847"/>
      <c r="Z492" s="847"/>
      <c r="AA492" s="847"/>
      <c r="AB492" s="847"/>
      <c r="AC492" s="847"/>
      <c r="AD492" s="847"/>
      <c r="AE492" s="847"/>
      <c r="AF492" s="847"/>
      <c r="AG492" s="847"/>
      <c r="AH492" s="847"/>
      <c r="AI492" s="847"/>
      <c r="AJ492" s="847"/>
      <c r="AK492" s="847"/>
      <c r="AL492" s="847"/>
      <c r="AM492" s="847"/>
      <c r="AN492" s="847"/>
      <c r="AO492" s="847"/>
      <c r="AP492" s="847"/>
      <c r="AQ492" s="847"/>
      <c r="AR492" s="847"/>
      <c r="AS492" s="847"/>
      <c r="AT492" s="847"/>
      <c r="AU492" s="847"/>
      <c r="AV492" s="847"/>
      <c r="AW492" s="847"/>
      <c r="AX492" s="847"/>
      <c r="AY492" s="847"/>
      <c r="AZ492" s="847"/>
      <c r="BA492" s="847"/>
      <c r="BB492" s="847"/>
      <c r="BC492" s="847"/>
      <c r="BD492" s="847"/>
      <c r="BE492" s="847"/>
      <c r="BF492" s="847"/>
      <c r="BG492" s="847"/>
      <c r="BH492" s="847"/>
      <c r="BI492" s="847"/>
      <c r="BJ492" s="847"/>
      <c r="BK492" s="847"/>
      <c r="BL492" s="847"/>
      <c r="BM492" s="847"/>
      <c r="BN492" s="847"/>
      <c r="BO492" s="847"/>
      <c r="BP492" s="847"/>
      <c r="BQ492" s="847"/>
      <c r="BR492" s="847"/>
      <c r="BS492" s="847"/>
      <c r="BT492" s="847"/>
      <c r="BU492" s="847"/>
      <c r="BV492" s="847"/>
      <c r="BW492" s="847"/>
      <c r="BX492" s="847"/>
      <c r="BY492" s="847"/>
      <c r="BZ492" s="847"/>
      <c r="CA492" s="847"/>
      <c r="CB492" s="847"/>
      <c r="CC492" s="847"/>
      <c r="CD492" s="847"/>
      <c r="CE492" s="847"/>
      <c r="CF492" s="847"/>
      <c r="CG492" s="847"/>
      <c r="CH492" s="847"/>
      <c r="CI492" s="847"/>
      <c r="CJ492" s="847"/>
      <c r="CK492" s="847"/>
      <c r="CL492" s="847"/>
      <c r="CM492" s="847"/>
      <c r="CN492" s="847"/>
      <c r="CO492" s="847"/>
      <c r="CP492" s="847"/>
      <c r="CQ492" s="847"/>
      <c r="CR492" s="847"/>
      <c r="CS492" s="847"/>
      <c r="CT492" s="847"/>
      <c r="CU492" s="847"/>
      <c r="CV492" s="847"/>
      <c r="CW492" s="847"/>
      <c r="CX492" s="847"/>
      <c r="CY492" s="847"/>
      <c r="CZ492" s="847"/>
      <c r="DA492" s="847"/>
      <c r="DB492" s="847"/>
      <c r="DC492" s="847"/>
      <c r="DD492" s="847"/>
      <c r="DE492" s="847"/>
      <c r="DF492" s="847"/>
      <c r="DG492" s="847"/>
      <c r="DH492" s="847"/>
      <c r="DI492" s="847"/>
      <c r="DJ492" s="847"/>
      <c r="DK492" s="847"/>
      <c r="DL492" s="847"/>
      <c r="DM492" s="1212"/>
      <c r="DN492" s="1222">
        <f>(DN488+DN489+DN490+DN491)/4</f>
        <v>0.92036640000000003</v>
      </c>
      <c r="DO492" s="1013">
        <f>ROUND(C492*DN492,2)</f>
        <v>0</v>
      </c>
      <c r="DP492" s="847"/>
      <c r="DQ492" s="1013"/>
      <c r="DR492" s="1225"/>
      <c r="DS492" s="1013"/>
      <c r="DT492" s="1225"/>
      <c r="DU492" s="1214"/>
      <c r="DV492" s="1242"/>
      <c r="DW492" s="1232"/>
      <c r="DX492" s="1222"/>
      <c r="DY492" s="847"/>
      <c r="DZ492" s="847"/>
      <c r="EA492" s="847"/>
      <c r="EB492" s="847"/>
      <c r="EC492" s="847"/>
      <c r="ED492" s="847"/>
      <c r="EE492" s="847"/>
      <c r="EF492" s="847"/>
      <c r="EG492" s="1212"/>
      <c r="EH492" s="847"/>
      <c r="EI492" s="1212"/>
    </row>
    <row r="493" spans="1:139" s="733" customFormat="1" ht="13.5">
      <c r="A493" s="1009"/>
      <c r="B493" s="1245" t="str">
        <f t="shared" si="21"/>
        <v>B. 2ND DEPTH OF 1.5MTR.</v>
      </c>
      <c r="C493" s="1213">
        <v>0</v>
      </c>
      <c r="D493" s="1013" t="s">
        <v>49</v>
      </c>
      <c r="E493" s="847"/>
      <c r="F493" s="1013"/>
      <c r="G493" s="847"/>
      <c r="H493" s="1013"/>
      <c r="I493" s="847"/>
      <c r="J493" s="1013"/>
      <c r="K493" s="847"/>
      <c r="L493" s="1013"/>
      <c r="M493" s="847"/>
      <c r="N493" s="1013"/>
      <c r="O493" s="847"/>
      <c r="P493" s="1013"/>
      <c r="Q493" s="847"/>
      <c r="R493" s="847"/>
      <c r="S493" s="847"/>
      <c r="T493" s="847"/>
      <c r="U493" s="847"/>
      <c r="V493" s="847"/>
      <c r="W493" s="847"/>
      <c r="X493" s="847"/>
      <c r="Y493" s="847"/>
      <c r="Z493" s="847"/>
      <c r="AA493" s="847"/>
      <c r="AB493" s="847"/>
      <c r="AC493" s="847"/>
      <c r="AD493" s="847"/>
      <c r="AE493" s="847"/>
      <c r="AF493" s="847"/>
      <c r="AG493" s="847"/>
      <c r="AH493" s="847"/>
      <c r="AI493" s="847"/>
      <c r="AJ493" s="847"/>
      <c r="AK493" s="847"/>
      <c r="AL493" s="847"/>
      <c r="AM493" s="847"/>
      <c r="AN493" s="847"/>
      <c r="AO493" s="847"/>
      <c r="AP493" s="847"/>
      <c r="AQ493" s="847"/>
      <c r="AR493" s="847"/>
      <c r="AS493" s="847"/>
      <c r="AT493" s="847"/>
      <c r="AU493" s="847"/>
      <c r="AV493" s="847"/>
      <c r="AW493" s="847"/>
      <c r="AX493" s="847"/>
      <c r="AY493" s="847"/>
      <c r="AZ493" s="847"/>
      <c r="BA493" s="847"/>
      <c r="BB493" s="847"/>
      <c r="BC493" s="847"/>
      <c r="BD493" s="847"/>
      <c r="BE493" s="847"/>
      <c r="BF493" s="847"/>
      <c r="BG493" s="847"/>
      <c r="BH493" s="847"/>
      <c r="BI493" s="847"/>
      <c r="BJ493" s="847"/>
      <c r="BK493" s="847"/>
      <c r="BL493" s="847"/>
      <c r="BM493" s="847"/>
      <c r="BN493" s="847"/>
      <c r="BO493" s="847"/>
      <c r="BP493" s="847"/>
      <c r="BQ493" s="847"/>
      <c r="BR493" s="847"/>
      <c r="BS493" s="847"/>
      <c r="BT493" s="847"/>
      <c r="BU493" s="847"/>
      <c r="BV493" s="847"/>
      <c r="BW493" s="847"/>
      <c r="BX493" s="847"/>
      <c r="BY493" s="847"/>
      <c r="BZ493" s="847"/>
      <c r="CA493" s="847"/>
      <c r="CB493" s="847"/>
      <c r="CC493" s="847"/>
      <c r="CD493" s="847"/>
      <c r="CE493" s="847"/>
      <c r="CF493" s="847"/>
      <c r="CG493" s="847"/>
      <c r="CH493" s="847"/>
      <c r="CI493" s="847"/>
      <c r="CJ493" s="847"/>
      <c r="CK493" s="847"/>
      <c r="CL493" s="847"/>
      <c r="CM493" s="847"/>
      <c r="CN493" s="847"/>
      <c r="CO493" s="847"/>
      <c r="CP493" s="847"/>
      <c r="CQ493" s="847"/>
      <c r="CR493" s="847"/>
      <c r="CS493" s="847"/>
      <c r="CT493" s="847"/>
      <c r="CU493" s="847"/>
      <c r="CV493" s="847"/>
      <c r="CW493" s="847"/>
      <c r="CX493" s="847"/>
      <c r="CY493" s="847"/>
      <c r="CZ493" s="847"/>
      <c r="DA493" s="847"/>
      <c r="DB493" s="847"/>
      <c r="DC493" s="847"/>
      <c r="DD493" s="847"/>
      <c r="DE493" s="847"/>
      <c r="DF493" s="847"/>
      <c r="DG493" s="847"/>
      <c r="DH493" s="847"/>
      <c r="DI493" s="847"/>
      <c r="DJ493" s="847"/>
      <c r="DK493" s="847"/>
      <c r="DL493" s="847"/>
      <c r="DM493" s="1212"/>
      <c r="DN493" s="1222"/>
      <c r="DO493" s="1013"/>
      <c r="DP493" s="847"/>
      <c r="DQ493" s="1013"/>
      <c r="DR493" s="1225"/>
      <c r="DS493" s="1013"/>
      <c r="DT493" s="1225"/>
      <c r="DU493" s="1214"/>
      <c r="DV493" s="1242"/>
      <c r="DW493" s="1232"/>
      <c r="DX493" s="1222"/>
      <c r="DY493" s="847"/>
      <c r="DZ493" s="847"/>
      <c r="EA493" s="847"/>
      <c r="EB493" s="847"/>
      <c r="EC493" s="847"/>
      <c r="ED493" s="847"/>
      <c r="EE493" s="847"/>
      <c r="EF493" s="847"/>
      <c r="EG493" s="1212"/>
      <c r="EH493" s="847"/>
      <c r="EI493" s="1212"/>
    </row>
    <row r="494" spans="1:139" s="733" customFormat="1" ht="13.5">
      <c r="A494" s="1009"/>
      <c r="B494" s="1212" t="str">
        <f t="shared" si="21"/>
        <v>i.Ordinary Soil.</v>
      </c>
      <c r="C494" s="1213">
        <v>0</v>
      </c>
      <c r="D494" s="1013" t="s">
        <v>49</v>
      </c>
      <c r="E494" s="847"/>
      <c r="F494" s="1013"/>
      <c r="G494" s="847"/>
      <c r="H494" s="1013"/>
      <c r="I494" s="847"/>
      <c r="J494" s="1013"/>
      <c r="K494" s="847"/>
      <c r="L494" s="1013"/>
      <c r="M494" s="847"/>
      <c r="N494" s="1013"/>
      <c r="O494" s="847"/>
      <c r="P494" s="1013"/>
      <c r="Q494" s="847"/>
      <c r="R494" s="847"/>
      <c r="S494" s="847"/>
      <c r="T494" s="847"/>
      <c r="U494" s="847"/>
      <c r="V494" s="847"/>
      <c r="W494" s="847"/>
      <c r="X494" s="847"/>
      <c r="Y494" s="847"/>
      <c r="Z494" s="847"/>
      <c r="AA494" s="847"/>
      <c r="AB494" s="847"/>
      <c r="AC494" s="847"/>
      <c r="AD494" s="847"/>
      <c r="AE494" s="847"/>
      <c r="AF494" s="847"/>
      <c r="AG494" s="847"/>
      <c r="AH494" s="847"/>
      <c r="AI494" s="847"/>
      <c r="AJ494" s="847"/>
      <c r="AK494" s="847"/>
      <c r="AL494" s="847"/>
      <c r="AM494" s="847"/>
      <c r="AN494" s="847"/>
      <c r="AO494" s="847"/>
      <c r="AP494" s="847"/>
      <c r="AQ494" s="847"/>
      <c r="AR494" s="847"/>
      <c r="AS494" s="847"/>
      <c r="AT494" s="847"/>
      <c r="AU494" s="847"/>
      <c r="AV494" s="847"/>
      <c r="AW494" s="847"/>
      <c r="AX494" s="847"/>
      <c r="AY494" s="847"/>
      <c r="AZ494" s="847"/>
      <c r="BA494" s="847"/>
      <c r="BB494" s="847"/>
      <c r="BC494" s="847"/>
      <c r="BD494" s="847"/>
      <c r="BE494" s="847"/>
      <c r="BF494" s="847"/>
      <c r="BG494" s="847"/>
      <c r="BH494" s="847"/>
      <c r="BI494" s="847"/>
      <c r="BJ494" s="847"/>
      <c r="BK494" s="847"/>
      <c r="BL494" s="847"/>
      <c r="BM494" s="847"/>
      <c r="BN494" s="847"/>
      <c r="BO494" s="847"/>
      <c r="BP494" s="847"/>
      <c r="BQ494" s="847"/>
      <c r="BR494" s="847"/>
      <c r="BS494" s="847"/>
      <c r="BT494" s="847"/>
      <c r="BU494" s="847"/>
      <c r="BV494" s="847"/>
      <c r="BW494" s="847"/>
      <c r="BX494" s="847"/>
      <c r="BY494" s="847"/>
      <c r="BZ494" s="847"/>
      <c r="CA494" s="847"/>
      <c r="CB494" s="847"/>
      <c r="CC494" s="847"/>
      <c r="CD494" s="847"/>
      <c r="CE494" s="847"/>
      <c r="CF494" s="847"/>
      <c r="CG494" s="847"/>
      <c r="CH494" s="847"/>
      <c r="CI494" s="847"/>
      <c r="CJ494" s="847"/>
      <c r="CK494" s="847"/>
      <c r="CL494" s="847"/>
      <c r="CM494" s="847"/>
      <c r="CN494" s="847"/>
      <c r="CO494" s="847"/>
      <c r="CP494" s="847"/>
      <c r="CQ494" s="847"/>
      <c r="CR494" s="847"/>
      <c r="CS494" s="847"/>
      <c r="CT494" s="847"/>
      <c r="CU494" s="847"/>
      <c r="CV494" s="847"/>
      <c r="CW494" s="847"/>
      <c r="CX494" s="847"/>
      <c r="CY494" s="847"/>
      <c r="CZ494" s="847"/>
      <c r="DA494" s="847"/>
      <c r="DB494" s="847"/>
      <c r="DC494" s="847"/>
      <c r="DD494" s="847"/>
      <c r="DE494" s="847"/>
      <c r="DF494" s="847"/>
      <c r="DG494" s="847"/>
      <c r="DH494" s="847"/>
      <c r="DI494" s="847"/>
      <c r="DJ494" s="847"/>
      <c r="DK494" s="847"/>
      <c r="DL494" s="847"/>
      <c r="DM494" s="1212"/>
      <c r="DN494" s="1222" t="e">
        <f>'Lead &amp; ANALYSIS'!#REF!*#REF!+'Lead &amp; ANALYSIS'!#REF!*#REF!</f>
        <v>#REF!</v>
      </c>
      <c r="DO494" s="1013" t="e">
        <f>ROUND(C494*DN494,2)</f>
        <v>#REF!</v>
      </c>
      <c r="DP494" s="847"/>
      <c r="DQ494" s="1013"/>
      <c r="DR494" s="1225"/>
      <c r="DS494" s="1013"/>
      <c r="DT494" s="1225"/>
      <c r="DU494" s="1214"/>
      <c r="DV494" s="1242"/>
      <c r="DW494" s="1232"/>
      <c r="DX494" s="1222"/>
      <c r="DY494" s="847"/>
      <c r="DZ494" s="847"/>
      <c r="EA494" s="847"/>
      <c r="EB494" s="847"/>
      <c r="EC494" s="847"/>
      <c r="ED494" s="847"/>
      <c r="EE494" s="847"/>
      <c r="EF494" s="847"/>
      <c r="EG494" s="1212"/>
      <c r="EH494" s="847"/>
      <c r="EI494" s="1212"/>
    </row>
    <row r="495" spans="1:139" s="733" customFormat="1" ht="13.5">
      <c r="A495" s="1009"/>
      <c r="B495" s="1212" t="str">
        <f t="shared" si="21"/>
        <v>ii.Slushy Soil</v>
      </c>
      <c r="C495" s="1213">
        <v>0</v>
      </c>
      <c r="D495" s="1013" t="s">
        <v>49</v>
      </c>
      <c r="E495" s="847"/>
      <c r="F495" s="1013"/>
      <c r="G495" s="847"/>
      <c r="H495" s="1013"/>
      <c r="I495" s="847"/>
      <c r="J495" s="1013"/>
      <c r="K495" s="847"/>
      <c r="L495" s="1013"/>
      <c r="M495" s="847"/>
      <c r="N495" s="1013"/>
      <c r="O495" s="847"/>
      <c r="P495" s="1013"/>
      <c r="Q495" s="847"/>
      <c r="R495" s="847"/>
      <c r="S495" s="847"/>
      <c r="T495" s="847"/>
      <c r="U495" s="847"/>
      <c r="V495" s="847"/>
      <c r="W495" s="847"/>
      <c r="X495" s="847"/>
      <c r="Y495" s="847"/>
      <c r="Z495" s="847"/>
      <c r="AA495" s="847"/>
      <c r="AB495" s="847"/>
      <c r="AC495" s="847"/>
      <c r="AD495" s="847"/>
      <c r="AE495" s="847"/>
      <c r="AF495" s="847"/>
      <c r="AG495" s="847"/>
      <c r="AH495" s="847"/>
      <c r="AI495" s="847"/>
      <c r="AJ495" s="847"/>
      <c r="AK495" s="847"/>
      <c r="AL495" s="847"/>
      <c r="AM495" s="847"/>
      <c r="AN495" s="847"/>
      <c r="AO495" s="847"/>
      <c r="AP495" s="847"/>
      <c r="AQ495" s="847"/>
      <c r="AR495" s="847"/>
      <c r="AS495" s="847"/>
      <c r="AT495" s="847"/>
      <c r="AU495" s="847"/>
      <c r="AV495" s="847"/>
      <c r="AW495" s="847"/>
      <c r="AX495" s="847"/>
      <c r="AY495" s="847"/>
      <c r="AZ495" s="847"/>
      <c r="BA495" s="847"/>
      <c r="BB495" s="847"/>
      <c r="BC495" s="847"/>
      <c r="BD495" s="847"/>
      <c r="BE495" s="847"/>
      <c r="BF495" s="847"/>
      <c r="BG495" s="847"/>
      <c r="BH495" s="847"/>
      <c r="BI495" s="847"/>
      <c r="BJ495" s="847"/>
      <c r="BK495" s="847"/>
      <c r="BL495" s="847"/>
      <c r="BM495" s="847"/>
      <c r="BN495" s="847"/>
      <c r="BO495" s="847"/>
      <c r="BP495" s="847"/>
      <c r="BQ495" s="847"/>
      <c r="BR495" s="847"/>
      <c r="BS495" s="847"/>
      <c r="BT495" s="847"/>
      <c r="BU495" s="847"/>
      <c r="BV495" s="847"/>
      <c r="BW495" s="847"/>
      <c r="BX495" s="847"/>
      <c r="BY495" s="847"/>
      <c r="BZ495" s="847"/>
      <c r="CA495" s="847"/>
      <c r="CB495" s="847"/>
      <c r="CC495" s="847"/>
      <c r="CD495" s="847"/>
      <c r="CE495" s="847"/>
      <c r="CF495" s="847"/>
      <c r="CG495" s="847"/>
      <c r="CH495" s="847"/>
      <c r="CI495" s="847"/>
      <c r="CJ495" s="847"/>
      <c r="CK495" s="847"/>
      <c r="CL495" s="847"/>
      <c r="CM495" s="847"/>
      <c r="CN495" s="847"/>
      <c r="CO495" s="847"/>
      <c r="CP495" s="847"/>
      <c r="CQ495" s="847"/>
      <c r="CR495" s="847"/>
      <c r="CS495" s="847"/>
      <c r="CT495" s="847"/>
      <c r="CU495" s="847"/>
      <c r="CV495" s="847"/>
      <c r="CW495" s="847"/>
      <c r="CX495" s="847"/>
      <c r="CY495" s="847"/>
      <c r="CZ495" s="847"/>
      <c r="DA495" s="847"/>
      <c r="DB495" s="847"/>
      <c r="DC495" s="847"/>
      <c r="DD495" s="847"/>
      <c r="DE495" s="847"/>
      <c r="DF495" s="847"/>
      <c r="DG495" s="847"/>
      <c r="DH495" s="847"/>
      <c r="DI495" s="847"/>
      <c r="DJ495" s="847"/>
      <c r="DK495" s="847"/>
      <c r="DL495" s="847"/>
      <c r="DM495" s="1212"/>
      <c r="DN495" s="1222" t="e">
        <f>'Lead &amp; ANALYSIS'!#REF!*#REF!+'Lead &amp; ANALYSIS'!#REF!*#REF!</f>
        <v>#REF!</v>
      </c>
      <c r="DO495" s="1013" t="e">
        <f>ROUND(C495*DN495,2)</f>
        <v>#REF!</v>
      </c>
      <c r="DP495" s="847"/>
      <c r="DQ495" s="1013"/>
      <c r="DR495" s="1225"/>
      <c r="DS495" s="1013"/>
      <c r="DT495" s="1225"/>
      <c r="DU495" s="1214"/>
      <c r="DV495" s="1242"/>
      <c r="DW495" s="1232"/>
      <c r="DX495" s="1222"/>
      <c r="DY495" s="847"/>
      <c r="DZ495" s="847"/>
      <c r="EA495" s="847"/>
      <c r="EB495" s="847"/>
      <c r="EC495" s="847"/>
      <c r="ED495" s="847"/>
      <c r="EE495" s="847"/>
      <c r="EF495" s="847"/>
      <c r="EG495" s="1212"/>
      <c r="EH495" s="847"/>
      <c r="EI495" s="1212"/>
    </row>
    <row r="496" spans="1:139" s="733" customFormat="1" ht="13.5">
      <c r="A496" s="1009"/>
      <c r="B496" s="1212" t="str">
        <f t="shared" si="21"/>
        <v>iii.Hard Sooil</v>
      </c>
      <c r="C496" s="1213">
        <v>0</v>
      </c>
      <c r="D496" s="1013" t="s">
        <v>49</v>
      </c>
      <c r="E496" s="847"/>
      <c r="F496" s="1013"/>
      <c r="G496" s="847"/>
      <c r="H496" s="1013"/>
      <c r="I496" s="847"/>
      <c r="J496" s="1013"/>
      <c r="K496" s="847"/>
      <c r="L496" s="1013"/>
      <c r="M496" s="847"/>
      <c r="N496" s="1013"/>
      <c r="O496" s="847"/>
      <c r="P496" s="1013"/>
      <c r="Q496" s="847"/>
      <c r="R496" s="847"/>
      <c r="S496" s="847"/>
      <c r="T496" s="847"/>
      <c r="U496" s="847"/>
      <c r="V496" s="847"/>
      <c r="W496" s="847"/>
      <c r="X496" s="847"/>
      <c r="Y496" s="847"/>
      <c r="Z496" s="847"/>
      <c r="AA496" s="847"/>
      <c r="AB496" s="847"/>
      <c r="AC496" s="847"/>
      <c r="AD496" s="847"/>
      <c r="AE496" s="847"/>
      <c r="AF496" s="847"/>
      <c r="AG496" s="847"/>
      <c r="AH496" s="847"/>
      <c r="AI496" s="847"/>
      <c r="AJ496" s="847"/>
      <c r="AK496" s="847"/>
      <c r="AL496" s="847"/>
      <c r="AM496" s="847"/>
      <c r="AN496" s="847"/>
      <c r="AO496" s="847"/>
      <c r="AP496" s="847"/>
      <c r="AQ496" s="847"/>
      <c r="AR496" s="847"/>
      <c r="AS496" s="847"/>
      <c r="AT496" s="847"/>
      <c r="AU496" s="847"/>
      <c r="AV496" s="847"/>
      <c r="AW496" s="847"/>
      <c r="AX496" s="847"/>
      <c r="AY496" s="847"/>
      <c r="AZ496" s="847"/>
      <c r="BA496" s="847"/>
      <c r="BB496" s="847"/>
      <c r="BC496" s="847"/>
      <c r="BD496" s="847"/>
      <c r="BE496" s="847"/>
      <c r="BF496" s="847"/>
      <c r="BG496" s="847"/>
      <c r="BH496" s="847"/>
      <c r="BI496" s="847"/>
      <c r="BJ496" s="847"/>
      <c r="BK496" s="847"/>
      <c r="BL496" s="847"/>
      <c r="BM496" s="847"/>
      <c r="BN496" s="847"/>
      <c r="BO496" s="847"/>
      <c r="BP496" s="847"/>
      <c r="BQ496" s="847"/>
      <c r="BR496" s="847"/>
      <c r="BS496" s="847"/>
      <c r="BT496" s="847"/>
      <c r="BU496" s="847"/>
      <c r="BV496" s="847"/>
      <c r="BW496" s="847"/>
      <c r="BX496" s="847"/>
      <c r="BY496" s="847"/>
      <c r="BZ496" s="847"/>
      <c r="CA496" s="847"/>
      <c r="CB496" s="847"/>
      <c r="CC496" s="847"/>
      <c r="CD496" s="847"/>
      <c r="CE496" s="847"/>
      <c r="CF496" s="847"/>
      <c r="CG496" s="847"/>
      <c r="CH496" s="847"/>
      <c r="CI496" s="847"/>
      <c r="CJ496" s="847"/>
      <c r="CK496" s="847"/>
      <c r="CL496" s="847"/>
      <c r="CM496" s="847"/>
      <c r="CN496" s="847"/>
      <c r="CO496" s="847"/>
      <c r="CP496" s="847"/>
      <c r="CQ496" s="847"/>
      <c r="CR496" s="847"/>
      <c r="CS496" s="847"/>
      <c r="CT496" s="847"/>
      <c r="CU496" s="847"/>
      <c r="CV496" s="847"/>
      <c r="CW496" s="847"/>
      <c r="CX496" s="847"/>
      <c r="CY496" s="847"/>
      <c r="CZ496" s="847"/>
      <c r="DA496" s="847"/>
      <c r="DB496" s="847"/>
      <c r="DC496" s="847"/>
      <c r="DD496" s="847"/>
      <c r="DE496" s="847"/>
      <c r="DF496" s="847"/>
      <c r="DG496" s="847"/>
      <c r="DH496" s="847"/>
      <c r="DI496" s="847"/>
      <c r="DJ496" s="847"/>
      <c r="DK496" s="847"/>
      <c r="DL496" s="847"/>
      <c r="DM496" s="1212"/>
      <c r="DN496" s="1222" t="e">
        <f>'Lead &amp; ANALYSIS'!#REF!*#REF!+'Lead &amp; ANALYSIS'!#REF!*#REF!</f>
        <v>#REF!</v>
      </c>
      <c r="DO496" s="1013" t="e">
        <f>ROUND(C496*DN496,2)</f>
        <v>#REF!</v>
      </c>
      <c r="DP496" s="847"/>
      <c r="DQ496" s="1013"/>
      <c r="DR496" s="1225"/>
      <c r="DS496" s="1013"/>
      <c r="DT496" s="1225"/>
      <c r="DU496" s="1214"/>
      <c r="DV496" s="1242"/>
      <c r="DW496" s="1232"/>
      <c r="DX496" s="1222"/>
      <c r="DY496" s="847"/>
      <c r="DZ496" s="847"/>
      <c r="EA496" s="847"/>
      <c r="EB496" s="847"/>
      <c r="EC496" s="847"/>
      <c r="ED496" s="847"/>
      <c r="EE496" s="847"/>
      <c r="EF496" s="847"/>
      <c r="EG496" s="1212"/>
      <c r="EH496" s="847"/>
      <c r="EI496" s="1212"/>
    </row>
    <row r="497" spans="1:139" s="733" customFormat="1" ht="13.5">
      <c r="A497" s="1009"/>
      <c r="B497" s="1212" t="str">
        <f t="shared" si="21"/>
        <v>IV.Stony Earth</v>
      </c>
      <c r="C497" s="1213">
        <v>0</v>
      </c>
      <c r="D497" s="1013" t="s">
        <v>49</v>
      </c>
      <c r="E497" s="847"/>
      <c r="F497" s="1013"/>
      <c r="G497" s="847"/>
      <c r="H497" s="1013"/>
      <c r="I497" s="847"/>
      <c r="J497" s="1013"/>
      <c r="K497" s="847"/>
      <c r="L497" s="1013"/>
      <c r="M497" s="847"/>
      <c r="N497" s="1013"/>
      <c r="O497" s="847"/>
      <c r="P497" s="1013"/>
      <c r="Q497" s="847"/>
      <c r="R497" s="847"/>
      <c r="S497" s="847"/>
      <c r="T497" s="847"/>
      <c r="U497" s="847"/>
      <c r="V497" s="847"/>
      <c r="W497" s="847"/>
      <c r="X497" s="847"/>
      <c r="Y497" s="847"/>
      <c r="Z497" s="847"/>
      <c r="AA497" s="847"/>
      <c r="AB497" s="847"/>
      <c r="AC497" s="847"/>
      <c r="AD497" s="847"/>
      <c r="AE497" s="847"/>
      <c r="AF497" s="847"/>
      <c r="AG497" s="847"/>
      <c r="AH497" s="847"/>
      <c r="AI497" s="847"/>
      <c r="AJ497" s="847"/>
      <c r="AK497" s="847"/>
      <c r="AL497" s="847"/>
      <c r="AM497" s="847"/>
      <c r="AN497" s="847"/>
      <c r="AO497" s="847"/>
      <c r="AP497" s="847"/>
      <c r="AQ497" s="847"/>
      <c r="AR497" s="847"/>
      <c r="AS497" s="847"/>
      <c r="AT497" s="847"/>
      <c r="AU497" s="847"/>
      <c r="AV497" s="847"/>
      <c r="AW497" s="847"/>
      <c r="AX497" s="847"/>
      <c r="AY497" s="847"/>
      <c r="AZ497" s="847"/>
      <c r="BA497" s="847"/>
      <c r="BB497" s="847"/>
      <c r="BC497" s="847"/>
      <c r="BD497" s="847"/>
      <c r="BE497" s="847"/>
      <c r="BF497" s="847"/>
      <c r="BG497" s="847"/>
      <c r="BH497" s="847"/>
      <c r="BI497" s="847"/>
      <c r="BJ497" s="847"/>
      <c r="BK497" s="847"/>
      <c r="BL497" s="847"/>
      <c r="BM497" s="847"/>
      <c r="BN497" s="847"/>
      <c r="BO497" s="847"/>
      <c r="BP497" s="847"/>
      <c r="BQ497" s="847"/>
      <c r="BR497" s="847"/>
      <c r="BS497" s="847"/>
      <c r="BT497" s="847"/>
      <c r="BU497" s="847"/>
      <c r="BV497" s="847"/>
      <c r="BW497" s="847"/>
      <c r="BX497" s="847"/>
      <c r="BY497" s="847"/>
      <c r="BZ497" s="847"/>
      <c r="CA497" s="847"/>
      <c r="CB497" s="847"/>
      <c r="CC497" s="847"/>
      <c r="CD497" s="847"/>
      <c r="CE497" s="847"/>
      <c r="CF497" s="847"/>
      <c r="CG497" s="847"/>
      <c r="CH497" s="847"/>
      <c r="CI497" s="847"/>
      <c r="CJ497" s="847"/>
      <c r="CK497" s="847"/>
      <c r="CL497" s="847"/>
      <c r="CM497" s="847"/>
      <c r="CN497" s="847"/>
      <c r="CO497" s="847"/>
      <c r="CP497" s="847"/>
      <c r="CQ497" s="847"/>
      <c r="CR497" s="847"/>
      <c r="CS497" s="847"/>
      <c r="CT497" s="847"/>
      <c r="CU497" s="847"/>
      <c r="CV497" s="847"/>
      <c r="CW497" s="847"/>
      <c r="CX497" s="847"/>
      <c r="CY497" s="847"/>
      <c r="CZ497" s="847"/>
      <c r="DA497" s="847"/>
      <c r="DB497" s="847"/>
      <c r="DC497" s="847"/>
      <c r="DD497" s="847"/>
      <c r="DE497" s="847"/>
      <c r="DF497" s="847"/>
      <c r="DG497" s="847"/>
      <c r="DH497" s="847"/>
      <c r="DI497" s="847"/>
      <c r="DJ497" s="847"/>
      <c r="DK497" s="847"/>
      <c r="DL497" s="847"/>
      <c r="DM497" s="1212"/>
      <c r="DN497" s="1222" t="e">
        <f>'Lead &amp; ANALYSIS'!#REF!*#REF!+'Lead &amp; ANALYSIS'!#REF!*#REF!</f>
        <v>#REF!</v>
      </c>
      <c r="DO497" s="1013" t="e">
        <f>ROUND(C497*DN497,2)</f>
        <v>#REF!</v>
      </c>
      <c r="DP497" s="847"/>
      <c r="DQ497" s="1013"/>
      <c r="DR497" s="1225"/>
      <c r="DS497" s="1013"/>
      <c r="DT497" s="1225"/>
      <c r="DU497" s="1214"/>
      <c r="DV497" s="1242"/>
      <c r="DW497" s="1232"/>
      <c r="DX497" s="1222"/>
      <c r="DY497" s="847"/>
      <c r="DZ497" s="847"/>
      <c r="EA497" s="847"/>
      <c r="EB497" s="847"/>
      <c r="EC497" s="847"/>
      <c r="ED497" s="847"/>
      <c r="EE497" s="847"/>
      <c r="EF497" s="847"/>
      <c r="EG497" s="1212"/>
      <c r="EH497" s="847"/>
      <c r="EI497" s="1212"/>
    </row>
    <row r="498" spans="1:139" s="733" customFormat="1" ht="13.5">
      <c r="A498" s="1009"/>
      <c r="B498" s="1212" t="str">
        <f t="shared" si="21"/>
        <v>V.All Kinds of Soil</v>
      </c>
      <c r="C498" s="1213">
        <v>0</v>
      </c>
      <c r="D498" s="1013" t="s">
        <v>49</v>
      </c>
      <c r="E498" s="847"/>
      <c r="F498" s="1013"/>
      <c r="G498" s="847"/>
      <c r="H498" s="1013"/>
      <c r="I498" s="847"/>
      <c r="J498" s="1013"/>
      <c r="K498" s="847"/>
      <c r="L498" s="1013"/>
      <c r="M498" s="847"/>
      <c r="N498" s="1013"/>
      <c r="O498" s="847"/>
      <c r="P498" s="1013"/>
      <c r="Q498" s="847"/>
      <c r="R498" s="847"/>
      <c r="S498" s="847"/>
      <c r="T498" s="847"/>
      <c r="U498" s="847"/>
      <c r="V498" s="847"/>
      <c r="W498" s="847"/>
      <c r="X498" s="847"/>
      <c r="Y498" s="847"/>
      <c r="Z498" s="847"/>
      <c r="AA498" s="847"/>
      <c r="AB498" s="847"/>
      <c r="AC498" s="847"/>
      <c r="AD498" s="847"/>
      <c r="AE498" s="847"/>
      <c r="AF498" s="847"/>
      <c r="AG498" s="847"/>
      <c r="AH498" s="847"/>
      <c r="AI498" s="847"/>
      <c r="AJ498" s="847"/>
      <c r="AK498" s="847"/>
      <c r="AL498" s="847"/>
      <c r="AM498" s="847"/>
      <c r="AN498" s="847"/>
      <c r="AO498" s="847"/>
      <c r="AP498" s="847"/>
      <c r="AQ498" s="847"/>
      <c r="AR498" s="847"/>
      <c r="AS498" s="847"/>
      <c r="AT498" s="847"/>
      <c r="AU498" s="847"/>
      <c r="AV498" s="847"/>
      <c r="AW498" s="847"/>
      <c r="AX498" s="847"/>
      <c r="AY498" s="847"/>
      <c r="AZ498" s="847"/>
      <c r="BA498" s="847"/>
      <c r="BB498" s="847"/>
      <c r="BC498" s="847"/>
      <c r="BD498" s="847"/>
      <c r="BE498" s="847"/>
      <c r="BF498" s="847"/>
      <c r="BG498" s="847"/>
      <c r="BH498" s="847"/>
      <c r="BI498" s="847"/>
      <c r="BJ498" s="847"/>
      <c r="BK498" s="847"/>
      <c r="BL498" s="847"/>
      <c r="BM498" s="847"/>
      <c r="BN498" s="847"/>
      <c r="BO498" s="847"/>
      <c r="BP498" s="847"/>
      <c r="BQ498" s="847"/>
      <c r="BR498" s="847"/>
      <c r="BS498" s="847"/>
      <c r="BT498" s="847"/>
      <c r="BU498" s="847"/>
      <c r="BV498" s="847"/>
      <c r="BW498" s="847"/>
      <c r="BX498" s="847"/>
      <c r="BY498" s="847"/>
      <c r="BZ498" s="847"/>
      <c r="CA498" s="847"/>
      <c r="CB498" s="847"/>
      <c r="CC498" s="847"/>
      <c r="CD498" s="847"/>
      <c r="CE498" s="847"/>
      <c r="CF498" s="847"/>
      <c r="CG498" s="847"/>
      <c r="CH498" s="847"/>
      <c r="CI498" s="847"/>
      <c r="CJ498" s="847"/>
      <c r="CK498" s="847"/>
      <c r="CL498" s="847"/>
      <c r="CM498" s="847"/>
      <c r="CN498" s="847"/>
      <c r="CO498" s="847"/>
      <c r="CP498" s="847"/>
      <c r="CQ498" s="847"/>
      <c r="CR498" s="847"/>
      <c r="CS498" s="847"/>
      <c r="CT498" s="847"/>
      <c r="CU498" s="847"/>
      <c r="CV498" s="847"/>
      <c r="CW498" s="847"/>
      <c r="CX498" s="847"/>
      <c r="CY498" s="847"/>
      <c r="CZ498" s="847"/>
      <c r="DA498" s="847"/>
      <c r="DB498" s="847"/>
      <c r="DC498" s="847"/>
      <c r="DD498" s="847"/>
      <c r="DE498" s="847"/>
      <c r="DF498" s="847"/>
      <c r="DG498" s="847"/>
      <c r="DH498" s="847"/>
      <c r="DI498" s="847"/>
      <c r="DJ498" s="847"/>
      <c r="DK498" s="847"/>
      <c r="DL498" s="847"/>
      <c r="DM498" s="1212"/>
      <c r="DN498" s="1222" t="e">
        <f>'Lead &amp; ANALYSIS'!#REF!*#REF!+'Lead &amp; ANALYSIS'!#REF!*#REF!</f>
        <v>#REF!</v>
      </c>
      <c r="DO498" s="1013" t="e">
        <f>ROUND(C498*DN498,2)</f>
        <v>#REF!</v>
      </c>
      <c r="DP498" s="847"/>
      <c r="DQ498" s="1013"/>
      <c r="DR498" s="1225"/>
      <c r="DS498" s="1013"/>
      <c r="DT498" s="1225"/>
      <c r="DU498" s="1214"/>
      <c r="DV498" s="1242"/>
      <c r="DW498" s="1232"/>
      <c r="DX498" s="1222"/>
      <c r="DY498" s="847"/>
      <c r="DZ498" s="847"/>
      <c r="EA498" s="847"/>
      <c r="EB498" s="847"/>
      <c r="EC498" s="847"/>
      <c r="ED498" s="847"/>
      <c r="EE498" s="847"/>
      <c r="EF498" s="847"/>
      <c r="EG498" s="1212"/>
      <c r="EH498" s="847"/>
      <c r="EI498" s="1212"/>
    </row>
    <row r="499" spans="1:139" s="733" customFormat="1" ht="13.5">
      <c r="A499" s="1009"/>
      <c r="B499" s="1245" t="str">
        <f t="shared" si="21"/>
        <v>C. 3RD DEPTH OF 1.5MTR</v>
      </c>
      <c r="C499" s="1213">
        <v>0</v>
      </c>
      <c r="D499" s="1013" t="s">
        <v>49</v>
      </c>
      <c r="E499" s="847"/>
      <c r="F499" s="1013"/>
      <c r="G499" s="847"/>
      <c r="H499" s="1013"/>
      <c r="I499" s="847"/>
      <c r="J499" s="1013"/>
      <c r="K499" s="847"/>
      <c r="L499" s="1013"/>
      <c r="M499" s="847"/>
      <c r="N499" s="1013"/>
      <c r="O499" s="847"/>
      <c r="P499" s="1013"/>
      <c r="Q499" s="847"/>
      <c r="R499" s="847"/>
      <c r="S499" s="847"/>
      <c r="T499" s="847"/>
      <c r="U499" s="847"/>
      <c r="V499" s="847"/>
      <c r="W499" s="847"/>
      <c r="X499" s="847"/>
      <c r="Y499" s="847"/>
      <c r="Z499" s="847"/>
      <c r="AA499" s="847"/>
      <c r="AB499" s="847"/>
      <c r="AC499" s="847"/>
      <c r="AD499" s="847"/>
      <c r="AE499" s="847"/>
      <c r="AF499" s="847"/>
      <c r="AG499" s="847"/>
      <c r="AH499" s="847"/>
      <c r="AI499" s="847"/>
      <c r="AJ499" s="847"/>
      <c r="AK499" s="847"/>
      <c r="AL499" s="847"/>
      <c r="AM499" s="847"/>
      <c r="AN499" s="847"/>
      <c r="AO499" s="847"/>
      <c r="AP499" s="847"/>
      <c r="AQ499" s="847"/>
      <c r="AR499" s="847"/>
      <c r="AS499" s="847"/>
      <c r="AT499" s="847"/>
      <c r="AU499" s="847"/>
      <c r="AV499" s="847"/>
      <c r="AW499" s="847"/>
      <c r="AX499" s="847"/>
      <c r="AY499" s="847"/>
      <c r="AZ499" s="847"/>
      <c r="BA499" s="847"/>
      <c r="BB499" s="847"/>
      <c r="BC499" s="847"/>
      <c r="BD499" s="847"/>
      <c r="BE499" s="847"/>
      <c r="BF499" s="847"/>
      <c r="BG499" s="847"/>
      <c r="BH499" s="847"/>
      <c r="BI499" s="847"/>
      <c r="BJ499" s="847"/>
      <c r="BK499" s="847"/>
      <c r="BL499" s="847"/>
      <c r="BM499" s="847"/>
      <c r="BN499" s="847"/>
      <c r="BO499" s="847"/>
      <c r="BP499" s="847"/>
      <c r="BQ499" s="847"/>
      <c r="BR499" s="847"/>
      <c r="BS499" s="847"/>
      <c r="BT499" s="847"/>
      <c r="BU499" s="847"/>
      <c r="BV499" s="847"/>
      <c r="BW499" s="847"/>
      <c r="BX499" s="847"/>
      <c r="BY499" s="847"/>
      <c r="BZ499" s="847"/>
      <c r="CA499" s="847"/>
      <c r="CB499" s="847"/>
      <c r="CC499" s="847"/>
      <c r="CD499" s="847"/>
      <c r="CE499" s="847"/>
      <c r="CF499" s="847"/>
      <c r="CG499" s="847"/>
      <c r="CH499" s="847"/>
      <c r="CI499" s="847"/>
      <c r="CJ499" s="847"/>
      <c r="CK499" s="847"/>
      <c r="CL499" s="847"/>
      <c r="CM499" s="847"/>
      <c r="CN499" s="847"/>
      <c r="CO499" s="847"/>
      <c r="CP499" s="847"/>
      <c r="CQ499" s="847"/>
      <c r="CR499" s="847"/>
      <c r="CS499" s="847"/>
      <c r="CT499" s="847"/>
      <c r="CU499" s="847"/>
      <c r="CV499" s="847"/>
      <c r="CW499" s="847"/>
      <c r="CX499" s="847"/>
      <c r="CY499" s="847"/>
      <c r="CZ499" s="847"/>
      <c r="DA499" s="847"/>
      <c r="DB499" s="847"/>
      <c r="DC499" s="847"/>
      <c r="DD499" s="847"/>
      <c r="DE499" s="847"/>
      <c r="DF499" s="847"/>
      <c r="DG499" s="847"/>
      <c r="DH499" s="847"/>
      <c r="DI499" s="847"/>
      <c r="DJ499" s="847"/>
      <c r="DK499" s="847"/>
      <c r="DL499" s="847"/>
      <c r="DM499" s="1212"/>
      <c r="DN499" s="1222"/>
      <c r="DO499" s="1013"/>
      <c r="DP499" s="847"/>
      <c r="DQ499" s="1013"/>
      <c r="DR499" s="1225"/>
      <c r="DS499" s="1013"/>
      <c r="DT499" s="1225"/>
      <c r="DU499" s="1214"/>
      <c r="DV499" s="1242"/>
      <c r="DW499" s="1232"/>
      <c r="DX499" s="1222"/>
      <c r="DY499" s="847"/>
      <c r="DZ499" s="847"/>
      <c r="EA499" s="847"/>
      <c r="EB499" s="847"/>
      <c r="EC499" s="847"/>
      <c r="ED499" s="847"/>
      <c r="EE499" s="847"/>
      <c r="EF499" s="847"/>
      <c r="EG499" s="1212"/>
      <c r="EH499" s="847"/>
      <c r="EI499" s="1212"/>
    </row>
    <row r="500" spans="1:139" s="733" customFormat="1" ht="13.5">
      <c r="A500" s="1009"/>
      <c r="B500" s="1212" t="str">
        <f t="shared" si="21"/>
        <v>i.Ordinary Soil.</v>
      </c>
      <c r="C500" s="1213">
        <v>0</v>
      </c>
      <c r="D500" s="1013" t="s">
        <v>49</v>
      </c>
      <c r="E500" s="847"/>
      <c r="F500" s="1013"/>
      <c r="G500" s="847"/>
      <c r="H500" s="1013"/>
      <c r="I500" s="847"/>
      <c r="J500" s="1013"/>
      <c r="K500" s="847"/>
      <c r="L500" s="1013"/>
      <c r="M500" s="847"/>
      <c r="N500" s="1013"/>
      <c r="O500" s="847"/>
      <c r="P500" s="1013"/>
      <c r="Q500" s="847"/>
      <c r="R500" s="847"/>
      <c r="S500" s="847"/>
      <c r="T500" s="847"/>
      <c r="U500" s="847"/>
      <c r="V500" s="847"/>
      <c r="W500" s="847"/>
      <c r="X500" s="847"/>
      <c r="Y500" s="847"/>
      <c r="Z500" s="847"/>
      <c r="AA500" s="847"/>
      <c r="AB500" s="847"/>
      <c r="AC500" s="847"/>
      <c r="AD500" s="847"/>
      <c r="AE500" s="847"/>
      <c r="AF500" s="847"/>
      <c r="AG500" s="847"/>
      <c r="AH500" s="847"/>
      <c r="AI500" s="847"/>
      <c r="AJ500" s="847"/>
      <c r="AK500" s="847"/>
      <c r="AL500" s="847"/>
      <c r="AM500" s="847"/>
      <c r="AN500" s="847"/>
      <c r="AO500" s="847"/>
      <c r="AP500" s="847"/>
      <c r="AQ500" s="847"/>
      <c r="AR500" s="847"/>
      <c r="AS500" s="847"/>
      <c r="AT500" s="847"/>
      <c r="AU500" s="847"/>
      <c r="AV500" s="847"/>
      <c r="AW500" s="847"/>
      <c r="AX500" s="847"/>
      <c r="AY500" s="847"/>
      <c r="AZ500" s="847"/>
      <c r="BA500" s="847"/>
      <c r="BB500" s="847"/>
      <c r="BC500" s="847"/>
      <c r="BD500" s="847"/>
      <c r="BE500" s="847"/>
      <c r="BF500" s="847"/>
      <c r="BG500" s="847"/>
      <c r="BH500" s="847"/>
      <c r="BI500" s="847"/>
      <c r="BJ500" s="847"/>
      <c r="BK500" s="847"/>
      <c r="BL500" s="847"/>
      <c r="BM500" s="847"/>
      <c r="BN500" s="847"/>
      <c r="BO500" s="847"/>
      <c r="BP500" s="847"/>
      <c r="BQ500" s="847"/>
      <c r="BR500" s="847"/>
      <c r="BS500" s="847"/>
      <c r="BT500" s="847"/>
      <c r="BU500" s="847"/>
      <c r="BV500" s="847"/>
      <c r="BW500" s="847"/>
      <c r="BX500" s="847"/>
      <c r="BY500" s="847"/>
      <c r="BZ500" s="847"/>
      <c r="CA500" s="847"/>
      <c r="CB500" s="847"/>
      <c r="CC500" s="847"/>
      <c r="CD500" s="847"/>
      <c r="CE500" s="847"/>
      <c r="CF500" s="847"/>
      <c r="CG500" s="847"/>
      <c r="CH500" s="847"/>
      <c r="CI500" s="847"/>
      <c r="CJ500" s="847"/>
      <c r="CK500" s="847"/>
      <c r="CL500" s="847"/>
      <c r="CM500" s="847"/>
      <c r="CN500" s="847"/>
      <c r="CO500" s="847"/>
      <c r="CP500" s="847"/>
      <c r="CQ500" s="847"/>
      <c r="CR500" s="847"/>
      <c r="CS500" s="847"/>
      <c r="CT500" s="847"/>
      <c r="CU500" s="847"/>
      <c r="CV500" s="847"/>
      <c r="CW500" s="847"/>
      <c r="CX500" s="847"/>
      <c r="CY500" s="847"/>
      <c r="CZ500" s="847"/>
      <c r="DA500" s="847"/>
      <c r="DB500" s="847"/>
      <c r="DC500" s="847"/>
      <c r="DD500" s="847"/>
      <c r="DE500" s="847"/>
      <c r="DF500" s="847"/>
      <c r="DG500" s="847"/>
      <c r="DH500" s="847"/>
      <c r="DI500" s="847"/>
      <c r="DJ500" s="847"/>
      <c r="DK500" s="847"/>
      <c r="DL500" s="847"/>
      <c r="DM500" s="1212"/>
      <c r="DN500" s="1222" t="e">
        <f>'Lead &amp; ANALYSIS'!#REF!*#REF!+'Lead &amp; ANALYSIS'!#REF!*#REF!</f>
        <v>#REF!</v>
      </c>
      <c r="DO500" s="1013" t="e">
        <f>ROUND(C500*DN500,2)</f>
        <v>#REF!</v>
      </c>
      <c r="DP500" s="847"/>
      <c r="DQ500" s="1013"/>
      <c r="DR500" s="1225"/>
      <c r="DS500" s="1013"/>
      <c r="DT500" s="1225"/>
      <c r="DU500" s="1214"/>
      <c r="DV500" s="1242"/>
      <c r="DW500" s="1232"/>
      <c r="DX500" s="1222"/>
      <c r="DY500" s="847"/>
      <c r="DZ500" s="847"/>
      <c r="EA500" s="847"/>
      <c r="EB500" s="847"/>
      <c r="EC500" s="847"/>
      <c r="ED500" s="847"/>
      <c r="EE500" s="847"/>
      <c r="EF500" s="847"/>
      <c r="EG500" s="1212"/>
      <c r="EH500" s="847"/>
      <c r="EI500" s="1212"/>
    </row>
    <row r="501" spans="1:139" s="733" customFormat="1" ht="13.5">
      <c r="A501" s="1009"/>
      <c r="B501" s="1212" t="str">
        <f t="shared" si="21"/>
        <v>ii.Slushy Soil</v>
      </c>
      <c r="C501" s="1213">
        <v>0</v>
      </c>
      <c r="D501" s="1013" t="s">
        <v>49</v>
      </c>
      <c r="E501" s="847"/>
      <c r="F501" s="1013"/>
      <c r="G501" s="847"/>
      <c r="H501" s="1013"/>
      <c r="I501" s="847"/>
      <c r="J501" s="1013"/>
      <c r="K501" s="847"/>
      <c r="L501" s="1013"/>
      <c r="M501" s="847"/>
      <c r="N501" s="1013"/>
      <c r="O501" s="847"/>
      <c r="P501" s="1013"/>
      <c r="Q501" s="847"/>
      <c r="R501" s="847"/>
      <c r="S501" s="847"/>
      <c r="T501" s="847"/>
      <c r="U501" s="847"/>
      <c r="V501" s="847"/>
      <c r="W501" s="847"/>
      <c r="X501" s="847"/>
      <c r="Y501" s="847"/>
      <c r="Z501" s="847"/>
      <c r="AA501" s="847"/>
      <c r="AB501" s="847"/>
      <c r="AC501" s="847"/>
      <c r="AD501" s="847"/>
      <c r="AE501" s="847"/>
      <c r="AF501" s="847"/>
      <c r="AG501" s="847"/>
      <c r="AH501" s="847"/>
      <c r="AI501" s="847"/>
      <c r="AJ501" s="847"/>
      <c r="AK501" s="847"/>
      <c r="AL501" s="847"/>
      <c r="AM501" s="847"/>
      <c r="AN501" s="847"/>
      <c r="AO501" s="847"/>
      <c r="AP501" s="847"/>
      <c r="AQ501" s="847"/>
      <c r="AR501" s="847"/>
      <c r="AS501" s="847"/>
      <c r="AT501" s="847"/>
      <c r="AU501" s="847"/>
      <c r="AV501" s="847"/>
      <c r="AW501" s="847"/>
      <c r="AX501" s="847"/>
      <c r="AY501" s="847"/>
      <c r="AZ501" s="847"/>
      <c r="BA501" s="847"/>
      <c r="BB501" s="847"/>
      <c r="BC501" s="847"/>
      <c r="BD501" s="847"/>
      <c r="BE501" s="847"/>
      <c r="BF501" s="847"/>
      <c r="BG501" s="847"/>
      <c r="BH501" s="847"/>
      <c r="BI501" s="847"/>
      <c r="BJ501" s="847"/>
      <c r="BK501" s="847"/>
      <c r="BL501" s="847"/>
      <c r="BM501" s="847"/>
      <c r="BN501" s="847"/>
      <c r="BO501" s="847"/>
      <c r="BP501" s="847"/>
      <c r="BQ501" s="847"/>
      <c r="BR501" s="847"/>
      <c r="BS501" s="847"/>
      <c r="BT501" s="847"/>
      <c r="BU501" s="847"/>
      <c r="BV501" s="847"/>
      <c r="BW501" s="847"/>
      <c r="BX501" s="847"/>
      <c r="BY501" s="847"/>
      <c r="BZ501" s="847"/>
      <c r="CA501" s="847"/>
      <c r="CB501" s="847"/>
      <c r="CC501" s="847"/>
      <c r="CD501" s="847"/>
      <c r="CE501" s="847"/>
      <c r="CF501" s="847"/>
      <c r="CG501" s="847"/>
      <c r="CH501" s="847"/>
      <c r="CI501" s="847"/>
      <c r="CJ501" s="847"/>
      <c r="CK501" s="847"/>
      <c r="CL501" s="847"/>
      <c r="CM501" s="847"/>
      <c r="CN501" s="847"/>
      <c r="CO501" s="847"/>
      <c r="CP501" s="847"/>
      <c r="CQ501" s="847"/>
      <c r="CR501" s="847"/>
      <c r="CS501" s="847"/>
      <c r="CT501" s="847"/>
      <c r="CU501" s="847"/>
      <c r="CV501" s="847"/>
      <c r="CW501" s="847"/>
      <c r="CX501" s="847"/>
      <c r="CY501" s="847"/>
      <c r="CZ501" s="847"/>
      <c r="DA501" s="847"/>
      <c r="DB501" s="847"/>
      <c r="DC501" s="847"/>
      <c r="DD501" s="847"/>
      <c r="DE501" s="847"/>
      <c r="DF501" s="847"/>
      <c r="DG501" s="847"/>
      <c r="DH501" s="847"/>
      <c r="DI501" s="847"/>
      <c r="DJ501" s="847"/>
      <c r="DK501" s="847"/>
      <c r="DL501" s="847"/>
      <c r="DM501" s="1212"/>
      <c r="DN501" s="1222" t="e">
        <f>'Lead &amp; ANALYSIS'!#REF!*#REF!+'Lead &amp; ANALYSIS'!#REF!*#REF!</f>
        <v>#REF!</v>
      </c>
      <c r="DO501" s="1013" t="e">
        <f>ROUND(C501*DN501,2)</f>
        <v>#REF!</v>
      </c>
      <c r="DP501" s="847"/>
      <c r="DQ501" s="1013"/>
      <c r="DR501" s="1225"/>
      <c r="DS501" s="1013"/>
      <c r="DT501" s="1225"/>
      <c r="DU501" s="1214"/>
      <c r="DV501" s="1242"/>
      <c r="DW501" s="1232"/>
      <c r="DX501" s="1222"/>
      <c r="DY501" s="847"/>
      <c r="DZ501" s="847"/>
      <c r="EA501" s="847"/>
      <c r="EB501" s="847"/>
      <c r="EC501" s="847"/>
      <c r="ED501" s="847"/>
      <c r="EE501" s="847"/>
      <c r="EF501" s="847"/>
      <c r="EG501" s="1212"/>
      <c r="EH501" s="847"/>
      <c r="EI501" s="1212"/>
    </row>
    <row r="502" spans="1:139" s="733" customFormat="1" ht="13.5">
      <c r="A502" s="1009"/>
      <c r="B502" s="1212" t="str">
        <f t="shared" si="21"/>
        <v>iii.Hard Sooil</v>
      </c>
      <c r="C502" s="1213">
        <v>0</v>
      </c>
      <c r="D502" s="1013" t="s">
        <v>49</v>
      </c>
      <c r="E502" s="847"/>
      <c r="F502" s="1013"/>
      <c r="G502" s="847"/>
      <c r="H502" s="1013"/>
      <c r="I502" s="847"/>
      <c r="J502" s="1013"/>
      <c r="K502" s="847"/>
      <c r="L502" s="1013"/>
      <c r="M502" s="847"/>
      <c r="N502" s="1013"/>
      <c r="O502" s="847"/>
      <c r="P502" s="1013"/>
      <c r="Q502" s="847"/>
      <c r="R502" s="847"/>
      <c r="S502" s="847"/>
      <c r="T502" s="847"/>
      <c r="U502" s="847"/>
      <c r="V502" s="847"/>
      <c r="W502" s="847"/>
      <c r="X502" s="847"/>
      <c r="Y502" s="847"/>
      <c r="Z502" s="847"/>
      <c r="AA502" s="847"/>
      <c r="AB502" s="847"/>
      <c r="AC502" s="847"/>
      <c r="AD502" s="847"/>
      <c r="AE502" s="847"/>
      <c r="AF502" s="847"/>
      <c r="AG502" s="847"/>
      <c r="AH502" s="847"/>
      <c r="AI502" s="847"/>
      <c r="AJ502" s="847"/>
      <c r="AK502" s="847"/>
      <c r="AL502" s="847"/>
      <c r="AM502" s="847"/>
      <c r="AN502" s="847"/>
      <c r="AO502" s="847"/>
      <c r="AP502" s="847"/>
      <c r="AQ502" s="847"/>
      <c r="AR502" s="847"/>
      <c r="AS502" s="847"/>
      <c r="AT502" s="847"/>
      <c r="AU502" s="847"/>
      <c r="AV502" s="847"/>
      <c r="AW502" s="847"/>
      <c r="AX502" s="847"/>
      <c r="AY502" s="847"/>
      <c r="AZ502" s="847"/>
      <c r="BA502" s="847"/>
      <c r="BB502" s="847"/>
      <c r="BC502" s="847"/>
      <c r="BD502" s="847"/>
      <c r="BE502" s="847"/>
      <c r="BF502" s="847"/>
      <c r="BG502" s="847"/>
      <c r="BH502" s="847"/>
      <c r="BI502" s="847"/>
      <c r="BJ502" s="847"/>
      <c r="BK502" s="847"/>
      <c r="BL502" s="847"/>
      <c r="BM502" s="847"/>
      <c r="BN502" s="847"/>
      <c r="BO502" s="847"/>
      <c r="BP502" s="847"/>
      <c r="BQ502" s="847"/>
      <c r="BR502" s="847"/>
      <c r="BS502" s="847"/>
      <c r="BT502" s="847"/>
      <c r="BU502" s="847"/>
      <c r="BV502" s="847"/>
      <c r="BW502" s="847"/>
      <c r="BX502" s="847"/>
      <c r="BY502" s="847"/>
      <c r="BZ502" s="847"/>
      <c r="CA502" s="847"/>
      <c r="CB502" s="847"/>
      <c r="CC502" s="847"/>
      <c r="CD502" s="847"/>
      <c r="CE502" s="847"/>
      <c r="CF502" s="847"/>
      <c r="CG502" s="847"/>
      <c r="CH502" s="847"/>
      <c r="CI502" s="847"/>
      <c r="CJ502" s="847"/>
      <c r="CK502" s="847"/>
      <c r="CL502" s="847"/>
      <c r="CM502" s="847"/>
      <c r="CN502" s="847"/>
      <c r="CO502" s="847"/>
      <c r="CP502" s="847"/>
      <c r="CQ502" s="847"/>
      <c r="CR502" s="847"/>
      <c r="CS502" s="847"/>
      <c r="CT502" s="847"/>
      <c r="CU502" s="847"/>
      <c r="CV502" s="847"/>
      <c r="CW502" s="847"/>
      <c r="CX502" s="847"/>
      <c r="CY502" s="847"/>
      <c r="CZ502" s="847"/>
      <c r="DA502" s="847"/>
      <c r="DB502" s="847"/>
      <c r="DC502" s="847"/>
      <c r="DD502" s="847"/>
      <c r="DE502" s="847"/>
      <c r="DF502" s="847"/>
      <c r="DG502" s="847"/>
      <c r="DH502" s="847"/>
      <c r="DI502" s="847"/>
      <c r="DJ502" s="847"/>
      <c r="DK502" s="847"/>
      <c r="DL502" s="847"/>
      <c r="DM502" s="1212"/>
      <c r="DN502" s="1222" t="e">
        <f>'Lead &amp; ANALYSIS'!#REF!*#REF!+'Lead &amp; ANALYSIS'!#REF!*#REF!</f>
        <v>#REF!</v>
      </c>
      <c r="DO502" s="1013" t="e">
        <f>ROUND(C502*DN502,2)</f>
        <v>#REF!</v>
      </c>
      <c r="DP502" s="847"/>
      <c r="DQ502" s="1013"/>
      <c r="DR502" s="1225"/>
      <c r="DS502" s="1013"/>
      <c r="DT502" s="1225"/>
      <c r="DU502" s="1214"/>
      <c r="DV502" s="1242"/>
      <c r="DW502" s="1232"/>
      <c r="DX502" s="1222"/>
      <c r="DY502" s="847"/>
      <c r="DZ502" s="847"/>
      <c r="EA502" s="847"/>
      <c r="EB502" s="847"/>
      <c r="EC502" s="847"/>
      <c r="ED502" s="847"/>
      <c r="EE502" s="847"/>
      <c r="EF502" s="847"/>
      <c r="EG502" s="1212"/>
      <c r="EH502" s="847"/>
      <c r="EI502" s="1212"/>
    </row>
    <row r="503" spans="1:139" s="733" customFormat="1" ht="13.5">
      <c r="A503" s="1009"/>
      <c r="B503" s="1212" t="str">
        <f t="shared" si="21"/>
        <v>IV.Stony Earth</v>
      </c>
      <c r="C503" s="1213">
        <v>0</v>
      </c>
      <c r="D503" s="1013" t="s">
        <v>49</v>
      </c>
      <c r="E503" s="847"/>
      <c r="F503" s="1013"/>
      <c r="G503" s="847"/>
      <c r="H503" s="1013"/>
      <c r="I503" s="847"/>
      <c r="J503" s="1013"/>
      <c r="K503" s="847"/>
      <c r="L503" s="1013"/>
      <c r="M503" s="847"/>
      <c r="N503" s="1013"/>
      <c r="O503" s="847"/>
      <c r="P503" s="1013"/>
      <c r="Q503" s="847"/>
      <c r="R503" s="847"/>
      <c r="S503" s="847"/>
      <c r="T503" s="847"/>
      <c r="U503" s="847"/>
      <c r="V503" s="847"/>
      <c r="W503" s="847"/>
      <c r="X503" s="847"/>
      <c r="Y503" s="847"/>
      <c r="Z503" s="847"/>
      <c r="AA503" s="847"/>
      <c r="AB503" s="847"/>
      <c r="AC503" s="847"/>
      <c r="AD503" s="847"/>
      <c r="AE503" s="847"/>
      <c r="AF503" s="847"/>
      <c r="AG503" s="847"/>
      <c r="AH503" s="847"/>
      <c r="AI503" s="847"/>
      <c r="AJ503" s="847"/>
      <c r="AK503" s="847"/>
      <c r="AL503" s="847"/>
      <c r="AM503" s="847"/>
      <c r="AN503" s="847"/>
      <c r="AO503" s="847"/>
      <c r="AP503" s="847"/>
      <c r="AQ503" s="847"/>
      <c r="AR503" s="847"/>
      <c r="AS503" s="847"/>
      <c r="AT503" s="847"/>
      <c r="AU503" s="847"/>
      <c r="AV503" s="847"/>
      <c r="AW503" s="847"/>
      <c r="AX503" s="847"/>
      <c r="AY503" s="847"/>
      <c r="AZ503" s="847"/>
      <c r="BA503" s="847"/>
      <c r="BB503" s="847"/>
      <c r="BC503" s="847"/>
      <c r="BD503" s="847"/>
      <c r="BE503" s="847"/>
      <c r="BF503" s="847"/>
      <c r="BG503" s="847"/>
      <c r="BH503" s="847"/>
      <c r="BI503" s="847"/>
      <c r="BJ503" s="847"/>
      <c r="BK503" s="847"/>
      <c r="BL503" s="847"/>
      <c r="BM503" s="847"/>
      <c r="BN503" s="847"/>
      <c r="BO503" s="847"/>
      <c r="BP503" s="847"/>
      <c r="BQ503" s="847"/>
      <c r="BR503" s="847"/>
      <c r="BS503" s="847"/>
      <c r="BT503" s="847"/>
      <c r="BU503" s="847"/>
      <c r="BV503" s="847"/>
      <c r="BW503" s="847"/>
      <c r="BX503" s="847"/>
      <c r="BY503" s="847"/>
      <c r="BZ503" s="847"/>
      <c r="CA503" s="847"/>
      <c r="CB503" s="847"/>
      <c r="CC503" s="847"/>
      <c r="CD503" s="847"/>
      <c r="CE503" s="847"/>
      <c r="CF503" s="847"/>
      <c r="CG503" s="847"/>
      <c r="CH503" s="847"/>
      <c r="CI503" s="847"/>
      <c r="CJ503" s="847"/>
      <c r="CK503" s="847"/>
      <c r="CL503" s="847"/>
      <c r="CM503" s="847"/>
      <c r="CN503" s="847"/>
      <c r="CO503" s="847"/>
      <c r="CP503" s="847"/>
      <c r="CQ503" s="847"/>
      <c r="CR503" s="847"/>
      <c r="CS503" s="847"/>
      <c r="CT503" s="847"/>
      <c r="CU503" s="847"/>
      <c r="CV503" s="847"/>
      <c r="CW503" s="847"/>
      <c r="CX503" s="847"/>
      <c r="CY503" s="847"/>
      <c r="CZ503" s="847"/>
      <c r="DA503" s="847"/>
      <c r="DB503" s="847"/>
      <c r="DC503" s="847"/>
      <c r="DD503" s="847"/>
      <c r="DE503" s="847"/>
      <c r="DF503" s="847"/>
      <c r="DG503" s="847"/>
      <c r="DH503" s="847"/>
      <c r="DI503" s="847"/>
      <c r="DJ503" s="847"/>
      <c r="DK503" s="847"/>
      <c r="DL503" s="847"/>
      <c r="DM503" s="1212"/>
      <c r="DN503" s="1222" t="e">
        <f>'Lead &amp; ANALYSIS'!#REF!*#REF!+'Lead &amp; ANALYSIS'!#REF!*#REF!</f>
        <v>#REF!</v>
      </c>
      <c r="DO503" s="1013" t="e">
        <f>ROUND(C503*DN503,2)</f>
        <v>#REF!</v>
      </c>
      <c r="DP503" s="847"/>
      <c r="DQ503" s="1013"/>
      <c r="DR503" s="1225"/>
      <c r="DS503" s="1013"/>
      <c r="DT503" s="1225"/>
      <c r="DU503" s="1214"/>
      <c r="DV503" s="1242"/>
      <c r="DW503" s="1232"/>
      <c r="DX503" s="1222"/>
      <c r="DY503" s="847"/>
      <c r="DZ503" s="847"/>
      <c r="EA503" s="847"/>
      <c r="EB503" s="847"/>
      <c r="EC503" s="847"/>
      <c r="ED503" s="847"/>
      <c r="EE503" s="847"/>
      <c r="EF503" s="847"/>
      <c r="EG503" s="1212"/>
      <c r="EH503" s="847"/>
      <c r="EI503" s="1212"/>
    </row>
    <row r="504" spans="1:139" s="733" customFormat="1" ht="13.5">
      <c r="A504" s="1009"/>
      <c r="B504" s="1212" t="str">
        <f t="shared" si="21"/>
        <v>V.All Kinds of Soil</v>
      </c>
      <c r="C504" s="1213">
        <v>0</v>
      </c>
      <c r="D504" s="1013" t="s">
        <v>49</v>
      </c>
      <c r="E504" s="847"/>
      <c r="F504" s="1013"/>
      <c r="G504" s="847"/>
      <c r="H504" s="1013"/>
      <c r="I504" s="847"/>
      <c r="J504" s="1013"/>
      <c r="K504" s="847"/>
      <c r="L504" s="1013"/>
      <c r="M504" s="847"/>
      <c r="N504" s="1013"/>
      <c r="O504" s="847"/>
      <c r="P504" s="1013"/>
      <c r="Q504" s="847"/>
      <c r="R504" s="847"/>
      <c r="S504" s="847"/>
      <c r="T504" s="847"/>
      <c r="U504" s="847"/>
      <c r="V504" s="847"/>
      <c r="W504" s="847"/>
      <c r="X504" s="847"/>
      <c r="Y504" s="847"/>
      <c r="Z504" s="847"/>
      <c r="AA504" s="847"/>
      <c r="AB504" s="847"/>
      <c r="AC504" s="847"/>
      <c r="AD504" s="847"/>
      <c r="AE504" s="847"/>
      <c r="AF504" s="847"/>
      <c r="AG504" s="847"/>
      <c r="AH504" s="847"/>
      <c r="AI504" s="847"/>
      <c r="AJ504" s="847"/>
      <c r="AK504" s="847"/>
      <c r="AL504" s="847"/>
      <c r="AM504" s="847"/>
      <c r="AN504" s="847"/>
      <c r="AO504" s="847"/>
      <c r="AP504" s="847"/>
      <c r="AQ504" s="847"/>
      <c r="AR504" s="847"/>
      <c r="AS504" s="847"/>
      <c r="AT504" s="847"/>
      <c r="AU504" s="847"/>
      <c r="AV504" s="847"/>
      <c r="AW504" s="847"/>
      <c r="AX504" s="847"/>
      <c r="AY504" s="847"/>
      <c r="AZ504" s="847"/>
      <c r="BA504" s="847"/>
      <c r="BB504" s="847"/>
      <c r="BC504" s="847"/>
      <c r="BD504" s="847"/>
      <c r="BE504" s="847"/>
      <c r="BF504" s="847"/>
      <c r="BG504" s="847"/>
      <c r="BH504" s="847"/>
      <c r="BI504" s="847"/>
      <c r="BJ504" s="847"/>
      <c r="BK504" s="847"/>
      <c r="BL504" s="847"/>
      <c r="BM504" s="847"/>
      <c r="BN504" s="847"/>
      <c r="BO504" s="847"/>
      <c r="BP504" s="847"/>
      <c r="BQ504" s="847"/>
      <c r="BR504" s="847"/>
      <c r="BS504" s="847"/>
      <c r="BT504" s="847"/>
      <c r="BU504" s="847"/>
      <c r="BV504" s="847"/>
      <c r="BW504" s="847"/>
      <c r="BX504" s="847"/>
      <c r="BY504" s="847"/>
      <c r="BZ504" s="847"/>
      <c r="CA504" s="847"/>
      <c r="CB504" s="847"/>
      <c r="CC504" s="847"/>
      <c r="CD504" s="847"/>
      <c r="CE504" s="847"/>
      <c r="CF504" s="847"/>
      <c r="CG504" s="847"/>
      <c r="CH504" s="847"/>
      <c r="CI504" s="847"/>
      <c r="CJ504" s="847"/>
      <c r="CK504" s="847"/>
      <c r="CL504" s="847"/>
      <c r="CM504" s="847"/>
      <c r="CN504" s="847"/>
      <c r="CO504" s="847"/>
      <c r="CP504" s="847"/>
      <c r="CQ504" s="847"/>
      <c r="CR504" s="847"/>
      <c r="CS504" s="847"/>
      <c r="CT504" s="847"/>
      <c r="CU504" s="847"/>
      <c r="CV504" s="847"/>
      <c r="CW504" s="847"/>
      <c r="CX504" s="847"/>
      <c r="CY504" s="847"/>
      <c r="CZ504" s="847"/>
      <c r="DA504" s="847"/>
      <c r="DB504" s="847"/>
      <c r="DC504" s="847"/>
      <c r="DD504" s="847"/>
      <c r="DE504" s="847"/>
      <c r="DF504" s="847"/>
      <c r="DG504" s="847"/>
      <c r="DH504" s="847"/>
      <c r="DI504" s="847"/>
      <c r="DJ504" s="847"/>
      <c r="DK504" s="847"/>
      <c r="DL504" s="847"/>
      <c r="DM504" s="1212"/>
      <c r="DN504" s="1222" t="e">
        <f>'Lead &amp; ANALYSIS'!#REF!*#REF!+'Lead &amp; ANALYSIS'!#REF!*#REF!</f>
        <v>#REF!</v>
      </c>
      <c r="DO504" s="1013" t="e">
        <f>ROUND(C504*DN504,2)</f>
        <v>#REF!</v>
      </c>
      <c r="DP504" s="847"/>
      <c r="DQ504" s="1013"/>
      <c r="DR504" s="1225"/>
      <c r="DS504" s="1013"/>
      <c r="DT504" s="1225"/>
      <c r="DU504" s="1214"/>
      <c r="DV504" s="1242"/>
      <c r="DW504" s="1232"/>
      <c r="DX504" s="1222"/>
      <c r="DY504" s="847"/>
      <c r="DZ504" s="847"/>
      <c r="EA504" s="847"/>
      <c r="EB504" s="847"/>
      <c r="EC504" s="847"/>
      <c r="ED504" s="847"/>
      <c r="EE504" s="847"/>
      <c r="EF504" s="847"/>
      <c r="EG504" s="1212"/>
      <c r="EH504" s="847"/>
      <c r="EI504" s="1212"/>
    </row>
    <row r="505" spans="1:139" s="733" customFormat="1" ht="13.5">
      <c r="A505" s="1009"/>
      <c r="B505" s="1245" t="str">
        <f t="shared" si="21"/>
        <v>D. 4TH DEPTH OF 1.5MTR</v>
      </c>
      <c r="C505" s="1213">
        <v>0</v>
      </c>
      <c r="D505" s="1013" t="s">
        <v>49</v>
      </c>
      <c r="E505" s="847"/>
      <c r="F505" s="1013"/>
      <c r="G505" s="847"/>
      <c r="H505" s="1013"/>
      <c r="I505" s="847"/>
      <c r="J505" s="1013"/>
      <c r="K505" s="847"/>
      <c r="L505" s="1013"/>
      <c r="M505" s="847"/>
      <c r="N505" s="1013"/>
      <c r="O505" s="847"/>
      <c r="P505" s="1013"/>
      <c r="Q505" s="847"/>
      <c r="R505" s="847"/>
      <c r="S505" s="847"/>
      <c r="T505" s="847"/>
      <c r="U505" s="847"/>
      <c r="V505" s="847"/>
      <c r="W505" s="847"/>
      <c r="X505" s="847"/>
      <c r="Y505" s="847"/>
      <c r="Z505" s="847"/>
      <c r="AA505" s="847"/>
      <c r="AB505" s="847"/>
      <c r="AC505" s="847"/>
      <c r="AD505" s="847"/>
      <c r="AE505" s="847"/>
      <c r="AF505" s="847"/>
      <c r="AG505" s="847"/>
      <c r="AH505" s="847"/>
      <c r="AI505" s="847"/>
      <c r="AJ505" s="847"/>
      <c r="AK505" s="847"/>
      <c r="AL505" s="847"/>
      <c r="AM505" s="847"/>
      <c r="AN505" s="847"/>
      <c r="AO505" s="847"/>
      <c r="AP505" s="847"/>
      <c r="AQ505" s="847"/>
      <c r="AR505" s="847"/>
      <c r="AS505" s="847"/>
      <c r="AT505" s="847"/>
      <c r="AU505" s="847"/>
      <c r="AV505" s="847"/>
      <c r="AW505" s="847"/>
      <c r="AX505" s="847"/>
      <c r="AY505" s="847"/>
      <c r="AZ505" s="847"/>
      <c r="BA505" s="847"/>
      <c r="BB505" s="847"/>
      <c r="BC505" s="847"/>
      <c r="BD505" s="847"/>
      <c r="BE505" s="847"/>
      <c r="BF505" s="847"/>
      <c r="BG505" s="847"/>
      <c r="BH505" s="847"/>
      <c r="BI505" s="847"/>
      <c r="BJ505" s="847"/>
      <c r="BK505" s="847"/>
      <c r="BL505" s="847"/>
      <c r="BM505" s="847"/>
      <c r="BN505" s="847"/>
      <c r="BO505" s="847"/>
      <c r="BP505" s="847"/>
      <c r="BQ505" s="847"/>
      <c r="BR505" s="847"/>
      <c r="BS505" s="847"/>
      <c r="BT505" s="847"/>
      <c r="BU505" s="847"/>
      <c r="BV505" s="847"/>
      <c r="BW505" s="847"/>
      <c r="BX505" s="847"/>
      <c r="BY505" s="847"/>
      <c r="BZ505" s="847"/>
      <c r="CA505" s="847"/>
      <c r="CB505" s="847"/>
      <c r="CC505" s="847"/>
      <c r="CD505" s="847"/>
      <c r="CE505" s="847"/>
      <c r="CF505" s="847"/>
      <c r="CG505" s="847"/>
      <c r="CH505" s="847"/>
      <c r="CI505" s="847"/>
      <c r="CJ505" s="847"/>
      <c r="CK505" s="847"/>
      <c r="CL505" s="847"/>
      <c r="CM505" s="847"/>
      <c r="CN505" s="847"/>
      <c r="CO505" s="847"/>
      <c r="CP505" s="847"/>
      <c r="CQ505" s="847"/>
      <c r="CR505" s="847"/>
      <c r="CS505" s="847"/>
      <c r="CT505" s="847"/>
      <c r="CU505" s="847"/>
      <c r="CV505" s="847"/>
      <c r="CW505" s="847"/>
      <c r="CX505" s="847"/>
      <c r="CY505" s="847"/>
      <c r="CZ505" s="847"/>
      <c r="DA505" s="847"/>
      <c r="DB505" s="847"/>
      <c r="DC505" s="847"/>
      <c r="DD505" s="847"/>
      <c r="DE505" s="847"/>
      <c r="DF505" s="847"/>
      <c r="DG505" s="847"/>
      <c r="DH505" s="847"/>
      <c r="DI505" s="847"/>
      <c r="DJ505" s="847"/>
      <c r="DK505" s="847"/>
      <c r="DL505" s="847"/>
      <c r="DM505" s="1212"/>
      <c r="DN505" s="1222"/>
      <c r="DO505" s="1013"/>
      <c r="DP505" s="847"/>
      <c r="DQ505" s="1013"/>
      <c r="DR505" s="1225"/>
      <c r="DS505" s="1013"/>
      <c r="DT505" s="1225"/>
      <c r="DU505" s="1214"/>
      <c r="DV505" s="1242"/>
      <c r="DW505" s="1232"/>
      <c r="DX505" s="1222"/>
      <c r="DY505" s="847"/>
      <c r="DZ505" s="847"/>
      <c r="EA505" s="847"/>
      <c r="EB505" s="847"/>
      <c r="EC505" s="847"/>
      <c r="ED505" s="847"/>
      <c r="EE505" s="847"/>
      <c r="EF505" s="847"/>
      <c r="EG505" s="1212"/>
      <c r="EH505" s="847"/>
      <c r="EI505" s="1212"/>
    </row>
    <row r="506" spans="1:139" s="733" customFormat="1" ht="13.5">
      <c r="A506" s="1009"/>
      <c r="B506" s="1212" t="str">
        <f>B457</f>
        <v>i.Ordinary Soil.</v>
      </c>
      <c r="C506" s="1213">
        <v>0</v>
      </c>
      <c r="D506" s="1013" t="s">
        <v>49</v>
      </c>
      <c r="E506" s="847"/>
      <c r="F506" s="1013"/>
      <c r="G506" s="847"/>
      <c r="H506" s="1013"/>
      <c r="I506" s="847"/>
      <c r="J506" s="1013"/>
      <c r="K506" s="847"/>
      <c r="L506" s="1013"/>
      <c r="M506" s="847"/>
      <c r="N506" s="1013"/>
      <c r="O506" s="847"/>
      <c r="P506" s="1013"/>
      <c r="Q506" s="847"/>
      <c r="R506" s="847"/>
      <c r="S506" s="847"/>
      <c r="T506" s="847"/>
      <c r="U506" s="847"/>
      <c r="V506" s="847"/>
      <c r="W506" s="847"/>
      <c r="X506" s="847"/>
      <c r="Y506" s="847"/>
      <c r="Z506" s="847"/>
      <c r="AA506" s="847"/>
      <c r="AB506" s="847"/>
      <c r="AC506" s="847"/>
      <c r="AD506" s="847"/>
      <c r="AE506" s="847"/>
      <c r="AF506" s="847"/>
      <c r="AG506" s="847"/>
      <c r="AH506" s="847"/>
      <c r="AI506" s="847"/>
      <c r="AJ506" s="847"/>
      <c r="AK506" s="847"/>
      <c r="AL506" s="847"/>
      <c r="AM506" s="847"/>
      <c r="AN506" s="847"/>
      <c r="AO506" s="847"/>
      <c r="AP506" s="847"/>
      <c r="AQ506" s="847"/>
      <c r="AR506" s="847"/>
      <c r="AS506" s="847"/>
      <c r="AT506" s="847"/>
      <c r="AU506" s="847"/>
      <c r="AV506" s="847"/>
      <c r="AW506" s="847"/>
      <c r="AX506" s="847"/>
      <c r="AY506" s="847"/>
      <c r="AZ506" s="847"/>
      <c r="BA506" s="847"/>
      <c r="BB506" s="847"/>
      <c r="BC506" s="847"/>
      <c r="BD506" s="847"/>
      <c r="BE506" s="847"/>
      <c r="BF506" s="847"/>
      <c r="BG506" s="847"/>
      <c r="BH506" s="847"/>
      <c r="BI506" s="847"/>
      <c r="BJ506" s="847"/>
      <c r="BK506" s="847"/>
      <c r="BL506" s="847"/>
      <c r="BM506" s="847"/>
      <c r="BN506" s="847"/>
      <c r="BO506" s="847"/>
      <c r="BP506" s="847"/>
      <c r="BQ506" s="847"/>
      <c r="BR506" s="847"/>
      <c r="BS506" s="847"/>
      <c r="BT506" s="847"/>
      <c r="BU506" s="847"/>
      <c r="BV506" s="847"/>
      <c r="BW506" s="847"/>
      <c r="BX506" s="847"/>
      <c r="BY506" s="847"/>
      <c r="BZ506" s="847"/>
      <c r="CA506" s="847"/>
      <c r="CB506" s="847"/>
      <c r="CC506" s="847"/>
      <c r="CD506" s="847"/>
      <c r="CE506" s="847"/>
      <c r="CF506" s="847"/>
      <c r="CG506" s="847"/>
      <c r="CH506" s="847"/>
      <c r="CI506" s="847"/>
      <c r="CJ506" s="847"/>
      <c r="CK506" s="847"/>
      <c r="CL506" s="847"/>
      <c r="CM506" s="847"/>
      <c r="CN506" s="847"/>
      <c r="CO506" s="847"/>
      <c r="CP506" s="847"/>
      <c r="CQ506" s="847"/>
      <c r="CR506" s="847"/>
      <c r="CS506" s="847"/>
      <c r="CT506" s="847"/>
      <c r="CU506" s="847"/>
      <c r="CV506" s="847"/>
      <c r="CW506" s="847"/>
      <c r="CX506" s="847"/>
      <c r="CY506" s="847"/>
      <c r="CZ506" s="847"/>
      <c r="DA506" s="847"/>
      <c r="DB506" s="847"/>
      <c r="DC506" s="847"/>
      <c r="DD506" s="847"/>
      <c r="DE506" s="847"/>
      <c r="DF506" s="847"/>
      <c r="DG506" s="847"/>
      <c r="DH506" s="847"/>
      <c r="DI506" s="847"/>
      <c r="DJ506" s="847"/>
      <c r="DK506" s="847"/>
      <c r="DL506" s="847"/>
      <c r="DM506" s="1212"/>
      <c r="DN506" s="1222" t="e">
        <f>'Lead &amp; ANALYSIS'!#REF!*#REF!+'Lead &amp; ANALYSIS'!#REF!*#REF!</f>
        <v>#REF!</v>
      </c>
      <c r="DO506" s="1013" t="e">
        <f>ROUND(C506*DN506,2)</f>
        <v>#REF!</v>
      </c>
      <c r="DP506" s="847"/>
      <c r="DQ506" s="1013"/>
      <c r="DR506" s="1225"/>
      <c r="DS506" s="1013"/>
      <c r="DT506" s="1225"/>
      <c r="DU506" s="1214"/>
      <c r="DV506" s="1242"/>
      <c r="DW506" s="1232"/>
      <c r="DX506" s="1222"/>
      <c r="DY506" s="847"/>
      <c r="DZ506" s="847"/>
      <c r="EA506" s="847"/>
      <c r="EB506" s="847"/>
      <c r="EC506" s="847"/>
      <c r="ED506" s="847"/>
      <c r="EE506" s="847"/>
      <c r="EF506" s="847"/>
      <c r="EG506" s="1212"/>
      <c r="EH506" s="847"/>
      <c r="EI506" s="1212"/>
    </row>
    <row r="507" spans="1:139" s="733" customFormat="1" ht="13.5">
      <c r="A507" s="1009"/>
      <c r="B507" s="1212" t="str">
        <f t="shared" si="21"/>
        <v>ii.Slushy Soil</v>
      </c>
      <c r="C507" s="1213">
        <v>0</v>
      </c>
      <c r="D507" s="1013" t="s">
        <v>49</v>
      </c>
      <c r="E507" s="847"/>
      <c r="F507" s="1013"/>
      <c r="G507" s="847"/>
      <c r="H507" s="1013"/>
      <c r="I507" s="847"/>
      <c r="J507" s="1013"/>
      <c r="K507" s="847"/>
      <c r="L507" s="1013"/>
      <c r="M507" s="847"/>
      <c r="N507" s="1013"/>
      <c r="O507" s="847"/>
      <c r="P507" s="1013"/>
      <c r="Q507" s="847"/>
      <c r="R507" s="847"/>
      <c r="S507" s="847"/>
      <c r="T507" s="847"/>
      <c r="U507" s="847"/>
      <c r="V507" s="847"/>
      <c r="W507" s="847"/>
      <c r="X507" s="847"/>
      <c r="Y507" s="847"/>
      <c r="Z507" s="847"/>
      <c r="AA507" s="847"/>
      <c r="AB507" s="847"/>
      <c r="AC507" s="847"/>
      <c r="AD507" s="847"/>
      <c r="AE507" s="847"/>
      <c r="AF507" s="847"/>
      <c r="AG507" s="847"/>
      <c r="AH507" s="847"/>
      <c r="AI507" s="847"/>
      <c r="AJ507" s="847"/>
      <c r="AK507" s="847"/>
      <c r="AL507" s="847"/>
      <c r="AM507" s="847"/>
      <c r="AN507" s="847"/>
      <c r="AO507" s="847"/>
      <c r="AP507" s="847"/>
      <c r="AQ507" s="847"/>
      <c r="AR507" s="847"/>
      <c r="AS507" s="847"/>
      <c r="AT507" s="847"/>
      <c r="AU507" s="847"/>
      <c r="AV507" s="847"/>
      <c r="AW507" s="847"/>
      <c r="AX507" s="847"/>
      <c r="AY507" s="847"/>
      <c r="AZ507" s="847"/>
      <c r="BA507" s="847"/>
      <c r="BB507" s="847"/>
      <c r="BC507" s="847"/>
      <c r="BD507" s="847"/>
      <c r="BE507" s="847"/>
      <c r="BF507" s="847"/>
      <c r="BG507" s="847"/>
      <c r="BH507" s="847"/>
      <c r="BI507" s="847"/>
      <c r="BJ507" s="847"/>
      <c r="BK507" s="847"/>
      <c r="BL507" s="847"/>
      <c r="BM507" s="847"/>
      <c r="BN507" s="847"/>
      <c r="BO507" s="847"/>
      <c r="BP507" s="847"/>
      <c r="BQ507" s="847"/>
      <c r="BR507" s="847"/>
      <c r="BS507" s="847"/>
      <c r="BT507" s="847"/>
      <c r="BU507" s="847"/>
      <c r="BV507" s="847"/>
      <c r="BW507" s="847"/>
      <c r="BX507" s="847"/>
      <c r="BY507" s="847"/>
      <c r="BZ507" s="847"/>
      <c r="CA507" s="847"/>
      <c r="CB507" s="847"/>
      <c r="CC507" s="847"/>
      <c r="CD507" s="847"/>
      <c r="CE507" s="847"/>
      <c r="CF507" s="847"/>
      <c r="CG507" s="847"/>
      <c r="CH507" s="847"/>
      <c r="CI507" s="847"/>
      <c r="CJ507" s="847"/>
      <c r="CK507" s="847"/>
      <c r="CL507" s="847"/>
      <c r="CM507" s="847"/>
      <c r="CN507" s="847"/>
      <c r="CO507" s="847"/>
      <c r="CP507" s="847"/>
      <c r="CQ507" s="847"/>
      <c r="CR507" s="847"/>
      <c r="CS507" s="847"/>
      <c r="CT507" s="847"/>
      <c r="CU507" s="847"/>
      <c r="CV507" s="847"/>
      <c r="CW507" s="847"/>
      <c r="CX507" s="847"/>
      <c r="CY507" s="847"/>
      <c r="CZ507" s="847"/>
      <c r="DA507" s="847"/>
      <c r="DB507" s="847"/>
      <c r="DC507" s="847"/>
      <c r="DD507" s="847"/>
      <c r="DE507" s="847"/>
      <c r="DF507" s="847"/>
      <c r="DG507" s="847"/>
      <c r="DH507" s="847"/>
      <c r="DI507" s="847"/>
      <c r="DJ507" s="847"/>
      <c r="DK507" s="847"/>
      <c r="DL507" s="847"/>
      <c r="DM507" s="1212"/>
      <c r="DN507" s="1222" t="e">
        <f>'Lead &amp; ANALYSIS'!#REF!*#REF!+'Lead &amp; ANALYSIS'!#REF!*#REF!</f>
        <v>#REF!</v>
      </c>
      <c r="DO507" s="1013" t="e">
        <f>ROUND(C507*DN507,2)</f>
        <v>#REF!</v>
      </c>
      <c r="DP507" s="847"/>
      <c r="DQ507" s="1013"/>
      <c r="DR507" s="1225"/>
      <c r="DS507" s="1013"/>
      <c r="DT507" s="1225"/>
      <c r="DU507" s="1214"/>
      <c r="DV507" s="1242"/>
      <c r="DW507" s="1232"/>
      <c r="DX507" s="1222"/>
      <c r="DY507" s="847"/>
      <c r="DZ507" s="847"/>
      <c r="EA507" s="847"/>
      <c r="EB507" s="847"/>
      <c r="EC507" s="847"/>
      <c r="ED507" s="847"/>
      <c r="EE507" s="847"/>
      <c r="EF507" s="847"/>
      <c r="EG507" s="1212"/>
      <c r="EH507" s="847"/>
      <c r="EI507" s="1212"/>
    </row>
    <row r="508" spans="1:139" s="733" customFormat="1" ht="13.5">
      <c r="A508" s="1009"/>
      <c r="B508" s="1212" t="str">
        <f t="shared" si="21"/>
        <v>iii.Hard Sooil</v>
      </c>
      <c r="C508" s="1213">
        <v>0</v>
      </c>
      <c r="D508" s="1013" t="s">
        <v>49</v>
      </c>
      <c r="E508" s="847"/>
      <c r="F508" s="1013"/>
      <c r="G508" s="847"/>
      <c r="H508" s="1013"/>
      <c r="I508" s="847"/>
      <c r="J508" s="1013"/>
      <c r="K508" s="847"/>
      <c r="L508" s="1013"/>
      <c r="M508" s="847"/>
      <c r="N508" s="1013"/>
      <c r="O508" s="847"/>
      <c r="P508" s="1013"/>
      <c r="Q508" s="847"/>
      <c r="R508" s="847"/>
      <c r="S508" s="847"/>
      <c r="T508" s="847"/>
      <c r="U508" s="847"/>
      <c r="V508" s="847"/>
      <c r="W508" s="847"/>
      <c r="X508" s="847"/>
      <c r="Y508" s="847"/>
      <c r="Z508" s="847"/>
      <c r="AA508" s="847"/>
      <c r="AB508" s="847"/>
      <c r="AC508" s="847"/>
      <c r="AD508" s="847"/>
      <c r="AE508" s="847"/>
      <c r="AF508" s="847"/>
      <c r="AG508" s="847"/>
      <c r="AH508" s="847"/>
      <c r="AI508" s="847"/>
      <c r="AJ508" s="847"/>
      <c r="AK508" s="847"/>
      <c r="AL508" s="847"/>
      <c r="AM508" s="847"/>
      <c r="AN508" s="847"/>
      <c r="AO508" s="847"/>
      <c r="AP508" s="847"/>
      <c r="AQ508" s="847"/>
      <c r="AR508" s="847"/>
      <c r="AS508" s="847"/>
      <c r="AT508" s="847"/>
      <c r="AU508" s="847"/>
      <c r="AV508" s="847"/>
      <c r="AW508" s="847"/>
      <c r="AX508" s="847"/>
      <c r="AY508" s="847"/>
      <c r="AZ508" s="847"/>
      <c r="BA508" s="847"/>
      <c r="BB508" s="847"/>
      <c r="BC508" s="847"/>
      <c r="BD508" s="847"/>
      <c r="BE508" s="847"/>
      <c r="BF508" s="847"/>
      <c r="BG508" s="847"/>
      <c r="BH508" s="847"/>
      <c r="BI508" s="847"/>
      <c r="BJ508" s="847"/>
      <c r="BK508" s="847"/>
      <c r="BL508" s="847"/>
      <c r="BM508" s="847"/>
      <c r="BN508" s="847"/>
      <c r="BO508" s="847"/>
      <c r="BP508" s="847"/>
      <c r="BQ508" s="847"/>
      <c r="BR508" s="847"/>
      <c r="BS508" s="847"/>
      <c r="BT508" s="847"/>
      <c r="BU508" s="847"/>
      <c r="BV508" s="847"/>
      <c r="BW508" s="847"/>
      <c r="BX508" s="847"/>
      <c r="BY508" s="847"/>
      <c r="BZ508" s="847"/>
      <c r="CA508" s="847"/>
      <c r="CB508" s="847"/>
      <c r="CC508" s="847"/>
      <c r="CD508" s="847"/>
      <c r="CE508" s="847"/>
      <c r="CF508" s="847"/>
      <c r="CG508" s="847"/>
      <c r="CH508" s="847"/>
      <c r="CI508" s="847"/>
      <c r="CJ508" s="847"/>
      <c r="CK508" s="847"/>
      <c r="CL508" s="847"/>
      <c r="CM508" s="847"/>
      <c r="CN508" s="847"/>
      <c r="CO508" s="847"/>
      <c r="CP508" s="847"/>
      <c r="CQ508" s="847"/>
      <c r="CR508" s="847"/>
      <c r="CS508" s="847"/>
      <c r="CT508" s="847"/>
      <c r="CU508" s="847"/>
      <c r="CV508" s="847"/>
      <c r="CW508" s="847"/>
      <c r="CX508" s="847"/>
      <c r="CY508" s="847"/>
      <c r="CZ508" s="847"/>
      <c r="DA508" s="847"/>
      <c r="DB508" s="847"/>
      <c r="DC508" s="847"/>
      <c r="DD508" s="847"/>
      <c r="DE508" s="847"/>
      <c r="DF508" s="847"/>
      <c r="DG508" s="847"/>
      <c r="DH508" s="847"/>
      <c r="DI508" s="847"/>
      <c r="DJ508" s="847"/>
      <c r="DK508" s="847"/>
      <c r="DL508" s="847"/>
      <c r="DM508" s="1212"/>
      <c r="DN508" s="1222" t="e">
        <f>'Lead &amp; ANALYSIS'!#REF!*#REF!+'Lead &amp; ANALYSIS'!#REF!*#REF!</f>
        <v>#REF!</v>
      </c>
      <c r="DO508" s="1013" t="e">
        <f>ROUND(C508*DN508,2)</f>
        <v>#REF!</v>
      </c>
      <c r="DP508" s="847"/>
      <c r="DQ508" s="1013"/>
      <c r="DR508" s="1225"/>
      <c r="DS508" s="1013"/>
      <c r="DT508" s="1225"/>
      <c r="DU508" s="1214"/>
      <c r="DV508" s="1242"/>
      <c r="DW508" s="1232"/>
      <c r="DX508" s="1222"/>
      <c r="DY508" s="847"/>
      <c r="DZ508" s="847"/>
      <c r="EA508" s="847"/>
      <c r="EB508" s="847"/>
      <c r="EC508" s="847"/>
      <c r="ED508" s="847"/>
      <c r="EE508" s="847"/>
      <c r="EF508" s="847"/>
      <c r="EG508" s="1212"/>
      <c r="EH508" s="847"/>
      <c r="EI508" s="1212"/>
    </row>
    <row r="509" spans="1:139" s="733" customFormat="1" ht="13.5">
      <c r="A509" s="1009"/>
      <c r="B509" s="1212" t="str">
        <f t="shared" si="21"/>
        <v>IV.Stony Earth</v>
      </c>
      <c r="C509" s="1213">
        <v>0</v>
      </c>
      <c r="D509" s="1013" t="s">
        <v>49</v>
      </c>
      <c r="E509" s="847"/>
      <c r="F509" s="1013"/>
      <c r="G509" s="847"/>
      <c r="H509" s="1013"/>
      <c r="I509" s="847"/>
      <c r="J509" s="1013"/>
      <c r="K509" s="847"/>
      <c r="L509" s="1013"/>
      <c r="M509" s="847"/>
      <c r="N509" s="1013"/>
      <c r="O509" s="847"/>
      <c r="P509" s="1013"/>
      <c r="Q509" s="847"/>
      <c r="R509" s="847"/>
      <c r="S509" s="847"/>
      <c r="T509" s="847"/>
      <c r="U509" s="847"/>
      <c r="V509" s="847"/>
      <c r="W509" s="847"/>
      <c r="X509" s="847"/>
      <c r="Y509" s="847"/>
      <c r="Z509" s="847"/>
      <c r="AA509" s="847"/>
      <c r="AB509" s="847"/>
      <c r="AC509" s="847"/>
      <c r="AD509" s="847"/>
      <c r="AE509" s="847"/>
      <c r="AF509" s="847"/>
      <c r="AG509" s="847"/>
      <c r="AH509" s="847"/>
      <c r="AI509" s="847"/>
      <c r="AJ509" s="847"/>
      <c r="AK509" s="847"/>
      <c r="AL509" s="847"/>
      <c r="AM509" s="847"/>
      <c r="AN509" s="847"/>
      <c r="AO509" s="847"/>
      <c r="AP509" s="847"/>
      <c r="AQ509" s="847"/>
      <c r="AR509" s="847"/>
      <c r="AS509" s="847"/>
      <c r="AT509" s="847"/>
      <c r="AU509" s="847"/>
      <c r="AV509" s="847"/>
      <c r="AW509" s="847"/>
      <c r="AX509" s="847"/>
      <c r="AY509" s="847"/>
      <c r="AZ509" s="847"/>
      <c r="BA509" s="847"/>
      <c r="BB509" s="847"/>
      <c r="BC509" s="847"/>
      <c r="BD509" s="847"/>
      <c r="BE509" s="847"/>
      <c r="BF509" s="847"/>
      <c r="BG509" s="847"/>
      <c r="BH509" s="847"/>
      <c r="BI509" s="847"/>
      <c r="BJ509" s="847"/>
      <c r="BK509" s="847"/>
      <c r="BL509" s="847"/>
      <c r="BM509" s="847"/>
      <c r="BN509" s="847"/>
      <c r="BO509" s="847"/>
      <c r="BP509" s="847"/>
      <c r="BQ509" s="847"/>
      <c r="BR509" s="847"/>
      <c r="BS509" s="847"/>
      <c r="BT509" s="847"/>
      <c r="BU509" s="847"/>
      <c r="BV509" s="847"/>
      <c r="BW509" s="847"/>
      <c r="BX509" s="847"/>
      <c r="BY509" s="847"/>
      <c r="BZ509" s="847"/>
      <c r="CA509" s="847"/>
      <c r="CB509" s="847"/>
      <c r="CC509" s="847"/>
      <c r="CD509" s="847"/>
      <c r="CE509" s="847"/>
      <c r="CF509" s="847"/>
      <c r="CG509" s="847"/>
      <c r="CH509" s="847"/>
      <c r="CI509" s="847"/>
      <c r="CJ509" s="847"/>
      <c r="CK509" s="847"/>
      <c r="CL509" s="847"/>
      <c r="CM509" s="847"/>
      <c r="CN509" s="847"/>
      <c r="CO509" s="847"/>
      <c r="CP509" s="847"/>
      <c r="CQ509" s="847"/>
      <c r="CR509" s="847"/>
      <c r="CS509" s="847"/>
      <c r="CT509" s="847"/>
      <c r="CU509" s="847"/>
      <c r="CV509" s="847"/>
      <c r="CW509" s="847"/>
      <c r="CX509" s="847"/>
      <c r="CY509" s="847"/>
      <c r="CZ509" s="847"/>
      <c r="DA509" s="847"/>
      <c r="DB509" s="847"/>
      <c r="DC509" s="847"/>
      <c r="DD509" s="847"/>
      <c r="DE509" s="847"/>
      <c r="DF509" s="847"/>
      <c r="DG509" s="847"/>
      <c r="DH509" s="847"/>
      <c r="DI509" s="847"/>
      <c r="DJ509" s="847"/>
      <c r="DK509" s="847"/>
      <c r="DL509" s="847"/>
      <c r="DM509" s="1212"/>
      <c r="DN509" s="1222" t="e">
        <f>'Lead &amp; ANALYSIS'!#REF!*#REF!+'Lead &amp; ANALYSIS'!#REF!*#REF!</f>
        <v>#REF!</v>
      </c>
      <c r="DO509" s="1013" t="e">
        <f>ROUND(C509*DN509,2)</f>
        <v>#REF!</v>
      </c>
      <c r="DP509" s="847"/>
      <c r="DQ509" s="1013"/>
      <c r="DR509" s="1225"/>
      <c r="DS509" s="1013"/>
      <c r="DT509" s="1225"/>
      <c r="DU509" s="1214"/>
      <c r="DV509" s="1242"/>
      <c r="DW509" s="1232"/>
      <c r="DX509" s="1222"/>
      <c r="DY509" s="847"/>
      <c r="DZ509" s="847"/>
      <c r="EA509" s="847"/>
      <c r="EB509" s="847"/>
      <c r="EC509" s="847"/>
      <c r="ED509" s="847"/>
      <c r="EE509" s="847"/>
      <c r="EF509" s="847"/>
      <c r="EG509" s="1212"/>
      <c r="EH509" s="847"/>
      <c r="EI509" s="1212"/>
    </row>
    <row r="510" spans="1:139" s="733" customFormat="1" ht="13.5">
      <c r="A510" s="1009"/>
      <c r="B510" s="1212" t="str">
        <f t="shared" si="21"/>
        <v>V.All Kinds of Soil</v>
      </c>
      <c r="C510" s="1213">
        <v>0</v>
      </c>
      <c r="D510" s="1013" t="s">
        <v>49</v>
      </c>
      <c r="E510" s="847"/>
      <c r="F510" s="1013"/>
      <c r="G510" s="847"/>
      <c r="H510" s="1013"/>
      <c r="I510" s="847"/>
      <c r="J510" s="1013"/>
      <c r="K510" s="847"/>
      <c r="L510" s="1013"/>
      <c r="M510" s="847"/>
      <c r="N510" s="1013"/>
      <c r="O510" s="847"/>
      <c r="P510" s="1013"/>
      <c r="Q510" s="847"/>
      <c r="R510" s="847"/>
      <c r="S510" s="847"/>
      <c r="T510" s="847"/>
      <c r="U510" s="847"/>
      <c r="V510" s="847"/>
      <c r="W510" s="847"/>
      <c r="X510" s="847"/>
      <c r="Y510" s="847"/>
      <c r="Z510" s="847"/>
      <c r="AA510" s="847"/>
      <c r="AB510" s="847"/>
      <c r="AC510" s="847"/>
      <c r="AD510" s="847"/>
      <c r="AE510" s="847"/>
      <c r="AF510" s="847"/>
      <c r="AG510" s="847"/>
      <c r="AH510" s="847"/>
      <c r="AI510" s="847"/>
      <c r="AJ510" s="847"/>
      <c r="AK510" s="847"/>
      <c r="AL510" s="847"/>
      <c r="AM510" s="847"/>
      <c r="AN510" s="847"/>
      <c r="AO510" s="847"/>
      <c r="AP510" s="847"/>
      <c r="AQ510" s="847"/>
      <c r="AR510" s="847"/>
      <c r="AS510" s="847"/>
      <c r="AT510" s="847"/>
      <c r="AU510" s="847"/>
      <c r="AV510" s="847"/>
      <c r="AW510" s="847"/>
      <c r="AX510" s="847"/>
      <c r="AY510" s="847"/>
      <c r="AZ510" s="847"/>
      <c r="BA510" s="847"/>
      <c r="BB510" s="847"/>
      <c r="BC510" s="847"/>
      <c r="BD510" s="847"/>
      <c r="BE510" s="847"/>
      <c r="BF510" s="847"/>
      <c r="BG510" s="847"/>
      <c r="BH510" s="847"/>
      <c r="BI510" s="847"/>
      <c r="BJ510" s="847"/>
      <c r="BK510" s="847"/>
      <c r="BL510" s="847"/>
      <c r="BM510" s="847"/>
      <c r="BN510" s="847"/>
      <c r="BO510" s="847"/>
      <c r="BP510" s="847"/>
      <c r="BQ510" s="847"/>
      <c r="BR510" s="847"/>
      <c r="BS510" s="847"/>
      <c r="BT510" s="847"/>
      <c r="BU510" s="847"/>
      <c r="BV510" s="847"/>
      <c r="BW510" s="847"/>
      <c r="BX510" s="847"/>
      <c r="BY510" s="847"/>
      <c r="BZ510" s="847"/>
      <c r="CA510" s="847"/>
      <c r="CB510" s="847"/>
      <c r="CC510" s="847"/>
      <c r="CD510" s="847"/>
      <c r="CE510" s="847"/>
      <c r="CF510" s="847"/>
      <c r="CG510" s="847"/>
      <c r="CH510" s="847"/>
      <c r="CI510" s="847"/>
      <c r="CJ510" s="847"/>
      <c r="CK510" s="847"/>
      <c r="CL510" s="847"/>
      <c r="CM510" s="847"/>
      <c r="CN510" s="847"/>
      <c r="CO510" s="847"/>
      <c r="CP510" s="847"/>
      <c r="CQ510" s="847"/>
      <c r="CR510" s="847"/>
      <c r="CS510" s="847"/>
      <c r="CT510" s="847"/>
      <c r="CU510" s="847"/>
      <c r="CV510" s="847"/>
      <c r="CW510" s="847"/>
      <c r="CX510" s="847"/>
      <c r="CY510" s="847"/>
      <c r="CZ510" s="847"/>
      <c r="DA510" s="847"/>
      <c r="DB510" s="847"/>
      <c r="DC510" s="847"/>
      <c r="DD510" s="847"/>
      <c r="DE510" s="847"/>
      <c r="DF510" s="847"/>
      <c r="DG510" s="847"/>
      <c r="DH510" s="847"/>
      <c r="DI510" s="847"/>
      <c r="DJ510" s="847"/>
      <c r="DK510" s="847"/>
      <c r="DL510" s="847"/>
      <c r="DM510" s="1212"/>
      <c r="DN510" s="1222" t="e">
        <f>'Lead &amp; ANALYSIS'!#REF!*#REF!+'Lead &amp; ANALYSIS'!#REF!*#REF!</f>
        <v>#REF!</v>
      </c>
      <c r="DO510" s="1013" t="e">
        <f>ROUND(C510*DN510,2)</f>
        <v>#REF!</v>
      </c>
      <c r="DP510" s="847"/>
      <c r="DQ510" s="1013"/>
      <c r="DR510" s="1225"/>
      <c r="DS510" s="1013"/>
      <c r="DT510" s="1225"/>
      <c r="DU510" s="1214"/>
      <c r="DV510" s="1242"/>
      <c r="DW510" s="1232"/>
      <c r="DX510" s="1222"/>
      <c r="DY510" s="847"/>
      <c r="DZ510" s="847"/>
      <c r="EA510" s="847"/>
      <c r="EB510" s="847"/>
      <c r="EC510" s="847"/>
      <c r="ED510" s="847"/>
      <c r="EE510" s="847"/>
      <c r="EF510" s="847"/>
      <c r="EG510" s="1212"/>
      <c r="EH510" s="847"/>
      <c r="EI510" s="1212"/>
    </row>
    <row r="511" spans="1:139" s="733" customFormat="1" ht="13.5">
      <c r="A511" s="1009"/>
      <c r="B511" s="1245" t="str">
        <f t="shared" si="21"/>
        <v>E. 5TH DEPTH OF 1.5MTR</v>
      </c>
      <c r="C511" s="1213">
        <v>0</v>
      </c>
      <c r="D511" s="1013" t="s">
        <v>49</v>
      </c>
      <c r="E511" s="847"/>
      <c r="F511" s="1013"/>
      <c r="G511" s="847"/>
      <c r="H511" s="1013"/>
      <c r="I511" s="847"/>
      <c r="J511" s="1013"/>
      <c r="K511" s="847"/>
      <c r="L511" s="1013"/>
      <c r="M511" s="847"/>
      <c r="N511" s="1013"/>
      <c r="O511" s="847"/>
      <c r="P511" s="1013"/>
      <c r="Q511" s="847"/>
      <c r="R511" s="847"/>
      <c r="S511" s="847"/>
      <c r="T511" s="847"/>
      <c r="U511" s="847"/>
      <c r="V511" s="847"/>
      <c r="W511" s="847"/>
      <c r="X511" s="847"/>
      <c r="Y511" s="847"/>
      <c r="Z511" s="847"/>
      <c r="AA511" s="847"/>
      <c r="AB511" s="847"/>
      <c r="AC511" s="847"/>
      <c r="AD511" s="847"/>
      <c r="AE511" s="847"/>
      <c r="AF511" s="847"/>
      <c r="AG511" s="847"/>
      <c r="AH511" s="847"/>
      <c r="AI511" s="847"/>
      <c r="AJ511" s="847"/>
      <c r="AK511" s="847"/>
      <c r="AL511" s="847"/>
      <c r="AM511" s="847"/>
      <c r="AN511" s="847"/>
      <c r="AO511" s="847"/>
      <c r="AP511" s="847"/>
      <c r="AQ511" s="847"/>
      <c r="AR511" s="847"/>
      <c r="AS511" s="847"/>
      <c r="AT511" s="847"/>
      <c r="AU511" s="847"/>
      <c r="AV511" s="847"/>
      <c r="AW511" s="847"/>
      <c r="AX511" s="847"/>
      <c r="AY511" s="847"/>
      <c r="AZ511" s="847"/>
      <c r="BA511" s="847"/>
      <c r="BB511" s="847"/>
      <c r="BC511" s="847"/>
      <c r="BD511" s="847"/>
      <c r="BE511" s="847"/>
      <c r="BF511" s="847"/>
      <c r="BG511" s="847"/>
      <c r="BH511" s="847"/>
      <c r="BI511" s="847"/>
      <c r="BJ511" s="847"/>
      <c r="BK511" s="847"/>
      <c r="BL511" s="847"/>
      <c r="BM511" s="847"/>
      <c r="BN511" s="847"/>
      <c r="BO511" s="847"/>
      <c r="BP511" s="847"/>
      <c r="BQ511" s="847"/>
      <c r="BR511" s="847"/>
      <c r="BS511" s="847"/>
      <c r="BT511" s="847"/>
      <c r="BU511" s="847"/>
      <c r="BV511" s="847"/>
      <c r="BW511" s="847"/>
      <c r="BX511" s="847"/>
      <c r="BY511" s="847"/>
      <c r="BZ511" s="847"/>
      <c r="CA511" s="847"/>
      <c r="CB511" s="847"/>
      <c r="CC511" s="847"/>
      <c r="CD511" s="847"/>
      <c r="CE511" s="847"/>
      <c r="CF511" s="847"/>
      <c r="CG511" s="847"/>
      <c r="CH511" s="847"/>
      <c r="CI511" s="847"/>
      <c r="CJ511" s="847"/>
      <c r="CK511" s="847"/>
      <c r="CL511" s="847"/>
      <c r="CM511" s="847"/>
      <c r="CN511" s="847"/>
      <c r="CO511" s="847"/>
      <c r="CP511" s="847"/>
      <c r="CQ511" s="847"/>
      <c r="CR511" s="847"/>
      <c r="CS511" s="847"/>
      <c r="CT511" s="847"/>
      <c r="CU511" s="847"/>
      <c r="CV511" s="847"/>
      <c r="CW511" s="847"/>
      <c r="CX511" s="847"/>
      <c r="CY511" s="847"/>
      <c r="CZ511" s="847"/>
      <c r="DA511" s="847"/>
      <c r="DB511" s="847"/>
      <c r="DC511" s="847"/>
      <c r="DD511" s="847"/>
      <c r="DE511" s="847"/>
      <c r="DF511" s="847"/>
      <c r="DG511" s="847"/>
      <c r="DH511" s="847"/>
      <c r="DI511" s="847"/>
      <c r="DJ511" s="847"/>
      <c r="DK511" s="847"/>
      <c r="DL511" s="847"/>
      <c r="DM511" s="1212"/>
      <c r="DN511" s="1222"/>
      <c r="DO511" s="1013"/>
      <c r="DP511" s="847"/>
      <c r="DQ511" s="1013"/>
      <c r="DR511" s="1225"/>
      <c r="DS511" s="1013"/>
      <c r="DT511" s="1225"/>
      <c r="DU511" s="1214"/>
      <c r="DV511" s="1242"/>
      <c r="DW511" s="1232"/>
      <c r="DX511" s="1222"/>
      <c r="DY511" s="847"/>
      <c r="DZ511" s="847"/>
      <c r="EA511" s="847"/>
      <c r="EB511" s="847"/>
      <c r="EC511" s="847"/>
      <c r="ED511" s="847"/>
      <c r="EE511" s="847"/>
      <c r="EF511" s="847"/>
      <c r="EG511" s="1212"/>
      <c r="EH511" s="847"/>
      <c r="EI511" s="1212"/>
    </row>
    <row r="512" spans="1:139" s="733" customFormat="1" ht="13.5">
      <c r="A512" s="1009"/>
      <c r="B512" s="1212" t="str">
        <f t="shared" si="21"/>
        <v>i.Ordinary Soil.</v>
      </c>
      <c r="C512" s="1213">
        <v>0</v>
      </c>
      <c r="D512" s="1013" t="s">
        <v>49</v>
      </c>
      <c r="E512" s="847"/>
      <c r="F512" s="1013"/>
      <c r="G512" s="847"/>
      <c r="H512" s="1013"/>
      <c r="I512" s="847"/>
      <c r="J512" s="1013"/>
      <c r="K512" s="847"/>
      <c r="L512" s="1013"/>
      <c r="M512" s="847"/>
      <c r="N512" s="1013"/>
      <c r="O512" s="847"/>
      <c r="P512" s="1013"/>
      <c r="Q512" s="847"/>
      <c r="R512" s="847"/>
      <c r="S512" s="847"/>
      <c r="T512" s="847"/>
      <c r="U512" s="847"/>
      <c r="V512" s="847"/>
      <c r="W512" s="847"/>
      <c r="X512" s="847"/>
      <c r="Y512" s="847"/>
      <c r="Z512" s="847"/>
      <c r="AA512" s="847"/>
      <c r="AB512" s="847"/>
      <c r="AC512" s="847"/>
      <c r="AD512" s="847"/>
      <c r="AE512" s="847"/>
      <c r="AF512" s="847"/>
      <c r="AG512" s="847"/>
      <c r="AH512" s="847"/>
      <c r="AI512" s="847"/>
      <c r="AJ512" s="847"/>
      <c r="AK512" s="847"/>
      <c r="AL512" s="847"/>
      <c r="AM512" s="847"/>
      <c r="AN512" s="847"/>
      <c r="AO512" s="847"/>
      <c r="AP512" s="847"/>
      <c r="AQ512" s="847"/>
      <c r="AR512" s="847"/>
      <c r="AS512" s="847"/>
      <c r="AT512" s="847"/>
      <c r="AU512" s="847"/>
      <c r="AV512" s="847"/>
      <c r="AW512" s="847"/>
      <c r="AX512" s="847"/>
      <c r="AY512" s="847"/>
      <c r="AZ512" s="847"/>
      <c r="BA512" s="847"/>
      <c r="BB512" s="847"/>
      <c r="BC512" s="847"/>
      <c r="BD512" s="847"/>
      <c r="BE512" s="847"/>
      <c r="BF512" s="847"/>
      <c r="BG512" s="847"/>
      <c r="BH512" s="847"/>
      <c r="BI512" s="847"/>
      <c r="BJ512" s="847"/>
      <c r="BK512" s="847"/>
      <c r="BL512" s="847"/>
      <c r="BM512" s="847"/>
      <c r="BN512" s="847"/>
      <c r="BO512" s="847"/>
      <c r="BP512" s="847"/>
      <c r="BQ512" s="847"/>
      <c r="BR512" s="847"/>
      <c r="BS512" s="847"/>
      <c r="BT512" s="847"/>
      <c r="BU512" s="847"/>
      <c r="BV512" s="847"/>
      <c r="BW512" s="847"/>
      <c r="BX512" s="847"/>
      <c r="BY512" s="847"/>
      <c r="BZ512" s="847"/>
      <c r="CA512" s="847"/>
      <c r="CB512" s="847"/>
      <c r="CC512" s="847"/>
      <c r="CD512" s="847"/>
      <c r="CE512" s="847"/>
      <c r="CF512" s="847"/>
      <c r="CG512" s="847"/>
      <c r="CH512" s="847"/>
      <c r="CI512" s="847"/>
      <c r="CJ512" s="847"/>
      <c r="CK512" s="847"/>
      <c r="CL512" s="847"/>
      <c r="CM512" s="847"/>
      <c r="CN512" s="847"/>
      <c r="CO512" s="847"/>
      <c r="CP512" s="847"/>
      <c r="CQ512" s="847"/>
      <c r="CR512" s="847"/>
      <c r="CS512" s="847"/>
      <c r="CT512" s="847"/>
      <c r="CU512" s="847"/>
      <c r="CV512" s="847"/>
      <c r="CW512" s="847"/>
      <c r="CX512" s="847"/>
      <c r="CY512" s="847"/>
      <c r="CZ512" s="847"/>
      <c r="DA512" s="847"/>
      <c r="DB512" s="847"/>
      <c r="DC512" s="847"/>
      <c r="DD512" s="847"/>
      <c r="DE512" s="847"/>
      <c r="DF512" s="847"/>
      <c r="DG512" s="847"/>
      <c r="DH512" s="847"/>
      <c r="DI512" s="847"/>
      <c r="DJ512" s="847"/>
      <c r="DK512" s="847"/>
      <c r="DL512" s="847"/>
      <c r="DM512" s="1212"/>
      <c r="DN512" s="1222" t="e">
        <f>'Lead &amp; ANALYSIS'!#REF!*#REF!+'Lead &amp; ANALYSIS'!#REF!*#REF!</f>
        <v>#REF!</v>
      </c>
      <c r="DO512" s="1013" t="e">
        <f>ROUND(C512*DN512,2)</f>
        <v>#REF!</v>
      </c>
      <c r="DP512" s="847"/>
      <c r="DQ512" s="1013"/>
      <c r="DR512" s="1225"/>
      <c r="DS512" s="1013"/>
      <c r="DT512" s="1225"/>
      <c r="DU512" s="1214"/>
      <c r="DV512" s="1242"/>
      <c r="DW512" s="1232"/>
      <c r="DX512" s="1222"/>
      <c r="DY512" s="847"/>
      <c r="DZ512" s="847"/>
      <c r="EA512" s="847"/>
      <c r="EB512" s="847"/>
      <c r="EC512" s="847"/>
      <c r="ED512" s="847"/>
      <c r="EE512" s="847"/>
      <c r="EF512" s="847"/>
      <c r="EG512" s="1212"/>
      <c r="EH512" s="847"/>
      <c r="EI512" s="1212"/>
    </row>
    <row r="513" spans="1:139" s="733" customFormat="1" ht="13.5">
      <c r="A513" s="1009"/>
      <c r="B513" s="1212" t="str">
        <f t="shared" si="21"/>
        <v>ii.Slushy Soil</v>
      </c>
      <c r="C513" s="1213">
        <v>0</v>
      </c>
      <c r="D513" s="1013" t="s">
        <v>49</v>
      </c>
      <c r="E513" s="847"/>
      <c r="F513" s="1013"/>
      <c r="G513" s="847"/>
      <c r="H513" s="1013"/>
      <c r="I513" s="847"/>
      <c r="J513" s="1013"/>
      <c r="K513" s="847"/>
      <c r="L513" s="1013"/>
      <c r="M513" s="847"/>
      <c r="N513" s="1013"/>
      <c r="O513" s="847"/>
      <c r="P513" s="1013"/>
      <c r="Q513" s="847"/>
      <c r="R513" s="847"/>
      <c r="S513" s="847"/>
      <c r="T513" s="847"/>
      <c r="U513" s="847"/>
      <c r="V513" s="847"/>
      <c r="W513" s="847"/>
      <c r="X513" s="847"/>
      <c r="Y513" s="847"/>
      <c r="Z513" s="847"/>
      <c r="AA513" s="847"/>
      <c r="AB513" s="847"/>
      <c r="AC513" s="847"/>
      <c r="AD513" s="847"/>
      <c r="AE513" s="847"/>
      <c r="AF513" s="847"/>
      <c r="AG513" s="847"/>
      <c r="AH513" s="847"/>
      <c r="AI513" s="847"/>
      <c r="AJ513" s="847"/>
      <c r="AK513" s="847"/>
      <c r="AL513" s="847"/>
      <c r="AM513" s="847"/>
      <c r="AN513" s="847"/>
      <c r="AO513" s="847"/>
      <c r="AP513" s="847"/>
      <c r="AQ513" s="847"/>
      <c r="AR513" s="847"/>
      <c r="AS513" s="847"/>
      <c r="AT513" s="847"/>
      <c r="AU513" s="847"/>
      <c r="AV513" s="847"/>
      <c r="AW513" s="847"/>
      <c r="AX513" s="847"/>
      <c r="AY513" s="847"/>
      <c r="AZ513" s="847"/>
      <c r="BA513" s="847"/>
      <c r="BB513" s="847"/>
      <c r="BC513" s="847"/>
      <c r="BD513" s="847"/>
      <c r="BE513" s="847"/>
      <c r="BF513" s="847"/>
      <c r="BG513" s="847"/>
      <c r="BH513" s="847"/>
      <c r="BI513" s="847"/>
      <c r="BJ513" s="847"/>
      <c r="BK513" s="847"/>
      <c r="BL513" s="847"/>
      <c r="BM513" s="847"/>
      <c r="BN513" s="847"/>
      <c r="BO513" s="847"/>
      <c r="BP513" s="847"/>
      <c r="BQ513" s="847"/>
      <c r="BR513" s="847"/>
      <c r="BS513" s="847"/>
      <c r="BT513" s="847"/>
      <c r="BU513" s="847"/>
      <c r="BV513" s="847"/>
      <c r="BW513" s="847"/>
      <c r="BX513" s="847"/>
      <c r="BY513" s="847"/>
      <c r="BZ513" s="847"/>
      <c r="CA513" s="847"/>
      <c r="CB513" s="847"/>
      <c r="CC513" s="847"/>
      <c r="CD513" s="847"/>
      <c r="CE513" s="847"/>
      <c r="CF513" s="847"/>
      <c r="CG513" s="847"/>
      <c r="CH513" s="847"/>
      <c r="CI513" s="847"/>
      <c r="CJ513" s="847"/>
      <c r="CK513" s="847"/>
      <c r="CL513" s="847"/>
      <c r="CM513" s="847"/>
      <c r="CN513" s="847"/>
      <c r="CO513" s="847"/>
      <c r="CP513" s="847"/>
      <c r="CQ513" s="847"/>
      <c r="CR513" s="847"/>
      <c r="CS513" s="847"/>
      <c r="CT513" s="847"/>
      <c r="CU513" s="847"/>
      <c r="CV513" s="847"/>
      <c r="CW513" s="847"/>
      <c r="CX513" s="847"/>
      <c r="CY513" s="847"/>
      <c r="CZ513" s="847"/>
      <c r="DA513" s="847"/>
      <c r="DB513" s="847"/>
      <c r="DC513" s="847"/>
      <c r="DD513" s="847"/>
      <c r="DE513" s="847"/>
      <c r="DF513" s="847"/>
      <c r="DG513" s="847"/>
      <c r="DH513" s="847"/>
      <c r="DI513" s="847"/>
      <c r="DJ513" s="847"/>
      <c r="DK513" s="847"/>
      <c r="DL513" s="847"/>
      <c r="DM513" s="1212"/>
      <c r="DN513" s="1222" t="e">
        <f>'Lead &amp; ANALYSIS'!#REF!*#REF!+'Lead &amp; ANALYSIS'!#REF!*#REF!</f>
        <v>#REF!</v>
      </c>
      <c r="DO513" s="1013" t="e">
        <f>ROUND(C513*DN513,2)</f>
        <v>#REF!</v>
      </c>
      <c r="DP513" s="847"/>
      <c r="DQ513" s="1013"/>
      <c r="DR513" s="1225"/>
      <c r="DS513" s="1013"/>
      <c r="DT513" s="1225"/>
      <c r="DU513" s="1214"/>
      <c r="DV513" s="1242"/>
      <c r="DW513" s="1232"/>
      <c r="DX513" s="1222"/>
      <c r="DY513" s="847"/>
      <c r="DZ513" s="847"/>
      <c r="EA513" s="847"/>
      <c r="EB513" s="847"/>
      <c r="EC513" s="847"/>
      <c r="ED513" s="847"/>
      <c r="EE513" s="847"/>
      <c r="EF513" s="847"/>
      <c r="EG513" s="1212"/>
      <c r="EH513" s="847"/>
      <c r="EI513" s="1212"/>
    </row>
    <row r="514" spans="1:139" s="733" customFormat="1" ht="13.5">
      <c r="A514" s="1009"/>
      <c r="B514" s="1212" t="str">
        <f t="shared" si="21"/>
        <v>iii.Hard Sooil</v>
      </c>
      <c r="C514" s="1213">
        <v>0</v>
      </c>
      <c r="D514" s="1013" t="s">
        <v>49</v>
      </c>
      <c r="E514" s="847"/>
      <c r="F514" s="1013"/>
      <c r="G514" s="847"/>
      <c r="H514" s="1013"/>
      <c r="I514" s="847"/>
      <c r="J514" s="1013"/>
      <c r="K514" s="847"/>
      <c r="L514" s="1013"/>
      <c r="M514" s="847"/>
      <c r="N514" s="1013"/>
      <c r="O514" s="847"/>
      <c r="P514" s="1013"/>
      <c r="Q514" s="847"/>
      <c r="R514" s="847"/>
      <c r="S514" s="847"/>
      <c r="T514" s="847"/>
      <c r="U514" s="847"/>
      <c r="V514" s="847"/>
      <c r="W514" s="847"/>
      <c r="X514" s="847"/>
      <c r="Y514" s="847"/>
      <c r="Z514" s="847"/>
      <c r="AA514" s="847"/>
      <c r="AB514" s="847"/>
      <c r="AC514" s="847"/>
      <c r="AD514" s="847"/>
      <c r="AE514" s="847"/>
      <c r="AF514" s="847"/>
      <c r="AG514" s="847"/>
      <c r="AH514" s="847"/>
      <c r="AI514" s="847"/>
      <c r="AJ514" s="847"/>
      <c r="AK514" s="847"/>
      <c r="AL514" s="847"/>
      <c r="AM514" s="847"/>
      <c r="AN514" s="847"/>
      <c r="AO514" s="847"/>
      <c r="AP514" s="847"/>
      <c r="AQ514" s="847"/>
      <c r="AR514" s="847"/>
      <c r="AS514" s="847"/>
      <c r="AT514" s="847"/>
      <c r="AU514" s="847"/>
      <c r="AV514" s="847"/>
      <c r="AW514" s="847"/>
      <c r="AX514" s="847"/>
      <c r="AY514" s="847"/>
      <c r="AZ514" s="847"/>
      <c r="BA514" s="847"/>
      <c r="BB514" s="847"/>
      <c r="BC514" s="847"/>
      <c r="BD514" s="847"/>
      <c r="BE514" s="847"/>
      <c r="BF514" s="847"/>
      <c r="BG514" s="847"/>
      <c r="BH514" s="847"/>
      <c r="BI514" s="847"/>
      <c r="BJ514" s="847"/>
      <c r="BK514" s="847"/>
      <c r="BL514" s="847"/>
      <c r="BM514" s="847"/>
      <c r="BN514" s="847"/>
      <c r="BO514" s="847"/>
      <c r="BP514" s="847"/>
      <c r="BQ514" s="847"/>
      <c r="BR514" s="847"/>
      <c r="BS514" s="847"/>
      <c r="BT514" s="847"/>
      <c r="BU514" s="847"/>
      <c r="BV514" s="847"/>
      <c r="BW514" s="847"/>
      <c r="BX514" s="847"/>
      <c r="BY514" s="847"/>
      <c r="BZ514" s="847"/>
      <c r="CA514" s="847"/>
      <c r="CB514" s="847"/>
      <c r="CC514" s="847"/>
      <c r="CD514" s="847"/>
      <c r="CE514" s="847"/>
      <c r="CF514" s="847"/>
      <c r="CG514" s="847"/>
      <c r="CH514" s="847"/>
      <c r="CI514" s="847"/>
      <c r="CJ514" s="847"/>
      <c r="CK514" s="847"/>
      <c r="CL514" s="847"/>
      <c r="CM514" s="847"/>
      <c r="CN514" s="847"/>
      <c r="CO514" s="847"/>
      <c r="CP514" s="847"/>
      <c r="CQ514" s="847"/>
      <c r="CR514" s="847"/>
      <c r="CS514" s="847"/>
      <c r="CT514" s="847"/>
      <c r="CU514" s="847"/>
      <c r="CV514" s="847"/>
      <c r="CW514" s="847"/>
      <c r="CX514" s="847"/>
      <c r="CY514" s="847"/>
      <c r="CZ514" s="847"/>
      <c r="DA514" s="847"/>
      <c r="DB514" s="847"/>
      <c r="DC514" s="847"/>
      <c r="DD514" s="847"/>
      <c r="DE514" s="847"/>
      <c r="DF514" s="847"/>
      <c r="DG514" s="847"/>
      <c r="DH514" s="847"/>
      <c r="DI514" s="847"/>
      <c r="DJ514" s="847"/>
      <c r="DK514" s="847"/>
      <c r="DL514" s="847"/>
      <c r="DM514" s="1212"/>
      <c r="DN514" s="1222" t="e">
        <f>'Lead &amp; ANALYSIS'!#REF!*#REF!+'Lead &amp; ANALYSIS'!#REF!*#REF!</f>
        <v>#REF!</v>
      </c>
      <c r="DO514" s="1013" t="e">
        <f>ROUND(C514*DN514,2)</f>
        <v>#REF!</v>
      </c>
      <c r="DP514" s="847"/>
      <c r="DQ514" s="1013"/>
      <c r="DR514" s="1225"/>
      <c r="DS514" s="1013"/>
      <c r="DT514" s="1225"/>
      <c r="DU514" s="1214"/>
      <c r="DV514" s="1242"/>
      <c r="DW514" s="1232"/>
      <c r="DX514" s="1222"/>
      <c r="DY514" s="847"/>
      <c r="DZ514" s="847"/>
      <c r="EA514" s="847"/>
      <c r="EB514" s="847"/>
      <c r="EC514" s="847"/>
      <c r="ED514" s="847"/>
      <c r="EE514" s="847"/>
      <c r="EF514" s="847"/>
      <c r="EG514" s="1212"/>
      <c r="EH514" s="847"/>
      <c r="EI514" s="1212"/>
    </row>
    <row r="515" spans="1:139" s="733" customFormat="1" ht="13.5">
      <c r="A515" s="1009"/>
      <c r="B515" s="1212" t="str">
        <f t="shared" si="21"/>
        <v>IV.Stony Earth</v>
      </c>
      <c r="C515" s="1213">
        <v>0</v>
      </c>
      <c r="D515" s="1013" t="s">
        <v>49</v>
      </c>
      <c r="E515" s="847"/>
      <c r="F515" s="1013"/>
      <c r="G515" s="847"/>
      <c r="H515" s="1013"/>
      <c r="I515" s="847"/>
      <c r="J515" s="1013"/>
      <c r="K515" s="847"/>
      <c r="L515" s="1013"/>
      <c r="M515" s="847"/>
      <c r="N515" s="1013"/>
      <c r="O515" s="847"/>
      <c r="P515" s="1013"/>
      <c r="Q515" s="847"/>
      <c r="R515" s="847"/>
      <c r="S515" s="847"/>
      <c r="T515" s="847"/>
      <c r="U515" s="847"/>
      <c r="V515" s="847"/>
      <c r="W515" s="847"/>
      <c r="X515" s="847"/>
      <c r="Y515" s="847"/>
      <c r="Z515" s="847"/>
      <c r="AA515" s="847"/>
      <c r="AB515" s="847"/>
      <c r="AC515" s="847"/>
      <c r="AD515" s="847"/>
      <c r="AE515" s="847"/>
      <c r="AF515" s="847"/>
      <c r="AG515" s="847"/>
      <c r="AH515" s="847"/>
      <c r="AI515" s="847"/>
      <c r="AJ515" s="847"/>
      <c r="AK515" s="847"/>
      <c r="AL515" s="847"/>
      <c r="AM515" s="847"/>
      <c r="AN515" s="847"/>
      <c r="AO515" s="847"/>
      <c r="AP515" s="847"/>
      <c r="AQ515" s="847"/>
      <c r="AR515" s="847"/>
      <c r="AS515" s="847"/>
      <c r="AT515" s="847"/>
      <c r="AU515" s="847"/>
      <c r="AV515" s="847"/>
      <c r="AW515" s="847"/>
      <c r="AX515" s="847"/>
      <c r="AY515" s="847"/>
      <c r="AZ515" s="847"/>
      <c r="BA515" s="847"/>
      <c r="BB515" s="847"/>
      <c r="BC515" s="847"/>
      <c r="BD515" s="847"/>
      <c r="BE515" s="847"/>
      <c r="BF515" s="847"/>
      <c r="BG515" s="847"/>
      <c r="BH515" s="847"/>
      <c r="BI515" s="847"/>
      <c r="BJ515" s="847"/>
      <c r="BK515" s="847"/>
      <c r="BL515" s="847"/>
      <c r="BM515" s="847"/>
      <c r="BN515" s="847"/>
      <c r="BO515" s="847"/>
      <c r="BP515" s="847"/>
      <c r="BQ515" s="847"/>
      <c r="BR515" s="847"/>
      <c r="BS515" s="847"/>
      <c r="BT515" s="847"/>
      <c r="BU515" s="847"/>
      <c r="BV515" s="847"/>
      <c r="BW515" s="847"/>
      <c r="BX515" s="847"/>
      <c r="BY515" s="847"/>
      <c r="BZ515" s="847"/>
      <c r="CA515" s="847"/>
      <c r="CB515" s="847"/>
      <c r="CC515" s="847"/>
      <c r="CD515" s="847"/>
      <c r="CE515" s="847"/>
      <c r="CF515" s="847"/>
      <c r="CG515" s="847"/>
      <c r="CH515" s="847"/>
      <c r="CI515" s="847"/>
      <c r="CJ515" s="847"/>
      <c r="CK515" s="847"/>
      <c r="CL515" s="847"/>
      <c r="CM515" s="847"/>
      <c r="CN515" s="847"/>
      <c r="CO515" s="847"/>
      <c r="CP515" s="847"/>
      <c r="CQ515" s="847"/>
      <c r="CR515" s="847"/>
      <c r="CS515" s="847"/>
      <c r="CT515" s="847"/>
      <c r="CU515" s="847"/>
      <c r="CV515" s="847"/>
      <c r="CW515" s="847"/>
      <c r="CX515" s="847"/>
      <c r="CY515" s="847"/>
      <c r="CZ515" s="847"/>
      <c r="DA515" s="847"/>
      <c r="DB515" s="847"/>
      <c r="DC515" s="847"/>
      <c r="DD515" s="847"/>
      <c r="DE515" s="847"/>
      <c r="DF515" s="847"/>
      <c r="DG515" s="847"/>
      <c r="DH515" s="847"/>
      <c r="DI515" s="847"/>
      <c r="DJ515" s="847"/>
      <c r="DK515" s="847"/>
      <c r="DL515" s="847"/>
      <c r="DM515" s="1212"/>
      <c r="DN515" s="1222" t="e">
        <f>'Lead &amp; ANALYSIS'!#REF!*#REF!+'Lead &amp; ANALYSIS'!#REF!*#REF!</f>
        <v>#REF!</v>
      </c>
      <c r="DO515" s="1013" t="e">
        <f>ROUND(C515*DN515,2)</f>
        <v>#REF!</v>
      </c>
      <c r="DP515" s="847"/>
      <c r="DQ515" s="1013"/>
      <c r="DR515" s="1225"/>
      <c r="DS515" s="1013"/>
      <c r="DT515" s="1225"/>
      <c r="DU515" s="1214"/>
      <c r="DV515" s="1242"/>
      <c r="DW515" s="1232"/>
      <c r="DX515" s="1222"/>
      <c r="DY515" s="847"/>
      <c r="DZ515" s="847"/>
      <c r="EA515" s="847"/>
      <c r="EB515" s="847"/>
      <c r="EC515" s="847"/>
      <c r="ED515" s="847"/>
      <c r="EE515" s="847"/>
      <c r="EF515" s="847"/>
      <c r="EG515" s="1212"/>
      <c r="EH515" s="847"/>
      <c r="EI515" s="1212"/>
    </row>
    <row r="516" spans="1:139" s="733" customFormat="1" ht="13.5">
      <c r="A516" s="1009"/>
      <c r="B516" s="1212" t="str">
        <f t="shared" si="21"/>
        <v>V.All Kinds of Soil</v>
      </c>
      <c r="C516" s="1213">
        <v>0</v>
      </c>
      <c r="D516" s="1013" t="s">
        <v>49</v>
      </c>
      <c r="E516" s="847"/>
      <c r="F516" s="1013"/>
      <c r="G516" s="847"/>
      <c r="H516" s="1013"/>
      <c r="I516" s="847"/>
      <c r="J516" s="1013"/>
      <c r="K516" s="847"/>
      <c r="L516" s="1013"/>
      <c r="M516" s="847"/>
      <c r="N516" s="1013"/>
      <c r="O516" s="847"/>
      <c r="P516" s="1013"/>
      <c r="Q516" s="847"/>
      <c r="R516" s="847"/>
      <c r="S516" s="847"/>
      <c r="T516" s="847"/>
      <c r="U516" s="847"/>
      <c r="V516" s="847"/>
      <c r="W516" s="847"/>
      <c r="X516" s="847"/>
      <c r="Y516" s="847"/>
      <c r="Z516" s="847"/>
      <c r="AA516" s="847"/>
      <c r="AB516" s="847"/>
      <c r="AC516" s="847"/>
      <c r="AD516" s="847"/>
      <c r="AE516" s="847"/>
      <c r="AF516" s="847"/>
      <c r="AG516" s="847"/>
      <c r="AH516" s="847"/>
      <c r="AI516" s="847"/>
      <c r="AJ516" s="847"/>
      <c r="AK516" s="847"/>
      <c r="AL516" s="847"/>
      <c r="AM516" s="847"/>
      <c r="AN516" s="847"/>
      <c r="AO516" s="847"/>
      <c r="AP516" s="847"/>
      <c r="AQ516" s="847"/>
      <c r="AR516" s="847"/>
      <c r="AS516" s="847"/>
      <c r="AT516" s="847"/>
      <c r="AU516" s="847"/>
      <c r="AV516" s="847"/>
      <c r="AW516" s="847"/>
      <c r="AX516" s="847"/>
      <c r="AY516" s="847"/>
      <c r="AZ516" s="847"/>
      <c r="BA516" s="847"/>
      <c r="BB516" s="847"/>
      <c r="BC516" s="847"/>
      <c r="BD516" s="847"/>
      <c r="BE516" s="847"/>
      <c r="BF516" s="847"/>
      <c r="BG516" s="847"/>
      <c r="BH516" s="847"/>
      <c r="BI516" s="847"/>
      <c r="BJ516" s="847"/>
      <c r="BK516" s="847"/>
      <c r="BL516" s="847"/>
      <c r="BM516" s="847"/>
      <c r="BN516" s="847"/>
      <c r="BO516" s="847"/>
      <c r="BP516" s="847"/>
      <c r="BQ516" s="847"/>
      <c r="BR516" s="847"/>
      <c r="BS516" s="847"/>
      <c r="BT516" s="847"/>
      <c r="BU516" s="847"/>
      <c r="BV516" s="847"/>
      <c r="BW516" s="847"/>
      <c r="BX516" s="847"/>
      <c r="BY516" s="847"/>
      <c r="BZ516" s="847"/>
      <c r="CA516" s="847"/>
      <c r="CB516" s="847"/>
      <c r="CC516" s="847"/>
      <c r="CD516" s="847"/>
      <c r="CE516" s="847"/>
      <c r="CF516" s="847"/>
      <c r="CG516" s="847"/>
      <c r="CH516" s="847"/>
      <c r="CI516" s="847"/>
      <c r="CJ516" s="847"/>
      <c r="CK516" s="847"/>
      <c r="CL516" s="847"/>
      <c r="CM516" s="847"/>
      <c r="CN516" s="847"/>
      <c r="CO516" s="847"/>
      <c r="CP516" s="847"/>
      <c r="CQ516" s="847"/>
      <c r="CR516" s="847"/>
      <c r="CS516" s="847"/>
      <c r="CT516" s="847"/>
      <c r="CU516" s="847"/>
      <c r="CV516" s="847"/>
      <c r="CW516" s="847"/>
      <c r="CX516" s="847"/>
      <c r="CY516" s="847"/>
      <c r="CZ516" s="847"/>
      <c r="DA516" s="847"/>
      <c r="DB516" s="847"/>
      <c r="DC516" s="847"/>
      <c r="DD516" s="847"/>
      <c r="DE516" s="847"/>
      <c r="DF516" s="847"/>
      <c r="DG516" s="847"/>
      <c r="DH516" s="847"/>
      <c r="DI516" s="847"/>
      <c r="DJ516" s="847"/>
      <c r="DK516" s="847"/>
      <c r="DL516" s="847"/>
      <c r="DM516" s="1212"/>
      <c r="DN516" s="1222" t="e">
        <f>'Lead &amp; ANALYSIS'!#REF!*#REF!+'Lead &amp; ANALYSIS'!#REF!*#REF!</f>
        <v>#REF!</v>
      </c>
      <c r="DO516" s="1013" t="e">
        <f>ROUND(C516*DN516,2)</f>
        <v>#REF!</v>
      </c>
      <c r="DP516" s="847"/>
      <c r="DQ516" s="1013"/>
      <c r="DR516" s="1225"/>
      <c r="DS516" s="1013"/>
      <c r="DT516" s="1225"/>
      <c r="DU516" s="1214"/>
      <c r="DV516" s="1242"/>
      <c r="DW516" s="1232"/>
      <c r="DX516" s="1222"/>
      <c r="DY516" s="847"/>
      <c r="DZ516" s="847"/>
      <c r="EA516" s="847"/>
      <c r="EB516" s="847"/>
      <c r="EC516" s="847"/>
      <c r="ED516" s="847"/>
      <c r="EE516" s="847"/>
      <c r="EF516" s="847"/>
      <c r="EG516" s="1212"/>
      <c r="EH516" s="847"/>
      <c r="EI516" s="1212"/>
    </row>
    <row r="517" spans="1:139" s="733" customFormat="1" ht="13.5">
      <c r="A517" s="1009"/>
      <c r="B517" s="1245" t="str">
        <f t="shared" si="21"/>
        <v>F. 6TH DEPTH OF 1.5MTR</v>
      </c>
      <c r="C517" s="1213">
        <v>0</v>
      </c>
      <c r="D517" s="1013" t="s">
        <v>49</v>
      </c>
      <c r="E517" s="847"/>
      <c r="F517" s="1013"/>
      <c r="G517" s="847"/>
      <c r="H517" s="1013"/>
      <c r="I517" s="847"/>
      <c r="J517" s="1013"/>
      <c r="K517" s="847"/>
      <c r="L517" s="1013"/>
      <c r="M517" s="847"/>
      <c r="N517" s="1013"/>
      <c r="O517" s="847"/>
      <c r="P517" s="1013"/>
      <c r="Q517" s="847"/>
      <c r="R517" s="847"/>
      <c r="S517" s="847"/>
      <c r="T517" s="847"/>
      <c r="U517" s="847"/>
      <c r="V517" s="847"/>
      <c r="W517" s="847"/>
      <c r="X517" s="847"/>
      <c r="Y517" s="847"/>
      <c r="Z517" s="847"/>
      <c r="AA517" s="847"/>
      <c r="AB517" s="847"/>
      <c r="AC517" s="847"/>
      <c r="AD517" s="847"/>
      <c r="AE517" s="847"/>
      <c r="AF517" s="847"/>
      <c r="AG517" s="847"/>
      <c r="AH517" s="847"/>
      <c r="AI517" s="847"/>
      <c r="AJ517" s="847"/>
      <c r="AK517" s="847"/>
      <c r="AL517" s="847"/>
      <c r="AM517" s="847"/>
      <c r="AN517" s="847"/>
      <c r="AO517" s="847"/>
      <c r="AP517" s="847"/>
      <c r="AQ517" s="847"/>
      <c r="AR517" s="847"/>
      <c r="AS517" s="847"/>
      <c r="AT517" s="847"/>
      <c r="AU517" s="847"/>
      <c r="AV517" s="847"/>
      <c r="AW517" s="847"/>
      <c r="AX517" s="847"/>
      <c r="AY517" s="847"/>
      <c r="AZ517" s="847"/>
      <c r="BA517" s="847"/>
      <c r="BB517" s="847"/>
      <c r="BC517" s="847"/>
      <c r="BD517" s="847"/>
      <c r="BE517" s="847"/>
      <c r="BF517" s="847"/>
      <c r="BG517" s="847"/>
      <c r="BH517" s="847"/>
      <c r="BI517" s="847"/>
      <c r="BJ517" s="847"/>
      <c r="BK517" s="847"/>
      <c r="BL517" s="847"/>
      <c r="BM517" s="847"/>
      <c r="BN517" s="847"/>
      <c r="BO517" s="847"/>
      <c r="BP517" s="847"/>
      <c r="BQ517" s="847"/>
      <c r="BR517" s="847"/>
      <c r="BS517" s="847"/>
      <c r="BT517" s="847"/>
      <c r="BU517" s="847"/>
      <c r="BV517" s="847"/>
      <c r="BW517" s="847"/>
      <c r="BX517" s="847"/>
      <c r="BY517" s="847"/>
      <c r="BZ517" s="847"/>
      <c r="CA517" s="847"/>
      <c r="CB517" s="847"/>
      <c r="CC517" s="847"/>
      <c r="CD517" s="847"/>
      <c r="CE517" s="847"/>
      <c r="CF517" s="847"/>
      <c r="CG517" s="847"/>
      <c r="CH517" s="847"/>
      <c r="CI517" s="847"/>
      <c r="CJ517" s="847"/>
      <c r="CK517" s="847"/>
      <c r="CL517" s="847"/>
      <c r="CM517" s="847"/>
      <c r="CN517" s="847"/>
      <c r="CO517" s="847"/>
      <c r="CP517" s="847"/>
      <c r="CQ517" s="847"/>
      <c r="CR517" s="847"/>
      <c r="CS517" s="847"/>
      <c r="CT517" s="847"/>
      <c r="CU517" s="847"/>
      <c r="CV517" s="847"/>
      <c r="CW517" s="847"/>
      <c r="CX517" s="847"/>
      <c r="CY517" s="847"/>
      <c r="CZ517" s="847"/>
      <c r="DA517" s="847"/>
      <c r="DB517" s="847"/>
      <c r="DC517" s="847"/>
      <c r="DD517" s="847"/>
      <c r="DE517" s="847"/>
      <c r="DF517" s="847"/>
      <c r="DG517" s="847"/>
      <c r="DH517" s="847"/>
      <c r="DI517" s="847"/>
      <c r="DJ517" s="847"/>
      <c r="DK517" s="847"/>
      <c r="DL517" s="847"/>
      <c r="DM517" s="1212"/>
      <c r="DN517" s="1222"/>
      <c r="DO517" s="1013"/>
      <c r="DP517" s="847"/>
      <c r="DQ517" s="1013"/>
      <c r="DR517" s="1225"/>
      <c r="DS517" s="1013"/>
      <c r="DT517" s="1225"/>
      <c r="DU517" s="1214"/>
      <c r="DV517" s="1242"/>
      <c r="DW517" s="1232"/>
      <c r="DX517" s="1222"/>
      <c r="DY517" s="847"/>
      <c r="DZ517" s="847"/>
      <c r="EA517" s="847"/>
      <c r="EB517" s="847"/>
      <c r="EC517" s="847"/>
      <c r="ED517" s="847"/>
      <c r="EE517" s="847"/>
      <c r="EF517" s="847"/>
      <c r="EG517" s="1212"/>
      <c r="EH517" s="847"/>
      <c r="EI517" s="1212"/>
    </row>
    <row r="518" spans="1:139" s="733" customFormat="1" ht="13.5">
      <c r="A518" s="1009"/>
      <c r="B518" s="1212" t="str">
        <f t="shared" si="21"/>
        <v>i.Ordinary Soil.</v>
      </c>
      <c r="C518" s="1213">
        <v>0</v>
      </c>
      <c r="D518" s="1013" t="s">
        <v>49</v>
      </c>
      <c r="E518" s="847"/>
      <c r="F518" s="1013"/>
      <c r="G518" s="847"/>
      <c r="H518" s="1013"/>
      <c r="I518" s="847"/>
      <c r="J518" s="1013"/>
      <c r="K518" s="847"/>
      <c r="L518" s="1013"/>
      <c r="M518" s="847"/>
      <c r="N518" s="1013"/>
      <c r="O518" s="847"/>
      <c r="P518" s="1013"/>
      <c r="Q518" s="847"/>
      <c r="R518" s="847"/>
      <c r="S518" s="847"/>
      <c r="T518" s="847"/>
      <c r="U518" s="847"/>
      <c r="V518" s="847"/>
      <c r="W518" s="847"/>
      <c r="X518" s="847"/>
      <c r="Y518" s="847"/>
      <c r="Z518" s="847"/>
      <c r="AA518" s="847"/>
      <c r="AB518" s="847"/>
      <c r="AC518" s="847"/>
      <c r="AD518" s="847"/>
      <c r="AE518" s="847"/>
      <c r="AF518" s="847"/>
      <c r="AG518" s="847"/>
      <c r="AH518" s="847"/>
      <c r="AI518" s="847"/>
      <c r="AJ518" s="847"/>
      <c r="AK518" s="847"/>
      <c r="AL518" s="847"/>
      <c r="AM518" s="847"/>
      <c r="AN518" s="847"/>
      <c r="AO518" s="847"/>
      <c r="AP518" s="847"/>
      <c r="AQ518" s="847"/>
      <c r="AR518" s="847"/>
      <c r="AS518" s="847"/>
      <c r="AT518" s="847"/>
      <c r="AU518" s="847"/>
      <c r="AV518" s="847"/>
      <c r="AW518" s="847"/>
      <c r="AX518" s="847"/>
      <c r="AY518" s="847"/>
      <c r="AZ518" s="847"/>
      <c r="BA518" s="847"/>
      <c r="BB518" s="847"/>
      <c r="BC518" s="847"/>
      <c r="BD518" s="847"/>
      <c r="BE518" s="847"/>
      <c r="BF518" s="847"/>
      <c r="BG518" s="847"/>
      <c r="BH518" s="847"/>
      <c r="BI518" s="847"/>
      <c r="BJ518" s="847"/>
      <c r="BK518" s="847"/>
      <c r="BL518" s="847"/>
      <c r="BM518" s="847"/>
      <c r="BN518" s="847"/>
      <c r="BO518" s="847"/>
      <c r="BP518" s="847"/>
      <c r="BQ518" s="847"/>
      <c r="BR518" s="847"/>
      <c r="BS518" s="847"/>
      <c r="BT518" s="847"/>
      <c r="BU518" s="847"/>
      <c r="BV518" s="847"/>
      <c r="BW518" s="847"/>
      <c r="BX518" s="847"/>
      <c r="BY518" s="847"/>
      <c r="BZ518" s="847"/>
      <c r="CA518" s="847"/>
      <c r="CB518" s="847"/>
      <c r="CC518" s="847"/>
      <c r="CD518" s="847"/>
      <c r="CE518" s="847"/>
      <c r="CF518" s="847"/>
      <c r="CG518" s="847"/>
      <c r="CH518" s="847"/>
      <c r="CI518" s="847"/>
      <c r="CJ518" s="847"/>
      <c r="CK518" s="847"/>
      <c r="CL518" s="847"/>
      <c r="CM518" s="847"/>
      <c r="CN518" s="847"/>
      <c r="CO518" s="847"/>
      <c r="CP518" s="847"/>
      <c r="CQ518" s="847"/>
      <c r="CR518" s="847"/>
      <c r="CS518" s="847"/>
      <c r="CT518" s="847"/>
      <c r="CU518" s="847"/>
      <c r="CV518" s="847"/>
      <c r="CW518" s="847"/>
      <c r="CX518" s="847"/>
      <c r="CY518" s="847"/>
      <c r="CZ518" s="847"/>
      <c r="DA518" s="847"/>
      <c r="DB518" s="847"/>
      <c r="DC518" s="847"/>
      <c r="DD518" s="847"/>
      <c r="DE518" s="847"/>
      <c r="DF518" s="847"/>
      <c r="DG518" s="847"/>
      <c r="DH518" s="847"/>
      <c r="DI518" s="847"/>
      <c r="DJ518" s="847"/>
      <c r="DK518" s="847"/>
      <c r="DL518" s="847"/>
      <c r="DM518" s="1212"/>
      <c r="DN518" s="1222" t="e">
        <f>'Lead &amp; ANALYSIS'!#REF!*#REF!+'Lead &amp; ANALYSIS'!#REF!*#REF!</f>
        <v>#REF!</v>
      </c>
      <c r="DO518" s="1013" t="e">
        <f>ROUND(C518*DN518,2)</f>
        <v>#REF!</v>
      </c>
      <c r="DP518" s="847"/>
      <c r="DQ518" s="1013"/>
      <c r="DR518" s="1225"/>
      <c r="DS518" s="1013"/>
      <c r="DT518" s="1225"/>
      <c r="DU518" s="1214"/>
      <c r="DV518" s="1242"/>
      <c r="DW518" s="1232"/>
      <c r="DX518" s="1222"/>
      <c r="DY518" s="847"/>
      <c r="DZ518" s="847"/>
      <c r="EA518" s="847"/>
      <c r="EB518" s="847"/>
      <c r="EC518" s="847"/>
      <c r="ED518" s="847"/>
      <c r="EE518" s="847"/>
      <c r="EF518" s="847"/>
      <c r="EG518" s="1212"/>
      <c r="EH518" s="847"/>
      <c r="EI518" s="1212"/>
    </row>
    <row r="519" spans="1:139" s="733" customFormat="1" ht="13.5">
      <c r="A519" s="1009"/>
      <c r="B519" s="1212" t="str">
        <f t="shared" si="21"/>
        <v>ii.Slushy Soil</v>
      </c>
      <c r="C519" s="1213">
        <v>0</v>
      </c>
      <c r="D519" s="1013" t="s">
        <v>49</v>
      </c>
      <c r="E519" s="847"/>
      <c r="F519" s="1013"/>
      <c r="G519" s="847"/>
      <c r="H519" s="1013"/>
      <c r="I519" s="847"/>
      <c r="J519" s="1013"/>
      <c r="K519" s="847"/>
      <c r="L519" s="1013"/>
      <c r="M519" s="847"/>
      <c r="N519" s="1013"/>
      <c r="O519" s="847"/>
      <c r="P519" s="1013"/>
      <c r="Q519" s="847"/>
      <c r="R519" s="847"/>
      <c r="S519" s="847"/>
      <c r="T519" s="847"/>
      <c r="U519" s="847"/>
      <c r="V519" s="847"/>
      <c r="W519" s="847"/>
      <c r="X519" s="847"/>
      <c r="Y519" s="847"/>
      <c r="Z519" s="847"/>
      <c r="AA519" s="847"/>
      <c r="AB519" s="847"/>
      <c r="AC519" s="847"/>
      <c r="AD519" s="847"/>
      <c r="AE519" s="847"/>
      <c r="AF519" s="847"/>
      <c r="AG519" s="847"/>
      <c r="AH519" s="847"/>
      <c r="AI519" s="847"/>
      <c r="AJ519" s="847"/>
      <c r="AK519" s="847"/>
      <c r="AL519" s="847"/>
      <c r="AM519" s="847"/>
      <c r="AN519" s="847"/>
      <c r="AO519" s="847"/>
      <c r="AP519" s="847"/>
      <c r="AQ519" s="847"/>
      <c r="AR519" s="847"/>
      <c r="AS519" s="847"/>
      <c r="AT519" s="847"/>
      <c r="AU519" s="847"/>
      <c r="AV519" s="847"/>
      <c r="AW519" s="847"/>
      <c r="AX519" s="847"/>
      <c r="AY519" s="847"/>
      <c r="AZ519" s="847"/>
      <c r="BA519" s="847"/>
      <c r="BB519" s="847"/>
      <c r="BC519" s="847"/>
      <c r="BD519" s="847"/>
      <c r="BE519" s="847"/>
      <c r="BF519" s="847"/>
      <c r="BG519" s="847"/>
      <c r="BH519" s="847"/>
      <c r="BI519" s="847"/>
      <c r="BJ519" s="847"/>
      <c r="BK519" s="847"/>
      <c r="BL519" s="847"/>
      <c r="BM519" s="847"/>
      <c r="BN519" s="847"/>
      <c r="BO519" s="847"/>
      <c r="BP519" s="847"/>
      <c r="BQ519" s="847"/>
      <c r="BR519" s="847"/>
      <c r="BS519" s="847"/>
      <c r="BT519" s="847"/>
      <c r="BU519" s="847"/>
      <c r="BV519" s="847"/>
      <c r="BW519" s="847"/>
      <c r="BX519" s="847"/>
      <c r="BY519" s="847"/>
      <c r="BZ519" s="847"/>
      <c r="CA519" s="847"/>
      <c r="CB519" s="847"/>
      <c r="CC519" s="847"/>
      <c r="CD519" s="847"/>
      <c r="CE519" s="847"/>
      <c r="CF519" s="847"/>
      <c r="CG519" s="847"/>
      <c r="CH519" s="847"/>
      <c r="CI519" s="847"/>
      <c r="CJ519" s="847"/>
      <c r="CK519" s="847"/>
      <c r="CL519" s="847"/>
      <c r="CM519" s="847"/>
      <c r="CN519" s="847"/>
      <c r="CO519" s="847"/>
      <c r="CP519" s="847"/>
      <c r="CQ519" s="847"/>
      <c r="CR519" s="847"/>
      <c r="CS519" s="847"/>
      <c r="CT519" s="847"/>
      <c r="CU519" s="847"/>
      <c r="CV519" s="847"/>
      <c r="CW519" s="847"/>
      <c r="CX519" s="847"/>
      <c r="CY519" s="847"/>
      <c r="CZ519" s="847"/>
      <c r="DA519" s="847"/>
      <c r="DB519" s="847"/>
      <c r="DC519" s="847"/>
      <c r="DD519" s="847"/>
      <c r="DE519" s="847"/>
      <c r="DF519" s="847"/>
      <c r="DG519" s="847"/>
      <c r="DH519" s="847"/>
      <c r="DI519" s="847"/>
      <c r="DJ519" s="847"/>
      <c r="DK519" s="847"/>
      <c r="DL519" s="847"/>
      <c r="DM519" s="1212"/>
      <c r="DN519" s="1222" t="e">
        <f>'Lead &amp; ANALYSIS'!#REF!*#REF!+'Lead &amp; ANALYSIS'!#REF!*#REF!</f>
        <v>#REF!</v>
      </c>
      <c r="DO519" s="1013" t="e">
        <f>ROUND(C519*DN519,2)</f>
        <v>#REF!</v>
      </c>
      <c r="DP519" s="847"/>
      <c r="DQ519" s="1013"/>
      <c r="DR519" s="1225"/>
      <c r="DS519" s="1013"/>
      <c r="DT519" s="1225"/>
      <c r="DU519" s="1214"/>
      <c r="DV519" s="1242"/>
      <c r="DW519" s="1232"/>
      <c r="DX519" s="1222"/>
      <c r="DY519" s="847"/>
      <c r="DZ519" s="847"/>
      <c r="EA519" s="847"/>
      <c r="EB519" s="847"/>
      <c r="EC519" s="847"/>
      <c r="ED519" s="847"/>
      <c r="EE519" s="847"/>
      <c r="EF519" s="847"/>
      <c r="EG519" s="1212"/>
      <c r="EH519" s="847"/>
      <c r="EI519" s="1212"/>
    </row>
    <row r="520" spans="1:139" s="733" customFormat="1" ht="13.5">
      <c r="A520" s="1009"/>
      <c r="B520" s="1212" t="str">
        <f t="shared" si="21"/>
        <v>iii.Hard Sooil</v>
      </c>
      <c r="C520" s="1213">
        <v>0</v>
      </c>
      <c r="D520" s="1013" t="s">
        <v>49</v>
      </c>
      <c r="E520" s="847"/>
      <c r="F520" s="1013"/>
      <c r="G520" s="847"/>
      <c r="H520" s="1013"/>
      <c r="I520" s="847"/>
      <c r="J520" s="1013"/>
      <c r="K520" s="847"/>
      <c r="L520" s="1013"/>
      <c r="M520" s="847"/>
      <c r="N520" s="1013"/>
      <c r="O520" s="847"/>
      <c r="P520" s="1013"/>
      <c r="Q520" s="847"/>
      <c r="R520" s="847"/>
      <c r="S520" s="847"/>
      <c r="T520" s="847"/>
      <c r="U520" s="847"/>
      <c r="V520" s="847"/>
      <c r="W520" s="847"/>
      <c r="X520" s="847"/>
      <c r="Y520" s="847"/>
      <c r="Z520" s="847"/>
      <c r="AA520" s="847"/>
      <c r="AB520" s="847"/>
      <c r="AC520" s="847"/>
      <c r="AD520" s="847"/>
      <c r="AE520" s="847"/>
      <c r="AF520" s="847"/>
      <c r="AG520" s="847"/>
      <c r="AH520" s="847"/>
      <c r="AI520" s="847"/>
      <c r="AJ520" s="847"/>
      <c r="AK520" s="847"/>
      <c r="AL520" s="847"/>
      <c r="AM520" s="847"/>
      <c r="AN520" s="847"/>
      <c r="AO520" s="847"/>
      <c r="AP520" s="847"/>
      <c r="AQ520" s="847"/>
      <c r="AR520" s="847"/>
      <c r="AS520" s="847"/>
      <c r="AT520" s="847"/>
      <c r="AU520" s="847"/>
      <c r="AV520" s="847"/>
      <c r="AW520" s="847"/>
      <c r="AX520" s="847"/>
      <c r="AY520" s="847"/>
      <c r="AZ520" s="847"/>
      <c r="BA520" s="847"/>
      <c r="BB520" s="847"/>
      <c r="BC520" s="847"/>
      <c r="BD520" s="847"/>
      <c r="BE520" s="847"/>
      <c r="BF520" s="847"/>
      <c r="BG520" s="847"/>
      <c r="BH520" s="847"/>
      <c r="BI520" s="847"/>
      <c r="BJ520" s="847"/>
      <c r="BK520" s="847"/>
      <c r="BL520" s="847"/>
      <c r="BM520" s="847"/>
      <c r="BN520" s="847"/>
      <c r="BO520" s="847"/>
      <c r="BP520" s="847"/>
      <c r="BQ520" s="847"/>
      <c r="BR520" s="847"/>
      <c r="BS520" s="847"/>
      <c r="BT520" s="847"/>
      <c r="BU520" s="847"/>
      <c r="BV520" s="847"/>
      <c r="BW520" s="847"/>
      <c r="BX520" s="847"/>
      <c r="BY520" s="847"/>
      <c r="BZ520" s="847"/>
      <c r="CA520" s="847"/>
      <c r="CB520" s="847"/>
      <c r="CC520" s="847"/>
      <c r="CD520" s="847"/>
      <c r="CE520" s="847"/>
      <c r="CF520" s="847"/>
      <c r="CG520" s="847"/>
      <c r="CH520" s="847"/>
      <c r="CI520" s="847"/>
      <c r="CJ520" s="847"/>
      <c r="CK520" s="847"/>
      <c r="CL520" s="847"/>
      <c r="CM520" s="847"/>
      <c r="CN520" s="847"/>
      <c r="CO520" s="847"/>
      <c r="CP520" s="847"/>
      <c r="CQ520" s="847"/>
      <c r="CR520" s="847"/>
      <c r="CS520" s="847"/>
      <c r="CT520" s="847"/>
      <c r="CU520" s="847"/>
      <c r="CV520" s="847"/>
      <c r="CW520" s="847"/>
      <c r="CX520" s="847"/>
      <c r="CY520" s="847"/>
      <c r="CZ520" s="847"/>
      <c r="DA520" s="847"/>
      <c r="DB520" s="847"/>
      <c r="DC520" s="847"/>
      <c r="DD520" s="847"/>
      <c r="DE520" s="847"/>
      <c r="DF520" s="847"/>
      <c r="DG520" s="847"/>
      <c r="DH520" s="847"/>
      <c r="DI520" s="847"/>
      <c r="DJ520" s="847"/>
      <c r="DK520" s="847"/>
      <c r="DL520" s="847"/>
      <c r="DM520" s="1212"/>
      <c r="DN520" s="1222" t="e">
        <f>'Lead &amp; ANALYSIS'!#REF!*#REF!+'Lead &amp; ANALYSIS'!#REF!*#REF!</f>
        <v>#REF!</v>
      </c>
      <c r="DO520" s="1013" t="e">
        <f>ROUND(C520*DN520,2)</f>
        <v>#REF!</v>
      </c>
      <c r="DP520" s="847"/>
      <c r="DQ520" s="1013"/>
      <c r="DR520" s="1225"/>
      <c r="DS520" s="1013"/>
      <c r="DT520" s="1225"/>
      <c r="DU520" s="1214"/>
      <c r="DV520" s="1242"/>
      <c r="DW520" s="1232"/>
      <c r="DX520" s="1222"/>
      <c r="DY520" s="847"/>
      <c r="DZ520" s="847"/>
      <c r="EA520" s="847"/>
      <c r="EB520" s="847"/>
      <c r="EC520" s="847"/>
      <c r="ED520" s="847"/>
      <c r="EE520" s="847"/>
      <c r="EF520" s="847"/>
      <c r="EG520" s="1212"/>
      <c r="EH520" s="847"/>
      <c r="EI520" s="1212"/>
    </row>
    <row r="521" spans="1:139" s="733" customFormat="1" ht="13.5">
      <c r="A521" s="1009"/>
      <c r="B521" s="1212" t="str">
        <f t="shared" si="21"/>
        <v>IV.Stony Earth</v>
      </c>
      <c r="C521" s="1213">
        <v>0</v>
      </c>
      <c r="D521" s="1013" t="s">
        <v>49</v>
      </c>
      <c r="E521" s="847"/>
      <c r="F521" s="1013"/>
      <c r="G521" s="847"/>
      <c r="H521" s="1013"/>
      <c r="I521" s="847"/>
      <c r="J521" s="1013"/>
      <c r="K521" s="847"/>
      <c r="L521" s="1013"/>
      <c r="M521" s="847"/>
      <c r="N521" s="1013"/>
      <c r="O521" s="847"/>
      <c r="P521" s="1013"/>
      <c r="Q521" s="847"/>
      <c r="R521" s="847"/>
      <c r="S521" s="847"/>
      <c r="T521" s="847"/>
      <c r="U521" s="847"/>
      <c r="V521" s="847"/>
      <c r="W521" s="847"/>
      <c r="X521" s="847"/>
      <c r="Y521" s="847"/>
      <c r="Z521" s="847"/>
      <c r="AA521" s="847"/>
      <c r="AB521" s="847"/>
      <c r="AC521" s="847"/>
      <c r="AD521" s="847"/>
      <c r="AE521" s="847"/>
      <c r="AF521" s="847"/>
      <c r="AG521" s="847"/>
      <c r="AH521" s="847"/>
      <c r="AI521" s="847"/>
      <c r="AJ521" s="847"/>
      <c r="AK521" s="847"/>
      <c r="AL521" s="847"/>
      <c r="AM521" s="847"/>
      <c r="AN521" s="847"/>
      <c r="AO521" s="847"/>
      <c r="AP521" s="847"/>
      <c r="AQ521" s="847"/>
      <c r="AR521" s="847"/>
      <c r="AS521" s="847"/>
      <c r="AT521" s="847"/>
      <c r="AU521" s="847"/>
      <c r="AV521" s="847"/>
      <c r="AW521" s="847"/>
      <c r="AX521" s="847"/>
      <c r="AY521" s="847"/>
      <c r="AZ521" s="847"/>
      <c r="BA521" s="847"/>
      <c r="BB521" s="847"/>
      <c r="BC521" s="847"/>
      <c r="BD521" s="847"/>
      <c r="BE521" s="847"/>
      <c r="BF521" s="847"/>
      <c r="BG521" s="847"/>
      <c r="BH521" s="847"/>
      <c r="BI521" s="847"/>
      <c r="BJ521" s="847"/>
      <c r="BK521" s="847"/>
      <c r="BL521" s="847"/>
      <c r="BM521" s="847"/>
      <c r="BN521" s="847"/>
      <c r="BO521" s="847"/>
      <c r="BP521" s="847"/>
      <c r="BQ521" s="847"/>
      <c r="BR521" s="847"/>
      <c r="BS521" s="847"/>
      <c r="BT521" s="847"/>
      <c r="BU521" s="847"/>
      <c r="BV521" s="847"/>
      <c r="BW521" s="847"/>
      <c r="BX521" s="847"/>
      <c r="BY521" s="847"/>
      <c r="BZ521" s="847"/>
      <c r="CA521" s="847"/>
      <c r="CB521" s="847"/>
      <c r="CC521" s="847"/>
      <c r="CD521" s="847"/>
      <c r="CE521" s="847"/>
      <c r="CF521" s="847"/>
      <c r="CG521" s="847"/>
      <c r="CH521" s="847"/>
      <c r="CI521" s="847"/>
      <c r="CJ521" s="847"/>
      <c r="CK521" s="847"/>
      <c r="CL521" s="847"/>
      <c r="CM521" s="847"/>
      <c r="CN521" s="847"/>
      <c r="CO521" s="847"/>
      <c r="CP521" s="847"/>
      <c r="CQ521" s="847"/>
      <c r="CR521" s="847"/>
      <c r="CS521" s="847"/>
      <c r="CT521" s="847"/>
      <c r="CU521" s="847"/>
      <c r="CV521" s="847"/>
      <c r="CW521" s="847"/>
      <c r="CX521" s="847"/>
      <c r="CY521" s="847"/>
      <c r="CZ521" s="847"/>
      <c r="DA521" s="847"/>
      <c r="DB521" s="847"/>
      <c r="DC521" s="847"/>
      <c r="DD521" s="847"/>
      <c r="DE521" s="847"/>
      <c r="DF521" s="847"/>
      <c r="DG521" s="847"/>
      <c r="DH521" s="847"/>
      <c r="DI521" s="847"/>
      <c r="DJ521" s="847"/>
      <c r="DK521" s="847"/>
      <c r="DL521" s="847"/>
      <c r="DM521" s="1212"/>
      <c r="DN521" s="1222" t="e">
        <f>'Lead &amp; ANALYSIS'!#REF!*#REF!+'Lead &amp; ANALYSIS'!#REF!*#REF!</f>
        <v>#REF!</v>
      </c>
      <c r="DO521" s="1013" t="e">
        <f>ROUND(C521*DN521,2)</f>
        <v>#REF!</v>
      </c>
      <c r="DP521" s="847"/>
      <c r="DQ521" s="1013"/>
      <c r="DR521" s="1225"/>
      <c r="DS521" s="1013"/>
      <c r="DT521" s="1225"/>
      <c r="DU521" s="1214"/>
      <c r="DV521" s="1242"/>
      <c r="DW521" s="1232"/>
      <c r="DX521" s="1222"/>
      <c r="DY521" s="847"/>
      <c r="DZ521" s="847"/>
      <c r="EA521" s="847"/>
      <c r="EB521" s="847"/>
      <c r="EC521" s="847"/>
      <c r="ED521" s="847"/>
      <c r="EE521" s="847"/>
      <c r="EF521" s="847"/>
      <c r="EG521" s="1212"/>
      <c r="EH521" s="847"/>
      <c r="EI521" s="1212"/>
    </row>
    <row r="522" spans="1:139" s="733" customFormat="1" ht="13.5">
      <c r="A522" s="1009"/>
      <c r="B522" s="1212" t="str">
        <f>B473</f>
        <v>V.All Kinds of Soil</v>
      </c>
      <c r="C522" s="1213">
        <v>0</v>
      </c>
      <c r="D522" s="1013" t="s">
        <v>49</v>
      </c>
      <c r="E522" s="847"/>
      <c r="F522" s="1013"/>
      <c r="G522" s="847"/>
      <c r="H522" s="1013"/>
      <c r="I522" s="847"/>
      <c r="J522" s="1013"/>
      <c r="K522" s="847"/>
      <c r="L522" s="1013"/>
      <c r="M522" s="847"/>
      <c r="N522" s="1013"/>
      <c r="O522" s="847"/>
      <c r="P522" s="1013"/>
      <c r="Q522" s="847"/>
      <c r="R522" s="847"/>
      <c r="S522" s="847"/>
      <c r="T522" s="847"/>
      <c r="U522" s="847"/>
      <c r="V522" s="847"/>
      <c r="W522" s="847"/>
      <c r="X522" s="847"/>
      <c r="Y522" s="847"/>
      <c r="Z522" s="847"/>
      <c r="AA522" s="847"/>
      <c r="AB522" s="847"/>
      <c r="AC522" s="847"/>
      <c r="AD522" s="847"/>
      <c r="AE522" s="847"/>
      <c r="AF522" s="847"/>
      <c r="AG522" s="847"/>
      <c r="AH522" s="847"/>
      <c r="AI522" s="847"/>
      <c r="AJ522" s="847"/>
      <c r="AK522" s="847"/>
      <c r="AL522" s="847"/>
      <c r="AM522" s="847"/>
      <c r="AN522" s="847"/>
      <c r="AO522" s="847"/>
      <c r="AP522" s="847"/>
      <c r="AQ522" s="847"/>
      <c r="AR522" s="847"/>
      <c r="AS522" s="847"/>
      <c r="AT522" s="847"/>
      <c r="AU522" s="847"/>
      <c r="AV522" s="847"/>
      <c r="AW522" s="847"/>
      <c r="AX522" s="847"/>
      <c r="AY522" s="847"/>
      <c r="AZ522" s="847"/>
      <c r="BA522" s="847"/>
      <c r="BB522" s="847"/>
      <c r="BC522" s="847"/>
      <c r="BD522" s="847"/>
      <c r="BE522" s="847"/>
      <c r="BF522" s="847"/>
      <c r="BG522" s="847"/>
      <c r="BH522" s="847"/>
      <c r="BI522" s="847"/>
      <c r="BJ522" s="847"/>
      <c r="BK522" s="847"/>
      <c r="BL522" s="847"/>
      <c r="BM522" s="847"/>
      <c r="BN522" s="847"/>
      <c r="BO522" s="847"/>
      <c r="BP522" s="847"/>
      <c r="BQ522" s="847"/>
      <c r="BR522" s="847"/>
      <c r="BS522" s="847"/>
      <c r="BT522" s="847"/>
      <c r="BU522" s="847"/>
      <c r="BV522" s="847"/>
      <c r="BW522" s="847"/>
      <c r="BX522" s="847"/>
      <c r="BY522" s="847"/>
      <c r="BZ522" s="847"/>
      <c r="CA522" s="847"/>
      <c r="CB522" s="847"/>
      <c r="CC522" s="847"/>
      <c r="CD522" s="847"/>
      <c r="CE522" s="847"/>
      <c r="CF522" s="847"/>
      <c r="CG522" s="847"/>
      <c r="CH522" s="847"/>
      <c r="CI522" s="847"/>
      <c r="CJ522" s="847"/>
      <c r="CK522" s="847"/>
      <c r="CL522" s="847"/>
      <c r="CM522" s="847"/>
      <c r="CN522" s="847"/>
      <c r="CO522" s="847"/>
      <c r="CP522" s="847"/>
      <c r="CQ522" s="847"/>
      <c r="CR522" s="847"/>
      <c r="CS522" s="847"/>
      <c r="CT522" s="847"/>
      <c r="CU522" s="847"/>
      <c r="CV522" s="847"/>
      <c r="CW522" s="847"/>
      <c r="CX522" s="847"/>
      <c r="CY522" s="847"/>
      <c r="CZ522" s="847"/>
      <c r="DA522" s="847"/>
      <c r="DB522" s="847"/>
      <c r="DC522" s="847"/>
      <c r="DD522" s="847"/>
      <c r="DE522" s="847"/>
      <c r="DF522" s="847"/>
      <c r="DG522" s="847"/>
      <c r="DH522" s="847"/>
      <c r="DI522" s="847"/>
      <c r="DJ522" s="847"/>
      <c r="DK522" s="847"/>
      <c r="DL522" s="847"/>
      <c r="DM522" s="1212"/>
      <c r="DN522" s="1222" t="e">
        <f>'Lead &amp; ANALYSIS'!#REF!*#REF!+'Lead &amp; ANALYSIS'!#REF!*#REF!</f>
        <v>#REF!</v>
      </c>
      <c r="DO522" s="1013" t="e">
        <f>ROUND(C522*DN522,2)</f>
        <v>#REF!</v>
      </c>
      <c r="DP522" s="847"/>
      <c r="DQ522" s="1013"/>
      <c r="DR522" s="1225"/>
      <c r="DS522" s="1013"/>
      <c r="DT522" s="1225"/>
      <c r="DU522" s="1214"/>
      <c r="DV522" s="1242"/>
      <c r="DW522" s="1232"/>
      <c r="DX522" s="1222"/>
      <c r="DY522" s="847"/>
      <c r="DZ522" s="847"/>
      <c r="EA522" s="847"/>
      <c r="EB522" s="847"/>
      <c r="EC522" s="847"/>
      <c r="ED522" s="847"/>
      <c r="EE522" s="847"/>
      <c r="EF522" s="847"/>
      <c r="EG522" s="1212"/>
      <c r="EH522" s="847"/>
      <c r="EI522" s="1212"/>
    </row>
    <row r="523" spans="1:139" s="733" customFormat="1" ht="13.5">
      <c r="A523" s="1009"/>
      <c r="B523" s="1245" t="str">
        <f t="shared" si="21"/>
        <v>G. 7TH DEPTH OF 1.5MTR</v>
      </c>
      <c r="C523" s="1213">
        <v>0</v>
      </c>
      <c r="D523" s="1013" t="s">
        <v>49</v>
      </c>
      <c r="E523" s="847"/>
      <c r="F523" s="1013"/>
      <c r="G523" s="847"/>
      <c r="H523" s="1013"/>
      <c r="I523" s="847"/>
      <c r="J523" s="1013"/>
      <c r="K523" s="847"/>
      <c r="L523" s="1013"/>
      <c r="M523" s="847"/>
      <c r="N523" s="1013"/>
      <c r="O523" s="847"/>
      <c r="P523" s="1013"/>
      <c r="Q523" s="847"/>
      <c r="R523" s="847"/>
      <c r="S523" s="847"/>
      <c r="T523" s="847"/>
      <c r="U523" s="847"/>
      <c r="V523" s="847"/>
      <c r="W523" s="847"/>
      <c r="X523" s="847"/>
      <c r="Y523" s="847"/>
      <c r="Z523" s="847"/>
      <c r="AA523" s="847"/>
      <c r="AB523" s="847"/>
      <c r="AC523" s="847"/>
      <c r="AD523" s="847"/>
      <c r="AE523" s="847"/>
      <c r="AF523" s="847"/>
      <c r="AG523" s="847"/>
      <c r="AH523" s="847"/>
      <c r="AI523" s="847"/>
      <c r="AJ523" s="847"/>
      <c r="AK523" s="847"/>
      <c r="AL523" s="847"/>
      <c r="AM523" s="847"/>
      <c r="AN523" s="847"/>
      <c r="AO523" s="847"/>
      <c r="AP523" s="847"/>
      <c r="AQ523" s="847"/>
      <c r="AR523" s="847"/>
      <c r="AS523" s="847"/>
      <c r="AT523" s="847"/>
      <c r="AU523" s="847"/>
      <c r="AV523" s="847"/>
      <c r="AW523" s="847"/>
      <c r="AX523" s="847"/>
      <c r="AY523" s="847"/>
      <c r="AZ523" s="847"/>
      <c r="BA523" s="847"/>
      <c r="BB523" s="847"/>
      <c r="BC523" s="847"/>
      <c r="BD523" s="847"/>
      <c r="BE523" s="847"/>
      <c r="BF523" s="847"/>
      <c r="BG523" s="847"/>
      <c r="BH523" s="847"/>
      <c r="BI523" s="847"/>
      <c r="BJ523" s="847"/>
      <c r="BK523" s="847"/>
      <c r="BL523" s="847"/>
      <c r="BM523" s="847"/>
      <c r="BN523" s="847"/>
      <c r="BO523" s="847"/>
      <c r="BP523" s="847"/>
      <c r="BQ523" s="847"/>
      <c r="BR523" s="847"/>
      <c r="BS523" s="847"/>
      <c r="BT523" s="847"/>
      <c r="BU523" s="847"/>
      <c r="BV523" s="847"/>
      <c r="BW523" s="847"/>
      <c r="BX523" s="847"/>
      <c r="BY523" s="847"/>
      <c r="BZ523" s="847"/>
      <c r="CA523" s="847"/>
      <c r="CB523" s="847"/>
      <c r="CC523" s="847"/>
      <c r="CD523" s="847"/>
      <c r="CE523" s="847"/>
      <c r="CF523" s="847"/>
      <c r="CG523" s="847"/>
      <c r="CH523" s="847"/>
      <c r="CI523" s="847"/>
      <c r="CJ523" s="847"/>
      <c r="CK523" s="847"/>
      <c r="CL523" s="847"/>
      <c r="CM523" s="847"/>
      <c r="CN523" s="847"/>
      <c r="CO523" s="847"/>
      <c r="CP523" s="847"/>
      <c r="CQ523" s="847"/>
      <c r="CR523" s="847"/>
      <c r="CS523" s="847"/>
      <c r="CT523" s="847"/>
      <c r="CU523" s="847"/>
      <c r="CV523" s="847"/>
      <c r="CW523" s="847"/>
      <c r="CX523" s="847"/>
      <c r="CY523" s="847"/>
      <c r="CZ523" s="847"/>
      <c r="DA523" s="847"/>
      <c r="DB523" s="847"/>
      <c r="DC523" s="847"/>
      <c r="DD523" s="847"/>
      <c r="DE523" s="847"/>
      <c r="DF523" s="847"/>
      <c r="DG523" s="847"/>
      <c r="DH523" s="847"/>
      <c r="DI523" s="847"/>
      <c r="DJ523" s="847"/>
      <c r="DK523" s="847"/>
      <c r="DL523" s="847"/>
      <c r="DM523" s="1212"/>
      <c r="DN523" s="1222"/>
      <c r="DO523" s="1013"/>
      <c r="DP523" s="847"/>
      <c r="DQ523" s="1013"/>
      <c r="DR523" s="1225"/>
      <c r="DS523" s="1013"/>
      <c r="DT523" s="1225"/>
      <c r="DU523" s="1214"/>
      <c r="DV523" s="1242"/>
      <c r="DW523" s="1232"/>
      <c r="DX523" s="1222"/>
      <c r="DY523" s="847"/>
      <c r="DZ523" s="847"/>
      <c r="EA523" s="847"/>
      <c r="EB523" s="847"/>
      <c r="EC523" s="847"/>
      <c r="ED523" s="847"/>
      <c r="EE523" s="847"/>
      <c r="EF523" s="847"/>
      <c r="EG523" s="1212"/>
      <c r="EH523" s="847"/>
      <c r="EI523" s="1212"/>
    </row>
    <row r="524" spans="1:139" s="733" customFormat="1" ht="13.5">
      <c r="A524" s="1009"/>
      <c r="B524" s="1212" t="str">
        <f t="shared" si="21"/>
        <v>i.Ordinary Soil.</v>
      </c>
      <c r="C524" s="1213">
        <v>0</v>
      </c>
      <c r="D524" s="1013" t="s">
        <v>49</v>
      </c>
      <c r="E524" s="847"/>
      <c r="F524" s="1013"/>
      <c r="G524" s="847"/>
      <c r="H524" s="1013"/>
      <c r="I524" s="847"/>
      <c r="J524" s="1013"/>
      <c r="K524" s="847"/>
      <c r="L524" s="1013"/>
      <c r="M524" s="847"/>
      <c r="N524" s="1013"/>
      <c r="O524" s="847"/>
      <c r="P524" s="1013"/>
      <c r="Q524" s="847"/>
      <c r="R524" s="847"/>
      <c r="S524" s="847"/>
      <c r="T524" s="847"/>
      <c r="U524" s="847"/>
      <c r="V524" s="847"/>
      <c r="W524" s="847"/>
      <c r="X524" s="847"/>
      <c r="Y524" s="847"/>
      <c r="Z524" s="847"/>
      <c r="AA524" s="847"/>
      <c r="AB524" s="847"/>
      <c r="AC524" s="847"/>
      <c r="AD524" s="847"/>
      <c r="AE524" s="847"/>
      <c r="AF524" s="847"/>
      <c r="AG524" s="847"/>
      <c r="AH524" s="847"/>
      <c r="AI524" s="847"/>
      <c r="AJ524" s="847"/>
      <c r="AK524" s="847"/>
      <c r="AL524" s="847"/>
      <c r="AM524" s="847"/>
      <c r="AN524" s="847"/>
      <c r="AO524" s="847"/>
      <c r="AP524" s="847"/>
      <c r="AQ524" s="847"/>
      <c r="AR524" s="847"/>
      <c r="AS524" s="847"/>
      <c r="AT524" s="847"/>
      <c r="AU524" s="847"/>
      <c r="AV524" s="847"/>
      <c r="AW524" s="847"/>
      <c r="AX524" s="847"/>
      <c r="AY524" s="847"/>
      <c r="AZ524" s="847"/>
      <c r="BA524" s="847"/>
      <c r="BB524" s="847"/>
      <c r="BC524" s="847"/>
      <c r="BD524" s="847"/>
      <c r="BE524" s="847"/>
      <c r="BF524" s="847"/>
      <c r="BG524" s="847"/>
      <c r="BH524" s="847"/>
      <c r="BI524" s="847"/>
      <c r="BJ524" s="847"/>
      <c r="BK524" s="847"/>
      <c r="BL524" s="847"/>
      <c r="BM524" s="847"/>
      <c r="BN524" s="847"/>
      <c r="BO524" s="847"/>
      <c r="BP524" s="847"/>
      <c r="BQ524" s="847"/>
      <c r="BR524" s="847"/>
      <c r="BS524" s="847"/>
      <c r="BT524" s="847"/>
      <c r="BU524" s="847"/>
      <c r="BV524" s="847"/>
      <c r="BW524" s="847"/>
      <c r="BX524" s="847"/>
      <c r="BY524" s="847"/>
      <c r="BZ524" s="847"/>
      <c r="CA524" s="847"/>
      <c r="CB524" s="847"/>
      <c r="CC524" s="847"/>
      <c r="CD524" s="847"/>
      <c r="CE524" s="847"/>
      <c r="CF524" s="847"/>
      <c r="CG524" s="847"/>
      <c r="CH524" s="847"/>
      <c r="CI524" s="847"/>
      <c r="CJ524" s="847"/>
      <c r="CK524" s="847"/>
      <c r="CL524" s="847"/>
      <c r="CM524" s="847"/>
      <c r="CN524" s="847"/>
      <c r="CO524" s="847"/>
      <c r="CP524" s="847"/>
      <c r="CQ524" s="847"/>
      <c r="CR524" s="847"/>
      <c r="CS524" s="847"/>
      <c r="CT524" s="847"/>
      <c r="CU524" s="847"/>
      <c r="CV524" s="847"/>
      <c r="CW524" s="847"/>
      <c r="CX524" s="847"/>
      <c r="CY524" s="847"/>
      <c r="CZ524" s="847"/>
      <c r="DA524" s="847"/>
      <c r="DB524" s="847"/>
      <c r="DC524" s="847"/>
      <c r="DD524" s="847"/>
      <c r="DE524" s="847"/>
      <c r="DF524" s="847"/>
      <c r="DG524" s="847"/>
      <c r="DH524" s="847"/>
      <c r="DI524" s="847"/>
      <c r="DJ524" s="847"/>
      <c r="DK524" s="847"/>
      <c r="DL524" s="847"/>
      <c r="DM524" s="1212"/>
      <c r="DN524" s="1222" t="e">
        <f>'Lead &amp; ANALYSIS'!#REF!*#REF!+'Lead &amp; ANALYSIS'!#REF!*#REF!</f>
        <v>#REF!</v>
      </c>
      <c r="DO524" s="1013" t="e">
        <f>ROUND(C524*DN524,2)</f>
        <v>#REF!</v>
      </c>
      <c r="DP524" s="847"/>
      <c r="DQ524" s="1013"/>
      <c r="DR524" s="1225"/>
      <c r="DS524" s="1013"/>
      <c r="DT524" s="1225"/>
      <c r="DU524" s="1214"/>
      <c r="DV524" s="1242"/>
      <c r="DW524" s="1232"/>
      <c r="DX524" s="1222"/>
      <c r="DY524" s="847"/>
      <c r="DZ524" s="847"/>
      <c r="EA524" s="847"/>
      <c r="EB524" s="847"/>
      <c r="EC524" s="847"/>
      <c r="ED524" s="847"/>
      <c r="EE524" s="847"/>
      <c r="EF524" s="847"/>
      <c r="EG524" s="1212"/>
      <c r="EH524" s="847"/>
      <c r="EI524" s="1212"/>
    </row>
    <row r="525" spans="1:139" s="733" customFormat="1" ht="13.5">
      <c r="A525" s="1009"/>
      <c r="B525" s="1212" t="str">
        <f t="shared" si="21"/>
        <v>ii.Slushy Soil</v>
      </c>
      <c r="C525" s="1213">
        <v>0</v>
      </c>
      <c r="D525" s="1013" t="s">
        <v>49</v>
      </c>
      <c r="E525" s="847"/>
      <c r="F525" s="1013"/>
      <c r="G525" s="847"/>
      <c r="H525" s="1013"/>
      <c r="I525" s="847"/>
      <c r="J525" s="1013"/>
      <c r="K525" s="847"/>
      <c r="L525" s="1013"/>
      <c r="M525" s="847"/>
      <c r="N525" s="1013"/>
      <c r="O525" s="847"/>
      <c r="P525" s="1013"/>
      <c r="Q525" s="847"/>
      <c r="R525" s="847"/>
      <c r="S525" s="847"/>
      <c r="T525" s="847"/>
      <c r="U525" s="847"/>
      <c r="V525" s="847"/>
      <c r="W525" s="847"/>
      <c r="X525" s="847"/>
      <c r="Y525" s="847"/>
      <c r="Z525" s="847"/>
      <c r="AA525" s="847"/>
      <c r="AB525" s="847"/>
      <c r="AC525" s="847"/>
      <c r="AD525" s="847"/>
      <c r="AE525" s="847"/>
      <c r="AF525" s="847"/>
      <c r="AG525" s="847"/>
      <c r="AH525" s="847"/>
      <c r="AI525" s="847"/>
      <c r="AJ525" s="847"/>
      <c r="AK525" s="847"/>
      <c r="AL525" s="847"/>
      <c r="AM525" s="847"/>
      <c r="AN525" s="847"/>
      <c r="AO525" s="847"/>
      <c r="AP525" s="847"/>
      <c r="AQ525" s="847"/>
      <c r="AR525" s="847"/>
      <c r="AS525" s="847"/>
      <c r="AT525" s="847"/>
      <c r="AU525" s="847"/>
      <c r="AV525" s="847"/>
      <c r="AW525" s="847"/>
      <c r="AX525" s="847"/>
      <c r="AY525" s="847"/>
      <c r="AZ525" s="847"/>
      <c r="BA525" s="847"/>
      <c r="BB525" s="847"/>
      <c r="BC525" s="847"/>
      <c r="BD525" s="847"/>
      <c r="BE525" s="847"/>
      <c r="BF525" s="847"/>
      <c r="BG525" s="847"/>
      <c r="BH525" s="847"/>
      <c r="BI525" s="847"/>
      <c r="BJ525" s="847"/>
      <c r="BK525" s="847"/>
      <c r="BL525" s="847"/>
      <c r="BM525" s="847"/>
      <c r="BN525" s="847"/>
      <c r="BO525" s="847"/>
      <c r="BP525" s="847"/>
      <c r="BQ525" s="847"/>
      <c r="BR525" s="847"/>
      <c r="BS525" s="847"/>
      <c r="BT525" s="847"/>
      <c r="BU525" s="847"/>
      <c r="BV525" s="847"/>
      <c r="BW525" s="847"/>
      <c r="BX525" s="847"/>
      <c r="BY525" s="847"/>
      <c r="BZ525" s="847"/>
      <c r="CA525" s="847"/>
      <c r="CB525" s="847"/>
      <c r="CC525" s="847"/>
      <c r="CD525" s="847"/>
      <c r="CE525" s="847"/>
      <c r="CF525" s="847"/>
      <c r="CG525" s="847"/>
      <c r="CH525" s="847"/>
      <c r="CI525" s="847"/>
      <c r="CJ525" s="847"/>
      <c r="CK525" s="847"/>
      <c r="CL525" s="847"/>
      <c r="CM525" s="847"/>
      <c r="CN525" s="847"/>
      <c r="CO525" s="847"/>
      <c r="CP525" s="847"/>
      <c r="CQ525" s="847"/>
      <c r="CR525" s="847"/>
      <c r="CS525" s="847"/>
      <c r="CT525" s="847"/>
      <c r="CU525" s="847"/>
      <c r="CV525" s="847"/>
      <c r="CW525" s="847"/>
      <c r="CX525" s="847"/>
      <c r="CY525" s="847"/>
      <c r="CZ525" s="847"/>
      <c r="DA525" s="847"/>
      <c r="DB525" s="847"/>
      <c r="DC525" s="847"/>
      <c r="DD525" s="847"/>
      <c r="DE525" s="847"/>
      <c r="DF525" s="847"/>
      <c r="DG525" s="847"/>
      <c r="DH525" s="847"/>
      <c r="DI525" s="847"/>
      <c r="DJ525" s="847"/>
      <c r="DK525" s="847"/>
      <c r="DL525" s="847"/>
      <c r="DM525" s="1212"/>
      <c r="DN525" s="1222" t="e">
        <f>'Lead &amp; ANALYSIS'!#REF!*#REF!+'Lead &amp; ANALYSIS'!#REF!*#REF!</f>
        <v>#REF!</v>
      </c>
      <c r="DO525" s="1013" t="e">
        <f>ROUND(C525*DN525,2)</f>
        <v>#REF!</v>
      </c>
      <c r="DP525" s="847"/>
      <c r="DQ525" s="1013"/>
      <c r="DR525" s="1225"/>
      <c r="DS525" s="1013"/>
      <c r="DT525" s="1225"/>
      <c r="DU525" s="1214"/>
      <c r="DV525" s="1242"/>
      <c r="DW525" s="1232"/>
      <c r="DX525" s="1222"/>
      <c r="DY525" s="847"/>
      <c r="DZ525" s="847"/>
      <c r="EA525" s="847"/>
      <c r="EB525" s="847"/>
      <c r="EC525" s="847"/>
      <c r="ED525" s="847"/>
      <c r="EE525" s="847"/>
      <c r="EF525" s="847"/>
      <c r="EG525" s="1212"/>
      <c r="EH525" s="847"/>
      <c r="EI525" s="1212"/>
    </row>
    <row r="526" spans="1:139" s="733" customFormat="1" ht="13.5">
      <c r="A526" s="1009"/>
      <c r="B526" s="1212" t="str">
        <f t="shared" si="21"/>
        <v>iii.Hard Sooil</v>
      </c>
      <c r="C526" s="1213">
        <v>0</v>
      </c>
      <c r="D526" s="1013" t="s">
        <v>49</v>
      </c>
      <c r="E526" s="847"/>
      <c r="F526" s="1013"/>
      <c r="G526" s="847"/>
      <c r="H526" s="1013"/>
      <c r="I526" s="847"/>
      <c r="J526" s="1013"/>
      <c r="K526" s="847"/>
      <c r="L526" s="1013"/>
      <c r="M526" s="847"/>
      <c r="N526" s="1013"/>
      <c r="O526" s="847"/>
      <c r="P526" s="1013"/>
      <c r="Q526" s="847"/>
      <c r="R526" s="847"/>
      <c r="S526" s="847"/>
      <c r="T526" s="847"/>
      <c r="U526" s="847"/>
      <c r="V526" s="847"/>
      <c r="W526" s="847"/>
      <c r="X526" s="847"/>
      <c r="Y526" s="847"/>
      <c r="Z526" s="847"/>
      <c r="AA526" s="847"/>
      <c r="AB526" s="847"/>
      <c r="AC526" s="847"/>
      <c r="AD526" s="847"/>
      <c r="AE526" s="847"/>
      <c r="AF526" s="847"/>
      <c r="AG526" s="847"/>
      <c r="AH526" s="847"/>
      <c r="AI526" s="847"/>
      <c r="AJ526" s="847"/>
      <c r="AK526" s="847"/>
      <c r="AL526" s="847"/>
      <c r="AM526" s="847"/>
      <c r="AN526" s="847"/>
      <c r="AO526" s="847"/>
      <c r="AP526" s="847"/>
      <c r="AQ526" s="847"/>
      <c r="AR526" s="847"/>
      <c r="AS526" s="847"/>
      <c r="AT526" s="847"/>
      <c r="AU526" s="847"/>
      <c r="AV526" s="847"/>
      <c r="AW526" s="847"/>
      <c r="AX526" s="847"/>
      <c r="AY526" s="847"/>
      <c r="AZ526" s="847"/>
      <c r="BA526" s="847"/>
      <c r="BB526" s="847"/>
      <c r="BC526" s="847"/>
      <c r="BD526" s="847"/>
      <c r="BE526" s="847"/>
      <c r="BF526" s="847"/>
      <c r="BG526" s="847"/>
      <c r="BH526" s="847"/>
      <c r="BI526" s="847"/>
      <c r="BJ526" s="847"/>
      <c r="BK526" s="847"/>
      <c r="BL526" s="847"/>
      <c r="BM526" s="847"/>
      <c r="BN526" s="847"/>
      <c r="BO526" s="847"/>
      <c r="BP526" s="847"/>
      <c r="BQ526" s="847"/>
      <c r="BR526" s="847"/>
      <c r="BS526" s="847"/>
      <c r="BT526" s="847"/>
      <c r="BU526" s="847"/>
      <c r="BV526" s="847"/>
      <c r="BW526" s="847"/>
      <c r="BX526" s="847"/>
      <c r="BY526" s="847"/>
      <c r="BZ526" s="847"/>
      <c r="CA526" s="847"/>
      <c r="CB526" s="847"/>
      <c r="CC526" s="847"/>
      <c r="CD526" s="847"/>
      <c r="CE526" s="847"/>
      <c r="CF526" s="847"/>
      <c r="CG526" s="847"/>
      <c r="CH526" s="847"/>
      <c r="CI526" s="847"/>
      <c r="CJ526" s="847"/>
      <c r="CK526" s="847"/>
      <c r="CL526" s="847"/>
      <c r="CM526" s="847"/>
      <c r="CN526" s="847"/>
      <c r="CO526" s="847"/>
      <c r="CP526" s="847"/>
      <c r="CQ526" s="847"/>
      <c r="CR526" s="847"/>
      <c r="CS526" s="847"/>
      <c r="CT526" s="847"/>
      <c r="CU526" s="847"/>
      <c r="CV526" s="847"/>
      <c r="CW526" s="847"/>
      <c r="CX526" s="847"/>
      <c r="CY526" s="847"/>
      <c r="CZ526" s="847"/>
      <c r="DA526" s="847"/>
      <c r="DB526" s="847"/>
      <c r="DC526" s="847"/>
      <c r="DD526" s="847"/>
      <c r="DE526" s="847"/>
      <c r="DF526" s="847"/>
      <c r="DG526" s="847"/>
      <c r="DH526" s="847"/>
      <c r="DI526" s="847"/>
      <c r="DJ526" s="847"/>
      <c r="DK526" s="847"/>
      <c r="DL526" s="847"/>
      <c r="DM526" s="1212"/>
      <c r="DN526" s="1222" t="e">
        <f>'Lead &amp; ANALYSIS'!#REF!*#REF!+'Lead &amp; ANALYSIS'!#REF!*#REF!</f>
        <v>#REF!</v>
      </c>
      <c r="DO526" s="1013" t="e">
        <f>ROUND(C526*DN526,2)</f>
        <v>#REF!</v>
      </c>
      <c r="DP526" s="847"/>
      <c r="DQ526" s="1013"/>
      <c r="DR526" s="1225"/>
      <c r="DS526" s="1013"/>
      <c r="DT526" s="1225"/>
      <c r="DU526" s="1214"/>
      <c r="DV526" s="1242"/>
      <c r="DW526" s="1232"/>
      <c r="DX526" s="1222"/>
      <c r="DY526" s="847"/>
      <c r="DZ526" s="847"/>
      <c r="EA526" s="847"/>
      <c r="EB526" s="847"/>
      <c r="EC526" s="847"/>
      <c r="ED526" s="847"/>
      <c r="EE526" s="847"/>
      <c r="EF526" s="847"/>
      <c r="EG526" s="1212"/>
      <c r="EH526" s="847"/>
      <c r="EI526" s="1212"/>
    </row>
    <row r="527" spans="1:139" s="733" customFormat="1" ht="13.5">
      <c r="A527" s="1009"/>
      <c r="B527" s="1212" t="str">
        <f t="shared" si="21"/>
        <v>IV.Stony Earth</v>
      </c>
      <c r="C527" s="1213">
        <v>0</v>
      </c>
      <c r="D527" s="1013" t="s">
        <v>49</v>
      </c>
      <c r="E527" s="847"/>
      <c r="F527" s="1013"/>
      <c r="G527" s="847"/>
      <c r="H527" s="1013"/>
      <c r="I527" s="847"/>
      <c r="J527" s="1013"/>
      <c r="K527" s="847"/>
      <c r="L527" s="1013"/>
      <c r="M527" s="847"/>
      <c r="N527" s="1013"/>
      <c r="O527" s="847"/>
      <c r="P527" s="1013"/>
      <c r="Q527" s="847"/>
      <c r="R527" s="847"/>
      <c r="S527" s="847"/>
      <c r="T527" s="847"/>
      <c r="U527" s="847"/>
      <c r="V527" s="847"/>
      <c r="W527" s="847"/>
      <c r="X527" s="847"/>
      <c r="Y527" s="847"/>
      <c r="Z527" s="847"/>
      <c r="AA527" s="847"/>
      <c r="AB527" s="847"/>
      <c r="AC527" s="847"/>
      <c r="AD527" s="847"/>
      <c r="AE527" s="847"/>
      <c r="AF527" s="847"/>
      <c r="AG527" s="847"/>
      <c r="AH527" s="847"/>
      <c r="AI527" s="847"/>
      <c r="AJ527" s="847"/>
      <c r="AK527" s="847"/>
      <c r="AL527" s="847"/>
      <c r="AM527" s="847"/>
      <c r="AN527" s="847"/>
      <c r="AO527" s="847"/>
      <c r="AP527" s="847"/>
      <c r="AQ527" s="847"/>
      <c r="AR527" s="847"/>
      <c r="AS527" s="847"/>
      <c r="AT527" s="847"/>
      <c r="AU527" s="847"/>
      <c r="AV527" s="847"/>
      <c r="AW527" s="847"/>
      <c r="AX527" s="847"/>
      <c r="AY527" s="847"/>
      <c r="AZ527" s="847"/>
      <c r="BA527" s="847"/>
      <c r="BB527" s="847"/>
      <c r="BC527" s="847"/>
      <c r="BD527" s="847"/>
      <c r="BE527" s="847"/>
      <c r="BF527" s="847"/>
      <c r="BG527" s="847"/>
      <c r="BH527" s="847"/>
      <c r="BI527" s="847"/>
      <c r="BJ527" s="847"/>
      <c r="BK527" s="847"/>
      <c r="BL527" s="847"/>
      <c r="BM527" s="847"/>
      <c r="BN527" s="847"/>
      <c r="BO527" s="847"/>
      <c r="BP527" s="847"/>
      <c r="BQ527" s="847"/>
      <c r="BR527" s="847"/>
      <c r="BS527" s="847"/>
      <c r="BT527" s="847"/>
      <c r="BU527" s="847"/>
      <c r="BV527" s="847"/>
      <c r="BW527" s="847"/>
      <c r="BX527" s="847"/>
      <c r="BY527" s="847"/>
      <c r="BZ527" s="847"/>
      <c r="CA527" s="847"/>
      <c r="CB527" s="847"/>
      <c r="CC527" s="847"/>
      <c r="CD527" s="847"/>
      <c r="CE527" s="847"/>
      <c r="CF527" s="847"/>
      <c r="CG527" s="847"/>
      <c r="CH527" s="847"/>
      <c r="CI527" s="847"/>
      <c r="CJ527" s="847"/>
      <c r="CK527" s="847"/>
      <c r="CL527" s="847"/>
      <c r="CM527" s="847"/>
      <c r="CN527" s="847"/>
      <c r="CO527" s="847"/>
      <c r="CP527" s="847"/>
      <c r="CQ527" s="847"/>
      <c r="CR527" s="847"/>
      <c r="CS527" s="847"/>
      <c r="CT527" s="847"/>
      <c r="CU527" s="847"/>
      <c r="CV527" s="847"/>
      <c r="CW527" s="847"/>
      <c r="CX527" s="847"/>
      <c r="CY527" s="847"/>
      <c r="CZ527" s="847"/>
      <c r="DA527" s="847"/>
      <c r="DB527" s="847"/>
      <c r="DC527" s="847"/>
      <c r="DD527" s="847"/>
      <c r="DE527" s="847"/>
      <c r="DF527" s="847"/>
      <c r="DG527" s="847"/>
      <c r="DH527" s="847"/>
      <c r="DI527" s="847"/>
      <c r="DJ527" s="847"/>
      <c r="DK527" s="847"/>
      <c r="DL527" s="847"/>
      <c r="DM527" s="1212"/>
      <c r="DN527" s="1222" t="e">
        <f>'Lead &amp; ANALYSIS'!#REF!*#REF!+'Lead &amp; ANALYSIS'!#REF!*#REF!</f>
        <v>#REF!</v>
      </c>
      <c r="DO527" s="1013" t="e">
        <f>ROUND(C527*DN527,2)</f>
        <v>#REF!</v>
      </c>
      <c r="DP527" s="847"/>
      <c r="DQ527" s="1013"/>
      <c r="DR527" s="1225"/>
      <c r="DS527" s="1013"/>
      <c r="DT527" s="1225"/>
      <c r="DU527" s="1214"/>
      <c r="DV527" s="1242"/>
      <c r="DW527" s="1232"/>
      <c r="DX527" s="1222"/>
      <c r="DY527" s="847"/>
      <c r="DZ527" s="847"/>
      <c r="EA527" s="847"/>
      <c r="EB527" s="847"/>
      <c r="EC527" s="847"/>
      <c r="ED527" s="847"/>
      <c r="EE527" s="847"/>
      <c r="EF527" s="847"/>
      <c r="EG527" s="1212"/>
      <c r="EH527" s="847"/>
      <c r="EI527" s="1212"/>
    </row>
    <row r="528" spans="1:139" s="733" customFormat="1" ht="13.5">
      <c r="A528" s="1009"/>
      <c r="B528" s="1212" t="str">
        <f t="shared" si="21"/>
        <v>V.All Kinds of Soil</v>
      </c>
      <c r="C528" s="1213">
        <v>0</v>
      </c>
      <c r="D528" s="1013" t="s">
        <v>49</v>
      </c>
      <c r="E528" s="847"/>
      <c r="F528" s="1013"/>
      <c r="G528" s="847"/>
      <c r="H528" s="1013"/>
      <c r="I528" s="847"/>
      <c r="J528" s="1013"/>
      <c r="K528" s="847"/>
      <c r="L528" s="1013"/>
      <c r="M528" s="847"/>
      <c r="N528" s="1013"/>
      <c r="O528" s="847"/>
      <c r="P528" s="1013"/>
      <c r="Q528" s="847"/>
      <c r="R528" s="847"/>
      <c r="S528" s="847"/>
      <c r="T528" s="847"/>
      <c r="U528" s="847"/>
      <c r="V528" s="847"/>
      <c r="W528" s="847"/>
      <c r="X528" s="847"/>
      <c r="Y528" s="847"/>
      <c r="Z528" s="847"/>
      <c r="AA528" s="847"/>
      <c r="AB528" s="847"/>
      <c r="AC528" s="847"/>
      <c r="AD528" s="847"/>
      <c r="AE528" s="847"/>
      <c r="AF528" s="847"/>
      <c r="AG528" s="847"/>
      <c r="AH528" s="847"/>
      <c r="AI528" s="847"/>
      <c r="AJ528" s="847"/>
      <c r="AK528" s="847"/>
      <c r="AL528" s="847"/>
      <c r="AM528" s="847"/>
      <c r="AN528" s="847"/>
      <c r="AO528" s="847"/>
      <c r="AP528" s="847"/>
      <c r="AQ528" s="847"/>
      <c r="AR528" s="847"/>
      <c r="AS528" s="847"/>
      <c r="AT528" s="847"/>
      <c r="AU528" s="847"/>
      <c r="AV528" s="847"/>
      <c r="AW528" s="847"/>
      <c r="AX528" s="847"/>
      <c r="AY528" s="847"/>
      <c r="AZ528" s="847"/>
      <c r="BA528" s="847"/>
      <c r="BB528" s="847"/>
      <c r="BC528" s="847"/>
      <c r="BD528" s="847"/>
      <c r="BE528" s="847"/>
      <c r="BF528" s="847"/>
      <c r="BG528" s="847"/>
      <c r="BH528" s="847"/>
      <c r="BI528" s="847"/>
      <c r="BJ528" s="847"/>
      <c r="BK528" s="847"/>
      <c r="BL528" s="847"/>
      <c r="BM528" s="847"/>
      <c r="BN528" s="847"/>
      <c r="BO528" s="847"/>
      <c r="BP528" s="847"/>
      <c r="BQ528" s="847"/>
      <c r="BR528" s="847"/>
      <c r="BS528" s="847"/>
      <c r="BT528" s="847"/>
      <c r="BU528" s="847"/>
      <c r="BV528" s="847"/>
      <c r="BW528" s="847"/>
      <c r="BX528" s="847"/>
      <c r="BY528" s="847"/>
      <c r="BZ528" s="847"/>
      <c r="CA528" s="847"/>
      <c r="CB528" s="847"/>
      <c r="CC528" s="847"/>
      <c r="CD528" s="847"/>
      <c r="CE528" s="847"/>
      <c r="CF528" s="847"/>
      <c r="CG528" s="847"/>
      <c r="CH528" s="847"/>
      <c r="CI528" s="847"/>
      <c r="CJ528" s="847"/>
      <c r="CK528" s="847"/>
      <c r="CL528" s="847"/>
      <c r="CM528" s="847"/>
      <c r="CN528" s="847"/>
      <c r="CO528" s="847"/>
      <c r="CP528" s="847"/>
      <c r="CQ528" s="847"/>
      <c r="CR528" s="847"/>
      <c r="CS528" s="847"/>
      <c r="CT528" s="847"/>
      <c r="CU528" s="847"/>
      <c r="CV528" s="847"/>
      <c r="CW528" s="847"/>
      <c r="CX528" s="847"/>
      <c r="CY528" s="847"/>
      <c r="CZ528" s="847"/>
      <c r="DA528" s="847"/>
      <c r="DB528" s="847"/>
      <c r="DC528" s="847"/>
      <c r="DD528" s="847"/>
      <c r="DE528" s="847"/>
      <c r="DF528" s="847"/>
      <c r="DG528" s="847"/>
      <c r="DH528" s="847"/>
      <c r="DI528" s="847"/>
      <c r="DJ528" s="847"/>
      <c r="DK528" s="847"/>
      <c r="DL528" s="847"/>
      <c r="DM528" s="1212"/>
      <c r="DN528" s="1222" t="e">
        <f>'Lead &amp; ANALYSIS'!#REF!*#REF!+'Lead &amp; ANALYSIS'!#REF!*#REF!</f>
        <v>#REF!</v>
      </c>
      <c r="DO528" s="1013" t="e">
        <f>ROUND(C528*DN528,2)</f>
        <v>#REF!</v>
      </c>
      <c r="DP528" s="847"/>
      <c r="DQ528" s="1013"/>
      <c r="DR528" s="1225"/>
      <c r="DS528" s="1013"/>
      <c r="DT528" s="1225"/>
      <c r="DU528" s="1214"/>
      <c r="DV528" s="1242"/>
      <c r="DW528" s="1232"/>
      <c r="DX528" s="1222"/>
      <c r="DY528" s="847"/>
      <c r="DZ528" s="847"/>
      <c r="EA528" s="847"/>
      <c r="EB528" s="847"/>
      <c r="EC528" s="847"/>
      <c r="ED528" s="847"/>
      <c r="EE528" s="847"/>
      <c r="EF528" s="847"/>
      <c r="EG528" s="1212"/>
      <c r="EH528" s="847"/>
      <c r="EI528" s="1212"/>
    </row>
    <row r="529" spans="1:139" s="733" customFormat="1" ht="13.5">
      <c r="A529" s="1009"/>
      <c r="B529" s="1245" t="str">
        <f t="shared" si="21"/>
        <v>H. 8TH DEPTH OF 1.5MTR.</v>
      </c>
      <c r="C529" s="1213">
        <v>0</v>
      </c>
      <c r="D529" s="1013" t="s">
        <v>49</v>
      </c>
      <c r="E529" s="847"/>
      <c r="F529" s="1013"/>
      <c r="G529" s="847"/>
      <c r="H529" s="1013"/>
      <c r="I529" s="847"/>
      <c r="J529" s="1013"/>
      <c r="K529" s="847"/>
      <c r="L529" s="1013"/>
      <c r="M529" s="847"/>
      <c r="N529" s="1013"/>
      <c r="O529" s="847"/>
      <c r="P529" s="1013"/>
      <c r="Q529" s="847"/>
      <c r="R529" s="847"/>
      <c r="S529" s="847"/>
      <c r="T529" s="847"/>
      <c r="U529" s="847"/>
      <c r="V529" s="847"/>
      <c r="W529" s="847"/>
      <c r="X529" s="847"/>
      <c r="Y529" s="847"/>
      <c r="Z529" s="847"/>
      <c r="AA529" s="847"/>
      <c r="AB529" s="847"/>
      <c r="AC529" s="847"/>
      <c r="AD529" s="847"/>
      <c r="AE529" s="847"/>
      <c r="AF529" s="847"/>
      <c r="AG529" s="847"/>
      <c r="AH529" s="847"/>
      <c r="AI529" s="847"/>
      <c r="AJ529" s="847"/>
      <c r="AK529" s="847"/>
      <c r="AL529" s="847"/>
      <c r="AM529" s="847"/>
      <c r="AN529" s="847"/>
      <c r="AO529" s="847"/>
      <c r="AP529" s="847"/>
      <c r="AQ529" s="847"/>
      <c r="AR529" s="847"/>
      <c r="AS529" s="847"/>
      <c r="AT529" s="847"/>
      <c r="AU529" s="847"/>
      <c r="AV529" s="847"/>
      <c r="AW529" s="847"/>
      <c r="AX529" s="847"/>
      <c r="AY529" s="847"/>
      <c r="AZ529" s="847"/>
      <c r="BA529" s="847"/>
      <c r="BB529" s="847"/>
      <c r="BC529" s="847"/>
      <c r="BD529" s="847"/>
      <c r="BE529" s="847"/>
      <c r="BF529" s="847"/>
      <c r="BG529" s="847"/>
      <c r="BH529" s="847"/>
      <c r="BI529" s="847"/>
      <c r="BJ529" s="847"/>
      <c r="BK529" s="847"/>
      <c r="BL529" s="847"/>
      <c r="BM529" s="847"/>
      <c r="BN529" s="847"/>
      <c r="BO529" s="847"/>
      <c r="BP529" s="847"/>
      <c r="BQ529" s="847"/>
      <c r="BR529" s="847"/>
      <c r="BS529" s="847"/>
      <c r="BT529" s="847"/>
      <c r="BU529" s="847"/>
      <c r="BV529" s="847"/>
      <c r="BW529" s="847"/>
      <c r="BX529" s="847"/>
      <c r="BY529" s="847"/>
      <c r="BZ529" s="847"/>
      <c r="CA529" s="847"/>
      <c r="CB529" s="847"/>
      <c r="CC529" s="847"/>
      <c r="CD529" s="847"/>
      <c r="CE529" s="847"/>
      <c r="CF529" s="847"/>
      <c r="CG529" s="847"/>
      <c r="CH529" s="847"/>
      <c r="CI529" s="847"/>
      <c r="CJ529" s="847"/>
      <c r="CK529" s="847"/>
      <c r="CL529" s="847"/>
      <c r="CM529" s="847"/>
      <c r="CN529" s="847"/>
      <c r="CO529" s="847"/>
      <c r="CP529" s="847"/>
      <c r="CQ529" s="847"/>
      <c r="CR529" s="847"/>
      <c r="CS529" s="847"/>
      <c r="CT529" s="847"/>
      <c r="CU529" s="847"/>
      <c r="CV529" s="847"/>
      <c r="CW529" s="847"/>
      <c r="CX529" s="847"/>
      <c r="CY529" s="847"/>
      <c r="CZ529" s="847"/>
      <c r="DA529" s="847"/>
      <c r="DB529" s="847"/>
      <c r="DC529" s="847"/>
      <c r="DD529" s="847"/>
      <c r="DE529" s="847"/>
      <c r="DF529" s="847"/>
      <c r="DG529" s="847"/>
      <c r="DH529" s="847"/>
      <c r="DI529" s="847"/>
      <c r="DJ529" s="847"/>
      <c r="DK529" s="847"/>
      <c r="DL529" s="847"/>
      <c r="DM529" s="1212"/>
      <c r="DN529" s="1222"/>
      <c r="DO529" s="1013"/>
      <c r="DP529" s="847"/>
      <c r="DQ529" s="1013"/>
      <c r="DR529" s="1225"/>
      <c r="DS529" s="1013"/>
      <c r="DT529" s="1225"/>
      <c r="DU529" s="1214"/>
      <c r="DV529" s="1242"/>
      <c r="DW529" s="1232"/>
      <c r="DX529" s="1222"/>
      <c r="DY529" s="847"/>
      <c r="DZ529" s="847"/>
      <c r="EA529" s="847"/>
      <c r="EB529" s="847"/>
      <c r="EC529" s="847"/>
      <c r="ED529" s="847"/>
      <c r="EE529" s="847"/>
      <c r="EF529" s="847"/>
      <c r="EG529" s="1212"/>
      <c r="EH529" s="847"/>
      <c r="EI529" s="1212"/>
    </row>
    <row r="530" spans="1:139" s="733" customFormat="1" ht="13.5">
      <c r="A530" s="1009"/>
      <c r="B530" s="1212" t="str">
        <f t="shared" si="21"/>
        <v>i.Ordinary Soil.</v>
      </c>
      <c r="C530" s="1213">
        <v>0</v>
      </c>
      <c r="D530" s="1013" t="s">
        <v>49</v>
      </c>
      <c r="E530" s="847"/>
      <c r="F530" s="1013"/>
      <c r="G530" s="847"/>
      <c r="H530" s="1013"/>
      <c r="I530" s="847"/>
      <c r="J530" s="1013"/>
      <c r="K530" s="847"/>
      <c r="L530" s="1013"/>
      <c r="M530" s="847"/>
      <c r="N530" s="1013"/>
      <c r="O530" s="847"/>
      <c r="P530" s="1013"/>
      <c r="Q530" s="847"/>
      <c r="R530" s="847"/>
      <c r="S530" s="847"/>
      <c r="T530" s="847"/>
      <c r="U530" s="847"/>
      <c r="V530" s="847"/>
      <c r="W530" s="847"/>
      <c r="X530" s="847"/>
      <c r="Y530" s="847"/>
      <c r="Z530" s="847"/>
      <c r="AA530" s="847"/>
      <c r="AB530" s="847"/>
      <c r="AC530" s="847"/>
      <c r="AD530" s="847"/>
      <c r="AE530" s="847"/>
      <c r="AF530" s="847"/>
      <c r="AG530" s="847"/>
      <c r="AH530" s="847"/>
      <c r="AI530" s="847"/>
      <c r="AJ530" s="847"/>
      <c r="AK530" s="847"/>
      <c r="AL530" s="847"/>
      <c r="AM530" s="847"/>
      <c r="AN530" s="847"/>
      <c r="AO530" s="847"/>
      <c r="AP530" s="847"/>
      <c r="AQ530" s="847"/>
      <c r="AR530" s="847"/>
      <c r="AS530" s="847"/>
      <c r="AT530" s="847"/>
      <c r="AU530" s="847"/>
      <c r="AV530" s="847"/>
      <c r="AW530" s="847"/>
      <c r="AX530" s="847"/>
      <c r="AY530" s="847"/>
      <c r="AZ530" s="847"/>
      <c r="BA530" s="847"/>
      <c r="BB530" s="847"/>
      <c r="BC530" s="847"/>
      <c r="BD530" s="847"/>
      <c r="BE530" s="847"/>
      <c r="BF530" s="847"/>
      <c r="BG530" s="847"/>
      <c r="BH530" s="847"/>
      <c r="BI530" s="847"/>
      <c r="BJ530" s="847"/>
      <c r="BK530" s="847"/>
      <c r="BL530" s="847"/>
      <c r="BM530" s="847"/>
      <c r="BN530" s="847"/>
      <c r="BO530" s="847"/>
      <c r="BP530" s="847"/>
      <c r="BQ530" s="847"/>
      <c r="BR530" s="847"/>
      <c r="BS530" s="847"/>
      <c r="BT530" s="847"/>
      <c r="BU530" s="847"/>
      <c r="BV530" s="847"/>
      <c r="BW530" s="847"/>
      <c r="BX530" s="847"/>
      <c r="BY530" s="847"/>
      <c r="BZ530" s="847"/>
      <c r="CA530" s="847"/>
      <c r="CB530" s="847"/>
      <c r="CC530" s="847"/>
      <c r="CD530" s="847"/>
      <c r="CE530" s="847"/>
      <c r="CF530" s="847"/>
      <c r="CG530" s="847"/>
      <c r="CH530" s="847"/>
      <c r="CI530" s="847"/>
      <c r="CJ530" s="847"/>
      <c r="CK530" s="847"/>
      <c r="CL530" s="847"/>
      <c r="CM530" s="847"/>
      <c r="CN530" s="847"/>
      <c r="CO530" s="847"/>
      <c r="CP530" s="847"/>
      <c r="CQ530" s="847"/>
      <c r="CR530" s="847"/>
      <c r="CS530" s="847"/>
      <c r="CT530" s="847"/>
      <c r="CU530" s="847"/>
      <c r="CV530" s="847"/>
      <c r="CW530" s="847"/>
      <c r="CX530" s="847"/>
      <c r="CY530" s="847"/>
      <c r="CZ530" s="847"/>
      <c r="DA530" s="847"/>
      <c r="DB530" s="847"/>
      <c r="DC530" s="847"/>
      <c r="DD530" s="847"/>
      <c r="DE530" s="847"/>
      <c r="DF530" s="847"/>
      <c r="DG530" s="847"/>
      <c r="DH530" s="847"/>
      <c r="DI530" s="847"/>
      <c r="DJ530" s="847"/>
      <c r="DK530" s="847"/>
      <c r="DL530" s="847"/>
      <c r="DM530" s="1212"/>
      <c r="DN530" s="1222" t="e">
        <f>'Lead &amp; ANALYSIS'!#REF!*#REF!+'Lead &amp; ANALYSIS'!#REF!*#REF!</f>
        <v>#REF!</v>
      </c>
      <c r="DO530" s="1013" t="e">
        <f t="shared" ref="DO530:DO545" si="22">ROUND(C530*DN530,2)</f>
        <v>#REF!</v>
      </c>
      <c r="DP530" s="847"/>
      <c r="DQ530" s="1013"/>
      <c r="DR530" s="1225"/>
      <c r="DS530" s="1013"/>
      <c r="DT530" s="1225"/>
      <c r="DU530" s="1214"/>
      <c r="DV530" s="1242"/>
      <c r="DW530" s="1232"/>
      <c r="DX530" s="1222"/>
      <c r="DY530" s="847"/>
      <c r="DZ530" s="847"/>
      <c r="EA530" s="847"/>
      <c r="EB530" s="847"/>
      <c r="EC530" s="847"/>
      <c r="ED530" s="847"/>
      <c r="EE530" s="847"/>
      <c r="EF530" s="847"/>
      <c r="EG530" s="1212"/>
      <c r="EH530" s="847"/>
      <c r="EI530" s="1212"/>
    </row>
    <row r="531" spans="1:139" s="733" customFormat="1" ht="13.5">
      <c r="A531" s="1009"/>
      <c r="B531" s="1212" t="str">
        <f t="shared" si="21"/>
        <v>ii.Slushy Soil</v>
      </c>
      <c r="C531" s="1213">
        <v>0</v>
      </c>
      <c r="D531" s="1013" t="s">
        <v>49</v>
      </c>
      <c r="E531" s="847"/>
      <c r="F531" s="1013"/>
      <c r="G531" s="847"/>
      <c r="H531" s="1013"/>
      <c r="I531" s="847"/>
      <c r="J531" s="1013"/>
      <c r="K531" s="847"/>
      <c r="L531" s="1013"/>
      <c r="M531" s="847"/>
      <c r="N531" s="1013"/>
      <c r="O531" s="847"/>
      <c r="P531" s="1013"/>
      <c r="Q531" s="847"/>
      <c r="R531" s="847"/>
      <c r="S531" s="847"/>
      <c r="T531" s="847"/>
      <c r="U531" s="847"/>
      <c r="V531" s="847"/>
      <c r="W531" s="847"/>
      <c r="X531" s="847"/>
      <c r="Y531" s="847"/>
      <c r="Z531" s="847"/>
      <c r="AA531" s="847"/>
      <c r="AB531" s="847"/>
      <c r="AC531" s="847"/>
      <c r="AD531" s="847"/>
      <c r="AE531" s="847"/>
      <c r="AF531" s="847"/>
      <c r="AG531" s="847"/>
      <c r="AH531" s="847"/>
      <c r="AI531" s="847"/>
      <c r="AJ531" s="847"/>
      <c r="AK531" s="847"/>
      <c r="AL531" s="847"/>
      <c r="AM531" s="847"/>
      <c r="AN531" s="847"/>
      <c r="AO531" s="847"/>
      <c r="AP531" s="847"/>
      <c r="AQ531" s="847"/>
      <c r="AR531" s="847"/>
      <c r="AS531" s="847"/>
      <c r="AT531" s="847"/>
      <c r="AU531" s="847"/>
      <c r="AV531" s="847"/>
      <c r="AW531" s="847"/>
      <c r="AX531" s="847"/>
      <c r="AY531" s="847"/>
      <c r="AZ531" s="847"/>
      <c r="BA531" s="847"/>
      <c r="BB531" s="847"/>
      <c r="BC531" s="847"/>
      <c r="BD531" s="847"/>
      <c r="BE531" s="847"/>
      <c r="BF531" s="847"/>
      <c r="BG531" s="847"/>
      <c r="BH531" s="847"/>
      <c r="BI531" s="847"/>
      <c r="BJ531" s="847"/>
      <c r="BK531" s="847"/>
      <c r="BL531" s="847"/>
      <c r="BM531" s="847"/>
      <c r="BN531" s="847"/>
      <c r="BO531" s="847"/>
      <c r="BP531" s="847"/>
      <c r="BQ531" s="847"/>
      <c r="BR531" s="847"/>
      <c r="BS531" s="847"/>
      <c r="BT531" s="847"/>
      <c r="BU531" s="847"/>
      <c r="BV531" s="847"/>
      <c r="BW531" s="847"/>
      <c r="BX531" s="847"/>
      <c r="BY531" s="847"/>
      <c r="BZ531" s="847"/>
      <c r="CA531" s="847"/>
      <c r="CB531" s="847"/>
      <c r="CC531" s="847"/>
      <c r="CD531" s="847"/>
      <c r="CE531" s="847"/>
      <c r="CF531" s="847"/>
      <c r="CG531" s="847"/>
      <c r="CH531" s="847"/>
      <c r="CI531" s="847"/>
      <c r="CJ531" s="847"/>
      <c r="CK531" s="847"/>
      <c r="CL531" s="847"/>
      <c r="CM531" s="847"/>
      <c r="CN531" s="847"/>
      <c r="CO531" s="847"/>
      <c r="CP531" s="847"/>
      <c r="CQ531" s="847"/>
      <c r="CR531" s="847"/>
      <c r="CS531" s="847"/>
      <c r="CT531" s="847"/>
      <c r="CU531" s="847"/>
      <c r="CV531" s="847"/>
      <c r="CW531" s="847"/>
      <c r="CX531" s="847"/>
      <c r="CY531" s="847"/>
      <c r="CZ531" s="847"/>
      <c r="DA531" s="847"/>
      <c r="DB531" s="847"/>
      <c r="DC531" s="847"/>
      <c r="DD531" s="847"/>
      <c r="DE531" s="847"/>
      <c r="DF531" s="847"/>
      <c r="DG531" s="847"/>
      <c r="DH531" s="847"/>
      <c r="DI531" s="847"/>
      <c r="DJ531" s="847"/>
      <c r="DK531" s="847"/>
      <c r="DL531" s="847"/>
      <c r="DM531" s="1212"/>
      <c r="DN531" s="1222" t="e">
        <f>'Lead &amp; ANALYSIS'!#REF!*#REF!+'Lead &amp; ANALYSIS'!#REF!*#REF!</f>
        <v>#REF!</v>
      </c>
      <c r="DO531" s="1013" t="e">
        <f t="shared" si="22"/>
        <v>#REF!</v>
      </c>
      <c r="DP531" s="847"/>
      <c r="DQ531" s="1013"/>
      <c r="DR531" s="1225"/>
      <c r="DS531" s="1013"/>
      <c r="DT531" s="1225"/>
      <c r="DU531" s="1214"/>
      <c r="DV531" s="1242"/>
      <c r="DW531" s="1232"/>
      <c r="DX531" s="1222"/>
      <c r="DY531" s="847"/>
      <c r="DZ531" s="847"/>
      <c r="EA531" s="847"/>
      <c r="EB531" s="847"/>
      <c r="EC531" s="847"/>
      <c r="ED531" s="847"/>
      <c r="EE531" s="847"/>
      <c r="EF531" s="847"/>
      <c r="EG531" s="1212"/>
      <c r="EH531" s="847"/>
      <c r="EI531" s="1212"/>
    </row>
    <row r="532" spans="1:139" s="733" customFormat="1" ht="13.5">
      <c r="A532" s="1009"/>
      <c r="B532" s="1212" t="str">
        <f t="shared" si="21"/>
        <v>iii.Hard Sooil</v>
      </c>
      <c r="C532" s="1213">
        <v>0</v>
      </c>
      <c r="D532" s="1013" t="s">
        <v>49</v>
      </c>
      <c r="E532" s="847"/>
      <c r="F532" s="1013"/>
      <c r="G532" s="847"/>
      <c r="H532" s="1013"/>
      <c r="I532" s="847"/>
      <c r="J532" s="1013"/>
      <c r="K532" s="847"/>
      <c r="L532" s="1013"/>
      <c r="M532" s="847"/>
      <c r="N532" s="1013"/>
      <c r="O532" s="847"/>
      <c r="P532" s="1013"/>
      <c r="Q532" s="847"/>
      <c r="R532" s="847"/>
      <c r="S532" s="847"/>
      <c r="T532" s="847"/>
      <c r="U532" s="847"/>
      <c r="V532" s="847"/>
      <c r="W532" s="847"/>
      <c r="X532" s="847"/>
      <c r="Y532" s="847"/>
      <c r="Z532" s="847"/>
      <c r="AA532" s="847"/>
      <c r="AB532" s="847"/>
      <c r="AC532" s="847"/>
      <c r="AD532" s="847"/>
      <c r="AE532" s="847"/>
      <c r="AF532" s="847"/>
      <c r="AG532" s="847"/>
      <c r="AH532" s="847"/>
      <c r="AI532" s="847"/>
      <c r="AJ532" s="847"/>
      <c r="AK532" s="847"/>
      <c r="AL532" s="847"/>
      <c r="AM532" s="847"/>
      <c r="AN532" s="847"/>
      <c r="AO532" s="847"/>
      <c r="AP532" s="847"/>
      <c r="AQ532" s="847"/>
      <c r="AR532" s="847"/>
      <c r="AS532" s="847"/>
      <c r="AT532" s="847"/>
      <c r="AU532" s="847"/>
      <c r="AV532" s="847"/>
      <c r="AW532" s="847"/>
      <c r="AX532" s="847"/>
      <c r="AY532" s="847"/>
      <c r="AZ532" s="847"/>
      <c r="BA532" s="847"/>
      <c r="BB532" s="847"/>
      <c r="BC532" s="847"/>
      <c r="BD532" s="847"/>
      <c r="BE532" s="847"/>
      <c r="BF532" s="847"/>
      <c r="BG532" s="847"/>
      <c r="BH532" s="847"/>
      <c r="BI532" s="847"/>
      <c r="BJ532" s="847"/>
      <c r="BK532" s="847"/>
      <c r="BL532" s="847"/>
      <c r="BM532" s="847"/>
      <c r="BN532" s="847"/>
      <c r="BO532" s="847"/>
      <c r="BP532" s="847"/>
      <c r="BQ532" s="847"/>
      <c r="BR532" s="847"/>
      <c r="BS532" s="847"/>
      <c r="BT532" s="847"/>
      <c r="BU532" s="847"/>
      <c r="BV532" s="847"/>
      <c r="BW532" s="847"/>
      <c r="BX532" s="847"/>
      <c r="BY532" s="847"/>
      <c r="BZ532" s="847"/>
      <c r="CA532" s="847"/>
      <c r="CB532" s="847"/>
      <c r="CC532" s="847"/>
      <c r="CD532" s="847"/>
      <c r="CE532" s="847"/>
      <c r="CF532" s="847"/>
      <c r="CG532" s="847"/>
      <c r="CH532" s="847"/>
      <c r="CI532" s="847"/>
      <c r="CJ532" s="847"/>
      <c r="CK532" s="847"/>
      <c r="CL532" s="847"/>
      <c r="CM532" s="847"/>
      <c r="CN532" s="847"/>
      <c r="CO532" s="847"/>
      <c r="CP532" s="847"/>
      <c r="CQ532" s="847"/>
      <c r="CR532" s="847"/>
      <c r="CS532" s="847"/>
      <c r="CT532" s="847"/>
      <c r="CU532" s="847"/>
      <c r="CV532" s="847"/>
      <c r="CW532" s="847"/>
      <c r="CX532" s="847"/>
      <c r="CY532" s="847"/>
      <c r="CZ532" s="847"/>
      <c r="DA532" s="847"/>
      <c r="DB532" s="847"/>
      <c r="DC532" s="847"/>
      <c r="DD532" s="847"/>
      <c r="DE532" s="847"/>
      <c r="DF532" s="847"/>
      <c r="DG532" s="847"/>
      <c r="DH532" s="847"/>
      <c r="DI532" s="847"/>
      <c r="DJ532" s="847"/>
      <c r="DK532" s="847"/>
      <c r="DL532" s="847"/>
      <c r="DM532" s="1212"/>
      <c r="DN532" s="1222" t="e">
        <f>'Lead &amp; ANALYSIS'!#REF!*#REF!+'Lead &amp; ANALYSIS'!#REF!*#REF!</f>
        <v>#REF!</v>
      </c>
      <c r="DO532" s="1013" t="e">
        <f t="shared" si="22"/>
        <v>#REF!</v>
      </c>
      <c r="DP532" s="847"/>
      <c r="DQ532" s="1013"/>
      <c r="DR532" s="1225"/>
      <c r="DS532" s="1013"/>
      <c r="DT532" s="1225"/>
      <c r="DU532" s="1214"/>
      <c r="DV532" s="1242"/>
      <c r="DW532" s="1232"/>
      <c r="DX532" s="1222"/>
      <c r="DY532" s="847"/>
      <c r="DZ532" s="847"/>
      <c r="EA532" s="847"/>
      <c r="EB532" s="847"/>
      <c r="EC532" s="847"/>
      <c r="ED532" s="847"/>
      <c r="EE532" s="847"/>
      <c r="EF532" s="847"/>
      <c r="EG532" s="1212"/>
      <c r="EH532" s="847"/>
      <c r="EI532" s="1212"/>
    </row>
    <row r="533" spans="1:139" s="733" customFormat="1" ht="13.5">
      <c r="A533" s="1009"/>
      <c r="B533" s="1212" t="str">
        <f t="shared" si="21"/>
        <v>IV.Stony Earth</v>
      </c>
      <c r="C533" s="1213">
        <v>0</v>
      </c>
      <c r="D533" s="1013" t="s">
        <v>49</v>
      </c>
      <c r="E533" s="847"/>
      <c r="F533" s="1013"/>
      <c r="G533" s="847"/>
      <c r="H533" s="1013"/>
      <c r="I533" s="847"/>
      <c r="J533" s="1013"/>
      <c r="K533" s="847"/>
      <c r="L533" s="1013"/>
      <c r="M533" s="847"/>
      <c r="N533" s="1013"/>
      <c r="O533" s="847"/>
      <c r="P533" s="1013"/>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7"/>
      <c r="AL533" s="847"/>
      <c r="AM533" s="847"/>
      <c r="AN533" s="847"/>
      <c r="AO533" s="847"/>
      <c r="AP533" s="847"/>
      <c r="AQ533" s="847"/>
      <c r="AR533" s="847"/>
      <c r="AS533" s="847"/>
      <c r="AT533" s="847"/>
      <c r="AU533" s="847"/>
      <c r="AV533" s="847"/>
      <c r="AW533" s="847"/>
      <c r="AX533" s="847"/>
      <c r="AY533" s="847"/>
      <c r="AZ533" s="847"/>
      <c r="BA533" s="847"/>
      <c r="BB533" s="847"/>
      <c r="BC533" s="847"/>
      <c r="BD533" s="847"/>
      <c r="BE533" s="847"/>
      <c r="BF533" s="847"/>
      <c r="BG533" s="847"/>
      <c r="BH533" s="847"/>
      <c r="BI533" s="847"/>
      <c r="BJ533" s="847"/>
      <c r="BK533" s="847"/>
      <c r="BL533" s="847"/>
      <c r="BM533" s="847"/>
      <c r="BN533" s="847"/>
      <c r="BO533" s="847"/>
      <c r="BP533" s="847"/>
      <c r="BQ533" s="847"/>
      <c r="BR533" s="847"/>
      <c r="BS533" s="847"/>
      <c r="BT533" s="847"/>
      <c r="BU533" s="847"/>
      <c r="BV533" s="847"/>
      <c r="BW533" s="847"/>
      <c r="BX533" s="847"/>
      <c r="BY533" s="847"/>
      <c r="BZ533" s="847"/>
      <c r="CA533" s="847"/>
      <c r="CB533" s="847"/>
      <c r="CC533" s="847"/>
      <c r="CD533" s="847"/>
      <c r="CE533" s="847"/>
      <c r="CF533" s="847"/>
      <c r="CG533" s="847"/>
      <c r="CH533" s="847"/>
      <c r="CI533" s="847"/>
      <c r="CJ533" s="847"/>
      <c r="CK533" s="847"/>
      <c r="CL533" s="847"/>
      <c r="CM533" s="847"/>
      <c r="CN533" s="847"/>
      <c r="CO533" s="847"/>
      <c r="CP533" s="847"/>
      <c r="CQ533" s="847"/>
      <c r="CR533" s="847"/>
      <c r="CS533" s="847"/>
      <c r="CT533" s="847"/>
      <c r="CU533" s="847"/>
      <c r="CV533" s="847"/>
      <c r="CW533" s="847"/>
      <c r="CX533" s="847"/>
      <c r="CY533" s="847"/>
      <c r="CZ533" s="847"/>
      <c r="DA533" s="847"/>
      <c r="DB533" s="847"/>
      <c r="DC533" s="847"/>
      <c r="DD533" s="847"/>
      <c r="DE533" s="847"/>
      <c r="DF533" s="847"/>
      <c r="DG533" s="847"/>
      <c r="DH533" s="847"/>
      <c r="DI533" s="847"/>
      <c r="DJ533" s="847"/>
      <c r="DK533" s="847"/>
      <c r="DL533" s="847"/>
      <c r="DM533" s="1212"/>
      <c r="DN533" s="1222" t="e">
        <f>'Lead &amp; ANALYSIS'!#REF!*#REF!+'Lead &amp; ANALYSIS'!#REF!*#REF!</f>
        <v>#REF!</v>
      </c>
      <c r="DO533" s="1013" t="e">
        <f t="shared" si="22"/>
        <v>#REF!</v>
      </c>
      <c r="DP533" s="847"/>
      <c r="DQ533" s="1013"/>
      <c r="DR533" s="1225"/>
      <c r="DS533" s="1013"/>
      <c r="DT533" s="1225"/>
      <c r="DU533" s="1214"/>
      <c r="DV533" s="1242"/>
      <c r="DW533" s="1232"/>
      <c r="DX533" s="1222"/>
      <c r="DY533" s="847"/>
      <c r="DZ533" s="847"/>
      <c r="EA533" s="847"/>
      <c r="EB533" s="847"/>
      <c r="EC533" s="847"/>
      <c r="ED533" s="847"/>
      <c r="EE533" s="847"/>
      <c r="EF533" s="847"/>
      <c r="EG533" s="1212"/>
      <c r="EH533" s="847"/>
      <c r="EI533" s="1212"/>
    </row>
    <row r="534" spans="1:139" s="733" customFormat="1" ht="13.5">
      <c r="A534" s="1009"/>
      <c r="B534" s="1212" t="str">
        <f t="shared" si="21"/>
        <v>V.All Kinds of Soil</v>
      </c>
      <c r="C534" s="1213">
        <v>0</v>
      </c>
      <c r="D534" s="1013" t="s">
        <v>49</v>
      </c>
      <c r="E534" s="847"/>
      <c r="F534" s="1013"/>
      <c r="G534" s="847"/>
      <c r="H534" s="1013"/>
      <c r="I534" s="847"/>
      <c r="J534" s="1013"/>
      <c r="K534" s="847"/>
      <c r="L534" s="1013"/>
      <c r="M534" s="847"/>
      <c r="N534" s="1013"/>
      <c r="O534" s="847"/>
      <c r="P534" s="1013"/>
      <c r="Q534" s="847"/>
      <c r="R534" s="847"/>
      <c r="S534" s="847"/>
      <c r="T534" s="847"/>
      <c r="U534" s="847"/>
      <c r="V534" s="847"/>
      <c r="W534" s="847"/>
      <c r="X534" s="847"/>
      <c r="Y534" s="847"/>
      <c r="Z534" s="847"/>
      <c r="AA534" s="847"/>
      <c r="AB534" s="847"/>
      <c r="AC534" s="847"/>
      <c r="AD534" s="847"/>
      <c r="AE534" s="847"/>
      <c r="AF534" s="847"/>
      <c r="AG534" s="847"/>
      <c r="AH534" s="847"/>
      <c r="AI534" s="847"/>
      <c r="AJ534" s="847"/>
      <c r="AK534" s="847"/>
      <c r="AL534" s="847"/>
      <c r="AM534" s="847"/>
      <c r="AN534" s="847"/>
      <c r="AO534" s="847"/>
      <c r="AP534" s="847"/>
      <c r="AQ534" s="847"/>
      <c r="AR534" s="847"/>
      <c r="AS534" s="847"/>
      <c r="AT534" s="847"/>
      <c r="AU534" s="847"/>
      <c r="AV534" s="847"/>
      <c r="AW534" s="847"/>
      <c r="AX534" s="847"/>
      <c r="AY534" s="847"/>
      <c r="AZ534" s="847"/>
      <c r="BA534" s="847"/>
      <c r="BB534" s="847"/>
      <c r="BC534" s="847"/>
      <c r="BD534" s="847"/>
      <c r="BE534" s="847"/>
      <c r="BF534" s="847"/>
      <c r="BG534" s="847"/>
      <c r="BH534" s="847"/>
      <c r="BI534" s="847"/>
      <c r="BJ534" s="847"/>
      <c r="BK534" s="847"/>
      <c r="BL534" s="847"/>
      <c r="BM534" s="847"/>
      <c r="BN534" s="847"/>
      <c r="BO534" s="847"/>
      <c r="BP534" s="847"/>
      <c r="BQ534" s="847"/>
      <c r="BR534" s="847"/>
      <c r="BS534" s="847"/>
      <c r="BT534" s="847"/>
      <c r="BU534" s="847"/>
      <c r="BV534" s="847"/>
      <c r="BW534" s="847"/>
      <c r="BX534" s="847"/>
      <c r="BY534" s="847"/>
      <c r="BZ534" s="847"/>
      <c r="CA534" s="847"/>
      <c r="CB534" s="847"/>
      <c r="CC534" s="847"/>
      <c r="CD534" s="847"/>
      <c r="CE534" s="847"/>
      <c r="CF534" s="847"/>
      <c r="CG534" s="847"/>
      <c r="CH534" s="847"/>
      <c r="CI534" s="847"/>
      <c r="CJ534" s="847"/>
      <c r="CK534" s="847"/>
      <c r="CL534" s="847"/>
      <c r="CM534" s="847"/>
      <c r="CN534" s="847"/>
      <c r="CO534" s="847"/>
      <c r="CP534" s="847"/>
      <c r="CQ534" s="847"/>
      <c r="CR534" s="847"/>
      <c r="CS534" s="847"/>
      <c r="CT534" s="847"/>
      <c r="CU534" s="847"/>
      <c r="CV534" s="847"/>
      <c r="CW534" s="847"/>
      <c r="CX534" s="847"/>
      <c r="CY534" s="847"/>
      <c r="CZ534" s="847"/>
      <c r="DA534" s="847"/>
      <c r="DB534" s="847"/>
      <c r="DC534" s="847"/>
      <c r="DD534" s="847"/>
      <c r="DE534" s="847"/>
      <c r="DF534" s="847"/>
      <c r="DG534" s="847"/>
      <c r="DH534" s="847"/>
      <c r="DI534" s="847"/>
      <c r="DJ534" s="847"/>
      <c r="DK534" s="847"/>
      <c r="DL534" s="847"/>
      <c r="DM534" s="1212"/>
      <c r="DN534" s="1222" t="e">
        <f>'Lead &amp; ANALYSIS'!#REF!*#REF!+'Lead &amp; ANALYSIS'!#REF!*#REF!</f>
        <v>#REF!</v>
      </c>
      <c r="DO534" s="1013" t="e">
        <f t="shared" si="22"/>
        <v>#REF!</v>
      </c>
      <c r="DP534" s="847"/>
      <c r="DQ534" s="1013"/>
      <c r="DR534" s="1225"/>
      <c r="DS534" s="1013"/>
      <c r="DT534" s="1225"/>
      <c r="DU534" s="1214"/>
      <c r="DV534" s="1242"/>
      <c r="DW534" s="1232"/>
      <c r="DX534" s="1222"/>
      <c r="DY534" s="847"/>
      <c r="DZ534" s="847"/>
      <c r="EA534" s="847"/>
      <c r="EB534" s="847"/>
      <c r="EC534" s="847"/>
      <c r="ED534" s="847"/>
      <c r="EE534" s="847"/>
      <c r="EF534" s="847"/>
      <c r="EG534" s="1212"/>
      <c r="EH534" s="847"/>
      <c r="EI534" s="1212"/>
    </row>
    <row r="535" spans="1:139" s="733" customFormat="1" ht="13.5">
      <c r="A535" s="1009">
        <v>172</v>
      </c>
      <c r="B535" s="1212" t="s">
        <v>658</v>
      </c>
      <c r="C535" s="1213">
        <v>0</v>
      </c>
      <c r="D535" s="1013" t="s">
        <v>49</v>
      </c>
      <c r="E535" s="847"/>
      <c r="F535" s="1013"/>
      <c r="G535" s="847"/>
      <c r="H535" s="1013"/>
      <c r="I535" s="847"/>
      <c r="J535" s="1013"/>
      <c r="K535" s="847"/>
      <c r="L535" s="1013"/>
      <c r="M535" s="847"/>
      <c r="N535" s="1013"/>
      <c r="O535" s="847"/>
      <c r="P535" s="1013"/>
      <c r="Q535" s="847"/>
      <c r="R535" s="847"/>
      <c r="S535" s="847"/>
      <c r="T535" s="847"/>
      <c r="U535" s="847"/>
      <c r="V535" s="847"/>
      <c r="W535" s="847"/>
      <c r="X535" s="847"/>
      <c r="Y535" s="847"/>
      <c r="Z535" s="847"/>
      <c r="AA535" s="847"/>
      <c r="AB535" s="847"/>
      <c r="AC535" s="847"/>
      <c r="AD535" s="847"/>
      <c r="AE535" s="847"/>
      <c r="AF535" s="847"/>
      <c r="AG535" s="847"/>
      <c r="AH535" s="847"/>
      <c r="AI535" s="847"/>
      <c r="AJ535" s="847"/>
      <c r="AK535" s="847"/>
      <c r="AL535" s="847"/>
      <c r="AM535" s="847"/>
      <c r="AN535" s="847"/>
      <c r="AO535" s="847"/>
      <c r="AP535" s="847"/>
      <c r="AQ535" s="847"/>
      <c r="AR535" s="847"/>
      <c r="AS535" s="847"/>
      <c r="AT535" s="847"/>
      <c r="AU535" s="847"/>
      <c r="AV535" s="847"/>
      <c r="AW535" s="847"/>
      <c r="AX535" s="847"/>
      <c r="AY535" s="847"/>
      <c r="AZ535" s="847"/>
      <c r="BA535" s="847"/>
      <c r="BB535" s="847"/>
      <c r="BC535" s="847"/>
      <c r="BD535" s="847"/>
      <c r="BE535" s="847"/>
      <c r="BF535" s="847"/>
      <c r="BG535" s="847"/>
      <c r="BH535" s="847"/>
      <c r="BI535" s="847"/>
      <c r="BJ535" s="847"/>
      <c r="BK535" s="847"/>
      <c r="BL535" s="847"/>
      <c r="BM535" s="847"/>
      <c r="BN535" s="847"/>
      <c r="BO535" s="847"/>
      <c r="BP535" s="847"/>
      <c r="BQ535" s="847"/>
      <c r="BR535" s="847"/>
      <c r="BS535" s="847"/>
      <c r="BT535" s="847"/>
      <c r="BU535" s="847"/>
      <c r="BV535" s="847"/>
      <c r="BW535" s="847"/>
      <c r="BX535" s="847"/>
      <c r="BY535" s="847"/>
      <c r="BZ535" s="847"/>
      <c r="CA535" s="847"/>
      <c r="CB535" s="847"/>
      <c r="CC535" s="847"/>
      <c r="CD535" s="847"/>
      <c r="CE535" s="847"/>
      <c r="CF535" s="847"/>
      <c r="CG535" s="847"/>
      <c r="CH535" s="847"/>
      <c r="CI535" s="847"/>
      <c r="CJ535" s="847"/>
      <c r="CK535" s="847"/>
      <c r="CL535" s="847"/>
      <c r="CM535" s="847"/>
      <c r="CN535" s="847"/>
      <c r="CO535" s="847"/>
      <c r="CP535" s="847"/>
      <c r="CQ535" s="847"/>
      <c r="CR535" s="847"/>
      <c r="CS535" s="847"/>
      <c r="CT535" s="847"/>
      <c r="CU535" s="847"/>
      <c r="CV535" s="847"/>
      <c r="CW535" s="847"/>
      <c r="CX535" s="847"/>
      <c r="CY535" s="847"/>
      <c r="CZ535" s="847"/>
      <c r="DA535" s="847"/>
      <c r="DB535" s="847"/>
      <c r="DC535" s="847"/>
      <c r="DD535" s="847"/>
      <c r="DE535" s="847"/>
      <c r="DF535" s="847"/>
      <c r="DG535" s="847"/>
      <c r="DH535" s="847"/>
      <c r="DI535" s="847"/>
      <c r="DJ535" s="847"/>
      <c r="DK535" s="847"/>
      <c r="DL535" s="847"/>
      <c r="DM535" s="1212"/>
      <c r="DN535" s="1222"/>
      <c r="DO535" s="1013"/>
      <c r="DP535" s="847"/>
      <c r="DQ535" s="1013"/>
      <c r="DR535" s="1225"/>
      <c r="DS535" s="1013"/>
      <c r="DT535" s="1225"/>
      <c r="DU535" s="1214"/>
      <c r="DV535" s="1242"/>
      <c r="DW535" s="1232"/>
      <c r="DX535" s="1222"/>
      <c r="DY535" s="847"/>
      <c r="DZ535" s="847"/>
      <c r="EA535" s="847"/>
      <c r="EB535" s="847"/>
      <c r="EC535" s="847"/>
      <c r="ED535" s="847"/>
      <c r="EE535" s="847"/>
      <c r="EF535" s="847"/>
      <c r="EG535" s="1212"/>
      <c r="EH535" s="847"/>
      <c r="EI535" s="1212"/>
    </row>
    <row r="536" spans="1:139" s="733" customFormat="1" ht="13.5">
      <c r="A536" s="1009"/>
      <c r="B536" s="1212" t="s">
        <v>635</v>
      </c>
      <c r="C536" s="1213">
        <v>0</v>
      </c>
      <c r="D536" s="1013" t="s">
        <v>49</v>
      </c>
      <c r="E536" s="847"/>
      <c r="F536" s="1013"/>
      <c r="G536" s="847"/>
      <c r="H536" s="1013"/>
      <c r="I536" s="847"/>
      <c r="J536" s="1013"/>
      <c r="K536" s="847"/>
      <c r="L536" s="1013"/>
      <c r="M536" s="847"/>
      <c r="N536" s="1013"/>
      <c r="O536" s="847"/>
      <c r="P536" s="1013"/>
      <c r="Q536" s="847"/>
      <c r="R536" s="847"/>
      <c r="S536" s="847"/>
      <c r="T536" s="847"/>
      <c r="U536" s="847"/>
      <c r="V536" s="847"/>
      <c r="W536" s="847"/>
      <c r="X536" s="847"/>
      <c r="Y536" s="847"/>
      <c r="Z536" s="847"/>
      <c r="AA536" s="847"/>
      <c r="AB536" s="847"/>
      <c r="AC536" s="847"/>
      <c r="AD536" s="847"/>
      <c r="AE536" s="847"/>
      <c r="AF536" s="847"/>
      <c r="AG536" s="847"/>
      <c r="AH536" s="847"/>
      <c r="AI536" s="847"/>
      <c r="AJ536" s="847"/>
      <c r="AK536" s="847"/>
      <c r="AL536" s="847"/>
      <c r="AM536" s="847"/>
      <c r="AN536" s="847"/>
      <c r="AO536" s="847"/>
      <c r="AP536" s="847"/>
      <c r="AQ536" s="847"/>
      <c r="AR536" s="847"/>
      <c r="AS536" s="847"/>
      <c r="AT536" s="847"/>
      <c r="AU536" s="847"/>
      <c r="AV536" s="847"/>
      <c r="AW536" s="847"/>
      <c r="AX536" s="847"/>
      <c r="AY536" s="847"/>
      <c r="AZ536" s="847"/>
      <c r="BA536" s="847"/>
      <c r="BB536" s="847"/>
      <c r="BC536" s="847"/>
      <c r="BD536" s="847"/>
      <c r="BE536" s="847"/>
      <c r="BF536" s="847"/>
      <c r="BG536" s="847"/>
      <c r="BH536" s="847"/>
      <c r="BI536" s="847"/>
      <c r="BJ536" s="847"/>
      <c r="BK536" s="847"/>
      <c r="BL536" s="847"/>
      <c r="BM536" s="847"/>
      <c r="BN536" s="847"/>
      <c r="BO536" s="847"/>
      <c r="BP536" s="847"/>
      <c r="BQ536" s="847"/>
      <c r="BR536" s="847"/>
      <c r="BS536" s="847"/>
      <c r="BT536" s="847"/>
      <c r="BU536" s="847"/>
      <c r="BV536" s="847"/>
      <c r="BW536" s="847"/>
      <c r="BX536" s="847"/>
      <c r="BY536" s="847"/>
      <c r="BZ536" s="847"/>
      <c r="CA536" s="847"/>
      <c r="CB536" s="847"/>
      <c r="CC536" s="847"/>
      <c r="CD536" s="847"/>
      <c r="CE536" s="847"/>
      <c r="CF536" s="847"/>
      <c r="CG536" s="847"/>
      <c r="CH536" s="847"/>
      <c r="CI536" s="847"/>
      <c r="CJ536" s="847"/>
      <c r="CK536" s="847"/>
      <c r="CL536" s="847"/>
      <c r="CM536" s="847"/>
      <c r="CN536" s="847"/>
      <c r="CO536" s="847"/>
      <c r="CP536" s="847"/>
      <c r="CQ536" s="847"/>
      <c r="CR536" s="847"/>
      <c r="CS536" s="847"/>
      <c r="CT536" s="847"/>
      <c r="CU536" s="847"/>
      <c r="CV536" s="847"/>
      <c r="CW536" s="847"/>
      <c r="CX536" s="847"/>
      <c r="CY536" s="847"/>
      <c r="CZ536" s="847"/>
      <c r="DA536" s="847"/>
      <c r="DB536" s="847"/>
      <c r="DC536" s="847"/>
      <c r="DD536" s="847"/>
      <c r="DE536" s="847"/>
      <c r="DF536" s="847"/>
      <c r="DG536" s="847"/>
      <c r="DH536" s="847"/>
      <c r="DI536" s="847"/>
      <c r="DJ536" s="847"/>
      <c r="DK536" s="847"/>
      <c r="DL536" s="847"/>
      <c r="DM536" s="1212"/>
      <c r="DN536" s="1222">
        <f>(SUM('Lead &amp; ANALYSIS'!G1900:G1901)+SUM('Lead &amp; ANALYSIS'!G1900:G1901)*2%)/100</f>
        <v>1.1118000000000001</v>
      </c>
      <c r="DO536" s="1013">
        <f t="shared" si="22"/>
        <v>0</v>
      </c>
      <c r="DP536" s="847"/>
      <c r="DQ536" s="1013"/>
      <c r="DR536" s="1225"/>
      <c r="DS536" s="1013"/>
      <c r="DT536" s="1225"/>
      <c r="DU536" s="1214"/>
      <c r="DV536" s="1242"/>
      <c r="DW536" s="1232"/>
      <c r="DX536" s="1222"/>
      <c r="DY536" s="847"/>
      <c r="DZ536" s="847"/>
      <c r="EA536" s="847"/>
      <c r="EB536" s="847"/>
      <c r="EC536" s="847"/>
      <c r="ED536" s="847"/>
      <c r="EE536" s="847"/>
      <c r="EF536" s="847"/>
      <c r="EG536" s="1212"/>
      <c r="EH536" s="847"/>
      <c r="EI536" s="1212"/>
    </row>
    <row r="537" spans="1:139" s="733" customFormat="1" ht="13.5">
      <c r="A537" s="1009"/>
      <c r="B537" s="1212" t="s">
        <v>645</v>
      </c>
      <c r="C537" s="1213">
        <v>0</v>
      </c>
      <c r="D537" s="1013" t="s">
        <v>49</v>
      </c>
      <c r="E537" s="847"/>
      <c r="F537" s="1013"/>
      <c r="G537" s="847"/>
      <c r="H537" s="1013"/>
      <c r="I537" s="847"/>
      <c r="J537" s="1013"/>
      <c r="K537" s="847"/>
      <c r="L537" s="1013"/>
      <c r="M537" s="847"/>
      <c r="N537" s="1013"/>
      <c r="O537" s="847"/>
      <c r="P537" s="1013"/>
      <c r="Q537" s="847"/>
      <c r="R537" s="847"/>
      <c r="S537" s="847"/>
      <c r="T537" s="847"/>
      <c r="U537" s="847"/>
      <c r="V537" s="847"/>
      <c r="W537" s="847"/>
      <c r="X537" s="847"/>
      <c r="Y537" s="847"/>
      <c r="Z537" s="847"/>
      <c r="AA537" s="847"/>
      <c r="AB537" s="847"/>
      <c r="AC537" s="847"/>
      <c r="AD537" s="847"/>
      <c r="AE537" s="847"/>
      <c r="AF537" s="847"/>
      <c r="AG537" s="847"/>
      <c r="AH537" s="847"/>
      <c r="AI537" s="847"/>
      <c r="AJ537" s="847"/>
      <c r="AK537" s="847"/>
      <c r="AL537" s="847"/>
      <c r="AM537" s="847"/>
      <c r="AN537" s="847"/>
      <c r="AO537" s="847"/>
      <c r="AP537" s="847"/>
      <c r="AQ537" s="847"/>
      <c r="AR537" s="847"/>
      <c r="AS537" s="847"/>
      <c r="AT537" s="847"/>
      <c r="AU537" s="847"/>
      <c r="AV537" s="847"/>
      <c r="AW537" s="847"/>
      <c r="AX537" s="847"/>
      <c r="AY537" s="847"/>
      <c r="AZ537" s="847"/>
      <c r="BA537" s="847"/>
      <c r="BB537" s="847"/>
      <c r="BC537" s="847"/>
      <c r="BD537" s="847"/>
      <c r="BE537" s="847"/>
      <c r="BF537" s="847"/>
      <c r="BG537" s="847"/>
      <c r="BH537" s="847"/>
      <c r="BI537" s="847"/>
      <c r="BJ537" s="847"/>
      <c r="BK537" s="847"/>
      <c r="BL537" s="847"/>
      <c r="BM537" s="847"/>
      <c r="BN537" s="847"/>
      <c r="BO537" s="847"/>
      <c r="BP537" s="847"/>
      <c r="BQ537" s="847"/>
      <c r="BR537" s="847"/>
      <c r="BS537" s="847"/>
      <c r="BT537" s="847"/>
      <c r="BU537" s="847"/>
      <c r="BV537" s="847"/>
      <c r="BW537" s="847"/>
      <c r="BX537" s="847"/>
      <c r="BY537" s="847"/>
      <c r="BZ537" s="847"/>
      <c r="CA537" s="847"/>
      <c r="CB537" s="847"/>
      <c r="CC537" s="847"/>
      <c r="CD537" s="847"/>
      <c r="CE537" s="847"/>
      <c r="CF537" s="847"/>
      <c r="CG537" s="847"/>
      <c r="CH537" s="847"/>
      <c r="CI537" s="847"/>
      <c r="CJ537" s="847"/>
      <c r="CK537" s="847"/>
      <c r="CL537" s="847"/>
      <c r="CM537" s="847"/>
      <c r="CN537" s="847"/>
      <c r="CO537" s="847"/>
      <c r="CP537" s="847"/>
      <c r="CQ537" s="847"/>
      <c r="CR537" s="847"/>
      <c r="CS537" s="847"/>
      <c r="CT537" s="847"/>
      <c r="CU537" s="847"/>
      <c r="CV537" s="847"/>
      <c r="CW537" s="847"/>
      <c r="CX537" s="847"/>
      <c r="CY537" s="847"/>
      <c r="CZ537" s="847"/>
      <c r="DA537" s="847"/>
      <c r="DB537" s="847"/>
      <c r="DC537" s="847"/>
      <c r="DD537" s="847"/>
      <c r="DE537" s="847"/>
      <c r="DF537" s="847"/>
      <c r="DG537" s="847"/>
      <c r="DH537" s="847"/>
      <c r="DI537" s="847"/>
      <c r="DJ537" s="847"/>
      <c r="DK537" s="847"/>
      <c r="DL537" s="847"/>
      <c r="DM537" s="1212"/>
      <c r="DN537" s="1222" t="e">
        <f>'Lead &amp; ANALYSIS'!#REF!*#REF!+'Lead &amp; ANALYSIS'!#REF!*#REF!</f>
        <v>#REF!</v>
      </c>
      <c r="DO537" s="1013" t="e">
        <f t="shared" si="22"/>
        <v>#REF!</v>
      </c>
      <c r="DP537" s="847"/>
      <c r="DQ537" s="1013"/>
      <c r="DR537" s="1225"/>
      <c r="DS537" s="1013"/>
      <c r="DT537" s="1225"/>
      <c r="DU537" s="1214"/>
      <c r="DV537" s="1242"/>
      <c r="DW537" s="1232"/>
      <c r="DX537" s="1222"/>
      <c r="DY537" s="847"/>
      <c r="DZ537" s="847"/>
      <c r="EA537" s="847"/>
      <c r="EB537" s="847"/>
      <c r="EC537" s="847"/>
      <c r="ED537" s="847"/>
      <c r="EE537" s="847"/>
      <c r="EF537" s="847"/>
      <c r="EG537" s="1212"/>
      <c r="EH537" s="847"/>
      <c r="EI537" s="1212"/>
    </row>
    <row r="538" spans="1:139" s="733" customFormat="1" ht="13.5">
      <c r="A538" s="1009"/>
      <c r="B538" s="1212" t="s">
        <v>660</v>
      </c>
      <c r="C538" s="1213">
        <v>0</v>
      </c>
      <c r="D538" s="1013" t="s">
        <v>49</v>
      </c>
      <c r="E538" s="847"/>
      <c r="F538" s="1013"/>
      <c r="G538" s="847"/>
      <c r="H538" s="1013"/>
      <c r="I538" s="847"/>
      <c r="J538" s="1013"/>
      <c r="K538" s="847"/>
      <c r="L538" s="1013"/>
      <c r="M538" s="847"/>
      <c r="N538" s="1013"/>
      <c r="O538" s="847"/>
      <c r="P538" s="1013"/>
      <c r="Q538" s="847"/>
      <c r="R538" s="847"/>
      <c r="S538" s="847"/>
      <c r="T538" s="847"/>
      <c r="U538" s="847"/>
      <c r="V538" s="847"/>
      <c r="W538" s="847"/>
      <c r="X538" s="847"/>
      <c r="Y538" s="847"/>
      <c r="Z538" s="847"/>
      <c r="AA538" s="847"/>
      <c r="AB538" s="847"/>
      <c r="AC538" s="847"/>
      <c r="AD538" s="847"/>
      <c r="AE538" s="847"/>
      <c r="AF538" s="847"/>
      <c r="AG538" s="847"/>
      <c r="AH538" s="847"/>
      <c r="AI538" s="847"/>
      <c r="AJ538" s="847"/>
      <c r="AK538" s="847"/>
      <c r="AL538" s="847"/>
      <c r="AM538" s="847"/>
      <c r="AN538" s="847"/>
      <c r="AO538" s="847"/>
      <c r="AP538" s="847"/>
      <c r="AQ538" s="847"/>
      <c r="AR538" s="847"/>
      <c r="AS538" s="847"/>
      <c r="AT538" s="847"/>
      <c r="AU538" s="847"/>
      <c r="AV538" s="847"/>
      <c r="AW538" s="847"/>
      <c r="AX538" s="847"/>
      <c r="AY538" s="847"/>
      <c r="AZ538" s="847"/>
      <c r="BA538" s="847"/>
      <c r="BB538" s="847"/>
      <c r="BC538" s="847"/>
      <c r="BD538" s="847"/>
      <c r="BE538" s="847"/>
      <c r="BF538" s="847"/>
      <c r="BG538" s="847"/>
      <c r="BH538" s="847"/>
      <c r="BI538" s="847"/>
      <c r="BJ538" s="847"/>
      <c r="BK538" s="847"/>
      <c r="BL538" s="847"/>
      <c r="BM538" s="847"/>
      <c r="BN538" s="847"/>
      <c r="BO538" s="847"/>
      <c r="BP538" s="847"/>
      <c r="BQ538" s="847"/>
      <c r="BR538" s="847"/>
      <c r="BS538" s="847"/>
      <c r="BT538" s="847"/>
      <c r="BU538" s="847"/>
      <c r="BV538" s="847"/>
      <c r="BW538" s="847"/>
      <c r="BX538" s="847"/>
      <c r="BY538" s="847"/>
      <c r="BZ538" s="847"/>
      <c r="CA538" s="847"/>
      <c r="CB538" s="847"/>
      <c r="CC538" s="847"/>
      <c r="CD538" s="847"/>
      <c r="CE538" s="847"/>
      <c r="CF538" s="847"/>
      <c r="CG538" s="847"/>
      <c r="CH538" s="847"/>
      <c r="CI538" s="847"/>
      <c r="CJ538" s="847"/>
      <c r="CK538" s="847"/>
      <c r="CL538" s="847"/>
      <c r="CM538" s="847"/>
      <c r="CN538" s="847"/>
      <c r="CO538" s="847"/>
      <c r="CP538" s="847"/>
      <c r="CQ538" s="847"/>
      <c r="CR538" s="847"/>
      <c r="CS538" s="847"/>
      <c r="CT538" s="847"/>
      <c r="CU538" s="847"/>
      <c r="CV538" s="847"/>
      <c r="CW538" s="847"/>
      <c r="CX538" s="847"/>
      <c r="CY538" s="847"/>
      <c r="CZ538" s="847"/>
      <c r="DA538" s="847"/>
      <c r="DB538" s="847"/>
      <c r="DC538" s="847"/>
      <c r="DD538" s="847"/>
      <c r="DE538" s="847"/>
      <c r="DF538" s="847"/>
      <c r="DG538" s="847"/>
      <c r="DH538" s="847"/>
      <c r="DI538" s="847"/>
      <c r="DJ538" s="847"/>
      <c r="DK538" s="847"/>
      <c r="DL538" s="847"/>
      <c r="DM538" s="1212"/>
      <c r="DN538" s="1222" t="e">
        <f>'Lead &amp; ANALYSIS'!#REF!*#REF!+'Lead &amp; ANALYSIS'!#REF!*#REF!</f>
        <v>#REF!</v>
      </c>
      <c r="DO538" s="1013" t="e">
        <f t="shared" si="22"/>
        <v>#REF!</v>
      </c>
      <c r="DP538" s="847"/>
      <c r="DQ538" s="1013"/>
      <c r="DR538" s="1225"/>
      <c r="DS538" s="1013"/>
      <c r="DT538" s="1225"/>
      <c r="DU538" s="1214"/>
      <c r="DV538" s="1242"/>
      <c r="DW538" s="1232"/>
      <c r="DX538" s="1222"/>
      <c r="DY538" s="847"/>
      <c r="DZ538" s="847"/>
      <c r="EA538" s="847"/>
      <c r="EB538" s="847"/>
      <c r="EC538" s="847"/>
      <c r="ED538" s="847"/>
      <c r="EE538" s="847"/>
      <c r="EF538" s="847"/>
      <c r="EG538" s="1212"/>
      <c r="EH538" s="847"/>
      <c r="EI538" s="1212"/>
    </row>
    <row r="539" spans="1:139" s="733" customFormat="1" ht="13.5">
      <c r="A539" s="1009"/>
      <c r="B539" s="1212" t="s">
        <v>649</v>
      </c>
      <c r="C539" s="1213">
        <v>0</v>
      </c>
      <c r="D539" s="1013" t="s">
        <v>49</v>
      </c>
      <c r="E539" s="847"/>
      <c r="F539" s="1013"/>
      <c r="G539" s="847"/>
      <c r="H539" s="1013"/>
      <c r="I539" s="847"/>
      <c r="J539" s="1013"/>
      <c r="K539" s="847"/>
      <c r="L539" s="1013"/>
      <c r="M539" s="847"/>
      <c r="N539" s="1013"/>
      <c r="O539" s="847"/>
      <c r="P539" s="1013"/>
      <c r="Q539" s="847"/>
      <c r="R539" s="847"/>
      <c r="S539" s="847"/>
      <c r="T539" s="847"/>
      <c r="U539" s="847"/>
      <c r="V539" s="847"/>
      <c r="W539" s="847"/>
      <c r="X539" s="847"/>
      <c r="Y539" s="847"/>
      <c r="Z539" s="847"/>
      <c r="AA539" s="847"/>
      <c r="AB539" s="847"/>
      <c r="AC539" s="847"/>
      <c r="AD539" s="847"/>
      <c r="AE539" s="847"/>
      <c r="AF539" s="847"/>
      <c r="AG539" s="847"/>
      <c r="AH539" s="847"/>
      <c r="AI539" s="847"/>
      <c r="AJ539" s="847"/>
      <c r="AK539" s="847"/>
      <c r="AL539" s="847"/>
      <c r="AM539" s="847"/>
      <c r="AN539" s="847"/>
      <c r="AO539" s="847"/>
      <c r="AP539" s="847"/>
      <c r="AQ539" s="847"/>
      <c r="AR539" s="847"/>
      <c r="AS539" s="847"/>
      <c r="AT539" s="847"/>
      <c r="AU539" s="847"/>
      <c r="AV539" s="847"/>
      <c r="AW539" s="847"/>
      <c r="AX539" s="847"/>
      <c r="AY539" s="847"/>
      <c r="AZ539" s="847"/>
      <c r="BA539" s="847"/>
      <c r="BB539" s="847"/>
      <c r="BC539" s="847"/>
      <c r="BD539" s="847"/>
      <c r="BE539" s="847"/>
      <c r="BF539" s="847"/>
      <c r="BG539" s="847"/>
      <c r="BH539" s="847"/>
      <c r="BI539" s="847"/>
      <c r="BJ539" s="847"/>
      <c r="BK539" s="847"/>
      <c r="BL539" s="847"/>
      <c r="BM539" s="847"/>
      <c r="BN539" s="847"/>
      <c r="BO539" s="847"/>
      <c r="BP539" s="847"/>
      <c r="BQ539" s="847"/>
      <c r="BR539" s="847"/>
      <c r="BS539" s="847"/>
      <c r="BT539" s="847"/>
      <c r="BU539" s="847"/>
      <c r="BV539" s="847"/>
      <c r="BW539" s="847"/>
      <c r="BX539" s="847"/>
      <c r="BY539" s="847"/>
      <c r="BZ539" s="847"/>
      <c r="CA539" s="847"/>
      <c r="CB539" s="847"/>
      <c r="CC539" s="847"/>
      <c r="CD539" s="847"/>
      <c r="CE539" s="847"/>
      <c r="CF539" s="847"/>
      <c r="CG539" s="847"/>
      <c r="CH539" s="847"/>
      <c r="CI539" s="847"/>
      <c r="CJ539" s="847"/>
      <c r="CK539" s="847"/>
      <c r="CL539" s="847"/>
      <c r="CM539" s="847"/>
      <c r="CN539" s="847"/>
      <c r="CO539" s="847"/>
      <c r="CP539" s="847"/>
      <c r="CQ539" s="847"/>
      <c r="CR539" s="847"/>
      <c r="CS539" s="847"/>
      <c r="CT539" s="847"/>
      <c r="CU539" s="847"/>
      <c r="CV539" s="847"/>
      <c r="CW539" s="847"/>
      <c r="CX539" s="847"/>
      <c r="CY539" s="847"/>
      <c r="CZ539" s="847"/>
      <c r="DA539" s="847"/>
      <c r="DB539" s="847"/>
      <c r="DC539" s="847"/>
      <c r="DD539" s="847"/>
      <c r="DE539" s="847"/>
      <c r="DF539" s="847"/>
      <c r="DG539" s="847"/>
      <c r="DH539" s="847"/>
      <c r="DI539" s="847"/>
      <c r="DJ539" s="847"/>
      <c r="DK539" s="847"/>
      <c r="DL539" s="847"/>
      <c r="DM539" s="1212"/>
      <c r="DN539" s="1222" t="e">
        <f>'Lead &amp; ANALYSIS'!#REF!*#REF!+'Lead &amp; ANALYSIS'!#REF!*#REF!</f>
        <v>#REF!</v>
      </c>
      <c r="DO539" s="1013" t="e">
        <f t="shared" si="22"/>
        <v>#REF!</v>
      </c>
      <c r="DP539" s="847"/>
      <c r="DQ539" s="1013"/>
      <c r="DR539" s="1225"/>
      <c r="DS539" s="1013"/>
      <c r="DT539" s="1225"/>
      <c r="DU539" s="1214"/>
      <c r="DV539" s="1242"/>
      <c r="DW539" s="1232"/>
      <c r="DX539" s="1222"/>
      <c r="DY539" s="847"/>
      <c r="DZ539" s="847"/>
      <c r="EA539" s="847"/>
      <c r="EB539" s="847"/>
      <c r="EC539" s="847"/>
      <c r="ED539" s="847"/>
      <c r="EE539" s="847"/>
      <c r="EF539" s="847"/>
      <c r="EG539" s="1212"/>
      <c r="EH539" s="847"/>
      <c r="EI539" s="1212"/>
    </row>
    <row r="540" spans="1:139" s="733" customFormat="1" ht="13.5">
      <c r="A540" s="1009"/>
      <c r="B540" s="1212" t="s">
        <v>651</v>
      </c>
      <c r="C540" s="1213">
        <v>0</v>
      </c>
      <c r="D540" s="1013" t="s">
        <v>49</v>
      </c>
      <c r="E540" s="847"/>
      <c r="F540" s="1013"/>
      <c r="G540" s="847"/>
      <c r="H540" s="1013"/>
      <c r="I540" s="847"/>
      <c r="J540" s="1013"/>
      <c r="K540" s="847"/>
      <c r="L540" s="1013"/>
      <c r="M540" s="847"/>
      <c r="N540" s="1013"/>
      <c r="O540" s="847"/>
      <c r="P540" s="1013"/>
      <c r="Q540" s="847"/>
      <c r="R540" s="847"/>
      <c r="S540" s="847"/>
      <c r="T540" s="847"/>
      <c r="U540" s="847"/>
      <c r="V540" s="847"/>
      <c r="W540" s="847"/>
      <c r="X540" s="847"/>
      <c r="Y540" s="847"/>
      <c r="Z540" s="847"/>
      <c r="AA540" s="847"/>
      <c r="AB540" s="847"/>
      <c r="AC540" s="847"/>
      <c r="AD540" s="847"/>
      <c r="AE540" s="847"/>
      <c r="AF540" s="847"/>
      <c r="AG540" s="847"/>
      <c r="AH540" s="847"/>
      <c r="AI540" s="847"/>
      <c r="AJ540" s="847"/>
      <c r="AK540" s="847"/>
      <c r="AL540" s="847"/>
      <c r="AM540" s="847"/>
      <c r="AN540" s="847"/>
      <c r="AO540" s="847"/>
      <c r="AP540" s="847"/>
      <c r="AQ540" s="847"/>
      <c r="AR540" s="847"/>
      <c r="AS540" s="847"/>
      <c r="AT540" s="847"/>
      <c r="AU540" s="847"/>
      <c r="AV540" s="847"/>
      <c r="AW540" s="847"/>
      <c r="AX540" s="847"/>
      <c r="AY540" s="847"/>
      <c r="AZ540" s="847"/>
      <c r="BA540" s="847"/>
      <c r="BB540" s="847"/>
      <c r="BC540" s="847"/>
      <c r="BD540" s="847"/>
      <c r="BE540" s="847"/>
      <c r="BF540" s="847"/>
      <c r="BG540" s="847"/>
      <c r="BH540" s="847"/>
      <c r="BI540" s="847"/>
      <c r="BJ540" s="847"/>
      <c r="BK540" s="847"/>
      <c r="BL540" s="847"/>
      <c r="BM540" s="847"/>
      <c r="BN540" s="847"/>
      <c r="BO540" s="847"/>
      <c r="BP540" s="847"/>
      <c r="BQ540" s="847"/>
      <c r="BR540" s="847"/>
      <c r="BS540" s="847"/>
      <c r="BT540" s="847"/>
      <c r="BU540" s="847"/>
      <c r="BV540" s="847"/>
      <c r="BW540" s="847"/>
      <c r="BX540" s="847"/>
      <c r="BY540" s="847"/>
      <c r="BZ540" s="847"/>
      <c r="CA540" s="847"/>
      <c r="CB540" s="847"/>
      <c r="CC540" s="847"/>
      <c r="CD540" s="847"/>
      <c r="CE540" s="847"/>
      <c r="CF540" s="847"/>
      <c r="CG540" s="847"/>
      <c r="CH540" s="847"/>
      <c r="CI540" s="847"/>
      <c r="CJ540" s="847"/>
      <c r="CK540" s="847"/>
      <c r="CL540" s="847"/>
      <c r="CM540" s="847"/>
      <c r="CN540" s="847"/>
      <c r="CO540" s="847"/>
      <c r="CP540" s="847"/>
      <c r="CQ540" s="847"/>
      <c r="CR540" s="847"/>
      <c r="CS540" s="847"/>
      <c r="CT540" s="847"/>
      <c r="CU540" s="847"/>
      <c r="CV540" s="847"/>
      <c r="CW540" s="847"/>
      <c r="CX540" s="847"/>
      <c r="CY540" s="847"/>
      <c r="CZ540" s="847"/>
      <c r="DA540" s="847"/>
      <c r="DB540" s="847"/>
      <c r="DC540" s="847"/>
      <c r="DD540" s="847"/>
      <c r="DE540" s="847"/>
      <c r="DF540" s="847"/>
      <c r="DG540" s="847"/>
      <c r="DH540" s="847"/>
      <c r="DI540" s="847"/>
      <c r="DJ540" s="847"/>
      <c r="DK540" s="847"/>
      <c r="DL540" s="847"/>
      <c r="DM540" s="1212"/>
      <c r="DN540" s="1222" t="e">
        <f>'Lead &amp; ANALYSIS'!#REF!*#REF!+'Lead &amp; ANALYSIS'!#REF!*#REF!</f>
        <v>#REF!</v>
      </c>
      <c r="DO540" s="1013" t="e">
        <f t="shared" si="22"/>
        <v>#REF!</v>
      </c>
      <c r="DP540" s="847"/>
      <c r="DQ540" s="1013"/>
      <c r="DR540" s="1225"/>
      <c r="DS540" s="1013"/>
      <c r="DT540" s="1225"/>
      <c r="DU540" s="1214"/>
      <c r="DV540" s="1242"/>
      <c r="DW540" s="1232"/>
      <c r="DX540" s="1222"/>
      <c r="DY540" s="847"/>
      <c r="DZ540" s="847"/>
      <c r="EA540" s="847"/>
      <c r="EB540" s="847"/>
      <c r="EC540" s="847"/>
      <c r="ED540" s="847"/>
      <c r="EE540" s="847"/>
      <c r="EF540" s="847"/>
      <c r="EG540" s="1212"/>
      <c r="EH540" s="847"/>
      <c r="EI540" s="1212"/>
    </row>
    <row r="541" spans="1:139" s="733" customFormat="1" ht="13.5">
      <c r="A541" s="1009"/>
      <c r="B541" s="1212" t="s">
        <v>653</v>
      </c>
      <c r="C541" s="1213">
        <v>0</v>
      </c>
      <c r="D541" s="1013" t="s">
        <v>49</v>
      </c>
      <c r="E541" s="847"/>
      <c r="F541" s="1013"/>
      <c r="G541" s="847"/>
      <c r="H541" s="1013"/>
      <c r="I541" s="847"/>
      <c r="J541" s="1013"/>
      <c r="K541" s="847"/>
      <c r="L541" s="1013"/>
      <c r="M541" s="847"/>
      <c r="N541" s="1013"/>
      <c r="O541" s="847"/>
      <c r="P541" s="1013"/>
      <c r="Q541" s="847"/>
      <c r="R541" s="847"/>
      <c r="S541" s="847"/>
      <c r="T541" s="847"/>
      <c r="U541" s="847"/>
      <c r="V541" s="847"/>
      <c r="W541" s="847"/>
      <c r="X541" s="847"/>
      <c r="Y541" s="847"/>
      <c r="Z541" s="847"/>
      <c r="AA541" s="847"/>
      <c r="AB541" s="847"/>
      <c r="AC541" s="847"/>
      <c r="AD541" s="847"/>
      <c r="AE541" s="847"/>
      <c r="AF541" s="847"/>
      <c r="AG541" s="847"/>
      <c r="AH541" s="847"/>
      <c r="AI541" s="847"/>
      <c r="AJ541" s="847"/>
      <c r="AK541" s="847"/>
      <c r="AL541" s="847"/>
      <c r="AM541" s="847"/>
      <c r="AN541" s="847"/>
      <c r="AO541" s="847"/>
      <c r="AP541" s="847"/>
      <c r="AQ541" s="847"/>
      <c r="AR541" s="847"/>
      <c r="AS541" s="847"/>
      <c r="AT541" s="847"/>
      <c r="AU541" s="847"/>
      <c r="AV541" s="847"/>
      <c r="AW541" s="847"/>
      <c r="AX541" s="847"/>
      <c r="AY541" s="847"/>
      <c r="AZ541" s="847"/>
      <c r="BA541" s="847"/>
      <c r="BB541" s="847"/>
      <c r="BC541" s="847"/>
      <c r="BD541" s="847"/>
      <c r="BE541" s="847"/>
      <c r="BF541" s="847"/>
      <c r="BG541" s="847"/>
      <c r="BH541" s="847"/>
      <c r="BI541" s="847"/>
      <c r="BJ541" s="847"/>
      <c r="BK541" s="847"/>
      <c r="BL541" s="847"/>
      <c r="BM541" s="847"/>
      <c r="BN541" s="847"/>
      <c r="BO541" s="847"/>
      <c r="BP541" s="847"/>
      <c r="BQ541" s="847"/>
      <c r="BR541" s="847"/>
      <c r="BS541" s="847"/>
      <c r="BT541" s="847"/>
      <c r="BU541" s="847"/>
      <c r="BV541" s="847"/>
      <c r="BW541" s="847"/>
      <c r="BX541" s="847"/>
      <c r="BY541" s="847"/>
      <c r="BZ541" s="847"/>
      <c r="CA541" s="847"/>
      <c r="CB541" s="847"/>
      <c r="CC541" s="847"/>
      <c r="CD541" s="847"/>
      <c r="CE541" s="847"/>
      <c r="CF541" s="847"/>
      <c r="CG541" s="847"/>
      <c r="CH541" s="847"/>
      <c r="CI541" s="847"/>
      <c r="CJ541" s="847"/>
      <c r="CK541" s="847"/>
      <c r="CL541" s="847"/>
      <c r="CM541" s="847"/>
      <c r="CN541" s="847"/>
      <c r="CO541" s="847"/>
      <c r="CP541" s="847"/>
      <c r="CQ541" s="847"/>
      <c r="CR541" s="847"/>
      <c r="CS541" s="847"/>
      <c r="CT541" s="847"/>
      <c r="CU541" s="847"/>
      <c r="CV541" s="847"/>
      <c r="CW541" s="847"/>
      <c r="CX541" s="847"/>
      <c r="CY541" s="847"/>
      <c r="CZ541" s="847"/>
      <c r="DA541" s="847"/>
      <c r="DB541" s="847"/>
      <c r="DC541" s="847"/>
      <c r="DD541" s="847"/>
      <c r="DE541" s="847"/>
      <c r="DF541" s="847"/>
      <c r="DG541" s="847"/>
      <c r="DH541" s="847"/>
      <c r="DI541" s="847"/>
      <c r="DJ541" s="847"/>
      <c r="DK541" s="847"/>
      <c r="DL541" s="847"/>
      <c r="DM541" s="1212"/>
      <c r="DN541" s="1222" t="e">
        <f>'Lead &amp; ANALYSIS'!#REF!*#REF!+'Lead &amp; ANALYSIS'!#REF!*#REF!</f>
        <v>#REF!</v>
      </c>
      <c r="DO541" s="1013" t="e">
        <f t="shared" si="22"/>
        <v>#REF!</v>
      </c>
      <c r="DP541" s="847"/>
      <c r="DQ541" s="1013"/>
      <c r="DR541" s="1225"/>
      <c r="DS541" s="1013"/>
      <c r="DT541" s="1225"/>
      <c r="DU541" s="1214"/>
      <c r="DV541" s="1242"/>
      <c r="DW541" s="1232"/>
      <c r="DX541" s="1222"/>
      <c r="DY541" s="847"/>
      <c r="DZ541" s="847"/>
      <c r="EA541" s="847"/>
      <c r="EB541" s="847"/>
      <c r="EC541" s="847"/>
      <c r="ED541" s="847"/>
      <c r="EE541" s="847"/>
      <c r="EF541" s="847"/>
      <c r="EG541" s="1212"/>
      <c r="EH541" s="847"/>
      <c r="EI541" s="1212"/>
    </row>
    <row r="542" spans="1:139" s="733" customFormat="1" ht="13.5">
      <c r="A542" s="1009"/>
      <c r="B542" s="1212" t="s">
        <v>655</v>
      </c>
      <c r="C542" s="1213">
        <v>0</v>
      </c>
      <c r="D542" s="1013" t="s">
        <v>49</v>
      </c>
      <c r="E542" s="847"/>
      <c r="F542" s="1013"/>
      <c r="G542" s="847"/>
      <c r="H542" s="1013"/>
      <c r="I542" s="847"/>
      <c r="J542" s="1013"/>
      <c r="K542" s="847"/>
      <c r="L542" s="1013"/>
      <c r="M542" s="847"/>
      <c r="N542" s="1013"/>
      <c r="O542" s="847"/>
      <c r="P542" s="1013"/>
      <c r="Q542" s="847"/>
      <c r="R542" s="847"/>
      <c r="S542" s="847"/>
      <c r="T542" s="847"/>
      <c r="U542" s="847"/>
      <c r="V542" s="847"/>
      <c r="W542" s="847"/>
      <c r="X542" s="847"/>
      <c r="Y542" s="847"/>
      <c r="Z542" s="847"/>
      <c r="AA542" s="847"/>
      <c r="AB542" s="847"/>
      <c r="AC542" s="847"/>
      <c r="AD542" s="847"/>
      <c r="AE542" s="847"/>
      <c r="AF542" s="847"/>
      <c r="AG542" s="847"/>
      <c r="AH542" s="847"/>
      <c r="AI542" s="847"/>
      <c r="AJ542" s="847"/>
      <c r="AK542" s="847"/>
      <c r="AL542" s="847"/>
      <c r="AM542" s="847"/>
      <c r="AN542" s="847"/>
      <c r="AO542" s="847"/>
      <c r="AP542" s="847"/>
      <c r="AQ542" s="847"/>
      <c r="AR542" s="847"/>
      <c r="AS542" s="847"/>
      <c r="AT542" s="847"/>
      <c r="AU542" s="847"/>
      <c r="AV542" s="847"/>
      <c r="AW542" s="847"/>
      <c r="AX542" s="847"/>
      <c r="AY542" s="847"/>
      <c r="AZ542" s="847"/>
      <c r="BA542" s="847"/>
      <c r="BB542" s="847"/>
      <c r="BC542" s="847"/>
      <c r="BD542" s="847"/>
      <c r="BE542" s="847"/>
      <c r="BF542" s="847"/>
      <c r="BG542" s="847"/>
      <c r="BH542" s="847"/>
      <c r="BI542" s="847"/>
      <c r="BJ542" s="847"/>
      <c r="BK542" s="847"/>
      <c r="BL542" s="847"/>
      <c r="BM542" s="847"/>
      <c r="BN542" s="847"/>
      <c r="BO542" s="847"/>
      <c r="BP542" s="847"/>
      <c r="BQ542" s="847"/>
      <c r="BR542" s="847"/>
      <c r="BS542" s="847"/>
      <c r="BT542" s="847"/>
      <c r="BU542" s="847"/>
      <c r="BV542" s="847"/>
      <c r="BW542" s="847"/>
      <c r="BX542" s="847"/>
      <c r="BY542" s="847"/>
      <c r="BZ542" s="847"/>
      <c r="CA542" s="847"/>
      <c r="CB542" s="847"/>
      <c r="CC542" s="847"/>
      <c r="CD542" s="847"/>
      <c r="CE542" s="847"/>
      <c r="CF542" s="847"/>
      <c r="CG542" s="847"/>
      <c r="CH542" s="847"/>
      <c r="CI542" s="847"/>
      <c r="CJ542" s="847"/>
      <c r="CK542" s="847"/>
      <c r="CL542" s="847"/>
      <c r="CM542" s="847"/>
      <c r="CN542" s="847"/>
      <c r="CO542" s="847"/>
      <c r="CP542" s="847"/>
      <c r="CQ542" s="847"/>
      <c r="CR542" s="847"/>
      <c r="CS542" s="847"/>
      <c r="CT542" s="847"/>
      <c r="CU542" s="847"/>
      <c r="CV542" s="847"/>
      <c r="CW542" s="847"/>
      <c r="CX542" s="847"/>
      <c r="CY542" s="847"/>
      <c r="CZ542" s="847"/>
      <c r="DA542" s="847"/>
      <c r="DB542" s="847"/>
      <c r="DC542" s="847"/>
      <c r="DD542" s="847"/>
      <c r="DE542" s="847"/>
      <c r="DF542" s="847"/>
      <c r="DG542" s="847"/>
      <c r="DH542" s="847"/>
      <c r="DI542" s="847"/>
      <c r="DJ542" s="847"/>
      <c r="DK542" s="847"/>
      <c r="DL542" s="847"/>
      <c r="DM542" s="1212"/>
      <c r="DN542" s="1222" t="e">
        <f>'Lead &amp; ANALYSIS'!#REF!*#REF!+'Lead &amp; ANALYSIS'!#REF!*#REF!</f>
        <v>#REF!</v>
      </c>
      <c r="DO542" s="1013" t="e">
        <f t="shared" si="22"/>
        <v>#REF!</v>
      </c>
      <c r="DP542" s="847"/>
      <c r="DQ542" s="1013"/>
      <c r="DR542" s="1225"/>
      <c r="DS542" s="1013"/>
      <c r="DT542" s="1225"/>
      <c r="DU542" s="1214"/>
      <c r="DV542" s="1242"/>
      <c r="DW542" s="1232"/>
      <c r="DX542" s="1222"/>
      <c r="DY542" s="847"/>
      <c r="DZ542" s="847"/>
      <c r="EA542" s="847"/>
      <c r="EB542" s="847"/>
      <c r="EC542" s="847"/>
      <c r="ED542" s="847"/>
      <c r="EE542" s="847"/>
      <c r="EF542" s="847"/>
      <c r="EG542" s="1212"/>
      <c r="EH542" s="847"/>
      <c r="EI542" s="1212"/>
    </row>
    <row r="543" spans="1:139" s="733" customFormat="1" ht="13.5">
      <c r="A543" s="1009"/>
      <c r="B543" s="1212" t="s">
        <v>657</v>
      </c>
      <c r="C543" s="1213">
        <v>0</v>
      </c>
      <c r="D543" s="1013" t="s">
        <v>49</v>
      </c>
      <c r="E543" s="847"/>
      <c r="F543" s="1013"/>
      <c r="G543" s="847"/>
      <c r="H543" s="1013"/>
      <c r="I543" s="847"/>
      <c r="J543" s="1013"/>
      <c r="K543" s="847"/>
      <c r="L543" s="1013"/>
      <c r="M543" s="847"/>
      <c r="N543" s="1013"/>
      <c r="O543" s="847"/>
      <c r="P543" s="1013"/>
      <c r="Q543" s="847"/>
      <c r="R543" s="847"/>
      <c r="S543" s="847"/>
      <c r="T543" s="847"/>
      <c r="U543" s="847"/>
      <c r="V543" s="847"/>
      <c r="W543" s="847"/>
      <c r="X543" s="847"/>
      <c r="Y543" s="847"/>
      <c r="Z543" s="847"/>
      <c r="AA543" s="847"/>
      <c r="AB543" s="847"/>
      <c r="AC543" s="847"/>
      <c r="AD543" s="847"/>
      <c r="AE543" s="847"/>
      <c r="AF543" s="847"/>
      <c r="AG543" s="847"/>
      <c r="AH543" s="847"/>
      <c r="AI543" s="847"/>
      <c r="AJ543" s="847"/>
      <c r="AK543" s="847"/>
      <c r="AL543" s="847"/>
      <c r="AM543" s="847"/>
      <c r="AN543" s="847"/>
      <c r="AO543" s="847"/>
      <c r="AP543" s="847"/>
      <c r="AQ543" s="847"/>
      <c r="AR543" s="847"/>
      <c r="AS543" s="847"/>
      <c r="AT543" s="847"/>
      <c r="AU543" s="847"/>
      <c r="AV543" s="847"/>
      <c r="AW543" s="847"/>
      <c r="AX543" s="847"/>
      <c r="AY543" s="847"/>
      <c r="AZ543" s="847"/>
      <c r="BA543" s="847"/>
      <c r="BB543" s="847"/>
      <c r="BC543" s="847"/>
      <c r="BD543" s="847"/>
      <c r="BE543" s="847"/>
      <c r="BF543" s="847"/>
      <c r="BG543" s="847"/>
      <c r="BH543" s="847"/>
      <c r="BI543" s="847"/>
      <c r="BJ543" s="847"/>
      <c r="BK543" s="847"/>
      <c r="BL543" s="847"/>
      <c r="BM543" s="847"/>
      <c r="BN543" s="847"/>
      <c r="BO543" s="847"/>
      <c r="BP543" s="847"/>
      <c r="BQ543" s="847"/>
      <c r="BR543" s="847"/>
      <c r="BS543" s="847"/>
      <c r="BT543" s="847"/>
      <c r="BU543" s="847"/>
      <c r="BV543" s="847"/>
      <c r="BW543" s="847"/>
      <c r="BX543" s="847"/>
      <c r="BY543" s="847"/>
      <c r="BZ543" s="847"/>
      <c r="CA543" s="847"/>
      <c r="CB543" s="847"/>
      <c r="CC543" s="847"/>
      <c r="CD543" s="847"/>
      <c r="CE543" s="847"/>
      <c r="CF543" s="847"/>
      <c r="CG543" s="847"/>
      <c r="CH543" s="847"/>
      <c r="CI543" s="847"/>
      <c r="CJ543" s="847"/>
      <c r="CK543" s="847"/>
      <c r="CL543" s="847"/>
      <c r="CM543" s="847"/>
      <c r="CN543" s="847"/>
      <c r="CO543" s="847"/>
      <c r="CP543" s="847"/>
      <c r="CQ543" s="847"/>
      <c r="CR543" s="847"/>
      <c r="CS543" s="847"/>
      <c r="CT543" s="847"/>
      <c r="CU543" s="847"/>
      <c r="CV543" s="847"/>
      <c r="CW543" s="847"/>
      <c r="CX543" s="847"/>
      <c r="CY543" s="847"/>
      <c r="CZ543" s="847"/>
      <c r="DA543" s="847"/>
      <c r="DB543" s="847"/>
      <c r="DC543" s="847"/>
      <c r="DD543" s="847"/>
      <c r="DE543" s="847"/>
      <c r="DF543" s="847"/>
      <c r="DG543" s="847"/>
      <c r="DH543" s="847"/>
      <c r="DI543" s="847"/>
      <c r="DJ543" s="847"/>
      <c r="DK543" s="847"/>
      <c r="DL543" s="847"/>
      <c r="DM543" s="1212"/>
      <c r="DN543" s="1222" t="e">
        <f>'Lead &amp; ANALYSIS'!#REF!*#REF!+'Lead &amp; ANALYSIS'!#REF!*#REF!</f>
        <v>#REF!</v>
      </c>
      <c r="DO543" s="1013" t="e">
        <f t="shared" si="22"/>
        <v>#REF!</v>
      </c>
      <c r="DP543" s="847"/>
      <c r="DQ543" s="1013"/>
      <c r="DR543" s="1225"/>
      <c r="DS543" s="1013"/>
      <c r="DT543" s="1225"/>
      <c r="DU543" s="1214"/>
      <c r="DV543" s="1242"/>
      <c r="DW543" s="1232"/>
      <c r="DX543" s="1222"/>
      <c r="DY543" s="847"/>
      <c r="DZ543" s="847"/>
      <c r="EA543" s="847"/>
      <c r="EB543" s="847"/>
      <c r="EC543" s="847"/>
      <c r="ED543" s="847"/>
      <c r="EE543" s="847"/>
      <c r="EF543" s="847"/>
      <c r="EG543" s="1212"/>
      <c r="EH543" s="847"/>
      <c r="EI543" s="1212"/>
    </row>
    <row r="544" spans="1:139" s="733" customFormat="1" ht="13.5">
      <c r="A544" s="1009"/>
      <c r="B544" s="1212"/>
      <c r="C544" s="1213"/>
      <c r="D544" s="1013"/>
      <c r="E544" s="847"/>
      <c r="F544" s="1013"/>
      <c r="G544" s="847"/>
      <c r="H544" s="1013"/>
      <c r="I544" s="847"/>
      <c r="J544" s="1013"/>
      <c r="K544" s="847"/>
      <c r="L544" s="1013"/>
      <c r="M544" s="847"/>
      <c r="N544" s="1013"/>
      <c r="O544" s="847"/>
      <c r="P544" s="1013"/>
      <c r="Q544" s="847"/>
      <c r="R544" s="847"/>
      <c r="S544" s="847"/>
      <c r="T544" s="847"/>
      <c r="U544" s="847"/>
      <c r="V544" s="847"/>
      <c r="W544" s="847"/>
      <c r="X544" s="847"/>
      <c r="Y544" s="847"/>
      <c r="Z544" s="847"/>
      <c r="AA544" s="847"/>
      <c r="AB544" s="847"/>
      <c r="AC544" s="847"/>
      <c r="AD544" s="847"/>
      <c r="AE544" s="847"/>
      <c r="AF544" s="847"/>
      <c r="AG544" s="847"/>
      <c r="AH544" s="847"/>
      <c r="AI544" s="847"/>
      <c r="AJ544" s="847"/>
      <c r="AK544" s="847"/>
      <c r="AL544" s="847"/>
      <c r="AM544" s="847"/>
      <c r="AN544" s="847"/>
      <c r="AO544" s="847"/>
      <c r="AP544" s="847"/>
      <c r="AQ544" s="847"/>
      <c r="AR544" s="847"/>
      <c r="AS544" s="847"/>
      <c r="AT544" s="847"/>
      <c r="AU544" s="847"/>
      <c r="AV544" s="847"/>
      <c r="AW544" s="847"/>
      <c r="AX544" s="847"/>
      <c r="AY544" s="847"/>
      <c r="AZ544" s="847"/>
      <c r="BA544" s="847"/>
      <c r="BB544" s="847"/>
      <c r="BC544" s="847"/>
      <c r="BD544" s="847"/>
      <c r="BE544" s="847"/>
      <c r="BF544" s="847"/>
      <c r="BG544" s="847"/>
      <c r="BH544" s="847"/>
      <c r="BI544" s="847"/>
      <c r="BJ544" s="847"/>
      <c r="BK544" s="847"/>
      <c r="BL544" s="847"/>
      <c r="BM544" s="847"/>
      <c r="BN544" s="847"/>
      <c r="BO544" s="847"/>
      <c r="BP544" s="847"/>
      <c r="BQ544" s="847"/>
      <c r="BR544" s="847"/>
      <c r="BS544" s="847"/>
      <c r="BT544" s="847"/>
      <c r="BU544" s="847"/>
      <c r="BV544" s="847"/>
      <c r="BW544" s="847"/>
      <c r="BX544" s="847"/>
      <c r="BY544" s="847"/>
      <c r="BZ544" s="847"/>
      <c r="CA544" s="847"/>
      <c r="CB544" s="847"/>
      <c r="CC544" s="847"/>
      <c r="CD544" s="847"/>
      <c r="CE544" s="847"/>
      <c r="CF544" s="847"/>
      <c r="CG544" s="847"/>
      <c r="CH544" s="847"/>
      <c r="CI544" s="847"/>
      <c r="CJ544" s="847"/>
      <c r="CK544" s="847"/>
      <c r="CL544" s="847"/>
      <c r="CM544" s="847"/>
      <c r="CN544" s="847"/>
      <c r="CO544" s="847"/>
      <c r="CP544" s="847"/>
      <c r="CQ544" s="847"/>
      <c r="CR544" s="847"/>
      <c r="CS544" s="847"/>
      <c r="CT544" s="847"/>
      <c r="CU544" s="847"/>
      <c r="CV544" s="847"/>
      <c r="CW544" s="847"/>
      <c r="CX544" s="847"/>
      <c r="CY544" s="847"/>
      <c r="CZ544" s="847"/>
      <c r="DA544" s="847"/>
      <c r="DB544" s="847"/>
      <c r="DC544" s="847"/>
      <c r="DD544" s="847"/>
      <c r="DE544" s="847"/>
      <c r="DF544" s="847"/>
      <c r="DG544" s="847"/>
      <c r="DH544" s="847"/>
      <c r="DI544" s="847"/>
      <c r="DJ544" s="847"/>
      <c r="DK544" s="847"/>
      <c r="DL544" s="847"/>
      <c r="DM544" s="1212"/>
      <c r="DN544" s="1222"/>
      <c r="DO544" s="1013"/>
      <c r="DP544" s="847"/>
      <c r="DQ544" s="1013"/>
      <c r="DR544" s="1225"/>
      <c r="DS544" s="1013"/>
      <c r="DT544" s="1225"/>
      <c r="DU544" s="1214"/>
      <c r="DV544" s="1242"/>
      <c r="DW544" s="1232"/>
      <c r="DX544" s="1222"/>
      <c r="DY544" s="847"/>
      <c r="DZ544" s="847"/>
      <c r="EA544" s="847"/>
      <c r="EB544" s="847"/>
      <c r="EC544" s="847"/>
      <c r="ED544" s="847"/>
      <c r="EE544" s="847"/>
      <c r="EF544" s="847"/>
      <c r="EG544" s="1212"/>
      <c r="EH544" s="847"/>
      <c r="EI544" s="1212"/>
    </row>
    <row r="545" spans="1:139" s="733" customFormat="1" ht="13.5">
      <c r="A545" s="1009">
        <v>173</v>
      </c>
      <c r="B545" s="1212" t="s">
        <v>3134</v>
      </c>
      <c r="C545" s="1213">
        <v>0</v>
      </c>
      <c r="D545" s="1013" t="s">
        <v>49</v>
      </c>
      <c r="E545" s="847"/>
      <c r="F545" s="1013"/>
      <c r="G545" s="847" t="e">
        <f>'Lead &amp; ANALYSIS'!#REF!/15</f>
        <v>#REF!</v>
      </c>
      <c r="H545" s="1013" t="e">
        <f>ROUND(C545*G545,2)</f>
        <v>#REF!</v>
      </c>
      <c r="I545" s="847"/>
      <c r="J545" s="1013"/>
      <c r="K545" s="847" t="e">
        <f>'Lead &amp; ANALYSIS'!#REF!*10/15</f>
        <v>#REF!</v>
      </c>
      <c r="L545" s="1013" t="e">
        <f>ROUND(C545*K545,2)</f>
        <v>#REF!</v>
      </c>
      <c r="M545" s="847"/>
      <c r="N545" s="1013"/>
      <c r="O545" s="847" t="e">
        <f>'Lead &amp; ANALYSIS'!#REF!/15</f>
        <v>#REF!</v>
      </c>
      <c r="P545" s="1013" t="e">
        <f>ROUND(C545*O545,2)</f>
        <v>#REF!</v>
      </c>
      <c r="Q545" s="1249" t="e">
        <f>ROUND(C545*O545,2)</f>
        <v>#REF!</v>
      </c>
      <c r="R545" s="847">
        <v>0.26999999999999996</v>
      </c>
      <c r="S545" s="847"/>
      <c r="T545" s="1013">
        <f>ROUND(C545*R545,2)</f>
        <v>0</v>
      </c>
      <c r="U545" s="1013"/>
      <c r="V545" s="1013"/>
      <c r="W545" s="847"/>
      <c r="X545" s="847"/>
      <c r="Y545" s="847"/>
      <c r="Z545" s="847"/>
      <c r="AA545" s="847"/>
      <c r="AB545" s="847"/>
      <c r="AC545" s="847"/>
      <c r="AD545" s="847"/>
      <c r="AE545" s="847"/>
      <c r="AF545" s="847"/>
      <c r="AG545" s="847"/>
      <c r="AH545" s="847"/>
      <c r="AI545" s="847"/>
      <c r="AJ545" s="847"/>
      <c r="AK545" s="847"/>
      <c r="AL545" s="847"/>
      <c r="AM545" s="847"/>
      <c r="AN545" s="847"/>
      <c r="AO545" s="847"/>
      <c r="AP545" s="847"/>
      <c r="AQ545" s="847"/>
      <c r="AR545" s="847"/>
      <c r="AS545" s="847"/>
      <c r="AT545" s="847"/>
      <c r="AU545" s="847"/>
      <c r="AV545" s="847"/>
      <c r="AW545" s="847"/>
      <c r="AX545" s="847"/>
      <c r="AY545" s="847"/>
      <c r="AZ545" s="847"/>
      <c r="BA545" s="847"/>
      <c r="BB545" s="847"/>
      <c r="BC545" s="847"/>
      <c r="BD545" s="847"/>
      <c r="BE545" s="847"/>
      <c r="BF545" s="847"/>
      <c r="BG545" s="847"/>
      <c r="BH545" s="847"/>
      <c r="BI545" s="847"/>
      <c r="BJ545" s="847"/>
      <c r="BK545" s="847"/>
      <c r="BL545" s="847"/>
      <c r="BM545" s="847"/>
      <c r="BN545" s="847"/>
      <c r="BO545" s="847"/>
      <c r="BP545" s="847"/>
      <c r="BQ545" s="847"/>
      <c r="BR545" s="847"/>
      <c r="BS545" s="847"/>
      <c r="BT545" s="847"/>
      <c r="BU545" s="847"/>
      <c r="BV545" s="847"/>
      <c r="BW545" s="847"/>
      <c r="BX545" s="847"/>
      <c r="BY545" s="847"/>
      <c r="BZ545" s="847"/>
      <c r="CA545" s="847"/>
      <c r="CB545" s="847"/>
      <c r="CC545" s="847"/>
      <c r="CD545" s="847"/>
      <c r="CE545" s="847"/>
      <c r="CF545" s="847"/>
      <c r="CG545" s="847"/>
      <c r="CH545" s="847"/>
      <c r="CI545" s="847"/>
      <c r="CJ545" s="847"/>
      <c r="CK545" s="847"/>
      <c r="CL545" s="847"/>
      <c r="CM545" s="847"/>
      <c r="CN545" s="847"/>
      <c r="CO545" s="847"/>
      <c r="CP545" s="847"/>
      <c r="CQ545" s="847"/>
      <c r="CR545" s="847"/>
      <c r="CS545" s="847"/>
      <c r="CT545" s="847"/>
      <c r="CU545" s="847"/>
      <c r="CV545" s="847"/>
      <c r="CW545" s="847"/>
      <c r="CX545" s="847"/>
      <c r="CY545" s="847"/>
      <c r="CZ545" s="847"/>
      <c r="DA545" s="847"/>
      <c r="DB545" s="847"/>
      <c r="DC545" s="847"/>
      <c r="DD545" s="847"/>
      <c r="DE545" s="847"/>
      <c r="DF545" s="847"/>
      <c r="DG545" s="847"/>
      <c r="DH545" s="847"/>
      <c r="DI545" s="847"/>
      <c r="DJ545" s="847"/>
      <c r="DK545" s="847"/>
      <c r="DL545" s="847"/>
      <c r="DM545" s="1212"/>
      <c r="DN545" s="1222" t="e">
        <f>'Lead &amp; ANALYSIS'!#REF!/15</f>
        <v>#REF!</v>
      </c>
      <c r="DO545" s="1013" t="e">
        <f t="shared" si="22"/>
        <v>#REF!</v>
      </c>
      <c r="DP545" s="847" t="e">
        <f>'Lead &amp; ANALYSIS'!#REF!/15</f>
        <v>#REF!</v>
      </c>
      <c r="DQ545" s="1013" t="e">
        <f>ROUND(C545*DP545,2)</f>
        <v>#REF!</v>
      </c>
      <c r="DR545" s="1225" t="e">
        <f>'Lead &amp; ANALYSIS'!#REF!/15</f>
        <v>#REF!</v>
      </c>
      <c r="DS545" s="1013" t="e">
        <f>ROUND(C545*DR545,2)</f>
        <v>#REF!</v>
      </c>
      <c r="DT545" s="1225"/>
      <c r="DU545" s="1214"/>
      <c r="DV545" s="1242"/>
      <c r="DW545" s="1232"/>
      <c r="DX545" s="1222"/>
      <c r="DY545" s="847"/>
      <c r="DZ545" s="847"/>
      <c r="EA545" s="847"/>
      <c r="EB545" s="847"/>
      <c r="EC545" s="847"/>
      <c r="ED545" s="847"/>
      <c r="EE545" s="847"/>
      <c r="EF545" s="847"/>
      <c r="EG545" s="1212"/>
      <c r="EH545" s="847"/>
      <c r="EI545" s="1212"/>
    </row>
    <row r="546" spans="1:139" s="733" customFormat="1" ht="13.5">
      <c r="A546" s="1009"/>
      <c r="B546" s="1212"/>
      <c r="C546" s="1213">
        <v>0</v>
      </c>
      <c r="D546" s="1013" t="s">
        <v>49</v>
      </c>
      <c r="E546" s="847"/>
      <c r="F546" s="1013"/>
      <c r="G546" s="847"/>
      <c r="H546" s="1013"/>
      <c r="I546" s="847"/>
      <c r="J546" s="1013"/>
      <c r="K546" s="847"/>
      <c r="L546" s="1013"/>
      <c r="M546" s="847"/>
      <c r="N546" s="1013"/>
      <c r="O546" s="847" t="e">
        <f>O545</f>
        <v>#REF!</v>
      </c>
      <c r="P546" s="1013" t="e">
        <f>ROUND(C546*O546,2)</f>
        <v>#REF!</v>
      </c>
      <c r="Q546" s="1249" t="e">
        <f>ROUND(C546*O546,2)</f>
        <v>#REF!</v>
      </c>
      <c r="R546" s="847" t="e">
        <f>'Lead &amp; ANALYSIS'!#REF!/15</f>
        <v>#REF!</v>
      </c>
      <c r="S546" s="847"/>
      <c r="T546" s="1013"/>
      <c r="U546" s="1013"/>
      <c r="V546" s="1013" t="e">
        <f>ROUND(C546*R546,2)</f>
        <v>#REF!</v>
      </c>
      <c r="W546" s="847"/>
      <c r="X546" s="847"/>
      <c r="Y546" s="847"/>
      <c r="Z546" s="847"/>
      <c r="AA546" s="847"/>
      <c r="AB546" s="847"/>
      <c r="AC546" s="847"/>
      <c r="AD546" s="847"/>
      <c r="AE546" s="847"/>
      <c r="AF546" s="847"/>
      <c r="AG546" s="847"/>
      <c r="AH546" s="847"/>
      <c r="AI546" s="847"/>
      <c r="AJ546" s="847"/>
      <c r="AK546" s="847"/>
      <c r="AL546" s="847"/>
      <c r="AM546" s="847"/>
      <c r="AN546" s="847"/>
      <c r="AO546" s="847"/>
      <c r="AP546" s="847"/>
      <c r="AQ546" s="847"/>
      <c r="AR546" s="847"/>
      <c r="AS546" s="847"/>
      <c r="AT546" s="847"/>
      <c r="AU546" s="847"/>
      <c r="AV546" s="847"/>
      <c r="AW546" s="847"/>
      <c r="AX546" s="847"/>
      <c r="AY546" s="847"/>
      <c r="AZ546" s="847"/>
      <c r="BA546" s="847"/>
      <c r="BB546" s="847"/>
      <c r="BC546" s="847"/>
      <c r="BD546" s="847"/>
      <c r="BE546" s="847"/>
      <c r="BF546" s="847"/>
      <c r="BG546" s="847"/>
      <c r="BH546" s="847"/>
      <c r="BI546" s="847"/>
      <c r="BJ546" s="847"/>
      <c r="BK546" s="847"/>
      <c r="BL546" s="847"/>
      <c r="BM546" s="847"/>
      <c r="BN546" s="847"/>
      <c r="BO546" s="847"/>
      <c r="BP546" s="847"/>
      <c r="BQ546" s="847"/>
      <c r="BR546" s="847"/>
      <c r="BS546" s="847"/>
      <c r="BT546" s="847"/>
      <c r="BU546" s="847"/>
      <c r="BV546" s="847"/>
      <c r="BW546" s="847"/>
      <c r="BX546" s="847"/>
      <c r="BY546" s="847"/>
      <c r="BZ546" s="847"/>
      <c r="CA546" s="847"/>
      <c r="CB546" s="847"/>
      <c r="CC546" s="847"/>
      <c r="CD546" s="847"/>
      <c r="CE546" s="847"/>
      <c r="CF546" s="847"/>
      <c r="CG546" s="847"/>
      <c r="CH546" s="847"/>
      <c r="CI546" s="847"/>
      <c r="CJ546" s="847"/>
      <c r="CK546" s="847"/>
      <c r="CL546" s="847"/>
      <c r="CM546" s="847"/>
      <c r="CN546" s="847"/>
      <c r="CO546" s="847"/>
      <c r="CP546" s="847"/>
      <c r="CQ546" s="847"/>
      <c r="CR546" s="847"/>
      <c r="CS546" s="847"/>
      <c r="CT546" s="847"/>
      <c r="CU546" s="847"/>
      <c r="CV546" s="847"/>
      <c r="CW546" s="847"/>
      <c r="CX546" s="847"/>
      <c r="CY546" s="847"/>
      <c r="CZ546" s="847"/>
      <c r="DA546" s="847"/>
      <c r="DB546" s="847"/>
      <c r="DC546" s="847"/>
      <c r="DD546" s="847"/>
      <c r="DE546" s="847"/>
      <c r="DF546" s="847"/>
      <c r="DG546" s="847"/>
      <c r="DH546" s="847"/>
      <c r="DI546" s="847"/>
      <c r="DJ546" s="847"/>
      <c r="DK546" s="847"/>
      <c r="DL546" s="847"/>
      <c r="DM546" s="1212"/>
      <c r="DN546" s="1222"/>
      <c r="DO546" s="1013"/>
      <c r="DP546" s="847"/>
      <c r="DQ546" s="1013"/>
      <c r="DR546" s="1225"/>
      <c r="DS546" s="1013"/>
      <c r="DT546" s="1225"/>
      <c r="DU546" s="1214"/>
      <c r="DV546" s="1242"/>
      <c r="DW546" s="1232"/>
      <c r="DX546" s="1222"/>
      <c r="DY546" s="847"/>
      <c r="DZ546" s="847"/>
      <c r="EA546" s="847"/>
      <c r="EB546" s="847"/>
      <c r="EC546" s="847"/>
      <c r="ED546" s="847"/>
      <c r="EE546" s="847"/>
      <c r="EF546" s="847"/>
      <c r="EG546" s="1212"/>
      <c r="EH546" s="847"/>
      <c r="EI546" s="1212"/>
    </row>
    <row r="547" spans="1:139" s="733" customFormat="1" ht="13.5">
      <c r="A547" s="1009">
        <v>174</v>
      </c>
      <c r="B547" s="1212" t="s">
        <v>3135</v>
      </c>
      <c r="C547" s="1213">
        <v>0</v>
      </c>
      <c r="D547" s="1013" t="s">
        <v>49</v>
      </c>
      <c r="E547" s="847"/>
      <c r="F547" s="1013"/>
      <c r="G547" s="847" t="e">
        <f>'Lead &amp; ANALYSIS'!#REF!/15</f>
        <v>#REF!</v>
      </c>
      <c r="H547" s="1013" t="e">
        <f>ROUND(C547*G547,2)</f>
        <v>#REF!</v>
      </c>
      <c r="I547" s="847"/>
      <c r="J547" s="1013"/>
      <c r="K547" s="847" t="e">
        <f>'Lead &amp; ANALYSIS'!#REF!*10/15</f>
        <v>#REF!</v>
      </c>
      <c r="L547" s="1013" t="e">
        <f>ROUND(C547*K547,2)</f>
        <v>#REF!</v>
      </c>
      <c r="M547" s="847"/>
      <c r="N547" s="1013"/>
      <c r="O547" s="847" t="e">
        <f>'Lead &amp; ANALYSIS'!#REF!/15</f>
        <v>#REF!</v>
      </c>
      <c r="P547" s="1013" t="e">
        <f>ROUND(C547*O547,2)</f>
        <v>#REF!</v>
      </c>
      <c r="Q547" s="1249" t="e">
        <f>ROUND(C547*O547,2)</f>
        <v>#REF!</v>
      </c>
      <c r="R547" s="847" t="e">
        <f>'Lead &amp; ANALYSIS'!#REF!/15</f>
        <v>#REF!</v>
      </c>
      <c r="S547" s="847"/>
      <c r="T547" s="1013" t="e">
        <f>ROUND(C547*R547,2)</f>
        <v>#REF!</v>
      </c>
      <c r="U547" s="1013"/>
      <c r="V547" s="1013"/>
      <c r="W547" s="847"/>
      <c r="X547" s="847"/>
      <c r="Y547" s="847"/>
      <c r="Z547" s="847"/>
      <c r="AA547" s="847"/>
      <c r="AB547" s="847"/>
      <c r="AC547" s="847"/>
      <c r="AD547" s="847"/>
      <c r="AE547" s="847"/>
      <c r="AF547" s="847"/>
      <c r="AG547" s="847"/>
      <c r="AH547" s="847"/>
      <c r="AI547" s="847"/>
      <c r="AJ547" s="847"/>
      <c r="AK547" s="847"/>
      <c r="AL547" s="847"/>
      <c r="AM547" s="847"/>
      <c r="AN547" s="847"/>
      <c r="AO547" s="847"/>
      <c r="AP547" s="847"/>
      <c r="AQ547" s="847"/>
      <c r="AR547" s="847"/>
      <c r="AS547" s="847"/>
      <c r="AT547" s="847"/>
      <c r="AU547" s="847"/>
      <c r="AV547" s="847"/>
      <c r="AW547" s="847"/>
      <c r="AX547" s="847"/>
      <c r="AY547" s="847"/>
      <c r="AZ547" s="847"/>
      <c r="BA547" s="847"/>
      <c r="BB547" s="847"/>
      <c r="BC547" s="847"/>
      <c r="BD547" s="847"/>
      <c r="BE547" s="847"/>
      <c r="BF547" s="847"/>
      <c r="BG547" s="847"/>
      <c r="BH547" s="847"/>
      <c r="BI547" s="847"/>
      <c r="BJ547" s="847"/>
      <c r="BK547" s="847"/>
      <c r="BL547" s="847"/>
      <c r="BM547" s="847"/>
      <c r="BN547" s="847"/>
      <c r="BO547" s="847"/>
      <c r="BP547" s="847"/>
      <c r="BQ547" s="847"/>
      <c r="BR547" s="847"/>
      <c r="BS547" s="847"/>
      <c r="BT547" s="847"/>
      <c r="BU547" s="847"/>
      <c r="BV547" s="847"/>
      <c r="BW547" s="847"/>
      <c r="BX547" s="847"/>
      <c r="BY547" s="847"/>
      <c r="BZ547" s="847"/>
      <c r="CA547" s="847"/>
      <c r="CB547" s="847"/>
      <c r="CC547" s="847"/>
      <c r="CD547" s="847"/>
      <c r="CE547" s="847"/>
      <c r="CF547" s="847"/>
      <c r="CG547" s="847"/>
      <c r="CH547" s="847"/>
      <c r="CI547" s="847"/>
      <c r="CJ547" s="847"/>
      <c r="CK547" s="847"/>
      <c r="CL547" s="847"/>
      <c r="CM547" s="847"/>
      <c r="CN547" s="847"/>
      <c r="CO547" s="847"/>
      <c r="CP547" s="847"/>
      <c r="CQ547" s="847"/>
      <c r="CR547" s="847"/>
      <c r="CS547" s="847"/>
      <c r="CT547" s="847"/>
      <c r="CU547" s="847"/>
      <c r="CV547" s="847"/>
      <c r="CW547" s="847"/>
      <c r="CX547" s="847"/>
      <c r="CY547" s="847"/>
      <c r="CZ547" s="847"/>
      <c r="DA547" s="847"/>
      <c r="DB547" s="847"/>
      <c r="DC547" s="847"/>
      <c r="DD547" s="847"/>
      <c r="DE547" s="847"/>
      <c r="DF547" s="847"/>
      <c r="DG547" s="847"/>
      <c r="DH547" s="847"/>
      <c r="DI547" s="847"/>
      <c r="DJ547" s="847"/>
      <c r="DK547" s="847"/>
      <c r="DL547" s="847"/>
      <c r="DM547" s="1212"/>
      <c r="DN547" s="1222" t="e">
        <f>'Lead &amp; ANALYSIS'!#REF!/15</f>
        <v>#REF!</v>
      </c>
      <c r="DO547" s="1013" t="e">
        <f>ROUND(C547*DN547,2)</f>
        <v>#REF!</v>
      </c>
      <c r="DP547" s="847" t="e">
        <f>'Lead &amp; ANALYSIS'!#REF!/15</f>
        <v>#REF!</v>
      </c>
      <c r="DQ547" s="1013" t="e">
        <f>ROUND(C547*DP547,2)</f>
        <v>#REF!</v>
      </c>
      <c r="DR547" s="1225" t="e">
        <f>'Lead &amp; ANALYSIS'!#REF!/15</f>
        <v>#REF!</v>
      </c>
      <c r="DS547" s="1013" t="e">
        <f>ROUND(C547*DR547,2)</f>
        <v>#REF!</v>
      </c>
      <c r="DT547" s="1225"/>
      <c r="DU547" s="1214"/>
      <c r="DV547" s="1242"/>
      <c r="DW547" s="1232"/>
      <c r="DX547" s="1222"/>
      <c r="DY547" s="847"/>
      <c r="DZ547" s="847"/>
      <c r="EA547" s="847"/>
      <c r="EB547" s="847"/>
      <c r="EC547" s="847"/>
      <c r="ED547" s="847"/>
      <c r="EE547" s="847"/>
      <c r="EF547" s="847"/>
      <c r="EG547" s="1212"/>
      <c r="EH547" s="847"/>
      <c r="EI547" s="1212"/>
    </row>
    <row r="548" spans="1:139" s="733" customFormat="1" ht="13.5">
      <c r="A548" s="1009"/>
      <c r="B548" s="1212"/>
      <c r="C548" s="1213">
        <v>0</v>
      </c>
      <c r="D548" s="1013" t="s">
        <v>49</v>
      </c>
      <c r="E548" s="847"/>
      <c r="F548" s="1013"/>
      <c r="G548" s="847"/>
      <c r="H548" s="1013"/>
      <c r="I548" s="847"/>
      <c r="J548" s="1013"/>
      <c r="K548" s="847"/>
      <c r="L548" s="1013"/>
      <c r="M548" s="847"/>
      <c r="N548" s="1013"/>
      <c r="O548" s="847" t="e">
        <f>O547</f>
        <v>#REF!</v>
      </c>
      <c r="P548" s="1013" t="e">
        <f>ROUND(C548*O548,2)</f>
        <v>#REF!</v>
      </c>
      <c r="Q548" s="1249" t="e">
        <f>ROUND(C548*O548,2)</f>
        <v>#REF!</v>
      </c>
      <c r="R548" s="847" t="e">
        <f>'Lead &amp; ANALYSIS'!#REF!/15</f>
        <v>#REF!</v>
      </c>
      <c r="S548" s="847"/>
      <c r="T548" s="1013"/>
      <c r="U548" s="1013"/>
      <c r="V548" s="1013" t="e">
        <f>ROUND(C548*R548,2)</f>
        <v>#REF!</v>
      </c>
      <c r="W548" s="847"/>
      <c r="X548" s="847"/>
      <c r="Y548" s="847"/>
      <c r="Z548" s="847"/>
      <c r="AA548" s="847"/>
      <c r="AB548" s="847"/>
      <c r="AC548" s="847"/>
      <c r="AD548" s="847"/>
      <c r="AE548" s="847"/>
      <c r="AF548" s="847"/>
      <c r="AG548" s="847"/>
      <c r="AH548" s="847"/>
      <c r="AI548" s="847"/>
      <c r="AJ548" s="847"/>
      <c r="AK548" s="847"/>
      <c r="AL548" s="847"/>
      <c r="AM548" s="847"/>
      <c r="AN548" s="847"/>
      <c r="AO548" s="847"/>
      <c r="AP548" s="847"/>
      <c r="AQ548" s="847"/>
      <c r="AR548" s="847"/>
      <c r="AS548" s="847"/>
      <c r="AT548" s="847"/>
      <c r="AU548" s="847"/>
      <c r="AV548" s="847"/>
      <c r="AW548" s="847"/>
      <c r="AX548" s="847"/>
      <c r="AY548" s="847"/>
      <c r="AZ548" s="847"/>
      <c r="BA548" s="847"/>
      <c r="BB548" s="847"/>
      <c r="BC548" s="847"/>
      <c r="BD548" s="847"/>
      <c r="BE548" s="847"/>
      <c r="BF548" s="847"/>
      <c r="BG548" s="847"/>
      <c r="BH548" s="847"/>
      <c r="BI548" s="847"/>
      <c r="BJ548" s="847"/>
      <c r="BK548" s="847"/>
      <c r="BL548" s="847"/>
      <c r="BM548" s="847"/>
      <c r="BN548" s="847"/>
      <c r="BO548" s="847"/>
      <c r="BP548" s="847"/>
      <c r="BQ548" s="847"/>
      <c r="BR548" s="847"/>
      <c r="BS548" s="847"/>
      <c r="BT548" s="847"/>
      <c r="BU548" s="847"/>
      <c r="BV548" s="847"/>
      <c r="BW548" s="847"/>
      <c r="BX548" s="847"/>
      <c r="BY548" s="847"/>
      <c r="BZ548" s="847"/>
      <c r="CA548" s="847"/>
      <c r="CB548" s="847"/>
      <c r="CC548" s="847"/>
      <c r="CD548" s="847"/>
      <c r="CE548" s="847"/>
      <c r="CF548" s="847"/>
      <c r="CG548" s="847"/>
      <c r="CH548" s="847"/>
      <c r="CI548" s="847"/>
      <c r="CJ548" s="847"/>
      <c r="CK548" s="847"/>
      <c r="CL548" s="847"/>
      <c r="CM548" s="847"/>
      <c r="CN548" s="847"/>
      <c r="CO548" s="847"/>
      <c r="CP548" s="847"/>
      <c r="CQ548" s="847"/>
      <c r="CR548" s="847"/>
      <c r="CS548" s="847"/>
      <c r="CT548" s="847"/>
      <c r="CU548" s="847"/>
      <c r="CV548" s="847"/>
      <c r="CW548" s="847"/>
      <c r="CX548" s="847"/>
      <c r="CY548" s="847"/>
      <c r="CZ548" s="847"/>
      <c r="DA548" s="847"/>
      <c r="DB548" s="847"/>
      <c r="DC548" s="847"/>
      <c r="DD548" s="847"/>
      <c r="DE548" s="847"/>
      <c r="DF548" s="847"/>
      <c r="DG548" s="847"/>
      <c r="DH548" s="847"/>
      <c r="DI548" s="847"/>
      <c r="DJ548" s="847"/>
      <c r="DK548" s="847"/>
      <c r="DL548" s="847"/>
      <c r="DM548" s="1212"/>
      <c r="DN548" s="1222"/>
      <c r="DO548" s="1013"/>
      <c r="DP548" s="847"/>
      <c r="DQ548" s="1013"/>
      <c r="DR548" s="1225"/>
      <c r="DS548" s="1013"/>
      <c r="DT548" s="1225"/>
      <c r="DU548" s="1214"/>
      <c r="DV548" s="1242"/>
      <c r="DW548" s="1232"/>
      <c r="DX548" s="1222"/>
      <c r="DY548" s="847"/>
      <c r="DZ548" s="847"/>
      <c r="EA548" s="847"/>
      <c r="EB548" s="847"/>
      <c r="EC548" s="847"/>
      <c r="ED548" s="847"/>
      <c r="EE548" s="847"/>
      <c r="EF548" s="847"/>
      <c r="EG548" s="1212"/>
      <c r="EH548" s="847"/>
      <c r="EI548" s="1212"/>
    </row>
    <row r="549" spans="1:139" s="733" customFormat="1" ht="13.5">
      <c r="A549" s="1009">
        <v>175</v>
      </c>
      <c r="B549" s="1212" t="s">
        <v>3136</v>
      </c>
      <c r="C549" s="1213">
        <v>0</v>
      </c>
      <c r="D549" s="1013" t="s">
        <v>49</v>
      </c>
      <c r="E549" s="847"/>
      <c r="F549" s="1013"/>
      <c r="G549" s="847" t="e">
        <f>'Lead &amp; ANALYSIS'!#REF!/15</f>
        <v>#REF!</v>
      </c>
      <c r="H549" s="1013" t="e">
        <f>ROUND(C549*G549,2)</f>
        <v>#REF!</v>
      </c>
      <c r="I549" s="847"/>
      <c r="J549" s="1013"/>
      <c r="K549" s="847" t="e">
        <f>'Lead &amp; ANALYSIS'!#REF!*10/15</f>
        <v>#REF!</v>
      </c>
      <c r="L549" s="1013" t="e">
        <f>ROUND(C549*K549,2)</f>
        <v>#REF!</v>
      </c>
      <c r="M549" s="847"/>
      <c r="N549" s="1013"/>
      <c r="O549" s="847"/>
      <c r="P549" s="1013"/>
      <c r="Q549" s="847"/>
      <c r="R549" s="847" t="e">
        <f>'Lead &amp; ANALYSIS'!#REF!/15</f>
        <v>#REF!</v>
      </c>
      <c r="S549" s="847"/>
      <c r="T549" s="1013" t="e">
        <f>ROUND(C549*R549,2)</f>
        <v>#REF!</v>
      </c>
      <c r="U549" s="1013"/>
      <c r="V549" s="1013"/>
      <c r="W549" s="847"/>
      <c r="X549" s="847"/>
      <c r="Y549" s="847"/>
      <c r="Z549" s="847"/>
      <c r="AA549" s="847"/>
      <c r="AB549" s="847"/>
      <c r="AC549" s="847"/>
      <c r="AD549" s="847"/>
      <c r="AE549" s="847"/>
      <c r="AF549" s="847"/>
      <c r="AG549" s="847"/>
      <c r="AH549" s="847"/>
      <c r="AI549" s="847"/>
      <c r="AJ549" s="847"/>
      <c r="AK549" s="847"/>
      <c r="AL549" s="847"/>
      <c r="AM549" s="847"/>
      <c r="AN549" s="847"/>
      <c r="AO549" s="847"/>
      <c r="AP549" s="847"/>
      <c r="AQ549" s="847"/>
      <c r="AR549" s="847"/>
      <c r="AS549" s="847"/>
      <c r="AT549" s="847"/>
      <c r="AU549" s="847"/>
      <c r="AV549" s="847"/>
      <c r="AW549" s="847"/>
      <c r="AX549" s="847"/>
      <c r="AY549" s="847"/>
      <c r="AZ549" s="847"/>
      <c r="BA549" s="847"/>
      <c r="BB549" s="847"/>
      <c r="BC549" s="847"/>
      <c r="BD549" s="847"/>
      <c r="BE549" s="847"/>
      <c r="BF549" s="847"/>
      <c r="BG549" s="847"/>
      <c r="BH549" s="847"/>
      <c r="BI549" s="847"/>
      <c r="BJ549" s="847"/>
      <c r="BK549" s="847"/>
      <c r="BL549" s="847"/>
      <c r="BM549" s="847"/>
      <c r="BN549" s="847"/>
      <c r="BO549" s="847"/>
      <c r="BP549" s="847"/>
      <c r="BQ549" s="847"/>
      <c r="BR549" s="847"/>
      <c r="BS549" s="847"/>
      <c r="BT549" s="847"/>
      <c r="BU549" s="847"/>
      <c r="BV549" s="847"/>
      <c r="BW549" s="847"/>
      <c r="BX549" s="847"/>
      <c r="BY549" s="847"/>
      <c r="BZ549" s="847"/>
      <c r="CA549" s="847"/>
      <c r="CB549" s="847"/>
      <c r="CC549" s="847"/>
      <c r="CD549" s="847"/>
      <c r="CE549" s="847"/>
      <c r="CF549" s="847"/>
      <c r="CG549" s="847"/>
      <c r="CH549" s="847"/>
      <c r="CI549" s="847"/>
      <c r="CJ549" s="847"/>
      <c r="CK549" s="847"/>
      <c r="CL549" s="847"/>
      <c r="CM549" s="847"/>
      <c r="CN549" s="847"/>
      <c r="CO549" s="847"/>
      <c r="CP549" s="847"/>
      <c r="CQ549" s="847"/>
      <c r="CR549" s="847"/>
      <c r="CS549" s="847"/>
      <c r="CT549" s="847"/>
      <c r="CU549" s="847"/>
      <c r="CV549" s="847"/>
      <c r="CW549" s="847"/>
      <c r="CX549" s="847"/>
      <c r="CY549" s="847"/>
      <c r="CZ549" s="847"/>
      <c r="DA549" s="847"/>
      <c r="DB549" s="847"/>
      <c r="DC549" s="847"/>
      <c r="DD549" s="847"/>
      <c r="DE549" s="847"/>
      <c r="DF549" s="847"/>
      <c r="DG549" s="847"/>
      <c r="DH549" s="847"/>
      <c r="DI549" s="847"/>
      <c r="DJ549" s="847"/>
      <c r="DK549" s="847"/>
      <c r="DL549" s="847"/>
      <c r="DM549" s="1212"/>
      <c r="DN549" s="1222" t="e">
        <f>'Lead &amp; ANALYSIS'!#REF!/15</f>
        <v>#REF!</v>
      </c>
      <c r="DO549" s="1013" t="e">
        <f>ROUND(C549*DN549,2)</f>
        <v>#REF!</v>
      </c>
      <c r="DP549" s="847" t="e">
        <f>'Lead &amp; ANALYSIS'!#REF!/15</f>
        <v>#REF!</v>
      </c>
      <c r="DQ549" s="1013" t="e">
        <f>ROUND(C549*DP549,2)</f>
        <v>#REF!</v>
      </c>
      <c r="DR549" s="1225" t="e">
        <f>'Lead &amp; ANALYSIS'!#REF!/15</f>
        <v>#REF!</v>
      </c>
      <c r="DS549" s="1013" t="e">
        <f>ROUND(C549*DR549,2)</f>
        <v>#REF!</v>
      </c>
      <c r="DT549" s="1225"/>
      <c r="DU549" s="1214"/>
      <c r="DV549" s="1242"/>
      <c r="DW549" s="1232"/>
      <c r="DX549" s="1222"/>
      <c r="DY549" s="847"/>
      <c r="DZ549" s="847"/>
      <c r="EA549" s="847"/>
      <c r="EB549" s="847"/>
      <c r="EC549" s="847"/>
      <c r="ED549" s="847"/>
      <c r="EE549" s="847"/>
      <c r="EF549" s="847"/>
      <c r="EG549" s="1212"/>
      <c r="EH549" s="847"/>
      <c r="EI549" s="1212"/>
    </row>
    <row r="550" spans="1:139" s="733" customFormat="1" ht="13.5">
      <c r="A550" s="1009"/>
      <c r="B550" s="1212"/>
      <c r="C550" s="1213">
        <v>0</v>
      </c>
      <c r="D550" s="1013" t="s">
        <v>49</v>
      </c>
      <c r="E550" s="847"/>
      <c r="F550" s="1013"/>
      <c r="G550" s="847"/>
      <c r="H550" s="1013"/>
      <c r="I550" s="847"/>
      <c r="J550" s="1013"/>
      <c r="K550" s="847"/>
      <c r="L550" s="1013"/>
      <c r="M550" s="847"/>
      <c r="N550" s="1013"/>
      <c r="O550" s="847"/>
      <c r="P550" s="1013"/>
      <c r="Q550" s="847"/>
      <c r="R550" s="847" t="e">
        <f>'Lead &amp; ANALYSIS'!#REF!/15</f>
        <v>#REF!</v>
      </c>
      <c r="S550" s="847"/>
      <c r="T550" s="1013"/>
      <c r="U550" s="1013"/>
      <c r="V550" s="1013" t="e">
        <f>ROUND(C550*R550,2)</f>
        <v>#REF!</v>
      </c>
      <c r="W550" s="847"/>
      <c r="X550" s="847"/>
      <c r="Y550" s="847"/>
      <c r="Z550" s="847"/>
      <c r="AA550" s="847"/>
      <c r="AB550" s="847"/>
      <c r="AC550" s="847"/>
      <c r="AD550" s="847"/>
      <c r="AE550" s="847"/>
      <c r="AF550" s="847"/>
      <c r="AG550" s="847"/>
      <c r="AH550" s="847"/>
      <c r="AI550" s="847"/>
      <c r="AJ550" s="847"/>
      <c r="AK550" s="847"/>
      <c r="AL550" s="847"/>
      <c r="AM550" s="847"/>
      <c r="AN550" s="847"/>
      <c r="AO550" s="847"/>
      <c r="AP550" s="847"/>
      <c r="AQ550" s="847"/>
      <c r="AR550" s="847"/>
      <c r="AS550" s="847"/>
      <c r="AT550" s="847"/>
      <c r="AU550" s="847"/>
      <c r="AV550" s="847"/>
      <c r="AW550" s="847"/>
      <c r="AX550" s="847"/>
      <c r="AY550" s="847"/>
      <c r="AZ550" s="847"/>
      <c r="BA550" s="847"/>
      <c r="BB550" s="847"/>
      <c r="BC550" s="847"/>
      <c r="BD550" s="847"/>
      <c r="BE550" s="847"/>
      <c r="BF550" s="847"/>
      <c r="BG550" s="847"/>
      <c r="BH550" s="847"/>
      <c r="BI550" s="847"/>
      <c r="BJ550" s="847"/>
      <c r="BK550" s="847"/>
      <c r="BL550" s="847"/>
      <c r="BM550" s="847"/>
      <c r="BN550" s="847"/>
      <c r="BO550" s="847"/>
      <c r="BP550" s="847"/>
      <c r="BQ550" s="847"/>
      <c r="BR550" s="847"/>
      <c r="BS550" s="847"/>
      <c r="BT550" s="847"/>
      <c r="BU550" s="847"/>
      <c r="BV550" s="847"/>
      <c r="BW550" s="847"/>
      <c r="BX550" s="847"/>
      <c r="BY550" s="847"/>
      <c r="BZ550" s="847"/>
      <c r="CA550" s="847"/>
      <c r="CB550" s="847"/>
      <c r="CC550" s="847"/>
      <c r="CD550" s="847"/>
      <c r="CE550" s="847"/>
      <c r="CF550" s="847"/>
      <c r="CG550" s="847"/>
      <c r="CH550" s="847"/>
      <c r="CI550" s="847"/>
      <c r="CJ550" s="847"/>
      <c r="CK550" s="847"/>
      <c r="CL550" s="847"/>
      <c r="CM550" s="847"/>
      <c r="CN550" s="847"/>
      <c r="CO550" s="847"/>
      <c r="CP550" s="847"/>
      <c r="CQ550" s="847"/>
      <c r="CR550" s="847"/>
      <c r="CS550" s="847"/>
      <c r="CT550" s="847"/>
      <c r="CU550" s="847"/>
      <c r="CV550" s="847"/>
      <c r="CW550" s="847"/>
      <c r="CX550" s="847"/>
      <c r="CY550" s="847"/>
      <c r="CZ550" s="847"/>
      <c r="DA550" s="847"/>
      <c r="DB550" s="847"/>
      <c r="DC550" s="847"/>
      <c r="DD550" s="847"/>
      <c r="DE550" s="847"/>
      <c r="DF550" s="847"/>
      <c r="DG550" s="847"/>
      <c r="DH550" s="847"/>
      <c r="DI550" s="847"/>
      <c r="DJ550" s="847"/>
      <c r="DK550" s="847"/>
      <c r="DL550" s="847"/>
      <c r="DM550" s="1212"/>
      <c r="DN550" s="1222"/>
      <c r="DO550" s="1013"/>
      <c r="DP550" s="847"/>
      <c r="DQ550" s="1013"/>
      <c r="DR550" s="1225"/>
      <c r="DS550" s="1013"/>
      <c r="DT550" s="1225"/>
      <c r="DU550" s="1214"/>
      <c r="DV550" s="1242"/>
      <c r="DW550" s="1232"/>
      <c r="DX550" s="1222"/>
      <c r="DY550" s="847"/>
      <c r="DZ550" s="847"/>
      <c r="EA550" s="847"/>
      <c r="EB550" s="847"/>
      <c r="EC550" s="847"/>
      <c r="ED550" s="847"/>
      <c r="EE550" s="847"/>
      <c r="EF550" s="847"/>
      <c r="EG550" s="1212"/>
      <c r="EH550" s="847"/>
      <c r="EI550" s="1212"/>
    </row>
    <row r="551" spans="1:139" s="733" customFormat="1" ht="13.5">
      <c r="A551" s="1009">
        <v>176</v>
      </c>
      <c r="B551" s="1212" t="s">
        <v>3137</v>
      </c>
      <c r="C551" s="1213">
        <v>0</v>
      </c>
      <c r="D551" s="1013" t="s">
        <v>49</v>
      </c>
      <c r="E551" s="847"/>
      <c r="F551" s="1013"/>
      <c r="G551" s="847" t="e">
        <f>'Lead &amp; ANALYSIS'!#REF!/15</f>
        <v>#REF!</v>
      </c>
      <c r="H551" s="1013" t="e">
        <f>ROUND(C551*G551,2)</f>
        <v>#REF!</v>
      </c>
      <c r="I551" s="847"/>
      <c r="J551" s="1013"/>
      <c r="K551" s="847" t="e">
        <f>'Lead &amp; ANALYSIS'!#REF!*10/15</f>
        <v>#REF!</v>
      </c>
      <c r="L551" s="1013" t="e">
        <f>ROUND(C551*K551,2)</f>
        <v>#REF!</v>
      </c>
      <c r="M551" s="847"/>
      <c r="N551" s="1013"/>
      <c r="O551" s="847"/>
      <c r="P551" s="1013"/>
      <c r="Q551" s="847"/>
      <c r="R551" s="847" t="e">
        <f>'Lead &amp; ANALYSIS'!#REF!/15</f>
        <v>#REF!</v>
      </c>
      <c r="S551" s="847"/>
      <c r="T551" s="1013" t="e">
        <f>ROUND(C551*R551,2)</f>
        <v>#REF!</v>
      </c>
      <c r="U551" s="1013"/>
      <c r="V551" s="1013"/>
      <c r="W551" s="847"/>
      <c r="X551" s="847"/>
      <c r="Y551" s="847"/>
      <c r="Z551" s="847"/>
      <c r="AA551" s="847"/>
      <c r="AB551" s="847"/>
      <c r="AC551" s="847"/>
      <c r="AD551" s="847"/>
      <c r="AE551" s="847"/>
      <c r="AF551" s="847"/>
      <c r="AG551" s="847"/>
      <c r="AH551" s="847"/>
      <c r="AI551" s="847"/>
      <c r="AJ551" s="847"/>
      <c r="AK551" s="847"/>
      <c r="AL551" s="847"/>
      <c r="AM551" s="847"/>
      <c r="AN551" s="847"/>
      <c r="AO551" s="847"/>
      <c r="AP551" s="847"/>
      <c r="AQ551" s="847"/>
      <c r="AR551" s="847"/>
      <c r="AS551" s="847"/>
      <c r="AT551" s="847"/>
      <c r="AU551" s="847"/>
      <c r="AV551" s="847"/>
      <c r="AW551" s="847"/>
      <c r="AX551" s="847"/>
      <c r="AY551" s="847"/>
      <c r="AZ551" s="847"/>
      <c r="BA551" s="847"/>
      <c r="BB551" s="847"/>
      <c r="BC551" s="847"/>
      <c r="BD551" s="847"/>
      <c r="BE551" s="847"/>
      <c r="BF551" s="847"/>
      <c r="BG551" s="847"/>
      <c r="BH551" s="847"/>
      <c r="BI551" s="847"/>
      <c r="BJ551" s="847"/>
      <c r="BK551" s="847"/>
      <c r="BL551" s="847"/>
      <c r="BM551" s="847"/>
      <c r="BN551" s="847"/>
      <c r="BO551" s="847"/>
      <c r="BP551" s="847"/>
      <c r="BQ551" s="847"/>
      <c r="BR551" s="847"/>
      <c r="BS551" s="847"/>
      <c r="BT551" s="847"/>
      <c r="BU551" s="847"/>
      <c r="BV551" s="847"/>
      <c r="BW551" s="847"/>
      <c r="BX551" s="847"/>
      <c r="BY551" s="847"/>
      <c r="BZ551" s="847"/>
      <c r="CA551" s="847"/>
      <c r="CB551" s="847"/>
      <c r="CC551" s="847"/>
      <c r="CD551" s="847"/>
      <c r="CE551" s="847"/>
      <c r="CF551" s="847"/>
      <c r="CG551" s="847"/>
      <c r="CH551" s="847"/>
      <c r="CI551" s="847"/>
      <c r="CJ551" s="847"/>
      <c r="CK551" s="847"/>
      <c r="CL551" s="847"/>
      <c r="CM551" s="847"/>
      <c r="CN551" s="847"/>
      <c r="CO551" s="847"/>
      <c r="CP551" s="847"/>
      <c r="CQ551" s="847"/>
      <c r="CR551" s="847"/>
      <c r="CS551" s="847"/>
      <c r="CT551" s="847"/>
      <c r="CU551" s="847"/>
      <c r="CV551" s="847"/>
      <c r="CW551" s="847"/>
      <c r="CX551" s="847"/>
      <c r="CY551" s="847"/>
      <c r="CZ551" s="847"/>
      <c r="DA551" s="847"/>
      <c r="DB551" s="847"/>
      <c r="DC551" s="847"/>
      <c r="DD551" s="847"/>
      <c r="DE551" s="847"/>
      <c r="DF551" s="847"/>
      <c r="DG551" s="847"/>
      <c r="DH551" s="847"/>
      <c r="DI551" s="847"/>
      <c r="DJ551" s="847"/>
      <c r="DK551" s="847"/>
      <c r="DL551" s="847"/>
      <c r="DM551" s="1212"/>
      <c r="DN551" s="1222" t="e">
        <f>'Lead &amp; ANALYSIS'!#REF!/15</f>
        <v>#REF!</v>
      </c>
      <c r="DO551" s="1013" t="e">
        <f>ROUND(C551*DN551,2)</f>
        <v>#REF!</v>
      </c>
      <c r="DP551" s="847" t="e">
        <f>'Lead &amp; ANALYSIS'!#REF!/15</f>
        <v>#REF!</v>
      </c>
      <c r="DQ551" s="1013" t="e">
        <f>ROUND(C551*DP551,2)</f>
        <v>#REF!</v>
      </c>
      <c r="DR551" s="1225" t="e">
        <f>'Lead &amp; ANALYSIS'!#REF!/15</f>
        <v>#REF!</v>
      </c>
      <c r="DS551" s="1013" t="e">
        <f>ROUND(C551*DR551,2)</f>
        <v>#REF!</v>
      </c>
      <c r="DT551" s="1225"/>
      <c r="DU551" s="1214"/>
      <c r="DV551" s="1242"/>
      <c r="DW551" s="1232"/>
      <c r="DX551" s="1222"/>
      <c r="DY551" s="847"/>
      <c r="DZ551" s="847"/>
      <c r="EA551" s="847"/>
      <c r="EB551" s="847"/>
      <c r="EC551" s="847"/>
      <c r="ED551" s="847"/>
      <c r="EE551" s="847"/>
      <c r="EF551" s="847"/>
      <c r="EG551" s="1212"/>
      <c r="EH551" s="847"/>
      <c r="EI551" s="1212"/>
    </row>
    <row r="552" spans="1:139" s="733" customFormat="1" ht="13.5">
      <c r="A552" s="1009"/>
      <c r="B552" s="1212"/>
      <c r="C552" s="1213">
        <v>0</v>
      </c>
      <c r="D552" s="1013" t="s">
        <v>49</v>
      </c>
      <c r="E552" s="847"/>
      <c r="F552" s="1013"/>
      <c r="G552" s="847"/>
      <c r="H552" s="1013"/>
      <c r="I552" s="847"/>
      <c r="J552" s="1013"/>
      <c r="K552" s="847"/>
      <c r="L552" s="1013"/>
      <c r="M552" s="847"/>
      <c r="N552" s="1013"/>
      <c r="O552" s="847"/>
      <c r="P552" s="1013"/>
      <c r="Q552" s="847"/>
      <c r="R552" s="847" t="e">
        <f>'Lead &amp; ANALYSIS'!#REF!/15</f>
        <v>#REF!</v>
      </c>
      <c r="S552" s="847"/>
      <c r="T552" s="1013"/>
      <c r="U552" s="1013"/>
      <c r="V552" s="1013" t="e">
        <f>ROUND(C552*R552,2)</f>
        <v>#REF!</v>
      </c>
      <c r="W552" s="847"/>
      <c r="X552" s="847"/>
      <c r="Y552" s="847"/>
      <c r="Z552" s="847"/>
      <c r="AA552" s="847"/>
      <c r="AB552" s="847"/>
      <c r="AC552" s="847"/>
      <c r="AD552" s="847"/>
      <c r="AE552" s="847"/>
      <c r="AF552" s="847"/>
      <c r="AG552" s="847"/>
      <c r="AH552" s="847"/>
      <c r="AI552" s="847"/>
      <c r="AJ552" s="847"/>
      <c r="AK552" s="847"/>
      <c r="AL552" s="847"/>
      <c r="AM552" s="847"/>
      <c r="AN552" s="847"/>
      <c r="AO552" s="847"/>
      <c r="AP552" s="847"/>
      <c r="AQ552" s="847"/>
      <c r="AR552" s="847"/>
      <c r="AS552" s="847"/>
      <c r="AT552" s="847"/>
      <c r="AU552" s="847"/>
      <c r="AV552" s="847"/>
      <c r="AW552" s="847"/>
      <c r="AX552" s="847"/>
      <c r="AY552" s="847"/>
      <c r="AZ552" s="847"/>
      <c r="BA552" s="847"/>
      <c r="BB552" s="847"/>
      <c r="BC552" s="847"/>
      <c r="BD552" s="847"/>
      <c r="BE552" s="847"/>
      <c r="BF552" s="847"/>
      <c r="BG552" s="847"/>
      <c r="BH552" s="847"/>
      <c r="BI552" s="847"/>
      <c r="BJ552" s="847"/>
      <c r="BK552" s="847"/>
      <c r="BL552" s="847"/>
      <c r="BM552" s="847"/>
      <c r="BN552" s="847"/>
      <c r="BO552" s="847"/>
      <c r="BP552" s="847"/>
      <c r="BQ552" s="847"/>
      <c r="BR552" s="847"/>
      <c r="BS552" s="847"/>
      <c r="BT552" s="847"/>
      <c r="BU552" s="847"/>
      <c r="BV552" s="847"/>
      <c r="BW552" s="847"/>
      <c r="BX552" s="847"/>
      <c r="BY552" s="847"/>
      <c r="BZ552" s="847"/>
      <c r="CA552" s="847"/>
      <c r="CB552" s="847"/>
      <c r="CC552" s="847"/>
      <c r="CD552" s="847"/>
      <c r="CE552" s="847"/>
      <c r="CF552" s="847"/>
      <c r="CG552" s="847"/>
      <c r="CH552" s="847"/>
      <c r="CI552" s="847"/>
      <c r="CJ552" s="847"/>
      <c r="CK552" s="847"/>
      <c r="CL552" s="847"/>
      <c r="CM552" s="847"/>
      <c r="CN552" s="847"/>
      <c r="CO552" s="847"/>
      <c r="CP552" s="847"/>
      <c r="CQ552" s="847"/>
      <c r="CR552" s="847"/>
      <c r="CS552" s="847"/>
      <c r="CT552" s="847"/>
      <c r="CU552" s="847"/>
      <c r="CV552" s="847"/>
      <c r="CW552" s="847"/>
      <c r="CX552" s="847"/>
      <c r="CY552" s="847"/>
      <c r="CZ552" s="847"/>
      <c r="DA552" s="847"/>
      <c r="DB552" s="847"/>
      <c r="DC552" s="847"/>
      <c r="DD552" s="847"/>
      <c r="DE552" s="847"/>
      <c r="DF552" s="847"/>
      <c r="DG552" s="847"/>
      <c r="DH552" s="847"/>
      <c r="DI552" s="847"/>
      <c r="DJ552" s="847"/>
      <c r="DK552" s="847"/>
      <c r="DL552" s="847"/>
      <c r="DM552" s="1212"/>
      <c r="DN552" s="1222"/>
      <c r="DO552" s="1013"/>
      <c r="DP552" s="847"/>
      <c r="DQ552" s="1013"/>
      <c r="DR552" s="1225"/>
      <c r="DS552" s="1013"/>
      <c r="DT552" s="1225"/>
      <c r="DU552" s="1214"/>
      <c r="DV552" s="1242"/>
      <c r="DW552" s="1232"/>
      <c r="DX552" s="1222"/>
      <c r="DY552" s="847"/>
      <c r="DZ552" s="847"/>
      <c r="EA552" s="847"/>
      <c r="EB552" s="847"/>
      <c r="EC552" s="847"/>
      <c r="ED552" s="847"/>
      <c r="EE552" s="847"/>
      <c r="EF552" s="847"/>
      <c r="EG552" s="1212"/>
      <c r="EH552" s="847"/>
      <c r="EI552" s="1212"/>
    </row>
    <row r="553" spans="1:139" s="733" customFormat="1" ht="13.5">
      <c r="A553" s="1009">
        <v>177</v>
      </c>
      <c r="B553" s="1212" t="s">
        <v>3138</v>
      </c>
      <c r="C553" s="1213">
        <v>0</v>
      </c>
      <c r="D553" s="1013" t="s">
        <v>49</v>
      </c>
      <c r="E553" s="847"/>
      <c r="F553" s="1013"/>
      <c r="G553" s="847" t="e">
        <f>'Lead &amp; ANALYSIS'!#REF!/15</f>
        <v>#REF!</v>
      </c>
      <c r="H553" s="1013" t="e">
        <f>ROUND(C553*G553,2)</f>
        <v>#REF!</v>
      </c>
      <c r="I553" s="847"/>
      <c r="J553" s="1013"/>
      <c r="K553" s="847" t="e">
        <f>'Lead &amp; ANALYSIS'!#REF!*10/15</f>
        <v>#REF!</v>
      </c>
      <c r="L553" s="1013" t="e">
        <f>ROUND(C553*K553,2)</f>
        <v>#REF!</v>
      </c>
      <c r="M553" s="847"/>
      <c r="N553" s="1013"/>
      <c r="O553" s="847"/>
      <c r="P553" s="1013"/>
      <c r="Q553" s="847"/>
      <c r="R553" s="847" t="e">
        <f>'Lead &amp; ANALYSIS'!#REF!/15</f>
        <v>#REF!</v>
      </c>
      <c r="S553" s="847"/>
      <c r="T553" s="1013" t="e">
        <f>ROUND(C553*R553,2)</f>
        <v>#REF!</v>
      </c>
      <c r="U553" s="1013"/>
      <c r="V553" s="1013"/>
      <c r="W553" s="847"/>
      <c r="X553" s="847"/>
      <c r="Y553" s="847"/>
      <c r="Z553" s="847"/>
      <c r="AA553" s="847"/>
      <c r="AB553" s="847"/>
      <c r="AC553" s="847"/>
      <c r="AD553" s="847"/>
      <c r="AE553" s="847"/>
      <c r="AF553" s="847"/>
      <c r="AG553" s="847"/>
      <c r="AH553" s="847"/>
      <c r="AI553" s="847"/>
      <c r="AJ553" s="847"/>
      <c r="AK553" s="847"/>
      <c r="AL553" s="847"/>
      <c r="AM553" s="847"/>
      <c r="AN553" s="847"/>
      <c r="AO553" s="847"/>
      <c r="AP553" s="847"/>
      <c r="AQ553" s="847"/>
      <c r="AR553" s="847"/>
      <c r="AS553" s="847"/>
      <c r="AT553" s="847"/>
      <c r="AU553" s="847"/>
      <c r="AV553" s="847"/>
      <c r="AW553" s="847"/>
      <c r="AX553" s="847"/>
      <c r="AY553" s="847"/>
      <c r="AZ553" s="847"/>
      <c r="BA553" s="847"/>
      <c r="BB553" s="847"/>
      <c r="BC553" s="847"/>
      <c r="BD553" s="847"/>
      <c r="BE553" s="847"/>
      <c r="BF553" s="847"/>
      <c r="BG553" s="847"/>
      <c r="BH553" s="847"/>
      <c r="BI553" s="847"/>
      <c r="BJ553" s="847"/>
      <c r="BK553" s="847"/>
      <c r="BL553" s="847"/>
      <c r="BM553" s="847"/>
      <c r="BN553" s="847"/>
      <c r="BO553" s="847"/>
      <c r="BP553" s="847"/>
      <c r="BQ553" s="847"/>
      <c r="BR553" s="847"/>
      <c r="BS553" s="847"/>
      <c r="BT553" s="847"/>
      <c r="BU553" s="847"/>
      <c r="BV553" s="847"/>
      <c r="BW553" s="847"/>
      <c r="BX553" s="847"/>
      <c r="BY553" s="847"/>
      <c r="BZ553" s="847"/>
      <c r="CA553" s="847"/>
      <c r="CB553" s="847"/>
      <c r="CC553" s="847"/>
      <c r="CD553" s="847"/>
      <c r="CE553" s="847"/>
      <c r="CF553" s="847"/>
      <c r="CG553" s="847"/>
      <c r="CH553" s="847"/>
      <c r="CI553" s="847"/>
      <c r="CJ553" s="847"/>
      <c r="CK553" s="847"/>
      <c r="CL553" s="847"/>
      <c r="CM553" s="847"/>
      <c r="CN553" s="847"/>
      <c r="CO553" s="847"/>
      <c r="CP553" s="847"/>
      <c r="CQ553" s="847"/>
      <c r="CR553" s="847"/>
      <c r="CS553" s="847"/>
      <c r="CT553" s="847"/>
      <c r="CU553" s="847"/>
      <c r="CV553" s="847"/>
      <c r="CW553" s="847"/>
      <c r="CX553" s="847"/>
      <c r="CY553" s="847"/>
      <c r="CZ553" s="847"/>
      <c r="DA553" s="847"/>
      <c r="DB553" s="847"/>
      <c r="DC553" s="847"/>
      <c r="DD553" s="847"/>
      <c r="DE553" s="847"/>
      <c r="DF553" s="847"/>
      <c r="DG553" s="847"/>
      <c r="DH553" s="847"/>
      <c r="DI553" s="847"/>
      <c r="DJ553" s="847"/>
      <c r="DK553" s="847"/>
      <c r="DL553" s="847"/>
      <c r="DM553" s="1212"/>
      <c r="DN553" s="1222" t="e">
        <f>'Lead &amp; ANALYSIS'!#REF!/15</f>
        <v>#REF!</v>
      </c>
      <c r="DO553" s="1013" t="e">
        <f>ROUND(C553*DN553,2)</f>
        <v>#REF!</v>
      </c>
      <c r="DP553" s="847" t="e">
        <f>'Lead &amp; ANALYSIS'!#REF!/15</f>
        <v>#REF!</v>
      </c>
      <c r="DQ553" s="1013" t="e">
        <f>ROUND(C553*DP553,2)</f>
        <v>#REF!</v>
      </c>
      <c r="DR553" s="1225" t="e">
        <f>'Lead &amp; ANALYSIS'!#REF!/15</f>
        <v>#REF!</v>
      </c>
      <c r="DS553" s="1013" t="e">
        <f>ROUND(C553*DR553,2)</f>
        <v>#REF!</v>
      </c>
      <c r="DT553" s="1225"/>
      <c r="DU553" s="1214"/>
      <c r="DV553" s="1242"/>
      <c r="DW553" s="1232"/>
      <c r="DX553" s="1222"/>
      <c r="DY553" s="847"/>
      <c r="DZ553" s="847"/>
      <c r="EA553" s="847"/>
      <c r="EB553" s="847"/>
      <c r="EC553" s="847"/>
      <c r="ED553" s="847"/>
      <c r="EE553" s="847"/>
      <c r="EF553" s="847"/>
      <c r="EG553" s="1212"/>
      <c r="EH553" s="847"/>
      <c r="EI553" s="1212"/>
    </row>
    <row r="554" spans="1:139" s="733" customFormat="1" ht="13.5">
      <c r="A554" s="1009"/>
      <c r="B554" s="1212"/>
      <c r="C554" s="1213">
        <v>0</v>
      </c>
      <c r="D554" s="1013" t="s">
        <v>49</v>
      </c>
      <c r="E554" s="847"/>
      <c r="F554" s="1013"/>
      <c r="G554" s="847"/>
      <c r="H554" s="1013"/>
      <c r="I554" s="847"/>
      <c r="J554" s="1013"/>
      <c r="K554" s="847"/>
      <c r="L554" s="1013"/>
      <c r="M554" s="847"/>
      <c r="N554" s="1013"/>
      <c r="O554" s="847"/>
      <c r="P554" s="1013"/>
      <c r="Q554" s="847"/>
      <c r="R554" s="847" t="e">
        <f>'Lead &amp; ANALYSIS'!#REF!/15</f>
        <v>#REF!</v>
      </c>
      <c r="S554" s="847"/>
      <c r="T554" s="1013"/>
      <c r="U554" s="1013"/>
      <c r="V554" s="1013" t="e">
        <f>ROUND(C554*R554,2)</f>
        <v>#REF!</v>
      </c>
      <c r="W554" s="847"/>
      <c r="X554" s="847"/>
      <c r="Y554" s="847"/>
      <c r="Z554" s="847"/>
      <c r="AA554" s="847"/>
      <c r="AB554" s="847"/>
      <c r="AC554" s="847"/>
      <c r="AD554" s="847"/>
      <c r="AE554" s="847"/>
      <c r="AF554" s="847"/>
      <c r="AG554" s="847"/>
      <c r="AH554" s="847"/>
      <c r="AI554" s="847"/>
      <c r="AJ554" s="847"/>
      <c r="AK554" s="847"/>
      <c r="AL554" s="847"/>
      <c r="AM554" s="847"/>
      <c r="AN554" s="847"/>
      <c r="AO554" s="847"/>
      <c r="AP554" s="847"/>
      <c r="AQ554" s="847"/>
      <c r="AR554" s="847"/>
      <c r="AS554" s="847"/>
      <c r="AT554" s="847"/>
      <c r="AU554" s="847"/>
      <c r="AV554" s="847"/>
      <c r="AW554" s="847"/>
      <c r="AX554" s="847"/>
      <c r="AY554" s="847"/>
      <c r="AZ554" s="847"/>
      <c r="BA554" s="847"/>
      <c r="BB554" s="847"/>
      <c r="BC554" s="847"/>
      <c r="BD554" s="847"/>
      <c r="BE554" s="847"/>
      <c r="BF554" s="847"/>
      <c r="BG554" s="847"/>
      <c r="BH554" s="847"/>
      <c r="BI554" s="847"/>
      <c r="BJ554" s="847"/>
      <c r="BK554" s="847"/>
      <c r="BL554" s="847"/>
      <c r="BM554" s="847"/>
      <c r="BN554" s="847"/>
      <c r="BO554" s="847"/>
      <c r="BP554" s="847"/>
      <c r="BQ554" s="847"/>
      <c r="BR554" s="847"/>
      <c r="BS554" s="847"/>
      <c r="BT554" s="847"/>
      <c r="BU554" s="847"/>
      <c r="BV554" s="847"/>
      <c r="BW554" s="847"/>
      <c r="BX554" s="847"/>
      <c r="BY554" s="847"/>
      <c r="BZ554" s="847"/>
      <c r="CA554" s="847"/>
      <c r="CB554" s="847"/>
      <c r="CC554" s="847"/>
      <c r="CD554" s="847"/>
      <c r="CE554" s="847"/>
      <c r="CF554" s="847"/>
      <c r="CG554" s="847"/>
      <c r="CH554" s="847"/>
      <c r="CI554" s="847"/>
      <c r="CJ554" s="847"/>
      <c r="CK554" s="847"/>
      <c r="CL554" s="847"/>
      <c r="CM554" s="847"/>
      <c r="CN554" s="847"/>
      <c r="CO554" s="847"/>
      <c r="CP554" s="847"/>
      <c r="CQ554" s="847"/>
      <c r="CR554" s="847"/>
      <c r="CS554" s="847"/>
      <c r="CT554" s="847"/>
      <c r="CU554" s="847"/>
      <c r="CV554" s="847"/>
      <c r="CW554" s="847"/>
      <c r="CX554" s="847"/>
      <c r="CY554" s="847"/>
      <c r="CZ554" s="847"/>
      <c r="DA554" s="847"/>
      <c r="DB554" s="847"/>
      <c r="DC554" s="847"/>
      <c r="DD554" s="847"/>
      <c r="DE554" s="847"/>
      <c r="DF554" s="847"/>
      <c r="DG554" s="847"/>
      <c r="DH554" s="847"/>
      <c r="DI554" s="847"/>
      <c r="DJ554" s="847"/>
      <c r="DK554" s="847"/>
      <c r="DL554" s="847"/>
      <c r="DM554" s="1212"/>
      <c r="DN554" s="1222"/>
      <c r="DO554" s="1013"/>
      <c r="DP554" s="847"/>
      <c r="DQ554" s="1013"/>
      <c r="DR554" s="1225"/>
      <c r="DS554" s="1013"/>
      <c r="DT554" s="1225"/>
      <c r="DU554" s="1214"/>
      <c r="DV554" s="1242"/>
      <c r="DW554" s="1232"/>
      <c r="DX554" s="1222"/>
      <c r="DY554" s="847"/>
      <c r="DZ554" s="847"/>
      <c r="EA554" s="847"/>
      <c r="EB554" s="847"/>
      <c r="EC554" s="847"/>
      <c r="ED554" s="847"/>
      <c r="EE554" s="847"/>
      <c r="EF554" s="847"/>
      <c r="EG554" s="1212"/>
      <c r="EH554" s="847"/>
      <c r="EI554" s="1212"/>
    </row>
    <row r="555" spans="1:139" s="733" customFormat="1" ht="13.5">
      <c r="A555" s="1009">
        <v>178</v>
      </c>
      <c r="B555" s="1212" t="s">
        <v>3139</v>
      </c>
      <c r="C555" s="1213">
        <v>0</v>
      </c>
      <c r="D555" s="1013" t="s">
        <v>1208</v>
      </c>
      <c r="E555" s="847"/>
      <c r="F555" s="1013"/>
      <c r="G555" s="847"/>
      <c r="H555" s="1013"/>
      <c r="I555" s="847"/>
      <c r="J555" s="1013"/>
      <c r="K555" s="847"/>
      <c r="L555" s="1013"/>
      <c r="M555" s="847"/>
      <c r="N555" s="1013"/>
      <c r="O555" s="847"/>
      <c r="P555" s="1013"/>
      <c r="Q555" s="847"/>
      <c r="R555" s="847"/>
      <c r="S555" s="847"/>
      <c r="T555" s="847"/>
      <c r="U555" s="847"/>
      <c r="V555" s="847"/>
      <c r="W555" s="847"/>
      <c r="X555" s="847"/>
      <c r="Y555" s="847"/>
      <c r="Z555" s="847"/>
      <c r="AA555" s="847"/>
      <c r="AB555" s="847"/>
      <c r="AC555" s="847"/>
      <c r="AD555" s="847"/>
      <c r="AE555" s="847"/>
      <c r="AF555" s="847"/>
      <c r="AG555" s="847"/>
      <c r="AH555" s="847"/>
      <c r="AI555" s="847"/>
      <c r="AJ555" s="847"/>
      <c r="AK555" s="847"/>
      <c r="AL555" s="847"/>
      <c r="AM555" s="847"/>
      <c r="AN555" s="847"/>
      <c r="AO555" s="847"/>
      <c r="AP555" s="847"/>
      <c r="AQ555" s="847"/>
      <c r="AR555" s="847"/>
      <c r="AS555" s="847"/>
      <c r="AT555" s="847"/>
      <c r="AU555" s="847"/>
      <c r="AV555" s="847"/>
      <c r="AW555" s="847"/>
      <c r="AX555" s="847"/>
      <c r="AY555" s="847"/>
      <c r="AZ555" s="847"/>
      <c r="BA555" s="847"/>
      <c r="BB555" s="847"/>
      <c r="BC555" s="847"/>
      <c r="BD555" s="847"/>
      <c r="BE555" s="847"/>
      <c r="BF555" s="847"/>
      <c r="BG555" s="847"/>
      <c r="BH555" s="847"/>
      <c r="BI555" s="847"/>
      <c r="BJ555" s="847"/>
      <c r="BK555" s="847"/>
      <c r="BL555" s="847"/>
      <c r="BM555" s="847"/>
      <c r="BN555" s="847"/>
      <c r="BO555" s="847"/>
      <c r="BP555" s="847"/>
      <c r="BQ555" s="847"/>
      <c r="BR555" s="847"/>
      <c r="BS555" s="847"/>
      <c r="BT555" s="847"/>
      <c r="BU555" s="847"/>
      <c r="BV555" s="847"/>
      <c r="BW555" s="847"/>
      <c r="BX555" s="847"/>
      <c r="BY555" s="847"/>
      <c r="BZ555" s="847"/>
      <c r="CA555" s="847"/>
      <c r="CB555" s="847"/>
      <c r="CC555" s="847"/>
      <c r="CD555" s="847"/>
      <c r="CE555" s="847"/>
      <c r="CF555" s="847"/>
      <c r="CG555" s="847"/>
      <c r="CH555" s="847"/>
      <c r="CI555" s="847"/>
      <c r="CJ555" s="847"/>
      <c r="CK555" s="847"/>
      <c r="CL555" s="847"/>
      <c r="CM555" s="847"/>
      <c r="CN555" s="847"/>
      <c r="CO555" s="847"/>
      <c r="CP555" s="847"/>
      <c r="CQ555" s="847"/>
      <c r="CR555" s="847"/>
      <c r="CS555" s="847"/>
      <c r="CT555" s="847"/>
      <c r="CU555" s="847"/>
      <c r="CV555" s="847"/>
      <c r="CW555" s="847"/>
      <c r="CX555" s="847"/>
      <c r="CY555" s="847"/>
      <c r="CZ555" s="847"/>
      <c r="DA555" s="847"/>
      <c r="DB555" s="847"/>
      <c r="DC555" s="847"/>
      <c r="DD555" s="847"/>
      <c r="DE555" s="847"/>
      <c r="DF555" s="847"/>
      <c r="DG555" s="847"/>
      <c r="DH555" s="847"/>
      <c r="DI555" s="847"/>
      <c r="DJ555" s="847"/>
      <c r="DK555" s="847"/>
      <c r="DL555" s="847"/>
      <c r="DM555" s="1212"/>
      <c r="DN555" s="1222" t="e">
        <f>'Lead &amp; ANALYSIS'!#REF!/'Lead &amp; ANALYSIS'!L134</f>
        <v>#REF!</v>
      </c>
      <c r="DO555" s="1013" t="e">
        <f t="shared" ref="DO555:DO560" si="23">ROUND(C555*DN555,2)</f>
        <v>#REF!</v>
      </c>
      <c r="DP555" s="847"/>
      <c r="DQ555" s="1013"/>
      <c r="DR555" s="1225"/>
      <c r="DS555" s="1013"/>
      <c r="DT555" s="1225"/>
      <c r="DU555" s="1214"/>
      <c r="DV555" s="1242"/>
      <c r="DW555" s="1232"/>
      <c r="DX555" s="1222"/>
      <c r="DY555" s="847"/>
      <c r="DZ555" s="847"/>
      <c r="EA555" s="847"/>
      <c r="EB555" s="847"/>
      <c r="EC555" s="847"/>
      <c r="ED555" s="847"/>
      <c r="EE555" s="847"/>
      <c r="EF555" s="847"/>
      <c r="EG555" s="1212"/>
      <c r="EH555" s="847"/>
      <c r="EI555" s="1212"/>
    </row>
    <row r="556" spans="1:139" s="733" customFormat="1" ht="13.5">
      <c r="A556" s="1009">
        <v>179</v>
      </c>
      <c r="B556" s="1212" t="s">
        <v>3140</v>
      </c>
      <c r="C556" s="1213">
        <v>0</v>
      </c>
      <c r="D556" s="1013" t="s">
        <v>1208</v>
      </c>
      <c r="E556" s="847"/>
      <c r="F556" s="1013"/>
      <c r="G556" s="847"/>
      <c r="H556" s="1013"/>
      <c r="I556" s="847"/>
      <c r="J556" s="1013"/>
      <c r="K556" s="847"/>
      <c r="L556" s="1013"/>
      <c r="M556" s="847"/>
      <c r="N556" s="1013"/>
      <c r="O556" s="847"/>
      <c r="P556" s="1013"/>
      <c r="Q556" s="847"/>
      <c r="R556" s="847"/>
      <c r="S556" s="847"/>
      <c r="T556" s="847"/>
      <c r="U556" s="847"/>
      <c r="V556" s="847"/>
      <c r="W556" s="847"/>
      <c r="X556" s="847"/>
      <c r="Y556" s="847"/>
      <c r="Z556" s="847"/>
      <c r="AA556" s="847"/>
      <c r="AB556" s="847"/>
      <c r="AC556" s="847"/>
      <c r="AD556" s="847"/>
      <c r="AE556" s="847"/>
      <c r="AF556" s="847"/>
      <c r="AG556" s="847"/>
      <c r="AH556" s="847"/>
      <c r="AI556" s="847"/>
      <c r="AJ556" s="847"/>
      <c r="AK556" s="847"/>
      <c r="AL556" s="847"/>
      <c r="AM556" s="847"/>
      <c r="AN556" s="847"/>
      <c r="AO556" s="847"/>
      <c r="AP556" s="847"/>
      <c r="AQ556" s="847"/>
      <c r="AR556" s="847"/>
      <c r="AS556" s="847"/>
      <c r="AT556" s="847"/>
      <c r="AU556" s="847"/>
      <c r="AV556" s="847"/>
      <c r="AW556" s="847"/>
      <c r="AX556" s="847"/>
      <c r="AY556" s="847"/>
      <c r="AZ556" s="847"/>
      <c r="BA556" s="847"/>
      <c r="BB556" s="847"/>
      <c r="BC556" s="847"/>
      <c r="BD556" s="847"/>
      <c r="BE556" s="847"/>
      <c r="BF556" s="847"/>
      <c r="BG556" s="847"/>
      <c r="BH556" s="847"/>
      <c r="BI556" s="847"/>
      <c r="BJ556" s="847"/>
      <c r="BK556" s="847"/>
      <c r="BL556" s="847"/>
      <c r="BM556" s="847"/>
      <c r="BN556" s="847"/>
      <c r="BO556" s="847"/>
      <c r="BP556" s="847"/>
      <c r="BQ556" s="847"/>
      <c r="BR556" s="847"/>
      <c r="BS556" s="847"/>
      <c r="BT556" s="847"/>
      <c r="BU556" s="847"/>
      <c r="BV556" s="847"/>
      <c r="BW556" s="847"/>
      <c r="BX556" s="847"/>
      <c r="BY556" s="847"/>
      <c r="BZ556" s="847"/>
      <c r="CA556" s="847"/>
      <c r="CB556" s="847"/>
      <c r="CC556" s="847"/>
      <c r="CD556" s="847"/>
      <c r="CE556" s="847"/>
      <c r="CF556" s="847"/>
      <c r="CG556" s="847"/>
      <c r="CH556" s="847"/>
      <c r="CI556" s="847"/>
      <c r="CJ556" s="847"/>
      <c r="CK556" s="847"/>
      <c r="CL556" s="847"/>
      <c r="CM556" s="847"/>
      <c r="CN556" s="847"/>
      <c r="CO556" s="847"/>
      <c r="CP556" s="847"/>
      <c r="CQ556" s="847"/>
      <c r="CR556" s="847"/>
      <c r="CS556" s="847"/>
      <c r="CT556" s="847"/>
      <c r="CU556" s="847"/>
      <c r="CV556" s="847"/>
      <c r="CW556" s="847"/>
      <c r="CX556" s="847"/>
      <c r="CY556" s="847"/>
      <c r="CZ556" s="847"/>
      <c r="DA556" s="847"/>
      <c r="DB556" s="847"/>
      <c r="DC556" s="847"/>
      <c r="DD556" s="847"/>
      <c r="DE556" s="847"/>
      <c r="DF556" s="847"/>
      <c r="DG556" s="847"/>
      <c r="DH556" s="847"/>
      <c r="DI556" s="847"/>
      <c r="DJ556" s="847"/>
      <c r="DK556" s="847"/>
      <c r="DL556" s="847"/>
      <c r="DM556" s="1212"/>
      <c r="DN556" s="1222" t="e">
        <f>'Lead &amp; ANALYSIS'!#REF!/'Lead &amp; ANALYSIS'!L134</f>
        <v>#REF!</v>
      </c>
      <c r="DO556" s="1013" t="e">
        <f t="shared" si="23"/>
        <v>#REF!</v>
      </c>
      <c r="DP556" s="847"/>
      <c r="DQ556" s="1013"/>
      <c r="DR556" s="1225"/>
      <c r="DS556" s="1013"/>
      <c r="DT556" s="1225"/>
      <c r="DU556" s="1214"/>
      <c r="DV556" s="1242"/>
      <c r="DW556" s="1232"/>
      <c r="DX556" s="1222"/>
      <c r="DY556" s="847"/>
      <c r="DZ556" s="847"/>
      <c r="EA556" s="847"/>
      <c r="EB556" s="847"/>
      <c r="EC556" s="847"/>
      <c r="ED556" s="847"/>
      <c r="EE556" s="847"/>
      <c r="EF556" s="847"/>
      <c r="EG556" s="1212"/>
      <c r="EH556" s="847"/>
      <c r="EI556" s="1212"/>
    </row>
    <row r="557" spans="1:139" s="733" customFormat="1" ht="13.5">
      <c r="A557" s="1009">
        <v>180</v>
      </c>
      <c r="B557" s="1212" t="s">
        <v>3141</v>
      </c>
      <c r="C557" s="1213">
        <v>0</v>
      </c>
      <c r="D557" s="1013" t="s">
        <v>1208</v>
      </c>
      <c r="E557" s="847"/>
      <c r="F557" s="1013"/>
      <c r="G557" s="847"/>
      <c r="H557" s="1013"/>
      <c r="I557" s="847"/>
      <c r="J557" s="1013"/>
      <c r="K557" s="847"/>
      <c r="L557" s="1013"/>
      <c r="M557" s="847"/>
      <c r="N557" s="1013"/>
      <c r="O557" s="847"/>
      <c r="P557" s="1013"/>
      <c r="Q557" s="847"/>
      <c r="R557" s="847"/>
      <c r="S557" s="847"/>
      <c r="T557" s="847"/>
      <c r="U557" s="847"/>
      <c r="V557" s="847"/>
      <c r="W557" s="847"/>
      <c r="X557" s="847"/>
      <c r="Y557" s="847"/>
      <c r="Z557" s="847"/>
      <c r="AA557" s="847"/>
      <c r="AB557" s="847"/>
      <c r="AC557" s="847"/>
      <c r="AD557" s="847"/>
      <c r="AE557" s="847"/>
      <c r="AF557" s="847"/>
      <c r="AG557" s="847"/>
      <c r="AH557" s="847"/>
      <c r="AI557" s="847"/>
      <c r="AJ557" s="847"/>
      <c r="AK557" s="847"/>
      <c r="AL557" s="847"/>
      <c r="AM557" s="847"/>
      <c r="AN557" s="847"/>
      <c r="AO557" s="847"/>
      <c r="AP557" s="847"/>
      <c r="AQ557" s="847"/>
      <c r="AR557" s="847"/>
      <c r="AS557" s="847"/>
      <c r="AT557" s="847"/>
      <c r="AU557" s="847"/>
      <c r="AV557" s="847"/>
      <c r="AW557" s="847"/>
      <c r="AX557" s="847"/>
      <c r="AY557" s="847"/>
      <c r="AZ557" s="847"/>
      <c r="BA557" s="847"/>
      <c r="BB557" s="847"/>
      <c r="BC557" s="847"/>
      <c r="BD557" s="847"/>
      <c r="BE557" s="847"/>
      <c r="BF557" s="847"/>
      <c r="BG557" s="847"/>
      <c r="BH557" s="847"/>
      <c r="BI557" s="847"/>
      <c r="BJ557" s="847"/>
      <c r="BK557" s="847"/>
      <c r="BL557" s="847"/>
      <c r="BM557" s="847"/>
      <c r="BN557" s="847"/>
      <c r="BO557" s="847"/>
      <c r="BP557" s="847"/>
      <c r="BQ557" s="847"/>
      <c r="BR557" s="847"/>
      <c r="BS557" s="847"/>
      <c r="BT557" s="847"/>
      <c r="BU557" s="847"/>
      <c r="BV557" s="847"/>
      <c r="BW557" s="847"/>
      <c r="BX557" s="847"/>
      <c r="BY557" s="847"/>
      <c r="BZ557" s="847"/>
      <c r="CA557" s="847"/>
      <c r="CB557" s="847"/>
      <c r="CC557" s="847"/>
      <c r="CD557" s="847"/>
      <c r="CE557" s="847"/>
      <c r="CF557" s="847"/>
      <c r="CG557" s="847"/>
      <c r="CH557" s="847"/>
      <c r="CI557" s="847"/>
      <c r="CJ557" s="847"/>
      <c r="CK557" s="847"/>
      <c r="CL557" s="847"/>
      <c r="CM557" s="847"/>
      <c r="CN557" s="847"/>
      <c r="CO557" s="847"/>
      <c r="CP557" s="847"/>
      <c r="CQ557" s="847"/>
      <c r="CR557" s="847"/>
      <c r="CS557" s="847"/>
      <c r="CT557" s="847"/>
      <c r="CU557" s="847"/>
      <c r="CV557" s="847"/>
      <c r="CW557" s="847"/>
      <c r="CX557" s="847"/>
      <c r="CY557" s="847"/>
      <c r="CZ557" s="847"/>
      <c r="DA557" s="847"/>
      <c r="DB557" s="847"/>
      <c r="DC557" s="847"/>
      <c r="DD557" s="847"/>
      <c r="DE557" s="847"/>
      <c r="DF557" s="847"/>
      <c r="DG557" s="847"/>
      <c r="DH557" s="847"/>
      <c r="DI557" s="847"/>
      <c r="DJ557" s="847"/>
      <c r="DK557" s="847"/>
      <c r="DL557" s="847"/>
      <c r="DM557" s="1212"/>
      <c r="DN557" s="1222" t="e">
        <f>'Lead &amp; ANALYSIS'!#REF!/'Lead &amp; ANALYSIS'!L134</f>
        <v>#REF!</v>
      </c>
      <c r="DO557" s="1013" t="e">
        <f t="shared" si="23"/>
        <v>#REF!</v>
      </c>
      <c r="DP557" s="847"/>
      <c r="DQ557" s="1013"/>
      <c r="DR557" s="1225"/>
      <c r="DS557" s="1013"/>
      <c r="DT557" s="1225"/>
      <c r="DU557" s="1214"/>
      <c r="DV557" s="1242"/>
      <c r="DW557" s="1232"/>
      <c r="DX557" s="1222"/>
      <c r="DY557" s="847"/>
      <c r="DZ557" s="847"/>
      <c r="EA557" s="847"/>
      <c r="EB557" s="847"/>
      <c r="EC557" s="847"/>
      <c r="ED557" s="847"/>
      <c r="EE557" s="847"/>
      <c r="EF557" s="847"/>
      <c r="EG557" s="1212"/>
      <c r="EH557" s="847"/>
      <c r="EI557" s="1212"/>
    </row>
    <row r="558" spans="1:139" s="733" customFormat="1" ht="13.5">
      <c r="A558" s="1009">
        <v>181</v>
      </c>
      <c r="B558" s="1212" t="s">
        <v>3142</v>
      </c>
      <c r="C558" s="1213">
        <v>0</v>
      </c>
      <c r="D558" s="1013" t="s">
        <v>1208</v>
      </c>
      <c r="E558" s="847"/>
      <c r="F558" s="1013"/>
      <c r="G558" s="847"/>
      <c r="H558" s="1013"/>
      <c r="I558" s="847"/>
      <c r="J558" s="1013"/>
      <c r="K558" s="847"/>
      <c r="L558" s="1013"/>
      <c r="M558" s="847"/>
      <c r="N558" s="1013"/>
      <c r="O558" s="847"/>
      <c r="P558" s="1013"/>
      <c r="Q558" s="847"/>
      <c r="R558" s="847"/>
      <c r="S558" s="847"/>
      <c r="T558" s="847"/>
      <c r="U558" s="847"/>
      <c r="V558" s="847"/>
      <c r="W558" s="847"/>
      <c r="X558" s="847"/>
      <c r="Y558" s="847"/>
      <c r="Z558" s="847"/>
      <c r="AA558" s="847"/>
      <c r="AB558" s="847"/>
      <c r="AC558" s="847"/>
      <c r="AD558" s="847"/>
      <c r="AE558" s="847"/>
      <c r="AF558" s="847"/>
      <c r="AG558" s="847"/>
      <c r="AH558" s="847"/>
      <c r="AI558" s="847"/>
      <c r="AJ558" s="847"/>
      <c r="AK558" s="847"/>
      <c r="AL558" s="847"/>
      <c r="AM558" s="847"/>
      <c r="AN558" s="847"/>
      <c r="AO558" s="847"/>
      <c r="AP558" s="847"/>
      <c r="AQ558" s="847"/>
      <c r="AR558" s="847"/>
      <c r="AS558" s="847"/>
      <c r="AT558" s="847"/>
      <c r="AU558" s="847"/>
      <c r="AV558" s="847"/>
      <c r="AW558" s="847"/>
      <c r="AX558" s="847"/>
      <c r="AY558" s="847"/>
      <c r="AZ558" s="847"/>
      <c r="BA558" s="847"/>
      <c r="BB558" s="847"/>
      <c r="BC558" s="847"/>
      <c r="BD558" s="847"/>
      <c r="BE558" s="847"/>
      <c r="BF558" s="847"/>
      <c r="BG558" s="847"/>
      <c r="BH558" s="847"/>
      <c r="BI558" s="847"/>
      <c r="BJ558" s="847"/>
      <c r="BK558" s="847"/>
      <c r="BL558" s="847"/>
      <c r="BM558" s="847"/>
      <c r="BN558" s="847"/>
      <c r="BO558" s="847"/>
      <c r="BP558" s="847"/>
      <c r="BQ558" s="847"/>
      <c r="BR558" s="847"/>
      <c r="BS558" s="847"/>
      <c r="BT558" s="847"/>
      <c r="BU558" s="847"/>
      <c r="BV558" s="847"/>
      <c r="BW558" s="847"/>
      <c r="BX558" s="847"/>
      <c r="BY558" s="847"/>
      <c r="BZ558" s="847"/>
      <c r="CA558" s="847"/>
      <c r="CB558" s="847"/>
      <c r="CC558" s="847"/>
      <c r="CD558" s="847"/>
      <c r="CE558" s="847"/>
      <c r="CF558" s="847"/>
      <c r="CG558" s="847"/>
      <c r="CH558" s="847"/>
      <c r="CI558" s="847"/>
      <c r="CJ558" s="847"/>
      <c r="CK558" s="847"/>
      <c r="CL558" s="847"/>
      <c r="CM558" s="847"/>
      <c r="CN558" s="847"/>
      <c r="CO558" s="847"/>
      <c r="CP558" s="847"/>
      <c r="CQ558" s="847"/>
      <c r="CR558" s="847"/>
      <c r="CS558" s="847"/>
      <c r="CT558" s="847"/>
      <c r="CU558" s="847"/>
      <c r="CV558" s="847"/>
      <c r="CW558" s="847"/>
      <c r="CX558" s="847"/>
      <c r="CY558" s="847"/>
      <c r="CZ558" s="847"/>
      <c r="DA558" s="847"/>
      <c r="DB558" s="847"/>
      <c r="DC558" s="847"/>
      <c r="DD558" s="847"/>
      <c r="DE558" s="847"/>
      <c r="DF558" s="847"/>
      <c r="DG558" s="847"/>
      <c r="DH558" s="847"/>
      <c r="DI558" s="847"/>
      <c r="DJ558" s="847"/>
      <c r="DK558" s="847"/>
      <c r="DL558" s="847"/>
      <c r="DM558" s="1212"/>
      <c r="DN558" s="1222" t="e">
        <f>'Lead &amp; ANALYSIS'!#REF!/'Lead &amp; ANALYSIS'!L134</f>
        <v>#REF!</v>
      </c>
      <c r="DO558" s="1013" t="e">
        <f t="shared" si="23"/>
        <v>#REF!</v>
      </c>
      <c r="DP558" s="847"/>
      <c r="DQ558" s="1013"/>
      <c r="DR558" s="1225"/>
      <c r="DS558" s="1013"/>
      <c r="DT558" s="1225"/>
      <c r="DU558" s="1214"/>
      <c r="DV558" s="1242"/>
      <c r="DW558" s="1232"/>
      <c r="DX558" s="1222"/>
      <c r="DY558" s="847"/>
      <c r="DZ558" s="847"/>
      <c r="EA558" s="847"/>
      <c r="EB558" s="847"/>
      <c r="EC558" s="847"/>
      <c r="ED558" s="847"/>
      <c r="EE558" s="847"/>
      <c r="EF558" s="847"/>
      <c r="EG558" s="1212"/>
      <c r="EH558" s="847"/>
      <c r="EI558" s="1212"/>
    </row>
    <row r="559" spans="1:139" s="733" customFormat="1" ht="13.5">
      <c r="A559" s="1009">
        <v>182</v>
      </c>
      <c r="B559" s="1212" t="s">
        <v>3143</v>
      </c>
      <c r="C559" s="1213">
        <v>0</v>
      </c>
      <c r="D559" s="1013" t="s">
        <v>1208</v>
      </c>
      <c r="E559" s="847"/>
      <c r="F559" s="1013"/>
      <c r="G559" s="847"/>
      <c r="H559" s="1013"/>
      <c r="I559" s="847"/>
      <c r="J559" s="1013"/>
      <c r="K559" s="847"/>
      <c r="L559" s="1013"/>
      <c r="M559" s="847"/>
      <c r="N559" s="1013"/>
      <c r="O559" s="847"/>
      <c r="P559" s="1013"/>
      <c r="Q559" s="847"/>
      <c r="R559" s="847"/>
      <c r="S559" s="847"/>
      <c r="T559" s="847"/>
      <c r="U559" s="847"/>
      <c r="V559" s="847"/>
      <c r="W559" s="847"/>
      <c r="X559" s="847"/>
      <c r="Y559" s="847"/>
      <c r="Z559" s="847"/>
      <c r="AA559" s="847"/>
      <c r="AB559" s="847"/>
      <c r="AC559" s="847"/>
      <c r="AD559" s="847"/>
      <c r="AE559" s="847"/>
      <c r="AF559" s="847"/>
      <c r="AG559" s="847"/>
      <c r="AH559" s="847"/>
      <c r="AI559" s="847"/>
      <c r="AJ559" s="847"/>
      <c r="AK559" s="847"/>
      <c r="AL559" s="847"/>
      <c r="AM559" s="847"/>
      <c r="AN559" s="847"/>
      <c r="AO559" s="847"/>
      <c r="AP559" s="847"/>
      <c r="AQ559" s="847"/>
      <c r="AR559" s="847"/>
      <c r="AS559" s="847"/>
      <c r="AT559" s="847"/>
      <c r="AU559" s="847"/>
      <c r="AV559" s="847"/>
      <c r="AW559" s="847"/>
      <c r="AX559" s="847"/>
      <c r="AY559" s="847"/>
      <c r="AZ559" s="847"/>
      <c r="BA559" s="847"/>
      <c r="BB559" s="847"/>
      <c r="BC559" s="847"/>
      <c r="BD559" s="847"/>
      <c r="BE559" s="847"/>
      <c r="BF559" s="847"/>
      <c r="BG559" s="847"/>
      <c r="BH559" s="847"/>
      <c r="BI559" s="847"/>
      <c r="BJ559" s="847"/>
      <c r="BK559" s="847"/>
      <c r="BL559" s="847"/>
      <c r="BM559" s="847"/>
      <c r="BN559" s="847"/>
      <c r="BO559" s="847"/>
      <c r="BP559" s="847"/>
      <c r="BQ559" s="847"/>
      <c r="BR559" s="847"/>
      <c r="BS559" s="847"/>
      <c r="BT559" s="847"/>
      <c r="BU559" s="847"/>
      <c r="BV559" s="847"/>
      <c r="BW559" s="847"/>
      <c r="BX559" s="847"/>
      <c r="BY559" s="847"/>
      <c r="BZ559" s="847"/>
      <c r="CA559" s="847"/>
      <c r="CB559" s="847"/>
      <c r="CC559" s="847"/>
      <c r="CD559" s="847"/>
      <c r="CE559" s="847"/>
      <c r="CF559" s="847"/>
      <c r="CG559" s="847"/>
      <c r="CH559" s="847"/>
      <c r="CI559" s="847"/>
      <c r="CJ559" s="847"/>
      <c r="CK559" s="847"/>
      <c r="CL559" s="847"/>
      <c r="CM559" s="847"/>
      <c r="CN559" s="847"/>
      <c r="CO559" s="847"/>
      <c r="CP559" s="847"/>
      <c r="CQ559" s="847"/>
      <c r="CR559" s="847"/>
      <c r="CS559" s="847"/>
      <c r="CT559" s="847"/>
      <c r="CU559" s="847"/>
      <c r="CV559" s="847"/>
      <c r="CW559" s="847"/>
      <c r="CX559" s="847"/>
      <c r="CY559" s="847"/>
      <c r="CZ559" s="847"/>
      <c r="DA559" s="847"/>
      <c r="DB559" s="847"/>
      <c r="DC559" s="847"/>
      <c r="DD559" s="847"/>
      <c r="DE559" s="847"/>
      <c r="DF559" s="847"/>
      <c r="DG559" s="847"/>
      <c r="DH559" s="847"/>
      <c r="DI559" s="847"/>
      <c r="DJ559" s="847"/>
      <c r="DK559" s="847"/>
      <c r="DL559" s="847"/>
      <c r="DM559" s="1212"/>
      <c r="DN559" s="1222" t="e">
        <f>'Lead &amp; ANALYSIS'!#REF!/'Lead &amp; ANALYSIS'!L134</f>
        <v>#REF!</v>
      </c>
      <c r="DO559" s="1013" t="e">
        <f t="shared" si="23"/>
        <v>#REF!</v>
      </c>
      <c r="DP559" s="847"/>
      <c r="DQ559" s="1013"/>
      <c r="DR559" s="847"/>
      <c r="DS559" s="1013"/>
      <c r="DT559" s="847"/>
      <c r="DU559" s="1214"/>
      <c r="DV559" s="1242"/>
      <c r="DW559" s="1232"/>
      <c r="DX559" s="1222"/>
      <c r="DY559" s="847"/>
      <c r="DZ559" s="847"/>
      <c r="EA559" s="847"/>
      <c r="EB559" s="847"/>
      <c r="EC559" s="847"/>
      <c r="ED559" s="847"/>
      <c r="EE559" s="847"/>
      <c r="EF559" s="847"/>
      <c r="EG559" s="1212"/>
      <c r="EH559" s="847"/>
      <c r="EI559" s="1212"/>
    </row>
    <row r="560" spans="1:139" s="733" customFormat="1" ht="13.5">
      <c r="A560" s="1009">
        <v>183</v>
      </c>
      <c r="B560" s="1212" t="s">
        <v>3144</v>
      </c>
      <c r="C560" s="1213">
        <v>0</v>
      </c>
      <c r="D560" s="1013" t="s">
        <v>1208</v>
      </c>
      <c r="E560" s="1238"/>
      <c r="F560" s="1013"/>
      <c r="G560" s="847"/>
      <c r="H560" s="1013"/>
      <c r="I560" s="847"/>
      <c r="J560" s="1013"/>
      <c r="K560" s="847"/>
      <c r="L560" s="1013"/>
      <c r="M560" s="847"/>
      <c r="N560" s="1013"/>
      <c r="O560" s="847"/>
      <c r="P560" s="1013"/>
      <c r="Q560" s="847"/>
      <c r="R560" s="847"/>
      <c r="S560" s="847"/>
      <c r="T560" s="847"/>
      <c r="U560" s="847"/>
      <c r="V560" s="847"/>
      <c r="W560" s="847"/>
      <c r="X560" s="847"/>
      <c r="Y560" s="847"/>
      <c r="Z560" s="847"/>
      <c r="AA560" s="847"/>
      <c r="AB560" s="847"/>
      <c r="AC560" s="847"/>
      <c r="AD560" s="847"/>
      <c r="AE560" s="847"/>
      <c r="AF560" s="847"/>
      <c r="AG560" s="847"/>
      <c r="AH560" s="847"/>
      <c r="AI560" s="847"/>
      <c r="AJ560" s="847"/>
      <c r="AK560" s="847"/>
      <c r="AL560" s="847"/>
      <c r="AM560" s="847"/>
      <c r="AN560" s="847"/>
      <c r="AO560" s="847"/>
      <c r="AP560" s="847"/>
      <c r="AQ560" s="847"/>
      <c r="AR560" s="847"/>
      <c r="AS560" s="847"/>
      <c r="AT560" s="847"/>
      <c r="AU560" s="847"/>
      <c r="AV560" s="847"/>
      <c r="AW560" s="847"/>
      <c r="AX560" s="847"/>
      <c r="AY560" s="847"/>
      <c r="AZ560" s="847"/>
      <c r="BA560" s="847"/>
      <c r="BB560" s="847"/>
      <c r="BC560" s="847"/>
      <c r="BD560" s="847"/>
      <c r="BE560" s="847"/>
      <c r="BF560" s="847"/>
      <c r="BG560" s="847"/>
      <c r="BH560" s="847"/>
      <c r="BI560" s="847"/>
      <c r="BJ560" s="847"/>
      <c r="BK560" s="847"/>
      <c r="BL560" s="847"/>
      <c r="BM560" s="847"/>
      <c r="BN560" s="847"/>
      <c r="BO560" s="847"/>
      <c r="BP560" s="847"/>
      <c r="BQ560" s="847"/>
      <c r="BR560" s="847"/>
      <c r="BS560" s="847"/>
      <c r="BT560" s="847"/>
      <c r="BU560" s="847"/>
      <c r="BV560" s="847"/>
      <c r="BW560" s="847"/>
      <c r="BX560" s="847"/>
      <c r="BY560" s="847"/>
      <c r="BZ560" s="847"/>
      <c r="CA560" s="847"/>
      <c r="CB560" s="847"/>
      <c r="CC560" s="847"/>
      <c r="CD560" s="847"/>
      <c r="CE560" s="847"/>
      <c r="CF560" s="847"/>
      <c r="CG560" s="847"/>
      <c r="CH560" s="847"/>
      <c r="CI560" s="847"/>
      <c r="CJ560" s="847"/>
      <c r="CK560" s="847"/>
      <c r="CL560" s="847"/>
      <c r="CM560" s="847"/>
      <c r="CN560" s="847"/>
      <c r="CO560" s="847"/>
      <c r="CP560" s="847"/>
      <c r="CQ560" s="847"/>
      <c r="CR560" s="847"/>
      <c r="CS560" s="847"/>
      <c r="CT560" s="847"/>
      <c r="CU560" s="847"/>
      <c r="CV560" s="847"/>
      <c r="CW560" s="847"/>
      <c r="CX560" s="847"/>
      <c r="CY560" s="847"/>
      <c r="CZ560" s="847"/>
      <c r="DA560" s="847"/>
      <c r="DB560" s="847"/>
      <c r="DC560" s="847"/>
      <c r="DD560" s="847"/>
      <c r="DE560" s="847"/>
      <c r="DF560" s="847"/>
      <c r="DG560" s="847"/>
      <c r="DH560" s="847"/>
      <c r="DI560" s="847"/>
      <c r="DJ560" s="847"/>
      <c r="DK560" s="847"/>
      <c r="DL560" s="847"/>
      <c r="DM560" s="1212"/>
      <c r="DN560" s="1222" t="e">
        <f>'Lead &amp; ANALYSIS'!#REF!/'Lead &amp; ANALYSIS'!L134</f>
        <v>#REF!</v>
      </c>
      <c r="DO560" s="1013" t="e">
        <f t="shared" si="23"/>
        <v>#REF!</v>
      </c>
      <c r="DP560" s="847"/>
      <c r="DQ560" s="1013"/>
      <c r="DR560" s="847"/>
      <c r="DS560" s="1013"/>
      <c r="DT560" s="847"/>
      <c r="DU560" s="1214"/>
      <c r="DV560" s="1242"/>
      <c r="DW560" s="1232"/>
      <c r="DX560" s="1222"/>
      <c r="DY560" s="847"/>
      <c r="DZ560" s="847"/>
      <c r="EA560" s="847"/>
      <c r="EB560" s="847"/>
      <c r="EC560" s="847"/>
      <c r="ED560" s="847"/>
      <c r="EE560" s="847"/>
      <c r="EF560" s="847"/>
      <c r="EG560" s="1212"/>
      <c r="EH560" s="847"/>
      <c r="EI560" s="1212"/>
    </row>
    <row r="561" spans="1:139" s="733" customFormat="1" ht="13.5">
      <c r="A561" s="1009"/>
      <c r="B561" s="1212"/>
      <c r="C561" s="3523" t="s">
        <v>1532</v>
      </c>
      <c r="D561" s="3524"/>
      <c r="E561" s="3525"/>
      <c r="F561" s="1250">
        <f>SUM(F10:F559)</f>
        <v>0</v>
      </c>
      <c r="G561" s="1251" t="s">
        <v>49</v>
      </c>
      <c r="H561" s="1250" t="e">
        <f>SUM(H10:H559)</f>
        <v>#REF!</v>
      </c>
      <c r="I561" s="1251" t="s">
        <v>49</v>
      </c>
      <c r="J561" s="1250">
        <f>SUM(J10:J559)</f>
        <v>0</v>
      </c>
      <c r="K561" s="1251" t="s">
        <v>262</v>
      </c>
      <c r="L561" s="1250" t="e">
        <f>SUM(L10:L559)</f>
        <v>#REF!</v>
      </c>
      <c r="M561" s="1251" t="s">
        <v>125</v>
      </c>
      <c r="N561" s="1250">
        <f>SUM(N10:N559)</f>
        <v>0</v>
      </c>
      <c r="O561" s="1251" t="s">
        <v>125</v>
      </c>
      <c r="P561" s="1250" t="e">
        <f>SUM(P10:P559)</f>
        <v>#REF!</v>
      </c>
      <c r="Q561" s="1250" t="e">
        <f>SUM(Q10:Q559)</f>
        <v>#REF!</v>
      </c>
      <c r="R561" s="1251" t="s">
        <v>49</v>
      </c>
      <c r="S561" s="1250" t="e">
        <f t="shared" ref="S561:X561" si="24">SUM(S10:S559)</f>
        <v>#REF!</v>
      </c>
      <c r="T561" s="1250" t="e">
        <f t="shared" si="24"/>
        <v>#REF!</v>
      </c>
      <c r="U561" s="1250">
        <f t="shared" si="24"/>
        <v>0</v>
      </c>
      <c r="V561" s="1250" t="e">
        <f t="shared" si="24"/>
        <v>#REF!</v>
      </c>
      <c r="W561" s="1250">
        <f t="shared" si="24"/>
        <v>0</v>
      </c>
      <c r="X561" s="1250">
        <f t="shared" si="24"/>
        <v>0</v>
      </c>
      <c r="Y561" s="1250"/>
      <c r="Z561" s="1250" t="e">
        <f>SUM(Z10:Z559)</f>
        <v>#REF!</v>
      </c>
      <c r="AA561" s="1250" t="e">
        <f>SUM(AA10:AA559)</f>
        <v>#REF!</v>
      </c>
      <c r="AB561" s="1250" t="e">
        <f>SUM(AB10:AB559)</f>
        <v>#REF!</v>
      </c>
      <c r="AC561" s="1250" t="s">
        <v>49</v>
      </c>
      <c r="AD561" s="1250">
        <f>SUM(AD10:AD559)</f>
        <v>0</v>
      </c>
      <c r="AE561" s="1250" t="s">
        <v>49</v>
      </c>
      <c r="AF561" s="1250">
        <f>SUM(AF10:AF559)</f>
        <v>0</v>
      </c>
      <c r="AG561" s="1250"/>
      <c r="AH561" s="1250" t="e">
        <f>SUM(AH10:AH559)</f>
        <v>#REF!</v>
      </c>
      <c r="AI561" s="1250"/>
      <c r="AJ561" s="1250" t="e">
        <f>SUM(AJ10:AJ559)</f>
        <v>#REF!</v>
      </c>
      <c r="AK561" s="1250"/>
      <c r="AL561" s="1250" t="e">
        <f>SUM(AL10:AL559)</f>
        <v>#REF!</v>
      </c>
      <c r="AM561" s="1250"/>
      <c r="AN561" s="1250">
        <f>SUM(AN10:AN559)</f>
        <v>0</v>
      </c>
      <c r="AO561" s="1250"/>
      <c r="AP561" s="1250" t="e">
        <f>SUM(AP10:AP559)</f>
        <v>#REF!</v>
      </c>
      <c r="AQ561" s="1250"/>
      <c r="AR561" s="1250">
        <f>SUM(AR10:AR559)</f>
        <v>0</v>
      </c>
      <c r="AS561" s="1250"/>
      <c r="AT561" s="1250">
        <f>SUM(AT10:AT559)</f>
        <v>0</v>
      </c>
      <c r="AU561" s="1250"/>
      <c r="AV561" s="1250">
        <f>SUM(AV10:AV559)</f>
        <v>0</v>
      </c>
      <c r="AW561" s="1250" t="s">
        <v>125</v>
      </c>
      <c r="AX561" s="1250">
        <f>SUM(AX10:AX559)</f>
        <v>0</v>
      </c>
      <c r="AY561" s="1250"/>
      <c r="AZ561" s="1250">
        <f>SUM(AZ10:AZ559)</f>
        <v>0</v>
      </c>
      <c r="BA561" s="1250"/>
      <c r="BB561" s="1250">
        <f>SUM(BB10:BB559)</f>
        <v>0</v>
      </c>
      <c r="BC561" s="1250"/>
      <c r="BD561" s="1250">
        <f>SUM(BD10:BD559)</f>
        <v>0</v>
      </c>
      <c r="BE561" s="1250"/>
      <c r="BF561" s="1250">
        <f>SUM(BF10:BF559)</f>
        <v>0</v>
      </c>
      <c r="BG561" s="1250"/>
      <c r="BH561" s="1250">
        <f>SUM(BH10:BH559)</f>
        <v>0</v>
      </c>
      <c r="BI561" s="1250"/>
      <c r="BJ561" s="1250">
        <f>SUM(BJ10:BJ559)</f>
        <v>0</v>
      </c>
      <c r="BK561" s="1250"/>
      <c r="BL561" s="1250">
        <f>SUM(BL10:BL559)</f>
        <v>0</v>
      </c>
      <c r="BM561" s="1250"/>
      <c r="BN561" s="1250">
        <f>SUM(BN10:BN559)</f>
        <v>0</v>
      </c>
      <c r="BO561" s="1250"/>
      <c r="BP561" s="1250">
        <f>SUM(BP10:BP559)</f>
        <v>0</v>
      </c>
      <c r="BQ561" s="1250"/>
      <c r="BR561" s="1250">
        <f>SUM(BR10:BR559)</f>
        <v>0</v>
      </c>
      <c r="BS561" s="1250"/>
      <c r="BT561" s="1250">
        <f>SUM(BT10:BT559)</f>
        <v>0</v>
      </c>
      <c r="BU561" s="1250"/>
      <c r="BV561" s="1250">
        <f>SUM(BV10:BV559)</f>
        <v>0</v>
      </c>
      <c r="BW561" s="1250"/>
      <c r="BX561" s="1250">
        <f>SUM(BX10:BX559)</f>
        <v>0</v>
      </c>
      <c r="BY561" s="1250"/>
      <c r="BZ561" s="1250">
        <f>SUM(BZ10:BZ559)</f>
        <v>0</v>
      </c>
      <c r="CA561" s="1250"/>
      <c r="CB561" s="1250">
        <f>SUM(CB10:CB559)</f>
        <v>0</v>
      </c>
      <c r="CC561" s="1250"/>
      <c r="CD561" s="1250">
        <f>SUM(CD10:CD559)</f>
        <v>0</v>
      </c>
      <c r="CE561" s="1250"/>
      <c r="CF561" s="1250">
        <f>SUM(CF10:CF559)</f>
        <v>0</v>
      </c>
      <c r="CG561" s="1250"/>
      <c r="CH561" s="1250">
        <f>SUM(CH10:CH559)</f>
        <v>0</v>
      </c>
      <c r="CI561" s="1250"/>
      <c r="CJ561" s="1250">
        <f>SUM(CJ10:CJ559)</f>
        <v>0</v>
      </c>
      <c r="CK561" s="1250"/>
      <c r="CL561" s="1250">
        <f>SUM(CL10:CL559)</f>
        <v>0</v>
      </c>
      <c r="CM561" s="1250"/>
      <c r="CN561" s="1250">
        <f>SUM(CN10:CN559)</f>
        <v>0</v>
      </c>
      <c r="CO561" s="1250"/>
      <c r="CP561" s="1250">
        <f>SUM(CP10:CP559)</f>
        <v>0</v>
      </c>
      <c r="CQ561" s="1250"/>
      <c r="CR561" s="1250">
        <f>SUM(CR10:CR559)</f>
        <v>0</v>
      </c>
      <c r="CS561" s="1250"/>
      <c r="CT561" s="1250">
        <f t="shared" ref="CT561:DG561" si="25">SUM(CT10:CT559)</f>
        <v>0</v>
      </c>
      <c r="CU561" s="1250">
        <f>SUM(CU10:CU559)</f>
        <v>0</v>
      </c>
      <c r="CV561" s="1250">
        <f t="shared" si="25"/>
        <v>0</v>
      </c>
      <c r="CW561" s="1250">
        <f t="shared" si="25"/>
        <v>0</v>
      </c>
      <c r="CX561" s="1250">
        <f t="shared" si="25"/>
        <v>0</v>
      </c>
      <c r="CY561" s="1250">
        <f t="shared" si="25"/>
        <v>0</v>
      </c>
      <c r="CZ561" s="1250">
        <f t="shared" si="25"/>
        <v>0</v>
      </c>
      <c r="DA561" s="1250">
        <f t="shared" si="25"/>
        <v>0</v>
      </c>
      <c r="DB561" s="1250">
        <f t="shared" si="25"/>
        <v>0</v>
      </c>
      <c r="DC561" s="1250">
        <f t="shared" si="25"/>
        <v>0</v>
      </c>
      <c r="DD561" s="1250">
        <f t="shared" si="25"/>
        <v>0</v>
      </c>
      <c r="DE561" s="1250">
        <f t="shared" si="25"/>
        <v>0</v>
      </c>
      <c r="DF561" s="1250">
        <f t="shared" si="25"/>
        <v>0</v>
      </c>
      <c r="DG561" s="1250">
        <f t="shared" si="25"/>
        <v>0</v>
      </c>
      <c r="DH561" s="1250"/>
      <c r="DI561" s="1250">
        <f>SUM(DI10:DI559)</f>
        <v>0</v>
      </c>
      <c r="DJ561" s="1250"/>
      <c r="DK561" s="1250">
        <f>SUM(DK10:DK559)</f>
        <v>0</v>
      </c>
      <c r="DL561" s="1250"/>
      <c r="DM561" s="1252">
        <f>SUM(DM10:DM559)</f>
        <v>0</v>
      </c>
      <c r="DN561" s="1222"/>
      <c r="DO561" s="1250" t="e">
        <f>SUM(DO10:DO560)</f>
        <v>#REF!</v>
      </c>
      <c r="DP561" s="847"/>
      <c r="DQ561" s="1250" t="e">
        <f>SUM(DQ10:DQ560)</f>
        <v>#REF!</v>
      </c>
      <c r="DR561" s="847"/>
      <c r="DS561" s="1250" t="e">
        <f>SUM(DS10:DS560)</f>
        <v>#REF!</v>
      </c>
      <c r="DT561" s="847"/>
      <c r="DU561" s="1250" t="e">
        <f>SUM(DU10:DU560)</f>
        <v>#REF!</v>
      </c>
      <c r="DV561" s="1242"/>
      <c r="DW561" s="1253"/>
      <c r="DX561" s="1222"/>
      <c r="DY561" s="847"/>
      <c r="DZ561" s="847"/>
      <c r="EA561" s="847"/>
      <c r="EB561" s="847"/>
      <c r="EC561" s="847"/>
      <c r="ED561" s="847"/>
      <c r="EE561" s="847"/>
      <c r="EF561" s="847"/>
      <c r="EG561" s="1212"/>
      <c r="EH561" s="847"/>
      <c r="EI561" s="1212"/>
    </row>
    <row r="562" spans="1:139" s="733" customFormat="1" ht="14.25" thickBot="1">
      <c r="A562" s="1254"/>
      <c r="B562" s="1255"/>
      <c r="C562" s="3526"/>
      <c r="D562" s="3527"/>
      <c r="E562" s="3528"/>
      <c r="F562" s="1256">
        <f>ROUND(F561,2)</f>
        <v>0</v>
      </c>
      <c r="G562" s="1257" t="s">
        <v>49</v>
      </c>
      <c r="H562" s="1256" t="e">
        <f>ROUND(H561,2)</f>
        <v>#REF!</v>
      </c>
      <c r="I562" s="1257" t="s">
        <v>49</v>
      </c>
      <c r="J562" s="1256">
        <f>ROUND(J561/350,2)</f>
        <v>0</v>
      </c>
      <c r="K562" s="1257" t="s">
        <v>49</v>
      </c>
      <c r="L562" s="1256" t="e">
        <f>ROUND(L561*2,0)</f>
        <v>#REF!</v>
      </c>
      <c r="M562" s="1257" t="s">
        <v>1534</v>
      </c>
      <c r="N562" s="1256">
        <f>ROUND(N561,2)</f>
        <v>0</v>
      </c>
      <c r="O562" s="1257" t="s">
        <v>125</v>
      </c>
      <c r="P562" s="1256" t="e">
        <f>ROUND(P561,2)</f>
        <v>#REF!</v>
      </c>
      <c r="Q562" s="1256" t="e">
        <f>ROUND(Q561,2)</f>
        <v>#REF!</v>
      </c>
      <c r="R562" s="1257" t="s">
        <v>49</v>
      </c>
      <c r="S562" s="1256" t="e">
        <f t="shared" ref="S562:X562" si="26">ROUND(S561,2)</f>
        <v>#REF!</v>
      </c>
      <c r="T562" s="1256" t="e">
        <f t="shared" si="26"/>
        <v>#REF!</v>
      </c>
      <c r="U562" s="1256">
        <f t="shared" si="26"/>
        <v>0</v>
      </c>
      <c r="V562" s="1256" t="e">
        <f t="shared" si="26"/>
        <v>#REF!</v>
      </c>
      <c r="W562" s="1256">
        <f t="shared" si="26"/>
        <v>0</v>
      </c>
      <c r="X562" s="1256">
        <f t="shared" si="26"/>
        <v>0</v>
      </c>
      <c r="Y562" s="1256"/>
      <c r="Z562" s="1256" t="e">
        <f>ROUND(Z561,2)</f>
        <v>#REF!</v>
      </c>
      <c r="AA562" s="1256" t="e">
        <f>ROUND(AA561,2)</f>
        <v>#REF!</v>
      </c>
      <c r="AB562" s="1256" t="e">
        <f>ROUND(AB561,2)</f>
        <v>#REF!</v>
      </c>
      <c r="AC562" s="1257" t="s">
        <v>49</v>
      </c>
      <c r="AD562" s="1256">
        <f>ROUND(AD561,2)</f>
        <v>0</v>
      </c>
      <c r="AE562" s="1256" t="s">
        <v>49</v>
      </c>
      <c r="AF562" s="1256">
        <f>ROUND(AF561,2)</f>
        <v>0</v>
      </c>
      <c r="AG562" s="1256"/>
      <c r="AH562" s="1256" t="e">
        <f>ROUND(AH561,2)</f>
        <v>#REF!</v>
      </c>
      <c r="AI562" s="1256"/>
      <c r="AJ562" s="1256" t="e">
        <f>ROUND(AJ561,2)</f>
        <v>#REF!</v>
      </c>
      <c r="AK562" s="1256"/>
      <c r="AL562" s="1256" t="e">
        <f>ROUND(AL561,2)</f>
        <v>#REF!</v>
      </c>
      <c r="AM562" s="1256"/>
      <c r="AN562" s="1256">
        <f>ROUND(AN561,2)</f>
        <v>0</v>
      </c>
      <c r="AO562" s="1256"/>
      <c r="AP562" s="1256" t="e">
        <f>ROUND(AP561,2)</f>
        <v>#REF!</v>
      </c>
      <c r="AQ562" s="1256"/>
      <c r="AR562" s="1256">
        <f>ROUND(AR561,2)</f>
        <v>0</v>
      </c>
      <c r="AS562" s="1256"/>
      <c r="AT562" s="1256">
        <f>ROUND(AT561,2)</f>
        <v>0</v>
      </c>
      <c r="AU562" s="1256"/>
      <c r="AV562" s="1256">
        <f>ROUND(AV561,2)</f>
        <v>0</v>
      </c>
      <c r="AW562" s="1256" t="str">
        <f>AW561</f>
        <v>Qntl</v>
      </c>
      <c r="AX562" s="1256">
        <f>ROUND(AX561,2)</f>
        <v>0</v>
      </c>
      <c r="AY562" s="1256"/>
      <c r="AZ562" s="1256">
        <f>ROUND(AZ561,2)</f>
        <v>0</v>
      </c>
      <c r="BA562" s="1256"/>
      <c r="BB562" s="1256">
        <f>ROUND(BB561,2)</f>
        <v>0</v>
      </c>
      <c r="BC562" s="1256"/>
      <c r="BD562" s="1256">
        <f>ROUND(BD561,2)</f>
        <v>0</v>
      </c>
      <c r="BE562" s="1257" t="s">
        <v>95</v>
      </c>
      <c r="BF562" s="1256">
        <f>ROUND(BF561,2)</f>
        <v>0</v>
      </c>
      <c r="BG562" s="1257" t="s">
        <v>95</v>
      </c>
      <c r="BH562" s="1256">
        <f>ROUND(BH561,2)</f>
        <v>0</v>
      </c>
      <c r="BI562" s="1257" t="s">
        <v>95</v>
      </c>
      <c r="BJ562" s="1256">
        <f>ROUND(BJ561,2)</f>
        <v>0</v>
      </c>
      <c r="BK562" s="1256" t="s">
        <v>116</v>
      </c>
      <c r="BL562" s="1256">
        <f>ROUND(BL561,2)</f>
        <v>0</v>
      </c>
      <c r="BM562" s="1256" t="s">
        <v>116</v>
      </c>
      <c r="BN562" s="1256">
        <f>ROUND(BN561,2)</f>
        <v>0</v>
      </c>
      <c r="BO562" s="1256" t="s">
        <v>95</v>
      </c>
      <c r="BP562" s="1256">
        <f>ROUND(BP561,2)</f>
        <v>0</v>
      </c>
      <c r="BQ562" s="1256" t="s">
        <v>95</v>
      </c>
      <c r="BR562" s="1256">
        <f>ROUND(BR561,2)</f>
        <v>0</v>
      </c>
      <c r="BS562" s="1256" t="s">
        <v>95</v>
      </c>
      <c r="BT562" s="1256">
        <f>ROUND(BT561,2)</f>
        <v>0</v>
      </c>
      <c r="BU562" s="1256" t="s">
        <v>95</v>
      </c>
      <c r="BV562" s="1256">
        <f>ROUND(BV561,2)</f>
        <v>0</v>
      </c>
      <c r="BW562" s="1256" t="s">
        <v>49</v>
      </c>
      <c r="BX562" s="1256">
        <f>ROUND(BX561,2)</f>
        <v>0</v>
      </c>
      <c r="BY562" s="1256" t="s">
        <v>49</v>
      </c>
      <c r="BZ562" s="1256">
        <f>ROUND(BZ561,2)</f>
        <v>0</v>
      </c>
      <c r="CA562" s="1256" t="s">
        <v>49</v>
      </c>
      <c r="CB562" s="1256">
        <f>ROUND(CB561,2)</f>
        <v>0</v>
      </c>
      <c r="CC562" s="1256" t="s">
        <v>49</v>
      </c>
      <c r="CD562" s="1256">
        <f>ROUND(CD561,2)</f>
        <v>0</v>
      </c>
      <c r="CE562" s="1256" t="s">
        <v>136</v>
      </c>
      <c r="CF562" s="1256">
        <f>ROUND(CF561,2)</f>
        <v>0</v>
      </c>
      <c r="CG562" s="1256" t="s">
        <v>136</v>
      </c>
      <c r="CH562" s="1256">
        <f>ROUND(CH561,2)</f>
        <v>0</v>
      </c>
      <c r="CI562" s="1256" t="s">
        <v>136</v>
      </c>
      <c r="CJ562" s="1256">
        <f>ROUND(CJ561,2)</f>
        <v>0</v>
      </c>
      <c r="CK562" s="1257" t="s">
        <v>136</v>
      </c>
      <c r="CL562" s="1256">
        <f>ROUND(CL561,2)</f>
        <v>0</v>
      </c>
      <c r="CM562" s="1256" t="s">
        <v>49</v>
      </c>
      <c r="CN562" s="1256">
        <f>ROUND(CN561,2)</f>
        <v>0</v>
      </c>
      <c r="CO562" s="1256" t="s">
        <v>49</v>
      </c>
      <c r="CP562" s="1256">
        <f>ROUND(CP561,2)</f>
        <v>0</v>
      </c>
      <c r="CQ562" s="1256" t="s">
        <v>49</v>
      </c>
      <c r="CR562" s="1256">
        <f>ROUND(CR561,2)</f>
        <v>0</v>
      </c>
      <c r="CS562" s="1256"/>
      <c r="CT562" s="1256">
        <f t="shared" ref="CT562:DG562" si="27">ROUND(CT561,0)</f>
        <v>0</v>
      </c>
      <c r="CU562" s="1256">
        <f>ROUND(CU561,0)</f>
        <v>0</v>
      </c>
      <c r="CV562" s="1256">
        <f t="shared" si="27"/>
        <v>0</v>
      </c>
      <c r="CW562" s="1256">
        <f t="shared" si="27"/>
        <v>0</v>
      </c>
      <c r="CX562" s="1256">
        <f t="shared" si="27"/>
        <v>0</v>
      </c>
      <c r="CY562" s="1256">
        <f t="shared" si="27"/>
        <v>0</v>
      </c>
      <c r="CZ562" s="1256">
        <f t="shared" si="27"/>
        <v>0</v>
      </c>
      <c r="DA562" s="1256">
        <f t="shared" si="27"/>
        <v>0</v>
      </c>
      <c r="DB562" s="1256">
        <f t="shared" si="27"/>
        <v>0</v>
      </c>
      <c r="DC562" s="1256">
        <f t="shared" si="27"/>
        <v>0</v>
      </c>
      <c r="DD562" s="1256">
        <f t="shared" si="27"/>
        <v>0</v>
      </c>
      <c r="DE562" s="1256">
        <f t="shared" si="27"/>
        <v>0</v>
      </c>
      <c r="DF562" s="1256">
        <f t="shared" si="27"/>
        <v>0</v>
      </c>
      <c r="DG562" s="1256">
        <f t="shared" si="27"/>
        <v>0</v>
      </c>
      <c r="DH562" s="1256"/>
      <c r="DI562" s="1256">
        <f>ROUND(DI561,0)</f>
        <v>0</v>
      </c>
      <c r="DJ562" s="1256"/>
      <c r="DK562" s="1256">
        <f>ROUND(DK561,0)</f>
        <v>0</v>
      </c>
      <c r="DL562" s="1256"/>
      <c r="DM562" s="1258">
        <f>ROUND(DM561,0)</f>
        <v>0</v>
      </c>
      <c r="DN562" s="1259" t="s">
        <v>136</v>
      </c>
      <c r="DO562" s="1256" t="e">
        <f>ROUND(DO561,0)</f>
        <v>#REF!</v>
      </c>
      <c r="DP562" s="1257" t="s">
        <v>262</v>
      </c>
      <c r="DQ562" s="1256" t="e">
        <f>ROUND(DQ561,0)</f>
        <v>#REF!</v>
      </c>
      <c r="DR562" s="1257" t="s">
        <v>262</v>
      </c>
      <c r="DS562" s="1256" t="e">
        <f>ROUND(DS561,0)</f>
        <v>#REF!</v>
      </c>
      <c r="DT562" s="1257" t="s">
        <v>262</v>
      </c>
      <c r="DU562" s="1256" t="e">
        <f>ROUND(DU561,0)</f>
        <v>#REF!</v>
      </c>
      <c r="DV562" s="1260"/>
      <c r="DW562" s="1261"/>
      <c r="DX562" s="1259"/>
      <c r="DY562" s="1256">
        <f>ROUND(DY561,0)</f>
        <v>0</v>
      </c>
      <c r="DZ562" s="1257" t="s">
        <v>747</v>
      </c>
      <c r="EA562" s="1256">
        <f>ROUND(EA561,0)</f>
        <v>0</v>
      </c>
      <c r="EB562" s="1257" t="s">
        <v>747</v>
      </c>
      <c r="EC562" s="1256">
        <f>ROUND(EC561,0)</f>
        <v>0</v>
      </c>
      <c r="ED562" s="1257" t="s">
        <v>747</v>
      </c>
      <c r="EE562" s="1256">
        <f>ROUND(EE561,0)</f>
        <v>0</v>
      </c>
      <c r="EF562" s="1257" t="s">
        <v>747</v>
      </c>
      <c r="EG562" s="1258">
        <f>ROUND(EG561,0)</f>
        <v>0</v>
      </c>
      <c r="EH562" s="1257" t="s">
        <v>747</v>
      </c>
      <c r="EI562" s="1258">
        <f>ROUND(EI561,0)</f>
        <v>0</v>
      </c>
    </row>
    <row r="563" spans="1:139" s="733" customFormat="1" ht="13.5">
      <c r="A563" s="986"/>
    </row>
    <row r="564" spans="1:139" s="733" customFormat="1" ht="13.5">
      <c r="A564" s="1262"/>
      <c r="C564" s="1101"/>
      <c r="D564" s="1101"/>
      <c r="H564" s="1101"/>
      <c r="J564" s="1101"/>
      <c r="L564" s="1101"/>
      <c r="M564" s="1101"/>
      <c r="N564" s="1101"/>
      <c r="T564" s="1101"/>
      <c r="U564" s="1101"/>
      <c r="V564" s="1101"/>
      <c r="W564" s="1101"/>
      <c r="X564" s="1101"/>
      <c r="Y564" s="1101"/>
      <c r="Z564" s="1101"/>
      <c r="AA564" s="1101"/>
      <c r="AB564" s="1101"/>
      <c r="AC564" s="1101"/>
      <c r="AD564" s="1101"/>
      <c r="AE564" s="1101"/>
      <c r="AF564" s="1101"/>
      <c r="AG564" s="1101"/>
      <c r="AH564" s="1101"/>
      <c r="AI564" s="1101"/>
      <c r="AJ564" s="1101"/>
      <c r="AK564" s="1101"/>
      <c r="AL564" s="1101"/>
      <c r="AM564" s="1101"/>
      <c r="AN564" s="1101"/>
      <c r="AO564" s="1101"/>
      <c r="AP564" s="1101"/>
      <c r="AQ564" s="1101"/>
      <c r="AR564" s="1101"/>
      <c r="AS564" s="1101"/>
      <c r="AT564" s="1101"/>
      <c r="AU564" s="1101"/>
      <c r="AV564" s="1101"/>
      <c r="AW564" s="1101"/>
      <c r="AX564" s="1101"/>
      <c r="AY564" s="1101"/>
      <c r="AZ564" s="1101"/>
      <c r="BA564" s="1101"/>
      <c r="BB564" s="1101"/>
      <c r="BC564" s="1101"/>
      <c r="BD564" s="1101"/>
      <c r="BE564" s="1101"/>
      <c r="BF564" s="1101"/>
      <c r="BG564" s="1101"/>
      <c r="BH564" s="1101"/>
      <c r="BI564" s="1101"/>
      <c r="BJ564" s="1101"/>
      <c r="BK564" s="1101"/>
      <c r="BL564" s="1101"/>
      <c r="BM564" s="1101"/>
      <c r="BN564" s="1101"/>
      <c r="BO564" s="1101"/>
      <c r="BP564" s="1101"/>
      <c r="BQ564" s="1101"/>
      <c r="BR564" s="1101"/>
      <c r="BS564" s="1101"/>
      <c r="BT564" s="1101"/>
      <c r="BU564" s="1101"/>
      <c r="BV564" s="1101"/>
      <c r="BW564" s="1101"/>
      <c r="BX564" s="1101"/>
      <c r="BY564" s="1101"/>
      <c r="BZ564" s="1101"/>
      <c r="CA564" s="1101"/>
      <c r="CB564" s="1101"/>
      <c r="CC564" s="1101"/>
      <c r="CD564" s="1101"/>
      <c r="CE564" s="1101"/>
      <c r="CF564" s="1101"/>
      <c r="CG564" s="1101"/>
      <c r="CH564" s="1101"/>
      <c r="CI564" s="1101"/>
      <c r="CJ564" s="1101"/>
      <c r="CK564" s="1101"/>
      <c r="CL564" s="1101"/>
      <c r="CM564" s="1101"/>
      <c r="CN564" s="1101"/>
      <c r="CO564" s="1101"/>
      <c r="CP564" s="1101"/>
      <c r="CQ564" s="1101"/>
      <c r="CR564" s="1101"/>
      <c r="CS564" s="1101"/>
      <c r="CT564" s="1101"/>
      <c r="CU564" s="1101"/>
      <c r="CV564" s="1101"/>
      <c r="CW564" s="1101"/>
      <c r="CX564" s="1101"/>
      <c r="CY564" s="1101"/>
      <c r="CZ564" s="1101"/>
      <c r="DA564" s="1101"/>
      <c r="DB564" s="1101"/>
      <c r="DC564" s="1101"/>
      <c r="DD564" s="1101"/>
      <c r="DE564" s="1101"/>
      <c r="DF564" s="1101"/>
      <c r="DG564" s="1101"/>
      <c r="DH564" s="1101"/>
      <c r="DI564" s="1101"/>
      <c r="DJ564" s="1101"/>
      <c r="DK564" s="1101"/>
      <c r="DL564" s="1101"/>
      <c r="DM564" s="1101"/>
    </row>
    <row r="565" spans="1:139" s="733" customFormat="1" ht="13.5">
      <c r="A565" s="1262"/>
      <c r="C565" s="1101"/>
      <c r="D565" s="1101"/>
      <c r="H565" s="1101"/>
      <c r="J565" s="1101"/>
      <c r="L565" s="1101"/>
      <c r="M565" s="1101"/>
      <c r="N565" s="1101"/>
      <c r="T565" s="1101"/>
      <c r="U565" s="1101"/>
      <c r="V565" s="1101"/>
      <c r="W565" s="1101"/>
      <c r="X565" s="1101"/>
      <c r="Y565" s="1101"/>
      <c r="Z565" s="1101"/>
      <c r="AA565" s="1101"/>
      <c r="AB565" s="1101"/>
      <c r="AC565" s="1101"/>
      <c r="AD565" s="1101"/>
      <c r="AE565" s="1101"/>
      <c r="AF565" s="1101"/>
      <c r="AG565" s="1101"/>
      <c r="AH565" s="1101"/>
      <c r="AI565" s="1101"/>
      <c r="AJ565" s="1101"/>
      <c r="AK565" s="1101"/>
      <c r="AL565" s="1101"/>
      <c r="AM565" s="1101"/>
      <c r="AN565" s="1101"/>
      <c r="AO565" s="1101"/>
      <c r="AP565" s="1101"/>
      <c r="AQ565" s="1101"/>
      <c r="AR565" s="1101"/>
      <c r="AS565" s="1101"/>
      <c r="AT565" s="1101"/>
      <c r="AU565" s="1101"/>
      <c r="AV565" s="1101"/>
      <c r="AW565" s="1101"/>
      <c r="AX565" s="1101"/>
      <c r="AY565" s="1101"/>
      <c r="AZ565" s="1101"/>
      <c r="BA565" s="1101"/>
      <c r="BB565" s="1101"/>
      <c r="BC565" s="1101"/>
      <c r="BD565" s="1101"/>
      <c r="BE565" s="1101"/>
      <c r="BF565" s="1101"/>
      <c r="BG565" s="1101"/>
      <c r="BH565" s="1101"/>
      <c r="BI565" s="1101"/>
      <c r="BJ565" s="1101"/>
      <c r="BK565" s="1101"/>
      <c r="BL565" s="1101"/>
      <c r="BM565" s="1101"/>
      <c r="BN565" s="1101"/>
      <c r="BO565" s="1101"/>
      <c r="BP565" s="1101"/>
      <c r="BQ565" s="1101"/>
      <c r="BR565" s="1101"/>
      <c r="BS565" s="1101"/>
      <c r="BT565" s="1101"/>
      <c r="BU565" s="1101"/>
      <c r="BV565" s="1101"/>
      <c r="BW565" s="1101"/>
      <c r="BX565" s="1101"/>
      <c r="BY565" s="1101"/>
      <c r="BZ565" s="1101"/>
      <c r="CA565" s="1101"/>
      <c r="CB565" s="1101"/>
      <c r="CC565" s="1101"/>
      <c r="CD565" s="1101"/>
      <c r="CE565" s="1101"/>
      <c r="CF565" s="1101"/>
      <c r="CG565" s="1101"/>
      <c r="CH565" s="1101"/>
      <c r="CI565" s="1101"/>
      <c r="CJ565" s="1101"/>
      <c r="CK565" s="1101"/>
      <c r="CL565" s="1101"/>
      <c r="CM565" s="1101"/>
      <c r="CN565" s="1101"/>
      <c r="CO565" s="1101"/>
      <c r="CP565" s="1101"/>
      <c r="CQ565" s="1101"/>
      <c r="CR565" s="1101"/>
      <c r="CS565" s="1101"/>
      <c r="CT565" s="1101"/>
      <c r="CU565" s="1101"/>
      <c r="CV565" s="1101"/>
      <c r="CW565" s="1101"/>
      <c r="CX565" s="1101"/>
      <c r="CY565" s="1101"/>
      <c r="CZ565" s="1101"/>
      <c r="DA565" s="1101"/>
      <c r="DB565" s="1101"/>
      <c r="DC565" s="1101"/>
      <c r="DD565" s="1101"/>
      <c r="DE565" s="1101"/>
      <c r="DF565" s="1101"/>
      <c r="DG565" s="1101"/>
      <c r="DH565" s="1101"/>
      <c r="DI565" s="1101"/>
      <c r="DJ565" s="1101"/>
      <c r="DK565" s="1101"/>
      <c r="DL565" s="1101"/>
      <c r="DM565" s="1101"/>
    </row>
    <row r="566" spans="1:139" s="733" customFormat="1" ht="13.5">
      <c r="A566" s="986"/>
      <c r="C566" s="1101"/>
      <c r="D566" s="1101"/>
      <c r="H566" s="1101"/>
      <c r="J566" s="1101"/>
      <c r="L566" s="1101"/>
      <c r="M566" s="1101"/>
      <c r="N566" s="1101"/>
      <c r="T566" s="1101"/>
      <c r="U566" s="1101"/>
      <c r="V566" s="1101"/>
      <c r="W566" s="1101"/>
      <c r="X566" s="1101"/>
      <c r="Y566" s="1101"/>
      <c r="Z566" s="1101"/>
      <c r="AA566" s="1101"/>
      <c r="AB566" s="1101"/>
      <c r="AC566" s="1101"/>
      <c r="AD566" s="1101"/>
      <c r="AE566" s="1101"/>
      <c r="AF566" s="1101"/>
      <c r="AG566" s="1101"/>
      <c r="AH566" s="1101"/>
      <c r="AI566" s="1101"/>
      <c r="AJ566" s="1101"/>
      <c r="AK566" s="1101"/>
      <c r="AL566" s="1101"/>
      <c r="AM566" s="1101"/>
      <c r="AN566" s="1101"/>
      <c r="AO566" s="1101"/>
      <c r="AP566" s="1101"/>
      <c r="AQ566" s="1101"/>
      <c r="AR566" s="1101"/>
      <c r="AS566" s="1101"/>
      <c r="AT566" s="1101"/>
      <c r="AU566" s="1101"/>
      <c r="AV566" s="1101"/>
      <c r="AW566" s="1101"/>
      <c r="AX566" s="1101"/>
      <c r="AY566" s="1101"/>
      <c r="AZ566" s="1101"/>
      <c r="BA566" s="1101"/>
      <c r="BB566" s="1101"/>
      <c r="BC566" s="1101"/>
      <c r="BD566" s="1101"/>
      <c r="BE566" s="1101"/>
      <c r="BF566" s="1101"/>
      <c r="BG566" s="1101"/>
      <c r="BH566" s="1101"/>
      <c r="BI566" s="1101"/>
      <c r="BJ566" s="1101"/>
      <c r="BK566" s="1101"/>
      <c r="BL566" s="1101"/>
      <c r="BM566" s="1101"/>
      <c r="BN566" s="1101"/>
      <c r="BO566" s="1101"/>
      <c r="BP566" s="1101"/>
      <c r="BQ566" s="1101"/>
      <c r="BR566" s="1101"/>
      <c r="BS566" s="1101"/>
      <c r="BT566" s="1101"/>
      <c r="BU566" s="1101"/>
      <c r="BV566" s="1101"/>
      <c r="BW566" s="1101"/>
      <c r="BX566" s="1101"/>
      <c r="BY566" s="1101"/>
      <c r="BZ566" s="1101"/>
      <c r="CA566" s="1101"/>
      <c r="CB566" s="1101"/>
      <c r="CC566" s="1101"/>
      <c r="CD566" s="1101"/>
      <c r="CE566" s="1101"/>
      <c r="CF566" s="1101"/>
      <c r="CG566" s="1101"/>
      <c r="CH566" s="1101"/>
      <c r="CI566" s="1101"/>
      <c r="CJ566" s="1101"/>
      <c r="CK566" s="1101"/>
      <c r="CL566" s="1101"/>
      <c r="CM566" s="1101"/>
      <c r="CN566" s="1101"/>
      <c r="CO566" s="1101"/>
      <c r="CP566" s="1101"/>
      <c r="CQ566" s="1101"/>
      <c r="CR566" s="1101"/>
      <c r="CS566" s="1101"/>
      <c r="CT566" s="1101"/>
      <c r="CU566" s="1101"/>
      <c r="CV566" s="1101"/>
      <c r="CW566" s="1101"/>
      <c r="CX566" s="1101"/>
      <c r="CY566" s="1101"/>
      <c r="CZ566" s="1101"/>
      <c r="DA566" s="1101"/>
      <c r="DB566" s="1101"/>
      <c r="DC566" s="1101"/>
      <c r="DD566" s="1101"/>
      <c r="DE566" s="1101"/>
      <c r="DF566" s="1101"/>
      <c r="DG566" s="1101"/>
      <c r="DH566" s="1101"/>
      <c r="DI566" s="1101"/>
      <c r="DJ566" s="1101"/>
      <c r="DK566" s="1101"/>
      <c r="DL566" s="1101"/>
      <c r="DM566" s="1101"/>
    </row>
    <row r="567" spans="1:139" s="733" customFormat="1" ht="13.5">
      <c r="A567" s="1262"/>
      <c r="C567" s="1101"/>
      <c r="D567" s="1101"/>
      <c r="H567" s="1101"/>
      <c r="J567" s="1101"/>
      <c r="L567" s="1101"/>
      <c r="M567" s="1101"/>
      <c r="N567" s="1101"/>
      <c r="T567" s="1101"/>
      <c r="U567" s="1101"/>
      <c r="V567" s="1101"/>
      <c r="W567" s="1101"/>
      <c r="X567" s="1101"/>
      <c r="Y567" s="1101"/>
      <c r="Z567" s="1101"/>
      <c r="AA567" s="1101"/>
      <c r="AB567" s="1101"/>
      <c r="AC567" s="1101"/>
      <c r="AD567" s="1101"/>
      <c r="AE567" s="1101"/>
      <c r="AF567" s="1101"/>
      <c r="AG567" s="1101"/>
      <c r="AH567" s="1101"/>
      <c r="AI567" s="1101"/>
      <c r="AJ567" s="1101"/>
      <c r="AK567" s="1101"/>
      <c r="AL567" s="1101"/>
      <c r="AM567" s="1101"/>
      <c r="AN567" s="1101"/>
      <c r="AO567" s="1101"/>
      <c r="AP567" s="1101"/>
      <c r="AQ567" s="1101"/>
      <c r="AR567" s="1101"/>
      <c r="AS567" s="1101"/>
      <c r="AT567" s="1101"/>
      <c r="AU567" s="1101"/>
      <c r="AV567" s="1101"/>
      <c r="AW567" s="1101"/>
      <c r="AX567" s="1101"/>
      <c r="AY567" s="1101"/>
      <c r="AZ567" s="1101"/>
      <c r="BA567" s="1101"/>
      <c r="BB567" s="1101"/>
      <c r="BC567" s="1101"/>
      <c r="BD567" s="1101"/>
      <c r="BE567" s="1101"/>
      <c r="BF567" s="1101"/>
      <c r="BG567" s="1101"/>
      <c r="BH567" s="1101"/>
      <c r="BI567" s="1101"/>
      <c r="BJ567" s="1101"/>
      <c r="BK567" s="1101"/>
      <c r="BL567" s="1101"/>
      <c r="BM567" s="1101"/>
      <c r="BN567" s="1101"/>
      <c r="BO567" s="1101"/>
      <c r="BP567" s="1101"/>
      <c r="BQ567" s="1101"/>
      <c r="BR567" s="1101"/>
      <c r="BS567" s="1101"/>
      <c r="BT567" s="1101"/>
      <c r="BU567" s="1101"/>
      <c r="BV567" s="1101"/>
      <c r="BW567" s="1101"/>
      <c r="BX567" s="1101"/>
      <c r="BY567" s="1101"/>
      <c r="BZ567" s="1101"/>
      <c r="CA567" s="1101"/>
      <c r="CB567" s="1101"/>
      <c r="CC567" s="1101"/>
      <c r="CD567" s="1101"/>
      <c r="CE567" s="1101"/>
      <c r="CF567" s="1101"/>
      <c r="CG567" s="1101"/>
      <c r="CH567" s="1101"/>
      <c r="CI567" s="1101"/>
      <c r="CJ567" s="1101"/>
      <c r="CK567" s="1101"/>
      <c r="CL567" s="1101"/>
      <c r="CM567" s="1101"/>
      <c r="CN567" s="1101"/>
      <c r="CO567" s="1101"/>
      <c r="CP567" s="1101"/>
      <c r="CQ567" s="1101"/>
      <c r="CR567" s="1101"/>
      <c r="CS567" s="1101"/>
      <c r="CT567" s="1101"/>
      <c r="CU567" s="1101"/>
      <c r="CV567" s="1101"/>
      <c r="CW567" s="1101"/>
      <c r="CX567" s="1101"/>
      <c r="CY567" s="1101"/>
      <c r="CZ567" s="1101"/>
      <c r="DA567" s="1101"/>
      <c r="DB567" s="1101"/>
      <c r="DC567" s="1101"/>
      <c r="DD567" s="1101"/>
      <c r="DE567" s="1101"/>
      <c r="DF567" s="1101"/>
      <c r="DG567" s="1101"/>
      <c r="DH567" s="1101"/>
      <c r="DI567" s="1101"/>
      <c r="DJ567" s="1101"/>
      <c r="DK567" s="1101"/>
      <c r="DL567" s="1101"/>
      <c r="DM567" s="1101"/>
    </row>
    <row r="568" spans="1:139" s="733" customFormat="1" ht="13.5">
      <c r="A568" s="1262"/>
      <c r="C568" s="1101"/>
      <c r="D568" s="1101"/>
      <c r="H568" s="1101"/>
      <c r="J568" s="1101"/>
      <c r="L568" s="1101"/>
      <c r="M568" s="1101"/>
      <c r="N568" s="1101"/>
      <c r="T568" s="1101"/>
      <c r="U568" s="1101"/>
      <c r="V568" s="1101"/>
      <c r="W568" s="1101"/>
      <c r="X568" s="1101"/>
      <c r="Y568" s="1101"/>
      <c r="Z568" s="1101"/>
      <c r="AA568" s="1101"/>
      <c r="AB568" s="1101"/>
      <c r="AC568" s="1101"/>
      <c r="AD568" s="1101"/>
      <c r="AE568" s="1101"/>
      <c r="AF568" s="1101"/>
      <c r="AG568" s="1101"/>
      <c r="AH568" s="1101"/>
      <c r="AI568" s="1101"/>
      <c r="AJ568" s="1101"/>
      <c r="AK568" s="1101"/>
      <c r="AL568" s="1101"/>
      <c r="AM568" s="1101"/>
      <c r="AN568" s="1101"/>
      <c r="AO568" s="1101"/>
      <c r="AP568" s="1101"/>
      <c r="AQ568" s="1101"/>
      <c r="AR568" s="1101"/>
      <c r="AS568" s="1101"/>
      <c r="AT568" s="1101"/>
      <c r="AU568" s="1101"/>
      <c r="AV568" s="1101"/>
      <c r="AW568" s="1101"/>
      <c r="AX568" s="1101"/>
      <c r="AY568" s="1101"/>
      <c r="AZ568" s="1101"/>
      <c r="BA568" s="1101"/>
      <c r="BB568" s="1101"/>
      <c r="BC568" s="1101"/>
      <c r="BD568" s="1101"/>
      <c r="BE568" s="1101"/>
      <c r="BF568" s="1101"/>
      <c r="BG568" s="1101"/>
      <c r="BH568" s="1101"/>
      <c r="BI568" s="1101"/>
      <c r="BJ568" s="1101"/>
      <c r="BK568" s="1101"/>
      <c r="BL568" s="1101"/>
      <c r="BM568" s="1101"/>
      <c r="BN568" s="1101"/>
      <c r="BO568" s="1101"/>
      <c r="BP568" s="1101"/>
      <c r="BQ568" s="1101"/>
      <c r="BR568" s="1101"/>
      <c r="BS568" s="1101"/>
      <c r="BT568" s="1101"/>
      <c r="BU568" s="1101"/>
      <c r="BV568" s="1101"/>
      <c r="BW568" s="1101"/>
      <c r="BX568" s="1101"/>
      <c r="BY568" s="1101"/>
      <c r="BZ568" s="1101"/>
      <c r="CA568" s="1101"/>
      <c r="CB568" s="1101"/>
      <c r="CC568" s="1101"/>
      <c r="CD568" s="1101"/>
      <c r="CE568" s="1101"/>
      <c r="CF568" s="1101"/>
      <c r="CG568" s="1101"/>
      <c r="CH568" s="1101"/>
      <c r="CI568" s="1101"/>
      <c r="CJ568" s="1101"/>
      <c r="CK568" s="1101"/>
      <c r="CL568" s="1101"/>
      <c r="CM568" s="1101"/>
      <c r="CN568" s="1101"/>
      <c r="CO568" s="1101"/>
      <c r="CP568" s="1101"/>
      <c r="CQ568" s="1101"/>
      <c r="CR568" s="1101"/>
      <c r="CS568" s="1101"/>
      <c r="CT568" s="1101"/>
      <c r="CU568" s="1101"/>
      <c r="CV568" s="1101"/>
      <c r="CW568" s="1101"/>
      <c r="CX568" s="1101"/>
      <c r="CY568" s="1101"/>
      <c r="CZ568" s="1101"/>
      <c r="DA568" s="1101"/>
      <c r="DB568" s="1101"/>
      <c r="DC568" s="1101"/>
      <c r="DD568" s="1101"/>
      <c r="DE568" s="1101"/>
      <c r="DF568" s="1101"/>
      <c r="DG568" s="1101"/>
      <c r="DH568" s="1101"/>
      <c r="DI568" s="1101"/>
      <c r="DJ568" s="1101"/>
      <c r="DK568" s="1101"/>
      <c r="DL568" s="1101"/>
      <c r="DM568" s="1101"/>
    </row>
    <row r="569" spans="1:139" s="842" customFormat="1" ht="13.5">
      <c r="A569" s="1262"/>
      <c r="B569" s="986" t="str">
        <f>'Lead &amp; ANALYSIS'!B144:C144</f>
        <v>Junior Engineer</v>
      </c>
      <c r="C569" s="1016"/>
      <c r="D569" s="1016"/>
      <c r="H569" s="986" t="str">
        <f>'Lead &amp; ANALYSIS'!G144</f>
        <v>Assistant Executive Engineer</v>
      </c>
      <c r="J569" s="1016"/>
      <c r="L569" s="1016"/>
      <c r="M569" s="1016"/>
      <c r="N569" s="1016"/>
      <c r="T569" s="1016"/>
      <c r="U569" s="1016"/>
      <c r="V569" s="1016"/>
      <c r="W569" s="1016"/>
      <c r="X569" s="1016"/>
      <c r="Y569" s="1016"/>
      <c r="Z569" s="1016"/>
      <c r="AA569" s="1016"/>
      <c r="AB569" s="1016"/>
      <c r="AC569" s="1016"/>
      <c r="AD569" s="1016"/>
      <c r="AE569" s="1016"/>
      <c r="AF569" s="1016"/>
      <c r="AG569" s="1016"/>
      <c r="AH569" s="1016"/>
      <c r="AI569" s="1016"/>
      <c r="AJ569" s="1016"/>
      <c r="AK569" s="1016"/>
      <c r="AL569" s="1016"/>
      <c r="AM569" s="1016"/>
      <c r="AN569" s="1016"/>
      <c r="AO569" s="1016"/>
      <c r="AP569" s="1016"/>
      <c r="AQ569" s="1016"/>
      <c r="AR569" s="1016"/>
      <c r="AS569" s="1016"/>
      <c r="AT569" s="1016"/>
      <c r="AU569" s="1016"/>
      <c r="AV569" s="1016"/>
      <c r="AW569" s="1016"/>
      <c r="AX569" s="1016"/>
      <c r="AY569" s="1016"/>
      <c r="AZ569" s="1016"/>
      <c r="BA569" s="1016"/>
      <c r="BB569" s="1016"/>
      <c r="BC569" s="1016"/>
      <c r="BD569" s="1016"/>
      <c r="BE569" s="1016"/>
      <c r="BF569" s="1016"/>
      <c r="BG569" s="1016"/>
      <c r="BH569" s="1016"/>
      <c r="BI569" s="1016"/>
      <c r="BJ569" s="1016"/>
      <c r="BK569" s="1016"/>
      <c r="BL569" s="1016"/>
      <c r="BM569" s="1016"/>
      <c r="BN569" s="1016"/>
      <c r="BO569" s="1016"/>
      <c r="BP569" s="1016"/>
      <c r="BQ569" s="1016"/>
      <c r="BR569" s="1016"/>
      <c r="BS569" s="1016"/>
      <c r="BT569" s="1016"/>
      <c r="BU569" s="1016"/>
      <c r="BV569" s="1016"/>
      <c r="BW569" s="1016"/>
      <c r="BX569" s="1016"/>
      <c r="BY569" s="1016"/>
      <c r="BZ569" s="1016"/>
      <c r="CA569" s="1016"/>
      <c r="CB569" s="1016"/>
      <c r="CC569" s="1016"/>
      <c r="CD569" s="1016"/>
      <c r="CE569" s="1016"/>
      <c r="CF569" s="1016"/>
      <c r="CG569" s="1016"/>
      <c r="CH569" s="1016"/>
      <c r="CI569" s="1016"/>
      <c r="CJ569" s="1016"/>
      <c r="CK569" s="1016"/>
      <c r="CL569" s="1016"/>
      <c r="CM569" s="1016"/>
      <c r="CN569" s="1016"/>
      <c r="CO569" s="1016"/>
      <c r="CP569" s="1016"/>
      <c r="CQ569" s="1016"/>
      <c r="CR569" s="1016"/>
      <c r="CS569" s="1016"/>
      <c r="CT569" s="1016"/>
      <c r="CU569" s="1016"/>
      <c r="CV569" s="1016"/>
      <c r="CW569" s="1016"/>
      <c r="CX569" s="1016"/>
      <c r="CY569" s="1016"/>
      <c r="CZ569" s="1016"/>
      <c r="DA569" s="1016"/>
      <c r="DB569" s="1016"/>
      <c r="DC569" s="1016"/>
      <c r="DD569" s="1016"/>
      <c r="DE569" s="1016"/>
      <c r="DF569" s="1016"/>
      <c r="DG569" s="1016"/>
      <c r="DH569" s="1016"/>
      <c r="DI569" s="1016"/>
      <c r="DJ569" s="1016"/>
      <c r="DK569" s="1016"/>
      <c r="DL569" s="1016"/>
      <c r="DM569" s="1016"/>
      <c r="DO569" s="986" t="str">
        <f>'Lead &amp; ANALYSIS'!L144</f>
        <v>Block Development Officer</v>
      </c>
    </row>
    <row r="570" spans="1:139" s="842" customFormat="1" ht="13.5">
      <c r="A570" s="1262"/>
      <c r="B570" s="986" t="str">
        <f>'Lead &amp; ANALYSIS'!B145:C145</f>
        <v>Bhuban  Block</v>
      </c>
      <c r="C570" s="1016"/>
      <c r="D570" s="1016"/>
      <c r="H570" s="986" t="str">
        <f>'Lead &amp; ANALYSIS'!G145</f>
        <v>Bhuban  Block</v>
      </c>
      <c r="J570" s="1016"/>
      <c r="L570" s="1016"/>
      <c r="M570" s="1016"/>
      <c r="N570" s="1016"/>
      <c r="T570" s="1016"/>
      <c r="U570" s="1016"/>
      <c r="V570" s="1016"/>
      <c r="W570" s="1016"/>
      <c r="X570" s="1016"/>
      <c r="Y570" s="1016"/>
      <c r="Z570" s="1016"/>
      <c r="AA570" s="1016"/>
      <c r="AB570" s="1016"/>
      <c r="AC570" s="1016"/>
      <c r="AD570" s="1016"/>
      <c r="AE570" s="1016"/>
      <c r="AF570" s="1016"/>
      <c r="AG570" s="1016"/>
      <c r="AH570" s="1016"/>
      <c r="AI570" s="1016"/>
      <c r="AJ570" s="1016"/>
      <c r="AK570" s="1016"/>
      <c r="AL570" s="1016"/>
      <c r="AM570" s="1016"/>
      <c r="AN570" s="1016"/>
      <c r="AO570" s="1016"/>
      <c r="AP570" s="1016"/>
      <c r="AQ570" s="1016"/>
      <c r="AR570" s="1016"/>
      <c r="AS570" s="1016"/>
      <c r="AT570" s="1016"/>
      <c r="AU570" s="1016"/>
      <c r="AV570" s="1016"/>
      <c r="AW570" s="1016"/>
      <c r="AX570" s="1016"/>
      <c r="AY570" s="1016"/>
      <c r="AZ570" s="1016"/>
      <c r="BA570" s="1016"/>
      <c r="BB570" s="1016"/>
      <c r="BC570" s="1016"/>
      <c r="BD570" s="1016"/>
      <c r="BE570" s="1016"/>
      <c r="BF570" s="1016"/>
      <c r="BG570" s="1016"/>
      <c r="BH570" s="1016"/>
      <c r="BI570" s="1016"/>
      <c r="BJ570" s="1016"/>
      <c r="BK570" s="1016"/>
      <c r="BL570" s="1016"/>
      <c r="BM570" s="1016"/>
      <c r="BN570" s="1016"/>
      <c r="BO570" s="1016"/>
      <c r="BP570" s="1016"/>
      <c r="BQ570" s="1016"/>
      <c r="BR570" s="1016"/>
      <c r="BS570" s="1016"/>
      <c r="BT570" s="1016"/>
      <c r="BU570" s="1016"/>
      <c r="BV570" s="1016"/>
      <c r="BW570" s="1016"/>
      <c r="BX570" s="1016"/>
      <c r="BY570" s="1016"/>
      <c r="BZ570" s="1016"/>
      <c r="CA570" s="1016"/>
      <c r="CB570" s="1016"/>
      <c r="CC570" s="1016"/>
      <c r="CD570" s="1016"/>
      <c r="CE570" s="1016"/>
      <c r="CF570" s="1016"/>
      <c r="CG570" s="1016"/>
      <c r="CH570" s="1016"/>
      <c r="CI570" s="1016"/>
      <c r="CJ570" s="1016"/>
      <c r="CK570" s="1016"/>
      <c r="CL570" s="1016"/>
      <c r="CM570" s="1016"/>
      <c r="CN570" s="1016"/>
      <c r="CO570" s="1016"/>
      <c r="CP570" s="1016"/>
      <c r="CQ570" s="1016"/>
      <c r="CR570" s="1016"/>
      <c r="CS570" s="1016"/>
      <c r="CT570" s="1016"/>
      <c r="CU570" s="1016"/>
      <c r="CV570" s="1016"/>
      <c r="CW570" s="1016"/>
      <c r="CX570" s="1016"/>
      <c r="CY570" s="1016"/>
      <c r="CZ570" s="1016"/>
      <c r="DA570" s="1016"/>
      <c r="DB570" s="1016"/>
      <c r="DC570" s="1016"/>
      <c r="DD570" s="1016"/>
      <c r="DE570" s="1016"/>
      <c r="DF570" s="1016"/>
      <c r="DG570" s="1016"/>
      <c r="DH570" s="1016"/>
      <c r="DI570" s="1016"/>
      <c r="DJ570" s="1016"/>
      <c r="DK570" s="1016"/>
      <c r="DL570" s="1016"/>
      <c r="DM570" s="1016"/>
      <c r="DO570" s="986" t="str">
        <f>'Lead &amp; ANALYSIS'!L145</f>
        <v>Bhuban</v>
      </c>
    </row>
    <row r="571" spans="1:139">
      <c r="A571" s="1198"/>
      <c r="C571" s="1196"/>
      <c r="D571" s="1196"/>
      <c r="H571" s="1196"/>
      <c r="J571" s="1196"/>
      <c r="L571" s="1196"/>
      <c r="M571" s="1196"/>
      <c r="N571" s="1196"/>
      <c r="T571" s="1196"/>
      <c r="U571" s="1196"/>
      <c r="V571" s="1196"/>
      <c r="W571" s="1196"/>
      <c r="X571" s="1196"/>
      <c r="Y571" s="1196"/>
      <c r="Z571" s="1196"/>
      <c r="AA571" s="1196"/>
      <c r="AB571" s="1196"/>
      <c r="AC571" s="1196"/>
      <c r="AD571" s="1196"/>
      <c r="AE571" s="1196"/>
      <c r="AF571" s="1196"/>
      <c r="AG571" s="1196"/>
      <c r="AH571" s="1196"/>
      <c r="AI571" s="1196"/>
      <c r="AJ571" s="1196"/>
      <c r="AK571" s="1196"/>
      <c r="AL571" s="1196"/>
      <c r="AM571" s="1196"/>
      <c r="AN571" s="1196"/>
      <c r="AO571" s="1196"/>
      <c r="AP571" s="1196"/>
      <c r="AQ571" s="1196"/>
      <c r="AR571" s="1196"/>
      <c r="AS571" s="1196"/>
      <c r="AT571" s="1196"/>
      <c r="AU571" s="1196"/>
      <c r="AV571" s="1196"/>
      <c r="AW571" s="1196"/>
      <c r="AX571" s="1196"/>
      <c r="AY571" s="1196"/>
      <c r="AZ571" s="1196"/>
      <c r="BA571" s="1196"/>
      <c r="BB571" s="1196"/>
      <c r="BC571" s="1196"/>
      <c r="BD571" s="1196"/>
      <c r="BE571" s="1196"/>
      <c r="BF571" s="1196"/>
      <c r="BG571" s="1196"/>
      <c r="BH571" s="1196"/>
      <c r="BI571" s="1196"/>
      <c r="BJ571" s="1196"/>
      <c r="BK571" s="1196"/>
      <c r="BL571" s="1196"/>
      <c r="BM571" s="1196"/>
      <c r="BN571" s="1196"/>
      <c r="BO571" s="1196"/>
      <c r="BP571" s="1196"/>
      <c r="BQ571" s="1196"/>
      <c r="BR571" s="1196"/>
      <c r="BS571" s="1196"/>
      <c r="BT571" s="1196"/>
      <c r="BU571" s="1196"/>
      <c r="BV571" s="1196"/>
      <c r="BW571" s="1196"/>
      <c r="BX571" s="1196"/>
      <c r="BY571" s="1196"/>
      <c r="BZ571" s="1196"/>
      <c r="CA571" s="1196"/>
      <c r="CB571" s="1196"/>
      <c r="CC571" s="1196"/>
      <c r="CD571" s="1196"/>
      <c r="CE571" s="1196"/>
      <c r="CF571" s="1196"/>
      <c r="CG571" s="1196"/>
      <c r="CH571" s="1196"/>
      <c r="CI571" s="1196"/>
      <c r="CJ571" s="1196"/>
      <c r="CK571" s="1196"/>
      <c r="CL571" s="1196"/>
      <c r="CM571" s="1196"/>
      <c r="CN571" s="1196"/>
      <c r="CO571" s="1196"/>
      <c r="CP571" s="1196"/>
      <c r="CQ571" s="1196"/>
      <c r="CR571" s="1196"/>
      <c r="CS571" s="1196"/>
      <c r="CT571" s="1196"/>
      <c r="CU571" s="1196"/>
      <c r="CV571" s="1196"/>
      <c r="CW571" s="1196"/>
      <c r="CX571" s="1196"/>
      <c r="CY571" s="1196"/>
      <c r="CZ571" s="1196"/>
      <c r="DA571" s="1196"/>
      <c r="DB571" s="1196"/>
      <c r="DC571" s="1196"/>
      <c r="DD571" s="1196"/>
      <c r="DE571" s="1196"/>
      <c r="DF571" s="1196"/>
      <c r="DG571" s="1196"/>
      <c r="DH571" s="1196"/>
      <c r="DI571" s="1196"/>
      <c r="DJ571" s="1196"/>
      <c r="DK571" s="1196"/>
      <c r="DL571" s="1196"/>
      <c r="DM571" s="1196"/>
    </row>
    <row r="572" spans="1:139">
      <c r="A572" s="1198"/>
      <c r="C572" s="1196"/>
      <c r="D572" s="1196"/>
      <c r="H572" s="1196"/>
      <c r="J572" s="1196"/>
      <c r="L572" s="1196"/>
      <c r="M572" s="1196"/>
      <c r="N572" s="1196"/>
      <c r="T572" s="1196"/>
      <c r="U572" s="1196"/>
      <c r="V572" s="1196"/>
      <c r="W572" s="1196"/>
      <c r="X572" s="1196"/>
      <c r="Y572" s="1196"/>
      <c r="Z572" s="1196"/>
      <c r="AA572" s="1196"/>
      <c r="AB572" s="1196"/>
      <c r="AC572" s="1196"/>
      <c r="AD572" s="1196"/>
      <c r="AE572" s="1196"/>
      <c r="AF572" s="1196"/>
      <c r="AG572" s="1196"/>
      <c r="AH572" s="1196"/>
      <c r="AI572" s="1196"/>
      <c r="AJ572" s="1196"/>
      <c r="AK572" s="1196"/>
      <c r="AL572" s="1196"/>
      <c r="AM572" s="1196"/>
      <c r="AN572" s="1196"/>
      <c r="AO572" s="1196"/>
      <c r="AP572" s="1196"/>
      <c r="AQ572" s="1196"/>
      <c r="AR572" s="1196"/>
      <c r="AS572" s="1196"/>
      <c r="AT572" s="1196"/>
      <c r="AU572" s="1196"/>
      <c r="AV572" s="1196"/>
      <c r="AW572" s="1196"/>
      <c r="AX572" s="1196"/>
      <c r="AY572" s="1196"/>
      <c r="AZ572" s="1196"/>
      <c r="BA572" s="1196"/>
      <c r="BB572" s="1196"/>
      <c r="BC572" s="1196"/>
      <c r="BD572" s="1196"/>
      <c r="BE572" s="1196"/>
      <c r="BF572" s="1196"/>
      <c r="BG572" s="1196"/>
      <c r="BH572" s="1196"/>
      <c r="BI572" s="1196"/>
      <c r="BJ572" s="1196"/>
      <c r="BK572" s="1196"/>
      <c r="BL572" s="1196"/>
      <c r="BM572" s="1196"/>
      <c r="BN572" s="1196"/>
      <c r="BO572" s="1196"/>
      <c r="BP572" s="1196"/>
      <c r="BQ572" s="1196"/>
      <c r="BR572" s="1196"/>
      <c r="BS572" s="1196"/>
      <c r="BT572" s="1196"/>
      <c r="BU572" s="1196"/>
      <c r="BV572" s="1196"/>
      <c r="BW572" s="1196"/>
      <c r="BX572" s="1196"/>
      <c r="BY572" s="1196"/>
      <c r="BZ572" s="1196"/>
      <c r="CA572" s="1196"/>
      <c r="CB572" s="1196"/>
      <c r="CC572" s="1196"/>
      <c r="CD572" s="1196"/>
      <c r="CE572" s="1196"/>
      <c r="CF572" s="1196"/>
      <c r="CG572" s="1196"/>
      <c r="CH572" s="1196"/>
      <c r="CI572" s="1196"/>
      <c r="CJ572" s="1196"/>
      <c r="CK572" s="1196"/>
      <c r="CL572" s="1196"/>
      <c r="CM572" s="1196"/>
      <c r="CN572" s="1196"/>
      <c r="CO572" s="1196"/>
      <c r="CP572" s="1196"/>
      <c r="CQ572" s="1196"/>
      <c r="CR572" s="1196"/>
      <c r="CS572" s="1196"/>
      <c r="CT572" s="1196"/>
      <c r="CU572" s="1196"/>
      <c r="CV572" s="1196"/>
      <c r="CW572" s="1196"/>
      <c r="CX572" s="1196"/>
      <c r="CY572" s="1196"/>
      <c r="CZ572" s="1196"/>
      <c r="DA572" s="1196"/>
      <c r="DB572" s="1196"/>
      <c r="DC572" s="1196"/>
      <c r="DD572" s="1196"/>
      <c r="DE572" s="1196"/>
      <c r="DF572" s="1196"/>
      <c r="DG572" s="1196"/>
      <c r="DH572" s="1196"/>
      <c r="DI572" s="1196"/>
      <c r="DJ572" s="1196"/>
      <c r="DK572" s="1196"/>
      <c r="DL572" s="1196"/>
      <c r="DM572" s="1196"/>
    </row>
    <row r="573" spans="1:139">
      <c r="A573" s="1198"/>
      <c r="C573" s="1196"/>
      <c r="D573" s="1196"/>
      <c r="H573" s="1196"/>
      <c r="J573" s="1196"/>
      <c r="L573" s="1196"/>
      <c r="M573" s="1196"/>
      <c r="N573" s="1196"/>
      <c r="T573" s="1196"/>
      <c r="U573" s="1196"/>
      <c r="V573" s="1196"/>
      <c r="W573" s="1196"/>
      <c r="X573" s="1196"/>
      <c r="Y573" s="1196"/>
      <c r="Z573" s="1196"/>
      <c r="AA573" s="1196"/>
      <c r="AB573" s="1196"/>
      <c r="AC573" s="1196"/>
      <c r="AD573" s="1196"/>
      <c r="AE573" s="1196"/>
      <c r="AF573" s="1196"/>
      <c r="AG573" s="1196"/>
      <c r="AH573" s="1196"/>
      <c r="AI573" s="1196"/>
      <c r="AJ573" s="1196"/>
      <c r="AK573" s="1196"/>
      <c r="AL573" s="1196"/>
      <c r="AM573" s="1196"/>
      <c r="AN573" s="1196"/>
      <c r="AO573" s="1196"/>
      <c r="AP573" s="1196"/>
      <c r="AQ573" s="1196"/>
      <c r="AR573" s="1196"/>
      <c r="AS573" s="1196"/>
      <c r="AT573" s="1196"/>
      <c r="AU573" s="1196"/>
      <c r="AV573" s="1196"/>
      <c r="AW573" s="1196"/>
      <c r="AX573" s="1196"/>
      <c r="AY573" s="1196"/>
      <c r="AZ573" s="1196"/>
      <c r="BA573" s="1196"/>
      <c r="BB573" s="1196"/>
      <c r="BC573" s="1196"/>
      <c r="BD573" s="1196"/>
      <c r="BE573" s="1196"/>
      <c r="BF573" s="1196"/>
      <c r="BG573" s="1196"/>
      <c r="BH573" s="1196"/>
      <c r="BI573" s="1196"/>
      <c r="BJ573" s="1196"/>
      <c r="BK573" s="1196"/>
      <c r="BL573" s="1196"/>
      <c r="BM573" s="1196"/>
      <c r="BN573" s="1196"/>
      <c r="BO573" s="1196"/>
      <c r="BP573" s="1196"/>
      <c r="BQ573" s="1196"/>
      <c r="BR573" s="1196"/>
      <c r="BS573" s="1196"/>
      <c r="BT573" s="1196"/>
      <c r="BU573" s="1196"/>
      <c r="BV573" s="1196"/>
      <c r="BW573" s="1196"/>
      <c r="BX573" s="1196"/>
      <c r="BY573" s="1196"/>
      <c r="BZ573" s="1196"/>
      <c r="CA573" s="1196"/>
      <c r="CB573" s="1196"/>
      <c r="CC573" s="1196"/>
      <c r="CD573" s="1196"/>
      <c r="CE573" s="1196"/>
      <c r="CF573" s="1196"/>
      <c r="CG573" s="1196"/>
      <c r="CH573" s="1196"/>
      <c r="CI573" s="1196"/>
      <c r="CJ573" s="1196"/>
      <c r="CK573" s="1196"/>
      <c r="CL573" s="1196"/>
      <c r="CM573" s="1196"/>
      <c r="CN573" s="1196"/>
      <c r="CO573" s="1196"/>
      <c r="CP573" s="1196"/>
      <c r="CQ573" s="1196"/>
      <c r="CR573" s="1196"/>
      <c r="CS573" s="1196"/>
      <c r="CT573" s="1196"/>
      <c r="CU573" s="1196"/>
      <c r="CV573" s="1196"/>
      <c r="CW573" s="1196"/>
      <c r="CX573" s="1196"/>
      <c r="CY573" s="1196"/>
      <c r="CZ573" s="1196"/>
      <c r="DA573" s="1196"/>
      <c r="DB573" s="1196"/>
      <c r="DC573" s="1196"/>
      <c r="DD573" s="1196"/>
      <c r="DE573" s="1196"/>
      <c r="DF573" s="1196"/>
      <c r="DG573" s="1196"/>
      <c r="DH573" s="1196"/>
      <c r="DI573" s="1196"/>
      <c r="DJ573" s="1196"/>
      <c r="DK573" s="1196"/>
      <c r="DL573" s="1196"/>
      <c r="DM573" s="1196"/>
    </row>
    <row r="574" spans="1:139">
      <c r="A574" s="1198"/>
      <c r="C574" s="1196"/>
      <c r="D574" s="1196"/>
      <c r="H574" s="1196"/>
      <c r="J574" s="1196"/>
      <c r="L574" s="1196"/>
      <c r="M574" s="1196"/>
      <c r="N574" s="1196"/>
      <c r="T574" s="1196"/>
      <c r="U574" s="1196"/>
      <c r="V574" s="1196"/>
      <c r="W574" s="1196"/>
      <c r="X574" s="1196"/>
      <c r="Y574" s="1196"/>
      <c r="Z574" s="1196"/>
      <c r="AA574" s="1196"/>
      <c r="AB574" s="1196"/>
      <c r="AC574" s="1196"/>
      <c r="AD574" s="1196"/>
      <c r="AE574" s="1196"/>
      <c r="AF574" s="1196"/>
      <c r="AG574" s="1196"/>
      <c r="AH574" s="1196"/>
      <c r="AI574" s="1196"/>
      <c r="AJ574" s="1196"/>
      <c r="AK574" s="1196"/>
      <c r="AL574" s="1196"/>
      <c r="AM574" s="1196"/>
      <c r="AN574" s="1196"/>
      <c r="AO574" s="1196"/>
      <c r="AP574" s="1196"/>
      <c r="AQ574" s="1196"/>
      <c r="AR574" s="1196"/>
      <c r="AS574" s="1196"/>
      <c r="AT574" s="1196"/>
      <c r="AU574" s="1196"/>
      <c r="AV574" s="1196"/>
      <c r="AW574" s="1196"/>
      <c r="AX574" s="1196"/>
      <c r="AY574" s="1196"/>
      <c r="AZ574" s="1196"/>
      <c r="BA574" s="1196"/>
      <c r="BB574" s="1196"/>
      <c r="BC574" s="1196"/>
      <c r="BD574" s="1196"/>
      <c r="BE574" s="1196"/>
      <c r="BF574" s="1196"/>
      <c r="BG574" s="1196"/>
      <c r="BH574" s="1196"/>
      <c r="BI574" s="1196"/>
      <c r="BJ574" s="1196"/>
      <c r="BK574" s="1196"/>
      <c r="BL574" s="1196"/>
      <c r="BM574" s="1196"/>
      <c r="BN574" s="1196"/>
      <c r="BO574" s="1196"/>
      <c r="BP574" s="1196"/>
      <c r="BQ574" s="1196"/>
      <c r="BR574" s="1196"/>
      <c r="BS574" s="1196"/>
      <c r="BT574" s="1196"/>
      <c r="BU574" s="1196"/>
      <c r="BV574" s="1196"/>
      <c r="BW574" s="1196"/>
      <c r="BX574" s="1196"/>
      <c r="BY574" s="1196"/>
      <c r="BZ574" s="1196"/>
      <c r="CA574" s="1196"/>
      <c r="CB574" s="1196"/>
      <c r="CC574" s="1196"/>
      <c r="CD574" s="1196"/>
      <c r="CE574" s="1196"/>
      <c r="CF574" s="1196"/>
      <c r="CG574" s="1196"/>
      <c r="CH574" s="1196"/>
      <c r="CI574" s="1196"/>
      <c r="CJ574" s="1196"/>
      <c r="CK574" s="1196"/>
      <c r="CL574" s="1196"/>
      <c r="CM574" s="1196"/>
      <c r="CN574" s="1196"/>
      <c r="CO574" s="1196"/>
      <c r="CP574" s="1196"/>
      <c r="CQ574" s="1196"/>
      <c r="CR574" s="1196"/>
      <c r="CS574" s="1196"/>
      <c r="CT574" s="1196"/>
      <c r="CU574" s="1196"/>
      <c r="CV574" s="1196"/>
      <c r="CW574" s="1196"/>
      <c r="CX574" s="1196"/>
      <c r="CY574" s="1196"/>
      <c r="CZ574" s="1196"/>
      <c r="DA574" s="1196"/>
      <c r="DB574" s="1196"/>
      <c r="DC574" s="1196"/>
      <c r="DD574" s="1196"/>
      <c r="DE574" s="1196"/>
      <c r="DF574" s="1196"/>
      <c r="DG574" s="1196"/>
      <c r="DH574" s="1196"/>
      <c r="DI574" s="1196"/>
      <c r="DJ574" s="1196"/>
      <c r="DK574" s="1196"/>
      <c r="DL574" s="1196"/>
      <c r="DM574" s="1196"/>
    </row>
    <row r="575" spans="1:139">
      <c r="A575" s="1198"/>
      <c r="C575" s="1196"/>
      <c r="D575" s="1196"/>
      <c r="H575" s="1196"/>
      <c r="J575" s="1196"/>
      <c r="L575" s="1196"/>
      <c r="M575" s="1196"/>
      <c r="N575" s="1196"/>
      <c r="T575" s="1196"/>
      <c r="U575" s="1196"/>
      <c r="V575" s="1196"/>
      <c r="W575" s="1196"/>
      <c r="X575" s="1196"/>
      <c r="Y575" s="1196"/>
      <c r="Z575" s="1196"/>
      <c r="AA575" s="1196"/>
      <c r="AB575" s="1196"/>
      <c r="AC575" s="1196"/>
      <c r="AD575" s="1196"/>
      <c r="AE575" s="1196"/>
      <c r="AF575" s="1196"/>
      <c r="AG575" s="1196"/>
      <c r="AH575" s="1196"/>
      <c r="AI575" s="1196"/>
      <c r="AJ575" s="1196"/>
      <c r="AK575" s="1196"/>
      <c r="AL575" s="1196"/>
      <c r="AM575" s="1196"/>
      <c r="AN575" s="1196"/>
      <c r="AO575" s="1196"/>
      <c r="AP575" s="1196"/>
      <c r="AQ575" s="1196"/>
      <c r="AR575" s="1196"/>
      <c r="AS575" s="1196"/>
      <c r="AT575" s="1196"/>
      <c r="AU575" s="1196"/>
      <c r="AV575" s="1196"/>
      <c r="AW575" s="1196"/>
      <c r="AX575" s="1196"/>
      <c r="AY575" s="1196"/>
      <c r="AZ575" s="1196"/>
      <c r="BA575" s="1196"/>
      <c r="BB575" s="1196"/>
      <c r="BC575" s="1196"/>
      <c r="BD575" s="1196"/>
      <c r="BE575" s="1196"/>
      <c r="BF575" s="1196"/>
      <c r="BG575" s="1196"/>
      <c r="BH575" s="1196"/>
      <c r="BI575" s="1196"/>
      <c r="BJ575" s="1196"/>
      <c r="BK575" s="1196"/>
      <c r="BL575" s="1196"/>
      <c r="BM575" s="1196"/>
      <c r="BN575" s="1196"/>
      <c r="BO575" s="1196"/>
      <c r="BP575" s="1196"/>
      <c r="BQ575" s="1196"/>
      <c r="BR575" s="1196"/>
      <c r="BS575" s="1196"/>
      <c r="BT575" s="1196"/>
      <c r="BU575" s="1196"/>
      <c r="BV575" s="1196"/>
      <c r="BW575" s="1196"/>
      <c r="BX575" s="1196"/>
      <c r="BY575" s="1196"/>
      <c r="BZ575" s="1196"/>
      <c r="CA575" s="1196"/>
      <c r="CB575" s="1196"/>
      <c r="CC575" s="1196"/>
      <c r="CD575" s="1196"/>
      <c r="CE575" s="1196"/>
      <c r="CF575" s="1196"/>
      <c r="CG575" s="1196"/>
      <c r="CH575" s="1196"/>
      <c r="CI575" s="1196"/>
      <c r="CJ575" s="1196"/>
      <c r="CK575" s="1196"/>
      <c r="CL575" s="1196"/>
      <c r="CM575" s="1196"/>
      <c r="CN575" s="1196"/>
      <c r="CO575" s="1196"/>
      <c r="CP575" s="1196"/>
      <c r="CQ575" s="1196"/>
      <c r="CR575" s="1196"/>
      <c r="CS575" s="1196"/>
      <c r="CT575" s="1196"/>
      <c r="CU575" s="1196"/>
      <c r="CV575" s="1196"/>
      <c r="CW575" s="1196"/>
      <c r="CX575" s="1196"/>
      <c r="CY575" s="1196"/>
      <c r="CZ575" s="1196"/>
      <c r="DA575" s="1196"/>
      <c r="DB575" s="1196"/>
      <c r="DC575" s="1196"/>
      <c r="DD575" s="1196"/>
      <c r="DE575" s="1196"/>
      <c r="DF575" s="1196"/>
      <c r="DG575" s="1196"/>
      <c r="DH575" s="1196"/>
      <c r="DI575" s="1196"/>
      <c r="DJ575" s="1196"/>
      <c r="DK575" s="1196"/>
      <c r="DL575" s="1196"/>
      <c r="DM575" s="1196"/>
    </row>
    <row r="576" spans="1:139">
      <c r="A576" s="1198"/>
      <c r="C576" s="1196"/>
      <c r="D576" s="1196"/>
      <c r="H576" s="1196"/>
      <c r="J576" s="1196"/>
      <c r="L576" s="1196"/>
      <c r="M576" s="1196"/>
      <c r="N576" s="1196"/>
      <c r="T576" s="1196"/>
      <c r="U576" s="1196"/>
      <c r="V576" s="1196"/>
      <c r="W576" s="1196"/>
      <c r="X576" s="1196"/>
      <c r="Y576" s="1196"/>
      <c r="Z576" s="1196"/>
      <c r="AA576" s="1196"/>
      <c r="AB576" s="1196"/>
      <c r="AC576" s="1196"/>
      <c r="AD576" s="1196"/>
      <c r="AE576" s="1196"/>
      <c r="AF576" s="1196"/>
      <c r="AG576" s="1196"/>
      <c r="AH576" s="1196"/>
      <c r="AI576" s="1196"/>
      <c r="AJ576" s="1196"/>
      <c r="AK576" s="1196"/>
      <c r="AL576" s="1196"/>
      <c r="AM576" s="1196"/>
      <c r="AN576" s="1196"/>
      <c r="AO576" s="1196"/>
      <c r="AP576" s="1196"/>
      <c r="AQ576" s="1196"/>
      <c r="AR576" s="1196"/>
      <c r="AS576" s="1196"/>
      <c r="AT576" s="1196"/>
      <c r="AU576" s="1196"/>
      <c r="AV576" s="1196"/>
      <c r="AW576" s="1196"/>
      <c r="AX576" s="1196"/>
      <c r="AY576" s="1196"/>
      <c r="AZ576" s="1196"/>
      <c r="BA576" s="1196"/>
      <c r="BB576" s="1196"/>
      <c r="BC576" s="1196"/>
      <c r="BD576" s="1196"/>
      <c r="BE576" s="1196"/>
      <c r="BF576" s="1196"/>
      <c r="BG576" s="1196"/>
      <c r="BH576" s="1196"/>
      <c r="BI576" s="1196"/>
      <c r="BJ576" s="1196"/>
      <c r="BK576" s="1196"/>
      <c r="BL576" s="1196"/>
      <c r="BM576" s="1196"/>
      <c r="BN576" s="1196"/>
      <c r="BO576" s="1196"/>
      <c r="BP576" s="1196"/>
      <c r="BQ576" s="1196"/>
      <c r="BR576" s="1196"/>
      <c r="BS576" s="1196"/>
      <c r="BT576" s="1196"/>
      <c r="BU576" s="1196"/>
      <c r="BV576" s="1196"/>
      <c r="BW576" s="1196"/>
      <c r="BX576" s="1196"/>
      <c r="BY576" s="1196"/>
      <c r="BZ576" s="1196"/>
      <c r="CA576" s="1196"/>
      <c r="CB576" s="1196"/>
      <c r="CC576" s="1196"/>
      <c r="CD576" s="1196"/>
      <c r="CE576" s="1196"/>
      <c r="CF576" s="1196"/>
      <c r="CG576" s="1196"/>
      <c r="CH576" s="1196"/>
      <c r="CI576" s="1196"/>
      <c r="CJ576" s="1196"/>
      <c r="CK576" s="1196"/>
      <c r="CL576" s="1196"/>
      <c r="CM576" s="1196"/>
      <c r="CN576" s="1196"/>
      <c r="CO576" s="1196"/>
      <c r="CP576" s="1196"/>
      <c r="CQ576" s="1196"/>
      <c r="CR576" s="1196"/>
      <c r="CS576" s="1196"/>
      <c r="CT576" s="1196"/>
      <c r="CU576" s="1196"/>
      <c r="CV576" s="1196"/>
      <c r="CW576" s="1196"/>
      <c r="CX576" s="1196"/>
      <c r="CY576" s="1196"/>
      <c r="CZ576" s="1196"/>
      <c r="DA576" s="1196"/>
      <c r="DB576" s="1196"/>
      <c r="DC576" s="1196"/>
      <c r="DD576" s="1196"/>
      <c r="DE576" s="1196"/>
      <c r="DF576" s="1196"/>
      <c r="DG576" s="1196"/>
      <c r="DH576" s="1196"/>
      <c r="DI576" s="1196"/>
      <c r="DJ576" s="1196"/>
      <c r="DK576" s="1196"/>
      <c r="DL576" s="1196"/>
      <c r="DM576" s="1196"/>
    </row>
    <row r="577" spans="1:117">
      <c r="C577" s="1196"/>
      <c r="D577" s="1196"/>
      <c r="H577" s="1196"/>
      <c r="J577" s="1196"/>
      <c r="L577" s="1196"/>
      <c r="M577" s="1196"/>
      <c r="N577" s="1196"/>
      <c r="R577" s="1196"/>
      <c r="S577" s="1196"/>
      <c r="T577" s="1196"/>
      <c r="U577" s="1196"/>
      <c r="V577" s="1196"/>
      <c r="W577" s="1196"/>
      <c r="X577" s="1196"/>
      <c r="Y577" s="1196"/>
      <c r="Z577" s="1196"/>
      <c r="AA577" s="1196"/>
      <c r="AB577" s="1196"/>
      <c r="AC577" s="1196"/>
      <c r="AD577" s="1196"/>
      <c r="AE577" s="1196"/>
      <c r="AF577" s="1196"/>
      <c r="AG577" s="1196"/>
      <c r="AH577" s="1196"/>
      <c r="AI577" s="1196"/>
      <c r="AJ577" s="1196"/>
      <c r="AK577" s="1196"/>
      <c r="AL577" s="1196"/>
      <c r="AM577" s="1196"/>
      <c r="AN577" s="1196"/>
      <c r="AO577" s="1196"/>
      <c r="AP577" s="1196"/>
      <c r="AQ577" s="1196"/>
      <c r="AR577" s="1196"/>
      <c r="AS577" s="1196"/>
      <c r="AT577" s="1196"/>
      <c r="AU577" s="1196"/>
      <c r="AV577" s="1196"/>
      <c r="AW577" s="1196"/>
      <c r="AX577" s="1196"/>
      <c r="AY577" s="1196"/>
      <c r="AZ577" s="1196"/>
      <c r="BA577" s="1196"/>
      <c r="BB577" s="1196"/>
      <c r="BC577" s="1196"/>
      <c r="BD577" s="1196"/>
      <c r="BE577" s="1196"/>
      <c r="BF577" s="1196"/>
      <c r="BG577" s="1196"/>
      <c r="BH577" s="1196"/>
      <c r="BI577" s="1196"/>
      <c r="BJ577" s="1196"/>
      <c r="BK577" s="1196"/>
      <c r="BL577" s="1196"/>
      <c r="BM577" s="1196"/>
      <c r="BN577" s="1196"/>
      <c r="BO577" s="1196"/>
      <c r="BP577" s="1196"/>
      <c r="BQ577" s="1196"/>
      <c r="BR577" s="1196"/>
      <c r="BS577" s="1196"/>
      <c r="BT577" s="1196"/>
      <c r="BU577" s="1196"/>
      <c r="BV577" s="1196"/>
      <c r="BW577" s="1196"/>
      <c r="BX577" s="1196"/>
      <c r="BY577" s="1196"/>
      <c r="BZ577" s="1196"/>
      <c r="CA577" s="1196"/>
      <c r="CB577" s="1196"/>
      <c r="CC577" s="1196"/>
      <c r="CD577" s="1196"/>
      <c r="CE577" s="1196"/>
      <c r="CF577" s="1196"/>
      <c r="CG577" s="1196"/>
      <c r="CH577" s="1196"/>
      <c r="CI577" s="1196"/>
      <c r="CJ577" s="1196"/>
      <c r="CK577" s="1196"/>
      <c r="CL577" s="1196"/>
      <c r="CM577" s="1196"/>
      <c r="CN577" s="1196"/>
      <c r="CO577" s="1196"/>
      <c r="CP577" s="1196"/>
      <c r="CQ577" s="1196"/>
      <c r="CR577" s="1196"/>
      <c r="CS577" s="1196"/>
      <c r="CT577" s="1196"/>
      <c r="CU577" s="1196"/>
      <c r="CV577" s="1196"/>
      <c r="CW577" s="1196"/>
      <c r="CX577" s="1196"/>
      <c r="CY577" s="1196"/>
      <c r="CZ577" s="1196"/>
      <c r="DA577" s="1196"/>
      <c r="DB577" s="1196"/>
      <c r="DC577" s="1196"/>
      <c r="DD577" s="1196"/>
      <c r="DE577" s="1196"/>
      <c r="DF577" s="1196"/>
      <c r="DG577" s="1196"/>
      <c r="DH577" s="1196"/>
      <c r="DI577" s="1196"/>
      <c r="DJ577" s="1196"/>
      <c r="DK577" s="1196"/>
      <c r="DL577" s="1196"/>
      <c r="DM577" s="1196"/>
    </row>
    <row r="578" spans="1:117">
      <c r="A578" s="1198"/>
      <c r="C578" s="1196"/>
      <c r="D578" s="1196"/>
      <c r="H578" s="1196"/>
      <c r="J578" s="1196"/>
      <c r="L578" s="1196"/>
      <c r="M578" s="1196"/>
      <c r="N578" s="1196"/>
      <c r="R578" s="1196"/>
      <c r="S578" s="1196"/>
      <c r="T578" s="1196"/>
      <c r="U578" s="1196"/>
      <c r="V578" s="1196"/>
      <c r="W578" s="1196"/>
      <c r="X578" s="1196"/>
      <c r="Y578" s="1196"/>
      <c r="Z578" s="1196"/>
      <c r="AA578" s="1196"/>
      <c r="AB578" s="1196"/>
      <c r="AC578" s="1196"/>
      <c r="AD578" s="1196"/>
      <c r="AE578" s="1196"/>
      <c r="AF578" s="1196"/>
      <c r="AG578" s="1196"/>
      <c r="AH578" s="1196"/>
      <c r="AI578" s="1196"/>
      <c r="AJ578" s="1196"/>
      <c r="AK578" s="1196"/>
      <c r="AL578" s="1196"/>
      <c r="AM578" s="1196"/>
      <c r="AN578" s="1196"/>
      <c r="AO578" s="1196"/>
      <c r="AP578" s="1196"/>
      <c r="AQ578" s="1196"/>
      <c r="AR578" s="1196"/>
      <c r="AS578" s="1196"/>
      <c r="AT578" s="1196"/>
      <c r="AU578" s="1196"/>
      <c r="AV578" s="1196"/>
      <c r="AW578" s="1196"/>
      <c r="AX578" s="1196"/>
      <c r="AY578" s="1196"/>
      <c r="AZ578" s="1196"/>
      <c r="BA578" s="1196"/>
      <c r="BB578" s="1196"/>
      <c r="BC578" s="1196"/>
      <c r="BD578" s="1196"/>
      <c r="BE578" s="1196"/>
      <c r="BF578" s="1196"/>
      <c r="BG578" s="1196"/>
      <c r="BH578" s="1196"/>
      <c r="BI578" s="1196"/>
      <c r="BJ578" s="1196"/>
      <c r="BK578" s="1196"/>
      <c r="BL578" s="1196"/>
      <c r="BM578" s="1196"/>
      <c r="BN578" s="1196"/>
      <c r="BO578" s="1196"/>
      <c r="BP578" s="1196"/>
      <c r="BQ578" s="1196"/>
      <c r="BR578" s="1196"/>
      <c r="BS578" s="1196"/>
      <c r="BT578" s="1196"/>
      <c r="BU578" s="1196"/>
      <c r="BV578" s="1196"/>
      <c r="BW578" s="1196"/>
      <c r="BX578" s="1196"/>
      <c r="BY578" s="1196"/>
      <c r="BZ578" s="1196"/>
      <c r="CA578" s="1196"/>
      <c r="CB578" s="1196"/>
      <c r="CC578" s="1196"/>
      <c r="CD578" s="1196"/>
      <c r="CE578" s="1196"/>
      <c r="CF578" s="1196"/>
      <c r="CG578" s="1196"/>
      <c r="CH578" s="1196"/>
      <c r="CI578" s="1196"/>
      <c r="CJ578" s="1196"/>
      <c r="CK578" s="1196"/>
      <c r="CL578" s="1196"/>
      <c r="CM578" s="1196"/>
      <c r="CN578" s="1196"/>
      <c r="CO578" s="1196"/>
      <c r="CP578" s="1196"/>
      <c r="CQ578" s="1196"/>
      <c r="CR578" s="1196"/>
      <c r="CS578" s="1196"/>
      <c r="CT578" s="1196"/>
      <c r="CU578" s="1196"/>
      <c r="CV578" s="1196"/>
      <c r="CW578" s="1196"/>
      <c r="CX578" s="1196"/>
      <c r="CY578" s="1196"/>
      <c r="CZ578" s="1196"/>
      <c r="DA578" s="1196"/>
      <c r="DB578" s="1196"/>
      <c r="DC578" s="1196"/>
      <c r="DD578" s="1196"/>
      <c r="DE578" s="1196"/>
      <c r="DF578" s="1196"/>
      <c r="DG578" s="1196"/>
      <c r="DH578" s="1196"/>
      <c r="DI578" s="1196"/>
      <c r="DJ578" s="1196"/>
      <c r="DK578" s="1196"/>
      <c r="DL578" s="1196"/>
      <c r="DM578" s="1196"/>
    </row>
    <row r="579" spans="1:117">
      <c r="A579" s="1198"/>
      <c r="C579" s="1196"/>
      <c r="D579" s="1196"/>
      <c r="H579" s="1196"/>
      <c r="J579" s="1196"/>
      <c r="L579" s="1196"/>
      <c r="M579" s="1196"/>
      <c r="N579" s="1196"/>
      <c r="R579" s="1196"/>
      <c r="S579" s="1196"/>
      <c r="T579" s="1196"/>
      <c r="U579" s="1196"/>
      <c r="V579" s="1196"/>
      <c r="W579" s="1196"/>
      <c r="X579" s="1196"/>
      <c r="Y579" s="1196"/>
      <c r="Z579" s="1196"/>
      <c r="AA579" s="1196"/>
      <c r="AB579" s="1196"/>
      <c r="AC579" s="1196"/>
      <c r="AD579" s="1196"/>
      <c r="AE579" s="1196"/>
      <c r="AF579" s="1196"/>
      <c r="AG579" s="1196"/>
      <c r="AH579" s="1196"/>
      <c r="AI579" s="1196"/>
      <c r="AJ579" s="1196"/>
      <c r="AK579" s="1196"/>
      <c r="AL579" s="1196"/>
      <c r="AM579" s="1196"/>
      <c r="AN579" s="1196"/>
      <c r="AO579" s="1196"/>
      <c r="AP579" s="1196"/>
      <c r="AQ579" s="1196"/>
      <c r="AR579" s="1196"/>
      <c r="AS579" s="1196"/>
      <c r="AT579" s="1196"/>
      <c r="AU579" s="1196"/>
      <c r="AV579" s="1196"/>
      <c r="AW579" s="1196"/>
      <c r="AX579" s="1196"/>
      <c r="AY579" s="1196"/>
      <c r="AZ579" s="1196"/>
      <c r="BA579" s="1196"/>
      <c r="BB579" s="1196"/>
      <c r="BC579" s="1196"/>
      <c r="BD579" s="1196"/>
      <c r="BE579" s="1196"/>
      <c r="BF579" s="1196"/>
      <c r="BG579" s="1196"/>
      <c r="BH579" s="1196"/>
      <c r="BI579" s="1196"/>
      <c r="BJ579" s="1196"/>
      <c r="BK579" s="1196"/>
      <c r="BL579" s="1196"/>
      <c r="BM579" s="1196"/>
      <c r="BN579" s="1196"/>
      <c r="BO579" s="1196"/>
      <c r="BP579" s="1196"/>
      <c r="BQ579" s="1196"/>
      <c r="BR579" s="1196"/>
      <c r="BS579" s="1196"/>
      <c r="BT579" s="1196"/>
      <c r="BU579" s="1196"/>
      <c r="BV579" s="1196"/>
      <c r="BW579" s="1196"/>
      <c r="BX579" s="1196"/>
      <c r="BY579" s="1196"/>
      <c r="BZ579" s="1196"/>
      <c r="CA579" s="1196"/>
      <c r="CB579" s="1196"/>
      <c r="CC579" s="1196"/>
      <c r="CD579" s="1196"/>
      <c r="CE579" s="1196"/>
      <c r="CF579" s="1196"/>
      <c r="CG579" s="1196"/>
      <c r="CH579" s="1196"/>
      <c r="CI579" s="1196"/>
      <c r="CJ579" s="1196"/>
      <c r="CK579" s="1196"/>
      <c r="CL579" s="1196"/>
      <c r="CM579" s="1196"/>
      <c r="CN579" s="1196"/>
      <c r="CO579" s="1196"/>
      <c r="CP579" s="1196"/>
      <c r="CQ579" s="1196"/>
      <c r="CR579" s="1196"/>
      <c r="CS579" s="1196"/>
      <c r="CT579" s="1196"/>
      <c r="CU579" s="1196"/>
      <c r="CV579" s="1196"/>
      <c r="CW579" s="1196"/>
      <c r="CX579" s="1196"/>
      <c r="CY579" s="1196"/>
      <c r="CZ579" s="1196"/>
      <c r="DA579" s="1196"/>
      <c r="DB579" s="1196"/>
      <c r="DC579" s="1196"/>
      <c r="DD579" s="1196"/>
      <c r="DE579" s="1196"/>
      <c r="DF579" s="1196"/>
      <c r="DG579" s="1196"/>
      <c r="DH579" s="1196"/>
      <c r="DI579" s="1196"/>
      <c r="DJ579" s="1196"/>
      <c r="DK579" s="1196"/>
      <c r="DL579" s="1196"/>
      <c r="DM579" s="1196"/>
    </row>
    <row r="580" spans="1:117">
      <c r="C580" s="1196"/>
      <c r="D580" s="1196"/>
      <c r="H580" s="1196"/>
      <c r="J580" s="1196"/>
      <c r="L580" s="1196"/>
      <c r="M580" s="1196"/>
      <c r="N580" s="1196"/>
    </row>
    <row r="581" spans="1:117">
      <c r="A581" s="1198"/>
      <c r="C581" s="1196"/>
      <c r="D581" s="1196"/>
      <c r="G581" s="1196"/>
      <c r="H581" s="1196"/>
      <c r="I581" s="1196"/>
      <c r="J581" s="1196"/>
      <c r="K581" s="1200"/>
      <c r="L581" s="1196"/>
      <c r="M581" s="1196"/>
      <c r="N581" s="1196"/>
    </row>
    <row r="582" spans="1:117">
      <c r="A582" s="1198"/>
      <c r="C582" s="1196"/>
      <c r="D582" s="1196"/>
      <c r="G582" s="1196"/>
      <c r="H582" s="1196"/>
      <c r="I582" s="1196"/>
      <c r="J582" s="1196"/>
      <c r="K582" s="1200"/>
      <c r="L582" s="1196"/>
      <c r="M582" s="1196"/>
      <c r="N582" s="1196"/>
    </row>
    <row r="583" spans="1:117">
      <c r="C583" s="1196"/>
      <c r="D583" s="1196"/>
      <c r="H583" s="1196"/>
      <c r="L583" s="1196"/>
      <c r="M583" s="1196"/>
      <c r="N583" s="1196"/>
    </row>
    <row r="584" spans="1:117">
      <c r="A584" s="1198"/>
      <c r="C584" s="1196"/>
      <c r="D584" s="1196"/>
      <c r="G584" s="1200"/>
      <c r="H584" s="1196"/>
      <c r="K584" s="1200"/>
      <c r="L584" s="1196"/>
      <c r="M584" s="1196"/>
      <c r="N584" s="1196"/>
    </row>
    <row r="585" spans="1:117">
      <c r="A585" s="1198"/>
      <c r="C585" s="1196"/>
      <c r="D585" s="1196"/>
      <c r="H585" s="1196"/>
      <c r="L585" s="1196"/>
      <c r="M585" s="1196"/>
      <c r="N585" s="1196"/>
    </row>
    <row r="586" spans="1:117">
      <c r="A586" s="1198"/>
      <c r="C586" s="1196"/>
      <c r="D586" s="1196"/>
      <c r="H586" s="1196"/>
      <c r="L586" s="1196"/>
      <c r="M586" s="1196"/>
      <c r="N586" s="1196"/>
    </row>
    <row r="587" spans="1:117">
      <c r="A587" s="1198"/>
      <c r="C587" s="1196"/>
      <c r="D587" s="1196"/>
      <c r="H587" s="1196"/>
      <c r="L587" s="1196"/>
      <c r="M587" s="1196"/>
      <c r="N587" s="1196"/>
    </row>
    <row r="588" spans="1:117">
      <c r="C588" s="1196"/>
      <c r="D588" s="1196"/>
      <c r="H588" s="1196"/>
      <c r="L588" s="1196"/>
      <c r="M588" s="1196"/>
      <c r="N588" s="1196"/>
    </row>
    <row r="589" spans="1:117">
      <c r="A589" s="1198"/>
      <c r="C589" s="1196"/>
      <c r="D589" s="1196"/>
      <c r="G589" s="1200"/>
      <c r="H589" s="1196"/>
      <c r="K589" s="1201"/>
      <c r="L589" s="1196"/>
      <c r="M589" s="1196"/>
      <c r="N589" s="1196"/>
    </row>
    <row r="590" spans="1:117">
      <c r="A590" s="1198"/>
      <c r="C590" s="1196"/>
      <c r="D590" s="1196"/>
      <c r="L590" s="1196"/>
      <c r="M590" s="1196"/>
      <c r="N590" s="1196"/>
    </row>
    <row r="591" spans="1:117">
      <c r="C591" s="1196"/>
      <c r="D591" s="1196"/>
      <c r="L591" s="1196"/>
      <c r="M591" s="1196"/>
      <c r="N591" s="1196"/>
    </row>
    <row r="592" spans="1:117">
      <c r="A592" s="1198"/>
      <c r="C592" s="1196"/>
      <c r="D592" s="1196"/>
      <c r="L592" s="1196"/>
      <c r="M592" s="1196"/>
      <c r="N592" s="1196"/>
    </row>
    <row r="593" spans="1:14">
      <c r="A593" s="1198"/>
      <c r="C593" s="1196"/>
      <c r="D593" s="1196"/>
      <c r="L593" s="1196"/>
      <c r="M593" s="1196"/>
      <c r="N593" s="1196"/>
    </row>
    <row r="594" spans="1:14">
      <c r="A594" s="1198"/>
      <c r="C594" s="1196"/>
      <c r="D594" s="1196"/>
      <c r="L594" s="1196"/>
      <c r="M594" s="1196"/>
      <c r="N594" s="1196"/>
    </row>
    <row r="595" spans="1:14">
      <c r="A595" s="1198"/>
      <c r="C595" s="1196"/>
      <c r="D595" s="1196"/>
      <c r="L595" s="1196"/>
      <c r="M595" s="1196"/>
      <c r="N595" s="1196"/>
    </row>
    <row r="596" spans="1:14">
      <c r="C596" s="1196"/>
      <c r="D596" s="1196"/>
    </row>
    <row r="597" spans="1:14">
      <c r="A597" s="1198"/>
      <c r="C597" s="1196"/>
      <c r="D597" s="1196"/>
    </row>
    <row r="598" spans="1:14">
      <c r="A598" s="1198"/>
      <c r="C598" s="1196"/>
      <c r="D598" s="1196"/>
    </row>
    <row r="599" spans="1:14">
      <c r="C599" s="1196"/>
      <c r="D599" s="1196"/>
    </row>
    <row r="600" spans="1:14">
      <c r="A600" s="1198"/>
      <c r="C600" s="1196"/>
      <c r="D600" s="1196"/>
    </row>
    <row r="601" spans="1:14">
      <c r="A601" s="1198"/>
      <c r="C601" s="1196"/>
      <c r="D601" s="1196"/>
    </row>
    <row r="602" spans="1:14">
      <c r="C602" s="1196"/>
      <c r="D602" s="1196"/>
    </row>
    <row r="603" spans="1:14">
      <c r="A603" s="1198"/>
      <c r="C603" s="1196"/>
      <c r="D603" s="1196"/>
    </row>
    <row r="604" spans="1:14">
      <c r="A604" s="1198"/>
      <c r="C604" s="1196"/>
      <c r="D604" s="1196"/>
    </row>
    <row r="605" spans="1:14">
      <c r="C605" s="1196"/>
      <c r="D605" s="1196"/>
    </row>
    <row r="606" spans="1:14">
      <c r="A606" s="1198"/>
      <c r="C606" s="1196"/>
      <c r="D606" s="1196"/>
    </row>
    <row r="607" spans="1:14">
      <c r="A607" s="1198"/>
      <c r="C607" s="1196"/>
      <c r="D607" s="1196"/>
    </row>
    <row r="608" spans="1:14">
      <c r="C608" s="1196"/>
      <c r="D608" s="1196"/>
    </row>
    <row r="609" spans="1:4">
      <c r="A609" s="1198"/>
      <c r="C609" s="1196"/>
      <c r="D609" s="1196"/>
    </row>
    <row r="610" spans="1:4">
      <c r="A610" s="1198"/>
      <c r="C610" s="1196"/>
      <c r="D610" s="1196"/>
    </row>
    <row r="611" spans="1:4">
      <c r="C611" s="1196"/>
      <c r="D611" s="1196"/>
    </row>
    <row r="612" spans="1:4">
      <c r="A612" s="1198"/>
      <c r="C612" s="1196"/>
      <c r="D612" s="1196"/>
    </row>
    <row r="613" spans="1:4">
      <c r="A613" s="1198"/>
      <c r="C613" s="1196"/>
      <c r="D613" s="1196"/>
    </row>
    <row r="614" spans="1:4">
      <c r="C614" s="1196"/>
      <c r="D614" s="1196"/>
    </row>
    <row r="615" spans="1:4">
      <c r="A615" s="1198"/>
      <c r="C615" s="1196"/>
      <c r="D615" s="1196"/>
    </row>
    <row r="616" spans="1:4">
      <c r="A616" s="1198"/>
      <c r="C616" s="1196"/>
      <c r="D616" s="1196"/>
    </row>
    <row r="617" spans="1:4">
      <c r="C617" s="1196"/>
      <c r="D617" s="1196"/>
    </row>
    <row r="618" spans="1:4">
      <c r="A618" s="1198"/>
      <c r="C618" s="1196"/>
      <c r="D618" s="1196"/>
    </row>
    <row r="619" spans="1:4">
      <c r="A619" s="1198"/>
      <c r="C619" s="1196"/>
      <c r="D619" s="1196"/>
    </row>
    <row r="620" spans="1:4">
      <c r="C620" s="1196"/>
      <c r="D620" s="1196"/>
    </row>
    <row r="621" spans="1:4">
      <c r="A621" s="1198"/>
      <c r="C621" s="1196"/>
      <c r="D621" s="1196"/>
    </row>
    <row r="622" spans="1:4">
      <c r="A622" s="1198"/>
      <c r="C622" s="1196"/>
      <c r="D622" s="1196"/>
    </row>
    <row r="623" spans="1:4">
      <c r="C623" s="1196"/>
      <c r="D623" s="1196"/>
    </row>
    <row r="624" spans="1:4">
      <c r="A624" s="1198"/>
      <c r="C624" s="1196"/>
      <c r="D624" s="1196"/>
    </row>
    <row r="625" spans="1:117">
      <c r="A625" s="1198"/>
      <c r="C625" s="1196"/>
      <c r="D625" s="1196"/>
    </row>
    <row r="626" spans="1:117">
      <c r="C626" s="1196"/>
      <c r="D626" s="1196"/>
    </row>
    <row r="627" spans="1:117">
      <c r="A627" s="1198"/>
      <c r="C627" s="1196"/>
      <c r="D627" s="1196"/>
    </row>
    <row r="628" spans="1:117">
      <c r="A628" s="1198"/>
      <c r="C628" s="1196"/>
      <c r="D628" s="1196"/>
    </row>
    <row r="629" spans="1:117">
      <c r="C629" s="1196"/>
      <c r="D629" s="1196"/>
    </row>
    <row r="630" spans="1:117">
      <c r="A630" s="1198"/>
      <c r="C630" s="1196"/>
      <c r="D630" s="1196"/>
    </row>
    <row r="631" spans="1:117">
      <c r="A631" s="1198"/>
      <c r="C631" s="1196"/>
      <c r="D631" s="1196"/>
    </row>
    <row r="632" spans="1:117">
      <c r="C632" s="1196"/>
      <c r="D632" s="1196"/>
    </row>
    <row r="633" spans="1:117">
      <c r="A633" s="1198"/>
      <c r="C633" s="1196"/>
      <c r="D633" s="1196"/>
    </row>
    <row r="634" spans="1:117">
      <c r="A634" s="1198"/>
      <c r="C634" s="1196"/>
      <c r="D634" s="1196"/>
    </row>
    <row r="635" spans="1:117">
      <c r="F635" s="1196"/>
      <c r="H635" s="1196"/>
      <c r="J635" s="1196"/>
      <c r="L635" s="1196"/>
      <c r="M635" s="1196"/>
      <c r="N635" s="1196"/>
      <c r="Q635" s="1196"/>
      <c r="T635" s="1196"/>
      <c r="U635" s="1196"/>
      <c r="V635" s="1196"/>
      <c r="W635" s="1196"/>
      <c r="X635" s="1196"/>
      <c r="Y635" s="1196"/>
      <c r="Z635" s="1196"/>
      <c r="AA635" s="1196"/>
      <c r="AB635" s="1196"/>
      <c r="AC635" s="1196"/>
      <c r="AD635" s="1196"/>
      <c r="AE635" s="1196"/>
      <c r="AF635" s="1196"/>
      <c r="AG635" s="1196"/>
      <c r="AH635" s="1196"/>
      <c r="AI635" s="1196"/>
      <c r="AJ635" s="1196"/>
      <c r="AK635" s="1196"/>
      <c r="AL635" s="1196"/>
      <c r="AM635" s="1196"/>
      <c r="AN635" s="1196"/>
      <c r="AO635" s="1196"/>
      <c r="AP635" s="1196"/>
      <c r="AQ635" s="1196"/>
      <c r="AR635" s="1196"/>
      <c r="AS635" s="1196"/>
      <c r="AT635" s="1196"/>
      <c r="AU635" s="1196"/>
      <c r="AV635" s="1196"/>
      <c r="AW635" s="1196"/>
      <c r="AX635" s="1196"/>
      <c r="AY635" s="1196"/>
      <c r="AZ635" s="1196"/>
      <c r="BA635" s="1196"/>
      <c r="BB635" s="1196"/>
      <c r="BC635" s="1196"/>
      <c r="BD635" s="1196"/>
      <c r="BE635" s="1196"/>
      <c r="BF635" s="1196"/>
      <c r="BG635" s="1196"/>
      <c r="BH635" s="1196"/>
      <c r="BI635" s="1196"/>
      <c r="BJ635" s="1196"/>
      <c r="BK635" s="1196"/>
      <c r="BL635" s="1196"/>
      <c r="BM635" s="1196"/>
      <c r="BN635" s="1196"/>
      <c r="BO635" s="1196"/>
      <c r="BP635" s="1196"/>
      <c r="BQ635" s="1196"/>
      <c r="BR635" s="1196"/>
      <c r="BS635" s="1196"/>
      <c r="BT635" s="1196"/>
      <c r="BU635" s="1196"/>
      <c r="BV635" s="1196"/>
      <c r="BW635" s="1196"/>
      <c r="BX635" s="1196"/>
      <c r="BY635" s="1196"/>
      <c r="BZ635" s="1196"/>
      <c r="CA635" s="1196"/>
      <c r="CB635" s="1196"/>
      <c r="CC635" s="1196"/>
      <c r="CD635" s="1196"/>
      <c r="CE635" s="1196"/>
      <c r="CF635" s="1196"/>
      <c r="CG635" s="1196"/>
      <c r="CH635" s="1196"/>
      <c r="CI635" s="1196"/>
      <c r="CJ635" s="1196"/>
      <c r="CK635" s="1196"/>
      <c r="CL635" s="1196"/>
      <c r="CM635" s="1196"/>
      <c r="CN635" s="1196"/>
      <c r="CO635" s="1196"/>
      <c r="CP635" s="1196"/>
      <c r="CQ635" s="1196"/>
      <c r="CR635" s="1196"/>
      <c r="CS635" s="1196"/>
      <c r="CT635" s="1196"/>
      <c r="CU635" s="1196"/>
      <c r="CV635" s="1196"/>
      <c r="CW635" s="1196"/>
      <c r="CX635" s="1196"/>
      <c r="CY635" s="1196"/>
      <c r="CZ635" s="1196"/>
      <c r="DA635" s="1196"/>
      <c r="DB635" s="1196"/>
      <c r="DC635" s="1196"/>
      <c r="DD635" s="1196"/>
      <c r="DE635" s="1196"/>
      <c r="DF635" s="1196"/>
      <c r="DG635" s="1196"/>
      <c r="DH635" s="1196"/>
      <c r="DI635" s="1196"/>
      <c r="DJ635" s="1196"/>
      <c r="DK635" s="1196"/>
      <c r="DL635" s="1196"/>
      <c r="DM635" s="1196"/>
    </row>
    <row r="636" spans="1:117">
      <c r="L636" s="1196"/>
      <c r="M636" s="1196"/>
      <c r="N636" s="1196"/>
    </row>
    <row r="639" spans="1:117">
      <c r="A639" s="1202"/>
      <c r="B639" s="1202"/>
    </row>
    <row r="640" spans="1:117">
      <c r="C640" s="1196"/>
      <c r="D640" s="1196"/>
      <c r="G640" s="1196"/>
      <c r="H640" s="1196"/>
      <c r="I640" s="1203"/>
      <c r="J640" s="1203"/>
      <c r="K640" s="1196"/>
      <c r="L640" s="1196"/>
      <c r="M640" s="1196"/>
      <c r="N640" s="1196"/>
    </row>
    <row r="641" spans="1:14">
      <c r="C641" s="1196"/>
      <c r="D641" s="1196"/>
      <c r="G641" s="1196"/>
      <c r="H641" s="1196"/>
      <c r="I641" s="1203"/>
      <c r="J641" s="1203"/>
      <c r="K641" s="1196"/>
      <c r="L641" s="1196"/>
      <c r="M641" s="1196"/>
      <c r="N641" s="1196"/>
    </row>
    <row r="642" spans="1:14">
      <c r="C642" s="1196"/>
      <c r="D642" s="1196"/>
      <c r="G642" s="1196"/>
      <c r="H642" s="1196"/>
      <c r="I642" s="1203"/>
      <c r="J642" s="1203"/>
      <c r="K642" s="1196"/>
      <c r="L642" s="1196"/>
      <c r="M642" s="1196"/>
      <c r="N642" s="1196"/>
    </row>
    <row r="643" spans="1:14">
      <c r="C643" s="1196"/>
      <c r="D643" s="1196"/>
      <c r="G643" s="1196"/>
      <c r="H643" s="1196"/>
      <c r="I643" s="1203"/>
      <c r="J643" s="1203"/>
      <c r="K643" s="1196"/>
      <c r="L643" s="1196"/>
      <c r="M643" s="1196"/>
      <c r="N643" s="1196"/>
    </row>
    <row r="644" spans="1:14">
      <c r="C644" s="1196"/>
      <c r="D644" s="1196"/>
      <c r="G644" s="1196"/>
      <c r="H644" s="1196"/>
      <c r="I644" s="1203"/>
      <c r="J644" s="1203"/>
      <c r="K644" s="1196"/>
      <c r="L644" s="1196"/>
      <c r="M644" s="1196"/>
      <c r="N644" s="1196"/>
    </row>
    <row r="645" spans="1:14">
      <c r="C645" s="1196"/>
      <c r="D645" s="1196"/>
      <c r="G645" s="1196"/>
      <c r="H645" s="1196"/>
      <c r="I645" s="1203"/>
      <c r="J645" s="1203"/>
      <c r="K645" s="1196"/>
      <c r="L645" s="1196"/>
      <c r="M645" s="1196"/>
      <c r="N645" s="1196"/>
    </row>
    <row r="646" spans="1:14">
      <c r="A646" s="1204"/>
      <c r="C646" s="1196"/>
      <c r="D646" s="1196"/>
      <c r="G646" s="1205"/>
      <c r="I646" s="1202"/>
      <c r="J646" s="1202"/>
      <c r="K646" s="1206"/>
      <c r="L646" s="1206"/>
      <c r="M646" s="1206"/>
      <c r="N646" s="1206"/>
    </row>
  </sheetData>
  <mergeCells count="148">
    <mergeCell ref="EB9:EC9"/>
    <mergeCell ref="ED9:EE9"/>
    <mergeCell ref="EF9:EG9"/>
    <mergeCell ref="EH9:EI9"/>
    <mergeCell ref="C561:E561"/>
    <mergeCell ref="C562:E562"/>
    <mergeCell ref="DP9:DQ9"/>
    <mergeCell ref="DR9:DS9"/>
    <mergeCell ref="DT9:DU9"/>
    <mergeCell ref="DV9:DW9"/>
    <mergeCell ref="DX9:DY9"/>
    <mergeCell ref="DZ9:EA9"/>
    <mergeCell ref="CQ9:CR9"/>
    <mergeCell ref="CS9:DG9"/>
    <mergeCell ref="DH9:DI9"/>
    <mergeCell ref="DJ9:DK9"/>
    <mergeCell ref="DL9:DM9"/>
    <mergeCell ref="DN9:DO9"/>
    <mergeCell ref="BQ9:BR9"/>
    <mergeCell ref="BS9:BT9"/>
    <mergeCell ref="BU9:CJ9"/>
    <mergeCell ref="CK9:CL9"/>
    <mergeCell ref="CM9:CN9"/>
    <mergeCell ref="CO9:CP9"/>
    <mergeCell ref="BE9:BF9"/>
    <mergeCell ref="BG9:BH9"/>
    <mergeCell ref="BI9:BJ9"/>
    <mergeCell ref="BK9:BL9"/>
    <mergeCell ref="BM9:BN9"/>
    <mergeCell ref="BO9:BP9"/>
    <mergeCell ref="AS9:AT9"/>
    <mergeCell ref="AU9:AV9"/>
    <mergeCell ref="AW9:AX9"/>
    <mergeCell ref="AY9:AZ9"/>
    <mergeCell ref="BA9:BB9"/>
    <mergeCell ref="BC9:BD9"/>
    <mergeCell ref="AG9:AH9"/>
    <mergeCell ref="AI9:AJ9"/>
    <mergeCell ref="AK9:AL9"/>
    <mergeCell ref="AM9:AN9"/>
    <mergeCell ref="AO9:AP9"/>
    <mergeCell ref="AQ9:AR9"/>
    <mergeCell ref="DG7:DG8"/>
    <mergeCell ref="E9:F9"/>
    <mergeCell ref="G9:H9"/>
    <mergeCell ref="I9:J9"/>
    <mergeCell ref="K9:L9"/>
    <mergeCell ref="M9:N9"/>
    <mergeCell ref="O9:Q9"/>
    <mergeCell ref="R9:X9"/>
    <mergeCell ref="AC9:AD9"/>
    <mergeCell ref="AE9:AF9"/>
    <mergeCell ref="DA7:DA8"/>
    <mergeCell ref="DB7:DB8"/>
    <mergeCell ref="DC7:DC8"/>
    <mergeCell ref="DD7:DD8"/>
    <mergeCell ref="DE7:DE8"/>
    <mergeCell ref="DF7:DF8"/>
    <mergeCell ref="CG7:CH8"/>
    <mergeCell ref="CI7:CJ8"/>
    <mergeCell ref="Y7:Y8"/>
    <mergeCell ref="Z7:Z8"/>
    <mergeCell ref="AA7:AA8"/>
    <mergeCell ref="AB7:AB8"/>
    <mergeCell ref="BU7:BV8"/>
    <mergeCell ref="BW7:BX8"/>
    <mergeCell ref="CK6:CL8"/>
    <mergeCell ref="BY7:BZ8"/>
    <mergeCell ref="CA7:CB8"/>
    <mergeCell ref="CC7:CD8"/>
    <mergeCell ref="CE7:CF8"/>
    <mergeCell ref="BA6:BB8"/>
    <mergeCell ref="BC6:BD8"/>
    <mergeCell ref="BE6:BF8"/>
    <mergeCell ref="BG6:BH8"/>
    <mergeCell ref="BI6:BJ8"/>
    <mergeCell ref="BK6:BL8"/>
    <mergeCell ref="AO6:AP8"/>
    <mergeCell ref="AQ6:AR8"/>
    <mergeCell ref="AS6:AT8"/>
    <mergeCell ref="BM6:BN8"/>
    <mergeCell ref="BO6:BP8"/>
    <mergeCell ref="BQ6:BR8"/>
    <mergeCell ref="BS6:BT8"/>
    <mergeCell ref="BU6:CJ6"/>
    <mergeCell ref="CS7:CS8"/>
    <mergeCell ref="CT7:CT8"/>
    <mergeCell ref="CU7:CU8"/>
    <mergeCell ref="CV7:CV8"/>
    <mergeCell ref="EB6:EC8"/>
    <mergeCell ref="CM6:CN8"/>
    <mergeCell ref="CO6:CP8"/>
    <mergeCell ref="CQ6:CR8"/>
    <mergeCell ref="CS6:DG6"/>
    <mergeCell ref="DH6:DI8"/>
    <mergeCell ref="DJ6:DK8"/>
    <mergeCell ref="CW7:CW8"/>
    <mergeCell ref="CX7:CX8"/>
    <mergeCell ref="CY7:CY8"/>
    <mergeCell ref="CZ7:CZ8"/>
    <mergeCell ref="A1:V1"/>
    <mergeCell ref="A5:B5"/>
    <mergeCell ref="C5:DM5"/>
    <mergeCell ref="I6:J8"/>
    <mergeCell ref="K6:L8"/>
    <mergeCell ref="M6:N8"/>
    <mergeCell ref="O6:Q6"/>
    <mergeCell ref="R6:X6"/>
    <mergeCell ref="Y6:AB6"/>
    <mergeCell ref="O7:O8"/>
    <mergeCell ref="P7:P8"/>
    <mergeCell ref="Q7:Q8"/>
    <mergeCell ref="R7:R8"/>
    <mergeCell ref="AU6:AV8"/>
    <mergeCell ref="AW6:AX8"/>
    <mergeCell ref="AY6:AZ8"/>
    <mergeCell ref="AC6:AD8"/>
    <mergeCell ref="AE6:AF8"/>
    <mergeCell ref="AG6:AH8"/>
    <mergeCell ref="AI6:AJ8"/>
    <mergeCell ref="AK6:AL8"/>
    <mergeCell ref="AM6:AN8"/>
    <mergeCell ref="DL6:DM8"/>
    <mergeCell ref="S7:S8"/>
    <mergeCell ref="DN5:DU5"/>
    <mergeCell ref="DX5:EG5"/>
    <mergeCell ref="EH5:EI5"/>
    <mergeCell ref="A6:A8"/>
    <mergeCell ref="B6:B8"/>
    <mergeCell ref="C6:C8"/>
    <mergeCell ref="D6:D8"/>
    <mergeCell ref="E6:F8"/>
    <mergeCell ref="G6:H8"/>
    <mergeCell ref="ED6:EE8"/>
    <mergeCell ref="EF6:EG8"/>
    <mergeCell ref="EH6:EI8"/>
    <mergeCell ref="DN6:DO8"/>
    <mergeCell ref="DP6:DQ8"/>
    <mergeCell ref="DR6:DS8"/>
    <mergeCell ref="DT6:DU8"/>
    <mergeCell ref="DV6:DW8"/>
    <mergeCell ref="T7:T8"/>
    <mergeCell ref="U7:U8"/>
    <mergeCell ref="V7:V8"/>
    <mergeCell ref="W7:W8"/>
    <mergeCell ref="X7:X8"/>
    <mergeCell ref="DX6:DY8"/>
    <mergeCell ref="DZ6:EA8"/>
  </mergeCells>
  <pageMargins left="0.51181102362204722" right="0.31496062992125984" top="0.35433070866141736" bottom="0.35433070866141736" header="0.31496062992125984" footer="0.31496062992125984"/>
  <pageSetup paperSize="9" scale="80" orientation="landscape" verticalDpi="0" r:id="rId1"/>
</worksheet>
</file>

<file path=xl/worksheets/sheet36.xml><?xml version="1.0" encoding="utf-8"?>
<worksheet xmlns="http://schemas.openxmlformats.org/spreadsheetml/2006/main" xmlns:r="http://schemas.openxmlformats.org/officeDocument/2006/relationships">
  <sheetPr>
    <tabColor rgb="FF002060"/>
  </sheetPr>
  <dimension ref="A1:K207"/>
  <sheetViews>
    <sheetView view="pageBreakPreview" topLeftCell="A64" zoomScaleSheetLayoutView="100" workbookViewId="0">
      <selection activeCell="H130" sqref="H130"/>
    </sheetView>
  </sheetViews>
  <sheetFormatPr defaultColWidth="9.140625" defaultRowHeight="12.75"/>
  <cols>
    <col min="1" max="1" width="7.140625" style="13" customWidth="1"/>
    <col min="2" max="2" width="8.42578125" style="13" customWidth="1"/>
    <col min="3" max="3" width="8.85546875" style="13" customWidth="1"/>
    <col min="4" max="4" width="11.28515625" style="13" customWidth="1"/>
    <col min="5" max="5" width="10.140625" style="13" customWidth="1"/>
    <col min="6" max="6" width="11" style="13" customWidth="1"/>
    <col min="7" max="7" width="12.7109375" style="13" customWidth="1"/>
    <col min="8" max="8" width="6.42578125" style="13" customWidth="1"/>
    <col min="9" max="9" width="13.42578125" style="13" customWidth="1"/>
    <col min="10" max="10" width="14" style="13" customWidth="1"/>
    <col min="11" max="11" width="13.85546875" style="13" customWidth="1"/>
    <col min="12" max="12" width="10" style="13" bestFit="1" customWidth="1"/>
    <col min="13" max="256" width="9.140625" style="13"/>
    <col min="257" max="257" width="7.140625" style="13" customWidth="1"/>
    <col min="258" max="258" width="8.42578125" style="13" customWidth="1"/>
    <col min="259" max="259" width="8.85546875" style="13" customWidth="1"/>
    <col min="260" max="260" width="11.28515625" style="13" customWidth="1"/>
    <col min="261" max="261" width="10.140625" style="13" customWidth="1"/>
    <col min="262" max="262" width="11" style="13" customWidth="1"/>
    <col min="263" max="263" width="12.7109375" style="13" customWidth="1"/>
    <col min="264" max="264" width="6.42578125" style="13" customWidth="1"/>
    <col min="265" max="265" width="13.42578125" style="13" customWidth="1"/>
    <col min="266" max="266" width="14" style="13" customWidth="1"/>
    <col min="267" max="267" width="14.5703125" style="13" customWidth="1"/>
    <col min="268" max="268" width="10" style="13" bestFit="1" customWidth="1"/>
    <col min="269" max="512" width="9.140625" style="13"/>
    <col min="513" max="513" width="7.140625" style="13" customWidth="1"/>
    <col min="514" max="514" width="8.42578125" style="13" customWidth="1"/>
    <col min="515" max="515" width="8.85546875" style="13" customWidth="1"/>
    <col min="516" max="516" width="11.28515625" style="13" customWidth="1"/>
    <col min="517" max="517" width="10.140625" style="13" customWidth="1"/>
    <col min="518" max="518" width="11" style="13" customWidth="1"/>
    <col min="519" max="519" width="12.7109375" style="13" customWidth="1"/>
    <col min="520" max="520" width="6.42578125" style="13" customWidth="1"/>
    <col min="521" max="521" width="13.42578125" style="13" customWidth="1"/>
    <col min="522" max="522" width="14" style="13" customWidth="1"/>
    <col min="523" max="523" width="14.5703125" style="13" customWidth="1"/>
    <col min="524" max="524" width="10" style="13" bestFit="1" customWidth="1"/>
    <col min="525" max="768" width="9.140625" style="13"/>
    <col min="769" max="769" width="7.140625" style="13" customWidth="1"/>
    <col min="770" max="770" width="8.42578125" style="13" customWidth="1"/>
    <col min="771" max="771" width="8.85546875" style="13" customWidth="1"/>
    <col min="772" max="772" width="11.28515625" style="13" customWidth="1"/>
    <col min="773" max="773" width="10.140625" style="13" customWidth="1"/>
    <col min="774" max="774" width="11" style="13" customWidth="1"/>
    <col min="775" max="775" width="12.7109375" style="13" customWidth="1"/>
    <col min="776" max="776" width="6.42578125" style="13" customWidth="1"/>
    <col min="777" max="777" width="13.42578125" style="13" customWidth="1"/>
    <col min="778" max="778" width="14" style="13" customWidth="1"/>
    <col min="779" max="779" width="14.5703125" style="13" customWidth="1"/>
    <col min="780" max="780" width="10" style="13" bestFit="1" customWidth="1"/>
    <col min="781" max="1024" width="9.140625" style="13"/>
    <col min="1025" max="1025" width="7.140625" style="13" customWidth="1"/>
    <col min="1026" max="1026" width="8.42578125" style="13" customWidth="1"/>
    <col min="1027" max="1027" width="8.85546875" style="13" customWidth="1"/>
    <col min="1028" max="1028" width="11.28515625" style="13" customWidth="1"/>
    <col min="1029" max="1029" width="10.140625" style="13" customWidth="1"/>
    <col min="1030" max="1030" width="11" style="13" customWidth="1"/>
    <col min="1031" max="1031" width="12.7109375" style="13" customWidth="1"/>
    <col min="1032" max="1032" width="6.42578125" style="13" customWidth="1"/>
    <col min="1033" max="1033" width="13.42578125" style="13" customWidth="1"/>
    <col min="1034" max="1034" width="14" style="13" customWidth="1"/>
    <col min="1035" max="1035" width="14.5703125" style="13" customWidth="1"/>
    <col min="1036" max="1036" width="10" style="13" bestFit="1" customWidth="1"/>
    <col min="1037" max="1280" width="9.140625" style="13"/>
    <col min="1281" max="1281" width="7.140625" style="13" customWidth="1"/>
    <col min="1282" max="1282" width="8.42578125" style="13" customWidth="1"/>
    <col min="1283" max="1283" width="8.85546875" style="13" customWidth="1"/>
    <col min="1284" max="1284" width="11.28515625" style="13" customWidth="1"/>
    <col min="1285" max="1285" width="10.140625" style="13" customWidth="1"/>
    <col min="1286" max="1286" width="11" style="13" customWidth="1"/>
    <col min="1287" max="1287" width="12.7109375" style="13" customWidth="1"/>
    <col min="1288" max="1288" width="6.42578125" style="13" customWidth="1"/>
    <col min="1289" max="1289" width="13.42578125" style="13" customWidth="1"/>
    <col min="1290" max="1290" width="14" style="13" customWidth="1"/>
    <col min="1291" max="1291" width="14.5703125" style="13" customWidth="1"/>
    <col min="1292" max="1292" width="10" style="13" bestFit="1" customWidth="1"/>
    <col min="1293" max="1536" width="9.140625" style="13"/>
    <col min="1537" max="1537" width="7.140625" style="13" customWidth="1"/>
    <col min="1538" max="1538" width="8.42578125" style="13" customWidth="1"/>
    <col min="1539" max="1539" width="8.85546875" style="13" customWidth="1"/>
    <col min="1540" max="1540" width="11.28515625" style="13" customWidth="1"/>
    <col min="1541" max="1541" width="10.140625" style="13" customWidth="1"/>
    <col min="1542" max="1542" width="11" style="13" customWidth="1"/>
    <col min="1543" max="1543" width="12.7109375" style="13" customWidth="1"/>
    <col min="1544" max="1544" width="6.42578125" style="13" customWidth="1"/>
    <col min="1545" max="1545" width="13.42578125" style="13" customWidth="1"/>
    <col min="1546" max="1546" width="14" style="13" customWidth="1"/>
    <col min="1547" max="1547" width="14.5703125" style="13" customWidth="1"/>
    <col min="1548" max="1548" width="10" style="13" bestFit="1" customWidth="1"/>
    <col min="1549" max="1792" width="9.140625" style="13"/>
    <col min="1793" max="1793" width="7.140625" style="13" customWidth="1"/>
    <col min="1794" max="1794" width="8.42578125" style="13" customWidth="1"/>
    <col min="1795" max="1795" width="8.85546875" style="13" customWidth="1"/>
    <col min="1796" max="1796" width="11.28515625" style="13" customWidth="1"/>
    <col min="1797" max="1797" width="10.140625" style="13" customWidth="1"/>
    <col min="1798" max="1798" width="11" style="13" customWidth="1"/>
    <col min="1799" max="1799" width="12.7109375" style="13" customWidth="1"/>
    <col min="1800" max="1800" width="6.42578125" style="13" customWidth="1"/>
    <col min="1801" max="1801" width="13.42578125" style="13" customWidth="1"/>
    <col min="1802" max="1802" width="14" style="13" customWidth="1"/>
    <col min="1803" max="1803" width="14.5703125" style="13" customWidth="1"/>
    <col min="1804" max="1804" width="10" style="13" bestFit="1" customWidth="1"/>
    <col min="1805" max="2048" width="9.140625" style="13"/>
    <col min="2049" max="2049" width="7.140625" style="13" customWidth="1"/>
    <col min="2050" max="2050" width="8.42578125" style="13" customWidth="1"/>
    <col min="2051" max="2051" width="8.85546875" style="13" customWidth="1"/>
    <col min="2052" max="2052" width="11.28515625" style="13" customWidth="1"/>
    <col min="2053" max="2053" width="10.140625" style="13" customWidth="1"/>
    <col min="2054" max="2054" width="11" style="13" customWidth="1"/>
    <col min="2055" max="2055" width="12.7109375" style="13" customWidth="1"/>
    <col min="2056" max="2056" width="6.42578125" style="13" customWidth="1"/>
    <col min="2057" max="2057" width="13.42578125" style="13" customWidth="1"/>
    <col min="2058" max="2058" width="14" style="13" customWidth="1"/>
    <col min="2059" max="2059" width="14.5703125" style="13" customWidth="1"/>
    <col min="2060" max="2060" width="10" style="13" bestFit="1" customWidth="1"/>
    <col min="2061" max="2304" width="9.140625" style="13"/>
    <col min="2305" max="2305" width="7.140625" style="13" customWidth="1"/>
    <col min="2306" max="2306" width="8.42578125" style="13" customWidth="1"/>
    <col min="2307" max="2307" width="8.85546875" style="13" customWidth="1"/>
    <col min="2308" max="2308" width="11.28515625" style="13" customWidth="1"/>
    <col min="2309" max="2309" width="10.140625" style="13" customWidth="1"/>
    <col min="2310" max="2310" width="11" style="13" customWidth="1"/>
    <col min="2311" max="2311" width="12.7109375" style="13" customWidth="1"/>
    <col min="2312" max="2312" width="6.42578125" style="13" customWidth="1"/>
    <col min="2313" max="2313" width="13.42578125" style="13" customWidth="1"/>
    <col min="2314" max="2314" width="14" style="13" customWidth="1"/>
    <col min="2315" max="2315" width="14.5703125" style="13" customWidth="1"/>
    <col min="2316" max="2316" width="10" style="13" bestFit="1" customWidth="1"/>
    <col min="2317" max="2560" width="9.140625" style="13"/>
    <col min="2561" max="2561" width="7.140625" style="13" customWidth="1"/>
    <col min="2562" max="2562" width="8.42578125" style="13" customWidth="1"/>
    <col min="2563" max="2563" width="8.85546875" style="13" customWidth="1"/>
    <col min="2564" max="2564" width="11.28515625" style="13" customWidth="1"/>
    <col min="2565" max="2565" width="10.140625" style="13" customWidth="1"/>
    <col min="2566" max="2566" width="11" style="13" customWidth="1"/>
    <col min="2567" max="2567" width="12.7109375" style="13" customWidth="1"/>
    <col min="2568" max="2568" width="6.42578125" style="13" customWidth="1"/>
    <col min="2569" max="2569" width="13.42578125" style="13" customWidth="1"/>
    <col min="2570" max="2570" width="14" style="13" customWidth="1"/>
    <col min="2571" max="2571" width="14.5703125" style="13" customWidth="1"/>
    <col min="2572" max="2572" width="10" style="13" bestFit="1" customWidth="1"/>
    <col min="2573" max="2816" width="9.140625" style="13"/>
    <col min="2817" max="2817" width="7.140625" style="13" customWidth="1"/>
    <col min="2818" max="2818" width="8.42578125" style="13" customWidth="1"/>
    <col min="2819" max="2819" width="8.85546875" style="13" customWidth="1"/>
    <col min="2820" max="2820" width="11.28515625" style="13" customWidth="1"/>
    <col min="2821" max="2821" width="10.140625" style="13" customWidth="1"/>
    <col min="2822" max="2822" width="11" style="13" customWidth="1"/>
    <col min="2823" max="2823" width="12.7109375" style="13" customWidth="1"/>
    <col min="2824" max="2824" width="6.42578125" style="13" customWidth="1"/>
    <col min="2825" max="2825" width="13.42578125" style="13" customWidth="1"/>
    <col min="2826" max="2826" width="14" style="13" customWidth="1"/>
    <col min="2827" max="2827" width="14.5703125" style="13" customWidth="1"/>
    <col min="2828" max="2828" width="10" style="13" bestFit="1" customWidth="1"/>
    <col min="2829" max="3072" width="9.140625" style="13"/>
    <col min="3073" max="3073" width="7.140625" style="13" customWidth="1"/>
    <col min="3074" max="3074" width="8.42578125" style="13" customWidth="1"/>
    <col min="3075" max="3075" width="8.85546875" style="13" customWidth="1"/>
    <col min="3076" max="3076" width="11.28515625" style="13" customWidth="1"/>
    <col min="3077" max="3077" width="10.140625" style="13" customWidth="1"/>
    <col min="3078" max="3078" width="11" style="13" customWidth="1"/>
    <col min="3079" max="3079" width="12.7109375" style="13" customWidth="1"/>
    <col min="3080" max="3080" width="6.42578125" style="13" customWidth="1"/>
    <col min="3081" max="3081" width="13.42578125" style="13" customWidth="1"/>
    <col min="3082" max="3082" width="14" style="13" customWidth="1"/>
    <col min="3083" max="3083" width="14.5703125" style="13" customWidth="1"/>
    <col min="3084" max="3084" width="10" style="13" bestFit="1" customWidth="1"/>
    <col min="3085" max="3328" width="9.140625" style="13"/>
    <col min="3329" max="3329" width="7.140625" style="13" customWidth="1"/>
    <col min="3330" max="3330" width="8.42578125" style="13" customWidth="1"/>
    <col min="3331" max="3331" width="8.85546875" style="13" customWidth="1"/>
    <col min="3332" max="3332" width="11.28515625" style="13" customWidth="1"/>
    <col min="3333" max="3333" width="10.140625" style="13" customWidth="1"/>
    <col min="3334" max="3334" width="11" style="13" customWidth="1"/>
    <col min="3335" max="3335" width="12.7109375" style="13" customWidth="1"/>
    <col min="3336" max="3336" width="6.42578125" style="13" customWidth="1"/>
    <col min="3337" max="3337" width="13.42578125" style="13" customWidth="1"/>
    <col min="3338" max="3338" width="14" style="13" customWidth="1"/>
    <col min="3339" max="3339" width="14.5703125" style="13" customWidth="1"/>
    <col min="3340" max="3340" width="10" style="13" bestFit="1" customWidth="1"/>
    <col min="3341" max="3584" width="9.140625" style="13"/>
    <col min="3585" max="3585" width="7.140625" style="13" customWidth="1"/>
    <col min="3586" max="3586" width="8.42578125" style="13" customWidth="1"/>
    <col min="3587" max="3587" width="8.85546875" style="13" customWidth="1"/>
    <col min="3588" max="3588" width="11.28515625" style="13" customWidth="1"/>
    <col min="3589" max="3589" width="10.140625" style="13" customWidth="1"/>
    <col min="3590" max="3590" width="11" style="13" customWidth="1"/>
    <col min="3591" max="3591" width="12.7109375" style="13" customWidth="1"/>
    <col min="3592" max="3592" width="6.42578125" style="13" customWidth="1"/>
    <col min="3593" max="3593" width="13.42578125" style="13" customWidth="1"/>
    <col min="3594" max="3594" width="14" style="13" customWidth="1"/>
    <col min="3595" max="3595" width="14.5703125" style="13" customWidth="1"/>
    <col min="3596" max="3596" width="10" style="13" bestFit="1" customWidth="1"/>
    <col min="3597" max="3840" width="9.140625" style="13"/>
    <col min="3841" max="3841" width="7.140625" style="13" customWidth="1"/>
    <col min="3842" max="3842" width="8.42578125" style="13" customWidth="1"/>
    <col min="3843" max="3843" width="8.85546875" style="13" customWidth="1"/>
    <col min="3844" max="3844" width="11.28515625" style="13" customWidth="1"/>
    <col min="3845" max="3845" width="10.140625" style="13" customWidth="1"/>
    <col min="3846" max="3846" width="11" style="13" customWidth="1"/>
    <col min="3847" max="3847" width="12.7109375" style="13" customWidth="1"/>
    <col min="3848" max="3848" width="6.42578125" style="13" customWidth="1"/>
    <col min="3849" max="3849" width="13.42578125" style="13" customWidth="1"/>
    <col min="3850" max="3850" width="14" style="13" customWidth="1"/>
    <col min="3851" max="3851" width="14.5703125" style="13" customWidth="1"/>
    <col min="3852" max="3852" width="10" style="13" bestFit="1" customWidth="1"/>
    <col min="3853" max="4096" width="9.140625" style="13"/>
    <col min="4097" max="4097" width="7.140625" style="13" customWidth="1"/>
    <col min="4098" max="4098" width="8.42578125" style="13" customWidth="1"/>
    <col min="4099" max="4099" width="8.85546875" style="13" customWidth="1"/>
    <col min="4100" max="4100" width="11.28515625" style="13" customWidth="1"/>
    <col min="4101" max="4101" width="10.140625" style="13" customWidth="1"/>
    <col min="4102" max="4102" width="11" style="13" customWidth="1"/>
    <col min="4103" max="4103" width="12.7109375" style="13" customWidth="1"/>
    <col min="4104" max="4104" width="6.42578125" style="13" customWidth="1"/>
    <col min="4105" max="4105" width="13.42578125" style="13" customWidth="1"/>
    <col min="4106" max="4106" width="14" style="13" customWidth="1"/>
    <col min="4107" max="4107" width="14.5703125" style="13" customWidth="1"/>
    <col min="4108" max="4108" width="10" style="13" bestFit="1" customWidth="1"/>
    <col min="4109" max="4352" width="9.140625" style="13"/>
    <col min="4353" max="4353" width="7.140625" style="13" customWidth="1"/>
    <col min="4354" max="4354" width="8.42578125" style="13" customWidth="1"/>
    <col min="4355" max="4355" width="8.85546875" style="13" customWidth="1"/>
    <col min="4356" max="4356" width="11.28515625" style="13" customWidth="1"/>
    <col min="4357" max="4357" width="10.140625" style="13" customWidth="1"/>
    <col min="4358" max="4358" width="11" style="13" customWidth="1"/>
    <col min="4359" max="4359" width="12.7109375" style="13" customWidth="1"/>
    <col min="4360" max="4360" width="6.42578125" style="13" customWidth="1"/>
    <col min="4361" max="4361" width="13.42578125" style="13" customWidth="1"/>
    <col min="4362" max="4362" width="14" style="13" customWidth="1"/>
    <col min="4363" max="4363" width="14.5703125" style="13" customWidth="1"/>
    <col min="4364" max="4364" width="10" style="13" bestFit="1" customWidth="1"/>
    <col min="4365" max="4608" width="9.140625" style="13"/>
    <col min="4609" max="4609" width="7.140625" style="13" customWidth="1"/>
    <col min="4610" max="4610" width="8.42578125" style="13" customWidth="1"/>
    <col min="4611" max="4611" width="8.85546875" style="13" customWidth="1"/>
    <col min="4612" max="4612" width="11.28515625" style="13" customWidth="1"/>
    <col min="4613" max="4613" width="10.140625" style="13" customWidth="1"/>
    <col min="4614" max="4614" width="11" style="13" customWidth="1"/>
    <col min="4615" max="4615" width="12.7109375" style="13" customWidth="1"/>
    <col min="4616" max="4616" width="6.42578125" style="13" customWidth="1"/>
    <col min="4617" max="4617" width="13.42578125" style="13" customWidth="1"/>
    <col min="4618" max="4618" width="14" style="13" customWidth="1"/>
    <col min="4619" max="4619" width="14.5703125" style="13" customWidth="1"/>
    <col min="4620" max="4620" width="10" style="13" bestFit="1" customWidth="1"/>
    <col min="4621" max="4864" width="9.140625" style="13"/>
    <col min="4865" max="4865" width="7.140625" style="13" customWidth="1"/>
    <col min="4866" max="4866" width="8.42578125" style="13" customWidth="1"/>
    <col min="4867" max="4867" width="8.85546875" style="13" customWidth="1"/>
    <col min="4868" max="4868" width="11.28515625" style="13" customWidth="1"/>
    <col min="4869" max="4869" width="10.140625" style="13" customWidth="1"/>
    <col min="4870" max="4870" width="11" style="13" customWidth="1"/>
    <col min="4871" max="4871" width="12.7109375" style="13" customWidth="1"/>
    <col min="4872" max="4872" width="6.42578125" style="13" customWidth="1"/>
    <col min="4873" max="4873" width="13.42578125" style="13" customWidth="1"/>
    <col min="4874" max="4874" width="14" style="13" customWidth="1"/>
    <col min="4875" max="4875" width="14.5703125" style="13" customWidth="1"/>
    <col min="4876" max="4876" width="10" style="13" bestFit="1" customWidth="1"/>
    <col min="4877" max="5120" width="9.140625" style="13"/>
    <col min="5121" max="5121" width="7.140625" style="13" customWidth="1"/>
    <col min="5122" max="5122" width="8.42578125" style="13" customWidth="1"/>
    <col min="5123" max="5123" width="8.85546875" style="13" customWidth="1"/>
    <col min="5124" max="5124" width="11.28515625" style="13" customWidth="1"/>
    <col min="5125" max="5125" width="10.140625" style="13" customWidth="1"/>
    <col min="5126" max="5126" width="11" style="13" customWidth="1"/>
    <col min="5127" max="5127" width="12.7109375" style="13" customWidth="1"/>
    <col min="5128" max="5128" width="6.42578125" style="13" customWidth="1"/>
    <col min="5129" max="5129" width="13.42578125" style="13" customWidth="1"/>
    <col min="5130" max="5130" width="14" style="13" customWidth="1"/>
    <col min="5131" max="5131" width="14.5703125" style="13" customWidth="1"/>
    <col min="5132" max="5132" width="10" style="13" bestFit="1" customWidth="1"/>
    <col min="5133" max="5376" width="9.140625" style="13"/>
    <col min="5377" max="5377" width="7.140625" style="13" customWidth="1"/>
    <col min="5378" max="5378" width="8.42578125" style="13" customWidth="1"/>
    <col min="5379" max="5379" width="8.85546875" style="13" customWidth="1"/>
    <col min="5380" max="5380" width="11.28515625" style="13" customWidth="1"/>
    <col min="5381" max="5381" width="10.140625" style="13" customWidth="1"/>
    <col min="5382" max="5382" width="11" style="13" customWidth="1"/>
    <col min="5383" max="5383" width="12.7109375" style="13" customWidth="1"/>
    <col min="5384" max="5384" width="6.42578125" style="13" customWidth="1"/>
    <col min="5385" max="5385" width="13.42578125" style="13" customWidth="1"/>
    <col min="5386" max="5386" width="14" style="13" customWidth="1"/>
    <col min="5387" max="5387" width="14.5703125" style="13" customWidth="1"/>
    <col min="5388" max="5388" width="10" style="13" bestFit="1" customWidth="1"/>
    <col min="5389" max="5632" width="9.140625" style="13"/>
    <col min="5633" max="5633" width="7.140625" style="13" customWidth="1"/>
    <col min="5634" max="5634" width="8.42578125" style="13" customWidth="1"/>
    <col min="5635" max="5635" width="8.85546875" style="13" customWidth="1"/>
    <col min="5636" max="5636" width="11.28515625" style="13" customWidth="1"/>
    <col min="5637" max="5637" width="10.140625" style="13" customWidth="1"/>
    <col min="5638" max="5638" width="11" style="13" customWidth="1"/>
    <col min="5639" max="5639" width="12.7109375" style="13" customWidth="1"/>
    <col min="5640" max="5640" width="6.42578125" style="13" customWidth="1"/>
    <col min="5641" max="5641" width="13.42578125" style="13" customWidth="1"/>
    <col min="5642" max="5642" width="14" style="13" customWidth="1"/>
    <col min="5643" max="5643" width="14.5703125" style="13" customWidth="1"/>
    <col min="5644" max="5644" width="10" style="13" bestFit="1" customWidth="1"/>
    <col min="5645" max="5888" width="9.140625" style="13"/>
    <col min="5889" max="5889" width="7.140625" style="13" customWidth="1"/>
    <col min="5890" max="5890" width="8.42578125" style="13" customWidth="1"/>
    <col min="5891" max="5891" width="8.85546875" style="13" customWidth="1"/>
    <col min="5892" max="5892" width="11.28515625" style="13" customWidth="1"/>
    <col min="5893" max="5893" width="10.140625" style="13" customWidth="1"/>
    <col min="5894" max="5894" width="11" style="13" customWidth="1"/>
    <col min="5895" max="5895" width="12.7109375" style="13" customWidth="1"/>
    <col min="5896" max="5896" width="6.42578125" style="13" customWidth="1"/>
    <col min="5897" max="5897" width="13.42578125" style="13" customWidth="1"/>
    <col min="5898" max="5898" width="14" style="13" customWidth="1"/>
    <col min="5899" max="5899" width="14.5703125" style="13" customWidth="1"/>
    <col min="5900" max="5900" width="10" style="13" bestFit="1" customWidth="1"/>
    <col min="5901" max="6144" width="9.140625" style="13"/>
    <col min="6145" max="6145" width="7.140625" style="13" customWidth="1"/>
    <col min="6146" max="6146" width="8.42578125" style="13" customWidth="1"/>
    <col min="6147" max="6147" width="8.85546875" style="13" customWidth="1"/>
    <col min="6148" max="6148" width="11.28515625" style="13" customWidth="1"/>
    <col min="6149" max="6149" width="10.140625" style="13" customWidth="1"/>
    <col min="6150" max="6150" width="11" style="13" customWidth="1"/>
    <col min="6151" max="6151" width="12.7109375" style="13" customWidth="1"/>
    <col min="6152" max="6152" width="6.42578125" style="13" customWidth="1"/>
    <col min="6153" max="6153" width="13.42578125" style="13" customWidth="1"/>
    <col min="6154" max="6154" width="14" style="13" customWidth="1"/>
    <col min="6155" max="6155" width="14.5703125" style="13" customWidth="1"/>
    <col min="6156" max="6156" width="10" style="13" bestFit="1" customWidth="1"/>
    <col min="6157" max="6400" width="9.140625" style="13"/>
    <col min="6401" max="6401" width="7.140625" style="13" customWidth="1"/>
    <col min="6402" max="6402" width="8.42578125" style="13" customWidth="1"/>
    <col min="6403" max="6403" width="8.85546875" style="13" customWidth="1"/>
    <col min="6404" max="6404" width="11.28515625" style="13" customWidth="1"/>
    <col min="6405" max="6405" width="10.140625" style="13" customWidth="1"/>
    <col min="6406" max="6406" width="11" style="13" customWidth="1"/>
    <col min="6407" max="6407" width="12.7109375" style="13" customWidth="1"/>
    <col min="6408" max="6408" width="6.42578125" style="13" customWidth="1"/>
    <col min="6409" max="6409" width="13.42578125" style="13" customWidth="1"/>
    <col min="6410" max="6410" width="14" style="13" customWidth="1"/>
    <col min="6411" max="6411" width="14.5703125" style="13" customWidth="1"/>
    <col min="6412" max="6412" width="10" style="13" bestFit="1" customWidth="1"/>
    <col min="6413" max="6656" width="9.140625" style="13"/>
    <col min="6657" max="6657" width="7.140625" style="13" customWidth="1"/>
    <col min="6658" max="6658" width="8.42578125" style="13" customWidth="1"/>
    <col min="6659" max="6659" width="8.85546875" style="13" customWidth="1"/>
    <col min="6660" max="6660" width="11.28515625" style="13" customWidth="1"/>
    <col min="6661" max="6661" width="10.140625" style="13" customWidth="1"/>
    <col min="6662" max="6662" width="11" style="13" customWidth="1"/>
    <col min="6663" max="6663" width="12.7109375" style="13" customWidth="1"/>
    <col min="6664" max="6664" width="6.42578125" style="13" customWidth="1"/>
    <col min="6665" max="6665" width="13.42578125" style="13" customWidth="1"/>
    <col min="6666" max="6666" width="14" style="13" customWidth="1"/>
    <col min="6667" max="6667" width="14.5703125" style="13" customWidth="1"/>
    <col min="6668" max="6668" width="10" style="13" bestFit="1" customWidth="1"/>
    <col min="6669" max="6912" width="9.140625" style="13"/>
    <col min="6913" max="6913" width="7.140625" style="13" customWidth="1"/>
    <col min="6914" max="6914" width="8.42578125" style="13" customWidth="1"/>
    <col min="6915" max="6915" width="8.85546875" style="13" customWidth="1"/>
    <col min="6916" max="6916" width="11.28515625" style="13" customWidth="1"/>
    <col min="6917" max="6917" width="10.140625" style="13" customWidth="1"/>
    <col min="6918" max="6918" width="11" style="13" customWidth="1"/>
    <col min="6919" max="6919" width="12.7109375" style="13" customWidth="1"/>
    <col min="6920" max="6920" width="6.42578125" style="13" customWidth="1"/>
    <col min="6921" max="6921" width="13.42578125" style="13" customWidth="1"/>
    <col min="6922" max="6922" width="14" style="13" customWidth="1"/>
    <col min="6923" max="6923" width="14.5703125" style="13" customWidth="1"/>
    <col min="6924" max="6924" width="10" style="13" bestFit="1" customWidth="1"/>
    <col min="6925" max="7168" width="9.140625" style="13"/>
    <col min="7169" max="7169" width="7.140625" style="13" customWidth="1"/>
    <col min="7170" max="7170" width="8.42578125" style="13" customWidth="1"/>
    <col min="7171" max="7171" width="8.85546875" style="13" customWidth="1"/>
    <col min="7172" max="7172" width="11.28515625" style="13" customWidth="1"/>
    <col min="7173" max="7173" width="10.140625" style="13" customWidth="1"/>
    <col min="7174" max="7174" width="11" style="13" customWidth="1"/>
    <col min="7175" max="7175" width="12.7109375" style="13" customWidth="1"/>
    <col min="7176" max="7176" width="6.42578125" style="13" customWidth="1"/>
    <col min="7177" max="7177" width="13.42578125" style="13" customWidth="1"/>
    <col min="7178" max="7178" width="14" style="13" customWidth="1"/>
    <col min="7179" max="7179" width="14.5703125" style="13" customWidth="1"/>
    <col min="7180" max="7180" width="10" style="13" bestFit="1" customWidth="1"/>
    <col min="7181" max="7424" width="9.140625" style="13"/>
    <col min="7425" max="7425" width="7.140625" style="13" customWidth="1"/>
    <col min="7426" max="7426" width="8.42578125" style="13" customWidth="1"/>
    <col min="7427" max="7427" width="8.85546875" style="13" customWidth="1"/>
    <col min="7428" max="7428" width="11.28515625" style="13" customWidth="1"/>
    <col min="7429" max="7429" width="10.140625" style="13" customWidth="1"/>
    <col min="7430" max="7430" width="11" style="13" customWidth="1"/>
    <col min="7431" max="7431" width="12.7109375" style="13" customWidth="1"/>
    <col min="7432" max="7432" width="6.42578125" style="13" customWidth="1"/>
    <col min="7433" max="7433" width="13.42578125" style="13" customWidth="1"/>
    <col min="7434" max="7434" width="14" style="13" customWidth="1"/>
    <col min="7435" max="7435" width="14.5703125" style="13" customWidth="1"/>
    <col min="7436" max="7436" width="10" style="13" bestFit="1" customWidth="1"/>
    <col min="7437" max="7680" width="9.140625" style="13"/>
    <col min="7681" max="7681" width="7.140625" style="13" customWidth="1"/>
    <col min="7682" max="7682" width="8.42578125" style="13" customWidth="1"/>
    <col min="7683" max="7683" width="8.85546875" style="13" customWidth="1"/>
    <col min="7684" max="7684" width="11.28515625" style="13" customWidth="1"/>
    <col min="7685" max="7685" width="10.140625" style="13" customWidth="1"/>
    <col min="7686" max="7686" width="11" style="13" customWidth="1"/>
    <col min="7687" max="7687" width="12.7109375" style="13" customWidth="1"/>
    <col min="7688" max="7688" width="6.42578125" style="13" customWidth="1"/>
    <col min="7689" max="7689" width="13.42578125" style="13" customWidth="1"/>
    <col min="7690" max="7690" width="14" style="13" customWidth="1"/>
    <col min="7691" max="7691" width="14.5703125" style="13" customWidth="1"/>
    <col min="7692" max="7692" width="10" style="13" bestFit="1" customWidth="1"/>
    <col min="7693" max="7936" width="9.140625" style="13"/>
    <col min="7937" max="7937" width="7.140625" style="13" customWidth="1"/>
    <col min="7938" max="7938" width="8.42578125" style="13" customWidth="1"/>
    <col min="7939" max="7939" width="8.85546875" style="13" customWidth="1"/>
    <col min="7940" max="7940" width="11.28515625" style="13" customWidth="1"/>
    <col min="7941" max="7941" width="10.140625" style="13" customWidth="1"/>
    <col min="7942" max="7942" width="11" style="13" customWidth="1"/>
    <col min="7943" max="7943" width="12.7109375" style="13" customWidth="1"/>
    <col min="7944" max="7944" width="6.42578125" style="13" customWidth="1"/>
    <col min="7945" max="7945" width="13.42578125" style="13" customWidth="1"/>
    <col min="7946" max="7946" width="14" style="13" customWidth="1"/>
    <col min="7947" max="7947" width="14.5703125" style="13" customWidth="1"/>
    <col min="7948" max="7948" width="10" style="13" bestFit="1" customWidth="1"/>
    <col min="7949" max="8192" width="9.140625" style="13"/>
    <col min="8193" max="8193" width="7.140625" style="13" customWidth="1"/>
    <col min="8194" max="8194" width="8.42578125" style="13" customWidth="1"/>
    <col min="8195" max="8195" width="8.85546875" style="13" customWidth="1"/>
    <col min="8196" max="8196" width="11.28515625" style="13" customWidth="1"/>
    <col min="8197" max="8197" width="10.140625" style="13" customWidth="1"/>
    <col min="8198" max="8198" width="11" style="13" customWidth="1"/>
    <col min="8199" max="8199" width="12.7109375" style="13" customWidth="1"/>
    <col min="8200" max="8200" width="6.42578125" style="13" customWidth="1"/>
    <col min="8201" max="8201" width="13.42578125" style="13" customWidth="1"/>
    <col min="8202" max="8202" width="14" style="13" customWidth="1"/>
    <col min="8203" max="8203" width="14.5703125" style="13" customWidth="1"/>
    <col min="8204" max="8204" width="10" style="13" bestFit="1" customWidth="1"/>
    <col min="8205" max="8448" width="9.140625" style="13"/>
    <col min="8449" max="8449" width="7.140625" style="13" customWidth="1"/>
    <col min="8450" max="8450" width="8.42578125" style="13" customWidth="1"/>
    <col min="8451" max="8451" width="8.85546875" style="13" customWidth="1"/>
    <col min="8452" max="8452" width="11.28515625" style="13" customWidth="1"/>
    <col min="8453" max="8453" width="10.140625" style="13" customWidth="1"/>
    <col min="8454" max="8454" width="11" style="13" customWidth="1"/>
    <col min="8455" max="8455" width="12.7109375" style="13" customWidth="1"/>
    <col min="8456" max="8456" width="6.42578125" style="13" customWidth="1"/>
    <col min="8457" max="8457" width="13.42578125" style="13" customWidth="1"/>
    <col min="8458" max="8458" width="14" style="13" customWidth="1"/>
    <col min="8459" max="8459" width="14.5703125" style="13" customWidth="1"/>
    <col min="8460" max="8460" width="10" style="13" bestFit="1" customWidth="1"/>
    <col min="8461" max="8704" width="9.140625" style="13"/>
    <col min="8705" max="8705" width="7.140625" style="13" customWidth="1"/>
    <col min="8706" max="8706" width="8.42578125" style="13" customWidth="1"/>
    <col min="8707" max="8707" width="8.85546875" style="13" customWidth="1"/>
    <col min="8708" max="8708" width="11.28515625" style="13" customWidth="1"/>
    <col min="8709" max="8709" width="10.140625" style="13" customWidth="1"/>
    <col min="8710" max="8710" width="11" style="13" customWidth="1"/>
    <col min="8711" max="8711" width="12.7109375" style="13" customWidth="1"/>
    <col min="8712" max="8712" width="6.42578125" style="13" customWidth="1"/>
    <col min="8713" max="8713" width="13.42578125" style="13" customWidth="1"/>
    <col min="8714" max="8714" width="14" style="13" customWidth="1"/>
    <col min="8715" max="8715" width="14.5703125" style="13" customWidth="1"/>
    <col min="8716" max="8716" width="10" style="13" bestFit="1" customWidth="1"/>
    <col min="8717" max="8960" width="9.140625" style="13"/>
    <col min="8961" max="8961" width="7.140625" style="13" customWidth="1"/>
    <col min="8962" max="8962" width="8.42578125" style="13" customWidth="1"/>
    <col min="8963" max="8963" width="8.85546875" style="13" customWidth="1"/>
    <col min="8964" max="8964" width="11.28515625" style="13" customWidth="1"/>
    <col min="8965" max="8965" width="10.140625" style="13" customWidth="1"/>
    <col min="8966" max="8966" width="11" style="13" customWidth="1"/>
    <col min="8967" max="8967" width="12.7109375" style="13" customWidth="1"/>
    <col min="8968" max="8968" width="6.42578125" style="13" customWidth="1"/>
    <col min="8969" max="8969" width="13.42578125" style="13" customWidth="1"/>
    <col min="8970" max="8970" width="14" style="13" customWidth="1"/>
    <col min="8971" max="8971" width="14.5703125" style="13" customWidth="1"/>
    <col min="8972" max="8972" width="10" style="13" bestFit="1" customWidth="1"/>
    <col min="8973" max="9216" width="9.140625" style="13"/>
    <col min="9217" max="9217" width="7.140625" style="13" customWidth="1"/>
    <col min="9218" max="9218" width="8.42578125" style="13" customWidth="1"/>
    <col min="9219" max="9219" width="8.85546875" style="13" customWidth="1"/>
    <col min="9220" max="9220" width="11.28515625" style="13" customWidth="1"/>
    <col min="9221" max="9221" width="10.140625" style="13" customWidth="1"/>
    <col min="9222" max="9222" width="11" style="13" customWidth="1"/>
    <col min="9223" max="9223" width="12.7109375" style="13" customWidth="1"/>
    <col min="9224" max="9224" width="6.42578125" style="13" customWidth="1"/>
    <col min="9225" max="9225" width="13.42578125" style="13" customWidth="1"/>
    <col min="9226" max="9226" width="14" style="13" customWidth="1"/>
    <col min="9227" max="9227" width="14.5703125" style="13" customWidth="1"/>
    <col min="9228" max="9228" width="10" style="13" bestFit="1" customWidth="1"/>
    <col min="9229" max="9472" width="9.140625" style="13"/>
    <col min="9473" max="9473" width="7.140625" style="13" customWidth="1"/>
    <col min="9474" max="9474" width="8.42578125" style="13" customWidth="1"/>
    <col min="9475" max="9475" width="8.85546875" style="13" customWidth="1"/>
    <col min="9476" max="9476" width="11.28515625" style="13" customWidth="1"/>
    <col min="9477" max="9477" width="10.140625" style="13" customWidth="1"/>
    <col min="9478" max="9478" width="11" style="13" customWidth="1"/>
    <col min="9479" max="9479" width="12.7109375" style="13" customWidth="1"/>
    <col min="9480" max="9480" width="6.42578125" style="13" customWidth="1"/>
    <col min="9481" max="9481" width="13.42578125" style="13" customWidth="1"/>
    <col min="9482" max="9482" width="14" style="13" customWidth="1"/>
    <col min="9483" max="9483" width="14.5703125" style="13" customWidth="1"/>
    <col min="9484" max="9484" width="10" style="13" bestFit="1" customWidth="1"/>
    <col min="9485" max="9728" width="9.140625" style="13"/>
    <col min="9729" max="9729" width="7.140625" style="13" customWidth="1"/>
    <col min="9730" max="9730" width="8.42578125" style="13" customWidth="1"/>
    <col min="9731" max="9731" width="8.85546875" style="13" customWidth="1"/>
    <col min="9732" max="9732" width="11.28515625" style="13" customWidth="1"/>
    <col min="9733" max="9733" width="10.140625" style="13" customWidth="1"/>
    <col min="9734" max="9734" width="11" style="13" customWidth="1"/>
    <col min="9735" max="9735" width="12.7109375" style="13" customWidth="1"/>
    <col min="9736" max="9736" width="6.42578125" style="13" customWidth="1"/>
    <col min="9737" max="9737" width="13.42578125" style="13" customWidth="1"/>
    <col min="9738" max="9738" width="14" style="13" customWidth="1"/>
    <col min="9739" max="9739" width="14.5703125" style="13" customWidth="1"/>
    <col min="9740" max="9740" width="10" style="13" bestFit="1" customWidth="1"/>
    <col min="9741" max="9984" width="9.140625" style="13"/>
    <col min="9985" max="9985" width="7.140625" style="13" customWidth="1"/>
    <col min="9986" max="9986" width="8.42578125" style="13" customWidth="1"/>
    <col min="9987" max="9987" width="8.85546875" style="13" customWidth="1"/>
    <col min="9988" max="9988" width="11.28515625" style="13" customWidth="1"/>
    <col min="9989" max="9989" width="10.140625" style="13" customWidth="1"/>
    <col min="9990" max="9990" width="11" style="13" customWidth="1"/>
    <col min="9991" max="9991" width="12.7109375" style="13" customWidth="1"/>
    <col min="9992" max="9992" width="6.42578125" style="13" customWidth="1"/>
    <col min="9993" max="9993" width="13.42578125" style="13" customWidth="1"/>
    <col min="9994" max="9994" width="14" style="13" customWidth="1"/>
    <col min="9995" max="9995" width="14.5703125" style="13" customWidth="1"/>
    <col min="9996" max="9996" width="10" style="13" bestFit="1" customWidth="1"/>
    <col min="9997" max="10240" width="9.140625" style="13"/>
    <col min="10241" max="10241" width="7.140625" style="13" customWidth="1"/>
    <col min="10242" max="10242" width="8.42578125" style="13" customWidth="1"/>
    <col min="10243" max="10243" width="8.85546875" style="13" customWidth="1"/>
    <col min="10244" max="10244" width="11.28515625" style="13" customWidth="1"/>
    <col min="10245" max="10245" width="10.140625" style="13" customWidth="1"/>
    <col min="10246" max="10246" width="11" style="13" customWidth="1"/>
    <col min="10247" max="10247" width="12.7109375" style="13" customWidth="1"/>
    <col min="10248" max="10248" width="6.42578125" style="13" customWidth="1"/>
    <col min="10249" max="10249" width="13.42578125" style="13" customWidth="1"/>
    <col min="10250" max="10250" width="14" style="13" customWidth="1"/>
    <col min="10251" max="10251" width="14.5703125" style="13" customWidth="1"/>
    <col min="10252" max="10252" width="10" style="13" bestFit="1" customWidth="1"/>
    <col min="10253" max="10496" width="9.140625" style="13"/>
    <col min="10497" max="10497" width="7.140625" style="13" customWidth="1"/>
    <col min="10498" max="10498" width="8.42578125" style="13" customWidth="1"/>
    <col min="10499" max="10499" width="8.85546875" style="13" customWidth="1"/>
    <col min="10500" max="10500" width="11.28515625" style="13" customWidth="1"/>
    <col min="10501" max="10501" width="10.140625" style="13" customWidth="1"/>
    <col min="10502" max="10502" width="11" style="13" customWidth="1"/>
    <col min="10503" max="10503" width="12.7109375" style="13" customWidth="1"/>
    <col min="10504" max="10504" width="6.42578125" style="13" customWidth="1"/>
    <col min="10505" max="10505" width="13.42578125" style="13" customWidth="1"/>
    <col min="10506" max="10506" width="14" style="13" customWidth="1"/>
    <col min="10507" max="10507" width="14.5703125" style="13" customWidth="1"/>
    <col min="10508" max="10508" width="10" style="13" bestFit="1" customWidth="1"/>
    <col min="10509" max="10752" width="9.140625" style="13"/>
    <col min="10753" max="10753" width="7.140625" style="13" customWidth="1"/>
    <col min="10754" max="10754" width="8.42578125" style="13" customWidth="1"/>
    <col min="10755" max="10755" width="8.85546875" style="13" customWidth="1"/>
    <col min="10756" max="10756" width="11.28515625" style="13" customWidth="1"/>
    <col min="10757" max="10757" width="10.140625" style="13" customWidth="1"/>
    <col min="10758" max="10758" width="11" style="13" customWidth="1"/>
    <col min="10759" max="10759" width="12.7109375" style="13" customWidth="1"/>
    <col min="10760" max="10760" width="6.42578125" style="13" customWidth="1"/>
    <col min="10761" max="10761" width="13.42578125" style="13" customWidth="1"/>
    <col min="10762" max="10762" width="14" style="13" customWidth="1"/>
    <col min="10763" max="10763" width="14.5703125" style="13" customWidth="1"/>
    <col min="10764" max="10764" width="10" style="13" bestFit="1" customWidth="1"/>
    <col min="10765" max="11008" width="9.140625" style="13"/>
    <col min="11009" max="11009" width="7.140625" style="13" customWidth="1"/>
    <col min="11010" max="11010" width="8.42578125" style="13" customWidth="1"/>
    <col min="11011" max="11011" width="8.85546875" style="13" customWidth="1"/>
    <col min="11012" max="11012" width="11.28515625" style="13" customWidth="1"/>
    <col min="11013" max="11013" width="10.140625" style="13" customWidth="1"/>
    <col min="11014" max="11014" width="11" style="13" customWidth="1"/>
    <col min="11015" max="11015" width="12.7109375" style="13" customWidth="1"/>
    <col min="11016" max="11016" width="6.42578125" style="13" customWidth="1"/>
    <col min="11017" max="11017" width="13.42578125" style="13" customWidth="1"/>
    <col min="11018" max="11018" width="14" style="13" customWidth="1"/>
    <col min="11019" max="11019" width="14.5703125" style="13" customWidth="1"/>
    <col min="11020" max="11020" width="10" style="13" bestFit="1" customWidth="1"/>
    <col min="11021" max="11264" width="9.140625" style="13"/>
    <col min="11265" max="11265" width="7.140625" style="13" customWidth="1"/>
    <col min="11266" max="11266" width="8.42578125" style="13" customWidth="1"/>
    <col min="11267" max="11267" width="8.85546875" style="13" customWidth="1"/>
    <col min="11268" max="11268" width="11.28515625" style="13" customWidth="1"/>
    <col min="11269" max="11269" width="10.140625" style="13" customWidth="1"/>
    <col min="11270" max="11270" width="11" style="13" customWidth="1"/>
    <col min="11271" max="11271" width="12.7109375" style="13" customWidth="1"/>
    <col min="11272" max="11272" width="6.42578125" style="13" customWidth="1"/>
    <col min="11273" max="11273" width="13.42578125" style="13" customWidth="1"/>
    <col min="11274" max="11274" width="14" style="13" customWidth="1"/>
    <col min="11275" max="11275" width="14.5703125" style="13" customWidth="1"/>
    <col min="11276" max="11276" width="10" style="13" bestFit="1" customWidth="1"/>
    <col min="11277" max="11520" width="9.140625" style="13"/>
    <col min="11521" max="11521" width="7.140625" style="13" customWidth="1"/>
    <col min="11522" max="11522" width="8.42578125" style="13" customWidth="1"/>
    <col min="11523" max="11523" width="8.85546875" style="13" customWidth="1"/>
    <col min="11524" max="11524" width="11.28515625" style="13" customWidth="1"/>
    <col min="11525" max="11525" width="10.140625" style="13" customWidth="1"/>
    <col min="11526" max="11526" width="11" style="13" customWidth="1"/>
    <col min="11527" max="11527" width="12.7109375" style="13" customWidth="1"/>
    <col min="11528" max="11528" width="6.42578125" style="13" customWidth="1"/>
    <col min="11529" max="11529" width="13.42578125" style="13" customWidth="1"/>
    <col min="11530" max="11530" width="14" style="13" customWidth="1"/>
    <col min="11531" max="11531" width="14.5703125" style="13" customWidth="1"/>
    <col min="11532" max="11532" width="10" style="13" bestFit="1" customWidth="1"/>
    <col min="11533" max="11776" width="9.140625" style="13"/>
    <col min="11777" max="11777" width="7.140625" style="13" customWidth="1"/>
    <col min="11778" max="11778" width="8.42578125" style="13" customWidth="1"/>
    <col min="11779" max="11779" width="8.85546875" style="13" customWidth="1"/>
    <col min="11780" max="11780" width="11.28515625" style="13" customWidth="1"/>
    <col min="11781" max="11781" width="10.140625" style="13" customWidth="1"/>
    <col min="11782" max="11782" width="11" style="13" customWidth="1"/>
    <col min="11783" max="11783" width="12.7109375" style="13" customWidth="1"/>
    <col min="11784" max="11784" width="6.42578125" style="13" customWidth="1"/>
    <col min="11785" max="11785" width="13.42578125" style="13" customWidth="1"/>
    <col min="11786" max="11786" width="14" style="13" customWidth="1"/>
    <col min="11787" max="11787" width="14.5703125" style="13" customWidth="1"/>
    <col min="11788" max="11788" width="10" style="13" bestFit="1" customWidth="1"/>
    <col min="11789" max="12032" width="9.140625" style="13"/>
    <col min="12033" max="12033" width="7.140625" style="13" customWidth="1"/>
    <col min="12034" max="12034" width="8.42578125" style="13" customWidth="1"/>
    <col min="12035" max="12035" width="8.85546875" style="13" customWidth="1"/>
    <col min="12036" max="12036" width="11.28515625" style="13" customWidth="1"/>
    <col min="12037" max="12037" width="10.140625" style="13" customWidth="1"/>
    <col min="12038" max="12038" width="11" style="13" customWidth="1"/>
    <col min="12039" max="12039" width="12.7109375" style="13" customWidth="1"/>
    <col min="12040" max="12040" width="6.42578125" style="13" customWidth="1"/>
    <col min="12041" max="12041" width="13.42578125" style="13" customWidth="1"/>
    <col min="12042" max="12042" width="14" style="13" customWidth="1"/>
    <col min="12043" max="12043" width="14.5703125" style="13" customWidth="1"/>
    <col min="12044" max="12044" width="10" style="13" bestFit="1" customWidth="1"/>
    <col min="12045" max="12288" width="9.140625" style="13"/>
    <col min="12289" max="12289" width="7.140625" style="13" customWidth="1"/>
    <col min="12290" max="12290" width="8.42578125" style="13" customWidth="1"/>
    <col min="12291" max="12291" width="8.85546875" style="13" customWidth="1"/>
    <col min="12292" max="12292" width="11.28515625" style="13" customWidth="1"/>
    <col min="12293" max="12293" width="10.140625" style="13" customWidth="1"/>
    <col min="12294" max="12294" width="11" style="13" customWidth="1"/>
    <col min="12295" max="12295" width="12.7109375" style="13" customWidth="1"/>
    <col min="12296" max="12296" width="6.42578125" style="13" customWidth="1"/>
    <col min="12297" max="12297" width="13.42578125" style="13" customWidth="1"/>
    <col min="12298" max="12298" width="14" style="13" customWidth="1"/>
    <col min="12299" max="12299" width="14.5703125" style="13" customWidth="1"/>
    <col min="12300" max="12300" width="10" style="13" bestFit="1" customWidth="1"/>
    <col min="12301" max="12544" width="9.140625" style="13"/>
    <col min="12545" max="12545" width="7.140625" style="13" customWidth="1"/>
    <col min="12546" max="12546" width="8.42578125" style="13" customWidth="1"/>
    <col min="12547" max="12547" width="8.85546875" style="13" customWidth="1"/>
    <col min="12548" max="12548" width="11.28515625" style="13" customWidth="1"/>
    <col min="12549" max="12549" width="10.140625" style="13" customWidth="1"/>
    <col min="12550" max="12550" width="11" style="13" customWidth="1"/>
    <col min="12551" max="12551" width="12.7109375" style="13" customWidth="1"/>
    <col min="12552" max="12552" width="6.42578125" style="13" customWidth="1"/>
    <col min="12553" max="12553" width="13.42578125" style="13" customWidth="1"/>
    <col min="12554" max="12554" width="14" style="13" customWidth="1"/>
    <col min="12555" max="12555" width="14.5703125" style="13" customWidth="1"/>
    <col min="12556" max="12556" width="10" style="13" bestFit="1" customWidth="1"/>
    <col min="12557" max="12800" width="9.140625" style="13"/>
    <col min="12801" max="12801" width="7.140625" style="13" customWidth="1"/>
    <col min="12802" max="12802" width="8.42578125" style="13" customWidth="1"/>
    <col min="12803" max="12803" width="8.85546875" style="13" customWidth="1"/>
    <col min="12804" max="12804" width="11.28515625" style="13" customWidth="1"/>
    <col min="12805" max="12805" width="10.140625" style="13" customWidth="1"/>
    <col min="12806" max="12806" width="11" style="13" customWidth="1"/>
    <col min="12807" max="12807" width="12.7109375" style="13" customWidth="1"/>
    <col min="12808" max="12808" width="6.42578125" style="13" customWidth="1"/>
    <col min="12809" max="12809" width="13.42578125" style="13" customWidth="1"/>
    <col min="12810" max="12810" width="14" style="13" customWidth="1"/>
    <col min="12811" max="12811" width="14.5703125" style="13" customWidth="1"/>
    <col min="12812" max="12812" width="10" style="13" bestFit="1" customWidth="1"/>
    <col min="12813" max="13056" width="9.140625" style="13"/>
    <col min="13057" max="13057" width="7.140625" style="13" customWidth="1"/>
    <col min="13058" max="13058" width="8.42578125" style="13" customWidth="1"/>
    <col min="13059" max="13059" width="8.85546875" style="13" customWidth="1"/>
    <col min="13060" max="13060" width="11.28515625" style="13" customWidth="1"/>
    <col min="13061" max="13061" width="10.140625" style="13" customWidth="1"/>
    <col min="13062" max="13062" width="11" style="13" customWidth="1"/>
    <col min="13063" max="13063" width="12.7109375" style="13" customWidth="1"/>
    <col min="13064" max="13064" width="6.42578125" style="13" customWidth="1"/>
    <col min="13065" max="13065" width="13.42578125" style="13" customWidth="1"/>
    <col min="13066" max="13066" width="14" style="13" customWidth="1"/>
    <col min="13067" max="13067" width="14.5703125" style="13" customWidth="1"/>
    <col min="13068" max="13068" width="10" style="13" bestFit="1" customWidth="1"/>
    <col min="13069" max="13312" width="9.140625" style="13"/>
    <col min="13313" max="13313" width="7.140625" style="13" customWidth="1"/>
    <col min="13314" max="13314" width="8.42578125" style="13" customWidth="1"/>
    <col min="13315" max="13315" width="8.85546875" style="13" customWidth="1"/>
    <col min="13316" max="13316" width="11.28515625" style="13" customWidth="1"/>
    <col min="13317" max="13317" width="10.140625" style="13" customWidth="1"/>
    <col min="13318" max="13318" width="11" style="13" customWidth="1"/>
    <col min="13319" max="13319" width="12.7109375" style="13" customWidth="1"/>
    <col min="13320" max="13320" width="6.42578125" style="13" customWidth="1"/>
    <col min="13321" max="13321" width="13.42578125" style="13" customWidth="1"/>
    <col min="13322" max="13322" width="14" style="13" customWidth="1"/>
    <col min="13323" max="13323" width="14.5703125" style="13" customWidth="1"/>
    <col min="13324" max="13324" width="10" style="13" bestFit="1" customWidth="1"/>
    <col min="13325" max="13568" width="9.140625" style="13"/>
    <col min="13569" max="13569" width="7.140625" style="13" customWidth="1"/>
    <col min="13570" max="13570" width="8.42578125" style="13" customWidth="1"/>
    <col min="13571" max="13571" width="8.85546875" style="13" customWidth="1"/>
    <col min="13572" max="13572" width="11.28515625" style="13" customWidth="1"/>
    <col min="13573" max="13573" width="10.140625" style="13" customWidth="1"/>
    <col min="13574" max="13574" width="11" style="13" customWidth="1"/>
    <col min="13575" max="13575" width="12.7109375" style="13" customWidth="1"/>
    <col min="13576" max="13576" width="6.42578125" style="13" customWidth="1"/>
    <col min="13577" max="13577" width="13.42578125" style="13" customWidth="1"/>
    <col min="13578" max="13578" width="14" style="13" customWidth="1"/>
    <col min="13579" max="13579" width="14.5703125" style="13" customWidth="1"/>
    <col min="13580" max="13580" width="10" style="13" bestFit="1" customWidth="1"/>
    <col min="13581" max="13824" width="9.140625" style="13"/>
    <col min="13825" max="13825" width="7.140625" style="13" customWidth="1"/>
    <col min="13826" max="13826" width="8.42578125" style="13" customWidth="1"/>
    <col min="13827" max="13827" width="8.85546875" style="13" customWidth="1"/>
    <col min="13828" max="13828" width="11.28515625" style="13" customWidth="1"/>
    <col min="13829" max="13829" width="10.140625" style="13" customWidth="1"/>
    <col min="13830" max="13830" width="11" style="13" customWidth="1"/>
    <col min="13831" max="13831" width="12.7109375" style="13" customWidth="1"/>
    <col min="13832" max="13832" width="6.42578125" style="13" customWidth="1"/>
    <col min="13833" max="13833" width="13.42578125" style="13" customWidth="1"/>
    <col min="13834" max="13834" width="14" style="13" customWidth="1"/>
    <col min="13835" max="13835" width="14.5703125" style="13" customWidth="1"/>
    <col min="13836" max="13836" width="10" style="13" bestFit="1" customWidth="1"/>
    <col min="13837" max="14080" width="9.140625" style="13"/>
    <col min="14081" max="14081" width="7.140625" style="13" customWidth="1"/>
    <col min="14082" max="14082" width="8.42578125" style="13" customWidth="1"/>
    <col min="14083" max="14083" width="8.85546875" style="13" customWidth="1"/>
    <col min="14084" max="14084" width="11.28515625" style="13" customWidth="1"/>
    <col min="14085" max="14085" width="10.140625" style="13" customWidth="1"/>
    <col min="14086" max="14086" width="11" style="13" customWidth="1"/>
    <col min="14087" max="14087" width="12.7109375" style="13" customWidth="1"/>
    <col min="14088" max="14088" width="6.42578125" style="13" customWidth="1"/>
    <col min="14089" max="14089" width="13.42578125" style="13" customWidth="1"/>
    <col min="14090" max="14090" width="14" style="13" customWidth="1"/>
    <col min="14091" max="14091" width="14.5703125" style="13" customWidth="1"/>
    <col min="14092" max="14092" width="10" style="13" bestFit="1" customWidth="1"/>
    <col min="14093" max="14336" width="9.140625" style="13"/>
    <col min="14337" max="14337" width="7.140625" style="13" customWidth="1"/>
    <col min="14338" max="14338" width="8.42578125" style="13" customWidth="1"/>
    <col min="14339" max="14339" width="8.85546875" style="13" customWidth="1"/>
    <col min="14340" max="14340" width="11.28515625" style="13" customWidth="1"/>
    <col min="14341" max="14341" width="10.140625" style="13" customWidth="1"/>
    <col min="14342" max="14342" width="11" style="13" customWidth="1"/>
    <col min="14343" max="14343" width="12.7109375" style="13" customWidth="1"/>
    <col min="14344" max="14344" width="6.42578125" style="13" customWidth="1"/>
    <col min="14345" max="14345" width="13.42578125" style="13" customWidth="1"/>
    <col min="14346" max="14346" width="14" style="13" customWidth="1"/>
    <col min="14347" max="14347" width="14.5703125" style="13" customWidth="1"/>
    <col min="14348" max="14348" width="10" style="13" bestFit="1" customWidth="1"/>
    <col min="14349" max="14592" width="9.140625" style="13"/>
    <col min="14593" max="14593" width="7.140625" style="13" customWidth="1"/>
    <col min="14594" max="14594" width="8.42578125" style="13" customWidth="1"/>
    <col min="14595" max="14595" width="8.85546875" style="13" customWidth="1"/>
    <col min="14596" max="14596" width="11.28515625" style="13" customWidth="1"/>
    <col min="14597" max="14597" width="10.140625" style="13" customWidth="1"/>
    <col min="14598" max="14598" width="11" style="13" customWidth="1"/>
    <col min="14599" max="14599" width="12.7109375" style="13" customWidth="1"/>
    <col min="14600" max="14600" width="6.42578125" style="13" customWidth="1"/>
    <col min="14601" max="14601" width="13.42578125" style="13" customWidth="1"/>
    <col min="14602" max="14602" width="14" style="13" customWidth="1"/>
    <col min="14603" max="14603" width="14.5703125" style="13" customWidth="1"/>
    <col min="14604" max="14604" width="10" style="13" bestFit="1" customWidth="1"/>
    <col min="14605" max="14848" width="9.140625" style="13"/>
    <col min="14849" max="14849" width="7.140625" style="13" customWidth="1"/>
    <col min="14850" max="14850" width="8.42578125" style="13" customWidth="1"/>
    <col min="14851" max="14851" width="8.85546875" style="13" customWidth="1"/>
    <col min="14852" max="14852" width="11.28515625" style="13" customWidth="1"/>
    <col min="14853" max="14853" width="10.140625" style="13" customWidth="1"/>
    <col min="14854" max="14854" width="11" style="13" customWidth="1"/>
    <col min="14855" max="14855" width="12.7109375" style="13" customWidth="1"/>
    <col min="14856" max="14856" width="6.42578125" style="13" customWidth="1"/>
    <col min="14857" max="14857" width="13.42578125" style="13" customWidth="1"/>
    <col min="14858" max="14858" width="14" style="13" customWidth="1"/>
    <col min="14859" max="14859" width="14.5703125" style="13" customWidth="1"/>
    <col min="14860" max="14860" width="10" style="13" bestFit="1" customWidth="1"/>
    <col min="14861" max="15104" width="9.140625" style="13"/>
    <col min="15105" max="15105" width="7.140625" style="13" customWidth="1"/>
    <col min="15106" max="15106" width="8.42578125" style="13" customWidth="1"/>
    <col min="15107" max="15107" width="8.85546875" style="13" customWidth="1"/>
    <col min="15108" max="15108" width="11.28515625" style="13" customWidth="1"/>
    <col min="15109" max="15109" width="10.140625" style="13" customWidth="1"/>
    <col min="15110" max="15110" width="11" style="13" customWidth="1"/>
    <col min="15111" max="15111" width="12.7109375" style="13" customWidth="1"/>
    <col min="15112" max="15112" width="6.42578125" style="13" customWidth="1"/>
    <col min="15113" max="15113" width="13.42578125" style="13" customWidth="1"/>
    <col min="15114" max="15114" width="14" style="13" customWidth="1"/>
    <col min="15115" max="15115" width="14.5703125" style="13" customWidth="1"/>
    <col min="15116" max="15116" width="10" style="13" bestFit="1" customWidth="1"/>
    <col min="15117" max="15360" width="9.140625" style="13"/>
    <col min="15361" max="15361" width="7.140625" style="13" customWidth="1"/>
    <col min="15362" max="15362" width="8.42578125" style="13" customWidth="1"/>
    <col min="15363" max="15363" width="8.85546875" style="13" customWidth="1"/>
    <col min="15364" max="15364" width="11.28515625" style="13" customWidth="1"/>
    <col min="15365" max="15365" width="10.140625" style="13" customWidth="1"/>
    <col min="15366" max="15366" width="11" style="13" customWidth="1"/>
    <col min="15367" max="15367" width="12.7109375" style="13" customWidth="1"/>
    <col min="15368" max="15368" width="6.42578125" style="13" customWidth="1"/>
    <col min="15369" max="15369" width="13.42578125" style="13" customWidth="1"/>
    <col min="15370" max="15370" width="14" style="13" customWidth="1"/>
    <col min="15371" max="15371" width="14.5703125" style="13" customWidth="1"/>
    <col min="15372" max="15372" width="10" style="13" bestFit="1" customWidth="1"/>
    <col min="15373" max="15616" width="9.140625" style="13"/>
    <col min="15617" max="15617" width="7.140625" style="13" customWidth="1"/>
    <col min="15618" max="15618" width="8.42578125" style="13" customWidth="1"/>
    <col min="15619" max="15619" width="8.85546875" style="13" customWidth="1"/>
    <col min="15620" max="15620" width="11.28515625" style="13" customWidth="1"/>
    <col min="15621" max="15621" width="10.140625" style="13" customWidth="1"/>
    <col min="15622" max="15622" width="11" style="13" customWidth="1"/>
    <col min="15623" max="15623" width="12.7109375" style="13" customWidth="1"/>
    <col min="15624" max="15624" width="6.42578125" style="13" customWidth="1"/>
    <col min="15625" max="15625" width="13.42578125" style="13" customWidth="1"/>
    <col min="15626" max="15626" width="14" style="13" customWidth="1"/>
    <col min="15627" max="15627" width="14.5703125" style="13" customWidth="1"/>
    <col min="15628" max="15628" width="10" style="13" bestFit="1" customWidth="1"/>
    <col min="15629" max="15872" width="9.140625" style="13"/>
    <col min="15873" max="15873" width="7.140625" style="13" customWidth="1"/>
    <col min="15874" max="15874" width="8.42578125" style="13" customWidth="1"/>
    <col min="15875" max="15875" width="8.85546875" style="13" customWidth="1"/>
    <col min="15876" max="15876" width="11.28515625" style="13" customWidth="1"/>
    <col min="15877" max="15877" width="10.140625" style="13" customWidth="1"/>
    <col min="15878" max="15878" width="11" style="13" customWidth="1"/>
    <col min="15879" max="15879" width="12.7109375" style="13" customWidth="1"/>
    <col min="15880" max="15880" width="6.42578125" style="13" customWidth="1"/>
    <col min="15881" max="15881" width="13.42578125" style="13" customWidth="1"/>
    <col min="15882" max="15882" width="14" style="13" customWidth="1"/>
    <col min="15883" max="15883" width="14.5703125" style="13" customWidth="1"/>
    <col min="15884" max="15884" width="10" style="13" bestFit="1" customWidth="1"/>
    <col min="15885" max="16128" width="9.140625" style="13"/>
    <col min="16129" max="16129" width="7.140625" style="13" customWidth="1"/>
    <col min="16130" max="16130" width="8.42578125" style="13" customWidth="1"/>
    <col min="16131" max="16131" width="8.85546875" style="13" customWidth="1"/>
    <col min="16132" max="16132" width="11.28515625" style="13" customWidth="1"/>
    <col min="16133" max="16133" width="10.140625" style="13" customWidth="1"/>
    <col min="16134" max="16134" width="11" style="13" customWidth="1"/>
    <col min="16135" max="16135" width="12.7109375" style="13" customWidth="1"/>
    <col min="16136" max="16136" width="6.42578125" style="13" customWidth="1"/>
    <col min="16137" max="16137" width="13.42578125" style="13" customWidth="1"/>
    <col min="16138" max="16138" width="14" style="13" customWidth="1"/>
    <col min="16139" max="16139" width="14.5703125" style="13" customWidth="1"/>
    <col min="16140" max="16140" width="10" style="13" bestFit="1" customWidth="1"/>
    <col min="16141" max="16384" width="9.140625" style="13"/>
  </cols>
  <sheetData>
    <row r="1" spans="1:11" ht="23.25">
      <c r="A1" s="3419" t="s">
        <v>1956</v>
      </c>
      <c r="B1" s="3420"/>
      <c r="C1" s="3420"/>
      <c r="D1" s="3420"/>
      <c r="E1" s="3420"/>
      <c r="F1" s="3420"/>
      <c r="G1" s="3420"/>
      <c r="H1" s="3420"/>
      <c r="I1" s="3420"/>
      <c r="J1" s="3420"/>
      <c r="K1" s="3421"/>
    </row>
    <row r="2" spans="1:11" ht="15.75">
      <c r="A2" s="3422" t="s">
        <v>1957</v>
      </c>
      <c r="B2" s="3423"/>
      <c r="C2" s="3423"/>
      <c r="D2" s="3423"/>
      <c r="E2" s="3423"/>
      <c r="F2" s="3423"/>
      <c r="G2" s="3423"/>
      <c r="H2" s="3423"/>
      <c r="I2" s="3423"/>
      <c r="J2" s="3423"/>
      <c r="K2" s="3424"/>
    </row>
    <row r="3" spans="1:11" ht="15.75">
      <c r="A3" s="3422" t="s">
        <v>1958</v>
      </c>
      <c r="B3" s="3423"/>
      <c r="C3" s="3423"/>
      <c r="D3" s="3423"/>
      <c r="E3" s="3423"/>
      <c r="F3" s="3423"/>
      <c r="G3" s="3423"/>
      <c r="H3" s="3423"/>
      <c r="I3" s="3423"/>
      <c r="J3" s="3423"/>
      <c r="K3" s="3424"/>
    </row>
    <row r="4" spans="1:11" ht="15.75">
      <c r="A4" s="3530" t="s">
        <v>1959</v>
      </c>
      <c r="B4" s="3531"/>
      <c r="C4" s="3531"/>
      <c r="D4" s="3531"/>
      <c r="E4" s="3531"/>
      <c r="F4" s="3531"/>
      <c r="G4" s="3531"/>
      <c r="H4" s="3531"/>
      <c r="I4" s="3531"/>
      <c r="J4" s="3531"/>
      <c r="K4" s="3532"/>
    </row>
    <row r="5" spans="1:11">
      <c r="A5" s="1309" t="s">
        <v>1960</v>
      </c>
      <c r="B5" s="1193"/>
      <c r="C5" s="1193"/>
      <c r="D5" s="1193"/>
      <c r="E5" s="1310"/>
      <c r="F5" s="1310"/>
      <c r="G5" s="1310"/>
      <c r="H5" s="1193" t="s">
        <v>1961</v>
      </c>
      <c r="I5" s="1193"/>
      <c r="J5" s="1193"/>
      <c r="K5" s="1311"/>
    </row>
    <row r="6" spans="1:11">
      <c r="A6" s="1309"/>
      <c r="B6" s="1193"/>
      <c r="C6" s="1193"/>
      <c r="D6" s="1193"/>
      <c r="E6" s="1193"/>
      <c r="F6" s="1193"/>
      <c r="G6" s="1193"/>
      <c r="H6" s="1193"/>
      <c r="I6" s="1193"/>
      <c r="J6" s="1193"/>
      <c r="K6" s="1312"/>
    </row>
    <row r="7" spans="1:11">
      <c r="A7" s="1309" t="s">
        <v>1962</v>
      </c>
      <c r="B7" s="1193"/>
      <c r="C7" s="1193"/>
      <c r="D7" s="1193"/>
      <c r="E7" s="1313" t="str">
        <f>'Lead &amp; ANALYSIS'!D2</f>
        <v>Dining Hall of Damasal School</v>
      </c>
      <c r="F7" s="1314"/>
      <c r="G7" s="1314"/>
      <c r="H7" s="1314"/>
      <c r="I7" s="1314"/>
      <c r="J7" s="1314"/>
      <c r="K7" s="1315"/>
    </row>
    <row r="8" spans="1:11">
      <c r="A8" s="1309"/>
      <c r="B8" s="1193"/>
      <c r="C8" s="1193"/>
      <c r="D8" s="1193"/>
      <c r="E8" s="1316"/>
      <c r="F8" s="1317"/>
      <c r="G8" s="1317"/>
      <c r="H8" s="1317"/>
      <c r="I8" s="1317"/>
      <c r="J8" s="1317"/>
      <c r="K8" s="1318"/>
    </row>
    <row r="9" spans="1:11">
      <c r="A9" s="1309" t="s">
        <v>1963</v>
      </c>
      <c r="B9" s="1193"/>
      <c r="C9" s="1193"/>
      <c r="D9" s="1198"/>
      <c r="E9" s="1319" t="e">
        <f>#REF!</f>
        <v>#REF!</v>
      </c>
      <c r="F9" s="1314"/>
      <c r="G9" s="1314"/>
      <c r="H9" s="1193"/>
      <c r="I9" s="1193"/>
      <c r="J9" s="1193"/>
      <c r="K9" s="1312"/>
    </row>
    <row r="10" spans="1:11">
      <c r="A10" s="1309"/>
      <c r="B10" s="1193"/>
      <c r="C10" s="1193"/>
      <c r="D10" s="1193"/>
      <c r="E10" s="1320"/>
      <c r="F10" s="1321"/>
      <c r="G10" s="1321"/>
      <c r="H10" s="1193"/>
      <c r="I10" s="1193"/>
      <c r="J10" s="1321"/>
      <c r="K10" s="1322"/>
    </row>
    <row r="11" spans="1:11">
      <c r="A11" s="1309" t="s">
        <v>1964</v>
      </c>
      <c r="B11" s="1193"/>
      <c r="C11" s="1193"/>
      <c r="D11" s="1193"/>
      <c r="E11" s="1313"/>
      <c r="F11" s="1314"/>
      <c r="G11" s="1314"/>
      <c r="H11" s="1202" t="s">
        <v>1965</v>
      </c>
      <c r="I11" s="1193"/>
      <c r="J11" s="1323">
        <f>'Lead &amp; ANALYSIS'!D4</f>
        <v>0</v>
      </c>
      <c r="K11" s="1315"/>
    </row>
    <row r="12" spans="1:11">
      <c r="A12" s="1309"/>
      <c r="B12" s="1193"/>
      <c r="C12" s="1193"/>
      <c r="D12" s="1193"/>
      <c r="E12" s="1320"/>
      <c r="F12" s="1321"/>
      <c r="G12" s="1321"/>
      <c r="H12" s="1193"/>
      <c r="I12" s="1193"/>
      <c r="J12" s="1193"/>
      <c r="K12" s="1324"/>
    </row>
    <row r="13" spans="1:11">
      <c r="A13" s="1309" t="s">
        <v>1966</v>
      </c>
      <c r="B13" s="1193"/>
      <c r="C13" s="1193"/>
      <c r="D13" s="1193"/>
      <c r="E13" s="1313" t="s">
        <v>2003</v>
      </c>
      <c r="F13" s="1314"/>
      <c r="G13" s="1314"/>
      <c r="H13" s="1202" t="s">
        <v>3371</v>
      </c>
      <c r="I13" s="1193"/>
      <c r="J13" s="1314"/>
      <c r="K13" s="1315"/>
    </row>
    <row r="14" spans="1:11">
      <c r="A14" s="1309"/>
      <c r="B14" s="1193"/>
      <c r="C14" s="1193"/>
      <c r="D14" s="1193"/>
      <c r="E14" s="1193"/>
      <c r="F14" s="1193"/>
      <c r="G14" s="1193"/>
      <c r="H14" s="1193"/>
      <c r="I14" s="1193"/>
      <c r="J14" s="1193"/>
      <c r="K14" s="1312"/>
    </row>
    <row r="15" spans="1:11">
      <c r="A15" s="1309" t="s">
        <v>1967</v>
      </c>
      <c r="B15" s="1193"/>
      <c r="C15" s="1193"/>
      <c r="D15" s="1193"/>
      <c r="E15" s="1313" t="s">
        <v>3146</v>
      </c>
      <c r="F15" s="1314"/>
      <c r="G15" s="1314"/>
      <c r="H15" s="1193"/>
      <c r="I15" s="1193"/>
      <c r="J15" s="1193"/>
      <c r="K15" s="1312"/>
    </row>
    <row r="16" spans="1:11" ht="13.5" thickBot="1">
      <c r="A16" s="1309"/>
      <c r="B16" s="1193"/>
      <c r="C16" s="1193"/>
      <c r="D16" s="1193"/>
      <c r="E16" s="1321"/>
      <c r="F16" s="1321"/>
      <c r="G16" s="1321"/>
      <c r="H16" s="1193"/>
      <c r="I16" s="1193"/>
      <c r="J16" s="1193"/>
      <c r="K16" s="1193"/>
    </row>
    <row r="17" spans="1:11" ht="12.75" customHeight="1">
      <c r="A17" s="1309" t="s">
        <v>1968</v>
      </c>
      <c r="B17" s="1193"/>
      <c r="C17" s="1193"/>
      <c r="D17" s="1193"/>
      <c r="E17" s="1313"/>
      <c r="F17" s="1314"/>
      <c r="G17" s="1314"/>
      <c r="H17" s="1193"/>
      <c r="I17" s="1193"/>
      <c r="J17" s="3428" t="s">
        <v>1969</v>
      </c>
      <c r="K17" s="3458"/>
    </row>
    <row r="18" spans="1:11" ht="12.75" customHeight="1" thickBot="1">
      <c r="A18" s="1309"/>
      <c r="B18" s="1193"/>
      <c r="C18" s="1193"/>
      <c r="D18" s="1193"/>
      <c r="E18" s="1202"/>
      <c r="F18" s="1193"/>
      <c r="G18" s="1193"/>
      <c r="H18" s="1193"/>
      <c r="I18" s="1193"/>
      <c r="J18" s="3429"/>
      <c r="K18" s="3459"/>
    </row>
    <row r="19" spans="1:11" ht="12.75" customHeight="1">
      <c r="A19" s="1309" t="s">
        <v>1970</v>
      </c>
      <c r="B19" s="1193"/>
      <c r="C19" s="1193"/>
      <c r="D19" s="1193"/>
      <c r="E19" s="1313"/>
      <c r="F19" s="1314"/>
      <c r="G19" s="1314"/>
      <c r="H19" s="1193"/>
      <c r="I19" s="1193"/>
      <c r="J19" s="3445" t="s">
        <v>1971</v>
      </c>
      <c r="K19" s="3460"/>
    </row>
    <row r="20" spans="1:11" ht="12.75" customHeight="1" thickBot="1">
      <c r="A20" s="1309"/>
      <c r="B20" s="1193"/>
      <c r="C20" s="1193"/>
      <c r="D20" s="1193"/>
      <c r="E20" s="1202"/>
      <c r="F20" s="1193"/>
      <c r="G20" s="1193"/>
      <c r="H20" s="1193"/>
      <c r="I20" s="1193"/>
      <c r="J20" s="3429"/>
      <c r="K20" s="3459"/>
    </row>
    <row r="21" spans="1:11" ht="13.5" customHeight="1">
      <c r="A21" s="1309" t="s">
        <v>1972</v>
      </c>
      <c r="B21" s="1193"/>
      <c r="C21" s="1193"/>
      <c r="D21" s="1193"/>
      <c r="E21" s="1314"/>
      <c r="F21" s="1314"/>
      <c r="G21" s="1314"/>
      <c r="H21" s="1193"/>
      <c r="I21" s="1193"/>
      <c r="J21" s="1383"/>
      <c r="K21" s="1383"/>
    </row>
    <row r="22" spans="1:11" ht="18">
      <c r="A22" s="3433" t="s">
        <v>1973</v>
      </c>
      <c r="B22" s="3434"/>
      <c r="C22" s="3434"/>
      <c r="D22" s="3434"/>
      <c r="E22" s="3434"/>
      <c r="F22" s="3434"/>
      <c r="G22" s="3434"/>
      <c r="H22" s="3434"/>
      <c r="I22" s="3434"/>
      <c r="J22" s="3434"/>
      <c r="K22" s="3435"/>
    </row>
    <row r="23" spans="1:11">
      <c r="A23" s="1325"/>
      <c r="B23" s="1326"/>
      <c r="C23" s="1326"/>
      <c r="D23" s="1326"/>
      <c r="E23" s="1326"/>
      <c r="F23" s="1326"/>
      <c r="G23" s="1326"/>
      <c r="H23" s="1326"/>
      <c r="I23" s="1326"/>
      <c r="J23" s="1326"/>
      <c r="K23" s="1197"/>
    </row>
    <row r="24" spans="1:11" ht="12.75" customHeight="1">
      <c r="A24" s="3436" t="s">
        <v>1974</v>
      </c>
      <c r="B24" s="3436" t="s">
        <v>1975</v>
      </c>
      <c r="C24" s="3436"/>
      <c r="D24" s="3436"/>
      <c r="E24" s="3436"/>
      <c r="F24" s="3436"/>
      <c r="G24" s="3436" t="s">
        <v>707</v>
      </c>
      <c r="H24" s="3436" t="s">
        <v>1976</v>
      </c>
      <c r="I24" s="3436" t="s">
        <v>708</v>
      </c>
      <c r="J24" s="3437" t="s">
        <v>1977</v>
      </c>
      <c r="K24" s="3436" t="s">
        <v>710</v>
      </c>
    </row>
    <row r="25" spans="1:11">
      <c r="A25" s="3436"/>
      <c r="B25" s="3436"/>
      <c r="C25" s="3436"/>
      <c r="D25" s="3436"/>
      <c r="E25" s="3436"/>
      <c r="F25" s="3436"/>
      <c r="G25" s="3436"/>
      <c r="H25" s="3436"/>
      <c r="I25" s="3436"/>
      <c r="J25" s="3438"/>
      <c r="K25" s="3436"/>
    </row>
    <row r="26" spans="1:11">
      <c r="A26" s="1327">
        <v>1</v>
      </c>
      <c r="B26" s="3439">
        <v>2</v>
      </c>
      <c r="C26" s="3440"/>
      <c r="D26" s="3440"/>
      <c r="E26" s="3440"/>
      <c r="F26" s="3441"/>
      <c r="G26" s="1328">
        <v>3</v>
      </c>
      <c r="H26" s="1264">
        <v>4</v>
      </c>
      <c r="I26" s="1264">
        <v>5</v>
      </c>
      <c r="J26" s="1264">
        <v>6</v>
      </c>
      <c r="K26" s="1264">
        <v>7</v>
      </c>
    </row>
    <row r="27" spans="1:11">
      <c r="A27" s="1329">
        <v>1</v>
      </c>
      <c r="B27" s="3533"/>
      <c r="C27" s="3534"/>
      <c r="D27" s="3534"/>
      <c r="E27" s="3534"/>
      <c r="F27" s="3535"/>
      <c r="G27" s="1330"/>
      <c r="H27" s="1331"/>
      <c r="I27" s="1332"/>
      <c r="J27" s="1332"/>
      <c r="K27" s="1333"/>
    </row>
    <row r="28" spans="1:11">
      <c r="A28" s="1334"/>
      <c r="B28" s="3533"/>
      <c r="C28" s="3534"/>
      <c r="D28" s="3534"/>
      <c r="E28" s="3534"/>
      <c r="F28" s="3535"/>
      <c r="G28" s="1330"/>
      <c r="H28" s="1331"/>
      <c r="I28" s="1335"/>
      <c r="J28" s="1336"/>
      <c r="K28" s="1336"/>
    </row>
    <row r="29" spans="1:11">
      <c r="A29" s="1334"/>
      <c r="B29" s="3533"/>
      <c r="C29" s="3534"/>
      <c r="D29" s="3534"/>
      <c r="E29" s="3534"/>
      <c r="F29" s="3535"/>
      <c r="G29" s="1330"/>
      <c r="H29" s="1331" t="s">
        <v>49</v>
      </c>
      <c r="I29" s="1337"/>
      <c r="J29" s="1337">
        <f>ROUND(G29*I29,0)</f>
        <v>0</v>
      </c>
      <c r="K29" s="1336"/>
    </row>
    <row r="30" spans="1:11" ht="12.75" customHeight="1">
      <c r="A30" s="1334"/>
      <c r="B30" s="1338"/>
      <c r="C30" s="1199"/>
      <c r="D30" s="1339"/>
      <c r="E30" s="1339"/>
      <c r="F30" s="1340"/>
      <c r="G30" s="1340"/>
      <c r="H30" s="1331"/>
      <c r="I30" s="1337"/>
      <c r="J30" s="1337"/>
      <c r="K30" s="1336"/>
    </row>
    <row r="31" spans="1:11">
      <c r="A31" s="1334">
        <v>2</v>
      </c>
      <c r="B31" s="3533"/>
      <c r="C31" s="3534"/>
      <c r="D31" s="3534"/>
      <c r="E31" s="3534"/>
      <c r="F31" s="3535"/>
      <c r="G31" s="1330"/>
      <c r="H31" s="1341"/>
      <c r="I31" s="1342"/>
      <c r="J31" s="1342"/>
      <c r="K31" s="1343"/>
    </row>
    <row r="32" spans="1:11">
      <c r="A32" s="1334"/>
      <c r="B32" s="3533"/>
      <c r="C32" s="3534"/>
      <c r="D32" s="3534"/>
      <c r="E32" s="3534"/>
      <c r="F32" s="3535"/>
      <c r="G32" s="1330"/>
      <c r="H32" s="1341"/>
      <c r="I32" s="1342"/>
      <c r="J32" s="1342"/>
      <c r="K32" s="1343"/>
    </row>
    <row r="33" spans="1:11">
      <c r="A33" s="1334"/>
      <c r="B33" s="3533"/>
      <c r="C33" s="3534"/>
      <c r="D33" s="3534"/>
      <c r="E33" s="3534"/>
      <c r="F33" s="3535"/>
      <c r="G33" s="1330"/>
      <c r="H33" s="1341" t="s">
        <v>49</v>
      </c>
      <c r="I33" s="1337"/>
      <c r="J33" s="1337">
        <f>ROUND(G33*I33,0)</f>
        <v>0</v>
      </c>
      <c r="K33" s="1343"/>
    </row>
    <row r="34" spans="1:11">
      <c r="A34" s="1334"/>
      <c r="B34" s="1338"/>
      <c r="C34" s="1199"/>
      <c r="D34" s="1339"/>
      <c r="E34" s="1339"/>
      <c r="F34" s="1340"/>
      <c r="G34" s="1340"/>
      <c r="H34" s="1341"/>
      <c r="I34" s="1337"/>
      <c r="J34" s="1344"/>
      <c r="K34" s="1343"/>
    </row>
    <row r="35" spans="1:11">
      <c r="A35" s="1334">
        <v>3</v>
      </c>
      <c r="B35" s="3536"/>
      <c r="C35" s="3537"/>
      <c r="D35" s="3537"/>
      <c r="E35" s="3537"/>
      <c r="F35" s="3538"/>
      <c r="G35" s="1330"/>
      <c r="H35" s="1341"/>
      <c r="I35" s="1342"/>
      <c r="J35" s="1342"/>
      <c r="K35" s="1343"/>
    </row>
    <row r="36" spans="1:11">
      <c r="A36" s="1334"/>
      <c r="B36" s="3536"/>
      <c r="C36" s="3537"/>
      <c r="D36" s="3537"/>
      <c r="E36" s="3537"/>
      <c r="F36" s="3538"/>
      <c r="G36" s="1330"/>
      <c r="H36" s="1341"/>
      <c r="I36" s="1342"/>
      <c r="J36" s="1342"/>
      <c r="K36" s="1343"/>
    </row>
    <row r="37" spans="1:11">
      <c r="A37" s="1334"/>
      <c r="B37" s="3536"/>
      <c r="C37" s="3537"/>
      <c r="D37" s="3537"/>
      <c r="E37" s="3537"/>
      <c r="F37" s="3538"/>
      <c r="G37" s="1330"/>
      <c r="H37" s="1341"/>
      <c r="I37" s="1342"/>
      <c r="J37" s="1342"/>
      <c r="K37" s="1343"/>
    </row>
    <row r="38" spans="1:11">
      <c r="A38" s="1334"/>
      <c r="B38" s="3536"/>
      <c r="C38" s="3537"/>
      <c r="D38" s="3537"/>
      <c r="E38" s="3537"/>
      <c r="F38" s="3538"/>
      <c r="G38" s="1330"/>
      <c r="H38" s="1341" t="s">
        <v>49</v>
      </c>
      <c r="I38" s="1344"/>
      <c r="J38" s="1337">
        <f>ROUND(G38*I38,0)</f>
        <v>0</v>
      </c>
      <c r="K38" s="1343"/>
    </row>
    <row r="39" spans="1:11">
      <c r="A39" s="1334"/>
      <c r="B39" s="1345"/>
      <c r="C39" s="1199"/>
      <c r="D39" s="1346"/>
      <c r="E39" s="1339"/>
      <c r="F39" s="1340"/>
      <c r="G39" s="1340"/>
      <c r="H39" s="1331"/>
      <c r="I39" s="1337"/>
      <c r="J39" s="1337"/>
      <c r="K39" s="1347"/>
    </row>
    <row r="40" spans="1:11">
      <c r="A40" s="1334">
        <v>4</v>
      </c>
      <c r="B40" s="3533"/>
      <c r="C40" s="3534"/>
      <c r="D40" s="3534"/>
      <c r="E40" s="3534"/>
      <c r="F40" s="3535"/>
      <c r="G40" s="1340"/>
      <c r="H40" s="1331"/>
      <c r="I40" s="1337"/>
      <c r="J40" s="1337"/>
      <c r="K40" s="1347"/>
    </row>
    <row r="41" spans="1:11">
      <c r="A41" s="1334"/>
      <c r="B41" s="3533"/>
      <c r="C41" s="3534"/>
      <c r="D41" s="3534"/>
      <c r="E41" s="3534"/>
      <c r="F41" s="3535"/>
      <c r="G41" s="1340"/>
      <c r="H41" s="1331"/>
      <c r="I41" s="1337"/>
      <c r="J41" s="1337"/>
      <c r="K41" s="1347"/>
    </row>
    <row r="42" spans="1:11">
      <c r="A42" s="1334"/>
      <c r="B42" s="3533"/>
      <c r="C42" s="3534"/>
      <c r="D42" s="3534"/>
      <c r="E42" s="3534"/>
      <c r="F42" s="3535"/>
      <c r="G42" s="1340"/>
      <c r="H42" s="1331" t="s">
        <v>49</v>
      </c>
      <c r="I42" s="1337"/>
      <c r="J42" s="1337">
        <f>ROUND(G42*I42,0)</f>
        <v>0</v>
      </c>
      <c r="K42" s="1347"/>
    </row>
    <row r="43" spans="1:11">
      <c r="A43" s="1334"/>
      <c r="B43" s="1348"/>
      <c r="C43" s="1199"/>
      <c r="D43" s="1349"/>
      <c r="E43" s="1349"/>
      <c r="F43" s="1330"/>
      <c r="G43" s="1330"/>
      <c r="H43" s="1341"/>
      <c r="I43" s="1342"/>
      <c r="J43" s="1342"/>
      <c r="K43" s="1347"/>
    </row>
    <row r="44" spans="1:11">
      <c r="A44" s="1334">
        <v>5</v>
      </c>
      <c r="B44" s="3533"/>
      <c r="C44" s="3534"/>
      <c r="D44" s="3534"/>
      <c r="E44" s="3534"/>
      <c r="F44" s="3535"/>
      <c r="G44" s="1330"/>
      <c r="H44" s="1341"/>
      <c r="I44" s="1342"/>
      <c r="J44" s="1342"/>
      <c r="K44" s="1347"/>
    </row>
    <row r="45" spans="1:11">
      <c r="A45" s="1345"/>
      <c r="B45" s="3533"/>
      <c r="C45" s="3534"/>
      <c r="D45" s="3534"/>
      <c r="E45" s="3534"/>
      <c r="F45" s="3535"/>
      <c r="G45" s="1330"/>
      <c r="H45" s="1341"/>
      <c r="I45" s="1344"/>
      <c r="J45" s="1344"/>
      <c r="K45" s="1347"/>
    </row>
    <row r="46" spans="1:11">
      <c r="A46" s="1345"/>
      <c r="B46" s="3533"/>
      <c r="C46" s="3534"/>
      <c r="D46" s="3534"/>
      <c r="E46" s="3534"/>
      <c r="F46" s="3535"/>
      <c r="G46" s="1340"/>
      <c r="H46" s="1331" t="s">
        <v>49</v>
      </c>
      <c r="I46" s="1337"/>
      <c r="J46" s="1337">
        <f>ROUND(G46*I46,0)</f>
        <v>0</v>
      </c>
      <c r="K46" s="1347"/>
    </row>
    <row r="47" spans="1:11">
      <c r="A47" s="1338"/>
      <c r="B47" s="1338"/>
      <c r="C47" s="1199"/>
      <c r="D47" s="1346"/>
      <c r="E47" s="1339"/>
      <c r="F47" s="1340"/>
      <c r="G47" s="1340"/>
      <c r="H47" s="1331"/>
      <c r="I47" s="1337"/>
      <c r="J47" s="1337"/>
      <c r="K47" s="1347"/>
    </row>
    <row r="48" spans="1:11">
      <c r="A48" s="1334">
        <v>6</v>
      </c>
      <c r="B48" s="3533"/>
      <c r="C48" s="3534"/>
      <c r="D48" s="3534"/>
      <c r="E48" s="3534"/>
      <c r="F48" s="3535"/>
      <c r="G48" s="1330"/>
      <c r="H48" s="1341"/>
      <c r="I48" s="1342"/>
      <c r="J48" s="1342"/>
      <c r="K48" s="1347"/>
    </row>
    <row r="49" spans="1:11">
      <c r="A49" s="1345"/>
      <c r="B49" s="3533"/>
      <c r="C49" s="3534"/>
      <c r="D49" s="3534"/>
      <c r="E49" s="3534"/>
      <c r="F49" s="3535"/>
      <c r="G49" s="1330"/>
      <c r="H49" s="1341"/>
      <c r="I49" s="1344"/>
      <c r="J49" s="1344"/>
      <c r="K49" s="1347"/>
    </row>
    <row r="50" spans="1:11">
      <c r="A50" s="1345"/>
      <c r="B50" s="3533"/>
      <c r="C50" s="3534"/>
      <c r="D50" s="3534"/>
      <c r="E50" s="3534"/>
      <c r="F50" s="3535"/>
      <c r="G50" s="1340"/>
      <c r="H50" s="1331" t="s">
        <v>49</v>
      </c>
      <c r="I50" s="1337"/>
      <c r="J50" s="1337">
        <f>ROUND(G50*I50,0)</f>
        <v>0</v>
      </c>
      <c r="K50" s="1347"/>
    </row>
    <row r="51" spans="1:11">
      <c r="A51" s="1338"/>
      <c r="B51" s="1338"/>
      <c r="C51" s="1199"/>
      <c r="D51" s="1339"/>
      <c r="E51" s="1339"/>
      <c r="F51" s="1340"/>
      <c r="G51" s="1340"/>
      <c r="H51" s="1341"/>
      <c r="I51" s="1344"/>
      <c r="J51" s="1344"/>
      <c r="K51" s="1347"/>
    </row>
    <row r="52" spans="1:11">
      <c r="A52" s="1334">
        <v>7</v>
      </c>
      <c r="B52" s="3533"/>
      <c r="C52" s="3534"/>
      <c r="D52" s="3534"/>
      <c r="E52" s="3534"/>
      <c r="F52" s="3535"/>
      <c r="G52" s="1330"/>
      <c r="H52" s="1341"/>
      <c r="I52" s="1342"/>
      <c r="J52" s="1342"/>
      <c r="K52" s="1347"/>
    </row>
    <row r="53" spans="1:11">
      <c r="A53" s="1345"/>
      <c r="B53" s="3533"/>
      <c r="C53" s="3534"/>
      <c r="D53" s="3534"/>
      <c r="E53" s="3534"/>
      <c r="F53" s="3535"/>
      <c r="G53" s="1330"/>
      <c r="H53" s="1341"/>
      <c r="I53" s="1344"/>
      <c r="J53" s="1344"/>
      <c r="K53" s="1347"/>
    </row>
    <row r="54" spans="1:11">
      <c r="A54" s="1345"/>
      <c r="B54" s="3533"/>
      <c r="C54" s="3534"/>
      <c r="D54" s="3534"/>
      <c r="E54" s="3534"/>
      <c r="F54" s="3535"/>
      <c r="G54" s="1340"/>
      <c r="H54" s="1331" t="s">
        <v>49</v>
      </c>
      <c r="I54" s="1337"/>
      <c r="J54" s="1337">
        <f>ROUND(G54*I54,0)</f>
        <v>0</v>
      </c>
      <c r="K54" s="1347"/>
    </row>
    <row r="55" spans="1:11" ht="12.75" customHeight="1">
      <c r="A55" s="1345"/>
      <c r="B55" s="1345"/>
      <c r="C55" s="1199"/>
      <c r="D55" s="1349"/>
      <c r="E55" s="1349"/>
      <c r="F55" s="1330"/>
      <c r="G55" s="1330"/>
      <c r="H55" s="1341"/>
      <c r="I55" s="1344"/>
      <c r="J55" s="1344"/>
      <c r="K55" s="1347"/>
    </row>
    <row r="56" spans="1:11">
      <c r="A56" s="1334">
        <v>8</v>
      </c>
      <c r="B56" s="3533"/>
      <c r="C56" s="3534"/>
      <c r="D56" s="3534"/>
      <c r="E56" s="3534"/>
      <c r="F56" s="3535"/>
      <c r="G56" s="1330"/>
      <c r="H56" s="1341"/>
      <c r="I56" s="1342"/>
      <c r="J56" s="1342"/>
      <c r="K56" s="1347"/>
    </row>
    <row r="57" spans="1:11">
      <c r="A57" s="1345"/>
      <c r="B57" s="3533"/>
      <c r="C57" s="3534"/>
      <c r="D57" s="3534"/>
      <c r="E57" s="3534"/>
      <c r="F57" s="3535"/>
      <c r="G57" s="1330"/>
      <c r="H57" s="1341"/>
      <c r="I57" s="1344"/>
      <c r="J57" s="1344"/>
      <c r="K57" s="1347"/>
    </row>
    <row r="58" spans="1:11">
      <c r="A58" s="1345"/>
      <c r="B58" s="3533"/>
      <c r="C58" s="3534"/>
      <c r="D58" s="3534"/>
      <c r="E58" s="3534"/>
      <c r="F58" s="3535"/>
      <c r="G58" s="1340"/>
      <c r="H58" s="1331" t="s">
        <v>49</v>
      </c>
      <c r="I58" s="1337"/>
      <c r="J58" s="1337">
        <f>ROUND(G58*I58,0)</f>
        <v>0</v>
      </c>
      <c r="K58" s="1347"/>
    </row>
    <row r="59" spans="1:11" ht="12.75" customHeight="1">
      <c r="A59" s="1345"/>
      <c r="B59" s="1345"/>
      <c r="C59" s="1198"/>
      <c r="D59" s="1350"/>
      <c r="E59" s="836"/>
      <c r="F59" s="1351"/>
      <c r="G59" s="1351"/>
      <c r="H59" s="1352"/>
      <c r="I59" s="1344"/>
      <c r="J59" s="1344"/>
      <c r="K59" s="1347"/>
    </row>
    <row r="60" spans="1:11">
      <c r="A60" s="1334">
        <v>9</v>
      </c>
      <c r="B60" s="3533"/>
      <c r="C60" s="3534"/>
      <c r="D60" s="3534"/>
      <c r="E60" s="3534"/>
      <c r="F60" s="3535"/>
      <c r="G60" s="1330"/>
      <c r="H60" s="1341"/>
      <c r="I60" s="1342"/>
      <c r="J60" s="1342"/>
      <c r="K60" s="1347"/>
    </row>
    <row r="61" spans="1:11">
      <c r="A61" s="1345"/>
      <c r="B61" s="3533"/>
      <c r="C61" s="3534"/>
      <c r="D61" s="3534"/>
      <c r="E61" s="3534"/>
      <c r="F61" s="3535"/>
      <c r="G61" s="1330"/>
      <c r="H61" s="1341"/>
      <c r="I61" s="1344"/>
      <c r="J61" s="1344"/>
      <c r="K61" s="1347"/>
    </row>
    <row r="62" spans="1:11">
      <c r="A62" s="1345"/>
      <c r="B62" s="3533"/>
      <c r="C62" s="3534"/>
      <c r="D62" s="3534"/>
      <c r="E62" s="3534"/>
      <c r="F62" s="3535"/>
      <c r="G62" s="1340"/>
      <c r="H62" s="1331" t="s">
        <v>49</v>
      </c>
      <c r="I62" s="1337"/>
      <c r="J62" s="1337">
        <f>ROUND(G62*I62,0)</f>
        <v>0</v>
      </c>
      <c r="K62" s="1347"/>
    </row>
    <row r="63" spans="1:11">
      <c r="A63" s="1353"/>
      <c r="B63" s="1353"/>
      <c r="C63" s="1199"/>
      <c r="D63" s="1349"/>
      <c r="E63" s="1349"/>
      <c r="F63" s="1330"/>
      <c r="G63" s="1330"/>
      <c r="H63" s="1204"/>
      <c r="I63" s="1342"/>
      <c r="J63" s="1342"/>
      <c r="K63" s="1347"/>
    </row>
    <row r="64" spans="1:11">
      <c r="A64" s="1353"/>
      <c r="B64" s="1353"/>
      <c r="C64" s="1199"/>
      <c r="D64" s="1349"/>
      <c r="E64" s="1349"/>
      <c r="F64" s="1330"/>
      <c r="G64" s="1330"/>
      <c r="H64" s="1204"/>
      <c r="I64" s="1348"/>
      <c r="J64" s="1342"/>
      <c r="K64" s="1347"/>
    </row>
    <row r="65" spans="1:11">
      <c r="A65" s="1353"/>
      <c r="B65" s="1353"/>
      <c r="C65" s="1199"/>
      <c r="D65" s="1349"/>
      <c r="E65" s="1349"/>
      <c r="F65" s="1330"/>
      <c r="G65" s="1330"/>
      <c r="H65" s="1204"/>
      <c r="I65" s="1348"/>
      <c r="J65" s="1342"/>
      <c r="K65" s="1347"/>
    </row>
    <row r="66" spans="1:11">
      <c r="A66" s="1353"/>
      <c r="B66" s="1353"/>
      <c r="C66" s="1199"/>
      <c r="D66" s="1349"/>
      <c r="E66" s="1349"/>
      <c r="F66" s="1330"/>
      <c r="G66" s="1330"/>
      <c r="H66" s="1204"/>
      <c r="I66" s="1348"/>
      <c r="J66" s="1342"/>
      <c r="K66" s="1347"/>
    </row>
    <row r="67" spans="1:11">
      <c r="A67" s="1353"/>
      <c r="B67" s="1353"/>
      <c r="C67" s="1199"/>
      <c r="D67" s="1349"/>
      <c r="E67" s="1349"/>
      <c r="F67" s="1330"/>
      <c r="G67" s="1330"/>
      <c r="H67" s="1204"/>
      <c r="I67" s="1348"/>
      <c r="J67" s="1342"/>
      <c r="K67" s="1347"/>
    </row>
    <row r="68" spans="1:11">
      <c r="A68" s="1354"/>
      <c r="B68" s="1354"/>
      <c r="C68" s="1198"/>
      <c r="D68" s="1346"/>
      <c r="E68" s="1349"/>
      <c r="F68" s="1330"/>
      <c r="G68" s="1340"/>
      <c r="H68" s="1193"/>
      <c r="I68" s="1325"/>
      <c r="J68" s="1355"/>
      <c r="K68" s="1347"/>
    </row>
    <row r="69" spans="1:11">
      <c r="A69" s="1356"/>
      <c r="B69" s="1356"/>
      <c r="C69" s="1326"/>
      <c r="D69" s="1326"/>
      <c r="E69" s="1326"/>
      <c r="F69" s="1197"/>
      <c r="G69" s="1197"/>
      <c r="H69" s="1197"/>
      <c r="I69" s="1357" t="s">
        <v>1978</v>
      </c>
      <c r="J69" s="1358">
        <f>SUM(J27:J68)</f>
        <v>0</v>
      </c>
      <c r="K69" s="1197"/>
    </row>
    <row r="70" spans="1:11">
      <c r="A70" s="3436" t="s">
        <v>1974</v>
      </c>
      <c r="B70" s="3436" t="s">
        <v>1975</v>
      </c>
      <c r="C70" s="3436"/>
      <c r="D70" s="3436"/>
      <c r="E70" s="3436"/>
      <c r="F70" s="3436"/>
      <c r="G70" s="3436" t="s">
        <v>707</v>
      </c>
      <c r="H70" s="3436" t="s">
        <v>1976</v>
      </c>
      <c r="I70" s="3436" t="s">
        <v>708</v>
      </c>
      <c r="J70" s="3437" t="s">
        <v>1977</v>
      </c>
      <c r="K70" s="3436" t="s">
        <v>710</v>
      </c>
    </row>
    <row r="71" spans="1:11">
      <c r="A71" s="3436"/>
      <c r="B71" s="3436"/>
      <c r="C71" s="3436"/>
      <c r="D71" s="3436"/>
      <c r="E71" s="3436"/>
      <c r="F71" s="3436"/>
      <c r="G71" s="3436"/>
      <c r="H71" s="3436"/>
      <c r="I71" s="3436"/>
      <c r="J71" s="3438"/>
      <c r="K71" s="3436"/>
    </row>
    <row r="72" spans="1:11">
      <c r="A72" s="1327">
        <v>1</v>
      </c>
      <c r="B72" s="3442">
        <v>2</v>
      </c>
      <c r="C72" s="3443"/>
      <c r="D72" s="3443"/>
      <c r="E72" s="3443"/>
      <c r="F72" s="3444"/>
      <c r="G72" s="1328">
        <v>3</v>
      </c>
      <c r="H72" s="1264">
        <v>4</v>
      </c>
      <c r="I72" s="1264">
        <v>5</v>
      </c>
      <c r="J72" s="1264">
        <v>6</v>
      </c>
      <c r="K72" s="1264">
        <v>7</v>
      </c>
    </row>
    <row r="73" spans="1:11">
      <c r="A73" s="1359"/>
      <c r="B73" s="1359"/>
      <c r="C73" s="1360"/>
      <c r="D73" s="1360"/>
      <c r="E73" s="1360"/>
      <c r="F73" s="1333"/>
      <c r="G73" s="1333"/>
      <c r="H73" s="1333"/>
      <c r="I73" s="1361" t="s">
        <v>1979</v>
      </c>
      <c r="J73" s="1362">
        <f>J69</f>
        <v>0</v>
      </c>
      <c r="K73" s="1333"/>
    </row>
    <row r="74" spans="1:11" ht="12" customHeight="1">
      <c r="A74" s="1334"/>
      <c r="B74" s="1363" t="s">
        <v>1980</v>
      </c>
      <c r="C74" s="1199"/>
      <c r="D74" s="1349"/>
      <c r="E74" s="836"/>
      <c r="F74" s="1351"/>
      <c r="G74" s="1340"/>
      <c r="H74" s="1331"/>
      <c r="I74" s="1364"/>
      <c r="J74" s="1342"/>
      <c r="K74" s="1336"/>
    </row>
    <row r="75" spans="1:11" ht="12.75" customHeight="1">
      <c r="A75" s="1334"/>
      <c r="B75" s="1345" t="s">
        <v>1981</v>
      </c>
      <c r="C75" s="1199"/>
      <c r="D75" s="1349"/>
      <c r="E75" s="836"/>
      <c r="F75" s="1351"/>
      <c r="G75" s="1351"/>
      <c r="H75" s="1331"/>
      <c r="I75" s="1196"/>
      <c r="J75" s="1365"/>
      <c r="K75" s="1312"/>
    </row>
    <row r="76" spans="1:11" ht="12.75" customHeight="1">
      <c r="A76" s="1348"/>
      <c r="B76" s="1348"/>
      <c r="C76" s="836"/>
      <c r="D76" s="1366"/>
      <c r="E76" s="836"/>
      <c r="F76" s="1351"/>
      <c r="G76" s="1351"/>
      <c r="H76" s="1331"/>
      <c r="I76" s="1367" t="s">
        <v>1982</v>
      </c>
      <c r="J76" s="1344">
        <f>SUM(J73:J75)</f>
        <v>0</v>
      </c>
      <c r="K76" s="1312"/>
    </row>
    <row r="77" spans="1:11" ht="12.75" customHeight="1">
      <c r="A77" s="1348"/>
      <c r="B77" s="1348"/>
      <c r="C77" s="836"/>
      <c r="D77" s="1366"/>
      <c r="E77" s="836"/>
      <c r="F77" s="1351"/>
      <c r="G77" s="1351"/>
      <c r="H77" s="1331"/>
      <c r="I77" s="1368" t="s">
        <v>2005</v>
      </c>
      <c r="J77" s="1358"/>
      <c r="K77" s="1312"/>
    </row>
    <row r="78" spans="1:11" ht="12.75" customHeight="1">
      <c r="A78" s="1348"/>
      <c r="B78" s="1348"/>
      <c r="C78" s="836"/>
      <c r="D78" s="1366"/>
      <c r="E78" s="836"/>
      <c r="F78" s="1351"/>
      <c r="G78" s="1351"/>
      <c r="H78" s="1331"/>
      <c r="I78" s="1368" t="s">
        <v>2006</v>
      </c>
      <c r="J78" s="1344">
        <f>SUM(J76:J77)</f>
        <v>0</v>
      </c>
      <c r="K78" s="1312"/>
    </row>
    <row r="79" spans="1:11">
      <c r="A79" s="1354"/>
      <c r="B79" s="1369" t="s">
        <v>1883</v>
      </c>
      <c r="C79" s="1193"/>
      <c r="D79" s="1193"/>
      <c r="E79" s="1193"/>
      <c r="F79" s="1312"/>
      <c r="G79" s="1312"/>
      <c r="H79" s="1331"/>
      <c r="I79" s="1368" t="s">
        <v>2007</v>
      </c>
      <c r="J79" s="1358">
        <f>-J77</f>
        <v>0</v>
      </c>
      <c r="K79" s="1312"/>
    </row>
    <row r="80" spans="1:11">
      <c r="A80" s="1354"/>
      <c r="B80" s="1371" t="s">
        <v>1983</v>
      </c>
      <c r="C80" s="1372">
        <v>0.01</v>
      </c>
      <c r="D80" s="1373" t="s">
        <v>1984</v>
      </c>
      <c r="E80" s="1196">
        <f>ROUND(J80*C80,0)</f>
        <v>0</v>
      </c>
      <c r="F80" s="1312"/>
      <c r="G80" s="1312"/>
      <c r="H80" s="1331"/>
      <c r="I80" s="1367" t="s">
        <v>2008</v>
      </c>
      <c r="J80" s="1344">
        <f>SUM(J78:J79)</f>
        <v>0</v>
      </c>
      <c r="K80" s="1312"/>
    </row>
    <row r="81" spans="1:11">
      <c r="A81" s="1354"/>
      <c r="B81" s="1371" t="s">
        <v>1678</v>
      </c>
      <c r="C81" s="1193"/>
      <c r="D81" s="1373" t="s">
        <v>1984</v>
      </c>
      <c r="E81" s="1196" t="e">
        <f>#REF!</f>
        <v>#REF!</v>
      </c>
      <c r="F81" s="1312"/>
      <c r="G81" s="1312"/>
      <c r="H81" s="1312"/>
      <c r="I81" s="1370" t="s">
        <v>2009</v>
      </c>
      <c r="J81" s="1358" t="e">
        <f>-E88</f>
        <v>#REF!</v>
      </c>
      <c r="K81" s="1312"/>
    </row>
    <row r="82" spans="1:11">
      <c r="A82" s="1354"/>
      <c r="B82" s="1371" t="s">
        <v>1524</v>
      </c>
      <c r="C82" s="1193"/>
      <c r="D82" s="1373" t="s">
        <v>1984</v>
      </c>
      <c r="E82" s="1196">
        <f>J75</f>
        <v>0</v>
      </c>
      <c r="F82" s="1335"/>
      <c r="G82" s="1312"/>
      <c r="H82" s="1312"/>
      <c r="I82" s="1384" t="s">
        <v>2010</v>
      </c>
      <c r="J82" s="1337" t="e">
        <f>SUM(J80:J81)</f>
        <v>#REF!</v>
      </c>
      <c r="K82" s="1312"/>
    </row>
    <row r="83" spans="1:11">
      <c r="A83" s="1354"/>
      <c r="B83" s="1371" t="s">
        <v>1525</v>
      </c>
      <c r="C83" s="1193"/>
      <c r="D83" s="1373" t="s">
        <v>1984</v>
      </c>
      <c r="E83" s="1196" t="e">
        <f>#REF!</f>
        <v>#REF!</v>
      </c>
      <c r="F83" s="1335"/>
      <c r="G83" s="1312"/>
      <c r="H83" s="1312"/>
      <c r="I83" s="1335"/>
      <c r="J83" s="1312"/>
      <c r="K83" s="1312"/>
    </row>
    <row r="84" spans="1:11">
      <c r="A84" s="1354"/>
      <c r="B84" s="1371" t="s">
        <v>1531</v>
      </c>
      <c r="C84" s="1193"/>
      <c r="D84" s="1373" t="s">
        <v>1984</v>
      </c>
      <c r="E84" s="1196" t="e">
        <f>#REF!</f>
        <v>#REF!</v>
      </c>
      <c r="F84" s="1335"/>
      <c r="G84" s="1312"/>
      <c r="H84" s="1312"/>
      <c r="I84" s="1312"/>
      <c r="J84" s="1312"/>
      <c r="K84" s="1312"/>
    </row>
    <row r="85" spans="1:11">
      <c r="A85" s="1354"/>
      <c r="B85" s="1371" t="s">
        <v>1985</v>
      </c>
      <c r="C85" s="1193"/>
      <c r="D85" s="1373" t="s">
        <v>1984</v>
      </c>
      <c r="E85" s="1196">
        <f>J74</f>
        <v>0</v>
      </c>
      <c r="F85" s="1335"/>
      <c r="G85" s="1312"/>
      <c r="H85" s="1312"/>
      <c r="I85" s="1312"/>
      <c r="J85" s="1312"/>
      <c r="K85" s="1312"/>
    </row>
    <row r="86" spans="1:11">
      <c r="A86" s="1354"/>
      <c r="B86" s="3447" t="s">
        <v>1986</v>
      </c>
      <c r="C86" s="3448"/>
      <c r="D86" s="1373" t="s">
        <v>1984</v>
      </c>
      <c r="E86" s="1196">
        <v>0</v>
      </c>
      <c r="F86" s="1335"/>
      <c r="G86" s="1312"/>
      <c r="H86" s="1312"/>
      <c r="I86" s="1312"/>
      <c r="J86" s="1312"/>
      <c r="K86" s="1312"/>
    </row>
    <row r="87" spans="1:11">
      <c r="A87" s="1354"/>
      <c r="B87" s="3447"/>
      <c r="C87" s="3448"/>
      <c r="D87" s="1193"/>
      <c r="E87" s="1326"/>
      <c r="F87" s="1335"/>
      <c r="G87" s="1312"/>
      <c r="H87" s="1312"/>
      <c r="I87" s="1312"/>
      <c r="J87" s="1312"/>
      <c r="K87" s="1312"/>
    </row>
    <row r="88" spans="1:11">
      <c r="A88" s="1354"/>
      <c r="B88" s="1354"/>
      <c r="C88" s="1193"/>
      <c r="D88" s="1374" t="s">
        <v>1987</v>
      </c>
      <c r="E88" s="1364" t="e">
        <f>SUM(E80:E87)</f>
        <v>#REF!</v>
      </c>
      <c r="F88" s="1375"/>
      <c r="G88" s="1312"/>
      <c r="H88" s="1312"/>
      <c r="I88" s="1335"/>
      <c r="J88" s="1312"/>
      <c r="K88" s="1312"/>
    </row>
    <row r="89" spans="1:11">
      <c r="A89" s="1325"/>
      <c r="B89" s="1325"/>
      <c r="C89" s="1326"/>
      <c r="D89" s="1326"/>
      <c r="E89" s="1326"/>
      <c r="F89" s="1197"/>
      <c r="G89" s="1197"/>
      <c r="H89" s="1197"/>
      <c r="I89" s="1376"/>
      <c r="J89" s="1197"/>
      <c r="K89" s="1197"/>
    </row>
    <row r="90" spans="1:11">
      <c r="A90" s="1377"/>
      <c r="B90" s="1378"/>
      <c r="C90" s="1378"/>
      <c r="D90" s="1378"/>
      <c r="E90" s="1378"/>
      <c r="F90" s="1378"/>
      <c r="G90" s="1378"/>
      <c r="H90" s="1378"/>
      <c r="I90" s="1378"/>
      <c r="J90" s="1378"/>
      <c r="K90" s="1311"/>
    </row>
    <row r="91" spans="1:11" ht="17.25" customHeight="1">
      <c r="A91" s="1354" t="s">
        <v>1988</v>
      </c>
      <c r="B91" s="1193"/>
      <c r="C91" s="1193"/>
      <c r="D91" s="1193"/>
      <c r="E91" s="1193"/>
      <c r="F91" s="1193"/>
      <c r="G91" s="1193"/>
      <c r="H91" s="1193" t="s">
        <v>932</v>
      </c>
      <c r="I91" s="1193"/>
      <c r="J91" s="1193"/>
      <c r="K91" s="1312"/>
    </row>
    <row r="92" spans="1:11" ht="17.25" customHeight="1">
      <c r="A92" s="1354" t="s">
        <v>1989</v>
      </c>
      <c r="B92" s="1193"/>
      <c r="C92" s="1193"/>
      <c r="D92" s="1193"/>
      <c r="E92" s="1193"/>
      <c r="F92" s="1193"/>
      <c r="G92" s="1193"/>
      <c r="H92" s="1326" t="s">
        <v>932</v>
      </c>
      <c r="I92" s="1326"/>
      <c r="J92" s="1326"/>
      <c r="K92" s="1312"/>
    </row>
    <row r="93" spans="1:11" ht="17.25" customHeight="1">
      <c r="A93" s="1354"/>
      <c r="B93" s="1193"/>
      <c r="C93" s="1193"/>
      <c r="D93" s="1193"/>
      <c r="E93" s="1193"/>
      <c r="F93" s="1193"/>
      <c r="G93" s="1193"/>
      <c r="H93" s="1378" t="s">
        <v>932</v>
      </c>
      <c r="I93" s="1378"/>
      <c r="J93" s="1378"/>
      <c r="K93" s="1312"/>
    </row>
    <row r="94" spans="1:11" ht="17.25" customHeight="1">
      <c r="A94" s="1354" t="s">
        <v>1990</v>
      </c>
      <c r="B94" s="1193"/>
      <c r="C94" s="1193"/>
      <c r="D94" s="1193"/>
      <c r="E94" s="1193"/>
      <c r="F94" s="1193"/>
      <c r="G94" s="1193"/>
      <c r="H94" s="1326" t="s">
        <v>932</v>
      </c>
      <c r="I94" s="1326"/>
      <c r="J94" s="1326"/>
      <c r="K94" s="1312"/>
    </row>
    <row r="95" spans="1:11" ht="17.25" customHeight="1">
      <c r="A95" s="1325"/>
      <c r="B95" s="1326"/>
      <c r="C95" s="1326"/>
      <c r="D95" s="1326"/>
      <c r="E95" s="1326"/>
      <c r="F95" s="1326"/>
      <c r="G95" s="1326"/>
      <c r="H95" s="1326"/>
      <c r="I95" s="1326"/>
      <c r="J95" s="1326"/>
      <c r="K95" s="1197"/>
    </row>
    <row r="96" spans="1:11" ht="15.75">
      <c r="A96" s="3449" t="s">
        <v>1991</v>
      </c>
      <c r="B96" s="3450"/>
      <c r="C96" s="3450"/>
      <c r="D96" s="3450"/>
      <c r="E96" s="3450"/>
      <c r="F96" s="3450"/>
      <c r="G96" s="3450"/>
      <c r="H96" s="3450"/>
      <c r="I96" s="3450"/>
      <c r="J96" s="3450"/>
      <c r="K96" s="3451"/>
    </row>
    <row r="97" spans="1:11" ht="12.75" customHeight="1">
      <c r="A97" s="1354"/>
      <c r="B97" s="1193"/>
      <c r="C97" s="1193"/>
      <c r="D97" s="1193"/>
      <c r="E97" s="1193"/>
      <c r="F97" s="1193"/>
      <c r="G97" s="1193"/>
      <c r="H97" s="1193"/>
      <c r="I97" s="1193"/>
      <c r="J97" s="1193"/>
      <c r="K97" s="1312"/>
    </row>
    <row r="98" spans="1:11" ht="12.75" customHeight="1">
      <c r="A98" s="1354"/>
      <c r="B98" s="1193"/>
      <c r="C98" s="1193"/>
      <c r="D98" s="1379"/>
      <c r="E98" s="1263" t="s">
        <v>1992</v>
      </c>
      <c r="F98" s="1193"/>
      <c r="G98" s="1193"/>
      <c r="H98" s="1193"/>
      <c r="I98" s="1263" t="s">
        <v>1993</v>
      </c>
      <c r="J98" s="1199">
        <f>K19</f>
        <v>0</v>
      </c>
      <c r="K98" s="1312" t="s">
        <v>1994</v>
      </c>
    </row>
    <row r="99" spans="1:11" ht="12.75" customHeight="1">
      <c r="A99" s="1354"/>
      <c r="B99" s="1193"/>
      <c r="C99" s="1193"/>
      <c r="D99" s="1193"/>
      <c r="E99" s="1193"/>
      <c r="F99" s="1193"/>
      <c r="G99" s="1193"/>
      <c r="H99" s="1193"/>
      <c r="I99" s="1193"/>
      <c r="J99" s="1193"/>
      <c r="K99" s="1312"/>
    </row>
    <row r="100" spans="1:11" ht="12.75" customHeight="1">
      <c r="A100" s="1380" t="s">
        <v>1995</v>
      </c>
      <c r="B100" s="1193"/>
      <c r="C100" s="1381">
        <f>K17</f>
        <v>0</v>
      </c>
      <c r="D100" s="1193" t="s">
        <v>1996</v>
      </c>
      <c r="E100" s="1193"/>
      <c r="F100" s="1193"/>
      <c r="G100" s="1193"/>
      <c r="H100" s="1193"/>
      <c r="I100" s="1193"/>
      <c r="J100" s="1193"/>
      <c r="K100" s="1312"/>
    </row>
    <row r="101" spans="1:11" ht="12.75" customHeight="1">
      <c r="A101" s="1354"/>
      <c r="B101" s="1193"/>
      <c r="C101" s="1193"/>
      <c r="D101" s="1193"/>
      <c r="E101" s="1193"/>
      <c r="F101" s="1193"/>
      <c r="G101" s="1193"/>
      <c r="H101" s="1193"/>
      <c r="I101" s="1193"/>
      <c r="J101" s="1193"/>
      <c r="K101" s="1312"/>
    </row>
    <row r="102" spans="1:11" ht="12.75" customHeight="1">
      <c r="A102" s="1354"/>
      <c r="B102" s="1193"/>
      <c r="C102" s="1193"/>
      <c r="D102" s="1193"/>
      <c r="E102" s="1193"/>
      <c r="F102" s="1193"/>
      <c r="G102" s="1193"/>
      <c r="H102" s="1193"/>
      <c r="I102" s="1193"/>
      <c r="J102" s="1193"/>
      <c r="K102" s="1312"/>
    </row>
    <row r="103" spans="1:11" ht="12.75" customHeight="1">
      <c r="A103" s="1354"/>
      <c r="B103" s="1193"/>
      <c r="C103" s="1193"/>
      <c r="D103" s="1193"/>
      <c r="E103" s="1193"/>
      <c r="F103" s="1193"/>
      <c r="G103" s="1193"/>
      <c r="H103" s="1193"/>
      <c r="I103" s="1193"/>
      <c r="J103" s="1193"/>
      <c r="K103" s="1312"/>
    </row>
    <row r="104" spans="1:11" ht="12.75" customHeight="1">
      <c r="A104" s="1354"/>
      <c r="B104" s="1204" t="s">
        <v>1997</v>
      </c>
      <c r="C104" s="1193"/>
      <c r="D104" s="1204"/>
      <c r="E104" s="1193"/>
      <c r="F104" s="1193"/>
      <c r="G104" s="1204" t="s">
        <v>188</v>
      </c>
      <c r="H104" s="1193"/>
      <c r="I104" s="1193"/>
      <c r="J104" s="1204" t="s">
        <v>189</v>
      </c>
      <c r="K104" s="1312"/>
    </row>
    <row r="105" spans="1:11" ht="12.75" customHeight="1">
      <c r="A105" s="1354"/>
      <c r="B105" s="1204" t="s">
        <v>1998</v>
      </c>
      <c r="C105" s="1193"/>
      <c r="D105" s="1204"/>
      <c r="E105" s="1204"/>
      <c r="F105" s="1204"/>
      <c r="G105" s="1204" t="s">
        <v>191</v>
      </c>
      <c r="H105" s="1193"/>
      <c r="I105" s="1193"/>
      <c r="J105" s="1204" t="str">
        <f>G105</f>
        <v>Kamakhyanagar Block</v>
      </c>
      <c r="K105" s="1312"/>
    </row>
    <row r="106" spans="1:11" ht="12.75" customHeight="1">
      <c r="A106" s="1354"/>
      <c r="B106" s="1204" t="s">
        <v>1999</v>
      </c>
      <c r="C106" s="1193"/>
      <c r="D106" s="1193"/>
      <c r="E106" s="1193"/>
      <c r="F106" s="1193"/>
      <c r="G106" s="1193"/>
      <c r="H106" s="1193"/>
      <c r="I106" s="1193"/>
      <c r="J106" s="1204"/>
      <c r="K106" s="1312"/>
    </row>
    <row r="107" spans="1:11" ht="12.75" customHeight="1">
      <c r="A107" s="1354"/>
      <c r="B107" s="1193"/>
      <c r="C107" s="1193"/>
      <c r="D107" s="1193"/>
      <c r="E107" s="1193"/>
      <c r="F107" s="1193"/>
      <c r="G107" s="1193"/>
      <c r="H107" s="1193"/>
      <c r="I107" s="1193"/>
      <c r="J107" s="1193"/>
      <c r="K107" s="1312"/>
    </row>
    <row r="108" spans="1:11" ht="12.75" customHeight="1">
      <c r="A108" s="1354"/>
      <c r="B108" s="1193"/>
      <c r="C108" s="1193"/>
      <c r="D108" s="1193"/>
      <c r="E108" s="1193"/>
      <c r="F108" s="1193"/>
      <c r="G108" s="1193"/>
      <c r="H108" s="1193"/>
      <c r="I108" s="1193"/>
      <c r="J108" s="1193"/>
      <c r="K108" s="1312"/>
    </row>
    <row r="109" spans="1:11" ht="12.75" customHeight="1">
      <c r="A109" s="1325"/>
      <c r="B109" s="1326"/>
      <c r="C109" s="1326"/>
      <c r="D109" s="1326"/>
      <c r="E109" s="1326"/>
      <c r="F109" s="1326" t="s">
        <v>2000</v>
      </c>
      <c r="G109" s="1326"/>
      <c r="H109" s="1326"/>
      <c r="I109" s="1326" t="s">
        <v>2000</v>
      </c>
      <c r="J109" s="1382" t="s">
        <v>2001</v>
      </c>
      <c r="K109" s="1197"/>
    </row>
    <row r="110" spans="1:11" ht="13.5" customHeight="1">
      <c r="A110" s="3452" t="s">
        <v>2002</v>
      </c>
      <c r="B110" s="3453"/>
      <c r="C110" s="3453"/>
      <c r="D110" s="3453"/>
      <c r="E110" s="3453"/>
      <c r="F110" s="3453"/>
      <c r="G110" s="3453"/>
      <c r="H110" s="3453"/>
      <c r="I110" s="3453"/>
      <c r="J110" s="3453"/>
      <c r="K110" s="3454"/>
    </row>
    <row r="111" spans="1:11" ht="17.25" customHeight="1">
      <c r="A111" s="153"/>
      <c r="K111" s="154"/>
    </row>
    <row r="112" spans="1:11" ht="17.25" customHeight="1">
      <c r="A112" s="153"/>
      <c r="K112" s="154"/>
    </row>
    <row r="113" spans="1:11" ht="17.25" customHeight="1">
      <c r="A113" s="153"/>
      <c r="K113" s="154"/>
    </row>
    <row r="114" spans="1:11" ht="17.25" customHeight="1">
      <c r="A114" s="153"/>
      <c r="K114" s="154"/>
    </row>
    <row r="115" spans="1:11" ht="17.25" customHeight="1">
      <c r="A115" s="153"/>
      <c r="K115" s="154"/>
    </row>
    <row r="116" spans="1:11" ht="17.25" customHeight="1">
      <c r="A116" s="153"/>
      <c r="K116" s="154"/>
    </row>
    <row r="117" spans="1:11" ht="17.25" customHeight="1">
      <c r="A117" s="153"/>
      <c r="K117" s="154"/>
    </row>
    <row r="118" spans="1:11" ht="15" customHeight="1">
      <c r="A118" s="153"/>
      <c r="K118" s="154"/>
    </row>
    <row r="119" spans="1:11" ht="15" customHeight="1">
      <c r="A119" s="153"/>
      <c r="K119" s="154"/>
    </row>
    <row r="120" spans="1:11" ht="15" customHeight="1">
      <c r="A120" s="153"/>
      <c r="K120" s="154"/>
    </row>
    <row r="121" spans="1:11" ht="15" customHeight="1">
      <c r="A121" s="153"/>
      <c r="K121" s="154"/>
    </row>
    <row r="122" spans="1:11" ht="15" customHeight="1">
      <c r="A122" s="153"/>
      <c r="K122" s="154"/>
    </row>
    <row r="123" spans="1:11" ht="15" customHeight="1">
      <c r="A123" s="153"/>
      <c r="K123" s="154"/>
    </row>
    <row r="124" spans="1:11" ht="15" customHeight="1">
      <c r="A124" s="153"/>
      <c r="K124" s="154"/>
    </row>
    <row r="125" spans="1:11" ht="15" customHeight="1">
      <c r="A125" s="153"/>
      <c r="K125" s="154"/>
    </row>
    <row r="126" spans="1:11" ht="15" customHeight="1">
      <c r="A126" s="153"/>
      <c r="K126" s="154"/>
    </row>
    <row r="127" spans="1:11" ht="15" customHeight="1">
      <c r="A127" s="153"/>
      <c r="K127" s="154"/>
    </row>
    <row r="128" spans="1:11" ht="15" customHeight="1">
      <c r="A128" s="153"/>
      <c r="K128" s="154"/>
    </row>
    <row r="129" spans="1:11" ht="15" customHeight="1">
      <c r="A129" s="153"/>
      <c r="K129" s="154"/>
    </row>
    <row r="130" spans="1:11" ht="13.5" customHeight="1">
      <c r="A130" s="153"/>
      <c r="K130" s="154"/>
    </row>
    <row r="131" spans="1:11" ht="13.5" customHeight="1">
      <c r="A131" s="153"/>
      <c r="K131" s="154"/>
    </row>
    <row r="132" spans="1:11" ht="13.5" customHeight="1">
      <c r="A132" s="153"/>
      <c r="K132" s="154"/>
    </row>
    <row r="133" spans="1:11" ht="13.5" customHeight="1">
      <c r="A133" s="153"/>
      <c r="K133" s="154"/>
    </row>
    <row r="134" spans="1:11" ht="13.5" customHeight="1">
      <c r="A134" s="153"/>
      <c r="K134" s="154"/>
    </row>
    <row r="135" spans="1:11" ht="13.5" customHeight="1">
      <c r="A135" s="153"/>
      <c r="K135" s="154"/>
    </row>
    <row r="136" spans="1:11" ht="13.5" customHeight="1">
      <c r="A136" s="156"/>
      <c r="B136" s="41"/>
      <c r="C136" s="41"/>
      <c r="D136" s="41"/>
      <c r="E136" s="41"/>
      <c r="F136" s="41"/>
      <c r="G136" s="41"/>
      <c r="H136" s="41"/>
      <c r="I136" s="41"/>
      <c r="J136" s="41"/>
      <c r="K136" s="159"/>
    </row>
    <row r="137" spans="1:11">
      <c r="A137" s="3455" t="s">
        <v>1974</v>
      </c>
      <c r="B137" s="3455" t="s">
        <v>1975</v>
      </c>
      <c r="C137" s="3455"/>
      <c r="D137" s="3455"/>
      <c r="E137" s="3455"/>
      <c r="F137" s="3455"/>
      <c r="G137" s="3455" t="s">
        <v>707</v>
      </c>
      <c r="H137" s="3455" t="s">
        <v>1976</v>
      </c>
      <c r="I137" s="3455" t="s">
        <v>708</v>
      </c>
      <c r="J137" s="3456" t="s">
        <v>1977</v>
      </c>
      <c r="K137" s="3455" t="s">
        <v>710</v>
      </c>
    </row>
    <row r="138" spans="1:11">
      <c r="A138" s="3455"/>
      <c r="B138" s="3455"/>
      <c r="C138" s="3455"/>
      <c r="D138" s="3455"/>
      <c r="E138" s="3455"/>
      <c r="F138" s="3455"/>
      <c r="G138" s="3455"/>
      <c r="H138" s="3455"/>
      <c r="I138" s="3455"/>
      <c r="J138" s="3457"/>
      <c r="K138" s="3455"/>
    </row>
    <row r="139" spans="1:11">
      <c r="A139" s="17">
        <v>1</v>
      </c>
      <c r="B139" s="3446">
        <v>2</v>
      </c>
      <c r="C139" s="3446"/>
      <c r="D139" s="3446"/>
      <c r="E139" s="3446"/>
      <c r="F139" s="3446"/>
      <c r="G139" s="17">
        <v>3</v>
      </c>
      <c r="H139" s="17">
        <v>4</v>
      </c>
      <c r="I139" s="17">
        <v>5</v>
      </c>
      <c r="J139" s="17">
        <v>6</v>
      </c>
      <c r="K139" s="17">
        <v>7</v>
      </c>
    </row>
    <row r="140" spans="1:11">
      <c r="A140" s="203"/>
      <c r="B140" s="202"/>
      <c r="C140" s="202"/>
      <c r="D140" s="202"/>
      <c r="E140" s="202"/>
      <c r="F140" s="183"/>
      <c r="G140" s="202"/>
      <c r="H140" s="201"/>
      <c r="I140" s="204"/>
      <c r="J140" s="205"/>
      <c r="K140" s="203"/>
    </row>
    <row r="141" spans="1:11">
      <c r="A141" s="193"/>
      <c r="B141" s="188"/>
      <c r="C141" s="188"/>
      <c r="D141" s="188"/>
      <c r="E141" s="188"/>
      <c r="F141" s="188"/>
      <c r="G141" s="206"/>
      <c r="H141" s="206"/>
      <c r="I141" s="207"/>
      <c r="J141" s="208"/>
      <c r="K141" s="193"/>
    </row>
    <row r="142" spans="1:11">
      <c r="A142" s="193"/>
      <c r="B142" s="188"/>
      <c r="C142" s="188"/>
      <c r="D142" s="188"/>
      <c r="E142" s="188"/>
      <c r="F142" s="188"/>
      <c r="G142" s="206"/>
      <c r="H142" s="206"/>
      <c r="I142" s="207"/>
      <c r="J142" s="208"/>
      <c r="K142" s="193"/>
    </row>
    <row r="143" spans="1:11">
      <c r="A143" s="193"/>
      <c r="B143" s="188"/>
      <c r="C143" s="188"/>
      <c r="D143" s="188"/>
      <c r="E143" s="188"/>
      <c r="F143" s="188"/>
      <c r="G143" s="206"/>
      <c r="H143" s="206"/>
      <c r="I143" s="207"/>
      <c r="J143" s="208"/>
      <c r="K143" s="193"/>
    </row>
    <row r="144" spans="1:11">
      <c r="A144" s="193"/>
      <c r="B144" s="188"/>
      <c r="C144" s="188"/>
      <c r="D144" s="188"/>
      <c r="E144" s="188"/>
      <c r="F144" s="188"/>
      <c r="G144" s="206"/>
      <c r="H144" s="206"/>
      <c r="I144" s="207"/>
      <c r="J144" s="208"/>
      <c r="K144" s="193"/>
    </row>
    <row r="145" spans="1:11">
      <c r="A145" s="193"/>
      <c r="B145" s="188"/>
      <c r="C145" s="188"/>
      <c r="D145" s="188"/>
      <c r="E145" s="188"/>
      <c r="F145" s="188"/>
      <c r="G145" s="206"/>
      <c r="H145" s="206"/>
      <c r="I145" s="207"/>
      <c r="J145" s="208"/>
      <c r="K145" s="193"/>
    </row>
    <row r="146" spans="1:11">
      <c r="A146" s="193"/>
      <c r="B146" s="188"/>
      <c r="C146" s="188"/>
      <c r="D146" s="188"/>
      <c r="E146" s="188"/>
      <c r="F146" s="188"/>
      <c r="G146" s="206"/>
      <c r="H146" s="206"/>
      <c r="I146" s="207"/>
      <c r="J146" s="208"/>
      <c r="K146" s="193"/>
    </row>
    <row r="147" spans="1:11">
      <c r="A147" s="193"/>
      <c r="B147" s="188"/>
      <c r="C147" s="188"/>
      <c r="D147" s="188"/>
      <c r="E147" s="188"/>
      <c r="F147" s="188"/>
      <c r="G147" s="206"/>
      <c r="H147" s="206"/>
      <c r="I147" s="207"/>
      <c r="J147" s="208"/>
      <c r="K147" s="193"/>
    </row>
    <row r="148" spans="1:11">
      <c r="A148" s="193"/>
      <c r="B148" s="188"/>
      <c r="C148" s="188"/>
      <c r="D148" s="188"/>
      <c r="E148" s="188"/>
      <c r="F148" s="188"/>
      <c r="G148" s="206"/>
      <c r="H148" s="206"/>
      <c r="I148" s="207"/>
      <c r="J148" s="208"/>
      <c r="K148" s="193"/>
    </row>
    <row r="149" spans="1:11">
      <c r="A149" s="193"/>
      <c r="B149" s="188"/>
      <c r="C149" s="188"/>
      <c r="D149" s="188"/>
      <c r="E149" s="188"/>
      <c r="F149" s="188"/>
      <c r="G149" s="206"/>
      <c r="H149" s="206"/>
      <c r="I149" s="207"/>
      <c r="J149" s="208"/>
      <c r="K149" s="193"/>
    </row>
    <row r="150" spans="1:11">
      <c r="A150" s="193"/>
      <c r="B150" s="188"/>
      <c r="C150" s="188"/>
      <c r="D150" s="188"/>
      <c r="E150" s="188"/>
      <c r="F150" s="188"/>
      <c r="G150" s="206"/>
      <c r="H150" s="206"/>
      <c r="I150" s="207"/>
      <c r="J150" s="208"/>
      <c r="K150" s="193"/>
    </row>
    <row r="151" spans="1:11">
      <c r="A151" s="193"/>
      <c r="B151" s="188"/>
      <c r="C151" s="188"/>
      <c r="D151" s="188"/>
      <c r="E151" s="188"/>
      <c r="F151" s="188"/>
      <c r="G151" s="206"/>
      <c r="H151" s="206"/>
      <c r="I151" s="207"/>
      <c r="J151" s="208"/>
      <c r="K151" s="193"/>
    </row>
    <row r="152" spans="1:11">
      <c r="A152" s="193"/>
      <c r="B152" s="188"/>
      <c r="C152" s="188"/>
      <c r="D152" s="188"/>
      <c r="E152" s="188"/>
      <c r="F152" s="188"/>
      <c r="G152" s="206"/>
      <c r="H152" s="206"/>
      <c r="I152" s="207"/>
      <c r="J152" s="208"/>
      <c r="K152" s="193"/>
    </row>
    <row r="153" spans="1:11">
      <c r="A153" s="193"/>
      <c r="B153" s="188"/>
      <c r="C153" s="188"/>
      <c r="D153" s="188"/>
      <c r="E153" s="188"/>
      <c r="F153" s="188"/>
      <c r="G153" s="206"/>
      <c r="H153" s="206"/>
      <c r="I153" s="207"/>
      <c r="J153" s="208"/>
      <c r="K153" s="193"/>
    </row>
    <row r="154" spans="1:11">
      <c r="A154" s="193"/>
      <c r="B154" s="188"/>
      <c r="C154" s="188"/>
      <c r="D154" s="188"/>
      <c r="E154" s="188"/>
      <c r="F154" s="188"/>
      <c r="G154" s="206"/>
      <c r="H154" s="206"/>
      <c r="I154" s="207"/>
      <c r="J154" s="208"/>
      <c r="K154" s="193"/>
    </row>
    <row r="155" spans="1:11">
      <c r="A155" s="193"/>
      <c r="B155" s="188"/>
      <c r="C155" s="188"/>
      <c r="D155" s="188"/>
      <c r="E155" s="188"/>
      <c r="F155" s="188"/>
      <c r="G155" s="206"/>
      <c r="H155" s="206"/>
      <c r="I155" s="207"/>
      <c r="J155" s="208"/>
      <c r="K155" s="193"/>
    </row>
    <row r="156" spans="1:11">
      <c r="A156" s="193"/>
      <c r="B156" s="188"/>
      <c r="C156" s="188"/>
      <c r="D156" s="188"/>
      <c r="E156" s="188"/>
      <c r="F156" s="188"/>
      <c r="G156" s="206"/>
      <c r="H156" s="206"/>
      <c r="I156" s="207"/>
      <c r="J156" s="208"/>
      <c r="K156" s="193"/>
    </row>
    <row r="157" spans="1:11">
      <c r="A157" s="193"/>
      <c r="B157" s="188"/>
      <c r="C157" s="188"/>
      <c r="D157" s="188"/>
      <c r="E157" s="188"/>
      <c r="F157" s="188"/>
      <c r="G157" s="206"/>
      <c r="H157" s="206"/>
      <c r="I157" s="207"/>
      <c r="J157" s="208"/>
      <c r="K157" s="193"/>
    </row>
    <row r="158" spans="1:11">
      <c r="A158" s="193"/>
      <c r="B158" s="188"/>
      <c r="C158" s="188"/>
      <c r="D158" s="188"/>
      <c r="E158" s="188"/>
      <c r="F158" s="188"/>
      <c r="G158" s="206"/>
      <c r="H158" s="206"/>
      <c r="I158" s="207"/>
      <c r="J158" s="208"/>
      <c r="K158" s="193"/>
    </row>
    <row r="159" spans="1:11">
      <c r="A159" s="193"/>
      <c r="B159" s="188"/>
      <c r="C159" s="188"/>
      <c r="D159" s="188"/>
      <c r="E159" s="188"/>
      <c r="F159" s="188"/>
      <c r="G159" s="206"/>
      <c r="H159" s="206"/>
      <c r="I159" s="207"/>
      <c r="J159" s="208"/>
      <c r="K159" s="193"/>
    </row>
    <row r="160" spans="1:11">
      <c r="A160" s="193"/>
      <c r="B160" s="188"/>
      <c r="C160" s="188"/>
      <c r="D160" s="188"/>
      <c r="E160" s="188"/>
      <c r="F160" s="188"/>
      <c r="G160" s="206"/>
      <c r="H160" s="206"/>
      <c r="I160" s="207"/>
      <c r="J160" s="208"/>
      <c r="K160" s="193"/>
    </row>
    <row r="161" spans="1:11">
      <c r="A161" s="193"/>
      <c r="B161" s="188"/>
      <c r="C161" s="188"/>
      <c r="D161" s="188"/>
      <c r="E161" s="188"/>
      <c r="F161" s="188"/>
      <c r="G161" s="206"/>
      <c r="H161" s="206"/>
      <c r="I161" s="207"/>
      <c r="J161" s="208"/>
      <c r="K161" s="193"/>
    </row>
    <row r="162" spans="1:11">
      <c r="A162" s="193"/>
      <c r="B162" s="188"/>
      <c r="C162" s="188"/>
      <c r="D162" s="188"/>
      <c r="E162" s="188"/>
      <c r="F162" s="188"/>
      <c r="G162" s="206"/>
      <c r="H162" s="206"/>
      <c r="I162" s="207"/>
      <c r="J162" s="208"/>
      <c r="K162" s="193"/>
    </row>
    <row r="163" spans="1:11">
      <c r="A163" s="193"/>
      <c r="B163" s="188"/>
      <c r="C163" s="188"/>
      <c r="D163" s="188"/>
      <c r="E163" s="188"/>
      <c r="F163" s="188"/>
      <c r="G163" s="206"/>
      <c r="H163" s="206"/>
      <c r="I163" s="207"/>
      <c r="J163" s="208"/>
      <c r="K163" s="193"/>
    </row>
    <row r="164" spans="1:11">
      <c r="A164" s="193"/>
      <c r="B164" s="188"/>
      <c r="C164" s="188"/>
      <c r="D164" s="188"/>
      <c r="E164" s="188"/>
      <c r="F164" s="188"/>
      <c r="G164" s="206"/>
      <c r="H164" s="206"/>
      <c r="I164" s="207"/>
      <c r="J164" s="208"/>
      <c r="K164" s="193"/>
    </row>
    <row r="165" spans="1:11">
      <c r="A165" s="193"/>
      <c r="B165" s="188"/>
      <c r="C165" s="188"/>
      <c r="D165" s="188"/>
      <c r="E165" s="188"/>
      <c r="F165" s="188"/>
      <c r="G165" s="206"/>
      <c r="H165" s="206"/>
      <c r="I165" s="207"/>
      <c r="J165" s="208"/>
      <c r="K165" s="193"/>
    </row>
    <row r="166" spans="1:11">
      <c r="A166" s="193"/>
      <c r="B166" s="188"/>
      <c r="C166" s="188"/>
      <c r="D166" s="188"/>
      <c r="E166" s="188"/>
      <c r="F166" s="188"/>
      <c r="G166" s="206"/>
      <c r="H166" s="206"/>
      <c r="I166" s="207"/>
      <c r="J166" s="208"/>
      <c r="K166" s="193"/>
    </row>
    <row r="167" spans="1:11">
      <c r="A167" s="193"/>
      <c r="B167" s="188"/>
      <c r="C167" s="188"/>
      <c r="D167" s="188"/>
      <c r="E167" s="188"/>
      <c r="F167" s="188"/>
      <c r="G167" s="206"/>
      <c r="H167" s="206"/>
      <c r="I167" s="207"/>
      <c r="J167" s="208"/>
      <c r="K167" s="193"/>
    </row>
    <row r="168" spans="1:11">
      <c r="A168" s="193"/>
      <c r="B168" s="188"/>
      <c r="C168" s="188"/>
      <c r="D168" s="188"/>
      <c r="E168" s="188"/>
      <c r="F168" s="188"/>
      <c r="G168" s="206"/>
      <c r="H168" s="206"/>
      <c r="I168" s="207"/>
      <c r="J168" s="208"/>
      <c r="K168" s="193"/>
    </row>
    <row r="169" spans="1:11">
      <c r="A169" s="193"/>
      <c r="B169" s="188"/>
      <c r="C169" s="188"/>
      <c r="D169" s="188"/>
      <c r="E169" s="188"/>
      <c r="F169" s="188"/>
      <c r="G169" s="206"/>
      <c r="H169" s="206"/>
      <c r="I169" s="207"/>
      <c r="J169" s="208"/>
      <c r="K169" s="193"/>
    </row>
    <row r="170" spans="1:11">
      <c r="A170" s="193"/>
      <c r="B170" s="188"/>
      <c r="C170" s="188"/>
      <c r="D170" s="188"/>
      <c r="E170" s="188"/>
      <c r="F170" s="188"/>
      <c r="G170" s="206"/>
      <c r="H170" s="206"/>
      <c r="I170" s="207"/>
      <c r="J170" s="208"/>
      <c r="K170" s="193"/>
    </row>
    <row r="171" spans="1:11">
      <c r="A171" s="193"/>
      <c r="B171" s="188"/>
      <c r="C171" s="188"/>
      <c r="D171" s="188"/>
      <c r="E171" s="188"/>
      <c r="F171" s="188"/>
      <c r="G171" s="206"/>
      <c r="H171" s="206"/>
      <c r="I171" s="207"/>
      <c r="J171" s="208"/>
      <c r="K171" s="193"/>
    </row>
    <row r="172" spans="1:11">
      <c r="A172" s="193"/>
      <c r="B172" s="188"/>
      <c r="C172" s="188"/>
      <c r="D172" s="188"/>
      <c r="E172" s="188"/>
      <c r="F172" s="188"/>
      <c r="G172" s="206"/>
      <c r="H172" s="206"/>
      <c r="I172" s="207"/>
      <c r="J172" s="208"/>
      <c r="K172" s="193"/>
    </row>
    <row r="173" spans="1:11">
      <c r="A173" s="193"/>
      <c r="B173" s="188"/>
      <c r="C173" s="188"/>
      <c r="D173" s="188"/>
      <c r="E173" s="188"/>
      <c r="F173" s="188"/>
      <c r="G173" s="206"/>
      <c r="H173" s="206"/>
      <c r="I173" s="207"/>
      <c r="J173" s="208"/>
      <c r="K173" s="193"/>
    </row>
    <row r="174" spans="1:11">
      <c r="A174" s="193"/>
      <c r="B174" s="188"/>
      <c r="C174" s="188"/>
      <c r="D174" s="188"/>
      <c r="E174" s="188"/>
      <c r="F174" s="188"/>
      <c r="G174" s="206"/>
      <c r="H174" s="206"/>
      <c r="I174" s="207"/>
      <c r="J174" s="208"/>
      <c r="K174" s="193"/>
    </row>
    <row r="175" spans="1:11">
      <c r="A175" s="193"/>
      <c r="B175" s="188"/>
      <c r="C175" s="188"/>
      <c r="D175" s="188"/>
      <c r="E175" s="188"/>
      <c r="F175" s="188"/>
      <c r="G175" s="206"/>
      <c r="H175" s="206"/>
      <c r="I175" s="207"/>
      <c r="J175" s="208"/>
      <c r="K175" s="193"/>
    </row>
    <row r="176" spans="1:11">
      <c r="A176" s="193"/>
      <c r="B176" s="188"/>
      <c r="C176" s="188"/>
      <c r="D176" s="188"/>
      <c r="E176" s="188"/>
      <c r="F176" s="188"/>
      <c r="G176" s="206"/>
      <c r="H176" s="206"/>
      <c r="I176" s="207"/>
      <c r="J176" s="208"/>
      <c r="K176" s="193"/>
    </row>
    <row r="177" spans="1:11">
      <c r="A177" s="193"/>
      <c r="B177" s="188"/>
      <c r="C177" s="188"/>
      <c r="D177" s="188"/>
      <c r="E177" s="188"/>
      <c r="F177" s="188"/>
      <c r="G177" s="206"/>
      <c r="H177" s="206"/>
      <c r="I177" s="207"/>
      <c r="J177" s="208"/>
      <c r="K177" s="193"/>
    </row>
    <row r="178" spans="1:11">
      <c r="A178" s="193"/>
      <c r="B178" s="188"/>
      <c r="C178" s="188"/>
      <c r="D178" s="188"/>
      <c r="E178" s="188"/>
      <c r="F178" s="188"/>
      <c r="G178" s="206"/>
      <c r="H178" s="206"/>
      <c r="I178" s="207"/>
      <c r="J178" s="208"/>
      <c r="K178" s="193"/>
    </row>
    <row r="179" spans="1:11">
      <c r="A179" s="193"/>
      <c r="B179" s="188"/>
      <c r="C179" s="188"/>
      <c r="D179" s="188"/>
      <c r="E179" s="188"/>
      <c r="F179" s="188"/>
      <c r="G179" s="206"/>
      <c r="H179" s="206"/>
      <c r="I179" s="207"/>
      <c r="J179" s="208"/>
      <c r="K179" s="193"/>
    </row>
    <row r="180" spans="1:11">
      <c r="A180" s="193"/>
      <c r="B180" s="188"/>
      <c r="C180" s="188"/>
      <c r="D180" s="188"/>
      <c r="E180" s="188"/>
      <c r="F180" s="188"/>
      <c r="G180" s="206"/>
      <c r="H180" s="206"/>
      <c r="I180" s="207"/>
      <c r="J180" s="208"/>
      <c r="K180" s="193"/>
    </row>
    <row r="181" spans="1:11">
      <c r="A181" s="193"/>
      <c r="B181" s="188"/>
      <c r="C181" s="188"/>
      <c r="D181" s="188"/>
      <c r="E181" s="188"/>
      <c r="F181" s="188"/>
      <c r="G181" s="206"/>
      <c r="H181" s="206"/>
      <c r="I181" s="207"/>
      <c r="J181" s="208"/>
      <c r="K181" s="193"/>
    </row>
    <row r="182" spans="1:11">
      <c r="A182" s="193"/>
      <c r="B182" s="188"/>
      <c r="C182" s="188"/>
      <c r="D182" s="188"/>
      <c r="E182" s="188"/>
      <c r="F182" s="188"/>
      <c r="G182" s="206"/>
      <c r="H182" s="206"/>
      <c r="I182" s="207"/>
      <c r="J182" s="208"/>
      <c r="K182" s="193"/>
    </row>
    <row r="183" spans="1:11">
      <c r="A183" s="193"/>
      <c r="B183" s="188"/>
      <c r="C183" s="188"/>
      <c r="D183" s="188"/>
      <c r="E183" s="188"/>
      <c r="F183" s="188"/>
      <c r="G183" s="206"/>
      <c r="H183" s="206"/>
      <c r="I183" s="207"/>
      <c r="J183" s="208"/>
      <c r="K183" s="193"/>
    </row>
    <row r="184" spans="1:11">
      <c r="A184" s="193"/>
      <c r="B184" s="188"/>
      <c r="C184" s="188"/>
      <c r="D184" s="188"/>
      <c r="E184" s="188"/>
      <c r="F184" s="188"/>
      <c r="G184" s="206"/>
      <c r="H184" s="206"/>
      <c r="I184" s="207"/>
      <c r="J184" s="208"/>
      <c r="K184" s="193"/>
    </row>
    <row r="185" spans="1:11">
      <c r="A185" s="193"/>
      <c r="B185" s="188"/>
      <c r="C185" s="188"/>
      <c r="D185" s="188"/>
      <c r="E185" s="188"/>
      <c r="F185" s="188"/>
      <c r="G185" s="206"/>
      <c r="H185" s="206"/>
      <c r="I185" s="207"/>
      <c r="J185" s="208"/>
      <c r="K185" s="193"/>
    </row>
    <row r="186" spans="1:11">
      <c r="A186" s="193"/>
      <c r="B186" s="188"/>
      <c r="C186" s="188"/>
      <c r="D186" s="188"/>
      <c r="E186" s="188"/>
      <c r="F186" s="188"/>
      <c r="G186" s="206"/>
      <c r="H186" s="206"/>
      <c r="I186" s="207"/>
      <c r="J186" s="208"/>
      <c r="K186" s="193"/>
    </row>
    <row r="187" spans="1:11">
      <c r="A187" s="193"/>
      <c r="B187" s="188"/>
      <c r="C187" s="188"/>
      <c r="D187" s="188"/>
      <c r="E187" s="188"/>
      <c r="F187" s="188"/>
      <c r="G187" s="206"/>
      <c r="H187" s="206"/>
      <c r="I187" s="207"/>
      <c r="J187" s="208"/>
      <c r="K187" s="193"/>
    </row>
    <row r="188" spans="1:11">
      <c r="A188" s="193"/>
      <c r="B188" s="188"/>
      <c r="C188" s="188"/>
      <c r="D188" s="188"/>
      <c r="E188" s="188"/>
      <c r="F188" s="188"/>
      <c r="G188" s="206"/>
      <c r="H188" s="206"/>
      <c r="I188" s="207"/>
      <c r="J188" s="208"/>
      <c r="K188" s="193"/>
    </row>
    <row r="189" spans="1:11">
      <c r="A189" s="193"/>
      <c r="B189" s="188"/>
      <c r="C189" s="188"/>
      <c r="D189" s="188"/>
      <c r="E189" s="188"/>
      <c r="F189" s="188"/>
      <c r="G189" s="206"/>
      <c r="H189" s="206"/>
      <c r="I189" s="207"/>
      <c r="J189" s="208"/>
      <c r="K189" s="193"/>
    </row>
    <row r="190" spans="1:11">
      <c r="A190" s="193"/>
      <c r="B190" s="188"/>
      <c r="C190" s="188"/>
      <c r="D190" s="188"/>
      <c r="E190" s="188"/>
      <c r="F190" s="188"/>
      <c r="G190" s="206"/>
      <c r="H190" s="206"/>
      <c r="I190" s="207"/>
      <c r="J190" s="208"/>
      <c r="K190" s="193"/>
    </row>
    <row r="191" spans="1:11">
      <c r="A191" s="193"/>
      <c r="B191" s="188"/>
      <c r="C191" s="188"/>
      <c r="D191" s="188"/>
      <c r="E191" s="188"/>
      <c r="F191" s="188"/>
      <c r="G191" s="206"/>
      <c r="H191" s="206"/>
      <c r="I191" s="207"/>
      <c r="J191" s="208"/>
      <c r="K191" s="193"/>
    </row>
    <row r="192" spans="1:11">
      <c r="A192" s="193"/>
      <c r="B192" s="188"/>
      <c r="C192" s="188"/>
      <c r="D192" s="188"/>
      <c r="E192" s="188"/>
      <c r="F192" s="188"/>
      <c r="G192" s="206"/>
      <c r="H192" s="206"/>
      <c r="I192" s="207"/>
      <c r="J192" s="208"/>
      <c r="K192" s="193"/>
    </row>
    <row r="193" spans="1:11">
      <c r="A193" s="193"/>
      <c r="B193" s="188"/>
      <c r="C193" s="188"/>
      <c r="D193" s="188"/>
      <c r="E193" s="188"/>
      <c r="F193" s="188"/>
      <c r="G193" s="206"/>
      <c r="H193" s="206"/>
      <c r="I193" s="207"/>
      <c r="J193" s="208"/>
      <c r="K193" s="193"/>
    </row>
    <row r="194" spans="1:11">
      <c r="A194" s="193"/>
      <c r="B194" s="188"/>
      <c r="C194" s="188"/>
      <c r="D194" s="188"/>
      <c r="E194" s="188"/>
      <c r="F194" s="188"/>
      <c r="G194" s="206"/>
      <c r="H194" s="206"/>
      <c r="I194" s="207"/>
      <c r="J194" s="208"/>
      <c r="K194" s="193"/>
    </row>
    <row r="195" spans="1:11">
      <c r="A195" s="193"/>
      <c r="B195" s="188"/>
      <c r="C195" s="188"/>
      <c r="D195" s="188"/>
      <c r="E195" s="188"/>
      <c r="F195" s="188"/>
      <c r="G195" s="206"/>
      <c r="H195" s="206"/>
      <c r="I195" s="207"/>
      <c r="J195" s="208"/>
      <c r="K195" s="193"/>
    </row>
    <row r="196" spans="1:11">
      <c r="A196" s="193"/>
      <c r="B196" s="188"/>
      <c r="C196" s="188"/>
      <c r="D196" s="188"/>
      <c r="E196" s="188"/>
      <c r="F196" s="188"/>
      <c r="G196" s="206"/>
      <c r="H196" s="206"/>
      <c r="I196" s="207"/>
      <c r="J196" s="208"/>
      <c r="K196" s="193"/>
    </row>
    <row r="197" spans="1:11">
      <c r="A197" s="193"/>
      <c r="B197" s="188"/>
      <c r="C197" s="188"/>
      <c r="D197" s="188"/>
      <c r="E197" s="188"/>
      <c r="F197" s="188"/>
      <c r="G197" s="206"/>
      <c r="H197" s="206"/>
      <c r="I197" s="207"/>
      <c r="J197" s="208"/>
      <c r="K197" s="193"/>
    </row>
    <row r="198" spans="1:11">
      <c r="A198" s="193"/>
      <c r="B198" s="188"/>
      <c r="C198" s="188"/>
      <c r="D198" s="188"/>
      <c r="E198" s="188"/>
      <c r="F198" s="188"/>
      <c r="G198" s="206"/>
      <c r="H198" s="206"/>
      <c r="I198" s="207"/>
      <c r="J198" s="208"/>
      <c r="K198" s="193"/>
    </row>
    <row r="199" spans="1:11">
      <c r="A199" s="193"/>
      <c r="B199" s="188"/>
      <c r="C199" s="188"/>
      <c r="D199" s="188"/>
      <c r="E199" s="188"/>
      <c r="F199" s="188"/>
      <c r="G199" s="206"/>
      <c r="H199" s="206"/>
      <c r="I199" s="207"/>
      <c r="J199" s="208"/>
      <c r="K199" s="193"/>
    </row>
    <row r="200" spans="1:11">
      <c r="A200" s="193"/>
      <c r="B200" s="188"/>
      <c r="C200" s="188"/>
      <c r="D200" s="188"/>
      <c r="E200" s="188"/>
      <c r="F200" s="188"/>
      <c r="G200" s="206"/>
      <c r="H200" s="206"/>
      <c r="I200" s="207"/>
      <c r="J200" s="208"/>
      <c r="K200" s="193"/>
    </row>
    <row r="201" spans="1:11">
      <c r="A201" s="193"/>
      <c r="B201" s="188"/>
      <c r="C201" s="188"/>
      <c r="D201" s="188"/>
      <c r="E201" s="188"/>
      <c r="F201" s="188"/>
      <c r="G201" s="206"/>
      <c r="H201" s="206"/>
      <c r="I201" s="207"/>
      <c r="J201" s="208"/>
      <c r="K201" s="193"/>
    </row>
    <row r="202" spans="1:11">
      <c r="A202" s="193"/>
      <c r="B202" s="188"/>
      <c r="C202" s="188"/>
      <c r="D202" s="188"/>
      <c r="E202" s="188"/>
      <c r="F202" s="188"/>
      <c r="G202" s="206"/>
      <c r="H202" s="206"/>
      <c r="I202" s="207"/>
      <c r="J202" s="208"/>
      <c r="K202" s="193"/>
    </row>
    <row r="203" spans="1:11">
      <c r="A203" s="193"/>
      <c r="B203" s="188"/>
      <c r="C203" s="188"/>
      <c r="D203" s="188"/>
      <c r="E203" s="188"/>
      <c r="F203" s="188"/>
      <c r="G203" s="206"/>
      <c r="H203" s="206"/>
      <c r="I203" s="207"/>
      <c r="J203" s="208"/>
      <c r="K203" s="193"/>
    </row>
    <row r="204" spans="1:11">
      <c r="A204" s="193"/>
      <c r="B204" s="188"/>
      <c r="C204" s="188"/>
      <c r="D204" s="188"/>
      <c r="E204" s="188"/>
      <c r="F204" s="188"/>
      <c r="G204" s="206"/>
      <c r="H204" s="206"/>
      <c r="I204" s="207"/>
      <c r="J204" s="208"/>
      <c r="K204" s="193"/>
    </row>
    <row r="205" spans="1:11">
      <c r="A205" s="193"/>
      <c r="B205" s="188"/>
      <c r="C205" s="188"/>
      <c r="D205" s="188"/>
      <c r="E205" s="188"/>
      <c r="F205" s="188"/>
      <c r="G205" s="206"/>
      <c r="H205" s="206"/>
      <c r="I205" s="207"/>
      <c r="J205" s="208"/>
      <c r="K205" s="193"/>
    </row>
    <row r="206" spans="1:11">
      <c r="A206" s="193"/>
      <c r="B206" s="188"/>
      <c r="C206" s="188"/>
      <c r="D206" s="188"/>
      <c r="E206" s="188"/>
      <c r="F206" s="188"/>
      <c r="G206" s="206"/>
      <c r="H206" s="206"/>
      <c r="I206" s="207"/>
      <c r="J206" s="208"/>
      <c r="K206" s="193"/>
    </row>
    <row r="207" spans="1:11">
      <c r="A207" s="209"/>
      <c r="B207" s="210"/>
      <c r="C207" s="210"/>
      <c r="D207" s="210"/>
      <c r="E207" s="210"/>
      <c r="F207" s="210"/>
      <c r="G207" s="211"/>
      <c r="H207" s="211"/>
      <c r="I207" s="212"/>
      <c r="J207" s="213"/>
      <c r="K207" s="209"/>
    </row>
  </sheetData>
  <mergeCells count="45">
    <mergeCell ref="B139:F139"/>
    <mergeCell ref="B86:C87"/>
    <mergeCell ref="A96:K96"/>
    <mergeCell ref="A110:K110"/>
    <mergeCell ref="A137:A138"/>
    <mergeCell ref="B137:F138"/>
    <mergeCell ref="G137:G138"/>
    <mergeCell ref="H137:H138"/>
    <mergeCell ref="I137:I138"/>
    <mergeCell ref="J137:J138"/>
    <mergeCell ref="K137:K138"/>
    <mergeCell ref="G70:G71"/>
    <mergeCell ref="H70:H71"/>
    <mergeCell ref="I70:I71"/>
    <mergeCell ref="J70:J71"/>
    <mergeCell ref="K70:K71"/>
    <mergeCell ref="B72:F72"/>
    <mergeCell ref="B48:F50"/>
    <mergeCell ref="B52:F54"/>
    <mergeCell ref="B56:F58"/>
    <mergeCell ref="B60:F62"/>
    <mergeCell ref="A70:A71"/>
    <mergeCell ref="B70:F71"/>
    <mergeCell ref="B26:F26"/>
    <mergeCell ref="B27:F29"/>
    <mergeCell ref="B31:F33"/>
    <mergeCell ref="B35:F38"/>
    <mergeCell ref="B40:F42"/>
    <mergeCell ref="B44:F46"/>
    <mergeCell ref="J19:J20"/>
    <mergeCell ref="K19:K20"/>
    <mergeCell ref="A22:K22"/>
    <mergeCell ref="A24:A25"/>
    <mergeCell ref="B24:F25"/>
    <mergeCell ref="G24:G25"/>
    <mergeCell ref="H24:H25"/>
    <mergeCell ref="I24:I25"/>
    <mergeCell ref="J24:J25"/>
    <mergeCell ref="K24:K25"/>
    <mergeCell ref="A1:K1"/>
    <mergeCell ref="A2:K2"/>
    <mergeCell ref="A3:K3"/>
    <mergeCell ref="A4:K4"/>
    <mergeCell ref="J17:J18"/>
    <mergeCell ref="K17:K18"/>
  </mergeCells>
  <pageMargins left="0.51181102362204722" right="0.35433070866141736" top="0.39370078740157483" bottom="0.39370078740157483" header="0.51181102362204722" footer="0.51181102362204722"/>
  <pageSetup paperSize="9" scale="80" orientation="portrait" r:id="rId1"/>
  <headerFooter alignWithMargins="0"/>
</worksheet>
</file>

<file path=xl/worksheets/sheet37.xml><?xml version="1.0" encoding="utf-8"?>
<worksheet xmlns="http://schemas.openxmlformats.org/spreadsheetml/2006/main" xmlns:r="http://schemas.openxmlformats.org/officeDocument/2006/relationships">
  <sheetPr>
    <tabColor rgb="FF00B050"/>
  </sheetPr>
  <dimension ref="A1:H23"/>
  <sheetViews>
    <sheetView view="pageBreakPreview" zoomScaleSheetLayoutView="100" workbookViewId="0">
      <selection activeCell="C12" sqref="C12"/>
    </sheetView>
  </sheetViews>
  <sheetFormatPr defaultRowHeight="15"/>
  <cols>
    <col min="1" max="1" width="5.7109375" customWidth="1"/>
    <col min="2" max="2" width="37.28515625" customWidth="1"/>
    <col min="3" max="3" width="24.28515625" customWidth="1"/>
    <col min="4" max="4" width="20.5703125" customWidth="1"/>
    <col min="5" max="5" width="25.42578125" customWidth="1"/>
    <col min="6" max="6" width="12.5703125" customWidth="1"/>
    <col min="7" max="7" width="12" customWidth="1"/>
    <col min="8" max="8" width="15.85546875" customWidth="1"/>
  </cols>
  <sheetData>
    <row r="1" spans="1:8" ht="21">
      <c r="A1" s="3539" t="s">
        <v>3391</v>
      </c>
      <c r="B1" s="3539"/>
      <c r="C1" s="3539"/>
      <c r="D1" s="3539"/>
      <c r="E1" s="3539"/>
      <c r="F1" s="3539"/>
      <c r="G1" s="3539"/>
      <c r="H1" s="3539"/>
    </row>
    <row r="2" spans="1:8" s="1398" customFormat="1" ht="30">
      <c r="A2" s="1397" t="s">
        <v>1974</v>
      </c>
      <c r="B2" s="1397" t="s">
        <v>3392</v>
      </c>
      <c r="C2" s="1397" t="s">
        <v>3393</v>
      </c>
      <c r="D2" s="1397" t="s">
        <v>3394</v>
      </c>
      <c r="E2" s="1397" t="s">
        <v>3395</v>
      </c>
      <c r="F2" s="1397" t="s">
        <v>3397</v>
      </c>
      <c r="G2" s="1397" t="s">
        <v>3398</v>
      </c>
      <c r="H2" s="1397" t="s">
        <v>3396</v>
      </c>
    </row>
    <row r="3" spans="1:8" ht="24.6" customHeight="1">
      <c r="A3" s="1395">
        <v>1</v>
      </c>
      <c r="B3" s="1392"/>
      <c r="C3" s="1392"/>
      <c r="D3" s="1392"/>
      <c r="E3" s="1392"/>
      <c r="F3" s="1395" t="e">
        <f>#REF!</f>
        <v>#REF!</v>
      </c>
      <c r="G3" s="1393" t="e">
        <f>#REF!</f>
        <v>#REF!</v>
      </c>
      <c r="H3" s="1393" t="e">
        <f>#REF!</f>
        <v>#REF!</v>
      </c>
    </row>
    <row r="4" spans="1:8" ht="24.6" customHeight="1">
      <c r="A4" s="1395">
        <v>2</v>
      </c>
      <c r="B4" s="1392"/>
      <c r="C4" s="1392"/>
      <c r="D4" s="1392"/>
      <c r="E4" s="1392"/>
      <c r="F4" s="1395" t="e">
        <f>#REF!</f>
        <v>#REF!</v>
      </c>
      <c r="G4" s="1393" t="e">
        <f>#REF!</f>
        <v>#REF!</v>
      </c>
      <c r="H4" s="1393" t="e">
        <f>#REF!</f>
        <v>#REF!</v>
      </c>
    </row>
    <row r="5" spans="1:8" ht="24.6" customHeight="1">
      <c r="A5" s="1395">
        <v>3</v>
      </c>
      <c r="B5" s="1392"/>
      <c r="C5" s="1392"/>
      <c r="D5" s="1392"/>
      <c r="E5" s="1392"/>
      <c r="F5" s="1395" t="e">
        <f>#REF!</f>
        <v>#REF!</v>
      </c>
      <c r="G5" s="1393" t="e">
        <f>#REF!</f>
        <v>#REF!</v>
      </c>
      <c r="H5" s="1393" t="e">
        <f>#REF!</f>
        <v>#REF!</v>
      </c>
    </row>
    <row r="6" spans="1:8" ht="24.6" customHeight="1">
      <c r="A6" s="1395">
        <v>4</v>
      </c>
      <c r="B6" s="1392"/>
      <c r="C6" s="1392"/>
      <c r="D6" s="1392"/>
      <c r="E6" s="1392"/>
      <c r="F6" s="1395" t="e">
        <f>#REF!</f>
        <v>#REF!</v>
      </c>
      <c r="G6" s="1393" t="e">
        <f>#REF!</f>
        <v>#REF!</v>
      </c>
      <c r="H6" s="1393" t="e">
        <f>#REF!</f>
        <v>#REF!</v>
      </c>
    </row>
    <row r="7" spans="1:8" ht="24.6" customHeight="1">
      <c r="A7" s="1395">
        <v>5</v>
      </c>
      <c r="B7" s="1392"/>
      <c r="C7" s="1392"/>
      <c r="D7" s="1392"/>
      <c r="E7" s="1392"/>
      <c r="F7" s="1395" t="e">
        <f>#REF!</f>
        <v>#REF!</v>
      </c>
      <c r="G7" s="1393" t="e">
        <f>#REF!</f>
        <v>#REF!</v>
      </c>
      <c r="H7" s="1393" t="e">
        <f>#REF!</f>
        <v>#REF!</v>
      </c>
    </row>
    <row r="8" spans="1:8" ht="24.6" customHeight="1">
      <c r="A8" s="1395">
        <v>6</v>
      </c>
      <c r="B8" s="1392"/>
      <c r="C8" s="1392"/>
      <c r="D8" s="1392"/>
      <c r="E8" s="1392"/>
      <c r="F8" s="1395" t="e">
        <f>#REF!</f>
        <v>#REF!</v>
      </c>
      <c r="G8" s="1393" t="e">
        <f>#REF!</f>
        <v>#REF!</v>
      </c>
      <c r="H8" s="1393" t="e">
        <f>#REF!</f>
        <v>#REF!</v>
      </c>
    </row>
    <row r="9" spans="1:8" ht="24.6" customHeight="1">
      <c r="A9" s="1395">
        <v>7</v>
      </c>
      <c r="B9" s="1392"/>
      <c r="C9" s="1392"/>
      <c r="D9" s="1392"/>
      <c r="E9" s="1392"/>
      <c r="F9" s="1395" t="e">
        <f>#REF!</f>
        <v>#REF!</v>
      </c>
      <c r="G9" s="1393" t="e">
        <f>#REF!</f>
        <v>#REF!</v>
      </c>
      <c r="H9" s="1393" t="e">
        <f>#REF!</f>
        <v>#REF!</v>
      </c>
    </row>
    <row r="10" spans="1:8" ht="24.6" customHeight="1">
      <c r="A10" s="1395">
        <v>8</v>
      </c>
      <c r="B10" s="1392"/>
      <c r="C10" s="1392"/>
      <c r="D10" s="1392"/>
      <c r="E10" s="1392"/>
      <c r="F10" s="1395" t="e">
        <f>#REF!</f>
        <v>#REF!</v>
      </c>
      <c r="G10" s="1393" t="e">
        <f>#REF!</f>
        <v>#REF!</v>
      </c>
      <c r="H10" s="1393" t="e">
        <f>#REF!</f>
        <v>#REF!</v>
      </c>
    </row>
    <row r="11" spans="1:8" ht="24.6" customHeight="1">
      <c r="A11" s="1395">
        <v>9</v>
      </c>
      <c r="B11" s="1392"/>
      <c r="C11" s="1392"/>
      <c r="D11" s="1392"/>
      <c r="E11" s="1392"/>
      <c r="F11" s="1395" t="e">
        <f>#REF!</f>
        <v>#REF!</v>
      </c>
      <c r="G11" s="1393" t="e">
        <f>#REF!</f>
        <v>#REF!</v>
      </c>
      <c r="H11" s="1393" t="e">
        <f>#REF!</f>
        <v>#REF!</v>
      </c>
    </row>
    <row r="12" spans="1:8" ht="24.6" customHeight="1">
      <c r="A12" s="1395">
        <v>10</v>
      </c>
      <c r="B12" s="1392"/>
      <c r="C12" s="1392"/>
      <c r="D12" s="1392"/>
      <c r="E12" s="1392"/>
      <c r="F12" s="1395" t="e">
        <f>#REF!</f>
        <v>#REF!</v>
      </c>
      <c r="G12" s="1393" t="e">
        <f>#REF!</f>
        <v>#REF!</v>
      </c>
      <c r="H12" s="1393" t="e">
        <f>#REF!</f>
        <v>#REF!</v>
      </c>
    </row>
    <row r="13" spans="1:8" ht="24.6" customHeight="1">
      <c r="A13" s="1395">
        <v>11</v>
      </c>
      <c r="B13" s="1392"/>
      <c r="C13" s="1392"/>
      <c r="D13" s="1392"/>
      <c r="E13" s="1392"/>
      <c r="F13" s="1395" t="e">
        <f>#REF!</f>
        <v>#REF!</v>
      </c>
      <c r="G13" s="1393" t="e">
        <f>#REF!</f>
        <v>#REF!</v>
      </c>
      <c r="H13" s="1393" t="e">
        <f>#REF!</f>
        <v>#REF!</v>
      </c>
    </row>
    <row r="14" spans="1:8" ht="24.6" customHeight="1">
      <c r="A14" s="1395">
        <v>12</v>
      </c>
      <c r="B14" s="1392"/>
      <c r="C14" s="1392"/>
      <c r="D14" s="1392"/>
      <c r="E14" s="1392"/>
      <c r="F14" s="1395" t="e">
        <f>#REF!</f>
        <v>#REF!</v>
      </c>
      <c r="G14" s="1393" t="e">
        <f>#REF!</f>
        <v>#REF!</v>
      </c>
      <c r="H14" s="1393" t="e">
        <f>#REF!</f>
        <v>#REF!</v>
      </c>
    </row>
    <row r="15" spans="1:8" ht="24.6" customHeight="1">
      <c r="A15" s="1395">
        <v>13</v>
      </c>
      <c r="B15" s="1392"/>
      <c r="C15" s="1392"/>
      <c r="D15" s="1392"/>
      <c r="E15" s="1392"/>
      <c r="F15" s="1395" t="e">
        <f>#REF!</f>
        <v>#REF!</v>
      </c>
      <c r="G15" s="1393" t="e">
        <f>#REF!</f>
        <v>#REF!</v>
      </c>
      <c r="H15" s="1393" t="e">
        <f>#REF!</f>
        <v>#REF!</v>
      </c>
    </row>
    <row r="16" spans="1:8" ht="24.6" customHeight="1">
      <c r="A16" s="1395">
        <v>14</v>
      </c>
      <c r="B16" s="1392"/>
      <c r="C16" s="1392"/>
      <c r="D16" s="1392"/>
      <c r="E16" s="1392"/>
      <c r="F16" s="1395" t="e">
        <f>#REF!</f>
        <v>#REF!</v>
      </c>
      <c r="G16" s="1393" t="e">
        <f>#REF!</f>
        <v>#REF!</v>
      </c>
      <c r="H16" s="1393" t="e">
        <f>#REF!</f>
        <v>#REF!</v>
      </c>
    </row>
    <row r="17" spans="1:8" ht="24.6" customHeight="1">
      <c r="A17" s="1395">
        <v>15</v>
      </c>
      <c r="B17" s="1392"/>
      <c r="C17" s="1392"/>
      <c r="D17" s="1392"/>
      <c r="E17" s="1392"/>
      <c r="F17" s="1395" t="e">
        <f>#REF!</f>
        <v>#REF!</v>
      </c>
      <c r="G17" s="1393" t="e">
        <f>#REF!</f>
        <v>#REF!</v>
      </c>
      <c r="H17" s="1393" t="e">
        <f>#REF!</f>
        <v>#REF!</v>
      </c>
    </row>
    <row r="18" spans="1:8" ht="24.6" customHeight="1">
      <c r="A18" s="1395">
        <v>16</v>
      </c>
      <c r="B18" s="1392"/>
      <c r="C18" s="1392"/>
      <c r="D18" s="1392"/>
      <c r="E18" s="1392"/>
      <c r="F18" s="1395" t="e">
        <f>#REF!</f>
        <v>#REF!</v>
      </c>
      <c r="G18" s="1393" t="e">
        <f>#REF!</f>
        <v>#REF!</v>
      </c>
      <c r="H18" s="1393" t="e">
        <f>#REF!</f>
        <v>#REF!</v>
      </c>
    </row>
    <row r="19" spans="1:8" ht="24.6" customHeight="1">
      <c r="A19" s="1395">
        <v>17</v>
      </c>
      <c r="B19" s="1392"/>
      <c r="C19" s="1392"/>
      <c r="D19" s="1392"/>
      <c r="E19" s="1392"/>
      <c r="F19" s="1395" t="e">
        <f>#REF!</f>
        <v>#REF!</v>
      </c>
      <c r="G19" s="1393" t="e">
        <f>#REF!</f>
        <v>#REF!</v>
      </c>
      <c r="H19" s="1393" t="e">
        <f>#REF!</f>
        <v>#REF!</v>
      </c>
    </row>
    <row r="20" spans="1:8" ht="24.6" customHeight="1">
      <c r="A20" s="1395">
        <v>18</v>
      </c>
      <c r="B20" s="1392"/>
      <c r="C20" s="1392"/>
      <c r="D20" s="1392"/>
      <c r="E20" s="1392"/>
      <c r="F20" s="1395" t="e">
        <f>#REF!</f>
        <v>#REF!</v>
      </c>
      <c r="G20" s="1393" t="e">
        <f>#REF!</f>
        <v>#REF!</v>
      </c>
      <c r="H20" s="1393" t="e">
        <f>#REF!</f>
        <v>#REF!</v>
      </c>
    </row>
    <row r="21" spans="1:8" ht="24.6" customHeight="1">
      <c r="A21" s="1395">
        <v>19</v>
      </c>
      <c r="B21" s="1392"/>
      <c r="C21" s="1392"/>
      <c r="D21" s="1392"/>
      <c r="E21" s="1392"/>
      <c r="F21" s="1395" t="e">
        <f>#REF!</f>
        <v>#REF!</v>
      </c>
      <c r="G21" s="1393" t="e">
        <f>#REF!</f>
        <v>#REF!</v>
      </c>
      <c r="H21" s="1393" t="e">
        <f>#REF!</f>
        <v>#REF!</v>
      </c>
    </row>
    <row r="22" spans="1:8" ht="24.6" customHeight="1">
      <c r="A22" s="1395">
        <v>20</v>
      </c>
      <c r="B22" s="1392"/>
      <c r="C22" s="1392"/>
      <c r="D22" s="1392"/>
      <c r="E22" s="1392"/>
      <c r="F22" s="1395" t="e">
        <f>#REF!</f>
        <v>#REF!</v>
      </c>
      <c r="G22" s="1393" t="e">
        <f>#REF!</f>
        <v>#REF!</v>
      </c>
      <c r="H22" s="1393" t="e">
        <f>#REF!</f>
        <v>#REF!</v>
      </c>
    </row>
    <row r="23" spans="1:8" ht="24.6" customHeight="1">
      <c r="A23" s="1392"/>
      <c r="B23" s="1392"/>
      <c r="C23" s="1392"/>
      <c r="D23" s="1392"/>
      <c r="E23" s="1392"/>
      <c r="F23" s="1392"/>
      <c r="G23" s="1396" t="s">
        <v>3399</v>
      </c>
      <c r="H23" s="1399" t="e">
        <f>SUM(H3:H22)</f>
        <v>#REF!</v>
      </c>
    </row>
  </sheetData>
  <mergeCells count="1">
    <mergeCell ref="A1:H1"/>
  </mergeCells>
  <pageMargins left="0.51181102362204722" right="0.31496062992125984" top="0.35433070866141736" bottom="0.35433070866141736" header="0.31496062992125984" footer="0.31496062992125984"/>
  <pageSetup paperSize="9" scale="90" orientation="landscape" r:id="rId1"/>
</worksheet>
</file>

<file path=xl/worksheets/sheet38.xml><?xml version="1.0" encoding="utf-8"?>
<worksheet xmlns="http://schemas.openxmlformats.org/spreadsheetml/2006/main" xmlns:r="http://schemas.openxmlformats.org/officeDocument/2006/relationships">
  <sheetPr>
    <tabColor rgb="FF00B050"/>
  </sheetPr>
  <dimension ref="A1:K20"/>
  <sheetViews>
    <sheetView view="pageBreakPreview" zoomScaleSheetLayoutView="100" workbookViewId="0">
      <selection activeCell="I25" sqref="I25"/>
    </sheetView>
  </sheetViews>
  <sheetFormatPr defaultRowHeight="12.75"/>
  <cols>
    <col min="1" max="1" width="6.85546875" style="1415" customWidth="1"/>
    <col min="2" max="3" width="10" style="1415" customWidth="1"/>
    <col min="4" max="6" width="9.7109375" style="1415" customWidth="1"/>
    <col min="7" max="9" width="11.28515625" style="1415" customWidth="1"/>
    <col min="10" max="257" width="8.85546875" style="1415"/>
    <col min="258" max="258" width="6.85546875" style="1415" customWidth="1"/>
    <col min="259" max="266" width="8.85546875" style="1415"/>
    <col min="267" max="267" width="13" style="1415" customWidth="1"/>
    <col min="268" max="513" width="8.85546875" style="1415"/>
    <col min="514" max="514" width="6.85546875" style="1415" customWidth="1"/>
    <col min="515" max="522" width="8.85546875" style="1415"/>
    <col min="523" max="523" width="13" style="1415" customWidth="1"/>
    <col min="524" max="769" width="8.85546875" style="1415"/>
    <col min="770" max="770" width="6.85546875" style="1415" customWidth="1"/>
    <col min="771" max="778" width="8.85546875" style="1415"/>
    <col min="779" max="779" width="13" style="1415" customWidth="1"/>
    <col min="780" max="1025" width="8.85546875" style="1415"/>
    <col min="1026" max="1026" width="6.85546875" style="1415" customWidth="1"/>
    <col min="1027" max="1034" width="8.85546875" style="1415"/>
    <col min="1035" max="1035" width="13" style="1415" customWidth="1"/>
    <col min="1036" max="1281" width="8.85546875" style="1415"/>
    <col min="1282" max="1282" width="6.85546875" style="1415" customWidth="1"/>
    <col min="1283" max="1290" width="8.85546875" style="1415"/>
    <col min="1291" max="1291" width="13" style="1415" customWidth="1"/>
    <col min="1292" max="1537" width="8.85546875" style="1415"/>
    <col min="1538" max="1538" width="6.85546875" style="1415" customWidth="1"/>
    <col min="1539" max="1546" width="8.85546875" style="1415"/>
    <col min="1547" max="1547" width="13" style="1415" customWidth="1"/>
    <col min="1548" max="1793" width="8.85546875" style="1415"/>
    <col min="1794" max="1794" width="6.85546875" style="1415" customWidth="1"/>
    <col min="1795" max="1802" width="8.85546875" style="1415"/>
    <col min="1803" max="1803" width="13" style="1415" customWidth="1"/>
    <col min="1804" max="2049" width="8.85546875" style="1415"/>
    <col min="2050" max="2050" width="6.85546875" style="1415" customWidth="1"/>
    <col min="2051" max="2058" width="8.85546875" style="1415"/>
    <col min="2059" max="2059" width="13" style="1415" customWidth="1"/>
    <col min="2060" max="2305" width="8.85546875" style="1415"/>
    <col min="2306" max="2306" width="6.85546875" style="1415" customWidth="1"/>
    <col min="2307" max="2314" width="8.85546875" style="1415"/>
    <col min="2315" max="2315" width="13" style="1415" customWidth="1"/>
    <col min="2316" max="2561" width="8.85546875" style="1415"/>
    <col min="2562" max="2562" width="6.85546875" style="1415" customWidth="1"/>
    <col min="2563" max="2570" width="8.85546875" style="1415"/>
    <col min="2571" max="2571" width="13" style="1415" customWidth="1"/>
    <col min="2572" max="2817" width="8.85546875" style="1415"/>
    <col min="2818" max="2818" width="6.85546875" style="1415" customWidth="1"/>
    <col min="2819" max="2826" width="8.85546875" style="1415"/>
    <col min="2827" max="2827" width="13" style="1415" customWidth="1"/>
    <col min="2828" max="3073" width="8.85546875" style="1415"/>
    <col min="3074" max="3074" width="6.85546875" style="1415" customWidth="1"/>
    <col min="3075" max="3082" width="8.85546875" style="1415"/>
    <col min="3083" max="3083" width="13" style="1415" customWidth="1"/>
    <col min="3084" max="3329" width="8.85546875" style="1415"/>
    <col min="3330" max="3330" width="6.85546875" style="1415" customWidth="1"/>
    <col min="3331" max="3338" width="8.85546875" style="1415"/>
    <col min="3339" max="3339" width="13" style="1415" customWidth="1"/>
    <col min="3340" max="3585" width="8.85546875" style="1415"/>
    <col min="3586" max="3586" width="6.85546875" style="1415" customWidth="1"/>
    <col min="3587" max="3594" width="8.85546875" style="1415"/>
    <col min="3595" max="3595" width="13" style="1415" customWidth="1"/>
    <col min="3596" max="3841" width="8.85546875" style="1415"/>
    <col min="3842" max="3842" width="6.85546875" style="1415" customWidth="1"/>
    <col min="3843" max="3850" width="8.85546875" style="1415"/>
    <col min="3851" max="3851" width="13" style="1415" customWidth="1"/>
    <col min="3852" max="4097" width="8.85546875" style="1415"/>
    <col min="4098" max="4098" width="6.85546875" style="1415" customWidth="1"/>
    <col min="4099" max="4106" width="8.85546875" style="1415"/>
    <col min="4107" max="4107" width="13" style="1415" customWidth="1"/>
    <col min="4108" max="4353" width="8.85546875" style="1415"/>
    <col min="4354" max="4354" width="6.85546875" style="1415" customWidth="1"/>
    <col min="4355" max="4362" width="8.85546875" style="1415"/>
    <col min="4363" max="4363" width="13" style="1415" customWidth="1"/>
    <col min="4364" max="4609" width="8.85546875" style="1415"/>
    <col min="4610" max="4610" width="6.85546875" style="1415" customWidth="1"/>
    <col min="4611" max="4618" width="8.85546875" style="1415"/>
    <col min="4619" max="4619" width="13" style="1415" customWidth="1"/>
    <col min="4620" max="4865" width="8.85546875" style="1415"/>
    <col min="4866" max="4866" width="6.85546875" style="1415" customWidth="1"/>
    <col min="4867" max="4874" width="8.85546875" style="1415"/>
    <col min="4875" max="4875" width="13" style="1415" customWidth="1"/>
    <col min="4876" max="5121" width="8.85546875" style="1415"/>
    <col min="5122" max="5122" width="6.85546875" style="1415" customWidth="1"/>
    <col min="5123" max="5130" width="8.85546875" style="1415"/>
    <col min="5131" max="5131" width="13" style="1415" customWidth="1"/>
    <col min="5132" max="5377" width="8.85546875" style="1415"/>
    <col min="5378" max="5378" width="6.85546875" style="1415" customWidth="1"/>
    <col min="5379" max="5386" width="8.85546875" style="1415"/>
    <col min="5387" max="5387" width="13" style="1415" customWidth="1"/>
    <col min="5388" max="5633" width="8.85546875" style="1415"/>
    <col min="5634" max="5634" width="6.85546875" style="1415" customWidth="1"/>
    <col min="5635" max="5642" width="8.85546875" style="1415"/>
    <col min="5643" max="5643" width="13" style="1415" customWidth="1"/>
    <col min="5644" max="5889" width="8.85546875" style="1415"/>
    <col min="5890" max="5890" width="6.85546875" style="1415" customWidth="1"/>
    <col min="5891" max="5898" width="8.85546875" style="1415"/>
    <col min="5899" max="5899" width="13" style="1415" customWidth="1"/>
    <col min="5900" max="6145" width="8.85546875" style="1415"/>
    <col min="6146" max="6146" width="6.85546875" style="1415" customWidth="1"/>
    <col min="6147" max="6154" width="8.85546875" style="1415"/>
    <col min="6155" max="6155" width="13" style="1415" customWidth="1"/>
    <col min="6156" max="6401" width="8.85546875" style="1415"/>
    <col min="6402" max="6402" width="6.85546875" style="1415" customWidth="1"/>
    <col min="6403" max="6410" width="8.85546875" style="1415"/>
    <col min="6411" max="6411" width="13" style="1415" customWidth="1"/>
    <col min="6412" max="6657" width="8.85546875" style="1415"/>
    <col min="6658" max="6658" width="6.85546875" style="1415" customWidth="1"/>
    <col min="6659" max="6666" width="8.85546875" style="1415"/>
    <col min="6667" max="6667" width="13" style="1415" customWidth="1"/>
    <col min="6668" max="6913" width="8.85546875" style="1415"/>
    <col min="6914" max="6914" width="6.85546875" style="1415" customWidth="1"/>
    <col min="6915" max="6922" width="8.85546875" style="1415"/>
    <col min="6923" max="6923" width="13" style="1415" customWidth="1"/>
    <col min="6924" max="7169" width="8.85546875" style="1415"/>
    <col min="7170" max="7170" width="6.85546875" style="1415" customWidth="1"/>
    <col min="7171" max="7178" width="8.85546875" style="1415"/>
    <col min="7179" max="7179" width="13" style="1415" customWidth="1"/>
    <col min="7180" max="7425" width="8.85546875" style="1415"/>
    <col min="7426" max="7426" width="6.85546875" style="1415" customWidth="1"/>
    <col min="7427" max="7434" width="8.85546875" style="1415"/>
    <col min="7435" max="7435" width="13" style="1415" customWidth="1"/>
    <col min="7436" max="7681" width="8.85546875" style="1415"/>
    <col min="7682" max="7682" width="6.85546875" style="1415" customWidth="1"/>
    <col min="7683" max="7690" width="8.85546875" style="1415"/>
    <col min="7691" max="7691" width="13" style="1415" customWidth="1"/>
    <col min="7692" max="7937" width="8.85546875" style="1415"/>
    <col min="7938" max="7938" width="6.85546875" style="1415" customWidth="1"/>
    <col min="7939" max="7946" width="8.85546875" style="1415"/>
    <col min="7947" max="7947" width="13" style="1415" customWidth="1"/>
    <col min="7948" max="8193" width="8.85546875" style="1415"/>
    <col min="8194" max="8194" width="6.85546875" style="1415" customWidth="1"/>
    <col min="8195" max="8202" width="8.85546875" style="1415"/>
    <col min="8203" max="8203" width="13" style="1415" customWidth="1"/>
    <col min="8204" max="8449" width="8.85546875" style="1415"/>
    <col min="8450" max="8450" width="6.85546875" style="1415" customWidth="1"/>
    <col min="8451" max="8458" width="8.85546875" style="1415"/>
    <col min="8459" max="8459" width="13" style="1415" customWidth="1"/>
    <col min="8460" max="8705" width="8.85546875" style="1415"/>
    <col min="8706" max="8706" width="6.85546875" style="1415" customWidth="1"/>
    <col min="8707" max="8714" width="8.85546875" style="1415"/>
    <col min="8715" max="8715" width="13" style="1415" customWidth="1"/>
    <col min="8716" max="8961" width="8.85546875" style="1415"/>
    <col min="8962" max="8962" width="6.85546875" style="1415" customWidth="1"/>
    <col min="8963" max="8970" width="8.85546875" style="1415"/>
    <col min="8971" max="8971" width="13" style="1415" customWidth="1"/>
    <col min="8972" max="9217" width="8.85546875" style="1415"/>
    <col min="9218" max="9218" width="6.85546875" style="1415" customWidth="1"/>
    <col min="9219" max="9226" width="8.85546875" style="1415"/>
    <col min="9227" max="9227" width="13" style="1415" customWidth="1"/>
    <col min="9228" max="9473" width="8.85546875" style="1415"/>
    <col min="9474" max="9474" width="6.85546875" style="1415" customWidth="1"/>
    <col min="9475" max="9482" width="8.85546875" style="1415"/>
    <col min="9483" max="9483" width="13" style="1415" customWidth="1"/>
    <col min="9484" max="9729" width="8.85546875" style="1415"/>
    <col min="9730" max="9730" width="6.85546875" style="1415" customWidth="1"/>
    <col min="9731" max="9738" width="8.85546875" style="1415"/>
    <col min="9739" max="9739" width="13" style="1415" customWidth="1"/>
    <col min="9740" max="9985" width="8.85546875" style="1415"/>
    <col min="9986" max="9986" width="6.85546875" style="1415" customWidth="1"/>
    <col min="9987" max="9994" width="8.85546875" style="1415"/>
    <col min="9995" max="9995" width="13" style="1415" customWidth="1"/>
    <col min="9996" max="10241" width="8.85546875" style="1415"/>
    <col min="10242" max="10242" width="6.85546875" style="1415" customWidth="1"/>
    <col min="10243" max="10250" width="8.85546875" style="1415"/>
    <col min="10251" max="10251" width="13" style="1415" customWidth="1"/>
    <col min="10252" max="10497" width="8.85546875" style="1415"/>
    <col min="10498" max="10498" width="6.85546875" style="1415" customWidth="1"/>
    <col min="10499" max="10506" width="8.85546875" style="1415"/>
    <col min="10507" max="10507" width="13" style="1415" customWidth="1"/>
    <col min="10508" max="10753" width="8.85546875" style="1415"/>
    <col min="10754" max="10754" width="6.85546875" style="1415" customWidth="1"/>
    <col min="10755" max="10762" width="8.85546875" style="1415"/>
    <col min="10763" max="10763" width="13" style="1415" customWidth="1"/>
    <col min="10764" max="11009" width="8.85546875" style="1415"/>
    <col min="11010" max="11010" width="6.85546875" style="1415" customWidth="1"/>
    <col min="11011" max="11018" width="8.85546875" style="1415"/>
    <col min="11019" max="11019" width="13" style="1415" customWidth="1"/>
    <col min="11020" max="11265" width="8.85546875" style="1415"/>
    <col min="11266" max="11266" width="6.85546875" style="1415" customWidth="1"/>
    <col min="11267" max="11274" width="8.85546875" style="1415"/>
    <col min="11275" max="11275" width="13" style="1415" customWidth="1"/>
    <col min="11276" max="11521" width="8.85546875" style="1415"/>
    <col min="11522" max="11522" width="6.85546875" style="1415" customWidth="1"/>
    <col min="11523" max="11530" width="8.85546875" style="1415"/>
    <col min="11531" max="11531" width="13" style="1415" customWidth="1"/>
    <col min="11532" max="11777" width="8.85546875" style="1415"/>
    <col min="11778" max="11778" width="6.85546875" style="1415" customWidth="1"/>
    <col min="11779" max="11786" width="8.85546875" style="1415"/>
    <col min="11787" max="11787" width="13" style="1415" customWidth="1"/>
    <col min="11788" max="12033" width="8.85546875" style="1415"/>
    <col min="12034" max="12034" width="6.85546875" style="1415" customWidth="1"/>
    <col min="12035" max="12042" width="8.85546875" style="1415"/>
    <col min="12043" max="12043" width="13" style="1415" customWidth="1"/>
    <col min="12044" max="12289" width="8.85546875" style="1415"/>
    <col min="12290" max="12290" width="6.85546875" style="1415" customWidth="1"/>
    <col min="12291" max="12298" width="8.85546875" style="1415"/>
    <col min="12299" max="12299" width="13" style="1415" customWidth="1"/>
    <col min="12300" max="12545" width="8.85546875" style="1415"/>
    <col min="12546" max="12546" width="6.85546875" style="1415" customWidth="1"/>
    <col min="12547" max="12554" width="8.85546875" style="1415"/>
    <col min="12555" max="12555" width="13" style="1415" customWidth="1"/>
    <col min="12556" max="12801" width="8.85546875" style="1415"/>
    <col min="12802" max="12802" width="6.85546875" style="1415" customWidth="1"/>
    <col min="12803" max="12810" width="8.85546875" style="1415"/>
    <col min="12811" max="12811" width="13" style="1415" customWidth="1"/>
    <col min="12812" max="13057" width="8.85546875" style="1415"/>
    <col min="13058" max="13058" width="6.85546875" style="1415" customWidth="1"/>
    <col min="13059" max="13066" width="8.85546875" style="1415"/>
    <col min="13067" max="13067" width="13" style="1415" customWidth="1"/>
    <col min="13068" max="13313" width="8.85546875" style="1415"/>
    <col min="13314" max="13314" width="6.85546875" style="1415" customWidth="1"/>
    <col min="13315" max="13322" width="8.85546875" style="1415"/>
    <col min="13323" max="13323" width="13" style="1415" customWidth="1"/>
    <col min="13324" max="13569" width="8.85546875" style="1415"/>
    <col min="13570" max="13570" width="6.85546875" style="1415" customWidth="1"/>
    <col min="13571" max="13578" width="8.85546875" style="1415"/>
    <col min="13579" max="13579" width="13" style="1415" customWidth="1"/>
    <col min="13580" max="13825" width="8.85546875" style="1415"/>
    <col min="13826" max="13826" width="6.85546875" style="1415" customWidth="1"/>
    <col min="13827" max="13834" width="8.85546875" style="1415"/>
    <col min="13835" max="13835" width="13" style="1415" customWidth="1"/>
    <col min="13836" max="14081" width="8.85546875" style="1415"/>
    <col min="14082" max="14082" width="6.85546875" style="1415" customWidth="1"/>
    <col min="14083" max="14090" width="8.85546875" style="1415"/>
    <col min="14091" max="14091" width="13" style="1415" customWidth="1"/>
    <col min="14092" max="14337" width="8.85546875" style="1415"/>
    <col min="14338" max="14338" width="6.85546875" style="1415" customWidth="1"/>
    <col min="14339" max="14346" width="8.85546875" style="1415"/>
    <col min="14347" max="14347" width="13" style="1415" customWidth="1"/>
    <col min="14348" max="14593" width="8.85546875" style="1415"/>
    <col min="14594" max="14594" width="6.85546875" style="1415" customWidth="1"/>
    <col min="14595" max="14602" width="8.85546875" style="1415"/>
    <col min="14603" max="14603" width="13" style="1415" customWidth="1"/>
    <col min="14604" max="14849" width="8.85546875" style="1415"/>
    <col min="14850" max="14850" width="6.85546875" style="1415" customWidth="1"/>
    <col min="14851" max="14858" width="8.85546875" style="1415"/>
    <col min="14859" max="14859" width="13" style="1415" customWidth="1"/>
    <col min="14860" max="15105" width="8.85546875" style="1415"/>
    <col min="15106" max="15106" width="6.85546875" style="1415" customWidth="1"/>
    <col min="15107" max="15114" width="8.85546875" style="1415"/>
    <col min="15115" max="15115" width="13" style="1415" customWidth="1"/>
    <col min="15116" max="15361" width="8.85546875" style="1415"/>
    <col min="15362" max="15362" width="6.85546875" style="1415" customWidth="1"/>
    <col min="15363" max="15370" width="8.85546875" style="1415"/>
    <col min="15371" max="15371" width="13" style="1415" customWidth="1"/>
    <col min="15372" max="15617" width="8.85546875" style="1415"/>
    <col min="15618" max="15618" width="6.85546875" style="1415" customWidth="1"/>
    <col min="15619" max="15626" width="8.85546875" style="1415"/>
    <col min="15627" max="15627" width="13" style="1415" customWidth="1"/>
    <col min="15628" max="15873" width="8.85546875" style="1415"/>
    <col min="15874" max="15874" width="6.85546875" style="1415" customWidth="1"/>
    <col min="15875" max="15882" width="8.85546875" style="1415"/>
    <col min="15883" max="15883" width="13" style="1415" customWidth="1"/>
    <col min="15884" max="16129" width="8.85546875" style="1415"/>
    <col min="16130" max="16130" width="6.85546875" style="1415" customWidth="1"/>
    <col min="16131" max="16138" width="8.85546875" style="1415"/>
    <col min="16139" max="16139" width="13" style="1415" customWidth="1"/>
    <col min="16140" max="16384" width="8.85546875" style="1415"/>
  </cols>
  <sheetData>
    <row r="1" spans="1:11" ht="15">
      <c r="A1" s="3540" t="s">
        <v>3426</v>
      </c>
      <c r="B1" s="3540"/>
      <c r="C1" s="3540"/>
      <c r="D1" s="3540"/>
      <c r="E1" s="3540"/>
      <c r="F1" s="3540"/>
      <c r="G1" s="3540"/>
      <c r="H1" s="3540"/>
      <c r="I1" s="3540"/>
      <c r="J1" s="3540"/>
      <c r="K1" s="3540"/>
    </row>
    <row r="2" spans="1:11">
      <c r="B2" s="1416"/>
      <c r="C2" s="1416"/>
      <c r="D2" s="1416"/>
      <c r="E2" s="1416"/>
      <c r="F2" s="1416"/>
      <c r="G2" s="1416"/>
      <c r="H2" s="1416"/>
      <c r="I2" s="1416"/>
      <c r="J2" s="1416"/>
      <c r="K2" s="1416"/>
    </row>
    <row r="3" spans="1:11" ht="16.149999999999999" customHeight="1">
      <c r="A3" s="1417" t="s">
        <v>16</v>
      </c>
      <c r="B3" s="1418"/>
      <c r="C3" s="1418"/>
      <c r="D3" s="1418" t="str">
        <f>'Lead &amp; ANALYSIS'!D2:N2</f>
        <v>Dining Hall of Damasal School</v>
      </c>
      <c r="E3" s="1418"/>
      <c r="F3" s="1418"/>
      <c r="G3" s="1418"/>
      <c r="H3" s="1418"/>
      <c r="I3" s="1418"/>
      <c r="J3" s="1418"/>
      <c r="K3" s="1418"/>
    </row>
    <row r="4" spans="1:11" ht="16.149999999999999" customHeight="1">
      <c r="A4" s="1417" t="s">
        <v>18</v>
      </c>
      <c r="B4" s="1418"/>
      <c r="C4" s="1418"/>
      <c r="D4" s="1418" t="str">
        <f>'Lead &amp; ANALYSIS'!D3:N3</f>
        <v>Odisha</v>
      </c>
      <c r="E4" s="1418"/>
      <c r="F4" s="1418"/>
      <c r="G4" s="1418"/>
      <c r="H4" s="1418"/>
      <c r="I4" s="1418"/>
      <c r="J4" s="1418"/>
      <c r="K4" s="1418"/>
    </row>
    <row r="5" spans="1:11" ht="16.149999999999999" customHeight="1">
      <c r="A5" s="1417" t="s">
        <v>20</v>
      </c>
      <c r="B5" s="1418"/>
      <c r="C5" s="1418"/>
      <c r="D5" s="1418">
        <f>'Lead &amp; ANALYSIS'!D4:N4</f>
        <v>0</v>
      </c>
      <c r="E5" s="1418"/>
      <c r="F5" s="1418"/>
      <c r="G5" s="1418"/>
      <c r="H5" s="1418"/>
      <c r="I5" s="1418"/>
      <c r="J5" s="1418"/>
      <c r="K5" s="1418"/>
    </row>
    <row r="6" spans="1:11" ht="16.149999999999999" customHeight="1">
      <c r="A6" s="1417" t="s">
        <v>3427</v>
      </c>
      <c r="B6" s="1418"/>
      <c r="C6" s="1418"/>
      <c r="D6" s="1418" t="e">
        <f>#REF!</f>
        <v>#REF!</v>
      </c>
      <c r="E6" s="1418"/>
      <c r="F6" s="1418"/>
      <c r="G6" s="1418"/>
      <c r="H6" s="1418"/>
      <c r="I6" s="1418"/>
      <c r="J6" s="1418"/>
      <c r="K6" s="1418"/>
    </row>
    <row r="7" spans="1:11" ht="16.149999999999999" customHeight="1">
      <c r="A7" s="1417" t="s">
        <v>3428</v>
      </c>
      <c r="B7" s="1418"/>
      <c r="C7" s="1418"/>
      <c r="D7" s="1418"/>
      <c r="E7" s="1418"/>
      <c r="F7" s="1418"/>
      <c r="G7" s="1418"/>
      <c r="H7" s="1418"/>
      <c r="I7" s="1418"/>
      <c r="J7" s="1418"/>
      <c r="K7" s="1418"/>
    </row>
    <row r="8" spans="1:11" ht="16.149999999999999" customHeight="1">
      <c r="A8" s="1417" t="s">
        <v>3429</v>
      </c>
      <c r="B8" s="1418"/>
      <c r="C8" s="1418"/>
      <c r="D8" s="1418"/>
      <c r="E8" s="1418"/>
      <c r="G8" s="1419" t="s">
        <v>1533</v>
      </c>
      <c r="H8" s="1420"/>
      <c r="I8" s="1419"/>
      <c r="J8" s="1418"/>
      <c r="K8" s="1418"/>
    </row>
    <row r="9" spans="1:11" ht="16.149999999999999" customHeight="1">
      <c r="A9" s="1421"/>
      <c r="B9" s="1422"/>
      <c r="C9" s="1422"/>
      <c r="D9" s="1422"/>
      <c r="E9" s="1422"/>
      <c r="F9" s="1422"/>
      <c r="G9" s="1422"/>
      <c r="H9" s="1422"/>
      <c r="I9" s="1422"/>
      <c r="J9" s="1422"/>
      <c r="K9" s="1422"/>
    </row>
    <row r="10" spans="1:11" ht="30.75" customHeight="1">
      <c r="A10" s="1423" t="s">
        <v>1510</v>
      </c>
      <c r="B10" s="3541" t="s">
        <v>1674</v>
      </c>
      <c r="C10" s="3542"/>
      <c r="D10" s="3541" t="s">
        <v>1675</v>
      </c>
      <c r="E10" s="3542"/>
      <c r="F10" s="3543"/>
      <c r="G10" s="1424" t="s">
        <v>1676</v>
      </c>
      <c r="H10" s="1424" t="s">
        <v>707</v>
      </c>
      <c r="I10" s="1424" t="s">
        <v>1</v>
      </c>
      <c r="J10" s="3544" t="s">
        <v>709</v>
      </c>
      <c r="K10" s="3544"/>
    </row>
    <row r="11" spans="1:11" ht="23.25" customHeight="1">
      <c r="A11" s="1423">
        <v>1</v>
      </c>
      <c r="B11" s="3541" t="s">
        <v>3430</v>
      </c>
      <c r="C11" s="3542"/>
      <c r="D11" s="3541" t="s">
        <v>3431</v>
      </c>
      <c r="E11" s="3542"/>
      <c r="F11" s="3543"/>
      <c r="G11" s="1425" t="e">
        <f>#REF!</f>
        <v>#REF!</v>
      </c>
      <c r="H11" s="1425" t="e">
        <f>#REF!</f>
        <v>#REF!</v>
      </c>
      <c r="I11" s="1425" t="s">
        <v>2703</v>
      </c>
      <c r="J11" s="3545" t="e">
        <f>#REF!</f>
        <v>#REF!</v>
      </c>
      <c r="K11" s="3546"/>
    </row>
    <row r="16" spans="1:11">
      <c r="D16" s="1415" t="s">
        <v>373</v>
      </c>
    </row>
    <row r="20" spans="10:10">
      <c r="J20" s="1416" t="s">
        <v>3432</v>
      </c>
    </row>
  </sheetData>
  <mergeCells count="7">
    <mergeCell ref="A1:K1"/>
    <mergeCell ref="B10:C10"/>
    <mergeCell ref="D10:F10"/>
    <mergeCell ref="J10:K10"/>
    <mergeCell ref="B11:C11"/>
    <mergeCell ref="D11:F11"/>
    <mergeCell ref="J11:K11"/>
  </mergeCells>
  <pageMargins left="0.59055118110236227" right="0.43307086614173229" top="0.74803149606299213" bottom="0.74803149606299213" header="0.31496062992125984" footer="0.31496062992125984"/>
  <pageSetup paperSize="9" scale="85" orientation="portrait" r:id="rId1"/>
</worksheet>
</file>

<file path=xl/worksheets/sheet39.xml><?xml version="1.0" encoding="utf-8"?>
<worksheet xmlns="http://schemas.openxmlformats.org/spreadsheetml/2006/main" xmlns:r="http://schemas.openxmlformats.org/officeDocument/2006/relationships">
  <sheetPr>
    <tabColor rgb="FF00B050"/>
  </sheetPr>
  <dimension ref="A1:L38"/>
  <sheetViews>
    <sheetView view="pageBreakPreview" zoomScaleSheetLayoutView="100" workbookViewId="0">
      <selection activeCell="G11" sqref="G11:H11"/>
    </sheetView>
  </sheetViews>
  <sheetFormatPr defaultRowHeight="15.75"/>
  <cols>
    <col min="1" max="1" width="6.85546875" style="678" customWidth="1"/>
    <col min="2" max="9" width="8.85546875" style="678"/>
    <col min="10" max="10" width="13" style="678" customWidth="1"/>
    <col min="11" max="11" width="13.5703125" style="678" customWidth="1"/>
    <col min="12" max="12" width="9.5703125" style="678" bestFit="1" customWidth="1"/>
    <col min="13" max="256" width="8.85546875" style="678"/>
    <col min="257" max="257" width="6.85546875" style="678" customWidth="1"/>
    <col min="258" max="265" width="8.85546875" style="678"/>
    <col min="266" max="266" width="13" style="678" customWidth="1"/>
    <col min="267" max="512" width="8.85546875" style="678"/>
    <col min="513" max="513" width="6.85546875" style="678" customWidth="1"/>
    <col min="514" max="521" width="8.85546875" style="678"/>
    <col min="522" max="522" width="13" style="678" customWidth="1"/>
    <col min="523" max="768" width="8.85546875" style="678"/>
    <col min="769" max="769" width="6.85546875" style="678" customWidth="1"/>
    <col min="770" max="777" width="8.85546875" style="678"/>
    <col min="778" max="778" width="13" style="678" customWidth="1"/>
    <col min="779" max="1024" width="8.85546875" style="678"/>
    <col min="1025" max="1025" width="6.85546875" style="678" customWidth="1"/>
    <col min="1026" max="1033" width="8.85546875" style="678"/>
    <col min="1034" max="1034" width="13" style="678" customWidth="1"/>
    <col min="1035" max="1280" width="8.85546875" style="678"/>
    <col min="1281" max="1281" width="6.85546875" style="678" customWidth="1"/>
    <col min="1282" max="1289" width="8.85546875" style="678"/>
    <col min="1290" max="1290" width="13" style="678" customWidth="1"/>
    <col min="1291" max="1536" width="8.85546875" style="678"/>
    <col min="1537" max="1537" width="6.85546875" style="678" customWidth="1"/>
    <col min="1538" max="1545" width="8.85546875" style="678"/>
    <col min="1546" max="1546" width="13" style="678" customWidth="1"/>
    <col min="1547" max="1792" width="8.85546875" style="678"/>
    <col min="1793" max="1793" width="6.85546875" style="678" customWidth="1"/>
    <col min="1794" max="1801" width="8.85546875" style="678"/>
    <col min="1802" max="1802" width="13" style="678" customWidth="1"/>
    <col min="1803" max="2048" width="8.85546875" style="678"/>
    <col min="2049" max="2049" width="6.85546875" style="678" customWidth="1"/>
    <col min="2050" max="2057" width="8.85546875" style="678"/>
    <col min="2058" max="2058" width="13" style="678" customWidth="1"/>
    <col min="2059" max="2304" width="8.85546875" style="678"/>
    <col min="2305" max="2305" width="6.85546875" style="678" customWidth="1"/>
    <col min="2306" max="2313" width="8.85546875" style="678"/>
    <col min="2314" max="2314" width="13" style="678" customWidth="1"/>
    <col min="2315" max="2560" width="8.85546875" style="678"/>
    <col min="2561" max="2561" width="6.85546875" style="678" customWidth="1"/>
    <col min="2562" max="2569" width="8.85546875" style="678"/>
    <col min="2570" max="2570" width="13" style="678" customWidth="1"/>
    <col min="2571" max="2816" width="8.85546875" style="678"/>
    <col min="2817" max="2817" width="6.85546875" style="678" customWidth="1"/>
    <col min="2818" max="2825" width="8.85546875" style="678"/>
    <col min="2826" max="2826" width="13" style="678" customWidth="1"/>
    <col min="2827" max="3072" width="8.85546875" style="678"/>
    <col min="3073" max="3073" width="6.85546875" style="678" customWidth="1"/>
    <col min="3074" max="3081" width="8.85546875" style="678"/>
    <col min="3082" max="3082" width="13" style="678" customWidth="1"/>
    <col min="3083" max="3328" width="8.85546875" style="678"/>
    <col min="3329" max="3329" width="6.85546875" style="678" customWidth="1"/>
    <col min="3330" max="3337" width="8.85546875" style="678"/>
    <col min="3338" max="3338" width="13" style="678" customWidth="1"/>
    <col min="3339" max="3584" width="8.85546875" style="678"/>
    <col min="3585" max="3585" width="6.85546875" style="678" customWidth="1"/>
    <col min="3586" max="3593" width="8.85546875" style="678"/>
    <col min="3594" max="3594" width="13" style="678" customWidth="1"/>
    <col min="3595" max="3840" width="8.85546875" style="678"/>
    <col min="3841" max="3841" width="6.85546875" style="678" customWidth="1"/>
    <col min="3842" max="3849" width="8.85546875" style="678"/>
    <col min="3850" max="3850" width="13" style="678" customWidth="1"/>
    <col min="3851" max="4096" width="8.85546875" style="678"/>
    <col min="4097" max="4097" width="6.85546875" style="678" customWidth="1"/>
    <col min="4098" max="4105" width="8.85546875" style="678"/>
    <col min="4106" max="4106" width="13" style="678" customWidth="1"/>
    <col min="4107" max="4352" width="8.85546875" style="678"/>
    <col min="4353" max="4353" width="6.85546875" style="678" customWidth="1"/>
    <col min="4354" max="4361" width="8.85546875" style="678"/>
    <col min="4362" max="4362" width="13" style="678" customWidth="1"/>
    <col min="4363" max="4608" width="8.85546875" style="678"/>
    <col min="4609" max="4609" width="6.85546875" style="678" customWidth="1"/>
    <col min="4610" max="4617" width="8.85546875" style="678"/>
    <col min="4618" max="4618" width="13" style="678" customWidth="1"/>
    <col min="4619" max="4864" width="8.85546875" style="678"/>
    <col min="4865" max="4865" width="6.85546875" style="678" customWidth="1"/>
    <col min="4866" max="4873" width="8.85546875" style="678"/>
    <col min="4874" max="4874" width="13" style="678" customWidth="1"/>
    <col min="4875" max="5120" width="8.85546875" style="678"/>
    <col min="5121" max="5121" width="6.85546875" style="678" customWidth="1"/>
    <col min="5122" max="5129" width="8.85546875" style="678"/>
    <col min="5130" max="5130" width="13" style="678" customWidth="1"/>
    <col min="5131" max="5376" width="8.85546875" style="678"/>
    <col min="5377" max="5377" width="6.85546875" style="678" customWidth="1"/>
    <col min="5378" max="5385" width="8.85546875" style="678"/>
    <col min="5386" max="5386" width="13" style="678" customWidth="1"/>
    <col min="5387" max="5632" width="8.85546875" style="678"/>
    <col min="5633" max="5633" width="6.85546875" style="678" customWidth="1"/>
    <col min="5634" max="5641" width="8.85546875" style="678"/>
    <col min="5642" max="5642" width="13" style="678" customWidth="1"/>
    <col min="5643" max="5888" width="8.85546875" style="678"/>
    <col min="5889" max="5889" width="6.85546875" style="678" customWidth="1"/>
    <col min="5890" max="5897" width="8.85546875" style="678"/>
    <col min="5898" max="5898" width="13" style="678" customWidth="1"/>
    <col min="5899" max="6144" width="8.85546875" style="678"/>
    <col min="6145" max="6145" width="6.85546875" style="678" customWidth="1"/>
    <col min="6146" max="6153" width="8.85546875" style="678"/>
    <col min="6154" max="6154" width="13" style="678" customWidth="1"/>
    <col min="6155" max="6400" width="8.85546875" style="678"/>
    <col min="6401" max="6401" width="6.85546875" style="678" customWidth="1"/>
    <col min="6402" max="6409" width="8.85546875" style="678"/>
    <col min="6410" max="6410" width="13" style="678" customWidth="1"/>
    <col min="6411" max="6656" width="8.85546875" style="678"/>
    <col min="6657" max="6657" width="6.85546875" style="678" customWidth="1"/>
    <col min="6658" max="6665" width="8.85546875" style="678"/>
    <col min="6666" max="6666" width="13" style="678" customWidth="1"/>
    <col min="6667" max="6912" width="8.85546875" style="678"/>
    <col min="6913" max="6913" width="6.85546875" style="678" customWidth="1"/>
    <col min="6914" max="6921" width="8.85546875" style="678"/>
    <col min="6922" max="6922" width="13" style="678" customWidth="1"/>
    <col min="6923" max="7168" width="8.85546875" style="678"/>
    <col min="7169" max="7169" width="6.85546875" style="678" customWidth="1"/>
    <col min="7170" max="7177" width="8.85546875" style="678"/>
    <col min="7178" max="7178" width="13" style="678" customWidth="1"/>
    <col min="7179" max="7424" width="8.85546875" style="678"/>
    <col min="7425" max="7425" width="6.85546875" style="678" customWidth="1"/>
    <col min="7426" max="7433" width="8.85546875" style="678"/>
    <col min="7434" max="7434" width="13" style="678" customWidth="1"/>
    <col min="7435" max="7680" width="8.85546875" style="678"/>
    <col min="7681" max="7681" width="6.85546875" style="678" customWidth="1"/>
    <col min="7682" max="7689" width="8.85546875" style="678"/>
    <col min="7690" max="7690" width="13" style="678" customWidth="1"/>
    <col min="7691" max="7936" width="8.85546875" style="678"/>
    <col min="7937" max="7937" width="6.85546875" style="678" customWidth="1"/>
    <col min="7938" max="7945" width="8.85546875" style="678"/>
    <col min="7946" max="7946" width="13" style="678" customWidth="1"/>
    <col min="7947" max="8192" width="8.85546875" style="678"/>
    <col min="8193" max="8193" width="6.85546875" style="678" customWidth="1"/>
    <col min="8194" max="8201" width="8.85546875" style="678"/>
    <col min="8202" max="8202" width="13" style="678" customWidth="1"/>
    <col min="8203" max="8448" width="8.85546875" style="678"/>
    <col min="8449" max="8449" width="6.85546875" style="678" customWidth="1"/>
    <col min="8450" max="8457" width="8.85546875" style="678"/>
    <col min="8458" max="8458" width="13" style="678" customWidth="1"/>
    <col min="8459" max="8704" width="8.85546875" style="678"/>
    <col min="8705" max="8705" width="6.85546875" style="678" customWidth="1"/>
    <col min="8706" max="8713" width="8.85546875" style="678"/>
    <col min="8714" max="8714" width="13" style="678" customWidth="1"/>
    <col min="8715" max="8960" width="8.85546875" style="678"/>
    <col min="8961" max="8961" width="6.85546875" style="678" customWidth="1"/>
    <col min="8962" max="8969" width="8.85546875" style="678"/>
    <col min="8970" max="8970" width="13" style="678" customWidth="1"/>
    <col min="8971" max="9216" width="8.85546875" style="678"/>
    <col min="9217" max="9217" width="6.85546875" style="678" customWidth="1"/>
    <col min="9218" max="9225" width="8.85546875" style="678"/>
    <col min="9226" max="9226" width="13" style="678" customWidth="1"/>
    <col min="9227" max="9472" width="8.85546875" style="678"/>
    <col min="9473" max="9473" width="6.85546875" style="678" customWidth="1"/>
    <col min="9474" max="9481" width="8.85546875" style="678"/>
    <col min="9482" max="9482" width="13" style="678" customWidth="1"/>
    <col min="9483" max="9728" width="8.85546875" style="678"/>
    <col min="9729" max="9729" width="6.85546875" style="678" customWidth="1"/>
    <col min="9730" max="9737" width="8.85546875" style="678"/>
    <col min="9738" max="9738" width="13" style="678" customWidth="1"/>
    <col min="9739" max="9984" width="8.85546875" style="678"/>
    <col min="9985" max="9985" width="6.85546875" style="678" customWidth="1"/>
    <col min="9986" max="9993" width="8.85546875" style="678"/>
    <col min="9994" max="9994" width="13" style="678" customWidth="1"/>
    <col min="9995" max="10240" width="8.85546875" style="678"/>
    <col min="10241" max="10241" width="6.85546875" style="678" customWidth="1"/>
    <col min="10242" max="10249" width="8.85546875" style="678"/>
    <col min="10250" max="10250" width="13" style="678" customWidth="1"/>
    <col min="10251" max="10496" width="8.85546875" style="678"/>
    <col min="10497" max="10497" width="6.85546875" style="678" customWidth="1"/>
    <col min="10498" max="10505" width="8.85546875" style="678"/>
    <col min="10506" max="10506" width="13" style="678" customWidth="1"/>
    <col min="10507" max="10752" width="8.85546875" style="678"/>
    <col min="10753" max="10753" width="6.85546875" style="678" customWidth="1"/>
    <col min="10754" max="10761" width="8.85546875" style="678"/>
    <col min="10762" max="10762" width="13" style="678" customWidth="1"/>
    <col min="10763" max="11008" width="8.85546875" style="678"/>
    <col min="11009" max="11009" width="6.85546875" style="678" customWidth="1"/>
    <col min="11010" max="11017" width="8.85546875" style="678"/>
    <col min="11018" max="11018" width="13" style="678" customWidth="1"/>
    <col min="11019" max="11264" width="8.85546875" style="678"/>
    <col min="11265" max="11265" width="6.85546875" style="678" customWidth="1"/>
    <col min="11266" max="11273" width="8.85546875" style="678"/>
    <col min="11274" max="11274" width="13" style="678" customWidth="1"/>
    <col min="11275" max="11520" width="8.85546875" style="678"/>
    <col min="11521" max="11521" width="6.85546875" style="678" customWidth="1"/>
    <col min="11522" max="11529" width="8.85546875" style="678"/>
    <col min="11530" max="11530" width="13" style="678" customWidth="1"/>
    <col min="11531" max="11776" width="8.85546875" style="678"/>
    <col min="11777" max="11777" width="6.85546875" style="678" customWidth="1"/>
    <col min="11778" max="11785" width="8.85546875" style="678"/>
    <col min="11786" max="11786" width="13" style="678" customWidth="1"/>
    <col min="11787" max="12032" width="8.85546875" style="678"/>
    <col min="12033" max="12033" width="6.85546875" style="678" customWidth="1"/>
    <col min="12034" max="12041" width="8.85546875" style="678"/>
    <col min="12042" max="12042" width="13" style="678" customWidth="1"/>
    <col min="12043" max="12288" width="8.85546875" style="678"/>
    <col min="12289" max="12289" width="6.85546875" style="678" customWidth="1"/>
    <col min="12290" max="12297" width="8.85546875" style="678"/>
    <col min="12298" max="12298" width="13" style="678" customWidth="1"/>
    <col min="12299" max="12544" width="8.85546875" style="678"/>
    <col min="12545" max="12545" width="6.85546875" style="678" customWidth="1"/>
    <col min="12546" max="12553" width="8.85546875" style="678"/>
    <col min="12554" max="12554" width="13" style="678" customWidth="1"/>
    <col min="12555" max="12800" width="8.85546875" style="678"/>
    <col min="12801" max="12801" width="6.85546875" style="678" customWidth="1"/>
    <col min="12802" max="12809" width="8.85546875" style="678"/>
    <col min="12810" max="12810" width="13" style="678" customWidth="1"/>
    <col min="12811" max="13056" width="8.85546875" style="678"/>
    <col min="13057" max="13057" width="6.85546875" style="678" customWidth="1"/>
    <col min="13058" max="13065" width="8.85546875" style="678"/>
    <col min="13066" max="13066" width="13" style="678" customWidth="1"/>
    <col min="13067" max="13312" width="8.85546875" style="678"/>
    <col min="13313" max="13313" width="6.85546875" style="678" customWidth="1"/>
    <col min="13314" max="13321" width="8.85546875" style="678"/>
    <col min="13322" max="13322" width="13" style="678" customWidth="1"/>
    <col min="13323" max="13568" width="8.85546875" style="678"/>
    <col min="13569" max="13569" width="6.85546875" style="678" customWidth="1"/>
    <col min="13570" max="13577" width="8.85546875" style="678"/>
    <col min="13578" max="13578" width="13" style="678" customWidth="1"/>
    <col min="13579" max="13824" width="8.85546875" style="678"/>
    <col min="13825" max="13825" width="6.85546875" style="678" customWidth="1"/>
    <col min="13826" max="13833" width="8.85546875" style="678"/>
    <col min="13834" max="13834" width="13" style="678" customWidth="1"/>
    <col min="13835" max="14080" width="8.85546875" style="678"/>
    <col min="14081" max="14081" width="6.85546875" style="678" customWidth="1"/>
    <col min="14082" max="14089" width="8.85546875" style="678"/>
    <col min="14090" max="14090" width="13" style="678" customWidth="1"/>
    <col min="14091" max="14336" width="8.85546875" style="678"/>
    <col min="14337" max="14337" width="6.85546875" style="678" customWidth="1"/>
    <col min="14338" max="14345" width="8.85546875" style="678"/>
    <col min="14346" max="14346" width="13" style="678" customWidth="1"/>
    <col min="14347" max="14592" width="8.85546875" style="678"/>
    <col min="14593" max="14593" width="6.85546875" style="678" customWidth="1"/>
    <col min="14594" max="14601" width="8.85546875" style="678"/>
    <col min="14602" max="14602" width="13" style="678" customWidth="1"/>
    <col min="14603" max="14848" width="8.85546875" style="678"/>
    <col min="14849" max="14849" width="6.85546875" style="678" customWidth="1"/>
    <col min="14850" max="14857" width="8.85546875" style="678"/>
    <col min="14858" max="14858" width="13" style="678" customWidth="1"/>
    <col min="14859" max="15104" width="8.85546875" style="678"/>
    <col min="15105" max="15105" width="6.85546875" style="678" customWidth="1"/>
    <col min="15106" max="15113" width="8.85546875" style="678"/>
    <col min="15114" max="15114" width="13" style="678" customWidth="1"/>
    <col min="15115" max="15360" width="8.85546875" style="678"/>
    <col min="15361" max="15361" width="6.85546875" style="678" customWidth="1"/>
    <col min="15362" max="15369" width="8.85546875" style="678"/>
    <col min="15370" max="15370" width="13" style="678" customWidth="1"/>
    <col min="15371" max="15616" width="8.85546875" style="678"/>
    <col min="15617" max="15617" width="6.85546875" style="678" customWidth="1"/>
    <col min="15618" max="15625" width="8.85546875" style="678"/>
    <col min="15626" max="15626" width="13" style="678" customWidth="1"/>
    <col min="15627" max="15872" width="8.85546875" style="678"/>
    <col min="15873" max="15873" width="6.85546875" style="678" customWidth="1"/>
    <col min="15874" max="15881" width="8.85546875" style="678"/>
    <col min="15882" max="15882" width="13" style="678" customWidth="1"/>
    <col min="15883" max="16128" width="8.85546875" style="678"/>
    <col min="16129" max="16129" width="6.85546875" style="678" customWidth="1"/>
    <col min="16130" max="16137" width="8.85546875" style="678"/>
    <col min="16138" max="16138" width="13" style="678" customWidth="1"/>
    <col min="16139" max="16384" width="8.85546875" style="678"/>
  </cols>
  <sheetData>
    <row r="1" spans="1:12">
      <c r="A1" s="3547" t="s">
        <v>3206</v>
      </c>
      <c r="B1" s="3548"/>
      <c r="C1" s="3548"/>
      <c r="D1" s="3548"/>
      <c r="E1" s="3548"/>
      <c r="F1" s="3548"/>
      <c r="G1" s="3548"/>
      <c r="H1" s="3548"/>
      <c r="I1" s="3548"/>
      <c r="J1" s="3549"/>
    </row>
    <row r="2" spans="1:12">
      <c r="A2" s="1407"/>
      <c r="B2" s="1270"/>
      <c r="C2" s="1270"/>
      <c r="D2" s="1270"/>
      <c r="E2" s="1270"/>
      <c r="F2" s="1270"/>
      <c r="G2" s="1270"/>
      <c r="H2" s="1270"/>
      <c r="I2" s="1270"/>
      <c r="J2" s="1408"/>
    </row>
    <row r="3" spans="1:12">
      <c r="A3" s="1274" t="e">
        <f>#REF!</f>
        <v>#REF!</v>
      </c>
      <c r="B3" s="1275"/>
      <c r="C3" s="1275"/>
      <c r="D3" s="1275" t="e">
        <f>#REF!</f>
        <v>#REF!</v>
      </c>
      <c r="E3" s="1275"/>
      <c r="F3" s="1275"/>
      <c r="G3" s="1275"/>
      <c r="H3" s="1275"/>
      <c r="I3" s="1275"/>
      <c r="J3" s="1276"/>
    </row>
    <row r="4" spans="1:12">
      <c r="A4" s="1274" t="e">
        <f>#REF!</f>
        <v>#REF!</v>
      </c>
      <c r="B4" s="1275"/>
      <c r="C4" s="1275"/>
      <c r="D4" s="1275" t="e">
        <f>#REF!</f>
        <v>#REF!</v>
      </c>
      <c r="E4" s="1275"/>
      <c r="F4" s="1275"/>
      <c r="G4" s="1275"/>
      <c r="H4" s="1275"/>
      <c r="I4" s="1275"/>
      <c r="J4" s="1276"/>
    </row>
    <row r="5" spans="1:12">
      <c r="A5" s="1274" t="e">
        <f>#REF!</f>
        <v>#REF!</v>
      </c>
      <c r="B5" s="1275"/>
      <c r="C5" s="1275"/>
      <c r="D5" s="1275" t="e">
        <f>#REF!</f>
        <v>#REF!</v>
      </c>
      <c r="E5" s="1275"/>
      <c r="F5" s="1275"/>
      <c r="G5" s="1275"/>
      <c r="H5" s="1275"/>
      <c r="I5" s="1275"/>
      <c r="J5" s="1276"/>
    </row>
    <row r="6" spans="1:12">
      <c r="A6" s="1277"/>
      <c r="B6" s="1278"/>
      <c r="C6" s="1278"/>
      <c r="D6" s="1278"/>
      <c r="E6" s="1278"/>
      <c r="F6" s="1278"/>
      <c r="G6" s="1278"/>
      <c r="H6" s="1278"/>
      <c r="I6" s="1278"/>
      <c r="J6" s="1279"/>
    </row>
    <row r="7" spans="1:12" ht="30.75" customHeight="1">
      <c r="A7" s="1280" t="s">
        <v>1510</v>
      </c>
      <c r="B7" s="3550" t="s">
        <v>1627</v>
      </c>
      <c r="C7" s="3550"/>
      <c r="D7" s="3550"/>
      <c r="E7" s="3550"/>
      <c r="F7" s="3550"/>
      <c r="G7" s="3550" t="s">
        <v>709</v>
      </c>
      <c r="H7" s="3550"/>
      <c r="I7" s="3550" t="s">
        <v>2074</v>
      </c>
      <c r="J7" s="3550"/>
    </row>
    <row r="8" spans="1:12" ht="23.25" customHeight="1">
      <c r="A8" s="1280">
        <v>1</v>
      </c>
      <c r="B8" s="3550" t="s">
        <v>2</v>
      </c>
      <c r="C8" s="3550"/>
      <c r="D8" s="3550"/>
      <c r="E8" s="3550"/>
      <c r="F8" s="3550"/>
      <c r="G8" s="3551" t="e">
        <f>#REF!</f>
        <v>#REF!</v>
      </c>
      <c r="H8" s="3551"/>
      <c r="I8" s="3552" t="s">
        <v>2075</v>
      </c>
      <c r="J8" s="3552"/>
    </row>
    <row r="9" spans="1:12" ht="23.25" customHeight="1">
      <c r="A9" s="1411">
        <v>2</v>
      </c>
      <c r="B9" s="3554" t="s">
        <v>26</v>
      </c>
      <c r="C9" s="3555"/>
      <c r="D9" s="3555"/>
      <c r="E9" s="3555"/>
      <c r="F9" s="3556"/>
      <c r="G9" s="3551" t="e">
        <f>G11-G8</f>
        <v>#REF!</v>
      </c>
      <c r="H9" s="3551"/>
      <c r="I9" s="3552" t="s">
        <v>2076</v>
      </c>
      <c r="J9" s="3552"/>
      <c r="K9" s="679" t="e">
        <f>#REF!</f>
        <v>#REF!</v>
      </c>
      <c r="L9" s="679" t="e">
        <f>G9+K9</f>
        <v>#REF!</v>
      </c>
    </row>
    <row r="10" spans="1:12" ht="23.25" customHeight="1">
      <c r="A10" s="1411">
        <v>3</v>
      </c>
      <c r="B10" s="3554" t="s">
        <v>26</v>
      </c>
      <c r="C10" s="3555"/>
      <c r="D10" s="3555"/>
      <c r="E10" s="3555"/>
      <c r="F10" s="3556"/>
      <c r="G10" s="3551"/>
      <c r="H10" s="3551"/>
      <c r="I10" s="3552" t="s">
        <v>2077</v>
      </c>
      <c r="J10" s="3552"/>
      <c r="K10" s="1431" t="s">
        <v>3442</v>
      </c>
      <c r="L10" s="1431" t="s">
        <v>3438</v>
      </c>
    </row>
    <row r="11" spans="1:12" ht="23.25" customHeight="1">
      <c r="A11" s="687"/>
      <c r="B11" s="3550" t="s">
        <v>1532</v>
      </c>
      <c r="C11" s="3550"/>
      <c r="D11" s="3550"/>
      <c r="E11" s="3550"/>
      <c r="F11" s="3550"/>
      <c r="G11" s="3551" t="e">
        <f>#REF!</f>
        <v>#REF!</v>
      </c>
      <c r="H11" s="3551"/>
      <c r="I11" s="3553"/>
      <c r="J11" s="3553"/>
      <c r="K11" s="679" t="e">
        <f>#REF!</f>
        <v>#REF!</v>
      </c>
      <c r="L11" s="679" t="e">
        <f>G11-K11</f>
        <v>#REF!</v>
      </c>
    </row>
    <row r="16" spans="1:12">
      <c r="D16" s="678" t="s">
        <v>373</v>
      </c>
    </row>
    <row r="17" spans="1:12">
      <c r="B17" s="1400" t="e">
        <f>#REF!</f>
        <v>#REF!</v>
      </c>
    </row>
    <row r="18" spans="1:12">
      <c r="B18" s="1400" t="e">
        <f>#REF!</f>
        <v>#REF!</v>
      </c>
    </row>
    <row r="19" spans="1:12">
      <c r="B19" s="1400"/>
    </row>
    <row r="20" spans="1:12">
      <c r="B20" s="1400"/>
    </row>
    <row r="21" spans="1:12" ht="19.149999999999999" customHeight="1">
      <c r="A21" s="3547" t="s">
        <v>3411</v>
      </c>
      <c r="B21" s="3548"/>
      <c r="C21" s="3548"/>
      <c r="D21" s="3548"/>
      <c r="E21" s="3548"/>
      <c r="F21" s="3548"/>
      <c r="G21" s="3548"/>
      <c r="H21" s="3548"/>
      <c r="I21" s="3548"/>
      <c r="J21" s="3549"/>
    </row>
    <row r="22" spans="1:12" ht="19.149999999999999" customHeight="1">
      <c r="A22" s="1407"/>
      <c r="B22" s="1270"/>
      <c r="C22" s="1270"/>
      <c r="D22" s="1270"/>
      <c r="E22" s="1270"/>
      <c r="F22" s="1270"/>
      <c r="G22" s="1270"/>
      <c r="H22" s="1270"/>
      <c r="I22" s="1270"/>
      <c r="J22" s="1408"/>
    </row>
    <row r="23" spans="1:12" ht="19.149999999999999" customHeight="1">
      <c r="A23" s="1274" t="e">
        <f>A3</f>
        <v>#REF!</v>
      </c>
      <c r="B23" s="1275"/>
      <c r="C23" s="1275"/>
      <c r="D23" s="1275" t="e">
        <f>D3</f>
        <v>#REF!</v>
      </c>
      <c r="E23" s="1275"/>
      <c r="F23" s="1275"/>
      <c r="G23" s="1275"/>
      <c r="H23" s="1275"/>
      <c r="I23" s="1275"/>
      <c r="J23" s="1276"/>
    </row>
    <row r="24" spans="1:12" ht="19.149999999999999" customHeight="1">
      <c r="A24" s="1274" t="e">
        <f t="shared" ref="A24:A25" si="0">A4</f>
        <v>#REF!</v>
      </c>
      <c r="B24" s="1275"/>
      <c r="C24" s="1275"/>
      <c r="D24" s="1275" t="e">
        <f t="shared" ref="D24:D25" si="1">D4</f>
        <v>#REF!</v>
      </c>
      <c r="E24" s="1275"/>
      <c r="F24" s="1275"/>
      <c r="G24" s="1275"/>
      <c r="H24" s="1275"/>
      <c r="I24" s="1275"/>
      <c r="J24" s="1276"/>
    </row>
    <row r="25" spans="1:12" ht="19.149999999999999" customHeight="1">
      <c r="A25" s="1274" t="e">
        <f t="shared" si="0"/>
        <v>#REF!</v>
      </c>
      <c r="B25" s="1275"/>
      <c r="C25" s="1275"/>
      <c r="D25" s="1275" t="e">
        <f t="shared" si="1"/>
        <v>#REF!</v>
      </c>
      <c r="E25" s="1275"/>
      <c r="F25" s="1275"/>
      <c r="G25" s="1275"/>
      <c r="H25" s="1275"/>
      <c r="I25" s="1275"/>
      <c r="J25" s="1276"/>
    </row>
    <row r="26" spans="1:12" ht="19.149999999999999" customHeight="1">
      <c r="A26" s="1277"/>
      <c r="B26" s="1278"/>
      <c r="C26" s="1278"/>
      <c r="D26" s="1278"/>
      <c r="E26" s="1278"/>
      <c r="F26" s="1278"/>
      <c r="G26" s="1278"/>
      <c r="H26" s="1278"/>
      <c r="I26" s="1278"/>
      <c r="J26" s="1279"/>
    </row>
    <row r="27" spans="1:12" ht="21" customHeight="1">
      <c r="A27" s="1409" t="s">
        <v>1510</v>
      </c>
      <c r="B27" s="3557" t="s">
        <v>1627</v>
      </c>
      <c r="C27" s="3557"/>
      <c r="D27" s="3557"/>
      <c r="E27" s="3557"/>
      <c r="F27" s="3557"/>
      <c r="G27" s="3557" t="s">
        <v>709</v>
      </c>
      <c r="H27" s="3557"/>
      <c r="I27" s="3558" t="s">
        <v>2074</v>
      </c>
      <c r="J27" s="3559"/>
    </row>
    <row r="28" spans="1:12" ht="21" customHeight="1">
      <c r="A28" s="1280">
        <v>1</v>
      </c>
      <c r="B28" s="3550" t="s">
        <v>2</v>
      </c>
      <c r="C28" s="3550"/>
      <c r="D28" s="3550"/>
      <c r="E28" s="3550"/>
      <c r="F28" s="3550"/>
      <c r="G28" s="3551" t="e">
        <f>#REF!</f>
        <v>#REF!</v>
      </c>
      <c r="H28" s="3551"/>
      <c r="I28" s="3560" t="s">
        <v>2075</v>
      </c>
      <c r="J28" s="3560"/>
    </row>
    <row r="29" spans="1:12" ht="21" customHeight="1">
      <c r="A29" s="1280">
        <v>2</v>
      </c>
      <c r="B29" s="3550" t="s">
        <v>26</v>
      </c>
      <c r="C29" s="3550"/>
      <c r="D29" s="3550"/>
      <c r="E29" s="3550"/>
      <c r="F29" s="3550"/>
      <c r="G29" s="3551" t="e">
        <f>#REF!</f>
        <v>#REF!</v>
      </c>
      <c r="H29" s="3551"/>
      <c r="I29" s="3561" t="s">
        <v>3010</v>
      </c>
      <c r="J29" s="3562"/>
    </row>
    <row r="30" spans="1:12" ht="21" customHeight="1">
      <c r="A30" s="1280">
        <v>3</v>
      </c>
      <c r="B30" s="3550" t="s">
        <v>1883</v>
      </c>
      <c r="C30" s="3550"/>
      <c r="D30" s="3550"/>
      <c r="E30" s="3550"/>
      <c r="F30" s="3550"/>
      <c r="G30" s="3551" t="e">
        <f>#REF!</f>
        <v>#REF!</v>
      </c>
      <c r="H30" s="3551"/>
      <c r="I30" s="1281"/>
      <c r="J30" s="1282"/>
      <c r="L30" s="1431" t="s">
        <v>3438</v>
      </c>
    </row>
    <row r="31" spans="1:12" ht="21" customHeight="1">
      <c r="A31" s="687"/>
      <c r="B31" s="3550" t="s">
        <v>1532</v>
      </c>
      <c r="C31" s="3550"/>
      <c r="D31" s="3550"/>
      <c r="E31" s="3550"/>
      <c r="F31" s="3550"/>
      <c r="G31" s="3551" t="e">
        <f>SUM(G28:H30)</f>
        <v>#REF!</v>
      </c>
      <c r="H31" s="3551"/>
      <c r="I31" s="3553"/>
      <c r="J31" s="3553"/>
      <c r="K31" s="679" t="e">
        <f>#REF!</f>
        <v>#REF!</v>
      </c>
      <c r="L31" s="679" t="e">
        <f>G31-K31</f>
        <v>#REF!</v>
      </c>
    </row>
    <row r="37" spans="2:2">
      <c r="B37" s="1400" t="e">
        <f>B17</f>
        <v>#REF!</v>
      </c>
    </row>
    <row r="38" spans="2:2">
      <c r="B38" s="1400" t="e">
        <f>B18</f>
        <v>#REF!</v>
      </c>
    </row>
  </sheetData>
  <mergeCells count="31">
    <mergeCell ref="B31:F31"/>
    <mergeCell ref="G31:H31"/>
    <mergeCell ref="I31:J31"/>
    <mergeCell ref="B29:F29"/>
    <mergeCell ref="G29:H29"/>
    <mergeCell ref="I29:J29"/>
    <mergeCell ref="B30:F30"/>
    <mergeCell ref="G30:H30"/>
    <mergeCell ref="A21:J21"/>
    <mergeCell ref="B27:F27"/>
    <mergeCell ref="G27:H27"/>
    <mergeCell ref="I27:J27"/>
    <mergeCell ref="B28:F28"/>
    <mergeCell ref="G28:H28"/>
    <mergeCell ref="I28:J28"/>
    <mergeCell ref="B11:F11"/>
    <mergeCell ref="G11:H11"/>
    <mergeCell ref="I11:J11"/>
    <mergeCell ref="G9:H9"/>
    <mergeCell ref="I9:J9"/>
    <mergeCell ref="G10:H10"/>
    <mergeCell ref="I10:J10"/>
    <mergeCell ref="B9:F9"/>
    <mergeCell ref="B10:F10"/>
    <mergeCell ref="A1:J1"/>
    <mergeCell ref="B7:F7"/>
    <mergeCell ref="G7:H7"/>
    <mergeCell ref="I7:J7"/>
    <mergeCell ref="B8:F8"/>
    <mergeCell ref="G8:H8"/>
    <mergeCell ref="I8:J8"/>
  </mergeCells>
  <pageMargins left="0.61" right="0.45"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FF0000"/>
  </sheetPr>
  <dimension ref="B1:T150"/>
  <sheetViews>
    <sheetView view="pageBreakPreview" topLeftCell="A25" zoomScale="90" zoomScaleSheetLayoutView="90" workbookViewId="0">
      <selection activeCell="G91" sqref="G91:I91"/>
    </sheetView>
  </sheetViews>
  <sheetFormatPr defaultRowHeight="15"/>
  <cols>
    <col min="1" max="1" width="4.7109375" customWidth="1"/>
    <col min="2" max="2" width="0.5703125" customWidth="1"/>
    <col min="3" max="16" width="7.85546875" customWidth="1"/>
    <col min="17" max="17" width="0.5703125" customWidth="1"/>
    <col min="18" max="18" width="3.28515625" customWidth="1"/>
  </cols>
  <sheetData>
    <row r="1" spans="2:17" ht="16.899999999999999" customHeight="1">
      <c r="I1" s="1525"/>
      <c r="J1" s="1526"/>
    </row>
    <row r="2" spans="2:17" ht="16.899999999999999" customHeight="1">
      <c r="G2" s="1522"/>
      <c r="H2" s="1525"/>
      <c r="K2" s="1526"/>
      <c r="L2" s="1522"/>
    </row>
    <row r="3" spans="2:17" ht="16.899999999999999" customHeight="1">
      <c r="G3" s="1525"/>
      <c r="H3" s="2564" t="s">
        <v>3511</v>
      </c>
      <c r="I3" s="2564"/>
      <c r="J3" s="2564"/>
      <c r="K3" s="2564"/>
      <c r="L3" s="1526"/>
    </row>
    <row r="4" spans="2:17" ht="16.899999999999999" customHeight="1">
      <c r="F4" s="1525"/>
      <c r="M4" s="1526"/>
    </row>
    <row r="5" spans="2:17" ht="16.899999999999999" customHeight="1">
      <c r="E5" s="1525"/>
      <c r="F5" s="2565" t="s">
        <v>3512</v>
      </c>
      <c r="G5" s="2565"/>
      <c r="H5" s="2565"/>
      <c r="I5" s="2565"/>
      <c r="J5" s="2565"/>
      <c r="K5" s="2565"/>
      <c r="L5" s="2565"/>
      <c r="M5" s="2565"/>
      <c r="N5" s="1526"/>
    </row>
    <row r="6" spans="2:17" ht="16.899999999999999" customHeight="1">
      <c r="D6" s="1525"/>
      <c r="F6" s="1514"/>
      <c r="G6" s="1522"/>
      <c r="H6" s="1522"/>
      <c r="I6" s="2566" t="s">
        <v>3513</v>
      </c>
      <c r="J6" s="2566"/>
      <c r="K6" s="1522"/>
      <c r="L6" s="1522"/>
      <c r="M6" s="1401"/>
      <c r="O6" s="1526"/>
    </row>
    <row r="7" spans="2:17" ht="16.899999999999999" customHeight="1">
      <c r="C7" s="1525"/>
      <c r="F7" s="1514"/>
      <c r="G7" s="1518"/>
      <c r="H7" s="1518"/>
      <c r="I7" s="2566"/>
      <c r="J7" s="2566"/>
      <c r="K7" s="1517"/>
      <c r="L7" s="1518"/>
      <c r="P7" s="1526"/>
    </row>
    <row r="8" spans="2:17" ht="23.45" customHeight="1">
      <c r="B8" s="454"/>
      <c r="C8" s="1527"/>
      <c r="F8" s="1514"/>
      <c r="G8" s="1514"/>
      <c r="H8" s="1514"/>
      <c r="I8" s="1514"/>
      <c r="J8" s="1514"/>
      <c r="K8" s="1514"/>
      <c r="L8" s="1514"/>
      <c r="P8" s="1528"/>
      <c r="Q8" s="454"/>
    </row>
    <row r="9" spans="2:17" ht="23.45" customHeight="1">
      <c r="B9" s="454"/>
      <c r="C9" s="1527"/>
      <c r="F9" s="1551" t="s">
        <v>3564</v>
      </c>
      <c r="G9" s="1552"/>
      <c r="H9" s="1552"/>
      <c r="I9" s="1552"/>
      <c r="J9" s="1553" t="s">
        <v>3565</v>
      </c>
      <c r="K9" s="1519"/>
      <c r="L9" s="1513"/>
      <c r="P9" s="1528"/>
      <c r="Q9" s="454"/>
    </row>
    <row r="10" spans="2:17" ht="23.45" customHeight="1">
      <c r="B10" s="454"/>
      <c r="C10" s="1527"/>
      <c r="F10" s="1552"/>
      <c r="G10" s="1552"/>
      <c r="H10" s="1551"/>
      <c r="I10" s="1551"/>
      <c r="J10" s="1552"/>
      <c r="K10" s="1519"/>
      <c r="L10" s="1513"/>
      <c r="P10" s="1528"/>
      <c r="Q10" s="454"/>
    </row>
    <row r="11" spans="2:17" ht="23.45" customHeight="1">
      <c r="B11" s="454"/>
      <c r="C11" s="1527"/>
      <c r="F11" s="1551" t="s">
        <v>3566</v>
      </c>
      <c r="G11" s="1552"/>
      <c r="H11" s="1552"/>
      <c r="I11" s="1552"/>
      <c r="J11" s="1553" t="s">
        <v>3558</v>
      </c>
      <c r="K11" s="1519"/>
      <c r="L11" s="1513"/>
      <c r="P11" s="1528"/>
      <c r="Q11" s="454"/>
    </row>
    <row r="12" spans="2:17" ht="23.45" customHeight="1">
      <c r="B12" s="454"/>
      <c r="C12" s="1527"/>
      <c r="F12" s="1513"/>
      <c r="G12" s="1513"/>
      <c r="H12" s="1513"/>
      <c r="I12" s="1513"/>
      <c r="K12" s="1513"/>
      <c r="L12" s="1513"/>
      <c r="P12" s="1528"/>
      <c r="Q12" s="454"/>
    </row>
    <row r="13" spans="2:17" ht="23.45" customHeight="1">
      <c r="B13" s="454"/>
      <c r="C13" s="1527"/>
      <c r="H13" s="1513"/>
      <c r="I13" s="1513"/>
      <c r="K13" s="1514"/>
      <c r="L13" s="1514"/>
      <c r="P13" s="1528"/>
      <c r="Q13" s="454"/>
    </row>
    <row r="14" spans="2:17" ht="17.45" customHeight="1">
      <c r="B14" s="454"/>
      <c r="C14" s="1527"/>
      <c r="D14" s="1515" t="s">
        <v>3554</v>
      </c>
      <c r="E14" s="1515"/>
      <c r="G14" s="1394"/>
      <c r="H14" s="1394"/>
      <c r="I14" s="1394"/>
      <c r="J14" s="1394"/>
      <c r="K14" s="1394"/>
      <c r="L14" s="1394"/>
      <c r="M14" s="1394"/>
      <c r="P14" s="1528"/>
      <c r="Q14" s="454"/>
    </row>
    <row r="15" spans="2:17" ht="17.45" customHeight="1">
      <c r="B15" s="454"/>
      <c r="C15" s="1527"/>
      <c r="D15" s="1515"/>
      <c r="E15" s="1515"/>
      <c r="G15" s="1394"/>
      <c r="H15" s="1394"/>
      <c r="I15" s="1394"/>
      <c r="J15" s="1394"/>
      <c r="K15" s="1394"/>
      <c r="L15" s="1394"/>
      <c r="M15" s="1394"/>
      <c r="P15" s="1528"/>
      <c r="Q15" s="454"/>
    </row>
    <row r="16" spans="2:17" ht="17.45" customHeight="1">
      <c r="B16" s="454"/>
      <c r="C16" s="1527"/>
      <c r="D16" s="1515" t="s">
        <v>3567</v>
      </c>
      <c r="E16" s="1515"/>
      <c r="G16" s="1394"/>
      <c r="H16" s="1394"/>
      <c r="I16" s="1394"/>
      <c r="J16" s="1394"/>
      <c r="K16" s="1394"/>
      <c r="L16" s="1394"/>
      <c r="M16" s="1394"/>
      <c r="P16" s="1528"/>
      <c r="Q16" s="454"/>
    </row>
    <row r="17" spans="2:17" ht="17.45" customHeight="1">
      <c r="B17" s="454"/>
      <c r="C17" s="1527"/>
      <c r="D17" s="1515"/>
      <c r="E17" s="1515"/>
      <c r="G17" s="1394"/>
      <c r="H17" s="1394"/>
      <c r="I17" s="1394"/>
      <c r="J17" s="1394"/>
      <c r="K17" s="1394"/>
      <c r="L17" s="1394"/>
      <c r="M17" s="1394"/>
      <c r="P17" s="1528"/>
      <c r="Q17" s="454"/>
    </row>
    <row r="18" spans="2:17" ht="17.45" customHeight="1">
      <c r="B18" s="454"/>
      <c r="C18" s="1527"/>
      <c r="D18" s="1515" t="s">
        <v>3568</v>
      </c>
      <c r="E18" s="1515"/>
      <c r="G18" s="1394"/>
      <c r="H18" s="1394"/>
      <c r="I18" s="1394"/>
      <c r="J18" s="1394"/>
      <c r="K18" s="1394"/>
      <c r="L18" s="1515" t="s">
        <v>3609</v>
      </c>
      <c r="M18" s="1394"/>
      <c r="P18" s="1528"/>
      <c r="Q18" s="454"/>
    </row>
    <row r="19" spans="2:17" ht="17.45" customHeight="1">
      <c r="B19" s="454"/>
      <c r="C19" s="1527"/>
      <c r="D19" s="1515"/>
      <c r="E19" s="1515"/>
      <c r="G19" s="1394"/>
      <c r="H19" s="1394"/>
      <c r="I19" s="1394"/>
      <c r="J19" s="1394"/>
      <c r="K19" s="1394"/>
      <c r="L19" s="1394"/>
      <c r="M19" s="1394"/>
      <c r="N19" s="1513"/>
      <c r="P19" s="1528"/>
      <c r="Q19" s="454"/>
    </row>
    <row r="20" spans="2:17" ht="17.45" customHeight="1">
      <c r="B20" s="454"/>
      <c r="C20" s="1527"/>
      <c r="D20" s="1515" t="s">
        <v>3569</v>
      </c>
      <c r="E20" s="1515"/>
      <c r="G20" s="1394"/>
      <c r="H20" s="1394"/>
      <c r="I20" s="1394"/>
      <c r="J20" s="1394"/>
      <c r="K20" s="1394"/>
      <c r="L20" s="1394"/>
      <c r="M20" s="1394"/>
      <c r="P20" s="1528"/>
      <c r="Q20" s="454"/>
    </row>
    <row r="21" spans="2:17" ht="17.45" customHeight="1">
      <c r="B21" s="454"/>
      <c r="C21" s="1527"/>
      <c r="D21" s="1515"/>
      <c r="E21" s="1515"/>
      <c r="G21" s="1394"/>
      <c r="H21" s="1394"/>
      <c r="I21" s="1394"/>
      <c r="J21" s="1394"/>
      <c r="K21" s="1394"/>
      <c r="L21" s="1394"/>
      <c r="M21" s="1394"/>
      <c r="P21" s="1528"/>
      <c r="Q21" s="454"/>
    </row>
    <row r="22" spans="2:17" ht="17.45" customHeight="1">
      <c r="B22" s="454"/>
      <c r="C22" s="1527"/>
      <c r="D22" s="1515" t="s">
        <v>3570</v>
      </c>
      <c r="E22" s="1515"/>
      <c r="G22" s="1394"/>
      <c r="H22" s="1394"/>
      <c r="I22" s="1394"/>
      <c r="J22" s="1394"/>
      <c r="K22" s="1394"/>
      <c r="L22" s="1394"/>
      <c r="M22" s="1394"/>
      <c r="P22" s="1528"/>
      <c r="Q22" s="454"/>
    </row>
    <row r="23" spans="2:17" ht="17.45" customHeight="1">
      <c r="B23" s="454"/>
      <c r="C23" s="1527"/>
      <c r="D23" s="1515"/>
      <c r="E23" s="1515"/>
      <c r="G23" s="1394"/>
      <c r="H23" s="1394"/>
      <c r="I23" s="1394"/>
      <c r="J23" s="1394"/>
      <c r="K23" s="1394"/>
      <c r="L23" s="1394"/>
      <c r="M23" s="1394"/>
      <c r="P23" s="1528"/>
      <c r="Q23" s="454"/>
    </row>
    <row r="24" spans="2:17" ht="17.45" customHeight="1">
      <c r="B24" s="454"/>
      <c r="C24" s="1527"/>
      <c r="D24" s="1515" t="s">
        <v>3584</v>
      </c>
      <c r="E24" s="1515"/>
      <c r="G24" s="1394"/>
      <c r="H24" s="1394"/>
      <c r="I24" s="1394"/>
      <c r="J24" s="1394"/>
      <c r="K24" s="1394"/>
      <c r="L24" s="1394"/>
      <c r="M24" s="1394"/>
      <c r="P24" s="1528"/>
      <c r="Q24" s="454"/>
    </row>
    <row r="25" spans="2:17" ht="17.45" customHeight="1">
      <c r="B25" s="454"/>
      <c r="C25" s="1527"/>
      <c r="D25" s="1515"/>
      <c r="E25" s="1515"/>
      <c r="G25" s="1394"/>
      <c r="H25" s="1394"/>
      <c r="I25" s="1394"/>
      <c r="J25" s="1394"/>
      <c r="K25" s="1394"/>
      <c r="L25" s="1394"/>
      <c r="M25" s="1394"/>
      <c r="P25" s="1528"/>
      <c r="Q25" s="454"/>
    </row>
    <row r="26" spans="2:17" ht="17.45" customHeight="1">
      <c r="B26" s="454"/>
      <c r="C26" s="1527"/>
      <c r="D26" s="1515" t="s">
        <v>3585</v>
      </c>
      <c r="E26" s="1515"/>
      <c r="G26" s="1394"/>
      <c r="H26" s="1394"/>
      <c r="I26" s="1394"/>
      <c r="J26" s="1394"/>
      <c r="K26" s="1394"/>
      <c r="L26" s="1394"/>
      <c r="M26" s="1394"/>
      <c r="P26" s="1528"/>
      <c r="Q26" s="454"/>
    </row>
    <row r="27" spans="2:17" ht="17.45" customHeight="1">
      <c r="B27" s="454"/>
      <c r="C27" s="1527"/>
      <c r="D27" s="1515"/>
      <c r="E27" s="1515"/>
      <c r="G27" s="1394"/>
      <c r="H27" s="1394"/>
      <c r="I27" s="1394"/>
      <c r="J27" s="1394"/>
      <c r="K27" s="1394"/>
      <c r="L27" s="1394"/>
      <c r="M27" s="1394"/>
      <c r="P27" s="1528"/>
      <c r="Q27" s="454"/>
    </row>
    <row r="28" spans="2:17" ht="17.45" customHeight="1">
      <c r="B28" s="454"/>
      <c r="C28" s="1527"/>
      <c r="D28" s="1515" t="s">
        <v>3555</v>
      </c>
      <c r="E28" s="1515"/>
      <c r="G28" s="1394"/>
      <c r="H28" s="1394"/>
      <c r="I28" s="1394"/>
      <c r="J28" s="1394"/>
      <c r="K28" s="1394"/>
      <c r="L28" s="1394"/>
      <c r="M28" s="1394"/>
      <c r="P28" s="1528"/>
      <c r="Q28" s="454"/>
    </row>
    <row r="29" spans="2:17" ht="17.45" customHeight="1">
      <c r="B29" s="454"/>
      <c r="C29" s="1527"/>
      <c r="D29" s="1515"/>
      <c r="E29" s="1515"/>
      <c r="G29" s="1394"/>
      <c r="H29" s="1394"/>
      <c r="I29" s="1394"/>
      <c r="J29" s="1394"/>
      <c r="K29" s="1394"/>
      <c r="L29" s="1394"/>
      <c r="M29" s="1394"/>
      <c r="P29" s="1528"/>
      <c r="Q29" s="454"/>
    </row>
    <row r="30" spans="2:17" ht="17.45" customHeight="1">
      <c r="B30" s="454"/>
      <c r="C30" s="1527"/>
      <c r="D30" s="1515" t="s">
        <v>3556</v>
      </c>
      <c r="E30" s="1515"/>
      <c r="G30" s="1394"/>
      <c r="H30" s="1394"/>
      <c r="I30" s="1394"/>
      <c r="J30" s="1394"/>
      <c r="K30" s="1394"/>
      <c r="L30" s="1394"/>
      <c r="M30" s="1394"/>
      <c r="P30" s="1528"/>
      <c r="Q30" s="454"/>
    </row>
    <row r="31" spans="2:17" ht="17.45" customHeight="1">
      <c r="B31" s="454"/>
      <c r="C31" s="1527"/>
      <c r="D31" s="1515"/>
      <c r="E31" s="1515"/>
      <c r="G31" s="1394"/>
      <c r="H31" s="1394"/>
      <c r="I31" s="1394"/>
      <c r="J31" s="1394"/>
      <c r="K31" s="1394"/>
      <c r="L31" s="1394"/>
      <c r="M31" s="1394"/>
      <c r="P31" s="1528"/>
      <c r="Q31" s="454"/>
    </row>
    <row r="32" spans="2:17" ht="17.45" customHeight="1">
      <c r="B32" s="454"/>
      <c r="C32" s="1527"/>
      <c r="D32" s="1515" t="s">
        <v>3557</v>
      </c>
      <c r="E32" s="1515"/>
      <c r="G32" s="1394"/>
      <c r="H32" s="1394"/>
      <c r="I32" s="1394"/>
      <c r="J32" s="1394"/>
      <c r="K32" s="1394"/>
      <c r="L32" s="1394"/>
      <c r="M32" s="1394"/>
      <c r="P32" s="1528"/>
      <c r="Q32" s="454"/>
    </row>
    <row r="33" spans="2:17" ht="17.45" customHeight="1">
      <c r="B33" s="454"/>
      <c r="C33" s="1527"/>
      <c r="D33" s="1515"/>
      <c r="E33" s="1515"/>
      <c r="G33" s="1394"/>
      <c r="H33" s="1394"/>
      <c r="I33" s="1394"/>
      <c r="J33" s="1394"/>
      <c r="K33" s="1394"/>
      <c r="L33" s="1394"/>
      <c r="M33" s="1394"/>
      <c r="P33" s="1528"/>
      <c r="Q33" s="454"/>
    </row>
    <row r="34" spans="2:17" ht="17.45" customHeight="1">
      <c r="B34" s="454"/>
      <c r="C34" s="1527"/>
      <c r="D34" s="1515" t="s">
        <v>3610</v>
      </c>
      <c r="E34" s="1515"/>
      <c r="G34" s="1394"/>
      <c r="H34" s="1394"/>
      <c r="I34" s="1394"/>
      <c r="J34" s="1394"/>
      <c r="K34" s="1394"/>
      <c r="L34" s="1394"/>
      <c r="M34" s="1394"/>
      <c r="P34" s="1528"/>
      <c r="Q34" s="454"/>
    </row>
    <row r="35" spans="2:17" ht="17.45" customHeight="1">
      <c r="B35" s="454"/>
      <c r="C35" s="1527"/>
      <c r="D35" s="1515"/>
      <c r="E35" s="1515"/>
      <c r="G35" s="1394"/>
      <c r="H35" s="1394"/>
      <c r="I35" s="1394"/>
      <c r="J35" s="1394"/>
      <c r="K35" s="1394"/>
      <c r="L35" s="1394"/>
      <c r="M35" s="1394"/>
      <c r="P35" s="1528"/>
      <c r="Q35" s="454"/>
    </row>
    <row r="36" spans="2:17" ht="17.45" customHeight="1">
      <c r="B36" s="454"/>
      <c r="C36" s="1527"/>
      <c r="D36" s="1515" t="s">
        <v>3611</v>
      </c>
      <c r="E36" s="1515"/>
      <c r="G36" s="1394"/>
      <c r="H36" s="1394"/>
      <c r="I36" s="1394"/>
      <c r="J36" s="1394"/>
      <c r="K36" s="1394"/>
      <c r="L36" s="1394"/>
      <c r="M36" s="1394"/>
      <c r="P36" s="1528"/>
      <c r="Q36" s="454"/>
    </row>
    <row r="37" spans="2:17" ht="17.45" customHeight="1">
      <c r="B37" s="454"/>
      <c r="C37" s="1527"/>
      <c r="D37" s="1515"/>
      <c r="E37" s="1515"/>
      <c r="G37" s="1394"/>
      <c r="H37" s="1394"/>
      <c r="I37" s="1394"/>
      <c r="J37" s="1394"/>
      <c r="K37" s="1394"/>
      <c r="L37" s="1394"/>
      <c r="M37" s="1394"/>
      <c r="P37" s="1528"/>
      <c r="Q37" s="454"/>
    </row>
    <row r="38" spans="2:17" ht="23.45" customHeight="1">
      <c r="B38" s="454"/>
      <c r="C38" s="1527"/>
      <c r="D38" s="1515" t="s">
        <v>3531</v>
      </c>
      <c r="E38" s="1515"/>
      <c r="G38" s="1394"/>
      <c r="H38" s="1394"/>
      <c r="I38" s="1394"/>
      <c r="J38" s="1394"/>
      <c r="K38" s="1394"/>
      <c r="L38" s="1394"/>
      <c r="M38" s="1394"/>
      <c r="P38" s="1528"/>
      <c r="Q38" s="454"/>
    </row>
    <row r="39" spans="2:17" ht="23.45" customHeight="1">
      <c r="B39" s="454"/>
      <c r="C39" s="1527"/>
      <c r="D39" s="1515"/>
      <c r="E39" s="1515"/>
      <c r="G39" s="1394"/>
      <c r="H39" s="1394"/>
      <c r="I39" s="1394"/>
      <c r="J39" s="1394"/>
      <c r="K39" s="1394"/>
      <c r="L39" s="1394"/>
      <c r="M39" s="1394"/>
      <c r="P39" s="1528"/>
      <c r="Q39" s="454"/>
    </row>
    <row r="40" spans="2:17" ht="23.45" customHeight="1">
      <c r="B40" s="454"/>
      <c r="C40" s="1527"/>
      <c r="D40" s="1515" t="s">
        <v>3532</v>
      </c>
      <c r="E40" s="1515"/>
      <c r="G40" s="1394"/>
      <c r="H40" s="1394"/>
      <c r="I40" s="1394"/>
      <c r="J40" s="1394"/>
      <c r="K40" s="1394"/>
      <c r="L40" s="1394"/>
      <c r="M40" s="1394"/>
      <c r="P40" s="1528"/>
      <c r="Q40" s="454"/>
    </row>
    <row r="41" spans="2:17" ht="4.1500000000000004" customHeight="1" thickBot="1">
      <c r="B41" s="454"/>
      <c r="C41" s="1548"/>
      <c r="D41" s="1549"/>
      <c r="E41" s="1549"/>
      <c r="F41" s="1549"/>
      <c r="G41" s="1549"/>
      <c r="H41" s="1549"/>
      <c r="I41" s="1549"/>
      <c r="J41" s="1549"/>
      <c r="K41" s="1549"/>
      <c r="L41" s="1549"/>
      <c r="M41" s="1549"/>
      <c r="N41" s="1549"/>
      <c r="O41" s="1549"/>
      <c r="P41" s="1550"/>
      <c r="Q41" s="454"/>
    </row>
    <row r="42" spans="2:17" ht="9.6" customHeight="1" thickTop="1"/>
    <row r="43" spans="2:17" ht="9.6" customHeight="1"/>
    <row r="44" spans="2:17" ht="9.6" customHeight="1"/>
    <row r="45" spans="2:17" ht="9.6" customHeight="1"/>
    <row r="46" spans="2:17" ht="9.6" customHeight="1"/>
    <row r="47" spans="2:17" ht="9.6" customHeight="1"/>
    <row r="48" spans="2:17" ht="9.6" customHeight="1"/>
    <row r="49" spans="5:14" ht="9.6" customHeight="1"/>
    <row r="50" spans="5:14" ht="9.6" customHeight="1"/>
    <row r="51" spans="5:14" ht="9.6" customHeight="1"/>
    <row r="52" spans="5:14" ht="9.6" customHeight="1"/>
    <row r="53" spans="5:14" ht="9.6" customHeight="1"/>
    <row r="54" spans="5:14" ht="9.6" customHeight="1"/>
    <row r="55" spans="5:14" ht="9.6" customHeight="1"/>
    <row r="56" spans="5:14" ht="9.6" customHeight="1"/>
    <row r="57" spans="5:14" ht="9.6" customHeight="1"/>
    <row r="58" spans="5:14" ht="9.6" customHeight="1"/>
    <row r="59" spans="5:14" ht="9.6" customHeight="1"/>
    <row r="60" spans="5:14" ht="9.6" customHeight="1"/>
    <row r="61" spans="5:14" ht="9.6" customHeight="1"/>
    <row r="62" spans="5:14" ht="9.6" customHeight="1"/>
    <row r="63" spans="5:14" ht="16.899999999999999" customHeight="1">
      <c r="I63" s="1525"/>
      <c r="J63" s="1526"/>
    </row>
    <row r="64" spans="5:14" ht="16.899999999999999" customHeight="1">
      <c r="E64" s="1520"/>
      <c r="F64" s="1520"/>
      <c r="G64" s="1522"/>
      <c r="H64" s="1525"/>
      <c r="I64" s="2565" t="s">
        <v>3511</v>
      </c>
      <c r="J64" s="2565"/>
      <c r="K64" s="1526"/>
      <c r="L64" s="1522"/>
      <c r="M64" s="1520"/>
      <c r="N64" s="1520"/>
    </row>
    <row r="65" spans="2:20" ht="16.899999999999999" customHeight="1">
      <c r="E65" s="1520"/>
      <c r="F65" s="1520"/>
      <c r="G65" s="1525"/>
      <c r="H65" s="1522"/>
      <c r="I65" s="1522"/>
      <c r="J65" s="1522"/>
      <c r="K65" s="1522"/>
      <c r="L65" s="1526"/>
      <c r="M65" s="1520"/>
      <c r="N65" s="1520"/>
    </row>
    <row r="66" spans="2:20" ht="16.899999999999999" customHeight="1">
      <c r="E66" s="1520"/>
      <c r="F66" s="1525"/>
      <c r="G66" s="2565" t="s">
        <v>3512</v>
      </c>
      <c r="H66" s="2565"/>
      <c r="I66" s="2565"/>
      <c r="J66" s="2565"/>
      <c r="K66" s="2565"/>
      <c r="L66" s="2565"/>
      <c r="M66" s="1526"/>
      <c r="N66" s="1520"/>
    </row>
    <row r="67" spans="2:20" ht="16.899999999999999" customHeight="1">
      <c r="E67" s="1525"/>
      <c r="F67" s="1520"/>
      <c r="G67" s="1523"/>
      <c r="H67" s="1523"/>
      <c r="I67" s="1523"/>
      <c r="J67" s="1523"/>
      <c r="K67" s="1523"/>
      <c r="L67" s="1523"/>
      <c r="M67" s="1520"/>
      <c r="N67" s="1526"/>
    </row>
    <row r="68" spans="2:20" ht="16.899999999999999" customHeight="1">
      <c r="D68" s="1525"/>
      <c r="E68" s="1520"/>
      <c r="F68" s="1520"/>
      <c r="G68" s="1522"/>
      <c r="H68" s="1522"/>
      <c r="I68" s="2565" t="s">
        <v>3513</v>
      </c>
      <c r="J68" s="2565"/>
      <c r="K68" s="1522"/>
      <c r="L68" s="1522"/>
      <c r="M68" s="1521"/>
      <c r="N68" s="1520"/>
      <c r="O68" s="1526"/>
    </row>
    <row r="69" spans="2:20" ht="16.899999999999999" customHeight="1">
      <c r="C69" s="1525"/>
      <c r="F69" s="1514"/>
      <c r="G69" s="1515"/>
      <c r="H69" s="1515"/>
      <c r="K69" s="1516"/>
      <c r="L69" s="1515"/>
      <c r="P69" s="1526"/>
    </row>
    <row r="70" spans="2:20" ht="16.899999999999999" customHeight="1">
      <c r="B70" s="454"/>
      <c r="C70" s="1527"/>
      <c r="D70" s="1515" t="s">
        <v>3543</v>
      </c>
      <c r="F70" s="1519"/>
      <c r="G70" s="1519"/>
      <c r="H70" s="1519"/>
      <c r="I70" s="1519"/>
      <c r="J70" s="1519"/>
      <c r="K70" s="1524"/>
      <c r="L70" s="1519"/>
      <c r="M70" s="1519"/>
      <c r="N70" s="1519"/>
      <c r="O70" s="1519"/>
      <c r="P70" s="1528"/>
      <c r="Q70" s="454"/>
    </row>
    <row r="71" spans="2:20" ht="16.899999999999999" customHeight="1">
      <c r="B71" s="454"/>
      <c r="C71" s="1527"/>
      <c r="D71" s="1515"/>
      <c r="F71" s="1519"/>
      <c r="G71" s="1519"/>
      <c r="H71" s="1519"/>
      <c r="I71" s="1519"/>
      <c r="J71" s="1519"/>
      <c r="K71" s="1524"/>
      <c r="L71" s="1519"/>
      <c r="M71" s="1519"/>
      <c r="N71" s="1519"/>
      <c r="O71" s="1519"/>
      <c r="P71" s="1528"/>
      <c r="Q71" s="454"/>
    </row>
    <row r="72" spans="2:20" ht="16.899999999999999" customHeight="1">
      <c r="B72" s="454"/>
      <c r="C72" s="1527"/>
      <c r="D72" s="1515" t="s">
        <v>3572</v>
      </c>
      <c r="F72" s="1519"/>
      <c r="G72" s="1519"/>
      <c r="H72" s="1519"/>
      <c r="I72" s="1519"/>
      <c r="J72" s="1519"/>
      <c r="K72" s="1524"/>
      <c r="L72" s="1519"/>
      <c r="M72" s="1519"/>
      <c r="N72" s="1519"/>
      <c r="O72" s="1519"/>
      <c r="P72" s="1528"/>
      <c r="Q72" s="454"/>
    </row>
    <row r="73" spans="2:20" ht="16.899999999999999" customHeight="1">
      <c r="B73" s="454"/>
      <c r="C73" s="1527"/>
      <c r="D73" s="1515"/>
      <c r="F73" s="1519"/>
      <c r="G73" s="1519"/>
      <c r="H73" s="1519"/>
      <c r="I73" s="1519"/>
      <c r="J73" s="1519"/>
      <c r="K73" s="1524"/>
      <c r="L73" s="1519"/>
      <c r="M73" s="1519"/>
      <c r="N73" s="1519"/>
      <c r="O73" s="1519"/>
      <c r="P73" s="1528"/>
      <c r="Q73" s="454"/>
      <c r="S73" t="s">
        <v>3571</v>
      </c>
    </row>
    <row r="74" spans="2:20" ht="16.899999999999999" customHeight="1">
      <c r="B74" s="454"/>
      <c r="C74" s="1527"/>
      <c r="D74" s="1515" t="s">
        <v>3573</v>
      </c>
      <c r="F74" s="1519"/>
      <c r="G74" s="1519"/>
      <c r="H74" s="1519"/>
      <c r="I74" s="1519"/>
      <c r="J74" s="1519"/>
      <c r="K74" s="1519"/>
      <c r="L74" s="1519"/>
      <c r="M74" s="1519"/>
      <c r="N74" s="1519"/>
      <c r="O74" s="1519"/>
      <c r="P74" s="1528"/>
      <c r="Q74" s="454"/>
    </row>
    <row r="75" spans="2:20" ht="16.899999999999999" customHeight="1">
      <c r="B75" s="454"/>
      <c r="C75" s="1527"/>
      <c r="D75" s="1515"/>
      <c r="F75" s="1519"/>
      <c r="G75" s="1519"/>
      <c r="H75" s="1519"/>
      <c r="I75" s="1519"/>
      <c r="J75" s="1519"/>
      <c r="K75" s="1519"/>
      <c r="L75" s="1519"/>
      <c r="M75" s="1519"/>
      <c r="N75" s="1519"/>
      <c r="O75" s="1519"/>
      <c r="P75" s="1528"/>
      <c r="Q75" s="454"/>
    </row>
    <row r="76" spans="2:20" ht="16.899999999999999" customHeight="1">
      <c r="B76" s="454"/>
      <c r="C76" s="1527"/>
      <c r="D76" s="1515" t="s">
        <v>3574</v>
      </c>
      <c r="F76" s="1519"/>
      <c r="G76" s="1519"/>
      <c r="H76" s="1519"/>
      <c r="I76" s="1519"/>
      <c r="J76" s="1519"/>
      <c r="K76" s="1519"/>
      <c r="L76" s="1519"/>
      <c r="M76" s="1519"/>
      <c r="N76" s="1519"/>
      <c r="O76" s="1519"/>
      <c r="P76" s="1528"/>
      <c r="Q76" s="454"/>
    </row>
    <row r="77" spans="2:20" ht="16.899999999999999" customHeight="1">
      <c r="B77" s="454"/>
      <c r="C77" s="1527"/>
      <c r="D77" s="1515"/>
      <c r="F77" s="1519"/>
      <c r="G77" s="1519"/>
      <c r="H77" s="1519"/>
      <c r="I77" s="1519"/>
      <c r="J77" s="1519"/>
      <c r="K77" s="1519"/>
      <c r="L77" s="1519"/>
      <c r="M77" s="1519"/>
      <c r="N77" s="1519"/>
      <c r="O77" s="1519"/>
      <c r="P77" s="1528"/>
      <c r="Q77" s="454"/>
      <c r="T77" t="s">
        <v>3575</v>
      </c>
    </row>
    <row r="78" spans="2:20" ht="16.899999999999999" customHeight="1">
      <c r="B78" s="454"/>
      <c r="C78" s="1527"/>
      <c r="D78" s="1515" t="s">
        <v>3576</v>
      </c>
      <c r="F78" s="1519"/>
      <c r="G78" s="1519"/>
      <c r="H78" s="1519"/>
      <c r="I78" s="1519"/>
      <c r="J78" s="1519"/>
      <c r="K78" s="1519"/>
      <c r="L78" s="1515" t="s">
        <v>3583</v>
      </c>
      <c r="M78" s="1519"/>
      <c r="N78" s="1519"/>
      <c r="O78" s="1519"/>
      <c r="P78" s="1528"/>
      <c r="Q78" s="454"/>
    </row>
    <row r="79" spans="2:20" ht="16.899999999999999" customHeight="1">
      <c r="B79" s="454"/>
      <c r="C79" s="1527"/>
      <c r="D79" s="1515"/>
      <c r="F79" s="1519"/>
      <c r="G79" s="1519"/>
      <c r="H79" s="1519"/>
      <c r="I79" s="1519"/>
      <c r="J79" s="1519"/>
      <c r="K79" s="1519"/>
      <c r="L79" s="1519"/>
      <c r="M79" s="1519"/>
      <c r="N79" s="1519"/>
      <c r="O79" s="1519"/>
      <c r="P79" s="1528"/>
      <c r="Q79" s="454"/>
    </row>
    <row r="80" spans="2:20" ht="16.899999999999999" customHeight="1">
      <c r="B80" s="454"/>
      <c r="C80" s="1527"/>
      <c r="D80" s="1515" t="s">
        <v>3577</v>
      </c>
      <c r="F80" s="1519"/>
      <c r="G80" s="1519"/>
      <c r="H80" s="1519"/>
      <c r="I80" s="1519"/>
      <c r="J80" s="1519"/>
      <c r="K80" s="1519"/>
      <c r="L80" s="1515" t="s">
        <v>3580</v>
      </c>
      <c r="M80" s="1519"/>
      <c r="N80" s="1519"/>
      <c r="O80" s="1519"/>
      <c r="P80" s="1528"/>
      <c r="Q80" s="454"/>
    </row>
    <row r="81" spans="2:19" ht="16.899999999999999" customHeight="1">
      <c r="B81" s="454"/>
      <c r="C81" s="1527"/>
      <c r="D81" s="1515"/>
      <c r="F81" s="1519"/>
      <c r="G81" s="1519"/>
      <c r="H81" s="1519"/>
      <c r="I81" s="1519"/>
      <c r="J81" s="1519"/>
      <c r="K81" s="1519"/>
      <c r="L81" s="1519"/>
      <c r="M81" s="1519"/>
      <c r="N81" s="1519"/>
      <c r="O81" s="1519"/>
      <c r="P81" s="1528"/>
      <c r="Q81" s="454"/>
    </row>
    <row r="82" spans="2:19" ht="16.899999999999999" customHeight="1">
      <c r="B82" s="454"/>
      <c r="C82" s="1527"/>
      <c r="D82" s="1515" t="s">
        <v>3578</v>
      </c>
      <c r="F82" s="1519"/>
      <c r="G82" s="1519"/>
      <c r="H82" s="1519"/>
      <c r="I82" s="1519"/>
      <c r="J82" s="1519"/>
      <c r="K82" s="1519"/>
      <c r="L82" s="1515" t="s">
        <v>3582</v>
      </c>
      <c r="M82" s="1519"/>
      <c r="N82" s="1519"/>
      <c r="O82" s="1519"/>
      <c r="P82" s="1528"/>
      <c r="Q82" s="454"/>
    </row>
    <row r="83" spans="2:19" ht="16.899999999999999" customHeight="1">
      <c r="B83" s="454"/>
      <c r="C83" s="1527"/>
      <c r="D83" s="1515"/>
      <c r="F83" s="1519"/>
      <c r="G83" s="1519"/>
      <c r="H83" s="1519"/>
      <c r="I83" s="1519"/>
      <c r="J83" s="1519"/>
      <c r="K83" s="1519"/>
      <c r="L83" s="1519"/>
      <c r="M83" s="1519"/>
      <c r="N83" s="1519"/>
      <c r="O83" s="1519"/>
      <c r="P83" s="1528"/>
      <c r="Q83" s="454"/>
    </row>
    <row r="84" spans="2:19" ht="16.899999999999999" customHeight="1">
      <c r="B84" s="454"/>
      <c r="C84" s="1527"/>
      <c r="D84" s="1515" t="s">
        <v>3579</v>
      </c>
      <c r="F84" s="1515"/>
      <c r="G84" s="1515"/>
      <c r="H84" s="1515"/>
      <c r="I84" s="1515"/>
      <c r="J84" s="1515"/>
      <c r="K84" s="1515"/>
      <c r="L84" s="1515" t="s">
        <v>3581</v>
      </c>
      <c r="M84" s="1515"/>
      <c r="N84" s="1519"/>
      <c r="O84" s="1519"/>
      <c r="P84" s="1528"/>
      <c r="Q84" s="454"/>
    </row>
    <row r="85" spans="2:19" ht="16.899999999999999" customHeight="1">
      <c r="B85" s="454"/>
      <c r="C85" s="1527"/>
      <c r="E85" s="1513"/>
      <c r="F85" s="1394"/>
      <c r="G85" s="1394"/>
      <c r="H85" s="1394"/>
      <c r="I85" s="1394"/>
      <c r="J85" s="1394"/>
      <c r="K85" s="1394"/>
      <c r="L85" s="1394"/>
      <c r="M85" s="1394"/>
      <c r="P85" s="1528"/>
      <c r="Q85" s="454"/>
    </row>
    <row r="86" spans="2:19" ht="16.899999999999999" customHeight="1">
      <c r="B86" s="454"/>
      <c r="C86" s="1527"/>
      <c r="F86" s="1394"/>
      <c r="G86" s="1394"/>
      <c r="H86" s="1394"/>
      <c r="I86" s="1394"/>
      <c r="J86" s="1394"/>
      <c r="K86" s="1394"/>
      <c r="L86" s="1394"/>
      <c r="M86" s="1394"/>
      <c r="P86" s="1528"/>
      <c r="Q86" s="454"/>
    </row>
    <row r="87" spans="2:19" ht="16.899999999999999" customHeight="1">
      <c r="B87" s="454"/>
      <c r="C87" s="2567" t="s">
        <v>3526</v>
      </c>
      <c r="D87" s="2568"/>
      <c r="E87" s="2568"/>
      <c r="F87" s="2568"/>
      <c r="G87" s="2568"/>
      <c r="H87" s="2568"/>
      <c r="I87" s="2568"/>
      <c r="J87" s="2568"/>
      <c r="K87" s="2568"/>
      <c r="L87" s="2568"/>
      <c r="M87" s="2568"/>
      <c r="N87" s="2568"/>
      <c r="O87" s="2568"/>
      <c r="P87" s="2569"/>
      <c r="Q87" s="454"/>
    </row>
    <row r="88" spans="2:19" ht="16.899999999999999" customHeight="1">
      <c r="B88" s="454"/>
      <c r="C88" s="2570" t="s">
        <v>3533</v>
      </c>
      <c r="D88" s="2571"/>
      <c r="E88" s="2571"/>
      <c r="F88" s="2571"/>
      <c r="G88" s="2571" t="s">
        <v>3534</v>
      </c>
      <c r="H88" s="2571"/>
      <c r="I88" s="2571"/>
      <c r="J88" s="2571" t="s">
        <v>3535</v>
      </c>
      <c r="K88" s="2571"/>
      <c r="L88" s="2571"/>
      <c r="M88" s="2571" t="s">
        <v>3536</v>
      </c>
      <c r="N88" s="2571"/>
      <c r="O88" s="2571"/>
      <c r="P88" s="2572"/>
      <c r="Q88" s="454"/>
    </row>
    <row r="89" spans="2:19" ht="16.899999999999999" customHeight="1">
      <c r="B89" s="454"/>
      <c r="C89" s="2559" t="s">
        <v>3540</v>
      </c>
      <c r="D89" s="2560"/>
      <c r="E89" s="2560"/>
      <c r="F89" s="2560"/>
      <c r="G89" s="2563">
        <v>333.5</v>
      </c>
      <c r="H89" s="2560"/>
      <c r="I89" s="2560"/>
      <c r="J89" s="2560" t="s">
        <v>3537</v>
      </c>
      <c r="K89" s="2560"/>
      <c r="L89" s="2560"/>
      <c r="M89" s="2561">
        <v>338</v>
      </c>
      <c r="N89" s="2560"/>
      <c r="O89" s="2560"/>
      <c r="P89" s="2562"/>
      <c r="Q89" s="454"/>
      <c r="S89">
        <v>333.5</v>
      </c>
    </row>
    <row r="90" spans="2:19" ht="16.899999999999999" customHeight="1">
      <c r="B90" s="454"/>
      <c r="C90" s="2559" t="s">
        <v>3541</v>
      </c>
      <c r="D90" s="2560"/>
      <c r="E90" s="2560"/>
      <c r="F90" s="2560"/>
      <c r="G90" s="2561">
        <v>430</v>
      </c>
      <c r="H90" s="2560"/>
      <c r="I90" s="2560"/>
      <c r="J90" s="2560" t="s">
        <v>3538</v>
      </c>
      <c r="K90" s="2560"/>
      <c r="L90" s="2560"/>
      <c r="M90" s="2561">
        <v>388</v>
      </c>
      <c r="N90" s="2560"/>
      <c r="O90" s="2560"/>
      <c r="P90" s="2562"/>
      <c r="Q90" s="454"/>
    </row>
    <row r="91" spans="2:19" ht="16.899999999999999" customHeight="1">
      <c r="B91" s="454"/>
      <c r="C91" s="2559" t="s">
        <v>3542</v>
      </c>
      <c r="D91" s="2560"/>
      <c r="E91" s="2560"/>
      <c r="F91" s="2560"/>
      <c r="G91" s="2563">
        <v>575</v>
      </c>
      <c r="H91" s="2560"/>
      <c r="I91" s="2560"/>
      <c r="J91" s="2560" t="s">
        <v>3539</v>
      </c>
      <c r="K91" s="2560"/>
      <c r="L91" s="2560"/>
      <c r="M91" s="2561">
        <v>448</v>
      </c>
      <c r="N91" s="2560"/>
      <c r="O91" s="2560"/>
      <c r="P91" s="2562"/>
      <c r="Q91" s="454"/>
    </row>
    <row r="92" spans="2:19" ht="16.899999999999999" customHeight="1">
      <c r="B92" s="454"/>
      <c r="C92" s="1533"/>
      <c r="D92" s="1534"/>
      <c r="E92" s="1534"/>
      <c r="F92" s="1534"/>
      <c r="G92" s="1534"/>
      <c r="H92" s="1534"/>
      <c r="I92" s="1534"/>
      <c r="J92" s="1534"/>
      <c r="K92" s="1534"/>
      <c r="L92" s="1534"/>
      <c r="M92" s="1535"/>
      <c r="N92" s="1534"/>
      <c r="O92" s="1534"/>
      <c r="P92" s="1536"/>
      <c r="Q92" s="454"/>
    </row>
    <row r="93" spans="2:19" ht="23.45" customHeight="1">
      <c r="B93" s="454"/>
      <c r="C93" s="1554" t="s">
        <v>3544</v>
      </c>
      <c r="D93" s="412"/>
      <c r="E93" s="412"/>
      <c r="F93" s="1531"/>
      <c r="G93" s="1531"/>
      <c r="H93" s="1531"/>
      <c r="I93" s="1531"/>
      <c r="J93" s="1531"/>
      <c r="K93" s="1531"/>
      <c r="L93" s="1531"/>
      <c r="M93" s="1531"/>
      <c r="N93" s="412"/>
      <c r="O93" s="412"/>
      <c r="P93" s="1532"/>
      <c r="Q93" s="454"/>
    </row>
    <row r="94" spans="2:19" ht="23.45" customHeight="1">
      <c r="B94" s="454"/>
      <c r="C94" s="1555" t="s">
        <v>3545</v>
      </c>
      <c r="F94" s="1394"/>
      <c r="G94" s="1394"/>
      <c r="I94" s="1394"/>
      <c r="J94" s="1394"/>
      <c r="L94" s="1394"/>
      <c r="M94" s="1394"/>
      <c r="P94" s="1528"/>
      <c r="Q94" s="454"/>
    </row>
    <row r="95" spans="2:19" ht="23.45" customHeight="1">
      <c r="B95" s="454"/>
      <c r="C95" s="1555" t="s">
        <v>3546</v>
      </c>
      <c r="E95" s="1513"/>
      <c r="F95" s="1394"/>
      <c r="G95" s="1394"/>
      <c r="H95" s="1394"/>
      <c r="I95" s="1394"/>
      <c r="J95" s="1394"/>
      <c r="K95" s="1394"/>
      <c r="L95" s="1394"/>
      <c r="M95" s="1394"/>
      <c r="P95" s="1528"/>
      <c r="Q95" s="454"/>
    </row>
    <row r="96" spans="2:19" ht="23.45" customHeight="1">
      <c r="B96" s="454"/>
      <c r="C96" s="1555" t="s">
        <v>3547</v>
      </c>
      <c r="E96" s="1513"/>
      <c r="F96" s="1394"/>
      <c r="G96" s="1394"/>
      <c r="H96" s="1394"/>
      <c r="I96" s="1394"/>
      <c r="J96" s="1394"/>
      <c r="K96" s="1394"/>
      <c r="L96" s="1394"/>
      <c r="M96" s="1394"/>
      <c r="P96" s="1528"/>
      <c r="Q96" s="454"/>
    </row>
    <row r="97" spans="2:17" ht="23.45" customHeight="1">
      <c r="B97" s="454"/>
      <c r="C97" s="1555" t="s">
        <v>3548</v>
      </c>
      <c r="E97" s="1513"/>
      <c r="F97" s="1394"/>
      <c r="G97" s="1394"/>
      <c r="H97" s="1394"/>
      <c r="I97" s="1394"/>
      <c r="J97" s="1394"/>
      <c r="K97" s="1394"/>
      <c r="L97" s="1394"/>
      <c r="M97" s="1394"/>
      <c r="P97" s="1528"/>
      <c r="Q97" s="454"/>
    </row>
    <row r="98" spans="2:17" ht="23.45" customHeight="1">
      <c r="B98" s="454"/>
      <c r="C98" s="1555" t="s">
        <v>3549</v>
      </c>
      <c r="E98" s="1513"/>
      <c r="F98" s="1394"/>
      <c r="G98" s="1394"/>
      <c r="H98" s="1394"/>
      <c r="I98" s="1394"/>
      <c r="J98" s="1394"/>
      <c r="K98" s="1394"/>
      <c r="L98" s="1394"/>
      <c r="M98" s="1394"/>
      <c r="P98" s="1528"/>
      <c r="Q98" s="454"/>
    </row>
    <row r="99" spans="2:17" ht="23.45" customHeight="1">
      <c r="B99" s="454"/>
      <c r="C99" s="1555" t="s">
        <v>3550</v>
      </c>
      <c r="E99" s="1513"/>
      <c r="F99" s="1394"/>
      <c r="G99" s="1394"/>
      <c r="H99" s="1394"/>
      <c r="I99" s="1394"/>
      <c r="J99" s="1394"/>
      <c r="K99" s="1394"/>
      <c r="L99" s="1394"/>
      <c r="M99" s="1394"/>
      <c r="P99" s="1528"/>
      <c r="Q99" s="454"/>
    </row>
    <row r="100" spans="2:17" ht="23.45" customHeight="1">
      <c r="B100" s="454"/>
      <c r="C100" s="1555" t="s">
        <v>3551</v>
      </c>
      <c r="P100" s="1528"/>
      <c r="Q100" s="454"/>
    </row>
    <row r="101" spans="2:17" ht="23.45" customHeight="1">
      <c r="B101" s="454"/>
      <c r="C101" s="1555" t="s">
        <v>3552</v>
      </c>
      <c r="P101" s="1528"/>
      <c r="Q101" s="454"/>
    </row>
    <row r="102" spans="2:17" ht="23.45" customHeight="1" thickBot="1">
      <c r="B102" s="454"/>
      <c r="C102" s="1556" t="s">
        <v>3553</v>
      </c>
      <c r="D102" s="1529"/>
      <c r="E102" s="1529"/>
      <c r="F102" s="1529"/>
      <c r="G102" s="1529"/>
      <c r="H102" s="1529"/>
      <c r="I102" s="1529"/>
      <c r="J102" s="1529"/>
      <c r="K102" s="1529"/>
      <c r="L102" s="1529"/>
      <c r="M102" s="1529"/>
      <c r="N102" s="1529"/>
      <c r="O102" s="1529"/>
      <c r="P102" s="1530"/>
      <c r="Q102" s="454"/>
    </row>
    <row r="103" spans="2:17" ht="3" customHeight="1" thickTop="1">
      <c r="B103" s="454"/>
      <c r="C103" s="454"/>
      <c r="D103" s="454"/>
      <c r="E103" s="454"/>
      <c r="F103" s="454"/>
      <c r="G103" s="454"/>
      <c r="H103" s="454"/>
      <c r="I103" s="454"/>
      <c r="J103" s="454"/>
      <c r="K103" s="454"/>
      <c r="L103" s="454"/>
      <c r="M103" s="454"/>
      <c r="N103" s="454"/>
      <c r="O103" s="454"/>
      <c r="P103" s="454"/>
      <c r="Q103" s="454"/>
    </row>
    <row r="119" spans="3:14">
      <c r="C119" s="1557" t="s">
        <v>3511</v>
      </c>
      <c r="D119" s="1557"/>
      <c r="E119" s="1557"/>
      <c r="F119" s="1557"/>
      <c r="G119" s="1557"/>
      <c r="H119" s="1557"/>
      <c r="I119" s="1557"/>
      <c r="J119" s="1557"/>
      <c r="K119" s="1557"/>
      <c r="L119" s="1557"/>
      <c r="M119" s="1557"/>
      <c r="N119" s="1557"/>
    </row>
    <row r="120" spans="3:14">
      <c r="C120" s="1557" t="s">
        <v>3512</v>
      </c>
      <c r="D120" s="1557"/>
      <c r="E120" s="1557"/>
      <c r="F120" s="1557"/>
      <c r="G120" s="1557"/>
      <c r="H120" s="1557"/>
      <c r="I120" s="1557"/>
      <c r="J120" s="1557"/>
      <c r="K120" s="1557"/>
      <c r="L120" s="1557"/>
      <c r="M120" s="1557"/>
      <c r="N120" s="1557"/>
    </row>
    <row r="121" spans="3:14">
      <c r="C121" s="1557" t="s">
        <v>3513</v>
      </c>
      <c r="D121" s="1557"/>
      <c r="E121" s="1557"/>
      <c r="F121" s="1557"/>
      <c r="G121" s="1557"/>
      <c r="H121" s="1557"/>
      <c r="I121" s="1557"/>
      <c r="J121" s="1557"/>
      <c r="K121" s="1557"/>
      <c r="L121" s="1557"/>
      <c r="M121" s="1557"/>
      <c r="N121" s="1557"/>
    </row>
    <row r="122" spans="3:14">
      <c r="C122" s="1557" t="s">
        <v>3514</v>
      </c>
      <c r="D122" s="1557"/>
      <c r="E122" s="1557"/>
      <c r="F122" s="1557"/>
      <c r="G122" s="1557"/>
      <c r="H122" s="1557"/>
      <c r="I122" s="1557"/>
      <c r="J122" s="1557"/>
      <c r="K122" s="1557"/>
      <c r="L122" s="1557"/>
      <c r="M122" s="1557"/>
      <c r="N122" s="1557"/>
    </row>
    <row r="123" spans="3:14">
      <c r="C123" s="1557" t="s">
        <v>3515</v>
      </c>
      <c r="D123" s="1557"/>
      <c r="E123" s="1557"/>
      <c r="F123" s="1557"/>
      <c r="G123" s="1557"/>
      <c r="H123" s="1557"/>
      <c r="I123" s="1557"/>
      <c r="J123" s="1557"/>
      <c r="K123" s="1557"/>
      <c r="L123" s="1557"/>
      <c r="M123" s="1557"/>
      <c r="N123" s="1557"/>
    </row>
    <row r="124" spans="3:14">
      <c r="C124" s="1557" t="s">
        <v>3516</v>
      </c>
      <c r="D124" s="1557"/>
      <c r="E124" s="1557"/>
      <c r="F124" s="1557"/>
      <c r="G124" s="1557"/>
      <c r="H124" s="1557"/>
      <c r="I124" s="1557"/>
      <c r="J124" s="1557"/>
      <c r="K124" s="1557"/>
      <c r="L124" s="1557"/>
      <c r="M124" s="1557"/>
      <c r="N124" s="1557"/>
    </row>
    <row r="125" spans="3:14">
      <c r="C125" s="1557" t="s">
        <v>3517</v>
      </c>
      <c r="D125" s="1557"/>
      <c r="E125" s="1557"/>
      <c r="F125" s="1557"/>
      <c r="G125" s="1557"/>
      <c r="H125" s="1557"/>
      <c r="I125" s="1557"/>
      <c r="J125" s="1557"/>
      <c r="K125" s="1557"/>
      <c r="L125" s="1557"/>
      <c r="M125" s="1557"/>
      <c r="N125" s="1557"/>
    </row>
    <row r="126" spans="3:14">
      <c r="C126" s="1557" t="s">
        <v>3518</v>
      </c>
      <c r="D126" s="1557"/>
      <c r="E126" s="1557"/>
      <c r="F126" s="1557"/>
      <c r="G126" s="1557"/>
      <c r="H126" s="1557"/>
      <c r="I126" s="1557"/>
      <c r="J126" s="1557"/>
      <c r="K126" s="1557"/>
      <c r="L126" s="1557"/>
      <c r="M126" s="1557"/>
      <c r="N126" s="1557"/>
    </row>
    <row r="127" spans="3:14">
      <c r="C127" s="1557" t="s">
        <v>3519</v>
      </c>
      <c r="D127" s="1557"/>
      <c r="E127" s="1557"/>
      <c r="F127" s="1557"/>
      <c r="G127" s="1557"/>
      <c r="H127" s="1557"/>
      <c r="I127" s="1557"/>
      <c r="J127" s="1557"/>
      <c r="K127" s="1557"/>
      <c r="L127" s="1557"/>
      <c r="M127" s="1557"/>
      <c r="N127" s="1557"/>
    </row>
    <row r="128" spans="3:14">
      <c r="C128" s="1557" t="s">
        <v>3520</v>
      </c>
      <c r="D128" s="1557"/>
      <c r="E128" s="1557"/>
      <c r="F128" s="1557"/>
      <c r="G128" s="1557"/>
      <c r="H128" s="1557"/>
      <c r="I128" s="1557"/>
      <c r="J128" s="1557"/>
      <c r="K128" s="1557"/>
      <c r="L128" s="1557"/>
      <c r="M128" s="1557"/>
      <c r="N128" s="1557"/>
    </row>
    <row r="129" spans="3:14">
      <c r="C129" s="1557" t="s">
        <v>3521</v>
      </c>
      <c r="D129" s="1557"/>
      <c r="E129" s="1557"/>
      <c r="F129" s="1557"/>
      <c r="G129" s="1557"/>
      <c r="H129" s="1557"/>
      <c r="I129" s="1557"/>
      <c r="J129" s="1557"/>
      <c r="K129" s="1557"/>
      <c r="L129" s="1557"/>
      <c r="M129" s="1557"/>
      <c r="N129" s="1557"/>
    </row>
    <row r="130" spans="3:14">
      <c r="C130" s="1557" t="s">
        <v>3522</v>
      </c>
      <c r="D130" s="1557"/>
      <c r="E130" s="1557"/>
      <c r="F130" s="1557"/>
      <c r="G130" s="1557"/>
      <c r="H130" s="1557"/>
      <c r="I130" s="1557"/>
      <c r="J130" s="1557"/>
      <c r="K130" s="1557"/>
      <c r="L130" s="1557"/>
      <c r="M130" s="1557"/>
      <c r="N130" s="1557"/>
    </row>
    <row r="131" spans="3:14">
      <c r="C131" s="1557" t="s">
        <v>3523</v>
      </c>
      <c r="D131" s="1557"/>
      <c r="E131" s="1557"/>
      <c r="F131" s="1557"/>
      <c r="G131" s="1557"/>
      <c r="H131" s="1557"/>
      <c r="I131" s="1557"/>
      <c r="J131" s="1557"/>
      <c r="K131" s="1557"/>
      <c r="L131" s="1557"/>
      <c r="M131" s="1557"/>
      <c r="N131" s="1557"/>
    </row>
    <row r="132" spans="3:14">
      <c r="C132" s="1557" t="s">
        <v>3524</v>
      </c>
      <c r="D132" s="1557"/>
      <c r="E132" s="1557"/>
      <c r="F132" s="1557"/>
      <c r="G132" s="1557"/>
      <c r="H132" s="1557"/>
      <c r="I132" s="1557"/>
      <c r="J132" s="1557"/>
      <c r="K132" s="1557"/>
      <c r="L132" s="1557"/>
      <c r="M132" s="1557"/>
      <c r="N132" s="1557"/>
    </row>
    <row r="133" spans="3:14">
      <c r="C133" s="1557" t="s">
        <v>3525</v>
      </c>
      <c r="D133" s="1557"/>
      <c r="E133" s="1557"/>
      <c r="F133" s="1557"/>
      <c r="G133" s="1557"/>
      <c r="H133" s="1557"/>
      <c r="I133" s="1557"/>
      <c r="J133" s="1557"/>
      <c r="K133" s="1557"/>
      <c r="L133" s="1557"/>
      <c r="M133" s="1557"/>
      <c r="N133" s="1557"/>
    </row>
    <row r="134" spans="3:14">
      <c r="C134" s="1557" t="s">
        <v>3526</v>
      </c>
      <c r="D134" s="1557"/>
      <c r="E134" s="1557"/>
      <c r="F134" s="1557"/>
      <c r="G134" s="1557"/>
      <c r="H134" s="1557"/>
      <c r="I134" s="1557"/>
      <c r="J134" s="1557"/>
      <c r="K134" s="1557"/>
      <c r="L134" s="1557"/>
      <c r="M134" s="1557"/>
      <c r="N134" s="1557"/>
    </row>
    <row r="135" spans="3:14">
      <c r="C135" s="1557" t="s">
        <v>3527</v>
      </c>
      <c r="D135" s="1557"/>
      <c r="E135" s="1557"/>
      <c r="F135" s="1557"/>
      <c r="G135" s="1557"/>
      <c r="H135" s="1557"/>
      <c r="I135" s="1557"/>
      <c r="J135" s="1557"/>
      <c r="K135" s="1557"/>
      <c r="L135" s="1557"/>
      <c r="M135" s="1557"/>
      <c r="N135" s="1557"/>
    </row>
    <row r="136" spans="3:14">
      <c r="C136" s="1557" t="s">
        <v>3528</v>
      </c>
      <c r="D136" s="1557"/>
      <c r="E136" s="1557"/>
      <c r="F136" s="1557"/>
      <c r="G136" s="1557"/>
      <c r="H136" s="1557"/>
      <c r="I136" s="1557"/>
      <c r="J136" s="1557"/>
      <c r="K136" s="1557"/>
      <c r="L136" s="1557"/>
      <c r="M136" s="1557"/>
      <c r="N136" s="1557"/>
    </row>
    <row r="137" spans="3:14">
      <c r="C137" s="1557" t="s">
        <v>3529</v>
      </c>
      <c r="D137" s="1557"/>
      <c r="E137" s="1557"/>
      <c r="F137" s="1557"/>
      <c r="G137" s="1557"/>
      <c r="H137" s="1557"/>
      <c r="I137" s="1557"/>
      <c r="J137" s="1557"/>
      <c r="K137" s="1557"/>
      <c r="L137" s="1557"/>
      <c r="M137" s="1557"/>
      <c r="N137" s="1557"/>
    </row>
    <row r="138" spans="3:14">
      <c r="C138" s="1557" t="s">
        <v>3530</v>
      </c>
      <c r="D138" s="1557"/>
      <c r="E138" s="1557"/>
      <c r="F138" s="1557"/>
      <c r="G138" s="1557"/>
      <c r="H138" s="1557"/>
      <c r="I138" s="1557"/>
      <c r="J138" s="1557"/>
      <c r="K138" s="1557"/>
      <c r="L138" s="1557"/>
      <c r="M138" s="1557"/>
      <c r="N138" s="1557"/>
    </row>
    <row r="141" spans="3:14">
      <c r="C141" t="s">
        <v>3544</v>
      </c>
    </row>
    <row r="142" spans="3:14">
      <c r="C142" t="s">
        <v>3545</v>
      </c>
    </row>
    <row r="143" spans="3:14">
      <c r="C143" t="s">
        <v>3546</v>
      </c>
    </row>
    <row r="144" spans="3:14">
      <c r="C144" t="s">
        <v>3547</v>
      </c>
    </row>
    <row r="145" spans="3:3">
      <c r="C145" t="s">
        <v>3548</v>
      </c>
    </row>
    <row r="146" spans="3:3">
      <c r="C146" t="s">
        <v>3549</v>
      </c>
    </row>
    <row r="147" spans="3:3">
      <c r="C147" t="s">
        <v>3550</v>
      </c>
    </row>
    <row r="148" spans="3:3">
      <c r="C148" t="s">
        <v>3551</v>
      </c>
    </row>
    <row r="149" spans="3:3">
      <c r="C149" t="s">
        <v>3552</v>
      </c>
    </row>
    <row r="150" spans="3:3">
      <c r="C150" t="s">
        <v>3553</v>
      </c>
    </row>
  </sheetData>
  <mergeCells count="23">
    <mergeCell ref="C89:F89"/>
    <mergeCell ref="G89:I89"/>
    <mergeCell ref="J89:L89"/>
    <mergeCell ref="M89:P89"/>
    <mergeCell ref="H3:K3"/>
    <mergeCell ref="F5:M5"/>
    <mergeCell ref="I6:J7"/>
    <mergeCell ref="I64:J64"/>
    <mergeCell ref="G66:L66"/>
    <mergeCell ref="I68:J68"/>
    <mergeCell ref="C87:P87"/>
    <mergeCell ref="C88:F88"/>
    <mergeCell ref="G88:I88"/>
    <mergeCell ref="J88:L88"/>
    <mergeCell ref="M88:P88"/>
    <mergeCell ref="C90:F90"/>
    <mergeCell ref="G90:I90"/>
    <mergeCell ref="J90:L90"/>
    <mergeCell ref="M90:P90"/>
    <mergeCell ref="C91:F91"/>
    <mergeCell ref="G91:I91"/>
    <mergeCell ref="J91:L91"/>
    <mergeCell ref="M91:P91"/>
  </mergeCells>
  <pageMargins left="0.45" right="0.2" top="0.5" bottom="0.5" header="0.3" footer="0.3"/>
  <pageSetup paperSize="9" scale="80" orientation="portrait" verticalDpi="4294967295" r:id="rId1"/>
  <drawing r:id="rId2"/>
</worksheet>
</file>

<file path=xl/worksheets/sheet40.xml><?xml version="1.0" encoding="utf-8"?>
<worksheet xmlns="http://schemas.openxmlformats.org/spreadsheetml/2006/main" xmlns:r="http://schemas.openxmlformats.org/officeDocument/2006/relationships">
  <sheetPr>
    <tabColor rgb="FF00B050"/>
  </sheetPr>
  <dimension ref="A1:P45"/>
  <sheetViews>
    <sheetView view="pageBreakPreview" zoomScaleSheetLayoutView="100" workbookViewId="0">
      <selection activeCell="H13" sqref="H13"/>
    </sheetView>
  </sheetViews>
  <sheetFormatPr defaultColWidth="8.85546875" defaultRowHeight="15.75"/>
  <cols>
    <col min="1" max="6" width="8.85546875" style="678"/>
    <col min="7" max="10" width="8.28515625" style="678" customWidth="1"/>
    <col min="11" max="15" width="8.85546875" style="678"/>
    <col min="16" max="16" width="10" style="678" bestFit="1" customWidth="1"/>
    <col min="17" max="16384" width="8.85546875" style="678"/>
  </cols>
  <sheetData>
    <row r="1" spans="1:10" ht="18">
      <c r="A1" s="3563" t="e">
        <f>#REF!</f>
        <v>#REF!</v>
      </c>
      <c r="B1" s="3563"/>
      <c r="C1" s="3563"/>
      <c r="D1" s="3563"/>
      <c r="E1" s="3563"/>
      <c r="F1" s="3563"/>
      <c r="G1" s="3563"/>
      <c r="H1" s="3563"/>
      <c r="I1" s="3563"/>
      <c r="J1" s="3563"/>
    </row>
    <row r="2" spans="1:10">
      <c r="B2" s="1270"/>
      <c r="C2" s="1270"/>
      <c r="D2" s="1270"/>
      <c r="E2" s="1270"/>
      <c r="F2" s="1270"/>
      <c r="G2" s="1270"/>
      <c r="H2" s="1270"/>
      <c r="I2" s="1270"/>
    </row>
    <row r="3" spans="1:10" ht="21" customHeight="1">
      <c r="A3" s="1271" t="str">
        <f>'Lead &amp; ANALYSIS'!A2:C2</f>
        <v>NAME OF THE WORK:-</v>
      </c>
      <c r="B3" s="1272"/>
      <c r="C3" s="1272"/>
      <c r="D3" s="1272" t="str">
        <f>'Lead &amp; ANALYSIS'!D2</f>
        <v>Dining Hall of Damasal School</v>
      </c>
      <c r="E3" s="1272"/>
      <c r="F3" s="1272"/>
      <c r="G3" s="1272"/>
      <c r="H3" s="1272"/>
      <c r="I3" s="1272"/>
      <c r="J3" s="1273"/>
    </row>
    <row r="4" spans="1:10" ht="21" customHeight="1">
      <c r="A4" s="1274" t="str">
        <f>'Lead &amp; ANALYSIS'!A3:C3</f>
        <v>NAME OF THE G.P.:-</v>
      </c>
      <c r="B4" s="1275"/>
      <c r="C4" s="1275"/>
      <c r="D4" s="1275" t="str">
        <f>'Lead &amp; ANALYSIS'!D3</f>
        <v>Odisha</v>
      </c>
      <c r="E4" s="1275"/>
      <c r="F4" s="1275"/>
      <c r="G4" s="1275"/>
      <c r="H4" s="1275"/>
      <c r="I4" s="1275"/>
      <c r="J4" s="1276"/>
    </row>
    <row r="5" spans="1:10" ht="21" customHeight="1">
      <c r="A5" s="1274" t="str">
        <f>'Lead &amp; ANALYSIS'!A4:C4</f>
        <v>NAME OF THE SCHEME:-</v>
      </c>
      <c r="B5" s="1275"/>
      <c r="C5" s="1275"/>
      <c r="D5" s="1275">
        <f>'Lead &amp; ANALYSIS'!D4</f>
        <v>0</v>
      </c>
      <c r="E5" s="1275"/>
      <c r="F5" s="1275"/>
      <c r="G5" s="1275"/>
      <c r="H5" s="1275"/>
      <c r="I5" s="1275"/>
      <c r="J5" s="1276"/>
    </row>
    <row r="6" spans="1:10" ht="21" customHeight="1">
      <c r="A6" s="1277"/>
      <c r="B6" s="1278"/>
      <c r="C6" s="1278"/>
      <c r="D6" s="1278"/>
      <c r="E6" s="1278"/>
      <c r="F6" s="1278"/>
      <c r="G6" s="1278"/>
      <c r="H6" s="1278"/>
      <c r="I6" s="1278"/>
      <c r="J6" s="1279"/>
    </row>
    <row r="7" spans="1:10" ht="30.6" customHeight="1">
      <c r="A7" s="1280" t="s">
        <v>1510</v>
      </c>
      <c r="B7" s="3550" t="s">
        <v>1627</v>
      </c>
      <c r="C7" s="3550"/>
      <c r="D7" s="3550"/>
      <c r="E7" s="3550"/>
      <c r="F7" s="3550"/>
      <c r="G7" s="3550" t="s">
        <v>709</v>
      </c>
      <c r="H7" s="3550"/>
      <c r="I7" s="3564" t="s">
        <v>2074</v>
      </c>
      <c r="J7" s="3565"/>
    </row>
    <row r="8" spans="1:10" ht="21" customHeight="1">
      <c r="A8" s="1280">
        <v>1</v>
      </c>
      <c r="B8" s="3550" t="s">
        <v>2</v>
      </c>
      <c r="C8" s="3550"/>
      <c r="D8" s="3550"/>
      <c r="E8" s="3550"/>
      <c r="F8" s="3550"/>
      <c r="G8" s="3551" t="e">
        <f>#REF!</f>
        <v>#REF!</v>
      </c>
      <c r="H8" s="3551"/>
      <c r="I8" s="3560" t="s">
        <v>2075</v>
      </c>
      <c r="J8" s="3560"/>
    </row>
    <row r="9" spans="1:10" ht="21" customHeight="1">
      <c r="A9" s="1280">
        <v>2</v>
      </c>
      <c r="B9" s="3550" t="s">
        <v>26</v>
      </c>
      <c r="C9" s="3550"/>
      <c r="D9" s="3550"/>
      <c r="E9" s="3550"/>
      <c r="F9" s="3550"/>
      <c r="G9" s="3551" t="e">
        <f>#REF!</f>
        <v>#REF!</v>
      </c>
      <c r="H9" s="3551"/>
      <c r="I9" s="3561" t="s">
        <v>3010</v>
      </c>
      <c r="J9" s="3562"/>
    </row>
    <row r="10" spans="1:10" ht="21" customHeight="1">
      <c r="A10" s="1280">
        <v>3</v>
      </c>
      <c r="B10" s="3550" t="s">
        <v>1883</v>
      </c>
      <c r="C10" s="3550"/>
      <c r="D10" s="3550"/>
      <c r="E10" s="3550"/>
      <c r="F10" s="3550"/>
      <c r="G10" s="3551" t="e">
        <f>#REF!</f>
        <v>#REF!</v>
      </c>
      <c r="H10" s="3551"/>
      <c r="I10" s="1281"/>
      <c r="J10" s="1282"/>
    </row>
    <row r="11" spans="1:10" ht="21" customHeight="1">
      <c r="A11" s="687"/>
      <c r="B11" s="3550" t="s">
        <v>1532</v>
      </c>
      <c r="C11" s="3550"/>
      <c r="D11" s="3550"/>
      <c r="E11" s="3550"/>
      <c r="F11" s="3550"/>
      <c r="G11" s="3551" t="e">
        <f>SUM(G8:H10)</f>
        <v>#REF!</v>
      </c>
      <c r="H11" s="3551"/>
      <c r="I11" s="3553"/>
      <c r="J11" s="3553"/>
    </row>
    <row r="18" spans="2:2">
      <c r="B18" s="1400" t="e">
        <f>'Vendor &amp; Labour Statement'!B17</f>
        <v>#REF!</v>
      </c>
    </row>
    <row r="19" spans="2:2">
      <c r="B19" s="1400" t="e">
        <f>'Vendor &amp; Labour Statement'!B18</f>
        <v>#REF!</v>
      </c>
    </row>
    <row r="42" spans="5:16">
      <c r="E42" s="679"/>
    </row>
    <row r="45" spans="5:16">
      <c r="P45" s="678">
        <v>154896585</v>
      </c>
    </row>
  </sheetData>
  <mergeCells count="15">
    <mergeCell ref="B11:F11"/>
    <mergeCell ref="G11:H11"/>
    <mergeCell ref="I11:J11"/>
    <mergeCell ref="B9:F9"/>
    <mergeCell ref="G9:H9"/>
    <mergeCell ref="I9:J9"/>
    <mergeCell ref="B10:F10"/>
    <mergeCell ref="G10:H10"/>
    <mergeCell ref="A1:J1"/>
    <mergeCell ref="B7:F7"/>
    <mergeCell ref="G7:H7"/>
    <mergeCell ref="I7:J7"/>
    <mergeCell ref="B8:F8"/>
    <mergeCell ref="G8:H8"/>
    <mergeCell ref="I8:J8"/>
  </mergeCells>
  <pageMargins left="0.70866141732283472" right="0.51181102362204722" top="0.74803149606299213" bottom="0.74803149606299213"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sheetPr>
    <tabColor rgb="FF00B050"/>
  </sheetPr>
  <dimension ref="A1:P74"/>
  <sheetViews>
    <sheetView view="pageBreakPreview" topLeftCell="B7" zoomScale="110" zoomScaleSheetLayoutView="110" workbookViewId="0">
      <selection activeCell="N13" sqref="N13"/>
    </sheetView>
  </sheetViews>
  <sheetFormatPr defaultColWidth="9.140625" defaultRowHeight="12.75"/>
  <cols>
    <col min="1" max="1" width="8.85546875" style="699" customWidth="1"/>
    <col min="2" max="2" width="18.85546875" style="699" customWidth="1"/>
    <col min="3" max="4" width="9.140625" style="699"/>
    <col min="5" max="11" width="12.140625" style="699" customWidth="1"/>
    <col min="12" max="12" width="7.7109375" style="699" customWidth="1"/>
    <col min="13" max="16" width="12.140625" style="699" customWidth="1"/>
    <col min="17" max="256" width="9.140625" style="699"/>
    <col min="257" max="257" width="8.85546875" style="699" customWidth="1"/>
    <col min="258" max="258" width="18.85546875" style="699" customWidth="1"/>
    <col min="259" max="260" width="9.140625" style="699"/>
    <col min="261" max="272" width="12.140625" style="699" customWidth="1"/>
    <col min="273" max="512" width="9.140625" style="699"/>
    <col min="513" max="513" width="8.85546875" style="699" customWidth="1"/>
    <col min="514" max="514" width="18.85546875" style="699" customWidth="1"/>
    <col min="515" max="516" width="9.140625" style="699"/>
    <col min="517" max="528" width="12.140625" style="699" customWidth="1"/>
    <col min="529" max="768" width="9.140625" style="699"/>
    <col min="769" max="769" width="8.85546875" style="699" customWidth="1"/>
    <col min="770" max="770" width="18.85546875" style="699" customWidth="1"/>
    <col min="771" max="772" width="9.140625" style="699"/>
    <col min="773" max="784" width="12.140625" style="699" customWidth="1"/>
    <col min="785" max="1024" width="9.140625" style="699"/>
    <col min="1025" max="1025" width="8.85546875" style="699" customWidth="1"/>
    <col min="1026" max="1026" width="18.85546875" style="699" customWidth="1"/>
    <col min="1027" max="1028" width="9.140625" style="699"/>
    <col min="1029" max="1040" width="12.140625" style="699" customWidth="1"/>
    <col min="1041" max="1280" width="9.140625" style="699"/>
    <col min="1281" max="1281" width="8.85546875" style="699" customWidth="1"/>
    <col min="1282" max="1282" width="18.85546875" style="699" customWidth="1"/>
    <col min="1283" max="1284" width="9.140625" style="699"/>
    <col min="1285" max="1296" width="12.140625" style="699" customWidth="1"/>
    <col min="1297" max="1536" width="9.140625" style="699"/>
    <col min="1537" max="1537" width="8.85546875" style="699" customWidth="1"/>
    <col min="1538" max="1538" width="18.85546875" style="699" customWidth="1"/>
    <col min="1539" max="1540" width="9.140625" style="699"/>
    <col min="1541" max="1552" width="12.140625" style="699" customWidth="1"/>
    <col min="1553" max="1792" width="9.140625" style="699"/>
    <col min="1793" max="1793" width="8.85546875" style="699" customWidth="1"/>
    <col min="1794" max="1794" width="18.85546875" style="699" customWidth="1"/>
    <col min="1795" max="1796" width="9.140625" style="699"/>
    <col min="1797" max="1808" width="12.140625" style="699" customWidth="1"/>
    <col min="1809" max="2048" width="9.140625" style="699"/>
    <col min="2049" max="2049" width="8.85546875" style="699" customWidth="1"/>
    <col min="2050" max="2050" width="18.85546875" style="699" customWidth="1"/>
    <col min="2051" max="2052" width="9.140625" style="699"/>
    <col min="2053" max="2064" width="12.140625" style="699" customWidth="1"/>
    <col min="2065" max="2304" width="9.140625" style="699"/>
    <col min="2305" max="2305" width="8.85546875" style="699" customWidth="1"/>
    <col min="2306" max="2306" width="18.85546875" style="699" customWidth="1"/>
    <col min="2307" max="2308" width="9.140625" style="699"/>
    <col min="2309" max="2320" width="12.140625" style="699" customWidth="1"/>
    <col min="2321" max="2560" width="9.140625" style="699"/>
    <col min="2561" max="2561" width="8.85546875" style="699" customWidth="1"/>
    <col min="2562" max="2562" width="18.85546875" style="699" customWidth="1"/>
    <col min="2563" max="2564" width="9.140625" style="699"/>
    <col min="2565" max="2576" width="12.140625" style="699" customWidth="1"/>
    <col min="2577" max="2816" width="9.140625" style="699"/>
    <col min="2817" max="2817" width="8.85546875" style="699" customWidth="1"/>
    <col min="2818" max="2818" width="18.85546875" style="699" customWidth="1"/>
    <col min="2819" max="2820" width="9.140625" style="699"/>
    <col min="2821" max="2832" width="12.140625" style="699" customWidth="1"/>
    <col min="2833" max="3072" width="9.140625" style="699"/>
    <col min="3073" max="3073" width="8.85546875" style="699" customWidth="1"/>
    <col min="3074" max="3074" width="18.85546875" style="699" customWidth="1"/>
    <col min="3075" max="3076" width="9.140625" style="699"/>
    <col min="3077" max="3088" width="12.140625" style="699" customWidth="1"/>
    <col min="3089" max="3328" width="9.140625" style="699"/>
    <col min="3329" max="3329" width="8.85546875" style="699" customWidth="1"/>
    <col min="3330" max="3330" width="18.85546875" style="699" customWidth="1"/>
    <col min="3331" max="3332" width="9.140625" style="699"/>
    <col min="3333" max="3344" width="12.140625" style="699" customWidth="1"/>
    <col min="3345" max="3584" width="9.140625" style="699"/>
    <col min="3585" max="3585" width="8.85546875" style="699" customWidth="1"/>
    <col min="3586" max="3586" width="18.85546875" style="699" customWidth="1"/>
    <col min="3587" max="3588" width="9.140625" style="699"/>
    <col min="3589" max="3600" width="12.140625" style="699" customWidth="1"/>
    <col min="3601" max="3840" width="9.140625" style="699"/>
    <col min="3841" max="3841" width="8.85546875" style="699" customWidth="1"/>
    <col min="3842" max="3842" width="18.85546875" style="699" customWidth="1"/>
    <col min="3843" max="3844" width="9.140625" style="699"/>
    <col min="3845" max="3856" width="12.140625" style="699" customWidth="1"/>
    <col min="3857" max="4096" width="9.140625" style="699"/>
    <col min="4097" max="4097" width="8.85546875" style="699" customWidth="1"/>
    <col min="4098" max="4098" width="18.85546875" style="699" customWidth="1"/>
    <col min="4099" max="4100" width="9.140625" style="699"/>
    <col min="4101" max="4112" width="12.140625" style="699" customWidth="1"/>
    <col min="4113" max="4352" width="9.140625" style="699"/>
    <col min="4353" max="4353" width="8.85546875" style="699" customWidth="1"/>
    <col min="4354" max="4354" width="18.85546875" style="699" customWidth="1"/>
    <col min="4355" max="4356" width="9.140625" style="699"/>
    <col min="4357" max="4368" width="12.140625" style="699" customWidth="1"/>
    <col min="4369" max="4608" width="9.140625" style="699"/>
    <col min="4609" max="4609" width="8.85546875" style="699" customWidth="1"/>
    <col min="4610" max="4610" width="18.85546875" style="699" customWidth="1"/>
    <col min="4611" max="4612" width="9.140625" style="699"/>
    <col min="4613" max="4624" width="12.140625" style="699" customWidth="1"/>
    <col min="4625" max="4864" width="9.140625" style="699"/>
    <col min="4865" max="4865" width="8.85546875" style="699" customWidth="1"/>
    <col min="4866" max="4866" width="18.85546875" style="699" customWidth="1"/>
    <col min="4867" max="4868" width="9.140625" style="699"/>
    <col min="4869" max="4880" width="12.140625" style="699" customWidth="1"/>
    <col min="4881" max="5120" width="9.140625" style="699"/>
    <col min="5121" max="5121" width="8.85546875" style="699" customWidth="1"/>
    <col min="5122" max="5122" width="18.85546875" style="699" customWidth="1"/>
    <col min="5123" max="5124" width="9.140625" style="699"/>
    <col min="5125" max="5136" width="12.140625" style="699" customWidth="1"/>
    <col min="5137" max="5376" width="9.140625" style="699"/>
    <col min="5377" max="5377" width="8.85546875" style="699" customWidth="1"/>
    <col min="5378" max="5378" width="18.85546875" style="699" customWidth="1"/>
    <col min="5379" max="5380" width="9.140625" style="699"/>
    <col min="5381" max="5392" width="12.140625" style="699" customWidth="1"/>
    <col min="5393" max="5632" width="9.140625" style="699"/>
    <col min="5633" max="5633" width="8.85546875" style="699" customWidth="1"/>
    <col min="5634" max="5634" width="18.85546875" style="699" customWidth="1"/>
    <col min="5635" max="5636" width="9.140625" style="699"/>
    <col min="5637" max="5648" width="12.140625" style="699" customWidth="1"/>
    <col min="5649" max="5888" width="9.140625" style="699"/>
    <col min="5889" max="5889" width="8.85546875" style="699" customWidth="1"/>
    <col min="5890" max="5890" width="18.85546875" style="699" customWidth="1"/>
    <col min="5891" max="5892" width="9.140625" style="699"/>
    <col min="5893" max="5904" width="12.140625" style="699" customWidth="1"/>
    <col min="5905" max="6144" width="9.140625" style="699"/>
    <col min="6145" max="6145" width="8.85546875" style="699" customWidth="1"/>
    <col min="6146" max="6146" width="18.85546875" style="699" customWidth="1"/>
    <col min="6147" max="6148" width="9.140625" style="699"/>
    <col min="6149" max="6160" width="12.140625" style="699" customWidth="1"/>
    <col min="6161" max="6400" width="9.140625" style="699"/>
    <col min="6401" max="6401" width="8.85546875" style="699" customWidth="1"/>
    <col min="6402" max="6402" width="18.85546875" style="699" customWidth="1"/>
    <col min="6403" max="6404" width="9.140625" style="699"/>
    <col min="6405" max="6416" width="12.140625" style="699" customWidth="1"/>
    <col min="6417" max="6656" width="9.140625" style="699"/>
    <col min="6657" max="6657" width="8.85546875" style="699" customWidth="1"/>
    <col min="6658" max="6658" width="18.85546875" style="699" customWidth="1"/>
    <col min="6659" max="6660" width="9.140625" style="699"/>
    <col min="6661" max="6672" width="12.140625" style="699" customWidth="1"/>
    <col min="6673" max="6912" width="9.140625" style="699"/>
    <col min="6913" max="6913" width="8.85546875" style="699" customWidth="1"/>
    <col min="6914" max="6914" width="18.85546875" style="699" customWidth="1"/>
    <col min="6915" max="6916" width="9.140625" style="699"/>
    <col min="6917" max="6928" width="12.140625" style="699" customWidth="1"/>
    <col min="6929" max="7168" width="9.140625" style="699"/>
    <col min="7169" max="7169" width="8.85546875" style="699" customWidth="1"/>
    <col min="7170" max="7170" width="18.85546875" style="699" customWidth="1"/>
    <col min="7171" max="7172" width="9.140625" style="699"/>
    <col min="7173" max="7184" width="12.140625" style="699" customWidth="1"/>
    <col min="7185" max="7424" width="9.140625" style="699"/>
    <col min="7425" max="7425" width="8.85546875" style="699" customWidth="1"/>
    <col min="7426" max="7426" width="18.85546875" style="699" customWidth="1"/>
    <col min="7427" max="7428" width="9.140625" style="699"/>
    <col min="7429" max="7440" width="12.140625" style="699" customWidth="1"/>
    <col min="7441" max="7680" width="9.140625" style="699"/>
    <col min="7681" max="7681" width="8.85546875" style="699" customWidth="1"/>
    <col min="7682" max="7682" width="18.85546875" style="699" customWidth="1"/>
    <col min="7683" max="7684" width="9.140625" style="699"/>
    <col min="7685" max="7696" width="12.140625" style="699" customWidth="1"/>
    <col min="7697" max="7936" width="9.140625" style="699"/>
    <col min="7937" max="7937" width="8.85546875" style="699" customWidth="1"/>
    <col min="7938" max="7938" width="18.85546875" style="699" customWidth="1"/>
    <col min="7939" max="7940" width="9.140625" style="699"/>
    <col min="7941" max="7952" width="12.140625" style="699" customWidth="1"/>
    <col min="7953" max="8192" width="9.140625" style="699"/>
    <col min="8193" max="8193" width="8.85546875" style="699" customWidth="1"/>
    <col min="8194" max="8194" width="18.85546875" style="699" customWidth="1"/>
    <col min="8195" max="8196" width="9.140625" style="699"/>
    <col min="8197" max="8208" width="12.140625" style="699" customWidth="1"/>
    <col min="8209" max="8448" width="9.140625" style="699"/>
    <col min="8449" max="8449" width="8.85546875" style="699" customWidth="1"/>
    <col min="8450" max="8450" width="18.85546875" style="699" customWidth="1"/>
    <col min="8451" max="8452" width="9.140625" style="699"/>
    <col min="8453" max="8464" width="12.140625" style="699" customWidth="1"/>
    <col min="8465" max="8704" width="9.140625" style="699"/>
    <col min="8705" max="8705" width="8.85546875" style="699" customWidth="1"/>
    <col min="8706" max="8706" width="18.85546875" style="699" customWidth="1"/>
    <col min="8707" max="8708" width="9.140625" style="699"/>
    <col min="8709" max="8720" width="12.140625" style="699" customWidth="1"/>
    <col min="8721" max="8960" width="9.140625" style="699"/>
    <col min="8961" max="8961" width="8.85546875" style="699" customWidth="1"/>
    <col min="8962" max="8962" width="18.85546875" style="699" customWidth="1"/>
    <col min="8963" max="8964" width="9.140625" style="699"/>
    <col min="8965" max="8976" width="12.140625" style="699" customWidth="1"/>
    <col min="8977" max="9216" width="9.140625" style="699"/>
    <col min="9217" max="9217" width="8.85546875" style="699" customWidth="1"/>
    <col min="9218" max="9218" width="18.85546875" style="699" customWidth="1"/>
    <col min="9219" max="9220" width="9.140625" style="699"/>
    <col min="9221" max="9232" width="12.140625" style="699" customWidth="1"/>
    <col min="9233" max="9472" width="9.140625" style="699"/>
    <col min="9473" max="9473" width="8.85546875" style="699" customWidth="1"/>
    <col min="9474" max="9474" width="18.85546875" style="699" customWidth="1"/>
    <col min="9475" max="9476" width="9.140625" style="699"/>
    <col min="9477" max="9488" width="12.140625" style="699" customWidth="1"/>
    <col min="9489" max="9728" width="9.140625" style="699"/>
    <col min="9729" max="9729" width="8.85546875" style="699" customWidth="1"/>
    <col min="9730" max="9730" width="18.85546875" style="699" customWidth="1"/>
    <col min="9731" max="9732" width="9.140625" style="699"/>
    <col min="9733" max="9744" width="12.140625" style="699" customWidth="1"/>
    <col min="9745" max="9984" width="9.140625" style="699"/>
    <col min="9985" max="9985" width="8.85546875" style="699" customWidth="1"/>
    <col min="9986" max="9986" width="18.85546875" style="699" customWidth="1"/>
    <col min="9987" max="9988" width="9.140625" style="699"/>
    <col min="9989" max="10000" width="12.140625" style="699" customWidth="1"/>
    <col min="10001" max="10240" width="9.140625" style="699"/>
    <col min="10241" max="10241" width="8.85546875" style="699" customWidth="1"/>
    <col min="10242" max="10242" width="18.85546875" style="699" customWidth="1"/>
    <col min="10243" max="10244" width="9.140625" style="699"/>
    <col min="10245" max="10256" width="12.140625" style="699" customWidth="1"/>
    <col min="10257" max="10496" width="9.140625" style="699"/>
    <col min="10497" max="10497" width="8.85546875" style="699" customWidth="1"/>
    <col min="10498" max="10498" width="18.85546875" style="699" customWidth="1"/>
    <col min="10499" max="10500" width="9.140625" style="699"/>
    <col min="10501" max="10512" width="12.140625" style="699" customWidth="1"/>
    <col min="10513" max="10752" width="9.140625" style="699"/>
    <col min="10753" max="10753" width="8.85546875" style="699" customWidth="1"/>
    <col min="10754" max="10754" width="18.85546875" style="699" customWidth="1"/>
    <col min="10755" max="10756" width="9.140625" style="699"/>
    <col min="10757" max="10768" width="12.140625" style="699" customWidth="1"/>
    <col min="10769" max="11008" width="9.140625" style="699"/>
    <col min="11009" max="11009" width="8.85546875" style="699" customWidth="1"/>
    <col min="11010" max="11010" width="18.85546875" style="699" customWidth="1"/>
    <col min="11011" max="11012" width="9.140625" style="699"/>
    <col min="11013" max="11024" width="12.140625" style="699" customWidth="1"/>
    <col min="11025" max="11264" width="9.140625" style="699"/>
    <col min="11265" max="11265" width="8.85546875" style="699" customWidth="1"/>
    <col min="11266" max="11266" width="18.85546875" style="699" customWidth="1"/>
    <col min="11267" max="11268" width="9.140625" style="699"/>
    <col min="11269" max="11280" width="12.140625" style="699" customWidth="1"/>
    <col min="11281" max="11520" width="9.140625" style="699"/>
    <col min="11521" max="11521" width="8.85546875" style="699" customWidth="1"/>
    <col min="11522" max="11522" width="18.85546875" style="699" customWidth="1"/>
    <col min="11523" max="11524" width="9.140625" style="699"/>
    <col min="11525" max="11536" width="12.140625" style="699" customWidth="1"/>
    <col min="11537" max="11776" width="9.140625" style="699"/>
    <col min="11777" max="11777" width="8.85546875" style="699" customWidth="1"/>
    <col min="11778" max="11778" width="18.85546875" style="699" customWidth="1"/>
    <col min="11779" max="11780" width="9.140625" style="699"/>
    <col min="11781" max="11792" width="12.140625" style="699" customWidth="1"/>
    <col min="11793" max="12032" width="9.140625" style="699"/>
    <col min="12033" max="12033" width="8.85546875" style="699" customWidth="1"/>
    <col min="12034" max="12034" width="18.85546875" style="699" customWidth="1"/>
    <col min="12035" max="12036" width="9.140625" style="699"/>
    <col min="12037" max="12048" width="12.140625" style="699" customWidth="1"/>
    <col min="12049" max="12288" width="9.140625" style="699"/>
    <col min="12289" max="12289" width="8.85546875" style="699" customWidth="1"/>
    <col min="12290" max="12290" width="18.85546875" style="699" customWidth="1"/>
    <col min="12291" max="12292" width="9.140625" style="699"/>
    <col min="12293" max="12304" width="12.140625" style="699" customWidth="1"/>
    <col min="12305" max="12544" width="9.140625" style="699"/>
    <col min="12545" max="12545" width="8.85546875" style="699" customWidth="1"/>
    <col min="12546" max="12546" width="18.85546875" style="699" customWidth="1"/>
    <col min="12547" max="12548" width="9.140625" style="699"/>
    <col min="12549" max="12560" width="12.140625" style="699" customWidth="1"/>
    <col min="12561" max="12800" width="9.140625" style="699"/>
    <col min="12801" max="12801" width="8.85546875" style="699" customWidth="1"/>
    <col min="12802" max="12802" width="18.85546875" style="699" customWidth="1"/>
    <col min="12803" max="12804" width="9.140625" style="699"/>
    <col min="12805" max="12816" width="12.140625" style="699" customWidth="1"/>
    <col min="12817" max="13056" width="9.140625" style="699"/>
    <col min="13057" max="13057" width="8.85546875" style="699" customWidth="1"/>
    <col min="13058" max="13058" width="18.85546875" style="699" customWidth="1"/>
    <col min="13059" max="13060" width="9.140625" style="699"/>
    <col min="13061" max="13072" width="12.140625" style="699" customWidth="1"/>
    <col min="13073" max="13312" width="9.140625" style="699"/>
    <col min="13313" max="13313" width="8.85546875" style="699" customWidth="1"/>
    <col min="13314" max="13314" width="18.85546875" style="699" customWidth="1"/>
    <col min="13315" max="13316" width="9.140625" style="699"/>
    <col min="13317" max="13328" width="12.140625" style="699" customWidth="1"/>
    <col min="13329" max="13568" width="9.140625" style="699"/>
    <col min="13569" max="13569" width="8.85546875" style="699" customWidth="1"/>
    <col min="13570" max="13570" width="18.85546875" style="699" customWidth="1"/>
    <col min="13571" max="13572" width="9.140625" style="699"/>
    <col min="13573" max="13584" width="12.140625" style="699" customWidth="1"/>
    <col min="13585" max="13824" width="9.140625" style="699"/>
    <col min="13825" max="13825" width="8.85546875" style="699" customWidth="1"/>
    <col min="13826" max="13826" width="18.85546875" style="699" customWidth="1"/>
    <col min="13827" max="13828" width="9.140625" style="699"/>
    <col min="13829" max="13840" width="12.140625" style="699" customWidth="1"/>
    <col min="13841" max="14080" width="9.140625" style="699"/>
    <col min="14081" max="14081" width="8.85546875" style="699" customWidth="1"/>
    <col min="14082" max="14082" width="18.85546875" style="699" customWidth="1"/>
    <col min="14083" max="14084" width="9.140625" style="699"/>
    <col min="14085" max="14096" width="12.140625" style="699" customWidth="1"/>
    <col min="14097" max="14336" width="9.140625" style="699"/>
    <col min="14337" max="14337" width="8.85546875" style="699" customWidth="1"/>
    <col min="14338" max="14338" width="18.85546875" style="699" customWidth="1"/>
    <col min="14339" max="14340" width="9.140625" style="699"/>
    <col min="14341" max="14352" width="12.140625" style="699" customWidth="1"/>
    <col min="14353" max="14592" width="9.140625" style="699"/>
    <col min="14593" max="14593" width="8.85546875" style="699" customWidth="1"/>
    <col min="14594" max="14594" width="18.85546875" style="699" customWidth="1"/>
    <col min="14595" max="14596" width="9.140625" style="699"/>
    <col min="14597" max="14608" width="12.140625" style="699" customWidth="1"/>
    <col min="14609" max="14848" width="9.140625" style="699"/>
    <col min="14849" max="14849" width="8.85546875" style="699" customWidth="1"/>
    <col min="14850" max="14850" width="18.85546875" style="699" customWidth="1"/>
    <col min="14851" max="14852" width="9.140625" style="699"/>
    <col min="14853" max="14864" width="12.140625" style="699" customWidth="1"/>
    <col min="14865" max="15104" width="9.140625" style="699"/>
    <col min="15105" max="15105" width="8.85546875" style="699" customWidth="1"/>
    <col min="15106" max="15106" width="18.85546875" style="699" customWidth="1"/>
    <col min="15107" max="15108" width="9.140625" style="699"/>
    <col min="15109" max="15120" width="12.140625" style="699" customWidth="1"/>
    <col min="15121" max="15360" width="9.140625" style="699"/>
    <col min="15361" max="15361" width="8.85546875" style="699" customWidth="1"/>
    <col min="15362" max="15362" width="18.85546875" style="699" customWidth="1"/>
    <col min="15363" max="15364" width="9.140625" style="699"/>
    <col min="15365" max="15376" width="12.140625" style="699" customWidth="1"/>
    <col min="15377" max="15616" width="9.140625" style="699"/>
    <col min="15617" max="15617" width="8.85546875" style="699" customWidth="1"/>
    <col min="15618" max="15618" width="18.85546875" style="699" customWidth="1"/>
    <col min="15619" max="15620" width="9.140625" style="699"/>
    <col min="15621" max="15632" width="12.140625" style="699" customWidth="1"/>
    <col min="15633" max="15872" width="9.140625" style="699"/>
    <col min="15873" max="15873" width="8.85546875" style="699" customWidth="1"/>
    <col min="15874" max="15874" width="18.85546875" style="699" customWidth="1"/>
    <col min="15875" max="15876" width="9.140625" style="699"/>
    <col min="15877" max="15888" width="12.140625" style="699" customWidth="1"/>
    <col min="15889" max="16128" width="9.140625" style="699"/>
    <col min="16129" max="16129" width="8.85546875" style="699" customWidth="1"/>
    <col min="16130" max="16130" width="18.85546875" style="699" customWidth="1"/>
    <col min="16131" max="16132" width="9.140625" style="699"/>
    <col min="16133" max="16144" width="12.140625" style="699" customWidth="1"/>
    <col min="16145" max="16384" width="9.140625" style="699"/>
  </cols>
  <sheetData>
    <row r="1" spans="1:15" ht="18">
      <c r="A1" s="3566" t="s">
        <v>1636</v>
      </c>
      <c r="B1" s="3566"/>
      <c r="C1" s="3566"/>
      <c r="D1" s="3566"/>
      <c r="E1" s="3566"/>
      <c r="F1" s="3566"/>
      <c r="G1" s="3566"/>
      <c r="H1" s="3566"/>
      <c r="I1" s="3566"/>
      <c r="J1" s="3566"/>
      <c r="K1" s="3566"/>
      <c r="L1" s="3566"/>
    </row>
    <row r="2" spans="1:15">
      <c r="A2" s="700">
        <v>1</v>
      </c>
      <c r="B2" s="699" t="s">
        <v>1637</v>
      </c>
      <c r="C2" s="699" t="s">
        <v>1638</v>
      </c>
      <c r="D2" s="699" t="s">
        <v>1639</v>
      </c>
      <c r="E2" s="699" t="s">
        <v>1640</v>
      </c>
      <c r="F2" s="699" t="s">
        <v>1641</v>
      </c>
      <c r="G2" s="699" t="s">
        <v>1642</v>
      </c>
      <c r="I2" s="699" t="s">
        <v>1643</v>
      </c>
      <c r="J2" s="699" t="str">
        <f>'Lead &amp; ANALYSIS'!D3</f>
        <v>Odisha</v>
      </c>
    </row>
    <row r="3" spans="1:15">
      <c r="A3" s="700">
        <v>2</v>
      </c>
      <c r="B3" s="699" t="s">
        <v>1644</v>
      </c>
      <c r="C3" s="699">
        <f>'Lead &amp; ANALYSIS'!D4</f>
        <v>0</v>
      </c>
      <c r="F3" s="699" t="s">
        <v>1645</v>
      </c>
    </row>
    <row r="4" spans="1:15">
      <c r="A4" s="700">
        <v>3</v>
      </c>
      <c r="B4" s="699" t="s">
        <v>1646</v>
      </c>
      <c r="C4" s="699" t="str">
        <f>'Lead &amp; ANALYSIS'!D2</f>
        <v>Dining Hall of Damasal School</v>
      </c>
    </row>
    <row r="5" spans="1:15">
      <c r="A5" s="700">
        <v>4</v>
      </c>
      <c r="B5" s="699" t="s">
        <v>1647</v>
      </c>
      <c r="C5" s="699" t="s">
        <v>1648</v>
      </c>
      <c r="F5" s="699" t="s">
        <v>1649</v>
      </c>
      <c r="I5" s="699" t="s">
        <v>1650</v>
      </c>
    </row>
    <row r="6" spans="1:15">
      <c r="A6" s="700">
        <v>5</v>
      </c>
      <c r="B6" s="699" t="s">
        <v>1651</v>
      </c>
      <c r="C6" s="699" t="s">
        <v>1648</v>
      </c>
      <c r="F6" s="699" t="s">
        <v>1649</v>
      </c>
      <c r="I6" s="699" t="s">
        <v>1650</v>
      </c>
    </row>
    <row r="7" spans="1:15">
      <c r="A7" s="700">
        <v>6</v>
      </c>
      <c r="B7" s="699" t="s">
        <v>1652</v>
      </c>
      <c r="E7" s="699" t="s">
        <v>1653</v>
      </c>
    </row>
    <row r="8" spans="1:15">
      <c r="A8" s="700">
        <v>7</v>
      </c>
      <c r="B8" s="699" t="s">
        <v>1654</v>
      </c>
      <c r="C8" s="699" t="s">
        <v>1655</v>
      </c>
      <c r="E8" s="699" t="s">
        <v>1656</v>
      </c>
      <c r="F8" s="699" t="s">
        <v>1657</v>
      </c>
      <c r="H8" s="699" t="s">
        <v>1658</v>
      </c>
      <c r="J8" s="700" t="s">
        <v>1659</v>
      </c>
    </row>
    <row r="9" spans="1:15" ht="15" customHeight="1">
      <c r="A9" s="700">
        <v>8</v>
      </c>
      <c r="B9" s="699" t="s">
        <v>1660</v>
      </c>
      <c r="D9" s="702">
        <f>'GENERAL ABSTRACT NREGA'!E17</f>
        <v>42</v>
      </c>
      <c r="E9" s="699" t="s">
        <v>1629</v>
      </c>
      <c r="F9" s="699" t="s">
        <v>1661</v>
      </c>
      <c r="H9" s="700" t="e">
        <f>B16</f>
        <v>#REF!</v>
      </c>
      <c r="I9" s="3567" t="s">
        <v>1662</v>
      </c>
      <c r="J9" s="3567"/>
      <c r="K9" s="3568" t="e">
        <f>ROUND(H9/D9,0)</f>
        <v>#REF!</v>
      </c>
    </row>
    <row r="10" spans="1:15">
      <c r="A10" s="700">
        <v>9</v>
      </c>
      <c r="B10" s="699" t="s">
        <v>1663</v>
      </c>
      <c r="D10" s="702" t="e">
        <f>K16</f>
        <v>#REF!</v>
      </c>
      <c r="I10" s="3567"/>
      <c r="J10" s="3567"/>
      <c r="K10" s="3568"/>
    </row>
    <row r="12" spans="1:15">
      <c r="A12" s="700">
        <v>10</v>
      </c>
      <c r="B12" s="3569" t="s">
        <v>1664</v>
      </c>
      <c r="C12" s="3569"/>
      <c r="D12" s="3569"/>
      <c r="E12" s="3569"/>
      <c r="F12" s="3569"/>
      <c r="G12" s="3569"/>
      <c r="H12" s="3569"/>
      <c r="I12" s="3569"/>
      <c r="J12" s="3569"/>
      <c r="K12" s="3569"/>
      <c r="M12" s="702" t="e">
        <f>#REF!</f>
        <v>#REF!</v>
      </c>
    </row>
    <row r="13" spans="1:15">
      <c r="A13" s="700"/>
      <c r="B13" s="3570" t="s">
        <v>184</v>
      </c>
      <c r="C13" s="3571"/>
      <c r="D13" s="3572"/>
      <c r="E13" s="2746" t="s">
        <v>26</v>
      </c>
      <c r="F13" s="2746"/>
      <c r="G13" s="2746"/>
      <c r="H13" s="2746"/>
      <c r="I13" s="2746"/>
      <c r="J13" s="2746"/>
      <c r="K13" s="696"/>
      <c r="M13" s="702" t="e">
        <f>M12-K16</f>
        <v>#REF!</v>
      </c>
      <c r="N13" s="702" t="e">
        <f>#REF!</f>
        <v>#REF!</v>
      </c>
      <c r="O13" s="702" t="e">
        <f>M13-N13</f>
        <v>#REF!</v>
      </c>
    </row>
    <row r="14" spans="1:15">
      <c r="A14" s="700"/>
      <c r="B14" s="3573"/>
      <c r="C14" s="3574"/>
      <c r="D14" s="3575"/>
      <c r="E14" s="719" t="s">
        <v>1665</v>
      </c>
      <c r="F14" s="719" t="s">
        <v>1666</v>
      </c>
      <c r="G14" s="719" t="s">
        <v>1667</v>
      </c>
      <c r="H14" s="719" t="s">
        <v>1668</v>
      </c>
      <c r="I14" s="719" t="s">
        <v>1669</v>
      </c>
      <c r="J14" s="719" t="s">
        <v>928</v>
      </c>
      <c r="K14" s="3576" t="s">
        <v>1670</v>
      </c>
    </row>
    <row r="15" spans="1:15">
      <c r="A15" s="700"/>
      <c r="B15" s="717" t="s">
        <v>262</v>
      </c>
      <c r="C15" s="717" t="s">
        <v>1671</v>
      </c>
      <c r="D15" s="717" t="s">
        <v>709</v>
      </c>
      <c r="E15" s="719"/>
      <c r="F15" s="719"/>
      <c r="G15" s="719"/>
      <c r="H15" s="719"/>
      <c r="I15" s="719"/>
      <c r="J15" s="719"/>
      <c r="K15" s="3577"/>
    </row>
    <row r="16" spans="1:15">
      <c r="A16" s="700"/>
      <c r="B16" s="719" t="e">
        <f>#REF!</f>
        <v>#REF!</v>
      </c>
      <c r="C16" s="1438">
        <f>'Lead &amp; ANALYSIS'!L134</f>
        <v>345</v>
      </c>
      <c r="D16" s="718" t="e">
        <f>ROUND(B16*C16,0)</f>
        <v>#REF!</v>
      </c>
      <c r="E16" s="718" t="e">
        <f>K66</f>
        <v>#REF!</v>
      </c>
      <c r="F16" s="718">
        <v>0</v>
      </c>
      <c r="G16" s="696"/>
      <c r="H16" s="696"/>
      <c r="I16" s="696"/>
      <c r="J16" s="718" t="e">
        <f>SUM(E16:I16)</f>
        <v>#REF!</v>
      </c>
      <c r="K16" s="718" t="e">
        <f>D16+J16</f>
        <v>#REF!</v>
      </c>
      <c r="M16" s="699" t="e">
        <f>L16-K16</f>
        <v>#REF!</v>
      </c>
    </row>
    <row r="17" spans="1:16">
      <c r="A17" s="700"/>
      <c r="B17" s="700" t="s">
        <v>3449</v>
      </c>
      <c r="D17" s="702" t="e">
        <f>ROUND(D16/K16%,2)</f>
        <v>#REF!</v>
      </c>
      <c r="I17" s="1265" t="s">
        <v>3450</v>
      </c>
      <c r="J17" s="699" t="e">
        <f>ROUND(J16/K16%,2)</f>
        <v>#REF!</v>
      </c>
    </row>
    <row r="18" spans="1:16">
      <c r="A18" s="700">
        <v>11</v>
      </c>
      <c r="B18" s="3579" t="s">
        <v>1672</v>
      </c>
      <c r="C18" s="3580"/>
      <c r="D18" s="3581"/>
      <c r="E18" s="719" t="s">
        <v>1665</v>
      </c>
      <c r="F18" s="719" t="s">
        <v>1666</v>
      </c>
      <c r="G18" s="719" t="s">
        <v>1667</v>
      </c>
      <c r="H18" s="719" t="s">
        <v>1668</v>
      </c>
      <c r="I18" s="719" t="s">
        <v>1669</v>
      </c>
      <c r="J18" s="719"/>
      <c r="K18" s="719" t="s">
        <v>1670</v>
      </c>
    </row>
    <row r="19" spans="1:16">
      <c r="A19" s="700"/>
      <c r="B19" s="3582"/>
      <c r="C19" s="3583"/>
      <c r="D19" s="3584"/>
      <c r="E19" s="718" t="e">
        <f>D16+E16</f>
        <v>#REF!</v>
      </c>
      <c r="F19" s="718">
        <f>F16</f>
        <v>0</v>
      </c>
      <c r="G19" s="718">
        <f>G16</f>
        <v>0</v>
      </c>
      <c r="H19" s="718">
        <f>H16</f>
        <v>0</v>
      </c>
      <c r="I19" s="718">
        <f>I16</f>
        <v>0</v>
      </c>
      <c r="J19" s="696"/>
      <c r="K19" s="718" t="e">
        <f>SUM(E19:I19)</f>
        <v>#REF!</v>
      </c>
      <c r="P19" s="699">
        <f>194-39</f>
        <v>155</v>
      </c>
    </row>
    <row r="20" spans="1:16">
      <c r="A20" s="700"/>
    </row>
    <row r="21" spans="1:16">
      <c r="A21" s="700">
        <v>12</v>
      </c>
      <c r="B21" s="3569" t="s">
        <v>1673</v>
      </c>
      <c r="C21" s="3569"/>
      <c r="D21" s="3569"/>
      <c r="E21" s="3569"/>
      <c r="F21" s="3569"/>
      <c r="G21" s="3569"/>
      <c r="H21" s="3569"/>
      <c r="I21" s="3569"/>
      <c r="J21" s="3569"/>
      <c r="K21" s="3569"/>
      <c r="L21" s="3569"/>
    </row>
    <row r="22" spans="1:16">
      <c r="B22" s="717" t="s">
        <v>1674</v>
      </c>
      <c r="C22" s="2746" t="s">
        <v>1675</v>
      </c>
      <c r="D22" s="2746"/>
      <c r="E22" s="2746"/>
      <c r="F22" s="2746"/>
      <c r="G22" s="2746"/>
      <c r="H22" s="717" t="s">
        <v>1676</v>
      </c>
      <c r="I22" s="717" t="s">
        <v>707</v>
      </c>
      <c r="J22" s="717" t="s">
        <v>1</v>
      </c>
      <c r="K22" s="717" t="s">
        <v>1677</v>
      </c>
      <c r="L22" s="717" t="s">
        <v>41</v>
      </c>
    </row>
    <row r="23" spans="1:16">
      <c r="B23" s="696" t="s">
        <v>1679</v>
      </c>
      <c r="C23" s="3578" t="s">
        <v>1680</v>
      </c>
      <c r="D23" s="3578"/>
      <c r="E23" s="3578"/>
      <c r="F23" s="3578"/>
      <c r="G23" s="3578"/>
      <c r="H23" s="718" t="e">
        <f>#REF!</f>
        <v>#REF!</v>
      </c>
      <c r="I23" s="718" t="e">
        <f>#REF!</f>
        <v>#REF!</v>
      </c>
      <c r="J23" s="696" t="s">
        <v>1681</v>
      </c>
      <c r="K23" s="718" t="e">
        <f>ROUND(H23*I23,0)</f>
        <v>#REF!</v>
      </c>
      <c r="L23" s="718">
        <f>'Lead &amp; ANALYSIS'!N51/10</f>
        <v>0</v>
      </c>
      <c r="M23" s="702" t="e">
        <f>ROUND(L23*I23,0)</f>
        <v>#REF!</v>
      </c>
      <c r="N23" s="702" t="e">
        <f>#REF!</f>
        <v>#REF!</v>
      </c>
    </row>
    <row r="24" spans="1:16">
      <c r="B24" s="696" t="s">
        <v>1682</v>
      </c>
      <c r="C24" s="3578" t="s">
        <v>1683</v>
      </c>
      <c r="D24" s="3578"/>
      <c r="E24" s="3578"/>
      <c r="F24" s="3578"/>
      <c r="G24" s="3578"/>
      <c r="H24" s="718">
        <f>'Lead &amp; ANALYSIS'!O13</f>
        <v>2039.1</v>
      </c>
      <c r="I24" s="718"/>
      <c r="J24" s="696" t="s">
        <v>49</v>
      </c>
      <c r="K24" s="718">
        <f t="shared" ref="K24:K60" si="0">ROUND(H24*I24,0)</f>
        <v>0</v>
      </c>
      <c r="L24" s="718">
        <f>'Lead &amp; ANALYSIS'!N13</f>
        <v>0</v>
      </c>
      <c r="M24" s="702">
        <f t="shared" ref="M24:M62" si="1">L24*I24</f>
        <v>0</v>
      </c>
    </row>
    <row r="25" spans="1:16">
      <c r="B25" s="696" t="s">
        <v>1684</v>
      </c>
      <c r="C25" s="696" t="s">
        <v>1685</v>
      </c>
      <c r="D25" s="696"/>
      <c r="E25" s="696"/>
      <c r="F25" s="696"/>
      <c r="G25" s="696"/>
      <c r="H25" s="718" t="e">
        <f>#REF!</f>
        <v>#REF!</v>
      </c>
      <c r="I25" s="718" t="e">
        <f>#REF!</f>
        <v>#REF!</v>
      </c>
      <c r="J25" s="696" t="s">
        <v>49</v>
      </c>
      <c r="K25" s="718" t="e">
        <f>ROUND(H25*I25,0)</f>
        <v>#REF!</v>
      </c>
      <c r="L25" s="718">
        <f>'Lead &amp; ANALYSIS'!N46</f>
        <v>0</v>
      </c>
      <c r="M25" s="702" t="e">
        <f>ROUND(L25*I25,0)</f>
        <v>#REF!</v>
      </c>
      <c r="N25" s="702" t="e">
        <f>#REF!</f>
        <v>#REF!</v>
      </c>
    </row>
    <row r="26" spans="1:16">
      <c r="B26" s="696" t="s">
        <v>1686</v>
      </c>
      <c r="C26" s="3578" t="s">
        <v>1687</v>
      </c>
      <c r="D26" s="3578"/>
      <c r="E26" s="3578"/>
      <c r="F26" s="3578"/>
      <c r="G26" s="3578"/>
      <c r="H26" s="718" t="e">
        <f>#REF!</f>
        <v>#REF!</v>
      </c>
      <c r="I26" s="718" t="e">
        <f>#REF!</f>
        <v>#REF!</v>
      </c>
      <c r="J26" s="696" t="s">
        <v>49</v>
      </c>
      <c r="K26" s="718" t="e">
        <f t="shared" si="0"/>
        <v>#REF!</v>
      </c>
      <c r="L26" s="718">
        <f>'Lead &amp; ANALYSIS'!N45</f>
        <v>0</v>
      </c>
      <c r="M26" s="702" t="e">
        <f>ROUND(L26*I26,0)</f>
        <v>#REF!</v>
      </c>
      <c r="N26" s="702" t="e">
        <f>#REF!</f>
        <v>#REF!</v>
      </c>
    </row>
    <row r="27" spans="1:16">
      <c r="B27" s="696" t="s">
        <v>1688</v>
      </c>
      <c r="C27" s="696" t="s">
        <v>67</v>
      </c>
      <c r="D27" s="696"/>
      <c r="E27" s="696"/>
      <c r="F27" s="696"/>
      <c r="G27" s="696"/>
      <c r="H27" s="718" t="e">
        <f>#REF!</f>
        <v>#REF!</v>
      </c>
      <c r="I27" s="718" t="e">
        <f>#REF!</f>
        <v>#REF!</v>
      </c>
      <c r="J27" s="696" t="s">
        <v>49</v>
      </c>
      <c r="K27" s="718" t="e">
        <f t="shared" si="0"/>
        <v>#REF!</v>
      </c>
      <c r="L27" s="718">
        <f>'Lead &amp; ANALYSIS'!N24</f>
        <v>0</v>
      </c>
      <c r="M27" s="702"/>
      <c r="N27" s="702" t="e">
        <f>#REF!</f>
        <v>#REF!</v>
      </c>
    </row>
    <row r="28" spans="1:16">
      <c r="B28" s="696" t="s">
        <v>1689</v>
      </c>
      <c r="C28" s="3578" t="s">
        <v>1690</v>
      </c>
      <c r="D28" s="3578"/>
      <c r="E28" s="3578"/>
      <c r="F28" s="3578"/>
      <c r="G28" s="3578"/>
      <c r="H28" s="718" t="e">
        <f>#REF!</f>
        <v>#REF!</v>
      </c>
      <c r="I28" s="718" t="e">
        <f>#REF!</f>
        <v>#REF!</v>
      </c>
      <c r="J28" s="696" t="s">
        <v>49</v>
      </c>
      <c r="K28" s="718" t="e">
        <f t="shared" si="0"/>
        <v>#REF!</v>
      </c>
      <c r="L28" s="718">
        <f>'Lead &amp; ANALYSIS'!N47</f>
        <v>0</v>
      </c>
      <c r="M28" s="702" t="e">
        <f>ROUND(L28*I28,0)</f>
        <v>#REF!</v>
      </c>
      <c r="N28" s="702" t="e">
        <f>#REF!</f>
        <v>#REF!</v>
      </c>
    </row>
    <row r="29" spans="1:16">
      <c r="B29" s="696" t="s">
        <v>1691</v>
      </c>
      <c r="C29" s="3578" t="s">
        <v>1692</v>
      </c>
      <c r="D29" s="3578"/>
      <c r="E29" s="3578"/>
      <c r="F29" s="3578"/>
      <c r="G29" s="3578"/>
      <c r="H29" s="718"/>
      <c r="I29" s="696"/>
      <c r="J29" s="696" t="s">
        <v>49</v>
      </c>
      <c r="K29" s="718">
        <f t="shared" si="0"/>
        <v>0</v>
      </c>
      <c r="L29" s="696"/>
      <c r="M29" s="702">
        <f t="shared" si="1"/>
        <v>0</v>
      </c>
    </row>
    <row r="30" spans="1:16">
      <c r="B30" s="696" t="s">
        <v>1693</v>
      </c>
      <c r="C30" s="3578" t="s">
        <v>1694</v>
      </c>
      <c r="D30" s="3578"/>
      <c r="E30" s="3578"/>
      <c r="F30" s="3578"/>
      <c r="G30" s="3578"/>
      <c r="H30" s="718" t="e">
        <f>#REF!</f>
        <v>#REF!</v>
      </c>
      <c r="I30" s="718" t="e">
        <f>#REF!</f>
        <v>#REF!</v>
      </c>
      <c r="J30" s="696" t="s">
        <v>49</v>
      </c>
      <c r="K30" s="718" t="e">
        <f t="shared" si="0"/>
        <v>#REF!</v>
      </c>
      <c r="L30" s="718">
        <f>'Lead &amp; ANALYSIS'!N17</f>
        <v>0</v>
      </c>
      <c r="M30" s="702" t="e">
        <f t="shared" si="1"/>
        <v>#REF!</v>
      </c>
    </row>
    <row r="31" spans="1:16">
      <c r="B31" s="696" t="s">
        <v>1695</v>
      </c>
      <c r="C31" s="3578" t="s">
        <v>1696</v>
      </c>
      <c r="D31" s="3578"/>
      <c r="E31" s="3578"/>
      <c r="F31" s="3578"/>
      <c r="G31" s="3578"/>
      <c r="H31" s="718"/>
      <c r="I31" s="696"/>
      <c r="J31" s="696" t="s">
        <v>49</v>
      </c>
      <c r="K31" s="718">
        <f t="shared" si="0"/>
        <v>0</v>
      </c>
      <c r="L31" s="696"/>
      <c r="M31" s="702">
        <f t="shared" si="1"/>
        <v>0</v>
      </c>
    </row>
    <row r="32" spans="1:16">
      <c r="B32" s="696" t="s">
        <v>1697</v>
      </c>
      <c r="C32" s="696" t="s">
        <v>1698</v>
      </c>
      <c r="D32" s="696"/>
      <c r="E32" s="696"/>
      <c r="F32" s="696"/>
      <c r="G32" s="696"/>
      <c r="H32" s="718" t="e">
        <f>#REF!</f>
        <v>#REF!</v>
      </c>
      <c r="I32" s="718" t="e">
        <f>#REF!</f>
        <v>#REF!</v>
      </c>
      <c r="J32" s="696" t="s">
        <v>49</v>
      </c>
      <c r="K32" s="718" t="e">
        <f>ROUND(H32*I32,0)</f>
        <v>#REF!</v>
      </c>
      <c r="L32" s="718">
        <f>'Lead &amp; ANALYSIS'!N8</f>
        <v>0</v>
      </c>
      <c r="M32" s="702" t="e">
        <f>ROUND(L32*I32,0)</f>
        <v>#REF!</v>
      </c>
      <c r="N32" s="702" t="e">
        <f>#REF!</f>
        <v>#REF!</v>
      </c>
    </row>
    <row r="33" spans="2:14">
      <c r="B33" s="696" t="s">
        <v>1699</v>
      </c>
      <c r="C33" s="3578" t="s">
        <v>1700</v>
      </c>
      <c r="D33" s="3578"/>
      <c r="E33" s="3578"/>
      <c r="F33" s="3578"/>
      <c r="G33" s="3578"/>
      <c r="H33" s="718" t="e">
        <f>#REF!</f>
        <v>#REF!</v>
      </c>
      <c r="I33" s="718" t="e">
        <f>#REF!</f>
        <v>#REF!</v>
      </c>
      <c r="J33" s="696" t="s">
        <v>49</v>
      </c>
      <c r="K33" s="718" t="e">
        <f t="shared" si="0"/>
        <v>#REF!</v>
      </c>
      <c r="L33" s="718">
        <f>'Lead &amp; ANALYSIS'!N13</f>
        <v>0</v>
      </c>
      <c r="M33" s="702" t="e">
        <f>ROUND(L33*I33,0)</f>
        <v>#REF!</v>
      </c>
      <c r="N33" s="702" t="e">
        <f>#REF!</f>
        <v>#REF!</v>
      </c>
    </row>
    <row r="34" spans="2:14">
      <c r="B34" s="696" t="s">
        <v>1701</v>
      </c>
      <c r="C34" s="3578" t="s">
        <v>1702</v>
      </c>
      <c r="D34" s="3578"/>
      <c r="E34" s="3578"/>
      <c r="F34" s="3578"/>
      <c r="G34" s="3578"/>
      <c r="H34" s="718" t="e">
        <f>#REF!</f>
        <v>#REF!</v>
      </c>
      <c r="I34" s="718" t="e">
        <f>#REF!</f>
        <v>#REF!</v>
      </c>
      <c r="J34" s="696" t="s">
        <v>49</v>
      </c>
      <c r="K34" s="718" t="e">
        <f t="shared" si="0"/>
        <v>#REF!</v>
      </c>
      <c r="L34" s="718">
        <f>'Lead &amp; ANALYSIS'!N15</f>
        <v>0</v>
      </c>
      <c r="M34" s="702" t="e">
        <f t="shared" si="1"/>
        <v>#REF!</v>
      </c>
    </row>
    <row r="35" spans="2:14">
      <c r="B35" s="696" t="s">
        <v>1703</v>
      </c>
      <c r="C35" s="696" t="s">
        <v>1704</v>
      </c>
      <c r="D35" s="696"/>
      <c r="E35" s="696"/>
      <c r="F35" s="696"/>
      <c r="G35" s="696"/>
      <c r="H35" s="718" t="e">
        <f>#REF!</f>
        <v>#REF!</v>
      </c>
      <c r="I35" s="718" t="e">
        <f>#REF!</f>
        <v>#REF!</v>
      </c>
      <c r="J35" s="696" t="s">
        <v>49</v>
      </c>
      <c r="K35" s="718" t="e">
        <f>ROUND(H35*I35,0)</f>
        <v>#REF!</v>
      </c>
      <c r="L35" s="718">
        <f>'Lead &amp; ANALYSIS'!N18</f>
        <v>0</v>
      </c>
      <c r="M35" s="702" t="e">
        <f>L35*I35</f>
        <v>#REF!</v>
      </c>
    </row>
    <row r="36" spans="2:14">
      <c r="B36" s="696" t="s">
        <v>1705</v>
      </c>
      <c r="C36" s="3578" t="s">
        <v>1706</v>
      </c>
      <c r="D36" s="3578"/>
      <c r="E36" s="3578"/>
      <c r="F36" s="3578"/>
      <c r="G36" s="3578"/>
      <c r="H36" s="718" t="e">
        <f>#REF!</f>
        <v>#REF!</v>
      </c>
      <c r="I36" s="718" t="e">
        <f>#REF!</f>
        <v>#REF!</v>
      </c>
      <c r="J36" s="696" t="s">
        <v>49</v>
      </c>
      <c r="K36" s="718" t="e">
        <f t="shared" si="0"/>
        <v>#REF!</v>
      </c>
      <c r="L36" s="718">
        <f>'Lead &amp; ANALYSIS'!N48</f>
        <v>0</v>
      </c>
      <c r="M36" s="702" t="e">
        <f t="shared" si="1"/>
        <v>#REF!</v>
      </c>
    </row>
    <row r="37" spans="2:14">
      <c r="B37" s="696" t="s">
        <v>1707</v>
      </c>
      <c r="C37" s="3578" t="s">
        <v>1708</v>
      </c>
      <c r="D37" s="3578"/>
      <c r="E37" s="3578"/>
      <c r="F37" s="3578"/>
      <c r="G37" s="3578"/>
      <c r="H37" s="718" t="e">
        <f>#REF!</f>
        <v>#REF!</v>
      </c>
      <c r="I37" s="718" t="e">
        <f>#REF!</f>
        <v>#REF!</v>
      </c>
      <c r="J37" s="696" t="s">
        <v>214</v>
      </c>
      <c r="K37" s="718" t="e">
        <f t="shared" si="0"/>
        <v>#REF!</v>
      </c>
      <c r="L37" s="696"/>
      <c r="M37" s="702" t="e">
        <f t="shared" si="1"/>
        <v>#REF!</v>
      </c>
      <c r="N37" s="702" t="e">
        <f>#REF!</f>
        <v>#REF!</v>
      </c>
    </row>
    <row r="38" spans="2:14">
      <c r="B38" s="696" t="s">
        <v>1709</v>
      </c>
      <c r="C38" s="696" t="s">
        <v>1710</v>
      </c>
      <c r="D38" s="696"/>
      <c r="E38" s="696"/>
      <c r="F38" s="696"/>
      <c r="G38" s="696"/>
      <c r="H38" s="718"/>
      <c r="I38" s="696"/>
      <c r="J38" s="696" t="s">
        <v>932</v>
      </c>
      <c r="K38" s="718">
        <f t="shared" si="0"/>
        <v>0</v>
      </c>
      <c r="L38" s="696"/>
      <c r="M38" s="702">
        <f t="shared" si="1"/>
        <v>0</v>
      </c>
    </row>
    <row r="39" spans="2:14">
      <c r="B39" s="696" t="s">
        <v>1711</v>
      </c>
      <c r="C39" s="696" t="s">
        <v>1712</v>
      </c>
      <c r="D39" s="696"/>
      <c r="E39" s="696"/>
      <c r="F39" s="696"/>
      <c r="G39" s="696"/>
      <c r="H39" s="718"/>
      <c r="I39" s="696"/>
      <c r="J39" s="696"/>
      <c r="K39" s="718">
        <f t="shared" si="0"/>
        <v>0</v>
      </c>
      <c r="L39" s="696"/>
      <c r="M39" s="702">
        <f t="shared" si="1"/>
        <v>0</v>
      </c>
    </row>
    <row r="40" spans="2:14">
      <c r="B40" s="696" t="s">
        <v>1713</v>
      </c>
      <c r="C40" s="696" t="s">
        <v>1714</v>
      </c>
      <c r="D40" s="696"/>
      <c r="E40" s="696"/>
      <c r="F40" s="696"/>
      <c r="G40" s="696"/>
      <c r="H40" s="718"/>
      <c r="I40" s="696"/>
      <c r="J40" s="696"/>
      <c r="K40" s="1267" t="e">
        <f>#REF!</f>
        <v>#REF!</v>
      </c>
      <c r="L40" s="696"/>
      <c r="M40" s="702">
        <f t="shared" si="1"/>
        <v>0</v>
      </c>
      <c r="N40" s="702" t="e">
        <f>#REF!</f>
        <v>#REF!</v>
      </c>
    </row>
    <row r="41" spans="2:14">
      <c r="B41" s="696" t="s">
        <v>1715</v>
      </c>
      <c r="C41" s="3578" t="s">
        <v>1716</v>
      </c>
      <c r="D41" s="3578"/>
      <c r="E41" s="3578"/>
      <c r="F41" s="3578"/>
      <c r="G41" s="3578"/>
      <c r="H41" s="718" t="e">
        <f>#REF!</f>
        <v>#REF!</v>
      </c>
      <c r="I41" s="718" t="e">
        <f>I36</f>
        <v>#REF!</v>
      </c>
      <c r="J41" s="696" t="s">
        <v>262</v>
      </c>
      <c r="K41" s="718" t="e">
        <f t="shared" si="0"/>
        <v>#REF!</v>
      </c>
      <c r="L41" s="696"/>
      <c r="M41" s="702" t="e">
        <f t="shared" si="1"/>
        <v>#REF!</v>
      </c>
    </row>
    <row r="42" spans="2:14" ht="15" customHeight="1">
      <c r="B42" s="696" t="s">
        <v>1717</v>
      </c>
      <c r="C42" s="3578" t="s">
        <v>1718</v>
      </c>
      <c r="D42" s="3578"/>
      <c r="E42" s="3578"/>
      <c r="F42" s="3578"/>
      <c r="G42" s="3578"/>
      <c r="H42" s="718" t="e">
        <f>#REF!</f>
        <v>#REF!</v>
      </c>
      <c r="I42" s="718" t="e">
        <f>#REF!</f>
        <v>#REF!</v>
      </c>
      <c r="J42" s="696" t="s">
        <v>1719</v>
      </c>
      <c r="K42" s="718" t="e">
        <f t="shared" si="0"/>
        <v>#REF!</v>
      </c>
      <c r="L42" s="696"/>
      <c r="M42" s="702" t="e">
        <f t="shared" si="1"/>
        <v>#REF!</v>
      </c>
      <c r="N42" s="702" t="e">
        <f>#REF!</f>
        <v>#REF!</v>
      </c>
    </row>
    <row r="43" spans="2:14" ht="15" customHeight="1">
      <c r="B43" s="696" t="s">
        <v>1720</v>
      </c>
      <c r="C43" s="3578" t="s">
        <v>1721</v>
      </c>
      <c r="D43" s="3578"/>
      <c r="E43" s="3578"/>
      <c r="F43" s="3578"/>
      <c r="G43" s="3578"/>
      <c r="H43" s="718" t="e">
        <f>#REF!</f>
        <v>#REF!</v>
      </c>
      <c r="I43" s="718" t="e">
        <f>#REF!</f>
        <v>#REF!</v>
      </c>
      <c r="J43" s="696" t="s">
        <v>1722</v>
      </c>
      <c r="K43" s="718" t="e">
        <f t="shared" si="0"/>
        <v>#REF!</v>
      </c>
      <c r="L43" s="696"/>
      <c r="M43" s="702" t="e">
        <f t="shared" si="1"/>
        <v>#REF!</v>
      </c>
      <c r="N43" s="702" t="e">
        <f>#REF!</f>
        <v>#REF!</v>
      </c>
    </row>
    <row r="44" spans="2:14">
      <c r="B44" s="696" t="s">
        <v>1723</v>
      </c>
      <c r="C44" s="3578" t="s">
        <v>1724</v>
      </c>
      <c r="D44" s="3578"/>
      <c r="E44" s="3578"/>
      <c r="F44" s="3578"/>
      <c r="G44" s="3578"/>
      <c r="H44" s="718" t="e">
        <f>#REF!</f>
        <v>#REF!</v>
      </c>
      <c r="I44" s="718" t="e">
        <f>#REF!</f>
        <v>#REF!</v>
      </c>
      <c r="J44" s="696" t="s">
        <v>1722</v>
      </c>
      <c r="K44" s="718" t="e">
        <f t="shared" si="0"/>
        <v>#REF!</v>
      </c>
      <c r="L44" s="696"/>
      <c r="M44" s="702" t="e">
        <f t="shared" si="1"/>
        <v>#REF!</v>
      </c>
      <c r="N44" s="702" t="e">
        <f>#REF!</f>
        <v>#REF!</v>
      </c>
    </row>
    <row r="45" spans="2:14">
      <c r="B45" s="696" t="s">
        <v>1725</v>
      </c>
      <c r="C45" s="3578" t="s">
        <v>1726</v>
      </c>
      <c r="D45" s="3578"/>
      <c r="E45" s="3578"/>
      <c r="F45" s="3578"/>
      <c r="G45" s="3578"/>
      <c r="H45" s="718" t="e">
        <f>#REF!</f>
        <v>#REF!</v>
      </c>
      <c r="I45" s="718"/>
      <c r="J45" s="696" t="s">
        <v>1722</v>
      </c>
      <c r="K45" s="718" t="e">
        <f t="shared" si="0"/>
        <v>#REF!</v>
      </c>
      <c r="L45" s="696"/>
      <c r="M45" s="702">
        <f t="shared" si="1"/>
        <v>0</v>
      </c>
    </row>
    <row r="46" spans="2:14">
      <c r="B46" s="696" t="s">
        <v>1727</v>
      </c>
      <c r="C46" s="3578" t="s">
        <v>1728</v>
      </c>
      <c r="D46" s="3578"/>
      <c r="E46" s="3578"/>
      <c r="F46" s="3578"/>
      <c r="G46" s="3578"/>
      <c r="H46" s="718" t="e">
        <f>#REF!</f>
        <v>#REF!</v>
      </c>
      <c r="I46" s="696">
        <v>1</v>
      </c>
      <c r="J46" s="696" t="s">
        <v>92</v>
      </c>
      <c r="K46" s="718" t="e">
        <f t="shared" si="0"/>
        <v>#REF!</v>
      </c>
      <c r="L46" s="696"/>
      <c r="M46" s="702">
        <f t="shared" si="1"/>
        <v>0</v>
      </c>
    </row>
    <row r="47" spans="2:14">
      <c r="B47" s="696" t="s">
        <v>1729</v>
      </c>
      <c r="C47" s="3578" t="s">
        <v>1730</v>
      </c>
      <c r="D47" s="3578"/>
      <c r="E47" s="3578"/>
      <c r="F47" s="3578"/>
      <c r="G47" s="3578"/>
      <c r="H47" s="718" t="e">
        <f>#REF!</f>
        <v>#REF!</v>
      </c>
      <c r="I47" s="696"/>
      <c r="J47" s="696" t="s">
        <v>932</v>
      </c>
      <c r="K47" s="718" t="e">
        <f t="shared" si="0"/>
        <v>#REF!</v>
      </c>
      <c r="L47" s="696"/>
      <c r="M47" s="702">
        <f t="shared" si="1"/>
        <v>0</v>
      </c>
    </row>
    <row r="48" spans="2:14">
      <c r="B48" s="696" t="s">
        <v>1731</v>
      </c>
      <c r="C48" s="3578" t="s">
        <v>1732</v>
      </c>
      <c r="D48" s="3578"/>
      <c r="E48" s="3578"/>
      <c r="F48" s="3578"/>
      <c r="G48" s="3578"/>
      <c r="H48" s="718" t="e">
        <f>#REF!</f>
        <v>#REF!</v>
      </c>
      <c r="I48" s="696" t="e">
        <f>#REF!</f>
        <v>#REF!</v>
      </c>
      <c r="J48" s="696" t="s">
        <v>932</v>
      </c>
      <c r="K48" s="718" t="e">
        <f t="shared" si="0"/>
        <v>#REF!</v>
      </c>
      <c r="L48" s="696"/>
      <c r="M48" s="702" t="e">
        <f t="shared" si="1"/>
        <v>#REF!</v>
      </c>
      <c r="N48" s="702" t="e">
        <f>#REF!</f>
        <v>#REF!</v>
      </c>
    </row>
    <row r="49" spans="2:13">
      <c r="B49" s="696" t="s">
        <v>1733</v>
      </c>
      <c r="C49" s="3578" t="s">
        <v>1734</v>
      </c>
      <c r="D49" s="3578"/>
      <c r="E49" s="3578"/>
      <c r="F49" s="3578"/>
      <c r="G49" s="3578"/>
      <c r="H49" s="718" t="e">
        <f>#REF!</f>
        <v>#REF!</v>
      </c>
      <c r="I49" s="696"/>
      <c r="J49" s="696" t="s">
        <v>932</v>
      </c>
      <c r="K49" s="718" t="e">
        <f t="shared" si="0"/>
        <v>#REF!</v>
      </c>
      <c r="L49" s="696"/>
      <c r="M49" s="702">
        <f t="shared" si="1"/>
        <v>0</v>
      </c>
    </row>
    <row r="50" spans="2:13">
      <c r="B50" s="696" t="s">
        <v>1735</v>
      </c>
      <c r="C50" s="3578" t="s">
        <v>1736</v>
      </c>
      <c r="D50" s="3578"/>
      <c r="E50" s="3578"/>
      <c r="F50" s="3578"/>
      <c r="G50" s="3578"/>
      <c r="H50" s="718" t="e">
        <f>'ODMT MGNREGA'!H44</f>
        <v>#REF!</v>
      </c>
      <c r="I50" s="696" t="e">
        <f>#REF!</f>
        <v>#REF!</v>
      </c>
      <c r="J50" s="696" t="s">
        <v>1719</v>
      </c>
      <c r="K50" s="718" t="e">
        <f t="shared" si="0"/>
        <v>#REF!</v>
      </c>
      <c r="L50" s="696"/>
      <c r="M50" s="702" t="e">
        <f t="shared" si="1"/>
        <v>#REF!</v>
      </c>
    </row>
    <row r="51" spans="2:13">
      <c r="B51" s="696" t="s">
        <v>1737</v>
      </c>
      <c r="C51" s="3578" t="s">
        <v>1738</v>
      </c>
      <c r="D51" s="3578"/>
      <c r="E51" s="3578"/>
      <c r="F51" s="3578"/>
      <c r="G51" s="3578"/>
      <c r="H51" s="718" t="e">
        <f>H45</f>
        <v>#REF!</v>
      </c>
      <c r="I51" s="696" t="e">
        <f>#REF!</f>
        <v>#REF!</v>
      </c>
      <c r="J51" s="696" t="s">
        <v>932</v>
      </c>
      <c r="K51" s="718" t="e">
        <f t="shared" si="0"/>
        <v>#REF!</v>
      </c>
      <c r="L51" s="696"/>
      <c r="M51" s="702" t="e">
        <f t="shared" si="1"/>
        <v>#REF!</v>
      </c>
    </row>
    <row r="52" spans="2:13">
      <c r="B52" s="696" t="s">
        <v>1739</v>
      </c>
      <c r="C52" s="3578" t="s">
        <v>1740</v>
      </c>
      <c r="D52" s="3578"/>
      <c r="E52" s="3578"/>
      <c r="F52" s="3578"/>
      <c r="G52" s="3578"/>
      <c r="H52" s="718" t="e">
        <f>#REF!</f>
        <v>#REF!</v>
      </c>
      <c r="I52" s="696"/>
      <c r="J52" s="696" t="s">
        <v>932</v>
      </c>
      <c r="K52" s="718" t="e">
        <f t="shared" si="0"/>
        <v>#REF!</v>
      </c>
      <c r="L52" s="696"/>
      <c r="M52" s="702">
        <f t="shared" si="1"/>
        <v>0</v>
      </c>
    </row>
    <row r="53" spans="2:13">
      <c r="B53" s="696" t="s">
        <v>1741</v>
      </c>
      <c r="C53" s="3578" t="s">
        <v>1742</v>
      </c>
      <c r="D53" s="3578"/>
      <c r="E53" s="3578"/>
      <c r="F53" s="3578"/>
      <c r="G53" s="3578"/>
      <c r="H53" s="718" t="e">
        <f>#REF!</f>
        <v>#REF!</v>
      </c>
      <c r="I53" s="696"/>
      <c r="J53" s="696" t="s">
        <v>932</v>
      </c>
      <c r="K53" s="718"/>
      <c r="L53" s="696"/>
      <c r="M53" s="702">
        <f t="shared" si="1"/>
        <v>0</v>
      </c>
    </row>
    <row r="54" spans="2:13">
      <c r="B54" s="696" t="s">
        <v>1743</v>
      </c>
      <c r="C54" s="3578" t="s">
        <v>1744</v>
      </c>
      <c r="D54" s="3578"/>
      <c r="E54" s="3578"/>
      <c r="F54" s="3578"/>
      <c r="G54" s="3578"/>
      <c r="H54" s="718"/>
      <c r="I54" s="696"/>
      <c r="J54" s="696" t="s">
        <v>932</v>
      </c>
      <c r="K54" s="718">
        <f t="shared" si="0"/>
        <v>0</v>
      </c>
      <c r="L54" s="696"/>
      <c r="M54" s="702">
        <f t="shared" si="1"/>
        <v>0</v>
      </c>
    </row>
    <row r="55" spans="2:13">
      <c r="B55" s="696" t="s">
        <v>1745</v>
      </c>
      <c r="C55" s="696" t="s">
        <v>1746</v>
      </c>
      <c r="D55" s="696"/>
      <c r="E55" s="696"/>
      <c r="F55" s="696"/>
      <c r="G55" s="696"/>
      <c r="H55" s="718"/>
      <c r="I55" s="696"/>
      <c r="J55" s="696"/>
      <c r="K55" s="718">
        <v>0</v>
      </c>
      <c r="L55" s="696"/>
      <c r="M55" s="702"/>
    </row>
    <row r="56" spans="2:13">
      <c r="B56" s="696" t="s">
        <v>1747</v>
      </c>
      <c r="C56" s="3578" t="s">
        <v>1748</v>
      </c>
      <c r="D56" s="3578"/>
      <c r="E56" s="3578"/>
      <c r="F56" s="3578"/>
      <c r="G56" s="3578"/>
      <c r="H56" s="718" t="e">
        <f>#REF!</f>
        <v>#REF!</v>
      </c>
      <c r="I56" s="718" t="e">
        <f>#REF!</f>
        <v>#REF!</v>
      </c>
      <c r="J56" s="696" t="s">
        <v>95</v>
      </c>
      <c r="K56" s="718" t="e">
        <f t="shared" si="0"/>
        <v>#REF!</v>
      </c>
      <c r="L56" s="696"/>
      <c r="M56" s="702" t="e">
        <f t="shared" si="1"/>
        <v>#REF!</v>
      </c>
    </row>
    <row r="57" spans="2:13">
      <c r="B57" s="696" t="s">
        <v>1749</v>
      </c>
      <c r="C57" s="3578" t="s">
        <v>1750</v>
      </c>
      <c r="D57" s="3578"/>
      <c r="E57" s="3578"/>
      <c r="F57" s="3578"/>
      <c r="G57" s="3578"/>
      <c r="H57" s="718"/>
      <c r="I57" s="696"/>
      <c r="J57" s="696" t="s">
        <v>247</v>
      </c>
      <c r="K57" s="718">
        <f t="shared" si="0"/>
        <v>0</v>
      </c>
      <c r="L57" s="696"/>
      <c r="M57" s="702">
        <f t="shared" si="1"/>
        <v>0</v>
      </c>
    </row>
    <row r="58" spans="2:13">
      <c r="B58" s="696" t="s">
        <v>1751</v>
      </c>
      <c r="C58" s="3578" t="s">
        <v>1752</v>
      </c>
      <c r="D58" s="3578"/>
      <c r="E58" s="3578"/>
      <c r="F58" s="3578"/>
      <c r="G58" s="3578"/>
      <c r="H58" s="718" t="e">
        <f>#REF!</f>
        <v>#REF!</v>
      </c>
      <c r="I58" s="696"/>
      <c r="J58" s="696" t="s">
        <v>932</v>
      </c>
      <c r="K58" s="718" t="e">
        <f t="shared" si="0"/>
        <v>#REF!</v>
      </c>
      <c r="L58" s="696"/>
      <c r="M58" s="702">
        <f t="shared" si="1"/>
        <v>0</v>
      </c>
    </row>
    <row r="59" spans="2:13">
      <c r="B59" s="696" t="s">
        <v>1753</v>
      </c>
      <c r="C59" s="3578" t="s">
        <v>1754</v>
      </c>
      <c r="D59" s="3578"/>
      <c r="E59" s="3578"/>
      <c r="F59" s="3578"/>
      <c r="G59" s="3578"/>
      <c r="H59" s="718"/>
      <c r="I59" s="696"/>
      <c r="J59" s="696" t="s">
        <v>1755</v>
      </c>
      <c r="K59" s="718">
        <f t="shared" si="0"/>
        <v>0</v>
      </c>
      <c r="L59" s="696"/>
      <c r="M59" s="702">
        <f>L59*I59</f>
        <v>0</v>
      </c>
    </row>
    <row r="60" spans="2:13">
      <c r="B60" s="1307" t="s">
        <v>1756</v>
      </c>
      <c r="C60" s="3578" t="s">
        <v>1518</v>
      </c>
      <c r="D60" s="3578"/>
      <c r="E60" s="3578"/>
      <c r="F60" s="3578"/>
      <c r="G60" s="3578"/>
      <c r="H60" s="718"/>
      <c r="I60" s="696"/>
      <c r="J60" s="696" t="s">
        <v>1757</v>
      </c>
      <c r="K60" s="718">
        <f t="shared" si="0"/>
        <v>0</v>
      </c>
      <c r="L60" s="696"/>
      <c r="M60" s="702">
        <f t="shared" si="1"/>
        <v>0</v>
      </c>
    </row>
    <row r="61" spans="2:13">
      <c r="B61" s="720" t="s">
        <v>1758</v>
      </c>
      <c r="C61" s="3585" t="s">
        <v>1759</v>
      </c>
      <c r="D61" s="3586"/>
      <c r="E61" s="3586"/>
      <c r="F61" s="3586"/>
      <c r="G61" s="3587"/>
      <c r="H61" s="696"/>
      <c r="J61" s="699" t="s">
        <v>932</v>
      </c>
      <c r="K61" s="1390">
        <v>0</v>
      </c>
      <c r="M61" s="702">
        <f t="shared" si="1"/>
        <v>0</v>
      </c>
    </row>
    <row r="62" spans="2:13">
      <c r="B62" s="1307" t="s">
        <v>1760</v>
      </c>
      <c r="C62" s="3578" t="s">
        <v>1761</v>
      </c>
      <c r="D62" s="3578"/>
      <c r="E62" s="3578"/>
      <c r="F62" s="3578"/>
      <c r="G62" s="3578"/>
      <c r="H62" s="718"/>
      <c r="I62" s="696"/>
      <c r="J62" s="696" t="s">
        <v>932</v>
      </c>
      <c r="K62" s="718">
        <v>0</v>
      </c>
      <c r="L62" s="696"/>
      <c r="M62" s="702">
        <f t="shared" si="1"/>
        <v>0</v>
      </c>
    </row>
    <row r="63" spans="2:13">
      <c r="B63" s="1307"/>
      <c r="C63" s="3588" t="s">
        <v>1532</v>
      </c>
      <c r="D63" s="3589"/>
      <c r="E63" s="3589"/>
      <c r="F63" s="3589"/>
      <c r="G63" s="3590"/>
      <c r="H63" s="695"/>
      <c r="I63" s="694"/>
      <c r="J63" s="694"/>
      <c r="K63" s="695" t="e">
        <f>SUM(K23:K62)</f>
        <v>#REF!</v>
      </c>
      <c r="L63" s="696"/>
      <c r="M63" s="702" t="e">
        <f>SUM(M23:M62)</f>
        <v>#REF!</v>
      </c>
    </row>
    <row r="64" spans="2:13">
      <c r="B64" s="1266" t="s">
        <v>2073</v>
      </c>
      <c r="C64" s="1426" t="e">
        <f>#REF!</f>
        <v>#REF!</v>
      </c>
      <c r="D64" s="1412"/>
      <c r="E64" s="1412"/>
      <c r="F64" s="1412"/>
      <c r="G64" s="1413"/>
      <c r="H64" s="695"/>
      <c r="I64" s="694"/>
      <c r="J64" s="696" t="s">
        <v>932</v>
      </c>
      <c r="K64" s="718" t="e">
        <f>#REF!</f>
        <v>#REF!</v>
      </c>
      <c r="L64" s="696"/>
    </row>
    <row r="65" spans="1:16">
      <c r="B65" s="696" t="s">
        <v>1762</v>
      </c>
      <c r="C65" s="3578" t="s">
        <v>1763</v>
      </c>
      <c r="D65" s="3578"/>
      <c r="E65" s="3578"/>
      <c r="F65" s="3578"/>
      <c r="G65" s="3578"/>
      <c r="H65" s="718"/>
      <c r="I65" s="696"/>
      <c r="J65" s="696" t="s">
        <v>932</v>
      </c>
      <c r="K65" s="718" t="e">
        <f>#REF!</f>
        <v>#REF!</v>
      </c>
      <c r="L65" s="696"/>
    </row>
    <row r="66" spans="1:16">
      <c r="B66" s="696"/>
      <c r="C66" s="3588" t="s">
        <v>1572</v>
      </c>
      <c r="D66" s="3589"/>
      <c r="E66" s="3589"/>
      <c r="F66" s="3589"/>
      <c r="G66" s="3590"/>
      <c r="H66" s="694"/>
      <c r="I66" s="694"/>
      <c r="J66" s="694"/>
      <c r="K66" s="695" t="e">
        <f>SUM(K63:K65)</f>
        <v>#REF!</v>
      </c>
      <c r="L66" s="696"/>
    </row>
    <row r="67" spans="1:16">
      <c r="B67" s="696"/>
      <c r="C67" s="694"/>
      <c r="D67" s="694"/>
      <c r="E67" s="694"/>
      <c r="F67" s="694"/>
      <c r="G67" s="694"/>
      <c r="H67" s="694"/>
      <c r="I67" s="694"/>
      <c r="J67" s="694" t="s">
        <v>1764</v>
      </c>
      <c r="K67" s="695" t="e">
        <f>ROUND(K66,-2)</f>
        <v>#REF!</v>
      </c>
      <c r="L67" s="696"/>
      <c r="M67" s="702" t="e">
        <f>#REF!+#REF!</f>
        <v>#REF!</v>
      </c>
      <c r="N67" s="702" t="e">
        <f>K66+M67</f>
        <v>#REF!</v>
      </c>
    </row>
    <row r="68" spans="1:16">
      <c r="N68" s="702" t="e">
        <f>D16</f>
        <v>#REF!</v>
      </c>
    </row>
    <row r="69" spans="1:16">
      <c r="N69" s="702" t="e">
        <f>SUM(N67:N68)</f>
        <v>#REF!</v>
      </c>
      <c r="O69" s="702" t="e">
        <f>#REF!</f>
        <v>#REF!</v>
      </c>
      <c r="P69" s="702" t="e">
        <f>O69-N69</f>
        <v>#REF!</v>
      </c>
    </row>
    <row r="73" spans="1:16" s="1289" customFormat="1" ht="15" customHeight="1">
      <c r="A73" s="1288"/>
      <c r="B73" s="1288" t="e">
        <f>#REF!</f>
        <v>#REF!</v>
      </c>
      <c r="C73" s="1288"/>
      <c r="E73" s="1288"/>
      <c r="F73" s="1288"/>
      <c r="G73" s="1288"/>
      <c r="I73" s="1288"/>
      <c r="J73" s="1288"/>
      <c r="K73" s="1288"/>
    </row>
    <row r="74" spans="1:16" s="1289" customFormat="1">
      <c r="A74" s="1288"/>
      <c r="B74" s="1288" t="e">
        <f>#REF!</f>
        <v>#REF!</v>
      </c>
      <c r="F74" s="1288"/>
      <c r="J74" s="1288"/>
    </row>
  </sheetData>
  <mergeCells count="45">
    <mergeCell ref="C61:G61"/>
    <mergeCell ref="C62:G62"/>
    <mergeCell ref="C63:G63"/>
    <mergeCell ref="C65:G65"/>
    <mergeCell ref="C66:G66"/>
    <mergeCell ref="C60:G60"/>
    <mergeCell ref="C48:G48"/>
    <mergeCell ref="C49:G49"/>
    <mergeCell ref="C50:G50"/>
    <mergeCell ref="C51:G51"/>
    <mergeCell ref="C52:G52"/>
    <mergeCell ref="C53:G53"/>
    <mergeCell ref="C54:G54"/>
    <mergeCell ref="C56:G56"/>
    <mergeCell ref="C57:G57"/>
    <mergeCell ref="C58:G58"/>
    <mergeCell ref="C59:G59"/>
    <mergeCell ref="C47:G47"/>
    <mergeCell ref="C36:G36"/>
    <mergeCell ref="C37:G37"/>
    <mergeCell ref="C41:G41"/>
    <mergeCell ref="C42:G42"/>
    <mergeCell ref="C43:G43"/>
    <mergeCell ref="C44:G44"/>
    <mergeCell ref="C45:G45"/>
    <mergeCell ref="C46:G46"/>
    <mergeCell ref="C34:G34"/>
    <mergeCell ref="B18:D19"/>
    <mergeCell ref="B21:L21"/>
    <mergeCell ref="C22:G22"/>
    <mergeCell ref="C23:G23"/>
    <mergeCell ref="C24:G24"/>
    <mergeCell ref="C26:G26"/>
    <mergeCell ref="C28:G28"/>
    <mergeCell ref="C29:G29"/>
    <mergeCell ref="C30:G30"/>
    <mergeCell ref="C31:G31"/>
    <mergeCell ref="C33:G33"/>
    <mergeCell ref="A1:L1"/>
    <mergeCell ref="I9:J10"/>
    <mergeCell ref="K9:K10"/>
    <mergeCell ref="B12:K12"/>
    <mergeCell ref="B13:D14"/>
    <mergeCell ref="E13:J13"/>
    <mergeCell ref="K14:K15"/>
  </mergeCells>
  <pageMargins left="0.43307086614173229" right="0.35433070866141736" top="0.51181102362204722" bottom="0.43307086614173229" header="0.31496062992125984" footer="0.31496062992125984"/>
  <pageSetup paperSize="9" orientation="landscape" r:id="rId1"/>
</worksheet>
</file>

<file path=xl/worksheets/sheet42.xml><?xml version="1.0" encoding="utf-8"?>
<worksheet xmlns="http://schemas.openxmlformats.org/spreadsheetml/2006/main" xmlns:r="http://schemas.openxmlformats.org/officeDocument/2006/relationships">
  <sheetPr>
    <tabColor rgb="FF00B050"/>
  </sheetPr>
  <dimension ref="A1:J23"/>
  <sheetViews>
    <sheetView view="pageBreakPreview" zoomScaleSheetLayoutView="100" workbookViewId="0">
      <selection activeCell="G17" sqref="G17"/>
    </sheetView>
  </sheetViews>
  <sheetFormatPr defaultRowHeight="15"/>
  <cols>
    <col min="1" max="1" width="11.7109375" customWidth="1"/>
    <col min="2" max="2" width="16.5703125" customWidth="1"/>
    <col min="3" max="3" width="34.28515625" customWidth="1"/>
    <col min="4" max="4" width="23.42578125" customWidth="1"/>
    <col min="5" max="5" width="11.5703125" customWidth="1"/>
    <col min="6" max="6" width="11" customWidth="1"/>
    <col min="8" max="9" width="9.5703125" bestFit="1" customWidth="1"/>
    <col min="10" max="10" width="10.7109375" customWidth="1"/>
  </cols>
  <sheetData>
    <row r="1" spans="1:10" ht="18">
      <c r="A1" s="3591" t="s">
        <v>3441</v>
      </c>
      <c r="B1" s="3591"/>
      <c r="C1" s="3591"/>
      <c r="D1" s="3591"/>
    </row>
    <row r="2" spans="1:10" ht="18">
      <c r="A2" s="1414" t="s">
        <v>1510</v>
      </c>
      <c r="B2" s="3598" t="s">
        <v>1627</v>
      </c>
      <c r="C2" s="3599"/>
      <c r="D2" s="1414" t="s">
        <v>709</v>
      </c>
    </row>
    <row r="3" spans="1:10" ht="18">
      <c r="A3" s="1414">
        <v>1</v>
      </c>
      <c r="B3" s="3598">
        <v>2</v>
      </c>
      <c r="C3" s="3599"/>
      <c r="D3" s="1414">
        <v>3</v>
      </c>
      <c r="I3" s="2789" t="s">
        <v>3448</v>
      </c>
      <c r="J3" s="2789"/>
    </row>
    <row r="4" spans="1:10" ht="20.45" customHeight="1">
      <c r="A4" s="3595">
        <v>1</v>
      </c>
      <c r="B4" s="3592" t="s">
        <v>2</v>
      </c>
      <c r="C4" s="1428"/>
      <c r="D4" s="1429" t="e">
        <f>#REF!</f>
        <v>#REF!</v>
      </c>
      <c r="E4" s="574" t="e">
        <f>D4</f>
        <v>#REF!</v>
      </c>
      <c r="H4" s="574"/>
      <c r="I4" s="1392" t="s">
        <v>2</v>
      </c>
      <c r="J4" s="1393" t="e">
        <f>#REF!</f>
        <v>#REF!</v>
      </c>
    </row>
    <row r="5" spans="1:10" ht="20.45" customHeight="1">
      <c r="A5" s="3596"/>
      <c r="B5" s="3594"/>
      <c r="C5" s="1414" t="s">
        <v>1399</v>
      </c>
      <c r="D5" s="1430" t="e">
        <f>SUM(D4)</f>
        <v>#REF!</v>
      </c>
      <c r="E5" s="574"/>
      <c r="H5" s="574"/>
      <c r="I5" s="1392" t="s">
        <v>26</v>
      </c>
      <c r="J5" s="1393" t="e">
        <f>#REF!</f>
        <v>#REF!</v>
      </c>
    </row>
    <row r="6" spans="1:10" ht="20.45" customHeight="1">
      <c r="A6" s="3595">
        <v>2</v>
      </c>
      <c r="B6" s="3592" t="s">
        <v>26</v>
      </c>
      <c r="C6" s="1428" t="s">
        <v>3445</v>
      </c>
      <c r="D6" s="1429" t="e">
        <f>SUM(#REF!)</f>
        <v>#REF!</v>
      </c>
      <c r="I6" s="1392" t="s">
        <v>928</v>
      </c>
      <c r="J6" s="1393" t="e">
        <f>SUM(J4:J5)</f>
        <v>#REF!</v>
      </c>
    </row>
    <row r="7" spans="1:10" ht="20.45" customHeight="1">
      <c r="A7" s="3597"/>
      <c r="B7" s="3593"/>
      <c r="C7" s="1428" t="s">
        <v>744</v>
      </c>
      <c r="D7" s="1429" t="e">
        <f>#REF!</f>
        <v>#REF!</v>
      </c>
    </row>
    <row r="8" spans="1:10" ht="20.45" customHeight="1">
      <c r="A8" s="3597"/>
      <c r="B8" s="3593"/>
      <c r="C8" s="1428" t="s">
        <v>3424</v>
      </c>
      <c r="D8" s="1429" t="e">
        <f>#REF!</f>
        <v>#REF!</v>
      </c>
      <c r="H8" s="574"/>
    </row>
    <row r="9" spans="1:10" ht="20.45" customHeight="1">
      <c r="A9" s="3597"/>
      <c r="B9" s="3593"/>
      <c r="C9" s="1428" t="s">
        <v>3444</v>
      </c>
      <c r="D9" s="1429" t="e">
        <f>#REF!</f>
        <v>#REF!</v>
      </c>
      <c r="E9" s="574" t="e">
        <f>SUM(D6:D8)</f>
        <v>#REF!</v>
      </c>
      <c r="F9" s="1435" t="s">
        <v>1530</v>
      </c>
      <c r="G9" s="1435" t="s">
        <v>1531</v>
      </c>
      <c r="H9" s="574"/>
      <c r="J9" s="1434" t="s">
        <v>3438</v>
      </c>
    </row>
    <row r="10" spans="1:10" ht="20.45" customHeight="1">
      <c r="A10" s="3596"/>
      <c r="B10" s="3594"/>
      <c r="C10" s="1428" t="s">
        <v>3425</v>
      </c>
      <c r="D10" s="1429" t="e">
        <f>#REF!</f>
        <v>#REF!</v>
      </c>
      <c r="E10" s="574" t="e">
        <f>SUM(D6:D10)</f>
        <v>#REF!</v>
      </c>
      <c r="F10" s="574" t="e">
        <f>#REF!</f>
        <v>#REF!</v>
      </c>
      <c r="G10" s="574" t="e">
        <f>#REF!</f>
        <v>#REF!</v>
      </c>
      <c r="H10" s="574" t="e">
        <f>E10-F10-G10</f>
        <v>#REF!</v>
      </c>
      <c r="I10" s="574" t="e">
        <f>#REF!</f>
        <v>#REF!</v>
      </c>
      <c r="J10" s="1433" t="e">
        <f>H10-I10</f>
        <v>#REF!</v>
      </c>
    </row>
    <row r="11" spans="1:10" ht="20.45" customHeight="1">
      <c r="A11" s="1427"/>
      <c r="B11" s="1436"/>
      <c r="C11" s="1414" t="s">
        <v>1399</v>
      </c>
      <c r="D11" s="1430" t="e">
        <f>SUM(D6:D10)</f>
        <v>#REF!</v>
      </c>
      <c r="E11" s="574"/>
      <c r="F11" s="574"/>
      <c r="G11" s="574"/>
      <c r="H11" s="574"/>
      <c r="I11" s="574"/>
      <c r="J11" s="1433"/>
    </row>
    <row r="12" spans="1:10" ht="20.45" customHeight="1">
      <c r="A12" s="1427"/>
      <c r="B12" s="1436"/>
      <c r="C12" s="1437" t="s">
        <v>3446</v>
      </c>
      <c r="D12" s="1429" t="e">
        <f>-#REF!</f>
        <v>#REF!</v>
      </c>
      <c r="E12" s="574"/>
      <c r="F12" s="574"/>
      <c r="G12" s="574"/>
      <c r="H12" s="574"/>
      <c r="I12" s="574"/>
      <c r="J12" s="1433"/>
    </row>
    <row r="13" spans="1:10" ht="20.45" customHeight="1">
      <c r="A13" s="1427"/>
      <c r="B13" s="1436"/>
      <c r="C13" s="1437" t="s">
        <v>3447</v>
      </c>
      <c r="D13" s="1429" t="e">
        <f>-#REF!</f>
        <v>#REF!</v>
      </c>
      <c r="E13" s="574"/>
      <c r="F13" s="574"/>
      <c r="G13" s="574"/>
      <c r="H13" s="574"/>
      <c r="I13" s="574"/>
      <c r="J13" s="1433"/>
    </row>
    <row r="14" spans="1:10" ht="20.45" customHeight="1">
      <c r="A14" s="1427"/>
      <c r="B14" s="1436"/>
      <c r="C14" s="1414" t="s">
        <v>3442</v>
      </c>
      <c r="D14" s="1430" t="e">
        <f>SUM(D11:D13)</f>
        <v>#REF!</v>
      </c>
      <c r="E14" s="574"/>
      <c r="F14" s="574"/>
      <c r="G14" s="574"/>
      <c r="H14" s="574"/>
      <c r="I14" s="574"/>
      <c r="J14" s="1433"/>
    </row>
    <row r="15" spans="1:10" ht="20.45" customHeight="1">
      <c r="A15" s="1428"/>
      <c r="B15" s="1414"/>
      <c r="C15" s="1414" t="s">
        <v>3443</v>
      </c>
      <c r="D15" s="1430" t="e">
        <f>D5+D14</f>
        <v>#REF!</v>
      </c>
      <c r="E15" s="574" t="e">
        <f>#REF!</f>
        <v>#REF!</v>
      </c>
      <c r="F15" s="1433" t="e">
        <f>E15-D15</f>
        <v>#REF!</v>
      </c>
      <c r="G15" s="574" t="e">
        <f>#REF!</f>
        <v>#REF!</v>
      </c>
      <c r="H15" s="574"/>
    </row>
    <row r="16" spans="1:10">
      <c r="D16" s="1432"/>
      <c r="E16" s="574"/>
      <c r="F16" s="1434" t="s">
        <v>3438</v>
      </c>
      <c r="G16" s="574" t="e">
        <f>F15-G15</f>
        <v>#REF!</v>
      </c>
      <c r="J16" s="574"/>
    </row>
    <row r="17" spans="4:10">
      <c r="D17" s="574"/>
    </row>
    <row r="18" spans="4:10">
      <c r="H18" t="s">
        <v>373</v>
      </c>
    </row>
    <row r="19" spans="4:10">
      <c r="H19" s="574"/>
      <c r="J19" t="s">
        <v>373</v>
      </c>
    </row>
    <row r="23" spans="4:10">
      <c r="F23" s="574"/>
    </row>
  </sheetData>
  <mergeCells count="8">
    <mergeCell ref="I3:J3"/>
    <mergeCell ref="A1:D1"/>
    <mergeCell ref="B6:B10"/>
    <mergeCell ref="A4:A5"/>
    <mergeCell ref="B4:B5"/>
    <mergeCell ref="A6:A10"/>
    <mergeCell ref="B2:C2"/>
    <mergeCell ref="B3:C3"/>
  </mergeCells>
  <pageMargins left="0.70866141732283472" right="0.70866141732283472" top="0.74803149606299213" bottom="0.74803149606299213"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sheetPr>
    <tabColor theme="1"/>
  </sheetPr>
  <dimension ref="A1:X604"/>
  <sheetViews>
    <sheetView view="pageBreakPreview" zoomScaleSheetLayoutView="100" workbookViewId="0">
      <selection activeCell="D2" sqref="D2:M2"/>
    </sheetView>
  </sheetViews>
  <sheetFormatPr defaultColWidth="9.140625" defaultRowHeight="12"/>
  <cols>
    <col min="1" max="1" width="2.7109375" style="72" customWidth="1"/>
    <col min="2" max="2" width="27.140625" style="43" customWidth="1"/>
    <col min="3" max="3" width="7.42578125" style="43" customWidth="1"/>
    <col min="4" max="4" width="6.7109375" style="43" customWidth="1"/>
    <col min="5" max="5" width="4.7109375" style="121" customWidth="1"/>
    <col min="6" max="6" width="7.7109375" style="43" customWidth="1"/>
    <col min="7" max="7" width="10.28515625" style="43" customWidth="1"/>
    <col min="8" max="8" width="10.28515625" style="63" customWidth="1"/>
    <col min="9" max="10" width="10.28515625" style="43" customWidth="1"/>
    <col min="11" max="11" width="4.7109375" style="61" customWidth="1"/>
    <col min="12" max="12" width="9.7109375" style="43" customWidth="1"/>
    <col min="13" max="13" width="6.5703125" style="43" customWidth="1"/>
    <col min="14" max="14" width="9.7109375" style="43" hidden="1" customWidth="1"/>
    <col min="15" max="17" width="5.7109375" style="43" hidden="1" customWidth="1"/>
    <col min="18" max="18" width="10" style="43" hidden="1" customWidth="1"/>
    <col min="19" max="20" width="5.5703125" style="43" hidden="1" customWidth="1"/>
    <col min="21" max="22" width="0" style="43" hidden="1" customWidth="1"/>
    <col min="23" max="256" width="9.140625" style="43"/>
    <col min="257" max="257" width="2.7109375" style="43" customWidth="1"/>
    <col min="258" max="258" width="27.140625" style="43" customWidth="1"/>
    <col min="259" max="259" width="7.42578125" style="43" customWidth="1"/>
    <col min="260" max="260" width="6.7109375" style="43" customWidth="1"/>
    <col min="261" max="261" width="4.7109375" style="43" customWidth="1"/>
    <col min="262" max="262" width="7.7109375" style="43" customWidth="1"/>
    <col min="263" max="266" width="10.28515625" style="43" customWidth="1"/>
    <col min="267" max="267" width="4.7109375" style="43" customWidth="1"/>
    <col min="268" max="268" width="9.7109375" style="43" customWidth="1"/>
    <col min="269" max="269" width="6.5703125" style="43" customWidth="1"/>
    <col min="270" max="278" width="0" style="43" hidden="1" customWidth="1"/>
    <col min="279" max="512" width="9.140625" style="43"/>
    <col min="513" max="513" width="2.7109375" style="43" customWidth="1"/>
    <col min="514" max="514" width="27.140625" style="43" customWidth="1"/>
    <col min="515" max="515" width="7.42578125" style="43" customWidth="1"/>
    <col min="516" max="516" width="6.7109375" style="43" customWidth="1"/>
    <col min="517" max="517" width="4.7109375" style="43" customWidth="1"/>
    <col min="518" max="518" width="7.7109375" style="43" customWidth="1"/>
    <col min="519" max="522" width="10.28515625" style="43" customWidth="1"/>
    <col min="523" max="523" width="4.7109375" style="43" customWidth="1"/>
    <col min="524" max="524" width="9.7109375" style="43" customWidth="1"/>
    <col min="525" max="525" width="6.5703125" style="43" customWidth="1"/>
    <col min="526" max="534" width="0" style="43" hidden="1" customWidth="1"/>
    <col min="535" max="768" width="9.140625" style="43"/>
    <col min="769" max="769" width="2.7109375" style="43" customWidth="1"/>
    <col min="770" max="770" width="27.140625" style="43" customWidth="1"/>
    <col min="771" max="771" width="7.42578125" style="43" customWidth="1"/>
    <col min="772" max="772" width="6.7109375" style="43" customWidth="1"/>
    <col min="773" max="773" width="4.7109375" style="43" customWidth="1"/>
    <col min="774" max="774" width="7.7109375" style="43" customWidth="1"/>
    <col min="775" max="778" width="10.28515625" style="43" customWidth="1"/>
    <col min="779" max="779" width="4.7109375" style="43" customWidth="1"/>
    <col min="780" max="780" width="9.7109375" style="43" customWidth="1"/>
    <col min="781" max="781" width="6.5703125" style="43" customWidth="1"/>
    <col min="782" max="790" width="0" style="43" hidden="1" customWidth="1"/>
    <col min="791" max="1024" width="9.140625" style="43"/>
    <col min="1025" max="1025" width="2.7109375" style="43" customWidth="1"/>
    <col min="1026" max="1026" width="27.140625" style="43" customWidth="1"/>
    <col min="1027" max="1027" width="7.42578125" style="43" customWidth="1"/>
    <col min="1028" max="1028" width="6.7109375" style="43" customWidth="1"/>
    <col min="1029" max="1029" width="4.7109375" style="43" customWidth="1"/>
    <col min="1030" max="1030" width="7.7109375" style="43" customWidth="1"/>
    <col min="1031" max="1034" width="10.28515625" style="43" customWidth="1"/>
    <col min="1035" max="1035" width="4.7109375" style="43" customWidth="1"/>
    <col min="1036" max="1036" width="9.7109375" style="43" customWidth="1"/>
    <col min="1037" max="1037" width="6.5703125" style="43" customWidth="1"/>
    <col min="1038" max="1046" width="0" style="43" hidden="1" customWidth="1"/>
    <col min="1047" max="1280" width="9.140625" style="43"/>
    <col min="1281" max="1281" width="2.7109375" style="43" customWidth="1"/>
    <col min="1282" max="1282" width="27.140625" style="43" customWidth="1"/>
    <col min="1283" max="1283" width="7.42578125" style="43" customWidth="1"/>
    <col min="1284" max="1284" width="6.7109375" style="43" customWidth="1"/>
    <col min="1285" max="1285" width="4.7109375" style="43" customWidth="1"/>
    <col min="1286" max="1286" width="7.7109375" style="43" customWidth="1"/>
    <col min="1287" max="1290" width="10.28515625" style="43" customWidth="1"/>
    <col min="1291" max="1291" width="4.7109375" style="43" customWidth="1"/>
    <col min="1292" max="1292" width="9.7109375" style="43" customWidth="1"/>
    <col min="1293" max="1293" width="6.5703125" style="43" customWidth="1"/>
    <col min="1294" max="1302" width="0" style="43" hidden="1" customWidth="1"/>
    <col min="1303" max="1536" width="9.140625" style="43"/>
    <col min="1537" max="1537" width="2.7109375" style="43" customWidth="1"/>
    <col min="1538" max="1538" width="27.140625" style="43" customWidth="1"/>
    <col min="1539" max="1539" width="7.42578125" style="43" customWidth="1"/>
    <col min="1540" max="1540" width="6.7109375" style="43" customWidth="1"/>
    <col min="1541" max="1541" width="4.7109375" style="43" customWidth="1"/>
    <col min="1542" max="1542" width="7.7109375" style="43" customWidth="1"/>
    <col min="1543" max="1546" width="10.28515625" style="43" customWidth="1"/>
    <col min="1547" max="1547" width="4.7109375" style="43" customWidth="1"/>
    <col min="1548" max="1548" width="9.7109375" style="43" customWidth="1"/>
    <col min="1549" max="1549" width="6.5703125" style="43" customWidth="1"/>
    <col min="1550" max="1558" width="0" style="43" hidden="1" customWidth="1"/>
    <col min="1559" max="1792" width="9.140625" style="43"/>
    <col min="1793" max="1793" width="2.7109375" style="43" customWidth="1"/>
    <col min="1794" max="1794" width="27.140625" style="43" customWidth="1"/>
    <col min="1795" max="1795" width="7.42578125" style="43" customWidth="1"/>
    <col min="1796" max="1796" width="6.7109375" style="43" customWidth="1"/>
    <col min="1797" max="1797" width="4.7109375" style="43" customWidth="1"/>
    <col min="1798" max="1798" width="7.7109375" style="43" customWidth="1"/>
    <col min="1799" max="1802" width="10.28515625" style="43" customWidth="1"/>
    <col min="1803" max="1803" width="4.7109375" style="43" customWidth="1"/>
    <col min="1804" max="1804" width="9.7109375" style="43" customWidth="1"/>
    <col min="1805" max="1805" width="6.5703125" style="43" customWidth="1"/>
    <col min="1806" max="1814" width="0" style="43" hidden="1" customWidth="1"/>
    <col min="1815" max="2048" width="9.140625" style="43"/>
    <col min="2049" max="2049" width="2.7109375" style="43" customWidth="1"/>
    <col min="2050" max="2050" width="27.140625" style="43" customWidth="1"/>
    <col min="2051" max="2051" width="7.42578125" style="43" customWidth="1"/>
    <col min="2052" max="2052" width="6.7109375" style="43" customWidth="1"/>
    <col min="2053" max="2053" width="4.7109375" style="43" customWidth="1"/>
    <col min="2054" max="2054" width="7.7109375" style="43" customWidth="1"/>
    <col min="2055" max="2058" width="10.28515625" style="43" customWidth="1"/>
    <col min="2059" max="2059" width="4.7109375" style="43" customWidth="1"/>
    <col min="2060" max="2060" width="9.7109375" style="43" customWidth="1"/>
    <col min="2061" max="2061" width="6.5703125" style="43" customWidth="1"/>
    <col min="2062" max="2070" width="0" style="43" hidden="1" customWidth="1"/>
    <col min="2071" max="2304" width="9.140625" style="43"/>
    <col min="2305" max="2305" width="2.7109375" style="43" customWidth="1"/>
    <col min="2306" max="2306" width="27.140625" style="43" customWidth="1"/>
    <col min="2307" max="2307" width="7.42578125" style="43" customWidth="1"/>
    <col min="2308" max="2308" width="6.7109375" style="43" customWidth="1"/>
    <col min="2309" max="2309" width="4.7109375" style="43" customWidth="1"/>
    <col min="2310" max="2310" width="7.7109375" style="43" customWidth="1"/>
    <col min="2311" max="2314" width="10.28515625" style="43" customWidth="1"/>
    <col min="2315" max="2315" width="4.7109375" style="43" customWidth="1"/>
    <col min="2316" max="2316" width="9.7109375" style="43" customWidth="1"/>
    <col min="2317" max="2317" width="6.5703125" style="43" customWidth="1"/>
    <col min="2318" max="2326" width="0" style="43" hidden="1" customWidth="1"/>
    <col min="2327" max="2560" width="9.140625" style="43"/>
    <col min="2561" max="2561" width="2.7109375" style="43" customWidth="1"/>
    <col min="2562" max="2562" width="27.140625" style="43" customWidth="1"/>
    <col min="2563" max="2563" width="7.42578125" style="43" customWidth="1"/>
    <col min="2564" max="2564" width="6.7109375" style="43" customWidth="1"/>
    <col min="2565" max="2565" width="4.7109375" style="43" customWidth="1"/>
    <col min="2566" max="2566" width="7.7109375" style="43" customWidth="1"/>
    <col min="2567" max="2570" width="10.28515625" style="43" customWidth="1"/>
    <col min="2571" max="2571" width="4.7109375" style="43" customWidth="1"/>
    <col min="2572" max="2572" width="9.7109375" style="43" customWidth="1"/>
    <col min="2573" max="2573" width="6.5703125" style="43" customWidth="1"/>
    <col min="2574" max="2582" width="0" style="43" hidden="1" customWidth="1"/>
    <col min="2583" max="2816" width="9.140625" style="43"/>
    <col min="2817" max="2817" width="2.7109375" style="43" customWidth="1"/>
    <col min="2818" max="2818" width="27.140625" style="43" customWidth="1"/>
    <col min="2819" max="2819" width="7.42578125" style="43" customWidth="1"/>
    <col min="2820" max="2820" width="6.7109375" style="43" customWidth="1"/>
    <col min="2821" max="2821" width="4.7109375" style="43" customWidth="1"/>
    <col min="2822" max="2822" width="7.7109375" style="43" customWidth="1"/>
    <col min="2823" max="2826" width="10.28515625" style="43" customWidth="1"/>
    <col min="2827" max="2827" width="4.7109375" style="43" customWidth="1"/>
    <col min="2828" max="2828" width="9.7109375" style="43" customWidth="1"/>
    <col min="2829" max="2829" width="6.5703125" style="43" customWidth="1"/>
    <col min="2830" max="2838" width="0" style="43" hidden="1" customWidth="1"/>
    <col min="2839" max="3072" width="9.140625" style="43"/>
    <col min="3073" max="3073" width="2.7109375" style="43" customWidth="1"/>
    <col min="3074" max="3074" width="27.140625" style="43" customWidth="1"/>
    <col min="3075" max="3075" width="7.42578125" style="43" customWidth="1"/>
    <col min="3076" max="3076" width="6.7109375" style="43" customWidth="1"/>
    <col min="3077" max="3077" width="4.7109375" style="43" customWidth="1"/>
    <col min="3078" max="3078" width="7.7109375" style="43" customWidth="1"/>
    <col min="3079" max="3082" width="10.28515625" style="43" customWidth="1"/>
    <col min="3083" max="3083" width="4.7109375" style="43" customWidth="1"/>
    <col min="3084" max="3084" width="9.7109375" style="43" customWidth="1"/>
    <col min="3085" max="3085" width="6.5703125" style="43" customWidth="1"/>
    <col min="3086" max="3094" width="0" style="43" hidden="1" customWidth="1"/>
    <col min="3095" max="3328" width="9.140625" style="43"/>
    <col min="3329" max="3329" width="2.7109375" style="43" customWidth="1"/>
    <col min="3330" max="3330" width="27.140625" style="43" customWidth="1"/>
    <col min="3331" max="3331" width="7.42578125" style="43" customWidth="1"/>
    <col min="3332" max="3332" width="6.7109375" style="43" customWidth="1"/>
    <col min="3333" max="3333" width="4.7109375" style="43" customWidth="1"/>
    <col min="3334" max="3334" width="7.7109375" style="43" customWidth="1"/>
    <col min="3335" max="3338" width="10.28515625" style="43" customWidth="1"/>
    <col min="3339" max="3339" width="4.7109375" style="43" customWidth="1"/>
    <col min="3340" max="3340" width="9.7109375" style="43" customWidth="1"/>
    <col min="3341" max="3341" width="6.5703125" style="43" customWidth="1"/>
    <col min="3342" max="3350" width="0" style="43" hidden="1" customWidth="1"/>
    <col min="3351" max="3584" width="9.140625" style="43"/>
    <col min="3585" max="3585" width="2.7109375" style="43" customWidth="1"/>
    <col min="3586" max="3586" width="27.140625" style="43" customWidth="1"/>
    <col min="3587" max="3587" width="7.42578125" style="43" customWidth="1"/>
    <col min="3588" max="3588" width="6.7109375" style="43" customWidth="1"/>
    <col min="3589" max="3589" width="4.7109375" style="43" customWidth="1"/>
    <col min="3590" max="3590" width="7.7109375" style="43" customWidth="1"/>
    <col min="3591" max="3594" width="10.28515625" style="43" customWidth="1"/>
    <col min="3595" max="3595" width="4.7109375" style="43" customWidth="1"/>
    <col min="3596" max="3596" width="9.7109375" style="43" customWidth="1"/>
    <col min="3597" max="3597" width="6.5703125" style="43" customWidth="1"/>
    <col min="3598" max="3606" width="0" style="43" hidden="1" customWidth="1"/>
    <col min="3607" max="3840" width="9.140625" style="43"/>
    <col min="3841" max="3841" width="2.7109375" style="43" customWidth="1"/>
    <col min="3842" max="3842" width="27.140625" style="43" customWidth="1"/>
    <col min="3843" max="3843" width="7.42578125" style="43" customWidth="1"/>
    <col min="3844" max="3844" width="6.7109375" style="43" customWidth="1"/>
    <col min="3845" max="3845" width="4.7109375" style="43" customWidth="1"/>
    <col min="3846" max="3846" width="7.7109375" style="43" customWidth="1"/>
    <col min="3847" max="3850" width="10.28515625" style="43" customWidth="1"/>
    <col min="3851" max="3851" width="4.7109375" style="43" customWidth="1"/>
    <col min="3852" max="3852" width="9.7109375" style="43" customWidth="1"/>
    <col min="3853" max="3853" width="6.5703125" style="43" customWidth="1"/>
    <col min="3854" max="3862" width="0" style="43" hidden="1" customWidth="1"/>
    <col min="3863" max="4096" width="9.140625" style="43"/>
    <col min="4097" max="4097" width="2.7109375" style="43" customWidth="1"/>
    <col min="4098" max="4098" width="27.140625" style="43" customWidth="1"/>
    <col min="4099" max="4099" width="7.42578125" style="43" customWidth="1"/>
    <col min="4100" max="4100" width="6.7109375" style="43" customWidth="1"/>
    <col min="4101" max="4101" width="4.7109375" style="43" customWidth="1"/>
    <col min="4102" max="4102" width="7.7109375" style="43" customWidth="1"/>
    <col min="4103" max="4106" width="10.28515625" style="43" customWidth="1"/>
    <col min="4107" max="4107" width="4.7109375" style="43" customWidth="1"/>
    <col min="4108" max="4108" width="9.7109375" style="43" customWidth="1"/>
    <col min="4109" max="4109" width="6.5703125" style="43" customWidth="1"/>
    <col min="4110" max="4118" width="0" style="43" hidden="1" customWidth="1"/>
    <col min="4119" max="4352" width="9.140625" style="43"/>
    <col min="4353" max="4353" width="2.7109375" style="43" customWidth="1"/>
    <col min="4354" max="4354" width="27.140625" style="43" customWidth="1"/>
    <col min="4355" max="4355" width="7.42578125" style="43" customWidth="1"/>
    <col min="4356" max="4356" width="6.7109375" style="43" customWidth="1"/>
    <col min="4357" max="4357" width="4.7109375" style="43" customWidth="1"/>
    <col min="4358" max="4358" width="7.7109375" style="43" customWidth="1"/>
    <col min="4359" max="4362" width="10.28515625" style="43" customWidth="1"/>
    <col min="4363" max="4363" width="4.7109375" style="43" customWidth="1"/>
    <col min="4364" max="4364" width="9.7109375" style="43" customWidth="1"/>
    <col min="4365" max="4365" width="6.5703125" style="43" customWidth="1"/>
    <col min="4366" max="4374" width="0" style="43" hidden="1" customWidth="1"/>
    <col min="4375" max="4608" width="9.140625" style="43"/>
    <col min="4609" max="4609" width="2.7109375" style="43" customWidth="1"/>
    <col min="4610" max="4610" width="27.140625" style="43" customWidth="1"/>
    <col min="4611" max="4611" width="7.42578125" style="43" customWidth="1"/>
    <col min="4612" max="4612" width="6.7109375" style="43" customWidth="1"/>
    <col min="4613" max="4613" width="4.7109375" style="43" customWidth="1"/>
    <col min="4614" max="4614" width="7.7109375" style="43" customWidth="1"/>
    <col min="4615" max="4618" width="10.28515625" style="43" customWidth="1"/>
    <col min="4619" max="4619" width="4.7109375" style="43" customWidth="1"/>
    <col min="4620" max="4620" width="9.7109375" style="43" customWidth="1"/>
    <col min="4621" max="4621" width="6.5703125" style="43" customWidth="1"/>
    <col min="4622" max="4630" width="0" style="43" hidden="1" customWidth="1"/>
    <col min="4631" max="4864" width="9.140625" style="43"/>
    <col min="4865" max="4865" width="2.7109375" style="43" customWidth="1"/>
    <col min="4866" max="4866" width="27.140625" style="43" customWidth="1"/>
    <col min="4867" max="4867" width="7.42578125" style="43" customWidth="1"/>
    <col min="4868" max="4868" width="6.7109375" style="43" customWidth="1"/>
    <col min="4869" max="4869" width="4.7109375" style="43" customWidth="1"/>
    <col min="4870" max="4870" width="7.7109375" style="43" customWidth="1"/>
    <col min="4871" max="4874" width="10.28515625" style="43" customWidth="1"/>
    <col min="4875" max="4875" width="4.7109375" style="43" customWidth="1"/>
    <col min="4876" max="4876" width="9.7109375" style="43" customWidth="1"/>
    <col min="4877" max="4877" width="6.5703125" style="43" customWidth="1"/>
    <col min="4878" max="4886" width="0" style="43" hidden="1" customWidth="1"/>
    <col min="4887" max="5120" width="9.140625" style="43"/>
    <col min="5121" max="5121" width="2.7109375" style="43" customWidth="1"/>
    <col min="5122" max="5122" width="27.140625" style="43" customWidth="1"/>
    <col min="5123" max="5123" width="7.42578125" style="43" customWidth="1"/>
    <col min="5124" max="5124" width="6.7109375" style="43" customWidth="1"/>
    <col min="5125" max="5125" width="4.7109375" style="43" customWidth="1"/>
    <col min="5126" max="5126" width="7.7109375" style="43" customWidth="1"/>
    <col min="5127" max="5130" width="10.28515625" style="43" customWidth="1"/>
    <col min="5131" max="5131" width="4.7109375" style="43" customWidth="1"/>
    <col min="5132" max="5132" width="9.7109375" style="43" customWidth="1"/>
    <col min="5133" max="5133" width="6.5703125" style="43" customWidth="1"/>
    <col min="5134" max="5142" width="0" style="43" hidden="1" customWidth="1"/>
    <col min="5143" max="5376" width="9.140625" style="43"/>
    <col min="5377" max="5377" width="2.7109375" style="43" customWidth="1"/>
    <col min="5378" max="5378" width="27.140625" style="43" customWidth="1"/>
    <col min="5379" max="5379" width="7.42578125" style="43" customWidth="1"/>
    <col min="5380" max="5380" width="6.7109375" style="43" customWidth="1"/>
    <col min="5381" max="5381" width="4.7109375" style="43" customWidth="1"/>
    <col min="5382" max="5382" width="7.7109375" style="43" customWidth="1"/>
    <col min="5383" max="5386" width="10.28515625" style="43" customWidth="1"/>
    <col min="5387" max="5387" width="4.7109375" style="43" customWidth="1"/>
    <col min="5388" max="5388" width="9.7109375" style="43" customWidth="1"/>
    <col min="5389" max="5389" width="6.5703125" style="43" customWidth="1"/>
    <col min="5390" max="5398" width="0" style="43" hidden="1" customWidth="1"/>
    <col min="5399" max="5632" width="9.140625" style="43"/>
    <col min="5633" max="5633" width="2.7109375" style="43" customWidth="1"/>
    <col min="5634" max="5634" width="27.140625" style="43" customWidth="1"/>
    <col min="5635" max="5635" width="7.42578125" style="43" customWidth="1"/>
    <col min="5636" max="5636" width="6.7109375" style="43" customWidth="1"/>
    <col min="5637" max="5637" width="4.7109375" style="43" customWidth="1"/>
    <col min="5638" max="5638" width="7.7109375" style="43" customWidth="1"/>
    <col min="5639" max="5642" width="10.28515625" style="43" customWidth="1"/>
    <col min="5643" max="5643" width="4.7109375" style="43" customWidth="1"/>
    <col min="5644" max="5644" width="9.7109375" style="43" customWidth="1"/>
    <col min="5645" max="5645" width="6.5703125" style="43" customWidth="1"/>
    <col min="5646" max="5654" width="0" style="43" hidden="1" customWidth="1"/>
    <col min="5655" max="5888" width="9.140625" style="43"/>
    <col min="5889" max="5889" width="2.7109375" style="43" customWidth="1"/>
    <col min="5890" max="5890" width="27.140625" style="43" customWidth="1"/>
    <col min="5891" max="5891" width="7.42578125" style="43" customWidth="1"/>
    <col min="5892" max="5892" width="6.7109375" style="43" customWidth="1"/>
    <col min="5893" max="5893" width="4.7109375" style="43" customWidth="1"/>
    <col min="5894" max="5894" width="7.7109375" style="43" customWidth="1"/>
    <col min="5895" max="5898" width="10.28515625" style="43" customWidth="1"/>
    <col min="5899" max="5899" width="4.7109375" style="43" customWidth="1"/>
    <col min="5900" max="5900" width="9.7109375" style="43" customWidth="1"/>
    <col min="5901" max="5901" width="6.5703125" style="43" customWidth="1"/>
    <col min="5902" max="5910" width="0" style="43" hidden="1" customWidth="1"/>
    <col min="5911" max="6144" width="9.140625" style="43"/>
    <col min="6145" max="6145" width="2.7109375" style="43" customWidth="1"/>
    <col min="6146" max="6146" width="27.140625" style="43" customWidth="1"/>
    <col min="6147" max="6147" width="7.42578125" style="43" customWidth="1"/>
    <col min="6148" max="6148" width="6.7109375" style="43" customWidth="1"/>
    <col min="6149" max="6149" width="4.7109375" style="43" customWidth="1"/>
    <col min="6150" max="6150" width="7.7109375" style="43" customWidth="1"/>
    <col min="6151" max="6154" width="10.28515625" style="43" customWidth="1"/>
    <col min="6155" max="6155" width="4.7109375" style="43" customWidth="1"/>
    <col min="6156" max="6156" width="9.7109375" style="43" customWidth="1"/>
    <col min="6157" max="6157" width="6.5703125" style="43" customWidth="1"/>
    <col min="6158" max="6166" width="0" style="43" hidden="1" customWidth="1"/>
    <col min="6167" max="6400" width="9.140625" style="43"/>
    <col min="6401" max="6401" width="2.7109375" style="43" customWidth="1"/>
    <col min="6402" max="6402" width="27.140625" style="43" customWidth="1"/>
    <col min="6403" max="6403" width="7.42578125" style="43" customWidth="1"/>
    <col min="6404" max="6404" width="6.7109375" style="43" customWidth="1"/>
    <col min="6405" max="6405" width="4.7109375" style="43" customWidth="1"/>
    <col min="6406" max="6406" width="7.7109375" style="43" customWidth="1"/>
    <col min="6407" max="6410" width="10.28515625" style="43" customWidth="1"/>
    <col min="6411" max="6411" width="4.7109375" style="43" customWidth="1"/>
    <col min="6412" max="6412" width="9.7109375" style="43" customWidth="1"/>
    <col min="6413" max="6413" width="6.5703125" style="43" customWidth="1"/>
    <col min="6414" max="6422" width="0" style="43" hidden="1" customWidth="1"/>
    <col min="6423" max="6656" width="9.140625" style="43"/>
    <col min="6657" max="6657" width="2.7109375" style="43" customWidth="1"/>
    <col min="6658" max="6658" width="27.140625" style="43" customWidth="1"/>
    <col min="6659" max="6659" width="7.42578125" style="43" customWidth="1"/>
    <col min="6660" max="6660" width="6.7109375" style="43" customWidth="1"/>
    <col min="6661" max="6661" width="4.7109375" style="43" customWidth="1"/>
    <col min="6662" max="6662" width="7.7109375" style="43" customWidth="1"/>
    <col min="6663" max="6666" width="10.28515625" style="43" customWidth="1"/>
    <col min="6667" max="6667" width="4.7109375" style="43" customWidth="1"/>
    <col min="6668" max="6668" width="9.7109375" style="43" customWidth="1"/>
    <col min="6669" max="6669" width="6.5703125" style="43" customWidth="1"/>
    <col min="6670" max="6678" width="0" style="43" hidden="1" customWidth="1"/>
    <col min="6679" max="6912" width="9.140625" style="43"/>
    <col min="6913" max="6913" width="2.7109375" style="43" customWidth="1"/>
    <col min="6914" max="6914" width="27.140625" style="43" customWidth="1"/>
    <col min="6915" max="6915" width="7.42578125" style="43" customWidth="1"/>
    <col min="6916" max="6916" width="6.7109375" style="43" customWidth="1"/>
    <col min="6917" max="6917" width="4.7109375" style="43" customWidth="1"/>
    <col min="6918" max="6918" width="7.7109375" style="43" customWidth="1"/>
    <col min="6919" max="6922" width="10.28515625" style="43" customWidth="1"/>
    <col min="6923" max="6923" width="4.7109375" style="43" customWidth="1"/>
    <col min="6924" max="6924" width="9.7109375" style="43" customWidth="1"/>
    <col min="6925" max="6925" width="6.5703125" style="43" customWidth="1"/>
    <col min="6926" max="6934" width="0" style="43" hidden="1" customWidth="1"/>
    <col min="6935" max="7168" width="9.140625" style="43"/>
    <col min="7169" max="7169" width="2.7109375" style="43" customWidth="1"/>
    <col min="7170" max="7170" width="27.140625" style="43" customWidth="1"/>
    <col min="7171" max="7171" width="7.42578125" style="43" customWidth="1"/>
    <col min="7172" max="7172" width="6.7109375" style="43" customWidth="1"/>
    <col min="7173" max="7173" width="4.7109375" style="43" customWidth="1"/>
    <col min="7174" max="7174" width="7.7109375" style="43" customWidth="1"/>
    <col min="7175" max="7178" width="10.28515625" style="43" customWidth="1"/>
    <col min="7179" max="7179" width="4.7109375" style="43" customWidth="1"/>
    <col min="7180" max="7180" width="9.7109375" style="43" customWidth="1"/>
    <col min="7181" max="7181" width="6.5703125" style="43" customWidth="1"/>
    <col min="7182" max="7190" width="0" style="43" hidden="1" customWidth="1"/>
    <col min="7191" max="7424" width="9.140625" style="43"/>
    <col min="7425" max="7425" width="2.7109375" style="43" customWidth="1"/>
    <col min="7426" max="7426" width="27.140625" style="43" customWidth="1"/>
    <col min="7427" max="7427" width="7.42578125" style="43" customWidth="1"/>
    <col min="7428" max="7428" width="6.7109375" style="43" customWidth="1"/>
    <col min="7429" max="7429" width="4.7109375" style="43" customWidth="1"/>
    <col min="7430" max="7430" width="7.7109375" style="43" customWidth="1"/>
    <col min="7431" max="7434" width="10.28515625" style="43" customWidth="1"/>
    <col min="7435" max="7435" width="4.7109375" style="43" customWidth="1"/>
    <col min="7436" max="7436" width="9.7109375" style="43" customWidth="1"/>
    <col min="7437" max="7437" width="6.5703125" style="43" customWidth="1"/>
    <col min="7438" max="7446" width="0" style="43" hidden="1" customWidth="1"/>
    <col min="7447" max="7680" width="9.140625" style="43"/>
    <col min="7681" max="7681" width="2.7109375" style="43" customWidth="1"/>
    <col min="7682" max="7682" width="27.140625" style="43" customWidth="1"/>
    <col min="7683" max="7683" width="7.42578125" style="43" customWidth="1"/>
    <col min="7684" max="7684" width="6.7109375" style="43" customWidth="1"/>
    <col min="7685" max="7685" width="4.7109375" style="43" customWidth="1"/>
    <col min="7686" max="7686" width="7.7109375" style="43" customWidth="1"/>
    <col min="7687" max="7690" width="10.28515625" style="43" customWidth="1"/>
    <col min="7691" max="7691" width="4.7109375" style="43" customWidth="1"/>
    <col min="7692" max="7692" width="9.7109375" style="43" customWidth="1"/>
    <col min="7693" max="7693" width="6.5703125" style="43" customWidth="1"/>
    <col min="7694" max="7702" width="0" style="43" hidden="1" customWidth="1"/>
    <col min="7703" max="7936" width="9.140625" style="43"/>
    <col min="7937" max="7937" width="2.7109375" style="43" customWidth="1"/>
    <col min="7938" max="7938" width="27.140625" style="43" customWidth="1"/>
    <col min="7939" max="7939" width="7.42578125" style="43" customWidth="1"/>
    <col min="7940" max="7940" width="6.7109375" style="43" customWidth="1"/>
    <col min="7941" max="7941" width="4.7109375" style="43" customWidth="1"/>
    <col min="7942" max="7942" width="7.7109375" style="43" customWidth="1"/>
    <col min="7943" max="7946" width="10.28515625" style="43" customWidth="1"/>
    <col min="7947" max="7947" width="4.7109375" style="43" customWidth="1"/>
    <col min="7948" max="7948" width="9.7109375" style="43" customWidth="1"/>
    <col min="7949" max="7949" width="6.5703125" style="43" customWidth="1"/>
    <col min="7950" max="7958" width="0" style="43" hidden="1" customWidth="1"/>
    <col min="7959" max="8192" width="9.140625" style="43"/>
    <col min="8193" max="8193" width="2.7109375" style="43" customWidth="1"/>
    <col min="8194" max="8194" width="27.140625" style="43" customWidth="1"/>
    <col min="8195" max="8195" width="7.42578125" style="43" customWidth="1"/>
    <col min="8196" max="8196" width="6.7109375" style="43" customWidth="1"/>
    <col min="8197" max="8197" width="4.7109375" style="43" customWidth="1"/>
    <col min="8198" max="8198" width="7.7109375" style="43" customWidth="1"/>
    <col min="8199" max="8202" width="10.28515625" style="43" customWidth="1"/>
    <col min="8203" max="8203" width="4.7109375" style="43" customWidth="1"/>
    <col min="8204" max="8204" width="9.7109375" style="43" customWidth="1"/>
    <col min="8205" max="8205" width="6.5703125" style="43" customWidth="1"/>
    <col min="8206" max="8214" width="0" style="43" hidden="1" customWidth="1"/>
    <col min="8215" max="8448" width="9.140625" style="43"/>
    <col min="8449" max="8449" width="2.7109375" style="43" customWidth="1"/>
    <col min="8450" max="8450" width="27.140625" style="43" customWidth="1"/>
    <col min="8451" max="8451" width="7.42578125" style="43" customWidth="1"/>
    <col min="8452" max="8452" width="6.7109375" style="43" customWidth="1"/>
    <col min="8453" max="8453" width="4.7109375" style="43" customWidth="1"/>
    <col min="8454" max="8454" width="7.7109375" style="43" customWidth="1"/>
    <col min="8455" max="8458" width="10.28515625" style="43" customWidth="1"/>
    <col min="8459" max="8459" width="4.7109375" style="43" customWidth="1"/>
    <col min="8460" max="8460" width="9.7109375" style="43" customWidth="1"/>
    <col min="8461" max="8461" width="6.5703125" style="43" customWidth="1"/>
    <col min="8462" max="8470" width="0" style="43" hidden="1" customWidth="1"/>
    <col min="8471" max="8704" width="9.140625" style="43"/>
    <col min="8705" max="8705" width="2.7109375" style="43" customWidth="1"/>
    <col min="8706" max="8706" width="27.140625" style="43" customWidth="1"/>
    <col min="8707" max="8707" width="7.42578125" style="43" customWidth="1"/>
    <col min="8708" max="8708" width="6.7109375" style="43" customWidth="1"/>
    <col min="8709" max="8709" width="4.7109375" style="43" customWidth="1"/>
    <col min="8710" max="8710" width="7.7109375" style="43" customWidth="1"/>
    <col min="8711" max="8714" width="10.28515625" style="43" customWidth="1"/>
    <col min="8715" max="8715" width="4.7109375" style="43" customWidth="1"/>
    <col min="8716" max="8716" width="9.7109375" style="43" customWidth="1"/>
    <col min="8717" max="8717" width="6.5703125" style="43" customWidth="1"/>
    <col min="8718" max="8726" width="0" style="43" hidden="1" customWidth="1"/>
    <col min="8727" max="8960" width="9.140625" style="43"/>
    <col min="8961" max="8961" width="2.7109375" style="43" customWidth="1"/>
    <col min="8962" max="8962" width="27.140625" style="43" customWidth="1"/>
    <col min="8963" max="8963" width="7.42578125" style="43" customWidth="1"/>
    <col min="8964" max="8964" width="6.7109375" style="43" customWidth="1"/>
    <col min="8965" max="8965" width="4.7109375" style="43" customWidth="1"/>
    <col min="8966" max="8966" width="7.7109375" style="43" customWidth="1"/>
    <col min="8967" max="8970" width="10.28515625" style="43" customWidth="1"/>
    <col min="8971" max="8971" width="4.7109375" style="43" customWidth="1"/>
    <col min="8972" max="8972" width="9.7109375" style="43" customWidth="1"/>
    <col min="8973" max="8973" width="6.5703125" style="43" customWidth="1"/>
    <col min="8974" max="8982" width="0" style="43" hidden="1" customWidth="1"/>
    <col min="8983" max="9216" width="9.140625" style="43"/>
    <col min="9217" max="9217" width="2.7109375" style="43" customWidth="1"/>
    <col min="9218" max="9218" width="27.140625" style="43" customWidth="1"/>
    <col min="9219" max="9219" width="7.42578125" style="43" customWidth="1"/>
    <col min="9220" max="9220" width="6.7109375" style="43" customWidth="1"/>
    <col min="9221" max="9221" width="4.7109375" style="43" customWidth="1"/>
    <col min="9222" max="9222" width="7.7109375" style="43" customWidth="1"/>
    <col min="9223" max="9226" width="10.28515625" style="43" customWidth="1"/>
    <col min="9227" max="9227" width="4.7109375" style="43" customWidth="1"/>
    <col min="9228" max="9228" width="9.7109375" style="43" customWidth="1"/>
    <col min="9229" max="9229" width="6.5703125" style="43" customWidth="1"/>
    <col min="9230" max="9238" width="0" style="43" hidden="1" customWidth="1"/>
    <col min="9239" max="9472" width="9.140625" style="43"/>
    <col min="9473" max="9473" width="2.7109375" style="43" customWidth="1"/>
    <col min="9474" max="9474" width="27.140625" style="43" customWidth="1"/>
    <col min="9475" max="9475" width="7.42578125" style="43" customWidth="1"/>
    <col min="9476" max="9476" width="6.7109375" style="43" customWidth="1"/>
    <col min="9477" max="9477" width="4.7109375" style="43" customWidth="1"/>
    <col min="9478" max="9478" width="7.7109375" style="43" customWidth="1"/>
    <col min="9479" max="9482" width="10.28515625" style="43" customWidth="1"/>
    <col min="9483" max="9483" width="4.7109375" style="43" customWidth="1"/>
    <col min="9484" max="9484" width="9.7109375" style="43" customWidth="1"/>
    <col min="9485" max="9485" width="6.5703125" style="43" customWidth="1"/>
    <col min="9486" max="9494" width="0" style="43" hidden="1" customWidth="1"/>
    <col min="9495" max="9728" width="9.140625" style="43"/>
    <col min="9729" max="9729" width="2.7109375" style="43" customWidth="1"/>
    <col min="9730" max="9730" width="27.140625" style="43" customWidth="1"/>
    <col min="9731" max="9731" width="7.42578125" style="43" customWidth="1"/>
    <col min="9732" max="9732" width="6.7109375" style="43" customWidth="1"/>
    <col min="9733" max="9733" width="4.7109375" style="43" customWidth="1"/>
    <col min="9734" max="9734" width="7.7109375" style="43" customWidth="1"/>
    <col min="9735" max="9738" width="10.28515625" style="43" customWidth="1"/>
    <col min="9739" max="9739" width="4.7109375" style="43" customWidth="1"/>
    <col min="9740" max="9740" width="9.7109375" style="43" customWidth="1"/>
    <col min="9741" max="9741" width="6.5703125" style="43" customWidth="1"/>
    <col min="9742" max="9750" width="0" style="43" hidden="1" customWidth="1"/>
    <col min="9751" max="9984" width="9.140625" style="43"/>
    <col min="9985" max="9985" width="2.7109375" style="43" customWidth="1"/>
    <col min="9986" max="9986" width="27.140625" style="43" customWidth="1"/>
    <col min="9987" max="9987" width="7.42578125" style="43" customWidth="1"/>
    <col min="9988" max="9988" width="6.7109375" style="43" customWidth="1"/>
    <col min="9989" max="9989" width="4.7109375" style="43" customWidth="1"/>
    <col min="9990" max="9990" width="7.7109375" style="43" customWidth="1"/>
    <col min="9991" max="9994" width="10.28515625" style="43" customWidth="1"/>
    <col min="9995" max="9995" width="4.7109375" style="43" customWidth="1"/>
    <col min="9996" max="9996" width="9.7109375" style="43" customWidth="1"/>
    <col min="9997" max="9997" width="6.5703125" style="43" customWidth="1"/>
    <col min="9998" max="10006" width="0" style="43" hidden="1" customWidth="1"/>
    <col min="10007" max="10240" width="9.140625" style="43"/>
    <col min="10241" max="10241" width="2.7109375" style="43" customWidth="1"/>
    <col min="10242" max="10242" width="27.140625" style="43" customWidth="1"/>
    <col min="10243" max="10243" width="7.42578125" style="43" customWidth="1"/>
    <col min="10244" max="10244" width="6.7109375" style="43" customWidth="1"/>
    <col min="10245" max="10245" width="4.7109375" style="43" customWidth="1"/>
    <col min="10246" max="10246" width="7.7109375" style="43" customWidth="1"/>
    <col min="10247" max="10250" width="10.28515625" style="43" customWidth="1"/>
    <col min="10251" max="10251" width="4.7109375" style="43" customWidth="1"/>
    <col min="10252" max="10252" width="9.7109375" style="43" customWidth="1"/>
    <col min="10253" max="10253" width="6.5703125" style="43" customWidth="1"/>
    <col min="10254" max="10262" width="0" style="43" hidden="1" customWidth="1"/>
    <col min="10263" max="10496" width="9.140625" style="43"/>
    <col min="10497" max="10497" width="2.7109375" style="43" customWidth="1"/>
    <col min="10498" max="10498" width="27.140625" style="43" customWidth="1"/>
    <col min="10499" max="10499" width="7.42578125" style="43" customWidth="1"/>
    <col min="10500" max="10500" width="6.7109375" style="43" customWidth="1"/>
    <col min="10501" max="10501" width="4.7109375" style="43" customWidth="1"/>
    <col min="10502" max="10502" width="7.7109375" style="43" customWidth="1"/>
    <col min="10503" max="10506" width="10.28515625" style="43" customWidth="1"/>
    <col min="10507" max="10507" width="4.7109375" style="43" customWidth="1"/>
    <col min="10508" max="10508" width="9.7109375" style="43" customWidth="1"/>
    <col min="10509" max="10509" width="6.5703125" style="43" customWidth="1"/>
    <col min="10510" max="10518" width="0" style="43" hidden="1" customWidth="1"/>
    <col min="10519" max="10752" width="9.140625" style="43"/>
    <col min="10753" max="10753" width="2.7109375" style="43" customWidth="1"/>
    <col min="10754" max="10754" width="27.140625" style="43" customWidth="1"/>
    <col min="10755" max="10755" width="7.42578125" style="43" customWidth="1"/>
    <col min="10756" max="10756" width="6.7109375" style="43" customWidth="1"/>
    <col min="10757" max="10757" width="4.7109375" style="43" customWidth="1"/>
    <col min="10758" max="10758" width="7.7109375" style="43" customWidth="1"/>
    <col min="10759" max="10762" width="10.28515625" style="43" customWidth="1"/>
    <col min="10763" max="10763" width="4.7109375" style="43" customWidth="1"/>
    <col min="10764" max="10764" width="9.7109375" style="43" customWidth="1"/>
    <col min="10765" max="10765" width="6.5703125" style="43" customWidth="1"/>
    <col min="10766" max="10774" width="0" style="43" hidden="1" customWidth="1"/>
    <col min="10775" max="11008" width="9.140625" style="43"/>
    <col min="11009" max="11009" width="2.7109375" style="43" customWidth="1"/>
    <col min="11010" max="11010" width="27.140625" style="43" customWidth="1"/>
    <col min="11011" max="11011" width="7.42578125" style="43" customWidth="1"/>
    <col min="11012" max="11012" width="6.7109375" style="43" customWidth="1"/>
    <col min="11013" max="11013" width="4.7109375" style="43" customWidth="1"/>
    <col min="11014" max="11014" width="7.7109375" style="43" customWidth="1"/>
    <col min="11015" max="11018" width="10.28515625" style="43" customWidth="1"/>
    <col min="11019" max="11019" width="4.7109375" style="43" customWidth="1"/>
    <col min="11020" max="11020" width="9.7109375" style="43" customWidth="1"/>
    <col min="11021" max="11021" width="6.5703125" style="43" customWidth="1"/>
    <col min="11022" max="11030" width="0" style="43" hidden="1" customWidth="1"/>
    <col min="11031" max="11264" width="9.140625" style="43"/>
    <col min="11265" max="11265" width="2.7109375" style="43" customWidth="1"/>
    <col min="11266" max="11266" width="27.140625" style="43" customWidth="1"/>
    <col min="11267" max="11267" width="7.42578125" style="43" customWidth="1"/>
    <col min="11268" max="11268" width="6.7109375" style="43" customWidth="1"/>
    <col min="11269" max="11269" width="4.7109375" style="43" customWidth="1"/>
    <col min="11270" max="11270" width="7.7109375" style="43" customWidth="1"/>
    <col min="11271" max="11274" width="10.28515625" style="43" customWidth="1"/>
    <col min="11275" max="11275" width="4.7109375" style="43" customWidth="1"/>
    <col min="11276" max="11276" width="9.7109375" style="43" customWidth="1"/>
    <col min="11277" max="11277" width="6.5703125" style="43" customWidth="1"/>
    <col min="11278" max="11286" width="0" style="43" hidden="1" customWidth="1"/>
    <col min="11287" max="11520" width="9.140625" style="43"/>
    <col min="11521" max="11521" width="2.7109375" style="43" customWidth="1"/>
    <col min="11522" max="11522" width="27.140625" style="43" customWidth="1"/>
    <col min="11523" max="11523" width="7.42578125" style="43" customWidth="1"/>
    <col min="11524" max="11524" width="6.7109375" style="43" customWidth="1"/>
    <col min="11525" max="11525" width="4.7109375" style="43" customWidth="1"/>
    <col min="11526" max="11526" width="7.7109375" style="43" customWidth="1"/>
    <col min="11527" max="11530" width="10.28515625" style="43" customWidth="1"/>
    <col min="11531" max="11531" width="4.7109375" style="43" customWidth="1"/>
    <col min="11532" max="11532" width="9.7109375" style="43" customWidth="1"/>
    <col min="11533" max="11533" width="6.5703125" style="43" customWidth="1"/>
    <col min="11534" max="11542" width="0" style="43" hidden="1" customWidth="1"/>
    <col min="11543" max="11776" width="9.140625" style="43"/>
    <col min="11777" max="11777" width="2.7109375" style="43" customWidth="1"/>
    <col min="11778" max="11778" width="27.140625" style="43" customWidth="1"/>
    <col min="11779" max="11779" width="7.42578125" style="43" customWidth="1"/>
    <col min="11780" max="11780" width="6.7109375" style="43" customWidth="1"/>
    <col min="11781" max="11781" width="4.7109375" style="43" customWidth="1"/>
    <col min="11782" max="11782" width="7.7109375" style="43" customWidth="1"/>
    <col min="11783" max="11786" width="10.28515625" style="43" customWidth="1"/>
    <col min="11787" max="11787" width="4.7109375" style="43" customWidth="1"/>
    <col min="11788" max="11788" width="9.7109375" style="43" customWidth="1"/>
    <col min="11789" max="11789" width="6.5703125" style="43" customWidth="1"/>
    <col min="11790" max="11798" width="0" style="43" hidden="1" customWidth="1"/>
    <col min="11799" max="12032" width="9.140625" style="43"/>
    <col min="12033" max="12033" width="2.7109375" style="43" customWidth="1"/>
    <col min="12034" max="12034" width="27.140625" style="43" customWidth="1"/>
    <col min="12035" max="12035" width="7.42578125" style="43" customWidth="1"/>
    <col min="12036" max="12036" width="6.7109375" style="43" customWidth="1"/>
    <col min="12037" max="12037" width="4.7109375" style="43" customWidth="1"/>
    <col min="12038" max="12038" width="7.7109375" style="43" customWidth="1"/>
    <col min="12039" max="12042" width="10.28515625" style="43" customWidth="1"/>
    <col min="12043" max="12043" width="4.7109375" style="43" customWidth="1"/>
    <col min="12044" max="12044" width="9.7109375" style="43" customWidth="1"/>
    <col min="12045" max="12045" width="6.5703125" style="43" customWidth="1"/>
    <col min="12046" max="12054" width="0" style="43" hidden="1" customWidth="1"/>
    <col min="12055" max="12288" width="9.140625" style="43"/>
    <col min="12289" max="12289" width="2.7109375" style="43" customWidth="1"/>
    <col min="12290" max="12290" width="27.140625" style="43" customWidth="1"/>
    <col min="12291" max="12291" width="7.42578125" style="43" customWidth="1"/>
    <col min="12292" max="12292" width="6.7109375" style="43" customWidth="1"/>
    <col min="12293" max="12293" width="4.7109375" style="43" customWidth="1"/>
    <col min="12294" max="12294" width="7.7109375" style="43" customWidth="1"/>
    <col min="12295" max="12298" width="10.28515625" style="43" customWidth="1"/>
    <col min="12299" max="12299" width="4.7109375" style="43" customWidth="1"/>
    <col min="12300" max="12300" width="9.7109375" style="43" customWidth="1"/>
    <col min="12301" max="12301" width="6.5703125" style="43" customWidth="1"/>
    <col min="12302" max="12310" width="0" style="43" hidden="1" customWidth="1"/>
    <col min="12311" max="12544" width="9.140625" style="43"/>
    <col min="12545" max="12545" width="2.7109375" style="43" customWidth="1"/>
    <col min="12546" max="12546" width="27.140625" style="43" customWidth="1"/>
    <col min="12547" max="12547" width="7.42578125" style="43" customWidth="1"/>
    <col min="12548" max="12548" width="6.7109375" style="43" customWidth="1"/>
    <col min="12549" max="12549" width="4.7109375" style="43" customWidth="1"/>
    <col min="12550" max="12550" width="7.7109375" style="43" customWidth="1"/>
    <col min="12551" max="12554" width="10.28515625" style="43" customWidth="1"/>
    <col min="12555" max="12555" width="4.7109375" style="43" customWidth="1"/>
    <col min="12556" max="12556" width="9.7109375" style="43" customWidth="1"/>
    <col min="12557" max="12557" width="6.5703125" style="43" customWidth="1"/>
    <col min="12558" max="12566" width="0" style="43" hidden="1" customWidth="1"/>
    <col min="12567" max="12800" width="9.140625" style="43"/>
    <col min="12801" max="12801" width="2.7109375" style="43" customWidth="1"/>
    <col min="12802" max="12802" width="27.140625" style="43" customWidth="1"/>
    <col min="12803" max="12803" width="7.42578125" style="43" customWidth="1"/>
    <col min="12804" max="12804" width="6.7109375" style="43" customWidth="1"/>
    <col min="12805" max="12805" width="4.7109375" style="43" customWidth="1"/>
    <col min="12806" max="12806" width="7.7109375" style="43" customWidth="1"/>
    <col min="12807" max="12810" width="10.28515625" style="43" customWidth="1"/>
    <col min="12811" max="12811" width="4.7109375" style="43" customWidth="1"/>
    <col min="12812" max="12812" width="9.7109375" style="43" customWidth="1"/>
    <col min="12813" max="12813" width="6.5703125" style="43" customWidth="1"/>
    <col min="12814" max="12822" width="0" style="43" hidden="1" customWidth="1"/>
    <col min="12823" max="13056" width="9.140625" style="43"/>
    <col min="13057" max="13057" width="2.7109375" style="43" customWidth="1"/>
    <col min="13058" max="13058" width="27.140625" style="43" customWidth="1"/>
    <col min="13059" max="13059" width="7.42578125" style="43" customWidth="1"/>
    <col min="13060" max="13060" width="6.7109375" style="43" customWidth="1"/>
    <col min="13061" max="13061" width="4.7109375" style="43" customWidth="1"/>
    <col min="13062" max="13062" width="7.7109375" style="43" customWidth="1"/>
    <col min="13063" max="13066" width="10.28515625" style="43" customWidth="1"/>
    <col min="13067" max="13067" width="4.7109375" style="43" customWidth="1"/>
    <col min="13068" max="13068" width="9.7109375" style="43" customWidth="1"/>
    <col min="13069" max="13069" width="6.5703125" style="43" customWidth="1"/>
    <col min="13070" max="13078" width="0" style="43" hidden="1" customWidth="1"/>
    <col min="13079" max="13312" width="9.140625" style="43"/>
    <col min="13313" max="13313" width="2.7109375" style="43" customWidth="1"/>
    <col min="13314" max="13314" width="27.140625" style="43" customWidth="1"/>
    <col min="13315" max="13315" width="7.42578125" style="43" customWidth="1"/>
    <col min="13316" max="13316" width="6.7109375" style="43" customWidth="1"/>
    <col min="13317" max="13317" width="4.7109375" style="43" customWidth="1"/>
    <col min="13318" max="13318" width="7.7109375" style="43" customWidth="1"/>
    <col min="13319" max="13322" width="10.28515625" style="43" customWidth="1"/>
    <col min="13323" max="13323" width="4.7109375" style="43" customWidth="1"/>
    <col min="13324" max="13324" width="9.7109375" style="43" customWidth="1"/>
    <col min="13325" max="13325" width="6.5703125" style="43" customWidth="1"/>
    <col min="13326" max="13334" width="0" style="43" hidden="1" customWidth="1"/>
    <col min="13335" max="13568" width="9.140625" style="43"/>
    <col min="13569" max="13569" width="2.7109375" style="43" customWidth="1"/>
    <col min="13570" max="13570" width="27.140625" style="43" customWidth="1"/>
    <col min="13571" max="13571" width="7.42578125" style="43" customWidth="1"/>
    <col min="13572" max="13572" width="6.7109375" style="43" customWidth="1"/>
    <col min="13573" max="13573" width="4.7109375" style="43" customWidth="1"/>
    <col min="13574" max="13574" width="7.7109375" style="43" customWidth="1"/>
    <col min="13575" max="13578" width="10.28515625" style="43" customWidth="1"/>
    <col min="13579" max="13579" width="4.7109375" style="43" customWidth="1"/>
    <col min="13580" max="13580" width="9.7109375" style="43" customWidth="1"/>
    <col min="13581" max="13581" width="6.5703125" style="43" customWidth="1"/>
    <col min="13582" max="13590" width="0" style="43" hidden="1" customWidth="1"/>
    <col min="13591" max="13824" width="9.140625" style="43"/>
    <col min="13825" max="13825" width="2.7109375" style="43" customWidth="1"/>
    <col min="13826" max="13826" width="27.140625" style="43" customWidth="1"/>
    <col min="13827" max="13827" width="7.42578125" style="43" customWidth="1"/>
    <col min="13828" max="13828" width="6.7109375" style="43" customWidth="1"/>
    <col min="13829" max="13829" width="4.7109375" style="43" customWidth="1"/>
    <col min="13830" max="13830" width="7.7109375" style="43" customWidth="1"/>
    <col min="13831" max="13834" width="10.28515625" style="43" customWidth="1"/>
    <col min="13835" max="13835" width="4.7109375" style="43" customWidth="1"/>
    <col min="13836" max="13836" width="9.7109375" style="43" customWidth="1"/>
    <col min="13837" max="13837" width="6.5703125" style="43" customWidth="1"/>
    <col min="13838" max="13846" width="0" style="43" hidden="1" customWidth="1"/>
    <col min="13847" max="14080" width="9.140625" style="43"/>
    <col min="14081" max="14081" width="2.7109375" style="43" customWidth="1"/>
    <col min="14082" max="14082" width="27.140625" style="43" customWidth="1"/>
    <col min="14083" max="14083" width="7.42578125" style="43" customWidth="1"/>
    <col min="14084" max="14084" width="6.7109375" style="43" customWidth="1"/>
    <col min="14085" max="14085" width="4.7109375" style="43" customWidth="1"/>
    <col min="14086" max="14086" width="7.7109375" style="43" customWidth="1"/>
    <col min="14087" max="14090" width="10.28515625" style="43" customWidth="1"/>
    <col min="14091" max="14091" width="4.7109375" style="43" customWidth="1"/>
    <col min="14092" max="14092" width="9.7109375" style="43" customWidth="1"/>
    <col min="14093" max="14093" width="6.5703125" style="43" customWidth="1"/>
    <col min="14094" max="14102" width="0" style="43" hidden="1" customWidth="1"/>
    <col min="14103" max="14336" width="9.140625" style="43"/>
    <col min="14337" max="14337" width="2.7109375" style="43" customWidth="1"/>
    <col min="14338" max="14338" width="27.140625" style="43" customWidth="1"/>
    <col min="14339" max="14339" width="7.42578125" style="43" customWidth="1"/>
    <col min="14340" max="14340" width="6.7109375" style="43" customWidth="1"/>
    <col min="14341" max="14341" width="4.7109375" style="43" customWidth="1"/>
    <col min="14342" max="14342" width="7.7109375" style="43" customWidth="1"/>
    <col min="14343" max="14346" width="10.28515625" style="43" customWidth="1"/>
    <col min="14347" max="14347" width="4.7109375" style="43" customWidth="1"/>
    <col min="14348" max="14348" width="9.7109375" style="43" customWidth="1"/>
    <col min="14349" max="14349" width="6.5703125" style="43" customWidth="1"/>
    <col min="14350" max="14358" width="0" style="43" hidden="1" customWidth="1"/>
    <col min="14359" max="14592" width="9.140625" style="43"/>
    <col min="14593" max="14593" width="2.7109375" style="43" customWidth="1"/>
    <col min="14594" max="14594" width="27.140625" style="43" customWidth="1"/>
    <col min="14595" max="14595" width="7.42578125" style="43" customWidth="1"/>
    <col min="14596" max="14596" width="6.7109375" style="43" customWidth="1"/>
    <col min="14597" max="14597" width="4.7109375" style="43" customWidth="1"/>
    <col min="14598" max="14598" width="7.7109375" style="43" customWidth="1"/>
    <col min="14599" max="14602" width="10.28515625" style="43" customWidth="1"/>
    <col min="14603" max="14603" width="4.7109375" style="43" customWidth="1"/>
    <col min="14604" max="14604" width="9.7109375" style="43" customWidth="1"/>
    <col min="14605" max="14605" width="6.5703125" style="43" customWidth="1"/>
    <col min="14606" max="14614" width="0" style="43" hidden="1" customWidth="1"/>
    <col min="14615" max="14848" width="9.140625" style="43"/>
    <col min="14849" max="14849" width="2.7109375" style="43" customWidth="1"/>
    <col min="14850" max="14850" width="27.140625" style="43" customWidth="1"/>
    <col min="14851" max="14851" width="7.42578125" style="43" customWidth="1"/>
    <col min="14852" max="14852" width="6.7109375" style="43" customWidth="1"/>
    <col min="14853" max="14853" width="4.7109375" style="43" customWidth="1"/>
    <col min="14854" max="14854" width="7.7109375" style="43" customWidth="1"/>
    <col min="14855" max="14858" width="10.28515625" style="43" customWidth="1"/>
    <col min="14859" max="14859" width="4.7109375" style="43" customWidth="1"/>
    <col min="14860" max="14860" width="9.7109375" style="43" customWidth="1"/>
    <col min="14861" max="14861" width="6.5703125" style="43" customWidth="1"/>
    <col min="14862" max="14870" width="0" style="43" hidden="1" customWidth="1"/>
    <col min="14871" max="15104" width="9.140625" style="43"/>
    <col min="15105" max="15105" width="2.7109375" style="43" customWidth="1"/>
    <col min="15106" max="15106" width="27.140625" style="43" customWidth="1"/>
    <col min="15107" max="15107" width="7.42578125" style="43" customWidth="1"/>
    <col min="15108" max="15108" width="6.7109375" style="43" customWidth="1"/>
    <col min="15109" max="15109" width="4.7109375" style="43" customWidth="1"/>
    <col min="15110" max="15110" width="7.7109375" style="43" customWidth="1"/>
    <col min="15111" max="15114" width="10.28515625" style="43" customWidth="1"/>
    <col min="15115" max="15115" width="4.7109375" style="43" customWidth="1"/>
    <col min="15116" max="15116" width="9.7109375" style="43" customWidth="1"/>
    <col min="15117" max="15117" width="6.5703125" style="43" customWidth="1"/>
    <col min="15118" max="15126" width="0" style="43" hidden="1" customWidth="1"/>
    <col min="15127" max="15360" width="9.140625" style="43"/>
    <col min="15361" max="15361" width="2.7109375" style="43" customWidth="1"/>
    <col min="15362" max="15362" width="27.140625" style="43" customWidth="1"/>
    <col min="15363" max="15363" width="7.42578125" style="43" customWidth="1"/>
    <col min="15364" max="15364" width="6.7109375" style="43" customWidth="1"/>
    <col min="15365" max="15365" width="4.7109375" style="43" customWidth="1"/>
    <col min="15366" max="15366" width="7.7109375" style="43" customWidth="1"/>
    <col min="15367" max="15370" width="10.28515625" style="43" customWidth="1"/>
    <col min="15371" max="15371" width="4.7109375" style="43" customWidth="1"/>
    <col min="15372" max="15372" width="9.7109375" style="43" customWidth="1"/>
    <col min="15373" max="15373" width="6.5703125" style="43" customWidth="1"/>
    <col min="15374" max="15382" width="0" style="43" hidden="1" customWidth="1"/>
    <col min="15383" max="15616" width="9.140625" style="43"/>
    <col min="15617" max="15617" width="2.7109375" style="43" customWidth="1"/>
    <col min="15618" max="15618" width="27.140625" style="43" customWidth="1"/>
    <col min="15619" max="15619" width="7.42578125" style="43" customWidth="1"/>
    <col min="15620" max="15620" width="6.7109375" style="43" customWidth="1"/>
    <col min="15621" max="15621" width="4.7109375" style="43" customWidth="1"/>
    <col min="15622" max="15622" width="7.7109375" style="43" customWidth="1"/>
    <col min="15623" max="15626" width="10.28515625" style="43" customWidth="1"/>
    <col min="15627" max="15627" width="4.7109375" style="43" customWidth="1"/>
    <col min="15628" max="15628" width="9.7109375" style="43" customWidth="1"/>
    <col min="15629" max="15629" width="6.5703125" style="43" customWidth="1"/>
    <col min="15630" max="15638" width="0" style="43" hidden="1" customWidth="1"/>
    <col min="15639" max="15872" width="9.140625" style="43"/>
    <col min="15873" max="15873" width="2.7109375" style="43" customWidth="1"/>
    <col min="15874" max="15874" width="27.140625" style="43" customWidth="1"/>
    <col min="15875" max="15875" width="7.42578125" style="43" customWidth="1"/>
    <col min="15876" max="15876" width="6.7109375" style="43" customWidth="1"/>
    <col min="15877" max="15877" width="4.7109375" style="43" customWidth="1"/>
    <col min="15878" max="15878" width="7.7109375" style="43" customWidth="1"/>
    <col min="15879" max="15882" width="10.28515625" style="43" customWidth="1"/>
    <col min="15883" max="15883" width="4.7109375" style="43" customWidth="1"/>
    <col min="15884" max="15884" width="9.7109375" style="43" customWidth="1"/>
    <col min="15885" max="15885" width="6.5703125" style="43" customWidth="1"/>
    <col min="15886" max="15894" width="0" style="43" hidden="1" customWidth="1"/>
    <col min="15895" max="16128" width="9.140625" style="43"/>
    <col min="16129" max="16129" width="2.7109375" style="43" customWidth="1"/>
    <col min="16130" max="16130" width="27.140625" style="43" customWidth="1"/>
    <col min="16131" max="16131" width="7.42578125" style="43" customWidth="1"/>
    <col min="16132" max="16132" width="6.7109375" style="43" customWidth="1"/>
    <col min="16133" max="16133" width="4.7109375" style="43" customWidth="1"/>
    <col min="16134" max="16134" width="7.7109375" style="43" customWidth="1"/>
    <col min="16135" max="16138" width="10.28515625" style="43" customWidth="1"/>
    <col min="16139" max="16139" width="4.7109375" style="43" customWidth="1"/>
    <col min="16140" max="16140" width="9.7109375" style="43" customWidth="1"/>
    <col min="16141" max="16141" width="6.5703125" style="43" customWidth="1"/>
    <col min="16142" max="16150" width="0" style="43" hidden="1" customWidth="1"/>
    <col min="16151" max="16384" width="9.140625" style="43"/>
  </cols>
  <sheetData>
    <row r="1" spans="1:21" ht="20.25">
      <c r="A1" s="3600" t="s">
        <v>1765</v>
      </c>
      <c r="B1" s="3600"/>
      <c r="C1" s="3600"/>
      <c r="D1" s="3600"/>
      <c r="E1" s="3600"/>
      <c r="F1" s="3600"/>
      <c r="G1" s="3600"/>
      <c r="H1" s="3600"/>
      <c r="I1" s="3600"/>
      <c r="J1" s="3600"/>
      <c r="K1" s="3600"/>
      <c r="L1" s="3600"/>
      <c r="M1" s="42"/>
      <c r="N1" s="43" t="str">
        <f>A1</f>
        <v>DETAIL ESTIMATE</v>
      </c>
    </row>
    <row r="2" spans="1:21" ht="15.75" customHeight="1">
      <c r="A2" s="2705" t="str">
        <f>'Lead &amp; ANALYSIS'!A2:C2</f>
        <v>NAME OF THE WORK:-</v>
      </c>
      <c r="B2" s="2705"/>
      <c r="C2" s="2705"/>
      <c r="D2" s="3601" t="str">
        <f>'Lead &amp; ANALYSIS'!D2:N2</f>
        <v>Dining Hall of Damasal School</v>
      </c>
      <c r="E2" s="3601"/>
      <c r="F2" s="3601"/>
      <c r="G2" s="3601"/>
      <c r="H2" s="3601"/>
      <c r="I2" s="3601"/>
      <c r="J2" s="3601"/>
      <c r="K2" s="3601"/>
      <c r="L2" s="3601"/>
      <c r="M2" s="3601"/>
    </row>
    <row r="3" spans="1:21" ht="15.75" customHeight="1">
      <c r="A3" s="2705" t="str">
        <f>'Lead &amp; ANALYSIS'!A3:C3</f>
        <v>NAME OF THE G.P.:-</v>
      </c>
      <c r="B3" s="2705"/>
      <c r="C3" s="2705"/>
      <c r="D3" s="3601" t="str">
        <f>'Lead &amp; ANALYSIS'!D3:N3</f>
        <v>Odisha</v>
      </c>
      <c r="E3" s="3601"/>
      <c r="F3" s="3601"/>
      <c r="G3" s="3601"/>
      <c r="H3" s="3601"/>
      <c r="I3" s="3601"/>
      <c r="J3" s="3601"/>
      <c r="K3" s="3601"/>
      <c r="L3" s="3601"/>
      <c r="M3" s="3601"/>
    </row>
    <row r="4" spans="1:21" ht="15.75" customHeight="1">
      <c r="A4" s="2705" t="str">
        <f>'Lead &amp; ANALYSIS'!A4:C4</f>
        <v>NAME OF THE SCHEME:-</v>
      </c>
      <c r="B4" s="2705"/>
      <c r="C4" s="2705"/>
      <c r="D4" s="3601">
        <f>'Lead &amp; ANALYSIS'!D4:N4</f>
        <v>0</v>
      </c>
      <c r="E4" s="3601"/>
      <c r="F4" s="3601"/>
      <c r="G4" s="3601"/>
      <c r="H4" s="3601"/>
      <c r="I4" s="3601"/>
      <c r="J4" s="3601"/>
      <c r="K4" s="3601"/>
      <c r="L4" s="3601"/>
      <c r="M4" s="3601"/>
    </row>
    <row r="5" spans="1:21" ht="12.75" customHeight="1">
      <c r="A5" s="44" t="s">
        <v>22</v>
      </c>
      <c r="B5" s="3607" t="s">
        <v>1766</v>
      </c>
      <c r="C5" s="3608"/>
      <c r="D5" s="3609"/>
      <c r="E5" s="45" t="s">
        <v>1</v>
      </c>
      <c r="F5" s="2705" t="s">
        <v>262</v>
      </c>
      <c r="G5" s="44" t="s">
        <v>1767</v>
      </c>
      <c r="H5" s="44" t="s">
        <v>1768</v>
      </c>
      <c r="I5" s="44" t="s">
        <v>1769</v>
      </c>
      <c r="J5" s="2705" t="s">
        <v>707</v>
      </c>
      <c r="K5" s="2705"/>
      <c r="L5" s="2705" t="s">
        <v>709</v>
      </c>
      <c r="M5" s="2705"/>
    </row>
    <row r="6" spans="1:21">
      <c r="A6" s="46" t="s">
        <v>37</v>
      </c>
      <c r="B6" s="3612" t="s">
        <v>1770</v>
      </c>
      <c r="C6" s="3613"/>
      <c r="D6" s="3614"/>
      <c r="E6" s="47" t="s">
        <v>151</v>
      </c>
      <c r="F6" s="2901"/>
      <c r="G6" s="46" t="s">
        <v>1771</v>
      </c>
      <c r="H6" s="46" t="s">
        <v>1771</v>
      </c>
      <c r="I6" s="46" t="s">
        <v>1771</v>
      </c>
      <c r="J6" s="3610"/>
      <c r="K6" s="3611"/>
      <c r="L6" s="3610"/>
      <c r="M6" s="3611"/>
    </row>
    <row r="7" spans="1:21">
      <c r="A7" s="46">
        <v>1</v>
      </c>
      <c r="B7" s="3615">
        <v>2</v>
      </c>
      <c r="C7" s="3616"/>
      <c r="D7" s="3617"/>
      <c r="E7" s="47">
        <v>3</v>
      </c>
      <c r="F7" s="46">
        <v>4</v>
      </c>
      <c r="G7" s="46">
        <v>5</v>
      </c>
      <c r="H7" s="48">
        <v>6</v>
      </c>
      <c r="I7" s="46">
        <v>7</v>
      </c>
      <c r="J7" s="3615">
        <v>8</v>
      </c>
      <c r="K7" s="3616"/>
      <c r="L7" s="3615">
        <v>9</v>
      </c>
      <c r="M7" s="3617"/>
      <c r="N7" s="43" t="s">
        <v>1772</v>
      </c>
      <c r="R7" s="43" t="s">
        <v>1773</v>
      </c>
    </row>
    <row r="8" spans="1:21" ht="11.25" customHeight="1">
      <c r="A8" s="49"/>
      <c r="B8" s="50" t="s">
        <v>1774</v>
      </c>
      <c r="C8" s="51"/>
      <c r="D8" s="51"/>
      <c r="E8" s="52"/>
      <c r="F8" s="51"/>
      <c r="G8" s="51"/>
      <c r="H8" s="53"/>
      <c r="I8" s="52"/>
      <c r="J8" s="54"/>
      <c r="K8" s="51"/>
      <c r="L8" s="54"/>
      <c r="M8" s="7"/>
      <c r="N8" s="55" t="s">
        <v>1775</v>
      </c>
      <c r="O8" s="55">
        <f>'DRAWING HALL'!BG78</f>
        <v>0</v>
      </c>
      <c r="P8" s="3">
        <f>'DRAWING HALL'!BS78</f>
        <v>0</v>
      </c>
      <c r="Q8" s="56">
        <v>1</v>
      </c>
      <c r="R8" s="43">
        <v>9</v>
      </c>
      <c r="S8" s="57" t="e">
        <f>'DRAWING HALL'!#REF!</f>
        <v>#REF!</v>
      </c>
      <c r="T8" s="57" t="e">
        <f>S8</f>
        <v>#REF!</v>
      </c>
      <c r="U8" s="57" t="e">
        <f>'DRAWING HALL'!#REF!</f>
        <v>#REF!</v>
      </c>
    </row>
    <row r="9" spans="1:21" ht="11.25" customHeight="1">
      <c r="A9" s="58"/>
      <c r="B9" s="59" t="s">
        <v>1776</v>
      </c>
      <c r="C9" s="60">
        <v>2</v>
      </c>
      <c r="D9" s="57">
        <v>7.8</v>
      </c>
      <c r="E9" s="57"/>
      <c r="F9" s="57">
        <f>ROUND(C9*D9,2)</f>
        <v>15.6</v>
      </c>
      <c r="G9" s="57" t="s">
        <v>136</v>
      </c>
      <c r="H9" s="3602" t="s">
        <v>1777</v>
      </c>
      <c r="M9" s="62"/>
      <c r="N9" s="55" t="s">
        <v>1778</v>
      </c>
      <c r="O9" s="55">
        <f>'DRAWING HALL'!CP127</f>
        <v>0</v>
      </c>
      <c r="P9" s="3">
        <f>'DRAWING HALL'!CZ127</f>
        <v>0</v>
      </c>
      <c r="Q9" s="56">
        <v>1</v>
      </c>
      <c r="R9" s="43">
        <v>9</v>
      </c>
      <c r="S9" s="57">
        <v>0.3</v>
      </c>
      <c r="T9" s="57">
        <v>1.2</v>
      </c>
      <c r="U9" s="57">
        <v>0.3</v>
      </c>
    </row>
    <row r="10" spans="1:21" ht="11.25" customHeight="1">
      <c r="A10" s="58"/>
      <c r="B10" s="59"/>
      <c r="C10" s="60">
        <v>1</v>
      </c>
      <c r="D10" s="57">
        <v>5.3</v>
      </c>
      <c r="E10" s="57"/>
      <c r="F10" s="57">
        <f>ROUND(C10*D10,2)</f>
        <v>5.3</v>
      </c>
      <c r="G10" s="57" t="s">
        <v>136</v>
      </c>
      <c r="H10" s="3602"/>
      <c r="I10" s="60">
        <v>2</v>
      </c>
      <c r="J10" s="57">
        <f>'DRAWING HALL'!BW51</f>
        <v>0</v>
      </c>
      <c r="K10" s="63"/>
      <c r="L10" s="57">
        <f>ROUND(I10*J10,2)</f>
        <v>0</v>
      </c>
      <c r="M10" s="64" t="s">
        <v>136</v>
      </c>
      <c r="N10" s="55" t="s">
        <v>1779</v>
      </c>
      <c r="O10" s="55">
        <f>'DRAWING HALL'!AA124</f>
        <v>0</v>
      </c>
      <c r="P10" s="3">
        <f>'DRAWING HALL'!AK124</f>
        <v>0</v>
      </c>
      <c r="Q10" s="56">
        <v>1</v>
      </c>
      <c r="R10" s="43">
        <v>9</v>
      </c>
      <c r="S10" s="57">
        <v>0.25</v>
      </c>
      <c r="T10" s="57">
        <v>0.25</v>
      </c>
      <c r="U10" s="57">
        <v>0.3</v>
      </c>
    </row>
    <row r="11" spans="1:21" ht="11.25" customHeight="1">
      <c r="A11" s="58"/>
      <c r="B11" s="59"/>
      <c r="C11" s="60">
        <v>1</v>
      </c>
      <c r="D11" s="65">
        <v>11.7</v>
      </c>
      <c r="E11" s="66"/>
      <c r="F11" s="67">
        <f>ROUND(C11*D11,2)</f>
        <v>11.7</v>
      </c>
      <c r="G11" s="57" t="s">
        <v>136</v>
      </c>
      <c r="H11" s="3602"/>
      <c r="I11" s="60">
        <v>2</v>
      </c>
      <c r="J11" s="57">
        <f>'DRAWING HALL'!K93</f>
        <v>0</v>
      </c>
      <c r="K11" s="68"/>
      <c r="L11" s="67">
        <f>ROUND(I11*J11,2)</f>
        <v>0</v>
      </c>
      <c r="M11" s="64" t="s">
        <v>136</v>
      </c>
      <c r="N11" s="69" t="s">
        <v>1780</v>
      </c>
      <c r="O11" s="4">
        <f>'DRAWING HALL'!BE128</f>
        <v>0</v>
      </c>
      <c r="P11" s="3">
        <f>'DRAWING HALL'!BO128</f>
        <v>0</v>
      </c>
      <c r="Q11" s="56">
        <v>1</v>
      </c>
      <c r="R11" s="43" t="s">
        <v>473</v>
      </c>
      <c r="S11" s="57">
        <v>0.15</v>
      </c>
      <c r="T11" s="57"/>
      <c r="U11" s="57"/>
    </row>
    <row r="12" spans="1:21" ht="11.25" customHeight="1">
      <c r="A12" s="58"/>
      <c r="B12" s="70"/>
      <c r="C12" s="71"/>
      <c r="D12" s="72"/>
      <c r="E12" s="72" t="s">
        <v>201</v>
      </c>
      <c r="F12" s="73">
        <f>SUM(F9:F11)</f>
        <v>32.599999999999994</v>
      </c>
      <c r="G12" s="74" t="s">
        <v>136</v>
      </c>
      <c r="H12" s="3602"/>
      <c r="I12" s="60"/>
      <c r="J12" s="57"/>
      <c r="K12" s="72" t="s">
        <v>1781</v>
      </c>
      <c r="L12" s="74">
        <f>SUM(L10:L11)</f>
        <v>0</v>
      </c>
      <c r="M12" s="75" t="s">
        <v>136</v>
      </c>
      <c r="N12" s="55" t="s">
        <v>1782</v>
      </c>
      <c r="O12" s="9">
        <f>'DRAWING HALL'!DM80</f>
        <v>0</v>
      </c>
      <c r="P12" s="3">
        <f>'DRAWING HALL'!DW80</f>
        <v>0</v>
      </c>
      <c r="Q12" s="3">
        <v>1</v>
      </c>
      <c r="R12" s="43" t="s">
        <v>1783</v>
      </c>
      <c r="S12" s="57">
        <v>0.25</v>
      </c>
      <c r="T12" s="57"/>
      <c r="U12" s="57"/>
    </row>
    <row r="13" spans="1:21" ht="11.25" customHeight="1">
      <c r="A13" s="58"/>
      <c r="B13" s="59" t="s">
        <v>1784</v>
      </c>
      <c r="C13" s="60">
        <v>4</v>
      </c>
      <c r="D13" s="57">
        <v>4.75</v>
      </c>
      <c r="E13" s="57"/>
      <c r="F13" s="57">
        <f t="shared" ref="F13:F18" si="0">ROUND(C13*D13,2)</f>
        <v>19</v>
      </c>
      <c r="G13" s="57" t="s">
        <v>136</v>
      </c>
      <c r="H13" s="3602"/>
      <c r="M13" s="62"/>
      <c r="N13" s="55" t="s">
        <v>1785</v>
      </c>
      <c r="O13" s="9">
        <f>'DRAWING HALL'!DM98</f>
        <v>0</v>
      </c>
      <c r="P13" s="3">
        <f>'DRAWING HALL'!DW98</f>
        <v>0</v>
      </c>
      <c r="Q13" s="3">
        <v>1</v>
      </c>
      <c r="R13" s="43" t="s">
        <v>1786</v>
      </c>
      <c r="S13" s="57">
        <v>0.15</v>
      </c>
      <c r="T13" s="57"/>
      <c r="U13" s="57"/>
    </row>
    <row r="14" spans="1:21" ht="11.25" customHeight="1">
      <c r="A14" s="58"/>
      <c r="B14" s="63"/>
      <c r="C14" s="60">
        <v>2</v>
      </c>
      <c r="D14" s="57">
        <v>4.6500000000000004</v>
      </c>
      <c r="E14" s="57"/>
      <c r="F14" s="57">
        <f t="shared" si="0"/>
        <v>9.3000000000000007</v>
      </c>
      <c r="G14" s="57" t="s">
        <v>136</v>
      </c>
      <c r="M14" s="62"/>
      <c r="N14" s="76" t="s">
        <v>1787</v>
      </c>
      <c r="O14" s="9">
        <f>'DRAWING HALL'!DM127</f>
        <v>0</v>
      </c>
      <c r="P14" s="3">
        <f>'DRAWING HALL'!DW127</f>
        <v>0</v>
      </c>
      <c r="Q14" s="3">
        <v>1</v>
      </c>
      <c r="R14" s="43" t="s">
        <v>1788</v>
      </c>
      <c r="S14" s="57">
        <v>3</v>
      </c>
      <c r="T14" s="57"/>
      <c r="U14" s="57"/>
    </row>
    <row r="15" spans="1:21" ht="11.25" customHeight="1">
      <c r="A15" s="58"/>
      <c r="B15" s="63"/>
      <c r="C15" s="60">
        <v>1</v>
      </c>
      <c r="D15" s="57">
        <v>4.6500000000000004</v>
      </c>
      <c r="E15" s="57"/>
      <c r="F15" s="57">
        <f t="shared" si="0"/>
        <v>4.6500000000000004</v>
      </c>
      <c r="G15" s="57" t="s">
        <v>136</v>
      </c>
      <c r="M15" s="62"/>
      <c r="N15" s="76"/>
      <c r="O15" s="9"/>
      <c r="P15" s="3"/>
      <c r="Q15" s="3"/>
      <c r="S15" s="57"/>
      <c r="T15" s="57"/>
      <c r="U15" s="57"/>
    </row>
    <row r="16" spans="1:21" ht="11.25" customHeight="1">
      <c r="A16" s="58"/>
      <c r="B16" s="63"/>
      <c r="C16" s="60">
        <v>1</v>
      </c>
      <c r="D16" s="57">
        <v>5.45</v>
      </c>
      <c r="E16" s="57"/>
      <c r="F16" s="57">
        <f t="shared" si="0"/>
        <v>5.45</v>
      </c>
      <c r="G16" s="57" t="s">
        <v>136</v>
      </c>
      <c r="M16" s="62"/>
      <c r="N16" s="76"/>
      <c r="O16" s="9"/>
      <c r="P16" s="3"/>
      <c r="Q16" s="3"/>
      <c r="S16" s="57"/>
      <c r="T16" s="57"/>
      <c r="U16" s="57"/>
    </row>
    <row r="17" spans="1:24" ht="11.25" customHeight="1">
      <c r="A17" s="58"/>
      <c r="B17" s="63"/>
      <c r="C17" s="60">
        <v>1</v>
      </c>
      <c r="D17" s="57">
        <v>3.45</v>
      </c>
      <c r="E17" s="57"/>
      <c r="F17" s="57">
        <f t="shared" si="0"/>
        <v>3.45</v>
      </c>
      <c r="G17" s="57" t="s">
        <v>136</v>
      </c>
      <c r="M17" s="62"/>
      <c r="N17" s="76"/>
      <c r="O17" s="9"/>
      <c r="P17" s="3"/>
      <c r="Q17" s="3"/>
      <c r="S17" s="57"/>
      <c r="T17" s="57"/>
      <c r="U17" s="57"/>
    </row>
    <row r="18" spans="1:24" ht="11.25" customHeight="1">
      <c r="A18" s="58"/>
      <c r="B18" s="63"/>
      <c r="C18" s="60">
        <v>1</v>
      </c>
      <c r="D18" s="57">
        <v>4.25</v>
      </c>
      <c r="E18" s="57"/>
      <c r="F18" s="67">
        <f t="shared" si="0"/>
        <v>4.25</v>
      </c>
      <c r="G18" s="57" t="s">
        <v>136</v>
      </c>
      <c r="I18" s="60"/>
      <c r="J18" s="57"/>
      <c r="K18" s="63"/>
      <c r="L18" s="57"/>
      <c r="M18" s="64"/>
      <c r="N18" s="55" t="s">
        <v>1789</v>
      </c>
      <c r="O18" s="9">
        <f>'DRAWING HALL'!EY75</f>
        <v>0</v>
      </c>
      <c r="P18" s="3">
        <f>'DRAWING HALL'!FH75</f>
        <v>0</v>
      </c>
      <c r="Q18" s="3">
        <v>1</v>
      </c>
      <c r="R18" s="43" t="s">
        <v>1786</v>
      </c>
      <c r="S18" s="57">
        <v>2.1</v>
      </c>
      <c r="T18" s="57"/>
      <c r="U18" s="57"/>
    </row>
    <row r="19" spans="1:24" ht="11.25" customHeight="1">
      <c r="A19" s="58"/>
      <c r="B19" s="72"/>
      <c r="C19" s="72"/>
      <c r="D19" s="72"/>
      <c r="E19" s="77" t="s">
        <v>220</v>
      </c>
      <c r="F19" s="74">
        <f>SUM(F13:F18)</f>
        <v>46.100000000000009</v>
      </c>
      <c r="G19" s="74" t="s">
        <v>136</v>
      </c>
      <c r="I19" s="60"/>
      <c r="J19" s="57"/>
      <c r="K19" s="63"/>
      <c r="M19" s="64"/>
      <c r="N19" s="55" t="s">
        <v>1790</v>
      </c>
      <c r="O19" s="9">
        <f>'DRAWING HALL'!EY101</f>
        <v>0</v>
      </c>
      <c r="P19" s="3">
        <f>'DRAWING HALL'!FH101</f>
        <v>0</v>
      </c>
      <c r="Q19" s="3">
        <v>1</v>
      </c>
      <c r="R19" s="43" t="s">
        <v>1791</v>
      </c>
      <c r="S19" s="57">
        <v>0.15</v>
      </c>
      <c r="T19" s="57"/>
      <c r="U19" s="57"/>
    </row>
    <row r="20" spans="1:24" ht="11.25" customHeight="1">
      <c r="A20" s="58"/>
      <c r="B20" s="72"/>
      <c r="C20" s="72"/>
      <c r="D20" s="72"/>
      <c r="E20" s="77" t="s">
        <v>1292</v>
      </c>
      <c r="F20" s="74">
        <f>F12+F19</f>
        <v>78.7</v>
      </c>
      <c r="G20" s="74" t="s">
        <v>136</v>
      </c>
      <c r="J20" s="65"/>
      <c r="M20" s="62"/>
      <c r="N20" s="55"/>
      <c r="O20" s="78"/>
      <c r="P20" s="55"/>
      <c r="Q20" s="78" t="e">
        <f>'DRAWING HALL'!#REF!</f>
        <v>#REF!</v>
      </c>
      <c r="R20" s="43" t="s">
        <v>1792</v>
      </c>
      <c r="S20" s="57">
        <v>6.5000000000000002E-2</v>
      </c>
      <c r="T20" s="57"/>
      <c r="U20" s="57"/>
    </row>
    <row r="21" spans="1:24" ht="11.25" customHeight="1">
      <c r="A21" s="58"/>
      <c r="B21" s="63"/>
      <c r="C21" s="72"/>
      <c r="D21" s="59"/>
      <c r="E21" s="60"/>
      <c r="G21" s="72"/>
      <c r="J21" s="65"/>
      <c r="M21" s="62"/>
      <c r="N21" s="55">
        <f>'DRAWING HALL'!ET165</f>
        <v>0</v>
      </c>
      <c r="O21" s="78">
        <f>'DRAWING HALL'!FI165</f>
        <v>0</v>
      </c>
      <c r="P21" s="55">
        <f>'DRAWING HALL'!FS165</f>
        <v>0</v>
      </c>
      <c r="Q21" s="78">
        <f>'DRAWING HALL'!GL164</f>
        <v>0</v>
      </c>
      <c r="R21" s="43" t="s">
        <v>1793</v>
      </c>
      <c r="S21" s="57">
        <v>1</v>
      </c>
      <c r="T21" s="57" t="e">
        <f>'DRAWING HALL'!#REF!</f>
        <v>#REF!</v>
      </c>
      <c r="U21" s="57"/>
    </row>
    <row r="22" spans="1:24" ht="11.25" customHeight="1">
      <c r="A22" s="79"/>
      <c r="B22" s="68"/>
      <c r="C22" s="80"/>
      <c r="D22" s="81"/>
      <c r="E22" s="82"/>
      <c r="F22" s="83"/>
      <c r="G22" s="80"/>
      <c r="H22" s="8"/>
      <c r="I22" s="83"/>
      <c r="J22" s="84"/>
      <c r="K22" s="85"/>
      <c r="L22" s="83"/>
      <c r="M22" s="86"/>
      <c r="N22" s="55">
        <f>'DRAWING HALL'!EY167</f>
        <v>0</v>
      </c>
      <c r="O22" s="78">
        <f>'DRAWING HALL'!FN167</f>
        <v>0</v>
      </c>
      <c r="P22" s="55">
        <f>'DRAWING HALL'!FX167</f>
        <v>0</v>
      </c>
      <c r="Q22" s="78">
        <f>'DRAWING HALL'!GL167</f>
        <v>0</v>
      </c>
      <c r="S22" s="57">
        <v>1</v>
      </c>
      <c r="T22" s="57">
        <f>'DRAWING HALL'!M153</f>
        <v>0</v>
      </c>
      <c r="U22" s="57"/>
    </row>
    <row r="23" spans="1:24" ht="39.75" customHeight="1">
      <c r="A23" s="72">
        <v>1</v>
      </c>
      <c r="B23" s="3603" t="s">
        <v>1590</v>
      </c>
      <c r="C23" s="3603"/>
      <c r="D23" s="3603"/>
      <c r="E23" s="71" t="s">
        <v>381</v>
      </c>
      <c r="H23" s="66"/>
    </row>
    <row r="24" spans="1:24">
      <c r="A24" s="72" t="s">
        <v>1794</v>
      </c>
      <c r="B24" s="61" t="s">
        <v>1795</v>
      </c>
      <c r="E24" s="71"/>
      <c r="F24" s="87"/>
      <c r="G24" s="88"/>
      <c r="H24" s="89"/>
      <c r="I24" s="88"/>
      <c r="J24" s="88"/>
      <c r="K24" s="43"/>
      <c r="N24" s="87"/>
    </row>
    <row r="25" spans="1:24">
      <c r="B25" s="43" t="s">
        <v>1796</v>
      </c>
      <c r="E25" s="71"/>
      <c r="F25" s="87">
        <v>11</v>
      </c>
      <c r="G25" s="88" t="e">
        <f>#REF!</f>
        <v>#REF!</v>
      </c>
      <c r="H25" s="89" t="e">
        <f>#REF!</f>
        <v>#REF!</v>
      </c>
      <c r="I25" s="88" t="e">
        <f>#REF!</f>
        <v>#REF!</v>
      </c>
      <c r="J25" s="90" t="e">
        <f>ROUND(F25*G25*H25*I25,2)</f>
        <v>#REF!</v>
      </c>
      <c r="K25" s="43" t="s">
        <v>49</v>
      </c>
      <c r="N25" s="87"/>
    </row>
    <row r="26" spans="1:24" ht="10.5" customHeight="1">
      <c r="A26" s="72" t="s">
        <v>1797</v>
      </c>
      <c r="B26" s="61" t="s">
        <v>1798</v>
      </c>
      <c r="E26" s="71"/>
      <c r="H26" s="66"/>
    </row>
    <row r="27" spans="1:24" ht="10.5" customHeight="1">
      <c r="B27" s="43" t="s">
        <v>1799</v>
      </c>
      <c r="E27" s="71"/>
      <c r="F27" s="87">
        <f>C9</f>
        <v>2</v>
      </c>
      <c r="G27" s="88" t="e">
        <f>D9+H27</f>
        <v>#REF!</v>
      </c>
      <c r="H27" s="89" t="e">
        <f>#REF!</f>
        <v>#REF!</v>
      </c>
      <c r="I27" s="88">
        <v>0.6</v>
      </c>
      <c r="J27" s="88" t="e">
        <f>ROUND(F27*G27*H27*I27,2)</f>
        <v>#REF!</v>
      </c>
      <c r="K27" s="43" t="s">
        <v>49</v>
      </c>
      <c r="N27" s="87"/>
      <c r="O27" s="61"/>
      <c r="P27" s="72"/>
      <c r="Q27" s="90"/>
      <c r="R27" s="90"/>
    </row>
    <row r="28" spans="1:24" ht="10.5" customHeight="1">
      <c r="E28" s="71"/>
      <c r="F28" s="87">
        <f>C10</f>
        <v>1</v>
      </c>
      <c r="G28" s="88" t="e">
        <f>D10+H28</f>
        <v>#REF!</v>
      </c>
      <c r="H28" s="89" t="e">
        <f>H27</f>
        <v>#REF!</v>
      </c>
      <c r="I28" s="88">
        <f>I27</f>
        <v>0.6</v>
      </c>
      <c r="J28" s="88" t="e">
        <f>ROUND(F28*G28*H28*I28,2)</f>
        <v>#REF!</v>
      </c>
      <c r="K28" s="43" t="s">
        <v>49</v>
      </c>
      <c r="N28" s="87"/>
      <c r="O28" s="61"/>
      <c r="P28" s="72"/>
      <c r="Q28" s="90"/>
      <c r="R28" s="90"/>
    </row>
    <row r="29" spans="1:24" ht="10.5" customHeight="1">
      <c r="E29" s="71"/>
      <c r="F29" s="87">
        <f>C11</f>
        <v>1</v>
      </c>
      <c r="G29" s="88" t="e">
        <f>D11+H29</f>
        <v>#REF!</v>
      </c>
      <c r="H29" s="89" t="e">
        <f>H28</f>
        <v>#REF!</v>
      </c>
      <c r="I29" s="88">
        <f>I28</f>
        <v>0.6</v>
      </c>
      <c r="J29" s="88" t="e">
        <f>ROUND(F29*G29*H29*I29,2)</f>
        <v>#REF!</v>
      </c>
      <c r="K29" s="43" t="s">
        <v>49</v>
      </c>
      <c r="N29" s="87"/>
      <c r="O29" s="61"/>
      <c r="P29" s="72"/>
      <c r="Q29" s="90"/>
      <c r="R29" s="90"/>
    </row>
    <row r="30" spans="1:24" ht="10.5" customHeight="1">
      <c r="E30" s="71"/>
      <c r="F30" s="87"/>
      <c r="H30" s="66"/>
      <c r="I30" s="90" t="s">
        <v>928</v>
      </c>
      <c r="J30" s="90" t="e">
        <f>SUM(J27:J29)</f>
        <v>#REF!</v>
      </c>
      <c r="K30" s="43" t="s">
        <v>49</v>
      </c>
      <c r="N30" s="87"/>
    </row>
    <row r="31" spans="1:24" ht="10.5" customHeight="1">
      <c r="A31" s="72" t="s">
        <v>1800</v>
      </c>
      <c r="B31" s="61" t="s">
        <v>1801</v>
      </c>
      <c r="C31" s="91"/>
      <c r="E31" s="71"/>
      <c r="F31" s="87"/>
      <c r="G31" s="92"/>
      <c r="H31" s="89"/>
      <c r="I31" s="88"/>
      <c r="J31" s="88"/>
      <c r="K31" s="43"/>
      <c r="N31" s="87"/>
    </row>
    <row r="32" spans="1:24" ht="10.5" customHeight="1">
      <c r="B32" s="43" t="s">
        <v>1802</v>
      </c>
      <c r="E32" s="71"/>
      <c r="F32" s="87">
        <f t="shared" ref="F32:F37" si="1">C13</f>
        <v>4</v>
      </c>
      <c r="G32" s="88" t="e">
        <f t="shared" ref="G32:G37" si="2">D13-H32</f>
        <v>#REF!</v>
      </c>
      <c r="H32" s="89" t="e">
        <f>H27</f>
        <v>#REF!</v>
      </c>
      <c r="I32" s="88">
        <f>I27</f>
        <v>0.6</v>
      </c>
      <c r="J32" s="88" t="e">
        <f t="shared" ref="J32:J37" si="3">ROUND(F32*G32*H32*I32,2)</f>
        <v>#REF!</v>
      </c>
      <c r="K32" s="43" t="s">
        <v>49</v>
      </c>
      <c r="N32" s="87"/>
      <c r="O32" s="93"/>
      <c r="P32" s="88"/>
      <c r="T32" s="72"/>
      <c r="U32" s="87"/>
      <c r="V32" s="94"/>
      <c r="W32" s="88"/>
      <c r="X32" s="88"/>
    </row>
    <row r="33" spans="1:24" ht="10.5" customHeight="1">
      <c r="E33" s="71"/>
      <c r="F33" s="87">
        <f t="shared" si="1"/>
        <v>2</v>
      </c>
      <c r="G33" s="88" t="e">
        <f t="shared" si="2"/>
        <v>#REF!</v>
      </c>
      <c r="H33" s="89" t="e">
        <f t="shared" ref="H33:I37" si="4">H32</f>
        <v>#REF!</v>
      </c>
      <c r="I33" s="88">
        <f t="shared" si="4"/>
        <v>0.6</v>
      </c>
      <c r="J33" s="88" t="e">
        <f t="shared" si="3"/>
        <v>#REF!</v>
      </c>
      <c r="K33" s="43" t="s">
        <v>49</v>
      </c>
      <c r="N33" s="87"/>
      <c r="O33" s="93"/>
      <c r="P33" s="88"/>
      <c r="T33" s="72"/>
      <c r="U33" s="87"/>
      <c r="V33" s="94"/>
      <c r="W33" s="88"/>
      <c r="X33" s="88"/>
    </row>
    <row r="34" spans="1:24" ht="10.5" customHeight="1">
      <c r="E34" s="71"/>
      <c r="F34" s="87">
        <f t="shared" si="1"/>
        <v>1</v>
      </c>
      <c r="G34" s="88" t="e">
        <f t="shared" si="2"/>
        <v>#REF!</v>
      </c>
      <c r="H34" s="89" t="e">
        <f t="shared" si="4"/>
        <v>#REF!</v>
      </c>
      <c r="I34" s="88">
        <f t="shared" si="4"/>
        <v>0.6</v>
      </c>
      <c r="J34" s="88" t="e">
        <f t="shared" si="3"/>
        <v>#REF!</v>
      </c>
      <c r="K34" s="43" t="s">
        <v>49</v>
      </c>
      <c r="N34" s="87"/>
      <c r="O34" s="93"/>
      <c r="P34" s="88"/>
      <c r="T34" s="72"/>
      <c r="U34" s="87"/>
      <c r="V34" s="94"/>
      <c r="W34" s="88"/>
      <c r="X34" s="88"/>
    </row>
    <row r="35" spans="1:24" ht="10.5" customHeight="1">
      <c r="E35" s="71"/>
      <c r="F35" s="87">
        <f t="shared" si="1"/>
        <v>1</v>
      </c>
      <c r="G35" s="88" t="e">
        <f t="shared" si="2"/>
        <v>#REF!</v>
      </c>
      <c r="H35" s="89" t="e">
        <f t="shared" si="4"/>
        <v>#REF!</v>
      </c>
      <c r="I35" s="88">
        <f t="shared" si="4"/>
        <v>0.6</v>
      </c>
      <c r="J35" s="88" t="e">
        <f t="shared" si="3"/>
        <v>#REF!</v>
      </c>
      <c r="K35" s="43" t="s">
        <v>49</v>
      </c>
      <c r="N35" s="87"/>
      <c r="O35" s="93"/>
      <c r="P35" s="88"/>
      <c r="T35" s="72"/>
      <c r="U35" s="87"/>
      <c r="V35" s="94"/>
      <c r="W35" s="88"/>
      <c r="X35" s="88"/>
    </row>
    <row r="36" spans="1:24" ht="10.5" customHeight="1">
      <c r="E36" s="71"/>
      <c r="F36" s="87">
        <f t="shared" si="1"/>
        <v>1</v>
      </c>
      <c r="G36" s="88" t="e">
        <f t="shared" si="2"/>
        <v>#REF!</v>
      </c>
      <c r="H36" s="89" t="e">
        <f t="shared" si="4"/>
        <v>#REF!</v>
      </c>
      <c r="I36" s="88">
        <f t="shared" si="4"/>
        <v>0.6</v>
      </c>
      <c r="J36" s="88" t="e">
        <f t="shared" si="3"/>
        <v>#REF!</v>
      </c>
      <c r="K36" s="43" t="s">
        <v>49</v>
      </c>
      <c r="N36" s="87"/>
      <c r="O36" s="93"/>
      <c r="P36" s="88"/>
      <c r="T36" s="72"/>
      <c r="U36" s="87"/>
      <c r="V36" s="94"/>
      <c r="W36" s="88"/>
      <c r="X36" s="88"/>
    </row>
    <row r="37" spans="1:24" ht="10.5" customHeight="1">
      <c r="E37" s="71"/>
      <c r="F37" s="87">
        <f t="shared" si="1"/>
        <v>1</v>
      </c>
      <c r="G37" s="88" t="e">
        <f t="shared" si="2"/>
        <v>#REF!</v>
      </c>
      <c r="H37" s="89" t="e">
        <f t="shared" si="4"/>
        <v>#REF!</v>
      </c>
      <c r="I37" s="88">
        <f t="shared" si="4"/>
        <v>0.6</v>
      </c>
      <c r="J37" s="88" t="e">
        <f t="shared" si="3"/>
        <v>#REF!</v>
      </c>
      <c r="K37" s="43" t="s">
        <v>49</v>
      </c>
      <c r="N37" s="87"/>
      <c r="O37" s="88"/>
      <c r="P37" s="72"/>
      <c r="T37" s="72"/>
      <c r="U37" s="87"/>
      <c r="V37" s="94"/>
      <c r="W37" s="88"/>
      <c r="X37" s="88"/>
    </row>
    <row r="38" spans="1:24" ht="10.5" customHeight="1">
      <c r="E38" s="71"/>
      <c r="F38" s="87"/>
      <c r="G38" s="88"/>
      <c r="H38" s="89"/>
      <c r="I38" s="90" t="s">
        <v>928</v>
      </c>
      <c r="J38" s="90" t="e">
        <f>SUM(J32:J37)</f>
        <v>#REF!</v>
      </c>
      <c r="K38" s="43" t="s">
        <v>49</v>
      </c>
      <c r="N38" s="87"/>
    </row>
    <row r="39" spans="1:24">
      <c r="A39" s="72" t="s">
        <v>474</v>
      </c>
      <c r="B39" s="61" t="s">
        <v>1803</v>
      </c>
      <c r="E39" s="71"/>
      <c r="F39" s="87"/>
      <c r="G39" s="88"/>
      <c r="H39" s="89"/>
      <c r="I39" s="88"/>
      <c r="J39" s="88"/>
      <c r="K39" s="43" t="s">
        <v>49</v>
      </c>
      <c r="N39" s="87"/>
    </row>
    <row r="40" spans="1:24">
      <c r="B40" s="43" t="s">
        <v>1804</v>
      </c>
      <c r="E40" s="71"/>
      <c r="F40" s="87"/>
      <c r="G40" s="88">
        <v>1.2</v>
      </c>
      <c r="H40" s="89">
        <v>0.5</v>
      </c>
      <c r="I40" s="88" t="e">
        <f>#REF!</f>
        <v>#REF!</v>
      </c>
      <c r="J40" s="88" t="e">
        <f>ROUND(F40*G40*H40*I40,2)</f>
        <v>#REF!</v>
      </c>
      <c r="K40" s="43" t="s">
        <v>49</v>
      </c>
      <c r="N40" s="87"/>
    </row>
    <row r="41" spans="1:24">
      <c r="E41" s="71"/>
      <c r="F41" s="87"/>
      <c r="G41" s="88" t="e">
        <f>#REF!</f>
        <v>#REF!</v>
      </c>
      <c r="H41" s="89">
        <f>H40</f>
        <v>0.5</v>
      </c>
      <c r="I41" s="88" t="e">
        <f>I40</f>
        <v>#REF!</v>
      </c>
      <c r="J41" s="88" t="e">
        <f>ROUND(F41*G41*H41*I41,2)</f>
        <v>#REF!</v>
      </c>
      <c r="K41" s="43" t="s">
        <v>49</v>
      </c>
      <c r="N41" s="87"/>
    </row>
    <row r="42" spans="1:24">
      <c r="B42" s="43" t="s">
        <v>1805</v>
      </c>
      <c r="E42" s="71"/>
      <c r="F42" s="87"/>
      <c r="G42" s="88" t="e">
        <f>'DRAWING HALL'!FB61-'ESTIMATE-F'!H42</f>
        <v>#REF!</v>
      </c>
      <c r="H42" s="89" t="e">
        <f>'DRAWING HALL'!#REF!</f>
        <v>#REF!</v>
      </c>
      <c r="I42" s="88" t="e">
        <f>'DRAWING HALL'!#REF!-'DRAWING HALL'!#REF!</f>
        <v>#REF!</v>
      </c>
      <c r="J42" s="88" t="e">
        <f>ROUND(F42*G42*H42*I42,2)</f>
        <v>#REF!</v>
      </c>
      <c r="K42" s="43" t="s">
        <v>49</v>
      </c>
      <c r="N42" s="87"/>
    </row>
    <row r="43" spans="1:24">
      <c r="E43" s="71"/>
      <c r="F43" s="87"/>
      <c r="G43" s="88" t="e">
        <f>'DRAWING HALL'!FB62-'ESTIMATE-F'!H43</f>
        <v>#REF!</v>
      </c>
      <c r="H43" s="89" t="e">
        <f>'DRAWING HALL'!#REF!</f>
        <v>#REF!</v>
      </c>
      <c r="I43" s="88" t="e">
        <f>'DRAWING HALL'!#REF!-'DRAWING HALL'!#REF!</f>
        <v>#REF!</v>
      </c>
      <c r="J43" s="88" t="e">
        <f>ROUND(F43*G43*H43*I43,2)</f>
        <v>#REF!</v>
      </c>
      <c r="K43" s="43" t="s">
        <v>49</v>
      </c>
      <c r="N43" s="87"/>
    </row>
    <row r="44" spans="1:24">
      <c r="B44" s="43" t="s">
        <v>1806</v>
      </c>
      <c r="E44" s="71"/>
      <c r="F44" s="87">
        <v>1</v>
      </c>
      <c r="G44" s="88">
        <v>3.5</v>
      </c>
      <c r="H44" s="89">
        <v>3</v>
      </c>
      <c r="I44" s="88">
        <v>1.5</v>
      </c>
      <c r="J44" s="88">
        <f>ROUND(F44*G44*H44*I44,2)</f>
        <v>15.75</v>
      </c>
      <c r="K44" s="43" t="s">
        <v>49</v>
      </c>
      <c r="N44" s="87"/>
    </row>
    <row r="45" spans="1:24">
      <c r="E45" s="71"/>
      <c r="F45" s="87"/>
      <c r="G45" s="88"/>
      <c r="H45" s="89"/>
      <c r="I45" s="88"/>
      <c r="J45" s="90" t="e">
        <f>SUM(J40:J44)</f>
        <v>#REF!</v>
      </c>
      <c r="K45" s="43" t="s">
        <v>49</v>
      </c>
      <c r="N45" s="87"/>
    </row>
    <row r="46" spans="1:24">
      <c r="B46" s="61"/>
      <c r="E46" s="71"/>
      <c r="F46" s="87"/>
      <c r="H46" s="90" t="s">
        <v>1807</v>
      </c>
      <c r="I46" s="90"/>
      <c r="J46" s="90" t="e">
        <f>J30+J38+J25+J45</f>
        <v>#REF!</v>
      </c>
      <c r="K46" s="43" t="s">
        <v>49</v>
      </c>
      <c r="N46" s="87"/>
    </row>
    <row r="47" spans="1:24">
      <c r="B47" s="61" t="s">
        <v>1808</v>
      </c>
      <c r="E47" s="71"/>
      <c r="F47" s="87"/>
      <c r="H47" s="90"/>
      <c r="I47" s="90"/>
      <c r="J47" s="90"/>
      <c r="K47" s="43"/>
      <c r="N47" s="87"/>
    </row>
    <row r="48" spans="1:24" ht="12" customHeight="1">
      <c r="B48" s="43" t="s">
        <v>1809</v>
      </c>
      <c r="E48" s="71"/>
      <c r="F48" s="87">
        <f>F25</f>
        <v>11</v>
      </c>
      <c r="G48" s="88" t="e">
        <f>G25</f>
        <v>#REF!</v>
      </c>
      <c r="H48" s="89" t="e">
        <f>H27</f>
        <v>#REF!</v>
      </c>
      <c r="I48" s="88">
        <f>I27</f>
        <v>0.6</v>
      </c>
      <c r="J48" s="95" t="e">
        <f>-ROUND(F48*G48*H48*I48,2)</f>
        <v>#REF!</v>
      </c>
      <c r="K48" s="43" t="s">
        <v>49</v>
      </c>
      <c r="N48" s="87"/>
      <c r="O48" s="61"/>
      <c r="P48" s="96"/>
      <c r="Q48" s="90"/>
      <c r="R48" s="97"/>
    </row>
    <row r="49" spans="1:14">
      <c r="E49" s="71"/>
      <c r="F49" s="87"/>
      <c r="G49" s="88"/>
      <c r="H49" s="89"/>
      <c r="I49" s="90" t="s">
        <v>1810</v>
      </c>
      <c r="J49" s="90" t="e">
        <f>J46+J48</f>
        <v>#REF!</v>
      </c>
      <c r="K49" s="43" t="s">
        <v>49</v>
      </c>
    </row>
    <row r="50" spans="1:14">
      <c r="E50" s="71"/>
      <c r="F50" s="87"/>
      <c r="G50" s="88"/>
      <c r="H50" s="89"/>
      <c r="I50" s="90" t="s">
        <v>1623</v>
      </c>
      <c r="J50" s="90" t="e">
        <f>J49</f>
        <v>#REF!</v>
      </c>
      <c r="K50" s="61" t="s">
        <v>49</v>
      </c>
      <c r="N50" s="57"/>
    </row>
    <row r="51" spans="1:14" s="11" customFormat="1" ht="12.75" customHeight="1">
      <c r="A51" s="98"/>
      <c r="C51" s="99" t="s">
        <v>379</v>
      </c>
      <c r="D51" s="3604" t="e">
        <f>J50</f>
        <v>#REF!</v>
      </c>
      <c r="E51" s="3604"/>
      <c r="F51" s="100" t="s">
        <v>1811</v>
      </c>
      <c r="G51" s="3605">
        <v>118.1</v>
      </c>
      <c r="H51" s="3605"/>
      <c r="J51" s="101" t="s">
        <v>1812</v>
      </c>
      <c r="K51" s="3606" t="e">
        <f>ROUND(D51*G51,0)</f>
        <v>#REF!</v>
      </c>
      <c r="L51" s="3606"/>
      <c r="M51" s="102"/>
    </row>
    <row r="52" spans="1:14" ht="50.25" customHeight="1">
      <c r="A52" s="72">
        <v>2</v>
      </c>
      <c r="B52" s="3603" t="s">
        <v>1591</v>
      </c>
      <c r="C52" s="3603"/>
      <c r="D52" s="3603"/>
      <c r="E52" s="71" t="s">
        <v>381</v>
      </c>
      <c r="F52" s="88"/>
      <c r="H52" s="66"/>
      <c r="I52" s="74"/>
      <c r="J52" s="74"/>
    </row>
    <row r="53" spans="1:14">
      <c r="A53" s="72" t="s">
        <v>468</v>
      </c>
      <c r="B53" s="61" t="s">
        <v>1795</v>
      </c>
      <c r="E53" s="71"/>
      <c r="F53" s="87"/>
      <c r="G53" s="88"/>
      <c r="H53" s="89"/>
      <c r="I53" s="88"/>
      <c r="J53" s="88"/>
      <c r="K53" s="43"/>
    </row>
    <row r="54" spans="1:14">
      <c r="B54" s="43" t="s">
        <v>1796</v>
      </c>
      <c r="E54" s="71"/>
      <c r="F54" s="87">
        <f>F48</f>
        <v>11</v>
      </c>
      <c r="G54" s="88" t="e">
        <f>G25</f>
        <v>#REF!</v>
      </c>
      <c r="H54" s="89" t="e">
        <f>H25</f>
        <v>#REF!</v>
      </c>
      <c r="I54" s="88" t="e">
        <f>#REF!</f>
        <v>#REF!</v>
      </c>
      <c r="J54" s="90" t="e">
        <f>ROUND(F54*G54*H54*I54,2)</f>
        <v>#REF!</v>
      </c>
      <c r="K54" s="43" t="s">
        <v>49</v>
      </c>
    </row>
    <row r="55" spans="1:14" ht="11.25" customHeight="1">
      <c r="A55" s="72" t="s">
        <v>1797</v>
      </c>
      <c r="B55" s="61" t="s">
        <v>1798</v>
      </c>
      <c r="E55" s="71"/>
      <c r="H55" s="66"/>
      <c r="L55" s="103"/>
      <c r="M55" s="103"/>
    </row>
    <row r="56" spans="1:14" ht="11.25" customHeight="1">
      <c r="B56" s="43" t="str">
        <f>B27</f>
        <v>Long wall -1</v>
      </c>
      <c r="E56" s="71"/>
      <c r="F56" s="87">
        <f>F27</f>
        <v>2</v>
      </c>
      <c r="G56" s="88" t="e">
        <f>G27</f>
        <v>#REF!</v>
      </c>
      <c r="H56" s="89" t="e">
        <f>H27</f>
        <v>#REF!</v>
      </c>
      <c r="I56" s="88">
        <v>0.15</v>
      </c>
      <c r="J56" s="88" t="e">
        <f>ROUND(F56*G56*H56*I56,2)</f>
        <v>#REF!</v>
      </c>
      <c r="K56" s="43" t="s">
        <v>49</v>
      </c>
      <c r="L56" s="103"/>
      <c r="M56" s="103"/>
      <c r="N56" s="87"/>
    </row>
    <row r="57" spans="1:14" ht="11.25" customHeight="1">
      <c r="E57" s="71"/>
      <c r="F57" s="87">
        <f t="shared" ref="F57:H58" si="5">F28</f>
        <v>1</v>
      </c>
      <c r="G57" s="88" t="e">
        <f t="shared" si="5"/>
        <v>#REF!</v>
      </c>
      <c r="H57" s="89" t="e">
        <f t="shared" si="5"/>
        <v>#REF!</v>
      </c>
      <c r="I57" s="88">
        <f>I56</f>
        <v>0.15</v>
      </c>
      <c r="J57" s="88" t="e">
        <f>ROUND(F57*G57*H57*I57,2)</f>
        <v>#REF!</v>
      </c>
      <c r="K57" s="43" t="s">
        <v>49</v>
      </c>
      <c r="L57" s="103"/>
      <c r="M57" s="103"/>
      <c r="N57" s="87"/>
    </row>
    <row r="58" spans="1:14" ht="11.25" customHeight="1">
      <c r="E58" s="71"/>
      <c r="F58" s="87">
        <f t="shared" si="5"/>
        <v>1</v>
      </c>
      <c r="G58" s="88" t="e">
        <f t="shared" si="5"/>
        <v>#REF!</v>
      </c>
      <c r="H58" s="89" t="e">
        <f t="shared" si="5"/>
        <v>#REF!</v>
      </c>
      <c r="I58" s="88">
        <f>I57</f>
        <v>0.15</v>
      </c>
      <c r="J58" s="88" t="e">
        <f>ROUND(F58*G58*H58*I58,2)</f>
        <v>#REF!</v>
      </c>
      <c r="K58" s="43" t="s">
        <v>49</v>
      </c>
      <c r="L58" s="103"/>
      <c r="M58" s="103"/>
      <c r="N58" s="87"/>
    </row>
    <row r="59" spans="1:14" ht="11.25" customHeight="1">
      <c r="E59" s="71"/>
      <c r="F59" s="87"/>
      <c r="H59" s="66"/>
      <c r="I59" s="90" t="s">
        <v>928</v>
      </c>
      <c r="J59" s="90" t="e">
        <f>SUM(J56:J58)</f>
        <v>#REF!</v>
      </c>
      <c r="K59" s="43" t="s">
        <v>49</v>
      </c>
      <c r="L59" s="103"/>
      <c r="M59" s="103"/>
      <c r="N59" s="87"/>
    </row>
    <row r="60" spans="1:14" ht="11.25" customHeight="1">
      <c r="A60" s="72" t="s">
        <v>472</v>
      </c>
      <c r="B60" s="61" t="s">
        <v>1801</v>
      </c>
      <c r="C60" s="91"/>
      <c r="E60" s="71"/>
      <c r="F60" s="87"/>
      <c r="G60" s="92"/>
      <c r="H60" s="89"/>
      <c r="I60" s="88"/>
      <c r="J60" s="88"/>
      <c r="K60" s="43"/>
      <c r="L60" s="103"/>
      <c r="M60" s="103"/>
      <c r="N60" s="87"/>
    </row>
    <row r="61" spans="1:14" ht="11.25" customHeight="1">
      <c r="B61" s="43" t="str">
        <f>B32</f>
        <v>Cross wall -1</v>
      </c>
      <c r="C61" s="91"/>
      <c r="E61" s="71"/>
      <c r="F61" s="87">
        <f>F32</f>
        <v>4</v>
      </c>
      <c r="G61" s="88" t="e">
        <f>G32</f>
        <v>#REF!</v>
      </c>
      <c r="H61" s="89" t="e">
        <f>H32</f>
        <v>#REF!</v>
      </c>
      <c r="I61" s="88">
        <f>I58</f>
        <v>0.15</v>
      </c>
      <c r="J61" s="88" t="e">
        <f t="shared" ref="J61:J66" si="6">ROUND(F61*G61*H61*I61,2)</f>
        <v>#REF!</v>
      </c>
      <c r="K61" s="43" t="s">
        <v>49</v>
      </c>
      <c r="L61" s="103"/>
      <c r="M61" s="103"/>
      <c r="N61" s="87"/>
    </row>
    <row r="62" spans="1:14" ht="11.25" customHeight="1">
      <c r="C62" s="91"/>
      <c r="E62" s="71"/>
      <c r="F62" s="87">
        <f t="shared" ref="F62:H66" si="7">F33</f>
        <v>2</v>
      </c>
      <c r="G62" s="88" t="e">
        <f t="shared" si="7"/>
        <v>#REF!</v>
      </c>
      <c r="H62" s="89" t="e">
        <f t="shared" si="7"/>
        <v>#REF!</v>
      </c>
      <c r="I62" s="88">
        <f>I61</f>
        <v>0.15</v>
      </c>
      <c r="J62" s="88" t="e">
        <f t="shared" si="6"/>
        <v>#REF!</v>
      </c>
      <c r="K62" s="43" t="s">
        <v>49</v>
      </c>
      <c r="L62" s="103"/>
      <c r="M62" s="103"/>
      <c r="N62" s="87"/>
    </row>
    <row r="63" spans="1:14" ht="11.25" customHeight="1">
      <c r="C63" s="91"/>
      <c r="E63" s="71"/>
      <c r="F63" s="87">
        <f t="shared" si="7"/>
        <v>1</v>
      </c>
      <c r="G63" s="88" t="e">
        <f t="shared" si="7"/>
        <v>#REF!</v>
      </c>
      <c r="H63" s="89" t="e">
        <f t="shared" si="7"/>
        <v>#REF!</v>
      </c>
      <c r="I63" s="88">
        <f>I62</f>
        <v>0.15</v>
      </c>
      <c r="J63" s="88" t="e">
        <f t="shared" si="6"/>
        <v>#REF!</v>
      </c>
      <c r="K63" s="43" t="s">
        <v>49</v>
      </c>
      <c r="L63" s="103"/>
      <c r="M63" s="103"/>
      <c r="N63" s="87"/>
    </row>
    <row r="64" spans="1:14" ht="11.25" customHeight="1">
      <c r="C64" s="91"/>
      <c r="E64" s="71"/>
      <c r="F64" s="87">
        <f t="shared" si="7"/>
        <v>1</v>
      </c>
      <c r="G64" s="88" t="e">
        <f t="shared" si="7"/>
        <v>#REF!</v>
      </c>
      <c r="H64" s="89" t="e">
        <f t="shared" si="7"/>
        <v>#REF!</v>
      </c>
      <c r="I64" s="88">
        <f>I61</f>
        <v>0.15</v>
      </c>
      <c r="J64" s="88" t="e">
        <f t="shared" si="6"/>
        <v>#REF!</v>
      </c>
      <c r="K64" s="43" t="s">
        <v>49</v>
      </c>
      <c r="L64" s="103"/>
      <c r="M64" s="103"/>
      <c r="N64" s="87"/>
    </row>
    <row r="65" spans="1:22" ht="11.25" customHeight="1">
      <c r="C65" s="91"/>
      <c r="E65" s="71"/>
      <c r="F65" s="87">
        <f t="shared" si="7"/>
        <v>1</v>
      </c>
      <c r="G65" s="88" t="e">
        <f t="shared" si="7"/>
        <v>#REF!</v>
      </c>
      <c r="H65" s="89" t="e">
        <f t="shared" si="7"/>
        <v>#REF!</v>
      </c>
      <c r="I65" s="88">
        <f>I62</f>
        <v>0.15</v>
      </c>
      <c r="J65" s="88" t="e">
        <f t="shared" si="6"/>
        <v>#REF!</v>
      </c>
      <c r="K65" s="43" t="s">
        <v>49</v>
      </c>
      <c r="L65" s="103"/>
      <c r="M65" s="103"/>
      <c r="N65" s="87"/>
    </row>
    <row r="66" spans="1:22" ht="11.25" customHeight="1">
      <c r="E66" s="71"/>
      <c r="F66" s="87">
        <f t="shared" si="7"/>
        <v>1</v>
      </c>
      <c r="G66" s="88" t="e">
        <f t="shared" si="7"/>
        <v>#REF!</v>
      </c>
      <c r="H66" s="89" t="e">
        <f t="shared" si="7"/>
        <v>#REF!</v>
      </c>
      <c r="I66" s="88">
        <f>I63</f>
        <v>0.15</v>
      </c>
      <c r="J66" s="88" t="e">
        <f t="shared" si="6"/>
        <v>#REF!</v>
      </c>
      <c r="K66" s="43" t="s">
        <v>49</v>
      </c>
      <c r="L66" s="103"/>
      <c r="M66" s="103"/>
      <c r="N66" s="87"/>
    </row>
    <row r="67" spans="1:22" ht="11.25" customHeight="1">
      <c r="E67" s="71"/>
      <c r="F67" s="87"/>
      <c r="G67" s="88"/>
      <c r="H67" s="89"/>
      <c r="I67" s="90" t="s">
        <v>928</v>
      </c>
      <c r="J67" s="90" t="e">
        <f>SUM(J61:J66)</f>
        <v>#REF!</v>
      </c>
      <c r="K67" s="43" t="s">
        <v>49</v>
      </c>
      <c r="L67" s="103"/>
      <c r="M67" s="103"/>
    </row>
    <row r="68" spans="1:22" ht="11.25" customHeight="1">
      <c r="A68" s="72" t="s">
        <v>474</v>
      </c>
      <c r="B68" s="61" t="s">
        <v>1813</v>
      </c>
      <c r="E68" s="71"/>
      <c r="F68" s="87"/>
      <c r="G68" s="88"/>
      <c r="H68" s="89"/>
      <c r="I68" s="88"/>
      <c r="J68" s="88"/>
      <c r="K68" s="43"/>
      <c r="L68" s="103"/>
      <c r="M68" s="103"/>
    </row>
    <row r="69" spans="1:22" ht="11.25" customHeight="1">
      <c r="B69" s="57" t="str">
        <f>N8</f>
        <v>Hall</v>
      </c>
      <c r="E69" s="71"/>
      <c r="F69" s="87">
        <v>1</v>
      </c>
      <c r="G69" s="88">
        <v>5.05</v>
      </c>
      <c r="H69" s="89">
        <v>9.15</v>
      </c>
      <c r="I69" s="88">
        <v>0.4</v>
      </c>
      <c r="J69" s="88">
        <f t="shared" ref="J69:J81" si="8">ROUND(F69*G69*H69*I69,2)</f>
        <v>18.48</v>
      </c>
      <c r="K69" s="43" t="s">
        <v>49</v>
      </c>
      <c r="L69" s="103"/>
      <c r="M69" s="103"/>
      <c r="N69" s="87"/>
      <c r="R69" s="72"/>
      <c r="S69" s="104">
        <v>4</v>
      </c>
      <c r="T69" s="104">
        <v>3.05</v>
      </c>
      <c r="U69" s="104">
        <v>4.2699999999999996</v>
      </c>
      <c r="V69" s="57">
        <f>U69/0.3048</f>
        <v>14.009186351706035</v>
      </c>
    </row>
    <row r="70" spans="1:22" ht="11.25" customHeight="1">
      <c r="B70" s="57" t="s">
        <v>1814</v>
      </c>
      <c r="E70" s="71"/>
      <c r="F70" s="87">
        <v>1</v>
      </c>
      <c r="G70" s="88">
        <v>1</v>
      </c>
      <c r="H70" s="89">
        <v>1.6</v>
      </c>
      <c r="I70" s="88">
        <f t="shared" ref="I70:I75" si="9">I69</f>
        <v>0.4</v>
      </c>
      <c r="J70" s="88">
        <f t="shared" si="8"/>
        <v>0.64</v>
      </c>
      <c r="K70" s="43" t="s">
        <v>49</v>
      </c>
      <c r="L70" s="103"/>
      <c r="M70" s="103"/>
      <c r="N70" s="87"/>
      <c r="R70" s="72"/>
      <c r="S70" s="104">
        <v>2</v>
      </c>
      <c r="T70" s="104">
        <v>4.2699999999999996</v>
      </c>
      <c r="U70" s="104">
        <v>3.66</v>
      </c>
      <c r="V70" s="57">
        <f>U70/0.3048</f>
        <v>12.007874015748031</v>
      </c>
    </row>
    <row r="71" spans="1:22" ht="11.25" customHeight="1">
      <c r="B71" s="57" t="s">
        <v>1786</v>
      </c>
      <c r="E71" s="71"/>
      <c r="F71" s="87">
        <v>2</v>
      </c>
      <c r="G71" s="88">
        <v>1</v>
      </c>
      <c r="H71" s="89">
        <v>1.2</v>
      </c>
      <c r="I71" s="88">
        <f t="shared" si="9"/>
        <v>0.4</v>
      </c>
      <c r="J71" s="88">
        <f t="shared" si="8"/>
        <v>0.96</v>
      </c>
      <c r="K71" s="43" t="s">
        <v>49</v>
      </c>
      <c r="L71" s="103"/>
      <c r="M71" s="103"/>
      <c r="N71" s="87"/>
      <c r="R71" s="72"/>
      <c r="S71" s="104">
        <v>2</v>
      </c>
      <c r="T71" s="104">
        <v>3.35</v>
      </c>
      <c r="U71" s="104">
        <v>2.64</v>
      </c>
      <c r="V71" s="57">
        <f>U71/0.3048</f>
        <v>8.6614173228346463</v>
      </c>
    </row>
    <row r="72" spans="1:22" ht="11.25" customHeight="1">
      <c r="B72" s="57" t="s">
        <v>1815</v>
      </c>
      <c r="E72" s="71"/>
      <c r="F72" s="87">
        <v>1</v>
      </c>
      <c r="G72" s="88">
        <v>1</v>
      </c>
      <c r="H72" s="89">
        <v>4.5</v>
      </c>
      <c r="I72" s="88">
        <f t="shared" si="9"/>
        <v>0.4</v>
      </c>
      <c r="J72" s="88">
        <f t="shared" si="8"/>
        <v>1.8</v>
      </c>
      <c r="K72" s="43" t="s">
        <v>49</v>
      </c>
      <c r="L72" s="103"/>
      <c r="M72" s="103"/>
      <c r="N72" s="87"/>
      <c r="R72" s="72"/>
      <c r="S72" s="104">
        <v>2</v>
      </c>
      <c r="T72" s="104">
        <v>1.83</v>
      </c>
      <c r="U72" s="104">
        <v>2.9</v>
      </c>
      <c r="V72" s="57">
        <f>U72/0.3048</f>
        <v>9.5144356955380562</v>
      </c>
    </row>
    <row r="73" spans="1:22" ht="11.25" customHeight="1">
      <c r="B73" s="57"/>
      <c r="E73" s="71"/>
      <c r="F73" s="3">
        <v>0.5</v>
      </c>
      <c r="G73" s="88">
        <v>4.4000000000000004</v>
      </c>
      <c r="H73" s="89">
        <v>5.3</v>
      </c>
      <c r="I73" s="88">
        <v>0.15</v>
      </c>
      <c r="J73" s="88">
        <f t="shared" si="8"/>
        <v>1.75</v>
      </c>
      <c r="K73" s="43" t="s">
        <v>49</v>
      </c>
      <c r="L73" s="103"/>
      <c r="M73" s="103"/>
      <c r="N73" s="87"/>
      <c r="R73" s="72"/>
      <c r="S73" s="104"/>
      <c r="T73" s="104"/>
      <c r="U73" s="104"/>
      <c r="V73" s="57"/>
    </row>
    <row r="74" spans="1:22" ht="11.25" customHeight="1">
      <c r="B74" s="57"/>
      <c r="E74" s="71"/>
      <c r="F74" s="3">
        <v>0.5</v>
      </c>
      <c r="G74" s="88">
        <v>4.5</v>
      </c>
      <c r="H74" s="89">
        <v>2.15</v>
      </c>
      <c r="I74" s="88">
        <f t="shared" si="9"/>
        <v>0.15</v>
      </c>
      <c r="J74" s="88">
        <f t="shared" si="8"/>
        <v>0.73</v>
      </c>
      <c r="K74" s="43" t="s">
        <v>49</v>
      </c>
      <c r="L74" s="103"/>
      <c r="M74" s="103"/>
      <c r="N74" s="87"/>
      <c r="R74" s="72"/>
      <c r="S74" s="104"/>
      <c r="T74" s="104"/>
      <c r="U74" s="104"/>
      <c r="V74" s="57"/>
    </row>
    <row r="75" spans="1:22">
      <c r="E75" s="71"/>
      <c r="F75" s="87"/>
      <c r="G75" s="88">
        <f>O14</f>
        <v>0</v>
      </c>
      <c r="H75" s="89">
        <f>P14</f>
        <v>0</v>
      </c>
      <c r="I75" s="88">
        <f t="shared" si="9"/>
        <v>0.15</v>
      </c>
      <c r="J75" s="88">
        <f t="shared" si="8"/>
        <v>0</v>
      </c>
      <c r="K75" s="43" t="s">
        <v>49</v>
      </c>
    </row>
    <row r="76" spans="1:22">
      <c r="E76" s="71"/>
      <c r="F76" s="87"/>
      <c r="G76" s="88">
        <f>'DRAWING HALL'!EY75</f>
        <v>0</v>
      </c>
      <c r="H76" s="89">
        <f>G76</f>
        <v>0</v>
      </c>
      <c r="I76" s="88" t="e">
        <f>'DRAWING HALL'!#REF!-0.1</f>
        <v>#REF!</v>
      </c>
      <c r="J76" s="88" t="e">
        <f t="shared" si="8"/>
        <v>#REF!</v>
      </c>
      <c r="K76" s="43" t="s">
        <v>49</v>
      </c>
    </row>
    <row r="77" spans="1:22">
      <c r="E77" s="71"/>
      <c r="F77" s="87"/>
      <c r="G77" s="88">
        <f>O19</f>
        <v>0</v>
      </c>
      <c r="H77" s="89">
        <f>P19</f>
        <v>0</v>
      </c>
      <c r="I77" s="88" t="e">
        <f>(I76+0)/2</f>
        <v>#REF!</v>
      </c>
      <c r="J77" s="88" t="e">
        <f t="shared" si="8"/>
        <v>#REF!</v>
      </c>
      <c r="K77" s="43" t="s">
        <v>49</v>
      </c>
    </row>
    <row r="78" spans="1:22">
      <c r="E78" s="71"/>
      <c r="F78" s="87"/>
      <c r="G78" s="88">
        <v>8.5</v>
      </c>
      <c r="H78" s="89">
        <v>0.25</v>
      </c>
      <c r="I78" s="88" t="e">
        <f>I76-I211</f>
        <v>#REF!</v>
      </c>
      <c r="J78" s="88" t="e">
        <f t="shared" si="8"/>
        <v>#REF!</v>
      </c>
      <c r="K78" s="43" t="s">
        <v>49</v>
      </c>
    </row>
    <row r="79" spans="1:22">
      <c r="E79" s="71"/>
      <c r="F79" s="87"/>
      <c r="G79" s="88">
        <v>1.3</v>
      </c>
      <c r="H79" s="89">
        <f t="shared" ref="H79:I81" si="10">H78</f>
        <v>0.25</v>
      </c>
      <c r="I79" s="88" t="e">
        <f t="shared" si="10"/>
        <v>#REF!</v>
      </c>
      <c r="J79" s="88" t="e">
        <f t="shared" si="8"/>
        <v>#REF!</v>
      </c>
      <c r="K79" s="43" t="s">
        <v>49</v>
      </c>
    </row>
    <row r="80" spans="1:22">
      <c r="E80" s="71"/>
      <c r="F80" s="87"/>
      <c r="G80" s="88">
        <v>3.65</v>
      </c>
      <c r="H80" s="89">
        <f t="shared" si="10"/>
        <v>0.25</v>
      </c>
      <c r="I80" s="88" t="e">
        <f t="shared" si="10"/>
        <v>#REF!</v>
      </c>
      <c r="J80" s="88" t="e">
        <f t="shared" si="8"/>
        <v>#REF!</v>
      </c>
      <c r="K80" s="43" t="s">
        <v>49</v>
      </c>
    </row>
    <row r="81" spans="1:14">
      <c r="E81" s="71"/>
      <c r="F81" s="87"/>
      <c r="G81" s="88">
        <v>1.8</v>
      </c>
      <c r="H81" s="89">
        <f t="shared" si="10"/>
        <v>0.25</v>
      </c>
      <c r="I81" s="88" t="e">
        <f t="shared" si="10"/>
        <v>#REF!</v>
      </c>
      <c r="J81" s="88" t="e">
        <f t="shared" si="8"/>
        <v>#REF!</v>
      </c>
      <c r="K81" s="43" t="s">
        <v>49</v>
      </c>
    </row>
    <row r="82" spans="1:14">
      <c r="E82" s="71"/>
      <c r="F82" s="87"/>
      <c r="G82" s="88"/>
      <c r="H82" s="89"/>
      <c r="I82" s="90" t="s">
        <v>928</v>
      </c>
      <c r="J82" s="90" t="e">
        <f>SUM(J69:J81)</f>
        <v>#REF!</v>
      </c>
      <c r="K82" s="43" t="s">
        <v>49</v>
      </c>
    </row>
    <row r="83" spans="1:14">
      <c r="A83" s="72" t="s">
        <v>476</v>
      </c>
      <c r="B83" s="61" t="str">
        <f>B39</f>
        <v>STEPS &amp; RAMP &amp; Platform</v>
      </c>
      <c r="E83" s="71"/>
      <c r="F83" s="87"/>
      <c r="G83" s="88"/>
      <c r="H83" s="89"/>
      <c r="I83" s="88"/>
      <c r="J83" s="88"/>
      <c r="K83" s="43"/>
    </row>
    <row r="84" spans="1:14">
      <c r="B84" s="43" t="s">
        <v>1804</v>
      </c>
      <c r="E84" s="71"/>
      <c r="F84" s="87"/>
      <c r="G84" s="88">
        <f>G40</f>
        <v>1.2</v>
      </c>
      <c r="H84" s="89">
        <f>H40</f>
        <v>0.5</v>
      </c>
      <c r="I84" s="88" t="e">
        <f>#REF!</f>
        <v>#REF!</v>
      </c>
      <c r="J84" s="88" t="e">
        <f>ROUND(F84*G84*H84*I84,2)</f>
        <v>#REF!</v>
      </c>
      <c r="K84" s="43" t="s">
        <v>49</v>
      </c>
    </row>
    <row r="85" spans="1:14">
      <c r="E85" s="71"/>
      <c r="F85" s="87"/>
      <c r="G85" s="88" t="e">
        <f>G41</f>
        <v>#REF!</v>
      </c>
      <c r="H85" s="89" t="e">
        <f>H42</f>
        <v>#REF!</v>
      </c>
      <c r="I85" s="88" t="e">
        <f>I84</f>
        <v>#REF!</v>
      </c>
      <c r="J85" s="88" t="e">
        <f>ROUND(F85*G85*H85*I85,2)</f>
        <v>#REF!</v>
      </c>
      <c r="K85" s="43" t="s">
        <v>49</v>
      </c>
    </row>
    <row r="86" spans="1:14">
      <c r="B86" s="43" t="str">
        <f>N18</f>
        <v>Landing</v>
      </c>
      <c r="E86" s="71"/>
      <c r="F86" s="87"/>
      <c r="G86" s="88" t="e">
        <f>'DRAWING HALL'!FB61-'DRAWING HALL'!#REF!</f>
        <v>#REF!</v>
      </c>
      <c r="H86" s="89" t="e">
        <f>'DRAWING HALL'!#REF!</f>
        <v>#REF!</v>
      </c>
      <c r="I86" s="88" t="e">
        <f>'DRAWING HALL'!#REF!</f>
        <v>#REF!</v>
      </c>
      <c r="J86" s="88" t="e">
        <f>ROUND(F86*G86*H86*I86,2)</f>
        <v>#REF!</v>
      </c>
      <c r="K86" s="43" t="s">
        <v>49</v>
      </c>
    </row>
    <row r="87" spans="1:14">
      <c r="B87" s="43" t="str">
        <f>N19</f>
        <v>Ramp</v>
      </c>
      <c r="E87" s="71"/>
      <c r="F87" s="87"/>
      <c r="G87" s="88" t="e">
        <f>'DRAWING HALL'!FR98+'DRAWING HALL'!FR70+'ESTIMATE-F'!H87</f>
        <v>#REF!</v>
      </c>
      <c r="H87" s="89" t="e">
        <f>H86</f>
        <v>#REF!</v>
      </c>
      <c r="I87" s="88" t="e">
        <f>I86</f>
        <v>#REF!</v>
      </c>
      <c r="J87" s="88" t="e">
        <f>ROUND(F87*G87*H87*I87,2)</f>
        <v>#REF!</v>
      </c>
      <c r="K87" s="43" t="s">
        <v>49</v>
      </c>
    </row>
    <row r="88" spans="1:14">
      <c r="B88" s="43" t="s">
        <v>1806</v>
      </c>
      <c r="E88" s="71"/>
      <c r="F88" s="87">
        <v>1</v>
      </c>
      <c r="G88" s="88">
        <f>G44</f>
        <v>3.5</v>
      </c>
      <c r="H88" s="89">
        <f>H44</f>
        <v>3</v>
      </c>
      <c r="I88" s="88">
        <f>I44</f>
        <v>1.5</v>
      </c>
      <c r="J88" s="88">
        <f>ROUND(F88*G88*H88*I88,2)</f>
        <v>15.75</v>
      </c>
      <c r="K88" s="43" t="s">
        <v>49</v>
      </c>
    </row>
    <row r="89" spans="1:14">
      <c r="E89" s="71"/>
      <c r="F89" s="87"/>
      <c r="G89" s="88"/>
      <c r="H89" s="89"/>
      <c r="I89" s="88"/>
      <c r="J89" s="90" t="e">
        <f>SUM(J84:J88)</f>
        <v>#REF!</v>
      </c>
      <c r="K89" s="43" t="s">
        <v>49</v>
      </c>
    </row>
    <row r="90" spans="1:14">
      <c r="E90" s="71"/>
      <c r="F90" s="87"/>
      <c r="H90" s="90" t="s">
        <v>1816</v>
      </c>
      <c r="I90" s="90"/>
      <c r="J90" s="90" t="e">
        <f>J59+J67+J82+J54+J89</f>
        <v>#REF!</v>
      </c>
      <c r="K90" s="43" t="s">
        <v>49</v>
      </c>
    </row>
    <row r="91" spans="1:14">
      <c r="B91" s="61" t="s">
        <v>1529</v>
      </c>
      <c r="E91" s="71"/>
      <c r="F91" s="87"/>
      <c r="H91" s="90"/>
      <c r="I91" s="90"/>
      <c r="J91" s="90"/>
      <c r="K91" s="43"/>
    </row>
    <row r="92" spans="1:14">
      <c r="B92" s="43" t="s">
        <v>1809</v>
      </c>
      <c r="E92" s="71"/>
      <c r="F92" s="87">
        <f>F54</f>
        <v>11</v>
      </c>
      <c r="G92" s="88" t="e">
        <f>G48</f>
        <v>#REF!</v>
      </c>
      <c r="H92" s="89" t="e">
        <f>H48</f>
        <v>#REF!</v>
      </c>
      <c r="I92" s="88">
        <f>I58</f>
        <v>0.15</v>
      </c>
      <c r="J92" s="88" t="e">
        <f>-ROUND(F92*G92*H92*I92,2)</f>
        <v>#REF!</v>
      </c>
      <c r="K92" s="43" t="s">
        <v>49</v>
      </c>
    </row>
    <row r="93" spans="1:14">
      <c r="E93" s="71"/>
      <c r="F93" s="87"/>
      <c r="G93" s="88"/>
      <c r="H93" s="89"/>
      <c r="I93" s="90" t="s">
        <v>1810</v>
      </c>
      <c r="J93" s="90" t="e">
        <f>J90+J92</f>
        <v>#REF!</v>
      </c>
      <c r="K93" s="43" t="s">
        <v>49</v>
      </c>
    </row>
    <row r="94" spans="1:14">
      <c r="E94" s="71"/>
      <c r="F94" s="87"/>
      <c r="G94" s="88"/>
      <c r="H94" s="89"/>
      <c r="I94" s="90" t="s">
        <v>1623</v>
      </c>
      <c r="J94" s="90" t="e">
        <f>J93</f>
        <v>#REF!</v>
      </c>
      <c r="K94" s="61" t="s">
        <v>49</v>
      </c>
      <c r="N94" s="57"/>
    </row>
    <row r="95" spans="1:14" s="11" customFormat="1" ht="12.75" customHeight="1">
      <c r="A95" s="98"/>
      <c r="C95" s="99" t="s">
        <v>379</v>
      </c>
      <c r="D95" s="3604" t="e">
        <f>J94</f>
        <v>#REF!</v>
      </c>
      <c r="E95" s="3604"/>
      <c r="F95" s="100" t="s">
        <v>1811</v>
      </c>
      <c r="G95" s="3605">
        <v>392.9</v>
      </c>
      <c r="H95" s="3605"/>
      <c r="J95" s="101" t="s">
        <v>1812</v>
      </c>
      <c r="K95" s="3606" t="e">
        <f>ROUND(D95*G95,0)</f>
        <v>#REF!</v>
      </c>
      <c r="L95" s="3606"/>
      <c r="M95" s="102"/>
    </row>
    <row r="96" spans="1:14" ht="61.5" customHeight="1">
      <c r="A96" s="72">
        <v>3</v>
      </c>
      <c r="B96" s="3603" t="s">
        <v>1592</v>
      </c>
      <c r="C96" s="3603"/>
      <c r="D96" s="3603"/>
      <c r="E96" s="71" t="s">
        <v>381</v>
      </c>
      <c r="F96" s="88"/>
      <c r="H96" s="66"/>
      <c r="I96" s="74"/>
      <c r="J96" s="74"/>
    </row>
    <row r="97" spans="1:14">
      <c r="A97" s="72" t="s">
        <v>1817</v>
      </c>
      <c r="B97" s="61" t="s">
        <v>1795</v>
      </c>
      <c r="E97" s="71"/>
      <c r="F97" s="87"/>
      <c r="G97" s="88"/>
      <c r="H97" s="89"/>
      <c r="I97" s="88"/>
      <c r="J97" s="88"/>
      <c r="K97" s="43"/>
    </row>
    <row r="98" spans="1:14">
      <c r="B98" s="43" t="s">
        <v>1796</v>
      </c>
      <c r="E98" s="71"/>
      <c r="F98" s="87">
        <f>F92</f>
        <v>11</v>
      </c>
      <c r="G98" s="88" t="e">
        <f>G54</f>
        <v>#REF!</v>
      </c>
      <c r="H98" s="89" t="e">
        <f>H54</f>
        <v>#REF!</v>
      </c>
      <c r="I98" s="88" t="e">
        <f>#REF!</f>
        <v>#REF!</v>
      </c>
      <c r="J98" s="90" t="e">
        <f>ROUND(F98*G98*H98*I98,2)</f>
        <v>#REF!</v>
      </c>
      <c r="K98" s="43" t="s">
        <v>49</v>
      </c>
      <c r="N98" s="87"/>
    </row>
    <row r="99" spans="1:14">
      <c r="E99" s="71"/>
      <c r="F99" s="87"/>
      <c r="G99" s="88"/>
      <c r="H99" s="89"/>
      <c r="I99" s="88"/>
      <c r="J99" s="90"/>
      <c r="K99" s="43"/>
      <c r="N99" s="87"/>
    </row>
    <row r="100" spans="1:14" ht="10.5" customHeight="1">
      <c r="A100" s="72" t="s">
        <v>468</v>
      </c>
      <c r="B100" s="61" t="s">
        <v>1798</v>
      </c>
      <c r="E100" s="71"/>
      <c r="H100" s="66"/>
      <c r="L100" s="103"/>
      <c r="M100" s="103"/>
    </row>
    <row r="101" spans="1:14" ht="10.5" customHeight="1">
      <c r="B101" s="43" t="str">
        <f>B56</f>
        <v>Long wall -1</v>
      </c>
      <c r="E101" s="71"/>
      <c r="F101" s="87">
        <f>F56</f>
        <v>2</v>
      </c>
      <c r="G101" s="65" t="e">
        <f>G56</f>
        <v>#REF!</v>
      </c>
      <c r="H101" s="89" t="e">
        <f>H56</f>
        <v>#REF!</v>
      </c>
      <c r="I101" s="89">
        <v>0.1</v>
      </c>
      <c r="J101" s="88" t="e">
        <f>ROUND(F101*G101*H101*I101,2)</f>
        <v>#REF!</v>
      </c>
      <c r="K101" s="43" t="s">
        <v>49</v>
      </c>
      <c r="L101" s="103"/>
      <c r="M101" s="103"/>
      <c r="N101" s="87"/>
    </row>
    <row r="102" spans="1:14" ht="10.5" customHeight="1">
      <c r="E102" s="71"/>
      <c r="F102" s="87">
        <f t="shared" ref="F102:H103" si="11">F57</f>
        <v>1</v>
      </c>
      <c r="G102" s="65" t="e">
        <f t="shared" si="11"/>
        <v>#REF!</v>
      </c>
      <c r="H102" s="89" t="e">
        <f t="shared" si="11"/>
        <v>#REF!</v>
      </c>
      <c r="I102" s="89">
        <f>I101</f>
        <v>0.1</v>
      </c>
      <c r="J102" s="88" t="e">
        <f>ROUND(F102*G102*H102*I102,2)</f>
        <v>#REF!</v>
      </c>
      <c r="K102" s="43" t="s">
        <v>49</v>
      </c>
      <c r="L102" s="103"/>
      <c r="M102" s="103"/>
      <c r="N102" s="87"/>
    </row>
    <row r="103" spans="1:14" ht="10.5" customHeight="1">
      <c r="B103" s="43">
        <f>B58</f>
        <v>0</v>
      </c>
      <c r="E103" s="71"/>
      <c r="F103" s="87">
        <f t="shared" si="11"/>
        <v>1</v>
      </c>
      <c r="G103" s="65" t="e">
        <f t="shared" si="11"/>
        <v>#REF!</v>
      </c>
      <c r="H103" s="89" t="e">
        <f t="shared" si="11"/>
        <v>#REF!</v>
      </c>
      <c r="I103" s="89">
        <f>I102</f>
        <v>0.1</v>
      </c>
      <c r="J103" s="88" t="e">
        <f>ROUND(F103*G103*H103*I103,2)</f>
        <v>#REF!</v>
      </c>
      <c r="K103" s="43" t="s">
        <v>49</v>
      </c>
      <c r="L103" s="103"/>
      <c r="M103" s="103"/>
      <c r="N103" s="87"/>
    </row>
    <row r="104" spans="1:14" ht="10.5" customHeight="1">
      <c r="E104" s="71"/>
      <c r="F104" s="87"/>
      <c r="H104" s="66"/>
      <c r="I104" s="90" t="s">
        <v>928</v>
      </c>
      <c r="J104" s="90" t="e">
        <f>SUM(J101:J103)</f>
        <v>#REF!</v>
      </c>
      <c r="K104" s="43" t="s">
        <v>49</v>
      </c>
      <c r="L104" s="103"/>
      <c r="M104" s="103"/>
    </row>
    <row r="105" spans="1:14" ht="10.5" customHeight="1">
      <c r="A105" s="72" t="s">
        <v>1797</v>
      </c>
      <c r="B105" s="61" t="s">
        <v>1801</v>
      </c>
      <c r="C105" s="91"/>
      <c r="E105" s="71"/>
      <c r="F105" s="87"/>
      <c r="G105" s="92"/>
      <c r="H105" s="89"/>
      <c r="I105" s="88"/>
      <c r="J105" s="88"/>
      <c r="K105" s="43" t="s">
        <v>49</v>
      </c>
      <c r="L105" s="103"/>
      <c r="M105" s="103"/>
      <c r="N105" s="87"/>
    </row>
    <row r="106" spans="1:14" ht="10.5" customHeight="1">
      <c r="B106" s="43" t="str">
        <f>B61</f>
        <v>Cross wall -1</v>
      </c>
      <c r="E106" s="71"/>
      <c r="F106" s="87">
        <f>F61</f>
        <v>4</v>
      </c>
      <c r="G106" s="88" t="e">
        <f>G61</f>
        <v>#REF!</v>
      </c>
      <c r="H106" s="89" t="e">
        <f>H61</f>
        <v>#REF!</v>
      </c>
      <c r="I106" s="88">
        <v>0.1</v>
      </c>
      <c r="J106" s="88" t="e">
        <f t="shared" ref="J106:J111" si="12">ROUND(F106*G106*H106*I106,2)</f>
        <v>#REF!</v>
      </c>
      <c r="K106" s="43" t="s">
        <v>49</v>
      </c>
      <c r="L106" s="103"/>
      <c r="M106" s="103"/>
      <c r="N106" s="87"/>
    </row>
    <row r="107" spans="1:14" ht="10.5" customHeight="1">
      <c r="E107" s="71"/>
      <c r="F107" s="87">
        <f t="shared" ref="F107:H111" si="13">F62</f>
        <v>2</v>
      </c>
      <c r="G107" s="88" t="e">
        <f t="shared" si="13"/>
        <v>#REF!</v>
      </c>
      <c r="H107" s="89" t="e">
        <f t="shared" si="13"/>
        <v>#REF!</v>
      </c>
      <c r="I107" s="88">
        <v>0.1</v>
      </c>
      <c r="J107" s="88" t="e">
        <f t="shared" si="12"/>
        <v>#REF!</v>
      </c>
      <c r="K107" s="43" t="s">
        <v>49</v>
      </c>
      <c r="L107" s="103"/>
      <c r="M107" s="103"/>
      <c r="N107" s="87"/>
    </row>
    <row r="108" spans="1:14" ht="10.5" customHeight="1">
      <c r="E108" s="71"/>
      <c r="F108" s="87">
        <f t="shared" si="13"/>
        <v>1</v>
      </c>
      <c r="G108" s="88" t="e">
        <f t="shared" si="13"/>
        <v>#REF!</v>
      </c>
      <c r="H108" s="89" t="e">
        <f t="shared" si="13"/>
        <v>#REF!</v>
      </c>
      <c r="I108" s="88">
        <v>0.1</v>
      </c>
      <c r="J108" s="88" t="e">
        <f t="shared" si="12"/>
        <v>#REF!</v>
      </c>
      <c r="K108" s="43" t="s">
        <v>49</v>
      </c>
      <c r="L108" s="103"/>
      <c r="M108" s="103"/>
      <c r="N108" s="87"/>
    </row>
    <row r="109" spans="1:14" ht="10.5" customHeight="1">
      <c r="E109" s="71"/>
      <c r="F109" s="87">
        <f t="shared" si="13"/>
        <v>1</v>
      </c>
      <c r="G109" s="88" t="e">
        <f t="shared" si="13"/>
        <v>#REF!</v>
      </c>
      <c r="H109" s="89" t="e">
        <f t="shared" si="13"/>
        <v>#REF!</v>
      </c>
      <c r="I109" s="88">
        <v>0.1</v>
      </c>
      <c r="J109" s="88" t="e">
        <f t="shared" si="12"/>
        <v>#REF!</v>
      </c>
      <c r="K109" s="43" t="s">
        <v>49</v>
      </c>
      <c r="L109" s="103"/>
      <c r="M109" s="103"/>
      <c r="N109" s="87"/>
    </row>
    <row r="110" spans="1:14" ht="10.5" customHeight="1">
      <c r="E110" s="71"/>
      <c r="F110" s="87">
        <f t="shared" si="13"/>
        <v>1</v>
      </c>
      <c r="G110" s="88" t="e">
        <f t="shared" si="13"/>
        <v>#REF!</v>
      </c>
      <c r="H110" s="89" t="e">
        <f t="shared" si="13"/>
        <v>#REF!</v>
      </c>
      <c r="I110" s="88">
        <v>0.1</v>
      </c>
      <c r="J110" s="88" t="e">
        <f t="shared" si="12"/>
        <v>#REF!</v>
      </c>
      <c r="K110" s="43" t="s">
        <v>49</v>
      </c>
      <c r="L110" s="103"/>
      <c r="M110" s="103"/>
      <c r="N110" s="87"/>
    </row>
    <row r="111" spans="1:14" ht="10.5" customHeight="1">
      <c r="B111" s="43">
        <f>B66</f>
        <v>0</v>
      </c>
      <c r="E111" s="71"/>
      <c r="F111" s="87">
        <f t="shared" si="13"/>
        <v>1</v>
      </c>
      <c r="G111" s="88" t="e">
        <f t="shared" si="13"/>
        <v>#REF!</v>
      </c>
      <c r="H111" s="89" t="e">
        <f t="shared" si="13"/>
        <v>#REF!</v>
      </c>
      <c r="I111" s="88">
        <v>0.1</v>
      </c>
      <c r="J111" s="88" t="e">
        <f t="shared" si="12"/>
        <v>#REF!</v>
      </c>
      <c r="K111" s="43" t="s">
        <v>49</v>
      </c>
      <c r="L111" s="103"/>
      <c r="M111" s="103"/>
      <c r="N111" s="87"/>
    </row>
    <row r="112" spans="1:14" ht="10.5" customHeight="1">
      <c r="E112" s="71"/>
      <c r="F112" s="87"/>
      <c r="G112" s="88"/>
      <c r="H112" s="89"/>
      <c r="I112" s="90" t="s">
        <v>928</v>
      </c>
      <c r="J112" s="90" t="e">
        <f>SUM(J106:J111)</f>
        <v>#REF!</v>
      </c>
      <c r="K112" s="43" t="s">
        <v>49</v>
      </c>
      <c r="L112" s="103"/>
      <c r="M112" s="103"/>
    </row>
    <row r="113" spans="1:22" ht="10.5" customHeight="1">
      <c r="A113" s="72" t="s">
        <v>1800</v>
      </c>
      <c r="B113" s="61" t="s">
        <v>1818</v>
      </c>
      <c r="E113" s="71"/>
      <c r="F113" s="87"/>
      <c r="G113" s="88"/>
      <c r="H113" s="89"/>
      <c r="I113" s="88"/>
      <c r="J113" s="88"/>
      <c r="K113" s="43"/>
      <c r="L113" s="103"/>
      <c r="M113" s="103"/>
    </row>
    <row r="114" spans="1:22" ht="10.5" customHeight="1">
      <c r="B114" s="57" t="str">
        <f t="shared" ref="B114:B122" si="14">B69</f>
        <v>Hall</v>
      </c>
      <c r="E114" s="71"/>
      <c r="F114" s="87">
        <f t="shared" ref="F114:H122" si="15">F69</f>
        <v>1</v>
      </c>
      <c r="G114" s="88">
        <f t="shared" si="15"/>
        <v>5.05</v>
      </c>
      <c r="H114" s="89">
        <f t="shared" si="15"/>
        <v>9.15</v>
      </c>
      <c r="I114" s="88" t="e">
        <f>#REF!</f>
        <v>#REF!</v>
      </c>
      <c r="J114" s="88" t="e">
        <f t="shared" ref="J114:J122" si="16">ROUND(F114*G114*H114*I114,2)</f>
        <v>#REF!</v>
      </c>
      <c r="K114" s="43" t="s">
        <v>49</v>
      </c>
      <c r="L114" s="103"/>
      <c r="M114" s="103"/>
      <c r="R114" s="72"/>
      <c r="S114" s="104"/>
      <c r="T114" s="104"/>
      <c r="U114" s="104"/>
      <c r="V114" s="57"/>
    </row>
    <row r="115" spans="1:22" ht="10.5" customHeight="1">
      <c r="B115" s="57" t="str">
        <f t="shared" si="14"/>
        <v>Bath</v>
      </c>
      <c r="E115" s="71"/>
      <c r="F115" s="87">
        <f t="shared" si="15"/>
        <v>1</v>
      </c>
      <c r="G115" s="88">
        <f t="shared" si="15"/>
        <v>1</v>
      </c>
      <c r="H115" s="89">
        <f t="shared" si="15"/>
        <v>1.6</v>
      </c>
      <c r="I115" s="88" t="e">
        <f>I114</f>
        <v>#REF!</v>
      </c>
      <c r="J115" s="88" t="e">
        <f t="shared" si="16"/>
        <v>#REF!</v>
      </c>
      <c r="K115" s="43" t="s">
        <v>49</v>
      </c>
      <c r="L115" s="103"/>
      <c r="M115" s="103"/>
      <c r="R115" s="72"/>
      <c r="S115" s="104"/>
      <c r="T115" s="104"/>
      <c r="U115" s="104"/>
      <c r="V115" s="57"/>
    </row>
    <row r="116" spans="1:22" ht="10.5" customHeight="1">
      <c r="B116" s="57" t="str">
        <f t="shared" si="14"/>
        <v>Toilet</v>
      </c>
      <c r="E116" s="71"/>
      <c r="F116" s="87">
        <f t="shared" si="15"/>
        <v>2</v>
      </c>
      <c r="G116" s="88">
        <f t="shared" si="15"/>
        <v>1</v>
      </c>
      <c r="H116" s="89">
        <f t="shared" si="15"/>
        <v>1.2</v>
      </c>
      <c r="I116" s="88" t="e">
        <f>I115</f>
        <v>#REF!</v>
      </c>
      <c r="J116" s="88" t="e">
        <f t="shared" si="16"/>
        <v>#REF!</v>
      </c>
      <c r="K116" s="43" t="s">
        <v>49</v>
      </c>
      <c r="L116" s="103"/>
      <c r="M116" s="103"/>
      <c r="R116" s="72"/>
      <c r="S116" s="104"/>
      <c r="T116" s="104"/>
      <c r="U116" s="104"/>
      <c r="V116" s="57"/>
    </row>
    <row r="117" spans="1:22" ht="10.5" customHeight="1">
      <c r="B117" s="57" t="str">
        <f t="shared" si="14"/>
        <v>Passage</v>
      </c>
      <c r="E117" s="71"/>
      <c r="F117" s="87">
        <f t="shared" si="15"/>
        <v>1</v>
      </c>
      <c r="G117" s="88">
        <f t="shared" si="15"/>
        <v>1</v>
      </c>
      <c r="H117" s="89">
        <f t="shared" si="15"/>
        <v>4.5</v>
      </c>
      <c r="I117" s="88" t="e">
        <f>I116</f>
        <v>#REF!</v>
      </c>
      <c r="J117" s="88" t="e">
        <f t="shared" si="16"/>
        <v>#REF!</v>
      </c>
      <c r="K117" s="43" t="s">
        <v>49</v>
      </c>
      <c r="L117" s="103"/>
      <c r="M117" s="103"/>
      <c r="R117" s="72"/>
      <c r="S117" s="104"/>
      <c r="T117" s="104"/>
      <c r="U117" s="104"/>
      <c r="V117" s="57"/>
    </row>
    <row r="118" spans="1:22" ht="10.5" customHeight="1">
      <c r="B118" s="57">
        <f t="shared" si="14"/>
        <v>0</v>
      </c>
      <c r="E118" s="71"/>
      <c r="F118" s="87">
        <f t="shared" si="15"/>
        <v>0.5</v>
      </c>
      <c r="G118" s="88">
        <f t="shared" si="15"/>
        <v>4.4000000000000004</v>
      </c>
      <c r="H118" s="89">
        <f t="shared" si="15"/>
        <v>5.3</v>
      </c>
      <c r="I118" s="88">
        <v>0.1</v>
      </c>
      <c r="J118" s="88">
        <f t="shared" si="16"/>
        <v>1.17</v>
      </c>
      <c r="K118" s="43" t="s">
        <v>49</v>
      </c>
      <c r="L118" s="103"/>
      <c r="M118" s="103"/>
      <c r="R118" s="72"/>
      <c r="S118" s="104"/>
      <c r="T118" s="104"/>
      <c r="U118" s="104"/>
      <c r="V118" s="57"/>
    </row>
    <row r="119" spans="1:22" ht="10.5" customHeight="1">
      <c r="B119" s="57">
        <f t="shared" si="14"/>
        <v>0</v>
      </c>
      <c r="E119" s="71"/>
      <c r="F119" s="87">
        <f t="shared" si="15"/>
        <v>0.5</v>
      </c>
      <c r="G119" s="88">
        <f t="shared" si="15"/>
        <v>4.5</v>
      </c>
      <c r="H119" s="89">
        <f t="shared" si="15"/>
        <v>2.15</v>
      </c>
      <c r="I119" s="88">
        <f>I118</f>
        <v>0.1</v>
      </c>
      <c r="J119" s="88">
        <f t="shared" si="16"/>
        <v>0.48</v>
      </c>
      <c r="K119" s="43" t="s">
        <v>49</v>
      </c>
      <c r="L119" s="103"/>
      <c r="M119" s="103"/>
      <c r="R119" s="72"/>
      <c r="S119" s="104"/>
      <c r="T119" s="104"/>
      <c r="U119" s="104"/>
      <c r="V119" s="57"/>
    </row>
    <row r="120" spans="1:22" ht="10.5" customHeight="1">
      <c r="B120" s="57">
        <f t="shared" si="14"/>
        <v>0</v>
      </c>
      <c r="E120" s="71"/>
      <c r="F120" s="87">
        <f t="shared" si="15"/>
        <v>0</v>
      </c>
      <c r="G120" s="88">
        <f t="shared" si="15"/>
        <v>0</v>
      </c>
      <c r="H120" s="89">
        <f t="shared" si="15"/>
        <v>0</v>
      </c>
      <c r="I120" s="88">
        <v>0.1</v>
      </c>
      <c r="J120" s="88">
        <f t="shared" si="16"/>
        <v>0</v>
      </c>
      <c r="K120" s="43" t="s">
        <v>49</v>
      </c>
      <c r="L120" s="103"/>
      <c r="M120" s="103"/>
      <c r="R120" s="72"/>
      <c r="S120" s="104"/>
      <c r="T120" s="104"/>
      <c r="U120" s="104"/>
      <c r="V120" s="57"/>
    </row>
    <row r="121" spans="1:22" ht="10.5" customHeight="1">
      <c r="B121" s="57">
        <f t="shared" si="14"/>
        <v>0</v>
      </c>
      <c r="E121" s="71"/>
      <c r="F121" s="87">
        <f t="shared" si="15"/>
        <v>0</v>
      </c>
      <c r="G121" s="88">
        <f t="shared" si="15"/>
        <v>0</v>
      </c>
      <c r="H121" s="89">
        <f t="shared" si="15"/>
        <v>0</v>
      </c>
      <c r="I121" s="88">
        <f>I120</f>
        <v>0.1</v>
      </c>
      <c r="J121" s="88">
        <f t="shared" si="16"/>
        <v>0</v>
      </c>
      <c r="K121" s="43" t="s">
        <v>49</v>
      </c>
      <c r="L121" s="103"/>
      <c r="M121" s="103"/>
      <c r="R121" s="72"/>
      <c r="S121" s="104"/>
      <c r="T121" s="104"/>
      <c r="U121" s="104"/>
      <c r="V121" s="57"/>
    </row>
    <row r="122" spans="1:22" ht="10.5" customHeight="1">
      <c r="B122" s="57">
        <f t="shared" si="14"/>
        <v>0</v>
      </c>
      <c r="E122" s="71"/>
      <c r="F122" s="87">
        <f t="shared" si="15"/>
        <v>0</v>
      </c>
      <c r="G122" s="88">
        <f t="shared" si="15"/>
        <v>0</v>
      </c>
      <c r="H122" s="89">
        <f t="shared" si="15"/>
        <v>0</v>
      </c>
      <c r="I122" s="88">
        <f>I121</f>
        <v>0.1</v>
      </c>
      <c r="J122" s="88">
        <f t="shared" si="16"/>
        <v>0</v>
      </c>
      <c r="K122" s="43" t="s">
        <v>49</v>
      </c>
      <c r="L122" s="103"/>
      <c r="M122" s="103"/>
      <c r="R122" s="72"/>
      <c r="S122" s="104"/>
      <c r="T122" s="104"/>
      <c r="U122" s="104"/>
      <c r="V122" s="57"/>
    </row>
    <row r="123" spans="1:22">
      <c r="E123" s="71"/>
      <c r="F123" s="87"/>
      <c r="G123" s="88"/>
      <c r="H123" s="89"/>
      <c r="I123" s="90" t="s">
        <v>928</v>
      </c>
      <c r="J123" s="90" t="e">
        <f>SUM(J114:J122)</f>
        <v>#REF!</v>
      </c>
      <c r="K123" s="43" t="s">
        <v>49</v>
      </c>
    </row>
    <row r="124" spans="1:22">
      <c r="E124" s="71"/>
      <c r="F124" s="87"/>
      <c r="G124" s="88"/>
      <c r="H124" s="89"/>
      <c r="I124" s="88"/>
      <c r="J124" s="90"/>
      <c r="K124" s="43"/>
    </row>
    <row r="125" spans="1:22">
      <c r="A125" s="72" t="s">
        <v>476</v>
      </c>
      <c r="B125" s="61" t="str">
        <f>B83</f>
        <v>STEPS &amp; RAMP &amp; Platform</v>
      </c>
      <c r="E125" s="71"/>
      <c r="F125" s="87"/>
      <c r="G125" s="88"/>
      <c r="H125" s="89"/>
      <c r="I125" s="88"/>
      <c r="J125" s="88"/>
      <c r="K125" s="43"/>
    </row>
    <row r="126" spans="1:22">
      <c r="B126" s="43" t="str">
        <f>B86</f>
        <v>Landing</v>
      </c>
      <c r="E126" s="71"/>
      <c r="F126" s="87">
        <f t="shared" ref="F126:H127" si="17">F86</f>
        <v>0</v>
      </c>
      <c r="G126" s="88" t="e">
        <f t="shared" si="17"/>
        <v>#REF!</v>
      </c>
      <c r="H126" s="89" t="e">
        <f t="shared" si="17"/>
        <v>#REF!</v>
      </c>
      <c r="I126" s="88" t="e">
        <f>'DRAWING HALL'!#REF!</f>
        <v>#REF!</v>
      </c>
      <c r="J126" s="88" t="e">
        <f>ROUND(F126*G126*H126*I126,2)</f>
        <v>#REF!</v>
      </c>
      <c r="K126" s="43" t="s">
        <v>49</v>
      </c>
    </row>
    <row r="127" spans="1:22">
      <c r="B127" s="43" t="str">
        <f>B87</f>
        <v>Ramp</v>
      </c>
      <c r="E127" s="71"/>
      <c r="F127" s="87">
        <f t="shared" si="17"/>
        <v>0</v>
      </c>
      <c r="G127" s="88" t="e">
        <f t="shared" si="17"/>
        <v>#REF!</v>
      </c>
      <c r="H127" s="89" t="e">
        <f t="shared" si="17"/>
        <v>#REF!</v>
      </c>
      <c r="I127" s="88" t="e">
        <f>I126</f>
        <v>#REF!</v>
      </c>
      <c r="J127" s="88" t="e">
        <f>ROUND(F127*G127*H127*I127,2)</f>
        <v>#REF!</v>
      </c>
      <c r="K127" s="43" t="s">
        <v>49</v>
      </c>
    </row>
    <row r="128" spans="1:22">
      <c r="B128" s="43" t="str">
        <f>B84</f>
        <v>Step</v>
      </c>
      <c r="E128" s="71"/>
      <c r="F128" s="87">
        <f t="shared" ref="F128:I130" si="18">F84</f>
        <v>0</v>
      </c>
      <c r="G128" s="88">
        <f t="shared" si="18"/>
        <v>1.2</v>
      </c>
      <c r="H128" s="89">
        <f t="shared" si="18"/>
        <v>0.5</v>
      </c>
      <c r="I128" s="88" t="e">
        <f>#REF!</f>
        <v>#REF!</v>
      </c>
      <c r="J128" s="88" t="e">
        <f>ROUND(F128*G128*H128*I128,2)</f>
        <v>#REF!</v>
      </c>
      <c r="K128" s="43" t="s">
        <v>49</v>
      </c>
    </row>
    <row r="129" spans="1:14">
      <c r="E129" s="71"/>
      <c r="F129" s="87">
        <f t="shared" si="18"/>
        <v>0</v>
      </c>
      <c r="G129" s="88" t="e">
        <f t="shared" si="18"/>
        <v>#REF!</v>
      </c>
      <c r="H129" s="89" t="e">
        <f t="shared" si="18"/>
        <v>#REF!</v>
      </c>
      <c r="I129" s="88" t="e">
        <f t="shared" si="18"/>
        <v>#REF!</v>
      </c>
      <c r="J129" s="88" t="e">
        <f>ROUND(F129*G129*H129*I129,2)</f>
        <v>#REF!</v>
      </c>
      <c r="K129" s="43" t="s">
        <v>49</v>
      </c>
    </row>
    <row r="130" spans="1:14">
      <c r="B130" s="43" t="str">
        <f>B88</f>
        <v>Septic Tank</v>
      </c>
      <c r="E130" s="71"/>
      <c r="F130" s="87">
        <f>F88</f>
        <v>1</v>
      </c>
      <c r="G130" s="88">
        <f>G88</f>
        <v>3.5</v>
      </c>
      <c r="H130" s="89">
        <f>H88</f>
        <v>3</v>
      </c>
      <c r="I130" s="88" t="e">
        <f t="shared" si="18"/>
        <v>#REF!</v>
      </c>
      <c r="J130" s="95" t="e">
        <f>ROUND(F130*G130*H130*I130,2)</f>
        <v>#REF!</v>
      </c>
      <c r="K130" s="43" t="s">
        <v>49</v>
      </c>
    </row>
    <row r="131" spans="1:14">
      <c r="E131" s="71"/>
      <c r="F131" s="87"/>
      <c r="G131" s="88"/>
      <c r="H131" s="89"/>
      <c r="I131" s="88"/>
      <c r="J131" s="90" t="e">
        <f>SUM(J126:J130)</f>
        <v>#REF!</v>
      </c>
      <c r="K131" s="43" t="s">
        <v>49</v>
      </c>
    </row>
    <row r="132" spans="1:14">
      <c r="E132" s="71"/>
      <c r="F132" s="87"/>
      <c r="H132" s="90" t="s">
        <v>1807</v>
      </c>
      <c r="I132" s="90"/>
      <c r="J132" s="90" t="e">
        <f>J104+J112+J123+J98+J131</f>
        <v>#REF!</v>
      </c>
      <c r="K132" s="43" t="s">
        <v>49</v>
      </c>
    </row>
    <row r="133" spans="1:14">
      <c r="B133" s="61" t="s">
        <v>1529</v>
      </c>
      <c r="E133" s="71"/>
      <c r="F133" s="87"/>
      <c r="H133" s="90"/>
      <c r="I133" s="90"/>
      <c r="J133" s="90"/>
    </row>
    <row r="134" spans="1:14" ht="12.75">
      <c r="B134" s="61" t="s">
        <v>1809</v>
      </c>
      <c r="E134" s="71"/>
      <c r="F134" s="87">
        <f>F98</f>
        <v>11</v>
      </c>
      <c r="G134" s="88" t="e">
        <f>G54</f>
        <v>#REF!</v>
      </c>
      <c r="H134" s="89" t="e">
        <f>H92</f>
        <v>#REF!</v>
      </c>
      <c r="I134" s="88">
        <f>I92</f>
        <v>0.15</v>
      </c>
      <c r="J134" s="3" t="e">
        <f>-ROUND(F134*G134*H134*I134,2)</f>
        <v>#REF!</v>
      </c>
      <c r="K134" s="61" t="s">
        <v>49</v>
      </c>
    </row>
    <row r="135" spans="1:14">
      <c r="E135" s="71"/>
      <c r="F135" s="87"/>
      <c r="G135" s="88"/>
      <c r="H135" s="89"/>
      <c r="I135" s="90" t="s">
        <v>1810</v>
      </c>
      <c r="J135" s="90" t="e">
        <f>J132+J134</f>
        <v>#REF!</v>
      </c>
      <c r="K135" s="61" t="s">
        <v>49</v>
      </c>
    </row>
    <row r="136" spans="1:14" ht="12.75">
      <c r="E136" s="71"/>
      <c r="F136" s="87"/>
      <c r="G136" s="88"/>
      <c r="H136" s="89"/>
      <c r="I136" s="90" t="s">
        <v>1623</v>
      </c>
      <c r="J136" s="90" t="e">
        <f>J135</f>
        <v>#REF!</v>
      </c>
      <c r="K136" s="61" t="s">
        <v>49</v>
      </c>
      <c r="N136" s="103"/>
    </row>
    <row r="137" spans="1:14" s="11" customFormat="1" ht="12.75" customHeight="1">
      <c r="A137" s="98"/>
      <c r="C137" s="99" t="s">
        <v>379</v>
      </c>
      <c r="D137" s="3604" t="e">
        <f>J136</f>
        <v>#REF!</v>
      </c>
      <c r="E137" s="3604"/>
      <c r="F137" s="100" t="s">
        <v>1811</v>
      </c>
      <c r="G137" s="3605">
        <v>3691.4</v>
      </c>
      <c r="H137" s="3605"/>
      <c r="J137" s="101" t="s">
        <v>1812</v>
      </c>
      <c r="K137" s="3606" t="e">
        <f>ROUND(D137*G137,0)</f>
        <v>#REF!</v>
      </c>
      <c r="L137" s="3606"/>
      <c r="M137" s="102"/>
    </row>
    <row r="138" spans="1:14" ht="42.75" customHeight="1">
      <c r="A138" s="72">
        <v>4</v>
      </c>
      <c r="B138" s="3603" t="s">
        <v>1596</v>
      </c>
      <c r="C138" s="3603"/>
      <c r="D138" s="3603"/>
      <c r="E138" s="71" t="s">
        <v>381</v>
      </c>
      <c r="F138" s="88"/>
      <c r="H138" s="66"/>
      <c r="I138" s="74"/>
      <c r="J138" s="74"/>
    </row>
    <row r="139" spans="1:14" ht="12" customHeight="1">
      <c r="A139" s="72" t="s">
        <v>1794</v>
      </c>
      <c r="B139" s="105" t="s">
        <v>1819</v>
      </c>
      <c r="E139" s="71"/>
      <c r="F139" s="87"/>
      <c r="G139" s="92"/>
      <c r="H139" s="89"/>
      <c r="I139" s="88"/>
      <c r="J139" s="88"/>
      <c r="K139" s="43"/>
      <c r="L139" s="103"/>
      <c r="M139" s="103"/>
    </row>
    <row r="140" spans="1:14" ht="12" customHeight="1">
      <c r="B140" s="61" t="s">
        <v>1798</v>
      </c>
      <c r="E140" s="71"/>
      <c r="H140" s="66"/>
      <c r="L140" s="103"/>
      <c r="M140" s="103"/>
    </row>
    <row r="141" spans="1:14" ht="12" customHeight="1">
      <c r="B141" s="43" t="str">
        <f>B101</f>
        <v>Long wall -1</v>
      </c>
      <c r="E141" s="71"/>
      <c r="F141" s="87">
        <f>F101</f>
        <v>2</v>
      </c>
      <c r="G141" s="88">
        <f>D9+H141</f>
        <v>8.1750000000000007</v>
      </c>
      <c r="H141" s="89">
        <v>0.375</v>
      </c>
      <c r="I141" s="88">
        <v>0.15</v>
      </c>
      <c r="J141" s="88">
        <f>ROUND(F141*G141*H141*I141,2)</f>
        <v>0.92</v>
      </c>
      <c r="K141" s="43" t="s">
        <v>49</v>
      </c>
      <c r="L141" s="103"/>
      <c r="M141" s="103"/>
      <c r="N141" s="87"/>
    </row>
    <row r="142" spans="1:14" ht="12" customHeight="1">
      <c r="E142" s="71"/>
      <c r="F142" s="87">
        <f>F102</f>
        <v>1</v>
      </c>
      <c r="G142" s="88">
        <f>D10+H142</f>
        <v>5.6749999999999998</v>
      </c>
      <c r="H142" s="89">
        <f>H141</f>
        <v>0.375</v>
      </c>
      <c r="I142" s="88">
        <f>I141</f>
        <v>0.15</v>
      </c>
      <c r="J142" s="88">
        <f>ROUND(F142*G142*H142*I142,2)</f>
        <v>0.32</v>
      </c>
      <c r="K142" s="43" t="s">
        <v>49</v>
      </c>
      <c r="L142" s="103"/>
      <c r="M142" s="103"/>
      <c r="N142" s="87"/>
    </row>
    <row r="143" spans="1:14" ht="12" customHeight="1">
      <c r="B143" s="43">
        <f>B103</f>
        <v>0</v>
      </c>
      <c r="E143" s="71"/>
      <c r="F143" s="87">
        <f>F103</f>
        <v>1</v>
      </c>
      <c r="G143" s="88">
        <f>D11+H143</f>
        <v>12.074999999999999</v>
      </c>
      <c r="H143" s="89">
        <f>H141</f>
        <v>0.375</v>
      </c>
      <c r="I143" s="88">
        <f>I141</f>
        <v>0.15</v>
      </c>
      <c r="J143" s="88">
        <f>ROUND(F143*G143*H143*I143,2)</f>
        <v>0.68</v>
      </c>
      <c r="K143" s="43" t="s">
        <v>49</v>
      </c>
      <c r="L143" s="103"/>
      <c r="M143" s="103"/>
      <c r="N143" s="87"/>
    </row>
    <row r="144" spans="1:14" ht="12" customHeight="1">
      <c r="E144" s="71"/>
      <c r="F144" s="87"/>
      <c r="H144" s="66"/>
      <c r="I144" s="90" t="s">
        <v>928</v>
      </c>
      <c r="J144" s="90">
        <f>SUM(J141:J143)</f>
        <v>1.92</v>
      </c>
      <c r="K144" s="43" t="s">
        <v>49</v>
      </c>
      <c r="L144" s="103"/>
      <c r="M144" s="103"/>
      <c r="N144" s="87"/>
    </row>
    <row r="145" spans="2:14" ht="12" customHeight="1">
      <c r="B145" s="61" t="s">
        <v>1801</v>
      </c>
      <c r="C145" s="91"/>
      <c r="E145" s="71"/>
      <c r="F145" s="87"/>
      <c r="G145" s="92"/>
      <c r="H145" s="89"/>
      <c r="I145" s="88"/>
      <c r="J145" s="88"/>
      <c r="K145" s="43"/>
      <c r="L145" s="103"/>
      <c r="M145" s="103"/>
      <c r="N145" s="87"/>
    </row>
    <row r="146" spans="2:14" ht="12" customHeight="1">
      <c r="B146" s="43" t="str">
        <f>B106</f>
        <v>Cross wall -1</v>
      </c>
      <c r="E146" s="71"/>
      <c r="F146" s="87">
        <f t="shared" ref="F146:F151" si="19">F106</f>
        <v>4</v>
      </c>
      <c r="G146" s="88">
        <f t="shared" ref="G146:G151" si="20">D13-H146</f>
        <v>4.375</v>
      </c>
      <c r="H146" s="89">
        <f>H141</f>
        <v>0.375</v>
      </c>
      <c r="I146" s="88">
        <f>I141</f>
        <v>0.15</v>
      </c>
      <c r="J146" s="88">
        <f t="shared" ref="J146:J151" si="21">ROUND(F146*G146*H146*I146,2)</f>
        <v>0.98</v>
      </c>
      <c r="K146" s="43" t="s">
        <v>49</v>
      </c>
      <c r="L146" s="103"/>
      <c r="M146" s="103"/>
      <c r="N146" s="87"/>
    </row>
    <row r="147" spans="2:14" ht="12" customHeight="1">
      <c r="E147" s="71"/>
      <c r="F147" s="87">
        <f t="shared" si="19"/>
        <v>2</v>
      </c>
      <c r="G147" s="88">
        <f t="shared" si="20"/>
        <v>4.2750000000000004</v>
      </c>
      <c r="H147" s="89">
        <f>H142</f>
        <v>0.375</v>
      </c>
      <c r="I147" s="88">
        <f>I146</f>
        <v>0.15</v>
      </c>
      <c r="J147" s="88">
        <f t="shared" si="21"/>
        <v>0.48</v>
      </c>
      <c r="K147" s="43" t="s">
        <v>49</v>
      </c>
      <c r="L147" s="103"/>
      <c r="M147" s="103"/>
      <c r="N147" s="87"/>
    </row>
    <row r="148" spans="2:14" ht="12" customHeight="1">
      <c r="E148" s="71"/>
      <c r="F148" s="87">
        <f t="shared" si="19"/>
        <v>1</v>
      </c>
      <c r="G148" s="88">
        <f t="shared" si="20"/>
        <v>4.2750000000000004</v>
      </c>
      <c r="H148" s="89">
        <f>H143</f>
        <v>0.375</v>
      </c>
      <c r="I148" s="88">
        <f>I147</f>
        <v>0.15</v>
      </c>
      <c r="J148" s="88">
        <f t="shared" si="21"/>
        <v>0.24</v>
      </c>
      <c r="K148" s="43" t="s">
        <v>49</v>
      </c>
      <c r="L148" s="103"/>
      <c r="M148" s="103"/>
      <c r="N148" s="87"/>
    </row>
    <row r="149" spans="2:14" ht="12" customHeight="1">
      <c r="E149" s="71"/>
      <c r="F149" s="87">
        <f t="shared" si="19"/>
        <v>1</v>
      </c>
      <c r="G149" s="88">
        <f t="shared" si="20"/>
        <v>5.0750000000000002</v>
      </c>
      <c r="H149" s="89">
        <f>H148</f>
        <v>0.375</v>
      </c>
      <c r="I149" s="88">
        <f>I148</f>
        <v>0.15</v>
      </c>
      <c r="J149" s="88">
        <f t="shared" si="21"/>
        <v>0.28999999999999998</v>
      </c>
      <c r="K149" s="43" t="s">
        <v>49</v>
      </c>
      <c r="L149" s="103"/>
      <c r="M149" s="103"/>
      <c r="N149" s="87"/>
    </row>
    <row r="150" spans="2:14" ht="12" customHeight="1">
      <c r="E150" s="71"/>
      <c r="F150" s="87">
        <f t="shared" si="19"/>
        <v>1</v>
      </c>
      <c r="G150" s="88">
        <f t="shared" si="20"/>
        <v>3.0750000000000002</v>
      </c>
      <c r="H150" s="89">
        <f>H149</f>
        <v>0.375</v>
      </c>
      <c r="I150" s="88">
        <f>I149</f>
        <v>0.15</v>
      </c>
      <c r="J150" s="88">
        <f t="shared" si="21"/>
        <v>0.17</v>
      </c>
      <c r="K150" s="43" t="s">
        <v>49</v>
      </c>
      <c r="L150" s="103"/>
      <c r="M150" s="103"/>
      <c r="N150" s="87"/>
    </row>
    <row r="151" spans="2:14" ht="12" customHeight="1">
      <c r="B151" s="43">
        <f>B111</f>
        <v>0</v>
      </c>
      <c r="E151" s="71"/>
      <c r="F151" s="87">
        <f t="shared" si="19"/>
        <v>1</v>
      </c>
      <c r="G151" s="88">
        <f t="shared" si="20"/>
        <v>3.875</v>
      </c>
      <c r="H151" s="89">
        <f>H146</f>
        <v>0.375</v>
      </c>
      <c r="I151" s="88">
        <f>I150</f>
        <v>0.15</v>
      </c>
      <c r="J151" s="88">
        <f t="shared" si="21"/>
        <v>0.22</v>
      </c>
      <c r="K151" s="43" t="s">
        <v>49</v>
      </c>
      <c r="L151" s="103"/>
      <c r="M151" s="103"/>
      <c r="N151" s="87"/>
    </row>
    <row r="152" spans="2:14" ht="12" customHeight="1">
      <c r="E152" s="71"/>
      <c r="F152" s="87"/>
      <c r="G152" s="88"/>
      <c r="H152" s="89"/>
      <c r="I152" s="90" t="s">
        <v>928</v>
      </c>
      <c r="J152" s="90">
        <f>SUM(J146:J151)</f>
        <v>2.3800000000000003</v>
      </c>
      <c r="K152" s="43" t="s">
        <v>49</v>
      </c>
      <c r="L152" s="103"/>
      <c r="M152" s="103"/>
      <c r="N152" s="87"/>
    </row>
    <row r="153" spans="2:14" ht="12" customHeight="1">
      <c r="B153" s="61" t="str">
        <f>B125</f>
        <v>STEPS &amp; RAMP &amp; Platform</v>
      </c>
      <c r="E153" s="71"/>
      <c r="F153" s="87"/>
      <c r="G153" s="88"/>
      <c r="H153" s="89"/>
      <c r="I153" s="90"/>
      <c r="J153" s="90"/>
      <c r="K153" s="43"/>
      <c r="L153" s="103"/>
      <c r="M153" s="103"/>
      <c r="N153" s="87"/>
    </row>
    <row r="154" spans="2:14" ht="12" customHeight="1">
      <c r="B154" s="43" t="str">
        <f>B126</f>
        <v>Landing</v>
      </c>
      <c r="E154" s="71"/>
      <c r="F154" s="87">
        <f>F126</f>
        <v>0</v>
      </c>
      <c r="G154" s="88" t="e">
        <f>G126</f>
        <v>#REF!</v>
      </c>
      <c r="H154" s="89">
        <f>H151</f>
        <v>0.375</v>
      </c>
      <c r="I154" s="88">
        <f>I151</f>
        <v>0.15</v>
      </c>
      <c r="J154" s="88" t="e">
        <f>ROUND(F154*G154*H154*I154,2)</f>
        <v>#REF!</v>
      </c>
      <c r="K154" s="43" t="s">
        <v>49</v>
      </c>
      <c r="L154" s="103"/>
      <c r="M154" s="103"/>
      <c r="N154" s="87"/>
    </row>
    <row r="155" spans="2:14" ht="12" customHeight="1">
      <c r="E155" s="71"/>
      <c r="F155" s="87">
        <f>F127</f>
        <v>0</v>
      </c>
      <c r="G155" s="88" t="e">
        <f>G127</f>
        <v>#REF!</v>
      </c>
      <c r="H155" s="89">
        <f>H154</f>
        <v>0.375</v>
      </c>
      <c r="I155" s="88">
        <f>I154</f>
        <v>0.15</v>
      </c>
      <c r="J155" s="88" t="e">
        <f>ROUND(F155*G155*H155*I155,2)</f>
        <v>#REF!</v>
      </c>
      <c r="K155" s="43" t="s">
        <v>49</v>
      </c>
      <c r="L155" s="103"/>
      <c r="M155" s="103"/>
      <c r="N155" s="87"/>
    </row>
    <row r="156" spans="2:14" ht="12" customHeight="1">
      <c r="B156" s="43" t="str">
        <f>B128</f>
        <v>Step</v>
      </c>
      <c r="E156" s="71"/>
      <c r="F156" s="87">
        <v>1</v>
      </c>
      <c r="G156" s="88">
        <v>1.5</v>
      </c>
      <c r="H156" s="89">
        <f>H155</f>
        <v>0.375</v>
      </c>
      <c r="I156" s="88">
        <v>0.15</v>
      </c>
      <c r="J156" s="88">
        <f>ROUND(F156*G156*H156*I156,2)</f>
        <v>0.08</v>
      </c>
      <c r="K156" s="43" t="s">
        <v>49</v>
      </c>
      <c r="L156" s="103"/>
      <c r="M156" s="103"/>
      <c r="N156" s="87"/>
    </row>
    <row r="157" spans="2:14" ht="12" customHeight="1">
      <c r="B157" s="43" t="s">
        <v>1806</v>
      </c>
      <c r="E157" s="71"/>
      <c r="F157" s="87">
        <v>2</v>
      </c>
      <c r="G157" s="88">
        <v>4</v>
      </c>
      <c r="H157" s="89">
        <v>0.25</v>
      </c>
      <c r="I157" s="88">
        <v>1.25</v>
      </c>
      <c r="J157" s="88">
        <f>ROUND(F157*G157*H157*I157,2)</f>
        <v>2.5</v>
      </c>
      <c r="K157" s="43" t="s">
        <v>49</v>
      </c>
      <c r="L157" s="103"/>
      <c r="M157" s="103"/>
      <c r="N157" s="87"/>
    </row>
    <row r="158" spans="2:14" ht="12" customHeight="1">
      <c r="E158" s="71"/>
      <c r="F158" s="87">
        <v>2</v>
      </c>
      <c r="G158" s="88">
        <v>3</v>
      </c>
      <c r="H158" s="89">
        <f>H157</f>
        <v>0.25</v>
      </c>
      <c r="I158" s="88">
        <f>I157</f>
        <v>1.25</v>
      </c>
      <c r="J158" s="95">
        <f>ROUND(F158*G158*H158*I158,2)</f>
        <v>1.88</v>
      </c>
      <c r="K158" s="43" t="s">
        <v>49</v>
      </c>
      <c r="L158" s="103"/>
      <c r="M158" s="103"/>
      <c r="N158" s="87"/>
    </row>
    <row r="159" spans="2:14" ht="12" customHeight="1">
      <c r="E159" s="71"/>
      <c r="F159" s="87"/>
      <c r="G159" s="88"/>
      <c r="H159" s="89"/>
      <c r="I159" s="90" t="s">
        <v>928</v>
      </c>
      <c r="J159" s="90" t="e">
        <f>SUM(J154:J158)</f>
        <v>#REF!</v>
      </c>
      <c r="K159" s="43" t="s">
        <v>49</v>
      </c>
      <c r="L159" s="103"/>
      <c r="M159" s="103"/>
      <c r="N159" s="87"/>
    </row>
    <row r="160" spans="2:14" ht="12" customHeight="1">
      <c r="E160" s="71"/>
      <c r="F160" s="87"/>
      <c r="G160" s="88"/>
      <c r="H160" s="89"/>
      <c r="I160" s="90" t="s">
        <v>1060</v>
      </c>
      <c r="J160" s="90" t="e">
        <f>J144+J152+J159</f>
        <v>#REF!</v>
      </c>
      <c r="K160" s="43" t="s">
        <v>49</v>
      </c>
      <c r="L160" s="103"/>
      <c r="M160" s="103"/>
      <c r="N160" s="87"/>
    </row>
    <row r="161" spans="1:14" ht="11.25" customHeight="1">
      <c r="A161" s="72" t="s">
        <v>470</v>
      </c>
      <c r="B161" s="105" t="s">
        <v>1820</v>
      </c>
      <c r="E161" s="71"/>
      <c r="F161" s="87"/>
      <c r="G161" s="92"/>
      <c r="H161" s="89"/>
      <c r="I161" s="88"/>
      <c r="J161" s="88"/>
      <c r="K161" s="43"/>
      <c r="L161" s="103"/>
      <c r="M161" s="103"/>
      <c r="N161" s="87"/>
    </row>
    <row r="162" spans="1:14" ht="11.25" customHeight="1">
      <c r="B162" s="61" t="s">
        <v>1798</v>
      </c>
      <c r="E162" s="71"/>
      <c r="H162" s="66"/>
      <c r="K162" s="43"/>
      <c r="L162" s="103"/>
      <c r="M162" s="103"/>
    </row>
    <row r="163" spans="1:14" ht="11.25" customHeight="1">
      <c r="E163" s="71"/>
      <c r="F163" s="87">
        <f>F141</f>
        <v>2</v>
      </c>
      <c r="G163" s="88">
        <f>D9+H163</f>
        <v>8.0500000000000007</v>
      </c>
      <c r="H163" s="89">
        <v>0.25</v>
      </c>
      <c r="I163" s="88">
        <v>0.45</v>
      </c>
      <c r="J163" s="88">
        <f>ROUND(F163*G163*H163*I163,2)</f>
        <v>1.81</v>
      </c>
      <c r="K163" s="43" t="s">
        <v>49</v>
      </c>
      <c r="L163" s="103"/>
      <c r="M163" s="103"/>
      <c r="N163" s="87"/>
    </row>
    <row r="164" spans="1:14" ht="11.25" customHeight="1">
      <c r="E164" s="71"/>
      <c r="F164" s="87">
        <f>F142</f>
        <v>1</v>
      </c>
      <c r="G164" s="88">
        <f>D10+H164</f>
        <v>5.55</v>
      </c>
      <c r="H164" s="89">
        <f>H163</f>
        <v>0.25</v>
      </c>
      <c r="I164" s="88">
        <f>I163</f>
        <v>0.45</v>
      </c>
      <c r="J164" s="88">
        <f>ROUND(F164*G164*H164*I164,2)</f>
        <v>0.62</v>
      </c>
      <c r="K164" s="43" t="s">
        <v>49</v>
      </c>
      <c r="L164" s="103"/>
      <c r="M164" s="103"/>
      <c r="N164" s="87"/>
    </row>
    <row r="165" spans="1:14" ht="11.25" customHeight="1">
      <c r="E165" s="71"/>
      <c r="F165" s="87">
        <f>F143</f>
        <v>1</v>
      </c>
      <c r="G165" s="88">
        <f>D11+H165</f>
        <v>11.95</v>
      </c>
      <c r="H165" s="89">
        <f>H164</f>
        <v>0.25</v>
      </c>
      <c r="I165" s="88">
        <f>I163</f>
        <v>0.45</v>
      </c>
      <c r="J165" s="88">
        <f>ROUND(F165*G165*H165*I165,2)</f>
        <v>1.34</v>
      </c>
      <c r="K165" s="43" t="s">
        <v>49</v>
      </c>
      <c r="L165" s="103"/>
      <c r="M165" s="103"/>
      <c r="N165" s="87"/>
    </row>
    <row r="166" spans="1:14" ht="11.25" customHeight="1">
      <c r="E166" s="71"/>
      <c r="F166" s="87"/>
      <c r="H166" s="66"/>
      <c r="I166" s="90" t="s">
        <v>928</v>
      </c>
      <c r="J166" s="90">
        <f>SUM(J163:J165)</f>
        <v>3.7700000000000005</v>
      </c>
      <c r="K166" s="43" t="s">
        <v>49</v>
      </c>
      <c r="L166" s="103"/>
      <c r="M166" s="103"/>
      <c r="N166" s="87"/>
    </row>
    <row r="167" spans="1:14" ht="11.25" customHeight="1">
      <c r="B167" s="61" t="s">
        <v>1801</v>
      </c>
      <c r="C167" s="91"/>
      <c r="E167" s="71"/>
      <c r="F167" s="87"/>
      <c r="G167" s="92"/>
      <c r="H167" s="89"/>
      <c r="I167" s="88"/>
      <c r="J167" s="88"/>
      <c r="K167" s="43"/>
      <c r="L167" s="103"/>
      <c r="M167" s="103"/>
      <c r="N167" s="87"/>
    </row>
    <row r="168" spans="1:14" ht="11.25" customHeight="1">
      <c r="E168" s="71"/>
      <c r="F168" s="87">
        <f t="shared" ref="F168:F173" si="22">F146</f>
        <v>4</v>
      </c>
      <c r="G168" s="88">
        <f t="shared" ref="G168:G173" si="23">D13-H168</f>
        <v>4.5</v>
      </c>
      <c r="H168" s="89">
        <f>H165</f>
        <v>0.25</v>
      </c>
      <c r="I168" s="88">
        <v>0.3</v>
      </c>
      <c r="J168" s="88">
        <f t="shared" ref="J168:J173" si="24">ROUND(F168*G168*H168*I168,2)</f>
        <v>1.35</v>
      </c>
      <c r="K168" s="43" t="s">
        <v>49</v>
      </c>
      <c r="L168" s="103"/>
      <c r="M168" s="103"/>
      <c r="N168" s="87"/>
    </row>
    <row r="169" spans="1:14" ht="11.25" customHeight="1">
      <c r="E169" s="71"/>
      <c r="F169" s="87">
        <f t="shared" si="22"/>
        <v>2</v>
      </c>
      <c r="G169" s="88">
        <f t="shared" si="23"/>
        <v>4.4000000000000004</v>
      </c>
      <c r="H169" s="89">
        <f t="shared" ref="H169:I173" si="25">H168</f>
        <v>0.25</v>
      </c>
      <c r="I169" s="88">
        <f t="shared" si="25"/>
        <v>0.3</v>
      </c>
      <c r="J169" s="88">
        <f t="shared" si="24"/>
        <v>0.66</v>
      </c>
      <c r="K169" s="43" t="s">
        <v>49</v>
      </c>
      <c r="L169" s="103"/>
      <c r="M169" s="103"/>
      <c r="N169" s="87"/>
    </row>
    <row r="170" spans="1:14" ht="11.25" customHeight="1">
      <c r="E170" s="71"/>
      <c r="F170" s="87">
        <f t="shared" si="22"/>
        <v>1</v>
      </c>
      <c r="G170" s="88">
        <f t="shared" si="23"/>
        <v>4.4000000000000004</v>
      </c>
      <c r="H170" s="89">
        <f t="shared" si="25"/>
        <v>0.25</v>
      </c>
      <c r="I170" s="88">
        <f t="shared" si="25"/>
        <v>0.3</v>
      </c>
      <c r="J170" s="88">
        <f t="shared" si="24"/>
        <v>0.33</v>
      </c>
      <c r="K170" s="43" t="s">
        <v>49</v>
      </c>
      <c r="L170" s="103"/>
      <c r="M170" s="103"/>
      <c r="N170" s="87"/>
    </row>
    <row r="171" spans="1:14" ht="11.25" customHeight="1">
      <c r="E171" s="71"/>
      <c r="F171" s="87">
        <f t="shared" si="22"/>
        <v>1</v>
      </c>
      <c r="G171" s="88">
        <f t="shared" si="23"/>
        <v>5.2</v>
      </c>
      <c r="H171" s="89">
        <f t="shared" si="25"/>
        <v>0.25</v>
      </c>
      <c r="I171" s="88">
        <f t="shared" si="25"/>
        <v>0.3</v>
      </c>
      <c r="J171" s="88">
        <f t="shared" si="24"/>
        <v>0.39</v>
      </c>
      <c r="K171" s="43" t="s">
        <v>49</v>
      </c>
      <c r="L171" s="103"/>
      <c r="M171" s="103"/>
      <c r="N171" s="87"/>
    </row>
    <row r="172" spans="1:14" ht="11.25" customHeight="1">
      <c r="E172" s="71"/>
      <c r="F172" s="87">
        <f t="shared" si="22"/>
        <v>1</v>
      </c>
      <c r="G172" s="88">
        <f t="shared" si="23"/>
        <v>3.2</v>
      </c>
      <c r="H172" s="89">
        <f t="shared" si="25"/>
        <v>0.25</v>
      </c>
      <c r="I172" s="88">
        <f t="shared" si="25"/>
        <v>0.3</v>
      </c>
      <c r="J172" s="88">
        <f t="shared" si="24"/>
        <v>0.24</v>
      </c>
      <c r="K172" s="43" t="s">
        <v>49</v>
      </c>
      <c r="L172" s="103"/>
      <c r="M172" s="103"/>
      <c r="N172" s="87"/>
    </row>
    <row r="173" spans="1:14" ht="11.25" customHeight="1">
      <c r="E173" s="71"/>
      <c r="F173" s="87">
        <f t="shared" si="22"/>
        <v>1</v>
      </c>
      <c r="G173" s="88">
        <f t="shared" si="23"/>
        <v>4</v>
      </c>
      <c r="H173" s="89">
        <f t="shared" si="25"/>
        <v>0.25</v>
      </c>
      <c r="I173" s="88">
        <f t="shared" si="25"/>
        <v>0.3</v>
      </c>
      <c r="J173" s="88">
        <f t="shared" si="24"/>
        <v>0.3</v>
      </c>
      <c r="K173" s="43" t="s">
        <v>49</v>
      </c>
      <c r="L173" s="103"/>
      <c r="M173" s="103"/>
      <c r="N173" s="87"/>
    </row>
    <row r="174" spans="1:14" ht="11.25" customHeight="1">
      <c r="E174" s="71"/>
      <c r="F174" s="87"/>
      <c r="G174" s="88"/>
      <c r="H174" s="89"/>
      <c r="I174" s="90" t="s">
        <v>928</v>
      </c>
      <c r="J174" s="90">
        <f>SUM(J168:J173)</f>
        <v>3.2700000000000005</v>
      </c>
      <c r="K174" s="61" t="s">
        <v>49</v>
      </c>
      <c r="L174" s="103"/>
      <c r="M174" s="103"/>
      <c r="N174" s="87"/>
    </row>
    <row r="175" spans="1:14" ht="11.25" customHeight="1">
      <c r="E175" s="71"/>
      <c r="F175" s="87"/>
      <c r="G175" s="88"/>
      <c r="H175" s="89"/>
      <c r="I175" s="90" t="s">
        <v>1061</v>
      </c>
      <c r="J175" s="90">
        <f>J166+J174</f>
        <v>7.0400000000000009</v>
      </c>
      <c r="K175" s="61" t="s">
        <v>49</v>
      </c>
      <c r="L175" s="103"/>
      <c r="M175" s="103"/>
      <c r="N175" s="87"/>
    </row>
    <row r="176" spans="1:14" ht="11.25" customHeight="1">
      <c r="A176" s="72" t="s">
        <v>472</v>
      </c>
      <c r="B176" s="105" t="s">
        <v>1821</v>
      </c>
      <c r="E176" s="71"/>
      <c r="F176" s="87"/>
      <c r="G176" s="92"/>
      <c r="H176" s="89"/>
      <c r="I176" s="88"/>
      <c r="J176" s="88"/>
      <c r="K176" s="43"/>
      <c r="L176" s="103"/>
      <c r="M176" s="103"/>
      <c r="N176" s="87"/>
    </row>
    <row r="177" spans="2:14" ht="11.25" customHeight="1">
      <c r="B177" s="61" t="s">
        <v>1798</v>
      </c>
      <c r="E177" s="71"/>
      <c r="H177" s="66"/>
      <c r="L177" s="103"/>
      <c r="M177" s="103"/>
    </row>
    <row r="178" spans="2:14" ht="11.25" customHeight="1">
      <c r="B178" s="43" t="str">
        <f>B141</f>
        <v>Long wall -1</v>
      </c>
      <c r="E178" s="71"/>
      <c r="F178" s="87">
        <f>F141</f>
        <v>2</v>
      </c>
      <c r="G178" s="88" t="e">
        <f>D9+H178</f>
        <v>#REF!</v>
      </c>
      <c r="H178" s="89" t="e">
        <f>#REF!</f>
        <v>#REF!</v>
      </c>
      <c r="I178" s="88">
        <v>0.3</v>
      </c>
      <c r="J178" s="88" t="e">
        <f>ROUND(F178*G178*H178*I178,2)</f>
        <v>#REF!</v>
      </c>
      <c r="K178" s="43" t="s">
        <v>49</v>
      </c>
      <c r="L178" s="103"/>
      <c r="M178" s="103"/>
      <c r="N178" s="87"/>
    </row>
    <row r="179" spans="2:14" ht="11.25" customHeight="1">
      <c r="E179" s="71"/>
      <c r="F179" s="87">
        <f>F142</f>
        <v>1</v>
      </c>
      <c r="G179" s="88" t="e">
        <f>D10+H179</f>
        <v>#REF!</v>
      </c>
      <c r="H179" s="89" t="e">
        <f>H178</f>
        <v>#REF!</v>
      </c>
      <c r="I179" s="88">
        <f>I178</f>
        <v>0.3</v>
      </c>
      <c r="J179" s="88" t="e">
        <f>ROUND(F179*G179*H179*I179,2)</f>
        <v>#REF!</v>
      </c>
      <c r="K179" s="43" t="s">
        <v>49</v>
      </c>
      <c r="L179" s="103"/>
      <c r="M179" s="103"/>
      <c r="N179" s="87"/>
    </row>
    <row r="180" spans="2:14" ht="11.25" customHeight="1">
      <c r="B180" s="43">
        <f>B143</f>
        <v>0</v>
      </c>
      <c r="E180" s="71"/>
      <c r="F180" s="87">
        <f>F143</f>
        <v>1</v>
      </c>
      <c r="G180" s="88" t="e">
        <f>D11+H180</f>
        <v>#REF!</v>
      </c>
      <c r="H180" s="89" t="e">
        <f>H178</f>
        <v>#REF!</v>
      </c>
      <c r="I180" s="88">
        <f>I178</f>
        <v>0.3</v>
      </c>
      <c r="J180" s="88" t="e">
        <f>ROUND(F180*G180*H180*I180,2)</f>
        <v>#REF!</v>
      </c>
      <c r="K180" s="43" t="s">
        <v>49</v>
      </c>
      <c r="L180" s="103"/>
      <c r="M180" s="103"/>
      <c r="N180" s="87"/>
    </row>
    <row r="181" spans="2:14" ht="11.25" customHeight="1">
      <c r="E181" s="71"/>
      <c r="F181" s="87"/>
      <c r="H181" s="66"/>
      <c r="I181" s="90" t="s">
        <v>928</v>
      </c>
      <c r="J181" s="90" t="e">
        <f>SUM(J178:J180)</f>
        <v>#REF!</v>
      </c>
      <c r="K181" s="61" t="s">
        <v>49</v>
      </c>
      <c r="L181" s="103"/>
      <c r="M181" s="103"/>
      <c r="N181" s="87"/>
    </row>
    <row r="182" spans="2:14" ht="11.25" customHeight="1">
      <c r="B182" s="61" t="s">
        <v>1801</v>
      </c>
      <c r="C182" s="91"/>
      <c r="E182" s="71"/>
      <c r="F182" s="87"/>
      <c r="G182" s="92"/>
      <c r="H182" s="89"/>
      <c r="I182" s="88"/>
      <c r="J182" s="88"/>
      <c r="K182" s="43"/>
      <c r="L182" s="103"/>
      <c r="M182" s="103"/>
      <c r="N182" s="87"/>
    </row>
    <row r="183" spans="2:14" ht="11.25" customHeight="1">
      <c r="B183" s="43" t="str">
        <f>B146</f>
        <v>Cross wall -1</v>
      </c>
      <c r="E183" s="71"/>
      <c r="F183" s="87">
        <f t="shared" ref="F183:F188" si="26">F146</f>
        <v>4</v>
      </c>
      <c r="G183" s="88" t="e">
        <f t="shared" ref="G183:G188" si="27">D13-H183</f>
        <v>#REF!</v>
      </c>
      <c r="H183" s="89" t="e">
        <f>H180</f>
        <v>#REF!</v>
      </c>
      <c r="I183" s="88">
        <f>I178</f>
        <v>0.3</v>
      </c>
      <c r="J183" s="88" t="e">
        <f t="shared" ref="J183:J188" si="28">ROUND(F183*G183*H183*I183,2)</f>
        <v>#REF!</v>
      </c>
      <c r="K183" s="43" t="s">
        <v>49</v>
      </c>
      <c r="L183" s="103"/>
      <c r="M183" s="103"/>
      <c r="N183" s="87"/>
    </row>
    <row r="184" spans="2:14" ht="11.25" customHeight="1">
      <c r="E184" s="71"/>
      <c r="F184" s="87">
        <f t="shared" si="26"/>
        <v>2</v>
      </c>
      <c r="G184" s="88" t="e">
        <f t="shared" si="27"/>
        <v>#REF!</v>
      </c>
      <c r="H184" s="89" t="e">
        <f t="shared" ref="H184:I188" si="29">H183</f>
        <v>#REF!</v>
      </c>
      <c r="I184" s="88">
        <f t="shared" si="29"/>
        <v>0.3</v>
      </c>
      <c r="J184" s="88" t="e">
        <f t="shared" si="28"/>
        <v>#REF!</v>
      </c>
      <c r="K184" s="43" t="s">
        <v>49</v>
      </c>
      <c r="L184" s="103"/>
      <c r="M184" s="103"/>
      <c r="N184" s="87"/>
    </row>
    <row r="185" spans="2:14" ht="11.25" customHeight="1">
      <c r="E185" s="71"/>
      <c r="F185" s="87">
        <f t="shared" si="26"/>
        <v>1</v>
      </c>
      <c r="G185" s="88" t="e">
        <f t="shared" si="27"/>
        <v>#REF!</v>
      </c>
      <c r="H185" s="89" t="e">
        <f t="shared" si="29"/>
        <v>#REF!</v>
      </c>
      <c r="I185" s="88">
        <f t="shared" si="29"/>
        <v>0.3</v>
      </c>
      <c r="J185" s="88" t="e">
        <f t="shared" si="28"/>
        <v>#REF!</v>
      </c>
      <c r="K185" s="43" t="s">
        <v>49</v>
      </c>
      <c r="L185" s="103"/>
      <c r="M185" s="103"/>
      <c r="N185" s="87"/>
    </row>
    <row r="186" spans="2:14" ht="11.25" customHeight="1">
      <c r="E186" s="71"/>
      <c r="F186" s="87">
        <f t="shared" si="26"/>
        <v>1</v>
      </c>
      <c r="G186" s="88" t="e">
        <f t="shared" si="27"/>
        <v>#REF!</v>
      </c>
      <c r="H186" s="89" t="e">
        <f t="shared" si="29"/>
        <v>#REF!</v>
      </c>
      <c r="I186" s="88">
        <f t="shared" si="29"/>
        <v>0.3</v>
      </c>
      <c r="J186" s="88" t="e">
        <f t="shared" si="28"/>
        <v>#REF!</v>
      </c>
      <c r="K186" s="43" t="s">
        <v>49</v>
      </c>
      <c r="L186" s="103"/>
      <c r="M186" s="103"/>
      <c r="N186" s="87"/>
    </row>
    <row r="187" spans="2:14" ht="11.25" customHeight="1">
      <c r="E187" s="71"/>
      <c r="F187" s="87">
        <f t="shared" si="26"/>
        <v>1</v>
      </c>
      <c r="G187" s="88" t="e">
        <f t="shared" si="27"/>
        <v>#REF!</v>
      </c>
      <c r="H187" s="89" t="e">
        <f t="shared" si="29"/>
        <v>#REF!</v>
      </c>
      <c r="I187" s="88">
        <f t="shared" si="29"/>
        <v>0.3</v>
      </c>
      <c r="J187" s="88" t="e">
        <f t="shared" si="28"/>
        <v>#REF!</v>
      </c>
      <c r="K187" s="43" t="s">
        <v>49</v>
      </c>
      <c r="L187" s="103"/>
      <c r="M187" s="103"/>
      <c r="N187" s="87"/>
    </row>
    <row r="188" spans="2:14" ht="11.25" customHeight="1">
      <c r="B188" s="43">
        <f>B151</f>
        <v>0</v>
      </c>
      <c r="E188" s="71"/>
      <c r="F188" s="87">
        <f t="shared" si="26"/>
        <v>1</v>
      </c>
      <c r="G188" s="88" t="e">
        <f t="shared" si="27"/>
        <v>#REF!</v>
      </c>
      <c r="H188" s="89" t="e">
        <f t="shared" si="29"/>
        <v>#REF!</v>
      </c>
      <c r="I188" s="88">
        <f t="shared" si="29"/>
        <v>0.3</v>
      </c>
      <c r="J188" s="88" t="e">
        <f t="shared" si="28"/>
        <v>#REF!</v>
      </c>
      <c r="K188" s="43" t="s">
        <v>49</v>
      </c>
      <c r="L188" s="103"/>
      <c r="M188" s="103"/>
      <c r="N188" s="87"/>
    </row>
    <row r="189" spans="2:14" ht="11.25" customHeight="1">
      <c r="E189" s="71"/>
      <c r="F189" s="87"/>
      <c r="G189" s="88"/>
      <c r="H189" s="89"/>
      <c r="I189" s="90" t="s">
        <v>928</v>
      </c>
      <c r="J189" s="90" t="e">
        <f>SUM(J183:J188)</f>
        <v>#REF!</v>
      </c>
      <c r="K189" s="61" t="s">
        <v>49</v>
      </c>
      <c r="L189" s="103"/>
      <c r="M189" s="103"/>
    </row>
    <row r="190" spans="2:14" ht="12.75">
      <c r="E190" s="71"/>
      <c r="F190" s="87"/>
      <c r="G190" s="88"/>
      <c r="H190" s="89"/>
      <c r="I190" s="90" t="s">
        <v>928</v>
      </c>
      <c r="J190" s="90" t="e">
        <f>J181+J189</f>
        <v>#REF!</v>
      </c>
      <c r="K190" s="61" t="s">
        <v>49</v>
      </c>
      <c r="L190" s="103"/>
      <c r="M190" s="103"/>
    </row>
    <row r="191" spans="2:14" ht="12.75">
      <c r="B191" s="105" t="str">
        <f>B153</f>
        <v>STEPS &amp; RAMP &amp; Platform</v>
      </c>
      <c r="E191" s="71"/>
      <c r="F191" s="87"/>
      <c r="G191" s="88"/>
      <c r="H191" s="89"/>
      <c r="I191" s="88"/>
      <c r="J191" s="88"/>
      <c r="K191" s="43"/>
      <c r="L191" s="103"/>
      <c r="M191" s="103"/>
    </row>
    <row r="192" spans="2:14" ht="12.75">
      <c r="B192" s="43" t="str">
        <f>B154</f>
        <v>Landing</v>
      </c>
      <c r="E192" s="71"/>
      <c r="F192" s="87">
        <f>F154</f>
        <v>0</v>
      </c>
      <c r="G192" s="88" t="e">
        <f>'DRAWING HALL'!FB61-'ESTIMATE-F'!H192</f>
        <v>#REF!</v>
      </c>
      <c r="H192" s="89" t="e">
        <f>H188</f>
        <v>#REF!</v>
      </c>
      <c r="I192" s="88" t="e">
        <f>'DRAWING HALL'!#REF!</f>
        <v>#REF!</v>
      </c>
      <c r="J192" s="88" t="e">
        <f t="shared" ref="J192:J197" si="30">ROUND(F192*G192*H192*I192,2)</f>
        <v>#REF!</v>
      </c>
      <c r="K192" s="43" t="s">
        <v>49</v>
      </c>
      <c r="L192" s="103"/>
      <c r="M192" s="103"/>
    </row>
    <row r="193" spans="1:18" ht="12.75">
      <c r="E193" s="71"/>
      <c r="F193" s="87">
        <f>F155</f>
        <v>0</v>
      </c>
      <c r="G193" s="88" t="e">
        <f>'DRAWING HALL'!FR98+'DRAWING HALL'!FR70+'ESTIMATE-F'!H193</f>
        <v>#REF!</v>
      </c>
      <c r="H193" s="89" t="e">
        <f>H192</f>
        <v>#REF!</v>
      </c>
      <c r="I193" s="88" t="e">
        <f>I192/22</f>
        <v>#REF!</v>
      </c>
      <c r="J193" s="88" t="e">
        <f t="shared" si="30"/>
        <v>#REF!</v>
      </c>
      <c r="K193" s="43" t="s">
        <v>49</v>
      </c>
      <c r="L193" s="103"/>
      <c r="M193" s="103"/>
    </row>
    <row r="194" spans="1:18" ht="12.75">
      <c r="B194" s="43" t="str">
        <f>B156</f>
        <v>Step</v>
      </c>
      <c r="E194" s="71"/>
      <c r="F194" s="87">
        <v>2</v>
      </c>
      <c r="G194" s="88">
        <f>G128</f>
        <v>1.2</v>
      </c>
      <c r="H194" s="89" t="e">
        <f>#REF!</f>
        <v>#REF!</v>
      </c>
      <c r="I194" s="88" t="e">
        <f>#REF!</f>
        <v>#REF!</v>
      </c>
      <c r="J194" s="88" t="e">
        <f t="shared" si="30"/>
        <v>#REF!</v>
      </c>
      <c r="K194" s="43" t="s">
        <v>49</v>
      </c>
      <c r="L194" s="103"/>
      <c r="M194" s="103"/>
    </row>
    <row r="195" spans="1:18" ht="12.75">
      <c r="E195" s="71"/>
      <c r="F195" s="87">
        <v>1</v>
      </c>
      <c r="G195" s="88" t="e">
        <f>G129</f>
        <v>#REF!</v>
      </c>
      <c r="H195" s="89" t="e">
        <f>H194</f>
        <v>#REF!</v>
      </c>
      <c r="I195" s="88" t="e">
        <f>I194</f>
        <v>#REF!</v>
      </c>
      <c r="J195" s="88" t="e">
        <f t="shared" si="30"/>
        <v>#REF!</v>
      </c>
      <c r="K195" s="43" t="s">
        <v>49</v>
      </c>
      <c r="L195" s="103"/>
      <c r="M195" s="103"/>
    </row>
    <row r="196" spans="1:18" ht="12.75">
      <c r="E196" s="71"/>
      <c r="F196" s="87">
        <f>F194</f>
        <v>2</v>
      </c>
      <c r="G196" s="88">
        <f>G194</f>
        <v>1.2</v>
      </c>
      <c r="H196" s="89" t="e">
        <f>#REF!</f>
        <v>#REF!</v>
      </c>
      <c r="I196" s="88" t="e">
        <f>#REF!</f>
        <v>#REF!</v>
      </c>
      <c r="J196" s="88" t="e">
        <f t="shared" si="30"/>
        <v>#REF!</v>
      </c>
      <c r="K196" s="43" t="s">
        <v>49</v>
      </c>
      <c r="L196" s="103"/>
      <c r="M196" s="103"/>
    </row>
    <row r="197" spans="1:18" ht="12.75">
      <c r="E197" s="71"/>
      <c r="F197" s="87">
        <f>F195</f>
        <v>1</v>
      </c>
      <c r="G197" s="88" t="e">
        <f>G195</f>
        <v>#REF!</v>
      </c>
      <c r="H197" s="89" t="e">
        <f>H196</f>
        <v>#REF!</v>
      </c>
      <c r="I197" s="88" t="e">
        <f>I196</f>
        <v>#REF!</v>
      </c>
      <c r="J197" s="88" t="e">
        <f t="shared" si="30"/>
        <v>#REF!</v>
      </c>
      <c r="K197" s="43" t="s">
        <v>49</v>
      </c>
      <c r="L197" s="103"/>
      <c r="M197" s="103"/>
    </row>
    <row r="198" spans="1:18" ht="12.75">
      <c r="A198" s="43"/>
      <c r="E198" s="71"/>
      <c r="F198" s="87"/>
      <c r="G198" s="92"/>
      <c r="H198" s="89"/>
      <c r="I198" s="90" t="s">
        <v>928</v>
      </c>
      <c r="J198" s="90" t="e">
        <f>SUM(J192:J197)</f>
        <v>#REF!</v>
      </c>
      <c r="K198" s="61" t="s">
        <v>49</v>
      </c>
      <c r="L198" s="103"/>
      <c r="M198" s="103"/>
    </row>
    <row r="199" spans="1:18" ht="12.75">
      <c r="A199" s="43"/>
      <c r="E199" s="71"/>
      <c r="F199" s="87"/>
      <c r="G199" s="92"/>
      <c r="H199" s="89"/>
      <c r="I199" s="90" t="s">
        <v>1822</v>
      </c>
      <c r="J199" s="90" t="e">
        <f>J190+J198</f>
        <v>#REF!</v>
      </c>
      <c r="K199" s="61" t="s">
        <v>49</v>
      </c>
      <c r="L199" s="103"/>
      <c r="M199" s="103"/>
    </row>
    <row r="200" spans="1:18" ht="12.75">
      <c r="E200" s="71"/>
      <c r="F200" s="87"/>
      <c r="H200" s="43"/>
      <c r="I200" s="106" t="s">
        <v>1823</v>
      </c>
      <c r="J200" s="90" t="e">
        <f>J160+J175+J199</f>
        <v>#REF!</v>
      </c>
      <c r="K200" s="61" t="s">
        <v>49</v>
      </c>
      <c r="L200" s="103"/>
      <c r="M200" s="103"/>
    </row>
    <row r="201" spans="1:18" ht="12.75">
      <c r="E201" s="71"/>
      <c r="F201" s="87"/>
      <c r="H201" s="92"/>
      <c r="I201" s="90" t="s">
        <v>1623</v>
      </c>
      <c r="J201" s="90" t="e">
        <f>J200</f>
        <v>#REF!</v>
      </c>
      <c r="K201" s="61" t="s">
        <v>49</v>
      </c>
      <c r="L201" s="103"/>
      <c r="M201" s="103"/>
      <c r="N201" s="57"/>
    </row>
    <row r="202" spans="1:18" s="11" customFormat="1" ht="12.75" customHeight="1">
      <c r="A202" s="98"/>
      <c r="C202" s="99" t="s">
        <v>379</v>
      </c>
      <c r="D202" s="3604" t="e">
        <f>J201</f>
        <v>#REF!</v>
      </c>
      <c r="E202" s="3604"/>
      <c r="F202" s="100" t="s">
        <v>1811</v>
      </c>
      <c r="G202" s="3605">
        <v>3089.9</v>
      </c>
      <c r="H202" s="3605"/>
      <c r="J202" s="101" t="s">
        <v>1812</v>
      </c>
      <c r="K202" s="3606" t="e">
        <f>ROUND(D202*G202,0)</f>
        <v>#REF!</v>
      </c>
      <c r="L202" s="3606"/>
      <c r="M202" s="102"/>
    </row>
    <row r="203" spans="1:18" ht="49.5" customHeight="1">
      <c r="A203" s="72">
        <v>5</v>
      </c>
      <c r="B203" s="3603" t="s">
        <v>1594</v>
      </c>
      <c r="C203" s="3603"/>
      <c r="D203" s="3603"/>
      <c r="E203" s="71"/>
      <c r="F203" s="88"/>
      <c r="I203" s="74"/>
      <c r="J203" s="74"/>
    </row>
    <row r="204" spans="1:18" ht="12.75" customHeight="1">
      <c r="A204" s="72" t="s">
        <v>1794</v>
      </c>
      <c r="B204" s="3618" t="s">
        <v>1824</v>
      </c>
      <c r="C204" s="3618"/>
      <c r="D204" s="3618"/>
      <c r="E204" s="2963" t="s">
        <v>381</v>
      </c>
      <c r="F204" s="2963"/>
      <c r="I204" s="74"/>
      <c r="J204" s="74"/>
    </row>
    <row r="205" spans="1:18" ht="12.75">
      <c r="B205" s="43" t="s">
        <v>1825</v>
      </c>
      <c r="E205" s="71"/>
      <c r="F205" s="87">
        <f>F134</f>
        <v>11</v>
      </c>
      <c r="G205" s="88">
        <v>1.2</v>
      </c>
      <c r="H205" s="89">
        <f>G205</f>
        <v>1.2</v>
      </c>
      <c r="I205" s="88" t="e">
        <f>#REF!</f>
        <v>#REF!</v>
      </c>
      <c r="J205" s="88" t="e">
        <f>ROUND(F205*G205*H205*I205,2)</f>
        <v>#REF!</v>
      </c>
      <c r="K205" s="43" t="s">
        <v>49</v>
      </c>
      <c r="L205" s="103"/>
      <c r="M205" s="103"/>
      <c r="N205" s="87"/>
      <c r="P205" s="96"/>
      <c r="Q205" s="90"/>
      <c r="R205" s="97"/>
    </row>
    <row r="206" spans="1:18" ht="12.75">
      <c r="B206" s="43" t="s">
        <v>1826</v>
      </c>
      <c r="E206" s="71"/>
      <c r="F206" s="87">
        <f>F205</f>
        <v>11</v>
      </c>
      <c r="G206" s="91" t="s">
        <v>1827</v>
      </c>
      <c r="H206" s="89"/>
      <c r="I206" s="88" t="e">
        <f>I205</f>
        <v>#REF!</v>
      </c>
      <c r="J206" s="95" t="e">
        <f>ROUND(F206*((0.4*0.4)+(1.2*1.2))/2*I206,2)</f>
        <v>#REF!</v>
      </c>
      <c r="K206" s="43" t="s">
        <v>49</v>
      </c>
      <c r="L206" s="103"/>
      <c r="M206" s="103"/>
      <c r="N206" s="87"/>
      <c r="P206" s="96"/>
      <c r="Q206" s="90"/>
      <c r="R206" s="97"/>
    </row>
    <row r="207" spans="1:18" ht="12.75">
      <c r="E207" s="71"/>
      <c r="F207" s="87"/>
      <c r="G207" s="88"/>
      <c r="H207" s="89"/>
      <c r="I207" s="90" t="s">
        <v>928</v>
      </c>
      <c r="J207" s="90" t="e">
        <f>SUM(J205:J206)</f>
        <v>#REF!</v>
      </c>
      <c r="K207" s="61" t="s">
        <v>49</v>
      </c>
      <c r="L207" s="103"/>
      <c r="M207" s="103"/>
    </row>
    <row r="208" spans="1:18" s="11" customFormat="1" ht="12.75" customHeight="1">
      <c r="A208" s="98"/>
      <c r="C208" s="99"/>
      <c r="D208" s="3604"/>
      <c r="E208" s="3604"/>
      <c r="F208" s="100"/>
      <c r="G208" s="3605"/>
      <c r="H208" s="3605"/>
      <c r="I208" s="90" t="s">
        <v>1623</v>
      </c>
      <c r="J208" s="90" t="e">
        <f>J207</f>
        <v>#REF!</v>
      </c>
      <c r="K208" s="61" t="s">
        <v>49</v>
      </c>
      <c r="L208" s="103"/>
      <c r="M208" s="102"/>
    </row>
    <row r="209" spans="1:14" ht="14.25" customHeight="1">
      <c r="A209" s="72" t="s">
        <v>1797</v>
      </c>
      <c r="B209" s="3619" t="s">
        <v>1828</v>
      </c>
      <c r="C209" s="3603"/>
      <c r="D209" s="3603"/>
      <c r="E209" s="2963" t="s">
        <v>381</v>
      </c>
      <c r="F209" s="2963"/>
      <c r="I209" s="74"/>
      <c r="J209" s="74"/>
    </row>
    <row r="210" spans="1:14" ht="12" customHeight="1">
      <c r="A210" s="72" t="s">
        <v>627</v>
      </c>
      <c r="B210" s="61" t="s">
        <v>1798</v>
      </c>
      <c r="E210" s="71"/>
      <c r="H210" s="66"/>
    </row>
    <row r="211" spans="1:14" ht="12" customHeight="1">
      <c r="B211" s="43" t="str">
        <f>B141</f>
        <v>Long wall -1</v>
      </c>
      <c r="E211" s="71"/>
      <c r="F211" s="87">
        <f>C9</f>
        <v>2</v>
      </c>
      <c r="G211" s="88">
        <f>D9+H211</f>
        <v>8.0500000000000007</v>
      </c>
      <c r="H211" s="89">
        <v>0.25</v>
      </c>
      <c r="I211" s="88">
        <v>0.375</v>
      </c>
      <c r="J211" s="88">
        <f>ROUND(F211*G211*H211*I211,2)</f>
        <v>1.51</v>
      </c>
      <c r="K211" s="43" t="s">
        <v>49</v>
      </c>
    </row>
    <row r="212" spans="1:14" ht="12" customHeight="1">
      <c r="E212" s="71"/>
      <c r="F212" s="87">
        <f>C10</f>
        <v>1</v>
      </c>
      <c r="G212" s="88">
        <f>D10+H212</f>
        <v>5.55</v>
      </c>
      <c r="H212" s="89">
        <f>H211</f>
        <v>0.25</v>
      </c>
      <c r="I212" s="88">
        <f>I211</f>
        <v>0.375</v>
      </c>
      <c r="J212" s="88">
        <f>ROUND(F212*G212*H212*I212,2)</f>
        <v>0.52</v>
      </c>
      <c r="K212" s="43" t="s">
        <v>49</v>
      </c>
    </row>
    <row r="213" spans="1:14" ht="12" customHeight="1">
      <c r="B213" s="43">
        <f>B143</f>
        <v>0</v>
      </c>
      <c r="E213" s="71"/>
      <c r="F213" s="87">
        <f>C11</f>
        <v>1</v>
      </c>
      <c r="G213" s="88">
        <f>D11+H213</f>
        <v>11.95</v>
      </c>
      <c r="H213" s="89">
        <f>H212</f>
        <v>0.25</v>
      </c>
      <c r="I213" s="88">
        <f>I211</f>
        <v>0.375</v>
      </c>
      <c r="J213" s="88">
        <f>ROUND(F213*G213*H213*I213,2)</f>
        <v>1.1200000000000001</v>
      </c>
      <c r="K213" s="43" t="s">
        <v>49</v>
      </c>
    </row>
    <row r="214" spans="1:14" ht="12" customHeight="1">
      <c r="E214" s="71"/>
      <c r="F214" s="87"/>
      <c r="H214" s="66"/>
      <c r="I214" s="90" t="s">
        <v>928</v>
      </c>
      <c r="J214" s="90">
        <f>SUM(J211:J213)</f>
        <v>3.1500000000000004</v>
      </c>
      <c r="K214" s="61" t="s">
        <v>49</v>
      </c>
    </row>
    <row r="215" spans="1:14" ht="12" customHeight="1">
      <c r="A215" s="72" t="s">
        <v>628</v>
      </c>
      <c r="B215" s="61" t="s">
        <v>1801</v>
      </c>
      <c r="C215" s="91"/>
      <c r="E215" s="71"/>
      <c r="F215" s="87"/>
      <c r="G215" s="92"/>
      <c r="H215" s="89"/>
      <c r="I215" s="88"/>
      <c r="J215" s="88"/>
      <c r="K215" s="43"/>
    </row>
    <row r="216" spans="1:14" ht="12" customHeight="1">
      <c r="B216" s="43" t="str">
        <f>B146</f>
        <v>Cross wall -1</v>
      </c>
      <c r="E216" s="71"/>
      <c r="F216" s="87">
        <f t="shared" ref="F216:F221" si="31">C13</f>
        <v>4</v>
      </c>
      <c r="G216" s="88">
        <f t="shared" ref="G216:G221" si="32">D13-H216</f>
        <v>4.5</v>
      </c>
      <c r="H216" s="89">
        <f>H211</f>
        <v>0.25</v>
      </c>
      <c r="I216" s="88">
        <f>I211</f>
        <v>0.375</v>
      </c>
      <c r="J216" s="88">
        <f t="shared" ref="J216:J221" si="33">ROUND(F216*G216*H216*I216,2)</f>
        <v>1.69</v>
      </c>
      <c r="K216" s="43" t="s">
        <v>49</v>
      </c>
    </row>
    <row r="217" spans="1:14" ht="12" customHeight="1">
      <c r="E217" s="71"/>
      <c r="F217" s="87">
        <f t="shared" si="31"/>
        <v>2</v>
      </c>
      <c r="G217" s="88">
        <f t="shared" si="32"/>
        <v>4.4000000000000004</v>
      </c>
      <c r="H217" s="89">
        <f t="shared" ref="H217:I221" si="34">H216</f>
        <v>0.25</v>
      </c>
      <c r="I217" s="88">
        <f t="shared" si="34"/>
        <v>0.375</v>
      </c>
      <c r="J217" s="88">
        <f t="shared" si="33"/>
        <v>0.83</v>
      </c>
      <c r="K217" s="43" t="s">
        <v>49</v>
      </c>
    </row>
    <row r="218" spans="1:14" ht="12" customHeight="1">
      <c r="E218" s="71"/>
      <c r="F218" s="87">
        <f t="shared" si="31"/>
        <v>1</v>
      </c>
      <c r="G218" s="88">
        <f t="shared" si="32"/>
        <v>4.4000000000000004</v>
      </c>
      <c r="H218" s="89">
        <f t="shared" si="34"/>
        <v>0.25</v>
      </c>
      <c r="I218" s="88">
        <f t="shared" si="34"/>
        <v>0.375</v>
      </c>
      <c r="J218" s="88">
        <f t="shared" si="33"/>
        <v>0.41</v>
      </c>
      <c r="K218" s="43" t="s">
        <v>49</v>
      </c>
    </row>
    <row r="219" spans="1:14" ht="12" customHeight="1">
      <c r="E219" s="71"/>
      <c r="F219" s="87">
        <f t="shared" si="31"/>
        <v>1</v>
      </c>
      <c r="G219" s="88">
        <f t="shared" si="32"/>
        <v>5.2</v>
      </c>
      <c r="H219" s="89">
        <f t="shared" si="34"/>
        <v>0.25</v>
      </c>
      <c r="I219" s="88">
        <f t="shared" si="34"/>
        <v>0.375</v>
      </c>
      <c r="J219" s="88">
        <f t="shared" si="33"/>
        <v>0.49</v>
      </c>
      <c r="K219" s="43" t="s">
        <v>49</v>
      </c>
    </row>
    <row r="220" spans="1:14" ht="12" customHeight="1">
      <c r="E220" s="71"/>
      <c r="F220" s="87">
        <f t="shared" si="31"/>
        <v>1</v>
      </c>
      <c r="G220" s="88">
        <f t="shared" si="32"/>
        <v>3.2</v>
      </c>
      <c r="H220" s="89">
        <f t="shared" si="34"/>
        <v>0.25</v>
      </c>
      <c r="I220" s="88">
        <f t="shared" si="34"/>
        <v>0.375</v>
      </c>
      <c r="J220" s="88">
        <f t="shared" si="33"/>
        <v>0.3</v>
      </c>
      <c r="K220" s="43" t="s">
        <v>49</v>
      </c>
    </row>
    <row r="221" spans="1:14" ht="12" customHeight="1">
      <c r="B221" s="43">
        <f>B151</f>
        <v>0</v>
      </c>
      <c r="E221" s="71"/>
      <c r="F221" s="87">
        <f t="shared" si="31"/>
        <v>1</v>
      </c>
      <c r="G221" s="88">
        <f t="shared" si="32"/>
        <v>4</v>
      </c>
      <c r="H221" s="89">
        <f t="shared" si="34"/>
        <v>0.25</v>
      </c>
      <c r="I221" s="88">
        <f t="shared" si="34"/>
        <v>0.375</v>
      </c>
      <c r="J221" s="88">
        <f t="shared" si="33"/>
        <v>0.38</v>
      </c>
      <c r="K221" s="43" t="s">
        <v>49</v>
      </c>
      <c r="N221" s="87"/>
    </row>
    <row r="222" spans="1:14" ht="12" customHeight="1">
      <c r="E222" s="71"/>
      <c r="F222" s="87"/>
      <c r="G222" s="88"/>
      <c r="H222" s="89"/>
      <c r="I222" s="90" t="s">
        <v>928</v>
      </c>
      <c r="J222" s="90">
        <f>SUM(J216:J221)</f>
        <v>4.0999999999999996</v>
      </c>
      <c r="K222" s="61" t="s">
        <v>49</v>
      </c>
    </row>
    <row r="223" spans="1:14" ht="12" customHeight="1">
      <c r="E223" s="71"/>
      <c r="F223" s="87"/>
      <c r="G223" s="88"/>
      <c r="I223" s="107" t="s">
        <v>760</v>
      </c>
      <c r="J223" s="90">
        <f>J214+J222</f>
        <v>7.25</v>
      </c>
      <c r="K223" s="61" t="s">
        <v>49</v>
      </c>
    </row>
    <row r="224" spans="1:14" ht="13.5" customHeight="1">
      <c r="E224" s="71"/>
      <c r="F224" s="87"/>
      <c r="G224" s="88"/>
      <c r="I224" s="90" t="s">
        <v>1623</v>
      </c>
      <c r="J224" s="90">
        <f>J223</f>
        <v>7.25</v>
      </c>
      <c r="K224" s="61" t="s">
        <v>49</v>
      </c>
    </row>
    <row r="225" spans="1:24" ht="13.5" customHeight="1">
      <c r="A225" s="72" t="s">
        <v>472</v>
      </c>
      <c r="B225" s="3619" t="s">
        <v>1829</v>
      </c>
      <c r="C225" s="3603"/>
      <c r="D225" s="3603"/>
      <c r="E225" s="2963" t="s">
        <v>381</v>
      </c>
      <c r="F225" s="2963"/>
      <c r="I225" s="74"/>
      <c r="J225" s="74"/>
    </row>
    <row r="226" spans="1:24">
      <c r="A226" s="72" t="s">
        <v>568</v>
      </c>
      <c r="B226" s="108" t="s">
        <v>384</v>
      </c>
      <c r="C226" s="109"/>
      <c r="D226" s="109"/>
      <c r="E226" s="71"/>
      <c r="F226" s="88"/>
      <c r="I226" s="74"/>
      <c r="J226" s="74"/>
    </row>
    <row r="227" spans="1:24" ht="12" customHeight="1">
      <c r="B227" s="43" t="s">
        <v>1830</v>
      </c>
      <c r="E227" s="71"/>
      <c r="F227" s="87">
        <v>8</v>
      </c>
      <c r="G227" s="88" t="e">
        <f>#REF!</f>
        <v>#REF!</v>
      </c>
      <c r="H227" s="89" t="e">
        <f>G227</f>
        <v>#REF!</v>
      </c>
      <c r="I227" s="88" t="e">
        <f>#REF!</f>
        <v>#REF!</v>
      </c>
      <c r="J227" s="88" t="e">
        <f>ROUND(F227*G227*H227*I227,2)</f>
        <v>#REF!</v>
      </c>
      <c r="K227" s="43" t="s">
        <v>49</v>
      </c>
      <c r="N227" s="87"/>
      <c r="O227" s="11"/>
      <c r="P227" s="11"/>
      <c r="Q227" s="11"/>
      <c r="R227" s="11"/>
      <c r="S227" s="11"/>
      <c r="T227" s="11"/>
      <c r="U227" s="11"/>
      <c r="V227" s="11"/>
      <c r="W227" s="11"/>
      <c r="X227" s="11"/>
    </row>
    <row r="228" spans="1:24" ht="12" customHeight="1">
      <c r="E228" s="71"/>
      <c r="F228" s="87">
        <v>3</v>
      </c>
      <c r="G228" s="88">
        <v>0.375</v>
      </c>
      <c r="H228" s="89">
        <v>0.25</v>
      </c>
      <c r="I228" s="88" t="e">
        <f>I227</f>
        <v>#REF!</v>
      </c>
      <c r="J228" s="88" t="e">
        <f>ROUND(F228*G228*H228*I228,2)</f>
        <v>#REF!</v>
      </c>
      <c r="K228" s="43" t="s">
        <v>49</v>
      </c>
      <c r="N228" s="87"/>
      <c r="O228" s="11"/>
      <c r="P228" s="11"/>
      <c r="Q228" s="11"/>
      <c r="R228" s="11"/>
      <c r="S228" s="11"/>
      <c r="T228" s="11"/>
      <c r="U228" s="11"/>
      <c r="V228" s="11"/>
      <c r="W228" s="11"/>
      <c r="X228" s="11"/>
    </row>
    <row r="229" spans="1:24" ht="12" customHeight="1">
      <c r="B229" s="43" t="s">
        <v>1831</v>
      </c>
      <c r="E229" s="71"/>
      <c r="F229" s="87">
        <f>F227</f>
        <v>8</v>
      </c>
      <c r="G229" s="88">
        <v>0.3</v>
      </c>
      <c r="H229" s="89">
        <f>G229</f>
        <v>0.3</v>
      </c>
      <c r="I229" s="88" t="e">
        <f>#REF!</f>
        <v>#REF!</v>
      </c>
      <c r="J229" s="88" t="e">
        <f>ROUND(F229*G229*H229*I229,2)</f>
        <v>#REF!</v>
      </c>
      <c r="K229" s="43" t="s">
        <v>49</v>
      </c>
      <c r="N229" s="87"/>
      <c r="O229" s="11"/>
      <c r="P229" s="11"/>
      <c r="Q229" s="11"/>
      <c r="R229" s="11"/>
      <c r="S229" s="11"/>
      <c r="T229" s="11"/>
      <c r="U229" s="11"/>
      <c r="V229" s="11"/>
      <c r="W229" s="11"/>
      <c r="X229" s="11"/>
    </row>
    <row r="230" spans="1:24" ht="12" customHeight="1">
      <c r="E230" s="71"/>
      <c r="F230" s="87">
        <v>3</v>
      </c>
      <c r="G230" s="88">
        <v>0.375</v>
      </c>
      <c r="H230" s="89">
        <v>0.25</v>
      </c>
      <c r="I230" s="88" t="e">
        <f>I229</f>
        <v>#REF!</v>
      </c>
      <c r="J230" s="88" t="e">
        <f>ROUND(F230*G230*H230*I230,2)</f>
        <v>#REF!</v>
      </c>
      <c r="K230" s="43" t="s">
        <v>49</v>
      </c>
      <c r="N230" s="87"/>
      <c r="O230" s="11"/>
      <c r="P230" s="11"/>
      <c r="Q230" s="11"/>
      <c r="R230" s="11"/>
      <c r="S230" s="11"/>
      <c r="T230" s="11"/>
      <c r="U230" s="11"/>
      <c r="V230" s="11"/>
      <c r="W230" s="11"/>
      <c r="X230" s="11"/>
    </row>
    <row r="231" spans="1:24" ht="12" customHeight="1">
      <c r="E231" s="71"/>
      <c r="F231" s="87"/>
      <c r="G231" s="88"/>
      <c r="H231" s="89"/>
      <c r="I231" s="90" t="s">
        <v>928</v>
      </c>
      <c r="J231" s="90" t="e">
        <f>SUM(J227:J230)</f>
        <v>#REF!</v>
      </c>
      <c r="K231" s="61" t="s">
        <v>49</v>
      </c>
    </row>
    <row r="232" spans="1:24" s="11" customFormat="1" ht="12.75" customHeight="1">
      <c r="A232" s="98"/>
      <c r="C232" s="99"/>
      <c r="D232" s="3604"/>
      <c r="E232" s="3604"/>
      <c r="F232" s="100"/>
      <c r="G232" s="3605"/>
      <c r="H232" s="3605"/>
      <c r="I232" s="90" t="s">
        <v>1623</v>
      </c>
      <c r="J232" s="90" t="e">
        <f>J231</f>
        <v>#REF!</v>
      </c>
      <c r="K232" s="61" t="s">
        <v>49</v>
      </c>
      <c r="L232" s="103"/>
      <c r="M232" s="102"/>
    </row>
    <row r="233" spans="1:24" ht="12" customHeight="1">
      <c r="A233" s="72" t="s">
        <v>474</v>
      </c>
      <c r="B233" s="3619" t="s">
        <v>473</v>
      </c>
      <c r="C233" s="3603"/>
      <c r="D233" s="3603"/>
      <c r="E233" s="2963" t="s">
        <v>381</v>
      </c>
      <c r="F233" s="2963"/>
      <c r="I233" s="74"/>
      <c r="J233" s="74"/>
    </row>
    <row r="234" spans="1:24" s="11" customFormat="1" ht="12.75">
      <c r="A234" s="72" t="s">
        <v>568</v>
      </c>
      <c r="B234" s="108" t="s">
        <v>384</v>
      </c>
      <c r="C234" s="101"/>
      <c r="D234" s="110"/>
      <c r="E234" s="111"/>
      <c r="F234" s="100"/>
      <c r="G234" s="112"/>
      <c r="H234" s="113"/>
      <c r="I234" s="113"/>
      <c r="J234" s="112"/>
      <c r="L234" s="103"/>
      <c r="M234" s="103"/>
    </row>
    <row r="235" spans="1:24" s="11" customFormat="1" ht="11.25" customHeight="1">
      <c r="A235" s="72" t="s">
        <v>627</v>
      </c>
      <c r="B235" s="61" t="s">
        <v>1798</v>
      </c>
      <c r="C235" s="43"/>
      <c r="D235" s="43"/>
      <c r="E235" s="71"/>
      <c r="F235" s="43"/>
      <c r="G235" s="43"/>
      <c r="H235" s="66"/>
      <c r="I235" s="43"/>
      <c r="J235" s="43"/>
      <c r="K235" s="61"/>
      <c r="L235" s="103"/>
      <c r="M235" s="103"/>
    </row>
    <row r="236" spans="1:24" s="11" customFormat="1" ht="11.25" customHeight="1">
      <c r="A236" s="72"/>
      <c r="B236" s="43" t="str">
        <f>B211</f>
        <v>Long wall -1</v>
      </c>
      <c r="C236" s="43"/>
      <c r="D236" s="43"/>
      <c r="E236" s="71"/>
      <c r="F236" s="87">
        <v>1</v>
      </c>
      <c r="G236" s="88">
        <f>G211</f>
        <v>8.0500000000000007</v>
      </c>
      <c r="H236" s="89"/>
      <c r="I236" s="88"/>
      <c r="J236" s="88">
        <f>ROUND(F236*G236,2)</f>
        <v>8.0500000000000007</v>
      </c>
      <c r="K236" s="43" t="s">
        <v>136</v>
      </c>
      <c r="L236" s="103"/>
      <c r="M236" s="103"/>
      <c r="N236" s="87"/>
    </row>
    <row r="237" spans="1:24" s="11" customFormat="1" ht="11.25" customHeight="1">
      <c r="A237" s="72"/>
      <c r="B237" s="43"/>
      <c r="C237" s="43"/>
      <c r="D237" s="43"/>
      <c r="E237" s="71"/>
      <c r="F237" s="87">
        <v>2</v>
      </c>
      <c r="G237" s="88">
        <v>1</v>
      </c>
      <c r="H237" s="89"/>
      <c r="I237" s="88"/>
      <c r="J237" s="88">
        <f>ROUND(F237*G237,2)</f>
        <v>2</v>
      </c>
      <c r="K237" s="43" t="s">
        <v>136</v>
      </c>
      <c r="L237" s="103"/>
      <c r="M237" s="103"/>
      <c r="N237" s="87"/>
    </row>
    <row r="238" spans="1:24" s="11" customFormat="1" ht="11.25" customHeight="1">
      <c r="A238" s="72"/>
      <c r="B238" s="43"/>
      <c r="C238" s="43"/>
      <c r="D238" s="43"/>
      <c r="E238" s="71"/>
      <c r="F238" s="87">
        <v>1</v>
      </c>
      <c r="G238" s="88">
        <v>2.75</v>
      </c>
      <c r="H238" s="89"/>
      <c r="I238" s="88"/>
      <c r="J238" s="88">
        <f>ROUND(F238*G238,2)</f>
        <v>2.75</v>
      </c>
      <c r="K238" s="43" t="s">
        <v>136</v>
      </c>
      <c r="L238" s="103"/>
      <c r="M238" s="103"/>
      <c r="N238" s="87"/>
    </row>
    <row r="239" spans="1:24" s="11" customFormat="1" ht="11.25" customHeight="1">
      <c r="A239" s="72"/>
      <c r="B239" s="43">
        <f>B213</f>
        <v>0</v>
      </c>
      <c r="C239" s="43"/>
      <c r="D239" s="43"/>
      <c r="E239" s="71"/>
      <c r="F239" s="87">
        <f>F213</f>
        <v>1</v>
      </c>
      <c r="G239" s="88">
        <v>5.55</v>
      </c>
      <c r="H239" s="89"/>
      <c r="I239" s="88"/>
      <c r="J239" s="88">
        <f>ROUND(F239*G239,2)</f>
        <v>5.55</v>
      </c>
      <c r="K239" s="43" t="s">
        <v>136</v>
      </c>
      <c r="L239" s="103"/>
      <c r="M239" s="103"/>
      <c r="N239" s="87"/>
    </row>
    <row r="240" spans="1:24" s="11" customFormat="1" ht="11.25" customHeight="1">
      <c r="A240" s="72"/>
      <c r="B240" s="43"/>
      <c r="C240" s="43"/>
      <c r="D240" s="43"/>
      <c r="E240" s="71"/>
      <c r="F240" s="87"/>
      <c r="G240" s="43"/>
      <c r="H240" s="66"/>
      <c r="I240" s="90" t="s">
        <v>928</v>
      </c>
      <c r="J240" s="90">
        <f>SUM(J236:J239)</f>
        <v>18.350000000000001</v>
      </c>
      <c r="K240" s="61" t="s">
        <v>136</v>
      </c>
      <c r="L240" s="103"/>
      <c r="M240" s="103"/>
      <c r="N240" s="87"/>
    </row>
    <row r="241" spans="1:24" s="11" customFormat="1" ht="11.25" customHeight="1">
      <c r="A241" s="72" t="s">
        <v>628</v>
      </c>
      <c r="B241" s="61" t="s">
        <v>1801</v>
      </c>
      <c r="C241" s="91"/>
      <c r="D241" s="43"/>
      <c r="E241" s="71"/>
      <c r="F241" s="87"/>
      <c r="G241" s="92"/>
      <c r="H241" s="89"/>
      <c r="I241" s="88"/>
      <c r="J241" s="88"/>
      <c r="K241" s="43"/>
      <c r="L241" s="103"/>
      <c r="M241" s="103"/>
      <c r="N241" s="87"/>
    </row>
    <row r="242" spans="1:24" s="11" customFormat="1" ht="11.25" customHeight="1">
      <c r="A242" s="72"/>
      <c r="B242" s="43" t="str">
        <f>B216</f>
        <v>Cross wall -1</v>
      </c>
      <c r="C242" s="43"/>
      <c r="D242" s="43"/>
      <c r="E242" s="71"/>
      <c r="F242" s="87">
        <f>F216</f>
        <v>4</v>
      </c>
      <c r="G242" s="88">
        <f>G216</f>
        <v>4.5</v>
      </c>
      <c r="H242" s="89"/>
      <c r="I242" s="88"/>
      <c r="J242" s="88">
        <f>ROUND(F242*G242,2)</f>
        <v>18</v>
      </c>
      <c r="K242" s="43" t="s">
        <v>136</v>
      </c>
      <c r="L242" s="103"/>
      <c r="M242" s="103"/>
      <c r="N242" s="87"/>
    </row>
    <row r="243" spans="1:24" s="11" customFormat="1" ht="11.25" customHeight="1">
      <c r="A243" s="72"/>
      <c r="B243" s="43">
        <f>B221</f>
        <v>0</v>
      </c>
      <c r="C243" s="43"/>
      <c r="D243" s="43"/>
      <c r="E243" s="71"/>
      <c r="F243" s="87">
        <v>2</v>
      </c>
      <c r="G243" s="88">
        <v>4.4000000000000004</v>
      </c>
      <c r="H243" s="89"/>
      <c r="I243" s="88"/>
      <c r="J243" s="88">
        <f>ROUND(F243*G243,2)</f>
        <v>8.8000000000000007</v>
      </c>
      <c r="K243" s="43" t="s">
        <v>136</v>
      </c>
      <c r="L243" s="103"/>
      <c r="M243" s="103"/>
      <c r="N243" s="87"/>
    </row>
    <row r="244" spans="1:24" s="11" customFormat="1" ht="11.25" customHeight="1">
      <c r="A244" s="72"/>
      <c r="B244" s="43"/>
      <c r="C244" s="43"/>
      <c r="D244" s="43"/>
      <c r="E244" s="71"/>
      <c r="F244" s="87"/>
      <c r="G244" s="88"/>
      <c r="H244" s="89"/>
      <c r="I244" s="90" t="s">
        <v>928</v>
      </c>
      <c r="J244" s="90">
        <f>SUM(J242:J243)</f>
        <v>26.8</v>
      </c>
      <c r="K244" s="43" t="s">
        <v>136</v>
      </c>
      <c r="L244" s="103"/>
      <c r="M244" s="103"/>
    </row>
    <row r="245" spans="1:24" s="11" customFormat="1" ht="11.25" customHeight="1">
      <c r="A245" s="72"/>
      <c r="B245" s="43" t="s">
        <v>1832</v>
      </c>
      <c r="C245" s="43"/>
      <c r="D245" s="43"/>
      <c r="E245" s="71"/>
      <c r="F245" s="87"/>
      <c r="G245" s="88"/>
      <c r="H245" s="63"/>
      <c r="I245" s="107" t="s">
        <v>760</v>
      </c>
      <c r="J245" s="90">
        <f>J240+J244</f>
        <v>45.150000000000006</v>
      </c>
      <c r="K245" s="43" t="s">
        <v>136</v>
      </c>
      <c r="L245" s="103"/>
      <c r="M245" s="103"/>
    </row>
    <row r="246" spans="1:24" ht="11.25" customHeight="1">
      <c r="B246" s="43" t="s">
        <v>1833</v>
      </c>
      <c r="E246" s="71"/>
      <c r="F246" s="87">
        <v>1</v>
      </c>
      <c r="G246" s="88">
        <f>J245</f>
        <v>45.150000000000006</v>
      </c>
      <c r="H246" s="89" t="e">
        <f>#REF!</f>
        <v>#REF!</v>
      </c>
      <c r="I246" s="88" t="e">
        <f>#REF!</f>
        <v>#REF!</v>
      </c>
      <c r="J246" s="90" t="e">
        <f>ROUND(F246*G246*H246*I246,2)</f>
        <v>#REF!</v>
      </c>
      <c r="K246" s="61" t="s">
        <v>49</v>
      </c>
      <c r="L246" s="103"/>
      <c r="M246" s="103"/>
    </row>
    <row r="247" spans="1:24" ht="11.25" customHeight="1">
      <c r="B247" s="43" t="s">
        <v>1834</v>
      </c>
      <c r="E247" s="71"/>
      <c r="F247" s="87">
        <v>7</v>
      </c>
      <c r="G247" s="88">
        <v>0.25</v>
      </c>
      <c r="H247" s="89">
        <f>G247</f>
        <v>0.25</v>
      </c>
      <c r="I247" s="88" t="e">
        <f>I246</f>
        <v>#REF!</v>
      </c>
      <c r="J247" s="95" t="e">
        <f>-ROUND(F247*G247*H247*I247,2)</f>
        <v>#REF!</v>
      </c>
      <c r="K247" s="43" t="s">
        <v>49</v>
      </c>
      <c r="L247" s="103"/>
      <c r="M247" s="103"/>
    </row>
    <row r="248" spans="1:24" ht="11.25" customHeight="1">
      <c r="E248" s="71"/>
      <c r="F248" s="87"/>
      <c r="G248" s="88"/>
      <c r="H248" s="89"/>
      <c r="I248" s="90" t="s">
        <v>1810</v>
      </c>
      <c r="J248" s="90" t="e">
        <f>SUM(J246:J247)</f>
        <v>#REF!</v>
      </c>
      <c r="K248" s="61" t="s">
        <v>49</v>
      </c>
      <c r="L248" s="103"/>
      <c r="M248" s="103"/>
    </row>
    <row r="249" spans="1:24" ht="13.5" customHeight="1">
      <c r="A249" s="72" t="s">
        <v>476</v>
      </c>
      <c r="B249" s="3619" t="s">
        <v>1835</v>
      </c>
      <c r="C249" s="3603"/>
      <c r="D249" s="3603"/>
      <c r="E249" s="2963" t="s">
        <v>390</v>
      </c>
      <c r="F249" s="2963"/>
      <c r="I249" s="74"/>
      <c r="J249" s="74"/>
    </row>
    <row r="250" spans="1:24" ht="12.75">
      <c r="A250" s="72" t="s">
        <v>458</v>
      </c>
      <c r="B250" s="61" t="s">
        <v>1836</v>
      </c>
      <c r="C250" s="109"/>
      <c r="D250" s="109"/>
      <c r="E250" s="71"/>
      <c r="F250" s="88"/>
      <c r="H250" s="66"/>
      <c r="I250" s="74"/>
      <c r="J250" s="74"/>
      <c r="O250" s="11"/>
      <c r="P250" s="11"/>
      <c r="Q250" s="11"/>
      <c r="R250" s="11"/>
      <c r="S250" s="11"/>
      <c r="T250" s="11"/>
      <c r="U250" s="11"/>
      <c r="V250" s="11"/>
      <c r="W250" s="11"/>
      <c r="X250" s="11"/>
    </row>
    <row r="251" spans="1:24" ht="12.75">
      <c r="B251" s="43" t="s">
        <v>677</v>
      </c>
      <c r="C251" s="89"/>
      <c r="D251" s="89" t="e">
        <f>#REF!</f>
        <v>#REF!</v>
      </c>
      <c r="E251" s="71"/>
      <c r="F251" s="87" t="e">
        <f>#REF!</f>
        <v>#REF!</v>
      </c>
      <c r="G251" s="89">
        <v>1.5</v>
      </c>
      <c r="H251" s="89" t="e">
        <f>#REF!</f>
        <v>#REF!</v>
      </c>
      <c r="I251" s="88"/>
      <c r="J251" s="88" t="e">
        <f>ROUND(F251*G251*H251,2)</f>
        <v>#REF!</v>
      </c>
      <c r="K251" s="43" t="s">
        <v>92</v>
      </c>
      <c r="L251" s="103"/>
      <c r="M251" s="103"/>
      <c r="N251" s="87"/>
    </row>
    <row r="252" spans="1:24" ht="12.75">
      <c r="C252" s="89"/>
      <c r="D252" s="89" t="e">
        <f>#REF!</f>
        <v>#REF!</v>
      </c>
      <c r="E252" s="71"/>
      <c r="F252" s="87">
        <v>1</v>
      </c>
      <c r="G252" s="89">
        <v>2.8</v>
      </c>
      <c r="H252" s="89" t="e">
        <f>H251</f>
        <v>#REF!</v>
      </c>
      <c r="I252" s="88"/>
      <c r="J252" s="88" t="e">
        <f>ROUND(F252*G252*H252,2)</f>
        <v>#REF!</v>
      </c>
      <c r="K252" s="43" t="s">
        <v>92</v>
      </c>
      <c r="L252" s="103"/>
      <c r="M252" s="103"/>
      <c r="N252" s="87"/>
    </row>
    <row r="253" spans="1:24" ht="12.75">
      <c r="C253" s="89"/>
      <c r="D253" s="89" t="e">
        <f>#REF!</f>
        <v>#REF!</v>
      </c>
      <c r="E253" s="71"/>
      <c r="F253" s="87"/>
      <c r="G253" s="89" t="e">
        <f>#REF!+0.3</f>
        <v>#REF!</v>
      </c>
      <c r="H253" s="89" t="e">
        <f>H252</f>
        <v>#REF!</v>
      </c>
      <c r="I253" s="88"/>
      <c r="J253" s="88" t="e">
        <f>ROUND(F253*G253*H253,2)</f>
        <v>#REF!</v>
      </c>
      <c r="K253" s="43" t="s">
        <v>92</v>
      </c>
      <c r="L253" s="103"/>
      <c r="M253" s="103"/>
      <c r="N253" s="87"/>
    </row>
    <row r="254" spans="1:24" ht="12.75">
      <c r="B254" s="43" t="s">
        <v>1837</v>
      </c>
      <c r="C254" s="89"/>
      <c r="D254" s="89"/>
      <c r="E254" s="71"/>
      <c r="F254" s="87"/>
      <c r="G254" s="88">
        <f>'DRAWING HALL'!BI151</f>
        <v>0</v>
      </c>
      <c r="H254" s="89" t="e">
        <f>H253</f>
        <v>#REF!</v>
      </c>
      <c r="I254" s="88"/>
      <c r="J254" s="88" t="e">
        <f>ROUND(F254*G254*H254,2)</f>
        <v>#REF!</v>
      </c>
      <c r="K254" s="43" t="s">
        <v>92</v>
      </c>
      <c r="L254" s="103"/>
      <c r="M254" s="103"/>
      <c r="N254" s="87"/>
    </row>
    <row r="255" spans="1:24" ht="12.75">
      <c r="C255" s="89"/>
      <c r="D255" s="89"/>
      <c r="E255" s="71"/>
      <c r="F255" s="87"/>
      <c r="G255" s="88"/>
      <c r="H255" s="89"/>
      <c r="I255" s="90" t="s">
        <v>928</v>
      </c>
      <c r="J255" s="90" t="e">
        <f>SUM(J251:J254)</f>
        <v>#REF!</v>
      </c>
      <c r="K255" s="43" t="s">
        <v>92</v>
      </c>
      <c r="L255" s="103"/>
      <c r="M255" s="103"/>
    </row>
    <row r="256" spans="1:24" ht="12.75">
      <c r="C256" s="89"/>
      <c r="D256" s="89"/>
      <c r="E256" s="71"/>
      <c r="F256" s="87"/>
      <c r="G256" s="88" t="e">
        <f>J255</f>
        <v>#REF!</v>
      </c>
      <c r="H256" s="89" t="e">
        <f>#REF!</f>
        <v>#REF!</v>
      </c>
      <c r="I256" s="90"/>
      <c r="J256" s="90" t="e">
        <f>ROUND(G256*H256,2)</f>
        <v>#REF!</v>
      </c>
      <c r="K256" s="61" t="s">
        <v>49</v>
      </c>
      <c r="L256" s="103"/>
      <c r="M256" s="103"/>
    </row>
    <row r="257" spans="1:24" ht="12.75">
      <c r="C257" s="89"/>
      <c r="D257" s="89"/>
      <c r="E257" s="71"/>
      <c r="F257" s="87"/>
      <c r="G257" s="88"/>
      <c r="H257" s="89"/>
      <c r="I257" s="90" t="s">
        <v>1623</v>
      </c>
      <c r="J257" s="90" t="e">
        <f>J256</f>
        <v>#REF!</v>
      </c>
      <c r="K257" s="61" t="s">
        <v>49</v>
      </c>
      <c r="L257" s="103"/>
      <c r="M257" s="103"/>
    </row>
    <row r="258" spans="1:24" ht="14.25" customHeight="1">
      <c r="A258" s="72" t="s">
        <v>478</v>
      </c>
      <c r="B258" s="3619" t="s">
        <v>1791</v>
      </c>
      <c r="C258" s="3619"/>
      <c r="D258" s="3619"/>
      <c r="E258" s="2963" t="s">
        <v>381</v>
      </c>
      <c r="F258" s="2963"/>
      <c r="I258" s="74"/>
      <c r="J258" s="74"/>
    </row>
    <row r="259" spans="1:24" s="11" customFormat="1" ht="12.75">
      <c r="A259" s="72" t="s">
        <v>627</v>
      </c>
      <c r="B259" s="61" t="s">
        <v>1798</v>
      </c>
      <c r="C259" s="43"/>
      <c r="D259" s="43"/>
      <c r="E259" s="71"/>
      <c r="F259" s="43"/>
      <c r="G259" s="43"/>
      <c r="H259" s="66"/>
      <c r="I259" s="43"/>
      <c r="J259" s="43"/>
      <c r="K259" s="61"/>
      <c r="L259" s="103"/>
      <c r="M259" s="103"/>
      <c r="O259" s="43"/>
      <c r="P259" s="43"/>
      <c r="Q259" s="43"/>
      <c r="R259" s="43"/>
      <c r="S259" s="43"/>
      <c r="T259" s="43"/>
      <c r="U259" s="43"/>
      <c r="V259" s="43"/>
      <c r="W259" s="43"/>
      <c r="X259" s="43"/>
    </row>
    <row r="260" spans="1:24" s="11" customFormat="1" ht="12.75">
      <c r="A260" s="72"/>
      <c r="B260" s="43" t="str">
        <f>B211</f>
        <v>Long wall -1</v>
      </c>
      <c r="C260" s="43"/>
      <c r="D260" s="43"/>
      <c r="E260" s="71"/>
      <c r="F260" s="87">
        <f>F211</f>
        <v>2</v>
      </c>
      <c r="G260" s="88">
        <f>G211</f>
        <v>8.0500000000000007</v>
      </c>
      <c r="H260" s="89" t="e">
        <f>#REF!</f>
        <v>#REF!</v>
      </c>
      <c r="I260" s="88">
        <v>0.375</v>
      </c>
      <c r="J260" s="88" t="e">
        <f>ROUND(F260*G260*H260*I260,2)</f>
        <v>#REF!</v>
      </c>
      <c r="K260" s="43" t="s">
        <v>49</v>
      </c>
      <c r="L260" s="103"/>
      <c r="M260" s="103"/>
      <c r="O260" s="43"/>
      <c r="P260" s="43"/>
      <c r="Q260" s="43"/>
      <c r="R260" s="43"/>
      <c r="S260" s="43"/>
      <c r="T260" s="43"/>
      <c r="U260" s="43"/>
      <c r="V260" s="43"/>
      <c r="W260" s="43"/>
      <c r="X260" s="43"/>
    </row>
    <row r="261" spans="1:24" s="11" customFormat="1" ht="12.75">
      <c r="A261" s="72"/>
      <c r="B261" s="43">
        <f>B213</f>
        <v>0</v>
      </c>
      <c r="C261" s="43"/>
      <c r="D261" s="43"/>
      <c r="E261" s="71"/>
      <c r="F261" s="87">
        <f>F212</f>
        <v>1</v>
      </c>
      <c r="G261" s="88">
        <f>G212</f>
        <v>5.55</v>
      </c>
      <c r="H261" s="89" t="e">
        <f>H260</f>
        <v>#REF!</v>
      </c>
      <c r="I261" s="88">
        <f>I260</f>
        <v>0.375</v>
      </c>
      <c r="J261" s="88" t="e">
        <f>ROUND(F261*G261*H261*I261,2)</f>
        <v>#REF!</v>
      </c>
      <c r="K261" s="43" t="s">
        <v>49</v>
      </c>
      <c r="L261" s="103"/>
      <c r="M261" s="103"/>
      <c r="O261" s="43"/>
      <c r="P261" s="43"/>
      <c r="Q261" s="43"/>
      <c r="R261" s="43"/>
      <c r="S261" s="43"/>
      <c r="T261" s="43"/>
      <c r="U261" s="43"/>
      <c r="V261" s="43"/>
      <c r="W261" s="43"/>
      <c r="X261" s="43"/>
    </row>
    <row r="262" spans="1:24" s="11" customFormat="1" ht="12.75">
      <c r="A262" s="72"/>
      <c r="B262" s="43" t="s">
        <v>1838</v>
      </c>
      <c r="C262" s="43"/>
      <c r="D262" s="43"/>
      <c r="E262" s="71"/>
      <c r="F262" s="87">
        <v>2</v>
      </c>
      <c r="G262" s="88">
        <f>G213</f>
        <v>11.95</v>
      </c>
      <c r="H262" s="89" t="e">
        <f>H261</f>
        <v>#REF!</v>
      </c>
      <c r="I262" s="88">
        <f>I261</f>
        <v>0.375</v>
      </c>
      <c r="J262" s="88" t="e">
        <f>ROUND(F262*G262*H262*I262,2)</f>
        <v>#REF!</v>
      </c>
      <c r="K262" s="43" t="s">
        <v>49</v>
      </c>
      <c r="L262" s="103"/>
      <c r="M262" s="103"/>
      <c r="O262" s="43"/>
      <c r="P262" s="43"/>
      <c r="Q262" s="43"/>
      <c r="R262" s="43"/>
      <c r="S262" s="43"/>
      <c r="T262" s="43"/>
      <c r="U262" s="43"/>
      <c r="V262" s="43"/>
      <c r="W262" s="43"/>
      <c r="X262" s="43"/>
    </row>
    <row r="263" spans="1:24" s="11" customFormat="1" ht="12.75">
      <c r="A263" s="72"/>
      <c r="B263" s="43"/>
      <c r="C263" s="43"/>
      <c r="D263" s="43"/>
      <c r="E263" s="71"/>
      <c r="F263" s="87"/>
      <c r="G263" s="43"/>
      <c r="H263" s="66"/>
      <c r="I263" s="90" t="s">
        <v>928</v>
      </c>
      <c r="J263" s="90" t="e">
        <f>SUM(J260:J262)</f>
        <v>#REF!</v>
      </c>
      <c r="K263" s="61" t="s">
        <v>49</v>
      </c>
      <c r="L263" s="103"/>
      <c r="M263" s="103"/>
      <c r="O263" s="43"/>
      <c r="P263" s="43"/>
      <c r="Q263" s="43"/>
      <c r="R263" s="43"/>
      <c r="S263" s="43"/>
      <c r="T263" s="43"/>
      <c r="U263" s="43"/>
      <c r="V263" s="43"/>
      <c r="W263" s="43"/>
      <c r="X263" s="43"/>
    </row>
    <row r="264" spans="1:24" s="11" customFormat="1" ht="12.75">
      <c r="A264" s="72" t="s">
        <v>628</v>
      </c>
      <c r="B264" s="61" t="s">
        <v>1801</v>
      </c>
      <c r="C264" s="91"/>
      <c r="D264" s="43"/>
      <c r="E264" s="71"/>
      <c r="F264" s="87"/>
      <c r="G264" s="92"/>
      <c r="H264" s="89"/>
      <c r="I264" s="88"/>
      <c r="J264" s="88"/>
      <c r="K264" s="43"/>
      <c r="L264" s="103"/>
      <c r="M264" s="103"/>
      <c r="O264" s="43"/>
      <c r="P264" s="43"/>
      <c r="Q264" s="43"/>
      <c r="R264" s="43"/>
      <c r="S264" s="43"/>
      <c r="T264" s="43"/>
      <c r="U264" s="43"/>
      <c r="V264" s="43"/>
      <c r="W264" s="43"/>
      <c r="X264" s="43"/>
    </row>
    <row r="265" spans="1:24" s="11" customFormat="1" ht="12.75">
      <c r="A265" s="72"/>
      <c r="B265" s="43" t="str">
        <f>B216</f>
        <v>Cross wall -1</v>
      </c>
      <c r="C265" s="43"/>
      <c r="D265" s="43"/>
      <c r="E265" s="71"/>
      <c r="F265" s="87">
        <f>F216</f>
        <v>4</v>
      </c>
      <c r="G265" s="88">
        <f>G216</f>
        <v>4.5</v>
      </c>
      <c r="H265" s="89" t="e">
        <f>H262</f>
        <v>#REF!</v>
      </c>
      <c r="I265" s="88">
        <f>I261</f>
        <v>0.375</v>
      </c>
      <c r="J265" s="88" t="e">
        <f t="shared" ref="J265:J271" si="35">ROUND(F265*G265*H265*I265,2)</f>
        <v>#REF!</v>
      </c>
      <c r="K265" s="43" t="s">
        <v>49</v>
      </c>
      <c r="L265" s="103"/>
      <c r="M265" s="103"/>
      <c r="O265" s="43"/>
      <c r="P265" s="43"/>
      <c r="Q265" s="43"/>
      <c r="R265" s="43"/>
      <c r="S265" s="43"/>
      <c r="T265" s="43"/>
      <c r="U265" s="43"/>
      <c r="V265" s="43"/>
      <c r="W265" s="43"/>
      <c r="X265" s="43"/>
    </row>
    <row r="266" spans="1:24" s="11" customFormat="1" ht="12.75">
      <c r="A266" s="72"/>
      <c r="B266" s="43"/>
      <c r="C266" s="43"/>
      <c r="D266" s="43"/>
      <c r="E266" s="71"/>
      <c r="F266" s="87">
        <f t="shared" ref="F266:G270" si="36">F217</f>
        <v>2</v>
      </c>
      <c r="G266" s="88">
        <f t="shared" si="36"/>
        <v>4.4000000000000004</v>
      </c>
      <c r="H266" s="89" t="e">
        <f t="shared" ref="H266:I270" si="37">H265</f>
        <v>#REF!</v>
      </c>
      <c r="I266" s="88">
        <f t="shared" si="37"/>
        <v>0.375</v>
      </c>
      <c r="J266" s="88" t="e">
        <f t="shared" si="35"/>
        <v>#REF!</v>
      </c>
      <c r="K266" s="43" t="s">
        <v>49</v>
      </c>
      <c r="L266" s="103"/>
      <c r="M266" s="103"/>
      <c r="O266" s="43"/>
      <c r="P266" s="43"/>
      <c r="Q266" s="43"/>
      <c r="R266" s="43"/>
      <c r="S266" s="43"/>
      <c r="T266" s="43"/>
      <c r="U266" s="43"/>
      <c r="V266" s="43"/>
      <c r="W266" s="43"/>
      <c r="X266" s="43"/>
    </row>
    <row r="267" spans="1:24" s="11" customFormat="1" ht="12.75">
      <c r="A267" s="72"/>
      <c r="B267" s="43"/>
      <c r="C267" s="43"/>
      <c r="D267" s="43"/>
      <c r="E267" s="71"/>
      <c r="F267" s="87">
        <f t="shared" si="36"/>
        <v>1</v>
      </c>
      <c r="G267" s="88">
        <f t="shared" si="36"/>
        <v>4.4000000000000004</v>
      </c>
      <c r="H267" s="89" t="e">
        <f t="shared" si="37"/>
        <v>#REF!</v>
      </c>
      <c r="I267" s="88">
        <f t="shared" si="37"/>
        <v>0.375</v>
      </c>
      <c r="J267" s="88" t="e">
        <f t="shared" si="35"/>
        <v>#REF!</v>
      </c>
      <c r="K267" s="43" t="s">
        <v>49</v>
      </c>
      <c r="L267" s="103"/>
      <c r="M267" s="103"/>
      <c r="O267" s="43"/>
      <c r="P267" s="43"/>
      <c r="Q267" s="43"/>
      <c r="R267" s="43"/>
      <c r="S267" s="43"/>
      <c r="T267" s="43"/>
      <c r="U267" s="43"/>
      <c r="V267" s="43"/>
      <c r="W267" s="43"/>
      <c r="X267" s="43"/>
    </row>
    <row r="268" spans="1:24" s="11" customFormat="1" ht="12.75">
      <c r="A268" s="72"/>
      <c r="B268" s="43"/>
      <c r="C268" s="43"/>
      <c r="D268" s="43"/>
      <c r="E268" s="71"/>
      <c r="F268" s="87">
        <f t="shared" si="36"/>
        <v>1</v>
      </c>
      <c r="G268" s="88">
        <f t="shared" si="36"/>
        <v>5.2</v>
      </c>
      <c r="H268" s="89" t="e">
        <f t="shared" si="37"/>
        <v>#REF!</v>
      </c>
      <c r="I268" s="88">
        <f t="shared" si="37"/>
        <v>0.375</v>
      </c>
      <c r="J268" s="88" t="e">
        <f t="shared" si="35"/>
        <v>#REF!</v>
      </c>
      <c r="K268" s="43" t="s">
        <v>49</v>
      </c>
      <c r="L268" s="103"/>
      <c r="M268" s="103"/>
      <c r="O268" s="43"/>
      <c r="P268" s="43"/>
      <c r="Q268" s="43"/>
      <c r="R268" s="43"/>
      <c r="S268" s="43"/>
      <c r="T268" s="43"/>
      <c r="U268" s="43"/>
      <c r="V268" s="43"/>
      <c r="W268" s="43"/>
      <c r="X268" s="43"/>
    </row>
    <row r="269" spans="1:24" s="11" customFormat="1" ht="12.75">
      <c r="A269" s="72"/>
      <c r="B269" s="43"/>
      <c r="C269" s="43"/>
      <c r="D269" s="43"/>
      <c r="E269" s="71"/>
      <c r="F269" s="87">
        <f t="shared" si="36"/>
        <v>1</v>
      </c>
      <c r="G269" s="88">
        <f t="shared" si="36"/>
        <v>3.2</v>
      </c>
      <c r="H269" s="89" t="e">
        <f t="shared" si="37"/>
        <v>#REF!</v>
      </c>
      <c r="I269" s="88">
        <f t="shared" si="37"/>
        <v>0.375</v>
      </c>
      <c r="J269" s="88" t="e">
        <f t="shared" si="35"/>
        <v>#REF!</v>
      </c>
      <c r="K269" s="43" t="s">
        <v>49</v>
      </c>
      <c r="L269" s="103"/>
      <c r="M269" s="103"/>
      <c r="O269" s="43"/>
      <c r="P269" s="43"/>
      <c r="Q269" s="43"/>
      <c r="R269" s="43"/>
      <c r="S269" s="43"/>
      <c r="T269" s="43"/>
      <c r="U269" s="43"/>
      <c r="V269" s="43"/>
      <c r="W269" s="43"/>
      <c r="X269" s="43"/>
    </row>
    <row r="270" spans="1:24" s="11" customFormat="1" ht="12.75">
      <c r="A270" s="72"/>
      <c r="B270" s="43">
        <f>B221</f>
        <v>0</v>
      </c>
      <c r="C270" s="43"/>
      <c r="D270" s="43"/>
      <c r="E270" s="71"/>
      <c r="F270" s="87">
        <f t="shared" si="36"/>
        <v>1</v>
      </c>
      <c r="G270" s="88">
        <f t="shared" si="36"/>
        <v>4</v>
      </c>
      <c r="H270" s="89" t="e">
        <f t="shared" si="37"/>
        <v>#REF!</v>
      </c>
      <c r="I270" s="88">
        <f t="shared" si="37"/>
        <v>0.375</v>
      </c>
      <c r="J270" s="88" t="e">
        <f t="shared" si="35"/>
        <v>#REF!</v>
      </c>
      <c r="K270" s="43" t="s">
        <v>49</v>
      </c>
      <c r="L270" s="103"/>
      <c r="M270" s="103"/>
      <c r="O270" s="43"/>
      <c r="P270" s="43"/>
      <c r="Q270" s="43"/>
      <c r="R270" s="43"/>
      <c r="S270" s="43"/>
      <c r="T270" s="43"/>
      <c r="U270" s="43"/>
      <c r="V270" s="43"/>
      <c r="W270" s="43"/>
      <c r="X270" s="43"/>
    </row>
    <row r="271" spans="1:24" s="11" customFormat="1" ht="12.75">
      <c r="A271" s="72"/>
      <c r="B271" s="43"/>
      <c r="C271" s="43"/>
      <c r="D271" s="43"/>
      <c r="E271" s="71"/>
      <c r="F271" s="87">
        <v>1</v>
      </c>
      <c r="G271" s="88">
        <v>5</v>
      </c>
      <c r="H271" s="89">
        <v>0.6</v>
      </c>
      <c r="I271" s="88">
        <v>0.35</v>
      </c>
      <c r="J271" s="88">
        <f t="shared" si="35"/>
        <v>1.05</v>
      </c>
      <c r="K271" s="43" t="s">
        <v>49</v>
      </c>
      <c r="L271" s="103"/>
      <c r="M271" s="103"/>
      <c r="O271" s="43"/>
      <c r="P271" s="43"/>
      <c r="Q271" s="43"/>
      <c r="R271" s="43"/>
      <c r="S271" s="43"/>
      <c r="T271" s="43"/>
      <c r="U271" s="43"/>
      <c r="V271" s="43"/>
      <c r="W271" s="43"/>
      <c r="X271" s="43"/>
    </row>
    <row r="272" spans="1:24" s="11" customFormat="1" ht="12.75">
      <c r="A272" s="72"/>
      <c r="B272" s="43"/>
      <c r="C272" s="43"/>
      <c r="D272" s="43"/>
      <c r="E272" s="71"/>
      <c r="F272" s="87"/>
      <c r="G272" s="88"/>
      <c r="H272" s="89"/>
      <c r="I272" s="90" t="s">
        <v>928</v>
      </c>
      <c r="J272" s="90" t="e">
        <f>SUM(J265:J271)</f>
        <v>#REF!</v>
      </c>
      <c r="K272" s="43" t="s">
        <v>49</v>
      </c>
      <c r="L272" s="103"/>
      <c r="M272" s="103"/>
      <c r="O272" s="43"/>
      <c r="P272" s="43"/>
      <c r="Q272" s="43"/>
      <c r="R272" s="43"/>
      <c r="S272" s="43"/>
      <c r="T272" s="43"/>
      <c r="U272" s="43"/>
      <c r="V272" s="43"/>
      <c r="W272" s="43"/>
      <c r="X272" s="43"/>
    </row>
    <row r="273" spans="1:24" s="11" customFormat="1" ht="12.75">
      <c r="A273" s="72"/>
      <c r="B273" s="43"/>
      <c r="C273" s="43"/>
      <c r="D273" s="43"/>
      <c r="E273" s="71"/>
      <c r="F273" s="87"/>
      <c r="G273" s="88"/>
      <c r="H273" s="63"/>
      <c r="I273" s="107" t="s">
        <v>760</v>
      </c>
      <c r="J273" s="90" t="e">
        <f>J263+J272</f>
        <v>#REF!</v>
      </c>
      <c r="K273" s="43" t="s">
        <v>49</v>
      </c>
      <c r="L273" s="103"/>
      <c r="M273" s="103"/>
      <c r="O273" s="43"/>
      <c r="P273" s="43"/>
      <c r="Q273" s="43"/>
      <c r="R273" s="43"/>
      <c r="S273" s="43"/>
      <c r="T273" s="43"/>
      <c r="U273" s="43"/>
      <c r="V273" s="43"/>
      <c r="W273" s="43"/>
      <c r="X273" s="43"/>
    </row>
    <row r="274" spans="1:24">
      <c r="E274" s="71"/>
      <c r="F274" s="87"/>
      <c r="G274" s="92"/>
      <c r="H274" s="89"/>
      <c r="I274" s="90" t="s">
        <v>1623</v>
      </c>
      <c r="J274" s="90" t="e">
        <f>J273</f>
        <v>#REF!</v>
      </c>
      <c r="K274" s="61" t="s">
        <v>49</v>
      </c>
    </row>
    <row r="275" spans="1:24" ht="11.25" customHeight="1">
      <c r="B275" s="43" t="s">
        <v>1834</v>
      </c>
      <c r="E275" s="71"/>
      <c r="F275" s="87">
        <v>8</v>
      </c>
      <c r="G275" s="88">
        <f>G229</f>
        <v>0.3</v>
      </c>
      <c r="H275" s="89">
        <f>G275</f>
        <v>0.3</v>
      </c>
      <c r="I275" s="88">
        <f>I270</f>
        <v>0.375</v>
      </c>
      <c r="J275" s="88">
        <f>-ROUND(F275*G275*H275*I275,2)</f>
        <v>-0.27</v>
      </c>
      <c r="K275" s="43" t="s">
        <v>49</v>
      </c>
      <c r="L275" s="103"/>
      <c r="M275" s="103"/>
    </row>
    <row r="276" spans="1:24" ht="11.25" customHeight="1">
      <c r="E276" s="71"/>
      <c r="F276" s="87">
        <v>3</v>
      </c>
      <c r="G276" s="88">
        <f>G230</f>
        <v>0.375</v>
      </c>
      <c r="H276" s="89">
        <v>0.25</v>
      </c>
      <c r="I276" s="88">
        <f>I275</f>
        <v>0.375</v>
      </c>
      <c r="J276" s="88">
        <f>-ROUND(F276*G276*H276*I276,2)</f>
        <v>-0.11</v>
      </c>
      <c r="K276" s="43" t="s">
        <v>49</v>
      </c>
      <c r="L276" s="103"/>
      <c r="M276" s="103"/>
    </row>
    <row r="277" spans="1:24" ht="11.25" customHeight="1">
      <c r="E277" s="71"/>
      <c r="F277" s="87"/>
      <c r="G277" s="88"/>
      <c r="H277" s="89"/>
      <c r="I277" s="90" t="s">
        <v>1810</v>
      </c>
      <c r="J277" s="90" t="e">
        <f>SUM(J274:J276)</f>
        <v>#REF!</v>
      </c>
      <c r="K277" s="61" t="s">
        <v>49</v>
      </c>
      <c r="L277" s="103"/>
      <c r="M277" s="103"/>
    </row>
    <row r="278" spans="1:24" s="61" customFormat="1" ht="12.75">
      <c r="A278" s="72" t="s">
        <v>480</v>
      </c>
      <c r="B278" s="61" t="s">
        <v>1839</v>
      </c>
      <c r="C278" s="107"/>
      <c r="D278" s="107"/>
      <c r="E278" s="71"/>
      <c r="F278" s="96"/>
      <c r="G278" s="90"/>
      <c r="H278" s="97"/>
      <c r="I278" s="90"/>
      <c r="J278" s="90"/>
      <c r="L278" s="103"/>
      <c r="M278" s="103"/>
    </row>
    <row r="279" spans="1:24" ht="12.75">
      <c r="B279" s="43" t="s">
        <v>1840</v>
      </c>
      <c r="E279" s="71"/>
      <c r="F279" s="87">
        <v>1</v>
      </c>
      <c r="G279" s="88" t="e">
        <f>#REF!</f>
        <v>#REF!</v>
      </c>
      <c r="H279" s="89" t="e">
        <f>#REF!</f>
        <v>#REF!</v>
      </c>
      <c r="I279" s="88" t="e">
        <f>#REF!</f>
        <v>#REF!</v>
      </c>
      <c r="J279" s="88" t="e">
        <f>ROUND(F279*G279*H279*I279,2)</f>
        <v>#REF!</v>
      </c>
      <c r="K279" s="43" t="s">
        <v>49</v>
      </c>
      <c r="L279" s="103"/>
      <c r="M279" s="103"/>
      <c r="O279" s="104"/>
      <c r="P279" s="104"/>
      <c r="Q279" s="104"/>
      <c r="R279" s="104"/>
    </row>
    <row r="280" spans="1:24" ht="12.75">
      <c r="E280" s="71"/>
      <c r="F280" s="87"/>
      <c r="G280" s="88"/>
      <c r="H280" s="89"/>
      <c r="I280" s="88"/>
      <c r="J280" s="88"/>
      <c r="K280" s="43"/>
      <c r="L280" s="103"/>
      <c r="M280" s="103"/>
      <c r="O280" s="104"/>
      <c r="P280" s="104"/>
      <c r="Q280" s="104"/>
      <c r="R280" s="104"/>
    </row>
    <row r="281" spans="1:24" ht="12.75">
      <c r="E281" s="71"/>
      <c r="F281" s="87"/>
      <c r="G281" s="88"/>
      <c r="H281" s="89"/>
      <c r="I281" s="88"/>
      <c r="J281" s="88"/>
      <c r="K281" s="43"/>
      <c r="L281" s="103"/>
      <c r="M281" s="103"/>
      <c r="O281" s="104"/>
      <c r="P281" s="104"/>
      <c r="Q281" s="104"/>
      <c r="R281" s="104"/>
    </row>
    <row r="282" spans="1:24" ht="12.75">
      <c r="E282" s="71"/>
      <c r="F282" s="87"/>
      <c r="G282" s="88"/>
      <c r="H282" s="89"/>
      <c r="I282" s="88"/>
      <c r="J282" s="88"/>
      <c r="K282" s="43"/>
      <c r="L282" s="103"/>
      <c r="M282" s="103"/>
      <c r="O282" s="104"/>
      <c r="P282" s="104"/>
      <c r="Q282" s="104"/>
      <c r="R282" s="104"/>
    </row>
    <row r="283" spans="1:24" ht="12.75">
      <c r="E283" s="71"/>
      <c r="F283" s="87"/>
      <c r="G283" s="88"/>
      <c r="H283" s="89"/>
      <c r="I283" s="90" t="s">
        <v>928</v>
      </c>
      <c r="J283" s="90" t="e">
        <f>SUM(J279:J279)</f>
        <v>#REF!</v>
      </c>
      <c r="K283" s="43" t="s">
        <v>49</v>
      </c>
      <c r="L283" s="103"/>
      <c r="M283" s="103"/>
      <c r="O283" s="104"/>
      <c r="P283" s="104"/>
      <c r="Q283" s="104"/>
      <c r="R283" s="104"/>
    </row>
    <row r="284" spans="1:24" ht="12.75">
      <c r="C284" s="89"/>
      <c r="D284" s="89"/>
      <c r="E284" s="72"/>
      <c r="F284" s="87"/>
      <c r="G284" s="89"/>
      <c r="H284" s="89"/>
      <c r="I284" s="90" t="s">
        <v>1623</v>
      </c>
      <c r="J284" s="90" t="e">
        <f>J283</f>
        <v>#REF!</v>
      </c>
      <c r="K284" s="61" t="s">
        <v>49</v>
      </c>
      <c r="L284" s="103"/>
      <c r="M284" s="103"/>
      <c r="O284" s="114"/>
      <c r="P284" s="104"/>
      <c r="Q284" s="104"/>
      <c r="R284" s="104"/>
    </row>
    <row r="285" spans="1:24" s="11" customFormat="1" ht="12.75" customHeight="1">
      <c r="A285" s="98"/>
      <c r="C285" s="99"/>
      <c r="D285" s="101"/>
      <c r="E285" s="101"/>
      <c r="F285" s="100"/>
      <c r="G285" s="115"/>
      <c r="H285" s="115"/>
      <c r="I285" s="99" t="s">
        <v>1841</v>
      </c>
      <c r="J285" s="3" t="e">
        <f>(J208+J224+J232+J248+J257+J277+J284)-0.85</f>
        <v>#REF!</v>
      </c>
      <c r="K285" s="61" t="s">
        <v>49</v>
      </c>
      <c r="L285" s="102"/>
      <c r="M285" s="102"/>
      <c r="N285" s="103"/>
    </row>
    <row r="286" spans="1:24" s="11" customFormat="1" ht="12.75" customHeight="1">
      <c r="A286" s="98"/>
      <c r="C286" s="99" t="s">
        <v>379</v>
      </c>
      <c r="D286" s="3604" t="e">
        <f>J285</f>
        <v>#REF!</v>
      </c>
      <c r="E286" s="3604"/>
      <c r="F286" s="100" t="s">
        <v>1842</v>
      </c>
      <c r="G286" s="3605">
        <v>5542</v>
      </c>
      <c r="H286" s="3605"/>
      <c r="J286" s="101" t="s">
        <v>1843</v>
      </c>
      <c r="K286" s="3606" t="e">
        <f>ROUND(D286*G286,0)</f>
        <v>#REF!</v>
      </c>
      <c r="L286" s="3606"/>
      <c r="M286" s="102"/>
    </row>
    <row r="287" spans="1:24" ht="51" customHeight="1">
      <c r="A287" s="72">
        <v>6</v>
      </c>
      <c r="B287" s="3603" t="s">
        <v>1595</v>
      </c>
      <c r="C287" s="3603"/>
      <c r="D287" s="3603"/>
      <c r="E287" s="71" t="s">
        <v>486</v>
      </c>
      <c r="F287" s="88"/>
      <c r="H287" s="66"/>
      <c r="I287" s="74"/>
      <c r="J287" s="74"/>
    </row>
    <row r="288" spans="1:24" ht="12.75" customHeight="1">
      <c r="A288" s="72" t="s">
        <v>627</v>
      </c>
      <c r="B288" s="43" t="s">
        <v>1824</v>
      </c>
      <c r="C288" s="89"/>
      <c r="D288" s="89"/>
      <c r="E288" s="3620" t="e">
        <f>J208</f>
        <v>#REF!</v>
      </c>
      <c r="F288" s="3620"/>
      <c r="G288" s="88" t="s">
        <v>1844</v>
      </c>
      <c r="H288" s="89">
        <v>1</v>
      </c>
      <c r="I288" s="88" t="s">
        <v>1845</v>
      </c>
      <c r="J288" s="88" t="e">
        <f>ROUND(E288*H288,2)</f>
        <v>#REF!</v>
      </c>
      <c r="K288" s="43" t="s">
        <v>247</v>
      </c>
      <c r="L288" s="103"/>
      <c r="M288" s="103"/>
    </row>
    <row r="289" spans="1:24" ht="12.75" customHeight="1">
      <c r="A289" s="72" t="s">
        <v>628</v>
      </c>
      <c r="B289" s="43" t="s">
        <v>1846</v>
      </c>
      <c r="C289" s="89"/>
      <c r="D289" s="89"/>
      <c r="E289" s="3620">
        <f>J224</f>
        <v>7.25</v>
      </c>
      <c r="F289" s="3620"/>
      <c r="G289" s="88" t="s">
        <v>1844</v>
      </c>
      <c r="H289" s="89">
        <v>1</v>
      </c>
      <c r="I289" s="88" t="s">
        <v>1845</v>
      </c>
      <c r="J289" s="88">
        <f t="shared" ref="J289:J294" si="38">ROUND(E289*H289,2)</f>
        <v>7.25</v>
      </c>
      <c r="K289" s="43" t="s">
        <v>247</v>
      </c>
      <c r="L289" s="103"/>
      <c r="M289" s="103"/>
      <c r="O289" s="11"/>
      <c r="P289" s="11"/>
      <c r="Q289" s="11"/>
      <c r="R289" s="11"/>
      <c r="S289" s="11"/>
      <c r="T289" s="11"/>
      <c r="U289" s="11"/>
      <c r="V289" s="11"/>
      <c r="W289" s="11"/>
      <c r="X289" s="11"/>
    </row>
    <row r="290" spans="1:24" ht="12.75" customHeight="1">
      <c r="A290" s="72" t="s">
        <v>629</v>
      </c>
      <c r="B290" s="43" t="s">
        <v>1829</v>
      </c>
      <c r="C290" s="89"/>
      <c r="D290" s="89"/>
      <c r="E290" s="3620" t="e">
        <f>J232</f>
        <v>#REF!</v>
      </c>
      <c r="F290" s="3620"/>
      <c r="G290" s="88" t="s">
        <v>1844</v>
      </c>
      <c r="H290" s="89">
        <v>1</v>
      </c>
      <c r="I290" s="88" t="s">
        <v>1845</v>
      </c>
      <c r="J290" s="88" t="e">
        <f t="shared" si="38"/>
        <v>#REF!</v>
      </c>
      <c r="K290" s="43" t="s">
        <v>247</v>
      </c>
      <c r="L290" s="103"/>
      <c r="M290" s="103"/>
    </row>
    <row r="291" spans="1:24" ht="12.75" customHeight="1">
      <c r="A291" s="72" t="s">
        <v>1847</v>
      </c>
      <c r="B291" s="43" t="s">
        <v>1848</v>
      </c>
      <c r="C291" s="89"/>
      <c r="D291" s="89"/>
      <c r="E291" s="3620" t="e">
        <f>J248</f>
        <v>#REF!</v>
      </c>
      <c r="F291" s="3620"/>
      <c r="G291" s="88" t="s">
        <v>1844</v>
      </c>
      <c r="H291" s="89">
        <v>1</v>
      </c>
      <c r="I291" s="88" t="s">
        <v>1845</v>
      </c>
      <c r="J291" s="88" t="e">
        <f t="shared" si="38"/>
        <v>#REF!</v>
      </c>
      <c r="K291" s="43" t="s">
        <v>247</v>
      </c>
      <c r="L291" s="103"/>
      <c r="M291" s="103"/>
    </row>
    <row r="292" spans="1:24" ht="12.75" customHeight="1">
      <c r="A292" s="72" t="s">
        <v>1849</v>
      </c>
      <c r="B292" s="43" t="s">
        <v>1850</v>
      </c>
      <c r="C292" s="89"/>
      <c r="D292" s="89"/>
      <c r="E292" s="3620" t="e">
        <f>J277</f>
        <v>#REF!</v>
      </c>
      <c r="F292" s="3620"/>
      <c r="G292" s="88" t="s">
        <v>1844</v>
      </c>
      <c r="H292" s="89">
        <v>1</v>
      </c>
      <c r="I292" s="88" t="s">
        <v>1845</v>
      </c>
      <c r="J292" s="88" t="e">
        <f t="shared" si="38"/>
        <v>#REF!</v>
      </c>
      <c r="K292" s="43" t="s">
        <v>247</v>
      </c>
      <c r="L292" s="103"/>
      <c r="M292" s="103"/>
    </row>
    <row r="293" spans="1:24" ht="12.75" customHeight="1">
      <c r="A293" s="72" t="s">
        <v>1851</v>
      </c>
      <c r="B293" s="43" t="s">
        <v>477</v>
      </c>
      <c r="C293" s="89"/>
      <c r="D293" s="89"/>
      <c r="E293" s="3620" t="e">
        <f>J284</f>
        <v>#REF!</v>
      </c>
      <c r="F293" s="3620"/>
      <c r="G293" s="88" t="s">
        <v>1844</v>
      </c>
      <c r="H293" s="89">
        <v>0.9</v>
      </c>
      <c r="I293" s="88" t="s">
        <v>1845</v>
      </c>
      <c r="J293" s="88" t="e">
        <f t="shared" si="38"/>
        <v>#REF!</v>
      </c>
      <c r="K293" s="43" t="s">
        <v>247</v>
      </c>
      <c r="L293" s="103"/>
      <c r="M293" s="103"/>
    </row>
    <row r="294" spans="1:24" ht="12.75" customHeight="1">
      <c r="A294" s="72" t="s">
        <v>1852</v>
      </c>
      <c r="B294" s="43" t="s">
        <v>481</v>
      </c>
      <c r="C294" s="89"/>
      <c r="D294" s="89"/>
      <c r="E294" s="3620" t="e">
        <f>J257</f>
        <v>#REF!</v>
      </c>
      <c r="F294" s="3620"/>
      <c r="G294" s="88" t="s">
        <v>1844</v>
      </c>
      <c r="H294" s="89">
        <v>0.75</v>
      </c>
      <c r="I294" s="88" t="s">
        <v>1853</v>
      </c>
      <c r="J294" s="88" t="e">
        <f t="shared" si="38"/>
        <v>#REF!</v>
      </c>
      <c r="K294" s="43" t="s">
        <v>247</v>
      </c>
      <c r="L294" s="103"/>
      <c r="M294" s="103"/>
    </row>
    <row r="295" spans="1:24" ht="12.75" customHeight="1">
      <c r="C295" s="89"/>
      <c r="D295" s="89"/>
      <c r="E295" s="71"/>
      <c r="F295" s="87"/>
      <c r="G295" s="88"/>
      <c r="H295" s="89"/>
      <c r="I295" s="90" t="s">
        <v>928</v>
      </c>
      <c r="J295" s="2" t="e">
        <f>SUM(J288:J294)-1</f>
        <v>#REF!</v>
      </c>
      <c r="K295" s="61" t="s">
        <v>247</v>
      </c>
      <c r="L295" s="103"/>
      <c r="M295" s="103"/>
      <c r="N295" s="57"/>
    </row>
    <row r="296" spans="1:24" s="11" customFormat="1" ht="12.75" customHeight="1">
      <c r="A296" s="98"/>
      <c r="C296" s="99" t="s">
        <v>379</v>
      </c>
      <c r="D296" s="3604" t="e">
        <f>ROUND(J295,2)</f>
        <v>#REF!</v>
      </c>
      <c r="E296" s="3604"/>
      <c r="F296" s="100" t="s">
        <v>1854</v>
      </c>
      <c r="G296" s="3605">
        <v>5690.1</v>
      </c>
      <c r="H296" s="3605"/>
      <c r="J296" s="101" t="s">
        <v>1855</v>
      </c>
      <c r="K296" s="3606" t="e">
        <f>ROUND(D296*G296,0)</f>
        <v>#REF!</v>
      </c>
      <c r="L296" s="3606"/>
      <c r="M296" s="102"/>
    </row>
    <row r="297" spans="1:24" s="11" customFormat="1" ht="12.75" customHeight="1">
      <c r="A297" s="98"/>
      <c r="C297" s="99"/>
      <c r="D297" s="101"/>
      <c r="E297" s="101"/>
      <c r="F297" s="100"/>
      <c r="G297" s="115"/>
      <c r="H297" s="115"/>
      <c r="J297" s="101"/>
      <c r="K297" s="102"/>
      <c r="L297" s="102"/>
      <c r="M297" s="102"/>
    </row>
    <row r="298" spans="1:24" s="11" customFormat="1" ht="25.5" customHeight="1">
      <c r="A298" s="98">
        <v>7</v>
      </c>
      <c r="B298" s="3603" t="s">
        <v>456</v>
      </c>
      <c r="C298" s="3603"/>
      <c r="D298" s="3603"/>
      <c r="E298" s="101"/>
      <c r="F298" s="100"/>
      <c r="G298" s="115"/>
      <c r="H298" s="115"/>
      <c r="J298" s="101"/>
      <c r="K298" s="102"/>
      <c r="L298" s="102"/>
      <c r="M298" s="102"/>
    </row>
    <row r="299" spans="1:24" s="11" customFormat="1" ht="12.75" customHeight="1">
      <c r="A299" s="72" t="s">
        <v>1794</v>
      </c>
      <c r="B299" s="3618" t="s">
        <v>1856</v>
      </c>
      <c r="C299" s="3618"/>
      <c r="D299" s="3618"/>
      <c r="E299" s="71" t="s">
        <v>381</v>
      </c>
      <c r="F299" s="88"/>
      <c r="G299" s="43"/>
      <c r="H299" s="63"/>
      <c r="I299" s="74"/>
      <c r="J299" s="74"/>
      <c r="K299" s="61"/>
      <c r="L299" s="43"/>
      <c r="M299" s="43"/>
    </row>
    <row r="300" spans="1:24" s="11" customFormat="1" ht="12.75" customHeight="1">
      <c r="A300" s="72"/>
      <c r="B300" s="43" t="s">
        <v>1825</v>
      </c>
      <c r="C300" s="43"/>
      <c r="D300" s="43"/>
      <c r="E300" s="116">
        <f>F227</f>
        <v>8</v>
      </c>
      <c r="F300" s="87">
        <v>4</v>
      </c>
      <c r="G300" s="88">
        <f>G205</f>
        <v>1.2</v>
      </c>
      <c r="H300" s="89"/>
      <c r="I300" s="88" t="e">
        <f>I205</f>
        <v>#REF!</v>
      </c>
      <c r="J300" s="88" t="e">
        <f>ROUND(E300*F300*G300*I300,2)</f>
        <v>#REF!</v>
      </c>
      <c r="K300" s="43" t="s">
        <v>92</v>
      </c>
      <c r="L300" s="103"/>
      <c r="M300" s="103"/>
      <c r="N300" s="87"/>
    </row>
    <row r="301" spans="1:24" s="11" customFormat="1" ht="12.75" customHeight="1">
      <c r="A301" s="72"/>
      <c r="B301" s="43" t="s">
        <v>1857</v>
      </c>
      <c r="C301" s="43"/>
      <c r="D301" s="43"/>
      <c r="E301" s="116">
        <f>F229</f>
        <v>8</v>
      </c>
      <c r="F301" s="87">
        <v>4</v>
      </c>
      <c r="G301" s="88" t="s">
        <v>1858</v>
      </c>
      <c r="H301" s="89"/>
      <c r="I301" s="88" t="e">
        <f>#REF!</f>
        <v>#REF!</v>
      </c>
      <c r="J301" s="95" t="e">
        <f>ROUND(F301*(0.4+1.05)/2*I301,2)</f>
        <v>#REF!</v>
      </c>
      <c r="K301" s="43" t="s">
        <v>92</v>
      </c>
      <c r="L301" s="103"/>
      <c r="M301" s="103"/>
      <c r="N301" s="87"/>
    </row>
    <row r="302" spans="1:24" s="11" customFormat="1" ht="12.75" customHeight="1">
      <c r="A302" s="72"/>
      <c r="B302" s="43"/>
      <c r="C302" s="43"/>
      <c r="D302" s="43"/>
      <c r="E302" s="71"/>
      <c r="F302" s="87"/>
      <c r="G302" s="88"/>
      <c r="H302" s="89"/>
      <c r="I302" s="90" t="s">
        <v>928</v>
      </c>
      <c r="J302" s="90" t="e">
        <f>SUM(J300:J301)</f>
        <v>#REF!</v>
      </c>
      <c r="K302" s="61" t="s">
        <v>92</v>
      </c>
      <c r="L302" s="103"/>
      <c r="M302" s="103"/>
      <c r="N302" s="87"/>
    </row>
    <row r="303" spans="1:24" s="11" customFormat="1" ht="12.75" customHeight="1">
      <c r="A303" s="72"/>
      <c r="B303" s="43"/>
      <c r="C303" s="43"/>
      <c r="D303" s="43"/>
      <c r="E303" s="71"/>
      <c r="F303" s="87"/>
      <c r="G303" s="88"/>
      <c r="H303" s="89"/>
      <c r="I303" s="90" t="s">
        <v>1623</v>
      </c>
      <c r="J303" s="90" t="e">
        <f>J302</f>
        <v>#REF!</v>
      </c>
      <c r="K303" s="61" t="s">
        <v>92</v>
      </c>
      <c r="L303" s="103"/>
      <c r="M303" s="103"/>
    </row>
    <row r="304" spans="1:24" s="11" customFormat="1" ht="12.75" customHeight="1">
      <c r="A304" s="98"/>
      <c r="C304" s="99" t="s">
        <v>379</v>
      </c>
      <c r="D304" s="3604"/>
      <c r="E304" s="3604"/>
      <c r="F304" s="100" t="s">
        <v>1859</v>
      </c>
      <c r="G304" s="3605">
        <v>86.8</v>
      </c>
      <c r="H304" s="3605"/>
      <c r="J304" s="101" t="s">
        <v>1860</v>
      </c>
      <c r="K304" s="3606">
        <f>ROUND(D304*G304,0)</f>
        <v>0</v>
      </c>
      <c r="L304" s="3606"/>
      <c r="M304" s="102"/>
    </row>
    <row r="305" spans="1:14" s="11" customFormat="1" ht="11.25" customHeight="1">
      <c r="A305" s="72"/>
      <c r="B305" s="3619" t="s">
        <v>1861</v>
      </c>
      <c r="C305" s="3603"/>
      <c r="D305" s="3603"/>
      <c r="E305" s="71" t="s">
        <v>381</v>
      </c>
      <c r="F305" s="88"/>
      <c r="G305" s="43"/>
      <c r="H305" s="63"/>
      <c r="I305" s="74"/>
      <c r="J305" s="74"/>
      <c r="K305" s="61"/>
      <c r="L305" s="43"/>
      <c r="M305" s="43"/>
    </row>
    <row r="306" spans="1:14" s="11" customFormat="1" ht="11.25" customHeight="1">
      <c r="A306" s="72"/>
      <c r="B306" s="57" t="str">
        <f>N8</f>
        <v>Hall</v>
      </c>
      <c r="C306" s="43" t="s">
        <v>1538</v>
      </c>
      <c r="D306" s="43"/>
      <c r="E306" s="71"/>
      <c r="F306" s="87">
        <f>F114</f>
        <v>1</v>
      </c>
      <c r="G306" s="87">
        <v>2</v>
      </c>
      <c r="H306" s="89" t="e">
        <f>#REF!+#REF!</f>
        <v>#REF!</v>
      </c>
      <c r="I306" s="88">
        <f>I211</f>
        <v>0.375</v>
      </c>
      <c r="J306" s="88" t="e">
        <f t="shared" ref="J306:J314" si="39">ROUND(F306*G306*H306*I306,2)</f>
        <v>#REF!</v>
      </c>
      <c r="K306" s="43" t="s">
        <v>92</v>
      </c>
      <c r="L306" s="43"/>
      <c r="M306" s="43"/>
      <c r="N306" s="87"/>
    </row>
    <row r="307" spans="1:14" s="11" customFormat="1" ht="11.25" customHeight="1">
      <c r="A307" s="72"/>
      <c r="B307" s="57" t="str">
        <f t="shared" ref="B307:B312" si="40">N9</f>
        <v>Kitchen</v>
      </c>
      <c r="C307" s="43" t="s">
        <v>1538</v>
      </c>
      <c r="D307" s="43"/>
      <c r="E307" s="71"/>
      <c r="F307" s="87">
        <f t="shared" ref="F307:F312" si="41">F115</f>
        <v>1</v>
      </c>
      <c r="G307" s="87">
        <v>2</v>
      </c>
      <c r="H307" s="89" t="e">
        <f>#REF!+#REF!</f>
        <v>#REF!</v>
      </c>
      <c r="I307" s="88">
        <f t="shared" ref="I307:I314" si="42">I306</f>
        <v>0.375</v>
      </c>
      <c r="J307" s="88" t="e">
        <f t="shared" si="39"/>
        <v>#REF!</v>
      </c>
      <c r="K307" s="43" t="s">
        <v>92</v>
      </c>
      <c r="L307" s="43"/>
      <c r="M307" s="43"/>
      <c r="N307" s="87"/>
    </row>
    <row r="308" spans="1:14" s="11" customFormat="1" ht="11.25" customHeight="1">
      <c r="A308" s="72"/>
      <c r="B308" s="57" t="str">
        <f t="shared" si="40"/>
        <v>Store</v>
      </c>
      <c r="C308" s="43" t="s">
        <v>1538</v>
      </c>
      <c r="D308" s="43"/>
      <c r="E308" s="71"/>
      <c r="F308" s="87">
        <f t="shared" si="41"/>
        <v>2</v>
      </c>
      <c r="G308" s="87">
        <v>2</v>
      </c>
      <c r="H308" s="89" t="e">
        <f>#REF!+#REF!</f>
        <v>#REF!</v>
      </c>
      <c r="I308" s="88">
        <f t="shared" si="42"/>
        <v>0.375</v>
      </c>
      <c r="J308" s="88" t="e">
        <f t="shared" si="39"/>
        <v>#REF!</v>
      </c>
      <c r="K308" s="43" t="s">
        <v>92</v>
      </c>
      <c r="L308" s="43"/>
      <c r="M308" s="43"/>
      <c r="N308" s="87"/>
    </row>
    <row r="309" spans="1:14" s="11" customFormat="1" ht="11.25" customHeight="1">
      <c r="A309" s="72"/>
      <c r="B309" s="57" t="str">
        <f t="shared" si="40"/>
        <v>Verandah</v>
      </c>
      <c r="C309" s="43" t="s">
        <v>1538</v>
      </c>
      <c r="D309" s="43"/>
      <c r="E309" s="71"/>
      <c r="F309" s="87">
        <f t="shared" si="41"/>
        <v>1</v>
      </c>
      <c r="G309" s="87">
        <v>2</v>
      </c>
      <c r="H309" s="89" t="e">
        <f>#REF!+#REF!</f>
        <v>#REF!</v>
      </c>
      <c r="I309" s="88">
        <f t="shared" si="42"/>
        <v>0.375</v>
      </c>
      <c r="J309" s="88" t="e">
        <f t="shared" si="39"/>
        <v>#REF!</v>
      </c>
      <c r="K309" s="43" t="s">
        <v>92</v>
      </c>
      <c r="L309" s="43"/>
      <c r="M309" s="43"/>
      <c r="N309" s="87"/>
    </row>
    <row r="310" spans="1:14" s="11" customFormat="1" ht="11.25" customHeight="1">
      <c r="A310" s="72"/>
      <c r="B310" s="57" t="str">
        <f t="shared" si="40"/>
        <v>Toilet-1</v>
      </c>
      <c r="C310" s="43" t="s">
        <v>1538</v>
      </c>
      <c r="D310" s="43"/>
      <c r="E310" s="71"/>
      <c r="F310" s="87">
        <f t="shared" si="41"/>
        <v>0.5</v>
      </c>
      <c r="G310" s="87">
        <v>2</v>
      </c>
      <c r="H310" s="89" t="e">
        <f>#REF!+#REF!</f>
        <v>#REF!</v>
      </c>
      <c r="I310" s="88">
        <f t="shared" si="42"/>
        <v>0.375</v>
      </c>
      <c r="J310" s="88" t="e">
        <f t="shared" si="39"/>
        <v>#REF!</v>
      </c>
      <c r="K310" s="43" t="s">
        <v>92</v>
      </c>
      <c r="L310" s="43"/>
      <c r="M310" s="43"/>
      <c r="N310" s="87"/>
    </row>
    <row r="311" spans="1:14" s="11" customFormat="1" ht="11.25" customHeight="1">
      <c r="A311" s="72"/>
      <c r="B311" s="57" t="str">
        <f t="shared" si="40"/>
        <v>Toilet-2</v>
      </c>
      <c r="C311" s="43" t="s">
        <v>1538</v>
      </c>
      <c r="D311" s="43"/>
      <c r="E311" s="71"/>
      <c r="F311" s="87">
        <f t="shared" si="41"/>
        <v>0.5</v>
      </c>
      <c r="G311" s="87">
        <v>2</v>
      </c>
      <c r="H311" s="89" t="e">
        <f>#REF!+#REF!</f>
        <v>#REF!</v>
      </c>
      <c r="I311" s="88">
        <f t="shared" si="42"/>
        <v>0.375</v>
      </c>
      <c r="J311" s="88" t="e">
        <f t="shared" si="39"/>
        <v>#REF!</v>
      </c>
      <c r="K311" s="43" t="s">
        <v>92</v>
      </c>
      <c r="L311" s="43"/>
      <c r="M311" s="43"/>
      <c r="N311" s="87"/>
    </row>
    <row r="312" spans="1:14" s="11" customFormat="1" ht="11.25" customHeight="1">
      <c r="A312" s="72"/>
      <c r="B312" s="57" t="str">
        <f t="shared" si="40"/>
        <v>WP</v>
      </c>
      <c r="C312" s="43" t="s">
        <v>1538</v>
      </c>
      <c r="D312" s="43"/>
      <c r="E312" s="71"/>
      <c r="F312" s="87">
        <f t="shared" si="41"/>
        <v>0</v>
      </c>
      <c r="G312" s="87">
        <v>2</v>
      </c>
      <c r="H312" s="89" t="e">
        <f>#REF!+#REF!</f>
        <v>#REF!</v>
      </c>
      <c r="I312" s="88">
        <f t="shared" si="42"/>
        <v>0.375</v>
      </c>
      <c r="J312" s="88" t="e">
        <f t="shared" si="39"/>
        <v>#REF!</v>
      </c>
      <c r="K312" s="43" t="s">
        <v>92</v>
      </c>
      <c r="L312" s="43"/>
      <c r="M312" s="43"/>
      <c r="N312" s="87"/>
    </row>
    <row r="313" spans="1:14" s="11" customFormat="1" ht="11.25" customHeight="1">
      <c r="A313" s="72"/>
      <c r="B313" s="43" t="s">
        <v>1862</v>
      </c>
      <c r="C313" s="43"/>
      <c r="D313" s="43"/>
      <c r="E313" s="71"/>
      <c r="F313" s="87">
        <v>1</v>
      </c>
      <c r="G313" s="87">
        <v>2</v>
      </c>
      <c r="H313" s="89">
        <f>'DRAWING HALL'!BW48</f>
        <v>0</v>
      </c>
      <c r="I313" s="88">
        <f>I309</f>
        <v>0.375</v>
      </c>
      <c r="J313" s="88">
        <f t="shared" si="39"/>
        <v>0</v>
      </c>
      <c r="K313" s="43" t="s">
        <v>92</v>
      </c>
      <c r="L313" s="43"/>
      <c r="M313" s="43"/>
      <c r="N313" s="87"/>
    </row>
    <row r="314" spans="1:14" s="11" customFormat="1" ht="11.25" customHeight="1">
      <c r="A314" s="72"/>
      <c r="B314" s="43"/>
      <c r="C314" s="43"/>
      <c r="D314" s="43"/>
      <c r="E314" s="71"/>
      <c r="F314" s="87">
        <v>1</v>
      </c>
      <c r="G314" s="87">
        <v>2</v>
      </c>
      <c r="H314" s="89">
        <f>'DRAWING HALL'!ES93</f>
        <v>0</v>
      </c>
      <c r="I314" s="88">
        <f t="shared" si="42"/>
        <v>0.375</v>
      </c>
      <c r="J314" s="88">
        <f t="shared" si="39"/>
        <v>0</v>
      </c>
      <c r="K314" s="43" t="s">
        <v>92</v>
      </c>
      <c r="L314" s="43"/>
      <c r="M314" s="43"/>
      <c r="N314" s="87"/>
    </row>
    <row r="315" spans="1:14" s="11" customFormat="1" ht="11.25" customHeight="1">
      <c r="A315" s="72"/>
      <c r="B315" s="43"/>
      <c r="C315" s="43"/>
      <c r="D315" s="43"/>
      <c r="E315" s="71"/>
      <c r="F315" s="87"/>
      <c r="G315" s="88"/>
      <c r="H315" s="89"/>
      <c r="I315" s="90" t="s">
        <v>928</v>
      </c>
      <c r="J315" s="90" t="e">
        <f>SUM(J306:J314)</f>
        <v>#REF!</v>
      </c>
      <c r="K315" s="43" t="s">
        <v>92</v>
      </c>
      <c r="L315" s="43"/>
      <c r="M315" s="43"/>
    </row>
    <row r="316" spans="1:14" s="11" customFormat="1" ht="11.25" customHeight="1">
      <c r="A316" s="72"/>
      <c r="B316" s="105"/>
      <c r="C316" s="43"/>
      <c r="D316" s="43"/>
      <c r="E316" s="71"/>
      <c r="F316" s="87"/>
      <c r="G316" s="88"/>
      <c r="H316" s="89"/>
      <c r="I316" s="90" t="s">
        <v>1623</v>
      </c>
      <c r="J316" s="90" t="e">
        <f>J315</f>
        <v>#REF!</v>
      </c>
      <c r="K316" s="61" t="s">
        <v>92</v>
      </c>
      <c r="L316" s="103"/>
      <c r="M316" s="103"/>
      <c r="N316" s="103"/>
    </row>
    <row r="317" spans="1:14" s="11" customFormat="1" ht="11.25" customHeight="1">
      <c r="A317" s="72"/>
      <c r="B317" s="105"/>
      <c r="C317" s="43"/>
      <c r="D317" s="43"/>
      <c r="E317" s="71"/>
      <c r="F317" s="87"/>
      <c r="G317" s="88"/>
      <c r="H317" s="89"/>
      <c r="I317" s="90"/>
      <c r="J317" s="90" t="e">
        <f>J303+J316</f>
        <v>#REF!</v>
      </c>
      <c r="K317" s="61" t="s">
        <v>92</v>
      </c>
      <c r="L317" s="103"/>
      <c r="M317" s="103"/>
      <c r="N317" s="103"/>
    </row>
    <row r="318" spans="1:14" s="11" customFormat="1" ht="12.75" customHeight="1">
      <c r="A318" s="98"/>
      <c r="C318" s="99" t="s">
        <v>379</v>
      </c>
      <c r="D318" s="3604" t="e">
        <f>J317</f>
        <v>#REF!</v>
      </c>
      <c r="E318" s="3604"/>
      <c r="F318" s="100" t="s">
        <v>1863</v>
      </c>
      <c r="G318" s="3605">
        <v>84.5</v>
      </c>
      <c r="H318" s="3605"/>
      <c r="J318" s="101" t="s">
        <v>1860</v>
      </c>
      <c r="K318" s="3606" t="e">
        <f>ROUND(D318*G318,0)</f>
        <v>#REF!</v>
      </c>
      <c r="L318" s="3606"/>
      <c r="M318" s="102"/>
    </row>
    <row r="319" spans="1:14" s="11" customFormat="1" ht="10.5" customHeight="1">
      <c r="A319" s="72" t="s">
        <v>470</v>
      </c>
      <c r="B319" s="3619" t="s">
        <v>1829</v>
      </c>
      <c r="C319" s="3603"/>
      <c r="D319" s="3603"/>
      <c r="E319" s="71" t="s">
        <v>381</v>
      </c>
      <c r="F319" s="88"/>
      <c r="G319" s="43"/>
      <c r="H319" s="63"/>
      <c r="I319" s="74"/>
      <c r="J319" s="74"/>
      <c r="K319" s="61"/>
      <c r="L319" s="43"/>
      <c r="M319" s="43"/>
    </row>
    <row r="320" spans="1:14" s="11" customFormat="1" ht="10.5" customHeight="1">
      <c r="A320" s="72"/>
      <c r="B320" s="43" t="s">
        <v>1830</v>
      </c>
      <c r="C320" s="43"/>
      <c r="D320" s="43"/>
      <c r="E320" s="71"/>
      <c r="F320" s="87">
        <f>F229</f>
        <v>8</v>
      </c>
      <c r="G320" s="87">
        <v>4</v>
      </c>
      <c r="H320" s="89" t="e">
        <f>G227</f>
        <v>#REF!</v>
      </c>
      <c r="I320" s="88" t="e">
        <f>I227</f>
        <v>#REF!</v>
      </c>
      <c r="J320" s="88" t="e">
        <f>ROUND(F320*G320*H320*I320,2)</f>
        <v>#REF!</v>
      </c>
      <c r="K320" s="61" t="s">
        <v>92</v>
      </c>
      <c r="L320" s="43"/>
      <c r="M320" s="43"/>
      <c r="N320" s="87"/>
    </row>
    <row r="321" spans="1:14" s="11" customFormat="1" ht="10.5" customHeight="1">
      <c r="A321" s="72"/>
      <c r="B321" s="43" t="s">
        <v>1864</v>
      </c>
      <c r="C321" s="43"/>
      <c r="D321" s="43"/>
      <c r="E321" s="71"/>
      <c r="F321" s="87">
        <f>F320</f>
        <v>8</v>
      </c>
      <c r="G321" s="87">
        <f>G320</f>
        <v>4</v>
      </c>
      <c r="H321" s="89" t="e">
        <f>#REF!</f>
        <v>#REF!</v>
      </c>
      <c r="I321" s="88" t="e">
        <f>I229</f>
        <v>#REF!</v>
      </c>
      <c r="J321" s="95" t="e">
        <f>ROUND(F321*G321*H321*I321,2)</f>
        <v>#REF!</v>
      </c>
      <c r="K321" s="61" t="s">
        <v>92</v>
      </c>
      <c r="L321" s="43"/>
      <c r="M321" s="43"/>
      <c r="N321" s="87"/>
    </row>
    <row r="322" spans="1:14" s="11" customFormat="1" ht="10.5" customHeight="1">
      <c r="A322" s="72"/>
      <c r="B322" s="43"/>
      <c r="C322" s="43"/>
      <c r="D322" s="43"/>
      <c r="E322" s="71"/>
      <c r="F322" s="87"/>
      <c r="G322" s="88"/>
      <c r="H322" s="89"/>
      <c r="I322" s="90" t="s">
        <v>928</v>
      </c>
      <c r="J322" s="90" t="e">
        <f>SUM(J320:J321)</f>
        <v>#REF!</v>
      </c>
      <c r="K322" s="61" t="s">
        <v>92</v>
      </c>
      <c r="L322" s="43"/>
      <c r="M322" s="43"/>
    </row>
    <row r="323" spans="1:14" s="11" customFormat="1" ht="10.5" customHeight="1">
      <c r="A323" s="72"/>
      <c r="B323" s="43"/>
      <c r="C323" s="43"/>
      <c r="D323" s="43"/>
      <c r="E323" s="71"/>
      <c r="F323" s="87"/>
      <c r="G323" s="88"/>
      <c r="H323" s="89"/>
      <c r="I323" s="90" t="s">
        <v>1623</v>
      </c>
      <c r="J323" s="90" t="e">
        <f>J322</f>
        <v>#REF!</v>
      </c>
      <c r="K323" s="61" t="s">
        <v>92</v>
      </c>
      <c r="L323" s="43"/>
      <c r="M323" s="43"/>
    </row>
    <row r="324" spans="1:14" s="11" customFormat="1" ht="10.5" customHeight="1">
      <c r="A324" s="98"/>
      <c r="C324" s="99" t="s">
        <v>379</v>
      </c>
      <c r="D324" s="3604" t="e">
        <f>ROUND(J323,2)</f>
        <v>#REF!</v>
      </c>
      <c r="E324" s="3604"/>
      <c r="F324" s="100" t="s">
        <v>1859</v>
      </c>
      <c r="G324" s="3605">
        <v>490.5</v>
      </c>
      <c r="H324" s="3605"/>
      <c r="J324" s="101" t="s">
        <v>1860</v>
      </c>
      <c r="K324" s="3606" t="e">
        <f>ROUND(D324*G324,0)</f>
        <v>#REF!</v>
      </c>
      <c r="L324" s="3606"/>
      <c r="M324" s="102"/>
    </row>
    <row r="325" spans="1:14" s="11" customFormat="1" ht="10.5" customHeight="1">
      <c r="A325" s="72" t="s">
        <v>472</v>
      </c>
      <c r="B325" s="3619" t="s">
        <v>1865</v>
      </c>
      <c r="C325" s="3603"/>
      <c r="D325" s="3603"/>
      <c r="E325" s="71" t="s">
        <v>390</v>
      </c>
      <c r="F325" s="88"/>
      <c r="G325" s="43"/>
      <c r="H325" s="63"/>
      <c r="I325" s="74"/>
      <c r="J325" s="74"/>
      <c r="K325" s="61"/>
      <c r="L325" s="43"/>
      <c r="M325" s="43"/>
    </row>
    <row r="326" spans="1:14" s="11" customFormat="1" ht="10.5" customHeight="1">
      <c r="A326" s="72"/>
      <c r="B326" s="57" t="str">
        <f>B306</f>
        <v>Hall</v>
      </c>
      <c r="C326" s="43"/>
      <c r="D326" s="43"/>
      <c r="E326" s="71"/>
      <c r="F326" s="87">
        <f>F306</f>
        <v>1</v>
      </c>
      <c r="G326" s="87">
        <f>G306</f>
        <v>2</v>
      </c>
      <c r="H326" s="89" t="e">
        <f>H306</f>
        <v>#REF!</v>
      </c>
      <c r="I326" s="88" t="e">
        <f>I246</f>
        <v>#REF!</v>
      </c>
      <c r="J326" s="88" t="e">
        <f t="shared" ref="J326:J332" si="43">ROUND(F326*G326*H326*I326,2)</f>
        <v>#REF!</v>
      </c>
      <c r="K326" s="43" t="s">
        <v>92</v>
      </c>
      <c r="L326" s="103"/>
      <c r="M326" s="103"/>
    </row>
    <row r="327" spans="1:14" s="11" customFormat="1" ht="10.5" customHeight="1">
      <c r="A327" s="72"/>
      <c r="B327" s="57" t="str">
        <f t="shared" ref="B327:B332" si="44">B307</f>
        <v>Kitchen</v>
      </c>
      <c r="C327" s="43"/>
      <c r="D327" s="43"/>
      <c r="E327" s="71"/>
      <c r="F327" s="87">
        <f t="shared" ref="F327:H334" si="45">F307</f>
        <v>1</v>
      </c>
      <c r="G327" s="87">
        <f t="shared" si="45"/>
        <v>2</v>
      </c>
      <c r="H327" s="89" t="e">
        <f t="shared" si="45"/>
        <v>#REF!</v>
      </c>
      <c r="I327" s="88" t="e">
        <f>I326</f>
        <v>#REF!</v>
      </c>
      <c r="J327" s="88" t="e">
        <f t="shared" si="43"/>
        <v>#REF!</v>
      </c>
      <c r="K327" s="43" t="s">
        <v>92</v>
      </c>
      <c r="L327" s="103"/>
      <c r="M327" s="103"/>
    </row>
    <row r="328" spans="1:14" s="11" customFormat="1" ht="10.5" customHeight="1">
      <c r="A328" s="72"/>
      <c r="B328" s="57" t="str">
        <f t="shared" si="44"/>
        <v>Store</v>
      </c>
      <c r="C328" s="43"/>
      <c r="D328" s="43"/>
      <c r="E328" s="71"/>
      <c r="F328" s="87">
        <f t="shared" si="45"/>
        <v>2</v>
      </c>
      <c r="G328" s="87">
        <f t="shared" si="45"/>
        <v>2</v>
      </c>
      <c r="H328" s="89" t="e">
        <f t="shared" si="45"/>
        <v>#REF!</v>
      </c>
      <c r="I328" s="88" t="e">
        <f t="shared" ref="I328:I334" si="46">I327</f>
        <v>#REF!</v>
      </c>
      <c r="J328" s="88" t="e">
        <f t="shared" si="43"/>
        <v>#REF!</v>
      </c>
      <c r="K328" s="43" t="s">
        <v>92</v>
      </c>
      <c r="L328" s="103"/>
      <c r="M328" s="103"/>
    </row>
    <row r="329" spans="1:14" s="11" customFormat="1" ht="10.5" customHeight="1">
      <c r="A329" s="72"/>
      <c r="B329" s="57" t="str">
        <f t="shared" si="44"/>
        <v>Verandah</v>
      </c>
      <c r="C329" s="43"/>
      <c r="D329" s="43"/>
      <c r="E329" s="71"/>
      <c r="F329" s="87">
        <f t="shared" si="45"/>
        <v>1</v>
      </c>
      <c r="G329" s="87">
        <f t="shared" si="45"/>
        <v>2</v>
      </c>
      <c r="H329" s="89" t="e">
        <f t="shared" si="45"/>
        <v>#REF!</v>
      </c>
      <c r="I329" s="88" t="e">
        <f t="shared" si="46"/>
        <v>#REF!</v>
      </c>
      <c r="J329" s="88" t="e">
        <f t="shared" si="43"/>
        <v>#REF!</v>
      </c>
      <c r="K329" s="43" t="s">
        <v>92</v>
      </c>
      <c r="L329" s="103"/>
      <c r="M329" s="103"/>
    </row>
    <row r="330" spans="1:14" s="11" customFormat="1" ht="10.5" customHeight="1">
      <c r="A330" s="72"/>
      <c r="B330" s="57" t="str">
        <f t="shared" si="44"/>
        <v>Toilet-1</v>
      </c>
      <c r="C330" s="43"/>
      <c r="D330" s="43"/>
      <c r="E330" s="71"/>
      <c r="F330" s="87">
        <f t="shared" si="45"/>
        <v>0.5</v>
      </c>
      <c r="G330" s="87">
        <f t="shared" si="45"/>
        <v>2</v>
      </c>
      <c r="H330" s="89" t="e">
        <f t="shared" si="45"/>
        <v>#REF!</v>
      </c>
      <c r="I330" s="88" t="e">
        <f t="shared" si="46"/>
        <v>#REF!</v>
      </c>
      <c r="J330" s="88" t="e">
        <f t="shared" si="43"/>
        <v>#REF!</v>
      </c>
      <c r="K330" s="43" t="s">
        <v>92</v>
      </c>
      <c r="L330" s="103"/>
      <c r="M330" s="103"/>
    </row>
    <row r="331" spans="1:14" s="11" customFormat="1" ht="10.5" customHeight="1">
      <c r="A331" s="72"/>
      <c r="B331" s="57" t="str">
        <f t="shared" si="44"/>
        <v>Toilet-2</v>
      </c>
      <c r="C331" s="43"/>
      <c r="D331" s="43"/>
      <c r="E331" s="71"/>
      <c r="F331" s="87">
        <f t="shared" si="45"/>
        <v>0.5</v>
      </c>
      <c r="G331" s="87">
        <f t="shared" si="45"/>
        <v>2</v>
      </c>
      <c r="H331" s="89" t="e">
        <f t="shared" si="45"/>
        <v>#REF!</v>
      </c>
      <c r="I331" s="88" t="e">
        <f t="shared" si="46"/>
        <v>#REF!</v>
      </c>
      <c r="J331" s="88" t="e">
        <f t="shared" si="43"/>
        <v>#REF!</v>
      </c>
      <c r="K331" s="43" t="s">
        <v>92</v>
      </c>
      <c r="L331" s="103"/>
      <c r="M331" s="103"/>
    </row>
    <row r="332" spans="1:14" s="11" customFormat="1" ht="10.5" customHeight="1">
      <c r="A332" s="72"/>
      <c r="B332" s="57" t="str">
        <f t="shared" si="44"/>
        <v>WP</v>
      </c>
      <c r="C332" s="43"/>
      <c r="D332" s="43"/>
      <c r="E332" s="71"/>
      <c r="F332" s="87">
        <f t="shared" si="45"/>
        <v>0</v>
      </c>
      <c r="G332" s="87">
        <f t="shared" si="45"/>
        <v>2</v>
      </c>
      <c r="H332" s="89" t="e">
        <f t="shared" si="45"/>
        <v>#REF!</v>
      </c>
      <c r="I332" s="88" t="e">
        <f t="shared" si="46"/>
        <v>#REF!</v>
      </c>
      <c r="J332" s="88" t="e">
        <f t="shared" si="43"/>
        <v>#REF!</v>
      </c>
      <c r="K332" s="43" t="s">
        <v>92</v>
      </c>
      <c r="L332" s="103"/>
      <c r="M332" s="103"/>
    </row>
    <row r="333" spans="1:14" s="11" customFormat="1" ht="10.5" customHeight="1">
      <c r="A333" s="72"/>
      <c r="B333" s="57" t="str">
        <f>B313</f>
        <v>Out side of building</v>
      </c>
      <c r="C333" s="91"/>
      <c r="D333" s="43"/>
      <c r="E333" s="71"/>
      <c r="F333" s="87">
        <f t="shared" si="45"/>
        <v>1</v>
      </c>
      <c r="G333" s="87">
        <f t="shared" si="45"/>
        <v>2</v>
      </c>
      <c r="H333" s="89">
        <f t="shared" si="45"/>
        <v>0</v>
      </c>
      <c r="I333" s="88" t="e">
        <f>I329</f>
        <v>#REF!</v>
      </c>
      <c r="J333" s="88" t="e">
        <f>ROUND(F333*G333*H333*I333,2)</f>
        <v>#REF!</v>
      </c>
      <c r="K333" s="43" t="s">
        <v>92</v>
      </c>
      <c r="L333" s="103"/>
      <c r="M333" s="103"/>
    </row>
    <row r="334" spans="1:14" s="11" customFormat="1" ht="10.5" customHeight="1">
      <c r="A334" s="72"/>
      <c r="B334" s="57"/>
      <c r="C334" s="43"/>
      <c r="D334" s="43"/>
      <c r="E334" s="71"/>
      <c r="F334" s="87">
        <f t="shared" si="45"/>
        <v>1</v>
      </c>
      <c r="G334" s="87">
        <f t="shared" si="45"/>
        <v>2</v>
      </c>
      <c r="H334" s="89">
        <f t="shared" si="45"/>
        <v>0</v>
      </c>
      <c r="I334" s="88" t="e">
        <f t="shared" si="46"/>
        <v>#REF!</v>
      </c>
      <c r="J334" s="88" t="e">
        <f>ROUND(F334*G334*H334*I334,2)</f>
        <v>#REF!</v>
      </c>
      <c r="K334" s="43" t="s">
        <v>92</v>
      </c>
      <c r="L334" s="103"/>
      <c r="M334" s="103"/>
    </row>
    <row r="335" spans="1:14" s="11" customFormat="1" ht="10.5" customHeight="1">
      <c r="A335" s="72"/>
      <c r="B335" s="43"/>
      <c r="C335" s="43"/>
      <c r="D335" s="43"/>
      <c r="E335" s="71"/>
      <c r="F335" s="87"/>
      <c r="G335" s="88"/>
      <c r="H335" s="89"/>
      <c r="I335" s="90" t="s">
        <v>928</v>
      </c>
      <c r="J335" s="90" t="e">
        <f>SUM(J326:J334)</f>
        <v>#REF!</v>
      </c>
      <c r="K335" s="43" t="s">
        <v>92</v>
      </c>
      <c r="L335" s="103"/>
      <c r="M335" s="103"/>
    </row>
    <row r="336" spans="1:14" s="11" customFormat="1" ht="10.5" customHeight="1">
      <c r="A336" s="72"/>
      <c r="B336" s="105"/>
      <c r="C336" s="43"/>
      <c r="D336" s="43"/>
      <c r="E336" s="71"/>
      <c r="F336" s="87"/>
      <c r="G336" s="88"/>
      <c r="H336" s="89"/>
      <c r="I336" s="90" t="s">
        <v>1623</v>
      </c>
      <c r="J336" s="90" t="e">
        <f>J335</f>
        <v>#REF!</v>
      </c>
      <c r="K336" s="61" t="s">
        <v>92</v>
      </c>
      <c r="L336" s="103" t="s">
        <v>201</v>
      </c>
      <c r="M336" s="103"/>
    </row>
    <row r="337" spans="1:14" s="11" customFormat="1" ht="10.5" customHeight="1">
      <c r="A337" s="72" t="s">
        <v>627</v>
      </c>
      <c r="B337" s="61" t="s">
        <v>1866</v>
      </c>
      <c r="C337" s="43"/>
      <c r="D337" s="43"/>
      <c r="E337" s="71"/>
      <c r="F337" s="43"/>
      <c r="G337" s="43"/>
      <c r="H337" s="66"/>
      <c r="I337" s="43"/>
      <c r="J337" s="43"/>
      <c r="K337" s="61"/>
      <c r="L337" s="103"/>
      <c r="M337" s="103"/>
    </row>
    <row r="338" spans="1:14" s="11" customFormat="1" ht="10.5" customHeight="1">
      <c r="A338" s="72"/>
      <c r="B338" s="43" t="e">
        <f>#REF!</f>
        <v>#REF!</v>
      </c>
      <c r="C338" s="43"/>
      <c r="D338" s="43"/>
      <c r="E338" s="71"/>
      <c r="F338" s="87" t="e">
        <f>#REF!</f>
        <v>#REF!</v>
      </c>
      <c r="G338" s="88" t="e">
        <f>#REF!</f>
        <v>#REF!</v>
      </c>
      <c r="H338" s="89" t="e">
        <f>H246</f>
        <v>#REF!</v>
      </c>
      <c r="I338" s="43"/>
      <c r="J338" s="88" t="e">
        <f t="shared" ref="J338:J345" si="47">ROUND(F338*G338*H338,2)</f>
        <v>#REF!</v>
      </c>
      <c r="K338" s="43" t="s">
        <v>92</v>
      </c>
      <c r="L338" s="103"/>
      <c r="M338" s="103"/>
    </row>
    <row r="339" spans="1:14" s="11" customFormat="1" ht="10.5" customHeight="1">
      <c r="A339" s="72"/>
      <c r="B339" s="43" t="e">
        <f>#REF!</f>
        <v>#REF!</v>
      </c>
      <c r="C339" s="43"/>
      <c r="D339" s="43"/>
      <c r="E339" s="71"/>
      <c r="F339" s="87" t="e">
        <f>#REF!</f>
        <v>#REF!</v>
      </c>
      <c r="G339" s="88" t="e">
        <f>#REF!</f>
        <v>#REF!</v>
      </c>
      <c r="H339" s="89" t="e">
        <f>H338</f>
        <v>#REF!</v>
      </c>
      <c r="I339" s="88"/>
      <c r="J339" s="88" t="e">
        <f t="shared" si="47"/>
        <v>#REF!</v>
      </c>
      <c r="K339" s="43" t="s">
        <v>92</v>
      </c>
      <c r="L339" s="103"/>
      <c r="M339" s="103"/>
      <c r="N339" s="87"/>
    </row>
    <row r="340" spans="1:14" s="11" customFormat="1" ht="10.5" customHeight="1">
      <c r="A340" s="72"/>
      <c r="B340" s="43" t="e">
        <f>#REF!</f>
        <v>#REF!</v>
      </c>
      <c r="C340" s="43"/>
      <c r="D340" s="43"/>
      <c r="E340" s="71"/>
      <c r="F340" s="87" t="e">
        <f>#REF!</f>
        <v>#REF!</v>
      </c>
      <c r="G340" s="88" t="e">
        <f>#REF!</f>
        <v>#REF!</v>
      </c>
      <c r="H340" s="89" t="e">
        <f t="shared" ref="H340:H345" si="48">H339</f>
        <v>#REF!</v>
      </c>
      <c r="I340" s="88"/>
      <c r="J340" s="88" t="e">
        <f t="shared" si="47"/>
        <v>#REF!</v>
      </c>
      <c r="K340" s="43" t="s">
        <v>92</v>
      </c>
      <c r="L340" s="103"/>
      <c r="M340" s="103"/>
      <c r="N340" s="87"/>
    </row>
    <row r="341" spans="1:14" s="11" customFormat="1" ht="10.5" customHeight="1">
      <c r="A341" s="72"/>
      <c r="B341" s="43" t="e">
        <f>#REF!</f>
        <v>#REF!</v>
      </c>
      <c r="C341" s="43"/>
      <c r="D341" s="43"/>
      <c r="E341" s="71"/>
      <c r="F341" s="87" t="e">
        <f>#REF!</f>
        <v>#REF!</v>
      </c>
      <c r="G341" s="88" t="e">
        <f>#REF!</f>
        <v>#REF!</v>
      </c>
      <c r="H341" s="89" t="e">
        <f t="shared" si="48"/>
        <v>#REF!</v>
      </c>
      <c r="I341" s="88"/>
      <c r="J341" s="88" t="e">
        <f t="shared" si="47"/>
        <v>#REF!</v>
      </c>
      <c r="K341" s="43" t="s">
        <v>92</v>
      </c>
      <c r="L341" s="103"/>
      <c r="M341" s="103"/>
      <c r="N341" s="87"/>
    </row>
    <row r="342" spans="1:14" s="11" customFormat="1" ht="10.5" customHeight="1">
      <c r="A342" s="72"/>
      <c r="B342" s="43" t="e">
        <f>#REF!</f>
        <v>#REF!</v>
      </c>
      <c r="C342" s="43"/>
      <c r="D342" s="43"/>
      <c r="E342" s="71"/>
      <c r="F342" s="87" t="e">
        <f>#REF!</f>
        <v>#REF!</v>
      </c>
      <c r="G342" s="88" t="e">
        <f>#REF!</f>
        <v>#REF!</v>
      </c>
      <c r="H342" s="89" t="e">
        <f t="shared" si="48"/>
        <v>#REF!</v>
      </c>
      <c r="I342" s="88"/>
      <c r="J342" s="88" t="e">
        <f t="shared" si="47"/>
        <v>#REF!</v>
      </c>
      <c r="K342" s="43" t="s">
        <v>92</v>
      </c>
      <c r="L342" s="103"/>
      <c r="M342" s="103"/>
      <c r="N342" s="87"/>
    </row>
    <row r="343" spans="1:14" s="11" customFormat="1" ht="10.5" customHeight="1">
      <c r="A343" s="72"/>
      <c r="B343" s="43" t="e">
        <f>#REF!</f>
        <v>#REF!</v>
      </c>
      <c r="C343" s="43"/>
      <c r="D343" s="43"/>
      <c r="E343" s="71"/>
      <c r="F343" s="87" t="e">
        <f>#REF!</f>
        <v>#REF!</v>
      </c>
      <c r="G343" s="88" t="e">
        <f>#REF!</f>
        <v>#REF!</v>
      </c>
      <c r="H343" s="89" t="e">
        <f t="shared" si="48"/>
        <v>#REF!</v>
      </c>
      <c r="I343" s="88"/>
      <c r="J343" s="88" t="e">
        <f t="shared" si="47"/>
        <v>#REF!</v>
      </c>
      <c r="K343" s="43" t="s">
        <v>92</v>
      </c>
      <c r="L343" s="103"/>
      <c r="M343" s="103"/>
      <c r="N343" s="87"/>
    </row>
    <row r="344" spans="1:14" s="11" customFormat="1" ht="10.5" customHeight="1">
      <c r="A344" s="72"/>
      <c r="B344" s="43" t="e">
        <f>#REF!</f>
        <v>#REF!</v>
      </c>
      <c r="C344" s="43"/>
      <c r="D344" s="43"/>
      <c r="E344" s="71"/>
      <c r="F344" s="87" t="e">
        <f>#REF!</f>
        <v>#REF!</v>
      </c>
      <c r="G344" s="88" t="e">
        <f>#REF!</f>
        <v>#REF!</v>
      </c>
      <c r="H344" s="89" t="e">
        <f t="shared" si="48"/>
        <v>#REF!</v>
      </c>
      <c r="I344" s="88"/>
      <c r="J344" s="88" t="e">
        <f t="shared" si="47"/>
        <v>#REF!</v>
      </c>
      <c r="K344" s="43" t="s">
        <v>92</v>
      </c>
      <c r="L344" s="103"/>
      <c r="M344" s="103"/>
      <c r="N344" s="87"/>
    </row>
    <row r="345" spans="1:14" s="11" customFormat="1" ht="10.5" customHeight="1">
      <c r="A345" s="72"/>
      <c r="B345" s="43" t="e">
        <f>#REF!</f>
        <v>#REF!</v>
      </c>
      <c r="C345" s="43"/>
      <c r="D345" s="43"/>
      <c r="E345" s="71"/>
      <c r="F345" s="87" t="e">
        <f>#REF!</f>
        <v>#REF!</v>
      </c>
      <c r="G345" s="88" t="e">
        <f>#REF!</f>
        <v>#REF!</v>
      </c>
      <c r="H345" s="89" t="e">
        <f t="shared" si="48"/>
        <v>#REF!</v>
      </c>
      <c r="I345" s="88"/>
      <c r="J345" s="95" t="e">
        <f t="shared" si="47"/>
        <v>#REF!</v>
      </c>
      <c r="K345" s="43" t="s">
        <v>92</v>
      </c>
      <c r="L345" s="103"/>
      <c r="M345" s="103"/>
      <c r="N345" s="87"/>
    </row>
    <row r="346" spans="1:14" s="11" customFormat="1" ht="10.5" customHeight="1">
      <c r="A346" s="72"/>
      <c r="B346" s="43"/>
      <c r="C346" s="43"/>
      <c r="D346" s="43"/>
      <c r="E346" s="71"/>
      <c r="F346" s="87"/>
      <c r="G346" s="43"/>
      <c r="H346" s="66"/>
      <c r="I346" s="90" t="s">
        <v>928</v>
      </c>
      <c r="J346" s="90" t="e">
        <f>SUM(J338:J345)</f>
        <v>#REF!</v>
      </c>
      <c r="K346" s="43" t="s">
        <v>92</v>
      </c>
      <c r="L346" s="103"/>
      <c r="M346" s="103"/>
    </row>
    <row r="347" spans="1:14" s="11" customFormat="1" ht="10.5" customHeight="1">
      <c r="A347" s="72"/>
      <c r="B347" s="43"/>
      <c r="C347" s="43"/>
      <c r="D347" s="43"/>
      <c r="E347" s="71"/>
      <c r="F347" s="87"/>
      <c r="G347" s="43"/>
      <c r="H347" s="66"/>
      <c r="I347" s="90" t="s">
        <v>1623</v>
      </c>
      <c r="J347" s="90" t="e">
        <f>J346</f>
        <v>#REF!</v>
      </c>
      <c r="K347" s="61" t="s">
        <v>92</v>
      </c>
      <c r="L347" s="103" t="s">
        <v>220</v>
      </c>
      <c r="M347" s="103"/>
    </row>
    <row r="348" spans="1:14" s="11" customFormat="1" ht="10.5" customHeight="1">
      <c r="A348" s="72"/>
      <c r="B348" s="43"/>
      <c r="C348" s="43"/>
      <c r="D348" s="43"/>
      <c r="E348" s="71"/>
      <c r="F348" s="87"/>
      <c r="G348" s="43"/>
      <c r="H348" s="66"/>
      <c r="I348" s="90" t="s">
        <v>1292</v>
      </c>
      <c r="J348" s="90" t="e">
        <f>J336+J347</f>
        <v>#REF!</v>
      </c>
      <c r="K348" s="61" t="s">
        <v>92</v>
      </c>
      <c r="L348" s="103"/>
      <c r="M348" s="103"/>
      <c r="N348" s="103"/>
    </row>
    <row r="349" spans="1:14" s="11" customFormat="1" ht="10.5" customHeight="1">
      <c r="A349" s="98"/>
      <c r="C349" s="99" t="s">
        <v>379</v>
      </c>
      <c r="D349" s="3604"/>
      <c r="E349" s="3604"/>
      <c r="F349" s="100" t="s">
        <v>1859</v>
      </c>
      <c r="G349" s="3605">
        <v>209.3</v>
      </c>
      <c r="H349" s="3605"/>
      <c r="J349" s="101" t="s">
        <v>1867</v>
      </c>
      <c r="K349" s="3606">
        <f>ROUND(D349*G349,0)</f>
        <v>0</v>
      </c>
      <c r="L349" s="3606"/>
      <c r="M349" s="102"/>
    </row>
    <row r="350" spans="1:14" s="11" customFormat="1" ht="10.5" customHeight="1">
      <c r="A350" s="72"/>
      <c r="B350" s="3619" t="s">
        <v>1868</v>
      </c>
      <c r="C350" s="3619"/>
      <c r="D350" s="3619"/>
      <c r="E350" s="71" t="s">
        <v>381</v>
      </c>
      <c r="F350" s="88"/>
      <c r="G350" s="43"/>
      <c r="H350" s="63"/>
      <c r="I350" s="74"/>
      <c r="J350" s="74"/>
      <c r="K350" s="61"/>
      <c r="L350" s="43"/>
      <c r="M350" s="43"/>
    </row>
    <row r="351" spans="1:14" s="11" customFormat="1" ht="10.5" customHeight="1">
      <c r="A351" s="72"/>
      <c r="B351" s="57" t="str">
        <f>B326</f>
        <v>Hall</v>
      </c>
      <c r="C351" s="43"/>
      <c r="D351" s="43"/>
      <c r="E351" s="71"/>
      <c r="F351" s="87">
        <f>F326</f>
        <v>1</v>
      </c>
      <c r="G351" s="87">
        <f>G326</f>
        <v>2</v>
      </c>
      <c r="H351" s="89" t="e">
        <f>H326</f>
        <v>#REF!</v>
      </c>
      <c r="I351" s="88">
        <f>I260</f>
        <v>0.375</v>
      </c>
      <c r="J351" s="88" t="e">
        <f t="shared" ref="J351:J359" si="49">ROUND(F351*G351*H351*I351,2)</f>
        <v>#REF!</v>
      </c>
      <c r="K351" s="43" t="s">
        <v>92</v>
      </c>
      <c r="L351" s="103"/>
      <c r="M351" s="103"/>
    </row>
    <row r="352" spans="1:14" s="11" customFormat="1" ht="10.5" customHeight="1">
      <c r="A352" s="72"/>
      <c r="B352" s="57" t="str">
        <f t="shared" ref="B352:B357" si="50">B327</f>
        <v>Kitchen</v>
      </c>
      <c r="C352" s="43"/>
      <c r="D352" s="43"/>
      <c r="E352" s="71"/>
      <c r="F352" s="87">
        <f t="shared" ref="F352:H359" si="51">F327</f>
        <v>1</v>
      </c>
      <c r="G352" s="87">
        <f>G327</f>
        <v>2</v>
      </c>
      <c r="H352" s="89" t="e">
        <f t="shared" ref="H352:H357" si="52">H327</f>
        <v>#REF!</v>
      </c>
      <c r="I352" s="88">
        <f t="shared" ref="I352:I359" si="53">I351</f>
        <v>0.375</v>
      </c>
      <c r="J352" s="88" t="e">
        <f t="shared" si="49"/>
        <v>#REF!</v>
      </c>
      <c r="K352" s="43" t="s">
        <v>92</v>
      </c>
      <c r="L352" s="103"/>
      <c r="M352" s="103"/>
    </row>
    <row r="353" spans="1:14" s="11" customFormat="1" ht="10.5" customHeight="1">
      <c r="A353" s="72"/>
      <c r="B353" s="57" t="str">
        <f t="shared" si="50"/>
        <v>Store</v>
      </c>
      <c r="C353" s="43"/>
      <c r="D353" s="43"/>
      <c r="E353" s="71"/>
      <c r="F353" s="87">
        <f t="shared" si="51"/>
        <v>2</v>
      </c>
      <c r="G353" s="87">
        <f t="shared" si="51"/>
        <v>2</v>
      </c>
      <c r="H353" s="89" t="e">
        <f t="shared" si="52"/>
        <v>#REF!</v>
      </c>
      <c r="I353" s="88">
        <f t="shared" si="53"/>
        <v>0.375</v>
      </c>
      <c r="J353" s="88" t="e">
        <f t="shared" si="49"/>
        <v>#REF!</v>
      </c>
      <c r="K353" s="43" t="s">
        <v>92</v>
      </c>
      <c r="L353" s="103"/>
      <c r="M353" s="103"/>
    </row>
    <row r="354" spans="1:14" s="11" customFormat="1" ht="10.5" customHeight="1">
      <c r="A354" s="72"/>
      <c r="B354" s="57" t="str">
        <f t="shared" si="50"/>
        <v>Verandah</v>
      </c>
      <c r="C354" s="43"/>
      <c r="D354" s="43"/>
      <c r="E354" s="71"/>
      <c r="F354" s="87">
        <f t="shared" si="51"/>
        <v>1</v>
      </c>
      <c r="G354" s="87">
        <f t="shared" si="51"/>
        <v>2</v>
      </c>
      <c r="H354" s="89" t="e">
        <f t="shared" si="52"/>
        <v>#REF!</v>
      </c>
      <c r="I354" s="88">
        <f t="shared" si="53"/>
        <v>0.375</v>
      </c>
      <c r="J354" s="88" t="e">
        <f t="shared" si="49"/>
        <v>#REF!</v>
      </c>
      <c r="K354" s="43" t="s">
        <v>92</v>
      </c>
      <c r="L354" s="103"/>
      <c r="M354" s="103"/>
    </row>
    <row r="355" spans="1:14" s="11" customFormat="1" ht="10.5" customHeight="1">
      <c r="A355" s="72"/>
      <c r="B355" s="57" t="str">
        <f t="shared" si="50"/>
        <v>Toilet-1</v>
      </c>
      <c r="C355" s="43"/>
      <c r="D355" s="43"/>
      <c r="E355" s="71"/>
      <c r="F355" s="87">
        <f t="shared" si="51"/>
        <v>0.5</v>
      </c>
      <c r="G355" s="87">
        <f t="shared" si="51"/>
        <v>2</v>
      </c>
      <c r="H355" s="89" t="e">
        <f t="shared" si="52"/>
        <v>#REF!</v>
      </c>
      <c r="I355" s="88">
        <f t="shared" si="53"/>
        <v>0.375</v>
      </c>
      <c r="J355" s="88" t="e">
        <f>ROUND(F355*G355*H355*I355,2)</f>
        <v>#REF!</v>
      </c>
      <c r="K355" s="43" t="s">
        <v>92</v>
      </c>
      <c r="L355" s="103"/>
      <c r="M355" s="103"/>
    </row>
    <row r="356" spans="1:14" s="11" customFormat="1" ht="10.5" customHeight="1">
      <c r="A356" s="72"/>
      <c r="B356" s="57" t="str">
        <f t="shared" si="50"/>
        <v>Toilet-2</v>
      </c>
      <c r="C356" s="43"/>
      <c r="D356" s="43"/>
      <c r="E356" s="71"/>
      <c r="F356" s="87">
        <f t="shared" si="51"/>
        <v>0.5</v>
      </c>
      <c r="G356" s="87">
        <f t="shared" si="51"/>
        <v>2</v>
      </c>
      <c r="H356" s="89" t="e">
        <f t="shared" si="52"/>
        <v>#REF!</v>
      </c>
      <c r="I356" s="88">
        <f t="shared" si="53"/>
        <v>0.375</v>
      </c>
      <c r="J356" s="88" t="e">
        <f>ROUND(F356*G356*H356*I356,2)</f>
        <v>#REF!</v>
      </c>
      <c r="K356" s="43" t="s">
        <v>92</v>
      </c>
      <c r="L356" s="103"/>
      <c r="M356" s="103"/>
    </row>
    <row r="357" spans="1:14" s="11" customFormat="1" ht="10.5" customHeight="1">
      <c r="A357" s="72"/>
      <c r="B357" s="57" t="str">
        <f t="shared" si="50"/>
        <v>WP</v>
      </c>
      <c r="C357" s="43"/>
      <c r="D357" s="43"/>
      <c r="E357" s="71"/>
      <c r="F357" s="87">
        <f t="shared" si="51"/>
        <v>0</v>
      </c>
      <c r="G357" s="87">
        <f t="shared" si="51"/>
        <v>2</v>
      </c>
      <c r="H357" s="89" t="e">
        <f t="shared" si="52"/>
        <v>#REF!</v>
      </c>
      <c r="I357" s="88">
        <f t="shared" si="53"/>
        <v>0.375</v>
      </c>
      <c r="J357" s="88" t="e">
        <f>ROUND(F357*G357*H357*I357,2)</f>
        <v>#REF!</v>
      </c>
      <c r="K357" s="43" t="s">
        <v>92</v>
      </c>
      <c r="L357" s="103"/>
      <c r="M357" s="103"/>
    </row>
    <row r="358" spans="1:14" s="11" customFormat="1" ht="10.5" customHeight="1">
      <c r="A358" s="72"/>
      <c r="B358" s="57" t="str">
        <f>B313</f>
        <v>Out side of building</v>
      </c>
      <c r="C358" s="91"/>
      <c r="D358" s="43"/>
      <c r="E358" s="71"/>
      <c r="F358" s="87">
        <f t="shared" si="51"/>
        <v>1</v>
      </c>
      <c r="G358" s="87">
        <f t="shared" si="51"/>
        <v>2</v>
      </c>
      <c r="H358" s="89">
        <f t="shared" si="51"/>
        <v>0</v>
      </c>
      <c r="I358" s="88">
        <f>I354</f>
        <v>0.375</v>
      </c>
      <c r="J358" s="88">
        <f t="shared" si="49"/>
        <v>0</v>
      </c>
      <c r="K358" s="43" t="s">
        <v>92</v>
      </c>
      <c r="L358" s="103"/>
      <c r="M358" s="103"/>
    </row>
    <row r="359" spans="1:14" s="11" customFormat="1" ht="10.5" customHeight="1">
      <c r="A359" s="72"/>
      <c r="B359" s="57"/>
      <c r="C359" s="43"/>
      <c r="D359" s="43"/>
      <c r="E359" s="71"/>
      <c r="F359" s="87">
        <f t="shared" si="51"/>
        <v>1</v>
      </c>
      <c r="G359" s="87">
        <f t="shared" si="51"/>
        <v>2</v>
      </c>
      <c r="H359" s="89">
        <f t="shared" si="51"/>
        <v>0</v>
      </c>
      <c r="I359" s="88">
        <f t="shared" si="53"/>
        <v>0.375</v>
      </c>
      <c r="J359" s="88">
        <f t="shared" si="49"/>
        <v>0</v>
      </c>
      <c r="K359" s="43" t="s">
        <v>92</v>
      </c>
      <c r="L359" s="103"/>
      <c r="M359" s="103"/>
    </row>
    <row r="360" spans="1:14" s="11" customFormat="1" ht="10.5" customHeight="1">
      <c r="A360" s="72"/>
      <c r="B360" s="43"/>
      <c r="C360" s="43"/>
      <c r="D360" s="43"/>
      <c r="E360" s="71"/>
      <c r="F360" s="87"/>
      <c r="G360" s="88"/>
      <c r="H360" s="89"/>
      <c r="I360" s="90" t="s">
        <v>928</v>
      </c>
      <c r="J360" s="90" t="e">
        <f>SUM(J351:J359)</f>
        <v>#REF!</v>
      </c>
      <c r="K360" s="43" t="s">
        <v>92</v>
      </c>
      <c r="L360" s="103"/>
      <c r="M360" s="103"/>
    </row>
    <row r="361" spans="1:14" s="11" customFormat="1" ht="10.5" customHeight="1">
      <c r="A361" s="72"/>
      <c r="B361" s="105"/>
      <c r="C361" s="43"/>
      <c r="D361" s="43"/>
      <c r="E361" s="71"/>
      <c r="F361" s="87"/>
      <c r="G361" s="88"/>
      <c r="H361" s="89"/>
      <c r="I361" s="90" t="s">
        <v>1623</v>
      </c>
      <c r="J361" s="90" t="e">
        <f>J360</f>
        <v>#REF!</v>
      </c>
      <c r="K361" s="61" t="s">
        <v>92</v>
      </c>
      <c r="L361" s="103"/>
      <c r="M361" s="103"/>
    </row>
    <row r="362" spans="1:14" s="11" customFormat="1" ht="10.5" customHeight="1">
      <c r="A362" s="72"/>
      <c r="B362" s="105"/>
      <c r="C362" s="43"/>
      <c r="D362" s="43"/>
      <c r="E362" s="71"/>
      <c r="F362" s="87"/>
      <c r="G362" s="88"/>
      <c r="H362" s="89"/>
      <c r="I362" s="90"/>
      <c r="J362" s="90" t="e">
        <f>J348+J361</f>
        <v>#REF!</v>
      </c>
      <c r="K362" s="61" t="s">
        <v>92</v>
      </c>
      <c r="L362" s="103"/>
      <c r="M362" s="103"/>
    </row>
    <row r="363" spans="1:14" s="11" customFormat="1" ht="10.5" customHeight="1">
      <c r="A363" s="98"/>
      <c r="C363" s="99" t="s">
        <v>379</v>
      </c>
      <c r="D363" s="3604" t="e">
        <f>J362</f>
        <v>#REF!</v>
      </c>
      <c r="E363" s="3604"/>
      <c r="F363" s="100" t="s">
        <v>1859</v>
      </c>
      <c r="G363" s="3605">
        <v>206.9</v>
      </c>
      <c r="H363" s="3605"/>
      <c r="J363" s="101" t="s">
        <v>1860</v>
      </c>
      <c r="K363" s="3606" t="e">
        <f>ROUND(D363*G363,0)</f>
        <v>#REF!</v>
      </c>
      <c r="L363" s="3606"/>
      <c r="M363" s="102"/>
    </row>
    <row r="364" spans="1:14" s="11" customFormat="1" ht="10.5" customHeight="1">
      <c r="A364" s="72" t="s">
        <v>476</v>
      </c>
      <c r="B364" s="3619" t="s">
        <v>1835</v>
      </c>
      <c r="C364" s="3603"/>
      <c r="D364" s="3603"/>
      <c r="E364" s="71" t="s">
        <v>390</v>
      </c>
      <c r="F364" s="88"/>
      <c r="G364" s="43"/>
      <c r="H364" s="63"/>
      <c r="I364" s="74"/>
      <c r="J364" s="74"/>
      <c r="K364" s="61"/>
      <c r="L364" s="43"/>
      <c r="M364" s="43"/>
    </row>
    <row r="365" spans="1:14" s="11" customFormat="1" ht="10.5" customHeight="1">
      <c r="A365" s="72"/>
      <c r="B365" s="61" t="s">
        <v>1869</v>
      </c>
      <c r="C365" s="109"/>
      <c r="D365" s="109"/>
      <c r="E365" s="71"/>
      <c r="F365" s="88"/>
      <c r="G365" s="43"/>
      <c r="H365" s="66"/>
      <c r="I365" s="74"/>
      <c r="J365" s="74"/>
      <c r="K365" s="61"/>
      <c r="L365" s="43"/>
      <c r="M365" s="43"/>
    </row>
    <row r="366" spans="1:14" s="11" customFormat="1" ht="10.5" customHeight="1">
      <c r="A366" s="72"/>
      <c r="B366" s="43" t="s">
        <v>1870</v>
      </c>
      <c r="C366" s="89"/>
      <c r="D366" s="89"/>
      <c r="E366" s="71"/>
      <c r="F366" s="87"/>
      <c r="G366" s="88"/>
      <c r="H366" s="89"/>
      <c r="I366" s="88"/>
      <c r="J366" s="88" t="e">
        <f>J255</f>
        <v>#REF!</v>
      </c>
      <c r="K366" s="43" t="s">
        <v>92</v>
      </c>
      <c r="L366" s="103"/>
      <c r="M366" s="103"/>
    </row>
    <row r="367" spans="1:14" s="11" customFormat="1" ht="10.5" customHeight="1">
      <c r="A367" s="72"/>
      <c r="B367" s="43"/>
      <c r="C367" s="89"/>
      <c r="D367" s="89"/>
      <c r="E367" s="71"/>
      <c r="F367" s="87"/>
      <c r="G367" s="88"/>
      <c r="H367" s="89"/>
      <c r="I367" s="90" t="s">
        <v>928</v>
      </c>
      <c r="J367" s="90" t="e">
        <f>J366</f>
        <v>#REF!</v>
      </c>
      <c r="K367" s="61" t="s">
        <v>92</v>
      </c>
      <c r="L367" s="103"/>
      <c r="M367" s="103"/>
      <c r="N367" s="103"/>
    </row>
    <row r="368" spans="1:14" s="11" customFormat="1" ht="10.5" customHeight="1">
      <c r="A368" s="98"/>
      <c r="C368" s="99" t="s">
        <v>379</v>
      </c>
      <c r="D368" s="3604"/>
      <c r="E368" s="3604"/>
      <c r="F368" s="100" t="s">
        <v>1859</v>
      </c>
      <c r="G368" s="3605">
        <v>314.89999999999998</v>
      </c>
      <c r="H368" s="3605"/>
      <c r="J368" s="101" t="s">
        <v>1860</v>
      </c>
      <c r="K368" s="3606">
        <f>ROUND(D368*G368,0)</f>
        <v>0</v>
      </c>
      <c r="L368" s="3606"/>
      <c r="M368" s="102"/>
    </row>
    <row r="369" spans="1:24" s="11" customFormat="1" ht="10.5" customHeight="1">
      <c r="A369" s="72"/>
      <c r="B369" s="61" t="s">
        <v>1871</v>
      </c>
      <c r="C369" s="107"/>
      <c r="D369" s="107"/>
      <c r="E369" s="71"/>
      <c r="F369" s="96"/>
      <c r="G369" s="90"/>
      <c r="H369" s="97"/>
      <c r="I369" s="90"/>
      <c r="J369" s="90"/>
      <c r="K369" s="61"/>
      <c r="L369" s="103"/>
      <c r="M369" s="103"/>
    </row>
    <row r="370" spans="1:24" s="11" customFormat="1" ht="10.5" customHeight="1">
      <c r="A370" s="72"/>
      <c r="B370" s="117" t="str">
        <f>B351</f>
        <v>Hall</v>
      </c>
      <c r="C370" s="107"/>
      <c r="D370" s="107"/>
      <c r="E370" s="71"/>
      <c r="F370" s="87">
        <v>1</v>
      </c>
      <c r="G370" s="88" t="e">
        <f>#REF!</f>
        <v>#REF!</v>
      </c>
      <c r="H370" s="88" t="e">
        <f>#REF!</f>
        <v>#REF!</v>
      </c>
      <c r="I370" s="88"/>
      <c r="J370" s="88" t="e">
        <f>ROUND(F370*G370*H370,2)</f>
        <v>#REF!</v>
      </c>
      <c r="K370" s="43" t="s">
        <v>92</v>
      </c>
      <c r="L370" s="103"/>
      <c r="M370" s="103"/>
    </row>
    <row r="371" spans="1:24" s="11" customFormat="1" ht="10.5" customHeight="1">
      <c r="A371" s="72"/>
      <c r="B371" s="117" t="str">
        <f t="shared" ref="B371:B376" si="54">B352</f>
        <v>Kitchen</v>
      </c>
      <c r="C371" s="107"/>
      <c r="D371" s="107"/>
      <c r="E371" s="71"/>
      <c r="F371" s="87">
        <v>1</v>
      </c>
      <c r="G371" s="88" t="e">
        <f>#REF!</f>
        <v>#REF!</v>
      </c>
      <c r="H371" s="88" t="e">
        <f>#REF!</f>
        <v>#REF!</v>
      </c>
      <c r="I371" s="88"/>
      <c r="J371" s="88" t="e">
        <f t="shared" ref="J371:J376" si="55">ROUND(F371*G371*H371,2)</f>
        <v>#REF!</v>
      </c>
      <c r="K371" s="43" t="s">
        <v>92</v>
      </c>
      <c r="L371" s="103"/>
      <c r="M371" s="103"/>
    </row>
    <row r="372" spans="1:24" s="11" customFormat="1" ht="10.5" customHeight="1">
      <c r="A372" s="72"/>
      <c r="B372" s="117" t="str">
        <f t="shared" si="54"/>
        <v>Store</v>
      </c>
      <c r="C372" s="107"/>
      <c r="D372" s="107"/>
      <c r="E372" s="71"/>
      <c r="F372" s="87">
        <v>1</v>
      </c>
      <c r="G372" s="88" t="e">
        <f>#REF!</f>
        <v>#REF!</v>
      </c>
      <c r="H372" s="88" t="e">
        <f>#REF!</f>
        <v>#REF!</v>
      </c>
      <c r="I372" s="88"/>
      <c r="J372" s="88" t="e">
        <f t="shared" si="55"/>
        <v>#REF!</v>
      </c>
      <c r="K372" s="43" t="s">
        <v>92</v>
      </c>
      <c r="L372" s="103"/>
      <c r="M372" s="103"/>
    </row>
    <row r="373" spans="1:24" s="11" customFormat="1" ht="10.5" customHeight="1">
      <c r="A373" s="72"/>
      <c r="B373" s="117" t="str">
        <f t="shared" si="54"/>
        <v>Verandah</v>
      </c>
      <c r="C373" s="107"/>
      <c r="D373" s="107"/>
      <c r="E373" s="71"/>
      <c r="F373" s="87">
        <v>1</v>
      </c>
      <c r="G373" s="88" t="e">
        <f>#REF!</f>
        <v>#REF!</v>
      </c>
      <c r="H373" s="88" t="e">
        <f>#REF!</f>
        <v>#REF!</v>
      </c>
      <c r="I373" s="88"/>
      <c r="J373" s="88" t="e">
        <f t="shared" si="55"/>
        <v>#REF!</v>
      </c>
      <c r="K373" s="43" t="s">
        <v>92</v>
      </c>
      <c r="L373" s="103"/>
      <c r="M373" s="103"/>
    </row>
    <row r="374" spans="1:24" s="11" customFormat="1" ht="10.5" customHeight="1">
      <c r="A374" s="72"/>
      <c r="B374" s="117" t="str">
        <f t="shared" si="54"/>
        <v>Toilet-1</v>
      </c>
      <c r="C374" s="107"/>
      <c r="D374" s="107"/>
      <c r="E374" s="71"/>
      <c r="F374" s="87">
        <v>1</v>
      </c>
      <c r="G374" s="88" t="e">
        <f>#REF!</f>
        <v>#REF!</v>
      </c>
      <c r="H374" s="88" t="e">
        <f>#REF!</f>
        <v>#REF!</v>
      </c>
      <c r="I374" s="88"/>
      <c r="J374" s="88" t="e">
        <f t="shared" si="55"/>
        <v>#REF!</v>
      </c>
      <c r="K374" s="43" t="s">
        <v>92</v>
      </c>
      <c r="L374" s="103"/>
      <c r="M374" s="103"/>
    </row>
    <row r="375" spans="1:24" s="11" customFormat="1" ht="10.5" customHeight="1">
      <c r="A375" s="72"/>
      <c r="B375" s="117" t="str">
        <f t="shared" si="54"/>
        <v>Toilet-2</v>
      </c>
      <c r="C375" s="107"/>
      <c r="D375" s="107"/>
      <c r="E375" s="71"/>
      <c r="F375" s="87">
        <v>1</v>
      </c>
      <c r="G375" s="88" t="e">
        <f>#REF!</f>
        <v>#REF!</v>
      </c>
      <c r="H375" s="88" t="e">
        <f>#REF!</f>
        <v>#REF!</v>
      </c>
      <c r="I375" s="88"/>
      <c r="J375" s="88" t="e">
        <f t="shared" si="55"/>
        <v>#REF!</v>
      </c>
      <c r="K375" s="43" t="s">
        <v>92</v>
      </c>
      <c r="L375" s="103"/>
      <c r="M375" s="103"/>
    </row>
    <row r="376" spans="1:24" s="11" customFormat="1" ht="10.5" customHeight="1">
      <c r="A376" s="72"/>
      <c r="B376" s="117" t="str">
        <f t="shared" si="54"/>
        <v>WP</v>
      </c>
      <c r="C376" s="107"/>
      <c r="D376" s="107"/>
      <c r="E376" s="71"/>
      <c r="F376" s="87">
        <v>1</v>
      </c>
      <c r="G376" s="88" t="e">
        <f>#REF!</f>
        <v>#REF!</v>
      </c>
      <c r="H376" s="88" t="e">
        <f>#REF!</f>
        <v>#REF!</v>
      </c>
      <c r="I376" s="88"/>
      <c r="J376" s="88" t="e">
        <f t="shared" si="55"/>
        <v>#REF!</v>
      </c>
      <c r="K376" s="43" t="s">
        <v>92</v>
      </c>
      <c r="L376" s="103"/>
      <c r="M376" s="103"/>
    </row>
    <row r="377" spans="1:24" s="11" customFormat="1" ht="10.5" customHeight="1">
      <c r="A377" s="72"/>
      <c r="B377" s="117" t="s">
        <v>1872</v>
      </c>
      <c r="C377" s="107"/>
      <c r="D377" s="107"/>
      <c r="E377" s="71"/>
      <c r="F377" s="87">
        <v>2</v>
      </c>
      <c r="G377" s="88" t="e">
        <f>#REF!</f>
        <v>#REF!</v>
      </c>
      <c r="H377" s="88" t="e">
        <f>#REF!</f>
        <v>#REF!</v>
      </c>
      <c r="I377" s="88"/>
      <c r="J377" s="88" t="e">
        <f>ROUND(F377*G377*H377,2)</f>
        <v>#REF!</v>
      </c>
      <c r="K377" s="43" t="s">
        <v>92</v>
      </c>
      <c r="L377" s="103"/>
      <c r="M377" s="103"/>
    </row>
    <row r="378" spans="1:24" s="11" customFormat="1" ht="10.5" customHeight="1">
      <c r="A378" s="72"/>
      <c r="B378" s="117"/>
      <c r="C378" s="107"/>
      <c r="D378" s="107"/>
      <c r="E378" s="71"/>
      <c r="F378" s="87">
        <v>2</v>
      </c>
      <c r="G378" s="88" t="e">
        <f>#REF!</f>
        <v>#REF!</v>
      </c>
      <c r="H378" s="88" t="e">
        <f>H377</f>
        <v>#REF!</v>
      </c>
      <c r="I378" s="88"/>
      <c r="J378" s="88" t="e">
        <f>ROUND(F378*G378*H378,2)</f>
        <v>#REF!</v>
      </c>
      <c r="K378" s="43" t="s">
        <v>92</v>
      </c>
      <c r="L378" s="103"/>
      <c r="M378" s="103"/>
    </row>
    <row r="379" spans="1:24" s="11" customFormat="1" ht="10.5" customHeight="1">
      <c r="A379" s="72"/>
      <c r="B379" s="43"/>
      <c r="C379" s="89"/>
      <c r="D379" s="89"/>
      <c r="E379" s="72"/>
      <c r="F379" s="87"/>
      <c r="G379" s="88"/>
      <c r="H379" s="89"/>
      <c r="I379" s="90" t="s">
        <v>928</v>
      </c>
      <c r="J379" s="90" t="e">
        <f>SUM(J370:J378)</f>
        <v>#REF!</v>
      </c>
      <c r="K379" s="43" t="s">
        <v>92</v>
      </c>
      <c r="L379" s="103"/>
      <c r="M379" s="103"/>
    </row>
    <row r="380" spans="1:24" s="11" customFormat="1" ht="10.5" customHeight="1">
      <c r="A380" s="72"/>
      <c r="B380" s="43"/>
      <c r="C380" s="89"/>
      <c r="D380" s="89"/>
      <c r="E380" s="72"/>
      <c r="F380" s="87"/>
      <c r="G380" s="88"/>
      <c r="H380" s="89"/>
      <c r="I380" s="90" t="s">
        <v>1623</v>
      </c>
      <c r="J380" s="90" t="e">
        <f>J379</f>
        <v>#REF!</v>
      </c>
      <c r="K380" s="61" t="s">
        <v>92</v>
      </c>
      <c r="L380" s="103"/>
      <c r="M380" s="103"/>
      <c r="N380" s="103"/>
    </row>
    <row r="381" spans="1:24" s="11" customFormat="1" ht="10.5" customHeight="1">
      <c r="A381" s="72"/>
      <c r="B381" s="43"/>
      <c r="C381" s="89"/>
      <c r="D381" s="89"/>
      <c r="E381" s="72"/>
      <c r="F381" s="87"/>
      <c r="G381" s="88"/>
      <c r="H381" s="89"/>
      <c r="I381" s="90"/>
      <c r="J381" s="90" t="e">
        <f>J380+J367</f>
        <v>#REF!</v>
      </c>
      <c r="K381" s="61" t="s">
        <v>92</v>
      </c>
      <c r="L381" s="103"/>
      <c r="M381" s="103"/>
      <c r="N381" s="103"/>
    </row>
    <row r="382" spans="1:24" s="11" customFormat="1" ht="10.5" customHeight="1">
      <c r="A382" s="98"/>
      <c r="C382" s="99" t="s">
        <v>379</v>
      </c>
      <c r="D382" s="3604" t="e">
        <f>ROUND(J381,2)</f>
        <v>#REF!</v>
      </c>
      <c r="E382" s="3604"/>
      <c r="F382" s="100" t="s">
        <v>1859</v>
      </c>
      <c r="G382" s="3605">
        <v>316.60000000000002</v>
      </c>
      <c r="H382" s="3605"/>
      <c r="J382" s="101" t="s">
        <v>1860</v>
      </c>
      <c r="K382" s="3606" t="e">
        <f>ROUND(D382*G382,0)</f>
        <v>#REF!</v>
      </c>
      <c r="L382" s="3606"/>
      <c r="M382" s="102"/>
    </row>
    <row r="383" spans="1:24" ht="42" customHeight="1">
      <c r="A383" s="72">
        <v>8</v>
      </c>
      <c r="B383" s="2705" t="s">
        <v>1596</v>
      </c>
      <c r="C383" s="2705"/>
      <c r="D383" s="2705"/>
      <c r="E383" s="71" t="s">
        <v>381</v>
      </c>
      <c r="F383" s="88"/>
      <c r="H383" s="66"/>
      <c r="I383" s="74"/>
      <c r="J383" s="74"/>
    </row>
    <row r="384" spans="1:24" s="11" customFormat="1" ht="11.25" customHeight="1">
      <c r="A384" s="72" t="s">
        <v>627</v>
      </c>
      <c r="B384" s="61" t="s">
        <v>1798</v>
      </c>
      <c r="C384" s="43"/>
      <c r="D384" s="43"/>
      <c r="E384" s="71"/>
      <c r="F384" s="43"/>
      <c r="G384" s="43"/>
      <c r="H384" s="66"/>
      <c r="I384" s="43"/>
      <c r="J384" s="43"/>
      <c r="K384" s="61"/>
      <c r="L384" s="103"/>
      <c r="M384" s="103"/>
      <c r="O384" s="43"/>
      <c r="P384" s="43"/>
      <c r="Q384" s="43"/>
      <c r="R384" s="43"/>
      <c r="S384" s="43"/>
      <c r="T384" s="43"/>
      <c r="U384" s="43"/>
      <c r="V384" s="43"/>
      <c r="W384" s="43"/>
      <c r="X384" s="43"/>
    </row>
    <row r="385" spans="1:24" s="11" customFormat="1" ht="11.25" customHeight="1">
      <c r="A385" s="72"/>
      <c r="B385" s="43" t="str">
        <f>B211</f>
        <v>Long wall -1</v>
      </c>
      <c r="C385" s="43"/>
      <c r="D385" s="43"/>
      <c r="E385" s="71"/>
      <c r="F385" s="87">
        <f>C9</f>
        <v>2</v>
      </c>
      <c r="G385" s="88" t="e">
        <f>D9+H385</f>
        <v>#REF!</v>
      </c>
      <c r="H385" s="89" t="e">
        <f>#REF!</f>
        <v>#REF!</v>
      </c>
      <c r="I385" s="88" t="e">
        <f>#REF!</f>
        <v>#REF!</v>
      </c>
      <c r="J385" s="88" t="e">
        <f>ROUND(F385*G385*H385*I385,2)</f>
        <v>#REF!</v>
      </c>
      <c r="K385" s="43" t="s">
        <v>49</v>
      </c>
      <c r="L385" s="103"/>
      <c r="M385" s="103"/>
      <c r="N385" s="87"/>
      <c r="O385" s="43"/>
      <c r="P385" s="43"/>
      <c r="Q385" s="43"/>
      <c r="R385" s="43"/>
      <c r="S385" s="43"/>
      <c r="T385" s="43"/>
      <c r="U385" s="43"/>
      <c r="V385" s="43"/>
      <c r="W385" s="43"/>
      <c r="X385" s="43"/>
    </row>
    <row r="386" spans="1:24" s="11" customFormat="1" ht="11.25" customHeight="1">
      <c r="A386" s="72"/>
      <c r="B386" s="43">
        <f>B213</f>
        <v>0</v>
      </c>
      <c r="C386" s="43"/>
      <c r="D386" s="43"/>
      <c r="E386" s="71"/>
      <c r="F386" s="87">
        <f>C10</f>
        <v>1</v>
      </c>
      <c r="G386" s="88" t="e">
        <f>D10+H386</f>
        <v>#REF!</v>
      </c>
      <c r="H386" s="89" t="e">
        <f>H385</f>
        <v>#REF!</v>
      </c>
      <c r="I386" s="88" t="e">
        <f>I385</f>
        <v>#REF!</v>
      </c>
      <c r="J386" s="88" t="e">
        <f>ROUND(F386*G386*H386*I386,2)</f>
        <v>#REF!</v>
      </c>
      <c r="K386" s="43" t="s">
        <v>49</v>
      </c>
      <c r="L386" s="103"/>
      <c r="M386" s="103"/>
      <c r="N386" s="87"/>
      <c r="O386" s="43"/>
      <c r="P386" s="43"/>
      <c r="Q386" s="43"/>
      <c r="R386" s="43"/>
      <c r="S386" s="43"/>
      <c r="T386" s="43"/>
      <c r="U386" s="43"/>
      <c r="V386" s="43"/>
      <c r="W386" s="43"/>
      <c r="X386" s="43"/>
    </row>
    <row r="387" spans="1:24" s="11" customFormat="1" ht="11.25" customHeight="1">
      <c r="A387" s="72"/>
      <c r="B387" s="43"/>
      <c r="C387" s="43"/>
      <c r="D387" s="43"/>
      <c r="E387" s="71"/>
      <c r="F387" s="87"/>
      <c r="G387" s="43"/>
      <c r="H387" s="66"/>
      <c r="I387" s="90" t="s">
        <v>928</v>
      </c>
      <c r="J387" s="90" t="e">
        <f>SUM(J385:J386)</f>
        <v>#REF!</v>
      </c>
      <c r="K387" s="43" t="s">
        <v>49</v>
      </c>
      <c r="L387" s="103" t="s">
        <v>201</v>
      </c>
      <c r="M387" s="103"/>
      <c r="N387" s="87"/>
      <c r="O387" s="43"/>
      <c r="P387" s="43"/>
      <c r="Q387" s="43"/>
      <c r="R387" s="43"/>
      <c r="S387" s="43"/>
      <c r="T387" s="43"/>
      <c r="U387" s="43"/>
      <c r="V387" s="43"/>
      <c r="W387" s="43"/>
      <c r="X387" s="43"/>
    </row>
    <row r="388" spans="1:24" s="11" customFormat="1" ht="11.25" customHeight="1">
      <c r="A388" s="72" t="s">
        <v>628</v>
      </c>
      <c r="B388" s="61" t="s">
        <v>1801</v>
      </c>
      <c r="C388" s="91"/>
      <c r="D388" s="43"/>
      <c r="E388" s="71"/>
      <c r="F388" s="87"/>
      <c r="G388" s="92"/>
      <c r="H388" s="89"/>
      <c r="I388" s="88"/>
      <c r="J388" s="88"/>
      <c r="K388" s="43"/>
      <c r="L388" s="103"/>
      <c r="M388" s="103"/>
      <c r="N388" s="87"/>
      <c r="O388" s="43"/>
      <c r="P388" s="43"/>
      <c r="Q388" s="43"/>
      <c r="R388" s="43"/>
      <c r="S388" s="43"/>
      <c r="T388" s="43"/>
      <c r="U388" s="43"/>
      <c r="V388" s="43"/>
      <c r="W388" s="43"/>
      <c r="X388" s="43"/>
    </row>
    <row r="389" spans="1:24" s="11" customFormat="1" ht="11.25" customHeight="1">
      <c r="A389" s="72"/>
      <c r="B389" s="43" t="str">
        <f>B216</f>
        <v>Cross wall -1</v>
      </c>
      <c r="C389" s="43"/>
      <c r="D389" s="43"/>
      <c r="E389" s="71"/>
      <c r="F389" s="87">
        <f>C13</f>
        <v>4</v>
      </c>
      <c r="G389" s="88" t="e">
        <f>D13-H389</f>
        <v>#REF!</v>
      </c>
      <c r="H389" s="89" t="e">
        <f>H385</f>
        <v>#REF!</v>
      </c>
      <c r="I389" s="88" t="e">
        <f>I385</f>
        <v>#REF!</v>
      </c>
      <c r="J389" s="88" t="e">
        <f>ROUND(F389*G389*H389*I389,2)</f>
        <v>#REF!</v>
      </c>
      <c r="K389" s="43" t="s">
        <v>49</v>
      </c>
      <c r="L389" s="103"/>
      <c r="M389" s="103"/>
      <c r="N389" s="87"/>
      <c r="O389" s="43"/>
      <c r="P389" s="43"/>
      <c r="Q389" s="43"/>
      <c r="R389" s="43"/>
      <c r="S389" s="43"/>
      <c r="T389" s="43"/>
      <c r="U389" s="43"/>
      <c r="V389" s="43"/>
      <c r="W389" s="43"/>
      <c r="X389" s="43"/>
    </row>
    <row r="390" spans="1:24" s="11" customFormat="1" ht="11.25" customHeight="1">
      <c r="A390" s="72"/>
      <c r="B390" s="43">
        <f>B221</f>
        <v>0</v>
      </c>
      <c r="C390" s="43"/>
      <c r="D390" s="43"/>
      <c r="E390" s="71"/>
      <c r="F390" s="87">
        <f>C14</f>
        <v>2</v>
      </c>
      <c r="G390" s="88" t="e">
        <f>D14-H390</f>
        <v>#REF!</v>
      </c>
      <c r="H390" s="89" t="e">
        <f>H389</f>
        <v>#REF!</v>
      </c>
      <c r="I390" s="88" t="e">
        <f>I389</f>
        <v>#REF!</v>
      </c>
      <c r="J390" s="88" t="e">
        <f>ROUND(F390*G390*H390*I390,2)</f>
        <v>#REF!</v>
      </c>
      <c r="K390" s="43" t="s">
        <v>49</v>
      </c>
      <c r="L390" s="103"/>
      <c r="M390" s="103"/>
      <c r="N390" s="87"/>
      <c r="O390" s="43"/>
      <c r="P390" s="43"/>
      <c r="Q390" s="43"/>
      <c r="R390" s="43"/>
      <c r="S390" s="43"/>
      <c r="T390" s="43"/>
      <c r="U390" s="43"/>
      <c r="V390" s="43"/>
      <c r="W390" s="43"/>
      <c r="X390" s="43"/>
    </row>
    <row r="391" spans="1:24" s="11" customFormat="1" ht="11.25" customHeight="1">
      <c r="A391" s="72"/>
      <c r="B391" s="43"/>
      <c r="C391" s="43"/>
      <c r="D391" s="43"/>
      <c r="E391" s="71"/>
      <c r="F391" s="87"/>
      <c r="G391" s="88"/>
      <c r="H391" s="89"/>
      <c r="I391" s="90" t="s">
        <v>928</v>
      </c>
      <c r="J391" s="90" t="e">
        <f>SUM(J389:J390)</f>
        <v>#REF!</v>
      </c>
      <c r="K391" s="43" t="s">
        <v>49</v>
      </c>
      <c r="L391" s="103" t="s">
        <v>220</v>
      </c>
      <c r="M391" s="103"/>
      <c r="O391" s="43"/>
      <c r="P391" s="43"/>
      <c r="Q391" s="43"/>
      <c r="R391" s="43"/>
      <c r="S391" s="43"/>
      <c r="T391" s="43"/>
      <c r="U391" s="43"/>
      <c r="V391" s="43"/>
      <c r="W391" s="43"/>
      <c r="X391" s="43"/>
    </row>
    <row r="392" spans="1:24" s="11" customFormat="1" ht="12.75">
      <c r="A392" s="72"/>
      <c r="B392" s="43"/>
      <c r="C392" s="43"/>
      <c r="D392" s="43"/>
      <c r="E392" s="71"/>
      <c r="F392" s="87"/>
      <c r="G392" s="88"/>
      <c r="H392" s="89"/>
      <c r="I392" s="90" t="s">
        <v>1873</v>
      </c>
      <c r="J392" s="90" t="e">
        <f>J391+J387</f>
        <v>#REF!</v>
      </c>
      <c r="K392" s="43" t="s">
        <v>49</v>
      </c>
      <c r="M392" s="103"/>
      <c r="O392" s="43"/>
      <c r="P392" s="43"/>
      <c r="Q392" s="43"/>
      <c r="R392" s="43"/>
      <c r="S392" s="43"/>
      <c r="T392" s="43"/>
      <c r="U392" s="43"/>
      <c r="V392" s="43"/>
      <c r="W392" s="43"/>
      <c r="X392" s="43"/>
    </row>
    <row r="393" spans="1:24" s="11" customFormat="1" ht="12.75">
      <c r="A393" s="72"/>
      <c r="B393" s="105" t="s">
        <v>1529</v>
      </c>
      <c r="C393" s="43"/>
      <c r="D393" s="43"/>
      <c r="E393" s="71"/>
      <c r="F393" s="87"/>
      <c r="G393" s="88"/>
      <c r="H393" s="89"/>
      <c r="I393" s="90" t="s">
        <v>1873</v>
      </c>
      <c r="J393" s="90" t="e">
        <f>J392</f>
        <v>#REF!</v>
      </c>
      <c r="K393" s="43" t="s">
        <v>49</v>
      </c>
      <c r="L393" s="103" t="s">
        <v>1874</v>
      </c>
      <c r="M393" s="103"/>
      <c r="O393" s="43"/>
      <c r="P393" s="43"/>
      <c r="Q393" s="43"/>
      <c r="R393" s="43"/>
      <c r="S393" s="43"/>
      <c r="T393" s="43"/>
      <c r="U393" s="43"/>
      <c r="V393" s="43"/>
      <c r="W393" s="43"/>
      <c r="X393" s="43"/>
    </row>
    <row r="394" spans="1:24" ht="12.75" customHeight="1">
      <c r="B394" s="43" t="s">
        <v>1809</v>
      </c>
      <c r="C394" s="89"/>
      <c r="E394" s="60"/>
      <c r="F394" s="87"/>
      <c r="G394" s="89"/>
      <c r="H394" s="89"/>
      <c r="I394" s="89"/>
      <c r="J394" s="88" t="e">
        <f>E290</f>
        <v>#REF!</v>
      </c>
      <c r="K394" s="43" t="s">
        <v>49</v>
      </c>
      <c r="L394" s="103"/>
      <c r="M394" s="103"/>
      <c r="O394" s="11"/>
      <c r="P394" s="11"/>
      <c r="Q394" s="11"/>
      <c r="R394" s="11"/>
      <c r="S394" s="11"/>
      <c r="T394" s="11"/>
      <c r="U394" s="11"/>
      <c r="V394" s="11"/>
      <c r="W394" s="11"/>
      <c r="X394" s="11"/>
    </row>
    <row r="395" spans="1:24" ht="12.75" customHeight="1">
      <c r="B395" s="43" t="s">
        <v>1875</v>
      </c>
      <c r="C395" s="89"/>
      <c r="D395" s="89"/>
      <c r="E395" s="60"/>
      <c r="F395" s="87"/>
      <c r="G395" s="89"/>
      <c r="H395" s="89"/>
      <c r="I395" s="89"/>
      <c r="J395" s="88" t="e">
        <f>E291</f>
        <v>#REF!</v>
      </c>
      <c r="K395" s="43" t="s">
        <v>49</v>
      </c>
      <c r="L395" s="103"/>
      <c r="M395" s="103"/>
      <c r="O395" s="11"/>
      <c r="P395" s="11"/>
      <c r="Q395" s="11"/>
      <c r="R395" s="11"/>
      <c r="S395" s="11"/>
      <c r="T395" s="11"/>
      <c r="U395" s="11"/>
      <c r="V395" s="11"/>
      <c r="W395" s="11"/>
      <c r="X395" s="11"/>
    </row>
    <row r="396" spans="1:24" ht="12.75" customHeight="1">
      <c r="B396" s="43" t="s">
        <v>1876</v>
      </c>
      <c r="C396" s="89"/>
      <c r="D396" s="89"/>
      <c r="E396" s="60"/>
      <c r="F396" s="87"/>
      <c r="G396" s="89"/>
      <c r="H396" s="89"/>
      <c r="I396" s="89"/>
      <c r="J396" s="88" t="e">
        <f>E292</f>
        <v>#REF!</v>
      </c>
      <c r="K396" s="43" t="s">
        <v>49</v>
      </c>
      <c r="L396" s="103"/>
      <c r="M396" s="103"/>
      <c r="O396" s="11"/>
      <c r="P396" s="11"/>
      <c r="Q396" s="11"/>
      <c r="R396" s="11"/>
      <c r="S396" s="11"/>
      <c r="T396" s="11"/>
      <c r="U396" s="11"/>
      <c r="V396" s="11"/>
      <c r="W396" s="11"/>
      <c r="X396" s="11"/>
    </row>
    <row r="397" spans="1:24" ht="12.75" customHeight="1">
      <c r="B397" s="43" t="s">
        <v>1877</v>
      </c>
      <c r="C397" s="89" t="e">
        <f>B338</f>
        <v>#REF!</v>
      </c>
      <c r="D397" s="89"/>
      <c r="E397" s="60"/>
      <c r="F397" s="87" t="e">
        <f>#REF!</f>
        <v>#REF!</v>
      </c>
      <c r="G397" s="89" t="e">
        <f>#REF!</f>
        <v>#REF!</v>
      </c>
      <c r="H397" s="89" t="e">
        <f>H390</f>
        <v>#REF!</v>
      </c>
      <c r="I397" s="89" t="e">
        <f>#REF!</f>
        <v>#REF!</v>
      </c>
      <c r="J397" s="88" t="e">
        <f>ROUND(F397*G397*H397*I397,2)</f>
        <v>#REF!</v>
      </c>
      <c r="K397" s="43" t="s">
        <v>49</v>
      </c>
      <c r="L397" s="103"/>
      <c r="M397" s="103"/>
      <c r="O397" s="11"/>
      <c r="P397" s="11"/>
      <c r="Q397" s="11"/>
      <c r="R397" s="11"/>
      <c r="S397" s="11"/>
      <c r="T397" s="11"/>
      <c r="U397" s="11"/>
      <c r="V397" s="11"/>
      <c r="W397" s="11"/>
      <c r="X397" s="11"/>
    </row>
    <row r="398" spans="1:24" ht="12.75" customHeight="1">
      <c r="C398" s="89" t="e">
        <f t="shared" ref="C398:C403" si="56">B339</f>
        <v>#REF!</v>
      </c>
      <c r="D398" s="89"/>
      <c r="E398" s="60"/>
      <c r="F398" s="87" t="e">
        <f>#REF!</f>
        <v>#REF!</v>
      </c>
      <c r="G398" s="89" t="e">
        <f>#REF!</f>
        <v>#REF!</v>
      </c>
      <c r="H398" s="89" t="e">
        <f>H397</f>
        <v>#REF!</v>
      </c>
      <c r="I398" s="89" t="e">
        <f>#REF!</f>
        <v>#REF!</v>
      </c>
      <c r="J398" s="88" t="e">
        <f t="shared" ref="J398:J404" si="57">ROUND(F398*G398*H398*I398,2)</f>
        <v>#REF!</v>
      </c>
      <c r="K398" s="43" t="s">
        <v>49</v>
      </c>
      <c r="L398" s="103"/>
      <c r="M398" s="103"/>
      <c r="N398" s="87"/>
      <c r="O398" s="11"/>
      <c r="P398" s="11"/>
      <c r="Q398" s="11"/>
      <c r="R398" s="11"/>
      <c r="S398" s="11"/>
      <c r="T398" s="11"/>
      <c r="U398" s="11"/>
      <c r="V398" s="11"/>
      <c r="W398" s="11"/>
      <c r="X398" s="11"/>
    </row>
    <row r="399" spans="1:24" ht="12.75" customHeight="1">
      <c r="C399" s="89" t="e">
        <f t="shared" si="56"/>
        <v>#REF!</v>
      </c>
      <c r="D399" s="89"/>
      <c r="E399" s="60"/>
      <c r="F399" s="87" t="e">
        <f>#REF!</f>
        <v>#REF!</v>
      </c>
      <c r="G399" s="89" t="e">
        <f>#REF!</f>
        <v>#REF!</v>
      </c>
      <c r="H399" s="89" t="e">
        <f t="shared" ref="H399:H406" si="58">H398</f>
        <v>#REF!</v>
      </c>
      <c r="I399" s="89" t="e">
        <f>#REF!</f>
        <v>#REF!</v>
      </c>
      <c r="J399" s="88" t="e">
        <f t="shared" si="57"/>
        <v>#REF!</v>
      </c>
      <c r="K399" s="43" t="s">
        <v>49</v>
      </c>
      <c r="L399" s="103"/>
      <c r="M399" s="103"/>
      <c r="N399" s="87"/>
      <c r="O399" s="11"/>
      <c r="P399" s="11"/>
      <c r="Q399" s="11"/>
      <c r="R399" s="11"/>
      <c r="S399" s="11"/>
      <c r="T399" s="11"/>
      <c r="U399" s="11"/>
      <c r="V399" s="11"/>
      <c r="W399" s="11"/>
      <c r="X399" s="11"/>
    </row>
    <row r="400" spans="1:24" ht="12.75" customHeight="1">
      <c r="C400" s="89" t="e">
        <f t="shared" si="56"/>
        <v>#REF!</v>
      </c>
      <c r="D400" s="89"/>
      <c r="E400" s="60"/>
      <c r="F400" s="87" t="e">
        <f>#REF!</f>
        <v>#REF!</v>
      </c>
      <c r="G400" s="89" t="e">
        <f>#REF!</f>
        <v>#REF!</v>
      </c>
      <c r="H400" s="89" t="e">
        <f t="shared" si="58"/>
        <v>#REF!</v>
      </c>
      <c r="I400" s="89" t="e">
        <f>#REF!</f>
        <v>#REF!</v>
      </c>
      <c r="J400" s="88" t="e">
        <f t="shared" si="57"/>
        <v>#REF!</v>
      </c>
      <c r="K400" s="43" t="s">
        <v>49</v>
      </c>
      <c r="L400" s="103"/>
      <c r="M400" s="103"/>
      <c r="N400" s="87"/>
      <c r="O400" s="11"/>
      <c r="P400" s="11"/>
      <c r="Q400" s="11"/>
      <c r="R400" s="11"/>
      <c r="S400" s="11"/>
      <c r="T400" s="11"/>
      <c r="U400" s="11"/>
      <c r="V400" s="11"/>
      <c r="W400" s="11"/>
      <c r="X400" s="11"/>
    </row>
    <row r="401" spans="1:24" ht="12.75" customHeight="1">
      <c r="C401" s="89" t="e">
        <f t="shared" si="56"/>
        <v>#REF!</v>
      </c>
      <c r="D401" s="89"/>
      <c r="E401" s="60"/>
      <c r="F401" s="87" t="e">
        <f>#REF!</f>
        <v>#REF!</v>
      </c>
      <c r="G401" s="89" t="e">
        <f>#REF!</f>
        <v>#REF!</v>
      </c>
      <c r="H401" s="89" t="e">
        <f t="shared" si="58"/>
        <v>#REF!</v>
      </c>
      <c r="I401" s="89" t="e">
        <f>#REF!</f>
        <v>#REF!</v>
      </c>
      <c r="J401" s="88" t="e">
        <f t="shared" si="57"/>
        <v>#REF!</v>
      </c>
      <c r="K401" s="43" t="s">
        <v>49</v>
      </c>
      <c r="L401" s="103"/>
      <c r="M401" s="103"/>
      <c r="N401" s="87"/>
      <c r="O401" s="11"/>
      <c r="P401" s="11"/>
      <c r="Q401" s="11"/>
      <c r="R401" s="11"/>
      <c r="S401" s="11"/>
      <c r="T401" s="11"/>
      <c r="U401" s="11"/>
      <c r="V401" s="11"/>
      <c r="W401" s="11"/>
      <c r="X401" s="11"/>
    </row>
    <row r="402" spans="1:24" ht="12.75" customHeight="1">
      <c r="C402" s="89" t="e">
        <f t="shared" si="56"/>
        <v>#REF!</v>
      </c>
      <c r="D402" s="89"/>
      <c r="E402" s="60"/>
      <c r="F402" s="87" t="e">
        <f>#REF!</f>
        <v>#REF!</v>
      </c>
      <c r="G402" s="89" t="e">
        <f>#REF!</f>
        <v>#REF!</v>
      </c>
      <c r="H402" s="89" t="e">
        <f t="shared" si="58"/>
        <v>#REF!</v>
      </c>
      <c r="I402" s="89" t="e">
        <f>#REF!</f>
        <v>#REF!</v>
      </c>
      <c r="J402" s="88" t="e">
        <f t="shared" si="57"/>
        <v>#REF!</v>
      </c>
      <c r="K402" s="43" t="s">
        <v>49</v>
      </c>
      <c r="L402" s="103"/>
      <c r="M402" s="103"/>
      <c r="N402" s="87"/>
      <c r="O402" s="11"/>
      <c r="P402" s="11"/>
      <c r="Q402" s="11"/>
      <c r="R402" s="11"/>
      <c r="S402" s="11"/>
      <c r="T402" s="11"/>
      <c r="U402" s="11"/>
      <c r="V402" s="11"/>
      <c r="W402" s="11"/>
      <c r="X402" s="11"/>
    </row>
    <row r="403" spans="1:24" ht="12.75" customHeight="1">
      <c r="C403" s="89" t="e">
        <f t="shared" si="56"/>
        <v>#REF!</v>
      </c>
      <c r="D403" s="89"/>
      <c r="E403" s="60"/>
      <c r="F403" s="87" t="e">
        <f>#REF!</f>
        <v>#REF!</v>
      </c>
      <c r="G403" s="89" t="e">
        <f>#REF!</f>
        <v>#REF!</v>
      </c>
      <c r="H403" s="89" t="e">
        <f t="shared" si="58"/>
        <v>#REF!</v>
      </c>
      <c r="I403" s="89" t="e">
        <f>#REF!</f>
        <v>#REF!</v>
      </c>
      <c r="J403" s="88" t="e">
        <f t="shared" si="57"/>
        <v>#REF!</v>
      </c>
      <c r="K403" s="43" t="s">
        <v>49</v>
      </c>
      <c r="L403" s="103"/>
      <c r="M403" s="103"/>
      <c r="N403" s="87"/>
      <c r="O403" s="11"/>
      <c r="P403" s="11"/>
      <c r="Q403" s="11"/>
      <c r="R403" s="11"/>
      <c r="S403" s="11"/>
      <c r="T403" s="11"/>
      <c r="U403" s="11"/>
      <c r="V403" s="11"/>
      <c r="W403" s="11"/>
      <c r="X403" s="11"/>
    </row>
    <row r="404" spans="1:24" ht="12.75" customHeight="1">
      <c r="C404" s="89" t="e">
        <f>B345</f>
        <v>#REF!</v>
      </c>
      <c r="D404" s="89"/>
      <c r="E404" s="60"/>
      <c r="F404" s="87" t="e">
        <f>#REF!</f>
        <v>#REF!</v>
      </c>
      <c r="G404" s="89" t="e">
        <f>#REF!</f>
        <v>#REF!</v>
      </c>
      <c r="H404" s="89" t="e">
        <f t="shared" si="58"/>
        <v>#REF!</v>
      </c>
      <c r="I404" s="89" t="e">
        <f>#REF!</f>
        <v>#REF!</v>
      </c>
      <c r="J404" s="88" t="e">
        <f t="shared" si="57"/>
        <v>#REF!</v>
      </c>
      <c r="K404" s="43" t="s">
        <v>49</v>
      </c>
      <c r="L404" s="103"/>
      <c r="M404" s="103"/>
      <c r="O404" s="11"/>
      <c r="P404" s="11"/>
      <c r="Q404" s="11"/>
      <c r="R404" s="11"/>
      <c r="S404" s="11"/>
      <c r="T404" s="11"/>
      <c r="U404" s="11"/>
      <c r="V404" s="11"/>
      <c r="W404" s="11"/>
      <c r="X404" s="11"/>
    </row>
    <row r="405" spans="1:24" ht="12.75" customHeight="1">
      <c r="C405" s="89" t="s">
        <v>1787</v>
      </c>
      <c r="D405" s="89"/>
      <c r="E405" s="60"/>
      <c r="F405" s="87">
        <v>1</v>
      </c>
      <c r="G405" s="89" t="e">
        <f>G376</f>
        <v>#REF!</v>
      </c>
      <c r="H405" s="89" t="e">
        <f t="shared" si="58"/>
        <v>#REF!</v>
      </c>
      <c r="I405" s="89" t="e">
        <f>I399</f>
        <v>#REF!</v>
      </c>
      <c r="J405" s="88" t="e">
        <f>ROUND(F405*G405*H405*I405,2)</f>
        <v>#REF!</v>
      </c>
      <c r="K405" s="43" t="s">
        <v>49</v>
      </c>
      <c r="L405" s="103"/>
      <c r="M405" s="103"/>
      <c r="O405" s="11"/>
      <c r="P405" s="11"/>
      <c r="Q405" s="11"/>
      <c r="R405" s="11"/>
      <c r="S405" s="11"/>
      <c r="T405" s="11"/>
      <c r="U405" s="11"/>
      <c r="V405" s="11"/>
      <c r="W405" s="11"/>
      <c r="X405" s="11"/>
    </row>
    <row r="406" spans="1:24" ht="12.75" customHeight="1">
      <c r="C406" s="89"/>
      <c r="D406" s="89"/>
      <c r="E406" s="60"/>
      <c r="F406" s="87">
        <v>1</v>
      </c>
      <c r="G406" s="89" t="e">
        <f>H376</f>
        <v>#REF!</v>
      </c>
      <c r="H406" s="89" t="e">
        <f t="shared" si="58"/>
        <v>#REF!</v>
      </c>
      <c r="I406" s="89" t="e">
        <f>I405</f>
        <v>#REF!</v>
      </c>
      <c r="J406" s="88" t="e">
        <f>ROUND(F406*G406*H406*I406,2)</f>
        <v>#REF!</v>
      </c>
      <c r="K406" s="43" t="s">
        <v>49</v>
      </c>
      <c r="L406" s="103"/>
      <c r="M406" s="103"/>
      <c r="O406" s="11"/>
      <c r="P406" s="11"/>
      <c r="Q406" s="11"/>
      <c r="R406" s="11"/>
      <c r="S406" s="11"/>
      <c r="T406" s="11"/>
      <c r="U406" s="11"/>
      <c r="V406" s="11"/>
      <c r="W406" s="11"/>
      <c r="X406" s="11"/>
    </row>
    <row r="407" spans="1:24" ht="13.5" customHeight="1">
      <c r="C407" s="89"/>
      <c r="D407" s="89"/>
      <c r="E407" s="71"/>
      <c r="F407" s="87"/>
      <c r="G407" s="88"/>
      <c r="H407" s="90" t="s">
        <v>1878</v>
      </c>
      <c r="J407" s="90" t="e">
        <f>SUM(J394:J406)</f>
        <v>#REF!</v>
      </c>
      <c r="K407" s="43" t="s">
        <v>49</v>
      </c>
      <c r="L407" s="103" t="s">
        <v>1781</v>
      </c>
      <c r="M407" s="103"/>
    </row>
    <row r="408" spans="1:24" ht="12.75" customHeight="1">
      <c r="C408" s="89"/>
      <c r="D408" s="89"/>
      <c r="E408" s="71"/>
      <c r="F408" s="87"/>
      <c r="G408" s="88"/>
      <c r="H408" s="89"/>
      <c r="I408" s="90" t="s">
        <v>1879</v>
      </c>
      <c r="J408" s="90" t="e">
        <f>J393-J407</f>
        <v>#REF!</v>
      </c>
      <c r="K408" s="43" t="s">
        <v>49</v>
      </c>
      <c r="L408" s="103"/>
      <c r="M408" s="103"/>
      <c r="R408" s="72"/>
      <c r="S408" s="87"/>
      <c r="T408" s="88"/>
      <c r="U408" s="94"/>
      <c r="V408" s="94"/>
    </row>
    <row r="409" spans="1:24" ht="12.75" customHeight="1">
      <c r="C409" s="89"/>
      <c r="D409" s="89"/>
      <c r="E409" s="71"/>
      <c r="F409" s="87"/>
      <c r="G409" s="88"/>
      <c r="H409" s="89"/>
      <c r="I409" s="90" t="s">
        <v>1623</v>
      </c>
      <c r="J409" s="90" t="e">
        <f>J408</f>
        <v>#REF!</v>
      </c>
      <c r="K409" s="61" t="s">
        <v>49</v>
      </c>
      <c r="L409" s="103"/>
      <c r="M409" s="103"/>
      <c r="N409" s="57"/>
      <c r="R409" s="72"/>
      <c r="S409" s="87"/>
      <c r="T409" s="88"/>
      <c r="U409" s="94"/>
      <c r="V409" s="94"/>
    </row>
    <row r="410" spans="1:24" s="11" customFormat="1" ht="12.75" customHeight="1">
      <c r="A410" s="98"/>
      <c r="C410" s="99" t="s">
        <v>379</v>
      </c>
      <c r="D410" s="3604" t="e">
        <f>ROUND(J409,2)</f>
        <v>#REF!</v>
      </c>
      <c r="E410" s="3604"/>
      <c r="F410" s="100" t="s">
        <v>1811</v>
      </c>
      <c r="G410" s="3605">
        <v>3411.5</v>
      </c>
      <c r="H410" s="3605"/>
      <c r="J410" s="101" t="s">
        <v>1812</v>
      </c>
      <c r="K410" s="3606" t="e">
        <f>ROUND(D410*G410,0)</f>
        <v>#REF!</v>
      </c>
      <c r="L410" s="3606"/>
      <c r="M410" s="102"/>
    </row>
    <row r="411" spans="1:24" s="11" customFormat="1" ht="88.5" customHeight="1">
      <c r="A411" s="98">
        <v>9</v>
      </c>
      <c r="B411" s="3603" t="s">
        <v>1601</v>
      </c>
      <c r="C411" s="3603"/>
      <c r="D411" s="3603"/>
      <c r="E411" s="101"/>
      <c r="F411" s="100"/>
      <c r="G411" s="115"/>
      <c r="H411" s="115"/>
      <c r="J411" s="101"/>
      <c r="K411" s="102"/>
      <c r="L411" s="102"/>
      <c r="M411" s="102"/>
    </row>
    <row r="412" spans="1:24" s="11" customFormat="1" ht="12.75" customHeight="1">
      <c r="A412" s="98"/>
      <c r="B412" s="118" t="str">
        <f>N8</f>
        <v>Hall</v>
      </c>
      <c r="C412" s="99"/>
      <c r="D412" s="101"/>
      <c r="E412" s="101"/>
      <c r="F412" s="87">
        <f>F370</f>
        <v>1</v>
      </c>
      <c r="G412" s="88">
        <f t="shared" ref="G412:H418" si="59">O8</f>
        <v>0</v>
      </c>
      <c r="H412" s="88">
        <f t="shared" si="59"/>
        <v>0</v>
      </c>
      <c r="I412" s="88"/>
      <c r="J412" s="88"/>
      <c r="K412" s="43" t="s">
        <v>92</v>
      </c>
      <c r="L412" s="102"/>
      <c r="M412" s="102"/>
    </row>
    <row r="413" spans="1:24" s="11" customFormat="1" ht="12.75" customHeight="1">
      <c r="A413" s="98"/>
      <c r="B413" s="118" t="str">
        <f t="shared" ref="B413:B418" si="60">N9</f>
        <v>Kitchen</v>
      </c>
      <c r="C413" s="99"/>
      <c r="D413" s="101"/>
      <c r="E413" s="101"/>
      <c r="F413" s="87">
        <f>F371</f>
        <v>1</v>
      </c>
      <c r="G413" s="88">
        <f t="shared" si="59"/>
        <v>0</v>
      </c>
      <c r="H413" s="88">
        <f t="shared" si="59"/>
        <v>0</v>
      </c>
      <c r="I413" s="88"/>
      <c r="J413" s="88"/>
      <c r="K413" s="43" t="s">
        <v>92</v>
      </c>
      <c r="L413" s="102"/>
      <c r="M413" s="102"/>
    </row>
    <row r="414" spans="1:24" s="11" customFormat="1" ht="12.75" customHeight="1">
      <c r="A414" s="98"/>
      <c r="B414" s="118" t="str">
        <f t="shared" si="60"/>
        <v>Store</v>
      </c>
      <c r="C414" s="99"/>
      <c r="D414" s="101"/>
      <c r="E414" s="101"/>
      <c r="F414" s="87">
        <f>F372</f>
        <v>1</v>
      </c>
      <c r="G414" s="88">
        <f t="shared" si="59"/>
        <v>0</v>
      </c>
      <c r="H414" s="88">
        <f t="shared" si="59"/>
        <v>0</v>
      </c>
      <c r="I414" s="88"/>
      <c r="J414" s="88"/>
      <c r="K414" s="43" t="s">
        <v>92</v>
      </c>
      <c r="L414" s="102"/>
      <c r="M414" s="102"/>
    </row>
    <row r="415" spans="1:24" s="11" customFormat="1" ht="12.75" customHeight="1">
      <c r="A415" s="98"/>
      <c r="B415" s="118" t="str">
        <f t="shared" si="60"/>
        <v>Verandah</v>
      </c>
      <c r="C415" s="99"/>
      <c r="D415" s="101"/>
      <c r="E415" s="101"/>
      <c r="F415" s="87">
        <f>F373</f>
        <v>1</v>
      </c>
      <c r="G415" s="88">
        <f t="shared" si="59"/>
        <v>0</v>
      </c>
      <c r="H415" s="88">
        <f t="shared" si="59"/>
        <v>0</v>
      </c>
      <c r="I415" s="88"/>
      <c r="J415" s="88"/>
      <c r="K415" s="43" t="s">
        <v>92</v>
      </c>
      <c r="L415" s="102"/>
      <c r="M415" s="102"/>
    </row>
    <row r="416" spans="1:24" s="11" customFormat="1" ht="12.75" customHeight="1">
      <c r="A416" s="98"/>
      <c r="B416" s="118" t="str">
        <f t="shared" si="60"/>
        <v>Toilet-1</v>
      </c>
      <c r="C416" s="99"/>
      <c r="D416" s="101"/>
      <c r="E416" s="101"/>
      <c r="F416" s="87"/>
      <c r="G416" s="88">
        <f t="shared" si="59"/>
        <v>0</v>
      </c>
      <c r="H416" s="88">
        <f t="shared" si="59"/>
        <v>0</v>
      </c>
      <c r="I416" s="88"/>
      <c r="J416" s="88"/>
      <c r="K416" s="43" t="s">
        <v>92</v>
      </c>
      <c r="L416" s="102"/>
      <c r="M416" s="102"/>
    </row>
    <row r="417" spans="1:18" s="11" customFormat="1" ht="12.75" customHeight="1">
      <c r="A417" s="98"/>
      <c r="B417" s="118" t="str">
        <f t="shared" si="60"/>
        <v>Toilet-2</v>
      </c>
      <c r="C417" s="99"/>
      <c r="D417" s="101"/>
      <c r="E417" s="101"/>
      <c r="F417" s="87"/>
      <c r="G417" s="88">
        <f t="shared" si="59"/>
        <v>0</v>
      </c>
      <c r="H417" s="88">
        <f t="shared" si="59"/>
        <v>0</v>
      </c>
      <c r="I417" s="88"/>
      <c r="J417" s="88"/>
      <c r="K417" s="43" t="s">
        <v>92</v>
      </c>
      <c r="L417" s="102"/>
      <c r="M417" s="102"/>
    </row>
    <row r="418" spans="1:18" s="11" customFormat="1" ht="12.75" customHeight="1">
      <c r="A418" s="98"/>
      <c r="B418" s="118" t="str">
        <f t="shared" si="60"/>
        <v>WP</v>
      </c>
      <c r="C418" s="99"/>
      <c r="D418" s="101"/>
      <c r="E418" s="101"/>
      <c r="F418" s="87"/>
      <c r="G418" s="88">
        <f t="shared" si="59"/>
        <v>0</v>
      </c>
      <c r="H418" s="88">
        <f t="shared" si="59"/>
        <v>0</v>
      </c>
      <c r="I418" s="88"/>
      <c r="J418" s="88">
        <f>ROUND(F418*G418*H418,2)</f>
        <v>0</v>
      </c>
      <c r="K418" s="43" t="s">
        <v>92</v>
      </c>
      <c r="L418" s="102"/>
      <c r="M418" s="102"/>
    </row>
    <row r="419" spans="1:18" s="11" customFormat="1" ht="12.75" customHeight="1">
      <c r="A419" s="98"/>
      <c r="B419" s="118" t="s">
        <v>1877</v>
      </c>
      <c r="C419" s="99"/>
      <c r="D419" s="101"/>
      <c r="E419" s="101"/>
      <c r="F419" s="87"/>
      <c r="G419" s="88">
        <f>'DRAWING HALL'!DO151-'DRAWING HALL'!X104</f>
        <v>0</v>
      </c>
      <c r="H419" s="88">
        <f>'DRAWING HALL'!X104</f>
        <v>0</v>
      </c>
      <c r="I419" s="88"/>
      <c r="J419" s="88">
        <f>ROUND(F419*G419*H419,2)</f>
        <v>0</v>
      </c>
      <c r="K419" s="43" t="s">
        <v>92</v>
      </c>
      <c r="L419" s="102"/>
      <c r="M419" s="102"/>
    </row>
    <row r="420" spans="1:18" s="11" customFormat="1" ht="12.75" customHeight="1">
      <c r="A420" s="98"/>
      <c r="B420" s="118"/>
      <c r="C420" s="99"/>
      <c r="D420" s="101"/>
      <c r="E420" s="101"/>
      <c r="F420" s="87"/>
      <c r="G420" s="88">
        <f>'DRAWING HALL'!EK123-'DRAWING HALL'!X104</f>
        <v>0</v>
      </c>
      <c r="H420" s="88">
        <f>H419</f>
        <v>0</v>
      </c>
      <c r="I420" s="88"/>
      <c r="J420" s="88">
        <f>ROUND(F420*G420*H420,2)</f>
        <v>0</v>
      </c>
      <c r="K420" s="43" t="s">
        <v>92</v>
      </c>
      <c r="L420" s="102"/>
      <c r="M420" s="102"/>
    </row>
    <row r="421" spans="1:18" s="11" customFormat="1" ht="12.75" customHeight="1">
      <c r="A421" s="98"/>
      <c r="B421" s="118" t="s">
        <v>1880</v>
      </c>
      <c r="C421" s="99"/>
      <c r="D421" s="101"/>
      <c r="E421" s="101"/>
      <c r="F421" s="87">
        <v>4</v>
      </c>
      <c r="G421" s="88">
        <f>G194</f>
        <v>1.2</v>
      </c>
      <c r="H421" s="88">
        <f>'DRAWING HALL'!FA31</f>
        <v>0</v>
      </c>
      <c r="I421" s="88"/>
      <c r="J421" s="88"/>
      <c r="K421" s="43" t="s">
        <v>92</v>
      </c>
      <c r="L421" s="102"/>
      <c r="M421" s="102"/>
    </row>
    <row r="422" spans="1:18" s="11" customFormat="1" ht="12.75" customHeight="1">
      <c r="A422" s="98"/>
      <c r="C422" s="99"/>
      <c r="D422" s="101"/>
      <c r="E422" s="101"/>
      <c r="F422" s="87">
        <v>2</v>
      </c>
      <c r="G422" s="88" t="e">
        <f>G195</f>
        <v>#REF!</v>
      </c>
      <c r="H422" s="88">
        <f>H421</f>
        <v>0</v>
      </c>
      <c r="I422" s="88"/>
      <c r="J422" s="88"/>
      <c r="K422" s="43" t="s">
        <v>92</v>
      </c>
      <c r="L422" s="102"/>
      <c r="M422" s="102"/>
    </row>
    <row r="423" spans="1:18" s="11" customFormat="1" ht="12.75" customHeight="1">
      <c r="A423" s="98"/>
      <c r="C423" s="99"/>
      <c r="D423" s="101"/>
      <c r="E423" s="101"/>
      <c r="F423" s="100"/>
      <c r="G423" s="115"/>
      <c r="H423" s="115"/>
      <c r="I423" s="90" t="s">
        <v>1623</v>
      </c>
      <c r="J423" s="90">
        <f>SUM(J412:J422)</f>
        <v>0</v>
      </c>
      <c r="K423" s="61" t="s">
        <v>92</v>
      </c>
      <c r="L423" s="102"/>
      <c r="M423" s="102"/>
    </row>
    <row r="424" spans="1:18" s="11" customFormat="1" ht="12.75" customHeight="1">
      <c r="A424" s="98"/>
      <c r="C424" s="99" t="s">
        <v>379</v>
      </c>
      <c r="D424" s="3604">
        <f>ROUND(J423,2)</f>
        <v>0</v>
      </c>
      <c r="E424" s="3604"/>
      <c r="F424" s="100" t="s">
        <v>1859</v>
      </c>
      <c r="G424" s="3605">
        <v>213.2</v>
      </c>
      <c r="H424" s="3605"/>
      <c r="J424" s="101" t="s">
        <v>1860</v>
      </c>
      <c r="K424" s="3606">
        <f>ROUND(D424*G424,0)</f>
        <v>0</v>
      </c>
      <c r="L424" s="3606"/>
      <c r="M424" s="102"/>
    </row>
    <row r="425" spans="1:18" s="11" customFormat="1" ht="60.75" customHeight="1">
      <c r="A425" s="98">
        <v>10</v>
      </c>
      <c r="B425" s="3603" t="s">
        <v>1600</v>
      </c>
      <c r="C425" s="3603"/>
      <c r="D425" s="3603"/>
      <c r="E425" s="101"/>
      <c r="F425" s="100"/>
      <c r="G425" s="115"/>
      <c r="H425" s="115"/>
      <c r="J425" s="101"/>
      <c r="K425" s="102"/>
      <c r="L425" s="102"/>
      <c r="M425" s="102"/>
    </row>
    <row r="426" spans="1:18" s="11" customFormat="1" ht="12.75" customHeight="1">
      <c r="A426" s="98"/>
      <c r="B426" s="12" t="s">
        <v>1881</v>
      </c>
      <c r="C426" s="99"/>
      <c r="D426" s="101"/>
      <c r="E426" s="119"/>
      <c r="F426" s="87">
        <f>F279</f>
        <v>1</v>
      </c>
      <c r="G426" s="89" t="e">
        <f>G279</f>
        <v>#REF!</v>
      </c>
      <c r="H426" s="89" t="e">
        <f>H279</f>
        <v>#REF!</v>
      </c>
      <c r="I426" s="88"/>
      <c r="J426" s="88" t="e">
        <f>ROUND(F426*G426*H426,2)</f>
        <v>#REF!</v>
      </c>
      <c r="K426" s="43" t="s">
        <v>92</v>
      </c>
      <c r="L426" s="102"/>
      <c r="M426" s="102"/>
    </row>
    <row r="427" spans="1:18" s="11" customFormat="1" ht="12.75" customHeight="1">
      <c r="A427" s="98"/>
      <c r="B427" s="12" t="s">
        <v>481</v>
      </c>
      <c r="C427" s="3" t="s">
        <v>1882</v>
      </c>
      <c r="D427" s="101"/>
      <c r="E427" s="119"/>
      <c r="F427" s="87"/>
      <c r="G427" s="88"/>
      <c r="H427" s="88"/>
      <c r="I427" s="88"/>
      <c r="J427" s="88" t="e">
        <f>J367</f>
        <v>#REF!</v>
      </c>
      <c r="K427" s="43" t="s">
        <v>92</v>
      </c>
      <c r="L427" s="102"/>
      <c r="M427" s="102"/>
    </row>
    <row r="428" spans="1:18" s="11" customFormat="1" ht="12.75" customHeight="1">
      <c r="A428" s="98"/>
      <c r="C428" s="99"/>
      <c r="D428" s="101"/>
      <c r="E428" s="119"/>
      <c r="F428" s="87"/>
      <c r="G428" s="88"/>
      <c r="H428" s="89"/>
      <c r="J428" s="90" t="e">
        <f>SUM(J426:J427)</f>
        <v>#REF!</v>
      </c>
      <c r="K428" s="43" t="s">
        <v>92</v>
      </c>
      <c r="L428" s="102"/>
      <c r="M428" s="102"/>
    </row>
    <row r="429" spans="1:18" s="11" customFormat="1" ht="12.75" customHeight="1">
      <c r="A429" s="98"/>
      <c r="C429" s="99"/>
      <c r="D429" s="101"/>
      <c r="E429" s="101"/>
      <c r="F429" s="100"/>
      <c r="G429" s="115"/>
      <c r="H429" s="115"/>
      <c r="I429" s="90" t="s">
        <v>1623</v>
      </c>
      <c r="J429" s="90" t="e">
        <f>J428</f>
        <v>#REF!</v>
      </c>
      <c r="K429" s="61" t="s">
        <v>92</v>
      </c>
      <c r="L429" s="102"/>
      <c r="M429" s="102"/>
    </row>
    <row r="430" spans="1:18" s="11" customFormat="1" ht="12.75" customHeight="1">
      <c r="A430" s="98"/>
      <c r="C430" s="99" t="s">
        <v>379</v>
      </c>
      <c r="D430" s="3604" t="e">
        <f>ROUND(J429,2)</f>
        <v>#REF!</v>
      </c>
      <c r="E430" s="3604"/>
      <c r="F430" s="100" t="s">
        <v>1859</v>
      </c>
      <c r="G430" s="3605">
        <v>156</v>
      </c>
      <c r="H430" s="3605"/>
      <c r="J430" s="101" t="s">
        <v>1860</v>
      </c>
      <c r="K430" s="3606" t="e">
        <f>ROUND(D430*G430,0)</f>
        <v>#REF!</v>
      </c>
      <c r="L430" s="3606"/>
      <c r="M430" s="102"/>
    </row>
    <row r="431" spans="1:18" ht="63" customHeight="1">
      <c r="A431" s="72">
        <v>11</v>
      </c>
      <c r="B431" s="3603" t="s">
        <v>1599</v>
      </c>
      <c r="C431" s="3603"/>
      <c r="D431" s="3603"/>
      <c r="E431" s="71" t="s">
        <v>390</v>
      </c>
      <c r="F431" s="88"/>
      <c r="H431" s="66"/>
      <c r="I431" s="74"/>
      <c r="J431" s="74"/>
      <c r="O431" s="89"/>
      <c r="P431" s="72"/>
      <c r="Q431" s="90"/>
      <c r="R431" s="90"/>
    </row>
    <row r="432" spans="1:18" ht="11.25" customHeight="1">
      <c r="B432" s="57" t="str">
        <f>B306</f>
        <v>Hall</v>
      </c>
      <c r="E432" s="71"/>
      <c r="F432" s="87">
        <f>F306</f>
        <v>1</v>
      </c>
      <c r="G432" s="87">
        <f>G306</f>
        <v>2</v>
      </c>
      <c r="H432" s="89" t="e">
        <f>H306</f>
        <v>#REF!</v>
      </c>
      <c r="I432" s="88" t="e">
        <f>I385</f>
        <v>#REF!</v>
      </c>
      <c r="J432" s="88" t="e">
        <f>ROUND(F432*G432*H432*I432,2)</f>
        <v>#REF!</v>
      </c>
      <c r="K432" s="43" t="s">
        <v>92</v>
      </c>
      <c r="L432" s="103"/>
      <c r="M432" s="103"/>
      <c r="O432" s="89"/>
      <c r="P432" s="72"/>
      <c r="Q432" s="90"/>
      <c r="R432" s="90"/>
    </row>
    <row r="433" spans="2:13" ht="11.25" customHeight="1">
      <c r="B433" s="57" t="str">
        <f t="shared" ref="B433:B438" si="61">B307</f>
        <v>Kitchen</v>
      </c>
      <c r="E433" s="71"/>
      <c r="F433" s="87">
        <f t="shared" ref="F433:H440" si="62">F307</f>
        <v>1</v>
      </c>
      <c r="G433" s="87">
        <f t="shared" si="62"/>
        <v>2</v>
      </c>
      <c r="H433" s="89" t="e">
        <f t="shared" si="62"/>
        <v>#REF!</v>
      </c>
      <c r="I433" s="88" t="e">
        <f t="shared" ref="I433:I440" si="63">I432</f>
        <v>#REF!</v>
      </c>
      <c r="J433" s="88" t="e">
        <f t="shared" ref="J433:J440" si="64">ROUND(F433*G433*H433*I433,2)</f>
        <v>#REF!</v>
      </c>
      <c r="K433" s="43" t="s">
        <v>92</v>
      </c>
      <c r="L433" s="103"/>
      <c r="M433" s="103"/>
    </row>
    <row r="434" spans="2:13" ht="11.25" customHeight="1">
      <c r="B434" s="57" t="str">
        <f t="shared" si="61"/>
        <v>Store</v>
      </c>
      <c r="E434" s="71"/>
      <c r="F434" s="87">
        <f t="shared" si="62"/>
        <v>2</v>
      </c>
      <c r="G434" s="87">
        <f t="shared" si="62"/>
        <v>2</v>
      </c>
      <c r="H434" s="89" t="e">
        <f t="shared" si="62"/>
        <v>#REF!</v>
      </c>
      <c r="I434" s="88" t="e">
        <f t="shared" si="63"/>
        <v>#REF!</v>
      </c>
      <c r="J434" s="88" t="e">
        <f t="shared" si="64"/>
        <v>#REF!</v>
      </c>
      <c r="K434" s="43" t="s">
        <v>92</v>
      </c>
      <c r="L434" s="103"/>
      <c r="M434" s="103"/>
    </row>
    <row r="435" spans="2:13" ht="11.25" customHeight="1">
      <c r="B435" s="57" t="str">
        <f t="shared" si="61"/>
        <v>Verandah</v>
      </c>
      <c r="E435" s="71"/>
      <c r="F435" s="87">
        <f t="shared" si="62"/>
        <v>1</v>
      </c>
      <c r="G435" s="87">
        <f t="shared" si="62"/>
        <v>2</v>
      </c>
      <c r="H435" s="89" t="e">
        <f t="shared" si="62"/>
        <v>#REF!</v>
      </c>
      <c r="I435" s="88" t="e">
        <f t="shared" si="63"/>
        <v>#REF!</v>
      </c>
      <c r="J435" s="88" t="e">
        <f t="shared" si="64"/>
        <v>#REF!</v>
      </c>
      <c r="K435" s="43" t="s">
        <v>92</v>
      </c>
      <c r="L435" s="103"/>
      <c r="M435" s="103"/>
    </row>
    <row r="436" spans="2:13" ht="11.25" customHeight="1">
      <c r="B436" s="57" t="str">
        <f t="shared" si="61"/>
        <v>Toilet-1</v>
      </c>
      <c r="E436" s="71"/>
      <c r="F436" s="87">
        <f t="shared" si="62"/>
        <v>0.5</v>
      </c>
      <c r="G436" s="87">
        <f t="shared" si="62"/>
        <v>2</v>
      </c>
      <c r="H436" s="89" t="e">
        <f t="shared" si="62"/>
        <v>#REF!</v>
      </c>
      <c r="I436" s="88" t="e">
        <f>I435</f>
        <v>#REF!</v>
      </c>
      <c r="J436" s="88" t="e">
        <f>ROUND(F436*G436*H436*I436,2)</f>
        <v>#REF!</v>
      </c>
      <c r="K436" s="43" t="s">
        <v>92</v>
      </c>
      <c r="L436" s="103"/>
      <c r="M436" s="103"/>
    </row>
    <row r="437" spans="2:13" ht="11.25" customHeight="1">
      <c r="B437" s="57" t="str">
        <f t="shared" si="61"/>
        <v>Toilet-2</v>
      </c>
      <c r="E437" s="71"/>
      <c r="F437" s="87">
        <f t="shared" si="62"/>
        <v>0.5</v>
      </c>
      <c r="G437" s="87">
        <f t="shared" si="62"/>
        <v>2</v>
      </c>
      <c r="H437" s="89" t="e">
        <f t="shared" si="62"/>
        <v>#REF!</v>
      </c>
      <c r="I437" s="88" t="e">
        <f>I436</f>
        <v>#REF!</v>
      </c>
      <c r="J437" s="88" t="e">
        <f>ROUND(F437*G437*H437*I437,2)</f>
        <v>#REF!</v>
      </c>
      <c r="K437" s="43" t="s">
        <v>92</v>
      </c>
      <c r="L437" s="103"/>
      <c r="M437" s="103"/>
    </row>
    <row r="438" spans="2:13" ht="11.25" customHeight="1">
      <c r="B438" s="57" t="str">
        <f t="shared" si="61"/>
        <v>WP</v>
      </c>
      <c r="E438" s="71"/>
      <c r="F438" s="87">
        <f t="shared" si="62"/>
        <v>0</v>
      </c>
      <c r="G438" s="87">
        <f t="shared" si="62"/>
        <v>2</v>
      </c>
      <c r="H438" s="89" t="e">
        <f t="shared" si="62"/>
        <v>#REF!</v>
      </c>
      <c r="I438" s="88" t="e">
        <f>I437</f>
        <v>#REF!</v>
      </c>
      <c r="J438" s="88" t="e">
        <f>ROUND(F438*G438*H438*I438,2)</f>
        <v>#REF!</v>
      </c>
      <c r="K438" s="43" t="s">
        <v>92</v>
      </c>
      <c r="L438" s="103"/>
      <c r="M438" s="103"/>
    </row>
    <row r="439" spans="2:13" ht="11.25" customHeight="1">
      <c r="B439" s="57" t="str">
        <f>B313</f>
        <v>Out side of building</v>
      </c>
      <c r="C439" s="91"/>
      <c r="E439" s="71"/>
      <c r="F439" s="87">
        <f t="shared" si="62"/>
        <v>1</v>
      </c>
      <c r="G439" s="87">
        <f t="shared" si="62"/>
        <v>2</v>
      </c>
      <c r="H439" s="89">
        <f t="shared" si="62"/>
        <v>0</v>
      </c>
      <c r="I439" s="88" t="e">
        <f>I435+'DRAWING HALL'!EU185</f>
        <v>#REF!</v>
      </c>
      <c r="J439" s="88" t="e">
        <f t="shared" si="64"/>
        <v>#REF!</v>
      </c>
      <c r="K439" s="120" t="s">
        <v>92</v>
      </c>
      <c r="L439" s="103" t="s">
        <v>1874</v>
      </c>
      <c r="M439" s="103"/>
    </row>
    <row r="440" spans="2:13" ht="11.25" customHeight="1">
      <c r="B440" s="57"/>
      <c r="E440" s="71"/>
      <c r="F440" s="87">
        <f t="shared" si="62"/>
        <v>1</v>
      </c>
      <c r="G440" s="87">
        <f t="shared" si="62"/>
        <v>2</v>
      </c>
      <c r="H440" s="89">
        <f t="shared" si="62"/>
        <v>0</v>
      </c>
      <c r="I440" s="88" t="e">
        <f t="shared" si="63"/>
        <v>#REF!</v>
      </c>
      <c r="J440" s="88" t="e">
        <f t="shared" si="64"/>
        <v>#REF!</v>
      </c>
      <c r="K440" s="86" t="s">
        <v>92</v>
      </c>
      <c r="L440" s="103" t="s">
        <v>1781</v>
      </c>
      <c r="M440" s="103"/>
    </row>
    <row r="441" spans="2:13" ht="11.25" customHeight="1">
      <c r="E441" s="71"/>
      <c r="F441" s="87"/>
      <c r="G441" s="88"/>
      <c r="H441" s="89"/>
      <c r="I441" s="90" t="s">
        <v>928</v>
      </c>
      <c r="J441" s="90" t="e">
        <f>SUM(J432:J440)</f>
        <v>#REF!</v>
      </c>
      <c r="K441" s="43" t="s">
        <v>92</v>
      </c>
      <c r="L441" s="103"/>
      <c r="M441" s="103"/>
    </row>
    <row r="442" spans="2:13" ht="11.25" customHeight="1">
      <c r="B442" s="105" t="s">
        <v>1883</v>
      </c>
      <c r="C442" s="89"/>
      <c r="D442" s="89"/>
      <c r="F442" s="87"/>
      <c r="G442" s="89"/>
      <c r="H442" s="89"/>
      <c r="I442" s="89"/>
      <c r="J442" s="88"/>
      <c r="K442" s="43"/>
      <c r="L442" s="103"/>
      <c r="M442" s="103"/>
    </row>
    <row r="443" spans="2:13" ht="11.25" customHeight="1">
      <c r="B443" s="43" t="s">
        <v>1877</v>
      </c>
      <c r="C443" s="89" t="e">
        <f>C397</f>
        <v>#REF!</v>
      </c>
      <c r="D443" s="89"/>
      <c r="F443" s="87" t="e">
        <f>F397</f>
        <v>#REF!</v>
      </c>
      <c r="G443" s="89" t="e">
        <f>G397</f>
        <v>#REF!</v>
      </c>
      <c r="H443" s="89"/>
      <c r="I443" s="89" t="e">
        <f>I397</f>
        <v>#REF!</v>
      </c>
      <c r="J443" s="88" t="e">
        <f>ROUND(F443*G443*I443,2)</f>
        <v>#REF!</v>
      </c>
      <c r="K443" s="43" t="s">
        <v>92</v>
      </c>
      <c r="L443" s="103"/>
      <c r="M443" s="103"/>
    </row>
    <row r="444" spans="2:13" ht="11.25" customHeight="1">
      <c r="C444" s="89" t="e">
        <f t="shared" ref="C444:C451" si="65">C398</f>
        <v>#REF!</v>
      </c>
      <c r="D444" s="89"/>
      <c r="E444" s="60"/>
      <c r="F444" s="87" t="e">
        <f t="shared" ref="F444:G452" si="66">F398</f>
        <v>#REF!</v>
      </c>
      <c r="G444" s="89" t="e">
        <f t="shared" si="66"/>
        <v>#REF!</v>
      </c>
      <c r="H444" s="89"/>
      <c r="I444" s="89" t="e">
        <f t="shared" ref="I444:I452" si="67">I398</f>
        <v>#REF!</v>
      </c>
      <c r="J444" s="88" t="e">
        <f>ROUND(F444*G444*I444,2)</f>
        <v>#REF!</v>
      </c>
      <c r="K444" s="43" t="s">
        <v>92</v>
      </c>
      <c r="L444" s="103"/>
      <c r="M444" s="103"/>
    </row>
    <row r="445" spans="2:13" ht="11.25" customHeight="1">
      <c r="C445" s="89" t="e">
        <f t="shared" si="65"/>
        <v>#REF!</v>
      </c>
      <c r="D445" s="89"/>
      <c r="E445" s="60"/>
      <c r="F445" s="87" t="e">
        <f t="shared" si="66"/>
        <v>#REF!</v>
      </c>
      <c r="G445" s="89" t="e">
        <f t="shared" si="66"/>
        <v>#REF!</v>
      </c>
      <c r="H445" s="89"/>
      <c r="I445" s="89" t="e">
        <f t="shared" si="67"/>
        <v>#REF!</v>
      </c>
      <c r="J445" s="88" t="e">
        <f>ROUND(F445*G445*I445,2)</f>
        <v>#REF!</v>
      </c>
      <c r="K445" s="43" t="s">
        <v>92</v>
      </c>
      <c r="L445" s="103"/>
      <c r="M445" s="103"/>
    </row>
    <row r="446" spans="2:13" ht="11.25" customHeight="1">
      <c r="C446" s="89" t="e">
        <f t="shared" si="65"/>
        <v>#REF!</v>
      </c>
      <c r="D446" s="89"/>
      <c r="E446" s="60"/>
      <c r="F446" s="87" t="e">
        <f t="shared" si="66"/>
        <v>#REF!</v>
      </c>
      <c r="G446" s="89" t="e">
        <f t="shared" si="66"/>
        <v>#REF!</v>
      </c>
      <c r="H446" s="89"/>
      <c r="I446" s="89" t="e">
        <f t="shared" si="67"/>
        <v>#REF!</v>
      </c>
      <c r="J446" s="88" t="e">
        <f>ROUND(F446*G446*I446,2)</f>
        <v>#REF!</v>
      </c>
      <c r="K446" s="43" t="s">
        <v>92</v>
      </c>
      <c r="L446" s="103"/>
      <c r="M446" s="103"/>
    </row>
    <row r="447" spans="2:13" ht="11.25" customHeight="1">
      <c r="C447" s="89" t="e">
        <f t="shared" si="65"/>
        <v>#REF!</v>
      </c>
      <c r="D447" s="89"/>
      <c r="E447" s="60"/>
      <c r="F447" s="87" t="e">
        <f t="shared" si="66"/>
        <v>#REF!</v>
      </c>
      <c r="G447" s="89" t="e">
        <f t="shared" si="66"/>
        <v>#REF!</v>
      </c>
      <c r="H447" s="89"/>
      <c r="I447" s="89" t="e">
        <f t="shared" si="67"/>
        <v>#REF!</v>
      </c>
      <c r="J447" s="88" t="e">
        <f t="shared" ref="J447:J452" si="68">ROUND(F447*G447*I447,2)</f>
        <v>#REF!</v>
      </c>
      <c r="K447" s="43" t="s">
        <v>92</v>
      </c>
      <c r="L447" s="103"/>
      <c r="M447" s="103"/>
    </row>
    <row r="448" spans="2:13" ht="11.25" customHeight="1">
      <c r="C448" s="89" t="e">
        <f t="shared" si="65"/>
        <v>#REF!</v>
      </c>
      <c r="D448" s="89"/>
      <c r="E448" s="60"/>
      <c r="F448" s="87" t="e">
        <f t="shared" si="66"/>
        <v>#REF!</v>
      </c>
      <c r="G448" s="89" t="e">
        <f t="shared" si="66"/>
        <v>#REF!</v>
      </c>
      <c r="H448" s="89"/>
      <c r="I448" s="89" t="e">
        <f t="shared" si="67"/>
        <v>#REF!</v>
      </c>
      <c r="J448" s="88" t="e">
        <f t="shared" si="68"/>
        <v>#REF!</v>
      </c>
      <c r="K448" s="43" t="s">
        <v>92</v>
      </c>
      <c r="L448" s="103"/>
      <c r="M448" s="103"/>
    </row>
    <row r="449" spans="1:18" ht="11.25" customHeight="1">
      <c r="C449" s="89" t="e">
        <f t="shared" si="65"/>
        <v>#REF!</v>
      </c>
      <c r="D449" s="89"/>
      <c r="E449" s="60"/>
      <c r="F449" s="87" t="e">
        <f t="shared" si="66"/>
        <v>#REF!</v>
      </c>
      <c r="G449" s="89" t="e">
        <f t="shared" si="66"/>
        <v>#REF!</v>
      </c>
      <c r="H449" s="89"/>
      <c r="I449" s="89" t="e">
        <f t="shared" si="67"/>
        <v>#REF!</v>
      </c>
      <c r="J449" s="88" t="e">
        <f t="shared" si="68"/>
        <v>#REF!</v>
      </c>
      <c r="K449" s="43" t="s">
        <v>92</v>
      </c>
      <c r="L449" s="103"/>
      <c r="M449" s="103"/>
    </row>
    <row r="450" spans="1:18" ht="11.25" customHeight="1">
      <c r="C450" s="89" t="e">
        <f t="shared" si="65"/>
        <v>#REF!</v>
      </c>
      <c r="D450" s="89"/>
      <c r="E450" s="60"/>
      <c r="F450" s="87" t="e">
        <f t="shared" si="66"/>
        <v>#REF!</v>
      </c>
      <c r="G450" s="89" t="e">
        <f t="shared" si="66"/>
        <v>#REF!</v>
      </c>
      <c r="H450" s="89"/>
      <c r="I450" s="89" t="e">
        <f t="shared" si="67"/>
        <v>#REF!</v>
      </c>
      <c r="J450" s="88" t="e">
        <f t="shared" si="68"/>
        <v>#REF!</v>
      </c>
      <c r="K450" s="43" t="s">
        <v>92</v>
      </c>
      <c r="L450" s="103"/>
      <c r="M450" s="103"/>
    </row>
    <row r="451" spans="1:18" ht="11.25" customHeight="1">
      <c r="C451" s="89" t="str">
        <f t="shared" si="65"/>
        <v>WP</v>
      </c>
      <c r="D451" s="89"/>
      <c r="E451" s="60"/>
      <c r="F451" s="87">
        <f t="shared" si="66"/>
        <v>1</v>
      </c>
      <c r="G451" s="89" t="e">
        <f t="shared" si="66"/>
        <v>#REF!</v>
      </c>
      <c r="H451" s="89"/>
      <c r="I451" s="89" t="e">
        <f t="shared" si="67"/>
        <v>#REF!</v>
      </c>
      <c r="J451" s="88" t="e">
        <f t="shared" si="68"/>
        <v>#REF!</v>
      </c>
      <c r="K451" s="43" t="s">
        <v>92</v>
      </c>
      <c r="L451" s="103"/>
      <c r="M451" s="103"/>
    </row>
    <row r="452" spans="1:18" ht="11.25" customHeight="1">
      <c r="C452" s="89"/>
      <c r="D452" s="89"/>
      <c r="E452" s="60"/>
      <c r="F452" s="87">
        <f t="shared" si="66"/>
        <v>1</v>
      </c>
      <c r="G452" s="89" t="e">
        <f t="shared" si="66"/>
        <v>#REF!</v>
      </c>
      <c r="H452" s="89"/>
      <c r="I452" s="89" t="e">
        <f t="shared" si="67"/>
        <v>#REF!</v>
      </c>
      <c r="J452" s="88" t="e">
        <f t="shared" si="68"/>
        <v>#REF!</v>
      </c>
      <c r="K452" s="43" t="s">
        <v>92</v>
      </c>
      <c r="L452" s="103"/>
      <c r="M452" s="103"/>
    </row>
    <row r="453" spans="1:18" ht="12.75">
      <c r="C453" s="89"/>
      <c r="D453" s="89"/>
      <c r="F453" s="87"/>
      <c r="G453" s="89"/>
      <c r="H453" s="89"/>
      <c r="I453" s="107" t="s">
        <v>1884</v>
      </c>
      <c r="J453" s="90" t="e">
        <f>SUM(J443:J452)</f>
        <v>#REF!</v>
      </c>
      <c r="K453" s="43" t="s">
        <v>92</v>
      </c>
      <c r="L453" s="103"/>
      <c r="M453" s="103"/>
    </row>
    <row r="454" spans="1:18" ht="12.75">
      <c r="C454" s="89"/>
      <c r="D454" s="89"/>
      <c r="F454" s="87"/>
      <c r="G454" s="89"/>
      <c r="H454" s="89"/>
      <c r="I454" s="107" t="s">
        <v>1623</v>
      </c>
      <c r="J454" s="90" t="e">
        <f>J441-J453</f>
        <v>#REF!</v>
      </c>
      <c r="K454" s="61" t="s">
        <v>92</v>
      </c>
      <c r="L454" s="103" t="s">
        <v>201</v>
      </c>
      <c r="M454" s="103"/>
    </row>
    <row r="455" spans="1:18" ht="12.75">
      <c r="B455" s="43" t="s">
        <v>1885</v>
      </c>
      <c r="C455" s="89"/>
      <c r="D455" s="89"/>
      <c r="F455" s="87"/>
      <c r="G455" s="89"/>
      <c r="H455" s="89"/>
      <c r="I455" s="107"/>
      <c r="J455" s="90" t="e">
        <f>J454*50%</f>
        <v>#REF!</v>
      </c>
      <c r="K455" s="61" t="s">
        <v>92</v>
      </c>
      <c r="L455" s="103"/>
      <c r="M455" s="103"/>
    </row>
    <row r="456" spans="1:18" s="11" customFormat="1" ht="12.75" customHeight="1">
      <c r="A456" s="98"/>
      <c r="C456" s="99" t="s">
        <v>379</v>
      </c>
      <c r="D456" s="3604" t="e">
        <f>J455</f>
        <v>#REF!</v>
      </c>
      <c r="E456" s="3604"/>
      <c r="F456" s="100" t="s">
        <v>1859</v>
      </c>
      <c r="G456" s="3605">
        <v>154.5</v>
      </c>
      <c r="H456" s="3605"/>
      <c r="J456" s="101" t="s">
        <v>1860</v>
      </c>
      <c r="K456" s="3606" t="e">
        <f>ROUND(D456*G456,0)</f>
        <v>#REF!</v>
      </c>
      <c r="L456" s="3606"/>
      <c r="M456" s="102"/>
    </row>
    <row r="457" spans="1:18" s="11" customFormat="1" ht="65.25" customHeight="1">
      <c r="A457" s="98">
        <v>12</v>
      </c>
      <c r="B457" s="3603" t="s">
        <v>1597</v>
      </c>
      <c r="C457" s="3603"/>
      <c r="D457" s="3603"/>
      <c r="E457" s="101"/>
      <c r="F457" s="100"/>
      <c r="G457" s="115"/>
      <c r="H457" s="115"/>
      <c r="J457" s="101"/>
      <c r="K457" s="102"/>
      <c r="L457" s="102"/>
      <c r="M457" s="102"/>
    </row>
    <row r="458" spans="1:18" s="11" customFormat="1" ht="12.75" customHeight="1">
      <c r="A458" s="98"/>
      <c r="C458" s="99"/>
      <c r="D458" s="101"/>
      <c r="E458" s="101"/>
      <c r="F458" s="100"/>
      <c r="G458" s="115"/>
      <c r="H458" s="115"/>
      <c r="J458" s="101" t="e">
        <f>J455</f>
        <v>#REF!</v>
      </c>
      <c r="K458" s="102" t="str">
        <f>K455</f>
        <v>Sqm</v>
      </c>
      <c r="L458" s="102"/>
      <c r="M458" s="102"/>
    </row>
    <row r="459" spans="1:18" s="11" customFormat="1" ht="12.75" customHeight="1">
      <c r="A459" s="98"/>
      <c r="C459" s="99" t="s">
        <v>379</v>
      </c>
      <c r="D459" s="3604" t="e">
        <f>J458</f>
        <v>#REF!</v>
      </c>
      <c r="E459" s="3604"/>
      <c r="F459" s="100" t="s">
        <v>1859</v>
      </c>
      <c r="G459" s="3605">
        <v>95.4</v>
      </c>
      <c r="H459" s="3605"/>
      <c r="J459" s="101" t="s">
        <v>1860</v>
      </c>
      <c r="K459" s="3606" t="e">
        <f>ROUND(D459*G459,0)</f>
        <v>#REF!</v>
      </c>
      <c r="L459" s="3606"/>
      <c r="M459" s="102"/>
    </row>
    <row r="460" spans="1:18" ht="75" customHeight="1">
      <c r="A460" s="72">
        <v>13</v>
      </c>
      <c r="B460" s="3603" t="s">
        <v>1602</v>
      </c>
      <c r="C460" s="3603"/>
      <c r="D460" s="3603"/>
      <c r="E460" s="71" t="s">
        <v>390</v>
      </c>
      <c r="F460" s="88"/>
      <c r="H460" s="66"/>
      <c r="I460" s="74"/>
      <c r="J460" s="74"/>
      <c r="O460" s="89"/>
      <c r="P460" s="72"/>
      <c r="Q460" s="90"/>
      <c r="R460" s="90"/>
    </row>
    <row r="461" spans="1:18" ht="15" customHeight="1">
      <c r="A461" s="72" t="s">
        <v>201</v>
      </c>
      <c r="B461" s="122" t="s">
        <v>1886</v>
      </c>
      <c r="C461" s="109"/>
      <c r="D461" s="109"/>
      <c r="E461" s="71"/>
      <c r="F461" s="88"/>
      <c r="H461" s="66"/>
      <c r="I461" s="74"/>
      <c r="J461" s="74"/>
      <c r="O461" s="89"/>
      <c r="P461" s="72"/>
      <c r="Q461" s="90"/>
      <c r="R461" s="90"/>
    </row>
    <row r="462" spans="1:18" s="11" customFormat="1" ht="12.75" customHeight="1">
      <c r="A462" s="98"/>
      <c r="B462" s="118" t="str">
        <f t="shared" ref="B462:B468" si="69">B412</f>
        <v>Hall</v>
      </c>
      <c r="C462" s="99"/>
      <c r="D462" s="101"/>
      <c r="E462" s="101"/>
      <c r="F462" s="87">
        <f t="shared" ref="F462:H468" si="70">F412</f>
        <v>1</v>
      </c>
      <c r="G462" s="88">
        <f t="shared" si="70"/>
        <v>0</v>
      </c>
      <c r="H462" s="88">
        <f t="shared" si="70"/>
        <v>0</v>
      </c>
      <c r="I462" s="88"/>
      <c r="J462" s="88">
        <f t="shared" ref="J462:J474" si="71">ROUND(F462*G462*H462,2)</f>
        <v>0</v>
      </c>
      <c r="K462" s="43" t="s">
        <v>92</v>
      </c>
      <c r="L462" s="102"/>
      <c r="M462" s="102"/>
    </row>
    <row r="463" spans="1:18" s="11" customFormat="1" ht="12.75" customHeight="1">
      <c r="A463" s="98"/>
      <c r="B463" s="118" t="str">
        <f t="shared" si="69"/>
        <v>Kitchen</v>
      </c>
      <c r="C463" s="99"/>
      <c r="D463" s="101"/>
      <c r="E463" s="101"/>
      <c r="F463" s="87">
        <f t="shared" si="70"/>
        <v>1</v>
      </c>
      <c r="G463" s="88">
        <f t="shared" si="70"/>
        <v>0</v>
      </c>
      <c r="H463" s="88">
        <f t="shared" si="70"/>
        <v>0</v>
      </c>
      <c r="I463" s="88"/>
      <c r="J463" s="88">
        <f t="shared" si="71"/>
        <v>0</v>
      </c>
      <c r="K463" s="43" t="s">
        <v>92</v>
      </c>
      <c r="L463" s="102"/>
      <c r="M463" s="102"/>
    </row>
    <row r="464" spans="1:18" s="11" customFormat="1" ht="12.75" customHeight="1">
      <c r="A464" s="98"/>
      <c r="B464" s="118" t="str">
        <f t="shared" si="69"/>
        <v>Store</v>
      </c>
      <c r="C464" s="99"/>
      <c r="D464" s="101"/>
      <c r="E464" s="101"/>
      <c r="F464" s="87">
        <f t="shared" si="70"/>
        <v>1</v>
      </c>
      <c r="G464" s="88">
        <f t="shared" si="70"/>
        <v>0</v>
      </c>
      <c r="H464" s="88">
        <f t="shared" si="70"/>
        <v>0</v>
      </c>
      <c r="I464" s="88"/>
      <c r="J464" s="88">
        <f t="shared" si="71"/>
        <v>0</v>
      </c>
      <c r="K464" s="43" t="s">
        <v>92</v>
      </c>
      <c r="L464" s="102"/>
      <c r="M464" s="102"/>
    </row>
    <row r="465" spans="1:18" s="11" customFormat="1" ht="12.75" customHeight="1">
      <c r="A465" s="98"/>
      <c r="B465" s="118" t="str">
        <f t="shared" si="69"/>
        <v>Verandah</v>
      </c>
      <c r="C465" s="99"/>
      <c r="D465" s="101"/>
      <c r="E465" s="101"/>
      <c r="F465" s="87">
        <f t="shared" si="70"/>
        <v>1</v>
      </c>
      <c r="G465" s="88">
        <f t="shared" si="70"/>
        <v>0</v>
      </c>
      <c r="H465" s="88">
        <f t="shared" si="70"/>
        <v>0</v>
      </c>
      <c r="I465" s="88"/>
      <c r="J465" s="88">
        <f t="shared" si="71"/>
        <v>0</v>
      </c>
      <c r="K465" s="43" t="s">
        <v>92</v>
      </c>
      <c r="L465" s="102"/>
      <c r="M465" s="102"/>
    </row>
    <row r="466" spans="1:18" s="11" customFormat="1" ht="12.75" customHeight="1">
      <c r="A466" s="98"/>
      <c r="B466" s="118" t="str">
        <f t="shared" si="69"/>
        <v>Toilet-1</v>
      </c>
      <c r="C466" s="99"/>
      <c r="D466" s="101"/>
      <c r="E466" s="101"/>
      <c r="F466" s="87">
        <f t="shared" si="70"/>
        <v>0</v>
      </c>
      <c r="G466" s="88">
        <f t="shared" si="70"/>
        <v>0</v>
      </c>
      <c r="H466" s="88">
        <f t="shared" si="70"/>
        <v>0</v>
      </c>
      <c r="I466" s="88"/>
      <c r="J466" s="88">
        <f t="shared" si="71"/>
        <v>0</v>
      </c>
      <c r="K466" s="43" t="s">
        <v>92</v>
      </c>
      <c r="L466" s="102"/>
      <c r="M466" s="102"/>
    </row>
    <row r="467" spans="1:18" s="11" customFormat="1" ht="12.75" customHeight="1">
      <c r="A467" s="98"/>
      <c r="B467" s="118" t="str">
        <f t="shared" si="69"/>
        <v>Toilet-2</v>
      </c>
      <c r="C467" s="99"/>
      <c r="D467" s="101"/>
      <c r="E467" s="101"/>
      <c r="F467" s="87">
        <f t="shared" si="70"/>
        <v>0</v>
      </c>
      <c r="G467" s="88">
        <f t="shared" si="70"/>
        <v>0</v>
      </c>
      <c r="H467" s="88">
        <f t="shared" si="70"/>
        <v>0</v>
      </c>
      <c r="I467" s="88"/>
      <c r="J467" s="88">
        <f t="shared" si="71"/>
        <v>0</v>
      </c>
      <c r="K467" s="43" t="s">
        <v>92</v>
      </c>
      <c r="L467" s="102"/>
      <c r="M467" s="102"/>
    </row>
    <row r="468" spans="1:18" s="11" customFormat="1" ht="12.75" customHeight="1">
      <c r="A468" s="98"/>
      <c r="B468" s="118" t="str">
        <f t="shared" si="69"/>
        <v>WP</v>
      </c>
      <c r="C468" s="99"/>
      <c r="D468" s="101"/>
      <c r="E468" s="101"/>
      <c r="F468" s="87">
        <f t="shared" si="70"/>
        <v>0</v>
      </c>
      <c r="G468" s="88">
        <f t="shared" si="70"/>
        <v>0</v>
      </c>
      <c r="H468" s="88">
        <f t="shared" si="70"/>
        <v>0</v>
      </c>
      <c r="I468" s="88"/>
      <c r="J468" s="88">
        <f t="shared" si="71"/>
        <v>0</v>
      </c>
      <c r="K468" s="43" t="s">
        <v>92</v>
      </c>
      <c r="L468" s="102"/>
      <c r="M468" s="102"/>
    </row>
    <row r="469" spans="1:18" s="11" customFormat="1" ht="12.75" customHeight="1">
      <c r="A469" s="98"/>
      <c r="B469" s="118" t="str">
        <f>B421</f>
        <v>Steps</v>
      </c>
      <c r="C469" s="99"/>
      <c r="D469" s="101"/>
      <c r="E469" s="101"/>
      <c r="F469" s="87">
        <f t="shared" ref="F469:H470" si="72">F421</f>
        <v>4</v>
      </c>
      <c r="G469" s="88">
        <f t="shared" si="72"/>
        <v>1.2</v>
      </c>
      <c r="H469" s="88">
        <f t="shared" si="72"/>
        <v>0</v>
      </c>
      <c r="I469" s="88"/>
      <c r="J469" s="88">
        <f t="shared" si="71"/>
        <v>0</v>
      </c>
      <c r="K469" s="43" t="s">
        <v>92</v>
      </c>
      <c r="L469" s="102"/>
      <c r="M469" s="102"/>
    </row>
    <row r="470" spans="1:18" s="11" customFormat="1" ht="12.75" customHeight="1">
      <c r="A470" s="98"/>
      <c r="C470" s="99"/>
      <c r="D470" s="101"/>
      <c r="E470" s="101"/>
      <c r="F470" s="87">
        <f t="shared" si="72"/>
        <v>2</v>
      </c>
      <c r="G470" s="88" t="e">
        <f t="shared" si="72"/>
        <v>#REF!</v>
      </c>
      <c r="H470" s="88">
        <f t="shared" si="72"/>
        <v>0</v>
      </c>
      <c r="I470" s="88"/>
      <c r="J470" s="88" t="e">
        <f t="shared" si="71"/>
        <v>#REF!</v>
      </c>
      <c r="K470" s="43" t="s">
        <v>92</v>
      </c>
      <c r="L470" s="102"/>
      <c r="M470" s="102"/>
    </row>
    <row r="471" spans="1:18" s="11" customFormat="1" ht="12.75" customHeight="1">
      <c r="A471" s="98"/>
      <c r="B471" s="11" t="s">
        <v>1887</v>
      </c>
      <c r="C471" s="99"/>
      <c r="D471" s="110" t="e">
        <f>#REF!</f>
        <v>#REF!</v>
      </c>
      <c r="E471" s="101"/>
      <c r="F471" s="87" t="e">
        <f>#REF!</f>
        <v>#REF!</v>
      </c>
      <c r="G471" s="88" t="e">
        <f>#REF!</f>
        <v>#REF!</v>
      </c>
      <c r="H471" s="88" t="e">
        <f>#REF!</f>
        <v>#REF!</v>
      </c>
      <c r="I471" s="88"/>
      <c r="J471" s="88" t="e">
        <f t="shared" si="71"/>
        <v>#REF!</v>
      </c>
      <c r="K471" s="43" t="s">
        <v>92</v>
      </c>
      <c r="L471" s="102"/>
      <c r="M471" s="102"/>
    </row>
    <row r="472" spans="1:18" s="11" customFormat="1" ht="12.75" customHeight="1">
      <c r="A472" s="98"/>
      <c r="C472" s="99"/>
      <c r="D472" s="110" t="e">
        <f>#REF!</f>
        <v>#REF!</v>
      </c>
      <c r="E472" s="101"/>
      <c r="F472" s="87" t="e">
        <f>#REF!</f>
        <v>#REF!</v>
      </c>
      <c r="G472" s="88" t="e">
        <f>#REF!</f>
        <v>#REF!</v>
      </c>
      <c r="H472" s="88" t="e">
        <f>H471</f>
        <v>#REF!</v>
      </c>
      <c r="I472" s="88"/>
      <c r="J472" s="88" t="e">
        <f t="shared" si="71"/>
        <v>#REF!</v>
      </c>
      <c r="K472" s="43" t="s">
        <v>92</v>
      </c>
      <c r="L472" s="102"/>
      <c r="M472" s="102"/>
    </row>
    <row r="473" spans="1:18" s="11" customFormat="1" ht="12.75" customHeight="1">
      <c r="A473" s="98"/>
      <c r="C473" s="99"/>
      <c r="D473" s="110" t="e">
        <f>#REF!</f>
        <v>#REF!</v>
      </c>
      <c r="E473" s="101"/>
      <c r="F473" s="87" t="e">
        <f>#REF!-2</f>
        <v>#REF!</v>
      </c>
      <c r="G473" s="88" t="e">
        <f>#REF!</f>
        <v>#REF!</v>
      </c>
      <c r="H473" s="88" t="e">
        <f>H472</f>
        <v>#REF!</v>
      </c>
      <c r="I473" s="88"/>
      <c r="J473" s="88" t="e">
        <f t="shared" si="71"/>
        <v>#REF!</v>
      </c>
      <c r="K473" s="43" t="s">
        <v>92</v>
      </c>
      <c r="L473" s="102"/>
      <c r="M473" s="102"/>
    </row>
    <row r="474" spans="1:18" s="11" customFormat="1" ht="12.75" customHeight="1">
      <c r="A474" s="98"/>
      <c r="C474" s="99"/>
      <c r="D474" s="110" t="e">
        <f>#REF!</f>
        <v>#REF!</v>
      </c>
      <c r="E474" s="101"/>
      <c r="F474" s="87" t="e">
        <f>#REF!</f>
        <v>#REF!</v>
      </c>
      <c r="G474" s="88" t="e">
        <f>#REF!</f>
        <v>#REF!</v>
      </c>
      <c r="H474" s="88" t="e">
        <f>H473</f>
        <v>#REF!</v>
      </c>
      <c r="I474" s="88"/>
      <c r="J474" s="88" t="e">
        <f t="shared" si="71"/>
        <v>#REF!</v>
      </c>
      <c r="K474" s="43" t="s">
        <v>92</v>
      </c>
      <c r="L474" s="102"/>
      <c r="M474" s="102"/>
    </row>
    <row r="475" spans="1:18" s="11" customFormat="1" ht="12.75" customHeight="1">
      <c r="A475" s="98"/>
      <c r="C475" s="99"/>
      <c r="D475" s="101"/>
      <c r="E475" s="101"/>
      <c r="F475" s="87"/>
      <c r="G475" s="88"/>
      <c r="H475" s="88"/>
      <c r="I475" s="88"/>
      <c r="J475" s="88" t="e">
        <f>SUM(J462:J474)</f>
        <v>#REF!</v>
      </c>
      <c r="K475" s="43" t="s">
        <v>92</v>
      </c>
      <c r="L475" s="102"/>
      <c r="M475" s="102"/>
    </row>
    <row r="476" spans="1:18" s="11" customFormat="1" ht="11.25" customHeight="1">
      <c r="A476" s="98"/>
      <c r="C476" s="99" t="s">
        <v>379</v>
      </c>
      <c r="D476" s="3604" t="e">
        <f>J475</f>
        <v>#REF!</v>
      </c>
      <c r="E476" s="3604"/>
      <c r="F476" s="100" t="s">
        <v>1859</v>
      </c>
      <c r="G476" s="3605">
        <v>829.3</v>
      </c>
      <c r="H476" s="3605"/>
      <c r="J476" s="101" t="s">
        <v>1860</v>
      </c>
      <c r="K476" s="3606" t="e">
        <f>ROUND(D476*G476,0)</f>
        <v>#REF!</v>
      </c>
      <c r="L476" s="3606"/>
      <c r="M476" s="102"/>
    </row>
    <row r="477" spans="1:18" ht="11.25" customHeight="1">
      <c r="A477" s="72" t="s">
        <v>220</v>
      </c>
      <c r="B477" s="122" t="s">
        <v>228</v>
      </c>
      <c r="C477" s="109"/>
      <c r="D477" s="109"/>
      <c r="E477" s="71"/>
      <c r="F477" s="88"/>
      <c r="H477" s="66"/>
      <c r="I477" s="74"/>
      <c r="J477" s="74"/>
      <c r="O477" s="89"/>
      <c r="P477" s="72"/>
      <c r="Q477" s="90"/>
      <c r="R477" s="90"/>
    </row>
    <row r="478" spans="1:18" ht="11.25" customHeight="1">
      <c r="B478" s="57" t="str">
        <f>B436</f>
        <v>Toilet-1</v>
      </c>
      <c r="E478" s="71"/>
      <c r="F478" s="87">
        <v>1</v>
      </c>
      <c r="G478" s="88" t="e">
        <f>#REF!</f>
        <v>#REF!</v>
      </c>
      <c r="H478" s="3" t="e">
        <f>#REF!</f>
        <v>#REF!</v>
      </c>
      <c r="I478" s="88"/>
      <c r="J478" s="88" t="e">
        <f>ROUND(F478*G478*H478,2)</f>
        <v>#REF!</v>
      </c>
      <c r="K478" s="43" t="s">
        <v>92</v>
      </c>
      <c r="L478" s="103"/>
      <c r="M478" s="103"/>
      <c r="O478" s="89"/>
      <c r="P478" s="72"/>
      <c r="Q478" s="90"/>
      <c r="R478" s="90"/>
    </row>
    <row r="479" spans="1:18" ht="11.25" customHeight="1">
      <c r="B479" s="57" t="str">
        <f>B437</f>
        <v>Toilet-2</v>
      </c>
      <c r="E479" s="71"/>
      <c r="F479" s="87">
        <v>1</v>
      </c>
      <c r="G479" s="88" t="e">
        <f>#REF!</f>
        <v>#REF!</v>
      </c>
      <c r="H479" s="3" t="e">
        <f>#REF!</f>
        <v>#REF!</v>
      </c>
      <c r="I479" s="88"/>
      <c r="J479" s="88" t="e">
        <f>ROUND(F479*G479*H479,2)</f>
        <v>#REF!</v>
      </c>
      <c r="K479" s="43" t="s">
        <v>92</v>
      </c>
      <c r="L479" s="103"/>
      <c r="M479" s="103"/>
      <c r="O479" s="89"/>
      <c r="P479" s="72"/>
      <c r="Q479" s="90"/>
      <c r="R479" s="90"/>
    </row>
    <row r="480" spans="1:18" ht="11.25" customHeight="1">
      <c r="B480" s="57"/>
      <c r="E480" s="71"/>
      <c r="F480" s="87">
        <v>2</v>
      </c>
      <c r="G480" s="88" t="e">
        <f>G473</f>
        <v>#REF!</v>
      </c>
      <c r="H480" s="3" t="e">
        <f>H473</f>
        <v>#REF!</v>
      </c>
      <c r="I480" s="88"/>
      <c r="J480" s="88" t="e">
        <f>ROUND(F480*G480*H480,2)</f>
        <v>#REF!</v>
      </c>
      <c r="K480" s="43" t="s">
        <v>92</v>
      </c>
      <c r="L480" s="103"/>
      <c r="M480" s="103"/>
      <c r="O480" s="89"/>
      <c r="P480" s="72"/>
      <c r="Q480" s="90"/>
      <c r="R480" s="90"/>
    </row>
    <row r="481" spans="1:21" ht="11.25" customHeight="1">
      <c r="E481" s="71"/>
      <c r="F481" s="87"/>
      <c r="H481" s="66"/>
      <c r="I481" s="107" t="s">
        <v>1623</v>
      </c>
      <c r="J481" s="90" t="e">
        <f>SUM(J478:J480)</f>
        <v>#REF!</v>
      </c>
      <c r="K481" s="43" t="s">
        <v>92</v>
      </c>
      <c r="L481" s="103"/>
      <c r="M481" s="103"/>
      <c r="R481" s="72"/>
      <c r="S481" s="87"/>
      <c r="T481" s="88"/>
      <c r="U481" s="88"/>
    </row>
    <row r="482" spans="1:21" s="11" customFormat="1" ht="11.25" customHeight="1">
      <c r="A482" s="98"/>
      <c r="C482" s="99" t="s">
        <v>379</v>
      </c>
      <c r="D482" s="3604" t="e">
        <f>J481</f>
        <v>#REF!</v>
      </c>
      <c r="E482" s="3604"/>
      <c r="F482" s="100" t="s">
        <v>1859</v>
      </c>
      <c r="G482" s="3605">
        <v>610</v>
      </c>
      <c r="H482" s="3605"/>
      <c r="J482" s="101" t="s">
        <v>1860</v>
      </c>
      <c r="K482" s="3606" t="e">
        <f>ROUND(D482*G482,0)</f>
        <v>#REF!</v>
      </c>
      <c r="L482" s="3606"/>
      <c r="M482" s="102"/>
    </row>
    <row r="483" spans="1:21" s="11" customFormat="1" ht="63" customHeight="1">
      <c r="A483" s="98">
        <v>14</v>
      </c>
      <c r="B483" s="3603" t="s">
        <v>3062</v>
      </c>
      <c r="C483" s="3603"/>
      <c r="D483" s="3603"/>
      <c r="E483" s="101"/>
      <c r="F483" s="100"/>
      <c r="G483" s="115"/>
      <c r="H483" s="115"/>
      <c r="J483" s="101"/>
      <c r="K483" s="102"/>
      <c r="L483" s="102"/>
      <c r="M483" s="102"/>
    </row>
    <row r="484" spans="1:21" s="11" customFormat="1" ht="16.5" customHeight="1">
      <c r="A484" s="98" t="s">
        <v>201</v>
      </c>
      <c r="B484" s="122" t="s">
        <v>1888</v>
      </c>
      <c r="C484" s="109"/>
      <c r="D484" s="109"/>
      <c r="E484" s="101"/>
      <c r="F484" s="100"/>
      <c r="G484" s="115"/>
      <c r="H484" s="115"/>
      <c r="J484" s="101"/>
      <c r="K484" s="102"/>
      <c r="L484" s="102"/>
      <c r="M484" s="102"/>
    </row>
    <row r="485" spans="1:21" s="11" customFormat="1" ht="12.75" customHeight="1">
      <c r="A485" s="98"/>
      <c r="B485" s="118" t="str">
        <f>B462</f>
        <v>Hall</v>
      </c>
      <c r="C485" s="99"/>
      <c r="D485" s="101"/>
      <c r="E485" s="101"/>
      <c r="F485" s="87">
        <f>F462</f>
        <v>1</v>
      </c>
      <c r="G485" s="88">
        <f>G462+H462</f>
        <v>0</v>
      </c>
      <c r="H485" s="88"/>
      <c r="I485" s="88">
        <v>0.15</v>
      </c>
      <c r="J485" s="88">
        <f>ROUND(F485*G485*I485,2)</f>
        <v>0</v>
      </c>
      <c r="K485" s="43" t="s">
        <v>92</v>
      </c>
      <c r="L485" s="102"/>
      <c r="M485" s="102"/>
    </row>
    <row r="486" spans="1:21" s="11" customFormat="1" ht="12.75" customHeight="1">
      <c r="A486" s="98"/>
      <c r="B486" s="118" t="str">
        <f>B463</f>
        <v>Kitchen</v>
      </c>
      <c r="C486" s="99"/>
      <c r="D486" s="101"/>
      <c r="E486" s="101"/>
      <c r="F486" s="87">
        <f>F463</f>
        <v>1</v>
      </c>
      <c r="G486" s="88">
        <f>G463+H463</f>
        <v>0</v>
      </c>
      <c r="H486" s="88"/>
      <c r="I486" s="88">
        <v>0.15</v>
      </c>
      <c r="J486" s="88">
        <f>ROUND(F486*G486*I486,2)</f>
        <v>0</v>
      </c>
      <c r="K486" s="43" t="s">
        <v>92</v>
      </c>
      <c r="L486" s="102"/>
      <c r="M486" s="102"/>
    </row>
    <row r="487" spans="1:21" s="11" customFormat="1" ht="12.75" customHeight="1">
      <c r="A487" s="98"/>
      <c r="B487" s="118" t="str">
        <f>B464</f>
        <v>Store</v>
      </c>
      <c r="C487" s="99"/>
      <c r="D487" s="101"/>
      <c r="E487" s="101"/>
      <c r="F487" s="87">
        <f>F464</f>
        <v>1</v>
      </c>
      <c r="G487" s="88">
        <f>G464+H464</f>
        <v>0</v>
      </c>
      <c r="H487" s="88"/>
      <c r="I487" s="88">
        <v>0.15</v>
      </c>
      <c r="J487" s="88">
        <f>ROUND(F487*G487*I487,2)</f>
        <v>0</v>
      </c>
      <c r="K487" s="43" t="s">
        <v>92</v>
      </c>
      <c r="L487" s="102"/>
      <c r="M487" s="102"/>
    </row>
    <row r="488" spans="1:21" s="11" customFormat="1" ht="12.75" customHeight="1">
      <c r="A488" s="98"/>
      <c r="B488" s="118" t="str">
        <f>B465</f>
        <v>Verandah</v>
      </c>
      <c r="C488" s="99"/>
      <c r="D488" s="101"/>
      <c r="E488" s="101"/>
      <c r="F488" s="87">
        <f>F465</f>
        <v>1</v>
      </c>
      <c r="G488" s="88">
        <f>G465+H465</f>
        <v>0</v>
      </c>
      <c r="H488" s="88"/>
      <c r="I488" s="88">
        <v>0.15</v>
      </c>
      <c r="J488" s="88">
        <f>ROUND(F488*G488*I488,2)</f>
        <v>0</v>
      </c>
      <c r="K488" s="43" t="s">
        <v>92</v>
      </c>
      <c r="L488" s="102"/>
      <c r="M488" s="102"/>
    </row>
    <row r="489" spans="1:21" s="11" customFormat="1" ht="12.75" customHeight="1">
      <c r="A489" s="98"/>
      <c r="B489" s="118"/>
      <c r="C489" s="99"/>
      <c r="D489" s="101"/>
      <c r="E489" s="101"/>
      <c r="F489" s="87"/>
      <c r="G489" s="88"/>
      <c r="H489" s="88"/>
      <c r="I489" s="88"/>
      <c r="J489" s="88"/>
      <c r="K489" s="43"/>
      <c r="L489" s="102"/>
      <c r="M489" s="102"/>
    </row>
    <row r="490" spans="1:21" s="11" customFormat="1" ht="12.75" customHeight="1">
      <c r="A490" s="98"/>
      <c r="B490" s="118" t="s">
        <v>1889</v>
      </c>
      <c r="C490" s="99"/>
      <c r="D490" s="101" t="e">
        <f>D471</f>
        <v>#REF!</v>
      </c>
      <c r="E490" s="101"/>
      <c r="F490" s="87"/>
      <c r="G490" s="88" t="e">
        <f>G471</f>
        <v>#REF!</v>
      </c>
      <c r="H490" s="88"/>
      <c r="I490" s="88">
        <f>I488</f>
        <v>0.15</v>
      </c>
      <c r="J490" s="88" t="e">
        <f>-ROUND(F490*G490*I490,2)</f>
        <v>#REF!</v>
      </c>
      <c r="K490" s="43" t="s">
        <v>92</v>
      </c>
      <c r="L490" s="102"/>
      <c r="M490" s="102"/>
    </row>
    <row r="491" spans="1:21" s="11" customFormat="1" ht="12.75" customHeight="1">
      <c r="A491" s="98"/>
      <c r="B491" s="118"/>
      <c r="C491" s="99"/>
      <c r="D491" s="101" t="e">
        <f>#REF!</f>
        <v>#REF!</v>
      </c>
      <c r="E491" s="101"/>
      <c r="F491" s="87"/>
      <c r="G491" s="88" t="e">
        <f>G472</f>
        <v>#REF!</v>
      </c>
      <c r="H491" s="88"/>
      <c r="I491" s="88">
        <f>I490</f>
        <v>0.15</v>
      </c>
      <c r="J491" s="88" t="e">
        <f>-ROUND(F491*G491*I491,2)</f>
        <v>#REF!</v>
      </c>
      <c r="K491" s="43" t="s">
        <v>92</v>
      </c>
      <c r="L491" s="102"/>
      <c r="M491" s="102"/>
    </row>
    <row r="492" spans="1:21" s="11" customFormat="1" ht="12.75" customHeight="1">
      <c r="A492" s="98"/>
      <c r="B492" s="118"/>
      <c r="C492" s="99"/>
      <c r="D492" s="101" t="e">
        <f>#REF!</f>
        <v>#REF!</v>
      </c>
      <c r="E492" s="101"/>
      <c r="F492" s="87"/>
      <c r="G492" s="88" t="e">
        <f>G473</f>
        <v>#REF!</v>
      </c>
      <c r="H492" s="88"/>
      <c r="I492" s="88">
        <f>I491</f>
        <v>0.15</v>
      </c>
      <c r="J492" s="88" t="e">
        <f>-ROUND(F492*G492*I492,2)</f>
        <v>#REF!</v>
      </c>
      <c r="K492" s="43" t="s">
        <v>92</v>
      </c>
      <c r="L492" s="102"/>
      <c r="M492" s="102"/>
    </row>
    <row r="493" spans="1:21" s="11" customFormat="1" ht="12.75" customHeight="1">
      <c r="A493" s="98"/>
      <c r="B493" s="118"/>
      <c r="C493" s="99"/>
      <c r="D493" s="101" t="e">
        <f>D474</f>
        <v>#REF!</v>
      </c>
      <c r="E493" s="101"/>
      <c r="F493" s="87"/>
      <c r="G493" s="88" t="e">
        <f>G474</f>
        <v>#REF!</v>
      </c>
      <c r="H493" s="88"/>
      <c r="I493" s="88">
        <f>I492</f>
        <v>0.15</v>
      </c>
      <c r="J493" s="88" t="e">
        <f>-ROUND(F493*G493*I493,2)</f>
        <v>#REF!</v>
      </c>
      <c r="K493" s="43" t="s">
        <v>92</v>
      </c>
      <c r="L493" s="102"/>
      <c r="M493" s="102"/>
    </row>
    <row r="494" spans="1:21" s="11" customFormat="1" ht="12.75" customHeight="1">
      <c r="A494" s="98"/>
      <c r="B494" s="118"/>
      <c r="C494" s="99"/>
      <c r="D494" s="101"/>
      <c r="E494" s="101"/>
      <c r="F494" s="87"/>
      <c r="G494" s="88"/>
      <c r="H494" s="88"/>
      <c r="I494" s="88"/>
      <c r="J494" s="90" t="e">
        <f>SUM(J485:J493)</f>
        <v>#REF!</v>
      </c>
      <c r="K494" s="61" t="s">
        <v>92</v>
      </c>
      <c r="L494" s="102"/>
      <c r="M494" s="102"/>
    </row>
    <row r="495" spans="1:21" s="11" customFormat="1" ht="12.75" customHeight="1">
      <c r="A495" s="98"/>
      <c r="C495" s="99" t="s">
        <v>379</v>
      </c>
      <c r="D495" s="3604" t="e">
        <f>ROUND(J494,2)</f>
        <v>#REF!</v>
      </c>
      <c r="E495" s="3604"/>
      <c r="F495" s="100" t="s">
        <v>1859</v>
      </c>
      <c r="G495" s="3605">
        <v>1071.8</v>
      </c>
      <c r="H495" s="3605"/>
      <c r="J495" s="101" t="s">
        <v>1860</v>
      </c>
      <c r="K495" s="3606" t="e">
        <f>ROUND(D495*G495,0)</f>
        <v>#REF!</v>
      </c>
      <c r="L495" s="3606"/>
      <c r="M495" s="102"/>
    </row>
    <row r="496" spans="1:21" s="11" customFormat="1" ht="12.75" customHeight="1">
      <c r="A496" s="98" t="s">
        <v>220</v>
      </c>
      <c r="B496" s="123" t="s">
        <v>1535</v>
      </c>
      <c r="C496" s="99"/>
      <c r="D496" s="101"/>
      <c r="E496" s="101"/>
      <c r="F496" s="100"/>
      <c r="G496" s="115"/>
      <c r="H496" s="115"/>
      <c r="J496" s="101"/>
      <c r="K496" s="102"/>
      <c r="L496" s="102"/>
      <c r="M496" s="102"/>
    </row>
    <row r="497" spans="1:13" s="11" customFormat="1" ht="12.75" customHeight="1">
      <c r="A497" s="98"/>
      <c r="B497" s="118" t="str">
        <f>B478</f>
        <v>Toilet-1</v>
      </c>
      <c r="C497" s="99"/>
      <c r="D497" s="101"/>
      <c r="E497" s="101"/>
      <c r="F497" s="87">
        <v>2</v>
      </c>
      <c r="G497" s="88" t="e">
        <f>G478+H478</f>
        <v>#REF!</v>
      </c>
      <c r="H497" s="63"/>
      <c r="I497" s="89">
        <v>1.2</v>
      </c>
      <c r="J497" s="88" t="e">
        <f>ROUND(F497*G497*I497,2)</f>
        <v>#REF!</v>
      </c>
      <c r="K497" s="43" t="s">
        <v>92</v>
      </c>
      <c r="L497" s="102"/>
      <c r="M497" s="102"/>
    </row>
    <row r="498" spans="1:13" s="11" customFormat="1" ht="12.75" customHeight="1">
      <c r="A498" s="98"/>
      <c r="B498" s="118" t="str">
        <f>B479</f>
        <v>Toilet-2</v>
      </c>
      <c r="C498" s="99"/>
      <c r="D498" s="101"/>
      <c r="E498" s="101"/>
      <c r="F498" s="87">
        <v>2</v>
      </c>
      <c r="G498" s="88" t="e">
        <f>G479+H479</f>
        <v>#REF!</v>
      </c>
      <c r="H498" s="63"/>
      <c r="I498" s="89">
        <f>I497</f>
        <v>1.2</v>
      </c>
      <c r="J498" s="88" t="e">
        <f>ROUND(F498*G498*I498,2)</f>
        <v>#REF!</v>
      </c>
      <c r="K498" s="43" t="s">
        <v>92</v>
      </c>
      <c r="L498" s="102"/>
      <c r="M498" s="102"/>
    </row>
    <row r="499" spans="1:13" s="11" customFormat="1" ht="12.75" customHeight="1">
      <c r="A499" s="98"/>
      <c r="C499" s="99"/>
      <c r="D499" s="101"/>
      <c r="E499" s="101"/>
      <c r="F499" s="100"/>
      <c r="G499" s="115"/>
      <c r="H499" s="115"/>
      <c r="J499" s="101" t="e">
        <f>SUM(J497:J498)</f>
        <v>#REF!</v>
      </c>
      <c r="K499" s="43" t="s">
        <v>92</v>
      </c>
      <c r="L499" s="102"/>
      <c r="M499" s="102"/>
    </row>
    <row r="500" spans="1:13" s="11" customFormat="1" ht="12.75" customHeight="1">
      <c r="A500" s="98"/>
      <c r="B500" s="11" t="s">
        <v>1889</v>
      </c>
      <c r="C500" s="99" t="s">
        <v>1890</v>
      </c>
      <c r="D500" s="101"/>
      <c r="E500" s="101"/>
      <c r="F500" s="87"/>
      <c r="G500" s="88" t="e">
        <f>#REF!</f>
        <v>#REF!</v>
      </c>
      <c r="H500" s="63"/>
      <c r="I500" s="89">
        <v>1.2</v>
      </c>
      <c r="J500" s="88" t="e">
        <f>-ROUND(F500*G500*I500,2)</f>
        <v>#REF!</v>
      </c>
      <c r="K500" s="43" t="s">
        <v>92</v>
      </c>
      <c r="L500" s="102"/>
      <c r="M500" s="102"/>
    </row>
    <row r="501" spans="1:13" s="11" customFormat="1" ht="12.75" customHeight="1">
      <c r="A501" s="98"/>
      <c r="C501" s="99"/>
      <c r="D501" s="101"/>
      <c r="E501" s="101"/>
      <c r="F501" s="87"/>
      <c r="G501" s="88"/>
      <c r="H501" s="63"/>
      <c r="I501" s="107" t="s">
        <v>1623</v>
      </c>
      <c r="J501" s="90" t="e">
        <f>SUM(J499:J500)</f>
        <v>#REF!</v>
      </c>
      <c r="K501" s="61" t="s">
        <v>92</v>
      </c>
      <c r="L501" s="102"/>
      <c r="M501" s="102"/>
    </row>
    <row r="502" spans="1:13" s="11" customFormat="1" ht="12.75" customHeight="1">
      <c r="A502" s="98"/>
      <c r="C502" s="99" t="s">
        <v>379</v>
      </c>
      <c r="D502" s="3604" t="e">
        <f>ROUND(J501,2)</f>
        <v>#REF!</v>
      </c>
      <c r="E502" s="3604"/>
      <c r="F502" s="100" t="s">
        <v>1859</v>
      </c>
      <c r="G502" s="3605">
        <v>813.5</v>
      </c>
      <c r="H502" s="3605"/>
      <c r="J502" s="101" t="s">
        <v>1860</v>
      </c>
      <c r="K502" s="3606" t="e">
        <f>ROUND(D502*G502,0)</f>
        <v>#REF!</v>
      </c>
      <c r="L502" s="3606"/>
      <c r="M502" s="102"/>
    </row>
    <row r="503" spans="1:13" ht="51" customHeight="1">
      <c r="A503" s="72">
        <v>15</v>
      </c>
      <c r="B503" s="3603" t="s">
        <v>1606</v>
      </c>
      <c r="C503" s="3603"/>
      <c r="D503" s="3603"/>
      <c r="E503" s="71" t="s">
        <v>381</v>
      </c>
      <c r="F503" s="88"/>
      <c r="H503" s="66"/>
      <c r="I503" s="74"/>
      <c r="J503" s="74"/>
    </row>
    <row r="504" spans="1:13" ht="12" customHeight="1">
      <c r="B504" s="109" t="s">
        <v>1891</v>
      </c>
      <c r="C504" s="61" t="s">
        <v>1892</v>
      </c>
      <c r="D504" s="109"/>
      <c r="E504" s="71"/>
      <c r="F504" s="88"/>
      <c r="H504" s="66"/>
      <c r="I504" s="74"/>
      <c r="J504" s="57" t="e">
        <f>J454</f>
        <v>#REF!</v>
      </c>
      <c r="K504" s="43" t="s">
        <v>92</v>
      </c>
    </row>
    <row r="505" spans="1:13" s="11" customFormat="1" ht="12" customHeight="1">
      <c r="A505" s="98"/>
      <c r="C505" s="99" t="s">
        <v>379</v>
      </c>
      <c r="D505" s="3604" t="e">
        <f>J504</f>
        <v>#REF!</v>
      </c>
      <c r="E505" s="3604"/>
      <c r="F505" s="100" t="s">
        <v>1811</v>
      </c>
      <c r="G505" s="3605">
        <v>11.5</v>
      </c>
      <c r="H505" s="3605"/>
      <c r="J505" s="101" t="s">
        <v>1812</v>
      </c>
      <c r="K505" s="3606" t="e">
        <f>ROUND(D505*G505,0)</f>
        <v>#REF!</v>
      </c>
      <c r="L505" s="3606"/>
      <c r="M505" s="102"/>
    </row>
    <row r="506" spans="1:13" ht="75.75" customHeight="1">
      <c r="A506" s="72">
        <v>16</v>
      </c>
      <c r="B506" s="3603" t="s">
        <v>1598</v>
      </c>
      <c r="C506" s="3603"/>
      <c r="D506" s="3603"/>
      <c r="E506" s="71" t="s">
        <v>390</v>
      </c>
      <c r="F506" s="88"/>
      <c r="H506" s="66"/>
      <c r="I506" s="74"/>
      <c r="J506" s="74"/>
    </row>
    <row r="507" spans="1:13" ht="11.25" customHeight="1">
      <c r="B507" s="108" t="s">
        <v>526</v>
      </c>
      <c r="C507" s="109"/>
      <c r="D507" s="109"/>
      <c r="E507" s="71"/>
      <c r="F507" s="88"/>
      <c r="H507" s="66"/>
      <c r="I507" s="74"/>
      <c r="J507" s="74"/>
    </row>
    <row r="508" spans="1:13" ht="11.25" customHeight="1">
      <c r="B508" s="117" t="str">
        <f t="shared" ref="B508:B514" si="73">B432</f>
        <v>Hall</v>
      </c>
      <c r="C508" s="109"/>
      <c r="D508" s="109"/>
      <c r="E508" s="124">
        <f t="shared" ref="E508:G514" si="74">F351</f>
        <v>1</v>
      </c>
      <c r="F508" s="87">
        <f t="shared" si="74"/>
        <v>2</v>
      </c>
      <c r="G508" s="88" t="e">
        <f t="shared" si="74"/>
        <v>#REF!</v>
      </c>
      <c r="H508" s="66"/>
      <c r="I508" s="57">
        <v>0.2</v>
      </c>
      <c r="J508" s="57"/>
      <c r="K508" s="43" t="s">
        <v>92</v>
      </c>
    </row>
    <row r="509" spans="1:13" ht="11.25" customHeight="1">
      <c r="B509" s="117" t="str">
        <f t="shared" si="73"/>
        <v>Kitchen</v>
      </c>
      <c r="D509" s="109"/>
      <c r="E509" s="124">
        <f t="shared" si="74"/>
        <v>1</v>
      </c>
      <c r="F509" s="87">
        <f t="shared" si="74"/>
        <v>2</v>
      </c>
      <c r="G509" s="88" t="e">
        <f t="shared" si="74"/>
        <v>#REF!</v>
      </c>
      <c r="H509" s="66"/>
      <c r="I509" s="57">
        <v>0.2</v>
      </c>
      <c r="J509" s="57"/>
      <c r="K509" s="43" t="s">
        <v>92</v>
      </c>
    </row>
    <row r="510" spans="1:13" ht="11.25" customHeight="1">
      <c r="B510" s="117" t="str">
        <f t="shared" si="73"/>
        <v>Store</v>
      </c>
      <c r="D510" s="109"/>
      <c r="E510" s="124">
        <f t="shared" si="74"/>
        <v>2</v>
      </c>
      <c r="F510" s="87">
        <f t="shared" si="74"/>
        <v>2</v>
      </c>
      <c r="G510" s="88" t="e">
        <f t="shared" si="74"/>
        <v>#REF!</v>
      </c>
      <c r="H510" s="66"/>
      <c r="I510" s="57">
        <v>0.2</v>
      </c>
      <c r="J510" s="57"/>
      <c r="K510" s="43" t="s">
        <v>92</v>
      </c>
    </row>
    <row r="511" spans="1:13" ht="11.25" customHeight="1">
      <c r="B511" s="117" t="str">
        <f t="shared" si="73"/>
        <v>Verandah</v>
      </c>
      <c r="D511" s="109"/>
      <c r="E511" s="124">
        <f t="shared" si="74"/>
        <v>1</v>
      </c>
      <c r="F511" s="87">
        <f t="shared" si="74"/>
        <v>2</v>
      </c>
      <c r="G511" s="88" t="e">
        <f t="shared" si="74"/>
        <v>#REF!</v>
      </c>
      <c r="H511" s="57"/>
      <c r="I511" s="57">
        <v>0.2</v>
      </c>
      <c r="J511" s="57"/>
      <c r="K511" s="43" t="s">
        <v>92</v>
      </c>
    </row>
    <row r="512" spans="1:13" ht="11.25" customHeight="1">
      <c r="B512" s="117" t="str">
        <f t="shared" si="73"/>
        <v>Toilet-1</v>
      </c>
      <c r="D512" s="109"/>
      <c r="E512" s="124">
        <f t="shared" si="74"/>
        <v>0.5</v>
      </c>
      <c r="F512" s="87">
        <f t="shared" si="74"/>
        <v>2</v>
      </c>
      <c r="G512" s="88" t="e">
        <f t="shared" si="74"/>
        <v>#REF!</v>
      </c>
      <c r="H512" s="57"/>
      <c r="I512" s="57">
        <v>0.2</v>
      </c>
      <c r="J512" s="57"/>
      <c r="K512" s="43" t="s">
        <v>92</v>
      </c>
    </row>
    <row r="513" spans="1:13" ht="11.25" customHeight="1">
      <c r="B513" s="117" t="str">
        <f t="shared" si="73"/>
        <v>Toilet-2</v>
      </c>
      <c r="D513" s="109"/>
      <c r="E513" s="124">
        <f t="shared" si="74"/>
        <v>0.5</v>
      </c>
      <c r="F513" s="87">
        <f t="shared" si="74"/>
        <v>2</v>
      </c>
      <c r="G513" s="88" t="e">
        <f t="shared" si="74"/>
        <v>#REF!</v>
      </c>
      <c r="H513" s="57"/>
      <c r="I513" s="57">
        <v>0.2</v>
      </c>
      <c r="J513" s="57"/>
      <c r="K513" s="43" t="s">
        <v>92</v>
      </c>
    </row>
    <row r="514" spans="1:13" ht="11.25" customHeight="1">
      <c r="B514" s="117" t="str">
        <f t="shared" si="73"/>
        <v>WP</v>
      </c>
      <c r="D514" s="109"/>
      <c r="E514" s="124">
        <f t="shared" si="74"/>
        <v>0</v>
      </c>
      <c r="F514" s="87">
        <f t="shared" si="74"/>
        <v>2</v>
      </c>
      <c r="G514" s="88" t="e">
        <f t="shared" si="74"/>
        <v>#REF!</v>
      </c>
      <c r="H514" s="57"/>
      <c r="I514" s="57">
        <v>0.2</v>
      </c>
      <c r="J514" s="57"/>
      <c r="K514" s="43" t="s">
        <v>92</v>
      </c>
    </row>
    <row r="515" spans="1:13" ht="11.25" customHeight="1">
      <c r="B515" s="117" t="s">
        <v>1893</v>
      </c>
      <c r="C515" s="57" t="e">
        <f>C443</f>
        <v>#REF!</v>
      </c>
      <c r="D515" s="125"/>
      <c r="E515" s="124" t="e">
        <f t="shared" ref="E515:F517" si="75">F443</f>
        <v>#REF!</v>
      </c>
      <c r="F515" s="87" t="e">
        <f t="shared" si="75"/>
        <v>#REF!</v>
      </c>
      <c r="G515" s="88" t="e">
        <f>G443</f>
        <v>#REF!</v>
      </c>
      <c r="H515" s="57"/>
      <c r="I515" s="57">
        <v>0.2</v>
      </c>
      <c r="J515" s="57"/>
      <c r="K515" s="43" t="s">
        <v>92</v>
      </c>
    </row>
    <row r="516" spans="1:13" ht="11.25" customHeight="1">
      <c r="B516" s="117"/>
      <c r="C516" s="57" t="e">
        <f>C444</f>
        <v>#REF!</v>
      </c>
      <c r="D516" s="109"/>
      <c r="E516" s="124" t="e">
        <f t="shared" si="75"/>
        <v>#REF!</v>
      </c>
      <c r="F516" s="87" t="e">
        <f t="shared" si="75"/>
        <v>#REF!</v>
      </c>
      <c r="G516" s="88" t="e">
        <f>G444</f>
        <v>#REF!</v>
      </c>
      <c r="H516" s="57"/>
      <c r="I516" s="57">
        <v>0.2</v>
      </c>
      <c r="J516" s="57"/>
      <c r="K516" s="43" t="s">
        <v>92</v>
      </c>
    </row>
    <row r="517" spans="1:13" ht="11.25" customHeight="1">
      <c r="B517" s="117"/>
      <c r="C517" s="57" t="e">
        <f>C445</f>
        <v>#REF!</v>
      </c>
      <c r="D517" s="109"/>
      <c r="E517" s="124" t="e">
        <f t="shared" si="75"/>
        <v>#REF!</v>
      </c>
      <c r="F517" s="87" t="e">
        <f t="shared" si="75"/>
        <v>#REF!</v>
      </c>
      <c r="G517" s="88" t="e">
        <f>G445</f>
        <v>#REF!</v>
      </c>
      <c r="H517" s="57"/>
      <c r="I517" s="57">
        <v>0.2</v>
      </c>
      <c r="J517" s="57"/>
      <c r="K517" s="43" t="s">
        <v>92</v>
      </c>
    </row>
    <row r="518" spans="1:13" ht="11.25" customHeight="1">
      <c r="B518" s="117"/>
      <c r="C518" s="57" t="str">
        <f>C451</f>
        <v>WP</v>
      </c>
      <c r="D518" s="109"/>
      <c r="E518" s="124">
        <f>F451</f>
        <v>1</v>
      </c>
      <c r="F518" s="87" t="e">
        <f>G446</f>
        <v>#REF!</v>
      </c>
      <c r="G518" s="88" t="e">
        <f>G451</f>
        <v>#REF!</v>
      </c>
      <c r="H518" s="57"/>
      <c r="I518" s="57">
        <f>I517</f>
        <v>0.2</v>
      </c>
      <c r="J518" s="57"/>
      <c r="K518" s="43" t="s">
        <v>92</v>
      </c>
    </row>
    <row r="519" spans="1:13" ht="11.25" customHeight="1">
      <c r="B519" s="117"/>
      <c r="C519" s="57"/>
      <c r="D519" s="109"/>
      <c r="E519" s="124">
        <f>F452</f>
        <v>1</v>
      </c>
      <c r="F519" s="87" t="e">
        <f>G447</f>
        <v>#REF!</v>
      </c>
      <c r="G519" s="88" t="e">
        <f>G452</f>
        <v>#REF!</v>
      </c>
      <c r="H519" s="57"/>
      <c r="I519" s="57">
        <f>I518</f>
        <v>0.2</v>
      </c>
      <c r="J519" s="57"/>
      <c r="K519" s="43" t="s">
        <v>92</v>
      </c>
    </row>
    <row r="520" spans="1:13" ht="11.25" customHeight="1">
      <c r="C520" s="89"/>
      <c r="D520" s="89"/>
      <c r="E520" s="71"/>
      <c r="F520" s="87"/>
      <c r="G520" s="88"/>
      <c r="H520" s="89"/>
      <c r="I520" s="90" t="s">
        <v>928</v>
      </c>
      <c r="J520" s="90">
        <f>SUM(J508:J519)</f>
        <v>0</v>
      </c>
      <c r="K520" s="61" t="s">
        <v>92</v>
      </c>
      <c r="L520" s="103"/>
      <c r="M520" s="103"/>
    </row>
    <row r="521" spans="1:13" s="11" customFormat="1" ht="11.25" customHeight="1">
      <c r="A521" s="98"/>
      <c r="C521" s="99" t="s">
        <v>379</v>
      </c>
      <c r="D521" s="3604">
        <f>J520</f>
        <v>0</v>
      </c>
      <c r="E521" s="3604"/>
      <c r="F521" s="100" t="s">
        <v>1811</v>
      </c>
      <c r="G521" s="3605">
        <v>114.4</v>
      </c>
      <c r="H521" s="3605"/>
      <c r="J521" s="101" t="s">
        <v>1812</v>
      </c>
      <c r="K521" s="3606">
        <f>ROUND(D521*G521,0)</f>
        <v>0</v>
      </c>
      <c r="L521" s="3606"/>
      <c r="M521" s="102"/>
    </row>
    <row r="522" spans="1:13" ht="51" customHeight="1">
      <c r="A522" s="72">
        <v>17</v>
      </c>
      <c r="B522" s="3603" t="s">
        <v>1607</v>
      </c>
      <c r="C522" s="3603"/>
      <c r="D522" s="3603"/>
      <c r="E522" s="71" t="s">
        <v>390</v>
      </c>
      <c r="F522" s="88"/>
      <c r="H522" s="66"/>
      <c r="I522" s="74"/>
      <c r="J522" s="74"/>
    </row>
    <row r="523" spans="1:13" ht="13.5" customHeight="1">
      <c r="B523" s="109" t="s">
        <v>1894</v>
      </c>
      <c r="C523" s="109"/>
      <c r="D523" s="109"/>
      <c r="E523" s="71"/>
      <c r="F523" s="88"/>
      <c r="H523" s="66"/>
      <c r="I523" s="74"/>
      <c r="J523" s="57" t="e">
        <f>J504</f>
        <v>#REF!</v>
      </c>
      <c r="K523" s="43" t="s">
        <v>92</v>
      </c>
    </row>
    <row r="524" spans="1:13" ht="13.5" customHeight="1">
      <c r="B524" s="109" t="s">
        <v>1895</v>
      </c>
      <c r="C524" s="43" t="s">
        <v>1896</v>
      </c>
      <c r="D524" s="109"/>
      <c r="E524" s="71"/>
      <c r="F524" s="88"/>
      <c r="H524" s="66"/>
      <c r="I524" s="74"/>
      <c r="J524" s="57">
        <f>J423</f>
        <v>0</v>
      </c>
      <c r="K524" s="43" t="s">
        <v>92</v>
      </c>
    </row>
    <row r="525" spans="1:13" ht="13.5" customHeight="1">
      <c r="B525" s="109" t="s">
        <v>1897</v>
      </c>
      <c r="C525" s="43" t="s">
        <v>1898</v>
      </c>
      <c r="D525" s="109"/>
      <c r="E525" s="71"/>
      <c r="F525" s="88"/>
      <c r="H525" s="57"/>
      <c r="I525" s="74"/>
      <c r="J525" s="57" t="e">
        <f>J255</f>
        <v>#REF!</v>
      </c>
      <c r="K525" s="43" t="s">
        <v>92</v>
      </c>
    </row>
    <row r="526" spans="1:13" ht="13.5" customHeight="1">
      <c r="C526" s="89"/>
      <c r="D526" s="89"/>
      <c r="E526" s="71"/>
      <c r="F526" s="87"/>
      <c r="G526" s="88"/>
      <c r="H526" s="89"/>
      <c r="I526" s="90" t="s">
        <v>928</v>
      </c>
      <c r="J526" s="90" t="e">
        <f>SUM(J523:J525)</f>
        <v>#REF!</v>
      </c>
      <c r="K526" s="61" t="s">
        <v>92</v>
      </c>
      <c r="L526" s="103"/>
      <c r="M526" s="103"/>
    </row>
    <row r="527" spans="1:13" s="11" customFormat="1" ht="13.5" customHeight="1">
      <c r="A527" s="98"/>
      <c r="C527" s="99" t="s">
        <v>379</v>
      </c>
      <c r="D527" s="3604" t="e">
        <f>J526</f>
        <v>#REF!</v>
      </c>
      <c r="E527" s="3604"/>
      <c r="F527" s="100" t="s">
        <v>1811</v>
      </c>
      <c r="G527" s="3605">
        <v>39</v>
      </c>
      <c r="H527" s="3605"/>
      <c r="J527" s="101" t="s">
        <v>1812</v>
      </c>
      <c r="K527" s="3606" t="e">
        <f>ROUND(D527*G527,0)</f>
        <v>#REF!</v>
      </c>
      <c r="L527" s="3606"/>
      <c r="M527" s="102"/>
    </row>
    <row r="528" spans="1:13" s="11" customFormat="1" ht="13.5" customHeight="1">
      <c r="A528" s="98"/>
      <c r="C528" s="99"/>
      <c r="D528" s="101"/>
      <c r="E528" s="101"/>
      <c r="F528" s="100"/>
      <c r="G528" s="115"/>
      <c r="H528" s="115"/>
      <c r="J528" s="101"/>
      <c r="K528" s="102"/>
      <c r="L528" s="102"/>
      <c r="M528" s="102"/>
    </row>
    <row r="529" spans="1:13" ht="97.5" customHeight="1">
      <c r="A529" s="72">
        <v>18</v>
      </c>
      <c r="B529" s="3603" t="s">
        <v>1609</v>
      </c>
      <c r="C529" s="3603"/>
      <c r="D529" s="3603"/>
      <c r="E529" s="71" t="s">
        <v>390</v>
      </c>
      <c r="F529" s="88"/>
      <c r="H529" s="66"/>
      <c r="I529" s="74"/>
      <c r="J529" s="74"/>
    </row>
    <row r="530" spans="1:13" ht="14.25" customHeight="1">
      <c r="B530" s="109" t="s">
        <v>1899</v>
      </c>
      <c r="C530" s="109"/>
      <c r="D530" s="109"/>
      <c r="E530" s="71"/>
      <c r="F530" s="88"/>
      <c r="H530" s="66"/>
      <c r="I530" s="74"/>
      <c r="J530" s="57" t="e">
        <f>J454</f>
        <v>#REF!</v>
      </c>
      <c r="K530" s="43" t="s">
        <v>92</v>
      </c>
    </row>
    <row r="531" spans="1:13" ht="14.25" customHeight="1">
      <c r="B531" s="109" t="s">
        <v>1900</v>
      </c>
      <c r="C531" s="43" t="str">
        <f>C524</f>
        <v>As Flooring area item No-5</v>
      </c>
      <c r="D531" s="109"/>
      <c r="E531" s="71"/>
      <c r="F531" s="88"/>
      <c r="H531" s="66"/>
      <c r="I531" s="74"/>
      <c r="J531" s="57">
        <f>J524</f>
        <v>0</v>
      </c>
      <c r="K531" s="43" t="s">
        <v>92</v>
      </c>
    </row>
    <row r="532" spans="1:13" ht="14.25" customHeight="1">
      <c r="B532" s="43" t="s">
        <v>1901</v>
      </c>
      <c r="C532" s="43" t="s">
        <v>1902</v>
      </c>
      <c r="D532" s="109"/>
      <c r="E532" s="71"/>
      <c r="F532" s="88"/>
      <c r="G532" s="89" t="e">
        <f>J439+J440</f>
        <v>#REF!</v>
      </c>
      <c r="H532" s="43"/>
      <c r="I532" s="74"/>
      <c r="J532" s="57" t="e">
        <f>-G532</f>
        <v>#REF!</v>
      </c>
      <c r="K532" s="43" t="s">
        <v>92</v>
      </c>
    </row>
    <row r="533" spans="1:13" ht="12.75">
      <c r="C533" s="89"/>
      <c r="D533" s="89"/>
      <c r="E533" s="71"/>
      <c r="F533" s="87"/>
      <c r="G533" s="88"/>
      <c r="H533" s="89"/>
      <c r="I533" s="90" t="s">
        <v>928</v>
      </c>
      <c r="J533" s="90" t="e">
        <f>SUM(J530:J532)</f>
        <v>#REF!</v>
      </c>
      <c r="K533" s="61" t="s">
        <v>92</v>
      </c>
      <c r="L533" s="103"/>
      <c r="M533" s="103"/>
    </row>
    <row r="534" spans="1:13" s="11" customFormat="1" ht="12.75" customHeight="1">
      <c r="A534" s="98"/>
      <c r="C534" s="99" t="s">
        <v>379</v>
      </c>
      <c r="D534" s="3604" t="e">
        <f>J533</f>
        <v>#REF!</v>
      </c>
      <c r="E534" s="3604"/>
      <c r="F534" s="100" t="s">
        <v>1811</v>
      </c>
      <c r="G534" s="3605">
        <v>45.9</v>
      </c>
      <c r="H534" s="3605"/>
      <c r="J534" s="101" t="s">
        <v>1812</v>
      </c>
      <c r="K534" s="3606" t="e">
        <f>ROUND(D534*G534,0)</f>
        <v>#REF!</v>
      </c>
      <c r="L534" s="3606"/>
      <c r="M534" s="102"/>
    </row>
    <row r="535" spans="1:13" s="11" customFormat="1" ht="58.5" customHeight="1">
      <c r="A535" s="98">
        <v>19</v>
      </c>
      <c r="B535" s="3603" t="s">
        <v>3092</v>
      </c>
      <c r="C535" s="3603"/>
      <c r="D535" s="3603"/>
      <c r="E535" s="101"/>
      <c r="F535" s="100"/>
      <c r="G535" s="115"/>
      <c r="H535" s="115"/>
      <c r="J535" s="101"/>
      <c r="K535" s="102"/>
      <c r="L535" s="102"/>
      <c r="M535" s="102"/>
    </row>
    <row r="536" spans="1:13" s="11" customFormat="1" ht="12" customHeight="1">
      <c r="A536" s="98"/>
      <c r="B536" s="109" t="s">
        <v>1903</v>
      </c>
      <c r="C536" s="109"/>
      <c r="D536" s="109"/>
      <c r="E536" s="101"/>
      <c r="F536" s="100"/>
      <c r="G536" s="115"/>
      <c r="H536" s="115"/>
      <c r="J536" s="101" t="e">
        <f>G532</f>
        <v>#REF!</v>
      </c>
      <c r="K536" s="102" t="s">
        <v>92</v>
      </c>
      <c r="L536" s="102"/>
      <c r="M536" s="102"/>
    </row>
    <row r="537" spans="1:13" s="11" customFormat="1" ht="12" customHeight="1">
      <c r="A537" s="98"/>
      <c r="B537" s="109" t="s">
        <v>1904</v>
      </c>
      <c r="C537" s="43"/>
      <c r="D537" s="109"/>
      <c r="E537" s="101"/>
      <c r="F537" s="100"/>
      <c r="G537" s="115"/>
      <c r="H537" s="115"/>
      <c r="J537" s="126" t="e">
        <f>J367</f>
        <v>#REF!</v>
      </c>
      <c r="K537" s="102" t="s">
        <v>92</v>
      </c>
      <c r="L537" s="102"/>
      <c r="M537" s="102"/>
    </row>
    <row r="538" spans="1:13" s="11" customFormat="1" ht="15.75" customHeight="1">
      <c r="A538" s="98"/>
      <c r="B538" s="109"/>
      <c r="C538" s="109"/>
      <c r="D538" s="109"/>
      <c r="E538" s="101"/>
      <c r="F538" s="100"/>
      <c r="G538" s="127"/>
      <c r="H538" s="115"/>
      <c r="J538" s="101" t="e">
        <f>SUM(J536:J537)</f>
        <v>#REF!</v>
      </c>
      <c r="K538" s="102" t="s">
        <v>92</v>
      </c>
      <c r="L538" s="102"/>
      <c r="M538" s="102"/>
    </row>
    <row r="539" spans="1:13" s="11" customFormat="1" ht="15.75" customHeight="1">
      <c r="A539" s="98"/>
      <c r="B539" s="109"/>
      <c r="C539" s="99" t="s">
        <v>379</v>
      </c>
      <c r="D539" s="3604" t="e">
        <f>J538</f>
        <v>#REF!</v>
      </c>
      <c r="E539" s="3604"/>
      <c r="F539" s="100" t="s">
        <v>1811</v>
      </c>
      <c r="G539" s="3605">
        <v>95.4</v>
      </c>
      <c r="H539" s="3605"/>
      <c r="J539" s="101" t="s">
        <v>1812</v>
      </c>
      <c r="K539" s="3606" t="e">
        <f>ROUND(D539*G539,0)</f>
        <v>#REF!</v>
      </c>
      <c r="L539" s="3606"/>
      <c r="M539" s="102"/>
    </row>
    <row r="540" spans="1:13" ht="53.25" customHeight="1">
      <c r="A540" s="72">
        <v>20</v>
      </c>
      <c r="B540" s="3603" t="s">
        <v>1905</v>
      </c>
      <c r="C540" s="3603"/>
      <c r="D540" s="3603"/>
      <c r="E540" s="71" t="s">
        <v>390</v>
      </c>
      <c r="F540" s="88"/>
      <c r="H540" s="66"/>
      <c r="I540" s="74"/>
      <c r="J540" s="74"/>
    </row>
    <row r="541" spans="1:13">
      <c r="B541" s="3622" t="s">
        <v>1906</v>
      </c>
      <c r="C541" s="3622"/>
      <c r="D541" s="3622"/>
      <c r="E541" s="71"/>
      <c r="F541" s="87"/>
      <c r="G541" s="89"/>
      <c r="H541" s="89"/>
      <c r="I541" s="89"/>
      <c r="J541" s="88"/>
      <c r="K541" s="43"/>
    </row>
    <row r="542" spans="1:13" ht="12.75">
      <c r="C542" s="89" t="e">
        <f t="shared" ref="C542:C549" si="76">C443</f>
        <v>#REF!</v>
      </c>
      <c r="D542" s="89"/>
      <c r="E542" s="60"/>
      <c r="F542" s="87" t="e">
        <f t="shared" ref="F542:G549" si="77">F443</f>
        <v>#REF!</v>
      </c>
      <c r="G542" s="89" t="e">
        <f t="shared" si="77"/>
        <v>#REF!</v>
      </c>
      <c r="H542" s="89"/>
      <c r="I542" s="89" t="e">
        <f t="shared" ref="I542:I549" si="78">I443</f>
        <v>#REF!</v>
      </c>
      <c r="J542" s="88" t="e">
        <f t="shared" ref="J542:J549" si="79">ROUND(F542*G542*I542,2)</f>
        <v>#REF!</v>
      </c>
      <c r="K542" s="43" t="s">
        <v>92</v>
      </c>
      <c r="L542" s="103"/>
      <c r="M542" s="103"/>
    </row>
    <row r="543" spans="1:13" ht="12.75">
      <c r="C543" s="89" t="e">
        <f t="shared" si="76"/>
        <v>#REF!</v>
      </c>
      <c r="D543" s="89"/>
      <c r="E543" s="60"/>
      <c r="F543" s="87" t="e">
        <f t="shared" si="77"/>
        <v>#REF!</v>
      </c>
      <c r="G543" s="89" t="e">
        <f t="shared" si="77"/>
        <v>#REF!</v>
      </c>
      <c r="H543" s="89"/>
      <c r="I543" s="89" t="e">
        <f t="shared" si="78"/>
        <v>#REF!</v>
      </c>
      <c r="J543" s="88" t="e">
        <f t="shared" si="79"/>
        <v>#REF!</v>
      </c>
      <c r="K543" s="43" t="s">
        <v>92</v>
      </c>
      <c r="L543" s="103"/>
      <c r="M543" s="103"/>
    </row>
    <row r="544" spans="1:13" ht="12.75">
      <c r="C544" s="89" t="e">
        <f t="shared" si="76"/>
        <v>#REF!</v>
      </c>
      <c r="D544" s="89"/>
      <c r="E544" s="60"/>
      <c r="F544" s="87" t="e">
        <f t="shared" si="77"/>
        <v>#REF!</v>
      </c>
      <c r="G544" s="89" t="e">
        <f t="shared" si="77"/>
        <v>#REF!</v>
      </c>
      <c r="H544" s="89"/>
      <c r="I544" s="89" t="e">
        <f t="shared" si="78"/>
        <v>#REF!</v>
      </c>
      <c r="J544" s="88" t="e">
        <f t="shared" si="79"/>
        <v>#REF!</v>
      </c>
      <c r="K544" s="43" t="s">
        <v>92</v>
      </c>
      <c r="L544" s="103"/>
      <c r="M544" s="103"/>
    </row>
    <row r="545" spans="1:24" ht="12.75">
      <c r="C545" s="89" t="e">
        <f t="shared" si="76"/>
        <v>#REF!</v>
      </c>
      <c r="D545" s="89"/>
      <c r="E545" s="60"/>
      <c r="F545" s="87" t="e">
        <f t="shared" si="77"/>
        <v>#REF!</v>
      </c>
      <c r="G545" s="89" t="e">
        <f t="shared" si="77"/>
        <v>#REF!</v>
      </c>
      <c r="H545" s="89"/>
      <c r="I545" s="89" t="e">
        <f t="shared" si="78"/>
        <v>#REF!</v>
      </c>
      <c r="J545" s="88" t="e">
        <f t="shared" si="79"/>
        <v>#REF!</v>
      </c>
      <c r="K545" s="43" t="s">
        <v>92</v>
      </c>
      <c r="L545" s="103"/>
      <c r="M545" s="103"/>
    </row>
    <row r="546" spans="1:24" ht="12.75">
      <c r="C546" s="89" t="e">
        <f t="shared" si="76"/>
        <v>#REF!</v>
      </c>
      <c r="D546" s="89"/>
      <c r="E546" s="60"/>
      <c r="F546" s="87" t="e">
        <f t="shared" si="77"/>
        <v>#REF!</v>
      </c>
      <c r="G546" s="89" t="e">
        <f t="shared" si="77"/>
        <v>#REF!</v>
      </c>
      <c r="H546" s="89"/>
      <c r="I546" s="89" t="e">
        <f t="shared" si="78"/>
        <v>#REF!</v>
      </c>
      <c r="J546" s="88" t="e">
        <f t="shared" si="79"/>
        <v>#REF!</v>
      </c>
      <c r="K546" s="43" t="s">
        <v>92</v>
      </c>
      <c r="L546" s="103"/>
      <c r="M546" s="103"/>
    </row>
    <row r="547" spans="1:24" ht="12.75">
      <c r="C547" s="89" t="e">
        <f t="shared" si="76"/>
        <v>#REF!</v>
      </c>
      <c r="D547" s="89"/>
      <c r="E547" s="60"/>
      <c r="F547" s="87" t="e">
        <f t="shared" si="77"/>
        <v>#REF!</v>
      </c>
      <c r="G547" s="89" t="e">
        <f t="shared" si="77"/>
        <v>#REF!</v>
      </c>
      <c r="H547" s="89"/>
      <c r="I547" s="89" t="e">
        <f t="shared" si="78"/>
        <v>#REF!</v>
      </c>
      <c r="J547" s="88" t="e">
        <f t="shared" si="79"/>
        <v>#REF!</v>
      </c>
      <c r="K547" s="43" t="s">
        <v>92</v>
      </c>
      <c r="L547" s="103"/>
      <c r="M547" s="103"/>
    </row>
    <row r="548" spans="1:24" ht="12.75">
      <c r="C548" s="89" t="e">
        <f t="shared" si="76"/>
        <v>#REF!</v>
      </c>
      <c r="D548" s="89"/>
      <c r="E548" s="60"/>
      <c r="F548" s="87" t="e">
        <f t="shared" si="77"/>
        <v>#REF!</v>
      </c>
      <c r="G548" s="89" t="e">
        <f t="shared" si="77"/>
        <v>#REF!</v>
      </c>
      <c r="H548" s="89"/>
      <c r="I548" s="89" t="e">
        <f t="shared" si="78"/>
        <v>#REF!</v>
      </c>
      <c r="J548" s="88" t="e">
        <f t="shared" si="79"/>
        <v>#REF!</v>
      </c>
      <c r="K548" s="43" t="s">
        <v>92</v>
      </c>
      <c r="L548" s="103"/>
      <c r="M548" s="103"/>
    </row>
    <row r="549" spans="1:24" ht="12.75">
      <c r="C549" s="89" t="e">
        <f t="shared" si="76"/>
        <v>#REF!</v>
      </c>
      <c r="D549" s="89"/>
      <c r="E549" s="60"/>
      <c r="F549" s="87" t="e">
        <f t="shared" si="77"/>
        <v>#REF!</v>
      </c>
      <c r="G549" s="89" t="e">
        <f t="shared" si="77"/>
        <v>#REF!</v>
      </c>
      <c r="H549" s="89"/>
      <c r="I549" s="89" t="e">
        <f t="shared" si="78"/>
        <v>#REF!</v>
      </c>
      <c r="J549" s="88" t="e">
        <f t="shared" si="79"/>
        <v>#REF!</v>
      </c>
      <c r="K549" s="43" t="s">
        <v>92</v>
      </c>
      <c r="L549" s="103"/>
      <c r="M549" s="103"/>
    </row>
    <row r="550" spans="1:24" ht="12.75">
      <c r="C550" s="89"/>
      <c r="D550" s="89"/>
      <c r="E550" s="60"/>
      <c r="F550" s="87"/>
      <c r="G550" s="89"/>
      <c r="H550" s="89"/>
      <c r="I550" s="89"/>
      <c r="J550" s="90" t="e">
        <f>SUM(J542:J549)</f>
        <v>#REF!</v>
      </c>
      <c r="K550" s="61" t="s">
        <v>92</v>
      </c>
      <c r="L550" s="103"/>
      <c r="M550" s="103"/>
    </row>
    <row r="551" spans="1:24" ht="12.75">
      <c r="C551" s="89"/>
      <c r="D551" s="89"/>
      <c r="E551" s="71"/>
      <c r="F551" s="87"/>
      <c r="G551" s="88"/>
      <c r="H551" s="89"/>
      <c r="I551" s="90" t="s">
        <v>928</v>
      </c>
      <c r="J551" s="90" t="e">
        <f>J550</f>
        <v>#REF!</v>
      </c>
      <c r="K551" s="61" t="s">
        <v>92</v>
      </c>
      <c r="L551" s="103" t="s">
        <v>201</v>
      </c>
      <c r="M551" s="103"/>
    </row>
    <row r="552" spans="1:24" ht="12.75">
      <c r="C552" s="89"/>
      <c r="D552" s="89"/>
      <c r="E552" s="71"/>
      <c r="F552" s="94" t="s">
        <v>1907</v>
      </c>
      <c r="G552" s="88">
        <v>43</v>
      </c>
      <c r="H552" s="66" t="s">
        <v>1908</v>
      </c>
      <c r="J552" s="90" t="e">
        <f>J551*G552</f>
        <v>#REF!</v>
      </c>
      <c r="K552" s="61" t="s">
        <v>95</v>
      </c>
      <c r="L552" s="103"/>
      <c r="M552" s="103"/>
    </row>
    <row r="553" spans="1:24" s="11" customFormat="1" ht="12.75" customHeight="1">
      <c r="A553" s="98"/>
      <c r="C553" s="99" t="s">
        <v>379</v>
      </c>
      <c r="D553" s="3604" t="e">
        <f>ROUND(J552,2)</f>
        <v>#REF!</v>
      </c>
      <c r="E553" s="3604"/>
      <c r="F553" s="100" t="s">
        <v>1909</v>
      </c>
      <c r="G553" s="3605">
        <v>73.47</v>
      </c>
      <c r="H553" s="3605"/>
      <c r="J553" s="101" t="s">
        <v>1910</v>
      </c>
      <c r="K553" s="3606" t="e">
        <f>ROUND(D553*G553,0)</f>
        <v>#REF!</v>
      </c>
      <c r="L553" s="3606"/>
      <c r="M553" s="102"/>
    </row>
    <row r="554" spans="1:24" ht="27.75" customHeight="1">
      <c r="A554" s="72">
        <v>21</v>
      </c>
      <c r="B554" s="3621" t="s">
        <v>1911</v>
      </c>
      <c r="C554" s="3621"/>
      <c r="D554" s="3621"/>
      <c r="E554" s="71" t="s">
        <v>390</v>
      </c>
      <c r="F554" s="88"/>
      <c r="H554" s="66"/>
      <c r="I554" s="74"/>
      <c r="J554" s="74"/>
    </row>
    <row r="555" spans="1:24" ht="13.5" customHeight="1">
      <c r="B555" s="43" t="s">
        <v>1877</v>
      </c>
      <c r="C555" s="89" t="e">
        <f>C545</f>
        <v>#REF!</v>
      </c>
      <c r="D555" s="89"/>
      <c r="E555" s="60"/>
      <c r="F555" s="87" t="e">
        <f t="shared" ref="F555:G557" si="80">F545</f>
        <v>#REF!</v>
      </c>
      <c r="G555" s="89" t="e">
        <f t="shared" si="80"/>
        <v>#REF!</v>
      </c>
      <c r="H555" s="89"/>
      <c r="I555" s="89" t="e">
        <f>I545</f>
        <v>#REF!</v>
      </c>
      <c r="J555" s="88" t="e">
        <f>ROUND(F555*G555*I555,2)</f>
        <v>#REF!</v>
      </c>
      <c r="K555" s="43" t="s">
        <v>92</v>
      </c>
      <c r="L555" s="103"/>
      <c r="M555" s="103"/>
      <c r="X555" s="88" t="e">
        <f>J552+J561</f>
        <v>#REF!</v>
      </c>
    </row>
    <row r="556" spans="1:24" ht="13.5" customHeight="1">
      <c r="C556" s="89" t="e">
        <f>C546</f>
        <v>#REF!</v>
      </c>
      <c r="D556" s="89"/>
      <c r="E556" s="60"/>
      <c r="F556" s="87" t="e">
        <f t="shared" si="80"/>
        <v>#REF!</v>
      </c>
      <c r="G556" s="89" t="e">
        <f t="shared" si="80"/>
        <v>#REF!</v>
      </c>
      <c r="H556" s="89"/>
      <c r="I556" s="89" t="e">
        <f>I546</f>
        <v>#REF!</v>
      </c>
      <c r="J556" s="88" t="e">
        <f>ROUND(F556*G556*I556,2)</f>
        <v>#REF!</v>
      </c>
      <c r="K556" s="43" t="s">
        <v>92</v>
      </c>
      <c r="L556" s="103"/>
      <c r="M556" s="103"/>
    </row>
    <row r="557" spans="1:24" ht="13.5" customHeight="1">
      <c r="C557" s="89" t="e">
        <f>C547</f>
        <v>#REF!</v>
      </c>
      <c r="D557" s="89"/>
      <c r="E557" s="60"/>
      <c r="F557" s="87" t="e">
        <f t="shared" si="80"/>
        <v>#REF!</v>
      </c>
      <c r="G557" s="89" t="e">
        <f t="shared" si="80"/>
        <v>#REF!</v>
      </c>
      <c r="H557" s="89"/>
      <c r="I557" s="89" t="e">
        <f>I547</f>
        <v>#REF!</v>
      </c>
      <c r="J557" s="88" t="e">
        <f>ROUND(F557*G557*I557,2)</f>
        <v>#REF!</v>
      </c>
      <c r="K557" s="43" t="s">
        <v>92</v>
      </c>
      <c r="L557" s="103"/>
      <c r="M557" s="103"/>
    </row>
    <row r="558" spans="1:24" ht="13.5" customHeight="1">
      <c r="C558" s="89" t="e">
        <f>C549</f>
        <v>#REF!</v>
      </c>
      <c r="D558" s="89"/>
      <c r="E558" s="60"/>
      <c r="F558" s="87" t="e">
        <f>F549</f>
        <v>#REF!</v>
      </c>
      <c r="G558" s="89" t="e">
        <f>G549</f>
        <v>#REF!</v>
      </c>
      <c r="H558" s="89"/>
      <c r="I558" s="89" t="e">
        <f>I549</f>
        <v>#REF!</v>
      </c>
      <c r="J558" s="88" t="e">
        <f>ROUND(F558*G558*I558,2)</f>
        <v>#REF!</v>
      </c>
      <c r="K558" s="43" t="s">
        <v>92</v>
      </c>
      <c r="L558" s="103"/>
      <c r="M558" s="103"/>
      <c r="N558" s="88"/>
    </row>
    <row r="559" spans="1:24" ht="13.5" customHeight="1">
      <c r="C559" s="89"/>
      <c r="D559" s="89"/>
      <c r="E559" s="60"/>
      <c r="F559" s="87"/>
      <c r="G559" s="89"/>
      <c r="H559" s="89"/>
      <c r="I559" s="107"/>
      <c r="J559" s="90" t="e">
        <f>SUM(J555:J558)</f>
        <v>#REF!</v>
      </c>
      <c r="K559" s="61" t="s">
        <v>92</v>
      </c>
      <c r="L559" s="103"/>
      <c r="M559" s="103"/>
    </row>
    <row r="560" spans="1:24" ht="13.5" customHeight="1">
      <c r="C560" s="89"/>
      <c r="D560" s="89"/>
      <c r="E560" s="71"/>
      <c r="F560" s="87"/>
      <c r="G560" s="88"/>
      <c r="H560" s="89"/>
      <c r="I560" s="90" t="s">
        <v>928</v>
      </c>
      <c r="J560" s="90" t="e">
        <f>J559</f>
        <v>#REF!</v>
      </c>
      <c r="K560" s="61" t="s">
        <v>92</v>
      </c>
      <c r="L560" s="103" t="s">
        <v>201</v>
      </c>
      <c r="M560" s="103"/>
    </row>
    <row r="561" spans="1:24" ht="13.5" customHeight="1">
      <c r="C561" s="89"/>
      <c r="D561" s="89"/>
      <c r="E561" s="71"/>
      <c r="F561" s="94" t="s">
        <v>1907</v>
      </c>
      <c r="G561" s="88">
        <v>20</v>
      </c>
      <c r="H561" s="66" t="s">
        <v>1908</v>
      </c>
      <c r="J561" s="90" t="e">
        <f>J560*G561</f>
        <v>#REF!</v>
      </c>
      <c r="K561" s="61" t="s">
        <v>95</v>
      </c>
      <c r="L561" s="103"/>
      <c r="M561" s="103"/>
    </row>
    <row r="562" spans="1:24" s="11" customFormat="1" ht="13.5" customHeight="1">
      <c r="A562" s="98"/>
      <c r="C562" s="99" t="s">
        <v>379</v>
      </c>
      <c r="D562" s="3604" t="e">
        <f>ROUND(J561,2)</f>
        <v>#REF!</v>
      </c>
      <c r="E562" s="3604"/>
      <c r="F562" s="100" t="s">
        <v>1909</v>
      </c>
      <c r="G562" s="3605">
        <f>G553</f>
        <v>73.47</v>
      </c>
      <c r="H562" s="3605"/>
      <c r="J562" s="101" t="s">
        <v>1910</v>
      </c>
      <c r="K562" s="3606" t="e">
        <f>ROUND(D562*G562,0)</f>
        <v>#REF!</v>
      </c>
      <c r="L562" s="3606"/>
      <c r="M562" s="102"/>
    </row>
    <row r="563" spans="1:24" ht="27.75" customHeight="1">
      <c r="A563" s="72">
        <v>15</v>
      </c>
      <c r="B563" s="3603" t="s">
        <v>1912</v>
      </c>
      <c r="C563" s="3603"/>
      <c r="D563" s="3603"/>
      <c r="E563" s="71" t="s">
        <v>390</v>
      </c>
      <c r="F563" s="88"/>
      <c r="H563" s="66"/>
      <c r="I563" s="74"/>
      <c r="J563" s="74"/>
    </row>
    <row r="564" spans="1:24">
      <c r="B564" s="3622" t="s">
        <v>1913</v>
      </c>
      <c r="C564" s="3622"/>
      <c r="D564" s="3622"/>
      <c r="E564" s="71"/>
      <c r="F564" s="87"/>
      <c r="G564" s="89"/>
      <c r="H564" s="89"/>
      <c r="I564" s="89"/>
      <c r="J564" s="88" t="e">
        <f>J560+J551</f>
        <v>#REF!</v>
      </c>
      <c r="K564" s="43" t="s">
        <v>92</v>
      </c>
    </row>
    <row r="565" spans="1:24" s="11" customFormat="1" ht="12.75" customHeight="1">
      <c r="A565" s="98"/>
      <c r="C565" s="99" t="s">
        <v>379</v>
      </c>
      <c r="D565" s="3604" t="e">
        <f>J564</f>
        <v>#REF!</v>
      </c>
      <c r="E565" s="3604"/>
      <c r="F565" s="100" t="s">
        <v>1863</v>
      </c>
      <c r="G565" s="3605">
        <v>33</v>
      </c>
      <c r="H565" s="3605"/>
      <c r="J565" s="101" t="s">
        <v>1914</v>
      </c>
      <c r="K565" s="3606" t="e">
        <f>ROUND(D565*G565,0)</f>
        <v>#REF!</v>
      </c>
      <c r="L565" s="3606"/>
      <c r="M565" s="102"/>
    </row>
    <row r="566" spans="1:24" s="11" customFormat="1" ht="12.75" customHeight="1">
      <c r="A566" s="98"/>
      <c r="C566" s="99"/>
      <c r="D566" s="101"/>
      <c r="E566" s="101"/>
      <c r="F566" s="100"/>
      <c r="G566" s="115" t="s">
        <v>1915</v>
      </c>
      <c r="H566" s="115"/>
      <c r="J566" s="101"/>
      <c r="K566" s="102"/>
      <c r="L566" s="102"/>
      <c r="M566" s="102"/>
    </row>
    <row r="567" spans="1:24" ht="60.75" customHeight="1">
      <c r="A567" s="72">
        <v>21</v>
      </c>
      <c r="B567" s="3603" t="s">
        <v>3103</v>
      </c>
      <c r="C567" s="3603"/>
      <c r="D567" s="3603"/>
      <c r="E567" s="71" t="s">
        <v>390</v>
      </c>
      <c r="F567" s="88"/>
      <c r="H567" s="66"/>
      <c r="I567" s="74"/>
      <c r="J567" s="74"/>
    </row>
    <row r="568" spans="1:24" ht="13.5" customHeight="1">
      <c r="B568" s="43" t="s">
        <v>1916</v>
      </c>
      <c r="C568" s="89" t="e">
        <f>C542</f>
        <v>#REF!</v>
      </c>
      <c r="D568" s="89"/>
      <c r="E568" s="60">
        <v>2.25</v>
      </c>
      <c r="F568" s="87" t="e">
        <f>F542</f>
        <v>#REF!</v>
      </c>
      <c r="G568" s="89" t="e">
        <f>G542</f>
        <v>#REF!</v>
      </c>
      <c r="H568" s="89"/>
      <c r="I568" s="89" t="e">
        <f>I542</f>
        <v>#REF!</v>
      </c>
      <c r="J568" s="88" t="e">
        <f t="shared" ref="J568:J575" si="81">ROUND(F568*G568*I568*E568,2)</f>
        <v>#REF!</v>
      </c>
      <c r="K568" s="43" t="s">
        <v>92</v>
      </c>
      <c r="L568" s="103"/>
      <c r="M568" s="103"/>
      <c r="O568" s="11"/>
      <c r="P568" s="11"/>
      <c r="Q568" s="11"/>
      <c r="R568" s="11"/>
      <c r="S568" s="11"/>
      <c r="T568" s="11"/>
      <c r="U568" s="11"/>
      <c r="V568" s="11"/>
      <c r="W568" s="11"/>
      <c r="X568" s="11"/>
    </row>
    <row r="569" spans="1:24" ht="13.5" customHeight="1">
      <c r="C569" s="89" t="e">
        <f t="shared" ref="C569:C575" si="82">C543</f>
        <v>#REF!</v>
      </c>
      <c r="D569" s="89"/>
      <c r="E569" s="60">
        <f>E568</f>
        <v>2.25</v>
      </c>
      <c r="F569" s="87" t="e">
        <f t="shared" ref="F569:G575" si="83">F543</f>
        <v>#REF!</v>
      </c>
      <c r="G569" s="89" t="e">
        <f t="shared" si="83"/>
        <v>#REF!</v>
      </c>
      <c r="H569" s="89"/>
      <c r="I569" s="89" t="e">
        <f t="shared" ref="I569:I575" si="84">I543</f>
        <v>#REF!</v>
      </c>
      <c r="J569" s="88" t="e">
        <f t="shared" si="81"/>
        <v>#REF!</v>
      </c>
      <c r="K569" s="43" t="s">
        <v>92</v>
      </c>
      <c r="L569" s="103"/>
      <c r="M569" s="103"/>
    </row>
    <row r="570" spans="1:24" ht="13.5" customHeight="1">
      <c r="B570" s="43" t="s">
        <v>1917</v>
      </c>
      <c r="C570" s="89" t="e">
        <f t="shared" si="82"/>
        <v>#REF!</v>
      </c>
      <c r="D570" s="89"/>
      <c r="E570" s="60">
        <v>2.25</v>
      </c>
      <c r="F570" s="87" t="e">
        <f t="shared" si="83"/>
        <v>#REF!</v>
      </c>
      <c r="G570" s="89" t="e">
        <f t="shared" si="83"/>
        <v>#REF!</v>
      </c>
      <c r="H570" s="89"/>
      <c r="I570" s="89" t="e">
        <f t="shared" si="84"/>
        <v>#REF!</v>
      </c>
      <c r="J570" s="88" t="e">
        <f t="shared" si="81"/>
        <v>#REF!</v>
      </c>
      <c r="K570" s="43" t="s">
        <v>92</v>
      </c>
      <c r="L570" s="103"/>
      <c r="M570" s="103"/>
    </row>
    <row r="571" spans="1:24" ht="13.5" customHeight="1">
      <c r="C571" s="89" t="e">
        <f t="shared" si="82"/>
        <v>#REF!</v>
      </c>
      <c r="D571" s="89"/>
      <c r="E571" s="60">
        <v>2.75</v>
      </c>
      <c r="F571" s="87" t="e">
        <f t="shared" si="83"/>
        <v>#REF!</v>
      </c>
      <c r="G571" s="89" t="e">
        <f t="shared" si="83"/>
        <v>#REF!</v>
      </c>
      <c r="H571" s="89"/>
      <c r="I571" s="89" t="e">
        <f t="shared" si="84"/>
        <v>#REF!</v>
      </c>
      <c r="J571" s="88" t="e">
        <f t="shared" si="81"/>
        <v>#REF!</v>
      </c>
      <c r="K571" s="43" t="s">
        <v>92</v>
      </c>
      <c r="L571" s="103"/>
      <c r="M571" s="103"/>
    </row>
    <row r="572" spans="1:24" ht="13.5" customHeight="1">
      <c r="C572" s="89" t="e">
        <f t="shared" si="82"/>
        <v>#REF!</v>
      </c>
      <c r="D572" s="89"/>
      <c r="E572" s="60">
        <v>2.75</v>
      </c>
      <c r="F572" s="87" t="e">
        <f t="shared" si="83"/>
        <v>#REF!</v>
      </c>
      <c r="G572" s="89" t="e">
        <f t="shared" si="83"/>
        <v>#REF!</v>
      </c>
      <c r="H572" s="89"/>
      <c r="I572" s="89" t="e">
        <f t="shared" si="84"/>
        <v>#REF!</v>
      </c>
      <c r="J572" s="88" t="e">
        <f t="shared" si="81"/>
        <v>#REF!</v>
      </c>
      <c r="K572" s="43" t="s">
        <v>92</v>
      </c>
      <c r="L572" s="103"/>
      <c r="M572" s="103"/>
      <c r="O572" s="89"/>
    </row>
    <row r="573" spans="1:24" ht="13.5" customHeight="1">
      <c r="C573" s="89" t="e">
        <f t="shared" si="82"/>
        <v>#REF!</v>
      </c>
      <c r="D573" s="89"/>
      <c r="E573" s="128">
        <v>0.5</v>
      </c>
      <c r="F573" s="87" t="e">
        <f t="shared" si="83"/>
        <v>#REF!</v>
      </c>
      <c r="G573" s="89" t="e">
        <f t="shared" si="83"/>
        <v>#REF!</v>
      </c>
      <c r="H573" s="89"/>
      <c r="I573" s="89" t="e">
        <f t="shared" si="84"/>
        <v>#REF!</v>
      </c>
      <c r="J573" s="88" t="e">
        <f t="shared" si="81"/>
        <v>#REF!</v>
      </c>
      <c r="K573" s="43" t="s">
        <v>92</v>
      </c>
      <c r="L573" s="103"/>
      <c r="M573" s="103"/>
      <c r="O573" s="89"/>
    </row>
    <row r="574" spans="1:24" ht="13.5" customHeight="1">
      <c r="C574" s="89" t="e">
        <f t="shared" si="82"/>
        <v>#REF!</v>
      </c>
      <c r="D574" s="89"/>
      <c r="E574" s="128">
        <v>0.5</v>
      </c>
      <c r="F574" s="87" t="e">
        <f t="shared" si="83"/>
        <v>#REF!</v>
      </c>
      <c r="G574" s="89" t="e">
        <f t="shared" si="83"/>
        <v>#REF!</v>
      </c>
      <c r="H574" s="89"/>
      <c r="I574" s="89" t="e">
        <f t="shared" si="84"/>
        <v>#REF!</v>
      </c>
      <c r="J574" s="88" t="e">
        <f t="shared" si="81"/>
        <v>#REF!</v>
      </c>
      <c r="K574" s="43" t="s">
        <v>92</v>
      </c>
      <c r="L574" s="103"/>
      <c r="M574" s="103"/>
      <c r="O574" s="89"/>
    </row>
    <row r="575" spans="1:24" ht="13.5" customHeight="1">
      <c r="C575" s="89" t="e">
        <f t="shared" si="82"/>
        <v>#REF!</v>
      </c>
      <c r="D575" s="89"/>
      <c r="E575" s="128">
        <v>0.5</v>
      </c>
      <c r="F575" s="87" t="e">
        <f t="shared" si="83"/>
        <v>#REF!</v>
      </c>
      <c r="G575" s="89" t="e">
        <f t="shared" si="83"/>
        <v>#REF!</v>
      </c>
      <c r="H575" s="89"/>
      <c r="I575" s="89" t="e">
        <f t="shared" si="84"/>
        <v>#REF!</v>
      </c>
      <c r="J575" s="88" t="e">
        <f t="shared" si="81"/>
        <v>#REF!</v>
      </c>
      <c r="K575" s="43" t="s">
        <v>92</v>
      </c>
      <c r="L575" s="103"/>
      <c r="M575" s="103"/>
      <c r="O575" s="89"/>
    </row>
    <row r="576" spans="1:24" ht="13.5" customHeight="1">
      <c r="C576" s="89"/>
      <c r="D576" s="89"/>
      <c r="E576" s="60"/>
      <c r="F576" s="87"/>
      <c r="G576" s="89"/>
      <c r="H576" s="89"/>
      <c r="I576" s="107" t="s">
        <v>928</v>
      </c>
      <c r="J576" s="90" t="e">
        <f>SUM(J568:J575)</f>
        <v>#REF!</v>
      </c>
      <c r="K576" s="61" t="s">
        <v>92</v>
      </c>
      <c r="L576" s="103"/>
      <c r="M576" s="103"/>
      <c r="P576" s="11"/>
      <c r="Q576" s="11"/>
      <c r="R576" s="11"/>
      <c r="S576" s="11"/>
      <c r="T576" s="11"/>
      <c r="U576" s="11"/>
      <c r="V576" s="11"/>
      <c r="W576" s="11"/>
      <c r="X576" s="11"/>
    </row>
    <row r="577" spans="1:24" ht="13.5" customHeight="1">
      <c r="C577" s="89"/>
      <c r="D577" s="89"/>
      <c r="E577" s="60"/>
      <c r="F577" s="87"/>
      <c r="G577" s="89"/>
      <c r="H577" s="89"/>
      <c r="I577" s="107" t="s">
        <v>928</v>
      </c>
      <c r="J577" s="90" t="e">
        <f>J576</f>
        <v>#REF!</v>
      </c>
      <c r="K577" s="61" t="s">
        <v>92</v>
      </c>
      <c r="L577" s="103"/>
      <c r="M577" s="103"/>
      <c r="P577" s="11"/>
      <c r="Q577" s="11"/>
      <c r="R577" s="11"/>
      <c r="S577" s="11"/>
      <c r="T577" s="11"/>
      <c r="U577" s="11"/>
      <c r="V577" s="11"/>
      <c r="W577" s="11"/>
      <c r="X577" s="11"/>
    </row>
    <row r="578" spans="1:24" s="11" customFormat="1" ht="13.5" customHeight="1">
      <c r="A578" s="98"/>
      <c r="B578" s="43"/>
      <c r="C578" s="99" t="s">
        <v>379</v>
      </c>
      <c r="D578" s="3604" t="e">
        <f>ROUND(J577,2)</f>
        <v>#REF!</v>
      </c>
      <c r="E578" s="3604"/>
      <c r="F578" s="100" t="s">
        <v>1859</v>
      </c>
      <c r="G578" s="3605">
        <v>124.1</v>
      </c>
      <c r="H578" s="3605"/>
      <c r="J578" s="101" t="s">
        <v>1860</v>
      </c>
      <c r="K578" s="3606" t="e">
        <f>ROUND(D578*G578,0)</f>
        <v>#REF!</v>
      </c>
      <c r="L578" s="3606"/>
      <c r="M578" s="102"/>
    </row>
    <row r="579" spans="1:24" s="11" customFormat="1" ht="13.5" customHeight="1">
      <c r="A579" s="98"/>
      <c r="C579" s="99"/>
      <c r="D579" s="101"/>
      <c r="E579" s="101"/>
      <c r="F579" s="100"/>
      <c r="G579" s="115"/>
      <c r="H579" s="115"/>
      <c r="J579" s="101"/>
      <c r="K579" s="102"/>
      <c r="L579" s="102"/>
      <c r="M579" s="102"/>
    </row>
    <row r="580" spans="1:24" ht="26.25" customHeight="1">
      <c r="A580" s="72">
        <f>A567+1</f>
        <v>22</v>
      </c>
      <c r="B580" s="3603" t="s">
        <v>1918</v>
      </c>
      <c r="C580" s="3603"/>
      <c r="D580" s="3603"/>
      <c r="E580" s="71" t="s">
        <v>390</v>
      </c>
      <c r="F580" s="88"/>
      <c r="H580" s="66"/>
      <c r="I580" s="74"/>
      <c r="J580" s="74"/>
    </row>
    <row r="581" spans="1:24" ht="12" customHeight="1">
      <c r="B581" s="59" t="s">
        <v>1919</v>
      </c>
      <c r="C581" s="94"/>
      <c r="D581" s="59"/>
      <c r="E581" s="71"/>
      <c r="F581" s="87">
        <v>3</v>
      </c>
      <c r="G581" s="88">
        <v>0.75</v>
      </c>
      <c r="H581" s="43"/>
      <c r="I581" s="89">
        <v>2.1</v>
      </c>
      <c r="J581" s="88">
        <f>ROUND(F581*G581*I581,2)</f>
        <v>4.7300000000000004</v>
      </c>
      <c r="K581" s="43" t="s">
        <v>92</v>
      </c>
    </row>
    <row r="582" spans="1:24" ht="12" customHeight="1">
      <c r="C582" s="89"/>
      <c r="D582" s="89"/>
      <c r="E582" s="71"/>
      <c r="F582" s="87"/>
      <c r="G582" s="88"/>
      <c r="H582" s="89"/>
      <c r="I582" s="88" t="s">
        <v>928</v>
      </c>
      <c r="J582" s="88">
        <f>J581</f>
        <v>4.7300000000000004</v>
      </c>
      <c r="K582" s="43" t="s">
        <v>92</v>
      </c>
      <c r="L582" s="103" t="s">
        <v>201</v>
      </c>
      <c r="M582" s="103"/>
    </row>
    <row r="583" spans="1:24" s="11" customFormat="1" ht="12" customHeight="1">
      <c r="A583" s="98"/>
      <c r="C583" s="99" t="s">
        <v>379</v>
      </c>
      <c r="D583" s="3604"/>
      <c r="E583" s="3604"/>
      <c r="F583" s="100" t="s">
        <v>1920</v>
      </c>
      <c r="G583" s="3605">
        <v>1100</v>
      </c>
      <c r="H583" s="3605"/>
      <c r="J583" s="101" t="s">
        <v>1914</v>
      </c>
      <c r="K583" s="3606">
        <f>ROUND(D583*G583,0)</f>
        <v>0</v>
      </c>
      <c r="L583" s="3606"/>
      <c r="M583" s="102"/>
    </row>
    <row r="584" spans="1:24" s="11" customFormat="1" ht="12" customHeight="1">
      <c r="A584" s="98"/>
      <c r="C584" s="99"/>
      <c r="D584" s="101"/>
      <c r="E584" s="101"/>
      <c r="F584" s="100"/>
      <c r="G584" s="115" t="s">
        <v>1921</v>
      </c>
      <c r="H584" s="115"/>
      <c r="J584" s="101"/>
      <c r="K584" s="102"/>
      <c r="L584" s="102"/>
      <c r="M584" s="102"/>
    </row>
    <row r="585" spans="1:24" s="11" customFormat="1" ht="12.75" customHeight="1">
      <c r="A585" s="98">
        <v>22</v>
      </c>
      <c r="B585" s="12" t="s">
        <v>1612</v>
      </c>
      <c r="C585" s="99"/>
      <c r="D585" s="101"/>
      <c r="E585" s="101"/>
      <c r="F585" s="100"/>
      <c r="G585" s="115"/>
      <c r="H585" s="115"/>
      <c r="J585" s="101"/>
      <c r="K585" s="3606">
        <v>1000</v>
      </c>
      <c r="L585" s="3606"/>
      <c r="M585" s="102"/>
      <c r="R585" s="3624"/>
      <c r="S585" s="3624"/>
      <c r="T585" s="3624"/>
    </row>
    <row r="586" spans="1:24" s="11" customFormat="1" ht="12.75" customHeight="1">
      <c r="A586" s="98">
        <v>23</v>
      </c>
      <c r="B586" s="12" t="s">
        <v>1613</v>
      </c>
      <c r="C586" s="99"/>
      <c r="D586" s="101"/>
      <c r="E586" s="101"/>
      <c r="F586" s="100"/>
      <c r="G586" s="115"/>
      <c r="H586" s="115"/>
      <c r="J586" s="101"/>
      <c r="K586" s="3606">
        <v>1000</v>
      </c>
      <c r="L586" s="3606"/>
      <c r="M586" s="102"/>
      <c r="R586" s="129"/>
      <c r="S586" s="129"/>
      <c r="T586" s="129"/>
    </row>
    <row r="587" spans="1:24" s="11" customFormat="1" ht="12.75" customHeight="1">
      <c r="A587" s="98">
        <v>24</v>
      </c>
      <c r="B587" s="12" t="s">
        <v>1614</v>
      </c>
      <c r="C587" s="99"/>
      <c r="D587" s="101"/>
      <c r="E587" s="101"/>
      <c r="F587" s="100"/>
      <c r="G587" s="115"/>
      <c r="H587" s="115"/>
      <c r="J587" s="101"/>
      <c r="K587" s="3625">
        <v>2000</v>
      </c>
      <c r="L587" s="3625"/>
      <c r="M587" s="102"/>
    </row>
    <row r="588" spans="1:24" s="11" customFormat="1" ht="12.75" customHeight="1">
      <c r="A588" s="98"/>
      <c r="B588" s="12"/>
      <c r="C588" s="99"/>
      <c r="D588" s="101"/>
      <c r="E588" s="101"/>
      <c r="F588" s="100"/>
      <c r="G588" s="115"/>
      <c r="H588" s="115"/>
      <c r="J588" s="101"/>
      <c r="K588" s="3606" t="e">
        <f>SUM(K51:L587)</f>
        <v>#REF!</v>
      </c>
      <c r="L588" s="3606"/>
      <c r="M588" s="102"/>
      <c r="N588" s="103"/>
    </row>
    <row r="589" spans="1:24" s="11" customFormat="1" ht="12.75" customHeight="1">
      <c r="A589" s="98"/>
      <c r="B589" s="3"/>
      <c r="C589" s="3"/>
      <c r="D589" s="3"/>
      <c r="E589" s="3"/>
      <c r="F589" s="3"/>
      <c r="G589" s="3"/>
      <c r="H589" s="3"/>
      <c r="J589" s="3"/>
      <c r="K589" s="3606"/>
      <c r="L589" s="3606"/>
      <c r="M589" s="102"/>
    </row>
    <row r="590" spans="1:24" s="11" customFormat="1" ht="12.75" customHeight="1">
      <c r="A590" s="98"/>
      <c r="C590" s="3"/>
      <c r="D590" s="3"/>
      <c r="E590" s="3"/>
      <c r="F590" s="3"/>
      <c r="G590" s="3"/>
      <c r="H590" s="3"/>
      <c r="J590" s="3"/>
      <c r="K590" s="3606"/>
      <c r="L590" s="3606"/>
      <c r="M590" s="102"/>
      <c r="N590" s="3"/>
    </row>
    <row r="591" spans="1:24" s="11" customFormat="1" ht="12.75" customHeight="1">
      <c r="A591" s="98"/>
      <c r="C591" s="3"/>
      <c r="D591" s="3"/>
      <c r="E591" s="3"/>
      <c r="F591" s="3"/>
      <c r="G591" s="3"/>
      <c r="H591" s="3"/>
      <c r="J591" s="3"/>
      <c r="K591" s="3606"/>
      <c r="L591" s="3606"/>
      <c r="M591" s="102"/>
    </row>
    <row r="592" spans="1:24" s="11" customFormat="1" ht="12.75" customHeight="1">
      <c r="A592" s="98"/>
      <c r="C592" s="3"/>
      <c r="D592" s="3"/>
      <c r="E592" s="3"/>
      <c r="F592" s="3"/>
      <c r="G592" s="3"/>
      <c r="H592" s="3"/>
      <c r="J592" s="3"/>
      <c r="K592" s="102"/>
      <c r="L592" s="102"/>
      <c r="M592" s="102"/>
    </row>
    <row r="593" spans="1:16" s="12" customFormat="1" ht="15.75">
      <c r="A593" s="98"/>
      <c r="C593" s="130"/>
      <c r="D593" s="130"/>
      <c r="E593" s="131"/>
      <c r="F593" s="132"/>
      <c r="G593" s="133"/>
      <c r="K593" s="134"/>
      <c r="L593" s="130"/>
      <c r="M593" s="102"/>
      <c r="N593" s="118"/>
      <c r="O593" s="112"/>
      <c r="P593" s="112"/>
    </row>
    <row r="594" spans="1:16" s="12" customFormat="1" ht="15.75">
      <c r="A594" s="98"/>
      <c r="C594" s="130"/>
      <c r="D594" s="130"/>
      <c r="E594" s="131"/>
      <c r="F594" s="132"/>
      <c r="G594" s="133"/>
      <c r="K594" s="134"/>
      <c r="L594" s="130"/>
      <c r="M594" s="102"/>
      <c r="N594" s="118"/>
      <c r="O594" s="112"/>
      <c r="P594" s="112"/>
    </row>
    <row r="595" spans="1:16" s="12" customFormat="1" ht="15.75">
      <c r="A595" s="98"/>
      <c r="C595" s="130"/>
      <c r="D595" s="130"/>
      <c r="E595" s="131"/>
      <c r="F595" s="132"/>
      <c r="G595" s="133"/>
      <c r="K595" s="134"/>
      <c r="L595" s="130"/>
      <c r="M595" s="102"/>
      <c r="N595" s="118"/>
      <c r="O595" s="112"/>
      <c r="P595" s="112"/>
    </row>
    <row r="596" spans="1:16" s="12" customFormat="1" ht="15.75">
      <c r="A596" s="98"/>
      <c r="C596" s="130"/>
      <c r="D596" s="130"/>
      <c r="E596" s="131"/>
      <c r="F596" s="132"/>
      <c r="G596" s="133"/>
      <c r="K596" s="134"/>
      <c r="L596" s="130"/>
      <c r="M596" s="102"/>
      <c r="N596" s="118"/>
      <c r="O596" s="112"/>
      <c r="P596" s="112"/>
    </row>
    <row r="597" spans="1:16" s="137" customFormat="1">
      <c r="A597" s="135"/>
      <c r="B597" s="135" t="s">
        <v>188</v>
      </c>
      <c r="C597" s="136"/>
      <c r="F597" s="136"/>
      <c r="G597" s="135" t="s">
        <v>189</v>
      </c>
      <c r="I597" s="135"/>
      <c r="J597" s="136"/>
      <c r="K597" s="135" t="s">
        <v>190</v>
      </c>
      <c r="L597" s="136"/>
    </row>
    <row r="598" spans="1:16" s="137" customFormat="1">
      <c r="A598" s="135"/>
      <c r="B598" s="135" t="s">
        <v>191</v>
      </c>
      <c r="C598" s="136"/>
      <c r="F598" s="136"/>
      <c r="G598" s="135" t="s">
        <v>191</v>
      </c>
      <c r="I598" s="135"/>
      <c r="J598" s="136"/>
      <c r="K598" s="135" t="s">
        <v>191</v>
      </c>
      <c r="L598" s="136"/>
    </row>
    <row r="599" spans="1:16" s="137" customFormat="1">
      <c r="A599" s="135"/>
      <c r="B599" s="3623"/>
      <c r="C599" s="3623"/>
      <c r="D599" s="138"/>
      <c r="E599" s="135"/>
      <c r="G599" s="138"/>
      <c r="H599" s="138"/>
      <c r="I599" s="138"/>
      <c r="K599" s="138"/>
    </row>
    <row r="600" spans="1:16" s="137" customFormat="1">
      <c r="A600" s="135"/>
      <c r="B600" s="138"/>
      <c r="C600" s="138"/>
      <c r="D600" s="138"/>
      <c r="E600" s="135"/>
      <c r="G600" s="138"/>
      <c r="H600" s="138"/>
      <c r="I600" s="138"/>
      <c r="K600" s="138"/>
    </row>
    <row r="601" spans="1:16" s="137" customFormat="1">
      <c r="A601" s="135"/>
      <c r="B601" s="138"/>
      <c r="C601" s="138"/>
      <c r="D601" s="138"/>
      <c r="E601" s="135"/>
      <c r="G601" s="138"/>
      <c r="H601" s="138"/>
      <c r="I601" s="138"/>
      <c r="K601" s="138"/>
    </row>
    <row r="602" spans="1:16" s="137" customFormat="1">
      <c r="A602" s="135"/>
      <c r="B602" s="138"/>
      <c r="C602" s="138"/>
      <c r="D602" s="138"/>
      <c r="E602" s="135"/>
      <c r="G602" s="138"/>
      <c r="H602" s="138"/>
      <c r="I602" s="138"/>
      <c r="K602" s="138"/>
    </row>
    <row r="603" spans="1:16" s="137" customFormat="1">
      <c r="A603" s="135"/>
      <c r="B603" s="138"/>
      <c r="C603" s="138"/>
      <c r="D603" s="138"/>
      <c r="E603" s="135"/>
      <c r="G603" s="138"/>
      <c r="H603" s="138"/>
      <c r="I603" s="138"/>
      <c r="K603" s="138"/>
    </row>
    <row r="604" spans="1:16" s="137" customFormat="1">
      <c r="A604" s="135"/>
      <c r="B604" s="138"/>
      <c r="C604" s="138"/>
      <c r="D604" s="138"/>
      <c r="E604" s="135"/>
      <c r="G604" s="138"/>
      <c r="H604" s="138"/>
      <c r="I604" s="138"/>
      <c r="K604" s="138"/>
    </row>
  </sheetData>
  <mergeCells count="176">
    <mergeCell ref="K590:L590"/>
    <mergeCell ref="K591:L591"/>
    <mergeCell ref="B599:C599"/>
    <mergeCell ref="K585:L585"/>
    <mergeCell ref="R585:T585"/>
    <mergeCell ref="K586:L586"/>
    <mergeCell ref="K587:L587"/>
    <mergeCell ref="K588:L588"/>
    <mergeCell ref="K589:L589"/>
    <mergeCell ref="D578:E578"/>
    <mergeCell ref="G578:H578"/>
    <mergeCell ref="K578:L578"/>
    <mergeCell ref="B580:D580"/>
    <mergeCell ref="D583:E583"/>
    <mergeCell ref="G583:H583"/>
    <mergeCell ref="K583:L583"/>
    <mergeCell ref="B563:D563"/>
    <mergeCell ref="B564:D564"/>
    <mergeCell ref="D565:E565"/>
    <mergeCell ref="G565:H565"/>
    <mergeCell ref="K565:L565"/>
    <mergeCell ref="B567:D567"/>
    <mergeCell ref="D553:E553"/>
    <mergeCell ref="G553:H553"/>
    <mergeCell ref="K553:L553"/>
    <mergeCell ref="B554:D554"/>
    <mergeCell ref="D562:E562"/>
    <mergeCell ref="G562:H562"/>
    <mergeCell ref="K562:L562"/>
    <mergeCell ref="B535:D535"/>
    <mergeCell ref="D539:E539"/>
    <mergeCell ref="G539:H539"/>
    <mergeCell ref="K539:L539"/>
    <mergeCell ref="B540:D540"/>
    <mergeCell ref="B541:D541"/>
    <mergeCell ref="B522:D522"/>
    <mergeCell ref="D527:E527"/>
    <mergeCell ref="G527:H527"/>
    <mergeCell ref="K527:L527"/>
    <mergeCell ref="B529:D529"/>
    <mergeCell ref="D534:E534"/>
    <mergeCell ref="G534:H534"/>
    <mergeCell ref="K534:L534"/>
    <mergeCell ref="B503:D503"/>
    <mergeCell ref="D505:E505"/>
    <mergeCell ref="G505:H505"/>
    <mergeCell ref="K505:L505"/>
    <mergeCell ref="B506:D506"/>
    <mergeCell ref="D521:E521"/>
    <mergeCell ref="G521:H521"/>
    <mergeCell ref="K521:L521"/>
    <mergeCell ref="B483:D483"/>
    <mergeCell ref="D495:E495"/>
    <mergeCell ref="G495:H495"/>
    <mergeCell ref="K495:L495"/>
    <mergeCell ref="D502:E502"/>
    <mergeCell ref="G502:H502"/>
    <mergeCell ref="K502:L502"/>
    <mergeCell ref="B460:D460"/>
    <mergeCell ref="D476:E476"/>
    <mergeCell ref="G476:H476"/>
    <mergeCell ref="K476:L476"/>
    <mergeCell ref="D482:E482"/>
    <mergeCell ref="G482:H482"/>
    <mergeCell ref="K482:L482"/>
    <mergeCell ref="B431:D431"/>
    <mergeCell ref="D456:E456"/>
    <mergeCell ref="G456:H456"/>
    <mergeCell ref="K456:L456"/>
    <mergeCell ref="B457:D457"/>
    <mergeCell ref="D459:E459"/>
    <mergeCell ref="G459:H459"/>
    <mergeCell ref="K459:L459"/>
    <mergeCell ref="B411:D411"/>
    <mergeCell ref="D424:E424"/>
    <mergeCell ref="G424:H424"/>
    <mergeCell ref="K424:L424"/>
    <mergeCell ref="B425:D425"/>
    <mergeCell ref="D430:E430"/>
    <mergeCell ref="G430:H430"/>
    <mergeCell ref="K430:L430"/>
    <mergeCell ref="D382:E382"/>
    <mergeCell ref="G382:H382"/>
    <mergeCell ref="K382:L382"/>
    <mergeCell ref="B383:D383"/>
    <mergeCell ref="D410:E410"/>
    <mergeCell ref="G410:H410"/>
    <mergeCell ref="K410:L410"/>
    <mergeCell ref="B350:D350"/>
    <mergeCell ref="D363:E363"/>
    <mergeCell ref="G363:H363"/>
    <mergeCell ref="K363:L363"/>
    <mergeCell ref="B364:D364"/>
    <mergeCell ref="D368:E368"/>
    <mergeCell ref="G368:H368"/>
    <mergeCell ref="K368:L368"/>
    <mergeCell ref="B319:D319"/>
    <mergeCell ref="D324:E324"/>
    <mergeCell ref="G324:H324"/>
    <mergeCell ref="K324:L324"/>
    <mergeCell ref="B325:D325"/>
    <mergeCell ref="D349:E349"/>
    <mergeCell ref="G349:H349"/>
    <mergeCell ref="K349:L349"/>
    <mergeCell ref="D304:E304"/>
    <mergeCell ref="G304:H304"/>
    <mergeCell ref="K304:L304"/>
    <mergeCell ref="B305:D305"/>
    <mergeCell ref="D318:E318"/>
    <mergeCell ref="G318:H318"/>
    <mergeCell ref="K318:L318"/>
    <mergeCell ref="E294:F294"/>
    <mergeCell ref="D296:E296"/>
    <mergeCell ref="G296:H296"/>
    <mergeCell ref="K296:L296"/>
    <mergeCell ref="B298:D298"/>
    <mergeCell ref="B299:D299"/>
    <mergeCell ref="E288:F288"/>
    <mergeCell ref="E289:F289"/>
    <mergeCell ref="E290:F290"/>
    <mergeCell ref="E291:F291"/>
    <mergeCell ref="E292:F292"/>
    <mergeCell ref="E293:F293"/>
    <mergeCell ref="B258:D258"/>
    <mergeCell ref="E258:F258"/>
    <mergeCell ref="D286:E286"/>
    <mergeCell ref="G286:H286"/>
    <mergeCell ref="K286:L286"/>
    <mergeCell ref="B287:D287"/>
    <mergeCell ref="D232:E232"/>
    <mergeCell ref="G232:H232"/>
    <mergeCell ref="B233:D233"/>
    <mergeCell ref="E233:F233"/>
    <mergeCell ref="B249:D249"/>
    <mergeCell ref="E249:F249"/>
    <mergeCell ref="D208:E208"/>
    <mergeCell ref="G208:H208"/>
    <mergeCell ref="B209:D209"/>
    <mergeCell ref="E209:F209"/>
    <mergeCell ref="B225:D225"/>
    <mergeCell ref="E225:F225"/>
    <mergeCell ref="B138:D138"/>
    <mergeCell ref="D202:E202"/>
    <mergeCell ref="G202:H202"/>
    <mergeCell ref="K202:L202"/>
    <mergeCell ref="B203:D203"/>
    <mergeCell ref="B204:D204"/>
    <mergeCell ref="E204:F204"/>
    <mergeCell ref="D95:E95"/>
    <mergeCell ref="G95:H95"/>
    <mergeCell ref="K95:L95"/>
    <mergeCell ref="B96:D96"/>
    <mergeCell ref="D137:E137"/>
    <mergeCell ref="G137:H137"/>
    <mergeCell ref="K137:L137"/>
    <mergeCell ref="D51:E51"/>
    <mergeCell ref="G51:H51"/>
    <mergeCell ref="K51:L51"/>
    <mergeCell ref="B52:D52"/>
    <mergeCell ref="B5:D5"/>
    <mergeCell ref="F5:F6"/>
    <mergeCell ref="J5:K6"/>
    <mergeCell ref="L5:M6"/>
    <mergeCell ref="B6:D6"/>
    <mergeCell ref="B7:D7"/>
    <mergeCell ref="J7:K7"/>
    <mergeCell ref="L7:M7"/>
    <mergeCell ref="A1:L1"/>
    <mergeCell ref="A2:C2"/>
    <mergeCell ref="D2:M2"/>
    <mergeCell ref="A3:C3"/>
    <mergeCell ref="D3:M3"/>
    <mergeCell ref="A4:C4"/>
    <mergeCell ref="D4:M4"/>
    <mergeCell ref="H9:H13"/>
    <mergeCell ref="B23:D23"/>
  </mergeCells>
  <pageMargins left="0.5" right="0.25" top="0.5" bottom="0.25" header="0.5" footer="0.5"/>
  <pageSetup scale="85" orientation="portrait" r:id="rId1"/>
  <headerFooter alignWithMargins="0"/>
</worksheet>
</file>

<file path=xl/worksheets/sheet44.xml><?xml version="1.0" encoding="utf-8"?>
<worksheet xmlns="http://schemas.openxmlformats.org/spreadsheetml/2006/main" xmlns:r="http://schemas.openxmlformats.org/officeDocument/2006/relationships">
  <sheetPr>
    <tabColor rgb="FF00B050"/>
  </sheetPr>
  <dimension ref="A1:R70"/>
  <sheetViews>
    <sheetView view="pageBreakPreview" topLeftCell="A10" zoomScaleNormal="90" zoomScaleSheetLayoutView="100" workbookViewId="0">
      <selection activeCell="G13" sqref="G13"/>
    </sheetView>
  </sheetViews>
  <sheetFormatPr defaultRowHeight="12.75"/>
  <cols>
    <col min="1" max="1" width="5.140625" style="708" customWidth="1"/>
    <col min="2" max="2" width="11" style="699" customWidth="1"/>
    <col min="3" max="3" width="8.42578125" style="699" customWidth="1"/>
    <col min="4" max="4" width="2.7109375" style="699" customWidth="1"/>
    <col min="5" max="5" width="11" style="699" customWidth="1"/>
    <col min="6" max="6" width="2.28515625" style="699" customWidth="1"/>
    <col min="7" max="7" width="11.7109375" style="699" customWidth="1"/>
    <col min="8" max="8" width="2.28515625" style="699" customWidth="1"/>
    <col min="9" max="9" width="9.7109375" style="699" customWidth="1"/>
    <col min="10" max="10" width="2.85546875" style="699" customWidth="1"/>
    <col min="11" max="11" width="8.140625" style="699" customWidth="1"/>
    <col min="12" max="12" width="5.28515625" style="699" customWidth="1"/>
    <col min="13" max="13" width="12" style="699" customWidth="1"/>
    <col min="14" max="14" width="15.140625" style="699" customWidth="1"/>
    <col min="15" max="15" width="5.140625" style="699" customWidth="1"/>
    <col min="16" max="16" width="7.5703125" style="699" customWidth="1"/>
    <col min="17" max="17" width="4.85546875" style="699" customWidth="1"/>
    <col min="18" max="18" width="6.42578125" style="699" customWidth="1"/>
    <col min="19" max="256" width="8.85546875" style="699"/>
    <col min="257" max="257" width="5.140625" style="699" customWidth="1"/>
    <col min="258" max="258" width="11" style="699" customWidth="1"/>
    <col min="259" max="259" width="8.42578125" style="699" customWidth="1"/>
    <col min="260" max="260" width="2.7109375" style="699" customWidth="1"/>
    <col min="261" max="261" width="11" style="699" customWidth="1"/>
    <col min="262" max="262" width="2.28515625" style="699" customWidth="1"/>
    <col min="263" max="263" width="11.7109375" style="699" customWidth="1"/>
    <col min="264" max="264" width="2.28515625" style="699" customWidth="1"/>
    <col min="265" max="265" width="9.7109375" style="699" customWidth="1"/>
    <col min="266" max="266" width="2.85546875" style="699" customWidth="1"/>
    <col min="267" max="267" width="8.140625" style="699" customWidth="1"/>
    <col min="268" max="268" width="5.28515625" style="699" customWidth="1"/>
    <col min="269" max="269" width="12" style="699" customWidth="1"/>
    <col min="270" max="270" width="15.140625" style="699" customWidth="1"/>
    <col min="271" max="271" width="5.140625" style="699" customWidth="1"/>
    <col min="272" max="272" width="7.5703125" style="699" customWidth="1"/>
    <col min="273" max="273" width="4.85546875" style="699" customWidth="1"/>
    <col min="274" max="274" width="6.42578125" style="699" customWidth="1"/>
    <col min="275" max="512" width="8.85546875" style="699"/>
    <col min="513" max="513" width="5.140625" style="699" customWidth="1"/>
    <col min="514" max="514" width="11" style="699" customWidth="1"/>
    <col min="515" max="515" width="8.42578125" style="699" customWidth="1"/>
    <col min="516" max="516" width="2.7109375" style="699" customWidth="1"/>
    <col min="517" max="517" width="11" style="699" customWidth="1"/>
    <col min="518" max="518" width="2.28515625" style="699" customWidth="1"/>
    <col min="519" max="519" width="11.7109375" style="699" customWidth="1"/>
    <col min="520" max="520" width="2.28515625" style="699" customWidth="1"/>
    <col min="521" max="521" width="9.7109375" style="699" customWidth="1"/>
    <col min="522" max="522" width="2.85546875" style="699" customWidth="1"/>
    <col min="523" max="523" width="8.140625" style="699" customWidth="1"/>
    <col min="524" max="524" width="5.28515625" style="699" customWidth="1"/>
    <col min="525" max="525" width="12" style="699" customWidth="1"/>
    <col min="526" max="526" width="15.140625" style="699" customWidth="1"/>
    <col min="527" max="527" width="5.140625" style="699" customWidth="1"/>
    <col min="528" max="528" width="7.5703125" style="699" customWidth="1"/>
    <col min="529" max="529" width="4.85546875" style="699" customWidth="1"/>
    <col min="530" max="530" width="6.42578125" style="699" customWidth="1"/>
    <col min="531" max="768" width="8.85546875" style="699"/>
    <col min="769" max="769" width="5.140625" style="699" customWidth="1"/>
    <col min="770" max="770" width="11" style="699" customWidth="1"/>
    <col min="771" max="771" width="8.42578125" style="699" customWidth="1"/>
    <col min="772" max="772" width="2.7109375" style="699" customWidth="1"/>
    <col min="773" max="773" width="11" style="699" customWidth="1"/>
    <col min="774" max="774" width="2.28515625" style="699" customWidth="1"/>
    <col min="775" max="775" width="11.7109375" style="699" customWidth="1"/>
    <col min="776" max="776" width="2.28515625" style="699" customWidth="1"/>
    <col min="777" max="777" width="9.7109375" style="699" customWidth="1"/>
    <col min="778" max="778" width="2.85546875" style="699" customWidth="1"/>
    <col min="779" max="779" width="8.140625" style="699" customWidth="1"/>
    <col min="780" max="780" width="5.28515625" style="699" customWidth="1"/>
    <col min="781" max="781" width="12" style="699" customWidth="1"/>
    <col min="782" max="782" width="15.140625" style="699" customWidth="1"/>
    <col min="783" max="783" width="5.140625" style="699" customWidth="1"/>
    <col min="784" max="784" width="7.5703125" style="699" customWidth="1"/>
    <col min="785" max="785" width="4.85546875" style="699" customWidth="1"/>
    <col min="786" max="786" width="6.42578125" style="699" customWidth="1"/>
    <col min="787" max="1024" width="8.85546875" style="699"/>
    <col min="1025" max="1025" width="5.140625" style="699" customWidth="1"/>
    <col min="1026" max="1026" width="11" style="699" customWidth="1"/>
    <col min="1027" max="1027" width="8.42578125" style="699" customWidth="1"/>
    <col min="1028" max="1028" width="2.7109375" style="699" customWidth="1"/>
    <col min="1029" max="1029" width="11" style="699" customWidth="1"/>
    <col min="1030" max="1030" width="2.28515625" style="699" customWidth="1"/>
    <col min="1031" max="1031" width="11.7109375" style="699" customWidth="1"/>
    <col min="1032" max="1032" width="2.28515625" style="699" customWidth="1"/>
    <col min="1033" max="1033" width="9.7109375" style="699" customWidth="1"/>
    <col min="1034" max="1034" width="2.85546875" style="699" customWidth="1"/>
    <col min="1035" max="1035" width="8.140625" style="699" customWidth="1"/>
    <col min="1036" max="1036" width="5.28515625" style="699" customWidth="1"/>
    <col min="1037" max="1037" width="12" style="699" customWidth="1"/>
    <col min="1038" max="1038" width="15.140625" style="699" customWidth="1"/>
    <col min="1039" max="1039" width="5.140625" style="699" customWidth="1"/>
    <col min="1040" max="1040" width="7.5703125" style="699" customWidth="1"/>
    <col min="1041" max="1041" width="4.85546875" style="699" customWidth="1"/>
    <col min="1042" max="1042" width="6.42578125" style="699" customWidth="1"/>
    <col min="1043" max="1280" width="8.85546875" style="699"/>
    <col min="1281" max="1281" width="5.140625" style="699" customWidth="1"/>
    <col min="1282" max="1282" width="11" style="699" customWidth="1"/>
    <col min="1283" max="1283" width="8.42578125" style="699" customWidth="1"/>
    <col min="1284" max="1284" width="2.7109375" style="699" customWidth="1"/>
    <col min="1285" max="1285" width="11" style="699" customWidth="1"/>
    <col min="1286" max="1286" width="2.28515625" style="699" customWidth="1"/>
    <col min="1287" max="1287" width="11.7109375" style="699" customWidth="1"/>
    <col min="1288" max="1288" width="2.28515625" style="699" customWidth="1"/>
    <col min="1289" max="1289" width="9.7109375" style="699" customWidth="1"/>
    <col min="1290" max="1290" width="2.85546875" style="699" customWidth="1"/>
    <col min="1291" max="1291" width="8.140625" style="699" customWidth="1"/>
    <col min="1292" max="1292" width="5.28515625" style="699" customWidth="1"/>
    <col min="1293" max="1293" width="12" style="699" customWidth="1"/>
    <col min="1294" max="1294" width="15.140625" style="699" customWidth="1"/>
    <col min="1295" max="1295" width="5.140625" style="699" customWidth="1"/>
    <col min="1296" max="1296" width="7.5703125" style="699" customWidth="1"/>
    <col min="1297" max="1297" width="4.85546875" style="699" customWidth="1"/>
    <col min="1298" max="1298" width="6.42578125" style="699" customWidth="1"/>
    <col min="1299" max="1536" width="8.85546875" style="699"/>
    <col min="1537" max="1537" width="5.140625" style="699" customWidth="1"/>
    <col min="1538" max="1538" width="11" style="699" customWidth="1"/>
    <col min="1539" max="1539" width="8.42578125" style="699" customWidth="1"/>
    <col min="1540" max="1540" width="2.7109375" style="699" customWidth="1"/>
    <col min="1541" max="1541" width="11" style="699" customWidth="1"/>
    <col min="1542" max="1542" width="2.28515625" style="699" customWidth="1"/>
    <col min="1543" max="1543" width="11.7109375" style="699" customWidth="1"/>
    <col min="1544" max="1544" width="2.28515625" style="699" customWidth="1"/>
    <col min="1545" max="1545" width="9.7109375" style="699" customWidth="1"/>
    <col min="1546" max="1546" width="2.85546875" style="699" customWidth="1"/>
    <col min="1547" max="1547" width="8.140625" style="699" customWidth="1"/>
    <col min="1548" max="1548" width="5.28515625" style="699" customWidth="1"/>
    <col min="1549" max="1549" width="12" style="699" customWidth="1"/>
    <col min="1550" max="1550" width="15.140625" style="699" customWidth="1"/>
    <col min="1551" max="1551" width="5.140625" style="699" customWidth="1"/>
    <col min="1552" max="1552" width="7.5703125" style="699" customWidth="1"/>
    <col min="1553" max="1553" width="4.85546875" style="699" customWidth="1"/>
    <col min="1554" max="1554" width="6.42578125" style="699" customWidth="1"/>
    <col min="1555" max="1792" width="8.85546875" style="699"/>
    <col min="1793" max="1793" width="5.140625" style="699" customWidth="1"/>
    <col min="1794" max="1794" width="11" style="699" customWidth="1"/>
    <col min="1795" max="1795" width="8.42578125" style="699" customWidth="1"/>
    <col min="1796" max="1796" width="2.7109375" style="699" customWidth="1"/>
    <col min="1797" max="1797" width="11" style="699" customWidth="1"/>
    <col min="1798" max="1798" width="2.28515625" style="699" customWidth="1"/>
    <col min="1799" max="1799" width="11.7109375" style="699" customWidth="1"/>
    <col min="1800" max="1800" width="2.28515625" style="699" customWidth="1"/>
    <col min="1801" max="1801" width="9.7109375" style="699" customWidth="1"/>
    <col min="1802" max="1802" width="2.85546875" style="699" customWidth="1"/>
    <col min="1803" max="1803" width="8.140625" style="699" customWidth="1"/>
    <col min="1804" max="1804" width="5.28515625" style="699" customWidth="1"/>
    <col min="1805" max="1805" width="12" style="699" customWidth="1"/>
    <col min="1806" max="1806" width="15.140625" style="699" customWidth="1"/>
    <col min="1807" max="1807" width="5.140625" style="699" customWidth="1"/>
    <col min="1808" max="1808" width="7.5703125" style="699" customWidth="1"/>
    <col min="1809" max="1809" width="4.85546875" style="699" customWidth="1"/>
    <col min="1810" max="1810" width="6.42578125" style="699" customWidth="1"/>
    <col min="1811" max="2048" width="8.85546875" style="699"/>
    <col min="2049" max="2049" width="5.140625" style="699" customWidth="1"/>
    <col min="2050" max="2050" width="11" style="699" customWidth="1"/>
    <col min="2051" max="2051" width="8.42578125" style="699" customWidth="1"/>
    <col min="2052" max="2052" width="2.7109375" style="699" customWidth="1"/>
    <col min="2053" max="2053" width="11" style="699" customWidth="1"/>
    <col min="2054" max="2054" width="2.28515625" style="699" customWidth="1"/>
    <col min="2055" max="2055" width="11.7109375" style="699" customWidth="1"/>
    <col min="2056" max="2056" width="2.28515625" style="699" customWidth="1"/>
    <col min="2057" max="2057" width="9.7109375" style="699" customWidth="1"/>
    <col min="2058" max="2058" width="2.85546875" style="699" customWidth="1"/>
    <col min="2059" max="2059" width="8.140625" style="699" customWidth="1"/>
    <col min="2060" max="2060" width="5.28515625" style="699" customWidth="1"/>
    <col min="2061" max="2061" width="12" style="699" customWidth="1"/>
    <col min="2062" max="2062" width="15.140625" style="699" customWidth="1"/>
    <col min="2063" max="2063" width="5.140625" style="699" customWidth="1"/>
    <col min="2064" max="2064" width="7.5703125" style="699" customWidth="1"/>
    <col min="2065" max="2065" width="4.85546875" style="699" customWidth="1"/>
    <col min="2066" max="2066" width="6.42578125" style="699" customWidth="1"/>
    <col min="2067" max="2304" width="8.85546875" style="699"/>
    <col min="2305" max="2305" width="5.140625" style="699" customWidth="1"/>
    <col min="2306" max="2306" width="11" style="699" customWidth="1"/>
    <col min="2307" max="2307" width="8.42578125" style="699" customWidth="1"/>
    <col min="2308" max="2308" width="2.7109375" style="699" customWidth="1"/>
    <col min="2309" max="2309" width="11" style="699" customWidth="1"/>
    <col min="2310" max="2310" width="2.28515625" style="699" customWidth="1"/>
    <col min="2311" max="2311" width="11.7109375" style="699" customWidth="1"/>
    <col min="2312" max="2312" width="2.28515625" style="699" customWidth="1"/>
    <col min="2313" max="2313" width="9.7109375" style="699" customWidth="1"/>
    <col min="2314" max="2314" width="2.85546875" style="699" customWidth="1"/>
    <col min="2315" max="2315" width="8.140625" style="699" customWidth="1"/>
    <col min="2316" max="2316" width="5.28515625" style="699" customWidth="1"/>
    <col min="2317" max="2317" width="12" style="699" customWidth="1"/>
    <col min="2318" max="2318" width="15.140625" style="699" customWidth="1"/>
    <col min="2319" max="2319" width="5.140625" style="699" customWidth="1"/>
    <col min="2320" max="2320" width="7.5703125" style="699" customWidth="1"/>
    <col min="2321" max="2321" width="4.85546875" style="699" customWidth="1"/>
    <col min="2322" max="2322" width="6.42578125" style="699" customWidth="1"/>
    <col min="2323" max="2560" width="8.85546875" style="699"/>
    <col min="2561" max="2561" width="5.140625" style="699" customWidth="1"/>
    <col min="2562" max="2562" width="11" style="699" customWidth="1"/>
    <col min="2563" max="2563" width="8.42578125" style="699" customWidth="1"/>
    <col min="2564" max="2564" width="2.7109375" style="699" customWidth="1"/>
    <col min="2565" max="2565" width="11" style="699" customWidth="1"/>
    <col min="2566" max="2566" width="2.28515625" style="699" customWidth="1"/>
    <col min="2567" max="2567" width="11.7109375" style="699" customWidth="1"/>
    <col min="2568" max="2568" width="2.28515625" style="699" customWidth="1"/>
    <col min="2569" max="2569" width="9.7109375" style="699" customWidth="1"/>
    <col min="2570" max="2570" width="2.85546875" style="699" customWidth="1"/>
    <col min="2571" max="2571" width="8.140625" style="699" customWidth="1"/>
    <col min="2572" max="2572" width="5.28515625" style="699" customWidth="1"/>
    <col min="2573" max="2573" width="12" style="699" customWidth="1"/>
    <col min="2574" max="2574" width="15.140625" style="699" customWidth="1"/>
    <col min="2575" max="2575" width="5.140625" style="699" customWidth="1"/>
    <col min="2576" max="2576" width="7.5703125" style="699" customWidth="1"/>
    <col min="2577" max="2577" width="4.85546875" style="699" customWidth="1"/>
    <col min="2578" max="2578" width="6.42578125" style="699" customWidth="1"/>
    <col min="2579" max="2816" width="8.85546875" style="699"/>
    <col min="2817" max="2817" width="5.140625" style="699" customWidth="1"/>
    <col min="2818" max="2818" width="11" style="699" customWidth="1"/>
    <col min="2819" max="2819" width="8.42578125" style="699" customWidth="1"/>
    <col min="2820" max="2820" width="2.7109375" style="699" customWidth="1"/>
    <col min="2821" max="2821" width="11" style="699" customWidth="1"/>
    <col min="2822" max="2822" width="2.28515625" style="699" customWidth="1"/>
    <col min="2823" max="2823" width="11.7109375" style="699" customWidth="1"/>
    <col min="2824" max="2824" width="2.28515625" style="699" customWidth="1"/>
    <col min="2825" max="2825" width="9.7109375" style="699" customWidth="1"/>
    <col min="2826" max="2826" width="2.85546875" style="699" customWidth="1"/>
    <col min="2827" max="2827" width="8.140625" style="699" customWidth="1"/>
    <col min="2828" max="2828" width="5.28515625" style="699" customWidth="1"/>
    <col min="2829" max="2829" width="12" style="699" customWidth="1"/>
    <col min="2830" max="2830" width="15.140625" style="699" customWidth="1"/>
    <col min="2831" max="2831" width="5.140625" style="699" customWidth="1"/>
    <col min="2832" max="2832" width="7.5703125" style="699" customWidth="1"/>
    <col min="2833" max="2833" width="4.85546875" style="699" customWidth="1"/>
    <col min="2834" max="2834" width="6.42578125" style="699" customWidth="1"/>
    <col min="2835" max="3072" width="8.85546875" style="699"/>
    <col min="3073" max="3073" width="5.140625" style="699" customWidth="1"/>
    <col min="3074" max="3074" width="11" style="699" customWidth="1"/>
    <col min="3075" max="3075" width="8.42578125" style="699" customWidth="1"/>
    <col min="3076" max="3076" width="2.7109375" style="699" customWidth="1"/>
    <col min="3077" max="3077" width="11" style="699" customWidth="1"/>
    <col min="3078" max="3078" width="2.28515625" style="699" customWidth="1"/>
    <col min="3079" max="3079" width="11.7109375" style="699" customWidth="1"/>
    <col min="3080" max="3080" width="2.28515625" style="699" customWidth="1"/>
    <col min="3081" max="3081" width="9.7109375" style="699" customWidth="1"/>
    <col min="3082" max="3082" width="2.85546875" style="699" customWidth="1"/>
    <col min="3083" max="3083" width="8.140625" style="699" customWidth="1"/>
    <col min="3084" max="3084" width="5.28515625" style="699" customWidth="1"/>
    <col min="3085" max="3085" width="12" style="699" customWidth="1"/>
    <col min="3086" max="3086" width="15.140625" style="699" customWidth="1"/>
    <col min="3087" max="3087" width="5.140625" style="699" customWidth="1"/>
    <col min="3088" max="3088" width="7.5703125" style="699" customWidth="1"/>
    <col min="3089" max="3089" width="4.85546875" style="699" customWidth="1"/>
    <col min="3090" max="3090" width="6.42578125" style="699" customWidth="1"/>
    <col min="3091" max="3328" width="8.85546875" style="699"/>
    <col min="3329" max="3329" width="5.140625" style="699" customWidth="1"/>
    <col min="3330" max="3330" width="11" style="699" customWidth="1"/>
    <col min="3331" max="3331" width="8.42578125" style="699" customWidth="1"/>
    <col min="3332" max="3332" width="2.7109375" style="699" customWidth="1"/>
    <col min="3333" max="3333" width="11" style="699" customWidth="1"/>
    <col min="3334" max="3334" width="2.28515625" style="699" customWidth="1"/>
    <col min="3335" max="3335" width="11.7109375" style="699" customWidth="1"/>
    <col min="3336" max="3336" width="2.28515625" style="699" customWidth="1"/>
    <col min="3337" max="3337" width="9.7109375" style="699" customWidth="1"/>
    <col min="3338" max="3338" width="2.85546875" style="699" customWidth="1"/>
    <col min="3339" max="3339" width="8.140625" style="699" customWidth="1"/>
    <col min="3340" max="3340" width="5.28515625" style="699" customWidth="1"/>
    <col min="3341" max="3341" width="12" style="699" customWidth="1"/>
    <col min="3342" max="3342" width="15.140625" style="699" customWidth="1"/>
    <col min="3343" max="3343" width="5.140625" style="699" customWidth="1"/>
    <col min="3344" max="3344" width="7.5703125" style="699" customWidth="1"/>
    <col min="3345" max="3345" width="4.85546875" style="699" customWidth="1"/>
    <col min="3346" max="3346" width="6.42578125" style="699" customWidth="1"/>
    <col min="3347" max="3584" width="8.85546875" style="699"/>
    <col min="3585" max="3585" width="5.140625" style="699" customWidth="1"/>
    <col min="3586" max="3586" width="11" style="699" customWidth="1"/>
    <col min="3587" max="3587" width="8.42578125" style="699" customWidth="1"/>
    <col min="3588" max="3588" width="2.7109375" style="699" customWidth="1"/>
    <col min="3589" max="3589" width="11" style="699" customWidth="1"/>
    <col min="3590" max="3590" width="2.28515625" style="699" customWidth="1"/>
    <col min="3591" max="3591" width="11.7109375" style="699" customWidth="1"/>
    <col min="3592" max="3592" width="2.28515625" style="699" customWidth="1"/>
    <col min="3593" max="3593" width="9.7109375" style="699" customWidth="1"/>
    <col min="3594" max="3594" width="2.85546875" style="699" customWidth="1"/>
    <col min="3595" max="3595" width="8.140625" style="699" customWidth="1"/>
    <col min="3596" max="3596" width="5.28515625" style="699" customWidth="1"/>
    <col min="3597" max="3597" width="12" style="699" customWidth="1"/>
    <col min="3598" max="3598" width="15.140625" style="699" customWidth="1"/>
    <col min="3599" max="3599" width="5.140625" style="699" customWidth="1"/>
    <col min="3600" max="3600" width="7.5703125" style="699" customWidth="1"/>
    <col min="3601" max="3601" width="4.85546875" style="699" customWidth="1"/>
    <col min="3602" max="3602" width="6.42578125" style="699" customWidth="1"/>
    <col min="3603" max="3840" width="8.85546875" style="699"/>
    <col min="3841" max="3841" width="5.140625" style="699" customWidth="1"/>
    <col min="3842" max="3842" width="11" style="699" customWidth="1"/>
    <col min="3843" max="3843" width="8.42578125" style="699" customWidth="1"/>
    <col min="3844" max="3844" width="2.7109375" style="699" customWidth="1"/>
    <col min="3845" max="3845" width="11" style="699" customWidth="1"/>
    <col min="3846" max="3846" width="2.28515625" style="699" customWidth="1"/>
    <col min="3847" max="3847" width="11.7109375" style="699" customWidth="1"/>
    <col min="3848" max="3848" width="2.28515625" style="699" customWidth="1"/>
    <col min="3849" max="3849" width="9.7109375" style="699" customWidth="1"/>
    <col min="3850" max="3850" width="2.85546875" style="699" customWidth="1"/>
    <col min="3851" max="3851" width="8.140625" style="699" customWidth="1"/>
    <col min="3852" max="3852" width="5.28515625" style="699" customWidth="1"/>
    <col min="3853" max="3853" width="12" style="699" customWidth="1"/>
    <col min="3854" max="3854" width="15.140625" style="699" customWidth="1"/>
    <col min="3855" max="3855" width="5.140625" style="699" customWidth="1"/>
    <col min="3856" max="3856" width="7.5703125" style="699" customWidth="1"/>
    <col min="3857" max="3857" width="4.85546875" style="699" customWidth="1"/>
    <col min="3858" max="3858" width="6.42578125" style="699" customWidth="1"/>
    <col min="3859" max="4096" width="8.85546875" style="699"/>
    <col min="4097" max="4097" width="5.140625" style="699" customWidth="1"/>
    <col min="4098" max="4098" width="11" style="699" customWidth="1"/>
    <col min="4099" max="4099" width="8.42578125" style="699" customWidth="1"/>
    <col min="4100" max="4100" width="2.7109375" style="699" customWidth="1"/>
    <col min="4101" max="4101" width="11" style="699" customWidth="1"/>
    <col min="4102" max="4102" width="2.28515625" style="699" customWidth="1"/>
    <col min="4103" max="4103" width="11.7109375" style="699" customWidth="1"/>
    <col min="4104" max="4104" width="2.28515625" style="699" customWidth="1"/>
    <col min="4105" max="4105" width="9.7109375" style="699" customWidth="1"/>
    <col min="4106" max="4106" width="2.85546875" style="699" customWidth="1"/>
    <col min="4107" max="4107" width="8.140625" style="699" customWidth="1"/>
    <col min="4108" max="4108" width="5.28515625" style="699" customWidth="1"/>
    <col min="4109" max="4109" width="12" style="699" customWidth="1"/>
    <col min="4110" max="4110" width="15.140625" style="699" customWidth="1"/>
    <col min="4111" max="4111" width="5.140625" style="699" customWidth="1"/>
    <col min="4112" max="4112" width="7.5703125" style="699" customWidth="1"/>
    <col min="4113" max="4113" width="4.85546875" style="699" customWidth="1"/>
    <col min="4114" max="4114" width="6.42578125" style="699" customWidth="1"/>
    <col min="4115" max="4352" width="8.85546875" style="699"/>
    <col min="4353" max="4353" width="5.140625" style="699" customWidth="1"/>
    <col min="4354" max="4354" width="11" style="699" customWidth="1"/>
    <col min="4355" max="4355" width="8.42578125" style="699" customWidth="1"/>
    <col min="4356" max="4356" width="2.7109375" style="699" customWidth="1"/>
    <col min="4357" max="4357" width="11" style="699" customWidth="1"/>
    <col min="4358" max="4358" width="2.28515625" style="699" customWidth="1"/>
    <col min="4359" max="4359" width="11.7109375" style="699" customWidth="1"/>
    <col min="4360" max="4360" width="2.28515625" style="699" customWidth="1"/>
    <col min="4361" max="4361" width="9.7109375" style="699" customWidth="1"/>
    <col min="4362" max="4362" width="2.85546875" style="699" customWidth="1"/>
    <col min="4363" max="4363" width="8.140625" style="699" customWidth="1"/>
    <col min="4364" max="4364" width="5.28515625" style="699" customWidth="1"/>
    <col min="4365" max="4365" width="12" style="699" customWidth="1"/>
    <col min="4366" max="4366" width="15.140625" style="699" customWidth="1"/>
    <col min="4367" max="4367" width="5.140625" style="699" customWidth="1"/>
    <col min="4368" max="4368" width="7.5703125" style="699" customWidth="1"/>
    <col min="4369" max="4369" width="4.85546875" style="699" customWidth="1"/>
    <col min="4370" max="4370" width="6.42578125" style="699" customWidth="1"/>
    <col min="4371" max="4608" width="8.85546875" style="699"/>
    <col min="4609" max="4609" width="5.140625" style="699" customWidth="1"/>
    <col min="4610" max="4610" width="11" style="699" customWidth="1"/>
    <col min="4611" max="4611" width="8.42578125" style="699" customWidth="1"/>
    <col min="4612" max="4612" width="2.7109375" style="699" customWidth="1"/>
    <col min="4613" max="4613" width="11" style="699" customWidth="1"/>
    <col min="4614" max="4614" width="2.28515625" style="699" customWidth="1"/>
    <col min="4615" max="4615" width="11.7109375" style="699" customWidth="1"/>
    <col min="4616" max="4616" width="2.28515625" style="699" customWidth="1"/>
    <col min="4617" max="4617" width="9.7109375" style="699" customWidth="1"/>
    <col min="4618" max="4618" width="2.85546875" style="699" customWidth="1"/>
    <col min="4619" max="4619" width="8.140625" style="699" customWidth="1"/>
    <col min="4620" max="4620" width="5.28515625" style="699" customWidth="1"/>
    <col min="4621" max="4621" width="12" style="699" customWidth="1"/>
    <col min="4622" max="4622" width="15.140625" style="699" customWidth="1"/>
    <col min="4623" max="4623" width="5.140625" style="699" customWidth="1"/>
    <col min="4624" max="4624" width="7.5703125" style="699" customWidth="1"/>
    <col min="4625" max="4625" width="4.85546875" style="699" customWidth="1"/>
    <col min="4626" max="4626" width="6.42578125" style="699" customWidth="1"/>
    <col min="4627" max="4864" width="8.85546875" style="699"/>
    <col min="4865" max="4865" width="5.140625" style="699" customWidth="1"/>
    <col min="4866" max="4866" width="11" style="699" customWidth="1"/>
    <col min="4867" max="4867" width="8.42578125" style="699" customWidth="1"/>
    <col min="4868" max="4868" width="2.7109375" style="699" customWidth="1"/>
    <col min="4869" max="4869" width="11" style="699" customWidth="1"/>
    <col min="4870" max="4870" width="2.28515625" style="699" customWidth="1"/>
    <col min="4871" max="4871" width="11.7109375" style="699" customWidth="1"/>
    <col min="4872" max="4872" width="2.28515625" style="699" customWidth="1"/>
    <col min="4873" max="4873" width="9.7109375" style="699" customWidth="1"/>
    <col min="4874" max="4874" width="2.85546875" style="699" customWidth="1"/>
    <col min="4875" max="4875" width="8.140625" style="699" customWidth="1"/>
    <col min="4876" max="4876" width="5.28515625" style="699" customWidth="1"/>
    <col min="4877" max="4877" width="12" style="699" customWidth="1"/>
    <col min="4878" max="4878" width="15.140625" style="699" customWidth="1"/>
    <col min="4879" max="4879" width="5.140625" style="699" customWidth="1"/>
    <col min="4880" max="4880" width="7.5703125" style="699" customWidth="1"/>
    <col min="4881" max="4881" width="4.85546875" style="699" customWidth="1"/>
    <col min="4882" max="4882" width="6.42578125" style="699" customWidth="1"/>
    <col min="4883" max="5120" width="8.85546875" style="699"/>
    <col min="5121" max="5121" width="5.140625" style="699" customWidth="1"/>
    <col min="5122" max="5122" width="11" style="699" customWidth="1"/>
    <col min="5123" max="5123" width="8.42578125" style="699" customWidth="1"/>
    <col min="5124" max="5124" width="2.7109375" style="699" customWidth="1"/>
    <col min="5125" max="5125" width="11" style="699" customWidth="1"/>
    <col min="5126" max="5126" width="2.28515625" style="699" customWidth="1"/>
    <col min="5127" max="5127" width="11.7109375" style="699" customWidth="1"/>
    <col min="5128" max="5128" width="2.28515625" style="699" customWidth="1"/>
    <col min="5129" max="5129" width="9.7109375" style="699" customWidth="1"/>
    <col min="5130" max="5130" width="2.85546875" style="699" customWidth="1"/>
    <col min="5131" max="5131" width="8.140625" style="699" customWidth="1"/>
    <col min="5132" max="5132" width="5.28515625" style="699" customWidth="1"/>
    <col min="5133" max="5133" width="12" style="699" customWidth="1"/>
    <col min="5134" max="5134" width="15.140625" style="699" customWidth="1"/>
    <col min="5135" max="5135" width="5.140625" style="699" customWidth="1"/>
    <col min="5136" max="5136" width="7.5703125" style="699" customWidth="1"/>
    <col min="5137" max="5137" width="4.85546875" style="699" customWidth="1"/>
    <col min="5138" max="5138" width="6.42578125" style="699" customWidth="1"/>
    <col min="5139" max="5376" width="8.85546875" style="699"/>
    <col min="5377" max="5377" width="5.140625" style="699" customWidth="1"/>
    <col min="5378" max="5378" width="11" style="699" customWidth="1"/>
    <col min="5379" max="5379" width="8.42578125" style="699" customWidth="1"/>
    <col min="5380" max="5380" width="2.7109375" style="699" customWidth="1"/>
    <col min="5381" max="5381" width="11" style="699" customWidth="1"/>
    <col min="5382" max="5382" width="2.28515625" style="699" customWidth="1"/>
    <col min="5383" max="5383" width="11.7109375" style="699" customWidth="1"/>
    <col min="5384" max="5384" width="2.28515625" style="699" customWidth="1"/>
    <col min="5385" max="5385" width="9.7109375" style="699" customWidth="1"/>
    <col min="5386" max="5386" width="2.85546875" style="699" customWidth="1"/>
    <col min="5387" max="5387" width="8.140625" style="699" customWidth="1"/>
    <col min="5388" max="5388" width="5.28515625" style="699" customWidth="1"/>
    <col min="5389" max="5389" width="12" style="699" customWidth="1"/>
    <col min="5390" max="5390" width="15.140625" style="699" customWidth="1"/>
    <col min="5391" max="5391" width="5.140625" style="699" customWidth="1"/>
    <col min="5392" max="5392" width="7.5703125" style="699" customWidth="1"/>
    <col min="5393" max="5393" width="4.85546875" style="699" customWidth="1"/>
    <col min="5394" max="5394" width="6.42578125" style="699" customWidth="1"/>
    <col min="5395" max="5632" width="8.85546875" style="699"/>
    <col min="5633" max="5633" width="5.140625" style="699" customWidth="1"/>
    <col min="5634" max="5634" width="11" style="699" customWidth="1"/>
    <col min="5635" max="5635" width="8.42578125" style="699" customWidth="1"/>
    <col min="5636" max="5636" width="2.7109375" style="699" customWidth="1"/>
    <col min="5637" max="5637" width="11" style="699" customWidth="1"/>
    <col min="5638" max="5638" width="2.28515625" style="699" customWidth="1"/>
    <col min="5639" max="5639" width="11.7109375" style="699" customWidth="1"/>
    <col min="5640" max="5640" width="2.28515625" style="699" customWidth="1"/>
    <col min="5641" max="5641" width="9.7109375" style="699" customWidth="1"/>
    <col min="5642" max="5642" width="2.85546875" style="699" customWidth="1"/>
    <col min="5643" max="5643" width="8.140625" style="699" customWidth="1"/>
    <col min="5644" max="5644" width="5.28515625" style="699" customWidth="1"/>
    <col min="5645" max="5645" width="12" style="699" customWidth="1"/>
    <col min="5646" max="5646" width="15.140625" style="699" customWidth="1"/>
    <col min="5647" max="5647" width="5.140625" style="699" customWidth="1"/>
    <col min="5648" max="5648" width="7.5703125" style="699" customWidth="1"/>
    <col min="5649" max="5649" width="4.85546875" style="699" customWidth="1"/>
    <col min="5650" max="5650" width="6.42578125" style="699" customWidth="1"/>
    <col min="5651" max="5888" width="8.85546875" style="699"/>
    <col min="5889" max="5889" width="5.140625" style="699" customWidth="1"/>
    <col min="5890" max="5890" width="11" style="699" customWidth="1"/>
    <col min="5891" max="5891" width="8.42578125" style="699" customWidth="1"/>
    <col min="5892" max="5892" width="2.7109375" style="699" customWidth="1"/>
    <col min="5893" max="5893" width="11" style="699" customWidth="1"/>
    <col min="5894" max="5894" width="2.28515625" style="699" customWidth="1"/>
    <col min="5895" max="5895" width="11.7109375" style="699" customWidth="1"/>
    <col min="5896" max="5896" width="2.28515625" style="699" customWidth="1"/>
    <col min="5897" max="5897" width="9.7109375" style="699" customWidth="1"/>
    <col min="5898" max="5898" width="2.85546875" style="699" customWidth="1"/>
    <col min="5899" max="5899" width="8.140625" style="699" customWidth="1"/>
    <col min="5900" max="5900" width="5.28515625" style="699" customWidth="1"/>
    <col min="5901" max="5901" width="12" style="699" customWidth="1"/>
    <col min="5902" max="5902" width="15.140625" style="699" customWidth="1"/>
    <col min="5903" max="5903" width="5.140625" style="699" customWidth="1"/>
    <col min="5904" max="5904" width="7.5703125" style="699" customWidth="1"/>
    <col min="5905" max="5905" width="4.85546875" style="699" customWidth="1"/>
    <col min="5906" max="5906" width="6.42578125" style="699" customWidth="1"/>
    <col min="5907" max="6144" width="8.85546875" style="699"/>
    <col min="6145" max="6145" width="5.140625" style="699" customWidth="1"/>
    <col min="6146" max="6146" width="11" style="699" customWidth="1"/>
    <col min="6147" max="6147" width="8.42578125" style="699" customWidth="1"/>
    <col min="6148" max="6148" width="2.7109375" style="699" customWidth="1"/>
    <col min="6149" max="6149" width="11" style="699" customWidth="1"/>
    <col min="6150" max="6150" width="2.28515625" style="699" customWidth="1"/>
    <col min="6151" max="6151" width="11.7109375" style="699" customWidth="1"/>
    <col min="6152" max="6152" width="2.28515625" style="699" customWidth="1"/>
    <col min="6153" max="6153" width="9.7109375" style="699" customWidth="1"/>
    <col min="6154" max="6154" width="2.85546875" style="699" customWidth="1"/>
    <col min="6155" max="6155" width="8.140625" style="699" customWidth="1"/>
    <col min="6156" max="6156" width="5.28515625" style="699" customWidth="1"/>
    <col min="6157" max="6157" width="12" style="699" customWidth="1"/>
    <col min="6158" max="6158" width="15.140625" style="699" customWidth="1"/>
    <col min="6159" max="6159" width="5.140625" style="699" customWidth="1"/>
    <col min="6160" max="6160" width="7.5703125" style="699" customWidth="1"/>
    <col min="6161" max="6161" width="4.85546875" style="699" customWidth="1"/>
    <col min="6162" max="6162" width="6.42578125" style="699" customWidth="1"/>
    <col min="6163" max="6400" width="8.85546875" style="699"/>
    <col min="6401" max="6401" width="5.140625" style="699" customWidth="1"/>
    <col min="6402" max="6402" width="11" style="699" customWidth="1"/>
    <col min="6403" max="6403" width="8.42578125" style="699" customWidth="1"/>
    <col min="6404" max="6404" width="2.7109375" style="699" customWidth="1"/>
    <col min="6405" max="6405" width="11" style="699" customWidth="1"/>
    <col min="6406" max="6406" width="2.28515625" style="699" customWidth="1"/>
    <col min="6407" max="6407" width="11.7109375" style="699" customWidth="1"/>
    <col min="6408" max="6408" width="2.28515625" style="699" customWidth="1"/>
    <col min="6409" max="6409" width="9.7109375" style="699" customWidth="1"/>
    <col min="6410" max="6410" width="2.85546875" style="699" customWidth="1"/>
    <col min="6411" max="6411" width="8.140625" style="699" customWidth="1"/>
    <col min="6412" max="6412" width="5.28515625" style="699" customWidth="1"/>
    <col min="6413" max="6413" width="12" style="699" customWidth="1"/>
    <col min="6414" max="6414" width="15.140625" style="699" customWidth="1"/>
    <col min="6415" max="6415" width="5.140625" style="699" customWidth="1"/>
    <col min="6416" max="6416" width="7.5703125" style="699" customWidth="1"/>
    <col min="6417" max="6417" width="4.85546875" style="699" customWidth="1"/>
    <col min="6418" max="6418" width="6.42578125" style="699" customWidth="1"/>
    <col min="6419" max="6656" width="8.85546875" style="699"/>
    <col min="6657" max="6657" width="5.140625" style="699" customWidth="1"/>
    <col min="6658" max="6658" width="11" style="699" customWidth="1"/>
    <col min="6659" max="6659" width="8.42578125" style="699" customWidth="1"/>
    <col min="6660" max="6660" width="2.7109375" style="699" customWidth="1"/>
    <col min="6661" max="6661" width="11" style="699" customWidth="1"/>
    <col min="6662" max="6662" width="2.28515625" style="699" customWidth="1"/>
    <col min="6663" max="6663" width="11.7109375" style="699" customWidth="1"/>
    <col min="6664" max="6664" width="2.28515625" style="699" customWidth="1"/>
    <col min="6665" max="6665" width="9.7109375" style="699" customWidth="1"/>
    <col min="6666" max="6666" width="2.85546875" style="699" customWidth="1"/>
    <col min="6667" max="6667" width="8.140625" style="699" customWidth="1"/>
    <col min="6668" max="6668" width="5.28515625" style="699" customWidth="1"/>
    <col min="6669" max="6669" width="12" style="699" customWidth="1"/>
    <col min="6670" max="6670" width="15.140625" style="699" customWidth="1"/>
    <col min="6671" max="6671" width="5.140625" style="699" customWidth="1"/>
    <col min="6672" max="6672" width="7.5703125" style="699" customWidth="1"/>
    <col min="6673" max="6673" width="4.85546875" style="699" customWidth="1"/>
    <col min="6674" max="6674" width="6.42578125" style="699" customWidth="1"/>
    <col min="6675" max="6912" width="8.85546875" style="699"/>
    <col min="6913" max="6913" width="5.140625" style="699" customWidth="1"/>
    <col min="6914" max="6914" width="11" style="699" customWidth="1"/>
    <col min="6915" max="6915" width="8.42578125" style="699" customWidth="1"/>
    <col min="6916" max="6916" width="2.7109375" style="699" customWidth="1"/>
    <col min="6917" max="6917" width="11" style="699" customWidth="1"/>
    <col min="6918" max="6918" width="2.28515625" style="699" customWidth="1"/>
    <col min="6919" max="6919" width="11.7109375" style="699" customWidth="1"/>
    <col min="6920" max="6920" width="2.28515625" style="699" customWidth="1"/>
    <col min="6921" max="6921" width="9.7109375" style="699" customWidth="1"/>
    <col min="6922" max="6922" width="2.85546875" style="699" customWidth="1"/>
    <col min="6923" max="6923" width="8.140625" style="699" customWidth="1"/>
    <col min="6924" max="6924" width="5.28515625" style="699" customWidth="1"/>
    <col min="6925" max="6925" width="12" style="699" customWidth="1"/>
    <col min="6926" max="6926" width="15.140625" style="699" customWidth="1"/>
    <col min="6927" max="6927" width="5.140625" style="699" customWidth="1"/>
    <col min="6928" max="6928" width="7.5703125" style="699" customWidth="1"/>
    <col min="6929" max="6929" width="4.85546875" style="699" customWidth="1"/>
    <col min="6930" max="6930" width="6.42578125" style="699" customWidth="1"/>
    <col min="6931" max="7168" width="8.85546875" style="699"/>
    <col min="7169" max="7169" width="5.140625" style="699" customWidth="1"/>
    <col min="7170" max="7170" width="11" style="699" customWidth="1"/>
    <col min="7171" max="7171" width="8.42578125" style="699" customWidth="1"/>
    <col min="7172" max="7172" width="2.7109375" style="699" customWidth="1"/>
    <col min="7173" max="7173" width="11" style="699" customWidth="1"/>
    <col min="7174" max="7174" width="2.28515625" style="699" customWidth="1"/>
    <col min="7175" max="7175" width="11.7109375" style="699" customWidth="1"/>
    <col min="7176" max="7176" width="2.28515625" style="699" customWidth="1"/>
    <col min="7177" max="7177" width="9.7109375" style="699" customWidth="1"/>
    <col min="7178" max="7178" width="2.85546875" style="699" customWidth="1"/>
    <col min="7179" max="7179" width="8.140625" style="699" customWidth="1"/>
    <col min="7180" max="7180" width="5.28515625" style="699" customWidth="1"/>
    <col min="7181" max="7181" width="12" style="699" customWidth="1"/>
    <col min="7182" max="7182" width="15.140625" style="699" customWidth="1"/>
    <col min="7183" max="7183" width="5.140625" style="699" customWidth="1"/>
    <col min="7184" max="7184" width="7.5703125" style="699" customWidth="1"/>
    <col min="7185" max="7185" width="4.85546875" style="699" customWidth="1"/>
    <col min="7186" max="7186" width="6.42578125" style="699" customWidth="1"/>
    <col min="7187" max="7424" width="8.85546875" style="699"/>
    <col min="7425" max="7425" width="5.140625" style="699" customWidth="1"/>
    <col min="7426" max="7426" width="11" style="699" customWidth="1"/>
    <col min="7427" max="7427" width="8.42578125" style="699" customWidth="1"/>
    <col min="7428" max="7428" width="2.7109375" style="699" customWidth="1"/>
    <col min="7429" max="7429" width="11" style="699" customWidth="1"/>
    <col min="7430" max="7430" width="2.28515625" style="699" customWidth="1"/>
    <col min="7431" max="7431" width="11.7109375" style="699" customWidth="1"/>
    <col min="7432" max="7432" width="2.28515625" style="699" customWidth="1"/>
    <col min="7433" max="7433" width="9.7109375" style="699" customWidth="1"/>
    <col min="7434" max="7434" width="2.85546875" style="699" customWidth="1"/>
    <col min="7435" max="7435" width="8.140625" style="699" customWidth="1"/>
    <col min="7436" max="7436" width="5.28515625" style="699" customWidth="1"/>
    <col min="7437" max="7437" width="12" style="699" customWidth="1"/>
    <col min="7438" max="7438" width="15.140625" style="699" customWidth="1"/>
    <col min="7439" max="7439" width="5.140625" style="699" customWidth="1"/>
    <col min="7440" max="7440" width="7.5703125" style="699" customWidth="1"/>
    <col min="7441" max="7441" width="4.85546875" style="699" customWidth="1"/>
    <col min="7442" max="7442" width="6.42578125" style="699" customWidth="1"/>
    <col min="7443" max="7680" width="8.85546875" style="699"/>
    <col min="7681" max="7681" width="5.140625" style="699" customWidth="1"/>
    <col min="7682" max="7682" width="11" style="699" customWidth="1"/>
    <col min="7683" max="7683" width="8.42578125" style="699" customWidth="1"/>
    <col min="7684" max="7684" width="2.7109375" style="699" customWidth="1"/>
    <col min="7685" max="7685" width="11" style="699" customWidth="1"/>
    <col min="7686" max="7686" width="2.28515625" style="699" customWidth="1"/>
    <col min="7687" max="7687" width="11.7109375" style="699" customWidth="1"/>
    <col min="7688" max="7688" width="2.28515625" style="699" customWidth="1"/>
    <col min="7689" max="7689" width="9.7109375" style="699" customWidth="1"/>
    <col min="7690" max="7690" width="2.85546875" style="699" customWidth="1"/>
    <col min="7691" max="7691" width="8.140625" style="699" customWidth="1"/>
    <col min="7692" max="7692" width="5.28515625" style="699" customWidth="1"/>
    <col min="7693" max="7693" width="12" style="699" customWidth="1"/>
    <col min="7694" max="7694" width="15.140625" style="699" customWidth="1"/>
    <col min="7695" max="7695" width="5.140625" style="699" customWidth="1"/>
    <col min="7696" max="7696" width="7.5703125" style="699" customWidth="1"/>
    <col min="7697" max="7697" width="4.85546875" style="699" customWidth="1"/>
    <col min="7698" max="7698" width="6.42578125" style="699" customWidth="1"/>
    <col min="7699" max="7936" width="8.85546875" style="699"/>
    <col min="7937" max="7937" width="5.140625" style="699" customWidth="1"/>
    <col min="7938" max="7938" width="11" style="699" customWidth="1"/>
    <col min="7939" max="7939" width="8.42578125" style="699" customWidth="1"/>
    <col min="7940" max="7940" width="2.7109375" style="699" customWidth="1"/>
    <col min="7941" max="7941" width="11" style="699" customWidth="1"/>
    <col min="7942" max="7942" width="2.28515625" style="699" customWidth="1"/>
    <col min="7943" max="7943" width="11.7109375" style="699" customWidth="1"/>
    <col min="7944" max="7944" width="2.28515625" style="699" customWidth="1"/>
    <col min="7945" max="7945" width="9.7109375" style="699" customWidth="1"/>
    <col min="7946" max="7946" width="2.85546875" style="699" customWidth="1"/>
    <col min="7947" max="7947" width="8.140625" style="699" customWidth="1"/>
    <col min="7948" max="7948" width="5.28515625" style="699" customWidth="1"/>
    <col min="7949" max="7949" width="12" style="699" customWidth="1"/>
    <col min="7950" max="7950" width="15.140625" style="699" customWidth="1"/>
    <col min="7951" max="7951" width="5.140625" style="699" customWidth="1"/>
    <col min="7952" max="7952" width="7.5703125" style="699" customWidth="1"/>
    <col min="7953" max="7953" width="4.85546875" style="699" customWidth="1"/>
    <col min="7954" max="7954" width="6.42578125" style="699" customWidth="1"/>
    <col min="7955" max="8192" width="8.85546875" style="699"/>
    <col min="8193" max="8193" width="5.140625" style="699" customWidth="1"/>
    <col min="8194" max="8194" width="11" style="699" customWidth="1"/>
    <col min="8195" max="8195" width="8.42578125" style="699" customWidth="1"/>
    <col min="8196" max="8196" width="2.7109375" style="699" customWidth="1"/>
    <col min="8197" max="8197" width="11" style="699" customWidth="1"/>
    <col min="8198" max="8198" width="2.28515625" style="699" customWidth="1"/>
    <col min="8199" max="8199" width="11.7109375" style="699" customWidth="1"/>
    <col min="8200" max="8200" width="2.28515625" style="699" customWidth="1"/>
    <col min="8201" max="8201" width="9.7109375" style="699" customWidth="1"/>
    <col min="8202" max="8202" width="2.85546875" style="699" customWidth="1"/>
    <col min="8203" max="8203" width="8.140625" style="699" customWidth="1"/>
    <col min="8204" max="8204" width="5.28515625" style="699" customWidth="1"/>
    <col min="8205" max="8205" width="12" style="699" customWidth="1"/>
    <col min="8206" max="8206" width="15.140625" style="699" customWidth="1"/>
    <col min="8207" max="8207" width="5.140625" style="699" customWidth="1"/>
    <col min="8208" max="8208" width="7.5703125" style="699" customWidth="1"/>
    <col min="8209" max="8209" width="4.85546875" style="699" customWidth="1"/>
    <col min="8210" max="8210" width="6.42578125" style="699" customWidth="1"/>
    <col min="8211" max="8448" width="8.85546875" style="699"/>
    <col min="8449" max="8449" width="5.140625" style="699" customWidth="1"/>
    <col min="8450" max="8450" width="11" style="699" customWidth="1"/>
    <col min="8451" max="8451" width="8.42578125" style="699" customWidth="1"/>
    <col min="8452" max="8452" width="2.7109375" style="699" customWidth="1"/>
    <col min="8453" max="8453" width="11" style="699" customWidth="1"/>
    <col min="8454" max="8454" width="2.28515625" style="699" customWidth="1"/>
    <col min="8455" max="8455" width="11.7109375" style="699" customWidth="1"/>
    <col min="8456" max="8456" width="2.28515625" style="699" customWidth="1"/>
    <col min="8457" max="8457" width="9.7109375" style="699" customWidth="1"/>
    <col min="8458" max="8458" width="2.85546875" style="699" customWidth="1"/>
    <col min="8459" max="8459" width="8.140625" style="699" customWidth="1"/>
    <col min="8460" max="8460" width="5.28515625" style="699" customWidth="1"/>
    <col min="8461" max="8461" width="12" style="699" customWidth="1"/>
    <col min="8462" max="8462" width="15.140625" style="699" customWidth="1"/>
    <col min="8463" max="8463" width="5.140625" style="699" customWidth="1"/>
    <col min="8464" max="8464" width="7.5703125" style="699" customWidth="1"/>
    <col min="8465" max="8465" width="4.85546875" style="699" customWidth="1"/>
    <col min="8466" max="8466" width="6.42578125" style="699" customWidth="1"/>
    <col min="8467" max="8704" width="8.85546875" style="699"/>
    <col min="8705" max="8705" width="5.140625" style="699" customWidth="1"/>
    <col min="8706" max="8706" width="11" style="699" customWidth="1"/>
    <col min="8707" max="8707" width="8.42578125" style="699" customWidth="1"/>
    <col min="8708" max="8708" width="2.7109375" style="699" customWidth="1"/>
    <col min="8709" max="8709" width="11" style="699" customWidth="1"/>
    <col min="8710" max="8710" width="2.28515625" style="699" customWidth="1"/>
    <col min="8711" max="8711" width="11.7109375" style="699" customWidth="1"/>
    <col min="8712" max="8712" width="2.28515625" style="699" customWidth="1"/>
    <col min="8713" max="8713" width="9.7109375" style="699" customWidth="1"/>
    <col min="8714" max="8714" width="2.85546875" style="699" customWidth="1"/>
    <col min="8715" max="8715" width="8.140625" style="699" customWidth="1"/>
    <col min="8716" max="8716" width="5.28515625" style="699" customWidth="1"/>
    <col min="8717" max="8717" width="12" style="699" customWidth="1"/>
    <col min="8718" max="8718" width="15.140625" style="699" customWidth="1"/>
    <col min="8719" max="8719" width="5.140625" style="699" customWidth="1"/>
    <col min="8720" max="8720" width="7.5703125" style="699" customWidth="1"/>
    <col min="8721" max="8721" width="4.85546875" style="699" customWidth="1"/>
    <col min="8722" max="8722" width="6.42578125" style="699" customWidth="1"/>
    <col min="8723" max="8960" width="8.85546875" style="699"/>
    <col min="8961" max="8961" width="5.140625" style="699" customWidth="1"/>
    <col min="8962" max="8962" width="11" style="699" customWidth="1"/>
    <col min="8963" max="8963" width="8.42578125" style="699" customWidth="1"/>
    <col min="8964" max="8964" width="2.7109375" style="699" customWidth="1"/>
    <col min="8965" max="8965" width="11" style="699" customWidth="1"/>
    <col min="8966" max="8966" width="2.28515625" style="699" customWidth="1"/>
    <col min="8967" max="8967" width="11.7109375" style="699" customWidth="1"/>
    <col min="8968" max="8968" width="2.28515625" style="699" customWidth="1"/>
    <col min="8969" max="8969" width="9.7109375" style="699" customWidth="1"/>
    <col min="8970" max="8970" width="2.85546875" style="699" customWidth="1"/>
    <col min="8971" max="8971" width="8.140625" style="699" customWidth="1"/>
    <col min="8972" max="8972" width="5.28515625" style="699" customWidth="1"/>
    <col min="8973" max="8973" width="12" style="699" customWidth="1"/>
    <col min="8974" max="8974" width="15.140625" style="699" customWidth="1"/>
    <col min="8975" max="8975" width="5.140625" style="699" customWidth="1"/>
    <col min="8976" max="8976" width="7.5703125" style="699" customWidth="1"/>
    <col min="8977" max="8977" width="4.85546875" style="699" customWidth="1"/>
    <col min="8978" max="8978" width="6.42578125" style="699" customWidth="1"/>
    <col min="8979" max="9216" width="8.85546875" style="699"/>
    <col min="9217" max="9217" width="5.140625" style="699" customWidth="1"/>
    <col min="9218" max="9218" width="11" style="699" customWidth="1"/>
    <col min="9219" max="9219" width="8.42578125" style="699" customWidth="1"/>
    <col min="9220" max="9220" width="2.7109375" style="699" customWidth="1"/>
    <col min="9221" max="9221" width="11" style="699" customWidth="1"/>
    <col min="9222" max="9222" width="2.28515625" style="699" customWidth="1"/>
    <col min="9223" max="9223" width="11.7109375" style="699" customWidth="1"/>
    <col min="9224" max="9224" width="2.28515625" style="699" customWidth="1"/>
    <col min="9225" max="9225" width="9.7109375" style="699" customWidth="1"/>
    <col min="9226" max="9226" width="2.85546875" style="699" customWidth="1"/>
    <col min="9227" max="9227" width="8.140625" style="699" customWidth="1"/>
    <col min="9228" max="9228" width="5.28515625" style="699" customWidth="1"/>
    <col min="9229" max="9229" width="12" style="699" customWidth="1"/>
    <col min="9230" max="9230" width="15.140625" style="699" customWidth="1"/>
    <col min="9231" max="9231" width="5.140625" style="699" customWidth="1"/>
    <col min="9232" max="9232" width="7.5703125" style="699" customWidth="1"/>
    <col min="9233" max="9233" width="4.85546875" style="699" customWidth="1"/>
    <col min="9234" max="9234" width="6.42578125" style="699" customWidth="1"/>
    <col min="9235" max="9472" width="8.85546875" style="699"/>
    <col min="9473" max="9473" width="5.140625" style="699" customWidth="1"/>
    <col min="9474" max="9474" width="11" style="699" customWidth="1"/>
    <col min="9475" max="9475" width="8.42578125" style="699" customWidth="1"/>
    <col min="9476" max="9476" width="2.7109375" style="699" customWidth="1"/>
    <col min="9477" max="9477" width="11" style="699" customWidth="1"/>
    <col min="9478" max="9478" width="2.28515625" style="699" customWidth="1"/>
    <col min="9479" max="9479" width="11.7109375" style="699" customWidth="1"/>
    <col min="9480" max="9480" width="2.28515625" style="699" customWidth="1"/>
    <col min="9481" max="9481" width="9.7109375" style="699" customWidth="1"/>
    <col min="9482" max="9482" width="2.85546875" style="699" customWidth="1"/>
    <col min="9483" max="9483" width="8.140625" style="699" customWidth="1"/>
    <col min="9484" max="9484" width="5.28515625" style="699" customWidth="1"/>
    <col min="9485" max="9485" width="12" style="699" customWidth="1"/>
    <col min="9486" max="9486" width="15.140625" style="699" customWidth="1"/>
    <col min="9487" max="9487" width="5.140625" style="699" customWidth="1"/>
    <col min="9488" max="9488" width="7.5703125" style="699" customWidth="1"/>
    <col min="9489" max="9489" width="4.85546875" style="699" customWidth="1"/>
    <col min="9490" max="9490" width="6.42578125" style="699" customWidth="1"/>
    <col min="9491" max="9728" width="8.85546875" style="699"/>
    <col min="9729" max="9729" width="5.140625" style="699" customWidth="1"/>
    <col min="9730" max="9730" width="11" style="699" customWidth="1"/>
    <col min="9731" max="9731" width="8.42578125" style="699" customWidth="1"/>
    <col min="9732" max="9732" width="2.7109375" style="699" customWidth="1"/>
    <col min="9733" max="9733" width="11" style="699" customWidth="1"/>
    <col min="9734" max="9734" width="2.28515625" style="699" customWidth="1"/>
    <col min="9735" max="9735" width="11.7109375" style="699" customWidth="1"/>
    <col min="9736" max="9736" width="2.28515625" style="699" customWidth="1"/>
    <col min="9737" max="9737" width="9.7109375" style="699" customWidth="1"/>
    <col min="9738" max="9738" width="2.85546875" style="699" customWidth="1"/>
    <col min="9739" max="9739" width="8.140625" style="699" customWidth="1"/>
    <col min="9740" max="9740" width="5.28515625" style="699" customWidth="1"/>
    <col min="9741" max="9741" width="12" style="699" customWidth="1"/>
    <col min="9742" max="9742" width="15.140625" style="699" customWidth="1"/>
    <col min="9743" max="9743" width="5.140625" style="699" customWidth="1"/>
    <col min="9744" max="9744" width="7.5703125" style="699" customWidth="1"/>
    <col min="9745" max="9745" width="4.85546875" style="699" customWidth="1"/>
    <col min="9746" max="9746" width="6.42578125" style="699" customWidth="1"/>
    <col min="9747" max="9984" width="8.85546875" style="699"/>
    <col min="9985" max="9985" width="5.140625" style="699" customWidth="1"/>
    <col min="9986" max="9986" width="11" style="699" customWidth="1"/>
    <col min="9987" max="9987" width="8.42578125" style="699" customWidth="1"/>
    <col min="9988" max="9988" width="2.7109375" style="699" customWidth="1"/>
    <col min="9989" max="9989" width="11" style="699" customWidth="1"/>
    <col min="9990" max="9990" width="2.28515625" style="699" customWidth="1"/>
    <col min="9991" max="9991" width="11.7109375" style="699" customWidth="1"/>
    <col min="9992" max="9992" width="2.28515625" style="699" customWidth="1"/>
    <col min="9993" max="9993" width="9.7109375" style="699" customWidth="1"/>
    <col min="9994" max="9994" width="2.85546875" style="699" customWidth="1"/>
    <col min="9995" max="9995" width="8.140625" style="699" customWidth="1"/>
    <col min="9996" max="9996" width="5.28515625" style="699" customWidth="1"/>
    <col min="9997" max="9997" width="12" style="699" customWidth="1"/>
    <col min="9998" max="9998" width="15.140625" style="699" customWidth="1"/>
    <col min="9999" max="9999" width="5.140625" style="699" customWidth="1"/>
    <col min="10000" max="10000" width="7.5703125" style="699" customWidth="1"/>
    <col min="10001" max="10001" width="4.85546875" style="699" customWidth="1"/>
    <col min="10002" max="10002" width="6.42578125" style="699" customWidth="1"/>
    <col min="10003" max="10240" width="8.85546875" style="699"/>
    <col min="10241" max="10241" width="5.140625" style="699" customWidth="1"/>
    <col min="10242" max="10242" width="11" style="699" customWidth="1"/>
    <col min="10243" max="10243" width="8.42578125" style="699" customWidth="1"/>
    <col min="10244" max="10244" width="2.7109375" style="699" customWidth="1"/>
    <col min="10245" max="10245" width="11" style="699" customWidth="1"/>
    <col min="10246" max="10246" width="2.28515625" style="699" customWidth="1"/>
    <col min="10247" max="10247" width="11.7109375" style="699" customWidth="1"/>
    <col min="10248" max="10248" width="2.28515625" style="699" customWidth="1"/>
    <col min="10249" max="10249" width="9.7109375" style="699" customWidth="1"/>
    <col min="10250" max="10250" width="2.85546875" style="699" customWidth="1"/>
    <col min="10251" max="10251" width="8.140625" style="699" customWidth="1"/>
    <col min="10252" max="10252" width="5.28515625" style="699" customWidth="1"/>
    <col min="10253" max="10253" width="12" style="699" customWidth="1"/>
    <col min="10254" max="10254" width="15.140625" style="699" customWidth="1"/>
    <col min="10255" max="10255" width="5.140625" style="699" customWidth="1"/>
    <col min="10256" max="10256" width="7.5703125" style="699" customWidth="1"/>
    <col min="10257" max="10257" width="4.85546875" style="699" customWidth="1"/>
    <col min="10258" max="10258" width="6.42578125" style="699" customWidth="1"/>
    <col min="10259" max="10496" width="8.85546875" style="699"/>
    <col min="10497" max="10497" width="5.140625" style="699" customWidth="1"/>
    <col min="10498" max="10498" width="11" style="699" customWidth="1"/>
    <col min="10499" max="10499" width="8.42578125" style="699" customWidth="1"/>
    <col min="10500" max="10500" width="2.7109375" style="699" customWidth="1"/>
    <col min="10501" max="10501" width="11" style="699" customWidth="1"/>
    <col min="10502" max="10502" width="2.28515625" style="699" customWidth="1"/>
    <col min="10503" max="10503" width="11.7109375" style="699" customWidth="1"/>
    <col min="10504" max="10504" width="2.28515625" style="699" customWidth="1"/>
    <col min="10505" max="10505" width="9.7109375" style="699" customWidth="1"/>
    <col min="10506" max="10506" width="2.85546875" style="699" customWidth="1"/>
    <col min="10507" max="10507" width="8.140625" style="699" customWidth="1"/>
    <col min="10508" max="10508" width="5.28515625" style="699" customWidth="1"/>
    <col min="10509" max="10509" width="12" style="699" customWidth="1"/>
    <col min="10510" max="10510" width="15.140625" style="699" customWidth="1"/>
    <col min="10511" max="10511" width="5.140625" style="699" customWidth="1"/>
    <col min="10512" max="10512" width="7.5703125" style="699" customWidth="1"/>
    <col min="10513" max="10513" width="4.85546875" style="699" customWidth="1"/>
    <col min="10514" max="10514" width="6.42578125" style="699" customWidth="1"/>
    <col min="10515" max="10752" width="8.85546875" style="699"/>
    <col min="10753" max="10753" width="5.140625" style="699" customWidth="1"/>
    <col min="10754" max="10754" width="11" style="699" customWidth="1"/>
    <col min="10755" max="10755" width="8.42578125" style="699" customWidth="1"/>
    <col min="10756" max="10756" width="2.7109375" style="699" customWidth="1"/>
    <col min="10757" max="10757" width="11" style="699" customWidth="1"/>
    <col min="10758" max="10758" width="2.28515625" style="699" customWidth="1"/>
    <col min="10759" max="10759" width="11.7109375" style="699" customWidth="1"/>
    <col min="10760" max="10760" width="2.28515625" style="699" customWidth="1"/>
    <col min="10761" max="10761" width="9.7109375" style="699" customWidth="1"/>
    <col min="10762" max="10762" width="2.85546875" style="699" customWidth="1"/>
    <col min="10763" max="10763" width="8.140625" style="699" customWidth="1"/>
    <col min="10764" max="10764" width="5.28515625" style="699" customWidth="1"/>
    <col min="10765" max="10765" width="12" style="699" customWidth="1"/>
    <col min="10766" max="10766" width="15.140625" style="699" customWidth="1"/>
    <col min="10767" max="10767" width="5.140625" style="699" customWidth="1"/>
    <col min="10768" max="10768" width="7.5703125" style="699" customWidth="1"/>
    <col min="10769" max="10769" width="4.85546875" style="699" customWidth="1"/>
    <col min="10770" max="10770" width="6.42578125" style="699" customWidth="1"/>
    <col min="10771" max="11008" width="8.85546875" style="699"/>
    <col min="11009" max="11009" width="5.140625" style="699" customWidth="1"/>
    <col min="11010" max="11010" width="11" style="699" customWidth="1"/>
    <col min="11011" max="11011" width="8.42578125" style="699" customWidth="1"/>
    <col min="11012" max="11012" width="2.7109375" style="699" customWidth="1"/>
    <col min="11013" max="11013" width="11" style="699" customWidth="1"/>
    <col min="11014" max="11014" width="2.28515625" style="699" customWidth="1"/>
    <col min="11015" max="11015" width="11.7109375" style="699" customWidth="1"/>
    <col min="11016" max="11016" width="2.28515625" style="699" customWidth="1"/>
    <col min="11017" max="11017" width="9.7109375" style="699" customWidth="1"/>
    <col min="11018" max="11018" width="2.85546875" style="699" customWidth="1"/>
    <col min="11019" max="11019" width="8.140625" style="699" customWidth="1"/>
    <col min="11020" max="11020" width="5.28515625" style="699" customWidth="1"/>
    <col min="11021" max="11021" width="12" style="699" customWidth="1"/>
    <col min="11022" max="11022" width="15.140625" style="699" customWidth="1"/>
    <col min="11023" max="11023" width="5.140625" style="699" customWidth="1"/>
    <col min="11024" max="11024" width="7.5703125" style="699" customWidth="1"/>
    <col min="11025" max="11025" width="4.85546875" style="699" customWidth="1"/>
    <col min="11026" max="11026" width="6.42578125" style="699" customWidth="1"/>
    <col min="11027" max="11264" width="8.85546875" style="699"/>
    <col min="11265" max="11265" width="5.140625" style="699" customWidth="1"/>
    <col min="11266" max="11266" width="11" style="699" customWidth="1"/>
    <col min="11267" max="11267" width="8.42578125" style="699" customWidth="1"/>
    <col min="11268" max="11268" width="2.7109375" style="699" customWidth="1"/>
    <col min="11269" max="11269" width="11" style="699" customWidth="1"/>
    <col min="11270" max="11270" width="2.28515625" style="699" customWidth="1"/>
    <col min="11271" max="11271" width="11.7109375" style="699" customWidth="1"/>
    <col min="11272" max="11272" width="2.28515625" style="699" customWidth="1"/>
    <col min="11273" max="11273" width="9.7109375" style="699" customWidth="1"/>
    <col min="11274" max="11274" width="2.85546875" style="699" customWidth="1"/>
    <col min="11275" max="11275" width="8.140625" style="699" customWidth="1"/>
    <col min="11276" max="11276" width="5.28515625" style="699" customWidth="1"/>
    <col min="11277" max="11277" width="12" style="699" customWidth="1"/>
    <col min="11278" max="11278" width="15.140625" style="699" customWidth="1"/>
    <col min="11279" max="11279" width="5.140625" style="699" customWidth="1"/>
    <col min="11280" max="11280" width="7.5703125" style="699" customWidth="1"/>
    <col min="11281" max="11281" width="4.85546875" style="699" customWidth="1"/>
    <col min="11282" max="11282" width="6.42578125" style="699" customWidth="1"/>
    <col min="11283" max="11520" width="8.85546875" style="699"/>
    <col min="11521" max="11521" width="5.140625" style="699" customWidth="1"/>
    <col min="11522" max="11522" width="11" style="699" customWidth="1"/>
    <col min="11523" max="11523" width="8.42578125" style="699" customWidth="1"/>
    <col min="11524" max="11524" width="2.7109375" style="699" customWidth="1"/>
    <col min="11525" max="11525" width="11" style="699" customWidth="1"/>
    <col min="11526" max="11526" width="2.28515625" style="699" customWidth="1"/>
    <col min="11527" max="11527" width="11.7109375" style="699" customWidth="1"/>
    <col min="11528" max="11528" width="2.28515625" style="699" customWidth="1"/>
    <col min="11529" max="11529" width="9.7109375" style="699" customWidth="1"/>
    <col min="11530" max="11530" width="2.85546875" style="699" customWidth="1"/>
    <col min="11531" max="11531" width="8.140625" style="699" customWidth="1"/>
    <col min="11532" max="11532" width="5.28515625" style="699" customWidth="1"/>
    <col min="11533" max="11533" width="12" style="699" customWidth="1"/>
    <col min="11534" max="11534" width="15.140625" style="699" customWidth="1"/>
    <col min="11535" max="11535" width="5.140625" style="699" customWidth="1"/>
    <col min="11536" max="11536" width="7.5703125" style="699" customWidth="1"/>
    <col min="11537" max="11537" width="4.85546875" style="699" customWidth="1"/>
    <col min="11538" max="11538" width="6.42578125" style="699" customWidth="1"/>
    <col min="11539" max="11776" width="8.85546875" style="699"/>
    <col min="11777" max="11777" width="5.140625" style="699" customWidth="1"/>
    <col min="11778" max="11778" width="11" style="699" customWidth="1"/>
    <col min="11779" max="11779" width="8.42578125" style="699" customWidth="1"/>
    <col min="11780" max="11780" width="2.7109375" style="699" customWidth="1"/>
    <col min="11781" max="11781" width="11" style="699" customWidth="1"/>
    <col min="11782" max="11782" width="2.28515625" style="699" customWidth="1"/>
    <col min="11783" max="11783" width="11.7109375" style="699" customWidth="1"/>
    <col min="11784" max="11784" width="2.28515625" style="699" customWidth="1"/>
    <col min="11785" max="11785" width="9.7109375" style="699" customWidth="1"/>
    <col min="11786" max="11786" width="2.85546875" style="699" customWidth="1"/>
    <col min="11787" max="11787" width="8.140625" style="699" customWidth="1"/>
    <col min="11788" max="11788" width="5.28515625" style="699" customWidth="1"/>
    <col min="11789" max="11789" width="12" style="699" customWidth="1"/>
    <col min="11790" max="11790" width="15.140625" style="699" customWidth="1"/>
    <col min="11791" max="11791" width="5.140625" style="699" customWidth="1"/>
    <col min="11792" max="11792" width="7.5703125" style="699" customWidth="1"/>
    <col min="11793" max="11793" width="4.85546875" style="699" customWidth="1"/>
    <col min="11794" max="11794" width="6.42578125" style="699" customWidth="1"/>
    <col min="11795" max="12032" width="8.85546875" style="699"/>
    <col min="12033" max="12033" width="5.140625" style="699" customWidth="1"/>
    <col min="12034" max="12034" width="11" style="699" customWidth="1"/>
    <col min="12035" max="12035" width="8.42578125" style="699" customWidth="1"/>
    <col min="12036" max="12036" width="2.7109375" style="699" customWidth="1"/>
    <col min="12037" max="12037" width="11" style="699" customWidth="1"/>
    <col min="12038" max="12038" width="2.28515625" style="699" customWidth="1"/>
    <col min="12039" max="12039" width="11.7109375" style="699" customWidth="1"/>
    <col min="12040" max="12040" width="2.28515625" style="699" customWidth="1"/>
    <col min="12041" max="12041" width="9.7109375" style="699" customWidth="1"/>
    <col min="12042" max="12042" width="2.85546875" style="699" customWidth="1"/>
    <col min="12043" max="12043" width="8.140625" style="699" customWidth="1"/>
    <col min="12044" max="12044" width="5.28515625" style="699" customWidth="1"/>
    <col min="12045" max="12045" width="12" style="699" customWidth="1"/>
    <col min="12046" max="12046" width="15.140625" style="699" customWidth="1"/>
    <col min="12047" max="12047" width="5.140625" style="699" customWidth="1"/>
    <col min="12048" max="12048" width="7.5703125" style="699" customWidth="1"/>
    <col min="12049" max="12049" width="4.85546875" style="699" customWidth="1"/>
    <col min="12050" max="12050" width="6.42578125" style="699" customWidth="1"/>
    <col min="12051" max="12288" width="8.85546875" style="699"/>
    <col min="12289" max="12289" width="5.140625" style="699" customWidth="1"/>
    <col min="12290" max="12290" width="11" style="699" customWidth="1"/>
    <col min="12291" max="12291" width="8.42578125" style="699" customWidth="1"/>
    <col min="12292" max="12292" width="2.7109375" style="699" customWidth="1"/>
    <col min="12293" max="12293" width="11" style="699" customWidth="1"/>
    <col min="12294" max="12294" width="2.28515625" style="699" customWidth="1"/>
    <col min="12295" max="12295" width="11.7109375" style="699" customWidth="1"/>
    <col min="12296" max="12296" width="2.28515625" style="699" customWidth="1"/>
    <col min="12297" max="12297" width="9.7109375" style="699" customWidth="1"/>
    <col min="12298" max="12298" width="2.85546875" style="699" customWidth="1"/>
    <col min="12299" max="12299" width="8.140625" style="699" customWidth="1"/>
    <col min="12300" max="12300" width="5.28515625" style="699" customWidth="1"/>
    <col min="12301" max="12301" width="12" style="699" customWidth="1"/>
    <col min="12302" max="12302" width="15.140625" style="699" customWidth="1"/>
    <col min="12303" max="12303" width="5.140625" style="699" customWidth="1"/>
    <col min="12304" max="12304" width="7.5703125" style="699" customWidth="1"/>
    <col min="12305" max="12305" width="4.85546875" style="699" customWidth="1"/>
    <col min="12306" max="12306" width="6.42578125" style="699" customWidth="1"/>
    <col min="12307" max="12544" width="8.85546875" style="699"/>
    <col min="12545" max="12545" width="5.140625" style="699" customWidth="1"/>
    <col min="12546" max="12546" width="11" style="699" customWidth="1"/>
    <col min="12547" max="12547" width="8.42578125" style="699" customWidth="1"/>
    <col min="12548" max="12548" width="2.7109375" style="699" customWidth="1"/>
    <col min="12549" max="12549" width="11" style="699" customWidth="1"/>
    <col min="12550" max="12550" width="2.28515625" style="699" customWidth="1"/>
    <col min="12551" max="12551" width="11.7109375" style="699" customWidth="1"/>
    <col min="12552" max="12552" width="2.28515625" style="699" customWidth="1"/>
    <col min="12553" max="12553" width="9.7109375" style="699" customWidth="1"/>
    <col min="12554" max="12554" width="2.85546875" style="699" customWidth="1"/>
    <col min="12555" max="12555" width="8.140625" style="699" customWidth="1"/>
    <col min="12556" max="12556" width="5.28515625" style="699" customWidth="1"/>
    <col min="12557" max="12557" width="12" style="699" customWidth="1"/>
    <col min="12558" max="12558" width="15.140625" style="699" customWidth="1"/>
    <col min="12559" max="12559" width="5.140625" style="699" customWidth="1"/>
    <col min="12560" max="12560" width="7.5703125" style="699" customWidth="1"/>
    <col min="12561" max="12561" width="4.85546875" style="699" customWidth="1"/>
    <col min="12562" max="12562" width="6.42578125" style="699" customWidth="1"/>
    <col min="12563" max="12800" width="8.85546875" style="699"/>
    <col min="12801" max="12801" width="5.140625" style="699" customWidth="1"/>
    <col min="12802" max="12802" width="11" style="699" customWidth="1"/>
    <col min="12803" max="12803" width="8.42578125" style="699" customWidth="1"/>
    <col min="12804" max="12804" width="2.7109375" style="699" customWidth="1"/>
    <col min="12805" max="12805" width="11" style="699" customWidth="1"/>
    <col min="12806" max="12806" width="2.28515625" style="699" customWidth="1"/>
    <col min="12807" max="12807" width="11.7109375" style="699" customWidth="1"/>
    <col min="12808" max="12808" width="2.28515625" style="699" customWidth="1"/>
    <col min="12809" max="12809" width="9.7109375" style="699" customWidth="1"/>
    <col min="12810" max="12810" width="2.85546875" style="699" customWidth="1"/>
    <col min="12811" max="12811" width="8.140625" style="699" customWidth="1"/>
    <col min="12812" max="12812" width="5.28515625" style="699" customWidth="1"/>
    <col min="12813" max="12813" width="12" style="699" customWidth="1"/>
    <col min="12814" max="12814" width="15.140625" style="699" customWidth="1"/>
    <col min="12815" max="12815" width="5.140625" style="699" customWidth="1"/>
    <col min="12816" max="12816" width="7.5703125" style="699" customWidth="1"/>
    <col min="12817" max="12817" width="4.85546875" style="699" customWidth="1"/>
    <col min="12818" max="12818" width="6.42578125" style="699" customWidth="1"/>
    <col min="12819" max="13056" width="8.85546875" style="699"/>
    <col min="13057" max="13057" width="5.140625" style="699" customWidth="1"/>
    <col min="13058" max="13058" width="11" style="699" customWidth="1"/>
    <col min="13059" max="13059" width="8.42578125" style="699" customWidth="1"/>
    <col min="13060" max="13060" width="2.7109375" style="699" customWidth="1"/>
    <col min="13061" max="13061" width="11" style="699" customWidth="1"/>
    <col min="13062" max="13062" width="2.28515625" style="699" customWidth="1"/>
    <col min="13063" max="13063" width="11.7109375" style="699" customWidth="1"/>
    <col min="13064" max="13064" width="2.28515625" style="699" customWidth="1"/>
    <col min="13065" max="13065" width="9.7109375" style="699" customWidth="1"/>
    <col min="13066" max="13066" width="2.85546875" style="699" customWidth="1"/>
    <col min="13067" max="13067" width="8.140625" style="699" customWidth="1"/>
    <col min="13068" max="13068" width="5.28515625" style="699" customWidth="1"/>
    <col min="13069" max="13069" width="12" style="699" customWidth="1"/>
    <col min="13070" max="13070" width="15.140625" style="699" customWidth="1"/>
    <col min="13071" max="13071" width="5.140625" style="699" customWidth="1"/>
    <col min="13072" max="13072" width="7.5703125" style="699" customWidth="1"/>
    <col min="13073" max="13073" width="4.85546875" style="699" customWidth="1"/>
    <col min="13074" max="13074" width="6.42578125" style="699" customWidth="1"/>
    <col min="13075" max="13312" width="8.85546875" style="699"/>
    <col min="13313" max="13313" width="5.140625" style="699" customWidth="1"/>
    <col min="13314" max="13314" width="11" style="699" customWidth="1"/>
    <col min="13315" max="13315" width="8.42578125" style="699" customWidth="1"/>
    <col min="13316" max="13316" width="2.7109375" style="699" customWidth="1"/>
    <col min="13317" max="13317" width="11" style="699" customWidth="1"/>
    <col min="13318" max="13318" width="2.28515625" style="699" customWidth="1"/>
    <col min="13319" max="13319" width="11.7109375" style="699" customWidth="1"/>
    <col min="13320" max="13320" width="2.28515625" style="699" customWidth="1"/>
    <col min="13321" max="13321" width="9.7109375" style="699" customWidth="1"/>
    <col min="13322" max="13322" width="2.85546875" style="699" customWidth="1"/>
    <col min="13323" max="13323" width="8.140625" style="699" customWidth="1"/>
    <col min="13324" max="13324" width="5.28515625" style="699" customWidth="1"/>
    <col min="13325" max="13325" width="12" style="699" customWidth="1"/>
    <col min="13326" max="13326" width="15.140625" style="699" customWidth="1"/>
    <col min="13327" max="13327" width="5.140625" style="699" customWidth="1"/>
    <col min="13328" max="13328" width="7.5703125" style="699" customWidth="1"/>
    <col min="13329" max="13329" width="4.85546875" style="699" customWidth="1"/>
    <col min="13330" max="13330" width="6.42578125" style="699" customWidth="1"/>
    <col min="13331" max="13568" width="8.85546875" style="699"/>
    <col min="13569" max="13569" width="5.140625" style="699" customWidth="1"/>
    <col min="13570" max="13570" width="11" style="699" customWidth="1"/>
    <col min="13571" max="13571" width="8.42578125" style="699" customWidth="1"/>
    <col min="13572" max="13572" width="2.7109375" style="699" customWidth="1"/>
    <col min="13573" max="13573" width="11" style="699" customWidth="1"/>
    <col min="13574" max="13574" width="2.28515625" style="699" customWidth="1"/>
    <col min="13575" max="13575" width="11.7109375" style="699" customWidth="1"/>
    <col min="13576" max="13576" width="2.28515625" style="699" customWidth="1"/>
    <col min="13577" max="13577" width="9.7109375" style="699" customWidth="1"/>
    <col min="13578" max="13578" width="2.85546875" style="699" customWidth="1"/>
    <col min="13579" max="13579" width="8.140625" style="699" customWidth="1"/>
    <col min="13580" max="13580" width="5.28515625" style="699" customWidth="1"/>
    <col min="13581" max="13581" width="12" style="699" customWidth="1"/>
    <col min="13582" max="13582" width="15.140625" style="699" customWidth="1"/>
    <col min="13583" max="13583" width="5.140625" style="699" customWidth="1"/>
    <col min="13584" max="13584" width="7.5703125" style="699" customWidth="1"/>
    <col min="13585" max="13585" width="4.85546875" style="699" customWidth="1"/>
    <col min="13586" max="13586" width="6.42578125" style="699" customWidth="1"/>
    <col min="13587" max="13824" width="8.85546875" style="699"/>
    <col min="13825" max="13825" width="5.140625" style="699" customWidth="1"/>
    <col min="13826" max="13826" width="11" style="699" customWidth="1"/>
    <col min="13827" max="13827" width="8.42578125" style="699" customWidth="1"/>
    <col min="13828" max="13828" width="2.7109375" style="699" customWidth="1"/>
    <col min="13829" max="13829" width="11" style="699" customWidth="1"/>
    <col min="13830" max="13830" width="2.28515625" style="699" customWidth="1"/>
    <col min="13831" max="13831" width="11.7109375" style="699" customWidth="1"/>
    <col min="13832" max="13832" width="2.28515625" style="699" customWidth="1"/>
    <col min="13833" max="13833" width="9.7109375" style="699" customWidth="1"/>
    <col min="13834" max="13834" width="2.85546875" style="699" customWidth="1"/>
    <col min="13835" max="13835" width="8.140625" style="699" customWidth="1"/>
    <col min="13836" max="13836" width="5.28515625" style="699" customWidth="1"/>
    <col min="13837" max="13837" width="12" style="699" customWidth="1"/>
    <col min="13838" max="13838" width="15.140625" style="699" customWidth="1"/>
    <col min="13839" max="13839" width="5.140625" style="699" customWidth="1"/>
    <col min="13840" max="13840" width="7.5703125" style="699" customWidth="1"/>
    <col min="13841" max="13841" width="4.85546875" style="699" customWidth="1"/>
    <col min="13842" max="13842" width="6.42578125" style="699" customWidth="1"/>
    <col min="13843" max="14080" width="8.85546875" style="699"/>
    <col min="14081" max="14081" width="5.140625" style="699" customWidth="1"/>
    <col min="14082" max="14082" width="11" style="699" customWidth="1"/>
    <col min="14083" max="14083" width="8.42578125" style="699" customWidth="1"/>
    <col min="14084" max="14084" width="2.7109375" style="699" customWidth="1"/>
    <col min="14085" max="14085" width="11" style="699" customWidth="1"/>
    <col min="14086" max="14086" width="2.28515625" style="699" customWidth="1"/>
    <col min="14087" max="14087" width="11.7109375" style="699" customWidth="1"/>
    <col min="14088" max="14088" width="2.28515625" style="699" customWidth="1"/>
    <col min="14089" max="14089" width="9.7109375" style="699" customWidth="1"/>
    <col min="14090" max="14090" width="2.85546875" style="699" customWidth="1"/>
    <col min="14091" max="14091" width="8.140625" style="699" customWidth="1"/>
    <col min="14092" max="14092" width="5.28515625" style="699" customWidth="1"/>
    <col min="14093" max="14093" width="12" style="699" customWidth="1"/>
    <col min="14094" max="14094" width="15.140625" style="699" customWidth="1"/>
    <col min="14095" max="14095" width="5.140625" style="699" customWidth="1"/>
    <col min="14096" max="14096" width="7.5703125" style="699" customWidth="1"/>
    <col min="14097" max="14097" width="4.85546875" style="699" customWidth="1"/>
    <col min="14098" max="14098" width="6.42578125" style="699" customWidth="1"/>
    <col min="14099" max="14336" width="8.85546875" style="699"/>
    <col min="14337" max="14337" width="5.140625" style="699" customWidth="1"/>
    <col min="14338" max="14338" width="11" style="699" customWidth="1"/>
    <col min="14339" max="14339" width="8.42578125" style="699" customWidth="1"/>
    <col min="14340" max="14340" width="2.7109375" style="699" customWidth="1"/>
    <col min="14341" max="14341" width="11" style="699" customWidth="1"/>
    <col min="14342" max="14342" width="2.28515625" style="699" customWidth="1"/>
    <col min="14343" max="14343" width="11.7109375" style="699" customWidth="1"/>
    <col min="14344" max="14344" width="2.28515625" style="699" customWidth="1"/>
    <col min="14345" max="14345" width="9.7109375" style="699" customWidth="1"/>
    <col min="14346" max="14346" width="2.85546875" style="699" customWidth="1"/>
    <col min="14347" max="14347" width="8.140625" style="699" customWidth="1"/>
    <col min="14348" max="14348" width="5.28515625" style="699" customWidth="1"/>
    <col min="14349" max="14349" width="12" style="699" customWidth="1"/>
    <col min="14350" max="14350" width="15.140625" style="699" customWidth="1"/>
    <col min="14351" max="14351" width="5.140625" style="699" customWidth="1"/>
    <col min="14352" max="14352" width="7.5703125" style="699" customWidth="1"/>
    <col min="14353" max="14353" width="4.85546875" style="699" customWidth="1"/>
    <col min="14354" max="14354" width="6.42578125" style="699" customWidth="1"/>
    <col min="14355" max="14592" width="8.85546875" style="699"/>
    <col min="14593" max="14593" width="5.140625" style="699" customWidth="1"/>
    <col min="14594" max="14594" width="11" style="699" customWidth="1"/>
    <col min="14595" max="14595" width="8.42578125" style="699" customWidth="1"/>
    <col min="14596" max="14596" width="2.7109375" style="699" customWidth="1"/>
    <col min="14597" max="14597" width="11" style="699" customWidth="1"/>
    <col min="14598" max="14598" width="2.28515625" style="699" customWidth="1"/>
    <col min="14599" max="14599" width="11.7109375" style="699" customWidth="1"/>
    <col min="14600" max="14600" width="2.28515625" style="699" customWidth="1"/>
    <col min="14601" max="14601" width="9.7109375" style="699" customWidth="1"/>
    <col min="14602" max="14602" width="2.85546875" style="699" customWidth="1"/>
    <col min="14603" max="14603" width="8.140625" style="699" customWidth="1"/>
    <col min="14604" max="14604" width="5.28515625" style="699" customWidth="1"/>
    <col min="14605" max="14605" width="12" style="699" customWidth="1"/>
    <col min="14606" max="14606" width="15.140625" style="699" customWidth="1"/>
    <col min="14607" max="14607" width="5.140625" style="699" customWidth="1"/>
    <col min="14608" max="14608" width="7.5703125" style="699" customWidth="1"/>
    <col min="14609" max="14609" width="4.85546875" style="699" customWidth="1"/>
    <col min="14610" max="14610" width="6.42578125" style="699" customWidth="1"/>
    <col min="14611" max="14848" width="8.85546875" style="699"/>
    <col min="14849" max="14849" width="5.140625" style="699" customWidth="1"/>
    <col min="14850" max="14850" width="11" style="699" customWidth="1"/>
    <col min="14851" max="14851" width="8.42578125" style="699" customWidth="1"/>
    <col min="14852" max="14852" width="2.7109375" style="699" customWidth="1"/>
    <col min="14853" max="14853" width="11" style="699" customWidth="1"/>
    <col min="14854" max="14854" width="2.28515625" style="699" customWidth="1"/>
    <col min="14855" max="14855" width="11.7109375" style="699" customWidth="1"/>
    <col min="14856" max="14856" width="2.28515625" style="699" customWidth="1"/>
    <col min="14857" max="14857" width="9.7109375" style="699" customWidth="1"/>
    <col min="14858" max="14858" width="2.85546875" style="699" customWidth="1"/>
    <col min="14859" max="14859" width="8.140625" style="699" customWidth="1"/>
    <col min="14860" max="14860" width="5.28515625" style="699" customWidth="1"/>
    <col min="14861" max="14861" width="12" style="699" customWidth="1"/>
    <col min="14862" max="14862" width="15.140625" style="699" customWidth="1"/>
    <col min="14863" max="14863" width="5.140625" style="699" customWidth="1"/>
    <col min="14864" max="14864" width="7.5703125" style="699" customWidth="1"/>
    <col min="14865" max="14865" width="4.85546875" style="699" customWidth="1"/>
    <col min="14866" max="14866" width="6.42578125" style="699" customWidth="1"/>
    <col min="14867" max="15104" width="8.85546875" style="699"/>
    <col min="15105" max="15105" width="5.140625" style="699" customWidth="1"/>
    <col min="15106" max="15106" width="11" style="699" customWidth="1"/>
    <col min="15107" max="15107" width="8.42578125" style="699" customWidth="1"/>
    <col min="15108" max="15108" width="2.7109375" style="699" customWidth="1"/>
    <col min="15109" max="15109" width="11" style="699" customWidth="1"/>
    <col min="15110" max="15110" width="2.28515625" style="699" customWidth="1"/>
    <col min="15111" max="15111" width="11.7109375" style="699" customWidth="1"/>
    <col min="15112" max="15112" width="2.28515625" style="699" customWidth="1"/>
    <col min="15113" max="15113" width="9.7109375" style="699" customWidth="1"/>
    <col min="15114" max="15114" width="2.85546875" style="699" customWidth="1"/>
    <col min="15115" max="15115" width="8.140625" style="699" customWidth="1"/>
    <col min="15116" max="15116" width="5.28515625" style="699" customWidth="1"/>
    <col min="15117" max="15117" width="12" style="699" customWidth="1"/>
    <col min="15118" max="15118" width="15.140625" style="699" customWidth="1"/>
    <col min="15119" max="15119" width="5.140625" style="699" customWidth="1"/>
    <col min="15120" max="15120" width="7.5703125" style="699" customWidth="1"/>
    <col min="15121" max="15121" width="4.85546875" style="699" customWidth="1"/>
    <col min="15122" max="15122" width="6.42578125" style="699" customWidth="1"/>
    <col min="15123" max="15360" width="8.85546875" style="699"/>
    <col min="15361" max="15361" width="5.140625" style="699" customWidth="1"/>
    <col min="15362" max="15362" width="11" style="699" customWidth="1"/>
    <col min="15363" max="15363" width="8.42578125" style="699" customWidth="1"/>
    <col min="15364" max="15364" width="2.7109375" style="699" customWidth="1"/>
    <col min="15365" max="15365" width="11" style="699" customWidth="1"/>
    <col min="15366" max="15366" width="2.28515625" style="699" customWidth="1"/>
    <col min="15367" max="15367" width="11.7109375" style="699" customWidth="1"/>
    <col min="15368" max="15368" width="2.28515625" style="699" customWidth="1"/>
    <col min="15369" max="15369" width="9.7109375" style="699" customWidth="1"/>
    <col min="15370" max="15370" width="2.85546875" style="699" customWidth="1"/>
    <col min="15371" max="15371" width="8.140625" style="699" customWidth="1"/>
    <col min="15372" max="15372" width="5.28515625" style="699" customWidth="1"/>
    <col min="15373" max="15373" width="12" style="699" customWidth="1"/>
    <col min="15374" max="15374" width="15.140625" style="699" customWidth="1"/>
    <col min="15375" max="15375" width="5.140625" style="699" customWidth="1"/>
    <col min="15376" max="15376" width="7.5703125" style="699" customWidth="1"/>
    <col min="15377" max="15377" width="4.85546875" style="699" customWidth="1"/>
    <col min="15378" max="15378" width="6.42578125" style="699" customWidth="1"/>
    <col min="15379" max="15616" width="8.85546875" style="699"/>
    <col min="15617" max="15617" width="5.140625" style="699" customWidth="1"/>
    <col min="15618" max="15618" width="11" style="699" customWidth="1"/>
    <col min="15619" max="15619" width="8.42578125" style="699" customWidth="1"/>
    <col min="15620" max="15620" width="2.7109375" style="699" customWidth="1"/>
    <col min="15621" max="15621" width="11" style="699" customWidth="1"/>
    <col min="15622" max="15622" width="2.28515625" style="699" customWidth="1"/>
    <col min="15623" max="15623" width="11.7109375" style="699" customWidth="1"/>
    <col min="15624" max="15624" width="2.28515625" style="699" customWidth="1"/>
    <col min="15625" max="15625" width="9.7109375" style="699" customWidth="1"/>
    <col min="15626" max="15626" width="2.85546875" style="699" customWidth="1"/>
    <col min="15627" max="15627" width="8.140625" style="699" customWidth="1"/>
    <col min="15628" max="15628" width="5.28515625" style="699" customWidth="1"/>
    <col min="15629" max="15629" width="12" style="699" customWidth="1"/>
    <col min="15630" max="15630" width="15.140625" style="699" customWidth="1"/>
    <col min="15631" max="15631" width="5.140625" style="699" customWidth="1"/>
    <col min="15632" max="15632" width="7.5703125" style="699" customWidth="1"/>
    <col min="15633" max="15633" width="4.85546875" style="699" customWidth="1"/>
    <col min="15634" max="15634" width="6.42578125" style="699" customWidth="1"/>
    <col min="15635" max="15872" width="8.85546875" style="699"/>
    <col min="15873" max="15873" width="5.140625" style="699" customWidth="1"/>
    <col min="15874" max="15874" width="11" style="699" customWidth="1"/>
    <col min="15875" max="15875" width="8.42578125" style="699" customWidth="1"/>
    <col min="15876" max="15876" width="2.7109375" style="699" customWidth="1"/>
    <col min="15877" max="15877" width="11" style="699" customWidth="1"/>
    <col min="15878" max="15878" width="2.28515625" style="699" customWidth="1"/>
    <col min="15879" max="15879" width="11.7109375" style="699" customWidth="1"/>
    <col min="15880" max="15880" width="2.28515625" style="699" customWidth="1"/>
    <col min="15881" max="15881" width="9.7109375" style="699" customWidth="1"/>
    <col min="15882" max="15882" width="2.85546875" style="699" customWidth="1"/>
    <col min="15883" max="15883" width="8.140625" style="699" customWidth="1"/>
    <col min="15884" max="15884" width="5.28515625" style="699" customWidth="1"/>
    <col min="15885" max="15885" width="12" style="699" customWidth="1"/>
    <col min="15886" max="15886" width="15.140625" style="699" customWidth="1"/>
    <col min="15887" max="15887" width="5.140625" style="699" customWidth="1"/>
    <col min="15888" max="15888" width="7.5703125" style="699" customWidth="1"/>
    <col min="15889" max="15889" width="4.85546875" style="699" customWidth="1"/>
    <col min="15890" max="15890" width="6.42578125" style="699" customWidth="1"/>
    <col min="15891" max="16128" width="8.85546875" style="699"/>
    <col min="16129" max="16129" width="5.140625" style="699" customWidth="1"/>
    <col min="16130" max="16130" width="11" style="699" customWidth="1"/>
    <col min="16131" max="16131" width="8.42578125" style="699" customWidth="1"/>
    <col min="16132" max="16132" width="2.7109375" style="699" customWidth="1"/>
    <col min="16133" max="16133" width="11" style="699" customWidth="1"/>
    <col min="16134" max="16134" width="2.28515625" style="699" customWidth="1"/>
    <col min="16135" max="16135" width="11.7109375" style="699" customWidth="1"/>
    <col min="16136" max="16136" width="2.28515625" style="699" customWidth="1"/>
    <col min="16137" max="16137" width="9.7109375" style="699" customWidth="1"/>
    <col min="16138" max="16138" width="2.85546875" style="699" customWidth="1"/>
    <col min="16139" max="16139" width="8.140625" style="699" customWidth="1"/>
    <col min="16140" max="16140" width="5.28515625" style="699" customWidth="1"/>
    <col min="16141" max="16141" width="12" style="699" customWidth="1"/>
    <col min="16142" max="16142" width="15.140625" style="699" customWidth="1"/>
    <col min="16143" max="16143" width="5.140625" style="699" customWidth="1"/>
    <col min="16144" max="16144" width="7.5703125" style="699" customWidth="1"/>
    <col min="16145" max="16145" width="4.85546875" style="699" customWidth="1"/>
    <col min="16146" max="16146" width="6.42578125" style="699" customWidth="1"/>
    <col min="16147" max="16384" width="8.85546875" style="699"/>
  </cols>
  <sheetData>
    <row r="1" spans="1:18" ht="15.75">
      <c r="A1" s="3627" t="s">
        <v>1537</v>
      </c>
      <c r="B1" s="3627"/>
      <c r="C1" s="3627"/>
      <c r="D1" s="3627"/>
      <c r="E1" s="3627"/>
      <c r="F1" s="3627"/>
      <c r="G1" s="3627"/>
      <c r="H1" s="3627"/>
      <c r="I1" s="3627"/>
      <c r="J1" s="3627"/>
      <c r="K1" s="3627"/>
      <c r="L1" s="3627"/>
      <c r="M1" s="3627"/>
      <c r="O1" s="699" t="s">
        <v>1538</v>
      </c>
      <c r="P1" s="699" t="s">
        <v>1539</v>
      </c>
      <c r="Q1" s="699" t="s">
        <v>1540</v>
      </c>
    </row>
    <row r="2" spans="1:18" ht="15.75" customHeight="1">
      <c r="A2" s="1283" t="s">
        <v>1541</v>
      </c>
      <c r="B2" s="703"/>
      <c r="C2" s="703"/>
      <c r="D2" s="703"/>
      <c r="E2" s="703" t="s">
        <v>1542</v>
      </c>
      <c r="F2" s="703"/>
      <c r="G2" s="703"/>
      <c r="N2" s="699" t="s">
        <v>1543</v>
      </c>
      <c r="O2" s="699">
        <v>6</v>
      </c>
      <c r="P2" s="699">
        <f>O2+2*1</f>
        <v>8</v>
      </c>
      <c r="Q2" s="699">
        <f>O2+2*1.5</f>
        <v>9</v>
      </c>
    </row>
    <row r="3" spans="1:18" ht="15.75" customHeight="1">
      <c r="A3" s="1283" t="s">
        <v>1544</v>
      </c>
      <c r="B3" s="703"/>
      <c r="C3" s="703"/>
      <c r="D3" s="703"/>
      <c r="E3" s="703">
        <v>0</v>
      </c>
      <c r="F3" s="703"/>
      <c r="G3" s="703"/>
      <c r="N3" s="699" t="s">
        <v>1540</v>
      </c>
      <c r="O3" s="699" t="s">
        <v>291</v>
      </c>
      <c r="P3" s="699">
        <f>ROUND(Q2*0.3048,2)</f>
        <v>2.74</v>
      </c>
      <c r="Q3" s="699" t="s">
        <v>1545</v>
      </c>
      <c r="R3" s="699">
        <f>ROUND(P3/2,2)</f>
        <v>1.37</v>
      </c>
    </row>
    <row r="4" spans="1:18">
      <c r="A4" s="1283" t="s">
        <v>1546</v>
      </c>
      <c r="B4" s="703"/>
      <c r="C4" s="703"/>
      <c r="D4" s="703"/>
      <c r="E4" s="703" t="s">
        <v>1547</v>
      </c>
      <c r="F4" s="703"/>
      <c r="G4" s="703"/>
      <c r="N4" s="699" t="s">
        <v>1548</v>
      </c>
      <c r="O4" s="699" t="s">
        <v>291</v>
      </c>
      <c r="P4" s="699">
        <f>ROUND(P2*0.3048,2)</f>
        <v>2.44</v>
      </c>
      <c r="Q4" s="699" t="s">
        <v>461</v>
      </c>
      <c r="R4" s="699">
        <f>P4-2*0.5</f>
        <v>1.44</v>
      </c>
    </row>
    <row r="5" spans="1:18" ht="30.6" customHeight="1">
      <c r="A5" s="708">
        <v>1</v>
      </c>
      <c r="B5" s="3628" t="str">
        <f>'Lead &amp; ANALYSIS'!B381</f>
        <v>E/W in excavation of foundation trenches in hard soil including dressing of sides and levelling the bed complete as directed by the Engineer in charge.</v>
      </c>
      <c r="C5" s="3628"/>
      <c r="D5" s="3628"/>
      <c r="E5" s="3628"/>
      <c r="F5" s="3628"/>
      <c r="G5" s="3628"/>
      <c r="H5" s="3628"/>
      <c r="I5" s="3628"/>
      <c r="J5" s="3628"/>
      <c r="O5" s="699" t="s">
        <v>291</v>
      </c>
      <c r="P5" s="699">
        <f>P4</f>
        <v>2.44</v>
      </c>
      <c r="Q5" s="699" t="s">
        <v>461</v>
      </c>
      <c r="R5" s="699">
        <f>P5-2*0.3</f>
        <v>1.8399999999999999</v>
      </c>
    </row>
    <row r="6" spans="1:18" ht="16.5" customHeight="1">
      <c r="A6" s="697" t="s">
        <v>468</v>
      </c>
      <c r="B6" s="703" t="s">
        <v>1549</v>
      </c>
      <c r="P6" s="699">
        <f>ROUND(O2*0.3048,2)</f>
        <v>1.83</v>
      </c>
    </row>
    <row r="7" spans="1:18">
      <c r="C7" s="699">
        <v>0.78600000000000003</v>
      </c>
      <c r="D7" s="699" t="s">
        <v>901</v>
      </c>
      <c r="E7" s="702">
        <v>2.1</v>
      </c>
      <c r="F7" s="702" t="s">
        <v>901</v>
      </c>
      <c r="G7" s="702">
        <f>E7</f>
        <v>2.1</v>
      </c>
      <c r="H7" s="702" t="s">
        <v>901</v>
      </c>
      <c r="I7" s="702">
        <v>1.5</v>
      </c>
      <c r="J7" s="699" t="s">
        <v>1039</v>
      </c>
      <c r="K7" s="702">
        <f>ROUND(I7*G7*E7*C7,2)</f>
        <v>5.2</v>
      </c>
      <c r="L7" s="699" t="s">
        <v>1550</v>
      </c>
    </row>
    <row r="8" spans="1:18">
      <c r="E8" s="702"/>
      <c r="F8" s="702"/>
      <c r="G8" s="702" t="s">
        <v>1551</v>
      </c>
      <c r="H8" s="702"/>
      <c r="I8" s="702"/>
      <c r="J8" s="699" t="s">
        <v>1039</v>
      </c>
      <c r="K8" s="702">
        <f>SUM(K7:K7)</f>
        <v>5.2</v>
      </c>
      <c r="L8" s="699" t="s">
        <v>1550</v>
      </c>
    </row>
    <row r="9" spans="1:18">
      <c r="C9" s="699" t="s">
        <v>1552</v>
      </c>
      <c r="E9" s="702" t="s">
        <v>161</v>
      </c>
      <c r="F9" s="702"/>
      <c r="G9" s="702" t="e">
        <f>'Lead &amp; ANALYSIS'!#REF!</f>
        <v>#REF!</v>
      </c>
      <c r="H9" s="702"/>
      <c r="I9" s="702" t="s">
        <v>1553</v>
      </c>
      <c r="K9" s="702"/>
      <c r="L9" s="699" t="s">
        <v>161</v>
      </c>
      <c r="M9" s="702" t="e">
        <f>ROUND(K8*G9,0)</f>
        <v>#REF!</v>
      </c>
    </row>
    <row r="10" spans="1:18">
      <c r="A10" s="697" t="s">
        <v>470</v>
      </c>
      <c r="B10" s="703" t="s">
        <v>1554</v>
      </c>
      <c r="E10" s="702"/>
      <c r="F10" s="702"/>
      <c r="G10" s="702"/>
      <c r="H10" s="702"/>
      <c r="I10" s="702"/>
      <c r="K10" s="702"/>
      <c r="M10" s="702"/>
    </row>
    <row r="11" spans="1:18">
      <c r="C11" s="699">
        <f>C7</f>
        <v>0.78600000000000003</v>
      </c>
      <c r="D11" s="699" t="s">
        <v>901</v>
      </c>
      <c r="E11" s="702">
        <f>E7</f>
        <v>2.1</v>
      </c>
      <c r="F11" s="702" t="s">
        <v>901</v>
      </c>
      <c r="G11" s="702">
        <f>G7</f>
        <v>2.1</v>
      </c>
      <c r="H11" s="702" t="s">
        <v>901</v>
      </c>
      <c r="I11" s="702">
        <v>1.5</v>
      </c>
      <c r="J11" s="699" t="s">
        <v>1039</v>
      </c>
      <c r="K11" s="702">
        <f>ROUND(I11*G11*E11*C11,2)</f>
        <v>5.2</v>
      </c>
      <c r="L11" s="699" t="s">
        <v>1550</v>
      </c>
      <c r="M11" s="702"/>
    </row>
    <row r="12" spans="1:18">
      <c r="E12" s="702"/>
      <c r="F12" s="702"/>
      <c r="G12" s="702" t="s">
        <v>1551</v>
      </c>
      <c r="H12" s="702"/>
      <c r="I12" s="702"/>
      <c r="J12" s="699" t="s">
        <v>1039</v>
      </c>
      <c r="K12" s="702">
        <f>SUM(K11:K11)</f>
        <v>5.2</v>
      </c>
      <c r="L12" s="699" t="s">
        <v>1550</v>
      </c>
      <c r="M12" s="702"/>
    </row>
    <row r="13" spans="1:18">
      <c r="C13" s="699" t="s">
        <v>1552</v>
      </c>
      <c r="E13" s="702" t="s">
        <v>161</v>
      </c>
      <c r="F13" s="702"/>
      <c r="G13" s="702" t="e">
        <f>'Lead &amp; ANALYSIS'!#REF!</f>
        <v>#REF!</v>
      </c>
      <c r="H13" s="702"/>
      <c r="I13" s="702" t="s">
        <v>1553</v>
      </c>
      <c r="K13" s="702"/>
      <c r="L13" s="699" t="s">
        <v>161</v>
      </c>
      <c r="M13" s="702" t="e">
        <f>ROUND(K12*G13,0)</f>
        <v>#REF!</v>
      </c>
    </row>
    <row r="14" spans="1:18">
      <c r="A14" s="697" t="s">
        <v>472</v>
      </c>
      <c r="B14" s="703" t="s">
        <v>1555</v>
      </c>
      <c r="E14" s="702"/>
      <c r="F14" s="702"/>
      <c r="G14" s="702"/>
      <c r="H14" s="702"/>
      <c r="I14" s="702"/>
      <c r="K14" s="702"/>
      <c r="M14" s="702"/>
    </row>
    <row r="15" spans="1:18">
      <c r="C15" s="699">
        <f>C11</f>
        <v>0.78600000000000003</v>
      </c>
      <c r="D15" s="699" t="s">
        <v>901</v>
      </c>
      <c r="E15" s="702">
        <f>E7</f>
        <v>2.1</v>
      </c>
      <c r="F15" s="702" t="s">
        <v>901</v>
      </c>
      <c r="G15" s="702">
        <f>G7</f>
        <v>2.1</v>
      </c>
      <c r="H15" s="702" t="s">
        <v>901</v>
      </c>
      <c r="I15" s="702">
        <v>1.5</v>
      </c>
      <c r="J15" s="699" t="s">
        <v>1039</v>
      </c>
      <c r="K15" s="702">
        <f>ROUND(I15*G15*E15*C15,2)</f>
        <v>5.2</v>
      </c>
      <c r="L15" s="699" t="s">
        <v>1550</v>
      </c>
      <c r="M15" s="702"/>
    </row>
    <row r="16" spans="1:18">
      <c r="E16" s="702"/>
      <c r="F16" s="702"/>
      <c r="G16" s="702" t="s">
        <v>1551</v>
      </c>
      <c r="H16" s="702"/>
      <c r="I16" s="702"/>
      <c r="J16" s="699" t="s">
        <v>1039</v>
      </c>
      <c r="K16" s="702">
        <f>SUM(K15:K15)</f>
        <v>5.2</v>
      </c>
      <c r="L16" s="699" t="s">
        <v>1550</v>
      </c>
      <c r="M16" s="702"/>
    </row>
    <row r="17" spans="1:14">
      <c r="C17" s="699" t="s">
        <v>1552</v>
      </c>
      <c r="E17" s="702" t="s">
        <v>161</v>
      </c>
      <c r="F17" s="702"/>
      <c r="G17" s="702" t="e">
        <f>'Lead &amp; ANALYSIS'!#REF!</f>
        <v>#REF!</v>
      </c>
      <c r="H17" s="702"/>
      <c r="I17" s="702" t="s">
        <v>1553</v>
      </c>
      <c r="K17" s="702"/>
      <c r="L17" s="699" t="s">
        <v>161</v>
      </c>
      <c r="M17" s="702" t="e">
        <f>ROUND(K16*G17,0)</f>
        <v>#REF!</v>
      </c>
    </row>
    <row r="18" spans="1:14">
      <c r="A18" s="697" t="s">
        <v>474</v>
      </c>
      <c r="B18" s="703" t="s">
        <v>1556</v>
      </c>
      <c r="E18" s="702"/>
      <c r="F18" s="702"/>
      <c r="G18" s="702"/>
      <c r="H18" s="702"/>
      <c r="I18" s="702"/>
      <c r="K18" s="702"/>
      <c r="M18" s="702"/>
    </row>
    <row r="19" spans="1:14">
      <c r="C19" s="699">
        <f>C15</f>
        <v>0.78600000000000003</v>
      </c>
      <c r="D19" s="699" t="s">
        <v>901</v>
      </c>
      <c r="E19" s="702">
        <f>E7</f>
        <v>2.1</v>
      </c>
      <c r="F19" s="702" t="s">
        <v>901</v>
      </c>
      <c r="G19" s="702">
        <f>G7</f>
        <v>2.1</v>
      </c>
      <c r="H19" s="702" t="s">
        <v>901</v>
      </c>
      <c r="I19" s="702">
        <v>1.5</v>
      </c>
      <c r="J19" s="699" t="s">
        <v>1039</v>
      </c>
      <c r="K19" s="702">
        <f>ROUND(I19*G19*E19*C19,2)</f>
        <v>5.2</v>
      </c>
      <c r="L19" s="699" t="s">
        <v>1550</v>
      </c>
      <c r="M19" s="702"/>
    </row>
    <row r="20" spans="1:14">
      <c r="E20" s="702"/>
      <c r="F20" s="702"/>
      <c r="G20" s="702" t="s">
        <v>1551</v>
      </c>
      <c r="H20" s="702"/>
      <c r="I20" s="702"/>
      <c r="J20" s="699" t="s">
        <v>1039</v>
      </c>
      <c r="K20" s="702">
        <f>SUM(K19:K19)</f>
        <v>5.2</v>
      </c>
      <c r="L20" s="699" t="s">
        <v>1550</v>
      </c>
      <c r="M20" s="702"/>
    </row>
    <row r="21" spans="1:14">
      <c r="C21" s="699" t="s">
        <v>1552</v>
      </c>
      <c r="E21" s="702" t="s">
        <v>161</v>
      </c>
      <c r="F21" s="702"/>
      <c r="G21" s="702" t="e">
        <f>'Lead &amp; ANALYSIS'!#REF!</f>
        <v>#REF!</v>
      </c>
      <c r="H21" s="702"/>
      <c r="I21" s="702" t="s">
        <v>1553</v>
      </c>
      <c r="K21" s="702"/>
      <c r="L21" s="699" t="s">
        <v>161</v>
      </c>
      <c r="M21" s="702" t="e">
        <f>ROUND(K20*G21,0)</f>
        <v>#REF!</v>
      </c>
    </row>
    <row r="22" spans="1:14">
      <c r="A22" s="697" t="s">
        <v>476</v>
      </c>
      <c r="B22" s="703" t="s">
        <v>1557</v>
      </c>
      <c r="E22" s="702"/>
      <c r="F22" s="702"/>
      <c r="G22" s="702"/>
      <c r="H22" s="702"/>
      <c r="I22" s="702"/>
      <c r="K22" s="702"/>
      <c r="M22" s="702"/>
      <c r="N22" s="702" t="e">
        <f>SUM(M9:M29)</f>
        <v>#REF!</v>
      </c>
    </row>
    <row r="23" spans="1:14">
      <c r="C23" s="699">
        <f>C19</f>
        <v>0.78600000000000003</v>
      </c>
      <c r="D23" s="699" t="s">
        <v>901</v>
      </c>
      <c r="E23" s="702">
        <f>E7</f>
        <v>2.1</v>
      </c>
      <c r="F23" s="702" t="s">
        <v>901</v>
      </c>
      <c r="G23" s="702">
        <f>G7</f>
        <v>2.1</v>
      </c>
      <c r="H23" s="702" t="s">
        <v>901</v>
      </c>
      <c r="I23" s="702">
        <v>1.5</v>
      </c>
      <c r="J23" s="699" t="s">
        <v>1039</v>
      </c>
      <c r="K23" s="702">
        <f>ROUND(I23*G23*E23*C23,2)</f>
        <v>5.2</v>
      </c>
      <c r="L23" s="699" t="s">
        <v>1550</v>
      </c>
      <c r="M23" s="702"/>
    </row>
    <row r="24" spans="1:14">
      <c r="E24" s="702"/>
      <c r="F24" s="702"/>
      <c r="G24" s="702" t="s">
        <v>1551</v>
      </c>
      <c r="H24" s="702"/>
      <c r="I24" s="702"/>
      <c r="J24" s="699" t="s">
        <v>1039</v>
      </c>
      <c r="K24" s="702">
        <f>SUM(K23:K23)</f>
        <v>5.2</v>
      </c>
      <c r="L24" s="699" t="s">
        <v>1550</v>
      </c>
      <c r="M24" s="702"/>
    </row>
    <row r="25" spans="1:14">
      <c r="C25" s="699" t="s">
        <v>1552</v>
      </c>
      <c r="E25" s="702" t="s">
        <v>161</v>
      </c>
      <c r="F25" s="702"/>
      <c r="G25" s="702" t="e">
        <f>'Lead &amp; ANALYSIS'!#REF!</f>
        <v>#REF!</v>
      </c>
      <c r="H25" s="702"/>
      <c r="I25" s="702" t="s">
        <v>1553</v>
      </c>
      <c r="K25" s="702"/>
      <c r="L25" s="699" t="s">
        <v>161</v>
      </c>
      <c r="M25" s="702" t="e">
        <f>ROUND(K24*G25,0)</f>
        <v>#REF!</v>
      </c>
    </row>
    <row r="26" spans="1:14">
      <c r="A26" s="697" t="s">
        <v>478</v>
      </c>
      <c r="B26" s="703" t="s">
        <v>1558</v>
      </c>
      <c r="E26" s="702"/>
      <c r="F26" s="702"/>
      <c r="G26" s="702"/>
      <c r="H26" s="702"/>
      <c r="I26" s="702"/>
      <c r="K26" s="702"/>
      <c r="M26" s="702"/>
    </row>
    <row r="27" spans="1:14">
      <c r="A27" s="697"/>
      <c r="B27" s="703"/>
      <c r="C27" s="699">
        <f>C23</f>
        <v>0.78600000000000003</v>
      </c>
      <c r="D27" s="699" t="s">
        <v>901</v>
      </c>
      <c r="E27" s="702">
        <f>E11</f>
        <v>2.1</v>
      </c>
      <c r="F27" s="702" t="s">
        <v>901</v>
      </c>
      <c r="G27" s="702">
        <f>G11</f>
        <v>2.1</v>
      </c>
      <c r="H27" s="702" t="s">
        <v>901</v>
      </c>
      <c r="I27" s="702">
        <v>1.5</v>
      </c>
      <c r="J27" s="699" t="s">
        <v>1039</v>
      </c>
      <c r="K27" s="702">
        <f>ROUND(I27*G27*E27*C27,2)</f>
        <v>5.2</v>
      </c>
      <c r="L27" s="699" t="s">
        <v>1550</v>
      </c>
      <c r="M27" s="702"/>
    </row>
    <row r="28" spans="1:14">
      <c r="E28" s="702"/>
      <c r="F28" s="702"/>
      <c r="G28" s="702" t="s">
        <v>1551</v>
      </c>
      <c r="H28" s="702"/>
      <c r="I28" s="702"/>
      <c r="J28" s="699" t="s">
        <v>1039</v>
      </c>
      <c r="K28" s="702">
        <f>SUM(K27:K27)</f>
        <v>5.2</v>
      </c>
      <c r="L28" s="699" t="s">
        <v>1550</v>
      </c>
      <c r="M28" s="702"/>
    </row>
    <row r="29" spans="1:14">
      <c r="C29" s="699" t="s">
        <v>1552</v>
      </c>
      <c r="E29" s="699" t="s">
        <v>161</v>
      </c>
      <c r="G29" s="699" t="e">
        <f>'Lead &amp; ANALYSIS'!#REF!</f>
        <v>#REF!</v>
      </c>
      <c r="I29" s="699" t="s">
        <v>1553</v>
      </c>
      <c r="K29" s="702"/>
      <c r="L29" s="699" t="s">
        <v>161</v>
      </c>
      <c r="M29" s="702" t="e">
        <f>ROUND(K28*G29,0)</f>
        <v>#REF!</v>
      </c>
    </row>
    <row r="30" spans="1:14">
      <c r="A30" s="697" t="s">
        <v>480</v>
      </c>
      <c r="B30" s="703" t="s">
        <v>1559</v>
      </c>
      <c r="K30" s="702"/>
      <c r="M30" s="702"/>
    </row>
    <row r="31" spans="1:14">
      <c r="C31" s="699">
        <f>C27</f>
        <v>0.78600000000000003</v>
      </c>
      <c r="D31" s="699" t="s">
        <v>901</v>
      </c>
      <c r="E31" s="702">
        <f>E15</f>
        <v>2.1</v>
      </c>
      <c r="F31" s="702" t="s">
        <v>901</v>
      </c>
      <c r="G31" s="702">
        <f>G15</f>
        <v>2.1</v>
      </c>
      <c r="H31" s="702" t="s">
        <v>901</v>
      </c>
      <c r="I31" s="702">
        <v>1.5</v>
      </c>
      <c r="J31" s="699" t="s">
        <v>1039</v>
      </c>
      <c r="K31" s="702">
        <f>ROUND(I31*G31*E31*C31,2)</f>
        <v>5.2</v>
      </c>
      <c r="L31" s="699" t="s">
        <v>1550</v>
      </c>
      <c r="M31" s="702"/>
    </row>
    <row r="32" spans="1:14">
      <c r="G32" s="699" t="s">
        <v>1551</v>
      </c>
      <c r="J32" s="699" t="s">
        <v>1039</v>
      </c>
      <c r="K32" s="702">
        <f>SUM(K31:K31)</f>
        <v>5.2</v>
      </c>
      <c r="L32" s="699" t="s">
        <v>1550</v>
      </c>
      <c r="M32" s="702"/>
    </row>
    <row r="33" spans="1:15">
      <c r="C33" s="699" t="s">
        <v>1552</v>
      </c>
      <c r="E33" s="699" t="s">
        <v>161</v>
      </c>
      <c r="G33" s="699" t="e">
        <f>'Lead &amp; ANALYSIS'!#REF!</f>
        <v>#REF!</v>
      </c>
      <c r="I33" s="699" t="s">
        <v>1560</v>
      </c>
      <c r="L33" s="699" t="s">
        <v>161</v>
      </c>
      <c r="M33" s="702" t="e">
        <f>ROUND(K32*G33,0)</f>
        <v>#REF!</v>
      </c>
      <c r="N33" s="699" t="e">
        <f>SUM(M9:M33)</f>
        <v>#REF!</v>
      </c>
    </row>
    <row r="34" spans="1:15">
      <c r="A34" s="708">
        <v>2</v>
      </c>
      <c r="B34" s="699" t="s">
        <v>1561</v>
      </c>
      <c r="M34" s="702"/>
      <c r="O34" s="699">
        <f>3.14/4</f>
        <v>0.78500000000000003</v>
      </c>
    </row>
    <row r="35" spans="1:15">
      <c r="B35" s="699" t="s">
        <v>1562</v>
      </c>
      <c r="C35" s="699">
        <f>C31</f>
        <v>0.78600000000000003</v>
      </c>
      <c r="D35" s="699" t="s">
        <v>901</v>
      </c>
      <c r="E35" s="699">
        <f>P3</f>
        <v>2.74</v>
      </c>
      <c r="F35" s="699" t="s">
        <v>901</v>
      </c>
      <c r="G35" s="699">
        <f>E35</f>
        <v>2.74</v>
      </c>
      <c r="H35" s="699" t="s">
        <v>901</v>
      </c>
      <c r="I35" s="699">
        <f>I7+I11+I15+I19+I23+I27+I31</f>
        <v>10.5</v>
      </c>
      <c r="J35" s="699" t="s">
        <v>1039</v>
      </c>
      <c r="K35" s="699">
        <f>ROUND(C35*E35*G35*I35,2)</f>
        <v>61.96</v>
      </c>
      <c r="L35" s="699" t="s">
        <v>1550</v>
      </c>
      <c r="M35" s="702"/>
    </row>
    <row r="36" spans="1:15">
      <c r="C36" s="699">
        <f>C35</f>
        <v>0.78600000000000003</v>
      </c>
      <c r="D36" s="699" t="s">
        <v>901</v>
      </c>
      <c r="E36" s="699">
        <f>P6+0.05</f>
        <v>1.8800000000000001</v>
      </c>
      <c r="F36" s="699" t="s">
        <v>901</v>
      </c>
      <c r="G36" s="699">
        <f>E36</f>
        <v>1.8800000000000001</v>
      </c>
      <c r="H36" s="699" t="s">
        <v>901</v>
      </c>
      <c r="I36" s="699">
        <f>I35</f>
        <v>10.5</v>
      </c>
      <c r="J36" s="699" t="s">
        <v>1039</v>
      </c>
      <c r="K36" s="1268">
        <f>-ROUND(C36*E36*G36*I36,2)</f>
        <v>-29.17</v>
      </c>
      <c r="L36" s="699" t="s">
        <v>1550</v>
      </c>
      <c r="M36" s="702"/>
    </row>
    <row r="37" spans="1:15">
      <c r="I37" s="699" t="s">
        <v>928</v>
      </c>
      <c r="K37" s="699">
        <f>SUM(K35:K36)</f>
        <v>32.79</v>
      </c>
      <c r="L37" s="699" t="s">
        <v>1550</v>
      </c>
      <c r="M37" s="702"/>
    </row>
    <row r="38" spans="1:15">
      <c r="C38" s="699" t="s">
        <v>1552</v>
      </c>
      <c r="E38" s="699" t="s">
        <v>161</v>
      </c>
      <c r="G38" s="702">
        <f>'Lead &amp; ANALYSIS'!L399</f>
        <v>726.2</v>
      </c>
      <c r="I38" s="699" t="s">
        <v>1553</v>
      </c>
      <c r="L38" s="699" t="s">
        <v>161</v>
      </c>
      <c r="M38" s="702">
        <f>ROUND(K37*G38,0)</f>
        <v>23812</v>
      </c>
    </row>
    <row r="39" spans="1:15">
      <c r="A39" s="708">
        <v>3</v>
      </c>
      <c r="B39" s="699" t="s">
        <v>1563</v>
      </c>
      <c r="M39" s="702"/>
      <c r="O39" s="699">
        <f>3.14/4</f>
        <v>0.78500000000000003</v>
      </c>
    </row>
    <row r="40" spans="1:15">
      <c r="B40" s="699" t="s">
        <v>1564</v>
      </c>
      <c r="K40" s="699">
        <v>32</v>
      </c>
      <c r="L40" s="699" t="s">
        <v>262</v>
      </c>
      <c r="M40" s="702"/>
    </row>
    <row r="41" spans="1:15">
      <c r="G41" s="699" t="s">
        <v>1551</v>
      </c>
      <c r="J41" s="699" t="s">
        <v>1039</v>
      </c>
      <c r="K41" s="699">
        <f>SUM(K40:K40)</f>
        <v>32</v>
      </c>
      <c r="L41" s="699" t="s">
        <v>262</v>
      </c>
      <c r="M41" s="702"/>
    </row>
    <row r="42" spans="1:15">
      <c r="C42" s="699" t="s">
        <v>1552</v>
      </c>
      <c r="E42" s="699" t="s">
        <v>161</v>
      </c>
      <c r="G42" s="699">
        <v>1240</v>
      </c>
      <c r="I42" s="699" t="s">
        <v>1565</v>
      </c>
      <c r="L42" s="699" t="s">
        <v>161</v>
      </c>
      <c r="M42" s="702">
        <f>ROUND(K41*G42,0)</f>
        <v>39680</v>
      </c>
    </row>
    <row r="43" spans="1:15" ht="54.6" customHeight="1">
      <c r="A43" s="708">
        <v>4</v>
      </c>
      <c r="B43" s="3629" t="s">
        <v>1566</v>
      </c>
      <c r="C43" s="3629"/>
      <c r="D43" s="3629"/>
      <c r="E43" s="3629"/>
      <c r="F43" s="3629"/>
      <c r="G43" s="3629"/>
      <c r="H43" s="3629"/>
      <c r="I43" s="3629"/>
      <c r="M43" s="702"/>
    </row>
    <row r="44" spans="1:15">
      <c r="G44" s="699" t="s">
        <v>1551</v>
      </c>
      <c r="J44" s="699" t="s">
        <v>1039</v>
      </c>
      <c r="K44" s="699">
        <v>20</v>
      </c>
      <c r="L44" s="699" t="s">
        <v>1550</v>
      </c>
      <c r="M44" s="702"/>
    </row>
    <row r="45" spans="1:15">
      <c r="C45" s="699" t="s">
        <v>1552</v>
      </c>
      <c r="E45" s="699" t="s">
        <v>161</v>
      </c>
      <c r="G45" s="702">
        <f>'Lead &amp; ANALYSIS'!L134</f>
        <v>345</v>
      </c>
      <c r="I45" s="699" t="s">
        <v>1553</v>
      </c>
      <c r="L45" s="699" t="s">
        <v>161</v>
      </c>
      <c r="M45" s="702">
        <f>ROUND(K44*G45,0)</f>
        <v>6900</v>
      </c>
    </row>
    <row r="46" spans="1:15" ht="30.6" customHeight="1">
      <c r="A46" s="708">
        <v>5</v>
      </c>
      <c r="B46" s="3629" t="str">
        <f>'Lead &amp; ANALYSIS'!B441</f>
        <v>Fly Ash brick masonry in cement mortar (1:6) using kiln Burnt bricks of 10”  etc. complete in all respect as directed by the Engineer-in-charge.</v>
      </c>
      <c r="C46" s="3629"/>
      <c r="D46" s="3629"/>
      <c r="E46" s="3629"/>
      <c r="F46" s="3629"/>
      <c r="G46" s="3629"/>
      <c r="H46" s="3629"/>
      <c r="I46" s="3629"/>
      <c r="M46" s="702"/>
      <c r="O46" s="699">
        <f>3.14/4</f>
        <v>0.78500000000000003</v>
      </c>
    </row>
    <row r="47" spans="1:15">
      <c r="B47" s="699" t="s">
        <v>1562</v>
      </c>
      <c r="C47" s="699">
        <f>C36</f>
        <v>0.78600000000000003</v>
      </c>
      <c r="D47" s="699" t="s">
        <v>901</v>
      </c>
      <c r="E47" s="699">
        <v>2.2999999999999998</v>
      </c>
      <c r="F47" s="699" t="s">
        <v>901</v>
      </c>
      <c r="G47" s="699">
        <f>E47</f>
        <v>2.2999999999999998</v>
      </c>
      <c r="H47" s="699" t="s">
        <v>901</v>
      </c>
      <c r="I47" s="699">
        <v>1.05</v>
      </c>
      <c r="J47" s="699" t="s">
        <v>1039</v>
      </c>
      <c r="K47" s="699">
        <f>ROUND(C47*E47*G47*I47,2)</f>
        <v>4.37</v>
      </c>
      <c r="L47" s="699" t="s">
        <v>1550</v>
      </c>
      <c r="M47" s="702"/>
    </row>
    <row r="48" spans="1:15">
      <c r="C48" s="699">
        <f>C47</f>
        <v>0.78600000000000003</v>
      </c>
      <c r="D48" s="699" t="s">
        <v>901</v>
      </c>
      <c r="E48" s="699">
        <v>1.8</v>
      </c>
      <c r="F48" s="699" t="s">
        <v>901</v>
      </c>
      <c r="G48" s="699">
        <f>E48</f>
        <v>1.8</v>
      </c>
      <c r="H48" s="699" t="s">
        <v>901</v>
      </c>
      <c r="I48" s="699">
        <f>I47</f>
        <v>1.05</v>
      </c>
      <c r="J48" s="699" t="s">
        <v>1039</v>
      </c>
      <c r="K48" s="1268">
        <f>-ROUND(C48*E48*G48*I48,2)</f>
        <v>-2.67</v>
      </c>
      <c r="L48" s="699" t="s">
        <v>1550</v>
      </c>
      <c r="M48" s="702"/>
    </row>
    <row r="49" spans="1:15">
      <c r="I49" s="699" t="s">
        <v>928</v>
      </c>
      <c r="K49" s="699">
        <f>SUM(K47:K48)</f>
        <v>1.7000000000000002</v>
      </c>
      <c r="L49" s="699" t="s">
        <v>1550</v>
      </c>
      <c r="M49" s="702"/>
    </row>
    <row r="50" spans="1:15">
      <c r="C50" s="699" t="s">
        <v>1552</v>
      </c>
      <c r="E50" s="699" t="s">
        <v>161</v>
      </c>
      <c r="G50" s="702">
        <f>'Lead &amp; ANALYSIS'!L442</f>
        <v>5060.3999999999996</v>
      </c>
      <c r="I50" s="699" t="s">
        <v>1553</v>
      </c>
      <c r="L50" s="699" t="s">
        <v>161</v>
      </c>
      <c r="M50" s="702">
        <f>ROUND(K49*G50,0)</f>
        <v>8603</v>
      </c>
    </row>
    <row r="51" spans="1:15" ht="60" customHeight="1">
      <c r="A51" s="708">
        <v>6</v>
      </c>
      <c r="B51" s="3629" t="str">
        <f>'Lead &amp; ANALYSIS'!B683</f>
        <v>Providing 20 mm thick C.P. with C.M. (1:6) with screened and washed sharp sand for mortar and finished smooth to the rough surface of walls in all heights after racking out joints  etc. complete in all respect as directed by the Engineer in charge.</v>
      </c>
      <c r="C51" s="3629"/>
      <c r="D51" s="3629"/>
      <c r="E51" s="3629"/>
      <c r="F51" s="3629"/>
      <c r="G51" s="3629"/>
      <c r="H51" s="3629"/>
      <c r="I51" s="3629"/>
      <c r="M51" s="702"/>
      <c r="O51" s="699">
        <f>3.14/4</f>
        <v>0.78500000000000003</v>
      </c>
    </row>
    <row r="52" spans="1:15">
      <c r="B52" s="699" t="s">
        <v>1562</v>
      </c>
      <c r="C52" s="699">
        <v>3.14</v>
      </c>
      <c r="D52" s="699" t="s">
        <v>901</v>
      </c>
      <c r="E52" s="699">
        <v>2.2999999999999998</v>
      </c>
      <c r="F52" s="699" t="s">
        <v>901</v>
      </c>
      <c r="H52" s="699" t="s">
        <v>901</v>
      </c>
      <c r="I52" s="699">
        <v>1.05</v>
      </c>
      <c r="J52" s="699" t="s">
        <v>1039</v>
      </c>
      <c r="K52" s="699">
        <f>ROUND(C52*E52*I52,2)</f>
        <v>7.58</v>
      </c>
      <c r="L52" s="699" t="s">
        <v>1550</v>
      </c>
      <c r="M52" s="702"/>
    </row>
    <row r="53" spans="1:15">
      <c r="C53" s="699">
        <f>C52</f>
        <v>3.14</v>
      </c>
      <c r="D53" s="699" t="s">
        <v>901</v>
      </c>
      <c r="E53" s="699">
        <v>1.8</v>
      </c>
      <c r="F53" s="699" t="s">
        <v>901</v>
      </c>
      <c r="H53" s="699" t="s">
        <v>901</v>
      </c>
      <c r="I53" s="699">
        <f>I52</f>
        <v>1.05</v>
      </c>
      <c r="J53" s="699" t="s">
        <v>1039</v>
      </c>
      <c r="K53" s="1268">
        <f>ROUND(C53*E53*I53,2)</f>
        <v>5.93</v>
      </c>
      <c r="L53" s="699" t="s">
        <v>1550</v>
      </c>
      <c r="M53" s="702"/>
    </row>
    <row r="54" spans="1:15">
      <c r="I54" s="699" t="s">
        <v>928</v>
      </c>
      <c r="K54" s="699">
        <f>SUM(K52:K53)</f>
        <v>13.51</v>
      </c>
      <c r="L54" s="699" t="s">
        <v>1550</v>
      </c>
      <c r="M54" s="702"/>
    </row>
    <row r="55" spans="1:15">
      <c r="C55" s="699" t="s">
        <v>1552</v>
      </c>
      <c r="E55" s="699" t="s">
        <v>161</v>
      </c>
      <c r="G55" s="702">
        <f>'Lead &amp; ANALYSIS'!L684</f>
        <v>234.3</v>
      </c>
      <c r="I55" s="699" t="s">
        <v>1553</v>
      </c>
      <c r="L55" s="699" t="s">
        <v>161</v>
      </c>
      <c r="M55" s="702">
        <f>ROUND(K54*G55,0)</f>
        <v>3165</v>
      </c>
    </row>
    <row r="56" spans="1:15">
      <c r="A56" s="708">
        <v>7</v>
      </c>
      <c r="B56" s="699" t="s">
        <v>1567</v>
      </c>
      <c r="L56" s="699" t="s">
        <v>161</v>
      </c>
      <c r="M56" s="702">
        <v>2000</v>
      </c>
    </row>
    <row r="57" spans="1:15">
      <c r="A57" s="708">
        <v>8</v>
      </c>
      <c r="B57" s="699" t="s">
        <v>1568</v>
      </c>
      <c r="G57" s="699">
        <v>12</v>
      </c>
      <c r="H57" s="699" t="s">
        <v>901</v>
      </c>
      <c r="I57" s="702">
        <f>'Lead &amp; ANALYSIS'!L134</f>
        <v>345</v>
      </c>
      <c r="J57" s="699" t="s">
        <v>1039</v>
      </c>
      <c r="L57" s="699" t="s">
        <v>161</v>
      </c>
      <c r="M57" s="702">
        <f>ROUND(G57*I57,0)</f>
        <v>4140</v>
      </c>
    </row>
    <row r="58" spans="1:15">
      <c r="A58" s="708">
        <v>9</v>
      </c>
      <c r="B58" s="699" t="s">
        <v>1569</v>
      </c>
      <c r="M58" s="702">
        <v>300</v>
      </c>
    </row>
    <row r="59" spans="1:15">
      <c r="A59" s="708">
        <v>10</v>
      </c>
      <c r="B59" s="699" t="s">
        <v>1570</v>
      </c>
      <c r="M59" s="702"/>
    </row>
    <row r="60" spans="1:15">
      <c r="A60" s="708">
        <v>11</v>
      </c>
      <c r="B60" s="699" t="s">
        <v>1571</v>
      </c>
      <c r="L60" s="699" t="s">
        <v>161</v>
      </c>
      <c r="M60" s="702">
        <v>600</v>
      </c>
    </row>
    <row r="61" spans="1:15">
      <c r="I61" s="699" t="s">
        <v>1572</v>
      </c>
      <c r="L61" s="699" t="s">
        <v>161</v>
      </c>
      <c r="M61" s="702" t="e">
        <f>SUM(M7:M60)</f>
        <v>#REF!</v>
      </c>
    </row>
    <row r="62" spans="1:15" ht="13.9" customHeight="1">
      <c r="I62" s="3626" t="s">
        <v>1573</v>
      </c>
      <c r="J62" s="3626"/>
      <c r="K62" s="3626"/>
      <c r="L62" s="3626"/>
      <c r="M62" s="3626"/>
    </row>
    <row r="63" spans="1:15" ht="9" customHeight="1"/>
    <row r="64" spans="1:15">
      <c r="C64" s="3631" t="s">
        <v>3148</v>
      </c>
      <c r="D64" s="3631"/>
      <c r="E64" s="3631"/>
      <c r="F64" s="3631"/>
      <c r="G64" s="3631"/>
      <c r="H64" s="3631"/>
      <c r="I64" s="3631" t="s">
        <v>3147</v>
      </c>
      <c r="J64" s="3631"/>
      <c r="K64" s="3631"/>
      <c r="L64" s="3631"/>
      <c r="M64" s="3631"/>
    </row>
    <row r="65" spans="1:13" ht="13.15" customHeight="1">
      <c r="C65" s="3631" t="str">
        <f>I65</f>
        <v>(Rupees Sixty Three Thousand) Only.</v>
      </c>
      <c r="D65" s="3631"/>
      <c r="E65" s="3631"/>
      <c r="F65" s="3631"/>
      <c r="G65" s="3631"/>
      <c r="H65" s="3631"/>
      <c r="I65" s="3631" t="str">
        <f>I62</f>
        <v>(Rupees Sixty Three Thousand) Only.</v>
      </c>
      <c r="J65" s="3631"/>
      <c r="K65" s="3631"/>
      <c r="L65" s="3631"/>
      <c r="M65" s="3631"/>
    </row>
    <row r="68" spans="1:13">
      <c r="I68" s="3586"/>
      <c r="J68" s="3586"/>
      <c r="K68" s="3586"/>
      <c r="L68" s="3586"/>
      <c r="M68" s="3586"/>
    </row>
    <row r="69" spans="1:13" s="1286" customFormat="1">
      <c r="A69" s="1284"/>
      <c r="B69" s="1285" t="str">
        <f>'Lead &amp; ANALYSIS'!B144:C144</f>
        <v>Junior Engineer</v>
      </c>
      <c r="G69" s="1285" t="str">
        <f>'Lead &amp; ANALYSIS'!G144</f>
        <v>Assistant Executive Engineer</v>
      </c>
      <c r="J69" s="3630" t="str">
        <f>'Lead &amp; ANALYSIS'!L144</f>
        <v>Block Development Officer</v>
      </c>
      <c r="K69" s="3630"/>
      <c r="L69" s="3630"/>
      <c r="M69" s="3630"/>
    </row>
    <row r="70" spans="1:13" s="1286" customFormat="1">
      <c r="A70" s="1284"/>
      <c r="B70" s="1285" t="str">
        <f>'Lead &amp; ANALYSIS'!B145:C145</f>
        <v>Bhuban  Block</v>
      </c>
      <c r="G70" s="1285" t="str">
        <f>'Lead &amp; ANALYSIS'!G145</f>
        <v>Bhuban  Block</v>
      </c>
      <c r="J70" s="3630" t="str">
        <f>'Lead &amp; ANALYSIS'!L145</f>
        <v>Bhuban</v>
      </c>
      <c r="K70" s="3630"/>
      <c r="L70" s="3630"/>
      <c r="M70" s="3630"/>
    </row>
  </sheetData>
  <mergeCells count="13">
    <mergeCell ref="J70:M70"/>
    <mergeCell ref="C64:H64"/>
    <mergeCell ref="I64:M64"/>
    <mergeCell ref="C65:H65"/>
    <mergeCell ref="I65:M65"/>
    <mergeCell ref="I68:M68"/>
    <mergeCell ref="J69:M69"/>
    <mergeCell ref="I62:M62"/>
    <mergeCell ref="A1:M1"/>
    <mergeCell ref="B5:J5"/>
    <mergeCell ref="B43:I43"/>
    <mergeCell ref="B46:I46"/>
    <mergeCell ref="B51:I51"/>
  </mergeCells>
  <pageMargins left="0.83" right="0.47244094488188981" top="0.31496062992125984" bottom="0.19685039370078741" header="0.59055118110236227" footer="0.31496062992125984"/>
  <pageSetup paperSize="9" scale="90" orientation="portrait" verticalDpi="180" r:id="rId1"/>
  <headerFooter alignWithMargins="0"/>
</worksheet>
</file>

<file path=xl/worksheets/sheet45.xml><?xml version="1.0" encoding="utf-8"?>
<worksheet xmlns="http://schemas.openxmlformats.org/spreadsheetml/2006/main" xmlns:r="http://schemas.openxmlformats.org/officeDocument/2006/relationships">
  <sheetPr>
    <tabColor rgb="FF00B050"/>
  </sheetPr>
  <dimension ref="A1:I44"/>
  <sheetViews>
    <sheetView view="pageBreakPreview" topLeftCell="A16" workbookViewId="0">
      <selection activeCell="H34" sqref="H34"/>
    </sheetView>
  </sheetViews>
  <sheetFormatPr defaultColWidth="9.140625" defaultRowHeight="12.75"/>
  <cols>
    <col min="1" max="9" width="10.7109375" style="13" customWidth="1"/>
    <col min="10" max="256" width="9.140625" style="13"/>
    <col min="257" max="265" width="10.7109375" style="13" customWidth="1"/>
    <col min="266" max="512" width="9.140625" style="13"/>
    <col min="513" max="521" width="10.7109375" style="13" customWidth="1"/>
    <col min="522" max="768" width="9.140625" style="13"/>
    <col min="769" max="777" width="10.7109375" style="13" customWidth="1"/>
    <col min="778" max="1024" width="9.140625" style="13"/>
    <col min="1025" max="1033" width="10.7109375" style="13" customWidth="1"/>
    <col min="1034" max="1280" width="9.140625" style="13"/>
    <col min="1281" max="1289" width="10.7109375" style="13" customWidth="1"/>
    <col min="1290" max="1536" width="9.140625" style="13"/>
    <col min="1537" max="1545" width="10.7109375" style="13" customWidth="1"/>
    <col min="1546" max="1792" width="9.140625" style="13"/>
    <col min="1793" max="1801" width="10.7109375" style="13" customWidth="1"/>
    <col min="1802" max="2048" width="9.140625" style="13"/>
    <col min="2049" max="2057" width="10.7109375" style="13" customWidth="1"/>
    <col min="2058" max="2304" width="9.140625" style="13"/>
    <col min="2305" max="2313" width="10.7109375" style="13" customWidth="1"/>
    <col min="2314" max="2560" width="9.140625" style="13"/>
    <col min="2561" max="2569" width="10.7109375" style="13" customWidth="1"/>
    <col min="2570" max="2816" width="9.140625" style="13"/>
    <col min="2817" max="2825" width="10.7109375" style="13" customWidth="1"/>
    <col min="2826" max="3072" width="9.140625" style="13"/>
    <col min="3073" max="3081" width="10.7109375" style="13" customWidth="1"/>
    <col min="3082" max="3328" width="9.140625" style="13"/>
    <col min="3329" max="3337" width="10.7109375" style="13" customWidth="1"/>
    <col min="3338" max="3584" width="9.140625" style="13"/>
    <col min="3585" max="3593" width="10.7109375" style="13" customWidth="1"/>
    <col min="3594" max="3840" width="9.140625" style="13"/>
    <col min="3841" max="3849" width="10.7109375" style="13" customWidth="1"/>
    <col min="3850" max="4096" width="9.140625" style="13"/>
    <col min="4097" max="4105" width="10.7109375" style="13" customWidth="1"/>
    <col min="4106" max="4352" width="9.140625" style="13"/>
    <col min="4353" max="4361" width="10.7109375" style="13" customWidth="1"/>
    <col min="4362" max="4608" width="9.140625" style="13"/>
    <col min="4609" max="4617" width="10.7109375" style="13" customWidth="1"/>
    <col min="4618" max="4864" width="9.140625" style="13"/>
    <col min="4865" max="4873" width="10.7109375" style="13" customWidth="1"/>
    <col min="4874" max="5120" width="9.140625" style="13"/>
    <col min="5121" max="5129" width="10.7109375" style="13" customWidth="1"/>
    <col min="5130" max="5376" width="9.140625" style="13"/>
    <col min="5377" max="5385" width="10.7109375" style="13" customWidth="1"/>
    <col min="5386" max="5632" width="9.140625" style="13"/>
    <col min="5633" max="5641" width="10.7109375" style="13" customWidth="1"/>
    <col min="5642" max="5888" width="9.140625" style="13"/>
    <col min="5889" max="5897" width="10.7109375" style="13" customWidth="1"/>
    <col min="5898" max="6144" width="9.140625" style="13"/>
    <col min="6145" max="6153" width="10.7109375" style="13" customWidth="1"/>
    <col min="6154" max="6400" width="9.140625" style="13"/>
    <col min="6401" max="6409" width="10.7109375" style="13" customWidth="1"/>
    <col min="6410" max="6656" width="9.140625" style="13"/>
    <col min="6657" max="6665" width="10.7109375" style="13" customWidth="1"/>
    <col min="6666" max="6912" width="9.140625" style="13"/>
    <col min="6913" max="6921" width="10.7109375" style="13" customWidth="1"/>
    <col min="6922" max="7168" width="9.140625" style="13"/>
    <col min="7169" max="7177" width="10.7109375" style="13" customWidth="1"/>
    <col min="7178" max="7424" width="9.140625" style="13"/>
    <col min="7425" max="7433" width="10.7109375" style="13" customWidth="1"/>
    <col min="7434" max="7680" width="9.140625" style="13"/>
    <col min="7681" max="7689" width="10.7109375" style="13" customWidth="1"/>
    <col min="7690" max="7936" width="9.140625" style="13"/>
    <col min="7937" max="7945" width="10.7109375" style="13" customWidth="1"/>
    <col min="7946" max="8192" width="9.140625" style="13"/>
    <col min="8193" max="8201" width="10.7109375" style="13" customWidth="1"/>
    <col min="8202" max="8448" width="9.140625" style="13"/>
    <col min="8449" max="8457" width="10.7109375" style="13" customWidth="1"/>
    <col min="8458" max="8704" width="9.140625" style="13"/>
    <col min="8705" max="8713" width="10.7109375" style="13" customWidth="1"/>
    <col min="8714" max="8960" width="9.140625" style="13"/>
    <col min="8961" max="8969" width="10.7109375" style="13" customWidth="1"/>
    <col min="8970" max="9216" width="9.140625" style="13"/>
    <col min="9217" max="9225" width="10.7109375" style="13" customWidth="1"/>
    <col min="9226" max="9472" width="9.140625" style="13"/>
    <col min="9473" max="9481" width="10.7109375" style="13" customWidth="1"/>
    <col min="9482" max="9728" width="9.140625" style="13"/>
    <col min="9729" max="9737" width="10.7109375" style="13" customWidth="1"/>
    <col min="9738" max="9984" width="9.140625" style="13"/>
    <col min="9985" max="9993" width="10.7109375" style="13" customWidth="1"/>
    <col min="9994" max="10240" width="9.140625" style="13"/>
    <col min="10241" max="10249" width="10.7109375" style="13" customWidth="1"/>
    <col min="10250" max="10496" width="9.140625" style="13"/>
    <col min="10497" max="10505" width="10.7109375" style="13" customWidth="1"/>
    <col min="10506" max="10752" width="9.140625" style="13"/>
    <col min="10753" max="10761" width="10.7109375" style="13" customWidth="1"/>
    <col min="10762" max="11008" width="9.140625" style="13"/>
    <col min="11009" max="11017" width="10.7109375" style="13" customWidth="1"/>
    <col min="11018" max="11264" width="9.140625" style="13"/>
    <col min="11265" max="11273" width="10.7109375" style="13" customWidth="1"/>
    <col min="11274" max="11520" width="9.140625" style="13"/>
    <col min="11521" max="11529" width="10.7109375" style="13" customWidth="1"/>
    <col min="11530" max="11776" width="9.140625" style="13"/>
    <col min="11777" max="11785" width="10.7109375" style="13" customWidth="1"/>
    <col min="11786" max="12032" width="9.140625" style="13"/>
    <col min="12033" max="12041" width="10.7109375" style="13" customWidth="1"/>
    <col min="12042" max="12288" width="9.140625" style="13"/>
    <col min="12289" max="12297" width="10.7109375" style="13" customWidth="1"/>
    <col min="12298" max="12544" width="9.140625" style="13"/>
    <col min="12545" max="12553" width="10.7109375" style="13" customWidth="1"/>
    <col min="12554" max="12800" width="9.140625" style="13"/>
    <col min="12801" max="12809" width="10.7109375" style="13" customWidth="1"/>
    <col min="12810" max="13056" width="9.140625" style="13"/>
    <col min="13057" max="13065" width="10.7109375" style="13" customWidth="1"/>
    <col min="13066" max="13312" width="9.140625" style="13"/>
    <col min="13313" max="13321" width="10.7109375" style="13" customWidth="1"/>
    <col min="13322" max="13568" width="9.140625" style="13"/>
    <col min="13569" max="13577" width="10.7109375" style="13" customWidth="1"/>
    <col min="13578" max="13824" width="9.140625" style="13"/>
    <col min="13825" max="13833" width="10.7109375" style="13" customWidth="1"/>
    <col min="13834" max="14080" width="9.140625" style="13"/>
    <col min="14081" max="14089" width="10.7109375" style="13" customWidth="1"/>
    <col min="14090" max="14336" width="9.140625" style="13"/>
    <col min="14337" max="14345" width="10.7109375" style="13" customWidth="1"/>
    <col min="14346" max="14592" width="9.140625" style="13"/>
    <col min="14593" max="14601" width="10.7109375" style="13" customWidth="1"/>
    <col min="14602" max="14848" width="9.140625" style="13"/>
    <col min="14849" max="14857" width="10.7109375" style="13" customWidth="1"/>
    <col min="14858" max="15104" width="9.140625" style="13"/>
    <col min="15105" max="15113" width="10.7109375" style="13" customWidth="1"/>
    <col min="15114" max="15360" width="9.140625" style="13"/>
    <col min="15361" max="15369" width="10.7109375" style="13" customWidth="1"/>
    <col min="15370" max="15616" width="9.140625" style="13"/>
    <col min="15617" max="15625" width="10.7109375" style="13" customWidth="1"/>
    <col min="15626" max="15872" width="9.140625" style="13"/>
    <col min="15873" max="15881" width="10.7109375" style="13" customWidth="1"/>
    <col min="15882" max="16128" width="9.140625" style="13"/>
    <col min="16129" max="16137" width="10.7109375" style="13" customWidth="1"/>
    <col min="16138" max="16384" width="9.140625" style="13"/>
  </cols>
  <sheetData>
    <row r="1" spans="1:9" ht="15.75">
      <c r="A1" s="22"/>
      <c r="B1" s="23"/>
      <c r="C1" s="23"/>
      <c r="D1" s="23"/>
      <c r="E1" s="23"/>
      <c r="F1" s="23"/>
      <c r="G1" s="23"/>
      <c r="H1" s="23"/>
      <c r="I1" s="24"/>
    </row>
    <row r="2" spans="1:9" ht="15">
      <c r="A2" s="25"/>
      <c r="B2" s="26"/>
      <c r="C2" s="26"/>
      <c r="D2" s="26"/>
      <c r="E2" s="26"/>
      <c r="F2" s="26"/>
      <c r="G2" s="26"/>
      <c r="H2" s="26"/>
      <c r="I2" s="27"/>
    </row>
    <row r="3" spans="1:9" ht="15">
      <c r="A3" s="25"/>
      <c r="B3" s="26"/>
      <c r="C3" s="26"/>
      <c r="D3" s="26"/>
      <c r="E3" s="26"/>
      <c r="F3" s="26"/>
      <c r="G3" s="26"/>
      <c r="H3" s="26"/>
      <c r="I3" s="27"/>
    </row>
    <row r="4" spans="1:9" ht="15">
      <c r="A4" s="25"/>
      <c r="B4" s="26"/>
      <c r="C4" s="26"/>
      <c r="D4" s="26"/>
      <c r="E4" s="26"/>
      <c r="F4" s="26"/>
      <c r="G4" s="26"/>
      <c r="H4" s="26"/>
      <c r="I4" s="27"/>
    </row>
    <row r="5" spans="1:9" ht="15">
      <c r="A5" s="25"/>
      <c r="B5" s="26"/>
      <c r="C5" s="26"/>
      <c r="D5" s="26"/>
      <c r="E5" s="26"/>
      <c r="F5" s="26"/>
      <c r="G5" s="26"/>
      <c r="H5" s="26"/>
      <c r="I5" s="27"/>
    </row>
    <row r="6" spans="1:9" ht="15">
      <c r="A6" s="25"/>
      <c r="B6" s="26"/>
      <c r="C6" s="26"/>
      <c r="D6" s="26"/>
      <c r="E6" s="26"/>
      <c r="F6" s="26"/>
      <c r="G6" s="26"/>
      <c r="H6" s="26"/>
      <c r="I6" s="27"/>
    </row>
    <row r="7" spans="1:9" ht="15">
      <c r="A7" s="25"/>
      <c r="B7" s="26"/>
      <c r="C7" s="26"/>
      <c r="D7" s="26"/>
      <c r="E7" s="26"/>
      <c r="F7" s="26"/>
      <c r="G7" s="26"/>
      <c r="H7" s="26"/>
      <c r="I7" s="27"/>
    </row>
    <row r="8" spans="1:9" ht="15">
      <c r="A8" s="25"/>
      <c r="B8" s="26"/>
      <c r="C8" s="26"/>
      <c r="D8" s="26"/>
      <c r="E8" s="26"/>
      <c r="F8" s="26"/>
      <c r="G8" s="26"/>
      <c r="H8" s="26"/>
      <c r="I8" s="27"/>
    </row>
    <row r="9" spans="1:9" ht="15">
      <c r="A9" s="25"/>
      <c r="B9" s="26"/>
      <c r="C9" s="26"/>
      <c r="D9" s="26"/>
      <c r="E9" s="26"/>
      <c r="F9" s="26"/>
      <c r="G9" s="26"/>
      <c r="H9" s="26"/>
      <c r="I9" s="27"/>
    </row>
    <row r="10" spans="1:9" ht="15">
      <c r="A10" s="25"/>
      <c r="B10" s="26"/>
      <c r="C10" s="26"/>
      <c r="D10" s="26"/>
      <c r="E10" s="26"/>
      <c r="F10" s="26"/>
      <c r="G10" s="26"/>
      <c r="H10" s="26"/>
      <c r="I10" s="27"/>
    </row>
    <row r="11" spans="1:9" ht="15">
      <c r="A11" s="25"/>
      <c r="B11" s="26"/>
      <c r="C11" s="26"/>
      <c r="D11" s="26"/>
      <c r="E11" s="26"/>
      <c r="F11" s="26"/>
      <c r="G11" s="26"/>
      <c r="H11" s="26"/>
      <c r="I11" s="27"/>
    </row>
    <row r="12" spans="1:9" ht="20.25">
      <c r="A12" s="3632" t="s">
        <v>1574</v>
      </c>
      <c r="B12" s="3633"/>
      <c r="C12" s="3633"/>
      <c r="D12" s="3633"/>
      <c r="E12" s="3633"/>
      <c r="F12" s="3633"/>
      <c r="G12" s="3633"/>
      <c r="H12" s="3633"/>
      <c r="I12" s="3634"/>
    </row>
    <row r="13" spans="1:9" ht="20.25">
      <c r="A13" s="28"/>
      <c r="B13" s="29"/>
      <c r="C13" s="29"/>
      <c r="D13" s="29"/>
      <c r="E13" s="29"/>
      <c r="F13" s="29"/>
      <c r="G13" s="29"/>
      <c r="H13" s="29"/>
      <c r="I13" s="30"/>
    </row>
    <row r="14" spans="1:9" ht="20.25">
      <c r="A14" s="3632" t="s">
        <v>1575</v>
      </c>
      <c r="B14" s="3633"/>
      <c r="C14" s="3633"/>
      <c r="D14" s="3633"/>
      <c r="E14" s="3633"/>
      <c r="F14" s="3633"/>
      <c r="G14" s="3633"/>
      <c r="H14" s="3633"/>
      <c r="I14" s="3634"/>
    </row>
    <row r="15" spans="1:9" ht="15.75">
      <c r="A15" s="31"/>
      <c r="B15" s="32"/>
      <c r="C15" s="32"/>
      <c r="D15" s="32"/>
      <c r="E15" s="32"/>
      <c r="F15" s="32"/>
      <c r="G15" s="32"/>
      <c r="H15" s="32"/>
      <c r="I15" s="33"/>
    </row>
    <row r="16" spans="1:9" ht="20.25">
      <c r="A16" s="3632" t="s">
        <v>1576</v>
      </c>
      <c r="B16" s="3633"/>
      <c r="C16" s="3633"/>
      <c r="D16" s="3633"/>
      <c r="E16" s="3633"/>
      <c r="F16" s="3633"/>
      <c r="G16" s="3633"/>
      <c r="H16" s="3633"/>
      <c r="I16" s="3634"/>
    </row>
    <row r="17" spans="1:9" ht="15.75">
      <c r="A17" s="490"/>
      <c r="B17" s="32"/>
      <c r="C17" s="32"/>
      <c r="D17" s="32"/>
      <c r="E17" s="32"/>
      <c r="F17" s="32"/>
      <c r="G17" s="32"/>
      <c r="H17" s="32"/>
      <c r="I17" s="33"/>
    </row>
    <row r="18" spans="1:9" ht="20.25">
      <c r="A18" s="3635" t="s">
        <v>1577</v>
      </c>
      <c r="B18" s="3633"/>
      <c r="C18" s="3633"/>
      <c r="D18" s="3633"/>
      <c r="E18" s="3633"/>
      <c r="F18" s="3633"/>
      <c r="G18" s="3633"/>
      <c r="H18" s="3633"/>
      <c r="I18" s="3634"/>
    </row>
    <row r="19" spans="1:9" ht="17.25" customHeight="1">
      <c r="A19" s="491"/>
      <c r="B19" s="34"/>
      <c r="C19" s="34"/>
      <c r="D19" s="34"/>
      <c r="E19" s="34"/>
      <c r="F19" s="34"/>
      <c r="G19" s="34"/>
      <c r="H19" s="34"/>
      <c r="I19" s="35"/>
    </row>
    <row r="20" spans="1:9" ht="17.25" customHeight="1">
      <c r="A20" s="491"/>
      <c r="B20" s="34"/>
      <c r="C20" s="34"/>
      <c r="D20" s="34"/>
      <c r="E20" s="36"/>
      <c r="F20" s="34"/>
      <c r="G20" s="34"/>
      <c r="H20" s="34"/>
      <c r="I20" s="35"/>
    </row>
    <row r="21" spans="1:9" ht="15">
      <c r="A21" s="489"/>
      <c r="B21" s="26"/>
      <c r="C21" s="26"/>
      <c r="D21" s="26"/>
      <c r="E21" s="26"/>
      <c r="F21" s="26"/>
      <c r="G21" s="26"/>
      <c r="H21" s="26"/>
      <c r="I21" s="27"/>
    </row>
    <row r="22" spans="1:9" ht="15">
      <c r="A22" s="489"/>
      <c r="B22" s="26"/>
      <c r="C22" s="26"/>
      <c r="D22" s="26"/>
      <c r="E22" s="26"/>
      <c r="F22" s="26"/>
      <c r="G22" s="26"/>
      <c r="H22" s="26"/>
      <c r="I22" s="27"/>
    </row>
    <row r="23" spans="1:9" ht="16.5" customHeight="1">
      <c r="A23" s="3636" t="s">
        <v>1578</v>
      </c>
      <c r="B23" s="3637"/>
      <c r="C23" s="3637"/>
      <c r="D23" s="3637"/>
      <c r="E23" s="3638" t="str">
        <f>'Lead &amp; ANALYSIS'!D2</f>
        <v>Dining Hall of Damasal School</v>
      </c>
      <c r="F23" s="3638"/>
      <c r="G23" s="3638"/>
      <c r="H23" s="3638"/>
      <c r="I23" s="3639"/>
    </row>
    <row r="24" spans="1:9">
      <c r="A24" s="214"/>
      <c r="B24" s="3"/>
      <c r="C24" s="3"/>
      <c r="D24" s="3"/>
      <c r="E24" s="3638"/>
      <c r="F24" s="3638"/>
      <c r="G24" s="3638"/>
      <c r="H24" s="3638"/>
      <c r="I24" s="3639"/>
    </row>
    <row r="25" spans="1:9">
      <c r="A25" s="214"/>
      <c r="B25" s="3"/>
      <c r="C25" s="3"/>
      <c r="D25" s="3"/>
      <c r="E25" s="3638"/>
      <c r="F25" s="3638"/>
      <c r="G25" s="3638"/>
      <c r="H25" s="3638"/>
      <c r="I25" s="3639"/>
    </row>
    <row r="26" spans="1:9" ht="19.5">
      <c r="A26" s="214"/>
      <c r="B26" s="3"/>
      <c r="C26" s="3"/>
      <c r="D26" s="3"/>
      <c r="E26" s="492"/>
      <c r="F26" s="492"/>
      <c r="G26" s="492"/>
      <c r="H26" s="492"/>
      <c r="I26" s="493"/>
    </row>
    <row r="27" spans="1:9" ht="19.5">
      <c r="A27" s="3636" t="s">
        <v>1579</v>
      </c>
      <c r="B27" s="3637"/>
      <c r="C27" s="3637"/>
      <c r="D27" s="3637"/>
      <c r="E27" s="3642" t="str">
        <f>'GENERAL ABSTRACT NREGA'!D5</f>
        <v>Odisha</v>
      </c>
      <c r="F27" s="3642"/>
      <c r="G27" s="492"/>
      <c r="H27" s="492"/>
      <c r="I27" s="493"/>
    </row>
    <row r="28" spans="1:9" ht="19.5">
      <c r="A28" s="214"/>
      <c r="B28" s="3"/>
      <c r="C28" s="3"/>
      <c r="D28" s="3"/>
      <c r="E28" s="492"/>
      <c r="F28" s="492"/>
      <c r="G28" s="492"/>
      <c r="H28" s="492"/>
      <c r="I28" s="493"/>
    </row>
    <row r="29" spans="1:9" ht="19.5">
      <c r="A29" s="214"/>
      <c r="B29" s="3"/>
      <c r="C29" s="3"/>
      <c r="D29" s="3"/>
      <c r="E29" s="492"/>
      <c r="F29" s="492"/>
      <c r="G29" s="492"/>
      <c r="H29" s="492"/>
      <c r="I29" s="493"/>
    </row>
    <row r="30" spans="1:9" ht="19.5">
      <c r="A30" s="3636" t="s">
        <v>1580</v>
      </c>
      <c r="B30" s="3637"/>
      <c r="C30" s="3637"/>
      <c r="D30" s="3637"/>
      <c r="E30" s="492">
        <f>'GENERAL ABSTRACT NREGA'!D6</f>
        <v>0</v>
      </c>
      <c r="F30" s="492"/>
      <c r="G30" s="492"/>
      <c r="H30" s="492"/>
      <c r="I30" s="493"/>
    </row>
    <row r="31" spans="1:9" ht="19.5">
      <c r="A31" s="214"/>
      <c r="B31" s="3"/>
      <c r="C31" s="3"/>
      <c r="D31" s="3"/>
      <c r="E31" s="492"/>
      <c r="F31" s="492"/>
      <c r="G31" s="492"/>
      <c r="H31" s="492"/>
      <c r="I31" s="493"/>
    </row>
    <row r="32" spans="1:9" ht="19.5">
      <c r="A32" s="214"/>
      <c r="B32" s="3"/>
      <c r="C32" s="3"/>
      <c r="D32" s="3"/>
      <c r="E32" s="492"/>
      <c r="F32" s="492"/>
      <c r="G32" s="492"/>
      <c r="H32" s="492"/>
      <c r="I32" s="493"/>
    </row>
    <row r="33" spans="1:9" ht="19.5">
      <c r="A33" s="214"/>
      <c r="B33" s="3637" t="s">
        <v>1581</v>
      </c>
      <c r="C33" s="3637"/>
      <c r="D33" s="3637"/>
      <c r="E33" s="3643">
        <f>'GENERAL ABSTRACT NREGA'!I31</f>
        <v>500000</v>
      </c>
      <c r="F33" s="3643"/>
      <c r="G33" s="492"/>
      <c r="H33" s="492"/>
      <c r="I33" s="493"/>
    </row>
    <row r="34" spans="1:9" ht="19.5">
      <c r="A34" s="214"/>
      <c r="B34" s="3"/>
      <c r="C34" s="3"/>
      <c r="D34" s="3"/>
      <c r="E34" s="492"/>
      <c r="F34" s="492"/>
      <c r="G34" s="492"/>
      <c r="H34" s="492"/>
      <c r="I34" s="493"/>
    </row>
    <row r="35" spans="1:9" ht="19.5">
      <c r="A35" s="214"/>
      <c r="B35" s="3"/>
      <c r="C35" s="3"/>
      <c r="D35" s="3"/>
      <c r="E35" s="3642"/>
      <c r="F35" s="3642"/>
      <c r="G35" s="492"/>
      <c r="H35" s="492"/>
      <c r="I35" s="493"/>
    </row>
    <row r="36" spans="1:9" ht="19.5" customHeight="1">
      <c r="A36" s="214"/>
      <c r="B36" s="3"/>
      <c r="C36" s="3640" t="s">
        <v>1582</v>
      </c>
      <c r="D36" s="3640"/>
      <c r="E36" s="3641" t="str">
        <f>'GENERAL ABSTRACT NREGA'!J36</f>
        <v>Rupees Five Lakh  Only</v>
      </c>
      <c r="F36" s="3641"/>
      <c r="G36" s="3641"/>
      <c r="H36" s="3641"/>
      <c r="I36" s="493"/>
    </row>
    <row r="37" spans="1:9" ht="18">
      <c r="A37" s="214"/>
      <c r="B37" s="3"/>
      <c r="C37" s="3"/>
      <c r="D37" s="3"/>
      <c r="E37" s="3641"/>
      <c r="F37" s="3641"/>
      <c r="G37" s="3641"/>
      <c r="H37" s="3641"/>
      <c r="I37" s="493"/>
    </row>
    <row r="38" spans="1:9">
      <c r="A38" s="214"/>
      <c r="B38" s="3"/>
      <c r="C38" s="3"/>
      <c r="D38" s="3"/>
      <c r="E38" s="3"/>
      <c r="F38" s="3"/>
      <c r="G38" s="3"/>
      <c r="H38" s="3"/>
      <c r="I38" s="3"/>
    </row>
    <row r="39" spans="1:9">
      <c r="A39" s="214"/>
      <c r="B39" s="3"/>
      <c r="C39" s="3"/>
      <c r="D39" s="3"/>
      <c r="E39" s="3"/>
      <c r="F39" s="3"/>
      <c r="G39" s="3"/>
      <c r="H39" s="3"/>
      <c r="I39" s="3"/>
    </row>
    <row r="40" spans="1:9">
      <c r="A40" s="214"/>
      <c r="B40" s="3"/>
      <c r="C40" s="3"/>
      <c r="D40" s="3"/>
      <c r="E40" s="3"/>
      <c r="F40" s="3"/>
      <c r="G40" s="3"/>
      <c r="H40" s="3"/>
      <c r="I40" s="3"/>
    </row>
    <row r="41" spans="1:9" ht="20.25">
      <c r="A41" s="3635" t="s">
        <v>1583</v>
      </c>
      <c r="B41" s="3633"/>
      <c r="C41" s="3633"/>
      <c r="D41" s="3633"/>
      <c r="E41" s="3633"/>
      <c r="F41" s="3633"/>
      <c r="G41" s="3633"/>
      <c r="H41" s="3633"/>
      <c r="I41" s="3634"/>
    </row>
    <row r="42" spans="1:9" ht="20.25">
      <c r="A42" s="28"/>
      <c r="B42" s="29"/>
      <c r="C42" s="29"/>
      <c r="D42" s="29"/>
      <c r="E42" s="29"/>
      <c r="F42" s="29"/>
      <c r="G42" s="29"/>
      <c r="H42" s="29"/>
      <c r="I42" s="30"/>
    </row>
    <row r="43" spans="1:9" ht="20.25">
      <c r="A43" s="28"/>
      <c r="B43" s="29"/>
      <c r="C43" s="29"/>
      <c r="D43" s="29"/>
      <c r="E43" s="29"/>
      <c r="F43" s="29"/>
      <c r="G43" s="29"/>
      <c r="H43" s="29"/>
      <c r="I43" s="30"/>
    </row>
    <row r="44" spans="1:9" ht="13.5" thickBot="1">
      <c r="A44" s="38"/>
      <c r="B44" s="39"/>
      <c r="C44" s="39"/>
      <c r="D44" s="39"/>
      <c r="E44" s="39"/>
      <c r="F44" s="39"/>
      <c r="G44" s="39"/>
      <c r="H44" s="39"/>
      <c r="I44" s="40"/>
    </row>
  </sheetData>
  <sheetProtection selectLockedCells="1" selectUnlockedCells="1"/>
  <mergeCells count="15">
    <mergeCell ref="C36:D36"/>
    <mergeCell ref="E36:H37"/>
    <mergeCell ref="A41:I41"/>
    <mergeCell ref="A27:D27"/>
    <mergeCell ref="E27:F27"/>
    <mergeCell ref="A30:D30"/>
    <mergeCell ref="B33:D33"/>
    <mergeCell ref="E33:F33"/>
    <mergeCell ref="E35:F35"/>
    <mergeCell ref="A12:I12"/>
    <mergeCell ref="A14:I14"/>
    <mergeCell ref="A16:I16"/>
    <mergeCell ref="A18:I18"/>
    <mergeCell ref="A23:D23"/>
    <mergeCell ref="E23:I25"/>
  </mergeCells>
  <pageMargins left="0.49" right="0.23622047244094491" top="0.6692913385826772" bottom="0.55118110236220474" header="0.39370078740157483" footer="0.31496062992125984"/>
  <pageSetup paperSize="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sheetPr>
    <tabColor rgb="FF00B050"/>
  </sheetPr>
  <dimension ref="A1:M52"/>
  <sheetViews>
    <sheetView view="pageBreakPreview" zoomScaleSheetLayoutView="100" workbookViewId="0">
      <selection activeCell="N26" sqref="N26"/>
    </sheetView>
  </sheetViews>
  <sheetFormatPr defaultColWidth="9.140625" defaultRowHeight="12.75"/>
  <cols>
    <col min="1" max="1" width="8.85546875" style="699" customWidth="1"/>
    <col min="2" max="2" width="43.42578125" style="699" customWidth="1"/>
    <col min="3" max="3" width="9.5703125" style="699" bestFit="1" customWidth="1"/>
    <col min="4" max="4" width="4.7109375" style="699" customWidth="1"/>
    <col min="5" max="5" width="9.7109375" style="699" bestFit="1" customWidth="1"/>
    <col min="6" max="6" width="12.140625" style="699" customWidth="1"/>
    <col min="7" max="7" width="9.42578125" style="699" bestFit="1" customWidth="1"/>
    <col min="8" max="8" width="9.7109375" style="699" bestFit="1" customWidth="1"/>
    <col min="9" max="9" width="12.5703125" style="699" customWidth="1"/>
    <col min="10" max="10" width="9.42578125" style="699" bestFit="1" customWidth="1"/>
    <col min="11" max="11" width="9.7109375" style="699" bestFit="1" customWidth="1"/>
    <col min="12" max="12" width="12.28515625" style="699" bestFit="1" customWidth="1"/>
    <col min="13" max="13" width="13" style="699" customWidth="1"/>
    <col min="14" max="256" width="9.140625" style="699"/>
    <col min="257" max="257" width="8.85546875" style="699" customWidth="1"/>
    <col min="258" max="258" width="43.42578125" style="699" customWidth="1"/>
    <col min="259" max="259" width="9.42578125" style="699" bestFit="1" customWidth="1"/>
    <col min="260" max="260" width="4.7109375" style="699" customWidth="1"/>
    <col min="261" max="261" width="9.5703125" style="699" bestFit="1" customWidth="1"/>
    <col min="262" max="262" width="12.140625" style="699" customWidth="1"/>
    <col min="263" max="263" width="9.42578125" style="699" bestFit="1" customWidth="1"/>
    <col min="264" max="264" width="9.5703125" style="699" bestFit="1" customWidth="1"/>
    <col min="265" max="265" width="12.5703125" style="699" customWidth="1"/>
    <col min="266" max="266" width="9.42578125" style="699" bestFit="1" customWidth="1"/>
    <col min="267" max="267" width="9.5703125" style="699" bestFit="1" customWidth="1"/>
    <col min="268" max="268" width="11.5703125" style="699" bestFit="1" customWidth="1"/>
    <col min="269" max="269" width="13" style="699" customWidth="1"/>
    <col min="270" max="512" width="9.140625" style="699"/>
    <col min="513" max="513" width="8.85546875" style="699" customWidth="1"/>
    <col min="514" max="514" width="43.42578125" style="699" customWidth="1"/>
    <col min="515" max="515" width="9.42578125" style="699" bestFit="1" customWidth="1"/>
    <col min="516" max="516" width="4.7109375" style="699" customWidth="1"/>
    <col min="517" max="517" width="9.5703125" style="699" bestFit="1" customWidth="1"/>
    <col min="518" max="518" width="12.140625" style="699" customWidth="1"/>
    <col min="519" max="519" width="9.42578125" style="699" bestFit="1" customWidth="1"/>
    <col min="520" max="520" width="9.5703125" style="699" bestFit="1" customWidth="1"/>
    <col min="521" max="521" width="12.5703125" style="699" customWidth="1"/>
    <col min="522" max="522" width="9.42578125" style="699" bestFit="1" customWidth="1"/>
    <col min="523" max="523" width="9.5703125" style="699" bestFit="1" customWidth="1"/>
    <col min="524" max="524" width="11.5703125" style="699" bestFit="1" customWidth="1"/>
    <col min="525" max="525" width="13" style="699" customWidth="1"/>
    <col min="526" max="768" width="9.140625" style="699"/>
    <col min="769" max="769" width="8.85546875" style="699" customWidth="1"/>
    <col min="770" max="770" width="43.42578125" style="699" customWidth="1"/>
    <col min="771" max="771" width="9.42578125" style="699" bestFit="1" customWidth="1"/>
    <col min="772" max="772" width="4.7109375" style="699" customWidth="1"/>
    <col min="773" max="773" width="9.5703125" style="699" bestFit="1" customWidth="1"/>
    <col min="774" max="774" width="12.140625" style="699" customWidth="1"/>
    <col min="775" max="775" width="9.42578125" style="699" bestFit="1" customWidth="1"/>
    <col min="776" max="776" width="9.5703125" style="699" bestFit="1" customWidth="1"/>
    <col min="777" max="777" width="12.5703125" style="699" customWidth="1"/>
    <col min="778" max="778" width="9.42578125" style="699" bestFit="1" customWidth="1"/>
    <col min="779" max="779" width="9.5703125" style="699" bestFit="1" customWidth="1"/>
    <col min="780" max="780" width="11.5703125" style="699" bestFit="1" customWidth="1"/>
    <col min="781" max="781" width="13" style="699" customWidth="1"/>
    <col min="782" max="1024" width="9.140625" style="699"/>
    <col min="1025" max="1025" width="8.85546875" style="699" customWidth="1"/>
    <col min="1026" max="1026" width="43.42578125" style="699" customWidth="1"/>
    <col min="1027" max="1027" width="9.42578125" style="699" bestFit="1" customWidth="1"/>
    <col min="1028" max="1028" width="4.7109375" style="699" customWidth="1"/>
    <col min="1029" max="1029" width="9.5703125" style="699" bestFit="1" customWidth="1"/>
    <col min="1030" max="1030" width="12.140625" style="699" customWidth="1"/>
    <col min="1031" max="1031" width="9.42578125" style="699" bestFit="1" customWidth="1"/>
    <col min="1032" max="1032" width="9.5703125" style="699" bestFit="1" customWidth="1"/>
    <col min="1033" max="1033" width="12.5703125" style="699" customWidth="1"/>
    <col min="1034" max="1034" width="9.42578125" style="699" bestFit="1" customWidth="1"/>
    <col min="1035" max="1035" width="9.5703125" style="699" bestFit="1" customWidth="1"/>
    <col min="1036" max="1036" width="11.5703125" style="699" bestFit="1" customWidth="1"/>
    <col min="1037" max="1037" width="13" style="699" customWidth="1"/>
    <col min="1038" max="1280" width="9.140625" style="699"/>
    <col min="1281" max="1281" width="8.85546875" style="699" customWidth="1"/>
    <col min="1282" max="1282" width="43.42578125" style="699" customWidth="1"/>
    <col min="1283" max="1283" width="9.42578125" style="699" bestFit="1" customWidth="1"/>
    <col min="1284" max="1284" width="4.7109375" style="699" customWidth="1"/>
    <col min="1285" max="1285" width="9.5703125" style="699" bestFit="1" customWidth="1"/>
    <col min="1286" max="1286" width="12.140625" style="699" customWidth="1"/>
    <col min="1287" max="1287" width="9.42578125" style="699" bestFit="1" customWidth="1"/>
    <col min="1288" max="1288" width="9.5703125" style="699" bestFit="1" customWidth="1"/>
    <col min="1289" max="1289" width="12.5703125" style="699" customWidth="1"/>
    <col min="1290" max="1290" width="9.42578125" style="699" bestFit="1" customWidth="1"/>
    <col min="1291" max="1291" width="9.5703125" style="699" bestFit="1" customWidth="1"/>
    <col min="1292" max="1292" width="11.5703125" style="699" bestFit="1" customWidth="1"/>
    <col min="1293" max="1293" width="13" style="699" customWidth="1"/>
    <col min="1294" max="1536" width="9.140625" style="699"/>
    <col min="1537" max="1537" width="8.85546875" style="699" customWidth="1"/>
    <col min="1538" max="1538" width="43.42578125" style="699" customWidth="1"/>
    <col min="1539" max="1539" width="9.42578125" style="699" bestFit="1" customWidth="1"/>
    <col min="1540" max="1540" width="4.7109375" style="699" customWidth="1"/>
    <col min="1541" max="1541" width="9.5703125" style="699" bestFit="1" customWidth="1"/>
    <col min="1542" max="1542" width="12.140625" style="699" customWidth="1"/>
    <col min="1543" max="1543" width="9.42578125" style="699" bestFit="1" customWidth="1"/>
    <col min="1544" max="1544" width="9.5703125" style="699" bestFit="1" customWidth="1"/>
    <col min="1545" max="1545" width="12.5703125" style="699" customWidth="1"/>
    <col min="1546" max="1546" width="9.42578125" style="699" bestFit="1" customWidth="1"/>
    <col min="1547" max="1547" width="9.5703125" style="699" bestFit="1" customWidth="1"/>
    <col min="1548" max="1548" width="11.5703125" style="699" bestFit="1" customWidth="1"/>
    <col min="1549" max="1549" width="13" style="699" customWidth="1"/>
    <col min="1550" max="1792" width="9.140625" style="699"/>
    <col min="1793" max="1793" width="8.85546875" style="699" customWidth="1"/>
    <col min="1794" max="1794" width="43.42578125" style="699" customWidth="1"/>
    <col min="1795" max="1795" width="9.42578125" style="699" bestFit="1" customWidth="1"/>
    <col min="1796" max="1796" width="4.7109375" style="699" customWidth="1"/>
    <col min="1797" max="1797" width="9.5703125" style="699" bestFit="1" customWidth="1"/>
    <col min="1798" max="1798" width="12.140625" style="699" customWidth="1"/>
    <col min="1799" max="1799" width="9.42578125" style="699" bestFit="1" customWidth="1"/>
    <col min="1800" max="1800" width="9.5703125" style="699" bestFit="1" customWidth="1"/>
    <col min="1801" max="1801" width="12.5703125" style="699" customWidth="1"/>
    <col min="1802" max="1802" width="9.42578125" style="699" bestFit="1" customWidth="1"/>
    <col min="1803" max="1803" width="9.5703125" style="699" bestFit="1" customWidth="1"/>
    <col min="1804" max="1804" width="11.5703125" style="699" bestFit="1" customWidth="1"/>
    <col min="1805" max="1805" width="13" style="699" customWidth="1"/>
    <col min="1806" max="2048" width="9.140625" style="699"/>
    <col min="2049" max="2049" width="8.85546875" style="699" customWidth="1"/>
    <col min="2050" max="2050" width="43.42578125" style="699" customWidth="1"/>
    <col min="2051" max="2051" width="9.42578125" style="699" bestFit="1" customWidth="1"/>
    <col min="2052" max="2052" width="4.7109375" style="699" customWidth="1"/>
    <col min="2053" max="2053" width="9.5703125" style="699" bestFit="1" customWidth="1"/>
    <col min="2054" max="2054" width="12.140625" style="699" customWidth="1"/>
    <col min="2055" max="2055" width="9.42578125" style="699" bestFit="1" customWidth="1"/>
    <col min="2056" max="2056" width="9.5703125" style="699" bestFit="1" customWidth="1"/>
    <col min="2057" max="2057" width="12.5703125" style="699" customWidth="1"/>
    <col min="2058" max="2058" width="9.42578125" style="699" bestFit="1" customWidth="1"/>
    <col min="2059" max="2059" width="9.5703125" style="699" bestFit="1" customWidth="1"/>
    <col min="2060" max="2060" width="11.5703125" style="699" bestFit="1" customWidth="1"/>
    <col min="2061" max="2061" width="13" style="699" customWidth="1"/>
    <col min="2062" max="2304" width="9.140625" style="699"/>
    <col min="2305" max="2305" width="8.85546875" style="699" customWidth="1"/>
    <col min="2306" max="2306" width="43.42578125" style="699" customWidth="1"/>
    <col min="2307" max="2307" width="9.42578125" style="699" bestFit="1" customWidth="1"/>
    <col min="2308" max="2308" width="4.7109375" style="699" customWidth="1"/>
    <col min="2309" max="2309" width="9.5703125" style="699" bestFit="1" customWidth="1"/>
    <col min="2310" max="2310" width="12.140625" style="699" customWidth="1"/>
    <col min="2311" max="2311" width="9.42578125" style="699" bestFit="1" customWidth="1"/>
    <col min="2312" max="2312" width="9.5703125" style="699" bestFit="1" customWidth="1"/>
    <col min="2313" max="2313" width="12.5703125" style="699" customWidth="1"/>
    <col min="2314" max="2314" width="9.42578125" style="699" bestFit="1" customWidth="1"/>
    <col min="2315" max="2315" width="9.5703125" style="699" bestFit="1" customWidth="1"/>
    <col min="2316" max="2316" width="11.5703125" style="699" bestFit="1" customWidth="1"/>
    <col min="2317" max="2317" width="13" style="699" customWidth="1"/>
    <col min="2318" max="2560" width="9.140625" style="699"/>
    <col min="2561" max="2561" width="8.85546875" style="699" customWidth="1"/>
    <col min="2562" max="2562" width="43.42578125" style="699" customWidth="1"/>
    <col min="2563" max="2563" width="9.42578125" style="699" bestFit="1" customWidth="1"/>
    <col min="2564" max="2564" width="4.7109375" style="699" customWidth="1"/>
    <col min="2565" max="2565" width="9.5703125" style="699" bestFit="1" customWidth="1"/>
    <col min="2566" max="2566" width="12.140625" style="699" customWidth="1"/>
    <col min="2567" max="2567" width="9.42578125" style="699" bestFit="1" customWidth="1"/>
    <col min="2568" max="2568" width="9.5703125" style="699" bestFit="1" customWidth="1"/>
    <col min="2569" max="2569" width="12.5703125" style="699" customWidth="1"/>
    <col min="2570" max="2570" width="9.42578125" style="699" bestFit="1" customWidth="1"/>
    <col min="2571" max="2571" width="9.5703125" style="699" bestFit="1" customWidth="1"/>
    <col min="2572" max="2572" width="11.5703125" style="699" bestFit="1" customWidth="1"/>
    <col min="2573" max="2573" width="13" style="699" customWidth="1"/>
    <col min="2574" max="2816" width="9.140625" style="699"/>
    <col min="2817" max="2817" width="8.85546875" style="699" customWidth="1"/>
    <col min="2818" max="2818" width="43.42578125" style="699" customWidth="1"/>
    <col min="2819" max="2819" width="9.42578125" style="699" bestFit="1" customWidth="1"/>
    <col min="2820" max="2820" width="4.7109375" style="699" customWidth="1"/>
    <col min="2821" max="2821" width="9.5703125" style="699" bestFit="1" customWidth="1"/>
    <col min="2822" max="2822" width="12.140625" style="699" customWidth="1"/>
    <col min="2823" max="2823" width="9.42578125" style="699" bestFit="1" customWidth="1"/>
    <col min="2824" max="2824" width="9.5703125" style="699" bestFit="1" customWidth="1"/>
    <col min="2825" max="2825" width="12.5703125" style="699" customWidth="1"/>
    <col min="2826" max="2826" width="9.42578125" style="699" bestFit="1" customWidth="1"/>
    <col min="2827" max="2827" width="9.5703125" style="699" bestFit="1" customWidth="1"/>
    <col min="2828" max="2828" width="11.5703125" style="699" bestFit="1" customWidth="1"/>
    <col min="2829" max="2829" width="13" style="699" customWidth="1"/>
    <col min="2830" max="3072" width="9.140625" style="699"/>
    <col min="3073" max="3073" width="8.85546875" style="699" customWidth="1"/>
    <col min="3074" max="3074" width="43.42578125" style="699" customWidth="1"/>
    <col min="3075" max="3075" width="9.42578125" style="699" bestFit="1" customWidth="1"/>
    <col min="3076" max="3076" width="4.7109375" style="699" customWidth="1"/>
    <col min="3077" max="3077" width="9.5703125" style="699" bestFit="1" customWidth="1"/>
    <col min="3078" max="3078" width="12.140625" style="699" customWidth="1"/>
    <col min="3079" max="3079" width="9.42578125" style="699" bestFit="1" customWidth="1"/>
    <col min="3080" max="3080" width="9.5703125" style="699" bestFit="1" customWidth="1"/>
    <col min="3081" max="3081" width="12.5703125" style="699" customWidth="1"/>
    <col min="3082" max="3082" width="9.42578125" style="699" bestFit="1" customWidth="1"/>
    <col min="3083" max="3083" width="9.5703125" style="699" bestFit="1" customWidth="1"/>
    <col min="3084" max="3084" width="11.5703125" style="699" bestFit="1" customWidth="1"/>
    <col min="3085" max="3085" width="13" style="699" customWidth="1"/>
    <col min="3086" max="3328" width="9.140625" style="699"/>
    <col min="3329" max="3329" width="8.85546875" style="699" customWidth="1"/>
    <col min="3330" max="3330" width="43.42578125" style="699" customWidth="1"/>
    <col min="3331" max="3331" width="9.42578125" style="699" bestFit="1" customWidth="1"/>
    <col min="3332" max="3332" width="4.7109375" style="699" customWidth="1"/>
    <col min="3333" max="3333" width="9.5703125" style="699" bestFit="1" customWidth="1"/>
    <col min="3334" max="3334" width="12.140625" style="699" customWidth="1"/>
    <col min="3335" max="3335" width="9.42578125" style="699" bestFit="1" customWidth="1"/>
    <col min="3336" max="3336" width="9.5703125" style="699" bestFit="1" customWidth="1"/>
    <col min="3337" max="3337" width="12.5703125" style="699" customWidth="1"/>
    <col min="3338" max="3338" width="9.42578125" style="699" bestFit="1" customWidth="1"/>
    <col min="3339" max="3339" width="9.5703125" style="699" bestFit="1" customWidth="1"/>
    <col min="3340" max="3340" width="11.5703125" style="699" bestFit="1" customWidth="1"/>
    <col min="3341" max="3341" width="13" style="699" customWidth="1"/>
    <col min="3342" max="3584" width="9.140625" style="699"/>
    <col min="3585" max="3585" width="8.85546875" style="699" customWidth="1"/>
    <col min="3586" max="3586" width="43.42578125" style="699" customWidth="1"/>
    <col min="3587" max="3587" width="9.42578125" style="699" bestFit="1" customWidth="1"/>
    <col min="3588" max="3588" width="4.7109375" style="699" customWidth="1"/>
    <col min="3589" max="3589" width="9.5703125" style="699" bestFit="1" customWidth="1"/>
    <col min="3590" max="3590" width="12.140625" style="699" customWidth="1"/>
    <col min="3591" max="3591" width="9.42578125" style="699" bestFit="1" customWidth="1"/>
    <col min="3592" max="3592" width="9.5703125" style="699" bestFit="1" customWidth="1"/>
    <col min="3593" max="3593" width="12.5703125" style="699" customWidth="1"/>
    <col min="3594" max="3594" width="9.42578125" style="699" bestFit="1" customWidth="1"/>
    <col min="3595" max="3595" width="9.5703125" style="699" bestFit="1" customWidth="1"/>
    <col min="3596" max="3596" width="11.5703125" style="699" bestFit="1" customWidth="1"/>
    <col min="3597" max="3597" width="13" style="699" customWidth="1"/>
    <col min="3598" max="3840" width="9.140625" style="699"/>
    <col min="3841" max="3841" width="8.85546875" style="699" customWidth="1"/>
    <col min="3842" max="3842" width="43.42578125" style="699" customWidth="1"/>
    <col min="3843" max="3843" width="9.42578125" style="699" bestFit="1" customWidth="1"/>
    <col min="3844" max="3844" width="4.7109375" style="699" customWidth="1"/>
    <col min="3845" max="3845" width="9.5703125" style="699" bestFit="1" customWidth="1"/>
    <col min="3846" max="3846" width="12.140625" style="699" customWidth="1"/>
    <col min="3847" max="3847" width="9.42578125" style="699" bestFit="1" customWidth="1"/>
    <col min="3848" max="3848" width="9.5703125" style="699" bestFit="1" customWidth="1"/>
    <col min="3849" max="3849" width="12.5703125" style="699" customWidth="1"/>
    <col min="3850" max="3850" width="9.42578125" style="699" bestFit="1" customWidth="1"/>
    <col min="3851" max="3851" width="9.5703125" style="699" bestFit="1" customWidth="1"/>
    <col min="3852" max="3852" width="11.5703125" style="699" bestFit="1" customWidth="1"/>
    <col min="3853" max="3853" width="13" style="699" customWidth="1"/>
    <col min="3854" max="4096" width="9.140625" style="699"/>
    <col min="4097" max="4097" width="8.85546875" style="699" customWidth="1"/>
    <col min="4098" max="4098" width="43.42578125" style="699" customWidth="1"/>
    <col min="4099" max="4099" width="9.42578125" style="699" bestFit="1" customWidth="1"/>
    <col min="4100" max="4100" width="4.7109375" style="699" customWidth="1"/>
    <col min="4101" max="4101" width="9.5703125" style="699" bestFit="1" customWidth="1"/>
    <col min="4102" max="4102" width="12.140625" style="699" customWidth="1"/>
    <col min="4103" max="4103" width="9.42578125" style="699" bestFit="1" customWidth="1"/>
    <col min="4104" max="4104" width="9.5703125" style="699" bestFit="1" customWidth="1"/>
    <col min="4105" max="4105" width="12.5703125" style="699" customWidth="1"/>
    <col min="4106" max="4106" width="9.42578125" style="699" bestFit="1" customWidth="1"/>
    <col min="4107" max="4107" width="9.5703125" style="699" bestFit="1" customWidth="1"/>
    <col min="4108" max="4108" width="11.5703125" style="699" bestFit="1" customWidth="1"/>
    <col min="4109" max="4109" width="13" style="699" customWidth="1"/>
    <col min="4110" max="4352" width="9.140625" style="699"/>
    <col min="4353" max="4353" width="8.85546875" style="699" customWidth="1"/>
    <col min="4354" max="4354" width="43.42578125" style="699" customWidth="1"/>
    <col min="4355" max="4355" width="9.42578125" style="699" bestFit="1" customWidth="1"/>
    <col min="4356" max="4356" width="4.7109375" style="699" customWidth="1"/>
    <col min="4357" max="4357" width="9.5703125" style="699" bestFit="1" customWidth="1"/>
    <col min="4358" max="4358" width="12.140625" style="699" customWidth="1"/>
    <col min="4359" max="4359" width="9.42578125" style="699" bestFit="1" customWidth="1"/>
    <col min="4360" max="4360" width="9.5703125" style="699" bestFit="1" customWidth="1"/>
    <col min="4361" max="4361" width="12.5703125" style="699" customWidth="1"/>
    <col min="4362" max="4362" width="9.42578125" style="699" bestFit="1" customWidth="1"/>
    <col min="4363" max="4363" width="9.5703125" style="699" bestFit="1" customWidth="1"/>
    <col min="4364" max="4364" width="11.5703125" style="699" bestFit="1" customWidth="1"/>
    <col min="4365" max="4365" width="13" style="699" customWidth="1"/>
    <col min="4366" max="4608" width="9.140625" style="699"/>
    <col min="4609" max="4609" width="8.85546875" style="699" customWidth="1"/>
    <col min="4610" max="4610" width="43.42578125" style="699" customWidth="1"/>
    <col min="4611" max="4611" width="9.42578125" style="699" bestFit="1" customWidth="1"/>
    <col min="4612" max="4612" width="4.7109375" style="699" customWidth="1"/>
    <col min="4613" max="4613" width="9.5703125" style="699" bestFit="1" customWidth="1"/>
    <col min="4614" max="4614" width="12.140625" style="699" customWidth="1"/>
    <col min="4615" max="4615" width="9.42578125" style="699" bestFit="1" customWidth="1"/>
    <col min="4616" max="4616" width="9.5703125" style="699" bestFit="1" customWidth="1"/>
    <col min="4617" max="4617" width="12.5703125" style="699" customWidth="1"/>
    <col min="4618" max="4618" width="9.42578125" style="699" bestFit="1" customWidth="1"/>
    <col min="4619" max="4619" width="9.5703125" style="699" bestFit="1" customWidth="1"/>
    <col min="4620" max="4620" width="11.5703125" style="699" bestFit="1" customWidth="1"/>
    <col min="4621" max="4621" width="13" style="699" customWidth="1"/>
    <col min="4622" max="4864" width="9.140625" style="699"/>
    <col min="4865" max="4865" width="8.85546875" style="699" customWidth="1"/>
    <col min="4866" max="4866" width="43.42578125" style="699" customWidth="1"/>
    <col min="4867" max="4867" width="9.42578125" style="699" bestFit="1" customWidth="1"/>
    <col min="4868" max="4868" width="4.7109375" style="699" customWidth="1"/>
    <col min="4869" max="4869" width="9.5703125" style="699" bestFit="1" customWidth="1"/>
    <col min="4870" max="4870" width="12.140625" style="699" customWidth="1"/>
    <col min="4871" max="4871" width="9.42578125" style="699" bestFit="1" customWidth="1"/>
    <col min="4872" max="4872" width="9.5703125" style="699" bestFit="1" customWidth="1"/>
    <col min="4873" max="4873" width="12.5703125" style="699" customWidth="1"/>
    <col min="4874" max="4874" width="9.42578125" style="699" bestFit="1" customWidth="1"/>
    <col min="4875" max="4875" width="9.5703125" style="699" bestFit="1" customWidth="1"/>
    <col min="4876" max="4876" width="11.5703125" style="699" bestFit="1" customWidth="1"/>
    <col min="4877" max="4877" width="13" style="699" customWidth="1"/>
    <col min="4878" max="5120" width="9.140625" style="699"/>
    <col min="5121" max="5121" width="8.85546875" style="699" customWidth="1"/>
    <col min="5122" max="5122" width="43.42578125" style="699" customWidth="1"/>
    <col min="5123" max="5123" width="9.42578125" style="699" bestFit="1" customWidth="1"/>
    <col min="5124" max="5124" width="4.7109375" style="699" customWidth="1"/>
    <col min="5125" max="5125" width="9.5703125" style="699" bestFit="1" customWidth="1"/>
    <col min="5126" max="5126" width="12.140625" style="699" customWidth="1"/>
    <col min="5127" max="5127" width="9.42578125" style="699" bestFit="1" customWidth="1"/>
    <col min="5128" max="5128" width="9.5703125" style="699" bestFit="1" customWidth="1"/>
    <col min="5129" max="5129" width="12.5703125" style="699" customWidth="1"/>
    <col min="5130" max="5130" width="9.42578125" style="699" bestFit="1" customWidth="1"/>
    <col min="5131" max="5131" width="9.5703125" style="699" bestFit="1" customWidth="1"/>
    <col min="5132" max="5132" width="11.5703125" style="699" bestFit="1" customWidth="1"/>
    <col min="5133" max="5133" width="13" style="699" customWidth="1"/>
    <col min="5134" max="5376" width="9.140625" style="699"/>
    <col min="5377" max="5377" width="8.85546875" style="699" customWidth="1"/>
    <col min="5378" max="5378" width="43.42578125" style="699" customWidth="1"/>
    <col min="5379" max="5379" width="9.42578125" style="699" bestFit="1" customWidth="1"/>
    <col min="5380" max="5380" width="4.7109375" style="699" customWidth="1"/>
    <col min="5381" max="5381" width="9.5703125" style="699" bestFit="1" customWidth="1"/>
    <col min="5382" max="5382" width="12.140625" style="699" customWidth="1"/>
    <col min="5383" max="5383" width="9.42578125" style="699" bestFit="1" customWidth="1"/>
    <col min="5384" max="5384" width="9.5703125" style="699" bestFit="1" customWidth="1"/>
    <col min="5385" max="5385" width="12.5703125" style="699" customWidth="1"/>
    <col min="5386" max="5386" width="9.42578125" style="699" bestFit="1" customWidth="1"/>
    <col min="5387" max="5387" width="9.5703125" style="699" bestFit="1" customWidth="1"/>
    <col min="5388" max="5388" width="11.5703125" style="699" bestFit="1" customWidth="1"/>
    <col min="5389" max="5389" width="13" style="699" customWidth="1"/>
    <col min="5390" max="5632" width="9.140625" style="699"/>
    <col min="5633" max="5633" width="8.85546875" style="699" customWidth="1"/>
    <col min="5634" max="5634" width="43.42578125" style="699" customWidth="1"/>
    <col min="5635" max="5635" width="9.42578125" style="699" bestFit="1" customWidth="1"/>
    <col min="5636" max="5636" width="4.7109375" style="699" customWidth="1"/>
    <col min="5637" max="5637" width="9.5703125" style="699" bestFit="1" customWidth="1"/>
    <col min="5638" max="5638" width="12.140625" style="699" customWidth="1"/>
    <col min="5639" max="5639" width="9.42578125" style="699" bestFit="1" customWidth="1"/>
    <col min="5640" max="5640" width="9.5703125" style="699" bestFit="1" customWidth="1"/>
    <col min="5641" max="5641" width="12.5703125" style="699" customWidth="1"/>
    <col min="5642" max="5642" width="9.42578125" style="699" bestFit="1" customWidth="1"/>
    <col min="5643" max="5643" width="9.5703125" style="699" bestFit="1" customWidth="1"/>
    <col min="5644" max="5644" width="11.5703125" style="699" bestFit="1" customWidth="1"/>
    <col min="5645" max="5645" width="13" style="699" customWidth="1"/>
    <col min="5646" max="5888" width="9.140625" style="699"/>
    <col min="5889" max="5889" width="8.85546875" style="699" customWidth="1"/>
    <col min="5890" max="5890" width="43.42578125" style="699" customWidth="1"/>
    <col min="5891" max="5891" width="9.42578125" style="699" bestFit="1" customWidth="1"/>
    <col min="5892" max="5892" width="4.7109375" style="699" customWidth="1"/>
    <col min="5893" max="5893" width="9.5703125" style="699" bestFit="1" customWidth="1"/>
    <col min="5894" max="5894" width="12.140625" style="699" customWidth="1"/>
    <col min="5895" max="5895" width="9.42578125" style="699" bestFit="1" customWidth="1"/>
    <col min="5896" max="5896" width="9.5703125" style="699" bestFit="1" customWidth="1"/>
    <col min="5897" max="5897" width="12.5703125" style="699" customWidth="1"/>
    <col min="5898" max="5898" width="9.42578125" style="699" bestFit="1" customWidth="1"/>
    <col min="5899" max="5899" width="9.5703125" style="699" bestFit="1" customWidth="1"/>
    <col min="5900" max="5900" width="11.5703125" style="699" bestFit="1" customWidth="1"/>
    <col min="5901" max="5901" width="13" style="699" customWidth="1"/>
    <col min="5902" max="6144" width="9.140625" style="699"/>
    <col min="6145" max="6145" width="8.85546875" style="699" customWidth="1"/>
    <col min="6146" max="6146" width="43.42578125" style="699" customWidth="1"/>
    <col min="6147" max="6147" width="9.42578125" style="699" bestFit="1" customWidth="1"/>
    <col min="6148" max="6148" width="4.7109375" style="699" customWidth="1"/>
    <col min="6149" max="6149" width="9.5703125" style="699" bestFit="1" customWidth="1"/>
    <col min="6150" max="6150" width="12.140625" style="699" customWidth="1"/>
    <col min="6151" max="6151" width="9.42578125" style="699" bestFit="1" customWidth="1"/>
    <col min="6152" max="6152" width="9.5703125" style="699" bestFit="1" customWidth="1"/>
    <col min="6153" max="6153" width="12.5703125" style="699" customWidth="1"/>
    <col min="6154" max="6154" width="9.42578125" style="699" bestFit="1" customWidth="1"/>
    <col min="6155" max="6155" width="9.5703125" style="699" bestFit="1" customWidth="1"/>
    <col min="6156" max="6156" width="11.5703125" style="699" bestFit="1" customWidth="1"/>
    <col min="6157" max="6157" width="13" style="699" customWidth="1"/>
    <col min="6158" max="6400" width="9.140625" style="699"/>
    <col min="6401" max="6401" width="8.85546875" style="699" customWidth="1"/>
    <col min="6402" max="6402" width="43.42578125" style="699" customWidth="1"/>
    <col min="6403" max="6403" width="9.42578125" style="699" bestFit="1" customWidth="1"/>
    <col min="6404" max="6404" width="4.7109375" style="699" customWidth="1"/>
    <col min="6405" max="6405" width="9.5703125" style="699" bestFit="1" customWidth="1"/>
    <col min="6406" max="6406" width="12.140625" style="699" customWidth="1"/>
    <col min="6407" max="6407" width="9.42578125" style="699" bestFit="1" customWidth="1"/>
    <col min="6408" max="6408" width="9.5703125" style="699" bestFit="1" customWidth="1"/>
    <col min="6409" max="6409" width="12.5703125" style="699" customWidth="1"/>
    <col min="6410" max="6410" width="9.42578125" style="699" bestFit="1" customWidth="1"/>
    <col min="6411" max="6411" width="9.5703125" style="699" bestFit="1" customWidth="1"/>
    <col min="6412" max="6412" width="11.5703125" style="699" bestFit="1" customWidth="1"/>
    <col min="6413" max="6413" width="13" style="699" customWidth="1"/>
    <col min="6414" max="6656" width="9.140625" style="699"/>
    <col min="6657" max="6657" width="8.85546875" style="699" customWidth="1"/>
    <col min="6658" max="6658" width="43.42578125" style="699" customWidth="1"/>
    <col min="6659" max="6659" width="9.42578125" style="699" bestFit="1" customWidth="1"/>
    <col min="6660" max="6660" width="4.7109375" style="699" customWidth="1"/>
    <col min="6661" max="6661" width="9.5703125" style="699" bestFit="1" customWidth="1"/>
    <col min="6662" max="6662" width="12.140625" style="699" customWidth="1"/>
    <col min="6663" max="6663" width="9.42578125" style="699" bestFit="1" customWidth="1"/>
    <col min="6664" max="6664" width="9.5703125" style="699" bestFit="1" customWidth="1"/>
    <col min="6665" max="6665" width="12.5703125" style="699" customWidth="1"/>
    <col min="6666" max="6666" width="9.42578125" style="699" bestFit="1" customWidth="1"/>
    <col min="6667" max="6667" width="9.5703125" style="699" bestFit="1" customWidth="1"/>
    <col min="6668" max="6668" width="11.5703125" style="699" bestFit="1" customWidth="1"/>
    <col min="6669" max="6669" width="13" style="699" customWidth="1"/>
    <col min="6670" max="6912" width="9.140625" style="699"/>
    <col min="6913" max="6913" width="8.85546875" style="699" customWidth="1"/>
    <col min="6914" max="6914" width="43.42578125" style="699" customWidth="1"/>
    <col min="6915" max="6915" width="9.42578125" style="699" bestFit="1" customWidth="1"/>
    <col min="6916" max="6916" width="4.7109375" style="699" customWidth="1"/>
    <col min="6917" max="6917" width="9.5703125" style="699" bestFit="1" customWidth="1"/>
    <col min="6918" max="6918" width="12.140625" style="699" customWidth="1"/>
    <col min="6919" max="6919" width="9.42578125" style="699" bestFit="1" customWidth="1"/>
    <col min="6920" max="6920" width="9.5703125" style="699" bestFit="1" customWidth="1"/>
    <col min="6921" max="6921" width="12.5703125" style="699" customWidth="1"/>
    <col min="6922" max="6922" width="9.42578125" style="699" bestFit="1" customWidth="1"/>
    <col min="6923" max="6923" width="9.5703125" style="699" bestFit="1" customWidth="1"/>
    <col min="6924" max="6924" width="11.5703125" style="699" bestFit="1" customWidth="1"/>
    <col min="6925" max="6925" width="13" style="699" customWidth="1"/>
    <col min="6926" max="7168" width="9.140625" style="699"/>
    <col min="7169" max="7169" width="8.85546875" style="699" customWidth="1"/>
    <col min="7170" max="7170" width="43.42578125" style="699" customWidth="1"/>
    <col min="7171" max="7171" width="9.42578125" style="699" bestFit="1" customWidth="1"/>
    <col min="7172" max="7172" width="4.7109375" style="699" customWidth="1"/>
    <col min="7173" max="7173" width="9.5703125" style="699" bestFit="1" customWidth="1"/>
    <col min="7174" max="7174" width="12.140625" style="699" customWidth="1"/>
    <col min="7175" max="7175" width="9.42578125" style="699" bestFit="1" customWidth="1"/>
    <col min="7176" max="7176" width="9.5703125" style="699" bestFit="1" customWidth="1"/>
    <col min="7177" max="7177" width="12.5703125" style="699" customWidth="1"/>
    <col min="7178" max="7178" width="9.42578125" style="699" bestFit="1" customWidth="1"/>
    <col min="7179" max="7179" width="9.5703125" style="699" bestFit="1" customWidth="1"/>
    <col min="7180" max="7180" width="11.5703125" style="699" bestFit="1" customWidth="1"/>
    <col min="7181" max="7181" width="13" style="699" customWidth="1"/>
    <col min="7182" max="7424" width="9.140625" style="699"/>
    <col min="7425" max="7425" width="8.85546875" style="699" customWidth="1"/>
    <col min="7426" max="7426" width="43.42578125" style="699" customWidth="1"/>
    <col min="7427" max="7427" width="9.42578125" style="699" bestFit="1" customWidth="1"/>
    <col min="7428" max="7428" width="4.7109375" style="699" customWidth="1"/>
    <col min="7429" max="7429" width="9.5703125" style="699" bestFit="1" customWidth="1"/>
    <col min="7430" max="7430" width="12.140625" style="699" customWidth="1"/>
    <col min="7431" max="7431" width="9.42578125" style="699" bestFit="1" customWidth="1"/>
    <col min="7432" max="7432" width="9.5703125" style="699" bestFit="1" customWidth="1"/>
    <col min="7433" max="7433" width="12.5703125" style="699" customWidth="1"/>
    <col min="7434" max="7434" width="9.42578125" style="699" bestFit="1" customWidth="1"/>
    <col min="7435" max="7435" width="9.5703125" style="699" bestFit="1" customWidth="1"/>
    <col min="7436" max="7436" width="11.5703125" style="699" bestFit="1" customWidth="1"/>
    <col min="7437" max="7437" width="13" style="699" customWidth="1"/>
    <col min="7438" max="7680" width="9.140625" style="699"/>
    <col min="7681" max="7681" width="8.85546875" style="699" customWidth="1"/>
    <col min="7682" max="7682" width="43.42578125" style="699" customWidth="1"/>
    <col min="7683" max="7683" width="9.42578125" style="699" bestFit="1" customWidth="1"/>
    <col min="7684" max="7684" width="4.7109375" style="699" customWidth="1"/>
    <col min="7685" max="7685" width="9.5703125" style="699" bestFit="1" customWidth="1"/>
    <col min="7686" max="7686" width="12.140625" style="699" customWidth="1"/>
    <col min="7687" max="7687" width="9.42578125" style="699" bestFit="1" customWidth="1"/>
    <col min="7688" max="7688" width="9.5703125" style="699" bestFit="1" customWidth="1"/>
    <col min="7689" max="7689" width="12.5703125" style="699" customWidth="1"/>
    <col min="7690" max="7690" width="9.42578125" style="699" bestFit="1" customWidth="1"/>
    <col min="7691" max="7691" width="9.5703125" style="699" bestFit="1" customWidth="1"/>
    <col min="7692" max="7692" width="11.5703125" style="699" bestFit="1" customWidth="1"/>
    <col min="7693" max="7693" width="13" style="699" customWidth="1"/>
    <col min="7694" max="7936" width="9.140625" style="699"/>
    <col min="7937" max="7937" width="8.85546875" style="699" customWidth="1"/>
    <col min="7938" max="7938" width="43.42578125" style="699" customWidth="1"/>
    <col min="7939" max="7939" width="9.42578125" style="699" bestFit="1" customWidth="1"/>
    <col min="7940" max="7940" width="4.7109375" style="699" customWidth="1"/>
    <col min="7941" max="7941" width="9.5703125" style="699" bestFit="1" customWidth="1"/>
    <col min="7942" max="7942" width="12.140625" style="699" customWidth="1"/>
    <col min="7943" max="7943" width="9.42578125" style="699" bestFit="1" customWidth="1"/>
    <col min="7944" max="7944" width="9.5703125" style="699" bestFit="1" customWidth="1"/>
    <col min="7945" max="7945" width="12.5703125" style="699" customWidth="1"/>
    <col min="7946" max="7946" width="9.42578125" style="699" bestFit="1" customWidth="1"/>
    <col min="7947" max="7947" width="9.5703125" style="699" bestFit="1" customWidth="1"/>
    <col min="7948" max="7948" width="11.5703125" style="699" bestFit="1" customWidth="1"/>
    <col min="7949" max="7949" width="13" style="699" customWidth="1"/>
    <col min="7950" max="8192" width="9.140625" style="699"/>
    <col min="8193" max="8193" width="8.85546875" style="699" customWidth="1"/>
    <col min="8194" max="8194" width="43.42578125" style="699" customWidth="1"/>
    <col min="8195" max="8195" width="9.42578125" style="699" bestFit="1" customWidth="1"/>
    <col min="8196" max="8196" width="4.7109375" style="699" customWidth="1"/>
    <col min="8197" max="8197" width="9.5703125" style="699" bestFit="1" customWidth="1"/>
    <col min="8198" max="8198" width="12.140625" style="699" customWidth="1"/>
    <col min="8199" max="8199" width="9.42578125" style="699" bestFit="1" customWidth="1"/>
    <col min="8200" max="8200" width="9.5703125" style="699" bestFit="1" customWidth="1"/>
    <col min="8201" max="8201" width="12.5703125" style="699" customWidth="1"/>
    <col min="8202" max="8202" width="9.42578125" style="699" bestFit="1" customWidth="1"/>
    <col min="8203" max="8203" width="9.5703125" style="699" bestFit="1" customWidth="1"/>
    <col min="8204" max="8204" width="11.5703125" style="699" bestFit="1" customWidth="1"/>
    <col min="8205" max="8205" width="13" style="699" customWidth="1"/>
    <col min="8206" max="8448" width="9.140625" style="699"/>
    <col min="8449" max="8449" width="8.85546875" style="699" customWidth="1"/>
    <col min="8450" max="8450" width="43.42578125" style="699" customWidth="1"/>
    <col min="8451" max="8451" width="9.42578125" style="699" bestFit="1" customWidth="1"/>
    <col min="8452" max="8452" width="4.7109375" style="699" customWidth="1"/>
    <col min="8453" max="8453" width="9.5703125" style="699" bestFit="1" customWidth="1"/>
    <col min="8454" max="8454" width="12.140625" style="699" customWidth="1"/>
    <col min="8455" max="8455" width="9.42578125" style="699" bestFit="1" customWidth="1"/>
    <col min="8456" max="8456" width="9.5703125" style="699" bestFit="1" customWidth="1"/>
    <col min="8457" max="8457" width="12.5703125" style="699" customWidth="1"/>
    <col min="8458" max="8458" width="9.42578125" style="699" bestFit="1" customWidth="1"/>
    <col min="8459" max="8459" width="9.5703125" style="699" bestFit="1" customWidth="1"/>
    <col min="8460" max="8460" width="11.5703125" style="699" bestFit="1" customWidth="1"/>
    <col min="8461" max="8461" width="13" style="699" customWidth="1"/>
    <col min="8462" max="8704" width="9.140625" style="699"/>
    <col min="8705" max="8705" width="8.85546875" style="699" customWidth="1"/>
    <col min="8706" max="8706" width="43.42578125" style="699" customWidth="1"/>
    <col min="8707" max="8707" width="9.42578125" style="699" bestFit="1" customWidth="1"/>
    <col min="8708" max="8708" width="4.7109375" style="699" customWidth="1"/>
    <col min="8709" max="8709" width="9.5703125" style="699" bestFit="1" customWidth="1"/>
    <col min="8710" max="8710" width="12.140625" style="699" customWidth="1"/>
    <col min="8711" max="8711" width="9.42578125" style="699" bestFit="1" customWidth="1"/>
    <col min="8712" max="8712" width="9.5703125" style="699" bestFit="1" customWidth="1"/>
    <col min="8713" max="8713" width="12.5703125" style="699" customWidth="1"/>
    <col min="8714" max="8714" width="9.42578125" style="699" bestFit="1" customWidth="1"/>
    <col min="8715" max="8715" width="9.5703125" style="699" bestFit="1" customWidth="1"/>
    <col min="8716" max="8716" width="11.5703125" style="699" bestFit="1" customWidth="1"/>
    <col min="8717" max="8717" width="13" style="699" customWidth="1"/>
    <col min="8718" max="8960" width="9.140625" style="699"/>
    <col min="8961" max="8961" width="8.85546875" style="699" customWidth="1"/>
    <col min="8962" max="8962" width="43.42578125" style="699" customWidth="1"/>
    <col min="8963" max="8963" width="9.42578125" style="699" bestFit="1" customWidth="1"/>
    <col min="8964" max="8964" width="4.7109375" style="699" customWidth="1"/>
    <col min="8965" max="8965" width="9.5703125" style="699" bestFit="1" customWidth="1"/>
    <col min="8966" max="8966" width="12.140625" style="699" customWidth="1"/>
    <col min="8967" max="8967" width="9.42578125" style="699" bestFit="1" customWidth="1"/>
    <col min="8968" max="8968" width="9.5703125" style="699" bestFit="1" customWidth="1"/>
    <col min="8969" max="8969" width="12.5703125" style="699" customWidth="1"/>
    <col min="8970" max="8970" width="9.42578125" style="699" bestFit="1" customWidth="1"/>
    <col min="8971" max="8971" width="9.5703125" style="699" bestFit="1" customWidth="1"/>
    <col min="8972" max="8972" width="11.5703125" style="699" bestFit="1" customWidth="1"/>
    <col min="8973" max="8973" width="13" style="699" customWidth="1"/>
    <col min="8974" max="9216" width="9.140625" style="699"/>
    <col min="9217" max="9217" width="8.85546875" style="699" customWidth="1"/>
    <col min="9218" max="9218" width="43.42578125" style="699" customWidth="1"/>
    <col min="9219" max="9219" width="9.42578125" style="699" bestFit="1" customWidth="1"/>
    <col min="9220" max="9220" width="4.7109375" style="699" customWidth="1"/>
    <col min="9221" max="9221" width="9.5703125" style="699" bestFit="1" customWidth="1"/>
    <col min="9222" max="9222" width="12.140625" style="699" customWidth="1"/>
    <col min="9223" max="9223" width="9.42578125" style="699" bestFit="1" customWidth="1"/>
    <col min="9224" max="9224" width="9.5703125" style="699" bestFit="1" customWidth="1"/>
    <col min="9225" max="9225" width="12.5703125" style="699" customWidth="1"/>
    <col min="9226" max="9226" width="9.42578125" style="699" bestFit="1" customWidth="1"/>
    <col min="9227" max="9227" width="9.5703125" style="699" bestFit="1" customWidth="1"/>
    <col min="9228" max="9228" width="11.5703125" style="699" bestFit="1" customWidth="1"/>
    <col min="9229" max="9229" width="13" style="699" customWidth="1"/>
    <col min="9230" max="9472" width="9.140625" style="699"/>
    <col min="9473" max="9473" width="8.85546875" style="699" customWidth="1"/>
    <col min="9474" max="9474" width="43.42578125" style="699" customWidth="1"/>
    <col min="9475" max="9475" width="9.42578125" style="699" bestFit="1" customWidth="1"/>
    <col min="9476" max="9476" width="4.7109375" style="699" customWidth="1"/>
    <col min="9477" max="9477" width="9.5703125" style="699" bestFit="1" customWidth="1"/>
    <col min="9478" max="9478" width="12.140625" style="699" customWidth="1"/>
    <col min="9479" max="9479" width="9.42578125" style="699" bestFit="1" customWidth="1"/>
    <col min="9480" max="9480" width="9.5703125" style="699" bestFit="1" customWidth="1"/>
    <col min="9481" max="9481" width="12.5703125" style="699" customWidth="1"/>
    <col min="9482" max="9482" width="9.42578125" style="699" bestFit="1" customWidth="1"/>
    <col min="9483" max="9483" width="9.5703125" style="699" bestFit="1" customWidth="1"/>
    <col min="9484" max="9484" width="11.5703125" style="699" bestFit="1" customWidth="1"/>
    <col min="9485" max="9485" width="13" style="699" customWidth="1"/>
    <col min="9486" max="9728" width="9.140625" style="699"/>
    <col min="9729" max="9729" width="8.85546875" style="699" customWidth="1"/>
    <col min="9730" max="9730" width="43.42578125" style="699" customWidth="1"/>
    <col min="9731" max="9731" width="9.42578125" style="699" bestFit="1" customWidth="1"/>
    <col min="9732" max="9732" width="4.7109375" style="699" customWidth="1"/>
    <col min="9733" max="9733" width="9.5703125" style="699" bestFit="1" customWidth="1"/>
    <col min="9734" max="9734" width="12.140625" style="699" customWidth="1"/>
    <col min="9735" max="9735" width="9.42578125" style="699" bestFit="1" customWidth="1"/>
    <col min="9736" max="9736" width="9.5703125" style="699" bestFit="1" customWidth="1"/>
    <col min="9737" max="9737" width="12.5703125" style="699" customWidth="1"/>
    <col min="9738" max="9738" width="9.42578125" style="699" bestFit="1" customWidth="1"/>
    <col min="9739" max="9739" width="9.5703125" style="699" bestFit="1" customWidth="1"/>
    <col min="9740" max="9740" width="11.5703125" style="699" bestFit="1" customWidth="1"/>
    <col min="9741" max="9741" width="13" style="699" customWidth="1"/>
    <col min="9742" max="9984" width="9.140625" style="699"/>
    <col min="9985" max="9985" width="8.85546875" style="699" customWidth="1"/>
    <col min="9986" max="9986" width="43.42578125" style="699" customWidth="1"/>
    <col min="9987" max="9987" width="9.42578125" style="699" bestFit="1" customWidth="1"/>
    <col min="9988" max="9988" width="4.7109375" style="699" customWidth="1"/>
    <col min="9989" max="9989" width="9.5703125" style="699" bestFit="1" customWidth="1"/>
    <col min="9990" max="9990" width="12.140625" style="699" customWidth="1"/>
    <col min="9991" max="9991" width="9.42578125" style="699" bestFit="1" customWidth="1"/>
    <col min="9992" max="9992" width="9.5703125" style="699" bestFit="1" customWidth="1"/>
    <col min="9993" max="9993" width="12.5703125" style="699" customWidth="1"/>
    <col min="9994" max="9994" width="9.42578125" style="699" bestFit="1" customWidth="1"/>
    <col min="9995" max="9995" width="9.5703125" style="699" bestFit="1" customWidth="1"/>
    <col min="9996" max="9996" width="11.5703125" style="699" bestFit="1" customWidth="1"/>
    <col min="9997" max="9997" width="13" style="699" customWidth="1"/>
    <col min="9998" max="10240" width="9.140625" style="699"/>
    <col min="10241" max="10241" width="8.85546875" style="699" customWidth="1"/>
    <col min="10242" max="10242" width="43.42578125" style="699" customWidth="1"/>
    <col min="10243" max="10243" width="9.42578125" style="699" bestFit="1" customWidth="1"/>
    <col min="10244" max="10244" width="4.7109375" style="699" customWidth="1"/>
    <col min="10245" max="10245" width="9.5703125" style="699" bestFit="1" customWidth="1"/>
    <col min="10246" max="10246" width="12.140625" style="699" customWidth="1"/>
    <col min="10247" max="10247" width="9.42578125" style="699" bestFit="1" customWidth="1"/>
    <col min="10248" max="10248" width="9.5703125" style="699" bestFit="1" customWidth="1"/>
    <col min="10249" max="10249" width="12.5703125" style="699" customWidth="1"/>
    <col min="10250" max="10250" width="9.42578125" style="699" bestFit="1" customWidth="1"/>
    <col min="10251" max="10251" width="9.5703125" style="699" bestFit="1" customWidth="1"/>
    <col min="10252" max="10252" width="11.5703125" style="699" bestFit="1" customWidth="1"/>
    <col min="10253" max="10253" width="13" style="699" customWidth="1"/>
    <col min="10254" max="10496" width="9.140625" style="699"/>
    <col min="10497" max="10497" width="8.85546875" style="699" customWidth="1"/>
    <col min="10498" max="10498" width="43.42578125" style="699" customWidth="1"/>
    <col min="10499" max="10499" width="9.42578125" style="699" bestFit="1" customWidth="1"/>
    <col min="10500" max="10500" width="4.7109375" style="699" customWidth="1"/>
    <col min="10501" max="10501" width="9.5703125" style="699" bestFit="1" customWidth="1"/>
    <col min="10502" max="10502" width="12.140625" style="699" customWidth="1"/>
    <col min="10503" max="10503" width="9.42578125" style="699" bestFit="1" customWidth="1"/>
    <col min="10504" max="10504" width="9.5703125" style="699" bestFit="1" customWidth="1"/>
    <col min="10505" max="10505" width="12.5703125" style="699" customWidth="1"/>
    <col min="10506" max="10506" width="9.42578125" style="699" bestFit="1" customWidth="1"/>
    <col min="10507" max="10507" width="9.5703125" style="699" bestFit="1" customWidth="1"/>
    <col min="10508" max="10508" width="11.5703125" style="699" bestFit="1" customWidth="1"/>
    <col min="10509" max="10509" width="13" style="699" customWidth="1"/>
    <col min="10510" max="10752" width="9.140625" style="699"/>
    <col min="10753" max="10753" width="8.85546875" style="699" customWidth="1"/>
    <col min="10754" max="10754" width="43.42578125" style="699" customWidth="1"/>
    <col min="10755" max="10755" width="9.42578125" style="699" bestFit="1" customWidth="1"/>
    <col min="10756" max="10756" width="4.7109375" style="699" customWidth="1"/>
    <col min="10757" max="10757" width="9.5703125" style="699" bestFit="1" customWidth="1"/>
    <col min="10758" max="10758" width="12.140625" style="699" customWidth="1"/>
    <col min="10759" max="10759" width="9.42578125" style="699" bestFit="1" customWidth="1"/>
    <col min="10760" max="10760" width="9.5703125" style="699" bestFit="1" customWidth="1"/>
    <col min="10761" max="10761" width="12.5703125" style="699" customWidth="1"/>
    <col min="10762" max="10762" width="9.42578125" style="699" bestFit="1" customWidth="1"/>
    <col min="10763" max="10763" width="9.5703125" style="699" bestFit="1" customWidth="1"/>
    <col min="10764" max="10764" width="11.5703125" style="699" bestFit="1" customWidth="1"/>
    <col min="10765" max="10765" width="13" style="699" customWidth="1"/>
    <col min="10766" max="11008" width="9.140625" style="699"/>
    <col min="11009" max="11009" width="8.85546875" style="699" customWidth="1"/>
    <col min="11010" max="11010" width="43.42578125" style="699" customWidth="1"/>
    <col min="11011" max="11011" width="9.42578125" style="699" bestFit="1" customWidth="1"/>
    <col min="11012" max="11012" width="4.7109375" style="699" customWidth="1"/>
    <col min="11013" max="11013" width="9.5703125" style="699" bestFit="1" customWidth="1"/>
    <col min="11014" max="11014" width="12.140625" style="699" customWidth="1"/>
    <col min="11015" max="11015" width="9.42578125" style="699" bestFit="1" customWidth="1"/>
    <col min="11016" max="11016" width="9.5703125" style="699" bestFit="1" customWidth="1"/>
    <col min="11017" max="11017" width="12.5703125" style="699" customWidth="1"/>
    <col min="11018" max="11018" width="9.42578125" style="699" bestFit="1" customWidth="1"/>
    <col min="11019" max="11019" width="9.5703125" style="699" bestFit="1" customWidth="1"/>
    <col min="11020" max="11020" width="11.5703125" style="699" bestFit="1" customWidth="1"/>
    <col min="11021" max="11021" width="13" style="699" customWidth="1"/>
    <col min="11022" max="11264" width="9.140625" style="699"/>
    <col min="11265" max="11265" width="8.85546875" style="699" customWidth="1"/>
    <col min="11266" max="11266" width="43.42578125" style="699" customWidth="1"/>
    <col min="11267" max="11267" width="9.42578125" style="699" bestFit="1" customWidth="1"/>
    <col min="11268" max="11268" width="4.7109375" style="699" customWidth="1"/>
    <col min="11269" max="11269" width="9.5703125" style="699" bestFit="1" customWidth="1"/>
    <col min="11270" max="11270" width="12.140625" style="699" customWidth="1"/>
    <col min="11271" max="11271" width="9.42578125" style="699" bestFit="1" customWidth="1"/>
    <col min="11272" max="11272" width="9.5703125" style="699" bestFit="1" customWidth="1"/>
    <col min="11273" max="11273" width="12.5703125" style="699" customWidth="1"/>
    <col min="11274" max="11274" width="9.42578125" style="699" bestFit="1" customWidth="1"/>
    <col min="11275" max="11275" width="9.5703125" style="699" bestFit="1" customWidth="1"/>
    <col min="11276" max="11276" width="11.5703125" style="699" bestFit="1" customWidth="1"/>
    <col min="11277" max="11277" width="13" style="699" customWidth="1"/>
    <col min="11278" max="11520" width="9.140625" style="699"/>
    <col min="11521" max="11521" width="8.85546875" style="699" customWidth="1"/>
    <col min="11522" max="11522" width="43.42578125" style="699" customWidth="1"/>
    <col min="11523" max="11523" width="9.42578125" style="699" bestFit="1" customWidth="1"/>
    <col min="11524" max="11524" width="4.7109375" style="699" customWidth="1"/>
    <col min="11525" max="11525" width="9.5703125" style="699" bestFit="1" customWidth="1"/>
    <col min="11526" max="11526" width="12.140625" style="699" customWidth="1"/>
    <col min="11527" max="11527" width="9.42578125" style="699" bestFit="1" customWidth="1"/>
    <col min="11528" max="11528" width="9.5703125" style="699" bestFit="1" customWidth="1"/>
    <col min="11529" max="11529" width="12.5703125" style="699" customWidth="1"/>
    <col min="11530" max="11530" width="9.42578125" style="699" bestFit="1" customWidth="1"/>
    <col min="11531" max="11531" width="9.5703125" style="699" bestFit="1" customWidth="1"/>
    <col min="11532" max="11532" width="11.5703125" style="699" bestFit="1" customWidth="1"/>
    <col min="11533" max="11533" width="13" style="699" customWidth="1"/>
    <col min="11534" max="11776" width="9.140625" style="699"/>
    <col min="11777" max="11777" width="8.85546875" style="699" customWidth="1"/>
    <col min="11778" max="11778" width="43.42578125" style="699" customWidth="1"/>
    <col min="11779" max="11779" width="9.42578125" style="699" bestFit="1" customWidth="1"/>
    <col min="11780" max="11780" width="4.7109375" style="699" customWidth="1"/>
    <col min="11781" max="11781" width="9.5703125" style="699" bestFit="1" customWidth="1"/>
    <col min="11782" max="11782" width="12.140625" style="699" customWidth="1"/>
    <col min="11783" max="11783" width="9.42578125" style="699" bestFit="1" customWidth="1"/>
    <col min="11784" max="11784" width="9.5703125" style="699" bestFit="1" customWidth="1"/>
    <col min="11785" max="11785" width="12.5703125" style="699" customWidth="1"/>
    <col min="11786" max="11786" width="9.42578125" style="699" bestFit="1" customWidth="1"/>
    <col min="11787" max="11787" width="9.5703125" style="699" bestFit="1" customWidth="1"/>
    <col min="11788" max="11788" width="11.5703125" style="699" bestFit="1" customWidth="1"/>
    <col min="11789" max="11789" width="13" style="699" customWidth="1"/>
    <col min="11790" max="12032" width="9.140625" style="699"/>
    <col min="12033" max="12033" width="8.85546875" style="699" customWidth="1"/>
    <col min="12034" max="12034" width="43.42578125" style="699" customWidth="1"/>
    <col min="12035" max="12035" width="9.42578125" style="699" bestFit="1" customWidth="1"/>
    <col min="12036" max="12036" width="4.7109375" style="699" customWidth="1"/>
    <col min="12037" max="12037" width="9.5703125" style="699" bestFit="1" customWidth="1"/>
    <col min="12038" max="12038" width="12.140625" style="699" customWidth="1"/>
    <col min="12039" max="12039" width="9.42578125" style="699" bestFit="1" customWidth="1"/>
    <col min="12040" max="12040" width="9.5703125" style="699" bestFit="1" customWidth="1"/>
    <col min="12041" max="12041" width="12.5703125" style="699" customWidth="1"/>
    <col min="12042" max="12042" width="9.42578125" style="699" bestFit="1" customWidth="1"/>
    <col min="12043" max="12043" width="9.5703125" style="699" bestFit="1" customWidth="1"/>
    <col min="12044" max="12044" width="11.5703125" style="699" bestFit="1" customWidth="1"/>
    <col min="12045" max="12045" width="13" style="699" customWidth="1"/>
    <col min="12046" max="12288" width="9.140625" style="699"/>
    <col min="12289" max="12289" width="8.85546875" style="699" customWidth="1"/>
    <col min="12290" max="12290" width="43.42578125" style="699" customWidth="1"/>
    <col min="12291" max="12291" width="9.42578125" style="699" bestFit="1" customWidth="1"/>
    <col min="12292" max="12292" width="4.7109375" style="699" customWidth="1"/>
    <col min="12293" max="12293" width="9.5703125" style="699" bestFit="1" customWidth="1"/>
    <col min="12294" max="12294" width="12.140625" style="699" customWidth="1"/>
    <col min="12295" max="12295" width="9.42578125" style="699" bestFit="1" customWidth="1"/>
    <col min="12296" max="12296" width="9.5703125" style="699" bestFit="1" customWidth="1"/>
    <col min="12297" max="12297" width="12.5703125" style="699" customWidth="1"/>
    <col min="12298" max="12298" width="9.42578125" style="699" bestFit="1" customWidth="1"/>
    <col min="12299" max="12299" width="9.5703125" style="699" bestFit="1" customWidth="1"/>
    <col min="12300" max="12300" width="11.5703125" style="699" bestFit="1" customWidth="1"/>
    <col min="12301" max="12301" width="13" style="699" customWidth="1"/>
    <col min="12302" max="12544" width="9.140625" style="699"/>
    <col min="12545" max="12545" width="8.85546875" style="699" customWidth="1"/>
    <col min="12546" max="12546" width="43.42578125" style="699" customWidth="1"/>
    <col min="12547" max="12547" width="9.42578125" style="699" bestFit="1" customWidth="1"/>
    <col min="12548" max="12548" width="4.7109375" style="699" customWidth="1"/>
    <col min="12549" max="12549" width="9.5703125" style="699" bestFit="1" customWidth="1"/>
    <col min="12550" max="12550" width="12.140625" style="699" customWidth="1"/>
    <col min="12551" max="12551" width="9.42578125" style="699" bestFit="1" customWidth="1"/>
    <col min="12552" max="12552" width="9.5703125" style="699" bestFit="1" customWidth="1"/>
    <col min="12553" max="12553" width="12.5703125" style="699" customWidth="1"/>
    <col min="12554" max="12554" width="9.42578125" style="699" bestFit="1" customWidth="1"/>
    <col min="12555" max="12555" width="9.5703125" style="699" bestFit="1" customWidth="1"/>
    <col min="12556" max="12556" width="11.5703125" style="699" bestFit="1" customWidth="1"/>
    <col min="12557" max="12557" width="13" style="699" customWidth="1"/>
    <col min="12558" max="12800" width="9.140625" style="699"/>
    <col min="12801" max="12801" width="8.85546875" style="699" customWidth="1"/>
    <col min="12802" max="12802" width="43.42578125" style="699" customWidth="1"/>
    <col min="12803" max="12803" width="9.42578125" style="699" bestFit="1" customWidth="1"/>
    <col min="12804" max="12804" width="4.7109375" style="699" customWidth="1"/>
    <col min="12805" max="12805" width="9.5703125" style="699" bestFit="1" customWidth="1"/>
    <col min="12806" max="12806" width="12.140625" style="699" customWidth="1"/>
    <col min="12807" max="12807" width="9.42578125" style="699" bestFit="1" customWidth="1"/>
    <col min="12808" max="12808" width="9.5703125" style="699" bestFit="1" customWidth="1"/>
    <col min="12809" max="12809" width="12.5703125" style="699" customWidth="1"/>
    <col min="12810" max="12810" width="9.42578125" style="699" bestFit="1" customWidth="1"/>
    <col min="12811" max="12811" width="9.5703125" style="699" bestFit="1" customWidth="1"/>
    <col min="12812" max="12812" width="11.5703125" style="699" bestFit="1" customWidth="1"/>
    <col min="12813" max="12813" width="13" style="699" customWidth="1"/>
    <col min="12814" max="13056" width="9.140625" style="699"/>
    <col min="13057" max="13057" width="8.85546875" style="699" customWidth="1"/>
    <col min="13058" max="13058" width="43.42578125" style="699" customWidth="1"/>
    <col min="13059" max="13059" width="9.42578125" style="699" bestFit="1" customWidth="1"/>
    <col min="13060" max="13060" width="4.7109375" style="699" customWidth="1"/>
    <col min="13061" max="13061" width="9.5703125" style="699" bestFit="1" customWidth="1"/>
    <col min="13062" max="13062" width="12.140625" style="699" customWidth="1"/>
    <col min="13063" max="13063" width="9.42578125" style="699" bestFit="1" customWidth="1"/>
    <col min="13064" max="13064" width="9.5703125" style="699" bestFit="1" customWidth="1"/>
    <col min="13065" max="13065" width="12.5703125" style="699" customWidth="1"/>
    <col min="13066" max="13066" width="9.42578125" style="699" bestFit="1" customWidth="1"/>
    <col min="13067" max="13067" width="9.5703125" style="699" bestFit="1" customWidth="1"/>
    <col min="13068" max="13068" width="11.5703125" style="699" bestFit="1" customWidth="1"/>
    <col min="13069" max="13069" width="13" style="699" customWidth="1"/>
    <col min="13070" max="13312" width="9.140625" style="699"/>
    <col min="13313" max="13313" width="8.85546875" style="699" customWidth="1"/>
    <col min="13314" max="13314" width="43.42578125" style="699" customWidth="1"/>
    <col min="13315" max="13315" width="9.42578125" style="699" bestFit="1" customWidth="1"/>
    <col min="13316" max="13316" width="4.7109375" style="699" customWidth="1"/>
    <col min="13317" max="13317" width="9.5703125" style="699" bestFit="1" customWidth="1"/>
    <col min="13318" max="13318" width="12.140625" style="699" customWidth="1"/>
    <col min="13319" max="13319" width="9.42578125" style="699" bestFit="1" customWidth="1"/>
    <col min="13320" max="13320" width="9.5703125" style="699" bestFit="1" customWidth="1"/>
    <col min="13321" max="13321" width="12.5703125" style="699" customWidth="1"/>
    <col min="13322" max="13322" width="9.42578125" style="699" bestFit="1" customWidth="1"/>
    <col min="13323" max="13323" width="9.5703125" style="699" bestFit="1" customWidth="1"/>
    <col min="13324" max="13324" width="11.5703125" style="699" bestFit="1" customWidth="1"/>
    <col min="13325" max="13325" width="13" style="699" customWidth="1"/>
    <col min="13326" max="13568" width="9.140625" style="699"/>
    <col min="13569" max="13569" width="8.85546875" style="699" customWidth="1"/>
    <col min="13570" max="13570" width="43.42578125" style="699" customWidth="1"/>
    <col min="13571" max="13571" width="9.42578125" style="699" bestFit="1" customWidth="1"/>
    <col min="13572" max="13572" width="4.7109375" style="699" customWidth="1"/>
    <col min="13573" max="13573" width="9.5703125" style="699" bestFit="1" customWidth="1"/>
    <col min="13574" max="13574" width="12.140625" style="699" customWidth="1"/>
    <col min="13575" max="13575" width="9.42578125" style="699" bestFit="1" customWidth="1"/>
    <col min="13576" max="13576" width="9.5703125" style="699" bestFit="1" customWidth="1"/>
    <col min="13577" max="13577" width="12.5703125" style="699" customWidth="1"/>
    <col min="13578" max="13578" width="9.42578125" style="699" bestFit="1" customWidth="1"/>
    <col min="13579" max="13579" width="9.5703125" style="699" bestFit="1" customWidth="1"/>
    <col min="13580" max="13580" width="11.5703125" style="699" bestFit="1" customWidth="1"/>
    <col min="13581" max="13581" width="13" style="699" customWidth="1"/>
    <col min="13582" max="13824" width="9.140625" style="699"/>
    <col min="13825" max="13825" width="8.85546875" style="699" customWidth="1"/>
    <col min="13826" max="13826" width="43.42578125" style="699" customWidth="1"/>
    <col min="13827" max="13827" width="9.42578125" style="699" bestFit="1" customWidth="1"/>
    <col min="13828" max="13828" width="4.7109375" style="699" customWidth="1"/>
    <col min="13829" max="13829" width="9.5703125" style="699" bestFit="1" customWidth="1"/>
    <col min="13830" max="13830" width="12.140625" style="699" customWidth="1"/>
    <col min="13831" max="13831" width="9.42578125" style="699" bestFit="1" customWidth="1"/>
    <col min="13832" max="13832" width="9.5703125" style="699" bestFit="1" customWidth="1"/>
    <col min="13833" max="13833" width="12.5703125" style="699" customWidth="1"/>
    <col min="13834" max="13834" width="9.42578125" style="699" bestFit="1" customWidth="1"/>
    <col min="13835" max="13835" width="9.5703125" style="699" bestFit="1" customWidth="1"/>
    <col min="13836" max="13836" width="11.5703125" style="699" bestFit="1" customWidth="1"/>
    <col min="13837" max="13837" width="13" style="699" customWidth="1"/>
    <col min="13838" max="14080" width="9.140625" style="699"/>
    <col min="14081" max="14081" width="8.85546875" style="699" customWidth="1"/>
    <col min="14082" max="14082" width="43.42578125" style="699" customWidth="1"/>
    <col min="14083" max="14083" width="9.42578125" style="699" bestFit="1" customWidth="1"/>
    <col min="14084" max="14084" width="4.7109375" style="699" customWidth="1"/>
    <col min="14085" max="14085" width="9.5703125" style="699" bestFit="1" customWidth="1"/>
    <col min="14086" max="14086" width="12.140625" style="699" customWidth="1"/>
    <col min="14087" max="14087" width="9.42578125" style="699" bestFit="1" customWidth="1"/>
    <col min="14088" max="14088" width="9.5703125" style="699" bestFit="1" customWidth="1"/>
    <col min="14089" max="14089" width="12.5703125" style="699" customWidth="1"/>
    <col min="14090" max="14090" width="9.42578125" style="699" bestFit="1" customWidth="1"/>
    <col min="14091" max="14091" width="9.5703125" style="699" bestFit="1" customWidth="1"/>
    <col min="14092" max="14092" width="11.5703125" style="699" bestFit="1" customWidth="1"/>
    <col min="14093" max="14093" width="13" style="699" customWidth="1"/>
    <col min="14094" max="14336" width="9.140625" style="699"/>
    <col min="14337" max="14337" width="8.85546875" style="699" customWidth="1"/>
    <col min="14338" max="14338" width="43.42578125" style="699" customWidth="1"/>
    <col min="14339" max="14339" width="9.42578125" style="699" bestFit="1" customWidth="1"/>
    <col min="14340" max="14340" width="4.7109375" style="699" customWidth="1"/>
    <col min="14341" max="14341" width="9.5703125" style="699" bestFit="1" customWidth="1"/>
    <col min="14342" max="14342" width="12.140625" style="699" customWidth="1"/>
    <col min="14343" max="14343" width="9.42578125" style="699" bestFit="1" customWidth="1"/>
    <col min="14344" max="14344" width="9.5703125" style="699" bestFit="1" customWidth="1"/>
    <col min="14345" max="14345" width="12.5703125" style="699" customWidth="1"/>
    <col min="14346" max="14346" width="9.42578125" style="699" bestFit="1" customWidth="1"/>
    <col min="14347" max="14347" width="9.5703125" style="699" bestFit="1" customWidth="1"/>
    <col min="14348" max="14348" width="11.5703125" style="699" bestFit="1" customWidth="1"/>
    <col min="14349" max="14349" width="13" style="699" customWidth="1"/>
    <col min="14350" max="14592" width="9.140625" style="699"/>
    <col min="14593" max="14593" width="8.85546875" style="699" customWidth="1"/>
    <col min="14594" max="14594" width="43.42578125" style="699" customWidth="1"/>
    <col min="14595" max="14595" width="9.42578125" style="699" bestFit="1" customWidth="1"/>
    <col min="14596" max="14596" width="4.7109375" style="699" customWidth="1"/>
    <col min="14597" max="14597" width="9.5703125" style="699" bestFit="1" customWidth="1"/>
    <col min="14598" max="14598" width="12.140625" style="699" customWidth="1"/>
    <col min="14599" max="14599" width="9.42578125" style="699" bestFit="1" customWidth="1"/>
    <col min="14600" max="14600" width="9.5703125" style="699" bestFit="1" customWidth="1"/>
    <col min="14601" max="14601" width="12.5703125" style="699" customWidth="1"/>
    <col min="14602" max="14602" width="9.42578125" style="699" bestFit="1" customWidth="1"/>
    <col min="14603" max="14603" width="9.5703125" style="699" bestFit="1" customWidth="1"/>
    <col min="14604" max="14604" width="11.5703125" style="699" bestFit="1" customWidth="1"/>
    <col min="14605" max="14605" width="13" style="699" customWidth="1"/>
    <col min="14606" max="14848" width="9.140625" style="699"/>
    <col min="14849" max="14849" width="8.85546875" style="699" customWidth="1"/>
    <col min="14850" max="14850" width="43.42578125" style="699" customWidth="1"/>
    <col min="14851" max="14851" width="9.42578125" style="699" bestFit="1" customWidth="1"/>
    <col min="14852" max="14852" width="4.7109375" style="699" customWidth="1"/>
    <col min="14853" max="14853" width="9.5703125" style="699" bestFit="1" customWidth="1"/>
    <col min="14854" max="14854" width="12.140625" style="699" customWidth="1"/>
    <col min="14855" max="14855" width="9.42578125" style="699" bestFit="1" customWidth="1"/>
    <col min="14856" max="14856" width="9.5703125" style="699" bestFit="1" customWidth="1"/>
    <col min="14857" max="14857" width="12.5703125" style="699" customWidth="1"/>
    <col min="14858" max="14858" width="9.42578125" style="699" bestFit="1" customWidth="1"/>
    <col min="14859" max="14859" width="9.5703125" style="699" bestFit="1" customWidth="1"/>
    <col min="14860" max="14860" width="11.5703125" style="699" bestFit="1" customWidth="1"/>
    <col min="14861" max="14861" width="13" style="699" customWidth="1"/>
    <col min="14862" max="15104" width="9.140625" style="699"/>
    <col min="15105" max="15105" width="8.85546875" style="699" customWidth="1"/>
    <col min="15106" max="15106" width="43.42578125" style="699" customWidth="1"/>
    <col min="15107" max="15107" width="9.42578125" style="699" bestFit="1" customWidth="1"/>
    <col min="15108" max="15108" width="4.7109375" style="699" customWidth="1"/>
    <col min="15109" max="15109" width="9.5703125" style="699" bestFit="1" customWidth="1"/>
    <col min="15110" max="15110" width="12.140625" style="699" customWidth="1"/>
    <col min="15111" max="15111" width="9.42578125" style="699" bestFit="1" customWidth="1"/>
    <col min="15112" max="15112" width="9.5703125" style="699" bestFit="1" customWidth="1"/>
    <col min="15113" max="15113" width="12.5703125" style="699" customWidth="1"/>
    <col min="15114" max="15114" width="9.42578125" style="699" bestFit="1" customWidth="1"/>
    <col min="15115" max="15115" width="9.5703125" style="699" bestFit="1" customWidth="1"/>
    <col min="15116" max="15116" width="11.5703125" style="699" bestFit="1" customWidth="1"/>
    <col min="15117" max="15117" width="13" style="699" customWidth="1"/>
    <col min="15118" max="15360" width="9.140625" style="699"/>
    <col min="15361" max="15361" width="8.85546875" style="699" customWidth="1"/>
    <col min="15362" max="15362" width="43.42578125" style="699" customWidth="1"/>
    <col min="15363" max="15363" width="9.42578125" style="699" bestFit="1" customWidth="1"/>
    <col min="15364" max="15364" width="4.7109375" style="699" customWidth="1"/>
    <col min="15365" max="15365" width="9.5703125" style="699" bestFit="1" customWidth="1"/>
    <col min="15366" max="15366" width="12.140625" style="699" customWidth="1"/>
    <col min="15367" max="15367" width="9.42578125" style="699" bestFit="1" customWidth="1"/>
    <col min="15368" max="15368" width="9.5703125" style="699" bestFit="1" customWidth="1"/>
    <col min="15369" max="15369" width="12.5703125" style="699" customWidth="1"/>
    <col min="15370" max="15370" width="9.42578125" style="699" bestFit="1" customWidth="1"/>
    <col min="15371" max="15371" width="9.5703125" style="699" bestFit="1" customWidth="1"/>
    <col min="15372" max="15372" width="11.5703125" style="699" bestFit="1" customWidth="1"/>
    <col min="15373" max="15373" width="13" style="699" customWidth="1"/>
    <col min="15374" max="15616" width="9.140625" style="699"/>
    <col min="15617" max="15617" width="8.85546875" style="699" customWidth="1"/>
    <col min="15618" max="15618" width="43.42578125" style="699" customWidth="1"/>
    <col min="15619" max="15619" width="9.42578125" style="699" bestFit="1" customWidth="1"/>
    <col min="15620" max="15620" width="4.7109375" style="699" customWidth="1"/>
    <col min="15621" max="15621" width="9.5703125" style="699" bestFit="1" customWidth="1"/>
    <col min="15622" max="15622" width="12.140625" style="699" customWidth="1"/>
    <col min="15623" max="15623" width="9.42578125" style="699" bestFit="1" customWidth="1"/>
    <col min="15624" max="15624" width="9.5703125" style="699" bestFit="1" customWidth="1"/>
    <col min="15625" max="15625" width="12.5703125" style="699" customWidth="1"/>
    <col min="15626" max="15626" width="9.42578125" style="699" bestFit="1" customWidth="1"/>
    <col min="15627" max="15627" width="9.5703125" style="699" bestFit="1" customWidth="1"/>
    <col min="15628" max="15628" width="11.5703125" style="699" bestFit="1" customWidth="1"/>
    <col min="15629" max="15629" width="13" style="699" customWidth="1"/>
    <col min="15630" max="15872" width="9.140625" style="699"/>
    <col min="15873" max="15873" width="8.85546875" style="699" customWidth="1"/>
    <col min="15874" max="15874" width="43.42578125" style="699" customWidth="1"/>
    <col min="15875" max="15875" width="9.42578125" style="699" bestFit="1" customWidth="1"/>
    <col min="15876" max="15876" width="4.7109375" style="699" customWidth="1"/>
    <col min="15877" max="15877" width="9.5703125" style="699" bestFit="1" customWidth="1"/>
    <col min="15878" max="15878" width="12.140625" style="699" customWidth="1"/>
    <col min="15879" max="15879" width="9.42578125" style="699" bestFit="1" customWidth="1"/>
    <col min="15880" max="15880" width="9.5703125" style="699" bestFit="1" customWidth="1"/>
    <col min="15881" max="15881" width="12.5703125" style="699" customWidth="1"/>
    <col min="15882" max="15882" width="9.42578125" style="699" bestFit="1" customWidth="1"/>
    <col min="15883" max="15883" width="9.5703125" style="699" bestFit="1" customWidth="1"/>
    <col min="15884" max="15884" width="11.5703125" style="699" bestFit="1" customWidth="1"/>
    <col min="15885" max="15885" width="13" style="699" customWidth="1"/>
    <col min="15886" max="16128" width="9.140625" style="699"/>
    <col min="16129" max="16129" width="8.85546875" style="699" customWidth="1"/>
    <col min="16130" max="16130" width="43.42578125" style="699" customWidth="1"/>
    <col min="16131" max="16131" width="9.42578125" style="699" bestFit="1" customWidth="1"/>
    <col min="16132" max="16132" width="4.7109375" style="699" customWidth="1"/>
    <col min="16133" max="16133" width="9.5703125" style="699" bestFit="1" customWidth="1"/>
    <col min="16134" max="16134" width="12.140625" style="699" customWidth="1"/>
    <col min="16135" max="16135" width="9.42578125" style="699" bestFit="1" customWidth="1"/>
    <col min="16136" max="16136" width="9.5703125" style="699" bestFit="1" customWidth="1"/>
    <col min="16137" max="16137" width="12.5703125" style="699" customWidth="1"/>
    <col min="16138" max="16138" width="9.42578125" style="699" bestFit="1" customWidth="1"/>
    <col min="16139" max="16139" width="9.5703125" style="699" bestFit="1" customWidth="1"/>
    <col min="16140" max="16140" width="11.5703125" style="699" bestFit="1" customWidth="1"/>
    <col min="16141" max="16141" width="13" style="699" customWidth="1"/>
    <col min="16142" max="16384" width="9.140625" style="699"/>
  </cols>
  <sheetData>
    <row r="1" spans="1:13" s="703" customFormat="1" ht="20.25">
      <c r="A1" s="3644" t="s">
        <v>1584</v>
      </c>
      <c r="B1" s="3644"/>
      <c r="C1" s="3644"/>
      <c r="D1" s="3644"/>
      <c r="E1" s="3644"/>
      <c r="F1" s="3644"/>
      <c r="G1" s="3644"/>
      <c r="H1" s="3644"/>
      <c r="I1" s="3644"/>
      <c r="J1" s="3644"/>
      <c r="K1" s="3644"/>
      <c r="L1" s="3644"/>
      <c r="M1" s="3644"/>
    </row>
    <row r="2" spans="1:13" s="703" customFormat="1">
      <c r="A2" s="2761" t="s">
        <v>1585</v>
      </c>
      <c r="B2" s="2761"/>
      <c r="C2" s="2761"/>
      <c r="D2" s="2761"/>
      <c r="E2" s="2761"/>
      <c r="F2" s="2761"/>
      <c r="G2" s="2761" t="s">
        <v>1586</v>
      </c>
      <c r="H2" s="2761"/>
      <c r="I2" s="2761"/>
      <c r="J2" s="2761" t="s">
        <v>1587</v>
      </c>
      <c r="K2" s="2761"/>
      <c r="L2" s="2761"/>
      <c r="M2" s="2761" t="s">
        <v>1588</v>
      </c>
    </row>
    <row r="3" spans="1:13" s="707" customFormat="1">
      <c r="A3" s="1269" t="s">
        <v>1510</v>
      </c>
      <c r="B3" s="1269" t="s">
        <v>1589</v>
      </c>
      <c r="C3" s="1269" t="s">
        <v>707</v>
      </c>
      <c r="D3" s="1269" t="s">
        <v>1</v>
      </c>
      <c r="E3" s="1269" t="s">
        <v>708</v>
      </c>
      <c r="F3" s="1269" t="s">
        <v>709</v>
      </c>
      <c r="G3" s="1269" t="s">
        <v>707</v>
      </c>
      <c r="H3" s="1269" t="s">
        <v>708</v>
      </c>
      <c r="I3" s="1269" t="s">
        <v>709</v>
      </c>
      <c r="J3" s="1269" t="s">
        <v>707</v>
      </c>
      <c r="K3" s="1269" t="s">
        <v>708</v>
      </c>
      <c r="L3" s="1269" t="s">
        <v>709</v>
      </c>
      <c r="M3" s="3645"/>
    </row>
    <row r="4" spans="1:13">
      <c r="A4" s="719">
        <v>1</v>
      </c>
      <c r="B4" s="696" t="s">
        <v>1590</v>
      </c>
      <c r="C4" s="695">
        <v>25.49</v>
      </c>
      <c r="D4" s="695" t="s">
        <v>49</v>
      </c>
      <c r="E4" s="695">
        <v>91.58</v>
      </c>
      <c r="F4" s="695">
        <f>ROUND(C4*E4,0)</f>
        <v>2334</v>
      </c>
      <c r="G4" s="695">
        <f t="shared" ref="G4:G9" si="0">C4</f>
        <v>25.49</v>
      </c>
      <c r="H4" s="695">
        <f>E4</f>
        <v>91.58</v>
      </c>
      <c r="I4" s="695">
        <f>ROUND(G4*H4,0)</f>
        <v>2334</v>
      </c>
      <c r="J4" s="695"/>
      <c r="K4" s="695"/>
      <c r="L4" s="695"/>
      <c r="M4" s="695">
        <f>F4-(I4+L4)</f>
        <v>0</v>
      </c>
    </row>
    <row r="5" spans="1:13">
      <c r="A5" s="719">
        <v>2</v>
      </c>
      <c r="B5" s="696" t="s">
        <v>1591</v>
      </c>
      <c r="C5" s="695">
        <v>24.220000000000002</v>
      </c>
      <c r="D5" s="695" t="s">
        <v>49</v>
      </c>
      <c r="E5" s="695">
        <v>272.3</v>
      </c>
      <c r="F5" s="695">
        <f t="shared" ref="F5:F32" si="1">ROUND(C5*E5,0)</f>
        <v>6595</v>
      </c>
      <c r="G5" s="695">
        <f t="shared" si="0"/>
        <v>24.220000000000002</v>
      </c>
      <c r="H5" s="695">
        <f t="shared" ref="H5:H35" si="2">E5</f>
        <v>272.3</v>
      </c>
      <c r="I5" s="695">
        <f t="shared" ref="I5:I15" si="3">ROUND(G5*H5,0)</f>
        <v>6595</v>
      </c>
      <c r="J5" s="695"/>
      <c r="K5" s="695"/>
      <c r="L5" s="695"/>
      <c r="M5" s="695">
        <f t="shared" ref="M5:M42" si="4">F5-(I5+L5)</f>
        <v>0</v>
      </c>
    </row>
    <row r="6" spans="1:13">
      <c r="A6" s="719">
        <v>3</v>
      </c>
      <c r="B6" s="696" t="s">
        <v>1592</v>
      </c>
      <c r="C6" s="695">
        <v>8.7799999999999994</v>
      </c>
      <c r="D6" s="695" t="s">
        <v>49</v>
      </c>
      <c r="E6" s="695">
        <v>4016.6</v>
      </c>
      <c r="F6" s="695">
        <f t="shared" si="1"/>
        <v>35266</v>
      </c>
      <c r="G6" s="695">
        <f t="shared" si="0"/>
        <v>8.7799999999999994</v>
      </c>
      <c r="H6" s="695">
        <f t="shared" si="2"/>
        <v>4016.6</v>
      </c>
      <c r="I6" s="695">
        <f t="shared" si="3"/>
        <v>35266</v>
      </c>
      <c r="J6" s="695"/>
      <c r="K6" s="695"/>
      <c r="L6" s="695"/>
      <c r="M6" s="695">
        <f t="shared" si="4"/>
        <v>0</v>
      </c>
    </row>
    <row r="7" spans="1:13">
      <c r="A7" s="719">
        <v>4</v>
      </c>
      <c r="B7" s="696" t="s">
        <v>1593</v>
      </c>
      <c r="C7" s="695">
        <v>8.6199999999999992</v>
      </c>
      <c r="D7" s="695" t="s">
        <v>49</v>
      </c>
      <c r="E7" s="695">
        <v>2774.9</v>
      </c>
      <c r="F7" s="695">
        <f t="shared" si="1"/>
        <v>23920</v>
      </c>
      <c r="G7" s="695">
        <f t="shared" si="0"/>
        <v>8.6199999999999992</v>
      </c>
      <c r="H7" s="695">
        <f t="shared" si="2"/>
        <v>2774.9</v>
      </c>
      <c r="I7" s="695">
        <f t="shared" si="3"/>
        <v>23920</v>
      </c>
      <c r="J7" s="695"/>
      <c r="K7" s="695"/>
      <c r="L7" s="695"/>
      <c r="M7" s="695">
        <f t="shared" si="4"/>
        <v>0</v>
      </c>
    </row>
    <row r="8" spans="1:13">
      <c r="A8" s="719">
        <v>5</v>
      </c>
      <c r="B8" s="696" t="s">
        <v>1594</v>
      </c>
      <c r="C8" s="695">
        <v>22.349999999999998</v>
      </c>
      <c r="D8" s="695" t="s">
        <v>49</v>
      </c>
      <c r="E8" s="695">
        <v>5907.4</v>
      </c>
      <c r="F8" s="695">
        <f t="shared" si="1"/>
        <v>132030</v>
      </c>
      <c r="G8" s="695">
        <f t="shared" si="0"/>
        <v>22.349999999999998</v>
      </c>
      <c r="H8" s="695">
        <f t="shared" si="2"/>
        <v>5907.4</v>
      </c>
      <c r="I8" s="695">
        <f t="shared" si="3"/>
        <v>132030</v>
      </c>
      <c r="J8" s="695"/>
      <c r="K8" s="695"/>
      <c r="L8" s="695"/>
      <c r="M8" s="695">
        <f t="shared" si="4"/>
        <v>0</v>
      </c>
    </row>
    <row r="9" spans="1:13">
      <c r="A9" s="719">
        <v>6</v>
      </c>
      <c r="B9" s="696" t="s">
        <v>1595</v>
      </c>
      <c r="C9" s="695">
        <v>21.36</v>
      </c>
      <c r="D9" s="695" t="s">
        <v>125</v>
      </c>
      <c r="E9" s="695">
        <v>5043</v>
      </c>
      <c r="F9" s="695">
        <f t="shared" si="1"/>
        <v>107718</v>
      </c>
      <c r="G9" s="695">
        <f t="shared" si="0"/>
        <v>21.36</v>
      </c>
      <c r="H9" s="695">
        <f t="shared" si="2"/>
        <v>5043</v>
      </c>
      <c r="I9" s="695">
        <f t="shared" si="3"/>
        <v>107718</v>
      </c>
      <c r="J9" s="695"/>
      <c r="K9" s="695"/>
      <c r="L9" s="695"/>
      <c r="M9" s="695">
        <f t="shared" si="4"/>
        <v>0</v>
      </c>
    </row>
    <row r="10" spans="1:13">
      <c r="A10" s="719">
        <v>7</v>
      </c>
      <c r="B10" s="696" t="s">
        <v>456</v>
      </c>
      <c r="C10" s="695" t="s">
        <v>205</v>
      </c>
      <c r="D10" s="695"/>
      <c r="E10" s="695"/>
      <c r="F10" s="695"/>
      <c r="G10" s="695" t="s">
        <v>205</v>
      </c>
      <c r="H10" s="695"/>
      <c r="I10" s="695"/>
      <c r="J10" s="695"/>
      <c r="K10" s="695"/>
      <c r="L10" s="695"/>
      <c r="M10" s="695">
        <f t="shared" si="4"/>
        <v>0</v>
      </c>
    </row>
    <row r="11" spans="1:13">
      <c r="A11" s="719" t="s">
        <v>201</v>
      </c>
      <c r="B11" s="696" t="s">
        <v>850</v>
      </c>
      <c r="C11" s="695">
        <v>40.04</v>
      </c>
      <c r="D11" s="695" t="s">
        <v>92</v>
      </c>
      <c r="E11" s="695">
        <v>86.8</v>
      </c>
      <c r="F11" s="695">
        <f t="shared" si="1"/>
        <v>3475</v>
      </c>
      <c r="G11" s="695">
        <f>C11</f>
        <v>40.04</v>
      </c>
      <c r="H11" s="695">
        <f t="shared" si="2"/>
        <v>86.8</v>
      </c>
      <c r="I11" s="695">
        <f t="shared" si="3"/>
        <v>3475</v>
      </c>
      <c r="J11" s="695"/>
      <c r="K11" s="695"/>
      <c r="L11" s="695"/>
      <c r="M11" s="695">
        <f t="shared" si="4"/>
        <v>0</v>
      </c>
    </row>
    <row r="12" spans="1:13">
      <c r="A12" s="719" t="s">
        <v>220</v>
      </c>
      <c r="B12" s="696" t="s">
        <v>863</v>
      </c>
      <c r="C12" s="695">
        <v>54.289999999999992</v>
      </c>
      <c r="D12" s="695" t="s">
        <v>92</v>
      </c>
      <c r="E12" s="695">
        <v>314.89999999999998</v>
      </c>
      <c r="F12" s="695">
        <f t="shared" si="1"/>
        <v>17096</v>
      </c>
      <c r="G12" s="695">
        <f>C12-J12</f>
        <v>54.289999999999992</v>
      </c>
      <c r="H12" s="695">
        <f t="shared" si="2"/>
        <v>314.89999999999998</v>
      </c>
      <c r="I12" s="695">
        <f t="shared" si="3"/>
        <v>17096</v>
      </c>
      <c r="J12" s="695"/>
      <c r="K12" s="695"/>
      <c r="L12" s="695"/>
      <c r="M12" s="695">
        <f t="shared" si="4"/>
        <v>0</v>
      </c>
    </row>
    <row r="13" spans="1:13">
      <c r="A13" s="719" t="s">
        <v>244</v>
      </c>
      <c r="B13" s="696" t="s">
        <v>872</v>
      </c>
      <c r="C13" s="695">
        <v>34.47</v>
      </c>
      <c r="D13" s="695" t="s">
        <v>92</v>
      </c>
      <c r="E13" s="695">
        <v>471.4</v>
      </c>
      <c r="F13" s="695">
        <f t="shared" si="1"/>
        <v>16249</v>
      </c>
      <c r="G13" s="695">
        <f>C13</f>
        <v>34.47</v>
      </c>
      <c r="H13" s="695">
        <f t="shared" si="2"/>
        <v>471.4</v>
      </c>
      <c r="I13" s="695">
        <f t="shared" si="3"/>
        <v>16249</v>
      </c>
      <c r="J13" s="695"/>
      <c r="K13" s="695"/>
      <c r="L13" s="695"/>
      <c r="M13" s="695">
        <f t="shared" si="4"/>
        <v>0</v>
      </c>
    </row>
    <row r="14" spans="1:13">
      <c r="A14" s="719" t="s">
        <v>291</v>
      </c>
      <c r="B14" s="696" t="s">
        <v>879</v>
      </c>
      <c r="C14" s="695">
        <v>35.49</v>
      </c>
      <c r="D14" s="695" t="s">
        <v>92</v>
      </c>
      <c r="E14" s="695">
        <v>209.3</v>
      </c>
      <c r="F14" s="695">
        <f t="shared" si="1"/>
        <v>7428</v>
      </c>
      <c r="G14" s="695">
        <f>C14</f>
        <v>35.49</v>
      </c>
      <c r="H14" s="695">
        <f t="shared" si="2"/>
        <v>209.3</v>
      </c>
      <c r="I14" s="695">
        <f t="shared" si="3"/>
        <v>7428</v>
      </c>
      <c r="J14" s="695"/>
      <c r="K14" s="695"/>
      <c r="L14" s="695"/>
      <c r="M14" s="695">
        <f t="shared" si="4"/>
        <v>0</v>
      </c>
    </row>
    <row r="15" spans="1:13">
      <c r="A15" s="719">
        <v>8</v>
      </c>
      <c r="B15" s="696" t="s">
        <v>1596</v>
      </c>
      <c r="C15" s="695">
        <v>25.600000000000005</v>
      </c>
      <c r="D15" s="695" t="s">
        <v>49</v>
      </c>
      <c r="E15" s="695">
        <v>3390.4</v>
      </c>
      <c r="F15" s="695">
        <f t="shared" si="1"/>
        <v>86794</v>
      </c>
      <c r="G15" s="695">
        <f>C15</f>
        <v>25.600000000000005</v>
      </c>
      <c r="H15" s="695">
        <f t="shared" si="2"/>
        <v>3390.4</v>
      </c>
      <c r="I15" s="695">
        <f t="shared" si="3"/>
        <v>86794</v>
      </c>
      <c r="J15" s="695"/>
      <c r="K15" s="695"/>
      <c r="L15" s="695"/>
      <c r="M15" s="695">
        <f t="shared" si="4"/>
        <v>0</v>
      </c>
    </row>
    <row r="16" spans="1:13">
      <c r="A16" s="719">
        <v>9</v>
      </c>
      <c r="B16" s="696" t="s">
        <v>1597</v>
      </c>
      <c r="C16" s="695">
        <v>135.74</v>
      </c>
      <c r="D16" s="695" t="s">
        <v>49</v>
      </c>
      <c r="E16" s="695">
        <v>87.8</v>
      </c>
      <c r="F16" s="695">
        <f t="shared" si="1"/>
        <v>11918</v>
      </c>
      <c r="G16" s="695"/>
      <c r="H16" s="695">
        <f t="shared" si="2"/>
        <v>87.8</v>
      </c>
      <c r="I16" s="695">
        <v>0</v>
      </c>
      <c r="J16" s="695">
        <f>C16</f>
        <v>135.74</v>
      </c>
      <c r="K16" s="695">
        <f>E16</f>
        <v>87.8</v>
      </c>
      <c r="L16" s="695">
        <f t="shared" ref="L16:L35" si="5">ROUND(J16*K16,0)</f>
        <v>11918</v>
      </c>
      <c r="M16" s="695">
        <f t="shared" si="4"/>
        <v>0</v>
      </c>
    </row>
    <row r="17" spans="1:13">
      <c r="A17" s="719">
        <v>10</v>
      </c>
      <c r="B17" s="696" t="s">
        <v>1598</v>
      </c>
      <c r="C17" s="695">
        <v>0</v>
      </c>
      <c r="D17" s="695" t="s">
        <v>92</v>
      </c>
      <c r="E17" s="695">
        <v>108.6</v>
      </c>
      <c r="F17" s="695">
        <f t="shared" si="1"/>
        <v>0</v>
      </c>
      <c r="G17" s="695"/>
      <c r="H17" s="695">
        <f t="shared" si="2"/>
        <v>108.6</v>
      </c>
      <c r="I17" s="695">
        <v>0</v>
      </c>
      <c r="J17" s="695">
        <f t="shared" ref="J17:J32" si="6">C17</f>
        <v>0</v>
      </c>
      <c r="K17" s="695">
        <f>E17</f>
        <v>108.6</v>
      </c>
      <c r="L17" s="695">
        <f t="shared" si="5"/>
        <v>0</v>
      </c>
      <c r="M17" s="695">
        <f t="shared" si="4"/>
        <v>0</v>
      </c>
    </row>
    <row r="18" spans="1:13">
      <c r="A18" s="719">
        <v>11</v>
      </c>
      <c r="B18" s="696" t="s">
        <v>1599</v>
      </c>
      <c r="C18" s="695">
        <v>135.74</v>
      </c>
      <c r="D18" s="695" t="s">
        <v>92</v>
      </c>
      <c r="E18" s="695">
        <v>120.1</v>
      </c>
      <c r="F18" s="695">
        <f t="shared" si="1"/>
        <v>16302</v>
      </c>
      <c r="G18" s="695"/>
      <c r="H18" s="695">
        <f t="shared" si="2"/>
        <v>120.1</v>
      </c>
      <c r="I18" s="695">
        <v>0</v>
      </c>
      <c r="J18" s="695">
        <f t="shared" si="6"/>
        <v>135.74</v>
      </c>
      <c r="K18" s="695">
        <f>E18</f>
        <v>120.1</v>
      </c>
      <c r="L18" s="695">
        <f t="shared" si="5"/>
        <v>16302</v>
      </c>
      <c r="M18" s="695">
        <f t="shared" si="4"/>
        <v>0</v>
      </c>
    </row>
    <row r="19" spans="1:13">
      <c r="A19" s="719">
        <v>12</v>
      </c>
      <c r="B19" s="696" t="s">
        <v>1600</v>
      </c>
      <c r="C19" s="695">
        <v>65.55</v>
      </c>
      <c r="D19" s="695" t="s">
        <v>92</v>
      </c>
      <c r="E19" s="695">
        <v>143.9</v>
      </c>
      <c r="F19" s="695">
        <f t="shared" si="1"/>
        <v>9433</v>
      </c>
      <c r="G19" s="695"/>
      <c r="H19" s="695">
        <f t="shared" si="2"/>
        <v>143.9</v>
      </c>
      <c r="I19" s="695">
        <v>0</v>
      </c>
      <c r="J19" s="695">
        <f t="shared" si="6"/>
        <v>65.55</v>
      </c>
      <c r="K19" s="695">
        <f>E19</f>
        <v>143.9</v>
      </c>
      <c r="L19" s="695">
        <f t="shared" si="5"/>
        <v>9433</v>
      </c>
      <c r="M19" s="695">
        <f t="shared" si="4"/>
        <v>0</v>
      </c>
    </row>
    <row r="20" spans="1:13">
      <c r="A20" s="719">
        <v>13</v>
      </c>
      <c r="B20" s="696" t="s">
        <v>1601</v>
      </c>
      <c r="C20" s="695">
        <v>3.12</v>
      </c>
      <c r="D20" s="695" t="s">
        <v>92</v>
      </c>
      <c r="E20" s="695">
        <v>206.2</v>
      </c>
      <c r="F20" s="695">
        <f t="shared" si="1"/>
        <v>643</v>
      </c>
      <c r="G20" s="695"/>
      <c r="H20" s="695">
        <f t="shared" si="2"/>
        <v>206.2</v>
      </c>
      <c r="I20" s="695">
        <v>0</v>
      </c>
      <c r="J20" s="695">
        <f t="shared" si="6"/>
        <v>3.12</v>
      </c>
      <c r="K20" s="695">
        <f>E20</f>
        <v>206.2</v>
      </c>
      <c r="L20" s="695">
        <f t="shared" si="5"/>
        <v>643</v>
      </c>
      <c r="M20" s="695">
        <f t="shared" si="4"/>
        <v>0</v>
      </c>
    </row>
    <row r="21" spans="1:13">
      <c r="A21" s="719">
        <v>14</v>
      </c>
      <c r="B21" s="696" t="s">
        <v>1602</v>
      </c>
      <c r="C21" s="695">
        <v>0</v>
      </c>
      <c r="D21" s="695" t="s">
        <v>92</v>
      </c>
      <c r="E21" s="695"/>
      <c r="F21" s="695"/>
      <c r="G21" s="695"/>
      <c r="H21" s="695"/>
      <c r="I21" s="695"/>
      <c r="J21" s="695"/>
      <c r="K21" s="695"/>
      <c r="L21" s="695"/>
      <c r="M21" s="695"/>
    </row>
    <row r="22" spans="1:13">
      <c r="A22" s="719"/>
      <c r="B22" s="696" t="s">
        <v>1603</v>
      </c>
      <c r="C22" s="695">
        <v>43.729999999999983</v>
      </c>
      <c r="D22" s="695" t="s">
        <v>92</v>
      </c>
      <c r="E22" s="695">
        <v>868.78</v>
      </c>
      <c r="F22" s="695">
        <f t="shared" si="1"/>
        <v>37992</v>
      </c>
      <c r="G22" s="695"/>
      <c r="H22" s="695"/>
      <c r="I22" s="695"/>
      <c r="J22" s="695">
        <f t="shared" si="6"/>
        <v>43.729999999999983</v>
      </c>
      <c r="K22" s="695">
        <f>E22</f>
        <v>868.78</v>
      </c>
      <c r="L22" s="695">
        <f t="shared" si="5"/>
        <v>37992</v>
      </c>
      <c r="M22" s="695"/>
    </row>
    <row r="23" spans="1:13">
      <c r="A23" s="719"/>
      <c r="B23" s="696" t="s">
        <v>1604</v>
      </c>
      <c r="C23" s="695">
        <v>4.96</v>
      </c>
      <c r="D23" s="695" t="s">
        <v>92</v>
      </c>
      <c r="E23" s="695">
        <v>632.79999999999995</v>
      </c>
      <c r="F23" s="695">
        <f t="shared" si="1"/>
        <v>3139</v>
      </c>
      <c r="G23" s="695"/>
      <c r="H23" s="695"/>
      <c r="I23" s="695"/>
      <c r="J23" s="695">
        <f t="shared" si="6"/>
        <v>4.96</v>
      </c>
      <c r="K23" s="695">
        <f>E23</f>
        <v>632.79999999999995</v>
      </c>
      <c r="L23" s="695">
        <f t="shared" si="5"/>
        <v>3139</v>
      </c>
      <c r="M23" s="695"/>
    </row>
    <row r="24" spans="1:13">
      <c r="A24" s="719">
        <v>15</v>
      </c>
      <c r="B24" s="696" t="s">
        <v>1605</v>
      </c>
      <c r="C24" s="695">
        <v>0</v>
      </c>
      <c r="D24" s="695" t="s">
        <v>92</v>
      </c>
      <c r="E24" s="695"/>
      <c r="F24" s="695"/>
      <c r="G24" s="695"/>
      <c r="H24" s="695"/>
      <c r="I24" s="695"/>
      <c r="J24" s="695"/>
      <c r="K24" s="695"/>
      <c r="L24" s="695"/>
      <c r="M24" s="695"/>
    </row>
    <row r="25" spans="1:13">
      <c r="A25" s="719"/>
      <c r="B25" s="696" t="s">
        <v>1603</v>
      </c>
      <c r="C25" s="695">
        <v>2.76</v>
      </c>
      <c r="D25" s="695" t="s">
        <v>92</v>
      </c>
      <c r="E25" s="695">
        <v>1086.52</v>
      </c>
      <c r="F25" s="695">
        <f t="shared" si="1"/>
        <v>2999</v>
      </c>
      <c r="G25" s="695"/>
      <c r="H25" s="695"/>
      <c r="I25" s="695"/>
      <c r="J25" s="695">
        <f t="shared" si="6"/>
        <v>2.76</v>
      </c>
      <c r="K25" s="695">
        <f t="shared" ref="K25:K35" si="7">E25</f>
        <v>1086.52</v>
      </c>
      <c r="L25" s="695">
        <f t="shared" si="5"/>
        <v>2999</v>
      </c>
      <c r="M25" s="695"/>
    </row>
    <row r="26" spans="1:13">
      <c r="A26" s="719"/>
      <c r="B26" s="696" t="s">
        <v>1604</v>
      </c>
      <c r="C26" s="695">
        <v>12.899999999999999</v>
      </c>
      <c r="D26" s="695" t="s">
        <v>92</v>
      </c>
      <c r="E26" s="695">
        <v>808.5</v>
      </c>
      <c r="F26" s="695">
        <f t="shared" si="1"/>
        <v>10430</v>
      </c>
      <c r="G26" s="695"/>
      <c r="H26" s="695"/>
      <c r="I26" s="695"/>
      <c r="J26" s="695">
        <f t="shared" si="6"/>
        <v>12.899999999999999</v>
      </c>
      <c r="K26" s="695">
        <f t="shared" si="7"/>
        <v>808.5</v>
      </c>
      <c r="L26" s="695">
        <f t="shared" si="5"/>
        <v>10430</v>
      </c>
      <c r="M26" s="695"/>
    </row>
    <row r="27" spans="1:13">
      <c r="A27" s="719">
        <v>16</v>
      </c>
      <c r="B27" s="696" t="s">
        <v>1606</v>
      </c>
      <c r="C27" s="695">
        <v>271.48</v>
      </c>
      <c r="D27" s="695" t="s">
        <v>92</v>
      </c>
      <c r="E27" s="695">
        <v>11.4</v>
      </c>
      <c r="F27" s="695">
        <f t="shared" si="1"/>
        <v>3095</v>
      </c>
      <c r="G27" s="695"/>
      <c r="H27" s="695">
        <f t="shared" si="2"/>
        <v>11.4</v>
      </c>
      <c r="I27" s="695">
        <v>0</v>
      </c>
      <c r="J27" s="695">
        <f t="shared" si="6"/>
        <v>271.48</v>
      </c>
      <c r="K27" s="695">
        <f t="shared" si="7"/>
        <v>11.4</v>
      </c>
      <c r="L27" s="695">
        <f t="shared" si="5"/>
        <v>3095</v>
      </c>
      <c r="M27" s="695">
        <f t="shared" si="4"/>
        <v>0</v>
      </c>
    </row>
    <row r="28" spans="1:13">
      <c r="A28" s="719">
        <v>17</v>
      </c>
      <c r="B28" s="696" t="s">
        <v>1607</v>
      </c>
      <c r="C28" s="695">
        <v>281.32000000000005</v>
      </c>
      <c r="D28" s="695" t="s">
        <v>92</v>
      </c>
      <c r="E28" s="695">
        <v>35.1</v>
      </c>
      <c r="F28" s="695">
        <f t="shared" si="1"/>
        <v>9874</v>
      </c>
      <c r="G28" s="695"/>
      <c r="H28" s="695">
        <f t="shared" si="2"/>
        <v>35.1</v>
      </c>
      <c r="I28" s="695">
        <v>0</v>
      </c>
      <c r="J28" s="695">
        <f t="shared" si="6"/>
        <v>281.32000000000005</v>
      </c>
      <c r="K28" s="695">
        <f t="shared" si="7"/>
        <v>35.1</v>
      </c>
      <c r="L28" s="695">
        <f t="shared" si="5"/>
        <v>9874</v>
      </c>
      <c r="M28" s="695">
        <f t="shared" si="4"/>
        <v>0</v>
      </c>
    </row>
    <row r="29" spans="1:13">
      <c r="A29" s="719">
        <v>18</v>
      </c>
      <c r="B29" s="696" t="s">
        <v>1608</v>
      </c>
      <c r="C29" s="695">
        <v>102.4</v>
      </c>
      <c r="D29" s="695" t="s">
        <v>92</v>
      </c>
      <c r="E29" s="695">
        <v>49.7</v>
      </c>
      <c r="F29" s="695">
        <f t="shared" si="1"/>
        <v>5089</v>
      </c>
      <c r="G29" s="695"/>
      <c r="H29" s="695">
        <f t="shared" si="2"/>
        <v>49.7</v>
      </c>
      <c r="I29" s="695">
        <v>0</v>
      </c>
      <c r="J29" s="695">
        <f t="shared" si="6"/>
        <v>102.4</v>
      </c>
      <c r="K29" s="695">
        <f t="shared" si="7"/>
        <v>49.7</v>
      </c>
      <c r="L29" s="695">
        <f t="shared" si="5"/>
        <v>5089</v>
      </c>
      <c r="M29" s="695">
        <f t="shared" si="4"/>
        <v>0</v>
      </c>
    </row>
    <row r="30" spans="1:13">
      <c r="A30" s="719">
        <v>19</v>
      </c>
      <c r="B30" s="696" t="s">
        <v>1609</v>
      </c>
      <c r="C30" s="695">
        <v>178.92000000000002</v>
      </c>
      <c r="D30" s="695" t="s">
        <v>92</v>
      </c>
      <c r="E30" s="695">
        <v>41.4</v>
      </c>
      <c r="F30" s="695">
        <f t="shared" si="1"/>
        <v>7407</v>
      </c>
      <c r="G30" s="695"/>
      <c r="H30" s="695">
        <f t="shared" si="2"/>
        <v>41.4</v>
      </c>
      <c r="I30" s="695">
        <v>0</v>
      </c>
      <c r="J30" s="695">
        <f t="shared" si="6"/>
        <v>178.92000000000002</v>
      </c>
      <c r="K30" s="695">
        <f t="shared" si="7"/>
        <v>41.4</v>
      </c>
      <c r="L30" s="695">
        <f t="shared" si="5"/>
        <v>7407</v>
      </c>
      <c r="M30" s="695">
        <f t="shared" si="4"/>
        <v>0</v>
      </c>
    </row>
    <row r="31" spans="1:13">
      <c r="A31" s="719">
        <v>20</v>
      </c>
      <c r="B31" s="696" t="s">
        <v>1610</v>
      </c>
      <c r="C31" s="695">
        <v>37.120000000000005</v>
      </c>
      <c r="D31" s="703" t="s">
        <v>92</v>
      </c>
      <c r="E31" s="695">
        <v>110.9</v>
      </c>
      <c r="F31" s="695">
        <f t="shared" si="1"/>
        <v>4117</v>
      </c>
      <c r="G31" s="695"/>
      <c r="H31" s="695">
        <f t="shared" si="2"/>
        <v>110.9</v>
      </c>
      <c r="I31" s="695">
        <v>0</v>
      </c>
      <c r="J31" s="695">
        <f t="shared" si="6"/>
        <v>37.120000000000005</v>
      </c>
      <c r="K31" s="695">
        <f t="shared" si="7"/>
        <v>110.9</v>
      </c>
      <c r="L31" s="695">
        <f t="shared" si="5"/>
        <v>4117</v>
      </c>
      <c r="M31" s="695">
        <f t="shared" si="4"/>
        <v>0</v>
      </c>
    </row>
    <row r="32" spans="1:13">
      <c r="A32" s="719">
        <v>21</v>
      </c>
      <c r="B32" s="696" t="s">
        <v>1611</v>
      </c>
      <c r="C32" s="695">
        <v>808.82999999999993</v>
      </c>
      <c r="D32" s="695" t="s">
        <v>95</v>
      </c>
      <c r="E32" s="695">
        <v>67</v>
      </c>
      <c r="F32" s="695">
        <f t="shared" si="1"/>
        <v>54192</v>
      </c>
      <c r="G32" s="695"/>
      <c r="H32" s="695">
        <f t="shared" si="2"/>
        <v>67</v>
      </c>
      <c r="I32" s="695">
        <v>0</v>
      </c>
      <c r="J32" s="695">
        <f t="shared" si="6"/>
        <v>808.82999999999993</v>
      </c>
      <c r="K32" s="695">
        <f t="shared" si="7"/>
        <v>67</v>
      </c>
      <c r="L32" s="695">
        <f t="shared" si="5"/>
        <v>54192</v>
      </c>
      <c r="M32" s="695">
        <f t="shared" si="4"/>
        <v>0</v>
      </c>
    </row>
    <row r="33" spans="1:13">
      <c r="A33" s="699">
        <v>22</v>
      </c>
      <c r="B33" s="699" t="s">
        <v>1612</v>
      </c>
      <c r="C33" s="703">
        <v>1</v>
      </c>
      <c r="D33" s="694" t="s">
        <v>37</v>
      </c>
      <c r="E33" s="694">
        <v>8185</v>
      </c>
      <c r="F33" s="694">
        <f>C33*E33</f>
        <v>8185</v>
      </c>
      <c r="G33" s="694">
        <v>1</v>
      </c>
      <c r="H33" s="694">
        <f t="shared" si="2"/>
        <v>8185</v>
      </c>
      <c r="I33" s="694">
        <f>ROUND(G33*H33,0)</f>
        <v>8185</v>
      </c>
      <c r="J33" s="694"/>
      <c r="K33" s="694">
        <f t="shared" si="7"/>
        <v>8185</v>
      </c>
      <c r="L33" s="694">
        <f t="shared" si="5"/>
        <v>0</v>
      </c>
      <c r="M33" s="694">
        <f t="shared" si="4"/>
        <v>0</v>
      </c>
    </row>
    <row r="34" spans="1:13">
      <c r="A34" s="719">
        <v>23</v>
      </c>
      <c r="B34" s="696" t="s">
        <v>1613</v>
      </c>
      <c r="C34" s="1287"/>
      <c r="D34" s="694" t="s">
        <v>37</v>
      </c>
      <c r="E34" s="695">
        <v>0</v>
      </c>
      <c r="F34" s="695">
        <f>C34*E34</f>
        <v>0</v>
      </c>
      <c r="G34" s="695"/>
      <c r="H34" s="695">
        <f t="shared" si="2"/>
        <v>0</v>
      </c>
      <c r="I34" s="695">
        <v>0</v>
      </c>
      <c r="J34" s="695"/>
      <c r="K34" s="695">
        <f t="shared" si="7"/>
        <v>0</v>
      </c>
      <c r="L34" s="695">
        <f t="shared" si="5"/>
        <v>0</v>
      </c>
      <c r="M34" s="695">
        <f t="shared" si="4"/>
        <v>0</v>
      </c>
    </row>
    <row r="35" spans="1:13">
      <c r="A35" s="719">
        <v>24</v>
      </c>
      <c r="B35" s="696" t="s">
        <v>1614</v>
      </c>
      <c r="C35" s="1287"/>
      <c r="D35" s="694" t="s">
        <v>37</v>
      </c>
      <c r="E35" s="695">
        <v>0</v>
      </c>
      <c r="F35" s="695">
        <f>C35*E35</f>
        <v>0</v>
      </c>
      <c r="G35" s="695"/>
      <c r="H35" s="695">
        <f t="shared" si="2"/>
        <v>0</v>
      </c>
      <c r="I35" s="695">
        <v>0</v>
      </c>
      <c r="J35" s="695"/>
      <c r="K35" s="695">
        <f t="shared" si="7"/>
        <v>0</v>
      </c>
      <c r="L35" s="695">
        <f t="shared" si="5"/>
        <v>0</v>
      </c>
      <c r="M35" s="695">
        <f t="shared" si="4"/>
        <v>0</v>
      </c>
    </row>
    <row r="36" spans="1:13">
      <c r="A36" s="719">
        <v>25</v>
      </c>
      <c r="B36" s="696" t="s">
        <v>1615</v>
      </c>
      <c r="C36" s="1287"/>
      <c r="D36" s="695" t="s">
        <v>1513</v>
      </c>
      <c r="E36" s="695"/>
      <c r="F36" s="695">
        <v>15000</v>
      </c>
      <c r="G36" s="695"/>
      <c r="H36" s="695"/>
      <c r="I36" s="694"/>
      <c r="J36" s="695"/>
      <c r="K36" s="695"/>
      <c r="L36" s="695">
        <f>F36-I36</f>
        <v>15000</v>
      </c>
      <c r="M36" s="695">
        <f t="shared" si="4"/>
        <v>0</v>
      </c>
    </row>
    <row r="37" spans="1:13">
      <c r="A37" s="719">
        <v>26</v>
      </c>
      <c r="B37" s="696" t="s">
        <v>1616</v>
      </c>
      <c r="C37" s="1287" t="s">
        <v>205</v>
      </c>
      <c r="D37" s="695" t="s">
        <v>1513</v>
      </c>
      <c r="E37" s="695"/>
      <c r="F37" s="695">
        <v>25424</v>
      </c>
      <c r="G37" s="695"/>
      <c r="H37" s="695"/>
      <c r="I37" s="695"/>
      <c r="J37" s="695"/>
      <c r="K37" s="695"/>
      <c r="L37" s="695">
        <f>F37</f>
        <v>25424</v>
      </c>
      <c r="M37" s="695">
        <f t="shared" si="4"/>
        <v>0</v>
      </c>
    </row>
    <row r="38" spans="1:13">
      <c r="A38" s="719">
        <v>27</v>
      </c>
      <c r="B38" s="696" t="s">
        <v>1617</v>
      </c>
      <c r="C38" s="695">
        <v>42</v>
      </c>
      <c r="D38" s="695"/>
      <c r="E38" s="695">
        <v>220</v>
      </c>
      <c r="F38" s="695">
        <f>C38*E38</f>
        <v>9240</v>
      </c>
      <c r="G38" s="695"/>
      <c r="H38" s="695"/>
      <c r="I38" s="695">
        <f>F38</f>
        <v>9240</v>
      </c>
      <c r="J38" s="695"/>
      <c r="K38" s="695"/>
      <c r="L38" s="695"/>
      <c r="M38" s="695">
        <f t="shared" si="4"/>
        <v>0</v>
      </c>
    </row>
    <row r="39" spans="1:13">
      <c r="A39" s="719">
        <v>28</v>
      </c>
      <c r="B39" s="696" t="s">
        <v>1523</v>
      </c>
      <c r="C39" s="695">
        <v>42</v>
      </c>
      <c r="D39" s="695"/>
      <c r="E39" s="695">
        <v>174</v>
      </c>
      <c r="F39" s="695">
        <f>C39*E39</f>
        <v>7308</v>
      </c>
      <c r="G39" s="695"/>
      <c r="H39" s="695"/>
      <c r="I39" s="695">
        <f>F39</f>
        <v>7308</v>
      </c>
      <c r="J39" s="695"/>
      <c r="K39" s="695"/>
      <c r="L39" s="695"/>
      <c r="M39" s="695">
        <f t="shared" si="4"/>
        <v>0</v>
      </c>
    </row>
    <row r="40" spans="1:13">
      <c r="A40" s="719">
        <v>29</v>
      </c>
      <c r="B40" s="696" t="s">
        <v>1618</v>
      </c>
      <c r="C40" s="695"/>
      <c r="D40" s="695" t="s">
        <v>1513</v>
      </c>
      <c r="E40" s="695"/>
      <c r="F40" s="695">
        <v>500</v>
      </c>
      <c r="G40" s="695"/>
      <c r="H40" s="695"/>
      <c r="I40" s="695">
        <f>F40</f>
        <v>500</v>
      </c>
      <c r="J40" s="695"/>
      <c r="K40" s="695"/>
      <c r="L40" s="695"/>
      <c r="M40" s="695">
        <f>F40-(I40+L40)</f>
        <v>0</v>
      </c>
    </row>
    <row r="41" spans="1:13">
      <c r="A41" s="719">
        <v>30</v>
      </c>
      <c r="B41" s="696" t="s">
        <v>1619</v>
      </c>
      <c r="C41" s="695">
        <v>42</v>
      </c>
      <c r="D41" s="695" t="s">
        <v>1513</v>
      </c>
      <c r="E41" s="695">
        <v>174</v>
      </c>
      <c r="F41" s="695">
        <f>C41*E41</f>
        <v>7308</v>
      </c>
      <c r="G41" s="695"/>
      <c r="H41" s="695"/>
      <c r="I41" s="695">
        <f>F41</f>
        <v>7308</v>
      </c>
      <c r="J41" s="695"/>
      <c r="K41" s="695"/>
      <c r="L41" s="695"/>
      <c r="M41" s="695">
        <f t="shared" si="4"/>
        <v>0</v>
      </c>
    </row>
    <row r="42" spans="1:13">
      <c r="A42" s="719">
        <v>31</v>
      </c>
      <c r="B42" s="696" t="s">
        <v>1620</v>
      </c>
      <c r="C42" s="695"/>
      <c r="D42" s="695" t="s">
        <v>1513</v>
      </c>
      <c r="E42" s="695"/>
      <c r="F42" s="695">
        <v>2500</v>
      </c>
      <c r="G42" s="695"/>
      <c r="H42" s="695"/>
      <c r="I42" s="695">
        <f>F42</f>
        <v>2500</v>
      </c>
      <c r="J42" s="695"/>
      <c r="K42" s="695"/>
      <c r="L42" s="695"/>
      <c r="M42" s="695">
        <f t="shared" si="4"/>
        <v>0</v>
      </c>
    </row>
    <row r="43" spans="1:13">
      <c r="A43" s="719"/>
      <c r="B43" s="696"/>
      <c r="C43" s="695"/>
      <c r="D43" s="695"/>
      <c r="E43" s="695"/>
      <c r="F43" s="703">
        <f>SUM(F4:F42)</f>
        <v>691000</v>
      </c>
      <c r="G43" s="695"/>
      <c r="H43" s="695"/>
      <c r="I43" s="703">
        <f>SUM(I4:I42)</f>
        <v>473946</v>
      </c>
      <c r="J43" s="695"/>
      <c r="K43" s="695"/>
      <c r="L43" s="703">
        <f>SUM(L4:L42)</f>
        <v>217054</v>
      </c>
      <c r="M43" s="695">
        <v>0</v>
      </c>
    </row>
    <row r="44" spans="1:13">
      <c r="A44" s="719">
        <v>32</v>
      </c>
      <c r="B44" s="696" t="s">
        <v>1621</v>
      </c>
      <c r="C44" s="695"/>
      <c r="D44" s="695"/>
      <c r="E44" s="695"/>
      <c r="F44" s="695">
        <v>2000</v>
      </c>
      <c r="G44" s="695"/>
      <c r="H44" s="695"/>
      <c r="I44" s="695"/>
      <c r="J44" s="695"/>
      <c r="K44" s="695"/>
      <c r="L44" s="695">
        <f>F44</f>
        <v>2000</v>
      </c>
      <c r="M44" s="695">
        <v>0</v>
      </c>
    </row>
    <row r="45" spans="1:13">
      <c r="A45" s="719">
        <v>33</v>
      </c>
      <c r="B45" s="696" t="s">
        <v>1622</v>
      </c>
      <c r="C45" s="695"/>
      <c r="D45" s="695"/>
      <c r="E45" s="695"/>
      <c r="F45" s="695">
        <v>7000</v>
      </c>
      <c r="G45" s="695"/>
      <c r="H45" s="695"/>
      <c r="I45" s="695">
        <f>F45-L45</f>
        <v>5000</v>
      </c>
      <c r="J45" s="695"/>
      <c r="K45" s="695"/>
      <c r="L45" s="695">
        <f>L44</f>
        <v>2000</v>
      </c>
      <c r="M45" s="695">
        <v>0</v>
      </c>
    </row>
    <row r="46" spans="1:13">
      <c r="A46" s="719"/>
      <c r="B46" s="696"/>
      <c r="C46" s="695"/>
      <c r="D46" s="695"/>
      <c r="E46" s="694" t="s">
        <v>928</v>
      </c>
      <c r="F46" s="695">
        <f>SUM(F43:F45)</f>
        <v>700000</v>
      </c>
      <c r="G46" s="695"/>
      <c r="H46" s="695" t="s">
        <v>928</v>
      </c>
      <c r="I46" s="695">
        <f>SUM(I43:I45)</f>
        <v>478946</v>
      </c>
      <c r="J46" s="695"/>
      <c r="K46" s="695" t="s">
        <v>928</v>
      </c>
      <c r="L46" s="695">
        <f>SUM(L43:L45)</f>
        <v>221054</v>
      </c>
      <c r="M46" s="695">
        <f>I46+L46</f>
        <v>700000</v>
      </c>
    </row>
    <row r="47" spans="1:13">
      <c r="A47" s="719"/>
      <c r="B47" s="696"/>
      <c r="C47" s="695"/>
      <c r="D47" s="695"/>
      <c r="E47" s="694" t="s">
        <v>1623</v>
      </c>
      <c r="F47" s="695">
        <v>700000</v>
      </c>
      <c r="G47" s="695"/>
      <c r="H47" s="695" t="s">
        <v>1624</v>
      </c>
      <c r="I47" s="695">
        <f>-L47</f>
        <v>21054</v>
      </c>
      <c r="J47" s="695"/>
      <c r="K47" s="695" t="s">
        <v>1625</v>
      </c>
      <c r="L47" s="695">
        <v>-21054</v>
      </c>
      <c r="M47" s="695"/>
    </row>
    <row r="48" spans="1:13">
      <c r="A48" s="719"/>
      <c r="B48" s="696"/>
      <c r="C48" s="695"/>
      <c r="D48" s="695"/>
      <c r="E48" s="695"/>
      <c r="F48" s="695"/>
      <c r="G48" s="695"/>
      <c r="H48" s="695"/>
      <c r="I48" s="695">
        <f>I46+I47</f>
        <v>500000</v>
      </c>
      <c r="J48" s="695"/>
      <c r="K48" s="695"/>
      <c r="L48" s="695">
        <f>L46+L47</f>
        <v>200000</v>
      </c>
      <c r="M48" s="695">
        <f>I48+L48</f>
        <v>700000</v>
      </c>
    </row>
    <row r="49" spans="1:13">
      <c r="A49" s="719"/>
      <c r="B49" s="696"/>
      <c r="C49" s="695"/>
      <c r="D49" s="695"/>
      <c r="E49" s="695"/>
      <c r="F49" s="695"/>
      <c r="G49" s="695"/>
      <c r="H49" s="695" t="s">
        <v>1623</v>
      </c>
      <c r="I49" s="695">
        <v>500000</v>
      </c>
      <c r="J49" s="695"/>
      <c r="K49" s="695"/>
      <c r="L49" s="695">
        <v>200000</v>
      </c>
      <c r="M49" s="695"/>
    </row>
    <row r="51" spans="1:13" s="1410" customFormat="1">
      <c r="B51" s="1410" t="s">
        <v>188</v>
      </c>
      <c r="G51" s="1410" t="s">
        <v>189</v>
      </c>
      <c r="L51" s="1410" t="s">
        <v>190</v>
      </c>
    </row>
    <row r="52" spans="1:13" s="1410" customFormat="1">
      <c r="B52" s="1410" t="s">
        <v>191</v>
      </c>
      <c r="G52" s="1410" t="str">
        <f>B52</f>
        <v>Kamakhyanagar Block</v>
      </c>
      <c r="L52" s="1410" t="str">
        <f>G52</f>
        <v>Kamakhyanagar Block</v>
      </c>
    </row>
  </sheetData>
  <mergeCells count="5">
    <mergeCell ref="A1:M1"/>
    <mergeCell ref="A2:F2"/>
    <mergeCell ref="G2:I2"/>
    <mergeCell ref="J2:L2"/>
    <mergeCell ref="M2:M3"/>
  </mergeCells>
  <pageMargins left="0.43307086614173229" right="0.19685039370078741" top="0.23622047244094491" bottom="0.23622047244094491" header="0.31496062992125984" footer="0.31496062992125984"/>
  <pageSetup paperSize="9" scale="80" orientation="landscape" r:id="rId1"/>
</worksheet>
</file>

<file path=xl/worksheets/sheet47.xml><?xml version="1.0" encoding="utf-8"?>
<worksheet xmlns="http://schemas.openxmlformats.org/spreadsheetml/2006/main" xmlns:r="http://schemas.openxmlformats.org/officeDocument/2006/relationships">
  <sheetPr>
    <tabColor rgb="FF00B050"/>
  </sheetPr>
  <dimension ref="A2:J50"/>
  <sheetViews>
    <sheetView view="pageBreakPreview" zoomScale="96" zoomScaleSheetLayoutView="96" workbookViewId="0">
      <selection activeCell="L27" sqref="L27"/>
    </sheetView>
  </sheetViews>
  <sheetFormatPr defaultRowHeight="12.75"/>
  <cols>
    <col min="1" max="7" width="8.7109375" style="6" customWidth="1"/>
    <col min="8" max="8" width="11.28515625" style="6" customWidth="1"/>
    <col min="9" max="9" width="7" style="6" customWidth="1"/>
    <col min="10" max="10" width="13.28515625" style="6" customWidth="1"/>
    <col min="11" max="256" width="8.85546875" style="6"/>
    <col min="257" max="265" width="8.7109375" style="6" customWidth="1"/>
    <col min="266" max="266" width="13.28515625" style="6" customWidth="1"/>
    <col min="267" max="512" width="8.85546875" style="6"/>
    <col min="513" max="521" width="8.7109375" style="6" customWidth="1"/>
    <col min="522" max="522" width="13.28515625" style="6" customWidth="1"/>
    <col min="523" max="768" width="8.85546875" style="6"/>
    <col min="769" max="777" width="8.7109375" style="6" customWidth="1"/>
    <col min="778" max="778" width="13.28515625" style="6" customWidth="1"/>
    <col min="779" max="1024" width="8.85546875" style="6"/>
    <col min="1025" max="1033" width="8.7109375" style="6" customWidth="1"/>
    <col min="1034" max="1034" width="13.28515625" style="6" customWidth="1"/>
    <col min="1035" max="1280" width="8.85546875" style="6"/>
    <col min="1281" max="1289" width="8.7109375" style="6" customWidth="1"/>
    <col min="1290" max="1290" width="13.28515625" style="6" customWidth="1"/>
    <col min="1291" max="1536" width="8.85546875" style="6"/>
    <col min="1537" max="1545" width="8.7109375" style="6" customWidth="1"/>
    <col min="1546" max="1546" width="13.28515625" style="6" customWidth="1"/>
    <col min="1547" max="1792" width="8.85546875" style="6"/>
    <col min="1793" max="1801" width="8.7109375" style="6" customWidth="1"/>
    <col min="1802" max="1802" width="13.28515625" style="6" customWidth="1"/>
    <col min="1803" max="2048" width="8.85546875" style="6"/>
    <col min="2049" max="2057" width="8.7109375" style="6" customWidth="1"/>
    <col min="2058" max="2058" width="13.28515625" style="6" customWidth="1"/>
    <col min="2059" max="2304" width="8.85546875" style="6"/>
    <col min="2305" max="2313" width="8.7109375" style="6" customWidth="1"/>
    <col min="2314" max="2314" width="13.28515625" style="6" customWidth="1"/>
    <col min="2315" max="2560" width="8.85546875" style="6"/>
    <col min="2561" max="2569" width="8.7109375" style="6" customWidth="1"/>
    <col min="2570" max="2570" width="13.28515625" style="6" customWidth="1"/>
    <col min="2571" max="2816" width="8.85546875" style="6"/>
    <col min="2817" max="2825" width="8.7109375" style="6" customWidth="1"/>
    <col min="2826" max="2826" width="13.28515625" style="6" customWidth="1"/>
    <col min="2827" max="3072" width="8.85546875" style="6"/>
    <col min="3073" max="3081" width="8.7109375" style="6" customWidth="1"/>
    <col min="3082" max="3082" width="13.28515625" style="6" customWidth="1"/>
    <col min="3083" max="3328" width="8.85546875" style="6"/>
    <col min="3329" max="3337" width="8.7109375" style="6" customWidth="1"/>
    <col min="3338" max="3338" width="13.28515625" style="6" customWidth="1"/>
    <col min="3339" max="3584" width="8.85546875" style="6"/>
    <col min="3585" max="3593" width="8.7109375" style="6" customWidth="1"/>
    <col min="3594" max="3594" width="13.28515625" style="6" customWidth="1"/>
    <col min="3595" max="3840" width="8.85546875" style="6"/>
    <col min="3841" max="3849" width="8.7109375" style="6" customWidth="1"/>
    <col min="3850" max="3850" width="13.28515625" style="6" customWidth="1"/>
    <col min="3851" max="4096" width="8.85546875" style="6"/>
    <col min="4097" max="4105" width="8.7109375" style="6" customWidth="1"/>
    <col min="4106" max="4106" width="13.28515625" style="6" customWidth="1"/>
    <col min="4107" max="4352" width="8.85546875" style="6"/>
    <col min="4353" max="4361" width="8.7109375" style="6" customWidth="1"/>
    <col min="4362" max="4362" width="13.28515625" style="6" customWidth="1"/>
    <col min="4363" max="4608" width="8.85546875" style="6"/>
    <col min="4609" max="4617" width="8.7109375" style="6" customWidth="1"/>
    <col min="4618" max="4618" width="13.28515625" style="6" customWidth="1"/>
    <col min="4619" max="4864" width="8.85546875" style="6"/>
    <col min="4865" max="4873" width="8.7109375" style="6" customWidth="1"/>
    <col min="4874" max="4874" width="13.28515625" style="6" customWidth="1"/>
    <col min="4875" max="5120" width="8.85546875" style="6"/>
    <col min="5121" max="5129" width="8.7109375" style="6" customWidth="1"/>
    <col min="5130" max="5130" width="13.28515625" style="6" customWidth="1"/>
    <col min="5131" max="5376" width="8.85546875" style="6"/>
    <col min="5377" max="5385" width="8.7109375" style="6" customWidth="1"/>
    <col min="5386" max="5386" width="13.28515625" style="6" customWidth="1"/>
    <col min="5387" max="5632" width="8.85546875" style="6"/>
    <col min="5633" max="5641" width="8.7109375" style="6" customWidth="1"/>
    <col min="5642" max="5642" width="13.28515625" style="6" customWidth="1"/>
    <col min="5643" max="5888" width="8.85546875" style="6"/>
    <col min="5889" max="5897" width="8.7109375" style="6" customWidth="1"/>
    <col min="5898" max="5898" width="13.28515625" style="6" customWidth="1"/>
    <col min="5899" max="6144" width="8.85546875" style="6"/>
    <col min="6145" max="6153" width="8.7109375" style="6" customWidth="1"/>
    <col min="6154" max="6154" width="13.28515625" style="6" customWidth="1"/>
    <col min="6155" max="6400" width="8.85546875" style="6"/>
    <col min="6401" max="6409" width="8.7109375" style="6" customWidth="1"/>
    <col min="6410" max="6410" width="13.28515625" style="6" customWidth="1"/>
    <col min="6411" max="6656" width="8.85546875" style="6"/>
    <col min="6657" max="6665" width="8.7109375" style="6" customWidth="1"/>
    <col min="6666" max="6666" width="13.28515625" style="6" customWidth="1"/>
    <col min="6667" max="6912" width="8.85546875" style="6"/>
    <col min="6913" max="6921" width="8.7109375" style="6" customWidth="1"/>
    <col min="6922" max="6922" width="13.28515625" style="6" customWidth="1"/>
    <col min="6923" max="7168" width="8.85546875" style="6"/>
    <col min="7169" max="7177" width="8.7109375" style="6" customWidth="1"/>
    <col min="7178" max="7178" width="13.28515625" style="6" customWidth="1"/>
    <col min="7179" max="7424" width="8.85546875" style="6"/>
    <col min="7425" max="7433" width="8.7109375" style="6" customWidth="1"/>
    <col min="7434" max="7434" width="13.28515625" style="6" customWidth="1"/>
    <col min="7435" max="7680" width="8.85546875" style="6"/>
    <col min="7681" max="7689" width="8.7109375" style="6" customWidth="1"/>
    <col min="7690" max="7690" width="13.28515625" style="6" customWidth="1"/>
    <col min="7691" max="7936" width="8.85546875" style="6"/>
    <col min="7937" max="7945" width="8.7109375" style="6" customWidth="1"/>
    <col min="7946" max="7946" width="13.28515625" style="6" customWidth="1"/>
    <col min="7947" max="8192" width="8.85546875" style="6"/>
    <col min="8193" max="8201" width="8.7109375" style="6" customWidth="1"/>
    <col min="8202" max="8202" width="13.28515625" style="6" customWidth="1"/>
    <col min="8203" max="8448" width="8.85546875" style="6"/>
    <col min="8449" max="8457" width="8.7109375" style="6" customWidth="1"/>
    <col min="8458" max="8458" width="13.28515625" style="6" customWidth="1"/>
    <col min="8459" max="8704" width="8.85546875" style="6"/>
    <col min="8705" max="8713" width="8.7109375" style="6" customWidth="1"/>
    <col min="8714" max="8714" width="13.28515625" style="6" customWidth="1"/>
    <col min="8715" max="8960" width="8.85546875" style="6"/>
    <col min="8961" max="8969" width="8.7109375" style="6" customWidth="1"/>
    <col min="8970" max="8970" width="13.28515625" style="6" customWidth="1"/>
    <col min="8971" max="9216" width="8.85546875" style="6"/>
    <col min="9217" max="9225" width="8.7109375" style="6" customWidth="1"/>
    <col min="9226" max="9226" width="13.28515625" style="6" customWidth="1"/>
    <col min="9227" max="9472" width="8.85546875" style="6"/>
    <col min="9473" max="9481" width="8.7109375" style="6" customWidth="1"/>
    <col min="9482" max="9482" width="13.28515625" style="6" customWidth="1"/>
    <col min="9483" max="9728" width="8.85546875" style="6"/>
    <col min="9729" max="9737" width="8.7109375" style="6" customWidth="1"/>
    <col min="9738" max="9738" width="13.28515625" style="6" customWidth="1"/>
    <col min="9739" max="9984" width="8.85546875" style="6"/>
    <col min="9985" max="9993" width="8.7109375" style="6" customWidth="1"/>
    <col min="9994" max="9994" width="13.28515625" style="6" customWidth="1"/>
    <col min="9995" max="10240" width="8.85546875" style="6"/>
    <col min="10241" max="10249" width="8.7109375" style="6" customWidth="1"/>
    <col min="10250" max="10250" width="13.28515625" style="6" customWidth="1"/>
    <col min="10251" max="10496" width="8.85546875" style="6"/>
    <col min="10497" max="10505" width="8.7109375" style="6" customWidth="1"/>
    <col min="10506" max="10506" width="13.28515625" style="6" customWidth="1"/>
    <col min="10507" max="10752" width="8.85546875" style="6"/>
    <col min="10753" max="10761" width="8.7109375" style="6" customWidth="1"/>
    <col min="10762" max="10762" width="13.28515625" style="6" customWidth="1"/>
    <col min="10763" max="11008" width="8.85546875" style="6"/>
    <col min="11009" max="11017" width="8.7109375" style="6" customWidth="1"/>
    <col min="11018" max="11018" width="13.28515625" style="6" customWidth="1"/>
    <col min="11019" max="11264" width="8.85546875" style="6"/>
    <col min="11265" max="11273" width="8.7109375" style="6" customWidth="1"/>
    <col min="11274" max="11274" width="13.28515625" style="6" customWidth="1"/>
    <col min="11275" max="11520" width="8.85546875" style="6"/>
    <col min="11521" max="11529" width="8.7109375" style="6" customWidth="1"/>
    <col min="11530" max="11530" width="13.28515625" style="6" customWidth="1"/>
    <col min="11531" max="11776" width="8.85546875" style="6"/>
    <col min="11777" max="11785" width="8.7109375" style="6" customWidth="1"/>
    <col min="11786" max="11786" width="13.28515625" style="6" customWidth="1"/>
    <col min="11787" max="12032" width="8.85546875" style="6"/>
    <col min="12033" max="12041" width="8.7109375" style="6" customWidth="1"/>
    <col min="12042" max="12042" width="13.28515625" style="6" customWidth="1"/>
    <col min="12043" max="12288" width="8.85546875" style="6"/>
    <col min="12289" max="12297" width="8.7109375" style="6" customWidth="1"/>
    <col min="12298" max="12298" width="13.28515625" style="6" customWidth="1"/>
    <col min="12299" max="12544" width="8.85546875" style="6"/>
    <col min="12545" max="12553" width="8.7109375" style="6" customWidth="1"/>
    <col min="12554" max="12554" width="13.28515625" style="6" customWidth="1"/>
    <col min="12555" max="12800" width="8.85546875" style="6"/>
    <col min="12801" max="12809" width="8.7109375" style="6" customWidth="1"/>
    <col min="12810" max="12810" width="13.28515625" style="6" customWidth="1"/>
    <col min="12811" max="13056" width="8.85546875" style="6"/>
    <col min="13057" max="13065" width="8.7109375" style="6" customWidth="1"/>
    <col min="13066" max="13066" width="13.28515625" style="6" customWidth="1"/>
    <col min="13067" max="13312" width="8.85546875" style="6"/>
    <col min="13313" max="13321" width="8.7109375" style="6" customWidth="1"/>
    <col min="13322" max="13322" width="13.28515625" style="6" customWidth="1"/>
    <col min="13323" max="13568" width="8.85546875" style="6"/>
    <col min="13569" max="13577" width="8.7109375" style="6" customWidth="1"/>
    <col min="13578" max="13578" width="13.28515625" style="6" customWidth="1"/>
    <col min="13579" max="13824" width="8.85546875" style="6"/>
    <col min="13825" max="13833" width="8.7109375" style="6" customWidth="1"/>
    <col min="13834" max="13834" width="13.28515625" style="6" customWidth="1"/>
    <col min="13835" max="14080" width="8.85546875" style="6"/>
    <col min="14081" max="14089" width="8.7109375" style="6" customWidth="1"/>
    <col min="14090" max="14090" width="13.28515625" style="6" customWidth="1"/>
    <col min="14091" max="14336" width="8.85546875" style="6"/>
    <col min="14337" max="14345" width="8.7109375" style="6" customWidth="1"/>
    <col min="14346" max="14346" width="13.28515625" style="6" customWidth="1"/>
    <col min="14347" max="14592" width="8.85546875" style="6"/>
    <col min="14593" max="14601" width="8.7109375" style="6" customWidth="1"/>
    <col min="14602" max="14602" width="13.28515625" style="6" customWidth="1"/>
    <col min="14603" max="14848" width="8.85546875" style="6"/>
    <col min="14849" max="14857" width="8.7109375" style="6" customWidth="1"/>
    <col min="14858" max="14858" width="13.28515625" style="6" customWidth="1"/>
    <col min="14859" max="15104" width="8.85546875" style="6"/>
    <col min="15105" max="15113" width="8.7109375" style="6" customWidth="1"/>
    <col min="15114" max="15114" width="13.28515625" style="6" customWidth="1"/>
    <col min="15115" max="15360" width="8.85546875" style="6"/>
    <col min="15361" max="15369" width="8.7109375" style="6" customWidth="1"/>
    <col min="15370" max="15370" width="13.28515625" style="6" customWidth="1"/>
    <col min="15371" max="15616" width="8.85546875" style="6"/>
    <col min="15617" max="15625" width="8.7109375" style="6" customWidth="1"/>
    <col min="15626" max="15626" width="13.28515625" style="6" customWidth="1"/>
    <col min="15627" max="15872" width="8.85546875" style="6"/>
    <col min="15873" max="15881" width="8.7109375" style="6" customWidth="1"/>
    <col min="15882" max="15882" width="13.28515625" style="6" customWidth="1"/>
    <col min="15883" max="16128" width="8.85546875" style="6"/>
    <col min="16129" max="16137" width="8.7109375" style="6" customWidth="1"/>
    <col min="16138" max="16138" width="13.28515625" style="6" customWidth="1"/>
    <col min="16139" max="16384" width="8.85546875" style="6"/>
  </cols>
  <sheetData>
    <row r="2" spans="1:10" ht="20.25">
      <c r="A2" s="3647" t="s">
        <v>1626</v>
      </c>
      <c r="B2" s="3647"/>
      <c r="C2" s="3647"/>
      <c r="D2" s="3647"/>
      <c r="E2" s="3647"/>
      <c r="F2" s="3647"/>
      <c r="G2" s="3647"/>
      <c r="H2" s="3647"/>
      <c r="I2" s="3647"/>
      <c r="J2" s="3647"/>
    </row>
    <row r="4" spans="1:10" ht="15" customHeight="1">
      <c r="A4" s="14" t="str">
        <f>'Lead &amp; ANALYSIS'!A2:C2</f>
        <v>NAME OF THE WORK:-</v>
      </c>
      <c r="B4" s="14"/>
      <c r="C4" s="14"/>
      <c r="D4" s="14" t="str">
        <f>'Lead &amp; ANALYSIS'!D2:N2</f>
        <v>Dining Hall of Damasal School</v>
      </c>
      <c r="E4" s="14"/>
      <c r="F4" s="14"/>
      <c r="G4" s="20"/>
      <c r="H4" s="20"/>
      <c r="I4" s="20"/>
      <c r="J4" s="20"/>
    </row>
    <row r="5" spans="1:10" ht="15" customHeight="1">
      <c r="A5" s="14" t="str">
        <f>'Lead &amp; ANALYSIS'!A3:C3</f>
        <v>NAME OF THE G.P.:-</v>
      </c>
      <c r="B5" s="14"/>
      <c r="C5" s="14"/>
      <c r="D5" s="14" t="str">
        <f>'Lead &amp; ANALYSIS'!D3:N3</f>
        <v>Odisha</v>
      </c>
      <c r="E5" s="14"/>
      <c r="F5" s="14"/>
      <c r="G5" s="20"/>
      <c r="H5" s="20"/>
      <c r="I5" s="20"/>
      <c r="J5" s="20"/>
    </row>
    <row r="6" spans="1:10" ht="15" customHeight="1">
      <c r="A6" s="14" t="str">
        <f>'Lead &amp; ANALYSIS'!A4:C4</f>
        <v>NAME OF THE SCHEME:-</v>
      </c>
      <c r="B6" s="14"/>
      <c r="C6" s="14"/>
      <c r="D6" s="14">
        <f>'Lead &amp; ANALYSIS'!D4:N4</f>
        <v>0</v>
      </c>
      <c r="E6" s="14"/>
      <c r="F6" s="14"/>
      <c r="G6" s="20"/>
      <c r="H6" s="20"/>
      <c r="I6" s="20"/>
      <c r="J6" s="20"/>
    </row>
    <row r="7" spans="1:10" ht="14.25">
      <c r="A7" s="20"/>
      <c r="B7" s="20"/>
      <c r="C7" s="20"/>
      <c r="D7" s="20"/>
      <c r="E7" s="20"/>
      <c r="F7" s="20"/>
      <c r="G7" s="20"/>
      <c r="H7" s="20"/>
      <c r="I7" s="20"/>
      <c r="J7" s="20"/>
    </row>
    <row r="8" spans="1:10" ht="14.25">
      <c r="A8" s="20"/>
      <c r="B8" s="20"/>
      <c r="C8" s="20"/>
      <c r="D8" s="20"/>
      <c r="E8" s="20"/>
      <c r="F8" s="20"/>
      <c r="G8" s="20"/>
      <c r="H8" s="20"/>
      <c r="I8" s="20"/>
      <c r="J8" s="20"/>
    </row>
    <row r="9" spans="1:10" ht="15.75">
      <c r="A9" s="305" t="s">
        <v>1510</v>
      </c>
      <c r="B9" s="2471" t="s">
        <v>1627</v>
      </c>
      <c r="C9" s="2471"/>
      <c r="D9" s="2471"/>
      <c r="E9" s="2471"/>
      <c r="F9" s="2471"/>
      <c r="G9" s="2471"/>
      <c r="H9" s="2471"/>
      <c r="I9" s="3648" t="s">
        <v>709</v>
      </c>
      <c r="J9" s="3648"/>
    </row>
    <row r="10" spans="1:10" ht="15">
      <c r="A10" s="16"/>
      <c r="B10" s="16"/>
      <c r="C10" s="16"/>
      <c r="D10" s="16"/>
      <c r="E10" s="16"/>
      <c r="F10" s="16"/>
      <c r="G10" s="16"/>
      <c r="H10" s="16"/>
      <c r="I10" s="16"/>
      <c r="J10" s="16"/>
    </row>
    <row r="11" spans="1:10" ht="14.25" customHeight="1">
      <c r="A11" s="26">
        <v>1</v>
      </c>
      <c r="B11" s="3649" t="s">
        <v>1628</v>
      </c>
      <c r="C11" s="3649"/>
      <c r="D11" s="3649"/>
      <c r="E11" s="3649"/>
      <c r="F11" s="3649"/>
      <c r="G11" s="3649"/>
      <c r="H11" s="572"/>
      <c r="I11" s="3646">
        <v>447090</v>
      </c>
      <c r="J11" s="3646"/>
    </row>
    <row r="12" spans="1:10" ht="14.25" customHeight="1">
      <c r="A12" s="26"/>
      <c r="B12" s="3649"/>
      <c r="C12" s="3649"/>
      <c r="D12" s="3649"/>
      <c r="E12" s="3649"/>
      <c r="F12" s="3649"/>
      <c r="G12" s="3649"/>
      <c r="H12" s="660"/>
      <c r="I12" s="660"/>
      <c r="J12" s="660"/>
    </row>
    <row r="13" spans="1:10" ht="14.25" customHeight="1">
      <c r="A13" s="26">
        <v>2</v>
      </c>
      <c r="B13" s="660" t="s">
        <v>1615</v>
      </c>
      <c r="C13" s="660"/>
      <c r="D13" s="660"/>
      <c r="E13" s="660"/>
      <c r="F13" s="660"/>
      <c r="G13" s="660"/>
      <c r="H13" s="659" t="s">
        <v>3173</v>
      </c>
      <c r="I13" s="3646">
        <f>ROUND(I11*4%,0)</f>
        <v>17884</v>
      </c>
      <c r="J13" s="3646"/>
    </row>
    <row r="14" spans="1:10" ht="14.25" customHeight="1">
      <c r="A14" s="26"/>
      <c r="B14" s="660"/>
      <c r="C14" s="660"/>
      <c r="D14" s="660"/>
      <c r="E14" s="660"/>
      <c r="F14" s="660"/>
      <c r="G14" s="660"/>
      <c r="H14" s="572"/>
      <c r="I14" s="660"/>
      <c r="J14" s="660"/>
    </row>
    <row r="15" spans="1:10" ht="14.25" customHeight="1">
      <c r="A15" s="26">
        <v>3</v>
      </c>
      <c r="B15" s="660" t="s">
        <v>1616</v>
      </c>
      <c r="C15" s="660"/>
      <c r="D15" s="660"/>
      <c r="E15" s="660"/>
      <c r="F15" s="660"/>
      <c r="G15" s="660"/>
      <c r="H15" s="659" t="s">
        <v>3188</v>
      </c>
      <c r="I15" s="3646">
        <f>ROUND(I11*4%,0)</f>
        <v>17884</v>
      </c>
      <c r="J15" s="3646"/>
    </row>
    <row r="16" spans="1:10" ht="14.25" customHeight="1">
      <c r="A16" s="26"/>
      <c r="B16" s="660"/>
      <c r="C16" s="660"/>
      <c r="D16" s="660"/>
      <c r="E16" s="660"/>
      <c r="F16" s="660"/>
      <c r="G16" s="660"/>
      <c r="H16" s="572"/>
      <c r="I16" s="3646"/>
      <c r="J16" s="3646"/>
    </row>
    <row r="17" spans="1:10" ht="14.25" customHeight="1">
      <c r="A17" s="26">
        <v>4</v>
      </c>
      <c r="B17" s="660" t="s">
        <v>1617</v>
      </c>
      <c r="C17" s="660"/>
      <c r="D17" s="660"/>
      <c r="E17" s="660">
        <v>42</v>
      </c>
      <c r="F17" s="660" t="s">
        <v>1629</v>
      </c>
      <c r="G17" s="660">
        <f>'Lead &amp; ANALYSIS'!L135</f>
        <v>385</v>
      </c>
      <c r="H17" s="659" t="s">
        <v>3170</v>
      </c>
      <c r="I17" s="3646">
        <f>E17*G17</f>
        <v>16170</v>
      </c>
      <c r="J17" s="3646"/>
    </row>
    <row r="18" spans="1:10" ht="14.25" customHeight="1">
      <c r="A18" s="26">
        <v>5</v>
      </c>
      <c r="B18" s="660" t="s">
        <v>1523</v>
      </c>
      <c r="C18" s="660"/>
      <c r="D18" s="660"/>
      <c r="E18" s="660">
        <v>42</v>
      </c>
      <c r="F18" s="660" t="str">
        <f>F17</f>
        <v>Days</v>
      </c>
      <c r="G18" s="660">
        <f>'Lead &amp; ANALYSIS'!U133</f>
        <v>182</v>
      </c>
      <c r="H18" s="659" t="s">
        <v>3169</v>
      </c>
      <c r="I18" s="3646">
        <f>E18*G18</f>
        <v>7644</v>
      </c>
      <c r="J18" s="3646"/>
    </row>
    <row r="19" spans="1:10" ht="14.25" customHeight="1">
      <c r="A19" s="26">
        <v>6</v>
      </c>
      <c r="B19" s="660" t="s">
        <v>1618</v>
      </c>
      <c r="C19" s="660"/>
      <c r="D19" s="660"/>
      <c r="E19" s="660"/>
      <c r="F19" s="660"/>
      <c r="G19" s="660"/>
      <c r="H19" s="659" t="s">
        <v>3174</v>
      </c>
      <c r="I19" s="3646">
        <v>500</v>
      </c>
      <c r="J19" s="3646"/>
    </row>
    <row r="20" spans="1:10" ht="14.25" customHeight="1">
      <c r="A20" s="26">
        <f>A19+1</f>
        <v>7</v>
      </c>
      <c r="B20" s="660" t="s">
        <v>1619</v>
      </c>
      <c r="C20" s="660"/>
      <c r="D20" s="660"/>
      <c r="E20" s="660">
        <f>E18</f>
        <v>42</v>
      </c>
      <c r="F20" s="660" t="str">
        <f>F18</f>
        <v>Days</v>
      </c>
      <c r="G20" s="660">
        <f>G18</f>
        <v>182</v>
      </c>
      <c r="H20" s="659" t="s">
        <v>3168</v>
      </c>
      <c r="I20" s="3646">
        <f>E20*G20</f>
        <v>7644</v>
      </c>
      <c r="J20" s="3646"/>
    </row>
    <row r="21" spans="1:10" ht="14.25" customHeight="1">
      <c r="A21" s="26">
        <v>8</v>
      </c>
      <c r="B21" s="660" t="s">
        <v>3171</v>
      </c>
      <c r="C21" s="660"/>
      <c r="D21" s="660"/>
      <c r="E21" s="660"/>
      <c r="F21" s="660"/>
      <c r="G21" s="660"/>
      <c r="H21" s="659" t="s">
        <v>3172</v>
      </c>
      <c r="I21" s="660"/>
      <c r="J21" s="660"/>
    </row>
    <row r="22" spans="1:10" ht="14.25" customHeight="1">
      <c r="A22" s="26">
        <v>9</v>
      </c>
      <c r="B22" s="660" t="s">
        <v>1620</v>
      </c>
      <c r="C22" s="660"/>
      <c r="D22" s="660"/>
      <c r="E22" s="660"/>
      <c r="F22" s="660"/>
      <c r="G22" s="660"/>
      <c r="H22" s="571" t="s">
        <v>3193</v>
      </c>
      <c r="I22" s="3650">
        <v>2500</v>
      </c>
      <c r="J22" s="3650"/>
    </row>
    <row r="23" spans="1:10" ht="14.25" customHeight="1">
      <c r="A23" s="26"/>
      <c r="B23" s="660"/>
      <c r="C23" s="660"/>
      <c r="D23" s="660"/>
      <c r="E23" s="660"/>
      <c r="F23" s="3651" t="s">
        <v>928</v>
      </c>
      <c r="G23" s="3651"/>
      <c r="H23" s="572"/>
      <c r="I23" s="3646">
        <f>SUM(I10:J22)</f>
        <v>517316</v>
      </c>
      <c r="J23" s="3646"/>
    </row>
    <row r="24" spans="1:10" ht="14.25" customHeight="1">
      <c r="A24" s="26"/>
      <c r="B24" s="660"/>
      <c r="C24" s="660"/>
      <c r="D24" s="660"/>
      <c r="E24" s="660"/>
      <c r="F24" s="660"/>
      <c r="G24" s="660"/>
      <c r="H24" s="572"/>
      <c r="I24" s="660"/>
      <c r="J24" s="660"/>
    </row>
    <row r="25" spans="1:10" ht="14.25" customHeight="1">
      <c r="A25" s="26">
        <f>A22+1</f>
        <v>10</v>
      </c>
      <c r="B25" s="3646" t="s">
        <v>1630</v>
      </c>
      <c r="C25" s="3646"/>
      <c r="D25" s="3646"/>
      <c r="E25" s="3646"/>
      <c r="F25" s="3646"/>
      <c r="G25" s="3646"/>
      <c r="H25" s="571" t="s">
        <v>3205</v>
      </c>
      <c r="I25" s="3646">
        <v>21054</v>
      </c>
      <c r="J25" s="3646"/>
    </row>
    <row r="26" spans="1:10" ht="14.25" customHeight="1">
      <c r="A26" s="26"/>
      <c r="B26" s="660"/>
      <c r="C26" s="660"/>
      <c r="D26" s="660"/>
      <c r="E26" s="660"/>
      <c r="F26" s="660"/>
      <c r="G26" s="660"/>
      <c r="H26" s="572"/>
      <c r="I26" s="660"/>
      <c r="J26" s="660"/>
    </row>
    <row r="27" spans="1:10" ht="14.25" customHeight="1">
      <c r="A27" s="26">
        <f>A25+1</f>
        <v>11</v>
      </c>
      <c r="B27" s="3646" t="s">
        <v>1631</v>
      </c>
      <c r="C27" s="3646"/>
      <c r="D27" s="3646"/>
      <c r="E27" s="3646"/>
      <c r="F27" s="3646"/>
      <c r="G27" s="3646"/>
      <c r="H27" s="659" t="s">
        <v>3167</v>
      </c>
      <c r="I27" s="3646">
        <v>5000</v>
      </c>
      <c r="J27" s="3646"/>
    </row>
    <row r="28" spans="1:10" ht="14.25" customHeight="1">
      <c r="A28" s="16"/>
      <c r="B28" s="3646"/>
      <c r="C28" s="3646"/>
      <c r="D28" s="3646"/>
      <c r="E28" s="3646"/>
      <c r="F28" s="3646"/>
      <c r="G28" s="3646"/>
      <c r="H28" s="572"/>
      <c r="I28" s="674"/>
      <c r="J28" s="674"/>
    </row>
    <row r="29" spans="1:10" ht="14.25" customHeight="1">
      <c r="A29" s="16"/>
      <c r="B29" s="3651" t="s">
        <v>1572</v>
      </c>
      <c r="C29" s="3651"/>
      <c r="D29" s="3651"/>
      <c r="E29" s="3651"/>
      <c r="F29" s="3651"/>
      <c r="G29" s="3651"/>
      <c r="H29" s="572"/>
      <c r="I29" s="3646">
        <f>SUM(I23:J27)</f>
        <v>543370</v>
      </c>
      <c r="J29" s="3646"/>
    </row>
    <row r="30" spans="1:10" ht="14.25" customHeight="1">
      <c r="A30" s="16"/>
      <c r="B30" s="3651"/>
      <c r="C30" s="3651"/>
      <c r="D30" s="3651"/>
      <c r="E30" s="3651"/>
      <c r="F30" s="3651"/>
      <c r="G30" s="3651"/>
      <c r="H30" s="572"/>
      <c r="I30" s="660"/>
      <c r="J30" s="660"/>
    </row>
    <row r="31" spans="1:10" ht="14.25" customHeight="1">
      <c r="A31" s="16"/>
      <c r="B31" s="3651" t="s">
        <v>1632</v>
      </c>
      <c r="C31" s="3651"/>
      <c r="D31" s="3651"/>
      <c r="E31" s="3651"/>
      <c r="F31" s="3651"/>
      <c r="G31" s="3651"/>
      <c r="H31" s="572"/>
      <c r="I31" s="3646">
        <v>500000</v>
      </c>
      <c r="J31" s="3646"/>
    </row>
    <row r="32" spans="1:10" ht="15.75">
      <c r="A32" s="16"/>
      <c r="B32" s="3646"/>
      <c r="C32" s="3646"/>
      <c r="D32" s="3646"/>
      <c r="E32" s="3646"/>
      <c r="F32" s="3646"/>
      <c r="G32" s="3646"/>
      <c r="H32" s="3646"/>
      <c r="I32" s="3646"/>
      <c r="J32" s="660"/>
    </row>
    <row r="33" spans="1:10" ht="15.75">
      <c r="A33" s="16"/>
      <c r="B33" s="3653" t="s">
        <v>1633</v>
      </c>
      <c r="C33" s="3653"/>
      <c r="D33" s="3653"/>
      <c r="E33" s="3653"/>
      <c r="F33" s="3653"/>
      <c r="G33" s="3653"/>
      <c r="H33" s="3653"/>
      <c r="I33" s="3653"/>
      <c r="J33" s="3653"/>
    </row>
    <row r="34" spans="1:10" ht="15.75">
      <c r="A34" s="16"/>
      <c r="B34" s="660"/>
      <c r="C34" s="572"/>
      <c r="D34" s="572"/>
      <c r="E34" s="572"/>
      <c r="F34" s="572"/>
      <c r="G34" s="572"/>
      <c r="H34" s="660"/>
      <c r="I34" s="572"/>
      <c r="J34" s="572"/>
    </row>
    <row r="35" spans="1:10" ht="15.75">
      <c r="A35" s="16"/>
      <c r="B35" s="660"/>
      <c r="C35" s="660"/>
      <c r="D35" s="660"/>
      <c r="E35" s="660"/>
      <c r="F35" s="660"/>
      <c r="G35" s="660"/>
      <c r="H35" s="660"/>
      <c r="I35" s="661" t="s">
        <v>1634</v>
      </c>
      <c r="J35" s="660">
        <f>I31</f>
        <v>500000</v>
      </c>
    </row>
    <row r="36" spans="1:10" ht="15.75">
      <c r="A36" s="16"/>
      <c r="B36" s="572"/>
      <c r="C36" s="572"/>
      <c r="D36" s="572"/>
      <c r="E36" s="572"/>
      <c r="F36" s="660"/>
      <c r="G36" s="660"/>
      <c r="H36" s="660"/>
      <c r="I36" s="660"/>
      <c r="J36" s="661" t="str">
        <f>B33</f>
        <v>Rupees Five Lakh  Only</v>
      </c>
    </row>
    <row r="37" spans="1:10" ht="15">
      <c r="A37" s="16"/>
      <c r="B37" s="16"/>
      <c r="C37" s="16"/>
      <c r="D37" s="16"/>
      <c r="E37" s="16"/>
      <c r="F37" s="16"/>
      <c r="G37" s="16"/>
      <c r="H37" s="16"/>
      <c r="I37" s="16"/>
      <c r="J37" s="16"/>
    </row>
    <row r="38" spans="1:10" ht="15.75">
      <c r="A38" s="15"/>
      <c r="B38" s="15"/>
      <c r="C38" s="15"/>
      <c r="D38" s="15"/>
      <c r="E38" s="15"/>
      <c r="F38" s="15"/>
      <c r="G38" s="15"/>
      <c r="H38" s="15"/>
      <c r="I38" s="15"/>
      <c r="J38" s="15"/>
    </row>
    <row r="39" spans="1:10" ht="15.75">
      <c r="A39" s="15"/>
      <c r="B39" s="15"/>
      <c r="C39" s="15"/>
      <c r="D39" s="15"/>
      <c r="E39" s="15"/>
      <c r="F39" s="15"/>
      <c r="G39" s="15"/>
      <c r="H39" s="15"/>
      <c r="I39" s="15"/>
      <c r="J39" s="15"/>
    </row>
    <row r="40" spans="1:10" ht="15" customHeight="1">
      <c r="A40" s="3652" t="str">
        <f>'Lead &amp; ANALYSIS'!B144</f>
        <v>Junior Engineer</v>
      </c>
      <c r="B40" s="3652"/>
      <c r="C40" s="3652"/>
      <c r="D40" s="37"/>
      <c r="E40" s="15"/>
      <c r="F40" s="15"/>
      <c r="G40" s="37"/>
      <c r="H40" s="3652" t="str">
        <f>'Lead &amp; ANALYSIS'!G144</f>
        <v>Assistant Executive Engineer</v>
      </c>
      <c r="I40" s="3652"/>
      <c r="J40" s="3652"/>
    </row>
    <row r="41" spans="1:10" ht="15.75">
      <c r="A41" s="3652" t="str">
        <f>'Lead &amp; ANALYSIS'!B145</f>
        <v>Bhuban  Block</v>
      </c>
      <c r="B41" s="3652"/>
      <c r="C41" s="3652"/>
      <c r="D41" s="37"/>
      <c r="E41" s="15"/>
      <c r="F41" s="15"/>
      <c r="G41" s="37"/>
      <c r="H41" s="3652" t="str">
        <f>'Lead &amp; ANALYSIS'!G145</f>
        <v>Bhuban  Block</v>
      </c>
      <c r="I41" s="3652"/>
      <c r="J41" s="3652"/>
    </row>
    <row r="42" spans="1:10" ht="15.75">
      <c r="A42" s="37"/>
      <c r="B42" s="37"/>
      <c r="C42" s="37"/>
      <c r="D42" s="15"/>
      <c r="E42" s="15"/>
      <c r="F42" s="15"/>
      <c r="G42" s="15"/>
      <c r="H42" s="15"/>
      <c r="I42" s="15"/>
      <c r="J42" s="15"/>
    </row>
    <row r="43" spans="1:10" ht="15.75">
      <c r="A43" s="15"/>
      <c r="B43" s="15"/>
      <c r="C43" s="15"/>
      <c r="D43" s="15"/>
      <c r="E43" s="15"/>
      <c r="F43" s="15"/>
      <c r="G43" s="15"/>
      <c r="H43" s="15"/>
      <c r="I43" s="15"/>
      <c r="J43" s="15"/>
    </row>
    <row r="44" spans="1:10" ht="15.75">
      <c r="A44" s="15"/>
      <c r="B44" s="15"/>
      <c r="C44" s="37"/>
      <c r="D44" s="37"/>
      <c r="E44" s="37"/>
      <c r="F44" s="573" t="s">
        <v>1635</v>
      </c>
      <c r="G44" s="2699">
        <f>I31</f>
        <v>500000</v>
      </c>
      <c r="H44" s="2699"/>
      <c r="I44" s="37"/>
      <c r="J44" s="15"/>
    </row>
    <row r="45" spans="1:10" ht="15.75">
      <c r="A45" s="15"/>
      <c r="B45" s="15"/>
      <c r="C45" s="37"/>
      <c r="D45" s="37"/>
      <c r="E45" s="37"/>
      <c r="F45" s="37"/>
      <c r="G45" s="37"/>
      <c r="H45" s="573" t="str">
        <f>B33</f>
        <v>Rupees Five Lakh  Only</v>
      </c>
      <c r="I45" s="37"/>
      <c r="J45" s="15"/>
    </row>
    <row r="46" spans="1:10" ht="15.75">
      <c r="A46" s="15"/>
      <c r="B46" s="15"/>
      <c r="C46" s="15"/>
      <c r="D46" s="15"/>
      <c r="E46" s="15"/>
      <c r="F46" s="15"/>
      <c r="G46" s="15"/>
      <c r="H46" s="15"/>
      <c r="I46" s="15"/>
      <c r="J46" s="15"/>
    </row>
    <row r="47" spans="1:10" ht="15.75">
      <c r="A47" s="15"/>
      <c r="B47" s="15"/>
      <c r="C47" s="15"/>
      <c r="D47" s="15"/>
      <c r="E47" s="15"/>
      <c r="F47" s="15"/>
      <c r="G47" s="15"/>
      <c r="H47" s="15"/>
      <c r="I47" s="15"/>
      <c r="J47" s="15"/>
    </row>
    <row r="48" spans="1:10" ht="15.75">
      <c r="A48" s="15"/>
      <c r="B48" s="15"/>
      <c r="C48" s="15"/>
      <c r="D48" s="15"/>
      <c r="E48" s="15"/>
      <c r="F48" s="15"/>
      <c r="G48" s="15"/>
      <c r="H48" s="15"/>
      <c r="I48" s="15"/>
      <c r="J48" s="15"/>
    </row>
    <row r="49" spans="1:10" ht="12.75" customHeight="1">
      <c r="A49" s="15"/>
      <c r="B49" s="15"/>
      <c r="C49" s="15"/>
      <c r="D49" s="3652" t="str">
        <f>'Lead &amp; ANALYSIS'!L144</f>
        <v>Block Development Officer</v>
      </c>
      <c r="E49" s="3652"/>
      <c r="F49" s="3652"/>
      <c r="G49" s="3652"/>
      <c r="H49" s="15"/>
      <c r="I49" s="15"/>
      <c r="J49" s="15"/>
    </row>
    <row r="50" spans="1:10" ht="12.75" customHeight="1">
      <c r="A50" s="15"/>
      <c r="B50" s="15"/>
      <c r="C50" s="15"/>
      <c r="D50" s="3652" t="str">
        <f>'Lead &amp; ANALYSIS'!L145</f>
        <v>Bhuban</v>
      </c>
      <c r="E50" s="3652"/>
      <c r="F50" s="3652"/>
      <c r="G50" s="3652"/>
      <c r="H50" s="15"/>
      <c r="I50" s="15"/>
      <c r="J50" s="15"/>
    </row>
  </sheetData>
  <mergeCells count="35">
    <mergeCell ref="G44:H44"/>
    <mergeCell ref="D49:G49"/>
    <mergeCell ref="D50:G50"/>
    <mergeCell ref="B32:G32"/>
    <mergeCell ref="H32:I32"/>
    <mergeCell ref="B33:J33"/>
    <mergeCell ref="A40:C40"/>
    <mergeCell ref="H40:J40"/>
    <mergeCell ref="A41:C41"/>
    <mergeCell ref="H41:J41"/>
    <mergeCell ref="B28:G28"/>
    <mergeCell ref="B29:G29"/>
    <mergeCell ref="I29:J29"/>
    <mergeCell ref="B30:G30"/>
    <mergeCell ref="B31:G31"/>
    <mergeCell ref="I31:J31"/>
    <mergeCell ref="B27:G27"/>
    <mergeCell ref="I27:J27"/>
    <mergeCell ref="I15:J15"/>
    <mergeCell ref="I16:J16"/>
    <mergeCell ref="I17:J17"/>
    <mergeCell ref="I18:J18"/>
    <mergeCell ref="I19:J19"/>
    <mergeCell ref="I20:J20"/>
    <mergeCell ref="I22:J22"/>
    <mergeCell ref="F23:G23"/>
    <mergeCell ref="I23:J23"/>
    <mergeCell ref="B25:G25"/>
    <mergeCell ref="I25:J25"/>
    <mergeCell ref="I13:J13"/>
    <mergeCell ref="A2:J2"/>
    <mergeCell ref="B9:H9"/>
    <mergeCell ref="I9:J9"/>
    <mergeCell ref="B11:G12"/>
    <mergeCell ref="I11:J11"/>
  </mergeCells>
  <pageMargins left="0.51181102362204722" right="0.51181102362204722" top="0.55118110236220474" bottom="0.55118110236220474"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dimension ref="F14:HU118"/>
  <sheetViews>
    <sheetView zoomScale="39" zoomScaleNormal="39" workbookViewId="0">
      <selection activeCell="GT121" sqref="GT121"/>
    </sheetView>
  </sheetViews>
  <sheetFormatPr defaultColWidth="0.7109375" defaultRowHeight="4.1500000000000004" customHeight="1"/>
  <sheetData>
    <row r="14" spans="104:129" ht="4.1500000000000004" customHeight="1">
      <c r="CZ14" s="2579">
        <f>SUM(AO24:HB26)</f>
        <v>24</v>
      </c>
      <c r="DA14" s="2579"/>
      <c r="DB14" s="2579"/>
      <c r="DC14" s="2579"/>
      <c r="DD14" s="2579"/>
      <c r="DE14" s="2579"/>
      <c r="DF14" s="2579"/>
      <c r="DG14" s="2579"/>
      <c r="DH14" s="2579"/>
      <c r="DI14" s="2579"/>
      <c r="DJ14" s="2579"/>
      <c r="DK14" s="2579"/>
      <c r="DL14" s="2579"/>
      <c r="DM14" s="2579"/>
      <c r="DN14" s="2579"/>
      <c r="DO14" s="2579"/>
      <c r="DP14" s="2579"/>
      <c r="DQ14" s="2579"/>
      <c r="DR14" s="2579"/>
      <c r="DS14" s="2579"/>
      <c r="DT14" s="2579"/>
      <c r="DU14" s="2579"/>
      <c r="DV14" s="2579"/>
      <c r="DW14" s="2579"/>
      <c r="DX14" s="2579"/>
      <c r="DY14" s="2579"/>
    </row>
    <row r="15" spans="104:129" ht="4.1500000000000004" customHeight="1">
      <c r="CZ15" s="2579"/>
      <c r="DA15" s="2579"/>
      <c r="DB15" s="2579"/>
      <c r="DC15" s="2579"/>
      <c r="DD15" s="2579"/>
      <c r="DE15" s="2579"/>
      <c r="DF15" s="2579"/>
      <c r="DG15" s="2579"/>
      <c r="DH15" s="2579"/>
      <c r="DI15" s="2579"/>
      <c r="DJ15" s="2579"/>
      <c r="DK15" s="2579"/>
      <c r="DL15" s="2579"/>
      <c r="DM15" s="2579"/>
      <c r="DN15" s="2579"/>
      <c r="DO15" s="2579"/>
      <c r="DP15" s="2579"/>
      <c r="DQ15" s="2579"/>
      <c r="DR15" s="2579"/>
      <c r="DS15" s="2579"/>
      <c r="DT15" s="2579"/>
      <c r="DU15" s="2579"/>
      <c r="DV15" s="2579"/>
      <c r="DW15" s="2579"/>
      <c r="DX15" s="2579"/>
      <c r="DY15" s="2579"/>
    </row>
    <row r="16" spans="104:129" ht="4.1500000000000004" customHeight="1">
      <c r="CZ16" s="2579"/>
      <c r="DA16" s="2579"/>
      <c r="DB16" s="2579"/>
      <c r="DC16" s="2579"/>
      <c r="DD16" s="2579"/>
      <c r="DE16" s="2579"/>
      <c r="DF16" s="2579"/>
      <c r="DG16" s="2579"/>
      <c r="DH16" s="2579"/>
      <c r="DI16" s="2579"/>
      <c r="DJ16" s="2579"/>
      <c r="DK16" s="2579"/>
      <c r="DL16" s="2579"/>
      <c r="DM16" s="2579"/>
      <c r="DN16" s="2579"/>
      <c r="DO16" s="2579"/>
      <c r="DP16" s="2579"/>
      <c r="DQ16" s="2579"/>
      <c r="DR16" s="2579"/>
      <c r="DS16" s="2579"/>
      <c r="DT16" s="2579"/>
      <c r="DU16" s="2579"/>
      <c r="DV16" s="2579"/>
      <c r="DW16" s="2579"/>
      <c r="DX16" s="2579"/>
      <c r="DY16" s="2579"/>
    </row>
    <row r="17" spans="8:210" ht="4.1500000000000004" customHeight="1">
      <c r="CZ17" s="2579"/>
      <c r="DA17" s="2579"/>
      <c r="DB17" s="2579"/>
      <c r="DC17" s="2579"/>
      <c r="DD17" s="2579"/>
      <c r="DE17" s="2579"/>
      <c r="DF17" s="2579"/>
      <c r="DG17" s="2579"/>
      <c r="DH17" s="2579"/>
      <c r="DI17" s="2579"/>
      <c r="DJ17" s="2579"/>
      <c r="DK17" s="2579"/>
      <c r="DL17" s="2579"/>
      <c r="DM17" s="2579"/>
      <c r="DN17" s="2579"/>
      <c r="DO17" s="2579"/>
      <c r="DP17" s="2579"/>
      <c r="DQ17" s="2579"/>
      <c r="DR17" s="2579"/>
      <c r="DS17" s="2579"/>
      <c r="DT17" s="2579"/>
      <c r="DU17" s="2579"/>
      <c r="DV17" s="2579"/>
      <c r="DW17" s="2579"/>
      <c r="DX17" s="2579"/>
      <c r="DY17" s="2579"/>
    </row>
    <row r="23" spans="8:210" ht="4.1500000000000004" customHeight="1">
      <c r="AO23" s="574"/>
      <c r="AP23" s="574"/>
      <c r="AQ23" s="574"/>
      <c r="AR23" s="574"/>
      <c r="AS23" s="574"/>
      <c r="AT23" s="574"/>
      <c r="AU23" s="574"/>
      <c r="AV23" s="574"/>
      <c r="AW23" s="574"/>
      <c r="AX23" s="574"/>
      <c r="AY23" s="574"/>
      <c r="AZ23" s="574"/>
      <c r="BA23" s="574"/>
      <c r="BB23" s="574"/>
      <c r="BC23" s="574"/>
      <c r="BD23" s="574"/>
      <c r="BE23" s="574"/>
      <c r="BF23" s="574"/>
      <c r="BG23" s="574"/>
      <c r="BH23" s="574"/>
      <c r="BI23" s="574"/>
      <c r="BJ23" s="574"/>
      <c r="BK23" s="574"/>
      <c r="BL23" s="574"/>
      <c r="BM23" s="574"/>
      <c r="BN23" s="574"/>
      <c r="BO23" s="574"/>
      <c r="BP23" s="574"/>
      <c r="BQ23" s="574"/>
      <c r="BR23" s="574"/>
      <c r="BS23" s="574"/>
      <c r="BT23" s="574"/>
      <c r="BU23" s="574"/>
      <c r="BV23" s="574"/>
      <c r="BW23" s="574"/>
      <c r="BX23" s="574"/>
      <c r="BY23" s="574"/>
      <c r="BZ23" s="574"/>
      <c r="CA23" s="574"/>
      <c r="CB23" s="574"/>
      <c r="CC23" s="574"/>
      <c r="CD23" s="574"/>
      <c r="CE23" s="574"/>
      <c r="CF23" s="574"/>
      <c r="CG23" s="574"/>
      <c r="CH23" s="574"/>
      <c r="CI23" s="574"/>
      <c r="CJ23" s="574"/>
      <c r="CK23" s="574"/>
      <c r="CL23" s="574"/>
      <c r="CM23" s="574"/>
      <c r="CN23" s="574"/>
      <c r="CO23" s="574"/>
      <c r="CP23" s="574"/>
      <c r="CQ23" s="574"/>
      <c r="CR23" s="574"/>
      <c r="CS23" s="574"/>
      <c r="CT23" s="574"/>
      <c r="CU23" s="574"/>
      <c r="CV23" s="574"/>
      <c r="CW23" s="574"/>
      <c r="CX23" s="574"/>
      <c r="CY23" s="574"/>
      <c r="CZ23" s="574"/>
      <c r="DA23" s="574"/>
      <c r="DB23" s="574"/>
      <c r="DC23" s="574"/>
      <c r="DD23" s="574"/>
      <c r="DE23" s="574"/>
      <c r="DF23" s="574"/>
      <c r="DG23" s="574"/>
      <c r="DH23" s="574"/>
      <c r="DI23" s="574"/>
      <c r="DJ23" s="574"/>
      <c r="DK23" s="574"/>
      <c r="DL23" s="574"/>
      <c r="DM23" s="574"/>
      <c r="DN23" s="574"/>
      <c r="DO23" s="574"/>
      <c r="DP23" s="574"/>
      <c r="DQ23" s="574"/>
      <c r="DR23" s="574"/>
      <c r="DS23" s="574"/>
      <c r="DT23" s="574"/>
      <c r="DU23" s="574"/>
      <c r="DV23" s="574"/>
      <c r="DW23" s="574"/>
      <c r="DX23" s="574"/>
      <c r="DY23" s="574"/>
      <c r="DZ23" s="574"/>
      <c r="EA23" s="574"/>
      <c r="EB23" s="574"/>
      <c r="EC23" s="574"/>
      <c r="ED23" s="574"/>
      <c r="EE23" s="574"/>
      <c r="EF23" s="574"/>
      <c r="EG23" s="574"/>
      <c r="EH23" s="574"/>
      <c r="EI23" s="574"/>
      <c r="EJ23" s="574"/>
      <c r="EK23" s="574"/>
      <c r="EL23" s="574"/>
      <c r="EM23" s="574"/>
      <c r="EN23" s="574"/>
      <c r="EO23" s="574"/>
      <c r="EP23" s="574"/>
      <c r="EQ23" s="574"/>
      <c r="ER23" s="574"/>
      <c r="ES23" s="574"/>
      <c r="ET23" s="574"/>
      <c r="EU23" s="574"/>
      <c r="EV23" s="574"/>
      <c r="EW23" s="574"/>
      <c r="EX23" s="574"/>
      <c r="EY23" s="574"/>
      <c r="EZ23" s="574"/>
      <c r="FA23" s="574"/>
      <c r="FB23" s="574"/>
      <c r="FC23" s="574"/>
      <c r="FD23" s="574"/>
      <c r="FE23" s="574"/>
      <c r="FF23" s="574"/>
      <c r="FG23" s="574"/>
      <c r="FH23" s="574"/>
      <c r="FI23" s="574"/>
      <c r="FJ23" s="574"/>
      <c r="FK23" s="574"/>
      <c r="FL23" s="574"/>
      <c r="FM23" s="574"/>
      <c r="FN23" s="574"/>
      <c r="FO23" s="574"/>
      <c r="FP23" s="574"/>
      <c r="FQ23" s="574"/>
      <c r="FR23" s="574"/>
      <c r="FS23" s="574"/>
      <c r="FT23" s="574"/>
      <c r="FU23" s="574"/>
      <c r="FV23" s="574"/>
      <c r="FW23" s="574"/>
      <c r="FX23" s="574"/>
      <c r="FY23" s="574"/>
      <c r="FZ23" s="574"/>
      <c r="GA23" s="574"/>
      <c r="GB23" s="574"/>
      <c r="GC23" s="574"/>
      <c r="GD23" s="574"/>
      <c r="GE23" s="574"/>
      <c r="GF23" s="574"/>
      <c r="GG23" s="574"/>
      <c r="GH23" s="574"/>
      <c r="GI23" s="574"/>
      <c r="GJ23" s="574"/>
      <c r="GK23" s="574"/>
      <c r="GL23" s="574"/>
      <c r="GM23" s="574"/>
      <c r="GN23" s="574"/>
      <c r="GO23" s="574"/>
      <c r="GP23" s="574"/>
      <c r="GQ23" s="574"/>
      <c r="GR23" s="574"/>
      <c r="GS23" s="574"/>
      <c r="GT23" s="574"/>
      <c r="GU23" s="574"/>
      <c r="GV23" s="574"/>
      <c r="GW23" s="574"/>
      <c r="GX23" s="574"/>
      <c r="GY23" s="574"/>
      <c r="GZ23" s="574"/>
      <c r="HA23" s="574"/>
      <c r="HB23" s="574"/>
    </row>
    <row r="24" spans="8:210" ht="4.1500000000000004" customHeight="1">
      <c r="AO24" s="2576">
        <v>1</v>
      </c>
      <c r="AP24" s="2577"/>
      <c r="AQ24" s="2577"/>
      <c r="AR24" s="2577"/>
      <c r="AS24" s="2577"/>
      <c r="AT24" s="2577"/>
      <c r="AU24" s="2578"/>
      <c r="AV24" s="2576">
        <f>AO24</f>
        <v>1</v>
      </c>
      <c r="AW24" s="2577"/>
      <c r="AX24" s="2577"/>
      <c r="AY24" s="2577"/>
      <c r="AZ24" s="2577"/>
      <c r="BA24" s="2577"/>
      <c r="BB24" s="2578"/>
      <c r="BC24" s="2576">
        <f>AV24</f>
        <v>1</v>
      </c>
      <c r="BD24" s="2577"/>
      <c r="BE24" s="2577"/>
      <c r="BF24" s="2577"/>
      <c r="BG24" s="2577"/>
      <c r="BH24" s="2577"/>
      <c r="BI24" s="2578"/>
      <c r="BJ24" s="2576">
        <f>BC24</f>
        <v>1</v>
      </c>
      <c r="BK24" s="2577"/>
      <c r="BL24" s="2577"/>
      <c r="BM24" s="2577"/>
      <c r="BN24" s="2577"/>
      <c r="BO24" s="2577"/>
      <c r="BP24" s="2578"/>
      <c r="BQ24" s="2576">
        <f>BJ24</f>
        <v>1</v>
      </c>
      <c r="BR24" s="2577"/>
      <c r="BS24" s="2577"/>
      <c r="BT24" s="2577"/>
      <c r="BU24" s="2577"/>
      <c r="BV24" s="2577"/>
      <c r="BW24" s="2578"/>
      <c r="BX24" s="2576">
        <f>BJ24</f>
        <v>1</v>
      </c>
      <c r="BY24" s="2577"/>
      <c r="BZ24" s="2577"/>
      <c r="CA24" s="2577"/>
      <c r="CB24" s="2577"/>
      <c r="CC24" s="2577"/>
      <c r="CD24" s="2578"/>
      <c r="CE24" s="2576">
        <f>BQ24</f>
        <v>1</v>
      </c>
      <c r="CF24" s="2577"/>
      <c r="CG24" s="2577"/>
      <c r="CH24" s="2577"/>
      <c r="CI24" s="2577"/>
      <c r="CJ24" s="2577"/>
      <c r="CK24" s="2578"/>
      <c r="CL24" s="2576">
        <f>CE24</f>
        <v>1</v>
      </c>
      <c r="CM24" s="2577"/>
      <c r="CN24" s="2577"/>
      <c r="CO24" s="2577"/>
      <c r="CP24" s="2577"/>
      <c r="CQ24" s="2577"/>
      <c r="CR24" s="2578"/>
      <c r="CS24" s="2576">
        <f>CL24</f>
        <v>1</v>
      </c>
      <c r="CT24" s="2577"/>
      <c r="CU24" s="2577"/>
      <c r="CV24" s="2577"/>
      <c r="CW24" s="2577"/>
      <c r="CX24" s="2577"/>
      <c r="CY24" s="2578"/>
      <c r="CZ24" s="2576">
        <f>CS24</f>
        <v>1</v>
      </c>
      <c r="DA24" s="2577"/>
      <c r="DB24" s="2577"/>
      <c r="DC24" s="2577"/>
      <c r="DD24" s="2577"/>
      <c r="DE24" s="2577"/>
      <c r="DF24" s="2577"/>
      <c r="DG24" s="2576">
        <v>3</v>
      </c>
      <c r="DH24" s="2577"/>
      <c r="DI24" s="2577"/>
      <c r="DJ24" s="2577"/>
      <c r="DK24" s="2577"/>
      <c r="DL24" s="2577"/>
      <c r="DM24" s="2577"/>
      <c r="DN24" s="2577"/>
      <c r="DO24" s="2577"/>
      <c r="DP24" s="2577"/>
      <c r="DQ24" s="2577"/>
      <c r="DR24" s="2577"/>
      <c r="DS24" s="2577"/>
      <c r="DT24" s="2577"/>
      <c r="DU24" s="2577"/>
      <c r="DV24" s="2577"/>
      <c r="DW24" s="2577"/>
      <c r="DX24" s="2577"/>
      <c r="DY24" s="2577"/>
      <c r="DZ24" s="2577"/>
      <c r="EA24" s="2577"/>
      <c r="EB24" s="2577"/>
      <c r="EC24" s="2578"/>
      <c r="ED24" s="2576">
        <f>CZ24</f>
        <v>1</v>
      </c>
      <c r="EE24" s="2577"/>
      <c r="EF24" s="2577"/>
      <c r="EG24" s="2577"/>
      <c r="EH24" s="2577"/>
      <c r="EI24" s="2577"/>
      <c r="EJ24" s="2578"/>
      <c r="EK24" s="2576">
        <f>ED24</f>
        <v>1</v>
      </c>
      <c r="EL24" s="2577"/>
      <c r="EM24" s="2577"/>
      <c r="EN24" s="2577"/>
      <c r="EO24" s="2577"/>
      <c r="EP24" s="2577"/>
      <c r="EQ24" s="2578"/>
      <c r="ER24" s="2576">
        <f>EK24</f>
        <v>1</v>
      </c>
      <c r="ES24" s="2577"/>
      <c r="ET24" s="2577"/>
      <c r="EU24" s="2577"/>
      <c r="EV24" s="2577"/>
      <c r="EW24" s="2577"/>
      <c r="EX24" s="2578"/>
      <c r="EY24" s="2576">
        <f>ER24</f>
        <v>1</v>
      </c>
      <c r="EZ24" s="2577"/>
      <c r="FA24" s="2577"/>
      <c r="FB24" s="2577"/>
      <c r="FC24" s="2577"/>
      <c r="FD24" s="2577"/>
      <c r="FE24" s="2578"/>
      <c r="FF24" s="2576">
        <f>ER24</f>
        <v>1</v>
      </c>
      <c r="FG24" s="2577"/>
      <c r="FH24" s="2577"/>
      <c r="FI24" s="2577"/>
      <c r="FJ24" s="2577"/>
      <c r="FK24" s="2577"/>
      <c r="FL24" s="2578"/>
      <c r="FM24" s="2576">
        <f>EY24</f>
        <v>1</v>
      </c>
      <c r="FN24" s="2577"/>
      <c r="FO24" s="2577"/>
      <c r="FP24" s="2577"/>
      <c r="FQ24" s="2577"/>
      <c r="FR24" s="2577"/>
      <c r="FS24" s="2578"/>
      <c r="FT24" s="2576">
        <f>FM24</f>
        <v>1</v>
      </c>
      <c r="FU24" s="2577"/>
      <c r="FV24" s="2577"/>
      <c r="FW24" s="2577"/>
      <c r="FX24" s="2577"/>
      <c r="FY24" s="2577"/>
      <c r="FZ24" s="2578"/>
      <c r="GA24" s="2576">
        <f>FT24</f>
        <v>1</v>
      </c>
      <c r="GB24" s="2577"/>
      <c r="GC24" s="2577"/>
      <c r="GD24" s="2577"/>
      <c r="GE24" s="2577"/>
      <c r="GF24" s="2577"/>
      <c r="GG24" s="2578"/>
      <c r="GH24" s="2576">
        <f>GA24</f>
        <v>1</v>
      </c>
      <c r="GI24" s="2577"/>
      <c r="GJ24" s="2577"/>
      <c r="GK24" s="2577"/>
      <c r="GL24" s="2577"/>
      <c r="GM24" s="2577"/>
      <c r="GN24" s="2578"/>
      <c r="GO24" s="2576">
        <f>GH24</f>
        <v>1</v>
      </c>
      <c r="GP24" s="2577"/>
      <c r="GQ24" s="2577"/>
      <c r="GR24" s="2577"/>
      <c r="GS24" s="2577"/>
      <c r="GT24" s="2577"/>
      <c r="GU24" s="2578"/>
      <c r="GV24" s="2576">
        <f>GO24</f>
        <v>1</v>
      </c>
      <c r="GW24" s="2577"/>
      <c r="GX24" s="2577"/>
      <c r="GY24" s="2577"/>
      <c r="GZ24" s="2577"/>
      <c r="HA24" s="2577"/>
      <c r="HB24" s="2578"/>
    </row>
    <row r="25" spans="8:210" ht="4.1500000000000004" customHeight="1">
      <c r="AO25" s="2576"/>
      <c r="AP25" s="2577"/>
      <c r="AQ25" s="2577"/>
      <c r="AR25" s="2577"/>
      <c r="AS25" s="2577"/>
      <c r="AT25" s="2577"/>
      <c r="AU25" s="2578"/>
      <c r="AV25" s="2576"/>
      <c r="AW25" s="2577"/>
      <c r="AX25" s="2577"/>
      <c r="AY25" s="2577"/>
      <c r="AZ25" s="2577"/>
      <c r="BA25" s="2577"/>
      <c r="BB25" s="2578"/>
      <c r="BC25" s="2576"/>
      <c r="BD25" s="2577"/>
      <c r="BE25" s="2577"/>
      <c r="BF25" s="2577"/>
      <c r="BG25" s="2577"/>
      <c r="BH25" s="2577"/>
      <c r="BI25" s="2578"/>
      <c r="BJ25" s="2576"/>
      <c r="BK25" s="2577"/>
      <c r="BL25" s="2577"/>
      <c r="BM25" s="2577"/>
      <c r="BN25" s="2577"/>
      <c r="BO25" s="2577"/>
      <c r="BP25" s="2578"/>
      <c r="BQ25" s="2576"/>
      <c r="BR25" s="2577"/>
      <c r="BS25" s="2577"/>
      <c r="BT25" s="2577"/>
      <c r="BU25" s="2577"/>
      <c r="BV25" s="2577"/>
      <c r="BW25" s="2578"/>
      <c r="BX25" s="2576"/>
      <c r="BY25" s="2577"/>
      <c r="BZ25" s="2577"/>
      <c r="CA25" s="2577"/>
      <c r="CB25" s="2577"/>
      <c r="CC25" s="2577"/>
      <c r="CD25" s="2578"/>
      <c r="CE25" s="2576"/>
      <c r="CF25" s="2577"/>
      <c r="CG25" s="2577"/>
      <c r="CH25" s="2577"/>
      <c r="CI25" s="2577"/>
      <c r="CJ25" s="2577"/>
      <c r="CK25" s="2578"/>
      <c r="CL25" s="2576"/>
      <c r="CM25" s="2577"/>
      <c r="CN25" s="2577"/>
      <c r="CO25" s="2577"/>
      <c r="CP25" s="2577"/>
      <c r="CQ25" s="2577"/>
      <c r="CR25" s="2578"/>
      <c r="CS25" s="2576"/>
      <c r="CT25" s="2577"/>
      <c r="CU25" s="2577"/>
      <c r="CV25" s="2577"/>
      <c r="CW25" s="2577"/>
      <c r="CX25" s="2577"/>
      <c r="CY25" s="2578"/>
      <c r="CZ25" s="2576"/>
      <c r="DA25" s="2577"/>
      <c r="DB25" s="2577"/>
      <c r="DC25" s="2577"/>
      <c r="DD25" s="2577"/>
      <c r="DE25" s="2577"/>
      <c r="DF25" s="2577"/>
      <c r="DG25" s="2576"/>
      <c r="DH25" s="2577"/>
      <c r="DI25" s="2577"/>
      <c r="DJ25" s="2577"/>
      <c r="DK25" s="2577"/>
      <c r="DL25" s="2577"/>
      <c r="DM25" s="2577"/>
      <c r="DN25" s="2577"/>
      <c r="DO25" s="2577"/>
      <c r="DP25" s="2577"/>
      <c r="DQ25" s="2577"/>
      <c r="DR25" s="2577"/>
      <c r="DS25" s="2577"/>
      <c r="DT25" s="2577"/>
      <c r="DU25" s="2577"/>
      <c r="DV25" s="2577"/>
      <c r="DW25" s="2577"/>
      <c r="DX25" s="2577"/>
      <c r="DY25" s="2577"/>
      <c r="DZ25" s="2577"/>
      <c r="EA25" s="2577"/>
      <c r="EB25" s="2577"/>
      <c r="EC25" s="2578"/>
      <c r="ED25" s="2576"/>
      <c r="EE25" s="2577"/>
      <c r="EF25" s="2577"/>
      <c r="EG25" s="2577"/>
      <c r="EH25" s="2577"/>
      <c r="EI25" s="2577"/>
      <c r="EJ25" s="2578"/>
      <c r="EK25" s="2576"/>
      <c r="EL25" s="2577"/>
      <c r="EM25" s="2577"/>
      <c r="EN25" s="2577"/>
      <c r="EO25" s="2577"/>
      <c r="EP25" s="2577"/>
      <c r="EQ25" s="2578"/>
      <c r="ER25" s="2576"/>
      <c r="ES25" s="2577"/>
      <c r="ET25" s="2577"/>
      <c r="EU25" s="2577"/>
      <c r="EV25" s="2577"/>
      <c r="EW25" s="2577"/>
      <c r="EX25" s="2578"/>
      <c r="EY25" s="2576"/>
      <c r="EZ25" s="2577"/>
      <c r="FA25" s="2577"/>
      <c r="FB25" s="2577"/>
      <c r="FC25" s="2577"/>
      <c r="FD25" s="2577"/>
      <c r="FE25" s="2578"/>
      <c r="FF25" s="2576"/>
      <c r="FG25" s="2577"/>
      <c r="FH25" s="2577"/>
      <c r="FI25" s="2577"/>
      <c r="FJ25" s="2577"/>
      <c r="FK25" s="2577"/>
      <c r="FL25" s="2578"/>
      <c r="FM25" s="2576"/>
      <c r="FN25" s="2577"/>
      <c r="FO25" s="2577"/>
      <c r="FP25" s="2577"/>
      <c r="FQ25" s="2577"/>
      <c r="FR25" s="2577"/>
      <c r="FS25" s="2578"/>
      <c r="FT25" s="2576"/>
      <c r="FU25" s="2577"/>
      <c r="FV25" s="2577"/>
      <c r="FW25" s="2577"/>
      <c r="FX25" s="2577"/>
      <c r="FY25" s="2577"/>
      <c r="FZ25" s="2578"/>
      <c r="GA25" s="2576"/>
      <c r="GB25" s="2577"/>
      <c r="GC25" s="2577"/>
      <c r="GD25" s="2577"/>
      <c r="GE25" s="2577"/>
      <c r="GF25" s="2577"/>
      <c r="GG25" s="2578"/>
      <c r="GH25" s="2576"/>
      <c r="GI25" s="2577"/>
      <c r="GJ25" s="2577"/>
      <c r="GK25" s="2577"/>
      <c r="GL25" s="2577"/>
      <c r="GM25" s="2577"/>
      <c r="GN25" s="2578"/>
      <c r="GO25" s="2576"/>
      <c r="GP25" s="2577"/>
      <c r="GQ25" s="2577"/>
      <c r="GR25" s="2577"/>
      <c r="GS25" s="2577"/>
      <c r="GT25" s="2577"/>
      <c r="GU25" s="2578"/>
      <c r="GV25" s="2576"/>
      <c r="GW25" s="2577"/>
      <c r="GX25" s="2577"/>
      <c r="GY25" s="2577"/>
      <c r="GZ25" s="2577"/>
      <c r="HA25" s="2577"/>
      <c r="HB25" s="2578"/>
    </row>
    <row r="26" spans="8:210" ht="4.1500000000000004" customHeight="1">
      <c r="AO26" s="2576"/>
      <c r="AP26" s="2577"/>
      <c r="AQ26" s="2577"/>
      <c r="AR26" s="2577"/>
      <c r="AS26" s="2577"/>
      <c r="AT26" s="2577"/>
      <c r="AU26" s="2578"/>
      <c r="AV26" s="2576"/>
      <c r="AW26" s="2577"/>
      <c r="AX26" s="2577"/>
      <c r="AY26" s="2577"/>
      <c r="AZ26" s="2577"/>
      <c r="BA26" s="2577"/>
      <c r="BB26" s="2578"/>
      <c r="BC26" s="2576"/>
      <c r="BD26" s="2577"/>
      <c r="BE26" s="2577"/>
      <c r="BF26" s="2577"/>
      <c r="BG26" s="2577"/>
      <c r="BH26" s="2577"/>
      <c r="BI26" s="2578"/>
      <c r="BJ26" s="2576"/>
      <c r="BK26" s="2577"/>
      <c r="BL26" s="2577"/>
      <c r="BM26" s="2577"/>
      <c r="BN26" s="2577"/>
      <c r="BO26" s="2577"/>
      <c r="BP26" s="2578"/>
      <c r="BQ26" s="2576"/>
      <c r="BR26" s="2577"/>
      <c r="BS26" s="2577"/>
      <c r="BT26" s="2577"/>
      <c r="BU26" s="2577"/>
      <c r="BV26" s="2577"/>
      <c r="BW26" s="2578"/>
      <c r="BX26" s="2576"/>
      <c r="BY26" s="2577"/>
      <c r="BZ26" s="2577"/>
      <c r="CA26" s="2577"/>
      <c r="CB26" s="2577"/>
      <c r="CC26" s="2577"/>
      <c r="CD26" s="2578"/>
      <c r="CE26" s="2576"/>
      <c r="CF26" s="2577"/>
      <c r="CG26" s="2577"/>
      <c r="CH26" s="2577"/>
      <c r="CI26" s="2577"/>
      <c r="CJ26" s="2577"/>
      <c r="CK26" s="2578"/>
      <c r="CL26" s="2576"/>
      <c r="CM26" s="2577"/>
      <c r="CN26" s="2577"/>
      <c r="CO26" s="2577"/>
      <c r="CP26" s="2577"/>
      <c r="CQ26" s="2577"/>
      <c r="CR26" s="2578"/>
      <c r="CS26" s="2576"/>
      <c r="CT26" s="2577"/>
      <c r="CU26" s="2577"/>
      <c r="CV26" s="2577"/>
      <c r="CW26" s="2577"/>
      <c r="CX26" s="2577"/>
      <c r="CY26" s="2578"/>
      <c r="CZ26" s="2576"/>
      <c r="DA26" s="2577"/>
      <c r="DB26" s="2577"/>
      <c r="DC26" s="2577"/>
      <c r="DD26" s="2577"/>
      <c r="DE26" s="2577"/>
      <c r="DF26" s="2577"/>
      <c r="DG26" s="2576"/>
      <c r="DH26" s="2577"/>
      <c r="DI26" s="2577"/>
      <c r="DJ26" s="2577"/>
      <c r="DK26" s="2577"/>
      <c r="DL26" s="2577"/>
      <c r="DM26" s="2577"/>
      <c r="DN26" s="2577"/>
      <c r="DO26" s="2577"/>
      <c r="DP26" s="2577"/>
      <c r="DQ26" s="2577"/>
      <c r="DR26" s="2577"/>
      <c r="DS26" s="2577"/>
      <c r="DT26" s="2577"/>
      <c r="DU26" s="2577"/>
      <c r="DV26" s="2577"/>
      <c r="DW26" s="2577"/>
      <c r="DX26" s="2577"/>
      <c r="DY26" s="2577"/>
      <c r="DZ26" s="2577"/>
      <c r="EA26" s="2577"/>
      <c r="EB26" s="2577"/>
      <c r="EC26" s="2578"/>
      <c r="ED26" s="2576"/>
      <c r="EE26" s="2577"/>
      <c r="EF26" s="2577"/>
      <c r="EG26" s="2577"/>
      <c r="EH26" s="2577"/>
      <c r="EI26" s="2577"/>
      <c r="EJ26" s="2578"/>
      <c r="EK26" s="2576"/>
      <c r="EL26" s="2577"/>
      <c r="EM26" s="2577"/>
      <c r="EN26" s="2577"/>
      <c r="EO26" s="2577"/>
      <c r="EP26" s="2577"/>
      <c r="EQ26" s="2578"/>
      <c r="ER26" s="2576"/>
      <c r="ES26" s="2577"/>
      <c r="ET26" s="2577"/>
      <c r="EU26" s="2577"/>
      <c r="EV26" s="2577"/>
      <c r="EW26" s="2577"/>
      <c r="EX26" s="2578"/>
      <c r="EY26" s="2576"/>
      <c r="EZ26" s="2577"/>
      <c r="FA26" s="2577"/>
      <c r="FB26" s="2577"/>
      <c r="FC26" s="2577"/>
      <c r="FD26" s="2577"/>
      <c r="FE26" s="2578"/>
      <c r="FF26" s="2576"/>
      <c r="FG26" s="2577"/>
      <c r="FH26" s="2577"/>
      <c r="FI26" s="2577"/>
      <c r="FJ26" s="2577"/>
      <c r="FK26" s="2577"/>
      <c r="FL26" s="2578"/>
      <c r="FM26" s="2576"/>
      <c r="FN26" s="2577"/>
      <c r="FO26" s="2577"/>
      <c r="FP26" s="2577"/>
      <c r="FQ26" s="2577"/>
      <c r="FR26" s="2577"/>
      <c r="FS26" s="2578"/>
      <c r="FT26" s="2576"/>
      <c r="FU26" s="2577"/>
      <c r="FV26" s="2577"/>
      <c r="FW26" s="2577"/>
      <c r="FX26" s="2577"/>
      <c r="FY26" s="2577"/>
      <c r="FZ26" s="2578"/>
      <c r="GA26" s="2576"/>
      <c r="GB26" s="2577"/>
      <c r="GC26" s="2577"/>
      <c r="GD26" s="2577"/>
      <c r="GE26" s="2577"/>
      <c r="GF26" s="2577"/>
      <c r="GG26" s="2578"/>
      <c r="GH26" s="2576"/>
      <c r="GI26" s="2577"/>
      <c r="GJ26" s="2577"/>
      <c r="GK26" s="2577"/>
      <c r="GL26" s="2577"/>
      <c r="GM26" s="2577"/>
      <c r="GN26" s="2578"/>
      <c r="GO26" s="2576"/>
      <c r="GP26" s="2577"/>
      <c r="GQ26" s="2577"/>
      <c r="GR26" s="2577"/>
      <c r="GS26" s="2577"/>
      <c r="GT26" s="2577"/>
      <c r="GU26" s="2578"/>
      <c r="GV26" s="2576"/>
      <c r="GW26" s="2577"/>
      <c r="GX26" s="2577"/>
      <c r="GY26" s="2577"/>
      <c r="GZ26" s="2577"/>
      <c r="HA26" s="2577"/>
      <c r="HB26" s="2578"/>
    </row>
    <row r="31" spans="8:210" ht="4.1500000000000004" customHeight="1" thickBot="1">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row>
    <row r="32" spans="8:210" ht="4.1500000000000004" customHeight="1">
      <c r="H32" s="1626"/>
      <c r="Q32" s="1628"/>
      <c r="R32" s="426"/>
      <c r="S32" s="426"/>
      <c r="Y32" s="1628"/>
      <c r="Z32" s="426"/>
      <c r="AA32" s="426"/>
      <c r="AB32" s="426"/>
      <c r="AC32" s="426"/>
      <c r="AG32" s="1628"/>
      <c r="AH32" s="426"/>
      <c r="AI32" s="426"/>
      <c r="AJ32" s="426"/>
      <c r="AN32" s="1626"/>
    </row>
    <row r="33" spans="7:229" ht="4.1500000000000004" customHeight="1">
      <c r="H33" s="1626"/>
      <c r="Q33" s="1626"/>
      <c r="Y33" s="1626"/>
      <c r="AG33" s="1626"/>
      <c r="AN33" s="1626"/>
    </row>
    <row r="34" spans="7:229" ht="4.1500000000000004" customHeight="1">
      <c r="H34" s="1626"/>
      <c r="Q34" s="1626"/>
      <c r="Y34" s="1626"/>
      <c r="AG34" s="1626"/>
      <c r="AN34" s="1626"/>
    </row>
    <row r="35" spans="7:229" ht="4.1500000000000004" customHeight="1">
      <c r="H35" s="1626"/>
      <c r="Q35" s="1626"/>
      <c r="Y35" s="1626"/>
      <c r="AG35" s="1626"/>
      <c r="AN35" s="1626"/>
    </row>
    <row r="36" spans="7:229" ht="4.1500000000000004" customHeight="1" thickBot="1">
      <c r="H36" s="1627"/>
      <c r="I36" s="429"/>
      <c r="J36" s="429"/>
      <c r="K36" s="429"/>
      <c r="Q36" s="1627"/>
      <c r="R36" s="429"/>
      <c r="S36" s="429"/>
      <c r="Y36" s="1627"/>
      <c r="Z36" s="429"/>
      <c r="AA36" s="429"/>
      <c r="AB36" s="429"/>
      <c r="AC36" s="429"/>
      <c r="AG36" s="1627"/>
      <c r="AH36" s="429"/>
      <c r="AI36" s="429"/>
      <c r="AJ36" s="429"/>
      <c r="AN36" s="1626"/>
    </row>
    <row r="37" spans="7:229" ht="4.1500000000000004" customHeight="1">
      <c r="G37" s="426"/>
      <c r="H37" s="426"/>
      <c r="I37" s="426"/>
      <c r="J37" s="426"/>
      <c r="K37" s="426"/>
      <c r="L37" s="426"/>
      <c r="M37" s="426"/>
      <c r="N37" s="426"/>
      <c r="O37" s="426"/>
      <c r="P37" s="426"/>
      <c r="Q37" s="426"/>
      <c r="R37" s="426"/>
      <c r="S37" s="426"/>
      <c r="T37" s="426"/>
      <c r="U37" s="426"/>
      <c r="V37" s="426"/>
      <c r="W37" s="426"/>
      <c r="X37" s="426"/>
      <c r="Y37" s="426"/>
      <c r="Z37" s="426"/>
      <c r="AA37" s="426"/>
      <c r="AB37" s="426"/>
      <c r="AC37" s="426"/>
      <c r="AD37" s="426"/>
      <c r="AE37" s="426"/>
      <c r="AF37" s="426"/>
      <c r="AG37" s="426"/>
      <c r="AH37" s="426"/>
      <c r="AI37" s="426"/>
      <c r="AJ37" s="426"/>
      <c r="AK37" s="426"/>
      <c r="AL37" s="426"/>
      <c r="AM37" s="426"/>
      <c r="AN37" s="427"/>
      <c r="HN37" s="2573">
        <v>0.5</v>
      </c>
      <c r="HO37" s="2573"/>
      <c r="HP37" s="2573"/>
      <c r="HQ37" s="2573"/>
      <c r="HR37" s="2573"/>
      <c r="HS37" s="2573"/>
      <c r="HT37" s="2573"/>
      <c r="HU37" s="2573"/>
    </row>
    <row r="38" spans="7:229" ht="4.1500000000000004" customHeight="1">
      <c r="AN38" s="431"/>
      <c r="HN38" s="2574"/>
      <c r="HO38" s="2574"/>
      <c r="HP38" s="2574"/>
      <c r="HQ38" s="2574"/>
      <c r="HR38" s="2574"/>
      <c r="HS38" s="2574"/>
      <c r="HT38" s="2574"/>
      <c r="HU38" s="2574"/>
    </row>
    <row r="39" spans="7:229" ht="4.1500000000000004" customHeight="1" thickBot="1">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429"/>
      <c r="AF39" s="429"/>
      <c r="AG39" s="429"/>
      <c r="AH39" s="429"/>
      <c r="AI39" s="429"/>
      <c r="AJ39" s="429"/>
      <c r="AK39" s="429"/>
      <c r="AL39" s="429"/>
      <c r="AM39" s="429"/>
      <c r="AN39" s="430"/>
      <c r="AT39" s="429"/>
      <c r="HN39" s="2575"/>
      <c r="HO39" s="2575"/>
      <c r="HP39" s="2575"/>
      <c r="HQ39" s="2575"/>
      <c r="HR39" s="2575"/>
      <c r="HS39" s="2575"/>
      <c r="HT39" s="2575"/>
      <c r="HU39" s="2575"/>
    </row>
    <row r="40" spans="7:229" ht="4.1500000000000004" customHeight="1">
      <c r="Z40" s="414"/>
      <c r="AO40" s="426"/>
      <c r="AP40" s="426"/>
      <c r="AQ40" s="426"/>
      <c r="AR40" s="426"/>
      <c r="AS40" s="426"/>
      <c r="AT40" s="426"/>
      <c r="AU40" s="427"/>
      <c r="HN40" s="2573">
        <f>HN37</f>
        <v>0.5</v>
      </c>
      <c r="HO40" s="2573"/>
      <c r="HP40" s="2573"/>
      <c r="HQ40" s="2573"/>
      <c r="HR40" s="2573"/>
      <c r="HS40" s="2573"/>
      <c r="HT40" s="2573"/>
      <c r="HU40" s="2573"/>
    </row>
    <row r="41" spans="7:229" ht="4.1500000000000004" customHeight="1">
      <c r="Z41" s="414"/>
      <c r="AU41" s="431"/>
      <c r="HN41" s="2574"/>
      <c r="HO41" s="2574"/>
      <c r="HP41" s="2574"/>
      <c r="HQ41" s="2574"/>
      <c r="HR41" s="2574"/>
      <c r="HS41" s="2574"/>
      <c r="HT41" s="2574"/>
      <c r="HU41" s="2574"/>
    </row>
    <row r="42" spans="7:229" ht="4.1500000000000004" customHeight="1" thickBot="1">
      <c r="Z42" s="414"/>
      <c r="AU42" s="431"/>
      <c r="BA42" s="429"/>
      <c r="HN42" s="2575"/>
      <c r="HO42" s="2575"/>
      <c r="HP42" s="2575"/>
      <c r="HQ42" s="2575"/>
      <c r="HR42" s="2575"/>
      <c r="HS42" s="2575"/>
      <c r="HT42" s="2575"/>
      <c r="HU42" s="2575"/>
    </row>
    <row r="43" spans="7:229" ht="4.1500000000000004" customHeight="1">
      <c r="Z43" s="414"/>
      <c r="AV43" s="426"/>
      <c r="AW43" s="426"/>
      <c r="AX43" s="426"/>
      <c r="AY43" s="426"/>
      <c r="AZ43" s="426"/>
      <c r="BA43" s="426"/>
      <c r="BB43" s="427"/>
      <c r="HN43" s="2573">
        <f>HN40</f>
        <v>0.5</v>
      </c>
      <c r="HO43" s="2573"/>
      <c r="HP43" s="2573"/>
      <c r="HQ43" s="2573"/>
      <c r="HR43" s="2573"/>
      <c r="HS43" s="2573"/>
      <c r="HT43" s="2573"/>
      <c r="HU43" s="2573"/>
    </row>
    <row r="44" spans="7:229" ht="4.1500000000000004" customHeight="1">
      <c r="Z44" s="414"/>
      <c r="BB44" s="431"/>
      <c r="HN44" s="2574"/>
      <c r="HO44" s="2574"/>
      <c r="HP44" s="2574"/>
      <c r="HQ44" s="2574"/>
      <c r="HR44" s="2574"/>
      <c r="HS44" s="2574"/>
      <c r="HT44" s="2574"/>
      <c r="HU44" s="2574"/>
    </row>
    <row r="45" spans="7:229" ht="4.1500000000000004" customHeight="1" thickBot="1">
      <c r="Z45" s="414"/>
      <c r="BB45" s="431"/>
      <c r="BH45" s="429"/>
      <c r="HN45" s="2575"/>
      <c r="HO45" s="2575"/>
      <c r="HP45" s="2575"/>
      <c r="HQ45" s="2575"/>
      <c r="HR45" s="2575"/>
      <c r="HS45" s="2575"/>
      <c r="HT45" s="2575"/>
      <c r="HU45" s="2575"/>
    </row>
    <row r="46" spans="7:229" ht="4.1500000000000004" customHeight="1">
      <c r="Z46" s="414"/>
      <c r="BC46" s="426"/>
      <c r="BD46" s="426"/>
      <c r="BE46" s="426"/>
      <c r="BF46" s="426"/>
      <c r="BG46" s="426"/>
      <c r="BH46" s="426"/>
      <c r="BI46" s="427"/>
      <c r="HN46" s="2573">
        <f>HN43</f>
        <v>0.5</v>
      </c>
      <c r="HO46" s="2573"/>
      <c r="HP46" s="2573"/>
      <c r="HQ46" s="2573"/>
      <c r="HR46" s="2573"/>
      <c r="HS46" s="2573"/>
      <c r="HT46" s="2573"/>
      <c r="HU46" s="2573"/>
    </row>
    <row r="47" spans="7:229" ht="4.1500000000000004" customHeight="1">
      <c r="Z47" s="414"/>
      <c r="BI47" s="431"/>
      <c r="HN47" s="2574"/>
      <c r="HO47" s="2574"/>
      <c r="HP47" s="2574"/>
      <c r="HQ47" s="2574"/>
      <c r="HR47" s="2574"/>
      <c r="HS47" s="2574"/>
      <c r="HT47" s="2574"/>
      <c r="HU47" s="2574"/>
    </row>
    <row r="48" spans="7:229" ht="4.1500000000000004" customHeight="1" thickBot="1">
      <c r="Z48" s="414"/>
      <c r="BI48" s="431"/>
      <c r="HN48" s="2575"/>
      <c r="HO48" s="2575"/>
      <c r="HP48" s="2575"/>
      <c r="HQ48" s="2575"/>
      <c r="HR48" s="2575"/>
      <c r="HS48" s="2575"/>
      <c r="HT48" s="2575"/>
      <c r="HU48" s="2575"/>
    </row>
    <row r="49" spans="26:229" ht="4.1500000000000004" customHeight="1">
      <c r="Z49" s="414"/>
      <c r="BJ49" s="426"/>
      <c r="BK49" s="426"/>
      <c r="BL49" s="426"/>
      <c r="BM49" s="426"/>
      <c r="BN49" s="426"/>
      <c r="BO49" s="426"/>
      <c r="BP49" s="427"/>
      <c r="HN49" s="2573">
        <f>HN46</f>
        <v>0.5</v>
      </c>
      <c r="HO49" s="2573"/>
      <c r="HP49" s="2573"/>
      <c r="HQ49" s="2573"/>
      <c r="HR49" s="2573"/>
      <c r="HS49" s="2573"/>
      <c r="HT49" s="2573"/>
      <c r="HU49" s="2573"/>
    </row>
    <row r="50" spans="26:229" ht="4.1500000000000004" customHeight="1">
      <c r="Z50" s="414"/>
      <c r="BP50" s="431"/>
      <c r="HN50" s="2574"/>
      <c r="HO50" s="2574"/>
      <c r="HP50" s="2574"/>
      <c r="HQ50" s="2574"/>
      <c r="HR50" s="2574"/>
      <c r="HS50" s="2574"/>
      <c r="HT50" s="2574"/>
      <c r="HU50" s="2574"/>
    </row>
    <row r="51" spans="26:229" ht="4.1500000000000004" customHeight="1" thickBot="1">
      <c r="Z51" s="414"/>
      <c r="BP51" s="431"/>
      <c r="BV51" s="429"/>
      <c r="HN51" s="2575"/>
      <c r="HO51" s="2575"/>
      <c r="HP51" s="2575"/>
      <c r="HQ51" s="2575"/>
      <c r="HR51" s="2575"/>
      <c r="HS51" s="2575"/>
      <c r="HT51" s="2575"/>
      <c r="HU51" s="2575"/>
    </row>
    <row r="52" spans="26:229" ht="4.1500000000000004" customHeight="1">
      <c r="Z52" s="414"/>
      <c r="BQ52" s="426"/>
      <c r="BR52" s="426"/>
      <c r="BS52" s="426"/>
      <c r="BT52" s="426"/>
      <c r="BU52" s="426"/>
      <c r="BV52" s="426"/>
      <c r="BW52" s="427"/>
      <c r="HN52" s="2573">
        <f>HN49</f>
        <v>0.5</v>
      </c>
      <c r="HO52" s="2573"/>
      <c r="HP52" s="2573"/>
      <c r="HQ52" s="2573"/>
      <c r="HR52" s="2573"/>
      <c r="HS52" s="2573"/>
      <c r="HT52" s="2573"/>
      <c r="HU52" s="2573"/>
    </row>
    <row r="53" spans="26:229" ht="4.1500000000000004" customHeight="1">
      <c r="Z53" s="414"/>
      <c r="BW53" s="431"/>
      <c r="HN53" s="2574"/>
      <c r="HO53" s="2574"/>
      <c r="HP53" s="2574"/>
      <c r="HQ53" s="2574"/>
      <c r="HR53" s="2574"/>
      <c r="HS53" s="2574"/>
      <c r="HT53" s="2574"/>
      <c r="HU53" s="2574"/>
    </row>
    <row r="54" spans="26:229" ht="4.1500000000000004" customHeight="1" thickBot="1">
      <c r="Z54" s="414"/>
      <c r="BW54" s="431"/>
      <c r="HN54" s="2575"/>
      <c r="HO54" s="2575"/>
      <c r="HP54" s="2575"/>
      <c r="HQ54" s="2575"/>
      <c r="HR54" s="2575"/>
      <c r="HS54" s="2575"/>
      <c r="HT54" s="2575"/>
      <c r="HU54" s="2575"/>
    </row>
    <row r="55" spans="26:229" ht="4.1500000000000004" customHeight="1">
      <c r="Z55" s="414"/>
      <c r="BX55" s="426"/>
      <c r="BY55" s="426"/>
      <c r="BZ55" s="426"/>
      <c r="CA55" s="426"/>
      <c r="CB55" s="426"/>
      <c r="CC55" s="426"/>
      <c r="CD55" s="427"/>
      <c r="HN55" s="2573">
        <f>HN52</f>
        <v>0.5</v>
      </c>
      <c r="HO55" s="2573"/>
      <c r="HP55" s="2573"/>
      <c r="HQ55" s="2573"/>
      <c r="HR55" s="2573"/>
      <c r="HS55" s="2573"/>
      <c r="HT55" s="2573"/>
      <c r="HU55" s="2573"/>
    </row>
    <row r="56" spans="26:229" ht="4.1500000000000004" customHeight="1">
      <c r="Z56" s="414"/>
      <c r="CD56" s="431"/>
      <c r="HN56" s="2574"/>
      <c r="HO56" s="2574"/>
      <c r="HP56" s="2574"/>
      <c r="HQ56" s="2574"/>
      <c r="HR56" s="2574"/>
      <c r="HS56" s="2574"/>
      <c r="HT56" s="2574"/>
      <c r="HU56" s="2574"/>
    </row>
    <row r="57" spans="26:229" ht="4.1500000000000004" customHeight="1" thickBot="1">
      <c r="Z57" s="414"/>
      <c r="CD57" s="431"/>
      <c r="HN57" s="2575"/>
      <c r="HO57" s="2575"/>
      <c r="HP57" s="2575"/>
      <c r="HQ57" s="2575"/>
      <c r="HR57" s="2575"/>
      <c r="HS57" s="2575"/>
      <c r="HT57" s="2575"/>
      <c r="HU57" s="2575"/>
    </row>
    <row r="58" spans="26:229" ht="4.1500000000000004" customHeight="1">
      <c r="Z58" s="414"/>
      <c r="CE58" s="426"/>
      <c r="CF58" s="426"/>
      <c r="CG58" s="426"/>
      <c r="CH58" s="426"/>
      <c r="CI58" s="426"/>
      <c r="CJ58" s="426"/>
      <c r="CK58" s="427"/>
      <c r="HN58" s="2573">
        <f>HN55</f>
        <v>0.5</v>
      </c>
      <c r="HO58" s="2573"/>
      <c r="HP58" s="2573"/>
      <c r="HQ58" s="2573"/>
      <c r="HR58" s="2573"/>
      <c r="HS58" s="2573"/>
      <c r="HT58" s="2573"/>
      <c r="HU58" s="2573"/>
    </row>
    <row r="59" spans="26:229" ht="4.1500000000000004" customHeight="1">
      <c r="Z59" s="414"/>
      <c r="CK59" s="431"/>
      <c r="HN59" s="2574"/>
      <c r="HO59" s="2574"/>
      <c r="HP59" s="2574"/>
      <c r="HQ59" s="2574"/>
      <c r="HR59" s="2574"/>
      <c r="HS59" s="2574"/>
      <c r="HT59" s="2574"/>
      <c r="HU59" s="2574"/>
    </row>
    <row r="60" spans="26:229" ht="4.1500000000000004" customHeight="1" thickBot="1">
      <c r="Z60" s="414"/>
      <c r="CK60" s="431"/>
      <c r="CQ60" s="429"/>
      <c r="HN60" s="2575"/>
      <c r="HO60" s="2575"/>
      <c r="HP60" s="2575"/>
      <c r="HQ60" s="2575"/>
      <c r="HR60" s="2575"/>
      <c r="HS60" s="2575"/>
      <c r="HT60" s="2575"/>
      <c r="HU60" s="2575"/>
    </row>
    <row r="61" spans="26:229" ht="4.1500000000000004" customHeight="1">
      <c r="Z61" s="414"/>
      <c r="CL61" s="426"/>
      <c r="CM61" s="426"/>
      <c r="CN61" s="426"/>
      <c r="CO61" s="426"/>
      <c r="CP61" s="426"/>
      <c r="CQ61" s="426"/>
      <c r="CR61" s="427"/>
      <c r="HN61" s="2573">
        <f>HN58</f>
        <v>0.5</v>
      </c>
      <c r="HO61" s="2573"/>
      <c r="HP61" s="2573"/>
      <c r="HQ61" s="2573"/>
      <c r="HR61" s="2573"/>
      <c r="HS61" s="2573"/>
      <c r="HT61" s="2573"/>
      <c r="HU61" s="2573"/>
    </row>
    <row r="62" spans="26:229" ht="4.1500000000000004" customHeight="1">
      <c r="Z62" s="414"/>
      <c r="CR62" s="431"/>
      <c r="HN62" s="2574"/>
      <c r="HO62" s="2574"/>
      <c r="HP62" s="2574"/>
      <c r="HQ62" s="2574"/>
      <c r="HR62" s="2574"/>
      <c r="HS62" s="2574"/>
      <c r="HT62" s="2574"/>
      <c r="HU62" s="2574"/>
    </row>
    <row r="63" spans="26:229" ht="4.1500000000000004" customHeight="1" thickBot="1">
      <c r="Z63" s="414"/>
      <c r="CR63" s="431"/>
      <c r="CX63" s="429"/>
      <c r="HN63" s="2575"/>
      <c r="HO63" s="2575"/>
      <c r="HP63" s="2575"/>
      <c r="HQ63" s="2575"/>
      <c r="HR63" s="2575"/>
      <c r="HS63" s="2575"/>
      <c r="HT63" s="2575"/>
      <c r="HU63" s="2575"/>
    </row>
    <row r="64" spans="26:229" ht="4.1500000000000004" customHeight="1">
      <c r="Z64" s="414"/>
      <c r="CS64" s="426"/>
      <c r="CT64" s="426"/>
      <c r="CU64" s="426"/>
      <c r="CV64" s="426"/>
      <c r="CW64" s="426"/>
      <c r="CX64" s="426"/>
      <c r="CY64" s="427"/>
      <c r="HN64" s="2573">
        <f>HN61</f>
        <v>0.5</v>
      </c>
      <c r="HO64" s="2573"/>
      <c r="HP64" s="2573"/>
      <c r="HQ64" s="2573"/>
      <c r="HR64" s="2573"/>
      <c r="HS64" s="2573"/>
      <c r="HT64" s="2573"/>
      <c r="HU64" s="2573"/>
    </row>
    <row r="65" spans="22:229" ht="4.1500000000000004" customHeight="1">
      <c r="Z65" s="414"/>
      <c r="CY65" s="431"/>
      <c r="HN65" s="2574"/>
      <c r="HO65" s="2574"/>
      <c r="HP65" s="2574"/>
      <c r="HQ65" s="2574"/>
      <c r="HR65" s="2574"/>
      <c r="HS65" s="2574"/>
      <c r="HT65" s="2574"/>
      <c r="HU65" s="2574"/>
    </row>
    <row r="66" spans="22:229" ht="4.1500000000000004" customHeight="1" thickBot="1">
      <c r="Z66" s="414"/>
      <c r="CY66" s="431"/>
      <c r="DE66" s="429"/>
      <c r="HN66" s="2575"/>
      <c r="HO66" s="2575"/>
      <c r="HP66" s="2575"/>
      <c r="HQ66" s="2575"/>
      <c r="HR66" s="2575"/>
      <c r="HS66" s="2575"/>
      <c r="HT66" s="2575"/>
      <c r="HU66" s="2575"/>
    </row>
    <row r="67" spans="22:229" ht="4.1500000000000004" customHeight="1">
      <c r="V67" s="2574">
        <f>SUM(HN37:HU105)</f>
        <v>11.5</v>
      </c>
      <c r="W67" s="2574"/>
      <c r="X67" s="2574"/>
      <c r="Y67" s="2574"/>
      <c r="Z67" s="2574"/>
      <c r="AA67" s="2574"/>
      <c r="AB67" s="2574"/>
      <c r="AC67" s="2574"/>
      <c r="CZ67" s="426"/>
      <c r="DA67" s="426"/>
      <c r="DB67" s="426"/>
      <c r="DC67" s="426"/>
      <c r="DD67" s="426"/>
      <c r="DE67" s="426"/>
      <c r="DF67" s="427"/>
      <c r="HN67" s="2573">
        <f>HN64</f>
        <v>0.5</v>
      </c>
      <c r="HO67" s="2573"/>
      <c r="HP67" s="2573"/>
      <c r="HQ67" s="2573"/>
      <c r="HR67" s="2573"/>
      <c r="HS67" s="2573"/>
      <c r="HT67" s="2573"/>
      <c r="HU67" s="2573"/>
    </row>
    <row r="68" spans="22:229" ht="4.1500000000000004" customHeight="1">
      <c r="V68" s="2574"/>
      <c r="W68" s="2574"/>
      <c r="X68" s="2574"/>
      <c r="Y68" s="2574"/>
      <c r="Z68" s="2574"/>
      <c r="AA68" s="2574"/>
      <c r="AB68" s="2574"/>
      <c r="AC68" s="2574"/>
      <c r="DF68" s="431"/>
      <c r="HN68" s="2574"/>
      <c r="HO68" s="2574"/>
      <c r="HP68" s="2574"/>
      <c r="HQ68" s="2574"/>
      <c r="HR68" s="2574"/>
      <c r="HS68" s="2574"/>
      <c r="HT68" s="2574"/>
      <c r="HU68" s="2574"/>
    </row>
    <row r="69" spans="22:229" ht="4.1500000000000004" customHeight="1" thickBot="1">
      <c r="V69" s="2574"/>
      <c r="W69" s="2574"/>
      <c r="X69" s="2574"/>
      <c r="Y69" s="2574"/>
      <c r="Z69" s="2574"/>
      <c r="AA69" s="2574"/>
      <c r="AB69" s="2574"/>
      <c r="AC69" s="2574"/>
      <c r="DF69" s="431"/>
      <c r="EB69" s="429"/>
      <c r="HN69" s="2575"/>
      <c r="HO69" s="2575"/>
      <c r="HP69" s="2575"/>
      <c r="HQ69" s="2575"/>
      <c r="HR69" s="2575"/>
      <c r="HS69" s="2575"/>
      <c r="HT69" s="2575"/>
      <c r="HU69" s="2575"/>
    </row>
    <row r="70" spans="22:229" ht="4.1500000000000004" customHeight="1">
      <c r="V70" s="2574"/>
      <c r="W70" s="2574"/>
      <c r="X70" s="2574"/>
      <c r="Y70" s="2574"/>
      <c r="Z70" s="2574"/>
      <c r="AA70" s="2574"/>
      <c r="AB70" s="2574"/>
      <c r="AC70" s="2574"/>
      <c r="DG70" s="426"/>
      <c r="DH70" s="426"/>
      <c r="DI70" s="426"/>
      <c r="DJ70" s="426"/>
      <c r="DK70" s="426"/>
      <c r="DL70" s="426"/>
      <c r="DM70" s="426"/>
      <c r="DN70" s="426"/>
      <c r="DO70" s="426"/>
      <c r="DP70" s="426"/>
      <c r="DQ70" s="426"/>
      <c r="DR70" s="426"/>
      <c r="DS70" s="426"/>
      <c r="DT70" s="426"/>
      <c r="DU70" s="426"/>
      <c r="DV70" s="426"/>
      <c r="DW70" s="426"/>
      <c r="DX70" s="426"/>
      <c r="DY70" s="426"/>
      <c r="DZ70" s="426"/>
      <c r="EA70" s="426"/>
      <c r="EB70" s="426"/>
      <c r="EC70" s="427"/>
      <c r="HN70" s="2573">
        <f>HN67</f>
        <v>0.5</v>
      </c>
      <c r="HO70" s="2573"/>
      <c r="HP70" s="2573"/>
      <c r="HQ70" s="2573"/>
      <c r="HR70" s="2573"/>
      <c r="HS70" s="2573"/>
      <c r="HT70" s="2573"/>
      <c r="HU70" s="2573"/>
    </row>
    <row r="71" spans="22:229" ht="4.1500000000000004" customHeight="1">
      <c r="Z71" s="414"/>
      <c r="EC71" s="431"/>
      <c r="HN71" s="2574"/>
      <c r="HO71" s="2574"/>
      <c r="HP71" s="2574"/>
      <c r="HQ71" s="2574"/>
      <c r="HR71" s="2574"/>
      <c r="HS71" s="2574"/>
      <c r="HT71" s="2574"/>
      <c r="HU71" s="2574"/>
    </row>
    <row r="72" spans="22:229" ht="4.1500000000000004" customHeight="1" thickBot="1">
      <c r="Z72" s="414"/>
      <c r="DG72" s="429"/>
      <c r="DH72" s="429"/>
      <c r="DI72" s="429"/>
      <c r="DJ72" s="429"/>
      <c r="DK72" s="429"/>
      <c r="DL72" s="429"/>
      <c r="DM72" s="429"/>
      <c r="DN72" s="429"/>
      <c r="DO72" s="429"/>
      <c r="DP72" s="429"/>
      <c r="DQ72" s="429"/>
      <c r="DR72" s="429"/>
      <c r="DS72" s="429"/>
      <c r="DT72" s="429"/>
      <c r="DU72" s="429"/>
      <c r="DV72" s="429"/>
      <c r="DW72" s="429"/>
      <c r="DX72" s="429"/>
      <c r="EC72" s="431"/>
      <c r="EI72" s="429"/>
      <c r="HN72" s="2575"/>
      <c r="HO72" s="2575"/>
      <c r="HP72" s="2575"/>
      <c r="HQ72" s="2575"/>
      <c r="HR72" s="2575"/>
      <c r="HS72" s="2575"/>
      <c r="HT72" s="2575"/>
      <c r="HU72" s="2575"/>
    </row>
    <row r="73" spans="22:229" ht="4.1500000000000004" customHeight="1">
      <c r="Z73" s="414"/>
      <c r="DG73" s="414"/>
      <c r="DJ73" s="414"/>
      <c r="EC73" s="415"/>
      <c r="ED73" s="426"/>
      <c r="EE73" s="426"/>
      <c r="EF73" s="426"/>
      <c r="EG73" s="426"/>
      <c r="EH73" s="426"/>
      <c r="EI73" s="426"/>
      <c r="EJ73" s="427"/>
      <c r="HN73" s="2573">
        <f>HN70</f>
        <v>0.5</v>
      </c>
      <c r="HO73" s="2573"/>
      <c r="HP73" s="2573"/>
      <c r="HQ73" s="2573"/>
      <c r="HR73" s="2573"/>
      <c r="HS73" s="2573"/>
      <c r="HT73" s="2573"/>
      <c r="HU73" s="2573"/>
    </row>
    <row r="74" spans="22:229" ht="4.1500000000000004" customHeight="1">
      <c r="Z74" s="414"/>
      <c r="DG74" s="414"/>
      <c r="DJ74" s="414"/>
      <c r="EC74" s="415"/>
      <c r="EJ74" s="431"/>
      <c r="HN74" s="2574"/>
      <c r="HO74" s="2574"/>
      <c r="HP74" s="2574"/>
      <c r="HQ74" s="2574"/>
      <c r="HR74" s="2574"/>
      <c r="HS74" s="2574"/>
      <c r="HT74" s="2574"/>
      <c r="HU74" s="2574"/>
    </row>
    <row r="75" spans="22:229" ht="4.1500000000000004" customHeight="1" thickBot="1">
      <c r="Z75" s="414"/>
      <c r="DG75" s="416"/>
      <c r="DH75" s="417"/>
      <c r="DI75" s="417"/>
      <c r="DJ75" s="416"/>
      <c r="DK75" s="417"/>
      <c r="DL75" s="417"/>
      <c r="DM75" s="417"/>
      <c r="DN75" s="417"/>
      <c r="DO75" s="417"/>
      <c r="DU75" s="417"/>
      <c r="DV75" s="417"/>
      <c r="DW75" s="417"/>
      <c r="DX75" s="417"/>
      <c r="DY75" s="417"/>
      <c r="DZ75" s="417"/>
      <c r="EA75" s="417"/>
      <c r="EB75" s="417"/>
      <c r="EC75" s="418"/>
      <c r="EJ75" s="431"/>
      <c r="EP75" s="429"/>
      <c r="HN75" s="2575"/>
      <c r="HO75" s="2575"/>
      <c r="HP75" s="2575"/>
      <c r="HQ75" s="2575"/>
      <c r="HR75" s="2575"/>
      <c r="HS75" s="2575"/>
      <c r="HT75" s="2575"/>
      <c r="HU75" s="2575"/>
    </row>
    <row r="76" spans="22:229" ht="4.1500000000000004" customHeight="1">
      <c r="Z76" s="414"/>
      <c r="DJ76" s="414"/>
      <c r="DP76" s="414"/>
      <c r="DT76" s="415"/>
      <c r="EK76" s="426"/>
      <c r="EL76" s="426"/>
      <c r="EM76" s="426"/>
      <c r="EN76" s="426"/>
      <c r="EO76" s="426"/>
      <c r="EP76" s="426"/>
      <c r="EQ76" s="427"/>
      <c r="HN76" s="2573">
        <f>HN73</f>
        <v>0.5</v>
      </c>
      <c r="HO76" s="2573"/>
      <c r="HP76" s="2573"/>
      <c r="HQ76" s="2573"/>
      <c r="HR76" s="2573"/>
      <c r="HS76" s="2573"/>
      <c r="HT76" s="2573"/>
      <c r="HU76" s="2573"/>
    </row>
    <row r="77" spans="22:229" ht="4.1500000000000004" customHeight="1">
      <c r="Z77" s="414"/>
      <c r="DJ77" s="414"/>
      <c r="DP77" s="414"/>
      <c r="DT77" s="415"/>
      <c r="EQ77" s="431"/>
      <c r="HN77" s="2574"/>
      <c r="HO77" s="2574"/>
      <c r="HP77" s="2574"/>
      <c r="HQ77" s="2574"/>
      <c r="HR77" s="2574"/>
      <c r="HS77" s="2574"/>
      <c r="HT77" s="2574"/>
      <c r="HU77" s="2574"/>
    </row>
    <row r="78" spans="22:229" ht="4.1500000000000004" customHeight="1" thickBot="1">
      <c r="Z78" s="414"/>
      <c r="DJ78" s="414"/>
      <c r="DP78" s="414"/>
      <c r="DT78" s="415"/>
      <c r="EQ78" s="431"/>
      <c r="EW78" s="429"/>
      <c r="HN78" s="2575"/>
      <c r="HO78" s="2575"/>
      <c r="HP78" s="2575"/>
      <c r="HQ78" s="2575"/>
      <c r="HR78" s="2575"/>
      <c r="HS78" s="2575"/>
      <c r="HT78" s="2575"/>
      <c r="HU78" s="2575"/>
    </row>
    <row r="79" spans="22:229" ht="4.1500000000000004" customHeight="1">
      <c r="Z79" s="414"/>
      <c r="DJ79" s="414"/>
      <c r="DP79" s="414"/>
      <c r="DT79" s="415"/>
      <c r="ER79" s="426"/>
      <c r="ES79" s="426"/>
      <c r="ET79" s="426"/>
      <c r="EU79" s="426"/>
      <c r="EV79" s="426"/>
      <c r="EW79" s="426"/>
      <c r="EX79" s="427"/>
      <c r="HN79" s="2573">
        <f>HN76</f>
        <v>0.5</v>
      </c>
      <c r="HO79" s="2573"/>
      <c r="HP79" s="2573"/>
      <c r="HQ79" s="2573"/>
      <c r="HR79" s="2573"/>
      <c r="HS79" s="2573"/>
      <c r="HT79" s="2573"/>
      <c r="HU79" s="2573"/>
    </row>
    <row r="80" spans="22:229" ht="4.1500000000000004" customHeight="1">
      <c r="Z80" s="414"/>
      <c r="DJ80" s="414"/>
      <c r="DP80" s="414"/>
      <c r="DT80" s="415"/>
      <c r="EX80" s="431"/>
      <c r="HN80" s="2574"/>
      <c r="HO80" s="2574"/>
      <c r="HP80" s="2574"/>
      <c r="HQ80" s="2574"/>
      <c r="HR80" s="2574"/>
      <c r="HS80" s="2574"/>
      <c r="HT80" s="2574"/>
      <c r="HU80" s="2574"/>
    </row>
    <row r="81" spans="26:229" ht="4.1500000000000004" customHeight="1" thickBot="1">
      <c r="Z81" s="414"/>
      <c r="DJ81" s="414"/>
      <c r="DP81" s="414"/>
      <c r="DT81" s="415"/>
      <c r="EX81" s="431"/>
      <c r="FD81" s="429"/>
      <c r="HN81" s="2575"/>
      <c r="HO81" s="2575"/>
      <c r="HP81" s="2575"/>
      <c r="HQ81" s="2575"/>
      <c r="HR81" s="2575"/>
      <c r="HS81" s="2575"/>
      <c r="HT81" s="2575"/>
      <c r="HU81" s="2575"/>
    </row>
    <row r="82" spans="26:229" ht="4.1500000000000004" customHeight="1">
      <c r="Z82" s="414"/>
      <c r="DJ82" s="414"/>
      <c r="DP82" s="414"/>
      <c r="DT82" s="415"/>
      <c r="EY82" s="426"/>
      <c r="EZ82" s="426"/>
      <c r="FA82" s="426"/>
      <c r="FB82" s="426"/>
      <c r="FC82" s="426"/>
      <c r="FD82" s="426"/>
      <c r="FE82" s="427"/>
      <c r="HN82" s="2573">
        <f>HN79</f>
        <v>0.5</v>
      </c>
      <c r="HO82" s="2573"/>
      <c r="HP82" s="2573"/>
      <c r="HQ82" s="2573"/>
      <c r="HR82" s="2573"/>
      <c r="HS82" s="2573"/>
      <c r="HT82" s="2573"/>
      <c r="HU82" s="2573"/>
    </row>
    <row r="83" spans="26:229" ht="4.1500000000000004" customHeight="1">
      <c r="Z83" s="414"/>
      <c r="DJ83" s="414"/>
      <c r="DP83" s="414"/>
      <c r="DT83" s="415"/>
      <c r="FE83" s="431"/>
      <c r="HN83" s="2574"/>
      <c r="HO83" s="2574"/>
      <c r="HP83" s="2574"/>
      <c r="HQ83" s="2574"/>
      <c r="HR83" s="2574"/>
      <c r="HS83" s="2574"/>
      <c r="HT83" s="2574"/>
      <c r="HU83" s="2574"/>
    </row>
    <row r="84" spans="26:229" ht="4.1500000000000004" customHeight="1" thickBot="1">
      <c r="Z84" s="414"/>
      <c r="DJ84" s="414"/>
      <c r="DP84" s="414"/>
      <c r="DT84" s="415"/>
      <c r="FE84" s="431"/>
      <c r="HN84" s="2575"/>
      <c r="HO84" s="2575"/>
      <c r="HP84" s="2575"/>
      <c r="HQ84" s="2575"/>
      <c r="HR84" s="2575"/>
      <c r="HS84" s="2575"/>
      <c r="HT84" s="2575"/>
      <c r="HU84" s="2575"/>
    </row>
    <row r="85" spans="26:229" ht="4.1500000000000004" customHeight="1">
      <c r="Z85" s="414"/>
      <c r="DJ85" s="414"/>
      <c r="DP85" s="414"/>
      <c r="DT85" s="415"/>
      <c r="FF85" s="426"/>
      <c r="FG85" s="426"/>
      <c r="FH85" s="426"/>
      <c r="FI85" s="426"/>
      <c r="FJ85" s="426"/>
      <c r="FK85" s="426"/>
      <c r="FL85" s="427"/>
      <c r="HN85" s="2573">
        <f>HN82</f>
        <v>0.5</v>
      </c>
      <c r="HO85" s="2573"/>
      <c r="HP85" s="2573"/>
      <c r="HQ85" s="2573"/>
      <c r="HR85" s="2573"/>
      <c r="HS85" s="2573"/>
      <c r="HT85" s="2573"/>
      <c r="HU85" s="2573"/>
    </row>
    <row r="86" spans="26:229" ht="4.1500000000000004" customHeight="1">
      <c r="Z86" s="414"/>
      <c r="DJ86" s="414"/>
      <c r="DP86" s="414"/>
      <c r="DT86" s="415"/>
      <c r="FL86" s="431"/>
      <c r="HN86" s="2574"/>
      <c r="HO86" s="2574"/>
      <c r="HP86" s="2574"/>
      <c r="HQ86" s="2574"/>
      <c r="HR86" s="2574"/>
      <c r="HS86" s="2574"/>
      <c r="HT86" s="2574"/>
      <c r="HU86" s="2574"/>
    </row>
    <row r="87" spans="26:229" ht="4.1500000000000004" customHeight="1" thickBot="1">
      <c r="Z87" s="414"/>
      <c r="DJ87" s="414"/>
      <c r="DP87" s="414"/>
      <c r="DT87" s="415"/>
      <c r="FL87" s="431"/>
      <c r="HN87" s="2575"/>
      <c r="HO87" s="2575"/>
      <c r="HP87" s="2575"/>
      <c r="HQ87" s="2575"/>
      <c r="HR87" s="2575"/>
      <c r="HS87" s="2575"/>
      <c r="HT87" s="2575"/>
      <c r="HU87" s="2575"/>
    </row>
    <row r="88" spans="26:229" ht="4.1500000000000004" customHeight="1">
      <c r="Z88" s="414"/>
      <c r="DJ88" s="414"/>
      <c r="DP88" s="414"/>
      <c r="DT88" s="415"/>
      <c r="FM88" s="426"/>
      <c r="FN88" s="426"/>
      <c r="FO88" s="426"/>
      <c r="FP88" s="426"/>
      <c r="FQ88" s="426"/>
      <c r="FR88" s="426"/>
      <c r="FS88" s="427"/>
      <c r="HN88" s="2573">
        <f>HN82</f>
        <v>0.5</v>
      </c>
      <c r="HO88" s="2573"/>
      <c r="HP88" s="2573"/>
      <c r="HQ88" s="2573"/>
      <c r="HR88" s="2573"/>
      <c r="HS88" s="2573"/>
      <c r="HT88" s="2573"/>
      <c r="HU88" s="2573"/>
    </row>
    <row r="89" spans="26:229" ht="4.1500000000000004" customHeight="1">
      <c r="Z89" s="414"/>
      <c r="DF89" s="2574">
        <f>HN70+HN73+HN76+HN79+HN82+HN88+HN91+HN94+HN97+HN100+HN103</f>
        <v>5.5</v>
      </c>
      <c r="DG89" s="2574"/>
      <c r="DH89" s="2574"/>
      <c r="DI89" s="2574"/>
      <c r="DJ89" s="2574"/>
      <c r="DK89" s="2574"/>
      <c r="DL89" s="2574"/>
      <c r="DM89" s="2574"/>
      <c r="DP89" s="414"/>
      <c r="DT89" s="415"/>
      <c r="FS89" s="431"/>
      <c r="HN89" s="2574"/>
      <c r="HO89" s="2574"/>
      <c r="HP89" s="2574"/>
      <c r="HQ89" s="2574"/>
      <c r="HR89" s="2574"/>
      <c r="HS89" s="2574"/>
      <c r="HT89" s="2574"/>
      <c r="HU89" s="2574"/>
    </row>
    <row r="90" spans="26:229" ht="4.1500000000000004" customHeight="1" thickBot="1">
      <c r="Z90" s="414"/>
      <c r="DF90" s="2574"/>
      <c r="DG90" s="2574"/>
      <c r="DH90" s="2574"/>
      <c r="DI90" s="2574"/>
      <c r="DJ90" s="2574"/>
      <c r="DK90" s="2574"/>
      <c r="DL90" s="2574"/>
      <c r="DM90" s="2574"/>
      <c r="DP90" s="414"/>
      <c r="DT90" s="415"/>
      <c r="FS90" s="431"/>
      <c r="FY90" s="429"/>
      <c r="HN90" s="2575"/>
      <c r="HO90" s="2575"/>
      <c r="HP90" s="2575"/>
      <c r="HQ90" s="2575"/>
      <c r="HR90" s="2575"/>
      <c r="HS90" s="2575"/>
      <c r="HT90" s="2575"/>
      <c r="HU90" s="2575"/>
    </row>
    <row r="91" spans="26:229" ht="4.1500000000000004" customHeight="1">
      <c r="Z91" s="414"/>
      <c r="DF91" s="2574"/>
      <c r="DG91" s="2574"/>
      <c r="DH91" s="2574"/>
      <c r="DI91" s="2574"/>
      <c r="DJ91" s="2574"/>
      <c r="DK91" s="2574"/>
      <c r="DL91" s="2574"/>
      <c r="DM91" s="2574"/>
      <c r="DP91" s="414"/>
      <c r="DT91" s="415"/>
      <c r="FT91" s="426"/>
      <c r="FU91" s="426"/>
      <c r="FV91" s="426"/>
      <c r="FW91" s="426"/>
      <c r="FX91" s="426"/>
      <c r="FY91" s="426"/>
      <c r="FZ91" s="427"/>
      <c r="HN91" s="2573">
        <f>HN88</f>
        <v>0.5</v>
      </c>
      <c r="HO91" s="2573"/>
      <c r="HP91" s="2573"/>
      <c r="HQ91" s="2573"/>
      <c r="HR91" s="2573"/>
      <c r="HS91" s="2573"/>
      <c r="HT91" s="2573"/>
      <c r="HU91" s="2573"/>
    </row>
    <row r="92" spans="26:229" ht="4.1500000000000004" customHeight="1">
      <c r="Z92" s="414"/>
      <c r="DF92" s="2574"/>
      <c r="DG92" s="2574"/>
      <c r="DH92" s="2574"/>
      <c r="DI92" s="2574"/>
      <c r="DJ92" s="2574"/>
      <c r="DK92" s="2574"/>
      <c r="DL92" s="2574"/>
      <c r="DM92" s="2574"/>
      <c r="DP92" s="414"/>
      <c r="DT92" s="415"/>
      <c r="FZ92" s="431"/>
      <c r="HN92" s="2574"/>
      <c r="HO92" s="2574"/>
      <c r="HP92" s="2574"/>
      <c r="HQ92" s="2574"/>
      <c r="HR92" s="2574"/>
      <c r="HS92" s="2574"/>
      <c r="HT92" s="2574"/>
      <c r="HU92" s="2574"/>
    </row>
    <row r="93" spans="26:229" ht="4.1500000000000004" customHeight="1" thickBot="1">
      <c r="Z93" s="414"/>
      <c r="DJ93" s="414"/>
      <c r="DP93" s="414"/>
      <c r="DT93" s="415"/>
      <c r="FZ93" s="431"/>
      <c r="GF93" s="429"/>
      <c r="HN93" s="2575"/>
      <c r="HO93" s="2575"/>
      <c r="HP93" s="2575"/>
      <c r="HQ93" s="2575"/>
      <c r="HR93" s="2575"/>
      <c r="HS93" s="2575"/>
      <c r="HT93" s="2575"/>
      <c r="HU93" s="2575"/>
    </row>
    <row r="94" spans="26:229" ht="4.1500000000000004" customHeight="1">
      <c r="Z94" s="414"/>
      <c r="DJ94" s="414"/>
      <c r="DP94" s="414"/>
      <c r="DT94" s="415"/>
      <c r="GA94" s="426"/>
      <c r="GB94" s="426"/>
      <c r="GC94" s="426"/>
      <c r="GD94" s="426"/>
      <c r="GE94" s="426"/>
      <c r="GF94" s="426"/>
      <c r="GG94" s="427"/>
      <c r="HN94" s="2573">
        <f>HN91</f>
        <v>0.5</v>
      </c>
      <c r="HO94" s="2573"/>
      <c r="HP94" s="2573"/>
      <c r="HQ94" s="2573"/>
      <c r="HR94" s="2573"/>
      <c r="HS94" s="2573"/>
      <c r="HT94" s="2573"/>
      <c r="HU94" s="2573"/>
    </row>
    <row r="95" spans="26:229" ht="4.1500000000000004" customHeight="1">
      <c r="Z95" s="414"/>
      <c r="DJ95" s="414"/>
      <c r="DP95" s="414"/>
      <c r="DT95" s="415"/>
      <c r="GG95" s="431"/>
      <c r="HN95" s="2574"/>
      <c r="HO95" s="2574"/>
      <c r="HP95" s="2574"/>
      <c r="HQ95" s="2574"/>
      <c r="HR95" s="2574"/>
      <c r="HS95" s="2574"/>
      <c r="HT95" s="2574"/>
      <c r="HU95" s="2574"/>
    </row>
    <row r="96" spans="26:229" ht="4.1500000000000004" customHeight="1" thickBot="1">
      <c r="Z96" s="414"/>
      <c r="DJ96" s="414"/>
      <c r="DP96" s="414"/>
      <c r="DT96" s="415"/>
      <c r="GG96" s="431"/>
      <c r="GM96" s="429"/>
      <c r="HN96" s="2575"/>
      <c r="HO96" s="2575"/>
      <c r="HP96" s="2575"/>
      <c r="HQ96" s="2575"/>
      <c r="HR96" s="2575"/>
      <c r="HS96" s="2575"/>
      <c r="HT96" s="2575"/>
      <c r="HU96" s="2575"/>
    </row>
    <row r="97" spans="6:229" ht="4.1500000000000004" customHeight="1">
      <c r="Z97" s="414"/>
      <c r="DJ97" s="414"/>
      <c r="DP97" s="414"/>
      <c r="DT97" s="415"/>
      <c r="GH97" s="426"/>
      <c r="GI97" s="426"/>
      <c r="GJ97" s="426"/>
      <c r="GK97" s="426"/>
      <c r="GL97" s="426"/>
      <c r="GM97" s="426"/>
      <c r="GN97" s="427"/>
      <c r="HN97" s="2573">
        <f>HN94</f>
        <v>0.5</v>
      </c>
      <c r="HO97" s="2573"/>
      <c r="HP97" s="2573"/>
      <c r="HQ97" s="2573"/>
      <c r="HR97" s="2573"/>
      <c r="HS97" s="2573"/>
      <c r="HT97" s="2573"/>
      <c r="HU97" s="2573"/>
    </row>
    <row r="98" spans="6:229" ht="4.1500000000000004" customHeight="1">
      <c r="Z98" s="414"/>
      <c r="DJ98" s="414"/>
      <c r="DP98" s="414"/>
      <c r="DT98" s="415"/>
      <c r="GN98" s="431"/>
      <c r="HN98" s="2574"/>
      <c r="HO98" s="2574"/>
      <c r="HP98" s="2574"/>
      <c r="HQ98" s="2574"/>
      <c r="HR98" s="2574"/>
      <c r="HS98" s="2574"/>
      <c r="HT98" s="2574"/>
      <c r="HU98" s="2574"/>
    </row>
    <row r="99" spans="6:229" ht="4.1500000000000004" customHeight="1" thickBot="1">
      <c r="Z99" s="414"/>
      <c r="DJ99" s="414"/>
      <c r="DP99" s="414"/>
      <c r="DT99" s="415"/>
      <c r="GN99" s="431"/>
      <c r="GT99" s="429"/>
      <c r="HN99" s="2575"/>
      <c r="HO99" s="2575"/>
      <c r="HP99" s="2575"/>
      <c r="HQ99" s="2575"/>
      <c r="HR99" s="2575"/>
      <c r="HS99" s="2575"/>
      <c r="HT99" s="2575"/>
      <c r="HU99" s="2575"/>
    </row>
    <row r="100" spans="6:229" ht="4.1500000000000004" customHeight="1">
      <c r="Z100" s="414"/>
      <c r="DJ100" s="414"/>
      <c r="DP100" s="414"/>
      <c r="DT100" s="415"/>
      <c r="GO100" s="426"/>
      <c r="GP100" s="426"/>
      <c r="GQ100" s="426"/>
      <c r="GR100" s="426"/>
      <c r="GS100" s="426"/>
      <c r="GT100" s="426"/>
      <c r="GU100" s="427"/>
      <c r="HN100" s="2573">
        <f>HN97</f>
        <v>0.5</v>
      </c>
      <c r="HO100" s="2573"/>
      <c r="HP100" s="2573"/>
      <c r="HQ100" s="2573"/>
      <c r="HR100" s="2573"/>
      <c r="HS100" s="2573"/>
      <c r="HT100" s="2573"/>
      <c r="HU100" s="2573"/>
    </row>
    <row r="101" spans="6:229" ht="4.1500000000000004" customHeight="1">
      <c r="Z101" s="414"/>
      <c r="DJ101" s="414"/>
      <c r="DP101" s="414"/>
      <c r="DT101" s="415"/>
      <c r="GU101" s="431"/>
      <c r="HN101" s="2574"/>
      <c r="HO101" s="2574"/>
      <c r="HP101" s="2574"/>
      <c r="HQ101" s="2574"/>
      <c r="HR101" s="2574"/>
      <c r="HS101" s="2574"/>
      <c r="HT101" s="2574"/>
      <c r="HU101" s="2574"/>
    </row>
    <row r="102" spans="6:229" ht="4.1500000000000004" customHeight="1" thickBot="1">
      <c r="Z102" s="414"/>
      <c r="DJ102" s="414"/>
      <c r="DP102" s="414"/>
      <c r="DT102" s="415"/>
      <c r="GU102" s="431"/>
      <c r="HA102" s="429"/>
      <c r="HN102" s="2575"/>
      <c r="HO102" s="2575"/>
      <c r="HP102" s="2575"/>
      <c r="HQ102" s="2575"/>
      <c r="HR102" s="2575"/>
      <c r="HS102" s="2575"/>
      <c r="HT102" s="2575"/>
      <c r="HU102" s="2575"/>
    </row>
    <row r="103" spans="6:229" ht="4.1500000000000004" customHeight="1">
      <c r="Z103" s="414"/>
      <c r="DJ103" s="414"/>
      <c r="DP103" s="414"/>
      <c r="DT103" s="415"/>
      <c r="GV103" s="426"/>
      <c r="GW103" s="426"/>
      <c r="GX103" s="426"/>
      <c r="GY103" s="426"/>
      <c r="GZ103" s="426"/>
      <c r="HA103" s="426"/>
      <c r="HB103" s="427"/>
      <c r="HN103" s="2573">
        <f>HN100</f>
        <v>0.5</v>
      </c>
      <c r="HO103" s="2573"/>
      <c r="HP103" s="2573"/>
      <c r="HQ103" s="2573"/>
      <c r="HR103" s="2573"/>
      <c r="HS103" s="2573"/>
      <c r="HT103" s="2573"/>
      <c r="HU103" s="2573"/>
    </row>
    <row r="104" spans="6:229" ht="4.1500000000000004" customHeight="1">
      <c r="Z104" s="414"/>
      <c r="DJ104" s="414"/>
      <c r="DP104" s="414"/>
      <c r="DT104" s="415"/>
      <c r="HB104" s="431"/>
      <c r="HN104" s="2574"/>
      <c r="HO104" s="2574"/>
      <c r="HP104" s="2574"/>
      <c r="HQ104" s="2574"/>
      <c r="HR104" s="2574"/>
      <c r="HS104" s="2574"/>
      <c r="HT104" s="2574"/>
      <c r="HU104" s="2574"/>
    </row>
    <row r="105" spans="6:229" ht="4.1500000000000004" customHeight="1">
      <c r="Z105" s="416"/>
      <c r="AA105" s="417"/>
      <c r="AB105" s="417"/>
      <c r="AC105" s="417"/>
      <c r="AD105" s="417"/>
      <c r="AE105" s="417"/>
      <c r="AF105" s="417"/>
      <c r="AG105" s="417"/>
      <c r="AH105" s="417"/>
      <c r="AI105" s="417"/>
      <c r="AJ105" s="417"/>
      <c r="AK105" s="417"/>
      <c r="AL105" s="417"/>
      <c r="AM105" s="417"/>
      <c r="DJ105" s="414"/>
      <c r="DP105" s="414"/>
      <c r="DT105" s="415"/>
      <c r="HB105" s="431"/>
      <c r="HN105" s="2575"/>
      <c r="HO105" s="2575"/>
      <c r="HP105" s="2575"/>
      <c r="HQ105" s="2575"/>
      <c r="HR105" s="2575"/>
      <c r="HS105" s="2575"/>
      <c r="HT105" s="2575"/>
      <c r="HU105" s="2575"/>
    </row>
    <row r="106" spans="6:229" ht="4.1500000000000004" customHeight="1">
      <c r="F106" s="412"/>
      <c r="G106" s="412"/>
      <c r="H106" s="412"/>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412"/>
      <c r="AF106" s="412"/>
      <c r="AG106" s="412"/>
      <c r="AH106" s="412"/>
      <c r="AI106" s="412"/>
      <c r="AJ106" s="412"/>
      <c r="AK106" s="412"/>
      <c r="AL106" s="412"/>
      <c r="AM106" s="412"/>
      <c r="AN106" s="412"/>
      <c r="AO106" s="412"/>
      <c r="AP106" s="412"/>
      <c r="AQ106" s="412"/>
      <c r="AR106" s="412"/>
      <c r="AS106" s="412"/>
      <c r="AT106" s="412"/>
      <c r="AU106" s="412"/>
      <c r="AV106" s="412"/>
      <c r="AW106" s="412"/>
      <c r="AX106" s="412"/>
      <c r="AY106" s="412"/>
      <c r="AZ106" s="412"/>
      <c r="BA106" s="412"/>
      <c r="BB106" s="412"/>
      <c r="BC106" s="412"/>
      <c r="BD106" s="412"/>
      <c r="BE106" s="412"/>
      <c r="BF106" s="412"/>
      <c r="BG106" s="412"/>
      <c r="BH106" s="412"/>
      <c r="BI106" s="412"/>
      <c r="BJ106" s="412"/>
      <c r="BK106" s="412"/>
      <c r="BL106" s="412"/>
      <c r="BM106" s="412"/>
      <c r="BN106" s="412"/>
      <c r="BO106" s="412"/>
      <c r="BP106" s="412"/>
      <c r="BQ106" s="412"/>
      <c r="BR106" s="412"/>
      <c r="BS106" s="412"/>
      <c r="BT106" s="412"/>
      <c r="BU106" s="412"/>
      <c r="BV106" s="412"/>
      <c r="BW106" s="412"/>
      <c r="BX106" s="412"/>
      <c r="BY106" s="412"/>
      <c r="BZ106" s="412"/>
      <c r="CA106" s="412"/>
      <c r="CB106" s="412"/>
      <c r="CC106" s="412"/>
      <c r="CD106" s="412"/>
      <c r="CE106" s="412"/>
      <c r="CF106" s="412"/>
      <c r="CG106" s="412"/>
      <c r="CH106" s="412"/>
      <c r="CI106" s="412"/>
      <c r="CJ106" s="412"/>
      <c r="CK106" s="412"/>
      <c r="CL106" s="412"/>
      <c r="CM106" s="412"/>
      <c r="CN106" s="412"/>
      <c r="CO106" s="412"/>
      <c r="CP106" s="412"/>
      <c r="CQ106" s="412"/>
      <c r="CR106" s="412"/>
      <c r="CS106" s="412"/>
      <c r="CT106" s="412"/>
      <c r="CU106" s="412"/>
      <c r="CV106" s="412"/>
      <c r="CW106" s="412"/>
      <c r="CX106" s="412"/>
      <c r="CY106" s="412"/>
      <c r="CZ106" s="412"/>
      <c r="DA106" s="412"/>
      <c r="DB106" s="412"/>
      <c r="DC106" s="412"/>
      <c r="DD106" s="412"/>
      <c r="DE106" s="412"/>
      <c r="DF106" s="412"/>
      <c r="DG106" s="412"/>
      <c r="DH106" s="412"/>
      <c r="DI106" s="412"/>
      <c r="DJ106" s="412"/>
      <c r="DK106" s="412"/>
      <c r="DL106" s="412"/>
      <c r="DM106" s="412"/>
      <c r="DN106" s="412"/>
      <c r="DO106" s="412"/>
      <c r="DU106" s="412"/>
      <c r="DV106" s="412"/>
      <c r="DW106" s="412"/>
      <c r="DX106" s="412"/>
      <c r="DY106" s="412"/>
      <c r="DZ106" s="412"/>
      <c r="EA106" s="412"/>
      <c r="EB106" s="412"/>
      <c r="EC106" s="412"/>
      <c r="ED106" s="412"/>
      <c r="EE106" s="412"/>
      <c r="EF106" s="412"/>
      <c r="EG106" s="412"/>
      <c r="EH106" s="412"/>
      <c r="EI106" s="412"/>
      <c r="EJ106" s="412"/>
      <c r="EK106" s="412"/>
      <c r="EL106" s="412"/>
      <c r="EM106" s="412"/>
      <c r="EN106" s="412"/>
      <c r="EO106" s="412"/>
      <c r="EP106" s="412"/>
      <c r="EQ106" s="412"/>
      <c r="ER106" s="412"/>
      <c r="ES106" s="412"/>
      <c r="ET106" s="412"/>
      <c r="EU106" s="412"/>
      <c r="EV106" s="412"/>
      <c r="EW106" s="412"/>
      <c r="EX106" s="412"/>
      <c r="EY106" s="412"/>
      <c r="EZ106" s="412"/>
      <c r="FA106" s="412"/>
      <c r="FB106" s="412"/>
      <c r="FC106" s="412"/>
      <c r="FD106" s="412"/>
      <c r="FE106" s="412"/>
      <c r="FF106" s="412"/>
      <c r="FG106" s="412"/>
      <c r="FH106" s="412"/>
      <c r="FI106" s="412"/>
      <c r="FJ106" s="412"/>
      <c r="FK106" s="412"/>
      <c r="FL106" s="412"/>
      <c r="FM106" s="412"/>
      <c r="FN106" s="412"/>
      <c r="FO106" s="412"/>
      <c r="FP106" s="412"/>
      <c r="FQ106" s="412"/>
      <c r="FR106" s="412"/>
      <c r="FS106" s="412"/>
      <c r="FT106" s="412"/>
      <c r="FU106" s="412"/>
      <c r="FV106" s="412"/>
      <c r="FW106" s="412"/>
      <c r="FX106" s="412"/>
      <c r="FY106" s="412"/>
      <c r="FZ106" s="412"/>
      <c r="GA106" s="412"/>
      <c r="GB106" s="412"/>
      <c r="GC106" s="412"/>
      <c r="GD106" s="412"/>
      <c r="GE106" s="412"/>
      <c r="GF106" s="412"/>
      <c r="GG106" s="412"/>
      <c r="GH106" s="412"/>
      <c r="GI106" s="412"/>
      <c r="GJ106" s="412"/>
      <c r="GK106" s="412"/>
      <c r="GL106" s="412"/>
      <c r="GM106" s="412"/>
      <c r="GN106" s="412"/>
      <c r="GO106" s="412"/>
      <c r="GP106" s="412"/>
      <c r="GQ106" s="412"/>
      <c r="GR106" s="412"/>
      <c r="GS106" s="412"/>
      <c r="GT106" s="412"/>
      <c r="GU106" s="412"/>
      <c r="GV106" s="412"/>
      <c r="HB106" s="415"/>
      <c r="HC106" s="412"/>
      <c r="HD106" s="412"/>
      <c r="HE106" s="412"/>
      <c r="HF106" s="412"/>
      <c r="HG106" s="412"/>
      <c r="HH106" s="412"/>
    </row>
    <row r="107" spans="6:229" ht="4.1500000000000004" customHeight="1">
      <c r="GY107" s="414"/>
      <c r="HB107" s="415"/>
    </row>
    <row r="108" spans="6:229" ht="4.1500000000000004" customHeight="1">
      <c r="GY108" s="414"/>
      <c r="HB108" s="415"/>
    </row>
    <row r="109" spans="6:229" ht="4.1500000000000004" customHeight="1">
      <c r="GY109" s="414"/>
      <c r="HB109" s="415"/>
    </row>
    <row r="110" spans="6:229" ht="4.1500000000000004" customHeight="1">
      <c r="GY110" s="414"/>
      <c r="HB110" s="415"/>
    </row>
    <row r="111" spans="6:229" ht="4.1500000000000004" customHeight="1">
      <c r="GY111" s="416"/>
      <c r="GZ111" s="417"/>
      <c r="HA111" s="417"/>
      <c r="HB111" s="418"/>
    </row>
    <row r="114" spans="41:210" ht="4.1500000000000004" customHeight="1">
      <c r="AO114" s="414"/>
      <c r="HB114" s="415"/>
    </row>
    <row r="115" spans="41:210" ht="4.1500000000000004" customHeight="1">
      <c r="AO115" s="414"/>
      <c r="DM115" s="2574">
        <f>SUM(AO24:HB26)</f>
        <v>24</v>
      </c>
      <c r="DN115" s="2574"/>
      <c r="DO115" s="2574"/>
      <c r="DP115" s="2574"/>
      <c r="DQ115" s="2574"/>
      <c r="DR115" s="2574"/>
      <c r="DS115" s="2574"/>
      <c r="DT115" s="2574"/>
      <c r="HB115" s="415"/>
    </row>
    <row r="116" spans="41:210" ht="4.1500000000000004" customHeight="1">
      <c r="AO116" s="414"/>
      <c r="DM116" s="2574"/>
      <c r="DN116" s="2574"/>
      <c r="DO116" s="2574"/>
      <c r="DP116" s="2574"/>
      <c r="DQ116" s="2574"/>
      <c r="DR116" s="2574"/>
      <c r="DS116" s="2574"/>
      <c r="DT116" s="2574"/>
      <c r="HB116" s="415"/>
    </row>
    <row r="117" spans="41:210" ht="4.1500000000000004" customHeight="1">
      <c r="AO117" s="414"/>
      <c r="DM117" s="2574"/>
      <c r="DN117" s="2574"/>
      <c r="DO117" s="2574"/>
      <c r="DP117" s="2574"/>
      <c r="DQ117" s="2574"/>
      <c r="DR117" s="2574"/>
      <c r="DS117" s="2574"/>
      <c r="DT117" s="2574"/>
      <c r="HB117" s="415"/>
    </row>
    <row r="118" spans="41:210" ht="4.1500000000000004" customHeight="1">
      <c r="DM118" s="2574"/>
      <c r="DN118" s="2574"/>
      <c r="DO118" s="2574"/>
      <c r="DP118" s="2574"/>
      <c r="DQ118" s="2574"/>
      <c r="DR118" s="2574"/>
      <c r="DS118" s="2574"/>
      <c r="DT118" s="2574"/>
    </row>
  </sheetData>
  <mergeCells count="49">
    <mergeCell ref="CZ14:DY17"/>
    <mergeCell ref="AO24:AU26"/>
    <mergeCell ref="AV24:BB26"/>
    <mergeCell ref="BC24:BI26"/>
    <mergeCell ref="BJ24:BP26"/>
    <mergeCell ref="BQ24:BW26"/>
    <mergeCell ref="CE24:CK26"/>
    <mergeCell ref="CL24:CR26"/>
    <mergeCell ref="CS24:CY26"/>
    <mergeCell ref="CZ24:DF26"/>
    <mergeCell ref="BX24:CD26"/>
    <mergeCell ref="V67:AC70"/>
    <mergeCell ref="HN67:HU69"/>
    <mergeCell ref="HN70:HU72"/>
    <mergeCell ref="HN73:HU75"/>
    <mergeCell ref="HN40:HU42"/>
    <mergeCell ref="HN43:HU45"/>
    <mergeCell ref="HN46:HU48"/>
    <mergeCell ref="HN49:HU51"/>
    <mergeCell ref="HN52:HU54"/>
    <mergeCell ref="HN58:HU60"/>
    <mergeCell ref="HN100:HU102"/>
    <mergeCell ref="HN103:HU105"/>
    <mergeCell ref="DM115:DT118"/>
    <mergeCell ref="HN55:HU57"/>
    <mergeCell ref="HN76:HU78"/>
    <mergeCell ref="HN79:HU81"/>
    <mergeCell ref="HN82:HU84"/>
    <mergeCell ref="HN88:HU90"/>
    <mergeCell ref="DF89:DM92"/>
    <mergeCell ref="HN91:HU93"/>
    <mergeCell ref="HN61:HU63"/>
    <mergeCell ref="HN64:HU66"/>
    <mergeCell ref="HN85:HU87"/>
    <mergeCell ref="HN94:HU96"/>
    <mergeCell ref="HN97:HU99"/>
    <mergeCell ref="HN37:HU39"/>
    <mergeCell ref="DG24:EC26"/>
    <mergeCell ref="ED24:EJ26"/>
    <mergeCell ref="EK24:EQ26"/>
    <mergeCell ref="ER24:EX26"/>
    <mergeCell ref="EY24:FE26"/>
    <mergeCell ref="FT24:FZ26"/>
    <mergeCell ref="GA24:GG26"/>
    <mergeCell ref="GH24:GN26"/>
    <mergeCell ref="GO24:GU26"/>
    <mergeCell ref="GV24:HB26"/>
    <mergeCell ref="FM24:FS26"/>
    <mergeCell ref="FF24:FL26"/>
  </mergeCells>
  <pageMargins left="0.45" right="0.45" top="0.5" bottom="0.5" header="0.3" footer="0.3"/>
  <pageSetup paperSize="9" scale="90" orientation="landscape" verticalDpi="0" r:id="rId1"/>
  <drawing r:id="rId2"/>
</worksheet>
</file>

<file path=xl/worksheets/sheet6.xml><?xml version="1.0" encoding="utf-8"?>
<worksheet xmlns="http://schemas.openxmlformats.org/spreadsheetml/2006/main" xmlns:r="http://schemas.openxmlformats.org/officeDocument/2006/relationships">
  <sheetPr>
    <tabColor rgb="FF00B050"/>
  </sheetPr>
  <dimension ref="H10:FQ141"/>
  <sheetViews>
    <sheetView view="pageBreakPreview" topLeftCell="A70" zoomScale="65" zoomScaleSheetLayoutView="65" workbookViewId="0">
      <selection activeCell="F7" sqref="F7"/>
    </sheetView>
  </sheetViews>
  <sheetFormatPr defaultColWidth="0.7109375" defaultRowHeight="6.6" customHeight="1"/>
  <cols>
    <col min="106" max="128" width="1.7109375" customWidth="1"/>
  </cols>
  <sheetData>
    <row r="10" spans="10:148" ht="6.6" customHeight="1">
      <c r="J10" s="414"/>
      <c r="AD10" s="2580" t="e">
        <f>#REF!+#REF!+#REF!</f>
        <v>#REF!</v>
      </c>
      <c r="AE10" s="2580"/>
      <c r="AF10" s="2580"/>
      <c r="AG10" s="2580"/>
      <c r="AH10" s="2580"/>
      <c r="AI10" s="2580"/>
      <c r="AJ10" s="2580"/>
      <c r="AK10" s="2580"/>
      <c r="AL10" s="2580"/>
      <c r="AM10" s="2580"/>
      <c r="AN10" s="2580"/>
      <c r="AO10" s="2580"/>
      <c r="AP10" s="2580"/>
      <c r="BL10" s="415"/>
    </row>
    <row r="11" spans="10:148" ht="6.6" customHeight="1">
      <c r="J11" s="416"/>
      <c r="K11" s="417"/>
      <c r="L11" s="417"/>
      <c r="M11" s="417"/>
      <c r="N11" s="417"/>
      <c r="O11" s="417"/>
      <c r="P11" s="417"/>
      <c r="Q11" s="417"/>
      <c r="R11" s="417"/>
      <c r="S11" s="417"/>
      <c r="T11" s="417"/>
      <c r="U11" s="417"/>
      <c r="V11" s="417"/>
      <c r="W11" s="417"/>
      <c r="X11" s="417"/>
      <c r="Y11" s="417"/>
      <c r="Z11" s="417"/>
      <c r="AA11" s="417"/>
      <c r="AB11" s="417"/>
      <c r="AC11" s="417"/>
      <c r="AD11" s="2580"/>
      <c r="AE11" s="2580"/>
      <c r="AF11" s="2580"/>
      <c r="AG11" s="2580"/>
      <c r="AH11" s="2580"/>
      <c r="AI11" s="2580"/>
      <c r="AJ11" s="2580"/>
      <c r="AK11" s="2580"/>
      <c r="AL11" s="2580"/>
      <c r="AM11" s="2580"/>
      <c r="AN11" s="2580"/>
      <c r="AO11" s="2580"/>
      <c r="AP11" s="2580"/>
      <c r="AQ11" s="417"/>
      <c r="AR11" s="417"/>
      <c r="AS11" s="417"/>
      <c r="AT11" s="417"/>
      <c r="AU11" s="417"/>
      <c r="AV11" s="417"/>
      <c r="AW11" s="417"/>
      <c r="AX11" s="417"/>
      <c r="AY11" s="417"/>
      <c r="AZ11" s="417"/>
      <c r="BA11" s="417"/>
      <c r="BB11" s="417"/>
      <c r="BC11" s="417"/>
      <c r="BD11" s="417"/>
      <c r="BE11" s="417"/>
      <c r="BF11" s="417"/>
      <c r="BG11" s="417"/>
      <c r="BH11" s="417"/>
      <c r="BI11" s="417"/>
      <c r="BJ11" s="417"/>
      <c r="BK11" s="417"/>
      <c r="BL11" s="418"/>
    </row>
    <row r="12" spans="10:148" ht="6.6" customHeight="1">
      <c r="J12" s="414"/>
      <c r="AD12" s="2580"/>
      <c r="AE12" s="2580"/>
      <c r="AF12" s="2580"/>
      <c r="AG12" s="2580"/>
      <c r="AH12" s="2580"/>
      <c r="AI12" s="2580"/>
      <c r="AJ12" s="2580"/>
      <c r="AK12" s="2580"/>
      <c r="AL12" s="2580"/>
      <c r="AM12" s="2580"/>
      <c r="AN12" s="2580"/>
      <c r="AO12" s="2580"/>
      <c r="AP12" s="2580"/>
      <c r="BL12" s="415"/>
    </row>
    <row r="13" spans="10:148" ht="6.6" customHeight="1">
      <c r="J13" s="414"/>
      <c r="AD13" s="2580"/>
      <c r="AE13" s="2580"/>
      <c r="AF13" s="2580"/>
      <c r="AG13" s="2580"/>
      <c r="AH13" s="2580"/>
      <c r="AI13" s="2580"/>
      <c r="AJ13" s="2580"/>
      <c r="AK13" s="2580"/>
      <c r="AL13" s="2580"/>
      <c r="AM13" s="2580"/>
      <c r="AN13" s="2580"/>
      <c r="AO13" s="2580"/>
      <c r="AP13" s="2580"/>
      <c r="BL13" s="415"/>
      <c r="DB13" s="1392"/>
      <c r="DC13" s="1392"/>
      <c r="DD13" s="1392"/>
      <c r="DE13" s="1392"/>
      <c r="DF13" s="1392"/>
      <c r="DG13" s="1392"/>
      <c r="DH13" s="1392"/>
      <c r="DI13" s="1392"/>
      <c r="DJ13" s="1392"/>
      <c r="DK13" s="1392"/>
      <c r="DL13" s="1392"/>
      <c r="DM13" s="1392"/>
      <c r="DN13" s="1392"/>
      <c r="DO13" s="1392"/>
      <c r="DP13" s="1392"/>
      <c r="DQ13" s="1392"/>
      <c r="DR13" s="1392"/>
      <c r="DS13" s="1392"/>
      <c r="DT13" s="1392"/>
      <c r="DU13" s="1392"/>
      <c r="DV13" s="1392"/>
      <c r="DW13" s="1392"/>
      <c r="DX13" s="1392"/>
    </row>
    <row r="14" spans="10:148" ht="6.6" customHeight="1">
      <c r="J14" s="2581"/>
      <c r="K14" s="2580"/>
      <c r="L14" s="2580"/>
      <c r="M14" s="2580"/>
      <c r="N14" s="2580"/>
      <c r="O14" s="2580"/>
      <c r="P14" s="2580"/>
      <c r="Q14" s="2580"/>
      <c r="R14" s="2580"/>
      <c r="S14" s="2582"/>
      <c r="T14" s="449"/>
      <c r="U14" s="449"/>
      <c r="V14" s="449"/>
      <c r="W14" s="449"/>
      <c r="X14" s="449"/>
      <c r="Y14" s="449"/>
      <c r="Z14" s="449"/>
      <c r="AA14" s="449"/>
      <c r="AB14" s="449"/>
      <c r="AC14" s="449"/>
      <c r="AD14" s="2580"/>
      <c r="AE14" s="2580"/>
      <c r="AF14" s="2580"/>
      <c r="AG14" s="2580"/>
      <c r="AH14" s="2580"/>
      <c r="AI14" s="2580"/>
      <c r="AJ14" s="2580"/>
      <c r="AK14" s="2580"/>
      <c r="AL14" s="2580"/>
      <c r="AM14" s="2580"/>
      <c r="AN14" s="2580"/>
      <c r="AO14" s="2580"/>
      <c r="AP14" s="2580"/>
      <c r="AQ14" s="449"/>
      <c r="AR14" s="449"/>
      <c r="AS14" s="449"/>
      <c r="AT14" s="449"/>
      <c r="AU14" s="449"/>
      <c r="AV14" s="449"/>
      <c r="AW14" s="449"/>
      <c r="AX14" s="449"/>
      <c r="AY14" s="449"/>
      <c r="AZ14" s="449"/>
      <c r="BA14" s="449"/>
      <c r="BB14" s="1402"/>
      <c r="BC14" s="2581"/>
      <c r="BD14" s="2580"/>
      <c r="BE14" s="2580"/>
      <c r="BF14" s="2580"/>
      <c r="BG14" s="2580"/>
      <c r="BH14" s="2580"/>
      <c r="BI14" s="2580"/>
      <c r="BJ14" s="2580"/>
      <c r="BK14" s="2580"/>
      <c r="BL14" s="2582"/>
      <c r="DB14" s="1392"/>
      <c r="DC14" s="1392"/>
      <c r="DD14" s="1392"/>
      <c r="DE14" s="1392"/>
      <c r="DF14" s="1392"/>
      <c r="DG14" s="1392"/>
      <c r="DH14" s="1392"/>
      <c r="DI14" s="1392"/>
      <c r="DJ14" s="1392"/>
      <c r="DK14" s="1392"/>
      <c r="DL14" s="1392"/>
      <c r="DM14" s="1392"/>
      <c r="DN14" s="1392"/>
      <c r="DO14" s="1392"/>
      <c r="DP14" s="1392"/>
      <c r="DQ14" s="1392"/>
      <c r="DR14" s="1392"/>
      <c r="DS14" s="1392"/>
      <c r="DT14" s="1392"/>
      <c r="DU14" s="1392"/>
      <c r="DV14" s="1392"/>
      <c r="DW14" s="1392"/>
      <c r="DX14" s="2367"/>
      <c r="DY14" s="449"/>
      <c r="DZ14" s="449"/>
      <c r="EA14" s="449"/>
      <c r="EB14" s="449"/>
      <c r="EC14" s="449"/>
      <c r="ED14" s="449"/>
      <c r="EE14" s="449"/>
      <c r="EF14" s="449"/>
      <c r="EG14" s="449"/>
      <c r="EH14" s="449"/>
      <c r="EI14" s="449"/>
      <c r="EJ14" s="449"/>
      <c r="EK14" s="449"/>
      <c r="EL14" s="449"/>
      <c r="EM14" s="449"/>
      <c r="EN14" s="449"/>
      <c r="EO14" s="449"/>
      <c r="EP14" s="449"/>
      <c r="EQ14" s="449"/>
      <c r="ER14" s="449"/>
    </row>
    <row r="15" spans="10:148" ht="6.6" customHeight="1">
      <c r="J15" s="2581"/>
      <c r="K15" s="2580"/>
      <c r="L15" s="2580"/>
      <c r="M15" s="2580"/>
      <c r="N15" s="2580"/>
      <c r="O15" s="2580"/>
      <c r="P15" s="2580"/>
      <c r="Q15" s="2580"/>
      <c r="R15" s="2580"/>
      <c r="S15" s="2582"/>
      <c r="T15" s="449"/>
      <c r="U15" s="449"/>
      <c r="V15" s="449"/>
      <c r="W15" s="449"/>
      <c r="X15" s="449"/>
      <c r="Y15" s="449"/>
      <c r="Z15" s="449"/>
      <c r="AA15" s="449"/>
      <c r="AB15" s="449"/>
      <c r="AC15" s="449"/>
      <c r="AD15" s="2580"/>
      <c r="AE15" s="2580"/>
      <c r="AF15" s="2580"/>
      <c r="AG15" s="2580"/>
      <c r="AH15" s="2580"/>
      <c r="AI15" s="2580"/>
      <c r="AJ15" s="2580"/>
      <c r="AK15" s="2580"/>
      <c r="AL15" s="2580"/>
      <c r="AM15" s="2580"/>
      <c r="AN15" s="2580"/>
      <c r="AO15" s="2580"/>
      <c r="AP15" s="2580"/>
      <c r="AQ15" s="449"/>
      <c r="AR15" s="449"/>
      <c r="AS15" s="449"/>
      <c r="AT15" s="449"/>
      <c r="AU15" s="449"/>
      <c r="AV15" s="449"/>
      <c r="AW15" s="449"/>
      <c r="AX15" s="449"/>
      <c r="AY15" s="449"/>
      <c r="AZ15" s="449"/>
      <c r="BA15" s="449"/>
      <c r="BB15" s="1402"/>
      <c r="BC15" s="2581"/>
      <c r="BD15" s="2580"/>
      <c r="BE15" s="2580"/>
      <c r="BF15" s="2580"/>
      <c r="BG15" s="2580"/>
      <c r="BH15" s="2580"/>
      <c r="BI15" s="2580"/>
      <c r="BJ15" s="2580"/>
      <c r="BK15" s="2580"/>
      <c r="BL15" s="2582"/>
      <c r="DB15" s="1392"/>
      <c r="DC15" s="1392"/>
      <c r="DD15" s="1392"/>
      <c r="DE15" s="1392"/>
      <c r="DF15" s="1392"/>
      <c r="DG15" s="1392"/>
      <c r="DH15" s="1392"/>
      <c r="DI15" s="1392"/>
      <c r="DJ15" s="1392"/>
      <c r="DK15" s="1392"/>
      <c r="DL15" s="1392"/>
      <c r="DM15" s="1392"/>
      <c r="DN15" s="1392"/>
      <c r="DO15" s="1392"/>
      <c r="DP15" s="1392"/>
      <c r="DQ15" s="1392"/>
      <c r="DR15" s="1392"/>
      <c r="DS15" s="1392"/>
      <c r="DT15" s="1392"/>
      <c r="DU15" s="1392"/>
      <c r="DV15" s="1392"/>
      <c r="DW15" s="1392"/>
      <c r="DX15" s="2367"/>
      <c r="DY15" s="449"/>
      <c r="DZ15" s="449"/>
      <c r="EA15" s="449"/>
      <c r="EB15" s="449"/>
      <c r="EC15" s="449"/>
      <c r="ED15" s="449"/>
      <c r="EE15" s="449"/>
      <c r="EF15" s="449"/>
      <c r="EG15" s="449"/>
      <c r="EH15" s="449"/>
      <c r="EI15" s="449"/>
      <c r="EJ15" s="449"/>
      <c r="EK15" s="449"/>
      <c r="EL15" s="449"/>
      <c r="EM15" s="449"/>
      <c r="EN15" s="449"/>
      <c r="EO15" s="449"/>
      <c r="EP15" s="449"/>
      <c r="EQ15" s="449"/>
      <c r="ER15" s="449"/>
    </row>
    <row r="16" spans="10:148" ht="6.6" customHeight="1">
      <c r="DB16" s="1392"/>
      <c r="DC16" s="1392"/>
      <c r="DD16" s="1392"/>
      <c r="DE16" s="1392"/>
      <c r="DF16" s="1392"/>
      <c r="DG16" s="1392"/>
      <c r="DH16" s="1392"/>
      <c r="DI16" s="1392"/>
      <c r="DJ16" s="1392"/>
      <c r="DK16" s="1392"/>
      <c r="DL16" s="1392"/>
      <c r="DM16" s="1392"/>
      <c r="DN16" s="1392"/>
      <c r="DO16" s="1392"/>
      <c r="DP16" s="1392"/>
      <c r="DQ16" s="1392"/>
      <c r="DR16" s="1392"/>
      <c r="DS16" s="1392"/>
      <c r="DT16" s="1392"/>
      <c r="DU16" s="1392"/>
      <c r="DV16" s="1392"/>
      <c r="DW16" s="1392"/>
      <c r="DX16" s="1392"/>
    </row>
    <row r="17" spans="10:171" ht="6.6" customHeight="1">
      <c r="J17" s="417"/>
      <c r="K17" s="417"/>
      <c r="L17" s="417"/>
      <c r="M17" s="417"/>
      <c r="N17" s="417"/>
      <c r="O17" s="417"/>
      <c r="P17" s="417"/>
      <c r="Q17" s="417"/>
      <c r="R17" s="417"/>
      <c r="S17" s="417"/>
      <c r="BC17" s="417"/>
      <c r="BD17" s="417"/>
      <c r="BE17" s="417"/>
      <c r="BF17" s="417"/>
      <c r="BG17" s="417"/>
      <c r="BH17" s="417"/>
      <c r="BI17" s="417"/>
      <c r="BJ17" s="417"/>
      <c r="BK17" s="417"/>
      <c r="BL17" s="417"/>
      <c r="DB17" s="1392"/>
      <c r="DC17" s="1392"/>
      <c r="DD17" s="1392"/>
      <c r="DE17" s="1392"/>
      <c r="DF17" s="1392"/>
      <c r="DG17" s="1392"/>
      <c r="DH17" s="1392"/>
      <c r="DI17" s="1392"/>
      <c r="DJ17" s="1392"/>
      <c r="DK17" s="1392"/>
      <c r="DL17" s="1392"/>
      <c r="DM17" s="1392"/>
      <c r="DN17" s="1392"/>
      <c r="DO17" s="1392"/>
      <c r="DP17" s="1392"/>
      <c r="DQ17" s="1392"/>
      <c r="DR17" s="1392"/>
      <c r="DS17" s="1392"/>
      <c r="DT17" s="1392"/>
      <c r="DU17" s="1392"/>
      <c r="DV17" s="1392"/>
      <c r="DW17" s="1392"/>
      <c r="DX17" s="1392"/>
    </row>
    <row r="18" spans="10:171" ht="6.6" customHeight="1">
      <c r="J18" s="414"/>
      <c r="T18" s="414"/>
      <c r="BB18" s="415"/>
      <c r="BL18" s="415"/>
      <c r="BR18" s="412"/>
      <c r="BS18" s="412"/>
      <c r="BT18" s="412"/>
      <c r="BU18" s="412"/>
      <c r="BV18" s="412"/>
      <c r="BW18" s="412"/>
      <c r="BX18" s="412"/>
      <c r="BY18" s="411"/>
      <c r="BZ18" s="412"/>
      <c r="CA18" s="412"/>
      <c r="CB18" s="412"/>
      <c r="CC18" s="412"/>
      <c r="CD18" s="412"/>
      <c r="CE18" s="412"/>
      <c r="CG18" s="412"/>
      <c r="CH18" s="412"/>
      <c r="CI18" s="412"/>
      <c r="CJ18" s="412"/>
      <c r="CK18" s="411"/>
      <c r="CL18" s="412"/>
      <c r="CM18" s="412"/>
      <c r="CN18" s="412"/>
      <c r="CO18" s="412"/>
      <c r="CP18" s="412"/>
      <c r="DB18" s="1392"/>
      <c r="DC18" s="1392"/>
      <c r="DD18" s="1392"/>
      <c r="DE18" s="1392"/>
      <c r="DF18" s="1392"/>
      <c r="DG18" s="1392"/>
      <c r="DH18" s="1392"/>
      <c r="DI18" s="1392"/>
      <c r="DJ18" s="1392"/>
      <c r="DK18" s="1392"/>
      <c r="DL18" s="1392"/>
      <c r="DM18" s="1392"/>
      <c r="DN18" s="1392"/>
      <c r="DO18" s="1392"/>
      <c r="DP18" s="1392"/>
      <c r="DQ18" s="1392"/>
      <c r="DR18" s="1392"/>
      <c r="DS18" s="1392"/>
      <c r="DT18" s="1392"/>
      <c r="DU18" s="1392"/>
      <c r="DV18" s="1392"/>
      <c r="DW18" s="1392"/>
      <c r="DX18" s="1392"/>
    </row>
    <row r="19" spans="10:171" ht="6.6" customHeight="1">
      <c r="J19" s="414"/>
      <c r="L19" s="414"/>
      <c r="R19" s="414"/>
      <c r="T19" s="414"/>
      <c r="BB19" s="415"/>
      <c r="BD19" s="415"/>
      <c r="BE19" s="414"/>
      <c r="BJ19" s="415"/>
      <c r="BL19" s="415"/>
      <c r="BY19" s="414"/>
      <c r="CK19" s="414"/>
      <c r="DB19" s="1392"/>
      <c r="DC19" s="1392"/>
      <c r="DD19" s="1392"/>
      <c r="DE19" s="1392"/>
      <c r="DF19" s="1392"/>
      <c r="DG19" s="1392"/>
      <c r="DH19" s="1392"/>
      <c r="DI19" s="1392"/>
      <c r="DJ19" s="1392"/>
      <c r="DK19" s="1392"/>
      <c r="DL19" s="1392"/>
      <c r="DM19" s="1392"/>
      <c r="DN19" s="1392"/>
      <c r="DO19" s="1392"/>
      <c r="DP19" s="1392"/>
      <c r="DQ19" s="1392"/>
      <c r="DR19" s="1392"/>
      <c r="DS19" s="1392"/>
      <c r="DT19" s="1392"/>
      <c r="DU19" s="1392"/>
      <c r="DV19" s="1392"/>
      <c r="DW19" s="1392"/>
      <c r="DX19" s="1392"/>
    </row>
    <row r="20" spans="10:171" ht="6.6" customHeight="1">
      <c r="J20" s="414"/>
      <c r="L20" s="414"/>
      <c r="R20" s="414"/>
      <c r="T20" s="414"/>
      <c r="BB20" s="415"/>
      <c r="BD20" s="415"/>
      <c r="BE20" s="414"/>
      <c r="BJ20" s="415"/>
      <c r="BL20" s="415"/>
      <c r="BY20" s="414"/>
      <c r="CK20" s="414"/>
      <c r="DB20" s="1392"/>
      <c r="DC20" s="1392"/>
      <c r="DD20" s="1392"/>
      <c r="DE20" s="1392"/>
      <c r="DF20" s="1392"/>
      <c r="DG20" s="1392"/>
      <c r="DH20" s="1392"/>
      <c r="DI20" s="1392"/>
      <c r="DJ20" s="1392"/>
      <c r="DK20" s="1392"/>
      <c r="DL20" s="1392"/>
      <c r="DM20" s="1392"/>
      <c r="DN20" s="1392"/>
      <c r="DO20" s="1392"/>
      <c r="DP20" s="1392"/>
      <c r="DQ20" s="1392"/>
      <c r="DR20" s="1392"/>
      <c r="DS20" s="1392"/>
      <c r="DT20" s="1392"/>
      <c r="DU20" s="1392"/>
      <c r="DV20" s="1392"/>
      <c r="DW20" s="1392"/>
      <c r="DX20" s="1392"/>
    </row>
    <row r="21" spans="10:171" ht="6.6" customHeight="1">
      <c r="J21" s="414"/>
      <c r="L21" s="453"/>
      <c r="Q21" s="454"/>
      <c r="R21" s="414"/>
      <c r="T21" s="414"/>
      <c r="BB21" s="415"/>
      <c r="BD21" s="415"/>
      <c r="BE21" s="453"/>
      <c r="BJ21" s="455"/>
      <c r="BL21" s="415"/>
      <c r="BY21" s="414"/>
      <c r="CK21" s="414"/>
      <c r="DB21" s="1392"/>
      <c r="DC21" s="1392"/>
      <c r="DD21" s="1392"/>
      <c r="DE21" s="1392"/>
      <c r="DF21" s="1392"/>
      <c r="DG21" s="1392"/>
      <c r="DH21" s="1392"/>
      <c r="DI21" s="1392"/>
      <c r="DJ21" s="1392"/>
      <c r="DK21" s="1392"/>
      <c r="DL21" s="1392"/>
      <c r="DM21" s="1392"/>
      <c r="DN21" s="1392"/>
      <c r="DO21" s="1392"/>
      <c r="DP21" s="1392"/>
      <c r="DQ21" s="1392"/>
      <c r="DR21" s="1392"/>
      <c r="DS21" s="1392"/>
      <c r="DT21" s="1392"/>
      <c r="DU21" s="1392"/>
      <c r="DV21" s="1392"/>
      <c r="DW21" s="1392"/>
      <c r="DX21" s="1392"/>
    </row>
    <row r="22" spans="10:171" ht="6.6" customHeight="1">
      <c r="J22" s="414"/>
      <c r="L22" s="414"/>
      <c r="R22" s="414"/>
      <c r="T22" s="414"/>
      <c r="BB22" s="415"/>
      <c r="BD22" s="415"/>
      <c r="BE22" s="414"/>
      <c r="BJ22" s="415"/>
      <c r="BL22" s="415"/>
      <c r="BY22" s="414"/>
      <c r="CK22" s="414"/>
      <c r="DB22" s="1392"/>
      <c r="DC22" s="1392"/>
      <c r="DD22" s="1392"/>
      <c r="DE22" s="1392"/>
      <c r="DF22" s="1392"/>
      <c r="DG22" s="1392"/>
      <c r="DH22" s="1392"/>
      <c r="DI22" s="1392"/>
      <c r="DJ22" s="1392"/>
      <c r="DK22" s="1392"/>
      <c r="DL22" s="1392"/>
      <c r="DM22" s="1392"/>
      <c r="DN22" s="1392"/>
      <c r="DO22" s="1392"/>
      <c r="DP22" s="1392"/>
      <c r="DQ22" s="1392"/>
      <c r="DR22" s="1392"/>
      <c r="DS22" s="1392"/>
      <c r="DT22" s="1392"/>
      <c r="DU22" s="1392"/>
      <c r="DV22" s="1392"/>
      <c r="DW22" s="1392"/>
      <c r="DX22" s="1392"/>
    </row>
    <row r="23" spans="10:171" ht="6.6" customHeight="1">
      <c r="J23" s="414"/>
      <c r="L23" s="414"/>
      <c r="R23" s="414"/>
      <c r="T23" s="414"/>
      <c r="BB23" s="415"/>
      <c r="BD23" s="415"/>
      <c r="BE23" s="414"/>
      <c r="BJ23" s="415"/>
      <c r="BL23" s="415"/>
      <c r="BY23" s="414"/>
      <c r="CK23" s="414"/>
      <c r="DB23" s="1392"/>
      <c r="DC23" s="1392"/>
      <c r="DD23" s="1392"/>
      <c r="DE23" s="1392"/>
      <c r="DF23" s="1392"/>
      <c r="DG23" s="1392"/>
      <c r="DH23" s="1392"/>
      <c r="DI23" s="1392"/>
      <c r="DJ23" s="1392"/>
      <c r="DK23" s="1392"/>
      <c r="DL23" s="1392"/>
      <c r="DM23" s="1392"/>
      <c r="DN23" s="1392"/>
      <c r="DO23" s="1392"/>
      <c r="DP23" s="1392"/>
      <c r="DQ23" s="1392"/>
      <c r="DR23" s="1392"/>
      <c r="DS23" s="1392"/>
      <c r="DT23" s="1392"/>
      <c r="DU23" s="1392"/>
      <c r="DV23" s="1392"/>
      <c r="DW23" s="1392"/>
      <c r="DX23" s="1392"/>
    </row>
    <row r="24" spans="10:171" ht="6.6" customHeight="1">
      <c r="J24" s="414"/>
      <c r="L24" s="414"/>
      <c r="R24" s="414"/>
      <c r="T24" s="414"/>
      <c r="BB24" s="415"/>
      <c r="BD24" s="415"/>
      <c r="BE24" s="414"/>
      <c r="BJ24" s="415"/>
      <c r="BL24" s="415"/>
      <c r="BY24" s="414"/>
      <c r="CK24" s="414"/>
      <c r="DB24" s="1392"/>
      <c r="DC24" s="1392"/>
      <c r="DD24" s="1392"/>
      <c r="DE24" s="1392"/>
      <c r="DF24" s="1392"/>
      <c r="DG24" s="1392"/>
      <c r="DH24" s="1392"/>
      <c r="DI24" s="1392"/>
      <c r="DJ24" s="1392"/>
      <c r="DK24" s="1392"/>
      <c r="DL24" s="1392"/>
      <c r="DM24" s="1392"/>
      <c r="DN24" s="1392"/>
      <c r="DO24" s="1392"/>
      <c r="DP24" s="1392"/>
      <c r="DQ24" s="1392"/>
      <c r="DR24" s="1392"/>
      <c r="DS24" s="1392"/>
      <c r="DT24" s="1392"/>
      <c r="DU24" s="1392"/>
      <c r="DV24" s="1392"/>
      <c r="DW24" s="1392"/>
      <c r="DX24" s="1392"/>
    </row>
    <row r="25" spans="10:171" ht="6.6" customHeight="1">
      <c r="J25" s="414"/>
      <c r="L25" s="414"/>
      <c r="R25" s="414"/>
      <c r="T25" s="414"/>
      <c r="BB25" s="415"/>
      <c r="BD25" s="415"/>
      <c r="BE25" s="414"/>
      <c r="BJ25" s="415"/>
      <c r="BL25" s="415"/>
      <c r="BY25" s="414"/>
      <c r="CK25" s="414"/>
      <c r="DB25" s="1392"/>
      <c r="DC25" s="1392"/>
      <c r="DD25" s="1392"/>
      <c r="DE25" s="1392"/>
      <c r="DF25" s="1392"/>
      <c r="DG25" s="1392"/>
      <c r="DH25" s="1392"/>
      <c r="DI25" s="1392"/>
      <c r="DJ25" s="1392"/>
      <c r="DK25" s="1392"/>
      <c r="DL25" s="1392"/>
      <c r="DM25" s="1392"/>
      <c r="DN25" s="1392"/>
      <c r="DO25" s="1392"/>
      <c r="DP25" s="1392"/>
      <c r="DQ25" s="1392"/>
      <c r="DR25" s="1392"/>
      <c r="DS25" s="1392"/>
      <c r="DT25" s="1392"/>
      <c r="DU25" s="1392"/>
      <c r="DV25" s="1392"/>
      <c r="DW25" s="1392"/>
      <c r="DX25" s="1392"/>
    </row>
    <row r="26" spans="10:171" ht="6.6" customHeight="1">
      <c r="J26" s="414"/>
      <c r="L26" s="414"/>
      <c r="R26" s="414"/>
      <c r="T26" s="414"/>
      <c r="BB26" s="415"/>
      <c r="BD26" s="415"/>
      <c r="BE26" s="414"/>
      <c r="BJ26" s="415"/>
      <c r="BL26" s="415"/>
      <c r="BY26" s="414"/>
      <c r="CK26" s="414"/>
      <c r="DB26" s="1392"/>
      <c r="DC26" s="1392"/>
      <c r="DD26" s="1392"/>
      <c r="DE26" s="1392"/>
      <c r="DF26" s="1392"/>
      <c r="DG26" s="1392"/>
      <c r="DH26" s="1392"/>
      <c r="DI26" s="1392"/>
      <c r="DJ26" s="1392"/>
      <c r="DK26" s="1392"/>
      <c r="DL26" s="1392"/>
      <c r="DM26" s="1392"/>
      <c r="DN26" s="1392"/>
      <c r="DO26" s="1392"/>
      <c r="DP26" s="1392"/>
      <c r="DQ26" s="1392"/>
      <c r="DR26" s="1392"/>
      <c r="DS26" s="1392"/>
      <c r="DT26" s="1392"/>
      <c r="DU26" s="1392"/>
      <c r="DV26" s="1392"/>
      <c r="DW26" s="1392"/>
      <c r="DX26" s="1392"/>
    </row>
    <row r="27" spans="10:171" ht="6.6" customHeight="1">
      <c r="J27" s="414"/>
      <c r="L27" s="414"/>
      <c r="R27" s="414"/>
      <c r="T27" s="414"/>
      <c r="BB27" s="415"/>
      <c r="BD27" s="415"/>
      <c r="BE27" s="414"/>
      <c r="BJ27" s="415"/>
      <c r="BL27" s="415"/>
      <c r="BY27" s="414"/>
      <c r="CK27" s="414"/>
      <c r="DB27" s="1392"/>
      <c r="DC27" s="1392"/>
      <c r="DD27" s="1392"/>
      <c r="DE27" s="1392"/>
      <c r="DF27" s="1392"/>
      <c r="DG27" s="1392"/>
      <c r="DH27" s="1392"/>
      <c r="DI27" s="1392"/>
      <c r="DJ27" s="1392"/>
      <c r="DK27" s="1392"/>
      <c r="DL27" s="1392"/>
      <c r="DM27" s="1392"/>
      <c r="DN27" s="1392"/>
      <c r="DO27" s="1392"/>
      <c r="DP27" s="1392"/>
      <c r="DQ27" s="1392"/>
      <c r="DR27" s="1392"/>
      <c r="DS27" s="1392"/>
      <c r="DT27" s="1392"/>
      <c r="DU27" s="1392"/>
      <c r="DV27" s="1392"/>
      <c r="DW27" s="1392"/>
      <c r="DX27" s="1392"/>
    </row>
    <row r="28" spans="10:171" ht="6.6" customHeight="1">
      <c r="J28" s="414"/>
      <c r="L28" s="453"/>
      <c r="Q28" s="454"/>
      <c r="R28" s="414"/>
      <c r="T28" s="414"/>
      <c r="BB28" s="415"/>
      <c r="BD28" s="415"/>
      <c r="BE28" s="453"/>
      <c r="BJ28" s="455"/>
      <c r="BL28" s="415"/>
      <c r="BY28" s="414"/>
      <c r="CK28" s="414"/>
      <c r="DB28" s="1392"/>
      <c r="DC28" s="1392"/>
      <c r="DD28" s="1392"/>
      <c r="DE28" s="1392"/>
      <c r="DF28" s="1392"/>
      <c r="DG28" s="1392"/>
      <c r="DH28" s="1392"/>
      <c r="DI28" s="1392"/>
      <c r="DJ28" s="1392"/>
      <c r="DK28" s="1392"/>
      <c r="DL28" s="1392"/>
      <c r="DM28" s="1392"/>
      <c r="DN28" s="1392"/>
      <c r="DO28" s="1392"/>
      <c r="DP28" s="1392"/>
      <c r="DQ28" s="1392"/>
      <c r="DR28" s="1392"/>
      <c r="DS28" s="1392"/>
      <c r="DT28" s="1392"/>
      <c r="DU28" s="1392"/>
      <c r="DV28" s="1392"/>
      <c r="DW28" s="1392"/>
      <c r="DX28" s="1392"/>
    </row>
    <row r="29" spans="10:171" ht="6.6" customHeight="1">
      <c r="J29" s="414"/>
      <c r="L29" s="414"/>
      <c r="R29" s="414"/>
      <c r="T29" s="414"/>
      <c r="BB29" s="415"/>
      <c r="BD29" s="415"/>
      <c r="BE29" s="414"/>
      <c r="BJ29" s="415"/>
      <c r="BL29" s="415"/>
      <c r="BY29" s="414"/>
      <c r="CK29" s="414"/>
      <c r="DB29" s="1392"/>
      <c r="DC29" s="1392"/>
      <c r="DD29" s="1392"/>
      <c r="DE29" s="1392"/>
      <c r="DF29" s="1392"/>
      <c r="DG29" s="1392"/>
      <c r="DH29" s="1392"/>
      <c r="DI29" s="1392"/>
      <c r="DJ29" s="1392"/>
      <c r="DK29" s="1392"/>
      <c r="DL29" s="1392"/>
      <c r="DM29" s="1392"/>
      <c r="DN29" s="1392"/>
      <c r="DO29" s="1392"/>
      <c r="DP29" s="1392"/>
      <c r="DQ29" s="1392"/>
      <c r="DR29" s="1392"/>
      <c r="DS29" s="1392"/>
      <c r="DT29" s="1392"/>
      <c r="DU29" s="1392"/>
      <c r="DV29" s="1392"/>
      <c r="DW29" s="1392"/>
      <c r="DX29" s="1392"/>
    </row>
    <row r="30" spans="10:171" ht="6.6" customHeight="1">
      <c r="J30" s="414"/>
      <c r="L30" s="414"/>
      <c r="R30" s="414"/>
      <c r="T30" s="414"/>
      <c r="BB30" s="415"/>
      <c r="BD30" s="415"/>
      <c r="BE30" s="414"/>
      <c r="BJ30" s="415"/>
      <c r="BL30" s="415"/>
      <c r="BR30" s="2580">
        <v>0.45</v>
      </c>
      <c r="BS30" s="2580"/>
      <c r="BT30" s="2580"/>
      <c r="BU30" s="2580"/>
      <c r="BV30" s="2580"/>
      <c r="BW30" s="2580"/>
      <c r="BX30" s="2580"/>
      <c r="BY30" s="2580"/>
      <c r="BZ30" s="2580"/>
      <c r="CA30" s="2580"/>
      <c r="CB30" s="2580"/>
      <c r="CC30" s="2580"/>
      <c r="CD30" s="2580"/>
      <c r="CE30" s="2580"/>
      <c r="CK30" s="414"/>
      <c r="DB30" s="1392"/>
      <c r="DC30" s="1392"/>
      <c r="DD30" s="1392"/>
      <c r="DE30" s="1392"/>
      <c r="DF30" s="1392"/>
      <c r="DG30" s="1392"/>
      <c r="DH30" s="1392"/>
      <c r="DI30" s="1392"/>
      <c r="DJ30" s="1392"/>
      <c r="DK30" s="1392"/>
      <c r="DL30" s="1392"/>
      <c r="DM30" s="1392"/>
      <c r="DN30" s="1392"/>
      <c r="DO30" s="1392"/>
      <c r="DP30" s="1392"/>
      <c r="DQ30" s="1392"/>
      <c r="DR30" s="1392"/>
      <c r="DS30" s="1392"/>
      <c r="DT30" s="1392"/>
      <c r="DU30" s="1392"/>
      <c r="DV30" s="1392"/>
      <c r="DW30" s="1392"/>
      <c r="DX30" s="1392"/>
      <c r="FB30" s="449"/>
      <c r="FC30" s="449"/>
      <c r="FD30" s="449"/>
      <c r="FE30" s="449"/>
      <c r="FF30" s="449"/>
      <c r="FG30" s="449"/>
      <c r="FH30" s="449"/>
      <c r="FI30" s="449"/>
      <c r="FJ30" s="449"/>
      <c r="FK30" s="449"/>
      <c r="FL30" s="449"/>
      <c r="FM30" s="449"/>
      <c r="FN30" s="449"/>
      <c r="FO30" s="449"/>
    </row>
    <row r="31" spans="10:171" ht="6.6" customHeight="1">
      <c r="J31" s="414"/>
      <c r="L31" s="414"/>
      <c r="R31" s="414"/>
      <c r="T31" s="414"/>
      <c r="BB31" s="415"/>
      <c r="BD31" s="415"/>
      <c r="BE31" s="414"/>
      <c r="BJ31" s="415"/>
      <c r="BL31" s="415"/>
      <c r="BR31" s="2580"/>
      <c r="BS31" s="2580"/>
      <c r="BT31" s="2580"/>
      <c r="BU31" s="2580"/>
      <c r="BV31" s="2580"/>
      <c r="BW31" s="2580"/>
      <c r="BX31" s="2580"/>
      <c r="BY31" s="2580"/>
      <c r="BZ31" s="2580"/>
      <c r="CA31" s="2580"/>
      <c r="CB31" s="2580"/>
      <c r="CC31" s="2580"/>
      <c r="CD31" s="2580"/>
      <c r="CE31" s="2580"/>
      <c r="CK31" s="414"/>
      <c r="DB31" s="1392"/>
      <c r="DC31" s="1392"/>
      <c r="DD31" s="1392"/>
      <c r="DE31" s="1392"/>
      <c r="DF31" s="1392"/>
      <c r="DG31" s="1392"/>
      <c r="DH31" s="1392"/>
      <c r="DI31" s="1392"/>
      <c r="DJ31" s="1392"/>
      <c r="DK31" s="1392"/>
      <c r="DL31" s="1392"/>
      <c r="DM31" s="1392"/>
      <c r="DN31" s="1392"/>
      <c r="DO31" s="1392"/>
      <c r="DP31" s="1392"/>
      <c r="DQ31" s="1392"/>
      <c r="DR31" s="1392"/>
      <c r="DS31" s="1392"/>
      <c r="DT31" s="1392"/>
      <c r="DU31" s="1392"/>
      <c r="DV31" s="1392"/>
      <c r="DW31" s="1392"/>
      <c r="DX31" s="1392"/>
      <c r="FB31" s="449"/>
      <c r="FC31" s="449"/>
      <c r="FD31" s="449"/>
      <c r="FE31" s="449"/>
      <c r="FF31" s="449"/>
      <c r="FG31" s="449"/>
      <c r="FH31" s="449"/>
      <c r="FI31" s="449"/>
      <c r="FJ31" s="449"/>
      <c r="FK31" s="449"/>
      <c r="FL31" s="449"/>
      <c r="FM31" s="449"/>
      <c r="FN31" s="449"/>
      <c r="FO31" s="449"/>
    </row>
    <row r="32" spans="10:171" ht="6.6" customHeight="1">
      <c r="J32" s="414"/>
      <c r="L32" s="414"/>
      <c r="R32" s="414"/>
      <c r="T32" s="414"/>
      <c r="BB32" s="415"/>
      <c r="BD32" s="415"/>
      <c r="BE32" s="414"/>
      <c r="BJ32" s="415"/>
      <c r="BL32" s="415"/>
      <c r="BR32" s="2580"/>
      <c r="BS32" s="2580"/>
      <c r="BT32" s="2580"/>
      <c r="BU32" s="2580"/>
      <c r="BV32" s="2580"/>
      <c r="BW32" s="2580"/>
      <c r="BX32" s="2580"/>
      <c r="BY32" s="2580"/>
      <c r="BZ32" s="2580"/>
      <c r="CA32" s="2580"/>
      <c r="CB32" s="2580"/>
      <c r="CC32" s="2580"/>
      <c r="CD32" s="2580"/>
      <c r="CE32" s="2580"/>
      <c r="CK32" s="414"/>
      <c r="DB32" s="1392"/>
      <c r="DC32" s="1392"/>
      <c r="DD32" s="1392"/>
      <c r="DE32" s="1392"/>
      <c r="DF32" s="1392"/>
      <c r="DG32" s="1392"/>
      <c r="DH32" s="1392"/>
      <c r="DI32" s="1392"/>
      <c r="DJ32" s="1392"/>
      <c r="DK32" s="1392"/>
      <c r="DL32" s="1392"/>
      <c r="DM32" s="1392"/>
      <c r="DN32" s="1392"/>
      <c r="DO32" s="1392"/>
      <c r="DP32" s="1392"/>
      <c r="DQ32" s="1392"/>
      <c r="DR32" s="1392"/>
      <c r="DS32" s="1392"/>
      <c r="DT32" s="1392"/>
      <c r="DU32" s="1392"/>
      <c r="DV32" s="1392"/>
      <c r="DW32" s="1392"/>
      <c r="DX32" s="1392"/>
      <c r="FB32" s="449"/>
      <c r="FC32" s="449"/>
      <c r="FD32" s="449"/>
      <c r="FE32" s="449"/>
      <c r="FF32" s="449"/>
      <c r="FG32" s="449"/>
      <c r="FH32" s="449"/>
      <c r="FI32" s="449"/>
      <c r="FJ32" s="449"/>
      <c r="FK32" s="449"/>
      <c r="FL32" s="449"/>
      <c r="FM32" s="449"/>
      <c r="FN32" s="449"/>
      <c r="FO32" s="449"/>
    </row>
    <row r="33" spans="10:173" ht="6.6" customHeight="1">
      <c r="J33" s="414"/>
      <c r="L33" s="414"/>
      <c r="R33" s="414"/>
      <c r="T33" s="414"/>
      <c r="BB33" s="415"/>
      <c r="BD33" s="415"/>
      <c r="BE33" s="414"/>
      <c r="BJ33" s="415"/>
      <c r="BL33" s="415"/>
      <c r="BR33" s="2580"/>
      <c r="BS33" s="2580"/>
      <c r="BT33" s="2580"/>
      <c r="BU33" s="2580"/>
      <c r="BV33" s="2580"/>
      <c r="BW33" s="2580"/>
      <c r="BX33" s="2580"/>
      <c r="BY33" s="2580"/>
      <c r="BZ33" s="2580"/>
      <c r="CA33" s="2580"/>
      <c r="CB33" s="2580"/>
      <c r="CC33" s="2580"/>
      <c r="CD33" s="2580"/>
      <c r="CE33" s="2580"/>
      <c r="CK33" s="414"/>
      <c r="DB33" s="1392"/>
      <c r="DC33" s="1392"/>
      <c r="DD33" s="1392"/>
      <c r="DE33" s="1392"/>
      <c r="DF33" s="1392"/>
      <c r="DG33" s="1392"/>
      <c r="DH33" s="1392"/>
      <c r="DI33" s="1392"/>
      <c r="DJ33" s="1392"/>
      <c r="DK33" s="1392"/>
      <c r="DL33" s="1392"/>
      <c r="DM33" s="1392"/>
      <c r="DN33" s="1392"/>
      <c r="DO33" s="1392"/>
      <c r="DP33" s="1392"/>
      <c r="DQ33" s="1392"/>
      <c r="DR33" s="1392"/>
      <c r="DS33" s="1392"/>
      <c r="DT33" s="1392"/>
      <c r="DU33" s="1392"/>
      <c r="DV33" s="1392"/>
      <c r="DW33" s="1392"/>
      <c r="DX33" s="1392"/>
      <c r="FB33" s="449"/>
      <c r="FC33" s="449"/>
      <c r="FD33" s="449"/>
      <c r="FE33" s="449"/>
      <c r="FF33" s="449"/>
      <c r="FG33" s="449"/>
      <c r="FH33" s="449"/>
      <c r="FI33" s="449"/>
      <c r="FJ33" s="449"/>
      <c r="FK33" s="449"/>
      <c r="FL33" s="449"/>
      <c r="FM33" s="449"/>
      <c r="FN33" s="449"/>
      <c r="FO33" s="449"/>
    </row>
    <row r="34" spans="10:173" ht="6.6" customHeight="1">
      <c r="J34" s="414"/>
      <c r="L34" s="414"/>
      <c r="R34" s="414"/>
      <c r="T34" s="414"/>
      <c r="BB34" s="415"/>
      <c r="BD34" s="415"/>
      <c r="BE34" s="414"/>
      <c r="BJ34" s="415"/>
      <c r="BL34" s="415"/>
      <c r="BY34" s="414"/>
      <c r="CF34" s="2580">
        <f>BR30+BR45+BR50+BR54</f>
        <v>0.77500000000000002</v>
      </c>
      <c r="CG34" s="2579"/>
      <c r="CH34" s="2579"/>
      <c r="CI34" s="2579"/>
      <c r="CJ34" s="2579"/>
      <c r="CK34" s="2579"/>
      <c r="CL34" s="2579"/>
      <c r="CM34" s="2579"/>
      <c r="CN34" s="2579"/>
      <c r="CO34" s="2579"/>
      <c r="CP34" s="2579"/>
      <c r="CQ34" s="1401"/>
      <c r="CR34" s="1401"/>
      <c r="CS34" s="1401"/>
      <c r="CT34" s="1401"/>
      <c r="CU34" s="1401"/>
      <c r="CV34" s="1401"/>
      <c r="CW34" s="1401"/>
      <c r="CX34" s="1401"/>
      <c r="CY34" s="1401"/>
      <c r="CZ34" s="1401"/>
      <c r="DA34" s="1401"/>
      <c r="DB34" s="1395"/>
      <c r="DC34" s="1395"/>
      <c r="DD34" s="1395"/>
      <c r="DE34" s="1395"/>
      <c r="DF34" s="1395"/>
      <c r="DG34" s="1395"/>
      <c r="DH34" s="1395"/>
      <c r="DI34" s="1395"/>
      <c r="DJ34" s="1395"/>
      <c r="DK34" s="1395"/>
      <c r="DL34" s="1395"/>
      <c r="DM34" s="1395"/>
      <c r="DN34" s="1395"/>
      <c r="DO34" s="1395"/>
      <c r="DP34" s="1395"/>
      <c r="DQ34" s="1395"/>
      <c r="DR34" s="1392"/>
      <c r="DS34" s="1392"/>
      <c r="DT34" s="1392"/>
      <c r="DU34" s="1392"/>
      <c r="DV34" s="1392"/>
      <c r="DW34" s="1392"/>
      <c r="DX34" s="1392"/>
      <c r="FQ34" s="449"/>
    </row>
    <row r="35" spans="10:173" ht="6.6" customHeight="1">
      <c r="J35" s="414"/>
      <c r="L35" s="414"/>
      <c r="R35" s="414"/>
      <c r="T35" s="414"/>
      <c r="BB35" s="415"/>
      <c r="BD35" s="415"/>
      <c r="BE35" s="414"/>
      <c r="BJ35" s="415"/>
      <c r="BL35" s="415"/>
      <c r="BY35" s="414"/>
      <c r="CF35" s="2579"/>
      <c r="CG35" s="2579"/>
      <c r="CH35" s="2579"/>
      <c r="CI35" s="2579"/>
      <c r="CJ35" s="2579"/>
      <c r="CK35" s="2579"/>
      <c r="CL35" s="2579"/>
      <c r="CM35" s="2579"/>
      <c r="CN35" s="2579"/>
      <c r="CO35" s="2579"/>
      <c r="CP35" s="2579"/>
      <c r="CQ35" s="1401"/>
      <c r="CR35" s="1401"/>
      <c r="CS35" s="1401"/>
      <c r="CT35" s="1401"/>
      <c r="CU35" s="1401"/>
      <c r="CV35" s="1401"/>
      <c r="CW35" s="1401"/>
      <c r="CX35" s="1401"/>
      <c r="CY35" s="1401"/>
      <c r="CZ35" s="1401"/>
      <c r="DA35" s="1401"/>
      <c r="DB35" s="1395"/>
      <c r="DC35" s="1395"/>
      <c r="DD35" s="1395"/>
      <c r="DE35" s="1395"/>
      <c r="DF35" s="1395"/>
      <c r="DG35" s="1395"/>
      <c r="DH35" s="1395"/>
      <c r="DI35" s="1395"/>
      <c r="DJ35" s="1395"/>
      <c r="DK35" s="1395"/>
      <c r="DL35" s="1395"/>
      <c r="DM35" s="1395"/>
      <c r="DN35" s="1395"/>
      <c r="DO35" s="1395"/>
      <c r="DP35" s="1395"/>
      <c r="DQ35" s="1395"/>
      <c r="DR35" s="1392"/>
      <c r="DS35" s="1392"/>
      <c r="DT35" s="1392"/>
      <c r="DU35" s="1392"/>
      <c r="DV35" s="1392"/>
      <c r="DW35" s="1392"/>
      <c r="DX35" s="1392"/>
    </row>
    <row r="36" spans="10:173" ht="6.6" customHeight="1">
      <c r="J36" s="414"/>
      <c r="L36" s="414"/>
      <c r="R36" s="414"/>
      <c r="T36" s="414"/>
      <c r="BB36" s="415"/>
      <c r="BD36" s="415"/>
      <c r="BE36" s="414"/>
      <c r="BJ36" s="415"/>
      <c r="BL36" s="415"/>
      <c r="BY36" s="414"/>
      <c r="CF36" s="2579"/>
      <c r="CG36" s="2579"/>
      <c r="CH36" s="2579"/>
      <c r="CI36" s="2579"/>
      <c r="CJ36" s="2579"/>
      <c r="CK36" s="2579"/>
      <c r="CL36" s="2579"/>
      <c r="CM36" s="2579"/>
      <c r="CN36" s="2579"/>
      <c r="CO36" s="2579"/>
      <c r="CP36" s="2579"/>
      <c r="CQ36" s="1401"/>
      <c r="CR36" s="1401"/>
      <c r="CS36" s="1401"/>
      <c r="CT36" s="1401"/>
      <c r="CU36" s="1401"/>
      <c r="CV36" s="1401"/>
      <c r="CW36" s="1401"/>
      <c r="CX36" s="1401"/>
      <c r="CY36" s="1401"/>
      <c r="CZ36" s="1401"/>
      <c r="DA36" s="1401"/>
      <c r="DB36" s="1395"/>
      <c r="DC36" s="1395"/>
      <c r="DD36" s="1395"/>
      <c r="DE36" s="1395"/>
      <c r="DF36" s="1395"/>
      <c r="DG36" s="1395"/>
      <c r="DH36" s="1395"/>
      <c r="DI36" s="1395"/>
      <c r="DJ36" s="1395"/>
      <c r="DK36" s="1395"/>
      <c r="DL36" s="1395"/>
      <c r="DM36" s="1395"/>
      <c r="DN36" s="1395"/>
      <c r="DO36" s="1395"/>
      <c r="DP36" s="1395"/>
      <c r="DQ36" s="1395"/>
      <c r="DR36" s="1392"/>
      <c r="DS36" s="1392"/>
      <c r="DT36" s="1392"/>
      <c r="DU36" s="1392"/>
      <c r="DV36" s="1392"/>
      <c r="DW36" s="1392"/>
      <c r="DX36" s="1392"/>
    </row>
    <row r="37" spans="10:173" ht="6.6" customHeight="1">
      <c r="J37" s="414"/>
      <c r="L37" s="453"/>
      <c r="Q37" s="454"/>
      <c r="R37" s="414"/>
      <c r="T37" s="414"/>
      <c r="BB37" s="415"/>
      <c r="BD37" s="415"/>
      <c r="BE37" s="453"/>
      <c r="BJ37" s="455"/>
      <c r="BL37" s="415"/>
      <c r="BY37" s="414"/>
      <c r="CF37" s="2579"/>
      <c r="CG37" s="2579"/>
      <c r="CH37" s="2579"/>
      <c r="CI37" s="2579"/>
      <c r="CJ37" s="2579"/>
      <c r="CK37" s="2579"/>
      <c r="CL37" s="2579"/>
      <c r="CM37" s="2579"/>
      <c r="CN37" s="2579"/>
      <c r="CO37" s="2579"/>
      <c r="CP37" s="2579"/>
      <c r="CQ37" s="1401"/>
      <c r="CR37" s="1401"/>
      <c r="CS37" s="1401"/>
      <c r="CT37" s="1401"/>
      <c r="CU37" s="1401"/>
      <c r="CV37" s="1401"/>
      <c r="CW37" s="1401"/>
      <c r="CX37" s="1401"/>
      <c r="CY37" s="1401"/>
      <c r="CZ37" s="1401"/>
      <c r="DA37" s="1401"/>
      <c r="DB37" s="1395"/>
      <c r="DC37" s="1395"/>
      <c r="DD37" s="1395"/>
      <c r="DE37" s="1395"/>
      <c r="DF37" s="1395"/>
      <c r="DG37" s="1395"/>
      <c r="DH37" s="1395"/>
      <c r="DI37" s="1395"/>
      <c r="DJ37" s="1395"/>
      <c r="DK37" s="1395"/>
      <c r="DL37" s="1395"/>
      <c r="DM37" s="1395"/>
      <c r="DN37" s="1395"/>
      <c r="DO37" s="1395"/>
      <c r="DP37" s="1395"/>
      <c r="DQ37" s="1395"/>
      <c r="DR37" s="1392"/>
      <c r="DS37" s="1392"/>
      <c r="DT37" s="1392"/>
      <c r="DU37" s="1392"/>
      <c r="DV37" s="1392"/>
      <c r="DW37" s="1392"/>
      <c r="DX37" s="1392"/>
    </row>
    <row r="38" spans="10:173" ht="6.6" customHeight="1">
      <c r="J38" s="414"/>
      <c r="L38" s="414"/>
      <c r="R38" s="414"/>
      <c r="T38" s="414"/>
      <c r="BB38" s="415"/>
      <c r="BD38" s="415"/>
      <c r="BE38" s="414"/>
      <c r="BJ38" s="415"/>
      <c r="BL38" s="415"/>
      <c r="BY38" s="414"/>
      <c r="CK38" s="414"/>
      <c r="DB38" s="1392"/>
      <c r="DC38" s="1392"/>
      <c r="DD38" s="1392"/>
      <c r="DE38" s="1392"/>
      <c r="DF38" s="1392"/>
      <c r="DG38" s="1392"/>
      <c r="DH38" s="1392"/>
      <c r="DI38" s="1392"/>
      <c r="DJ38" s="1392"/>
      <c r="DK38" s="1392"/>
      <c r="DL38" s="1392"/>
      <c r="DM38" s="1392"/>
      <c r="DN38" s="1392"/>
      <c r="DO38" s="1392"/>
      <c r="DP38" s="1392"/>
      <c r="DQ38" s="1392"/>
      <c r="DR38" s="1392"/>
      <c r="DS38" s="1392"/>
      <c r="DT38" s="1392"/>
      <c r="DU38" s="1392"/>
      <c r="DV38" s="1392"/>
      <c r="DW38" s="1392"/>
      <c r="DX38" s="1392"/>
    </row>
    <row r="39" spans="10:173" ht="6.6" customHeight="1">
      <c r="J39" s="414"/>
      <c r="L39" s="414"/>
      <c r="R39" s="414"/>
      <c r="T39" s="414"/>
      <c r="BB39" s="415"/>
      <c r="BD39" s="415"/>
      <c r="BE39" s="414"/>
      <c r="BJ39" s="415"/>
      <c r="BL39" s="415"/>
      <c r="BY39" s="414"/>
      <c r="CK39" s="414"/>
      <c r="DB39" s="1392"/>
      <c r="DC39" s="1392"/>
      <c r="DD39" s="1392"/>
      <c r="DE39" s="1392"/>
      <c r="DF39" s="1392"/>
      <c r="DG39" s="1392"/>
      <c r="DH39" s="1392"/>
      <c r="DI39" s="1392"/>
      <c r="DJ39" s="1392"/>
      <c r="DK39" s="1392"/>
      <c r="DL39" s="1392"/>
      <c r="DM39" s="1392"/>
      <c r="DN39" s="1392"/>
      <c r="DO39" s="1392"/>
      <c r="DP39" s="1392"/>
      <c r="DQ39" s="1392"/>
      <c r="DR39" s="1392"/>
      <c r="DS39" s="1392"/>
      <c r="DT39" s="1392"/>
      <c r="DU39" s="1392"/>
      <c r="DV39" s="1392"/>
      <c r="DW39" s="1392"/>
      <c r="DX39" s="1392"/>
    </row>
    <row r="40" spans="10:173" ht="6.6" customHeight="1">
      <c r="J40" s="414"/>
      <c r="L40" s="414"/>
      <c r="R40" s="414"/>
      <c r="T40" s="414"/>
      <c r="BB40" s="415"/>
      <c r="BD40" s="415"/>
      <c r="BJ40" s="415"/>
      <c r="BL40" s="415"/>
      <c r="BY40" s="414"/>
      <c r="CK40" s="414"/>
      <c r="DB40" s="1392"/>
      <c r="DC40" s="1392"/>
      <c r="DD40" s="1392"/>
      <c r="DE40" s="1392"/>
      <c r="DF40" s="1392"/>
      <c r="DG40" s="1392"/>
      <c r="DH40" s="1392"/>
      <c r="DI40" s="1392"/>
      <c r="DJ40" s="1392"/>
      <c r="DK40" s="1392"/>
      <c r="DL40" s="1392"/>
      <c r="DM40" s="1392"/>
      <c r="DN40" s="1392"/>
      <c r="DO40" s="1392"/>
      <c r="DP40" s="1392"/>
      <c r="DQ40" s="1392"/>
      <c r="DR40" s="1392"/>
      <c r="DS40" s="1392"/>
      <c r="DT40" s="1392"/>
      <c r="DU40" s="1392"/>
      <c r="DV40" s="1392"/>
      <c r="DW40" s="1392"/>
      <c r="DX40" s="1392"/>
    </row>
    <row r="41" spans="10:173" ht="6.6" customHeight="1">
      <c r="J41" s="414"/>
      <c r="L41" s="414"/>
      <c r="R41" s="414"/>
      <c r="T41" s="414"/>
      <c r="BB41" s="415"/>
      <c r="BD41" s="415"/>
      <c r="BJ41" s="415"/>
      <c r="BL41" s="415"/>
      <c r="BY41" s="414"/>
      <c r="CK41" s="414"/>
      <c r="DB41" s="1392"/>
      <c r="DC41" s="1392"/>
      <c r="DD41" s="1392"/>
      <c r="DE41" s="1392"/>
      <c r="DF41" s="1392"/>
      <c r="DG41" s="1392"/>
      <c r="DH41" s="1392"/>
      <c r="DI41" s="1392"/>
      <c r="DJ41" s="1392"/>
      <c r="DK41" s="1392"/>
      <c r="DL41" s="1392"/>
      <c r="DM41" s="1392"/>
      <c r="DN41" s="1392"/>
      <c r="DO41" s="1392"/>
      <c r="DP41" s="1392"/>
      <c r="DQ41" s="1392"/>
      <c r="DR41" s="1392"/>
      <c r="DS41" s="1392"/>
      <c r="DT41" s="1392"/>
      <c r="DU41" s="1392"/>
      <c r="DV41" s="1392"/>
      <c r="DW41" s="1392"/>
      <c r="DX41" s="1392"/>
    </row>
    <row r="42" spans="10:173" ht="6.6" customHeight="1">
      <c r="J42" s="414"/>
      <c r="L42" s="414"/>
      <c r="R42" s="414"/>
      <c r="T42" s="414"/>
      <c r="BB42" s="415"/>
      <c r="BD42" s="415"/>
      <c r="BJ42" s="415"/>
      <c r="BL42" s="415"/>
      <c r="BY42" s="414"/>
      <c r="CK42" s="414"/>
      <c r="DB42" s="1392"/>
      <c r="DC42" s="1392"/>
      <c r="DD42" s="1392"/>
      <c r="DE42" s="1392"/>
      <c r="DF42" s="1392"/>
      <c r="DG42" s="1392"/>
      <c r="DH42" s="1392"/>
      <c r="DI42" s="1392"/>
      <c r="DJ42" s="1392"/>
      <c r="DK42" s="1392"/>
      <c r="DL42" s="1392"/>
      <c r="DM42" s="1392"/>
      <c r="DN42" s="1392"/>
      <c r="DO42" s="1392"/>
      <c r="DP42" s="1392"/>
      <c r="DQ42" s="1392"/>
      <c r="DR42" s="1392"/>
      <c r="DS42" s="1392"/>
      <c r="DT42" s="1392"/>
      <c r="DU42" s="1392"/>
      <c r="DV42" s="1392"/>
      <c r="DW42" s="1392"/>
      <c r="DX42" s="1392"/>
    </row>
    <row r="43" spans="10:173" ht="6.6" customHeight="1">
      <c r="J43" s="414"/>
      <c r="L43" s="414"/>
      <c r="R43" s="414"/>
      <c r="T43" s="414"/>
      <c r="BB43" s="415"/>
      <c r="BD43" s="415"/>
      <c r="BJ43" s="415"/>
      <c r="BL43" s="415"/>
      <c r="BY43" s="414"/>
      <c r="CK43" s="414"/>
      <c r="DB43" s="1392"/>
      <c r="DC43" s="1392"/>
      <c r="DD43" s="1392"/>
      <c r="DE43" s="1392"/>
      <c r="DF43" s="1392"/>
      <c r="DG43" s="1392"/>
      <c r="DH43" s="1392"/>
      <c r="DI43" s="1392"/>
      <c r="DJ43" s="1392"/>
      <c r="DK43" s="1392"/>
      <c r="DL43" s="1392"/>
      <c r="DM43" s="1392"/>
      <c r="DN43" s="1392"/>
      <c r="DO43" s="1392"/>
      <c r="DP43" s="1392"/>
      <c r="DQ43" s="1392"/>
      <c r="DR43" s="1392"/>
      <c r="DS43" s="1392"/>
      <c r="DT43" s="1392"/>
      <c r="DU43" s="1392"/>
      <c r="DV43" s="1392"/>
      <c r="DW43" s="1392"/>
      <c r="DX43" s="1392"/>
    </row>
    <row r="44" spans="10:173" ht="6.6" customHeight="1">
      <c r="J44" s="414"/>
      <c r="L44" s="414"/>
      <c r="R44" s="414"/>
      <c r="T44" s="416"/>
      <c r="U44" s="417"/>
      <c r="V44" s="417"/>
      <c r="W44" s="417"/>
      <c r="X44" s="417"/>
      <c r="Y44" s="417"/>
      <c r="Z44" s="417"/>
      <c r="AA44" s="417"/>
      <c r="AB44" s="417"/>
      <c r="AC44" s="417"/>
      <c r="AD44" s="417"/>
      <c r="AE44" s="417"/>
      <c r="AF44" s="417"/>
      <c r="AG44" s="417"/>
      <c r="AH44" s="417"/>
      <c r="AI44" s="417"/>
      <c r="AJ44" s="417"/>
      <c r="AK44" s="417"/>
      <c r="AL44" s="417"/>
      <c r="AM44" s="417"/>
      <c r="AN44" s="417"/>
      <c r="AO44" s="417"/>
      <c r="AP44" s="417"/>
      <c r="AQ44" s="417"/>
      <c r="AR44" s="417"/>
      <c r="AS44" s="417"/>
      <c r="AT44" s="417"/>
      <c r="AU44" s="417"/>
      <c r="AV44" s="417"/>
      <c r="AW44" s="417"/>
      <c r="AX44" s="417"/>
      <c r="AY44" s="417"/>
      <c r="AZ44" s="417"/>
      <c r="BA44" s="417"/>
      <c r="BB44" s="418"/>
      <c r="BD44" s="415"/>
      <c r="BJ44" s="415"/>
      <c r="BL44" s="415"/>
      <c r="BR44" s="417"/>
      <c r="BS44" s="417"/>
      <c r="BT44" s="417"/>
      <c r="BU44" s="417"/>
      <c r="BV44" s="417"/>
      <c r="BW44" s="417"/>
      <c r="BX44" s="417"/>
      <c r="BY44" s="416"/>
      <c r="BZ44" s="417"/>
      <c r="CA44" s="417"/>
      <c r="CB44" s="417"/>
      <c r="CC44" s="417"/>
      <c r="CD44" s="417"/>
      <c r="CE44" s="417"/>
      <c r="CK44" s="414"/>
    </row>
    <row r="45" spans="10:173" ht="6.6" customHeight="1">
      <c r="J45" s="414"/>
      <c r="L45" s="414"/>
      <c r="R45" s="414"/>
      <c r="BD45" s="415"/>
      <c r="BJ45" s="415"/>
      <c r="BL45" s="415"/>
      <c r="BR45" s="2585">
        <v>7.4999999999999997E-2</v>
      </c>
      <c r="BS45" s="2585"/>
      <c r="BT45" s="2585"/>
      <c r="BU45" s="2585"/>
      <c r="BV45" s="2585"/>
      <c r="BW45" s="2585"/>
      <c r="BX45" s="2585"/>
      <c r="BY45" s="2585"/>
      <c r="BZ45" s="2585"/>
      <c r="CA45" s="2585"/>
      <c r="CB45" s="2585"/>
      <c r="CC45" s="2585"/>
      <c r="CD45" s="2585"/>
      <c r="CE45" s="2585"/>
      <c r="CK45" s="414"/>
    </row>
    <row r="46" spans="10:173" ht="6.6" customHeight="1">
      <c r="J46" s="414"/>
      <c r="L46" s="414"/>
      <c r="R46" s="414"/>
      <c r="BD46" s="415"/>
      <c r="BJ46" s="415"/>
      <c r="BL46" s="415"/>
      <c r="BR46" s="2579"/>
      <c r="BS46" s="2579"/>
      <c r="BT46" s="2579"/>
      <c r="BU46" s="2579"/>
      <c r="BV46" s="2579"/>
      <c r="BW46" s="2579"/>
      <c r="BX46" s="2579"/>
      <c r="BY46" s="2579"/>
      <c r="BZ46" s="2579"/>
      <c r="CA46" s="2579"/>
      <c r="CB46" s="2579"/>
      <c r="CC46" s="2579"/>
      <c r="CD46" s="2579"/>
      <c r="CE46" s="2579"/>
      <c r="CK46" s="414"/>
    </row>
    <row r="47" spans="10:173" ht="6.6" customHeight="1">
      <c r="J47" s="414"/>
      <c r="L47" s="414"/>
      <c r="R47" s="414"/>
      <c r="BD47" s="415"/>
      <c r="BJ47" s="415"/>
      <c r="BL47" s="415"/>
      <c r="BR47" s="2579"/>
      <c r="BS47" s="2579"/>
      <c r="BT47" s="2579"/>
      <c r="BU47" s="2579"/>
      <c r="BV47" s="2579"/>
      <c r="BW47" s="2579"/>
      <c r="BX47" s="2579"/>
      <c r="BY47" s="2579"/>
      <c r="BZ47" s="2579"/>
      <c r="CA47" s="2579"/>
      <c r="CB47" s="2579"/>
      <c r="CC47" s="2579"/>
      <c r="CD47" s="2579"/>
      <c r="CE47" s="2579"/>
      <c r="CK47" s="414"/>
      <c r="DX47" s="449"/>
      <c r="EI47" s="449"/>
    </row>
    <row r="48" spans="10:173" ht="6.6" customHeight="1">
      <c r="J48" s="414"/>
      <c r="L48" s="456"/>
      <c r="M48" s="417"/>
      <c r="N48" s="417"/>
      <c r="O48" s="417"/>
      <c r="P48" s="417"/>
      <c r="Q48" s="417"/>
      <c r="R48" s="456"/>
      <c r="S48" s="417"/>
      <c r="T48" s="417"/>
      <c r="U48" s="417"/>
      <c r="V48" s="417"/>
      <c r="W48" s="417"/>
      <c r="X48" s="417"/>
      <c r="Y48" s="417"/>
      <c r="Z48" s="457"/>
      <c r="AA48" s="417"/>
      <c r="AB48" s="417"/>
      <c r="AC48" s="417"/>
      <c r="AD48" s="417"/>
      <c r="AE48" s="417"/>
      <c r="AF48" s="417"/>
      <c r="AG48" s="417"/>
      <c r="AH48" s="417"/>
      <c r="AI48" s="417"/>
      <c r="AJ48" s="457"/>
      <c r="AK48" s="417"/>
      <c r="AL48" s="417"/>
      <c r="AM48" s="417"/>
      <c r="AN48" s="417"/>
      <c r="AO48" s="417"/>
      <c r="AP48" s="417"/>
      <c r="AQ48" s="417"/>
      <c r="AR48" s="417"/>
      <c r="AS48" s="417"/>
      <c r="AT48" s="457"/>
      <c r="AU48" s="417"/>
      <c r="AV48" s="417"/>
      <c r="AW48" s="417"/>
      <c r="AX48" s="417"/>
      <c r="AY48" s="417"/>
      <c r="AZ48" s="417"/>
      <c r="BA48" s="417"/>
      <c r="BB48" s="417"/>
      <c r="BC48" s="417"/>
      <c r="BD48" s="458"/>
      <c r="BE48" s="417"/>
      <c r="BF48" s="417"/>
      <c r="BG48" s="417"/>
      <c r="BH48" s="417"/>
      <c r="BI48" s="417"/>
      <c r="BJ48" s="458"/>
      <c r="BL48" s="415"/>
      <c r="BR48" s="2579"/>
      <c r="BS48" s="2579"/>
      <c r="BT48" s="2579"/>
      <c r="BU48" s="2579"/>
      <c r="BV48" s="2579"/>
      <c r="BW48" s="2579"/>
      <c r="BX48" s="2579"/>
      <c r="BY48" s="2579"/>
      <c r="BZ48" s="2579"/>
      <c r="CA48" s="2579"/>
      <c r="CB48" s="2579"/>
      <c r="CC48" s="2579"/>
      <c r="CD48" s="2579"/>
      <c r="CE48" s="2579"/>
      <c r="CK48" s="414"/>
    </row>
    <row r="49" spans="8:171" ht="6.6" customHeight="1">
      <c r="J49" s="414"/>
      <c r="BL49" s="415"/>
      <c r="BR49" s="2586"/>
      <c r="BS49" s="2586"/>
      <c r="BT49" s="2586"/>
      <c r="BU49" s="2586"/>
      <c r="BV49" s="2586"/>
      <c r="BW49" s="2586"/>
      <c r="BX49" s="2586"/>
      <c r="BY49" s="2586"/>
      <c r="BZ49" s="2586"/>
      <c r="CA49" s="2586"/>
      <c r="CB49" s="2586"/>
      <c r="CC49" s="2586"/>
      <c r="CD49" s="2586"/>
      <c r="CE49" s="2586"/>
      <c r="CK49" s="414"/>
    </row>
    <row r="50" spans="8:171" ht="6.6" customHeight="1">
      <c r="H50" s="411"/>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c r="AJ50" s="412"/>
      <c r="AK50" s="412"/>
      <c r="AL50" s="412"/>
      <c r="AM50" s="412"/>
      <c r="AN50" s="412"/>
      <c r="AO50" s="412"/>
      <c r="AP50" s="412"/>
      <c r="AQ50" s="412"/>
      <c r="AR50" s="412"/>
      <c r="AS50" s="412"/>
      <c r="AT50" s="412"/>
      <c r="AU50" s="412"/>
      <c r="AV50" s="412"/>
      <c r="AW50" s="412"/>
      <c r="AX50" s="412"/>
      <c r="AY50" s="412"/>
      <c r="AZ50" s="412"/>
      <c r="BA50" s="412"/>
      <c r="BB50" s="412"/>
      <c r="BC50" s="412"/>
      <c r="BD50" s="412"/>
      <c r="BE50" s="412"/>
      <c r="BF50" s="412"/>
      <c r="BG50" s="412"/>
      <c r="BH50" s="412"/>
      <c r="BI50" s="412"/>
      <c r="BJ50" s="412"/>
      <c r="BK50" s="412"/>
      <c r="BL50" s="412"/>
      <c r="BM50" s="412"/>
      <c r="BN50" s="413"/>
      <c r="BR50" s="2583">
        <v>0.1</v>
      </c>
      <c r="BS50" s="2583"/>
      <c r="BT50" s="2583"/>
      <c r="BU50" s="2583"/>
      <c r="BV50" s="2583"/>
      <c r="BW50" s="2583"/>
      <c r="BX50" s="2583"/>
      <c r="BY50" s="2583"/>
      <c r="BZ50" s="2583"/>
      <c r="CA50" s="2583"/>
      <c r="CB50" s="2583"/>
      <c r="CC50" s="2583"/>
      <c r="CD50" s="2583"/>
      <c r="CE50" s="2583"/>
      <c r="CK50" s="414"/>
      <c r="FB50" s="449"/>
      <c r="FC50" s="449"/>
      <c r="FD50" s="449"/>
      <c r="FE50" s="449"/>
      <c r="FF50" s="449"/>
      <c r="FG50" s="449"/>
      <c r="FH50" s="449"/>
      <c r="FI50" s="449"/>
      <c r="FJ50" s="449"/>
      <c r="FK50" s="449"/>
      <c r="FL50" s="449"/>
      <c r="FM50" s="449"/>
      <c r="FN50" s="449"/>
      <c r="FO50" s="449"/>
    </row>
    <row r="51" spans="8:171" ht="6.6" customHeight="1">
      <c r="H51" s="414"/>
      <c r="BN51" s="415"/>
      <c r="BR51" s="2580"/>
      <c r="BS51" s="2580"/>
      <c r="BT51" s="2580"/>
      <c r="BU51" s="2580"/>
      <c r="BV51" s="2580"/>
      <c r="BW51" s="2580"/>
      <c r="BX51" s="2580"/>
      <c r="BY51" s="2580"/>
      <c r="BZ51" s="2580"/>
      <c r="CA51" s="2580"/>
      <c r="CB51" s="2580"/>
      <c r="CC51" s="2580"/>
      <c r="CD51" s="2580"/>
      <c r="CE51" s="2580"/>
      <c r="CK51" s="414"/>
      <c r="FB51" s="449"/>
      <c r="FC51" s="449"/>
      <c r="FD51" s="449"/>
      <c r="FE51" s="449"/>
      <c r="FF51" s="449"/>
      <c r="FG51" s="449"/>
      <c r="FH51" s="449"/>
      <c r="FI51" s="449"/>
      <c r="FJ51" s="449"/>
      <c r="FK51" s="449"/>
      <c r="FL51" s="449"/>
      <c r="FM51" s="449"/>
      <c r="FN51" s="449"/>
      <c r="FO51" s="449"/>
    </row>
    <row r="52" spans="8:171" ht="6.6" customHeight="1">
      <c r="H52" s="414"/>
      <c r="BN52" s="415"/>
      <c r="BR52" s="2580"/>
      <c r="BS52" s="2580"/>
      <c r="BT52" s="2580"/>
      <c r="BU52" s="2580"/>
      <c r="BV52" s="2580"/>
      <c r="BW52" s="2580"/>
      <c r="BX52" s="2580"/>
      <c r="BY52" s="2580"/>
      <c r="BZ52" s="2580"/>
      <c r="CA52" s="2580"/>
      <c r="CB52" s="2580"/>
      <c r="CC52" s="2580"/>
      <c r="CD52" s="2580"/>
      <c r="CE52" s="2580"/>
      <c r="CK52" s="414"/>
      <c r="FB52" s="449"/>
      <c r="FC52" s="449"/>
      <c r="FD52" s="449"/>
      <c r="FE52" s="449"/>
      <c r="FF52" s="449"/>
      <c r="FG52" s="449"/>
      <c r="FH52" s="449"/>
      <c r="FI52" s="449"/>
      <c r="FJ52" s="449"/>
      <c r="FK52" s="449"/>
      <c r="FL52" s="449"/>
      <c r="FM52" s="449"/>
      <c r="FN52" s="449"/>
      <c r="FO52" s="449"/>
    </row>
    <row r="53" spans="8:171" ht="6.6" customHeight="1">
      <c r="H53" s="416"/>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c r="AY53" s="417"/>
      <c r="AZ53" s="417"/>
      <c r="BA53" s="417"/>
      <c r="BB53" s="417"/>
      <c r="BC53" s="417"/>
      <c r="BD53" s="417"/>
      <c r="BE53" s="417"/>
      <c r="BF53" s="417"/>
      <c r="BG53" s="417"/>
      <c r="BH53" s="417"/>
      <c r="BI53" s="417"/>
      <c r="BJ53" s="417"/>
      <c r="BK53" s="417"/>
      <c r="BL53" s="417"/>
      <c r="BM53" s="417"/>
      <c r="BN53" s="418"/>
      <c r="BR53" s="2584"/>
      <c r="BS53" s="2584"/>
      <c r="BT53" s="2584"/>
      <c r="BU53" s="2584"/>
      <c r="BV53" s="2584"/>
      <c r="BW53" s="2584"/>
      <c r="BX53" s="2584"/>
      <c r="BY53" s="2584"/>
      <c r="BZ53" s="2584"/>
      <c r="CA53" s="2584"/>
      <c r="CB53" s="2584"/>
      <c r="CC53" s="2584"/>
      <c r="CD53" s="2584"/>
      <c r="CE53" s="2584"/>
      <c r="CK53" s="414"/>
      <c r="FB53" s="449"/>
      <c r="FC53" s="449"/>
      <c r="FD53" s="449"/>
      <c r="FE53" s="449"/>
      <c r="FF53" s="449"/>
      <c r="FG53" s="449"/>
      <c r="FH53" s="449"/>
      <c r="FI53" s="449"/>
      <c r="FJ53" s="449"/>
      <c r="FK53" s="449"/>
      <c r="FL53" s="449"/>
      <c r="FM53" s="449"/>
      <c r="FN53" s="449"/>
      <c r="FO53" s="449"/>
    </row>
    <row r="54" spans="8:171" ht="6.6" customHeight="1">
      <c r="H54" s="411"/>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O54" s="412"/>
      <c r="AP54" s="412"/>
      <c r="AQ54" s="412"/>
      <c r="AR54" s="412"/>
      <c r="AS54" s="412"/>
      <c r="AT54" s="412"/>
      <c r="AU54" s="412"/>
      <c r="AV54" s="412"/>
      <c r="AW54" s="412"/>
      <c r="AX54" s="412"/>
      <c r="AY54" s="412"/>
      <c r="AZ54" s="412"/>
      <c r="BA54" s="412"/>
      <c r="BB54" s="412"/>
      <c r="BC54" s="412"/>
      <c r="BD54" s="412"/>
      <c r="BE54" s="412"/>
      <c r="BF54" s="412"/>
      <c r="BG54" s="412"/>
      <c r="BH54" s="412"/>
      <c r="BI54" s="412"/>
      <c r="BJ54" s="412"/>
      <c r="BK54" s="412"/>
      <c r="BL54" s="412"/>
      <c r="BM54" s="412"/>
      <c r="BN54" s="413"/>
      <c r="BR54" s="2583">
        <v>0.15</v>
      </c>
      <c r="BS54" s="2583"/>
      <c r="BT54" s="2583"/>
      <c r="BU54" s="2583"/>
      <c r="BV54" s="2583"/>
      <c r="BW54" s="2583"/>
      <c r="BX54" s="2583"/>
      <c r="BY54" s="2583"/>
      <c r="BZ54" s="2583"/>
      <c r="CA54" s="2583"/>
      <c r="CB54" s="2583"/>
      <c r="CC54" s="2583"/>
      <c r="CD54" s="2583"/>
      <c r="CE54" s="2583"/>
      <c r="CK54" s="414"/>
      <c r="FB54" s="449"/>
      <c r="FC54" s="449"/>
      <c r="FD54" s="449"/>
      <c r="FE54" s="449"/>
      <c r="FF54" s="449"/>
      <c r="FG54" s="449"/>
      <c r="FH54" s="449"/>
      <c r="FI54" s="449"/>
      <c r="FJ54" s="449"/>
      <c r="FK54" s="449"/>
      <c r="FL54" s="449"/>
      <c r="FM54" s="449"/>
      <c r="FN54" s="449"/>
      <c r="FO54" s="449"/>
    </row>
    <row r="55" spans="8:171" ht="6.6" customHeight="1">
      <c r="H55" s="414"/>
      <c r="BN55" s="415"/>
      <c r="BR55" s="2580"/>
      <c r="BS55" s="2580"/>
      <c r="BT55" s="2580"/>
      <c r="BU55" s="2580"/>
      <c r="BV55" s="2580"/>
      <c r="BW55" s="2580"/>
      <c r="BX55" s="2580"/>
      <c r="BY55" s="2580"/>
      <c r="BZ55" s="2580"/>
      <c r="CA55" s="2580"/>
      <c r="CB55" s="2580"/>
      <c r="CC55" s="2580"/>
      <c r="CD55" s="2580"/>
      <c r="CE55" s="2580"/>
      <c r="CK55" s="414"/>
      <c r="FB55" s="449"/>
      <c r="FC55" s="449"/>
      <c r="FD55" s="449"/>
      <c r="FE55" s="449"/>
      <c r="FF55" s="449"/>
      <c r="FG55" s="449"/>
      <c r="FH55" s="449"/>
      <c r="FI55" s="449"/>
      <c r="FJ55" s="449"/>
      <c r="FK55" s="449"/>
      <c r="FL55" s="449"/>
      <c r="FM55" s="449"/>
      <c r="FN55" s="449"/>
      <c r="FO55" s="449"/>
    </row>
    <row r="56" spans="8:171" ht="6.6" customHeight="1">
      <c r="H56" s="414"/>
      <c r="BN56" s="415"/>
      <c r="BR56" s="2580"/>
      <c r="BS56" s="2580"/>
      <c r="BT56" s="2580"/>
      <c r="BU56" s="2580"/>
      <c r="BV56" s="2580"/>
      <c r="BW56" s="2580"/>
      <c r="BX56" s="2580"/>
      <c r="BY56" s="2580"/>
      <c r="BZ56" s="2580"/>
      <c r="CA56" s="2580"/>
      <c r="CB56" s="2580"/>
      <c r="CC56" s="2580"/>
      <c r="CD56" s="2580"/>
      <c r="CE56" s="2580"/>
      <c r="CK56" s="414"/>
      <c r="FB56" s="449"/>
      <c r="FC56" s="449"/>
      <c r="FD56" s="449"/>
      <c r="FE56" s="449"/>
      <c r="FF56" s="449"/>
      <c r="FG56" s="449"/>
      <c r="FH56" s="449"/>
      <c r="FI56" s="449"/>
      <c r="FJ56" s="449"/>
      <c r="FK56" s="449"/>
      <c r="FL56" s="449"/>
      <c r="FM56" s="449"/>
      <c r="FN56" s="449"/>
      <c r="FO56" s="449"/>
    </row>
    <row r="57" spans="8:171" ht="6.6" customHeight="1">
      <c r="H57" s="416"/>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c r="AS57" s="417"/>
      <c r="AT57" s="417"/>
      <c r="AU57" s="417"/>
      <c r="AV57" s="417"/>
      <c r="AW57" s="417"/>
      <c r="AX57" s="417"/>
      <c r="AY57" s="417"/>
      <c r="AZ57" s="417"/>
      <c r="BA57" s="417"/>
      <c r="BB57" s="417"/>
      <c r="BC57" s="417"/>
      <c r="BD57" s="417"/>
      <c r="BE57" s="417"/>
      <c r="BF57" s="417"/>
      <c r="BG57" s="417"/>
      <c r="BH57" s="417"/>
      <c r="BI57" s="417"/>
      <c r="BJ57" s="417"/>
      <c r="BK57" s="417"/>
      <c r="BL57" s="417"/>
      <c r="BM57" s="417"/>
      <c r="BN57" s="418"/>
      <c r="BR57" s="2584"/>
      <c r="BS57" s="2584"/>
      <c r="BT57" s="2584"/>
      <c r="BU57" s="2584"/>
      <c r="BV57" s="2584"/>
      <c r="BW57" s="2584"/>
      <c r="BX57" s="2584"/>
      <c r="BY57" s="2584"/>
      <c r="BZ57" s="2584"/>
      <c r="CA57" s="2584"/>
      <c r="CB57" s="2584"/>
      <c r="CC57" s="2584"/>
      <c r="CD57" s="2584"/>
      <c r="CE57" s="2584"/>
      <c r="CG57" s="417"/>
      <c r="CH57" s="417"/>
      <c r="CI57" s="417"/>
      <c r="CJ57" s="417"/>
      <c r="CK57" s="416"/>
      <c r="CL57" s="417"/>
      <c r="CM57" s="417"/>
      <c r="CN57" s="417"/>
      <c r="CO57" s="417"/>
      <c r="CP57" s="417"/>
      <c r="FB57" s="449"/>
      <c r="FC57" s="449"/>
      <c r="FD57" s="449"/>
      <c r="FE57" s="449"/>
      <c r="FF57" s="449"/>
      <c r="FG57" s="449"/>
      <c r="FH57" s="449"/>
      <c r="FI57" s="449"/>
      <c r="FJ57" s="449"/>
      <c r="FK57" s="449"/>
      <c r="FL57" s="449"/>
      <c r="FM57" s="449"/>
      <c r="FN57" s="449"/>
      <c r="FO57" s="449"/>
    </row>
    <row r="60" spans="8:171" ht="6.6" customHeight="1">
      <c r="H60" s="414"/>
      <c r="AA60" s="2580" t="e">
        <f>AD10+0.15</f>
        <v>#REF!</v>
      </c>
      <c r="AB60" s="2580"/>
      <c r="AC60" s="2580"/>
      <c r="AD60" s="2580"/>
      <c r="AE60" s="2580"/>
      <c r="AF60" s="2580"/>
      <c r="AG60" s="2580"/>
      <c r="AH60" s="2580"/>
      <c r="AI60" s="2580"/>
      <c r="AJ60" s="2580"/>
      <c r="AK60" s="2580"/>
      <c r="AL60" s="2580"/>
      <c r="AM60" s="2580"/>
      <c r="BN60" s="415"/>
    </row>
    <row r="61" spans="8:171" ht="6.6" customHeight="1">
      <c r="H61" s="416"/>
      <c r="I61" s="417"/>
      <c r="J61" s="417"/>
      <c r="K61" s="417"/>
      <c r="L61" s="417"/>
      <c r="M61" s="417"/>
      <c r="N61" s="417"/>
      <c r="O61" s="417"/>
      <c r="P61" s="417"/>
      <c r="Q61" s="417"/>
      <c r="R61" s="417"/>
      <c r="S61" s="417"/>
      <c r="T61" s="417"/>
      <c r="U61" s="417"/>
      <c r="V61" s="417"/>
      <c r="W61" s="417"/>
      <c r="X61" s="417"/>
      <c r="Y61" s="417"/>
      <c r="Z61" s="417"/>
      <c r="AA61" s="2580"/>
      <c r="AB61" s="2580"/>
      <c r="AC61" s="2580"/>
      <c r="AD61" s="2580"/>
      <c r="AE61" s="2580"/>
      <c r="AF61" s="2580"/>
      <c r="AG61" s="2580"/>
      <c r="AH61" s="2580"/>
      <c r="AI61" s="2580"/>
      <c r="AJ61" s="2580"/>
      <c r="AK61" s="2580"/>
      <c r="AL61" s="2580"/>
      <c r="AM61" s="2580"/>
      <c r="AN61" s="417"/>
      <c r="AO61" s="417"/>
      <c r="AP61" s="417"/>
      <c r="AQ61" s="417"/>
      <c r="AR61" s="417"/>
      <c r="AS61" s="417"/>
      <c r="AT61" s="417"/>
      <c r="AU61" s="417"/>
      <c r="AV61" s="417"/>
      <c r="AW61" s="417"/>
      <c r="AX61" s="417"/>
      <c r="AY61" s="417"/>
      <c r="AZ61" s="417"/>
      <c r="BA61" s="417"/>
      <c r="BB61" s="417"/>
      <c r="BC61" s="417"/>
      <c r="BD61" s="417"/>
      <c r="BE61" s="417"/>
      <c r="BF61" s="417"/>
      <c r="BG61" s="417"/>
      <c r="BH61" s="417"/>
      <c r="BI61" s="417"/>
      <c r="BJ61" s="417"/>
      <c r="BK61" s="417"/>
      <c r="BL61" s="417"/>
      <c r="BM61" s="417"/>
      <c r="BN61" s="418"/>
    </row>
    <row r="62" spans="8:171" ht="6.6" customHeight="1">
      <c r="H62" s="414"/>
      <c r="AA62" s="2580"/>
      <c r="AB62" s="2580"/>
      <c r="AC62" s="2580"/>
      <c r="AD62" s="2580"/>
      <c r="AE62" s="2580"/>
      <c r="AF62" s="2580"/>
      <c r="AG62" s="2580"/>
      <c r="AH62" s="2580"/>
      <c r="AI62" s="2580"/>
      <c r="AJ62" s="2580"/>
      <c r="AK62" s="2580"/>
      <c r="AL62" s="2580"/>
      <c r="AM62" s="2580"/>
      <c r="BN62" s="415"/>
    </row>
    <row r="63" spans="8:171" ht="6.6" customHeight="1">
      <c r="H63" s="414"/>
      <c r="AA63" s="2580"/>
      <c r="AB63" s="2580"/>
      <c r="AC63" s="2580"/>
      <c r="AD63" s="2580"/>
      <c r="AE63" s="2580"/>
      <c r="AF63" s="2580"/>
      <c r="AG63" s="2580"/>
      <c r="AH63" s="2580"/>
      <c r="AI63" s="2580"/>
      <c r="AJ63" s="2580"/>
      <c r="AK63" s="2580"/>
      <c r="AL63" s="2580"/>
      <c r="AM63" s="2580"/>
      <c r="BN63" s="415"/>
    </row>
    <row r="66" spans="10:64" ht="6.6" customHeight="1">
      <c r="J66" s="2579" t="s">
        <v>3404</v>
      </c>
      <c r="K66" s="2579"/>
      <c r="L66" s="2579"/>
      <c r="M66" s="2579"/>
      <c r="N66" s="2579"/>
      <c r="O66" s="2579"/>
      <c r="P66" s="2579"/>
      <c r="Q66" s="2579"/>
      <c r="R66" s="2579"/>
      <c r="S66" s="2579"/>
      <c r="T66" s="2579"/>
      <c r="U66" s="2579"/>
      <c r="V66" s="2579"/>
      <c r="W66" s="2579"/>
      <c r="X66" s="2579"/>
      <c r="Y66" s="2579"/>
      <c r="Z66" s="2579"/>
      <c r="AA66" s="2579"/>
      <c r="AB66" s="2579"/>
      <c r="AC66" s="2579"/>
      <c r="AD66" s="2579"/>
      <c r="AE66" s="2579"/>
      <c r="AF66" s="2579"/>
      <c r="AG66" s="2579"/>
      <c r="AH66" s="2579"/>
      <c r="AI66" s="2579"/>
      <c r="AJ66" s="2579"/>
      <c r="AK66" s="2579"/>
      <c r="AL66" s="2579"/>
      <c r="AM66" s="2579"/>
      <c r="AN66" s="2579"/>
      <c r="AO66" s="2579"/>
      <c r="AP66" s="2579"/>
      <c r="AQ66" s="2579"/>
      <c r="AR66" s="2579"/>
      <c r="AS66" s="2579"/>
      <c r="AT66" s="2579"/>
      <c r="AU66" s="2579"/>
      <c r="AV66" s="2579"/>
      <c r="AW66" s="2579"/>
      <c r="AX66" s="2579"/>
      <c r="AY66" s="2579"/>
      <c r="AZ66" s="2579"/>
      <c r="BA66" s="2579"/>
      <c r="BB66" s="2579"/>
      <c r="BC66" s="2579"/>
      <c r="BD66" s="2579"/>
      <c r="BE66" s="2579"/>
      <c r="BF66" s="2579"/>
      <c r="BG66" s="2579"/>
      <c r="BH66" s="2579"/>
      <c r="BI66" s="2579"/>
      <c r="BJ66" s="2579"/>
      <c r="BK66" s="2579"/>
      <c r="BL66" s="2579"/>
    </row>
    <row r="67" spans="10:64" ht="6.6" customHeight="1">
      <c r="J67" s="2579"/>
      <c r="K67" s="2579"/>
      <c r="L67" s="2579"/>
      <c r="M67" s="2579"/>
      <c r="N67" s="2579"/>
      <c r="O67" s="2579"/>
      <c r="P67" s="2579"/>
      <c r="Q67" s="2579"/>
      <c r="R67" s="2579"/>
      <c r="S67" s="2579"/>
      <c r="T67" s="2579"/>
      <c r="U67" s="2579"/>
      <c r="V67" s="2579"/>
      <c r="W67" s="2579"/>
      <c r="X67" s="2579"/>
      <c r="Y67" s="2579"/>
      <c r="Z67" s="2579"/>
      <c r="AA67" s="2579"/>
      <c r="AB67" s="2579"/>
      <c r="AC67" s="2579"/>
      <c r="AD67" s="2579"/>
      <c r="AE67" s="2579"/>
      <c r="AF67" s="2579"/>
      <c r="AG67" s="2579"/>
      <c r="AH67" s="2579"/>
      <c r="AI67" s="2579"/>
      <c r="AJ67" s="2579"/>
      <c r="AK67" s="2579"/>
      <c r="AL67" s="2579"/>
      <c r="AM67" s="2579"/>
      <c r="AN67" s="2579"/>
      <c r="AO67" s="2579"/>
      <c r="AP67" s="2579"/>
      <c r="AQ67" s="2579"/>
      <c r="AR67" s="2579"/>
      <c r="AS67" s="2579"/>
      <c r="AT67" s="2579"/>
      <c r="AU67" s="2579"/>
      <c r="AV67" s="2579"/>
      <c r="AW67" s="2579"/>
      <c r="AX67" s="2579"/>
      <c r="AY67" s="2579"/>
      <c r="AZ67" s="2579"/>
      <c r="BA67" s="2579"/>
      <c r="BB67" s="2579"/>
      <c r="BC67" s="2579"/>
      <c r="BD67" s="2579"/>
      <c r="BE67" s="2579"/>
      <c r="BF67" s="2579"/>
      <c r="BG67" s="2579"/>
      <c r="BH67" s="2579"/>
      <c r="BI67" s="2579"/>
      <c r="BJ67" s="2579"/>
      <c r="BK67" s="2579"/>
      <c r="BL67" s="2579"/>
    </row>
    <row r="68" spans="10:64" ht="6.6" customHeight="1">
      <c r="J68" s="2579"/>
      <c r="K68" s="2579"/>
      <c r="L68" s="2579"/>
      <c r="M68" s="2579"/>
      <c r="N68" s="2579"/>
      <c r="O68" s="2579"/>
      <c r="P68" s="2579"/>
      <c r="Q68" s="2579"/>
      <c r="R68" s="2579"/>
      <c r="S68" s="2579"/>
      <c r="T68" s="2579"/>
      <c r="U68" s="2579"/>
      <c r="V68" s="2579"/>
      <c r="W68" s="2579"/>
      <c r="X68" s="2579"/>
      <c r="Y68" s="2579"/>
      <c r="Z68" s="2579"/>
      <c r="AA68" s="2579"/>
      <c r="AB68" s="2579"/>
      <c r="AC68" s="2579"/>
      <c r="AD68" s="2579"/>
      <c r="AE68" s="2579"/>
      <c r="AF68" s="2579"/>
      <c r="AG68" s="2579"/>
      <c r="AH68" s="2579"/>
      <c r="AI68" s="2579"/>
      <c r="AJ68" s="2579"/>
      <c r="AK68" s="2579"/>
      <c r="AL68" s="2579"/>
      <c r="AM68" s="2579"/>
      <c r="AN68" s="2579"/>
      <c r="AO68" s="2579"/>
      <c r="AP68" s="2579"/>
      <c r="AQ68" s="2579"/>
      <c r="AR68" s="2579"/>
      <c r="AS68" s="2579"/>
      <c r="AT68" s="2579"/>
      <c r="AU68" s="2579"/>
      <c r="AV68" s="2579"/>
      <c r="AW68" s="2579"/>
      <c r="AX68" s="2579"/>
      <c r="AY68" s="2579"/>
      <c r="AZ68" s="2579"/>
      <c r="BA68" s="2579"/>
      <c r="BB68" s="2579"/>
      <c r="BC68" s="2579"/>
      <c r="BD68" s="2579"/>
      <c r="BE68" s="2579"/>
      <c r="BF68" s="2579"/>
      <c r="BG68" s="2579"/>
      <c r="BH68" s="2579"/>
      <c r="BI68" s="2579"/>
      <c r="BJ68" s="2579"/>
      <c r="BK68" s="2579"/>
      <c r="BL68" s="2579"/>
    </row>
    <row r="69" spans="10:64" ht="6.6" customHeight="1">
      <c r="J69" s="2579"/>
      <c r="K69" s="2579"/>
      <c r="L69" s="2579"/>
      <c r="M69" s="2579"/>
      <c r="N69" s="2579"/>
      <c r="O69" s="2579"/>
      <c r="P69" s="2579"/>
      <c r="Q69" s="2579"/>
      <c r="R69" s="2579"/>
      <c r="S69" s="2579"/>
      <c r="T69" s="2579"/>
      <c r="U69" s="2579"/>
      <c r="V69" s="2579"/>
      <c r="W69" s="2579"/>
      <c r="X69" s="2579"/>
      <c r="Y69" s="2579"/>
      <c r="Z69" s="2579"/>
      <c r="AA69" s="2579"/>
      <c r="AB69" s="2579"/>
      <c r="AC69" s="2579"/>
      <c r="AD69" s="2579"/>
      <c r="AE69" s="2579"/>
      <c r="AF69" s="2579"/>
      <c r="AG69" s="2579"/>
      <c r="AH69" s="2579"/>
      <c r="AI69" s="2579"/>
      <c r="AJ69" s="2579"/>
      <c r="AK69" s="2579"/>
      <c r="AL69" s="2579"/>
      <c r="AM69" s="2579"/>
      <c r="AN69" s="2579"/>
      <c r="AO69" s="2579"/>
      <c r="AP69" s="2579"/>
      <c r="AQ69" s="2579"/>
      <c r="AR69" s="2579"/>
      <c r="AS69" s="2579"/>
      <c r="AT69" s="2579"/>
      <c r="AU69" s="2579"/>
      <c r="AV69" s="2579"/>
      <c r="AW69" s="2579"/>
      <c r="AX69" s="2579"/>
      <c r="AY69" s="2579"/>
      <c r="AZ69" s="2579"/>
      <c r="BA69" s="2579"/>
      <c r="BB69" s="2579"/>
      <c r="BC69" s="2579"/>
      <c r="BD69" s="2579"/>
      <c r="BE69" s="2579"/>
      <c r="BF69" s="2579"/>
      <c r="BG69" s="2579"/>
      <c r="BH69" s="2579"/>
      <c r="BI69" s="2579"/>
      <c r="BJ69" s="2579"/>
      <c r="BK69" s="2579"/>
      <c r="BL69" s="2579"/>
    </row>
    <row r="77" spans="10:64" ht="6.6" customHeight="1">
      <c r="J77" s="414"/>
      <c r="AD77" s="2580">
        <f>J84+AD84+BC84</f>
        <v>0.75</v>
      </c>
      <c r="AE77" s="2580"/>
      <c r="AF77" s="2580"/>
      <c r="AG77" s="2580"/>
      <c r="AH77" s="2580"/>
      <c r="AI77" s="2580"/>
      <c r="AJ77" s="2580"/>
      <c r="AK77" s="2580"/>
      <c r="AL77" s="2580"/>
      <c r="AM77" s="2580"/>
      <c r="AN77" s="2580"/>
      <c r="AO77" s="2580"/>
      <c r="AP77" s="2580"/>
      <c r="BL77" s="415"/>
    </row>
    <row r="78" spans="10:64" ht="6.6" customHeight="1">
      <c r="J78" s="416"/>
      <c r="K78" s="417"/>
      <c r="L78" s="417"/>
      <c r="M78" s="417"/>
      <c r="N78" s="417"/>
      <c r="O78" s="417"/>
      <c r="P78" s="417"/>
      <c r="Q78" s="417"/>
      <c r="R78" s="417"/>
      <c r="S78" s="417"/>
      <c r="T78" s="417"/>
      <c r="U78" s="417"/>
      <c r="V78" s="417"/>
      <c r="W78" s="417"/>
      <c r="X78" s="417"/>
      <c r="Y78" s="417"/>
      <c r="Z78" s="417"/>
      <c r="AA78" s="417"/>
      <c r="AB78" s="417"/>
      <c r="AC78" s="417"/>
      <c r="AD78" s="2580"/>
      <c r="AE78" s="2580"/>
      <c r="AF78" s="2580"/>
      <c r="AG78" s="2580"/>
      <c r="AH78" s="2580"/>
      <c r="AI78" s="2580"/>
      <c r="AJ78" s="2580"/>
      <c r="AK78" s="2580"/>
      <c r="AL78" s="2580"/>
      <c r="AM78" s="2580"/>
      <c r="AN78" s="2580"/>
      <c r="AO78" s="2580"/>
      <c r="AP78" s="2580"/>
      <c r="AQ78" s="417"/>
      <c r="AR78" s="417"/>
      <c r="AS78" s="417"/>
      <c r="AT78" s="417"/>
      <c r="AU78" s="417"/>
      <c r="AV78" s="417"/>
      <c r="AW78" s="417"/>
      <c r="AX78" s="417"/>
      <c r="AY78" s="417"/>
      <c r="AZ78" s="417"/>
      <c r="BA78" s="417"/>
      <c r="BB78" s="417"/>
      <c r="BC78" s="417"/>
      <c r="BD78" s="417"/>
      <c r="BE78" s="417"/>
      <c r="BF78" s="417"/>
      <c r="BG78" s="417"/>
      <c r="BH78" s="417"/>
      <c r="BI78" s="417"/>
      <c r="BJ78" s="417"/>
      <c r="BK78" s="417"/>
      <c r="BL78" s="418"/>
    </row>
    <row r="79" spans="10:64" ht="6.6" customHeight="1">
      <c r="J79" s="414"/>
      <c r="AD79" s="2580"/>
      <c r="AE79" s="2580"/>
      <c r="AF79" s="2580"/>
      <c r="AG79" s="2580"/>
      <c r="AH79" s="2580"/>
      <c r="AI79" s="2580"/>
      <c r="AJ79" s="2580"/>
      <c r="AK79" s="2580"/>
      <c r="AL79" s="2580"/>
      <c r="AM79" s="2580"/>
      <c r="AN79" s="2580"/>
      <c r="AO79" s="2580"/>
      <c r="AP79" s="2580"/>
      <c r="BL79" s="415"/>
    </row>
    <row r="80" spans="10:64" ht="6.6" customHeight="1">
      <c r="J80" s="414"/>
      <c r="AD80" s="2580"/>
      <c r="AE80" s="2580"/>
      <c r="AF80" s="2580"/>
      <c r="AG80" s="2580"/>
      <c r="AH80" s="2580"/>
      <c r="AI80" s="2580"/>
      <c r="AJ80" s="2580"/>
      <c r="AK80" s="2580"/>
      <c r="AL80" s="2580"/>
      <c r="AM80" s="2580"/>
      <c r="AN80" s="2580"/>
      <c r="AO80" s="2580"/>
      <c r="AP80" s="2580"/>
      <c r="BL80" s="415"/>
    </row>
    <row r="84" spans="10:147" ht="6.6" customHeight="1">
      <c r="J84" s="2581">
        <v>0.15</v>
      </c>
      <c r="K84" s="2580"/>
      <c r="L84" s="2580"/>
      <c r="M84" s="2580"/>
      <c r="N84" s="2580"/>
      <c r="O84" s="2580"/>
      <c r="P84" s="2580"/>
      <c r="Q84" s="2580"/>
      <c r="R84" s="2580"/>
      <c r="S84" s="2582"/>
      <c r="T84" s="449"/>
      <c r="U84" s="449"/>
      <c r="V84" s="449"/>
      <c r="W84" s="449"/>
      <c r="X84" s="449"/>
      <c r="Y84" s="449"/>
      <c r="Z84" s="449"/>
      <c r="AA84" s="449"/>
      <c r="AB84" s="449"/>
      <c r="AC84" s="449"/>
      <c r="AD84" s="2580">
        <v>0.45</v>
      </c>
      <c r="AE84" s="2580"/>
      <c r="AF84" s="2580"/>
      <c r="AG84" s="2580"/>
      <c r="AH84" s="2580"/>
      <c r="AI84" s="2580"/>
      <c r="AJ84" s="2580"/>
      <c r="AK84" s="2580"/>
      <c r="AL84" s="2580"/>
      <c r="AM84" s="2580"/>
      <c r="AN84" s="2580"/>
      <c r="AO84" s="2580"/>
      <c r="AP84" s="2580"/>
      <c r="AQ84" s="449"/>
      <c r="AR84" s="449"/>
      <c r="AS84" s="449"/>
      <c r="AT84" s="449"/>
      <c r="AU84" s="449"/>
      <c r="AV84" s="449"/>
      <c r="AW84" s="449"/>
      <c r="AX84" s="449"/>
      <c r="AY84" s="449"/>
      <c r="AZ84" s="449"/>
      <c r="BA84" s="449"/>
      <c r="BB84" s="1402"/>
      <c r="BC84" s="2581">
        <f>J84</f>
        <v>0.15</v>
      </c>
      <c r="BD84" s="2580"/>
      <c r="BE84" s="2580"/>
      <c r="BF84" s="2580"/>
      <c r="BG84" s="2580"/>
      <c r="BH84" s="2580"/>
      <c r="BI84" s="2580"/>
      <c r="BJ84" s="2580"/>
      <c r="BK84" s="2580"/>
      <c r="BL84" s="2582"/>
      <c r="DX84" s="449"/>
      <c r="DY84" s="449"/>
      <c r="DZ84" s="449"/>
      <c r="EA84" s="449"/>
      <c r="EB84" s="449"/>
      <c r="EC84" s="449"/>
      <c r="ED84" s="449"/>
      <c r="EE84" s="449"/>
      <c r="EF84" s="449"/>
      <c r="EG84" s="449"/>
      <c r="EH84" s="449"/>
      <c r="EI84" s="449"/>
      <c r="EJ84" s="449"/>
      <c r="EK84" s="449"/>
      <c r="EL84" s="449"/>
      <c r="EM84" s="449"/>
      <c r="EN84" s="449"/>
      <c r="EO84" s="449"/>
      <c r="EP84" s="449"/>
      <c r="EQ84" s="449"/>
    </row>
    <row r="85" spans="10:147" ht="6.6" customHeight="1">
      <c r="J85" s="2581"/>
      <c r="K85" s="2580"/>
      <c r="L85" s="2580"/>
      <c r="M85" s="2580"/>
      <c r="N85" s="2580"/>
      <c r="O85" s="2580"/>
      <c r="P85" s="2580"/>
      <c r="Q85" s="2580"/>
      <c r="R85" s="2580"/>
      <c r="S85" s="2582"/>
      <c r="T85" s="480"/>
      <c r="U85" s="480"/>
      <c r="V85" s="480"/>
      <c r="W85" s="480"/>
      <c r="X85" s="480"/>
      <c r="Y85" s="480"/>
      <c r="Z85" s="480"/>
      <c r="AA85" s="480"/>
      <c r="AB85" s="480"/>
      <c r="AC85" s="480"/>
      <c r="AD85" s="2580"/>
      <c r="AE85" s="2580"/>
      <c r="AF85" s="2580"/>
      <c r="AG85" s="2580"/>
      <c r="AH85" s="2580"/>
      <c r="AI85" s="2580"/>
      <c r="AJ85" s="2580"/>
      <c r="AK85" s="2580"/>
      <c r="AL85" s="2580"/>
      <c r="AM85" s="2580"/>
      <c r="AN85" s="2580"/>
      <c r="AO85" s="2580"/>
      <c r="AP85" s="2580"/>
      <c r="AQ85" s="480"/>
      <c r="AR85" s="480"/>
      <c r="AS85" s="480"/>
      <c r="AT85" s="480"/>
      <c r="AU85" s="480"/>
      <c r="AV85" s="480"/>
      <c r="AW85" s="480"/>
      <c r="AX85" s="480"/>
      <c r="AY85" s="480"/>
      <c r="AZ85" s="480"/>
      <c r="BA85" s="480"/>
      <c r="BB85" s="1403"/>
      <c r="BC85" s="2581"/>
      <c r="BD85" s="2580"/>
      <c r="BE85" s="2580"/>
      <c r="BF85" s="2580"/>
      <c r="BG85" s="2580"/>
      <c r="BH85" s="2580"/>
      <c r="BI85" s="2580"/>
      <c r="BJ85" s="2580"/>
      <c r="BK85" s="2580"/>
      <c r="BL85" s="2582"/>
      <c r="DX85" s="449"/>
      <c r="DY85" s="449"/>
      <c r="DZ85" s="449"/>
      <c r="EA85" s="449"/>
      <c r="EB85" s="449"/>
      <c r="EC85" s="449"/>
      <c r="ED85" s="449"/>
      <c r="EE85" s="449"/>
      <c r="EF85" s="449"/>
      <c r="EG85" s="449"/>
      <c r="EH85" s="449"/>
      <c r="EI85" s="449"/>
      <c r="EJ85" s="449"/>
      <c r="EK85" s="449"/>
      <c r="EL85" s="449"/>
      <c r="EM85" s="449"/>
      <c r="EN85" s="449"/>
      <c r="EO85" s="449"/>
      <c r="EP85" s="449"/>
      <c r="EQ85" s="449"/>
    </row>
    <row r="86" spans="10:147" ht="6.6" customHeight="1">
      <c r="J86" s="2581"/>
      <c r="K86" s="2580"/>
      <c r="L86" s="2580"/>
      <c r="M86" s="2580"/>
      <c r="N86" s="2580"/>
      <c r="O86" s="2580"/>
      <c r="P86" s="2580"/>
      <c r="Q86" s="2580"/>
      <c r="R86" s="2580"/>
      <c r="S86" s="2582"/>
      <c r="T86" s="449"/>
      <c r="U86" s="449"/>
      <c r="V86" s="449"/>
      <c r="W86" s="449"/>
      <c r="X86" s="449"/>
      <c r="Y86" s="449"/>
      <c r="Z86" s="449"/>
      <c r="AA86" s="449"/>
      <c r="AB86" s="449"/>
      <c r="AC86" s="449"/>
      <c r="AD86" s="2580"/>
      <c r="AE86" s="2580"/>
      <c r="AF86" s="2580"/>
      <c r="AG86" s="2580"/>
      <c r="AH86" s="2580"/>
      <c r="AI86" s="2580"/>
      <c r="AJ86" s="2580"/>
      <c r="AK86" s="2580"/>
      <c r="AL86" s="2580"/>
      <c r="AM86" s="2580"/>
      <c r="AN86" s="2580"/>
      <c r="AO86" s="2580"/>
      <c r="AP86" s="2580"/>
      <c r="AQ86" s="449"/>
      <c r="AR86" s="449"/>
      <c r="AS86" s="449"/>
      <c r="AT86" s="449"/>
      <c r="AU86" s="449"/>
      <c r="AV86" s="449"/>
      <c r="AW86" s="449"/>
      <c r="AX86" s="449"/>
      <c r="AY86" s="449"/>
      <c r="AZ86" s="449"/>
      <c r="BA86" s="449"/>
      <c r="BB86" s="1402"/>
      <c r="BC86" s="2581"/>
      <c r="BD86" s="2580"/>
      <c r="BE86" s="2580"/>
      <c r="BF86" s="2580"/>
      <c r="BG86" s="2580"/>
      <c r="BH86" s="2580"/>
      <c r="BI86" s="2580"/>
      <c r="BJ86" s="2580"/>
      <c r="BK86" s="2580"/>
      <c r="BL86" s="2582"/>
      <c r="DX86" s="449"/>
      <c r="DY86" s="449"/>
      <c r="DZ86" s="449"/>
      <c r="EA86" s="449"/>
      <c r="EB86" s="449"/>
      <c r="EC86" s="449"/>
      <c r="ED86" s="449"/>
      <c r="EE86" s="449"/>
      <c r="EF86" s="449"/>
      <c r="EG86" s="449"/>
      <c r="EH86" s="449"/>
      <c r="EI86" s="449"/>
      <c r="EJ86" s="449"/>
      <c r="EK86" s="449"/>
      <c r="EL86" s="449"/>
      <c r="EM86" s="449"/>
      <c r="EN86" s="449"/>
      <c r="EO86" s="449"/>
      <c r="EP86" s="449"/>
      <c r="EQ86" s="449"/>
    </row>
    <row r="87" spans="10:147" ht="6.6" customHeight="1">
      <c r="J87" s="2581"/>
      <c r="K87" s="2580"/>
      <c r="L87" s="2580"/>
      <c r="M87" s="2580"/>
      <c r="N87" s="2580"/>
      <c r="O87" s="2580"/>
      <c r="P87" s="2580"/>
      <c r="Q87" s="2580"/>
      <c r="R87" s="2580"/>
      <c r="S87" s="2582"/>
      <c r="T87" s="449"/>
      <c r="U87" s="449"/>
      <c r="V87" s="449"/>
      <c r="W87" s="449"/>
      <c r="X87" s="449"/>
      <c r="Y87" s="449"/>
      <c r="Z87" s="449"/>
      <c r="AA87" s="449"/>
      <c r="AB87" s="449"/>
      <c r="AC87" s="449"/>
      <c r="AD87" s="2580"/>
      <c r="AE87" s="2580"/>
      <c r="AF87" s="2580"/>
      <c r="AG87" s="2580"/>
      <c r="AH87" s="2580"/>
      <c r="AI87" s="2580"/>
      <c r="AJ87" s="2580"/>
      <c r="AK87" s="2580"/>
      <c r="AL87" s="2580"/>
      <c r="AM87" s="2580"/>
      <c r="AN87" s="2580"/>
      <c r="AO87" s="2580"/>
      <c r="AP87" s="2580"/>
      <c r="AQ87" s="449"/>
      <c r="AR87" s="449"/>
      <c r="AS87" s="449"/>
      <c r="AT87" s="449"/>
      <c r="AU87" s="449"/>
      <c r="AV87" s="449"/>
      <c r="AW87" s="449"/>
      <c r="AX87" s="449"/>
      <c r="AY87" s="449"/>
      <c r="AZ87" s="449"/>
      <c r="BA87" s="449"/>
      <c r="BB87" s="1402"/>
      <c r="BC87" s="2581"/>
      <c r="BD87" s="2580"/>
      <c r="BE87" s="2580"/>
      <c r="BF87" s="2580"/>
      <c r="BG87" s="2580"/>
      <c r="BH87" s="2580"/>
      <c r="BI87" s="2580"/>
      <c r="BJ87" s="2580"/>
      <c r="BK87" s="2580"/>
      <c r="BL87" s="2582"/>
      <c r="DX87" s="449"/>
      <c r="DY87" s="449"/>
      <c r="DZ87" s="449"/>
      <c r="EA87" s="449"/>
      <c r="EB87" s="449"/>
      <c r="EC87" s="449"/>
      <c r="ED87" s="449"/>
      <c r="EE87" s="449"/>
      <c r="EF87" s="449"/>
      <c r="EG87" s="449"/>
      <c r="EH87" s="449"/>
      <c r="EI87" s="449"/>
      <c r="EJ87" s="449"/>
      <c r="EK87" s="449"/>
      <c r="EL87" s="449"/>
      <c r="EM87" s="449"/>
      <c r="EN87" s="449"/>
      <c r="EO87" s="449"/>
      <c r="EP87" s="449"/>
      <c r="EQ87" s="449"/>
    </row>
    <row r="89" spans="10:147" ht="6.6" customHeight="1">
      <c r="J89" s="417"/>
      <c r="K89" s="417"/>
      <c r="L89" s="417"/>
      <c r="M89" s="417"/>
      <c r="N89" s="417"/>
      <c r="O89" s="417"/>
      <c r="P89" s="417"/>
      <c r="Q89" s="417"/>
      <c r="R89" s="417"/>
      <c r="S89" s="417"/>
      <c r="BC89" s="417"/>
      <c r="BD89" s="417"/>
      <c r="BE89" s="417"/>
      <c r="BF89" s="417"/>
      <c r="BG89" s="417"/>
      <c r="BH89" s="417"/>
      <c r="BI89" s="417"/>
      <c r="BJ89" s="417"/>
      <c r="BK89" s="417"/>
      <c r="BL89" s="417"/>
    </row>
    <row r="90" spans="10:147" ht="6.6" customHeight="1">
      <c r="J90" s="414"/>
      <c r="T90" s="414"/>
      <c r="BB90" s="415"/>
      <c r="BL90" s="415"/>
      <c r="BR90" s="412"/>
      <c r="BS90" s="412"/>
      <c r="BT90" s="412"/>
      <c r="BU90" s="412"/>
      <c r="BV90" s="412"/>
      <c r="BW90" s="412"/>
      <c r="BX90" s="412"/>
      <c r="BY90" s="411"/>
      <c r="BZ90" s="412"/>
      <c r="CA90" s="412"/>
      <c r="CB90" s="412"/>
      <c r="CC90" s="412"/>
      <c r="CD90" s="412"/>
      <c r="CE90" s="412"/>
      <c r="CG90" s="412"/>
      <c r="CH90" s="412"/>
      <c r="CI90" s="412"/>
      <c r="CJ90" s="412"/>
      <c r="CK90" s="411"/>
      <c r="CL90" s="412"/>
      <c r="CM90" s="412"/>
      <c r="CN90" s="412"/>
      <c r="CO90" s="412"/>
      <c r="CP90" s="412"/>
    </row>
    <row r="91" spans="10:147" ht="6.6" customHeight="1">
      <c r="J91" s="414"/>
      <c r="O91" s="414"/>
      <c r="T91" s="414"/>
      <c r="BB91" s="415"/>
      <c r="BG91" s="415"/>
      <c r="BL91" s="415"/>
      <c r="BY91" s="414"/>
      <c r="CK91" s="414"/>
    </row>
    <row r="92" spans="10:147" ht="6.6" customHeight="1">
      <c r="J92" s="414"/>
      <c r="O92" s="453"/>
      <c r="T92" s="414"/>
      <c r="BB92" s="415"/>
      <c r="BG92" s="453"/>
      <c r="BL92" s="415"/>
      <c r="BY92" s="414"/>
      <c r="CK92" s="414"/>
    </row>
    <row r="93" spans="10:147" ht="6.6" customHeight="1">
      <c r="J93" s="414"/>
      <c r="O93" s="414"/>
      <c r="T93" s="414"/>
      <c r="BB93" s="415"/>
      <c r="BG93" s="415"/>
      <c r="BL93" s="415"/>
      <c r="BY93" s="414"/>
      <c r="CK93" s="414"/>
    </row>
    <row r="94" spans="10:147" ht="6.6" customHeight="1">
      <c r="J94" s="414"/>
      <c r="O94" s="414"/>
      <c r="T94" s="414"/>
      <c r="BB94" s="415"/>
      <c r="BG94" s="415"/>
      <c r="BL94" s="415"/>
      <c r="BY94" s="414"/>
      <c r="CK94" s="414"/>
    </row>
    <row r="95" spans="10:147" ht="6.6" customHeight="1">
      <c r="J95" s="414"/>
      <c r="O95" s="414"/>
      <c r="T95" s="414"/>
      <c r="BB95" s="415"/>
      <c r="BG95" s="415"/>
      <c r="BL95" s="415"/>
      <c r="BY95" s="414"/>
      <c r="CK95" s="414"/>
    </row>
    <row r="96" spans="10:147" ht="6.6" customHeight="1">
      <c r="J96" s="414"/>
      <c r="O96" s="414"/>
      <c r="T96" s="414"/>
      <c r="BB96" s="415"/>
      <c r="BG96" s="415"/>
      <c r="BL96" s="415"/>
      <c r="BY96" s="414"/>
      <c r="CK96" s="414"/>
    </row>
    <row r="97" spans="10:172" ht="6.6" customHeight="1">
      <c r="J97" s="414"/>
      <c r="O97" s="414"/>
      <c r="T97" s="414"/>
      <c r="BB97" s="415"/>
      <c r="BG97" s="415"/>
      <c r="BL97" s="415"/>
      <c r="BY97" s="414"/>
      <c r="CK97" s="414"/>
    </row>
    <row r="98" spans="10:172" ht="6.6" customHeight="1">
      <c r="J98" s="414"/>
      <c r="O98" s="414"/>
      <c r="T98" s="414"/>
      <c r="BB98" s="415"/>
      <c r="BG98" s="415"/>
      <c r="BL98" s="415"/>
      <c r="BY98" s="414"/>
      <c r="CK98" s="414"/>
    </row>
    <row r="99" spans="10:172" ht="6.6" customHeight="1">
      <c r="J99" s="414"/>
      <c r="O99" s="414"/>
      <c r="T99" s="414"/>
      <c r="BB99" s="415"/>
      <c r="BG99" s="415"/>
      <c r="BL99" s="415"/>
      <c r="BY99" s="414"/>
      <c r="CK99" s="414"/>
    </row>
    <row r="100" spans="10:172" ht="6.6" customHeight="1">
      <c r="J100" s="414"/>
      <c r="O100" s="453"/>
      <c r="T100" s="414"/>
      <c r="BB100" s="415"/>
      <c r="BG100" s="453"/>
      <c r="BL100" s="415"/>
      <c r="BY100" s="414"/>
      <c r="CK100" s="414"/>
    </row>
    <row r="101" spans="10:172" ht="6.6" customHeight="1">
      <c r="J101" s="414"/>
      <c r="O101" s="414"/>
      <c r="T101" s="414"/>
      <c r="BB101" s="415"/>
      <c r="BG101" s="415"/>
      <c r="BL101" s="415"/>
      <c r="BY101" s="414"/>
      <c r="CK101" s="414"/>
    </row>
    <row r="102" spans="10:172" ht="6.6" customHeight="1">
      <c r="J102" s="414"/>
      <c r="O102" s="414"/>
      <c r="T102" s="414"/>
      <c r="BB102" s="415"/>
      <c r="BG102" s="415"/>
      <c r="BL102" s="415"/>
      <c r="BR102" s="2580">
        <v>0.45</v>
      </c>
      <c r="BS102" s="2580"/>
      <c r="BT102" s="2580"/>
      <c r="BU102" s="2580"/>
      <c r="BV102" s="2580"/>
      <c r="BW102" s="2580"/>
      <c r="BX102" s="2580"/>
      <c r="BY102" s="2580"/>
      <c r="BZ102" s="2580"/>
      <c r="CA102" s="2580"/>
      <c r="CB102" s="2580"/>
      <c r="CC102" s="2580"/>
      <c r="CD102" s="2580"/>
      <c r="CE102" s="2580"/>
      <c r="CK102" s="414"/>
      <c r="FA102" s="449"/>
      <c r="FB102" s="449"/>
      <c r="FC102" s="449"/>
      <c r="FD102" s="449"/>
      <c r="FE102" s="449"/>
      <c r="FF102" s="449"/>
      <c r="FG102" s="449"/>
      <c r="FH102" s="449"/>
      <c r="FI102" s="449"/>
      <c r="FJ102" s="449"/>
      <c r="FK102" s="449"/>
      <c r="FL102" s="449"/>
      <c r="FM102" s="449"/>
      <c r="FN102" s="449"/>
    </row>
    <row r="103" spans="10:172" ht="6.6" customHeight="1">
      <c r="J103" s="414"/>
      <c r="O103" s="414"/>
      <c r="T103" s="414"/>
      <c r="BB103" s="415"/>
      <c r="BG103" s="415"/>
      <c r="BL103" s="415"/>
      <c r="BR103" s="2580"/>
      <c r="BS103" s="2580"/>
      <c r="BT103" s="2580"/>
      <c r="BU103" s="2580"/>
      <c r="BV103" s="2580"/>
      <c r="BW103" s="2580"/>
      <c r="BX103" s="2580"/>
      <c r="BY103" s="2580"/>
      <c r="BZ103" s="2580"/>
      <c r="CA103" s="2580"/>
      <c r="CB103" s="2580"/>
      <c r="CC103" s="2580"/>
      <c r="CD103" s="2580"/>
      <c r="CE103" s="2580"/>
      <c r="CK103" s="414"/>
      <c r="FA103" s="449"/>
      <c r="FB103" s="449"/>
      <c r="FC103" s="449"/>
      <c r="FD103" s="449"/>
      <c r="FE103" s="449"/>
      <c r="FF103" s="449"/>
      <c r="FG103" s="449"/>
      <c r="FH103" s="449"/>
      <c r="FI103" s="449"/>
      <c r="FJ103" s="449"/>
      <c r="FK103" s="449"/>
      <c r="FL103" s="449"/>
      <c r="FM103" s="449"/>
      <c r="FN103" s="449"/>
    </row>
    <row r="104" spans="10:172" ht="6.6" customHeight="1">
      <c r="J104" s="414"/>
      <c r="O104" s="414"/>
      <c r="T104" s="414"/>
      <c r="BB104" s="415"/>
      <c r="BG104" s="415"/>
      <c r="BL104" s="415"/>
      <c r="BR104" s="2580"/>
      <c r="BS104" s="2580"/>
      <c r="BT104" s="2580"/>
      <c r="BU104" s="2580"/>
      <c r="BV104" s="2580"/>
      <c r="BW104" s="2580"/>
      <c r="BX104" s="2580"/>
      <c r="BY104" s="2580"/>
      <c r="BZ104" s="2580"/>
      <c r="CA104" s="2580"/>
      <c r="CB104" s="2580"/>
      <c r="CC104" s="2580"/>
      <c r="CD104" s="2580"/>
      <c r="CE104" s="2580"/>
      <c r="CK104" s="414"/>
      <c r="FA104" s="449"/>
      <c r="FB104" s="449"/>
      <c r="FC104" s="449"/>
      <c r="FD104" s="449"/>
      <c r="FE104" s="449"/>
      <c r="FF104" s="449"/>
      <c r="FG104" s="449"/>
      <c r="FH104" s="449"/>
      <c r="FI104" s="449"/>
      <c r="FJ104" s="449"/>
      <c r="FK104" s="449"/>
      <c r="FL104" s="449"/>
      <c r="FM104" s="449"/>
      <c r="FN104" s="449"/>
    </row>
    <row r="105" spans="10:172" ht="6.6" customHeight="1">
      <c r="J105" s="414"/>
      <c r="O105" s="414"/>
      <c r="T105" s="414"/>
      <c r="BB105" s="415"/>
      <c r="BG105" s="415"/>
      <c r="BL105" s="415"/>
      <c r="BR105" s="2580"/>
      <c r="BS105" s="2580"/>
      <c r="BT105" s="2580"/>
      <c r="BU105" s="2580"/>
      <c r="BV105" s="2580"/>
      <c r="BW105" s="2580"/>
      <c r="BX105" s="2580"/>
      <c r="BY105" s="2580"/>
      <c r="BZ105" s="2580"/>
      <c r="CA105" s="2580"/>
      <c r="CB105" s="2580"/>
      <c r="CC105" s="2580"/>
      <c r="CD105" s="2580"/>
      <c r="CE105" s="2580"/>
      <c r="CK105" s="414"/>
      <c r="FA105" s="449"/>
      <c r="FB105" s="449"/>
      <c r="FC105" s="449"/>
      <c r="FD105" s="449"/>
      <c r="FE105" s="449"/>
      <c r="FF105" s="449"/>
      <c r="FG105" s="449"/>
      <c r="FH105" s="449"/>
      <c r="FI105" s="449"/>
      <c r="FJ105" s="449"/>
      <c r="FK105" s="449"/>
      <c r="FL105" s="449"/>
      <c r="FM105" s="449"/>
      <c r="FN105" s="449"/>
    </row>
    <row r="106" spans="10:172" ht="6.6" customHeight="1">
      <c r="J106" s="414"/>
      <c r="O106" s="414"/>
      <c r="T106" s="414"/>
      <c r="BB106" s="415"/>
      <c r="BG106" s="415"/>
      <c r="BL106" s="415"/>
      <c r="BY106" s="414"/>
      <c r="CF106" s="2580">
        <f>BR102+BR117+BR122+BR126</f>
        <v>0.75</v>
      </c>
      <c r="CG106" s="2579"/>
      <c r="CH106" s="2579"/>
      <c r="CI106" s="2579"/>
      <c r="CJ106" s="2579"/>
      <c r="CK106" s="2579"/>
      <c r="CL106" s="2579"/>
      <c r="CM106" s="2579"/>
      <c r="CN106" s="2579"/>
      <c r="CO106" s="2579"/>
      <c r="CP106" s="2579"/>
      <c r="DP106" s="1401"/>
      <c r="FP106" s="449"/>
    </row>
    <row r="107" spans="10:172" ht="6.6" customHeight="1">
      <c r="J107" s="414"/>
      <c r="O107" s="414"/>
      <c r="T107" s="414"/>
      <c r="BB107" s="415"/>
      <c r="BG107" s="415"/>
      <c r="BL107" s="415"/>
      <c r="BY107" s="414"/>
      <c r="CF107" s="2579"/>
      <c r="CG107" s="2579"/>
      <c r="CH107" s="2579"/>
      <c r="CI107" s="2579"/>
      <c r="CJ107" s="2579"/>
      <c r="CK107" s="2579"/>
      <c r="CL107" s="2579"/>
      <c r="CM107" s="2579"/>
      <c r="CN107" s="2579"/>
      <c r="CO107" s="2579"/>
      <c r="CP107" s="2579"/>
      <c r="DP107" s="1401"/>
    </row>
    <row r="108" spans="10:172" ht="6.6" customHeight="1">
      <c r="J108" s="414"/>
      <c r="O108" s="414"/>
      <c r="T108" s="414"/>
      <c r="BB108" s="415"/>
      <c r="BG108" s="415"/>
      <c r="BL108" s="415"/>
      <c r="BY108" s="414"/>
      <c r="CF108" s="2579"/>
      <c r="CG108" s="2579"/>
      <c r="CH108" s="2579"/>
      <c r="CI108" s="2579"/>
      <c r="CJ108" s="2579"/>
      <c r="CK108" s="2579"/>
      <c r="CL108" s="2579"/>
      <c r="CM108" s="2579"/>
      <c r="CN108" s="2579"/>
      <c r="CO108" s="2579"/>
      <c r="CP108" s="2579"/>
      <c r="DP108" s="1401"/>
    </row>
    <row r="109" spans="10:172" ht="6.6" customHeight="1">
      <c r="J109" s="414"/>
      <c r="O109" s="414"/>
      <c r="T109" s="414"/>
      <c r="BB109" s="415"/>
      <c r="BG109" s="415"/>
      <c r="BL109" s="415"/>
      <c r="BY109" s="414"/>
      <c r="CF109" s="2579"/>
      <c r="CG109" s="2579"/>
      <c r="CH109" s="2579"/>
      <c r="CI109" s="2579"/>
      <c r="CJ109" s="2579"/>
      <c r="CK109" s="2579"/>
      <c r="CL109" s="2579"/>
      <c r="CM109" s="2579"/>
      <c r="CN109" s="2579"/>
      <c r="CO109" s="2579"/>
      <c r="CP109" s="2579"/>
      <c r="DP109" s="1401"/>
    </row>
    <row r="110" spans="10:172" ht="6.6" customHeight="1">
      <c r="J110" s="414"/>
      <c r="O110" s="453"/>
      <c r="T110" s="414"/>
      <c r="BB110" s="415"/>
      <c r="BG110" s="453"/>
      <c r="BL110" s="415"/>
      <c r="BY110" s="414"/>
      <c r="CK110" s="414"/>
    </row>
    <row r="111" spans="10:172" ht="6.6" customHeight="1">
      <c r="J111" s="414"/>
      <c r="O111" s="414"/>
      <c r="T111" s="414"/>
      <c r="BB111" s="415"/>
      <c r="BG111" s="415"/>
      <c r="BL111" s="415"/>
      <c r="BY111" s="414"/>
      <c r="CK111" s="414"/>
    </row>
    <row r="112" spans="10:172" ht="6.6" customHeight="1">
      <c r="J112" s="414"/>
      <c r="O112" s="414"/>
      <c r="T112" s="414"/>
      <c r="BB112" s="415"/>
      <c r="BG112" s="415"/>
      <c r="BL112" s="415"/>
      <c r="BY112" s="414"/>
      <c r="CK112" s="414"/>
    </row>
    <row r="113" spans="8:170" ht="6.6" customHeight="1">
      <c r="J113" s="414"/>
      <c r="O113" s="414"/>
      <c r="T113" s="414"/>
      <c r="BB113" s="415"/>
      <c r="BG113" s="415"/>
      <c r="BL113" s="415"/>
      <c r="BY113" s="414"/>
      <c r="CK113" s="414"/>
    </row>
    <row r="114" spans="8:170" ht="6.6" customHeight="1">
      <c r="J114" s="414"/>
      <c r="O114" s="414"/>
      <c r="T114" s="414"/>
      <c r="BB114" s="415"/>
      <c r="BG114" s="415"/>
      <c r="BL114" s="415"/>
      <c r="BY114" s="414"/>
      <c r="CK114" s="414"/>
    </row>
    <row r="115" spans="8:170" ht="6.6" customHeight="1">
      <c r="J115" s="414"/>
      <c r="O115" s="414"/>
      <c r="T115" s="414"/>
      <c r="BB115" s="415"/>
      <c r="BG115" s="415"/>
      <c r="BL115" s="415"/>
      <c r="BY115" s="414"/>
      <c r="CK115" s="414"/>
    </row>
    <row r="116" spans="8:170" ht="6.6" customHeight="1">
      <c r="J116" s="414"/>
      <c r="O116" s="414"/>
      <c r="T116" s="416"/>
      <c r="U116" s="417"/>
      <c r="V116" s="417"/>
      <c r="W116" s="417"/>
      <c r="X116" s="417"/>
      <c r="Y116" s="417"/>
      <c r="Z116" s="417"/>
      <c r="AA116" s="417"/>
      <c r="AB116" s="417"/>
      <c r="AC116" s="417"/>
      <c r="AD116" s="417"/>
      <c r="AE116" s="417"/>
      <c r="AF116" s="417"/>
      <c r="AG116" s="417"/>
      <c r="AH116" s="417"/>
      <c r="AI116" s="417"/>
      <c r="AJ116" s="417"/>
      <c r="AK116" s="417"/>
      <c r="AL116" s="417"/>
      <c r="AM116" s="417"/>
      <c r="AN116" s="417"/>
      <c r="AO116" s="417"/>
      <c r="AP116" s="417"/>
      <c r="AQ116" s="417"/>
      <c r="AR116" s="417"/>
      <c r="AS116" s="417"/>
      <c r="AT116" s="417"/>
      <c r="AU116" s="417"/>
      <c r="AV116" s="417"/>
      <c r="AW116" s="417"/>
      <c r="AX116" s="417"/>
      <c r="AY116" s="417"/>
      <c r="AZ116" s="417"/>
      <c r="BA116" s="417"/>
      <c r="BB116" s="418"/>
      <c r="BG116" s="415"/>
      <c r="BL116" s="415"/>
      <c r="BR116" s="417"/>
      <c r="BS116" s="417"/>
      <c r="BT116" s="417"/>
      <c r="BU116" s="417"/>
      <c r="BV116" s="417"/>
      <c r="BW116" s="417"/>
      <c r="BX116" s="417"/>
      <c r="BY116" s="416"/>
      <c r="BZ116" s="417"/>
      <c r="CA116" s="417"/>
      <c r="CB116" s="417"/>
      <c r="CC116" s="417"/>
      <c r="CD116" s="417"/>
      <c r="CE116" s="417"/>
      <c r="CK116" s="414"/>
    </row>
    <row r="117" spans="8:170" ht="6.6" customHeight="1">
      <c r="J117" s="414"/>
      <c r="O117" s="414"/>
      <c r="BG117" s="415"/>
      <c r="BL117" s="415"/>
      <c r="BR117" s="2587">
        <v>0.05</v>
      </c>
      <c r="BS117" s="2587"/>
      <c r="BT117" s="2587"/>
      <c r="BU117" s="2587"/>
      <c r="BV117" s="2587"/>
      <c r="BW117" s="2587"/>
      <c r="BX117" s="2587"/>
      <c r="BY117" s="2587"/>
      <c r="BZ117" s="2587"/>
      <c r="CA117" s="2587"/>
      <c r="CB117" s="2587"/>
      <c r="CC117" s="2587"/>
      <c r="CD117" s="2587"/>
      <c r="CE117" s="2587"/>
      <c r="CK117" s="414"/>
    </row>
    <row r="118" spans="8:170" ht="6.6" customHeight="1">
      <c r="J118" s="414"/>
      <c r="O118" s="414"/>
      <c r="BG118" s="415"/>
      <c r="BL118" s="415"/>
      <c r="BR118" s="2588"/>
      <c r="BS118" s="2588"/>
      <c r="BT118" s="2588"/>
      <c r="BU118" s="2588"/>
      <c r="BV118" s="2588"/>
      <c r="BW118" s="2588"/>
      <c r="BX118" s="2588"/>
      <c r="BY118" s="2588"/>
      <c r="BZ118" s="2588"/>
      <c r="CA118" s="2588"/>
      <c r="CB118" s="2588"/>
      <c r="CC118" s="2588"/>
      <c r="CD118" s="2588"/>
      <c r="CE118" s="2588"/>
      <c r="CK118" s="414"/>
    </row>
    <row r="119" spans="8:170" ht="6.6" customHeight="1">
      <c r="J119" s="414"/>
      <c r="O119" s="453"/>
      <c r="P119" s="417"/>
      <c r="Q119" s="417"/>
      <c r="R119" s="417"/>
      <c r="S119" s="417"/>
      <c r="T119" s="417"/>
      <c r="U119" s="417"/>
      <c r="V119" s="417"/>
      <c r="W119" s="453"/>
      <c r="X119" s="417"/>
      <c r="Y119" s="417"/>
      <c r="Z119" s="417"/>
      <c r="AA119" s="417"/>
      <c r="AB119" s="417"/>
      <c r="AC119" s="417"/>
      <c r="AD119" s="417"/>
      <c r="AE119" s="417"/>
      <c r="AF119" s="417"/>
      <c r="AG119" s="453"/>
      <c r="AH119" s="417"/>
      <c r="AI119" s="417"/>
      <c r="AJ119" s="417"/>
      <c r="AK119" s="417"/>
      <c r="AL119" s="417"/>
      <c r="AM119" s="417"/>
      <c r="AN119" s="417"/>
      <c r="AO119" s="417"/>
      <c r="AP119" s="453"/>
      <c r="AQ119" s="417"/>
      <c r="AR119" s="417"/>
      <c r="AS119" s="417"/>
      <c r="AT119" s="417"/>
      <c r="AU119" s="417"/>
      <c r="AV119" s="417"/>
      <c r="AW119" s="417"/>
      <c r="AX119" s="417"/>
      <c r="AY119" s="453"/>
      <c r="AZ119" s="417"/>
      <c r="BA119" s="417"/>
      <c r="BB119" s="417"/>
      <c r="BC119" s="417"/>
      <c r="BD119" s="417"/>
      <c r="BE119" s="417"/>
      <c r="BF119" s="417"/>
      <c r="BG119" s="453"/>
      <c r="BL119" s="415"/>
      <c r="BR119" s="2588"/>
      <c r="BS119" s="2588"/>
      <c r="BT119" s="2588"/>
      <c r="BU119" s="2588"/>
      <c r="BV119" s="2588"/>
      <c r="BW119" s="2588"/>
      <c r="BX119" s="2588"/>
      <c r="BY119" s="2588"/>
      <c r="BZ119" s="2588"/>
      <c r="CA119" s="2588"/>
      <c r="CB119" s="2588"/>
      <c r="CC119" s="2588"/>
      <c r="CD119" s="2588"/>
      <c r="CE119" s="2588"/>
      <c r="CK119" s="414"/>
      <c r="EH119" s="449"/>
      <c r="FA119" s="2366"/>
      <c r="FB119" s="2366"/>
      <c r="FC119" s="2366"/>
      <c r="FD119" s="2366"/>
      <c r="FE119" s="2366"/>
      <c r="FF119" s="2366"/>
      <c r="FG119" s="2366"/>
      <c r="FH119" s="2366"/>
      <c r="FI119" s="2366"/>
      <c r="FJ119" s="2366"/>
      <c r="FK119" s="2366"/>
      <c r="FL119" s="2366"/>
      <c r="FM119" s="2366"/>
      <c r="FN119" s="2366"/>
    </row>
    <row r="120" spans="8:170" ht="6.6" customHeight="1">
      <c r="J120" s="414"/>
      <c r="BL120" s="415"/>
      <c r="BR120" s="2588"/>
      <c r="BS120" s="2588"/>
      <c r="BT120" s="2588"/>
      <c r="BU120" s="2588"/>
      <c r="BV120" s="2588"/>
      <c r="BW120" s="2588"/>
      <c r="BX120" s="2588"/>
      <c r="BY120" s="2588"/>
      <c r="BZ120" s="2588"/>
      <c r="CA120" s="2588"/>
      <c r="CB120" s="2588"/>
      <c r="CC120" s="2588"/>
      <c r="CD120" s="2588"/>
      <c r="CE120" s="2588"/>
      <c r="CK120" s="414"/>
      <c r="FA120" s="2366"/>
      <c r="FB120" s="2366"/>
      <c r="FC120" s="2366"/>
      <c r="FD120" s="2366"/>
      <c r="FE120" s="2366"/>
      <c r="FF120" s="2366"/>
      <c r="FG120" s="2366"/>
      <c r="FH120" s="2366"/>
      <c r="FI120" s="2366"/>
      <c r="FJ120" s="2366"/>
      <c r="FK120" s="2366"/>
      <c r="FL120" s="2366"/>
      <c r="FM120" s="2366"/>
      <c r="FN120" s="2366"/>
    </row>
    <row r="121" spans="8:170" ht="6.6" customHeight="1">
      <c r="J121" s="414"/>
      <c r="BL121" s="415"/>
      <c r="BR121" s="2589"/>
      <c r="BS121" s="2589"/>
      <c r="BT121" s="2589"/>
      <c r="BU121" s="2589"/>
      <c r="BV121" s="2589"/>
      <c r="BW121" s="2589"/>
      <c r="BX121" s="2589"/>
      <c r="BY121" s="2589"/>
      <c r="BZ121" s="2589"/>
      <c r="CA121" s="2589"/>
      <c r="CB121" s="2589"/>
      <c r="CC121" s="2589"/>
      <c r="CD121" s="2589"/>
      <c r="CE121" s="2589"/>
      <c r="CK121" s="414"/>
      <c r="FA121" s="2366"/>
      <c r="FB121" s="2366"/>
      <c r="FC121" s="2366"/>
      <c r="FD121" s="2366"/>
      <c r="FE121" s="2366"/>
      <c r="FF121" s="2366"/>
      <c r="FG121" s="2366"/>
      <c r="FH121" s="2366"/>
      <c r="FI121" s="2366"/>
      <c r="FJ121" s="2366"/>
      <c r="FK121" s="2366"/>
      <c r="FL121" s="2366"/>
      <c r="FM121" s="2366"/>
      <c r="FN121" s="2366"/>
    </row>
    <row r="122" spans="8:170" ht="6.6" customHeight="1">
      <c r="H122" s="411"/>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12"/>
      <c r="AF122" s="412"/>
      <c r="AG122" s="412"/>
      <c r="AH122" s="412"/>
      <c r="AI122" s="412"/>
      <c r="AJ122" s="412"/>
      <c r="AK122" s="412"/>
      <c r="AL122" s="412"/>
      <c r="AM122" s="412"/>
      <c r="AN122" s="412"/>
      <c r="AO122" s="412"/>
      <c r="AP122" s="412"/>
      <c r="AQ122" s="412"/>
      <c r="AR122" s="412"/>
      <c r="AS122" s="412"/>
      <c r="AT122" s="412"/>
      <c r="AU122" s="412"/>
      <c r="AV122" s="412"/>
      <c r="AW122" s="412"/>
      <c r="AX122" s="412"/>
      <c r="AY122" s="412"/>
      <c r="AZ122" s="412"/>
      <c r="BA122" s="412"/>
      <c r="BB122" s="412"/>
      <c r="BC122" s="412"/>
      <c r="BD122" s="412"/>
      <c r="BE122" s="412"/>
      <c r="BF122" s="412"/>
      <c r="BG122" s="412"/>
      <c r="BH122" s="412"/>
      <c r="BI122" s="412"/>
      <c r="BJ122" s="412"/>
      <c r="BK122" s="412"/>
      <c r="BL122" s="412"/>
      <c r="BM122" s="412"/>
      <c r="BN122" s="413"/>
      <c r="BR122" s="2587">
        <v>0.1</v>
      </c>
      <c r="BS122" s="2587"/>
      <c r="BT122" s="2587"/>
      <c r="BU122" s="2587"/>
      <c r="BV122" s="2587"/>
      <c r="BW122" s="2587"/>
      <c r="BX122" s="2587"/>
      <c r="BY122" s="2587"/>
      <c r="BZ122" s="2587"/>
      <c r="CA122" s="2587"/>
      <c r="CB122" s="2587"/>
      <c r="CC122" s="2587"/>
      <c r="CD122" s="2587"/>
      <c r="CE122" s="2587"/>
      <c r="CK122" s="414"/>
      <c r="FA122" s="449"/>
      <c r="FB122" s="449"/>
      <c r="FC122" s="449"/>
      <c r="FD122" s="449"/>
      <c r="FE122" s="449"/>
      <c r="FF122" s="449"/>
      <c r="FG122" s="449"/>
      <c r="FH122" s="449"/>
      <c r="FI122" s="449"/>
      <c r="FJ122" s="449"/>
      <c r="FK122" s="449"/>
      <c r="FL122" s="449"/>
      <c r="FM122" s="449"/>
      <c r="FN122" s="449"/>
    </row>
    <row r="123" spans="8:170" ht="6.6" customHeight="1">
      <c r="H123" s="414"/>
      <c r="BN123" s="415"/>
      <c r="BR123" s="2588"/>
      <c r="BS123" s="2588"/>
      <c r="BT123" s="2588"/>
      <c r="BU123" s="2588"/>
      <c r="BV123" s="2588"/>
      <c r="BW123" s="2588"/>
      <c r="BX123" s="2588"/>
      <c r="BY123" s="2588"/>
      <c r="BZ123" s="2588"/>
      <c r="CA123" s="2588"/>
      <c r="CB123" s="2588"/>
      <c r="CC123" s="2588"/>
      <c r="CD123" s="2588"/>
      <c r="CE123" s="2588"/>
      <c r="CK123" s="414"/>
      <c r="FA123" s="449"/>
      <c r="FB123" s="449"/>
      <c r="FC123" s="449"/>
      <c r="FD123" s="449"/>
      <c r="FE123" s="449"/>
      <c r="FF123" s="449"/>
      <c r="FG123" s="449"/>
      <c r="FH123" s="449"/>
      <c r="FI123" s="449"/>
      <c r="FJ123" s="449"/>
      <c r="FK123" s="449"/>
      <c r="FL123" s="449"/>
      <c r="FM123" s="449"/>
      <c r="FN123" s="449"/>
    </row>
    <row r="124" spans="8:170" ht="6.6" customHeight="1">
      <c r="H124" s="414"/>
      <c r="BN124" s="415"/>
      <c r="BR124" s="2588"/>
      <c r="BS124" s="2588"/>
      <c r="BT124" s="2588"/>
      <c r="BU124" s="2588"/>
      <c r="BV124" s="2588"/>
      <c r="BW124" s="2588"/>
      <c r="BX124" s="2588"/>
      <c r="BY124" s="2588"/>
      <c r="BZ124" s="2588"/>
      <c r="CA124" s="2588"/>
      <c r="CB124" s="2588"/>
      <c r="CC124" s="2588"/>
      <c r="CD124" s="2588"/>
      <c r="CE124" s="2588"/>
      <c r="CK124" s="414"/>
      <c r="FA124" s="449"/>
      <c r="FB124" s="449"/>
      <c r="FC124" s="449"/>
      <c r="FD124" s="449"/>
      <c r="FE124" s="449"/>
      <c r="FF124" s="449"/>
      <c r="FG124" s="449"/>
      <c r="FH124" s="449"/>
      <c r="FI124" s="449"/>
      <c r="FJ124" s="449"/>
      <c r="FK124" s="449"/>
      <c r="FL124" s="449"/>
      <c r="FM124" s="449"/>
      <c r="FN124" s="449"/>
    </row>
    <row r="125" spans="8:170" ht="6.6" customHeight="1">
      <c r="H125" s="416"/>
      <c r="I125" s="417"/>
      <c r="J125" s="417"/>
      <c r="K125" s="417"/>
      <c r="L125" s="417"/>
      <c r="M125" s="417"/>
      <c r="N125" s="417"/>
      <c r="O125" s="417"/>
      <c r="P125" s="417"/>
      <c r="Q125" s="417"/>
      <c r="R125" s="417"/>
      <c r="S125" s="417"/>
      <c r="T125" s="417"/>
      <c r="U125" s="417"/>
      <c r="V125" s="417"/>
      <c r="W125" s="417"/>
      <c r="X125" s="417"/>
      <c r="Y125" s="417"/>
      <c r="Z125" s="417"/>
      <c r="AA125" s="417"/>
      <c r="AB125" s="417"/>
      <c r="AC125" s="417"/>
      <c r="AD125" s="417"/>
      <c r="AE125" s="417"/>
      <c r="AF125" s="417"/>
      <c r="AG125" s="417"/>
      <c r="AH125" s="417"/>
      <c r="AI125" s="417"/>
      <c r="AJ125" s="417"/>
      <c r="AK125" s="417"/>
      <c r="AL125" s="417"/>
      <c r="AM125" s="417"/>
      <c r="AN125" s="417"/>
      <c r="AO125" s="417"/>
      <c r="AP125" s="417"/>
      <c r="AQ125" s="417"/>
      <c r="AR125" s="417"/>
      <c r="AS125" s="417"/>
      <c r="AT125" s="417"/>
      <c r="AU125" s="417"/>
      <c r="AV125" s="417"/>
      <c r="AW125" s="417"/>
      <c r="AX125" s="417"/>
      <c r="AY125" s="417"/>
      <c r="AZ125" s="417"/>
      <c r="BA125" s="417"/>
      <c r="BB125" s="417"/>
      <c r="BC125" s="417"/>
      <c r="BD125" s="417"/>
      <c r="BE125" s="417"/>
      <c r="BF125" s="417"/>
      <c r="BG125" s="417"/>
      <c r="BH125" s="417"/>
      <c r="BI125" s="417"/>
      <c r="BJ125" s="417"/>
      <c r="BK125" s="417"/>
      <c r="BL125" s="417"/>
      <c r="BM125" s="417"/>
      <c r="BN125" s="418"/>
      <c r="BR125" s="2589"/>
      <c r="BS125" s="2589"/>
      <c r="BT125" s="2589"/>
      <c r="BU125" s="2589"/>
      <c r="BV125" s="2589"/>
      <c r="BW125" s="2589"/>
      <c r="BX125" s="2589"/>
      <c r="BY125" s="2589"/>
      <c r="BZ125" s="2589"/>
      <c r="CA125" s="2589"/>
      <c r="CB125" s="2589"/>
      <c r="CC125" s="2589"/>
      <c r="CD125" s="2589"/>
      <c r="CE125" s="2589"/>
      <c r="CK125" s="414"/>
      <c r="FA125" s="449"/>
      <c r="FB125" s="449"/>
      <c r="FC125" s="449"/>
      <c r="FD125" s="449"/>
      <c r="FE125" s="449"/>
      <c r="FF125" s="449"/>
      <c r="FG125" s="449"/>
      <c r="FH125" s="449"/>
      <c r="FI125" s="449"/>
      <c r="FJ125" s="449"/>
      <c r="FK125" s="449"/>
      <c r="FL125" s="449"/>
      <c r="FM125" s="449"/>
      <c r="FN125" s="449"/>
    </row>
    <row r="126" spans="8:170" ht="6.6" customHeight="1">
      <c r="H126" s="411"/>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c r="AJ126" s="412"/>
      <c r="AK126" s="412"/>
      <c r="AL126" s="412"/>
      <c r="AM126" s="412"/>
      <c r="AN126" s="412"/>
      <c r="AO126" s="412"/>
      <c r="AP126" s="412"/>
      <c r="AQ126" s="412"/>
      <c r="AR126" s="412"/>
      <c r="AS126" s="412"/>
      <c r="AT126" s="412"/>
      <c r="AU126" s="412"/>
      <c r="AV126" s="412"/>
      <c r="AW126" s="412"/>
      <c r="AX126" s="412"/>
      <c r="AY126" s="412"/>
      <c r="AZ126" s="412"/>
      <c r="BA126" s="412"/>
      <c r="BB126" s="412"/>
      <c r="BC126" s="412"/>
      <c r="BD126" s="412"/>
      <c r="BE126" s="412"/>
      <c r="BF126" s="412"/>
      <c r="BG126" s="412"/>
      <c r="BH126" s="412"/>
      <c r="BI126" s="412"/>
      <c r="BJ126" s="412"/>
      <c r="BK126" s="412"/>
      <c r="BL126" s="412"/>
      <c r="BM126" s="412"/>
      <c r="BN126" s="413"/>
      <c r="BR126" s="2587">
        <v>0.15</v>
      </c>
      <c r="BS126" s="2587"/>
      <c r="BT126" s="2587"/>
      <c r="BU126" s="2587"/>
      <c r="BV126" s="2587"/>
      <c r="BW126" s="2587"/>
      <c r="BX126" s="2587"/>
      <c r="BY126" s="2587"/>
      <c r="BZ126" s="2587"/>
      <c r="CA126" s="2587"/>
      <c r="CB126" s="2587"/>
      <c r="CC126" s="2587"/>
      <c r="CD126" s="2587"/>
      <c r="CE126" s="2587"/>
      <c r="CK126" s="414"/>
      <c r="FA126" s="449"/>
      <c r="FB126" s="449"/>
      <c r="FC126" s="449"/>
      <c r="FD126" s="449"/>
      <c r="FE126" s="449"/>
      <c r="FF126" s="449"/>
      <c r="FG126" s="449"/>
      <c r="FH126" s="449"/>
      <c r="FI126" s="449"/>
      <c r="FJ126" s="449"/>
      <c r="FK126" s="449"/>
      <c r="FL126" s="449"/>
      <c r="FM126" s="449"/>
      <c r="FN126" s="449"/>
    </row>
    <row r="127" spans="8:170" ht="6.6" customHeight="1">
      <c r="H127" s="414"/>
      <c r="BN127" s="415"/>
      <c r="BR127" s="2588"/>
      <c r="BS127" s="2588"/>
      <c r="BT127" s="2588"/>
      <c r="BU127" s="2588"/>
      <c r="BV127" s="2588"/>
      <c r="BW127" s="2588"/>
      <c r="BX127" s="2588"/>
      <c r="BY127" s="2588"/>
      <c r="BZ127" s="2588"/>
      <c r="CA127" s="2588"/>
      <c r="CB127" s="2588"/>
      <c r="CC127" s="2588"/>
      <c r="CD127" s="2588"/>
      <c r="CE127" s="2588"/>
      <c r="CK127" s="414"/>
      <c r="FA127" s="449"/>
      <c r="FB127" s="449"/>
      <c r="FC127" s="449"/>
      <c r="FD127" s="449"/>
      <c r="FE127" s="449"/>
      <c r="FF127" s="449"/>
      <c r="FG127" s="449"/>
      <c r="FH127" s="449"/>
      <c r="FI127" s="449"/>
      <c r="FJ127" s="449"/>
      <c r="FK127" s="449"/>
      <c r="FL127" s="449"/>
      <c r="FM127" s="449"/>
      <c r="FN127" s="449"/>
    </row>
    <row r="128" spans="8:170" ht="6.6" customHeight="1">
      <c r="H128" s="414"/>
      <c r="BN128" s="415"/>
      <c r="BR128" s="2588"/>
      <c r="BS128" s="2588"/>
      <c r="BT128" s="2588"/>
      <c r="BU128" s="2588"/>
      <c r="BV128" s="2588"/>
      <c r="BW128" s="2588"/>
      <c r="BX128" s="2588"/>
      <c r="BY128" s="2588"/>
      <c r="BZ128" s="2588"/>
      <c r="CA128" s="2588"/>
      <c r="CB128" s="2588"/>
      <c r="CC128" s="2588"/>
      <c r="CD128" s="2588"/>
      <c r="CE128" s="2588"/>
      <c r="CK128" s="414"/>
      <c r="FA128" s="449"/>
      <c r="FB128" s="449"/>
      <c r="FC128" s="449"/>
      <c r="FD128" s="449"/>
      <c r="FE128" s="449"/>
      <c r="FF128" s="449"/>
      <c r="FG128" s="449"/>
      <c r="FH128" s="449"/>
      <c r="FI128" s="449"/>
      <c r="FJ128" s="449"/>
      <c r="FK128" s="449"/>
      <c r="FL128" s="449"/>
      <c r="FM128" s="449"/>
      <c r="FN128" s="449"/>
    </row>
    <row r="129" spans="8:170" ht="6.6" customHeight="1">
      <c r="H129" s="416"/>
      <c r="I129" s="417"/>
      <c r="J129" s="417"/>
      <c r="K129" s="417"/>
      <c r="L129" s="417"/>
      <c r="M129" s="417"/>
      <c r="N129" s="417"/>
      <c r="O129" s="417"/>
      <c r="P129" s="417"/>
      <c r="Q129" s="417"/>
      <c r="R129" s="417"/>
      <c r="S129" s="417"/>
      <c r="T129" s="417"/>
      <c r="U129" s="417"/>
      <c r="V129" s="417"/>
      <c r="W129" s="417"/>
      <c r="X129" s="417"/>
      <c r="Y129" s="417"/>
      <c r="Z129" s="417"/>
      <c r="AA129" s="417"/>
      <c r="AB129" s="417"/>
      <c r="AC129" s="417"/>
      <c r="AD129" s="417"/>
      <c r="AE129" s="417"/>
      <c r="AF129" s="417"/>
      <c r="AG129" s="417"/>
      <c r="AH129" s="417"/>
      <c r="AI129" s="417"/>
      <c r="AJ129" s="417"/>
      <c r="AK129" s="417"/>
      <c r="AL129" s="417"/>
      <c r="AM129" s="417"/>
      <c r="AN129" s="417"/>
      <c r="AO129" s="417"/>
      <c r="AP129" s="417"/>
      <c r="AQ129" s="417"/>
      <c r="AR129" s="417"/>
      <c r="AS129" s="417"/>
      <c r="AT129" s="417"/>
      <c r="AU129" s="417"/>
      <c r="AV129" s="417"/>
      <c r="AW129" s="417"/>
      <c r="AX129" s="417"/>
      <c r="AY129" s="417"/>
      <c r="AZ129" s="417"/>
      <c r="BA129" s="417"/>
      <c r="BB129" s="417"/>
      <c r="BC129" s="417"/>
      <c r="BD129" s="417"/>
      <c r="BE129" s="417"/>
      <c r="BF129" s="417"/>
      <c r="BG129" s="417"/>
      <c r="BH129" s="417"/>
      <c r="BI129" s="417"/>
      <c r="BJ129" s="417"/>
      <c r="BK129" s="417"/>
      <c r="BL129" s="417"/>
      <c r="BM129" s="417"/>
      <c r="BN129" s="418"/>
      <c r="BR129" s="2589"/>
      <c r="BS129" s="2589"/>
      <c r="BT129" s="2589"/>
      <c r="BU129" s="2589"/>
      <c r="BV129" s="2589"/>
      <c r="BW129" s="2589"/>
      <c r="BX129" s="2589"/>
      <c r="BY129" s="2589"/>
      <c r="BZ129" s="2589"/>
      <c r="CA129" s="2589"/>
      <c r="CB129" s="2589"/>
      <c r="CC129" s="2589"/>
      <c r="CD129" s="2589"/>
      <c r="CE129" s="2589"/>
      <c r="CG129" s="417"/>
      <c r="CH129" s="417"/>
      <c r="CI129" s="417"/>
      <c r="CJ129" s="417"/>
      <c r="CK129" s="416"/>
      <c r="CL129" s="417"/>
      <c r="CM129" s="417"/>
      <c r="CN129" s="417"/>
      <c r="CO129" s="417"/>
      <c r="CP129" s="417"/>
      <c r="FA129" s="449"/>
      <c r="FB129" s="449"/>
      <c r="FC129" s="449"/>
      <c r="FD129" s="449"/>
      <c r="FE129" s="449"/>
      <c r="FF129" s="449"/>
      <c r="FG129" s="449"/>
      <c r="FH129" s="449"/>
      <c r="FI129" s="449"/>
      <c r="FJ129" s="449"/>
      <c r="FK129" s="449"/>
      <c r="FL129" s="449"/>
      <c r="FM129" s="449"/>
      <c r="FN129" s="449"/>
    </row>
    <row r="132" spans="8:170" ht="6.6" customHeight="1">
      <c r="H132" s="414"/>
      <c r="AF132" s="2580">
        <f>AD77+0.15</f>
        <v>0.9</v>
      </c>
      <c r="AG132" s="2580"/>
      <c r="AH132" s="2580"/>
      <c r="AI132" s="2580"/>
      <c r="AJ132" s="2580"/>
      <c r="AK132" s="2580"/>
      <c r="AL132" s="2580"/>
      <c r="AM132" s="2580"/>
      <c r="AN132" s="2580"/>
      <c r="AO132" s="2580"/>
      <c r="AP132" s="2580"/>
      <c r="AQ132" s="2580"/>
      <c r="AR132" s="2580"/>
      <c r="BN132" s="415"/>
    </row>
    <row r="133" spans="8:170" ht="6.6" customHeight="1">
      <c r="H133" s="416"/>
      <c r="I133" s="417"/>
      <c r="J133" s="417"/>
      <c r="K133" s="417"/>
      <c r="L133" s="417"/>
      <c r="M133" s="417"/>
      <c r="N133" s="417"/>
      <c r="O133" s="417"/>
      <c r="P133" s="417"/>
      <c r="Q133" s="417"/>
      <c r="R133" s="417"/>
      <c r="S133" s="417"/>
      <c r="T133" s="417"/>
      <c r="U133" s="417"/>
      <c r="V133" s="417"/>
      <c r="W133" s="417"/>
      <c r="X133" s="417"/>
      <c r="Y133" s="417"/>
      <c r="Z133" s="417"/>
      <c r="AA133" s="417"/>
      <c r="AB133" s="417"/>
      <c r="AC133" s="417"/>
      <c r="AD133" s="417"/>
      <c r="AE133" s="417"/>
      <c r="AF133" s="2580"/>
      <c r="AG133" s="2580"/>
      <c r="AH133" s="2580"/>
      <c r="AI133" s="2580"/>
      <c r="AJ133" s="2580"/>
      <c r="AK133" s="2580"/>
      <c r="AL133" s="2580"/>
      <c r="AM133" s="2580"/>
      <c r="AN133" s="2580"/>
      <c r="AO133" s="2580"/>
      <c r="AP133" s="2580"/>
      <c r="AQ133" s="2580"/>
      <c r="AR133" s="2580"/>
      <c r="AS133" s="417"/>
      <c r="AT133" s="417"/>
      <c r="AU133" s="417"/>
      <c r="AV133" s="417"/>
      <c r="AW133" s="417"/>
      <c r="AX133" s="417"/>
      <c r="AY133" s="417"/>
      <c r="AZ133" s="417"/>
      <c r="BA133" s="417"/>
      <c r="BB133" s="417"/>
      <c r="BC133" s="417"/>
      <c r="BD133" s="417"/>
      <c r="BE133" s="417"/>
      <c r="BF133" s="417"/>
      <c r="BG133" s="417"/>
      <c r="BH133" s="417"/>
      <c r="BI133" s="417"/>
      <c r="BJ133" s="417"/>
      <c r="BK133" s="417"/>
      <c r="BL133" s="417"/>
      <c r="BM133" s="417"/>
      <c r="BN133" s="418"/>
    </row>
    <row r="134" spans="8:170" ht="6.6" customHeight="1">
      <c r="H134" s="414"/>
      <c r="AF134" s="2580"/>
      <c r="AG134" s="2580"/>
      <c r="AH134" s="2580"/>
      <c r="AI134" s="2580"/>
      <c r="AJ134" s="2580"/>
      <c r="AK134" s="2580"/>
      <c r="AL134" s="2580"/>
      <c r="AM134" s="2580"/>
      <c r="AN134" s="2580"/>
      <c r="AO134" s="2580"/>
      <c r="AP134" s="2580"/>
      <c r="AQ134" s="2580"/>
      <c r="AR134" s="2580"/>
      <c r="BN134" s="415"/>
    </row>
    <row r="135" spans="8:170" ht="6.6" customHeight="1">
      <c r="H135" s="414"/>
      <c r="AF135" s="2580"/>
      <c r="AG135" s="2580"/>
      <c r="AH135" s="2580"/>
      <c r="AI135" s="2580"/>
      <c r="AJ135" s="2580"/>
      <c r="AK135" s="2580"/>
      <c r="AL135" s="2580"/>
      <c r="AM135" s="2580"/>
      <c r="AN135" s="2580"/>
      <c r="AO135" s="2580"/>
      <c r="AP135" s="2580"/>
      <c r="AQ135" s="2580"/>
      <c r="AR135" s="2580"/>
      <c r="BN135" s="415"/>
    </row>
    <row r="138" spans="8:170" ht="6.6" customHeight="1">
      <c r="J138" s="2579" t="s">
        <v>3410</v>
      </c>
      <c r="K138" s="2579"/>
      <c r="L138" s="2579"/>
      <c r="M138" s="2579"/>
      <c r="N138" s="2579"/>
      <c r="O138" s="2579"/>
      <c r="P138" s="2579"/>
      <c r="Q138" s="2579"/>
      <c r="R138" s="2579"/>
      <c r="S138" s="2579"/>
      <c r="T138" s="2579"/>
      <c r="U138" s="2579"/>
      <c r="V138" s="2579"/>
      <c r="W138" s="2579"/>
      <c r="X138" s="2579"/>
      <c r="Y138" s="2579"/>
      <c r="Z138" s="2579"/>
      <c r="AA138" s="2579"/>
      <c r="AB138" s="2579"/>
      <c r="AC138" s="2579"/>
      <c r="AD138" s="2579"/>
      <c r="AE138" s="2579"/>
      <c r="AF138" s="2579"/>
      <c r="AG138" s="2579"/>
      <c r="AH138" s="2579"/>
      <c r="AI138" s="2579"/>
      <c r="AJ138" s="2579"/>
      <c r="AK138" s="2579"/>
      <c r="AL138" s="2579"/>
      <c r="AM138" s="2579"/>
      <c r="AN138" s="2579"/>
      <c r="AO138" s="2579"/>
      <c r="AP138" s="2579"/>
      <c r="AQ138" s="2579"/>
      <c r="AR138" s="2579"/>
      <c r="AS138" s="2579"/>
      <c r="AT138" s="2579"/>
      <c r="AU138" s="2579"/>
      <c r="AV138" s="2579"/>
      <c r="AW138" s="2579"/>
      <c r="AX138" s="2579"/>
      <c r="AY138" s="2579"/>
      <c r="AZ138" s="2579"/>
      <c r="BA138" s="2579"/>
      <c r="BB138" s="2579"/>
      <c r="BC138" s="2579"/>
      <c r="BD138" s="2579"/>
      <c r="BE138" s="2579"/>
      <c r="BF138" s="2579"/>
      <c r="BG138" s="2579"/>
      <c r="BH138" s="2579"/>
      <c r="BI138" s="2579"/>
      <c r="BJ138" s="2579"/>
      <c r="BK138" s="2579"/>
      <c r="BL138" s="2579"/>
    </row>
    <row r="139" spans="8:170" ht="6.6" customHeight="1">
      <c r="J139" s="2579"/>
      <c r="K139" s="2579"/>
      <c r="L139" s="2579"/>
      <c r="M139" s="2579"/>
      <c r="N139" s="2579"/>
      <c r="O139" s="2579"/>
      <c r="P139" s="2579"/>
      <c r="Q139" s="2579"/>
      <c r="R139" s="2579"/>
      <c r="S139" s="2579"/>
      <c r="T139" s="2579"/>
      <c r="U139" s="2579"/>
      <c r="V139" s="2579"/>
      <c r="W139" s="2579"/>
      <c r="X139" s="2579"/>
      <c r="Y139" s="2579"/>
      <c r="Z139" s="2579"/>
      <c r="AA139" s="2579"/>
      <c r="AB139" s="2579"/>
      <c r="AC139" s="2579"/>
      <c r="AD139" s="2579"/>
      <c r="AE139" s="2579"/>
      <c r="AF139" s="2579"/>
      <c r="AG139" s="2579"/>
      <c r="AH139" s="2579"/>
      <c r="AI139" s="2579"/>
      <c r="AJ139" s="2579"/>
      <c r="AK139" s="2579"/>
      <c r="AL139" s="2579"/>
      <c r="AM139" s="2579"/>
      <c r="AN139" s="2579"/>
      <c r="AO139" s="2579"/>
      <c r="AP139" s="2579"/>
      <c r="AQ139" s="2579"/>
      <c r="AR139" s="2579"/>
      <c r="AS139" s="2579"/>
      <c r="AT139" s="2579"/>
      <c r="AU139" s="2579"/>
      <c r="AV139" s="2579"/>
      <c r="AW139" s="2579"/>
      <c r="AX139" s="2579"/>
      <c r="AY139" s="2579"/>
      <c r="AZ139" s="2579"/>
      <c r="BA139" s="2579"/>
      <c r="BB139" s="2579"/>
      <c r="BC139" s="2579"/>
      <c r="BD139" s="2579"/>
      <c r="BE139" s="2579"/>
      <c r="BF139" s="2579"/>
      <c r="BG139" s="2579"/>
      <c r="BH139" s="2579"/>
      <c r="BI139" s="2579"/>
      <c r="BJ139" s="2579"/>
      <c r="BK139" s="2579"/>
      <c r="BL139" s="2579"/>
    </row>
    <row r="140" spans="8:170" ht="6.6" customHeight="1">
      <c r="J140" s="2579"/>
      <c r="K140" s="2579"/>
      <c r="L140" s="2579"/>
      <c r="M140" s="2579"/>
      <c r="N140" s="2579"/>
      <c r="O140" s="2579"/>
      <c r="P140" s="2579"/>
      <c r="Q140" s="2579"/>
      <c r="R140" s="2579"/>
      <c r="S140" s="2579"/>
      <c r="T140" s="2579"/>
      <c r="U140" s="2579"/>
      <c r="V140" s="2579"/>
      <c r="W140" s="2579"/>
      <c r="X140" s="2579"/>
      <c r="Y140" s="2579"/>
      <c r="Z140" s="2579"/>
      <c r="AA140" s="2579"/>
      <c r="AB140" s="2579"/>
      <c r="AC140" s="2579"/>
      <c r="AD140" s="2579"/>
      <c r="AE140" s="2579"/>
      <c r="AF140" s="2579"/>
      <c r="AG140" s="2579"/>
      <c r="AH140" s="2579"/>
      <c r="AI140" s="2579"/>
      <c r="AJ140" s="2579"/>
      <c r="AK140" s="2579"/>
      <c r="AL140" s="2579"/>
      <c r="AM140" s="2579"/>
      <c r="AN140" s="2579"/>
      <c r="AO140" s="2579"/>
      <c r="AP140" s="2579"/>
      <c r="AQ140" s="2579"/>
      <c r="AR140" s="2579"/>
      <c r="AS140" s="2579"/>
      <c r="AT140" s="2579"/>
      <c r="AU140" s="2579"/>
      <c r="AV140" s="2579"/>
      <c r="AW140" s="2579"/>
      <c r="AX140" s="2579"/>
      <c r="AY140" s="2579"/>
      <c r="AZ140" s="2579"/>
      <c r="BA140" s="2579"/>
      <c r="BB140" s="2579"/>
      <c r="BC140" s="2579"/>
      <c r="BD140" s="2579"/>
      <c r="BE140" s="2579"/>
      <c r="BF140" s="2579"/>
      <c r="BG140" s="2579"/>
      <c r="BH140" s="2579"/>
      <c r="BI140" s="2579"/>
      <c r="BJ140" s="2579"/>
      <c r="BK140" s="2579"/>
      <c r="BL140" s="2579"/>
    </row>
    <row r="141" spans="8:170" ht="6.6" customHeight="1">
      <c r="J141" s="2579"/>
      <c r="K141" s="2579"/>
      <c r="L141" s="2579"/>
      <c r="M141" s="2579"/>
      <c r="N141" s="2579"/>
      <c r="O141" s="2579"/>
      <c r="P141" s="2579"/>
      <c r="Q141" s="2579"/>
      <c r="R141" s="2579"/>
      <c r="S141" s="2579"/>
      <c r="T141" s="2579"/>
      <c r="U141" s="2579"/>
      <c r="V141" s="2579"/>
      <c r="W141" s="2579"/>
      <c r="X141" s="2579"/>
      <c r="Y141" s="2579"/>
      <c r="Z141" s="2579"/>
      <c r="AA141" s="2579"/>
      <c r="AB141" s="2579"/>
      <c r="AC141" s="2579"/>
      <c r="AD141" s="2579"/>
      <c r="AE141" s="2579"/>
      <c r="AF141" s="2579"/>
      <c r="AG141" s="2579"/>
      <c r="AH141" s="2579"/>
      <c r="AI141" s="2579"/>
      <c r="AJ141" s="2579"/>
      <c r="AK141" s="2579"/>
      <c r="AL141" s="2579"/>
      <c r="AM141" s="2579"/>
      <c r="AN141" s="2579"/>
      <c r="AO141" s="2579"/>
      <c r="AP141" s="2579"/>
      <c r="AQ141" s="2579"/>
      <c r="AR141" s="2579"/>
      <c r="AS141" s="2579"/>
      <c r="AT141" s="2579"/>
      <c r="AU141" s="2579"/>
      <c r="AV141" s="2579"/>
      <c r="AW141" s="2579"/>
      <c r="AX141" s="2579"/>
      <c r="AY141" s="2579"/>
      <c r="AZ141" s="2579"/>
      <c r="BA141" s="2579"/>
      <c r="BB141" s="2579"/>
      <c r="BC141" s="2579"/>
      <c r="BD141" s="2579"/>
      <c r="BE141" s="2579"/>
      <c r="BF141" s="2579"/>
      <c r="BG141" s="2579"/>
      <c r="BH141" s="2579"/>
      <c r="BI141" s="2579"/>
      <c r="BJ141" s="2579"/>
      <c r="BK141" s="2579"/>
      <c r="BL141" s="2579"/>
    </row>
  </sheetData>
  <mergeCells count="22">
    <mergeCell ref="CF106:CP109"/>
    <mergeCell ref="J138:BL141"/>
    <mergeCell ref="BR122:CE125"/>
    <mergeCell ref="BR126:CE129"/>
    <mergeCell ref="AF132:AR135"/>
    <mergeCell ref="J84:S87"/>
    <mergeCell ref="AD84:AP87"/>
    <mergeCell ref="BC84:BL87"/>
    <mergeCell ref="BR117:CE121"/>
    <mergeCell ref="AD77:AP80"/>
    <mergeCell ref="BR102:CE105"/>
    <mergeCell ref="CF34:CP37"/>
    <mergeCell ref="BR45:CE49"/>
    <mergeCell ref="BR54:CE57"/>
    <mergeCell ref="AA60:AM63"/>
    <mergeCell ref="J66:BL69"/>
    <mergeCell ref="AD10:AP13"/>
    <mergeCell ref="J14:S15"/>
    <mergeCell ref="AD14:AP15"/>
    <mergeCell ref="BC14:BL15"/>
    <mergeCell ref="BR50:CE53"/>
    <mergeCell ref="BR30:CE33"/>
  </mergeCells>
  <pageMargins left="0.70866141732283472" right="0.70866141732283472" top="0.35433070866141736" bottom="0.35433070866141736" header="0.31496062992125984" footer="0.31496062992125984"/>
  <pageSetup paperSize="9" scale="85" orientation="landscape" r:id="rId1"/>
</worksheet>
</file>

<file path=xl/worksheets/sheet7.xml><?xml version="1.0" encoding="utf-8"?>
<worksheet xmlns="http://schemas.openxmlformats.org/spreadsheetml/2006/main" xmlns:r="http://schemas.openxmlformats.org/officeDocument/2006/relationships">
  <sheetPr>
    <tabColor rgb="FF00B050"/>
  </sheetPr>
  <dimension ref="D3:LD363"/>
  <sheetViews>
    <sheetView view="pageBreakPreview" topLeftCell="A73" zoomScale="59" zoomScaleSheetLayoutView="59" workbookViewId="0">
      <selection activeCell="F7" sqref="F7"/>
    </sheetView>
  </sheetViews>
  <sheetFormatPr defaultColWidth="0.7109375" defaultRowHeight="4.1500000000000004" customHeight="1"/>
  <cols>
    <col min="1" max="16384" width="0.7109375" style="494"/>
  </cols>
  <sheetData>
    <row r="3" spans="29:288" ht="4.1500000000000004" customHeight="1">
      <c r="IF3" s="508"/>
      <c r="IG3" s="509"/>
      <c r="IH3" s="509"/>
      <c r="II3" s="509"/>
      <c r="IJ3" s="509"/>
      <c r="IK3" s="509"/>
      <c r="IL3" s="509"/>
      <c r="IM3" s="509"/>
      <c r="IN3" s="509"/>
      <c r="IO3" s="509"/>
      <c r="IP3" s="509"/>
      <c r="IQ3" s="509"/>
      <c r="IR3" s="509"/>
      <c r="IS3" s="509"/>
      <c r="IT3" s="509"/>
      <c r="IU3" s="509"/>
      <c r="IV3" s="509"/>
      <c r="IW3" s="509"/>
      <c r="IX3" s="509"/>
      <c r="IY3" s="509"/>
      <c r="IZ3" s="509"/>
      <c r="JA3" s="509"/>
      <c r="JB3" s="509"/>
      <c r="JC3" s="509"/>
      <c r="JD3" s="509"/>
      <c r="JE3" s="509"/>
      <c r="JF3" s="509"/>
      <c r="JG3" s="509"/>
      <c r="JH3" s="509"/>
      <c r="JI3" s="509"/>
      <c r="JJ3" s="509"/>
      <c r="JK3" s="509"/>
      <c r="JL3" s="509"/>
      <c r="JM3" s="509"/>
      <c r="JN3" s="509"/>
      <c r="JO3" s="509"/>
      <c r="JP3" s="509"/>
      <c r="JQ3" s="510"/>
      <c r="JR3" s="509"/>
      <c r="JS3" s="509"/>
      <c r="JT3" s="509"/>
      <c r="JU3" s="509"/>
      <c r="JV3" s="509"/>
      <c r="JW3" s="509"/>
      <c r="JX3" s="509"/>
      <c r="JY3" s="509"/>
      <c r="JZ3" s="509"/>
      <c r="KA3" s="509"/>
      <c r="KB3" s="509"/>
    </row>
    <row r="4" spans="29:288" ht="4.1500000000000004" customHeight="1">
      <c r="HN4" s="514"/>
      <c r="HO4" s="514"/>
      <c r="HP4" s="514"/>
      <c r="HQ4" s="515"/>
      <c r="HR4" s="514"/>
      <c r="IF4" s="2590">
        <v>0.15</v>
      </c>
      <c r="IG4" s="2591"/>
      <c r="IH4" s="516"/>
      <c r="IL4" s="517"/>
      <c r="JO4" s="516"/>
    </row>
    <row r="5" spans="29:288" ht="4.1500000000000004" customHeight="1">
      <c r="AC5" s="511"/>
      <c r="AD5" s="512"/>
      <c r="AE5" s="512"/>
      <c r="AF5" s="512"/>
      <c r="AG5" s="512"/>
      <c r="AH5" s="512"/>
      <c r="AI5" s="512"/>
      <c r="AJ5" s="512"/>
      <c r="AK5" s="512"/>
      <c r="AL5" s="512"/>
      <c r="AM5" s="512"/>
      <c r="AN5" s="512"/>
      <c r="AO5" s="512"/>
      <c r="AP5" s="512"/>
      <c r="AQ5" s="512"/>
      <c r="AR5" s="512"/>
      <c r="AS5" s="512"/>
      <c r="AT5" s="512"/>
      <c r="AU5" s="512"/>
      <c r="AV5" s="512"/>
      <c r="AW5" s="512"/>
      <c r="AX5" s="512"/>
      <c r="AY5" s="512"/>
      <c r="AZ5" s="513"/>
      <c r="HQ5" s="516"/>
      <c r="IF5" s="2592"/>
      <c r="IG5" s="2593"/>
      <c r="IH5" s="516"/>
      <c r="IL5" s="517"/>
      <c r="JB5" s="2594">
        <v>1.1000000000000001</v>
      </c>
      <c r="JC5" s="2595"/>
      <c r="JD5" s="2595"/>
      <c r="JE5" s="2595"/>
      <c r="JO5" s="516"/>
    </row>
    <row r="6" spans="29:288" ht="4.1500000000000004" customHeight="1">
      <c r="AD6" s="516"/>
      <c r="AY6" s="517"/>
      <c r="HQ6" s="516"/>
      <c r="IF6" s="2592"/>
      <c r="IG6" s="2593"/>
      <c r="IH6" s="516"/>
      <c r="IL6" s="517"/>
      <c r="JB6" s="2595"/>
      <c r="JC6" s="2595"/>
      <c r="JD6" s="2595"/>
      <c r="JE6" s="2595"/>
      <c r="JO6" s="516"/>
    </row>
    <row r="7" spans="29:288" ht="4.1500000000000004" customHeight="1">
      <c r="AD7" s="516"/>
      <c r="AY7" s="517"/>
      <c r="HQ7" s="516"/>
      <c r="IF7" s="2592"/>
      <c r="IG7" s="2593"/>
      <c r="IH7" s="516"/>
      <c r="IL7" s="517"/>
      <c r="JB7" s="2595"/>
      <c r="JC7" s="2595"/>
      <c r="JD7" s="2595"/>
      <c r="JE7" s="2595"/>
      <c r="JO7" s="516"/>
    </row>
    <row r="8" spans="29:288" ht="4.1500000000000004" customHeight="1">
      <c r="AD8" s="516"/>
      <c r="AK8" s="515"/>
      <c r="AL8" s="514"/>
      <c r="AM8" s="514"/>
      <c r="AN8" s="514"/>
      <c r="AO8" s="514"/>
      <c r="AP8" s="514"/>
      <c r="AQ8" s="514"/>
      <c r="AR8" s="518"/>
      <c r="AY8" s="517"/>
      <c r="HQ8" s="516"/>
      <c r="IF8" s="2592"/>
      <c r="IG8" s="2593"/>
      <c r="IH8" s="516"/>
      <c r="IL8" s="517"/>
      <c r="JB8" s="2595"/>
      <c r="JC8" s="2595"/>
      <c r="JD8" s="2595"/>
      <c r="JE8" s="2595"/>
      <c r="JO8" s="516"/>
    </row>
    <row r="9" spans="29:288" ht="4.1500000000000004" customHeight="1">
      <c r="AD9" s="516"/>
      <c r="AK9" s="516"/>
      <c r="AR9" s="517"/>
      <c r="AY9" s="517"/>
      <c r="HQ9" s="516"/>
      <c r="IF9" s="2592"/>
      <c r="IG9" s="2593"/>
      <c r="IH9" s="516"/>
      <c r="IL9" s="517"/>
      <c r="JB9" s="2595"/>
      <c r="JC9" s="2595"/>
      <c r="JD9" s="2595"/>
      <c r="JE9" s="2595"/>
      <c r="JO9" s="516"/>
    </row>
    <row r="10" spans="29:288" ht="4.1500000000000004" customHeight="1">
      <c r="AD10" s="516"/>
      <c r="AK10" s="516"/>
      <c r="AR10" s="517"/>
      <c r="AY10" s="517"/>
      <c r="HQ10" s="516"/>
      <c r="IH10" s="516"/>
      <c r="IL10" s="517"/>
      <c r="JB10" s="2595"/>
      <c r="JC10" s="2595"/>
      <c r="JD10" s="2595"/>
      <c r="JE10" s="2595"/>
      <c r="JO10" s="516"/>
    </row>
    <row r="11" spans="29:288" ht="4.1500000000000004" customHeight="1">
      <c r="AD11" s="516"/>
      <c r="AK11" s="516"/>
      <c r="AR11" s="517"/>
      <c r="AY11" s="517"/>
      <c r="HQ11" s="516"/>
      <c r="IH11" s="516"/>
      <c r="IL11" s="517"/>
      <c r="JB11" s="2595"/>
      <c r="JC11" s="2595"/>
      <c r="JD11" s="2595"/>
      <c r="JE11" s="2595"/>
      <c r="JO11" s="516"/>
    </row>
    <row r="12" spans="29:288" ht="4.1500000000000004" customHeight="1">
      <c r="AD12" s="516"/>
      <c r="AK12" s="516"/>
      <c r="AR12" s="517"/>
      <c r="AY12" s="517"/>
      <c r="AZ12" s="515"/>
      <c r="BA12" s="514"/>
      <c r="BB12" s="514"/>
      <c r="BC12" s="514"/>
      <c r="BD12" s="514"/>
      <c r="BE12" s="514"/>
      <c r="BF12" s="514"/>
      <c r="BG12" s="514"/>
      <c r="BH12" s="514"/>
      <c r="BI12" s="514"/>
      <c r="BJ12" s="514"/>
      <c r="BK12" s="514"/>
      <c r="BL12" s="514"/>
      <c r="BM12" s="514"/>
      <c r="BN12" s="514"/>
      <c r="BO12" s="514"/>
      <c r="BP12" s="514"/>
      <c r="BQ12" s="514"/>
      <c r="BR12" s="514"/>
      <c r="BS12" s="514"/>
      <c r="BT12" s="514"/>
      <c r="BU12" s="514"/>
      <c r="BV12" s="514"/>
      <c r="BW12" s="514"/>
      <c r="BX12" s="514"/>
      <c r="BY12" s="514"/>
      <c r="BZ12" s="514"/>
      <c r="CA12" s="514"/>
      <c r="CB12" s="514"/>
      <c r="CC12" s="514"/>
      <c r="CD12" s="514"/>
      <c r="CE12" s="514"/>
      <c r="CF12" s="514"/>
      <c r="CG12" s="514"/>
      <c r="CH12" s="514"/>
      <c r="CI12" s="514"/>
      <c r="CJ12" s="514"/>
      <c r="CK12" s="514"/>
      <c r="CL12" s="514"/>
      <c r="CM12" s="514"/>
      <c r="CN12" s="514"/>
      <c r="CO12" s="514"/>
      <c r="CP12" s="514"/>
      <c r="CQ12" s="514"/>
      <c r="CR12" s="514"/>
      <c r="CS12" s="514"/>
      <c r="CT12" s="514"/>
      <c r="CU12" s="514"/>
      <c r="CV12" s="514"/>
      <c r="CW12" s="514"/>
      <c r="CX12" s="514"/>
      <c r="CY12" s="514"/>
      <c r="CZ12" s="514"/>
      <c r="DA12" s="514"/>
      <c r="DB12" s="514"/>
      <c r="DC12" s="514"/>
      <c r="DD12" s="514"/>
      <c r="DE12" s="514"/>
      <c r="DF12" s="514"/>
      <c r="DG12" s="514"/>
      <c r="DH12" s="514"/>
      <c r="DI12" s="514"/>
      <c r="DJ12" s="514"/>
      <c r="DK12" s="514"/>
      <c r="DL12" s="514"/>
      <c r="DM12" s="514"/>
      <c r="DN12" s="514"/>
      <c r="DO12" s="514"/>
      <c r="DP12" s="514"/>
      <c r="DQ12" s="514"/>
      <c r="DR12" s="514"/>
      <c r="DS12" s="514"/>
      <c r="DT12" s="514"/>
      <c r="DU12" s="514"/>
      <c r="DV12" s="514"/>
      <c r="DW12" s="514"/>
      <c r="DX12" s="514"/>
      <c r="DY12" s="514"/>
      <c r="DZ12" s="514"/>
      <c r="EA12" s="514"/>
      <c r="EB12" s="514"/>
      <c r="EC12" s="514"/>
      <c r="ED12" s="514"/>
      <c r="EE12" s="514"/>
      <c r="EF12" s="514"/>
      <c r="EG12" s="514"/>
      <c r="EH12" s="514"/>
      <c r="EI12" s="514"/>
      <c r="EJ12" s="514"/>
      <c r="EK12" s="514"/>
      <c r="EL12" s="514"/>
      <c r="EM12" s="514"/>
      <c r="EN12" s="514"/>
      <c r="EO12" s="514"/>
      <c r="EP12" s="514"/>
      <c r="EQ12" s="514"/>
      <c r="ER12" s="514"/>
      <c r="ES12" s="514"/>
      <c r="ET12" s="514"/>
      <c r="EU12" s="514"/>
      <c r="EV12" s="514"/>
      <c r="EW12" s="514"/>
      <c r="EX12" s="514"/>
      <c r="EY12" s="514"/>
      <c r="EZ12" s="514"/>
      <c r="FA12" s="514"/>
      <c r="FB12" s="514"/>
      <c r="FC12" s="514"/>
      <c r="FD12" s="514"/>
      <c r="FE12" s="514"/>
      <c r="FF12" s="514"/>
      <c r="FG12" s="514"/>
      <c r="FH12" s="514"/>
      <c r="FI12" s="514"/>
      <c r="FJ12" s="514"/>
      <c r="FK12" s="514"/>
      <c r="FL12" s="514"/>
      <c r="FM12" s="514"/>
      <c r="FN12" s="514"/>
      <c r="FO12" s="514"/>
      <c r="FP12" s="514"/>
      <c r="FQ12" s="514"/>
      <c r="FR12" s="514"/>
      <c r="FS12" s="514"/>
      <c r="FT12" s="514"/>
      <c r="FU12" s="514"/>
      <c r="FV12" s="514"/>
      <c r="FW12" s="514"/>
      <c r="FX12" s="514"/>
      <c r="FY12" s="514"/>
      <c r="FZ12" s="514"/>
      <c r="GA12" s="518"/>
      <c r="HQ12" s="516"/>
      <c r="IH12" s="516"/>
      <c r="IL12" s="517"/>
      <c r="JB12" s="2595"/>
      <c r="JC12" s="2595"/>
      <c r="JD12" s="2595"/>
      <c r="JE12" s="2595"/>
      <c r="JO12" s="516"/>
    </row>
    <row r="13" spans="29:288" ht="4.1500000000000004" customHeight="1">
      <c r="AD13" s="516"/>
      <c r="AK13" s="516"/>
      <c r="AR13" s="517"/>
      <c r="AY13" s="517"/>
      <c r="AZ13" s="516"/>
      <c r="GA13" s="517"/>
      <c r="HQ13" s="516"/>
      <c r="IH13" s="516"/>
      <c r="IL13" s="517"/>
      <c r="JB13" s="2595"/>
      <c r="JC13" s="2595"/>
      <c r="JD13" s="2595"/>
      <c r="JE13" s="2595"/>
      <c r="JO13" s="516"/>
    </row>
    <row r="14" spans="29:288" ht="4.1500000000000004" customHeight="1">
      <c r="AD14" s="516"/>
      <c r="AK14" s="516"/>
      <c r="AR14" s="517"/>
      <c r="AY14" s="517"/>
      <c r="AZ14" s="516"/>
      <c r="GA14" s="517"/>
      <c r="HQ14" s="516"/>
      <c r="IH14" s="516"/>
      <c r="IL14" s="517"/>
      <c r="JB14" s="2595"/>
      <c r="JC14" s="2595"/>
      <c r="JD14" s="2595"/>
      <c r="JE14" s="2595"/>
      <c r="JO14" s="516"/>
    </row>
    <row r="15" spans="29:288" ht="4.1500000000000004" customHeight="1">
      <c r="AD15" s="516"/>
      <c r="AK15" s="516"/>
      <c r="AR15" s="517"/>
      <c r="AY15" s="517"/>
      <c r="AZ15" s="516"/>
      <c r="GA15" s="517"/>
      <c r="HQ15" s="516"/>
      <c r="IH15" s="516"/>
      <c r="IL15" s="517"/>
      <c r="JO15" s="516"/>
    </row>
    <row r="16" spans="29:288" ht="4.1500000000000004" customHeight="1">
      <c r="AD16" s="516"/>
      <c r="AK16" s="516"/>
      <c r="AR16" s="517"/>
      <c r="AY16" s="517"/>
      <c r="AZ16" s="516"/>
      <c r="GA16" s="517"/>
      <c r="HQ16" s="516"/>
      <c r="IH16" s="519"/>
      <c r="II16" s="520"/>
      <c r="IJ16" s="520"/>
      <c r="IK16" s="520"/>
      <c r="IL16" s="521"/>
      <c r="IX16" s="2596">
        <v>0.15</v>
      </c>
      <c r="IY16" s="2597"/>
      <c r="IZ16" s="2597"/>
      <c r="JA16" s="2597"/>
      <c r="JB16" s="2597"/>
      <c r="JC16" s="2597"/>
      <c r="JD16" s="2597"/>
      <c r="JE16" s="2597"/>
      <c r="JF16" s="2597"/>
      <c r="JG16" s="2597"/>
      <c r="JH16" s="2597"/>
      <c r="JI16" s="2597"/>
      <c r="JO16" s="516"/>
    </row>
    <row r="17" spans="29:276" ht="4.1500000000000004" customHeight="1">
      <c r="AD17" s="530"/>
      <c r="AE17" s="532"/>
      <c r="AF17" s="532"/>
      <c r="AG17" s="532"/>
      <c r="AH17" s="532"/>
      <c r="AI17" s="532"/>
      <c r="AJ17" s="532"/>
      <c r="AK17" s="516"/>
      <c r="AR17" s="517"/>
      <c r="AS17" s="532"/>
      <c r="AT17" s="532"/>
      <c r="AU17" s="532"/>
      <c r="AV17" s="532"/>
      <c r="AW17" s="532"/>
      <c r="AX17" s="532"/>
      <c r="AY17" s="531"/>
      <c r="AZ17" s="530"/>
      <c r="BA17" s="532"/>
      <c r="BB17" s="532"/>
      <c r="BC17" s="532"/>
      <c r="BD17" s="532"/>
      <c r="BE17" s="532"/>
      <c r="BF17" s="532"/>
      <c r="BG17" s="532"/>
      <c r="BH17" s="532"/>
      <c r="BI17" s="532"/>
      <c r="BJ17" s="532"/>
      <c r="BK17" s="532"/>
      <c r="BL17" s="532"/>
      <c r="BM17" s="532"/>
      <c r="BN17" s="532"/>
      <c r="BO17" s="532"/>
      <c r="BP17" s="532"/>
      <c r="BQ17" s="532"/>
      <c r="BR17" s="532"/>
      <c r="BS17" s="532"/>
      <c r="BT17" s="532"/>
      <c r="BU17" s="532"/>
      <c r="BV17" s="532"/>
      <c r="BW17" s="532"/>
      <c r="BX17" s="532"/>
      <c r="BY17" s="532"/>
      <c r="BZ17" s="532"/>
      <c r="CA17" s="532"/>
      <c r="CB17" s="532"/>
      <c r="CC17" s="532"/>
      <c r="CD17" s="532"/>
      <c r="CE17" s="532"/>
      <c r="CF17" s="532"/>
      <c r="CG17" s="532"/>
      <c r="CH17" s="532"/>
      <c r="CI17" s="532"/>
      <c r="CJ17" s="532"/>
      <c r="CK17" s="532"/>
      <c r="CL17" s="532"/>
      <c r="CM17" s="532"/>
      <c r="CN17" s="532"/>
      <c r="CO17" s="532"/>
      <c r="CP17" s="532"/>
      <c r="CQ17" s="532"/>
      <c r="CR17" s="532"/>
      <c r="CS17" s="532"/>
      <c r="CT17" s="532"/>
      <c r="CU17" s="532"/>
      <c r="CV17" s="532"/>
      <c r="CW17" s="532"/>
      <c r="CX17" s="532"/>
      <c r="CY17" s="532"/>
      <c r="CZ17" s="532"/>
      <c r="DA17" s="532"/>
      <c r="DB17" s="532"/>
      <c r="DC17" s="532"/>
      <c r="DD17" s="532"/>
      <c r="DE17" s="532"/>
      <c r="DF17" s="532"/>
      <c r="DG17" s="532"/>
      <c r="DH17" s="532"/>
      <c r="DI17" s="532"/>
      <c r="DJ17" s="532"/>
      <c r="DK17" s="532"/>
      <c r="DL17" s="532"/>
      <c r="DM17" s="532"/>
      <c r="DN17" s="532"/>
      <c r="DO17" s="532"/>
      <c r="DP17" s="532"/>
      <c r="DQ17" s="532"/>
      <c r="DR17" s="532"/>
      <c r="DS17" s="532"/>
      <c r="DT17" s="532"/>
      <c r="DU17" s="532"/>
      <c r="DV17" s="532"/>
      <c r="DW17" s="532"/>
      <c r="DX17" s="532"/>
      <c r="DY17" s="532"/>
      <c r="DZ17" s="532"/>
      <c r="EA17" s="532"/>
      <c r="EB17" s="532"/>
      <c r="EC17" s="532"/>
      <c r="ED17" s="532"/>
      <c r="EE17" s="532"/>
      <c r="EF17" s="532"/>
      <c r="EG17" s="532"/>
      <c r="EH17" s="532"/>
      <c r="EI17" s="532"/>
      <c r="EJ17" s="532"/>
      <c r="EK17" s="532"/>
      <c r="EL17" s="532"/>
      <c r="EM17" s="532"/>
      <c r="EN17" s="532"/>
      <c r="EO17" s="532"/>
      <c r="EP17" s="532"/>
      <c r="EQ17" s="532"/>
      <c r="ER17" s="532"/>
      <c r="ES17" s="532"/>
      <c r="ET17" s="532"/>
      <c r="EU17" s="532"/>
      <c r="EV17" s="532"/>
      <c r="EW17" s="532"/>
      <c r="EX17" s="532"/>
      <c r="EY17" s="532"/>
      <c r="EZ17" s="532"/>
      <c r="FA17" s="532"/>
      <c r="FB17" s="532"/>
      <c r="FC17" s="532"/>
      <c r="FD17" s="532"/>
      <c r="FE17" s="532"/>
      <c r="FF17" s="532"/>
      <c r="FG17" s="532"/>
      <c r="FH17" s="532"/>
      <c r="FI17" s="532"/>
      <c r="FJ17" s="532"/>
      <c r="FK17" s="532"/>
      <c r="FL17" s="532"/>
      <c r="FM17" s="532"/>
      <c r="FN17" s="532"/>
      <c r="FO17" s="532"/>
      <c r="FP17" s="532"/>
      <c r="FQ17" s="532"/>
      <c r="FR17" s="532"/>
      <c r="FS17" s="532"/>
      <c r="FT17" s="532"/>
      <c r="FU17" s="532"/>
      <c r="FV17" s="532"/>
      <c r="FW17" s="532"/>
      <c r="FX17" s="532"/>
      <c r="FY17" s="532"/>
      <c r="FZ17" s="532"/>
      <c r="GA17" s="531"/>
      <c r="HQ17" s="516"/>
      <c r="IH17" s="522"/>
      <c r="II17" s="523"/>
      <c r="IJ17" s="523"/>
      <c r="IK17" s="523"/>
      <c r="IL17" s="524"/>
      <c r="IX17" s="2596"/>
      <c r="IY17" s="2596"/>
      <c r="IZ17" s="2596"/>
      <c r="JA17" s="2596"/>
      <c r="JB17" s="2596"/>
      <c r="JC17" s="2596"/>
      <c r="JD17" s="2596"/>
      <c r="JE17" s="2596"/>
      <c r="JF17" s="2596"/>
      <c r="JG17" s="2596"/>
      <c r="JH17" s="2596"/>
      <c r="JI17" s="2596"/>
      <c r="JO17" s="516"/>
    </row>
    <row r="18" spans="29:276" ht="4.1500000000000004" customHeight="1">
      <c r="AC18" s="511"/>
      <c r="AD18" s="512"/>
      <c r="AE18" s="512"/>
      <c r="AF18" s="512"/>
      <c r="AG18" s="512"/>
      <c r="AH18" s="512"/>
      <c r="AI18" s="512"/>
      <c r="AJ18" s="512"/>
      <c r="AK18" s="516"/>
      <c r="AR18" s="517"/>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c r="CK18" s="512"/>
      <c r="CL18" s="512"/>
      <c r="CM18" s="512"/>
      <c r="CN18" s="512"/>
      <c r="CO18" s="512"/>
      <c r="CP18" s="512"/>
      <c r="CQ18" s="512"/>
      <c r="CR18" s="512"/>
      <c r="CS18" s="512"/>
      <c r="CT18" s="512"/>
      <c r="CU18" s="512"/>
      <c r="CV18" s="512"/>
      <c r="CW18" s="512"/>
      <c r="CX18" s="512"/>
      <c r="CY18" s="512"/>
      <c r="CZ18" s="512"/>
      <c r="DA18" s="512"/>
      <c r="DB18" s="512"/>
      <c r="DC18" s="512"/>
      <c r="DD18" s="512"/>
      <c r="DE18" s="512"/>
      <c r="DF18" s="512"/>
      <c r="DG18" s="512"/>
      <c r="DH18" s="512"/>
      <c r="DI18" s="512"/>
      <c r="DJ18" s="512"/>
      <c r="DK18" s="512"/>
      <c r="DL18" s="512"/>
      <c r="DM18" s="512"/>
      <c r="DN18" s="512"/>
      <c r="DO18" s="512"/>
      <c r="DP18" s="512"/>
      <c r="DQ18" s="512"/>
      <c r="DR18" s="512"/>
      <c r="DS18" s="512"/>
      <c r="DT18" s="512"/>
      <c r="DU18" s="512"/>
      <c r="DV18" s="512"/>
      <c r="DW18" s="512"/>
      <c r="DX18" s="512"/>
      <c r="DY18" s="512"/>
      <c r="DZ18" s="512"/>
      <c r="EA18" s="512"/>
      <c r="EB18" s="512"/>
      <c r="EC18" s="512"/>
      <c r="ED18" s="512"/>
      <c r="EE18" s="512"/>
      <c r="EF18" s="512"/>
      <c r="EG18" s="512"/>
      <c r="EH18" s="512"/>
      <c r="EI18" s="512"/>
      <c r="EJ18" s="512"/>
      <c r="EK18" s="512"/>
      <c r="EL18" s="512"/>
      <c r="EM18" s="512"/>
      <c r="EN18" s="512"/>
      <c r="EO18" s="512"/>
      <c r="EP18" s="512"/>
      <c r="EQ18" s="512"/>
      <c r="ER18" s="512"/>
      <c r="ES18" s="512"/>
      <c r="ET18" s="512"/>
      <c r="EU18" s="512"/>
      <c r="EV18" s="512"/>
      <c r="EW18" s="512"/>
      <c r="EX18" s="512"/>
      <c r="EY18" s="512"/>
      <c r="EZ18" s="512"/>
      <c r="FA18" s="512"/>
      <c r="FB18" s="512"/>
      <c r="FC18" s="512"/>
      <c r="FD18" s="512"/>
      <c r="FE18" s="512"/>
      <c r="FF18" s="512"/>
      <c r="FG18" s="512"/>
      <c r="FH18" s="512"/>
      <c r="FI18" s="512"/>
      <c r="FJ18" s="512"/>
      <c r="FK18" s="512"/>
      <c r="FL18" s="512"/>
      <c r="FM18" s="512"/>
      <c r="FN18" s="512"/>
      <c r="FO18" s="512"/>
      <c r="FP18" s="512"/>
      <c r="FQ18" s="512"/>
      <c r="FR18" s="512"/>
      <c r="FS18" s="512"/>
      <c r="FT18" s="512"/>
      <c r="FU18" s="512"/>
      <c r="FV18" s="512"/>
      <c r="FW18" s="512"/>
      <c r="FX18" s="512"/>
      <c r="FY18" s="512"/>
      <c r="FZ18" s="512"/>
      <c r="GA18" s="512"/>
      <c r="GB18" s="513"/>
      <c r="HQ18" s="516"/>
      <c r="IA18" s="508"/>
      <c r="IB18" s="509"/>
      <c r="IC18" s="509"/>
      <c r="ID18" s="509"/>
      <c r="IE18" s="509"/>
      <c r="IF18" s="509"/>
      <c r="IG18" s="510"/>
      <c r="IH18" s="527"/>
      <c r="II18" s="528"/>
      <c r="IJ18" s="528"/>
      <c r="IK18" s="528"/>
      <c r="IL18" s="529"/>
      <c r="IX18" s="2598"/>
      <c r="IY18" s="2598"/>
      <c r="IZ18" s="2598"/>
      <c r="JA18" s="2598"/>
      <c r="JB18" s="2598"/>
      <c r="JC18" s="2598"/>
      <c r="JD18" s="2598"/>
      <c r="JE18" s="2598"/>
      <c r="JF18" s="2598"/>
      <c r="JG18" s="2598"/>
      <c r="JH18" s="2598"/>
      <c r="JI18" s="2598"/>
      <c r="JO18" s="516"/>
    </row>
    <row r="19" spans="29:276" ht="4.1500000000000004" customHeight="1">
      <c r="AD19" s="516"/>
      <c r="AK19" s="516"/>
      <c r="AR19" s="517"/>
      <c r="GA19" s="517"/>
      <c r="HQ19" s="516"/>
      <c r="IH19" s="516"/>
      <c r="IL19" s="517"/>
      <c r="IX19" s="514"/>
      <c r="IY19" s="514"/>
      <c r="IZ19" s="514"/>
      <c r="JA19" s="514"/>
      <c r="JB19" s="514"/>
      <c r="JC19" s="514"/>
      <c r="JD19" s="515"/>
      <c r="JE19" s="514"/>
      <c r="JF19" s="514"/>
      <c r="JG19" s="514"/>
      <c r="JH19" s="514"/>
      <c r="JI19" s="514"/>
      <c r="JM19" s="2594">
        <f>JB5+IX16+JB24</f>
        <v>3.35</v>
      </c>
      <c r="JN19" s="2595"/>
      <c r="JO19" s="2595"/>
      <c r="JP19" s="2595"/>
    </row>
    <row r="20" spans="29:276" ht="4.1500000000000004" customHeight="1">
      <c r="AD20" s="516"/>
      <c r="AK20" s="516"/>
      <c r="AR20" s="517"/>
      <c r="GA20" s="517"/>
      <c r="HQ20" s="516"/>
      <c r="IA20" s="2599">
        <v>0.6</v>
      </c>
      <c r="IB20" s="2600"/>
      <c r="IC20" s="2600"/>
      <c r="ID20" s="2600"/>
      <c r="IE20" s="2600"/>
      <c r="IF20" s="2600"/>
      <c r="IG20" s="2601"/>
      <c r="IH20" s="516"/>
      <c r="IL20" s="517"/>
      <c r="JD20" s="516"/>
      <c r="JM20" s="2595"/>
      <c r="JN20" s="2595"/>
      <c r="JO20" s="2595"/>
      <c r="JP20" s="2595"/>
    </row>
    <row r="21" spans="29:276" ht="4.1500000000000004" customHeight="1">
      <c r="AD21" s="516"/>
      <c r="AK21" s="516"/>
      <c r="AR21" s="517"/>
      <c r="GA21" s="517"/>
      <c r="HO21" s="2594">
        <f>JM19+JN42</f>
        <v>3.95</v>
      </c>
      <c r="HP21" s="2595"/>
      <c r="HQ21" s="2595"/>
      <c r="HR21" s="2595"/>
      <c r="IA21" s="2599"/>
      <c r="IB21" s="2600"/>
      <c r="IC21" s="2600"/>
      <c r="ID21" s="2600"/>
      <c r="IE21" s="2600"/>
      <c r="IF21" s="2600"/>
      <c r="IG21" s="2601"/>
      <c r="IH21" s="516"/>
      <c r="IL21" s="517"/>
      <c r="JD21" s="516"/>
      <c r="JM21" s="2595"/>
      <c r="JN21" s="2595"/>
      <c r="JO21" s="2595"/>
      <c r="JP21" s="2595"/>
    </row>
    <row r="22" spans="29:276" ht="4.1500000000000004" customHeight="1">
      <c r="AD22" s="516"/>
      <c r="AK22" s="516"/>
      <c r="AR22" s="517"/>
      <c r="GA22" s="517"/>
      <c r="HO22" s="2595"/>
      <c r="HP22" s="2595"/>
      <c r="HQ22" s="2595"/>
      <c r="HR22" s="2595"/>
      <c r="IA22" s="2599"/>
      <c r="IB22" s="2600"/>
      <c r="IC22" s="2600"/>
      <c r="ID22" s="2600"/>
      <c r="IE22" s="2600"/>
      <c r="IF22" s="2600"/>
      <c r="IG22" s="2601"/>
      <c r="IH22" s="516"/>
      <c r="IL22" s="517"/>
      <c r="JD22" s="516"/>
      <c r="JM22" s="2595"/>
      <c r="JN22" s="2595"/>
      <c r="JO22" s="2595"/>
      <c r="JP22" s="2595"/>
    </row>
    <row r="23" spans="29:276" ht="4.1500000000000004" customHeight="1">
      <c r="AD23" s="516"/>
      <c r="AK23" s="516"/>
      <c r="AR23" s="517"/>
      <c r="GA23" s="517"/>
      <c r="HO23" s="2595"/>
      <c r="HP23" s="2595"/>
      <c r="HQ23" s="2595"/>
      <c r="HR23" s="2595"/>
      <c r="IH23" s="516"/>
      <c r="IL23" s="517"/>
      <c r="JD23" s="516"/>
      <c r="JM23" s="2595"/>
      <c r="JN23" s="2595"/>
      <c r="JO23" s="2595"/>
      <c r="JP23" s="2595"/>
    </row>
    <row r="24" spans="29:276" ht="4.1500000000000004" customHeight="1">
      <c r="AD24" s="516"/>
      <c r="AK24" s="516"/>
      <c r="AR24" s="517"/>
      <c r="GA24" s="517"/>
      <c r="HO24" s="2595"/>
      <c r="HP24" s="2595"/>
      <c r="HQ24" s="2595"/>
      <c r="HR24" s="2595"/>
      <c r="IH24" s="516"/>
      <c r="IL24" s="517"/>
      <c r="JB24" s="2594">
        <v>2.1</v>
      </c>
      <c r="JC24" s="2595"/>
      <c r="JD24" s="2595"/>
      <c r="JE24" s="2595"/>
      <c r="JM24" s="2595"/>
      <c r="JN24" s="2595"/>
      <c r="JO24" s="2595"/>
      <c r="JP24" s="2595"/>
    </row>
    <row r="25" spans="29:276" ht="4.1500000000000004" customHeight="1">
      <c r="AD25" s="516"/>
      <c r="AK25" s="516"/>
      <c r="AR25" s="517"/>
      <c r="BE25" s="515"/>
      <c r="BF25" s="514"/>
      <c r="BG25" s="514"/>
      <c r="BH25" s="514"/>
      <c r="BI25" s="514"/>
      <c r="BJ25" s="514"/>
      <c r="BK25" s="514"/>
      <c r="BL25" s="514"/>
      <c r="BM25" s="514"/>
      <c r="BN25" s="514"/>
      <c r="BO25" s="518"/>
      <c r="BZ25" s="515"/>
      <c r="CA25" s="514"/>
      <c r="CB25" s="514"/>
      <c r="CC25" s="514"/>
      <c r="CD25" s="514"/>
      <c r="CE25" s="514"/>
      <c r="CF25" s="514"/>
      <c r="CG25" s="514"/>
      <c r="CH25" s="514"/>
      <c r="CI25" s="514"/>
      <c r="CJ25" s="518"/>
      <c r="CT25" s="515"/>
      <c r="CU25" s="514"/>
      <c r="CV25" s="514"/>
      <c r="CW25" s="514"/>
      <c r="CX25" s="514"/>
      <c r="CY25" s="514"/>
      <c r="CZ25" s="514"/>
      <c r="DA25" s="514"/>
      <c r="DB25" s="514"/>
      <c r="DC25" s="514"/>
      <c r="DD25" s="518"/>
      <c r="DH25" s="515"/>
      <c r="DI25" s="514"/>
      <c r="DJ25" s="514"/>
      <c r="DK25" s="514"/>
      <c r="DL25" s="514"/>
      <c r="DM25" s="514"/>
      <c r="DN25" s="514"/>
      <c r="DO25" s="514"/>
      <c r="DP25" s="514"/>
      <c r="DQ25" s="514"/>
      <c r="DR25" s="518"/>
      <c r="DU25" s="515"/>
      <c r="DV25" s="514"/>
      <c r="DW25" s="514"/>
      <c r="DX25" s="514"/>
      <c r="DY25" s="514"/>
      <c r="DZ25" s="514"/>
      <c r="EA25" s="514"/>
      <c r="EB25" s="514"/>
      <c r="EC25" s="514"/>
      <c r="ED25" s="514"/>
      <c r="EE25" s="518"/>
      <c r="EO25" s="515"/>
      <c r="EP25" s="514"/>
      <c r="EQ25" s="514"/>
      <c r="ER25" s="514"/>
      <c r="ES25" s="514"/>
      <c r="ET25" s="514"/>
      <c r="EU25" s="514"/>
      <c r="EV25" s="514"/>
      <c r="EW25" s="514"/>
      <c r="EX25" s="514"/>
      <c r="EY25" s="518"/>
      <c r="FJ25" s="515"/>
      <c r="FK25" s="514"/>
      <c r="FL25" s="514"/>
      <c r="FM25" s="514"/>
      <c r="FN25" s="514"/>
      <c r="FO25" s="514"/>
      <c r="FP25" s="514"/>
      <c r="FQ25" s="514"/>
      <c r="FR25" s="514"/>
      <c r="FS25" s="514"/>
      <c r="FT25" s="518"/>
      <c r="GA25" s="517"/>
      <c r="GB25" s="515"/>
      <c r="GC25" s="514"/>
      <c r="GD25" s="518"/>
      <c r="HO25" s="2595"/>
      <c r="HP25" s="2595"/>
      <c r="HQ25" s="2595"/>
      <c r="HR25" s="2595"/>
      <c r="IH25" s="516"/>
      <c r="IL25" s="517"/>
      <c r="JB25" s="2595"/>
      <c r="JC25" s="2595"/>
      <c r="JD25" s="2595"/>
      <c r="JE25" s="2595"/>
      <c r="JM25" s="2595"/>
      <c r="JN25" s="2595"/>
      <c r="JO25" s="2595"/>
      <c r="JP25" s="2595"/>
    </row>
    <row r="26" spans="29:276" ht="4.1500000000000004" customHeight="1">
      <c r="AD26" s="516"/>
      <c r="AK26" s="516"/>
      <c r="AR26" s="517"/>
      <c r="BE26" s="516"/>
      <c r="BF26" s="515"/>
      <c r="BG26" s="514"/>
      <c r="BH26" s="514"/>
      <c r="BI26" s="514"/>
      <c r="BJ26" s="514"/>
      <c r="BK26" s="514"/>
      <c r="BL26" s="514"/>
      <c r="BM26" s="514"/>
      <c r="BN26" s="518"/>
      <c r="BO26" s="517"/>
      <c r="BZ26" s="516"/>
      <c r="CA26" s="515"/>
      <c r="CB26" s="514"/>
      <c r="CC26" s="514"/>
      <c r="CD26" s="514"/>
      <c r="CE26" s="514"/>
      <c r="CF26" s="514"/>
      <c r="CG26" s="514"/>
      <c r="CH26" s="514"/>
      <c r="CI26" s="518"/>
      <c r="CJ26" s="517"/>
      <c r="CT26" s="516"/>
      <c r="CU26" s="515"/>
      <c r="CV26" s="514"/>
      <c r="CW26" s="514"/>
      <c r="CX26" s="514"/>
      <c r="CY26" s="514"/>
      <c r="CZ26" s="514"/>
      <c r="DA26" s="514"/>
      <c r="DB26" s="514"/>
      <c r="DC26" s="518"/>
      <c r="DD26" s="517"/>
      <c r="DH26" s="516"/>
      <c r="DI26" s="515"/>
      <c r="DJ26" s="514"/>
      <c r="DK26" s="514"/>
      <c r="DL26" s="514"/>
      <c r="DM26" s="514"/>
      <c r="DN26" s="514"/>
      <c r="DO26" s="514"/>
      <c r="DP26" s="514"/>
      <c r="DQ26" s="518"/>
      <c r="DR26" s="517"/>
      <c r="DU26" s="516"/>
      <c r="DV26" s="515"/>
      <c r="DW26" s="514"/>
      <c r="DX26" s="514"/>
      <c r="DY26" s="514"/>
      <c r="DZ26" s="514"/>
      <c r="EA26" s="514"/>
      <c r="EB26" s="514"/>
      <c r="EC26" s="514"/>
      <c r="ED26" s="518"/>
      <c r="EE26" s="517"/>
      <c r="EO26" s="516"/>
      <c r="EP26" s="515"/>
      <c r="EQ26" s="514"/>
      <c r="ER26" s="514"/>
      <c r="ES26" s="514"/>
      <c r="ET26" s="514"/>
      <c r="EU26" s="514"/>
      <c r="EV26" s="514"/>
      <c r="EW26" s="514"/>
      <c r="EX26" s="518"/>
      <c r="EY26" s="517"/>
      <c r="FJ26" s="516"/>
      <c r="FK26" s="515"/>
      <c r="FL26" s="514"/>
      <c r="FM26" s="514"/>
      <c r="FN26" s="514"/>
      <c r="FO26" s="514"/>
      <c r="FP26" s="514"/>
      <c r="FQ26" s="514"/>
      <c r="FR26" s="514"/>
      <c r="FS26" s="518"/>
      <c r="FT26" s="517"/>
      <c r="GA26" s="517"/>
      <c r="GB26" s="516"/>
      <c r="GD26" s="517"/>
      <c r="HO26" s="2595"/>
      <c r="HP26" s="2595"/>
      <c r="HQ26" s="2595"/>
      <c r="HR26" s="2595"/>
      <c r="IH26" s="516"/>
      <c r="IL26" s="517"/>
      <c r="JB26" s="2595"/>
      <c r="JC26" s="2595"/>
      <c r="JD26" s="2595"/>
      <c r="JE26" s="2595"/>
      <c r="JM26" s="2595"/>
      <c r="JN26" s="2595"/>
      <c r="JO26" s="2595"/>
      <c r="JP26" s="2595"/>
    </row>
    <row r="27" spans="29:276" ht="4.1500000000000004" customHeight="1">
      <c r="AD27" s="516"/>
      <c r="AK27" s="516"/>
      <c r="AR27" s="517"/>
      <c r="BE27" s="516"/>
      <c r="BF27" s="516"/>
      <c r="BN27" s="517"/>
      <c r="BO27" s="517"/>
      <c r="BZ27" s="516"/>
      <c r="CA27" s="516"/>
      <c r="CI27" s="517"/>
      <c r="CJ27" s="517"/>
      <c r="CT27" s="516"/>
      <c r="CU27" s="516"/>
      <c r="DC27" s="517"/>
      <c r="DD27" s="517"/>
      <c r="DH27" s="516"/>
      <c r="DI27" s="516"/>
      <c r="DQ27" s="517"/>
      <c r="DR27" s="517"/>
      <c r="DU27" s="516"/>
      <c r="DV27" s="516"/>
      <c r="ED27" s="517"/>
      <c r="EE27" s="517"/>
      <c r="EO27" s="516"/>
      <c r="EP27" s="516"/>
      <c r="EX27" s="517"/>
      <c r="EY27" s="517"/>
      <c r="FJ27" s="516"/>
      <c r="FK27" s="516"/>
      <c r="FS27" s="517"/>
      <c r="FT27" s="517"/>
      <c r="GA27" s="517"/>
      <c r="GB27" s="516"/>
      <c r="GD27" s="517"/>
      <c r="HO27" s="2595"/>
      <c r="HP27" s="2595"/>
      <c r="HQ27" s="2595"/>
      <c r="HR27" s="2595"/>
      <c r="IH27" s="516"/>
      <c r="IL27" s="517"/>
      <c r="JB27" s="2595"/>
      <c r="JC27" s="2595"/>
      <c r="JD27" s="2595"/>
      <c r="JE27" s="2595"/>
      <c r="JM27" s="2595"/>
      <c r="JN27" s="2595"/>
      <c r="JO27" s="2595"/>
      <c r="JP27" s="2595"/>
    </row>
    <row r="28" spans="29:276" ht="4.1500000000000004" customHeight="1">
      <c r="AD28" s="516"/>
      <c r="AK28" s="516"/>
      <c r="AR28" s="517"/>
      <c r="BE28" s="516"/>
      <c r="BF28" s="516"/>
      <c r="BN28" s="517"/>
      <c r="BO28" s="517"/>
      <c r="BZ28" s="516"/>
      <c r="CA28" s="516"/>
      <c r="CI28" s="517"/>
      <c r="CJ28" s="517"/>
      <c r="CT28" s="516"/>
      <c r="CU28" s="516"/>
      <c r="DC28" s="517"/>
      <c r="DD28" s="517"/>
      <c r="DH28" s="516"/>
      <c r="DI28" s="516"/>
      <c r="DQ28" s="517"/>
      <c r="DR28" s="517"/>
      <c r="DU28" s="516"/>
      <c r="DV28" s="516"/>
      <c r="ED28" s="517"/>
      <c r="EE28" s="517"/>
      <c r="EO28" s="516"/>
      <c r="EP28" s="516"/>
      <c r="EX28" s="517"/>
      <c r="EY28" s="517"/>
      <c r="FJ28" s="516"/>
      <c r="FK28" s="516"/>
      <c r="FS28" s="517"/>
      <c r="FT28" s="517"/>
      <c r="GA28" s="517"/>
      <c r="GB28" s="516"/>
      <c r="GD28" s="517"/>
      <c r="HO28" s="2595"/>
      <c r="HP28" s="2595"/>
      <c r="HQ28" s="2595"/>
      <c r="HR28" s="2595"/>
      <c r="IH28" s="516"/>
      <c r="IL28" s="517"/>
      <c r="JB28" s="2595"/>
      <c r="JC28" s="2595"/>
      <c r="JD28" s="2595"/>
      <c r="JE28" s="2595"/>
      <c r="JM28" s="2595"/>
      <c r="JN28" s="2595"/>
      <c r="JO28" s="2595"/>
      <c r="JP28" s="2595"/>
    </row>
    <row r="29" spans="29:276" ht="4.1500000000000004" customHeight="1">
      <c r="AD29" s="516"/>
      <c r="AK29" s="516"/>
      <c r="AR29" s="517"/>
      <c r="BE29" s="516"/>
      <c r="BF29" s="516"/>
      <c r="BN29" s="517"/>
      <c r="BO29" s="517"/>
      <c r="BZ29" s="516"/>
      <c r="CA29" s="516"/>
      <c r="CI29" s="517"/>
      <c r="CJ29" s="517"/>
      <c r="CT29" s="516"/>
      <c r="CU29" s="516"/>
      <c r="DC29" s="517"/>
      <c r="DD29" s="517"/>
      <c r="DH29" s="516"/>
      <c r="DI29" s="516"/>
      <c r="DQ29" s="517"/>
      <c r="DR29" s="517"/>
      <c r="DU29" s="516"/>
      <c r="DV29" s="516"/>
      <c r="ED29" s="517"/>
      <c r="EE29" s="517"/>
      <c r="EO29" s="516"/>
      <c r="EP29" s="516"/>
      <c r="EX29" s="517"/>
      <c r="EY29" s="517"/>
      <c r="FJ29" s="516"/>
      <c r="FK29" s="516"/>
      <c r="FS29" s="517"/>
      <c r="FT29" s="517"/>
      <c r="GA29" s="517"/>
      <c r="GB29" s="516"/>
      <c r="GD29" s="517"/>
      <c r="HO29" s="2595"/>
      <c r="HP29" s="2595"/>
      <c r="HQ29" s="2595"/>
      <c r="HR29" s="2595"/>
      <c r="IH29" s="516"/>
      <c r="IL29" s="517"/>
      <c r="JB29" s="2595"/>
      <c r="JC29" s="2595"/>
      <c r="JD29" s="2595"/>
      <c r="JE29" s="2595"/>
      <c r="JO29" s="516"/>
    </row>
    <row r="30" spans="29:276" ht="4.1500000000000004" customHeight="1">
      <c r="AD30" s="516"/>
      <c r="AK30" s="516"/>
      <c r="AR30" s="517"/>
      <c r="BE30" s="516"/>
      <c r="BF30" s="516"/>
      <c r="BN30" s="517"/>
      <c r="BO30" s="517"/>
      <c r="BZ30" s="516"/>
      <c r="CA30" s="516"/>
      <c r="CI30" s="517"/>
      <c r="CJ30" s="517"/>
      <c r="CT30" s="516"/>
      <c r="CU30" s="516"/>
      <c r="DC30" s="517"/>
      <c r="DD30" s="517"/>
      <c r="DH30" s="516"/>
      <c r="DI30" s="516"/>
      <c r="DQ30" s="517"/>
      <c r="DR30" s="517"/>
      <c r="DU30" s="516"/>
      <c r="DV30" s="516"/>
      <c r="ED30" s="517"/>
      <c r="EE30" s="517"/>
      <c r="EO30" s="516"/>
      <c r="EP30" s="516"/>
      <c r="EX30" s="517"/>
      <c r="EY30" s="517"/>
      <c r="FJ30" s="516"/>
      <c r="FK30" s="516"/>
      <c r="FS30" s="517"/>
      <c r="FT30" s="517"/>
      <c r="GA30" s="517"/>
      <c r="GB30" s="516"/>
      <c r="GD30" s="517"/>
      <c r="HO30" s="2595"/>
      <c r="HP30" s="2595"/>
      <c r="HQ30" s="2595"/>
      <c r="HR30" s="2595"/>
      <c r="IH30" s="516"/>
      <c r="IL30" s="517"/>
      <c r="JB30" s="2595"/>
      <c r="JC30" s="2595"/>
      <c r="JD30" s="2595"/>
      <c r="JE30" s="2595"/>
      <c r="JO30" s="516"/>
    </row>
    <row r="31" spans="29:276" ht="4.1500000000000004" customHeight="1">
      <c r="AD31" s="516"/>
      <c r="AK31" s="516"/>
      <c r="AR31" s="517"/>
      <c r="BE31" s="516"/>
      <c r="BF31" s="516"/>
      <c r="BN31" s="517"/>
      <c r="BO31" s="517"/>
      <c r="BZ31" s="516"/>
      <c r="CA31" s="516"/>
      <c r="CI31" s="517"/>
      <c r="CJ31" s="517"/>
      <c r="CT31" s="516"/>
      <c r="CU31" s="516"/>
      <c r="DC31" s="517"/>
      <c r="DD31" s="517"/>
      <c r="DH31" s="516"/>
      <c r="DI31" s="516"/>
      <c r="DQ31" s="517"/>
      <c r="DR31" s="517"/>
      <c r="DU31" s="516"/>
      <c r="DV31" s="516"/>
      <c r="ED31" s="517"/>
      <c r="EE31" s="517"/>
      <c r="EO31" s="516"/>
      <c r="EP31" s="516"/>
      <c r="EX31" s="517"/>
      <c r="EY31" s="517"/>
      <c r="FJ31" s="516"/>
      <c r="FK31" s="516"/>
      <c r="FS31" s="517"/>
      <c r="FT31" s="517"/>
      <c r="GA31" s="517"/>
      <c r="GB31" s="516"/>
      <c r="GD31" s="517"/>
      <c r="HQ31" s="516"/>
      <c r="IH31" s="516"/>
      <c r="IL31" s="517"/>
      <c r="JB31" s="2595"/>
      <c r="JC31" s="2595"/>
      <c r="JD31" s="2595"/>
      <c r="JE31" s="2595"/>
      <c r="JO31" s="516"/>
    </row>
    <row r="32" spans="29:276" ht="4.1500000000000004" customHeight="1">
      <c r="AD32" s="516"/>
      <c r="AK32" s="516"/>
      <c r="AR32" s="517"/>
      <c r="BE32" s="516"/>
      <c r="BF32" s="516"/>
      <c r="BN32" s="517"/>
      <c r="BO32" s="517"/>
      <c r="BZ32" s="516"/>
      <c r="CA32" s="516"/>
      <c r="CI32" s="517"/>
      <c r="CJ32" s="517"/>
      <c r="CT32" s="516"/>
      <c r="CU32" s="516"/>
      <c r="DC32" s="517"/>
      <c r="DD32" s="517"/>
      <c r="DH32" s="516"/>
      <c r="DI32" s="516"/>
      <c r="DQ32" s="517"/>
      <c r="DR32" s="517"/>
      <c r="DU32" s="516"/>
      <c r="DV32" s="516"/>
      <c r="ED32" s="517"/>
      <c r="EE32" s="517"/>
      <c r="EO32" s="516"/>
      <c r="EP32" s="516"/>
      <c r="EX32" s="517"/>
      <c r="EY32" s="517"/>
      <c r="FJ32" s="516"/>
      <c r="FK32" s="516"/>
      <c r="FS32" s="517"/>
      <c r="FT32" s="517"/>
      <c r="GA32" s="517"/>
      <c r="GB32" s="516"/>
      <c r="GD32" s="517"/>
      <c r="HQ32" s="516"/>
      <c r="IH32" s="516"/>
      <c r="IL32" s="517"/>
      <c r="JB32" s="2595"/>
      <c r="JC32" s="2595"/>
      <c r="JD32" s="2595"/>
      <c r="JE32" s="2595"/>
      <c r="JO32" s="516"/>
    </row>
    <row r="33" spans="29:287" ht="4.1500000000000004" customHeight="1">
      <c r="AD33" s="516"/>
      <c r="AK33" s="516"/>
      <c r="AR33" s="517"/>
      <c r="BE33" s="516"/>
      <c r="BF33" s="530"/>
      <c r="BG33" s="532"/>
      <c r="BH33" s="532"/>
      <c r="BI33" s="532"/>
      <c r="BJ33" s="532"/>
      <c r="BK33" s="532"/>
      <c r="BL33" s="532"/>
      <c r="BM33" s="532"/>
      <c r="BN33" s="531"/>
      <c r="BO33" s="517"/>
      <c r="BZ33" s="516"/>
      <c r="CA33" s="530"/>
      <c r="CB33" s="532"/>
      <c r="CC33" s="532"/>
      <c r="CD33" s="532"/>
      <c r="CE33" s="532"/>
      <c r="CF33" s="532"/>
      <c r="CG33" s="532"/>
      <c r="CH33" s="532"/>
      <c r="CI33" s="531"/>
      <c r="CJ33" s="517"/>
      <c r="CT33" s="516"/>
      <c r="CU33" s="530"/>
      <c r="CV33" s="532"/>
      <c r="CW33" s="532"/>
      <c r="CX33" s="532"/>
      <c r="CY33" s="532"/>
      <c r="CZ33" s="532"/>
      <c r="DA33" s="532"/>
      <c r="DB33" s="532"/>
      <c r="DC33" s="531"/>
      <c r="DD33" s="517"/>
      <c r="DH33" s="516"/>
      <c r="DI33" s="530"/>
      <c r="DJ33" s="532"/>
      <c r="DK33" s="532"/>
      <c r="DL33" s="532"/>
      <c r="DM33" s="532"/>
      <c r="DN33" s="532"/>
      <c r="DO33" s="532"/>
      <c r="DP33" s="532"/>
      <c r="DQ33" s="531"/>
      <c r="DR33" s="517"/>
      <c r="DU33" s="516"/>
      <c r="DV33" s="530"/>
      <c r="DW33" s="532"/>
      <c r="DX33" s="532"/>
      <c r="DY33" s="532"/>
      <c r="DZ33" s="532"/>
      <c r="EA33" s="532"/>
      <c r="EB33" s="532"/>
      <c r="EC33" s="532"/>
      <c r="ED33" s="531"/>
      <c r="EE33" s="517"/>
      <c r="EO33" s="516"/>
      <c r="EP33" s="530"/>
      <c r="EQ33" s="532"/>
      <c r="ER33" s="532"/>
      <c r="ES33" s="532"/>
      <c r="ET33" s="532"/>
      <c r="EU33" s="532"/>
      <c r="EV33" s="532"/>
      <c r="EW33" s="532"/>
      <c r="EX33" s="531"/>
      <c r="EY33" s="517"/>
      <c r="FJ33" s="516"/>
      <c r="FK33" s="530"/>
      <c r="FL33" s="532"/>
      <c r="FM33" s="532"/>
      <c r="FN33" s="532"/>
      <c r="FO33" s="532"/>
      <c r="FP33" s="532"/>
      <c r="FQ33" s="532"/>
      <c r="FR33" s="532"/>
      <c r="FS33" s="531"/>
      <c r="FT33" s="517"/>
      <c r="GA33" s="517"/>
      <c r="GB33" s="516"/>
      <c r="GD33" s="517"/>
      <c r="HQ33" s="516"/>
      <c r="IH33" s="516"/>
      <c r="IL33" s="517"/>
      <c r="IM33" s="516"/>
      <c r="JB33" s="2595"/>
      <c r="JC33" s="2595"/>
      <c r="JD33" s="2595"/>
      <c r="JE33" s="2595"/>
      <c r="JO33" s="516"/>
    </row>
    <row r="34" spans="29:287" ht="4.1500000000000004" customHeight="1">
      <c r="AD34" s="516"/>
      <c r="AK34" s="516"/>
      <c r="AR34" s="517"/>
      <c r="BE34" s="530"/>
      <c r="BF34" s="532"/>
      <c r="BG34" s="532"/>
      <c r="BH34" s="532"/>
      <c r="BI34" s="532"/>
      <c r="BJ34" s="532"/>
      <c r="BK34" s="532"/>
      <c r="BL34" s="532"/>
      <c r="BM34" s="532"/>
      <c r="BN34" s="532"/>
      <c r="BO34" s="531"/>
      <c r="BZ34" s="530"/>
      <c r="CA34" s="532"/>
      <c r="CB34" s="532"/>
      <c r="CC34" s="532"/>
      <c r="CD34" s="532"/>
      <c r="CE34" s="532"/>
      <c r="CF34" s="532"/>
      <c r="CG34" s="532"/>
      <c r="CH34" s="532"/>
      <c r="CI34" s="532"/>
      <c r="CJ34" s="531"/>
      <c r="CT34" s="530"/>
      <c r="CU34" s="532"/>
      <c r="CV34" s="532"/>
      <c r="CW34" s="532"/>
      <c r="CX34" s="532"/>
      <c r="CY34" s="532"/>
      <c r="CZ34" s="532"/>
      <c r="DA34" s="532"/>
      <c r="DB34" s="532"/>
      <c r="DC34" s="532"/>
      <c r="DD34" s="531"/>
      <c r="DH34" s="530"/>
      <c r="DI34" s="532"/>
      <c r="DJ34" s="532"/>
      <c r="DK34" s="532"/>
      <c r="DL34" s="532"/>
      <c r="DM34" s="532"/>
      <c r="DN34" s="532"/>
      <c r="DO34" s="532"/>
      <c r="DP34" s="532"/>
      <c r="DQ34" s="532"/>
      <c r="DR34" s="531"/>
      <c r="DU34" s="530"/>
      <c r="DV34" s="532"/>
      <c r="DW34" s="532"/>
      <c r="DX34" s="532"/>
      <c r="DY34" s="532"/>
      <c r="DZ34" s="532"/>
      <c r="EA34" s="532"/>
      <c r="EB34" s="532"/>
      <c r="EC34" s="532"/>
      <c r="ED34" s="532"/>
      <c r="EE34" s="531"/>
      <c r="EO34" s="530"/>
      <c r="EP34" s="532"/>
      <c r="EQ34" s="532"/>
      <c r="ER34" s="532"/>
      <c r="ES34" s="532"/>
      <c r="ET34" s="532"/>
      <c r="EU34" s="532"/>
      <c r="EV34" s="532"/>
      <c r="EW34" s="532"/>
      <c r="EX34" s="532"/>
      <c r="EY34" s="531"/>
      <c r="FJ34" s="530"/>
      <c r="FK34" s="532"/>
      <c r="FL34" s="532"/>
      <c r="FM34" s="532"/>
      <c r="FN34" s="532"/>
      <c r="FO34" s="532"/>
      <c r="FP34" s="532"/>
      <c r="FQ34" s="532"/>
      <c r="FR34" s="532"/>
      <c r="FS34" s="532"/>
      <c r="FT34" s="531"/>
      <c r="GA34" s="517"/>
      <c r="GB34" s="530"/>
      <c r="GC34" s="532"/>
      <c r="GD34" s="531"/>
      <c r="HQ34" s="516"/>
      <c r="IH34" s="516"/>
      <c r="IL34" s="517"/>
      <c r="IM34" s="516"/>
      <c r="JD34" s="516"/>
      <c r="JO34" s="516"/>
    </row>
    <row r="35" spans="29:287" ht="4.1500000000000004" customHeight="1">
      <c r="AD35" s="516"/>
      <c r="AK35" s="516"/>
      <c r="AR35" s="517"/>
      <c r="GA35" s="517"/>
      <c r="HQ35" s="516"/>
      <c r="IH35" s="516"/>
      <c r="IL35" s="517"/>
      <c r="IM35" s="516"/>
      <c r="JD35" s="516"/>
      <c r="JO35" s="516"/>
    </row>
    <row r="36" spans="29:287" ht="4.1500000000000004" customHeight="1">
      <c r="AD36" s="516"/>
      <c r="AK36" s="516"/>
      <c r="AR36" s="517"/>
      <c r="GA36" s="517"/>
      <c r="HQ36" s="516"/>
      <c r="IH36" s="516"/>
      <c r="IL36" s="517"/>
      <c r="IM36" s="516"/>
      <c r="JD36" s="516"/>
      <c r="JO36" s="516"/>
    </row>
    <row r="37" spans="29:287" ht="4.1500000000000004" customHeight="1">
      <c r="AD37" s="516"/>
      <c r="AK37" s="516"/>
      <c r="AR37" s="517"/>
      <c r="GA37" s="517"/>
      <c r="HQ37" s="516"/>
      <c r="IH37" s="516"/>
      <c r="IL37" s="517"/>
      <c r="IM37" s="516"/>
      <c r="JD37" s="516"/>
      <c r="JO37" s="516"/>
    </row>
    <row r="38" spans="29:287" ht="4.1500000000000004" customHeight="1">
      <c r="AD38" s="530"/>
      <c r="AE38" s="532"/>
      <c r="AF38" s="532"/>
      <c r="AG38" s="532"/>
      <c r="AH38" s="532"/>
      <c r="AI38" s="532"/>
      <c r="AJ38" s="532"/>
      <c r="AK38" s="516"/>
      <c r="AR38" s="517"/>
      <c r="AS38" s="532"/>
      <c r="AT38" s="532"/>
      <c r="AU38" s="532"/>
      <c r="AV38" s="532"/>
      <c r="AW38" s="532"/>
      <c r="AX38" s="532"/>
      <c r="AY38" s="532"/>
      <c r="AZ38" s="532"/>
      <c r="BA38" s="532"/>
      <c r="BB38" s="532"/>
      <c r="BC38" s="532"/>
      <c r="BD38" s="532"/>
      <c r="BE38" s="532"/>
      <c r="BF38" s="532"/>
      <c r="BG38" s="532"/>
      <c r="BH38" s="532"/>
      <c r="BI38" s="532"/>
      <c r="BJ38" s="532"/>
      <c r="BK38" s="532"/>
      <c r="BL38" s="532"/>
      <c r="BM38" s="532"/>
      <c r="BN38" s="532"/>
      <c r="BO38" s="532"/>
      <c r="BP38" s="532"/>
      <c r="BQ38" s="532"/>
      <c r="BR38" s="532"/>
      <c r="BS38" s="532"/>
      <c r="BT38" s="532"/>
      <c r="BU38" s="532"/>
      <c r="BV38" s="532"/>
      <c r="BW38" s="532"/>
      <c r="BX38" s="532"/>
      <c r="BY38" s="532"/>
      <c r="BZ38" s="532"/>
      <c r="CA38" s="532"/>
      <c r="CB38" s="532"/>
      <c r="CC38" s="532"/>
      <c r="CD38" s="532"/>
      <c r="CE38" s="532"/>
      <c r="CF38" s="532"/>
      <c r="CG38" s="532"/>
      <c r="CH38" s="532"/>
      <c r="CI38" s="532"/>
      <c r="CJ38" s="532"/>
      <c r="CK38" s="532"/>
      <c r="CL38" s="532"/>
      <c r="CM38" s="532"/>
      <c r="CN38" s="532"/>
      <c r="CO38" s="532"/>
      <c r="CP38" s="532"/>
      <c r="CQ38" s="532"/>
      <c r="CR38" s="532"/>
      <c r="CS38" s="532"/>
      <c r="CT38" s="532"/>
      <c r="CU38" s="532"/>
      <c r="CV38" s="532"/>
      <c r="CW38" s="532"/>
      <c r="CX38" s="532"/>
      <c r="CY38" s="532"/>
      <c r="CZ38" s="532"/>
      <c r="DA38" s="532"/>
      <c r="DB38" s="532"/>
      <c r="DC38" s="532"/>
      <c r="DD38" s="532"/>
      <c r="DE38" s="532"/>
      <c r="DF38" s="532"/>
      <c r="DG38" s="532"/>
      <c r="DH38" s="532"/>
      <c r="DI38" s="532"/>
      <c r="DJ38" s="532"/>
      <c r="DK38" s="532"/>
      <c r="DL38" s="532"/>
      <c r="DM38" s="532"/>
      <c r="DN38" s="532"/>
      <c r="DO38" s="532"/>
      <c r="DP38" s="532"/>
      <c r="DQ38" s="532"/>
      <c r="DR38" s="532"/>
      <c r="DS38" s="532"/>
      <c r="DT38" s="532"/>
      <c r="DU38" s="532"/>
      <c r="DV38" s="532"/>
      <c r="DW38" s="532"/>
      <c r="DX38" s="532"/>
      <c r="DY38" s="532"/>
      <c r="DZ38" s="532"/>
      <c r="EA38" s="532"/>
      <c r="EB38" s="532"/>
      <c r="EC38" s="532"/>
      <c r="ED38" s="532"/>
      <c r="EE38" s="532"/>
      <c r="EF38" s="532"/>
      <c r="EG38" s="532"/>
      <c r="EH38" s="532"/>
      <c r="EI38" s="532"/>
      <c r="EJ38" s="532"/>
      <c r="EK38" s="532"/>
      <c r="EL38" s="532"/>
      <c r="EM38" s="532"/>
      <c r="EN38" s="532"/>
      <c r="EO38" s="532"/>
      <c r="EP38" s="532"/>
      <c r="EQ38" s="532"/>
      <c r="ER38" s="532"/>
      <c r="ES38" s="532"/>
      <c r="ET38" s="532"/>
      <c r="EU38" s="532"/>
      <c r="EV38" s="532"/>
      <c r="EW38" s="532"/>
      <c r="EX38" s="532"/>
      <c r="EY38" s="532"/>
      <c r="EZ38" s="532"/>
      <c r="FA38" s="532"/>
      <c r="FB38" s="532"/>
      <c r="FC38" s="532"/>
      <c r="FD38" s="532"/>
      <c r="FE38" s="532"/>
      <c r="FF38" s="532"/>
      <c r="FG38" s="532"/>
      <c r="FH38" s="532"/>
      <c r="FI38" s="532"/>
      <c r="FJ38" s="532"/>
      <c r="FK38" s="532"/>
      <c r="FL38" s="532"/>
      <c r="FM38" s="532"/>
      <c r="FN38" s="532"/>
      <c r="FO38" s="532"/>
      <c r="FP38" s="532"/>
      <c r="FQ38" s="532"/>
      <c r="FR38" s="532"/>
      <c r="FS38" s="532"/>
      <c r="FT38" s="532"/>
      <c r="FU38" s="532"/>
      <c r="FV38" s="532"/>
      <c r="FW38" s="532"/>
      <c r="FX38" s="532"/>
      <c r="FY38" s="532"/>
      <c r="FZ38" s="532"/>
      <c r="GA38" s="531"/>
      <c r="HQ38" s="516"/>
      <c r="IH38" s="516"/>
      <c r="IL38" s="517"/>
      <c r="IM38" s="516"/>
      <c r="JD38" s="516"/>
      <c r="JO38" s="516"/>
      <c r="JU38" s="2608" t="s">
        <v>2981</v>
      </c>
      <c r="JV38" s="2608"/>
      <c r="JW38" s="2608"/>
      <c r="JX38" s="2608"/>
      <c r="JY38" s="2608"/>
      <c r="JZ38" s="2608"/>
      <c r="KA38" s="2608"/>
    </row>
    <row r="39" spans="29:287" ht="4.1500000000000004" customHeight="1">
      <c r="AC39" s="517"/>
      <c r="AD39" s="512"/>
      <c r="AE39" s="512"/>
      <c r="AF39" s="512"/>
      <c r="AG39" s="512"/>
      <c r="AH39" s="512"/>
      <c r="AI39" s="512"/>
      <c r="AJ39" s="512"/>
      <c r="AK39" s="516"/>
      <c r="AR39" s="517"/>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2"/>
      <c r="CM39" s="512"/>
      <c r="CN39" s="512"/>
      <c r="CO39" s="512"/>
      <c r="CP39" s="512"/>
      <c r="CQ39" s="512"/>
      <c r="CR39" s="512"/>
      <c r="CS39" s="512"/>
      <c r="CT39" s="512"/>
      <c r="CU39" s="512"/>
      <c r="CV39" s="512"/>
      <c r="CW39" s="512"/>
      <c r="CX39" s="512"/>
      <c r="CY39" s="512"/>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2"/>
      <c r="DW39" s="512"/>
      <c r="DX39" s="512"/>
      <c r="DY39" s="512"/>
      <c r="DZ39" s="512"/>
      <c r="EA39" s="512"/>
      <c r="EB39" s="512"/>
      <c r="EC39" s="512"/>
      <c r="ED39" s="512"/>
      <c r="EE39" s="512"/>
      <c r="EF39" s="512"/>
      <c r="EG39" s="512"/>
      <c r="EH39" s="512"/>
      <c r="EI39" s="512"/>
      <c r="EJ39" s="532"/>
      <c r="EK39" s="532"/>
      <c r="EL39" s="532"/>
      <c r="EM39" s="532"/>
      <c r="EN39" s="532"/>
      <c r="EO39" s="532"/>
      <c r="EP39" s="532"/>
      <c r="EQ39" s="532"/>
      <c r="ER39" s="532"/>
      <c r="ES39" s="532"/>
      <c r="ET39" s="532"/>
      <c r="EU39" s="532"/>
      <c r="EV39" s="532"/>
      <c r="EW39" s="532"/>
      <c r="EX39" s="532"/>
      <c r="EY39" s="532"/>
      <c r="EZ39" s="532"/>
      <c r="FA39" s="532"/>
      <c r="FB39" s="532"/>
      <c r="FC39" s="532"/>
      <c r="FD39" s="532"/>
      <c r="FE39" s="532"/>
      <c r="FF39" s="532"/>
      <c r="FG39" s="532"/>
      <c r="FH39" s="532"/>
      <c r="FI39" s="532"/>
      <c r="FJ39" s="532"/>
      <c r="FK39" s="532"/>
      <c r="FL39" s="532"/>
      <c r="FM39" s="532"/>
      <c r="FN39" s="532"/>
      <c r="FO39" s="532"/>
      <c r="FP39" s="532"/>
      <c r="FQ39" s="532"/>
      <c r="FR39" s="532"/>
      <c r="FS39" s="532"/>
      <c r="FT39" s="532"/>
      <c r="FU39" s="532"/>
      <c r="FV39" s="532"/>
      <c r="FW39" s="532"/>
      <c r="FX39" s="532"/>
      <c r="FY39" s="532"/>
      <c r="FZ39" s="532"/>
      <c r="GA39" s="532"/>
      <c r="GB39" s="513"/>
      <c r="HQ39" s="516"/>
      <c r="IH39" s="516"/>
      <c r="IL39" s="517"/>
      <c r="IM39" s="516"/>
      <c r="JD39" s="516"/>
      <c r="JO39" s="516"/>
      <c r="JU39" s="2608"/>
      <c r="JV39" s="2608"/>
      <c r="JW39" s="2608"/>
      <c r="JX39" s="2608"/>
      <c r="JY39" s="2608"/>
      <c r="JZ39" s="2608"/>
      <c r="KA39" s="2608"/>
    </row>
    <row r="40" spans="29:287" ht="4.1500000000000004" customHeight="1">
      <c r="AD40" s="516"/>
      <c r="AK40" s="516"/>
      <c r="AR40" s="517"/>
      <c r="AX40" s="515"/>
      <c r="GA40" s="517"/>
      <c r="HQ40" s="516"/>
      <c r="IH40" s="516"/>
      <c r="IL40" s="517"/>
      <c r="IM40" s="516"/>
      <c r="JD40" s="516"/>
      <c r="JO40" s="516"/>
      <c r="JU40" s="2608"/>
      <c r="JV40" s="2608"/>
      <c r="JW40" s="2608"/>
      <c r="JX40" s="2608"/>
      <c r="JY40" s="2608"/>
      <c r="JZ40" s="2608"/>
      <c r="KA40" s="2608"/>
    </row>
    <row r="41" spans="29:287" ht="4.1500000000000004" customHeight="1">
      <c r="AD41" s="516"/>
      <c r="AK41" s="516"/>
      <c r="AR41" s="517"/>
      <c r="AX41" s="516"/>
      <c r="GA41" s="517"/>
      <c r="HQ41" s="516"/>
      <c r="IH41" s="516"/>
      <c r="IL41" s="517"/>
      <c r="IM41" s="530"/>
      <c r="IN41" s="532"/>
      <c r="IO41" s="532"/>
      <c r="IP41" s="532"/>
      <c r="IQ41" s="532"/>
      <c r="IR41" s="532"/>
      <c r="IS41" s="532"/>
      <c r="IT41" s="532"/>
      <c r="IU41" s="532"/>
      <c r="IV41" s="532"/>
      <c r="IW41" s="532"/>
      <c r="IX41" s="532"/>
      <c r="IY41" s="532"/>
      <c r="IZ41" s="532"/>
      <c r="JA41" s="532"/>
      <c r="JB41" s="532"/>
      <c r="JC41" s="532"/>
      <c r="JD41" s="530"/>
      <c r="JE41" s="532"/>
      <c r="JF41" s="532"/>
      <c r="JG41" s="532"/>
      <c r="JH41" s="532"/>
      <c r="JI41" s="532"/>
      <c r="JO41" s="516"/>
      <c r="JQ41" s="532"/>
      <c r="JR41" s="532"/>
      <c r="JS41" s="532"/>
      <c r="JT41" s="532"/>
      <c r="JU41" s="532"/>
      <c r="JV41" s="532"/>
      <c r="JW41" s="532"/>
      <c r="JX41" s="532"/>
      <c r="JY41" s="532"/>
      <c r="JZ41" s="532"/>
      <c r="KA41" s="532"/>
    </row>
    <row r="42" spans="29:287" ht="4.1500000000000004" customHeight="1">
      <c r="AD42" s="516"/>
      <c r="AK42" s="516"/>
      <c r="AR42" s="517"/>
      <c r="AX42" s="516"/>
      <c r="GA42" s="517"/>
      <c r="HQ42" s="516"/>
      <c r="IH42" s="519"/>
      <c r="II42" s="520"/>
      <c r="IJ42" s="520"/>
      <c r="IK42" s="520"/>
      <c r="IL42" s="521"/>
      <c r="IX42" s="2596">
        <v>0.2</v>
      </c>
      <c r="IY42" s="2597"/>
      <c r="IZ42" s="2597"/>
      <c r="JA42" s="2597"/>
      <c r="JB42" s="2597"/>
      <c r="JC42" s="2597"/>
      <c r="JD42" s="2597"/>
      <c r="JE42" s="2597"/>
      <c r="JF42" s="2597"/>
      <c r="JG42" s="2597"/>
      <c r="JH42" s="2597"/>
      <c r="JI42" s="2597"/>
      <c r="JM42" s="514"/>
      <c r="JN42" s="2623">
        <f>IX42+IX47</f>
        <v>0.60000000000000009</v>
      </c>
      <c r="JO42" s="2624"/>
      <c r="JP42" s="2624"/>
      <c r="JQ42" s="2595"/>
    </row>
    <row r="43" spans="29:287" ht="4.1500000000000004" customHeight="1">
      <c r="AD43" s="516"/>
      <c r="AK43" s="516"/>
      <c r="AR43" s="517"/>
      <c r="AX43" s="516"/>
      <c r="GA43" s="517"/>
      <c r="HQ43" s="516"/>
      <c r="IH43" s="522"/>
      <c r="II43" s="523"/>
      <c r="IJ43" s="523"/>
      <c r="IK43" s="523"/>
      <c r="IL43" s="524"/>
      <c r="IX43" s="2596"/>
      <c r="IY43" s="2596"/>
      <c r="IZ43" s="2596"/>
      <c r="JA43" s="2596"/>
      <c r="JB43" s="2596"/>
      <c r="JC43" s="2596"/>
      <c r="JD43" s="2596"/>
      <c r="JE43" s="2596"/>
      <c r="JF43" s="2596"/>
      <c r="JG43" s="2596"/>
      <c r="JH43" s="2596"/>
      <c r="JI43" s="2596"/>
      <c r="JN43" s="2595"/>
      <c r="JO43" s="2595"/>
      <c r="JP43" s="2595"/>
      <c r="JQ43" s="2595"/>
    </row>
    <row r="44" spans="29:287" ht="4.1500000000000004" customHeight="1">
      <c r="AD44" s="516"/>
      <c r="AK44" s="516"/>
      <c r="AR44" s="517"/>
      <c r="AX44" s="516"/>
      <c r="GA44" s="517"/>
      <c r="HQ44" s="516"/>
      <c r="IH44" s="522"/>
      <c r="II44" s="523"/>
      <c r="IJ44" s="523"/>
      <c r="IK44" s="523"/>
      <c r="IL44" s="524"/>
      <c r="IX44" s="2598"/>
      <c r="IY44" s="2598"/>
      <c r="IZ44" s="2598"/>
      <c r="JA44" s="2598"/>
      <c r="JB44" s="2598"/>
      <c r="JC44" s="2598"/>
      <c r="JD44" s="2598"/>
      <c r="JE44" s="2598"/>
      <c r="JF44" s="2598"/>
      <c r="JG44" s="2598"/>
      <c r="JH44" s="2598"/>
      <c r="JI44" s="2598"/>
      <c r="JN44" s="2595"/>
      <c r="JO44" s="2595"/>
      <c r="JP44" s="2595"/>
      <c r="JQ44" s="2595"/>
    </row>
    <row r="45" spans="29:287" ht="4.1500000000000004" customHeight="1">
      <c r="AD45" s="516"/>
      <c r="AK45" s="516"/>
      <c r="AR45" s="517"/>
      <c r="AX45" s="516"/>
      <c r="GA45" s="517"/>
      <c r="HQ45" s="516"/>
      <c r="IH45" s="2626">
        <f>Z149</f>
        <v>0</v>
      </c>
      <c r="II45" s="2627"/>
      <c r="IJ45" s="2627"/>
      <c r="IK45" s="2627"/>
      <c r="IL45" s="2628"/>
      <c r="IX45" s="514"/>
      <c r="IY45" s="514"/>
      <c r="IZ45" s="514"/>
      <c r="JA45" s="514"/>
      <c r="JB45" s="514"/>
      <c r="JC45" s="514"/>
      <c r="JD45" s="514"/>
      <c r="JE45" s="514"/>
      <c r="JF45" s="514"/>
      <c r="JG45" s="514"/>
      <c r="JH45" s="514"/>
      <c r="JI45" s="514"/>
      <c r="JN45" s="2595"/>
      <c r="JO45" s="2595"/>
      <c r="JP45" s="2595"/>
      <c r="JQ45" s="2595"/>
    </row>
    <row r="46" spans="29:287" ht="4.1500000000000004" customHeight="1">
      <c r="AD46" s="516"/>
      <c r="AK46" s="516"/>
      <c r="AR46" s="517"/>
      <c r="AX46" s="516"/>
      <c r="BE46" s="515"/>
      <c r="BF46" s="514"/>
      <c r="BG46" s="514"/>
      <c r="BH46" s="514"/>
      <c r="BI46" s="514"/>
      <c r="BJ46" s="514"/>
      <c r="BK46" s="514"/>
      <c r="BL46" s="514"/>
      <c r="BM46" s="514"/>
      <c r="BN46" s="514"/>
      <c r="BO46" s="518"/>
      <c r="BZ46" s="515"/>
      <c r="CA46" s="514"/>
      <c r="CB46" s="514"/>
      <c r="CC46" s="514"/>
      <c r="CD46" s="514"/>
      <c r="CE46" s="514"/>
      <c r="CF46" s="514"/>
      <c r="CG46" s="514"/>
      <c r="CH46" s="514"/>
      <c r="CI46" s="514"/>
      <c r="CJ46" s="518"/>
      <c r="CT46" s="515"/>
      <c r="CU46" s="514"/>
      <c r="CV46" s="514"/>
      <c r="CW46" s="514"/>
      <c r="CX46" s="514"/>
      <c r="CY46" s="514"/>
      <c r="CZ46" s="514"/>
      <c r="DA46" s="514"/>
      <c r="DB46" s="514"/>
      <c r="DC46" s="514"/>
      <c r="DD46" s="518"/>
      <c r="DU46" s="515"/>
      <c r="DV46" s="514"/>
      <c r="DW46" s="514"/>
      <c r="DX46" s="514"/>
      <c r="DY46" s="514"/>
      <c r="DZ46" s="514"/>
      <c r="EA46" s="514"/>
      <c r="EB46" s="514"/>
      <c r="EC46" s="514"/>
      <c r="ED46" s="514"/>
      <c r="EE46" s="518"/>
      <c r="EO46" s="515"/>
      <c r="EP46" s="514"/>
      <c r="EQ46" s="514"/>
      <c r="ER46" s="514"/>
      <c r="ES46" s="514"/>
      <c r="ET46" s="514"/>
      <c r="EU46" s="514"/>
      <c r="EV46" s="514"/>
      <c r="EW46" s="514"/>
      <c r="EX46" s="514"/>
      <c r="EY46" s="518"/>
      <c r="FJ46" s="515"/>
      <c r="FK46" s="514"/>
      <c r="FL46" s="514"/>
      <c r="FM46" s="514"/>
      <c r="FN46" s="514"/>
      <c r="FO46" s="514"/>
      <c r="FP46" s="514"/>
      <c r="FQ46" s="514"/>
      <c r="FR46" s="514"/>
      <c r="FS46" s="514"/>
      <c r="FT46" s="518"/>
      <c r="GA46" s="517"/>
      <c r="GB46" s="515"/>
      <c r="GC46" s="514"/>
      <c r="GD46" s="518"/>
      <c r="HQ46" s="516"/>
      <c r="IH46" s="2629"/>
      <c r="II46" s="2630"/>
      <c r="IJ46" s="2630"/>
      <c r="IK46" s="2630"/>
      <c r="IL46" s="2631"/>
      <c r="IX46" s="534"/>
      <c r="IY46" s="534"/>
      <c r="IZ46" s="534"/>
      <c r="JA46" s="534"/>
      <c r="JB46" s="534"/>
      <c r="JC46" s="534"/>
      <c r="JD46" s="534"/>
      <c r="JE46" s="534"/>
      <c r="JF46" s="534"/>
      <c r="JG46" s="534"/>
      <c r="JH46" s="534"/>
      <c r="JI46" s="534"/>
      <c r="JN46" s="2595"/>
      <c r="JO46" s="2595"/>
      <c r="JP46" s="2595"/>
      <c r="JQ46" s="2595"/>
    </row>
    <row r="47" spans="29:287" ht="4.1500000000000004" customHeight="1">
      <c r="AD47" s="516"/>
      <c r="AK47" s="530"/>
      <c r="AL47" s="532"/>
      <c r="AM47" s="532"/>
      <c r="AN47" s="532"/>
      <c r="AO47" s="532"/>
      <c r="AP47" s="532"/>
      <c r="AQ47" s="532"/>
      <c r="AR47" s="531"/>
      <c r="AX47" s="516"/>
      <c r="BE47" s="516"/>
      <c r="BF47" s="515"/>
      <c r="BG47" s="514"/>
      <c r="BH47" s="514"/>
      <c r="BI47" s="514"/>
      <c r="BJ47" s="514"/>
      <c r="BK47" s="514"/>
      <c r="BL47" s="514"/>
      <c r="BM47" s="514"/>
      <c r="BN47" s="518"/>
      <c r="BO47" s="517"/>
      <c r="BZ47" s="516"/>
      <c r="CA47" s="515"/>
      <c r="CB47" s="514"/>
      <c r="CC47" s="514"/>
      <c r="CD47" s="514"/>
      <c r="CE47" s="514"/>
      <c r="CF47" s="514"/>
      <c r="CG47" s="514"/>
      <c r="CH47" s="514"/>
      <c r="CI47" s="518"/>
      <c r="CJ47" s="517"/>
      <c r="CT47" s="516"/>
      <c r="CU47" s="515"/>
      <c r="CV47" s="514"/>
      <c r="CW47" s="514"/>
      <c r="CX47" s="514"/>
      <c r="CY47" s="514"/>
      <c r="CZ47" s="514"/>
      <c r="DA47" s="514"/>
      <c r="DB47" s="514"/>
      <c r="DC47" s="518"/>
      <c r="DD47" s="517"/>
      <c r="DG47" s="515"/>
      <c r="DH47" s="514"/>
      <c r="DI47" s="514"/>
      <c r="DJ47" s="514"/>
      <c r="DK47" s="514"/>
      <c r="DL47" s="518"/>
      <c r="DM47" s="514"/>
      <c r="DN47" s="514"/>
      <c r="DO47" s="514"/>
      <c r="DP47" s="514"/>
      <c r="DQ47" s="514"/>
      <c r="DR47" s="518"/>
      <c r="DU47" s="516"/>
      <c r="DV47" s="515"/>
      <c r="DW47" s="514"/>
      <c r="DX47" s="514"/>
      <c r="DY47" s="514"/>
      <c r="DZ47" s="514"/>
      <c r="EA47" s="514"/>
      <c r="EB47" s="514"/>
      <c r="EC47" s="514"/>
      <c r="ED47" s="518"/>
      <c r="EE47" s="517"/>
      <c r="EO47" s="516"/>
      <c r="EP47" s="515"/>
      <c r="EQ47" s="514"/>
      <c r="ER47" s="514"/>
      <c r="ES47" s="514"/>
      <c r="ET47" s="514"/>
      <c r="EU47" s="514"/>
      <c r="EV47" s="514"/>
      <c r="EW47" s="514"/>
      <c r="EX47" s="518"/>
      <c r="EY47" s="517"/>
      <c r="FJ47" s="516"/>
      <c r="FK47" s="515"/>
      <c r="FL47" s="514"/>
      <c r="FM47" s="514"/>
      <c r="FN47" s="514"/>
      <c r="FO47" s="514"/>
      <c r="FP47" s="514"/>
      <c r="FQ47" s="514"/>
      <c r="FR47" s="514"/>
      <c r="FS47" s="518"/>
      <c r="FT47" s="517"/>
      <c r="GA47" s="517"/>
      <c r="GB47" s="516"/>
      <c r="GD47" s="517"/>
      <c r="HQ47" s="516"/>
      <c r="ID47" s="515"/>
      <c r="IE47" s="514"/>
      <c r="IF47" s="514"/>
      <c r="IG47" s="518"/>
      <c r="IH47" s="2629"/>
      <c r="II47" s="2630"/>
      <c r="IJ47" s="2630"/>
      <c r="IK47" s="2630"/>
      <c r="IL47" s="2631"/>
      <c r="IX47" s="2596">
        <v>0.4</v>
      </c>
      <c r="IY47" s="2596"/>
      <c r="IZ47" s="2596"/>
      <c r="JA47" s="2596"/>
      <c r="JB47" s="2596"/>
      <c r="JC47" s="2596"/>
      <c r="JD47" s="2596"/>
      <c r="JE47" s="2596"/>
      <c r="JF47" s="2596"/>
      <c r="JG47" s="2596"/>
      <c r="JH47" s="2596"/>
      <c r="JI47" s="2596"/>
      <c r="JN47" s="2595"/>
      <c r="JO47" s="2595"/>
      <c r="JP47" s="2595"/>
      <c r="JQ47" s="2595"/>
    </row>
    <row r="48" spans="29:287" ht="4.1500000000000004" customHeight="1">
      <c r="AD48" s="516"/>
      <c r="AX48" s="516"/>
      <c r="BE48" s="516"/>
      <c r="BF48" s="516"/>
      <c r="BN48" s="517"/>
      <c r="BO48" s="517"/>
      <c r="BZ48" s="516"/>
      <c r="CA48" s="516"/>
      <c r="CI48" s="517"/>
      <c r="CJ48" s="517"/>
      <c r="CT48" s="516"/>
      <c r="CU48" s="516"/>
      <c r="DC48" s="517"/>
      <c r="DD48" s="517"/>
      <c r="DG48" s="516"/>
      <c r="DH48" s="515"/>
      <c r="DI48" s="514"/>
      <c r="DJ48" s="514"/>
      <c r="DK48" s="518"/>
      <c r="DL48" s="517"/>
      <c r="DN48" s="515"/>
      <c r="DO48" s="514"/>
      <c r="DP48" s="514"/>
      <c r="DQ48" s="518"/>
      <c r="DR48" s="517"/>
      <c r="DU48" s="516"/>
      <c r="DV48" s="516"/>
      <c r="ED48" s="517"/>
      <c r="EE48" s="517"/>
      <c r="EO48" s="516"/>
      <c r="EP48" s="516"/>
      <c r="EX48" s="517"/>
      <c r="EY48" s="517"/>
      <c r="FJ48" s="516"/>
      <c r="FK48" s="516"/>
      <c r="FS48" s="517"/>
      <c r="FT48" s="517"/>
      <c r="GA48" s="517"/>
      <c r="GB48" s="516"/>
      <c r="GD48" s="517"/>
      <c r="HQ48" s="516"/>
      <c r="ID48" s="516"/>
      <c r="IG48" s="517"/>
      <c r="IH48" s="2629"/>
      <c r="II48" s="2630"/>
      <c r="IJ48" s="2630"/>
      <c r="IK48" s="2630"/>
      <c r="IL48" s="2631"/>
      <c r="IX48" s="2596"/>
      <c r="IY48" s="2596"/>
      <c r="IZ48" s="2596"/>
      <c r="JA48" s="2596"/>
      <c r="JB48" s="2596"/>
      <c r="JC48" s="2596"/>
      <c r="JD48" s="2596"/>
      <c r="JE48" s="2596"/>
      <c r="JF48" s="2596"/>
      <c r="JG48" s="2596"/>
      <c r="JH48" s="2596"/>
      <c r="JI48" s="2596"/>
      <c r="JN48" s="2595"/>
      <c r="JO48" s="2595"/>
      <c r="JP48" s="2595"/>
      <c r="JQ48" s="2595"/>
      <c r="JU48" s="2608" t="s">
        <v>2980</v>
      </c>
      <c r="JV48" s="2608"/>
      <c r="JW48" s="2608"/>
      <c r="JX48" s="2608"/>
      <c r="JY48" s="2608"/>
      <c r="JZ48" s="2608"/>
      <c r="KA48" s="2608"/>
    </row>
    <row r="49" spans="29:287" ht="4.1500000000000004" customHeight="1">
      <c r="AD49" s="516"/>
      <c r="AX49" s="516"/>
      <c r="BE49" s="516"/>
      <c r="BF49" s="516"/>
      <c r="BN49" s="517"/>
      <c r="BO49" s="517"/>
      <c r="BZ49" s="516"/>
      <c r="CA49" s="516"/>
      <c r="CI49" s="517"/>
      <c r="CJ49" s="517"/>
      <c r="CT49" s="516"/>
      <c r="CU49" s="516"/>
      <c r="DC49" s="517"/>
      <c r="DD49" s="517"/>
      <c r="DG49" s="516"/>
      <c r="DH49" s="516"/>
      <c r="DK49" s="517"/>
      <c r="DL49" s="517"/>
      <c r="DN49" s="516"/>
      <c r="DQ49" s="517"/>
      <c r="DR49" s="517"/>
      <c r="DU49" s="516"/>
      <c r="DV49" s="516"/>
      <c r="ED49" s="517"/>
      <c r="EE49" s="517"/>
      <c r="EO49" s="516"/>
      <c r="EP49" s="516"/>
      <c r="EX49" s="517"/>
      <c r="EY49" s="517"/>
      <c r="FJ49" s="516"/>
      <c r="FK49" s="516"/>
      <c r="FS49" s="517"/>
      <c r="FT49" s="517"/>
      <c r="GA49" s="517"/>
      <c r="GB49" s="516"/>
      <c r="GD49" s="517"/>
      <c r="HQ49" s="516"/>
      <c r="HZ49" s="515"/>
      <c r="IA49" s="514"/>
      <c r="IB49" s="514"/>
      <c r="IC49" s="514"/>
      <c r="IH49" s="2629"/>
      <c r="II49" s="2630"/>
      <c r="IJ49" s="2630"/>
      <c r="IK49" s="2630"/>
      <c r="IL49" s="2631"/>
      <c r="IX49" s="2596"/>
      <c r="IY49" s="2596"/>
      <c r="IZ49" s="2596"/>
      <c r="JA49" s="2596"/>
      <c r="JB49" s="2596"/>
      <c r="JC49" s="2596"/>
      <c r="JD49" s="2596"/>
      <c r="JE49" s="2596"/>
      <c r="JF49" s="2596"/>
      <c r="JG49" s="2596"/>
      <c r="JH49" s="2596"/>
      <c r="JI49" s="2596"/>
      <c r="JN49" s="2595"/>
      <c r="JO49" s="2595"/>
      <c r="JP49" s="2595"/>
      <c r="JQ49" s="2595"/>
      <c r="JU49" s="2608"/>
      <c r="JV49" s="2608"/>
      <c r="JW49" s="2608"/>
      <c r="JX49" s="2608"/>
      <c r="JY49" s="2608"/>
      <c r="JZ49" s="2608"/>
      <c r="KA49" s="2608"/>
    </row>
    <row r="50" spans="29:287" ht="4.1500000000000004" customHeight="1">
      <c r="AD50" s="516"/>
      <c r="AX50" s="516"/>
      <c r="BE50" s="516"/>
      <c r="BF50" s="516"/>
      <c r="BN50" s="517"/>
      <c r="BO50" s="517"/>
      <c r="BZ50" s="516"/>
      <c r="CA50" s="516"/>
      <c r="CI50" s="517"/>
      <c r="CJ50" s="517"/>
      <c r="CT50" s="516"/>
      <c r="CU50" s="516"/>
      <c r="DC50" s="517"/>
      <c r="DD50" s="517"/>
      <c r="DG50" s="516"/>
      <c r="DH50" s="516"/>
      <c r="DK50" s="517"/>
      <c r="DL50" s="517"/>
      <c r="DN50" s="516"/>
      <c r="DQ50" s="517"/>
      <c r="DR50" s="517"/>
      <c r="DU50" s="516"/>
      <c r="DV50" s="516"/>
      <c r="ED50" s="517"/>
      <c r="EE50" s="517"/>
      <c r="EO50" s="516"/>
      <c r="EP50" s="516"/>
      <c r="EX50" s="517"/>
      <c r="EY50" s="517"/>
      <c r="FJ50" s="516"/>
      <c r="FK50" s="516"/>
      <c r="FS50" s="517"/>
      <c r="FT50" s="517"/>
      <c r="GA50" s="517"/>
      <c r="GB50" s="516"/>
      <c r="GD50" s="517"/>
      <c r="HN50" s="532"/>
      <c r="HO50" s="532"/>
      <c r="HP50" s="532"/>
      <c r="HQ50" s="530"/>
      <c r="HR50" s="532"/>
      <c r="HS50" s="532"/>
      <c r="HT50" s="532"/>
      <c r="HU50" s="532"/>
      <c r="HV50" s="532"/>
      <c r="HW50" s="532"/>
      <c r="HX50" s="532"/>
      <c r="HY50" s="532"/>
      <c r="HZ50" s="530"/>
      <c r="IA50" s="532"/>
      <c r="IB50" s="532"/>
      <c r="IC50" s="532"/>
      <c r="IH50" s="2632"/>
      <c r="II50" s="2633"/>
      <c r="IJ50" s="2633"/>
      <c r="IK50" s="2633"/>
      <c r="IL50" s="2634"/>
      <c r="IP50" s="532"/>
      <c r="IQ50" s="532"/>
      <c r="IR50" s="532"/>
      <c r="IS50" s="532"/>
      <c r="IT50" s="532"/>
      <c r="IU50" s="532"/>
      <c r="IV50" s="532"/>
      <c r="IW50" s="532"/>
      <c r="IX50" s="535"/>
      <c r="IY50" s="535"/>
      <c r="IZ50" s="535"/>
      <c r="JA50" s="535"/>
      <c r="JB50" s="535"/>
      <c r="JC50" s="535"/>
      <c r="JD50" s="535"/>
      <c r="JE50" s="535"/>
      <c r="JF50" s="535"/>
      <c r="JG50" s="535"/>
      <c r="JH50" s="535"/>
      <c r="JI50" s="535"/>
      <c r="JM50" s="532"/>
      <c r="JN50" s="2625"/>
      <c r="JO50" s="2625"/>
      <c r="JP50" s="2625"/>
      <c r="JQ50" s="2625"/>
      <c r="JR50" s="532"/>
      <c r="JS50" s="532"/>
      <c r="JT50" s="532"/>
      <c r="JU50" s="2635"/>
      <c r="JV50" s="2635"/>
      <c r="JW50" s="2635"/>
      <c r="JX50" s="2635"/>
      <c r="JY50" s="2635"/>
      <c r="JZ50" s="2635"/>
      <c r="KA50" s="2635"/>
    </row>
    <row r="51" spans="29:287" ht="4.1500000000000004" customHeight="1">
      <c r="AD51" s="516"/>
      <c r="AX51" s="516"/>
      <c r="BE51" s="516"/>
      <c r="BF51" s="516"/>
      <c r="BN51" s="517"/>
      <c r="BO51" s="517"/>
      <c r="BZ51" s="516"/>
      <c r="CA51" s="516"/>
      <c r="CI51" s="517"/>
      <c r="CJ51" s="517"/>
      <c r="CT51" s="516"/>
      <c r="CU51" s="516"/>
      <c r="DC51" s="517"/>
      <c r="DD51" s="517"/>
      <c r="DG51" s="516"/>
      <c r="DH51" s="516"/>
      <c r="DK51" s="517"/>
      <c r="DL51" s="517"/>
      <c r="DN51" s="516"/>
      <c r="DQ51" s="517"/>
      <c r="DR51" s="517"/>
      <c r="DU51" s="516"/>
      <c r="DV51" s="516"/>
      <c r="ED51" s="517"/>
      <c r="EE51" s="517"/>
      <c r="EO51" s="516"/>
      <c r="EP51" s="516"/>
      <c r="EX51" s="517"/>
      <c r="EY51" s="517"/>
      <c r="FJ51" s="516"/>
      <c r="FK51" s="516"/>
      <c r="FS51" s="517"/>
      <c r="FT51" s="517"/>
      <c r="GA51" s="517"/>
      <c r="GB51" s="516"/>
      <c r="GD51" s="517"/>
      <c r="HS51" s="514"/>
      <c r="HT51" s="514"/>
      <c r="HU51" s="514"/>
      <c r="HV51" s="514"/>
      <c r="HW51" s="514"/>
      <c r="HX51" s="511"/>
      <c r="HY51" s="512"/>
      <c r="HZ51" s="512"/>
      <c r="IA51" s="512"/>
      <c r="IB51" s="563"/>
      <c r="IC51" s="563"/>
      <c r="ID51" s="563"/>
      <c r="IE51" s="564"/>
      <c r="IF51" s="2602">
        <v>0.3</v>
      </c>
      <c r="IG51" s="2597"/>
      <c r="IH51" s="2597"/>
      <c r="II51" s="2597"/>
      <c r="IJ51" s="2597"/>
      <c r="IK51" s="2597"/>
      <c r="IL51" s="2597"/>
      <c r="IM51" s="2597"/>
      <c r="IN51" s="2603"/>
      <c r="IO51" s="565"/>
      <c r="IP51" s="565"/>
      <c r="IQ51" s="565"/>
      <c r="IR51" s="565"/>
      <c r="IW51" s="514"/>
      <c r="IX51" s="514"/>
      <c r="IY51" s="514"/>
      <c r="IZ51" s="514"/>
      <c r="JA51" s="514"/>
      <c r="JB51" s="514"/>
      <c r="JC51" s="514"/>
      <c r="JD51" s="514"/>
      <c r="JE51" s="514"/>
      <c r="JF51" s="514"/>
      <c r="JG51" s="514"/>
      <c r="JH51" s="514"/>
      <c r="JI51" s="514"/>
      <c r="JM51" s="514"/>
      <c r="JN51" s="514"/>
      <c r="JO51" s="514"/>
      <c r="JP51" s="515"/>
      <c r="JQ51" s="514"/>
      <c r="JR51" s="514"/>
    </row>
    <row r="52" spans="29:287" ht="4.1500000000000004" customHeight="1">
      <c r="AD52" s="516"/>
      <c r="AX52" s="516"/>
      <c r="BE52" s="516"/>
      <c r="BF52" s="516"/>
      <c r="BN52" s="517"/>
      <c r="BO52" s="517"/>
      <c r="BZ52" s="516"/>
      <c r="CA52" s="516"/>
      <c r="CI52" s="517"/>
      <c r="CJ52" s="517"/>
      <c r="CT52" s="516"/>
      <c r="CU52" s="516"/>
      <c r="DC52" s="517"/>
      <c r="DD52" s="517"/>
      <c r="DG52" s="516"/>
      <c r="DH52" s="516"/>
      <c r="DK52" s="517"/>
      <c r="DL52" s="517"/>
      <c r="DN52" s="516"/>
      <c r="DQ52" s="517"/>
      <c r="DR52" s="517"/>
      <c r="DU52" s="516"/>
      <c r="DV52" s="516"/>
      <c r="ED52" s="517"/>
      <c r="EE52" s="517"/>
      <c r="EO52" s="516"/>
      <c r="EP52" s="516"/>
      <c r="EX52" s="517"/>
      <c r="EY52" s="517"/>
      <c r="FJ52" s="516"/>
      <c r="FK52" s="516"/>
      <c r="FS52" s="517"/>
      <c r="FT52" s="517"/>
      <c r="GA52" s="517"/>
      <c r="GB52" s="516"/>
      <c r="GD52" s="517"/>
      <c r="HX52" s="511"/>
      <c r="HY52" s="512"/>
      <c r="HZ52" s="512"/>
      <c r="IA52" s="512"/>
      <c r="IB52" s="563"/>
      <c r="IC52" s="563"/>
      <c r="ID52" s="563"/>
      <c r="IE52" s="564"/>
      <c r="IF52" s="2604"/>
      <c r="IG52" s="2596"/>
      <c r="IH52" s="2596"/>
      <c r="II52" s="2596"/>
      <c r="IJ52" s="2596"/>
      <c r="IK52" s="2596"/>
      <c r="IL52" s="2596"/>
      <c r="IM52" s="2596"/>
      <c r="IN52" s="2605"/>
      <c r="IO52" s="565"/>
      <c r="IP52" s="565"/>
      <c r="IQ52" s="565"/>
      <c r="IR52" s="565"/>
      <c r="IX52" s="2608">
        <v>0.22500000000000001</v>
      </c>
      <c r="IY52" s="2608"/>
      <c r="IZ52" s="2608"/>
      <c r="JA52" s="2608"/>
      <c r="JB52" s="2608"/>
      <c r="JC52" s="2608"/>
      <c r="JD52" s="2608"/>
      <c r="JE52" s="2608"/>
      <c r="JF52" s="2608"/>
      <c r="JG52" s="2608"/>
      <c r="JH52" s="2608"/>
      <c r="JI52" s="2608"/>
      <c r="JP52" s="516"/>
    </row>
    <row r="53" spans="29:287" ht="4.1500000000000004" customHeight="1">
      <c r="AD53" s="516"/>
      <c r="AX53" s="516"/>
      <c r="BE53" s="516"/>
      <c r="BF53" s="516"/>
      <c r="BN53" s="517"/>
      <c r="BO53" s="517"/>
      <c r="BZ53" s="516"/>
      <c r="CA53" s="516"/>
      <c r="CI53" s="517"/>
      <c r="CJ53" s="517"/>
      <c r="CT53" s="516"/>
      <c r="CU53" s="516"/>
      <c r="DC53" s="517"/>
      <c r="DD53" s="517"/>
      <c r="DG53" s="516"/>
      <c r="DH53" s="516"/>
      <c r="DK53" s="1595"/>
      <c r="DL53" s="513"/>
      <c r="DM53" s="512"/>
      <c r="DN53" s="1595"/>
      <c r="DQ53" s="517"/>
      <c r="DR53" s="517"/>
      <c r="DU53" s="516"/>
      <c r="DV53" s="516"/>
      <c r="ED53" s="517"/>
      <c r="EE53" s="517"/>
      <c r="EO53" s="516"/>
      <c r="EP53" s="516"/>
      <c r="EX53" s="517"/>
      <c r="EY53" s="517"/>
      <c r="FJ53" s="516"/>
      <c r="FK53" s="516"/>
      <c r="FS53" s="517"/>
      <c r="FT53" s="517"/>
      <c r="GA53" s="517"/>
      <c r="GB53" s="516"/>
      <c r="GD53" s="517"/>
      <c r="IB53" s="565"/>
      <c r="IC53" s="565"/>
      <c r="ID53" s="565"/>
      <c r="IE53" s="565"/>
      <c r="IF53" s="2604"/>
      <c r="IG53" s="2596"/>
      <c r="IH53" s="2596"/>
      <c r="II53" s="2596"/>
      <c r="IJ53" s="2596"/>
      <c r="IK53" s="2596"/>
      <c r="IL53" s="2596"/>
      <c r="IM53" s="2596"/>
      <c r="IN53" s="2605"/>
      <c r="IO53" s="565"/>
      <c r="IP53" s="565"/>
      <c r="IQ53" s="565"/>
      <c r="IR53" s="565"/>
      <c r="IX53" s="2608"/>
      <c r="IY53" s="2608"/>
      <c r="IZ53" s="2608"/>
      <c r="JA53" s="2608"/>
      <c r="JB53" s="2608"/>
      <c r="JC53" s="2608"/>
      <c r="JD53" s="2608"/>
      <c r="JE53" s="2608"/>
      <c r="JF53" s="2608"/>
      <c r="JG53" s="2608"/>
      <c r="JH53" s="2608"/>
      <c r="JI53" s="2608"/>
      <c r="JP53" s="516"/>
    </row>
    <row r="54" spans="29:287" ht="4.1500000000000004" customHeight="1">
      <c r="AD54" s="516"/>
      <c r="AX54" s="516"/>
      <c r="BE54" s="516"/>
      <c r="BF54" s="530"/>
      <c r="BG54" s="532"/>
      <c r="BH54" s="532"/>
      <c r="BI54" s="532"/>
      <c r="BJ54" s="532"/>
      <c r="BK54" s="532"/>
      <c r="BL54" s="532"/>
      <c r="BM54" s="532"/>
      <c r="BN54" s="531"/>
      <c r="BO54" s="517"/>
      <c r="BZ54" s="516"/>
      <c r="CA54" s="530"/>
      <c r="CB54" s="532"/>
      <c r="CC54" s="532"/>
      <c r="CD54" s="532"/>
      <c r="CE54" s="532"/>
      <c r="CF54" s="532"/>
      <c r="CG54" s="532"/>
      <c r="CH54" s="532"/>
      <c r="CI54" s="531"/>
      <c r="CJ54" s="517"/>
      <c r="CT54" s="516"/>
      <c r="CU54" s="530"/>
      <c r="CV54" s="532"/>
      <c r="CW54" s="532"/>
      <c r="CX54" s="532"/>
      <c r="CY54" s="532"/>
      <c r="CZ54" s="532"/>
      <c r="DA54" s="532"/>
      <c r="DB54" s="532"/>
      <c r="DC54" s="531"/>
      <c r="DD54" s="517"/>
      <c r="DG54" s="516"/>
      <c r="DH54" s="516"/>
      <c r="DK54" s="517"/>
      <c r="DL54" s="517"/>
      <c r="DN54" s="516"/>
      <c r="DQ54" s="517"/>
      <c r="DR54" s="517"/>
      <c r="DU54" s="516"/>
      <c r="DV54" s="530"/>
      <c r="DW54" s="532"/>
      <c r="DX54" s="532"/>
      <c r="DY54" s="532"/>
      <c r="DZ54" s="532"/>
      <c r="EA54" s="532"/>
      <c r="EB54" s="532"/>
      <c r="EC54" s="532"/>
      <c r="ED54" s="531"/>
      <c r="EE54" s="517"/>
      <c r="EO54" s="516"/>
      <c r="EP54" s="530"/>
      <c r="EQ54" s="532"/>
      <c r="ER54" s="532"/>
      <c r="ES54" s="532"/>
      <c r="ET54" s="532"/>
      <c r="EU54" s="532"/>
      <c r="EV54" s="532"/>
      <c r="EW54" s="532"/>
      <c r="EX54" s="531"/>
      <c r="EY54" s="517"/>
      <c r="FJ54" s="516"/>
      <c r="FK54" s="530"/>
      <c r="FL54" s="532"/>
      <c r="FM54" s="532"/>
      <c r="FN54" s="532"/>
      <c r="FO54" s="532"/>
      <c r="FP54" s="532"/>
      <c r="FQ54" s="532"/>
      <c r="FR54" s="532"/>
      <c r="FS54" s="531"/>
      <c r="FT54" s="517"/>
      <c r="GA54" s="517"/>
      <c r="GB54" s="516"/>
      <c r="GD54" s="517"/>
      <c r="IB54" s="565"/>
      <c r="IC54" s="565"/>
      <c r="ID54" s="565"/>
      <c r="IE54" s="565"/>
      <c r="IF54" s="2604"/>
      <c r="IG54" s="2596"/>
      <c r="IH54" s="2596"/>
      <c r="II54" s="2596"/>
      <c r="IJ54" s="2596"/>
      <c r="IK54" s="2596"/>
      <c r="IL54" s="2596"/>
      <c r="IM54" s="2596"/>
      <c r="IN54" s="2605"/>
      <c r="IO54" s="565"/>
      <c r="IP54" s="565"/>
      <c r="IQ54" s="565"/>
      <c r="IR54" s="565"/>
      <c r="IX54" s="2608"/>
      <c r="IY54" s="2608"/>
      <c r="IZ54" s="2608"/>
      <c r="JA54" s="2608"/>
      <c r="JB54" s="2608"/>
      <c r="JC54" s="2608"/>
      <c r="JD54" s="2608"/>
      <c r="JE54" s="2608"/>
      <c r="JF54" s="2608"/>
      <c r="JG54" s="2608"/>
      <c r="JH54" s="2608"/>
      <c r="JI54" s="2608"/>
      <c r="JP54" s="516"/>
    </row>
    <row r="55" spans="29:287" ht="4.1500000000000004" customHeight="1">
      <c r="AD55" s="516"/>
      <c r="AX55" s="516"/>
      <c r="BE55" s="530"/>
      <c r="BF55" s="532"/>
      <c r="BG55" s="532"/>
      <c r="BH55" s="532"/>
      <c r="BI55" s="532"/>
      <c r="BJ55" s="532"/>
      <c r="BK55" s="532"/>
      <c r="BL55" s="532"/>
      <c r="BM55" s="532"/>
      <c r="BN55" s="532"/>
      <c r="BO55" s="531"/>
      <c r="BZ55" s="530"/>
      <c r="CA55" s="532"/>
      <c r="CB55" s="532"/>
      <c r="CC55" s="532"/>
      <c r="CD55" s="532"/>
      <c r="CE55" s="532"/>
      <c r="CF55" s="532"/>
      <c r="CG55" s="532"/>
      <c r="CH55" s="532"/>
      <c r="CI55" s="532"/>
      <c r="CJ55" s="531"/>
      <c r="CT55" s="530"/>
      <c r="CU55" s="532"/>
      <c r="CV55" s="532"/>
      <c r="CW55" s="532"/>
      <c r="CX55" s="532"/>
      <c r="CY55" s="532"/>
      <c r="CZ55" s="532"/>
      <c r="DA55" s="532"/>
      <c r="DB55" s="532"/>
      <c r="DC55" s="532"/>
      <c r="DD55" s="531"/>
      <c r="DG55" s="516"/>
      <c r="DH55" s="516"/>
      <c r="DK55" s="517"/>
      <c r="DL55" s="517"/>
      <c r="DN55" s="516"/>
      <c r="DQ55" s="517"/>
      <c r="DR55" s="517"/>
      <c r="DU55" s="530"/>
      <c r="DV55" s="532"/>
      <c r="DW55" s="532"/>
      <c r="DX55" s="532"/>
      <c r="DY55" s="532"/>
      <c r="DZ55" s="532"/>
      <c r="EA55" s="532"/>
      <c r="EB55" s="532"/>
      <c r="EC55" s="532"/>
      <c r="ED55" s="532"/>
      <c r="EE55" s="531"/>
      <c r="EO55" s="530"/>
      <c r="EP55" s="532"/>
      <c r="EQ55" s="532"/>
      <c r="ER55" s="532"/>
      <c r="ES55" s="532"/>
      <c r="ET55" s="532"/>
      <c r="EU55" s="532"/>
      <c r="EV55" s="532"/>
      <c r="EW55" s="532"/>
      <c r="EX55" s="532"/>
      <c r="EY55" s="531"/>
      <c r="FJ55" s="530"/>
      <c r="FK55" s="532"/>
      <c r="FL55" s="532"/>
      <c r="FM55" s="532"/>
      <c r="FN55" s="532"/>
      <c r="FO55" s="532"/>
      <c r="FP55" s="532"/>
      <c r="FQ55" s="532"/>
      <c r="FR55" s="532"/>
      <c r="FS55" s="532"/>
      <c r="FT55" s="531"/>
      <c r="GA55" s="517"/>
      <c r="GB55" s="530"/>
      <c r="GC55" s="532"/>
      <c r="GD55" s="531"/>
      <c r="IB55" s="565"/>
      <c r="IC55" s="565"/>
      <c r="ID55" s="565"/>
      <c r="IE55" s="565"/>
      <c r="IF55" s="2606"/>
      <c r="IG55" s="2598"/>
      <c r="IH55" s="2598"/>
      <c r="II55" s="2598"/>
      <c r="IJ55" s="2598"/>
      <c r="IK55" s="2598"/>
      <c r="IL55" s="2598"/>
      <c r="IM55" s="2598"/>
      <c r="IN55" s="2607"/>
      <c r="IO55" s="565"/>
      <c r="IP55" s="565"/>
      <c r="IQ55" s="565"/>
      <c r="IR55" s="565"/>
      <c r="IX55" s="532"/>
      <c r="IY55" s="532"/>
      <c r="IZ55" s="532"/>
      <c r="JA55" s="532"/>
      <c r="JB55" s="532"/>
      <c r="JC55" s="532"/>
      <c r="JD55" s="532"/>
      <c r="JE55" s="532"/>
      <c r="JF55" s="532"/>
      <c r="JG55" s="532"/>
      <c r="JH55" s="532"/>
      <c r="JI55" s="532"/>
      <c r="JP55" s="516"/>
    </row>
    <row r="56" spans="29:287" ht="4.1500000000000004" customHeight="1">
      <c r="AD56" s="516"/>
      <c r="AX56" s="516"/>
      <c r="DG56" s="516"/>
      <c r="DH56" s="516"/>
      <c r="DK56" s="517"/>
      <c r="DL56" s="517"/>
      <c r="DN56" s="516"/>
      <c r="DQ56" s="517"/>
      <c r="DR56" s="517"/>
      <c r="GA56" s="517"/>
      <c r="IB56" s="565"/>
      <c r="IC56" s="565"/>
      <c r="ID56" s="2602">
        <v>0.5</v>
      </c>
      <c r="IE56" s="2597"/>
      <c r="IF56" s="2597"/>
      <c r="IG56" s="2597"/>
      <c r="IH56" s="2597"/>
      <c r="II56" s="2597"/>
      <c r="IJ56" s="2597"/>
      <c r="IK56" s="2597"/>
      <c r="IL56" s="2597"/>
      <c r="IM56" s="2597"/>
      <c r="IN56" s="2597"/>
      <c r="IO56" s="2597"/>
      <c r="IP56" s="2603"/>
      <c r="IQ56" s="565"/>
      <c r="IR56" s="565"/>
      <c r="JP56" s="516"/>
    </row>
    <row r="57" spans="29:287" ht="4.1500000000000004" customHeight="1">
      <c r="AD57" s="516"/>
      <c r="AX57" s="516"/>
      <c r="DG57" s="516"/>
      <c r="DH57" s="516"/>
      <c r="DK57" s="517"/>
      <c r="DL57" s="517"/>
      <c r="DN57" s="516"/>
      <c r="DQ57" s="517"/>
      <c r="DR57" s="517"/>
      <c r="GA57" s="517"/>
      <c r="IB57" s="565"/>
      <c r="IC57" s="565"/>
      <c r="ID57" s="2604"/>
      <c r="IE57" s="2596"/>
      <c r="IF57" s="2596"/>
      <c r="IG57" s="2596"/>
      <c r="IH57" s="2596"/>
      <c r="II57" s="2596"/>
      <c r="IJ57" s="2596"/>
      <c r="IK57" s="2596"/>
      <c r="IL57" s="2596"/>
      <c r="IM57" s="2596"/>
      <c r="IN57" s="2596"/>
      <c r="IO57" s="2596"/>
      <c r="IP57" s="2605"/>
      <c r="IQ57" s="565"/>
      <c r="IR57" s="565"/>
      <c r="IX57" s="2608">
        <v>0.22500000000000001</v>
      </c>
      <c r="IY57" s="2608"/>
      <c r="IZ57" s="2608"/>
      <c r="JA57" s="2608"/>
      <c r="JB57" s="2608"/>
      <c r="JC57" s="2608"/>
      <c r="JD57" s="2608"/>
      <c r="JE57" s="2608"/>
      <c r="JF57" s="2608"/>
      <c r="JG57" s="2608"/>
      <c r="JH57" s="2608"/>
      <c r="JI57" s="2608"/>
      <c r="JN57" s="2616">
        <f>IX52+IX57+IX62+IX66+IX69</f>
        <v>0.97500000000000009</v>
      </c>
      <c r="JO57" s="2616"/>
      <c r="JP57" s="2616"/>
      <c r="JQ57" s="2616"/>
    </row>
    <row r="58" spans="29:287" ht="4.1500000000000004" customHeight="1">
      <c r="AD58" s="516"/>
      <c r="AX58" s="516"/>
      <c r="DG58" s="516"/>
      <c r="DH58" s="530"/>
      <c r="DI58" s="532"/>
      <c r="DJ58" s="532"/>
      <c r="DK58" s="531"/>
      <c r="DL58" s="517"/>
      <c r="DN58" s="530"/>
      <c r="DO58" s="532"/>
      <c r="DP58" s="532"/>
      <c r="DQ58" s="531"/>
      <c r="DR58" s="517"/>
      <c r="GA58" s="517"/>
      <c r="IB58" s="565"/>
      <c r="IC58" s="565"/>
      <c r="ID58" s="2604"/>
      <c r="IE58" s="2596"/>
      <c r="IF58" s="2596"/>
      <c r="IG58" s="2596"/>
      <c r="IH58" s="2596"/>
      <c r="II58" s="2596"/>
      <c r="IJ58" s="2596"/>
      <c r="IK58" s="2596"/>
      <c r="IL58" s="2596"/>
      <c r="IM58" s="2596"/>
      <c r="IN58" s="2596"/>
      <c r="IO58" s="2596"/>
      <c r="IP58" s="2605"/>
      <c r="IQ58" s="565"/>
      <c r="IR58" s="565"/>
      <c r="IX58" s="2608"/>
      <c r="IY58" s="2608"/>
      <c r="IZ58" s="2608"/>
      <c r="JA58" s="2608"/>
      <c r="JB58" s="2608"/>
      <c r="JC58" s="2608"/>
      <c r="JD58" s="2608"/>
      <c r="JE58" s="2608"/>
      <c r="JF58" s="2608"/>
      <c r="JG58" s="2608"/>
      <c r="JH58" s="2608"/>
      <c r="JI58" s="2608"/>
      <c r="JN58" s="2616"/>
      <c r="JO58" s="2616"/>
      <c r="JP58" s="2616"/>
      <c r="JQ58" s="2616"/>
    </row>
    <row r="59" spans="29:287" ht="4.1500000000000004" customHeight="1">
      <c r="AD59" s="530"/>
      <c r="AE59" s="532"/>
      <c r="AF59" s="532"/>
      <c r="AG59" s="532"/>
      <c r="AH59" s="532"/>
      <c r="AI59" s="532"/>
      <c r="AJ59" s="532"/>
      <c r="AK59" s="532"/>
      <c r="AL59" s="532"/>
      <c r="AM59" s="532"/>
      <c r="AN59" s="532"/>
      <c r="AO59" s="532"/>
      <c r="AP59" s="532"/>
      <c r="AQ59" s="532"/>
      <c r="AR59" s="532"/>
      <c r="AS59" s="532"/>
      <c r="AT59" s="532"/>
      <c r="AU59" s="532"/>
      <c r="AV59" s="532"/>
      <c r="AW59" s="532"/>
      <c r="AX59" s="530"/>
      <c r="AY59" s="532"/>
      <c r="AZ59" s="532"/>
      <c r="BA59" s="532"/>
      <c r="BB59" s="532"/>
      <c r="BC59" s="532"/>
      <c r="BD59" s="532"/>
      <c r="BE59" s="532"/>
      <c r="BF59" s="532"/>
      <c r="BG59" s="532"/>
      <c r="BH59" s="532"/>
      <c r="BI59" s="532"/>
      <c r="BJ59" s="532"/>
      <c r="BK59" s="532"/>
      <c r="BL59" s="532"/>
      <c r="BM59" s="532"/>
      <c r="BN59" s="532"/>
      <c r="BO59" s="532"/>
      <c r="BP59" s="532"/>
      <c r="BQ59" s="532"/>
      <c r="BR59" s="532"/>
      <c r="BS59" s="532"/>
      <c r="BT59" s="532"/>
      <c r="BU59" s="532"/>
      <c r="BV59" s="532"/>
      <c r="BW59" s="532"/>
      <c r="BX59" s="532"/>
      <c r="BY59" s="532"/>
      <c r="BZ59" s="532"/>
      <c r="CA59" s="532"/>
      <c r="CB59" s="532"/>
      <c r="CC59" s="532"/>
      <c r="CD59" s="532"/>
      <c r="CE59" s="532"/>
      <c r="CF59" s="532"/>
      <c r="CG59" s="532"/>
      <c r="CH59" s="532"/>
      <c r="CI59" s="532"/>
      <c r="CJ59" s="532"/>
      <c r="CK59" s="532"/>
      <c r="CL59" s="532"/>
      <c r="CM59" s="532"/>
      <c r="CN59" s="532"/>
      <c r="CO59" s="532"/>
      <c r="CP59" s="532"/>
      <c r="CQ59" s="532"/>
      <c r="CR59" s="532"/>
      <c r="CS59" s="532"/>
      <c r="CT59" s="532"/>
      <c r="CU59" s="532"/>
      <c r="CV59" s="532"/>
      <c r="CW59" s="532"/>
      <c r="CX59" s="532"/>
      <c r="CY59" s="532"/>
      <c r="CZ59" s="532"/>
      <c r="DA59" s="532"/>
      <c r="DB59" s="532"/>
      <c r="DC59" s="532"/>
      <c r="DD59" s="532"/>
      <c r="DE59" s="532"/>
      <c r="DF59" s="532"/>
      <c r="DG59" s="530"/>
      <c r="DH59" s="532"/>
      <c r="DI59" s="532"/>
      <c r="DJ59" s="532"/>
      <c r="DK59" s="532"/>
      <c r="DL59" s="531"/>
      <c r="DM59" s="532"/>
      <c r="DN59" s="532"/>
      <c r="DO59" s="532"/>
      <c r="DP59" s="532"/>
      <c r="DQ59" s="532"/>
      <c r="DR59" s="531"/>
      <c r="DS59" s="532"/>
      <c r="DT59" s="532"/>
      <c r="DU59" s="532"/>
      <c r="DV59" s="532"/>
      <c r="DW59" s="532"/>
      <c r="DX59" s="532"/>
      <c r="DY59" s="532"/>
      <c r="DZ59" s="532"/>
      <c r="EA59" s="532"/>
      <c r="EB59" s="532"/>
      <c r="EC59" s="532"/>
      <c r="ED59" s="532"/>
      <c r="EE59" s="532"/>
      <c r="EF59" s="532"/>
      <c r="EG59" s="532"/>
      <c r="EH59" s="532"/>
      <c r="EI59" s="532"/>
      <c r="EJ59" s="532"/>
      <c r="EK59" s="532"/>
      <c r="EL59" s="532"/>
      <c r="EM59" s="532"/>
      <c r="EN59" s="532"/>
      <c r="EO59" s="532"/>
      <c r="EP59" s="532"/>
      <c r="EQ59" s="532"/>
      <c r="ER59" s="532"/>
      <c r="ES59" s="532"/>
      <c r="ET59" s="532"/>
      <c r="EU59" s="532"/>
      <c r="EV59" s="532"/>
      <c r="EW59" s="532"/>
      <c r="EX59" s="532"/>
      <c r="EY59" s="532"/>
      <c r="EZ59" s="532"/>
      <c r="FA59" s="532"/>
      <c r="FB59" s="532"/>
      <c r="FC59" s="532"/>
      <c r="FD59" s="532"/>
      <c r="FE59" s="532"/>
      <c r="FF59" s="532"/>
      <c r="FG59" s="532"/>
      <c r="FH59" s="532"/>
      <c r="FI59" s="532"/>
      <c r="FJ59" s="532"/>
      <c r="FK59" s="532"/>
      <c r="FL59" s="532"/>
      <c r="FM59" s="532"/>
      <c r="FN59" s="532"/>
      <c r="FO59" s="532"/>
      <c r="FP59" s="532"/>
      <c r="FQ59" s="532"/>
      <c r="FR59" s="532"/>
      <c r="FS59" s="532"/>
      <c r="FT59" s="532"/>
      <c r="FU59" s="532"/>
      <c r="FV59" s="532"/>
      <c r="FW59" s="532"/>
      <c r="FX59" s="532"/>
      <c r="FY59" s="532"/>
      <c r="FZ59" s="532"/>
      <c r="GA59" s="531"/>
      <c r="IB59" s="565"/>
      <c r="IC59" s="565"/>
      <c r="ID59" s="2604"/>
      <c r="IE59" s="2596"/>
      <c r="IF59" s="2596"/>
      <c r="IG59" s="2596"/>
      <c r="IH59" s="2596"/>
      <c r="II59" s="2596"/>
      <c r="IJ59" s="2596"/>
      <c r="IK59" s="2596"/>
      <c r="IL59" s="2596"/>
      <c r="IM59" s="2596"/>
      <c r="IN59" s="2596"/>
      <c r="IO59" s="2596"/>
      <c r="IP59" s="2605"/>
      <c r="IQ59" s="565"/>
      <c r="IR59" s="565"/>
      <c r="IX59" s="2608"/>
      <c r="IY59" s="2608"/>
      <c r="IZ59" s="2608"/>
      <c r="JA59" s="2608"/>
      <c r="JB59" s="2608"/>
      <c r="JC59" s="2608"/>
      <c r="JD59" s="2608"/>
      <c r="JE59" s="2608"/>
      <c r="JF59" s="2608"/>
      <c r="JG59" s="2608"/>
      <c r="JH59" s="2608"/>
      <c r="JI59" s="2608"/>
      <c r="JN59" s="2616"/>
      <c r="JO59" s="2616"/>
      <c r="JP59" s="2616"/>
      <c r="JQ59" s="2616"/>
    </row>
    <row r="60" spans="29:287" ht="4.1500000000000004" customHeight="1">
      <c r="AC60" s="515"/>
      <c r="AD60" s="514"/>
      <c r="AE60" s="514"/>
      <c r="AF60" s="514"/>
      <c r="AG60" s="514"/>
      <c r="AH60" s="514"/>
      <c r="AI60" s="514"/>
      <c r="AJ60" s="514"/>
      <c r="AK60" s="514"/>
      <c r="AL60" s="514"/>
      <c r="AM60" s="514"/>
      <c r="AN60" s="514"/>
      <c r="AO60" s="514"/>
      <c r="AP60" s="514"/>
      <c r="AQ60" s="514"/>
      <c r="AR60" s="514"/>
      <c r="AS60" s="514"/>
      <c r="AT60" s="514"/>
      <c r="AU60" s="514"/>
      <c r="AV60" s="514"/>
      <c r="AW60" s="514"/>
      <c r="AX60" s="514"/>
      <c r="AY60" s="2617"/>
      <c r="AZ60" s="2617"/>
      <c r="BA60" s="2617"/>
      <c r="BB60" s="2617"/>
      <c r="BC60" s="2617"/>
      <c r="BD60" s="2617"/>
      <c r="BE60" s="2617"/>
      <c r="BF60" s="2617"/>
      <c r="BG60" s="2617"/>
      <c r="BH60" s="2617"/>
      <c r="BI60" s="2617"/>
      <c r="BJ60" s="2617"/>
      <c r="BK60" s="2617"/>
      <c r="BL60" s="2617"/>
      <c r="BM60" s="2617"/>
      <c r="BN60" s="2617"/>
      <c r="BO60" s="2617"/>
      <c r="BP60" s="2617"/>
      <c r="BQ60" s="2617"/>
      <c r="BR60" s="2617"/>
      <c r="BS60" s="2617"/>
      <c r="BT60" s="2617"/>
      <c r="BU60" s="2617"/>
      <c r="BV60" s="2617"/>
      <c r="BW60" s="2617"/>
      <c r="BX60" s="2617"/>
      <c r="BY60" s="2617"/>
      <c r="BZ60" s="2617"/>
      <c r="CA60" s="2617"/>
      <c r="CB60" s="2617"/>
      <c r="CC60" s="2617"/>
      <c r="CD60" s="2617"/>
      <c r="CE60" s="2617"/>
      <c r="CF60" s="2617"/>
      <c r="CG60" s="2617"/>
      <c r="CH60" s="2617"/>
      <c r="CI60" s="2617"/>
      <c r="CJ60" s="2617"/>
      <c r="CK60" s="2617"/>
      <c r="CL60" s="2617"/>
      <c r="CM60" s="2617"/>
      <c r="CN60" s="2617"/>
      <c r="CO60" s="2618"/>
      <c r="CP60" s="515"/>
      <c r="CQ60" s="514"/>
      <c r="CR60" s="514"/>
      <c r="CS60" s="514"/>
      <c r="CT60" s="514"/>
      <c r="CU60" s="514"/>
      <c r="CV60" s="514"/>
      <c r="CW60" s="514"/>
      <c r="CX60" s="514"/>
      <c r="CY60" s="514"/>
      <c r="CZ60" s="514"/>
      <c r="DA60" s="514"/>
      <c r="DB60" s="514"/>
      <c r="DC60" s="514"/>
      <c r="DD60" s="514"/>
      <c r="DE60" s="514"/>
      <c r="DF60" s="514"/>
      <c r="DG60" s="514"/>
      <c r="DH60" s="514"/>
      <c r="DI60" s="514"/>
      <c r="DJ60" s="514"/>
      <c r="DK60" s="514"/>
      <c r="DL60" s="514"/>
      <c r="DM60" s="514"/>
      <c r="DN60" s="514"/>
      <c r="DO60" s="514"/>
      <c r="DP60" s="514"/>
      <c r="DQ60" s="514"/>
      <c r="DR60" s="514"/>
      <c r="DS60" s="514"/>
      <c r="DT60" s="514"/>
      <c r="DU60" s="514"/>
      <c r="DV60" s="514"/>
      <c r="DW60" s="514"/>
      <c r="DX60" s="514"/>
      <c r="DY60" s="514"/>
      <c r="DZ60" s="514"/>
      <c r="EA60" s="514"/>
      <c r="EB60" s="514"/>
      <c r="EC60" s="514"/>
      <c r="ED60" s="514"/>
      <c r="EE60" s="514"/>
      <c r="EF60" s="514"/>
      <c r="EG60" s="514"/>
      <c r="EH60" s="514"/>
      <c r="EI60" s="518"/>
      <c r="EJ60" s="514"/>
      <c r="EK60" s="514"/>
      <c r="EL60" s="514"/>
      <c r="EM60" s="514"/>
      <c r="EN60" s="514"/>
      <c r="EO60" s="514"/>
      <c r="EP60" s="514"/>
      <c r="EQ60" s="514"/>
      <c r="ER60" s="514"/>
      <c r="ES60" s="514"/>
      <c r="ET60" s="514"/>
      <c r="EU60" s="514"/>
      <c r="EV60" s="514"/>
      <c r="EW60" s="514"/>
      <c r="EX60" s="514"/>
      <c r="EY60" s="514"/>
      <c r="EZ60" s="514"/>
      <c r="FA60" s="514"/>
      <c r="FB60" s="514"/>
      <c r="FC60" s="514"/>
      <c r="FD60" s="514"/>
      <c r="FE60" s="514"/>
      <c r="FF60" s="514"/>
      <c r="FG60" s="514"/>
      <c r="FH60" s="514"/>
      <c r="FI60" s="514"/>
      <c r="FJ60" s="514"/>
      <c r="FK60" s="514"/>
      <c r="FL60" s="514"/>
      <c r="FM60" s="514"/>
      <c r="FN60" s="514"/>
      <c r="FO60" s="514"/>
      <c r="FP60" s="514"/>
      <c r="FQ60" s="514"/>
      <c r="FR60" s="514"/>
      <c r="FS60" s="514"/>
      <c r="FT60" s="514"/>
      <c r="FU60" s="514"/>
      <c r="FV60" s="514"/>
      <c r="FW60" s="514"/>
      <c r="FX60" s="514"/>
      <c r="FY60" s="514"/>
      <c r="FZ60" s="514"/>
      <c r="GA60" s="514"/>
      <c r="GB60" s="518"/>
      <c r="IB60" s="565"/>
      <c r="IC60" s="565"/>
      <c r="ID60" s="2606"/>
      <c r="IE60" s="2598"/>
      <c r="IF60" s="2598"/>
      <c r="IG60" s="2598"/>
      <c r="IH60" s="2598"/>
      <c r="II60" s="2598"/>
      <c r="IJ60" s="2598"/>
      <c r="IK60" s="2598"/>
      <c r="IL60" s="2598"/>
      <c r="IM60" s="2598"/>
      <c r="IN60" s="2598"/>
      <c r="IO60" s="2598"/>
      <c r="IP60" s="2607"/>
      <c r="IQ60" s="565"/>
      <c r="IR60" s="565"/>
      <c r="IX60" s="532"/>
      <c r="IY60" s="532"/>
      <c r="IZ60" s="532"/>
      <c r="JA60" s="532"/>
      <c r="JB60" s="532"/>
      <c r="JC60" s="532"/>
      <c r="JD60" s="532"/>
      <c r="JE60" s="532"/>
      <c r="JF60" s="532"/>
      <c r="JG60" s="532"/>
      <c r="JH60" s="532"/>
      <c r="JI60" s="532"/>
      <c r="JN60" s="2616"/>
      <c r="JO60" s="2616"/>
      <c r="JP60" s="2616"/>
      <c r="JQ60" s="2616"/>
    </row>
    <row r="61" spans="29:287" ht="4.1500000000000004" customHeight="1">
      <c r="AC61" s="516"/>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c r="BY61" s="2619"/>
      <c r="BZ61" s="2619"/>
      <c r="CA61" s="2619"/>
      <c r="CB61" s="2619"/>
      <c r="CC61" s="2619"/>
      <c r="CD61" s="2619"/>
      <c r="CE61" s="2619"/>
      <c r="CF61" s="2619"/>
      <c r="CG61" s="2619"/>
      <c r="CH61" s="2619"/>
      <c r="CI61" s="2619"/>
      <c r="CJ61" s="2619"/>
      <c r="CK61" s="2619"/>
      <c r="CL61" s="2619"/>
      <c r="CM61" s="2619"/>
      <c r="CN61" s="2619"/>
      <c r="CO61" s="2620"/>
      <c r="CP61" s="530"/>
      <c r="CQ61" s="532"/>
      <c r="CR61" s="532"/>
      <c r="CS61" s="532"/>
      <c r="CT61" s="532"/>
      <c r="CU61" s="532"/>
      <c r="CV61" s="532"/>
      <c r="CW61" s="532"/>
      <c r="CX61" s="532"/>
      <c r="CY61" s="532"/>
      <c r="CZ61" s="532"/>
      <c r="DA61" s="532"/>
      <c r="DB61" s="532"/>
      <c r="DC61" s="532"/>
      <c r="DD61" s="532"/>
      <c r="DE61" s="532"/>
      <c r="DF61" s="532"/>
      <c r="DG61" s="532"/>
      <c r="DH61" s="532"/>
      <c r="DI61" s="532"/>
      <c r="DJ61" s="532"/>
      <c r="DK61" s="532"/>
      <c r="DL61" s="532"/>
      <c r="DM61" s="532"/>
      <c r="DN61" s="532"/>
      <c r="DO61" s="532"/>
      <c r="DP61" s="532"/>
      <c r="DQ61" s="532"/>
      <c r="DR61" s="532"/>
      <c r="DS61" s="532"/>
      <c r="DT61" s="532"/>
      <c r="DU61" s="532"/>
      <c r="DV61" s="532"/>
      <c r="DW61" s="532"/>
      <c r="DX61" s="532"/>
      <c r="DY61" s="532"/>
      <c r="DZ61" s="532"/>
      <c r="EA61" s="532"/>
      <c r="EB61" s="532"/>
      <c r="EC61" s="532"/>
      <c r="ED61" s="532"/>
      <c r="EE61" s="532"/>
      <c r="EF61" s="532"/>
      <c r="EG61" s="532"/>
      <c r="EH61" s="532"/>
      <c r="EI61" s="531"/>
      <c r="GB61" s="517"/>
      <c r="IB61" s="2602">
        <v>0.6</v>
      </c>
      <c r="IC61" s="2597"/>
      <c r="ID61" s="2597"/>
      <c r="IE61" s="2597"/>
      <c r="IF61" s="2597"/>
      <c r="IG61" s="2597"/>
      <c r="IH61" s="2597"/>
      <c r="II61" s="2597"/>
      <c r="IJ61" s="2597"/>
      <c r="IK61" s="2597"/>
      <c r="IL61" s="2597"/>
      <c r="IM61" s="2597"/>
      <c r="IN61" s="2597"/>
      <c r="IO61" s="2597"/>
      <c r="IP61" s="2597"/>
      <c r="IQ61" s="2597"/>
      <c r="IR61" s="2603"/>
      <c r="JN61" s="2616"/>
      <c r="JO61" s="2616"/>
      <c r="JP61" s="2616"/>
      <c r="JQ61" s="2616"/>
    </row>
    <row r="62" spans="29:287" ht="4.1500000000000004" customHeight="1">
      <c r="AC62" s="516"/>
      <c r="AY62" s="2619"/>
      <c r="AZ62" s="2619"/>
      <c r="BA62" s="2619"/>
      <c r="BB62" s="2619"/>
      <c r="BC62" s="2619"/>
      <c r="BD62" s="2619"/>
      <c r="BE62" s="2619"/>
      <c r="BF62" s="2619"/>
      <c r="BG62" s="2619"/>
      <c r="BH62" s="2619"/>
      <c r="BI62" s="2619"/>
      <c r="BJ62" s="2619"/>
      <c r="BK62" s="2619"/>
      <c r="BL62" s="2619"/>
      <c r="BM62" s="2619"/>
      <c r="BN62" s="2619"/>
      <c r="BO62" s="2619"/>
      <c r="BP62" s="2619"/>
      <c r="BQ62" s="2619"/>
      <c r="BR62" s="2619"/>
      <c r="BS62" s="2619"/>
      <c r="BT62" s="2619"/>
      <c r="BU62" s="2619"/>
      <c r="BV62" s="2619"/>
      <c r="BW62" s="2619"/>
      <c r="BX62" s="2619"/>
      <c r="BY62" s="2619"/>
      <c r="BZ62" s="2619"/>
      <c r="CA62" s="2619"/>
      <c r="CB62" s="2619"/>
      <c r="CC62" s="2619"/>
      <c r="CD62" s="2619"/>
      <c r="CE62" s="2619"/>
      <c r="CF62" s="2619"/>
      <c r="CG62" s="2619"/>
      <c r="CH62" s="2619"/>
      <c r="CI62" s="2619"/>
      <c r="CJ62" s="2619"/>
      <c r="CK62" s="2619"/>
      <c r="CL62" s="2619"/>
      <c r="CM62" s="2619"/>
      <c r="CN62" s="2619"/>
      <c r="CO62" s="2620"/>
      <c r="CP62" s="515"/>
      <c r="CQ62" s="514"/>
      <c r="CR62" s="514"/>
      <c r="CS62" s="514"/>
      <c r="CT62" s="514"/>
      <c r="CU62" s="514"/>
      <c r="CV62" s="514"/>
      <c r="CW62" s="514"/>
      <c r="CX62" s="514"/>
      <c r="CY62" s="514"/>
      <c r="CZ62" s="514"/>
      <c r="DA62" s="514"/>
      <c r="DB62" s="514"/>
      <c r="DC62" s="514"/>
      <c r="DD62" s="514"/>
      <c r="DE62" s="514"/>
      <c r="DF62" s="514"/>
      <c r="DG62" s="514"/>
      <c r="DH62" s="514"/>
      <c r="DI62" s="514"/>
      <c r="DJ62" s="514"/>
      <c r="DK62" s="514"/>
      <c r="DL62" s="514"/>
      <c r="DM62" s="514"/>
      <c r="DN62" s="514"/>
      <c r="DO62" s="514"/>
      <c r="DP62" s="514"/>
      <c r="DQ62" s="514"/>
      <c r="DR62" s="514"/>
      <c r="DS62" s="514"/>
      <c r="DT62" s="514"/>
      <c r="DU62" s="514"/>
      <c r="DV62" s="514"/>
      <c r="DW62" s="514"/>
      <c r="DX62" s="514"/>
      <c r="DY62" s="514"/>
      <c r="DZ62" s="514"/>
      <c r="EA62" s="514"/>
      <c r="EB62" s="514"/>
      <c r="EC62" s="514"/>
      <c r="ED62" s="514"/>
      <c r="EE62" s="514"/>
      <c r="EF62" s="514"/>
      <c r="EG62" s="514"/>
      <c r="EH62" s="514"/>
      <c r="EI62" s="518"/>
      <c r="GB62" s="517"/>
      <c r="IB62" s="2604"/>
      <c r="IC62" s="2596"/>
      <c r="ID62" s="2596"/>
      <c r="IE62" s="2596"/>
      <c r="IF62" s="2596"/>
      <c r="IG62" s="2596"/>
      <c r="IH62" s="2596"/>
      <c r="II62" s="2596"/>
      <c r="IJ62" s="2596"/>
      <c r="IK62" s="2596"/>
      <c r="IL62" s="2596"/>
      <c r="IM62" s="2596"/>
      <c r="IN62" s="2596"/>
      <c r="IO62" s="2596"/>
      <c r="IP62" s="2596"/>
      <c r="IQ62" s="2596"/>
      <c r="IR62" s="2605"/>
      <c r="IX62" s="2608">
        <v>0.22500000000000001</v>
      </c>
      <c r="IY62" s="2608"/>
      <c r="IZ62" s="2608"/>
      <c r="JA62" s="2608"/>
      <c r="JB62" s="2608"/>
      <c r="JC62" s="2608"/>
      <c r="JD62" s="2608"/>
      <c r="JE62" s="2608"/>
      <c r="JF62" s="2608"/>
      <c r="JG62" s="2608"/>
      <c r="JH62" s="2608"/>
      <c r="JI62" s="2608"/>
      <c r="JN62" s="2616"/>
      <c r="JO62" s="2616"/>
      <c r="JP62" s="2616"/>
      <c r="JQ62" s="2616"/>
    </row>
    <row r="63" spans="29:287" ht="4.1500000000000004" customHeight="1">
      <c r="AC63" s="516"/>
      <c r="AY63" s="2619"/>
      <c r="AZ63" s="2619"/>
      <c r="BA63" s="2619"/>
      <c r="BB63" s="2619"/>
      <c r="BC63" s="2619"/>
      <c r="BD63" s="2619"/>
      <c r="BE63" s="2619"/>
      <c r="BF63" s="2619"/>
      <c r="BG63" s="2619"/>
      <c r="BH63" s="2619"/>
      <c r="BI63" s="2619"/>
      <c r="BJ63" s="2619"/>
      <c r="BK63" s="2619"/>
      <c r="BL63" s="2619"/>
      <c r="BM63" s="2619"/>
      <c r="BN63" s="2619"/>
      <c r="BO63" s="2619"/>
      <c r="BP63" s="2619"/>
      <c r="BQ63" s="2619"/>
      <c r="BR63" s="2619"/>
      <c r="BS63" s="2619"/>
      <c r="BT63" s="2619"/>
      <c r="BU63" s="2619"/>
      <c r="BV63" s="2619"/>
      <c r="BW63" s="2619"/>
      <c r="BX63" s="2619"/>
      <c r="BY63" s="2619"/>
      <c r="BZ63" s="2619"/>
      <c r="CA63" s="2619"/>
      <c r="CB63" s="2619"/>
      <c r="CC63" s="2619"/>
      <c r="CD63" s="2619"/>
      <c r="CE63" s="2619"/>
      <c r="CF63" s="2619"/>
      <c r="CG63" s="2619"/>
      <c r="CH63" s="2619"/>
      <c r="CI63" s="2619"/>
      <c r="CJ63" s="2619"/>
      <c r="CK63" s="2619"/>
      <c r="CL63" s="2619"/>
      <c r="CM63" s="2619"/>
      <c r="CN63" s="2619"/>
      <c r="CO63" s="2620"/>
      <c r="CP63" s="530"/>
      <c r="CQ63" s="532"/>
      <c r="CR63" s="532"/>
      <c r="CS63" s="532"/>
      <c r="CT63" s="532"/>
      <c r="CU63" s="532"/>
      <c r="CV63" s="532"/>
      <c r="CW63" s="532"/>
      <c r="CX63" s="532"/>
      <c r="CY63" s="532"/>
      <c r="CZ63" s="532"/>
      <c r="DA63" s="532"/>
      <c r="DB63" s="532"/>
      <c r="DC63" s="532"/>
      <c r="DD63" s="532"/>
      <c r="DE63" s="532"/>
      <c r="DF63" s="532"/>
      <c r="DG63" s="532"/>
      <c r="DH63" s="532"/>
      <c r="DI63" s="532"/>
      <c r="DJ63" s="532"/>
      <c r="DK63" s="532"/>
      <c r="DL63" s="532"/>
      <c r="DM63" s="532"/>
      <c r="DN63" s="532"/>
      <c r="DO63" s="532"/>
      <c r="DP63" s="532"/>
      <c r="DQ63" s="532"/>
      <c r="DR63" s="532"/>
      <c r="DS63" s="532"/>
      <c r="DT63" s="532"/>
      <c r="DU63" s="532"/>
      <c r="DV63" s="532"/>
      <c r="DW63" s="532"/>
      <c r="DX63" s="532"/>
      <c r="DY63" s="532"/>
      <c r="DZ63" s="532"/>
      <c r="EA63" s="532"/>
      <c r="EB63" s="532"/>
      <c r="EC63" s="532"/>
      <c r="ED63" s="532"/>
      <c r="EE63" s="532"/>
      <c r="EF63" s="532"/>
      <c r="EG63" s="532"/>
      <c r="EH63" s="532"/>
      <c r="EI63" s="531"/>
      <c r="GB63" s="517"/>
      <c r="IB63" s="2604"/>
      <c r="IC63" s="2596"/>
      <c r="ID63" s="2596"/>
      <c r="IE63" s="2596"/>
      <c r="IF63" s="2596"/>
      <c r="IG63" s="2596"/>
      <c r="IH63" s="2596"/>
      <c r="II63" s="2596"/>
      <c r="IJ63" s="2596"/>
      <c r="IK63" s="2596"/>
      <c r="IL63" s="2596"/>
      <c r="IM63" s="2596"/>
      <c r="IN63" s="2596"/>
      <c r="IO63" s="2596"/>
      <c r="IP63" s="2596"/>
      <c r="IQ63" s="2596"/>
      <c r="IR63" s="2605"/>
      <c r="IX63" s="2608"/>
      <c r="IY63" s="2608"/>
      <c r="IZ63" s="2608"/>
      <c r="JA63" s="2608"/>
      <c r="JB63" s="2608"/>
      <c r="JC63" s="2608"/>
      <c r="JD63" s="2608"/>
      <c r="JE63" s="2608"/>
      <c r="JF63" s="2608"/>
      <c r="JG63" s="2608"/>
      <c r="JH63" s="2608"/>
      <c r="JI63" s="2608"/>
      <c r="JN63" s="2616"/>
      <c r="JO63" s="2616"/>
      <c r="JP63" s="2616"/>
      <c r="JQ63" s="2616"/>
    </row>
    <row r="64" spans="29:287" ht="4.1500000000000004" customHeight="1">
      <c r="AC64" s="516"/>
      <c r="AY64" s="2619"/>
      <c r="AZ64" s="2619"/>
      <c r="BA64" s="2619"/>
      <c r="BB64" s="2619"/>
      <c r="BC64" s="2619"/>
      <c r="BD64" s="2619"/>
      <c r="BE64" s="2619"/>
      <c r="BF64" s="2619"/>
      <c r="BG64" s="2619"/>
      <c r="BH64" s="2619"/>
      <c r="BI64" s="2619"/>
      <c r="BJ64" s="2619"/>
      <c r="BK64" s="2619"/>
      <c r="BL64" s="2619"/>
      <c r="BM64" s="2619"/>
      <c r="BN64" s="2619"/>
      <c r="BO64" s="2619"/>
      <c r="BP64" s="2619"/>
      <c r="BQ64" s="2619"/>
      <c r="BR64" s="2619"/>
      <c r="BS64" s="2619"/>
      <c r="BT64" s="2619"/>
      <c r="BU64" s="2619"/>
      <c r="BV64" s="2619"/>
      <c r="BW64" s="2619"/>
      <c r="BX64" s="2619"/>
      <c r="BY64" s="2619"/>
      <c r="BZ64" s="2619"/>
      <c r="CA64" s="2619"/>
      <c r="CB64" s="2619"/>
      <c r="CC64" s="2619"/>
      <c r="CD64" s="2619"/>
      <c r="CE64" s="2619"/>
      <c r="CF64" s="2619"/>
      <c r="CG64" s="2619"/>
      <c r="CH64" s="2619"/>
      <c r="CI64" s="2619"/>
      <c r="CJ64" s="2619"/>
      <c r="CK64" s="2619"/>
      <c r="CL64" s="2619"/>
      <c r="CM64" s="2619"/>
      <c r="CN64" s="2619"/>
      <c r="CO64" s="2620"/>
      <c r="CP64" s="515"/>
      <c r="CQ64" s="514"/>
      <c r="CR64" s="514"/>
      <c r="CS64" s="514"/>
      <c r="CT64" s="514"/>
      <c r="CU64" s="514"/>
      <c r="CV64" s="514"/>
      <c r="CW64" s="514"/>
      <c r="CX64" s="514"/>
      <c r="CY64" s="514"/>
      <c r="CZ64" s="514"/>
      <c r="DA64" s="514"/>
      <c r="DB64" s="514"/>
      <c r="DC64" s="514"/>
      <c r="DD64" s="514"/>
      <c r="DE64" s="514"/>
      <c r="DF64" s="514"/>
      <c r="DG64" s="514"/>
      <c r="DH64" s="514"/>
      <c r="DI64" s="514"/>
      <c r="DJ64" s="514"/>
      <c r="DK64" s="514"/>
      <c r="DL64" s="514"/>
      <c r="DM64" s="514"/>
      <c r="DN64" s="514"/>
      <c r="DO64" s="514"/>
      <c r="DP64" s="514"/>
      <c r="DQ64" s="514"/>
      <c r="DR64" s="514"/>
      <c r="DS64" s="514"/>
      <c r="DT64" s="514"/>
      <c r="DU64" s="514"/>
      <c r="DV64" s="514"/>
      <c r="DW64" s="514"/>
      <c r="DX64" s="514"/>
      <c r="DY64" s="514"/>
      <c r="DZ64" s="514"/>
      <c r="EA64" s="514"/>
      <c r="EB64" s="514"/>
      <c r="EC64" s="514"/>
      <c r="ED64" s="514"/>
      <c r="EE64" s="514"/>
      <c r="EF64" s="514"/>
      <c r="EG64" s="514"/>
      <c r="EH64" s="514"/>
      <c r="EI64" s="518"/>
      <c r="GB64" s="517"/>
      <c r="IB64" s="2604"/>
      <c r="IC64" s="2596"/>
      <c r="ID64" s="2596"/>
      <c r="IE64" s="2596"/>
      <c r="IF64" s="2596"/>
      <c r="IG64" s="2596"/>
      <c r="IH64" s="2596"/>
      <c r="II64" s="2596"/>
      <c r="IJ64" s="2596"/>
      <c r="IK64" s="2596"/>
      <c r="IL64" s="2596"/>
      <c r="IM64" s="2596"/>
      <c r="IN64" s="2596"/>
      <c r="IO64" s="2596"/>
      <c r="IP64" s="2596"/>
      <c r="IQ64" s="2596"/>
      <c r="IR64" s="2605"/>
      <c r="IX64" s="2608"/>
      <c r="IY64" s="2608"/>
      <c r="IZ64" s="2608"/>
      <c r="JA64" s="2608"/>
      <c r="JB64" s="2608"/>
      <c r="JC64" s="2608"/>
      <c r="JD64" s="2608"/>
      <c r="JE64" s="2608"/>
      <c r="JF64" s="2608"/>
      <c r="JG64" s="2608"/>
      <c r="JH64" s="2608"/>
      <c r="JI64" s="2608"/>
      <c r="JN64" s="2616"/>
      <c r="JO64" s="2616"/>
      <c r="JP64" s="2616"/>
      <c r="JQ64" s="2616"/>
    </row>
    <row r="65" spans="29:292" ht="4.1500000000000004" customHeight="1">
      <c r="AC65" s="530"/>
      <c r="AD65" s="532"/>
      <c r="AE65" s="532"/>
      <c r="AF65" s="532"/>
      <c r="AG65" s="532"/>
      <c r="AH65" s="532"/>
      <c r="AI65" s="532"/>
      <c r="AJ65" s="532"/>
      <c r="AK65" s="532"/>
      <c r="AL65" s="532"/>
      <c r="AM65" s="532"/>
      <c r="AN65" s="532"/>
      <c r="AO65" s="532"/>
      <c r="AP65" s="532"/>
      <c r="AQ65" s="532"/>
      <c r="AR65" s="532"/>
      <c r="AS65" s="532"/>
      <c r="AT65" s="532"/>
      <c r="AU65" s="532"/>
      <c r="AV65" s="532"/>
      <c r="AW65" s="532"/>
      <c r="AX65" s="532"/>
      <c r="AY65" s="2621"/>
      <c r="AZ65" s="2621"/>
      <c r="BA65" s="2621"/>
      <c r="BB65" s="2621"/>
      <c r="BC65" s="2621"/>
      <c r="BD65" s="2621"/>
      <c r="BE65" s="2621"/>
      <c r="BF65" s="2621"/>
      <c r="BG65" s="2621"/>
      <c r="BH65" s="2621"/>
      <c r="BI65" s="2621"/>
      <c r="BJ65" s="2621"/>
      <c r="BK65" s="2621"/>
      <c r="BL65" s="2621"/>
      <c r="BM65" s="2621"/>
      <c r="BN65" s="2621"/>
      <c r="BO65" s="2621"/>
      <c r="BP65" s="2621"/>
      <c r="BQ65" s="2621"/>
      <c r="BR65" s="2621"/>
      <c r="BS65" s="2621"/>
      <c r="BT65" s="2621"/>
      <c r="BU65" s="2621"/>
      <c r="BV65" s="2621"/>
      <c r="BW65" s="2621"/>
      <c r="BX65" s="2621"/>
      <c r="BY65" s="2621"/>
      <c r="BZ65" s="2621"/>
      <c r="CA65" s="2621"/>
      <c r="CB65" s="2621"/>
      <c r="CC65" s="2621"/>
      <c r="CD65" s="2621"/>
      <c r="CE65" s="2621"/>
      <c r="CF65" s="2621"/>
      <c r="CG65" s="2621"/>
      <c r="CH65" s="2621"/>
      <c r="CI65" s="2621"/>
      <c r="CJ65" s="2621"/>
      <c r="CK65" s="2621"/>
      <c r="CL65" s="2621"/>
      <c r="CM65" s="2621"/>
      <c r="CN65" s="2621"/>
      <c r="CO65" s="2622"/>
      <c r="CP65" s="530"/>
      <c r="CQ65" s="532"/>
      <c r="CR65" s="532"/>
      <c r="CS65" s="532"/>
      <c r="CT65" s="532"/>
      <c r="CU65" s="532"/>
      <c r="CV65" s="532"/>
      <c r="CW65" s="532"/>
      <c r="CX65" s="532"/>
      <c r="CY65" s="532"/>
      <c r="CZ65" s="532"/>
      <c r="DA65" s="532"/>
      <c r="DB65" s="532"/>
      <c r="DC65" s="532"/>
      <c r="DD65" s="532"/>
      <c r="DE65" s="532"/>
      <c r="DF65" s="532"/>
      <c r="DG65" s="532"/>
      <c r="DH65" s="532"/>
      <c r="DI65" s="532"/>
      <c r="DJ65" s="532"/>
      <c r="DK65" s="532"/>
      <c r="DL65" s="532"/>
      <c r="DM65" s="532"/>
      <c r="DN65" s="532"/>
      <c r="DO65" s="532"/>
      <c r="DP65" s="532"/>
      <c r="DQ65" s="532"/>
      <c r="DR65" s="532"/>
      <c r="DS65" s="532"/>
      <c r="DT65" s="532"/>
      <c r="DU65" s="532"/>
      <c r="DV65" s="532"/>
      <c r="DW65" s="532"/>
      <c r="DX65" s="532"/>
      <c r="DY65" s="532"/>
      <c r="DZ65" s="532"/>
      <c r="EA65" s="532"/>
      <c r="EB65" s="532"/>
      <c r="EC65" s="532"/>
      <c r="ED65" s="532"/>
      <c r="EE65" s="532"/>
      <c r="EF65" s="532"/>
      <c r="EG65" s="532"/>
      <c r="EH65" s="532"/>
      <c r="EI65" s="531"/>
      <c r="EJ65" s="532"/>
      <c r="EK65" s="532"/>
      <c r="EL65" s="532"/>
      <c r="EM65" s="532"/>
      <c r="EN65" s="532"/>
      <c r="EO65" s="532"/>
      <c r="EP65" s="532"/>
      <c r="EQ65" s="532"/>
      <c r="ER65" s="532"/>
      <c r="ES65" s="532"/>
      <c r="ET65" s="532"/>
      <c r="EU65" s="532"/>
      <c r="EV65" s="532"/>
      <c r="EW65" s="532"/>
      <c r="EX65" s="532"/>
      <c r="EY65" s="532"/>
      <c r="EZ65" s="532"/>
      <c r="FA65" s="532"/>
      <c r="FB65" s="532"/>
      <c r="FC65" s="532"/>
      <c r="FD65" s="532"/>
      <c r="FE65" s="532"/>
      <c r="FF65" s="532"/>
      <c r="FG65" s="532"/>
      <c r="FH65" s="532"/>
      <c r="FI65" s="532"/>
      <c r="FJ65" s="532"/>
      <c r="FK65" s="532"/>
      <c r="FL65" s="532"/>
      <c r="FM65" s="532"/>
      <c r="FN65" s="532"/>
      <c r="FO65" s="532"/>
      <c r="FP65" s="532"/>
      <c r="FQ65" s="532"/>
      <c r="FR65" s="532"/>
      <c r="FS65" s="532"/>
      <c r="FT65" s="532"/>
      <c r="FU65" s="532"/>
      <c r="FV65" s="532"/>
      <c r="FW65" s="532"/>
      <c r="FX65" s="532"/>
      <c r="FY65" s="532"/>
      <c r="FZ65" s="532"/>
      <c r="GA65" s="532"/>
      <c r="GB65" s="531"/>
      <c r="IB65" s="2606"/>
      <c r="IC65" s="2598"/>
      <c r="ID65" s="2598"/>
      <c r="IE65" s="2598"/>
      <c r="IF65" s="2598"/>
      <c r="IG65" s="2598"/>
      <c r="IH65" s="2598"/>
      <c r="II65" s="2598"/>
      <c r="IJ65" s="2598"/>
      <c r="IK65" s="2598"/>
      <c r="IL65" s="2598"/>
      <c r="IM65" s="2598"/>
      <c r="IN65" s="2598"/>
      <c r="IO65" s="2598"/>
      <c r="IP65" s="2598"/>
      <c r="IQ65" s="2598"/>
      <c r="IR65" s="2607"/>
      <c r="IX65" s="532"/>
      <c r="IY65" s="532"/>
      <c r="IZ65" s="532"/>
      <c r="JA65" s="532"/>
      <c r="JB65" s="532"/>
      <c r="JC65" s="532"/>
      <c r="JD65" s="532"/>
      <c r="JE65" s="532"/>
      <c r="JF65" s="532"/>
      <c r="JG65" s="532"/>
      <c r="JH65" s="532"/>
      <c r="JI65" s="532"/>
      <c r="JN65" s="2616"/>
      <c r="JO65" s="2616"/>
      <c r="JP65" s="2616"/>
      <c r="JQ65" s="2616"/>
    </row>
    <row r="66" spans="29:292" ht="4.1500000000000004" customHeight="1">
      <c r="HZ66" s="515"/>
      <c r="IA66" s="514"/>
      <c r="IB66" s="514"/>
      <c r="IC66" s="514"/>
      <c r="ID66" s="514"/>
      <c r="IE66" s="514"/>
      <c r="IF66" s="514"/>
      <c r="IG66" s="514"/>
      <c r="IH66" s="514"/>
      <c r="II66" s="514"/>
      <c r="IJ66" s="514"/>
      <c r="IK66" s="514"/>
      <c r="IL66" s="514"/>
      <c r="IM66" s="514"/>
      <c r="IN66" s="514"/>
      <c r="IO66" s="514"/>
      <c r="IP66" s="514"/>
      <c r="IQ66" s="514"/>
      <c r="IR66" s="514"/>
      <c r="IS66" s="514"/>
      <c r="IT66" s="518"/>
      <c r="IU66" s="516"/>
      <c r="IX66" s="2597">
        <v>0.15</v>
      </c>
      <c r="IY66" s="2597"/>
      <c r="IZ66" s="2597"/>
      <c r="JA66" s="2597"/>
      <c r="JB66" s="2597"/>
      <c r="JC66" s="2597"/>
      <c r="JD66" s="2597"/>
      <c r="JE66" s="2597"/>
      <c r="JF66" s="2597"/>
      <c r="JG66" s="2597"/>
      <c r="JH66" s="2597"/>
      <c r="JI66" s="2597"/>
      <c r="JN66" s="2616"/>
      <c r="JO66" s="2616"/>
      <c r="JP66" s="2616"/>
      <c r="JQ66" s="2616"/>
    </row>
    <row r="67" spans="29:292" ht="4.1500000000000004" customHeight="1">
      <c r="HZ67" s="516"/>
      <c r="IT67" s="517"/>
      <c r="IU67" s="516"/>
      <c r="IX67" s="2596"/>
      <c r="IY67" s="2596"/>
      <c r="IZ67" s="2596"/>
      <c r="JA67" s="2596"/>
      <c r="JB67" s="2596"/>
      <c r="JC67" s="2596"/>
      <c r="JD67" s="2596"/>
      <c r="JE67" s="2596"/>
      <c r="JF67" s="2596"/>
      <c r="JG67" s="2596"/>
      <c r="JH67" s="2596"/>
      <c r="JI67" s="2596"/>
      <c r="JP67" s="516"/>
    </row>
    <row r="68" spans="29:292" ht="4.1500000000000004" customHeight="1">
      <c r="HZ68" s="530"/>
      <c r="IA68" s="532"/>
      <c r="IB68" s="532"/>
      <c r="IC68" s="532"/>
      <c r="ID68" s="532"/>
      <c r="IE68" s="532"/>
      <c r="IF68" s="532"/>
      <c r="IG68" s="532"/>
      <c r="IH68" s="532"/>
      <c r="II68" s="532"/>
      <c r="IJ68" s="532"/>
      <c r="IK68" s="532"/>
      <c r="IL68" s="532"/>
      <c r="IM68" s="532"/>
      <c r="IN68" s="532"/>
      <c r="IO68" s="532"/>
      <c r="IP68" s="532"/>
      <c r="IQ68" s="532"/>
      <c r="IR68" s="532"/>
      <c r="IS68" s="532"/>
      <c r="IT68" s="531"/>
      <c r="IU68" s="516"/>
      <c r="IX68" s="2598"/>
      <c r="IY68" s="2598"/>
      <c r="IZ68" s="2598"/>
      <c r="JA68" s="2598"/>
      <c r="JB68" s="2598"/>
      <c r="JC68" s="2598"/>
      <c r="JD68" s="2598"/>
      <c r="JE68" s="2598"/>
      <c r="JF68" s="2598"/>
      <c r="JG68" s="2598"/>
      <c r="JH68" s="2598"/>
      <c r="JI68" s="2598"/>
      <c r="JP68" s="516"/>
    </row>
    <row r="69" spans="29:292" ht="4.1500000000000004" customHeight="1">
      <c r="HZ69" s="515"/>
      <c r="IA69" s="514"/>
      <c r="IB69" s="514"/>
      <c r="IC69" s="514"/>
      <c r="ID69" s="514"/>
      <c r="IE69" s="514"/>
      <c r="IF69" s="514"/>
      <c r="IG69" s="514"/>
      <c r="IH69" s="514"/>
      <c r="II69" s="514"/>
      <c r="IJ69" s="514"/>
      <c r="IK69" s="514"/>
      <c r="IL69" s="514"/>
      <c r="IM69" s="514"/>
      <c r="IN69" s="514"/>
      <c r="IO69" s="514"/>
      <c r="IP69" s="514"/>
      <c r="IQ69" s="514"/>
      <c r="IR69" s="514"/>
      <c r="IS69" s="514"/>
      <c r="IT69" s="518"/>
      <c r="IU69" s="516"/>
      <c r="IX69" s="2597">
        <v>0.15</v>
      </c>
      <c r="IY69" s="2597"/>
      <c r="IZ69" s="2597"/>
      <c r="JA69" s="2597"/>
      <c r="JB69" s="2597"/>
      <c r="JC69" s="2597"/>
      <c r="JD69" s="2597"/>
      <c r="JE69" s="2597"/>
      <c r="JF69" s="2597"/>
      <c r="JG69" s="2597"/>
      <c r="JH69" s="2597"/>
      <c r="JI69" s="2597"/>
      <c r="JP69" s="516"/>
    </row>
    <row r="70" spans="29:292" ht="4.1500000000000004" customHeight="1">
      <c r="HZ70" s="516"/>
      <c r="IT70" s="517"/>
      <c r="IU70" s="516"/>
      <c r="IX70" s="2596"/>
      <c r="IY70" s="2596"/>
      <c r="IZ70" s="2596"/>
      <c r="JA70" s="2596"/>
      <c r="JB70" s="2596"/>
      <c r="JC70" s="2596"/>
      <c r="JD70" s="2596"/>
      <c r="JE70" s="2596"/>
      <c r="JF70" s="2596"/>
      <c r="JG70" s="2596"/>
      <c r="JH70" s="2596"/>
      <c r="JI70" s="2596"/>
      <c r="JP70" s="516"/>
    </row>
    <row r="71" spans="29:292" ht="4.1500000000000004" customHeight="1">
      <c r="HZ71" s="530"/>
      <c r="IA71" s="532"/>
      <c r="IB71" s="532"/>
      <c r="IC71" s="532"/>
      <c r="ID71" s="532"/>
      <c r="IE71" s="532"/>
      <c r="IF71" s="532"/>
      <c r="IG71" s="532"/>
      <c r="IH71" s="532"/>
      <c r="II71" s="532"/>
      <c r="IJ71" s="532"/>
      <c r="IK71" s="532"/>
      <c r="IL71" s="532"/>
      <c r="IM71" s="532"/>
      <c r="IN71" s="532"/>
      <c r="IO71" s="532"/>
      <c r="IP71" s="532"/>
      <c r="IQ71" s="532"/>
      <c r="IR71" s="532"/>
      <c r="IS71" s="532"/>
      <c r="IT71" s="531"/>
      <c r="IU71" s="530"/>
      <c r="IV71" s="532"/>
      <c r="IX71" s="2598"/>
      <c r="IY71" s="2598"/>
      <c r="IZ71" s="2598"/>
      <c r="JA71" s="2598"/>
      <c r="JB71" s="2598"/>
      <c r="JC71" s="2598"/>
      <c r="JD71" s="2598"/>
      <c r="JE71" s="2598"/>
      <c r="JF71" s="2598"/>
      <c r="JG71" s="2598"/>
      <c r="JH71" s="2598"/>
      <c r="JI71" s="2598"/>
      <c r="JM71" s="532"/>
      <c r="JN71" s="532"/>
      <c r="JO71" s="532"/>
      <c r="JP71" s="530"/>
      <c r="JQ71" s="532"/>
      <c r="JR71" s="532"/>
    </row>
    <row r="73" spans="29:292" ht="4.1500000000000004" customHeight="1">
      <c r="HZ73" s="516"/>
      <c r="ID73" s="2615">
        <v>0.9</v>
      </c>
      <c r="IE73" s="2608"/>
      <c r="IF73" s="2608"/>
      <c r="IG73" s="2608"/>
      <c r="IH73" s="2608"/>
      <c r="II73" s="2608"/>
      <c r="IJ73" s="2608"/>
      <c r="IK73" s="2608"/>
      <c r="IL73" s="2608"/>
      <c r="IM73" s="2608"/>
      <c r="IN73" s="2608"/>
      <c r="IO73" s="2608"/>
      <c r="IP73" s="2608"/>
      <c r="IQ73" s="2608"/>
      <c r="IT73" s="517"/>
    </row>
    <row r="74" spans="29:292" ht="4.1500000000000004" customHeight="1">
      <c r="HZ74" s="530"/>
      <c r="IA74" s="532"/>
      <c r="IB74" s="532"/>
      <c r="IC74" s="532"/>
      <c r="ID74" s="2608"/>
      <c r="IE74" s="2608"/>
      <c r="IF74" s="2608"/>
      <c r="IG74" s="2608"/>
      <c r="IH74" s="2608"/>
      <c r="II74" s="2608"/>
      <c r="IJ74" s="2608"/>
      <c r="IK74" s="2608"/>
      <c r="IL74" s="2608"/>
      <c r="IM74" s="2608"/>
      <c r="IN74" s="2608"/>
      <c r="IO74" s="2608"/>
      <c r="IP74" s="2608"/>
      <c r="IQ74" s="2608"/>
      <c r="IR74" s="532"/>
      <c r="IS74" s="532"/>
      <c r="IT74" s="531"/>
    </row>
    <row r="75" spans="29:292" ht="4.1500000000000004" customHeight="1">
      <c r="HZ75" s="516"/>
      <c r="ID75" s="2608"/>
      <c r="IE75" s="2608"/>
      <c r="IF75" s="2608"/>
      <c r="IG75" s="2608"/>
      <c r="IH75" s="2608"/>
      <c r="II75" s="2608"/>
      <c r="IJ75" s="2608"/>
      <c r="IK75" s="2608"/>
      <c r="IL75" s="2608"/>
      <c r="IM75" s="2608"/>
      <c r="IN75" s="2608"/>
      <c r="IO75" s="2608"/>
      <c r="IP75" s="2608"/>
      <c r="IQ75" s="2608"/>
      <c r="IT75" s="517"/>
    </row>
    <row r="76" spans="29:292" ht="4.1500000000000004" customHeight="1">
      <c r="HZ76" s="516"/>
      <c r="ID76" s="2608"/>
      <c r="IE76" s="2608"/>
      <c r="IF76" s="2608"/>
      <c r="IG76" s="2608"/>
      <c r="IH76" s="2608"/>
      <c r="II76" s="2608"/>
      <c r="IJ76" s="2608"/>
      <c r="IK76" s="2608"/>
      <c r="IL76" s="2608"/>
      <c r="IM76" s="2608"/>
      <c r="IN76" s="2608"/>
      <c r="IO76" s="2608"/>
      <c r="IP76" s="2608"/>
      <c r="IQ76" s="2608"/>
      <c r="IT76" s="517"/>
    </row>
    <row r="78" spans="29:292" ht="4.1500000000000004" customHeight="1">
      <c r="BI78" s="536"/>
      <c r="BJ78" s="537"/>
      <c r="BK78" s="537"/>
      <c r="BL78" s="537"/>
      <c r="BM78" s="537"/>
      <c r="BN78" s="537"/>
      <c r="BO78" s="537"/>
      <c r="BP78" s="537"/>
      <c r="BQ78" s="537"/>
      <c r="BR78" s="537"/>
      <c r="BS78" s="538"/>
      <c r="BZ78" s="536"/>
      <c r="CA78" s="537"/>
      <c r="CB78" s="537"/>
      <c r="CC78" s="537"/>
      <c r="CD78" s="537"/>
      <c r="CE78" s="537"/>
      <c r="CF78" s="537"/>
      <c r="CG78" s="537"/>
      <c r="CH78" s="537"/>
      <c r="CI78" s="537"/>
      <c r="CJ78" s="538"/>
      <c r="CW78" s="536"/>
      <c r="CX78" s="537"/>
      <c r="CY78" s="537"/>
      <c r="CZ78" s="537"/>
      <c r="DA78" s="537"/>
      <c r="DB78" s="537"/>
      <c r="DC78" s="537"/>
      <c r="DD78" s="537"/>
      <c r="DE78" s="537"/>
      <c r="DF78" s="537"/>
      <c r="DG78" s="538"/>
      <c r="DR78" s="536"/>
      <c r="DS78" s="537"/>
      <c r="DT78" s="537"/>
      <c r="DU78" s="537"/>
      <c r="DV78" s="537"/>
      <c r="DW78" s="537"/>
      <c r="DX78" s="537"/>
      <c r="DY78" s="537"/>
      <c r="DZ78" s="537"/>
      <c r="EA78" s="537"/>
      <c r="EB78" s="538"/>
      <c r="EO78" s="536"/>
      <c r="EP78" s="537"/>
      <c r="EQ78" s="537"/>
      <c r="ER78" s="537"/>
      <c r="ES78" s="537"/>
      <c r="ET78" s="537"/>
      <c r="EU78" s="537"/>
      <c r="EV78" s="537"/>
      <c r="EW78" s="537"/>
      <c r="EX78" s="537"/>
      <c r="EY78" s="538"/>
      <c r="FJ78" s="536"/>
      <c r="FK78" s="537"/>
      <c r="FL78" s="537"/>
      <c r="FM78" s="537"/>
      <c r="FN78" s="537"/>
      <c r="FO78" s="537"/>
      <c r="FP78" s="537"/>
      <c r="FQ78" s="537"/>
      <c r="FR78" s="537"/>
      <c r="FS78" s="537"/>
      <c r="FT78" s="538"/>
    </row>
    <row r="79" spans="29:292" ht="4.1500000000000004" customHeight="1">
      <c r="BI79" s="539"/>
      <c r="BS79" s="540"/>
      <c r="BZ79" s="539"/>
      <c r="CJ79" s="540"/>
      <c r="CW79" s="539"/>
      <c r="DG79" s="540"/>
      <c r="DR79" s="539"/>
      <c r="EB79" s="540"/>
      <c r="EO79" s="539"/>
      <c r="EY79" s="540"/>
      <c r="FJ79" s="539"/>
      <c r="FT79" s="540"/>
      <c r="IB79" s="508"/>
      <c r="IC79" s="509"/>
      <c r="ID79" s="509"/>
      <c r="IE79" s="509"/>
      <c r="IF79" s="509"/>
      <c r="IG79" s="509"/>
      <c r="IH79" s="509"/>
      <c r="II79" s="509"/>
      <c r="IJ79" s="509"/>
      <c r="IK79" s="509"/>
      <c r="IL79" s="509"/>
      <c r="IM79" s="509"/>
      <c r="IN79" s="509"/>
      <c r="IO79" s="509"/>
      <c r="IP79" s="509"/>
      <c r="IQ79" s="509"/>
      <c r="IR79" s="509"/>
      <c r="IS79" s="509"/>
      <c r="IT79" s="509"/>
      <c r="IU79" s="509"/>
      <c r="IV79" s="509"/>
      <c r="IW79" s="509"/>
      <c r="IX79" s="509"/>
      <c r="IY79" s="509"/>
      <c r="IZ79" s="509"/>
      <c r="JA79" s="509"/>
      <c r="JB79" s="509"/>
      <c r="JC79" s="2597">
        <v>0.125</v>
      </c>
      <c r="JD79" s="2597"/>
      <c r="JE79" s="2597"/>
      <c r="JF79" s="2597"/>
      <c r="JG79" s="2597"/>
      <c r="JH79" s="2597"/>
      <c r="JI79" s="2597"/>
      <c r="JK79" s="515"/>
      <c r="JL79" s="514"/>
      <c r="JM79" s="514"/>
      <c r="JN79" s="514"/>
      <c r="JO79" s="514"/>
      <c r="JP79" s="514"/>
      <c r="JQ79" s="514"/>
      <c r="JR79" s="514"/>
      <c r="JS79" s="514"/>
      <c r="JT79" s="514"/>
      <c r="JU79" s="514"/>
      <c r="JV79" s="514"/>
      <c r="JW79" s="514"/>
      <c r="JX79" s="514"/>
      <c r="JY79" s="514"/>
      <c r="JZ79" s="514"/>
      <c r="KA79" s="514"/>
      <c r="KB79" s="514"/>
      <c r="KC79" s="514"/>
      <c r="KD79" s="514"/>
      <c r="KE79" s="514"/>
      <c r="KF79" s="518"/>
    </row>
    <row r="80" spans="29:292" ht="4.1500000000000004" customHeight="1">
      <c r="BI80" s="541"/>
      <c r="BJ80" s="532"/>
      <c r="BK80" s="532"/>
      <c r="BL80" s="532"/>
      <c r="BM80" s="532"/>
      <c r="BN80" s="532"/>
      <c r="BO80" s="532"/>
      <c r="BP80" s="532"/>
      <c r="BQ80" s="532"/>
      <c r="BR80" s="532"/>
      <c r="BS80" s="542"/>
      <c r="BZ80" s="541"/>
      <c r="CA80" s="532"/>
      <c r="CB80" s="532"/>
      <c r="CC80" s="532"/>
      <c r="CD80" s="532"/>
      <c r="CE80" s="532"/>
      <c r="CF80" s="532"/>
      <c r="CG80" s="532"/>
      <c r="CH80" s="532"/>
      <c r="CI80" s="532"/>
      <c r="CJ80" s="542"/>
      <c r="CW80" s="541"/>
      <c r="CX80" s="532"/>
      <c r="CY80" s="532"/>
      <c r="CZ80" s="532"/>
      <c r="DA80" s="532"/>
      <c r="DB80" s="532"/>
      <c r="DC80" s="532"/>
      <c r="DD80" s="532"/>
      <c r="DE80" s="532"/>
      <c r="DF80" s="532"/>
      <c r="DG80" s="542"/>
      <c r="DR80" s="541"/>
      <c r="DS80" s="532"/>
      <c r="DT80" s="532"/>
      <c r="DU80" s="532"/>
      <c r="DV80" s="532"/>
      <c r="DW80" s="532"/>
      <c r="DX80" s="532"/>
      <c r="DY80" s="532"/>
      <c r="DZ80" s="532"/>
      <c r="EA80" s="532"/>
      <c r="EB80" s="542"/>
      <c r="EO80" s="541"/>
      <c r="EP80" s="532"/>
      <c r="EQ80" s="532"/>
      <c r="ER80" s="532"/>
      <c r="ES80" s="532"/>
      <c r="ET80" s="532"/>
      <c r="EU80" s="532"/>
      <c r="EV80" s="532"/>
      <c r="EW80" s="532"/>
      <c r="EX80" s="532"/>
      <c r="EY80" s="542"/>
      <c r="FJ80" s="541"/>
      <c r="FK80" s="532"/>
      <c r="FL80" s="532"/>
      <c r="FM80" s="532"/>
      <c r="FN80" s="532"/>
      <c r="FO80" s="532"/>
      <c r="FP80" s="532"/>
      <c r="FQ80" s="532"/>
      <c r="FR80" s="532"/>
      <c r="FS80" s="532"/>
      <c r="FT80" s="542"/>
      <c r="ID80" s="522"/>
      <c r="IE80" s="523"/>
      <c r="IF80" s="523"/>
      <c r="IG80" s="524"/>
      <c r="IK80" s="2596">
        <v>0.25</v>
      </c>
      <c r="IL80" s="2597"/>
      <c r="IM80" s="2597"/>
      <c r="IN80" s="2597"/>
      <c r="IO80" s="2597"/>
      <c r="IP80" s="2597"/>
      <c r="IQ80" s="2597"/>
      <c r="IR80" s="2597"/>
      <c r="IS80" s="2597"/>
      <c r="IT80" s="2597"/>
      <c r="IU80" s="2597"/>
      <c r="IV80" s="2597"/>
      <c r="JC80" s="2598"/>
      <c r="JD80" s="2598"/>
      <c r="JE80" s="2598"/>
      <c r="JF80" s="2598"/>
      <c r="JG80" s="2598"/>
      <c r="JH80" s="2598"/>
      <c r="JI80" s="2598"/>
      <c r="JK80" s="530"/>
      <c r="JL80" s="532"/>
      <c r="JM80" s="532"/>
      <c r="JN80" s="532"/>
      <c r="JO80" s="532"/>
      <c r="JP80" s="532"/>
      <c r="JQ80" s="532"/>
      <c r="JS80" s="515"/>
      <c r="JT80" s="514"/>
      <c r="JU80" s="514"/>
      <c r="JV80" s="514"/>
      <c r="JW80" s="514"/>
      <c r="JX80" s="518"/>
      <c r="JZ80" s="532"/>
      <c r="KA80" s="532"/>
      <c r="KB80" s="532"/>
      <c r="KC80" s="532"/>
      <c r="KD80" s="532"/>
      <c r="KE80" s="532"/>
      <c r="KF80" s="531"/>
    </row>
    <row r="81" spans="30:293" ht="4.1500000000000004" customHeight="1" thickBot="1">
      <c r="AD81" s="519"/>
      <c r="AE81" s="521"/>
      <c r="AF81" s="514"/>
      <c r="AG81" s="514"/>
      <c r="AH81" s="514"/>
      <c r="AI81" s="514"/>
      <c r="AJ81" s="514"/>
      <c r="AK81" s="514"/>
      <c r="AL81" s="514"/>
      <c r="AM81" s="514"/>
      <c r="AN81" s="514"/>
      <c r="AO81" s="514"/>
      <c r="AP81" s="514"/>
      <c r="AQ81" s="514"/>
      <c r="AR81" s="514"/>
      <c r="AS81" s="514"/>
      <c r="AT81" s="514"/>
      <c r="AU81" s="514"/>
      <c r="AV81" s="514"/>
      <c r="AW81" s="514"/>
      <c r="AX81" s="519"/>
      <c r="AY81" s="521"/>
      <c r="AZ81" s="514"/>
      <c r="BA81" s="514"/>
      <c r="BB81" s="514"/>
      <c r="BC81" s="514"/>
      <c r="BD81" s="514"/>
      <c r="BE81" s="514"/>
      <c r="BF81" s="514"/>
      <c r="BG81" s="514"/>
      <c r="BH81" s="514"/>
      <c r="BI81" s="514"/>
      <c r="BJ81" s="543"/>
      <c r="BK81" s="544"/>
      <c r="BL81" s="1609"/>
      <c r="BM81" s="1609"/>
      <c r="BN81" s="1609"/>
      <c r="BO81" s="1609"/>
      <c r="BP81" s="1609"/>
      <c r="BQ81" s="1610"/>
      <c r="BR81" s="1611"/>
      <c r="BS81" s="514"/>
      <c r="BT81" s="519"/>
      <c r="BU81" s="521"/>
      <c r="BV81" s="514"/>
      <c r="BW81" s="514"/>
      <c r="BX81" s="514"/>
      <c r="BY81" s="514"/>
      <c r="BZ81" s="514"/>
      <c r="CA81" s="543"/>
      <c r="CB81" s="544"/>
      <c r="CC81" s="1609"/>
      <c r="CD81" s="1609"/>
      <c r="CE81" s="1609"/>
      <c r="CF81" s="1609"/>
      <c r="CG81" s="1609"/>
      <c r="CH81" s="1610"/>
      <c r="CI81" s="1611"/>
      <c r="CJ81" s="514"/>
      <c r="CK81" s="514"/>
      <c r="CL81" s="514"/>
      <c r="CM81" s="514"/>
      <c r="CN81" s="514"/>
      <c r="CO81" s="514"/>
      <c r="CP81" s="519"/>
      <c r="CQ81" s="521"/>
      <c r="CR81" s="515"/>
      <c r="CS81" s="514"/>
      <c r="CT81" s="514"/>
      <c r="CU81" s="514"/>
      <c r="CV81" s="514"/>
      <c r="CW81" s="514"/>
      <c r="CX81" s="543"/>
      <c r="CY81" s="544"/>
      <c r="CZ81" s="1609"/>
      <c r="DA81" s="1609"/>
      <c r="DB81" s="1609"/>
      <c r="DC81" s="1609"/>
      <c r="DD81" s="1609"/>
      <c r="DE81" s="1610"/>
      <c r="DF81" s="1611"/>
      <c r="DG81" s="514"/>
      <c r="DH81" s="514"/>
      <c r="DI81" s="514"/>
      <c r="DJ81" s="514"/>
      <c r="DK81" s="514"/>
      <c r="DL81" s="519"/>
      <c r="DM81" s="521"/>
      <c r="DN81" s="514"/>
      <c r="DO81" s="514"/>
      <c r="DP81" s="514"/>
      <c r="DQ81" s="514"/>
      <c r="DR81" s="514"/>
      <c r="DS81" s="543"/>
      <c r="DT81" s="544"/>
      <c r="DU81" s="1609"/>
      <c r="DV81" s="1609"/>
      <c r="DW81" s="1609"/>
      <c r="DX81" s="1609"/>
      <c r="DY81" s="1609"/>
      <c r="DZ81" s="1610"/>
      <c r="EA81" s="1611"/>
      <c r="EB81" s="514"/>
      <c r="EC81" s="514"/>
      <c r="ED81" s="514"/>
      <c r="EE81" s="514"/>
      <c r="EF81" s="514"/>
      <c r="EG81" s="518"/>
      <c r="EH81" s="519"/>
      <c r="EI81" s="521"/>
      <c r="EJ81" s="515"/>
      <c r="EK81" s="514"/>
      <c r="EL81" s="514"/>
      <c r="EM81" s="514"/>
      <c r="EN81" s="514"/>
      <c r="EO81" s="514"/>
      <c r="EP81" s="543"/>
      <c r="EQ81" s="544"/>
      <c r="ER81" s="1609"/>
      <c r="ES81" s="1609"/>
      <c r="ET81" s="1609"/>
      <c r="EU81" s="1609"/>
      <c r="EV81" s="1609"/>
      <c r="EW81" s="1610"/>
      <c r="EX81" s="1611"/>
      <c r="EY81" s="514"/>
      <c r="EZ81" s="514"/>
      <c r="FA81" s="514"/>
      <c r="FB81" s="514"/>
      <c r="FC81" s="514"/>
      <c r="FD81" s="519"/>
      <c r="FE81" s="521"/>
      <c r="FF81" s="514"/>
      <c r="FG81" s="514"/>
      <c r="FH81" s="514"/>
      <c r="FI81" s="514"/>
      <c r="FJ81" s="514"/>
      <c r="FK81" s="543"/>
      <c r="FL81" s="544"/>
      <c r="FM81" s="1609"/>
      <c r="FN81" s="1609"/>
      <c r="FO81" s="1609"/>
      <c r="FP81" s="1609"/>
      <c r="FQ81" s="1609"/>
      <c r="FR81" s="1610"/>
      <c r="FS81" s="1611"/>
      <c r="FT81" s="514"/>
      <c r="FU81" s="514"/>
      <c r="FV81" s="514"/>
      <c r="FW81" s="514"/>
      <c r="FX81" s="514"/>
      <c r="FY81" s="518"/>
      <c r="FZ81" s="519"/>
      <c r="GA81" s="521"/>
      <c r="ID81" s="522"/>
      <c r="IE81" s="523"/>
      <c r="IF81" s="523"/>
      <c r="IG81" s="524"/>
      <c r="IK81" s="2596"/>
      <c r="IL81" s="2596"/>
      <c r="IM81" s="2596"/>
      <c r="IN81" s="2596"/>
      <c r="IO81" s="2596"/>
      <c r="IP81" s="2596"/>
      <c r="IQ81" s="2596"/>
      <c r="IR81" s="2596"/>
      <c r="IS81" s="2596"/>
      <c r="IT81" s="2596"/>
      <c r="IU81" s="2596"/>
      <c r="IV81" s="2596"/>
      <c r="JR81" s="516"/>
      <c r="JS81" s="516"/>
      <c r="JX81" s="517"/>
      <c r="JY81" s="517"/>
      <c r="KC81" s="2613">
        <v>0.3</v>
      </c>
      <c r="KD81" s="2613"/>
      <c r="KE81" s="2613"/>
      <c r="KF81" s="2613"/>
    </row>
    <row r="82" spans="30:293" ht="4.1500000000000004" customHeight="1" thickTop="1">
      <c r="AD82" s="522"/>
      <c r="AE82" s="524"/>
      <c r="AW82" s="532"/>
      <c r="AX82" s="522"/>
      <c r="AY82" s="524"/>
      <c r="BJ82" s="530"/>
      <c r="BK82" s="532"/>
      <c r="BL82" s="665"/>
      <c r="BM82" s="665"/>
      <c r="BN82" s="665"/>
      <c r="BO82" s="665"/>
      <c r="BP82" s="665"/>
      <c r="BQ82" s="1604"/>
      <c r="BR82" s="1608"/>
      <c r="BT82" s="522"/>
      <c r="BU82" s="524"/>
      <c r="CA82" s="530"/>
      <c r="CB82" s="532"/>
      <c r="CC82" s="665"/>
      <c r="CD82" s="665"/>
      <c r="CE82" s="665"/>
      <c r="CF82" s="665"/>
      <c r="CG82" s="665"/>
      <c r="CH82" s="1604"/>
      <c r="CI82" s="1608"/>
      <c r="CP82" s="522"/>
      <c r="CQ82" s="524"/>
      <c r="CR82" s="530"/>
      <c r="CS82" s="532"/>
      <c r="CT82" s="532"/>
      <c r="CU82" s="532"/>
      <c r="CV82" s="532"/>
      <c r="CW82" s="532"/>
      <c r="CX82" s="530"/>
      <c r="CY82" s="532"/>
      <c r="CZ82" s="665"/>
      <c r="DA82" s="665"/>
      <c r="DB82" s="665"/>
      <c r="DC82" s="665"/>
      <c r="DD82" s="665"/>
      <c r="DE82" s="1604"/>
      <c r="DF82" s="1608"/>
      <c r="DG82" s="532"/>
      <c r="DH82" s="532"/>
      <c r="DI82" s="532"/>
      <c r="DJ82" s="532"/>
      <c r="DK82" s="532"/>
      <c r="DL82" s="527"/>
      <c r="DM82" s="529"/>
      <c r="DN82" s="532"/>
      <c r="DO82" s="532"/>
      <c r="DP82" s="532"/>
      <c r="DQ82" s="532"/>
      <c r="DR82" s="532"/>
      <c r="DS82" s="530"/>
      <c r="DT82" s="532"/>
      <c r="DU82" s="665"/>
      <c r="DV82" s="665"/>
      <c r="DW82" s="665"/>
      <c r="DX82" s="665"/>
      <c r="DY82" s="665"/>
      <c r="DZ82" s="1604"/>
      <c r="EA82" s="1608"/>
      <c r="EB82" s="532"/>
      <c r="EC82" s="532"/>
      <c r="ED82" s="532"/>
      <c r="EE82" s="532"/>
      <c r="EF82" s="532"/>
      <c r="EG82" s="531"/>
      <c r="EH82" s="522"/>
      <c r="EI82" s="524"/>
      <c r="EJ82" s="530"/>
      <c r="EK82" s="532"/>
      <c r="EL82" s="532"/>
      <c r="EM82" s="532"/>
      <c r="EN82" s="532"/>
      <c r="EO82" s="532"/>
      <c r="EP82" s="530"/>
      <c r="EQ82" s="532"/>
      <c r="ER82" s="665"/>
      <c r="ES82" s="665"/>
      <c r="ET82" s="665"/>
      <c r="EU82" s="665"/>
      <c r="EV82" s="665"/>
      <c r="EW82" s="1604"/>
      <c r="EX82" s="1608"/>
      <c r="EY82" s="532"/>
      <c r="EZ82" s="532"/>
      <c r="FA82" s="532"/>
      <c r="FB82" s="532"/>
      <c r="FC82" s="532"/>
      <c r="FD82" s="527"/>
      <c r="FE82" s="529"/>
      <c r="FF82" s="532"/>
      <c r="FG82" s="532"/>
      <c r="FH82" s="532"/>
      <c r="FI82" s="532"/>
      <c r="FJ82" s="532"/>
      <c r="FK82" s="530"/>
      <c r="FL82" s="532"/>
      <c r="FM82" s="665"/>
      <c r="FN82" s="665"/>
      <c r="FO82" s="665"/>
      <c r="FP82" s="665"/>
      <c r="FQ82" s="665"/>
      <c r="FR82" s="1604"/>
      <c r="FS82" s="1608"/>
      <c r="FT82" s="532"/>
      <c r="FU82" s="532"/>
      <c r="FV82" s="532"/>
      <c r="FW82" s="532"/>
      <c r="FX82" s="532"/>
      <c r="FY82" s="531"/>
      <c r="FZ82" s="522"/>
      <c r="GA82" s="524"/>
      <c r="ID82" s="522"/>
      <c r="IE82" s="523"/>
      <c r="IF82" s="523"/>
      <c r="IG82" s="524"/>
      <c r="IK82" s="2598"/>
      <c r="IL82" s="2598"/>
      <c r="IM82" s="2598"/>
      <c r="IN82" s="2598"/>
      <c r="IO82" s="2598"/>
      <c r="IP82" s="2598"/>
      <c r="IQ82" s="2598"/>
      <c r="IR82" s="2598"/>
      <c r="IS82" s="2598"/>
      <c r="IT82" s="2598"/>
      <c r="IU82" s="2598"/>
      <c r="IV82" s="2598"/>
      <c r="JR82" s="516"/>
      <c r="JS82" s="516"/>
      <c r="JX82" s="517"/>
      <c r="JY82" s="517"/>
      <c r="KC82" s="2594"/>
      <c r="KD82" s="2594"/>
      <c r="KE82" s="2594"/>
      <c r="KF82" s="2594"/>
    </row>
    <row r="83" spans="30:293" ht="4.1500000000000004" customHeight="1">
      <c r="AD83" s="527"/>
      <c r="AE83" s="529"/>
      <c r="AF83" s="515"/>
      <c r="AG83" s="514"/>
      <c r="AH83" s="514"/>
      <c r="AI83" s="514"/>
      <c r="AJ83" s="514"/>
      <c r="AK83" s="514"/>
      <c r="AL83" s="514"/>
      <c r="AM83" s="514"/>
      <c r="AN83" s="514"/>
      <c r="AO83" s="514"/>
      <c r="AP83" s="514"/>
      <c r="AQ83" s="514"/>
      <c r="AR83" s="514"/>
      <c r="AS83" s="514"/>
      <c r="AT83" s="514"/>
      <c r="AU83" s="514"/>
      <c r="AV83" s="514"/>
      <c r="AW83" s="514"/>
      <c r="AX83" s="527"/>
      <c r="AY83" s="529"/>
      <c r="AZ83" s="514"/>
      <c r="BA83" s="514"/>
      <c r="BB83" s="514"/>
      <c r="BC83" s="514"/>
      <c r="BD83" s="514"/>
      <c r="BE83" s="514"/>
      <c r="BF83" s="514"/>
      <c r="BG83" s="514"/>
      <c r="BH83" s="518"/>
      <c r="BI83" s="517"/>
      <c r="BJ83" s="514"/>
      <c r="BK83" s="514"/>
      <c r="BL83" s="514"/>
      <c r="BM83" s="514"/>
      <c r="BN83" s="514"/>
      <c r="BO83" s="514"/>
      <c r="BP83" s="514"/>
      <c r="BQ83" s="514"/>
      <c r="BR83" s="514"/>
      <c r="BS83" s="514"/>
      <c r="BT83" s="527"/>
      <c r="BU83" s="529"/>
      <c r="BV83" s="514"/>
      <c r="BW83" s="514"/>
      <c r="BX83" s="514"/>
      <c r="BY83" s="514"/>
      <c r="BZ83" s="514"/>
      <c r="CA83" s="514"/>
      <c r="CB83" s="514"/>
      <c r="CC83" s="514"/>
      <c r="CD83" s="514"/>
      <c r="CE83" s="514"/>
      <c r="CF83" s="514"/>
      <c r="CG83" s="514"/>
      <c r="CH83" s="514"/>
      <c r="CI83" s="514"/>
      <c r="CJ83" s="514"/>
      <c r="CK83" s="514"/>
      <c r="CL83" s="514"/>
      <c r="CM83" s="514"/>
      <c r="CN83" s="514"/>
      <c r="CO83" s="518"/>
      <c r="CP83" s="527"/>
      <c r="CQ83" s="529"/>
      <c r="CR83" s="515"/>
      <c r="CS83" s="514"/>
      <c r="CT83" s="514"/>
      <c r="CU83" s="514"/>
      <c r="CV83" s="514"/>
      <c r="CW83" s="514"/>
      <c r="CX83" s="514"/>
      <c r="CY83" s="514"/>
      <c r="CZ83" s="514"/>
      <c r="DA83" s="514"/>
      <c r="DB83" s="514"/>
      <c r="DC83" s="514"/>
      <c r="DD83" s="514"/>
      <c r="DE83" s="514"/>
      <c r="DF83" s="514"/>
      <c r="DG83" s="514"/>
      <c r="DH83" s="514"/>
      <c r="DI83" s="514"/>
      <c r="DJ83" s="514"/>
      <c r="DK83" s="514"/>
      <c r="DL83" s="527"/>
      <c r="DM83" s="529"/>
      <c r="DN83" s="514"/>
      <c r="DO83" s="514"/>
      <c r="DP83" s="514"/>
      <c r="DQ83" s="514"/>
      <c r="DR83" s="514"/>
      <c r="DS83" s="514"/>
      <c r="DT83" s="514"/>
      <c r="DU83" s="514"/>
      <c r="DV83" s="514"/>
      <c r="DW83" s="514"/>
      <c r="DX83" s="514"/>
      <c r="DY83" s="514"/>
      <c r="DZ83" s="514"/>
      <c r="EA83" s="514"/>
      <c r="EB83" s="514"/>
      <c r="EC83" s="514"/>
      <c r="ED83" s="514"/>
      <c r="EE83" s="514"/>
      <c r="EF83" s="514"/>
      <c r="EG83" s="518"/>
      <c r="EH83" s="527"/>
      <c r="EI83" s="529"/>
      <c r="EJ83" s="515"/>
      <c r="EK83" s="514"/>
      <c r="EL83" s="514"/>
      <c r="EM83" s="514"/>
      <c r="EN83" s="514"/>
      <c r="EO83" s="514"/>
      <c r="EP83" s="514"/>
      <c r="EQ83" s="514"/>
      <c r="ER83" s="514"/>
      <c r="ES83" s="514"/>
      <c r="ET83" s="514"/>
      <c r="EU83" s="514"/>
      <c r="EV83" s="514"/>
      <c r="EW83" s="514"/>
      <c r="EX83" s="514"/>
      <c r="EY83" s="514"/>
      <c r="EZ83" s="514"/>
      <c r="FA83" s="514"/>
      <c r="FB83" s="514"/>
      <c r="FC83" s="514"/>
      <c r="FD83" s="527"/>
      <c r="FE83" s="529"/>
      <c r="FF83" s="514"/>
      <c r="FG83" s="514"/>
      <c r="FH83" s="514"/>
      <c r="FI83" s="514"/>
      <c r="FJ83" s="514"/>
      <c r="FK83" s="514"/>
      <c r="FL83" s="514"/>
      <c r="FM83" s="514"/>
      <c r="FN83" s="514"/>
      <c r="FO83" s="514"/>
      <c r="FP83" s="514"/>
      <c r="FQ83" s="514"/>
      <c r="FR83" s="514"/>
      <c r="FS83" s="514"/>
      <c r="FT83" s="514"/>
      <c r="FU83" s="514"/>
      <c r="FV83" s="514"/>
      <c r="FW83" s="514"/>
      <c r="FX83" s="514"/>
      <c r="FY83" s="518"/>
      <c r="FZ83" s="527"/>
      <c r="GA83" s="529"/>
      <c r="ID83" s="516"/>
      <c r="IG83" s="517"/>
      <c r="IQ83" s="515"/>
      <c r="IR83" s="514"/>
      <c r="JR83" s="516"/>
      <c r="JS83" s="516"/>
      <c r="JX83" s="517"/>
      <c r="JY83" s="517"/>
      <c r="KC83" s="2594"/>
      <c r="KD83" s="2594"/>
      <c r="KE83" s="2594"/>
      <c r="KF83" s="2594"/>
    </row>
    <row r="84" spans="30:293" ht="4.1500000000000004" customHeight="1">
      <c r="AD84" s="516"/>
      <c r="AF84" s="516"/>
      <c r="AW84" s="517"/>
      <c r="AX84" s="516"/>
      <c r="AZ84" s="516"/>
      <c r="BH84" s="517"/>
      <c r="BI84" s="517"/>
      <c r="CO84" s="517"/>
      <c r="CR84" s="516"/>
      <c r="EG84" s="517"/>
      <c r="EJ84" s="516"/>
      <c r="FY84" s="517"/>
      <c r="GA84" s="517"/>
      <c r="ID84" s="516"/>
      <c r="IG84" s="517"/>
      <c r="IQ84" s="516"/>
      <c r="JR84" s="516"/>
      <c r="JS84" s="516"/>
      <c r="JX84" s="517"/>
      <c r="JY84" s="517"/>
      <c r="KC84" s="2594"/>
      <c r="KD84" s="2594"/>
      <c r="KE84" s="2594"/>
      <c r="KF84" s="2594"/>
    </row>
    <row r="85" spans="30:293" ht="4.1500000000000004" customHeight="1">
      <c r="AD85" s="516"/>
      <c r="AF85" s="516"/>
      <c r="AW85" s="517"/>
      <c r="AX85" s="516"/>
      <c r="AZ85" s="516"/>
      <c r="BH85" s="517"/>
      <c r="BI85" s="517"/>
      <c r="CO85" s="517"/>
      <c r="CR85" s="516"/>
      <c r="EG85" s="517"/>
      <c r="EJ85" s="516"/>
      <c r="FY85" s="517"/>
      <c r="GA85" s="517"/>
      <c r="ID85" s="516"/>
      <c r="IG85" s="517"/>
      <c r="IK85" s="2615">
        <f>JB5-IK80</f>
        <v>0.85000000000000009</v>
      </c>
      <c r="IL85" s="2608"/>
      <c r="IM85" s="2608"/>
      <c r="IN85" s="2608"/>
      <c r="IO85" s="2608"/>
      <c r="IP85" s="2608"/>
      <c r="IQ85" s="2608"/>
      <c r="IR85" s="2608"/>
      <c r="IS85" s="2608"/>
      <c r="IT85" s="2608"/>
      <c r="IU85" s="2608"/>
      <c r="IV85" s="2608"/>
      <c r="JR85" s="516"/>
      <c r="JS85" s="516"/>
      <c r="JX85" s="517"/>
      <c r="JY85" s="517"/>
      <c r="KC85" s="2594"/>
      <c r="KD85" s="2594"/>
      <c r="KE85" s="2594"/>
      <c r="KF85" s="2594"/>
    </row>
    <row r="86" spans="30:293" ht="4.1500000000000004" customHeight="1">
      <c r="AD86" s="516"/>
      <c r="AF86" s="516"/>
      <c r="AW86" s="517"/>
      <c r="AX86" s="516"/>
      <c r="AZ86" s="516"/>
      <c r="BH86" s="517"/>
      <c r="BI86" s="517"/>
      <c r="CO86" s="517"/>
      <c r="CR86" s="516"/>
      <c r="EG86" s="517"/>
      <c r="EJ86" s="516"/>
      <c r="FY86" s="517"/>
      <c r="GA86" s="517"/>
      <c r="ID86" s="516"/>
      <c r="IG86" s="517"/>
      <c r="IK86" s="2608"/>
      <c r="IL86" s="2608"/>
      <c r="IM86" s="2608"/>
      <c r="IN86" s="2608"/>
      <c r="IO86" s="2608"/>
      <c r="IP86" s="2608"/>
      <c r="IQ86" s="2608"/>
      <c r="IR86" s="2608"/>
      <c r="IS86" s="2608"/>
      <c r="IT86" s="2608"/>
      <c r="IU86" s="2608"/>
      <c r="IV86" s="2608"/>
      <c r="JR86" s="516"/>
      <c r="JS86" s="516"/>
      <c r="JX86" s="517"/>
      <c r="JY86" s="517"/>
      <c r="KC86" s="2594"/>
      <c r="KD86" s="2594"/>
      <c r="KE86" s="2594"/>
      <c r="KF86" s="2594"/>
    </row>
    <row r="87" spans="30:293" ht="4.1500000000000004" customHeight="1">
      <c r="AD87" s="516"/>
      <c r="AF87" s="516"/>
      <c r="AW87" s="517"/>
      <c r="AX87" s="516"/>
      <c r="AZ87" s="516"/>
      <c r="BH87" s="517"/>
      <c r="BI87" s="517"/>
      <c r="CO87" s="517"/>
      <c r="CR87" s="516"/>
      <c r="EG87" s="517"/>
      <c r="EJ87" s="516"/>
      <c r="FY87" s="517"/>
      <c r="GA87" s="517"/>
      <c r="ID87" s="516"/>
      <c r="IG87" s="517"/>
      <c r="IK87" s="2608"/>
      <c r="IL87" s="2608"/>
      <c r="IM87" s="2608"/>
      <c r="IN87" s="2608"/>
      <c r="IO87" s="2608"/>
      <c r="IP87" s="2608"/>
      <c r="IQ87" s="2608"/>
      <c r="IR87" s="2608"/>
      <c r="IS87" s="2608"/>
      <c r="IT87" s="2608"/>
      <c r="IU87" s="2608"/>
      <c r="IV87" s="2608"/>
      <c r="JR87" s="516"/>
      <c r="JS87" s="516"/>
      <c r="JX87" s="517"/>
      <c r="JY87" s="517"/>
      <c r="KC87" s="2594"/>
      <c r="KD87" s="2594"/>
      <c r="KE87" s="2594"/>
      <c r="KF87" s="2594"/>
    </row>
    <row r="88" spans="30:293" ht="4.1500000000000004" customHeight="1">
      <c r="AD88" s="516"/>
      <c r="AF88" s="516"/>
      <c r="AW88" s="517"/>
      <c r="AX88" s="516"/>
      <c r="AZ88" s="516"/>
      <c r="BH88" s="517"/>
      <c r="BI88" s="517"/>
      <c r="CO88" s="517"/>
      <c r="CR88" s="516"/>
      <c r="EG88" s="517"/>
      <c r="EJ88" s="516"/>
      <c r="FY88" s="517"/>
      <c r="GA88" s="517"/>
      <c r="GB88" s="1559"/>
      <c r="GC88" s="537"/>
      <c r="GD88" s="538"/>
      <c r="ID88" s="516"/>
      <c r="IG88" s="517"/>
      <c r="IQ88" s="516"/>
      <c r="JR88" s="516"/>
      <c r="JS88" s="530"/>
      <c r="JT88" s="532"/>
      <c r="JU88" s="532"/>
      <c r="JV88" s="532"/>
      <c r="JW88" s="532"/>
      <c r="JX88" s="531"/>
      <c r="JY88" s="517"/>
      <c r="KC88" s="2594"/>
      <c r="KD88" s="2594"/>
      <c r="KE88" s="2594"/>
      <c r="KF88" s="2594"/>
    </row>
    <row r="89" spans="30:293" ht="4.1500000000000004" customHeight="1">
      <c r="AD89" s="516"/>
      <c r="AF89" s="516"/>
      <c r="AW89" s="517"/>
      <c r="AX89" s="516"/>
      <c r="AZ89" s="516"/>
      <c r="BH89" s="517"/>
      <c r="BI89" s="517"/>
      <c r="CO89" s="517"/>
      <c r="CR89" s="516"/>
      <c r="EG89" s="517"/>
      <c r="EJ89" s="516"/>
      <c r="FY89" s="517"/>
      <c r="FZ89" s="515"/>
      <c r="GA89" s="1613"/>
      <c r="GB89" s="516"/>
      <c r="GD89" s="540"/>
      <c r="ID89" s="516"/>
      <c r="IG89" s="517"/>
      <c r="IQ89" s="516"/>
      <c r="JR89" s="530"/>
      <c r="JS89" s="532"/>
      <c r="JT89" s="532"/>
      <c r="JU89" s="532"/>
      <c r="JV89" s="532"/>
      <c r="JW89" s="532"/>
      <c r="JX89" s="532"/>
      <c r="JY89" s="531"/>
      <c r="KC89" s="2614"/>
      <c r="KD89" s="2614"/>
      <c r="KE89" s="2614"/>
      <c r="KF89" s="2614"/>
    </row>
    <row r="90" spans="30:293" ht="4.1500000000000004" customHeight="1">
      <c r="AD90" s="516"/>
      <c r="AF90" s="516"/>
      <c r="AW90" s="517"/>
      <c r="AX90" s="516"/>
      <c r="AZ90" s="516"/>
      <c r="BH90" s="517"/>
      <c r="BI90" s="517"/>
      <c r="CO90" s="517"/>
      <c r="CR90" s="516"/>
      <c r="EG90" s="517"/>
      <c r="EJ90" s="516"/>
      <c r="FY90" s="517"/>
      <c r="FZ90" s="516"/>
      <c r="GA90" s="1612"/>
      <c r="GB90" s="516"/>
      <c r="GD90" s="540"/>
      <c r="ID90" s="516"/>
      <c r="IG90" s="517"/>
      <c r="IQ90" s="516"/>
    </row>
    <row r="91" spans="30:293" ht="4.1500000000000004" customHeight="1">
      <c r="AD91" s="516"/>
      <c r="AF91" s="516"/>
      <c r="AW91" s="517"/>
      <c r="AX91" s="516"/>
      <c r="AZ91" s="516"/>
      <c r="BH91" s="517"/>
      <c r="BI91" s="517"/>
      <c r="CO91" s="517"/>
      <c r="CR91" s="516"/>
      <c r="EG91" s="517"/>
      <c r="EJ91" s="516"/>
      <c r="FY91" s="517"/>
      <c r="FZ91" s="516"/>
      <c r="GA91" s="1612"/>
      <c r="GB91" s="516"/>
      <c r="GD91" s="540"/>
      <c r="ID91" s="516"/>
      <c r="IG91" s="517"/>
      <c r="IQ91" s="530"/>
      <c r="IR91" s="532"/>
      <c r="IS91" s="532"/>
      <c r="IT91" s="532"/>
      <c r="IU91" s="532"/>
      <c r="JR91" s="2609">
        <v>0.25</v>
      </c>
      <c r="JS91" s="2610"/>
      <c r="JT91" s="2610"/>
      <c r="JU91" s="2610"/>
      <c r="JV91" s="2610"/>
      <c r="JW91" s="2610"/>
      <c r="JX91" s="2610"/>
      <c r="JY91" s="2611"/>
    </row>
    <row r="92" spans="30:293" ht="4.1500000000000004" customHeight="1">
      <c r="AD92" s="516"/>
      <c r="AF92" s="530"/>
      <c r="AG92" s="532"/>
      <c r="AH92" s="532"/>
      <c r="AI92" s="532"/>
      <c r="AJ92" s="532"/>
      <c r="AK92" s="532"/>
      <c r="AL92" s="532"/>
      <c r="AM92" s="532"/>
      <c r="AN92" s="532"/>
      <c r="AO92" s="532"/>
      <c r="AP92" s="532"/>
      <c r="AQ92" s="532"/>
      <c r="AR92" s="532"/>
      <c r="AW92" s="517"/>
      <c r="AX92" s="516"/>
      <c r="AZ92" s="516"/>
      <c r="BH92" s="517"/>
      <c r="BI92" s="517"/>
      <c r="CO92" s="517"/>
      <c r="CR92" s="516"/>
      <c r="EG92" s="517"/>
      <c r="EJ92" s="516"/>
      <c r="FY92" s="517"/>
      <c r="FZ92" s="516"/>
      <c r="GA92" s="1612"/>
      <c r="GB92" s="516"/>
      <c r="GD92" s="540"/>
      <c r="ID92" s="522"/>
      <c r="IE92" s="523"/>
      <c r="IF92" s="523"/>
      <c r="IG92" s="524"/>
      <c r="IK92" s="2596">
        <v>0.15</v>
      </c>
      <c r="IL92" s="2597"/>
      <c r="IM92" s="2597"/>
      <c r="IN92" s="2597"/>
      <c r="IO92" s="2597"/>
      <c r="IP92" s="2597"/>
      <c r="IQ92" s="2597"/>
      <c r="IR92" s="2597"/>
      <c r="IS92" s="2597"/>
      <c r="IT92" s="2597"/>
      <c r="IU92" s="2597"/>
      <c r="IV92" s="2597"/>
      <c r="JR92" s="2609"/>
      <c r="JS92" s="2610"/>
      <c r="JT92" s="2610"/>
      <c r="JU92" s="2610"/>
      <c r="JV92" s="2610"/>
      <c r="JW92" s="2610"/>
      <c r="JX92" s="2610"/>
      <c r="JY92" s="2611"/>
    </row>
    <row r="93" spans="30:293" ht="4.1500000000000004" customHeight="1">
      <c r="AD93" s="516"/>
      <c r="AQ93" s="532"/>
      <c r="AR93" s="532"/>
      <c r="AS93" s="516"/>
      <c r="AW93" s="517"/>
      <c r="AZ93" s="516"/>
      <c r="BH93" s="517"/>
      <c r="BI93" s="517"/>
      <c r="CO93" s="517"/>
      <c r="CR93" s="516"/>
      <c r="EG93" s="517"/>
      <c r="EJ93" s="516"/>
      <c r="FY93" s="517"/>
      <c r="FZ93" s="516"/>
      <c r="GA93" s="1612"/>
      <c r="GB93" s="516"/>
      <c r="GD93" s="540"/>
      <c r="ID93" s="522"/>
      <c r="IE93" s="523"/>
      <c r="IF93" s="523"/>
      <c r="IG93" s="524"/>
      <c r="IK93" s="2596"/>
      <c r="IL93" s="2596"/>
      <c r="IM93" s="2596"/>
      <c r="IN93" s="2596"/>
      <c r="IO93" s="2596"/>
      <c r="IP93" s="2596"/>
      <c r="IQ93" s="2596"/>
      <c r="IR93" s="2596"/>
      <c r="IS93" s="2596"/>
      <c r="IT93" s="2596"/>
      <c r="IU93" s="2596"/>
      <c r="IV93" s="2596"/>
      <c r="JR93" s="2609"/>
      <c r="JS93" s="2610"/>
      <c r="JT93" s="2610"/>
      <c r="JU93" s="2610"/>
      <c r="JV93" s="2610"/>
      <c r="JW93" s="2610"/>
      <c r="JX93" s="2610"/>
      <c r="JY93" s="2611"/>
    </row>
    <row r="94" spans="30:293" ht="4.1500000000000004" customHeight="1">
      <c r="AD94" s="516"/>
      <c r="AF94" s="515"/>
      <c r="AG94" s="514"/>
      <c r="AH94" s="514"/>
      <c r="AI94" s="514"/>
      <c r="AJ94" s="514"/>
      <c r="AK94" s="514"/>
      <c r="AL94" s="514"/>
      <c r="AM94" s="514"/>
      <c r="AN94" s="514"/>
      <c r="AO94" s="518"/>
      <c r="AQ94" s="516"/>
      <c r="AW94" s="517"/>
      <c r="AX94" s="516"/>
      <c r="AZ94" s="530"/>
      <c r="BA94" s="532"/>
      <c r="BB94" s="532"/>
      <c r="BC94" s="532"/>
      <c r="BD94" s="532"/>
      <c r="BE94" s="532"/>
      <c r="BF94" s="532"/>
      <c r="BG94" s="532"/>
      <c r="BH94" s="531"/>
      <c r="BI94" s="517"/>
      <c r="CO94" s="517"/>
      <c r="CR94" s="516"/>
      <c r="EG94" s="517"/>
      <c r="EJ94" s="516"/>
      <c r="FY94" s="517"/>
      <c r="FZ94" s="663"/>
      <c r="GA94" s="1586"/>
      <c r="GB94" s="516"/>
      <c r="GD94" s="540"/>
      <c r="HX94" s="508"/>
      <c r="HY94" s="509"/>
      <c r="HZ94" s="509"/>
      <c r="IA94" s="509"/>
      <c r="IB94" s="509"/>
      <c r="IC94" s="510"/>
      <c r="ID94" s="522"/>
      <c r="IE94" s="523"/>
      <c r="IF94" s="523"/>
      <c r="IG94" s="524"/>
      <c r="IK94" s="2598"/>
      <c r="IL94" s="2598"/>
      <c r="IM94" s="2598"/>
      <c r="IN94" s="2598"/>
      <c r="IO94" s="2598"/>
      <c r="IP94" s="2598"/>
      <c r="IQ94" s="2598"/>
      <c r="IR94" s="2598"/>
      <c r="IS94" s="2598"/>
      <c r="IT94" s="2598"/>
      <c r="IU94" s="2598"/>
      <c r="IV94" s="2598"/>
    </row>
    <row r="95" spans="30:293" ht="4.1500000000000004" customHeight="1">
      <c r="AD95" s="516"/>
      <c r="AF95" s="516"/>
      <c r="AO95" s="517"/>
      <c r="AQ95" s="516"/>
      <c r="AW95" s="517"/>
      <c r="AX95" s="516"/>
      <c r="AZ95" s="532"/>
      <c r="BA95" s="532"/>
      <c r="BB95" s="532"/>
      <c r="BC95" s="532"/>
      <c r="BD95" s="532"/>
      <c r="BE95" s="532"/>
      <c r="BF95" s="532"/>
      <c r="BG95" s="532"/>
      <c r="BH95" s="532"/>
      <c r="BI95" s="531"/>
      <c r="CO95" s="517"/>
      <c r="CR95" s="516"/>
      <c r="EG95" s="517"/>
      <c r="EJ95" s="516"/>
      <c r="FY95" s="517"/>
      <c r="FZ95" s="663"/>
      <c r="GA95" s="1586"/>
      <c r="GB95" s="516"/>
      <c r="GD95" s="540"/>
      <c r="ID95" s="516"/>
      <c r="IG95" s="517"/>
      <c r="IK95" s="514"/>
      <c r="IL95" s="514"/>
      <c r="IM95" s="514"/>
      <c r="IN95" s="514"/>
      <c r="IO95" s="514"/>
      <c r="IP95" s="514"/>
      <c r="IQ95" s="515"/>
      <c r="IR95" s="514"/>
      <c r="IS95" s="514"/>
      <c r="IT95" s="514"/>
      <c r="IU95" s="514"/>
      <c r="IV95" s="514"/>
    </row>
    <row r="96" spans="30:293" ht="4.1500000000000004" customHeight="1">
      <c r="AD96" s="516"/>
      <c r="AF96" s="516"/>
      <c r="AO96" s="517"/>
      <c r="AQ96" s="516"/>
      <c r="AW96" s="517"/>
      <c r="AX96" s="516"/>
      <c r="AZ96" s="516"/>
      <c r="CO96" s="517"/>
      <c r="CR96" s="516"/>
      <c r="EG96" s="517"/>
      <c r="EJ96" s="516"/>
      <c r="FY96" s="517"/>
      <c r="FZ96" s="663"/>
      <c r="GA96" s="1586"/>
      <c r="GB96" s="516"/>
      <c r="GD96" s="540"/>
      <c r="ID96" s="516"/>
      <c r="IG96" s="517"/>
      <c r="IQ96" s="516"/>
      <c r="JL96" s="2612" t="s">
        <v>3596</v>
      </c>
      <c r="JM96" s="2612"/>
      <c r="JN96" s="2612"/>
      <c r="JO96" s="2612"/>
      <c r="JP96" s="2612"/>
      <c r="JQ96" s="2612"/>
      <c r="JR96" s="2612"/>
      <c r="JS96" s="2612"/>
      <c r="JT96" s="2612"/>
      <c r="JU96" s="2612"/>
      <c r="JV96" s="2612"/>
      <c r="JW96" s="2612"/>
      <c r="JX96" s="2612"/>
      <c r="JY96" s="2612"/>
      <c r="JZ96" s="2612"/>
      <c r="KA96" s="2612"/>
      <c r="KB96" s="2612"/>
      <c r="KC96" s="2612"/>
      <c r="KD96" s="2612"/>
      <c r="KE96" s="2612"/>
      <c r="KF96" s="2612"/>
      <c r="KG96" s="2612"/>
    </row>
    <row r="97" spans="30:293" ht="4.1500000000000004" customHeight="1">
      <c r="AD97" s="516"/>
      <c r="AF97" s="516"/>
      <c r="AO97" s="517"/>
      <c r="AQ97" s="516"/>
      <c r="AW97" s="517"/>
      <c r="AX97" s="516"/>
      <c r="AZ97" s="516"/>
      <c r="CO97" s="517"/>
      <c r="CR97" s="516"/>
      <c r="EG97" s="517"/>
      <c r="EJ97" s="516"/>
      <c r="FY97" s="517"/>
      <c r="FZ97" s="666"/>
      <c r="GA97" s="1587"/>
      <c r="GB97" s="516"/>
      <c r="GD97" s="540"/>
      <c r="ID97" s="516"/>
      <c r="IG97" s="517"/>
      <c r="IQ97" s="516"/>
      <c r="JL97" s="2612"/>
      <c r="JM97" s="2612"/>
      <c r="JN97" s="2612"/>
      <c r="JO97" s="2612"/>
      <c r="JP97" s="2612"/>
      <c r="JQ97" s="2612"/>
      <c r="JR97" s="2612"/>
      <c r="JS97" s="2612"/>
      <c r="JT97" s="2612"/>
      <c r="JU97" s="2612"/>
      <c r="JV97" s="2612"/>
      <c r="JW97" s="2612"/>
      <c r="JX97" s="2612"/>
      <c r="JY97" s="2612"/>
      <c r="JZ97" s="2612"/>
      <c r="KA97" s="2612"/>
      <c r="KB97" s="2612"/>
      <c r="KC97" s="2612"/>
      <c r="KD97" s="2612"/>
      <c r="KE97" s="2612"/>
      <c r="KF97" s="2612"/>
      <c r="KG97" s="2612"/>
    </row>
    <row r="98" spans="30:293" ht="4.1500000000000004" customHeight="1">
      <c r="AD98" s="516"/>
      <c r="AF98" s="516"/>
      <c r="AO98" s="517"/>
      <c r="AQ98" s="516"/>
      <c r="AW98" s="517"/>
      <c r="AX98" s="516"/>
      <c r="AZ98" s="516"/>
      <c r="CO98" s="517"/>
      <c r="CR98" s="516"/>
      <c r="EG98" s="517"/>
      <c r="EJ98" s="516"/>
      <c r="EO98" s="2637" t="s">
        <v>3600</v>
      </c>
      <c r="EP98" s="2637"/>
      <c r="EQ98" s="2637"/>
      <c r="ER98" s="2637"/>
      <c r="ES98" s="2637"/>
      <c r="ET98" s="2637"/>
      <c r="EU98" s="2637"/>
      <c r="EV98" s="2637"/>
      <c r="EW98" s="2637"/>
      <c r="EX98" s="2637"/>
      <c r="EY98" s="2637"/>
      <c r="EZ98" s="2637"/>
      <c r="FA98" s="2637"/>
      <c r="FB98" s="2637"/>
      <c r="FC98" s="2637"/>
      <c r="FD98" s="2637"/>
      <c r="FE98" s="2637"/>
      <c r="FF98" s="2637"/>
      <c r="FG98" s="2637"/>
      <c r="FH98" s="2637"/>
      <c r="FI98" s="2637"/>
      <c r="FJ98" s="2637"/>
      <c r="FK98" s="2637"/>
      <c r="FL98" s="2637"/>
      <c r="FM98" s="2637"/>
      <c r="FN98" s="2637"/>
      <c r="FO98" s="2637"/>
      <c r="FP98" s="2637"/>
      <c r="FY98" s="517"/>
      <c r="GA98" s="517"/>
      <c r="GB98" s="1561"/>
      <c r="GC98" s="557"/>
      <c r="GD98" s="560"/>
      <c r="ID98" s="516"/>
      <c r="IG98" s="517"/>
      <c r="IQ98" s="516"/>
      <c r="JL98" s="2612"/>
      <c r="JM98" s="2612"/>
      <c r="JN98" s="2612"/>
      <c r="JO98" s="2612"/>
      <c r="JP98" s="2612"/>
      <c r="JQ98" s="2612"/>
      <c r="JR98" s="2612"/>
      <c r="JS98" s="2612"/>
      <c r="JT98" s="2612"/>
      <c r="JU98" s="2612"/>
      <c r="JV98" s="2612"/>
      <c r="JW98" s="2612"/>
      <c r="JX98" s="2612"/>
      <c r="JY98" s="2612"/>
      <c r="JZ98" s="2612"/>
      <c r="KA98" s="2612"/>
      <c r="KB98" s="2612"/>
      <c r="KC98" s="2612"/>
      <c r="KD98" s="2612"/>
      <c r="KE98" s="2612"/>
      <c r="KF98" s="2612"/>
      <c r="KG98" s="2612"/>
    </row>
    <row r="99" spans="30:293" ht="4.1500000000000004" customHeight="1">
      <c r="AD99" s="516"/>
      <c r="AF99" s="516"/>
      <c r="AO99" s="517"/>
      <c r="AQ99" s="516"/>
      <c r="AW99" s="517"/>
      <c r="AX99" s="516"/>
      <c r="AZ99" s="516"/>
      <c r="CO99" s="517"/>
      <c r="CR99" s="516"/>
      <c r="CX99" s="2637" t="s">
        <v>3599</v>
      </c>
      <c r="CY99" s="2637"/>
      <c r="CZ99" s="2637"/>
      <c r="DA99" s="2637"/>
      <c r="DB99" s="2637"/>
      <c r="DC99" s="2637"/>
      <c r="DD99" s="2637"/>
      <c r="DE99" s="2637"/>
      <c r="DF99" s="2637"/>
      <c r="DG99" s="2637"/>
      <c r="DH99" s="2637"/>
      <c r="DI99" s="2637"/>
      <c r="DJ99" s="2637"/>
      <c r="DK99" s="2637"/>
      <c r="DL99" s="2637"/>
      <c r="DM99" s="2637"/>
      <c r="DN99" s="2637"/>
      <c r="DO99" s="2637"/>
      <c r="DP99" s="2637"/>
      <c r="DQ99" s="2637"/>
      <c r="DR99" s="2637"/>
      <c r="DS99" s="2637"/>
      <c r="DT99" s="2637"/>
      <c r="DU99" s="2637"/>
      <c r="DV99" s="2637"/>
      <c r="DW99" s="2637"/>
      <c r="DX99" s="2637"/>
      <c r="DY99" s="2637"/>
      <c r="EG99" s="517"/>
      <c r="EJ99" s="516"/>
      <c r="EO99" s="2637"/>
      <c r="EP99" s="2637"/>
      <c r="EQ99" s="2637"/>
      <c r="ER99" s="2637"/>
      <c r="ES99" s="2637"/>
      <c r="ET99" s="2637"/>
      <c r="EU99" s="2637"/>
      <c r="EV99" s="2637"/>
      <c r="EW99" s="2637"/>
      <c r="EX99" s="2637"/>
      <c r="EY99" s="2637"/>
      <c r="EZ99" s="2637"/>
      <c r="FA99" s="2637"/>
      <c r="FB99" s="2637"/>
      <c r="FC99" s="2637"/>
      <c r="FD99" s="2637"/>
      <c r="FE99" s="2637"/>
      <c r="FF99" s="2637"/>
      <c r="FG99" s="2637"/>
      <c r="FH99" s="2637"/>
      <c r="FI99" s="2637"/>
      <c r="FJ99" s="2637"/>
      <c r="FK99" s="2637"/>
      <c r="FL99" s="2637"/>
      <c r="FM99" s="2637"/>
      <c r="FN99" s="2637"/>
      <c r="FO99" s="2637"/>
      <c r="FP99" s="2637"/>
      <c r="FY99" s="517"/>
      <c r="GA99" s="517"/>
      <c r="ID99" s="516"/>
      <c r="IG99" s="517"/>
      <c r="IQ99" s="516"/>
    </row>
    <row r="100" spans="30:293" ht="4.1500000000000004" customHeight="1">
      <c r="AD100" s="516"/>
      <c r="AF100" s="516"/>
      <c r="AO100" s="517"/>
      <c r="AQ100" s="516"/>
      <c r="AW100" s="517"/>
      <c r="AX100" s="516"/>
      <c r="AZ100" s="516"/>
      <c r="BG100" s="2637" t="s">
        <v>3598</v>
      </c>
      <c r="BH100" s="2637"/>
      <c r="BI100" s="2637"/>
      <c r="BJ100" s="2637"/>
      <c r="BK100" s="2637"/>
      <c r="BL100" s="2637"/>
      <c r="BM100" s="2637"/>
      <c r="BN100" s="2637"/>
      <c r="BO100" s="2637"/>
      <c r="BP100" s="2637"/>
      <c r="BQ100" s="2637"/>
      <c r="BR100" s="2637"/>
      <c r="BS100" s="2637"/>
      <c r="BT100" s="2637"/>
      <c r="BU100" s="2637"/>
      <c r="BV100" s="2637"/>
      <c r="BW100" s="2637"/>
      <c r="BX100" s="2637"/>
      <c r="BY100" s="2637"/>
      <c r="BZ100" s="2637"/>
      <c r="CA100" s="2637"/>
      <c r="CB100" s="2637"/>
      <c r="CC100" s="2637"/>
      <c r="CD100" s="2637"/>
      <c r="CE100" s="2637"/>
      <c r="CF100" s="2637"/>
      <c r="CG100" s="2637"/>
      <c r="CH100" s="2637"/>
      <c r="CO100" s="517"/>
      <c r="CR100" s="516"/>
      <c r="CX100" s="2637"/>
      <c r="CY100" s="2637"/>
      <c r="CZ100" s="2637"/>
      <c r="DA100" s="2637"/>
      <c r="DB100" s="2637"/>
      <c r="DC100" s="2637"/>
      <c r="DD100" s="2637"/>
      <c r="DE100" s="2637"/>
      <c r="DF100" s="2637"/>
      <c r="DG100" s="2637"/>
      <c r="DH100" s="2637"/>
      <c r="DI100" s="2637"/>
      <c r="DJ100" s="2637"/>
      <c r="DK100" s="2637"/>
      <c r="DL100" s="2637"/>
      <c r="DM100" s="2637"/>
      <c r="DN100" s="2637"/>
      <c r="DO100" s="2637"/>
      <c r="DP100" s="2637"/>
      <c r="DQ100" s="2637"/>
      <c r="DR100" s="2637"/>
      <c r="DS100" s="2637"/>
      <c r="DT100" s="2637"/>
      <c r="DU100" s="2637"/>
      <c r="DV100" s="2637"/>
      <c r="DW100" s="2637"/>
      <c r="DX100" s="2637"/>
      <c r="DY100" s="2637"/>
      <c r="EG100" s="517"/>
      <c r="EJ100" s="516"/>
      <c r="EO100" s="2637"/>
      <c r="EP100" s="2637"/>
      <c r="EQ100" s="2637"/>
      <c r="ER100" s="2637"/>
      <c r="ES100" s="2637"/>
      <c r="ET100" s="2637"/>
      <c r="EU100" s="2637"/>
      <c r="EV100" s="2637"/>
      <c r="EW100" s="2637"/>
      <c r="EX100" s="2637"/>
      <c r="EY100" s="2637"/>
      <c r="EZ100" s="2637"/>
      <c r="FA100" s="2637"/>
      <c r="FB100" s="2637"/>
      <c r="FC100" s="2637"/>
      <c r="FD100" s="2637"/>
      <c r="FE100" s="2637"/>
      <c r="FF100" s="2637"/>
      <c r="FG100" s="2637"/>
      <c r="FH100" s="2637"/>
      <c r="FI100" s="2637"/>
      <c r="FJ100" s="2637"/>
      <c r="FK100" s="2637"/>
      <c r="FL100" s="2637"/>
      <c r="FM100" s="2637"/>
      <c r="FN100" s="2637"/>
      <c r="FO100" s="2637"/>
      <c r="FP100" s="2637"/>
      <c r="FY100" s="517"/>
      <c r="GA100" s="517"/>
      <c r="ID100" s="516"/>
      <c r="IG100" s="517"/>
      <c r="IO100" s="2594">
        <v>2.1</v>
      </c>
      <c r="IP100" s="2595"/>
      <c r="IQ100" s="2595"/>
      <c r="IR100" s="2595"/>
    </row>
    <row r="101" spans="30:293" ht="4.1500000000000004" customHeight="1">
      <c r="AD101" s="516"/>
      <c r="AF101" s="516"/>
      <c r="AO101" s="517"/>
      <c r="AQ101" s="516"/>
      <c r="AW101" s="517"/>
      <c r="AX101" s="516"/>
      <c r="AZ101" s="516"/>
      <c r="BG101" s="2637"/>
      <c r="BH101" s="2637"/>
      <c r="BI101" s="2637"/>
      <c r="BJ101" s="2637"/>
      <c r="BK101" s="2637"/>
      <c r="BL101" s="2637"/>
      <c r="BM101" s="2637"/>
      <c r="BN101" s="2637"/>
      <c r="BO101" s="2637"/>
      <c r="BP101" s="2637"/>
      <c r="BQ101" s="2637"/>
      <c r="BR101" s="2637"/>
      <c r="BS101" s="2637"/>
      <c r="BT101" s="2637"/>
      <c r="BU101" s="2637"/>
      <c r="BV101" s="2637"/>
      <c r="BW101" s="2637"/>
      <c r="BX101" s="2637"/>
      <c r="BY101" s="2637"/>
      <c r="BZ101" s="2637"/>
      <c r="CA101" s="2637"/>
      <c r="CB101" s="2637"/>
      <c r="CC101" s="2637"/>
      <c r="CD101" s="2637"/>
      <c r="CE101" s="2637"/>
      <c r="CF101" s="2637"/>
      <c r="CG101" s="2637"/>
      <c r="CH101" s="2637"/>
      <c r="CO101" s="517"/>
      <c r="CR101" s="516"/>
      <c r="CX101" s="2637"/>
      <c r="CY101" s="2637"/>
      <c r="CZ101" s="2637"/>
      <c r="DA101" s="2637"/>
      <c r="DB101" s="2637"/>
      <c r="DC101" s="2637"/>
      <c r="DD101" s="2637"/>
      <c r="DE101" s="2637"/>
      <c r="DF101" s="2637"/>
      <c r="DG101" s="2637"/>
      <c r="DH101" s="2637"/>
      <c r="DI101" s="2637"/>
      <c r="DJ101" s="2637"/>
      <c r="DK101" s="2637"/>
      <c r="DL101" s="2637"/>
      <c r="DM101" s="2637"/>
      <c r="DN101" s="2637"/>
      <c r="DO101" s="2637"/>
      <c r="DP101" s="2637"/>
      <c r="DQ101" s="2637"/>
      <c r="DR101" s="2637"/>
      <c r="DS101" s="2637"/>
      <c r="DT101" s="2637"/>
      <c r="DU101" s="2637"/>
      <c r="DV101" s="2637"/>
      <c r="DW101" s="2637"/>
      <c r="DX101" s="2637"/>
      <c r="DY101" s="2637"/>
      <c r="EG101" s="517"/>
      <c r="EJ101" s="516"/>
      <c r="EO101" s="2637"/>
      <c r="EP101" s="2637"/>
      <c r="EQ101" s="2637"/>
      <c r="ER101" s="2637"/>
      <c r="ES101" s="2637"/>
      <c r="ET101" s="2637"/>
      <c r="EU101" s="2637"/>
      <c r="EV101" s="2637"/>
      <c r="EW101" s="2637"/>
      <c r="EX101" s="2637"/>
      <c r="EY101" s="2637"/>
      <c r="EZ101" s="2637"/>
      <c r="FA101" s="2637"/>
      <c r="FB101" s="2637"/>
      <c r="FC101" s="2637"/>
      <c r="FD101" s="2637"/>
      <c r="FE101" s="2637"/>
      <c r="FF101" s="2637"/>
      <c r="FG101" s="2637"/>
      <c r="FH101" s="2637"/>
      <c r="FI101" s="2637"/>
      <c r="FJ101" s="2637"/>
      <c r="FK101" s="2637"/>
      <c r="FL101" s="2637"/>
      <c r="FM101" s="2637"/>
      <c r="FN101" s="2637"/>
      <c r="FO101" s="2637"/>
      <c r="FP101" s="2637"/>
      <c r="FY101" s="517"/>
      <c r="GA101" s="517"/>
      <c r="ID101" s="516"/>
      <c r="IG101" s="517"/>
      <c r="IO101" s="2595"/>
      <c r="IP101" s="2595"/>
      <c r="IQ101" s="2595"/>
      <c r="IR101" s="2595"/>
    </row>
    <row r="102" spans="30:293" ht="4.1500000000000004" customHeight="1">
      <c r="AD102" s="516"/>
      <c r="AF102" s="516"/>
      <c r="AO102" s="517"/>
      <c r="AQ102" s="516"/>
      <c r="AW102" s="517"/>
      <c r="AX102" s="516"/>
      <c r="AZ102" s="516"/>
      <c r="BG102" s="2637"/>
      <c r="BH102" s="2637"/>
      <c r="BI102" s="2637"/>
      <c r="BJ102" s="2637"/>
      <c r="BK102" s="2637"/>
      <c r="BL102" s="2637"/>
      <c r="BM102" s="2637"/>
      <c r="BN102" s="2637"/>
      <c r="BO102" s="2637"/>
      <c r="BP102" s="2637"/>
      <c r="BQ102" s="2637"/>
      <c r="BR102" s="2637"/>
      <c r="BS102" s="2637"/>
      <c r="BT102" s="2637"/>
      <c r="BU102" s="2637"/>
      <c r="BV102" s="2637"/>
      <c r="BW102" s="2637"/>
      <c r="BX102" s="2637"/>
      <c r="BY102" s="2637"/>
      <c r="BZ102" s="2637"/>
      <c r="CA102" s="2637"/>
      <c r="CB102" s="2637"/>
      <c r="CC102" s="2637"/>
      <c r="CD102" s="2637"/>
      <c r="CE102" s="2637"/>
      <c r="CF102" s="2637"/>
      <c r="CG102" s="2637"/>
      <c r="CH102" s="2637"/>
      <c r="CO102" s="517"/>
      <c r="CR102" s="516"/>
      <c r="CX102" s="2637"/>
      <c r="CY102" s="2637"/>
      <c r="CZ102" s="2637"/>
      <c r="DA102" s="2637"/>
      <c r="DB102" s="2637"/>
      <c r="DC102" s="2637"/>
      <c r="DD102" s="2637"/>
      <c r="DE102" s="2637"/>
      <c r="DF102" s="2637"/>
      <c r="DG102" s="2637"/>
      <c r="DH102" s="2637"/>
      <c r="DI102" s="2637"/>
      <c r="DJ102" s="2637"/>
      <c r="DK102" s="2637"/>
      <c r="DL102" s="2637"/>
      <c r="DM102" s="2637"/>
      <c r="DN102" s="2637"/>
      <c r="DO102" s="2637"/>
      <c r="DP102" s="2637"/>
      <c r="DQ102" s="2637"/>
      <c r="DR102" s="2637"/>
      <c r="DS102" s="2637"/>
      <c r="DT102" s="2637"/>
      <c r="DU102" s="2637"/>
      <c r="DV102" s="2637"/>
      <c r="DW102" s="2637"/>
      <c r="DX102" s="2637"/>
      <c r="DY102" s="2637"/>
      <c r="EG102" s="517"/>
      <c r="EJ102" s="516"/>
      <c r="EO102" s="2636">
        <v>7</v>
      </c>
      <c r="EP102" s="2636"/>
      <c r="EQ102" s="2636"/>
      <c r="ER102" s="2636"/>
      <c r="ES102" s="2636"/>
      <c r="ET102" s="2636"/>
      <c r="EU102" s="2636"/>
      <c r="EV102" s="2636"/>
      <c r="EW102" s="2636"/>
      <c r="EX102" s="2636"/>
      <c r="EY102" s="2636"/>
      <c r="EZ102" s="2636"/>
      <c r="FA102" s="2636" t="s">
        <v>901</v>
      </c>
      <c r="FB102" s="2636"/>
      <c r="FC102" s="2636"/>
      <c r="FD102" s="2636"/>
      <c r="FE102" s="2636">
        <v>7</v>
      </c>
      <c r="FF102" s="2636"/>
      <c r="FG102" s="2636"/>
      <c r="FH102" s="2636"/>
      <c r="FI102" s="2636"/>
      <c r="FJ102" s="2636"/>
      <c r="FK102" s="2636"/>
      <c r="FL102" s="2636"/>
      <c r="FM102" s="2636"/>
      <c r="FN102" s="2636"/>
      <c r="FO102" s="2636"/>
      <c r="FP102" s="2636"/>
      <c r="FY102" s="517"/>
      <c r="GA102" s="517"/>
      <c r="ID102" s="516"/>
      <c r="IG102" s="517"/>
      <c r="IO102" s="2595"/>
      <c r="IP102" s="2595"/>
      <c r="IQ102" s="2595"/>
      <c r="IR102" s="2595"/>
    </row>
    <row r="103" spans="30:293" ht="4.1500000000000004" customHeight="1">
      <c r="AD103" s="516"/>
      <c r="AF103" s="516"/>
      <c r="AO103" s="517"/>
      <c r="AQ103" s="516"/>
      <c r="AW103" s="517"/>
      <c r="AX103" s="519"/>
      <c r="AY103" s="521"/>
      <c r="AZ103" s="516"/>
      <c r="BG103" s="2637"/>
      <c r="BH103" s="2637"/>
      <c r="BI103" s="2637"/>
      <c r="BJ103" s="2637"/>
      <c r="BK103" s="2637"/>
      <c r="BL103" s="2637"/>
      <c r="BM103" s="2637"/>
      <c r="BN103" s="2637"/>
      <c r="BO103" s="2637"/>
      <c r="BP103" s="2637"/>
      <c r="BQ103" s="2637"/>
      <c r="BR103" s="2637"/>
      <c r="BS103" s="2637"/>
      <c r="BT103" s="2637"/>
      <c r="BU103" s="2637"/>
      <c r="BV103" s="2637"/>
      <c r="BW103" s="2637"/>
      <c r="BX103" s="2637"/>
      <c r="BY103" s="2637"/>
      <c r="BZ103" s="2637"/>
      <c r="CA103" s="2637"/>
      <c r="CB103" s="2637"/>
      <c r="CC103" s="2637"/>
      <c r="CD103" s="2637"/>
      <c r="CE103" s="2637"/>
      <c r="CF103" s="2637"/>
      <c r="CG103" s="2637"/>
      <c r="CH103" s="2637"/>
      <c r="CO103" s="517"/>
      <c r="CP103" s="519"/>
      <c r="CQ103" s="521"/>
      <c r="CR103" s="516"/>
      <c r="CX103" s="2636">
        <v>7</v>
      </c>
      <c r="CY103" s="2636"/>
      <c r="CZ103" s="2636"/>
      <c r="DA103" s="2636"/>
      <c r="DB103" s="2636"/>
      <c r="DC103" s="2636"/>
      <c r="DD103" s="2636"/>
      <c r="DE103" s="2636"/>
      <c r="DF103" s="2636"/>
      <c r="DG103" s="2636"/>
      <c r="DH103" s="2636"/>
      <c r="DI103" s="2636"/>
      <c r="DJ103" s="2636" t="s">
        <v>901</v>
      </c>
      <c r="DK103" s="2636"/>
      <c r="DL103" s="2636"/>
      <c r="DM103" s="2636"/>
      <c r="DN103" s="2636">
        <v>7</v>
      </c>
      <c r="DO103" s="2636"/>
      <c r="DP103" s="2636"/>
      <c r="DQ103" s="2636"/>
      <c r="DR103" s="2636"/>
      <c r="DS103" s="2636"/>
      <c r="DT103" s="2636"/>
      <c r="DU103" s="2636"/>
      <c r="DV103" s="2636"/>
      <c r="DW103" s="2636"/>
      <c r="DX103" s="2636"/>
      <c r="DY103" s="2636"/>
      <c r="EG103" s="517"/>
      <c r="EH103" s="519"/>
      <c r="EI103" s="521"/>
      <c r="EJ103" s="516"/>
      <c r="EO103" s="2636"/>
      <c r="EP103" s="2636"/>
      <c r="EQ103" s="2636"/>
      <c r="ER103" s="2636"/>
      <c r="ES103" s="2636"/>
      <c r="ET103" s="2636"/>
      <c r="EU103" s="2636"/>
      <c r="EV103" s="2636"/>
      <c r="EW103" s="2636"/>
      <c r="EX103" s="2636"/>
      <c r="EY103" s="2636"/>
      <c r="EZ103" s="2636"/>
      <c r="FA103" s="2636"/>
      <c r="FB103" s="2636"/>
      <c r="FC103" s="2636"/>
      <c r="FD103" s="2636"/>
      <c r="FE103" s="2636"/>
      <c r="FF103" s="2636"/>
      <c r="FG103" s="2636"/>
      <c r="FH103" s="2636"/>
      <c r="FI103" s="2636"/>
      <c r="FJ103" s="2636"/>
      <c r="FK103" s="2636"/>
      <c r="FL103" s="2636"/>
      <c r="FM103" s="2636"/>
      <c r="FN103" s="2636"/>
      <c r="FO103" s="2636"/>
      <c r="FP103" s="2636"/>
      <c r="FY103" s="517"/>
      <c r="FZ103" s="519"/>
      <c r="GA103" s="521"/>
      <c r="ID103" s="516"/>
      <c r="IG103" s="517"/>
      <c r="IO103" s="2595"/>
      <c r="IP103" s="2595"/>
      <c r="IQ103" s="2595"/>
      <c r="IR103" s="2595"/>
    </row>
    <row r="104" spans="30:293" ht="4.1500000000000004" customHeight="1">
      <c r="AD104" s="516"/>
      <c r="AF104" s="516"/>
      <c r="AO104" s="517"/>
      <c r="AQ104" s="516"/>
      <c r="AW104" s="517"/>
      <c r="AX104" s="527"/>
      <c r="AY104" s="529"/>
      <c r="AZ104" s="516"/>
      <c r="BG104" s="2636">
        <v>7</v>
      </c>
      <c r="BH104" s="2636"/>
      <c r="BI104" s="2636"/>
      <c r="BJ104" s="2636"/>
      <c r="BK104" s="2636"/>
      <c r="BL104" s="2636"/>
      <c r="BM104" s="2636"/>
      <c r="BN104" s="2636"/>
      <c r="BO104" s="2636"/>
      <c r="BP104" s="2636"/>
      <c r="BQ104" s="2636"/>
      <c r="BR104" s="2636"/>
      <c r="BS104" s="2636" t="s">
        <v>901</v>
      </c>
      <c r="BT104" s="2636"/>
      <c r="BU104" s="2636"/>
      <c r="BV104" s="2636"/>
      <c r="BW104" s="2636">
        <v>7</v>
      </c>
      <c r="BX104" s="2636"/>
      <c r="BY104" s="2636"/>
      <c r="BZ104" s="2636"/>
      <c r="CA104" s="2636"/>
      <c r="CB104" s="2636"/>
      <c r="CC104" s="2636"/>
      <c r="CD104" s="2636"/>
      <c r="CE104" s="2636"/>
      <c r="CF104" s="2636"/>
      <c r="CG104" s="2636"/>
      <c r="CH104" s="2636"/>
      <c r="CO104" s="517"/>
      <c r="CP104" s="527"/>
      <c r="CQ104" s="529"/>
      <c r="CR104" s="516"/>
      <c r="CX104" s="2636"/>
      <c r="CY104" s="2636"/>
      <c r="CZ104" s="2636"/>
      <c r="DA104" s="2636"/>
      <c r="DB104" s="2636"/>
      <c r="DC104" s="2636"/>
      <c r="DD104" s="2636"/>
      <c r="DE104" s="2636"/>
      <c r="DF104" s="2636"/>
      <c r="DG104" s="2636"/>
      <c r="DH104" s="2636"/>
      <c r="DI104" s="2636"/>
      <c r="DJ104" s="2636"/>
      <c r="DK104" s="2636"/>
      <c r="DL104" s="2636"/>
      <c r="DM104" s="2636"/>
      <c r="DN104" s="2636"/>
      <c r="DO104" s="2636"/>
      <c r="DP104" s="2636"/>
      <c r="DQ104" s="2636"/>
      <c r="DR104" s="2636"/>
      <c r="DS104" s="2636"/>
      <c r="DT104" s="2636"/>
      <c r="DU104" s="2636"/>
      <c r="DV104" s="2636"/>
      <c r="DW104" s="2636"/>
      <c r="DX104" s="2636"/>
      <c r="DY104" s="2636"/>
      <c r="EG104" s="517"/>
      <c r="EH104" s="527"/>
      <c r="EI104" s="529"/>
      <c r="EJ104" s="516"/>
      <c r="EO104" s="2636"/>
      <c r="EP104" s="2636"/>
      <c r="EQ104" s="2636"/>
      <c r="ER104" s="2636"/>
      <c r="ES104" s="2636"/>
      <c r="ET104" s="2636"/>
      <c r="EU104" s="2636"/>
      <c r="EV104" s="2636"/>
      <c r="EW104" s="2636"/>
      <c r="EX104" s="2636"/>
      <c r="EY104" s="2636"/>
      <c r="EZ104" s="2636"/>
      <c r="FA104" s="2636"/>
      <c r="FB104" s="2636"/>
      <c r="FC104" s="2636"/>
      <c r="FD104" s="2636"/>
      <c r="FE104" s="2636"/>
      <c r="FF104" s="2636"/>
      <c r="FG104" s="2636"/>
      <c r="FH104" s="2636"/>
      <c r="FI104" s="2636"/>
      <c r="FJ104" s="2636"/>
      <c r="FK104" s="2636"/>
      <c r="FL104" s="2636"/>
      <c r="FM104" s="2636"/>
      <c r="FN104" s="2636"/>
      <c r="FO104" s="2636"/>
      <c r="FP104" s="2636"/>
      <c r="FY104" s="517"/>
      <c r="FZ104" s="527"/>
      <c r="GA104" s="529"/>
      <c r="ID104" s="516"/>
      <c r="IG104" s="517"/>
      <c r="IO104" s="2595"/>
      <c r="IP104" s="2595"/>
      <c r="IQ104" s="2595"/>
      <c r="IR104" s="2595"/>
    </row>
    <row r="105" spans="30:293" ht="4.1500000000000004" customHeight="1">
      <c r="AD105" s="516"/>
      <c r="AF105" s="516"/>
      <c r="AO105" s="517"/>
      <c r="AQ105" s="516"/>
      <c r="AW105" s="517"/>
      <c r="AX105" s="516"/>
      <c r="AZ105" s="516"/>
      <c r="BG105" s="2636"/>
      <c r="BH105" s="2636"/>
      <c r="BI105" s="2636"/>
      <c r="BJ105" s="2636"/>
      <c r="BK105" s="2636"/>
      <c r="BL105" s="2636"/>
      <c r="BM105" s="2636"/>
      <c r="BN105" s="2636"/>
      <c r="BO105" s="2636"/>
      <c r="BP105" s="2636"/>
      <c r="BQ105" s="2636"/>
      <c r="BR105" s="2636"/>
      <c r="BS105" s="2636"/>
      <c r="BT105" s="2636"/>
      <c r="BU105" s="2636"/>
      <c r="BV105" s="2636"/>
      <c r="BW105" s="2636"/>
      <c r="BX105" s="2636"/>
      <c r="BY105" s="2636"/>
      <c r="BZ105" s="2636"/>
      <c r="CA105" s="2636"/>
      <c r="CB105" s="2636"/>
      <c r="CC105" s="2636"/>
      <c r="CD105" s="2636"/>
      <c r="CE105" s="2636"/>
      <c r="CF105" s="2636"/>
      <c r="CG105" s="2636"/>
      <c r="CH105" s="2636"/>
      <c r="CO105" s="517"/>
      <c r="CR105" s="516"/>
      <c r="CX105" s="2636"/>
      <c r="CY105" s="2636"/>
      <c r="CZ105" s="2636"/>
      <c r="DA105" s="2636"/>
      <c r="DB105" s="2636"/>
      <c r="DC105" s="2636"/>
      <c r="DD105" s="2636"/>
      <c r="DE105" s="2636"/>
      <c r="DF105" s="2636"/>
      <c r="DG105" s="2636"/>
      <c r="DH105" s="2636"/>
      <c r="DI105" s="2636"/>
      <c r="DJ105" s="2636"/>
      <c r="DK105" s="2636"/>
      <c r="DL105" s="2636"/>
      <c r="DM105" s="2636"/>
      <c r="DN105" s="2636"/>
      <c r="DO105" s="2636"/>
      <c r="DP105" s="2636"/>
      <c r="DQ105" s="2636"/>
      <c r="DR105" s="2636"/>
      <c r="DS105" s="2636"/>
      <c r="DT105" s="2636"/>
      <c r="DU105" s="2636"/>
      <c r="DV105" s="2636"/>
      <c r="DW105" s="2636"/>
      <c r="DX105" s="2636"/>
      <c r="DY105" s="2636"/>
      <c r="EG105" s="517"/>
      <c r="EJ105" s="516"/>
      <c r="EO105" s="2636"/>
      <c r="EP105" s="2636"/>
      <c r="EQ105" s="2636"/>
      <c r="ER105" s="2636"/>
      <c r="ES105" s="2636"/>
      <c r="ET105" s="2636"/>
      <c r="EU105" s="2636"/>
      <c r="EV105" s="2636"/>
      <c r="EW105" s="2636"/>
      <c r="EX105" s="2636"/>
      <c r="EY105" s="2636"/>
      <c r="EZ105" s="2636"/>
      <c r="FA105" s="2636"/>
      <c r="FB105" s="2636"/>
      <c r="FC105" s="2636"/>
      <c r="FD105" s="2636"/>
      <c r="FE105" s="2636"/>
      <c r="FF105" s="2636"/>
      <c r="FG105" s="2636"/>
      <c r="FH105" s="2636"/>
      <c r="FI105" s="2636"/>
      <c r="FJ105" s="2636"/>
      <c r="FK105" s="2636"/>
      <c r="FL105" s="2636"/>
      <c r="FM105" s="2636"/>
      <c r="FN105" s="2636"/>
      <c r="FO105" s="2636"/>
      <c r="FP105" s="2636"/>
      <c r="FY105" s="517"/>
      <c r="GA105" s="517"/>
      <c r="ID105" s="516"/>
      <c r="IG105" s="517"/>
      <c r="IO105" s="2595"/>
      <c r="IP105" s="2595"/>
      <c r="IQ105" s="2595"/>
      <c r="IR105" s="2595"/>
      <c r="JC105" s="2597">
        <v>0.125</v>
      </c>
      <c r="JD105" s="2597"/>
      <c r="JE105" s="2597"/>
      <c r="JF105" s="2597"/>
      <c r="JG105" s="2597"/>
      <c r="JH105" s="2597"/>
      <c r="JI105" s="2597"/>
      <c r="JK105" s="515"/>
      <c r="JL105" s="514"/>
      <c r="JM105" s="514"/>
      <c r="JN105" s="514"/>
      <c r="JO105" s="514"/>
      <c r="JP105" s="514"/>
      <c r="JQ105" s="514"/>
      <c r="JR105" s="514"/>
      <c r="JS105" s="514"/>
      <c r="JT105" s="514"/>
      <c r="JU105" s="514"/>
      <c r="JV105" s="514"/>
      <c r="JW105" s="514"/>
      <c r="JX105" s="514"/>
      <c r="JY105" s="514"/>
      <c r="JZ105" s="514"/>
      <c r="KA105" s="514"/>
      <c r="KB105" s="514"/>
      <c r="KC105" s="514"/>
      <c r="KD105" s="514"/>
      <c r="KE105" s="514"/>
      <c r="KF105" s="518"/>
    </row>
    <row r="106" spans="30:293" ht="4.1500000000000004" customHeight="1">
      <c r="AD106" s="516"/>
      <c r="AF106" s="516"/>
      <c r="AO106" s="517"/>
      <c r="AQ106" s="516"/>
      <c r="AW106" s="517"/>
      <c r="AX106" s="516"/>
      <c r="AZ106" s="516"/>
      <c r="BG106" s="2636"/>
      <c r="BH106" s="2636"/>
      <c r="BI106" s="2636"/>
      <c r="BJ106" s="2636"/>
      <c r="BK106" s="2636"/>
      <c r="BL106" s="2636"/>
      <c r="BM106" s="2636"/>
      <c r="BN106" s="2636"/>
      <c r="BO106" s="2636"/>
      <c r="BP106" s="2636"/>
      <c r="BQ106" s="2636"/>
      <c r="BR106" s="2636"/>
      <c r="BS106" s="2636"/>
      <c r="BT106" s="2636"/>
      <c r="BU106" s="2636"/>
      <c r="BV106" s="2636"/>
      <c r="BW106" s="2636"/>
      <c r="BX106" s="2636"/>
      <c r="BY106" s="2636"/>
      <c r="BZ106" s="2636"/>
      <c r="CA106" s="2636"/>
      <c r="CB106" s="2636"/>
      <c r="CC106" s="2636"/>
      <c r="CD106" s="2636"/>
      <c r="CE106" s="2636"/>
      <c r="CF106" s="2636"/>
      <c r="CG106" s="2636"/>
      <c r="CH106" s="2636"/>
      <c r="CO106" s="517"/>
      <c r="CR106" s="516"/>
      <c r="CX106" s="2636"/>
      <c r="CY106" s="2636"/>
      <c r="CZ106" s="2636"/>
      <c r="DA106" s="2636"/>
      <c r="DB106" s="2636"/>
      <c r="DC106" s="2636"/>
      <c r="DD106" s="2636"/>
      <c r="DE106" s="2636"/>
      <c r="DF106" s="2636"/>
      <c r="DG106" s="2636"/>
      <c r="DH106" s="2636"/>
      <c r="DI106" s="2636"/>
      <c r="DJ106" s="2636"/>
      <c r="DK106" s="2636"/>
      <c r="DL106" s="2636"/>
      <c r="DM106" s="2636"/>
      <c r="DN106" s="2636"/>
      <c r="DO106" s="2636"/>
      <c r="DP106" s="2636"/>
      <c r="DQ106" s="2636"/>
      <c r="DR106" s="2636"/>
      <c r="DS106" s="2636"/>
      <c r="DT106" s="2636"/>
      <c r="DU106" s="2636"/>
      <c r="DV106" s="2636"/>
      <c r="DW106" s="2636"/>
      <c r="DX106" s="2636"/>
      <c r="DY106" s="2636"/>
      <c r="EG106" s="517"/>
      <c r="EJ106" s="516"/>
      <c r="FY106" s="517"/>
      <c r="GA106" s="517"/>
      <c r="ID106" s="516"/>
      <c r="IG106" s="517"/>
      <c r="IO106" s="2595"/>
      <c r="IP106" s="2595"/>
      <c r="IQ106" s="2595"/>
      <c r="IR106" s="2595"/>
      <c r="JC106" s="2598"/>
      <c r="JD106" s="2598"/>
      <c r="JE106" s="2598"/>
      <c r="JF106" s="2598"/>
      <c r="JG106" s="2598"/>
      <c r="JH106" s="2598"/>
      <c r="JI106" s="2598"/>
      <c r="JK106" s="530"/>
      <c r="JL106" s="532"/>
      <c r="JM106" s="532"/>
      <c r="JN106" s="532"/>
      <c r="JO106" s="532"/>
      <c r="JP106" s="532"/>
      <c r="JQ106" s="532"/>
      <c r="JS106" s="515"/>
      <c r="JT106" s="514"/>
      <c r="JU106" s="514"/>
      <c r="JV106" s="514"/>
      <c r="JW106" s="514"/>
      <c r="JX106" s="518"/>
      <c r="JZ106" s="532"/>
      <c r="KA106" s="532"/>
      <c r="KB106" s="532"/>
      <c r="KC106" s="532"/>
      <c r="KD106" s="532"/>
      <c r="KE106" s="532"/>
      <c r="KF106" s="531"/>
    </row>
    <row r="107" spans="30:293" ht="4.1500000000000004" customHeight="1">
      <c r="AD107" s="516"/>
      <c r="AF107" s="516"/>
      <c r="AP107" s="514"/>
      <c r="AW107" s="517"/>
      <c r="AX107" s="516"/>
      <c r="AZ107" s="516"/>
      <c r="BG107" s="2636"/>
      <c r="BH107" s="2636"/>
      <c r="BI107" s="2636"/>
      <c r="BJ107" s="2636"/>
      <c r="BK107" s="2636"/>
      <c r="BL107" s="2636"/>
      <c r="BM107" s="2636"/>
      <c r="BN107" s="2636"/>
      <c r="BO107" s="2636"/>
      <c r="BP107" s="2636"/>
      <c r="BQ107" s="2636"/>
      <c r="BR107" s="2636"/>
      <c r="BS107" s="2636"/>
      <c r="BT107" s="2636"/>
      <c r="BU107" s="2636"/>
      <c r="BV107" s="2636"/>
      <c r="BW107" s="2636"/>
      <c r="BX107" s="2636"/>
      <c r="BY107" s="2636"/>
      <c r="BZ107" s="2636"/>
      <c r="CA107" s="2636"/>
      <c r="CB107" s="2636"/>
      <c r="CC107" s="2636"/>
      <c r="CD107" s="2636"/>
      <c r="CE107" s="2636"/>
      <c r="CF107" s="2636"/>
      <c r="CG107" s="2636"/>
      <c r="CH107" s="2636"/>
      <c r="CO107" s="517"/>
      <c r="CR107" s="516"/>
      <c r="EG107" s="517"/>
      <c r="EJ107" s="516"/>
      <c r="FY107" s="517"/>
      <c r="GA107" s="517"/>
      <c r="ID107" s="516"/>
      <c r="IG107" s="517"/>
      <c r="IO107" s="2595"/>
      <c r="IP107" s="2595"/>
      <c r="IQ107" s="2595"/>
      <c r="IR107" s="2595"/>
      <c r="JR107" s="516"/>
      <c r="JS107" s="516"/>
      <c r="JX107" s="517"/>
      <c r="JY107" s="517"/>
      <c r="KC107" s="2613">
        <v>0.5</v>
      </c>
      <c r="KD107" s="2613"/>
      <c r="KE107" s="2613"/>
      <c r="KF107" s="2613"/>
    </row>
    <row r="108" spans="30:293" ht="4.1500000000000004" customHeight="1">
      <c r="AD108" s="516"/>
      <c r="AF108" s="516"/>
      <c r="AW108" s="517"/>
      <c r="AX108" s="516"/>
      <c r="AZ108" s="516"/>
      <c r="CO108" s="517"/>
      <c r="CR108" s="516"/>
      <c r="EG108" s="517"/>
      <c r="EJ108" s="516"/>
      <c r="FY108" s="517"/>
      <c r="GA108" s="517"/>
      <c r="ID108" s="516"/>
      <c r="IG108" s="517"/>
      <c r="IO108" s="2595"/>
      <c r="IP108" s="2595"/>
      <c r="IQ108" s="2595"/>
      <c r="IR108" s="2595"/>
      <c r="JR108" s="516"/>
      <c r="JS108" s="516"/>
      <c r="JX108" s="517"/>
      <c r="JY108" s="517"/>
      <c r="KC108" s="2594"/>
      <c r="KD108" s="2594"/>
      <c r="KE108" s="2594"/>
      <c r="KF108" s="2594"/>
    </row>
    <row r="109" spans="30:293" ht="4.1500000000000004" customHeight="1">
      <c r="AD109" s="516"/>
      <c r="AF109" s="516"/>
      <c r="AW109" s="517"/>
      <c r="AX109" s="516"/>
      <c r="AZ109" s="516"/>
      <c r="CO109" s="517"/>
      <c r="CR109" s="516"/>
      <c r="EG109" s="517"/>
      <c r="EJ109" s="516"/>
      <c r="FY109" s="517"/>
      <c r="GA109" s="517"/>
      <c r="GB109" s="1559"/>
      <c r="GC109" s="537"/>
      <c r="GD109" s="538"/>
      <c r="ID109" s="516"/>
      <c r="IG109" s="517"/>
      <c r="IO109" s="2595"/>
      <c r="IP109" s="2595"/>
      <c r="IQ109" s="2595"/>
      <c r="IR109" s="2595"/>
      <c r="JR109" s="516"/>
      <c r="JS109" s="516"/>
      <c r="JX109" s="517"/>
      <c r="JY109" s="517"/>
      <c r="KC109" s="2594"/>
      <c r="KD109" s="2594"/>
      <c r="KE109" s="2594"/>
      <c r="KF109" s="2594"/>
    </row>
    <row r="110" spans="30:293" ht="4.1500000000000004" customHeight="1">
      <c r="AD110" s="516"/>
      <c r="AF110" s="516"/>
      <c r="AW110" s="517"/>
      <c r="AX110" s="516"/>
      <c r="AZ110" s="516"/>
      <c r="CO110" s="517"/>
      <c r="CR110" s="516"/>
      <c r="EG110" s="517"/>
      <c r="EJ110" s="516"/>
      <c r="FY110" s="517"/>
      <c r="FZ110" s="515"/>
      <c r="GA110" s="1613"/>
      <c r="GB110" s="516"/>
      <c r="GD110" s="540"/>
      <c r="ID110" s="516"/>
      <c r="IG110" s="517"/>
      <c r="IQ110" s="516"/>
      <c r="JR110" s="516"/>
      <c r="JS110" s="516"/>
      <c r="JX110" s="517"/>
      <c r="JY110" s="517"/>
      <c r="KC110" s="2594"/>
      <c r="KD110" s="2594"/>
      <c r="KE110" s="2594"/>
      <c r="KF110" s="2594"/>
    </row>
    <row r="111" spans="30:293" ht="4.1500000000000004" customHeight="1">
      <c r="AD111" s="516"/>
      <c r="AF111" s="530"/>
      <c r="AG111" s="532"/>
      <c r="AH111" s="532"/>
      <c r="AI111" s="532"/>
      <c r="AJ111" s="532"/>
      <c r="AK111" s="532"/>
      <c r="AL111" s="532"/>
      <c r="AM111" s="532"/>
      <c r="AN111" s="532"/>
      <c r="AO111" s="532"/>
      <c r="AP111" s="532"/>
      <c r="AW111" s="517"/>
      <c r="AX111" s="516"/>
      <c r="AZ111" s="516"/>
      <c r="CO111" s="517"/>
      <c r="CR111" s="516"/>
      <c r="EG111" s="517"/>
      <c r="EJ111" s="516"/>
      <c r="FY111" s="517"/>
      <c r="FZ111" s="516"/>
      <c r="GA111" s="1612"/>
      <c r="GB111" s="516"/>
      <c r="GD111" s="540"/>
      <c r="ID111" s="516"/>
      <c r="IG111" s="517"/>
      <c r="IQ111" s="516"/>
      <c r="JR111" s="516"/>
      <c r="JS111" s="516"/>
      <c r="JX111" s="517"/>
      <c r="JY111" s="517"/>
      <c r="KC111" s="2594"/>
      <c r="KD111" s="2594"/>
      <c r="KE111" s="2594"/>
      <c r="KF111" s="2594"/>
    </row>
    <row r="112" spans="30:293" ht="4.1500000000000004" customHeight="1">
      <c r="AD112" s="516"/>
      <c r="AF112" s="532"/>
      <c r="AG112" s="532"/>
      <c r="AH112" s="532"/>
      <c r="AI112" s="532"/>
      <c r="AJ112" s="532"/>
      <c r="AK112" s="532"/>
      <c r="AL112" s="532"/>
      <c r="AM112" s="532"/>
      <c r="AN112" s="532"/>
      <c r="AO112" s="532"/>
      <c r="AP112" s="531"/>
      <c r="AQ112" s="516"/>
      <c r="AW112" s="517"/>
      <c r="AX112" s="516"/>
      <c r="AZ112" s="516"/>
      <c r="CO112" s="517"/>
      <c r="CR112" s="516"/>
      <c r="EG112" s="517"/>
      <c r="EJ112" s="516"/>
      <c r="FY112" s="517"/>
      <c r="FZ112" s="516"/>
      <c r="GA112" s="1612"/>
      <c r="GB112" s="516"/>
      <c r="GD112" s="540"/>
      <c r="ID112" s="516"/>
      <c r="IG112" s="517"/>
      <c r="IH112" s="516"/>
      <c r="IQ112" s="516"/>
      <c r="JR112" s="516"/>
      <c r="JS112" s="516"/>
      <c r="JX112" s="517"/>
      <c r="JY112" s="517"/>
      <c r="KC112" s="2594"/>
      <c r="KD112" s="2594"/>
      <c r="KE112" s="2594"/>
      <c r="KF112" s="2594"/>
    </row>
    <row r="113" spans="30:293" ht="4.1500000000000004" customHeight="1">
      <c r="AD113" s="516"/>
      <c r="AF113" s="516"/>
      <c r="AW113" s="517"/>
      <c r="AX113" s="516"/>
      <c r="AZ113" s="516"/>
      <c r="CO113" s="517"/>
      <c r="CR113" s="516"/>
      <c r="EG113" s="517"/>
      <c r="EJ113" s="516"/>
      <c r="FY113" s="517"/>
      <c r="FZ113" s="516"/>
      <c r="GA113" s="1612"/>
      <c r="GB113" s="516"/>
      <c r="GD113" s="540"/>
      <c r="ID113" s="516"/>
      <c r="IG113" s="517"/>
      <c r="IH113" s="516"/>
      <c r="IQ113" s="516"/>
      <c r="JR113" s="516"/>
      <c r="JS113" s="516"/>
      <c r="JX113" s="517"/>
      <c r="JY113" s="517"/>
      <c r="KC113" s="2594"/>
      <c r="KD113" s="2594"/>
      <c r="KE113" s="2594"/>
      <c r="KF113" s="2594"/>
    </row>
    <row r="114" spans="30:293" ht="4.1500000000000004" customHeight="1">
      <c r="AD114" s="516"/>
      <c r="AF114" s="516"/>
      <c r="AW114" s="517"/>
      <c r="AX114" s="516"/>
      <c r="AZ114" s="516"/>
      <c r="CO114" s="517"/>
      <c r="CR114" s="516"/>
      <c r="EG114" s="517"/>
      <c r="EJ114" s="516"/>
      <c r="FY114" s="517"/>
      <c r="FZ114" s="516"/>
      <c r="GA114" s="1612"/>
      <c r="GB114" s="516"/>
      <c r="GD114" s="540"/>
      <c r="ID114" s="516"/>
      <c r="IG114" s="517"/>
      <c r="IH114" s="516"/>
      <c r="IQ114" s="516"/>
      <c r="JR114" s="516"/>
      <c r="JS114" s="530"/>
      <c r="JT114" s="532"/>
      <c r="JU114" s="532"/>
      <c r="JV114" s="532"/>
      <c r="JW114" s="532"/>
      <c r="JX114" s="531"/>
      <c r="JY114" s="517"/>
      <c r="KC114" s="2594"/>
      <c r="KD114" s="2594"/>
      <c r="KE114" s="2594"/>
      <c r="KF114" s="2594"/>
    </row>
    <row r="115" spans="30:293" ht="4.1500000000000004" customHeight="1">
      <c r="AD115" s="516"/>
      <c r="AF115" s="516"/>
      <c r="AW115" s="517"/>
      <c r="AX115" s="516"/>
      <c r="AZ115" s="516"/>
      <c r="CO115" s="517"/>
      <c r="CR115" s="516"/>
      <c r="EG115" s="517"/>
      <c r="EJ115" s="516"/>
      <c r="FY115" s="517"/>
      <c r="FZ115" s="663"/>
      <c r="GA115" s="1586"/>
      <c r="GB115" s="516"/>
      <c r="GD115" s="540"/>
      <c r="ID115" s="516"/>
      <c r="IG115" s="517"/>
      <c r="IH115" s="516"/>
      <c r="IQ115" s="516"/>
      <c r="JR115" s="530"/>
      <c r="JS115" s="532"/>
      <c r="JT115" s="532"/>
      <c r="JU115" s="532"/>
      <c r="JV115" s="532"/>
      <c r="JW115" s="532"/>
      <c r="JX115" s="532"/>
      <c r="JY115" s="531"/>
      <c r="KC115" s="2614"/>
      <c r="KD115" s="2614"/>
      <c r="KE115" s="2614"/>
      <c r="KF115" s="2614"/>
    </row>
    <row r="116" spans="30:293" ht="4.1500000000000004" customHeight="1">
      <c r="AD116" s="516"/>
      <c r="AF116" s="516"/>
      <c r="AW116" s="517"/>
      <c r="AX116" s="516"/>
      <c r="AZ116" s="516"/>
      <c r="CO116" s="517"/>
      <c r="CR116" s="516"/>
      <c r="EG116" s="517"/>
      <c r="EJ116" s="516"/>
      <c r="FY116" s="517"/>
      <c r="FZ116" s="663"/>
      <c r="GA116" s="1586"/>
      <c r="GB116" s="516"/>
      <c r="GD116" s="540"/>
      <c r="ID116" s="516"/>
      <c r="IG116" s="517"/>
      <c r="IH116" s="516"/>
      <c r="IQ116" s="516"/>
    </row>
    <row r="117" spans="30:293" ht="4.1500000000000004" customHeight="1">
      <c r="AD117" s="516"/>
      <c r="AF117" s="516"/>
      <c r="AW117" s="517"/>
      <c r="AX117" s="516"/>
      <c r="AZ117" s="516"/>
      <c r="CO117" s="517"/>
      <c r="CR117" s="516"/>
      <c r="EG117" s="517"/>
      <c r="EJ117" s="516"/>
      <c r="FY117" s="517"/>
      <c r="FZ117" s="663"/>
      <c r="GA117" s="1586"/>
      <c r="GB117" s="516"/>
      <c r="GD117" s="540"/>
      <c r="HI117" s="532"/>
      <c r="HJ117" s="532"/>
      <c r="HK117" s="532"/>
      <c r="HL117" s="532"/>
      <c r="HM117" s="532"/>
      <c r="HN117" s="532"/>
      <c r="HO117" s="532"/>
      <c r="HP117" s="532"/>
      <c r="HQ117" s="532"/>
      <c r="HR117" s="532"/>
      <c r="HS117" s="532"/>
      <c r="HT117" s="532"/>
      <c r="HU117" s="532"/>
      <c r="HV117" s="532"/>
      <c r="HW117" s="532"/>
      <c r="HX117" s="532"/>
      <c r="HY117" s="532"/>
      <c r="HZ117" s="532"/>
      <c r="IA117" s="532"/>
      <c r="IB117" s="532"/>
      <c r="ID117" s="516"/>
      <c r="IG117" s="517"/>
      <c r="IH117" s="530"/>
      <c r="II117" s="532"/>
      <c r="IJ117" s="532"/>
      <c r="IK117" s="532"/>
      <c r="IL117" s="532"/>
      <c r="IM117" s="532"/>
      <c r="IN117" s="532"/>
      <c r="IO117" s="532"/>
      <c r="IP117" s="532"/>
      <c r="IQ117" s="530"/>
      <c r="IR117" s="532"/>
      <c r="IS117" s="532"/>
      <c r="IT117" s="532"/>
      <c r="IU117" s="532"/>
      <c r="IV117" s="532"/>
      <c r="IW117" s="532"/>
      <c r="IX117" s="532"/>
      <c r="IY117" s="532"/>
      <c r="IZ117" s="532"/>
      <c r="JA117" s="532"/>
      <c r="JB117" s="532"/>
      <c r="JC117" s="532"/>
      <c r="JD117" s="532"/>
      <c r="JE117" s="532"/>
      <c r="JF117" s="532"/>
      <c r="JR117" s="2609">
        <v>0.25</v>
      </c>
      <c r="JS117" s="2610"/>
      <c r="JT117" s="2610"/>
      <c r="JU117" s="2610"/>
      <c r="JV117" s="2610"/>
      <c r="JW117" s="2610"/>
      <c r="JX117" s="2610"/>
      <c r="JY117" s="2611"/>
    </row>
    <row r="118" spans="30:293" ht="4.1500000000000004" customHeight="1">
      <c r="AD118" s="516"/>
      <c r="AF118" s="516"/>
      <c r="AW118" s="517"/>
      <c r="AX118" s="516"/>
      <c r="AZ118" s="516"/>
      <c r="CO118" s="517"/>
      <c r="CR118" s="516"/>
      <c r="EG118" s="517"/>
      <c r="EJ118" s="516"/>
      <c r="FY118" s="517"/>
      <c r="FZ118" s="666"/>
      <c r="GA118" s="1587"/>
      <c r="GB118" s="516"/>
      <c r="GD118" s="540"/>
      <c r="ID118" s="519"/>
      <c r="IE118" s="520"/>
      <c r="IF118" s="520"/>
      <c r="IG118" s="521"/>
      <c r="JR118" s="2609"/>
      <c r="JS118" s="2610"/>
      <c r="JT118" s="2610"/>
      <c r="JU118" s="2610"/>
      <c r="JV118" s="2610"/>
      <c r="JW118" s="2610"/>
      <c r="JX118" s="2610"/>
      <c r="JY118" s="2611"/>
    </row>
    <row r="119" spans="30:293" ht="4.1500000000000004" customHeight="1">
      <c r="AD119" s="516"/>
      <c r="AF119" s="516"/>
      <c r="AW119" s="517"/>
      <c r="AX119" s="516"/>
      <c r="AZ119" s="516"/>
      <c r="CO119" s="517"/>
      <c r="CR119" s="516"/>
      <c r="EG119" s="517"/>
      <c r="EJ119" s="516"/>
      <c r="FY119" s="517"/>
      <c r="GA119" s="517"/>
      <c r="GB119" s="1561"/>
      <c r="GC119" s="557"/>
      <c r="GD119" s="560"/>
      <c r="ID119" s="522"/>
      <c r="IE119" s="523"/>
      <c r="IF119" s="523"/>
      <c r="IG119" s="524"/>
      <c r="JR119" s="2609"/>
      <c r="JS119" s="2610"/>
      <c r="JT119" s="2610"/>
      <c r="JU119" s="2610"/>
      <c r="JV119" s="2610"/>
      <c r="JW119" s="2610"/>
      <c r="JX119" s="2610"/>
      <c r="JY119" s="2611"/>
    </row>
    <row r="120" spans="30:293" ht="4.1500000000000004" customHeight="1">
      <c r="AD120" s="516"/>
      <c r="AF120" s="516"/>
      <c r="AW120" s="517"/>
      <c r="AX120" s="516"/>
      <c r="AZ120" s="516"/>
      <c r="CO120" s="517"/>
      <c r="CR120" s="516"/>
      <c r="EG120" s="517"/>
      <c r="EJ120" s="516"/>
      <c r="FY120" s="517"/>
      <c r="GA120" s="517"/>
      <c r="ID120" s="527"/>
      <c r="IE120" s="528"/>
      <c r="IF120" s="528"/>
      <c r="IG120" s="529"/>
      <c r="IH120" s="516"/>
    </row>
    <row r="121" spans="30:293" ht="4.1500000000000004" customHeight="1">
      <c r="AD121" s="516"/>
      <c r="AF121" s="516"/>
      <c r="AW121" s="517"/>
      <c r="AX121" s="516"/>
      <c r="AZ121" s="516"/>
      <c r="CO121" s="517"/>
      <c r="CR121" s="516"/>
      <c r="EG121" s="517"/>
      <c r="EJ121" s="516"/>
      <c r="FY121" s="517"/>
      <c r="GA121" s="517"/>
      <c r="ID121" s="515"/>
      <c r="IE121" s="514"/>
      <c r="IF121" s="514"/>
      <c r="IG121" s="518"/>
      <c r="IH121" s="516"/>
    </row>
    <row r="122" spans="30:293" ht="4.1500000000000004" customHeight="1">
      <c r="AD122" s="516"/>
      <c r="AF122" s="516"/>
      <c r="AW122" s="517"/>
      <c r="AX122" s="516"/>
      <c r="AZ122" s="516"/>
      <c r="CO122" s="517"/>
      <c r="CR122" s="516"/>
      <c r="EG122" s="517"/>
      <c r="EJ122" s="516"/>
      <c r="FY122" s="517"/>
      <c r="GA122" s="517"/>
      <c r="ID122" s="516"/>
      <c r="IG122" s="517"/>
      <c r="IH122" s="516"/>
    </row>
    <row r="123" spans="30:293" ht="4.1500000000000004" customHeight="1">
      <c r="AD123" s="516"/>
      <c r="AF123" s="516"/>
      <c r="AW123" s="517"/>
      <c r="AX123" s="516"/>
      <c r="AZ123" s="516"/>
      <c r="CO123" s="517"/>
      <c r="CR123" s="516"/>
      <c r="EG123" s="517"/>
      <c r="EJ123" s="516"/>
      <c r="FY123" s="517"/>
      <c r="GA123" s="517"/>
      <c r="IC123" s="517"/>
      <c r="ID123" s="516"/>
      <c r="IG123" s="517"/>
      <c r="IH123" s="516"/>
    </row>
    <row r="124" spans="30:293" ht="4.1500000000000004" customHeight="1">
      <c r="AD124" s="519"/>
      <c r="AE124" s="521"/>
      <c r="AF124" s="516"/>
      <c r="AW124" s="517"/>
      <c r="AX124" s="519"/>
      <c r="AY124" s="521"/>
      <c r="AZ124" s="530"/>
      <c r="BA124" s="532"/>
      <c r="BB124" s="532"/>
      <c r="BC124" s="532"/>
      <c r="BD124" s="532"/>
      <c r="BE124" s="532"/>
      <c r="BF124" s="532"/>
      <c r="BG124" s="532"/>
      <c r="BH124" s="532"/>
      <c r="BI124" s="532"/>
      <c r="BJ124" s="532"/>
      <c r="BK124" s="532"/>
      <c r="BL124" s="532"/>
      <c r="BM124" s="532"/>
      <c r="BN124" s="532"/>
      <c r="BO124" s="532"/>
      <c r="BP124" s="532"/>
      <c r="BQ124" s="532"/>
      <c r="BR124" s="532"/>
      <c r="BS124" s="532"/>
      <c r="BT124" s="519"/>
      <c r="BU124" s="521"/>
      <c r="BV124" s="532"/>
      <c r="BW124" s="532"/>
      <c r="BX124" s="532"/>
      <c r="BY124" s="532"/>
      <c r="BZ124" s="532"/>
      <c r="CA124" s="532"/>
      <c r="CB124" s="532"/>
      <c r="CC124" s="532"/>
      <c r="CD124" s="532"/>
      <c r="CE124" s="532"/>
      <c r="CF124" s="532"/>
      <c r="CO124" s="517"/>
      <c r="CP124" s="519"/>
      <c r="CQ124" s="521"/>
      <c r="CR124" s="516"/>
      <c r="DA124" s="532"/>
      <c r="DB124" s="532"/>
      <c r="DC124" s="532"/>
      <c r="DD124" s="532"/>
      <c r="DE124" s="532"/>
      <c r="DF124" s="532"/>
      <c r="DG124" s="532"/>
      <c r="DH124" s="532"/>
      <c r="DI124" s="532"/>
      <c r="DJ124" s="532"/>
      <c r="DK124" s="532"/>
      <c r="DL124" s="519"/>
      <c r="DM124" s="521"/>
      <c r="DN124" s="532"/>
      <c r="DO124" s="532"/>
      <c r="DP124" s="532"/>
      <c r="DQ124" s="532"/>
      <c r="DR124" s="532"/>
      <c r="DS124" s="532"/>
      <c r="DT124" s="532"/>
      <c r="DU124" s="532"/>
      <c r="DV124" s="532"/>
      <c r="DW124" s="532"/>
      <c r="DX124" s="532"/>
      <c r="EG124" s="517"/>
      <c r="EH124" s="519"/>
      <c r="EI124" s="521"/>
      <c r="EJ124" s="516"/>
      <c r="ES124" s="532"/>
      <c r="ET124" s="532"/>
      <c r="EU124" s="532"/>
      <c r="EV124" s="532"/>
      <c r="EW124" s="532"/>
      <c r="EX124" s="532"/>
      <c r="EY124" s="532"/>
      <c r="EZ124" s="532"/>
      <c r="FA124" s="532"/>
      <c r="FB124" s="532"/>
      <c r="FC124" s="532"/>
      <c r="FD124" s="519"/>
      <c r="FE124" s="521"/>
      <c r="FF124" s="532"/>
      <c r="FG124" s="532"/>
      <c r="FH124" s="532"/>
      <c r="FI124" s="532"/>
      <c r="FJ124" s="532"/>
      <c r="FK124" s="532"/>
      <c r="FL124" s="532"/>
      <c r="FM124" s="532"/>
      <c r="FN124" s="532"/>
      <c r="FO124" s="532"/>
      <c r="FP124" s="532"/>
      <c r="FY124" s="517"/>
      <c r="FZ124" s="519"/>
      <c r="GA124" s="521"/>
      <c r="IC124" s="517"/>
      <c r="ID124" s="516"/>
      <c r="IG124" s="517"/>
      <c r="IH124" s="516"/>
    </row>
    <row r="125" spans="30:293" ht="4.1500000000000004" customHeight="1">
      <c r="AD125" s="522"/>
      <c r="AE125" s="524"/>
      <c r="AF125" s="515"/>
      <c r="AG125" s="514"/>
      <c r="AH125" s="514"/>
      <c r="AI125" s="514"/>
      <c r="AJ125" s="518"/>
      <c r="AW125" s="517"/>
      <c r="AX125" s="522"/>
      <c r="AY125" s="524"/>
      <c r="BT125" s="522"/>
      <c r="BU125" s="524"/>
      <c r="CG125" s="516"/>
      <c r="CO125" s="517"/>
      <c r="CP125" s="523"/>
      <c r="CQ125" s="523"/>
      <c r="CR125" s="516"/>
      <c r="CZ125" s="517"/>
      <c r="DL125" s="522"/>
      <c r="DM125" s="524"/>
      <c r="DY125" s="516"/>
      <c r="EG125" s="517"/>
      <c r="EH125" s="523"/>
      <c r="EI125" s="523"/>
      <c r="EJ125" s="516"/>
      <c r="ER125" s="517"/>
      <c r="FD125" s="522"/>
      <c r="FE125" s="524"/>
      <c r="FQ125" s="516"/>
      <c r="FY125" s="517"/>
      <c r="FZ125" s="523"/>
      <c r="GA125" s="524"/>
      <c r="IC125" s="517"/>
      <c r="ID125" s="516"/>
      <c r="IG125" s="517"/>
      <c r="IH125" s="516"/>
      <c r="JL125" s="2612" t="s">
        <v>3597</v>
      </c>
      <c r="JM125" s="2612"/>
      <c r="JN125" s="2612"/>
      <c r="JO125" s="2612"/>
      <c r="JP125" s="2612"/>
      <c r="JQ125" s="2612"/>
      <c r="JR125" s="2612"/>
      <c r="JS125" s="2612"/>
      <c r="JT125" s="2612"/>
      <c r="JU125" s="2612"/>
      <c r="JV125" s="2612"/>
      <c r="JW125" s="2612"/>
      <c r="JX125" s="2612"/>
      <c r="JY125" s="2612"/>
      <c r="JZ125" s="2612"/>
      <c r="KA125" s="2612"/>
      <c r="KB125" s="2612"/>
      <c r="KC125" s="2612"/>
      <c r="KD125" s="2612"/>
      <c r="KE125" s="2612"/>
      <c r="KF125" s="2612"/>
      <c r="KG125" s="2612"/>
    </row>
    <row r="126" spans="30:293" ht="4.1500000000000004" customHeight="1">
      <c r="AD126" s="527"/>
      <c r="AE126" s="529"/>
      <c r="AF126" s="530"/>
      <c r="AG126" s="532"/>
      <c r="AH126" s="532"/>
      <c r="AI126" s="532"/>
      <c r="AJ126" s="531"/>
      <c r="AW126" s="517"/>
      <c r="AX126" s="527"/>
      <c r="AY126" s="529"/>
      <c r="BT126" s="527"/>
      <c r="BU126" s="529"/>
      <c r="CG126" s="516"/>
      <c r="CO126" s="517"/>
      <c r="CP126" s="528"/>
      <c r="CQ126" s="528"/>
      <c r="CR126" s="516"/>
      <c r="CZ126" s="517"/>
      <c r="DL126" s="527"/>
      <c r="DM126" s="529"/>
      <c r="DY126" s="516"/>
      <c r="EG126" s="517"/>
      <c r="EH126" s="528"/>
      <c r="EI126" s="528"/>
      <c r="EJ126" s="516"/>
      <c r="ER126" s="517"/>
      <c r="FD126" s="527"/>
      <c r="FE126" s="529"/>
      <c r="FQ126" s="516"/>
      <c r="FY126" s="517"/>
      <c r="FZ126" s="528"/>
      <c r="GA126" s="529"/>
      <c r="HO126" s="532"/>
      <c r="HP126" s="532"/>
      <c r="HQ126" s="532"/>
      <c r="HR126" s="532"/>
      <c r="HS126" s="532"/>
      <c r="HT126" s="532"/>
      <c r="HU126" s="532"/>
      <c r="HV126" s="532"/>
      <c r="HW126" s="532"/>
      <c r="HX126" s="532"/>
      <c r="HY126" s="532"/>
      <c r="HZ126" s="532"/>
      <c r="IA126" s="532"/>
      <c r="IB126" s="532"/>
      <c r="IC126" s="531"/>
      <c r="ID126" s="530"/>
      <c r="IE126" s="532"/>
      <c r="IF126" s="532"/>
      <c r="IG126" s="531"/>
      <c r="IH126" s="530"/>
      <c r="II126" s="532"/>
      <c r="IJ126" s="532"/>
      <c r="IK126" s="532"/>
      <c r="IL126" s="532"/>
      <c r="IM126" s="532"/>
      <c r="IN126" s="532"/>
      <c r="IO126" s="532"/>
      <c r="IP126" s="532"/>
      <c r="IQ126" s="532"/>
      <c r="IR126" s="532"/>
      <c r="IS126" s="532"/>
      <c r="IT126" s="532"/>
      <c r="IU126" s="532"/>
      <c r="IV126" s="532"/>
      <c r="JL126" s="2612"/>
      <c r="JM126" s="2612"/>
      <c r="JN126" s="2612"/>
      <c r="JO126" s="2612"/>
      <c r="JP126" s="2612"/>
      <c r="JQ126" s="2612"/>
      <c r="JR126" s="2612"/>
      <c r="JS126" s="2612"/>
      <c r="JT126" s="2612"/>
      <c r="JU126" s="2612"/>
      <c r="JV126" s="2612"/>
      <c r="JW126" s="2612"/>
      <c r="JX126" s="2612"/>
      <c r="JY126" s="2612"/>
      <c r="JZ126" s="2612"/>
      <c r="KA126" s="2612"/>
      <c r="KB126" s="2612"/>
      <c r="KC126" s="2612"/>
      <c r="KD126" s="2612"/>
      <c r="KE126" s="2612"/>
      <c r="KF126" s="2612"/>
      <c r="KG126" s="2612"/>
    </row>
    <row r="127" spans="30:293" ht="4.1500000000000004" customHeight="1">
      <c r="AD127" s="516"/>
      <c r="AF127" s="516"/>
      <c r="AX127" s="514"/>
      <c r="AY127" s="514"/>
      <c r="AZ127" s="514"/>
      <c r="BA127" s="514"/>
      <c r="BB127" s="514"/>
      <c r="BC127" s="514"/>
      <c r="BD127" s="514"/>
      <c r="BE127" s="514"/>
      <c r="BF127" s="514"/>
      <c r="BG127" s="514"/>
      <c r="BH127" s="514"/>
      <c r="BI127" s="514"/>
      <c r="BJ127" s="514"/>
      <c r="BK127" s="514"/>
      <c r="BL127" s="514"/>
      <c r="BM127" s="514"/>
      <c r="BN127" s="514"/>
      <c r="BO127" s="514"/>
      <c r="BP127" s="514"/>
      <c r="BQ127" s="514"/>
      <c r="BR127" s="514"/>
      <c r="BS127" s="514"/>
      <c r="BT127" s="514"/>
      <c r="BU127" s="514"/>
      <c r="BV127" s="514"/>
      <c r="BW127" s="514"/>
      <c r="BX127" s="514"/>
      <c r="BY127" s="514"/>
      <c r="BZ127" s="514"/>
      <c r="CA127" s="514"/>
      <c r="CB127" s="514"/>
      <c r="CC127" s="514"/>
      <c r="CD127" s="514"/>
      <c r="CE127" s="514"/>
      <c r="CF127" s="514"/>
      <c r="CP127" s="514"/>
      <c r="CQ127" s="514"/>
      <c r="DA127" s="514"/>
      <c r="DB127" s="514"/>
      <c r="DC127" s="514"/>
      <c r="DD127" s="514"/>
      <c r="DE127" s="514"/>
      <c r="DF127" s="514"/>
      <c r="DG127" s="514"/>
      <c r="DH127" s="514"/>
      <c r="DI127" s="514"/>
      <c r="DJ127" s="514"/>
      <c r="DK127" s="514"/>
      <c r="DL127" s="514"/>
      <c r="DM127" s="514"/>
      <c r="DN127" s="514"/>
      <c r="DO127" s="514"/>
      <c r="DP127" s="514"/>
      <c r="DQ127" s="514"/>
      <c r="DR127" s="514"/>
      <c r="DS127" s="514"/>
      <c r="DT127" s="514"/>
      <c r="DU127" s="514"/>
      <c r="DV127" s="514"/>
      <c r="DW127" s="514"/>
      <c r="DX127" s="514"/>
      <c r="EH127" s="514"/>
      <c r="EI127" s="514"/>
      <c r="ES127" s="514"/>
      <c r="ET127" s="514"/>
      <c r="EU127" s="514"/>
      <c r="EV127" s="514"/>
      <c r="EW127" s="514"/>
      <c r="EX127" s="514"/>
      <c r="EY127" s="514"/>
      <c r="EZ127" s="514"/>
      <c r="FA127" s="514"/>
      <c r="FB127" s="514"/>
      <c r="FC127" s="514"/>
      <c r="FD127" s="514"/>
      <c r="FE127" s="514"/>
      <c r="FF127" s="514"/>
      <c r="FG127" s="514"/>
      <c r="FH127" s="514"/>
      <c r="FI127" s="514"/>
      <c r="FJ127" s="514"/>
      <c r="FK127" s="514"/>
      <c r="FL127" s="514"/>
      <c r="FM127" s="514"/>
      <c r="FN127" s="514"/>
      <c r="FO127" s="514"/>
      <c r="FP127" s="514"/>
      <c r="FY127" s="517"/>
      <c r="GA127" s="1612"/>
      <c r="HI127" s="514"/>
      <c r="HJ127" s="514"/>
      <c r="HK127" s="515"/>
      <c r="HL127" s="514"/>
      <c r="HM127" s="514"/>
      <c r="HN127" s="514"/>
      <c r="HO127" s="514"/>
      <c r="ID127" s="516"/>
      <c r="IG127" s="517"/>
      <c r="IW127" s="514"/>
      <c r="IX127" s="514"/>
      <c r="IY127" s="514"/>
      <c r="IZ127" s="514"/>
      <c r="JA127" s="515"/>
      <c r="JB127" s="514"/>
      <c r="JC127" s="514"/>
      <c r="JD127" s="514"/>
      <c r="JE127" s="514"/>
      <c r="JF127" s="514"/>
      <c r="JL127" s="2612"/>
      <c r="JM127" s="2612"/>
      <c r="JN127" s="2612"/>
      <c r="JO127" s="2612"/>
      <c r="JP127" s="2612"/>
      <c r="JQ127" s="2612"/>
      <c r="JR127" s="2612"/>
      <c r="JS127" s="2612"/>
      <c r="JT127" s="2612"/>
      <c r="JU127" s="2612"/>
      <c r="JV127" s="2612"/>
      <c r="JW127" s="2612"/>
      <c r="JX127" s="2612"/>
      <c r="JY127" s="2612"/>
      <c r="JZ127" s="2612"/>
      <c r="KA127" s="2612"/>
      <c r="KB127" s="2612"/>
      <c r="KC127" s="2612"/>
      <c r="KD127" s="2612"/>
      <c r="KE127" s="2612"/>
      <c r="KF127" s="2612"/>
      <c r="KG127" s="2612"/>
    </row>
    <row r="128" spans="30:293" ht="4.1500000000000004" customHeight="1">
      <c r="AD128" s="516"/>
      <c r="AF128" s="516"/>
      <c r="FY128" s="517"/>
      <c r="GA128" s="1612"/>
      <c r="HK128" s="516"/>
      <c r="ID128" s="2629">
        <v>0.25</v>
      </c>
      <c r="IE128" s="2630"/>
      <c r="IF128" s="2630"/>
      <c r="IG128" s="2631"/>
      <c r="JA128" s="516"/>
    </row>
    <row r="129" spans="30:266" ht="4.1500000000000004" customHeight="1">
      <c r="AD129" s="516"/>
      <c r="AF129" s="516"/>
      <c r="FY129" s="517"/>
      <c r="GA129" s="1612"/>
      <c r="HK129" s="516"/>
      <c r="ID129" s="2629"/>
      <c r="IE129" s="2630"/>
      <c r="IF129" s="2630"/>
      <c r="IG129" s="2631"/>
      <c r="IV129" s="2638">
        <v>0.3</v>
      </c>
      <c r="IW129" s="2638"/>
      <c r="IX129" s="2638"/>
      <c r="IY129" s="2638"/>
      <c r="IZ129" s="2638"/>
      <c r="JA129" s="2638"/>
      <c r="JB129" s="2638"/>
      <c r="JC129" s="2638"/>
      <c r="JD129" s="2638"/>
      <c r="JE129" s="2638"/>
      <c r="JF129" s="2638"/>
    </row>
    <row r="130" spans="30:266" ht="4.1500000000000004" customHeight="1">
      <c r="AD130" s="516"/>
      <c r="AF130" s="516"/>
      <c r="BA130" s="1599"/>
      <c r="BB130" s="1600"/>
      <c r="BC130" s="1600"/>
      <c r="BD130" s="1600"/>
      <c r="BE130" s="1600"/>
      <c r="BF130" s="1600"/>
      <c r="BG130" s="1600"/>
      <c r="BH130" s="1600"/>
      <c r="BI130" s="1600"/>
      <c r="BJ130" s="1600"/>
      <c r="BK130" s="1600"/>
      <c r="BL130" s="1600"/>
      <c r="BM130" s="1600"/>
      <c r="BN130" s="1600"/>
      <c r="BO130" s="1600"/>
      <c r="BP130" s="1600"/>
      <c r="BQ130" s="1600"/>
      <c r="BR130" s="1600"/>
      <c r="BS130" s="1600"/>
      <c r="BT130" s="1600"/>
      <c r="BU130" s="1600"/>
      <c r="BV130" s="1600"/>
      <c r="BW130" s="1600"/>
      <c r="FY130" s="517"/>
      <c r="GA130" s="1612"/>
      <c r="HK130" s="516"/>
      <c r="ID130" s="2629"/>
      <c r="IE130" s="2630"/>
      <c r="IF130" s="2630"/>
      <c r="IG130" s="2631"/>
      <c r="IV130" s="2638"/>
      <c r="IW130" s="2638"/>
      <c r="IX130" s="2638"/>
      <c r="IY130" s="2638"/>
      <c r="IZ130" s="2638"/>
      <c r="JA130" s="2638"/>
      <c r="JB130" s="2638"/>
      <c r="JC130" s="2638"/>
      <c r="JD130" s="2638"/>
      <c r="JE130" s="2638"/>
      <c r="JF130" s="2638"/>
    </row>
    <row r="131" spans="30:266" ht="4.1500000000000004" customHeight="1">
      <c r="AD131" s="516"/>
      <c r="AF131" s="516"/>
      <c r="BA131" s="1600"/>
      <c r="BB131" s="1600"/>
      <c r="BC131" s="1600"/>
      <c r="BD131" s="1600"/>
      <c r="BE131" s="1600"/>
      <c r="BF131" s="1600"/>
      <c r="BG131" s="1600"/>
      <c r="BH131" s="1600"/>
      <c r="BI131" s="1600"/>
      <c r="BJ131" s="1600"/>
      <c r="BK131" s="1600"/>
      <c r="BL131" s="1600"/>
      <c r="BM131" s="1600"/>
      <c r="BN131" s="1600"/>
      <c r="BO131" s="1600"/>
      <c r="BP131" s="1600"/>
      <c r="BQ131" s="1600"/>
      <c r="BR131" s="1600"/>
      <c r="BS131" s="1600"/>
      <c r="BT131" s="1600"/>
      <c r="BU131" s="1600"/>
      <c r="BV131" s="1600"/>
      <c r="BW131" s="1600"/>
      <c r="CS131" s="2642" t="s">
        <v>3604</v>
      </c>
      <c r="CT131" s="2642"/>
      <c r="CU131" s="2642"/>
      <c r="CV131" s="2642"/>
      <c r="CW131" s="2642"/>
      <c r="CX131" s="2642"/>
      <c r="CY131" s="2642"/>
      <c r="CZ131" s="2642"/>
      <c r="DA131" s="2642"/>
      <c r="DB131" s="2642"/>
      <c r="DC131" s="2642"/>
      <c r="DD131" s="2642"/>
      <c r="DE131" s="2642"/>
      <c r="DF131" s="2642"/>
      <c r="DG131" s="2642"/>
      <c r="DH131" s="2642"/>
      <c r="DI131" s="2642"/>
      <c r="DJ131" s="2642"/>
      <c r="DK131" s="2642"/>
      <c r="DL131" s="2642"/>
      <c r="DM131" s="2642"/>
      <c r="DN131" s="2642"/>
      <c r="DO131" s="2642"/>
      <c r="DP131" s="2642"/>
      <c r="DQ131" s="2642"/>
      <c r="DR131" s="2642"/>
      <c r="DS131" s="2642"/>
      <c r="DT131" s="2642"/>
      <c r="DU131" s="2642"/>
      <c r="DV131" s="2642"/>
      <c r="DW131" s="2642"/>
      <c r="DX131" s="2642"/>
      <c r="DY131" s="2642"/>
      <c r="DZ131" s="2642"/>
      <c r="EA131" s="2642"/>
      <c r="EB131" s="2642"/>
      <c r="EC131" s="2642"/>
      <c r="ED131" s="2642"/>
      <c r="EE131" s="2642"/>
      <c r="EF131" s="2642"/>
      <c r="EG131" s="2642"/>
      <c r="EH131" s="2642"/>
      <c r="EI131" s="2642"/>
      <c r="EJ131" s="2642"/>
      <c r="EK131" s="2642"/>
      <c r="EL131" s="2642"/>
      <c r="EM131" s="2642"/>
      <c r="FY131" s="517"/>
      <c r="GA131" s="1612"/>
      <c r="HK131" s="516"/>
      <c r="ID131" s="2629"/>
      <c r="IE131" s="2630"/>
      <c r="IF131" s="2630"/>
      <c r="IG131" s="2631"/>
      <c r="IV131" s="2638"/>
      <c r="IW131" s="2638"/>
      <c r="IX131" s="2638"/>
      <c r="IY131" s="2638"/>
      <c r="IZ131" s="2638"/>
      <c r="JA131" s="2638"/>
      <c r="JB131" s="2638"/>
      <c r="JC131" s="2638"/>
      <c r="JD131" s="2638"/>
      <c r="JE131" s="2638"/>
      <c r="JF131" s="2638"/>
    </row>
    <row r="132" spans="30:266" ht="4.1500000000000004" customHeight="1">
      <c r="AD132" s="516"/>
      <c r="AF132" s="516"/>
      <c r="BA132" s="1600"/>
      <c r="BB132" s="1600"/>
      <c r="BC132" s="1600"/>
      <c r="BD132" s="1600"/>
      <c r="BE132" s="1600"/>
      <c r="BF132" s="1600"/>
      <c r="BG132" s="1600"/>
      <c r="BH132" s="1600"/>
      <c r="BI132" s="1600"/>
      <c r="BJ132" s="1600"/>
      <c r="BK132" s="1600"/>
      <c r="BL132" s="1600"/>
      <c r="BM132" s="1600"/>
      <c r="BN132" s="1600"/>
      <c r="BO132" s="1600"/>
      <c r="BP132" s="1600"/>
      <c r="BQ132" s="1600"/>
      <c r="BR132" s="1600"/>
      <c r="BS132" s="1600"/>
      <c r="BT132" s="1600"/>
      <c r="BU132" s="1600"/>
      <c r="BV132" s="1600"/>
      <c r="BW132" s="1600"/>
      <c r="CS132" s="2642"/>
      <c r="CT132" s="2642"/>
      <c r="CU132" s="2642"/>
      <c r="CV132" s="2642"/>
      <c r="CW132" s="2642"/>
      <c r="CX132" s="2642"/>
      <c r="CY132" s="2642"/>
      <c r="CZ132" s="2642"/>
      <c r="DA132" s="2642"/>
      <c r="DB132" s="2642"/>
      <c r="DC132" s="2642"/>
      <c r="DD132" s="2642"/>
      <c r="DE132" s="2642"/>
      <c r="DF132" s="2642"/>
      <c r="DG132" s="2642"/>
      <c r="DH132" s="2642"/>
      <c r="DI132" s="2642"/>
      <c r="DJ132" s="2642"/>
      <c r="DK132" s="2642"/>
      <c r="DL132" s="2642"/>
      <c r="DM132" s="2642"/>
      <c r="DN132" s="2642"/>
      <c r="DO132" s="2642"/>
      <c r="DP132" s="2642"/>
      <c r="DQ132" s="2642"/>
      <c r="DR132" s="2642"/>
      <c r="DS132" s="2642"/>
      <c r="DT132" s="2642"/>
      <c r="DU132" s="2642"/>
      <c r="DV132" s="2642"/>
      <c r="DW132" s="2642"/>
      <c r="DX132" s="2642"/>
      <c r="DY132" s="2642"/>
      <c r="DZ132" s="2642"/>
      <c r="EA132" s="2642"/>
      <c r="EB132" s="2642"/>
      <c r="EC132" s="2642"/>
      <c r="ED132" s="2642"/>
      <c r="EE132" s="2642"/>
      <c r="EF132" s="2642"/>
      <c r="EG132" s="2642"/>
      <c r="EH132" s="2642"/>
      <c r="EI132" s="2642"/>
      <c r="EJ132" s="2642"/>
      <c r="EK132" s="2642"/>
      <c r="EL132" s="2642"/>
      <c r="EM132" s="2642"/>
      <c r="FY132" s="517"/>
      <c r="GA132" s="1612"/>
      <c r="HK132" s="516"/>
      <c r="ID132" s="2629"/>
      <c r="IE132" s="2630"/>
      <c r="IF132" s="2630"/>
      <c r="IG132" s="2631"/>
      <c r="JA132" s="516"/>
    </row>
    <row r="133" spans="30:266" ht="4.1500000000000004" customHeight="1">
      <c r="AD133" s="516"/>
      <c r="AF133" s="516"/>
      <c r="BA133" s="1600"/>
      <c r="BB133" s="1600"/>
      <c r="BC133" s="1600"/>
      <c r="BD133" s="1600"/>
      <c r="BE133" s="1600"/>
      <c r="BF133" s="1600"/>
      <c r="BG133" s="1600"/>
      <c r="BH133" s="1600"/>
      <c r="BI133" s="1600"/>
      <c r="BJ133" s="1600"/>
      <c r="BK133" s="1600"/>
      <c r="BL133" s="1600"/>
      <c r="BM133" s="1600"/>
      <c r="BN133" s="1600"/>
      <c r="BO133" s="1600"/>
      <c r="BP133" s="1600"/>
      <c r="BQ133" s="1600"/>
      <c r="BR133" s="1600"/>
      <c r="BS133" s="1600"/>
      <c r="BT133" s="1600"/>
      <c r="BU133" s="1600"/>
      <c r="BV133" s="1600"/>
      <c r="BW133" s="1600"/>
      <c r="CS133" s="2642"/>
      <c r="CT133" s="2642"/>
      <c r="CU133" s="2642"/>
      <c r="CV133" s="2642"/>
      <c r="CW133" s="2642"/>
      <c r="CX133" s="2642"/>
      <c r="CY133" s="2642"/>
      <c r="CZ133" s="2642"/>
      <c r="DA133" s="2642"/>
      <c r="DB133" s="2642"/>
      <c r="DC133" s="2642"/>
      <c r="DD133" s="2642"/>
      <c r="DE133" s="2642"/>
      <c r="DF133" s="2642"/>
      <c r="DG133" s="2642"/>
      <c r="DH133" s="2642"/>
      <c r="DI133" s="2642"/>
      <c r="DJ133" s="2642"/>
      <c r="DK133" s="2642"/>
      <c r="DL133" s="2642"/>
      <c r="DM133" s="2642"/>
      <c r="DN133" s="2642"/>
      <c r="DO133" s="2642"/>
      <c r="DP133" s="2642"/>
      <c r="DQ133" s="2642"/>
      <c r="DR133" s="2642"/>
      <c r="DS133" s="2642"/>
      <c r="DT133" s="2642"/>
      <c r="DU133" s="2642"/>
      <c r="DV133" s="2642"/>
      <c r="DW133" s="2642"/>
      <c r="DX133" s="2642"/>
      <c r="DY133" s="2642"/>
      <c r="DZ133" s="2642"/>
      <c r="EA133" s="2642"/>
      <c r="EB133" s="2642"/>
      <c r="EC133" s="2642"/>
      <c r="ED133" s="2642"/>
      <c r="EE133" s="2642"/>
      <c r="EF133" s="2642"/>
      <c r="EG133" s="2642"/>
      <c r="EH133" s="2642"/>
      <c r="EI133" s="2642"/>
      <c r="EJ133" s="2642"/>
      <c r="EK133" s="2642"/>
      <c r="EL133" s="2642"/>
      <c r="EM133" s="2642"/>
      <c r="FY133" s="517"/>
      <c r="GA133" s="1612"/>
      <c r="HK133" s="516"/>
      <c r="ID133" s="2632"/>
      <c r="IE133" s="2633"/>
      <c r="IF133" s="2633"/>
      <c r="IG133" s="2634"/>
      <c r="JA133" s="516"/>
    </row>
    <row r="134" spans="30:266" ht="4.1500000000000004" customHeight="1">
      <c r="AD134" s="516"/>
      <c r="AF134" s="516"/>
      <c r="BA134" s="1508"/>
      <c r="BB134" s="1508"/>
      <c r="BC134" s="1508"/>
      <c r="BD134" s="1508"/>
      <c r="BE134" s="1508"/>
      <c r="BF134" s="1508"/>
      <c r="BG134" s="1508"/>
      <c r="BH134" s="1508"/>
      <c r="BI134" s="1508"/>
      <c r="BJ134" s="1508"/>
      <c r="BK134" s="1508"/>
      <c r="BL134" s="1508"/>
      <c r="BM134" s="1508"/>
      <c r="BN134" s="1508"/>
      <c r="BO134" s="1508"/>
      <c r="BP134" s="1508"/>
      <c r="BQ134" s="1508"/>
      <c r="BR134" s="1508"/>
      <c r="BS134" s="1508"/>
      <c r="BT134" s="1508"/>
      <c r="BU134" s="1508"/>
      <c r="BV134" s="1508"/>
      <c r="BW134" s="1508"/>
      <c r="FY134" s="517"/>
      <c r="GA134" s="1612"/>
      <c r="HK134" s="516"/>
      <c r="HR134" s="2619"/>
      <c r="HS134" s="2619"/>
      <c r="HT134" s="2619"/>
      <c r="HU134" s="2619"/>
      <c r="HV134" s="2619"/>
      <c r="HW134" s="2619"/>
      <c r="HX134" s="2619"/>
      <c r="HY134" s="2619"/>
      <c r="HZ134" s="2619"/>
      <c r="IA134" s="2619"/>
      <c r="IB134" s="2619"/>
      <c r="IC134" s="2643">
        <v>0.3</v>
      </c>
      <c r="ID134" s="2643"/>
      <c r="IE134" s="2643"/>
      <c r="IF134" s="2643"/>
      <c r="IG134" s="2643"/>
      <c r="IH134" s="2643"/>
      <c r="II134" s="2644"/>
      <c r="IJ134" s="2644"/>
      <c r="IK134" s="2644"/>
      <c r="IL134" s="2644"/>
      <c r="IM134" s="2644"/>
      <c r="IN134" s="2644"/>
      <c r="IO134" s="2644"/>
      <c r="IP134" s="2644"/>
      <c r="IQ134" s="2644"/>
      <c r="IR134" s="2644"/>
      <c r="IS134" s="2644"/>
      <c r="IV134" s="514"/>
      <c r="IW134" s="514"/>
      <c r="IX134" s="514"/>
      <c r="IY134" s="514"/>
      <c r="IZ134" s="514"/>
      <c r="JA134" s="515"/>
      <c r="JB134" s="514"/>
      <c r="JC134" s="514"/>
      <c r="JD134" s="514"/>
      <c r="JE134" s="514"/>
      <c r="JF134" s="514"/>
    </row>
    <row r="135" spans="30:266" ht="4.1500000000000004" customHeight="1">
      <c r="AD135" s="516"/>
      <c r="AF135" s="516"/>
      <c r="BA135" s="1508"/>
      <c r="BB135" s="1508"/>
      <c r="BC135" s="1508"/>
      <c r="BD135" s="1508"/>
      <c r="BE135" s="1508"/>
      <c r="BF135" s="1508"/>
      <c r="BG135" s="1508"/>
      <c r="BH135" s="1508"/>
      <c r="BI135" s="1508"/>
      <c r="BJ135" s="1508"/>
      <c r="BK135" s="1508"/>
      <c r="BL135" s="1508"/>
      <c r="BM135" s="1508"/>
      <c r="BN135" s="1508"/>
      <c r="BO135" s="1508"/>
      <c r="BP135" s="1508"/>
      <c r="BQ135" s="1508"/>
      <c r="BR135" s="1508"/>
      <c r="BS135" s="1508"/>
      <c r="BT135" s="1508"/>
      <c r="BU135" s="1508"/>
      <c r="BV135" s="1508"/>
      <c r="BW135" s="1508"/>
      <c r="FY135" s="517"/>
      <c r="GA135" s="1612"/>
      <c r="HK135" s="516"/>
      <c r="HR135" s="2619"/>
      <c r="HS135" s="2619"/>
      <c r="HT135" s="2619"/>
      <c r="HU135" s="2619"/>
      <c r="HV135" s="2619"/>
      <c r="HW135" s="2619"/>
      <c r="HX135" s="2619"/>
      <c r="HY135" s="2619"/>
      <c r="HZ135" s="2619"/>
      <c r="IA135" s="2619"/>
      <c r="IB135" s="2619"/>
      <c r="IC135" s="2600"/>
      <c r="ID135" s="2600"/>
      <c r="IE135" s="2600"/>
      <c r="IF135" s="2600"/>
      <c r="IG135" s="2600"/>
      <c r="IH135" s="2600"/>
      <c r="II135" s="2644"/>
      <c r="IJ135" s="2644"/>
      <c r="IK135" s="2644"/>
      <c r="IL135" s="2644"/>
      <c r="IM135" s="2644"/>
      <c r="IN135" s="2644"/>
      <c r="IO135" s="2644"/>
      <c r="IP135" s="2644"/>
      <c r="IQ135" s="2644"/>
      <c r="IR135" s="2644"/>
      <c r="IS135" s="2644"/>
      <c r="JA135" s="516"/>
    </row>
    <row r="136" spans="30:266" ht="4.1500000000000004" customHeight="1">
      <c r="AD136" s="516"/>
      <c r="AF136" s="516"/>
      <c r="BA136" s="1599"/>
      <c r="BB136" s="1600"/>
      <c r="BC136" s="1600"/>
      <c r="BD136" s="1600"/>
      <c r="BE136" s="1600"/>
      <c r="BF136" s="1600"/>
      <c r="BG136" s="1600"/>
      <c r="BH136" s="1600"/>
      <c r="BI136" s="1600"/>
      <c r="BJ136" s="1600"/>
      <c r="BK136" s="1600"/>
      <c r="BL136" s="1600"/>
      <c r="BM136" s="1600"/>
      <c r="BN136" s="1600"/>
      <c r="BO136" s="1600"/>
      <c r="BP136" s="1600"/>
      <c r="BQ136" s="1600"/>
      <c r="BR136" s="1600"/>
      <c r="BS136" s="1600"/>
      <c r="BT136" s="1600"/>
      <c r="BU136" s="1600"/>
      <c r="BV136" s="1600"/>
      <c r="BW136" s="1600"/>
      <c r="FY136" s="517"/>
      <c r="GA136" s="1612"/>
      <c r="HJ136" s="2646">
        <f>IV129+IV136+IV143+IV148+IV151</f>
        <v>1.1999999999999997</v>
      </c>
      <c r="HK136" s="2646"/>
      <c r="HL136" s="2646"/>
      <c r="HM136" s="2646"/>
      <c r="HR136" s="2619"/>
      <c r="HS136" s="2619"/>
      <c r="HT136" s="2619"/>
      <c r="HU136" s="2619"/>
      <c r="HV136" s="2619"/>
      <c r="HW136" s="2619"/>
      <c r="HX136" s="2619"/>
      <c r="HY136" s="2619"/>
      <c r="HZ136" s="2619"/>
      <c r="IA136" s="2619"/>
      <c r="IB136" s="2619"/>
      <c r="IC136" s="2600"/>
      <c r="ID136" s="2600"/>
      <c r="IE136" s="2600"/>
      <c r="IF136" s="2600"/>
      <c r="IG136" s="2600"/>
      <c r="IH136" s="2600"/>
      <c r="II136" s="2644"/>
      <c r="IJ136" s="2644"/>
      <c r="IK136" s="2644"/>
      <c r="IL136" s="2644"/>
      <c r="IM136" s="2644"/>
      <c r="IN136" s="2644"/>
      <c r="IO136" s="2644"/>
      <c r="IP136" s="2644"/>
      <c r="IQ136" s="2644"/>
      <c r="IR136" s="2644"/>
      <c r="IS136" s="2644"/>
      <c r="IV136" s="2638">
        <v>0.3</v>
      </c>
      <c r="IW136" s="2638"/>
      <c r="IX136" s="2638"/>
      <c r="IY136" s="2638"/>
      <c r="IZ136" s="2638"/>
      <c r="JA136" s="2638"/>
      <c r="JB136" s="2638"/>
      <c r="JC136" s="2638"/>
      <c r="JD136" s="2638"/>
      <c r="JE136" s="2638"/>
      <c r="JF136" s="2638"/>
    </row>
    <row r="137" spans="30:266" ht="4.1500000000000004" customHeight="1">
      <c r="AD137" s="516"/>
      <c r="AF137" s="516"/>
      <c r="BA137" s="1600"/>
      <c r="BB137" s="1600"/>
      <c r="BC137" s="1600"/>
      <c r="BD137" s="1600"/>
      <c r="BE137" s="1600"/>
      <c r="BF137" s="1600"/>
      <c r="BG137" s="1600"/>
      <c r="BH137" s="1600"/>
      <c r="BI137" s="1600"/>
      <c r="BJ137" s="1600"/>
      <c r="BK137" s="1600"/>
      <c r="BL137" s="1600"/>
      <c r="BM137" s="1600"/>
      <c r="BN137" s="1600"/>
      <c r="BO137" s="1600"/>
      <c r="BP137" s="1600"/>
      <c r="BQ137" s="1600"/>
      <c r="BR137" s="1600"/>
      <c r="BS137" s="1600"/>
      <c r="BT137" s="1600"/>
      <c r="BU137" s="1600"/>
      <c r="BV137" s="1600"/>
      <c r="BW137" s="1600"/>
      <c r="FY137" s="517"/>
      <c r="GA137" s="1612"/>
      <c r="HJ137" s="2646"/>
      <c r="HK137" s="2646"/>
      <c r="HL137" s="2646"/>
      <c r="HM137" s="2646"/>
      <c r="HR137" s="2619"/>
      <c r="HS137" s="2619"/>
      <c r="HT137" s="2619"/>
      <c r="HU137" s="2619"/>
      <c r="HV137" s="2619"/>
      <c r="HW137" s="2619"/>
      <c r="HX137" s="2619"/>
      <c r="HY137" s="2619"/>
      <c r="HZ137" s="2619"/>
      <c r="IA137" s="2619"/>
      <c r="IB137" s="2619"/>
      <c r="II137" s="2644"/>
      <c r="IJ137" s="2644"/>
      <c r="IK137" s="2644"/>
      <c r="IL137" s="2644"/>
      <c r="IM137" s="2644"/>
      <c r="IN137" s="2644"/>
      <c r="IO137" s="2644"/>
      <c r="IP137" s="2644"/>
      <c r="IQ137" s="2644"/>
      <c r="IR137" s="2644"/>
      <c r="IS137" s="2644"/>
      <c r="IV137" s="2638"/>
      <c r="IW137" s="2638"/>
      <c r="IX137" s="2638"/>
      <c r="IY137" s="2638"/>
      <c r="IZ137" s="2638"/>
      <c r="JA137" s="2638"/>
      <c r="JB137" s="2638"/>
      <c r="JC137" s="2638"/>
      <c r="JD137" s="2638"/>
      <c r="JE137" s="2638"/>
      <c r="JF137" s="2638"/>
    </row>
    <row r="138" spans="30:266" ht="4.1500000000000004" customHeight="1">
      <c r="AD138" s="516"/>
      <c r="AF138" s="516"/>
      <c r="AX138" s="532"/>
      <c r="AY138" s="532"/>
      <c r="AZ138" s="532"/>
      <c r="BA138" s="1603"/>
      <c r="BB138" s="1603"/>
      <c r="BC138" s="1603"/>
      <c r="BD138" s="1603"/>
      <c r="BE138" s="1603"/>
      <c r="BF138" s="1603"/>
      <c r="BG138" s="1603"/>
      <c r="BH138" s="1603"/>
      <c r="BI138" s="1603"/>
      <c r="BJ138" s="1603"/>
      <c r="BK138" s="1603"/>
      <c r="BL138" s="1603"/>
      <c r="BM138" s="1603"/>
      <c r="BN138" s="1603"/>
      <c r="BO138" s="1603"/>
      <c r="BP138" s="1603"/>
      <c r="BQ138" s="1603"/>
      <c r="BR138" s="1603"/>
      <c r="BS138" s="1603"/>
      <c r="BT138" s="1603"/>
      <c r="BU138" s="1603"/>
      <c r="BV138" s="1603"/>
      <c r="BW138" s="1603"/>
      <c r="BX138" s="532"/>
      <c r="BY138" s="532"/>
      <c r="BZ138" s="532"/>
      <c r="CA138" s="532"/>
      <c r="CB138" s="532"/>
      <c r="CC138" s="532"/>
      <c r="CD138" s="532"/>
      <c r="CE138" s="532"/>
      <c r="CF138" s="532"/>
      <c r="CG138" s="532"/>
      <c r="CH138" s="532"/>
      <c r="CI138" s="532"/>
      <c r="CJ138" s="532"/>
      <c r="CK138" s="532"/>
      <c r="CL138" s="532"/>
      <c r="CM138" s="532"/>
      <c r="CN138" s="532"/>
      <c r="CO138" s="532"/>
      <c r="CP138" s="532"/>
      <c r="CQ138" s="532"/>
      <c r="DA138" s="532"/>
      <c r="DB138" s="532"/>
      <c r="DC138" s="532"/>
      <c r="DD138" s="532"/>
      <c r="DE138" s="532"/>
      <c r="DF138" s="532"/>
      <c r="DG138" s="532"/>
      <c r="DH138" s="532"/>
      <c r="DI138" s="532"/>
      <c r="DJ138" s="532"/>
      <c r="DK138" s="532"/>
      <c r="DL138" s="532"/>
      <c r="DM138" s="532"/>
      <c r="DN138" s="532"/>
      <c r="DO138" s="532"/>
      <c r="DP138" s="532"/>
      <c r="DQ138" s="532"/>
      <c r="DR138" s="532"/>
      <c r="DS138" s="532"/>
      <c r="DT138" s="532"/>
      <c r="DU138" s="532"/>
      <c r="DV138" s="532"/>
      <c r="DW138" s="532"/>
      <c r="DX138" s="532"/>
      <c r="EH138" s="532"/>
      <c r="EI138" s="532"/>
      <c r="EJ138" s="532"/>
      <c r="EK138" s="532"/>
      <c r="EL138" s="532"/>
      <c r="EM138" s="532"/>
      <c r="EN138" s="532"/>
      <c r="EO138" s="532"/>
      <c r="EP138" s="532"/>
      <c r="EQ138" s="532"/>
      <c r="ER138" s="532"/>
      <c r="ES138" s="532"/>
      <c r="ET138" s="532"/>
      <c r="EU138" s="532"/>
      <c r="EV138" s="532"/>
      <c r="EW138" s="532"/>
      <c r="EX138" s="532"/>
      <c r="EY138" s="532"/>
      <c r="EZ138" s="532"/>
      <c r="FA138" s="532"/>
      <c r="FB138" s="532"/>
      <c r="FC138" s="532"/>
      <c r="FD138" s="532"/>
      <c r="FE138" s="532"/>
      <c r="FF138" s="532"/>
      <c r="FG138" s="532"/>
      <c r="FH138" s="532"/>
      <c r="FI138" s="532"/>
      <c r="FJ138" s="532"/>
      <c r="FK138" s="532"/>
      <c r="FL138" s="532"/>
      <c r="FM138" s="532"/>
      <c r="FN138" s="532"/>
      <c r="FO138" s="532"/>
      <c r="FP138" s="532"/>
      <c r="FQ138" s="532"/>
      <c r="FR138" s="532"/>
      <c r="FS138" s="532"/>
      <c r="FT138" s="532"/>
      <c r="FU138" s="532"/>
      <c r="FV138" s="532"/>
      <c r="FW138" s="532"/>
      <c r="FX138" s="532"/>
      <c r="FY138" s="531"/>
      <c r="GA138" s="1612"/>
      <c r="HJ138" s="2646"/>
      <c r="HK138" s="2646"/>
      <c r="HL138" s="2646"/>
      <c r="HM138" s="2646"/>
      <c r="HR138" s="2619"/>
      <c r="HS138" s="2619"/>
      <c r="HT138" s="2619"/>
      <c r="HU138" s="2619"/>
      <c r="HV138" s="2619"/>
      <c r="HW138" s="2619"/>
      <c r="HX138" s="2619"/>
      <c r="HY138" s="2619"/>
      <c r="HZ138" s="2619"/>
      <c r="IA138" s="2619"/>
      <c r="IB138" s="2619"/>
      <c r="II138" s="2644"/>
      <c r="IJ138" s="2644"/>
      <c r="IK138" s="2644"/>
      <c r="IL138" s="2644"/>
      <c r="IM138" s="2644"/>
      <c r="IN138" s="2644"/>
      <c r="IO138" s="2644"/>
      <c r="IP138" s="2644"/>
      <c r="IQ138" s="2644"/>
      <c r="IR138" s="2644"/>
      <c r="IS138" s="2644"/>
      <c r="IV138" s="2638"/>
      <c r="IW138" s="2638"/>
      <c r="IX138" s="2638"/>
      <c r="IY138" s="2638"/>
      <c r="IZ138" s="2638"/>
      <c r="JA138" s="2638"/>
      <c r="JB138" s="2638"/>
      <c r="JC138" s="2638"/>
      <c r="JD138" s="2638"/>
      <c r="JE138" s="2638"/>
      <c r="JF138" s="2638"/>
    </row>
    <row r="139" spans="30:266" ht="4.1500000000000004" customHeight="1">
      <c r="AD139" s="519"/>
      <c r="AE139" s="521"/>
      <c r="AF139" s="516"/>
      <c r="AW139" s="517"/>
      <c r="AX139" s="519"/>
      <c r="AY139" s="521"/>
      <c r="BA139" s="1600"/>
      <c r="BB139" s="1600"/>
      <c r="BC139" s="1600"/>
      <c r="BD139" s="1600"/>
      <c r="BE139" s="1600"/>
      <c r="BF139" s="1600"/>
      <c r="BG139" s="1600"/>
      <c r="BH139" s="1600"/>
      <c r="BI139" s="1600"/>
      <c r="BJ139" s="1600"/>
      <c r="BK139" s="1600"/>
      <c r="BL139" s="1600"/>
      <c r="BM139" s="1600"/>
      <c r="BN139" s="1600"/>
      <c r="BO139" s="1600"/>
      <c r="BP139" s="1600"/>
      <c r="BQ139" s="1600"/>
      <c r="BR139" s="1600"/>
      <c r="BS139" s="1600"/>
      <c r="BT139" s="519"/>
      <c r="BU139" s="521"/>
      <c r="BV139" s="1600"/>
      <c r="BW139" s="1600"/>
      <c r="CP139" s="519"/>
      <c r="CQ139" s="521"/>
      <c r="CR139" s="516"/>
      <c r="DA139" s="519"/>
      <c r="DB139" s="521"/>
      <c r="DW139" s="519"/>
      <c r="DX139" s="521"/>
      <c r="DY139" s="516"/>
      <c r="EH139" s="519"/>
      <c r="EI139" s="521"/>
      <c r="EJ139" s="514"/>
      <c r="EK139" s="514"/>
      <c r="FD139" s="519"/>
      <c r="FE139" s="521"/>
      <c r="FZ139" s="519"/>
      <c r="GA139" s="521"/>
      <c r="HJ139" s="2646"/>
      <c r="HK139" s="2646"/>
      <c r="HL139" s="2646"/>
      <c r="HM139" s="2646"/>
      <c r="HR139" s="2619"/>
      <c r="HS139" s="2619"/>
      <c r="HT139" s="2619"/>
      <c r="HU139" s="2619"/>
      <c r="HV139" s="2619"/>
      <c r="HW139" s="2619"/>
      <c r="HX139" s="2619"/>
      <c r="HY139" s="2619"/>
      <c r="HZ139" s="2619"/>
      <c r="IA139" s="2619"/>
      <c r="IB139" s="2619"/>
      <c r="II139" s="2644"/>
      <c r="IJ139" s="2644"/>
      <c r="IK139" s="2644"/>
      <c r="IL139" s="2644"/>
      <c r="IM139" s="2644"/>
      <c r="IN139" s="2644"/>
      <c r="IO139" s="2644"/>
      <c r="IP139" s="2644"/>
      <c r="IQ139" s="2644"/>
      <c r="IR139" s="2644"/>
      <c r="IS139" s="2644"/>
      <c r="JA139" s="516"/>
    </row>
    <row r="140" spans="30:266" ht="4.1500000000000004" customHeight="1">
      <c r="AD140" s="522"/>
      <c r="AE140" s="524"/>
      <c r="AF140" s="516"/>
      <c r="AW140" s="517"/>
      <c r="AX140" s="522"/>
      <c r="AY140" s="524"/>
      <c r="BT140" s="522"/>
      <c r="BU140" s="524"/>
      <c r="CP140" s="522"/>
      <c r="CQ140" s="524"/>
      <c r="CR140" s="516"/>
      <c r="DA140" s="522"/>
      <c r="DB140" s="524"/>
      <c r="DW140" s="522"/>
      <c r="DX140" s="524"/>
      <c r="DY140" s="516"/>
      <c r="EH140" s="522"/>
      <c r="EI140" s="524"/>
      <c r="FD140" s="522"/>
      <c r="FE140" s="524"/>
      <c r="FZ140" s="522"/>
      <c r="GA140" s="524"/>
      <c r="HJ140" s="2646"/>
      <c r="HK140" s="2646"/>
      <c r="HL140" s="2646"/>
      <c r="HM140" s="2646"/>
      <c r="HR140" s="2621"/>
      <c r="HS140" s="2621"/>
      <c r="HT140" s="2621"/>
      <c r="HU140" s="2621"/>
      <c r="HV140" s="2621"/>
      <c r="HW140" s="2621"/>
      <c r="HX140" s="2621"/>
      <c r="HY140" s="2621"/>
      <c r="HZ140" s="2621"/>
      <c r="IA140" s="2621"/>
      <c r="IB140" s="2621"/>
      <c r="IC140" s="532"/>
      <c r="ID140" s="532"/>
      <c r="IE140" s="532"/>
      <c r="IF140" s="532"/>
      <c r="IG140" s="532"/>
      <c r="IH140" s="532"/>
      <c r="II140" s="2645"/>
      <c r="IJ140" s="2645"/>
      <c r="IK140" s="2645"/>
      <c r="IL140" s="2645"/>
      <c r="IM140" s="2645"/>
      <c r="IN140" s="2645"/>
      <c r="IO140" s="2645"/>
      <c r="IP140" s="2645"/>
      <c r="IQ140" s="2645"/>
      <c r="IR140" s="2645"/>
      <c r="IS140" s="2645"/>
      <c r="JA140" s="516"/>
    </row>
    <row r="141" spans="30:266" ht="4.1500000000000004" customHeight="1">
      <c r="AD141" s="527"/>
      <c r="AE141" s="529"/>
      <c r="AF141" s="516"/>
      <c r="AG141" s="662"/>
      <c r="AH141" s="662"/>
      <c r="AI141" s="662"/>
      <c r="AJ141" s="662"/>
      <c r="AK141" s="662"/>
      <c r="AL141" s="662"/>
      <c r="AM141" s="662"/>
      <c r="AN141" s="662"/>
      <c r="AO141" s="662"/>
      <c r="AP141" s="662"/>
      <c r="AQ141" s="662"/>
      <c r="AR141" s="662"/>
      <c r="AS141" s="662"/>
      <c r="AW141" s="517"/>
      <c r="AX141" s="527"/>
      <c r="AY141" s="529"/>
      <c r="AZ141" s="515"/>
      <c r="BA141" s="514"/>
      <c r="BB141" s="514"/>
      <c r="BC141" s="514"/>
      <c r="BD141" s="514"/>
      <c r="BE141" s="514"/>
      <c r="BF141" s="514"/>
      <c r="BG141" s="514"/>
      <c r="BH141" s="514"/>
      <c r="BI141" s="514"/>
      <c r="BJ141" s="514"/>
      <c r="BK141" s="514"/>
      <c r="BL141" s="514"/>
      <c r="BM141" s="514"/>
      <c r="BN141" s="514"/>
      <c r="BO141" s="514"/>
      <c r="BP141" s="514"/>
      <c r="BQ141" s="514"/>
      <c r="BR141" s="514"/>
      <c r="BS141" s="514"/>
      <c r="BT141" s="527"/>
      <c r="BU141" s="529"/>
      <c r="BV141" s="514"/>
      <c r="BW141" s="514"/>
      <c r="BX141" s="514"/>
      <c r="BY141" s="514"/>
      <c r="BZ141" s="514"/>
      <c r="CA141" s="514"/>
      <c r="CB141" s="514"/>
      <c r="CC141" s="514"/>
      <c r="CD141" s="514"/>
      <c r="CE141" s="514"/>
      <c r="CF141" s="514"/>
      <c r="CG141" s="514"/>
      <c r="CH141" s="514"/>
      <c r="CI141" s="514"/>
      <c r="CJ141" s="514"/>
      <c r="CK141" s="514"/>
      <c r="CL141" s="514"/>
      <c r="CM141" s="514"/>
      <c r="CN141" s="514"/>
      <c r="CO141" s="518"/>
      <c r="CP141" s="522"/>
      <c r="CQ141" s="524"/>
      <c r="CR141" s="516"/>
      <c r="CZ141" s="517"/>
      <c r="DA141" s="527"/>
      <c r="DB141" s="529"/>
      <c r="DW141" s="527"/>
      <c r="DX141" s="529"/>
      <c r="DY141" s="516"/>
      <c r="EH141" s="522"/>
      <c r="EI141" s="524"/>
      <c r="EJ141" s="515"/>
      <c r="EK141" s="514"/>
      <c r="EL141" s="514"/>
      <c r="EM141" s="514"/>
      <c r="EN141" s="514"/>
      <c r="EO141" s="514"/>
      <c r="EP141" s="514"/>
      <c r="EQ141" s="514"/>
      <c r="ER141" s="514"/>
      <c r="ES141" s="514"/>
      <c r="ET141" s="514"/>
      <c r="EU141" s="514"/>
      <c r="EV141" s="514"/>
      <c r="EW141" s="514"/>
      <c r="EX141" s="514"/>
      <c r="EY141" s="514"/>
      <c r="EZ141" s="514"/>
      <c r="FA141" s="514"/>
      <c r="FB141" s="514"/>
      <c r="FC141" s="514"/>
      <c r="FD141" s="527"/>
      <c r="FE141" s="529"/>
      <c r="FF141" s="514"/>
      <c r="FG141" s="514"/>
      <c r="FH141" s="514"/>
      <c r="FI141" s="514"/>
      <c r="FJ141" s="514"/>
      <c r="FK141" s="514"/>
      <c r="FL141" s="514"/>
      <c r="FM141" s="514"/>
      <c r="FN141" s="514"/>
      <c r="FO141" s="514"/>
      <c r="FP141" s="514"/>
      <c r="FQ141" s="514"/>
      <c r="FR141" s="514"/>
      <c r="FS141" s="514"/>
      <c r="FT141" s="514"/>
      <c r="FU141" s="514"/>
      <c r="FV141" s="514"/>
      <c r="FW141" s="514"/>
      <c r="FX141" s="514"/>
      <c r="FY141" s="518"/>
      <c r="FZ141" s="527"/>
      <c r="GA141" s="529"/>
      <c r="HJ141" s="2646"/>
      <c r="HK141" s="2646"/>
      <c r="HL141" s="2646"/>
      <c r="HM141" s="2646"/>
      <c r="HR141" s="516"/>
      <c r="IS141" s="517"/>
      <c r="IV141" s="514"/>
      <c r="IW141" s="514"/>
      <c r="IX141" s="514"/>
      <c r="IY141" s="514"/>
      <c r="IZ141" s="514"/>
      <c r="JA141" s="515"/>
      <c r="JB141" s="514"/>
      <c r="JC141" s="514"/>
      <c r="JD141" s="514"/>
      <c r="JE141" s="514"/>
      <c r="JF141" s="514"/>
    </row>
    <row r="142" spans="30:266" ht="4.1500000000000004" customHeight="1">
      <c r="AD142" s="516"/>
      <c r="AF142" s="516"/>
      <c r="AG142" s="662"/>
      <c r="AH142" s="662"/>
      <c r="AI142" s="662"/>
      <c r="AJ142" s="662"/>
      <c r="AK142" s="662"/>
      <c r="AL142" s="662"/>
      <c r="AM142" s="662"/>
      <c r="AN142" s="662"/>
      <c r="AO142" s="662"/>
      <c r="AP142" s="662"/>
      <c r="AQ142" s="662"/>
      <c r="AR142" s="662"/>
      <c r="AS142" s="662"/>
      <c r="AW142" s="517"/>
      <c r="AX142" s="516"/>
      <c r="AZ142" s="516"/>
      <c r="CP142" s="667"/>
      <c r="CQ142" s="667"/>
      <c r="CZ142" s="517"/>
      <c r="DA142" s="516"/>
      <c r="DY142" s="516"/>
      <c r="EH142" s="514"/>
      <c r="EI142" s="514"/>
      <c r="FY142" s="517"/>
      <c r="GA142" s="517"/>
      <c r="HJ142" s="2646"/>
      <c r="HK142" s="2646"/>
      <c r="HL142" s="2646"/>
      <c r="HM142" s="2646"/>
      <c r="HR142" s="516"/>
      <c r="IS142" s="517"/>
      <c r="JA142" s="516"/>
    </row>
    <row r="143" spans="30:266" ht="4.1500000000000004" customHeight="1">
      <c r="AD143" s="516"/>
      <c r="AF143" s="515"/>
      <c r="AG143" s="667"/>
      <c r="AH143" s="667"/>
      <c r="AI143" s="667"/>
      <c r="AJ143" s="667"/>
      <c r="AK143" s="667"/>
      <c r="AL143" s="667"/>
      <c r="AM143" s="667"/>
      <c r="AN143" s="1583"/>
      <c r="AO143" s="667"/>
      <c r="AP143" s="667"/>
      <c r="AQ143" s="667"/>
      <c r="AR143" s="667"/>
      <c r="AS143" s="667"/>
      <c r="AT143" s="514"/>
      <c r="AU143" s="514"/>
      <c r="AV143" s="514"/>
      <c r="AW143" s="518"/>
      <c r="AX143" s="516"/>
      <c r="AZ143" s="516"/>
      <c r="CP143" s="662"/>
      <c r="CQ143" s="662"/>
      <c r="CZ143" s="517"/>
      <c r="DA143" s="516"/>
      <c r="DX143" s="517"/>
      <c r="DY143" s="516"/>
      <c r="FY143" s="517"/>
      <c r="GA143" s="517"/>
      <c r="HJ143" s="2646"/>
      <c r="HK143" s="2646"/>
      <c r="HL143" s="2646"/>
      <c r="HM143" s="2646"/>
      <c r="HR143" s="516"/>
      <c r="IS143" s="517"/>
      <c r="IV143" s="2638">
        <v>0.3</v>
      </c>
      <c r="IW143" s="2638"/>
      <c r="IX143" s="2638"/>
      <c r="IY143" s="2638"/>
      <c r="IZ143" s="2638"/>
      <c r="JA143" s="2638"/>
      <c r="JB143" s="2638"/>
      <c r="JC143" s="2638"/>
      <c r="JD143" s="2638"/>
      <c r="JE143" s="2638"/>
      <c r="JF143" s="2638"/>
    </row>
    <row r="144" spans="30:266" ht="4.1500000000000004" customHeight="1">
      <c r="AD144" s="516"/>
      <c r="AF144" s="530"/>
      <c r="AG144" s="532"/>
      <c r="AH144" s="532"/>
      <c r="AI144" s="532"/>
      <c r="AJ144" s="532"/>
      <c r="AK144" s="532"/>
      <c r="AL144" s="532"/>
      <c r="AM144" s="532"/>
      <c r="AN144" s="531"/>
      <c r="AO144" s="532"/>
      <c r="AP144" s="532"/>
      <c r="AQ144" s="532"/>
      <c r="AR144" s="532"/>
      <c r="AS144" s="532"/>
      <c r="AT144" s="532"/>
      <c r="AU144" s="532"/>
      <c r="AV144" s="532"/>
      <c r="AW144" s="531"/>
      <c r="AX144" s="516"/>
      <c r="AZ144" s="516"/>
      <c r="CZ144" s="517"/>
      <c r="DA144" s="516"/>
      <c r="DX144" s="517"/>
      <c r="DY144" s="516"/>
      <c r="FY144" s="517"/>
      <c r="GA144" s="517"/>
      <c r="HJ144" s="2646"/>
      <c r="HK144" s="2646"/>
      <c r="HL144" s="2646"/>
      <c r="HM144" s="2646"/>
      <c r="HR144" s="516"/>
      <c r="IS144" s="517"/>
      <c r="IV144" s="2638"/>
      <c r="IW144" s="2638"/>
      <c r="IX144" s="2638"/>
      <c r="IY144" s="2638"/>
      <c r="IZ144" s="2638"/>
      <c r="JA144" s="2638"/>
      <c r="JB144" s="2638"/>
      <c r="JC144" s="2638"/>
      <c r="JD144" s="2638"/>
      <c r="JE144" s="2638"/>
      <c r="JF144" s="2638"/>
    </row>
    <row r="145" spans="26:266" ht="4.1500000000000004" customHeight="1">
      <c r="AD145" s="516"/>
      <c r="AF145" s="515"/>
      <c r="AG145" s="667"/>
      <c r="AH145" s="667"/>
      <c r="AI145" s="667"/>
      <c r="AJ145" s="667"/>
      <c r="AK145" s="667"/>
      <c r="AL145" s="667"/>
      <c r="AM145" s="667"/>
      <c r="AN145" s="1583"/>
      <c r="AO145" s="667"/>
      <c r="AP145" s="667"/>
      <c r="AQ145" s="667"/>
      <c r="AR145" s="667"/>
      <c r="AS145" s="667"/>
      <c r="AT145" s="514"/>
      <c r="AU145" s="514"/>
      <c r="AV145" s="514"/>
      <c r="AW145" s="518"/>
      <c r="AX145" s="516"/>
      <c r="AZ145" s="516"/>
      <c r="CZ145" s="517"/>
      <c r="DA145" s="516"/>
      <c r="DX145" s="517"/>
      <c r="DY145" s="516"/>
      <c r="FY145" s="517"/>
      <c r="GA145" s="517"/>
      <c r="HJ145" s="2646"/>
      <c r="HK145" s="2646"/>
      <c r="HL145" s="2646"/>
      <c r="HM145" s="2646"/>
      <c r="HR145" s="516"/>
      <c r="IS145" s="517"/>
      <c r="IV145" s="2638"/>
      <c r="IW145" s="2638"/>
      <c r="IX145" s="2638"/>
      <c r="IY145" s="2638"/>
      <c r="IZ145" s="2638"/>
      <c r="JA145" s="2638"/>
      <c r="JB145" s="2638"/>
      <c r="JC145" s="2638"/>
      <c r="JD145" s="2638"/>
      <c r="JE145" s="2638"/>
      <c r="JF145" s="2638"/>
    </row>
    <row r="146" spans="26:266" ht="4.1500000000000004" customHeight="1">
      <c r="AD146" s="516"/>
      <c r="AF146" s="530"/>
      <c r="AG146" s="532"/>
      <c r="AH146" s="532"/>
      <c r="AI146" s="532"/>
      <c r="AJ146" s="532"/>
      <c r="AK146" s="532"/>
      <c r="AL146" s="532"/>
      <c r="AM146" s="532"/>
      <c r="AN146" s="531"/>
      <c r="AO146" s="532"/>
      <c r="AP146" s="532"/>
      <c r="AQ146" s="532"/>
      <c r="AR146" s="532"/>
      <c r="AS146" s="532"/>
      <c r="AT146" s="532"/>
      <c r="AU146" s="532"/>
      <c r="AV146" s="532"/>
      <c r="AW146" s="531"/>
      <c r="AX146" s="516"/>
      <c r="AZ146" s="516"/>
      <c r="CZ146" s="517"/>
      <c r="DA146" s="516"/>
      <c r="DX146" s="517"/>
      <c r="DY146" s="516"/>
      <c r="FY146" s="517"/>
      <c r="GA146" s="517"/>
      <c r="GB146" s="1559"/>
      <c r="GC146" s="537"/>
      <c r="GD146" s="538"/>
      <c r="HK146" s="516"/>
      <c r="HR146" s="516"/>
      <c r="IS146" s="517"/>
      <c r="JA146" s="516"/>
    </row>
    <row r="147" spans="26:266" ht="4.1500000000000004" customHeight="1">
      <c r="AD147" s="516"/>
      <c r="AF147" s="515"/>
      <c r="AG147" s="667"/>
      <c r="AH147" s="667"/>
      <c r="AI147" s="667"/>
      <c r="AJ147" s="667"/>
      <c r="AK147" s="667"/>
      <c r="AL147" s="667"/>
      <c r="AM147" s="667"/>
      <c r="AN147" s="1583"/>
      <c r="AO147" s="667"/>
      <c r="AP147" s="667"/>
      <c r="AQ147" s="667"/>
      <c r="AR147" s="667"/>
      <c r="AS147" s="667"/>
      <c r="AT147" s="514"/>
      <c r="AU147" s="514"/>
      <c r="AV147" s="514"/>
      <c r="AW147" s="518"/>
      <c r="AX147" s="516"/>
      <c r="AZ147" s="516"/>
      <c r="CZ147" s="517"/>
      <c r="DA147" s="516"/>
      <c r="DX147" s="517"/>
      <c r="DY147" s="516"/>
      <c r="FY147" s="517"/>
      <c r="FZ147" s="515"/>
      <c r="GA147" s="1613"/>
      <c r="GB147" s="516"/>
      <c r="GD147" s="540"/>
      <c r="HK147" s="516"/>
      <c r="HR147" s="530"/>
      <c r="HS147" s="532"/>
      <c r="HT147" s="532"/>
      <c r="HU147" s="532"/>
      <c r="HV147" s="532"/>
      <c r="HW147" s="532"/>
      <c r="HX147" s="532"/>
      <c r="HY147" s="532"/>
      <c r="HZ147" s="532"/>
      <c r="IA147" s="532"/>
      <c r="IB147" s="532"/>
      <c r="IC147" s="532"/>
      <c r="ID147" s="532"/>
      <c r="IE147" s="532"/>
      <c r="IF147" s="532"/>
      <c r="IG147" s="532"/>
      <c r="IH147" s="532"/>
      <c r="II147" s="532"/>
      <c r="IJ147" s="532"/>
      <c r="IK147" s="532"/>
      <c r="IL147" s="532"/>
      <c r="IM147" s="532"/>
      <c r="IN147" s="532"/>
      <c r="IO147" s="532"/>
      <c r="IP147" s="532"/>
      <c r="IQ147" s="532"/>
      <c r="IR147" s="532"/>
      <c r="IS147" s="531"/>
      <c r="IV147" s="532"/>
      <c r="IW147" s="532"/>
      <c r="IX147" s="532"/>
      <c r="IY147" s="532"/>
      <c r="IZ147" s="532"/>
      <c r="JA147" s="530"/>
      <c r="JB147" s="532"/>
      <c r="JC147" s="532"/>
      <c r="JD147" s="532"/>
      <c r="JE147" s="532"/>
      <c r="JF147" s="532"/>
    </row>
    <row r="148" spans="26:266" ht="4.1500000000000004" customHeight="1">
      <c r="AD148" s="516"/>
      <c r="AF148" s="530"/>
      <c r="AG148" s="532"/>
      <c r="AH148" s="532"/>
      <c r="AI148" s="532"/>
      <c r="AJ148" s="532"/>
      <c r="AK148" s="532"/>
      <c r="AL148" s="532"/>
      <c r="AM148" s="532"/>
      <c r="AN148" s="531"/>
      <c r="AO148" s="532"/>
      <c r="AP148" s="532"/>
      <c r="AQ148" s="532"/>
      <c r="AR148" s="532"/>
      <c r="AS148" s="532"/>
      <c r="AT148" s="532"/>
      <c r="AU148" s="532"/>
      <c r="AV148" s="532"/>
      <c r="AW148" s="531"/>
      <c r="AX148" s="516"/>
      <c r="AZ148" s="516"/>
      <c r="CZ148" s="517"/>
      <c r="DA148" s="516"/>
      <c r="DX148" s="517"/>
      <c r="DY148" s="516"/>
      <c r="FY148" s="517"/>
      <c r="FZ148" s="516"/>
      <c r="GA148" s="1612"/>
      <c r="GB148" s="516"/>
      <c r="GD148" s="540"/>
      <c r="HK148" s="516"/>
      <c r="HQ148" s="515"/>
      <c r="HR148" s="514"/>
      <c r="HS148" s="514"/>
      <c r="HT148" s="514"/>
      <c r="HU148" s="514"/>
      <c r="HV148" s="514"/>
      <c r="HW148" s="514"/>
      <c r="HX148" s="514"/>
      <c r="HY148" s="514"/>
      <c r="HZ148" s="514"/>
      <c r="IA148" s="514"/>
      <c r="IB148" s="514"/>
      <c r="IC148" s="514"/>
      <c r="ID148" s="514"/>
      <c r="IE148" s="514"/>
      <c r="IF148" s="514"/>
      <c r="IG148" s="514"/>
      <c r="IH148" s="514"/>
      <c r="II148" s="514"/>
      <c r="IJ148" s="514"/>
      <c r="IK148" s="514"/>
      <c r="IL148" s="514"/>
      <c r="IM148" s="514"/>
      <c r="IN148" s="514"/>
      <c r="IO148" s="514"/>
      <c r="IP148" s="514"/>
      <c r="IQ148" s="514"/>
      <c r="IR148" s="514"/>
      <c r="IS148" s="514"/>
      <c r="IT148" s="518"/>
      <c r="IV148" s="2639">
        <v>0.15</v>
      </c>
      <c r="IW148" s="2639"/>
      <c r="IX148" s="2639"/>
      <c r="IY148" s="2639"/>
      <c r="IZ148" s="2639"/>
      <c r="JA148" s="2639"/>
      <c r="JB148" s="2639"/>
      <c r="JC148" s="2639"/>
      <c r="JD148" s="2639"/>
      <c r="JE148" s="2639"/>
      <c r="JF148" s="2639"/>
    </row>
    <row r="149" spans="26:266" ht="4.1500000000000004" customHeight="1">
      <c r="Z149" s="1510"/>
      <c r="AA149" s="1510"/>
      <c r="AD149" s="516"/>
      <c r="AF149" s="515"/>
      <c r="AG149" s="667"/>
      <c r="AH149" s="667"/>
      <c r="AI149" s="667"/>
      <c r="AJ149" s="667"/>
      <c r="AK149" s="667"/>
      <c r="AL149" s="667"/>
      <c r="AM149" s="667"/>
      <c r="AN149" s="1583"/>
      <c r="AO149" s="667"/>
      <c r="AP149" s="667"/>
      <c r="AQ149" s="667"/>
      <c r="AR149" s="667"/>
      <c r="AS149" s="667"/>
      <c r="AT149" s="514"/>
      <c r="AU149" s="514"/>
      <c r="AV149" s="514"/>
      <c r="AW149" s="518"/>
      <c r="AX149" s="516"/>
      <c r="AZ149" s="516"/>
      <c r="CW149" s="662"/>
      <c r="CX149" s="662"/>
      <c r="CZ149" s="517"/>
      <c r="DA149" s="516"/>
      <c r="DC149" s="2641" t="s">
        <v>3603</v>
      </c>
      <c r="DD149" s="2641"/>
      <c r="DE149" s="2641"/>
      <c r="DF149" s="2641"/>
      <c r="DG149" s="2641"/>
      <c r="DH149" s="2641"/>
      <c r="DI149" s="2641"/>
      <c r="DJ149" s="2641"/>
      <c r="DK149" s="2641"/>
      <c r="DL149" s="2641"/>
      <c r="DM149" s="2641"/>
      <c r="DN149" s="2641"/>
      <c r="DO149" s="2641"/>
      <c r="DP149" s="2641"/>
      <c r="DQ149" s="2641"/>
      <c r="DR149" s="2641"/>
      <c r="DS149" s="2641"/>
      <c r="DT149" s="2641"/>
      <c r="DU149" s="2641"/>
      <c r="DV149" s="2641"/>
      <c r="DX149" s="517"/>
      <c r="DY149" s="516"/>
      <c r="ED149" s="662"/>
      <c r="EE149" s="662"/>
      <c r="FY149" s="517"/>
      <c r="FZ149" s="516"/>
      <c r="GA149" s="1612"/>
      <c r="GB149" s="516"/>
      <c r="GD149" s="540"/>
      <c r="HK149" s="516"/>
      <c r="HQ149" s="516"/>
      <c r="IT149" s="517"/>
      <c r="IV149" s="2638"/>
      <c r="IW149" s="2638"/>
      <c r="IX149" s="2638"/>
      <c r="IY149" s="2638"/>
      <c r="IZ149" s="2638"/>
      <c r="JA149" s="2638"/>
      <c r="JB149" s="2638"/>
      <c r="JC149" s="2638"/>
      <c r="JD149" s="2638"/>
      <c r="JE149" s="2638"/>
      <c r="JF149" s="2638"/>
    </row>
    <row r="150" spans="26:266" ht="4.1500000000000004" customHeight="1">
      <c r="Z150" s="1510"/>
      <c r="AA150" s="1510"/>
      <c r="AD150" s="516"/>
      <c r="AF150" s="530"/>
      <c r="AG150" s="532"/>
      <c r="AH150" s="532"/>
      <c r="AI150" s="532"/>
      <c r="AJ150" s="532"/>
      <c r="AK150" s="532"/>
      <c r="AL150" s="532"/>
      <c r="AM150" s="532"/>
      <c r="AN150" s="531"/>
      <c r="AO150" s="532"/>
      <c r="AP150" s="532"/>
      <c r="AQ150" s="532"/>
      <c r="AR150" s="532"/>
      <c r="AS150" s="532"/>
      <c r="AT150" s="532"/>
      <c r="AU150" s="532"/>
      <c r="AV150" s="532"/>
      <c r="AW150" s="531"/>
      <c r="AX150" s="516"/>
      <c r="AZ150" s="516"/>
      <c r="CP150" s="532"/>
      <c r="CQ150" s="532"/>
      <c r="CW150" s="662"/>
      <c r="CX150" s="662"/>
      <c r="CZ150" s="517"/>
      <c r="DA150" s="516"/>
      <c r="DC150" s="2641"/>
      <c r="DD150" s="2641"/>
      <c r="DE150" s="2641"/>
      <c r="DF150" s="2641"/>
      <c r="DG150" s="2641"/>
      <c r="DH150" s="2641"/>
      <c r="DI150" s="2641"/>
      <c r="DJ150" s="2641"/>
      <c r="DK150" s="2641"/>
      <c r="DL150" s="2641"/>
      <c r="DM150" s="2641"/>
      <c r="DN150" s="2641"/>
      <c r="DO150" s="2641"/>
      <c r="DP150" s="2641"/>
      <c r="DQ150" s="2641"/>
      <c r="DR150" s="2641"/>
      <c r="DS150" s="2641"/>
      <c r="DT150" s="2641"/>
      <c r="DU150" s="2641"/>
      <c r="DV150" s="2641"/>
      <c r="DX150" s="517"/>
      <c r="DY150" s="516"/>
      <c r="ED150" s="662"/>
      <c r="EE150" s="662"/>
      <c r="EH150" s="532"/>
      <c r="EI150" s="532"/>
      <c r="FY150" s="517"/>
      <c r="FZ150" s="516"/>
      <c r="GA150" s="1612"/>
      <c r="GB150" s="516"/>
      <c r="GD150" s="540"/>
      <c r="HK150" s="516"/>
      <c r="HQ150" s="530"/>
      <c r="HR150" s="532"/>
      <c r="HS150" s="532"/>
      <c r="HT150" s="532"/>
      <c r="HU150" s="532"/>
      <c r="HV150" s="532"/>
      <c r="HW150" s="532"/>
      <c r="HX150" s="532"/>
      <c r="HY150" s="532"/>
      <c r="HZ150" s="532"/>
      <c r="IA150" s="532"/>
      <c r="IB150" s="532"/>
      <c r="IC150" s="532"/>
      <c r="ID150" s="532"/>
      <c r="IE150" s="532"/>
      <c r="IF150" s="532"/>
      <c r="IG150" s="532"/>
      <c r="IH150" s="532"/>
      <c r="II150" s="532"/>
      <c r="IJ150" s="532"/>
      <c r="IK150" s="532"/>
      <c r="IL150" s="532"/>
      <c r="IM150" s="532"/>
      <c r="IN150" s="532"/>
      <c r="IO150" s="532"/>
      <c r="IP150" s="532"/>
      <c r="IQ150" s="532"/>
      <c r="IR150" s="532"/>
      <c r="IS150" s="532"/>
      <c r="IT150" s="531"/>
      <c r="IV150" s="2640"/>
      <c r="IW150" s="2640"/>
      <c r="IX150" s="2640"/>
      <c r="IY150" s="2640"/>
      <c r="IZ150" s="2640"/>
      <c r="JA150" s="2640"/>
      <c r="JB150" s="2640"/>
      <c r="JC150" s="2640"/>
      <c r="JD150" s="2640"/>
      <c r="JE150" s="2640"/>
      <c r="JF150" s="2640"/>
    </row>
    <row r="151" spans="26:266" ht="4.1500000000000004" customHeight="1">
      <c r="Z151" s="1510"/>
      <c r="AA151" s="1510"/>
      <c r="AD151" s="516"/>
      <c r="AF151" s="515"/>
      <c r="AG151" s="667"/>
      <c r="AH151" s="667"/>
      <c r="AI151" s="667"/>
      <c r="AJ151" s="667"/>
      <c r="AK151" s="667"/>
      <c r="AL151" s="667"/>
      <c r="AM151" s="667"/>
      <c r="AN151" s="1583"/>
      <c r="AO151" s="667"/>
      <c r="AP151" s="667"/>
      <c r="AQ151" s="667"/>
      <c r="AR151" s="667"/>
      <c r="AS151" s="667"/>
      <c r="AT151" s="514"/>
      <c r="AU151" s="514"/>
      <c r="AV151" s="514"/>
      <c r="AW151" s="518"/>
      <c r="AX151" s="516"/>
      <c r="AZ151" s="516"/>
      <c r="CO151" s="517"/>
      <c r="CR151" s="516"/>
      <c r="CW151" s="662"/>
      <c r="CX151" s="662"/>
      <c r="CZ151" s="517"/>
      <c r="DA151" s="516"/>
      <c r="DC151" s="2641"/>
      <c r="DD151" s="2641"/>
      <c r="DE151" s="2641"/>
      <c r="DF151" s="2641"/>
      <c r="DG151" s="2641"/>
      <c r="DH151" s="2641"/>
      <c r="DI151" s="2641"/>
      <c r="DJ151" s="2641"/>
      <c r="DK151" s="2641"/>
      <c r="DL151" s="2641"/>
      <c r="DM151" s="2641"/>
      <c r="DN151" s="2641"/>
      <c r="DO151" s="2641"/>
      <c r="DP151" s="2641"/>
      <c r="DQ151" s="2641"/>
      <c r="DR151" s="2641"/>
      <c r="DS151" s="2641"/>
      <c r="DT151" s="2641"/>
      <c r="DU151" s="2641"/>
      <c r="DV151" s="2641"/>
      <c r="DX151" s="517"/>
      <c r="DY151" s="516"/>
      <c r="ED151" s="662"/>
      <c r="EE151" s="662"/>
      <c r="EG151" s="517"/>
      <c r="EJ151" s="516"/>
      <c r="FY151" s="517"/>
      <c r="FZ151" s="516"/>
      <c r="GA151" s="1612"/>
      <c r="GB151" s="516"/>
      <c r="GD151" s="540"/>
      <c r="HK151" s="516"/>
      <c r="HQ151" s="515"/>
      <c r="HR151" s="514"/>
      <c r="HS151" s="514"/>
      <c r="HT151" s="514"/>
      <c r="HU151" s="514"/>
      <c r="HV151" s="514"/>
      <c r="HW151" s="514"/>
      <c r="HX151" s="514"/>
      <c r="HY151" s="514"/>
      <c r="HZ151" s="514"/>
      <c r="IA151" s="514"/>
      <c r="IB151" s="514"/>
      <c r="IC151" s="514"/>
      <c r="ID151" s="514"/>
      <c r="IE151" s="514"/>
      <c r="IF151" s="514"/>
      <c r="IG151" s="514"/>
      <c r="IH151" s="514"/>
      <c r="II151" s="514"/>
      <c r="IJ151" s="514"/>
      <c r="IK151" s="514"/>
      <c r="IL151" s="514"/>
      <c r="IM151" s="514"/>
      <c r="IN151" s="514"/>
      <c r="IO151" s="514"/>
      <c r="IP151" s="514"/>
      <c r="IQ151" s="514"/>
      <c r="IR151" s="514"/>
      <c r="IS151" s="514"/>
      <c r="IT151" s="518"/>
      <c r="IV151" s="2639">
        <v>0.15</v>
      </c>
      <c r="IW151" s="2639"/>
      <c r="IX151" s="2639"/>
      <c r="IY151" s="2639"/>
      <c r="IZ151" s="2639"/>
      <c r="JA151" s="2639"/>
      <c r="JB151" s="2639"/>
      <c r="JC151" s="2639"/>
      <c r="JD151" s="2639"/>
      <c r="JE151" s="2639"/>
      <c r="JF151" s="2639"/>
    </row>
    <row r="152" spans="26:266" ht="4.1500000000000004" customHeight="1">
      <c r="Z152" s="1510"/>
      <c r="AA152" s="1510"/>
      <c r="AD152" s="516"/>
      <c r="AF152" s="530"/>
      <c r="AG152" s="532"/>
      <c r="AH152" s="532"/>
      <c r="AI152" s="532"/>
      <c r="AJ152" s="532"/>
      <c r="AK152" s="532"/>
      <c r="AL152" s="532"/>
      <c r="AM152" s="532"/>
      <c r="AN152" s="531"/>
      <c r="AO152" s="532"/>
      <c r="AP152" s="532"/>
      <c r="AQ152" s="532"/>
      <c r="AR152" s="532"/>
      <c r="AS152" s="532"/>
      <c r="AT152" s="532"/>
      <c r="AU152" s="532"/>
      <c r="AV152" s="532"/>
      <c r="AW152" s="531"/>
      <c r="AX152" s="516"/>
      <c r="AZ152" s="516"/>
      <c r="CO152" s="517"/>
      <c r="CR152" s="516"/>
      <c r="CW152" s="662"/>
      <c r="CX152" s="662"/>
      <c r="CY152" s="662"/>
      <c r="CZ152" s="664"/>
      <c r="DA152" s="663"/>
      <c r="DB152" s="662"/>
      <c r="DC152" s="2641"/>
      <c r="DD152" s="2641"/>
      <c r="DE152" s="2641"/>
      <c r="DF152" s="2641"/>
      <c r="DG152" s="2641"/>
      <c r="DH152" s="2641"/>
      <c r="DI152" s="2641"/>
      <c r="DJ152" s="2641"/>
      <c r="DK152" s="2641"/>
      <c r="DL152" s="2641"/>
      <c r="DM152" s="2641"/>
      <c r="DN152" s="2641"/>
      <c r="DO152" s="2641"/>
      <c r="DP152" s="2641"/>
      <c r="DQ152" s="2641"/>
      <c r="DR152" s="2641"/>
      <c r="DS152" s="2641"/>
      <c r="DT152" s="2641"/>
      <c r="DU152" s="2641"/>
      <c r="DV152" s="2641"/>
      <c r="DW152" s="662"/>
      <c r="DX152" s="664"/>
      <c r="DY152" s="516"/>
      <c r="ED152" s="662"/>
      <c r="EE152" s="662"/>
      <c r="EF152" s="662"/>
      <c r="EG152" s="664"/>
      <c r="EH152" s="662"/>
      <c r="EI152" s="662"/>
      <c r="EJ152" s="516"/>
      <c r="FY152" s="517"/>
      <c r="FZ152" s="663"/>
      <c r="GA152" s="1586"/>
      <c r="GB152" s="516"/>
      <c r="GD152" s="540"/>
      <c r="GE152" s="662"/>
      <c r="GF152" s="662"/>
      <c r="GG152" s="662"/>
      <c r="GH152" s="662"/>
      <c r="GI152" s="662"/>
      <c r="GJ152" s="662"/>
      <c r="GK152" s="662"/>
      <c r="HK152" s="516"/>
      <c r="HQ152" s="516"/>
      <c r="IT152" s="517"/>
      <c r="IV152" s="2638"/>
      <c r="IW152" s="2638"/>
      <c r="IX152" s="2638"/>
      <c r="IY152" s="2638"/>
      <c r="IZ152" s="2638"/>
      <c r="JA152" s="2638"/>
      <c r="JB152" s="2638"/>
      <c r="JC152" s="2638"/>
      <c r="JD152" s="2638"/>
      <c r="JE152" s="2638"/>
      <c r="JF152" s="2638"/>
    </row>
    <row r="153" spans="26:266" ht="4.1500000000000004" customHeight="1">
      <c r="Z153" s="1510"/>
      <c r="AA153" s="1510"/>
      <c r="AD153" s="516"/>
      <c r="AF153" s="515"/>
      <c r="AG153" s="667"/>
      <c r="AH153" s="667"/>
      <c r="AI153" s="667"/>
      <c r="AJ153" s="667"/>
      <c r="AK153" s="667"/>
      <c r="AL153" s="667"/>
      <c r="AM153" s="667"/>
      <c r="AN153" s="1583"/>
      <c r="AO153" s="667"/>
      <c r="AP153" s="667"/>
      <c r="AQ153" s="667"/>
      <c r="AR153" s="667"/>
      <c r="AS153" s="667"/>
      <c r="AT153" s="514"/>
      <c r="AU153" s="514"/>
      <c r="AV153" s="514"/>
      <c r="AW153" s="518"/>
      <c r="AX153" s="516"/>
      <c r="AZ153" s="516"/>
      <c r="CO153" s="517"/>
      <c r="CR153" s="516"/>
      <c r="CW153" s="662"/>
      <c r="CX153" s="662"/>
      <c r="CY153" s="662"/>
      <c r="CZ153" s="664"/>
      <c r="DA153" s="663"/>
      <c r="DB153" s="1601"/>
      <c r="DC153" s="1601"/>
      <c r="DD153" s="1601"/>
      <c r="DE153" s="1601"/>
      <c r="DF153" s="662"/>
      <c r="DG153" s="662"/>
      <c r="DH153" s="662"/>
      <c r="DI153" s="662"/>
      <c r="DJ153" s="662"/>
      <c r="DK153" s="662"/>
      <c r="DL153" s="662"/>
      <c r="DM153" s="662"/>
      <c r="DN153" s="662"/>
      <c r="DO153" s="662"/>
      <c r="DP153" s="662"/>
      <c r="DQ153" s="662"/>
      <c r="DR153" s="662"/>
      <c r="DS153" s="662"/>
      <c r="DT153" s="662"/>
      <c r="DU153" s="662"/>
      <c r="DV153" s="662"/>
      <c r="DW153" s="662"/>
      <c r="DX153" s="664"/>
      <c r="DY153" s="516"/>
      <c r="ED153" s="662"/>
      <c r="EE153" s="662"/>
      <c r="EF153" s="662"/>
      <c r="EG153" s="664"/>
      <c r="EH153" s="662"/>
      <c r="EI153" s="662"/>
      <c r="EJ153" s="516"/>
      <c r="FY153" s="517"/>
      <c r="FZ153" s="663"/>
      <c r="GA153" s="1586"/>
      <c r="GB153" s="516"/>
      <c r="GD153" s="540"/>
      <c r="GE153" s="662"/>
      <c r="GF153" s="662"/>
      <c r="GG153" s="662"/>
      <c r="GH153" s="662"/>
      <c r="GI153" s="662"/>
      <c r="GJ153" s="662"/>
      <c r="GK153" s="662"/>
      <c r="HI153" s="532"/>
      <c r="HJ153" s="532"/>
      <c r="HK153" s="530"/>
      <c r="HL153" s="532"/>
      <c r="HM153" s="532"/>
      <c r="HN153" s="532"/>
      <c r="HQ153" s="530"/>
      <c r="HR153" s="532"/>
      <c r="HS153" s="532"/>
      <c r="HT153" s="532"/>
      <c r="HU153" s="532"/>
      <c r="HV153" s="532"/>
      <c r="HW153" s="532"/>
      <c r="HX153" s="532"/>
      <c r="HY153" s="532"/>
      <c r="HZ153" s="532"/>
      <c r="IA153" s="532"/>
      <c r="IB153" s="532"/>
      <c r="IC153" s="532"/>
      <c r="ID153" s="532"/>
      <c r="IE153" s="532"/>
      <c r="IF153" s="532"/>
      <c r="IG153" s="532"/>
      <c r="IH153" s="532"/>
      <c r="II153" s="532"/>
      <c r="IJ153" s="532"/>
      <c r="IK153" s="532"/>
      <c r="IL153" s="532"/>
      <c r="IM153" s="532"/>
      <c r="IN153" s="532"/>
      <c r="IO153" s="532"/>
      <c r="IP153" s="532"/>
      <c r="IQ153" s="532"/>
      <c r="IR153" s="532"/>
      <c r="IS153" s="532"/>
      <c r="IT153" s="531"/>
      <c r="IV153" s="2640"/>
      <c r="IW153" s="2640"/>
      <c r="IX153" s="2640"/>
      <c r="IY153" s="2640"/>
      <c r="IZ153" s="2640"/>
      <c r="JA153" s="2640"/>
      <c r="JB153" s="2640"/>
      <c r="JC153" s="2640"/>
      <c r="JD153" s="2640"/>
      <c r="JE153" s="2640"/>
      <c r="JF153" s="2640"/>
    </row>
    <row r="154" spans="26:266" ht="4.1500000000000004" customHeight="1">
      <c r="Z154" s="1510"/>
      <c r="AA154" s="1510"/>
      <c r="AD154" s="516"/>
      <c r="AF154" s="530"/>
      <c r="AG154" s="532"/>
      <c r="AH154" s="532"/>
      <c r="AI154" s="532"/>
      <c r="AJ154" s="532"/>
      <c r="AK154" s="532"/>
      <c r="AL154" s="532"/>
      <c r="AM154" s="532"/>
      <c r="AN154" s="531"/>
      <c r="AO154" s="532"/>
      <c r="AP154" s="532"/>
      <c r="AQ154" s="532"/>
      <c r="AR154" s="532"/>
      <c r="AS154" s="532"/>
      <c r="AT154" s="532"/>
      <c r="AU154" s="532"/>
      <c r="AV154" s="532"/>
      <c r="AW154" s="531"/>
      <c r="AX154" s="516"/>
      <c r="AZ154" s="516"/>
      <c r="BG154" s="2637" t="s">
        <v>3601</v>
      </c>
      <c r="BH154" s="2637"/>
      <c r="BI154" s="2637"/>
      <c r="BJ154" s="2637"/>
      <c r="BK154" s="2637"/>
      <c r="BL154" s="2637"/>
      <c r="BM154" s="2637"/>
      <c r="BN154" s="2637"/>
      <c r="BO154" s="2637"/>
      <c r="BP154" s="2637"/>
      <c r="BQ154" s="2637"/>
      <c r="BR154" s="2637"/>
      <c r="BS154" s="2637"/>
      <c r="BT154" s="2637"/>
      <c r="BU154" s="2637"/>
      <c r="BV154" s="2637"/>
      <c r="BW154" s="2637"/>
      <c r="BX154" s="2637"/>
      <c r="BY154" s="2637"/>
      <c r="BZ154" s="2637"/>
      <c r="CA154" s="2637"/>
      <c r="CB154" s="2637"/>
      <c r="CC154" s="2637"/>
      <c r="CD154" s="2637"/>
      <c r="CE154" s="2637"/>
      <c r="CF154" s="2637"/>
      <c r="CG154" s="2637"/>
      <c r="CH154" s="2637"/>
      <c r="CO154" s="517"/>
      <c r="CR154" s="516"/>
      <c r="CW154" s="662"/>
      <c r="CX154" s="662"/>
      <c r="CY154" s="662"/>
      <c r="CZ154" s="664"/>
      <c r="DA154" s="663"/>
      <c r="DB154" s="1601"/>
      <c r="DC154" s="1601"/>
      <c r="DD154" s="1601"/>
      <c r="DE154" s="1601"/>
      <c r="DF154" s="662"/>
      <c r="DG154" s="662"/>
      <c r="DH154" s="662"/>
      <c r="DI154" s="662"/>
      <c r="DJ154" s="662"/>
      <c r="DK154" s="662"/>
      <c r="DL154" s="662"/>
      <c r="DM154" s="662"/>
      <c r="DN154" s="662"/>
      <c r="DO154" s="662"/>
      <c r="DP154" s="662"/>
      <c r="DQ154" s="662"/>
      <c r="DR154" s="662"/>
      <c r="DS154" s="662"/>
      <c r="DT154" s="662"/>
      <c r="DU154" s="662"/>
      <c r="DV154" s="662"/>
      <c r="DW154" s="662"/>
      <c r="DX154" s="664"/>
      <c r="DY154" s="516"/>
      <c r="ED154" s="662"/>
      <c r="EE154" s="662"/>
      <c r="EF154" s="662"/>
      <c r="EG154" s="664"/>
      <c r="EH154" s="662"/>
      <c r="EI154" s="662"/>
      <c r="EJ154" s="516"/>
      <c r="FY154" s="517"/>
      <c r="FZ154" s="663"/>
      <c r="GA154" s="1586"/>
      <c r="GB154" s="516"/>
      <c r="GD154" s="540"/>
      <c r="GE154" s="662"/>
      <c r="GF154" s="662"/>
      <c r="GG154" s="662"/>
      <c r="GH154" s="662"/>
      <c r="GI154" s="662"/>
      <c r="GJ154" s="662"/>
      <c r="GK154" s="662"/>
      <c r="IK154" s="514"/>
      <c r="IL154" s="514"/>
      <c r="IM154" s="514"/>
      <c r="IN154" s="514"/>
      <c r="IO154" s="514"/>
      <c r="IP154" s="514"/>
      <c r="IQ154" s="514"/>
      <c r="IR154" s="514"/>
      <c r="IS154" s="514"/>
      <c r="IT154" s="514"/>
    </row>
    <row r="155" spans="26:266" ht="4.1500000000000004" customHeight="1">
      <c r="Z155" s="1510"/>
      <c r="AA155" s="1510"/>
      <c r="AD155" s="516"/>
      <c r="AF155" s="515"/>
      <c r="AG155" s="667"/>
      <c r="AH155" s="667"/>
      <c r="AI155" s="667"/>
      <c r="AJ155" s="667"/>
      <c r="AK155" s="667"/>
      <c r="AL155" s="667"/>
      <c r="AM155" s="667"/>
      <c r="AN155" s="1583"/>
      <c r="AO155" s="667"/>
      <c r="AP155" s="667"/>
      <c r="AQ155" s="667"/>
      <c r="AR155" s="667"/>
      <c r="AS155" s="667"/>
      <c r="AT155" s="514"/>
      <c r="AU155" s="514"/>
      <c r="AV155" s="514"/>
      <c r="AW155" s="518"/>
      <c r="AX155" s="516"/>
      <c r="AZ155" s="516"/>
      <c r="BG155" s="2637"/>
      <c r="BH155" s="2637"/>
      <c r="BI155" s="2637"/>
      <c r="BJ155" s="2637"/>
      <c r="BK155" s="2637"/>
      <c r="BL155" s="2637"/>
      <c r="BM155" s="2637"/>
      <c r="BN155" s="2637"/>
      <c r="BO155" s="2637"/>
      <c r="BP155" s="2637"/>
      <c r="BQ155" s="2637"/>
      <c r="BR155" s="2637"/>
      <c r="BS155" s="2637"/>
      <c r="BT155" s="2637"/>
      <c r="BU155" s="2637"/>
      <c r="BV155" s="2637"/>
      <c r="BW155" s="2637"/>
      <c r="BX155" s="2637"/>
      <c r="BY155" s="2637"/>
      <c r="BZ155" s="2637"/>
      <c r="CA155" s="2637"/>
      <c r="CB155" s="2637"/>
      <c r="CC155" s="2637"/>
      <c r="CD155" s="2637"/>
      <c r="CE155" s="2637"/>
      <c r="CF155" s="2637"/>
      <c r="CG155" s="2637"/>
      <c r="CH155" s="2637"/>
      <c r="CO155" s="517"/>
      <c r="CR155" s="516"/>
      <c r="CW155" s="662"/>
      <c r="CX155" s="662"/>
      <c r="CY155" s="662"/>
      <c r="CZ155" s="664"/>
      <c r="DA155" s="663"/>
      <c r="DB155" s="1601"/>
      <c r="DC155" s="1601"/>
      <c r="DD155" s="1601"/>
      <c r="DE155" s="1601"/>
      <c r="DF155" s="662"/>
      <c r="DG155" s="662"/>
      <c r="DH155" s="662"/>
      <c r="DI155" s="662"/>
      <c r="DJ155" s="662"/>
      <c r="DK155" s="662"/>
      <c r="DL155" s="662"/>
      <c r="DM155" s="662"/>
      <c r="DN155" s="662"/>
      <c r="DO155" s="662"/>
      <c r="DP155" s="662"/>
      <c r="DQ155" s="662"/>
      <c r="DR155" s="662"/>
      <c r="DS155" s="662"/>
      <c r="DT155" s="662"/>
      <c r="DU155" s="662"/>
      <c r="DV155" s="662"/>
      <c r="DW155" s="662"/>
      <c r="DX155" s="664"/>
      <c r="DY155" s="516"/>
      <c r="ED155" s="662"/>
      <c r="EE155" s="662"/>
      <c r="EF155" s="662"/>
      <c r="EG155" s="664"/>
      <c r="EH155" s="662"/>
      <c r="EI155" s="662"/>
      <c r="EJ155" s="516"/>
      <c r="FY155" s="517"/>
      <c r="FZ155" s="666"/>
      <c r="GA155" s="1587"/>
      <c r="GB155" s="516"/>
      <c r="GD155" s="540"/>
      <c r="GE155" s="662"/>
      <c r="GF155" s="662"/>
      <c r="GG155" s="662"/>
      <c r="GH155" s="662"/>
      <c r="GI155" s="662"/>
      <c r="GJ155" s="662"/>
      <c r="GK155" s="662"/>
      <c r="HQ155" s="516"/>
      <c r="IT155" s="517"/>
    </row>
    <row r="156" spans="26:266" ht="4.1500000000000004" customHeight="1">
      <c r="AD156" s="516"/>
      <c r="AF156" s="530"/>
      <c r="AG156" s="532"/>
      <c r="AH156" s="532"/>
      <c r="AI156" s="532"/>
      <c r="AJ156" s="532"/>
      <c r="AK156" s="532"/>
      <c r="AL156" s="532"/>
      <c r="AM156" s="532"/>
      <c r="AN156" s="531"/>
      <c r="AO156" s="532"/>
      <c r="AP156" s="532"/>
      <c r="AQ156" s="532"/>
      <c r="AR156" s="532"/>
      <c r="AS156" s="532"/>
      <c r="AT156" s="532"/>
      <c r="AU156" s="532"/>
      <c r="AV156" s="532"/>
      <c r="AW156" s="531"/>
      <c r="AX156" s="516"/>
      <c r="AZ156" s="516"/>
      <c r="BG156" s="2637"/>
      <c r="BH156" s="2637"/>
      <c r="BI156" s="2637"/>
      <c r="BJ156" s="2637"/>
      <c r="BK156" s="2637"/>
      <c r="BL156" s="2637"/>
      <c r="BM156" s="2637"/>
      <c r="BN156" s="2637"/>
      <c r="BO156" s="2637"/>
      <c r="BP156" s="2637"/>
      <c r="BQ156" s="2637"/>
      <c r="BR156" s="2637"/>
      <c r="BS156" s="2637"/>
      <c r="BT156" s="2637"/>
      <c r="BU156" s="2637"/>
      <c r="BV156" s="2637"/>
      <c r="BW156" s="2637"/>
      <c r="BX156" s="2637"/>
      <c r="BY156" s="2637"/>
      <c r="BZ156" s="2637"/>
      <c r="CA156" s="2637"/>
      <c r="CB156" s="2637"/>
      <c r="CC156" s="2637"/>
      <c r="CD156" s="2637"/>
      <c r="CE156" s="2637"/>
      <c r="CF156" s="2637"/>
      <c r="CG156" s="2637"/>
      <c r="CH156" s="2637"/>
      <c r="CO156" s="517"/>
      <c r="CR156" s="516"/>
      <c r="CW156" s="662"/>
      <c r="CX156" s="662"/>
      <c r="CY156" s="662"/>
      <c r="CZ156" s="664"/>
      <c r="DA156" s="663"/>
      <c r="DB156" s="1601"/>
      <c r="DC156" s="1601"/>
      <c r="DD156" s="1601"/>
      <c r="DE156" s="1601"/>
      <c r="DF156" s="662"/>
      <c r="DG156" s="662"/>
      <c r="DH156" s="662"/>
      <c r="DI156" s="662"/>
      <c r="DJ156" s="662"/>
      <c r="DK156" s="662"/>
      <c r="DL156" s="662"/>
      <c r="DM156" s="662"/>
      <c r="DN156" s="662"/>
      <c r="DO156" s="662"/>
      <c r="DP156" s="662"/>
      <c r="DQ156" s="662"/>
      <c r="DR156" s="662"/>
      <c r="DS156" s="662"/>
      <c r="DT156" s="662"/>
      <c r="DU156" s="662"/>
      <c r="DV156" s="662"/>
      <c r="DW156" s="662"/>
      <c r="DX156" s="664"/>
      <c r="DY156" s="516"/>
      <c r="ED156" s="662"/>
      <c r="EE156" s="662"/>
      <c r="EF156" s="662"/>
      <c r="EG156" s="664"/>
      <c r="EH156" s="662"/>
      <c r="EI156" s="662"/>
      <c r="EJ156" s="516"/>
      <c r="FY156" s="517"/>
      <c r="FZ156" s="662"/>
      <c r="GA156" s="664"/>
      <c r="GB156" s="1561"/>
      <c r="GC156" s="557"/>
      <c r="GD156" s="560"/>
      <c r="GE156" s="662"/>
      <c r="GF156" s="662"/>
      <c r="GG156" s="662"/>
      <c r="GH156" s="662"/>
      <c r="GI156" s="662"/>
      <c r="GJ156" s="662"/>
      <c r="GK156" s="662"/>
      <c r="HQ156" s="516"/>
      <c r="HY156" s="2596">
        <v>1.2</v>
      </c>
      <c r="HZ156" s="2596"/>
      <c r="IA156" s="2596"/>
      <c r="IB156" s="2596"/>
      <c r="IC156" s="2596"/>
      <c r="ID156" s="2596"/>
      <c r="IE156" s="2596"/>
      <c r="IF156" s="2596"/>
      <c r="IG156" s="2596"/>
      <c r="IH156" s="2596"/>
      <c r="II156" s="2596"/>
      <c r="IJ156" s="2596"/>
      <c r="IT156" s="517"/>
    </row>
    <row r="157" spans="26:266" ht="4.1500000000000004" customHeight="1">
      <c r="AD157" s="516"/>
      <c r="AF157" s="515"/>
      <c r="AG157" s="667"/>
      <c r="AH157" s="667"/>
      <c r="AI157" s="667"/>
      <c r="AJ157" s="667"/>
      <c r="AK157" s="667"/>
      <c r="AL157" s="667"/>
      <c r="AM157" s="667"/>
      <c r="AN157" s="1583"/>
      <c r="AO157" s="667"/>
      <c r="AP157" s="667"/>
      <c r="AQ157" s="667"/>
      <c r="AR157" s="667"/>
      <c r="AS157" s="667"/>
      <c r="AT157" s="514"/>
      <c r="AU157" s="514"/>
      <c r="AV157" s="514"/>
      <c r="AW157" s="518"/>
      <c r="AX157" s="516"/>
      <c r="AZ157" s="516"/>
      <c r="BG157" s="2637"/>
      <c r="BH157" s="2637"/>
      <c r="BI157" s="2637"/>
      <c r="BJ157" s="2637"/>
      <c r="BK157" s="2637"/>
      <c r="BL157" s="2637"/>
      <c r="BM157" s="2637"/>
      <c r="BN157" s="2637"/>
      <c r="BO157" s="2637"/>
      <c r="BP157" s="2637"/>
      <c r="BQ157" s="2637"/>
      <c r="BR157" s="2637"/>
      <c r="BS157" s="2637"/>
      <c r="BT157" s="2637"/>
      <c r="BU157" s="2637"/>
      <c r="BV157" s="2637"/>
      <c r="BW157" s="2637"/>
      <c r="BX157" s="2637"/>
      <c r="BY157" s="2637"/>
      <c r="BZ157" s="2637"/>
      <c r="CA157" s="2637"/>
      <c r="CB157" s="2637"/>
      <c r="CC157" s="2637"/>
      <c r="CD157" s="2637"/>
      <c r="CE157" s="2637"/>
      <c r="CF157" s="2637"/>
      <c r="CG157" s="2637"/>
      <c r="CH157" s="2637"/>
      <c r="CO157" s="517"/>
      <c r="CR157" s="516"/>
      <c r="CW157" s="662"/>
      <c r="CX157" s="662"/>
      <c r="CY157" s="662"/>
      <c r="CZ157" s="664"/>
      <c r="DA157" s="663"/>
      <c r="DB157" s="1601"/>
      <c r="DC157" s="1601"/>
      <c r="DD157" s="1601"/>
      <c r="DE157" s="1601"/>
      <c r="DF157" s="662"/>
      <c r="DG157" s="662"/>
      <c r="DH157" s="662"/>
      <c r="DI157" s="662"/>
      <c r="DJ157" s="662"/>
      <c r="DK157" s="662"/>
      <c r="DL157" s="662"/>
      <c r="DM157" s="662"/>
      <c r="DN157" s="662"/>
      <c r="DO157" s="662"/>
      <c r="DP157" s="662"/>
      <c r="DQ157" s="662"/>
      <c r="DR157" s="662"/>
      <c r="DS157" s="662"/>
      <c r="DT157" s="662"/>
      <c r="DU157" s="662"/>
      <c r="DV157" s="662"/>
      <c r="DW157" s="662"/>
      <c r="DX157" s="664"/>
      <c r="DY157" s="516"/>
      <c r="ED157" s="662"/>
      <c r="EE157" s="662"/>
      <c r="EF157" s="662"/>
      <c r="EG157" s="664"/>
      <c r="EH157" s="662"/>
      <c r="EI157" s="662"/>
      <c r="EJ157" s="516"/>
      <c r="EQ157" s="2637" t="s">
        <v>3602</v>
      </c>
      <c r="ER157" s="2637"/>
      <c r="ES157" s="2637"/>
      <c r="ET157" s="2637"/>
      <c r="EU157" s="2637"/>
      <c r="EV157" s="2637"/>
      <c r="EW157" s="2637"/>
      <c r="EX157" s="2637"/>
      <c r="EY157" s="2637"/>
      <c r="EZ157" s="2637"/>
      <c r="FA157" s="2637"/>
      <c r="FB157" s="2637"/>
      <c r="FC157" s="2637"/>
      <c r="FD157" s="2637"/>
      <c r="FE157" s="2637"/>
      <c r="FF157" s="2637"/>
      <c r="FG157" s="2637"/>
      <c r="FH157" s="2637"/>
      <c r="FI157" s="2637"/>
      <c r="FJ157" s="2637"/>
      <c r="FK157" s="2637"/>
      <c r="FL157" s="2637"/>
      <c r="FM157" s="2637"/>
      <c r="FN157" s="2637"/>
      <c r="FO157" s="2637"/>
      <c r="FP157" s="2637"/>
      <c r="FQ157" s="2637"/>
      <c r="FR157" s="2637"/>
      <c r="FY157" s="517"/>
      <c r="FZ157" s="662"/>
      <c r="GA157" s="664"/>
      <c r="GB157" s="662"/>
      <c r="GC157" s="662"/>
      <c r="GD157" s="662"/>
      <c r="GE157" s="662"/>
      <c r="GF157" s="662"/>
      <c r="GG157" s="662"/>
      <c r="GH157" s="662"/>
      <c r="GI157" s="662"/>
      <c r="GJ157" s="662"/>
      <c r="GK157" s="662"/>
      <c r="HQ157" s="530"/>
      <c r="HR157" s="532"/>
      <c r="HS157" s="532"/>
      <c r="HT157" s="532"/>
      <c r="HU157" s="532"/>
      <c r="HV157" s="532"/>
      <c r="HW157" s="532"/>
      <c r="HX157" s="532"/>
      <c r="HY157" s="2596"/>
      <c r="HZ157" s="2596"/>
      <c r="IA157" s="2596"/>
      <c r="IB157" s="2596"/>
      <c r="IC157" s="2596"/>
      <c r="ID157" s="2596"/>
      <c r="IE157" s="2596"/>
      <c r="IF157" s="2596"/>
      <c r="IG157" s="2596"/>
      <c r="IH157" s="2596"/>
      <c r="II157" s="2596"/>
      <c r="IJ157" s="2596"/>
      <c r="IK157" s="532"/>
      <c r="IL157" s="532"/>
      <c r="IM157" s="532"/>
      <c r="IN157" s="532"/>
      <c r="IO157" s="532"/>
      <c r="IP157" s="532"/>
      <c r="IQ157" s="532"/>
      <c r="IR157" s="532"/>
      <c r="IS157" s="532"/>
      <c r="IT157" s="531"/>
    </row>
    <row r="158" spans="26:266" ht="4.1500000000000004" customHeight="1">
      <c r="AD158" s="516"/>
      <c r="AF158" s="530"/>
      <c r="AG158" s="532"/>
      <c r="AH158" s="532"/>
      <c r="AI158" s="532"/>
      <c r="AJ158" s="532"/>
      <c r="AK158" s="532"/>
      <c r="AL158" s="532"/>
      <c r="AM158" s="532"/>
      <c r="AN158" s="531"/>
      <c r="AO158" s="532"/>
      <c r="AP158" s="532"/>
      <c r="AQ158" s="532"/>
      <c r="AR158" s="532"/>
      <c r="AS158" s="532"/>
      <c r="AT158" s="532"/>
      <c r="AU158" s="532"/>
      <c r="AV158" s="532"/>
      <c r="AW158" s="531"/>
      <c r="AX158" s="516"/>
      <c r="AZ158" s="516"/>
      <c r="BG158" s="2636">
        <v>7</v>
      </c>
      <c r="BH158" s="2636"/>
      <c r="BI158" s="2636"/>
      <c r="BJ158" s="2636"/>
      <c r="BK158" s="2636"/>
      <c r="BL158" s="2636"/>
      <c r="BM158" s="2636"/>
      <c r="BN158" s="2636"/>
      <c r="BO158" s="2636"/>
      <c r="BP158" s="2636"/>
      <c r="BQ158" s="2636"/>
      <c r="BR158" s="2636"/>
      <c r="BS158" s="2636" t="s">
        <v>901</v>
      </c>
      <c r="BT158" s="2636"/>
      <c r="BU158" s="2636"/>
      <c r="BV158" s="2636"/>
      <c r="BW158" s="2636">
        <v>7</v>
      </c>
      <c r="BX158" s="2636"/>
      <c r="BY158" s="2636"/>
      <c r="BZ158" s="2636"/>
      <c r="CA158" s="2636"/>
      <c r="CB158" s="2636"/>
      <c r="CC158" s="2636"/>
      <c r="CD158" s="2636"/>
      <c r="CE158" s="2636"/>
      <c r="CF158" s="2636"/>
      <c r="CG158" s="2636"/>
      <c r="CH158" s="2636"/>
      <c r="CO158" s="517"/>
      <c r="CR158" s="516"/>
      <c r="CW158" s="662"/>
      <c r="CX158" s="662"/>
      <c r="CY158" s="662"/>
      <c r="CZ158" s="664"/>
      <c r="DA158" s="663"/>
      <c r="DB158" s="1601"/>
      <c r="DC158" s="1601"/>
      <c r="DD158" s="1601"/>
      <c r="DE158" s="1601"/>
      <c r="DF158" s="662"/>
      <c r="DG158" s="662"/>
      <c r="DH158" s="662"/>
      <c r="DI158" s="662"/>
      <c r="DJ158" s="662"/>
      <c r="DK158" s="662"/>
      <c r="DL158" s="662"/>
      <c r="DM158" s="662"/>
      <c r="DN158" s="662"/>
      <c r="DO158" s="662"/>
      <c r="DP158" s="662"/>
      <c r="DQ158" s="662"/>
      <c r="DR158" s="662"/>
      <c r="DS158" s="662"/>
      <c r="DT158" s="662"/>
      <c r="DU158" s="662"/>
      <c r="DV158" s="662"/>
      <c r="DW158" s="662"/>
      <c r="DX158" s="664"/>
      <c r="DY158" s="516"/>
      <c r="ED158" s="662"/>
      <c r="EE158" s="662"/>
      <c r="EF158" s="662"/>
      <c r="EG158" s="664"/>
      <c r="EH158" s="662"/>
      <c r="EI158" s="662"/>
      <c r="EJ158" s="516"/>
      <c r="EQ158" s="2637"/>
      <c r="ER158" s="2637"/>
      <c r="ES158" s="2637"/>
      <c r="ET158" s="2637"/>
      <c r="EU158" s="2637"/>
      <c r="EV158" s="2637"/>
      <c r="EW158" s="2637"/>
      <c r="EX158" s="2637"/>
      <c r="EY158" s="2637"/>
      <c r="EZ158" s="2637"/>
      <c r="FA158" s="2637"/>
      <c r="FB158" s="2637"/>
      <c r="FC158" s="2637"/>
      <c r="FD158" s="2637"/>
      <c r="FE158" s="2637"/>
      <c r="FF158" s="2637"/>
      <c r="FG158" s="2637"/>
      <c r="FH158" s="2637"/>
      <c r="FI158" s="2637"/>
      <c r="FJ158" s="2637"/>
      <c r="FK158" s="2637"/>
      <c r="FL158" s="2637"/>
      <c r="FM158" s="2637"/>
      <c r="FN158" s="2637"/>
      <c r="FO158" s="2637"/>
      <c r="FP158" s="2637"/>
      <c r="FQ158" s="2637"/>
      <c r="FR158" s="2637"/>
      <c r="FY158" s="517"/>
      <c r="FZ158" s="662"/>
      <c r="GA158" s="664"/>
      <c r="GB158" s="662"/>
      <c r="GC158" s="662"/>
      <c r="GD158" s="662"/>
      <c r="GE158" s="662"/>
      <c r="GF158" s="662"/>
      <c r="GG158" s="662"/>
      <c r="GH158" s="662"/>
      <c r="GI158" s="662"/>
      <c r="GJ158" s="662"/>
      <c r="GK158" s="662"/>
      <c r="HQ158" s="516"/>
      <c r="HY158" s="2596"/>
      <c r="HZ158" s="2596"/>
      <c r="IA158" s="2596"/>
      <c r="IB158" s="2596"/>
      <c r="IC158" s="2596"/>
      <c r="ID158" s="2596"/>
      <c r="IE158" s="2596"/>
      <c r="IF158" s="2596"/>
      <c r="IG158" s="2596"/>
      <c r="IH158" s="2596"/>
      <c r="II158" s="2596"/>
      <c r="IJ158" s="2596"/>
      <c r="IT158" s="517"/>
    </row>
    <row r="159" spans="26:266" ht="4.1500000000000004" customHeight="1">
      <c r="AD159" s="516"/>
      <c r="AF159" s="515"/>
      <c r="AG159" s="667"/>
      <c r="AH159" s="667"/>
      <c r="AI159" s="667"/>
      <c r="AJ159" s="667"/>
      <c r="AK159" s="667"/>
      <c r="AL159" s="667"/>
      <c r="AM159" s="667"/>
      <c r="AN159" s="1583"/>
      <c r="AO159" s="667"/>
      <c r="AP159" s="667"/>
      <c r="AQ159" s="667"/>
      <c r="AR159" s="667"/>
      <c r="AS159" s="667"/>
      <c r="AT159" s="514"/>
      <c r="AU159" s="514"/>
      <c r="AV159" s="514"/>
      <c r="AW159" s="518"/>
      <c r="AX159" s="516"/>
      <c r="AZ159" s="516"/>
      <c r="BG159" s="2636"/>
      <c r="BH159" s="2636"/>
      <c r="BI159" s="2636"/>
      <c r="BJ159" s="2636"/>
      <c r="BK159" s="2636"/>
      <c r="BL159" s="2636"/>
      <c r="BM159" s="2636"/>
      <c r="BN159" s="2636"/>
      <c r="BO159" s="2636"/>
      <c r="BP159" s="2636"/>
      <c r="BQ159" s="2636"/>
      <c r="BR159" s="2636"/>
      <c r="BS159" s="2636"/>
      <c r="BT159" s="2636"/>
      <c r="BU159" s="2636"/>
      <c r="BV159" s="2636"/>
      <c r="BW159" s="2636"/>
      <c r="BX159" s="2636"/>
      <c r="BY159" s="2636"/>
      <c r="BZ159" s="2636"/>
      <c r="CA159" s="2636"/>
      <c r="CB159" s="2636"/>
      <c r="CC159" s="2636"/>
      <c r="CD159" s="2636"/>
      <c r="CE159" s="2636"/>
      <c r="CF159" s="2636"/>
      <c r="CG159" s="2636"/>
      <c r="CH159" s="2636"/>
      <c r="CO159" s="517"/>
      <c r="CR159" s="516"/>
      <c r="CW159" s="662"/>
      <c r="CX159" s="662"/>
      <c r="CY159" s="662"/>
      <c r="CZ159" s="664"/>
      <c r="DA159" s="663"/>
      <c r="DB159" s="1601"/>
      <c r="DC159" s="1601"/>
      <c r="DD159" s="1601"/>
      <c r="DE159" s="1601"/>
      <c r="DF159" s="662"/>
      <c r="DG159" s="662"/>
      <c r="DH159" s="662"/>
      <c r="DI159" s="662"/>
      <c r="DJ159" s="662"/>
      <c r="DK159" s="662"/>
      <c r="DL159" s="662"/>
      <c r="DM159" s="662"/>
      <c r="DN159" s="662"/>
      <c r="DO159" s="662"/>
      <c r="DP159" s="662"/>
      <c r="DQ159" s="662"/>
      <c r="DR159" s="662"/>
      <c r="DS159" s="662"/>
      <c r="DT159" s="662"/>
      <c r="DU159" s="662"/>
      <c r="DV159" s="662"/>
      <c r="DW159" s="662"/>
      <c r="DX159" s="664"/>
      <c r="DY159" s="516"/>
      <c r="ED159" s="662"/>
      <c r="EE159" s="662"/>
      <c r="EF159" s="662"/>
      <c r="EG159" s="664"/>
      <c r="EH159" s="662"/>
      <c r="EI159" s="662"/>
      <c r="EJ159" s="516"/>
      <c r="EQ159" s="2637"/>
      <c r="ER159" s="2637"/>
      <c r="ES159" s="2637"/>
      <c r="ET159" s="2637"/>
      <c r="EU159" s="2637"/>
      <c r="EV159" s="2637"/>
      <c r="EW159" s="2637"/>
      <c r="EX159" s="2637"/>
      <c r="EY159" s="2637"/>
      <c r="EZ159" s="2637"/>
      <c r="FA159" s="2637"/>
      <c r="FB159" s="2637"/>
      <c r="FC159" s="2637"/>
      <c r="FD159" s="2637"/>
      <c r="FE159" s="2637"/>
      <c r="FF159" s="2637"/>
      <c r="FG159" s="2637"/>
      <c r="FH159" s="2637"/>
      <c r="FI159" s="2637"/>
      <c r="FJ159" s="2637"/>
      <c r="FK159" s="2637"/>
      <c r="FL159" s="2637"/>
      <c r="FM159" s="2637"/>
      <c r="FN159" s="2637"/>
      <c r="FO159" s="2637"/>
      <c r="FP159" s="2637"/>
      <c r="FQ159" s="2637"/>
      <c r="FR159" s="2637"/>
      <c r="FY159" s="517"/>
      <c r="FZ159" s="662"/>
      <c r="GA159" s="664"/>
      <c r="GB159" s="662"/>
      <c r="GC159" s="662"/>
      <c r="GD159" s="662"/>
      <c r="GE159" s="662"/>
      <c r="GF159" s="662"/>
      <c r="GG159" s="662"/>
      <c r="GH159" s="662"/>
      <c r="GI159" s="662"/>
      <c r="GJ159" s="662"/>
      <c r="GK159" s="662"/>
    </row>
    <row r="160" spans="26:266" ht="4.1500000000000004" customHeight="1">
      <c r="AD160" s="516"/>
      <c r="AF160" s="530"/>
      <c r="AG160" s="532"/>
      <c r="AH160" s="532"/>
      <c r="AI160" s="532"/>
      <c r="AJ160" s="532"/>
      <c r="AK160" s="532"/>
      <c r="AL160" s="532"/>
      <c r="AM160" s="532"/>
      <c r="AN160" s="531"/>
      <c r="AO160" s="532"/>
      <c r="AP160" s="532"/>
      <c r="AQ160" s="532"/>
      <c r="AR160" s="532"/>
      <c r="AS160" s="532"/>
      <c r="AT160" s="532"/>
      <c r="AU160" s="532"/>
      <c r="AV160" s="532"/>
      <c r="AW160" s="531"/>
      <c r="AX160" s="516"/>
      <c r="AZ160" s="516"/>
      <c r="BG160" s="2636"/>
      <c r="BH160" s="2636"/>
      <c r="BI160" s="2636"/>
      <c r="BJ160" s="2636"/>
      <c r="BK160" s="2636"/>
      <c r="BL160" s="2636"/>
      <c r="BM160" s="2636"/>
      <c r="BN160" s="2636"/>
      <c r="BO160" s="2636"/>
      <c r="BP160" s="2636"/>
      <c r="BQ160" s="2636"/>
      <c r="BR160" s="2636"/>
      <c r="BS160" s="2636"/>
      <c r="BT160" s="2636"/>
      <c r="BU160" s="2636"/>
      <c r="BV160" s="2636"/>
      <c r="BW160" s="2636"/>
      <c r="BX160" s="2636"/>
      <c r="BY160" s="2636"/>
      <c r="BZ160" s="2636"/>
      <c r="CA160" s="2636"/>
      <c r="CB160" s="2636"/>
      <c r="CC160" s="2636"/>
      <c r="CD160" s="2636"/>
      <c r="CE160" s="2636"/>
      <c r="CF160" s="2636"/>
      <c r="CG160" s="2636"/>
      <c r="CH160" s="2636"/>
      <c r="CO160" s="517"/>
      <c r="CR160" s="516"/>
      <c r="CW160" s="662"/>
      <c r="CX160" s="662"/>
      <c r="CY160" s="662"/>
      <c r="CZ160" s="664"/>
      <c r="DA160" s="663"/>
      <c r="DB160" s="1601"/>
      <c r="DC160" s="1601"/>
      <c r="DD160" s="1601"/>
      <c r="DE160" s="1601"/>
      <c r="DF160" s="662"/>
      <c r="DG160" s="662"/>
      <c r="DH160" s="662"/>
      <c r="DI160" s="662"/>
      <c r="DJ160" s="662"/>
      <c r="DK160" s="662"/>
      <c r="DL160" s="662"/>
      <c r="DM160" s="662"/>
      <c r="DN160" s="662"/>
      <c r="DO160" s="662"/>
      <c r="DP160" s="662"/>
      <c r="DQ160" s="662"/>
      <c r="DR160" s="662"/>
      <c r="DS160" s="662"/>
      <c r="DT160" s="662"/>
      <c r="DU160" s="662"/>
      <c r="DV160" s="662"/>
      <c r="DW160" s="662"/>
      <c r="DX160" s="664"/>
      <c r="DY160" s="516"/>
      <c r="ED160" s="662"/>
      <c r="EE160" s="662"/>
      <c r="EF160" s="662"/>
      <c r="EG160" s="664"/>
      <c r="EH160" s="662"/>
      <c r="EI160" s="662"/>
      <c r="EJ160" s="516"/>
      <c r="EQ160" s="2637"/>
      <c r="ER160" s="2637"/>
      <c r="ES160" s="2637"/>
      <c r="ET160" s="2637"/>
      <c r="EU160" s="2637"/>
      <c r="EV160" s="2637"/>
      <c r="EW160" s="2637"/>
      <c r="EX160" s="2637"/>
      <c r="EY160" s="2637"/>
      <c r="EZ160" s="2637"/>
      <c r="FA160" s="2637"/>
      <c r="FB160" s="2637"/>
      <c r="FC160" s="2637"/>
      <c r="FD160" s="2637"/>
      <c r="FE160" s="2637"/>
      <c r="FF160" s="2637"/>
      <c r="FG160" s="2637"/>
      <c r="FH160" s="2637"/>
      <c r="FI160" s="2637"/>
      <c r="FJ160" s="2637"/>
      <c r="FK160" s="2637"/>
      <c r="FL160" s="2637"/>
      <c r="FM160" s="2637"/>
      <c r="FN160" s="2637"/>
      <c r="FO160" s="2637"/>
      <c r="FP160" s="2637"/>
      <c r="FQ160" s="2637"/>
      <c r="FR160" s="2637"/>
      <c r="FY160" s="517"/>
      <c r="FZ160" s="662"/>
      <c r="GA160" s="664"/>
      <c r="GB160" s="662"/>
      <c r="GC160" s="662"/>
      <c r="GD160" s="662"/>
      <c r="GE160" s="662"/>
      <c r="GF160" s="662"/>
      <c r="GG160" s="662"/>
      <c r="GH160" s="662"/>
      <c r="GI160" s="662"/>
      <c r="GJ160" s="662"/>
      <c r="GK160" s="662"/>
      <c r="HQ160" s="515"/>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8"/>
    </row>
    <row r="161" spans="4:254" ht="4.1500000000000004" customHeight="1">
      <c r="AD161" s="516"/>
      <c r="AF161" s="515"/>
      <c r="AG161" s="667"/>
      <c r="AH161" s="667"/>
      <c r="AI161" s="667"/>
      <c r="AJ161" s="667"/>
      <c r="AK161" s="667"/>
      <c r="AL161" s="667"/>
      <c r="AM161" s="667"/>
      <c r="AN161" s="1583"/>
      <c r="AO161" s="667"/>
      <c r="AP161" s="667"/>
      <c r="AQ161" s="667"/>
      <c r="AR161" s="667"/>
      <c r="AS161" s="667"/>
      <c r="AT161" s="514"/>
      <c r="AU161" s="514"/>
      <c r="AV161" s="514"/>
      <c r="AW161" s="518"/>
      <c r="AX161" s="519"/>
      <c r="AY161" s="521"/>
      <c r="AZ161" s="516"/>
      <c r="BG161" s="2636"/>
      <c r="BH161" s="2636"/>
      <c r="BI161" s="2636"/>
      <c r="BJ161" s="2636"/>
      <c r="BK161" s="2636"/>
      <c r="BL161" s="2636"/>
      <c r="BM161" s="2636"/>
      <c r="BN161" s="2636"/>
      <c r="BO161" s="2636"/>
      <c r="BP161" s="2636"/>
      <c r="BQ161" s="2636"/>
      <c r="BR161" s="2636"/>
      <c r="BS161" s="2636"/>
      <c r="BT161" s="2636"/>
      <c r="BU161" s="2636"/>
      <c r="BV161" s="2636"/>
      <c r="BW161" s="2636"/>
      <c r="BX161" s="2636"/>
      <c r="BY161" s="2636"/>
      <c r="BZ161" s="2636"/>
      <c r="CA161" s="2636"/>
      <c r="CB161" s="2636"/>
      <c r="CC161" s="2636"/>
      <c r="CD161" s="2636"/>
      <c r="CE161" s="2636"/>
      <c r="CF161" s="2636"/>
      <c r="CG161" s="2636"/>
      <c r="CH161" s="2636"/>
      <c r="CO161" s="517"/>
      <c r="CP161" s="519"/>
      <c r="CQ161" s="521"/>
      <c r="CR161" s="516"/>
      <c r="CW161" s="662"/>
      <c r="CX161" s="662"/>
      <c r="CY161" s="662"/>
      <c r="CZ161" s="664"/>
      <c r="DA161" s="663"/>
      <c r="DB161" s="1601"/>
      <c r="DC161" s="1601"/>
      <c r="DD161" s="1601"/>
      <c r="DE161" s="1601"/>
      <c r="DF161" s="662"/>
      <c r="DG161" s="662"/>
      <c r="DH161" s="662"/>
      <c r="DI161" s="662"/>
      <c r="DJ161" s="662"/>
      <c r="DK161" s="662"/>
      <c r="DL161" s="662"/>
      <c r="DM161" s="662"/>
      <c r="DN161" s="662"/>
      <c r="DO161" s="662"/>
      <c r="DP161" s="662"/>
      <c r="DQ161" s="662"/>
      <c r="DR161" s="662"/>
      <c r="DS161" s="662"/>
      <c r="DT161" s="662"/>
      <c r="DU161" s="662"/>
      <c r="DV161" s="662"/>
      <c r="DW161" s="662"/>
      <c r="DX161" s="664"/>
      <c r="DY161" s="516"/>
      <c r="ED161" s="662"/>
      <c r="EE161" s="662"/>
      <c r="EF161" s="662"/>
      <c r="EG161" s="664"/>
      <c r="EH161" s="519"/>
      <c r="EI161" s="521"/>
      <c r="EJ161" s="516"/>
      <c r="EQ161" s="2636">
        <v>7</v>
      </c>
      <c r="ER161" s="2636"/>
      <c r="ES161" s="2636"/>
      <c r="ET161" s="2636"/>
      <c r="EU161" s="2636"/>
      <c r="EV161" s="2636"/>
      <c r="EW161" s="2636"/>
      <c r="EX161" s="2636"/>
      <c r="EY161" s="2636"/>
      <c r="EZ161" s="2636"/>
      <c r="FA161" s="2636"/>
      <c r="FB161" s="2636"/>
      <c r="FC161" s="2636" t="s">
        <v>901</v>
      </c>
      <c r="FD161" s="2636"/>
      <c r="FE161" s="2636"/>
      <c r="FF161" s="2636"/>
      <c r="FG161" s="2636">
        <v>7</v>
      </c>
      <c r="FH161" s="2636"/>
      <c r="FI161" s="2636"/>
      <c r="FJ161" s="2636"/>
      <c r="FK161" s="2636"/>
      <c r="FL161" s="2636"/>
      <c r="FM161" s="2636"/>
      <c r="FN161" s="2636"/>
      <c r="FO161" s="2636"/>
      <c r="FP161" s="2636"/>
      <c r="FQ161" s="2636"/>
      <c r="FR161" s="2636"/>
      <c r="FY161" s="517"/>
      <c r="FZ161" s="519"/>
      <c r="GA161" s="521"/>
      <c r="GB161" s="662"/>
      <c r="GC161" s="662"/>
      <c r="GD161" s="662"/>
      <c r="GE161" s="662"/>
      <c r="GF161" s="662"/>
      <c r="GG161" s="662"/>
      <c r="GH161" s="662"/>
      <c r="GI161" s="662"/>
      <c r="GJ161" s="662"/>
      <c r="GK161" s="662"/>
      <c r="HQ161" s="516"/>
      <c r="HR161" s="2647"/>
      <c r="HS161" s="2648"/>
      <c r="HT161" s="2648"/>
      <c r="HU161" s="2648"/>
      <c r="HV161" s="2648"/>
      <c r="HW161" s="2648"/>
      <c r="HX161" s="2648"/>
      <c r="HY161" s="2648"/>
      <c r="HZ161" s="2648"/>
      <c r="IA161" s="2648"/>
      <c r="IB161" s="2648"/>
      <c r="IC161" s="514"/>
      <c r="ID161" s="514"/>
      <c r="IE161" s="514"/>
      <c r="IF161" s="514"/>
      <c r="IG161" s="514"/>
      <c r="IH161" s="514"/>
      <c r="II161" s="2617"/>
      <c r="IJ161" s="2617"/>
      <c r="IK161" s="2617"/>
      <c r="IL161" s="2617"/>
      <c r="IM161" s="2617"/>
      <c r="IN161" s="2617"/>
      <c r="IO161" s="2617"/>
      <c r="IP161" s="2617"/>
      <c r="IQ161" s="2617"/>
      <c r="IR161" s="2617"/>
      <c r="IS161" s="2618"/>
      <c r="IT161" s="517"/>
    </row>
    <row r="162" spans="4:254" ht="4.1500000000000004" customHeight="1">
      <c r="AD162" s="516"/>
      <c r="AF162" s="530"/>
      <c r="AG162" s="532"/>
      <c r="AH162" s="532"/>
      <c r="AI162" s="532"/>
      <c r="AJ162" s="532"/>
      <c r="AK162" s="532"/>
      <c r="AL162" s="532"/>
      <c r="AM162" s="532"/>
      <c r="AN162" s="531"/>
      <c r="AO162" s="532"/>
      <c r="AP162" s="532"/>
      <c r="AQ162" s="532"/>
      <c r="AR162" s="532"/>
      <c r="AS162" s="532"/>
      <c r="AT162" s="532"/>
      <c r="AU162" s="532"/>
      <c r="AV162" s="532"/>
      <c r="AW162" s="531"/>
      <c r="AX162" s="527"/>
      <c r="AY162" s="529"/>
      <c r="AZ162" s="516"/>
      <c r="CO162" s="517"/>
      <c r="CP162" s="527"/>
      <c r="CQ162" s="529"/>
      <c r="CR162" s="516"/>
      <c r="CW162" s="662"/>
      <c r="CX162" s="662"/>
      <c r="CY162" s="662"/>
      <c r="CZ162" s="664"/>
      <c r="DA162" s="663"/>
      <c r="DB162" s="1601"/>
      <c r="DC162" s="1601"/>
      <c r="DD162" s="1601"/>
      <c r="DE162" s="1601"/>
      <c r="DF162" s="662"/>
      <c r="DG162" s="662"/>
      <c r="DH162" s="662"/>
      <c r="DI162" s="662"/>
      <c r="DJ162" s="662"/>
      <c r="DK162" s="662"/>
      <c r="DL162" s="662"/>
      <c r="DM162" s="662"/>
      <c r="DN162" s="662"/>
      <c r="DO162" s="662"/>
      <c r="DP162" s="662"/>
      <c r="DQ162" s="662"/>
      <c r="DR162" s="662"/>
      <c r="DS162" s="662"/>
      <c r="DT162" s="662"/>
      <c r="DU162" s="662"/>
      <c r="DV162" s="662"/>
      <c r="DW162" s="662"/>
      <c r="DX162" s="664"/>
      <c r="DY162" s="516"/>
      <c r="ED162" s="662"/>
      <c r="EE162" s="662"/>
      <c r="EF162" s="662"/>
      <c r="EG162" s="664"/>
      <c r="EH162" s="527"/>
      <c r="EI162" s="529"/>
      <c r="EJ162" s="516"/>
      <c r="EQ162" s="2636"/>
      <c r="ER162" s="2636"/>
      <c r="ES162" s="2636"/>
      <c r="ET162" s="2636"/>
      <c r="EU162" s="2636"/>
      <c r="EV162" s="2636"/>
      <c r="EW162" s="2636"/>
      <c r="EX162" s="2636"/>
      <c r="EY162" s="2636"/>
      <c r="EZ162" s="2636"/>
      <c r="FA162" s="2636"/>
      <c r="FB162" s="2636"/>
      <c r="FC162" s="2636"/>
      <c r="FD162" s="2636"/>
      <c r="FE162" s="2636"/>
      <c r="FF162" s="2636"/>
      <c r="FG162" s="2636"/>
      <c r="FH162" s="2636"/>
      <c r="FI162" s="2636"/>
      <c r="FJ162" s="2636"/>
      <c r="FK162" s="2636"/>
      <c r="FL162" s="2636"/>
      <c r="FM162" s="2636"/>
      <c r="FN162" s="2636"/>
      <c r="FO162" s="2636"/>
      <c r="FP162" s="2636"/>
      <c r="FQ162" s="2636"/>
      <c r="FR162" s="2636"/>
      <c r="FY162" s="517"/>
      <c r="FZ162" s="527"/>
      <c r="GA162" s="529"/>
      <c r="GB162" s="662"/>
      <c r="GC162" s="662"/>
      <c r="GD162" s="662"/>
      <c r="GE162" s="662"/>
      <c r="GF162" s="662"/>
      <c r="GG162" s="662"/>
      <c r="GH162" s="662"/>
      <c r="GI162" s="662"/>
      <c r="GJ162" s="662"/>
      <c r="GK162" s="662"/>
      <c r="HQ162" s="516"/>
      <c r="HR162" s="2649"/>
      <c r="HS162" s="2644"/>
      <c r="HT162" s="2644"/>
      <c r="HU162" s="2644"/>
      <c r="HV162" s="2644"/>
      <c r="HW162" s="2644"/>
      <c r="HX162" s="2644"/>
      <c r="HY162" s="2644"/>
      <c r="HZ162" s="2644"/>
      <c r="IA162" s="2644"/>
      <c r="IB162" s="2644"/>
      <c r="II162" s="2619"/>
      <c r="IJ162" s="2619"/>
      <c r="IK162" s="2619"/>
      <c r="IL162" s="2619"/>
      <c r="IM162" s="2619"/>
      <c r="IN162" s="2619"/>
      <c r="IO162" s="2619"/>
      <c r="IP162" s="2619"/>
      <c r="IQ162" s="2619"/>
      <c r="IR162" s="2619"/>
      <c r="IS162" s="2620"/>
      <c r="IT162" s="517"/>
    </row>
    <row r="163" spans="4:254" ht="4.1500000000000004" customHeight="1">
      <c r="AD163" s="516"/>
      <c r="AF163" s="516"/>
      <c r="AW163" s="517"/>
      <c r="AX163" s="516"/>
      <c r="AZ163" s="516"/>
      <c r="CO163" s="517"/>
      <c r="CR163" s="516"/>
      <c r="CW163" s="662"/>
      <c r="CX163" s="662"/>
      <c r="CY163" s="662"/>
      <c r="CZ163" s="664"/>
      <c r="DA163" s="663"/>
      <c r="DB163" s="1601"/>
      <c r="DC163" s="1601"/>
      <c r="DD163" s="1601"/>
      <c r="DE163" s="1601"/>
      <c r="DF163" s="662"/>
      <c r="DG163" s="662"/>
      <c r="DH163" s="662"/>
      <c r="DI163" s="662"/>
      <c r="DJ163" s="662"/>
      <c r="DK163" s="662"/>
      <c r="DL163" s="662"/>
      <c r="DM163" s="662"/>
      <c r="DN163" s="662"/>
      <c r="DO163" s="662"/>
      <c r="DP163" s="662"/>
      <c r="DQ163" s="662"/>
      <c r="DR163" s="662"/>
      <c r="DS163" s="662"/>
      <c r="DT163" s="662"/>
      <c r="DU163" s="662"/>
      <c r="DV163" s="662"/>
      <c r="DW163" s="662"/>
      <c r="DX163" s="664"/>
      <c r="DY163" s="516"/>
      <c r="ED163" s="662"/>
      <c r="EE163" s="662"/>
      <c r="EF163" s="662"/>
      <c r="EG163" s="664"/>
      <c r="EH163" s="662"/>
      <c r="EI163" s="662"/>
      <c r="EJ163" s="516"/>
      <c r="EQ163" s="2636"/>
      <c r="ER163" s="2636"/>
      <c r="ES163" s="2636"/>
      <c r="ET163" s="2636"/>
      <c r="EU163" s="2636"/>
      <c r="EV163" s="2636"/>
      <c r="EW163" s="2636"/>
      <c r="EX163" s="2636"/>
      <c r="EY163" s="2636"/>
      <c r="EZ163" s="2636"/>
      <c r="FA163" s="2636"/>
      <c r="FB163" s="2636"/>
      <c r="FC163" s="2636"/>
      <c r="FD163" s="2636"/>
      <c r="FE163" s="2636"/>
      <c r="FF163" s="2636"/>
      <c r="FG163" s="2636"/>
      <c r="FH163" s="2636"/>
      <c r="FI163" s="2636"/>
      <c r="FJ163" s="2636"/>
      <c r="FK163" s="2636"/>
      <c r="FL163" s="2636"/>
      <c r="FM163" s="2636"/>
      <c r="FN163" s="2636"/>
      <c r="FO163" s="2636"/>
      <c r="FP163" s="2636"/>
      <c r="FQ163" s="2636"/>
      <c r="FR163" s="2636"/>
      <c r="FY163" s="517"/>
      <c r="FZ163" s="662"/>
      <c r="GA163" s="664"/>
      <c r="GB163" s="662"/>
      <c r="GC163" s="662"/>
      <c r="GD163" s="662"/>
      <c r="GE163" s="662"/>
      <c r="GF163" s="662"/>
      <c r="GG163" s="662"/>
      <c r="GH163" s="662"/>
      <c r="GI163" s="662"/>
      <c r="GJ163" s="662"/>
      <c r="GK163" s="662"/>
      <c r="HQ163" s="516"/>
      <c r="HR163" s="2649"/>
      <c r="HS163" s="2644"/>
      <c r="HT163" s="2644"/>
      <c r="HU163" s="2644"/>
      <c r="HV163" s="2644"/>
      <c r="HW163" s="2644"/>
      <c r="HX163" s="2644"/>
      <c r="HY163" s="2644"/>
      <c r="HZ163" s="2644"/>
      <c r="IA163" s="2644"/>
      <c r="IB163" s="2644"/>
      <c r="II163" s="2619"/>
      <c r="IJ163" s="2619"/>
      <c r="IK163" s="2619"/>
      <c r="IL163" s="2619"/>
      <c r="IM163" s="2619"/>
      <c r="IN163" s="2619"/>
      <c r="IO163" s="2619"/>
      <c r="IP163" s="2619"/>
      <c r="IQ163" s="2619"/>
      <c r="IR163" s="2619"/>
      <c r="IS163" s="2620"/>
      <c r="IT163" s="517"/>
    </row>
    <row r="164" spans="4:254" ht="4.1500000000000004" customHeight="1">
      <c r="D164" s="1601"/>
      <c r="E164" s="1601"/>
      <c r="F164" s="1601"/>
      <c r="G164" s="1601"/>
      <c r="AD164" s="516"/>
      <c r="AF164" s="516"/>
      <c r="AW164" s="517"/>
      <c r="AX164" s="516"/>
      <c r="AZ164" s="516"/>
      <c r="CO164" s="517"/>
      <c r="CR164" s="516"/>
      <c r="CW164" s="662"/>
      <c r="CX164" s="662"/>
      <c r="CY164" s="662"/>
      <c r="CZ164" s="664"/>
      <c r="DA164" s="663"/>
      <c r="DF164" s="662"/>
      <c r="DG164" s="662"/>
      <c r="DH164" s="662"/>
      <c r="DI164" s="662"/>
      <c r="DJ164" s="662"/>
      <c r="DK164" s="662"/>
      <c r="DL164" s="662"/>
      <c r="DM164" s="662"/>
      <c r="DN164" s="662"/>
      <c r="DO164" s="662"/>
      <c r="DP164" s="662"/>
      <c r="DQ164" s="662"/>
      <c r="DR164" s="662"/>
      <c r="DS164" s="662"/>
      <c r="DT164" s="662"/>
      <c r="DU164" s="662"/>
      <c r="DV164" s="662"/>
      <c r="DW164" s="662"/>
      <c r="DX164" s="664"/>
      <c r="DY164" s="516"/>
      <c r="ED164" s="662"/>
      <c r="EE164" s="662"/>
      <c r="EF164" s="662"/>
      <c r="EG164" s="664"/>
      <c r="EH164" s="662"/>
      <c r="EI164" s="662"/>
      <c r="EJ164" s="516"/>
      <c r="EQ164" s="2636"/>
      <c r="ER164" s="2636"/>
      <c r="ES164" s="2636"/>
      <c r="ET164" s="2636"/>
      <c r="EU164" s="2636"/>
      <c r="EV164" s="2636"/>
      <c r="EW164" s="2636"/>
      <c r="EX164" s="2636"/>
      <c r="EY164" s="2636"/>
      <c r="EZ164" s="2636"/>
      <c r="FA164" s="2636"/>
      <c r="FB164" s="2636"/>
      <c r="FC164" s="2636"/>
      <c r="FD164" s="2636"/>
      <c r="FE164" s="2636"/>
      <c r="FF164" s="2636"/>
      <c r="FG164" s="2636"/>
      <c r="FH164" s="2636"/>
      <c r="FI164" s="2636"/>
      <c r="FJ164" s="2636"/>
      <c r="FK164" s="2636"/>
      <c r="FL164" s="2636"/>
      <c r="FM164" s="2636"/>
      <c r="FN164" s="2636"/>
      <c r="FO164" s="2636"/>
      <c r="FP164" s="2636"/>
      <c r="FQ164" s="2636"/>
      <c r="FR164" s="2636"/>
      <c r="FY164" s="517"/>
      <c r="FZ164" s="662"/>
      <c r="GA164" s="664"/>
      <c r="GB164" s="662"/>
      <c r="GC164" s="662"/>
      <c r="GD164" s="662"/>
      <c r="GE164" s="662"/>
      <c r="GF164" s="662"/>
      <c r="GG164" s="662"/>
      <c r="GH164" s="662"/>
      <c r="GI164" s="662"/>
      <c r="GJ164" s="662"/>
      <c r="GK164" s="662"/>
      <c r="HQ164" s="516"/>
      <c r="HR164" s="2649"/>
      <c r="HS164" s="2644"/>
      <c r="HT164" s="2644"/>
      <c r="HU164" s="2644"/>
      <c r="HV164" s="2644"/>
      <c r="HW164" s="2644"/>
      <c r="HX164" s="2644"/>
      <c r="HY164" s="2644"/>
      <c r="HZ164" s="2644"/>
      <c r="IA164" s="2644"/>
      <c r="IB164" s="2644"/>
      <c r="II164" s="2619"/>
      <c r="IJ164" s="2619"/>
      <c r="IK164" s="2619"/>
      <c r="IL164" s="2619"/>
      <c r="IM164" s="2619"/>
      <c r="IN164" s="2619"/>
      <c r="IO164" s="2619"/>
      <c r="IP164" s="2619"/>
      <c r="IQ164" s="2619"/>
      <c r="IR164" s="2619"/>
      <c r="IS164" s="2620"/>
      <c r="IT164" s="517"/>
    </row>
    <row r="165" spans="4:254" ht="4.1500000000000004" customHeight="1">
      <c r="D165" s="1601"/>
      <c r="E165" s="1601"/>
      <c r="F165" s="1601"/>
      <c r="G165" s="1601"/>
      <c r="AD165" s="516"/>
      <c r="AF165" s="516"/>
      <c r="AW165" s="517"/>
      <c r="AX165" s="516"/>
      <c r="AZ165" s="516"/>
      <c r="CO165" s="517"/>
      <c r="CR165" s="516"/>
      <c r="CW165" s="662"/>
      <c r="CX165" s="662"/>
      <c r="CY165" s="662"/>
      <c r="CZ165" s="664"/>
      <c r="DA165" s="519"/>
      <c r="DB165" s="521"/>
      <c r="DF165" s="662"/>
      <c r="DG165" s="662"/>
      <c r="DH165" s="662"/>
      <c r="DI165" s="662"/>
      <c r="DJ165" s="662"/>
      <c r="DK165" s="662"/>
      <c r="DL165" s="662"/>
      <c r="DM165" s="662"/>
      <c r="DN165" s="662"/>
      <c r="DO165" s="662"/>
      <c r="DP165" s="662"/>
      <c r="DQ165" s="662"/>
      <c r="DR165" s="662"/>
      <c r="DS165" s="662"/>
      <c r="DT165" s="662"/>
      <c r="DU165" s="662"/>
      <c r="DV165" s="662"/>
      <c r="DW165" s="519"/>
      <c r="DX165" s="521"/>
      <c r="DY165" s="516"/>
      <c r="ED165" s="662"/>
      <c r="EE165" s="662"/>
      <c r="EF165" s="662"/>
      <c r="EG165" s="664"/>
      <c r="EH165" s="662"/>
      <c r="EI165" s="662"/>
      <c r="EJ165" s="516"/>
      <c r="FY165" s="517"/>
      <c r="FZ165" s="662"/>
      <c r="GA165" s="664"/>
      <c r="GB165" s="662"/>
      <c r="GC165" s="662"/>
      <c r="GD165" s="662"/>
      <c r="GE165" s="662"/>
      <c r="GF165" s="662"/>
      <c r="GG165" s="662"/>
      <c r="GH165" s="662"/>
      <c r="GI165" s="662"/>
      <c r="GJ165" s="662"/>
      <c r="GK165" s="662"/>
      <c r="HQ165" s="516"/>
      <c r="HR165" s="2649"/>
      <c r="HS165" s="2644"/>
      <c r="HT165" s="2644"/>
      <c r="HU165" s="2644"/>
      <c r="HV165" s="2644"/>
      <c r="HW165" s="2644"/>
      <c r="HX165" s="2644"/>
      <c r="HY165" s="2644"/>
      <c r="HZ165" s="2644"/>
      <c r="IA165" s="2644"/>
      <c r="IB165" s="2644"/>
      <c r="II165" s="2619"/>
      <c r="IJ165" s="2619"/>
      <c r="IK165" s="2619"/>
      <c r="IL165" s="2619"/>
      <c r="IM165" s="2619"/>
      <c r="IN165" s="2619"/>
      <c r="IO165" s="2619"/>
      <c r="IP165" s="2619"/>
      <c r="IQ165" s="2619"/>
      <c r="IR165" s="2619"/>
      <c r="IS165" s="2620"/>
      <c r="IT165" s="517"/>
    </row>
    <row r="166" spans="4:254" ht="4.1500000000000004" customHeight="1">
      <c r="D166" s="1601"/>
      <c r="E166" s="1601"/>
      <c r="F166" s="1601"/>
      <c r="G166" s="1601"/>
      <c r="AD166" s="516"/>
      <c r="AF166" s="516"/>
      <c r="AW166" s="517"/>
      <c r="AX166" s="516"/>
      <c r="AZ166" s="516"/>
      <c r="CO166" s="517"/>
      <c r="CR166" s="516"/>
      <c r="CW166" s="662"/>
      <c r="CX166" s="662"/>
      <c r="CY166" s="662"/>
      <c r="CZ166" s="664"/>
      <c r="DA166" s="522"/>
      <c r="DB166" s="524"/>
      <c r="DF166" s="662"/>
      <c r="DG166" s="662"/>
      <c r="DH166" s="662"/>
      <c r="DI166" s="662"/>
      <c r="DJ166" s="662"/>
      <c r="DK166" s="662"/>
      <c r="DL166" s="662"/>
      <c r="DM166" s="662"/>
      <c r="DN166" s="662"/>
      <c r="DO166" s="662"/>
      <c r="DP166" s="662"/>
      <c r="DQ166" s="662"/>
      <c r="DR166" s="662"/>
      <c r="DS166" s="662"/>
      <c r="DT166" s="662"/>
      <c r="DU166" s="662"/>
      <c r="DV166" s="662"/>
      <c r="DW166" s="522"/>
      <c r="DX166" s="524"/>
      <c r="DY166" s="516"/>
      <c r="ED166" s="662"/>
      <c r="EE166" s="662"/>
      <c r="EF166" s="662"/>
      <c r="EG166" s="664"/>
      <c r="EH166" s="662"/>
      <c r="EI166" s="662"/>
      <c r="EJ166" s="516"/>
      <c r="FY166" s="517"/>
      <c r="FZ166" s="662"/>
      <c r="GA166" s="664"/>
      <c r="GB166" s="662"/>
      <c r="GC166" s="662"/>
      <c r="GD166" s="662"/>
      <c r="GE166" s="662"/>
      <c r="GF166" s="662"/>
      <c r="GG166" s="662"/>
      <c r="GH166" s="662"/>
      <c r="GI166" s="662"/>
      <c r="GJ166" s="662"/>
      <c r="GK166" s="662"/>
      <c r="HQ166" s="516"/>
      <c r="HR166" s="2649"/>
      <c r="HS166" s="2644"/>
      <c r="HT166" s="2644"/>
      <c r="HU166" s="2644"/>
      <c r="HV166" s="2644"/>
      <c r="HW166" s="2644"/>
      <c r="HX166" s="2644"/>
      <c r="HY166" s="2644"/>
      <c r="HZ166" s="2644"/>
      <c r="IA166" s="2644"/>
      <c r="IB166" s="2644"/>
      <c r="II166" s="2619"/>
      <c r="IJ166" s="2619"/>
      <c r="IK166" s="2619"/>
      <c r="IL166" s="2619"/>
      <c r="IM166" s="2619"/>
      <c r="IN166" s="2619"/>
      <c r="IO166" s="2619"/>
      <c r="IP166" s="2619"/>
      <c r="IQ166" s="2619"/>
      <c r="IR166" s="2619"/>
      <c r="IS166" s="2620"/>
      <c r="IT166" s="517"/>
    </row>
    <row r="167" spans="4:254" ht="4.1500000000000004" customHeight="1">
      <c r="D167" s="1601"/>
      <c r="E167" s="1601"/>
      <c r="F167" s="1601"/>
      <c r="G167" s="1601"/>
      <c r="AD167" s="516"/>
      <c r="AF167" s="516"/>
      <c r="AW167" s="517"/>
      <c r="AX167" s="516"/>
      <c r="AZ167" s="516"/>
      <c r="CO167" s="517"/>
      <c r="CR167" s="516"/>
      <c r="CW167" s="662"/>
      <c r="CX167" s="662"/>
      <c r="CY167" s="662"/>
      <c r="CZ167" s="664"/>
      <c r="DA167" s="527"/>
      <c r="DB167" s="529"/>
      <c r="DC167" s="532"/>
      <c r="DD167" s="532"/>
      <c r="DE167" s="532"/>
      <c r="DF167" s="665"/>
      <c r="DG167" s="665"/>
      <c r="DH167" s="665"/>
      <c r="DI167" s="665"/>
      <c r="DJ167" s="665"/>
      <c r="DK167" s="665"/>
      <c r="DL167" s="665"/>
      <c r="DM167" s="665"/>
      <c r="DN167" s="665"/>
      <c r="DO167" s="665"/>
      <c r="DP167" s="665"/>
      <c r="DQ167" s="665"/>
      <c r="DR167" s="665"/>
      <c r="DS167" s="665"/>
      <c r="DT167" s="665"/>
      <c r="DU167" s="665"/>
      <c r="DV167" s="665"/>
      <c r="DW167" s="527"/>
      <c r="DX167" s="529"/>
      <c r="DY167" s="516"/>
      <c r="ED167" s="662"/>
      <c r="EE167" s="662"/>
      <c r="EF167" s="662"/>
      <c r="EG167" s="664"/>
      <c r="EH167" s="662"/>
      <c r="EI167" s="662"/>
      <c r="EJ167" s="516"/>
      <c r="FY167" s="517"/>
      <c r="FZ167" s="662"/>
      <c r="GA167" s="664"/>
      <c r="GB167" s="1559"/>
      <c r="GC167" s="537"/>
      <c r="GD167" s="538"/>
      <c r="GE167" s="662"/>
      <c r="GF167" s="662"/>
      <c r="GG167" s="662"/>
      <c r="GH167" s="662"/>
      <c r="GI167" s="662"/>
      <c r="GJ167" s="662"/>
      <c r="GK167" s="662"/>
      <c r="HQ167" s="516"/>
      <c r="HR167" s="2649"/>
      <c r="HS167" s="2644"/>
      <c r="HT167" s="2644"/>
      <c r="HU167" s="2644"/>
      <c r="HV167" s="2644"/>
      <c r="HW167" s="2644"/>
      <c r="HX167" s="2644"/>
      <c r="HY167" s="2644"/>
      <c r="HZ167" s="2644"/>
      <c r="IA167" s="2644"/>
      <c r="IB167" s="2644"/>
      <c r="II167" s="2619"/>
      <c r="IJ167" s="2619"/>
      <c r="IK167" s="2619"/>
      <c r="IL167" s="2619"/>
      <c r="IM167" s="2619"/>
      <c r="IN167" s="2619"/>
      <c r="IO167" s="2619"/>
      <c r="IP167" s="2619"/>
      <c r="IQ167" s="2619"/>
      <c r="IR167" s="2619"/>
      <c r="IS167" s="2620"/>
      <c r="IT167" s="517"/>
    </row>
    <row r="168" spans="4:254" ht="4.1500000000000004" customHeight="1">
      <c r="D168" s="1601"/>
      <c r="E168" s="1601"/>
      <c r="F168" s="1601"/>
      <c r="G168" s="1601"/>
      <c r="AD168" s="516"/>
      <c r="AF168" s="516"/>
      <c r="AW168" s="517"/>
      <c r="AX168" s="516"/>
      <c r="AZ168" s="516"/>
      <c r="CP168" s="514"/>
      <c r="CQ168" s="514"/>
      <c r="CW168" s="662"/>
      <c r="CX168" s="662"/>
      <c r="CY168" s="662"/>
      <c r="CZ168" s="662"/>
      <c r="DA168" s="667"/>
      <c r="DB168" s="514"/>
      <c r="DC168" s="514"/>
      <c r="DD168" s="514"/>
      <c r="DE168" s="514"/>
      <c r="DF168" s="667"/>
      <c r="DG168" s="667"/>
      <c r="DH168" s="667"/>
      <c r="DI168" s="667"/>
      <c r="DJ168" s="667"/>
      <c r="DK168" s="667"/>
      <c r="DL168" s="667"/>
      <c r="DM168" s="667"/>
      <c r="DN168" s="667"/>
      <c r="DO168" s="667"/>
      <c r="DP168" s="667"/>
      <c r="DQ168" s="667"/>
      <c r="DR168" s="667"/>
      <c r="DS168" s="667"/>
      <c r="DT168" s="667"/>
      <c r="DU168" s="667"/>
      <c r="DV168" s="667"/>
      <c r="DW168" s="667"/>
      <c r="DX168" s="667"/>
      <c r="ED168" s="662"/>
      <c r="EE168" s="662"/>
      <c r="EF168" s="662"/>
      <c r="EG168" s="662"/>
      <c r="EH168" s="667"/>
      <c r="EI168" s="667"/>
      <c r="FY168" s="517"/>
      <c r="FZ168" s="515"/>
      <c r="GA168" s="1613"/>
      <c r="GB168" s="516"/>
      <c r="GD168" s="540"/>
      <c r="GE168" s="662"/>
      <c r="GF168" s="662"/>
      <c r="GG168" s="662"/>
      <c r="GH168" s="662"/>
      <c r="GI168" s="662"/>
      <c r="GJ168" s="662"/>
      <c r="GK168" s="662"/>
      <c r="HQ168" s="516"/>
      <c r="HR168" s="2649"/>
      <c r="HS168" s="2644"/>
      <c r="HT168" s="2644"/>
      <c r="HU168" s="2644"/>
      <c r="HV168" s="2644"/>
      <c r="HW168" s="2644"/>
      <c r="HX168" s="2644"/>
      <c r="HY168" s="2644"/>
      <c r="HZ168" s="2644"/>
      <c r="IA168" s="2644"/>
      <c r="IB168" s="2644"/>
      <c r="II168" s="2619"/>
      <c r="IJ168" s="2619"/>
      <c r="IK168" s="2619"/>
      <c r="IL168" s="2619"/>
      <c r="IM168" s="2619"/>
      <c r="IN168" s="2619"/>
      <c r="IO168" s="2619"/>
      <c r="IP168" s="2619"/>
      <c r="IQ168" s="2619"/>
      <c r="IR168" s="2619"/>
      <c r="IS168" s="2620"/>
      <c r="IT168" s="517"/>
    </row>
    <row r="169" spans="4:254" ht="4.1500000000000004" customHeight="1">
      <c r="D169" s="1601"/>
      <c r="E169" s="1601"/>
      <c r="F169" s="1601"/>
      <c r="G169" s="1601"/>
      <c r="AD169" s="519"/>
      <c r="AE169" s="521"/>
      <c r="AF169" s="530"/>
      <c r="AG169" s="532"/>
      <c r="AH169" s="532"/>
      <c r="AI169" s="532"/>
      <c r="AJ169" s="532"/>
      <c r="AK169" s="532"/>
      <c r="AL169" s="532"/>
      <c r="AM169" s="532"/>
      <c r="AN169" s="532"/>
      <c r="AO169" s="532"/>
      <c r="AP169" s="532"/>
      <c r="AQ169" s="532"/>
      <c r="AR169" s="532"/>
      <c r="AS169" s="532"/>
      <c r="AT169" s="532"/>
      <c r="AU169" s="532"/>
      <c r="AV169" s="532"/>
      <c r="AW169" s="531"/>
      <c r="AX169" s="516"/>
      <c r="AZ169" s="516"/>
      <c r="CY169" s="662"/>
      <c r="CZ169" s="662"/>
      <c r="DA169" s="662"/>
      <c r="DF169" s="662"/>
      <c r="DG169" s="662"/>
      <c r="DH169" s="662"/>
      <c r="DI169" s="662"/>
      <c r="DJ169" s="662"/>
      <c r="DK169" s="662"/>
      <c r="DL169" s="662"/>
      <c r="DM169" s="662"/>
      <c r="DN169" s="662"/>
      <c r="DO169" s="662"/>
      <c r="DP169" s="662"/>
      <c r="DQ169" s="662"/>
      <c r="DR169" s="662"/>
      <c r="DS169" s="662"/>
      <c r="DT169" s="662"/>
      <c r="DU169" s="662"/>
      <c r="DV169" s="662"/>
      <c r="DW169" s="662"/>
      <c r="DX169" s="662"/>
      <c r="EF169" s="662"/>
      <c r="EG169" s="662"/>
      <c r="EH169" s="662"/>
      <c r="EI169" s="662"/>
      <c r="FY169" s="517"/>
      <c r="FZ169" s="516"/>
      <c r="GA169" s="1612"/>
      <c r="GB169" s="516"/>
      <c r="GD169" s="540"/>
      <c r="GE169" s="662"/>
      <c r="GF169" s="662"/>
      <c r="GG169" s="662"/>
      <c r="GH169" s="662"/>
      <c r="GI169" s="662"/>
      <c r="GJ169" s="662"/>
      <c r="GK169" s="662"/>
      <c r="HQ169" s="516"/>
      <c r="HR169" s="2649"/>
      <c r="HS169" s="2644"/>
      <c r="HT169" s="2644"/>
      <c r="HU169" s="2644"/>
      <c r="HV169" s="2644"/>
      <c r="HW169" s="2644"/>
      <c r="HX169" s="2644"/>
      <c r="HY169" s="2644"/>
      <c r="HZ169" s="2644"/>
      <c r="IA169" s="2644"/>
      <c r="IB169" s="2644"/>
      <c r="II169" s="2619"/>
      <c r="IJ169" s="2619"/>
      <c r="IK169" s="2619"/>
      <c r="IL169" s="2619"/>
      <c r="IM169" s="2619"/>
      <c r="IN169" s="2619"/>
      <c r="IO169" s="2619"/>
      <c r="IP169" s="2619"/>
      <c r="IQ169" s="2619"/>
      <c r="IR169" s="2619"/>
      <c r="IS169" s="2620"/>
      <c r="IT169" s="517"/>
    </row>
    <row r="170" spans="4:254" ht="4.1500000000000004" customHeight="1" thickBot="1">
      <c r="D170" s="1601"/>
      <c r="E170" s="1601"/>
      <c r="F170" s="1601"/>
      <c r="G170" s="1601"/>
      <c r="AD170" s="522"/>
      <c r="AE170" s="524"/>
      <c r="AK170" s="543"/>
      <c r="AL170" s="544"/>
      <c r="AM170" s="544"/>
      <c r="AN170" s="544"/>
      <c r="AO170" s="544"/>
      <c r="AP170" s="544"/>
      <c r="AQ170" s="544"/>
      <c r="AR170" s="545"/>
      <c r="AZ170" s="516"/>
      <c r="CY170" s="662"/>
      <c r="CZ170" s="662"/>
      <c r="DA170" s="662"/>
      <c r="DF170" s="662"/>
      <c r="DG170" s="662"/>
      <c r="DH170" s="662"/>
      <c r="DI170" s="662"/>
      <c r="DJ170" s="662"/>
      <c r="DK170" s="662"/>
      <c r="DL170" s="662"/>
      <c r="DM170" s="662"/>
      <c r="DN170" s="662"/>
      <c r="DO170" s="662"/>
      <c r="DP170" s="662"/>
      <c r="DQ170" s="662"/>
      <c r="DR170" s="662"/>
      <c r="DS170" s="662"/>
      <c r="DT170" s="662"/>
      <c r="DU170" s="662"/>
      <c r="DV170" s="662"/>
      <c r="DW170" s="662"/>
      <c r="DX170" s="662"/>
      <c r="EF170" s="662"/>
      <c r="EG170" s="662"/>
      <c r="EH170" s="662"/>
      <c r="EI170" s="662"/>
      <c r="FY170" s="517"/>
      <c r="FZ170" s="516"/>
      <c r="GA170" s="1612"/>
      <c r="GB170" s="516"/>
      <c r="GD170" s="540"/>
      <c r="GE170" s="662"/>
      <c r="GF170" s="662"/>
      <c r="GG170" s="662"/>
      <c r="GH170" s="662"/>
      <c r="GI170" s="662"/>
      <c r="GJ170" s="662"/>
      <c r="GK170" s="662"/>
      <c r="HQ170" s="516"/>
      <c r="HR170" s="2649"/>
      <c r="HS170" s="2644"/>
      <c r="HT170" s="2644"/>
      <c r="HU170" s="2644"/>
      <c r="HV170" s="2644"/>
      <c r="HW170" s="2644"/>
      <c r="HX170" s="2644"/>
      <c r="HY170" s="2644"/>
      <c r="HZ170" s="2644"/>
      <c r="IA170" s="2644"/>
      <c r="IB170" s="2644"/>
      <c r="II170" s="2619"/>
      <c r="IJ170" s="2619"/>
      <c r="IK170" s="2619"/>
      <c r="IL170" s="2619"/>
      <c r="IM170" s="2619"/>
      <c r="IN170" s="2619"/>
      <c r="IO170" s="2619"/>
      <c r="IP170" s="2619"/>
      <c r="IQ170" s="2619"/>
      <c r="IR170" s="2619"/>
      <c r="IS170" s="2620"/>
      <c r="IT170" s="517"/>
    </row>
    <row r="171" spans="4:254" ht="4.1500000000000004" customHeight="1" thickTop="1">
      <c r="D171" s="1601"/>
      <c r="E171" s="1601"/>
      <c r="F171" s="1601"/>
      <c r="G171" s="1601"/>
      <c r="AD171" s="527"/>
      <c r="AE171" s="529"/>
      <c r="AF171" s="532"/>
      <c r="AG171" s="532"/>
      <c r="AH171" s="532"/>
      <c r="AI171" s="532"/>
      <c r="AJ171" s="532"/>
      <c r="AK171" s="530"/>
      <c r="AL171" s="532"/>
      <c r="AM171" s="532"/>
      <c r="AN171" s="532"/>
      <c r="AO171" s="532"/>
      <c r="AP171" s="532"/>
      <c r="AQ171" s="532"/>
      <c r="AR171" s="531"/>
      <c r="AS171" s="532"/>
      <c r="AT171" s="532"/>
      <c r="AU171" s="532"/>
      <c r="AV171" s="532"/>
      <c r="AW171" s="532"/>
      <c r="AZ171" s="516"/>
      <c r="CW171" s="662"/>
      <c r="CX171" s="662"/>
      <c r="CY171" s="662"/>
      <c r="CZ171" s="662"/>
      <c r="DA171" s="662"/>
      <c r="DF171" s="662"/>
      <c r="DG171" s="662"/>
      <c r="DH171" s="662"/>
      <c r="DI171" s="662"/>
      <c r="DJ171" s="662"/>
      <c r="DK171" s="662"/>
      <c r="DL171" s="662"/>
      <c r="DM171" s="662"/>
      <c r="DN171" s="662"/>
      <c r="DO171" s="662"/>
      <c r="DP171" s="662"/>
      <c r="DQ171" s="662"/>
      <c r="DR171" s="662"/>
      <c r="DS171" s="662"/>
      <c r="DT171" s="662"/>
      <c r="DU171" s="662"/>
      <c r="DV171" s="662"/>
      <c r="DW171" s="662"/>
      <c r="DX171" s="662"/>
      <c r="ED171" s="662"/>
      <c r="EE171" s="662"/>
      <c r="EF171" s="662"/>
      <c r="EG171" s="662"/>
      <c r="EH171" s="662"/>
      <c r="EI171" s="662"/>
      <c r="FY171" s="517"/>
      <c r="FZ171" s="516"/>
      <c r="GA171" s="1612"/>
      <c r="GB171" s="516"/>
      <c r="GD171" s="540"/>
      <c r="GE171" s="662"/>
      <c r="GF171" s="662"/>
      <c r="GG171" s="662"/>
      <c r="GH171" s="662"/>
      <c r="GI171" s="662"/>
      <c r="GJ171" s="662"/>
      <c r="GK171" s="662"/>
      <c r="HQ171" s="516"/>
      <c r="HR171" s="2649"/>
      <c r="HS171" s="2644"/>
      <c r="HT171" s="2644"/>
      <c r="HU171" s="2644"/>
      <c r="HV171" s="2644"/>
      <c r="HW171" s="2644"/>
      <c r="HX171" s="2644"/>
      <c r="HY171" s="2644"/>
      <c r="HZ171" s="2644"/>
      <c r="IA171" s="2644"/>
      <c r="IB171" s="2644"/>
      <c r="IC171" s="532"/>
      <c r="ID171" s="532"/>
      <c r="IE171" s="532"/>
      <c r="IF171" s="532"/>
      <c r="IG171" s="532"/>
      <c r="IH171" s="532"/>
      <c r="II171" s="2619"/>
      <c r="IJ171" s="2619"/>
      <c r="IK171" s="2619"/>
      <c r="IL171" s="2619"/>
      <c r="IM171" s="2619"/>
      <c r="IN171" s="2619"/>
      <c r="IO171" s="2619"/>
      <c r="IP171" s="2619"/>
      <c r="IQ171" s="2619"/>
      <c r="IR171" s="2619"/>
      <c r="IS171" s="2620"/>
      <c r="IT171" s="517"/>
    </row>
    <row r="172" spans="4:254" ht="4.1500000000000004" customHeight="1">
      <c r="D172" s="1601"/>
      <c r="E172" s="1601"/>
      <c r="F172" s="1601"/>
      <c r="G172" s="1601"/>
      <c r="AD172" s="514"/>
      <c r="AE172" s="514"/>
      <c r="AF172" s="514"/>
      <c r="AG172" s="514"/>
      <c r="AH172" s="514"/>
      <c r="AI172" s="514"/>
      <c r="AJ172" s="1563"/>
      <c r="AK172" s="514"/>
      <c r="AL172" s="514"/>
      <c r="AM172" s="514"/>
      <c r="AN172" s="514"/>
      <c r="AO172" s="514"/>
      <c r="AP172" s="514"/>
      <c r="AQ172" s="514"/>
      <c r="AR172" s="514"/>
      <c r="AS172" s="1564"/>
      <c r="AT172" s="514"/>
      <c r="AU172" s="514"/>
      <c r="AV172" s="514"/>
      <c r="AW172" s="518"/>
      <c r="AX172" s="516"/>
      <c r="AZ172" s="516"/>
      <c r="CW172" s="662"/>
      <c r="CX172" s="662"/>
      <c r="CY172" s="662"/>
      <c r="CZ172" s="662"/>
      <c r="DA172" s="662"/>
      <c r="DF172" s="662"/>
      <c r="DG172" s="662"/>
      <c r="DH172" s="662"/>
      <c r="DI172" s="662"/>
      <c r="DJ172" s="662"/>
      <c r="DK172" s="662"/>
      <c r="DL172" s="662"/>
      <c r="DM172" s="662"/>
      <c r="DN172" s="662"/>
      <c r="DO172" s="662"/>
      <c r="DP172" s="662"/>
      <c r="DQ172" s="662"/>
      <c r="DR172" s="662"/>
      <c r="DS172" s="662"/>
      <c r="DT172" s="662"/>
      <c r="DU172" s="662"/>
      <c r="DV172" s="662"/>
      <c r="DW172" s="662"/>
      <c r="DX172" s="662"/>
      <c r="ED172" s="662"/>
      <c r="EE172" s="662"/>
      <c r="EF172" s="662"/>
      <c r="EG172" s="662"/>
      <c r="EH172" s="662"/>
      <c r="EI172" s="662"/>
      <c r="FY172" s="517"/>
      <c r="FZ172" s="516"/>
      <c r="GA172" s="1612"/>
      <c r="GB172" s="516"/>
      <c r="GD172" s="540"/>
      <c r="GE172" s="662"/>
      <c r="GF172" s="662"/>
      <c r="GG172" s="662"/>
      <c r="GH172" s="662"/>
      <c r="GI172" s="662"/>
      <c r="GJ172" s="662"/>
      <c r="GK172" s="662"/>
      <c r="HQ172" s="516"/>
      <c r="HR172" s="516"/>
      <c r="IB172" s="517"/>
      <c r="II172" s="516"/>
      <c r="IS172" s="517"/>
      <c r="IT172" s="517"/>
    </row>
    <row r="173" spans="4:254" ht="4.1500000000000004" customHeight="1">
      <c r="D173" s="1601"/>
      <c r="E173" s="1601"/>
      <c r="F173" s="1601"/>
      <c r="G173" s="1601"/>
      <c r="AJ173" s="539"/>
      <c r="AS173" s="540"/>
      <c r="AX173" s="516"/>
      <c r="AZ173" s="516"/>
      <c r="CW173" s="662"/>
      <c r="CX173" s="662"/>
      <c r="CY173" s="662"/>
      <c r="CZ173" s="662"/>
      <c r="DA173" s="662"/>
      <c r="DF173" s="662"/>
      <c r="DG173" s="662"/>
      <c r="DH173" s="662"/>
      <c r="DI173" s="662"/>
      <c r="DJ173" s="662"/>
      <c r="DK173" s="662"/>
      <c r="DL173" s="662"/>
      <c r="DM173" s="662"/>
      <c r="DN173" s="662"/>
      <c r="DO173" s="662"/>
      <c r="DP173" s="662"/>
      <c r="DQ173" s="662"/>
      <c r="DR173" s="662"/>
      <c r="DS173" s="662"/>
      <c r="DT173" s="662"/>
      <c r="DU173" s="662"/>
      <c r="DV173" s="662"/>
      <c r="DW173" s="662"/>
      <c r="DX173" s="662"/>
      <c r="ED173" s="662"/>
      <c r="EE173" s="662"/>
      <c r="EF173" s="662"/>
      <c r="EG173" s="662"/>
      <c r="EH173" s="662"/>
      <c r="EI173" s="662"/>
      <c r="FY173" s="517"/>
      <c r="FZ173" s="663"/>
      <c r="GA173" s="1586"/>
      <c r="GB173" s="516"/>
      <c r="GD173" s="540"/>
      <c r="GE173" s="662"/>
      <c r="GF173" s="662"/>
      <c r="GG173" s="662"/>
      <c r="GH173" s="662"/>
      <c r="GI173" s="662"/>
      <c r="GJ173" s="662"/>
      <c r="GK173" s="662"/>
      <c r="HQ173" s="516"/>
      <c r="HR173" s="516"/>
      <c r="IB173" s="517"/>
      <c r="ID173" s="515"/>
      <c r="IE173" s="514"/>
      <c r="IF173" s="514"/>
      <c r="IG173" s="518"/>
      <c r="II173" s="516"/>
      <c r="IS173" s="517"/>
      <c r="IT173" s="517"/>
    </row>
    <row r="174" spans="4:254" ht="4.1500000000000004" customHeight="1">
      <c r="AJ174" s="559"/>
      <c r="AK174" s="557"/>
      <c r="AL174" s="557"/>
      <c r="AM174" s="557"/>
      <c r="AN174" s="557"/>
      <c r="AO174" s="557"/>
      <c r="AP174" s="557"/>
      <c r="AQ174" s="557"/>
      <c r="AR174" s="557"/>
      <c r="AS174" s="560"/>
      <c r="AX174" s="516"/>
      <c r="AZ174" s="516"/>
      <c r="CW174" s="662"/>
      <c r="CX174" s="662"/>
      <c r="CY174" s="662"/>
      <c r="CZ174" s="662"/>
      <c r="DA174" s="662"/>
      <c r="DB174" s="662"/>
      <c r="DC174" s="662"/>
      <c r="DD174" s="662"/>
      <c r="DE174" s="662"/>
      <c r="DF174" s="662"/>
      <c r="DG174" s="662"/>
      <c r="DH174" s="662"/>
      <c r="DI174" s="1601"/>
      <c r="DJ174" s="1601"/>
      <c r="DK174" s="1601"/>
      <c r="DL174" s="1601"/>
      <c r="DM174" s="1601"/>
      <c r="DN174" s="1601"/>
      <c r="DO174" s="1601"/>
      <c r="DP174" s="1601"/>
      <c r="DQ174" s="1601"/>
      <c r="DR174" s="1601"/>
      <c r="DS174" s="1601"/>
      <c r="DT174" s="1601"/>
      <c r="DU174" s="1601"/>
      <c r="DV174" s="1601"/>
      <c r="DW174" s="1601"/>
      <c r="DX174" s="1601"/>
      <c r="ED174" s="662"/>
      <c r="EE174" s="662"/>
      <c r="EF174" s="662"/>
      <c r="EG174" s="662"/>
      <c r="EH174" s="1601"/>
      <c r="EI174" s="1601"/>
      <c r="FY174" s="517"/>
      <c r="FZ174" s="663"/>
      <c r="GA174" s="1586"/>
      <c r="GB174" s="516"/>
      <c r="GD174" s="540"/>
      <c r="GE174" s="1601"/>
      <c r="GF174" s="1601"/>
      <c r="GG174" s="1601"/>
      <c r="GH174" s="1601"/>
      <c r="GI174" s="1601"/>
      <c r="GJ174" s="1601"/>
      <c r="GK174" s="1601"/>
      <c r="HQ174" s="516"/>
      <c r="HR174" s="516"/>
      <c r="IB174" s="517"/>
      <c r="ID174" s="516"/>
      <c r="IG174" s="517"/>
      <c r="II174" s="516"/>
      <c r="IS174" s="517"/>
      <c r="IT174" s="517"/>
    </row>
    <row r="175" spans="4:254" ht="4.1500000000000004" customHeight="1">
      <c r="S175" s="1510"/>
      <c r="T175" s="1511"/>
      <c r="U175" s="1511"/>
      <c r="V175" s="1511"/>
      <c r="AX175" s="516"/>
      <c r="AZ175" s="516"/>
      <c r="CW175" s="662"/>
      <c r="CX175" s="662"/>
      <c r="CY175" s="662"/>
      <c r="CZ175" s="662"/>
      <c r="DA175" s="662"/>
      <c r="DB175" s="662"/>
      <c r="DC175" s="662"/>
      <c r="DD175" s="662"/>
      <c r="DE175" s="662"/>
      <c r="DF175" s="662"/>
      <c r="DG175" s="662"/>
      <c r="DH175" s="662"/>
      <c r="DI175" s="1601"/>
      <c r="DJ175" s="1601"/>
      <c r="DK175" s="1601"/>
      <c r="DL175" s="1601"/>
      <c r="DM175" s="1601"/>
      <c r="DN175" s="1601"/>
      <c r="DO175" s="1601"/>
      <c r="DP175" s="1601"/>
      <c r="DQ175" s="1601"/>
      <c r="DR175" s="1601"/>
      <c r="DS175" s="1601"/>
      <c r="DT175" s="1601"/>
      <c r="DU175" s="1601"/>
      <c r="DV175" s="1601"/>
      <c r="DW175" s="1601"/>
      <c r="DX175" s="1601"/>
      <c r="ED175" s="662"/>
      <c r="EE175" s="662"/>
      <c r="EF175" s="662"/>
      <c r="EG175" s="662"/>
      <c r="EH175" s="1601"/>
      <c r="EI175" s="1601"/>
      <c r="FY175" s="517"/>
      <c r="FZ175" s="663"/>
      <c r="GA175" s="1586"/>
      <c r="GB175" s="516"/>
      <c r="GD175" s="540"/>
      <c r="GE175" s="1601"/>
      <c r="GF175" s="1601"/>
      <c r="GG175" s="1601"/>
      <c r="GH175" s="1601"/>
      <c r="GI175" s="1601"/>
      <c r="GJ175" s="1601"/>
      <c r="GK175" s="1601"/>
      <c r="HQ175" s="516"/>
      <c r="HR175" s="516"/>
      <c r="IB175" s="517"/>
      <c r="ID175" s="516"/>
      <c r="IG175" s="517"/>
      <c r="II175" s="516"/>
      <c r="IS175" s="517"/>
      <c r="IT175" s="517"/>
    </row>
    <row r="176" spans="4:254" ht="4.1500000000000004" customHeight="1">
      <c r="S176" s="1511"/>
      <c r="T176" s="1511"/>
      <c r="U176" s="1511"/>
      <c r="V176" s="1511"/>
      <c r="AX176" s="516"/>
      <c r="AZ176" s="516"/>
      <c r="CP176" s="532"/>
      <c r="CQ176" s="532"/>
      <c r="CR176" s="532"/>
      <c r="CS176" s="532"/>
      <c r="CT176" s="532"/>
      <c r="CU176" s="532"/>
      <c r="CV176" s="532"/>
      <c r="CW176" s="665"/>
      <c r="CX176" s="665"/>
      <c r="CY176" s="665"/>
      <c r="CZ176" s="665"/>
      <c r="DA176" s="665"/>
      <c r="DB176" s="1604"/>
      <c r="DC176" s="1604"/>
      <c r="DD176" s="1604"/>
      <c r="DE176" s="1601"/>
      <c r="DF176" s="662"/>
      <c r="DG176" s="662"/>
      <c r="DH176" s="662"/>
      <c r="DI176" s="1601"/>
      <c r="DJ176" s="1601"/>
      <c r="DK176" s="1601"/>
      <c r="DL176" s="1601"/>
      <c r="DM176" s="1601"/>
      <c r="DN176" s="1601"/>
      <c r="DO176" s="1601"/>
      <c r="DP176" s="1601"/>
      <c r="DQ176" s="1601"/>
      <c r="DR176" s="1601"/>
      <c r="DS176" s="1601"/>
      <c r="DT176" s="1601"/>
      <c r="DU176" s="1604"/>
      <c r="DV176" s="1604"/>
      <c r="DW176" s="1604"/>
      <c r="DX176" s="1604"/>
      <c r="DY176" s="532"/>
      <c r="DZ176" s="532"/>
      <c r="EA176" s="532"/>
      <c r="EB176" s="532"/>
      <c r="EC176" s="532"/>
      <c r="ED176" s="665"/>
      <c r="EE176" s="665"/>
      <c r="EF176" s="665"/>
      <c r="EG176" s="665"/>
      <c r="EH176" s="1604"/>
      <c r="EI176" s="1604"/>
      <c r="FY176" s="517"/>
      <c r="FZ176" s="666"/>
      <c r="GA176" s="1587"/>
      <c r="GB176" s="516"/>
      <c r="GD176" s="540"/>
      <c r="GE176" s="1601"/>
      <c r="GF176" s="1601"/>
      <c r="GG176" s="1601"/>
      <c r="GH176" s="1601"/>
      <c r="GI176" s="1601"/>
      <c r="GJ176" s="1601"/>
      <c r="GK176" s="1601"/>
      <c r="HQ176" s="516"/>
      <c r="HR176" s="516"/>
      <c r="IB176" s="517"/>
      <c r="ID176" s="530"/>
      <c r="IE176" s="532"/>
      <c r="IF176" s="532"/>
      <c r="IG176" s="531"/>
      <c r="II176" s="516"/>
      <c r="IS176" s="517"/>
      <c r="IT176" s="517"/>
    </row>
    <row r="177" spans="19:254" ht="4.1500000000000004" customHeight="1" thickBot="1">
      <c r="S177" s="1511"/>
      <c r="T177" s="1511"/>
      <c r="U177" s="1511"/>
      <c r="V177" s="1511"/>
      <c r="AX177" s="516"/>
      <c r="AZ177" s="516"/>
      <c r="CO177" s="517"/>
      <c r="CU177" s="543"/>
      <c r="CV177" s="544"/>
      <c r="CW177" s="1609"/>
      <c r="CX177" s="1609"/>
      <c r="CY177" s="1609"/>
      <c r="CZ177" s="1609"/>
      <c r="DA177" s="1609"/>
      <c r="DB177" s="1610"/>
      <c r="DC177" s="1611"/>
      <c r="DD177" s="1606"/>
      <c r="DE177" s="1606"/>
      <c r="DF177" s="667"/>
      <c r="DG177" s="663"/>
      <c r="DH177" s="662"/>
      <c r="DI177" s="1601"/>
      <c r="DJ177" s="1601"/>
      <c r="DK177" s="1601"/>
      <c r="DL177" s="1601"/>
      <c r="DM177" s="1601"/>
      <c r="DN177" s="1601"/>
      <c r="DO177" s="1601"/>
      <c r="DP177" s="1601"/>
      <c r="DQ177" s="1601"/>
      <c r="DR177" s="1605"/>
      <c r="DS177" s="1606"/>
      <c r="DT177" s="1606"/>
      <c r="DU177" s="1606"/>
      <c r="DV177" s="543"/>
      <c r="DW177" s="544"/>
      <c r="DX177" s="1609"/>
      <c r="DY177" s="1609"/>
      <c r="DZ177" s="1609"/>
      <c r="EA177" s="1609"/>
      <c r="EB177" s="1609"/>
      <c r="EC177" s="1610"/>
      <c r="ED177" s="1611"/>
      <c r="EE177" s="1601"/>
      <c r="EF177" s="1601"/>
      <c r="EG177" s="1601"/>
      <c r="EH177" s="1601"/>
      <c r="EI177" s="1601"/>
      <c r="EJ177" s="516"/>
      <c r="FY177" s="517"/>
      <c r="FZ177" s="1601"/>
      <c r="GA177" s="1605"/>
      <c r="GB177" s="1561"/>
      <c r="GC177" s="557"/>
      <c r="GD177" s="560"/>
      <c r="GE177" s="1601"/>
      <c r="GF177" s="1601"/>
      <c r="GG177" s="1601"/>
      <c r="GH177" s="1601"/>
      <c r="GI177" s="1601"/>
      <c r="GJ177" s="1601"/>
      <c r="GK177" s="1601"/>
      <c r="HQ177" s="516"/>
      <c r="HR177" s="516"/>
      <c r="IB177" s="517"/>
      <c r="II177" s="516"/>
      <c r="IS177" s="517"/>
      <c r="IT177" s="517"/>
    </row>
    <row r="178" spans="19:254" ht="4.1500000000000004" customHeight="1" thickTop="1">
      <c r="S178" s="1511"/>
      <c r="T178" s="1511"/>
      <c r="U178" s="1511"/>
      <c r="V178" s="1511"/>
      <c r="AX178" s="516"/>
      <c r="AZ178" s="516"/>
      <c r="CO178" s="517"/>
      <c r="CU178" s="530"/>
      <c r="CV178" s="532"/>
      <c r="CW178" s="665"/>
      <c r="CX178" s="665"/>
      <c r="CY178" s="665"/>
      <c r="CZ178" s="665"/>
      <c r="DA178" s="665"/>
      <c r="DB178" s="1604"/>
      <c r="DC178" s="1608"/>
      <c r="DD178" s="1604"/>
      <c r="DE178" s="1604"/>
      <c r="DF178" s="665"/>
      <c r="DG178" s="663"/>
      <c r="DH178" s="662"/>
      <c r="DI178" s="1601"/>
      <c r="DJ178" s="1601"/>
      <c r="DK178" s="1601"/>
      <c r="DL178" s="1601"/>
      <c r="DM178" s="1601"/>
      <c r="DN178" s="1601"/>
      <c r="DO178" s="1601"/>
      <c r="DP178" s="1601"/>
      <c r="DQ178" s="1601"/>
      <c r="DR178" s="1605"/>
      <c r="DS178" s="1604"/>
      <c r="DT178" s="1604"/>
      <c r="DU178" s="1604"/>
      <c r="DV178" s="530"/>
      <c r="DW178" s="532"/>
      <c r="DX178" s="665"/>
      <c r="DY178" s="665"/>
      <c r="DZ178" s="665"/>
      <c r="EA178" s="665"/>
      <c r="EB178" s="665"/>
      <c r="EC178" s="1604"/>
      <c r="ED178" s="1608"/>
      <c r="EE178" s="1601"/>
      <c r="EF178" s="1601"/>
      <c r="EG178" s="1601"/>
      <c r="EH178" s="1601"/>
      <c r="EI178" s="1601"/>
      <c r="EJ178" s="516"/>
      <c r="FY178" s="517"/>
      <c r="FZ178" s="1601"/>
      <c r="GA178" s="1605"/>
      <c r="GB178" s="1601"/>
      <c r="GC178" s="1601"/>
      <c r="GD178" s="1601"/>
      <c r="GE178" s="1601"/>
      <c r="GF178" s="1601"/>
      <c r="GG178" s="1601"/>
      <c r="GH178" s="1601"/>
      <c r="GI178" s="1601"/>
      <c r="GJ178" s="1601"/>
      <c r="GK178" s="1601"/>
      <c r="HQ178" s="516"/>
      <c r="HR178" s="2650"/>
      <c r="HS178" s="2619"/>
      <c r="HT178" s="2619"/>
      <c r="HU178" s="2619"/>
      <c r="HV178" s="2619"/>
      <c r="HW178" s="2619"/>
      <c r="HX178" s="2619"/>
      <c r="HY178" s="2619"/>
      <c r="HZ178" s="2619"/>
      <c r="IA178" s="2619"/>
      <c r="IB178" s="2619"/>
      <c r="IC178" s="514"/>
      <c r="ID178" s="514"/>
      <c r="IE178" s="514"/>
      <c r="IF178" s="514"/>
      <c r="IG178" s="514"/>
      <c r="IH178" s="514"/>
      <c r="II178" s="2644"/>
      <c r="IJ178" s="2644"/>
      <c r="IK178" s="2644"/>
      <c r="IL178" s="2644"/>
      <c r="IM178" s="2644"/>
      <c r="IN178" s="2644"/>
      <c r="IO178" s="2644"/>
      <c r="IP178" s="2644"/>
      <c r="IQ178" s="2644"/>
      <c r="IR178" s="2644"/>
      <c r="IS178" s="2652"/>
      <c r="IT178" s="517"/>
    </row>
    <row r="179" spans="19:254" ht="4.1500000000000004" customHeight="1">
      <c r="S179" s="1511"/>
      <c r="T179" s="1511"/>
      <c r="U179" s="1511"/>
      <c r="V179" s="1511"/>
      <c r="AX179" s="516"/>
      <c r="AZ179" s="516"/>
      <c r="CO179" s="517"/>
      <c r="CR179" s="515"/>
      <c r="CS179" s="514"/>
      <c r="CT179" s="514"/>
      <c r="CU179" s="514"/>
      <c r="CV179" s="514"/>
      <c r="CW179" s="667"/>
      <c r="CX179" s="667"/>
      <c r="CY179" s="667"/>
      <c r="CZ179" s="667"/>
      <c r="DA179" s="667"/>
      <c r="DB179" s="1606"/>
      <c r="DC179" s="1606"/>
      <c r="DD179" s="1606"/>
      <c r="DE179" s="1601"/>
      <c r="DF179" s="662"/>
      <c r="DG179" s="662"/>
      <c r="DH179" s="662"/>
      <c r="DI179" s="1601"/>
      <c r="DJ179" s="1601"/>
      <c r="DK179" s="1601"/>
      <c r="DL179" s="1601"/>
      <c r="DM179" s="1601"/>
      <c r="DN179" s="1601"/>
      <c r="DO179" s="1601"/>
      <c r="DP179" s="1601"/>
      <c r="DQ179" s="1601"/>
      <c r="DR179" s="1601"/>
      <c r="DS179" s="1601"/>
      <c r="DT179" s="1601"/>
      <c r="DU179" s="1606"/>
      <c r="DV179" s="1606"/>
      <c r="DW179" s="1606"/>
      <c r="DX179" s="1606"/>
      <c r="DY179" s="1606"/>
      <c r="DZ179" s="1606"/>
      <c r="EA179" s="1606"/>
      <c r="EB179" s="1606"/>
      <c r="EC179" s="1606"/>
      <c r="ED179" s="1606"/>
      <c r="EE179" s="1606"/>
      <c r="EF179" s="1606"/>
      <c r="EG179" s="1607"/>
      <c r="EH179" s="1601"/>
      <c r="EI179" s="1601"/>
      <c r="EJ179" s="516"/>
      <c r="FY179" s="517"/>
      <c r="FZ179" s="1601"/>
      <c r="GA179" s="1605"/>
      <c r="GB179" s="1601"/>
      <c r="GC179" s="1601"/>
      <c r="GD179" s="1601"/>
      <c r="GE179" s="1601"/>
      <c r="GF179" s="1601"/>
      <c r="GG179" s="1601"/>
      <c r="GH179" s="1601"/>
      <c r="GI179" s="1601"/>
      <c r="GJ179" s="1601"/>
      <c r="GK179" s="1601"/>
      <c r="HQ179" s="516"/>
      <c r="HR179" s="2650"/>
      <c r="HS179" s="2619"/>
      <c r="HT179" s="2619"/>
      <c r="HU179" s="2619"/>
      <c r="HV179" s="2619"/>
      <c r="HW179" s="2619"/>
      <c r="HX179" s="2619"/>
      <c r="HY179" s="2619"/>
      <c r="HZ179" s="2619"/>
      <c r="IA179" s="2619"/>
      <c r="IB179" s="2619"/>
      <c r="II179" s="2644"/>
      <c r="IJ179" s="2644"/>
      <c r="IK179" s="2644"/>
      <c r="IL179" s="2644"/>
      <c r="IM179" s="2644"/>
      <c r="IN179" s="2644"/>
      <c r="IO179" s="2644"/>
      <c r="IP179" s="2644"/>
      <c r="IQ179" s="2644"/>
      <c r="IR179" s="2644"/>
      <c r="IS179" s="2652"/>
      <c r="IT179" s="517"/>
    </row>
    <row r="180" spans="19:254" ht="4.1500000000000004" customHeight="1">
      <c r="S180" s="1511"/>
      <c r="T180" s="1511"/>
      <c r="U180" s="1511"/>
      <c r="V180" s="1511"/>
      <c r="AX180" s="516"/>
      <c r="AZ180" s="516"/>
      <c r="CO180" s="517"/>
      <c r="CR180" s="516"/>
      <c r="CW180" s="662"/>
      <c r="CX180" s="662"/>
      <c r="CY180" s="662"/>
      <c r="CZ180" s="662"/>
      <c r="DA180" s="662"/>
      <c r="DB180" s="1601"/>
      <c r="DC180" s="1601"/>
      <c r="DD180" s="1601"/>
      <c r="DE180" s="1601"/>
      <c r="DF180" s="662"/>
      <c r="DG180" s="662"/>
      <c r="DH180" s="662"/>
      <c r="DI180" s="1601"/>
      <c r="DJ180" s="1601"/>
      <c r="DK180" s="1601"/>
      <c r="DL180" s="1601"/>
      <c r="DM180" s="1601"/>
      <c r="DN180" s="1601"/>
      <c r="DO180" s="1601"/>
      <c r="DP180" s="1601"/>
      <c r="DQ180" s="1601"/>
      <c r="DR180" s="1601"/>
      <c r="DS180" s="1601"/>
      <c r="DT180" s="1601"/>
      <c r="DU180" s="1601"/>
      <c r="DV180" s="1601"/>
      <c r="DW180" s="1601"/>
      <c r="DX180" s="1601"/>
      <c r="DY180" s="1601"/>
      <c r="DZ180" s="1601"/>
      <c r="EA180" s="1601"/>
      <c r="EB180" s="1601"/>
      <c r="EC180" s="1601"/>
      <c r="ED180" s="1601"/>
      <c r="EE180" s="1601"/>
      <c r="EF180" s="1601"/>
      <c r="EG180" s="1605"/>
      <c r="EH180" s="1601"/>
      <c r="EI180" s="1601"/>
      <c r="EJ180" s="516"/>
      <c r="FY180" s="517"/>
      <c r="FZ180" s="1601"/>
      <c r="GA180" s="1605"/>
      <c r="GB180" s="1601"/>
      <c r="GC180" s="1601"/>
      <c r="GD180" s="1601"/>
      <c r="GE180" s="1601"/>
      <c r="GF180" s="1601"/>
      <c r="GG180" s="1601"/>
      <c r="GH180" s="1601"/>
      <c r="GI180" s="1601"/>
      <c r="GJ180" s="1601"/>
      <c r="GK180" s="1601"/>
      <c r="HQ180" s="516"/>
      <c r="HR180" s="2650"/>
      <c r="HS180" s="2619"/>
      <c r="HT180" s="2619"/>
      <c r="HU180" s="2619"/>
      <c r="HV180" s="2619"/>
      <c r="HW180" s="2619"/>
      <c r="HX180" s="2619"/>
      <c r="HY180" s="2619"/>
      <c r="HZ180" s="2619"/>
      <c r="IA180" s="2619"/>
      <c r="IB180" s="2619"/>
      <c r="II180" s="2644"/>
      <c r="IJ180" s="2644"/>
      <c r="IK180" s="2644"/>
      <c r="IL180" s="2644"/>
      <c r="IM180" s="2644"/>
      <c r="IN180" s="2644"/>
      <c r="IO180" s="2644"/>
      <c r="IP180" s="2644"/>
      <c r="IQ180" s="2644"/>
      <c r="IR180" s="2644"/>
      <c r="IS180" s="2652"/>
      <c r="IT180" s="517"/>
    </row>
    <row r="181" spans="19:254" ht="4.1500000000000004" customHeight="1">
      <c r="S181" s="1511"/>
      <c r="T181" s="1511"/>
      <c r="U181" s="1511"/>
      <c r="V181" s="1511"/>
      <c r="AX181" s="516"/>
      <c r="AZ181" s="516"/>
      <c r="CO181" s="517"/>
      <c r="CR181" s="516"/>
      <c r="CW181" s="662"/>
      <c r="CX181" s="662"/>
      <c r="CY181" s="662"/>
      <c r="CZ181" s="662"/>
      <c r="DA181" s="662"/>
      <c r="DB181" s="1601"/>
      <c r="DC181" s="1601"/>
      <c r="DD181" s="1601"/>
      <c r="DE181" s="1601"/>
      <c r="DF181" s="662"/>
      <c r="DG181" s="662"/>
      <c r="DH181" s="662"/>
      <c r="DI181" s="1601"/>
      <c r="DJ181" s="1601"/>
      <c r="DK181" s="1601"/>
      <c r="DL181" s="1601"/>
      <c r="DM181" s="1601"/>
      <c r="DN181" s="1601"/>
      <c r="DO181" s="1601"/>
      <c r="DP181" s="1601"/>
      <c r="DQ181" s="1601"/>
      <c r="DR181" s="1601"/>
      <c r="DS181" s="1601"/>
      <c r="DT181" s="1601"/>
      <c r="DU181" s="1601"/>
      <c r="DV181" s="1601"/>
      <c r="DW181" s="1601"/>
      <c r="DX181" s="1601"/>
      <c r="DY181" s="1601"/>
      <c r="DZ181" s="1601"/>
      <c r="EA181" s="1601"/>
      <c r="EB181" s="1601"/>
      <c r="EC181" s="1601"/>
      <c r="ED181" s="1601"/>
      <c r="EE181" s="1601"/>
      <c r="EF181" s="1601"/>
      <c r="EG181" s="1605"/>
      <c r="EH181" s="1601"/>
      <c r="EI181" s="1601"/>
      <c r="EJ181" s="516"/>
      <c r="FY181" s="517"/>
      <c r="FZ181" s="1601"/>
      <c r="GA181" s="1605"/>
      <c r="GB181" s="1601"/>
      <c r="GC181" s="1601"/>
      <c r="GD181" s="1601"/>
      <c r="GE181" s="1601"/>
      <c r="GF181" s="1601"/>
      <c r="GG181" s="1601"/>
      <c r="GH181" s="1601"/>
      <c r="GI181" s="1601"/>
      <c r="GJ181" s="1601"/>
      <c r="GK181" s="1601"/>
      <c r="HQ181" s="516"/>
      <c r="HR181" s="2650"/>
      <c r="HS181" s="2619"/>
      <c r="HT181" s="2619"/>
      <c r="HU181" s="2619"/>
      <c r="HV181" s="2619"/>
      <c r="HW181" s="2619"/>
      <c r="HX181" s="2619"/>
      <c r="HY181" s="2619"/>
      <c r="HZ181" s="2619"/>
      <c r="IA181" s="2619"/>
      <c r="IB181" s="2619"/>
      <c r="II181" s="2644"/>
      <c r="IJ181" s="2644"/>
      <c r="IK181" s="2644"/>
      <c r="IL181" s="2644"/>
      <c r="IM181" s="2644"/>
      <c r="IN181" s="2644"/>
      <c r="IO181" s="2644"/>
      <c r="IP181" s="2644"/>
      <c r="IQ181" s="2644"/>
      <c r="IR181" s="2644"/>
      <c r="IS181" s="2652"/>
      <c r="IT181" s="517"/>
    </row>
    <row r="182" spans="19:254" ht="4.1500000000000004" customHeight="1">
      <c r="S182" s="1511"/>
      <c r="T182" s="1511"/>
      <c r="U182" s="1511"/>
      <c r="V182" s="1511"/>
      <c r="AX182" s="519"/>
      <c r="AY182" s="521"/>
      <c r="AZ182" s="530"/>
      <c r="BA182" s="532"/>
      <c r="BB182" s="532"/>
      <c r="BC182" s="532"/>
      <c r="BD182" s="532"/>
      <c r="BE182" s="532"/>
      <c r="BF182" s="532"/>
      <c r="BG182" s="532"/>
      <c r="BH182" s="532"/>
      <c r="BI182" s="532"/>
      <c r="BJ182" s="532"/>
      <c r="BK182" s="532"/>
      <c r="BL182" s="532"/>
      <c r="BM182" s="532"/>
      <c r="BN182" s="532"/>
      <c r="BO182" s="532"/>
      <c r="BP182" s="532"/>
      <c r="BQ182" s="532"/>
      <c r="BR182" s="532"/>
      <c r="BS182" s="532"/>
      <c r="BT182" s="519"/>
      <c r="BU182" s="521"/>
      <c r="BV182" s="532"/>
      <c r="BW182" s="532"/>
      <c r="BX182" s="532"/>
      <c r="BY182" s="532"/>
      <c r="BZ182" s="532"/>
      <c r="CA182" s="532"/>
      <c r="CB182" s="532"/>
      <c r="CC182" s="532"/>
      <c r="CD182" s="532"/>
      <c r="CE182" s="532"/>
      <c r="CF182" s="532"/>
      <c r="CG182" s="532"/>
      <c r="CH182" s="532"/>
      <c r="CI182" s="532"/>
      <c r="CJ182" s="532"/>
      <c r="CK182" s="532"/>
      <c r="CL182" s="532"/>
      <c r="CM182" s="532"/>
      <c r="CN182" s="532"/>
      <c r="CO182" s="531"/>
      <c r="CP182" s="519"/>
      <c r="CQ182" s="521"/>
      <c r="CR182" s="516"/>
      <c r="CW182" s="662"/>
      <c r="CX182" s="662"/>
      <c r="CY182" s="662"/>
      <c r="CZ182" s="662"/>
      <c r="DA182" s="662"/>
      <c r="DB182" s="1601"/>
      <c r="DC182" s="1601"/>
      <c r="DD182" s="1601"/>
      <c r="DE182" s="1601"/>
      <c r="DF182" s="662"/>
      <c r="DG182" s="662"/>
      <c r="DH182" s="662"/>
      <c r="DI182" s="1601"/>
      <c r="DJ182" s="1601"/>
      <c r="DK182" s="1601"/>
      <c r="DL182" s="1601"/>
      <c r="DM182" s="1601"/>
      <c r="DN182" s="1601"/>
      <c r="DO182" s="1601"/>
      <c r="DP182" s="1601"/>
      <c r="DQ182" s="1601"/>
      <c r="DR182" s="1601"/>
      <c r="DS182" s="1601"/>
      <c r="DT182" s="1601"/>
      <c r="DU182" s="1601"/>
      <c r="DV182" s="1601"/>
      <c r="DW182" s="1601"/>
      <c r="DX182" s="1601"/>
      <c r="DY182" s="1601"/>
      <c r="DZ182" s="1601"/>
      <c r="EA182" s="1601"/>
      <c r="EB182" s="1601"/>
      <c r="EC182" s="1601"/>
      <c r="ED182" s="1601"/>
      <c r="EE182" s="1601"/>
      <c r="EF182" s="1601"/>
      <c r="EG182" s="1605"/>
      <c r="EH182" s="519"/>
      <c r="EI182" s="521"/>
      <c r="EJ182" s="530"/>
      <c r="EK182" s="532"/>
      <c r="EL182" s="532"/>
      <c r="EM182" s="532"/>
      <c r="EN182" s="532"/>
      <c r="EO182" s="532"/>
      <c r="EP182" s="532"/>
      <c r="EQ182" s="532"/>
      <c r="ER182" s="532"/>
      <c r="ES182" s="532"/>
      <c r="ET182" s="532"/>
      <c r="EU182" s="532"/>
      <c r="EV182" s="532"/>
      <c r="EW182" s="532"/>
      <c r="EX182" s="532"/>
      <c r="EY182" s="532"/>
      <c r="EZ182" s="532"/>
      <c r="FA182" s="532"/>
      <c r="FB182" s="532"/>
      <c r="FC182" s="532"/>
      <c r="FD182" s="519"/>
      <c r="FE182" s="521"/>
      <c r="FF182" s="532"/>
      <c r="FG182" s="532"/>
      <c r="FH182" s="532"/>
      <c r="FI182" s="532"/>
      <c r="FJ182" s="532"/>
      <c r="FK182" s="532"/>
      <c r="FL182" s="532"/>
      <c r="FM182" s="532"/>
      <c r="FN182" s="532"/>
      <c r="FO182" s="532"/>
      <c r="FP182" s="532"/>
      <c r="FQ182" s="532"/>
      <c r="FR182" s="532"/>
      <c r="FS182" s="532"/>
      <c r="FT182" s="532"/>
      <c r="FU182" s="532"/>
      <c r="FV182" s="532"/>
      <c r="FW182" s="532"/>
      <c r="FX182" s="532"/>
      <c r="FY182" s="531"/>
      <c r="FZ182" s="519"/>
      <c r="GA182" s="521"/>
      <c r="GB182" s="1601"/>
      <c r="GC182" s="1601"/>
      <c r="GD182" s="1601"/>
      <c r="GE182" s="1601"/>
      <c r="GF182" s="1601"/>
      <c r="GG182" s="1601"/>
      <c r="GH182" s="1601"/>
      <c r="GI182" s="1601"/>
      <c r="GJ182" s="1601"/>
      <c r="GK182" s="1601"/>
      <c r="HQ182" s="516"/>
      <c r="HR182" s="2650"/>
      <c r="HS182" s="2619"/>
      <c r="HT182" s="2619"/>
      <c r="HU182" s="2619"/>
      <c r="HV182" s="2619"/>
      <c r="HW182" s="2619"/>
      <c r="HX182" s="2619"/>
      <c r="HY182" s="2619"/>
      <c r="HZ182" s="2619"/>
      <c r="IA182" s="2619"/>
      <c r="IB182" s="2619"/>
      <c r="II182" s="2644"/>
      <c r="IJ182" s="2644"/>
      <c r="IK182" s="2644"/>
      <c r="IL182" s="2644"/>
      <c r="IM182" s="2644"/>
      <c r="IN182" s="2644"/>
      <c r="IO182" s="2644"/>
      <c r="IP182" s="2644"/>
      <c r="IQ182" s="2644"/>
      <c r="IR182" s="2644"/>
      <c r="IS182" s="2652"/>
      <c r="IT182" s="517"/>
    </row>
    <row r="183" spans="19:254" ht="4.1500000000000004" customHeight="1" thickBot="1">
      <c r="S183" s="1511"/>
      <c r="T183" s="1511"/>
      <c r="U183" s="1511"/>
      <c r="V183" s="1511"/>
      <c r="AX183" s="522"/>
      <c r="AY183" s="524"/>
      <c r="BF183" s="543"/>
      <c r="BG183" s="544"/>
      <c r="BH183" s="1609"/>
      <c r="BI183" s="1609"/>
      <c r="BJ183" s="1609"/>
      <c r="BK183" s="1609"/>
      <c r="BL183" s="1609"/>
      <c r="BM183" s="1610"/>
      <c r="BN183" s="1611"/>
      <c r="BT183" s="522"/>
      <c r="BU183" s="524"/>
      <c r="CA183" s="543"/>
      <c r="CB183" s="544"/>
      <c r="CC183" s="1609"/>
      <c r="CD183" s="1609"/>
      <c r="CE183" s="1609"/>
      <c r="CF183" s="1609"/>
      <c r="CG183" s="1609"/>
      <c r="CH183" s="1610"/>
      <c r="CI183" s="1611"/>
      <c r="CP183" s="522"/>
      <c r="CQ183" s="524"/>
      <c r="CR183" s="516"/>
      <c r="CW183" s="662"/>
      <c r="CX183" s="662"/>
      <c r="CY183" s="662"/>
      <c r="CZ183" s="662"/>
      <c r="DA183" s="662"/>
      <c r="DB183" s="1601"/>
      <c r="DC183" s="1601"/>
      <c r="DD183" s="1601"/>
      <c r="DE183" s="1601"/>
      <c r="DF183" s="662"/>
      <c r="DG183" s="662"/>
      <c r="DH183" s="662"/>
      <c r="DI183" s="1601"/>
      <c r="DJ183" s="1601"/>
      <c r="DK183" s="1601"/>
      <c r="DL183" s="1601"/>
      <c r="DM183" s="1601"/>
      <c r="DN183" s="1601"/>
      <c r="DO183" s="1601"/>
      <c r="DP183" s="1601"/>
      <c r="DQ183" s="1601"/>
      <c r="DR183" s="1601"/>
      <c r="DS183" s="1601"/>
      <c r="DT183" s="1601"/>
      <c r="DU183" s="1601"/>
      <c r="DV183" s="1601"/>
      <c r="DW183" s="1601"/>
      <c r="DX183" s="1601"/>
      <c r="DY183" s="1601"/>
      <c r="DZ183" s="1601"/>
      <c r="EA183" s="1601"/>
      <c r="EB183" s="1601"/>
      <c r="EC183" s="1601"/>
      <c r="ED183" s="1601"/>
      <c r="EE183" s="1601"/>
      <c r="EF183" s="1601"/>
      <c r="EG183" s="1605"/>
      <c r="EH183" s="522"/>
      <c r="EI183" s="524"/>
      <c r="EP183" s="543"/>
      <c r="EQ183" s="544"/>
      <c r="ER183" s="1609"/>
      <c r="ES183" s="1609"/>
      <c r="ET183" s="1609"/>
      <c r="EU183" s="1609"/>
      <c r="EV183" s="1609"/>
      <c r="EW183" s="1610"/>
      <c r="EX183" s="1611"/>
      <c r="FD183" s="522"/>
      <c r="FE183" s="524"/>
      <c r="FK183" s="543"/>
      <c r="FL183" s="544"/>
      <c r="FM183" s="1609"/>
      <c r="FN183" s="1609"/>
      <c r="FO183" s="1609"/>
      <c r="FP183" s="1609"/>
      <c r="FQ183" s="1609"/>
      <c r="FR183" s="1610"/>
      <c r="FS183" s="1611"/>
      <c r="FZ183" s="522"/>
      <c r="GA183" s="524"/>
      <c r="GB183" s="1601"/>
      <c r="GC183" s="1601"/>
      <c r="GD183" s="1601"/>
      <c r="GE183" s="1601"/>
      <c r="GF183" s="1601"/>
      <c r="GG183" s="1601"/>
      <c r="GH183" s="1601"/>
      <c r="GI183" s="1601"/>
      <c r="GJ183" s="1601"/>
      <c r="GK183" s="1601"/>
      <c r="HQ183" s="516"/>
      <c r="HR183" s="2650"/>
      <c r="HS183" s="2619"/>
      <c r="HT183" s="2619"/>
      <c r="HU183" s="2619"/>
      <c r="HV183" s="2619"/>
      <c r="HW183" s="2619"/>
      <c r="HX183" s="2619"/>
      <c r="HY183" s="2619"/>
      <c r="HZ183" s="2619"/>
      <c r="IA183" s="2619"/>
      <c r="IB183" s="2619"/>
      <c r="II183" s="2644"/>
      <c r="IJ183" s="2644"/>
      <c r="IK183" s="2644"/>
      <c r="IL183" s="2644"/>
      <c r="IM183" s="2644"/>
      <c r="IN183" s="2644"/>
      <c r="IO183" s="2644"/>
      <c r="IP183" s="2644"/>
      <c r="IQ183" s="2644"/>
      <c r="IR183" s="2644"/>
      <c r="IS183" s="2652"/>
      <c r="IT183" s="517"/>
    </row>
    <row r="184" spans="19:254" ht="4.1500000000000004" customHeight="1" thickTop="1">
      <c r="S184" s="1511"/>
      <c r="T184" s="1511"/>
      <c r="U184" s="1511"/>
      <c r="V184" s="1511"/>
      <c r="AX184" s="527"/>
      <c r="AY184" s="529"/>
      <c r="AZ184" s="532"/>
      <c r="BA184" s="532"/>
      <c r="BB184" s="532"/>
      <c r="BC184" s="532"/>
      <c r="BD184" s="532"/>
      <c r="BE184" s="532"/>
      <c r="BF184" s="530"/>
      <c r="BG184" s="532"/>
      <c r="BH184" s="665"/>
      <c r="BI184" s="665"/>
      <c r="BJ184" s="665"/>
      <c r="BK184" s="665"/>
      <c r="BL184" s="665"/>
      <c r="BM184" s="1604"/>
      <c r="BN184" s="1608"/>
      <c r="BO184" s="532"/>
      <c r="BP184" s="532"/>
      <c r="BQ184" s="532"/>
      <c r="BR184" s="532"/>
      <c r="BS184" s="532"/>
      <c r="BT184" s="527"/>
      <c r="BU184" s="529"/>
      <c r="BV184" s="532"/>
      <c r="BW184" s="532"/>
      <c r="BX184" s="532"/>
      <c r="BY184" s="532"/>
      <c r="BZ184" s="532"/>
      <c r="CA184" s="530"/>
      <c r="CB184" s="532"/>
      <c r="CC184" s="665"/>
      <c r="CD184" s="665"/>
      <c r="CE184" s="665"/>
      <c r="CF184" s="665"/>
      <c r="CG184" s="665"/>
      <c r="CH184" s="1604"/>
      <c r="CI184" s="1608"/>
      <c r="CJ184" s="532"/>
      <c r="CK184" s="532"/>
      <c r="CL184" s="532"/>
      <c r="CM184" s="532"/>
      <c r="CN184" s="532"/>
      <c r="CO184" s="532"/>
      <c r="CP184" s="527"/>
      <c r="CQ184" s="529"/>
      <c r="CR184" s="516"/>
      <c r="CW184" s="662"/>
      <c r="CX184" s="662"/>
      <c r="CY184" s="662"/>
      <c r="CZ184" s="662"/>
      <c r="DA184" s="662"/>
      <c r="DB184" s="1601"/>
      <c r="DC184" s="1601"/>
      <c r="DD184" s="1601"/>
      <c r="DE184" s="1601"/>
      <c r="DF184" s="662"/>
      <c r="DG184" s="662"/>
      <c r="DH184" s="662"/>
      <c r="DI184" s="662"/>
      <c r="DJ184" s="662"/>
      <c r="DK184" s="662"/>
      <c r="DL184" s="662"/>
      <c r="DM184" s="662"/>
      <c r="DN184" s="662"/>
      <c r="DO184" s="662"/>
      <c r="DP184" s="662"/>
      <c r="DQ184" s="662"/>
      <c r="DR184" s="662"/>
      <c r="DS184" s="662"/>
      <c r="DT184" s="662"/>
      <c r="DU184" s="662"/>
      <c r="DV184" s="662"/>
      <c r="DW184" s="662"/>
      <c r="DX184" s="662"/>
      <c r="DY184" s="662"/>
      <c r="DZ184" s="662"/>
      <c r="EA184" s="662"/>
      <c r="EB184" s="662"/>
      <c r="EC184" s="662"/>
      <c r="ED184" s="662"/>
      <c r="EE184" s="662"/>
      <c r="EF184" s="662"/>
      <c r="EG184" s="664"/>
      <c r="EH184" s="527"/>
      <c r="EI184" s="529"/>
      <c r="EJ184" s="532"/>
      <c r="EK184" s="532"/>
      <c r="EL184" s="532"/>
      <c r="EM184" s="532"/>
      <c r="EN184" s="532"/>
      <c r="EO184" s="532"/>
      <c r="EP184" s="530"/>
      <c r="EQ184" s="532"/>
      <c r="ER184" s="665"/>
      <c r="ES184" s="665"/>
      <c r="ET184" s="665"/>
      <c r="EU184" s="665"/>
      <c r="EV184" s="665"/>
      <c r="EW184" s="1604"/>
      <c r="EX184" s="1608"/>
      <c r="EY184" s="532"/>
      <c r="EZ184" s="532"/>
      <c r="FA184" s="532"/>
      <c r="FB184" s="532"/>
      <c r="FC184" s="532"/>
      <c r="FD184" s="527"/>
      <c r="FE184" s="529"/>
      <c r="FF184" s="532"/>
      <c r="FG184" s="532"/>
      <c r="FH184" s="532"/>
      <c r="FI184" s="532"/>
      <c r="FJ184" s="532"/>
      <c r="FK184" s="530"/>
      <c r="FL184" s="532"/>
      <c r="FM184" s="665"/>
      <c r="FN184" s="665"/>
      <c r="FO184" s="665"/>
      <c r="FP184" s="665"/>
      <c r="FQ184" s="665"/>
      <c r="FR184" s="1604"/>
      <c r="FS184" s="1608"/>
      <c r="FT184" s="532"/>
      <c r="FU184" s="532"/>
      <c r="FV184" s="532"/>
      <c r="FW184" s="532"/>
      <c r="FX184" s="532"/>
      <c r="FY184" s="532"/>
      <c r="FZ184" s="527"/>
      <c r="GA184" s="529"/>
      <c r="GB184" s="662"/>
      <c r="GC184" s="662"/>
      <c r="GD184" s="662"/>
      <c r="GE184" s="662"/>
      <c r="GF184" s="662"/>
      <c r="GG184" s="662"/>
      <c r="GH184" s="662"/>
      <c r="GI184" s="662"/>
      <c r="GJ184" s="662"/>
      <c r="GK184" s="662"/>
      <c r="HQ184" s="516"/>
      <c r="HR184" s="2650"/>
      <c r="HS184" s="2619"/>
      <c r="HT184" s="2619"/>
      <c r="HU184" s="2619"/>
      <c r="HV184" s="2619"/>
      <c r="HW184" s="2619"/>
      <c r="HX184" s="2619"/>
      <c r="HY184" s="2619"/>
      <c r="HZ184" s="2619"/>
      <c r="IA184" s="2619"/>
      <c r="IB184" s="2619"/>
      <c r="II184" s="2644"/>
      <c r="IJ184" s="2644"/>
      <c r="IK184" s="2644"/>
      <c r="IL184" s="2644"/>
      <c r="IM184" s="2644"/>
      <c r="IN184" s="2644"/>
      <c r="IO184" s="2644"/>
      <c r="IP184" s="2644"/>
      <c r="IQ184" s="2644"/>
      <c r="IR184" s="2644"/>
      <c r="IS184" s="2652"/>
      <c r="IT184" s="517"/>
    </row>
    <row r="185" spans="19:254" ht="4.1500000000000004" customHeight="1">
      <c r="BE185" s="1569"/>
      <c r="BF185" s="667"/>
      <c r="BG185" s="667"/>
      <c r="BH185" s="667"/>
      <c r="BI185" s="667"/>
      <c r="BJ185" s="667"/>
      <c r="BK185" s="667"/>
      <c r="BL185" s="667"/>
      <c r="BM185" s="667"/>
      <c r="BN185" s="667"/>
      <c r="BO185" s="1570"/>
      <c r="BZ185" s="1569"/>
      <c r="CA185" s="667"/>
      <c r="CB185" s="667"/>
      <c r="CC185" s="667"/>
      <c r="CD185" s="667"/>
      <c r="CE185" s="667"/>
      <c r="CF185" s="667"/>
      <c r="CG185" s="667"/>
      <c r="CH185" s="667"/>
      <c r="CI185" s="667"/>
      <c r="CJ185" s="1570"/>
      <c r="CW185" s="662"/>
      <c r="CX185" s="662"/>
      <c r="CY185" s="662"/>
      <c r="CZ185" s="662"/>
      <c r="DA185" s="662"/>
      <c r="DB185" s="1601"/>
      <c r="DC185" s="1601"/>
      <c r="DD185" s="1601"/>
      <c r="DE185" s="1601"/>
      <c r="DF185" s="662"/>
      <c r="DG185" s="662"/>
      <c r="DH185" s="662"/>
      <c r="DI185" s="662"/>
      <c r="DJ185" s="662"/>
      <c r="DK185" s="662"/>
      <c r="DL185" s="662"/>
      <c r="DM185" s="662"/>
      <c r="DN185" s="662"/>
      <c r="DO185" s="662"/>
      <c r="DP185" s="662"/>
      <c r="DQ185" s="662"/>
      <c r="DR185" s="662"/>
      <c r="DS185" s="662"/>
      <c r="DT185" s="662"/>
      <c r="DU185" s="662"/>
      <c r="DV185" s="662"/>
      <c r="DW185" s="662"/>
      <c r="DX185" s="662"/>
      <c r="DY185" s="662"/>
      <c r="DZ185" s="662"/>
      <c r="EA185" s="662"/>
      <c r="EB185" s="662"/>
      <c r="EC185" s="662"/>
      <c r="ED185" s="662"/>
      <c r="EE185" s="662"/>
      <c r="EF185" s="662"/>
      <c r="EG185" s="662"/>
      <c r="EH185" s="662"/>
      <c r="EI185" s="662"/>
      <c r="EJ185" s="662"/>
      <c r="EK185" s="662"/>
      <c r="EL185" s="662"/>
      <c r="EM185" s="662"/>
      <c r="EN185" s="662"/>
      <c r="EO185" s="1569"/>
      <c r="EP185" s="667"/>
      <c r="EQ185" s="667"/>
      <c r="ER185" s="667"/>
      <c r="ES185" s="667"/>
      <c r="ET185" s="667"/>
      <c r="EU185" s="667"/>
      <c r="EV185" s="667"/>
      <c r="EW185" s="667"/>
      <c r="EX185" s="667"/>
      <c r="EY185" s="1570"/>
      <c r="EZ185" s="662"/>
      <c r="FA185" s="662"/>
      <c r="FB185" s="662"/>
      <c r="FC185" s="662"/>
      <c r="FD185" s="662"/>
      <c r="FE185" s="662"/>
      <c r="FF185" s="662"/>
      <c r="FG185" s="662"/>
      <c r="FH185" s="662"/>
      <c r="FI185" s="662"/>
      <c r="FJ185" s="1569"/>
      <c r="FK185" s="667"/>
      <c r="FL185" s="667"/>
      <c r="FM185" s="667"/>
      <c r="FN185" s="667"/>
      <c r="FO185" s="667"/>
      <c r="FP185" s="667"/>
      <c r="FQ185" s="667"/>
      <c r="FR185" s="667"/>
      <c r="FS185" s="667"/>
      <c r="FT185" s="1570"/>
      <c r="FU185" s="662"/>
      <c r="FV185" s="662"/>
      <c r="FW185" s="662"/>
      <c r="FX185" s="662"/>
      <c r="FY185" s="662"/>
      <c r="FZ185" s="662"/>
      <c r="GA185" s="662"/>
      <c r="GB185" s="662"/>
      <c r="GC185" s="662"/>
      <c r="GD185" s="662"/>
      <c r="GE185" s="662"/>
      <c r="GF185" s="662"/>
      <c r="GG185" s="662"/>
      <c r="GH185" s="662"/>
      <c r="GI185" s="662"/>
      <c r="GJ185" s="662"/>
      <c r="GK185" s="662"/>
      <c r="HQ185" s="516"/>
      <c r="HR185" s="2650"/>
      <c r="HS185" s="2619"/>
      <c r="HT185" s="2619"/>
      <c r="HU185" s="2619"/>
      <c r="HV185" s="2619"/>
      <c r="HW185" s="2619"/>
      <c r="HX185" s="2619"/>
      <c r="HY185" s="2619"/>
      <c r="HZ185" s="2619"/>
      <c r="IA185" s="2619"/>
      <c r="IB185" s="2619"/>
      <c r="II185" s="2644"/>
      <c r="IJ185" s="2644"/>
      <c r="IK185" s="2644"/>
      <c r="IL185" s="2644"/>
      <c r="IM185" s="2644"/>
      <c r="IN185" s="2644"/>
      <c r="IO185" s="2644"/>
      <c r="IP185" s="2644"/>
      <c r="IQ185" s="2644"/>
      <c r="IR185" s="2644"/>
      <c r="IS185" s="2652"/>
      <c r="IT185" s="517"/>
    </row>
    <row r="186" spans="19:254" ht="4.1500000000000004" customHeight="1">
      <c r="BE186" s="1571"/>
      <c r="BF186" s="662"/>
      <c r="BG186" s="662"/>
      <c r="BH186" s="662"/>
      <c r="BI186" s="662"/>
      <c r="BJ186" s="662"/>
      <c r="BK186" s="662"/>
      <c r="BL186" s="662"/>
      <c r="BM186" s="662"/>
      <c r="BN186" s="662"/>
      <c r="BO186" s="1572"/>
      <c r="BZ186" s="1571"/>
      <c r="CA186" s="662"/>
      <c r="CB186" s="662"/>
      <c r="CC186" s="662"/>
      <c r="CD186" s="662"/>
      <c r="CE186" s="662"/>
      <c r="CF186" s="662"/>
      <c r="CG186" s="662"/>
      <c r="CH186" s="662"/>
      <c r="CI186" s="662"/>
      <c r="CJ186" s="1572"/>
      <c r="CW186" s="662"/>
      <c r="CX186" s="662"/>
      <c r="CY186" s="662"/>
      <c r="CZ186" s="662"/>
      <c r="DA186" s="662"/>
      <c r="DB186" s="662"/>
      <c r="DC186" s="662"/>
      <c r="DD186" s="662"/>
      <c r="DE186" s="662"/>
      <c r="DF186" s="662"/>
      <c r="DG186" s="662"/>
      <c r="DH186" s="662"/>
      <c r="DI186" s="662"/>
      <c r="DJ186" s="662"/>
      <c r="DK186" s="662"/>
      <c r="DL186" s="662"/>
      <c r="DM186" s="662"/>
      <c r="DN186" s="662"/>
      <c r="DO186" s="662"/>
      <c r="DP186" s="662"/>
      <c r="DQ186" s="662"/>
      <c r="DR186" s="662"/>
      <c r="DS186" s="662"/>
      <c r="DT186" s="662"/>
      <c r="DU186" s="662"/>
      <c r="DV186" s="662"/>
      <c r="DW186" s="662"/>
      <c r="DX186" s="662"/>
      <c r="DY186" s="662"/>
      <c r="DZ186" s="662"/>
      <c r="EA186" s="662"/>
      <c r="EB186" s="662"/>
      <c r="EC186" s="662"/>
      <c r="ED186" s="662"/>
      <c r="EE186" s="662"/>
      <c r="EF186" s="662"/>
      <c r="EG186" s="662"/>
      <c r="EH186" s="662"/>
      <c r="EI186" s="662"/>
      <c r="EJ186" s="662"/>
      <c r="EK186" s="662"/>
      <c r="EL186" s="662"/>
      <c r="EM186" s="662"/>
      <c r="EN186" s="662"/>
      <c r="EO186" s="1571"/>
      <c r="EP186" s="662"/>
      <c r="EQ186" s="662"/>
      <c r="ER186" s="662"/>
      <c r="ES186" s="662"/>
      <c r="ET186" s="662"/>
      <c r="EU186" s="662"/>
      <c r="EV186" s="662"/>
      <c r="EW186" s="662"/>
      <c r="EX186" s="662"/>
      <c r="EY186" s="1572"/>
      <c r="EZ186" s="662"/>
      <c r="FA186" s="662"/>
      <c r="FB186" s="662"/>
      <c r="FC186" s="662"/>
      <c r="FD186" s="662"/>
      <c r="FE186" s="662"/>
      <c r="FF186" s="662"/>
      <c r="FG186" s="662"/>
      <c r="FH186" s="662"/>
      <c r="FI186" s="662"/>
      <c r="FJ186" s="1571"/>
      <c r="FK186" s="662"/>
      <c r="FL186" s="662"/>
      <c r="FM186" s="662"/>
      <c r="FN186" s="662"/>
      <c r="FO186" s="662"/>
      <c r="FP186" s="662"/>
      <c r="FQ186" s="662"/>
      <c r="FR186" s="662"/>
      <c r="FS186" s="662"/>
      <c r="FT186" s="1572"/>
      <c r="FU186" s="662"/>
      <c r="FV186" s="662"/>
      <c r="FW186" s="662"/>
      <c r="FX186" s="662"/>
      <c r="FY186" s="662"/>
      <c r="FZ186" s="662"/>
      <c r="GA186" s="662"/>
      <c r="GB186" s="662"/>
      <c r="GC186" s="662"/>
      <c r="GD186" s="662"/>
      <c r="GE186" s="662"/>
      <c r="GF186" s="662"/>
      <c r="GG186" s="662"/>
      <c r="GH186" s="662"/>
      <c r="GI186" s="662"/>
      <c r="GJ186" s="662"/>
      <c r="GK186" s="662"/>
      <c r="HQ186" s="516"/>
      <c r="HR186" s="2650"/>
      <c r="HS186" s="2619"/>
      <c r="HT186" s="2619"/>
      <c r="HU186" s="2619"/>
      <c r="HV186" s="2619"/>
      <c r="HW186" s="2619"/>
      <c r="HX186" s="2619"/>
      <c r="HY186" s="2619"/>
      <c r="HZ186" s="2619"/>
      <c r="IA186" s="2619"/>
      <c r="IB186" s="2619"/>
      <c r="II186" s="2644"/>
      <c r="IJ186" s="2644"/>
      <c r="IK186" s="2644"/>
      <c r="IL186" s="2644"/>
      <c r="IM186" s="2644"/>
      <c r="IN186" s="2644"/>
      <c r="IO186" s="2644"/>
      <c r="IP186" s="2644"/>
      <c r="IQ186" s="2644"/>
      <c r="IR186" s="2644"/>
      <c r="IS186" s="2652"/>
      <c r="IT186" s="517"/>
    </row>
    <row r="187" spans="19:254" ht="4.1500000000000004" customHeight="1">
      <c r="BE187" s="1614"/>
      <c r="BF187" s="1615"/>
      <c r="BG187" s="1615"/>
      <c r="BH187" s="1615"/>
      <c r="BI187" s="1615"/>
      <c r="BJ187" s="1615"/>
      <c r="BK187" s="1615"/>
      <c r="BL187" s="1615"/>
      <c r="BM187" s="1615"/>
      <c r="BN187" s="1615"/>
      <c r="BO187" s="1616"/>
      <c r="BZ187" s="1614"/>
      <c r="CA187" s="1615"/>
      <c r="CB187" s="1615"/>
      <c r="CC187" s="1615"/>
      <c r="CD187" s="1615"/>
      <c r="CE187" s="1615"/>
      <c r="CF187" s="1615"/>
      <c r="CG187" s="1615"/>
      <c r="CH187" s="1615"/>
      <c r="CI187" s="1615"/>
      <c r="CJ187" s="1616"/>
      <c r="CW187" s="662"/>
      <c r="CX187" s="662"/>
      <c r="CY187" s="662"/>
      <c r="CZ187" s="662"/>
      <c r="DA187" s="662"/>
      <c r="DB187" s="662"/>
      <c r="DC187" s="662"/>
      <c r="DD187" s="662"/>
      <c r="DE187" s="662"/>
      <c r="DF187" s="662"/>
      <c r="DG187" s="662"/>
      <c r="DH187" s="662"/>
      <c r="DI187" s="662"/>
      <c r="DJ187" s="662"/>
      <c r="DK187" s="662"/>
      <c r="DL187" s="662"/>
      <c r="DM187" s="662"/>
      <c r="DN187" s="662"/>
      <c r="DO187" s="662"/>
      <c r="DP187" s="662"/>
      <c r="DQ187" s="662"/>
      <c r="DR187" s="662"/>
      <c r="DS187" s="662"/>
      <c r="DT187" s="662"/>
      <c r="DU187" s="662"/>
      <c r="DV187" s="662"/>
      <c r="DW187" s="662"/>
      <c r="DX187" s="662"/>
      <c r="DY187" s="662"/>
      <c r="DZ187" s="662"/>
      <c r="EA187" s="662"/>
      <c r="EB187" s="662"/>
      <c r="EC187" s="662"/>
      <c r="ED187" s="662"/>
      <c r="EE187" s="662"/>
      <c r="EF187" s="662"/>
      <c r="EG187" s="662"/>
      <c r="EH187" s="662"/>
      <c r="EI187" s="662"/>
      <c r="EJ187" s="662"/>
      <c r="EK187" s="662"/>
      <c r="EL187" s="662"/>
      <c r="EM187" s="662"/>
      <c r="EN187" s="662"/>
      <c r="EO187" s="1614"/>
      <c r="EP187" s="1615"/>
      <c r="EQ187" s="1615"/>
      <c r="ER187" s="1615"/>
      <c r="ES187" s="1615"/>
      <c r="ET187" s="1615"/>
      <c r="EU187" s="1615"/>
      <c r="EV187" s="1615"/>
      <c r="EW187" s="1615"/>
      <c r="EX187" s="1615"/>
      <c r="EY187" s="1616"/>
      <c r="EZ187" s="662"/>
      <c r="FA187" s="662"/>
      <c r="FB187" s="662"/>
      <c r="FC187" s="662"/>
      <c r="FD187" s="662"/>
      <c r="FE187" s="662"/>
      <c r="FF187" s="662"/>
      <c r="FG187" s="662"/>
      <c r="FH187" s="662"/>
      <c r="FI187" s="662"/>
      <c r="FJ187" s="1614"/>
      <c r="FK187" s="1615"/>
      <c r="FL187" s="1615"/>
      <c r="FM187" s="1615"/>
      <c r="FN187" s="1615"/>
      <c r="FO187" s="1615"/>
      <c r="FP187" s="1615"/>
      <c r="FQ187" s="1615"/>
      <c r="FR187" s="1615"/>
      <c r="FS187" s="1615"/>
      <c r="FT187" s="1616"/>
      <c r="FU187" s="662"/>
      <c r="FV187" s="662"/>
      <c r="FW187" s="662"/>
      <c r="FX187" s="662"/>
      <c r="FY187" s="662"/>
      <c r="FZ187" s="662"/>
      <c r="GA187" s="662"/>
      <c r="GB187" s="662"/>
      <c r="GC187" s="662"/>
      <c r="GD187" s="662"/>
      <c r="GE187" s="662"/>
      <c r="GF187" s="662"/>
      <c r="GG187" s="662"/>
      <c r="GH187" s="662"/>
      <c r="GI187" s="662"/>
      <c r="GJ187" s="662"/>
      <c r="GK187" s="662"/>
      <c r="HQ187" s="516"/>
      <c r="HR187" s="2650"/>
      <c r="HS187" s="2619"/>
      <c r="HT187" s="2619"/>
      <c r="HU187" s="2619"/>
      <c r="HV187" s="2619"/>
      <c r="HW187" s="2619"/>
      <c r="HX187" s="2619"/>
      <c r="HY187" s="2619"/>
      <c r="HZ187" s="2619"/>
      <c r="IA187" s="2619"/>
      <c r="IB187" s="2619"/>
      <c r="II187" s="2644"/>
      <c r="IJ187" s="2644"/>
      <c r="IK187" s="2644"/>
      <c r="IL187" s="2644"/>
      <c r="IM187" s="2644"/>
      <c r="IN187" s="2644"/>
      <c r="IO187" s="2644"/>
      <c r="IP187" s="2644"/>
      <c r="IQ187" s="2644"/>
      <c r="IR187" s="2644"/>
      <c r="IS187" s="2652"/>
      <c r="IT187" s="517"/>
    </row>
    <row r="188" spans="19:254" ht="4.1500000000000004" customHeight="1">
      <c r="CW188" s="662"/>
      <c r="CX188" s="662"/>
      <c r="CY188" s="662"/>
      <c r="CZ188" s="662"/>
      <c r="DA188" s="662"/>
      <c r="DB188" s="662"/>
      <c r="DC188" s="662"/>
      <c r="DD188" s="662"/>
      <c r="DE188" s="662"/>
      <c r="DF188" s="662"/>
      <c r="DG188" s="662"/>
      <c r="DH188" s="662"/>
      <c r="DI188" s="662"/>
      <c r="DJ188" s="662"/>
      <c r="DK188" s="662"/>
      <c r="DL188" s="662"/>
      <c r="DM188" s="662"/>
      <c r="DN188" s="662"/>
      <c r="DO188" s="662"/>
      <c r="DP188" s="662"/>
      <c r="DQ188" s="662"/>
      <c r="DR188" s="662"/>
      <c r="DS188" s="662"/>
      <c r="DT188" s="662"/>
      <c r="DU188" s="662"/>
      <c r="DV188" s="662"/>
      <c r="DW188" s="662"/>
      <c r="DX188" s="662"/>
      <c r="DY188" s="662"/>
      <c r="DZ188" s="662"/>
      <c r="EA188" s="662"/>
      <c r="EB188" s="662"/>
      <c r="EC188" s="662"/>
      <c r="ED188" s="662"/>
      <c r="EE188" s="662"/>
      <c r="EF188" s="662"/>
      <c r="EG188" s="662"/>
      <c r="EH188" s="662"/>
      <c r="EI188" s="662"/>
      <c r="EJ188" s="662"/>
      <c r="EK188" s="662"/>
      <c r="EL188" s="662"/>
      <c r="EM188" s="662"/>
      <c r="EN188" s="662"/>
      <c r="EO188" s="662"/>
      <c r="EP188" s="662"/>
      <c r="EQ188" s="662"/>
      <c r="ER188" s="662"/>
      <c r="ES188" s="662"/>
      <c r="ET188" s="662"/>
      <c r="EU188" s="662"/>
      <c r="EV188" s="662"/>
      <c r="EW188" s="662"/>
      <c r="EX188" s="662"/>
      <c r="EY188" s="662"/>
      <c r="EZ188" s="662"/>
      <c r="FA188" s="662"/>
      <c r="FB188" s="662"/>
      <c r="FC188" s="662"/>
      <c r="FD188" s="662"/>
      <c r="FE188" s="662"/>
      <c r="FF188" s="662"/>
      <c r="FG188" s="662"/>
      <c r="FH188" s="662"/>
      <c r="FI188" s="662"/>
      <c r="FJ188" s="662"/>
      <c r="FK188" s="662"/>
      <c r="FL188" s="662"/>
      <c r="FM188" s="662"/>
      <c r="FN188" s="662"/>
      <c r="FO188" s="662"/>
      <c r="FP188" s="662"/>
      <c r="FQ188" s="662"/>
      <c r="FR188" s="662"/>
      <c r="FS188" s="662"/>
      <c r="FT188" s="662"/>
      <c r="FU188" s="662"/>
      <c r="FV188" s="662"/>
      <c r="FW188" s="662"/>
      <c r="FX188" s="662"/>
      <c r="FY188" s="662"/>
      <c r="FZ188" s="662"/>
      <c r="GA188" s="662"/>
      <c r="GB188" s="662"/>
      <c r="GC188" s="662"/>
      <c r="GD188" s="662"/>
      <c r="GE188" s="662"/>
      <c r="GF188" s="662"/>
      <c r="GG188" s="662"/>
      <c r="GH188" s="662"/>
      <c r="GI188" s="662"/>
      <c r="GJ188" s="662"/>
      <c r="GK188" s="662"/>
      <c r="HQ188" s="516"/>
      <c r="HR188" s="2651"/>
      <c r="HS188" s="2621"/>
      <c r="HT188" s="2621"/>
      <c r="HU188" s="2621"/>
      <c r="HV188" s="2621"/>
      <c r="HW188" s="2621"/>
      <c r="HX188" s="2621"/>
      <c r="HY188" s="2621"/>
      <c r="HZ188" s="2621"/>
      <c r="IA188" s="2621"/>
      <c r="IB188" s="2621"/>
      <c r="IC188" s="532"/>
      <c r="ID188" s="532"/>
      <c r="IE188" s="532"/>
      <c r="IF188" s="532"/>
      <c r="IG188" s="532"/>
      <c r="IH188" s="532"/>
      <c r="II188" s="2645"/>
      <c r="IJ188" s="2645"/>
      <c r="IK188" s="2645"/>
      <c r="IL188" s="2645"/>
      <c r="IM188" s="2645"/>
      <c r="IN188" s="2645"/>
      <c r="IO188" s="2645"/>
      <c r="IP188" s="2645"/>
      <c r="IQ188" s="2645"/>
      <c r="IR188" s="2645"/>
      <c r="IS188" s="2653"/>
      <c r="IT188" s="517"/>
    </row>
    <row r="189" spans="19:254" ht="4.1500000000000004" customHeight="1">
      <c r="CW189" s="662"/>
      <c r="CX189" s="662"/>
      <c r="CY189" s="662"/>
      <c r="CZ189" s="662"/>
      <c r="DA189" s="662"/>
      <c r="DB189" s="662"/>
      <c r="DC189" s="662"/>
      <c r="DD189" s="662"/>
      <c r="DE189" s="662"/>
      <c r="DF189" s="662"/>
      <c r="DG189" s="662"/>
      <c r="DH189" s="662"/>
      <c r="DI189" s="662"/>
      <c r="DJ189" s="662"/>
      <c r="DK189" s="662"/>
      <c r="DL189" s="662"/>
      <c r="DM189" s="662"/>
      <c r="DN189" s="662"/>
      <c r="DO189" s="662"/>
      <c r="DP189" s="662"/>
      <c r="DQ189" s="662"/>
      <c r="DR189" s="662"/>
      <c r="DS189" s="662"/>
      <c r="DT189" s="662"/>
      <c r="DU189" s="662"/>
      <c r="DV189" s="662"/>
      <c r="DW189" s="662"/>
      <c r="DX189" s="662"/>
      <c r="DY189" s="662"/>
      <c r="DZ189" s="662"/>
      <c r="EA189" s="662"/>
      <c r="EB189" s="662"/>
      <c r="EC189" s="662"/>
      <c r="ED189" s="662"/>
      <c r="EE189" s="662"/>
      <c r="EF189" s="662"/>
      <c r="EG189" s="662"/>
      <c r="EH189" s="662"/>
      <c r="EI189" s="662"/>
      <c r="EJ189" s="662"/>
      <c r="EK189" s="662"/>
      <c r="EL189" s="662"/>
      <c r="EM189" s="662"/>
      <c r="EN189" s="662"/>
      <c r="EO189" s="662"/>
      <c r="EP189" s="662"/>
      <c r="EQ189" s="662"/>
      <c r="ER189" s="662"/>
      <c r="ES189" s="662"/>
      <c r="ET189" s="662"/>
      <c r="EU189" s="662"/>
      <c r="EV189" s="662"/>
      <c r="EW189" s="662"/>
      <c r="EX189" s="662"/>
      <c r="EY189" s="662"/>
      <c r="EZ189" s="662"/>
      <c r="FA189" s="662"/>
      <c r="FB189" s="662"/>
      <c r="FC189" s="662"/>
      <c r="FD189" s="662"/>
      <c r="FE189" s="662"/>
      <c r="FF189" s="662"/>
      <c r="FG189" s="662"/>
      <c r="FH189" s="662"/>
      <c r="FI189" s="662"/>
      <c r="FJ189" s="662"/>
      <c r="FK189" s="662"/>
      <c r="FL189" s="662"/>
      <c r="FM189" s="662"/>
      <c r="FN189" s="662"/>
      <c r="FO189" s="662"/>
      <c r="FP189" s="662"/>
      <c r="FQ189" s="662"/>
      <c r="FR189" s="662"/>
      <c r="FS189" s="662"/>
      <c r="FT189" s="662"/>
      <c r="FU189" s="662"/>
      <c r="FV189" s="662"/>
      <c r="FW189" s="662"/>
      <c r="FX189" s="662"/>
      <c r="FY189" s="662"/>
      <c r="FZ189" s="662"/>
      <c r="GA189" s="662"/>
      <c r="GB189" s="662"/>
      <c r="GC189" s="662"/>
      <c r="GD189" s="662"/>
      <c r="GE189" s="662"/>
      <c r="GF189" s="662"/>
      <c r="GG189" s="662"/>
      <c r="GH189" s="662"/>
      <c r="GI189" s="662"/>
      <c r="GJ189" s="662"/>
      <c r="GK189" s="662"/>
      <c r="HQ189" s="530"/>
      <c r="HR189" s="532"/>
      <c r="HS189" s="532"/>
      <c r="HT189" s="532"/>
      <c r="HU189" s="532"/>
      <c r="HV189" s="532"/>
      <c r="HW189" s="532"/>
      <c r="HX189" s="532"/>
      <c r="HY189" s="532"/>
      <c r="HZ189" s="532"/>
      <c r="IA189" s="532"/>
      <c r="IB189" s="532"/>
      <c r="IC189" s="532"/>
      <c r="ID189" s="532"/>
      <c r="IE189" s="532"/>
      <c r="IF189" s="532"/>
      <c r="IG189" s="532"/>
      <c r="IH189" s="532"/>
      <c r="II189" s="532"/>
      <c r="IJ189" s="532"/>
      <c r="IK189" s="532"/>
      <c r="IL189" s="532"/>
      <c r="IM189" s="532"/>
      <c r="IN189" s="532"/>
      <c r="IO189" s="532"/>
      <c r="IP189" s="532"/>
      <c r="IQ189" s="532"/>
      <c r="IR189" s="532"/>
      <c r="IS189" s="532"/>
      <c r="IT189" s="531"/>
    </row>
    <row r="190" spans="19:254" ht="4.1500000000000004" customHeight="1">
      <c r="CW190" s="662"/>
      <c r="CX190" s="662"/>
      <c r="CY190" s="662"/>
      <c r="CZ190" s="662"/>
      <c r="DA190" s="662"/>
      <c r="DB190" s="662"/>
      <c r="DC190" s="662"/>
      <c r="DD190" s="662"/>
      <c r="DE190" s="662"/>
      <c r="DF190" s="662"/>
      <c r="DG190" s="662"/>
      <c r="DH190" s="662"/>
      <c r="DI190" s="662"/>
      <c r="DJ190" s="662"/>
      <c r="DK190" s="662"/>
      <c r="DL190" s="662"/>
      <c r="DM190" s="662"/>
      <c r="DN190" s="662"/>
      <c r="DO190" s="662"/>
      <c r="DP190" s="662"/>
      <c r="DQ190" s="662"/>
      <c r="DR190" s="662"/>
      <c r="DS190" s="662"/>
      <c r="DT190" s="662"/>
      <c r="DU190" s="662"/>
      <c r="DV190" s="662"/>
      <c r="DW190" s="662"/>
      <c r="DX190" s="662"/>
      <c r="DY190" s="662"/>
      <c r="DZ190" s="662"/>
      <c r="EA190" s="662"/>
      <c r="EB190" s="662"/>
      <c r="EC190" s="662"/>
      <c r="ED190" s="662"/>
      <c r="EE190" s="662"/>
      <c r="EF190" s="662"/>
      <c r="EG190" s="662"/>
      <c r="EH190" s="662"/>
      <c r="EI190" s="662"/>
      <c r="EJ190" s="662"/>
      <c r="EK190" s="662"/>
      <c r="EL190" s="662"/>
      <c r="EM190" s="662"/>
      <c r="EN190" s="662"/>
      <c r="EO190" s="662"/>
      <c r="EP190" s="662"/>
      <c r="EQ190" s="662"/>
      <c r="ER190" s="662"/>
      <c r="ES190" s="662"/>
      <c r="ET190" s="662"/>
      <c r="EU190" s="662"/>
      <c r="EV190" s="662"/>
      <c r="EW190" s="662"/>
      <c r="EX190" s="662"/>
      <c r="EY190" s="662"/>
      <c r="EZ190" s="662"/>
      <c r="FA190" s="662"/>
      <c r="FB190" s="662"/>
      <c r="FC190" s="662"/>
      <c r="FD190" s="662"/>
      <c r="FE190" s="662"/>
      <c r="FF190" s="662"/>
      <c r="FG190" s="662"/>
      <c r="FH190" s="662"/>
      <c r="FI190" s="662"/>
      <c r="FJ190" s="662"/>
      <c r="FK190" s="662"/>
      <c r="FL190" s="662"/>
      <c r="FM190" s="662"/>
      <c r="FN190" s="662"/>
      <c r="FO190" s="662"/>
      <c r="FP190" s="662"/>
      <c r="FQ190" s="662"/>
      <c r="FR190" s="662"/>
      <c r="FS190" s="662"/>
      <c r="FT190" s="662"/>
      <c r="FU190" s="662"/>
      <c r="FV190" s="662"/>
      <c r="FW190" s="662"/>
      <c r="FX190" s="662"/>
      <c r="FY190" s="662"/>
      <c r="FZ190" s="662"/>
      <c r="GA190" s="662"/>
      <c r="GB190" s="662"/>
      <c r="GC190" s="662"/>
      <c r="GD190" s="662"/>
      <c r="GE190" s="662"/>
      <c r="GF190" s="662"/>
      <c r="GG190" s="662"/>
      <c r="GH190" s="662"/>
      <c r="GI190" s="662"/>
      <c r="GJ190" s="662"/>
      <c r="GK190" s="662"/>
    </row>
    <row r="191" spans="19:254" ht="4.1500000000000004" customHeight="1">
      <c r="CY191" s="662"/>
      <c r="CZ191" s="662"/>
      <c r="DA191" s="662"/>
      <c r="DB191" s="662"/>
      <c r="DC191" s="662"/>
      <c r="DD191" s="662"/>
      <c r="DE191" s="662"/>
      <c r="DF191" s="662"/>
      <c r="DG191" s="662"/>
      <c r="DH191" s="662"/>
      <c r="DI191" s="662"/>
      <c r="DJ191" s="662"/>
      <c r="DK191" s="662"/>
      <c r="DL191" s="662"/>
      <c r="DM191" s="662"/>
      <c r="DN191" s="662"/>
      <c r="DO191" s="662"/>
      <c r="DP191" s="662"/>
      <c r="DQ191" s="662"/>
      <c r="DR191" s="662"/>
      <c r="DS191" s="662"/>
      <c r="DT191" s="662"/>
      <c r="DU191" s="662"/>
      <c r="DV191" s="662"/>
      <c r="DW191" s="662"/>
      <c r="DX191" s="662"/>
      <c r="DY191" s="662"/>
      <c r="DZ191" s="662"/>
      <c r="EA191" s="662"/>
      <c r="EB191" s="662"/>
      <c r="EC191" s="662"/>
      <c r="ED191" s="662"/>
      <c r="EE191" s="662"/>
      <c r="EF191" s="662"/>
      <c r="EG191" s="662"/>
      <c r="EH191" s="662"/>
      <c r="EI191" s="662"/>
      <c r="EJ191" s="662"/>
      <c r="EK191" s="662"/>
      <c r="EL191" s="662"/>
      <c r="EM191" s="662"/>
      <c r="EN191" s="662"/>
      <c r="EO191" s="662"/>
      <c r="EP191" s="662"/>
      <c r="EQ191" s="662"/>
      <c r="ER191" s="662"/>
      <c r="ES191" s="662"/>
      <c r="ET191" s="662"/>
      <c r="EU191" s="662"/>
      <c r="EV191" s="662"/>
      <c r="EW191" s="662"/>
      <c r="EX191" s="662"/>
      <c r="EY191" s="662"/>
      <c r="EZ191" s="662"/>
      <c r="FA191" s="662"/>
      <c r="FB191" s="662"/>
      <c r="FC191" s="662"/>
      <c r="FD191" s="662"/>
      <c r="FE191" s="662"/>
      <c r="FF191" s="662"/>
      <c r="FG191" s="662"/>
      <c r="FH191" s="662"/>
      <c r="FI191" s="662"/>
      <c r="FJ191" s="662"/>
      <c r="FK191" s="662"/>
      <c r="FL191" s="662"/>
      <c r="FM191" s="662"/>
      <c r="FN191" s="662"/>
      <c r="FO191" s="662"/>
      <c r="FP191" s="662"/>
      <c r="FQ191" s="662"/>
      <c r="FR191" s="662"/>
      <c r="FS191" s="662"/>
      <c r="FT191" s="662"/>
      <c r="FU191" s="662"/>
      <c r="FV191" s="662"/>
      <c r="FW191" s="662"/>
      <c r="FX191" s="662"/>
      <c r="FY191" s="662"/>
      <c r="FZ191" s="662"/>
      <c r="GA191" s="662"/>
      <c r="GB191" s="662"/>
      <c r="GC191" s="662"/>
      <c r="GD191" s="662"/>
      <c r="GE191" s="662"/>
      <c r="GF191" s="662"/>
      <c r="GG191" s="662"/>
      <c r="GH191" s="662"/>
      <c r="GI191" s="662"/>
      <c r="GJ191" s="662"/>
      <c r="GK191" s="662"/>
    </row>
    <row r="192" spans="19:254" ht="4.1500000000000004" customHeight="1">
      <c r="CY192" s="662"/>
      <c r="CZ192" s="662"/>
      <c r="DA192" s="662"/>
      <c r="DB192" s="662"/>
      <c r="DC192" s="662"/>
      <c r="DD192" s="662"/>
      <c r="DE192" s="662"/>
      <c r="DF192" s="662"/>
      <c r="DG192" s="662"/>
      <c r="DH192" s="662"/>
      <c r="DI192" s="662"/>
      <c r="DJ192" s="662"/>
      <c r="DK192" s="662"/>
      <c r="DL192" s="662"/>
      <c r="DM192" s="662"/>
      <c r="DN192" s="662"/>
      <c r="DO192" s="662"/>
      <c r="DP192" s="662"/>
      <c r="DQ192" s="662"/>
      <c r="DR192" s="662"/>
      <c r="DS192" s="662"/>
      <c r="DT192" s="662"/>
      <c r="DU192" s="662"/>
      <c r="DV192" s="662"/>
      <c r="DW192" s="662"/>
      <c r="DX192" s="662"/>
      <c r="DY192" s="662"/>
      <c r="DZ192" s="662"/>
      <c r="EA192" s="662"/>
      <c r="EB192" s="662"/>
      <c r="EC192" s="662"/>
      <c r="ED192" s="662"/>
      <c r="EE192" s="662"/>
      <c r="EF192" s="662"/>
      <c r="EG192" s="662"/>
      <c r="EH192" s="662"/>
      <c r="EI192" s="662"/>
      <c r="EJ192" s="662"/>
      <c r="EK192" s="662"/>
      <c r="EL192" s="662"/>
      <c r="EM192" s="662"/>
      <c r="EN192" s="662"/>
      <c r="EO192" s="662"/>
      <c r="EP192" s="662"/>
      <c r="EQ192" s="662"/>
      <c r="ER192" s="662"/>
      <c r="ES192" s="662"/>
      <c r="ET192" s="662"/>
      <c r="EU192" s="662"/>
      <c r="EV192" s="662"/>
      <c r="EW192" s="662"/>
      <c r="EX192" s="662"/>
      <c r="EY192" s="662"/>
      <c r="EZ192" s="662"/>
      <c r="FA192" s="662"/>
      <c r="FB192" s="662"/>
      <c r="FC192" s="662"/>
      <c r="FD192" s="662"/>
      <c r="FE192" s="662"/>
      <c r="FF192" s="662"/>
      <c r="FG192" s="662"/>
      <c r="FH192" s="662"/>
      <c r="FI192" s="662"/>
      <c r="FJ192" s="662"/>
      <c r="FK192" s="662"/>
      <c r="FL192" s="662"/>
      <c r="FM192" s="662"/>
      <c r="FN192" s="662"/>
      <c r="FO192" s="662"/>
      <c r="FP192" s="662"/>
      <c r="FQ192" s="662"/>
      <c r="FR192" s="662"/>
      <c r="FS192" s="662"/>
      <c r="FT192" s="662"/>
      <c r="FU192" s="662"/>
      <c r="FV192" s="662"/>
      <c r="FW192" s="662"/>
      <c r="FX192" s="662"/>
      <c r="FY192" s="662"/>
      <c r="FZ192" s="662"/>
      <c r="GA192" s="662"/>
      <c r="GB192" s="662"/>
      <c r="GC192" s="662"/>
      <c r="GD192" s="662"/>
      <c r="GE192" s="662"/>
      <c r="GF192" s="662"/>
      <c r="GG192" s="662"/>
      <c r="GH192" s="662"/>
      <c r="GI192" s="662"/>
      <c r="GJ192" s="662"/>
      <c r="GK192" s="662"/>
    </row>
    <row r="193" spans="28:274" ht="4.1500000000000004" customHeight="1">
      <c r="CW193" s="662"/>
      <c r="CX193" s="662"/>
      <c r="CY193" s="662"/>
      <c r="CZ193" s="662"/>
      <c r="DA193" s="662"/>
      <c r="DB193" s="662"/>
      <c r="DC193" s="662"/>
      <c r="DD193" s="662"/>
      <c r="DE193" s="662"/>
      <c r="DF193" s="662"/>
      <c r="DG193" s="662"/>
      <c r="DH193" s="662"/>
      <c r="DI193" s="662"/>
      <c r="DJ193" s="662"/>
      <c r="DK193" s="662"/>
      <c r="DL193" s="662"/>
      <c r="DM193" s="662"/>
      <c r="DN193" s="662"/>
      <c r="DO193" s="662"/>
      <c r="DP193" s="662"/>
      <c r="DQ193" s="662"/>
      <c r="DR193" s="662"/>
      <c r="DS193" s="662"/>
      <c r="DT193" s="662"/>
      <c r="DU193" s="662"/>
      <c r="DV193" s="662"/>
      <c r="DW193" s="662"/>
      <c r="DX193" s="662"/>
      <c r="DY193" s="662"/>
      <c r="DZ193" s="662"/>
      <c r="EA193" s="662"/>
      <c r="EB193" s="662"/>
      <c r="EC193" s="662"/>
      <c r="ED193" s="662"/>
      <c r="EE193" s="662"/>
      <c r="EF193" s="662"/>
      <c r="EG193" s="662"/>
      <c r="EH193" s="662"/>
      <c r="EI193" s="662"/>
      <c r="EJ193" s="662"/>
      <c r="EK193" s="662"/>
      <c r="EL193" s="662"/>
      <c r="EM193" s="662"/>
      <c r="EN193" s="662"/>
      <c r="EO193" s="662"/>
      <c r="EP193" s="662"/>
      <c r="EQ193" s="662"/>
      <c r="ER193" s="662"/>
      <c r="ES193" s="662"/>
      <c r="ET193" s="662"/>
      <c r="EU193" s="662"/>
      <c r="EV193" s="662"/>
      <c r="EW193" s="662"/>
      <c r="EX193" s="662"/>
      <c r="EY193" s="662"/>
      <c r="EZ193" s="662"/>
      <c r="FA193" s="662"/>
      <c r="FB193" s="662"/>
      <c r="FC193" s="662"/>
      <c r="FD193" s="662"/>
      <c r="FE193" s="662"/>
      <c r="FF193" s="662"/>
      <c r="FG193" s="662"/>
      <c r="FH193" s="662"/>
      <c r="FI193" s="662"/>
      <c r="FJ193" s="662"/>
      <c r="FK193" s="662"/>
      <c r="FL193" s="662"/>
      <c r="FM193" s="662"/>
      <c r="FN193" s="662"/>
      <c r="FO193" s="662"/>
      <c r="FP193" s="662"/>
      <c r="FQ193" s="662"/>
      <c r="FR193" s="662"/>
      <c r="FS193" s="662"/>
      <c r="FT193" s="662"/>
      <c r="FU193" s="662"/>
      <c r="FV193" s="662"/>
      <c r="FW193" s="662"/>
      <c r="FX193" s="662"/>
      <c r="FY193" s="662"/>
      <c r="FZ193" s="662"/>
      <c r="GA193" s="662"/>
      <c r="GB193" s="662"/>
      <c r="GC193" s="662"/>
      <c r="GD193" s="662"/>
      <c r="GE193" s="662"/>
      <c r="GF193" s="662"/>
      <c r="GG193" s="662"/>
      <c r="GH193" s="662"/>
      <c r="GI193" s="662"/>
      <c r="GJ193" s="662"/>
      <c r="GK193" s="662"/>
      <c r="HO193" s="1558"/>
      <c r="HP193" s="1558"/>
      <c r="HQ193" s="1558"/>
      <c r="HR193" s="1558"/>
      <c r="HS193" s="1558"/>
      <c r="HT193" s="1558"/>
      <c r="HU193" s="1558"/>
      <c r="HV193" s="1558"/>
      <c r="HW193" s="1558"/>
      <c r="HX193" s="1558"/>
      <c r="HY193" s="1558"/>
      <c r="HZ193" s="1558"/>
    </row>
    <row r="194" spans="28:274" ht="4.1500000000000004" customHeight="1">
      <c r="CW194" s="662"/>
      <c r="CX194" s="662"/>
      <c r="CY194" s="662"/>
      <c r="CZ194" s="662"/>
      <c r="DA194" s="662"/>
      <c r="DB194" s="662"/>
      <c r="DC194" s="662"/>
      <c r="DD194" s="662"/>
      <c r="DE194" s="662"/>
      <c r="DF194" s="662"/>
      <c r="DG194" s="662"/>
      <c r="DH194" s="662"/>
      <c r="DI194" s="662"/>
      <c r="DJ194" s="662"/>
      <c r="DK194" s="662"/>
      <c r="DL194" s="662"/>
      <c r="DM194" s="662"/>
      <c r="DN194" s="662"/>
      <c r="DO194" s="662"/>
      <c r="DP194" s="662"/>
      <c r="DQ194" s="662"/>
      <c r="DR194" s="662"/>
      <c r="DS194" s="662"/>
      <c r="DT194" s="662"/>
      <c r="DU194" s="662"/>
      <c r="DV194" s="662"/>
      <c r="DW194" s="662"/>
      <c r="DX194" s="662"/>
      <c r="DY194" s="662"/>
      <c r="DZ194" s="662"/>
      <c r="EA194" s="662"/>
      <c r="EB194" s="662"/>
      <c r="EC194" s="662"/>
      <c r="ED194" s="662"/>
      <c r="EE194" s="662"/>
      <c r="EF194" s="662"/>
      <c r="EG194" s="662"/>
      <c r="EH194" s="662"/>
      <c r="EI194" s="662"/>
      <c r="EJ194" s="662"/>
      <c r="EK194" s="662"/>
      <c r="EL194" s="662"/>
      <c r="EM194" s="662"/>
      <c r="EN194" s="662"/>
      <c r="EO194" s="662"/>
      <c r="EP194" s="662"/>
      <c r="EQ194" s="662"/>
      <c r="ER194" s="662"/>
      <c r="ES194" s="662"/>
      <c r="ET194" s="662"/>
      <c r="EU194" s="662"/>
      <c r="EV194" s="662"/>
      <c r="EW194" s="662"/>
      <c r="EX194" s="662"/>
      <c r="EY194" s="662"/>
      <c r="EZ194" s="662"/>
      <c r="FA194" s="662"/>
      <c r="FB194" s="662"/>
      <c r="FC194" s="662"/>
      <c r="FD194" s="662"/>
      <c r="FE194" s="662"/>
      <c r="FF194" s="662"/>
      <c r="FG194" s="662"/>
      <c r="FH194" s="662"/>
      <c r="FI194" s="662"/>
      <c r="FJ194" s="662"/>
      <c r="FK194" s="662"/>
      <c r="FL194" s="662"/>
      <c r="FM194" s="662"/>
      <c r="FN194" s="662"/>
      <c r="FO194" s="662"/>
      <c r="FP194" s="662"/>
      <c r="FQ194" s="662"/>
      <c r="FR194" s="662"/>
      <c r="FS194" s="662"/>
      <c r="FT194" s="662"/>
      <c r="FU194" s="662"/>
      <c r="FV194" s="662"/>
      <c r="FW194" s="662"/>
      <c r="FX194" s="662"/>
      <c r="FY194" s="662"/>
      <c r="FZ194" s="662"/>
      <c r="GA194" s="662"/>
      <c r="GB194" s="662"/>
      <c r="GC194" s="662"/>
      <c r="GD194" s="662"/>
      <c r="GE194" s="662"/>
      <c r="GF194" s="662"/>
      <c r="GG194" s="662"/>
      <c r="GH194" s="662"/>
      <c r="GI194" s="662"/>
      <c r="GJ194" s="662"/>
      <c r="GK194" s="662"/>
      <c r="GL194" s="662"/>
      <c r="GM194" s="662"/>
      <c r="GN194" s="662"/>
      <c r="GO194" s="662"/>
      <c r="GP194" s="662"/>
      <c r="GQ194" s="662"/>
      <c r="GR194" s="662"/>
      <c r="GS194" s="662"/>
      <c r="GT194" s="662"/>
      <c r="GU194" s="662"/>
      <c r="GV194" s="662"/>
      <c r="GW194" s="662"/>
      <c r="GX194" s="662"/>
      <c r="GY194" s="662"/>
      <c r="GZ194" s="662"/>
      <c r="HA194" s="662"/>
      <c r="HB194" s="662"/>
      <c r="HC194" s="662"/>
      <c r="HD194" s="662"/>
      <c r="HE194" s="662"/>
      <c r="HF194" s="662"/>
      <c r="HG194" s="662"/>
      <c r="HH194" s="662"/>
      <c r="HI194" s="662"/>
      <c r="HJ194" s="662"/>
      <c r="HK194" s="662"/>
      <c r="HL194" s="662"/>
      <c r="HM194" s="662"/>
      <c r="HN194" s="662"/>
      <c r="HO194" s="662"/>
      <c r="HP194" s="662"/>
      <c r="HQ194" s="662"/>
      <c r="HR194" s="662"/>
      <c r="HS194" s="662"/>
      <c r="HT194" s="662"/>
      <c r="HU194" s="662"/>
      <c r="HV194" s="662"/>
      <c r="HW194" s="662"/>
      <c r="HX194" s="662"/>
      <c r="HY194" s="662"/>
      <c r="HZ194" s="662"/>
      <c r="IA194" s="662"/>
      <c r="IB194" s="662"/>
      <c r="IC194" s="662"/>
      <c r="ID194" s="662"/>
      <c r="IE194" s="662"/>
      <c r="IF194" s="662"/>
      <c r="IG194" s="662"/>
      <c r="IH194" s="662"/>
      <c r="II194" s="662"/>
      <c r="IJ194" s="662"/>
      <c r="IK194" s="662"/>
      <c r="IL194" s="662"/>
      <c r="IM194" s="662"/>
    </row>
    <row r="195" spans="28:274" ht="4.1500000000000004" customHeight="1">
      <c r="CW195" s="662"/>
      <c r="CX195" s="662"/>
      <c r="CY195" s="662"/>
      <c r="CZ195" s="662"/>
      <c r="DA195" s="662"/>
      <c r="DB195" s="1510"/>
      <c r="DC195" s="1511"/>
      <c r="DD195" s="1511"/>
      <c r="DE195" s="1511"/>
      <c r="DF195" s="662"/>
      <c r="DG195" s="662"/>
      <c r="DH195" s="662"/>
      <c r="DI195" s="662"/>
      <c r="DJ195" s="662"/>
      <c r="DK195" s="662"/>
      <c r="DL195" s="662"/>
      <c r="DM195" s="662"/>
      <c r="DN195" s="662"/>
      <c r="DO195" s="662"/>
      <c r="DP195" s="662"/>
      <c r="DQ195" s="662"/>
      <c r="DR195" s="662"/>
      <c r="DS195" s="662"/>
      <c r="DT195" s="662"/>
      <c r="DU195" s="662"/>
      <c r="DV195" s="662"/>
      <c r="DW195" s="662"/>
      <c r="DX195" s="662"/>
      <c r="DY195" s="662"/>
      <c r="DZ195" s="662"/>
      <c r="EA195" s="662"/>
      <c r="EB195" s="662"/>
      <c r="EC195" s="662"/>
      <c r="ED195" s="662"/>
      <c r="EE195" s="662"/>
      <c r="EF195" s="662"/>
      <c r="EG195" s="662"/>
      <c r="EH195" s="662"/>
      <c r="EI195" s="662"/>
      <c r="EJ195" s="662"/>
      <c r="EK195" s="662"/>
      <c r="EL195" s="662"/>
      <c r="EM195" s="662"/>
      <c r="EN195" s="662"/>
      <c r="EO195" s="662"/>
      <c r="EP195" s="662"/>
      <c r="EQ195" s="662"/>
      <c r="ER195" s="662"/>
      <c r="ES195" s="662"/>
      <c r="ET195" s="662"/>
      <c r="EU195" s="662"/>
      <c r="EV195" s="662"/>
      <c r="EW195" s="662"/>
      <c r="EX195" s="662"/>
      <c r="EY195" s="662"/>
      <c r="EZ195" s="662"/>
      <c r="FA195" s="662"/>
      <c r="FB195" s="662"/>
      <c r="FC195" s="662"/>
      <c r="FD195" s="662"/>
      <c r="FE195" s="662"/>
      <c r="FF195" s="662"/>
      <c r="FG195" s="662"/>
      <c r="FH195" s="662"/>
      <c r="FI195" s="662"/>
      <c r="FJ195" s="662"/>
      <c r="FK195" s="662"/>
      <c r="FL195" s="662"/>
      <c r="FM195" s="662"/>
      <c r="FN195" s="662"/>
      <c r="FO195" s="662"/>
      <c r="FP195" s="662"/>
      <c r="FQ195" s="662"/>
      <c r="FR195" s="662"/>
      <c r="FS195" s="662"/>
      <c r="FT195" s="662"/>
      <c r="FU195" s="662"/>
      <c r="FV195" s="662"/>
      <c r="FW195" s="662"/>
      <c r="FX195" s="662"/>
      <c r="FY195" s="662"/>
      <c r="FZ195" s="662"/>
      <c r="GA195" s="662"/>
      <c r="GB195" s="662"/>
      <c r="GC195" s="662"/>
      <c r="GD195" s="662"/>
      <c r="GE195" s="662"/>
      <c r="GF195" s="662"/>
      <c r="GG195" s="662"/>
      <c r="GH195" s="662"/>
      <c r="GI195" s="662"/>
      <c r="GJ195" s="662"/>
      <c r="GK195" s="662"/>
      <c r="GL195" s="662"/>
      <c r="GM195" s="662"/>
      <c r="GN195" s="662"/>
      <c r="GO195" s="662"/>
      <c r="GP195" s="662"/>
      <c r="GQ195" s="662"/>
      <c r="GR195" s="662"/>
      <c r="GS195" s="662"/>
      <c r="GT195" s="662"/>
      <c r="GU195" s="662"/>
      <c r="GV195" s="662"/>
      <c r="GW195" s="662"/>
      <c r="GX195" s="662"/>
      <c r="GY195" s="662"/>
      <c r="GZ195" s="662"/>
      <c r="HA195" s="662"/>
      <c r="HB195" s="662"/>
      <c r="HC195" s="662"/>
      <c r="HD195" s="662"/>
      <c r="HE195" s="662"/>
      <c r="HF195" s="662"/>
      <c r="HG195" s="662"/>
      <c r="HH195" s="662"/>
      <c r="HI195" s="662"/>
      <c r="HJ195" s="662"/>
      <c r="HK195" s="662"/>
      <c r="HL195" s="662"/>
      <c r="HM195" s="662"/>
      <c r="HN195" s="662"/>
      <c r="HO195" s="662"/>
      <c r="HP195" s="662"/>
      <c r="HQ195" s="662"/>
      <c r="HR195" s="662"/>
      <c r="HS195" s="662"/>
      <c r="HT195" s="662"/>
      <c r="HU195" s="662"/>
      <c r="HV195" s="662"/>
      <c r="HW195" s="662"/>
      <c r="HX195" s="662"/>
      <c r="HY195" s="662"/>
      <c r="HZ195" s="662"/>
      <c r="IA195" s="662"/>
      <c r="IB195" s="662"/>
      <c r="IC195" s="662"/>
      <c r="ID195" s="662"/>
      <c r="IE195" s="662"/>
      <c r="IF195" s="662"/>
      <c r="IG195" s="662"/>
      <c r="IH195" s="662"/>
      <c r="II195" s="662"/>
      <c r="IJ195" s="662"/>
      <c r="IK195" s="662"/>
      <c r="IL195" s="662"/>
      <c r="IM195" s="662"/>
    </row>
    <row r="196" spans="28:274" ht="4.1500000000000004" customHeight="1">
      <c r="BC196" s="1600"/>
      <c r="BD196" s="1600"/>
      <c r="BE196" s="1600"/>
      <c r="BF196" s="1600"/>
      <c r="BG196" s="1600"/>
      <c r="BH196" s="1600"/>
      <c r="BI196" s="1600"/>
      <c r="BJ196" s="1600"/>
      <c r="BK196" s="1600"/>
      <c r="BL196" s="1600"/>
      <c r="BM196" s="1600"/>
      <c r="BN196" s="1600"/>
      <c r="BO196" s="1600"/>
      <c r="BP196" s="1600"/>
      <c r="BQ196" s="1600"/>
      <c r="BR196" s="1600"/>
      <c r="BS196" s="1600"/>
      <c r="BT196" s="1600"/>
      <c r="CW196" s="662"/>
      <c r="CX196" s="662"/>
      <c r="CY196" s="662"/>
      <c r="CZ196" s="662"/>
      <c r="DA196" s="662"/>
      <c r="DB196" s="1511"/>
      <c r="DC196" s="1511"/>
      <c r="DD196" s="1511"/>
      <c r="DE196" s="1511"/>
      <c r="DF196" s="662"/>
      <c r="DG196" s="662"/>
      <c r="DH196" s="662"/>
      <c r="DI196" s="662"/>
      <c r="DJ196" s="662"/>
      <c r="DK196" s="662"/>
      <c r="DL196" s="662"/>
      <c r="DM196" s="662"/>
      <c r="DN196" s="662"/>
      <c r="DO196" s="662"/>
      <c r="DP196" s="662"/>
      <c r="DQ196" s="662"/>
      <c r="DR196" s="662"/>
      <c r="DS196" s="662"/>
      <c r="DT196" s="662"/>
      <c r="DU196" s="662"/>
      <c r="DV196" s="662"/>
      <c r="DW196" s="662"/>
      <c r="DX196" s="662"/>
      <c r="DY196" s="662"/>
      <c r="DZ196" s="662"/>
      <c r="EA196" s="662"/>
      <c r="EB196" s="662"/>
      <c r="EC196" s="662"/>
      <c r="ED196" s="662"/>
      <c r="EE196" s="662"/>
      <c r="EF196" s="662"/>
      <c r="EG196" s="662"/>
      <c r="EH196" s="662"/>
      <c r="EI196" s="662"/>
      <c r="EJ196" s="662"/>
      <c r="EK196" s="662"/>
      <c r="EL196" s="662"/>
      <c r="EM196" s="662"/>
      <c r="EN196" s="662"/>
      <c r="EO196" s="662"/>
      <c r="EP196" s="662"/>
      <c r="EQ196" s="662"/>
      <c r="ER196" s="662"/>
      <c r="ES196" s="662"/>
      <c r="ET196" s="662"/>
      <c r="EU196" s="662"/>
      <c r="EV196" s="662"/>
      <c r="EW196" s="662"/>
      <c r="EX196" s="662"/>
      <c r="EY196" s="662"/>
      <c r="EZ196" s="662"/>
      <c r="FA196" s="662"/>
      <c r="FB196" s="662"/>
      <c r="FC196" s="662"/>
      <c r="FD196" s="662"/>
      <c r="FE196" s="662"/>
      <c r="FF196" s="662"/>
      <c r="FG196" s="662"/>
      <c r="FH196" s="662"/>
      <c r="FI196" s="662"/>
      <c r="FJ196" s="662"/>
      <c r="FK196" s="662"/>
      <c r="FL196" s="662"/>
      <c r="FM196" s="662"/>
      <c r="FN196" s="662"/>
      <c r="FO196" s="662"/>
      <c r="FP196" s="662"/>
      <c r="FQ196" s="662"/>
      <c r="FR196" s="662"/>
      <c r="FS196" s="662"/>
      <c r="FT196" s="662"/>
      <c r="FU196" s="662"/>
      <c r="FV196" s="662"/>
      <c r="FW196" s="662"/>
      <c r="FX196" s="662"/>
      <c r="FY196" s="662"/>
      <c r="FZ196" s="662"/>
      <c r="GA196" s="662"/>
      <c r="GB196" s="662"/>
      <c r="GC196" s="662"/>
      <c r="GD196" s="662"/>
      <c r="GE196" s="662"/>
      <c r="GF196" s="662"/>
      <c r="GG196" s="662"/>
      <c r="GH196" s="662"/>
      <c r="GI196" s="662"/>
      <c r="GJ196" s="662"/>
      <c r="GK196" s="662"/>
      <c r="GL196" s="662"/>
      <c r="GM196" s="662"/>
      <c r="GN196" s="662"/>
      <c r="GO196" s="662"/>
      <c r="GP196" s="662"/>
      <c r="GQ196" s="662"/>
      <c r="GR196" s="662"/>
      <c r="GS196" s="662"/>
      <c r="GT196" s="662"/>
      <c r="GU196" s="662"/>
      <c r="GV196" s="662"/>
      <c r="GW196" s="662"/>
      <c r="GX196" s="662"/>
      <c r="GY196" s="662"/>
      <c r="GZ196" s="662"/>
      <c r="HA196" s="662"/>
      <c r="HB196" s="662"/>
      <c r="HC196" s="662"/>
      <c r="HD196" s="662"/>
      <c r="HE196" s="662"/>
      <c r="HF196" s="662"/>
      <c r="HG196" s="662"/>
      <c r="HH196" s="662"/>
      <c r="HI196" s="662"/>
      <c r="HJ196" s="662"/>
      <c r="HK196" s="662"/>
      <c r="HL196" s="662"/>
      <c r="HM196" s="662"/>
      <c r="HN196" s="662"/>
      <c r="HO196" s="662"/>
      <c r="HP196" s="662"/>
      <c r="HQ196" s="662"/>
      <c r="HR196" s="662"/>
      <c r="HS196" s="662"/>
      <c r="HT196" s="662"/>
      <c r="HU196" s="662"/>
      <c r="HV196" s="662"/>
      <c r="HW196" s="662"/>
      <c r="HX196" s="662"/>
      <c r="HY196" s="662"/>
      <c r="HZ196" s="662"/>
      <c r="IA196" s="662"/>
      <c r="IB196" s="662"/>
      <c r="IC196" s="662"/>
      <c r="ID196" s="662"/>
      <c r="IE196" s="662"/>
      <c r="IF196" s="662"/>
      <c r="IG196" s="662"/>
      <c r="IH196" s="662"/>
      <c r="II196" s="662"/>
      <c r="IJ196" s="662"/>
      <c r="IK196" s="662"/>
      <c r="IL196" s="662"/>
      <c r="IM196" s="662"/>
    </row>
    <row r="197" spans="28:274" ht="4.1500000000000004" customHeight="1">
      <c r="BC197" s="1600"/>
      <c r="BD197" s="1600"/>
      <c r="BE197" s="1600"/>
      <c r="BF197" s="1600"/>
      <c r="BG197" s="1600"/>
      <c r="BH197" s="1600"/>
      <c r="BI197" s="1600"/>
      <c r="BJ197" s="1600"/>
      <c r="BK197" s="1600"/>
      <c r="BL197" s="1600"/>
      <c r="BM197" s="1600"/>
      <c r="BN197" s="1600"/>
      <c r="BO197" s="1600"/>
      <c r="BP197" s="1600"/>
      <c r="BQ197" s="1600"/>
      <c r="BR197" s="1600"/>
      <c r="BS197" s="1600"/>
      <c r="BT197" s="1600"/>
      <c r="CW197" s="662"/>
      <c r="CX197" s="662"/>
      <c r="CY197" s="662"/>
      <c r="CZ197" s="662"/>
      <c r="DA197" s="662"/>
      <c r="DB197" s="1511"/>
      <c r="DC197" s="1511"/>
      <c r="DD197" s="1511"/>
      <c r="DE197" s="1511"/>
      <c r="DF197" s="662"/>
      <c r="DG197" s="662"/>
      <c r="DH197" s="662"/>
      <c r="DI197" s="662"/>
      <c r="DJ197" s="662"/>
      <c r="DK197" s="662"/>
      <c r="DL197" s="662"/>
      <c r="DM197" s="662"/>
      <c r="DN197" s="662"/>
      <c r="DO197" s="662"/>
      <c r="DP197" s="662"/>
      <c r="DQ197" s="662"/>
      <c r="DR197" s="662"/>
      <c r="DS197" s="662"/>
      <c r="DT197" s="662"/>
      <c r="DU197" s="662"/>
      <c r="DV197" s="662"/>
      <c r="DW197" s="662"/>
      <c r="DX197" s="662"/>
      <c r="DY197" s="662"/>
      <c r="DZ197" s="662"/>
      <c r="EA197" s="662"/>
      <c r="EB197" s="662"/>
      <c r="EC197" s="662"/>
      <c r="ED197" s="662"/>
      <c r="EE197" s="662"/>
      <c r="EF197" s="662"/>
      <c r="EG197" s="662"/>
      <c r="EH197" s="662"/>
      <c r="EI197" s="662"/>
      <c r="EJ197" s="662"/>
      <c r="EK197" s="662"/>
      <c r="EL197" s="662"/>
      <c r="EM197" s="662"/>
      <c r="EN197" s="662"/>
      <c r="EO197" s="662"/>
      <c r="EP197" s="662"/>
      <c r="EQ197" s="662"/>
      <c r="ER197" s="662"/>
      <c r="ES197" s="662"/>
      <c r="ET197" s="662"/>
      <c r="EU197" s="662"/>
      <c r="EV197" s="662"/>
      <c r="EW197" s="662"/>
      <c r="EX197" s="662"/>
      <c r="EY197" s="662"/>
      <c r="EZ197" s="662"/>
      <c r="FA197" s="662"/>
      <c r="FB197" s="662"/>
      <c r="FC197" s="662"/>
      <c r="FD197" s="662"/>
      <c r="FE197" s="662"/>
      <c r="FF197" s="662"/>
      <c r="FG197" s="662"/>
      <c r="FH197" s="662"/>
      <c r="FI197" s="662"/>
      <c r="FJ197" s="662"/>
      <c r="FK197" s="662"/>
      <c r="FL197" s="662"/>
      <c r="FM197" s="662"/>
      <c r="FN197" s="662"/>
      <c r="FO197" s="662"/>
      <c r="FP197" s="662"/>
      <c r="FQ197" s="662"/>
      <c r="FR197" s="662"/>
      <c r="FS197" s="662"/>
      <c r="FT197" s="662"/>
      <c r="FU197" s="662"/>
      <c r="FV197" s="662"/>
      <c r="FW197" s="662"/>
      <c r="FX197" s="662"/>
      <c r="FY197" s="662"/>
      <c r="FZ197" s="662"/>
      <c r="GA197" s="662"/>
      <c r="GB197" s="662"/>
      <c r="GC197" s="662"/>
      <c r="GD197" s="662"/>
      <c r="GE197" s="662"/>
      <c r="GF197" s="662"/>
      <c r="GG197" s="662"/>
      <c r="GH197" s="662"/>
      <c r="GI197" s="662"/>
      <c r="GJ197" s="662"/>
      <c r="GK197" s="662"/>
      <c r="GL197" s="662"/>
      <c r="GM197" s="662"/>
      <c r="GN197" s="662"/>
      <c r="GO197" s="662"/>
      <c r="GP197" s="662"/>
      <c r="GQ197" s="662"/>
      <c r="GR197" s="662"/>
      <c r="GS197" s="662"/>
      <c r="GT197" s="662"/>
      <c r="GU197" s="662"/>
      <c r="GV197" s="662"/>
      <c r="GW197" s="662"/>
      <c r="GX197" s="662"/>
      <c r="GY197" s="662"/>
      <c r="GZ197" s="662"/>
      <c r="HA197" s="662"/>
      <c r="HB197" s="662"/>
      <c r="HC197" s="662"/>
      <c r="HD197" s="662"/>
      <c r="HE197" s="662"/>
      <c r="HF197" s="662"/>
      <c r="HG197" s="662"/>
      <c r="HH197" s="662"/>
      <c r="HI197" s="662"/>
      <c r="HJ197" s="662"/>
      <c r="HK197" s="662"/>
      <c r="HL197" s="662"/>
      <c r="HM197" s="662"/>
      <c r="HN197" s="662"/>
      <c r="HO197" s="662"/>
      <c r="HP197" s="662"/>
      <c r="HQ197" s="662"/>
      <c r="HR197" s="662"/>
      <c r="HS197" s="662"/>
      <c r="HT197" s="662"/>
      <c r="HU197" s="662"/>
      <c r="HV197" s="662"/>
      <c r="HW197" s="662"/>
      <c r="HX197" s="662"/>
      <c r="HY197" s="662"/>
      <c r="HZ197" s="662"/>
      <c r="IA197" s="662"/>
      <c r="IB197" s="662"/>
      <c r="IC197" s="662"/>
      <c r="ID197" s="662"/>
      <c r="IE197" s="662"/>
      <c r="IF197" s="662"/>
      <c r="IG197" s="662"/>
      <c r="IH197" s="662"/>
      <c r="II197" s="662"/>
      <c r="IJ197" s="662"/>
      <c r="IK197" s="662"/>
      <c r="IL197" s="662"/>
      <c r="IM197" s="662"/>
    </row>
    <row r="198" spans="28:274" ht="4.1500000000000004" customHeight="1">
      <c r="BC198" s="1600"/>
      <c r="BD198" s="1600"/>
      <c r="BE198" s="1600"/>
      <c r="BF198" s="1600"/>
      <c r="BG198" s="1600"/>
      <c r="BH198" s="1600"/>
      <c r="BI198" s="1600"/>
      <c r="BJ198" s="1600"/>
      <c r="BK198" s="1600"/>
      <c r="BL198" s="1600"/>
      <c r="BM198" s="1600"/>
      <c r="BN198" s="1600"/>
      <c r="BO198" s="1600"/>
      <c r="BP198" s="1600"/>
      <c r="BQ198" s="1600"/>
      <c r="BR198" s="1600"/>
      <c r="BS198" s="1600"/>
      <c r="BT198" s="1600"/>
      <c r="CW198" s="662"/>
      <c r="CX198" s="662"/>
      <c r="CY198" s="662"/>
      <c r="CZ198" s="662"/>
      <c r="DA198" s="662"/>
      <c r="DB198" s="1511"/>
      <c r="DC198" s="1511"/>
      <c r="DD198" s="1511"/>
      <c r="DE198" s="1511"/>
      <c r="DF198" s="662"/>
      <c r="DG198" s="662"/>
      <c r="DH198" s="662"/>
      <c r="DI198" s="662"/>
      <c r="DJ198" s="662"/>
      <c r="DK198" s="662"/>
      <c r="DL198" s="662"/>
      <c r="DM198" s="662"/>
      <c r="DN198" s="662"/>
      <c r="DO198" s="662"/>
      <c r="DP198" s="662"/>
      <c r="DQ198" s="662"/>
      <c r="DR198" s="662"/>
      <c r="DS198" s="662"/>
      <c r="DT198" s="662"/>
      <c r="DU198" s="662"/>
      <c r="DV198" s="662"/>
      <c r="DW198" s="662"/>
      <c r="DX198" s="662"/>
      <c r="DY198" s="662"/>
      <c r="DZ198" s="662"/>
      <c r="EA198" s="662"/>
      <c r="EB198" s="662"/>
      <c r="EC198" s="662"/>
      <c r="ED198" s="662"/>
      <c r="EE198" s="662"/>
      <c r="EF198" s="662"/>
      <c r="EG198" s="662"/>
      <c r="EH198" s="662"/>
      <c r="EI198" s="662"/>
      <c r="EJ198" s="662"/>
      <c r="EK198" s="662"/>
      <c r="EL198" s="662"/>
      <c r="EM198" s="662"/>
      <c r="EN198" s="662"/>
      <c r="EO198" s="662"/>
      <c r="EP198" s="662"/>
      <c r="EQ198" s="662"/>
      <c r="ER198" s="662"/>
      <c r="ES198" s="662"/>
      <c r="ET198" s="662"/>
      <c r="EU198" s="662"/>
      <c r="EV198" s="662"/>
      <c r="EW198" s="662"/>
      <c r="EX198" s="662"/>
      <c r="EY198" s="662"/>
      <c r="EZ198" s="662"/>
      <c r="FA198" s="662"/>
      <c r="FB198" s="662"/>
      <c r="FC198" s="662"/>
      <c r="FD198" s="662"/>
      <c r="FE198" s="662"/>
      <c r="FF198" s="662"/>
      <c r="FG198" s="662"/>
      <c r="FH198" s="662"/>
      <c r="FI198" s="662"/>
      <c r="FJ198" s="662"/>
      <c r="FK198" s="662"/>
      <c r="FL198" s="662"/>
      <c r="FM198" s="662"/>
      <c r="FN198" s="662"/>
      <c r="FO198" s="662"/>
      <c r="FP198" s="662"/>
      <c r="FQ198" s="662"/>
      <c r="FR198" s="662"/>
      <c r="FS198" s="662"/>
      <c r="FT198" s="662"/>
      <c r="FU198" s="662"/>
      <c r="FV198" s="662"/>
      <c r="FW198" s="662"/>
      <c r="FX198" s="662"/>
      <c r="FY198" s="662"/>
      <c r="FZ198" s="662"/>
      <c r="GA198" s="662"/>
      <c r="GB198" s="662"/>
      <c r="GC198" s="662"/>
      <c r="GD198" s="662"/>
      <c r="GE198" s="662"/>
      <c r="GF198" s="662"/>
      <c r="GG198" s="662"/>
      <c r="GH198" s="662"/>
      <c r="GI198" s="662"/>
      <c r="GJ198" s="662"/>
      <c r="GK198" s="662"/>
      <c r="GL198" s="662"/>
      <c r="GM198" s="662"/>
      <c r="GN198" s="662"/>
      <c r="GO198" s="662"/>
      <c r="GP198" s="662"/>
      <c r="GQ198" s="662"/>
      <c r="GR198" s="662"/>
      <c r="GS198" s="662"/>
      <c r="GT198" s="662"/>
      <c r="GU198" s="662"/>
      <c r="GV198" s="662"/>
      <c r="GW198" s="662"/>
      <c r="GX198" s="662"/>
      <c r="GY198" s="662"/>
      <c r="GZ198" s="662"/>
      <c r="HA198" s="662"/>
      <c r="HB198" s="662"/>
      <c r="HC198" s="662"/>
      <c r="HD198" s="662"/>
      <c r="HE198" s="662"/>
      <c r="HF198" s="662"/>
      <c r="HG198" s="662"/>
      <c r="HH198" s="662"/>
      <c r="HI198" s="662"/>
      <c r="HJ198" s="662"/>
      <c r="HK198" s="662"/>
      <c r="HL198" s="662"/>
      <c r="HM198" s="662"/>
      <c r="HN198" s="662"/>
      <c r="HO198" s="662"/>
      <c r="HP198" s="662"/>
      <c r="HQ198" s="662"/>
      <c r="HR198" s="662"/>
      <c r="HS198" s="662"/>
      <c r="HT198" s="662"/>
      <c r="HU198" s="662"/>
      <c r="HV198" s="662"/>
      <c r="HW198" s="662"/>
      <c r="HX198" s="662"/>
      <c r="HY198" s="662"/>
      <c r="HZ198" s="662"/>
      <c r="IA198" s="662"/>
      <c r="IB198" s="662"/>
      <c r="IC198" s="662"/>
      <c r="ID198" s="662"/>
      <c r="IE198" s="662"/>
      <c r="IF198" s="662"/>
      <c r="IG198" s="662"/>
      <c r="IH198" s="662"/>
      <c r="II198" s="662"/>
      <c r="IJ198" s="662"/>
      <c r="IK198" s="662"/>
      <c r="IL198" s="662"/>
      <c r="IM198" s="662"/>
    </row>
    <row r="199" spans="28:274" ht="4.1500000000000004" customHeight="1">
      <c r="BC199" s="1509"/>
      <c r="BD199" s="1509"/>
      <c r="BE199" s="1509"/>
      <c r="BF199" s="1509"/>
      <c r="BG199" s="1509"/>
      <c r="BH199" s="1509"/>
      <c r="BI199" s="1509"/>
      <c r="BJ199" s="1599"/>
      <c r="BK199" s="1599"/>
      <c r="BL199" s="1599"/>
      <c r="BM199" s="1599"/>
      <c r="BN199" s="1599"/>
      <c r="BO199" s="1599"/>
      <c r="BP199" s="1599"/>
      <c r="BQ199" s="1599"/>
      <c r="BR199" s="1599"/>
      <c r="BS199" s="1599"/>
      <c r="BT199" s="1599"/>
      <c r="CW199" s="662"/>
      <c r="CX199" s="662"/>
      <c r="CY199" s="662"/>
      <c r="CZ199" s="662"/>
      <c r="DA199" s="662"/>
      <c r="DB199" s="1511"/>
      <c r="DC199" s="1511"/>
      <c r="DD199" s="1511"/>
      <c r="DE199" s="1511"/>
      <c r="DF199" s="662"/>
      <c r="DG199" s="662"/>
      <c r="DH199" s="662"/>
      <c r="DI199" s="662"/>
      <c r="DJ199" s="662"/>
      <c r="DK199" s="662"/>
      <c r="DL199" s="662"/>
      <c r="DM199" s="662"/>
      <c r="DN199" s="662"/>
      <c r="DO199" s="662"/>
      <c r="DP199" s="662"/>
      <c r="DQ199" s="662"/>
      <c r="DR199" s="662"/>
      <c r="DS199" s="662"/>
      <c r="DT199" s="662"/>
      <c r="DU199" s="662"/>
      <c r="DV199" s="662"/>
      <c r="DW199" s="662"/>
      <c r="DX199" s="662"/>
      <c r="DY199" s="662"/>
      <c r="DZ199" s="662"/>
      <c r="EA199" s="662"/>
      <c r="EB199" s="662"/>
      <c r="EC199" s="662"/>
      <c r="ED199" s="662"/>
      <c r="EE199" s="662"/>
      <c r="EF199" s="662"/>
      <c r="EG199" s="662"/>
      <c r="EH199" s="662"/>
      <c r="EI199" s="662"/>
      <c r="EJ199" s="662"/>
      <c r="EK199" s="662"/>
      <c r="EL199" s="662"/>
      <c r="EM199" s="662"/>
      <c r="EN199" s="662"/>
      <c r="EO199" s="662"/>
      <c r="EP199" s="662"/>
      <c r="EQ199" s="662"/>
      <c r="ER199" s="662"/>
      <c r="ES199" s="662"/>
      <c r="ET199" s="662"/>
      <c r="EU199" s="662"/>
      <c r="EV199" s="662"/>
      <c r="EW199" s="662"/>
      <c r="EX199" s="662"/>
      <c r="EY199" s="662"/>
      <c r="EZ199" s="662"/>
      <c r="FA199" s="662"/>
      <c r="FB199" s="662"/>
      <c r="FC199" s="662"/>
      <c r="FD199" s="662"/>
      <c r="FE199" s="662"/>
      <c r="FF199" s="662"/>
      <c r="FG199" s="662"/>
      <c r="FH199" s="662"/>
      <c r="FI199" s="662"/>
      <c r="FJ199" s="662"/>
      <c r="FK199" s="662"/>
      <c r="FL199" s="662"/>
      <c r="FM199" s="662"/>
      <c r="FN199" s="662"/>
      <c r="FO199" s="662"/>
      <c r="FP199" s="662"/>
      <c r="FQ199" s="662"/>
      <c r="FR199" s="662"/>
      <c r="FS199" s="662"/>
      <c r="FT199" s="662"/>
      <c r="FU199" s="662"/>
      <c r="FV199" s="662"/>
      <c r="FW199" s="662"/>
      <c r="FX199" s="662"/>
      <c r="FY199" s="662"/>
      <c r="FZ199" s="662"/>
      <c r="GA199" s="662"/>
      <c r="GB199" s="662"/>
      <c r="GC199" s="662"/>
      <c r="GD199" s="662"/>
      <c r="GE199" s="662"/>
      <c r="GF199" s="662"/>
      <c r="GG199" s="662"/>
      <c r="GH199" s="662"/>
      <c r="GI199" s="662"/>
      <c r="GJ199" s="662"/>
      <c r="GK199" s="662"/>
      <c r="GL199" s="662"/>
      <c r="GM199" s="662"/>
      <c r="GN199" s="662"/>
      <c r="GO199" s="662"/>
      <c r="GP199" s="662"/>
      <c r="GQ199" s="662"/>
      <c r="GR199" s="662"/>
      <c r="GS199" s="662"/>
      <c r="GT199" s="662"/>
      <c r="GU199" s="662"/>
      <c r="GV199" s="662"/>
      <c r="GW199" s="662"/>
      <c r="GX199" s="662"/>
      <c r="GY199" s="662"/>
      <c r="GZ199" s="662"/>
      <c r="HA199" s="662"/>
      <c r="HB199" s="662"/>
      <c r="HC199" s="662"/>
      <c r="HD199" s="662"/>
      <c r="HE199" s="662"/>
      <c r="HF199" s="662"/>
      <c r="HG199" s="662"/>
      <c r="HH199" s="662"/>
      <c r="HI199" s="662"/>
      <c r="HJ199" s="662"/>
      <c r="HK199" s="662"/>
      <c r="HL199" s="662"/>
      <c r="HM199" s="662"/>
      <c r="HN199" s="662"/>
      <c r="HO199" s="662"/>
      <c r="HP199" s="662"/>
      <c r="HQ199" s="662"/>
      <c r="HR199" s="662"/>
      <c r="HS199" s="662"/>
      <c r="HT199" s="662"/>
      <c r="HU199" s="662"/>
      <c r="HV199" s="662"/>
      <c r="HW199" s="662"/>
      <c r="HX199" s="662"/>
      <c r="HY199" s="662"/>
      <c r="HZ199" s="662"/>
      <c r="IA199" s="662"/>
      <c r="IB199" s="662"/>
      <c r="IC199" s="662"/>
      <c r="ID199" s="662"/>
      <c r="IE199" s="662"/>
      <c r="IF199" s="662"/>
      <c r="IG199" s="662"/>
      <c r="IH199" s="662"/>
      <c r="II199" s="662"/>
      <c r="IJ199" s="662"/>
      <c r="IK199" s="662"/>
      <c r="IL199" s="662"/>
      <c r="IM199" s="662"/>
    </row>
    <row r="200" spans="28:274" ht="4.1500000000000004" customHeight="1">
      <c r="BC200" s="1509"/>
      <c r="BD200" s="1509"/>
      <c r="BE200" s="1509"/>
      <c r="BF200" s="1509"/>
      <c r="BG200" s="1509"/>
      <c r="BH200" s="1509"/>
      <c r="BI200" s="1509"/>
      <c r="BJ200" s="1599"/>
      <c r="BK200" s="1599"/>
      <c r="BL200" s="1599"/>
      <c r="BM200" s="1599"/>
      <c r="BN200" s="1599"/>
      <c r="BO200" s="1599"/>
      <c r="BP200" s="1599"/>
      <c r="BQ200" s="1599"/>
      <c r="BR200" s="1599"/>
      <c r="BS200" s="1599"/>
      <c r="BT200" s="1599"/>
      <c r="CW200" s="662"/>
      <c r="CX200" s="662"/>
      <c r="CY200" s="662"/>
      <c r="CZ200" s="662"/>
      <c r="DA200" s="662"/>
      <c r="DB200" s="1511"/>
      <c r="DC200" s="1511"/>
      <c r="DD200" s="1511"/>
      <c r="DE200" s="1511"/>
      <c r="DF200" s="662"/>
      <c r="DG200" s="662"/>
      <c r="DH200" s="662"/>
      <c r="DI200" s="662"/>
      <c r="DJ200" s="662"/>
      <c r="DK200" s="662"/>
      <c r="DL200" s="662"/>
      <c r="DM200" s="662"/>
      <c r="DN200" s="662"/>
      <c r="DO200" s="662"/>
      <c r="DP200" s="662"/>
      <c r="DQ200" s="662"/>
      <c r="DR200" s="662"/>
      <c r="DS200" s="662"/>
      <c r="DT200" s="662"/>
      <c r="DU200" s="662"/>
      <c r="DV200" s="662"/>
      <c r="DW200" s="662"/>
      <c r="DX200" s="662"/>
      <c r="DY200" s="662"/>
      <c r="DZ200" s="662"/>
      <c r="EA200" s="662"/>
      <c r="EB200" s="662"/>
      <c r="EC200" s="662"/>
      <c r="ED200" s="662"/>
      <c r="EE200" s="662"/>
      <c r="EF200" s="662"/>
      <c r="EG200" s="662"/>
      <c r="EH200" s="662"/>
      <c r="EI200" s="662"/>
      <c r="EJ200" s="662"/>
      <c r="EK200" s="662"/>
      <c r="EL200" s="662"/>
      <c r="EM200" s="662"/>
      <c r="EN200" s="662"/>
      <c r="EO200" s="662"/>
      <c r="EP200" s="662"/>
      <c r="EQ200" s="662"/>
      <c r="ER200" s="662"/>
      <c r="ES200" s="662"/>
      <c r="ET200" s="662"/>
      <c r="EU200" s="662"/>
      <c r="EV200" s="662"/>
      <c r="EW200" s="662"/>
      <c r="EX200" s="662"/>
      <c r="EY200" s="662"/>
      <c r="EZ200" s="662"/>
      <c r="FA200" s="662"/>
      <c r="FB200" s="662"/>
      <c r="FC200" s="662"/>
      <c r="FD200" s="662"/>
      <c r="FE200" s="662"/>
      <c r="FF200" s="662"/>
      <c r="FG200" s="662"/>
      <c r="FH200" s="662"/>
      <c r="FI200" s="662"/>
      <c r="FJ200" s="662"/>
      <c r="FK200" s="662"/>
      <c r="FL200" s="662"/>
      <c r="FM200" s="662"/>
      <c r="FN200" s="662"/>
      <c r="FO200" s="662"/>
      <c r="FP200" s="662"/>
      <c r="FQ200" s="662"/>
      <c r="FR200" s="662"/>
      <c r="FS200" s="662"/>
      <c r="FT200" s="662"/>
      <c r="FU200" s="662"/>
      <c r="FV200" s="662"/>
      <c r="FW200" s="662"/>
      <c r="FX200" s="662"/>
      <c r="FY200" s="662"/>
      <c r="FZ200" s="662"/>
      <c r="GA200" s="662"/>
      <c r="GB200" s="662"/>
      <c r="GC200" s="662"/>
      <c r="GD200" s="662"/>
      <c r="GE200" s="662"/>
      <c r="GF200" s="662"/>
      <c r="GG200" s="662"/>
      <c r="GH200" s="662"/>
      <c r="GI200" s="662"/>
      <c r="GJ200" s="662"/>
      <c r="GK200" s="662"/>
      <c r="GL200" s="662"/>
      <c r="GM200" s="662"/>
      <c r="GN200" s="662"/>
      <c r="GO200" s="662"/>
      <c r="GP200" s="662"/>
      <c r="GQ200" s="662"/>
      <c r="GR200" s="662"/>
      <c r="GS200" s="662"/>
      <c r="GT200" s="662"/>
      <c r="GU200" s="662"/>
      <c r="GV200" s="662"/>
      <c r="GW200" s="662"/>
      <c r="GX200" s="662"/>
      <c r="GY200" s="662"/>
      <c r="GZ200" s="662"/>
      <c r="HA200" s="662"/>
      <c r="HB200" s="662"/>
      <c r="HC200" s="662"/>
      <c r="HD200" s="662"/>
      <c r="HE200" s="662"/>
      <c r="HF200" s="662"/>
      <c r="HG200" s="662"/>
      <c r="HH200" s="662"/>
      <c r="HI200" s="662"/>
      <c r="HJ200" s="662"/>
      <c r="HK200" s="662"/>
      <c r="HL200" s="662"/>
      <c r="HM200" s="662"/>
      <c r="HN200" s="662"/>
      <c r="HO200" s="662"/>
      <c r="HP200" s="662"/>
      <c r="HQ200" s="662"/>
      <c r="HR200" s="662"/>
      <c r="HS200" s="662"/>
      <c r="HT200" s="662"/>
      <c r="HU200" s="662"/>
      <c r="HV200" s="662"/>
      <c r="HW200" s="662"/>
      <c r="HX200" s="662"/>
      <c r="HY200" s="662"/>
      <c r="HZ200" s="662"/>
      <c r="IA200" s="662"/>
      <c r="IB200" s="662"/>
      <c r="IC200" s="662"/>
      <c r="ID200" s="662"/>
      <c r="IE200" s="662"/>
      <c r="IF200" s="662"/>
      <c r="IG200" s="662"/>
      <c r="IH200" s="662"/>
      <c r="II200" s="662"/>
      <c r="IJ200" s="662"/>
      <c r="IK200" s="662"/>
      <c r="IL200" s="662"/>
      <c r="IM200" s="662"/>
    </row>
    <row r="201" spans="28:274" ht="4.1500000000000004" customHeight="1">
      <c r="AB201" s="1579"/>
      <c r="AC201" s="1579"/>
      <c r="BC201" s="1509"/>
      <c r="BD201" s="1509"/>
      <c r="BE201" s="1509"/>
      <c r="BF201" s="1509"/>
      <c r="BG201" s="1509"/>
      <c r="BH201" s="1509"/>
      <c r="BI201" s="1509"/>
      <c r="BJ201" s="1599"/>
      <c r="BK201" s="1599"/>
      <c r="BL201" s="1599"/>
      <c r="BM201" s="1599"/>
      <c r="BN201" s="1599"/>
      <c r="BO201" s="1599"/>
      <c r="BP201" s="1599"/>
      <c r="BQ201" s="1599"/>
      <c r="BR201" s="1599"/>
      <c r="BS201" s="1599"/>
      <c r="BT201" s="1599"/>
      <c r="CU201" s="1512"/>
      <c r="CV201" s="1512"/>
      <c r="CW201" s="662"/>
      <c r="CX201" s="662"/>
      <c r="CY201" s="662"/>
      <c r="CZ201" s="662"/>
      <c r="DA201" s="662"/>
      <c r="DB201" s="1511"/>
      <c r="DC201" s="1511"/>
      <c r="DD201" s="1511"/>
      <c r="DE201" s="1511"/>
      <c r="DF201" s="662"/>
      <c r="DG201" s="662"/>
      <c r="DH201" s="662"/>
      <c r="DI201" s="662"/>
      <c r="DJ201" s="662"/>
      <c r="DK201" s="662"/>
      <c r="DL201" s="662"/>
      <c r="DM201" s="662"/>
      <c r="DN201" s="662"/>
      <c r="DO201" s="662"/>
      <c r="DP201" s="662"/>
      <c r="DQ201" s="662"/>
      <c r="DR201" s="662"/>
      <c r="DS201" s="662"/>
      <c r="DT201" s="662"/>
      <c r="DU201" s="662"/>
      <c r="DV201" s="662"/>
      <c r="DW201" s="662"/>
      <c r="DX201" s="662"/>
      <c r="DY201" s="662"/>
      <c r="DZ201" s="662"/>
      <c r="EA201" s="662"/>
      <c r="EB201" s="662"/>
      <c r="EC201" s="662"/>
      <c r="ED201" s="662"/>
      <c r="EE201" s="662"/>
      <c r="EF201" s="662"/>
      <c r="EG201" s="662"/>
      <c r="EH201" s="662"/>
      <c r="EI201" s="662"/>
      <c r="EJ201" s="662"/>
      <c r="EK201" s="662"/>
      <c r="EL201" s="662"/>
      <c r="EM201" s="662"/>
      <c r="EN201" s="662"/>
      <c r="EO201" s="662"/>
      <c r="EP201" s="662"/>
      <c r="EQ201" s="662"/>
      <c r="ER201" s="662"/>
      <c r="ES201" s="662"/>
      <c r="ET201" s="662"/>
      <c r="EU201" s="662"/>
      <c r="EV201" s="662"/>
      <c r="EW201" s="662"/>
      <c r="EX201" s="662"/>
      <c r="EY201" s="662"/>
      <c r="EZ201" s="662"/>
      <c r="FA201" s="662"/>
      <c r="FB201" s="662"/>
      <c r="FC201" s="662"/>
      <c r="FD201" s="662"/>
      <c r="FE201" s="662"/>
      <c r="FF201" s="662"/>
      <c r="FG201" s="662"/>
      <c r="FH201" s="662"/>
      <c r="FI201" s="662"/>
      <c r="FJ201" s="662"/>
      <c r="FK201" s="662"/>
      <c r="FL201" s="662"/>
      <c r="FM201" s="662"/>
      <c r="FN201" s="662"/>
      <c r="FO201" s="662"/>
      <c r="FP201" s="662"/>
      <c r="FQ201" s="662"/>
      <c r="FR201" s="662"/>
      <c r="FS201" s="662"/>
      <c r="FT201" s="662"/>
      <c r="FU201" s="662"/>
      <c r="FV201" s="662"/>
      <c r="FW201" s="662"/>
      <c r="FX201" s="662"/>
      <c r="FY201" s="662"/>
      <c r="FZ201" s="662"/>
      <c r="GA201" s="662"/>
      <c r="GB201" s="662"/>
      <c r="GC201" s="662"/>
      <c r="GD201" s="662"/>
      <c r="GE201" s="662"/>
      <c r="GF201" s="662"/>
      <c r="GG201" s="662"/>
      <c r="GH201" s="662"/>
      <c r="GI201" s="662"/>
      <c r="GJ201" s="662"/>
      <c r="GK201" s="662"/>
      <c r="GL201" s="662"/>
      <c r="GM201" s="662"/>
      <c r="GN201" s="662"/>
      <c r="GO201" s="662"/>
      <c r="GP201" s="662"/>
      <c r="GQ201" s="662"/>
      <c r="GR201" s="662"/>
      <c r="GS201" s="662"/>
      <c r="GT201" s="662"/>
      <c r="GU201" s="662"/>
      <c r="GV201" s="662"/>
      <c r="GW201" s="662"/>
      <c r="GX201" s="662"/>
      <c r="GY201" s="662"/>
      <c r="GZ201" s="662"/>
      <c r="HA201" s="662"/>
      <c r="HB201" s="662"/>
      <c r="HC201" s="662"/>
      <c r="HD201" s="662"/>
      <c r="HE201" s="662"/>
      <c r="HF201" s="662"/>
      <c r="HG201" s="662"/>
      <c r="HH201" s="662"/>
      <c r="HI201" s="662"/>
      <c r="HJ201" s="662"/>
      <c r="HK201" s="662"/>
      <c r="HL201" s="662"/>
      <c r="HM201" s="662"/>
      <c r="HN201" s="662"/>
      <c r="HO201" s="662"/>
      <c r="HP201" s="662"/>
      <c r="HQ201" s="662"/>
      <c r="HR201" s="662"/>
      <c r="HS201" s="662"/>
      <c r="HT201" s="662"/>
      <c r="HU201" s="662"/>
      <c r="HV201" s="662"/>
      <c r="HW201" s="662"/>
      <c r="HX201" s="662"/>
      <c r="HY201" s="662"/>
      <c r="HZ201" s="662"/>
      <c r="IA201" s="662"/>
      <c r="IB201" s="662"/>
      <c r="IC201" s="662"/>
      <c r="ID201" s="662"/>
      <c r="IE201" s="662"/>
      <c r="IF201" s="662"/>
      <c r="IG201" s="662"/>
      <c r="IH201" s="662"/>
      <c r="II201" s="662"/>
      <c r="IJ201" s="662"/>
      <c r="IK201" s="662"/>
      <c r="IL201" s="662"/>
      <c r="IM201" s="662"/>
    </row>
    <row r="202" spans="28:274" ht="4.1500000000000004" customHeight="1">
      <c r="AB202" s="1579"/>
      <c r="AC202" s="1579"/>
      <c r="CU202" s="1512"/>
      <c r="CV202" s="1512"/>
      <c r="CW202" s="662"/>
      <c r="CX202" s="662"/>
      <c r="CY202" s="662"/>
      <c r="CZ202" s="662"/>
      <c r="DA202" s="662"/>
      <c r="DB202" s="1511"/>
      <c r="DC202" s="1511"/>
      <c r="DD202" s="1511"/>
      <c r="DE202" s="1511"/>
      <c r="DF202" s="662"/>
      <c r="DG202" s="662"/>
      <c r="DH202" s="662"/>
      <c r="DI202" s="662"/>
      <c r="DJ202" s="662"/>
      <c r="DK202" s="662"/>
      <c r="DL202" s="662"/>
      <c r="DM202" s="662"/>
      <c r="DN202" s="662"/>
      <c r="DO202" s="662"/>
      <c r="DP202" s="662"/>
      <c r="DQ202" s="662"/>
      <c r="DR202" s="662"/>
      <c r="DS202" s="662"/>
      <c r="DT202" s="662"/>
      <c r="DU202" s="662"/>
      <c r="DV202" s="662"/>
      <c r="DW202" s="662"/>
      <c r="DX202" s="662"/>
      <c r="DY202" s="662"/>
      <c r="DZ202" s="662"/>
      <c r="EA202" s="662"/>
      <c r="EB202" s="662"/>
      <c r="EC202" s="662"/>
      <c r="ED202" s="662"/>
      <c r="EE202" s="662"/>
      <c r="EF202" s="662"/>
      <c r="EG202" s="662"/>
      <c r="EH202" s="662"/>
      <c r="EI202" s="662"/>
      <c r="EJ202" s="662"/>
      <c r="EK202" s="662"/>
      <c r="EL202" s="662"/>
      <c r="EM202" s="662"/>
      <c r="EN202" s="662"/>
      <c r="EO202" s="662"/>
      <c r="EP202" s="662"/>
      <c r="EQ202" s="662"/>
      <c r="ER202" s="662"/>
      <c r="ES202" s="662"/>
      <c r="ET202" s="662"/>
      <c r="EU202" s="662"/>
      <c r="EV202" s="662"/>
      <c r="EW202" s="662"/>
      <c r="EX202" s="662"/>
      <c r="EY202" s="662"/>
      <c r="EZ202" s="662"/>
      <c r="FA202" s="662"/>
      <c r="FB202" s="662"/>
      <c r="FC202" s="662"/>
      <c r="FD202" s="662"/>
      <c r="FE202" s="662"/>
      <c r="FF202" s="662"/>
      <c r="FG202" s="662"/>
      <c r="FH202" s="662"/>
      <c r="FI202" s="662"/>
      <c r="FJ202" s="662"/>
      <c r="FK202" s="662"/>
      <c r="FL202" s="662"/>
      <c r="FM202" s="662"/>
      <c r="FN202" s="662"/>
      <c r="FO202" s="662"/>
      <c r="FP202" s="662"/>
      <c r="FQ202" s="662"/>
      <c r="FR202" s="662"/>
      <c r="FS202" s="662"/>
      <c r="FT202" s="662"/>
      <c r="FU202" s="662"/>
      <c r="FV202" s="662"/>
      <c r="FW202" s="662"/>
      <c r="FX202" s="662"/>
      <c r="FY202" s="662"/>
      <c r="FZ202" s="662"/>
      <c r="GA202" s="662"/>
      <c r="GB202" s="662"/>
      <c r="GC202" s="662"/>
      <c r="GD202" s="662"/>
      <c r="GE202" s="662"/>
      <c r="GF202" s="662"/>
      <c r="GG202" s="662"/>
      <c r="GH202" s="662"/>
      <c r="GI202" s="662"/>
      <c r="GJ202" s="662"/>
      <c r="GK202" s="662"/>
      <c r="GL202" s="662"/>
      <c r="GM202" s="662"/>
      <c r="GN202" s="662"/>
      <c r="GO202" s="662"/>
      <c r="GP202" s="662"/>
      <c r="GQ202" s="662"/>
      <c r="GR202" s="662"/>
      <c r="GS202" s="662"/>
      <c r="GT202" s="662"/>
      <c r="GU202" s="662"/>
      <c r="GV202" s="662"/>
      <c r="GW202" s="662"/>
      <c r="GX202" s="662"/>
      <c r="GY202" s="662"/>
      <c r="GZ202" s="662"/>
      <c r="HA202" s="662"/>
      <c r="HB202" s="662"/>
      <c r="HC202" s="662"/>
      <c r="HD202" s="662"/>
      <c r="HE202" s="662"/>
      <c r="HF202" s="662"/>
      <c r="HG202" s="662"/>
      <c r="HH202" s="662"/>
      <c r="HI202" s="662"/>
      <c r="HJ202" s="662"/>
      <c r="HK202" s="662"/>
      <c r="HL202" s="662"/>
      <c r="HM202" s="662"/>
      <c r="HN202" s="662"/>
      <c r="HO202" s="662"/>
      <c r="HP202" s="662"/>
      <c r="HQ202" s="662"/>
      <c r="HR202" s="662"/>
      <c r="HS202" s="662"/>
      <c r="HT202" s="662"/>
      <c r="HU202" s="662"/>
      <c r="HV202" s="662"/>
      <c r="HW202" s="662"/>
      <c r="HX202" s="662"/>
      <c r="HY202" s="662"/>
      <c r="HZ202" s="662"/>
      <c r="IA202" s="662"/>
      <c r="IB202" s="662"/>
      <c r="IC202" s="662"/>
      <c r="ID202" s="662"/>
      <c r="IE202" s="662"/>
      <c r="IF202" s="662"/>
      <c r="IG202" s="662"/>
      <c r="IH202" s="662"/>
      <c r="II202" s="662"/>
      <c r="IJ202" s="662"/>
      <c r="IK202" s="662"/>
      <c r="IL202" s="662"/>
      <c r="IM202" s="662"/>
    </row>
    <row r="203" spans="28:274" ht="4.1500000000000004" customHeight="1">
      <c r="AB203" s="1579"/>
      <c r="AC203" s="1579"/>
      <c r="CU203" s="1512"/>
      <c r="CV203" s="1512"/>
      <c r="CW203" s="662"/>
      <c r="CX203" s="662"/>
      <c r="CY203" s="662"/>
      <c r="CZ203" s="662"/>
      <c r="DA203" s="662"/>
      <c r="DB203" s="1511"/>
      <c r="DC203" s="1511"/>
      <c r="DD203" s="1511"/>
      <c r="DE203" s="1511"/>
      <c r="DF203" s="662"/>
      <c r="DG203" s="662"/>
      <c r="DH203" s="662"/>
      <c r="DI203" s="662"/>
      <c r="DJ203" s="662"/>
      <c r="DK203" s="662"/>
      <c r="DL203" s="662"/>
      <c r="DM203" s="662"/>
      <c r="DN203" s="662"/>
      <c r="DO203" s="662"/>
      <c r="DP203" s="662"/>
      <c r="DQ203" s="662"/>
      <c r="DR203" s="662"/>
      <c r="DS203" s="662"/>
      <c r="DT203" s="662"/>
      <c r="DU203" s="662"/>
      <c r="DV203" s="662"/>
      <c r="DW203" s="662"/>
      <c r="DX203" s="662"/>
      <c r="DY203" s="662"/>
      <c r="DZ203" s="662"/>
      <c r="EA203" s="662"/>
      <c r="EB203" s="662"/>
      <c r="EC203" s="662"/>
      <c r="ED203" s="662"/>
      <c r="EE203" s="662"/>
      <c r="EF203" s="662"/>
      <c r="EG203" s="662"/>
      <c r="EH203" s="662"/>
      <c r="EI203" s="662"/>
      <c r="EJ203" s="662"/>
      <c r="EK203" s="662"/>
      <c r="EL203" s="662"/>
      <c r="EM203" s="662"/>
      <c r="EN203" s="662"/>
      <c r="EO203" s="662"/>
      <c r="EP203" s="662"/>
      <c r="EQ203" s="662"/>
      <c r="ER203" s="662"/>
      <c r="ES203" s="662"/>
      <c r="ET203" s="662"/>
      <c r="EU203" s="662"/>
      <c r="EV203" s="662"/>
      <c r="EW203" s="662"/>
      <c r="EX203" s="662"/>
      <c r="EY203" s="662"/>
      <c r="EZ203" s="662"/>
      <c r="FA203" s="662"/>
      <c r="FB203" s="662"/>
      <c r="FC203" s="662"/>
      <c r="FD203" s="662"/>
      <c r="FE203" s="662"/>
      <c r="FF203" s="662"/>
      <c r="FG203" s="662"/>
      <c r="FH203" s="662"/>
      <c r="FI203" s="662"/>
      <c r="FJ203" s="662"/>
      <c r="FK203" s="662"/>
      <c r="FL203" s="662"/>
      <c r="FM203" s="662"/>
      <c r="FN203" s="662"/>
      <c r="FO203" s="662"/>
      <c r="FP203" s="662"/>
      <c r="FQ203" s="662"/>
      <c r="FR203" s="662"/>
      <c r="FS203" s="662"/>
      <c r="FT203" s="662"/>
      <c r="FU203" s="662"/>
      <c r="FV203" s="662"/>
      <c r="FW203" s="662"/>
      <c r="FX203" s="662"/>
      <c r="FY203" s="662"/>
      <c r="FZ203" s="662"/>
      <c r="GA203" s="662"/>
      <c r="GB203" s="662"/>
      <c r="GC203" s="662"/>
      <c r="GD203" s="662"/>
      <c r="GE203" s="662"/>
      <c r="GF203" s="662"/>
      <c r="GG203" s="662"/>
      <c r="GH203" s="662"/>
      <c r="GI203" s="662"/>
      <c r="GJ203" s="662"/>
      <c r="GK203" s="662"/>
      <c r="GL203" s="662"/>
      <c r="GM203" s="662"/>
      <c r="GN203" s="662"/>
      <c r="GO203" s="662"/>
      <c r="GP203" s="662"/>
      <c r="GQ203" s="662"/>
      <c r="GR203" s="662"/>
      <c r="GS203" s="662"/>
      <c r="GT203" s="662"/>
      <c r="GU203" s="662"/>
      <c r="GV203" s="662"/>
      <c r="GW203" s="662"/>
      <c r="GX203" s="662"/>
      <c r="GY203" s="662"/>
      <c r="GZ203" s="662"/>
      <c r="HA203" s="662"/>
      <c r="HB203" s="662"/>
      <c r="HC203" s="662"/>
      <c r="HD203" s="662"/>
      <c r="HE203" s="662"/>
      <c r="HF203" s="662"/>
      <c r="HG203" s="662"/>
      <c r="HH203" s="662"/>
      <c r="HI203" s="662"/>
      <c r="HJ203" s="662"/>
      <c r="HK203" s="662"/>
      <c r="HL203" s="662"/>
      <c r="HM203" s="662"/>
      <c r="HN203" s="662"/>
      <c r="HO203" s="662"/>
      <c r="HP203" s="662"/>
      <c r="HQ203" s="662"/>
      <c r="HR203" s="662"/>
      <c r="HS203" s="662"/>
      <c r="HT203" s="662"/>
      <c r="HU203" s="662"/>
      <c r="HV203" s="662"/>
      <c r="HW203" s="662"/>
      <c r="HX203" s="662"/>
      <c r="HY203" s="662"/>
      <c r="HZ203" s="662"/>
      <c r="IA203" s="662"/>
      <c r="IB203" s="662"/>
      <c r="IC203" s="662"/>
      <c r="ID203" s="662"/>
      <c r="IE203" s="662"/>
      <c r="IF203" s="662"/>
      <c r="IG203" s="662"/>
      <c r="IH203" s="662"/>
      <c r="II203" s="662"/>
      <c r="IJ203" s="662"/>
      <c r="IK203" s="662"/>
      <c r="IL203" s="662"/>
      <c r="IM203" s="662"/>
    </row>
    <row r="204" spans="28:274" ht="4.1500000000000004" customHeight="1">
      <c r="AB204" s="1579"/>
      <c r="AC204" s="1579"/>
      <c r="CU204" s="1512"/>
      <c r="CV204" s="1512"/>
      <c r="CW204" s="662"/>
      <c r="CX204" s="662"/>
      <c r="CY204" s="662"/>
      <c r="CZ204" s="662"/>
      <c r="DA204" s="662"/>
      <c r="DB204" s="1511"/>
      <c r="DC204" s="1511"/>
      <c r="DD204" s="1511"/>
      <c r="DE204" s="1511"/>
      <c r="DF204" s="662"/>
      <c r="DG204" s="662"/>
      <c r="DH204" s="662"/>
      <c r="DI204" s="662"/>
      <c r="DJ204" s="662"/>
      <c r="DK204" s="662"/>
      <c r="DL204" s="662"/>
      <c r="DM204" s="662"/>
      <c r="DN204" s="662"/>
      <c r="DO204" s="662"/>
      <c r="DP204" s="662"/>
      <c r="DQ204" s="662"/>
      <c r="DR204" s="662"/>
      <c r="DS204" s="662"/>
      <c r="DT204" s="662"/>
      <c r="DU204" s="662"/>
      <c r="DV204" s="662"/>
      <c r="DW204" s="662"/>
      <c r="DX204" s="662"/>
      <c r="DY204" s="662"/>
      <c r="DZ204" s="662"/>
      <c r="EA204" s="662"/>
      <c r="EB204" s="662"/>
      <c r="EC204" s="662"/>
      <c r="ED204" s="662"/>
      <c r="EE204" s="662"/>
      <c r="EF204" s="662"/>
      <c r="EG204" s="662"/>
      <c r="EH204" s="662"/>
      <c r="EI204" s="662"/>
      <c r="EJ204" s="662"/>
      <c r="EK204" s="662"/>
      <c r="EL204" s="662"/>
      <c r="EM204" s="662"/>
      <c r="EN204" s="662"/>
      <c r="EO204" s="662"/>
      <c r="EP204" s="662"/>
      <c r="EQ204" s="662"/>
      <c r="ER204" s="662"/>
      <c r="ES204" s="662"/>
      <c r="ET204" s="662"/>
      <c r="EU204" s="662"/>
      <c r="EV204" s="662"/>
      <c r="EW204" s="662"/>
      <c r="EX204" s="662"/>
      <c r="EY204" s="662"/>
      <c r="EZ204" s="662"/>
      <c r="FA204" s="662"/>
      <c r="FB204" s="662"/>
      <c r="FC204" s="662"/>
      <c r="FD204" s="662"/>
      <c r="FE204" s="662"/>
      <c r="FF204" s="662"/>
      <c r="FG204" s="662"/>
      <c r="FH204" s="662"/>
      <c r="FI204" s="662"/>
      <c r="FJ204" s="662"/>
      <c r="FK204" s="662"/>
      <c r="FL204" s="662"/>
      <c r="FM204" s="662"/>
      <c r="FN204" s="662"/>
      <c r="FO204" s="662"/>
      <c r="FP204" s="662"/>
      <c r="FQ204" s="662"/>
      <c r="FR204" s="662"/>
      <c r="FS204" s="662"/>
      <c r="FT204" s="662"/>
      <c r="FU204" s="662"/>
      <c r="FV204" s="662"/>
      <c r="FW204" s="662"/>
      <c r="FX204" s="662"/>
      <c r="FY204" s="662"/>
      <c r="FZ204" s="662"/>
      <c r="GA204" s="662"/>
      <c r="GB204" s="662"/>
      <c r="GC204" s="662"/>
      <c r="GD204" s="662"/>
      <c r="GE204" s="662"/>
      <c r="GF204" s="662"/>
      <c r="GG204" s="662"/>
      <c r="GH204" s="662"/>
      <c r="GI204" s="662"/>
      <c r="GJ204" s="662"/>
      <c r="GK204" s="662"/>
      <c r="GL204" s="662"/>
      <c r="GM204" s="662"/>
      <c r="GN204" s="662"/>
      <c r="GO204" s="662"/>
      <c r="GP204" s="662"/>
      <c r="GQ204" s="662"/>
      <c r="GR204" s="662"/>
      <c r="GS204" s="662"/>
      <c r="GT204" s="662"/>
      <c r="GU204" s="662"/>
      <c r="GV204" s="662"/>
      <c r="GW204" s="662"/>
      <c r="GX204" s="662"/>
      <c r="GY204" s="662"/>
      <c r="GZ204" s="662"/>
      <c r="HA204" s="662"/>
      <c r="HB204" s="662"/>
      <c r="HC204" s="662"/>
      <c r="HD204" s="662"/>
      <c r="HE204" s="662"/>
      <c r="HF204" s="662"/>
      <c r="HG204" s="662"/>
      <c r="HH204" s="662"/>
      <c r="HI204" s="662"/>
      <c r="HJ204" s="662"/>
      <c r="HK204" s="662"/>
      <c r="HL204" s="662"/>
    </row>
    <row r="205" spans="28:274" ht="4.1500000000000004" customHeight="1">
      <c r="AB205" s="1579"/>
      <c r="AC205" s="1579"/>
      <c r="CU205" s="1512"/>
      <c r="CV205" s="1512"/>
      <c r="CW205" s="662"/>
      <c r="CX205" s="662"/>
      <c r="CY205" s="662"/>
      <c r="CZ205" s="662"/>
      <c r="DA205" s="662"/>
      <c r="DB205" s="1511"/>
      <c r="DC205" s="1511"/>
      <c r="DD205" s="1511"/>
      <c r="DE205" s="1511"/>
      <c r="DF205" s="662"/>
      <c r="DG205" s="662"/>
      <c r="DH205" s="662"/>
      <c r="DI205" s="662"/>
      <c r="DJ205" s="662"/>
      <c r="DK205" s="662"/>
      <c r="DL205" s="662"/>
      <c r="DM205" s="662"/>
      <c r="DN205" s="662"/>
      <c r="DO205" s="662"/>
      <c r="DP205" s="662"/>
      <c r="DQ205" s="662"/>
      <c r="DR205" s="662"/>
      <c r="DS205" s="662"/>
      <c r="DT205" s="662"/>
      <c r="DU205" s="662"/>
      <c r="DV205" s="662"/>
      <c r="DW205" s="662"/>
      <c r="DX205" s="662"/>
      <c r="DY205" s="662"/>
      <c r="DZ205" s="662"/>
      <c r="EA205" s="662"/>
      <c r="EB205" s="662"/>
      <c r="EC205" s="662"/>
      <c r="ED205" s="662"/>
      <c r="EE205" s="662"/>
      <c r="EF205" s="662"/>
      <c r="EG205" s="662"/>
      <c r="EH205" s="662"/>
      <c r="EI205" s="662"/>
      <c r="EJ205" s="662"/>
      <c r="EK205" s="662"/>
      <c r="EL205" s="662"/>
      <c r="EM205" s="662"/>
      <c r="EN205" s="662"/>
      <c r="EO205" s="662"/>
      <c r="EP205" s="662"/>
      <c r="EQ205" s="662"/>
      <c r="ER205" s="662"/>
      <c r="ES205" s="662"/>
      <c r="ET205" s="662"/>
      <c r="EU205" s="662"/>
      <c r="EV205" s="662"/>
      <c r="EW205" s="662"/>
      <c r="EX205" s="662"/>
      <c r="EY205" s="662"/>
      <c r="EZ205" s="662"/>
      <c r="FA205" s="662"/>
      <c r="FB205" s="662"/>
      <c r="FC205" s="662"/>
      <c r="FD205" s="662"/>
      <c r="FE205" s="662"/>
      <c r="FF205" s="662"/>
      <c r="FG205" s="662"/>
      <c r="FH205" s="662"/>
      <c r="FI205" s="662"/>
      <c r="FJ205" s="662"/>
      <c r="FK205" s="662"/>
      <c r="FL205" s="662"/>
      <c r="FM205" s="662"/>
      <c r="FN205" s="662"/>
      <c r="FO205" s="662"/>
      <c r="FP205" s="662"/>
      <c r="FQ205" s="662"/>
      <c r="FR205" s="662"/>
      <c r="FS205" s="662"/>
      <c r="FT205" s="662"/>
      <c r="FU205" s="662"/>
      <c r="FV205" s="662"/>
      <c r="FW205" s="662"/>
      <c r="FX205" s="662"/>
      <c r="FY205" s="662"/>
      <c r="FZ205" s="662"/>
      <c r="GA205" s="662"/>
      <c r="GB205" s="662"/>
      <c r="GC205" s="662"/>
      <c r="GD205" s="662"/>
      <c r="GE205" s="662"/>
      <c r="GF205" s="662"/>
      <c r="GG205" s="662"/>
      <c r="GH205" s="662"/>
      <c r="GI205" s="662"/>
      <c r="GJ205" s="662"/>
      <c r="GK205" s="662"/>
      <c r="GL205" s="662"/>
      <c r="GM205" s="662"/>
      <c r="GN205" s="662"/>
      <c r="GO205" s="662"/>
      <c r="GP205" s="662"/>
      <c r="GQ205" s="662"/>
      <c r="GR205" s="662"/>
      <c r="GS205" s="662"/>
      <c r="GT205" s="662"/>
      <c r="GU205" s="662"/>
      <c r="GV205" s="662"/>
      <c r="GW205" s="662"/>
      <c r="GX205" s="662"/>
      <c r="GY205" s="662"/>
      <c r="GZ205" s="662"/>
      <c r="HA205" s="662"/>
      <c r="HB205" s="662"/>
      <c r="HC205" s="662"/>
      <c r="HD205" s="662"/>
      <c r="HE205" s="662"/>
      <c r="HF205" s="662"/>
      <c r="HG205" s="662"/>
      <c r="HH205" s="662"/>
      <c r="HI205" s="662"/>
      <c r="HJ205" s="662"/>
      <c r="HK205" s="662"/>
      <c r="HL205" s="662"/>
    </row>
    <row r="206" spans="28:274" ht="4.1500000000000004" customHeight="1">
      <c r="AB206" s="1579"/>
      <c r="AC206" s="1579"/>
      <c r="AH206" s="1602"/>
      <c r="AI206" s="1602"/>
      <c r="AJ206" s="1602"/>
      <c r="AK206" s="1602"/>
      <c r="AL206" s="1602"/>
      <c r="AM206" s="1602"/>
      <c r="AN206" s="1602"/>
      <c r="AO206" s="1602"/>
      <c r="BI206" s="1602"/>
      <c r="BJ206" s="1602"/>
      <c r="BK206" s="1602"/>
      <c r="BL206" s="1602"/>
      <c r="BM206" s="1602"/>
      <c r="BN206" s="1602"/>
      <c r="BO206" s="1602"/>
      <c r="BP206" s="1602"/>
      <c r="CG206" s="1602"/>
      <c r="CH206" s="1602"/>
      <c r="CI206" s="1602"/>
      <c r="CJ206" s="1602"/>
      <c r="CK206" s="1602"/>
      <c r="CL206" s="1602"/>
      <c r="CM206" s="1602"/>
      <c r="CN206" s="1602"/>
      <c r="CU206" s="1512"/>
      <c r="CV206" s="1512"/>
      <c r="CW206" s="662"/>
      <c r="CX206" s="662"/>
      <c r="CY206" s="662"/>
      <c r="CZ206" s="662"/>
      <c r="DA206" s="662"/>
      <c r="DF206" s="662"/>
      <c r="DG206" s="662"/>
      <c r="DH206" s="662"/>
      <c r="DI206" s="662"/>
      <c r="DJ206" s="662"/>
      <c r="DK206" s="662"/>
      <c r="DL206" s="662"/>
      <c r="DM206" s="662"/>
      <c r="DN206" s="662"/>
      <c r="DO206" s="662"/>
      <c r="DP206" s="662"/>
      <c r="DQ206" s="662"/>
      <c r="DR206" s="662"/>
      <c r="DS206" s="662"/>
      <c r="DT206" s="662"/>
      <c r="DU206" s="662"/>
      <c r="DV206" s="662"/>
      <c r="DW206" s="662"/>
      <c r="DX206" s="662"/>
      <c r="DY206" s="662"/>
      <c r="DZ206" s="662"/>
      <c r="EA206" s="662"/>
      <c r="EB206" s="662"/>
      <c r="EC206" s="662"/>
      <c r="ED206" s="662"/>
      <c r="EE206" s="662"/>
      <c r="EF206" s="662"/>
      <c r="EG206" s="662"/>
      <c r="EH206" s="662"/>
      <c r="EI206" s="662"/>
      <c r="EJ206" s="662"/>
      <c r="EK206" s="662"/>
      <c r="EL206" s="662"/>
      <c r="EM206" s="662"/>
      <c r="EN206" s="662"/>
      <c r="EO206" s="662"/>
      <c r="EP206" s="662"/>
      <c r="EQ206" s="662"/>
      <c r="ER206" s="662"/>
      <c r="ES206" s="662"/>
      <c r="ET206" s="662"/>
      <c r="EU206" s="662"/>
      <c r="EV206" s="662"/>
      <c r="EW206" s="662"/>
      <c r="EX206" s="662"/>
      <c r="EY206" s="662"/>
      <c r="EZ206" s="662"/>
      <c r="FA206" s="662"/>
      <c r="FB206" s="662"/>
      <c r="FC206" s="662"/>
      <c r="FD206" s="662"/>
      <c r="FE206" s="662"/>
      <c r="FF206" s="662"/>
      <c r="FG206" s="662"/>
      <c r="FH206" s="662"/>
      <c r="FI206" s="662"/>
      <c r="FJ206" s="662"/>
      <c r="FK206" s="662"/>
      <c r="FL206" s="662"/>
      <c r="FM206" s="662"/>
      <c r="FN206" s="662"/>
      <c r="FO206" s="662"/>
      <c r="FP206" s="662"/>
      <c r="FQ206" s="662"/>
      <c r="FR206" s="662"/>
      <c r="FS206" s="662"/>
      <c r="FT206" s="662"/>
      <c r="FU206" s="662"/>
      <c r="FV206" s="662"/>
      <c r="FW206" s="662"/>
      <c r="FX206" s="662"/>
      <c r="FY206" s="662"/>
      <c r="FZ206" s="662"/>
      <c r="GA206" s="662"/>
      <c r="GB206" s="662"/>
      <c r="GC206" s="662"/>
      <c r="GD206" s="662"/>
      <c r="GE206" s="662"/>
      <c r="GF206" s="662"/>
      <c r="GG206" s="662"/>
      <c r="GH206" s="662"/>
      <c r="GI206" s="662"/>
      <c r="GJ206" s="662"/>
      <c r="GK206" s="662"/>
      <c r="GL206" s="662"/>
      <c r="GM206" s="662"/>
      <c r="GN206" s="662"/>
      <c r="GO206" s="662"/>
      <c r="GP206" s="662"/>
      <c r="GQ206" s="662"/>
      <c r="GR206" s="662"/>
      <c r="GS206" s="662"/>
      <c r="GT206" s="662"/>
      <c r="GU206" s="662"/>
      <c r="GV206" s="662"/>
      <c r="GW206" s="662"/>
      <c r="GX206" s="662"/>
      <c r="GY206" s="662"/>
      <c r="GZ206" s="662"/>
      <c r="HA206" s="662"/>
      <c r="HB206" s="662"/>
      <c r="HC206" s="662"/>
      <c r="HD206" s="662"/>
      <c r="HE206" s="662"/>
      <c r="HF206" s="662"/>
      <c r="HG206" s="662"/>
      <c r="HH206" s="662"/>
      <c r="HI206" s="662"/>
      <c r="HJ206" s="662"/>
      <c r="HK206" s="662"/>
      <c r="HL206" s="662"/>
      <c r="HM206" s="495"/>
      <c r="HN206" s="495"/>
      <c r="HO206" s="495"/>
      <c r="HP206" s="495"/>
      <c r="HQ206" s="495"/>
      <c r="HR206" s="495"/>
      <c r="HS206" s="495"/>
      <c r="HT206" s="495"/>
      <c r="HU206" s="495"/>
      <c r="HV206" s="495"/>
      <c r="HW206" s="495"/>
      <c r="HX206" s="495"/>
      <c r="HY206" s="495"/>
      <c r="HZ206" s="495"/>
      <c r="IA206" s="495"/>
      <c r="IB206" s="495"/>
      <c r="IC206" s="495"/>
      <c r="ID206" s="496"/>
      <c r="IE206" s="496"/>
      <c r="IF206" s="496"/>
      <c r="IG206" s="496"/>
      <c r="IH206" s="496"/>
      <c r="II206" s="496"/>
      <c r="IJ206" s="496"/>
      <c r="IK206" s="496"/>
      <c r="IL206" s="2666">
        <v>0.3</v>
      </c>
      <c r="IM206" s="2657"/>
      <c r="IN206" s="2657"/>
      <c r="IO206" s="2657"/>
      <c r="IP206" s="2657"/>
      <c r="IQ206" s="2657"/>
      <c r="IR206" s="2667"/>
      <c r="IS206" s="2666">
        <f>IL206</f>
        <v>0.3</v>
      </c>
      <c r="IT206" s="2657"/>
      <c r="IU206" s="2657"/>
      <c r="IV206" s="2657"/>
      <c r="IW206" s="2657"/>
      <c r="IX206" s="2657"/>
      <c r="IY206" s="2667"/>
      <c r="IZ206" s="2666">
        <f>IS206</f>
        <v>0.3</v>
      </c>
      <c r="JA206" s="2657"/>
      <c r="JB206" s="2657"/>
      <c r="JC206" s="2657"/>
      <c r="JD206" s="2657"/>
      <c r="JE206" s="2657"/>
      <c r="JF206" s="2667"/>
      <c r="JG206" s="496"/>
      <c r="JH206" s="496"/>
      <c r="JI206" s="496"/>
      <c r="JJ206" s="496"/>
      <c r="JK206" s="496"/>
      <c r="JL206" s="496"/>
      <c r="JM206" s="496"/>
      <c r="JN206" s="496"/>
    </row>
    <row r="207" spans="28:274" ht="4.1500000000000004" customHeight="1">
      <c r="AB207" s="1579"/>
      <c r="AC207" s="1579"/>
      <c r="AH207" s="1602"/>
      <c r="AI207" s="1602"/>
      <c r="AJ207" s="1602"/>
      <c r="AK207" s="1602"/>
      <c r="AL207" s="1602"/>
      <c r="AM207" s="1602"/>
      <c r="AN207" s="1602"/>
      <c r="AO207" s="1602"/>
      <c r="BI207" s="1602"/>
      <c r="BJ207" s="1602"/>
      <c r="BK207" s="1602"/>
      <c r="BL207" s="1602"/>
      <c r="BM207" s="1602"/>
      <c r="BN207" s="1602"/>
      <c r="BO207" s="1602"/>
      <c r="BP207" s="1602"/>
      <c r="CG207" s="1602"/>
      <c r="CH207" s="1602"/>
      <c r="CI207" s="1602"/>
      <c r="CJ207" s="1602"/>
      <c r="CK207" s="1602"/>
      <c r="CL207" s="1602"/>
      <c r="CM207" s="1602"/>
      <c r="CN207" s="1602"/>
      <c r="CU207" s="1512"/>
      <c r="CV207" s="1512"/>
      <c r="CW207" s="662"/>
      <c r="CX207" s="662"/>
      <c r="CY207" s="662"/>
      <c r="CZ207" s="662"/>
      <c r="DA207" s="662"/>
      <c r="DF207" s="662"/>
      <c r="DG207" s="662"/>
      <c r="DH207" s="662"/>
      <c r="DI207" s="662"/>
      <c r="DJ207" s="662"/>
      <c r="DK207" s="662"/>
      <c r="DL207" s="662"/>
      <c r="DM207" s="662"/>
      <c r="DN207" s="662"/>
      <c r="DO207" s="662"/>
      <c r="DP207" s="662"/>
      <c r="DQ207" s="662"/>
      <c r="DR207" s="662"/>
      <c r="DS207" s="662"/>
      <c r="DT207" s="662"/>
      <c r="DU207" s="662"/>
      <c r="DV207" s="662"/>
      <c r="DW207" s="662"/>
      <c r="DX207" s="662"/>
      <c r="DY207" s="662"/>
      <c r="DZ207" s="662"/>
      <c r="EA207" s="662"/>
      <c r="EB207" s="662"/>
      <c r="EC207" s="662"/>
      <c r="ED207" s="662"/>
      <c r="EE207" s="662"/>
      <c r="EF207" s="662"/>
      <c r="EG207" s="662"/>
      <c r="EH207" s="662"/>
      <c r="EI207" s="662"/>
      <c r="EJ207" s="662"/>
      <c r="EK207" s="662"/>
      <c r="EL207" s="662"/>
      <c r="EM207" s="662"/>
      <c r="EN207" s="662"/>
      <c r="EO207" s="662"/>
      <c r="EP207" s="662"/>
      <c r="EQ207" s="662"/>
      <c r="ER207" s="662"/>
      <c r="ES207" s="662"/>
      <c r="ET207" s="662"/>
      <c r="EU207" s="662"/>
      <c r="EV207" s="662"/>
      <c r="EW207" s="662"/>
      <c r="EX207" s="662"/>
      <c r="EY207" s="662"/>
      <c r="EZ207" s="662"/>
      <c r="FA207" s="662"/>
      <c r="FB207" s="662"/>
      <c r="FC207" s="662"/>
      <c r="FD207" s="662"/>
      <c r="FE207" s="662"/>
      <c r="FF207" s="662"/>
      <c r="FG207" s="662"/>
      <c r="FH207" s="662"/>
      <c r="FI207" s="662"/>
      <c r="FJ207" s="662"/>
      <c r="FK207" s="662"/>
      <c r="FL207" s="662"/>
      <c r="FM207" s="662"/>
      <c r="FN207" s="662"/>
      <c r="FO207" s="662"/>
      <c r="FP207" s="662"/>
      <c r="FQ207" s="662"/>
      <c r="FR207" s="662"/>
      <c r="FS207" s="662"/>
      <c r="FT207" s="662"/>
      <c r="FU207" s="662"/>
      <c r="FV207" s="662"/>
      <c r="FW207" s="662"/>
      <c r="FX207" s="662"/>
      <c r="FY207" s="662"/>
      <c r="FZ207" s="662"/>
      <c r="GA207" s="662"/>
      <c r="GB207" s="662"/>
      <c r="GC207" s="662"/>
      <c r="GD207" s="662"/>
      <c r="GE207" s="662"/>
      <c r="GF207" s="662"/>
      <c r="GG207" s="662"/>
      <c r="GH207" s="662"/>
      <c r="GI207" s="662"/>
      <c r="GJ207" s="662"/>
      <c r="GK207" s="662"/>
      <c r="GL207" s="662"/>
      <c r="GM207" s="662"/>
      <c r="GN207" s="662"/>
      <c r="GO207" s="662"/>
      <c r="GP207" s="662"/>
      <c r="GQ207" s="662"/>
      <c r="GR207" s="662"/>
      <c r="GS207" s="662"/>
      <c r="GT207" s="662"/>
      <c r="GU207" s="662"/>
      <c r="GV207" s="662"/>
      <c r="GW207" s="662"/>
      <c r="GX207" s="662"/>
      <c r="GY207" s="662"/>
      <c r="GZ207" s="662"/>
      <c r="HA207" s="662"/>
      <c r="HB207" s="662"/>
      <c r="HC207" s="662"/>
      <c r="HD207" s="662"/>
      <c r="HE207" s="662"/>
      <c r="HF207" s="662"/>
      <c r="HG207" s="662"/>
      <c r="HH207" s="662"/>
      <c r="HI207" s="662"/>
      <c r="HJ207" s="662"/>
      <c r="HK207" s="662"/>
      <c r="HL207" s="662"/>
      <c r="HM207" s="2654" t="s">
        <v>2981</v>
      </c>
      <c r="HN207" s="2654"/>
      <c r="HO207" s="2654"/>
      <c r="HP207" s="2654"/>
      <c r="HQ207" s="2654"/>
      <c r="HR207" s="2654"/>
      <c r="HS207" s="495"/>
      <c r="HT207" s="495"/>
      <c r="HU207" s="495"/>
      <c r="HV207" s="495"/>
      <c r="HW207" s="495"/>
      <c r="HX207" s="495"/>
      <c r="HY207" s="495"/>
      <c r="HZ207" s="495"/>
      <c r="IA207" s="495"/>
      <c r="IB207" s="495"/>
      <c r="IC207" s="495"/>
      <c r="ID207" s="496"/>
      <c r="IE207" s="496"/>
      <c r="IF207" s="496"/>
      <c r="IG207" s="496"/>
      <c r="IH207" s="496"/>
      <c r="II207" s="496"/>
      <c r="IJ207" s="496"/>
      <c r="IK207" s="496"/>
      <c r="IL207" s="2666"/>
      <c r="IM207" s="2657"/>
      <c r="IN207" s="2657"/>
      <c r="IO207" s="2657"/>
      <c r="IP207" s="2657"/>
      <c r="IQ207" s="2657"/>
      <c r="IR207" s="2667"/>
      <c r="IS207" s="2666"/>
      <c r="IT207" s="2657"/>
      <c r="IU207" s="2657"/>
      <c r="IV207" s="2657"/>
      <c r="IW207" s="2657"/>
      <c r="IX207" s="2657"/>
      <c r="IY207" s="2667"/>
      <c r="IZ207" s="2666"/>
      <c r="JA207" s="2657"/>
      <c r="JB207" s="2657"/>
      <c r="JC207" s="2657"/>
      <c r="JD207" s="2657"/>
      <c r="JE207" s="2657"/>
      <c r="JF207" s="2667"/>
      <c r="JG207" s="496"/>
      <c r="JH207" s="496"/>
      <c r="JI207" s="496"/>
      <c r="JJ207" s="496"/>
      <c r="JK207" s="496"/>
      <c r="JL207" s="496"/>
      <c r="JM207" s="496"/>
      <c r="JN207" s="496"/>
    </row>
    <row r="208" spans="28:274" ht="4.1500000000000004" customHeight="1">
      <c r="AB208" s="1579"/>
      <c r="AC208" s="1579"/>
      <c r="AH208" s="1602"/>
      <c r="AI208" s="1602"/>
      <c r="AJ208" s="1602"/>
      <c r="AK208" s="1602"/>
      <c r="AL208" s="1602"/>
      <c r="AM208" s="1602"/>
      <c r="AN208" s="1602"/>
      <c r="AO208" s="1602"/>
      <c r="BI208" s="1602"/>
      <c r="BJ208" s="1602"/>
      <c r="BK208" s="1602"/>
      <c r="BL208" s="1602"/>
      <c r="BM208" s="1602"/>
      <c r="BN208" s="1602"/>
      <c r="BO208" s="1602"/>
      <c r="BP208" s="1602"/>
      <c r="CG208" s="1602"/>
      <c r="CH208" s="1602"/>
      <c r="CI208" s="1602"/>
      <c r="CJ208" s="1602"/>
      <c r="CK208" s="1602"/>
      <c r="CL208" s="1602"/>
      <c r="CM208" s="1602"/>
      <c r="CN208" s="1602"/>
      <c r="CU208" s="1512"/>
      <c r="CV208" s="1512"/>
      <c r="CW208" s="662"/>
      <c r="CX208" s="662"/>
      <c r="CY208" s="662"/>
      <c r="CZ208" s="662"/>
      <c r="DA208" s="662"/>
      <c r="DB208" s="662"/>
      <c r="DC208" s="662"/>
      <c r="DD208" s="662"/>
      <c r="DE208" s="662"/>
      <c r="DF208" s="662"/>
      <c r="DG208" s="662"/>
      <c r="DH208" s="662"/>
      <c r="DI208" s="662"/>
      <c r="DJ208" s="662"/>
      <c r="DK208" s="662"/>
      <c r="DL208" s="662"/>
      <c r="DM208" s="662"/>
      <c r="DN208" s="662"/>
      <c r="DO208" s="662"/>
      <c r="DP208" s="662"/>
      <c r="DQ208" s="662"/>
      <c r="DR208" s="662"/>
      <c r="DS208" s="662"/>
      <c r="DT208" s="662"/>
      <c r="DU208" s="662"/>
      <c r="DV208" s="662"/>
      <c r="DW208" s="662"/>
      <c r="DX208" s="662"/>
      <c r="DY208" s="662"/>
      <c r="DZ208" s="662"/>
      <c r="EA208" s="662"/>
      <c r="EB208" s="662"/>
      <c r="EC208" s="662"/>
      <c r="ED208" s="662"/>
      <c r="EE208" s="662"/>
      <c r="EF208" s="662"/>
      <c r="EG208" s="662"/>
      <c r="EH208" s="662"/>
      <c r="EI208" s="662"/>
      <c r="EJ208" s="662"/>
      <c r="EK208" s="662"/>
      <c r="EL208" s="662"/>
      <c r="EM208" s="662"/>
      <c r="EN208" s="662"/>
      <c r="EO208" s="662"/>
      <c r="EP208" s="662"/>
      <c r="EQ208" s="662"/>
      <c r="ER208" s="662"/>
      <c r="ES208" s="662"/>
      <c r="ET208" s="662"/>
      <c r="EU208" s="662"/>
      <c r="EV208" s="662"/>
      <c r="EW208" s="662"/>
      <c r="EX208" s="662"/>
      <c r="EY208" s="662"/>
      <c r="EZ208" s="662"/>
      <c r="FA208" s="662"/>
      <c r="FB208" s="662"/>
      <c r="FC208" s="662"/>
      <c r="FD208" s="662"/>
      <c r="FE208" s="662"/>
      <c r="FF208" s="662"/>
      <c r="FG208" s="662"/>
      <c r="FH208" s="662"/>
      <c r="FI208" s="662"/>
      <c r="FJ208" s="662"/>
      <c r="FK208" s="662"/>
      <c r="FL208" s="662"/>
      <c r="FM208" s="662"/>
      <c r="FN208" s="662"/>
      <c r="FO208" s="662"/>
      <c r="FP208" s="662"/>
      <c r="FQ208" s="662"/>
      <c r="FR208" s="662"/>
      <c r="FS208" s="662"/>
      <c r="FT208" s="662"/>
      <c r="FU208" s="662"/>
      <c r="FV208" s="662"/>
      <c r="FW208" s="662"/>
      <c r="FX208" s="662"/>
      <c r="FY208" s="662"/>
      <c r="FZ208" s="662"/>
      <c r="GA208" s="662"/>
      <c r="GB208" s="662"/>
      <c r="GC208" s="662"/>
      <c r="GD208" s="662"/>
      <c r="GE208" s="662"/>
      <c r="GF208" s="662"/>
      <c r="GG208" s="662"/>
      <c r="GH208" s="662"/>
      <c r="GI208" s="662"/>
      <c r="GJ208" s="662"/>
      <c r="GK208" s="662"/>
      <c r="GL208" s="662"/>
      <c r="GM208" s="662"/>
      <c r="GN208" s="662"/>
      <c r="GO208" s="662"/>
      <c r="GP208" s="662"/>
      <c r="GQ208" s="662"/>
      <c r="GR208" s="662"/>
      <c r="GS208" s="662"/>
      <c r="GT208" s="662"/>
      <c r="GU208" s="662"/>
      <c r="GV208" s="662"/>
      <c r="GW208" s="662"/>
      <c r="GX208" s="662"/>
      <c r="GY208" s="662"/>
      <c r="GZ208" s="662"/>
      <c r="HA208" s="662"/>
      <c r="HB208" s="662"/>
      <c r="HC208" s="662"/>
      <c r="HD208" s="662"/>
      <c r="HE208" s="662"/>
      <c r="HF208" s="662"/>
      <c r="HG208" s="662"/>
      <c r="HH208" s="662"/>
      <c r="HI208" s="662"/>
      <c r="HJ208" s="662"/>
      <c r="HK208" s="662"/>
      <c r="HL208" s="662"/>
      <c r="HM208" s="2654"/>
      <c r="HN208" s="2654"/>
      <c r="HO208" s="2654"/>
      <c r="HP208" s="2654"/>
      <c r="HQ208" s="2654"/>
      <c r="HR208" s="2654"/>
      <c r="HS208" s="495"/>
      <c r="HT208" s="495"/>
      <c r="HU208" s="495"/>
      <c r="HV208" s="495"/>
      <c r="HW208" s="495"/>
      <c r="HX208" s="495"/>
      <c r="HY208" s="495"/>
      <c r="HZ208" s="495"/>
      <c r="IA208" s="495"/>
      <c r="IB208" s="495"/>
      <c r="IC208" s="495"/>
      <c r="ID208" s="496"/>
      <c r="IE208" s="496"/>
      <c r="IF208" s="496"/>
      <c r="IG208" s="496"/>
      <c r="IH208" s="496"/>
      <c r="II208" s="496"/>
      <c r="IJ208" s="496"/>
      <c r="IK208" s="496"/>
      <c r="IL208" s="2666"/>
      <c r="IM208" s="2657"/>
      <c r="IN208" s="2657"/>
      <c r="IO208" s="2657"/>
      <c r="IP208" s="2657"/>
      <c r="IQ208" s="2657"/>
      <c r="IR208" s="2667"/>
      <c r="IS208" s="2666"/>
      <c r="IT208" s="2657"/>
      <c r="IU208" s="2657"/>
      <c r="IV208" s="2657"/>
      <c r="IW208" s="2657"/>
      <c r="IX208" s="2657"/>
      <c r="IY208" s="2667"/>
      <c r="IZ208" s="2666"/>
      <c r="JA208" s="2657"/>
      <c r="JB208" s="2657"/>
      <c r="JC208" s="2657"/>
      <c r="JD208" s="2657"/>
      <c r="JE208" s="2657"/>
      <c r="JF208" s="2667"/>
      <c r="JG208" s="496"/>
      <c r="JH208" s="496"/>
      <c r="JI208" s="496"/>
      <c r="JJ208" s="496"/>
      <c r="JK208" s="496"/>
      <c r="JL208" s="496"/>
      <c r="JM208" s="496"/>
      <c r="JN208" s="496"/>
    </row>
    <row r="209" spans="28:274" ht="4.1500000000000004" customHeight="1">
      <c r="AB209" s="1579"/>
      <c r="AC209" s="1579"/>
      <c r="HM209" s="2655"/>
      <c r="HN209" s="2655"/>
      <c r="HO209" s="2655"/>
      <c r="HP209" s="2655"/>
      <c r="HQ209" s="2655"/>
      <c r="HR209" s="2655"/>
      <c r="HS209" s="497"/>
      <c r="HT209" s="497"/>
      <c r="HU209" s="497"/>
      <c r="HV209" s="497"/>
      <c r="HW209" s="497"/>
      <c r="HX209" s="497"/>
      <c r="HY209" s="497"/>
      <c r="HZ209" s="497"/>
      <c r="IA209" s="497"/>
      <c r="IB209" s="497"/>
      <c r="IC209" s="497"/>
      <c r="ID209" s="496"/>
      <c r="IE209" s="496"/>
      <c r="IF209" s="496"/>
      <c r="IG209" s="496"/>
      <c r="IH209" s="496"/>
      <c r="II209" s="496"/>
      <c r="IJ209" s="496"/>
      <c r="IK209" s="496"/>
      <c r="IL209" s="496"/>
      <c r="IM209" s="496"/>
      <c r="IN209" s="496"/>
      <c r="IO209" s="496"/>
      <c r="IP209" s="496"/>
      <c r="IQ209" s="496"/>
      <c r="IR209" s="496"/>
      <c r="IS209" s="496"/>
      <c r="IT209" s="496"/>
      <c r="IU209" s="496"/>
      <c r="IV209" s="496"/>
      <c r="IW209" s="496"/>
      <c r="IX209" s="496"/>
      <c r="IY209" s="496"/>
      <c r="IZ209" s="496"/>
      <c r="JA209" s="496"/>
      <c r="JB209" s="496"/>
      <c r="JC209" s="496"/>
      <c r="JD209" s="496"/>
      <c r="JE209" s="496"/>
      <c r="JF209" s="496"/>
      <c r="JG209" s="496"/>
      <c r="JH209" s="496"/>
      <c r="JI209" s="496"/>
      <c r="JJ209" s="496"/>
      <c r="JK209" s="496"/>
      <c r="JL209" s="496"/>
      <c r="JM209" s="496"/>
      <c r="JN209" s="496"/>
    </row>
    <row r="210" spans="28:274" ht="4.1500000000000004" customHeight="1">
      <c r="HM210" s="495"/>
      <c r="HN210" s="495"/>
      <c r="HO210" s="495"/>
      <c r="HP210" s="495"/>
      <c r="HQ210" s="495"/>
      <c r="HR210" s="495"/>
      <c r="HS210" s="495"/>
      <c r="HT210" s="495"/>
      <c r="HU210" s="495"/>
      <c r="HV210" s="495"/>
      <c r="HW210" s="495"/>
      <c r="HX210" s="495"/>
      <c r="HY210" s="495"/>
      <c r="HZ210" s="495"/>
      <c r="IA210" s="495"/>
      <c r="IB210" s="495"/>
      <c r="IC210" s="495"/>
      <c r="ID210" s="498"/>
      <c r="IE210" s="498"/>
      <c r="IF210" s="498"/>
      <c r="IG210" s="498"/>
      <c r="IH210" s="498"/>
      <c r="II210" s="498"/>
      <c r="IJ210" s="498"/>
      <c r="IK210" s="499"/>
      <c r="IL210" s="496"/>
      <c r="IM210" s="496"/>
      <c r="IN210" s="496"/>
      <c r="IO210" s="496"/>
      <c r="IP210" s="496"/>
      <c r="IQ210" s="496"/>
      <c r="IR210" s="496"/>
      <c r="IS210" s="496"/>
      <c r="IT210" s="496"/>
      <c r="IU210" s="496"/>
      <c r="IV210" s="496"/>
      <c r="IW210" s="496"/>
      <c r="IX210" s="496"/>
      <c r="IY210" s="496"/>
      <c r="IZ210" s="496"/>
      <c r="JA210" s="496"/>
      <c r="JB210" s="496"/>
      <c r="JC210" s="496"/>
      <c r="JD210" s="496"/>
      <c r="JE210" s="496"/>
      <c r="JF210" s="2656">
        <v>0.2</v>
      </c>
      <c r="JG210" s="2656"/>
      <c r="JH210" s="2656"/>
      <c r="JI210" s="2656"/>
      <c r="JJ210" s="2656"/>
      <c r="JK210" s="2656"/>
      <c r="JL210" s="2656"/>
      <c r="JM210" s="2656"/>
      <c r="JN210" s="2656"/>
    </row>
    <row r="211" spans="28:274" ht="4.1500000000000004" customHeight="1">
      <c r="HM211" s="495"/>
      <c r="HN211" s="495"/>
      <c r="HO211" s="495"/>
      <c r="HP211" s="495"/>
      <c r="HQ211" s="495"/>
      <c r="HR211" s="495"/>
      <c r="HS211" s="495"/>
      <c r="HT211" s="495"/>
      <c r="HU211" s="495"/>
      <c r="HV211" s="495"/>
      <c r="HW211" s="495"/>
      <c r="HX211" s="495"/>
      <c r="HY211" s="495"/>
      <c r="HZ211" s="495"/>
      <c r="IA211" s="495"/>
      <c r="IB211" s="495"/>
      <c r="IC211" s="495"/>
      <c r="ID211" s="496"/>
      <c r="IE211" s="496"/>
      <c r="IF211" s="496"/>
      <c r="IG211" s="496"/>
      <c r="IH211" s="496"/>
      <c r="II211" s="496"/>
      <c r="IJ211" s="496"/>
      <c r="IK211" s="500"/>
      <c r="IL211" s="496"/>
      <c r="IM211" s="496"/>
      <c r="IN211" s="496"/>
      <c r="IO211" s="496"/>
      <c r="IP211" s="496"/>
      <c r="IQ211" s="496"/>
      <c r="IR211" s="496"/>
      <c r="IS211" s="496"/>
      <c r="IT211" s="496"/>
      <c r="IU211" s="496"/>
      <c r="IV211" s="496"/>
      <c r="IW211" s="496"/>
      <c r="IX211" s="496"/>
      <c r="IY211" s="496"/>
      <c r="IZ211" s="496"/>
      <c r="JA211" s="496"/>
      <c r="JB211" s="496"/>
      <c r="JC211" s="496"/>
      <c r="JD211" s="496"/>
      <c r="JE211" s="496"/>
      <c r="JF211" s="2657"/>
      <c r="JG211" s="2657"/>
      <c r="JH211" s="2657"/>
      <c r="JI211" s="2657"/>
      <c r="JJ211" s="2657"/>
      <c r="JK211" s="2657"/>
      <c r="JL211" s="2657"/>
      <c r="JM211" s="2657"/>
      <c r="JN211" s="2657"/>
    </row>
    <row r="212" spans="28:274" ht="4.1500000000000004" customHeight="1">
      <c r="HM212" s="495"/>
      <c r="HN212" s="495"/>
      <c r="HO212" s="495"/>
      <c r="HP212" s="495"/>
      <c r="HQ212" s="495"/>
      <c r="HR212" s="495"/>
      <c r="HS212" s="495"/>
      <c r="HT212" s="495"/>
      <c r="HU212" s="495"/>
      <c r="HV212" s="495"/>
      <c r="HW212" s="495"/>
      <c r="HX212" s="495"/>
      <c r="HY212" s="495"/>
      <c r="HZ212" s="495"/>
      <c r="IA212" s="495"/>
      <c r="IB212" s="495"/>
      <c r="IC212" s="495"/>
      <c r="ID212" s="496"/>
      <c r="IE212" s="496"/>
      <c r="IF212" s="496"/>
      <c r="IG212" s="496"/>
      <c r="IH212" s="496"/>
      <c r="II212" s="496"/>
      <c r="IJ212" s="496"/>
      <c r="IK212" s="500"/>
      <c r="IL212" s="496"/>
      <c r="IM212" s="496"/>
      <c r="IN212" s="496"/>
      <c r="IO212" s="496"/>
      <c r="IP212" s="496"/>
      <c r="IQ212" s="496"/>
      <c r="IR212" s="496"/>
      <c r="IS212" s="496"/>
      <c r="IT212" s="496"/>
      <c r="IU212" s="496"/>
      <c r="IV212" s="496"/>
      <c r="IW212" s="496"/>
      <c r="IX212" s="496"/>
      <c r="IY212" s="496"/>
      <c r="IZ212" s="496"/>
      <c r="JA212" s="496"/>
      <c r="JB212" s="496"/>
      <c r="JC212" s="496"/>
      <c r="JD212" s="496"/>
      <c r="JE212" s="496"/>
      <c r="JF212" s="2658"/>
      <c r="JG212" s="2658"/>
      <c r="JH212" s="2658"/>
      <c r="JI212" s="2658"/>
      <c r="JJ212" s="2658"/>
      <c r="JK212" s="2658"/>
      <c r="JL212" s="2658"/>
      <c r="JM212" s="2658"/>
      <c r="JN212" s="2658"/>
    </row>
    <row r="213" spans="28:274" ht="4.1500000000000004" customHeight="1">
      <c r="HM213" s="495"/>
      <c r="HN213" s="495"/>
      <c r="HO213" s="495"/>
      <c r="HP213" s="495"/>
      <c r="HQ213" s="495"/>
      <c r="HR213" s="495"/>
      <c r="HS213" s="495"/>
      <c r="HT213" s="495"/>
      <c r="HU213" s="495"/>
      <c r="HV213" s="495"/>
      <c r="HW213" s="495"/>
      <c r="HX213" s="495"/>
      <c r="HY213" s="495"/>
      <c r="HZ213" s="495"/>
      <c r="IA213" s="495"/>
      <c r="IB213" s="495"/>
      <c r="IC213" s="495"/>
      <c r="ID213" s="496"/>
      <c r="IE213" s="496"/>
      <c r="IF213" s="496"/>
      <c r="IG213" s="496"/>
      <c r="IH213" s="496"/>
      <c r="II213" s="496"/>
      <c r="IJ213" s="496"/>
      <c r="IK213" s="500"/>
      <c r="IL213" s="501"/>
      <c r="IM213" s="498"/>
      <c r="IN213" s="498"/>
      <c r="IO213" s="498"/>
      <c r="IP213" s="498"/>
      <c r="IQ213" s="498"/>
      <c r="IR213" s="499"/>
      <c r="IS213" s="496"/>
      <c r="IT213" s="496"/>
      <c r="IU213" s="496"/>
      <c r="IV213" s="496"/>
      <c r="IW213" s="496"/>
      <c r="IX213" s="496"/>
      <c r="IY213" s="496"/>
      <c r="IZ213" s="496"/>
      <c r="JA213" s="496"/>
      <c r="JB213" s="496"/>
      <c r="JC213" s="496"/>
      <c r="JD213" s="496"/>
      <c r="JE213" s="496"/>
      <c r="JF213" s="2656">
        <f>JF210</f>
        <v>0.2</v>
      </c>
      <c r="JG213" s="2656"/>
      <c r="JH213" s="2656"/>
      <c r="JI213" s="2656"/>
      <c r="JJ213" s="2656"/>
      <c r="JK213" s="2656"/>
      <c r="JL213" s="2656"/>
      <c r="JM213" s="2656"/>
      <c r="JN213" s="2656"/>
    </row>
    <row r="214" spans="28:274" ht="4.1500000000000004" customHeight="1">
      <c r="HM214" s="495"/>
      <c r="HN214" s="495"/>
      <c r="HO214" s="495"/>
      <c r="HP214" s="495"/>
      <c r="HQ214" s="495"/>
      <c r="HR214" s="495"/>
      <c r="HS214" s="495"/>
      <c r="HT214" s="495"/>
      <c r="HU214" s="495"/>
      <c r="HV214" s="495"/>
      <c r="HW214" s="495"/>
      <c r="HX214" s="495"/>
      <c r="HY214" s="495"/>
      <c r="HZ214" s="495"/>
      <c r="IA214" s="495"/>
      <c r="IB214" s="495"/>
      <c r="IC214" s="495"/>
      <c r="ID214" s="496"/>
      <c r="IE214" s="496"/>
      <c r="IF214" s="496"/>
      <c r="IG214" s="496"/>
      <c r="IH214" s="496"/>
      <c r="II214" s="496"/>
      <c r="IJ214" s="496"/>
      <c r="IK214" s="500"/>
      <c r="IL214" s="502"/>
      <c r="IM214" s="496"/>
      <c r="IN214" s="496"/>
      <c r="IO214" s="496"/>
      <c r="IP214" s="496"/>
      <c r="IQ214" s="496"/>
      <c r="IR214" s="500"/>
      <c r="IS214" s="496"/>
      <c r="IT214" s="496"/>
      <c r="IU214" s="496"/>
      <c r="IV214" s="496"/>
      <c r="IW214" s="496"/>
      <c r="IX214" s="496"/>
      <c r="IY214" s="496"/>
      <c r="IZ214" s="496"/>
      <c r="JA214" s="496"/>
      <c r="JB214" s="496"/>
      <c r="JC214" s="496"/>
      <c r="JD214" s="496"/>
      <c r="JE214" s="496"/>
      <c r="JF214" s="2657"/>
      <c r="JG214" s="2657"/>
      <c r="JH214" s="2657"/>
      <c r="JI214" s="2657"/>
      <c r="JJ214" s="2657"/>
      <c r="JK214" s="2657"/>
      <c r="JL214" s="2657"/>
      <c r="JM214" s="2657"/>
      <c r="JN214" s="2657"/>
    </row>
    <row r="215" spans="28:274" ht="4.1500000000000004" customHeight="1">
      <c r="HM215" s="495"/>
      <c r="HN215" s="495"/>
      <c r="HO215" s="495"/>
      <c r="HP215" s="495"/>
      <c r="HQ215" s="495"/>
      <c r="HR215" s="495"/>
      <c r="HS215" s="495"/>
      <c r="HT215" s="495"/>
      <c r="HU215" s="495"/>
      <c r="HV215" s="495"/>
      <c r="HW215" s="495"/>
      <c r="HX215" s="495"/>
      <c r="HY215" s="495"/>
      <c r="HZ215" s="495"/>
      <c r="IA215" s="495"/>
      <c r="IB215" s="495"/>
      <c r="IC215" s="495"/>
      <c r="ID215" s="496"/>
      <c r="IE215" s="496"/>
      <c r="IF215" s="496"/>
      <c r="IG215" s="496"/>
      <c r="IH215" s="496"/>
      <c r="II215" s="496"/>
      <c r="IJ215" s="496"/>
      <c r="IK215" s="500"/>
      <c r="IL215" s="502"/>
      <c r="IM215" s="496"/>
      <c r="IN215" s="496"/>
      <c r="IO215" s="496"/>
      <c r="IP215" s="496"/>
      <c r="IQ215" s="496"/>
      <c r="IR215" s="500"/>
      <c r="IS215" s="496"/>
      <c r="IT215" s="496"/>
      <c r="IU215" s="496"/>
      <c r="IV215" s="496"/>
      <c r="IW215" s="496"/>
      <c r="IX215" s="496"/>
      <c r="IY215" s="496"/>
      <c r="IZ215" s="496"/>
      <c r="JA215" s="496"/>
      <c r="JB215" s="496"/>
      <c r="JC215" s="496"/>
      <c r="JD215" s="496"/>
      <c r="JE215" s="496"/>
      <c r="JF215" s="2658"/>
      <c r="JG215" s="2658"/>
      <c r="JH215" s="2658"/>
      <c r="JI215" s="2658"/>
      <c r="JJ215" s="2658"/>
      <c r="JK215" s="2658"/>
      <c r="JL215" s="2658"/>
      <c r="JM215" s="2658"/>
      <c r="JN215" s="2658"/>
    </row>
    <row r="216" spans="28:274" ht="4.1500000000000004" customHeight="1">
      <c r="HM216" s="495"/>
      <c r="HN216" s="495"/>
      <c r="HO216" s="495"/>
      <c r="HP216" s="495"/>
      <c r="HQ216" s="495"/>
      <c r="HR216" s="495"/>
      <c r="HS216" s="495"/>
      <c r="HT216" s="495"/>
      <c r="HU216" s="495"/>
      <c r="HV216" s="495"/>
      <c r="HW216" s="495"/>
      <c r="HX216" s="495"/>
      <c r="HY216" s="2654" t="s">
        <v>2980</v>
      </c>
      <c r="HZ216" s="2654"/>
      <c r="IA216" s="2654"/>
      <c r="IB216" s="2654"/>
      <c r="IC216" s="2654"/>
      <c r="ID216" s="2654"/>
      <c r="IE216" s="496"/>
      <c r="IF216" s="496"/>
      <c r="IG216" s="496"/>
      <c r="IH216" s="496"/>
      <c r="II216" s="496"/>
      <c r="IJ216" s="496"/>
      <c r="IK216" s="500"/>
      <c r="IL216" s="496"/>
      <c r="IM216" s="496"/>
      <c r="IN216" s="496"/>
      <c r="IO216" s="496"/>
      <c r="IP216" s="496"/>
      <c r="IQ216" s="496"/>
      <c r="IR216" s="496"/>
      <c r="IS216" s="498"/>
      <c r="IT216" s="498"/>
      <c r="IU216" s="498"/>
      <c r="IV216" s="498"/>
      <c r="IW216" s="498"/>
      <c r="IX216" s="498"/>
      <c r="IY216" s="499"/>
      <c r="IZ216" s="496"/>
      <c r="JA216" s="496"/>
      <c r="JB216" s="496"/>
      <c r="JC216" s="496"/>
      <c r="JD216" s="496"/>
      <c r="JE216" s="496"/>
      <c r="JF216" s="2656">
        <f>JF213</f>
        <v>0.2</v>
      </c>
      <c r="JG216" s="2656"/>
      <c r="JH216" s="2656"/>
      <c r="JI216" s="2656"/>
      <c r="JJ216" s="2656"/>
      <c r="JK216" s="2656"/>
      <c r="JL216" s="2656"/>
      <c r="JM216" s="2656"/>
      <c r="JN216" s="2656"/>
    </row>
    <row r="217" spans="28:274" ht="4.1500000000000004" customHeight="1">
      <c r="HM217" s="495"/>
      <c r="HN217" s="495"/>
      <c r="HO217" s="495"/>
      <c r="HP217" s="495"/>
      <c r="HQ217" s="495"/>
      <c r="HR217" s="495"/>
      <c r="HS217" s="495"/>
      <c r="HT217" s="495"/>
      <c r="HU217" s="495"/>
      <c r="HV217" s="495"/>
      <c r="HW217" s="495"/>
      <c r="HX217" s="495"/>
      <c r="HY217" s="2654"/>
      <c r="HZ217" s="2654"/>
      <c r="IA217" s="2654"/>
      <c r="IB217" s="2654"/>
      <c r="IC217" s="2654"/>
      <c r="ID217" s="2654"/>
      <c r="IE217" s="496"/>
      <c r="IF217" s="496"/>
      <c r="IG217" s="496"/>
      <c r="IH217" s="496"/>
      <c r="II217" s="496"/>
      <c r="IJ217" s="496"/>
      <c r="IK217" s="500"/>
      <c r="IL217" s="496"/>
      <c r="IM217" s="496"/>
      <c r="IN217" s="496"/>
      <c r="IO217" s="496"/>
      <c r="IP217" s="496"/>
      <c r="IQ217" s="496"/>
      <c r="IR217" s="496"/>
      <c r="IS217" s="496"/>
      <c r="IT217" s="496"/>
      <c r="IU217" s="496"/>
      <c r="IV217" s="496"/>
      <c r="IW217" s="496"/>
      <c r="IX217" s="496"/>
      <c r="IY217" s="500"/>
      <c r="IZ217" s="496"/>
      <c r="JA217" s="496"/>
      <c r="JB217" s="496"/>
      <c r="JC217" s="496"/>
      <c r="JD217" s="496"/>
      <c r="JE217" s="496"/>
      <c r="JF217" s="2657"/>
      <c r="JG217" s="2657"/>
      <c r="JH217" s="2657"/>
      <c r="JI217" s="2657"/>
      <c r="JJ217" s="2657"/>
      <c r="JK217" s="2657"/>
      <c r="JL217" s="2657"/>
      <c r="JM217" s="2657"/>
      <c r="JN217" s="2657"/>
    </row>
    <row r="218" spans="28:274" ht="4.1500000000000004" customHeight="1">
      <c r="AD218" s="519"/>
      <c r="AE218" s="521"/>
      <c r="AF218" s="514"/>
      <c r="AG218" s="514"/>
      <c r="AH218" s="514"/>
      <c r="AI218" s="514"/>
      <c r="AJ218" s="514"/>
      <c r="AK218" s="514"/>
      <c r="AL218" s="514"/>
      <c r="AM218" s="514"/>
      <c r="AN218" s="514"/>
      <c r="AO218" s="514"/>
      <c r="AP218" s="514"/>
      <c r="AQ218" s="514"/>
      <c r="AR218" s="514"/>
      <c r="AS218" s="514"/>
      <c r="AT218" s="514"/>
      <c r="AU218" s="514"/>
      <c r="AV218" s="514"/>
      <c r="AW218" s="514"/>
      <c r="AX218" s="519"/>
      <c r="AY218" s="521"/>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9"/>
      <c r="BU218" s="521"/>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9"/>
      <c r="CQ218" s="521"/>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9"/>
      <c r="DM218" s="521"/>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9"/>
      <c r="EI218" s="521"/>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9"/>
      <c r="FE218" s="521"/>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9"/>
      <c r="GA218" s="521"/>
      <c r="HM218" s="495"/>
      <c r="HN218" s="495"/>
      <c r="HO218" s="495"/>
      <c r="HP218" s="495"/>
      <c r="HQ218" s="495"/>
      <c r="HR218" s="495"/>
      <c r="HS218" s="495"/>
      <c r="HT218" s="495"/>
      <c r="HU218" s="495"/>
      <c r="HV218" s="495"/>
      <c r="HW218" s="495"/>
      <c r="HX218" s="495"/>
      <c r="HY218" s="2655"/>
      <c r="HZ218" s="2655"/>
      <c r="IA218" s="2655"/>
      <c r="IB218" s="2655"/>
      <c r="IC218" s="2655"/>
      <c r="ID218" s="2655"/>
      <c r="IE218" s="503"/>
      <c r="IF218" s="503"/>
      <c r="IG218" s="503"/>
      <c r="IH218" s="503"/>
      <c r="II218" s="503"/>
      <c r="IJ218" s="503"/>
      <c r="IK218" s="504"/>
      <c r="IL218" s="496"/>
      <c r="IM218" s="496"/>
      <c r="IN218" s="496"/>
      <c r="IO218" s="496"/>
      <c r="IP218" s="496"/>
      <c r="IQ218" s="496"/>
      <c r="IR218" s="496"/>
      <c r="IS218" s="496"/>
      <c r="IT218" s="496"/>
      <c r="IU218" s="496"/>
      <c r="IV218" s="496"/>
      <c r="IW218" s="496"/>
      <c r="IX218" s="496"/>
      <c r="IY218" s="500"/>
      <c r="IZ218" s="496"/>
      <c r="JA218" s="496"/>
      <c r="JB218" s="496"/>
      <c r="JC218" s="496"/>
      <c r="JD218" s="496"/>
      <c r="JE218" s="496"/>
      <c r="JF218" s="2657"/>
      <c r="JG218" s="2658"/>
      <c r="JH218" s="2658"/>
      <c r="JI218" s="2658"/>
      <c r="JJ218" s="2658"/>
      <c r="JK218" s="2658"/>
      <c r="JL218" s="2658"/>
      <c r="JM218" s="2658"/>
      <c r="JN218" s="2658"/>
    </row>
    <row r="219" spans="28:274" ht="4.1500000000000004" customHeight="1">
      <c r="AD219" s="522"/>
      <c r="AE219" s="524"/>
      <c r="AW219" s="532"/>
      <c r="AX219" s="522"/>
      <c r="AY219" s="524"/>
      <c r="BT219" s="522"/>
      <c r="BU219" s="524"/>
      <c r="CP219" s="522"/>
      <c r="CQ219" s="524"/>
      <c r="DL219" s="522"/>
      <c r="DM219" s="524"/>
      <c r="EH219" s="522"/>
      <c r="EI219" s="524"/>
      <c r="FD219" s="522"/>
      <c r="FE219" s="524"/>
      <c r="FZ219" s="522"/>
      <c r="GA219" s="524"/>
      <c r="HM219" s="495"/>
      <c r="HN219" s="495"/>
      <c r="HO219" s="495"/>
      <c r="HP219" s="495"/>
      <c r="HQ219" s="495"/>
      <c r="HR219" s="495"/>
      <c r="HS219" s="495"/>
      <c r="HT219" s="495"/>
      <c r="HU219" s="495"/>
      <c r="HV219" s="495"/>
      <c r="HW219" s="495"/>
      <c r="HX219" s="495"/>
      <c r="HY219" s="2656">
        <f>JG219+JG221</f>
        <v>0.3</v>
      </c>
      <c r="HZ219" s="2656"/>
      <c r="IA219" s="2656"/>
      <c r="IB219" s="2656"/>
      <c r="IC219" s="2656"/>
      <c r="ID219" s="2656"/>
      <c r="IE219" s="2656"/>
      <c r="IF219" s="2656"/>
      <c r="IG219" s="2656"/>
      <c r="IH219" s="2656"/>
      <c r="II219" s="2656"/>
      <c r="IJ219" s="496"/>
      <c r="IK219" s="500"/>
      <c r="IL219" s="501"/>
      <c r="IM219" s="498"/>
      <c r="IN219" s="498"/>
      <c r="IO219" s="498"/>
      <c r="IP219" s="498"/>
      <c r="IQ219" s="498"/>
      <c r="IR219" s="498"/>
      <c r="IS219" s="498"/>
      <c r="IT219" s="498"/>
      <c r="IU219" s="498"/>
      <c r="IV219" s="498"/>
      <c r="IW219" s="498"/>
      <c r="IX219" s="498"/>
      <c r="IY219" s="498"/>
      <c r="IZ219" s="498"/>
      <c r="JA219" s="498"/>
      <c r="JB219" s="498"/>
      <c r="JC219" s="498"/>
      <c r="JD219" s="498"/>
      <c r="JE219" s="498"/>
      <c r="JF219" s="499"/>
      <c r="JG219" s="2659">
        <v>0.15</v>
      </c>
      <c r="JH219" s="2660"/>
      <c r="JI219" s="2660"/>
      <c r="JJ219" s="2660"/>
      <c r="JK219" s="2660"/>
      <c r="JL219" s="2660"/>
      <c r="JM219" s="2660"/>
      <c r="JN219" s="2660"/>
    </row>
    <row r="220" spans="28:274" ht="4.1500000000000004" customHeight="1">
      <c r="AD220" s="527"/>
      <c r="AE220" s="529"/>
      <c r="AF220" s="515"/>
      <c r="AG220" s="514"/>
      <c r="AH220" s="514"/>
      <c r="AI220" s="518"/>
      <c r="AK220" s="515"/>
      <c r="AL220" s="514"/>
      <c r="AM220" s="514"/>
      <c r="AN220" s="518"/>
      <c r="AP220" s="515"/>
      <c r="AQ220" s="514"/>
      <c r="AR220" s="514"/>
      <c r="AS220" s="518"/>
      <c r="AU220" s="515"/>
      <c r="AV220" s="514"/>
      <c r="AW220" s="518"/>
      <c r="AX220" s="527"/>
      <c r="AY220" s="529"/>
      <c r="AZ220" s="514"/>
      <c r="BA220" s="514"/>
      <c r="BB220" s="514"/>
      <c r="BC220" s="514"/>
      <c r="BD220" s="514"/>
      <c r="BE220" s="514"/>
      <c r="BF220" s="514"/>
      <c r="BG220" s="514"/>
      <c r="BH220" s="518"/>
      <c r="BI220" s="517"/>
      <c r="BJ220" s="514"/>
      <c r="BK220" s="514"/>
      <c r="BL220" s="514"/>
      <c r="BM220" s="514"/>
      <c r="BN220" s="514"/>
      <c r="BO220" s="514"/>
      <c r="BP220" s="514"/>
      <c r="BQ220" s="514"/>
      <c r="BR220" s="514"/>
      <c r="BS220" s="514"/>
      <c r="BT220" s="527"/>
      <c r="BU220" s="529"/>
      <c r="BV220" s="514"/>
      <c r="BW220" s="514"/>
      <c r="BX220" s="514"/>
      <c r="BY220" s="514"/>
      <c r="BZ220" s="514"/>
      <c r="CA220" s="514"/>
      <c r="CB220" s="514"/>
      <c r="CC220" s="514"/>
      <c r="CD220" s="514"/>
      <c r="CE220" s="514"/>
      <c r="CF220" s="514"/>
      <c r="CG220" s="514"/>
      <c r="CH220" s="514"/>
      <c r="CI220" s="514"/>
      <c r="CJ220" s="514"/>
      <c r="CK220" s="514"/>
      <c r="CL220" s="514"/>
      <c r="CM220" s="514"/>
      <c r="CN220" s="514"/>
      <c r="CO220" s="518"/>
      <c r="CP220" s="527"/>
      <c r="CQ220" s="529"/>
      <c r="CR220" s="515"/>
      <c r="CS220" s="514"/>
      <c r="CT220" s="514"/>
      <c r="CU220" s="514"/>
      <c r="CV220" s="514"/>
      <c r="CW220" s="514"/>
      <c r="CX220" s="514"/>
      <c r="CY220" s="514"/>
      <c r="CZ220" s="514"/>
      <c r="DA220" s="514"/>
      <c r="DB220" s="514"/>
      <c r="DC220" s="514"/>
      <c r="DD220" s="514"/>
      <c r="DE220" s="514"/>
      <c r="DF220" s="514"/>
      <c r="DG220" s="514"/>
      <c r="DH220" s="514"/>
      <c r="DI220" s="514"/>
      <c r="DJ220" s="514"/>
      <c r="DK220" s="514"/>
      <c r="DL220" s="527"/>
      <c r="DM220" s="529"/>
      <c r="DN220" s="514"/>
      <c r="DO220" s="514"/>
      <c r="DP220" s="514"/>
      <c r="DQ220" s="514"/>
      <c r="DR220" s="514"/>
      <c r="DS220" s="514"/>
      <c r="DT220" s="514"/>
      <c r="DU220" s="514"/>
      <c r="DV220" s="514"/>
      <c r="DW220" s="514"/>
      <c r="DX220" s="514"/>
      <c r="DY220" s="514"/>
      <c r="DZ220" s="514"/>
      <c r="EA220" s="514"/>
      <c r="EB220" s="514"/>
      <c r="EC220" s="514"/>
      <c r="ED220" s="514"/>
      <c r="EE220" s="514"/>
      <c r="EF220" s="514"/>
      <c r="EG220" s="518"/>
      <c r="EH220" s="527"/>
      <c r="EI220" s="529"/>
      <c r="EJ220" s="515"/>
      <c r="EK220" s="514"/>
      <c r="EL220" s="514"/>
      <c r="EM220" s="514"/>
      <c r="EN220" s="514"/>
      <c r="EO220" s="514"/>
      <c r="EP220" s="514"/>
      <c r="EQ220" s="514"/>
      <c r="ER220" s="514"/>
      <c r="ES220" s="514"/>
      <c r="ET220" s="514"/>
      <c r="EU220" s="514"/>
      <c r="EV220" s="514"/>
      <c r="EW220" s="514"/>
      <c r="EX220" s="514"/>
      <c r="EY220" s="514"/>
      <c r="EZ220" s="514"/>
      <c r="FA220" s="514"/>
      <c r="FB220" s="514"/>
      <c r="FC220" s="514"/>
      <c r="FD220" s="527"/>
      <c r="FE220" s="529"/>
      <c r="FF220" s="514"/>
      <c r="FG220" s="514"/>
      <c r="FH220" s="514"/>
      <c r="FI220" s="514"/>
      <c r="FJ220" s="514"/>
      <c r="FK220" s="514"/>
      <c r="FL220" s="514"/>
      <c r="FM220" s="514"/>
      <c r="FN220" s="514"/>
      <c r="FO220" s="514"/>
      <c r="FP220" s="514"/>
      <c r="FQ220" s="514"/>
      <c r="FR220" s="514"/>
      <c r="FS220" s="514"/>
      <c r="FT220" s="514"/>
      <c r="FU220" s="514"/>
      <c r="FV220" s="514"/>
      <c r="FW220" s="514"/>
      <c r="FX220" s="514"/>
      <c r="FY220" s="518"/>
      <c r="FZ220" s="527"/>
      <c r="GA220" s="529"/>
      <c r="HM220" s="495"/>
      <c r="HN220" s="495"/>
      <c r="HO220" s="495"/>
      <c r="HP220" s="495"/>
      <c r="HQ220" s="495"/>
      <c r="HR220" s="495"/>
      <c r="HS220" s="495"/>
      <c r="HT220" s="495"/>
      <c r="HU220" s="495"/>
      <c r="HV220" s="495"/>
      <c r="HW220" s="495"/>
      <c r="HX220" s="495"/>
      <c r="HY220" s="2657"/>
      <c r="HZ220" s="2657"/>
      <c r="IA220" s="2657"/>
      <c r="IB220" s="2657"/>
      <c r="IC220" s="2657"/>
      <c r="ID220" s="2657"/>
      <c r="IE220" s="2657"/>
      <c r="IF220" s="2657"/>
      <c r="IG220" s="2657"/>
      <c r="IH220" s="2657"/>
      <c r="II220" s="2657"/>
      <c r="IJ220" s="496"/>
      <c r="IK220" s="500"/>
      <c r="IL220" s="505"/>
      <c r="IM220" s="503"/>
      <c r="IN220" s="503"/>
      <c r="IO220" s="503"/>
      <c r="IP220" s="503"/>
      <c r="IQ220" s="503"/>
      <c r="IR220" s="503"/>
      <c r="IS220" s="503"/>
      <c r="IT220" s="503"/>
      <c r="IU220" s="503"/>
      <c r="IV220" s="503"/>
      <c r="IW220" s="503"/>
      <c r="IX220" s="503"/>
      <c r="IY220" s="503"/>
      <c r="IZ220" s="503"/>
      <c r="JA220" s="503"/>
      <c r="JB220" s="503"/>
      <c r="JC220" s="503"/>
      <c r="JD220" s="503"/>
      <c r="JE220" s="503"/>
      <c r="JF220" s="504"/>
      <c r="JG220" s="2661"/>
      <c r="JH220" s="2662"/>
      <c r="JI220" s="2662"/>
      <c r="JJ220" s="2662"/>
      <c r="JK220" s="2662"/>
      <c r="JL220" s="2662"/>
      <c r="JM220" s="2662"/>
      <c r="JN220" s="2662"/>
    </row>
    <row r="221" spans="28:274" ht="4.1500000000000004" customHeight="1">
      <c r="AD221" s="516"/>
      <c r="AF221" s="516"/>
      <c r="AI221" s="517"/>
      <c r="AK221" s="516"/>
      <c r="AN221" s="517"/>
      <c r="AP221" s="516"/>
      <c r="AS221" s="517"/>
      <c r="AU221" s="516"/>
      <c r="AW221" s="517"/>
      <c r="AX221" s="516"/>
      <c r="AZ221" s="516"/>
      <c r="BH221" s="517"/>
      <c r="BI221" s="517"/>
      <c r="CO221" s="517"/>
      <c r="CR221" s="516"/>
      <c r="EG221" s="517"/>
      <c r="EJ221" s="516"/>
      <c r="FY221" s="517"/>
      <c r="GA221" s="517"/>
      <c r="HM221" s="495"/>
      <c r="HN221" s="495"/>
      <c r="HO221" s="495"/>
      <c r="HP221" s="495"/>
      <c r="HQ221" s="495"/>
      <c r="HR221" s="495"/>
      <c r="HS221" s="495"/>
      <c r="HT221" s="495"/>
      <c r="HU221" s="495"/>
      <c r="HV221" s="495"/>
      <c r="HW221" s="495"/>
      <c r="HX221" s="495"/>
      <c r="HY221" s="2657"/>
      <c r="HZ221" s="2657"/>
      <c r="IA221" s="2657"/>
      <c r="IB221" s="2657"/>
      <c r="IC221" s="2657"/>
      <c r="ID221" s="2657"/>
      <c r="IE221" s="2657"/>
      <c r="IF221" s="2657"/>
      <c r="IG221" s="2657"/>
      <c r="IH221" s="2657"/>
      <c r="II221" s="2657"/>
      <c r="IJ221" s="496"/>
      <c r="IK221" s="500"/>
      <c r="IL221" s="501"/>
      <c r="IM221" s="498"/>
      <c r="IN221" s="498"/>
      <c r="IO221" s="498"/>
      <c r="IP221" s="498"/>
      <c r="IQ221" s="498"/>
      <c r="IR221" s="498"/>
      <c r="IS221" s="498"/>
      <c r="IT221" s="498"/>
      <c r="IU221" s="498"/>
      <c r="IV221" s="498"/>
      <c r="IW221" s="498"/>
      <c r="IX221" s="498"/>
      <c r="IY221" s="498"/>
      <c r="IZ221" s="498"/>
      <c r="JA221" s="498"/>
      <c r="JB221" s="498"/>
      <c r="JC221" s="498"/>
      <c r="JD221" s="498"/>
      <c r="JE221" s="498"/>
      <c r="JF221" s="499"/>
      <c r="JG221" s="2659">
        <f>JG219</f>
        <v>0.15</v>
      </c>
      <c r="JH221" s="2660"/>
      <c r="JI221" s="2660"/>
      <c r="JJ221" s="2660"/>
      <c r="JK221" s="2660"/>
      <c r="JL221" s="2660"/>
      <c r="JM221" s="2660"/>
      <c r="JN221" s="2660"/>
    </row>
    <row r="222" spans="28:274" ht="4.1500000000000004" customHeight="1">
      <c r="AD222" s="516"/>
      <c r="AF222" s="516"/>
      <c r="AI222" s="517"/>
      <c r="AK222" s="516"/>
      <c r="AN222" s="517"/>
      <c r="AP222" s="516"/>
      <c r="AS222" s="517"/>
      <c r="AU222" s="516"/>
      <c r="AW222" s="517"/>
      <c r="AX222" s="516"/>
      <c r="AZ222" s="516"/>
      <c r="BH222" s="517"/>
      <c r="BI222" s="517"/>
      <c r="CO222" s="517"/>
      <c r="CR222" s="516"/>
      <c r="EG222" s="517"/>
      <c r="EJ222" s="516"/>
      <c r="FY222" s="517"/>
      <c r="GA222" s="517"/>
      <c r="HM222" s="495"/>
      <c r="HN222" s="495"/>
      <c r="HO222" s="495"/>
      <c r="HP222" s="495"/>
      <c r="HQ222" s="495"/>
      <c r="HR222" s="495"/>
      <c r="HS222" s="495"/>
      <c r="HT222" s="495"/>
      <c r="HU222" s="495"/>
      <c r="HV222" s="495"/>
      <c r="HW222" s="495"/>
      <c r="HX222" s="495"/>
      <c r="HY222" s="2658"/>
      <c r="HZ222" s="2658"/>
      <c r="IA222" s="2658"/>
      <c r="IB222" s="2658"/>
      <c r="IC222" s="2658"/>
      <c r="ID222" s="2658"/>
      <c r="IE222" s="2658"/>
      <c r="IF222" s="2658"/>
      <c r="IG222" s="2658"/>
      <c r="IH222" s="2658"/>
      <c r="II222" s="2658"/>
      <c r="IJ222" s="496"/>
      <c r="IK222" s="500"/>
      <c r="IL222" s="505"/>
      <c r="IM222" s="503"/>
      <c r="IN222" s="503"/>
      <c r="IO222" s="503"/>
      <c r="IP222" s="503"/>
      <c r="IQ222" s="503"/>
      <c r="IR222" s="503"/>
      <c r="IS222" s="503"/>
      <c r="IT222" s="503"/>
      <c r="IU222" s="503"/>
      <c r="IV222" s="503"/>
      <c r="IW222" s="503"/>
      <c r="IX222" s="503"/>
      <c r="IY222" s="503"/>
      <c r="IZ222" s="503"/>
      <c r="JA222" s="503"/>
      <c r="JB222" s="503"/>
      <c r="JC222" s="503"/>
      <c r="JD222" s="503"/>
      <c r="JE222" s="503"/>
      <c r="JF222" s="504"/>
      <c r="JG222" s="2661"/>
      <c r="JH222" s="2662"/>
      <c r="JI222" s="2662"/>
      <c r="JJ222" s="2662"/>
      <c r="JK222" s="2662"/>
      <c r="JL222" s="2662"/>
      <c r="JM222" s="2662"/>
      <c r="JN222" s="2662"/>
    </row>
    <row r="223" spans="28:274" ht="4.1500000000000004" customHeight="1">
      <c r="AD223" s="516"/>
      <c r="AF223" s="516"/>
      <c r="AI223" s="517"/>
      <c r="AK223" s="516"/>
      <c r="AN223" s="517"/>
      <c r="AP223" s="516"/>
      <c r="AS223" s="517"/>
      <c r="AU223" s="516"/>
      <c r="AW223" s="517"/>
      <c r="AX223" s="516"/>
      <c r="AZ223" s="516"/>
      <c r="BH223" s="517"/>
      <c r="BI223" s="517"/>
      <c r="CO223" s="517"/>
      <c r="CR223" s="516"/>
      <c r="EG223" s="517"/>
      <c r="EJ223" s="516"/>
      <c r="FY223" s="517"/>
      <c r="GA223" s="517"/>
      <c r="HM223" s="495"/>
      <c r="HN223" s="495"/>
      <c r="HO223" s="495"/>
      <c r="HP223" s="495"/>
      <c r="HQ223" s="495"/>
      <c r="HR223" s="495"/>
      <c r="HS223" s="495"/>
      <c r="HT223" s="495"/>
      <c r="HU223" s="495"/>
      <c r="HV223" s="495"/>
      <c r="HW223" s="495"/>
      <c r="HX223" s="495"/>
      <c r="HY223" s="495"/>
      <c r="HZ223" s="495"/>
      <c r="IA223" s="495"/>
      <c r="IB223" s="495"/>
      <c r="IC223" s="495"/>
      <c r="ID223" s="496"/>
      <c r="IE223" s="496"/>
      <c r="IF223" s="496"/>
      <c r="IG223" s="496"/>
      <c r="IH223" s="496"/>
      <c r="II223" s="496"/>
      <c r="IJ223" s="496"/>
      <c r="IK223" s="496"/>
      <c r="IL223" s="496"/>
      <c r="IM223" s="496"/>
      <c r="IN223" s="496"/>
      <c r="IO223" s="496"/>
      <c r="IP223" s="496"/>
      <c r="IQ223" s="496"/>
      <c r="IR223" s="496"/>
      <c r="IS223" s="496"/>
      <c r="IT223" s="496"/>
      <c r="IU223" s="496"/>
      <c r="IV223" s="496"/>
      <c r="IW223" s="496"/>
      <c r="IX223" s="496"/>
      <c r="IY223" s="496"/>
      <c r="IZ223" s="496"/>
      <c r="JA223" s="496"/>
      <c r="JB223" s="496"/>
      <c r="JC223" s="496"/>
      <c r="JD223" s="496"/>
      <c r="JE223" s="496"/>
      <c r="JF223" s="496"/>
      <c r="JG223" s="496"/>
      <c r="JH223" s="496"/>
      <c r="JI223" s="496"/>
      <c r="JJ223" s="496"/>
      <c r="JK223" s="496"/>
      <c r="JL223" s="496"/>
      <c r="JM223" s="496"/>
      <c r="JN223" s="496"/>
    </row>
    <row r="224" spans="28:274" ht="4.1500000000000004" customHeight="1">
      <c r="AD224" s="516"/>
      <c r="AF224" s="516"/>
      <c r="AI224" s="517"/>
      <c r="AK224" s="516"/>
      <c r="AN224" s="517"/>
      <c r="AP224" s="516"/>
      <c r="AS224" s="517"/>
      <c r="AU224" s="516"/>
      <c r="AW224" s="517"/>
      <c r="AX224" s="516"/>
      <c r="AZ224" s="516"/>
      <c r="BH224" s="517"/>
      <c r="BI224" s="517"/>
      <c r="CO224" s="517"/>
      <c r="CR224" s="516"/>
      <c r="EG224" s="517"/>
      <c r="EJ224" s="516"/>
      <c r="FY224" s="517"/>
      <c r="GA224" s="517"/>
      <c r="HM224" s="495"/>
      <c r="HN224" s="495"/>
      <c r="HO224" s="495"/>
      <c r="HP224" s="495"/>
      <c r="HQ224" s="495"/>
      <c r="HR224" s="495"/>
      <c r="HS224" s="495"/>
      <c r="HT224" s="495"/>
      <c r="HU224" s="495"/>
      <c r="HV224" s="495"/>
      <c r="HW224" s="495"/>
      <c r="HX224" s="495"/>
      <c r="HY224" s="495"/>
      <c r="HZ224" s="495"/>
      <c r="IA224" s="495"/>
      <c r="IB224" s="495"/>
      <c r="IC224" s="495"/>
      <c r="ID224" s="496"/>
      <c r="IE224" s="496"/>
      <c r="IF224" s="496"/>
      <c r="IG224" s="496"/>
      <c r="IH224" s="496"/>
      <c r="II224" s="496"/>
      <c r="IJ224" s="496"/>
      <c r="IK224" s="496"/>
      <c r="IL224" s="496"/>
      <c r="IM224" s="496"/>
      <c r="IN224" s="496"/>
      <c r="IO224" s="496"/>
      <c r="IP224" s="496"/>
      <c r="IQ224" s="496"/>
      <c r="IR224" s="496"/>
      <c r="IS224" s="496"/>
      <c r="IT224" s="496"/>
      <c r="IU224" s="496"/>
      <c r="IV224" s="496"/>
      <c r="IW224" s="496"/>
      <c r="IX224" s="496"/>
      <c r="IY224" s="496"/>
      <c r="IZ224" s="496"/>
      <c r="JA224" s="496"/>
      <c r="JB224" s="496"/>
      <c r="JC224" s="496"/>
      <c r="JD224" s="496"/>
      <c r="JE224" s="496"/>
      <c r="JF224" s="496"/>
      <c r="JG224" s="496"/>
      <c r="JH224" s="496"/>
      <c r="JI224" s="496"/>
      <c r="JJ224" s="496"/>
      <c r="JK224" s="496"/>
      <c r="JL224" s="496"/>
      <c r="JM224" s="496"/>
      <c r="JN224" s="496"/>
    </row>
    <row r="225" spans="30:274" ht="4.1500000000000004" customHeight="1">
      <c r="AD225" s="516"/>
      <c r="AF225" s="530"/>
      <c r="AG225" s="532"/>
      <c r="AH225" s="532"/>
      <c r="AI225" s="531"/>
      <c r="AJ225" s="532"/>
      <c r="AK225" s="530"/>
      <c r="AL225" s="532"/>
      <c r="AM225" s="532"/>
      <c r="AN225" s="531"/>
      <c r="AO225" s="532"/>
      <c r="AP225" s="530"/>
      <c r="AQ225" s="532"/>
      <c r="AR225" s="532"/>
      <c r="AS225" s="531"/>
      <c r="AT225" s="532"/>
      <c r="AU225" s="530"/>
      <c r="AV225" s="532"/>
      <c r="AW225" s="531"/>
      <c r="AX225" s="516"/>
      <c r="AZ225" s="516"/>
      <c r="BH225" s="517"/>
      <c r="BI225" s="517"/>
      <c r="CO225" s="517"/>
      <c r="CR225" s="516"/>
      <c r="EG225" s="517"/>
      <c r="EJ225" s="516"/>
      <c r="FY225" s="517"/>
      <c r="GA225" s="517"/>
      <c r="HM225" s="506"/>
      <c r="HN225" s="506"/>
      <c r="HO225" s="506"/>
      <c r="HP225" s="506"/>
      <c r="HQ225" s="506"/>
      <c r="HR225" s="495"/>
      <c r="HS225" s="495"/>
      <c r="HT225" s="495"/>
      <c r="HU225" s="495"/>
      <c r="HV225" s="507"/>
      <c r="HW225" s="507"/>
      <c r="HX225" s="507"/>
      <c r="HY225" s="507"/>
      <c r="HZ225" s="507"/>
      <c r="IA225" s="507"/>
      <c r="IB225" s="507"/>
      <c r="IC225" s="507"/>
      <c r="ID225" s="507"/>
      <c r="IE225" s="507"/>
      <c r="IF225" s="507"/>
      <c r="IG225" s="495"/>
      <c r="IH225" s="495"/>
      <c r="II225" s="495"/>
      <c r="IJ225" s="495"/>
      <c r="IK225" s="507"/>
      <c r="IL225" s="2663">
        <f>SUM(IL206:JF208)</f>
        <v>0.89999999999999991</v>
      </c>
      <c r="IM225" s="2664"/>
      <c r="IN225" s="2664"/>
      <c r="IO225" s="2664"/>
      <c r="IP225" s="2664"/>
      <c r="IQ225" s="2664"/>
      <c r="IR225" s="2664"/>
      <c r="IS225" s="2664"/>
      <c r="IT225" s="2664"/>
      <c r="IU225" s="2664"/>
      <c r="IV225" s="2664"/>
      <c r="IW225" s="2664"/>
      <c r="IX225" s="2664"/>
      <c r="IY225" s="2664"/>
      <c r="IZ225" s="2664"/>
      <c r="JA225" s="2664"/>
      <c r="JB225" s="2664"/>
      <c r="JC225" s="2664"/>
      <c r="JD225" s="2664"/>
      <c r="JE225" s="2664"/>
      <c r="JF225" s="2665"/>
      <c r="JG225" s="495"/>
      <c r="JH225" s="495"/>
      <c r="JI225" s="495"/>
      <c r="JJ225" s="495"/>
      <c r="JK225" s="495"/>
      <c r="JL225" s="495"/>
      <c r="JM225" s="495"/>
      <c r="JN225" s="495"/>
    </row>
    <row r="226" spans="30:274" ht="4.1500000000000004" customHeight="1">
      <c r="AD226" s="516"/>
      <c r="AF226" s="516"/>
      <c r="AW226" s="517"/>
      <c r="AX226" s="516"/>
      <c r="AZ226" s="516"/>
      <c r="BH226" s="517"/>
      <c r="BI226" s="517"/>
      <c r="CO226" s="517"/>
      <c r="CR226" s="516"/>
      <c r="EG226" s="517"/>
      <c r="EJ226" s="516"/>
      <c r="FY226" s="517"/>
      <c r="GA226" s="517"/>
      <c r="HM226" s="506"/>
      <c r="HN226" s="506"/>
      <c r="HO226" s="506"/>
      <c r="HP226" s="506"/>
      <c r="HQ226" s="506"/>
      <c r="HR226" s="495"/>
      <c r="HS226" s="495"/>
      <c r="HT226" s="495"/>
      <c r="HU226" s="495"/>
      <c r="HV226" s="507"/>
      <c r="HW226" s="507"/>
      <c r="HX226" s="507"/>
      <c r="HY226" s="507"/>
      <c r="HZ226" s="507"/>
      <c r="IA226" s="507"/>
      <c r="IB226" s="507"/>
      <c r="IC226" s="507"/>
      <c r="ID226" s="507"/>
      <c r="IE226" s="507"/>
      <c r="IF226" s="507"/>
      <c r="IG226" s="495"/>
      <c r="IH226" s="495"/>
      <c r="II226" s="495"/>
      <c r="IJ226" s="495"/>
      <c r="IK226" s="507"/>
      <c r="IL226" s="2663"/>
      <c r="IM226" s="2664"/>
      <c r="IN226" s="2664"/>
      <c r="IO226" s="2664"/>
      <c r="IP226" s="2664"/>
      <c r="IQ226" s="2664"/>
      <c r="IR226" s="2664"/>
      <c r="IS226" s="2664"/>
      <c r="IT226" s="2664"/>
      <c r="IU226" s="2664"/>
      <c r="IV226" s="2664"/>
      <c r="IW226" s="2664"/>
      <c r="IX226" s="2664"/>
      <c r="IY226" s="2664"/>
      <c r="IZ226" s="2664"/>
      <c r="JA226" s="2664"/>
      <c r="JB226" s="2664"/>
      <c r="JC226" s="2664"/>
      <c r="JD226" s="2664"/>
      <c r="JE226" s="2664"/>
      <c r="JF226" s="2665"/>
      <c r="JG226" s="495"/>
      <c r="JH226" s="495"/>
      <c r="JI226" s="495"/>
      <c r="JJ226" s="495"/>
      <c r="JK226" s="495"/>
      <c r="JL226" s="495"/>
      <c r="JM226" s="495"/>
      <c r="JN226" s="495"/>
    </row>
    <row r="227" spans="30:274" ht="4.1500000000000004" customHeight="1">
      <c r="AD227" s="516"/>
      <c r="AF227" s="516"/>
      <c r="AW227" s="517"/>
      <c r="AX227" s="516"/>
      <c r="AZ227" s="516"/>
      <c r="BH227" s="517"/>
      <c r="BI227" s="517"/>
      <c r="CO227" s="517"/>
      <c r="CR227" s="516"/>
      <c r="EG227" s="517"/>
      <c r="EJ227" s="516"/>
      <c r="FY227" s="517"/>
      <c r="GA227" s="517"/>
      <c r="HM227" s="506"/>
      <c r="HN227" s="506"/>
      <c r="HO227" s="506"/>
      <c r="HP227" s="506"/>
      <c r="HQ227" s="506"/>
      <c r="HR227" s="495"/>
      <c r="HS227" s="495"/>
      <c r="HT227" s="495"/>
      <c r="HU227" s="495"/>
      <c r="HV227" s="507"/>
      <c r="HW227" s="507"/>
      <c r="HX227" s="507"/>
      <c r="HY227" s="507"/>
      <c r="HZ227" s="507"/>
      <c r="IA227" s="507"/>
      <c r="IB227" s="507"/>
      <c r="IC227" s="507"/>
      <c r="ID227" s="507"/>
      <c r="IE227" s="507"/>
      <c r="IF227" s="507"/>
      <c r="IG227" s="495"/>
      <c r="IH227" s="495"/>
      <c r="II227" s="495"/>
      <c r="IJ227" s="495"/>
      <c r="IK227" s="507"/>
      <c r="IL227" s="2663"/>
      <c r="IM227" s="2664"/>
      <c r="IN227" s="2664"/>
      <c r="IO227" s="2664"/>
      <c r="IP227" s="2664"/>
      <c r="IQ227" s="2664"/>
      <c r="IR227" s="2664"/>
      <c r="IS227" s="2664"/>
      <c r="IT227" s="2664"/>
      <c r="IU227" s="2664"/>
      <c r="IV227" s="2664"/>
      <c r="IW227" s="2664"/>
      <c r="IX227" s="2664"/>
      <c r="IY227" s="2664"/>
      <c r="IZ227" s="2664"/>
      <c r="JA227" s="2664"/>
      <c r="JB227" s="2664"/>
      <c r="JC227" s="2664"/>
      <c r="JD227" s="2664"/>
      <c r="JE227" s="2664"/>
      <c r="JF227" s="2665"/>
      <c r="JG227" s="495"/>
      <c r="JH227" s="495"/>
      <c r="JI227" s="495"/>
      <c r="JJ227" s="495"/>
      <c r="JK227" s="495"/>
      <c r="JL227" s="495"/>
      <c r="JM227" s="495"/>
      <c r="JN227" s="495"/>
    </row>
    <row r="228" spans="30:274" ht="4.1500000000000004" customHeight="1">
      <c r="AD228" s="516"/>
      <c r="AF228" s="516"/>
      <c r="AW228" s="517"/>
      <c r="AX228" s="516"/>
      <c r="AZ228" s="516"/>
      <c r="BH228" s="517"/>
      <c r="BI228" s="517"/>
      <c r="CO228" s="517"/>
      <c r="CR228" s="516"/>
      <c r="EG228" s="517"/>
      <c r="EJ228" s="516"/>
      <c r="FY228" s="517"/>
      <c r="GA228" s="517"/>
    </row>
    <row r="229" spans="30:274" ht="4.1500000000000004" customHeight="1">
      <c r="AD229" s="516"/>
      <c r="AF229" s="516"/>
      <c r="AW229" s="517"/>
      <c r="AX229" s="516"/>
      <c r="AZ229" s="516"/>
      <c r="BH229" s="517"/>
      <c r="BI229" s="517"/>
      <c r="CO229" s="517"/>
      <c r="CR229" s="516"/>
      <c r="EG229" s="517"/>
      <c r="EJ229" s="516"/>
      <c r="FY229" s="517"/>
      <c r="GA229" s="517"/>
    </row>
    <row r="230" spans="30:274" ht="4.1500000000000004" customHeight="1">
      <c r="AD230" s="516"/>
      <c r="AF230" s="516"/>
      <c r="AW230" s="517"/>
      <c r="AZ230" s="516"/>
      <c r="BH230" s="517"/>
      <c r="BI230" s="517"/>
      <c r="CO230" s="517"/>
      <c r="CR230" s="516"/>
      <c r="EG230" s="517"/>
      <c r="EJ230" s="516"/>
      <c r="FY230" s="517"/>
      <c r="GA230" s="517"/>
    </row>
    <row r="231" spans="30:274" ht="4.1500000000000004" customHeight="1">
      <c r="AD231" s="516"/>
      <c r="AF231" s="530"/>
      <c r="AG231" s="532"/>
      <c r="AH231" s="532"/>
      <c r="AI231" s="532"/>
      <c r="AJ231" s="532"/>
      <c r="AK231" s="532"/>
      <c r="AL231" s="532"/>
      <c r="AM231" s="532"/>
      <c r="AN231" s="532"/>
      <c r="AO231" s="532"/>
      <c r="AP231" s="532"/>
      <c r="AW231" s="517"/>
      <c r="AX231" s="516"/>
      <c r="AZ231" s="530"/>
      <c r="BA231" s="532"/>
      <c r="BB231" s="532"/>
      <c r="BC231" s="532"/>
      <c r="BD231" s="532"/>
      <c r="BE231" s="532"/>
      <c r="BF231" s="532"/>
      <c r="BG231" s="532"/>
      <c r="BH231" s="531"/>
      <c r="BI231" s="517"/>
      <c r="CO231" s="517"/>
      <c r="CR231" s="516"/>
      <c r="EG231" s="517"/>
      <c r="EJ231" s="516"/>
      <c r="FY231" s="517"/>
      <c r="GA231" s="517"/>
    </row>
    <row r="232" spans="30:274" ht="4.1500000000000004" customHeight="1">
      <c r="AD232" s="516"/>
      <c r="AF232" s="512"/>
      <c r="AG232" s="512"/>
      <c r="AH232" s="512"/>
      <c r="AI232" s="512"/>
      <c r="AJ232" s="512"/>
      <c r="AK232" s="512"/>
      <c r="AL232" s="512"/>
      <c r="AM232" s="512"/>
      <c r="AN232" s="512"/>
      <c r="AO232" s="512"/>
      <c r="AP232" s="514"/>
      <c r="AQ232" s="516"/>
      <c r="AX232" s="516"/>
      <c r="AZ232" s="532"/>
      <c r="BA232" s="532"/>
      <c r="BB232" s="532"/>
      <c r="BC232" s="532"/>
      <c r="BD232" s="532"/>
      <c r="BE232" s="532"/>
      <c r="BF232" s="532"/>
      <c r="BG232" s="532"/>
      <c r="BH232" s="532"/>
      <c r="BI232" s="531"/>
      <c r="CO232" s="517"/>
      <c r="CR232" s="516"/>
      <c r="EG232" s="517"/>
      <c r="EJ232" s="516"/>
      <c r="FY232" s="517"/>
      <c r="GA232" s="517"/>
    </row>
    <row r="233" spans="30:274" ht="4.1500000000000004" customHeight="1">
      <c r="AD233" s="516"/>
      <c r="AF233" s="515"/>
      <c r="AG233" s="514"/>
      <c r="AH233" s="514"/>
      <c r="AI233" s="514"/>
      <c r="AJ233" s="514"/>
      <c r="AK233" s="514"/>
      <c r="AL233" s="514"/>
      <c r="AM233" s="514"/>
      <c r="AN233" s="514"/>
      <c r="AO233" s="514"/>
      <c r="AP233" s="514"/>
      <c r="AW233" s="517"/>
      <c r="AX233" s="516"/>
      <c r="AZ233" s="516"/>
      <c r="CO233" s="517"/>
      <c r="CR233" s="516"/>
      <c r="EG233" s="517"/>
      <c r="EJ233" s="516"/>
      <c r="FY233" s="517"/>
      <c r="GA233" s="517"/>
    </row>
    <row r="234" spans="30:274" ht="4.1500000000000004" customHeight="1">
      <c r="AD234" s="516"/>
      <c r="AF234" s="516"/>
      <c r="AW234" s="517"/>
      <c r="AX234" s="516"/>
      <c r="AZ234" s="516"/>
      <c r="CO234" s="517"/>
      <c r="CR234" s="516"/>
      <c r="EG234" s="517"/>
      <c r="EJ234" s="516"/>
      <c r="FY234" s="517"/>
      <c r="GA234" s="517"/>
    </row>
    <row r="235" spans="30:274" ht="4.1500000000000004" customHeight="1">
      <c r="AD235" s="516"/>
      <c r="AF235" s="516"/>
      <c r="AW235" s="517"/>
      <c r="AX235" s="516"/>
      <c r="AZ235" s="516"/>
      <c r="CO235" s="517"/>
      <c r="CR235" s="516"/>
      <c r="EG235" s="517"/>
      <c r="EJ235" s="516"/>
      <c r="EO235" s="2637" t="s">
        <v>3607</v>
      </c>
      <c r="EP235" s="2637"/>
      <c r="EQ235" s="2637"/>
      <c r="ER235" s="2637"/>
      <c r="ES235" s="2637"/>
      <c r="ET235" s="2637"/>
      <c r="EU235" s="2637"/>
      <c r="EV235" s="2637"/>
      <c r="EW235" s="2637"/>
      <c r="EX235" s="2637"/>
      <c r="EY235" s="2637"/>
      <c r="EZ235" s="2637"/>
      <c r="FA235" s="2637"/>
      <c r="FB235" s="2637"/>
      <c r="FC235" s="2637"/>
      <c r="FD235" s="2637"/>
      <c r="FE235" s="2637"/>
      <c r="FF235" s="2637"/>
      <c r="FG235" s="2637"/>
      <c r="FH235" s="2637"/>
      <c r="FI235" s="2637"/>
      <c r="FJ235" s="2637"/>
      <c r="FK235" s="2637"/>
      <c r="FL235" s="2637"/>
      <c r="FM235" s="2637"/>
      <c r="FN235" s="2637"/>
      <c r="FO235" s="2637"/>
      <c r="FP235" s="2637"/>
      <c r="FY235" s="517"/>
      <c r="GA235" s="517"/>
    </row>
    <row r="236" spans="30:274" ht="4.1500000000000004" customHeight="1">
      <c r="AD236" s="516"/>
      <c r="AF236" s="516"/>
      <c r="AW236" s="517"/>
      <c r="AX236" s="516"/>
      <c r="AZ236" s="516"/>
      <c r="CO236" s="517"/>
      <c r="CR236" s="516"/>
      <c r="CX236" s="2637" t="s">
        <v>3605</v>
      </c>
      <c r="CY236" s="2637"/>
      <c r="CZ236" s="2637"/>
      <c r="DA236" s="2637"/>
      <c r="DB236" s="2637"/>
      <c r="DC236" s="2637"/>
      <c r="DD236" s="2637"/>
      <c r="DE236" s="2637"/>
      <c r="DF236" s="2637"/>
      <c r="DG236" s="2637"/>
      <c r="DH236" s="2637"/>
      <c r="DI236" s="2637"/>
      <c r="DJ236" s="2637"/>
      <c r="DK236" s="2637"/>
      <c r="DL236" s="2637"/>
      <c r="DM236" s="2637"/>
      <c r="DN236" s="2637"/>
      <c r="DO236" s="2637"/>
      <c r="DP236" s="2637"/>
      <c r="DQ236" s="2637"/>
      <c r="DR236" s="2637"/>
      <c r="DS236" s="2637"/>
      <c r="DT236" s="2637"/>
      <c r="DU236" s="2637"/>
      <c r="DV236" s="2637"/>
      <c r="DW236" s="2637"/>
      <c r="DX236" s="2637"/>
      <c r="DY236" s="2637"/>
      <c r="EG236" s="517"/>
      <c r="EJ236" s="516"/>
      <c r="EO236" s="2637"/>
      <c r="EP236" s="2637"/>
      <c r="EQ236" s="2637"/>
      <c r="ER236" s="2637"/>
      <c r="ES236" s="2637"/>
      <c r="ET236" s="2637"/>
      <c r="EU236" s="2637"/>
      <c r="EV236" s="2637"/>
      <c r="EW236" s="2637"/>
      <c r="EX236" s="2637"/>
      <c r="EY236" s="2637"/>
      <c r="EZ236" s="2637"/>
      <c r="FA236" s="2637"/>
      <c r="FB236" s="2637"/>
      <c r="FC236" s="2637"/>
      <c r="FD236" s="2637"/>
      <c r="FE236" s="2637"/>
      <c r="FF236" s="2637"/>
      <c r="FG236" s="2637"/>
      <c r="FH236" s="2637"/>
      <c r="FI236" s="2637"/>
      <c r="FJ236" s="2637"/>
      <c r="FK236" s="2637"/>
      <c r="FL236" s="2637"/>
      <c r="FM236" s="2637"/>
      <c r="FN236" s="2637"/>
      <c r="FO236" s="2637"/>
      <c r="FP236" s="2637"/>
      <c r="FY236" s="517"/>
      <c r="GA236" s="517"/>
      <c r="GB236" s="496"/>
      <c r="GC236" s="496"/>
      <c r="GD236" s="496"/>
      <c r="GE236" s="496"/>
      <c r="GF236" s="496"/>
      <c r="GG236" s="496"/>
      <c r="GH236" s="496"/>
      <c r="GI236" s="496"/>
      <c r="GJ236" s="496"/>
      <c r="GK236" s="496"/>
      <c r="GL236" s="496"/>
      <c r="GM236" s="496"/>
      <c r="GN236" s="496"/>
      <c r="GO236" s="496"/>
      <c r="GP236" s="496"/>
      <c r="GQ236" s="496"/>
      <c r="GR236" s="496"/>
      <c r="GS236" s="496"/>
      <c r="GT236" s="496"/>
      <c r="GU236" s="496"/>
      <c r="GV236" s="496"/>
      <c r="GW236" s="496"/>
      <c r="GX236" s="496"/>
      <c r="GY236" s="496"/>
      <c r="GZ236" s="496"/>
      <c r="HA236" s="496"/>
      <c r="HB236" s="496"/>
      <c r="HC236" s="496"/>
      <c r="HD236" s="496"/>
      <c r="HE236" s="496"/>
      <c r="HF236" s="496"/>
      <c r="HG236" s="496"/>
      <c r="HH236" s="496"/>
      <c r="HI236" s="496"/>
      <c r="HJ236" s="496"/>
      <c r="HK236" s="496"/>
      <c r="HL236" s="496"/>
      <c r="HM236" s="496"/>
      <c r="HN236" s="496"/>
      <c r="HO236" s="496"/>
      <c r="HP236" s="496"/>
      <c r="HQ236" s="496"/>
      <c r="HR236" s="496"/>
      <c r="HS236" s="496"/>
      <c r="HT236" s="496"/>
      <c r="HU236" s="496"/>
      <c r="HV236" s="496"/>
      <c r="HW236" s="496"/>
      <c r="HX236" s="496"/>
      <c r="HY236" s="496"/>
      <c r="HZ236" s="496"/>
      <c r="IA236" s="496"/>
      <c r="IB236" s="496"/>
      <c r="IC236" s="496"/>
      <c r="ID236" s="496"/>
      <c r="IE236" s="496"/>
      <c r="IF236" s="496"/>
      <c r="IG236" s="496"/>
      <c r="IH236" s="496"/>
      <c r="II236" s="496"/>
      <c r="IJ236" s="496"/>
      <c r="IK236" s="496"/>
      <c r="IL236" s="496"/>
      <c r="IM236" s="496"/>
      <c r="IN236" s="496"/>
      <c r="IO236" s="496"/>
    </row>
    <row r="237" spans="30:274" ht="4.1500000000000004" customHeight="1">
      <c r="AD237" s="516"/>
      <c r="AF237" s="516"/>
      <c r="AP237" s="532"/>
      <c r="AW237" s="517"/>
      <c r="AX237" s="516"/>
      <c r="AZ237" s="516"/>
      <c r="BG237" s="2637" t="s">
        <v>3497</v>
      </c>
      <c r="BH237" s="2637"/>
      <c r="BI237" s="2637"/>
      <c r="BJ237" s="2637"/>
      <c r="BK237" s="2637"/>
      <c r="BL237" s="2637"/>
      <c r="BM237" s="2637"/>
      <c r="BN237" s="2637"/>
      <c r="BO237" s="2637"/>
      <c r="BP237" s="2637"/>
      <c r="BQ237" s="2637"/>
      <c r="BR237" s="2637"/>
      <c r="BS237" s="2637"/>
      <c r="BT237" s="2637"/>
      <c r="BU237" s="2637"/>
      <c r="BV237" s="2637"/>
      <c r="BW237" s="2637"/>
      <c r="BX237" s="2637"/>
      <c r="BY237" s="2637"/>
      <c r="BZ237" s="2637"/>
      <c r="CA237" s="2637"/>
      <c r="CB237" s="2637"/>
      <c r="CC237" s="2637"/>
      <c r="CD237" s="2637"/>
      <c r="CE237" s="2637"/>
      <c r="CF237" s="2637"/>
      <c r="CG237" s="2637"/>
      <c r="CH237" s="2637"/>
      <c r="CO237" s="517"/>
      <c r="CR237" s="516"/>
      <c r="CX237" s="2637"/>
      <c r="CY237" s="2637"/>
      <c r="CZ237" s="2637"/>
      <c r="DA237" s="2637"/>
      <c r="DB237" s="2637"/>
      <c r="DC237" s="2637"/>
      <c r="DD237" s="2637"/>
      <c r="DE237" s="2637"/>
      <c r="DF237" s="2637"/>
      <c r="DG237" s="2637"/>
      <c r="DH237" s="2637"/>
      <c r="DI237" s="2637"/>
      <c r="DJ237" s="2637"/>
      <c r="DK237" s="2637"/>
      <c r="DL237" s="2637"/>
      <c r="DM237" s="2637"/>
      <c r="DN237" s="2637"/>
      <c r="DO237" s="2637"/>
      <c r="DP237" s="2637"/>
      <c r="DQ237" s="2637"/>
      <c r="DR237" s="2637"/>
      <c r="DS237" s="2637"/>
      <c r="DT237" s="2637"/>
      <c r="DU237" s="2637"/>
      <c r="DV237" s="2637"/>
      <c r="DW237" s="2637"/>
      <c r="DX237" s="2637"/>
      <c r="DY237" s="2637"/>
      <c r="EG237" s="517"/>
      <c r="EJ237" s="516"/>
      <c r="EO237" s="2637"/>
      <c r="EP237" s="2637"/>
      <c r="EQ237" s="2637"/>
      <c r="ER237" s="2637"/>
      <c r="ES237" s="2637"/>
      <c r="ET237" s="2637"/>
      <c r="EU237" s="2637"/>
      <c r="EV237" s="2637"/>
      <c r="EW237" s="2637"/>
      <c r="EX237" s="2637"/>
      <c r="EY237" s="2637"/>
      <c r="EZ237" s="2637"/>
      <c r="FA237" s="2637"/>
      <c r="FB237" s="2637"/>
      <c r="FC237" s="2637"/>
      <c r="FD237" s="2637"/>
      <c r="FE237" s="2637"/>
      <c r="FF237" s="2637"/>
      <c r="FG237" s="2637"/>
      <c r="FH237" s="2637"/>
      <c r="FI237" s="2637"/>
      <c r="FJ237" s="2637"/>
      <c r="FK237" s="2637"/>
      <c r="FL237" s="2637"/>
      <c r="FM237" s="2637"/>
      <c r="FN237" s="2637"/>
      <c r="FO237" s="2637"/>
      <c r="FP237" s="2637"/>
      <c r="FY237" s="517"/>
      <c r="GA237" s="517"/>
      <c r="GB237" s="496"/>
      <c r="GC237" s="496"/>
      <c r="GD237" s="496"/>
      <c r="GE237" s="496"/>
      <c r="GF237" s="496"/>
      <c r="GG237" s="496"/>
      <c r="GH237" s="496"/>
      <c r="GI237" s="496"/>
      <c r="GJ237" s="496"/>
      <c r="GK237" s="496"/>
      <c r="GL237" s="496"/>
      <c r="GM237" s="496"/>
      <c r="GN237" s="496"/>
      <c r="GO237" s="496"/>
      <c r="GP237" s="496"/>
      <c r="GQ237" s="496"/>
      <c r="GR237" s="496"/>
      <c r="GS237" s="496"/>
      <c r="GT237" s="496"/>
      <c r="GU237" s="496"/>
      <c r="GV237" s="496"/>
      <c r="GW237" s="496"/>
      <c r="GX237" s="496"/>
      <c r="GY237" s="496"/>
      <c r="GZ237" s="496"/>
      <c r="HA237" s="496"/>
      <c r="HB237" s="496"/>
      <c r="HC237" s="496"/>
      <c r="HD237" s="496"/>
      <c r="HE237" s="496"/>
      <c r="HF237" s="496"/>
      <c r="HG237" s="496"/>
      <c r="HH237" s="496"/>
      <c r="HI237" s="496"/>
      <c r="HJ237" s="496"/>
      <c r="HK237" s="496"/>
      <c r="HL237" s="496"/>
      <c r="HM237" s="496"/>
      <c r="HN237" s="496"/>
      <c r="HO237" s="496"/>
      <c r="HP237" s="496"/>
      <c r="HQ237" s="496"/>
      <c r="HR237" s="496"/>
      <c r="HS237" s="496"/>
      <c r="HT237" s="496"/>
      <c r="HU237" s="496"/>
      <c r="HV237" s="496"/>
      <c r="HW237" s="496"/>
      <c r="HX237" s="496"/>
      <c r="HY237" s="496"/>
      <c r="HZ237" s="496"/>
      <c r="IA237" s="496"/>
      <c r="IB237" s="496"/>
      <c r="IC237" s="496"/>
      <c r="ID237" s="496"/>
      <c r="IE237" s="496"/>
      <c r="IF237" s="496"/>
      <c r="IG237" s="496"/>
      <c r="IH237" s="496"/>
      <c r="II237" s="496"/>
      <c r="IJ237" s="496"/>
      <c r="IK237" s="496"/>
      <c r="IL237" s="496"/>
      <c r="IM237" s="496"/>
      <c r="IN237" s="496"/>
      <c r="IO237" s="496"/>
    </row>
    <row r="238" spans="30:274" ht="4.1500000000000004" customHeight="1">
      <c r="AD238" s="516"/>
      <c r="AF238" s="516"/>
      <c r="AO238" s="517"/>
      <c r="AP238" s="526"/>
      <c r="AQ238" s="516"/>
      <c r="AW238" s="517"/>
      <c r="AX238" s="516"/>
      <c r="AZ238" s="516"/>
      <c r="BG238" s="2637"/>
      <c r="BH238" s="2637"/>
      <c r="BI238" s="2637"/>
      <c r="BJ238" s="2637"/>
      <c r="BK238" s="2637"/>
      <c r="BL238" s="2637"/>
      <c r="BM238" s="2637"/>
      <c r="BN238" s="2637"/>
      <c r="BO238" s="2637"/>
      <c r="BP238" s="2637"/>
      <c r="BQ238" s="2637"/>
      <c r="BR238" s="2637"/>
      <c r="BS238" s="2637"/>
      <c r="BT238" s="2637"/>
      <c r="BU238" s="2637"/>
      <c r="BV238" s="2637"/>
      <c r="BW238" s="2637"/>
      <c r="BX238" s="2637"/>
      <c r="BY238" s="2637"/>
      <c r="BZ238" s="2637"/>
      <c r="CA238" s="2637"/>
      <c r="CB238" s="2637"/>
      <c r="CC238" s="2637"/>
      <c r="CD238" s="2637"/>
      <c r="CE238" s="2637"/>
      <c r="CF238" s="2637"/>
      <c r="CG238" s="2637"/>
      <c r="CH238" s="2637"/>
      <c r="CO238" s="517"/>
      <c r="CR238" s="516"/>
      <c r="CX238" s="2637"/>
      <c r="CY238" s="2637"/>
      <c r="CZ238" s="2637"/>
      <c r="DA238" s="2637"/>
      <c r="DB238" s="2637"/>
      <c r="DC238" s="2637"/>
      <c r="DD238" s="2637"/>
      <c r="DE238" s="2637"/>
      <c r="DF238" s="2637"/>
      <c r="DG238" s="2637"/>
      <c r="DH238" s="2637"/>
      <c r="DI238" s="2637"/>
      <c r="DJ238" s="2637"/>
      <c r="DK238" s="2637"/>
      <c r="DL238" s="2637"/>
      <c r="DM238" s="2637"/>
      <c r="DN238" s="2637"/>
      <c r="DO238" s="2637"/>
      <c r="DP238" s="2637"/>
      <c r="DQ238" s="2637"/>
      <c r="DR238" s="2637"/>
      <c r="DS238" s="2637"/>
      <c r="DT238" s="2637"/>
      <c r="DU238" s="2637"/>
      <c r="DV238" s="2637"/>
      <c r="DW238" s="2637"/>
      <c r="DX238" s="2637"/>
      <c r="DY238" s="2637"/>
      <c r="EG238" s="517"/>
      <c r="EJ238" s="516"/>
      <c r="EO238" s="2637"/>
      <c r="EP238" s="2637"/>
      <c r="EQ238" s="2637"/>
      <c r="ER238" s="2637"/>
      <c r="ES238" s="2637"/>
      <c r="ET238" s="2637"/>
      <c r="EU238" s="2637"/>
      <c r="EV238" s="2637"/>
      <c r="EW238" s="2637"/>
      <c r="EX238" s="2637"/>
      <c r="EY238" s="2637"/>
      <c r="EZ238" s="2637"/>
      <c r="FA238" s="2637"/>
      <c r="FB238" s="2637"/>
      <c r="FC238" s="2637"/>
      <c r="FD238" s="2637"/>
      <c r="FE238" s="2637"/>
      <c r="FF238" s="2637"/>
      <c r="FG238" s="2637"/>
      <c r="FH238" s="2637"/>
      <c r="FI238" s="2637"/>
      <c r="FJ238" s="2637"/>
      <c r="FK238" s="2637"/>
      <c r="FL238" s="2637"/>
      <c r="FM238" s="2637"/>
      <c r="FN238" s="2637"/>
      <c r="FO238" s="2637"/>
      <c r="FP238" s="2637"/>
      <c r="FY238" s="517"/>
      <c r="GA238" s="517"/>
      <c r="GB238" s="496"/>
      <c r="GC238" s="496"/>
      <c r="GD238" s="496"/>
      <c r="GE238" s="496"/>
      <c r="GF238" s="496"/>
      <c r="GG238" s="496"/>
      <c r="GH238" s="496"/>
      <c r="GI238" s="496"/>
      <c r="GJ238" s="496"/>
      <c r="GK238" s="496"/>
      <c r="GL238" s="496"/>
      <c r="GM238" s="496"/>
      <c r="GN238" s="496"/>
      <c r="GO238" s="496"/>
      <c r="GP238" s="496"/>
      <c r="GQ238" s="496"/>
      <c r="GR238" s="496"/>
      <c r="GS238" s="496"/>
      <c r="GT238" s="496"/>
      <c r="GU238" s="496"/>
      <c r="GV238" s="496"/>
      <c r="GW238" s="496"/>
      <c r="GX238" s="496"/>
      <c r="GY238" s="496"/>
      <c r="GZ238" s="496"/>
      <c r="HA238" s="496"/>
      <c r="HB238" s="496"/>
      <c r="HC238" s="496"/>
      <c r="HD238" s="496"/>
      <c r="HE238" s="496"/>
      <c r="HF238" s="496"/>
      <c r="HG238" s="496"/>
      <c r="HH238" s="496"/>
      <c r="HI238" s="496"/>
      <c r="HJ238" s="496"/>
      <c r="HK238" s="496"/>
      <c r="HL238" s="496"/>
      <c r="HM238" s="496"/>
      <c r="HN238" s="496"/>
      <c r="HO238" s="496"/>
      <c r="HP238" s="496"/>
      <c r="HQ238" s="496"/>
      <c r="HR238" s="496"/>
      <c r="HS238" s="496"/>
      <c r="HT238" s="496"/>
      <c r="HU238" s="496"/>
      <c r="HV238" s="496"/>
      <c r="HW238" s="496"/>
      <c r="HX238" s="496"/>
      <c r="HY238" s="496"/>
      <c r="HZ238" s="496"/>
      <c r="IA238" s="496"/>
      <c r="IB238" s="496"/>
      <c r="IC238" s="496"/>
      <c r="ID238" s="496"/>
      <c r="IE238" s="496"/>
      <c r="IF238" s="496"/>
      <c r="IG238" s="496"/>
      <c r="IH238" s="496"/>
      <c r="II238" s="496"/>
      <c r="IJ238" s="496"/>
      <c r="IK238" s="496"/>
      <c r="IL238" s="496"/>
      <c r="IM238" s="496"/>
      <c r="IN238" s="496"/>
      <c r="IO238" s="496"/>
    </row>
    <row r="239" spans="30:274" ht="4.1500000000000004" customHeight="1">
      <c r="AD239" s="516"/>
      <c r="AF239" s="530"/>
      <c r="AG239" s="532"/>
      <c r="AH239" s="532"/>
      <c r="AI239" s="532"/>
      <c r="AJ239" s="532"/>
      <c r="AK239" s="532"/>
      <c r="AL239" s="532"/>
      <c r="AM239" s="532"/>
      <c r="AN239" s="532"/>
      <c r="AO239" s="531"/>
      <c r="AP239" s="526"/>
      <c r="AQ239" s="516"/>
      <c r="AW239" s="517"/>
      <c r="AX239" s="516"/>
      <c r="AZ239" s="516"/>
      <c r="BG239" s="2637"/>
      <c r="BH239" s="2637"/>
      <c r="BI239" s="2637"/>
      <c r="BJ239" s="2637"/>
      <c r="BK239" s="2637"/>
      <c r="BL239" s="2637"/>
      <c r="BM239" s="2637"/>
      <c r="BN239" s="2637"/>
      <c r="BO239" s="2637"/>
      <c r="BP239" s="2637"/>
      <c r="BQ239" s="2637"/>
      <c r="BR239" s="2637"/>
      <c r="BS239" s="2637"/>
      <c r="BT239" s="2637"/>
      <c r="BU239" s="2637"/>
      <c r="BV239" s="2637"/>
      <c r="BW239" s="2637"/>
      <c r="BX239" s="2637"/>
      <c r="BY239" s="2637"/>
      <c r="BZ239" s="2637"/>
      <c r="CA239" s="2637"/>
      <c r="CB239" s="2637"/>
      <c r="CC239" s="2637"/>
      <c r="CD239" s="2637"/>
      <c r="CE239" s="2637"/>
      <c r="CF239" s="2637"/>
      <c r="CG239" s="2637"/>
      <c r="CH239" s="2637"/>
      <c r="CO239" s="517"/>
      <c r="CR239" s="516"/>
      <c r="CX239" s="2637"/>
      <c r="CY239" s="2637"/>
      <c r="CZ239" s="2637"/>
      <c r="DA239" s="2637"/>
      <c r="DB239" s="2637"/>
      <c r="DC239" s="2637"/>
      <c r="DD239" s="2637"/>
      <c r="DE239" s="2637"/>
      <c r="DF239" s="2637"/>
      <c r="DG239" s="2637"/>
      <c r="DH239" s="2637"/>
      <c r="DI239" s="2637"/>
      <c r="DJ239" s="2637"/>
      <c r="DK239" s="2637"/>
      <c r="DL239" s="2637"/>
      <c r="DM239" s="2637"/>
      <c r="DN239" s="2637"/>
      <c r="DO239" s="2637"/>
      <c r="DP239" s="2637"/>
      <c r="DQ239" s="2637"/>
      <c r="DR239" s="2637"/>
      <c r="DS239" s="2637"/>
      <c r="DT239" s="2637"/>
      <c r="DU239" s="2637"/>
      <c r="DV239" s="2637"/>
      <c r="DW239" s="2637"/>
      <c r="DX239" s="2637"/>
      <c r="DY239" s="2637"/>
      <c r="EG239" s="517"/>
      <c r="EJ239" s="516"/>
      <c r="EO239" s="2636">
        <v>7</v>
      </c>
      <c r="EP239" s="2636"/>
      <c r="EQ239" s="2636"/>
      <c r="ER239" s="2636"/>
      <c r="ES239" s="2636"/>
      <c r="ET239" s="2636"/>
      <c r="EU239" s="2636"/>
      <c r="EV239" s="2636"/>
      <c r="EW239" s="2636"/>
      <c r="EX239" s="2636"/>
      <c r="EY239" s="2636"/>
      <c r="EZ239" s="2636"/>
      <c r="FA239" s="2636" t="s">
        <v>901</v>
      </c>
      <c r="FB239" s="2636"/>
      <c r="FC239" s="2636"/>
      <c r="FD239" s="2636"/>
      <c r="FE239" s="2636">
        <v>7</v>
      </c>
      <c r="FF239" s="2636"/>
      <c r="FG239" s="2636"/>
      <c r="FH239" s="2636"/>
      <c r="FI239" s="2636"/>
      <c r="FJ239" s="2636"/>
      <c r="FK239" s="2636"/>
      <c r="FL239" s="2636"/>
      <c r="FM239" s="2636"/>
      <c r="FN239" s="2636"/>
      <c r="FO239" s="2636"/>
      <c r="FP239" s="2636"/>
      <c r="FY239" s="517"/>
      <c r="GA239" s="517"/>
      <c r="GB239" s="496"/>
      <c r="GC239" s="496"/>
      <c r="GD239" s="496"/>
      <c r="GE239" s="496"/>
      <c r="GF239" s="496"/>
      <c r="GG239" s="496"/>
      <c r="GH239" s="496"/>
      <c r="GI239" s="496"/>
      <c r="GJ239" s="496"/>
      <c r="GK239" s="496"/>
      <c r="GL239" s="496"/>
      <c r="GM239" s="496"/>
      <c r="GN239" s="496"/>
      <c r="GO239" s="496"/>
      <c r="GP239" s="496"/>
      <c r="GQ239" s="496"/>
      <c r="GR239" s="496"/>
      <c r="GS239" s="496"/>
      <c r="GT239" s="496"/>
      <c r="GU239" s="496"/>
      <c r="GV239" s="496"/>
      <c r="GW239" s="496"/>
      <c r="GX239" s="496"/>
      <c r="GY239" s="496"/>
      <c r="GZ239" s="496"/>
      <c r="HA239" s="496"/>
      <c r="HB239" s="496"/>
      <c r="HC239" s="496"/>
      <c r="HD239" s="496"/>
      <c r="HE239" s="496"/>
      <c r="HF239" s="496"/>
      <c r="HG239" s="496"/>
      <c r="HH239" s="496"/>
      <c r="HI239" s="496"/>
      <c r="HJ239" s="496"/>
      <c r="HK239" s="496"/>
      <c r="HL239" s="496"/>
      <c r="HM239" s="496"/>
      <c r="HN239" s="496"/>
      <c r="HO239" s="496"/>
      <c r="HP239" s="496"/>
      <c r="HQ239" s="496"/>
      <c r="HR239" s="496"/>
      <c r="HS239" s="496"/>
      <c r="HT239" s="496"/>
      <c r="HU239" s="496"/>
      <c r="HV239" s="496"/>
      <c r="HW239" s="496"/>
      <c r="HX239" s="496"/>
      <c r="HY239" s="496"/>
      <c r="HZ239" s="496"/>
      <c r="IA239" s="496"/>
      <c r="IB239" s="496"/>
      <c r="IC239" s="496"/>
      <c r="ID239" s="496"/>
      <c r="IE239" s="496"/>
      <c r="IF239" s="496"/>
      <c r="IG239" s="496"/>
      <c r="IH239" s="496"/>
      <c r="II239" s="496"/>
      <c r="IJ239" s="496"/>
      <c r="IK239" s="496"/>
      <c r="IL239" s="496"/>
      <c r="IM239" s="496"/>
      <c r="IN239" s="496"/>
      <c r="IO239" s="496"/>
    </row>
    <row r="240" spans="30:274" ht="4.1500000000000004" customHeight="1">
      <c r="AD240" s="516"/>
      <c r="AP240" s="517"/>
      <c r="AW240" s="517"/>
      <c r="AX240" s="519"/>
      <c r="AY240" s="521"/>
      <c r="AZ240" s="516"/>
      <c r="BG240" s="2637"/>
      <c r="BH240" s="2637"/>
      <c r="BI240" s="2637"/>
      <c r="BJ240" s="2637"/>
      <c r="BK240" s="2637"/>
      <c r="BL240" s="2637"/>
      <c r="BM240" s="2637"/>
      <c r="BN240" s="2637"/>
      <c r="BO240" s="2637"/>
      <c r="BP240" s="2637"/>
      <c r="BQ240" s="2637"/>
      <c r="BR240" s="2637"/>
      <c r="BS240" s="2637"/>
      <c r="BT240" s="2637"/>
      <c r="BU240" s="2637"/>
      <c r="BV240" s="2637"/>
      <c r="BW240" s="2637"/>
      <c r="BX240" s="2637"/>
      <c r="BY240" s="2637"/>
      <c r="BZ240" s="2637"/>
      <c r="CA240" s="2637"/>
      <c r="CB240" s="2637"/>
      <c r="CC240" s="2637"/>
      <c r="CD240" s="2637"/>
      <c r="CE240" s="2637"/>
      <c r="CF240" s="2637"/>
      <c r="CG240" s="2637"/>
      <c r="CH240" s="2637"/>
      <c r="CO240" s="517"/>
      <c r="CP240" s="519"/>
      <c r="CQ240" s="521"/>
      <c r="CR240" s="516"/>
      <c r="CX240" s="2636">
        <v>7</v>
      </c>
      <c r="CY240" s="2636"/>
      <c r="CZ240" s="2636"/>
      <c r="DA240" s="2636"/>
      <c r="DB240" s="2636"/>
      <c r="DC240" s="2636"/>
      <c r="DD240" s="2636"/>
      <c r="DE240" s="2636"/>
      <c r="DF240" s="2636"/>
      <c r="DG240" s="2636"/>
      <c r="DH240" s="2636"/>
      <c r="DI240" s="2636"/>
      <c r="DJ240" s="2636" t="s">
        <v>901</v>
      </c>
      <c r="DK240" s="2636"/>
      <c r="DL240" s="2636"/>
      <c r="DM240" s="2636"/>
      <c r="DN240" s="2636">
        <v>7</v>
      </c>
      <c r="DO240" s="2636"/>
      <c r="DP240" s="2636"/>
      <c r="DQ240" s="2636"/>
      <c r="DR240" s="2636"/>
      <c r="DS240" s="2636"/>
      <c r="DT240" s="2636"/>
      <c r="DU240" s="2636"/>
      <c r="DV240" s="2636"/>
      <c r="DW240" s="2636"/>
      <c r="DX240" s="2636"/>
      <c r="DY240" s="2636"/>
      <c r="EG240" s="517"/>
      <c r="EH240" s="519"/>
      <c r="EI240" s="521"/>
      <c r="EJ240" s="516"/>
      <c r="EO240" s="2636"/>
      <c r="EP240" s="2636"/>
      <c r="EQ240" s="2636"/>
      <c r="ER240" s="2636"/>
      <c r="ES240" s="2636"/>
      <c r="ET240" s="2636"/>
      <c r="EU240" s="2636"/>
      <c r="EV240" s="2636"/>
      <c r="EW240" s="2636"/>
      <c r="EX240" s="2636"/>
      <c r="EY240" s="2636"/>
      <c r="EZ240" s="2636"/>
      <c r="FA240" s="2636"/>
      <c r="FB240" s="2636"/>
      <c r="FC240" s="2636"/>
      <c r="FD240" s="2636"/>
      <c r="FE240" s="2636"/>
      <c r="FF240" s="2636"/>
      <c r="FG240" s="2636"/>
      <c r="FH240" s="2636"/>
      <c r="FI240" s="2636"/>
      <c r="FJ240" s="2636"/>
      <c r="FK240" s="2636"/>
      <c r="FL240" s="2636"/>
      <c r="FM240" s="2636"/>
      <c r="FN240" s="2636"/>
      <c r="FO240" s="2636"/>
      <c r="FP240" s="2636"/>
      <c r="FY240" s="517"/>
      <c r="FZ240" s="519"/>
      <c r="GA240" s="521"/>
      <c r="GB240" s="496"/>
      <c r="GC240" s="496"/>
      <c r="GD240" s="496"/>
      <c r="GE240" s="496"/>
      <c r="GF240" s="496"/>
      <c r="GG240" s="496"/>
      <c r="GH240" s="496"/>
      <c r="GI240" s="496"/>
      <c r="GJ240" s="496"/>
      <c r="GK240" s="496"/>
      <c r="GL240" s="496"/>
      <c r="GM240" s="496"/>
      <c r="GN240" s="496"/>
      <c r="GO240" s="496"/>
      <c r="GP240" s="496"/>
      <c r="GQ240" s="496"/>
      <c r="GR240" s="496"/>
      <c r="GS240" s="496"/>
      <c r="GT240" s="496"/>
      <c r="GU240" s="496"/>
      <c r="GV240" s="496"/>
      <c r="GW240" s="496"/>
      <c r="GX240" s="496"/>
      <c r="GY240" s="496"/>
      <c r="GZ240" s="496"/>
      <c r="HA240" s="496"/>
      <c r="HB240" s="496"/>
      <c r="HC240" s="496"/>
      <c r="HD240" s="496"/>
      <c r="HE240" s="496"/>
      <c r="HF240" s="496"/>
      <c r="HG240" s="496"/>
      <c r="HH240" s="496"/>
      <c r="HI240" s="496"/>
      <c r="HJ240" s="496"/>
      <c r="HK240" s="496"/>
      <c r="HL240" s="496"/>
      <c r="HM240" s="496"/>
      <c r="HN240" s="496"/>
      <c r="HO240" s="496"/>
    </row>
    <row r="241" spans="30:316" ht="4.1500000000000004" customHeight="1">
      <c r="AD241" s="516"/>
      <c r="AF241" s="515"/>
      <c r="AG241" s="514"/>
      <c r="AH241" s="514"/>
      <c r="AI241" s="514"/>
      <c r="AJ241" s="514"/>
      <c r="AK241" s="514"/>
      <c r="AL241" s="514"/>
      <c r="AM241" s="514"/>
      <c r="AN241" s="514"/>
      <c r="AO241" s="518"/>
      <c r="AP241" s="526"/>
      <c r="AQ241" s="516"/>
      <c r="AW241" s="517"/>
      <c r="AX241" s="527"/>
      <c r="AY241" s="529"/>
      <c r="AZ241" s="516"/>
      <c r="BG241" s="2636">
        <v>7</v>
      </c>
      <c r="BH241" s="2636"/>
      <c r="BI241" s="2636"/>
      <c r="BJ241" s="2636"/>
      <c r="BK241" s="2636"/>
      <c r="BL241" s="2636"/>
      <c r="BM241" s="2636"/>
      <c r="BN241" s="2636"/>
      <c r="BO241" s="2636"/>
      <c r="BP241" s="2636"/>
      <c r="BQ241" s="2636"/>
      <c r="BR241" s="2636"/>
      <c r="BS241" s="2636" t="s">
        <v>901</v>
      </c>
      <c r="BT241" s="2636"/>
      <c r="BU241" s="2636"/>
      <c r="BV241" s="2636"/>
      <c r="BW241" s="2636">
        <v>7</v>
      </c>
      <c r="BX241" s="2636"/>
      <c r="BY241" s="2636"/>
      <c r="BZ241" s="2636"/>
      <c r="CA241" s="2636"/>
      <c r="CB241" s="2636"/>
      <c r="CC241" s="2636"/>
      <c r="CD241" s="2636"/>
      <c r="CE241" s="2636"/>
      <c r="CF241" s="2636"/>
      <c r="CG241" s="2636"/>
      <c r="CH241" s="2636"/>
      <c r="CO241" s="517"/>
      <c r="CP241" s="527"/>
      <c r="CQ241" s="529"/>
      <c r="CR241" s="516"/>
      <c r="CX241" s="2636"/>
      <c r="CY241" s="2636"/>
      <c r="CZ241" s="2636"/>
      <c r="DA241" s="2636"/>
      <c r="DB241" s="2636"/>
      <c r="DC241" s="2636"/>
      <c r="DD241" s="2636"/>
      <c r="DE241" s="2636"/>
      <c r="DF241" s="2636"/>
      <c r="DG241" s="2636"/>
      <c r="DH241" s="2636"/>
      <c r="DI241" s="2636"/>
      <c r="DJ241" s="2636"/>
      <c r="DK241" s="2636"/>
      <c r="DL241" s="2636"/>
      <c r="DM241" s="2636"/>
      <c r="DN241" s="2636"/>
      <c r="DO241" s="2636"/>
      <c r="DP241" s="2636"/>
      <c r="DQ241" s="2636"/>
      <c r="DR241" s="2636"/>
      <c r="DS241" s="2636"/>
      <c r="DT241" s="2636"/>
      <c r="DU241" s="2636"/>
      <c r="DV241" s="2636"/>
      <c r="DW241" s="2636"/>
      <c r="DX241" s="2636"/>
      <c r="DY241" s="2636"/>
      <c r="EG241" s="517"/>
      <c r="EH241" s="527"/>
      <c r="EI241" s="529"/>
      <c r="EJ241" s="516"/>
      <c r="EO241" s="2636"/>
      <c r="EP241" s="2636"/>
      <c r="EQ241" s="2636"/>
      <c r="ER241" s="2636"/>
      <c r="ES241" s="2636"/>
      <c r="ET241" s="2636"/>
      <c r="EU241" s="2636"/>
      <c r="EV241" s="2636"/>
      <c r="EW241" s="2636"/>
      <c r="EX241" s="2636"/>
      <c r="EY241" s="2636"/>
      <c r="EZ241" s="2636"/>
      <c r="FA241" s="2636"/>
      <c r="FB241" s="2636"/>
      <c r="FC241" s="2636"/>
      <c r="FD241" s="2636"/>
      <c r="FE241" s="2636"/>
      <c r="FF241" s="2636"/>
      <c r="FG241" s="2636"/>
      <c r="FH241" s="2636"/>
      <c r="FI241" s="2636"/>
      <c r="FJ241" s="2636"/>
      <c r="FK241" s="2636"/>
      <c r="FL241" s="2636"/>
      <c r="FM241" s="2636"/>
      <c r="FN241" s="2636"/>
      <c r="FO241" s="2636"/>
      <c r="FP241" s="2636"/>
      <c r="FY241" s="517"/>
      <c r="FZ241" s="527"/>
      <c r="GA241" s="529"/>
      <c r="GB241" s="496"/>
      <c r="GC241" s="496"/>
      <c r="GD241" s="496"/>
      <c r="GE241" s="496"/>
      <c r="GF241" s="496"/>
      <c r="GG241" s="496"/>
      <c r="GH241" s="496"/>
      <c r="GI241" s="496"/>
      <c r="GJ241" s="496"/>
      <c r="GK241" s="496"/>
      <c r="GL241" s="496"/>
      <c r="GM241" s="496"/>
      <c r="GN241" s="496"/>
      <c r="GO241" s="496"/>
      <c r="GP241" s="496"/>
      <c r="GQ241" s="496"/>
      <c r="GR241" s="496"/>
      <c r="GS241" s="496"/>
      <c r="GT241" s="496"/>
      <c r="GU241" s="496"/>
      <c r="GV241" s="496"/>
      <c r="GW241" s="496"/>
      <c r="GX241" s="496"/>
      <c r="GY241" s="496"/>
      <c r="GZ241" s="496"/>
      <c r="HA241" s="496"/>
      <c r="HB241" s="496"/>
      <c r="HC241" s="496"/>
      <c r="HD241" s="496"/>
      <c r="HE241" s="496"/>
      <c r="HF241" s="496"/>
      <c r="HG241" s="496"/>
      <c r="HH241" s="496"/>
      <c r="HI241" s="496"/>
      <c r="HJ241" s="496"/>
      <c r="HK241" s="496"/>
      <c r="HL241" s="496"/>
      <c r="HM241" s="496"/>
      <c r="HN241" s="496"/>
      <c r="HO241" s="496"/>
      <c r="JZ241" s="496"/>
      <c r="KA241" s="496"/>
      <c r="KB241" s="496"/>
      <c r="KC241" s="496"/>
      <c r="KD241" s="496"/>
      <c r="KE241" s="496"/>
      <c r="KF241" s="496"/>
      <c r="KG241" s="496"/>
      <c r="KH241" s="496"/>
      <c r="KI241" s="496"/>
      <c r="KJ241" s="496"/>
      <c r="KK241" s="496"/>
      <c r="KL241" s="496"/>
      <c r="KM241" s="496"/>
      <c r="KN241" s="496"/>
      <c r="KO241" s="496"/>
      <c r="KP241" s="496"/>
      <c r="KQ241" s="496"/>
      <c r="KR241" s="496"/>
      <c r="KS241" s="496"/>
      <c r="KT241" s="496"/>
      <c r="KU241" s="496"/>
      <c r="KV241" s="496"/>
      <c r="KW241" s="496"/>
      <c r="KX241" s="496"/>
      <c r="KY241" s="496"/>
      <c r="KZ241" s="496"/>
      <c r="LA241" s="496"/>
      <c r="LB241" s="496"/>
      <c r="LC241" s="496"/>
      <c r="LD241" s="496"/>
    </row>
    <row r="242" spans="30:316" ht="4.1500000000000004" customHeight="1">
      <c r="AD242" s="516"/>
      <c r="AF242" s="516"/>
      <c r="AO242" s="517"/>
      <c r="AP242" s="526"/>
      <c r="AQ242" s="516"/>
      <c r="AW242" s="517"/>
      <c r="AX242" s="516"/>
      <c r="AZ242" s="516"/>
      <c r="BG242" s="2636"/>
      <c r="BH242" s="2636"/>
      <c r="BI242" s="2636"/>
      <c r="BJ242" s="2636"/>
      <c r="BK242" s="2636"/>
      <c r="BL242" s="2636"/>
      <c r="BM242" s="2636"/>
      <c r="BN242" s="2636"/>
      <c r="BO242" s="2636"/>
      <c r="BP242" s="2636"/>
      <c r="BQ242" s="2636"/>
      <c r="BR242" s="2636"/>
      <c r="BS242" s="2636"/>
      <c r="BT242" s="2636"/>
      <c r="BU242" s="2636"/>
      <c r="BV242" s="2636"/>
      <c r="BW242" s="2636"/>
      <c r="BX242" s="2636"/>
      <c r="BY242" s="2636"/>
      <c r="BZ242" s="2636"/>
      <c r="CA242" s="2636"/>
      <c r="CB242" s="2636"/>
      <c r="CC242" s="2636"/>
      <c r="CD242" s="2636"/>
      <c r="CE242" s="2636"/>
      <c r="CF242" s="2636"/>
      <c r="CG242" s="2636"/>
      <c r="CH242" s="2636"/>
      <c r="CO242" s="517"/>
      <c r="CR242" s="516"/>
      <c r="CX242" s="2636"/>
      <c r="CY242" s="2636"/>
      <c r="CZ242" s="2636"/>
      <c r="DA242" s="2636"/>
      <c r="DB242" s="2636"/>
      <c r="DC242" s="2636"/>
      <c r="DD242" s="2636"/>
      <c r="DE242" s="2636"/>
      <c r="DF242" s="2636"/>
      <c r="DG242" s="2636"/>
      <c r="DH242" s="2636"/>
      <c r="DI242" s="2636"/>
      <c r="DJ242" s="2636"/>
      <c r="DK242" s="2636"/>
      <c r="DL242" s="2636"/>
      <c r="DM242" s="2636"/>
      <c r="DN242" s="2636"/>
      <c r="DO242" s="2636"/>
      <c r="DP242" s="2636"/>
      <c r="DQ242" s="2636"/>
      <c r="DR242" s="2636"/>
      <c r="DS242" s="2636"/>
      <c r="DT242" s="2636"/>
      <c r="DU242" s="2636"/>
      <c r="DV242" s="2636"/>
      <c r="DW242" s="2636"/>
      <c r="DX242" s="2636"/>
      <c r="DY242" s="2636"/>
      <c r="EG242" s="517"/>
      <c r="EJ242" s="516"/>
      <c r="EO242" s="2636"/>
      <c r="EP242" s="2636"/>
      <c r="EQ242" s="2636"/>
      <c r="ER242" s="2636"/>
      <c r="ES242" s="2636"/>
      <c r="ET242" s="2636"/>
      <c r="EU242" s="2636"/>
      <c r="EV242" s="2636"/>
      <c r="EW242" s="2636"/>
      <c r="EX242" s="2636"/>
      <c r="EY242" s="2636"/>
      <c r="EZ242" s="2636"/>
      <c r="FA242" s="2636"/>
      <c r="FB242" s="2636"/>
      <c r="FC242" s="2636"/>
      <c r="FD242" s="2636"/>
      <c r="FE242" s="2636"/>
      <c r="FF242" s="2636"/>
      <c r="FG242" s="2636"/>
      <c r="FH242" s="2636"/>
      <c r="FI242" s="2636"/>
      <c r="FJ242" s="2636"/>
      <c r="FK242" s="2636"/>
      <c r="FL242" s="2636"/>
      <c r="FM242" s="2636"/>
      <c r="FN242" s="2636"/>
      <c r="FO242" s="2636"/>
      <c r="FP242" s="2636"/>
      <c r="FY242" s="517"/>
      <c r="GA242" s="517"/>
    </row>
    <row r="243" spans="30:316" ht="4.1500000000000004" customHeight="1">
      <c r="AD243" s="516"/>
      <c r="AF243" s="516"/>
      <c r="AO243" s="517"/>
      <c r="AP243" s="526"/>
      <c r="AQ243" s="516"/>
      <c r="AW243" s="517"/>
      <c r="AX243" s="516"/>
      <c r="AZ243" s="516"/>
      <c r="BG243" s="2636"/>
      <c r="BH243" s="2636"/>
      <c r="BI243" s="2636"/>
      <c r="BJ243" s="2636"/>
      <c r="BK243" s="2636"/>
      <c r="BL243" s="2636"/>
      <c r="BM243" s="2636"/>
      <c r="BN243" s="2636"/>
      <c r="BO243" s="2636"/>
      <c r="BP243" s="2636"/>
      <c r="BQ243" s="2636"/>
      <c r="BR243" s="2636"/>
      <c r="BS243" s="2636"/>
      <c r="BT243" s="2636"/>
      <c r="BU243" s="2636"/>
      <c r="BV243" s="2636"/>
      <c r="BW243" s="2636"/>
      <c r="BX243" s="2636"/>
      <c r="BY243" s="2636"/>
      <c r="BZ243" s="2636"/>
      <c r="CA243" s="2636"/>
      <c r="CB243" s="2636"/>
      <c r="CC243" s="2636"/>
      <c r="CD243" s="2636"/>
      <c r="CE243" s="2636"/>
      <c r="CF243" s="2636"/>
      <c r="CG243" s="2636"/>
      <c r="CH243" s="2636"/>
      <c r="CO243" s="517"/>
      <c r="CR243" s="516"/>
      <c r="CX243" s="2636"/>
      <c r="CY243" s="2636"/>
      <c r="CZ243" s="2636"/>
      <c r="DA243" s="2636"/>
      <c r="DB243" s="2636"/>
      <c r="DC243" s="2636"/>
      <c r="DD243" s="2636"/>
      <c r="DE243" s="2636"/>
      <c r="DF243" s="2636"/>
      <c r="DG243" s="2636"/>
      <c r="DH243" s="2636"/>
      <c r="DI243" s="2636"/>
      <c r="DJ243" s="2636"/>
      <c r="DK243" s="2636"/>
      <c r="DL243" s="2636"/>
      <c r="DM243" s="2636"/>
      <c r="DN243" s="2636"/>
      <c r="DO243" s="2636"/>
      <c r="DP243" s="2636"/>
      <c r="DQ243" s="2636"/>
      <c r="DR243" s="2636"/>
      <c r="DS243" s="2636"/>
      <c r="DT243" s="2636"/>
      <c r="DU243" s="2636"/>
      <c r="DV243" s="2636"/>
      <c r="DW243" s="2636"/>
      <c r="DX243" s="2636"/>
      <c r="DY243" s="2636"/>
      <c r="EG243" s="517"/>
      <c r="EJ243" s="516"/>
      <c r="FY243" s="517"/>
      <c r="GA243" s="517"/>
    </row>
    <row r="244" spans="30:316" ht="4.1500000000000004" customHeight="1">
      <c r="AD244" s="516"/>
      <c r="AF244" s="516"/>
      <c r="AO244" s="517"/>
      <c r="AP244" s="526"/>
      <c r="AQ244" s="516"/>
      <c r="AW244" s="517"/>
      <c r="AX244" s="516"/>
      <c r="AZ244" s="516"/>
      <c r="BG244" s="2636"/>
      <c r="BH244" s="2636"/>
      <c r="BI244" s="2636"/>
      <c r="BJ244" s="2636"/>
      <c r="BK244" s="2636"/>
      <c r="BL244" s="2636"/>
      <c r="BM244" s="2636"/>
      <c r="BN244" s="2636"/>
      <c r="BO244" s="2636"/>
      <c r="BP244" s="2636"/>
      <c r="BQ244" s="2636"/>
      <c r="BR244" s="2636"/>
      <c r="BS244" s="2636"/>
      <c r="BT244" s="2636"/>
      <c r="BU244" s="2636"/>
      <c r="BV244" s="2636"/>
      <c r="BW244" s="2636"/>
      <c r="BX244" s="2636"/>
      <c r="BY244" s="2636"/>
      <c r="BZ244" s="2636"/>
      <c r="CA244" s="2636"/>
      <c r="CB244" s="2636"/>
      <c r="CC244" s="2636"/>
      <c r="CD244" s="2636"/>
      <c r="CE244" s="2636"/>
      <c r="CF244" s="2636"/>
      <c r="CG244" s="2636"/>
      <c r="CH244" s="2636"/>
      <c r="CO244" s="517"/>
      <c r="CR244" s="516"/>
      <c r="EG244" s="517"/>
      <c r="EJ244" s="516"/>
      <c r="FY244" s="517"/>
      <c r="GA244" s="517"/>
    </row>
    <row r="245" spans="30:316" ht="4.1500000000000004" customHeight="1">
      <c r="AD245" s="516"/>
      <c r="AF245" s="516"/>
      <c r="AO245" s="517"/>
      <c r="AP245" s="526"/>
      <c r="AQ245" s="516"/>
      <c r="AW245" s="517"/>
      <c r="AX245" s="516"/>
      <c r="AZ245" s="516"/>
      <c r="CO245" s="517"/>
      <c r="CR245" s="516"/>
      <c r="EG245" s="517"/>
      <c r="EJ245" s="516"/>
      <c r="FY245" s="517"/>
      <c r="GA245" s="517"/>
      <c r="IJ245" s="508"/>
      <c r="IK245" s="509"/>
      <c r="IL245" s="509"/>
      <c r="IM245" s="509"/>
      <c r="IN245" s="509"/>
      <c r="IO245" s="509"/>
      <c r="IP245" s="509"/>
      <c r="IQ245" s="509"/>
      <c r="IR245" s="509"/>
      <c r="IS245" s="509"/>
      <c r="IT245" s="509"/>
      <c r="IU245" s="509"/>
      <c r="IV245" s="509"/>
      <c r="IW245" s="509"/>
      <c r="IX245" s="509"/>
      <c r="IY245" s="509"/>
      <c r="IZ245" s="509"/>
      <c r="JA245" s="509"/>
      <c r="JB245" s="509"/>
      <c r="JC245" s="509"/>
      <c r="JD245" s="509"/>
      <c r="JE245" s="509"/>
      <c r="JF245" s="509"/>
      <c r="JG245" s="509"/>
      <c r="JH245" s="509"/>
      <c r="JI245" s="509"/>
      <c r="JJ245" s="509"/>
      <c r="JK245" s="2597">
        <v>0.125</v>
      </c>
      <c r="JL245" s="2597"/>
      <c r="JM245" s="2597"/>
      <c r="JN245" s="2597"/>
      <c r="JO245" s="2597"/>
      <c r="JP245" s="2597"/>
      <c r="JQ245" s="2597"/>
    </row>
    <row r="246" spans="30:316" ht="4.1500000000000004" customHeight="1">
      <c r="AD246" s="516"/>
      <c r="AF246" s="530"/>
      <c r="AG246" s="532"/>
      <c r="AH246" s="532"/>
      <c r="AI246" s="532"/>
      <c r="AJ246" s="532"/>
      <c r="AO246" s="517"/>
      <c r="AP246" s="526"/>
      <c r="AQ246" s="516"/>
      <c r="AW246" s="517"/>
      <c r="AX246" s="516"/>
      <c r="AZ246" s="516"/>
      <c r="CO246" s="517"/>
      <c r="CR246" s="516"/>
      <c r="EG246" s="517"/>
      <c r="EJ246" s="516"/>
      <c r="FY246" s="517"/>
      <c r="GA246" s="517"/>
      <c r="IL246" s="522"/>
      <c r="IM246" s="523"/>
      <c r="IN246" s="523"/>
      <c r="IO246" s="524"/>
      <c r="IS246" s="2596">
        <v>0.25</v>
      </c>
      <c r="IT246" s="2597"/>
      <c r="IU246" s="2597"/>
      <c r="IV246" s="2597"/>
      <c r="IW246" s="2597"/>
      <c r="IX246" s="2597"/>
      <c r="IY246" s="2597"/>
      <c r="IZ246" s="2597"/>
      <c r="JA246" s="2597"/>
      <c r="JB246" s="2597"/>
      <c r="JC246" s="2597"/>
      <c r="JD246" s="2597"/>
      <c r="JK246" s="2598"/>
      <c r="JL246" s="2598"/>
      <c r="JM246" s="2598"/>
      <c r="JN246" s="2598"/>
      <c r="JO246" s="2598"/>
      <c r="JP246" s="2598"/>
      <c r="JQ246" s="2598"/>
    </row>
    <row r="247" spans="30:316" ht="4.1500000000000004" customHeight="1">
      <c r="AD247" s="516"/>
      <c r="AK247" s="516"/>
      <c r="AO247" s="517"/>
      <c r="AP247" s="526"/>
      <c r="AQ247" s="516"/>
      <c r="AW247" s="517"/>
      <c r="AX247" s="516"/>
      <c r="AZ247" s="516"/>
      <c r="CO247" s="517"/>
      <c r="CR247" s="516"/>
      <c r="EG247" s="517"/>
      <c r="EJ247" s="516"/>
      <c r="FY247" s="517"/>
      <c r="GA247" s="517"/>
      <c r="IL247" s="522"/>
      <c r="IM247" s="523"/>
      <c r="IN247" s="523"/>
      <c r="IO247" s="524"/>
      <c r="IS247" s="2596"/>
      <c r="IT247" s="2596"/>
      <c r="IU247" s="2596"/>
      <c r="IV247" s="2596"/>
      <c r="IW247" s="2596"/>
      <c r="IX247" s="2596"/>
      <c r="IY247" s="2596"/>
      <c r="IZ247" s="2596"/>
      <c r="JA247" s="2596"/>
      <c r="JB247" s="2596"/>
      <c r="JC247" s="2596"/>
      <c r="JD247" s="2596"/>
    </row>
    <row r="248" spans="30:316" ht="4.1500000000000004" customHeight="1">
      <c r="AD248" s="516"/>
      <c r="AF248" s="515"/>
      <c r="AG248" s="514"/>
      <c r="AH248" s="514"/>
      <c r="AI248" s="514"/>
      <c r="AJ248" s="514"/>
      <c r="AK248" s="516"/>
      <c r="AO248" s="517"/>
      <c r="AP248" s="526"/>
      <c r="AQ248" s="516"/>
      <c r="AW248" s="517"/>
      <c r="AX248" s="516"/>
      <c r="AZ248" s="516"/>
      <c r="CO248" s="517"/>
      <c r="CR248" s="516"/>
      <c r="EG248" s="517"/>
      <c r="EJ248" s="516"/>
      <c r="FY248" s="517"/>
      <c r="GA248" s="517"/>
      <c r="IL248" s="522"/>
      <c r="IM248" s="523"/>
      <c r="IN248" s="523"/>
      <c r="IO248" s="524"/>
      <c r="IS248" s="2598"/>
      <c r="IT248" s="2598"/>
      <c r="IU248" s="2598"/>
      <c r="IV248" s="2598"/>
      <c r="IW248" s="2598"/>
      <c r="IX248" s="2598"/>
      <c r="IY248" s="2598"/>
      <c r="IZ248" s="2598"/>
      <c r="JA248" s="2598"/>
      <c r="JB248" s="2598"/>
      <c r="JC248" s="2598"/>
      <c r="JD248" s="2598"/>
    </row>
    <row r="249" spans="30:316" ht="4.1500000000000004" customHeight="1">
      <c r="AD249" s="516"/>
      <c r="AF249" s="516"/>
      <c r="AK249" s="516"/>
      <c r="AO249" s="517"/>
      <c r="AP249" s="526"/>
      <c r="AQ249" s="516"/>
      <c r="AW249" s="517"/>
      <c r="AX249" s="516"/>
      <c r="AZ249" s="516"/>
      <c r="CO249" s="517"/>
      <c r="CR249" s="516"/>
      <c r="EG249" s="517"/>
      <c r="EJ249" s="516"/>
      <c r="FY249" s="517"/>
      <c r="GA249" s="517"/>
      <c r="IL249" s="516"/>
      <c r="IO249" s="517"/>
      <c r="IY249" s="515"/>
      <c r="IZ249" s="514"/>
    </row>
    <row r="250" spans="30:316" ht="4.1500000000000004" customHeight="1">
      <c r="AD250" s="516"/>
      <c r="AF250" s="516"/>
      <c r="AK250" s="516"/>
      <c r="AO250" s="517"/>
      <c r="AP250" s="526"/>
      <c r="AQ250" s="516"/>
      <c r="AW250" s="517"/>
      <c r="AX250" s="516"/>
      <c r="AZ250" s="516"/>
      <c r="CO250" s="517"/>
      <c r="CR250" s="516"/>
      <c r="EG250" s="517"/>
      <c r="EJ250" s="516"/>
      <c r="FY250" s="517"/>
      <c r="GA250" s="517"/>
      <c r="IL250" s="516"/>
      <c r="IO250" s="517"/>
      <c r="IY250" s="516"/>
    </row>
    <row r="251" spans="30:316" ht="4.1500000000000004" customHeight="1">
      <c r="AD251" s="516"/>
      <c r="AF251" s="530"/>
      <c r="AG251" s="532"/>
      <c r="AH251" s="532"/>
      <c r="AI251" s="532"/>
      <c r="AJ251" s="532"/>
      <c r="AK251" s="516"/>
      <c r="AO251" s="517"/>
      <c r="AP251" s="526"/>
      <c r="AQ251" s="516"/>
      <c r="AW251" s="517"/>
      <c r="AX251" s="516"/>
      <c r="AZ251" s="516"/>
      <c r="CO251" s="517"/>
      <c r="CR251" s="516"/>
      <c r="EG251" s="517"/>
      <c r="EJ251" s="516"/>
      <c r="FY251" s="517"/>
      <c r="GA251" s="517"/>
      <c r="IL251" s="516"/>
      <c r="IO251" s="517"/>
      <c r="IS251" s="2615">
        <f>JB5-IS246</f>
        <v>0.85000000000000009</v>
      </c>
      <c r="IT251" s="2608"/>
      <c r="IU251" s="2608"/>
      <c r="IV251" s="2608"/>
      <c r="IW251" s="2608"/>
      <c r="IX251" s="2608"/>
      <c r="IY251" s="2608"/>
      <c r="IZ251" s="2608"/>
      <c r="JA251" s="2608"/>
      <c r="JB251" s="2608"/>
      <c r="JC251" s="2608"/>
      <c r="JD251" s="2608"/>
    </row>
    <row r="252" spans="30:316" ht="4.1500000000000004" customHeight="1">
      <c r="AD252" s="516"/>
      <c r="AK252" s="516"/>
      <c r="AO252" s="517"/>
      <c r="AP252" s="526"/>
      <c r="AQ252" s="516"/>
      <c r="AW252" s="517"/>
      <c r="AX252" s="516"/>
      <c r="AZ252" s="516"/>
      <c r="CO252" s="517"/>
      <c r="CR252" s="516"/>
      <c r="EG252" s="517"/>
      <c r="EJ252" s="516"/>
      <c r="FY252" s="517"/>
      <c r="GA252" s="517"/>
      <c r="IL252" s="516"/>
      <c r="IO252" s="517"/>
      <c r="IS252" s="2608"/>
      <c r="IT252" s="2608"/>
      <c r="IU252" s="2608"/>
      <c r="IV252" s="2608"/>
      <c r="IW252" s="2608"/>
      <c r="IX252" s="2608"/>
      <c r="IY252" s="2608"/>
      <c r="IZ252" s="2608"/>
      <c r="JA252" s="2608"/>
      <c r="JB252" s="2608"/>
      <c r="JC252" s="2608"/>
      <c r="JD252" s="2608"/>
    </row>
    <row r="253" spans="30:316" ht="4.1500000000000004" customHeight="1">
      <c r="AD253" s="516"/>
      <c r="AF253" s="515"/>
      <c r="AG253" s="514"/>
      <c r="AH253" s="514"/>
      <c r="AI253" s="514"/>
      <c r="AJ253" s="514"/>
      <c r="AK253" s="516"/>
      <c r="AO253" s="517"/>
      <c r="AP253" s="526"/>
      <c r="AQ253" s="516"/>
      <c r="AW253" s="517"/>
      <c r="AX253" s="516"/>
      <c r="AZ253" s="516"/>
      <c r="CO253" s="517"/>
      <c r="CR253" s="516"/>
      <c r="EG253" s="517"/>
      <c r="EJ253" s="516"/>
      <c r="FY253" s="517"/>
      <c r="GA253" s="517"/>
      <c r="IL253" s="516"/>
      <c r="IO253" s="517"/>
      <c r="IS253" s="2608"/>
      <c r="IT253" s="2608"/>
      <c r="IU253" s="2608"/>
      <c r="IV253" s="2608"/>
      <c r="IW253" s="2608"/>
      <c r="IX253" s="2608"/>
      <c r="IY253" s="2608"/>
      <c r="IZ253" s="2608"/>
      <c r="JA253" s="2608"/>
      <c r="JB253" s="2608"/>
      <c r="JC253" s="2608"/>
      <c r="JD253" s="2608"/>
    </row>
    <row r="254" spans="30:316" ht="4.1500000000000004" customHeight="1">
      <c r="AD254" s="516"/>
      <c r="AF254" s="516"/>
      <c r="AK254" s="516"/>
      <c r="AO254" s="517"/>
      <c r="AP254" s="526"/>
      <c r="AQ254" s="516"/>
      <c r="AW254" s="517"/>
      <c r="AX254" s="516"/>
      <c r="AZ254" s="516"/>
      <c r="CO254" s="517"/>
      <c r="CR254" s="516"/>
      <c r="EG254" s="517"/>
      <c r="EJ254" s="516"/>
      <c r="FY254" s="517"/>
      <c r="GA254" s="517"/>
      <c r="IL254" s="516"/>
      <c r="IO254" s="517"/>
      <c r="IY254" s="516"/>
    </row>
    <row r="255" spans="30:316" ht="4.1500000000000004" customHeight="1">
      <c r="AD255" s="516"/>
      <c r="AF255" s="516"/>
      <c r="AK255" s="516"/>
      <c r="AO255" s="517"/>
      <c r="AP255" s="526"/>
      <c r="AQ255" s="516"/>
      <c r="AW255" s="517"/>
      <c r="AX255" s="516"/>
      <c r="AZ255" s="516"/>
      <c r="CO255" s="517"/>
      <c r="CR255" s="516"/>
      <c r="EG255" s="517"/>
      <c r="EJ255" s="516"/>
      <c r="FY255" s="517"/>
      <c r="GA255" s="517"/>
      <c r="IL255" s="516"/>
      <c r="IO255" s="517"/>
      <c r="IY255" s="516"/>
    </row>
    <row r="256" spans="30:316" ht="4.1500000000000004" customHeight="1">
      <c r="AD256" s="516"/>
      <c r="AF256" s="530"/>
      <c r="AG256" s="532"/>
      <c r="AH256" s="532"/>
      <c r="AI256" s="532"/>
      <c r="AJ256" s="532"/>
      <c r="AK256" s="516"/>
      <c r="AO256" s="517"/>
      <c r="AP256" s="526"/>
      <c r="AQ256" s="516"/>
      <c r="AW256" s="517"/>
      <c r="AX256" s="516"/>
      <c r="AZ256" s="516"/>
      <c r="CO256" s="517"/>
      <c r="CR256" s="516"/>
      <c r="EG256" s="517"/>
      <c r="EJ256" s="516"/>
      <c r="FY256" s="517"/>
      <c r="GA256" s="517"/>
      <c r="IL256" s="516"/>
      <c r="IO256" s="517"/>
      <c r="IY256" s="516"/>
    </row>
    <row r="257" spans="30:277" ht="4.1500000000000004" customHeight="1">
      <c r="AD257" s="516"/>
      <c r="AK257" s="516"/>
      <c r="AO257" s="517"/>
      <c r="AP257" s="526"/>
      <c r="AQ257" s="516"/>
      <c r="AW257" s="517"/>
      <c r="AX257" s="516"/>
      <c r="AZ257" s="516"/>
      <c r="CO257" s="517"/>
      <c r="CR257" s="516"/>
      <c r="EG257" s="517"/>
      <c r="EJ257" s="516"/>
      <c r="FY257" s="517"/>
      <c r="GA257" s="517"/>
      <c r="IL257" s="516"/>
      <c r="IO257" s="517"/>
      <c r="IY257" s="530"/>
      <c r="IZ257" s="532"/>
      <c r="JA257" s="532"/>
      <c r="JB257" s="532"/>
      <c r="JC257" s="532"/>
    </row>
    <row r="258" spans="30:277" ht="4.1500000000000004" customHeight="1">
      <c r="AD258" s="516"/>
      <c r="AF258" s="515"/>
      <c r="AG258" s="514"/>
      <c r="AH258" s="514"/>
      <c r="AI258" s="514"/>
      <c r="AJ258" s="514"/>
      <c r="AK258" s="516"/>
      <c r="AO258" s="517"/>
      <c r="AP258" s="526"/>
      <c r="AQ258" s="516"/>
      <c r="AW258" s="517"/>
      <c r="AX258" s="516"/>
      <c r="AZ258" s="516"/>
      <c r="CO258" s="517"/>
      <c r="CR258" s="516"/>
      <c r="EG258" s="517"/>
      <c r="EJ258" s="516"/>
      <c r="FY258" s="517"/>
      <c r="GA258" s="517"/>
      <c r="IL258" s="522"/>
      <c r="IM258" s="523"/>
      <c r="IN258" s="523"/>
      <c r="IO258" s="524"/>
      <c r="IS258" s="2596">
        <v>0.15</v>
      </c>
      <c r="IT258" s="2597"/>
      <c r="IU258" s="2597"/>
      <c r="IV258" s="2597"/>
      <c r="IW258" s="2597"/>
      <c r="IX258" s="2597"/>
      <c r="IY258" s="2597"/>
      <c r="IZ258" s="2597"/>
      <c r="JA258" s="2597"/>
      <c r="JB258" s="2597"/>
      <c r="JC258" s="2597"/>
      <c r="JD258" s="2597"/>
    </row>
    <row r="259" spans="30:277" ht="4.1500000000000004" customHeight="1">
      <c r="AD259" s="516"/>
      <c r="AF259" s="516"/>
      <c r="AK259" s="516"/>
      <c r="AO259" s="517"/>
      <c r="AP259" s="526"/>
      <c r="AQ259" s="516"/>
      <c r="AW259" s="517"/>
      <c r="AX259" s="516"/>
      <c r="AZ259" s="516"/>
      <c r="CO259" s="517"/>
      <c r="CR259" s="516"/>
      <c r="EG259" s="517"/>
      <c r="EJ259" s="516"/>
      <c r="FY259" s="517"/>
      <c r="GA259" s="517"/>
      <c r="IL259" s="522"/>
      <c r="IM259" s="523"/>
      <c r="IN259" s="523"/>
      <c r="IO259" s="524"/>
      <c r="IS259" s="2596"/>
      <c r="IT259" s="2596"/>
      <c r="IU259" s="2596"/>
      <c r="IV259" s="2596"/>
      <c r="IW259" s="2596"/>
      <c r="IX259" s="2596"/>
      <c r="IY259" s="2596"/>
      <c r="IZ259" s="2596"/>
      <c r="JA259" s="2596"/>
      <c r="JB259" s="2596"/>
      <c r="JC259" s="2596"/>
      <c r="JD259" s="2596"/>
    </row>
    <row r="260" spans="30:277" ht="4.1500000000000004" customHeight="1">
      <c r="AD260" s="516"/>
      <c r="AF260" s="516"/>
      <c r="AK260" s="516"/>
      <c r="AO260" s="517"/>
      <c r="AP260" s="526"/>
      <c r="AQ260" s="516"/>
      <c r="AW260" s="517"/>
      <c r="AX260" s="516"/>
      <c r="AZ260" s="516"/>
      <c r="CO260" s="517"/>
      <c r="CR260" s="516"/>
      <c r="EG260" s="517"/>
      <c r="EJ260" s="516"/>
      <c r="FY260" s="517"/>
      <c r="GA260" s="517"/>
      <c r="IF260" s="508"/>
      <c r="IG260" s="509"/>
      <c r="IH260" s="509"/>
      <c r="II260" s="509"/>
      <c r="IJ260" s="509"/>
      <c r="IK260" s="510"/>
      <c r="IL260" s="522"/>
      <c r="IM260" s="523"/>
      <c r="IN260" s="523"/>
      <c r="IO260" s="524"/>
      <c r="IS260" s="2598"/>
      <c r="IT260" s="2598"/>
      <c r="IU260" s="2598"/>
      <c r="IV260" s="2598"/>
      <c r="IW260" s="2598"/>
      <c r="IX260" s="2598"/>
      <c r="IY260" s="2598"/>
      <c r="IZ260" s="2598"/>
      <c r="JA260" s="2598"/>
      <c r="JB260" s="2598"/>
      <c r="JC260" s="2598"/>
      <c r="JD260" s="2598"/>
    </row>
    <row r="261" spans="30:277" ht="4.1500000000000004" customHeight="1">
      <c r="AD261" s="519"/>
      <c r="AE261" s="521"/>
      <c r="AF261" s="530"/>
      <c r="AG261" s="532"/>
      <c r="AH261" s="532"/>
      <c r="AI261" s="532"/>
      <c r="AJ261" s="532"/>
      <c r="AK261" s="516"/>
      <c r="AO261" s="517"/>
      <c r="AP261" s="526"/>
      <c r="AQ261" s="516"/>
      <c r="AW261" s="517"/>
      <c r="AX261" s="519"/>
      <c r="AY261" s="521"/>
      <c r="AZ261" s="530"/>
      <c r="BA261" s="532"/>
      <c r="BB261" s="532"/>
      <c r="BC261" s="532"/>
      <c r="BD261" s="532"/>
      <c r="BE261" s="532"/>
      <c r="BF261" s="532"/>
      <c r="BG261" s="532"/>
      <c r="BH261" s="532"/>
      <c r="BI261" s="532"/>
      <c r="BJ261" s="532"/>
      <c r="BK261" s="532"/>
      <c r="BL261" s="532"/>
      <c r="BM261" s="532"/>
      <c r="BN261" s="532"/>
      <c r="BO261" s="532"/>
      <c r="BP261" s="532"/>
      <c r="BQ261" s="532"/>
      <c r="BR261" s="532"/>
      <c r="BS261" s="532"/>
      <c r="BT261" s="519"/>
      <c r="BU261" s="521"/>
      <c r="BV261" s="532"/>
      <c r="BW261" s="532"/>
      <c r="BX261" s="532"/>
      <c r="BY261" s="532"/>
      <c r="BZ261" s="532"/>
      <c r="CA261" s="532"/>
      <c r="CB261" s="532"/>
      <c r="CC261" s="532"/>
      <c r="CD261" s="532"/>
      <c r="CE261" s="532"/>
      <c r="CF261" s="532"/>
      <c r="CO261" s="517"/>
      <c r="CP261" s="519"/>
      <c r="CQ261" s="521"/>
      <c r="CR261" s="516"/>
      <c r="DA261" s="532"/>
      <c r="DB261" s="532"/>
      <c r="DC261" s="532"/>
      <c r="DD261" s="532"/>
      <c r="DE261" s="532"/>
      <c r="DF261" s="532"/>
      <c r="DG261" s="532"/>
      <c r="DH261" s="532"/>
      <c r="DI261" s="532"/>
      <c r="DJ261" s="532"/>
      <c r="DK261" s="532"/>
      <c r="DL261" s="519"/>
      <c r="DM261" s="521"/>
      <c r="DN261" s="532"/>
      <c r="DO261" s="532"/>
      <c r="DP261" s="532"/>
      <c r="DQ261" s="532"/>
      <c r="DR261" s="532"/>
      <c r="DS261" s="532"/>
      <c r="DT261" s="532"/>
      <c r="DU261" s="532"/>
      <c r="DV261" s="532"/>
      <c r="DW261" s="532"/>
      <c r="DX261" s="532"/>
      <c r="EG261" s="517"/>
      <c r="EH261" s="519"/>
      <c r="EI261" s="521"/>
      <c r="EJ261" s="516"/>
      <c r="ES261" s="532"/>
      <c r="ET261" s="532"/>
      <c r="EU261" s="532"/>
      <c r="EV261" s="532"/>
      <c r="EW261" s="532"/>
      <c r="EX261" s="532"/>
      <c r="EY261" s="532"/>
      <c r="EZ261" s="532"/>
      <c r="FA261" s="532"/>
      <c r="FB261" s="532"/>
      <c r="FC261" s="532"/>
      <c r="FD261" s="519"/>
      <c r="FE261" s="521"/>
      <c r="FF261" s="532"/>
      <c r="FG261" s="532"/>
      <c r="FH261" s="532"/>
      <c r="FI261" s="532"/>
      <c r="FJ261" s="532"/>
      <c r="FK261" s="532"/>
      <c r="FL261" s="532"/>
      <c r="FM261" s="532"/>
      <c r="FN261" s="532"/>
      <c r="FO261" s="532"/>
      <c r="FP261" s="532"/>
      <c r="FY261" s="517"/>
      <c r="FZ261" s="519"/>
      <c r="GA261" s="521"/>
      <c r="IL261" s="516"/>
      <c r="IO261" s="517"/>
      <c r="IS261" s="514"/>
      <c r="IT261" s="514"/>
      <c r="IU261" s="514"/>
      <c r="IV261" s="514"/>
      <c r="IW261" s="514"/>
      <c r="IX261" s="514"/>
      <c r="IY261" s="515"/>
      <c r="IZ261" s="514"/>
      <c r="JA261" s="514"/>
      <c r="JB261" s="514"/>
      <c r="JC261" s="514"/>
      <c r="JD261" s="514"/>
    </row>
    <row r="262" spans="30:277" ht="4.1500000000000004" customHeight="1">
      <c r="AD262" s="522"/>
      <c r="AE262" s="524"/>
      <c r="AF262" s="515"/>
      <c r="AG262" s="514"/>
      <c r="AH262" s="514"/>
      <c r="AI262" s="514"/>
      <c r="AJ262" s="514"/>
      <c r="AK262" s="516"/>
      <c r="AP262" s="526"/>
      <c r="AW262" s="517"/>
      <c r="AX262" s="523"/>
      <c r="AY262" s="524"/>
      <c r="BT262" s="522"/>
      <c r="BU262" s="524"/>
      <c r="CG262" s="516"/>
      <c r="CO262" s="517"/>
      <c r="CP262" s="523"/>
      <c r="CQ262" s="523"/>
      <c r="CR262" s="516"/>
      <c r="CZ262" s="517"/>
      <c r="DL262" s="522"/>
      <c r="DM262" s="524"/>
      <c r="DY262" s="516"/>
      <c r="EG262" s="517"/>
      <c r="EH262" s="523"/>
      <c r="EI262" s="523"/>
      <c r="EJ262" s="516"/>
      <c r="ER262" s="517"/>
      <c r="FD262" s="522"/>
      <c r="FE262" s="524"/>
      <c r="FQ262" s="516"/>
      <c r="FY262" s="517"/>
      <c r="FZ262" s="523"/>
      <c r="GA262" s="524"/>
      <c r="IL262" s="516"/>
      <c r="IO262" s="517"/>
      <c r="IY262" s="516"/>
    </row>
    <row r="263" spans="30:277" ht="4.1500000000000004" customHeight="1">
      <c r="AD263" s="527"/>
      <c r="AE263" s="529"/>
      <c r="AF263" s="530"/>
      <c r="AG263" s="532"/>
      <c r="AH263" s="532"/>
      <c r="AI263" s="532"/>
      <c r="AJ263" s="532"/>
      <c r="AK263" s="530"/>
      <c r="AL263" s="532"/>
      <c r="AM263" s="532"/>
      <c r="AN263" s="532"/>
      <c r="AO263" s="532"/>
      <c r="AP263" s="533"/>
      <c r="AQ263" s="532"/>
      <c r="AR263" s="532"/>
      <c r="AS263" s="532"/>
      <c r="AT263" s="532"/>
      <c r="AU263" s="532"/>
      <c r="AV263" s="532"/>
      <c r="AW263" s="531"/>
      <c r="AX263" s="528"/>
      <c r="AY263" s="529"/>
      <c r="BT263" s="527"/>
      <c r="BU263" s="529"/>
      <c r="CG263" s="516"/>
      <c r="CO263" s="517"/>
      <c r="CP263" s="528"/>
      <c r="CQ263" s="528"/>
      <c r="CR263" s="516"/>
      <c r="CZ263" s="517"/>
      <c r="DL263" s="527"/>
      <c r="DM263" s="529"/>
      <c r="DY263" s="516"/>
      <c r="EG263" s="517"/>
      <c r="EH263" s="528"/>
      <c r="EI263" s="528"/>
      <c r="EJ263" s="516"/>
      <c r="ER263" s="517"/>
      <c r="FD263" s="527"/>
      <c r="FE263" s="529"/>
      <c r="FQ263" s="516"/>
      <c r="FY263" s="517"/>
      <c r="FZ263" s="528"/>
      <c r="GA263" s="529"/>
      <c r="IL263" s="516"/>
      <c r="IO263" s="517"/>
      <c r="IY263" s="516"/>
    </row>
    <row r="264" spans="30:277" ht="4.1500000000000004" customHeight="1">
      <c r="AD264" s="516"/>
      <c r="AF264" s="516"/>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P264" s="514"/>
      <c r="CQ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EH264" s="514"/>
      <c r="EI264" s="514"/>
      <c r="FD264" s="514"/>
      <c r="FE264" s="514"/>
      <c r="FY264" s="517"/>
      <c r="GA264" s="517"/>
      <c r="IL264" s="516"/>
      <c r="IO264" s="517"/>
      <c r="IY264" s="516"/>
    </row>
    <row r="265" spans="30:277" ht="4.1500000000000004" customHeight="1">
      <c r="AD265" s="516"/>
      <c r="AF265" s="516"/>
      <c r="FY265" s="517"/>
      <c r="GA265" s="517"/>
      <c r="IL265" s="516"/>
      <c r="IO265" s="517"/>
      <c r="IY265" s="516"/>
    </row>
    <row r="266" spans="30:277" ht="4.1500000000000004" customHeight="1">
      <c r="AD266" s="516"/>
      <c r="AF266" s="516"/>
      <c r="FY266" s="517"/>
      <c r="GA266" s="517"/>
      <c r="IL266" s="516"/>
      <c r="IO266" s="517"/>
      <c r="IW266" s="2594">
        <v>2.1</v>
      </c>
      <c r="IX266" s="2595"/>
      <c r="IY266" s="2595"/>
      <c r="IZ266" s="2595"/>
    </row>
    <row r="267" spans="30:277" ht="4.1500000000000004" customHeight="1">
      <c r="AD267" s="516"/>
      <c r="AF267" s="516"/>
      <c r="BA267" s="1599"/>
      <c r="BB267" s="1600"/>
      <c r="BC267" s="1600"/>
      <c r="BD267" s="1600"/>
      <c r="BE267" s="1600"/>
      <c r="BF267" s="1600"/>
      <c r="BG267" s="1600"/>
      <c r="BH267" s="1600"/>
      <c r="BI267" s="1600"/>
      <c r="BJ267" s="1600"/>
      <c r="BK267" s="1600"/>
      <c r="BL267" s="1600"/>
      <c r="BM267" s="1600"/>
      <c r="BN267" s="1600"/>
      <c r="BO267" s="1600"/>
      <c r="BP267" s="1600"/>
      <c r="BQ267" s="1600"/>
      <c r="BR267" s="1600"/>
      <c r="BS267" s="1600"/>
      <c r="BT267" s="1600"/>
      <c r="BU267" s="1600"/>
      <c r="BV267" s="1600"/>
      <c r="BW267" s="1600"/>
      <c r="FY267" s="517"/>
      <c r="GA267" s="517"/>
      <c r="IL267" s="516"/>
      <c r="IO267" s="517"/>
      <c r="IW267" s="2595"/>
      <c r="IX267" s="2595"/>
      <c r="IY267" s="2595"/>
      <c r="IZ267" s="2595"/>
    </row>
    <row r="268" spans="30:277" ht="4.1500000000000004" customHeight="1">
      <c r="AD268" s="516"/>
      <c r="AF268" s="516"/>
      <c r="BA268" s="1600"/>
      <c r="BB268" s="1600"/>
      <c r="BC268" s="1600"/>
      <c r="BD268" s="1600"/>
      <c r="BE268" s="1600"/>
      <c r="BF268" s="1600"/>
      <c r="BG268" s="1600"/>
      <c r="BH268" s="1600"/>
      <c r="BI268" s="1600"/>
      <c r="BJ268" s="1600"/>
      <c r="BK268" s="1600"/>
      <c r="BL268" s="1600"/>
      <c r="BM268" s="1600"/>
      <c r="BN268" s="1600"/>
      <c r="BO268" s="1600"/>
      <c r="BP268" s="1600"/>
      <c r="BQ268" s="1600"/>
      <c r="BR268" s="1600"/>
      <c r="BS268" s="1600"/>
      <c r="BT268" s="1600"/>
      <c r="BU268" s="1600"/>
      <c r="BV268" s="1600"/>
      <c r="BW268" s="1600"/>
      <c r="CS268" s="2642" t="s">
        <v>3604</v>
      </c>
      <c r="CT268" s="2642"/>
      <c r="CU268" s="2642"/>
      <c r="CV268" s="2642"/>
      <c r="CW268" s="2642"/>
      <c r="CX268" s="2642"/>
      <c r="CY268" s="2642"/>
      <c r="CZ268" s="2642"/>
      <c r="DA268" s="2642"/>
      <c r="DB268" s="2642"/>
      <c r="DC268" s="2642"/>
      <c r="DD268" s="2642"/>
      <c r="DE268" s="2642"/>
      <c r="DF268" s="2642"/>
      <c r="DG268" s="2642"/>
      <c r="DH268" s="2642"/>
      <c r="DI268" s="2642"/>
      <c r="DJ268" s="2642"/>
      <c r="DK268" s="2642"/>
      <c r="DL268" s="2642"/>
      <c r="DM268" s="2642"/>
      <c r="DN268" s="2642"/>
      <c r="DO268" s="2642"/>
      <c r="DP268" s="2642"/>
      <c r="DQ268" s="2642"/>
      <c r="DR268" s="2642"/>
      <c r="DS268" s="2642"/>
      <c r="DT268" s="2642"/>
      <c r="DU268" s="2642"/>
      <c r="DV268" s="2642"/>
      <c r="DW268" s="2642"/>
      <c r="DX268" s="2642"/>
      <c r="DY268" s="2642"/>
      <c r="DZ268" s="2642"/>
      <c r="EA268" s="2642"/>
      <c r="EB268" s="2642"/>
      <c r="EC268" s="2642"/>
      <c r="ED268" s="2642"/>
      <c r="EE268" s="2642"/>
      <c r="EF268" s="2642"/>
      <c r="EG268" s="2642"/>
      <c r="EH268" s="2642"/>
      <c r="EI268" s="2642"/>
      <c r="EJ268" s="2642"/>
      <c r="EK268" s="2642"/>
      <c r="EL268" s="2642"/>
      <c r="EM268" s="2642"/>
      <c r="FY268" s="517"/>
      <c r="GA268" s="517"/>
      <c r="IL268" s="516"/>
      <c r="IO268" s="517"/>
      <c r="IW268" s="2595"/>
      <c r="IX268" s="2595"/>
      <c r="IY268" s="2595"/>
      <c r="IZ268" s="2595"/>
    </row>
    <row r="269" spans="30:277" ht="4.1500000000000004" customHeight="1">
      <c r="AD269" s="516"/>
      <c r="AF269" s="516"/>
      <c r="BA269" s="1600"/>
      <c r="BB269" s="1600"/>
      <c r="BC269" s="1600"/>
      <c r="BD269" s="1600"/>
      <c r="BE269" s="1600"/>
      <c r="BF269" s="1600"/>
      <c r="BG269" s="1600"/>
      <c r="BH269" s="1600"/>
      <c r="BI269" s="1600"/>
      <c r="BJ269" s="1600"/>
      <c r="BK269" s="1600"/>
      <c r="BL269" s="1600"/>
      <c r="BM269" s="1600"/>
      <c r="BN269" s="1600"/>
      <c r="BO269" s="1600"/>
      <c r="BP269" s="1600"/>
      <c r="BQ269" s="1600"/>
      <c r="BR269" s="1600"/>
      <c r="BS269" s="1600"/>
      <c r="BT269" s="1600"/>
      <c r="BU269" s="1600"/>
      <c r="BV269" s="1600"/>
      <c r="BW269" s="1600"/>
      <c r="CS269" s="2642"/>
      <c r="CT269" s="2642"/>
      <c r="CU269" s="2642"/>
      <c r="CV269" s="2642"/>
      <c r="CW269" s="2642"/>
      <c r="CX269" s="2642"/>
      <c r="CY269" s="2642"/>
      <c r="CZ269" s="2642"/>
      <c r="DA269" s="2642"/>
      <c r="DB269" s="2642"/>
      <c r="DC269" s="2642"/>
      <c r="DD269" s="2642"/>
      <c r="DE269" s="2642"/>
      <c r="DF269" s="2642"/>
      <c r="DG269" s="2642"/>
      <c r="DH269" s="2642"/>
      <c r="DI269" s="2642"/>
      <c r="DJ269" s="2642"/>
      <c r="DK269" s="2642"/>
      <c r="DL269" s="2642"/>
      <c r="DM269" s="2642"/>
      <c r="DN269" s="2642"/>
      <c r="DO269" s="2642"/>
      <c r="DP269" s="2642"/>
      <c r="DQ269" s="2642"/>
      <c r="DR269" s="2642"/>
      <c r="DS269" s="2642"/>
      <c r="DT269" s="2642"/>
      <c r="DU269" s="2642"/>
      <c r="DV269" s="2642"/>
      <c r="DW269" s="2642"/>
      <c r="DX269" s="2642"/>
      <c r="DY269" s="2642"/>
      <c r="DZ269" s="2642"/>
      <c r="EA269" s="2642"/>
      <c r="EB269" s="2642"/>
      <c r="EC269" s="2642"/>
      <c r="ED269" s="2642"/>
      <c r="EE269" s="2642"/>
      <c r="EF269" s="2642"/>
      <c r="EG269" s="2642"/>
      <c r="EH269" s="2642"/>
      <c r="EI269" s="2642"/>
      <c r="EJ269" s="2642"/>
      <c r="EK269" s="2642"/>
      <c r="EL269" s="2642"/>
      <c r="EM269" s="2642"/>
      <c r="FY269" s="517"/>
      <c r="GA269" s="517"/>
      <c r="IL269" s="516"/>
      <c r="IO269" s="517"/>
      <c r="IW269" s="2595"/>
      <c r="IX269" s="2595"/>
      <c r="IY269" s="2595"/>
      <c r="IZ269" s="2595"/>
    </row>
    <row r="270" spans="30:277" ht="4.1500000000000004" customHeight="1">
      <c r="AD270" s="516"/>
      <c r="AF270" s="516"/>
      <c r="BA270" s="1600"/>
      <c r="BB270" s="1600"/>
      <c r="BC270" s="1600"/>
      <c r="BD270" s="1600"/>
      <c r="BE270" s="1600"/>
      <c r="BF270" s="1600"/>
      <c r="BG270" s="1600"/>
      <c r="BH270" s="1600"/>
      <c r="BI270" s="1600"/>
      <c r="BJ270" s="1600"/>
      <c r="BK270" s="1600"/>
      <c r="BL270" s="1600"/>
      <c r="BM270" s="1600"/>
      <c r="BN270" s="1600"/>
      <c r="BO270" s="1600"/>
      <c r="BP270" s="1600"/>
      <c r="BQ270" s="1600"/>
      <c r="BR270" s="1600"/>
      <c r="BS270" s="1600"/>
      <c r="BT270" s="1600"/>
      <c r="BU270" s="1600"/>
      <c r="BV270" s="1600"/>
      <c r="BW270" s="1600"/>
      <c r="CS270" s="2642"/>
      <c r="CT270" s="2642"/>
      <c r="CU270" s="2642"/>
      <c r="CV270" s="2642"/>
      <c r="CW270" s="2642"/>
      <c r="CX270" s="2642"/>
      <c r="CY270" s="2642"/>
      <c r="CZ270" s="2642"/>
      <c r="DA270" s="2642"/>
      <c r="DB270" s="2642"/>
      <c r="DC270" s="2642"/>
      <c r="DD270" s="2642"/>
      <c r="DE270" s="2642"/>
      <c r="DF270" s="2642"/>
      <c r="DG270" s="2642"/>
      <c r="DH270" s="2642"/>
      <c r="DI270" s="2642"/>
      <c r="DJ270" s="2642"/>
      <c r="DK270" s="2642"/>
      <c r="DL270" s="2642"/>
      <c r="DM270" s="2642"/>
      <c r="DN270" s="2642"/>
      <c r="DO270" s="2642"/>
      <c r="DP270" s="2642"/>
      <c r="DQ270" s="2642"/>
      <c r="DR270" s="2642"/>
      <c r="DS270" s="2642"/>
      <c r="DT270" s="2642"/>
      <c r="DU270" s="2642"/>
      <c r="DV270" s="2642"/>
      <c r="DW270" s="2642"/>
      <c r="DX270" s="2642"/>
      <c r="DY270" s="2642"/>
      <c r="DZ270" s="2642"/>
      <c r="EA270" s="2642"/>
      <c r="EB270" s="2642"/>
      <c r="EC270" s="2642"/>
      <c r="ED270" s="2642"/>
      <c r="EE270" s="2642"/>
      <c r="EF270" s="2642"/>
      <c r="EG270" s="2642"/>
      <c r="EH270" s="2642"/>
      <c r="EI270" s="2642"/>
      <c r="EJ270" s="2642"/>
      <c r="EK270" s="2642"/>
      <c r="EL270" s="2642"/>
      <c r="EM270" s="2642"/>
      <c r="FY270" s="517"/>
      <c r="GA270" s="517"/>
      <c r="IL270" s="516"/>
      <c r="IO270" s="517"/>
      <c r="IW270" s="2595"/>
      <c r="IX270" s="2595"/>
      <c r="IY270" s="2595"/>
      <c r="IZ270" s="2595"/>
    </row>
    <row r="271" spans="30:277" ht="4.1500000000000004" customHeight="1">
      <c r="AD271" s="516"/>
      <c r="AF271" s="516"/>
      <c r="BA271" s="1508"/>
      <c r="BB271" s="1508"/>
      <c r="BC271" s="1508"/>
      <c r="BD271" s="1508"/>
      <c r="BE271" s="1508"/>
      <c r="BF271" s="1508"/>
      <c r="BG271" s="1508"/>
      <c r="BH271" s="1508"/>
      <c r="BI271" s="1508"/>
      <c r="BJ271" s="1508"/>
      <c r="BK271" s="1508"/>
      <c r="BL271" s="1508"/>
      <c r="BM271" s="1508"/>
      <c r="BN271" s="1508"/>
      <c r="BO271" s="1508"/>
      <c r="BP271" s="1508"/>
      <c r="BQ271" s="1508"/>
      <c r="BR271" s="1508"/>
      <c r="BS271" s="1508"/>
      <c r="BT271" s="1508"/>
      <c r="BU271" s="1508"/>
      <c r="BV271" s="1508"/>
      <c r="BW271" s="1508"/>
      <c r="FY271" s="517"/>
      <c r="GA271" s="517"/>
      <c r="IL271" s="516"/>
      <c r="IO271" s="517"/>
      <c r="IW271" s="2595"/>
      <c r="IX271" s="2595"/>
      <c r="IY271" s="2595"/>
      <c r="IZ271" s="2595"/>
      <c r="JK271" s="2597">
        <v>0.125</v>
      </c>
      <c r="JL271" s="2597"/>
      <c r="JM271" s="2597"/>
      <c r="JN271" s="2597"/>
      <c r="JO271" s="2597"/>
      <c r="JP271" s="2597"/>
      <c r="JQ271" s="2597"/>
    </row>
    <row r="272" spans="30:277" ht="4.1500000000000004" customHeight="1">
      <c r="AD272" s="516"/>
      <c r="AF272" s="516"/>
      <c r="BA272" s="1508"/>
      <c r="BB272" s="1508"/>
      <c r="BC272" s="1508"/>
      <c r="BD272" s="1508"/>
      <c r="BE272" s="1508"/>
      <c r="BF272" s="1508"/>
      <c r="BG272" s="1508"/>
      <c r="BH272" s="1508"/>
      <c r="BI272" s="1508"/>
      <c r="BJ272" s="1508"/>
      <c r="BK272" s="1508"/>
      <c r="BL272" s="1508"/>
      <c r="BM272" s="1508"/>
      <c r="BN272" s="1508"/>
      <c r="BO272" s="1508"/>
      <c r="BP272" s="1508"/>
      <c r="BQ272" s="1508"/>
      <c r="BR272" s="1508"/>
      <c r="BS272" s="1508"/>
      <c r="BT272" s="1508"/>
      <c r="BU272" s="1508"/>
      <c r="BV272" s="1508"/>
      <c r="BW272" s="1508"/>
      <c r="FY272" s="517"/>
      <c r="GA272" s="517"/>
      <c r="IL272" s="516"/>
      <c r="IO272" s="517"/>
      <c r="IW272" s="2595"/>
      <c r="IX272" s="2595"/>
      <c r="IY272" s="2595"/>
      <c r="IZ272" s="2595"/>
      <c r="JK272" s="2598"/>
      <c r="JL272" s="2598"/>
      <c r="JM272" s="2598"/>
      <c r="JN272" s="2598"/>
      <c r="JO272" s="2598"/>
      <c r="JP272" s="2598"/>
      <c r="JQ272" s="2598"/>
    </row>
    <row r="273" spans="30:274" ht="4.1500000000000004" customHeight="1">
      <c r="AD273" s="516"/>
      <c r="AF273" s="516"/>
      <c r="BA273" s="1599"/>
      <c r="BB273" s="1600"/>
      <c r="BC273" s="1600"/>
      <c r="BD273" s="1600"/>
      <c r="BE273" s="1600"/>
      <c r="BF273" s="1600"/>
      <c r="BG273" s="1600"/>
      <c r="BH273" s="1600"/>
      <c r="BI273" s="1600"/>
      <c r="BJ273" s="1600"/>
      <c r="BK273" s="1600"/>
      <c r="BL273" s="1600"/>
      <c r="BM273" s="1600"/>
      <c r="BN273" s="1600"/>
      <c r="BO273" s="1600"/>
      <c r="BP273" s="1600"/>
      <c r="BQ273" s="1600"/>
      <c r="BR273" s="1600"/>
      <c r="BS273" s="1600"/>
      <c r="BT273" s="1600"/>
      <c r="BU273" s="1600"/>
      <c r="BV273" s="1600"/>
      <c r="BW273" s="1600"/>
      <c r="FY273" s="517"/>
      <c r="GA273" s="517"/>
      <c r="IL273" s="516"/>
      <c r="IO273" s="517"/>
      <c r="IW273" s="2595"/>
      <c r="IX273" s="2595"/>
      <c r="IY273" s="2595"/>
      <c r="IZ273" s="2595"/>
    </row>
    <row r="274" spans="30:274" ht="4.1500000000000004" customHeight="1">
      <c r="AD274" s="516"/>
      <c r="AF274" s="516"/>
      <c r="BA274" s="1600"/>
      <c r="BB274" s="1600"/>
      <c r="BC274" s="1600"/>
      <c r="BD274" s="1600"/>
      <c r="BE274" s="1600"/>
      <c r="BF274" s="1600"/>
      <c r="BG274" s="1600"/>
      <c r="BH274" s="1600"/>
      <c r="BI274" s="1600"/>
      <c r="BJ274" s="1600"/>
      <c r="BK274" s="1600"/>
      <c r="BL274" s="1600"/>
      <c r="BM274" s="1600"/>
      <c r="BN274" s="1600"/>
      <c r="BO274" s="1600"/>
      <c r="BP274" s="1600"/>
      <c r="BQ274" s="1600"/>
      <c r="BR274" s="1600"/>
      <c r="BS274" s="1600"/>
      <c r="BT274" s="1600"/>
      <c r="BU274" s="1600"/>
      <c r="BV274" s="1600"/>
      <c r="BW274" s="1600"/>
      <c r="FY274" s="517"/>
      <c r="GA274" s="517"/>
      <c r="IL274" s="516"/>
      <c r="IO274" s="517"/>
      <c r="IW274" s="2595"/>
      <c r="IX274" s="2595"/>
      <c r="IY274" s="2595"/>
      <c r="IZ274" s="2595"/>
    </row>
    <row r="275" spans="30:274" ht="4.1500000000000004" customHeight="1">
      <c r="AD275" s="516"/>
      <c r="AF275" s="516"/>
      <c r="AX275" s="532"/>
      <c r="AY275" s="532"/>
      <c r="AZ275" s="532"/>
      <c r="BA275" s="1603"/>
      <c r="BB275" s="1603"/>
      <c r="BC275" s="1603"/>
      <c r="BD275" s="1603"/>
      <c r="BE275" s="1603"/>
      <c r="BF275" s="1603"/>
      <c r="BG275" s="1603"/>
      <c r="BH275" s="1603"/>
      <c r="BI275" s="1603"/>
      <c r="BJ275" s="1603"/>
      <c r="BK275" s="1603"/>
      <c r="BL275" s="1603"/>
      <c r="BM275" s="1603"/>
      <c r="BN275" s="1603"/>
      <c r="BO275" s="1603"/>
      <c r="BP275" s="1603"/>
      <c r="BQ275" s="1603"/>
      <c r="BR275" s="1603"/>
      <c r="BS275" s="1603"/>
      <c r="BT275" s="1603"/>
      <c r="BU275" s="1603"/>
      <c r="BV275" s="1603"/>
      <c r="BW275" s="1603"/>
      <c r="BX275" s="532"/>
      <c r="BY275" s="532"/>
      <c r="BZ275" s="532"/>
      <c r="CA275" s="532"/>
      <c r="CB275" s="532"/>
      <c r="CC275" s="532"/>
      <c r="CD275" s="532"/>
      <c r="CE275" s="532"/>
      <c r="CF275" s="532"/>
      <c r="CG275" s="532"/>
      <c r="CH275" s="532"/>
      <c r="CI275" s="532"/>
      <c r="CJ275" s="532"/>
      <c r="CK275" s="532"/>
      <c r="CL275" s="532"/>
      <c r="CM275" s="532"/>
      <c r="CN275" s="532"/>
      <c r="CO275" s="532"/>
      <c r="CP275" s="532"/>
      <c r="CQ275" s="532"/>
      <c r="DA275" s="532"/>
      <c r="DB275" s="532"/>
      <c r="DC275" s="532"/>
      <c r="DD275" s="532"/>
      <c r="DE275" s="532"/>
      <c r="DF275" s="532"/>
      <c r="DG275" s="532"/>
      <c r="DH275" s="532"/>
      <c r="DI275" s="532"/>
      <c r="DJ275" s="532"/>
      <c r="DK275" s="532"/>
      <c r="DL275" s="532"/>
      <c r="DM275" s="532"/>
      <c r="DN275" s="532"/>
      <c r="DO275" s="532"/>
      <c r="DP275" s="532"/>
      <c r="DQ275" s="532"/>
      <c r="DR275" s="532"/>
      <c r="DS275" s="532"/>
      <c r="DT275" s="532"/>
      <c r="DU275" s="532"/>
      <c r="DV275" s="532"/>
      <c r="DW275" s="532"/>
      <c r="DX275" s="532"/>
      <c r="EH275" s="532"/>
      <c r="EI275" s="532"/>
      <c r="FD275" s="532"/>
      <c r="FE275" s="532"/>
      <c r="FY275" s="517"/>
      <c r="GA275" s="517"/>
      <c r="IL275" s="516"/>
      <c r="IO275" s="517"/>
      <c r="IW275" s="2595"/>
      <c r="IX275" s="2595"/>
      <c r="IY275" s="2595"/>
      <c r="IZ275" s="2595"/>
    </row>
    <row r="276" spans="30:274" ht="4.1500000000000004" customHeight="1">
      <c r="AD276" s="519"/>
      <c r="AE276" s="521"/>
      <c r="AF276" s="516"/>
      <c r="AW276" s="517"/>
      <c r="AX276" s="519"/>
      <c r="AY276" s="521"/>
      <c r="BA276" s="1600"/>
      <c r="BB276" s="1600"/>
      <c r="BC276" s="1600"/>
      <c r="BD276" s="1600"/>
      <c r="BE276" s="1600"/>
      <c r="BF276" s="1600"/>
      <c r="BG276" s="1600"/>
      <c r="BH276" s="1600"/>
      <c r="BI276" s="1600"/>
      <c r="BJ276" s="1600"/>
      <c r="BK276" s="1600"/>
      <c r="BL276" s="1600"/>
      <c r="BM276" s="1600"/>
      <c r="BN276" s="1600"/>
      <c r="BO276" s="1600"/>
      <c r="BP276" s="1600"/>
      <c r="BQ276" s="1600"/>
      <c r="BR276" s="1600"/>
      <c r="BS276" s="1600"/>
      <c r="BT276" s="519"/>
      <c r="BU276" s="521"/>
      <c r="BV276" s="1600"/>
      <c r="BW276" s="1600"/>
      <c r="CP276" s="519"/>
      <c r="CQ276" s="521"/>
      <c r="CR276" s="516"/>
      <c r="DA276" s="519"/>
      <c r="DB276" s="521"/>
      <c r="DW276" s="519"/>
      <c r="DX276" s="521"/>
      <c r="DY276" s="516"/>
      <c r="EH276" s="519"/>
      <c r="EI276" s="520"/>
      <c r="FD276" s="520"/>
      <c r="FE276" s="520"/>
      <c r="FZ276" s="520"/>
      <c r="GA276" s="521"/>
      <c r="IL276" s="516"/>
      <c r="IO276" s="517"/>
      <c r="IY276" s="516"/>
    </row>
    <row r="277" spans="30:274" ht="4.1500000000000004" customHeight="1">
      <c r="AD277" s="522"/>
      <c r="AE277" s="524"/>
      <c r="AF277" s="516"/>
      <c r="AW277" s="517"/>
      <c r="AX277" s="522"/>
      <c r="AY277" s="524"/>
      <c r="BT277" s="522"/>
      <c r="BU277" s="524"/>
      <c r="CP277" s="522"/>
      <c r="CQ277" s="524"/>
      <c r="CR277" s="516"/>
      <c r="DA277" s="522"/>
      <c r="DB277" s="524"/>
      <c r="DW277" s="522"/>
      <c r="DX277" s="524"/>
      <c r="DY277" s="516"/>
      <c r="EH277" s="522"/>
      <c r="EI277" s="523"/>
      <c r="FD277" s="523"/>
      <c r="FE277" s="523"/>
      <c r="FZ277" s="523"/>
      <c r="GA277" s="524"/>
      <c r="IL277" s="516"/>
      <c r="IO277" s="517"/>
      <c r="IY277" s="516"/>
    </row>
    <row r="278" spans="30:274" ht="4.1500000000000004" customHeight="1">
      <c r="AD278" s="527"/>
      <c r="AE278" s="529"/>
      <c r="AF278" s="516"/>
      <c r="AG278" s="662"/>
      <c r="AH278" s="662"/>
      <c r="AI278" s="662"/>
      <c r="AJ278" s="662"/>
      <c r="AK278" s="662"/>
      <c r="AL278" s="662"/>
      <c r="AM278" s="662"/>
      <c r="AN278" s="662"/>
      <c r="AO278" s="662"/>
      <c r="AP278" s="662"/>
      <c r="AQ278" s="662"/>
      <c r="AR278" s="662"/>
      <c r="AS278" s="662"/>
      <c r="AW278" s="517"/>
      <c r="AX278" s="527"/>
      <c r="AY278" s="529"/>
      <c r="AZ278" s="515"/>
      <c r="BA278" s="514"/>
      <c r="BB278" s="514"/>
      <c r="BC278" s="514"/>
      <c r="BD278" s="514"/>
      <c r="BE278" s="514"/>
      <c r="BF278" s="514"/>
      <c r="BG278" s="514"/>
      <c r="BH278" s="514"/>
      <c r="BI278" s="514"/>
      <c r="BJ278" s="514"/>
      <c r="BK278" s="514"/>
      <c r="BL278" s="514"/>
      <c r="BM278" s="514"/>
      <c r="BN278" s="514"/>
      <c r="BO278" s="514"/>
      <c r="BP278" s="514"/>
      <c r="BQ278" s="514"/>
      <c r="BR278" s="514"/>
      <c r="BS278" s="514"/>
      <c r="BT278" s="527"/>
      <c r="BU278" s="529"/>
      <c r="BV278" s="514"/>
      <c r="BW278" s="514"/>
      <c r="BX278" s="514"/>
      <c r="BY278" s="514"/>
      <c r="BZ278" s="514"/>
      <c r="CA278" s="514"/>
      <c r="CB278" s="514"/>
      <c r="CC278" s="514"/>
      <c r="CD278" s="514"/>
      <c r="CE278" s="514"/>
      <c r="CF278" s="514"/>
      <c r="CG278" s="514"/>
      <c r="CH278" s="514"/>
      <c r="CI278" s="514"/>
      <c r="CJ278" s="514"/>
      <c r="CK278" s="514"/>
      <c r="CL278" s="514"/>
      <c r="CM278" s="514"/>
      <c r="CN278" s="514"/>
      <c r="CO278" s="518"/>
      <c r="CP278" s="522"/>
      <c r="CQ278" s="524"/>
      <c r="CR278" s="516"/>
      <c r="CZ278" s="517"/>
      <c r="DA278" s="527"/>
      <c r="DB278" s="529"/>
      <c r="DW278" s="527"/>
      <c r="DX278" s="529"/>
      <c r="DY278" s="516"/>
      <c r="EH278" s="522"/>
      <c r="EI278" s="524"/>
      <c r="EJ278" s="515"/>
      <c r="EK278" s="514"/>
      <c r="EL278" s="514"/>
      <c r="EM278" s="514"/>
      <c r="EN278" s="514"/>
      <c r="EO278" s="514"/>
      <c r="EP278" s="514"/>
      <c r="EQ278" s="514"/>
      <c r="ER278" s="514"/>
      <c r="ES278" s="514"/>
      <c r="ET278" s="514"/>
      <c r="EU278" s="514"/>
      <c r="EV278" s="514"/>
      <c r="EW278" s="514"/>
      <c r="EX278" s="514"/>
      <c r="EY278" s="514"/>
      <c r="EZ278" s="514"/>
      <c r="FA278" s="514"/>
      <c r="FB278" s="514"/>
      <c r="FC278" s="514"/>
      <c r="FD278" s="527"/>
      <c r="FE278" s="529"/>
      <c r="FF278" s="514"/>
      <c r="FG278" s="514"/>
      <c r="FH278" s="514"/>
      <c r="FI278" s="514"/>
      <c r="FJ278" s="514"/>
      <c r="FK278" s="514"/>
      <c r="FL278" s="514"/>
      <c r="FM278" s="514"/>
      <c r="FN278" s="514"/>
      <c r="FO278" s="514"/>
      <c r="FP278" s="514"/>
      <c r="FQ278" s="514"/>
      <c r="FR278" s="514"/>
      <c r="FS278" s="514"/>
      <c r="FT278" s="514"/>
      <c r="FU278" s="514"/>
      <c r="FV278" s="514"/>
      <c r="FW278" s="514"/>
      <c r="FX278" s="514"/>
      <c r="FY278" s="518"/>
      <c r="FZ278" s="527"/>
      <c r="GA278" s="529"/>
      <c r="IL278" s="516"/>
      <c r="IO278" s="517"/>
      <c r="IP278" s="516"/>
      <c r="IY278" s="516"/>
    </row>
    <row r="279" spans="30:274" ht="4.1500000000000004" customHeight="1">
      <c r="AD279" s="516"/>
      <c r="AF279" s="516"/>
      <c r="AG279" s="662"/>
      <c r="AH279" s="662"/>
      <c r="AI279" s="662"/>
      <c r="AJ279" s="662"/>
      <c r="AK279" s="662"/>
      <c r="AL279" s="662"/>
      <c r="AM279" s="662"/>
      <c r="AN279" s="662"/>
      <c r="AO279" s="662"/>
      <c r="AP279" s="662"/>
      <c r="AQ279" s="662"/>
      <c r="AR279" s="662"/>
      <c r="AS279" s="662"/>
      <c r="AW279" s="517"/>
      <c r="AX279" s="516"/>
      <c r="AZ279" s="516"/>
      <c r="CP279" s="667"/>
      <c r="CQ279" s="667"/>
      <c r="CZ279" s="517"/>
      <c r="DA279" s="516"/>
      <c r="DY279" s="516"/>
      <c r="EH279" s="514"/>
      <c r="EI279" s="514"/>
      <c r="FY279" s="517"/>
      <c r="GA279" s="517"/>
      <c r="IL279" s="516"/>
      <c r="IO279" s="517"/>
      <c r="IP279" s="516"/>
      <c r="IY279" s="516"/>
    </row>
    <row r="280" spans="30:274" ht="4.1500000000000004" customHeight="1">
      <c r="AD280" s="516"/>
      <c r="AF280" s="515"/>
      <c r="AG280" s="667"/>
      <c r="AH280" s="667"/>
      <c r="AI280" s="667"/>
      <c r="AJ280" s="667"/>
      <c r="AK280" s="667"/>
      <c r="AL280" s="667"/>
      <c r="AM280" s="667"/>
      <c r="AN280" s="1583"/>
      <c r="AO280" s="667"/>
      <c r="AP280" s="667"/>
      <c r="AQ280" s="667"/>
      <c r="AR280" s="667"/>
      <c r="AS280" s="667"/>
      <c r="AT280" s="514"/>
      <c r="AU280" s="514"/>
      <c r="AV280" s="514"/>
      <c r="AW280" s="518"/>
      <c r="AX280" s="516"/>
      <c r="AZ280" s="516"/>
      <c r="CP280" s="662"/>
      <c r="CQ280" s="662"/>
      <c r="CZ280" s="517"/>
      <c r="DA280" s="516"/>
      <c r="DX280" s="517"/>
      <c r="DY280" s="516"/>
      <c r="FY280" s="517"/>
      <c r="GA280" s="517"/>
      <c r="IL280" s="516"/>
      <c r="IO280" s="517"/>
      <c r="IP280" s="516"/>
      <c r="IY280" s="516"/>
    </row>
    <row r="281" spans="30:274" ht="4.1500000000000004" customHeight="1">
      <c r="AD281" s="516"/>
      <c r="AF281" s="530"/>
      <c r="AG281" s="532"/>
      <c r="AH281" s="532"/>
      <c r="AI281" s="532"/>
      <c r="AJ281" s="532"/>
      <c r="AK281" s="532"/>
      <c r="AL281" s="532"/>
      <c r="AM281" s="532"/>
      <c r="AN281" s="531"/>
      <c r="AO281" s="532"/>
      <c r="AP281" s="532"/>
      <c r="AQ281" s="532"/>
      <c r="AR281" s="532"/>
      <c r="AS281" s="532"/>
      <c r="AT281" s="532"/>
      <c r="AU281" s="532"/>
      <c r="AV281" s="532"/>
      <c r="AW281" s="531"/>
      <c r="AX281" s="516"/>
      <c r="AZ281" s="516"/>
      <c r="CZ281" s="517"/>
      <c r="DA281" s="516"/>
      <c r="DX281" s="517"/>
      <c r="DY281" s="516"/>
      <c r="FY281" s="517"/>
      <c r="GA281" s="517"/>
      <c r="IL281" s="516"/>
      <c r="IO281" s="517"/>
      <c r="IP281" s="516"/>
      <c r="IY281" s="516"/>
    </row>
    <row r="282" spans="30:274" ht="4.1500000000000004" customHeight="1">
      <c r="AD282" s="516"/>
      <c r="AF282" s="515"/>
      <c r="AG282" s="667"/>
      <c r="AH282" s="667"/>
      <c r="AI282" s="667"/>
      <c r="AJ282" s="667"/>
      <c r="AK282" s="667"/>
      <c r="AL282" s="667"/>
      <c r="AM282" s="667"/>
      <c r="AN282" s="1583"/>
      <c r="AO282" s="667"/>
      <c r="AP282" s="667"/>
      <c r="AQ282" s="667"/>
      <c r="AR282" s="667"/>
      <c r="AS282" s="667"/>
      <c r="AT282" s="514"/>
      <c r="AU282" s="514"/>
      <c r="AV282" s="514"/>
      <c r="AW282" s="518"/>
      <c r="AX282" s="516"/>
      <c r="AZ282" s="516"/>
      <c r="CZ282" s="517"/>
      <c r="DA282" s="516"/>
      <c r="DX282" s="517"/>
      <c r="DY282" s="516"/>
      <c r="FY282" s="517"/>
      <c r="GA282" s="517"/>
      <c r="IL282" s="516"/>
      <c r="IO282" s="517"/>
      <c r="IP282" s="516"/>
      <c r="IY282" s="516"/>
    </row>
    <row r="283" spans="30:274" ht="4.1500000000000004" customHeight="1">
      <c r="AD283" s="516"/>
      <c r="AF283" s="530"/>
      <c r="AG283" s="532"/>
      <c r="AH283" s="532"/>
      <c r="AI283" s="532"/>
      <c r="AJ283" s="532"/>
      <c r="AK283" s="532"/>
      <c r="AL283" s="532"/>
      <c r="AM283" s="532"/>
      <c r="AN283" s="531"/>
      <c r="AO283" s="532"/>
      <c r="AP283" s="532"/>
      <c r="AQ283" s="532"/>
      <c r="AR283" s="532"/>
      <c r="AS283" s="532"/>
      <c r="AT283" s="532"/>
      <c r="AU283" s="532"/>
      <c r="AV283" s="532"/>
      <c r="AW283" s="531"/>
      <c r="AX283" s="516"/>
      <c r="AZ283" s="516"/>
      <c r="CZ283" s="517"/>
      <c r="DA283" s="516"/>
      <c r="DX283" s="517"/>
      <c r="DY283" s="516"/>
      <c r="FY283" s="517"/>
      <c r="GA283" s="517"/>
      <c r="HQ283" s="532"/>
      <c r="HR283" s="532"/>
      <c r="HS283" s="532"/>
      <c r="HT283" s="532"/>
      <c r="HU283" s="532"/>
      <c r="HV283" s="532"/>
      <c r="HW283" s="532"/>
      <c r="HX283" s="532"/>
      <c r="HY283" s="532"/>
      <c r="HZ283" s="532"/>
      <c r="IA283" s="532"/>
      <c r="IB283" s="532"/>
      <c r="IC283" s="532"/>
      <c r="ID283" s="532"/>
      <c r="IE283" s="532"/>
      <c r="IF283" s="532"/>
      <c r="IG283" s="532"/>
      <c r="IH283" s="532"/>
      <c r="II283" s="532"/>
      <c r="IJ283" s="532"/>
      <c r="IL283" s="516"/>
      <c r="IO283" s="517"/>
      <c r="IP283" s="530"/>
      <c r="IQ283" s="532"/>
      <c r="IR283" s="532"/>
      <c r="IS283" s="532"/>
      <c r="IT283" s="532"/>
      <c r="IU283" s="532"/>
      <c r="IV283" s="532"/>
      <c r="IW283" s="532"/>
      <c r="IX283" s="532"/>
      <c r="IY283" s="530"/>
      <c r="IZ283" s="532"/>
      <c r="JA283" s="532"/>
      <c r="JB283" s="532"/>
      <c r="JC283" s="532"/>
      <c r="JD283" s="532"/>
      <c r="JE283" s="532"/>
      <c r="JF283" s="532"/>
      <c r="JG283" s="532"/>
      <c r="JH283" s="532"/>
      <c r="JI283" s="532"/>
      <c r="JJ283" s="532"/>
      <c r="JK283" s="532"/>
      <c r="JL283" s="532"/>
      <c r="JM283" s="532"/>
      <c r="JN283" s="532"/>
    </row>
    <row r="284" spans="30:274" ht="4.1500000000000004" customHeight="1">
      <c r="AD284" s="516"/>
      <c r="AF284" s="515"/>
      <c r="AG284" s="667"/>
      <c r="AH284" s="667"/>
      <c r="AI284" s="667"/>
      <c r="AJ284" s="667"/>
      <c r="AK284" s="667"/>
      <c r="AL284" s="667"/>
      <c r="AM284" s="667"/>
      <c r="AN284" s="1583"/>
      <c r="AO284" s="667"/>
      <c r="AP284" s="667"/>
      <c r="AQ284" s="667"/>
      <c r="AR284" s="667"/>
      <c r="AS284" s="667"/>
      <c r="AT284" s="514"/>
      <c r="AU284" s="514"/>
      <c r="AV284" s="514"/>
      <c r="AW284" s="518"/>
      <c r="AX284" s="516"/>
      <c r="AZ284" s="516"/>
      <c r="CZ284" s="517"/>
      <c r="DA284" s="516"/>
      <c r="DX284" s="517"/>
      <c r="DY284" s="516"/>
      <c r="FY284" s="517"/>
      <c r="GA284" s="517"/>
      <c r="IL284" s="519"/>
      <c r="IM284" s="520"/>
      <c r="IN284" s="520"/>
      <c r="IO284" s="521"/>
    </row>
    <row r="285" spans="30:274" ht="4.1500000000000004" customHeight="1">
      <c r="AD285" s="516"/>
      <c r="AF285" s="530"/>
      <c r="AG285" s="532"/>
      <c r="AH285" s="532"/>
      <c r="AI285" s="532"/>
      <c r="AJ285" s="532"/>
      <c r="AK285" s="532"/>
      <c r="AL285" s="532"/>
      <c r="AM285" s="532"/>
      <c r="AN285" s="531"/>
      <c r="AO285" s="532"/>
      <c r="AP285" s="532"/>
      <c r="AQ285" s="532"/>
      <c r="AR285" s="532"/>
      <c r="AS285" s="532"/>
      <c r="AT285" s="532"/>
      <c r="AU285" s="532"/>
      <c r="AV285" s="532"/>
      <c r="AW285" s="531"/>
      <c r="AX285" s="516"/>
      <c r="AZ285" s="516"/>
      <c r="CZ285" s="517"/>
      <c r="DA285" s="516"/>
      <c r="DX285" s="517"/>
      <c r="DY285" s="516"/>
      <c r="FY285" s="517"/>
      <c r="GA285" s="517"/>
      <c r="IL285" s="522"/>
      <c r="IM285" s="523"/>
      <c r="IN285" s="523"/>
      <c r="IO285" s="524"/>
    </row>
    <row r="286" spans="30:274" ht="4.1500000000000004" customHeight="1">
      <c r="AD286" s="516"/>
      <c r="AF286" s="515"/>
      <c r="AG286" s="667"/>
      <c r="AH286" s="667"/>
      <c r="AI286" s="667"/>
      <c r="AJ286" s="667"/>
      <c r="AK286" s="667"/>
      <c r="AL286" s="667"/>
      <c r="AM286" s="667"/>
      <c r="AN286" s="1583"/>
      <c r="AO286" s="667"/>
      <c r="AP286" s="667"/>
      <c r="AQ286" s="667"/>
      <c r="AR286" s="667"/>
      <c r="AS286" s="667"/>
      <c r="AT286" s="514"/>
      <c r="AU286" s="514"/>
      <c r="AV286" s="514"/>
      <c r="AW286" s="518"/>
      <c r="AX286" s="516"/>
      <c r="AZ286" s="516"/>
      <c r="CW286" s="662"/>
      <c r="CX286" s="662"/>
      <c r="CZ286" s="517"/>
      <c r="DA286" s="516"/>
      <c r="DC286" s="2641" t="s">
        <v>3603</v>
      </c>
      <c r="DD286" s="2641"/>
      <c r="DE286" s="2641"/>
      <c r="DF286" s="2641"/>
      <c r="DG286" s="2641"/>
      <c r="DH286" s="2641"/>
      <c r="DI286" s="2641"/>
      <c r="DJ286" s="2641"/>
      <c r="DK286" s="2641"/>
      <c r="DL286" s="2641"/>
      <c r="DM286" s="2641"/>
      <c r="DN286" s="2641"/>
      <c r="DO286" s="2641"/>
      <c r="DP286" s="2641"/>
      <c r="DQ286" s="2641"/>
      <c r="DR286" s="2641"/>
      <c r="DS286" s="2641"/>
      <c r="DT286" s="2641"/>
      <c r="DU286" s="2641"/>
      <c r="DV286" s="2641"/>
      <c r="DX286" s="517"/>
      <c r="DY286" s="516"/>
      <c r="ED286" s="662"/>
      <c r="EE286" s="662"/>
      <c r="FY286" s="517"/>
      <c r="GA286" s="517"/>
      <c r="IL286" s="527"/>
      <c r="IM286" s="528"/>
      <c r="IN286" s="528"/>
      <c r="IO286" s="529"/>
      <c r="IP286" s="516"/>
    </row>
    <row r="287" spans="30:274" ht="4.1500000000000004" customHeight="1">
      <c r="AD287" s="516"/>
      <c r="AF287" s="530"/>
      <c r="AG287" s="532"/>
      <c r="AH287" s="532"/>
      <c r="AI287" s="532"/>
      <c r="AJ287" s="532"/>
      <c r="AK287" s="532"/>
      <c r="AL287" s="532"/>
      <c r="AM287" s="532"/>
      <c r="AN287" s="531"/>
      <c r="AO287" s="532"/>
      <c r="AP287" s="532"/>
      <c r="AQ287" s="532"/>
      <c r="AR287" s="532"/>
      <c r="AS287" s="532"/>
      <c r="AT287" s="532"/>
      <c r="AU287" s="532"/>
      <c r="AV287" s="532"/>
      <c r="AW287" s="531"/>
      <c r="AX287" s="516"/>
      <c r="AZ287" s="516"/>
      <c r="CP287" s="532"/>
      <c r="CQ287" s="532"/>
      <c r="CW287" s="662"/>
      <c r="CX287" s="662"/>
      <c r="CZ287" s="517"/>
      <c r="DA287" s="516"/>
      <c r="DC287" s="2641"/>
      <c r="DD287" s="2641"/>
      <c r="DE287" s="2641"/>
      <c r="DF287" s="2641"/>
      <c r="DG287" s="2641"/>
      <c r="DH287" s="2641"/>
      <c r="DI287" s="2641"/>
      <c r="DJ287" s="2641"/>
      <c r="DK287" s="2641"/>
      <c r="DL287" s="2641"/>
      <c r="DM287" s="2641"/>
      <c r="DN287" s="2641"/>
      <c r="DO287" s="2641"/>
      <c r="DP287" s="2641"/>
      <c r="DQ287" s="2641"/>
      <c r="DR287" s="2641"/>
      <c r="DS287" s="2641"/>
      <c r="DT287" s="2641"/>
      <c r="DU287" s="2641"/>
      <c r="DV287" s="2641"/>
      <c r="DX287" s="517"/>
      <c r="DY287" s="516"/>
      <c r="ED287" s="662"/>
      <c r="EE287" s="662"/>
      <c r="EH287" s="532"/>
      <c r="EI287" s="532"/>
      <c r="FY287" s="517"/>
      <c r="GA287" s="517"/>
      <c r="IL287" s="515"/>
      <c r="IM287" s="514"/>
      <c r="IN287" s="514"/>
      <c r="IO287" s="518"/>
      <c r="IP287" s="516"/>
    </row>
    <row r="288" spans="30:274" ht="4.1500000000000004" customHeight="1">
      <c r="AD288" s="516"/>
      <c r="AF288" s="515"/>
      <c r="AG288" s="667"/>
      <c r="AH288" s="667"/>
      <c r="AI288" s="667"/>
      <c r="AJ288" s="667"/>
      <c r="AK288" s="667"/>
      <c r="AL288" s="667"/>
      <c r="AM288" s="667"/>
      <c r="AN288" s="1583"/>
      <c r="AO288" s="667"/>
      <c r="AP288" s="667"/>
      <c r="AQ288" s="667"/>
      <c r="AR288" s="667"/>
      <c r="AS288" s="667"/>
      <c r="AT288" s="514"/>
      <c r="AU288" s="514"/>
      <c r="AV288" s="514"/>
      <c r="AW288" s="518"/>
      <c r="AX288" s="516"/>
      <c r="AZ288" s="516"/>
      <c r="CO288" s="517"/>
      <c r="CR288" s="516"/>
      <c r="CW288" s="662"/>
      <c r="CX288" s="662"/>
      <c r="CZ288" s="517"/>
      <c r="DA288" s="516"/>
      <c r="DC288" s="2641"/>
      <c r="DD288" s="2641"/>
      <c r="DE288" s="2641"/>
      <c r="DF288" s="2641"/>
      <c r="DG288" s="2641"/>
      <c r="DH288" s="2641"/>
      <c r="DI288" s="2641"/>
      <c r="DJ288" s="2641"/>
      <c r="DK288" s="2641"/>
      <c r="DL288" s="2641"/>
      <c r="DM288" s="2641"/>
      <c r="DN288" s="2641"/>
      <c r="DO288" s="2641"/>
      <c r="DP288" s="2641"/>
      <c r="DQ288" s="2641"/>
      <c r="DR288" s="2641"/>
      <c r="DS288" s="2641"/>
      <c r="DT288" s="2641"/>
      <c r="DU288" s="2641"/>
      <c r="DV288" s="2641"/>
      <c r="DX288" s="517"/>
      <c r="DY288" s="516"/>
      <c r="ED288" s="662"/>
      <c r="EE288" s="662"/>
      <c r="EG288" s="517"/>
      <c r="EJ288" s="516"/>
      <c r="FY288" s="517"/>
      <c r="GA288" s="517"/>
      <c r="IL288" s="516"/>
      <c r="IO288" s="517"/>
      <c r="IP288" s="516"/>
    </row>
    <row r="289" spans="30:274" ht="4.1500000000000004" customHeight="1">
      <c r="AD289" s="516"/>
      <c r="AF289" s="530"/>
      <c r="AG289" s="532"/>
      <c r="AH289" s="532"/>
      <c r="AI289" s="532"/>
      <c r="AJ289" s="532"/>
      <c r="AK289" s="532"/>
      <c r="AL289" s="532"/>
      <c r="AM289" s="532"/>
      <c r="AN289" s="531"/>
      <c r="AO289" s="532"/>
      <c r="AP289" s="532"/>
      <c r="AQ289" s="532"/>
      <c r="AR289" s="532"/>
      <c r="AS289" s="532"/>
      <c r="AT289" s="532"/>
      <c r="AU289" s="532"/>
      <c r="AV289" s="532"/>
      <c r="AW289" s="531"/>
      <c r="AX289" s="516"/>
      <c r="AZ289" s="516"/>
      <c r="CO289" s="517"/>
      <c r="CR289" s="516"/>
      <c r="CW289" s="662"/>
      <c r="CX289" s="662"/>
      <c r="CY289" s="662"/>
      <c r="CZ289" s="664"/>
      <c r="DA289" s="663"/>
      <c r="DB289" s="662"/>
      <c r="DC289" s="2641"/>
      <c r="DD289" s="2641"/>
      <c r="DE289" s="2641"/>
      <c r="DF289" s="2641"/>
      <c r="DG289" s="2641"/>
      <c r="DH289" s="2641"/>
      <c r="DI289" s="2641"/>
      <c r="DJ289" s="2641"/>
      <c r="DK289" s="2641"/>
      <c r="DL289" s="2641"/>
      <c r="DM289" s="2641"/>
      <c r="DN289" s="2641"/>
      <c r="DO289" s="2641"/>
      <c r="DP289" s="2641"/>
      <c r="DQ289" s="2641"/>
      <c r="DR289" s="2641"/>
      <c r="DS289" s="2641"/>
      <c r="DT289" s="2641"/>
      <c r="DU289" s="2641"/>
      <c r="DV289" s="2641"/>
      <c r="DW289" s="662"/>
      <c r="DX289" s="664"/>
      <c r="DY289" s="516"/>
      <c r="ED289" s="662"/>
      <c r="EE289" s="662"/>
      <c r="EF289" s="662"/>
      <c r="EG289" s="664"/>
      <c r="EH289" s="662"/>
      <c r="EI289" s="662"/>
      <c r="EJ289" s="516"/>
      <c r="FY289" s="517"/>
      <c r="FZ289" s="662"/>
      <c r="GA289" s="664"/>
      <c r="IK289" s="517"/>
      <c r="IL289" s="516"/>
      <c r="IO289" s="517"/>
      <c r="IP289" s="516"/>
    </row>
    <row r="290" spans="30:274" ht="4.1500000000000004" customHeight="1">
      <c r="AD290" s="516"/>
      <c r="AF290" s="515"/>
      <c r="AG290" s="667"/>
      <c r="AH290" s="667"/>
      <c r="AI290" s="667"/>
      <c r="AJ290" s="667"/>
      <c r="AK290" s="667"/>
      <c r="AL290" s="667"/>
      <c r="AM290" s="667"/>
      <c r="AN290" s="1583"/>
      <c r="AO290" s="667"/>
      <c r="AP290" s="667"/>
      <c r="AQ290" s="667"/>
      <c r="AR290" s="667"/>
      <c r="AS290" s="667"/>
      <c r="AT290" s="514"/>
      <c r="AU290" s="514"/>
      <c r="AV290" s="514"/>
      <c r="AW290" s="518"/>
      <c r="AX290" s="516"/>
      <c r="AZ290" s="516"/>
      <c r="CO290" s="517"/>
      <c r="CR290" s="516"/>
      <c r="CW290" s="662"/>
      <c r="CX290" s="662"/>
      <c r="CY290" s="662"/>
      <c r="CZ290" s="664"/>
      <c r="DA290" s="663"/>
      <c r="DB290" s="1601"/>
      <c r="DC290" s="1601"/>
      <c r="DD290" s="1601"/>
      <c r="DE290" s="1601"/>
      <c r="DF290" s="662"/>
      <c r="DG290" s="662"/>
      <c r="DH290" s="662"/>
      <c r="DI290" s="662"/>
      <c r="DJ290" s="662"/>
      <c r="DK290" s="662"/>
      <c r="DL290" s="662"/>
      <c r="DM290" s="662"/>
      <c r="DN290" s="662"/>
      <c r="DO290" s="662"/>
      <c r="DP290" s="662"/>
      <c r="DQ290" s="662"/>
      <c r="DR290" s="662"/>
      <c r="DS290" s="662"/>
      <c r="DT290" s="662"/>
      <c r="DU290" s="662"/>
      <c r="DV290" s="662"/>
      <c r="DW290" s="662"/>
      <c r="DX290" s="664"/>
      <c r="DY290" s="516"/>
      <c r="ED290" s="662"/>
      <c r="EE290" s="662"/>
      <c r="EF290" s="662"/>
      <c r="EG290" s="664"/>
      <c r="EH290" s="662"/>
      <c r="EI290" s="662"/>
      <c r="EJ290" s="516"/>
      <c r="FY290" s="517"/>
      <c r="FZ290" s="662"/>
      <c r="GA290" s="664"/>
      <c r="IK290" s="517"/>
      <c r="IL290" s="516"/>
      <c r="IO290" s="517"/>
      <c r="IP290" s="516"/>
    </row>
    <row r="291" spans="30:274" ht="4.1500000000000004" customHeight="1">
      <c r="AD291" s="516"/>
      <c r="AF291" s="530"/>
      <c r="AG291" s="532"/>
      <c r="AH291" s="532"/>
      <c r="AI291" s="532"/>
      <c r="AJ291" s="532"/>
      <c r="AK291" s="532"/>
      <c r="AL291" s="532"/>
      <c r="AM291" s="532"/>
      <c r="AN291" s="531"/>
      <c r="AO291" s="532"/>
      <c r="AP291" s="532"/>
      <c r="AQ291" s="532"/>
      <c r="AR291" s="532"/>
      <c r="AS291" s="532"/>
      <c r="AT291" s="532"/>
      <c r="AU291" s="532"/>
      <c r="AV291" s="532"/>
      <c r="AW291" s="531"/>
      <c r="AX291" s="516"/>
      <c r="AZ291" s="516"/>
      <c r="BG291" s="2637" t="s">
        <v>3606</v>
      </c>
      <c r="BH291" s="2637"/>
      <c r="BI291" s="2637"/>
      <c r="BJ291" s="2637"/>
      <c r="BK291" s="2637"/>
      <c r="BL291" s="2637"/>
      <c r="BM291" s="2637"/>
      <c r="BN291" s="2637"/>
      <c r="BO291" s="2637"/>
      <c r="BP291" s="2637"/>
      <c r="BQ291" s="2637"/>
      <c r="BR291" s="2637"/>
      <c r="BS291" s="2637"/>
      <c r="BT291" s="2637"/>
      <c r="BU291" s="2637"/>
      <c r="BV291" s="2637"/>
      <c r="BW291" s="2637"/>
      <c r="BX291" s="2637"/>
      <c r="BY291" s="2637"/>
      <c r="BZ291" s="2637"/>
      <c r="CA291" s="2637"/>
      <c r="CB291" s="2637"/>
      <c r="CC291" s="2637"/>
      <c r="CD291" s="2637"/>
      <c r="CE291" s="2637"/>
      <c r="CF291" s="2637"/>
      <c r="CG291" s="2637"/>
      <c r="CH291" s="2637"/>
      <c r="CO291" s="517"/>
      <c r="CR291" s="516"/>
      <c r="CW291" s="662"/>
      <c r="CX291" s="662"/>
      <c r="CY291" s="662"/>
      <c r="CZ291" s="664"/>
      <c r="DA291" s="663"/>
      <c r="DB291" s="1601"/>
      <c r="DC291" s="1601"/>
      <c r="DD291" s="1601"/>
      <c r="DE291" s="1601"/>
      <c r="DF291" s="662"/>
      <c r="DG291" s="662"/>
      <c r="DH291" s="662"/>
      <c r="DI291" s="662"/>
      <c r="DJ291" s="662"/>
      <c r="DK291" s="662"/>
      <c r="DL291" s="662"/>
      <c r="DM291" s="662"/>
      <c r="DN291" s="662"/>
      <c r="DO291" s="662"/>
      <c r="DP291" s="662"/>
      <c r="DQ291" s="662"/>
      <c r="DR291" s="662"/>
      <c r="DS291" s="662"/>
      <c r="DT291" s="662"/>
      <c r="DU291" s="662"/>
      <c r="DV291" s="662"/>
      <c r="DW291" s="662"/>
      <c r="DX291" s="664"/>
      <c r="DY291" s="516"/>
      <c r="ED291" s="662"/>
      <c r="EE291" s="662"/>
      <c r="EF291" s="662"/>
      <c r="EG291" s="664"/>
      <c r="EH291" s="662"/>
      <c r="EI291" s="662"/>
      <c r="EJ291" s="516"/>
      <c r="FY291" s="517"/>
      <c r="FZ291" s="662"/>
      <c r="GA291" s="664"/>
      <c r="IK291" s="517"/>
      <c r="IL291" s="516"/>
      <c r="IO291" s="517"/>
      <c r="IP291" s="516"/>
    </row>
    <row r="292" spans="30:274" ht="4.1500000000000004" customHeight="1">
      <c r="AD292" s="516"/>
      <c r="AF292" s="515"/>
      <c r="AG292" s="667"/>
      <c r="AH292" s="667"/>
      <c r="AI292" s="667"/>
      <c r="AJ292" s="667"/>
      <c r="AK292" s="667"/>
      <c r="AL292" s="667"/>
      <c r="AM292" s="667"/>
      <c r="AN292" s="1583"/>
      <c r="AO292" s="667"/>
      <c r="AP292" s="667"/>
      <c r="AQ292" s="667"/>
      <c r="AR292" s="667"/>
      <c r="AS292" s="667"/>
      <c r="AT292" s="514"/>
      <c r="AU292" s="514"/>
      <c r="AV292" s="514"/>
      <c r="AW292" s="518"/>
      <c r="AX292" s="516"/>
      <c r="AZ292" s="516"/>
      <c r="BG292" s="2637"/>
      <c r="BH292" s="2637"/>
      <c r="BI292" s="2637"/>
      <c r="BJ292" s="2637"/>
      <c r="BK292" s="2637"/>
      <c r="BL292" s="2637"/>
      <c r="BM292" s="2637"/>
      <c r="BN292" s="2637"/>
      <c r="BO292" s="2637"/>
      <c r="BP292" s="2637"/>
      <c r="BQ292" s="2637"/>
      <c r="BR292" s="2637"/>
      <c r="BS292" s="2637"/>
      <c r="BT292" s="2637"/>
      <c r="BU292" s="2637"/>
      <c r="BV292" s="2637"/>
      <c r="BW292" s="2637"/>
      <c r="BX292" s="2637"/>
      <c r="BY292" s="2637"/>
      <c r="BZ292" s="2637"/>
      <c r="CA292" s="2637"/>
      <c r="CB292" s="2637"/>
      <c r="CC292" s="2637"/>
      <c r="CD292" s="2637"/>
      <c r="CE292" s="2637"/>
      <c r="CF292" s="2637"/>
      <c r="CG292" s="2637"/>
      <c r="CH292" s="2637"/>
      <c r="CO292" s="517"/>
      <c r="CR292" s="516"/>
      <c r="CW292" s="662"/>
      <c r="CX292" s="662"/>
      <c r="CY292" s="662"/>
      <c r="CZ292" s="664"/>
      <c r="DA292" s="663"/>
      <c r="DB292" s="1601"/>
      <c r="DC292" s="1601"/>
      <c r="DD292" s="1601"/>
      <c r="DE292" s="1601"/>
      <c r="DF292" s="662"/>
      <c r="DG292" s="662"/>
      <c r="DH292" s="662"/>
      <c r="DI292" s="662"/>
      <c r="DJ292" s="662"/>
      <c r="DK292" s="662"/>
      <c r="DL292" s="662"/>
      <c r="DM292" s="662"/>
      <c r="DN292" s="662"/>
      <c r="DO292" s="662"/>
      <c r="DP292" s="662"/>
      <c r="DQ292" s="662"/>
      <c r="DR292" s="662"/>
      <c r="DS292" s="662"/>
      <c r="DT292" s="662"/>
      <c r="DU292" s="662"/>
      <c r="DV292" s="662"/>
      <c r="DW292" s="662"/>
      <c r="DX292" s="664"/>
      <c r="DY292" s="516"/>
      <c r="ED292" s="662"/>
      <c r="EE292" s="662"/>
      <c r="EF292" s="662"/>
      <c r="EG292" s="664"/>
      <c r="EH292" s="662"/>
      <c r="EI292" s="662"/>
      <c r="EJ292" s="516"/>
      <c r="FY292" s="517"/>
      <c r="FZ292" s="662"/>
      <c r="GA292" s="664"/>
      <c r="HW292" s="532"/>
      <c r="HX292" s="532"/>
      <c r="HY292" s="532"/>
      <c r="HZ292" s="532"/>
      <c r="IA292" s="532"/>
      <c r="IB292" s="532"/>
      <c r="IC292" s="532"/>
      <c r="ID292" s="532"/>
      <c r="IE292" s="532"/>
      <c r="IF292" s="532"/>
      <c r="IG292" s="532"/>
      <c r="IH292" s="532"/>
      <c r="II292" s="532"/>
      <c r="IJ292" s="532"/>
      <c r="IK292" s="531"/>
      <c r="IL292" s="530"/>
      <c r="IM292" s="532"/>
      <c r="IN292" s="532"/>
      <c r="IO292" s="531"/>
      <c r="IP292" s="530"/>
      <c r="IQ292" s="532"/>
      <c r="IR292" s="532"/>
      <c r="IS292" s="532"/>
      <c r="IT292" s="532"/>
      <c r="IU292" s="532"/>
      <c r="IV292" s="532"/>
      <c r="IW292" s="532"/>
      <c r="IX292" s="532"/>
      <c r="IY292" s="532"/>
      <c r="IZ292" s="532"/>
      <c r="JA292" s="532"/>
      <c r="JB292" s="532"/>
      <c r="JC292" s="532"/>
      <c r="JD292" s="532"/>
    </row>
    <row r="293" spans="30:274" ht="4.1500000000000004" customHeight="1">
      <c r="AD293" s="516"/>
      <c r="AF293" s="530"/>
      <c r="AG293" s="532"/>
      <c r="AH293" s="532"/>
      <c r="AI293" s="532"/>
      <c r="AJ293" s="532"/>
      <c r="AK293" s="532"/>
      <c r="AL293" s="532"/>
      <c r="AM293" s="532"/>
      <c r="AN293" s="531"/>
      <c r="AO293" s="532"/>
      <c r="AP293" s="532"/>
      <c r="AQ293" s="532"/>
      <c r="AR293" s="532"/>
      <c r="AS293" s="532"/>
      <c r="AT293" s="532"/>
      <c r="AU293" s="532"/>
      <c r="AV293" s="532"/>
      <c r="AW293" s="531"/>
      <c r="AX293" s="516"/>
      <c r="AZ293" s="516"/>
      <c r="BG293" s="2637"/>
      <c r="BH293" s="2637"/>
      <c r="BI293" s="2637"/>
      <c r="BJ293" s="2637"/>
      <c r="BK293" s="2637"/>
      <c r="BL293" s="2637"/>
      <c r="BM293" s="2637"/>
      <c r="BN293" s="2637"/>
      <c r="BO293" s="2637"/>
      <c r="BP293" s="2637"/>
      <c r="BQ293" s="2637"/>
      <c r="BR293" s="2637"/>
      <c r="BS293" s="2637"/>
      <c r="BT293" s="2637"/>
      <c r="BU293" s="2637"/>
      <c r="BV293" s="2637"/>
      <c r="BW293" s="2637"/>
      <c r="BX293" s="2637"/>
      <c r="BY293" s="2637"/>
      <c r="BZ293" s="2637"/>
      <c r="CA293" s="2637"/>
      <c r="CB293" s="2637"/>
      <c r="CC293" s="2637"/>
      <c r="CD293" s="2637"/>
      <c r="CE293" s="2637"/>
      <c r="CF293" s="2637"/>
      <c r="CG293" s="2637"/>
      <c r="CH293" s="2637"/>
      <c r="CO293" s="517"/>
      <c r="CR293" s="516"/>
      <c r="CW293" s="662"/>
      <c r="CX293" s="662"/>
      <c r="CY293" s="662"/>
      <c r="CZ293" s="664"/>
      <c r="DA293" s="663"/>
      <c r="DB293" s="1601"/>
      <c r="DC293" s="1601"/>
      <c r="DD293" s="1601"/>
      <c r="DE293" s="1601"/>
      <c r="DF293" s="662"/>
      <c r="DG293" s="662"/>
      <c r="DH293" s="662"/>
      <c r="DI293" s="662"/>
      <c r="DJ293" s="662"/>
      <c r="DK293" s="662"/>
      <c r="DL293" s="662"/>
      <c r="DM293" s="662"/>
      <c r="DN293" s="662"/>
      <c r="DO293" s="662"/>
      <c r="DP293" s="662"/>
      <c r="DQ293" s="662"/>
      <c r="DR293" s="662"/>
      <c r="DS293" s="662"/>
      <c r="DT293" s="662"/>
      <c r="DU293" s="662"/>
      <c r="DV293" s="662"/>
      <c r="DW293" s="662"/>
      <c r="DX293" s="664"/>
      <c r="DY293" s="516"/>
      <c r="ED293" s="662"/>
      <c r="EE293" s="662"/>
      <c r="EF293" s="662"/>
      <c r="EG293" s="664"/>
      <c r="EH293" s="662"/>
      <c r="EI293" s="662"/>
      <c r="EJ293" s="516"/>
      <c r="FY293" s="517"/>
      <c r="FZ293" s="662"/>
      <c r="GA293" s="664"/>
      <c r="HQ293" s="514"/>
      <c r="HR293" s="514"/>
      <c r="HS293" s="515"/>
      <c r="HT293" s="514"/>
      <c r="HU293" s="514"/>
      <c r="HV293" s="514"/>
      <c r="HW293" s="514"/>
      <c r="IL293" s="516"/>
      <c r="IO293" s="517"/>
      <c r="JE293" s="514"/>
      <c r="JF293" s="514"/>
      <c r="JG293" s="514"/>
      <c r="JH293" s="514"/>
      <c r="JI293" s="515"/>
      <c r="JJ293" s="514"/>
      <c r="JK293" s="514"/>
      <c r="JL293" s="514"/>
      <c r="JM293" s="514"/>
      <c r="JN293" s="514"/>
    </row>
    <row r="294" spans="30:274" ht="4.1500000000000004" customHeight="1">
      <c r="AD294" s="516"/>
      <c r="AF294" s="515"/>
      <c r="AG294" s="667"/>
      <c r="AH294" s="667"/>
      <c r="AI294" s="667"/>
      <c r="AJ294" s="667"/>
      <c r="AK294" s="667"/>
      <c r="AL294" s="667"/>
      <c r="AM294" s="667"/>
      <c r="AN294" s="1583"/>
      <c r="AO294" s="667"/>
      <c r="AP294" s="667"/>
      <c r="AQ294" s="667"/>
      <c r="AR294" s="667"/>
      <c r="AS294" s="667"/>
      <c r="AT294" s="514"/>
      <c r="AU294" s="514"/>
      <c r="AV294" s="514"/>
      <c r="AW294" s="518"/>
      <c r="AX294" s="516"/>
      <c r="AZ294" s="516"/>
      <c r="BG294" s="2637"/>
      <c r="BH294" s="2637"/>
      <c r="BI294" s="2637"/>
      <c r="BJ294" s="2637"/>
      <c r="BK294" s="2637"/>
      <c r="BL294" s="2637"/>
      <c r="BM294" s="2637"/>
      <c r="BN294" s="2637"/>
      <c r="BO294" s="2637"/>
      <c r="BP294" s="2637"/>
      <c r="BQ294" s="2637"/>
      <c r="BR294" s="2637"/>
      <c r="BS294" s="2637"/>
      <c r="BT294" s="2637"/>
      <c r="BU294" s="2637"/>
      <c r="BV294" s="2637"/>
      <c r="BW294" s="2637"/>
      <c r="BX294" s="2637"/>
      <c r="BY294" s="2637"/>
      <c r="BZ294" s="2637"/>
      <c r="CA294" s="2637"/>
      <c r="CB294" s="2637"/>
      <c r="CC294" s="2637"/>
      <c r="CD294" s="2637"/>
      <c r="CE294" s="2637"/>
      <c r="CF294" s="2637"/>
      <c r="CG294" s="2637"/>
      <c r="CH294" s="2637"/>
      <c r="CO294" s="517"/>
      <c r="CR294" s="516"/>
      <c r="CW294" s="662"/>
      <c r="CX294" s="662"/>
      <c r="CY294" s="662"/>
      <c r="CZ294" s="664"/>
      <c r="DA294" s="663"/>
      <c r="DB294" s="1601"/>
      <c r="DC294" s="1601"/>
      <c r="DD294" s="1601"/>
      <c r="DE294" s="1601"/>
      <c r="DF294" s="662"/>
      <c r="DG294" s="662"/>
      <c r="DH294" s="662"/>
      <c r="DI294" s="662"/>
      <c r="DJ294" s="662"/>
      <c r="DK294" s="662"/>
      <c r="DL294" s="662"/>
      <c r="DM294" s="662"/>
      <c r="DN294" s="662"/>
      <c r="DO294" s="662"/>
      <c r="DP294" s="662"/>
      <c r="DQ294" s="662"/>
      <c r="DR294" s="662"/>
      <c r="DS294" s="662"/>
      <c r="DT294" s="662"/>
      <c r="DU294" s="662"/>
      <c r="DV294" s="662"/>
      <c r="DW294" s="662"/>
      <c r="DX294" s="664"/>
      <c r="DY294" s="516"/>
      <c r="ED294" s="662"/>
      <c r="EE294" s="662"/>
      <c r="EF294" s="662"/>
      <c r="EG294" s="664"/>
      <c r="EH294" s="662"/>
      <c r="EI294" s="662"/>
      <c r="EJ294" s="516"/>
      <c r="EQ294" s="2637" t="s">
        <v>3608</v>
      </c>
      <c r="ER294" s="2637"/>
      <c r="ES294" s="2637"/>
      <c r="ET294" s="2637"/>
      <c r="EU294" s="2637"/>
      <c r="EV294" s="2637"/>
      <c r="EW294" s="2637"/>
      <c r="EX294" s="2637"/>
      <c r="EY294" s="2637"/>
      <c r="EZ294" s="2637"/>
      <c r="FA294" s="2637"/>
      <c r="FB294" s="2637"/>
      <c r="FC294" s="2637"/>
      <c r="FD294" s="2637"/>
      <c r="FE294" s="2637"/>
      <c r="FF294" s="2637"/>
      <c r="FG294" s="2637"/>
      <c r="FH294" s="2637"/>
      <c r="FI294" s="2637"/>
      <c r="FJ294" s="2637"/>
      <c r="FK294" s="2637"/>
      <c r="FL294" s="2637"/>
      <c r="FM294" s="2637"/>
      <c r="FN294" s="2637"/>
      <c r="FO294" s="2637"/>
      <c r="FP294" s="2637"/>
      <c r="FQ294" s="2637"/>
      <c r="FR294" s="2637"/>
      <c r="FY294" s="517"/>
      <c r="FZ294" s="662"/>
      <c r="GA294" s="664"/>
      <c r="HS294" s="516"/>
      <c r="IL294" s="2629">
        <v>0.25</v>
      </c>
      <c r="IM294" s="2630"/>
      <c r="IN294" s="2630"/>
      <c r="IO294" s="2631"/>
      <c r="JI294" s="516"/>
    </row>
    <row r="295" spans="30:274" ht="4.1500000000000004" customHeight="1">
      <c r="AD295" s="516"/>
      <c r="AF295" s="530"/>
      <c r="AG295" s="532"/>
      <c r="AH295" s="532"/>
      <c r="AI295" s="532"/>
      <c r="AJ295" s="532"/>
      <c r="AK295" s="532"/>
      <c r="AL295" s="532"/>
      <c r="AM295" s="532"/>
      <c r="AN295" s="531"/>
      <c r="AO295" s="532"/>
      <c r="AP295" s="532"/>
      <c r="AQ295" s="532"/>
      <c r="AR295" s="532"/>
      <c r="AS295" s="532"/>
      <c r="AT295" s="532"/>
      <c r="AU295" s="532"/>
      <c r="AV295" s="532"/>
      <c r="AW295" s="531"/>
      <c r="AX295" s="516"/>
      <c r="AZ295" s="516"/>
      <c r="BG295" s="2636">
        <v>7</v>
      </c>
      <c r="BH295" s="2636"/>
      <c r="BI295" s="2636"/>
      <c r="BJ295" s="2636"/>
      <c r="BK295" s="2636"/>
      <c r="BL295" s="2636"/>
      <c r="BM295" s="2636"/>
      <c r="BN295" s="2636"/>
      <c r="BO295" s="2636"/>
      <c r="BP295" s="2636"/>
      <c r="BQ295" s="2636"/>
      <c r="BR295" s="2636"/>
      <c r="BS295" s="2636" t="s">
        <v>901</v>
      </c>
      <c r="BT295" s="2636"/>
      <c r="BU295" s="2636"/>
      <c r="BV295" s="2636"/>
      <c r="BW295" s="2636">
        <v>7</v>
      </c>
      <c r="BX295" s="2636"/>
      <c r="BY295" s="2636"/>
      <c r="BZ295" s="2636"/>
      <c r="CA295" s="2636"/>
      <c r="CB295" s="2636"/>
      <c r="CC295" s="2636"/>
      <c r="CD295" s="2636"/>
      <c r="CE295" s="2636"/>
      <c r="CF295" s="2636"/>
      <c r="CG295" s="2636"/>
      <c r="CH295" s="2636"/>
      <c r="CO295" s="517"/>
      <c r="CR295" s="516"/>
      <c r="CW295" s="662"/>
      <c r="CX295" s="662"/>
      <c r="CY295" s="662"/>
      <c r="CZ295" s="664"/>
      <c r="DA295" s="663"/>
      <c r="DB295" s="1601"/>
      <c r="DC295" s="1601"/>
      <c r="DD295" s="1601"/>
      <c r="DE295" s="1601"/>
      <c r="DF295" s="662"/>
      <c r="DG295" s="662"/>
      <c r="DH295" s="662"/>
      <c r="DI295" s="662"/>
      <c r="DJ295" s="662"/>
      <c r="DK295" s="662"/>
      <c r="DL295" s="662"/>
      <c r="DM295" s="662"/>
      <c r="DN295" s="662"/>
      <c r="DO295" s="662"/>
      <c r="DP295" s="662"/>
      <c r="DQ295" s="662"/>
      <c r="DR295" s="662"/>
      <c r="DS295" s="662"/>
      <c r="DT295" s="662"/>
      <c r="DU295" s="662"/>
      <c r="DV295" s="662"/>
      <c r="DW295" s="662"/>
      <c r="DX295" s="664"/>
      <c r="DY295" s="516"/>
      <c r="ED295" s="662"/>
      <c r="EE295" s="662"/>
      <c r="EF295" s="662"/>
      <c r="EG295" s="664"/>
      <c r="EH295" s="662"/>
      <c r="EI295" s="662"/>
      <c r="EJ295" s="516"/>
      <c r="EQ295" s="2637"/>
      <c r="ER295" s="2637"/>
      <c r="ES295" s="2637"/>
      <c r="ET295" s="2637"/>
      <c r="EU295" s="2637"/>
      <c r="EV295" s="2637"/>
      <c r="EW295" s="2637"/>
      <c r="EX295" s="2637"/>
      <c r="EY295" s="2637"/>
      <c r="EZ295" s="2637"/>
      <c r="FA295" s="2637"/>
      <c r="FB295" s="2637"/>
      <c r="FC295" s="2637"/>
      <c r="FD295" s="2637"/>
      <c r="FE295" s="2637"/>
      <c r="FF295" s="2637"/>
      <c r="FG295" s="2637"/>
      <c r="FH295" s="2637"/>
      <c r="FI295" s="2637"/>
      <c r="FJ295" s="2637"/>
      <c r="FK295" s="2637"/>
      <c r="FL295" s="2637"/>
      <c r="FM295" s="2637"/>
      <c r="FN295" s="2637"/>
      <c r="FO295" s="2637"/>
      <c r="FP295" s="2637"/>
      <c r="FQ295" s="2637"/>
      <c r="FR295" s="2637"/>
      <c r="FY295" s="517"/>
      <c r="FZ295" s="662"/>
      <c r="GA295" s="664"/>
      <c r="HS295" s="516"/>
      <c r="IL295" s="2629"/>
      <c r="IM295" s="2630"/>
      <c r="IN295" s="2630"/>
      <c r="IO295" s="2631"/>
      <c r="JD295" s="2638">
        <v>0.3</v>
      </c>
      <c r="JE295" s="2638"/>
      <c r="JF295" s="2638"/>
      <c r="JG295" s="2638"/>
      <c r="JH295" s="2638"/>
      <c r="JI295" s="2638"/>
      <c r="JJ295" s="2638"/>
      <c r="JK295" s="2638"/>
      <c r="JL295" s="2638"/>
      <c r="JM295" s="2638"/>
      <c r="JN295" s="2638"/>
    </row>
    <row r="296" spans="30:274" ht="4.1500000000000004" customHeight="1">
      <c r="AD296" s="516"/>
      <c r="AF296" s="515"/>
      <c r="AG296" s="667"/>
      <c r="AH296" s="667"/>
      <c r="AI296" s="667"/>
      <c r="AJ296" s="667"/>
      <c r="AK296" s="667"/>
      <c r="AL296" s="667"/>
      <c r="AM296" s="667"/>
      <c r="AN296" s="1583"/>
      <c r="AO296" s="667"/>
      <c r="AP296" s="667"/>
      <c r="AQ296" s="667"/>
      <c r="AR296" s="667"/>
      <c r="AS296" s="667"/>
      <c r="AT296" s="514"/>
      <c r="AU296" s="514"/>
      <c r="AV296" s="514"/>
      <c r="AW296" s="518"/>
      <c r="AX296" s="516"/>
      <c r="AZ296" s="516"/>
      <c r="BG296" s="2636"/>
      <c r="BH296" s="2636"/>
      <c r="BI296" s="2636"/>
      <c r="BJ296" s="2636"/>
      <c r="BK296" s="2636"/>
      <c r="BL296" s="2636"/>
      <c r="BM296" s="2636"/>
      <c r="BN296" s="2636"/>
      <c r="BO296" s="2636"/>
      <c r="BP296" s="2636"/>
      <c r="BQ296" s="2636"/>
      <c r="BR296" s="2636"/>
      <c r="BS296" s="2636"/>
      <c r="BT296" s="2636"/>
      <c r="BU296" s="2636"/>
      <c r="BV296" s="2636"/>
      <c r="BW296" s="2636"/>
      <c r="BX296" s="2636"/>
      <c r="BY296" s="2636"/>
      <c r="BZ296" s="2636"/>
      <c r="CA296" s="2636"/>
      <c r="CB296" s="2636"/>
      <c r="CC296" s="2636"/>
      <c r="CD296" s="2636"/>
      <c r="CE296" s="2636"/>
      <c r="CF296" s="2636"/>
      <c r="CG296" s="2636"/>
      <c r="CH296" s="2636"/>
      <c r="CO296" s="517"/>
      <c r="CR296" s="516"/>
      <c r="CW296" s="662"/>
      <c r="CX296" s="662"/>
      <c r="CY296" s="662"/>
      <c r="CZ296" s="664"/>
      <c r="DA296" s="663"/>
      <c r="DB296" s="1601"/>
      <c r="DC296" s="1601"/>
      <c r="DD296" s="1601"/>
      <c r="DE296" s="1601"/>
      <c r="DF296" s="662"/>
      <c r="DG296" s="662"/>
      <c r="DH296" s="662"/>
      <c r="DI296" s="662"/>
      <c r="DJ296" s="662"/>
      <c r="DK296" s="662"/>
      <c r="DL296" s="662"/>
      <c r="DM296" s="662"/>
      <c r="DN296" s="662"/>
      <c r="DO296" s="662"/>
      <c r="DP296" s="662"/>
      <c r="DQ296" s="662"/>
      <c r="DR296" s="662"/>
      <c r="DS296" s="662"/>
      <c r="DT296" s="662"/>
      <c r="DU296" s="662"/>
      <c r="DV296" s="662"/>
      <c r="DW296" s="662"/>
      <c r="DX296" s="664"/>
      <c r="DY296" s="516"/>
      <c r="ED296" s="662"/>
      <c r="EE296" s="662"/>
      <c r="EF296" s="662"/>
      <c r="EG296" s="664"/>
      <c r="EH296" s="662"/>
      <c r="EI296" s="662"/>
      <c r="EJ296" s="516"/>
      <c r="EQ296" s="2637"/>
      <c r="ER296" s="2637"/>
      <c r="ES296" s="2637"/>
      <c r="ET296" s="2637"/>
      <c r="EU296" s="2637"/>
      <c r="EV296" s="2637"/>
      <c r="EW296" s="2637"/>
      <c r="EX296" s="2637"/>
      <c r="EY296" s="2637"/>
      <c r="EZ296" s="2637"/>
      <c r="FA296" s="2637"/>
      <c r="FB296" s="2637"/>
      <c r="FC296" s="2637"/>
      <c r="FD296" s="2637"/>
      <c r="FE296" s="2637"/>
      <c r="FF296" s="2637"/>
      <c r="FG296" s="2637"/>
      <c r="FH296" s="2637"/>
      <c r="FI296" s="2637"/>
      <c r="FJ296" s="2637"/>
      <c r="FK296" s="2637"/>
      <c r="FL296" s="2637"/>
      <c r="FM296" s="2637"/>
      <c r="FN296" s="2637"/>
      <c r="FO296" s="2637"/>
      <c r="FP296" s="2637"/>
      <c r="FQ296" s="2637"/>
      <c r="FR296" s="2637"/>
      <c r="FY296" s="517"/>
      <c r="FZ296" s="662"/>
      <c r="GA296" s="664"/>
      <c r="HS296" s="516"/>
      <c r="IL296" s="2629"/>
      <c r="IM296" s="2630"/>
      <c r="IN296" s="2630"/>
      <c r="IO296" s="2631"/>
      <c r="JD296" s="2638"/>
      <c r="JE296" s="2638"/>
      <c r="JF296" s="2638"/>
      <c r="JG296" s="2638"/>
      <c r="JH296" s="2638"/>
      <c r="JI296" s="2638"/>
      <c r="JJ296" s="2638"/>
      <c r="JK296" s="2638"/>
      <c r="JL296" s="2638"/>
      <c r="JM296" s="2638"/>
      <c r="JN296" s="2638"/>
    </row>
    <row r="297" spans="30:274" ht="4.1500000000000004" customHeight="1">
      <c r="AD297" s="516"/>
      <c r="AF297" s="530"/>
      <c r="AG297" s="532"/>
      <c r="AH297" s="532"/>
      <c r="AI297" s="532"/>
      <c r="AJ297" s="532"/>
      <c r="AK297" s="532"/>
      <c r="AL297" s="532"/>
      <c r="AM297" s="532"/>
      <c r="AN297" s="531"/>
      <c r="AO297" s="532"/>
      <c r="AP297" s="532"/>
      <c r="AQ297" s="532"/>
      <c r="AR297" s="532"/>
      <c r="AS297" s="532"/>
      <c r="AT297" s="532"/>
      <c r="AU297" s="532"/>
      <c r="AV297" s="532"/>
      <c r="AW297" s="531"/>
      <c r="AX297" s="516"/>
      <c r="AZ297" s="516"/>
      <c r="BG297" s="2636"/>
      <c r="BH297" s="2636"/>
      <c r="BI297" s="2636"/>
      <c r="BJ297" s="2636"/>
      <c r="BK297" s="2636"/>
      <c r="BL297" s="2636"/>
      <c r="BM297" s="2636"/>
      <c r="BN297" s="2636"/>
      <c r="BO297" s="2636"/>
      <c r="BP297" s="2636"/>
      <c r="BQ297" s="2636"/>
      <c r="BR297" s="2636"/>
      <c r="BS297" s="2636"/>
      <c r="BT297" s="2636"/>
      <c r="BU297" s="2636"/>
      <c r="BV297" s="2636"/>
      <c r="BW297" s="2636"/>
      <c r="BX297" s="2636"/>
      <c r="BY297" s="2636"/>
      <c r="BZ297" s="2636"/>
      <c r="CA297" s="2636"/>
      <c r="CB297" s="2636"/>
      <c r="CC297" s="2636"/>
      <c r="CD297" s="2636"/>
      <c r="CE297" s="2636"/>
      <c r="CF297" s="2636"/>
      <c r="CG297" s="2636"/>
      <c r="CH297" s="2636"/>
      <c r="CO297" s="517"/>
      <c r="CR297" s="516"/>
      <c r="CW297" s="662"/>
      <c r="CX297" s="662"/>
      <c r="CY297" s="662"/>
      <c r="CZ297" s="664"/>
      <c r="DA297" s="663"/>
      <c r="DB297" s="1601"/>
      <c r="DC297" s="1601"/>
      <c r="DD297" s="1601"/>
      <c r="DE297" s="1601"/>
      <c r="DF297" s="662"/>
      <c r="DG297" s="662"/>
      <c r="DH297" s="662"/>
      <c r="DI297" s="662"/>
      <c r="DJ297" s="662"/>
      <c r="DK297" s="662"/>
      <c r="DL297" s="662"/>
      <c r="DM297" s="662"/>
      <c r="DN297" s="662"/>
      <c r="DO297" s="662"/>
      <c r="DP297" s="662"/>
      <c r="DQ297" s="662"/>
      <c r="DR297" s="662"/>
      <c r="DS297" s="662"/>
      <c r="DT297" s="662"/>
      <c r="DU297" s="662"/>
      <c r="DV297" s="662"/>
      <c r="DW297" s="662"/>
      <c r="DX297" s="664"/>
      <c r="DY297" s="516"/>
      <c r="ED297" s="662"/>
      <c r="EE297" s="662"/>
      <c r="EF297" s="662"/>
      <c r="EG297" s="664"/>
      <c r="EH297" s="662"/>
      <c r="EI297" s="662"/>
      <c r="EJ297" s="516"/>
      <c r="EQ297" s="2637"/>
      <c r="ER297" s="2637"/>
      <c r="ES297" s="2637"/>
      <c r="ET297" s="2637"/>
      <c r="EU297" s="2637"/>
      <c r="EV297" s="2637"/>
      <c r="EW297" s="2637"/>
      <c r="EX297" s="2637"/>
      <c r="EY297" s="2637"/>
      <c r="EZ297" s="2637"/>
      <c r="FA297" s="2637"/>
      <c r="FB297" s="2637"/>
      <c r="FC297" s="2637"/>
      <c r="FD297" s="2637"/>
      <c r="FE297" s="2637"/>
      <c r="FF297" s="2637"/>
      <c r="FG297" s="2637"/>
      <c r="FH297" s="2637"/>
      <c r="FI297" s="2637"/>
      <c r="FJ297" s="2637"/>
      <c r="FK297" s="2637"/>
      <c r="FL297" s="2637"/>
      <c r="FM297" s="2637"/>
      <c r="FN297" s="2637"/>
      <c r="FO297" s="2637"/>
      <c r="FP297" s="2637"/>
      <c r="FQ297" s="2637"/>
      <c r="FR297" s="2637"/>
      <c r="FY297" s="517"/>
      <c r="FZ297" s="662"/>
      <c r="GA297" s="664"/>
      <c r="HS297" s="516"/>
      <c r="IL297" s="2629"/>
      <c r="IM297" s="2630"/>
      <c r="IN297" s="2630"/>
      <c r="IO297" s="2631"/>
      <c r="JD297" s="2638"/>
      <c r="JE297" s="2638"/>
      <c r="JF297" s="2638"/>
      <c r="JG297" s="2638"/>
      <c r="JH297" s="2638"/>
      <c r="JI297" s="2638"/>
      <c r="JJ297" s="2638"/>
      <c r="JK297" s="2638"/>
      <c r="JL297" s="2638"/>
      <c r="JM297" s="2638"/>
      <c r="JN297" s="2638"/>
    </row>
    <row r="298" spans="30:274" ht="4.1500000000000004" customHeight="1">
      <c r="AD298" s="516"/>
      <c r="AF298" s="515"/>
      <c r="AG298" s="667"/>
      <c r="AH298" s="667"/>
      <c r="AI298" s="667"/>
      <c r="AJ298" s="667"/>
      <c r="AK298" s="667"/>
      <c r="AL298" s="667"/>
      <c r="AM298" s="667"/>
      <c r="AN298" s="1583"/>
      <c r="AO298" s="667"/>
      <c r="AP298" s="667"/>
      <c r="AQ298" s="667"/>
      <c r="AR298" s="667"/>
      <c r="AS298" s="667"/>
      <c r="AT298" s="514"/>
      <c r="AU298" s="514"/>
      <c r="AV298" s="514"/>
      <c r="AW298" s="518"/>
      <c r="AX298" s="519"/>
      <c r="AY298" s="521"/>
      <c r="AZ298" s="516"/>
      <c r="BG298" s="2636"/>
      <c r="BH298" s="2636"/>
      <c r="BI298" s="2636"/>
      <c r="BJ298" s="2636"/>
      <c r="BK298" s="2636"/>
      <c r="BL298" s="2636"/>
      <c r="BM298" s="2636"/>
      <c r="BN298" s="2636"/>
      <c r="BO298" s="2636"/>
      <c r="BP298" s="2636"/>
      <c r="BQ298" s="2636"/>
      <c r="BR298" s="2636"/>
      <c r="BS298" s="2636"/>
      <c r="BT298" s="2636"/>
      <c r="BU298" s="2636"/>
      <c r="BV298" s="2636"/>
      <c r="BW298" s="2636"/>
      <c r="BX298" s="2636"/>
      <c r="BY298" s="2636"/>
      <c r="BZ298" s="2636"/>
      <c r="CA298" s="2636"/>
      <c r="CB298" s="2636"/>
      <c r="CC298" s="2636"/>
      <c r="CD298" s="2636"/>
      <c r="CE298" s="2636"/>
      <c r="CF298" s="2636"/>
      <c r="CG298" s="2636"/>
      <c r="CH298" s="2636"/>
      <c r="CO298" s="517"/>
      <c r="CP298" s="519"/>
      <c r="CQ298" s="521"/>
      <c r="CR298" s="516"/>
      <c r="CW298" s="662"/>
      <c r="CX298" s="662"/>
      <c r="CY298" s="662"/>
      <c r="CZ298" s="664"/>
      <c r="DA298" s="663"/>
      <c r="DB298" s="1601"/>
      <c r="DC298" s="1601"/>
      <c r="DD298" s="1601"/>
      <c r="DE298" s="1601"/>
      <c r="DF298" s="662"/>
      <c r="DG298" s="662"/>
      <c r="DH298" s="662"/>
      <c r="DI298" s="662"/>
      <c r="DJ298" s="662"/>
      <c r="DK298" s="662"/>
      <c r="DL298" s="662"/>
      <c r="DM298" s="662"/>
      <c r="DN298" s="662"/>
      <c r="DO298" s="662"/>
      <c r="DP298" s="662"/>
      <c r="DQ298" s="662"/>
      <c r="DR298" s="662"/>
      <c r="DS298" s="662"/>
      <c r="DT298" s="662"/>
      <c r="DU298" s="662"/>
      <c r="DV298" s="662"/>
      <c r="DW298" s="662"/>
      <c r="DX298" s="664"/>
      <c r="DY298" s="516"/>
      <c r="ED298" s="662"/>
      <c r="EE298" s="662"/>
      <c r="EF298" s="662"/>
      <c r="EG298" s="664"/>
      <c r="EH298" s="519"/>
      <c r="EI298" s="521"/>
      <c r="EJ298" s="516"/>
      <c r="EQ298" s="2636">
        <v>7</v>
      </c>
      <c r="ER298" s="2636"/>
      <c r="ES298" s="2636"/>
      <c r="ET298" s="2636"/>
      <c r="EU298" s="2636"/>
      <c r="EV298" s="2636"/>
      <c r="EW298" s="2636"/>
      <c r="EX298" s="2636"/>
      <c r="EY298" s="2636"/>
      <c r="EZ298" s="2636"/>
      <c r="FA298" s="2636"/>
      <c r="FB298" s="2636"/>
      <c r="FC298" s="2636" t="s">
        <v>901</v>
      </c>
      <c r="FD298" s="2636"/>
      <c r="FE298" s="2636"/>
      <c r="FF298" s="2636"/>
      <c r="FG298" s="2636">
        <v>7</v>
      </c>
      <c r="FH298" s="2636"/>
      <c r="FI298" s="2636"/>
      <c r="FJ298" s="2636"/>
      <c r="FK298" s="2636"/>
      <c r="FL298" s="2636"/>
      <c r="FM298" s="2636"/>
      <c r="FN298" s="2636"/>
      <c r="FO298" s="2636"/>
      <c r="FP298" s="2636"/>
      <c r="FQ298" s="2636"/>
      <c r="FR298" s="2636"/>
      <c r="FY298" s="517"/>
      <c r="FZ298" s="519"/>
      <c r="GA298" s="521"/>
      <c r="HS298" s="516"/>
      <c r="IL298" s="2629"/>
      <c r="IM298" s="2630"/>
      <c r="IN298" s="2630"/>
      <c r="IO298" s="2631"/>
      <c r="JI298" s="516"/>
    </row>
    <row r="299" spans="30:274" ht="4.1500000000000004" customHeight="1">
      <c r="AD299" s="516"/>
      <c r="AF299" s="530"/>
      <c r="AG299" s="532"/>
      <c r="AH299" s="532"/>
      <c r="AI299" s="532"/>
      <c r="AJ299" s="532"/>
      <c r="AK299" s="532"/>
      <c r="AL299" s="532"/>
      <c r="AM299" s="532"/>
      <c r="AN299" s="531"/>
      <c r="AO299" s="532"/>
      <c r="AP299" s="532"/>
      <c r="AQ299" s="532"/>
      <c r="AR299" s="532"/>
      <c r="AS299" s="532"/>
      <c r="AT299" s="532"/>
      <c r="AU299" s="532"/>
      <c r="AV299" s="532"/>
      <c r="AW299" s="531"/>
      <c r="AX299" s="527"/>
      <c r="AY299" s="529"/>
      <c r="AZ299" s="516"/>
      <c r="CO299" s="517"/>
      <c r="CP299" s="527"/>
      <c r="CQ299" s="529"/>
      <c r="CR299" s="516"/>
      <c r="CW299" s="662"/>
      <c r="CX299" s="662"/>
      <c r="CY299" s="662"/>
      <c r="CZ299" s="664"/>
      <c r="DA299" s="663"/>
      <c r="DB299" s="1601"/>
      <c r="DC299" s="1601"/>
      <c r="DD299" s="1601"/>
      <c r="DE299" s="1601"/>
      <c r="DF299" s="662"/>
      <c r="DG299" s="662"/>
      <c r="DH299" s="662"/>
      <c r="DI299" s="662"/>
      <c r="DJ299" s="662"/>
      <c r="DK299" s="662"/>
      <c r="DL299" s="662"/>
      <c r="DM299" s="662"/>
      <c r="DN299" s="662"/>
      <c r="DO299" s="662"/>
      <c r="DP299" s="662"/>
      <c r="DQ299" s="662"/>
      <c r="DR299" s="662"/>
      <c r="DS299" s="662"/>
      <c r="DT299" s="662"/>
      <c r="DU299" s="662"/>
      <c r="DV299" s="662"/>
      <c r="DW299" s="662"/>
      <c r="DX299" s="664"/>
      <c r="DY299" s="516"/>
      <c r="ED299" s="662"/>
      <c r="EE299" s="662"/>
      <c r="EF299" s="662"/>
      <c r="EG299" s="664"/>
      <c r="EH299" s="527"/>
      <c r="EI299" s="529"/>
      <c r="EJ299" s="516"/>
      <c r="EQ299" s="2636"/>
      <c r="ER299" s="2636"/>
      <c r="ES299" s="2636"/>
      <c r="ET299" s="2636"/>
      <c r="EU299" s="2636"/>
      <c r="EV299" s="2636"/>
      <c r="EW299" s="2636"/>
      <c r="EX299" s="2636"/>
      <c r="EY299" s="2636"/>
      <c r="EZ299" s="2636"/>
      <c r="FA299" s="2636"/>
      <c r="FB299" s="2636"/>
      <c r="FC299" s="2636"/>
      <c r="FD299" s="2636"/>
      <c r="FE299" s="2636"/>
      <c r="FF299" s="2636"/>
      <c r="FG299" s="2636"/>
      <c r="FH299" s="2636"/>
      <c r="FI299" s="2636"/>
      <c r="FJ299" s="2636"/>
      <c r="FK299" s="2636"/>
      <c r="FL299" s="2636"/>
      <c r="FM299" s="2636"/>
      <c r="FN299" s="2636"/>
      <c r="FO299" s="2636"/>
      <c r="FP299" s="2636"/>
      <c r="FQ299" s="2636"/>
      <c r="FR299" s="2636"/>
      <c r="FY299" s="517"/>
      <c r="FZ299" s="527"/>
      <c r="GA299" s="529"/>
      <c r="HS299" s="516"/>
      <c r="IL299" s="2632"/>
      <c r="IM299" s="2633"/>
      <c r="IN299" s="2633"/>
      <c r="IO299" s="2634"/>
      <c r="JI299" s="516"/>
    </row>
    <row r="300" spans="30:274" ht="4.1500000000000004" customHeight="1">
      <c r="AD300" s="516"/>
      <c r="AF300" s="516"/>
      <c r="AW300" s="517"/>
      <c r="AX300" s="516"/>
      <c r="AZ300" s="516"/>
      <c r="CO300" s="517"/>
      <c r="CR300" s="516"/>
      <c r="CW300" s="662"/>
      <c r="CX300" s="662"/>
      <c r="CY300" s="662"/>
      <c r="CZ300" s="664"/>
      <c r="DA300" s="663"/>
      <c r="DB300" s="1601"/>
      <c r="DC300" s="1601"/>
      <c r="DD300" s="1601"/>
      <c r="DE300" s="1601"/>
      <c r="DF300" s="662"/>
      <c r="DG300" s="662"/>
      <c r="DH300" s="662"/>
      <c r="DI300" s="662"/>
      <c r="DJ300" s="662"/>
      <c r="DK300" s="662"/>
      <c r="DL300" s="662"/>
      <c r="DM300" s="662"/>
      <c r="DN300" s="662"/>
      <c r="DO300" s="662"/>
      <c r="DP300" s="662"/>
      <c r="DQ300" s="662"/>
      <c r="DR300" s="662"/>
      <c r="DS300" s="662"/>
      <c r="DT300" s="662"/>
      <c r="DU300" s="662"/>
      <c r="DV300" s="662"/>
      <c r="DW300" s="662"/>
      <c r="DX300" s="664"/>
      <c r="DY300" s="516"/>
      <c r="ED300" s="662"/>
      <c r="EE300" s="662"/>
      <c r="EF300" s="662"/>
      <c r="EG300" s="664"/>
      <c r="EH300" s="662"/>
      <c r="EI300" s="662"/>
      <c r="EJ300" s="516"/>
      <c r="EQ300" s="2636"/>
      <c r="ER300" s="2636"/>
      <c r="ES300" s="2636"/>
      <c r="ET300" s="2636"/>
      <c r="EU300" s="2636"/>
      <c r="EV300" s="2636"/>
      <c r="EW300" s="2636"/>
      <c r="EX300" s="2636"/>
      <c r="EY300" s="2636"/>
      <c r="EZ300" s="2636"/>
      <c r="FA300" s="2636"/>
      <c r="FB300" s="2636"/>
      <c r="FC300" s="2636"/>
      <c r="FD300" s="2636"/>
      <c r="FE300" s="2636"/>
      <c r="FF300" s="2636"/>
      <c r="FG300" s="2636"/>
      <c r="FH300" s="2636"/>
      <c r="FI300" s="2636"/>
      <c r="FJ300" s="2636"/>
      <c r="FK300" s="2636"/>
      <c r="FL300" s="2636"/>
      <c r="FM300" s="2636"/>
      <c r="FN300" s="2636"/>
      <c r="FO300" s="2636"/>
      <c r="FP300" s="2636"/>
      <c r="FQ300" s="2636"/>
      <c r="FR300" s="2636"/>
      <c r="FY300" s="517"/>
      <c r="FZ300" s="662"/>
      <c r="GA300" s="664"/>
      <c r="HS300" s="516"/>
      <c r="HZ300" s="2619"/>
      <c r="IA300" s="2619"/>
      <c r="IB300" s="2619"/>
      <c r="IC300" s="2619"/>
      <c r="ID300" s="2619"/>
      <c r="IE300" s="2619"/>
      <c r="IF300" s="2619"/>
      <c r="IG300" s="2619"/>
      <c r="IH300" s="2619"/>
      <c r="II300" s="2619"/>
      <c r="IJ300" s="2619"/>
      <c r="IK300" s="2643">
        <v>0.3</v>
      </c>
      <c r="IL300" s="2643"/>
      <c r="IM300" s="2643"/>
      <c r="IN300" s="2643"/>
      <c r="IO300" s="2643"/>
      <c r="IP300" s="2643"/>
      <c r="IQ300" s="2644"/>
      <c r="IR300" s="2644"/>
      <c r="IS300" s="2644"/>
      <c r="IT300" s="2644"/>
      <c r="IU300" s="2644"/>
      <c r="IV300" s="2644"/>
      <c r="IW300" s="2644"/>
      <c r="IX300" s="2644"/>
      <c r="IY300" s="2644"/>
      <c r="IZ300" s="2644"/>
      <c r="JA300" s="2644"/>
      <c r="JD300" s="514"/>
      <c r="JE300" s="514"/>
      <c r="JF300" s="514"/>
      <c r="JG300" s="514"/>
      <c r="JH300" s="514"/>
      <c r="JI300" s="515"/>
      <c r="JJ300" s="514"/>
      <c r="JK300" s="514"/>
      <c r="JL300" s="514"/>
      <c r="JM300" s="514"/>
      <c r="JN300" s="514"/>
    </row>
    <row r="301" spans="30:274" ht="4.1500000000000004" customHeight="1">
      <c r="AD301" s="516"/>
      <c r="AF301" s="516"/>
      <c r="AW301" s="517"/>
      <c r="AX301" s="516"/>
      <c r="AZ301" s="516"/>
      <c r="CO301" s="517"/>
      <c r="CR301" s="516"/>
      <c r="CW301" s="662"/>
      <c r="CX301" s="662"/>
      <c r="CY301" s="662"/>
      <c r="CZ301" s="664"/>
      <c r="DA301" s="663"/>
      <c r="DF301" s="662"/>
      <c r="DG301" s="662"/>
      <c r="DH301" s="662"/>
      <c r="DI301" s="662"/>
      <c r="DJ301" s="662"/>
      <c r="DK301" s="662"/>
      <c r="DL301" s="662"/>
      <c r="DM301" s="662"/>
      <c r="DN301" s="662"/>
      <c r="DO301" s="662"/>
      <c r="DP301" s="662"/>
      <c r="DQ301" s="662"/>
      <c r="DR301" s="662"/>
      <c r="DS301" s="662"/>
      <c r="DT301" s="662"/>
      <c r="DU301" s="662"/>
      <c r="DV301" s="662"/>
      <c r="DW301" s="662"/>
      <c r="DX301" s="664"/>
      <c r="DY301" s="516"/>
      <c r="ED301" s="662"/>
      <c r="EE301" s="662"/>
      <c r="EF301" s="662"/>
      <c r="EG301" s="664"/>
      <c r="EH301" s="662"/>
      <c r="EI301" s="662"/>
      <c r="EJ301" s="516"/>
      <c r="EQ301" s="2636"/>
      <c r="ER301" s="2636"/>
      <c r="ES301" s="2636"/>
      <c r="ET301" s="2636"/>
      <c r="EU301" s="2636"/>
      <c r="EV301" s="2636"/>
      <c r="EW301" s="2636"/>
      <c r="EX301" s="2636"/>
      <c r="EY301" s="2636"/>
      <c r="EZ301" s="2636"/>
      <c r="FA301" s="2636"/>
      <c r="FB301" s="2636"/>
      <c r="FC301" s="2636"/>
      <c r="FD301" s="2636"/>
      <c r="FE301" s="2636"/>
      <c r="FF301" s="2636"/>
      <c r="FG301" s="2636"/>
      <c r="FH301" s="2636"/>
      <c r="FI301" s="2636"/>
      <c r="FJ301" s="2636"/>
      <c r="FK301" s="2636"/>
      <c r="FL301" s="2636"/>
      <c r="FM301" s="2636"/>
      <c r="FN301" s="2636"/>
      <c r="FO301" s="2636"/>
      <c r="FP301" s="2636"/>
      <c r="FQ301" s="2636"/>
      <c r="FR301" s="2636"/>
      <c r="FY301" s="517"/>
      <c r="FZ301" s="662"/>
      <c r="GA301" s="664"/>
      <c r="HS301" s="516"/>
      <c r="HZ301" s="2619"/>
      <c r="IA301" s="2619"/>
      <c r="IB301" s="2619"/>
      <c r="IC301" s="2619"/>
      <c r="ID301" s="2619"/>
      <c r="IE301" s="2619"/>
      <c r="IF301" s="2619"/>
      <c r="IG301" s="2619"/>
      <c r="IH301" s="2619"/>
      <c r="II301" s="2619"/>
      <c r="IJ301" s="2619"/>
      <c r="IK301" s="2600"/>
      <c r="IL301" s="2600"/>
      <c r="IM301" s="2600"/>
      <c r="IN301" s="2600"/>
      <c r="IO301" s="2600"/>
      <c r="IP301" s="2600"/>
      <c r="IQ301" s="2644"/>
      <c r="IR301" s="2644"/>
      <c r="IS301" s="2644"/>
      <c r="IT301" s="2644"/>
      <c r="IU301" s="2644"/>
      <c r="IV301" s="2644"/>
      <c r="IW301" s="2644"/>
      <c r="IX301" s="2644"/>
      <c r="IY301" s="2644"/>
      <c r="IZ301" s="2644"/>
      <c r="JA301" s="2644"/>
      <c r="JI301" s="516"/>
    </row>
    <row r="302" spans="30:274" ht="4.1500000000000004" customHeight="1">
      <c r="AD302" s="516"/>
      <c r="AF302" s="516"/>
      <c r="AW302" s="517"/>
      <c r="AX302" s="516"/>
      <c r="AZ302" s="516"/>
      <c r="CO302" s="517"/>
      <c r="CR302" s="516"/>
      <c r="CW302" s="662"/>
      <c r="CX302" s="662"/>
      <c r="CY302" s="662"/>
      <c r="CZ302" s="664"/>
      <c r="DA302" s="519"/>
      <c r="DB302" s="521"/>
      <c r="DF302" s="662"/>
      <c r="DG302" s="662"/>
      <c r="DH302" s="662"/>
      <c r="DI302" s="662"/>
      <c r="DJ302" s="662"/>
      <c r="DK302" s="662"/>
      <c r="DL302" s="662"/>
      <c r="DM302" s="662"/>
      <c r="DN302" s="662"/>
      <c r="DO302" s="662"/>
      <c r="DP302" s="662"/>
      <c r="DQ302" s="662"/>
      <c r="DR302" s="662"/>
      <c r="DS302" s="662"/>
      <c r="DT302" s="662"/>
      <c r="DU302" s="662"/>
      <c r="DV302" s="662"/>
      <c r="DW302" s="519"/>
      <c r="DX302" s="521"/>
      <c r="DY302" s="516"/>
      <c r="ED302" s="662"/>
      <c r="EE302" s="662"/>
      <c r="EF302" s="662"/>
      <c r="EG302" s="664"/>
      <c r="EH302" s="662"/>
      <c r="EI302" s="662"/>
      <c r="EJ302" s="516"/>
      <c r="FY302" s="517"/>
      <c r="FZ302" s="662"/>
      <c r="GA302" s="664"/>
      <c r="HR302" s="2646">
        <f>JD295+JD302+JD309+JD314+JD317</f>
        <v>1.1999999999999997</v>
      </c>
      <c r="HS302" s="2646"/>
      <c r="HT302" s="2646"/>
      <c r="HU302" s="2646"/>
      <c r="HZ302" s="2619"/>
      <c r="IA302" s="2619"/>
      <c r="IB302" s="2619"/>
      <c r="IC302" s="2619"/>
      <c r="ID302" s="2619"/>
      <c r="IE302" s="2619"/>
      <c r="IF302" s="2619"/>
      <c r="IG302" s="2619"/>
      <c r="IH302" s="2619"/>
      <c r="II302" s="2619"/>
      <c r="IJ302" s="2619"/>
      <c r="IK302" s="2600"/>
      <c r="IL302" s="2600"/>
      <c r="IM302" s="2600"/>
      <c r="IN302" s="2600"/>
      <c r="IO302" s="2600"/>
      <c r="IP302" s="2600"/>
      <c r="IQ302" s="2644"/>
      <c r="IR302" s="2644"/>
      <c r="IS302" s="2644"/>
      <c r="IT302" s="2644"/>
      <c r="IU302" s="2644"/>
      <c r="IV302" s="2644"/>
      <c r="IW302" s="2644"/>
      <c r="IX302" s="2644"/>
      <c r="IY302" s="2644"/>
      <c r="IZ302" s="2644"/>
      <c r="JA302" s="2644"/>
      <c r="JD302" s="2638">
        <v>0.3</v>
      </c>
      <c r="JE302" s="2638"/>
      <c r="JF302" s="2638"/>
      <c r="JG302" s="2638"/>
      <c r="JH302" s="2638"/>
      <c r="JI302" s="2638"/>
      <c r="JJ302" s="2638"/>
      <c r="JK302" s="2638"/>
      <c r="JL302" s="2638"/>
      <c r="JM302" s="2638"/>
      <c r="JN302" s="2638"/>
    </row>
    <row r="303" spans="30:274" ht="4.1500000000000004" customHeight="1">
      <c r="AD303" s="516"/>
      <c r="AF303" s="516"/>
      <c r="AW303" s="517"/>
      <c r="AX303" s="516"/>
      <c r="AZ303" s="516"/>
      <c r="CO303" s="517"/>
      <c r="CR303" s="516"/>
      <c r="CW303" s="662"/>
      <c r="CX303" s="662"/>
      <c r="CY303" s="662"/>
      <c r="CZ303" s="664"/>
      <c r="DA303" s="522"/>
      <c r="DB303" s="524"/>
      <c r="DF303" s="662"/>
      <c r="DG303" s="662"/>
      <c r="DH303" s="662"/>
      <c r="DI303" s="662"/>
      <c r="DJ303" s="662"/>
      <c r="DK303" s="662"/>
      <c r="DL303" s="662"/>
      <c r="DM303" s="662"/>
      <c r="DN303" s="662"/>
      <c r="DO303" s="662"/>
      <c r="DP303" s="662"/>
      <c r="DQ303" s="662"/>
      <c r="DR303" s="662"/>
      <c r="DS303" s="662"/>
      <c r="DT303" s="662"/>
      <c r="DU303" s="662"/>
      <c r="DV303" s="662"/>
      <c r="DW303" s="522"/>
      <c r="DX303" s="524"/>
      <c r="DY303" s="516"/>
      <c r="ED303" s="662"/>
      <c r="EE303" s="662"/>
      <c r="EF303" s="662"/>
      <c r="EG303" s="664"/>
      <c r="EH303" s="662"/>
      <c r="EI303" s="662"/>
      <c r="EJ303" s="516"/>
      <c r="FY303" s="517"/>
      <c r="FZ303" s="662"/>
      <c r="GA303" s="664"/>
      <c r="HR303" s="2646"/>
      <c r="HS303" s="2646"/>
      <c r="HT303" s="2646"/>
      <c r="HU303" s="2646"/>
      <c r="HZ303" s="2619"/>
      <c r="IA303" s="2619"/>
      <c r="IB303" s="2619"/>
      <c r="IC303" s="2619"/>
      <c r="ID303" s="2619"/>
      <c r="IE303" s="2619"/>
      <c r="IF303" s="2619"/>
      <c r="IG303" s="2619"/>
      <c r="IH303" s="2619"/>
      <c r="II303" s="2619"/>
      <c r="IJ303" s="2619"/>
      <c r="IQ303" s="2644"/>
      <c r="IR303" s="2644"/>
      <c r="IS303" s="2644"/>
      <c r="IT303" s="2644"/>
      <c r="IU303" s="2644"/>
      <c r="IV303" s="2644"/>
      <c r="IW303" s="2644"/>
      <c r="IX303" s="2644"/>
      <c r="IY303" s="2644"/>
      <c r="IZ303" s="2644"/>
      <c r="JA303" s="2644"/>
      <c r="JD303" s="2638"/>
      <c r="JE303" s="2638"/>
      <c r="JF303" s="2638"/>
      <c r="JG303" s="2638"/>
      <c r="JH303" s="2638"/>
      <c r="JI303" s="2638"/>
      <c r="JJ303" s="2638"/>
      <c r="JK303" s="2638"/>
      <c r="JL303" s="2638"/>
      <c r="JM303" s="2638"/>
      <c r="JN303" s="2638"/>
    </row>
    <row r="304" spans="30:274" ht="4.1500000000000004" customHeight="1">
      <c r="AD304" s="516"/>
      <c r="AF304" s="516"/>
      <c r="AW304" s="517"/>
      <c r="AX304" s="516"/>
      <c r="AZ304" s="516"/>
      <c r="CO304" s="517"/>
      <c r="CR304" s="516"/>
      <c r="CW304" s="662"/>
      <c r="CX304" s="662"/>
      <c r="CY304" s="662"/>
      <c r="CZ304" s="664"/>
      <c r="DA304" s="527"/>
      <c r="DB304" s="529"/>
      <c r="DC304" s="532"/>
      <c r="DD304" s="532"/>
      <c r="DE304" s="532"/>
      <c r="DF304" s="665"/>
      <c r="DG304" s="665"/>
      <c r="DH304" s="665"/>
      <c r="DI304" s="665"/>
      <c r="DJ304" s="665"/>
      <c r="DK304" s="665"/>
      <c r="DL304" s="665"/>
      <c r="DM304" s="665"/>
      <c r="DN304" s="665"/>
      <c r="DO304" s="665"/>
      <c r="DP304" s="665"/>
      <c r="DQ304" s="665"/>
      <c r="DR304" s="665"/>
      <c r="DS304" s="665"/>
      <c r="DT304" s="665"/>
      <c r="DU304" s="665"/>
      <c r="DV304" s="665"/>
      <c r="DW304" s="527"/>
      <c r="DX304" s="529"/>
      <c r="DY304" s="516"/>
      <c r="ED304" s="662"/>
      <c r="EE304" s="662"/>
      <c r="EF304" s="662"/>
      <c r="EG304" s="664"/>
      <c r="EH304" s="662"/>
      <c r="EI304" s="662"/>
      <c r="EJ304" s="516"/>
      <c r="FY304" s="517"/>
      <c r="FZ304" s="662"/>
      <c r="GA304" s="664"/>
      <c r="HR304" s="2646"/>
      <c r="HS304" s="2646"/>
      <c r="HT304" s="2646"/>
      <c r="HU304" s="2646"/>
      <c r="HZ304" s="2619"/>
      <c r="IA304" s="2619"/>
      <c r="IB304" s="2619"/>
      <c r="IC304" s="2619"/>
      <c r="ID304" s="2619"/>
      <c r="IE304" s="2619"/>
      <c r="IF304" s="2619"/>
      <c r="IG304" s="2619"/>
      <c r="IH304" s="2619"/>
      <c r="II304" s="2619"/>
      <c r="IJ304" s="2619"/>
      <c r="IQ304" s="2644"/>
      <c r="IR304" s="2644"/>
      <c r="IS304" s="2644"/>
      <c r="IT304" s="2644"/>
      <c r="IU304" s="2644"/>
      <c r="IV304" s="2644"/>
      <c r="IW304" s="2644"/>
      <c r="IX304" s="2644"/>
      <c r="IY304" s="2644"/>
      <c r="IZ304" s="2644"/>
      <c r="JA304" s="2644"/>
      <c r="JD304" s="2638"/>
      <c r="JE304" s="2638"/>
      <c r="JF304" s="2638"/>
      <c r="JG304" s="2638"/>
      <c r="JH304" s="2638"/>
      <c r="JI304" s="2638"/>
      <c r="JJ304" s="2638"/>
      <c r="JK304" s="2638"/>
      <c r="JL304" s="2638"/>
      <c r="JM304" s="2638"/>
      <c r="JN304" s="2638"/>
    </row>
    <row r="305" spans="30:274" ht="4.1500000000000004" customHeight="1">
      <c r="AD305" s="516"/>
      <c r="AF305" s="516"/>
      <c r="AW305" s="517"/>
      <c r="AX305" s="516"/>
      <c r="AZ305" s="516"/>
      <c r="CP305" s="514"/>
      <c r="CQ305" s="514"/>
      <c r="CW305" s="662"/>
      <c r="CX305" s="662"/>
      <c r="CY305" s="662"/>
      <c r="CZ305" s="662"/>
      <c r="DA305" s="667"/>
      <c r="DB305" s="514"/>
      <c r="DC305" s="514"/>
      <c r="DD305" s="514"/>
      <c r="DE305" s="514"/>
      <c r="DF305" s="667"/>
      <c r="DG305" s="667"/>
      <c r="DH305" s="667"/>
      <c r="DI305" s="667"/>
      <c r="DJ305" s="667"/>
      <c r="DK305" s="667"/>
      <c r="DL305" s="667"/>
      <c r="DM305" s="667"/>
      <c r="DN305" s="667"/>
      <c r="DO305" s="667"/>
      <c r="DP305" s="667"/>
      <c r="DQ305" s="667"/>
      <c r="DR305" s="667"/>
      <c r="DS305" s="667"/>
      <c r="DT305" s="667"/>
      <c r="DU305" s="667"/>
      <c r="DV305" s="667"/>
      <c r="DW305" s="667"/>
      <c r="DX305" s="667"/>
      <c r="ED305" s="662"/>
      <c r="EE305" s="662"/>
      <c r="EF305" s="662"/>
      <c r="EG305" s="662"/>
      <c r="EH305" s="667"/>
      <c r="EI305" s="667"/>
      <c r="FY305" s="517"/>
      <c r="FZ305" s="662"/>
      <c r="GA305" s="664"/>
      <c r="HR305" s="2646"/>
      <c r="HS305" s="2646"/>
      <c r="HT305" s="2646"/>
      <c r="HU305" s="2646"/>
      <c r="HZ305" s="2619"/>
      <c r="IA305" s="2619"/>
      <c r="IB305" s="2619"/>
      <c r="IC305" s="2619"/>
      <c r="ID305" s="2619"/>
      <c r="IE305" s="2619"/>
      <c r="IF305" s="2619"/>
      <c r="IG305" s="2619"/>
      <c r="IH305" s="2619"/>
      <c r="II305" s="2619"/>
      <c r="IJ305" s="2619"/>
      <c r="IQ305" s="2644"/>
      <c r="IR305" s="2644"/>
      <c r="IS305" s="2644"/>
      <c r="IT305" s="2644"/>
      <c r="IU305" s="2644"/>
      <c r="IV305" s="2644"/>
      <c r="IW305" s="2644"/>
      <c r="IX305" s="2644"/>
      <c r="IY305" s="2644"/>
      <c r="IZ305" s="2644"/>
      <c r="JA305" s="2644"/>
      <c r="JI305" s="516"/>
    </row>
    <row r="306" spans="30:274" ht="4.1500000000000004" customHeight="1">
      <c r="AD306" s="519"/>
      <c r="AE306" s="521"/>
      <c r="AF306" s="530"/>
      <c r="AG306" s="532"/>
      <c r="AH306" s="532"/>
      <c r="AI306" s="532"/>
      <c r="AJ306" s="532"/>
      <c r="AK306" s="532"/>
      <c r="AL306" s="532"/>
      <c r="AM306" s="532"/>
      <c r="AN306" s="532"/>
      <c r="AO306" s="532"/>
      <c r="AP306" s="532"/>
      <c r="AQ306" s="532"/>
      <c r="AR306" s="532"/>
      <c r="AS306" s="532"/>
      <c r="AT306" s="532"/>
      <c r="AU306" s="532"/>
      <c r="AV306" s="532"/>
      <c r="AW306" s="531"/>
      <c r="AX306" s="516"/>
      <c r="AZ306" s="516"/>
      <c r="CY306" s="662"/>
      <c r="CZ306" s="662"/>
      <c r="DA306" s="662"/>
      <c r="DF306" s="662"/>
      <c r="DG306" s="662"/>
      <c r="DH306" s="662"/>
      <c r="DI306" s="662"/>
      <c r="DJ306" s="662"/>
      <c r="DK306" s="662"/>
      <c r="DL306" s="662"/>
      <c r="DM306" s="662"/>
      <c r="DN306" s="662"/>
      <c r="DO306" s="662"/>
      <c r="DP306" s="662"/>
      <c r="DQ306" s="662"/>
      <c r="DR306" s="662"/>
      <c r="DS306" s="662"/>
      <c r="DT306" s="662"/>
      <c r="DU306" s="662"/>
      <c r="DV306" s="662"/>
      <c r="DW306" s="662"/>
      <c r="DX306" s="662"/>
      <c r="EF306" s="662"/>
      <c r="EG306" s="662"/>
      <c r="EH306" s="662"/>
      <c r="EI306" s="662"/>
      <c r="FY306" s="517"/>
      <c r="FZ306" s="662"/>
      <c r="GA306" s="664"/>
      <c r="HR306" s="2646"/>
      <c r="HS306" s="2646"/>
      <c r="HT306" s="2646"/>
      <c r="HU306" s="2646"/>
      <c r="HZ306" s="2621"/>
      <c r="IA306" s="2621"/>
      <c r="IB306" s="2621"/>
      <c r="IC306" s="2621"/>
      <c r="ID306" s="2621"/>
      <c r="IE306" s="2621"/>
      <c r="IF306" s="2621"/>
      <c r="IG306" s="2621"/>
      <c r="IH306" s="2621"/>
      <c r="II306" s="2621"/>
      <c r="IJ306" s="2621"/>
      <c r="IK306" s="532"/>
      <c r="IL306" s="532"/>
      <c r="IM306" s="532"/>
      <c r="IN306" s="532"/>
      <c r="IO306" s="532"/>
      <c r="IP306" s="532"/>
      <c r="IQ306" s="2645"/>
      <c r="IR306" s="2645"/>
      <c r="IS306" s="2645"/>
      <c r="IT306" s="2645"/>
      <c r="IU306" s="2645"/>
      <c r="IV306" s="2645"/>
      <c r="IW306" s="2645"/>
      <c r="IX306" s="2645"/>
      <c r="IY306" s="2645"/>
      <c r="IZ306" s="2645"/>
      <c r="JA306" s="2645"/>
      <c r="JI306" s="516"/>
    </row>
    <row r="307" spans="30:274" ht="4.1500000000000004" customHeight="1">
      <c r="AD307" s="522"/>
      <c r="AE307" s="524"/>
      <c r="AZ307" s="516"/>
      <c r="CY307" s="662"/>
      <c r="CZ307" s="662"/>
      <c r="DA307" s="662"/>
      <c r="DF307" s="662"/>
      <c r="DG307" s="662"/>
      <c r="DH307" s="662"/>
      <c r="DI307" s="662"/>
      <c r="DJ307" s="662"/>
      <c r="DK307" s="662"/>
      <c r="DL307" s="662"/>
      <c r="DM307" s="662"/>
      <c r="DN307" s="662"/>
      <c r="DO307" s="662"/>
      <c r="DP307" s="662"/>
      <c r="DQ307" s="662"/>
      <c r="DR307" s="662"/>
      <c r="DS307" s="662"/>
      <c r="DT307" s="662"/>
      <c r="DU307" s="662"/>
      <c r="DV307" s="662"/>
      <c r="DW307" s="662"/>
      <c r="DX307" s="662"/>
      <c r="EF307" s="662"/>
      <c r="EG307" s="662"/>
      <c r="EH307" s="662"/>
      <c r="EI307" s="662"/>
      <c r="FY307" s="517"/>
      <c r="FZ307" s="662"/>
      <c r="GA307" s="664"/>
      <c r="HR307" s="2646"/>
      <c r="HS307" s="2646"/>
      <c r="HT307" s="2646"/>
      <c r="HU307" s="2646"/>
      <c r="HZ307" s="516"/>
      <c r="JA307" s="517"/>
      <c r="JD307" s="514"/>
      <c r="JE307" s="514"/>
      <c r="JF307" s="514"/>
      <c r="JG307" s="514"/>
      <c r="JH307" s="514"/>
      <c r="JI307" s="515"/>
      <c r="JJ307" s="514"/>
      <c r="JK307" s="514"/>
      <c r="JL307" s="514"/>
      <c r="JM307" s="514"/>
      <c r="JN307" s="514"/>
    </row>
    <row r="308" spans="30:274" ht="4.1500000000000004" customHeight="1">
      <c r="AD308" s="527"/>
      <c r="AE308" s="529"/>
      <c r="AF308" s="532"/>
      <c r="AG308" s="532"/>
      <c r="AH308" s="532"/>
      <c r="AI308" s="532"/>
      <c r="AJ308" s="532"/>
      <c r="AK308" s="532"/>
      <c r="AL308" s="532"/>
      <c r="AM308" s="532"/>
      <c r="AN308" s="532"/>
      <c r="AO308" s="532"/>
      <c r="AP308" s="532"/>
      <c r="AQ308" s="532"/>
      <c r="AR308" s="532"/>
      <c r="AS308" s="532"/>
      <c r="AT308" s="532"/>
      <c r="AU308" s="532"/>
      <c r="AV308" s="532"/>
      <c r="AW308" s="532"/>
      <c r="AZ308" s="516"/>
      <c r="CW308" s="662"/>
      <c r="CX308" s="662"/>
      <c r="CY308" s="662"/>
      <c r="CZ308" s="662"/>
      <c r="DA308" s="662"/>
      <c r="DF308" s="662"/>
      <c r="DG308" s="662"/>
      <c r="DH308" s="662"/>
      <c r="DI308" s="662"/>
      <c r="DJ308" s="662"/>
      <c r="DK308" s="662"/>
      <c r="DL308" s="662"/>
      <c r="DM308" s="662"/>
      <c r="DN308" s="662"/>
      <c r="DO308" s="662"/>
      <c r="DP308" s="662"/>
      <c r="DQ308" s="662"/>
      <c r="DR308" s="662"/>
      <c r="DS308" s="662"/>
      <c r="DT308" s="662"/>
      <c r="DU308" s="662"/>
      <c r="DV308" s="662"/>
      <c r="DW308" s="662"/>
      <c r="DX308" s="662"/>
      <c r="ED308" s="662"/>
      <c r="EE308" s="662"/>
      <c r="EF308" s="662"/>
      <c r="EG308" s="662"/>
      <c r="EH308" s="662"/>
      <c r="EI308" s="662"/>
      <c r="FY308" s="517"/>
      <c r="FZ308" s="662"/>
      <c r="GA308" s="664"/>
      <c r="HR308" s="2646"/>
      <c r="HS308" s="2646"/>
      <c r="HT308" s="2646"/>
      <c r="HU308" s="2646"/>
      <c r="HZ308" s="516"/>
      <c r="JA308" s="517"/>
      <c r="JI308" s="516"/>
    </row>
    <row r="309" spans="30:274" ht="4.1500000000000004" customHeight="1">
      <c r="AD309" s="514"/>
      <c r="AE309" s="514"/>
      <c r="AF309" s="514"/>
      <c r="AG309" s="514"/>
      <c r="AH309" s="514"/>
      <c r="AI309" s="514"/>
      <c r="AJ309" s="514"/>
      <c r="AK309" s="514"/>
      <c r="AL309" s="514"/>
      <c r="AM309" s="514"/>
      <c r="AN309" s="514"/>
      <c r="AO309" s="514"/>
      <c r="AP309" s="514"/>
      <c r="AQ309" s="514"/>
      <c r="AR309" s="514"/>
      <c r="AS309" s="514"/>
      <c r="AT309" s="514"/>
      <c r="AU309" s="514"/>
      <c r="AV309" s="514"/>
      <c r="AW309" s="518"/>
      <c r="AX309" s="516"/>
      <c r="AZ309" s="516"/>
      <c r="CW309" s="662"/>
      <c r="CX309" s="662"/>
      <c r="CY309" s="662"/>
      <c r="CZ309" s="662"/>
      <c r="DA309" s="662"/>
      <c r="DF309" s="662"/>
      <c r="DG309" s="662"/>
      <c r="DH309" s="662"/>
      <c r="DI309" s="662"/>
      <c r="DJ309" s="662"/>
      <c r="DK309" s="662"/>
      <c r="DL309" s="662"/>
      <c r="DM309" s="662"/>
      <c r="DN309" s="662"/>
      <c r="DO309" s="662"/>
      <c r="DP309" s="662"/>
      <c r="DQ309" s="662"/>
      <c r="DR309" s="662"/>
      <c r="DS309" s="662"/>
      <c r="DT309" s="662"/>
      <c r="DU309" s="662"/>
      <c r="DV309" s="662"/>
      <c r="DW309" s="662"/>
      <c r="DX309" s="662"/>
      <c r="ED309" s="662"/>
      <c r="EE309" s="662"/>
      <c r="EF309" s="662"/>
      <c r="EG309" s="662"/>
      <c r="EH309" s="662"/>
      <c r="EI309" s="662"/>
      <c r="FY309" s="517"/>
      <c r="FZ309" s="662"/>
      <c r="GA309" s="664"/>
      <c r="HR309" s="2646"/>
      <c r="HS309" s="2646"/>
      <c r="HT309" s="2646"/>
      <c r="HU309" s="2646"/>
      <c r="HZ309" s="516"/>
      <c r="JA309" s="517"/>
      <c r="JD309" s="2638">
        <v>0.3</v>
      </c>
      <c r="JE309" s="2638"/>
      <c r="JF309" s="2638"/>
      <c r="JG309" s="2638"/>
      <c r="JH309" s="2638"/>
      <c r="JI309" s="2638"/>
      <c r="JJ309" s="2638"/>
      <c r="JK309" s="2638"/>
      <c r="JL309" s="2638"/>
      <c r="JM309" s="2638"/>
      <c r="JN309" s="2638"/>
    </row>
    <row r="310" spans="30:274" ht="4.1500000000000004" customHeight="1">
      <c r="AX310" s="516"/>
      <c r="AZ310" s="516"/>
      <c r="CW310" s="662"/>
      <c r="CX310" s="662"/>
      <c r="CY310" s="662"/>
      <c r="CZ310" s="662"/>
      <c r="DA310" s="662"/>
      <c r="DF310" s="662"/>
      <c r="DG310" s="662"/>
      <c r="DH310" s="662"/>
      <c r="DI310" s="662"/>
      <c r="DJ310" s="662"/>
      <c r="DK310" s="662"/>
      <c r="DL310" s="662"/>
      <c r="DM310" s="662"/>
      <c r="DN310" s="662"/>
      <c r="DO310" s="662"/>
      <c r="DP310" s="662"/>
      <c r="DQ310" s="662"/>
      <c r="DR310" s="662"/>
      <c r="DS310" s="662"/>
      <c r="DT310" s="662"/>
      <c r="DU310" s="662"/>
      <c r="DV310" s="662"/>
      <c r="DW310" s="662"/>
      <c r="DX310" s="662"/>
      <c r="ED310" s="662"/>
      <c r="EE310" s="662"/>
      <c r="EF310" s="662"/>
      <c r="EG310" s="662"/>
      <c r="EH310" s="662"/>
      <c r="EI310" s="662"/>
      <c r="FY310" s="517"/>
      <c r="FZ310" s="662"/>
      <c r="GA310" s="664"/>
      <c r="HR310" s="2646"/>
      <c r="HS310" s="2646"/>
      <c r="HT310" s="2646"/>
      <c r="HU310" s="2646"/>
      <c r="HZ310" s="516"/>
      <c r="JA310" s="517"/>
      <c r="JD310" s="2638"/>
      <c r="JE310" s="2638"/>
      <c r="JF310" s="2638"/>
      <c r="JG310" s="2638"/>
      <c r="JH310" s="2638"/>
      <c r="JI310" s="2638"/>
      <c r="JJ310" s="2638"/>
      <c r="JK310" s="2638"/>
      <c r="JL310" s="2638"/>
      <c r="JM310" s="2638"/>
      <c r="JN310" s="2638"/>
    </row>
    <row r="311" spans="30:274" ht="4.1500000000000004" customHeight="1">
      <c r="AX311" s="516"/>
      <c r="AZ311" s="516"/>
      <c r="CW311" s="662"/>
      <c r="CX311" s="662"/>
      <c r="CY311" s="662"/>
      <c r="CZ311" s="662"/>
      <c r="DA311" s="662"/>
      <c r="DB311" s="662"/>
      <c r="DC311" s="662"/>
      <c r="DD311" s="662"/>
      <c r="DE311" s="662"/>
      <c r="DF311" s="662"/>
      <c r="DG311" s="662"/>
      <c r="DH311" s="662"/>
      <c r="DI311" s="1601"/>
      <c r="DJ311" s="1601"/>
      <c r="DK311" s="1601"/>
      <c r="DL311" s="1601"/>
      <c r="DM311" s="1601"/>
      <c r="DN311" s="1601"/>
      <c r="DO311" s="1601"/>
      <c r="DP311" s="1601"/>
      <c r="DQ311" s="1601"/>
      <c r="DR311" s="1601"/>
      <c r="DS311" s="1601"/>
      <c r="DT311" s="1601"/>
      <c r="DU311" s="1601"/>
      <c r="DV311" s="1601"/>
      <c r="DW311" s="1601"/>
      <c r="DX311" s="1601"/>
      <c r="ED311" s="662"/>
      <c r="EE311" s="662"/>
      <c r="EF311" s="662"/>
      <c r="EG311" s="662"/>
      <c r="EH311" s="1601"/>
      <c r="EI311" s="1601"/>
      <c r="FY311" s="517"/>
      <c r="FZ311" s="1601"/>
      <c r="GA311" s="1605"/>
      <c r="HR311" s="2646"/>
      <c r="HS311" s="2646"/>
      <c r="HT311" s="2646"/>
      <c r="HU311" s="2646"/>
      <c r="HZ311" s="516"/>
      <c r="JA311" s="517"/>
      <c r="JD311" s="2638"/>
      <c r="JE311" s="2638"/>
      <c r="JF311" s="2638"/>
      <c r="JG311" s="2638"/>
      <c r="JH311" s="2638"/>
      <c r="JI311" s="2638"/>
      <c r="JJ311" s="2638"/>
      <c r="JK311" s="2638"/>
      <c r="JL311" s="2638"/>
      <c r="JM311" s="2638"/>
      <c r="JN311" s="2638"/>
    </row>
    <row r="312" spans="30:274" ht="4.1500000000000004" customHeight="1">
      <c r="AX312" s="516"/>
      <c r="AZ312" s="516"/>
      <c r="CW312" s="662"/>
      <c r="CX312" s="662"/>
      <c r="CY312" s="662"/>
      <c r="CZ312" s="662"/>
      <c r="DA312" s="662"/>
      <c r="DB312" s="662"/>
      <c r="DC312" s="662"/>
      <c r="DD312" s="662"/>
      <c r="DE312" s="662"/>
      <c r="DF312" s="662"/>
      <c r="DG312" s="662"/>
      <c r="DH312" s="662"/>
      <c r="DI312" s="1601"/>
      <c r="DJ312" s="1601"/>
      <c r="DK312" s="1601"/>
      <c r="DL312" s="1601"/>
      <c r="DM312" s="1601"/>
      <c r="DN312" s="1601"/>
      <c r="DO312" s="1601"/>
      <c r="DP312" s="1601"/>
      <c r="DQ312" s="1601"/>
      <c r="DR312" s="1601"/>
      <c r="DS312" s="1601"/>
      <c r="DT312" s="1601"/>
      <c r="DU312" s="1601"/>
      <c r="DV312" s="1601"/>
      <c r="DW312" s="1601"/>
      <c r="DX312" s="1601"/>
      <c r="ED312" s="662"/>
      <c r="EE312" s="662"/>
      <c r="EF312" s="662"/>
      <c r="EG312" s="662"/>
      <c r="EH312" s="1601"/>
      <c r="EI312" s="1601"/>
      <c r="FY312" s="517"/>
      <c r="FZ312" s="1601"/>
      <c r="GA312" s="1605"/>
      <c r="HS312" s="516"/>
      <c r="HZ312" s="516"/>
      <c r="JA312" s="517"/>
      <c r="JI312" s="516"/>
    </row>
    <row r="313" spans="30:274" ht="4.1500000000000004" customHeight="1">
      <c r="AX313" s="516"/>
      <c r="AZ313" s="516"/>
      <c r="CP313" s="532"/>
      <c r="CQ313" s="532"/>
      <c r="CR313" s="532"/>
      <c r="CS313" s="532"/>
      <c r="CT313" s="532"/>
      <c r="CU313" s="532"/>
      <c r="CV313" s="532"/>
      <c r="CW313" s="665"/>
      <c r="CX313" s="665"/>
      <c r="CY313" s="665"/>
      <c r="CZ313" s="665"/>
      <c r="DA313" s="665"/>
      <c r="DB313" s="1604"/>
      <c r="DC313" s="1604"/>
      <c r="DD313" s="1604"/>
      <c r="DE313" s="1604"/>
      <c r="DF313" s="665"/>
      <c r="DG313" s="665"/>
      <c r="DH313" s="665"/>
      <c r="DI313" s="1604"/>
      <c r="DJ313" s="1604"/>
      <c r="DK313" s="1604"/>
      <c r="DL313" s="1604"/>
      <c r="DM313" s="1604"/>
      <c r="DN313" s="1604"/>
      <c r="DO313" s="1604"/>
      <c r="DP313" s="1604"/>
      <c r="DQ313" s="1604"/>
      <c r="DR313" s="1604"/>
      <c r="DS313" s="1604"/>
      <c r="DT313" s="1604"/>
      <c r="DU313" s="1604"/>
      <c r="DV313" s="1604"/>
      <c r="DW313" s="1604"/>
      <c r="DX313" s="1604"/>
      <c r="DY313" s="532"/>
      <c r="DZ313" s="532"/>
      <c r="EA313" s="532"/>
      <c r="EB313" s="532"/>
      <c r="EC313" s="532"/>
      <c r="ED313" s="665"/>
      <c r="EE313" s="665"/>
      <c r="EF313" s="665"/>
      <c r="EG313" s="665"/>
      <c r="EH313" s="1604"/>
      <c r="EI313" s="1604"/>
      <c r="FY313" s="517"/>
      <c r="FZ313" s="1601"/>
      <c r="GA313" s="1605"/>
      <c r="HS313" s="516"/>
      <c r="HZ313" s="530"/>
      <c r="IA313" s="532"/>
      <c r="IB313" s="532"/>
      <c r="IC313" s="532"/>
      <c r="ID313" s="532"/>
      <c r="IE313" s="532"/>
      <c r="IF313" s="532"/>
      <c r="IG313" s="532"/>
      <c r="IH313" s="532"/>
      <c r="II313" s="532"/>
      <c r="IJ313" s="532"/>
      <c r="IK313" s="532"/>
      <c r="IL313" s="532"/>
      <c r="IM313" s="532"/>
      <c r="IN313" s="532"/>
      <c r="IO313" s="532"/>
      <c r="IP313" s="532"/>
      <c r="IQ313" s="532"/>
      <c r="IR313" s="532"/>
      <c r="IS313" s="532"/>
      <c r="IT313" s="532"/>
      <c r="IU313" s="532"/>
      <c r="IV313" s="532"/>
      <c r="IW313" s="532"/>
      <c r="IX313" s="532"/>
      <c r="IY313" s="532"/>
      <c r="IZ313" s="532"/>
      <c r="JA313" s="531"/>
      <c r="JD313" s="532"/>
      <c r="JE313" s="532"/>
      <c r="JF313" s="532"/>
      <c r="JG313" s="532"/>
      <c r="JH313" s="532"/>
      <c r="JI313" s="530"/>
      <c r="JJ313" s="532"/>
      <c r="JK313" s="532"/>
      <c r="JL313" s="532"/>
      <c r="JM313" s="532"/>
      <c r="JN313" s="532"/>
    </row>
    <row r="314" spans="30:274" ht="4.1500000000000004" customHeight="1">
      <c r="AX314" s="516"/>
      <c r="AZ314" s="516"/>
      <c r="CO314" s="517"/>
      <c r="CW314" s="662"/>
      <c r="CX314" s="662"/>
      <c r="CY314" s="662"/>
      <c r="CZ314" s="662"/>
      <c r="DA314" s="662"/>
      <c r="DB314" s="1601"/>
      <c r="DC314" s="1601"/>
      <c r="DD314" s="1601"/>
      <c r="DE314" s="1601"/>
      <c r="DF314" s="662"/>
      <c r="DG314" s="662"/>
      <c r="DH314" s="662"/>
      <c r="DI314" s="1601"/>
      <c r="DJ314" s="1601"/>
      <c r="DK314" s="1601"/>
      <c r="DL314" s="1601"/>
      <c r="DM314" s="1601"/>
      <c r="DN314" s="1601"/>
      <c r="DO314" s="1601"/>
      <c r="DP314" s="1601"/>
      <c r="DQ314" s="1601"/>
      <c r="DR314" s="1601"/>
      <c r="DS314" s="1601"/>
      <c r="DT314" s="1601"/>
      <c r="DU314" s="1601"/>
      <c r="DV314" s="1601"/>
      <c r="DW314" s="1601"/>
      <c r="DX314" s="1601"/>
      <c r="DY314" s="1601"/>
      <c r="DZ314" s="1601"/>
      <c r="EA314" s="1601"/>
      <c r="EB314" s="1601"/>
      <c r="EC314" s="1601"/>
      <c r="ED314" s="1601"/>
      <c r="EE314" s="1601"/>
      <c r="EF314" s="1601"/>
      <c r="EG314" s="1601"/>
      <c r="EH314" s="1601"/>
      <c r="EI314" s="1601"/>
      <c r="EJ314" s="516"/>
      <c r="FY314" s="517"/>
      <c r="FZ314" s="1601"/>
      <c r="GA314" s="1605"/>
      <c r="HS314" s="516"/>
      <c r="HY314" s="515"/>
      <c r="HZ314" s="514"/>
      <c r="IA314" s="514"/>
      <c r="IB314" s="514"/>
      <c r="IC314" s="514"/>
      <c r="ID314" s="514"/>
      <c r="IE314" s="514"/>
      <c r="IF314" s="514"/>
      <c r="IG314" s="514"/>
      <c r="IH314" s="514"/>
      <c r="II314" s="514"/>
      <c r="IJ314" s="514"/>
      <c r="IK314" s="514"/>
      <c r="IL314" s="514"/>
      <c r="IM314" s="514"/>
      <c r="IN314" s="514"/>
      <c r="IO314" s="514"/>
      <c r="IP314" s="514"/>
      <c r="IQ314" s="514"/>
      <c r="IR314" s="514"/>
      <c r="IS314" s="514"/>
      <c r="IT314" s="514"/>
      <c r="IU314" s="514"/>
      <c r="IV314" s="514"/>
      <c r="IW314" s="514"/>
      <c r="IX314" s="514"/>
      <c r="IY314" s="514"/>
      <c r="IZ314" s="514"/>
      <c r="JA314" s="514"/>
      <c r="JB314" s="518"/>
      <c r="JD314" s="2639">
        <v>0.15</v>
      </c>
      <c r="JE314" s="2639"/>
      <c r="JF314" s="2639"/>
      <c r="JG314" s="2639"/>
      <c r="JH314" s="2639"/>
      <c r="JI314" s="2639"/>
      <c r="JJ314" s="2639"/>
      <c r="JK314" s="2639"/>
      <c r="JL314" s="2639"/>
      <c r="JM314" s="2639"/>
      <c r="JN314" s="2639"/>
    </row>
    <row r="315" spans="30:274" ht="4.1500000000000004" customHeight="1">
      <c r="AX315" s="516"/>
      <c r="AZ315" s="516"/>
      <c r="CO315" s="517"/>
      <c r="CW315" s="662"/>
      <c r="CX315" s="662"/>
      <c r="CY315" s="662"/>
      <c r="CZ315" s="662"/>
      <c r="DA315" s="662"/>
      <c r="DB315" s="1601"/>
      <c r="DC315" s="1601"/>
      <c r="DD315" s="1601"/>
      <c r="DE315" s="1601"/>
      <c r="DF315" s="662"/>
      <c r="DG315" s="662"/>
      <c r="DH315" s="662"/>
      <c r="DI315" s="1601"/>
      <c r="DJ315" s="1601"/>
      <c r="DK315" s="1601"/>
      <c r="DL315" s="1601"/>
      <c r="DM315" s="1601"/>
      <c r="DN315" s="1601"/>
      <c r="DO315" s="1601"/>
      <c r="DP315" s="1601"/>
      <c r="DQ315" s="1601"/>
      <c r="DR315" s="1601"/>
      <c r="DS315" s="1601"/>
      <c r="DT315" s="1601"/>
      <c r="DU315" s="1601"/>
      <c r="DV315" s="1601"/>
      <c r="DW315" s="1601"/>
      <c r="DX315" s="1601"/>
      <c r="DY315" s="1601"/>
      <c r="DZ315" s="1601"/>
      <c r="EA315" s="1601"/>
      <c r="EB315" s="1601"/>
      <c r="EC315" s="1601"/>
      <c r="ED315" s="1601"/>
      <c r="EE315" s="1601"/>
      <c r="EF315" s="1601"/>
      <c r="EG315" s="1601"/>
      <c r="EH315" s="1601"/>
      <c r="EI315" s="1601"/>
      <c r="EJ315" s="516"/>
      <c r="FY315" s="517"/>
      <c r="FZ315" s="1601"/>
      <c r="GA315" s="1605"/>
      <c r="HS315" s="516"/>
      <c r="HY315" s="516"/>
      <c r="JB315" s="517"/>
      <c r="JD315" s="2638"/>
      <c r="JE315" s="2638"/>
      <c r="JF315" s="2638"/>
      <c r="JG315" s="2638"/>
      <c r="JH315" s="2638"/>
      <c r="JI315" s="2638"/>
      <c r="JJ315" s="2638"/>
      <c r="JK315" s="2638"/>
      <c r="JL315" s="2638"/>
      <c r="JM315" s="2638"/>
      <c r="JN315" s="2638"/>
    </row>
    <row r="316" spans="30:274" ht="4.1500000000000004" customHeight="1">
      <c r="AX316" s="516"/>
      <c r="AZ316" s="516"/>
      <c r="CO316" s="517"/>
      <c r="CR316" s="515"/>
      <c r="CS316" s="514"/>
      <c r="CT316" s="514"/>
      <c r="CU316" s="514"/>
      <c r="CV316" s="514"/>
      <c r="CW316" s="667"/>
      <c r="CX316" s="667"/>
      <c r="CY316" s="667"/>
      <c r="CZ316" s="667"/>
      <c r="DA316" s="667"/>
      <c r="DB316" s="1606"/>
      <c r="DC316" s="1606"/>
      <c r="DD316" s="1606"/>
      <c r="DE316" s="1606"/>
      <c r="DF316" s="667"/>
      <c r="DG316" s="667"/>
      <c r="DH316" s="667"/>
      <c r="DI316" s="1606"/>
      <c r="DJ316" s="1606"/>
      <c r="DK316" s="1606"/>
      <c r="DL316" s="1606"/>
      <c r="DM316" s="1606"/>
      <c r="DN316" s="1606"/>
      <c r="DO316" s="1606"/>
      <c r="DP316" s="1606"/>
      <c r="DQ316" s="1606"/>
      <c r="DR316" s="1606"/>
      <c r="DS316" s="1606"/>
      <c r="DT316" s="1606"/>
      <c r="DU316" s="1606"/>
      <c r="DV316" s="1606"/>
      <c r="DW316" s="1606"/>
      <c r="DX316" s="1606"/>
      <c r="DY316" s="1606"/>
      <c r="DZ316" s="1606"/>
      <c r="EA316" s="1606"/>
      <c r="EB316" s="1606"/>
      <c r="EC316" s="1606"/>
      <c r="ED316" s="1606"/>
      <c r="EE316" s="1606"/>
      <c r="EF316" s="1606"/>
      <c r="EG316" s="1607"/>
      <c r="EH316" s="1601"/>
      <c r="EI316" s="1601"/>
      <c r="EJ316" s="516"/>
      <c r="FY316" s="517"/>
      <c r="FZ316" s="1601"/>
      <c r="GA316" s="1605"/>
      <c r="HS316" s="516"/>
      <c r="HY316" s="530"/>
      <c r="HZ316" s="532"/>
      <c r="IA316" s="532"/>
      <c r="IB316" s="532"/>
      <c r="IC316" s="532"/>
      <c r="ID316" s="532"/>
      <c r="IE316" s="532"/>
      <c r="IF316" s="532"/>
      <c r="IG316" s="532"/>
      <c r="IH316" s="532"/>
      <c r="II316" s="532"/>
      <c r="IJ316" s="532"/>
      <c r="IK316" s="532"/>
      <c r="IL316" s="532"/>
      <c r="IM316" s="532"/>
      <c r="IN316" s="532"/>
      <c r="IO316" s="532"/>
      <c r="IP316" s="532"/>
      <c r="IQ316" s="532"/>
      <c r="IR316" s="532"/>
      <c r="IS316" s="532"/>
      <c r="IT316" s="532"/>
      <c r="IU316" s="532"/>
      <c r="IV316" s="532"/>
      <c r="IW316" s="532"/>
      <c r="IX316" s="532"/>
      <c r="IY316" s="532"/>
      <c r="IZ316" s="532"/>
      <c r="JA316" s="532"/>
      <c r="JB316" s="531"/>
      <c r="JD316" s="2640"/>
      <c r="JE316" s="2640"/>
      <c r="JF316" s="2640"/>
      <c r="JG316" s="2640"/>
      <c r="JH316" s="2640"/>
      <c r="JI316" s="2640"/>
      <c r="JJ316" s="2640"/>
      <c r="JK316" s="2640"/>
      <c r="JL316" s="2640"/>
      <c r="JM316" s="2640"/>
      <c r="JN316" s="2640"/>
    </row>
    <row r="317" spans="30:274" ht="4.1500000000000004" customHeight="1">
      <c r="AX317" s="516"/>
      <c r="AZ317" s="516"/>
      <c r="CO317" s="517"/>
      <c r="CR317" s="516"/>
      <c r="CW317" s="662"/>
      <c r="CX317" s="662"/>
      <c r="CY317" s="662"/>
      <c r="CZ317" s="662"/>
      <c r="DA317" s="662"/>
      <c r="DB317" s="1601"/>
      <c r="DC317" s="1601"/>
      <c r="DD317" s="1601"/>
      <c r="DE317" s="1601"/>
      <c r="DF317" s="662"/>
      <c r="DG317" s="662"/>
      <c r="DH317" s="662"/>
      <c r="DI317" s="1601"/>
      <c r="DJ317" s="1601"/>
      <c r="DK317" s="1601"/>
      <c r="DL317" s="1601"/>
      <c r="DM317" s="1601"/>
      <c r="DN317" s="1601"/>
      <c r="DO317" s="1601"/>
      <c r="DP317" s="1601"/>
      <c r="DQ317" s="1601"/>
      <c r="DR317" s="1601"/>
      <c r="DS317" s="1601"/>
      <c r="DT317" s="1601"/>
      <c r="DU317" s="1601"/>
      <c r="DV317" s="1601"/>
      <c r="DW317" s="1601"/>
      <c r="DX317" s="1601"/>
      <c r="DY317" s="1601"/>
      <c r="DZ317" s="1601"/>
      <c r="EA317" s="1601"/>
      <c r="EB317" s="1601"/>
      <c r="EC317" s="1601"/>
      <c r="ED317" s="1601"/>
      <c r="EE317" s="1601"/>
      <c r="EF317" s="1601"/>
      <c r="EG317" s="1605"/>
      <c r="EH317" s="1601"/>
      <c r="EI317" s="1601"/>
      <c r="EJ317" s="516"/>
      <c r="FY317" s="517"/>
      <c r="FZ317" s="1601"/>
      <c r="GA317" s="1605"/>
      <c r="HS317" s="516"/>
      <c r="HY317" s="515"/>
      <c r="HZ317" s="514"/>
      <c r="IA317" s="514"/>
      <c r="IB317" s="514"/>
      <c r="IC317" s="514"/>
      <c r="ID317" s="514"/>
      <c r="IE317" s="514"/>
      <c r="IF317" s="514"/>
      <c r="IG317" s="514"/>
      <c r="IH317" s="514"/>
      <c r="II317" s="514"/>
      <c r="IJ317" s="514"/>
      <c r="IK317" s="514"/>
      <c r="IL317" s="514"/>
      <c r="IM317" s="514"/>
      <c r="IN317" s="514"/>
      <c r="IO317" s="514"/>
      <c r="IP317" s="514"/>
      <c r="IQ317" s="514"/>
      <c r="IR317" s="514"/>
      <c r="IS317" s="514"/>
      <c r="IT317" s="514"/>
      <c r="IU317" s="514"/>
      <c r="IV317" s="514"/>
      <c r="IW317" s="514"/>
      <c r="IX317" s="514"/>
      <c r="IY317" s="514"/>
      <c r="IZ317" s="514"/>
      <c r="JA317" s="514"/>
      <c r="JB317" s="518"/>
      <c r="JD317" s="2639">
        <v>0.15</v>
      </c>
      <c r="JE317" s="2639"/>
      <c r="JF317" s="2639"/>
      <c r="JG317" s="2639"/>
      <c r="JH317" s="2639"/>
      <c r="JI317" s="2639"/>
      <c r="JJ317" s="2639"/>
      <c r="JK317" s="2639"/>
      <c r="JL317" s="2639"/>
      <c r="JM317" s="2639"/>
      <c r="JN317" s="2639"/>
    </row>
    <row r="318" spans="30:274" ht="4.1500000000000004" customHeight="1">
      <c r="AX318" s="516"/>
      <c r="AZ318" s="516"/>
      <c r="CO318" s="517"/>
      <c r="CR318" s="516"/>
      <c r="CW318" s="662"/>
      <c r="CX318" s="662"/>
      <c r="CY318" s="662"/>
      <c r="CZ318" s="662"/>
      <c r="DA318" s="662"/>
      <c r="DB318" s="1601"/>
      <c r="DC318" s="1601"/>
      <c r="DD318" s="1601"/>
      <c r="DE318" s="1601"/>
      <c r="DF318" s="662"/>
      <c r="DG318" s="662"/>
      <c r="DH318" s="662"/>
      <c r="DI318" s="1601"/>
      <c r="DJ318" s="1601"/>
      <c r="DK318" s="1601"/>
      <c r="DL318" s="1601"/>
      <c r="DM318" s="1601"/>
      <c r="DN318" s="1601"/>
      <c r="DO318" s="1601"/>
      <c r="DP318" s="1601"/>
      <c r="DQ318" s="1601"/>
      <c r="DR318" s="1601"/>
      <c r="DS318" s="1601"/>
      <c r="DT318" s="1601"/>
      <c r="DU318" s="1601"/>
      <c r="DV318" s="1601"/>
      <c r="DW318" s="1601"/>
      <c r="DX318" s="1601"/>
      <c r="DY318" s="1601"/>
      <c r="DZ318" s="1601"/>
      <c r="EA318" s="1601"/>
      <c r="EB318" s="1601"/>
      <c r="EC318" s="1601"/>
      <c r="ED318" s="1601"/>
      <c r="EE318" s="1601"/>
      <c r="EF318" s="1601"/>
      <c r="EG318" s="1605"/>
      <c r="EH318" s="1601"/>
      <c r="EI318" s="1601"/>
      <c r="EJ318" s="516"/>
      <c r="FY318" s="517"/>
      <c r="FZ318" s="1601"/>
      <c r="GA318" s="1605"/>
      <c r="HS318" s="516"/>
      <c r="HY318" s="516"/>
      <c r="JB318" s="517"/>
      <c r="JD318" s="2638"/>
      <c r="JE318" s="2638"/>
      <c r="JF318" s="2638"/>
      <c r="JG318" s="2638"/>
      <c r="JH318" s="2638"/>
      <c r="JI318" s="2638"/>
      <c r="JJ318" s="2638"/>
      <c r="JK318" s="2638"/>
      <c r="JL318" s="2638"/>
      <c r="JM318" s="2638"/>
      <c r="JN318" s="2638"/>
    </row>
    <row r="319" spans="30:274" ht="4.1500000000000004" customHeight="1">
      <c r="AX319" s="519"/>
      <c r="AY319" s="521"/>
      <c r="AZ319" s="530"/>
      <c r="BA319" s="532"/>
      <c r="BB319" s="532"/>
      <c r="BC319" s="532"/>
      <c r="BD319" s="532"/>
      <c r="BE319" s="532"/>
      <c r="BF319" s="532"/>
      <c r="BG319" s="532"/>
      <c r="BH319" s="532"/>
      <c r="BI319" s="532"/>
      <c r="BJ319" s="532"/>
      <c r="BK319" s="532"/>
      <c r="BL319" s="532"/>
      <c r="BM319" s="532"/>
      <c r="BN319" s="532"/>
      <c r="BO319" s="532"/>
      <c r="BP319" s="532"/>
      <c r="BQ319" s="532"/>
      <c r="BR319" s="532"/>
      <c r="BS319" s="532"/>
      <c r="BT319" s="519"/>
      <c r="BU319" s="521"/>
      <c r="BV319" s="532"/>
      <c r="BW319" s="532"/>
      <c r="BX319" s="532"/>
      <c r="BY319" s="532"/>
      <c r="BZ319" s="532"/>
      <c r="CA319" s="532"/>
      <c r="CB319" s="532"/>
      <c r="CC319" s="532"/>
      <c r="CD319" s="532"/>
      <c r="CE319" s="532"/>
      <c r="CF319" s="532"/>
      <c r="CG319" s="532"/>
      <c r="CH319" s="532"/>
      <c r="CI319" s="532"/>
      <c r="CJ319" s="532"/>
      <c r="CK319" s="532"/>
      <c r="CL319" s="532"/>
      <c r="CM319" s="532"/>
      <c r="CN319" s="532"/>
      <c r="CO319" s="531"/>
      <c r="CP319" s="519"/>
      <c r="CQ319" s="521"/>
      <c r="CR319" s="516"/>
      <c r="CW319" s="662"/>
      <c r="CX319" s="662"/>
      <c r="CY319" s="662"/>
      <c r="CZ319" s="662"/>
      <c r="DA319" s="662"/>
      <c r="DB319" s="1601"/>
      <c r="DC319" s="1601"/>
      <c r="DD319" s="1601"/>
      <c r="DE319" s="1601"/>
      <c r="DF319" s="662"/>
      <c r="DG319" s="662"/>
      <c r="DH319" s="662"/>
      <c r="DI319" s="1601"/>
      <c r="DJ319" s="1601"/>
      <c r="DK319" s="1601"/>
      <c r="DL319" s="1601"/>
      <c r="DM319" s="1601"/>
      <c r="DN319" s="1601"/>
      <c r="DO319" s="1601"/>
      <c r="DP319" s="1601"/>
      <c r="DQ319" s="1601"/>
      <c r="DR319" s="1601"/>
      <c r="DS319" s="1601"/>
      <c r="DT319" s="1601"/>
      <c r="DU319" s="1601"/>
      <c r="DV319" s="1601"/>
      <c r="DW319" s="1601"/>
      <c r="DX319" s="1601"/>
      <c r="DY319" s="1601"/>
      <c r="DZ319" s="1601"/>
      <c r="EA319" s="1601"/>
      <c r="EB319" s="1601"/>
      <c r="EC319" s="1601"/>
      <c r="ED319" s="1601"/>
      <c r="EE319" s="1601"/>
      <c r="EF319" s="1601"/>
      <c r="EG319" s="1605"/>
      <c r="EH319" s="519"/>
      <c r="EI319" s="521"/>
      <c r="EJ319" s="530"/>
      <c r="EK319" s="532"/>
      <c r="EL319" s="532"/>
      <c r="EM319" s="532"/>
      <c r="EN319" s="532"/>
      <c r="EO319" s="532"/>
      <c r="EP319" s="532"/>
      <c r="EQ319" s="532"/>
      <c r="ER319" s="532"/>
      <c r="ES319" s="532"/>
      <c r="ET319" s="532"/>
      <c r="EU319" s="532"/>
      <c r="EV319" s="532"/>
      <c r="EW319" s="532"/>
      <c r="EX319" s="532"/>
      <c r="EY319" s="532"/>
      <c r="EZ319" s="532"/>
      <c r="FA319" s="532"/>
      <c r="FB319" s="532"/>
      <c r="FC319" s="532"/>
      <c r="FD319" s="519"/>
      <c r="FE319" s="521"/>
      <c r="FF319" s="532"/>
      <c r="FG319" s="532"/>
      <c r="FH319" s="532"/>
      <c r="FI319" s="532"/>
      <c r="FJ319" s="532"/>
      <c r="FK319" s="532"/>
      <c r="FL319" s="532"/>
      <c r="FM319" s="532"/>
      <c r="FN319" s="532"/>
      <c r="FO319" s="532"/>
      <c r="FP319" s="532"/>
      <c r="FQ319" s="532"/>
      <c r="FR319" s="532"/>
      <c r="FS319" s="532"/>
      <c r="FT319" s="532"/>
      <c r="FU319" s="532"/>
      <c r="FV319" s="532"/>
      <c r="FW319" s="532"/>
      <c r="FX319" s="532"/>
      <c r="FY319" s="531"/>
      <c r="FZ319" s="519"/>
      <c r="GA319" s="521"/>
      <c r="HQ319" s="532"/>
      <c r="HR319" s="532"/>
      <c r="HS319" s="530"/>
      <c r="HT319" s="532"/>
      <c r="HU319" s="532"/>
      <c r="HV319" s="532"/>
      <c r="HY319" s="530"/>
      <c r="HZ319" s="532"/>
      <c r="IA319" s="532"/>
      <c r="IB319" s="532"/>
      <c r="IC319" s="532"/>
      <c r="ID319" s="532"/>
      <c r="IE319" s="532"/>
      <c r="IF319" s="532"/>
      <c r="IG319" s="532"/>
      <c r="IH319" s="532"/>
      <c r="II319" s="532"/>
      <c r="IJ319" s="532"/>
      <c r="IK319" s="532"/>
      <c r="IL319" s="532"/>
      <c r="IM319" s="532"/>
      <c r="IN319" s="532"/>
      <c r="IO319" s="532"/>
      <c r="IP319" s="532"/>
      <c r="IQ319" s="532"/>
      <c r="IR319" s="532"/>
      <c r="IS319" s="532"/>
      <c r="IT319" s="532"/>
      <c r="IU319" s="532"/>
      <c r="IV319" s="532"/>
      <c r="IW319" s="532"/>
      <c r="IX319" s="532"/>
      <c r="IY319" s="532"/>
      <c r="IZ319" s="532"/>
      <c r="JA319" s="532"/>
      <c r="JB319" s="531"/>
      <c r="JD319" s="2640"/>
      <c r="JE319" s="2640"/>
      <c r="JF319" s="2640"/>
      <c r="JG319" s="2640"/>
      <c r="JH319" s="2640"/>
      <c r="JI319" s="2640"/>
      <c r="JJ319" s="2640"/>
      <c r="JK319" s="2640"/>
      <c r="JL319" s="2640"/>
      <c r="JM319" s="2640"/>
      <c r="JN319" s="2640"/>
    </row>
    <row r="320" spans="30:274" ht="4.1500000000000004" customHeight="1">
      <c r="AX320" s="522"/>
      <c r="AY320" s="524"/>
      <c r="BT320" s="522"/>
      <c r="BU320" s="524"/>
      <c r="CP320" s="522"/>
      <c r="CQ320" s="524"/>
      <c r="CR320" s="516"/>
      <c r="CW320" s="662"/>
      <c r="CX320" s="662"/>
      <c r="CY320" s="662"/>
      <c r="CZ320" s="662"/>
      <c r="DA320" s="662"/>
      <c r="DB320" s="1601"/>
      <c r="DC320" s="1601"/>
      <c r="DD320" s="1601"/>
      <c r="DE320" s="1601"/>
      <c r="DF320" s="662"/>
      <c r="DG320" s="662"/>
      <c r="DH320" s="662"/>
      <c r="DI320" s="1601"/>
      <c r="DJ320" s="1601"/>
      <c r="DK320" s="1601"/>
      <c r="DL320" s="1601"/>
      <c r="DM320" s="1601"/>
      <c r="DN320" s="1601"/>
      <c r="DO320" s="1601"/>
      <c r="DP320" s="1601"/>
      <c r="DQ320" s="1601"/>
      <c r="DR320" s="1601"/>
      <c r="DS320" s="1601"/>
      <c r="DT320" s="1601"/>
      <c r="DU320" s="1601"/>
      <c r="DV320" s="1601"/>
      <c r="DW320" s="1601"/>
      <c r="DX320" s="1601"/>
      <c r="DY320" s="1601"/>
      <c r="DZ320" s="1601"/>
      <c r="EA320" s="1601"/>
      <c r="EB320" s="1601"/>
      <c r="EC320" s="1601"/>
      <c r="ED320" s="1601"/>
      <c r="EE320" s="1601"/>
      <c r="EF320" s="1601"/>
      <c r="EG320" s="1605"/>
      <c r="EH320" s="522"/>
      <c r="EI320" s="524"/>
      <c r="EJ320" s="1601"/>
      <c r="EK320" s="1601"/>
      <c r="EL320" s="1601"/>
      <c r="EM320" s="1601"/>
      <c r="EN320" s="1601"/>
      <c r="EO320" s="1601"/>
      <c r="EP320" s="1601"/>
      <c r="EQ320" s="1601"/>
      <c r="ER320" s="1601"/>
      <c r="ES320" s="1601"/>
      <c r="ET320" s="1601"/>
      <c r="EU320" s="1601"/>
      <c r="EV320" s="1601"/>
      <c r="EW320" s="1601"/>
      <c r="EX320" s="1601"/>
      <c r="EY320" s="1601"/>
      <c r="EZ320" s="1601"/>
      <c r="FA320" s="1601"/>
      <c r="FB320" s="1601"/>
      <c r="FC320" s="1601"/>
      <c r="FD320" s="522"/>
      <c r="FE320" s="524"/>
      <c r="FF320" s="1601"/>
      <c r="FG320" s="1601"/>
      <c r="FH320" s="1601"/>
      <c r="FI320" s="1601"/>
      <c r="FJ320" s="1601"/>
      <c r="FK320" s="1601"/>
      <c r="FL320" s="1601"/>
      <c r="FM320" s="1601"/>
      <c r="FN320" s="1601"/>
      <c r="FO320" s="1601"/>
      <c r="FP320" s="1601"/>
      <c r="FQ320" s="1601"/>
      <c r="FR320" s="1601"/>
      <c r="FS320" s="1601"/>
      <c r="FT320" s="1601"/>
      <c r="FU320" s="1601"/>
      <c r="FV320" s="1601"/>
      <c r="FW320" s="1601"/>
      <c r="FX320" s="1601"/>
      <c r="FY320" s="1601"/>
      <c r="FZ320" s="522"/>
      <c r="GA320" s="524"/>
      <c r="IS320" s="514"/>
      <c r="IT320" s="514"/>
      <c r="IU320" s="514"/>
      <c r="IV320" s="514"/>
      <c r="IW320" s="514"/>
      <c r="IX320" s="514"/>
      <c r="IY320" s="514"/>
      <c r="IZ320" s="514"/>
      <c r="JA320" s="514"/>
      <c r="JB320" s="514"/>
    </row>
    <row r="321" spans="50:262" ht="4.1500000000000004" customHeight="1">
      <c r="AX321" s="527"/>
      <c r="AY321" s="529"/>
      <c r="AZ321" s="532"/>
      <c r="BA321" s="532"/>
      <c r="BB321" s="532"/>
      <c r="BC321" s="532"/>
      <c r="BD321" s="532"/>
      <c r="BE321" s="532"/>
      <c r="BF321" s="532"/>
      <c r="BG321" s="532"/>
      <c r="BH321" s="532"/>
      <c r="BI321" s="532"/>
      <c r="BJ321" s="532"/>
      <c r="BK321" s="532"/>
      <c r="BL321" s="532"/>
      <c r="BM321" s="532"/>
      <c r="BN321" s="532"/>
      <c r="BO321" s="532"/>
      <c r="BP321" s="532"/>
      <c r="BQ321" s="532"/>
      <c r="BR321" s="532"/>
      <c r="BS321" s="532"/>
      <c r="BT321" s="527"/>
      <c r="BU321" s="529"/>
      <c r="BV321" s="532"/>
      <c r="BW321" s="532"/>
      <c r="BX321" s="532"/>
      <c r="BY321" s="532"/>
      <c r="BZ321" s="532"/>
      <c r="CA321" s="532"/>
      <c r="CB321" s="532"/>
      <c r="CC321" s="532"/>
      <c r="CD321" s="532"/>
      <c r="CE321" s="532"/>
      <c r="CF321" s="532"/>
      <c r="CG321" s="532"/>
      <c r="CH321" s="532"/>
      <c r="CI321" s="532"/>
      <c r="CJ321" s="532"/>
      <c r="CK321" s="532"/>
      <c r="CL321" s="532"/>
      <c r="CM321" s="532"/>
      <c r="CN321" s="532"/>
      <c r="CO321" s="532"/>
      <c r="CP321" s="527"/>
      <c r="CQ321" s="529"/>
      <c r="CR321" s="516"/>
      <c r="CW321" s="662"/>
      <c r="CX321" s="662"/>
      <c r="CY321" s="662"/>
      <c r="CZ321" s="662"/>
      <c r="DA321" s="662"/>
      <c r="DB321" s="1601"/>
      <c r="DC321" s="1601"/>
      <c r="DD321" s="1601"/>
      <c r="DE321" s="1601"/>
      <c r="DF321" s="662"/>
      <c r="DG321" s="662"/>
      <c r="DH321" s="662"/>
      <c r="DI321" s="662"/>
      <c r="DJ321" s="662"/>
      <c r="DK321" s="662"/>
      <c r="DL321" s="662"/>
      <c r="DM321" s="662"/>
      <c r="DN321" s="662"/>
      <c r="DO321" s="662"/>
      <c r="DP321" s="662"/>
      <c r="DQ321" s="662"/>
      <c r="DR321" s="662"/>
      <c r="DS321" s="662"/>
      <c r="DT321" s="662"/>
      <c r="DU321" s="662"/>
      <c r="DV321" s="662"/>
      <c r="DW321" s="662"/>
      <c r="DX321" s="662"/>
      <c r="DY321" s="662"/>
      <c r="DZ321" s="662"/>
      <c r="EA321" s="662"/>
      <c r="EB321" s="662"/>
      <c r="EC321" s="662"/>
      <c r="ED321" s="662"/>
      <c r="EE321" s="662"/>
      <c r="EF321" s="662"/>
      <c r="EG321" s="664"/>
      <c r="EH321" s="527"/>
      <c r="EI321" s="529"/>
      <c r="EJ321" s="665"/>
      <c r="EK321" s="665"/>
      <c r="EL321" s="665"/>
      <c r="EM321" s="665"/>
      <c r="EN321" s="665"/>
      <c r="EO321" s="665"/>
      <c r="EP321" s="665"/>
      <c r="EQ321" s="665"/>
      <c r="ER321" s="665"/>
      <c r="ES321" s="665"/>
      <c r="ET321" s="665"/>
      <c r="EU321" s="665"/>
      <c r="EV321" s="665"/>
      <c r="EW321" s="665"/>
      <c r="EX321" s="665"/>
      <c r="EY321" s="665"/>
      <c r="EZ321" s="665"/>
      <c r="FA321" s="665"/>
      <c r="FB321" s="665"/>
      <c r="FC321" s="665"/>
      <c r="FD321" s="527"/>
      <c r="FE321" s="529"/>
      <c r="FF321" s="665"/>
      <c r="FG321" s="665"/>
      <c r="FH321" s="665"/>
      <c r="FI321" s="665"/>
      <c r="FJ321" s="665"/>
      <c r="FK321" s="665"/>
      <c r="FL321" s="665"/>
      <c r="FM321" s="665"/>
      <c r="FN321" s="665"/>
      <c r="FO321" s="665"/>
      <c r="FP321" s="665"/>
      <c r="FQ321" s="665"/>
      <c r="FR321" s="665"/>
      <c r="FS321" s="665"/>
      <c r="FT321" s="665"/>
      <c r="FU321" s="665"/>
      <c r="FV321" s="665"/>
      <c r="FW321" s="665"/>
      <c r="FX321" s="665"/>
      <c r="FY321" s="665"/>
      <c r="FZ321" s="527"/>
      <c r="GA321" s="529"/>
      <c r="HY321" s="516"/>
      <c r="JB321" s="517"/>
    </row>
    <row r="322" spans="50:262" ht="4.1500000000000004" customHeight="1">
      <c r="HY322" s="516"/>
      <c r="IG322" s="2596">
        <v>1.2</v>
      </c>
      <c r="IH322" s="2596"/>
      <c r="II322" s="2596"/>
      <c r="IJ322" s="2596"/>
      <c r="IK322" s="2596"/>
      <c r="IL322" s="2596"/>
      <c r="IM322" s="2596"/>
      <c r="IN322" s="2596"/>
      <c r="IO322" s="2596"/>
      <c r="IP322" s="2596"/>
      <c r="IQ322" s="2596"/>
      <c r="IR322" s="2596"/>
      <c r="JB322" s="517"/>
    </row>
    <row r="323" spans="50:262" ht="4.1500000000000004" customHeight="1">
      <c r="HY323" s="530"/>
      <c r="HZ323" s="532"/>
      <c r="IA323" s="532"/>
      <c r="IB323" s="532"/>
      <c r="IC323" s="532"/>
      <c r="ID323" s="532"/>
      <c r="IE323" s="532"/>
      <c r="IF323" s="532"/>
      <c r="IG323" s="2596"/>
      <c r="IH323" s="2596"/>
      <c r="II323" s="2596"/>
      <c r="IJ323" s="2596"/>
      <c r="IK323" s="2596"/>
      <c r="IL323" s="2596"/>
      <c r="IM323" s="2596"/>
      <c r="IN323" s="2596"/>
      <c r="IO323" s="2596"/>
      <c r="IP323" s="2596"/>
      <c r="IQ323" s="2596"/>
      <c r="IR323" s="2596"/>
      <c r="IS323" s="532"/>
      <c r="IT323" s="532"/>
      <c r="IU323" s="532"/>
      <c r="IV323" s="532"/>
      <c r="IW323" s="532"/>
      <c r="IX323" s="532"/>
      <c r="IY323" s="532"/>
      <c r="IZ323" s="532"/>
      <c r="JA323" s="532"/>
      <c r="JB323" s="531"/>
    </row>
    <row r="324" spans="50:262" ht="4.1500000000000004" customHeight="1">
      <c r="HY324" s="516"/>
      <c r="IG324" s="2596"/>
      <c r="IH324" s="2596"/>
      <c r="II324" s="2596"/>
      <c r="IJ324" s="2596"/>
      <c r="IK324" s="2596"/>
      <c r="IL324" s="2596"/>
      <c r="IM324" s="2596"/>
      <c r="IN324" s="2596"/>
      <c r="IO324" s="2596"/>
      <c r="IP324" s="2596"/>
      <c r="IQ324" s="2596"/>
      <c r="IR324" s="2596"/>
      <c r="JB324" s="517"/>
    </row>
    <row r="327" spans="50:262" ht="4.1500000000000004" customHeight="1">
      <c r="HY327" s="515"/>
      <c r="HZ327" s="514"/>
      <c r="IA327" s="514"/>
      <c r="IB327" s="514"/>
      <c r="IC327" s="514"/>
      <c r="ID327" s="514"/>
      <c r="IE327" s="514"/>
      <c r="IF327" s="514"/>
      <c r="IG327" s="514"/>
      <c r="IH327" s="514"/>
      <c r="II327" s="514"/>
      <c r="IJ327" s="514"/>
      <c r="IK327" s="514"/>
      <c r="IL327" s="514"/>
      <c r="IM327" s="514"/>
      <c r="IN327" s="514"/>
      <c r="IO327" s="514"/>
      <c r="IP327" s="514"/>
      <c r="IQ327" s="514"/>
      <c r="IR327" s="514"/>
      <c r="IS327" s="514"/>
      <c r="IT327" s="514"/>
      <c r="IU327" s="514"/>
      <c r="IV327" s="514"/>
      <c r="IW327" s="514"/>
      <c r="IX327" s="514"/>
      <c r="IY327" s="514"/>
      <c r="IZ327" s="514"/>
      <c r="JA327" s="514"/>
      <c r="JB327" s="518"/>
    </row>
    <row r="328" spans="50:262" ht="4.1500000000000004" customHeight="1">
      <c r="HY328" s="516"/>
      <c r="HZ328" s="2647"/>
      <c r="IA328" s="2648"/>
      <c r="IB328" s="2648"/>
      <c r="IC328" s="2648"/>
      <c r="ID328" s="2648"/>
      <c r="IE328" s="2648"/>
      <c r="IF328" s="2648"/>
      <c r="IG328" s="2648"/>
      <c r="IH328" s="2648"/>
      <c r="II328" s="2648"/>
      <c r="IJ328" s="2648"/>
      <c r="IK328" s="514"/>
      <c r="IL328" s="514"/>
      <c r="IM328" s="514"/>
      <c r="IN328" s="514"/>
      <c r="IO328" s="514"/>
      <c r="IP328" s="514"/>
      <c r="IQ328" s="2617"/>
      <c r="IR328" s="2617"/>
      <c r="IS328" s="2617"/>
      <c r="IT328" s="2617"/>
      <c r="IU328" s="2617"/>
      <c r="IV328" s="2617"/>
      <c r="IW328" s="2617"/>
      <c r="IX328" s="2617"/>
      <c r="IY328" s="2617"/>
      <c r="IZ328" s="2617"/>
      <c r="JA328" s="2618"/>
      <c r="JB328" s="517"/>
    </row>
    <row r="329" spans="50:262" ht="4.1500000000000004" customHeight="1">
      <c r="HY329" s="516"/>
      <c r="HZ329" s="2649"/>
      <c r="IA329" s="2644"/>
      <c r="IB329" s="2644"/>
      <c r="IC329" s="2644"/>
      <c r="ID329" s="2644"/>
      <c r="IE329" s="2644"/>
      <c r="IF329" s="2644"/>
      <c r="IG329" s="2644"/>
      <c r="IH329" s="2644"/>
      <c r="II329" s="2644"/>
      <c r="IJ329" s="2644"/>
      <c r="IQ329" s="2619"/>
      <c r="IR329" s="2619"/>
      <c r="IS329" s="2619"/>
      <c r="IT329" s="2619"/>
      <c r="IU329" s="2619"/>
      <c r="IV329" s="2619"/>
      <c r="IW329" s="2619"/>
      <c r="IX329" s="2619"/>
      <c r="IY329" s="2619"/>
      <c r="IZ329" s="2619"/>
      <c r="JA329" s="2620"/>
      <c r="JB329" s="517"/>
    </row>
    <row r="330" spans="50:262" ht="4.1500000000000004" customHeight="1">
      <c r="HY330" s="516"/>
      <c r="HZ330" s="2649"/>
      <c r="IA330" s="2644"/>
      <c r="IB330" s="2644"/>
      <c r="IC330" s="2644"/>
      <c r="ID330" s="2644"/>
      <c r="IE330" s="2644"/>
      <c r="IF330" s="2644"/>
      <c r="IG330" s="2644"/>
      <c r="IH330" s="2644"/>
      <c r="II330" s="2644"/>
      <c r="IJ330" s="2644"/>
      <c r="IQ330" s="2619"/>
      <c r="IR330" s="2619"/>
      <c r="IS330" s="2619"/>
      <c r="IT330" s="2619"/>
      <c r="IU330" s="2619"/>
      <c r="IV330" s="2619"/>
      <c r="IW330" s="2619"/>
      <c r="IX330" s="2619"/>
      <c r="IY330" s="2619"/>
      <c r="IZ330" s="2619"/>
      <c r="JA330" s="2620"/>
      <c r="JB330" s="517"/>
    </row>
    <row r="331" spans="50:262" ht="4.1500000000000004" customHeight="1">
      <c r="HY331" s="516"/>
      <c r="HZ331" s="2649"/>
      <c r="IA331" s="2644"/>
      <c r="IB331" s="2644"/>
      <c r="IC331" s="2644"/>
      <c r="ID331" s="2644"/>
      <c r="IE331" s="2644"/>
      <c r="IF331" s="2644"/>
      <c r="IG331" s="2644"/>
      <c r="IH331" s="2644"/>
      <c r="II331" s="2644"/>
      <c r="IJ331" s="2644"/>
      <c r="IQ331" s="2619"/>
      <c r="IR331" s="2619"/>
      <c r="IS331" s="2619"/>
      <c r="IT331" s="2619"/>
      <c r="IU331" s="2619"/>
      <c r="IV331" s="2619"/>
      <c r="IW331" s="2619"/>
      <c r="IX331" s="2619"/>
      <c r="IY331" s="2619"/>
      <c r="IZ331" s="2619"/>
      <c r="JA331" s="2620"/>
      <c r="JB331" s="517"/>
    </row>
    <row r="332" spans="50:262" ht="4.1500000000000004" customHeight="1">
      <c r="HY332" s="516"/>
      <c r="HZ332" s="2649"/>
      <c r="IA332" s="2644"/>
      <c r="IB332" s="2644"/>
      <c r="IC332" s="2644"/>
      <c r="ID332" s="2644"/>
      <c r="IE332" s="2644"/>
      <c r="IF332" s="2644"/>
      <c r="IG332" s="2644"/>
      <c r="IH332" s="2644"/>
      <c r="II332" s="2644"/>
      <c r="IJ332" s="2644"/>
      <c r="IQ332" s="2619"/>
      <c r="IR332" s="2619"/>
      <c r="IS332" s="2619"/>
      <c r="IT332" s="2619"/>
      <c r="IU332" s="2619"/>
      <c r="IV332" s="2619"/>
      <c r="IW332" s="2619"/>
      <c r="IX332" s="2619"/>
      <c r="IY332" s="2619"/>
      <c r="IZ332" s="2619"/>
      <c r="JA332" s="2620"/>
      <c r="JB332" s="517"/>
    </row>
    <row r="333" spans="50:262" ht="4.1500000000000004" customHeight="1">
      <c r="HY333" s="516"/>
      <c r="HZ333" s="2649"/>
      <c r="IA333" s="2644"/>
      <c r="IB333" s="2644"/>
      <c r="IC333" s="2644"/>
      <c r="ID333" s="2644"/>
      <c r="IE333" s="2644"/>
      <c r="IF333" s="2644"/>
      <c r="IG333" s="2644"/>
      <c r="IH333" s="2644"/>
      <c r="II333" s="2644"/>
      <c r="IJ333" s="2644"/>
      <c r="IQ333" s="2619"/>
      <c r="IR333" s="2619"/>
      <c r="IS333" s="2619"/>
      <c r="IT333" s="2619"/>
      <c r="IU333" s="2619"/>
      <c r="IV333" s="2619"/>
      <c r="IW333" s="2619"/>
      <c r="IX333" s="2619"/>
      <c r="IY333" s="2619"/>
      <c r="IZ333" s="2619"/>
      <c r="JA333" s="2620"/>
      <c r="JB333" s="517"/>
    </row>
    <row r="334" spans="50:262" ht="4.1500000000000004" customHeight="1">
      <c r="HY334" s="516"/>
      <c r="HZ334" s="2649"/>
      <c r="IA334" s="2644"/>
      <c r="IB334" s="2644"/>
      <c r="IC334" s="2644"/>
      <c r="ID334" s="2644"/>
      <c r="IE334" s="2644"/>
      <c r="IF334" s="2644"/>
      <c r="IG334" s="2644"/>
      <c r="IH334" s="2644"/>
      <c r="II334" s="2644"/>
      <c r="IJ334" s="2644"/>
      <c r="IQ334" s="2619"/>
      <c r="IR334" s="2619"/>
      <c r="IS334" s="2619"/>
      <c r="IT334" s="2619"/>
      <c r="IU334" s="2619"/>
      <c r="IV334" s="2619"/>
      <c r="IW334" s="2619"/>
      <c r="IX334" s="2619"/>
      <c r="IY334" s="2619"/>
      <c r="IZ334" s="2619"/>
      <c r="JA334" s="2620"/>
      <c r="JB334" s="517"/>
    </row>
    <row r="335" spans="50:262" ht="4.1500000000000004" customHeight="1">
      <c r="HY335" s="516"/>
      <c r="HZ335" s="2649"/>
      <c r="IA335" s="2644"/>
      <c r="IB335" s="2644"/>
      <c r="IC335" s="2644"/>
      <c r="ID335" s="2644"/>
      <c r="IE335" s="2644"/>
      <c r="IF335" s="2644"/>
      <c r="IG335" s="2644"/>
      <c r="IH335" s="2644"/>
      <c r="II335" s="2644"/>
      <c r="IJ335" s="2644"/>
      <c r="IQ335" s="2619"/>
      <c r="IR335" s="2619"/>
      <c r="IS335" s="2619"/>
      <c r="IT335" s="2619"/>
      <c r="IU335" s="2619"/>
      <c r="IV335" s="2619"/>
      <c r="IW335" s="2619"/>
      <c r="IX335" s="2619"/>
      <c r="IY335" s="2619"/>
      <c r="IZ335" s="2619"/>
      <c r="JA335" s="2620"/>
      <c r="JB335" s="517"/>
    </row>
    <row r="336" spans="50:262" ht="4.1500000000000004" customHeight="1">
      <c r="HY336" s="516"/>
      <c r="HZ336" s="2649"/>
      <c r="IA336" s="2644"/>
      <c r="IB336" s="2644"/>
      <c r="IC336" s="2644"/>
      <c r="ID336" s="2644"/>
      <c r="IE336" s="2644"/>
      <c r="IF336" s="2644"/>
      <c r="IG336" s="2644"/>
      <c r="IH336" s="2644"/>
      <c r="II336" s="2644"/>
      <c r="IJ336" s="2644"/>
      <c r="IQ336" s="2619"/>
      <c r="IR336" s="2619"/>
      <c r="IS336" s="2619"/>
      <c r="IT336" s="2619"/>
      <c r="IU336" s="2619"/>
      <c r="IV336" s="2619"/>
      <c r="IW336" s="2619"/>
      <c r="IX336" s="2619"/>
      <c r="IY336" s="2619"/>
      <c r="IZ336" s="2619"/>
      <c r="JA336" s="2620"/>
      <c r="JB336" s="517"/>
    </row>
    <row r="337" spans="233:262" ht="4.1500000000000004" customHeight="1">
      <c r="HY337" s="516"/>
      <c r="HZ337" s="2649"/>
      <c r="IA337" s="2644"/>
      <c r="IB337" s="2644"/>
      <c r="IC337" s="2644"/>
      <c r="ID337" s="2644"/>
      <c r="IE337" s="2644"/>
      <c r="IF337" s="2644"/>
      <c r="IG337" s="2644"/>
      <c r="IH337" s="2644"/>
      <c r="II337" s="2644"/>
      <c r="IJ337" s="2644"/>
      <c r="IQ337" s="2619"/>
      <c r="IR337" s="2619"/>
      <c r="IS337" s="2619"/>
      <c r="IT337" s="2619"/>
      <c r="IU337" s="2619"/>
      <c r="IV337" s="2619"/>
      <c r="IW337" s="2619"/>
      <c r="IX337" s="2619"/>
      <c r="IY337" s="2619"/>
      <c r="IZ337" s="2619"/>
      <c r="JA337" s="2620"/>
      <c r="JB337" s="517"/>
    </row>
    <row r="338" spans="233:262" ht="4.1500000000000004" customHeight="1">
      <c r="HY338" s="516"/>
      <c r="HZ338" s="2649"/>
      <c r="IA338" s="2644"/>
      <c r="IB338" s="2644"/>
      <c r="IC338" s="2644"/>
      <c r="ID338" s="2644"/>
      <c r="IE338" s="2644"/>
      <c r="IF338" s="2644"/>
      <c r="IG338" s="2644"/>
      <c r="IH338" s="2644"/>
      <c r="II338" s="2644"/>
      <c r="IJ338" s="2644"/>
      <c r="IQ338" s="2619"/>
      <c r="IR338" s="2619"/>
      <c r="IS338" s="2619"/>
      <c r="IT338" s="2619"/>
      <c r="IU338" s="2619"/>
      <c r="IV338" s="2619"/>
      <c r="IW338" s="2619"/>
      <c r="IX338" s="2619"/>
      <c r="IY338" s="2619"/>
      <c r="IZ338" s="2619"/>
      <c r="JA338" s="2620"/>
      <c r="JB338" s="517"/>
    </row>
    <row r="339" spans="233:262" ht="4.1500000000000004" customHeight="1">
      <c r="HY339" s="516"/>
      <c r="HZ339" s="2649"/>
      <c r="IA339" s="2644"/>
      <c r="IB339" s="2644"/>
      <c r="IC339" s="2644"/>
      <c r="ID339" s="2644"/>
      <c r="IE339" s="2644"/>
      <c r="IF339" s="2644"/>
      <c r="IG339" s="2644"/>
      <c r="IH339" s="2644"/>
      <c r="II339" s="2644"/>
      <c r="IJ339" s="2644"/>
      <c r="IQ339" s="2619"/>
      <c r="IR339" s="2619"/>
      <c r="IS339" s="2619"/>
      <c r="IT339" s="2619"/>
      <c r="IU339" s="2619"/>
      <c r="IV339" s="2619"/>
      <c r="IW339" s="2619"/>
      <c r="IX339" s="2619"/>
      <c r="IY339" s="2619"/>
      <c r="IZ339" s="2619"/>
      <c r="JA339" s="2620"/>
      <c r="JB339" s="517"/>
    </row>
    <row r="340" spans="233:262" ht="4.1500000000000004" customHeight="1">
      <c r="HY340" s="516"/>
      <c r="HZ340" s="2649"/>
      <c r="IA340" s="2644"/>
      <c r="IB340" s="2644"/>
      <c r="IC340" s="2644"/>
      <c r="ID340" s="2644"/>
      <c r="IE340" s="2644"/>
      <c r="IF340" s="2644"/>
      <c r="IG340" s="2644"/>
      <c r="IH340" s="2644"/>
      <c r="II340" s="2644"/>
      <c r="IJ340" s="2644"/>
      <c r="IK340" s="532"/>
      <c r="IL340" s="532"/>
      <c r="IM340" s="532"/>
      <c r="IN340" s="532"/>
      <c r="IO340" s="532"/>
      <c r="IP340" s="532"/>
      <c r="IQ340" s="2619"/>
      <c r="IR340" s="2619"/>
      <c r="IS340" s="2619"/>
      <c r="IT340" s="2619"/>
      <c r="IU340" s="2619"/>
      <c r="IV340" s="2619"/>
      <c r="IW340" s="2619"/>
      <c r="IX340" s="2619"/>
      <c r="IY340" s="2619"/>
      <c r="IZ340" s="2619"/>
      <c r="JA340" s="2620"/>
      <c r="JB340" s="517"/>
    </row>
    <row r="341" spans="233:262" ht="4.1500000000000004" customHeight="1">
      <c r="HY341" s="516"/>
      <c r="HZ341" s="516"/>
      <c r="IJ341" s="517"/>
      <c r="IQ341" s="516"/>
      <c r="JA341" s="517"/>
      <c r="JB341" s="517"/>
    </row>
    <row r="342" spans="233:262" ht="4.1500000000000004" customHeight="1">
      <c r="HY342" s="516"/>
      <c r="HZ342" s="516"/>
      <c r="IJ342" s="517"/>
      <c r="IL342" s="515"/>
      <c r="IM342" s="514"/>
      <c r="IN342" s="514"/>
      <c r="IO342" s="518"/>
      <c r="IQ342" s="516"/>
      <c r="JA342" s="517"/>
      <c r="JB342" s="517"/>
    </row>
    <row r="343" spans="233:262" ht="4.1500000000000004" customHeight="1">
      <c r="HY343" s="516"/>
      <c r="HZ343" s="516"/>
      <c r="IJ343" s="517"/>
      <c r="IL343" s="516"/>
      <c r="IO343" s="517"/>
      <c r="IQ343" s="516"/>
      <c r="JA343" s="517"/>
      <c r="JB343" s="517"/>
    </row>
    <row r="344" spans="233:262" ht="4.1500000000000004" customHeight="1">
      <c r="HY344" s="516"/>
      <c r="HZ344" s="516"/>
      <c r="IJ344" s="517"/>
      <c r="IL344" s="516"/>
      <c r="IO344" s="517"/>
      <c r="IQ344" s="516"/>
      <c r="JA344" s="517"/>
      <c r="JB344" s="517"/>
    </row>
    <row r="345" spans="233:262" ht="4.1500000000000004" customHeight="1">
      <c r="HY345" s="516"/>
      <c r="HZ345" s="516"/>
      <c r="IJ345" s="517"/>
      <c r="IL345" s="516"/>
      <c r="IO345" s="517"/>
      <c r="IQ345" s="516"/>
      <c r="JA345" s="517"/>
      <c r="JB345" s="517"/>
    </row>
    <row r="346" spans="233:262" ht="4.1500000000000004" customHeight="1">
      <c r="HY346" s="516"/>
      <c r="HZ346" s="516"/>
      <c r="IJ346" s="517"/>
      <c r="IL346" s="516"/>
      <c r="IO346" s="517"/>
      <c r="IQ346" s="516"/>
      <c r="JA346" s="517"/>
      <c r="JB346" s="517"/>
    </row>
    <row r="347" spans="233:262" ht="4.1500000000000004" customHeight="1">
      <c r="HY347" s="516"/>
      <c r="HZ347" s="516"/>
      <c r="IJ347" s="517"/>
      <c r="IL347" s="516"/>
      <c r="IO347" s="517"/>
      <c r="IQ347" s="516"/>
      <c r="JA347" s="517"/>
      <c r="JB347" s="517"/>
    </row>
    <row r="348" spans="233:262" ht="4.1500000000000004" customHeight="1">
      <c r="HY348" s="516"/>
      <c r="HZ348" s="516"/>
      <c r="IJ348" s="517"/>
      <c r="IL348" s="530"/>
      <c r="IM348" s="532"/>
      <c r="IN348" s="532"/>
      <c r="IO348" s="531"/>
      <c r="IQ348" s="516"/>
      <c r="JA348" s="517"/>
      <c r="JB348" s="517"/>
    </row>
    <row r="349" spans="233:262" ht="4.1500000000000004" customHeight="1">
      <c r="HY349" s="516"/>
      <c r="HZ349" s="516"/>
      <c r="IJ349" s="517"/>
      <c r="IQ349" s="516"/>
      <c r="JA349" s="517"/>
      <c r="JB349" s="517"/>
    </row>
    <row r="350" spans="233:262" ht="4.1500000000000004" customHeight="1">
      <c r="HY350" s="516"/>
      <c r="HZ350" s="2650"/>
      <c r="IA350" s="2619"/>
      <c r="IB350" s="2619"/>
      <c r="IC350" s="2619"/>
      <c r="ID350" s="2619"/>
      <c r="IE350" s="2619"/>
      <c r="IF350" s="2619"/>
      <c r="IG350" s="2619"/>
      <c r="IH350" s="2619"/>
      <c r="II350" s="2619"/>
      <c r="IJ350" s="2619"/>
      <c r="IK350" s="514"/>
      <c r="IL350" s="514"/>
      <c r="IM350" s="514"/>
      <c r="IN350" s="514"/>
      <c r="IO350" s="514"/>
      <c r="IP350" s="514"/>
      <c r="IQ350" s="2644"/>
      <c r="IR350" s="2644"/>
      <c r="IS350" s="2644"/>
      <c r="IT350" s="2644"/>
      <c r="IU350" s="2644"/>
      <c r="IV350" s="2644"/>
      <c r="IW350" s="2644"/>
      <c r="IX350" s="2644"/>
      <c r="IY350" s="2644"/>
      <c r="IZ350" s="2644"/>
      <c r="JA350" s="2652"/>
      <c r="JB350" s="517"/>
    </row>
    <row r="351" spans="233:262" ht="4.1500000000000004" customHeight="1">
      <c r="HY351" s="516"/>
      <c r="HZ351" s="2650"/>
      <c r="IA351" s="2619"/>
      <c r="IB351" s="2619"/>
      <c r="IC351" s="2619"/>
      <c r="ID351" s="2619"/>
      <c r="IE351" s="2619"/>
      <c r="IF351" s="2619"/>
      <c r="IG351" s="2619"/>
      <c r="IH351" s="2619"/>
      <c r="II351" s="2619"/>
      <c r="IJ351" s="2619"/>
      <c r="IQ351" s="2644"/>
      <c r="IR351" s="2644"/>
      <c r="IS351" s="2644"/>
      <c r="IT351" s="2644"/>
      <c r="IU351" s="2644"/>
      <c r="IV351" s="2644"/>
      <c r="IW351" s="2644"/>
      <c r="IX351" s="2644"/>
      <c r="IY351" s="2644"/>
      <c r="IZ351" s="2644"/>
      <c r="JA351" s="2652"/>
      <c r="JB351" s="517"/>
    </row>
    <row r="352" spans="233:262" ht="4.1500000000000004" customHeight="1">
      <c r="HY352" s="516"/>
      <c r="HZ352" s="2650"/>
      <c r="IA352" s="2619"/>
      <c r="IB352" s="2619"/>
      <c r="IC352" s="2619"/>
      <c r="ID352" s="2619"/>
      <c r="IE352" s="2619"/>
      <c r="IF352" s="2619"/>
      <c r="IG352" s="2619"/>
      <c r="IH352" s="2619"/>
      <c r="II352" s="2619"/>
      <c r="IJ352" s="2619"/>
      <c r="IQ352" s="2644"/>
      <c r="IR352" s="2644"/>
      <c r="IS352" s="2644"/>
      <c r="IT352" s="2644"/>
      <c r="IU352" s="2644"/>
      <c r="IV352" s="2644"/>
      <c r="IW352" s="2644"/>
      <c r="IX352" s="2644"/>
      <c r="IY352" s="2644"/>
      <c r="IZ352" s="2644"/>
      <c r="JA352" s="2652"/>
      <c r="JB352" s="517"/>
    </row>
    <row r="353" spans="7:262" ht="4.1500000000000004" customHeight="1">
      <c r="HY353" s="516"/>
      <c r="HZ353" s="2650"/>
      <c r="IA353" s="2619"/>
      <c r="IB353" s="2619"/>
      <c r="IC353" s="2619"/>
      <c r="ID353" s="2619"/>
      <c r="IE353" s="2619"/>
      <c r="IF353" s="2619"/>
      <c r="IG353" s="2619"/>
      <c r="IH353" s="2619"/>
      <c r="II353" s="2619"/>
      <c r="IJ353" s="2619"/>
      <c r="IQ353" s="2644"/>
      <c r="IR353" s="2644"/>
      <c r="IS353" s="2644"/>
      <c r="IT353" s="2644"/>
      <c r="IU353" s="2644"/>
      <c r="IV353" s="2644"/>
      <c r="IW353" s="2644"/>
      <c r="IX353" s="2644"/>
      <c r="IY353" s="2644"/>
      <c r="IZ353" s="2644"/>
      <c r="JA353" s="2652"/>
      <c r="JB353" s="517"/>
    </row>
    <row r="354" spans="7:262" ht="4.1500000000000004" customHeight="1">
      <c r="HY354" s="516"/>
      <c r="HZ354" s="2650"/>
      <c r="IA354" s="2619"/>
      <c r="IB354" s="2619"/>
      <c r="IC354" s="2619"/>
      <c r="ID354" s="2619"/>
      <c r="IE354" s="2619"/>
      <c r="IF354" s="2619"/>
      <c r="IG354" s="2619"/>
      <c r="IH354" s="2619"/>
      <c r="II354" s="2619"/>
      <c r="IJ354" s="2619"/>
      <c r="IQ354" s="2644"/>
      <c r="IR354" s="2644"/>
      <c r="IS354" s="2644"/>
      <c r="IT354" s="2644"/>
      <c r="IU354" s="2644"/>
      <c r="IV354" s="2644"/>
      <c r="IW354" s="2644"/>
      <c r="IX354" s="2644"/>
      <c r="IY354" s="2644"/>
      <c r="IZ354" s="2644"/>
      <c r="JA354" s="2652"/>
      <c r="JB354" s="517"/>
    </row>
    <row r="355" spans="7:262" ht="4.1500000000000004" customHeight="1">
      <c r="HY355" s="516"/>
      <c r="HZ355" s="2650"/>
      <c r="IA355" s="2619"/>
      <c r="IB355" s="2619"/>
      <c r="IC355" s="2619"/>
      <c r="ID355" s="2619"/>
      <c r="IE355" s="2619"/>
      <c r="IF355" s="2619"/>
      <c r="IG355" s="2619"/>
      <c r="IH355" s="2619"/>
      <c r="II355" s="2619"/>
      <c r="IJ355" s="2619"/>
      <c r="IQ355" s="2644"/>
      <c r="IR355" s="2644"/>
      <c r="IS355" s="2644"/>
      <c r="IT355" s="2644"/>
      <c r="IU355" s="2644"/>
      <c r="IV355" s="2644"/>
      <c r="IW355" s="2644"/>
      <c r="IX355" s="2644"/>
      <c r="IY355" s="2644"/>
      <c r="IZ355" s="2644"/>
      <c r="JA355" s="2652"/>
      <c r="JB355" s="517"/>
    </row>
    <row r="356" spans="7:262" ht="4.1500000000000004" customHeight="1">
      <c r="HY356" s="516"/>
      <c r="HZ356" s="2650"/>
      <c r="IA356" s="2619"/>
      <c r="IB356" s="2619"/>
      <c r="IC356" s="2619"/>
      <c r="ID356" s="2619"/>
      <c r="IE356" s="2619"/>
      <c r="IF356" s="2619"/>
      <c r="IG356" s="2619"/>
      <c r="IH356" s="2619"/>
      <c r="II356" s="2619"/>
      <c r="IJ356" s="2619"/>
      <c r="IQ356" s="2644"/>
      <c r="IR356" s="2644"/>
      <c r="IS356" s="2644"/>
      <c r="IT356" s="2644"/>
      <c r="IU356" s="2644"/>
      <c r="IV356" s="2644"/>
      <c r="IW356" s="2644"/>
      <c r="IX356" s="2644"/>
      <c r="IY356" s="2644"/>
      <c r="IZ356" s="2644"/>
      <c r="JA356" s="2652"/>
      <c r="JB356" s="517"/>
    </row>
    <row r="357" spans="7:262" ht="4.1500000000000004" customHeight="1">
      <c r="HY357" s="516"/>
      <c r="HZ357" s="2650"/>
      <c r="IA357" s="2619"/>
      <c r="IB357" s="2619"/>
      <c r="IC357" s="2619"/>
      <c r="ID357" s="2619"/>
      <c r="IE357" s="2619"/>
      <c r="IF357" s="2619"/>
      <c r="IG357" s="2619"/>
      <c r="IH357" s="2619"/>
      <c r="II357" s="2619"/>
      <c r="IJ357" s="2619"/>
      <c r="IQ357" s="2644"/>
      <c r="IR357" s="2644"/>
      <c r="IS357" s="2644"/>
      <c r="IT357" s="2644"/>
      <c r="IU357" s="2644"/>
      <c r="IV357" s="2644"/>
      <c r="IW357" s="2644"/>
      <c r="IX357" s="2644"/>
      <c r="IY357" s="2644"/>
      <c r="IZ357" s="2644"/>
      <c r="JA357" s="2652"/>
      <c r="JB357" s="517"/>
    </row>
    <row r="358" spans="7:262" ht="4.1500000000000004" customHeight="1">
      <c r="G358" s="2668" t="str">
        <f>'Lead &amp; ANALYSIS'!B144</f>
        <v>Junior Engineer</v>
      </c>
      <c r="H358" s="2668"/>
      <c r="I358" s="2668"/>
      <c r="J358" s="2668"/>
      <c r="K358" s="2668"/>
      <c r="L358" s="2668"/>
      <c r="M358" s="2668"/>
      <c r="N358" s="2668"/>
      <c r="O358" s="2668"/>
      <c r="P358" s="2668"/>
      <c r="Q358" s="2668"/>
      <c r="R358" s="2668"/>
      <c r="S358" s="2668"/>
      <c r="T358" s="2668"/>
      <c r="U358" s="2668"/>
      <c r="V358" s="2668"/>
      <c r="W358" s="2668"/>
      <c r="X358" s="2668"/>
      <c r="Y358" s="2668"/>
      <c r="Z358" s="2668"/>
      <c r="AA358" s="2668"/>
      <c r="AB358" s="2668"/>
      <c r="AC358" s="2668"/>
      <c r="AD358" s="2668"/>
      <c r="AE358" s="2668"/>
      <c r="AF358" s="2668"/>
      <c r="AG358" s="2668"/>
      <c r="AH358" s="2668"/>
      <c r="AI358" s="2668"/>
      <c r="AJ358" s="2668"/>
      <c r="AK358" s="2668"/>
      <c r="AL358" s="2668"/>
      <c r="AM358" s="2668"/>
      <c r="AN358" s="561"/>
      <c r="AO358" s="561"/>
      <c r="AP358" s="561"/>
      <c r="AQ358" s="561"/>
      <c r="AR358" s="561"/>
      <c r="AS358" s="561"/>
      <c r="AT358" s="561"/>
      <c r="AU358" s="561"/>
      <c r="AV358" s="561"/>
      <c r="CB358" s="2668" t="str">
        <f>'Lead &amp; ANALYSIS'!G144</f>
        <v>Assistant Executive Engineer</v>
      </c>
      <c r="CC358" s="2668"/>
      <c r="CD358" s="2668"/>
      <c r="CE358" s="2668"/>
      <c r="CF358" s="2668"/>
      <c r="CG358" s="2668"/>
      <c r="CH358" s="2668"/>
      <c r="CI358" s="2668"/>
      <c r="CJ358" s="2668"/>
      <c r="CK358" s="2668"/>
      <c r="CL358" s="2668"/>
      <c r="CM358" s="2668"/>
      <c r="CN358" s="2668"/>
      <c r="CO358" s="2668"/>
      <c r="CP358" s="2668"/>
      <c r="CQ358" s="2668"/>
      <c r="CR358" s="2668"/>
      <c r="CS358" s="2668"/>
      <c r="CT358" s="2668"/>
      <c r="CU358" s="2668"/>
      <c r="CV358" s="2668"/>
      <c r="CW358" s="2668"/>
      <c r="CX358" s="2668"/>
      <c r="CY358" s="2668"/>
      <c r="CZ358" s="2668"/>
      <c r="DA358" s="2668"/>
      <c r="DB358" s="2668"/>
      <c r="DC358" s="2668"/>
      <c r="DD358" s="2668"/>
      <c r="DE358" s="2668"/>
      <c r="DF358" s="2668"/>
      <c r="DG358" s="2668"/>
      <c r="DH358" s="2668"/>
      <c r="DI358" s="2668"/>
      <c r="DJ358" s="2668"/>
      <c r="DK358" s="2668"/>
      <c r="DL358" s="2668"/>
      <c r="DM358" s="2668"/>
      <c r="EW358" s="2668" t="str">
        <f>'Lead &amp; ANALYSIS'!L144</f>
        <v>Block Development Officer</v>
      </c>
      <c r="EX358" s="2668"/>
      <c r="EY358" s="2668"/>
      <c r="EZ358" s="2668"/>
      <c r="FA358" s="2668"/>
      <c r="FB358" s="2668"/>
      <c r="FC358" s="2668"/>
      <c r="FD358" s="2668"/>
      <c r="FE358" s="2668"/>
      <c r="FF358" s="2668"/>
      <c r="FG358" s="2668"/>
      <c r="FH358" s="2668"/>
      <c r="FI358" s="2668"/>
      <c r="FJ358" s="2668"/>
      <c r="FK358" s="2668"/>
      <c r="FL358" s="2668"/>
      <c r="FM358" s="2668"/>
      <c r="FN358" s="2668"/>
      <c r="FO358" s="2668"/>
      <c r="FP358" s="2668"/>
      <c r="FQ358" s="2668"/>
      <c r="FR358" s="2668"/>
      <c r="FS358" s="2668"/>
      <c r="FT358" s="2668"/>
      <c r="FU358" s="2668"/>
      <c r="FV358" s="2668"/>
      <c r="FW358" s="2668"/>
      <c r="FX358" s="2668"/>
      <c r="FY358" s="2668"/>
      <c r="FZ358" s="2668"/>
      <c r="GA358" s="2668"/>
      <c r="GB358" s="2668"/>
      <c r="GC358" s="2668"/>
      <c r="GD358" s="2668"/>
      <c r="GE358" s="2668"/>
      <c r="GF358" s="2668"/>
      <c r="HY358" s="516"/>
      <c r="HZ358" s="2650"/>
      <c r="IA358" s="2619"/>
      <c r="IB358" s="2619"/>
      <c r="IC358" s="2619"/>
      <c r="ID358" s="2619"/>
      <c r="IE358" s="2619"/>
      <c r="IF358" s="2619"/>
      <c r="IG358" s="2619"/>
      <c r="IH358" s="2619"/>
      <c r="II358" s="2619"/>
      <c r="IJ358" s="2619"/>
      <c r="IQ358" s="2644"/>
      <c r="IR358" s="2644"/>
      <c r="IS358" s="2644"/>
      <c r="IT358" s="2644"/>
      <c r="IU358" s="2644"/>
      <c r="IV358" s="2644"/>
      <c r="IW358" s="2644"/>
      <c r="IX358" s="2644"/>
      <c r="IY358" s="2644"/>
      <c r="IZ358" s="2644"/>
      <c r="JA358" s="2652"/>
      <c r="JB358" s="517"/>
    </row>
    <row r="359" spans="7:262" ht="4.1500000000000004" customHeight="1">
      <c r="G359" s="2668"/>
      <c r="H359" s="2668"/>
      <c r="I359" s="2668"/>
      <c r="J359" s="2668"/>
      <c r="K359" s="2668"/>
      <c r="L359" s="2668"/>
      <c r="M359" s="2668"/>
      <c r="N359" s="2668"/>
      <c r="O359" s="2668"/>
      <c r="P359" s="2668"/>
      <c r="Q359" s="2668"/>
      <c r="R359" s="2668"/>
      <c r="S359" s="2668"/>
      <c r="T359" s="2668"/>
      <c r="U359" s="2668"/>
      <c r="V359" s="2668"/>
      <c r="W359" s="2668"/>
      <c r="X359" s="2668"/>
      <c r="Y359" s="2668"/>
      <c r="Z359" s="2668"/>
      <c r="AA359" s="2668"/>
      <c r="AB359" s="2668"/>
      <c r="AC359" s="2668"/>
      <c r="AD359" s="2668"/>
      <c r="AE359" s="2668"/>
      <c r="AF359" s="2668"/>
      <c r="AG359" s="2668"/>
      <c r="AH359" s="2668"/>
      <c r="AI359" s="2668"/>
      <c r="AJ359" s="2668"/>
      <c r="AK359" s="2668"/>
      <c r="AL359" s="2668"/>
      <c r="AM359" s="2668"/>
      <c r="AN359" s="562"/>
      <c r="AO359" s="562"/>
      <c r="AP359" s="562"/>
      <c r="AQ359" s="562"/>
      <c r="AR359" s="562"/>
      <c r="AS359" s="562"/>
      <c r="AT359" s="562"/>
      <c r="AU359" s="562"/>
      <c r="AV359" s="562"/>
      <c r="CB359" s="2668"/>
      <c r="CC359" s="2668"/>
      <c r="CD359" s="2668"/>
      <c r="CE359" s="2668"/>
      <c r="CF359" s="2668"/>
      <c r="CG359" s="2668"/>
      <c r="CH359" s="2668"/>
      <c r="CI359" s="2668"/>
      <c r="CJ359" s="2668"/>
      <c r="CK359" s="2668"/>
      <c r="CL359" s="2668"/>
      <c r="CM359" s="2668"/>
      <c r="CN359" s="2668"/>
      <c r="CO359" s="2668"/>
      <c r="CP359" s="2668"/>
      <c r="CQ359" s="2668"/>
      <c r="CR359" s="2668"/>
      <c r="CS359" s="2668"/>
      <c r="CT359" s="2668"/>
      <c r="CU359" s="2668"/>
      <c r="CV359" s="2668"/>
      <c r="CW359" s="2668"/>
      <c r="CX359" s="2668"/>
      <c r="CY359" s="2668"/>
      <c r="CZ359" s="2668"/>
      <c r="DA359" s="2668"/>
      <c r="DB359" s="2668"/>
      <c r="DC359" s="2668"/>
      <c r="DD359" s="2668"/>
      <c r="DE359" s="2668"/>
      <c r="DF359" s="2668"/>
      <c r="DG359" s="2668"/>
      <c r="DH359" s="2668"/>
      <c r="DI359" s="2668"/>
      <c r="DJ359" s="2668"/>
      <c r="DK359" s="2668"/>
      <c r="DL359" s="2668"/>
      <c r="DM359" s="2668"/>
      <c r="EW359" s="2668"/>
      <c r="EX359" s="2668"/>
      <c r="EY359" s="2668"/>
      <c r="EZ359" s="2668"/>
      <c r="FA359" s="2668"/>
      <c r="FB359" s="2668"/>
      <c r="FC359" s="2668"/>
      <c r="FD359" s="2668"/>
      <c r="FE359" s="2668"/>
      <c r="FF359" s="2668"/>
      <c r="FG359" s="2668"/>
      <c r="FH359" s="2668"/>
      <c r="FI359" s="2668"/>
      <c r="FJ359" s="2668"/>
      <c r="FK359" s="2668"/>
      <c r="FL359" s="2668"/>
      <c r="FM359" s="2668"/>
      <c r="FN359" s="2668"/>
      <c r="FO359" s="2668"/>
      <c r="FP359" s="2668"/>
      <c r="FQ359" s="2668"/>
      <c r="FR359" s="2668"/>
      <c r="FS359" s="2668"/>
      <c r="FT359" s="2668"/>
      <c r="FU359" s="2668"/>
      <c r="FV359" s="2668"/>
      <c r="FW359" s="2668"/>
      <c r="FX359" s="2668"/>
      <c r="FY359" s="2668"/>
      <c r="FZ359" s="2668"/>
      <c r="GA359" s="2668"/>
      <c r="GB359" s="2668"/>
      <c r="GC359" s="2668"/>
      <c r="GD359" s="2668"/>
      <c r="GE359" s="2668"/>
      <c r="GF359" s="2668"/>
      <c r="HY359" s="516"/>
      <c r="HZ359" s="2650"/>
      <c r="IA359" s="2619"/>
      <c r="IB359" s="2619"/>
      <c r="IC359" s="2619"/>
      <c r="ID359" s="2619"/>
      <c r="IE359" s="2619"/>
      <c r="IF359" s="2619"/>
      <c r="IG359" s="2619"/>
      <c r="IH359" s="2619"/>
      <c r="II359" s="2619"/>
      <c r="IJ359" s="2619"/>
      <c r="IQ359" s="2644"/>
      <c r="IR359" s="2644"/>
      <c r="IS359" s="2644"/>
      <c r="IT359" s="2644"/>
      <c r="IU359" s="2644"/>
      <c r="IV359" s="2644"/>
      <c r="IW359" s="2644"/>
      <c r="IX359" s="2644"/>
      <c r="IY359" s="2644"/>
      <c r="IZ359" s="2644"/>
      <c r="JA359" s="2652"/>
      <c r="JB359" s="517"/>
    </row>
    <row r="360" spans="7:262" ht="4.1500000000000004" customHeight="1">
      <c r="G360" s="2668"/>
      <c r="H360" s="2668"/>
      <c r="I360" s="2668"/>
      <c r="J360" s="2668"/>
      <c r="K360" s="2668"/>
      <c r="L360" s="2668"/>
      <c r="M360" s="2668"/>
      <c r="N360" s="2668"/>
      <c r="O360" s="2668"/>
      <c r="P360" s="2668"/>
      <c r="Q360" s="2668"/>
      <c r="R360" s="2668"/>
      <c r="S360" s="2668"/>
      <c r="T360" s="2668"/>
      <c r="U360" s="2668"/>
      <c r="V360" s="2668"/>
      <c r="W360" s="2668"/>
      <c r="X360" s="2668"/>
      <c r="Y360" s="2668"/>
      <c r="Z360" s="2668"/>
      <c r="AA360" s="2668"/>
      <c r="AB360" s="2668"/>
      <c r="AC360" s="2668"/>
      <c r="AD360" s="2668"/>
      <c r="AE360" s="2668"/>
      <c r="AF360" s="2668"/>
      <c r="AG360" s="2668"/>
      <c r="AH360" s="2668"/>
      <c r="AI360" s="2668"/>
      <c r="AJ360" s="2668"/>
      <c r="AK360" s="2668"/>
      <c r="AL360" s="2668"/>
      <c r="AM360" s="2668"/>
      <c r="AN360" s="562"/>
      <c r="AO360" s="562"/>
      <c r="AP360" s="562"/>
      <c r="AQ360" s="562"/>
      <c r="AR360" s="562"/>
      <c r="AS360" s="562"/>
      <c r="AT360" s="562"/>
      <c r="AU360" s="562"/>
      <c r="AV360" s="562"/>
      <c r="CB360" s="2668"/>
      <c r="CC360" s="2668"/>
      <c r="CD360" s="2668"/>
      <c r="CE360" s="2668"/>
      <c r="CF360" s="2668"/>
      <c r="CG360" s="2668"/>
      <c r="CH360" s="2668"/>
      <c r="CI360" s="2668"/>
      <c r="CJ360" s="2668"/>
      <c r="CK360" s="2668"/>
      <c r="CL360" s="2668"/>
      <c r="CM360" s="2668"/>
      <c r="CN360" s="2668"/>
      <c r="CO360" s="2668"/>
      <c r="CP360" s="2668"/>
      <c r="CQ360" s="2668"/>
      <c r="CR360" s="2668"/>
      <c r="CS360" s="2668"/>
      <c r="CT360" s="2668"/>
      <c r="CU360" s="2668"/>
      <c r="CV360" s="2668"/>
      <c r="CW360" s="2668"/>
      <c r="CX360" s="2668"/>
      <c r="CY360" s="2668"/>
      <c r="CZ360" s="2668"/>
      <c r="DA360" s="2668"/>
      <c r="DB360" s="2668"/>
      <c r="DC360" s="2668"/>
      <c r="DD360" s="2668"/>
      <c r="DE360" s="2668"/>
      <c r="DF360" s="2668"/>
      <c r="DG360" s="2668"/>
      <c r="DH360" s="2668"/>
      <c r="DI360" s="2668"/>
      <c r="DJ360" s="2668"/>
      <c r="DK360" s="2668"/>
      <c r="DL360" s="2668"/>
      <c r="DM360" s="2668"/>
      <c r="EW360" s="2668"/>
      <c r="EX360" s="2668"/>
      <c r="EY360" s="2668"/>
      <c r="EZ360" s="2668"/>
      <c r="FA360" s="2668"/>
      <c r="FB360" s="2668"/>
      <c r="FC360" s="2668"/>
      <c r="FD360" s="2668"/>
      <c r="FE360" s="2668"/>
      <c r="FF360" s="2668"/>
      <c r="FG360" s="2668"/>
      <c r="FH360" s="2668"/>
      <c r="FI360" s="2668"/>
      <c r="FJ360" s="2668"/>
      <c r="FK360" s="2668"/>
      <c r="FL360" s="2668"/>
      <c r="FM360" s="2668"/>
      <c r="FN360" s="2668"/>
      <c r="FO360" s="2668"/>
      <c r="FP360" s="2668"/>
      <c r="FQ360" s="2668"/>
      <c r="FR360" s="2668"/>
      <c r="FS360" s="2668"/>
      <c r="FT360" s="2668"/>
      <c r="FU360" s="2668"/>
      <c r="FV360" s="2668"/>
      <c r="FW360" s="2668"/>
      <c r="FX360" s="2668"/>
      <c r="FY360" s="2668"/>
      <c r="FZ360" s="2668"/>
      <c r="GA360" s="2668"/>
      <c r="GB360" s="2668"/>
      <c r="GC360" s="2668"/>
      <c r="GD360" s="2668"/>
      <c r="GE360" s="2668"/>
      <c r="GF360" s="2668"/>
      <c r="HY360" s="516"/>
      <c r="HZ360" s="2650"/>
      <c r="IA360" s="2619"/>
      <c r="IB360" s="2619"/>
      <c r="IC360" s="2619"/>
      <c r="ID360" s="2619"/>
      <c r="IE360" s="2619"/>
      <c r="IF360" s="2619"/>
      <c r="IG360" s="2619"/>
      <c r="IH360" s="2619"/>
      <c r="II360" s="2619"/>
      <c r="IJ360" s="2619"/>
      <c r="IQ360" s="2644"/>
      <c r="IR360" s="2644"/>
      <c r="IS360" s="2644"/>
      <c r="IT360" s="2644"/>
      <c r="IU360" s="2644"/>
      <c r="IV360" s="2644"/>
      <c r="IW360" s="2644"/>
      <c r="IX360" s="2644"/>
      <c r="IY360" s="2644"/>
      <c r="IZ360" s="2644"/>
      <c r="JA360" s="2652"/>
      <c r="JB360" s="517"/>
    </row>
    <row r="361" spans="7:262" ht="4.1500000000000004" customHeight="1">
      <c r="G361" s="2668" t="str">
        <f>'Lead &amp; ANALYSIS'!B145</f>
        <v>Bhuban  Block</v>
      </c>
      <c r="H361" s="2668"/>
      <c r="I361" s="2668"/>
      <c r="J361" s="2668"/>
      <c r="K361" s="2668"/>
      <c r="L361" s="2668"/>
      <c r="M361" s="2668"/>
      <c r="N361" s="2668"/>
      <c r="O361" s="2668"/>
      <c r="P361" s="2668"/>
      <c r="Q361" s="2668"/>
      <c r="R361" s="2668"/>
      <c r="S361" s="2668"/>
      <c r="T361" s="2668"/>
      <c r="U361" s="2668"/>
      <c r="V361" s="2668"/>
      <c r="W361" s="2668"/>
      <c r="X361" s="2668"/>
      <c r="Y361" s="2668"/>
      <c r="Z361" s="2668"/>
      <c r="AA361" s="2668"/>
      <c r="AB361" s="2668"/>
      <c r="AC361" s="2668"/>
      <c r="AD361" s="2668"/>
      <c r="AE361" s="2668"/>
      <c r="AF361" s="2668"/>
      <c r="AG361" s="2668"/>
      <c r="AH361" s="2668"/>
      <c r="AI361" s="2668"/>
      <c r="AJ361" s="2668"/>
      <c r="AK361" s="2668"/>
      <c r="AL361" s="2668"/>
      <c r="AM361" s="2668"/>
      <c r="AN361" s="562"/>
      <c r="AO361" s="562"/>
      <c r="AP361" s="562"/>
      <c r="AQ361" s="562"/>
      <c r="AR361" s="562"/>
      <c r="AS361" s="562"/>
      <c r="AT361" s="562"/>
      <c r="AU361" s="562"/>
      <c r="AV361" s="562"/>
      <c r="CB361" s="562"/>
      <c r="CC361" s="562"/>
      <c r="CD361" s="2668" t="str">
        <f>'Lead &amp; ANALYSIS'!G145</f>
        <v>Bhuban  Block</v>
      </c>
      <c r="CE361" s="2668"/>
      <c r="CF361" s="2668"/>
      <c r="CG361" s="2668"/>
      <c r="CH361" s="2668"/>
      <c r="CI361" s="2668"/>
      <c r="CJ361" s="2668"/>
      <c r="CK361" s="2668"/>
      <c r="CL361" s="2668"/>
      <c r="CM361" s="2668"/>
      <c r="CN361" s="2668"/>
      <c r="CO361" s="2668"/>
      <c r="CP361" s="2668"/>
      <c r="CQ361" s="2668"/>
      <c r="CR361" s="2668"/>
      <c r="CS361" s="2668"/>
      <c r="CT361" s="2668"/>
      <c r="CU361" s="2668"/>
      <c r="CV361" s="2668"/>
      <c r="CW361" s="2668"/>
      <c r="CX361" s="2668"/>
      <c r="CY361" s="2668"/>
      <c r="CZ361" s="2668"/>
      <c r="DA361" s="2668"/>
      <c r="DB361" s="2668"/>
      <c r="DC361" s="2668"/>
      <c r="DD361" s="2668"/>
      <c r="DE361" s="2668"/>
      <c r="DF361" s="2668"/>
      <c r="DG361" s="2668"/>
      <c r="DH361" s="2668"/>
      <c r="DI361" s="2668"/>
      <c r="DJ361" s="2668"/>
      <c r="DK361" s="2668"/>
      <c r="DL361" s="562"/>
      <c r="DM361" s="562"/>
      <c r="EW361" s="2668" t="str">
        <f>'Lead &amp; ANALYSIS'!L145</f>
        <v>Bhuban</v>
      </c>
      <c r="EX361" s="2668"/>
      <c r="EY361" s="2668"/>
      <c r="EZ361" s="2668"/>
      <c r="FA361" s="2668"/>
      <c r="FB361" s="2668"/>
      <c r="FC361" s="2668"/>
      <c r="FD361" s="2668"/>
      <c r="FE361" s="2668"/>
      <c r="FF361" s="2668"/>
      <c r="FG361" s="2668"/>
      <c r="FH361" s="2668"/>
      <c r="FI361" s="2668"/>
      <c r="FJ361" s="2668"/>
      <c r="FK361" s="2668"/>
      <c r="FL361" s="2668"/>
      <c r="FM361" s="2668"/>
      <c r="FN361" s="2668"/>
      <c r="FO361" s="2668"/>
      <c r="FP361" s="2668"/>
      <c r="FQ361" s="2668"/>
      <c r="FR361" s="2668"/>
      <c r="FS361" s="2668"/>
      <c r="FT361" s="2668"/>
      <c r="FU361" s="2668"/>
      <c r="FV361" s="2668"/>
      <c r="FW361" s="2668"/>
      <c r="FX361" s="2668"/>
      <c r="FY361" s="2668"/>
      <c r="FZ361" s="2668"/>
      <c r="GA361" s="2668"/>
      <c r="GB361" s="2668"/>
      <c r="GC361" s="2668"/>
      <c r="GD361" s="2668"/>
      <c r="GE361" s="2668"/>
      <c r="GF361" s="2668"/>
      <c r="HY361" s="516"/>
      <c r="HZ361" s="2650"/>
      <c r="IA361" s="2619"/>
      <c r="IB361" s="2619"/>
      <c r="IC361" s="2619"/>
      <c r="ID361" s="2619"/>
      <c r="IE361" s="2619"/>
      <c r="IF361" s="2619"/>
      <c r="IG361" s="2619"/>
      <c r="IH361" s="2619"/>
      <c r="II361" s="2619"/>
      <c r="IJ361" s="2619"/>
      <c r="IQ361" s="2644"/>
      <c r="IR361" s="2644"/>
      <c r="IS361" s="2644"/>
      <c r="IT361" s="2644"/>
      <c r="IU361" s="2644"/>
      <c r="IV361" s="2644"/>
      <c r="IW361" s="2644"/>
      <c r="IX361" s="2644"/>
      <c r="IY361" s="2644"/>
      <c r="IZ361" s="2644"/>
      <c r="JA361" s="2652"/>
      <c r="JB361" s="517"/>
    </row>
    <row r="362" spans="7:262" ht="4.1500000000000004" customHeight="1">
      <c r="G362" s="2668"/>
      <c r="H362" s="2668"/>
      <c r="I362" s="2668"/>
      <c r="J362" s="2668"/>
      <c r="K362" s="2668"/>
      <c r="L362" s="2668"/>
      <c r="M362" s="2668"/>
      <c r="N362" s="2668"/>
      <c r="O362" s="2668"/>
      <c r="P362" s="2668"/>
      <c r="Q362" s="2668"/>
      <c r="R362" s="2668"/>
      <c r="S362" s="2668"/>
      <c r="T362" s="2668"/>
      <c r="U362" s="2668"/>
      <c r="V362" s="2668"/>
      <c r="W362" s="2668"/>
      <c r="X362" s="2668"/>
      <c r="Y362" s="2668"/>
      <c r="Z362" s="2668"/>
      <c r="AA362" s="2668"/>
      <c r="AB362" s="2668"/>
      <c r="AC362" s="2668"/>
      <c r="AD362" s="2668"/>
      <c r="AE362" s="2668"/>
      <c r="AF362" s="2668"/>
      <c r="AG362" s="2668"/>
      <c r="AH362" s="2668"/>
      <c r="AI362" s="2668"/>
      <c r="AJ362" s="2668"/>
      <c r="AK362" s="2668"/>
      <c r="AL362" s="2668"/>
      <c r="AM362" s="2668"/>
      <c r="AN362" s="562"/>
      <c r="AO362" s="562"/>
      <c r="AP362" s="562"/>
      <c r="AQ362" s="562"/>
      <c r="AR362" s="562"/>
      <c r="AS362" s="562"/>
      <c r="AT362" s="562"/>
      <c r="AU362" s="562"/>
      <c r="AV362" s="562"/>
      <c r="CB362" s="562"/>
      <c r="CC362" s="562"/>
      <c r="CD362" s="2668"/>
      <c r="CE362" s="2668"/>
      <c r="CF362" s="2668"/>
      <c r="CG362" s="2668"/>
      <c r="CH362" s="2668"/>
      <c r="CI362" s="2668"/>
      <c r="CJ362" s="2668"/>
      <c r="CK362" s="2668"/>
      <c r="CL362" s="2668"/>
      <c r="CM362" s="2668"/>
      <c r="CN362" s="2668"/>
      <c r="CO362" s="2668"/>
      <c r="CP362" s="2668"/>
      <c r="CQ362" s="2668"/>
      <c r="CR362" s="2668"/>
      <c r="CS362" s="2668"/>
      <c r="CT362" s="2668"/>
      <c r="CU362" s="2668"/>
      <c r="CV362" s="2668"/>
      <c r="CW362" s="2668"/>
      <c r="CX362" s="2668"/>
      <c r="CY362" s="2668"/>
      <c r="CZ362" s="2668"/>
      <c r="DA362" s="2668"/>
      <c r="DB362" s="2668"/>
      <c r="DC362" s="2668"/>
      <c r="DD362" s="2668"/>
      <c r="DE362" s="2668"/>
      <c r="DF362" s="2668"/>
      <c r="DG362" s="2668"/>
      <c r="DH362" s="2668"/>
      <c r="DI362" s="2668"/>
      <c r="DJ362" s="2668"/>
      <c r="DK362" s="2668"/>
      <c r="DL362" s="562"/>
      <c r="DM362" s="562"/>
      <c r="EW362" s="2668"/>
      <c r="EX362" s="2668"/>
      <c r="EY362" s="2668"/>
      <c r="EZ362" s="2668"/>
      <c r="FA362" s="2668"/>
      <c r="FB362" s="2668"/>
      <c r="FC362" s="2668"/>
      <c r="FD362" s="2668"/>
      <c r="FE362" s="2668"/>
      <c r="FF362" s="2668"/>
      <c r="FG362" s="2668"/>
      <c r="FH362" s="2668"/>
      <c r="FI362" s="2668"/>
      <c r="FJ362" s="2668"/>
      <c r="FK362" s="2668"/>
      <c r="FL362" s="2668"/>
      <c r="FM362" s="2668"/>
      <c r="FN362" s="2668"/>
      <c r="FO362" s="2668"/>
      <c r="FP362" s="2668"/>
      <c r="FQ362" s="2668"/>
      <c r="FR362" s="2668"/>
      <c r="FS362" s="2668"/>
      <c r="FT362" s="2668"/>
      <c r="FU362" s="2668"/>
      <c r="FV362" s="2668"/>
      <c r="FW362" s="2668"/>
      <c r="FX362" s="2668"/>
      <c r="FY362" s="2668"/>
      <c r="FZ362" s="2668"/>
      <c r="GA362" s="2668"/>
      <c r="GB362" s="2668"/>
      <c r="GC362" s="2668"/>
      <c r="GD362" s="2668"/>
      <c r="GE362" s="2668"/>
      <c r="GF362" s="2668"/>
      <c r="HY362" s="516"/>
      <c r="HZ362" s="2651"/>
      <c r="IA362" s="2621"/>
      <c r="IB362" s="2621"/>
      <c r="IC362" s="2621"/>
      <c r="ID362" s="2621"/>
      <c r="IE362" s="2621"/>
      <c r="IF362" s="2621"/>
      <c r="IG362" s="2621"/>
      <c r="IH362" s="2621"/>
      <c r="II362" s="2621"/>
      <c r="IJ362" s="2621"/>
      <c r="IK362" s="532"/>
      <c r="IL362" s="532"/>
      <c r="IM362" s="532"/>
      <c r="IN362" s="532"/>
      <c r="IO362" s="532"/>
      <c r="IP362" s="532"/>
      <c r="IQ362" s="2645"/>
      <c r="IR362" s="2645"/>
      <c r="IS362" s="2645"/>
      <c r="IT362" s="2645"/>
      <c r="IU362" s="2645"/>
      <c r="IV362" s="2645"/>
      <c r="IW362" s="2645"/>
      <c r="IX362" s="2645"/>
      <c r="IY362" s="2645"/>
      <c r="IZ362" s="2645"/>
      <c r="JA362" s="2653"/>
      <c r="JB362" s="517"/>
    </row>
    <row r="363" spans="7:262" ht="4.1500000000000004" customHeight="1">
      <c r="G363" s="2668"/>
      <c r="H363" s="2668"/>
      <c r="I363" s="2668"/>
      <c r="J363" s="2668"/>
      <c r="K363" s="2668"/>
      <c r="L363" s="2668"/>
      <c r="M363" s="2668"/>
      <c r="N363" s="2668"/>
      <c r="O363" s="2668"/>
      <c r="P363" s="2668"/>
      <c r="Q363" s="2668"/>
      <c r="R363" s="2668"/>
      <c r="S363" s="2668"/>
      <c r="T363" s="2668"/>
      <c r="U363" s="2668"/>
      <c r="V363" s="2668"/>
      <c r="W363" s="2668"/>
      <c r="X363" s="2668"/>
      <c r="Y363" s="2668"/>
      <c r="Z363" s="2668"/>
      <c r="AA363" s="2668"/>
      <c r="AB363" s="2668"/>
      <c r="AC363" s="2668"/>
      <c r="AD363" s="2668"/>
      <c r="AE363" s="2668"/>
      <c r="AF363" s="2668"/>
      <c r="AG363" s="2668"/>
      <c r="AH363" s="2668"/>
      <c r="AI363" s="2668"/>
      <c r="AJ363" s="2668"/>
      <c r="AK363" s="2668"/>
      <c r="AL363" s="2668"/>
      <c r="AM363" s="2668"/>
      <c r="AN363" s="562"/>
      <c r="AO363" s="562"/>
      <c r="AP363" s="562"/>
      <c r="AQ363" s="562"/>
      <c r="AR363" s="562"/>
      <c r="AS363" s="562"/>
      <c r="AT363" s="562"/>
      <c r="AU363" s="562"/>
      <c r="AV363" s="562"/>
      <c r="CB363" s="562"/>
      <c r="CC363" s="562"/>
      <c r="CD363" s="2668"/>
      <c r="CE363" s="2668"/>
      <c r="CF363" s="2668"/>
      <c r="CG363" s="2668"/>
      <c r="CH363" s="2668"/>
      <c r="CI363" s="2668"/>
      <c r="CJ363" s="2668"/>
      <c r="CK363" s="2668"/>
      <c r="CL363" s="2668"/>
      <c r="CM363" s="2668"/>
      <c r="CN363" s="2668"/>
      <c r="CO363" s="2668"/>
      <c r="CP363" s="2668"/>
      <c r="CQ363" s="2668"/>
      <c r="CR363" s="2668"/>
      <c r="CS363" s="2668"/>
      <c r="CT363" s="2668"/>
      <c r="CU363" s="2668"/>
      <c r="CV363" s="2668"/>
      <c r="CW363" s="2668"/>
      <c r="CX363" s="2668"/>
      <c r="CY363" s="2668"/>
      <c r="CZ363" s="2668"/>
      <c r="DA363" s="2668"/>
      <c r="DB363" s="2668"/>
      <c r="DC363" s="2668"/>
      <c r="DD363" s="2668"/>
      <c r="DE363" s="2668"/>
      <c r="DF363" s="2668"/>
      <c r="DG363" s="2668"/>
      <c r="DH363" s="2668"/>
      <c r="DI363" s="2668"/>
      <c r="DJ363" s="2668"/>
      <c r="DK363" s="2668"/>
      <c r="DL363" s="562"/>
      <c r="DM363" s="562"/>
      <c r="EW363" s="2668"/>
      <c r="EX363" s="2668"/>
      <c r="EY363" s="2668"/>
      <c r="EZ363" s="2668"/>
      <c r="FA363" s="2668"/>
      <c r="FB363" s="2668"/>
      <c r="FC363" s="2668"/>
      <c r="FD363" s="2668"/>
      <c r="FE363" s="2668"/>
      <c r="FF363" s="2668"/>
      <c r="FG363" s="2668"/>
      <c r="FH363" s="2668"/>
      <c r="FI363" s="2668"/>
      <c r="FJ363" s="2668"/>
      <c r="FK363" s="2668"/>
      <c r="FL363" s="2668"/>
      <c r="FM363" s="2668"/>
      <c r="FN363" s="2668"/>
      <c r="FO363" s="2668"/>
      <c r="FP363" s="2668"/>
      <c r="FQ363" s="2668"/>
      <c r="FR363" s="2668"/>
      <c r="FS363" s="2668"/>
      <c r="FT363" s="2668"/>
      <c r="FU363" s="2668"/>
      <c r="FV363" s="2668"/>
      <c r="FW363" s="2668"/>
      <c r="FX363" s="2668"/>
      <c r="FY363" s="2668"/>
      <c r="FZ363" s="2668"/>
      <c r="GA363" s="2668"/>
      <c r="GB363" s="2668"/>
      <c r="GC363" s="2668"/>
      <c r="GD363" s="2668"/>
      <c r="GE363" s="2668"/>
      <c r="GF363" s="2668"/>
      <c r="HY363" s="530"/>
      <c r="HZ363" s="532"/>
      <c r="IA363" s="532"/>
      <c r="IB363" s="532"/>
      <c r="IC363" s="532"/>
      <c r="ID363" s="532"/>
      <c r="IE363" s="532"/>
      <c r="IF363" s="532"/>
      <c r="IG363" s="532"/>
      <c r="IH363" s="532"/>
      <c r="II363" s="532"/>
      <c r="IJ363" s="532"/>
      <c r="IK363" s="532"/>
      <c r="IL363" s="532"/>
      <c r="IM363" s="532"/>
      <c r="IN363" s="532"/>
      <c r="IO363" s="532"/>
      <c r="IP363" s="532"/>
      <c r="IQ363" s="532"/>
      <c r="IR363" s="532"/>
      <c r="IS363" s="532"/>
      <c r="IT363" s="532"/>
      <c r="IU363" s="532"/>
      <c r="IV363" s="532"/>
      <c r="IW363" s="532"/>
      <c r="IX363" s="532"/>
      <c r="IY363" s="532"/>
      <c r="IZ363" s="532"/>
      <c r="JA363" s="532"/>
      <c r="JB363" s="531"/>
    </row>
  </sheetData>
  <mergeCells count="134">
    <mergeCell ref="G358:AM360"/>
    <mergeCell ref="CB358:DM360"/>
    <mergeCell ref="EW358:GF360"/>
    <mergeCell ref="G361:AM363"/>
    <mergeCell ref="CD361:DK363"/>
    <mergeCell ref="EW361:GF363"/>
    <mergeCell ref="JD314:JN316"/>
    <mergeCell ref="JD317:JN319"/>
    <mergeCell ref="IG322:IR324"/>
    <mergeCell ref="HZ328:IJ340"/>
    <mergeCell ref="IQ328:JA340"/>
    <mergeCell ref="HZ350:IJ362"/>
    <mergeCell ref="IQ350:JA362"/>
    <mergeCell ref="IW266:IZ275"/>
    <mergeCell ref="CS268:EM270"/>
    <mergeCell ref="JK271:JQ272"/>
    <mergeCell ref="DC286:DV289"/>
    <mergeCell ref="BG291:CH294"/>
    <mergeCell ref="EQ294:FR297"/>
    <mergeCell ref="IL294:IO299"/>
    <mergeCell ref="BG295:BR298"/>
    <mergeCell ref="BS295:BV298"/>
    <mergeCell ref="BW295:CH298"/>
    <mergeCell ref="JD295:JN297"/>
    <mergeCell ref="EQ298:FB301"/>
    <mergeCell ref="FC298:FF301"/>
    <mergeCell ref="FG298:FR301"/>
    <mergeCell ref="HZ300:IJ306"/>
    <mergeCell ref="IK300:IP302"/>
    <mergeCell ref="IQ300:JA306"/>
    <mergeCell ref="HR302:HU311"/>
    <mergeCell ref="JD302:JN304"/>
    <mergeCell ref="JD309:JN311"/>
    <mergeCell ref="JK245:JQ246"/>
    <mergeCell ref="IS246:JD248"/>
    <mergeCell ref="IS251:JD253"/>
    <mergeCell ref="IS258:JD260"/>
    <mergeCell ref="EO235:FP238"/>
    <mergeCell ref="CX236:DY239"/>
    <mergeCell ref="BG237:CH240"/>
    <mergeCell ref="EO239:EZ242"/>
    <mergeCell ref="FA239:FD242"/>
    <mergeCell ref="FE239:FP242"/>
    <mergeCell ref="CX240:DI243"/>
    <mergeCell ref="DJ240:DM243"/>
    <mergeCell ref="DN240:DY243"/>
    <mergeCell ref="BG241:BR244"/>
    <mergeCell ref="HY219:II222"/>
    <mergeCell ref="JG219:JN220"/>
    <mergeCell ref="JG221:JN222"/>
    <mergeCell ref="IL225:JF227"/>
    <mergeCell ref="IL206:IR208"/>
    <mergeCell ref="IS206:IY208"/>
    <mergeCell ref="IZ206:JF208"/>
    <mergeCell ref="BS241:BV244"/>
    <mergeCell ref="BW241:CH244"/>
    <mergeCell ref="JF213:JN215"/>
    <mergeCell ref="FC161:FF164"/>
    <mergeCell ref="FG161:FR164"/>
    <mergeCell ref="HR161:IB171"/>
    <mergeCell ref="II161:IS171"/>
    <mergeCell ref="HR178:IB188"/>
    <mergeCell ref="II178:IS188"/>
    <mergeCell ref="HY216:ID218"/>
    <mergeCell ref="JF216:JN218"/>
    <mergeCell ref="BG154:CH157"/>
    <mergeCell ref="HY156:IJ158"/>
    <mergeCell ref="EQ157:FR160"/>
    <mergeCell ref="BG158:BR161"/>
    <mergeCell ref="BS158:BV161"/>
    <mergeCell ref="BW158:CH161"/>
    <mergeCell ref="EQ161:FB164"/>
    <mergeCell ref="HM207:HR209"/>
    <mergeCell ref="JF210:JN212"/>
    <mergeCell ref="JR117:JY119"/>
    <mergeCell ref="JL125:KG127"/>
    <mergeCell ref="ID128:IG133"/>
    <mergeCell ref="IV129:JF131"/>
    <mergeCell ref="CX103:DI106"/>
    <mergeCell ref="DJ103:DM106"/>
    <mergeCell ref="DN103:DY106"/>
    <mergeCell ref="IV148:JF150"/>
    <mergeCell ref="DC149:DV152"/>
    <mergeCell ref="IV151:JF153"/>
    <mergeCell ref="CS131:EM133"/>
    <mergeCell ref="HR134:IB140"/>
    <mergeCell ref="IC134:IH136"/>
    <mergeCell ref="II134:IS140"/>
    <mergeCell ref="HJ136:HM145"/>
    <mergeCell ref="IV136:JF138"/>
    <mergeCell ref="IV143:JF145"/>
    <mergeCell ref="JC105:JI106"/>
    <mergeCell ref="KC107:KF115"/>
    <mergeCell ref="BG104:BR107"/>
    <mergeCell ref="BS104:BV107"/>
    <mergeCell ref="BW104:CH107"/>
    <mergeCell ref="EO98:FP101"/>
    <mergeCell ref="CX99:DY102"/>
    <mergeCell ref="BG100:CH103"/>
    <mergeCell ref="IO100:IR109"/>
    <mergeCell ref="EO102:EZ105"/>
    <mergeCell ref="FA102:FD105"/>
    <mergeCell ref="FE102:FP105"/>
    <mergeCell ref="AY60:CO65"/>
    <mergeCell ref="JC79:JI80"/>
    <mergeCell ref="IK80:IV82"/>
    <mergeCell ref="JU38:KA40"/>
    <mergeCell ref="IX42:JI44"/>
    <mergeCell ref="JN42:JQ50"/>
    <mergeCell ref="IH45:IL50"/>
    <mergeCell ref="IX47:JI49"/>
    <mergeCell ref="JU48:KA50"/>
    <mergeCell ref="JR91:JY93"/>
    <mergeCell ref="IK92:IV94"/>
    <mergeCell ref="JL96:KG98"/>
    <mergeCell ref="KC81:KF89"/>
    <mergeCell ref="IK85:IV87"/>
    <mergeCell ref="IF51:IN55"/>
    <mergeCell ref="IX52:JI54"/>
    <mergeCell ref="ID56:IP60"/>
    <mergeCell ref="IX57:JI59"/>
    <mergeCell ref="JN57:JQ66"/>
    <mergeCell ref="IX66:JI68"/>
    <mergeCell ref="IX69:JI71"/>
    <mergeCell ref="ID73:IQ76"/>
    <mergeCell ref="IF4:IG9"/>
    <mergeCell ref="JB5:JE14"/>
    <mergeCell ref="IX16:JI18"/>
    <mergeCell ref="JM19:JP28"/>
    <mergeCell ref="IA20:IG22"/>
    <mergeCell ref="HO21:HR30"/>
    <mergeCell ref="JB24:JE33"/>
    <mergeCell ref="IB61:IR65"/>
    <mergeCell ref="IX62:JI64"/>
  </mergeCells>
  <pageMargins left="0.196850393700787" right="0.118110236220472" top="0.35433070866141703" bottom="0.15748031496063" header="0.31496062992126" footer="0.31496062992126"/>
  <pageSetup paperSize="9" scale="70" orientation="landscape" r:id="rId1"/>
</worksheet>
</file>

<file path=xl/worksheets/sheet8.xml><?xml version="1.0" encoding="utf-8"?>
<worksheet xmlns="http://schemas.openxmlformats.org/spreadsheetml/2006/main" xmlns:r="http://schemas.openxmlformats.org/officeDocument/2006/relationships">
  <sheetPr>
    <tabColor rgb="FF00B050"/>
  </sheetPr>
  <dimension ref="H1:HJ146"/>
  <sheetViews>
    <sheetView view="pageBreakPreview" topLeftCell="A40" zoomScale="51" zoomScaleSheetLayoutView="51" workbookViewId="0">
      <selection activeCell="HU112" sqref="HU112"/>
    </sheetView>
  </sheetViews>
  <sheetFormatPr defaultColWidth="0.7109375" defaultRowHeight="4.1500000000000004" customHeight="1"/>
  <sheetData>
    <row r="1" spans="10:183" ht="4.1500000000000004" customHeight="1">
      <c r="AS1" s="2674" t="s">
        <v>3403</v>
      </c>
      <c r="AT1" s="2674"/>
      <c r="AU1" s="2674"/>
      <c r="AV1" s="2674"/>
      <c r="AW1" s="2674"/>
      <c r="AX1" s="2674"/>
      <c r="AY1" s="2674"/>
      <c r="AZ1" s="2674"/>
      <c r="BA1" s="2674"/>
      <c r="BB1" s="2674"/>
      <c r="BC1" s="2674"/>
      <c r="BD1" s="2674"/>
      <c r="BE1" s="2674"/>
      <c r="BF1" s="2674"/>
      <c r="BG1" s="2674"/>
      <c r="BH1" s="2674"/>
      <c r="BI1" s="2674"/>
      <c r="BJ1" s="2674"/>
      <c r="BK1" s="2674"/>
      <c r="BL1" s="2674"/>
      <c r="BM1" s="2674"/>
      <c r="BN1" s="2674"/>
      <c r="BO1" s="2674"/>
      <c r="BP1" s="2674"/>
      <c r="BQ1" s="2674"/>
      <c r="BR1" s="2674"/>
      <c r="BS1" s="2674"/>
      <c r="BT1" s="2674"/>
      <c r="BU1" s="2674"/>
      <c r="BV1" s="2674"/>
      <c r="BW1" s="2674"/>
      <c r="BX1" s="2674"/>
      <c r="BY1" s="2674"/>
      <c r="BZ1" s="2674"/>
      <c r="CA1" s="2674"/>
      <c r="CB1" s="2674"/>
      <c r="CC1" s="2674"/>
      <c r="CD1" s="2674"/>
      <c r="CE1" s="2674"/>
      <c r="CF1" s="2674"/>
      <c r="CG1" s="2674"/>
      <c r="CH1" s="2674"/>
      <c r="CI1" s="2674"/>
      <c r="CJ1" s="2674"/>
      <c r="CK1" s="2674"/>
      <c r="CL1" s="2674"/>
      <c r="CM1" s="2674"/>
      <c r="CN1" s="2674"/>
      <c r="CO1" s="2674"/>
      <c r="CP1" s="2674"/>
      <c r="CQ1" s="2674"/>
      <c r="CR1" s="2674"/>
      <c r="CS1" s="2674"/>
      <c r="CT1" s="2674"/>
      <c r="CU1" s="2674"/>
      <c r="CV1" s="2674"/>
      <c r="CW1" s="2674"/>
      <c r="CX1" s="2674"/>
      <c r="CY1" s="2674"/>
      <c r="CZ1" s="2674"/>
      <c r="DA1" s="2674"/>
      <c r="DB1" s="2674"/>
      <c r="DC1" s="2674"/>
      <c r="DD1" s="2674"/>
      <c r="DE1" s="2674"/>
      <c r="DF1" s="2674"/>
      <c r="DG1" s="2674"/>
      <c r="DH1" s="2674"/>
      <c r="DI1" s="2674"/>
      <c r="DJ1" s="2674"/>
      <c r="DK1" s="2674"/>
      <c r="DL1" s="2674"/>
      <c r="DM1" s="2674"/>
      <c r="DN1" s="2674"/>
      <c r="DO1" s="2674"/>
      <c r="DP1" s="2674"/>
      <c r="DQ1" s="2674"/>
      <c r="DR1" s="2674"/>
      <c r="DS1" s="2674"/>
      <c r="DT1" s="2674"/>
      <c r="DU1" s="2674"/>
      <c r="DV1" s="2674"/>
      <c r="DW1" s="2674"/>
      <c r="DX1" s="2674"/>
      <c r="DY1" s="2674"/>
      <c r="DZ1" s="2674"/>
      <c r="EA1" s="2674"/>
      <c r="EB1" s="2674"/>
      <c r="EC1" s="2674"/>
      <c r="ED1" s="2674"/>
      <c r="EE1" s="2674"/>
      <c r="EF1" s="2674"/>
      <c r="EG1" s="2674"/>
      <c r="EH1" s="2674"/>
      <c r="EI1" s="2674"/>
      <c r="EJ1" s="2674"/>
      <c r="EK1" s="2674"/>
      <c r="EL1" s="2674"/>
      <c r="EM1" s="2674"/>
      <c r="EN1" s="2674"/>
      <c r="EO1" s="2674"/>
      <c r="EP1" s="2674"/>
      <c r="EQ1" s="2674"/>
      <c r="ER1" s="2674"/>
      <c r="ES1" s="2674"/>
      <c r="ET1" s="2674"/>
      <c r="EU1" s="2674"/>
      <c r="EV1" s="2674"/>
      <c r="EW1" s="2674"/>
      <c r="EX1" s="2674"/>
      <c r="EY1" s="2674"/>
      <c r="EZ1" s="2674"/>
      <c r="FA1" s="2674"/>
      <c r="FB1" s="2674"/>
      <c r="FC1" s="2674"/>
      <c r="FD1" s="2674"/>
      <c r="FE1" s="2674"/>
      <c r="FF1" s="2674"/>
      <c r="FG1" s="2674"/>
      <c r="FH1" s="2674"/>
      <c r="FI1" s="2674"/>
      <c r="FJ1" s="2674"/>
      <c r="FK1" s="2674"/>
      <c r="FL1" s="2674"/>
      <c r="FM1" s="2674"/>
      <c r="FN1" s="2674"/>
    </row>
    <row r="2" spans="10:183" ht="4.1500000000000004" customHeight="1">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row>
    <row r="3" spans="10:183" ht="4.1500000000000004" customHeight="1">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c r="BP3" s="2674"/>
      <c r="BQ3" s="2674"/>
      <c r="BR3" s="2674"/>
      <c r="BS3" s="2674"/>
      <c r="BT3" s="2674"/>
      <c r="BU3" s="2674"/>
      <c r="BV3" s="2674"/>
      <c r="BW3" s="2674"/>
      <c r="BX3" s="2674"/>
      <c r="BY3" s="2674"/>
      <c r="BZ3" s="2674"/>
      <c r="CA3" s="2674"/>
      <c r="CB3" s="2674"/>
      <c r="CC3" s="2674"/>
      <c r="CD3" s="2674"/>
      <c r="CE3" s="2674"/>
      <c r="CF3" s="2674"/>
      <c r="CG3" s="2674"/>
      <c r="CH3" s="2674"/>
      <c r="CI3" s="2674"/>
      <c r="CJ3" s="2674"/>
      <c r="CK3" s="2674"/>
      <c r="CL3" s="2674"/>
      <c r="CM3" s="2674"/>
      <c r="CN3" s="2674"/>
      <c r="CO3" s="2674"/>
      <c r="CP3" s="2674"/>
      <c r="CQ3" s="2674"/>
      <c r="CR3" s="2674"/>
      <c r="CS3" s="2674"/>
      <c r="CT3" s="2674"/>
      <c r="CU3" s="2674"/>
      <c r="CV3" s="2674"/>
      <c r="CW3" s="2674"/>
      <c r="CX3" s="2674"/>
      <c r="CY3" s="2674"/>
      <c r="CZ3" s="2674"/>
      <c r="DA3" s="2674"/>
      <c r="DB3" s="2674"/>
      <c r="DC3" s="2674"/>
      <c r="DD3" s="2674"/>
      <c r="DE3" s="2674"/>
      <c r="DF3" s="2674"/>
      <c r="DG3" s="2674"/>
      <c r="DH3" s="2674"/>
      <c r="DI3" s="2674"/>
      <c r="DJ3" s="2674"/>
      <c r="DK3" s="2674"/>
      <c r="DL3" s="2674"/>
      <c r="DM3" s="2674"/>
      <c r="DN3" s="2674"/>
      <c r="DO3" s="2674"/>
      <c r="DP3" s="2674"/>
      <c r="DQ3" s="2674"/>
      <c r="DR3" s="2674"/>
      <c r="DS3" s="2674"/>
      <c r="DT3" s="2674"/>
      <c r="DU3" s="2674"/>
      <c r="DV3" s="2674"/>
      <c r="DW3" s="2674"/>
      <c r="DX3" s="2674"/>
      <c r="DY3" s="2674"/>
      <c r="DZ3" s="2674"/>
      <c r="EA3" s="2674"/>
      <c r="EB3" s="2674"/>
      <c r="EC3" s="2674"/>
      <c r="ED3" s="2674"/>
      <c r="EE3" s="2674"/>
      <c r="EF3" s="2674"/>
      <c r="EG3" s="2674"/>
      <c r="EH3" s="2674"/>
      <c r="EI3" s="2674"/>
      <c r="EJ3" s="2674"/>
      <c r="EK3" s="2674"/>
      <c r="EL3" s="2674"/>
      <c r="EM3" s="2674"/>
      <c r="EN3" s="2674"/>
      <c r="EO3" s="2674"/>
      <c r="EP3" s="2674"/>
      <c r="EQ3" s="2674"/>
      <c r="ER3" s="2674"/>
      <c r="ES3" s="2674"/>
      <c r="ET3" s="2674"/>
      <c r="EU3" s="2674"/>
      <c r="EV3" s="2674"/>
      <c r="EW3" s="2674"/>
      <c r="EX3" s="2674"/>
      <c r="EY3" s="2674"/>
      <c r="EZ3" s="2674"/>
      <c r="FA3" s="2674"/>
      <c r="FB3" s="2674"/>
      <c r="FC3" s="2674"/>
      <c r="FD3" s="2674"/>
      <c r="FE3" s="2674"/>
      <c r="FF3" s="2674"/>
      <c r="FG3" s="2674"/>
      <c r="FH3" s="2674"/>
      <c r="FI3" s="2674"/>
      <c r="FJ3" s="2674"/>
      <c r="FK3" s="2674"/>
      <c r="FL3" s="2674"/>
      <c r="FM3" s="2674"/>
      <c r="FN3" s="2674"/>
    </row>
    <row r="4" spans="10:183" ht="4.1500000000000004" customHeight="1">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c r="BP4" s="2674"/>
      <c r="BQ4" s="2674"/>
      <c r="BR4" s="2674"/>
      <c r="BS4" s="2674"/>
      <c r="BT4" s="2674"/>
      <c r="BU4" s="2674"/>
      <c r="BV4" s="2674"/>
      <c r="BW4" s="2674"/>
      <c r="BX4" s="2674"/>
      <c r="BY4" s="2674"/>
      <c r="BZ4" s="2674"/>
      <c r="CA4" s="2674"/>
      <c r="CB4" s="2674"/>
      <c r="CC4" s="2674"/>
      <c r="CD4" s="2674"/>
      <c r="CE4" s="2674"/>
      <c r="CF4" s="2674"/>
      <c r="CG4" s="2674"/>
      <c r="CH4" s="2674"/>
      <c r="CI4" s="2674"/>
      <c r="CJ4" s="2674"/>
      <c r="CK4" s="2674"/>
      <c r="CL4" s="2674"/>
      <c r="CM4" s="2674"/>
      <c r="CN4" s="2674"/>
      <c r="CO4" s="2674"/>
      <c r="CP4" s="2674"/>
      <c r="CQ4" s="2674"/>
      <c r="CR4" s="2674"/>
      <c r="CS4" s="2674"/>
      <c r="CT4" s="2674"/>
      <c r="CU4" s="2674"/>
      <c r="CV4" s="2674"/>
      <c r="CW4" s="2674"/>
      <c r="CX4" s="2674"/>
      <c r="CY4" s="2674"/>
      <c r="CZ4" s="2674"/>
      <c r="DA4" s="2674"/>
      <c r="DB4" s="2674"/>
      <c r="DC4" s="2674"/>
      <c r="DD4" s="2674"/>
      <c r="DE4" s="2674"/>
      <c r="DF4" s="2674"/>
      <c r="DG4" s="2674"/>
      <c r="DH4" s="2674"/>
      <c r="DI4" s="2674"/>
      <c r="DJ4" s="2674"/>
      <c r="DK4" s="2674"/>
      <c r="DL4" s="2674"/>
      <c r="DM4" s="2674"/>
      <c r="DN4" s="2674"/>
      <c r="DO4" s="2674"/>
      <c r="DP4" s="2674"/>
      <c r="DQ4" s="2674"/>
      <c r="DR4" s="2674"/>
      <c r="DS4" s="2674"/>
      <c r="DT4" s="2674"/>
      <c r="DU4" s="2674"/>
      <c r="DV4" s="2674"/>
      <c r="DW4" s="2674"/>
      <c r="DX4" s="2674"/>
      <c r="DY4" s="2674"/>
      <c r="DZ4" s="2674"/>
      <c r="EA4" s="2674"/>
      <c r="EB4" s="2674"/>
      <c r="EC4" s="2674"/>
      <c r="ED4" s="2674"/>
      <c r="EE4" s="2674"/>
      <c r="EF4" s="2674"/>
      <c r="EG4" s="2674"/>
      <c r="EH4" s="2674"/>
      <c r="EI4" s="2674"/>
      <c r="EJ4" s="2674"/>
      <c r="EK4" s="2674"/>
      <c r="EL4" s="2674"/>
      <c r="EM4" s="2674"/>
      <c r="EN4" s="2674"/>
      <c r="EO4" s="2674"/>
      <c r="EP4" s="2674"/>
      <c r="EQ4" s="2674"/>
      <c r="ER4" s="2674"/>
      <c r="ES4" s="2674"/>
      <c r="ET4" s="2674"/>
      <c r="EU4" s="2674"/>
      <c r="EV4" s="2674"/>
      <c r="EW4" s="2674"/>
      <c r="EX4" s="2674"/>
      <c r="EY4" s="2674"/>
      <c r="EZ4" s="2674"/>
      <c r="FA4" s="2674"/>
      <c r="FB4" s="2674"/>
      <c r="FC4" s="2674"/>
      <c r="FD4" s="2674"/>
      <c r="FE4" s="2674"/>
      <c r="FF4" s="2674"/>
      <c r="FG4" s="2674"/>
      <c r="FH4" s="2674"/>
      <c r="FI4" s="2674"/>
      <c r="FJ4" s="2674"/>
      <c r="FK4" s="2674"/>
      <c r="FL4" s="2674"/>
      <c r="FM4" s="2674"/>
      <c r="FN4" s="2674"/>
    </row>
    <row r="5" spans="10:183" ht="4.1500000000000004" customHeight="1">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c r="BP5" s="2674"/>
      <c r="BQ5" s="2674"/>
      <c r="BR5" s="2674"/>
      <c r="BS5" s="2674"/>
      <c r="BT5" s="2674"/>
      <c r="BU5" s="2674"/>
      <c r="BV5" s="2674"/>
      <c r="BW5" s="2674"/>
      <c r="BX5" s="2674"/>
      <c r="BY5" s="2674"/>
      <c r="BZ5" s="2674"/>
      <c r="CA5" s="2674"/>
      <c r="CB5" s="2674"/>
      <c r="CC5" s="2674"/>
      <c r="CD5" s="2674"/>
      <c r="CE5" s="2674"/>
      <c r="CF5" s="2674"/>
      <c r="CG5" s="2674"/>
      <c r="CH5" s="2674"/>
      <c r="CI5" s="2674"/>
      <c r="CJ5" s="2674"/>
      <c r="CK5" s="2674"/>
      <c r="CL5" s="2674"/>
      <c r="CM5" s="2674"/>
      <c r="CN5" s="2674"/>
      <c r="CO5" s="2674"/>
      <c r="CP5" s="2674"/>
      <c r="CQ5" s="2674"/>
      <c r="CR5" s="2674"/>
      <c r="CS5" s="2674"/>
      <c r="CT5" s="2674"/>
      <c r="CU5" s="2674"/>
      <c r="CV5" s="2674"/>
      <c r="CW5" s="2674"/>
      <c r="CX5" s="2674"/>
      <c r="CY5" s="2674"/>
      <c r="CZ5" s="2674"/>
      <c r="DA5" s="2674"/>
      <c r="DB5" s="2674"/>
      <c r="DC5" s="2674"/>
      <c r="DD5" s="2674"/>
      <c r="DE5" s="2674"/>
      <c r="DF5" s="2674"/>
      <c r="DG5" s="2674"/>
      <c r="DH5" s="2674"/>
      <c r="DI5" s="2674"/>
      <c r="DJ5" s="2674"/>
      <c r="DK5" s="2674"/>
      <c r="DL5" s="2674"/>
      <c r="DM5" s="2674"/>
      <c r="DN5" s="2674"/>
      <c r="DO5" s="2674"/>
      <c r="DP5" s="2674"/>
      <c r="DQ5" s="2674"/>
      <c r="DR5" s="2674"/>
      <c r="DS5" s="2674"/>
      <c r="DT5" s="2674"/>
      <c r="DU5" s="2674"/>
      <c r="DV5" s="2674"/>
      <c r="DW5" s="2674"/>
      <c r="DX5" s="2674"/>
      <c r="DY5" s="2674"/>
      <c r="DZ5" s="2674"/>
      <c r="EA5" s="2674"/>
      <c r="EB5" s="2674"/>
      <c r="EC5" s="2674"/>
      <c r="ED5" s="2674"/>
      <c r="EE5" s="2674"/>
      <c r="EF5" s="2674"/>
      <c r="EG5" s="2674"/>
      <c r="EH5" s="2674"/>
      <c r="EI5" s="2674"/>
      <c r="EJ5" s="2674"/>
      <c r="EK5" s="2674"/>
      <c r="EL5" s="2674"/>
      <c r="EM5" s="2674"/>
      <c r="EN5" s="2674"/>
      <c r="EO5" s="2674"/>
      <c r="EP5" s="2674"/>
      <c r="EQ5" s="2674"/>
      <c r="ER5" s="2674"/>
      <c r="ES5" s="2674"/>
      <c r="ET5" s="2674"/>
      <c r="EU5" s="2674"/>
      <c r="EV5" s="2674"/>
      <c r="EW5" s="2674"/>
      <c r="EX5" s="2674"/>
      <c r="EY5" s="2674"/>
      <c r="EZ5" s="2674"/>
      <c r="FA5" s="2674"/>
      <c r="FB5" s="2674"/>
      <c r="FC5" s="2674"/>
      <c r="FD5" s="2674"/>
      <c r="FE5" s="2674"/>
      <c r="FF5" s="2674"/>
      <c r="FG5" s="2674"/>
      <c r="FH5" s="2674"/>
      <c r="FI5" s="2674"/>
      <c r="FJ5" s="2674"/>
      <c r="FK5" s="2674"/>
      <c r="FL5" s="2674"/>
      <c r="FM5" s="2674"/>
      <c r="FN5" s="2674"/>
    </row>
    <row r="10" spans="10:183" ht="4.1500000000000004" customHeight="1">
      <c r="J10" s="414"/>
      <c r="AD10" s="2580">
        <f>J17+AD17+BC17</f>
        <v>0.85000000000000009</v>
      </c>
      <c r="AE10" s="2580"/>
      <c r="AF10" s="2580"/>
      <c r="AG10" s="2580"/>
      <c r="AH10" s="2580"/>
      <c r="AI10" s="2580"/>
      <c r="AJ10" s="2580"/>
      <c r="AK10" s="2580"/>
      <c r="AL10" s="2580"/>
      <c r="AM10" s="2580"/>
      <c r="AN10" s="2580"/>
      <c r="AO10" s="2580"/>
      <c r="AP10" s="2580"/>
      <c r="BL10" s="415"/>
      <c r="DY10" s="414"/>
      <c r="ES10" s="2580">
        <f>DY17+ES17+FR17</f>
        <v>0.85000000000000009</v>
      </c>
      <c r="ET10" s="2580"/>
      <c r="EU10" s="2580"/>
      <c r="EV10" s="2580"/>
      <c r="EW10" s="2580"/>
      <c r="EX10" s="2580"/>
      <c r="EY10" s="2580"/>
      <c r="EZ10" s="2580"/>
      <c r="FA10" s="2580"/>
      <c r="FB10" s="2580"/>
      <c r="FC10" s="2580"/>
      <c r="FD10" s="2580"/>
      <c r="FE10" s="2580"/>
      <c r="GA10" s="415"/>
    </row>
    <row r="11" spans="10:183" ht="4.1500000000000004" customHeight="1">
      <c r="J11" s="416"/>
      <c r="K11" s="417"/>
      <c r="L11" s="417"/>
      <c r="M11" s="417"/>
      <c r="N11" s="417"/>
      <c r="O11" s="417"/>
      <c r="P11" s="417"/>
      <c r="Q11" s="417"/>
      <c r="R11" s="417"/>
      <c r="S11" s="417"/>
      <c r="T11" s="417"/>
      <c r="U11" s="417"/>
      <c r="V11" s="417"/>
      <c r="W11" s="417"/>
      <c r="X11" s="417"/>
      <c r="Y11" s="417"/>
      <c r="Z11" s="417"/>
      <c r="AA11" s="417"/>
      <c r="AB11" s="417"/>
      <c r="AC11" s="417"/>
      <c r="AD11" s="2580"/>
      <c r="AE11" s="2580"/>
      <c r="AF11" s="2580"/>
      <c r="AG11" s="2580"/>
      <c r="AH11" s="2580"/>
      <c r="AI11" s="2580"/>
      <c r="AJ11" s="2580"/>
      <c r="AK11" s="2580"/>
      <c r="AL11" s="2580"/>
      <c r="AM11" s="2580"/>
      <c r="AN11" s="2580"/>
      <c r="AO11" s="2580"/>
      <c r="AP11" s="2580"/>
      <c r="AQ11" s="417"/>
      <c r="AR11" s="417"/>
      <c r="AS11" s="417"/>
      <c r="AT11" s="417"/>
      <c r="AU11" s="417"/>
      <c r="AV11" s="417"/>
      <c r="AW11" s="417"/>
      <c r="AX11" s="417"/>
      <c r="AY11" s="417"/>
      <c r="AZ11" s="417"/>
      <c r="BA11" s="417"/>
      <c r="BB11" s="417"/>
      <c r="BC11" s="417"/>
      <c r="BD11" s="417"/>
      <c r="BE11" s="417"/>
      <c r="BF11" s="417"/>
      <c r="BG11" s="417"/>
      <c r="BH11" s="417"/>
      <c r="BI11" s="417"/>
      <c r="BJ11" s="417"/>
      <c r="BK11" s="417"/>
      <c r="BL11" s="418"/>
      <c r="DY11" s="416"/>
      <c r="DZ11" s="417"/>
      <c r="EA11" s="417"/>
      <c r="EB11" s="417"/>
      <c r="EC11" s="417"/>
      <c r="ED11" s="417"/>
      <c r="EE11" s="417"/>
      <c r="EF11" s="417"/>
      <c r="EG11" s="417"/>
      <c r="EH11" s="417"/>
      <c r="EI11" s="417"/>
      <c r="EJ11" s="417"/>
      <c r="EK11" s="417"/>
      <c r="EL11" s="417"/>
      <c r="EM11" s="417"/>
      <c r="EN11" s="417"/>
      <c r="EO11" s="417"/>
      <c r="EP11" s="417"/>
      <c r="EQ11" s="417"/>
      <c r="ER11" s="417"/>
      <c r="ES11" s="2580"/>
      <c r="ET11" s="2580"/>
      <c r="EU11" s="2580"/>
      <c r="EV11" s="2580"/>
      <c r="EW11" s="2580"/>
      <c r="EX11" s="2580"/>
      <c r="EY11" s="2580"/>
      <c r="EZ11" s="2580"/>
      <c r="FA11" s="2580"/>
      <c r="FB11" s="2580"/>
      <c r="FC11" s="2580"/>
      <c r="FD11" s="2580"/>
      <c r="FE11" s="2580"/>
      <c r="FF11" s="417"/>
      <c r="FG11" s="417"/>
      <c r="FH11" s="417"/>
      <c r="FI11" s="417"/>
      <c r="FJ11" s="417"/>
      <c r="FK11" s="417"/>
      <c r="FL11" s="417"/>
      <c r="FM11" s="417"/>
      <c r="FN11" s="417"/>
      <c r="FO11" s="417"/>
      <c r="FP11" s="417"/>
      <c r="FQ11" s="417"/>
      <c r="FR11" s="417"/>
      <c r="FS11" s="417"/>
      <c r="FT11" s="417"/>
      <c r="FU11" s="417"/>
      <c r="FV11" s="417"/>
      <c r="FW11" s="417"/>
      <c r="FX11" s="417"/>
      <c r="FY11" s="417"/>
      <c r="FZ11" s="417"/>
      <c r="GA11" s="418"/>
    </row>
    <row r="12" spans="10:183" ht="4.1500000000000004" customHeight="1">
      <c r="J12" s="414"/>
      <c r="AD12" s="2580"/>
      <c r="AE12" s="2580"/>
      <c r="AF12" s="2580"/>
      <c r="AG12" s="2580"/>
      <c r="AH12" s="2580"/>
      <c r="AI12" s="2580"/>
      <c r="AJ12" s="2580"/>
      <c r="AK12" s="2580"/>
      <c r="AL12" s="2580"/>
      <c r="AM12" s="2580"/>
      <c r="AN12" s="2580"/>
      <c r="AO12" s="2580"/>
      <c r="AP12" s="2580"/>
      <c r="BL12" s="415"/>
      <c r="DY12" s="414"/>
      <c r="ES12" s="2580"/>
      <c r="ET12" s="2580"/>
      <c r="EU12" s="2580"/>
      <c r="EV12" s="2580"/>
      <c r="EW12" s="2580"/>
      <c r="EX12" s="2580"/>
      <c r="EY12" s="2580"/>
      <c r="EZ12" s="2580"/>
      <c r="FA12" s="2580"/>
      <c r="FB12" s="2580"/>
      <c r="FC12" s="2580"/>
      <c r="FD12" s="2580"/>
      <c r="FE12" s="2580"/>
      <c r="GA12" s="415"/>
    </row>
    <row r="13" spans="10:183" ht="4.1500000000000004" customHeight="1">
      <c r="J13" s="414"/>
      <c r="AD13" s="2580"/>
      <c r="AE13" s="2580"/>
      <c r="AF13" s="2580"/>
      <c r="AG13" s="2580"/>
      <c r="AH13" s="2580"/>
      <c r="AI13" s="2580"/>
      <c r="AJ13" s="2580"/>
      <c r="AK13" s="2580"/>
      <c r="AL13" s="2580"/>
      <c r="AM13" s="2580"/>
      <c r="AN13" s="2580"/>
      <c r="AO13" s="2580"/>
      <c r="AP13" s="2580"/>
      <c r="BL13" s="415"/>
      <c r="DY13" s="414"/>
      <c r="ES13" s="2580"/>
      <c r="ET13" s="2580"/>
      <c r="EU13" s="2580"/>
      <c r="EV13" s="2580"/>
      <c r="EW13" s="2580"/>
      <c r="EX13" s="2580"/>
      <c r="EY13" s="2580"/>
      <c r="EZ13" s="2580"/>
      <c r="FA13" s="2580"/>
      <c r="FB13" s="2580"/>
      <c r="FC13" s="2580"/>
      <c r="FD13" s="2580"/>
      <c r="FE13" s="2580"/>
      <c r="GA13" s="415"/>
    </row>
    <row r="17" spans="10:218" ht="4.1500000000000004" customHeight="1">
      <c r="J17" s="2581">
        <v>0.2</v>
      </c>
      <c r="K17" s="2580"/>
      <c r="L17" s="2580"/>
      <c r="M17" s="2580"/>
      <c r="N17" s="2580"/>
      <c r="O17" s="2580"/>
      <c r="P17" s="2580"/>
      <c r="Q17" s="2580"/>
      <c r="R17" s="2580"/>
      <c r="S17" s="2582"/>
      <c r="T17" s="449"/>
      <c r="U17" s="449"/>
      <c r="V17" s="449"/>
      <c r="W17" s="449"/>
      <c r="X17" s="449"/>
      <c r="Y17" s="449"/>
      <c r="Z17" s="449"/>
      <c r="AA17" s="449"/>
      <c r="AB17" s="449"/>
      <c r="AC17" s="449"/>
      <c r="AD17" s="2580">
        <v>0.45</v>
      </c>
      <c r="AE17" s="2580"/>
      <c r="AF17" s="2580"/>
      <c r="AG17" s="2580"/>
      <c r="AH17" s="2580"/>
      <c r="AI17" s="2580"/>
      <c r="AJ17" s="2580"/>
      <c r="AK17" s="2580"/>
      <c r="AL17" s="2580"/>
      <c r="AM17" s="2580"/>
      <c r="AN17" s="2580"/>
      <c r="AO17" s="2580"/>
      <c r="AP17" s="2580"/>
      <c r="AQ17" s="449"/>
      <c r="AR17" s="449"/>
      <c r="AS17" s="449"/>
      <c r="AT17" s="449"/>
      <c r="AU17" s="449"/>
      <c r="AV17" s="449"/>
      <c r="AW17" s="449"/>
      <c r="AX17" s="449"/>
      <c r="AY17" s="449"/>
      <c r="AZ17" s="449"/>
      <c r="BA17" s="449"/>
      <c r="BB17" s="1402"/>
      <c r="BC17" s="2581">
        <f>J17</f>
        <v>0.2</v>
      </c>
      <c r="BD17" s="2580"/>
      <c r="BE17" s="2580"/>
      <c r="BF17" s="2580"/>
      <c r="BG17" s="2580"/>
      <c r="BH17" s="2580"/>
      <c r="BI17" s="2580"/>
      <c r="BJ17" s="2580"/>
      <c r="BK17" s="2580"/>
      <c r="BL17" s="2582"/>
      <c r="DY17" s="2581">
        <v>0.2</v>
      </c>
      <c r="DZ17" s="2580"/>
      <c r="EA17" s="2580"/>
      <c r="EB17" s="2580"/>
      <c r="EC17" s="2580"/>
      <c r="ED17" s="2580"/>
      <c r="EE17" s="2580"/>
      <c r="EF17" s="2580"/>
      <c r="EG17" s="2580"/>
      <c r="EH17" s="2582"/>
      <c r="EI17" s="449"/>
      <c r="EJ17" s="449"/>
      <c r="EK17" s="449"/>
      <c r="EL17" s="449"/>
      <c r="EM17" s="449"/>
      <c r="EN17" s="449"/>
      <c r="EO17" s="449"/>
      <c r="EP17" s="449"/>
      <c r="EQ17" s="449"/>
      <c r="ER17" s="449"/>
      <c r="ES17" s="2580">
        <v>0.45</v>
      </c>
      <c r="ET17" s="2580"/>
      <c r="EU17" s="2580"/>
      <c r="EV17" s="2580"/>
      <c r="EW17" s="2580"/>
      <c r="EX17" s="2580"/>
      <c r="EY17" s="2580"/>
      <c r="EZ17" s="2580"/>
      <c r="FA17" s="2580"/>
      <c r="FB17" s="2580"/>
      <c r="FC17" s="2580"/>
      <c r="FD17" s="2580"/>
      <c r="FE17" s="2580"/>
      <c r="FF17" s="449"/>
      <c r="FG17" s="449"/>
      <c r="FH17" s="449"/>
      <c r="FI17" s="449"/>
      <c r="FJ17" s="449"/>
      <c r="FK17" s="449"/>
      <c r="FL17" s="449"/>
      <c r="FM17" s="449"/>
      <c r="FN17" s="449"/>
      <c r="FO17" s="449"/>
      <c r="FP17" s="449"/>
      <c r="FQ17" s="1402"/>
      <c r="FR17" s="2581">
        <f>DY17</f>
        <v>0.2</v>
      </c>
      <c r="FS17" s="2580"/>
      <c r="FT17" s="2580"/>
      <c r="FU17" s="2580"/>
      <c r="FV17" s="2580"/>
      <c r="FW17" s="2580"/>
      <c r="FX17" s="2580"/>
      <c r="FY17" s="2580"/>
      <c r="FZ17" s="2580"/>
      <c r="GA17" s="2582"/>
    </row>
    <row r="18" spans="10:218" ht="4.1500000000000004" customHeight="1">
      <c r="J18" s="2581"/>
      <c r="K18" s="2580"/>
      <c r="L18" s="2580"/>
      <c r="M18" s="2580"/>
      <c r="N18" s="2580"/>
      <c r="O18" s="2580"/>
      <c r="P18" s="2580"/>
      <c r="Q18" s="2580"/>
      <c r="R18" s="2580"/>
      <c r="S18" s="2582"/>
      <c r="T18" s="480"/>
      <c r="U18" s="480"/>
      <c r="V18" s="480"/>
      <c r="W18" s="480"/>
      <c r="X18" s="480"/>
      <c r="Y18" s="480"/>
      <c r="Z18" s="480"/>
      <c r="AA18" s="480"/>
      <c r="AB18" s="480"/>
      <c r="AC18" s="480"/>
      <c r="AD18" s="2580"/>
      <c r="AE18" s="2580"/>
      <c r="AF18" s="2580"/>
      <c r="AG18" s="2580"/>
      <c r="AH18" s="2580"/>
      <c r="AI18" s="2580"/>
      <c r="AJ18" s="2580"/>
      <c r="AK18" s="2580"/>
      <c r="AL18" s="2580"/>
      <c r="AM18" s="2580"/>
      <c r="AN18" s="2580"/>
      <c r="AO18" s="2580"/>
      <c r="AP18" s="2580"/>
      <c r="AQ18" s="480"/>
      <c r="AR18" s="480"/>
      <c r="AS18" s="480"/>
      <c r="AT18" s="480"/>
      <c r="AU18" s="480"/>
      <c r="AV18" s="480"/>
      <c r="AW18" s="480"/>
      <c r="AX18" s="480"/>
      <c r="AY18" s="480"/>
      <c r="AZ18" s="480"/>
      <c r="BA18" s="480"/>
      <c r="BB18" s="1403"/>
      <c r="BC18" s="2581"/>
      <c r="BD18" s="2580"/>
      <c r="BE18" s="2580"/>
      <c r="BF18" s="2580"/>
      <c r="BG18" s="2580"/>
      <c r="BH18" s="2580"/>
      <c r="BI18" s="2580"/>
      <c r="BJ18" s="2580"/>
      <c r="BK18" s="2580"/>
      <c r="BL18" s="2582"/>
      <c r="DY18" s="2581"/>
      <c r="DZ18" s="2580"/>
      <c r="EA18" s="2580"/>
      <c r="EB18" s="2580"/>
      <c r="EC18" s="2580"/>
      <c r="ED18" s="2580"/>
      <c r="EE18" s="2580"/>
      <c r="EF18" s="2580"/>
      <c r="EG18" s="2580"/>
      <c r="EH18" s="2582"/>
      <c r="EI18" s="480"/>
      <c r="EJ18" s="480"/>
      <c r="EK18" s="480"/>
      <c r="EL18" s="480"/>
      <c r="EM18" s="480"/>
      <c r="EN18" s="480"/>
      <c r="EO18" s="480"/>
      <c r="EP18" s="480"/>
      <c r="EQ18" s="480"/>
      <c r="ER18" s="480"/>
      <c r="ES18" s="2580"/>
      <c r="ET18" s="2580"/>
      <c r="EU18" s="2580"/>
      <c r="EV18" s="2580"/>
      <c r="EW18" s="2580"/>
      <c r="EX18" s="2580"/>
      <c r="EY18" s="2580"/>
      <c r="EZ18" s="2580"/>
      <c r="FA18" s="2580"/>
      <c r="FB18" s="2580"/>
      <c r="FC18" s="2580"/>
      <c r="FD18" s="2580"/>
      <c r="FE18" s="2580"/>
      <c r="FF18" s="480"/>
      <c r="FG18" s="480"/>
      <c r="FH18" s="480"/>
      <c r="FI18" s="480"/>
      <c r="FJ18" s="480"/>
      <c r="FK18" s="480"/>
      <c r="FL18" s="480"/>
      <c r="FM18" s="480"/>
      <c r="FN18" s="480"/>
      <c r="FO18" s="480"/>
      <c r="FP18" s="480"/>
      <c r="FQ18" s="1403"/>
      <c r="FR18" s="2581"/>
      <c r="FS18" s="2580"/>
      <c r="FT18" s="2580"/>
      <c r="FU18" s="2580"/>
      <c r="FV18" s="2580"/>
      <c r="FW18" s="2580"/>
      <c r="FX18" s="2580"/>
      <c r="FY18" s="2580"/>
      <c r="FZ18" s="2580"/>
      <c r="GA18" s="2582"/>
    </row>
    <row r="19" spans="10:218" ht="4.1500000000000004" customHeight="1">
      <c r="J19" s="2581"/>
      <c r="K19" s="2580"/>
      <c r="L19" s="2580"/>
      <c r="M19" s="2580"/>
      <c r="N19" s="2580"/>
      <c r="O19" s="2580"/>
      <c r="P19" s="2580"/>
      <c r="Q19" s="2580"/>
      <c r="R19" s="2580"/>
      <c r="S19" s="2582"/>
      <c r="T19" s="449"/>
      <c r="U19" s="449"/>
      <c r="V19" s="449"/>
      <c r="W19" s="449"/>
      <c r="X19" s="449"/>
      <c r="Y19" s="449"/>
      <c r="Z19" s="449"/>
      <c r="AA19" s="449"/>
      <c r="AB19" s="449"/>
      <c r="AC19" s="449"/>
      <c r="AD19" s="2580"/>
      <c r="AE19" s="2580"/>
      <c r="AF19" s="2580"/>
      <c r="AG19" s="2580"/>
      <c r="AH19" s="2580"/>
      <c r="AI19" s="2580"/>
      <c r="AJ19" s="2580"/>
      <c r="AK19" s="2580"/>
      <c r="AL19" s="2580"/>
      <c r="AM19" s="2580"/>
      <c r="AN19" s="2580"/>
      <c r="AO19" s="2580"/>
      <c r="AP19" s="2580"/>
      <c r="AQ19" s="449"/>
      <c r="AR19" s="449"/>
      <c r="AS19" s="449"/>
      <c r="AT19" s="449"/>
      <c r="AU19" s="449"/>
      <c r="AV19" s="449"/>
      <c r="AW19" s="449"/>
      <c r="AX19" s="449"/>
      <c r="AY19" s="449"/>
      <c r="AZ19" s="449"/>
      <c r="BA19" s="449"/>
      <c r="BB19" s="1402"/>
      <c r="BC19" s="2581"/>
      <c r="BD19" s="2580"/>
      <c r="BE19" s="2580"/>
      <c r="BF19" s="2580"/>
      <c r="BG19" s="2580"/>
      <c r="BH19" s="2580"/>
      <c r="BI19" s="2580"/>
      <c r="BJ19" s="2580"/>
      <c r="BK19" s="2580"/>
      <c r="BL19" s="2582"/>
      <c r="DY19" s="2581"/>
      <c r="DZ19" s="2580"/>
      <c r="EA19" s="2580"/>
      <c r="EB19" s="2580"/>
      <c r="EC19" s="2580"/>
      <c r="ED19" s="2580"/>
      <c r="EE19" s="2580"/>
      <c r="EF19" s="2580"/>
      <c r="EG19" s="2580"/>
      <c r="EH19" s="2582"/>
      <c r="EI19" s="449"/>
      <c r="EJ19" s="449"/>
      <c r="EK19" s="449"/>
      <c r="EL19" s="449"/>
      <c r="EM19" s="449"/>
      <c r="EN19" s="449"/>
      <c r="EO19" s="449"/>
      <c r="EP19" s="449"/>
      <c r="EQ19" s="449"/>
      <c r="ER19" s="449"/>
      <c r="ES19" s="2580"/>
      <c r="ET19" s="2580"/>
      <c r="EU19" s="2580"/>
      <c r="EV19" s="2580"/>
      <c r="EW19" s="2580"/>
      <c r="EX19" s="2580"/>
      <c r="EY19" s="2580"/>
      <c r="EZ19" s="2580"/>
      <c r="FA19" s="2580"/>
      <c r="FB19" s="2580"/>
      <c r="FC19" s="2580"/>
      <c r="FD19" s="2580"/>
      <c r="FE19" s="2580"/>
      <c r="FF19" s="449"/>
      <c r="FG19" s="449"/>
      <c r="FH19" s="449"/>
      <c r="FI19" s="449"/>
      <c r="FJ19" s="449"/>
      <c r="FK19" s="449"/>
      <c r="FL19" s="449"/>
      <c r="FM19" s="449"/>
      <c r="FN19" s="449"/>
      <c r="FO19" s="449"/>
      <c r="FP19" s="449"/>
      <c r="FQ19" s="1402"/>
      <c r="FR19" s="2581"/>
      <c r="FS19" s="2580"/>
      <c r="FT19" s="2580"/>
      <c r="FU19" s="2580"/>
      <c r="FV19" s="2580"/>
      <c r="FW19" s="2580"/>
      <c r="FX19" s="2580"/>
      <c r="FY19" s="2580"/>
      <c r="FZ19" s="2580"/>
      <c r="GA19" s="2582"/>
    </row>
    <row r="20" spans="10:218" ht="4.1500000000000004" customHeight="1">
      <c r="J20" s="2581"/>
      <c r="K20" s="2580"/>
      <c r="L20" s="2580"/>
      <c r="M20" s="2580"/>
      <c r="N20" s="2580"/>
      <c r="O20" s="2580"/>
      <c r="P20" s="2580"/>
      <c r="Q20" s="2580"/>
      <c r="R20" s="2580"/>
      <c r="S20" s="2582"/>
      <c r="T20" s="449"/>
      <c r="U20" s="449"/>
      <c r="V20" s="449"/>
      <c r="W20" s="449"/>
      <c r="X20" s="449"/>
      <c r="Y20" s="449"/>
      <c r="Z20" s="449"/>
      <c r="AA20" s="449"/>
      <c r="AB20" s="449"/>
      <c r="AC20" s="449"/>
      <c r="AD20" s="2580"/>
      <c r="AE20" s="2580"/>
      <c r="AF20" s="2580"/>
      <c r="AG20" s="2580"/>
      <c r="AH20" s="2580"/>
      <c r="AI20" s="2580"/>
      <c r="AJ20" s="2580"/>
      <c r="AK20" s="2580"/>
      <c r="AL20" s="2580"/>
      <c r="AM20" s="2580"/>
      <c r="AN20" s="2580"/>
      <c r="AO20" s="2580"/>
      <c r="AP20" s="2580"/>
      <c r="AQ20" s="449"/>
      <c r="AR20" s="449"/>
      <c r="AS20" s="449"/>
      <c r="AT20" s="449"/>
      <c r="AU20" s="449"/>
      <c r="AV20" s="449"/>
      <c r="AW20" s="449"/>
      <c r="AX20" s="449"/>
      <c r="AY20" s="449"/>
      <c r="AZ20" s="449"/>
      <c r="BA20" s="449"/>
      <c r="BB20" s="1402"/>
      <c r="BC20" s="2581"/>
      <c r="BD20" s="2580"/>
      <c r="BE20" s="2580"/>
      <c r="BF20" s="2580"/>
      <c r="BG20" s="2580"/>
      <c r="BH20" s="2580"/>
      <c r="BI20" s="2580"/>
      <c r="BJ20" s="2580"/>
      <c r="BK20" s="2580"/>
      <c r="BL20" s="2582"/>
      <c r="DY20" s="2581"/>
      <c r="DZ20" s="2580"/>
      <c r="EA20" s="2580"/>
      <c r="EB20" s="2580"/>
      <c r="EC20" s="2580"/>
      <c r="ED20" s="2580"/>
      <c r="EE20" s="2580"/>
      <c r="EF20" s="2580"/>
      <c r="EG20" s="2580"/>
      <c r="EH20" s="2582"/>
      <c r="EI20" s="449"/>
      <c r="EJ20" s="449"/>
      <c r="EK20" s="449"/>
      <c r="EL20" s="449"/>
      <c r="EM20" s="449"/>
      <c r="EN20" s="449"/>
      <c r="EO20" s="449"/>
      <c r="EP20" s="449"/>
      <c r="EQ20" s="449"/>
      <c r="ER20" s="449"/>
      <c r="ES20" s="2580"/>
      <c r="ET20" s="2580"/>
      <c r="EU20" s="2580"/>
      <c r="EV20" s="2580"/>
      <c r="EW20" s="2580"/>
      <c r="EX20" s="2580"/>
      <c r="EY20" s="2580"/>
      <c r="EZ20" s="2580"/>
      <c r="FA20" s="2580"/>
      <c r="FB20" s="2580"/>
      <c r="FC20" s="2580"/>
      <c r="FD20" s="2580"/>
      <c r="FE20" s="2580"/>
      <c r="FF20" s="449"/>
      <c r="FG20" s="449"/>
      <c r="FH20" s="449"/>
      <c r="FI20" s="449"/>
      <c r="FJ20" s="449"/>
      <c r="FK20" s="449"/>
      <c r="FL20" s="449"/>
      <c r="FM20" s="449"/>
      <c r="FN20" s="449"/>
      <c r="FO20" s="449"/>
      <c r="FP20" s="449"/>
      <c r="FQ20" s="1402"/>
      <c r="FR20" s="2581"/>
      <c r="FS20" s="2580"/>
      <c r="FT20" s="2580"/>
      <c r="FU20" s="2580"/>
      <c r="FV20" s="2580"/>
      <c r="FW20" s="2580"/>
      <c r="FX20" s="2580"/>
      <c r="FY20" s="2580"/>
      <c r="FZ20" s="2580"/>
      <c r="GA20" s="2582"/>
    </row>
    <row r="22" spans="10:218" ht="4.1500000000000004" customHeight="1">
      <c r="J22" s="417"/>
      <c r="K22" s="417"/>
      <c r="L22" s="417"/>
      <c r="M22" s="417"/>
      <c r="N22" s="417"/>
      <c r="O22" s="417"/>
      <c r="P22" s="417"/>
      <c r="Q22" s="417"/>
      <c r="R22" s="417"/>
      <c r="S22" s="417"/>
      <c r="BC22" s="417"/>
      <c r="BD22" s="417"/>
      <c r="BE22" s="417"/>
      <c r="BF22" s="417"/>
      <c r="BG22" s="417"/>
      <c r="BH22" s="417"/>
      <c r="BI22" s="417"/>
      <c r="BJ22" s="417"/>
      <c r="BK22" s="417"/>
      <c r="BL22" s="417"/>
      <c r="DY22" s="417"/>
      <c r="DZ22" s="417"/>
      <c r="EA22" s="417"/>
      <c r="EB22" s="417"/>
      <c r="EC22" s="417"/>
      <c r="ED22" s="417"/>
      <c r="EE22" s="417"/>
      <c r="EF22" s="417"/>
      <c r="EG22" s="417"/>
      <c r="EH22" s="417"/>
      <c r="FR22" s="417"/>
      <c r="FS22" s="417"/>
      <c r="FT22" s="417"/>
      <c r="FU22" s="417"/>
      <c r="FV22" s="417"/>
      <c r="FW22" s="417"/>
      <c r="FX22" s="417"/>
      <c r="FY22" s="417"/>
      <c r="FZ22" s="417"/>
      <c r="GA22" s="417"/>
    </row>
    <row r="23" spans="10:218" ht="4.1500000000000004" customHeight="1">
      <c r="J23" s="414"/>
      <c r="T23" s="414"/>
      <c r="BB23" s="415"/>
      <c r="BL23" s="415"/>
      <c r="BR23" s="412"/>
      <c r="BS23" s="412"/>
      <c r="BT23" s="412"/>
      <c r="BU23" s="412"/>
      <c r="BV23" s="412"/>
      <c r="BW23" s="412"/>
      <c r="BX23" s="412"/>
      <c r="BY23" s="411"/>
      <c r="BZ23" s="412"/>
      <c r="CA23" s="412"/>
      <c r="CB23" s="412"/>
      <c r="CC23" s="412"/>
      <c r="CD23" s="412"/>
      <c r="CE23" s="412"/>
      <c r="CG23" s="412"/>
      <c r="CH23" s="412"/>
      <c r="CI23" s="412"/>
      <c r="CJ23" s="412"/>
      <c r="CK23" s="411"/>
      <c r="CL23" s="412"/>
      <c r="CM23" s="412"/>
      <c r="CN23" s="412"/>
      <c r="CO23" s="412"/>
      <c r="CP23" s="412"/>
      <c r="DU23" s="2673"/>
      <c r="DV23" s="2673"/>
      <c r="DW23" s="2673"/>
      <c r="DX23" s="2673"/>
      <c r="EH23" s="415"/>
      <c r="FR23" s="414"/>
      <c r="GB23" s="2675"/>
      <c r="GC23" s="2675"/>
      <c r="GD23" s="2675"/>
      <c r="GE23" s="2675"/>
      <c r="GK23" s="412"/>
      <c r="GL23" s="412"/>
      <c r="GM23" s="412"/>
      <c r="GN23" s="412"/>
      <c r="GO23" s="412"/>
      <c r="GP23" s="412"/>
      <c r="GQ23" s="412"/>
      <c r="GR23" s="411"/>
      <c r="GS23" s="412"/>
      <c r="GT23" s="412"/>
      <c r="GU23" s="412"/>
      <c r="GV23" s="412"/>
      <c r="GW23" s="412"/>
      <c r="GX23" s="412"/>
      <c r="HA23" s="412"/>
      <c r="HB23" s="412"/>
      <c r="HC23" s="412"/>
      <c r="HD23" s="412"/>
      <c r="HE23" s="411"/>
      <c r="HF23" s="412"/>
      <c r="HG23" s="412"/>
      <c r="HH23" s="412"/>
      <c r="HI23" s="412"/>
      <c r="HJ23" s="412"/>
    </row>
    <row r="24" spans="10:218" ht="4.1500000000000004" customHeight="1">
      <c r="J24" s="414"/>
      <c r="L24" s="414"/>
      <c r="R24" s="414"/>
      <c r="T24" s="414"/>
      <c r="BB24" s="415"/>
      <c r="BD24" s="415"/>
      <c r="BE24" s="414"/>
      <c r="BJ24" s="415"/>
      <c r="BL24" s="415"/>
      <c r="BY24" s="414"/>
      <c r="CK24" s="414"/>
      <c r="DU24" s="2673"/>
      <c r="DV24" s="2673"/>
      <c r="DW24" s="2673"/>
      <c r="DX24" s="2673"/>
      <c r="EH24" s="415"/>
      <c r="FR24" s="414"/>
      <c r="GB24" s="2675"/>
      <c r="GC24" s="2675"/>
      <c r="GD24" s="2675"/>
      <c r="GE24" s="2675"/>
      <c r="GR24" s="414"/>
      <c r="HE24" s="414"/>
    </row>
    <row r="25" spans="10:218" ht="4.1500000000000004" customHeight="1">
      <c r="J25" s="414"/>
      <c r="L25" s="414"/>
      <c r="R25" s="414"/>
      <c r="T25" s="414"/>
      <c r="BB25" s="415"/>
      <c r="BD25" s="415"/>
      <c r="BE25" s="414"/>
      <c r="BJ25" s="415"/>
      <c r="BL25" s="415"/>
      <c r="BY25" s="414"/>
      <c r="CK25" s="414"/>
      <c r="DU25" s="2673"/>
      <c r="DV25" s="2673"/>
      <c r="DW25" s="2673"/>
      <c r="DX25" s="2673"/>
      <c r="EH25" s="415"/>
      <c r="FR25" s="414"/>
      <c r="GB25" s="2675"/>
      <c r="GC25" s="2675"/>
      <c r="GD25" s="2675"/>
      <c r="GE25" s="2675"/>
      <c r="GR25" s="414"/>
      <c r="HE25" s="414"/>
    </row>
    <row r="26" spans="10:218" ht="4.1500000000000004" customHeight="1">
      <c r="J26" s="414"/>
      <c r="L26" s="453"/>
      <c r="Q26" s="454"/>
      <c r="R26" s="414"/>
      <c r="T26" s="414"/>
      <c r="BB26" s="415"/>
      <c r="BD26" s="415"/>
      <c r="BE26" s="453"/>
      <c r="BJ26" s="455"/>
      <c r="BL26" s="415"/>
      <c r="BY26" s="414"/>
      <c r="CK26" s="414"/>
      <c r="DU26" s="2673"/>
      <c r="DV26" s="2673"/>
      <c r="DW26" s="2673"/>
      <c r="DX26" s="2673"/>
      <c r="EH26" s="415"/>
      <c r="FR26" s="414"/>
      <c r="GB26" s="2675"/>
      <c r="GC26" s="2675"/>
      <c r="GD26" s="2675"/>
      <c r="GE26" s="2675"/>
      <c r="GR26" s="414"/>
      <c r="HE26" s="414"/>
    </row>
    <row r="27" spans="10:218" ht="4.1500000000000004" customHeight="1">
      <c r="J27" s="414"/>
      <c r="L27" s="414"/>
      <c r="R27" s="414"/>
      <c r="T27" s="414"/>
      <c r="BB27" s="415"/>
      <c r="BD27" s="415"/>
      <c r="BE27" s="414"/>
      <c r="BJ27" s="415"/>
      <c r="BL27" s="415"/>
      <c r="BY27" s="414"/>
      <c r="CK27" s="414"/>
      <c r="DU27" s="2673"/>
      <c r="DV27" s="2673"/>
      <c r="DW27" s="2673"/>
      <c r="DX27" s="2673"/>
      <c r="EH27" s="415"/>
      <c r="FR27" s="414"/>
      <c r="GB27" s="2675"/>
      <c r="GC27" s="2675"/>
      <c r="GD27" s="2675"/>
      <c r="GE27" s="2675"/>
      <c r="GR27" s="414"/>
      <c r="HE27" s="414"/>
    </row>
    <row r="28" spans="10:218" ht="4.1500000000000004" customHeight="1">
      <c r="J28" s="414"/>
      <c r="L28" s="414"/>
      <c r="R28" s="414"/>
      <c r="T28" s="414"/>
      <c r="BB28" s="415"/>
      <c r="BD28" s="415"/>
      <c r="BE28" s="414"/>
      <c r="BJ28" s="415"/>
      <c r="BL28" s="415"/>
      <c r="BY28" s="414"/>
      <c r="CK28" s="414"/>
      <c r="DU28" s="2673"/>
      <c r="DV28" s="2673"/>
      <c r="DW28" s="2673"/>
      <c r="DX28" s="2673"/>
      <c r="EH28" s="415"/>
      <c r="FR28" s="414"/>
      <c r="GB28" s="2675"/>
      <c r="GC28" s="2675"/>
      <c r="GD28" s="2675"/>
      <c r="GE28" s="2675"/>
      <c r="GR28" s="414"/>
      <c r="HE28" s="414"/>
    </row>
    <row r="29" spans="10:218" ht="4.1500000000000004" customHeight="1">
      <c r="J29" s="414"/>
      <c r="L29" s="414"/>
      <c r="R29" s="414"/>
      <c r="T29" s="414"/>
      <c r="BB29" s="415"/>
      <c r="BD29" s="415"/>
      <c r="BE29" s="414"/>
      <c r="BJ29" s="415"/>
      <c r="BL29" s="415"/>
      <c r="BY29" s="414"/>
      <c r="CK29" s="414"/>
      <c r="DU29" s="2673"/>
      <c r="DV29" s="2673"/>
      <c r="DW29" s="2673"/>
      <c r="DX29" s="2673"/>
      <c r="EH29" s="415"/>
      <c r="FR29" s="414"/>
      <c r="GB29" s="2675"/>
      <c r="GC29" s="2675"/>
      <c r="GD29" s="2675"/>
      <c r="GE29" s="2675"/>
      <c r="GR29" s="414"/>
      <c r="HE29" s="414"/>
    </row>
    <row r="30" spans="10:218" ht="4.1500000000000004" customHeight="1">
      <c r="J30" s="414"/>
      <c r="L30" s="414"/>
      <c r="R30" s="414"/>
      <c r="T30" s="414"/>
      <c r="BB30" s="415"/>
      <c r="BD30" s="415"/>
      <c r="BE30" s="414"/>
      <c r="BJ30" s="415"/>
      <c r="BL30" s="415"/>
      <c r="BY30" s="414"/>
      <c r="CK30" s="414"/>
      <c r="DU30" s="2673"/>
      <c r="DV30" s="2673"/>
      <c r="DW30" s="2673"/>
      <c r="DX30" s="2673"/>
      <c r="EH30" s="415"/>
      <c r="FR30" s="414"/>
      <c r="GB30" s="2675"/>
      <c r="GC30" s="2675"/>
      <c r="GD30" s="2675"/>
      <c r="GE30" s="2675"/>
      <c r="GR30" s="414"/>
      <c r="HE30" s="414"/>
    </row>
    <row r="31" spans="10:218" ht="4.1500000000000004" customHeight="1">
      <c r="J31" s="414"/>
      <c r="L31" s="414"/>
      <c r="R31" s="414"/>
      <c r="T31" s="414"/>
      <c r="BB31" s="415"/>
      <c r="BD31" s="415"/>
      <c r="BE31" s="414"/>
      <c r="BJ31" s="415"/>
      <c r="BL31" s="415"/>
      <c r="BY31" s="414"/>
      <c r="CK31" s="414"/>
      <c r="DU31" s="2673"/>
      <c r="DV31" s="2673"/>
      <c r="DW31" s="2673"/>
      <c r="DX31" s="2673"/>
      <c r="EH31" s="415"/>
      <c r="FR31" s="414"/>
      <c r="GB31" s="2675"/>
      <c r="GC31" s="2675"/>
      <c r="GD31" s="2675"/>
      <c r="GE31" s="2675"/>
      <c r="GR31" s="414"/>
      <c r="HE31" s="414"/>
    </row>
    <row r="32" spans="10:218" ht="4.1500000000000004" customHeight="1">
      <c r="J32" s="414"/>
      <c r="L32" s="414"/>
      <c r="R32" s="414"/>
      <c r="T32" s="414"/>
      <c r="BB32" s="415"/>
      <c r="BD32" s="415"/>
      <c r="BE32" s="414"/>
      <c r="BJ32" s="415"/>
      <c r="BL32" s="415"/>
      <c r="BY32" s="414"/>
      <c r="CK32" s="414"/>
      <c r="DU32" s="2673"/>
      <c r="DV32" s="2673"/>
      <c r="DW32" s="2673"/>
      <c r="DX32" s="2673"/>
      <c r="EH32" s="415"/>
      <c r="FR32" s="414"/>
      <c r="GB32" s="2675"/>
      <c r="GC32" s="2675"/>
      <c r="GD32" s="2675"/>
      <c r="GE32" s="2675"/>
      <c r="GR32" s="414"/>
      <c r="HE32" s="414"/>
    </row>
    <row r="33" spans="10:218" ht="4.1500000000000004" customHeight="1">
      <c r="J33" s="414"/>
      <c r="L33" s="453"/>
      <c r="Q33" s="454"/>
      <c r="R33" s="414"/>
      <c r="T33" s="414"/>
      <c r="BB33" s="415"/>
      <c r="BD33" s="415"/>
      <c r="BE33" s="453"/>
      <c r="BJ33" s="455"/>
      <c r="BL33" s="415"/>
      <c r="BY33" s="414"/>
      <c r="CK33" s="414"/>
      <c r="DU33" s="2673"/>
      <c r="DV33" s="2673"/>
      <c r="DW33" s="2673"/>
      <c r="DX33" s="2673"/>
      <c r="EH33" s="415"/>
      <c r="FR33" s="414"/>
      <c r="GB33" s="2675"/>
      <c r="GC33" s="2675"/>
      <c r="GD33" s="2675"/>
      <c r="GE33" s="2675"/>
      <c r="GR33" s="414"/>
      <c r="HE33" s="414"/>
    </row>
    <row r="34" spans="10:218" ht="4.1500000000000004" customHeight="1">
      <c r="J34" s="414"/>
      <c r="L34" s="414"/>
      <c r="R34" s="414"/>
      <c r="T34" s="414"/>
      <c r="BB34" s="415"/>
      <c r="BD34" s="415"/>
      <c r="BE34" s="414"/>
      <c r="BJ34" s="415"/>
      <c r="BL34" s="415"/>
      <c r="BY34" s="414"/>
      <c r="CK34" s="414"/>
      <c r="DU34" s="2673"/>
      <c r="DV34" s="2673"/>
      <c r="DW34" s="2673"/>
      <c r="DX34" s="2673"/>
      <c r="EH34" s="415"/>
      <c r="FR34" s="414"/>
      <c r="GB34" s="2675"/>
      <c r="GC34" s="2675"/>
      <c r="GD34" s="2675"/>
      <c r="GE34" s="2675"/>
      <c r="GR34" s="414"/>
      <c r="HE34" s="414"/>
    </row>
    <row r="35" spans="10:218" ht="4.1500000000000004" customHeight="1">
      <c r="J35" s="414"/>
      <c r="L35" s="414"/>
      <c r="R35" s="414"/>
      <c r="T35" s="414"/>
      <c r="BB35" s="415"/>
      <c r="BD35" s="415"/>
      <c r="BE35" s="414"/>
      <c r="BJ35" s="415"/>
      <c r="BL35" s="415"/>
      <c r="BR35" s="2580">
        <v>0.45</v>
      </c>
      <c r="BS35" s="2580"/>
      <c r="BT35" s="2580"/>
      <c r="BU35" s="2580"/>
      <c r="BV35" s="2580"/>
      <c r="BW35" s="2580"/>
      <c r="BX35" s="2580"/>
      <c r="BY35" s="2580"/>
      <c r="BZ35" s="2580"/>
      <c r="CA35" s="2580"/>
      <c r="CB35" s="2580"/>
      <c r="CC35" s="2580"/>
      <c r="CD35" s="2580"/>
      <c r="CE35" s="2580"/>
      <c r="CK35" s="414"/>
      <c r="DU35" s="2673"/>
      <c r="DV35" s="2673"/>
      <c r="DW35" s="2673"/>
      <c r="DX35" s="2673"/>
      <c r="EH35" s="415"/>
      <c r="FR35" s="414"/>
      <c r="GB35" s="2675"/>
      <c r="GC35" s="2675"/>
      <c r="GD35" s="2675"/>
      <c r="GE35" s="2675"/>
      <c r="GK35" s="2580">
        <v>0.45</v>
      </c>
      <c r="GL35" s="2580"/>
      <c r="GM35" s="2580"/>
      <c r="GN35" s="2580"/>
      <c r="GO35" s="2580"/>
      <c r="GP35" s="2580"/>
      <c r="GQ35" s="2580"/>
      <c r="GR35" s="2580"/>
      <c r="GS35" s="2580"/>
      <c r="GT35" s="2580"/>
      <c r="GU35" s="2580"/>
      <c r="GV35" s="2580"/>
      <c r="GW35" s="2580"/>
      <c r="GX35" s="2580"/>
      <c r="HE35" s="414"/>
    </row>
    <row r="36" spans="10:218" ht="4.1500000000000004" customHeight="1">
      <c r="J36" s="414"/>
      <c r="L36" s="414"/>
      <c r="R36" s="414"/>
      <c r="T36" s="414"/>
      <c r="BB36" s="415"/>
      <c r="BD36" s="415"/>
      <c r="BE36" s="414"/>
      <c r="BJ36" s="415"/>
      <c r="BL36" s="415"/>
      <c r="BR36" s="2580"/>
      <c r="BS36" s="2580"/>
      <c r="BT36" s="2580"/>
      <c r="BU36" s="2580"/>
      <c r="BV36" s="2580"/>
      <c r="BW36" s="2580"/>
      <c r="BX36" s="2580"/>
      <c r="BY36" s="2580"/>
      <c r="BZ36" s="2580"/>
      <c r="CA36" s="2580"/>
      <c r="CB36" s="2580"/>
      <c r="CC36" s="2580"/>
      <c r="CD36" s="2580"/>
      <c r="CE36" s="2580"/>
      <c r="CK36" s="414"/>
      <c r="DU36" s="2673"/>
      <c r="DV36" s="2673"/>
      <c r="DW36" s="2673"/>
      <c r="DX36" s="2673"/>
      <c r="EH36" s="415"/>
      <c r="FR36" s="414"/>
      <c r="GB36" s="2675"/>
      <c r="GC36" s="2675"/>
      <c r="GD36" s="2675"/>
      <c r="GE36" s="2675"/>
      <c r="GK36" s="2580"/>
      <c r="GL36" s="2580"/>
      <c r="GM36" s="2580"/>
      <c r="GN36" s="2580"/>
      <c r="GO36" s="2580"/>
      <c r="GP36" s="2580"/>
      <c r="GQ36" s="2580"/>
      <c r="GR36" s="2580"/>
      <c r="GS36" s="2580"/>
      <c r="GT36" s="2580"/>
      <c r="GU36" s="2580"/>
      <c r="GV36" s="2580"/>
      <c r="GW36" s="2580"/>
      <c r="GX36" s="2580"/>
      <c r="HE36" s="414"/>
    </row>
    <row r="37" spans="10:218" ht="4.1500000000000004" customHeight="1">
      <c r="J37" s="414"/>
      <c r="L37" s="414"/>
      <c r="R37" s="414"/>
      <c r="T37" s="414"/>
      <c r="BB37" s="415"/>
      <c r="BD37" s="415"/>
      <c r="BE37" s="414"/>
      <c r="BJ37" s="415"/>
      <c r="BL37" s="415"/>
      <c r="BR37" s="2580"/>
      <c r="BS37" s="2580"/>
      <c r="BT37" s="2580"/>
      <c r="BU37" s="2580"/>
      <c r="BV37" s="2580"/>
      <c r="BW37" s="2580"/>
      <c r="BX37" s="2580"/>
      <c r="BY37" s="2580"/>
      <c r="BZ37" s="2580"/>
      <c r="CA37" s="2580"/>
      <c r="CB37" s="2580"/>
      <c r="CC37" s="2580"/>
      <c r="CD37" s="2580"/>
      <c r="CE37" s="2580"/>
      <c r="CK37" s="414"/>
      <c r="DU37" s="2673"/>
      <c r="DV37" s="2673"/>
      <c r="DW37" s="2673"/>
      <c r="DX37" s="2673"/>
      <c r="EH37" s="415"/>
      <c r="FR37" s="414"/>
      <c r="GB37" s="2675"/>
      <c r="GC37" s="2675"/>
      <c r="GD37" s="2675"/>
      <c r="GE37" s="2675"/>
      <c r="GK37" s="2580"/>
      <c r="GL37" s="2580"/>
      <c r="GM37" s="2580"/>
      <c r="GN37" s="2580"/>
      <c r="GO37" s="2580"/>
      <c r="GP37" s="2580"/>
      <c r="GQ37" s="2580"/>
      <c r="GR37" s="2580"/>
      <c r="GS37" s="2580"/>
      <c r="GT37" s="2580"/>
      <c r="GU37" s="2580"/>
      <c r="GV37" s="2580"/>
      <c r="GW37" s="2580"/>
      <c r="GX37" s="2580"/>
      <c r="HE37" s="414"/>
    </row>
    <row r="38" spans="10:218" ht="4.1500000000000004" customHeight="1">
      <c r="J38" s="414"/>
      <c r="L38" s="414"/>
      <c r="R38" s="414"/>
      <c r="T38" s="414"/>
      <c r="BB38" s="415"/>
      <c r="BD38" s="415"/>
      <c r="BE38" s="414"/>
      <c r="BJ38" s="415"/>
      <c r="BL38" s="415"/>
      <c r="BR38" s="2580"/>
      <c r="BS38" s="2580"/>
      <c r="BT38" s="2580"/>
      <c r="BU38" s="2580"/>
      <c r="BV38" s="2580"/>
      <c r="BW38" s="2580"/>
      <c r="BX38" s="2580"/>
      <c r="BY38" s="2580"/>
      <c r="BZ38" s="2580"/>
      <c r="CA38" s="2580"/>
      <c r="CB38" s="2580"/>
      <c r="CC38" s="2580"/>
      <c r="CD38" s="2580"/>
      <c r="CE38" s="2580"/>
      <c r="CK38" s="414"/>
      <c r="DU38" s="2673"/>
      <c r="DV38" s="2673"/>
      <c r="DW38" s="2673"/>
      <c r="DX38" s="2673"/>
      <c r="EH38" s="415"/>
      <c r="FR38" s="414"/>
      <c r="GB38" s="2675"/>
      <c r="GC38" s="2675"/>
      <c r="GD38" s="2675"/>
      <c r="GE38" s="2675"/>
      <c r="GK38" s="2580"/>
      <c r="GL38" s="2580"/>
      <c r="GM38" s="2580"/>
      <c r="GN38" s="2580"/>
      <c r="GO38" s="2580"/>
      <c r="GP38" s="2580"/>
      <c r="GQ38" s="2580"/>
      <c r="GR38" s="2580"/>
      <c r="GS38" s="2580"/>
      <c r="GT38" s="2580"/>
      <c r="GU38" s="2580"/>
      <c r="GV38" s="2580"/>
      <c r="GW38" s="2580"/>
      <c r="GX38" s="2580"/>
      <c r="HE38" s="414"/>
    </row>
    <row r="39" spans="10:218" ht="4.1500000000000004" customHeight="1">
      <c r="J39" s="414"/>
      <c r="L39" s="414"/>
      <c r="R39" s="414"/>
      <c r="T39" s="414"/>
      <c r="BB39" s="415"/>
      <c r="BD39" s="415"/>
      <c r="BE39" s="414"/>
      <c r="BJ39" s="415"/>
      <c r="BL39" s="415"/>
      <c r="BY39" s="414"/>
      <c r="CF39" s="2580">
        <f>BR35+BR50+BR55+BR59</f>
        <v>0.77500000000000002</v>
      </c>
      <c r="CG39" s="2579"/>
      <c r="CH39" s="2579"/>
      <c r="CI39" s="2579"/>
      <c r="CJ39" s="2579"/>
      <c r="CK39" s="2579"/>
      <c r="CL39" s="2579"/>
      <c r="CM39" s="2579"/>
      <c r="CN39" s="2579"/>
      <c r="CO39" s="2579"/>
      <c r="CP39" s="2579"/>
      <c r="CQ39" s="1401"/>
      <c r="CR39" s="1401"/>
      <c r="CS39" s="1401"/>
      <c r="CT39" s="1401"/>
      <c r="CU39" s="1401"/>
      <c r="CV39" s="1401"/>
      <c r="CW39" s="1401"/>
      <c r="CX39" s="1401"/>
      <c r="CY39" s="1401"/>
      <c r="CZ39" s="1401"/>
      <c r="DA39" s="1401"/>
      <c r="DB39" s="1401"/>
      <c r="DC39" s="1401"/>
      <c r="DD39" s="1401"/>
      <c r="DE39" s="1401"/>
      <c r="DF39" s="1401"/>
      <c r="DG39" s="1401"/>
      <c r="DH39" s="1401"/>
      <c r="DI39" s="1401"/>
      <c r="DJ39" s="1401"/>
      <c r="DK39" s="1401"/>
      <c r="DL39" s="1401"/>
      <c r="DM39" s="1401"/>
      <c r="DN39" s="1401"/>
      <c r="DO39" s="1401"/>
      <c r="DP39" s="1401"/>
      <c r="DQ39" s="1401"/>
      <c r="DU39" s="2673"/>
      <c r="DV39" s="2673"/>
      <c r="DW39" s="2673"/>
      <c r="DX39" s="2673"/>
      <c r="EH39" s="415"/>
      <c r="FR39" s="414"/>
      <c r="GB39" s="2675"/>
      <c r="GC39" s="2675"/>
      <c r="GD39" s="2675"/>
      <c r="GE39" s="2675"/>
      <c r="GR39" s="414"/>
      <c r="GZ39" s="2580">
        <f>GK35+GK52+GK55+GK59</f>
        <v>0.75</v>
      </c>
      <c r="HA39" s="2579"/>
      <c r="HB39" s="2579"/>
      <c r="HC39" s="2579"/>
      <c r="HD39" s="2579"/>
      <c r="HE39" s="2579"/>
      <c r="HF39" s="2579"/>
      <c r="HG39" s="2579"/>
      <c r="HH39" s="2579"/>
      <c r="HI39" s="2579"/>
      <c r="HJ39" s="2579"/>
    </row>
    <row r="40" spans="10:218" ht="4.1500000000000004" customHeight="1">
      <c r="J40" s="414"/>
      <c r="L40" s="414"/>
      <c r="R40" s="414"/>
      <c r="T40" s="414"/>
      <c r="BB40" s="415"/>
      <c r="BD40" s="415"/>
      <c r="BE40" s="414"/>
      <c r="BJ40" s="415"/>
      <c r="BL40" s="415"/>
      <c r="BY40" s="414"/>
      <c r="CF40" s="2579"/>
      <c r="CG40" s="2579"/>
      <c r="CH40" s="2579"/>
      <c r="CI40" s="2579"/>
      <c r="CJ40" s="2579"/>
      <c r="CK40" s="2579"/>
      <c r="CL40" s="2579"/>
      <c r="CM40" s="2579"/>
      <c r="CN40" s="2579"/>
      <c r="CO40" s="2579"/>
      <c r="CP40" s="2579"/>
      <c r="CQ40" s="1401"/>
      <c r="CR40" s="1401"/>
      <c r="CS40" s="1401"/>
      <c r="CT40" s="1401"/>
      <c r="CU40" s="1401"/>
      <c r="CV40" s="1401"/>
      <c r="CW40" s="1401"/>
      <c r="CX40" s="1401"/>
      <c r="CY40" s="1401"/>
      <c r="CZ40" s="1401"/>
      <c r="DA40" s="1401"/>
      <c r="DB40" s="1401"/>
      <c r="DC40" s="1401"/>
      <c r="DD40" s="1401"/>
      <c r="DE40" s="1401"/>
      <c r="DF40" s="1401"/>
      <c r="DG40" s="1401"/>
      <c r="DH40" s="1401"/>
      <c r="DI40" s="1401"/>
      <c r="DJ40" s="1401"/>
      <c r="DK40" s="1401"/>
      <c r="DL40" s="1401"/>
      <c r="DM40" s="1401"/>
      <c r="DN40" s="1401"/>
      <c r="DO40" s="1401"/>
      <c r="DP40" s="1401"/>
      <c r="DQ40" s="1401"/>
      <c r="DU40" s="2673"/>
      <c r="DV40" s="2673"/>
      <c r="DW40" s="2673"/>
      <c r="DX40" s="2673"/>
      <c r="EH40" s="415"/>
      <c r="FR40" s="414"/>
      <c r="GB40" s="2675"/>
      <c r="GC40" s="2675"/>
      <c r="GD40" s="2675"/>
      <c r="GE40" s="2675"/>
      <c r="GR40" s="414"/>
      <c r="GZ40" s="2579"/>
      <c r="HA40" s="2579"/>
      <c r="HB40" s="2579"/>
      <c r="HC40" s="2579"/>
      <c r="HD40" s="2579"/>
      <c r="HE40" s="2579"/>
      <c r="HF40" s="2579"/>
      <c r="HG40" s="2579"/>
      <c r="HH40" s="2579"/>
      <c r="HI40" s="2579"/>
      <c r="HJ40" s="2579"/>
    </row>
    <row r="41" spans="10:218" ht="4.1500000000000004" customHeight="1">
      <c r="J41" s="414"/>
      <c r="L41" s="414"/>
      <c r="R41" s="414"/>
      <c r="T41" s="414"/>
      <c r="BB41" s="415"/>
      <c r="BD41" s="415"/>
      <c r="BE41" s="414"/>
      <c r="BJ41" s="415"/>
      <c r="BL41" s="415"/>
      <c r="BY41" s="414"/>
      <c r="CF41" s="2579"/>
      <c r="CG41" s="2579"/>
      <c r="CH41" s="2579"/>
      <c r="CI41" s="2579"/>
      <c r="CJ41" s="2579"/>
      <c r="CK41" s="2579"/>
      <c r="CL41" s="2579"/>
      <c r="CM41" s="2579"/>
      <c r="CN41" s="2579"/>
      <c r="CO41" s="2579"/>
      <c r="CP41" s="2579"/>
      <c r="CQ41" s="1401"/>
      <c r="CR41" s="1401"/>
      <c r="CS41" s="1401"/>
      <c r="CT41" s="1401"/>
      <c r="CU41" s="1401"/>
      <c r="CV41" s="1401"/>
      <c r="CW41" s="1401"/>
      <c r="CX41" s="1401"/>
      <c r="CY41" s="1401"/>
      <c r="CZ41" s="1401"/>
      <c r="DA41" s="1401"/>
      <c r="DB41" s="1401"/>
      <c r="DC41" s="1401"/>
      <c r="DD41" s="1401"/>
      <c r="DE41" s="1401"/>
      <c r="DF41" s="1401"/>
      <c r="DG41" s="1401"/>
      <c r="DH41" s="1401"/>
      <c r="DI41" s="1401"/>
      <c r="DJ41" s="1401"/>
      <c r="DK41" s="1401"/>
      <c r="DL41" s="1401"/>
      <c r="DM41" s="1401"/>
      <c r="DN41" s="1401"/>
      <c r="DO41" s="1401"/>
      <c r="DP41" s="1401"/>
      <c r="DQ41" s="1401"/>
      <c r="DU41" s="2673"/>
      <c r="DV41" s="2673"/>
      <c r="DW41" s="2673"/>
      <c r="DX41" s="2673"/>
      <c r="EH41" s="415"/>
      <c r="FR41" s="414"/>
      <c r="GB41" s="2675"/>
      <c r="GC41" s="2675"/>
      <c r="GD41" s="2675"/>
      <c r="GE41" s="2675"/>
      <c r="GR41" s="414"/>
      <c r="GZ41" s="2579"/>
      <c r="HA41" s="2579"/>
      <c r="HB41" s="2579"/>
      <c r="HC41" s="2579"/>
      <c r="HD41" s="2579"/>
      <c r="HE41" s="2579"/>
      <c r="HF41" s="2579"/>
      <c r="HG41" s="2579"/>
      <c r="HH41" s="2579"/>
      <c r="HI41" s="2579"/>
      <c r="HJ41" s="2579"/>
    </row>
    <row r="42" spans="10:218" ht="4.1500000000000004" customHeight="1">
      <c r="J42" s="414"/>
      <c r="L42" s="453"/>
      <c r="Q42" s="454"/>
      <c r="R42" s="414"/>
      <c r="T42" s="414"/>
      <c r="BB42" s="415"/>
      <c r="BD42" s="415"/>
      <c r="BE42" s="453"/>
      <c r="BJ42" s="455"/>
      <c r="BL42" s="415"/>
      <c r="BY42" s="414"/>
      <c r="CF42" s="2579"/>
      <c r="CG42" s="2579"/>
      <c r="CH42" s="2579"/>
      <c r="CI42" s="2579"/>
      <c r="CJ42" s="2579"/>
      <c r="CK42" s="2579"/>
      <c r="CL42" s="2579"/>
      <c r="CM42" s="2579"/>
      <c r="CN42" s="2579"/>
      <c r="CO42" s="2579"/>
      <c r="CP42" s="2579"/>
      <c r="CQ42" s="1401"/>
      <c r="CR42" s="1401"/>
      <c r="CS42" s="1401"/>
      <c r="CT42" s="1401"/>
      <c r="CU42" s="1401"/>
      <c r="CV42" s="1401"/>
      <c r="CW42" s="1401"/>
      <c r="CX42" s="1401"/>
      <c r="CY42" s="1401"/>
      <c r="CZ42" s="1401"/>
      <c r="DA42" s="1401"/>
      <c r="DB42" s="1401"/>
      <c r="DC42" s="1401"/>
      <c r="DD42" s="1401"/>
      <c r="DE42" s="1401"/>
      <c r="DF42" s="1401"/>
      <c r="DG42" s="1401"/>
      <c r="DH42" s="1401"/>
      <c r="DI42" s="1401"/>
      <c r="DJ42" s="1401"/>
      <c r="DK42" s="1401"/>
      <c r="DL42" s="1401"/>
      <c r="DM42" s="1401"/>
      <c r="DN42" s="1401"/>
      <c r="DO42" s="1401"/>
      <c r="DP42" s="1401"/>
      <c r="DQ42" s="1401"/>
      <c r="DU42" s="2673"/>
      <c r="DV42" s="2673"/>
      <c r="DW42" s="2673"/>
      <c r="DX42" s="2673"/>
      <c r="EH42" s="415"/>
      <c r="FR42" s="414"/>
      <c r="GB42" s="2675"/>
      <c r="GC42" s="2675"/>
      <c r="GD42" s="2675"/>
      <c r="GE42" s="2675"/>
      <c r="GR42" s="414"/>
      <c r="GZ42" s="2579"/>
      <c r="HA42" s="2579"/>
      <c r="HB42" s="2579"/>
      <c r="HC42" s="2579"/>
      <c r="HD42" s="2579"/>
      <c r="HE42" s="2579"/>
      <c r="HF42" s="2579"/>
      <c r="HG42" s="2579"/>
      <c r="HH42" s="2579"/>
      <c r="HI42" s="2579"/>
      <c r="HJ42" s="2579"/>
    </row>
    <row r="43" spans="10:218" ht="4.1500000000000004" customHeight="1">
      <c r="J43" s="414"/>
      <c r="L43" s="414"/>
      <c r="R43" s="414"/>
      <c r="T43" s="414"/>
      <c r="BB43" s="415"/>
      <c r="BD43" s="415"/>
      <c r="BE43" s="414"/>
      <c r="BJ43" s="415"/>
      <c r="BL43" s="415"/>
      <c r="BY43" s="414"/>
      <c r="CK43" s="414"/>
      <c r="DU43" s="2673"/>
      <c r="DV43" s="2673"/>
      <c r="DW43" s="2673"/>
      <c r="DX43" s="2673"/>
      <c r="EH43" s="415"/>
      <c r="FR43" s="414"/>
      <c r="GB43" s="2675"/>
      <c r="GC43" s="2675"/>
      <c r="GD43" s="2675"/>
      <c r="GE43" s="2675"/>
      <c r="GR43" s="414"/>
      <c r="HE43" s="414"/>
    </row>
    <row r="44" spans="10:218" ht="4.1500000000000004" customHeight="1">
      <c r="J44" s="414"/>
      <c r="L44" s="414"/>
      <c r="R44" s="414"/>
      <c r="T44" s="414"/>
      <c r="BB44" s="415"/>
      <c r="BD44" s="415"/>
      <c r="BE44" s="414"/>
      <c r="BJ44" s="415"/>
      <c r="BL44" s="415"/>
      <c r="BY44" s="414"/>
      <c r="CK44" s="414"/>
      <c r="DU44" s="2673"/>
      <c r="DV44" s="2673"/>
      <c r="DW44" s="2673"/>
      <c r="DX44" s="2673"/>
      <c r="EH44" s="415"/>
      <c r="FR44" s="414"/>
      <c r="GB44" s="2675"/>
      <c r="GC44" s="2675"/>
      <c r="GD44" s="2675"/>
      <c r="GE44" s="2675"/>
      <c r="GR44" s="414"/>
      <c r="HE44" s="414"/>
    </row>
    <row r="45" spans="10:218" ht="4.1500000000000004" customHeight="1">
      <c r="J45" s="414"/>
      <c r="L45" s="414"/>
      <c r="R45" s="414"/>
      <c r="T45" s="414"/>
      <c r="BB45" s="415"/>
      <c r="BD45" s="415"/>
      <c r="BJ45" s="415"/>
      <c r="BL45" s="415"/>
      <c r="BY45" s="414"/>
      <c r="CK45" s="414"/>
      <c r="DU45" s="2673"/>
      <c r="DV45" s="2673"/>
      <c r="DW45" s="2673"/>
      <c r="DX45" s="2673"/>
      <c r="EH45" s="415"/>
      <c r="FR45" s="414"/>
      <c r="GB45" s="2675"/>
      <c r="GC45" s="2675"/>
      <c r="GD45" s="2675"/>
      <c r="GE45" s="2675"/>
      <c r="GR45" s="414"/>
      <c r="HE45" s="414"/>
    </row>
    <row r="46" spans="10:218" ht="4.1500000000000004" customHeight="1">
      <c r="J46" s="414"/>
      <c r="L46" s="414"/>
      <c r="R46" s="414"/>
      <c r="T46" s="414"/>
      <c r="BB46" s="415"/>
      <c r="BD46" s="415"/>
      <c r="BJ46" s="415"/>
      <c r="BL46" s="415"/>
      <c r="BY46" s="414"/>
      <c r="CK46" s="414"/>
      <c r="DU46" s="2673"/>
      <c r="DV46" s="2673"/>
      <c r="DW46" s="2673"/>
      <c r="DX46" s="2673"/>
      <c r="EH46" s="415"/>
      <c r="FR46" s="414"/>
      <c r="GB46" s="2675"/>
      <c r="GC46" s="2675"/>
      <c r="GD46" s="2675"/>
      <c r="GE46" s="2675"/>
      <c r="GR46" s="414"/>
      <c r="HE46" s="414"/>
    </row>
    <row r="47" spans="10:218" ht="4.1500000000000004" customHeight="1">
      <c r="J47" s="414"/>
      <c r="L47" s="414"/>
      <c r="R47" s="414"/>
      <c r="T47" s="414"/>
      <c r="BB47" s="415"/>
      <c r="BD47" s="415"/>
      <c r="BJ47" s="415"/>
      <c r="BL47" s="415"/>
      <c r="BY47" s="414"/>
      <c r="CK47" s="414"/>
      <c r="DU47" s="2673"/>
      <c r="DV47" s="2673"/>
      <c r="DW47" s="2673"/>
      <c r="DX47" s="2673"/>
      <c r="EH47" s="415"/>
      <c r="FR47" s="414"/>
      <c r="GB47" s="2675"/>
      <c r="GC47" s="2675"/>
      <c r="GD47" s="2675"/>
      <c r="GE47" s="2675"/>
      <c r="GR47" s="414"/>
      <c r="HE47" s="414"/>
    </row>
    <row r="48" spans="10:218" ht="4.1500000000000004" customHeight="1">
      <c r="J48" s="414"/>
      <c r="L48" s="414"/>
      <c r="R48" s="414"/>
      <c r="T48" s="414"/>
      <c r="BB48" s="415"/>
      <c r="BD48" s="415"/>
      <c r="BJ48" s="415"/>
      <c r="BL48" s="415"/>
      <c r="BY48" s="414"/>
      <c r="CK48" s="414"/>
      <c r="DU48" s="2673"/>
      <c r="DV48" s="2673"/>
      <c r="DW48" s="2673"/>
      <c r="DX48" s="2673"/>
      <c r="EH48" s="415"/>
      <c r="FR48" s="414"/>
      <c r="GB48" s="2675"/>
      <c r="GC48" s="2675"/>
      <c r="GD48" s="2675"/>
      <c r="GE48" s="2675"/>
      <c r="GR48" s="414"/>
      <c r="HE48" s="414"/>
    </row>
    <row r="49" spans="8:218" ht="4.1500000000000004" customHeight="1">
      <c r="J49" s="414"/>
      <c r="L49" s="414"/>
      <c r="R49" s="414"/>
      <c r="T49" s="416"/>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c r="AS49" s="417"/>
      <c r="AT49" s="417"/>
      <c r="AU49" s="417"/>
      <c r="AV49" s="417"/>
      <c r="AW49" s="417"/>
      <c r="AX49" s="417"/>
      <c r="AY49" s="417"/>
      <c r="AZ49" s="417"/>
      <c r="BA49" s="417"/>
      <c r="BB49" s="418"/>
      <c r="BD49" s="415"/>
      <c r="BJ49" s="415"/>
      <c r="BL49" s="415"/>
      <c r="BR49" s="417"/>
      <c r="BS49" s="417"/>
      <c r="BT49" s="417"/>
      <c r="BU49" s="417"/>
      <c r="BV49" s="417"/>
      <c r="BW49" s="417"/>
      <c r="BX49" s="417"/>
      <c r="BY49" s="416"/>
      <c r="BZ49" s="417"/>
      <c r="CA49" s="417"/>
      <c r="CB49" s="417"/>
      <c r="CC49" s="417"/>
      <c r="CD49" s="417"/>
      <c r="CE49" s="417"/>
      <c r="CK49" s="414"/>
      <c r="DU49" s="2673"/>
      <c r="DV49" s="2673"/>
      <c r="DW49" s="2673"/>
      <c r="DX49" s="2673"/>
      <c r="EH49" s="415"/>
      <c r="FR49" s="414"/>
      <c r="GB49" s="2675"/>
      <c r="GC49" s="2675"/>
      <c r="GD49" s="2675"/>
      <c r="GE49" s="2675"/>
      <c r="GR49" s="414"/>
      <c r="HE49" s="414"/>
    </row>
    <row r="50" spans="8:218" ht="4.1500000000000004" customHeight="1">
      <c r="J50" s="414"/>
      <c r="L50" s="414"/>
      <c r="R50" s="414"/>
      <c r="BD50" s="415"/>
      <c r="BJ50" s="415"/>
      <c r="BL50" s="415"/>
      <c r="BR50" s="2585">
        <v>7.4999999999999997E-2</v>
      </c>
      <c r="BS50" s="2585"/>
      <c r="BT50" s="2585"/>
      <c r="BU50" s="2585"/>
      <c r="BV50" s="2585"/>
      <c r="BW50" s="2585"/>
      <c r="BX50" s="2585"/>
      <c r="BY50" s="2585"/>
      <c r="BZ50" s="2585"/>
      <c r="CA50" s="2585"/>
      <c r="CB50" s="2585"/>
      <c r="CC50" s="2585"/>
      <c r="CD50" s="2585"/>
      <c r="CE50" s="2585"/>
      <c r="CK50" s="414"/>
      <c r="DU50" s="2673"/>
      <c r="DV50" s="2673"/>
      <c r="DW50" s="2673"/>
      <c r="DX50" s="2673"/>
      <c r="EI50" s="414"/>
      <c r="FQ50" s="415"/>
      <c r="GB50" s="2675"/>
      <c r="GC50" s="2675"/>
      <c r="GD50" s="2675"/>
      <c r="GE50" s="2675"/>
      <c r="HE50" s="414"/>
    </row>
    <row r="51" spans="8:218" ht="4.1500000000000004" customHeight="1">
      <c r="J51" s="414"/>
      <c r="L51" s="414"/>
      <c r="R51" s="414"/>
      <c r="BD51" s="415"/>
      <c r="BJ51" s="415"/>
      <c r="BL51" s="415"/>
      <c r="BR51" s="2579"/>
      <c r="BS51" s="2579"/>
      <c r="BT51" s="2579"/>
      <c r="BU51" s="2579"/>
      <c r="BV51" s="2579"/>
      <c r="BW51" s="2579"/>
      <c r="BX51" s="2579"/>
      <c r="BY51" s="2579"/>
      <c r="BZ51" s="2579"/>
      <c r="CA51" s="2579"/>
      <c r="CB51" s="2579"/>
      <c r="CC51" s="2579"/>
      <c r="CD51" s="2579"/>
      <c r="CE51" s="2579"/>
      <c r="CK51" s="414"/>
      <c r="DU51" s="2673"/>
      <c r="DV51" s="2673"/>
      <c r="DW51" s="2673"/>
      <c r="DX51" s="2673"/>
      <c r="EI51" s="416"/>
      <c r="EJ51" s="417"/>
      <c r="EK51" s="417"/>
      <c r="EL51" s="417"/>
      <c r="EM51" s="417"/>
      <c r="EN51" s="417"/>
      <c r="EO51" s="417"/>
      <c r="EP51" s="417"/>
      <c r="EQ51" s="417"/>
      <c r="ER51" s="417"/>
      <c r="ES51" s="417"/>
      <c r="ET51" s="417"/>
      <c r="EU51" s="417"/>
      <c r="EV51" s="417"/>
      <c r="EW51" s="417"/>
      <c r="EX51" s="417"/>
      <c r="EY51" s="417"/>
      <c r="EZ51" s="417"/>
      <c r="FA51" s="417"/>
      <c r="FB51" s="417"/>
      <c r="FC51" s="417"/>
      <c r="FD51" s="417"/>
      <c r="FE51" s="417"/>
      <c r="FF51" s="417"/>
      <c r="FG51" s="417"/>
      <c r="FH51" s="417"/>
      <c r="FI51" s="417"/>
      <c r="FJ51" s="417"/>
      <c r="FK51" s="417"/>
      <c r="FL51" s="417"/>
      <c r="FM51" s="417"/>
      <c r="FN51" s="417"/>
      <c r="FO51" s="417"/>
      <c r="FP51" s="417"/>
      <c r="FQ51" s="418"/>
      <c r="GB51" s="2675"/>
      <c r="GC51" s="2675"/>
      <c r="GD51" s="2675"/>
      <c r="GE51" s="2675"/>
      <c r="GK51" s="417"/>
      <c r="GL51" s="417"/>
      <c r="GM51" s="417"/>
      <c r="GN51" s="417"/>
      <c r="GO51" s="417"/>
      <c r="GP51" s="417"/>
      <c r="GQ51" s="417"/>
      <c r="GR51" s="417"/>
      <c r="GS51" s="417"/>
      <c r="GT51" s="417"/>
      <c r="GU51" s="417"/>
      <c r="GV51" s="417"/>
      <c r="GW51" s="417"/>
      <c r="GX51" s="417"/>
      <c r="HE51" s="414"/>
    </row>
    <row r="52" spans="8:218" ht="4.1500000000000004" customHeight="1">
      <c r="J52" s="414"/>
      <c r="L52" s="414"/>
      <c r="R52" s="414"/>
      <c r="BD52" s="415"/>
      <c r="BJ52" s="415"/>
      <c r="BL52" s="415"/>
      <c r="BR52" s="2579"/>
      <c r="BS52" s="2579"/>
      <c r="BT52" s="2579"/>
      <c r="BU52" s="2579"/>
      <c r="BV52" s="2579"/>
      <c r="BW52" s="2579"/>
      <c r="BX52" s="2579"/>
      <c r="BY52" s="2579"/>
      <c r="BZ52" s="2579"/>
      <c r="CA52" s="2579"/>
      <c r="CB52" s="2579"/>
      <c r="CC52" s="2579"/>
      <c r="CD52" s="2579"/>
      <c r="CE52" s="2579"/>
      <c r="CK52" s="414"/>
      <c r="DU52" s="2673"/>
      <c r="DV52" s="2673"/>
      <c r="DW52" s="2673"/>
      <c r="DX52" s="2673"/>
      <c r="DY52" s="2580">
        <f>DY17+0.1</f>
        <v>0.30000000000000004</v>
      </c>
      <c r="DZ52" s="2579"/>
      <c r="EA52" s="2579"/>
      <c r="EB52" s="2579"/>
      <c r="EC52" s="2579"/>
      <c r="ED52" s="2579"/>
      <c r="EE52" s="2579"/>
      <c r="EF52" s="2579"/>
      <c r="EG52" s="2579"/>
      <c r="EH52" s="2669"/>
      <c r="FR52" s="2581">
        <f>DY52</f>
        <v>0.30000000000000004</v>
      </c>
      <c r="FS52" s="2579"/>
      <c r="FT52" s="2579"/>
      <c r="FU52" s="2579"/>
      <c r="FV52" s="2579"/>
      <c r="FW52" s="2579"/>
      <c r="FX52" s="2579"/>
      <c r="FY52" s="2579"/>
      <c r="FZ52" s="2579"/>
      <c r="GA52" s="2579"/>
      <c r="GB52" s="2675"/>
      <c r="GC52" s="2675"/>
      <c r="GD52" s="2675"/>
      <c r="GE52" s="2675"/>
      <c r="GK52" s="2585">
        <v>0.05</v>
      </c>
      <c r="GL52" s="2585"/>
      <c r="GM52" s="2585"/>
      <c r="GN52" s="2585"/>
      <c r="GO52" s="2585"/>
      <c r="GP52" s="2585"/>
      <c r="GQ52" s="2585"/>
      <c r="GR52" s="2585"/>
      <c r="GS52" s="2585"/>
      <c r="GT52" s="2585"/>
      <c r="GU52" s="2585"/>
      <c r="GV52" s="2585"/>
      <c r="GW52" s="2585"/>
      <c r="GX52" s="2585"/>
      <c r="HE52" s="414"/>
    </row>
    <row r="53" spans="8:218" ht="4.1500000000000004" customHeight="1">
      <c r="J53" s="414"/>
      <c r="L53" s="456"/>
      <c r="M53" s="417"/>
      <c r="N53" s="417"/>
      <c r="O53" s="417"/>
      <c r="P53" s="417"/>
      <c r="Q53" s="417"/>
      <c r="R53" s="456"/>
      <c r="S53" s="417"/>
      <c r="T53" s="417"/>
      <c r="U53" s="417"/>
      <c r="V53" s="417"/>
      <c r="W53" s="417"/>
      <c r="X53" s="417"/>
      <c r="Y53" s="417"/>
      <c r="Z53" s="457"/>
      <c r="AA53" s="417"/>
      <c r="AB53" s="417"/>
      <c r="AC53" s="417"/>
      <c r="AD53" s="417"/>
      <c r="AE53" s="417"/>
      <c r="AF53" s="417"/>
      <c r="AG53" s="417"/>
      <c r="AH53" s="417"/>
      <c r="AI53" s="417"/>
      <c r="AJ53" s="457"/>
      <c r="AK53" s="417"/>
      <c r="AL53" s="417"/>
      <c r="AM53" s="417"/>
      <c r="AN53" s="417"/>
      <c r="AO53" s="417"/>
      <c r="AP53" s="417"/>
      <c r="AQ53" s="417"/>
      <c r="AR53" s="417"/>
      <c r="AS53" s="417"/>
      <c r="AT53" s="457"/>
      <c r="AU53" s="417"/>
      <c r="AV53" s="417"/>
      <c r="AW53" s="417"/>
      <c r="AX53" s="417"/>
      <c r="AY53" s="417"/>
      <c r="AZ53" s="417"/>
      <c r="BA53" s="417"/>
      <c r="BB53" s="417"/>
      <c r="BC53" s="417"/>
      <c r="BD53" s="458"/>
      <c r="BE53" s="417"/>
      <c r="BF53" s="417"/>
      <c r="BG53" s="417"/>
      <c r="BH53" s="417"/>
      <c r="BI53" s="417"/>
      <c r="BJ53" s="458"/>
      <c r="BL53" s="415"/>
      <c r="BR53" s="2579"/>
      <c r="BS53" s="2579"/>
      <c r="BT53" s="2579"/>
      <c r="BU53" s="2579"/>
      <c r="BV53" s="2579"/>
      <c r="BW53" s="2579"/>
      <c r="BX53" s="2579"/>
      <c r="BY53" s="2579"/>
      <c r="BZ53" s="2579"/>
      <c r="CA53" s="2579"/>
      <c r="CB53" s="2579"/>
      <c r="CC53" s="2579"/>
      <c r="CD53" s="2579"/>
      <c r="CE53" s="2579"/>
      <c r="CK53" s="414"/>
      <c r="DU53" s="2673"/>
      <c r="DV53" s="2673"/>
      <c r="DW53" s="2673"/>
      <c r="DX53" s="2673"/>
      <c r="DY53" s="2579"/>
      <c r="DZ53" s="2579"/>
      <c r="EA53" s="2579"/>
      <c r="EB53" s="2579"/>
      <c r="EC53" s="2579"/>
      <c r="ED53" s="2579"/>
      <c r="EE53" s="2579"/>
      <c r="EF53" s="2579"/>
      <c r="EG53" s="2579"/>
      <c r="EH53" s="2669"/>
      <c r="FR53" s="2670"/>
      <c r="FS53" s="2579"/>
      <c r="FT53" s="2579"/>
      <c r="FU53" s="2579"/>
      <c r="FV53" s="2579"/>
      <c r="FW53" s="2579"/>
      <c r="FX53" s="2579"/>
      <c r="FY53" s="2579"/>
      <c r="FZ53" s="2579"/>
      <c r="GA53" s="2579"/>
      <c r="GB53" s="2675"/>
      <c r="GC53" s="2675"/>
      <c r="GD53" s="2675"/>
      <c r="GE53" s="2675"/>
      <c r="GK53" s="2579"/>
      <c r="GL53" s="2579"/>
      <c r="GM53" s="2579"/>
      <c r="GN53" s="2579"/>
      <c r="GO53" s="2579"/>
      <c r="GP53" s="2579"/>
      <c r="GQ53" s="2579"/>
      <c r="GR53" s="2579"/>
      <c r="GS53" s="2579"/>
      <c r="GT53" s="2579"/>
      <c r="GU53" s="2579"/>
      <c r="GV53" s="2579"/>
      <c r="GW53" s="2579"/>
      <c r="GX53" s="2579"/>
      <c r="HE53" s="414"/>
    </row>
    <row r="54" spans="8:218" ht="4.1500000000000004" customHeight="1">
      <c r="J54" s="414"/>
      <c r="BL54" s="415"/>
      <c r="BR54" s="2586"/>
      <c r="BS54" s="2586"/>
      <c r="BT54" s="2586"/>
      <c r="BU54" s="2586"/>
      <c r="BV54" s="2586"/>
      <c r="BW54" s="2586"/>
      <c r="BX54" s="2586"/>
      <c r="BY54" s="2586"/>
      <c r="BZ54" s="2586"/>
      <c r="CA54" s="2586"/>
      <c r="CB54" s="2586"/>
      <c r="CC54" s="2586"/>
      <c r="CD54" s="2586"/>
      <c r="CE54" s="2586"/>
      <c r="CK54" s="414"/>
      <c r="DU54" s="2673"/>
      <c r="DV54" s="2673"/>
      <c r="DW54" s="2673"/>
      <c r="DX54" s="2673"/>
      <c r="DY54" s="2586"/>
      <c r="DZ54" s="2586"/>
      <c r="EA54" s="2586"/>
      <c r="EB54" s="2586"/>
      <c r="EC54" s="2586"/>
      <c r="ED54" s="2586"/>
      <c r="EE54" s="2586"/>
      <c r="EF54" s="2586"/>
      <c r="EG54" s="2586"/>
      <c r="EH54" s="2672"/>
      <c r="FR54" s="2671"/>
      <c r="FS54" s="2586"/>
      <c r="FT54" s="2586"/>
      <c r="FU54" s="2586"/>
      <c r="FV54" s="2586"/>
      <c r="FW54" s="2586"/>
      <c r="FX54" s="2586"/>
      <c r="FY54" s="2586"/>
      <c r="FZ54" s="2586"/>
      <c r="GA54" s="2586"/>
      <c r="GB54" s="2675"/>
      <c r="GC54" s="2675"/>
      <c r="GD54" s="2675"/>
      <c r="GE54" s="2675"/>
      <c r="GK54" s="2586"/>
      <c r="GL54" s="2586"/>
      <c r="GM54" s="2586"/>
      <c r="GN54" s="2586"/>
      <c r="GO54" s="2586"/>
      <c r="GP54" s="2586"/>
      <c r="GQ54" s="2586"/>
      <c r="GR54" s="2586"/>
      <c r="GS54" s="2586"/>
      <c r="GT54" s="2586"/>
      <c r="GU54" s="2586"/>
      <c r="GV54" s="2586"/>
      <c r="GW54" s="2586"/>
      <c r="GX54" s="2586"/>
      <c r="HE54" s="414"/>
    </row>
    <row r="55" spans="8:218" ht="4.1500000000000004" customHeight="1">
      <c r="H55" s="411"/>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c r="AP55" s="412"/>
      <c r="AQ55" s="412"/>
      <c r="AR55" s="412"/>
      <c r="AS55" s="412"/>
      <c r="AT55" s="412"/>
      <c r="AU55" s="412"/>
      <c r="AV55" s="412"/>
      <c r="AW55" s="412"/>
      <c r="AX55" s="412"/>
      <c r="AY55" s="412"/>
      <c r="AZ55" s="412"/>
      <c r="BA55" s="412"/>
      <c r="BB55" s="412"/>
      <c r="BC55" s="412"/>
      <c r="BD55" s="412"/>
      <c r="BE55" s="412"/>
      <c r="BF55" s="412"/>
      <c r="BG55" s="412"/>
      <c r="BH55" s="412"/>
      <c r="BI55" s="412"/>
      <c r="BJ55" s="412"/>
      <c r="BK55" s="412"/>
      <c r="BL55" s="412"/>
      <c r="BM55" s="412"/>
      <c r="BN55" s="413"/>
      <c r="BR55" s="2583">
        <v>0.1</v>
      </c>
      <c r="BS55" s="2583"/>
      <c r="BT55" s="2583"/>
      <c r="BU55" s="2583"/>
      <c r="BV55" s="2583"/>
      <c r="BW55" s="2583"/>
      <c r="BX55" s="2583"/>
      <c r="BY55" s="2583"/>
      <c r="BZ55" s="2583"/>
      <c r="CA55" s="2583"/>
      <c r="CB55" s="2583"/>
      <c r="CC55" s="2583"/>
      <c r="CD55" s="2583"/>
      <c r="CE55" s="2583"/>
      <c r="CK55" s="414"/>
      <c r="DS55" s="411"/>
      <c r="DT55" s="412"/>
      <c r="DU55" s="412"/>
      <c r="DV55" s="412"/>
      <c r="DW55" s="412"/>
      <c r="DX55" s="412"/>
      <c r="DY55" s="412"/>
      <c r="DZ55" s="412"/>
      <c r="EA55" s="412"/>
      <c r="EB55" s="412"/>
      <c r="EC55" s="412"/>
      <c r="ED55" s="412"/>
      <c r="EE55" s="412"/>
      <c r="EF55" s="412"/>
      <c r="EG55" s="412"/>
      <c r="EH55" s="412"/>
      <c r="EI55" s="412"/>
      <c r="EJ55" s="412"/>
      <c r="EK55" s="412"/>
      <c r="EL55" s="412"/>
      <c r="EM55" s="412"/>
      <c r="EN55" s="412"/>
      <c r="EO55" s="412"/>
      <c r="EP55" s="412"/>
      <c r="EQ55" s="412"/>
      <c r="ER55" s="412"/>
      <c r="ES55" s="412"/>
      <c r="ET55" s="412"/>
      <c r="EU55" s="412"/>
      <c r="EV55" s="412"/>
      <c r="EW55" s="412"/>
      <c r="EX55" s="412"/>
      <c r="EY55" s="412"/>
      <c r="EZ55" s="412"/>
      <c r="FA55" s="412"/>
      <c r="FB55" s="412"/>
      <c r="FC55" s="412"/>
      <c r="FD55" s="412"/>
      <c r="FE55" s="412"/>
      <c r="FF55" s="412"/>
      <c r="FG55" s="412"/>
      <c r="FH55" s="412"/>
      <c r="FI55" s="412"/>
      <c r="FJ55" s="412"/>
      <c r="FK55" s="412"/>
      <c r="FL55" s="412"/>
      <c r="FM55" s="412"/>
      <c r="FN55" s="412"/>
      <c r="FO55" s="412"/>
      <c r="FP55" s="412"/>
      <c r="FQ55" s="412"/>
      <c r="FR55" s="412"/>
      <c r="FS55" s="412"/>
      <c r="FT55" s="412"/>
      <c r="FU55" s="412"/>
      <c r="FV55" s="412"/>
      <c r="FW55" s="412"/>
      <c r="FX55" s="412"/>
      <c r="FY55" s="412"/>
      <c r="FZ55" s="412"/>
      <c r="GA55" s="412"/>
      <c r="GB55" s="412"/>
      <c r="GC55" s="412"/>
      <c r="GD55" s="412"/>
      <c r="GE55" s="412"/>
      <c r="GF55" s="412"/>
      <c r="GG55" s="413"/>
      <c r="GK55" s="2583">
        <v>0.1</v>
      </c>
      <c r="GL55" s="2583"/>
      <c r="GM55" s="2583"/>
      <c r="GN55" s="2583"/>
      <c r="GO55" s="2583"/>
      <c r="GP55" s="2583"/>
      <c r="GQ55" s="2583"/>
      <c r="GR55" s="2583"/>
      <c r="GS55" s="2583"/>
      <c r="GT55" s="2583"/>
      <c r="GU55" s="2583"/>
      <c r="GV55" s="2583"/>
      <c r="GW55" s="2583"/>
      <c r="GX55" s="2583"/>
      <c r="HE55" s="414"/>
    </row>
    <row r="56" spans="8:218" ht="4.1500000000000004" customHeight="1">
      <c r="H56" s="414"/>
      <c r="BN56" s="415"/>
      <c r="BR56" s="2580"/>
      <c r="BS56" s="2580"/>
      <c r="BT56" s="2580"/>
      <c r="BU56" s="2580"/>
      <c r="BV56" s="2580"/>
      <c r="BW56" s="2580"/>
      <c r="BX56" s="2580"/>
      <c r="BY56" s="2580"/>
      <c r="BZ56" s="2580"/>
      <c r="CA56" s="2580"/>
      <c r="CB56" s="2580"/>
      <c r="CC56" s="2580"/>
      <c r="CD56" s="2580"/>
      <c r="CE56" s="2580"/>
      <c r="CK56" s="414"/>
      <c r="DS56" s="414"/>
      <c r="GG56" s="415"/>
      <c r="GK56" s="2580"/>
      <c r="GL56" s="2580"/>
      <c r="GM56" s="2580"/>
      <c r="GN56" s="2580"/>
      <c r="GO56" s="2580"/>
      <c r="GP56" s="2580"/>
      <c r="GQ56" s="2580"/>
      <c r="GR56" s="2580"/>
      <c r="GS56" s="2580"/>
      <c r="GT56" s="2580"/>
      <c r="GU56" s="2580"/>
      <c r="GV56" s="2580"/>
      <c r="GW56" s="2580"/>
      <c r="GX56" s="2580"/>
      <c r="HE56" s="414"/>
    </row>
    <row r="57" spans="8:218" ht="4.1500000000000004" customHeight="1">
      <c r="H57" s="414"/>
      <c r="BN57" s="415"/>
      <c r="BR57" s="2580"/>
      <c r="BS57" s="2580"/>
      <c r="BT57" s="2580"/>
      <c r="BU57" s="2580"/>
      <c r="BV57" s="2580"/>
      <c r="BW57" s="2580"/>
      <c r="BX57" s="2580"/>
      <c r="BY57" s="2580"/>
      <c r="BZ57" s="2580"/>
      <c r="CA57" s="2580"/>
      <c r="CB57" s="2580"/>
      <c r="CC57" s="2580"/>
      <c r="CD57" s="2580"/>
      <c r="CE57" s="2580"/>
      <c r="CK57" s="414"/>
      <c r="DS57" s="414"/>
      <c r="GG57" s="415"/>
      <c r="GK57" s="2580"/>
      <c r="GL57" s="2580"/>
      <c r="GM57" s="2580"/>
      <c r="GN57" s="2580"/>
      <c r="GO57" s="2580"/>
      <c r="GP57" s="2580"/>
      <c r="GQ57" s="2580"/>
      <c r="GR57" s="2580"/>
      <c r="GS57" s="2580"/>
      <c r="GT57" s="2580"/>
      <c r="GU57" s="2580"/>
      <c r="GV57" s="2580"/>
      <c r="GW57" s="2580"/>
      <c r="GX57" s="2580"/>
      <c r="HE57" s="414"/>
    </row>
    <row r="58" spans="8:218" ht="4.1500000000000004" customHeight="1">
      <c r="H58" s="416"/>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c r="AJ58" s="417"/>
      <c r="AK58" s="417"/>
      <c r="AL58" s="417"/>
      <c r="AM58" s="417"/>
      <c r="AN58" s="417"/>
      <c r="AO58" s="417"/>
      <c r="AP58" s="417"/>
      <c r="AQ58" s="417"/>
      <c r="AR58" s="417"/>
      <c r="AS58" s="417"/>
      <c r="AT58" s="417"/>
      <c r="AU58" s="417"/>
      <c r="AV58" s="417"/>
      <c r="AW58" s="417"/>
      <c r="AX58" s="417"/>
      <c r="AY58" s="417"/>
      <c r="AZ58" s="417"/>
      <c r="BA58" s="417"/>
      <c r="BB58" s="417"/>
      <c r="BC58" s="417"/>
      <c r="BD58" s="417"/>
      <c r="BE58" s="417"/>
      <c r="BF58" s="417"/>
      <c r="BG58" s="417"/>
      <c r="BH58" s="417"/>
      <c r="BI58" s="417"/>
      <c r="BJ58" s="417"/>
      <c r="BK58" s="417"/>
      <c r="BL58" s="417"/>
      <c r="BM58" s="417"/>
      <c r="BN58" s="418"/>
      <c r="BR58" s="2584"/>
      <c r="BS58" s="2584"/>
      <c r="BT58" s="2584"/>
      <c r="BU58" s="2584"/>
      <c r="BV58" s="2584"/>
      <c r="BW58" s="2584"/>
      <c r="BX58" s="2584"/>
      <c r="BY58" s="2584"/>
      <c r="BZ58" s="2584"/>
      <c r="CA58" s="2584"/>
      <c r="CB58" s="2584"/>
      <c r="CC58" s="2584"/>
      <c r="CD58" s="2584"/>
      <c r="CE58" s="2584"/>
      <c r="CK58" s="414"/>
      <c r="DS58" s="416"/>
      <c r="DT58" s="417"/>
      <c r="DU58" s="417"/>
      <c r="DV58" s="417"/>
      <c r="DW58" s="417"/>
      <c r="DX58" s="417"/>
      <c r="DY58" s="417"/>
      <c r="DZ58" s="417"/>
      <c r="EA58" s="417"/>
      <c r="EB58" s="417"/>
      <c r="EC58" s="417"/>
      <c r="ED58" s="417"/>
      <c r="EE58" s="417"/>
      <c r="EF58" s="417"/>
      <c r="EG58" s="417"/>
      <c r="EH58" s="417"/>
      <c r="EI58" s="417"/>
      <c r="EJ58" s="417"/>
      <c r="EK58" s="417"/>
      <c r="EL58" s="417"/>
      <c r="EM58" s="417"/>
      <c r="EN58" s="417"/>
      <c r="EO58" s="417"/>
      <c r="EP58" s="417"/>
      <c r="EQ58" s="417"/>
      <c r="ER58" s="417"/>
      <c r="ES58" s="417"/>
      <c r="ET58" s="417"/>
      <c r="EU58" s="417"/>
      <c r="EV58" s="417"/>
      <c r="EW58" s="417"/>
      <c r="EX58" s="417"/>
      <c r="EY58" s="417"/>
      <c r="EZ58" s="417"/>
      <c r="FA58" s="417"/>
      <c r="FB58" s="417"/>
      <c r="FC58" s="417"/>
      <c r="FD58" s="417"/>
      <c r="FE58" s="417"/>
      <c r="FF58" s="417"/>
      <c r="FG58" s="417"/>
      <c r="FH58" s="417"/>
      <c r="FI58" s="417"/>
      <c r="FJ58" s="417"/>
      <c r="FK58" s="417"/>
      <c r="FL58" s="417"/>
      <c r="FM58" s="417"/>
      <c r="FN58" s="417"/>
      <c r="FO58" s="417"/>
      <c r="FP58" s="417"/>
      <c r="FQ58" s="417"/>
      <c r="FR58" s="417"/>
      <c r="FS58" s="417"/>
      <c r="FT58" s="417"/>
      <c r="FU58" s="417"/>
      <c r="FV58" s="417"/>
      <c r="FW58" s="417"/>
      <c r="FX58" s="417"/>
      <c r="FY58" s="417"/>
      <c r="FZ58" s="417"/>
      <c r="GA58" s="417"/>
      <c r="GB58" s="417"/>
      <c r="GC58" s="417"/>
      <c r="GD58" s="417"/>
      <c r="GE58" s="417"/>
      <c r="GF58" s="417"/>
      <c r="GG58" s="418"/>
      <c r="GK58" s="2584"/>
      <c r="GL58" s="2584"/>
      <c r="GM58" s="2584"/>
      <c r="GN58" s="2584"/>
      <c r="GO58" s="2584"/>
      <c r="GP58" s="2584"/>
      <c r="GQ58" s="2584"/>
      <c r="GR58" s="2584"/>
      <c r="GS58" s="2584"/>
      <c r="GT58" s="2584"/>
      <c r="GU58" s="2584"/>
      <c r="GV58" s="2584"/>
      <c r="GW58" s="2584"/>
      <c r="GX58" s="2584"/>
      <c r="HE58" s="414"/>
    </row>
    <row r="59" spans="8:218" ht="4.1500000000000004" customHeight="1">
      <c r="H59" s="411"/>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c r="AJ59" s="412"/>
      <c r="AK59" s="412"/>
      <c r="AL59" s="412"/>
      <c r="AM59" s="412"/>
      <c r="AN59" s="412"/>
      <c r="AO59" s="412"/>
      <c r="AP59" s="412"/>
      <c r="AQ59" s="412"/>
      <c r="AR59" s="412"/>
      <c r="AS59" s="412"/>
      <c r="AT59" s="412"/>
      <c r="AU59" s="412"/>
      <c r="AV59" s="412"/>
      <c r="AW59" s="412"/>
      <c r="AX59" s="412"/>
      <c r="AY59" s="412"/>
      <c r="AZ59" s="412"/>
      <c r="BA59" s="412"/>
      <c r="BB59" s="412"/>
      <c r="BC59" s="412"/>
      <c r="BD59" s="412"/>
      <c r="BE59" s="412"/>
      <c r="BF59" s="412"/>
      <c r="BG59" s="412"/>
      <c r="BH59" s="412"/>
      <c r="BI59" s="412"/>
      <c r="BJ59" s="412"/>
      <c r="BK59" s="412"/>
      <c r="BL59" s="412"/>
      <c r="BM59" s="412"/>
      <c r="BN59" s="413"/>
      <c r="BR59" s="2583">
        <v>0.15</v>
      </c>
      <c r="BS59" s="2583"/>
      <c r="BT59" s="2583"/>
      <c r="BU59" s="2583"/>
      <c r="BV59" s="2583"/>
      <c r="BW59" s="2583"/>
      <c r="BX59" s="2583"/>
      <c r="BY59" s="2583"/>
      <c r="BZ59" s="2583"/>
      <c r="CA59" s="2583"/>
      <c r="CB59" s="2583"/>
      <c r="CC59" s="2583"/>
      <c r="CD59" s="2583"/>
      <c r="CE59" s="2583"/>
      <c r="CK59" s="414"/>
      <c r="DS59" s="411"/>
      <c r="DT59" s="412"/>
      <c r="DU59" s="412"/>
      <c r="DV59" s="412"/>
      <c r="DW59" s="412"/>
      <c r="DX59" s="412"/>
      <c r="DY59" s="412"/>
      <c r="DZ59" s="412"/>
      <c r="EA59" s="412"/>
      <c r="EB59" s="412"/>
      <c r="EC59" s="412"/>
      <c r="ED59" s="412"/>
      <c r="EE59" s="412"/>
      <c r="EF59" s="412"/>
      <c r="EG59" s="412"/>
      <c r="EH59" s="412"/>
      <c r="EI59" s="412"/>
      <c r="EJ59" s="412"/>
      <c r="EK59" s="412"/>
      <c r="EL59" s="412"/>
      <c r="EM59" s="412"/>
      <c r="EN59" s="412"/>
      <c r="EO59" s="412"/>
      <c r="EP59" s="412"/>
      <c r="EQ59" s="412"/>
      <c r="ER59" s="412"/>
      <c r="ES59" s="412"/>
      <c r="ET59" s="412"/>
      <c r="EU59" s="412"/>
      <c r="EV59" s="412"/>
      <c r="EW59" s="412"/>
      <c r="EX59" s="412"/>
      <c r="EY59" s="412"/>
      <c r="EZ59" s="412"/>
      <c r="FA59" s="412"/>
      <c r="FB59" s="412"/>
      <c r="FC59" s="412"/>
      <c r="FD59" s="412"/>
      <c r="FE59" s="412"/>
      <c r="FF59" s="412"/>
      <c r="FG59" s="412"/>
      <c r="FH59" s="412"/>
      <c r="FI59" s="412"/>
      <c r="FJ59" s="412"/>
      <c r="FK59" s="412"/>
      <c r="FL59" s="412"/>
      <c r="FM59" s="412"/>
      <c r="FN59" s="412"/>
      <c r="FO59" s="412"/>
      <c r="FP59" s="412"/>
      <c r="FQ59" s="412"/>
      <c r="FR59" s="412"/>
      <c r="FS59" s="412"/>
      <c r="FT59" s="412"/>
      <c r="FU59" s="412"/>
      <c r="FV59" s="412"/>
      <c r="FW59" s="412"/>
      <c r="FX59" s="412"/>
      <c r="FY59" s="412"/>
      <c r="FZ59" s="412"/>
      <c r="GA59" s="412"/>
      <c r="GB59" s="412"/>
      <c r="GC59" s="412"/>
      <c r="GD59" s="412"/>
      <c r="GE59" s="412"/>
      <c r="GF59" s="412"/>
      <c r="GG59" s="413"/>
      <c r="GK59" s="2583">
        <v>0.15</v>
      </c>
      <c r="GL59" s="2583"/>
      <c r="GM59" s="2583"/>
      <c r="GN59" s="2583"/>
      <c r="GO59" s="2583"/>
      <c r="GP59" s="2583"/>
      <c r="GQ59" s="2583"/>
      <c r="GR59" s="2583"/>
      <c r="GS59" s="2583"/>
      <c r="GT59" s="2583"/>
      <c r="GU59" s="2583"/>
      <c r="GV59" s="2583"/>
      <c r="GW59" s="2583"/>
      <c r="GX59" s="2583"/>
      <c r="HE59" s="414"/>
    </row>
    <row r="60" spans="8:218" ht="4.1500000000000004" customHeight="1">
      <c r="H60" s="414"/>
      <c r="BN60" s="415"/>
      <c r="BR60" s="2580"/>
      <c r="BS60" s="2580"/>
      <c r="BT60" s="2580"/>
      <c r="BU60" s="2580"/>
      <c r="BV60" s="2580"/>
      <c r="BW60" s="2580"/>
      <c r="BX60" s="2580"/>
      <c r="BY60" s="2580"/>
      <c r="BZ60" s="2580"/>
      <c r="CA60" s="2580"/>
      <c r="CB60" s="2580"/>
      <c r="CC60" s="2580"/>
      <c r="CD60" s="2580"/>
      <c r="CE60" s="2580"/>
      <c r="CK60" s="414"/>
      <c r="DS60" s="414"/>
      <c r="GG60" s="415"/>
      <c r="GK60" s="2580"/>
      <c r="GL60" s="2580"/>
      <c r="GM60" s="2580"/>
      <c r="GN60" s="2580"/>
      <c r="GO60" s="2580"/>
      <c r="GP60" s="2580"/>
      <c r="GQ60" s="2580"/>
      <c r="GR60" s="2580"/>
      <c r="GS60" s="2580"/>
      <c r="GT60" s="2580"/>
      <c r="GU60" s="2580"/>
      <c r="GV60" s="2580"/>
      <c r="GW60" s="2580"/>
      <c r="GX60" s="2580"/>
      <c r="HE60" s="414"/>
    </row>
    <row r="61" spans="8:218" ht="4.1500000000000004" customHeight="1">
      <c r="H61" s="414"/>
      <c r="BN61" s="415"/>
      <c r="BR61" s="2580"/>
      <c r="BS61" s="2580"/>
      <c r="BT61" s="2580"/>
      <c r="BU61" s="2580"/>
      <c r="BV61" s="2580"/>
      <c r="BW61" s="2580"/>
      <c r="BX61" s="2580"/>
      <c r="BY61" s="2580"/>
      <c r="BZ61" s="2580"/>
      <c r="CA61" s="2580"/>
      <c r="CB61" s="2580"/>
      <c r="CC61" s="2580"/>
      <c r="CD61" s="2580"/>
      <c r="CE61" s="2580"/>
      <c r="CK61" s="414"/>
      <c r="DS61" s="414"/>
      <c r="GG61" s="415"/>
      <c r="GK61" s="2580"/>
      <c r="GL61" s="2580"/>
      <c r="GM61" s="2580"/>
      <c r="GN61" s="2580"/>
      <c r="GO61" s="2580"/>
      <c r="GP61" s="2580"/>
      <c r="GQ61" s="2580"/>
      <c r="GR61" s="2580"/>
      <c r="GS61" s="2580"/>
      <c r="GT61" s="2580"/>
      <c r="GU61" s="2580"/>
      <c r="GV61" s="2580"/>
      <c r="GW61" s="2580"/>
      <c r="GX61" s="2580"/>
      <c r="HE61" s="414"/>
    </row>
    <row r="62" spans="8:218" ht="4.1500000000000004" customHeight="1">
      <c r="H62" s="416"/>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c r="AM62" s="417"/>
      <c r="AN62" s="417"/>
      <c r="AO62" s="417"/>
      <c r="AP62" s="417"/>
      <c r="AQ62" s="417"/>
      <c r="AR62" s="417"/>
      <c r="AS62" s="417"/>
      <c r="AT62" s="417"/>
      <c r="AU62" s="417"/>
      <c r="AV62" s="417"/>
      <c r="AW62" s="417"/>
      <c r="AX62" s="417"/>
      <c r="AY62" s="417"/>
      <c r="AZ62" s="417"/>
      <c r="BA62" s="417"/>
      <c r="BB62" s="417"/>
      <c r="BC62" s="417"/>
      <c r="BD62" s="417"/>
      <c r="BE62" s="417"/>
      <c r="BF62" s="417"/>
      <c r="BG62" s="417"/>
      <c r="BH62" s="417"/>
      <c r="BI62" s="417"/>
      <c r="BJ62" s="417"/>
      <c r="BK62" s="417"/>
      <c r="BL62" s="417"/>
      <c r="BM62" s="417"/>
      <c r="BN62" s="418"/>
      <c r="BR62" s="2584"/>
      <c r="BS62" s="2584"/>
      <c r="BT62" s="2584"/>
      <c r="BU62" s="2584"/>
      <c r="BV62" s="2584"/>
      <c r="BW62" s="2584"/>
      <c r="BX62" s="2584"/>
      <c r="BY62" s="2584"/>
      <c r="BZ62" s="2584"/>
      <c r="CA62" s="2584"/>
      <c r="CB62" s="2584"/>
      <c r="CC62" s="2584"/>
      <c r="CD62" s="2584"/>
      <c r="CE62" s="2584"/>
      <c r="CG62" s="417"/>
      <c r="CH62" s="417"/>
      <c r="CI62" s="417"/>
      <c r="CJ62" s="417"/>
      <c r="CK62" s="416"/>
      <c r="CL62" s="417"/>
      <c r="CM62" s="417"/>
      <c r="CN62" s="417"/>
      <c r="CO62" s="417"/>
      <c r="CP62" s="417"/>
      <c r="DS62" s="416"/>
      <c r="DT62" s="417"/>
      <c r="DU62" s="417"/>
      <c r="DV62" s="417"/>
      <c r="DW62" s="417"/>
      <c r="DX62" s="417"/>
      <c r="DY62" s="417"/>
      <c r="DZ62" s="417"/>
      <c r="EA62" s="417"/>
      <c r="EB62" s="417"/>
      <c r="EC62" s="417"/>
      <c r="ED62" s="417"/>
      <c r="EE62" s="417"/>
      <c r="EF62" s="417"/>
      <c r="EG62" s="417"/>
      <c r="EH62" s="417"/>
      <c r="EI62" s="417"/>
      <c r="EJ62" s="417"/>
      <c r="EK62" s="417"/>
      <c r="EL62" s="417"/>
      <c r="EM62" s="417"/>
      <c r="EN62" s="417"/>
      <c r="EO62" s="417"/>
      <c r="EP62" s="417"/>
      <c r="EQ62" s="417"/>
      <c r="ER62" s="417"/>
      <c r="ES62" s="417"/>
      <c r="ET62" s="417"/>
      <c r="EU62" s="417"/>
      <c r="EV62" s="417"/>
      <c r="EW62" s="417"/>
      <c r="EX62" s="417"/>
      <c r="EY62" s="417"/>
      <c r="EZ62" s="417"/>
      <c r="FA62" s="417"/>
      <c r="FB62" s="417"/>
      <c r="FC62" s="417"/>
      <c r="FD62" s="417"/>
      <c r="FE62" s="417"/>
      <c r="FF62" s="417"/>
      <c r="FG62" s="417"/>
      <c r="FH62" s="417"/>
      <c r="FI62" s="417"/>
      <c r="FJ62" s="417"/>
      <c r="FK62" s="417"/>
      <c r="FL62" s="417"/>
      <c r="FM62" s="417"/>
      <c r="FN62" s="417"/>
      <c r="FO62" s="417"/>
      <c r="FP62" s="417"/>
      <c r="FQ62" s="417"/>
      <c r="FR62" s="417"/>
      <c r="FS62" s="417"/>
      <c r="FT62" s="417"/>
      <c r="FU62" s="417"/>
      <c r="FV62" s="417"/>
      <c r="FW62" s="417"/>
      <c r="FX62" s="417"/>
      <c r="FY62" s="417"/>
      <c r="FZ62" s="417"/>
      <c r="GA62" s="417"/>
      <c r="GB62" s="417"/>
      <c r="GC62" s="417"/>
      <c r="GD62" s="417"/>
      <c r="GE62" s="417"/>
      <c r="GF62" s="417"/>
      <c r="GG62" s="418"/>
      <c r="GK62" s="2584"/>
      <c r="GL62" s="2584"/>
      <c r="GM62" s="2584"/>
      <c r="GN62" s="2584"/>
      <c r="GO62" s="2584"/>
      <c r="GP62" s="2584"/>
      <c r="GQ62" s="2584"/>
      <c r="GR62" s="2584"/>
      <c r="GS62" s="2584"/>
      <c r="GT62" s="2584"/>
      <c r="GU62" s="2584"/>
      <c r="GV62" s="2584"/>
      <c r="GW62" s="2584"/>
      <c r="GX62" s="2584"/>
      <c r="HA62" s="417"/>
      <c r="HB62" s="417"/>
      <c r="HC62" s="417"/>
      <c r="HD62" s="417"/>
      <c r="HE62" s="416"/>
      <c r="HF62" s="417"/>
      <c r="HG62" s="417"/>
      <c r="HH62" s="417"/>
      <c r="HI62" s="417"/>
      <c r="HJ62" s="417"/>
    </row>
    <row r="63" spans="8:218" ht="4.1500000000000004" customHeight="1">
      <c r="DS63" s="412"/>
      <c r="DT63" s="412"/>
      <c r="DU63" s="412"/>
      <c r="DV63" s="412"/>
      <c r="DW63" s="412"/>
      <c r="DX63" s="412"/>
      <c r="DY63" s="412"/>
      <c r="DZ63" s="412"/>
      <c r="EA63" s="412"/>
      <c r="EB63" s="412"/>
      <c r="EC63" s="412"/>
      <c r="FY63" s="412"/>
      <c r="FZ63" s="412"/>
      <c r="GA63" s="412"/>
      <c r="GB63" s="412"/>
      <c r="GC63" s="412"/>
      <c r="GD63" s="412"/>
      <c r="GE63" s="412"/>
      <c r="GF63" s="412"/>
      <c r="GG63" s="412"/>
    </row>
    <row r="65" spans="8:189" ht="4.1500000000000004" customHeight="1">
      <c r="H65" s="414"/>
      <c r="AA65" s="2580">
        <f>AD10+0.15</f>
        <v>1</v>
      </c>
      <c r="AB65" s="2580"/>
      <c r="AC65" s="2580"/>
      <c r="AD65" s="2580"/>
      <c r="AE65" s="2580"/>
      <c r="AF65" s="2580"/>
      <c r="AG65" s="2580"/>
      <c r="AH65" s="2580"/>
      <c r="AI65" s="2580"/>
      <c r="AJ65" s="2580"/>
      <c r="AK65" s="2580"/>
      <c r="AL65" s="2580"/>
      <c r="AM65" s="2580"/>
      <c r="BN65" s="415"/>
      <c r="DS65" s="414"/>
      <c r="EP65" s="2580">
        <f>ES10+0.15</f>
        <v>1</v>
      </c>
      <c r="EQ65" s="2580"/>
      <c r="ER65" s="2580"/>
      <c r="ES65" s="2580"/>
      <c r="ET65" s="2580"/>
      <c r="EU65" s="2580"/>
      <c r="EV65" s="2580"/>
      <c r="EW65" s="2580"/>
      <c r="EX65" s="2580"/>
      <c r="EY65" s="2580"/>
      <c r="EZ65" s="2580"/>
      <c r="FA65" s="2580"/>
      <c r="FB65" s="2580"/>
      <c r="GG65" s="415"/>
    </row>
    <row r="66" spans="8:189" ht="4.1500000000000004" customHeight="1">
      <c r="H66" s="416"/>
      <c r="I66" s="417"/>
      <c r="J66" s="417"/>
      <c r="K66" s="417"/>
      <c r="L66" s="417"/>
      <c r="M66" s="417"/>
      <c r="N66" s="417"/>
      <c r="O66" s="417"/>
      <c r="P66" s="417"/>
      <c r="Q66" s="417"/>
      <c r="R66" s="417"/>
      <c r="S66" s="417"/>
      <c r="T66" s="417"/>
      <c r="U66" s="417"/>
      <c r="V66" s="417"/>
      <c r="W66" s="417"/>
      <c r="X66" s="417"/>
      <c r="Y66" s="417"/>
      <c r="Z66" s="417"/>
      <c r="AA66" s="2580"/>
      <c r="AB66" s="2580"/>
      <c r="AC66" s="2580"/>
      <c r="AD66" s="2580"/>
      <c r="AE66" s="2580"/>
      <c r="AF66" s="2580"/>
      <c r="AG66" s="2580"/>
      <c r="AH66" s="2580"/>
      <c r="AI66" s="2580"/>
      <c r="AJ66" s="2580"/>
      <c r="AK66" s="2580"/>
      <c r="AL66" s="2580"/>
      <c r="AM66" s="2580"/>
      <c r="AN66" s="417"/>
      <c r="AO66" s="417"/>
      <c r="AP66" s="417"/>
      <c r="AQ66" s="417"/>
      <c r="AR66" s="417"/>
      <c r="AS66" s="417"/>
      <c r="AT66" s="417"/>
      <c r="AU66" s="417"/>
      <c r="AV66" s="417"/>
      <c r="AW66" s="417"/>
      <c r="AX66" s="417"/>
      <c r="AY66" s="417"/>
      <c r="AZ66" s="417"/>
      <c r="BA66" s="417"/>
      <c r="BB66" s="417"/>
      <c r="BC66" s="417"/>
      <c r="BD66" s="417"/>
      <c r="BE66" s="417"/>
      <c r="BF66" s="417"/>
      <c r="BG66" s="417"/>
      <c r="BH66" s="417"/>
      <c r="BI66" s="417"/>
      <c r="BJ66" s="417"/>
      <c r="BK66" s="417"/>
      <c r="BL66" s="417"/>
      <c r="BM66" s="417"/>
      <c r="BN66" s="418"/>
      <c r="DS66" s="416"/>
      <c r="DT66" s="417"/>
      <c r="DU66" s="417"/>
      <c r="DV66" s="417"/>
      <c r="DW66" s="417"/>
      <c r="DX66" s="417"/>
      <c r="DY66" s="417"/>
      <c r="DZ66" s="417"/>
      <c r="EA66" s="417"/>
      <c r="EB66" s="417"/>
      <c r="EC66" s="417"/>
      <c r="ED66" s="417"/>
      <c r="EE66" s="417"/>
      <c r="EF66" s="417"/>
      <c r="EG66" s="417"/>
      <c r="EH66" s="417"/>
      <c r="EI66" s="417"/>
      <c r="EJ66" s="417"/>
      <c r="EK66" s="417"/>
      <c r="EL66" s="417"/>
      <c r="EM66" s="417"/>
      <c r="EN66" s="417"/>
      <c r="EO66" s="417"/>
      <c r="EP66" s="2580"/>
      <c r="EQ66" s="2580"/>
      <c r="ER66" s="2580"/>
      <c r="ES66" s="2580"/>
      <c r="ET66" s="2580"/>
      <c r="EU66" s="2580"/>
      <c r="EV66" s="2580"/>
      <c r="EW66" s="2580"/>
      <c r="EX66" s="2580"/>
      <c r="EY66" s="2580"/>
      <c r="EZ66" s="2580"/>
      <c r="FA66" s="2580"/>
      <c r="FB66" s="2580"/>
      <c r="FC66" s="417"/>
      <c r="FD66" s="417"/>
      <c r="FE66" s="417"/>
      <c r="FF66" s="417"/>
      <c r="FG66" s="417"/>
      <c r="FH66" s="417"/>
      <c r="FI66" s="417"/>
      <c r="FJ66" s="417"/>
      <c r="FK66" s="417"/>
      <c r="FL66" s="417"/>
      <c r="FM66" s="417"/>
      <c r="FN66" s="417"/>
      <c r="FO66" s="417"/>
      <c r="FP66" s="417"/>
      <c r="FQ66" s="417"/>
      <c r="FR66" s="417"/>
      <c r="FS66" s="417"/>
      <c r="FT66" s="417"/>
      <c r="FU66" s="417"/>
      <c r="FV66" s="417"/>
      <c r="FW66" s="417"/>
      <c r="FX66" s="417"/>
      <c r="FY66" s="417"/>
      <c r="FZ66" s="417"/>
      <c r="GA66" s="417"/>
      <c r="GB66" s="417"/>
      <c r="GC66" s="417"/>
      <c r="GD66" s="417"/>
      <c r="GE66" s="417"/>
      <c r="GF66" s="417"/>
      <c r="GG66" s="418"/>
    </row>
    <row r="67" spans="8:189" ht="4.1500000000000004" customHeight="1">
      <c r="H67" s="414"/>
      <c r="AA67" s="2580"/>
      <c r="AB67" s="2580"/>
      <c r="AC67" s="2580"/>
      <c r="AD67" s="2580"/>
      <c r="AE67" s="2580"/>
      <c r="AF67" s="2580"/>
      <c r="AG67" s="2580"/>
      <c r="AH67" s="2580"/>
      <c r="AI67" s="2580"/>
      <c r="AJ67" s="2580"/>
      <c r="AK67" s="2580"/>
      <c r="AL67" s="2580"/>
      <c r="AM67" s="2580"/>
      <c r="BN67" s="415"/>
      <c r="DS67" s="414"/>
      <c r="EP67" s="2580"/>
      <c r="EQ67" s="2580"/>
      <c r="ER67" s="2580"/>
      <c r="ES67" s="2580"/>
      <c r="ET67" s="2580"/>
      <c r="EU67" s="2580"/>
      <c r="EV67" s="2580"/>
      <c r="EW67" s="2580"/>
      <c r="EX67" s="2580"/>
      <c r="EY67" s="2580"/>
      <c r="EZ67" s="2580"/>
      <c r="FA67" s="2580"/>
      <c r="FB67" s="2580"/>
      <c r="GG67" s="415"/>
    </row>
    <row r="68" spans="8:189" ht="4.1500000000000004" customHeight="1">
      <c r="H68" s="414"/>
      <c r="AA68" s="2580"/>
      <c r="AB68" s="2580"/>
      <c r="AC68" s="2580"/>
      <c r="AD68" s="2580"/>
      <c r="AE68" s="2580"/>
      <c r="AF68" s="2580"/>
      <c r="AG68" s="2580"/>
      <c r="AH68" s="2580"/>
      <c r="AI68" s="2580"/>
      <c r="AJ68" s="2580"/>
      <c r="AK68" s="2580"/>
      <c r="AL68" s="2580"/>
      <c r="AM68" s="2580"/>
      <c r="BN68" s="415"/>
      <c r="DS68" s="414"/>
      <c r="EP68" s="2580"/>
      <c r="EQ68" s="2580"/>
      <c r="ER68" s="2580"/>
      <c r="ES68" s="2580"/>
      <c r="ET68" s="2580"/>
      <c r="EU68" s="2580"/>
      <c r="EV68" s="2580"/>
      <c r="EW68" s="2580"/>
      <c r="EX68" s="2580"/>
      <c r="EY68" s="2580"/>
      <c r="EZ68" s="2580"/>
      <c r="FA68" s="2580"/>
      <c r="FB68" s="2580"/>
      <c r="GG68" s="415"/>
    </row>
    <row r="71" spans="8:189" ht="4.1500000000000004" customHeight="1">
      <c r="J71" s="2579" t="s">
        <v>3404</v>
      </c>
      <c r="K71" s="2579"/>
      <c r="L71" s="2579"/>
      <c r="M71" s="2579"/>
      <c r="N71" s="2579"/>
      <c r="O71" s="2579"/>
      <c r="P71" s="2579"/>
      <c r="Q71" s="2579"/>
      <c r="R71" s="2579"/>
      <c r="S71" s="2579"/>
      <c r="T71" s="2579"/>
      <c r="U71" s="2579"/>
      <c r="V71" s="2579"/>
      <c r="W71" s="2579"/>
      <c r="X71" s="2579"/>
      <c r="Y71" s="2579"/>
      <c r="Z71" s="2579"/>
      <c r="AA71" s="2579"/>
      <c r="AB71" s="2579"/>
      <c r="AC71" s="2579"/>
      <c r="AD71" s="2579"/>
      <c r="AE71" s="2579"/>
      <c r="AF71" s="2579"/>
      <c r="AG71" s="2579"/>
      <c r="AH71" s="2579"/>
      <c r="AI71" s="2579"/>
      <c r="AJ71" s="2579"/>
      <c r="AK71" s="2579"/>
      <c r="AL71" s="2579"/>
      <c r="AM71" s="2579"/>
      <c r="AN71" s="2579"/>
      <c r="AO71" s="2579"/>
      <c r="AP71" s="2579"/>
      <c r="AQ71" s="2579"/>
      <c r="AR71" s="2579"/>
      <c r="AS71" s="2579"/>
      <c r="AT71" s="2579"/>
      <c r="AU71" s="2579"/>
      <c r="AV71" s="2579"/>
      <c r="AW71" s="2579"/>
      <c r="AX71" s="2579"/>
      <c r="AY71" s="2579"/>
      <c r="AZ71" s="2579"/>
      <c r="BA71" s="2579"/>
      <c r="BB71" s="2579"/>
      <c r="BC71" s="2579"/>
      <c r="BD71" s="2579"/>
      <c r="BE71" s="2579"/>
      <c r="BF71" s="2579"/>
      <c r="BG71" s="2579"/>
      <c r="BH71" s="2579"/>
      <c r="BI71" s="2579"/>
      <c r="BJ71" s="2579"/>
      <c r="BK71" s="2579"/>
      <c r="BL71" s="2579"/>
      <c r="EC71" s="2579" t="s">
        <v>3408</v>
      </c>
      <c r="ED71" s="2579"/>
      <c r="EE71" s="2579"/>
      <c r="EF71" s="2579"/>
      <c r="EG71" s="2579"/>
      <c r="EH71" s="2579"/>
      <c r="EI71" s="2579"/>
      <c r="EJ71" s="2579"/>
      <c r="EK71" s="2579"/>
      <c r="EL71" s="2579"/>
      <c r="EM71" s="2579"/>
      <c r="EN71" s="2579"/>
      <c r="EO71" s="2579"/>
      <c r="EP71" s="2579"/>
      <c r="EQ71" s="2579"/>
      <c r="ER71" s="2579"/>
      <c r="ES71" s="2579"/>
      <c r="ET71" s="2579"/>
      <c r="EU71" s="2579"/>
      <c r="EV71" s="2579"/>
      <c r="EW71" s="2579"/>
      <c r="EX71" s="2579"/>
      <c r="EY71" s="2579"/>
      <c r="EZ71" s="2579"/>
      <c r="FA71" s="2579"/>
      <c r="FB71" s="2579"/>
      <c r="FC71" s="2579"/>
      <c r="FD71" s="2579"/>
      <c r="FE71" s="2579"/>
      <c r="FF71" s="2579"/>
      <c r="FG71" s="2579"/>
      <c r="FH71" s="2579"/>
      <c r="FI71" s="2579"/>
      <c r="FJ71" s="2579"/>
      <c r="FK71" s="2579"/>
      <c r="FL71" s="2579"/>
      <c r="FM71" s="2579"/>
      <c r="FN71" s="2579"/>
      <c r="FO71" s="2579"/>
      <c r="FP71" s="2579"/>
      <c r="FQ71" s="2579"/>
      <c r="FR71" s="2579"/>
      <c r="FS71" s="2579"/>
      <c r="FT71" s="2579"/>
      <c r="FU71" s="2579"/>
      <c r="FV71" s="2579"/>
      <c r="FW71" s="2579"/>
      <c r="FX71" s="2579"/>
      <c r="FY71" s="2579"/>
      <c r="FZ71" s="2579"/>
      <c r="GA71" s="2579"/>
      <c r="GB71" s="2579"/>
      <c r="GC71" s="2579"/>
      <c r="GD71" s="2579"/>
      <c r="GE71" s="2579"/>
    </row>
    <row r="72" spans="8:189" ht="4.1500000000000004" customHeight="1">
      <c r="J72" s="2579"/>
      <c r="K72" s="2579"/>
      <c r="L72" s="2579"/>
      <c r="M72" s="2579"/>
      <c r="N72" s="2579"/>
      <c r="O72" s="2579"/>
      <c r="P72" s="2579"/>
      <c r="Q72" s="2579"/>
      <c r="R72" s="2579"/>
      <c r="S72" s="2579"/>
      <c r="T72" s="2579"/>
      <c r="U72" s="2579"/>
      <c r="V72" s="2579"/>
      <c r="W72" s="2579"/>
      <c r="X72" s="2579"/>
      <c r="Y72" s="2579"/>
      <c r="Z72" s="2579"/>
      <c r="AA72" s="2579"/>
      <c r="AB72" s="2579"/>
      <c r="AC72" s="2579"/>
      <c r="AD72" s="2579"/>
      <c r="AE72" s="2579"/>
      <c r="AF72" s="2579"/>
      <c r="AG72" s="2579"/>
      <c r="AH72" s="2579"/>
      <c r="AI72" s="2579"/>
      <c r="AJ72" s="2579"/>
      <c r="AK72" s="2579"/>
      <c r="AL72" s="2579"/>
      <c r="AM72" s="2579"/>
      <c r="AN72" s="2579"/>
      <c r="AO72" s="2579"/>
      <c r="AP72" s="2579"/>
      <c r="AQ72" s="2579"/>
      <c r="AR72" s="2579"/>
      <c r="AS72" s="2579"/>
      <c r="AT72" s="2579"/>
      <c r="AU72" s="2579"/>
      <c r="AV72" s="2579"/>
      <c r="AW72" s="2579"/>
      <c r="AX72" s="2579"/>
      <c r="AY72" s="2579"/>
      <c r="AZ72" s="2579"/>
      <c r="BA72" s="2579"/>
      <c r="BB72" s="2579"/>
      <c r="BC72" s="2579"/>
      <c r="BD72" s="2579"/>
      <c r="BE72" s="2579"/>
      <c r="BF72" s="2579"/>
      <c r="BG72" s="2579"/>
      <c r="BH72" s="2579"/>
      <c r="BI72" s="2579"/>
      <c r="BJ72" s="2579"/>
      <c r="BK72" s="2579"/>
      <c r="BL72" s="2579"/>
      <c r="EC72" s="2579"/>
      <c r="ED72" s="2579"/>
      <c r="EE72" s="2579"/>
      <c r="EF72" s="2579"/>
      <c r="EG72" s="2579"/>
      <c r="EH72" s="2579"/>
      <c r="EI72" s="2579"/>
      <c r="EJ72" s="2579"/>
      <c r="EK72" s="2579"/>
      <c r="EL72" s="2579"/>
      <c r="EM72" s="2579"/>
      <c r="EN72" s="2579"/>
      <c r="EO72" s="2579"/>
      <c r="EP72" s="2579"/>
      <c r="EQ72" s="2579"/>
      <c r="ER72" s="2579"/>
      <c r="ES72" s="2579"/>
      <c r="ET72" s="2579"/>
      <c r="EU72" s="2579"/>
      <c r="EV72" s="2579"/>
      <c r="EW72" s="2579"/>
      <c r="EX72" s="2579"/>
      <c r="EY72" s="2579"/>
      <c r="EZ72" s="2579"/>
      <c r="FA72" s="2579"/>
      <c r="FB72" s="2579"/>
      <c r="FC72" s="2579"/>
      <c r="FD72" s="2579"/>
      <c r="FE72" s="2579"/>
      <c r="FF72" s="2579"/>
      <c r="FG72" s="2579"/>
      <c r="FH72" s="2579"/>
      <c r="FI72" s="2579"/>
      <c r="FJ72" s="2579"/>
      <c r="FK72" s="2579"/>
      <c r="FL72" s="2579"/>
      <c r="FM72" s="2579"/>
      <c r="FN72" s="2579"/>
      <c r="FO72" s="2579"/>
      <c r="FP72" s="2579"/>
      <c r="FQ72" s="2579"/>
      <c r="FR72" s="2579"/>
      <c r="FS72" s="2579"/>
      <c r="FT72" s="2579"/>
      <c r="FU72" s="2579"/>
      <c r="FV72" s="2579"/>
      <c r="FW72" s="2579"/>
      <c r="FX72" s="2579"/>
      <c r="FY72" s="2579"/>
      <c r="FZ72" s="2579"/>
      <c r="GA72" s="2579"/>
      <c r="GB72" s="2579"/>
      <c r="GC72" s="2579"/>
      <c r="GD72" s="2579"/>
      <c r="GE72" s="2579"/>
    </row>
    <row r="73" spans="8:189" ht="4.1500000000000004" customHeight="1">
      <c r="J73" s="2579"/>
      <c r="K73" s="2579"/>
      <c r="L73" s="2579"/>
      <c r="M73" s="2579"/>
      <c r="N73" s="2579"/>
      <c r="O73" s="2579"/>
      <c r="P73" s="2579"/>
      <c r="Q73" s="2579"/>
      <c r="R73" s="2579"/>
      <c r="S73" s="2579"/>
      <c r="T73" s="2579"/>
      <c r="U73" s="2579"/>
      <c r="V73" s="2579"/>
      <c r="W73" s="2579"/>
      <c r="X73" s="2579"/>
      <c r="Y73" s="2579"/>
      <c r="Z73" s="2579"/>
      <c r="AA73" s="2579"/>
      <c r="AB73" s="2579"/>
      <c r="AC73" s="2579"/>
      <c r="AD73" s="2579"/>
      <c r="AE73" s="2579"/>
      <c r="AF73" s="2579"/>
      <c r="AG73" s="2579"/>
      <c r="AH73" s="2579"/>
      <c r="AI73" s="2579"/>
      <c r="AJ73" s="2579"/>
      <c r="AK73" s="2579"/>
      <c r="AL73" s="2579"/>
      <c r="AM73" s="2579"/>
      <c r="AN73" s="2579"/>
      <c r="AO73" s="2579"/>
      <c r="AP73" s="2579"/>
      <c r="AQ73" s="2579"/>
      <c r="AR73" s="2579"/>
      <c r="AS73" s="2579"/>
      <c r="AT73" s="2579"/>
      <c r="AU73" s="2579"/>
      <c r="AV73" s="2579"/>
      <c r="AW73" s="2579"/>
      <c r="AX73" s="2579"/>
      <c r="AY73" s="2579"/>
      <c r="AZ73" s="2579"/>
      <c r="BA73" s="2579"/>
      <c r="BB73" s="2579"/>
      <c r="BC73" s="2579"/>
      <c r="BD73" s="2579"/>
      <c r="BE73" s="2579"/>
      <c r="BF73" s="2579"/>
      <c r="BG73" s="2579"/>
      <c r="BH73" s="2579"/>
      <c r="BI73" s="2579"/>
      <c r="BJ73" s="2579"/>
      <c r="BK73" s="2579"/>
      <c r="BL73" s="2579"/>
      <c r="EC73" s="2579"/>
      <c r="ED73" s="2579"/>
      <c r="EE73" s="2579"/>
      <c r="EF73" s="2579"/>
      <c r="EG73" s="2579"/>
      <c r="EH73" s="2579"/>
      <c r="EI73" s="2579"/>
      <c r="EJ73" s="2579"/>
      <c r="EK73" s="2579"/>
      <c r="EL73" s="2579"/>
      <c r="EM73" s="2579"/>
      <c r="EN73" s="2579"/>
      <c r="EO73" s="2579"/>
      <c r="EP73" s="2579"/>
      <c r="EQ73" s="2579"/>
      <c r="ER73" s="2579"/>
      <c r="ES73" s="2579"/>
      <c r="ET73" s="2579"/>
      <c r="EU73" s="2579"/>
      <c r="EV73" s="2579"/>
      <c r="EW73" s="2579"/>
      <c r="EX73" s="2579"/>
      <c r="EY73" s="2579"/>
      <c r="EZ73" s="2579"/>
      <c r="FA73" s="2579"/>
      <c r="FB73" s="2579"/>
      <c r="FC73" s="2579"/>
      <c r="FD73" s="2579"/>
      <c r="FE73" s="2579"/>
      <c r="FF73" s="2579"/>
      <c r="FG73" s="2579"/>
      <c r="FH73" s="2579"/>
      <c r="FI73" s="2579"/>
      <c r="FJ73" s="2579"/>
      <c r="FK73" s="2579"/>
      <c r="FL73" s="2579"/>
      <c r="FM73" s="2579"/>
      <c r="FN73" s="2579"/>
      <c r="FO73" s="2579"/>
      <c r="FP73" s="2579"/>
      <c r="FQ73" s="2579"/>
      <c r="FR73" s="2579"/>
      <c r="FS73" s="2579"/>
      <c r="FT73" s="2579"/>
      <c r="FU73" s="2579"/>
      <c r="FV73" s="2579"/>
      <c r="FW73" s="2579"/>
      <c r="FX73" s="2579"/>
      <c r="FY73" s="2579"/>
      <c r="FZ73" s="2579"/>
      <c r="GA73" s="2579"/>
      <c r="GB73" s="2579"/>
      <c r="GC73" s="2579"/>
      <c r="GD73" s="2579"/>
      <c r="GE73" s="2579"/>
    </row>
    <row r="74" spans="8:189" ht="4.1500000000000004" customHeight="1">
      <c r="J74" s="2579"/>
      <c r="K74" s="2579"/>
      <c r="L74" s="2579"/>
      <c r="M74" s="2579"/>
      <c r="N74" s="2579"/>
      <c r="O74" s="2579"/>
      <c r="P74" s="2579"/>
      <c r="Q74" s="2579"/>
      <c r="R74" s="2579"/>
      <c r="S74" s="2579"/>
      <c r="T74" s="2579"/>
      <c r="U74" s="2579"/>
      <c r="V74" s="2579"/>
      <c r="W74" s="2579"/>
      <c r="X74" s="2579"/>
      <c r="Y74" s="2579"/>
      <c r="Z74" s="2579"/>
      <c r="AA74" s="2579"/>
      <c r="AB74" s="2579"/>
      <c r="AC74" s="2579"/>
      <c r="AD74" s="2579"/>
      <c r="AE74" s="2579"/>
      <c r="AF74" s="2579"/>
      <c r="AG74" s="2579"/>
      <c r="AH74" s="2579"/>
      <c r="AI74" s="2579"/>
      <c r="AJ74" s="2579"/>
      <c r="AK74" s="2579"/>
      <c r="AL74" s="2579"/>
      <c r="AM74" s="2579"/>
      <c r="AN74" s="2579"/>
      <c r="AO74" s="2579"/>
      <c r="AP74" s="2579"/>
      <c r="AQ74" s="2579"/>
      <c r="AR74" s="2579"/>
      <c r="AS74" s="2579"/>
      <c r="AT74" s="2579"/>
      <c r="AU74" s="2579"/>
      <c r="AV74" s="2579"/>
      <c r="AW74" s="2579"/>
      <c r="AX74" s="2579"/>
      <c r="AY74" s="2579"/>
      <c r="AZ74" s="2579"/>
      <c r="BA74" s="2579"/>
      <c r="BB74" s="2579"/>
      <c r="BC74" s="2579"/>
      <c r="BD74" s="2579"/>
      <c r="BE74" s="2579"/>
      <c r="BF74" s="2579"/>
      <c r="BG74" s="2579"/>
      <c r="BH74" s="2579"/>
      <c r="BI74" s="2579"/>
      <c r="BJ74" s="2579"/>
      <c r="BK74" s="2579"/>
      <c r="BL74" s="2579"/>
      <c r="EC74" s="2579"/>
      <c r="ED74" s="2579"/>
      <c r="EE74" s="2579"/>
      <c r="EF74" s="2579"/>
      <c r="EG74" s="2579"/>
      <c r="EH74" s="2579"/>
      <c r="EI74" s="2579"/>
      <c r="EJ74" s="2579"/>
      <c r="EK74" s="2579"/>
      <c r="EL74" s="2579"/>
      <c r="EM74" s="2579"/>
      <c r="EN74" s="2579"/>
      <c r="EO74" s="2579"/>
      <c r="EP74" s="2579"/>
      <c r="EQ74" s="2579"/>
      <c r="ER74" s="2579"/>
      <c r="ES74" s="2579"/>
      <c r="ET74" s="2579"/>
      <c r="EU74" s="2579"/>
      <c r="EV74" s="2579"/>
      <c r="EW74" s="2579"/>
      <c r="EX74" s="2579"/>
      <c r="EY74" s="2579"/>
      <c r="EZ74" s="2579"/>
      <c r="FA74" s="2579"/>
      <c r="FB74" s="2579"/>
      <c r="FC74" s="2579"/>
      <c r="FD74" s="2579"/>
      <c r="FE74" s="2579"/>
      <c r="FF74" s="2579"/>
      <c r="FG74" s="2579"/>
      <c r="FH74" s="2579"/>
      <c r="FI74" s="2579"/>
      <c r="FJ74" s="2579"/>
      <c r="FK74" s="2579"/>
      <c r="FL74" s="2579"/>
      <c r="FM74" s="2579"/>
      <c r="FN74" s="2579"/>
      <c r="FO74" s="2579"/>
      <c r="FP74" s="2579"/>
      <c r="FQ74" s="2579"/>
      <c r="FR74" s="2579"/>
      <c r="FS74" s="2579"/>
      <c r="FT74" s="2579"/>
      <c r="FU74" s="2579"/>
      <c r="FV74" s="2579"/>
      <c r="FW74" s="2579"/>
      <c r="FX74" s="2579"/>
      <c r="FY74" s="2579"/>
      <c r="FZ74" s="2579"/>
      <c r="GA74" s="2579"/>
      <c r="GB74" s="2579"/>
      <c r="GC74" s="2579"/>
      <c r="GD74" s="2579"/>
      <c r="GE74" s="2579"/>
    </row>
    <row r="82" spans="10:217" ht="4.1500000000000004" customHeight="1">
      <c r="J82" s="414"/>
      <c r="AD82" s="2580">
        <f>J89+AD89+BC89</f>
        <v>0.75</v>
      </c>
      <c r="AE82" s="2580"/>
      <c r="AF82" s="2580"/>
      <c r="AG82" s="2580"/>
      <c r="AH82" s="2580"/>
      <c r="AI82" s="2580"/>
      <c r="AJ82" s="2580"/>
      <c r="AK82" s="2580"/>
      <c r="AL82" s="2580"/>
      <c r="AM82" s="2580"/>
      <c r="AN82" s="2580"/>
      <c r="AO82" s="2580"/>
      <c r="AP82" s="2580"/>
      <c r="BL82" s="415"/>
      <c r="DX82" s="414"/>
      <c r="ER82" s="2580">
        <f>DX89+ER89+FQ89</f>
        <v>0.95</v>
      </c>
      <c r="ES82" s="2580"/>
      <c r="ET82" s="2580"/>
      <c r="EU82" s="2580"/>
      <c r="EV82" s="2580"/>
      <c r="EW82" s="2580"/>
      <c r="EX82" s="2580"/>
      <c r="EY82" s="2580"/>
      <c r="EZ82" s="2580"/>
      <c r="FA82" s="2580"/>
      <c r="FB82" s="2580"/>
      <c r="FC82" s="2580"/>
      <c r="FD82" s="2580"/>
      <c r="FZ82" s="415"/>
    </row>
    <row r="83" spans="10:217" ht="4.1500000000000004" customHeight="1">
      <c r="J83" s="416"/>
      <c r="K83" s="417"/>
      <c r="L83" s="417"/>
      <c r="M83" s="417"/>
      <c r="N83" s="417"/>
      <c r="O83" s="417"/>
      <c r="P83" s="417"/>
      <c r="Q83" s="417"/>
      <c r="R83" s="417"/>
      <c r="S83" s="417"/>
      <c r="T83" s="417"/>
      <c r="U83" s="417"/>
      <c r="V83" s="417"/>
      <c r="W83" s="417"/>
      <c r="X83" s="417"/>
      <c r="Y83" s="417"/>
      <c r="Z83" s="417"/>
      <c r="AA83" s="417"/>
      <c r="AB83" s="417"/>
      <c r="AC83" s="417"/>
      <c r="AD83" s="2580"/>
      <c r="AE83" s="2580"/>
      <c r="AF83" s="2580"/>
      <c r="AG83" s="2580"/>
      <c r="AH83" s="2580"/>
      <c r="AI83" s="2580"/>
      <c r="AJ83" s="2580"/>
      <c r="AK83" s="2580"/>
      <c r="AL83" s="2580"/>
      <c r="AM83" s="2580"/>
      <c r="AN83" s="2580"/>
      <c r="AO83" s="2580"/>
      <c r="AP83" s="2580"/>
      <c r="AQ83" s="417"/>
      <c r="AR83" s="417"/>
      <c r="AS83" s="417"/>
      <c r="AT83" s="417"/>
      <c r="AU83" s="417"/>
      <c r="AV83" s="417"/>
      <c r="AW83" s="417"/>
      <c r="AX83" s="417"/>
      <c r="AY83" s="417"/>
      <c r="AZ83" s="417"/>
      <c r="BA83" s="417"/>
      <c r="BB83" s="417"/>
      <c r="BC83" s="417"/>
      <c r="BD83" s="417"/>
      <c r="BE83" s="417"/>
      <c r="BF83" s="417"/>
      <c r="BG83" s="417"/>
      <c r="BH83" s="417"/>
      <c r="BI83" s="417"/>
      <c r="BJ83" s="417"/>
      <c r="BK83" s="417"/>
      <c r="BL83" s="418"/>
      <c r="DX83" s="416"/>
      <c r="DY83" s="417"/>
      <c r="DZ83" s="417"/>
      <c r="EA83" s="417"/>
      <c r="EB83" s="417"/>
      <c r="EC83" s="417"/>
      <c r="ED83" s="417"/>
      <c r="EE83" s="417"/>
      <c r="EF83" s="417"/>
      <c r="EG83" s="417"/>
      <c r="EH83" s="417"/>
      <c r="EI83" s="417"/>
      <c r="EJ83" s="417"/>
      <c r="EK83" s="417"/>
      <c r="EL83" s="417"/>
      <c r="EM83" s="417"/>
      <c r="EN83" s="417"/>
      <c r="EO83" s="417"/>
      <c r="EP83" s="417"/>
      <c r="EQ83" s="417"/>
      <c r="ER83" s="2580"/>
      <c r="ES83" s="2580"/>
      <c r="ET83" s="2580"/>
      <c r="EU83" s="2580"/>
      <c r="EV83" s="2580"/>
      <c r="EW83" s="2580"/>
      <c r="EX83" s="2580"/>
      <c r="EY83" s="2580"/>
      <c r="EZ83" s="2580"/>
      <c r="FA83" s="2580"/>
      <c r="FB83" s="2580"/>
      <c r="FC83" s="2580"/>
      <c r="FD83" s="2580"/>
      <c r="FE83" s="417"/>
      <c r="FF83" s="417"/>
      <c r="FG83" s="417"/>
      <c r="FH83" s="417"/>
      <c r="FI83" s="417"/>
      <c r="FJ83" s="417"/>
      <c r="FK83" s="417"/>
      <c r="FL83" s="417"/>
      <c r="FM83" s="417"/>
      <c r="FN83" s="417"/>
      <c r="FO83" s="417"/>
      <c r="FP83" s="417"/>
      <c r="FQ83" s="417"/>
      <c r="FR83" s="417"/>
      <c r="FS83" s="417"/>
      <c r="FT83" s="417"/>
      <c r="FU83" s="417"/>
      <c r="FV83" s="417"/>
      <c r="FW83" s="417"/>
      <c r="FX83" s="417"/>
      <c r="FY83" s="417"/>
      <c r="FZ83" s="418"/>
    </row>
    <row r="84" spans="10:217" ht="4.1500000000000004" customHeight="1">
      <c r="J84" s="414"/>
      <c r="AD84" s="2580"/>
      <c r="AE84" s="2580"/>
      <c r="AF84" s="2580"/>
      <c r="AG84" s="2580"/>
      <c r="AH84" s="2580"/>
      <c r="AI84" s="2580"/>
      <c r="AJ84" s="2580"/>
      <c r="AK84" s="2580"/>
      <c r="AL84" s="2580"/>
      <c r="AM84" s="2580"/>
      <c r="AN84" s="2580"/>
      <c r="AO84" s="2580"/>
      <c r="AP84" s="2580"/>
      <c r="BL84" s="415"/>
      <c r="DX84" s="414"/>
      <c r="ER84" s="2580"/>
      <c r="ES84" s="2580"/>
      <c r="ET84" s="2580"/>
      <c r="EU84" s="2580"/>
      <c r="EV84" s="2580"/>
      <c r="EW84" s="2580"/>
      <c r="EX84" s="2580"/>
      <c r="EY84" s="2580"/>
      <c r="EZ84" s="2580"/>
      <c r="FA84" s="2580"/>
      <c r="FB84" s="2580"/>
      <c r="FC84" s="2580"/>
      <c r="FD84" s="2580"/>
      <c r="FZ84" s="415"/>
    </row>
    <row r="85" spans="10:217" ht="4.1500000000000004" customHeight="1">
      <c r="J85" s="414"/>
      <c r="AD85" s="2580"/>
      <c r="AE85" s="2580"/>
      <c r="AF85" s="2580"/>
      <c r="AG85" s="2580"/>
      <c r="AH85" s="2580"/>
      <c r="AI85" s="2580"/>
      <c r="AJ85" s="2580"/>
      <c r="AK85" s="2580"/>
      <c r="AL85" s="2580"/>
      <c r="AM85" s="2580"/>
      <c r="AN85" s="2580"/>
      <c r="AO85" s="2580"/>
      <c r="AP85" s="2580"/>
      <c r="BL85" s="415"/>
      <c r="DX85" s="414"/>
      <c r="ER85" s="2580"/>
      <c r="ES85" s="2580"/>
      <c r="ET85" s="2580"/>
      <c r="EU85" s="2580"/>
      <c r="EV85" s="2580"/>
      <c r="EW85" s="2580"/>
      <c r="EX85" s="2580"/>
      <c r="EY85" s="2580"/>
      <c r="EZ85" s="2580"/>
      <c r="FA85" s="2580"/>
      <c r="FB85" s="2580"/>
      <c r="FC85" s="2580"/>
      <c r="FD85" s="2580"/>
      <c r="FZ85" s="415"/>
    </row>
    <row r="89" spans="10:217" ht="4.1500000000000004" customHeight="1">
      <c r="J89" s="2581">
        <v>0.15</v>
      </c>
      <c r="K89" s="2580"/>
      <c r="L89" s="2580"/>
      <c r="M89" s="2580"/>
      <c r="N89" s="2580"/>
      <c r="O89" s="2580"/>
      <c r="P89" s="2580"/>
      <c r="Q89" s="2580"/>
      <c r="R89" s="2580"/>
      <c r="S89" s="2582"/>
      <c r="T89" s="449"/>
      <c r="U89" s="449"/>
      <c r="V89" s="449"/>
      <c r="W89" s="449"/>
      <c r="X89" s="449"/>
      <c r="Y89" s="449"/>
      <c r="Z89" s="449"/>
      <c r="AA89" s="449"/>
      <c r="AB89" s="449"/>
      <c r="AC89" s="449"/>
      <c r="AD89" s="2580">
        <v>0.45</v>
      </c>
      <c r="AE89" s="2580"/>
      <c r="AF89" s="2580"/>
      <c r="AG89" s="2580"/>
      <c r="AH89" s="2580"/>
      <c r="AI89" s="2580"/>
      <c r="AJ89" s="2580"/>
      <c r="AK89" s="2580"/>
      <c r="AL89" s="2580"/>
      <c r="AM89" s="2580"/>
      <c r="AN89" s="2580"/>
      <c r="AO89" s="2580"/>
      <c r="AP89" s="2580"/>
      <c r="AQ89" s="449"/>
      <c r="AR89" s="449"/>
      <c r="AS89" s="449"/>
      <c r="AT89" s="449"/>
      <c r="AU89" s="449"/>
      <c r="AV89" s="449"/>
      <c r="AW89" s="449"/>
      <c r="AX89" s="449"/>
      <c r="AY89" s="449"/>
      <c r="AZ89" s="449"/>
      <c r="BA89" s="449"/>
      <c r="BB89" s="1402"/>
      <c r="BC89" s="2581">
        <f>J89</f>
        <v>0.15</v>
      </c>
      <c r="BD89" s="2580"/>
      <c r="BE89" s="2580"/>
      <c r="BF89" s="2580"/>
      <c r="BG89" s="2580"/>
      <c r="BH89" s="2580"/>
      <c r="BI89" s="2580"/>
      <c r="BJ89" s="2580"/>
      <c r="BK89" s="2580"/>
      <c r="BL89" s="2582"/>
      <c r="DX89" s="2581">
        <v>0.25</v>
      </c>
      <c r="DY89" s="2580"/>
      <c r="DZ89" s="2580"/>
      <c r="EA89" s="2580"/>
      <c r="EB89" s="2580"/>
      <c r="EC89" s="2580"/>
      <c r="ED89" s="2580"/>
      <c r="EE89" s="2580"/>
      <c r="EF89" s="2580"/>
      <c r="EG89" s="2582"/>
      <c r="EH89" s="449"/>
      <c r="EI89" s="449"/>
      <c r="EJ89" s="449"/>
      <c r="EK89" s="449"/>
      <c r="EL89" s="449"/>
      <c r="EM89" s="449"/>
      <c r="EN89" s="449"/>
      <c r="EO89" s="449"/>
      <c r="EP89" s="449"/>
      <c r="EQ89" s="449"/>
      <c r="ER89" s="2580">
        <v>0.45</v>
      </c>
      <c r="ES89" s="2580"/>
      <c r="ET89" s="2580"/>
      <c r="EU89" s="2580"/>
      <c r="EV89" s="2580"/>
      <c r="EW89" s="2580"/>
      <c r="EX89" s="2580"/>
      <c r="EY89" s="2580"/>
      <c r="EZ89" s="2580"/>
      <c r="FA89" s="2580"/>
      <c r="FB89" s="2580"/>
      <c r="FC89" s="2580"/>
      <c r="FD89" s="2580"/>
      <c r="FE89" s="449"/>
      <c r="FF89" s="449"/>
      <c r="FG89" s="449"/>
      <c r="FH89" s="449"/>
      <c r="FI89" s="449"/>
      <c r="FJ89" s="449"/>
      <c r="FK89" s="449"/>
      <c r="FL89" s="449"/>
      <c r="FM89" s="449"/>
      <c r="FN89" s="449"/>
      <c r="FO89" s="449"/>
      <c r="FP89" s="1402"/>
      <c r="FQ89" s="2581">
        <f>DX89</f>
        <v>0.25</v>
      </c>
      <c r="FR89" s="2580"/>
      <c r="FS89" s="2580"/>
      <c r="FT89" s="2580"/>
      <c r="FU89" s="2580"/>
      <c r="FV89" s="2580"/>
      <c r="FW89" s="2580"/>
      <c r="FX89" s="2580"/>
      <c r="FY89" s="2580"/>
      <c r="FZ89" s="2582"/>
    </row>
    <row r="90" spans="10:217" ht="4.1500000000000004" customHeight="1">
      <c r="J90" s="2581"/>
      <c r="K90" s="2580"/>
      <c r="L90" s="2580"/>
      <c r="M90" s="2580"/>
      <c r="N90" s="2580"/>
      <c r="O90" s="2580"/>
      <c r="P90" s="2580"/>
      <c r="Q90" s="2580"/>
      <c r="R90" s="2580"/>
      <c r="S90" s="2582"/>
      <c r="T90" s="480"/>
      <c r="U90" s="480"/>
      <c r="V90" s="480"/>
      <c r="W90" s="480"/>
      <c r="X90" s="480"/>
      <c r="Y90" s="480"/>
      <c r="Z90" s="480"/>
      <c r="AA90" s="480"/>
      <c r="AB90" s="480"/>
      <c r="AC90" s="480"/>
      <c r="AD90" s="2580"/>
      <c r="AE90" s="2580"/>
      <c r="AF90" s="2580"/>
      <c r="AG90" s="2580"/>
      <c r="AH90" s="2580"/>
      <c r="AI90" s="2580"/>
      <c r="AJ90" s="2580"/>
      <c r="AK90" s="2580"/>
      <c r="AL90" s="2580"/>
      <c r="AM90" s="2580"/>
      <c r="AN90" s="2580"/>
      <c r="AO90" s="2580"/>
      <c r="AP90" s="2580"/>
      <c r="AQ90" s="480"/>
      <c r="AR90" s="480"/>
      <c r="AS90" s="480"/>
      <c r="AT90" s="480"/>
      <c r="AU90" s="480"/>
      <c r="AV90" s="480"/>
      <c r="AW90" s="480"/>
      <c r="AX90" s="480"/>
      <c r="AY90" s="480"/>
      <c r="AZ90" s="480"/>
      <c r="BA90" s="480"/>
      <c r="BB90" s="1403"/>
      <c r="BC90" s="2581"/>
      <c r="BD90" s="2580"/>
      <c r="BE90" s="2580"/>
      <c r="BF90" s="2580"/>
      <c r="BG90" s="2580"/>
      <c r="BH90" s="2580"/>
      <c r="BI90" s="2580"/>
      <c r="BJ90" s="2580"/>
      <c r="BK90" s="2580"/>
      <c r="BL90" s="2582"/>
      <c r="DX90" s="2581"/>
      <c r="DY90" s="2580"/>
      <c r="DZ90" s="2580"/>
      <c r="EA90" s="2580"/>
      <c r="EB90" s="2580"/>
      <c r="EC90" s="2580"/>
      <c r="ED90" s="2580"/>
      <c r="EE90" s="2580"/>
      <c r="EF90" s="2580"/>
      <c r="EG90" s="2582"/>
      <c r="EH90" s="480"/>
      <c r="EI90" s="480"/>
      <c r="EJ90" s="480"/>
      <c r="EK90" s="480"/>
      <c r="EL90" s="480"/>
      <c r="EM90" s="480"/>
      <c r="EN90" s="480"/>
      <c r="EO90" s="480"/>
      <c r="EP90" s="480"/>
      <c r="EQ90" s="480"/>
      <c r="ER90" s="2580"/>
      <c r="ES90" s="2580"/>
      <c r="ET90" s="2580"/>
      <c r="EU90" s="2580"/>
      <c r="EV90" s="2580"/>
      <c r="EW90" s="2580"/>
      <c r="EX90" s="2580"/>
      <c r="EY90" s="2580"/>
      <c r="EZ90" s="2580"/>
      <c r="FA90" s="2580"/>
      <c r="FB90" s="2580"/>
      <c r="FC90" s="2580"/>
      <c r="FD90" s="2580"/>
      <c r="FE90" s="480"/>
      <c r="FF90" s="480"/>
      <c r="FG90" s="480"/>
      <c r="FH90" s="480"/>
      <c r="FI90" s="480"/>
      <c r="FJ90" s="480"/>
      <c r="FK90" s="480"/>
      <c r="FL90" s="480"/>
      <c r="FM90" s="480"/>
      <c r="FN90" s="480"/>
      <c r="FO90" s="480"/>
      <c r="FP90" s="1403"/>
      <c r="FQ90" s="2581"/>
      <c r="FR90" s="2580"/>
      <c r="FS90" s="2580"/>
      <c r="FT90" s="2580"/>
      <c r="FU90" s="2580"/>
      <c r="FV90" s="2580"/>
      <c r="FW90" s="2580"/>
      <c r="FX90" s="2580"/>
      <c r="FY90" s="2580"/>
      <c r="FZ90" s="2582"/>
    </row>
    <row r="91" spans="10:217" ht="4.1500000000000004" customHeight="1">
      <c r="J91" s="2581"/>
      <c r="K91" s="2580"/>
      <c r="L91" s="2580"/>
      <c r="M91" s="2580"/>
      <c r="N91" s="2580"/>
      <c r="O91" s="2580"/>
      <c r="P91" s="2580"/>
      <c r="Q91" s="2580"/>
      <c r="R91" s="2580"/>
      <c r="S91" s="2582"/>
      <c r="T91" s="449"/>
      <c r="U91" s="449"/>
      <c r="V91" s="449"/>
      <c r="W91" s="449"/>
      <c r="X91" s="449"/>
      <c r="Y91" s="449"/>
      <c r="Z91" s="449"/>
      <c r="AA91" s="449"/>
      <c r="AB91" s="449"/>
      <c r="AC91" s="449"/>
      <c r="AD91" s="2580"/>
      <c r="AE91" s="2580"/>
      <c r="AF91" s="2580"/>
      <c r="AG91" s="2580"/>
      <c r="AH91" s="2580"/>
      <c r="AI91" s="2580"/>
      <c r="AJ91" s="2580"/>
      <c r="AK91" s="2580"/>
      <c r="AL91" s="2580"/>
      <c r="AM91" s="2580"/>
      <c r="AN91" s="2580"/>
      <c r="AO91" s="2580"/>
      <c r="AP91" s="2580"/>
      <c r="AQ91" s="449"/>
      <c r="AR91" s="449"/>
      <c r="AS91" s="449"/>
      <c r="AT91" s="449"/>
      <c r="AU91" s="449"/>
      <c r="AV91" s="449"/>
      <c r="AW91" s="449"/>
      <c r="AX91" s="449"/>
      <c r="AY91" s="449"/>
      <c r="AZ91" s="449"/>
      <c r="BA91" s="449"/>
      <c r="BB91" s="1402"/>
      <c r="BC91" s="2581"/>
      <c r="BD91" s="2580"/>
      <c r="BE91" s="2580"/>
      <c r="BF91" s="2580"/>
      <c r="BG91" s="2580"/>
      <c r="BH91" s="2580"/>
      <c r="BI91" s="2580"/>
      <c r="BJ91" s="2580"/>
      <c r="BK91" s="2580"/>
      <c r="BL91" s="2582"/>
      <c r="DX91" s="2581"/>
      <c r="DY91" s="2580"/>
      <c r="DZ91" s="2580"/>
      <c r="EA91" s="2580"/>
      <c r="EB91" s="2580"/>
      <c r="EC91" s="2580"/>
      <c r="ED91" s="2580"/>
      <c r="EE91" s="2580"/>
      <c r="EF91" s="2580"/>
      <c r="EG91" s="2582"/>
      <c r="EH91" s="449"/>
      <c r="EI91" s="449"/>
      <c r="EJ91" s="449"/>
      <c r="EK91" s="449"/>
      <c r="EL91" s="449"/>
      <c r="EM91" s="449"/>
      <c r="EN91" s="449"/>
      <c r="EO91" s="449"/>
      <c r="EP91" s="449"/>
      <c r="EQ91" s="449"/>
      <c r="ER91" s="2580"/>
      <c r="ES91" s="2580"/>
      <c r="ET91" s="2580"/>
      <c r="EU91" s="2580"/>
      <c r="EV91" s="2580"/>
      <c r="EW91" s="2580"/>
      <c r="EX91" s="2580"/>
      <c r="EY91" s="2580"/>
      <c r="EZ91" s="2580"/>
      <c r="FA91" s="2580"/>
      <c r="FB91" s="2580"/>
      <c r="FC91" s="2580"/>
      <c r="FD91" s="2580"/>
      <c r="FE91" s="449"/>
      <c r="FF91" s="449"/>
      <c r="FG91" s="449"/>
      <c r="FH91" s="449"/>
      <c r="FI91" s="449"/>
      <c r="FJ91" s="449"/>
      <c r="FK91" s="449"/>
      <c r="FL91" s="449"/>
      <c r="FM91" s="449"/>
      <c r="FN91" s="449"/>
      <c r="FO91" s="449"/>
      <c r="FP91" s="1402"/>
      <c r="FQ91" s="2581"/>
      <c r="FR91" s="2580"/>
      <c r="FS91" s="2580"/>
      <c r="FT91" s="2580"/>
      <c r="FU91" s="2580"/>
      <c r="FV91" s="2580"/>
      <c r="FW91" s="2580"/>
      <c r="FX91" s="2580"/>
      <c r="FY91" s="2580"/>
      <c r="FZ91" s="2582"/>
    </row>
    <row r="92" spans="10:217" ht="4.1500000000000004" customHeight="1">
      <c r="J92" s="2581"/>
      <c r="K92" s="2580"/>
      <c r="L92" s="2580"/>
      <c r="M92" s="2580"/>
      <c r="N92" s="2580"/>
      <c r="O92" s="2580"/>
      <c r="P92" s="2580"/>
      <c r="Q92" s="2580"/>
      <c r="R92" s="2580"/>
      <c r="S92" s="2582"/>
      <c r="T92" s="449"/>
      <c r="U92" s="449"/>
      <c r="V92" s="449"/>
      <c r="W92" s="449"/>
      <c r="X92" s="449"/>
      <c r="Y92" s="449"/>
      <c r="Z92" s="449"/>
      <c r="AA92" s="449"/>
      <c r="AB92" s="449"/>
      <c r="AC92" s="449"/>
      <c r="AD92" s="2580"/>
      <c r="AE92" s="2580"/>
      <c r="AF92" s="2580"/>
      <c r="AG92" s="2580"/>
      <c r="AH92" s="2580"/>
      <c r="AI92" s="2580"/>
      <c r="AJ92" s="2580"/>
      <c r="AK92" s="2580"/>
      <c r="AL92" s="2580"/>
      <c r="AM92" s="2580"/>
      <c r="AN92" s="2580"/>
      <c r="AO92" s="2580"/>
      <c r="AP92" s="2580"/>
      <c r="AQ92" s="449"/>
      <c r="AR92" s="449"/>
      <c r="AS92" s="449"/>
      <c r="AT92" s="449"/>
      <c r="AU92" s="449"/>
      <c r="AV92" s="449"/>
      <c r="AW92" s="449"/>
      <c r="AX92" s="449"/>
      <c r="AY92" s="449"/>
      <c r="AZ92" s="449"/>
      <c r="BA92" s="449"/>
      <c r="BB92" s="1402"/>
      <c r="BC92" s="2581"/>
      <c r="BD92" s="2580"/>
      <c r="BE92" s="2580"/>
      <c r="BF92" s="2580"/>
      <c r="BG92" s="2580"/>
      <c r="BH92" s="2580"/>
      <c r="BI92" s="2580"/>
      <c r="BJ92" s="2580"/>
      <c r="BK92" s="2580"/>
      <c r="BL92" s="2582"/>
      <c r="DX92" s="2581"/>
      <c r="DY92" s="2580"/>
      <c r="DZ92" s="2580"/>
      <c r="EA92" s="2580"/>
      <c r="EB92" s="2580"/>
      <c r="EC92" s="2580"/>
      <c r="ED92" s="2580"/>
      <c r="EE92" s="2580"/>
      <c r="EF92" s="2580"/>
      <c r="EG92" s="2582"/>
      <c r="EH92" s="449"/>
      <c r="EI92" s="449"/>
      <c r="EJ92" s="449"/>
      <c r="EK92" s="449"/>
      <c r="EL92" s="449"/>
      <c r="EM92" s="449"/>
      <c r="EN92" s="449"/>
      <c r="EO92" s="449"/>
      <c r="EP92" s="449"/>
      <c r="EQ92" s="449"/>
      <c r="ER92" s="2580"/>
      <c r="ES92" s="2580"/>
      <c r="ET92" s="2580"/>
      <c r="EU92" s="2580"/>
      <c r="EV92" s="2580"/>
      <c r="EW92" s="2580"/>
      <c r="EX92" s="2580"/>
      <c r="EY92" s="2580"/>
      <c r="EZ92" s="2580"/>
      <c r="FA92" s="2580"/>
      <c r="FB92" s="2580"/>
      <c r="FC92" s="2580"/>
      <c r="FD92" s="2580"/>
      <c r="FE92" s="449"/>
      <c r="FF92" s="449"/>
      <c r="FG92" s="449"/>
      <c r="FH92" s="449"/>
      <c r="FI92" s="449"/>
      <c r="FJ92" s="449"/>
      <c r="FK92" s="449"/>
      <c r="FL92" s="449"/>
      <c r="FM92" s="449"/>
      <c r="FN92" s="449"/>
      <c r="FO92" s="449"/>
      <c r="FP92" s="1402"/>
      <c r="FQ92" s="2581"/>
      <c r="FR92" s="2580"/>
      <c r="FS92" s="2580"/>
      <c r="FT92" s="2580"/>
      <c r="FU92" s="2580"/>
      <c r="FV92" s="2580"/>
      <c r="FW92" s="2580"/>
      <c r="FX92" s="2580"/>
      <c r="FY92" s="2580"/>
      <c r="FZ92" s="2582"/>
    </row>
    <row r="94" spans="10:217" ht="4.1500000000000004" customHeight="1">
      <c r="J94" s="417"/>
      <c r="K94" s="417"/>
      <c r="L94" s="417"/>
      <c r="M94" s="417"/>
      <c r="N94" s="417"/>
      <c r="O94" s="417"/>
      <c r="P94" s="417"/>
      <c r="Q94" s="417"/>
      <c r="R94" s="417"/>
      <c r="S94" s="417"/>
      <c r="BC94" s="417"/>
      <c r="BD94" s="417"/>
      <c r="BE94" s="417"/>
      <c r="BF94" s="417"/>
      <c r="BG94" s="417"/>
      <c r="BH94" s="417"/>
      <c r="BI94" s="417"/>
      <c r="BJ94" s="417"/>
      <c r="BK94" s="417"/>
      <c r="BL94" s="417"/>
      <c r="DX94" s="417"/>
      <c r="DY94" s="417"/>
      <c r="DZ94" s="417"/>
      <c r="EA94" s="417"/>
      <c r="EB94" s="417"/>
      <c r="EC94" s="417"/>
      <c r="ED94" s="417"/>
      <c r="EE94" s="417"/>
      <c r="EF94" s="417"/>
      <c r="EG94" s="417"/>
      <c r="FQ94" s="417"/>
      <c r="FR94" s="417"/>
      <c r="FS94" s="417"/>
      <c r="FT94" s="417"/>
      <c r="FU94" s="417"/>
      <c r="FV94" s="417"/>
      <c r="FW94" s="417"/>
      <c r="FX94" s="417"/>
      <c r="FY94" s="417"/>
      <c r="FZ94" s="417"/>
    </row>
    <row r="95" spans="10:217" ht="4.1500000000000004" customHeight="1">
      <c r="J95" s="414"/>
      <c r="T95" s="414"/>
      <c r="BB95" s="415"/>
      <c r="BL95" s="415"/>
      <c r="BR95" s="412"/>
      <c r="BS95" s="412"/>
      <c r="BT95" s="412"/>
      <c r="BU95" s="412"/>
      <c r="BV95" s="412"/>
      <c r="BW95" s="412"/>
      <c r="BX95" s="412"/>
      <c r="BY95" s="411"/>
      <c r="BZ95" s="412"/>
      <c r="CA95" s="412"/>
      <c r="CB95" s="412"/>
      <c r="CC95" s="412"/>
      <c r="CD95" s="412"/>
      <c r="CE95" s="412"/>
      <c r="CG95" s="412"/>
      <c r="CH95" s="412"/>
      <c r="CI95" s="412"/>
      <c r="CJ95" s="412"/>
      <c r="CK95" s="411"/>
      <c r="CL95" s="412"/>
      <c r="CM95" s="412"/>
      <c r="CN95" s="412"/>
      <c r="CO95" s="412"/>
      <c r="CP95" s="412"/>
      <c r="DX95" s="411"/>
      <c r="DY95" s="412"/>
      <c r="DZ95" s="412"/>
      <c r="EA95" s="412"/>
      <c r="EB95" s="412"/>
      <c r="EC95" s="412"/>
      <c r="ED95" s="412"/>
      <c r="EE95" s="412"/>
      <c r="EF95" s="412"/>
      <c r="EG95" s="413"/>
      <c r="FQ95" s="414"/>
      <c r="FZ95" s="415"/>
      <c r="GJ95" s="412"/>
      <c r="GK95" s="412"/>
      <c r="GL95" s="412"/>
      <c r="GM95" s="412"/>
      <c r="GN95" s="412"/>
      <c r="GO95" s="412"/>
      <c r="GP95" s="412"/>
      <c r="GQ95" s="411"/>
      <c r="GR95" s="412"/>
      <c r="GS95" s="412"/>
      <c r="GT95" s="412"/>
      <c r="GU95" s="412"/>
      <c r="GV95" s="412"/>
      <c r="GW95" s="412"/>
      <c r="GZ95" s="412"/>
      <c r="HA95" s="412"/>
      <c r="HB95" s="412"/>
      <c r="HC95" s="412"/>
      <c r="HD95" s="411"/>
      <c r="HE95" s="412"/>
      <c r="HF95" s="412"/>
      <c r="HG95" s="412"/>
      <c r="HH95" s="412"/>
      <c r="HI95" s="412"/>
    </row>
    <row r="96" spans="10:217" ht="4.1500000000000004" customHeight="1">
      <c r="J96" s="414"/>
      <c r="O96" s="414"/>
      <c r="T96" s="414"/>
      <c r="BB96" s="415"/>
      <c r="BG96" s="415"/>
      <c r="BL96" s="415"/>
      <c r="BY96" s="414"/>
      <c r="CK96" s="414"/>
      <c r="DX96" s="414"/>
      <c r="EG96" s="415"/>
      <c r="FQ96" s="414"/>
      <c r="FZ96" s="415"/>
      <c r="GQ96" s="414"/>
      <c r="HD96" s="414"/>
    </row>
    <row r="97" spans="10:217" ht="4.1500000000000004" customHeight="1">
      <c r="J97" s="414"/>
      <c r="O97" s="453"/>
      <c r="T97" s="414"/>
      <c r="BB97" s="415"/>
      <c r="BG97" s="453"/>
      <c r="BL97" s="415"/>
      <c r="BY97" s="414"/>
      <c r="CK97" s="414"/>
      <c r="DX97" s="414"/>
      <c r="EG97" s="415"/>
      <c r="FQ97" s="414"/>
      <c r="FZ97" s="415"/>
      <c r="GQ97" s="414"/>
      <c r="HD97" s="414"/>
    </row>
    <row r="98" spans="10:217" ht="4.1500000000000004" customHeight="1">
      <c r="J98" s="414"/>
      <c r="O98" s="414"/>
      <c r="T98" s="414"/>
      <c r="BB98" s="415"/>
      <c r="BG98" s="415"/>
      <c r="BL98" s="415"/>
      <c r="BY98" s="414"/>
      <c r="CK98" s="414"/>
      <c r="DX98" s="414"/>
      <c r="EG98" s="415"/>
      <c r="FQ98" s="414"/>
      <c r="FZ98" s="415"/>
      <c r="GQ98" s="414"/>
      <c r="HD98" s="414"/>
    </row>
    <row r="99" spans="10:217" ht="4.1500000000000004" customHeight="1">
      <c r="J99" s="414"/>
      <c r="O99" s="414"/>
      <c r="T99" s="414"/>
      <c r="BB99" s="415"/>
      <c r="BG99" s="415"/>
      <c r="BL99" s="415"/>
      <c r="BY99" s="414"/>
      <c r="CK99" s="414"/>
      <c r="DX99" s="414"/>
      <c r="EG99" s="415"/>
      <c r="FQ99" s="414"/>
      <c r="FZ99" s="415"/>
      <c r="GQ99" s="414"/>
      <c r="HD99" s="414"/>
    </row>
    <row r="100" spans="10:217" ht="4.1500000000000004" customHeight="1">
      <c r="J100" s="414"/>
      <c r="O100" s="414"/>
      <c r="T100" s="414"/>
      <c r="BB100" s="415"/>
      <c r="BG100" s="415"/>
      <c r="BL100" s="415"/>
      <c r="BY100" s="414"/>
      <c r="CK100" s="414"/>
      <c r="DX100" s="414"/>
      <c r="EG100" s="415"/>
      <c r="FQ100" s="414"/>
      <c r="FZ100" s="415"/>
      <c r="GQ100" s="414"/>
      <c r="HD100" s="414"/>
    </row>
    <row r="101" spans="10:217" ht="4.1500000000000004" customHeight="1">
      <c r="J101" s="414"/>
      <c r="O101" s="414"/>
      <c r="T101" s="414"/>
      <c r="BB101" s="415"/>
      <c r="BG101" s="415"/>
      <c r="BL101" s="415"/>
      <c r="BY101" s="414"/>
      <c r="CK101" s="414"/>
      <c r="DX101" s="414"/>
      <c r="EG101" s="415"/>
      <c r="FQ101" s="414"/>
      <c r="FZ101" s="415"/>
      <c r="GQ101" s="414"/>
      <c r="HD101" s="414"/>
    </row>
    <row r="102" spans="10:217" ht="4.1500000000000004" customHeight="1">
      <c r="J102" s="414"/>
      <c r="O102" s="414"/>
      <c r="T102" s="414"/>
      <c r="BB102" s="415"/>
      <c r="BG102" s="415"/>
      <c r="BL102" s="415"/>
      <c r="BY102" s="414"/>
      <c r="CK102" s="414"/>
      <c r="DX102" s="414"/>
      <c r="EG102" s="415"/>
      <c r="FQ102" s="414"/>
      <c r="FZ102" s="415"/>
      <c r="GQ102" s="414"/>
      <c r="HD102" s="414"/>
    </row>
    <row r="103" spans="10:217" ht="4.1500000000000004" customHeight="1">
      <c r="J103" s="414"/>
      <c r="O103" s="414"/>
      <c r="T103" s="414"/>
      <c r="BB103" s="415"/>
      <c r="BG103" s="415"/>
      <c r="BL103" s="415"/>
      <c r="BY103" s="414"/>
      <c r="CK103" s="414"/>
      <c r="DX103" s="414"/>
      <c r="EG103" s="415"/>
      <c r="FQ103" s="414"/>
      <c r="FZ103" s="415"/>
      <c r="GQ103" s="414"/>
      <c r="HD103" s="414"/>
    </row>
    <row r="104" spans="10:217" ht="4.1500000000000004" customHeight="1">
      <c r="J104" s="414"/>
      <c r="O104" s="414"/>
      <c r="T104" s="414"/>
      <c r="BB104" s="415"/>
      <c r="BG104" s="415"/>
      <c r="BL104" s="415"/>
      <c r="BY104" s="414"/>
      <c r="CK104" s="414"/>
      <c r="DX104" s="414"/>
      <c r="EG104" s="415"/>
      <c r="FQ104" s="414"/>
      <c r="FZ104" s="415"/>
      <c r="GQ104" s="414"/>
      <c r="HD104" s="414"/>
    </row>
    <row r="105" spans="10:217" ht="4.1500000000000004" customHeight="1">
      <c r="J105" s="414"/>
      <c r="O105" s="453"/>
      <c r="T105" s="414"/>
      <c r="BB105" s="415"/>
      <c r="BG105" s="453"/>
      <c r="BL105" s="415"/>
      <c r="BY105" s="414"/>
      <c r="CK105" s="414"/>
      <c r="DX105" s="414"/>
      <c r="EG105" s="415"/>
      <c r="FQ105" s="414"/>
      <c r="FZ105" s="415"/>
      <c r="GQ105" s="414"/>
      <c r="HD105" s="414"/>
    </row>
    <row r="106" spans="10:217" ht="4.1500000000000004" customHeight="1">
      <c r="J106" s="414"/>
      <c r="O106" s="414"/>
      <c r="T106" s="414"/>
      <c r="BB106" s="415"/>
      <c r="BG106" s="415"/>
      <c r="BL106" s="415"/>
      <c r="BY106" s="414"/>
      <c r="CK106" s="414"/>
      <c r="DX106" s="414"/>
      <c r="EG106" s="415"/>
      <c r="FQ106" s="414"/>
      <c r="FZ106" s="415"/>
      <c r="GQ106" s="414"/>
      <c r="HD106" s="414"/>
    </row>
    <row r="107" spans="10:217" ht="4.1500000000000004" customHeight="1">
      <c r="J107" s="414"/>
      <c r="O107" s="414"/>
      <c r="T107" s="414"/>
      <c r="BB107" s="415"/>
      <c r="BG107" s="415"/>
      <c r="BL107" s="415"/>
      <c r="BR107" s="2580">
        <v>0.45</v>
      </c>
      <c r="BS107" s="2580"/>
      <c r="BT107" s="2580"/>
      <c r="BU107" s="2580"/>
      <c r="BV107" s="2580"/>
      <c r="BW107" s="2580"/>
      <c r="BX107" s="2580"/>
      <c r="BY107" s="2580"/>
      <c r="BZ107" s="2580"/>
      <c r="CA107" s="2580"/>
      <c r="CB107" s="2580"/>
      <c r="CC107" s="2580"/>
      <c r="CD107" s="2580"/>
      <c r="CE107" s="2580"/>
      <c r="CK107" s="414"/>
      <c r="DX107" s="414"/>
      <c r="EG107" s="415"/>
      <c r="FQ107" s="414"/>
      <c r="FZ107" s="415"/>
      <c r="GJ107" s="2580">
        <v>0.45</v>
      </c>
      <c r="GK107" s="2580"/>
      <c r="GL107" s="2580"/>
      <c r="GM107" s="2580"/>
      <c r="GN107" s="2580"/>
      <c r="GO107" s="2580"/>
      <c r="GP107" s="2580"/>
      <c r="GQ107" s="2580"/>
      <c r="GR107" s="2580"/>
      <c r="GS107" s="2580"/>
      <c r="GT107" s="2580"/>
      <c r="GU107" s="2580"/>
      <c r="GV107" s="2580"/>
      <c r="GW107" s="2580"/>
      <c r="HD107" s="414"/>
    </row>
    <row r="108" spans="10:217" ht="4.1500000000000004" customHeight="1">
      <c r="J108" s="414"/>
      <c r="O108" s="414"/>
      <c r="T108" s="414"/>
      <c r="BB108" s="415"/>
      <c r="BG108" s="415"/>
      <c r="BL108" s="415"/>
      <c r="BR108" s="2580"/>
      <c r="BS108" s="2580"/>
      <c r="BT108" s="2580"/>
      <c r="BU108" s="2580"/>
      <c r="BV108" s="2580"/>
      <c r="BW108" s="2580"/>
      <c r="BX108" s="2580"/>
      <c r="BY108" s="2580"/>
      <c r="BZ108" s="2580"/>
      <c r="CA108" s="2580"/>
      <c r="CB108" s="2580"/>
      <c r="CC108" s="2580"/>
      <c r="CD108" s="2580"/>
      <c r="CE108" s="2580"/>
      <c r="CK108" s="414"/>
      <c r="DX108" s="414"/>
      <c r="EG108" s="415"/>
      <c r="FQ108" s="414"/>
      <c r="FZ108" s="415"/>
      <c r="GJ108" s="2580"/>
      <c r="GK108" s="2580"/>
      <c r="GL108" s="2580"/>
      <c r="GM108" s="2580"/>
      <c r="GN108" s="2580"/>
      <c r="GO108" s="2580"/>
      <c r="GP108" s="2580"/>
      <c r="GQ108" s="2580"/>
      <c r="GR108" s="2580"/>
      <c r="GS108" s="2580"/>
      <c r="GT108" s="2580"/>
      <c r="GU108" s="2580"/>
      <c r="GV108" s="2580"/>
      <c r="GW108" s="2580"/>
      <c r="HD108" s="414"/>
    </row>
    <row r="109" spans="10:217" ht="4.1500000000000004" customHeight="1">
      <c r="J109" s="414"/>
      <c r="O109" s="414"/>
      <c r="T109" s="414"/>
      <c r="BB109" s="415"/>
      <c r="BG109" s="415"/>
      <c r="BL109" s="415"/>
      <c r="BR109" s="2580"/>
      <c r="BS109" s="2580"/>
      <c r="BT109" s="2580"/>
      <c r="BU109" s="2580"/>
      <c r="BV109" s="2580"/>
      <c r="BW109" s="2580"/>
      <c r="BX109" s="2580"/>
      <c r="BY109" s="2580"/>
      <c r="BZ109" s="2580"/>
      <c r="CA109" s="2580"/>
      <c r="CB109" s="2580"/>
      <c r="CC109" s="2580"/>
      <c r="CD109" s="2580"/>
      <c r="CE109" s="2580"/>
      <c r="CK109" s="414"/>
      <c r="DX109" s="414"/>
      <c r="EG109" s="415"/>
      <c r="FQ109" s="414"/>
      <c r="FZ109" s="415"/>
      <c r="GJ109" s="2580"/>
      <c r="GK109" s="2580"/>
      <c r="GL109" s="2580"/>
      <c r="GM109" s="2580"/>
      <c r="GN109" s="2580"/>
      <c r="GO109" s="2580"/>
      <c r="GP109" s="2580"/>
      <c r="GQ109" s="2580"/>
      <c r="GR109" s="2580"/>
      <c r="GS109" s="2580"/>
      <c r="GT109" s="2580"/>
      <c r="GU109" s="2580"/>
      <c r="GV109" s="2580"/>
      <c r="GW109" s="2580"/>
      <c r="HD109" s="414"/>
    </row>
    <row r="110" spans="10:217" ht="4.1500000000000004" customHeight="1">
      <c r="J110" s="414"/>
      <c r="O110" s="414"/>
      <c r="T110" s="414"/>
      <c r="BB110" s="415"/>
      <c r="BG110" s="415"/>
      <c r="BL110" s="415"/>
      <c r="BR110" s="2580"/>
      <c r="BS110" s="2580"/>
      <c r="BT110" s="2580"/>
      <c r="BU110" s="2580"/>
      <c r="BV110" s="2580"/>
      <c r="BW110" s="2580"/>
      <c r="BX110" s="2580"/>
      <c r="BY110" s="2580"/>
      <c r="BZ110" s="2580"/>
      <c r="CA110" s="2580"/>
      <c r="CB110" s="2580"/>
      <c r="CC110" s="2580"/>
      <c r="CD110" s="2580"/>
      <c r="CE110" s="2580"/>
      <c r="CK110" s="414"/>
      <c r="DX110" s="414"/>
      <c r="EG110" s="415"/>
      <c r="FQ110" s="414"/>
      <c r="FZ110" s="415"/>
      <c r="GJ110" s="2580"/>
      <c r="GK110" s="2580"/>
      <c r="GL110" s="2580"/>
      <c r="GM110" s="2580"/>
      <c r="GN110" s="2580"/>
      <c r="GO110" s="2580"/>
      <c r="GP110" s="2580"/>
      <c r="GQ110" s="2580"/>
      <c r="GR110" s="2580"/>
      <c r="GS110" s="2580"/>
      <c r="GT110" s="2580"/>
      <c r="GU110" s="2580"/>
      <c r="GV110" s="2580"/>
      <c r="GW110" s="2580"/>
      <c r="HD110" s="414"/>
    </row>
    <row r="111" spans="10:217" ht="4.1500000000000004" customHeight="1">
      <c r="J111" s="414"/>
      <c r="O111" s="414"/>
      <c r="T111" s="414"/>
      <c r="BB111" s="415"/>
      <c r="BG111" s="415"/>
      <c r="BL111" s="415"/>
      <c r="BY111" s="414"/>
      <c r="CF111" s="2580">
        <f>BR107+BR122+BR127+BR131</f>
        <v>0.75</v>
      </c>
      <c r="CG111" s="2579"/>
      <c r="CH111" s="2579"/>
      <c r="CI111" s="2579"/>
      <c r="CJ111" s="2579"/>
      <c r="CK111" s="2579"/>
      <c r="CL111" s="2579"/>
      <c r="CM111" s="2579"/>
      <c r="CN111" s="2579"/>
      <c r="CO111" s="2579"/>
      <c r="CP111" s="2579"/>
      <c r="DP111" s="1401"/>
      <c r="DX111" s="414"/>
      <c r="EG111" s="415"/>
      <c r="FQ111" s="414"/>
      <c r="FZ111" s="415"/>
      <c r="GQ111" s="414"/>
      <c r="GY111" s="2580">
        <f>GJ107+GJ124+GJ127+GJ131</f>
        <v>0.75</v>
      </c>
      <c r="GZ111" s="2579"/>
      <c r="HA111" s="2579"/>
      <c r="HB111" s="2579"/>
      <c r="HC111" s="2579"/>
      <c r="HD111" s="2579"/>
      <c r="HE111" s="2579"/>
      <c r="HF111" s="2579"/>
      <c r="HG111" s="2579"/>
      <c r="HH111" s="2579"/>
      <c r="HI111" s="2579"/>
    </row>
    <row r="112" spans="10:217" ht="4.1500000000000004" customHeight="1">
      <c r="J112" s="414"/>
      <c r="O112" s="414"/>
      <c r="T112" s="414"/>
      <c r="BB112" s="415"/>
      <c r="BG112" s="415"/>
      <c r="BL112" s="415"/>
      <c r="BY112" s="414"/>
      <c r="CF112" s="2579"/>
      <c r="CG112" s="2579"/>
      <c r="CH112" s="2579"/>
      <c r="CI112" s="2579"/>
      <c r="CJ112" s="2579"/>
      <c r="CK112" s="2579"/>
      <c r="CL112" s="2579"/>
      <c r="CM112" s="2579"/>
      <c r="CN112" s="2579"/>
      <c r="CO112" s="2579"/>
      <c r="CP112" s="2579"/>
      <c r="DP112" s="1401"/>
      <c r="DX112" s="414"/>
      <c r="EG112" s="415"/>
      <c r="FQ112" s="414"/>
      <c r="FZ112" s="415"/>
      <c r="GQ112" s="414"/>
      <c r="GY112" s="2579"/>
      <c r="GZ112" s="2579"/>
      <c r="HA112" s="2579"/>
      <c r="HB112" s="2579"/>
      <c r="HC112" s="2579"/>
      <c r="HD112" s="2579"/>
      <c r="HE112" s="2579"/>
      <c r="HF112" s="2579"/>
      <c r="HG112" s="2579"/>
      <c r="HH112" s="2579"/>
      <c r="HI112" s="2579"/>
    </row>
    <row r="113" spans="8:217" ht="4.1500000000000004" customHeight="1">
      <c r="J113" s="414"/>
      <c r="O113" s="414"/>
      <c r="T113" s="414"/>
      <c r="BB113" s="415"/>
      <c r="BG113" s="415"/>
      <c r="BL113" s="415"/>
      <c r="BY113" s="414"/>
      <c r="CF113" s="2579"/>
      <c r="CG113" s="2579"/>
      <c r="CH113" s="2579"/>
      <c r="CI113" s="2579"/>
      <c r="CJ113" s="2579"/>
      <c r="CK113" s="2579"/>
      <c r="CL113" s="2579"/>
      <c r="CM113" s="2579"/>
      <c r="CN113" s="2579"/>
      <c r="CO113" s="2579"/>
      <c r="CP113" s="2579"/>
      <c r="DP113" s="1401"/>
      <c r="DX113" s="414"/>
      <c r="EG113" s="415"/>
      <c r="FQ113" s="414"/>
      <c r="FZ113" s="415"/>
      <c r="GQ113" s="414"/>
      <c r="GY113" s="2579"/>
      <c r="GZ113" s="2579"/>
      <c r="HA113" s="2579"/>
      <c r="HB113" s="2579"/>
      <c r="HC113" s="2579"/>
      <c r="HD113" s="2579"/>
      <c r="HE113" s="2579"/>
      <c r="HF113" s="2579"/>
      <c r="HG113" s="2579"/>
      <c r="HH113" s="2579"/>
      <c r="HI113" s="2579"/>
    </row>
    <row r="114" spans="8:217" ht="4.1500000000000004" customHeight="1">
      <c r="J114" s="414"/>
      <c r="O114" s="414"/>
      <c r="T114" s="414"/>
      <c r="BB114" s="415"/>
      <c r="BG114" s="415"/>
      <c r="BL114" s="415"/>
      <c r="BY114" s="414"/>
      <c r="CF114" s="2579"/>
      <c r="CG114" s="2579"/>
      <c r="CH114" s="2579"/>
      <c r="CI114" s="2579"/>
      <c r="CJ114" s="2579"/>
      <c r="CK114" s="2579"/>
      <c r="CL114" s="2579"/>
      <c r="CM114" s="2579"/>
      <c r="CN114" s="2579"/>
      <c r="CO114" s="2579"/>
      <c r="CP114" s="2579"/>
      <c r="DP114" s="1401"/>
      <c r="DX114" s="414"/>
      <c r="EG114" s="415"/>
      <c r="FQ114" s="414"/>
      <c r="FZ114" s="415"/>
      <c r="GQ114" s="414"/>
      <c r="GY114" s="2579"/>
      <c r="GZ114" s="2579"/>
      <c r="HA114" s="2579"/>
      <c r="HB114" s="2579"/>
      <c r="HC114" s="2579"/>
      <c r="HD114" s="2579"/>
      <c r="HE114" s="2579"/>
      <c r="HF114" s="2579"/>
      <c r="HG114" s="2579"/>
      <c r="HH114" s="2579"/>
      <c r="HI114" s="2579"/>
    </row>
    <row r="115" spans="8:217" ht="4.1500000000000004" customHeight="1">
      <c r="J115" s="414"/>
      <c r="O115" s="453"/>
      <c r="T115" s="414"/>
      <c r="BB115" s="415"/>
      <c r="BG115" s="453"/>
      <c r="BL115" s="415"/>
      <c r="BY115" s="414"/>
      <c r="CK115" s="414"/>
      <c r="DX115" s="414"/>
      <c r="EG115" s="415"/>
      <c r="FQ115" s="414"/>
      <c r="FZ115" s="415"/>
      <c r="GQ115" s="414"/>
      <c r="HD115" s="414"/>
    </row>
    <row r="116" spans="8:217" ht="4.1500000000000004" customHeight="1">
      <c r="J116" s="414"/>
      <c r="O116" s="414"/>
      <c r="T116" s="414"/>
      <c r="BB116" s="415"/>
      <c r="BG116" s="415"/>
      <c r="BL116" s="415"/>
      <c r="BY116" s="414"/>
      <c r="CK116" s="414"/>
      <c r="DX116" s="414"/>
      <c r="EG116" s="415"/>
      <c r="FQ116" s="414"/>
      <c r="FZ116" s="415"/>
      <c r="GQ116" s="414"/>
      <c r="HD116" s="414"/>
    </row>
    <row r="117" spans="8:217" ht="4.1500000000000004" customHeight="1">
      <c r="J117" s="414"/>
      <c r="O117" s="414"/>
      <c r="T117" s="414"/>
      <c r="BB117" s="415"/>
      <c r="BG117" s="415"/>
      <c r="BL117" s="415"/>
      <c r="BY117" s="414"/>
      <c r="CK117" s="414"/>
      <c r="DX117" s="414"/>
      <c r="EG117" s="415"/>
      <c r="FQ117" s="414"/>
      <c r="FZ117" s="415"/>
      <c r="GQ117" s="414"/>
      <c r="HD117" s="414"/>
    </row>
    <row r="118" spans="8:217" ht="4.1500000000000004" customHeight="1">
      <c r="J118" s="414"/>
      <c r="O118" s="414"/>
      <c r="T118" s="414"/>
      <c r="BB118" s="415"/>
      <c r="BG118" s="415"/>
      <c r="BL118" s="415"/>
      <c r="BY118" s="414"/>
      <c r="CK118" s="414"/>
      <c r="DX118" s="414"/>
      <c r="EG118" s="415"/>
      <c r="FQ118" s="414"/>
      <c r="FZ118" s="415"/>
      <c r="GQ118" s="414"/>
      <c r="HD118" s="414"/>
    </row>
    <row r="119" spans="8:217" ht="4.1500000000000004" customHeight="1">
      <c r="J119" s="414"/>
      <c r="O119" s="414"/>
      <c r="T119" s="414"/>
      <c r="BB119" s="415"/>
      <c r="BG119" s="415"/>
      <c r="BL119" s="415"/>
      <c r="BY119" s="414"/>
      <c r="CK119" s="414"/>
      <c r="DX119" s="414"/>
      <c r="EG119" s="415"/>
      <c r="FQ119" s="414"/>
      <c r="FZ119" s="415"/>
      <c r="GQ119" s="414"/>
      <c r="HD119" s="414"/>
    </row>
    <row r="120" spans="8:217" ht="4.1500000000000004" customHeight="1">
      <c r="J120" s="414"/>
      <c r="O120" s="414"/>
      <c r="T120" s="414"/>
      <c r="BB120" s="415"/>
      <c r="BG120" s="415"/>
      <c r="BL120" s="415"/>
      <c r="BY120" s="414"/>
      <c r="CK120" s="414"/>
      <c r="DX120" s="414"/>
      <c r="EG120" s="415"/>
      <c r="FQ120" s="414"/>
      <c r="FZ120" s="415"/>
      <c r="GQ120" s="414"/>
      <c r="HD120" s="414"/>
    </row>
    <row r="121" spans="8:217" ht="4.1500000000000004" customHeight="1">
      <c r="J121" s="414"/>
      <c r="O121" s="414"/>
      <c r="T121" s="416"/>
      <c r="U121" s="417"/>
      <c r="V121" s="417"/>
      <c r="W121" s="417"/>
      <c r="X121" s="417"/>
      <c r="Y121" s="417"/>
      <c r="Z121" s="417"/>
      <c r="AA121" s="417"/>
      <c r="AB121" s="417"/>
      <c r="AC121" s="417"/>
      <c r="AD121" s="417"/>
      <c r="AE121" s="417"/>
      <c r="AF121" s="417"/>
      <c r="AG121" s="417"/>
      <c r="AH121" s="417"/>
      <c r="AI121" s="417"/>
      <c r="AJ121" s="417"/>
      <c r="AK121" s="417"/>
      <c r="AL121" s="417"/>
      <c r="AM121" s="417"/>
      <c r="AN121" s="417"/>
      <c r="AO121" s="417"/>
      <c r="AP121" s="417"/>
      <c r="AQ121" s="417"/>
      <c r="AR121" s="417"/>
      <c r="AS121" s="417"/>
      <c r="AT121" s="417"/>
      <c r="AU121" s="417"/>
      <c r="AV121" s="417"/>
      <c r="AW121" s="417"/>
      <c r="AX121" s="417"/>
      <c r="AY121" s="417"/>
      <c r="AZ121" s="417"/>
      <c r="BA121" s="417"/>
      <c r="BB121" s="418"/>
      <c r="BG121" s="415"/>
      <c r="BL121" s="415"/>
      <c r="BR121" s="417"/>
      <c r="BS121" s="417"/>
      <c r="BT121" s="417"/>
      <c r="BU121" s="417"/>
      <c r="BV121" s="417"/>
      <c r="BW121" s="417"/>
      <c r="BX121" s="417"/>
      <c r="BY121" s="416"/>
      <c r="BZ121" s="417"/>
      <c r="CA121" s="417"/>
      <c r="CB121" s="417"/>
      <c r="CC121" s="417"/>
      <c r="CD121" s="417"/>
      <c r="CE121" s="417"/>
      <c r="CK121" s="414"/>
      <c r="DX121" s="414"/>
      <c r="EG121" s="415"/>
      <c r="FQ121" s="414"/>
      <c r="FZ121" s="415"/>
      <c r="GQ121" s="414"/>
      <c r="HD121" s="414"/>
    </row>
    <row r="122" spans="8:217" ht="4.1500000000000004" customHeight="1">
      <c r="J122" s="414"/>
      <c r="O122" s="414"/>
      <c r="BG122" s="415"/>
      <c r="BL122" s="415"/>
      <c r="BR122" s="2587">
        <v>0.05</v>
      </c>
      <c r="BS122" s="2587"/>
      <c r="BT122" s="2587"/>
      <c r="BU122" s="2587"/>
      <c r="BV122" s="2587"/>
      <c r="BW122" s="2587"/>
      <c r="BX122" s="2587"/>
      <c r="BY122" s="2587"/>
      <c r="BZ122" s="2587"/>
      <c r="CA122" s="2587"/>
      <c r="CB122" s="2587"/>
      <c r="CC122" s="2587"/>
      <c r="CD122" s="2587"/>
      <c r="CE122" s="2587"/>
      <c r="CK122" s="414"/>
      <c r="DX122" s="414"/>
      <c r="EG122" s="415"/>
      <c r="EH122" s="414"/>
      <c r="FP122" s="415"/>
      <c r="FZ122" s="415"/>
      <c r="HD122" s="414"/>
    </row>
    <row r="123" spans="8:217" ht="4.1500000000000004" customHeight="1">
      <c r="J123" s="414"/>
      <c r="O123" s="414"/>
      <c r="BG123" s="415"/>
      <c r="BL123" s="415"/>
      <c r="BR123" s="2588"/>
      <c r="BS123" s="2588"/>
      <c r="BT123" s="2588"/>
      <c r="BU123" s="2588"/>
      <c r="BV123" s="2588"/>
      <c r="BW123" s="2588"/>
      <c r="BX123" s="2588"/>
      <c r="BY123" s="2588"/>
      <c r="BZ123" s="2588"/>
      <c r="CA123" s="2588"/>
      <c r="CB123" s="2588"/>
      <c r="CC123" s="2588"/>
      <c r="CD123" s="2588"/>
      <c r="CE123" s="2588"/>
      <c r="CK123" s="414"/>
      <c r="DX123" s="414"/>
      <c r="EG123" s="415"/>
      <c r="EH123" s="416"/>
      <c r="EI123" s="417"/>
      <c r="EJ123" s="417"/>
      <c r="EK123" s="417"/>
      <c r="EL123" s="417"/>
      <c r="EM123" s="417"/>
      <c r="EN123" s="417"/>
      <c r="EO123" s="417"/>
      <c r="EP123" s="417"/>
      <c r="EQ123" s="417"/>
      <c r="ER123" s="417"/>
      <c r="ES123" s="417"/>
      <c r="ET123" s="417"/>
      <c r="EU123" s="417"/>
      <c r="EV123" s="417"/>
      <c r="EW123" s="417"/>
      <c r="EX123" s="417"/>
      <c r="EY123" s="417"/>
      <c r="EZ123" s="417"/>
      <c r="FA123" s="417"/>
      <c r="FB123" s="417"/>
      <c r="FC123" s="417"/>
      <c r="FD123" s="417"/>
      <c r="FE123" s="417"/>
      <c r="FF123" s="417"/>
      <c r="FG123" s="417"/>
      <c r="FH123" s="417"/>
      <c r="FI123" s="417"/>
      <c r="FJ123" s="417"/>
      <c r="FK123" s="417"/>
      <c r="FL123" s="417"/>
      <c r="FM123" s="417"/>
      <c r="FN123" s="417"/>
      <c r="FO123" s="417"/>
      <c r="FP123" s="418"/>
      <c r="FZ123" s="415"/>
      <c r="GJ123" s="417"/>
      <c r="GK123" s="417"/>
      <c r="GL123" s="417"/>
      <c r="GM123" s="417"/>
      <c r="GN123" s="417"/>
      <c r="GO123" s="417"/>
      <c r="GP123" s="417"/>
      <c r="GQ123" s="417"/>
      <c r="GR123" s="417"/>
      <c r="GS123" s="417"/>
      <c r="GT123" s="417"/>
      <c r="GU123" s="417"/>
      <c r="GV123" s="417"/>
      <c r="GW123" s="417"/>
      <c r="HD123" s="414"/>
    </row>
    <row r="124" spans="8:217" ht="4.1500000000000004" customHeight="1">
      <c r="J124" s="414"/>
      <c r="O124" s="453"/>
      <c r="P124" s="417"/>
      <c r="Q124" s="417"/>
      <c r="R124" s="417"/>
      <c r="S124" s="417"/>
      <c r="T124" s="417"/>
      <c r="U124" s="417"/>
      <c r="V124" s="417"/>
      <c r="W124" s="453"/>
      <c r="X124" s="417"/>
      <c r="Y124" s="417"/>
      <c r="Z124" s="417"/>
      <c r="AA124" s="417"/>
      <c r="AB124" s="417"/>
      <c r="AC124" s="417"/>
      <c r="AD124" s="417"/>
      <c r="AE124" s="417"/>
      <c r="AF124" s="417"/>
      <c r="AG124" s="453"/>
      <c r="AH124" s="417"/>
      <c r="AI124" s="417"/>
      <c r="AJ124" s="417"/>
      <c r="AK124" s="417"/>
      <c r="AL124" s="417"/>
      <c r="AM124" s="417"/>
      <c r="AN124" s="417"/>
      <c r="AO124" s="417"/>
      <c r="AP124" s="453"/>
      <c r="AQ124" s="417"/>
      <c r="AR124" s="417"/>
      <c r="AS124" s="417"/>
      <c r="AT124" s="417"/>
      <c r="AU124" s="417"/>
      <c r="AV124" s="417"/>
      <c r="AW124" s="417"/>
      <c r="AX124" s="417"/>
      <c r="AY124" s="453"/>
      <c r="AZ124" s="417"/>
      <c r="BA124" s="417"/>
      <c r="BB124" s="417"/>
      <c r="BC124" s="417"/>
      <c r="BD124" s="417"/>
      <c r="BE124" s="417"/>
      <c r="BF124" s="417"/>
      <c r="BG124" s="453"/>
      <c r="BL124" s="415"/>
      <c r="BR124" s="2588"/>
      <c r="BS124" s="2588"/>
      <c r="BT124" s="2588"/>
      <c r="BU124" s="2588"/>
      <c r="BV124" s="2588"/>
      <c r="BW124" s="2588"/>
      <c r="BX124" s="2588"/>
      <c r="BY124" s="2588"/>
      <c r="BZ124" s="2588"/>
      <c r="CA124" s="2588"/>
      <c r="CB124" s="2588"/>
      <c r="CC124" s="2588"/>
      <c r="CD124" s="2588"/>
      <c r="CE124" s="2588"/>
      <c r="CK124" s="414"/>
      <c r="DW124" s="415"/>
      <c r="DX124" s="2581"/>
      <c r="DY124" s="2579"/>
      <c r="DZ124" s="2579"/>
      <c r="EA124" s="2579"/>
      <c r="EB124" s="2579"/>
      <c r="EC124" s="2579"/>
      <c r="ED124" s="2579"/>
      <c r="EE124" s="2579"/>
      <c r="EF124" s="2579"/>
      <c r="EG124" s="2669"/>
      <c r="FQ124" s="2581"/>
      <c r="FR124" s="2579"/>
      <c r="FS124" s="2579"/>
      <c r="FT124" s="2579"/>
      <c r="FU124" s="2579"/>
      <c r="FV124" s="2579"/>
      <c r="FW124" s="2579"/>
      <c r="FX124" s="2579"/>
      <c r="FY124" s="2579"/>
      <c r="FZ124" s="2669"/>
      <c r="GJ124" s="2587">
        <v>0.05</v>
      </c>
      <c r="GK124" s="2587"/>
      <c r="GL124" s="2587"/>
      <c r="GM124" s="2587"/>
      <c r="GN124" s="2587"/>
      <c r="GO124" s="2587"/>
      <c r="GP124" s="2587"/>
      <c r="GQ124" s="2587"/>
      <c r="GR124" s="2587"/>
      <c r="GS124" s="2587"/>
      <c r="GT124" s="2587"/>
      <c r="GU124" s="2587"/>
      <c r="GV124" s="2587"/>
      <c r="GW124" s="2587"/>
      <c r="HD124" s="414"/>
    </row>
    <row r="125" spans="8:217" ht="4.1500000000000004" customHeight="1">
      <c r="J125" s="414"/>
      <c r="BL125" s="415"/>
      <c r="BR125" s="2588"/>
      <c r="BS125" s="2588"/>
      <c r="BT125" s="2588"/>
      <c r="BU125" s="2588"/>
      <c r="BV125" s="2588"/>
      <c r="BW125" s="2588"/>
      <c r="BX125" s="2588"/>
      <c r="BY125" s="2588"/>
      <c r="BZ125" s="2588"/>
      <c r="CA125" s="2588"/>
      <c r="CB125" s="2588"/>
      <c r="CC125" s="2588"/>
      <c r="CD125" s="2588"/>
      <c r="CE125" s="2588"/>
      <c r="CK125" s="414"/>
      <c r="DW125" s="415"/>
      <c r="DX125" s="2670"/>
      <c r="DY125" s="2579"/>
      <c r="DZ125" s="2579"/>
      <c r="EA125" s="2579"/>
      <c r="EB125" s="2579"/>
      <c r="EC125" s="2579"/>
      <c r="ED125" s="2579"/>
      <c r="EE125" s="2579"/>
      <c r="EF125" s="2579"/>
      <c r="EG125" s="2669"/>
      <c r="FQ125" s="2670"/>
      <c r="FR125" s="2579"/>
      <c r="FS125" s="2579"/>
      <c r="FT125" s="2579"/>
      <c r="FU125" s="2579"/>
      <c r="FV125" s="2579"/>
      <c r="FW125" s="2579"/>
      <c r="FX125" s="2579"/>
      <c r="FY125" s="2579"/>
      <c r="FZ125" s="2669"/>
      <c r="GJ125" s="2588"/>
      <c r="GK125" s="2588"/>
      <c r="GL125" s="2588"/>
      <c r="GM125" s="2588"/>
      <c r="GN125" s="2588"/>
      <c r="GO125" s="2588"/>
      <c r="GP125" s="2588"/>
      <c r="GQ125" s="2588"/>
      <c r="GR125" s="2588"/>
      <c r="GS125" s="2588"/>
      <c r="GT125" s="2588"/>
      <c r="GU125" s="2588"/>
      <c r="GV125" s="2588"/>
      <c r="GW125" s="2588"/>
      <c r="HD125" s="414"/>
    </row>
    <row r="126" spans="8:217" ht="4.1500000000000004" customHeight="1">
      <c r="J126" s="414"/>
      <c r="BL126" s="415"/>
      <c r="BR126" s="2589"/>
      <c r="BS126" s="2589"/>
      <c r="BT126" s="2589"/>
      <c r="BU126" s="2589"/>
      <c r="BV126" s="2589"/>
      <c r="BW126" s="2589"/>
      <c r="BX126" s="2589"/>
      <c r="BY126" s="2589"/>
      <c r="BZ126" s="2589"/>
      <c r="CA126" s="2589"/>
      <c r="CB126" s="2589"/>
      <c r="CC126" s="2589"/>
      <c r="CD126" s="2589"/>
      <c r="CE126" s="2589"/>
      <c r="CK126" s="414"/>
      <c r="DV126" s="417"/>
      <c r="DW126" s="418"/>
      <c r="DX126" s="2671"/>
      <c r="DY126" s="2586"/>
      <c r="DZ126" s="2586"/>
      <c r="EA126" s="2586"/>
      <c r="EB126" s="2586"/>
      <c r="EC126" s="2586"/>
      <c r="ED126" s="2586"/>
      <c r="EE126" s="2586"/>
      <c r="EF126" s="2586"/>
      <c r="EG126" s="2672"/>
      <c r="FO126" s="417"/>
      <c r="FP126" s="417"/>
      <c r="FQ126" s="2671"/>
      <c r="FR126" s="2586"/>
      <c r="FS126" s="2586"/>
      <c r="FT126" s="2586"/>
      <c r="FU126" s="2586"/>
      <c r="FV126" s="2586"/>
      <c r="FW126" s="2586"/>
      <c r="FX126" s="2586"/>
      <c r="FY126" s="2586"/>
      <c r="FZ126" s="2672"/>
      <c r="GJ126" s="2589"/>
      <c r="GK126" s="2589"/>
      <c r="GL126" s="2589"/>
      <c r="GM126" s="2589"/>
      <c r="GN126" s="2589"/>
      <c r="GO126" s="2589"/>
      <c r="GP126" s="2589"/>
      <c r="GQ126" s="2589"/>
      <c r="GR126" s="2589"/>
      <c r="GS126" s="2589"/>
      <c r="GT126" s="2589"/>
      <c r="GU126" s="2589"/>
      <c r="GV126" s="2589"/>
      <c r="GW126" s="2589"/>
      <c r="HD126" s="414"/>
    </row>
    <row r="127" spans="8:217" ht="4.1500000000000004" customHeight="1">
      <c r="H127" s="411"/>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c r="AJ127" s="412"/>
      <c r="AK127" s="412"/>
      <c r="AL127" s="412"/>
      <c r="AM127" s="412"/>
      <c r="AN127" s="412"/>
      <c r="AO127" s="412"/>
      <c r="AP127" s="412"/>
      <c r="AQ127" s="412"/>
      <c r="AR127" s="412"/>
      <c r="AS127" s="412"/>
      <c r="AT127" s="412"/>
      <c r="AU127" s="412"/>
      <c r="AV127" s="412"/>
      <c r="AW127" s="412"/>
      <c r="AX127" s="412"/>
      <c r="AY127" s="412"/>
      <c r="AZ127" s="412"/>
      <c r="BA127" s="412"/>
      <c r="BB127" s="412"/>
      <c r="BC127" s="412"/>
      <c r="BD127" s="412"/>
      <c r="BE127" s="412"/>
      <c r="BF127" s="412"/>
      <c r="BG127" s="412"/>
      <c r="BH127" s="412"/>
      <c r="BI127" s="412"/>
      <c r="BJ127" s="412"/>
      <c r="BK127" s="412"/>
      <c r="BL127" s="412"/>
      <c r="BM127" s="412"/>
      <c r="BN127" s="413"/>
      <c r="BR127" s="2587">
        <v>0.1</v>
      </c>
      <c r="BS127" s="2587"/>
      <c r="BT127" s="2587"/>
      <c r="BU127" s="2587"/>
      <c r="BV127" s="2587"/>
      <c r="BW127" s="2587"/>
      <c r="BX127" s="2587"/>
      <c r="BY127" s="2587"/>
      <c r="BZ127" s="2587"/>
      <c r="CA127" s="2587"/>
      <c r="CB127" s="2587"/>
      <c r="CC127" s="2587"/>
      <c r="CD127" s="2587"/>
      <c r="CE127" s="2587"/>
      <c r="CK127" s="414"/>
      <c r="DU127" s="415"/>
      <c r="DX127" s="412"/>
      <c r="DY127" s="412"/>
      <c r="DZ127" s="412"/>
      <c r="EA127" s="412"/>
      <c r="EB127" s="412"/>
      <c r="EC127" s="412"/>
      <c r="ED127" s="412"/>
      <c r="EE127" s="412"/>
      <c r="EF127" s="412"/>
      <c r="EG127" s="412"/>
      <c r="EH127" s="412"/>
      <c r="EI127" s="412"/>
      <c r="EJ127" s="412"/>
      <c r="EK127" s="412"/>
      <c r="EL127" s="412"/>
      <c r="EM127" s="412"/>
      <c r="EN127" s="412"/>
      <c r="EO127" s="412"/>
      <c r="EP127" s="412"/>
      <c r="EQ127" s="412"/>
      <c r="ER127" s="412"/>
      <c r="ES127" s="412"/>
      <c r="ET127" s="412"/>
      <c r="EU127" s="412"/>
      <c r="EV127" s="412"/>
      <c r="EW127" s="412"/>
      <c r="EX127" s="412"/>
      <c r="EY127" s="412"/>
      <c r="EZ127" s="412"/>
      <c r="FA127" s="412"/>
      <c r="FB127" s="412"/>
      <c r="FC127" s="412"/>
      <c r="FD127" s="412"/>
      <c r="FE127" s="412"/>
      <c r="FF127" s="412"/>
      <c r="FG127" s="412"/>
      <c r="FH127" s="412"/>
      <c r="FI127" s="412"/>
      <c r="FJ127" s="412"/>
      <c r="FK127" s="412"/>
      <c r="FL127" s="412"/>
      <c r="FM127" s="412"/>
      <c r="FN127" s="412"/>
      <c r="FO127" s="412"/>
      <c r="FP127" s="412"/>
      <c r="FQ127" s="412"/>
      <c r="FR127" s="412"/>
      <c r="FS127" s="412"/>
      <c r="FT127" s="412"/>
      <c r="FU127" s="412"/>
      <c r="FV127" s="412"/>
      <c r="FW127" s="412"/>
      <c r="FX127" s="412"/>
      <c r="FY127" s="412"/>
      <c r="FZ127" s="412"/>
      <c r="GA127" s="412"/>
      <c r="GB127" s="412"/>
      <c r="GC127" s="414"/>
      <c r="GJ127" s="2583">
        <v>0.1</v>
      </c>
      <c r="GK127" s="2583"/>
      <c r="GL127" s="2583"/>
      <c r="GM127" s="2583"/>
      <c r="GN127" s="2583"/>
      <c r="GO127" s="2583"/>
      <c r="GP127" s="2583"/>
      <c r="GQ127" s="2583"/>
      <c r="GR127" s="2583"/>
      <c r="GS127" s="2583"/>
      <c r="GT127" s="2583"/>
      <c r="GU127" s="2583"/>
      <c r="GV127" s="2583"/>
      <c r="GW127" s="2583"/>
      <c r="HD127" s="414"/>
    </row>
    <row r="128" spans="8:217" ht="4.1500000000000004" customHeight="1">
      <c r="H128" s="414"/>
      <c r="BN128" s="415"/>
      <c r="BR128" s="2588"/>
      <c r="BS128" s="2588"/>
      <c r="BT128" s="2588"/>
      <c r="BU128" s="2588"/>
      <c r="BV128" s="2588"/>
      <c r="BW128" s="2588"/>
      <c r="BX128" s="2588"/>
      <c r="BY128" s="2588"/>
      <c r="BZ128" s="2588"/>
      <c r="CA128" s="2588"/>
      <c r="CB128" s="2588"/>
      <c r="CC128" s="2588"/>
      <c r="CD128" s="2588"/>
      <c r="CE128" s="2588"/>
      <c r="CK128" s="414"/>
      <c r="DU128" s="415"/>
      <c r="GC128" s="414"/>
      <c r="GJ128" s="2580"/>
      <c r="GK128" s="2580"/>
      <c r="GL128" s="2580"/>
      <c r="GM128" s="2580"/>
      <c r="GN128" s="2580"/>
      <c r="GO128" s="2580"/>
      <c r="GP128" s="2580"/>
      <c r="GQ128" s="2580"/>
      <c r="GR128" s="2580"/>
      <c r="GS128" s="2580"/>
      <c r="GT128" s="2580"/>
      <c r="GU128" s="2580"/>
      <c r="GV128" s="2580"/>
      <c r="GW128" s="2580"/>
      <c r="HD128" s="414"/>
    </row>
    <row r="129" spans="8:217" ht="4.1500000000000004" customHeight="1">
      <c r="H129" s="414"/>
      <c r="BN129" s="415"/>
      <c r="BR129" s="2588"/>
      <c r="BS129" s="2588"/>
      <c r="BT129" s="2588"/>
      <c r="BU129" s="2588"/>
      <c r="BV129" s="2588"/>
      <c r="BW129" s="2588"/>
      <c r="BX129" s="2588"/>
      <c r="BY129" s="2588"/>
      <c r="BZ129" s="2588"/>
      <c r="CA129" s="2588"/>
      <c r="CB129" s="2588"/>
      <c r="CC129" s="2588"/>
      <c r="CD129" s="2588"/>
      <c r="CE129" s="2588"/>
      <c r="CK129" s="414"/>
      <c r="DU129" s="415"/>
      <c r="GC129" s="414"/>
      <c r="GJ129" s="2580"/>
      <c r="GK129" s="2580"/>
      <c r="GL129" s="2580"/>
      <c r="GM129" s="2580"/>
      <c r="GN129" s="2580"/>
      <c r="GO129" s="2580"/>
      <c r="GP129" s="2580"/>
      <c r="GQ129" s="2580"/>
      <c r="GR129" s="2580"/>
      <c r="GS129" s="2580"/>
      <c r="GT129" s="2580"/>
      <c r="GU129" s="2580"/>
      <c r="GV129" s="2580"/>
      <c r="GW129" s="2580"/>
      <c r="HD129" s="414"/>
    </row>
    <row r="130" spans="8:217" ht="4.1500000000000004" customHeight="1">
      <c r="H130" s="416"/>
      <c r="I130" s="417"/>
      <c r="J130" s="417"/>
      <c r="K130" s="417"/>
      <c r="L130" s="417"/>
      <c r="M130" s="417"/>
      <c r="N130" s="417"/>
      <c r="O130" s="417"/>
      <c r="P130" s="417"/>
      <c r="Q130" s="417"/>
      <c r="R130" s="417"/>
      <c r="S130" s="417"/>
      <c r="T130" s="417"/>
      <c r="U130" s="417"/>
      <c r="V130" s="417"/>
      <c r="W130" s="417"/>
      <c r="X130" s="417"/>
      <c r="Y130" s="417"/>
      <c r="Z130" s="417"/>
      <c r="AA130" s="417"/>
      <c r="AB130" s="417"/>
      <c r="AC130" s="417"/>
      <c r="AD130" s="417"/>
      <c r="AE130" s="417"/>
      <c r="AF130" s="417"/>
      <c r="AG130" s="417"/>
      <c r="AH130" s="417"/>
      <c r="AI130" s="417"/>
      <c r="AJ130" s="417"/>
      <c r="AK130" s="417"/>
      <c r="AL130" s="417"/>
      <c r="AM130" s="417"/>
      <c r="AN130" s="417"/>
      <c r="AO130" s="417"/>
      <c r="AP130" s="417"/>
      <c r="AQ130" s="417"/>
      <c r="AR130" s="417"/>
      <c r="AS130" s="417"/>
      <c r="AT130" s="417"/>
      <c r="AU130" s="417"/>
      <c r="AV130" s="417"/>
      <c r="AW130" s="417"/>
      <c r="AX130" s="417"/>
      <c r="AY130" s="417"/>
      <c r="AZ130" s="417"/>
      <c r="BA130" s="417"/>
      <c r="BB130" s="417"/>
      <c r="BC130" s="417"/>
      <c r="BD130" s="417"/>
      <c r="BE130" s="417"/>
      <c r="BF130" s="417"/>
      <c r="BG130" s="417"/>
      <c r="BH130" s="417"/>
      <c r="BI130" s="417"/>
      <c r="BJ130" s="417"/>
      <c r="BK130" s="417"/>
      <c r="BL130" s="417"/>
      <c r="BM130" s="417"/>
      <c r="BN130" s="418"/>
      <c r="BR130" s="2589"/>
      <c r="BS130" s="2589"/>
      <c r="BT130" s="2589"/>
      <c r="BU130" s="2589"/>
      <c r="BV130" s="2589"/>
      <c r="BW130" s="2589"/>
      <c r="BX130" s="2589"/>
      <c r="BY130" s="2589"/>
      <c r="BZ130" s="2589"/>
      <c r="CA130" s="2589"/>
      <c r="CB130" s="2589"/>
      <c r="CC130" s="2589"/>
      <c r="CD130" s="2589"/>
      <c r="CE130" s="2589"/>
      <c r="CK130" s="414"/>
      <c r="DU130" s="415"/>
      <c r="DV130" s="417"/>
      <c r="DW130" s="417"/>
      <c r="DX130" s="417"/>
      <c r="DY130" s="417"/>
      <c r="DZ130" s="417"/>
      <c r="EA130" s="417"/>
      <c r="EB130" s="417"/>
      <c r="EC130" s="417"/>
      <c r="ED130" s="417"/>
      <c r="EE130" s="417"/>
      <c r="EF130" s="417"/>
      <c r="EG130" s="417"/>
      <c r="EH130" s="417"/>
      <c r="EI130" s="417"/>
      <c r="EJ130" s="417"/>
      <c r="EK130" s="417"/>
      <c r="EL130" s="417"/>
      <c r="EM130" s="417"/>
      <c r="EN130" s="417"/>
      <c r="EO130" s="417"/>
      <c r="EP130" s="417"/>
      <c r="EQ130" s="417"/>
      <c r="ER130" s="417"/>
      <c r="ES130" s="417"/>
      <c r="ET130" s="417"/>
      <c r="EU130" s="417"/>
      <c r="EV130" s="417"/>
      <c r="EW130" s="417"/>
      <c r="EX130" s="417"/>
      <c r="EY130" s="417"/>
      <c r="EZ130" s="417"/>
      <c r="FA130" s="417"/>
      <c r="FB130" s="417"/>
      <c r="FC130" s="417"/>
      <c r="FD130" s="417"/>
      <c r="FE130" s="417"/>
      <c r="FF130" s="417"/>
      <c r="FG130" s="417"/>
      <c r="FH130" s="417"/>
      <c r="FI130" s="417"/>
      <c r="FJ130" s="417"/>
      <c r="FK130" s="417"/>
      <c r="FL130" s="417"/>
      <c r="FM130" s="417"/>
      <c r="FN130" s="417"/>
      <c r="FO130" s="417"/>
      <c r="FP130" s="417"/>
      <c r="FQ130" s="417"/>
      <c r="FR130" s="417"/>
      <c r="FS130" s="417"/>
      <c r="FT130" s="417"/>
      <c r="FU130" s="417"/>
      <c r="FV130" s="417"/>
      <c r="FW130" s="417"/>
      <c r="FX130" s="417"/>
      <c r="FY130" s="417"/>
      <c r="FZ130" s="417"/>
      <c r="GA130" s="417"/>
      <c r="GB130" s="417"/>
      <c r="GC130" s="414"/>
      <c r="GJ130" s="2584"/>
      <c r="GK130" s="2584"/>
      <c r="GL130" s="2584"/>
      <c r="GM130" s="2584"/>
      <c r="GN130" s="2584"/>
      <c r="GO130" s="2584"/>
      <c r="GP130" s="2584"/>
      <c r="GQ130" s="2584"/>
      <c r="GR130" s="2584"/>
      <c r="GS130" s="2584"/>
      <c r="GT130" s="2584"/>
      <c r="GU130" s="2584"/>
      <c r="GV130" s="2584"/>
      <c r="GW130" s="2584"/>
      <c r="HD130" s="414"/>
    </row>
    <row r="131" spans="8:217" ht="4.1500000000000004" customHeight="1">
      <c r="H131" s="411"/>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c r="AJ131" s="412"/>
      <c r="AK131" s="412"/>
      <c r="AL131" s="412"/>
      <c r="AM131" s="412"/>
      <c r="AN131" s="412"/>
      <c r="AO131" s="412"/>
      <c r="AP131" s="412"/>
      <c r="AQ131" s="412"/>
      <c r="AR131" s="412"/>
      <c r="AS131" s="412"/>
      <c r="AT131" s="412"/>
      <c r="AU131" s="412"/>
      <c r="AV131" s="412"/>
      <c r="AW131" s="412"/>
      <c r="AX131" s="412"/>
      <c r="AY131" s="412"/>
      <c r="AZ131" s="412"/>
      <c r="BA131" s="412"/>
      <c r="BB131" s="412"/>
      <c r="BC131" s="412"/>
      <c r="BD131" s="412"/>
      <c r="BE131" s="412"/>
      <c r="BF131" s="412"/>
      <c r="BG131" s="412"/>
      <c r="BH131" s="412"/>
      <c r="BI131" s="412"/>
      <c r="BJ131" s="412"/>
      <c r="BK131" s="412"/>
      <c r="BL131" s="412"/>
      <c r="BM131" s="412"/>
      <c r="BN131" s="413"/>
      <c r="BR131" s="2587">
        <v>0.15</v>
      </c>
      <c r="BS131" s="2587"/>
      <c r="BT131" s="2587"/>
      <c r="BU131" s="2587"/>
      <c r="BV131" s="2587"/>
      <c r="BW131" s="2587"/>
      <c r="BX131" s="2587"/>
      <c r="BY131" s="2587"/>
      <c r="BZ131" s="2587"/>
      <c r="CA131" s="2587"/>
      <c r="CB131" s="2587"/>
      <c r="CC131" s="2587"/>
      <c r="CD131" s="2587"/>
      <c r="CE131" s="2587"/>
      <c r="CK131" s="414"/>
      <c r="DU131" s="415"/>
      <c r="DV131" s="412"/>
      <c r="DW131" s="412"/>
      <c r="DX131" s="412"/>
      <c r="DY131" s="412"/>
      <c r="DZ131" s="412"/>
      <c r="EA131" s="412"/>
      <c r="EB131" s="412"/>
      <c r="EC131" s="412"/>
      <c r="ED131" s="412"/>
      <c r="EE131" s="412"/>
      <c r="EF131" s="412"/>
      <c r="EG131" s="412"/>
      <c r="EH131" s="412"/>
      <c r="EI131" s="412"/>
      <c r="EJ131" s="412"/>
      <c r="EK131" s="412"/>
      <c r="EL131" s="412"/>
      <c r="EM131" s="412"/>
      <c r="EN131" s="412"/>
      <c r="EO131" s="412"/>
      <c r="EP131" s="412"/>
      <c r="EQ131" s="412"/>
      <c r="ER131" s="412"/>
      <c r="ES131" s="412"/>
      <c r="ET131" s="412"/>
      <c r="EU131" s="412"/>
      <c r="EV131" s="412"/>
      <c r="EW131" s="412"/>
      <c r="EX131" s="412"/>
      <c r="EY131" s="412"/>
      <c r="EZ131" s="412"/>
      <c r="FA131" s="412"/>
      <c r="FB131" s="412"/>
      <c r="FC131" s="412"/>
      <c r="FD131" s="412"/>
      <c r="FE131" s="412"/>
      <c r="FF131" s="412"/>
      <c r="FG131" s="412"/>
      <c r="FH131" s="412"/>
      <c r="FI131" s="412"/>
      <c r="FJ131" s="412"/>
      <c r="FK131" s="412"/>
      <c r="FL131" s="412"/>
      <c r="FM131" s="412"/>
      <c r="FN131" s="412"/>
      <c r="FO131" s="412"/>
      <c r="FP131" s="412"/>
      <c r="FQ131" s="412"/>
      <c r="FR131" s="412"/>
      <c r="FS131" s="412"/>
      <c r="FT131" s="412"/>
      <c r="FU131" s="412"/>
      <c r="FV131" s="412"/>
      <c r="FW131" s="412"/>
      <c r="FX131" s="412"/>
      <c r="FY131" s="412"/>
      <c r="FZ131" s="412"/>
      <c r="GA131" s="412"/>
      <c r="GB131" s="412"/>
      <c r="GC131" s="414"/>
      <c r="GJ131" s="2583">
        <v>0.15</v>
      </c>
      <c r="GK131" s="2583"/>
      <c r="GL131" s="2583"/>
      <c r="GM131" s="2583"/>
      <c r="GN131" s="2583"/>
      <c r="GO131" s="2583"/>
      <c r="GP131" s="2583"/>
      <c r="GQ131" s="2583"/>
      <c r="GR131" s="2583"/>
      <c r="GS131" s="2583"/>
      <c r="GT131" s="2583"/>
      <c r="GU131" s="2583"/>
      <c r="GV131" s="2583"/>
      <c r="GW131" s="2583"/>
      <c r="HD131" s="414"/>
    </row>
    <row r="132" spans="8:217" ht="4.1500000000000004" customHeight="1">
      <c r="H132" s="414"/>
      <c r="BN132" s="415"/>
      <c r="BR132" s="2588"/>
      <c r="BS132" s="2588"/>
      <c r="BT132" s="2588"/>
      <c r="BU132" s="2588"/>
      <c r="BV132" s="2588"/>
      <c r="BW132" s="2588"/>
      <c r="BX132" s="2588"/>
      <c r="BY132" s="2588"/>
      <c r="BZ132" s="2588"/>
      <c r="CA132" s="2588"/>
      <c r="CB132" s="2588"/>
      <c r="CC132" s="2588"/>
      <c r="CD132" s="2588"/>
      <c r="CE132" s="2588"/>
      <c r="CK132" s="414"/>
      <c r="DU132" s="415"/>
      <c r="GC132" s="414"/>
      <c r="GJ132" s="2580"/>
      <c r="GK132" s="2580"/>
      <c r="GL132" s="2580"/>
      <c r="GM132" s="2580"/>
      <c r="GN132" s="2580"/>
      <c r="GO132" s="2580"/>
      <c r="GP132" s="2580"/>
      <c r="GQ132" s="2580"/>
      <c r="GR132" s="2580"/>
      <c r="GS132" s="2580"/>
      <c r="GT132" s="2580"/>
      <c r="GU132" s="2580"/>
      <c r="GV132" s="2580"/>
      <c r="GW132" s="2580"/>
      <c r="HD132" s="414"/>
    </row>
    <row r="133" spans="8:217" ht="4.1500000000000004" customHeight="1">
      <c r="H133" s="414"/>
      <c r="BN133" s="415"/>
      <c r="BR133" s="2588"/>
      <c r="BS133" s="2588"/>
      <c r="BT133" s="2588"/>
      <c r="BU133" s="2588"/>
      <c r="BV133" s="2588"/>
      <c r="BW133" s="2588"/>
      <c r="BX133" s="2588"/>
      <c r="BY133" s="2588"/>
      <c r="BZ133" s="2588"/>
      <c r="CA133" s="2588"/>
      <c r="CB133" s="2588"/>
      <c r="CC133" s="2588"/>
      <c r="CD133" s="2588"/>
      <c r="CE133" s="2588"/>
      <c r="CK133" s="414"/>
      <c r="DU133" s="415"/>
      <c r="GC133" s="414"/>
      <c r="GJ133" s="2580"/>
      <c r="GK133" s="2580"/>
      <c r="GL133" s="2580"/>
      <c r="GM133" s="2580"/>
      <c r="GN133" s="2580"/>
      <c r="GO133" s="2580"/>
      <c r="GP133" s="2580"/>
      <c r="GQ133" s="2580"/>
      <c r="GR133" s="2580"/>
      <c r="GS133" s="2580"/>
      <c r="GT133" s="2580"/>
      <c r="GU133" s="2580"/>
      <c r="GV133" s="2580"/>
      <c r="GW133" s="2580"/>
      <c r="HD133" s="414"/>
    </row>
    <row r="134" spans="8:217" ht="4.1500000000000004" customHeight="1">
      <c r="H134" s="416"/>
      <c r="I134" s="417"/>
      <c r="J134" s="417"/>
      <c r="K134" s="417"/>
      <c r="L134" s="417"/>
      <c r="M134" s="417"/>
      <c r="N134" s="417"/>
      <c r="O134" s="417"/>
      <c r="P134" s="417"/>
      <c r="Q134" s="417"/>
      <c r="R134" s="417"/>
      <c r="S134" s="417"/>
      <c r="T134" s="417"/>
      <c r="U134" s="417"/>
      <c r="V134" s="417"/>
      <c r="W134" s="417"/>
      <c r="X134" s="417"/>
      <c r="Y134" s="417"/>
      <c r="Z134" s="417"/>
      <c r="AA134" s="417"/>
      <c r="AB134" s="417"/>
      <c r="AC134" s="417"/>
      <c r="AD134" s="417"/>
      <c r="AE134" s="417"/>
      <c r="AF134" s="417"/>
      <c r="AG134" s="417"/>
      <c r="AH134" s="417"/>
      <c r="AI134" s="417"/>
      <c r="AJ134" s="417"/>
      <c r="AK134" s="417"/>
      <c r="AL134" s="417"/>
      <c r="AM134" s="417"/>
      <c r="AN134" s="417"/>
      <c r="AO134" s="417"/>
      <c r="AP134" s="417"/>
      <c r="AQ134" s="417"/>
      <c r="AR134" s="417"/>
      <c r="AS134" s="417"/>
      <c r="AT134" s="417"/>
      <c r="AU134" s="417"/>
      <c r="AV134" s="417"/>
      <c r="AW134" s="417"/>
      <c r="AX134" s="417"/>
      <c r="AY134" s="417"/>
      <c r="AZ134" s="417"/>
      <c r="BA134" s="417"/>
      <c r="BB134" s="417"/>
      <c r="BC134" s="417"/>
      <c r="BD134" s="417"/>
      <c r="BE134" s="417"/>
      <c r="BF134" s="417"/>
      <c r="BG134" s="417"/>
      <c r="BH134" s="417"/>
      <c r="BI134" s="417"/>
      <c r="BJ134" s="417"/>
      <c r="BK134" s="417"/>
      <c r="BL134" s="417"/>
      <c r="BM134" s="417"/>
      <c r="BN134" s="418"/>
      <c r="BR134" s="2589"/>
      <c r="BS134" s="2589"/>
      <c r="BT134" s="2589"/>
      <c r="BU134" s="2589"/>
      <c r="BV134" s="2589"/>
      <c r="BW134" s="2589"/>
      <c r="BX134" s="2589"/>
      <c r="BY134" s="2589"/>
      <c r="BZ134" s="2589"/>
      <c r="CA134" s="2589"/>
      <c r="CB134" s="2589"/>
      <c r="CC134" s="2589"/>
      <c r="CD134" s="2589"/>
      <c r="CE134" s="2589"/>
      <c r="CG134" s="417"/>
      <c r="CH134" s="417"/>
      <c r="CI134" s="417"/>
      <c r="CJ134" s="417"/>
      <c r="CK134" s="416"/>
      <c r="CL134" s="417"/>
      <c r="CM134" s="417"/>
      <c r="CN134" s="417"/>
      <c r="CO134" s="417"/>
      <c r="CP134" s="417"/>
      <c r="DU134" s="415"/>
      <c r="DV134" s="417"/>
      <c r="DW134" s="417"/>
      <c r="DX134" s="417"/>
      <c r="DY134" s="417"/>
      <c r="DZ134" s="417"/>
      <c r="EA134" s="417"/>
      <c r="EB134" s="417"/>
      <c r="EC134" s="417"/>
      <c r="ED134" s="417"/>
      <c r="EE134" s="417"/>
      <c r="EF134" s="417"/>
      <c r="EG134" s="417"/>
      <c r="EH134" s="417"/>
      <c r="EI134" s="417"/>
      <c r="EJ134" s="417"/>
      <c r="EK134" s="417"/>
      <c r="EL134" s="417"/>
      <c r="EM134" s="417"/>
      <c r="EN134" s="417"/>
      <c r="EO134" s="417"/>
      <c r="EP134" s="417"/>
      <c r="EQ134" s="417"/>
      <c r="ER134" s="417"/>
      <c r="ES134" s="417"/>
      <c r="ET134" s="417"/>
      <c r="EU134" s="417"/>
      <c r="EV134" s="417"/>
      <c r="EW134" s="417"/>
      <c r="EX134" s="417"/>
      <c r="EY134" s="417"/>
      <c r="EZ134" s="417"/>
      <c r="FA134" s="417"/>
      <c r="FB134" s="417"/>
      <c r="FC134" s="417"/>
      <c r="FD134" s="417"/>
      <c r="FE134" s="417"/>
      <c r="FF134" s="417"/>
      <c r="FG134" s="417"/>
      <c r="FH134" s="417"/>
      <c r="FI134" s="417"/>
      <c r="FJ134" s="417"/>
      <c r="FK134" s="417"/>
      <c r="FL134" s="417"/>
      <c r="FM134" s="417"/>
      <c r="FN134" s="417"/>
      <c r="FO134" s="417"/>
      <c r="FP134" s="417"/>
      <c r="FQ134" s="417"/>
      <c r="FR134" s="417"/>
      <c r="FS134" s="417"/>
      <c r="FT134" s="417"/>
      <c r="FU134" s="417"/>
      <c r="FV134" s="417"/>
      <c r="FW134" s="417"/>
      <c r="FX134" s="417"/>
      <c r="FY134" s="417"/>
      <c r="FZ134" s="417"/>
      <c r="GA134" s="417"/>
      <c r="GB134" s="417"/>
      <c r="GC134" s="414"/>
      <c r="GJ134" s="2584"/>
      <c r="GK134" s="2584"/>
      <c r="GL134" s="2584"/>
      <c r="GM134" s="2584"/>
      <c r="GN134" s="2584"/>
      <c r="GO134" s="2584"/>
      <c r="GP134" s="2584"/>
      <c r="GQ134" s="2584"/>
      <c r="GR134" s="2584"/>
      <c r="GS134" s="2584"/>
      <c r="GT134" s="2584"/>
      <c r="GU134" s="2584"/>
      <c r="GV134" s="2584"/>
      <c r="GW134" s="2584"/>
      <c r="GZ134" s="417"/>
      <c r="HA134" s="417"/>
      <c r="HB134" s="417"/>
      <c r="HC134" s="417"/>
      <c r="HD134" s="416"/>
      <c r="HE134" s="417"/>
      <c r="HF134" s="417"/>
      <c r="HG134" s="417"/>
      <c r="HH134" s="417"/>
      <c r="HI134" s="417"/>
    </row>
    <row r="137" spans="8:217" ht="4.1500000000000004" customHeight="1">
      <c r="H137" s="414"/>
      <c r="AF137" s="2580">
        <f>AD82+0.15</f>
        <v>0.9</v>
      </c>
      <c r="AG137" s="2580"/>
      <c r="AH137" s="2580"/>
      <c r="AI137" s="2580"/>
      <c r="AJ137" s="2580"/>
      <c r="AK137" s="2580"/>
      <c r="AL137" s="2580"/>
      <c r="AM137" s="2580"/>
      <c r="AN137" s="2580"/>
      <c r="AO137" s="2580"/>
      <c r="AP137" s="2580"/>
      <c r="AQ137" s="2580"/>
      <c r="AR137" s="2580"/>
      <c r="BN137" s="415"/>
      <c r="DV137" s="414"/>
      <c r="EU137" s="2580">
        <f>ER82+0.15</f>
        <v>1.0999999999999999</v>
      </c>
      <c r="EV137" s="2580"/>
      <c r="EW137" s="2580"/>
      <c r="EX137" s="2580"/>
      <c r="EY137" s="2580"/>
      <c r="EZ137" s="2580"/>
      <c r="FA137" s="2580"/>
      <c r="FB137" s="2580"/>
      <c r="FC137" s="2580"/>
      <c r="FD137" s="2580"/>
      <c r="FE137" s="2580"/>
      <c r="FF137" s="2580"/>
      <c r="FG137" s="2580"/>
      <c r="GB137" s="415"/>
    </row>
    <row r="138" spans="8:217" ht="4.1500000000000004" customHeight="1">
      <c r="H138" s="416"/>
      <c r="I138" s="417"/>
      <c r="J138" s="417"/>
      <c r="K138" s="417"/>
      <c r="L138" s="417"/>
      <c r="M138" s="417"/>
      <c r="N138" s="417"/>
      <c r="O138" s="417"/>
      <c r="P138" s="417"/>
      <c r="Q138" s="417"/>
      <c r="R138" s="417"/>
      <c r="S138" s="417"/>
      <c r="T138" s="417"/>
      <c r="U138" s="417"/>
      <c r="V138" s="417"/>
      <c r="W138" s="417"/>
      <c r="X138" s="417"/>
      <c r="Y138" s="417"/>
      <c r="Z138" s="417"/>
      <c r="AA138" s="417"/>
      <c r="AB138" s="417"/>
      <c r="AC138" s="417"/>
      <c r="AD138" s="417"/>
      <c r="AE138" s="417"/>
      <c r="AF138" s="2580"/>
      <c r="AG138" s="2580"/>
      <c r="AH138" s="2580"/>
      <c r="AI138" s="2580"/>
      <c r="AJ138" s="2580"/>
      <c r="AK138" s="2580"/>
      <c r="AL138" s="2580"/>
      <c r="AM138" s="2580"/>
      <c r="AN138" s="2580"/>
      <c r="AO138" s="2580"/>
      <c r="AP138" s="2580"/>
      <c r="AQ138" s="2580"/>
      <c r="AR138" s="2580"/>
      <c r="AS138" s="417"/>
      <c r="AT138" s="417"/>
      <c r="AU138" s="417"/>
      <c r="AV138" s="417"/>
      <c r="AW138" s="417"/>
      <c r="AX138" s="417"/>
      <c r="AY138" s="417"/>
      <c r="AZ138" s="417"/>
      <c r="BA138" s="417"/>
      <c r="BB138" s="417"/>
      <c r="BC138" s="417"/>
      <c r="BD138" s="417"/>
      <c r="BE138" s="417"/>
      <c r="BF138" s="417"/>
      <c r="BG138" s="417"/>
      <c r="BH138" s="417"/>
      <c r="BI138" s="417"/>
      <c r="BJ138" s="417"/>
      <c r="BK138" s="417"/>
      <c r="BL138" s="417"/>
      <c r="BM138" s="417"/>
      <c r="BN138" s="418"/>
      <c r="DV138" s="416"/>
      <c r="DW138" s="417"/>
      <c r="DX138" s="417"/>
      <c r="DY138" s="417"/>
      <c r="DZ138" s="417"/>
      <c r="EA138" s="417"/>
      <c r="EB138" s="417"/>
      <c r="EC138" s="417"/>
      <c r="ED138" s="417"/>
      <c r="EE138" s="417"/>
      <c r="EF138" s="417"/>
      <c r="EG138" s="417"/>
      <c r="EH138" s="417"/>
      <c r="EI138" s="417"/>
      <c r="EJ138" s="417"/>
      <c r="EK138" s="417"/>
      <c r="EL138" s="417"/>
      <c r="EM138" s="417"/>
      <c r="EN138" s="417"/>
      <c r="EO138" s="417"/>
      <c r="EP138" s="417"/>
      <c r="EQ138" s="417"/>
      <c r="ER138" s="417"/>
      <c r="ES138" s="417"/>
      <c r="ET138" s="417"/>
      <c r="EU138" s="2580"/>
      <c r="EV138" s="2580"/>
      <c r="EW138" s="2580"/>
      <c r="EX138" s="2580"/>
      <c r="EY138" s="2580"/>
      <c r="EZ138" s="2580"/>
      <c r="FA138" s="2580"/>
      <c r="FB138" s="2580"/>
      <c r="FC138" s="2580"/>
      <c r="FD138" s="2580"/>
      <c r="FE138" s="2580"/>
      <c r="FF138" s="2580"/>
      <c r="FG138" s="2580"/>
      <c r="FH138" s="417"/>
      <c r="FI138" s="417"/>
      <c r="FJ138" s="417"/>
      <c r="FK138" s="417"/>
      <c r="FL138" s="417"/>
      <c r="FM138" s="417"/>
      <c r="FN138" s="417"/>
      <c r="FO138" s="417"/>
      <c r="FP138" s="417"/>
      <c r="FQ138" s="417"/>
      <c r="FR138" s="417"/>
      <c r="FS138" s="417"/>
      <c r="FT138" s="417"/>
      <c r="FU138" s="417"/>
      <c r="FV138" s="417"/>
      <c r="FW138" s="417"/>
      <c r="FX138" s="417"/>
      <c r="FY138" s="417"/>
      <c r="FZ138" s="417"/>
      <c r="GA138" s="417"/>
      <c r="GB138" s="418"/>
    </row>
    <row r="139" spans="8:217" ht="4.1500000000000004" customHeight="1">
      <c r="H139" s="414"/>
      <c r="AF139" s="2580"/>
      <c r="AG139" s="2580"/>
      <c r="AH139" s="2580"/>
      <c r="AI139" s="2580"/>
      <c r="AJ139" s="2580"/>
      <c r="AK139" s="2580"/>
      <c r="AL139" s="2580"/>
      <c r="AM139" s="2580"/>
      <c r="AN139" s="2580"/>
      <c r="AO139" s="2580"/>
      <c r="AP139" s="2580"/>
      <c r="AQ139" s="2580"/>
      <c r="AR139" s="2580"/>
      <c r="BN139" s="415"/>
      <c r="DV139" s="414"/>
      <c r="EU139" s="2580"/>
      <c r="EV139" s="2580"/>
      <c r="EW139" s="2580"/>
      <c r="EX139" s="2580"/>
      <c r="EY139" s="2580"/>
      <c r="EZ139" s="2580"/>
      <c r="FA139" s="2580"/>
      <c r="FB139" s="2580"/>
      <c r="FC139" s="2580"/>
      <c r="FD139" s="2580"/>
      <c r="FE139" s="2580"/>
      <c r="FF139" s="2580"/>
      <c r="FG139" s="2580"/>
      <c r="GB139" s="415"/>
    </row>
    <row r="140" spans="8:217" ht="4.1500000000000004" customHeight="1">
      <c r="H140" s="414"/>
      <c r="AF140" s="2580"/>
      <c r="AG140" s="2580"/>
      <c r="AH140" s="2580"/>
      <c r="AI140" s="2580"/>
      <c r="AJ140" s="2580"/>
      <c r="AK140" s="2580"/>
      <c r="AL140" s="2580"/>
      <c r="AM140" s="2580"/>
      <c r="AN140" s="2580"/>
      <c r="AO140" s="2580"/>
      <c r="AP140" s="2580"/>
      <c r="AQ140" s="2580"/>
      <c r="AR140" s="2580"/>
      <c r="BN140" s="415"/>
      <c r="DV140" s="414"/>
      <c r="EU140" s="2580"/>
      <c r="EV140" s="2580"/>
      <c r="EW140" s="2580"/>
      <c r="EX140" s="2580"/>
      <c r="EY140" s="2580"/>
      <c r="EZ140" s="2580"/>
      <c r="FA140" s="2580"/>
      <c r="FB140" s="2580"/>
      <c r="FC140" s="2580"/>
      <c r="FD140" s="2580"/>
      <c r="FE140" s="2580"/>
      <c r="FF140" s="2580"/>
      <c r="FG140" s="2580"/>
      <c r="GB140" s="415"/>
    </row>
    <row r="143" spans="8:217" ht="4.1500000000000004" customHeight="1">
      <c r="J143" s="2579" t="s">
        <v>3410</v>
      </c>
      <c r="K143" s="2579"/>
      <c r="L143" s="2579"/>
      <c r="M143" s="2579"/>
      <c r="N143" s="2579"/>
      <c r="O143" s="2579"/>
      <c r="P143" s="2579"/>
      <c r="Q143" s="2579"/>
      <c r="R143" s="2579"/>
      <c r="S143" s="2579"/>
      <c r="T143" s="2579"/>
      <c r="U143" s="2579"/>
      <c r="V143" s="2579"/>
      <c r="W143" s="2579"/>
      <c r="X143" s="2579"/>
      <c r="Y143" s="2579"/>
      <c r="Z143" s="2579"/>
      <c r="AA143" s="2579"/>
      <c r="AB143" s="2579"/>
      <c r="AC143" s="2579"/>
      <c r="AD143" s="2579"/>
      <c r="AE143" s="2579"/>
      <c r="AF143" s="2579"/>
      <c r="AG143" s="2579"/>
      <c r="AH143" s="2579"/>
      <c r="AI143" s="2579"/>
      <c r="AJ143" s="2579"/>
      <c r="AK143" s="2579"/>
      <c r="AL143" s="2579"/>
      <c r="AM143" s="2579"/>
      <c r="AN143" s="2579"/>
      <c r="AO143" s="2579"/>
      <c r="AP143" s="2579"/>
      <c r="AQ143" s="2579"/>
      <c r="AR143" s="2579"/>
      <c r="AS143" s="2579"/>
      <c r="AT143" s="2579"/>
      <c r="AU143" s="2579"/>
      <c r="AV143" s="2579"/>
      <c r="AW143" s="2579"/>
      <c r="AX143" s="2579"/>
      <c r="AY143" s="2579"/>
      <c r="AZ143" s="2579"/>
      <c r="BA143" s="2579"/>
      <c r="BB143" s="2579"/>
      <c r="BC143" s="2579"/>
      <c r="BD143" s="2579"/>
      <c r="BE143" s="2579"/>
      <c r="BF143" s="2579"/>
      <c r="BG143" s="2579"/>
      <c r="BH143" s="2579"/>
      <c r="BI143" s="2579"/>
      <c r="BJ143" s="2579"/>
      <c r="BK143" s="2579"/>
      <c r="BL143" s="2579"/>
      <c r="EB143" s="2579" t="s">
        <v>3409</v>
      </c>
      <c r="EC143" s="2579"/>
      <c r="ED143" s="2579"/>
      <c r="EE143" s="2579"/>
      <c r="EF143" s="2579"/>
      <c r="EG143" s="2579"/>
      <c r="EH143" s="2579"/>
      <c r="EI143" s="2579"/>
      <c r="EJ143" s="2579"/>
      <c r="EK143" s="2579"/>
      <c r="EL143" s="2579"/>
      <c r="EM143" s="2579"/>
      <c r="EN143" s="2579"/>
      <c r="EO143" s="2579"/>
      <c r="EP143" s="2579"/>
      <c r="EQ143" s="2579"/>
      <c r="ER143" s="2579"/>
      <c r="ES143" s="2579"/>
      <c r="ET143" s="2579"/>
      <c r="EU143" s="2579"/>
      <c r="EV143" s="2579"/>
      <c r="EW143" s="2579"/>
      <c r="EX143" s="2579"/>
      <c r="EY143" s="2579"/>
      <c r="EZ143" s="2579"/>
      <c r="FA143" s="2579"/>
      <c r="FB143" s="2579"/>
      <c r="FC143" s="2579"/>
      <c r="FD143" s="2579"/>
      <c r="FE143" s="2579"/>
      <c r="FF143" s="2579"/>
      <c r="FG143" s="2579"/>
      <c r="FH143" s="2579"/>
      <c r="FI143" s="2579"/>
      <c r="FJ143" s="2579"/>
      <c r="FK143" s="2579"/>
      <c r="FL143" s="2579"/>
      <c r="FM143" s="2579"/>
      <c r="FN143" s="2579"/>
      <c r="FO143" s="2579"/>
      <c r="FP143" s="2579"/>
      <c r="FQ143" s="2579"/>
      <c r="FR143" s="2579"/>
      <c r="FS143" s="2579"/>
      <c r="FT143" s="2579"/>
      <c r="FU143" s="2579"/>
      <c r="FV143" s="2579"/>
      <c r="FW143" s="2579"/>
      <c r="FX143" s="2579"/>
      <c r="FY143" s="2579"/>
      <c r="FZ143" s="2579"/>
      <c r="GA143" s="2579"/>
      <c r="GB143" s="2579"/>
      <c r="GC143" s="2579"/>
      <c r="GD143" s="2579"/>
    </row>
    <row r="144" spans="8:217" ht="4.1500000000000004" customHeight="1">
      <c r="J144" s="2579"/>
      <c r="K144" s="2579"/>
      <c r="L144" s="2579"/>
      <c r="M144" s="2579"/>
      <c r="N144" s="2579"/>
      <c r="O144" s="2579"/>
      <c r="P144" s="2579"/>
      <c r="Q144" s="2579"/>
      <c r="R144" s="2579"/>
      <c r="S144" s="2579"/>
      <c r="T144" s="2579"/>
      <c r="U144" s="2579"/>
      <c r="V144" s="2579"/>
      <c r="W144" s="2579"/>
      <c r="X144" s="2579"/>
      <c r="Y144" s="2579"/>
      <c r="Z144" s="2579"/>
      <c r="AA144" s="2579"/>
      <c r="AB144" s="2579"/>
      <c r="AC144" s="2579"/>
      <c r="AD144" s="2579"/>
      <c r="AE144" s="2579"/>
      <c r="AF144" s="2579"/>
      <c r="AG144" s="2579"/>
      <c r="AH144" s="2579"/>
      <c r="AI144" s="2579"/>
      <c r="AJ144" s="2579"/>
      <c r="AK144" s="2579"/>
      <c r="AL144" s="2579"/>
      <c r="AM144" s="2579"/>
      <c r="AN144" s="2579"/>
      <c r="AO144" s="2579"/>
      <c r="AP144" s="2579"/>
      <c r="AQ144" s="2579"/>
      <c r="AR144" s="2579"/>
      <c r="AS144" s="2579"/>
      <c r="AT144" s="2579"/>
      <c r="AU144" s="2579"/>
      <c r="AV144" s="2579"/>
      <c r="AW144" s="2579"/>
      <c r="AX144" s="2579"/>
      <c r="AY144" s="2579"/>
      <c r="AZ144" s="2579"/>
      <c r="BA144" s="2579"/>
      <c r="BB144" s="2579"/>
      <c r="BC144" s="2579"/>
      <c r="BD144" s="2579"/>
      <c r="BE144" s="2579"/>
      <c r="BF144" s="2579"/>
      <c r="BG144" s="2579"/>
      <c r="BH144" s="2579"/>
      <c r="BI144" s="2579"/>
      <c r="BJ144" s="2579"/>
      <c r="BK144" s="2579"/>
      <c r="BL144" s="2579"/>
      <c r="EB144" s="2579"/>
      <c r="EC144" s="2579"/>
      <c r="ED144" s="2579"/>
      <c r="EE144" s="2579"/>
      <c r="EF144" s="2579"/>
      <c r="EG144" s="2579"/>
      <c r="EH144" s="2579"/>
      <c r="EI144" s="2579"/>
      <c r="EJ144" s="2579"/>
      <c r="EK144" s="2579"/>
      <c r="EL144" s="2579"/>
      <c r="EM144" s="2579"/>
      <c r="EN144" s="2579"/>
      <c r="EO144" s="2579"/>
      <c r="EP144" s="2579"/>
      <c r="EQ144" s="2579"/>
      <c r="ER144" s="2579"/>
      <c r="ES144" s="2579"/>
      <c r="ET144" s="2579"/>
      <c r="EU144" s="2579"/>
      <c r="EV144" s="2579"/>
      <c r="EW144" s="2579"/>
      <c r="EX144" s="2579"/>
      <c r="EY144" s="2579"/>
      <c r="EZ144" s="2579"/>
      <c r="FA144" s="2579"/>
      <c r="FB144" s="2579"/>
      <c r="FC144" s="2579"/>
      <c r="FD144" s="2579"/>
      <c r="FE144" s="2579"/>
      <c r="FF144" s="2579"/>
      <c r="FG144" s="2579"/>
      <c r="FH144" s="2579"/>
      <c r="FI144" s="2579"/>
      <c r="FJ144" s="2579"/>
      <c r="FK144" s="2579"/>
      <c r="FL144" s="2579"/>
      <c r="FM144" s="2579"/>
      <c r="FN144" s="2579"/>
      <c r="FO144" s="2579"/>
      <c r="FP144" s="2579"/>
      <c r="FQ144" s="2579"/>
      <c r="FR144" s="2579"/>
      <c r="FS144" s="2579"/>
      <c r="FT144" s="2579"/>
      <c r="FU144" s="2579"/>
      <c r="FV144" s="2579"/>
      <c r="FW144" s="2579"/>
      <c r="FX144" s="2579"/>
      <c r="FY144" s="2579"/>
      <c r="FZ144" s="2579"/>
      <c r="GA144" s="2579"/>
      <c r="GB144" s="2579"/>
      <c r="GC144" s="2579"/>
      <c r="GD144" s="2579"/>
    </row>
    <row r="145" spans="10:186" ht="4.1500000000000004" customHeight="1">
      <c r="J145" s="2579"/>
      <c r="K145" s="2579"/>
      <c r="L145" s="2579"/>
      <c r="M145" s="2579"/>
      <c r="N145" s="2579"/>
      <c r="O145" s="2579"/>
      <c r="P145" s="2579"/>
      <c r="Q145" s="2579"/>
      <c r="R145" s="2579"/>
      <c r="S145" s="2579"/>
      <c r="T145" s="2579"/>
      <c r="U145" s="2579"/>
      <c r="V145" s="2579"/>
      <c r="W145" s="2579"/>
      <c r="X145" s="2579"/>
      <c r="Y145" s="2579"/>
      <c r="Z145" s="2579"/>
      <c r="AA145" s="2579"/>
      <c r="AB145" s="2579"/>
      <c r="AC145" s="2579"/>
      <c r="AD145" s="2579"/>
      <c r="AE145" s="2579"/>
      <c r="AF145" s="2579"/>
      <c r="AG145" s="2579"/>
      <c r="AH145" s="2579"/>
      <c r="AI145" s="2579"/>
      <c r="AJ145" s="2579"/>
      <c r="AK145" s="2579"/>
      <c r="AL145" s="2579"/>
      <c r="AM145" s="2579"/>
      <c r="AN145" s="2579"/>
      <c r="AO145" s="2579"/>
      <c r="AP145" s="2579"/>
      <c r="AQ145" s="2579"/>
      <c r="AR145" s="2579"/>
      <c r="AS145" s="2579"/>
      <c r="AT145" s="2579"/>
      <c r="AU145" s="2579"/>
      <c r="AV145" s="2579"/>
      <c r="AW145" s="2579"/>
      <c r="AX145" s="2579"/>
      <c r="AY145" s="2579"/>
      <c r="AZ145" s="2579"/>
      <c r="BA145" s="2579"/>
      <c r="BB145" s="2579"/>
      <c r="BC145" s="2579"/>
      <c r="BD145" s="2579"/>
      <c r="BE145" s="2579"/>
      <c r="BF145" s="2579"/>
      <c r="BG145" s="2579"/>
      <c r="BH145" s="2579"/>
      <c r="BI145" s="2579"/>
      <c r="BJ145" s="2579"/>
      <c r="BK145" s="2579"/>
      <c r="BL145" s="2579"/>
      <c r="EB145" s="2579"/>
      <c r="EC145" s="2579"/>
      <c r="ED145" s="2579"/>
      <c r="EE145" s="2579"/>
      <c r="EF145" s="2579"/>
      <c r="EG145" s="2579"/>
      <c r="EH145" s="2579"/>
      <c r="EI145" s="2579"/>
      <c r="EJ145" s="2579"/>
      <c r="EK145" s="2579"/>
      <c r="EL145" s="2579"/>
      <c r="EM145" s="2579"/>
      <c r="EN145" s="2579"/>
      <c r="EO145" s="2579"/>
      <c r="EP145" s="2579"/>
      <c r="EQ145" s="2579"/>
      <c r="ER145" s="2579"/>
      <c r="ES145" s="2579"/>
      <c r="ET145" s="2579"/>
      <c r="EU145" s="2579"/>
      <c r="EV145" s="2579"/>
      <c r="EW145" s="2579"/>
      <c r="EX145" s="2579"/>
      <c r="EY145" s="2579"/>
      <c r="EZ145" s="2579"/>
      <c r="FA145" s="2579"/>
      <c r="FB145" s="2579"/>
      <c r="FC145" s="2579"/>
      <c r="FD145" s="2579"/>
      <c r="FE145" s="2579"/>
      <c r="FF145" s="2579"/>
      <c r="FG145" s="2579"/>
      <c r="FH145" s="2579"/>
      <c r="FI145" s="2579"/>
      <c r="FJ145" s="2579"/>
      <c r="FK145" s="2579"/>
      <c r="FL145" s="2579"/>
      <c r="FM145" s="2579"/>
      <c r="FN145" s="2579"/>
      <c r="FO145" s="2579"/>
      <c r="FP145" s="2579"/>
      <c r="FQ145" s="2579"/>
      <c r="FR145" s="2579"/>
      <c r="FS145" s="2579"/>
      <c r="FT145" s="2579"/>
      <c r="FU145" s="2579"/>
      <c r="FV145" s="2579"/>
      <c r="FW145" s="2579"/>
      <c r="FX145" s="2579"/>
      <c r="FY145" s="2579"/>
      <c r="FZ145" s="2579"/>
      <c r="GA145" s="2579"/>
      <c r="GB145" s="2579"/>
      <c r="GC145" s="2579"/>
      <c r="GD145" s="2579"/>
    </row>
    <row r="146" spans="10:186" ht="4.1500000000000004" customHeight="1">
      <c r="J146" s="2579"/>
      <c r="K146" s="2579"/>
      <c r="L146" s="2579"/>
      <c r="M146" s="2579"/>
      <c r="N146" s="2579"/>
      <c r="O146" s="2579"/>
      <c r="P146" s="2579"/>
      <c r="Q146" s="2579"/>
      <c r="R146" s="2579"/>
      <c r="S146" s="2579"/>
      <c r="T146" s="2579"/>
      <c r="U146" s="2579"/>
      <c r="V146" s="2579"/>
      <c r="W146" s="2579"/>
      <c r="X146" s="2579"/>
      <c r="Y146" s="2579"/>
      <c r="Z146" s="2579"/>
      <c r="AA146" s="2579"/>
      <c r="AB146" s="2579"/>
      <c r="AC146" s="2579"/>
      <c r="AD146" s="2579"/>
      <c r="AE146" s="2579"/>
      <c r="AF146" s="2579"/>
      <c r="AG146" s="2579"/>
      <c r="AH146" s="2579"/>
      <c r="AI146" s="2579"/>
      <c r="AJ146" s="2579"/>
      <c r="AK146" s="2579"/>
      <c r="AL146" s="2579"/>
      <c r="AM146" s="2579"/>
      <c r="AN146" s="2579"/>
      <c r="AO146" s="2579"/>
      <c r="AP146" s="2579"/>
      <c r="AQ146" s="2579"/>
      <c r="AR146" s="2579"/>
      <c r="AS146" s="2579"/>
      <c r="AT146" s="2579"/>
      <c r="AU146" s="2579"/>
      <c r="AV146" s="2579"/>
      <c r="AW146" s="2579"/>
      <c r="AX146" s="2579"/>
      <c r="AY146" s="2579"/>
      <c r="AZ146" s="2579"/>
      <c r="BA146" s="2579"/>
      <c r="BB146" s="2579"/>
      <c r="BC146" s="2579"/>
      <c r="BD146" s="2579"/>
      <c r="BE146" s="2579"/>
      <c r="BF146" s="2579"/>
      <c r="BG146" s="2579"/>
      <c r="BH146" s="2579"/>
      <c r="BI146" s="2579"/>
      <c r="BJ146" s="2579"/>
      <c r="BK146" s="2579"/>
      <c r="BL146" s="2579"/>
      <c r="EB146" s="2579"/>
      <c r="EC146" s="2579"/>
      <c r="ED146" s="2579"/>
      <c r="EE146" s="2579"/>
      <c r="EF146" s="2579"/>
      <c r="EG146" s="2579"/>
      <c r="EH146" s="2579"/>
      <c r="EI146" s="2579"/>
      <c r="EJ146" s="2579"/>
      <c r="EK146" s="2579"/>
      <c r="EL146" s="2579"/>
      <c r="EM146" s="2579"/>
      <c r="EN146" s="2579"/>
      <c r="EO146" s="2579"/>
      <c r="EP146" s="2579"/>
      <c r="EQ146" s="2579"/>
      <c r="ER146" s="2579"/>
      <c r="ES146" s="2579"/>
      <c r="ET146" s="2579"/>
      <c r="EU146" s="2579"/>
      <c r="EV146" s="2579"/>
      <c r="EW146" s="2579"/>
      <c r="EX146" s="2579"/>
      <c r="EY146" s="2579"/>
      <c r="EZ146" s="2579"/>
      <c r="FA146" s="2579"/>
      <c r="FB146" s="2579"/>
      <c r="FC146" s="2579"/>
      <c r="FD146" s="2579"/>
      <c r="FE146" s="2579"/>
      <c r="FF146" s="2579"/>
      <c r="FG146" s="2579"/>
      <c r="FH146" s="2579"/>
      <c r="FI146" s="2579"/>
      <c r="FJ146" s="2579"/>
      <c r="FK146" s="2579"/>
      <c r="FL146" s="2579"/>
      <c r="FM146" s="2579"/>
      <c r="FN146" s="2579"/>
      <c r="FO146" s="2579"/>
      <c r="FP146" s="2579"/>
      <c r="FQ146" s="2579"/>
      <c r="FR146" s="2579"/>
      <c r="FS146" s="2579"/>
      <c r="FT146" s="2579"/>
      <c r="FU146" s="2579"/>
      <c r="FV146" s="2579"/>
      <c r="FW146" s="2579"/>
      <c r="FX146" s="2579"/>
      <c r="FY146" s="2579"/>
      <c r="FZ146" s="2579"/>
      <c r="GA146" s="2579"/>
      <c r="GB146" s="2579"/>
      <c r="GC146" s="2579"/>
      <c r="GD146" s="2579"/>
    </row>
  </sheetData>
  <mergeCells count="51">
    <mergeCell ref="GZ39:HJ42"/>
    <mergeCell ref="AS1:FN5"/>
    <mergeCell ref="J71:BL74"/>
    <mergeCell ref="EC71:GE74"/>
    <mergeCell ref="FR17:GA20"/>
    <mergeCell ref="GK35:GX38"/>
    <mergeCell ref="EP65:FB68"/>
    <mergeCell ref="GB23:GE54"/>
    <mergeCell ref="GK55:GX58"/>
    <mergeCell ref="GK59:GX62"/>
    <mergeCell ref="GK52:GX54"/>
    <mergeCell ref="BR59:CE62"/>
    <mergeCell ref="AD10:AP13"/>
    <mergeCell ref="AA65:AM68"/>
    <mergeCell ref="ES10:FE13"/>
    <mergeCell ref="DY17:EH20"/>
    <mergeCell ref="BR55:CE58"/>
    <mergeCell ref="ES17:FE20"/>
    <mergeCell ref="CF39:CP42"/>
    <mergeCell ref="DU23:DX54"/>
    <mergeCell ref="J17:S20"/>
    <mergeCell ref="BC17:BL20"/>
    <mergeCell ref="AD17:AP20"/>
    <mergeCell ref="BR35:CE38"/>
    <mergeCell ref="BR50:CE54"/>
    <mergeCell ref="GY111:HI114"/>
    <mergeCell ref="DX124:EG126"/>
    <mergeCell ref="FQ124:FZ126"/>
    <mergeCell ref="GJ124:GW126"/>
    <mergeCell ref="FR52:GA54"/>
    <mergeCell ref="DY52:EH54"/>
    <mergeCell ref="ER82:FD85"/>
    <mergeCell ref="DX89:EG92"/>
    <mergeCell ref="ER89:FD92"/>
    <mergeCell ref="FQ89:FZ92"/>
    <mergeCell ref="GJ127:GW130"/>
    <mergeCell ref="GJ131:GW134"/>
    <mergeCell ref="EU137:FG140"/>
    <mergeCell ref="EB143:GD146"/>
    <mergeCell ref="AD82:AP85"/>
    <mergeCell ref="BR122:CE126"/>
    <mergeCell ref="BR127:CE130"/>
    <mergeCell ref="BR131:CE134"/>
    <mergeCell ref="AF137:AR140"/>
    <mergeCell ref="J143:BL146"/>
    <mergeCell ref="GJ107:GW110"/>
    <mergeCell ref="J89:S92"/>
    <mergeCell ref="AD89:AP92"/>
    <mergeCell ref="BC89:BL92"/>
    <mergeCell ref="BR107:CE110"/>
    <mergeCell ref="CF111:CP114"/>
  </mergeCells>
  <pageMargins left="0.70866141732283472" right="0.70866141732283472" top="0.35433070866141736" bottom="0.35433070866141736" header="0.31496062992125984" footer="0.31496062992125984"/>
  <pageSetup paperSize="9" scale="85" orientation="landscape" r:id="rId1"/>
</worksheet>
</file>

<file path=xl/worksheets/sheet9.xml><?xml version="1.0" encoding="utf-8"?>
<worksheet xmlns="http://schemas.openxmlformats.org/spreadsheetml/2006/main" xmlns:r="http://schemas.openxmlformats.org/officeDocument/2006/relationships">
  <sheetPr>
    <tabColor rgb="FF00B050"/>
  </sheetPr>
  <dimension ref="D3:LD363"/>
  <sheetViews>
    <sheetView view="pageBreakPreview" topLeftCell="A28" zoomScale="57" zoomScaleSheetLayoutView="57" workbookViewId="0">
      <selection activeCell="JL176" sqref="JL176"/>
    </sheetView>
  </sheetViews>
  <sheetFormatPr defaultColWidth="0.7109375" defaultRowHeight="4.1500000000000004" customHeight="1"/>
  <cols>
    <col min="1" max="16384" width="0.7109375" style="494"/>
  </cols>
  <sheetData>
    <row r="3" spans="29:288" ht="4.1500000000000004" customHeight="1">
      <c r="IF3" s="508"/>
      <c r="IG3" s="509"/>
      <c r="IH3" s="509"/>
      <c r="II3" s="509"/>
      <c r="IJ3" s="509"/>
      <c r="IK3" s="509"/>
      <c r="IL3" s="509"/>
      <c r="IM3" s="509"/>
      <c r="IN3" s="509"/>
      <c r="IO3" s="509"/>
      <c r="IP3" s="509"/>
      <c r="IQ3" s="509"/>
      <c r="IR3" s="509"/>
      <c r="IS3" s="509"/>
      <c r="IT3" s="509"/>
      <c r="IU3" s="509"/>
      <c r="IV3" s="509"/>
      <c r="IW3" s="509"/>
      <c r="IX3" s="509"/>
      <c r="IY3" s="509"/>
      <c r="IZ3" s="509"/>
      <c r="JA3" s="509"/>
      <c r="JB3" s="509"/>
      <c r="JC3" s="509"/>
      <c r="JD3" s="509"/>
      <c r="JE3" s="509"/>
      <c r="JF3" s="509"/>
      <c r="JG3" s="509"/>
      <c r="JH3" s="509"/>
      <c r="JI3" s="509"/>
      <c r="JJ3" s="509"/>
      <c r="JK3" s="509"/>
      <c r="JL3" s="509"/>
      <c r="JM3" s="509"/>
      <c r="JN3" s="509"/>
      <c r="JO3" s="509"/>
      <c r="JP3" s="509"/>
      <c r="JQ3" s="510"/>
      <c r="JR3" s="509"/>
      <c r="JS3" s="509"/>
      <c r="JT3" s="509"/>
      <c r="JU3" s="509"/>
      <c r="JV3" s="509"/>
      <c r="JW3" s="509"/>
      <c r="JX3" s="509"/>
      <c r="JY3" s="509"/>
      <c r="JZ3" s="509"/>
      <c r="KA3" s="509"/>
      <c r="KB3" s="509"/>
    </row>
    <row r="4" spans="29:288" ht="4.1500000000000004" customHeight="1">
      <c r="HN4" s="514"/>
      <c r="HO4" s="514"/>
      <c r="HP4" s="514"/>
      <c r="HQ4" s="515"/>
      <c r="HR4" s="514"/>
      <c r="IF4" s="2590">
        <v>0.15</v>
      </c>
      <c r="IG4" s="2591"/>
      <c r="IH4" s="516"/>
      <c r="IL4" s="517"/>
      <c r="JO4" s="516"/>
    </row>
    <row r="5" spans="29:288" ht="4.1500000000000004" customHeight="1">
      <c r="AC5" s="511"/>
      <c r="AD5" s="512"/>
      <c r="AE5" s="512"/>
      <c r="AF5" s="512"/>
      <c r="AG5" s="512"/>
      <c r="AH5" s="512"/>
      <c r="AI5" s="512"/>
      <c r="AJ5" s="512"/>
      <c r="AK5" s="512"/>
      <c r="AL5" s="512"/>
      <c r="AM5" s="512"/>
      <c r="AN5" s="512"/>
      <c r="AO5" s="512"/>
      <c r="AP5" s="512"/>
      <c r="AQ5" s="512"/>
      <c r="AR5" s="512"/>
      <c r="AS5" s="512"/>
      <c r="AT5" s="512"/>
      <c r="AU5" s="512"/>
      <c r="AV5" s="512"/>
      <c r="AW5" s="512"/>
      <c r="AX5" s="512"/>
      <c r="AY5" s="512"/>
      <c r="AZ5" s="513"/>
      <c r="HQ5" s="516"/>
      <c r="IF5" s="2592"/>
      <c r="IG5" s="2593"/>
      <c r="IH5" s="516"/>
      <c r="IL5" s="517"/>
      <c r="JB5" s="2594">
        <v>1.1000000000000001</v>
      </c>
      <c r="JC5" s="2595"/>
      <c r="JD5" s="2595"/>
      <c r="JE5" s="2595"/>
      <c r="JO5" s="516"/>
    </row>
    <row r="6" spans="29:288" ht="4.1500000000000004" customHeight="1">
      <c r="AD6" s="516"/>
      <c r="AY6" s="517"/>
      <c r="HQ6" s="516"/>
      <c r="IF6" s="2592"/>
      <c r="IG6" s="2593"/>
      <c r="IH6" s="516"/>
      <c r="IL6" s="517"/>
      <c r="JB6" s="2595"/>
      <c r="JC6" s="2595"/>
      <c r="JD6" s="2595"/>
      <c r="JE6" s="2595"/>
      <c r="JO6" s="516"/>
    </row>
    <row r="7" spans="29:288" ht="4.1500000000000004" customHeight="1">
      <c r="AD7" s="516"/>
      <c r="AY7" s="517"/>
      <c r="HQ7" s="516"/>
      <c r="IF7" s="2592"/>
      <c r="IG7" s="2593"/>
      <c r="IH7" s="516"/>
      <c r="IL7" s="517"/>
      <c r="JB7" s="2595"/>
      <c r="JC7" s="2595"/>
      <c r="JD7" s="2595"/>
      <c r="JE7" s="2595"/>
      <c r="JO7" s="516"/>
    </row>
    <row r="8" spans="29:288" ht="4.1500000000000004" customHeight="1">
      <c r="AD8" s="516"/>
      <c r="AK8" s="515"/>
      <c r="AL8" s="514"/>
      <c r="AM8" s="514"/>
      <c r="AN8" s="514"/>
      <c r="AO8" s="514"/>
      <c r="AP8" s="514"/>
      <c r="AQ8" s="514"/>
      <c r="AR8" s="518"/>
      <c r="AY8" s="517"/>
      <c r="HQ8" s="516"/>
      <c r="IF8" s="2592"/>
      <c r="IG8" s="2593"/>
      <c r="IH8" s="516"/>
      <c r="IL8" s="517"/>
      <c r="JB8" s="2595"/>
      <c r="JC8" s="2595"/>
      <c r="JD8" s="2595"/>
      <c r="JE8" s="2595"/>
      <c r="JO8" s="516"/>
    </row>
    <row r="9" spans="29:288" ht="4.1500000000000004" customHeight="1">
      <c r="AD9" s="516"/>
      <c r="AK9" s="516"/>
      <c r="AR9" s="517"/>
      <c r="AY9" s="517"/>
      <c r="HQ9" s="516"/>
      <c r="IF9" s="2592"/>
      <c r="IG9" s="2593"/>
      <c r="IH9" s="516"/>
      <c r="IL9" s="517"/>
      <c r="JB9" s="2595"/>
      <c r="JC9" s="2595"/>
      <c r="JD9" s="2595"/>
      <c r="JE9" s="2595"/>
      <c r="JO9" s="516"/>
    </row>
    <row r="10" spans="29:288" ht="4.1500000000000004" customHeight="1">
      <c r="AD10" s="516"/>
      <c r="AK10" s="516"/>
      <c r="AR10" s="517"/>
      <c r="AY10" s="517"/>
      <c r="HQ10" s="516"/>
      <c r="IH10" s="516"/>
      <c r="IL10" s="517"/>
      <c r="JB10" s="2595"/>
      <c r="JC10" s="2595"/>
      <c r="JD10" s="2595"/>
      <c r="JE10" s="2595"/>
      <c r="JO10" s="516"/>
    </row>
    <row r="11" spans="29:288" ht="4.1500000000000004" customHeight="1">
      <c r="AD11" s="516"/>
      <c r="AK11" s="516"/>
      <c r="AR11" s="517"/>
      <c r="AY11" s="517"/>
      <c r="HQ11" s="516"/>
      <c r="IH11" s="516"/>
      <c r="IL11" s="517"/>
      <c r="JB11" s="2595"/>
      <c r="JC11" s="2595"/>
      <c r="JD11" s="2595"/>
      <c r="JE11" s="2595"/>
      <c r="JO11" s="516"/>
    </row>
    <row r="12" spans="29:288" ht="4.1500000000000004" customHeight="1">
      <c r="AD12" s="516"/>
      <c r="AK12" s="516"/>
      <c r="AR12" s="517"/>
      <c r="AY12" s="517"/>
      <c r="AZ12" s="515"/>
      <c r="BA12" s="514"/>
      <c r="BB12" s="514"/>
      <c r="BC12" s="514"/>
      <c r="BD12" s="514"/>
      <c r="BE12" s="514"/>
      <c r="BF12" s="514"/>
      <c r="BG12" s="514"/>
      <c r="BH12" s="514"/>
      <c r="BI12" s="514"/>
      <c r="BJ12" s="514"/>
      <c r="BK12" s="514"/>
      <c r="BL12" s="514"/>
      <c r="BM12" s="514"/>
      <c r="BN12" s="514"/>
      <c r="BO12" s="514"/>
      <c r="BP12" s="514"/>
      <c r="BQ12" s="514"/>
      <c r="BR12" s="514"/>
      <c r="BS12" s="514"/>
      <c r="BT12" s="514"/>
      <c r="BU12" s="514"/>
      <c r="BV12" s="514"/>
      <c r="BW12" s="514"/>
      <c r="BX12" s="514"/>
      <c r="BY12" s="514"/>
      <c r="BZ12" s="514"/>
      <c r="CA12" s="514"/>
      <c r="CB12" s="514"/>
      <c r="CC12" s="514"/>
      <c r="CD12" s="514"/>
      <c r="CE12" s="514"/>
      <c r="CF12" s="514"/>
      <c r="CG12" s="514"/>
      <c r="CH12" s="514"/>
      <c r="CI12" s="514"/>
      <c r="CJ12" s="514"/>
      <c r="CK12" s="514"/>
      <c r="CL12" s="514"/>
      <c r="CM12" s="514"/>
      <c r="CN12" s="514"/>
      <c r="CO12" s="514"/>
      <c r="CP12" s="514"/>
      <c r="CQ12" s="514"/>
      <c r="CR12" s="514"/>
      <c r="CS12" s="514"/>
      <c r="CT12" s="514"/>
      <c r="CU12" s="514"/>
      <c r="CV12" s="514"/>
      <c r="CW12" s="514"/>
      <c r="CX12" s="514"/>
      <c r="CY12" s="514"/>
      <c r="CZ12" s="514"/>
      <c r="DA12" s="514"/>
      <c r="DB12" s="514"/>
      <c r="DC12" s="514"/>
      <c r="DD12" s="514"/>
      <c r="DE12" s="514"/>
      <c r="DF12" s="514"/>
      <c r="DG12" s="514"/>
      <c r="DH12" s="514"/>
      <c r="DI12" s="514"/>
      <c r="DJ12" s="514"/>
      <c r="DK12" s="514"/>
      <c r="DL12" s="514"/>
      <c r="DM12" s="514"/>
      <c r="DN12" s="514"/>
      <c r="DO12" s="514"/>
      <c r="DP12" s="514"/>
      <c r="DQ12" s="514"/>
      <c r="DR12" s="514"/>
      <c r="DS12" s="514"/>
      <c r="DT12" s="514"/>
      <c r="DU12" s="514"/>
      <c r="DV12" s="514"/>
      <c r="DW12" s="514"/>
      <c r="DX12" s="514"/>
      <c r="DY12" s="514"/>
      <c r="DZ12" s="514"/>
      <c r="EA12" s="514"/>
      <c r="EB12" s="514"/>
      <c r="EC12" s="514"/>
      <c r="ED12" s="514"/>
      <c r="EE12" s="514"/>
      <c r="EF12" s="514"/>
      <c r="EG12" s="514"/>
      <c r="EH12" s="514"/>
      <c r="EI12" s="514"/>
      <c r="EJ12" s="514"/>
      <c r="EK12" s="514"/>
      <c r="EL12" s="514"/>
      <c r="EM12" s="514"/>
      <c r="EN12" s="514"/>
      <c r="EO12" s="514"/>
      <c r="EP12" s="514"/>
      <c r="EQ12" s="514"/>
      <c r="ER12" s="514"/>
      <c r="ES12" s="514"/>
      <c r="ET12" s="514"/>
      <c r="EU12" s="514"/>
      <c r="EV12" s="514"/>
      <c r="EW12" s="514"/>
      <c r="EX12" s="514"/>
      <c r="EY12" s="514"/>
      <c r="EZ12" s="514"/>
      <c r="FA12" s="514"/>
      <c r="FB12" s="514"/>
      <c r="FC12" s="514"/>
      <c r="FD12" s="514"/>
      <c r="FE12" s="514"/>
      <c r="FF12" s="514"/>
      <c r="FG12" s="514"/>
      <c r="FH12" s="514"/>
      <c r="FI12" s="514"/>
      <c r="FJ12" s="514"/>
      <c r="FK12" s="514"/>
      <c r="FL12" s="514"/>
      <c r="FM12" s="514"/>
      <c r="FN12" s="514"/>
      <c r="FO12" s="514"/>
      <c r="FP12" s="514"/>
      <c r="FQ12" s="514"/>
      <c r="FR12" s="514"/>
      <c r="FS12" s="514"/>
      <c r="FT12" s="514"/>
      <c r="FU12" s="514"/>
      <c r="FV12" s="514"/>
      <c r="FW12" s="514"/>
      <c r="FX12" s="514"/>
      <c r="FY12" s="514"/>
      <c r="FZ12" s="514"/>
      <c r="GA12" s="518"/>
      <c r="HQ12" s="516"/>
      <c r="IH12" s="516"/>
      <c r="IL12" s="517"/>
      <c r="JB12" s="2595"/>
      <c r="JC12" s="2595"/>
      <c r="JD12" s="2595"/>
      <c r="JE12" s="2595"/>
      <c r="JO12" s="516"/>
    </row>
    <row r="13" spans="29:288" ht="4.1500000000000004" customHeight="1">
      <c r="AD13" s="516"/>
      <c r="AK13" s="516"/>
      <c r="AR13" s="517"/>
      <c r="AY13" s="517"/>
      <c r="AZ13" s="516"/>
      <c r="GA13" s="517"/>
      <c r="HQ13" s="516"/>
      <c r="IH13" s="516"/>
      <c r="IL13" s="517"/>
      <c r="JB13" s="2595"/>
      <c r="JC13" s="2595"/>
      <c r="JD13" s="2595"/>
      <c r="JE13" s="2595"/>
      <c r="JO13" s="516"/>
    </row>
    <row r="14" spans="29:288" ht="4.1500000000000004" customHeight="1">
      <c r="AD14" s="516"/>
      <c r="AK14" s="516"/>
      <c r="AR14" s="517"/>
      <c r="AY14" s="517"/>
      <c r="AZ14" s="516"/>
      <c r="GA14" s="517"/>
      <c r="HQ14" s="516"/>
      <c r="IH14" s="516"/>
      <c r="IL14" s="517"/>
      <c r="JB14" s="2595"/>
      <c r="JC14" s="2595"/>
      <c r="JD14" s="2595"/>
      <c r="JE14" s="2595"/>
      <c r="JO14" s="516"/>
    </row>
    <row r="15" spans="29:288" ht="4.1500000000000004" customHeight="1">
      <c r="AD15" s="516"/>
      <c r="AK15" s="516"/>
      <c r="AR15" s="517"/>
      <c r="AY15" s="517"/>
      <c r="AZ15" s="516"/>
      <c r="GA15" s="517"/>
      <c r="HQ15" s="516"/>
      <c r="IH15" s="516"/>
      <c r="IL15" s="517"/>
      <c r="JO15" s="516"/>
    </row>
    <row r="16" spans="29:288" ht="4.1500000000000004" customHeight="1">
      <c r="AD16" s="516"/>
      <c r="AK16" s="516"/>
      <c r="AR16" s="517"/>
      <c r="AY16" s="517"/>
      <c r="AZ16" s="516"/>
      <c r="GA16" s="517"/>
      <c r="HQ16" s="516"/>
      <c r="IH16" s="519"/>
      <c r="II16" s="520"/>
      <c r="IJ16" s="520"/>
      <c r="IK16" s="520"/>
      <c r="IL16" s="521"/>
      <c r="IX16" s="2596">
        <v>0.15</v>
      </c>
      <c r="IY16" s="2597"/>
      <c r="IZ16" s="2597"/>
      <c r="JA16" s="2597"/>
      <c r="JB16" s="2597"/>
      <c r="JC16" s="2597"/>
      <c r="JD16" s="2597"/>
      <c r="JE16" s="2597"/>
      <c r="JF16" s="2597"/>
      <c r="JG16" s="2597"/>
      <c r="JH16" s="2597"/>
      <c r="JI16" s="2597"/>
      <c r="JO16" s="516"/>
    </row>
    <row r="17" spans="29:276" ht="4.1500000000000004" customHeight="1">
      <c r="AD17" s="530"/>
      <c r="AE17" s="532"/>
      <c r="AF17" s="532"/>
      <c r="AG17" s="532"/>
      <c r="AH17" s="532"/>
      <c r="AI17" s="532"/>
      <c r="AJ17" s="532"/>
      <c r="AK17" s="516"/>
      <c r="AR17" s="517"/>
      <c r="AS17" s="532"/>
      <c r="AT17" s="532"/>
      <c r="AU17" s="532"/>
      <c r="AV17" s="532"/>
      <c r="AW17" s="532"/>
      <c r="AX17" s="532"/>
      <c r="AY17" s="531"/>
      <c r="AZ17" s="530"/>
      <c r="BA17" s="532"/>
      <c r="BB17" s="532"/>
      <c r="BC17" s="532"/>
      <c r="BD17" s="532"/>
      <c r="BE17" s="532"/>
      <c r="BF17" s="532"/>
      <c r="BG17" s="532"/>
      <c r="BH17" s="532"/>
      <c r="BI17" s="532"/>
      <c r="BJ17" s="532"/>
      <c r="BK17" s="532"/>
      <c r="BL17" s="532"/>
      <c r="BM17" s="532"/>
      <c r="BN17" s="532"/>
      <c r="BO17" s="532"/>
      <c r="BP17" s="532"/>
      <c r="BQ17" s="532"/>
      <c r="BR17" s="532"/>
      <c r="BS17" s="532"/>
      <c r="BT17" s="532"/>
      <c r="BU17" s="532"/>
      <c r="BV17" s="532"/>
      <c r="BW17" s="532"/>
      <c r="BX17" s="532"/>
      <c r="BY17" s="532"/>
      <c r="BZ17" s="532"/>
      <c r="CA17" s="532"/>
      <c r="CB17" s="532"/>
      <c r="CC17" s="532"/>
      <c r="CD17" s="532"/>
      <c r="CE17" s="532"/>
      <c r="CF17" s="532"/>
      <c r="CG17" s="532"/>
      <c r="CH17" s="532"/>
      <c r="CI17" s="532"/>
      <c r="CJ17" s="532"/>
      <c r="CK17" s="532"/>
      <c r="CL17" s="532"/>
      <c r="CM17" s="532"/>
      <c r="CN17" s="532"/>
      <c r="CO17" s="532"/>
      <c r="CP17" s="532"/>
      <c r="CQ17" s="532"/>
      <c r="CR17" s="532"/>
      <c r="CS17" s="532"/>
      <c r="CT17" s="532"/>
      <c r="CU17" s="532"/>
      <c r="CV17" s="532"/>
      <c r="CW17" s="532"/>
      <c r="CX17" s="532"/>
      <c r="CY17" s="532"/>
      <c r="CZ17" s="532"/>
      <c r="DA17" s="532"/>
      <c r="DB17" s="532"/>
      <c r="DC17" s="532"/>
      <c r="DD17" s="532"/>
      <c r="DE17" s="532"/>
      <c r="DF17" s="532"/>
      <c r="DG17" s="532"/>
      <c r="DH17" s="532"/>
      <c r="DI17" s="532"/>
      <c r="DJ17" s="532"/>
      <c r="DK17" s="532"/>
      <c r="DL17" s="532"/>
      <c r="DM17" s="532"/>
      <c r="DN17" s="532"/>
      <c r="DO17" s="532"/>
      <c r="DP17" s="532"/>
      <c r="DQ17" s="532"/>
      <c r="DR17" s="532"/>
      <c r="DS17" s="532"/>
      <c r="DT17" s="532"/>
      <c r="DU17" s="532"/>
      <c r="DV17" s="532"/>
      <c r="DW17" s="532"/>
      <c r="DX17" s="532"/>
      <c r="DY17" s="532"/>
      <c r="DZ17" s="532"/>
      <c r="EA17" s="532"/>
      <c r="EB17" s="532"/>
      <c r="EC17" s="532"/>
      <c r="ED17" s="532"/>
      <c r="EE17" s="532"/>
      <c r="EF17" s="532"/>
      <c r="EG17" s="532"/>
      <c r="EH17" s="532"/>
      <c r="EI17" s="532"/>
      <c r="EJ17" s="532"/>
      <c r="EK17" s="532"/>
      <c r="EL17" s="532"/>
      <c r="EM17" s="532"/>
      <c r="EN17" s="532"/>
      <c r="EO17" s="532"/>
      <c r="EP17" s="532"/>
      <c r="EQ17" s="532"/>
      <c r="ER17" s="532"/>
      <c r="ES17" s="532"/>
      <c r="ET17" s="532"/>
      <c r="EU17" s="532"/>
      <c r="EV17" s="532"/>
      <c r="EW17" s="532"/>
      <c r="EX17" s="532"/>
      <c r="EY17" s="532"/>
      <c r="EZ17" s="532"/>
      <c r="FA17" s="532"/>
      <c r="FB17" s="532"/>
      <c r="FC17" s="532"/>
      <c r="FD17" s="532"/>
      <c r="FE17" s="532"/>
      <c r="FF17" s="532"/>
      <c r="FG17" s="532"/>
      <c r="FH17" s="532"/>
      <c r="FI17" s="532"/>
      <c r="FJ17" s="532"/>
      <c r="FK17" s="532"/>
      <c r="FL17" s="532"/>
      <c r="FM17" s="532"/>
      <c r="FN17" s="532"/>
      <c r="FO17" s="532"/>
      <c r="FP17" s="532"/>
      <c r="FQ17" s="532"/>
      <c r="FR17" s="532"/>
      <c r="FS17" s="532"/>
      <c r="FT17" s="532"/>
      <c r="FU17" s="532"/>
      <c r="FV17" s="532"/>
      <c r="FW17" s="532"/>
      <c r="FX17" s="532"/>
      <c r="FY17" s="532"/>
      <c r="FZ17" s="532"/>
      <c r="GA17" s="531"/>
      <c r="HQ17" s="516"/>
      <c r="IH17" s="522"/>
      <c r="II17" s="523"/>
      <c r="IJ17" s="523"/>
      <c r="IK17" s="523"/>
      <c r="IL17" s="524"/>
      <c r="IX17" s="2596"/>
      <c r="IY17" s="2596"/>
      <c r="IZ17" s="2596"/>
      <c r="JA17" s="2596"/>
      <c r="JB17" s="2596"/>
      <c r="JC17" s="2596"/>
      <c r="JD17" s="2596"/>
      <c r="JE17" s="2596"/>
      <c r="JF17" s="2596"/>
      <c r="JG17" s="2596"/>
      <c r="JH17" s="2596"/>
      <c r="JI17" s="2596"/>
      <c r="JO17" s="516"/>
    </row>
    <row r="18" spans="29:276" ht="4.1500000000000004" customHeight="1">
      <c r="AC18" s="511"/>
      <c r="AD18" s="512"/>
      <c r="AE18" s="512"/>
      <c r="AF18" s="512"/>
      <c r="AG18" s="512"/>
      <c r="AH18" s="512"/>
      <c r="AI18" s="512"/>
      <c r="AJ18" s="512"/>
      <c r="AK18" s="516"/>
      <c r="AR18" s="517"/>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c r="CK18" s="512"/>
      <c r="CL18" s="512"/>
      <c r="CM18" s="512"/>
      <c r="CN18" s="512"/>
      <c r="CO18" s="512"/>
      <c r="CP18" s="512"/>
      <c r="CQ18" s="512"/>
      <c r="CR18" s="512"/>
      <c r="CS18" s="512"/>
      <c r="CT18" s="512"/>
      <c r="CU18" s="512"/>
      <c r="CV18" s="512"/>
      <c r="CW18" s="512"/>
      <c r="CX18" s="512"/>
      <c r="CY18" s="512"/>
      <c r="CZ18" s="512"/>
      <c r="DA18" s="512"/>
      <c r="DB18" s="512"/>
      <c r="DC18" s="512"/>
      <c r="DD18" s="512"/>
      <c r="DE18" s="512"/>
      <c r="DF18" s="512"/>
      <c r="DG18" s="512"/>
      <c r="DH18" s="512"/>
      <c r="DI18" s="512"/>
      <c r="DJ18" s="512"/>
      <c r="DK18" s="512"/>
      <c r="DL18" s="512"/>
      <c r="DM18" s="512"/>
      <c r="DN18" s="512"/>
      <c r="DO18" s="512"/>
      <c r="DP18" s="512"/>
      <c r="DQ18" s="512"/>
      <c r="DR18" s="512"/>
      <c r="DS18" s="512"/>
      <c r="DT18" s="512"/>
      <c r="DU18" s="512"/>
      <c r="DV18" s="512"/>
      <c r="DW18" s="512"/>
      <c r="DX18" s="512"/>
      <c r="DY18" s="512"/>
      <c r="DZ18" s="512"/>
      <c r="EA18" s="512"/>
      <c r="EB18" s="512"/>
      <c r="EC18" s="512"/>
      <c r="ED18" s="512"/>
      <c r="EE18" s="512"/>
      <c r="EF18" s="512"/>
      <c r="EG18" s="512"/>
      <c r="EH18" s="512"/>
      <c r="EI18" s="512"/>
      <c r="EJ18" s="512"/>
      <c r="EK18" s="512"/>
      <c r="EL18" s="512"/>
      <c r="EM18" s="512"/>
      <c r="EN18" s="512"/>
      <c r="EO18" s="512"/>
      <c r="EP18" s="512"/>
      <c r="EQ18" s="512"/>
      <c r="ER18" s="512"/>
      <c r="ES18" s="512"/>
      <c r="ET18" s="512"/>
      <c r="EU18" s="512"/>
      <c r="EV18" s="512"/>
      <c r="EW18" s="512"/>
      <c r="EX18" s="512"/>
      <c r="EY18" s="512"/>
      <c r="EZ18" s="512"/>
      <c r="FA18" s="512"/>
      <c r="FB18" s="512"/>
      <c r="FC18" s="512"/>
      <c r="FD18" s="512"/>
      <c r="FE18" s="512"/>
      <c r="FF18" s="512"/>
      <c r="FG18" s="512"/>
      <c r="FH18" s="512"/>
      <c r="FI18" s="512"/>
      <c r="FJ18" s="512"/>
      <c r="FK18" s="512"/>
      <c r="FL18" s="512"/>
      <c r="FM18" s="512"/>
      <c r="FN18" s="512"/>
      <c r="FO18" s="512"/>
      <c r="FP18" s="512"/>
      <c r="FQ18" s="512"/>
      <c r="FR18" s="512"/>
      <c r="FS18" s="512"/>
      <c r="FT18" s="512"/>
      <c r="FU18" s="512"/>
      <c r="FV18" s="512"/>
      <c r="FW18" s="512"/>
      <c r="FX18" s="512"/>
      <c r="FY18" s="512"/>
      <c r="FZ18" s="512"/>
      <c r="GA18" s="512"/>
      <c r="GB18" s="513"/>
      <c r="HQ18" s="516"/>
      <c r="IA18" s="508"/>
      <c r="IB18" s="509"/>
      <c r="IC18" s="509"/>
      <c r="ID18" s="509"/>
      <c r="IE18" s="509"/>
      <c r="IF18" s="509"/>
      <c r="IG18" s="510"/>
      <c r="IH18" s="527"/>
      <c r="II18" s="528"/>
      <c r="IJ18" s="528"/>
      <c r="IK18" s="528"/>
      <c r="IL18" s="529"/>
      <c r="IX18" s="2598"/>
      <c r="IY18" s="2598"/>
      <c r="IZ18" s="2598"/>
      <c r="JA18" s="2598"/>
      <c r="JB18" s="2598"/>
      <c r="JC18" s="2598"/>
      <c r="JD18" s="2598"/>
      <c r="JE18" s="2598"/>
      <c r="JF18" s="2598"/>
      <c r="JG18" s="2598"/>
      <c r="JH18" s="2598"/>
      <c r="JI18" s="2598"/>
      <c r="JO18" s="516"/>
    </row>
    <row r="19" spans="29:276" ht="4.1500000000000004" customHeight="1">
      <c r="AD19" s="516"/>
      <c r="AK19" s="516"/>
      <c r="AR19" s="517"/>
      <c r="GA19" s="517"/>
      <c r="HQ19" s="516"/>
      <c r="IH19" s="516"/>
      <c r="IL19" s="517"/>
      <c r="IX19" s="514"/>
      <c r="IY19" s="514"/>
      <c r="IZ19" s="514"/>
      <c r="JA19" s="514"/>
      <c r="JB19" s="514"/>
      <c r="JC19" s="514"/>
      <c r="JD19" s="515"/>
      <c r="JE19" s="514"/>
      <c r="JF19" s="514"/>
      <c r="JG19" s="514"/>
      <c r="JH19" s="514"/>
      <c r="JI19" s="514"/>
      <c r="JM19" s="2594">
        <f>JB5+IX16+JB24</f>
        <v>3.35</v>
      </c>
      <c r="JN19" s="2595"/>
      <c r="JO19" s="2595"/>
      <c r="JP19" s="2595"/>
    </row>
    <row r="20" spans="29:276" ht="4.1500000000000004" customHeight="1">
      <c r="AD20" s="516"/>
      <c r="AK20" s="516"/>
      <c r="AR20" s="517"/>
      <c r="GA20" s="517"/>
      <c r="HQ20" s="516"/>
      <c r="IA20" s="2599">
        <v>0.6</v>
      </c>
      <c r="IB20" s="2600"/>
      <c r="IC20" s="2600"/>
      <c r="ID20" s="2600"/>
      <c r="IE20" s="2600"/>
      <c r="IF20" s="2600"/>
      <c r="IG20" s="2601"/>
      <c r="IH20" s="516"/>
      <c r="IL20" s="517"/>
      <c r="JD20" s="516"/>
      <c r="JM20" s="2595"/>
      <c r="JN20" s="2595"/>
      <c r="JO20" s="2595"/>
      <c r="JP20" s="2595"/>
    </row>
    <row r="21" spans="29:276" ht="4.1500000000000004" customHeight="1">
      <c r="AD21" s="516"/>
      <c r="AK21" s="516"/>
      <c r="AR21" s="517"/>
      <c r="GA21" s="517"/>
      <c r="HO21" s="2594">
        <f>JM19+JN42</f>
        <v>3.95</v>
      </c>
      <c r="HP21" s="2595"/>
      <c r="HQ21" s="2595"/>
      <c r="HR21" s="2595"/>
      <c r="IA21" s="2599"/>
      <c r="IB21" s="2600"/>
      <c r="IC21" s="2600"/>
      <c r="ID21" s="2600"/>
      <c r="IE21" s="2600"/>
      <c r="IF21" s="2600"/>
      <c r="IG21" s="2601"/>
      <c r="IH21" s="516"/>
      <c r="IL21" s="517"/>
      <c r="JD21" s="516"/>
      <c r="JM21" s="2595"/>
      <c r="JN21" s="2595"/>
      <c r="JO21" s="2595"/>
      <c r="JP21" s="2595"/>
    </row>
    <row r="22" spans="29:276" ht="4.1500000000000004" customHeight="1">
      <c r="AD22" s="516"/>
      <c r="AK22" s="516"/>
      <c r="AR22" s="517"/>
      <c r="GA22" s="517"/>
      <c r="HO22" s="2595"/>
      <c r="HP22" s="2595"/>
      <c r="HQ22" s="2595"/>
      <c r="HR22" s="2595"/>
      <c r="IA22" s="2599"/>
      <c r="IB22" s="2600"/>
      <c r="IC22" s="2600"/>
      <c r="ID22" s="2600"/>
      <c r="IE22" s="2600"/>
      <c r="IF22" s="2600"/>
      <c r="IG22" s="2601"/>
      <c r="IH22" s="516"/>
      <c r="IL22" s="517"/>
      <c r="JD22" s="516"/>
      <c r="JM22" s="2595"/>
      <c r="JN22" s="2595"/>
      <c r="JO22" s="2595"/>
      <c r="JP22" s="2595"/>
    </row>
    <row r="23" spans="29:276" ht="4.1500000000000004" customHeight="1">
      <c r="AD23" s="516"/>
      <c r="AK23" s="516"/>
      <c r="AR23" s="517"/>
      <c r="GA23" s="517"/>
      <c r="HO23" s="2595"/>
      <c r="HP23" s="2595"/>
      <c r="HQ23" s="2595"/>
      <c r="HR23" s="2595"/>
      <c r="IH23" s="516"/>
      <c r="IL23" s="517"/>
      <c r="JD23" s="516"/>
      <c r="JM23" s="2595"/>
      <c r="JN23" s="2595"/>
      <c r="JO23" s="2595"/>
      <c r="JP23" s="2595"/>
    </row>
    <row r="24" spans="29:276" ht="4.1500000000000004" customHeight="1">
      <c r="AD24" s="516"/>
      <c r="AK24" s="516"/>
      <c r="AR24" s="517"/>
      <c r="GA24" s="517"/>
      <c r="HO24" s="2595"/>
      <c r="HP24" s="2595"/>
      <c r="HQ24" s="2595"/>
      <c r="HR24" s="2595"/>
      <c r="IH24" s="516"/>
      <c r="IL24" s="517"/>
      <c r="JB24" s="2594">
        <v>2.1</v>
      </c>
      <c r="JC24" s="2595"/>
      <c r="JD24" s="2595"/>
      <c r="JE24" s="2595"/>
      <c r="JM24" s="2595"/>
      <c r="JN24" s="2595"/>
      <c r="JO24" s="2595"/>
      <c r="JP24" s="2595"/>
    </row>
    <row r="25" spans="29:276" ht="4.1500000000000004" customHeight="1">
      <c r="AD25" s="516"/>
      <c r="AK25" s="516"/>
      <c r="AR25" s="517"/>
      <c r="BE25" s="515"/>
      <c r="BF25" s="514"/>
      <c r="BG25" s="514"/>
      <c r="BH25" s="514"/>
      <c r="BI25" s="514"/>
      <c r="BJ25" s="514"/>
      <c r="BK25" s="514"/>
      <c r="BL25" s="514"/>
      <c r="BM25" s="514"/>
      <c r="BN25" s="514"/>
      <c r="BO25" s="518"/>
      <c r="BZ25" s="515"/>
      <c r="CA25" s="514"/>
      <c r="CB25" s="514"/>
      <c r="CC25" s="514"/>
      <c r="CD25" s="514"/>
      <c r="CE25" s="514"/>
      <c r="CF25" s="514"/>
      <c r="CG25" s="514"/>
      <c r="CH25" s="514"/>
      <c r="CI25" s="514"/>
      <c r="CJ25" s="518"/>
      <c r="CT25" s="515"/>
      <c r="CU25" s="514"/>
      <c r="CV25" s="514"/>
      <c r="CW25" s="514"/>
      <c r="CX25" s="514"/>
      <c r="CY25" s="514"/>
      <c r="CZ25" s="514"/>
      <c r="DA25" s="514"/>
      <c r="DB25" s="514"/>
      <c r="DC25" s="514"/>
      <c r="DD25" s="518"/>
      <c r="DH25" s="515"/>
      <c r="DI25" s="514"/>
      <c r="DJ25" s="514"/>
      <c r="DK25" s="514"/>
      <c r="DL25" s="514"/>
      <c r="DM25" s="514"/>
      <c r="DN25" s="514"/>
      <c r="DO25" s="514"/>
      <c r="DP25" s="514"/>
      <c r="DQ25" s="514"/>
      <c r="DR25" s="518"/>
      <c r="DU25" s="515"/>
      <c r="DV25" s="514"/>
      <c r="DW25" s="514"/>
      <c r="DX25" s="514"/>
      <c r="DY25" s="514"/>
      <c r="DZ25" s="514"/>
      <c r="EA25" s="514"/>
      <c r="EB25" s="514"/>
      <c r="EC25" s="514"/>
      <c r="ED25" s="514"/>
      <c r="EE25" s="518"/>
      <c r="EO25" s="515"/>
      <c r="EP25" s="514"/>
      <c r="EQ25" s="514"/>
      <c r="ER25" s="514"/>
      <c r="ES25" s="514"/>
      <c r="ET25" s="514"/>
      <c r="EU25" s="514"/>
      <c r="EV25" s="514"/>
      <c r="EW25" s="514"/>
      <c r="EX25" s="514"/>
      <c r="EY25" s="518"/>
      <c r="FJ25" s="515"/>
      <c r="FK25" s="514"/>
      <c r="FL25" s="514"/>
      <c r="FM25" s="514"/>
      <c r="FN25" s="514"/>
      <c r="FO25" s="514"/>
      <c r="FP25" s="514"/>
      <c r="FQ25" s="514"/>
      <c r="FR25" s="514"/>
      <c r="FS25" s="514"/>
      <c r="FT25" s="518"/>
      <c r="GA25" s="517"/>
      <c r="GB25" s="515"/>
      <c r="GC25" s="514"/>
      <c r="GD25" s="518"/>
      <c r="HO25" s="2595"/>
      <c r="HP25" s="2595"/>
      <c r="HQ25" s="2595"/>
      <c r="HR25" s="2595"/>
      <c r="IH25" s="516"/>
      <c r="IL25" s="517"/>
      <c r="JB25" s="2595"/>
      <c r="JC25" s="2595"/>
      <c r="JD25" s="2595"/>
      <c r="JE25" s="2595"/>
      <c r="JM25" s="2595"/>
      <c r="JN25" s="2595"/>
      <c r="JO25" s="2595"/>
      <c r="JP25" s="2595"/>
    </row>
    <row r="26" spans="29:276" ht="4.1500000000000004" customHeight="1">
      <c r="AD26" s="516"/>
      <c r="AK26" s="516"/>
      <c r="AR26" s="517"/>
      <c r="BE26" s="516"/>
      <c r="BF26" s="515"/>
      <c r="BG26" s="514"/>
      <c r="BH26" s="514"/>
      <c r="BI26" s="514"/>
      <c r="BJ26" s="514"/>
      <c r="BK26" s="514"/>
      <c r="BL26" s="514"/>
      <c r="BM26" s="514"/>
      <c r="BN26" s="518"/>
      <c r="BO26" s="517"/>
      <c r="BZ26" s="516"/>
      <c r="CA26" s="515"/>
      <c r="CB26" s="514"/>
      <c r="CC26" s="514"/>
      <c r="CD26" s="514"/>
      <c r="CE26" s="514"/>
      <c r="CF26" s="514"/>
      <c r="CG26" s="514"/>
      <c r="CH26" s="514"/>
      <c r="CI26" s="518"/>
      <c r="CJ26" s="517"/>
      <c r="CT26" s="516"/>
      <c r="CU26" s="515"/>
      <c r="CV26" s="514"/>
      <c r="CW26" s="514"/>
      <c r="CX26" s="514"/>
      <c r="CY26" s="514"/>
      <c r="CZ26" s="514"/>
      <c r="DA26" s="514"/>
      <c r="DB26" s="514"/>
      <c r="DC26" s="518"/>
      <c r="DD26" s="517"/>
      <c r="DH26" s="516"/>
      <c r="DI26" s="515"/>
      <c r="DJ26" s="514"/>
      <c r="DK26" s="514"/>
      <c r="DL26" s="514"/>
      <c r="DM26" s="514"/>
      <c r="DN26" s="514"/>
      <c r="DO26" s="514"/>
      <c r="DP26" s="514"/>
      <c r="DQ26" s="518"/>
      <c r="DR26" s="517"/>
      <c r="DU26" s="516"/>
      <c r="DV26" s="515"/>
      <c r="DW26" s="514"/>
      <c r="DX26" s="514"/>
      <c r="DY26" s="514"/>
      <c r="DZ26" s="514"/>
      <c r="EA26" s="514"/>
      <c r="EB26" s="514"/>
      <c r="EC26" s="514"/>
      <c r="ED26" s="518"/>
      <c r="EE26" s="517"/>
      <c r="EO26" s="516"/>
      <c r="EP26" s="515"/>
      <c r="EQ26" s="514"/>
      <c r="ER26" s="514"/>
      <c r="ES26" s="514"/>
      <c r="ET26" s="514"/>
      <c r="EU26" s="514"/>
      <c r="EV26" s="514"/>
      <c r="EW26" s="514"/>
      <c r="EX26" s="518"/>
      <c r="EY26" s="517"/>
      <c r="FJ26" s="516"/>
      <c r="FK26" s="515"/>
      <c r="FL26" s="514"/>
      <c r="FM26" s="514"/>
      <c r="FN26" s="514"/>
      <c r="FO26" s="514"/>
      <c r="FP26" s="514"/>
      <c r="FQ26" s="514"/>
      <c r="FR26" s="514"/>
      <c r="FS26" s="518"/>
      <c r="FT26" s="517"/>
      <c r="GA26" s="517"/>
      <c r="GB26" s="516"/>
      <c r="GD26" s="517"/>
      <c r="HO26" s="2595"/>
      <c r="HP26" s="2595"/>
      <c r="HQ26" s="2595"/>
      <c r="HR26" s="2595"/>
      <c r="IH26" s="516"/>
      <c r="IL26" s="517"/>
      <c r="JB26" s="2595"/>
      <c r="JC26" s="2595"/>
      <c r="JD26" s="2595"/>
      <c r="JE26" s="2595"/>
      <c r="JM26" s="2595"/>
      <c r="JN26" s="2595"/>
      <c r="JO26" s="2595"/>
      <c r="JP26" s="2595"/>
    </row>
    <row r="27" spans="29:276" ht="4.1500000000000004" customHeight="1">
      <c r="AD27" s="516"/>
      <c r="AK27" s="516"/>
      <c r="AR27" s="517"/>
      <c r="BE27" s="516"/>
      <c r="BF27" s="516"/>
      <c r="BN27" s="517"/>
      <c r="BO27" s="517"/>
      <c r="BZ27" s="516"/>
      <c r="CA27" s="516"/>
      <c r="CI27" s="517"/>
      <c r="CJ27" s="517"/>
      <c r="CT27" s="516"/>
      <c r="CU27" s="516"/>
      <c r="DC27" s="517"/>
      <c r="DD27" s="517"/>
      <c r="DH27" s="516"/>
      <c r="DI27" s="516"/>
      <c r="DQ27" s="517"/>
      <c r="DR27" s="517"/>
      <c r="DU27" s="516"/>
      <c r="DV27" s="516"/>
      <c r="ED27" s="517"/>
      <c r="EE27" s="517"/>
      <c r="EO27" s="516"/>
      <c r="EP27" s="516"/>
      <c r="EX27" s="517"/>
      <c r="EY27" s="517"/>
      <c r="FJ27" s="516"/>
      <c r="FK27" s="516"/>
      <c r="FS27" s="517"/>
      <c r="FT27" s="517"/>
      <c r="GA27" s="517"/>
      <c r="GB27" s="516"/>
      <c r="GD27" s="517"/>
      <c r="HO27" s="2595"/>
      <c r="HP27" s="2595"/>
      <c r="HQ27" s="2595"/>
      <c r="HR27" s="2595"/>
      <c r="IH27" s="516"/>
      <c r="IL27" s="517"/>
      <c r="JB27" s="2595"/>
      <c r="JC27" s="2595"/>
      <c r="JD27" s="2595"/>
      <c r="JE27" s="2595"/>
      <c r="JM27" s="2595"/>
      <c r="JN27" s="2595"/>
      <c r="JO27" s="2595"/>
      <c r="JP27" s="2595"/>
    </row>
    <row r="28" spans="29:276" ht="4.1500000000000004" customHeight="1">
      <c r="AD28" s="516"/>
      <c r="AK28" s="516"/>
      <c r="AR28" s="517"/>
      <c r="BE28" s="516"/>
      <c r="BF28" s="516"/>
      <c r="BN28" s="517"/>
      <c r="BO28" s="517"/>
      <c r="BZ28" s="516"/>
      <c r="CA28" s="516"/>
      <c r="CI28" s="517"/>
      <c r="CJ28" s="517"/>
      <c r="CT28" s="516"/>
      <c r="CU28" s="516"/>
      <c r="DC28" s="517"/>
      <c r="DD28" s="517"/>
      <c r="DH28" s="516"/>
      <c r="DI28" s="516"/>
      <c r="DQ28" s="517"/>
      <c r="DR28" s="517"/>
      <c r="DU28" s="516"/>
      <c r="DV28" s="516"/>
      <c r="ED28" s="517"/>
      <c r="EE28" s="517"/>
      <c r="EO28" s="516"/>
      <c r="EP28" s="516"/>
      <c r="EX28" s="517"/>
      <c r="EY28" s="517"/>
      <c r="FJ28" s="516"/>
      <c r="FK28" s="516"/>
      <c r="FS28" s="517"/>
      <c r="FT28" s="517"/>
      <c r="GA28" s="517"/>
      <c r="GB28" s="516"/>
      <c r="GD28" s="517"/>
      <c r="HO28" s="2595"/>
      <c r="HP28" s="2595"/>
      <c r="HQ28" s="2595"/>
      <c r="HR28" s="2595"/>
      <c r="IH28" s="516"/>
      <c r="IL28" s="517"/>
      <c r="JB28" s="2595"/>
      <c r="JC28" s="2595"/>
      <c r="JD28" s="2595"/>
      <c r="JE28" s="2595"/>
      <c r="JM28" s="2595"/>
      <c r="JN28" s="2595"/>
      <c r="JO28" s="2595"/>
      <c r="JP28" s="2595"/>
    </row>
    <row r="29" spans="29:276" ht="4.1500000000000004" customHeight="1">
      <c r="AD29" s="516"/>
      <c r="AK29" s="516"/>
      <c r="AR29" s="517"/>
      <c r="BE29" s="516"/>
      <c r="BF29" s="516"/>
      <c r="BN29" s="517"/>
      <c r="BO29" s="517"/>
      <c r="BZ29" s="516"/>
      <c r="CA29" s="516"/>
      <c r="CI29" s="517"/>
      <c r="CJ29" s="517"/>
      <c r="CT29" s="516"/>
      <c r="CU29" s="516"/>
      <c r="DC29" s="517"/>
      <c r="DD29" s="517"/>
      <c r="DH29" s="516"/>
      <c r="DI29" s="516"/>
      <c r="DQ29" s="517"/>
      <c r="DR29" s="517"/>
      <c r="DU29" s="516"/>
      <c r="DV29" s="516"/>
      <c r="ED29" s="517"/>
      <c r="EE29" s="517"/>
      <c r="EO29" s="516"/>
      <c r="EP29" s="516"/>
      <c r="EX29" s="517"/>
      <c r="EY29" s="517"/>
      <c r="FJ29" s="516"/>
      <c r="FK29" s="516"/>
      <c r="FS29" s="517"/>
      <c r="FT29" s="517"/>
      <c r="GA29" s="517"/>
      <c r="GB29" s="516"/>
      <c r="GD29" s="517"/>
      <c r="HO29" s="2595"/>
      <c r="HP29" s="2595"/>
      <c r="HQ29" s="2595"/>
      <c r="HR29" s="2595"/>
      <c r="IH29" s="516"/>
      <c r="IL29" s="517"/>
      <c r="JB29" s="2595"/>
      <c r="JC29" s="2595"/>
      <c r="JD29" s="2595"/>
      <c r="JE29" s="2595"/>
      <c r="JO29" s="516"/>
    </row>
    <row r="30" spans="29:276" ht="4.1500000000000004" customHeight="1">
      <c r="AD30" s="516"/>
      <c r="AK30" s="516"/>
      <c r="AR30" s="517"/>
      <c r="BE30" s="516"/>
      <c r="BF30" s="516"/>
      <c r="BN30" s="517"/>
      <c r="BO30" s="517"/>
      <c r="BZ30" s="516"/>
      <c r="CA30" s="516"/>
      <c r="CI30" s="517"/>
      <c r="CJ30" s="517"/>
      <c r="CT30" s="516"/>
      <c r="CU30" s="516"/>
      <c r="DC30" s="517"/>
      <c r="DD30" s="517"/>
      <c r="DH30" s="516"/>
      <c r="DI30" s="516"/>
      <c r="DQ30" s="517"/>
      <c r="DR30" s="517"/>
      <c r="DU30" s="516"/>
      <c r="DV30" s="516"/>
      <c r="ED30" s="517"/>
      <c r="EE30" s="517"/>
      <c r="EO30" s="516"/>
      <c r="EP30" s="516"/>
      <c r="EX30" s="517"/>
      <c r="EY30" s="517"/>
      <c r="FJ30" s="516"/>
      <c r="FK30" s="516"/>
      <c r="FS30" s="517"/>
      <c r="FT30" s="517"/>
      <c r="GA30" s="517"/>
      <c r="GB30" s="516"/>
      <c r="GD30" s="517"/>
      <c r="HO30" s="2595"/>
      <c r="HP30" s="2595"/>
      <c r="HQ30" s="2595"/>
      <c r="HR30" s="2595"/>
      <c r="IH30" s="516"/>
      <c r="IL30" s="517"/>
      <c r="JB30" s="2595"/>
      <c r="JC30" s="2595"/>
      <c r="JD30" s="2595"/>
      <c r="JE30" s="2595"/>
      <c r="JO30" s="516"/>
    </row>
    <row r="31" spans="29:276" ht="4.1500000000000004" customHeight="1">
      <c r="AD31" s="516"/>
      <c r="AK31" s="516"/>
      <c r="AR31" s="517"/>
      <c r="BE31" s="516"/>
      <c r="BF31" s="516"/>
      <c r="BN31" s="517"/>
      <c r="BO31" s="517"/>
      <c r="BZ31" s="516"/>
      <c r="CA31" s="516"/>
      <c r="CI31" s="517"/>
      <c r="CJ31" s="517"/>
      <c r="CT31" s="516"/>
      <c r="CU31" s="516"/>
      <c r="DC31" s="517"/>
      <c r="DD31" s="517"/>
      <c r="DH31" s="516"/>
      <c r="DI31" s="516"/>
      <c r="DQ31" s="517"/>
      <c r="DR31" s="517"/>
      <c r="DU31" s="516"/>
      <c r="DV31" s="516"/>
      <c r="ED31" s="517"/>
      <c r="EE31" s="517"/>
      <c r="EO31" s="516"/>
      <c r="EP31" s="516"/>
      <c r="EX31" s="517"/>
      <c r="EY31" s="517"/>
      <c r="FJ31" s="516"/>
      <c r="FK31" s="516"/>
      <c r="FS31" s="517"/>
      <c r="FT31" s="517"/>
      <c r="GA31" s="517"/>
      <c r="GB31" s="516"/>
      <c r="GD31" s="517"/>
      <c r="HQ31" s="516"/>
      <c r="IH31" s="516"/>
      <c r="IL31" s="517"/>
      <c r="JB31" s="2595"/>
      <c r="JC31" s="2595"/>
      <c r="JD31" s="2595"/>
      <c r="JE31" s="2595"/>
      <c r="JO31" s="516"/>
    </row>
    <row r="32" spans="29:276" ht="4.1500000000000004" customHeight="1">
      <c r="AD32" s="516"/>
      <c r="AK32" s="516"/>
      <c r="AR32" s="517"/>
      <c r="BE32" s="516"/>
      <c r="BF32" s="516"/>
      <c r="BN32" s="517"/>
      <c r="BO32" s="517"/>
      <c r="BZ32" s="516"/>
      <c r="CA32" s="516"/>
      <c r="CI32" s="517"/>
      <c r="CJ32" s="517"/>
      <c r="CT32" s="516"/>
      <c r="CU32" s="516"/>
      <c r="DC32" s="517"/>
      <c r="DD32" s="517"/>
      <c r="DH32" s="516"/>
      <c r="DI32" s="516"/>
      <c r="DQ32" s="517"/>
      <c r="DR32" s="517"/>
      <c r="DU32" s="516"/>
      <c r="DV32" s="516"/>
      <c r="ED32" s="517"/>
      <c r="EE32" s="517"/>
      <c r="EO32" s="516"/>
      <c r="EP32" s="516"/>
      <c r="EX32" s="517"/>
      <c r="EY32" s="517"/>
      <c r="FJ32" s="516"/>
      <c r="FK32" s="516"/>
      <c r="FS32" s="517"/>
      <c r="FT32" s="517"/>
      <c r="GA32" s="517"/>
      <c r="GB32" s="516"/>
      <c r="GD32" s="517"/>
      <c r="HQ32" s="516"/>
      <c r="IH32" s="516"/>
      <c r="IL32" s="517"/>
      <c r="JB32" s="2595"/>
      <c r="JC32" s="2595"/>
      <c r="JD32" s="2595"/>
      <c r="JE32" s="2595"/>
      <c r="JO32" s="516"/>
    </row>
    <row r="33" spans="29:287" ht="4.1500000000000004" customHeight="1">
      <c r="AD33" s="516"/>
      <c r="AK33" s="516"/>
      <c r="AR33" s="517"/>
      <c r="BE33" s="516"/>
      <c r="BF33" s="530"/>
      <c r="BG33" s="532"/>
      <c r="BH33" s="532"/>
      <c r="BI33" s="532"/>
      <c r="BJ33" s="532"/>
      <c r="BK33" s="532"/>
      <c r="BL33" s="532"/>
      <c r="BM33" s="532"/>
      <c r="BN33" s="531"/>
      <c r="BO33" s="517"/>
      <c r="BZ33" s="516"/>
      <c r="CA33" s="530"/>
      <c r="CB33" s="532"/>
      <c r="CC33" s="532"/>
      <c r="CD33" s="532"/>
      <c r="CE33" s="532"/>
      <c r="CF33" s="532"/>
      <c r="CG33" s="532"/>
      <c r="CH33" s="532"/>
      <c r="CI33" s="531"/>
      <c r="CJ33" s="517"/>
      <c r="CT33" s="516"/>
      <c r="CU33" s="530"/>
      <c r="CV33" s="532"/>
      <c r="CW33" s="532"/>
      <c r="CX33" s="532"/>
      <c r="CY33" s="532"/>
      <c r="CZ33" s="532"/>
      <c r="DA33" s="532"/>
      <c r="DB33" s="532"/>
      <c r="DC33" s="531"/>
      <c r="DD33" s="517"/>
      <c r="DH33" s="516"/>
      <c r="DI33" s="530"/>
      <c r="DJ33" s="532"/>
      <c r="DK33" s="532"/>
      <c r="DL33" s="532"/>
      <c r="DM33" s="532"/>
      <c r="DN33" s="532"/>
      <c r="DO33" s="532"/>
      <c r="DP33" s="532"/>
      <c r="DQ33" s="531"/>
      <c r="DR33" s="517"/>
      <c r="DU33" s="516"/>
      <c r="DV33" s="530"/>
      <c r="DW33" s="532"/>
      <c r="DX33" s="532"/>
      <c r="DY33" s="532"/>
      <c r="DZ33" s="532"/>
      <c r="EA33" s="532"/>
      <c r="EB33" s="532"/>
      <c r="EC33" s="532"/>
      <c r="ED33" s="531"/>
      <c r="EE33" s="517"/>
      <c r="EO33" s="516"/>
      <c r="EP33" s="530"/>
      <c r="EQ33" s="532"/>
      <c r="ER33" s="532"/>
      <c r="ES33" s="532"/>
      <c r="ET33" s="532"/>
      <c r="EU33" s="532"/>
      <c r="EV33" s="532"/>
      <c r="EW33" s="532"/>
      <c r="EX33" s="531"/>
      <c r="EY33" s="517"/>
      <c r="FJ33" s="516"/>
      <c r="FK33" s="530"/>
      <c r="FL33" s="532"/>
      <c r="FM33" s="532"/>
      <c r="FN33" s="532"/>
      <c r="FO33" s="532"/>
      <c r="FP33" s="532"/>
      <c r="FQ33" s="532"/>
      <c r="FR33" s="532"/>
      <c r="FS33" s="531"/>
      <c r="FT33" s="517"/>
      <c r="GA33" s="517"/>
      <c r="GB33" s="516"/>
      <c r="GD33" s="517"/>
      <c r="HQ33" s="516"/>
      <c r="IH33" s="516"/>
      <c r="IL33" s="517"/>
      <c r="IM33" s="516"/>
      <c r="JB33" s="2595"/>
      <c r="JC33" s="2595"/>
      <c r="JD33" s="2595"/>
      <c r="JE33" s="2595"/>
      <c r="JO33" s="516"/>
    </row>
    <row r="34" spans="29:287" ht="4.1500000000000004" customHeight="1">
      <c r="AD34" s="516"/>
      <c r="AK34" s="516"/>
      <c r="AR34" s="517"/>
      <c r="BE34" s="530"/>
      <c r="BF34" s="532"/>
      <c r="BG34" s="532"/>
      <c r="BH34" s="532"/>
      <c r="BI34" s="532"/>
      <c r="BJ34" s="532"/>
      <c r="BK34" s="532"/>
      <c r="BL34" s="532"/>
      <c r="BM34" s="532"/>
      <c r="BN34" s="532"/>
      <c r="BO34" s="531"/>
      <c r="BZ34" s="530"/>
      <c r="CA34" s="532"/>
      <c r="CB34" s="532"/>
      <c r="CC34" s="532"/>
      <c r="CD34" s="532"/>
      <c r="CE34" s="532"/>
      <c r="CF34" s="532"/>
      <c r="CG34" s="532"/>
      <c r="CH34" s="532"/>
      <c r="CI34" s="532"/>
      <c r="CJ34" s="531"/>
      <c r="CT34" s="530"/>
      <c r="CU34" s="532"/>
      <c r="CV34" s="532"/>
      <c r="CW34" s="532"/>
      <c r="CX34" s="532"/>
      <c r="CY34" s="532"/>
      <c r="CZ34" s="532"/>
      <c r="DA34" s="532"/>
      <c r="DB34" s="532"/>
      <c r="DC34" s="532"/>
      <c r="DD34" s="531"/>
      <c r="DH34" s="530"/>
      <c r="DI34" s="532"/>
      <c r="DJ34" s="532"/>
      <c r="DK34" s="532"/>
      <c r="DL34" s="532"/>
      <c r="DM34" s="532"/>
      <c r="DN34" s="532"/>
      <c r="DO34" s="532"/>
      <c r="DP34" s="532"/>
      <c r="DQ34" s="532"/>
      <c r="DR34" s="531"/>
      <c r="DU34" s="530"/>
      <c r="DV34" s="532"/>
      <c r="DW34" s="532"/>
      <c r="DX34" s="532"/>
      <c r="DY34" s="532"/>
      <c r="DZ34" s="532"/>
      <c r="EA34" s="532"/>
      <c r="EB34" s="532"/>
      <c r="EC34" s="532"/>
      <c r="ED34" s="532"/>
      <c r="EE34" s="531"/>
      <c r="EO34" s="530"/>
      <c r="EP34" s="532"/>
      <c r="EQ34" s="532"/>
      <c r="ER34" s="532"/>
      <c r="ES34" s="532"/>
      <c r="ET34" s="532"/>
      <c r="EU34" s="532"/>
      <c r="EV34" s="532"/>
      <c r="EW34" s="532"/>
      <c r="EX34" s="532"/>
      <c r="EY34" s="531"/>
      <c r="FJ34" s="530"/>
      <c r="FK34" s="532"/>
      <c r="FL34" s="532"/>
      <c r="FM34" s="532"/>
      <c r="FN34" s="532"/>
      <c r="FO34" s="532"/>
      <c r="FP34" s="532"/>
      <c r="FQ34" s="532"/>
      <c r="FR34" s="532"/>
      <c r="FS34" s="532"/>
      <c r="FT34" s="531"/>
      <c r="GA34" s="517"/>
      <c r="GB34" s="530"/>
      <c r="GC34" s="532"/>
      <c r="GD34" s="531"/>
      <c r="HQ34" s="516"/>
      <c r="IH34" s="516"/>
      <c r="IL34" s="517"/>
      <c r="IM34" s="516"/>
      <c r="JD34" s="516"/>
      <c r="JO34" s="516"/>
    </row>
    <row r="35" spans="29:287" ht="4.1500000000000004" customHeight="1">
      <c r="AD35" s="516"/>
      <c r="AK35" s="516"/>
      <c r="AR35" s="517"/>
      <c r="GA35" s="517"/>
      <c r="HQ35" s="516"/>
      <c r="IH35" s="516"/>
      <c r="IL35" s="517"/>
      <c r="IM35" s="516"/>
      <c r="JD35" s="516"/>
      <c r="JO35" s="516"/>
    </row>
    <row r="36" spans="29:287" ht="4.1500000000000004" customHeight="1">
      <c r="AD36" s="516"/>
      <c r="AK36" s="516"/>
      <c r="AR36" s="517"/>
      <c r="GA36" s="517"/>
      <c r="HQ36" s="516"/>
      <c r="IH36" s="516"/>
      <c r="IL36" s="517"/>
      <c r="IM36" s="516"/>
      <c r="JD36" s="516"/>
      <c r="JO36" s="516"/>
    </row>
    <row r="37" spans="29:287" ht="4.1500000000000004" customHeight="1">
      <c r="AD37" s="516"/>
      <c r="AK37" s="516"/>
      <c r="AR37" s="517"/>
      <c r="GA37" s="517"/>
      <c r="HQ37" s="516"/>
      <c r="IH37" s="516"/>
      <c r="IL37" s="517"/>
      <c r="IM37" s="516"/>
      <c r="JD37" s="516"/>
      <c r="JO37" s="516"/>
    </row>
    <row r="38" spans="29:287" ht="4.1500000000000004" customHeight="1">
      <c r="AD38" s="530"/>
      <c r="AE38" s="532"/>
      <c r="AF38" s="532"/>
      <c r="AG38" s="532"/>
      <c r="AH38" s="532"/>
      <c r="AI38" s="532"/>
      <c r="AJ38" s="532"/>
      <c r="AK38" s="516"/>
      <c r="AR38" s="517"/>
      <c r="AS38" s="532"/>
      <c r="AT38" s="532"/>
      <c r="AU38" s="532"/>
      <c r="AV38" s="532"/>
      <c r="AW38" s="532"/>
      <c r="AX38" s="532"/>
      <c r="AY38" s="532"/>
      <c r="AZ38" s="532"/>
      <c r="BA38" s="532"/>
      <c r="BB38" s="532"/>
      <c r="BC38" s="532"/>
      <c r="BD38" s="532"/>
      <c r="BE38" s="532"/>
      <c r="BF38" s="532"/>
      <c r="BG38" s="532"/>
      <c r="BH38" s="532"/>
      <c r="BI38" s="532"/>
      <c r="BJ38" s="532"/>
      <c r="BK38" s="532"/>
      <c r="BL38" s="532"/>
      <c r="BM38" s="532"/>
      <c r="BN38" s="532"/>
      <c r="BO38" s="532"/>
      <c r="BP38" s="532"/>
      <c r="BQ38" s="532"/>
      <c r="BR38" s="532"/>
      <c r="BS38" s="532"/>
      <c r="BT38" s="532"/>
      <c r="BU38" s="532"/>
      <c r="BV38" s="532"/>
      <c r="BW38" s="532"/>
      <c r="BX38" s="532"/>
      <c r="BY38" s="532"/>
      <c r="BZ38" s="532"/>
      <c r="CA38" s="532"/>
      <c r="CB38" s="532"/>
      <c r="CC38" s="532"/>
      <c r="CD38" s="532"/>
      <c r="CE38" s="532"/>
      <c r="CF38" s="532"/>
      <c r="CG38" s="532"/>
      <c r="CH38" s="532"/>
      <c r="CI38" s="532"/>
      <c r="CJ38" s="532"/>
      <c r="CK38" s="532"/>
      <c r="CL38" s="532"/>
      <c r="CM38" s="532"/>
      <c r="CN38" s="532"/>
      <c r="CO38" s="532"/>
      <c r="CP38" s="532"/>
      <c r="CQ38" s="532"/>
      <c r="CR38" s="532"/>
      <c r="CS38" s="532"/>
      <c r="CT38" s="532"/>
      <c r="CU38" s="532"/>
      <c r="CV38" s="532"/>
      <c r="CW38" s="532"/>
      <c r="CX38" s="532"/>
      <c r="CY38" s="532"/>
      <c r="CZ38" s="532"/>
      <c r="DA38" s="532"/>
      <c r="DB38" s="532"/>
      <c r="DC38" s="532"/>
      <c r="DD38" s="532"/>
      <c r="DE38" s="532"/>
      <c r="DF38" s="532"/>
      <c r="DG38" s="532"/>
      <c r="DH38" s="532"/>
      <c r="DI38" s="532"/>
      <c r="DJ38" s="532"/>
      <c r="DK38" s="532"/>
      <c r="DL38" s="532"/>
      <c r="DM38" s="532"/>
      <c r="DN38" s="532"/>
      <c r="DO38" s="532"/>
      <c r="DP38" s="532"/>
      <c r="DQ38" s="532"/>
      <c r="DR38" s="532"/>
      <c r="DS38" s="532"/>
      <c r="DT38" s="532"/>
      <c r="DU38" s="532"/>
      <c r="DV38" s="532"/>
      <c r="DW38" s="532"/>
      <c r="DX38" s="532"/>
      <c r="DY38" s="532"/>
      <c r="DZ38" s="532"/>
      <c r="EA38" s="532"/>
      <c r="EB38" s="532"/>
      <c r="EC38" s="532"/>
      <c r="ED38" s="532"/>
      <c r="EE38" s="532"/>
      <c r="EF38" s="532"/>
      <c r="EG38" s="532"/>
      <c r="EH38" s="532"/>
      <c r="EI38" s="532"/>
      <c r="EJ38" s="532"/>
      <c r="EK38" s="532"/>
      <c r="EL38" s="532"/>
      <c r="EM38" s="532"/>
      <c r="EN38" s="532"/>
      <c r="EO38" s="532"/>
      <c r="EP38" s="532"/>
      <c r="EQ38" s="532"/>
      <c r="ER38" s="532"/>
      <c r="ES38" s="532"/>
      <c r="ET38" s="532"/>
      <c r="EU38" s="532"/>
      <c r="EV38" s="532"/>
      <c r="EW38" s="532"/>
      <c r="EX38" s="532"/>
      <c r="EY38" s="532"/>
      <c r="EZ38" s="532"/>
      <c r="FA38" s="532"/>
      <c r="FB38" s="532"/>
      <c r="FC38" s="532"/>
      <c r="FD38" s="532"/>
      <c r="FE38" s="532"/>
      <c r="FF38" s="532"/>
      <c r="FG38" s="532"/>
      <c r="FH38" s="532"/>
      <c r="FI38" s="532"/>
      <c r="FJ38" s="532"/>
      <c r="FK38" s="532"/>
      <c r="FL38" s="532"/>
      <c r="FM38" s="532"/>
      <c r="FN38" s="532"/>
      <c r="FO38" s="532"/>
      <c r="FP38" s="532"/>
      <c r="FQ38" s="532"/>
      <c r="FR38" s="532"/>
      <c r="FS38" s="532"/>
      <c r="FT38" s="532"/>
      <c r="FU38" s="532"/>
      <c r="FV38" s="532"/>
      <c r="FW38" s="532"/>
      <c r="FX38" s="532"/>
      <c r="FY38" s="532"/>
      <c r="FZ38" s="532"/>
      <c r="GA38" s="531"/>
      <c r="HQ38" s="516"/>
      <c r="IH38" s="516"/>
      <c r="IL38" s="517"/>
      <c r="IM38" s="516"/>
      <c r="JD38" s="516"/>
      <c r="JO38" s="516"/>
      <c r="JU38" s="2608" t="s">
        <v>2981</v>
      </c>
      <c r="JV38" s="2608"/>
      <c r="JW38" s="2608"/>
      <c r="JX38" s="2608"/>
      <c r="JY38" s="2608"/>
      <c r="JZ38" s="2608"/>
      <c r="KA38" s="2608"/>
    </row>
    <row r="39" spans="29:287" ht="4.1500000000000004" customHeight="1">
      <c r="AC39" s="517"/>
      <c r="AD39" s="512"/>
      <c r="AE39" s="512"/>
      <c r="AF39" s="512"/>
      <c r="AG39" s="512"/>
      <c r="AH39" s="512"/>
      <c r="AI39" s="512"/>
      <c r="AJ39" s="512"/>
      <c r="AK39" s="516"/>
      <c r="AR39" s="517"/>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2"/>
      <c r="CM39" s="512"/>
      <c r="CN39" s="512"/>
      <c r="CO39" s="512"/>
      <c r="CP39" s="512"/>
      <c r="CQ39" s="512"/>
      <c r="CR39" s="512"/>
      <c r="CS39" s="512"/>
      <c r="CT39" s="512"/>
      <c r="CU39" s="512"/>
      <c r="CV39" s="512"/>
      <c r="CW39" s="512"/>
      <c r="CX39" s="512"/>
      <c r="CY39" s="512"/>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2"/>
      <c r="DW39" s="512"/>
      <c r="DX39" s="512"/>
      <c r="DY39" s="512"/>
      <c r="DZ39" s="512"/>
      <c r="EA39" s="512"/>
      <c r="EB39" s="512"/>
      <c r="EC39" s="512"/>
      <c r="ED39" s="512"/>
      <c r="EE39" s="512"/>
      <c r="EF39" s="512"/>
      <c r="EG39" s="512"/>
      <c r="EH39" s="512"/>
      <c r="EI39" s="512"/>
      <c r="EJ39" s="532"/>
      <c r="EK39" s="532"/>
      <c r="EL39" s="532"/>
      <c r="EM39" s="532"/>
      <c r="EN39" s="532"/>
      <c r="EO39" s="532"/>
      <c r="EP39" s="532"/>
      <c r="EQ39" s="532"/>
      <c r="ER39" s="532"/>
      <c r="ES39" s="532"/>
      <c r="ET39" s="532"/>
      <c r="EU39" s="532"/>
      <c r="EV39" s="532"/>
      <c r="EW39" s="532"/>
      <c r="EX39" s="532"/>
      <c r="EY39" s="532"/>
      <c r="EZ39" s="532"/>
      <c r="FA39" s="532"/>
      <c r="FB39" s="532"/>
      <c r="FC39" s="532"/>
      <c r="FD39" s="532"/>
      <c r="FE39" s="532"/>
      <c r="FF39" s="532"/>
      <c r="FG39" s="532"/>
      <c r="FH39" s="532"/>
      <c r="FI39" s="532"/>
      <c r="FJ39" s="532"/>
      <c r="FK39" s="532"/>
      <c r="FL39" s="532"/>
      <c r="FM39" s="532"/>
      <c r="FN39" s="532"/>
      <c r="FO39" s="532"/>
      <c r="FP39" s="532"/>
      <c r="FQ39" s="532"/>
      <c r="FR39" s="532"/>
      <c r="FS39" s="532"/>
      <c r="FT39" s="532"/>
      <c r="FU39" s="532"/>
      <c r="FV39" s="532"/>
      <c r="FW39" s="532"/>
      <c r="FX39" s="532"/>
      <c r="FY39" s="532"/>
      <c r="FZ39" s="532"/>
      <c r="GA39" s="532"/>
      <c r="GB39" s="513"/>
      <c r="HQ39" s="516"/>
      <c r="IH39" s="516"/>
      <c r="IL39" s="517"/>
      <c r="IM39" s="516"/>
      <c r="JD39" s="516"/>
      <c r="JO39" s="516"/>
      <c r="JU39" s="2608"/>
      <c r="JV39" s="2608"/>
      <c r="JW39" s="2608"/>
      <c r="JX39" s="2608"/>
      <c r="JY39" s="2608"/>
      <c r="JZ39" s="2608"/>
      <c r="KA39" s="2608"/>
    </row>
    <row r="40" spans="29:287" ht="4.1500000000000004" customHeight="1">
      <c r="AD40" s="516"/>
      <c r="AK40" s="516"/>
      <c r="AR40" s="517"/>
      <c r="AX40" s="515"/>
      <c r="GA40" s="517"/>
      <c r="HQ40" s="516"/>
      <c r="IH40" s="516"/>
      <c r="IL40" s="517"/>
      <c r="IM40" s="516"/>
      <c r="JD40" s="516"/>
      <c r="JO40" s="516"/>
      <c r="JU40" s="2608"/>
      <c r="JV40" s="2608"/>
      <c r="JW40" s="2608"/>
      <c r="JX40" s="2608"/>
      <c r="JY40" s="2608"/>
      <c r="JZ40" s="2608"/>
      <c r="KA40" s="2608"/>
    </row>
    <row r="41" spans="29:287" ht="4.1500000000000004" customHeight="1">
      <c r="AD41" s="516"/>
      <c r="AK41" s="516"/>
      <c r="AR41" s="517"/>
      <c r="AX41" s="516"/>
      <c r="GA41" s="517"/>
      <c r="HQ41" s="516"/>
      <c r="IH41" s="516"/>
      <c r="IL41" s="517"/>
      <c r="IM41" s="530"/>
      <c r="IN41" s="532"/>
      <c r="IO41" s="532"/>
      <c r="IP41" s="532"/>
      <c r="IQ41" s="532"/>
      <c r="IR41" s="532"/>
      <c r="IS41" s="532"/>
      <c r="IT41" s="532"/>
      <c r="IU41" s="532"/>
      <c r="IV41" s="532"/>
      <c r="IW41" s="532"/>
      <c r="IX41" s="532"/>
      <c r="IY41" s="532"/>
      <c r="IZ41" s="532"/>
      <c r="JA41" s="532"/>
      <c r="JB41" s="532"/>
      <c r="JC41" s="532"/>
      <c r="JD41" s="530"/>
      <c r="JE41" s="532"/>
      <c r="JF41" s="532"/>
      <c r="JG41" s="532"/>
      <c r="JH41" s="532"/>
      <c r="JI41" s="532"/>
      <c r="JO41" s="516"/>
      <c r="JQ41" s="532"/>
      <c r="JR41" s="532"/>
      <c r="JS41" s="532"/>
      <c r="JT41" s="532"/>
      <c r="JU41" s="532"/>
      <c r="JV41" s="532"/>
      <c r="JW41" s="532"/>
      <c r="JX41" s="532"/>
      <c r="JY41" s="532"/>
      <c r="JZ41" s="532"/>
      <c r="KA41" s="532"/>
    </row>
    <row r="42" spans="29:287" ht="4.1500000000000004" customHeight="1">
      <c r="AD42" s="516"/>
      <c r="AK42" s="516"/>
      <c r="AR42" s="517"/>
      <c r="AX42" s="516"/>
      <c r="GA42" s="517"/>
      <c r="HQ42" s="516"/>
      <c r="IH42" s="519"/>
      <c r="II42" s="520"/>
      <c r="IJ42" s="520"/>
      <c r="IK42" s="520"/>
      <c r="IL42" s="521"/>
      <c r="IX42" s="2596">
        <v>0.2</v>
      </c>
      <c r="IY42" s="2597"/>
      <c r="IZ42" s="2597"/>
      <c r="JA42" s="2597"/>
      <c r="JB42" s="2597"/>
      <c r="JC42" s="2597"/>
      <c r="JD42" s="2597"/>
      <c r="JE42" s="2597"/>
      <c r="JF42" s="2597"/>
      <c r="JG42" s="2597"/>
      <c r="JH42" s="2597"/>
      <c r="JI42" s="2597"/>
      <c r="JM42" s="514"/>
      <c r="JN42" s="2623">
        <f>IX42+IX47</f>
        <v>0.60000000000000009</v>
      </c>
      <c r="JO42" s="2624"/>
      <c r="JP42" s="2624"/>
      <c r="JQ42" s="2595"/>
    </row>
    <row r="43" spans="29:287" ht="4.1500000000000004" customHeight="1">
      <c r="AD43" s="516"/>
      <c r="AK43" s="516"/>
      <c r="AR43" s="517"/>
      <c r="AX43" s="516"/>
      <c r="GA43" s="517"/>
      <c r="HQ43" s="516"/>
      <c r="IH43" s="522"/>
      <c r="II43" s="523"/>
      <c r="IJ43" s="523"/>
      <c r="IK43" s="523"/>
      <c r="IL43" s="524"/>
      <c r="IX43" s="2596"/>
      <c r="IY43" s="2596"/>
      <c r="IZ43" s="2596"/>
      <c r="JA43" s="2596"/>
      <c r="JB43" s="2596"/>
      <c r="JC43" s="2596"/>
      <c r="JD43" s="2596"/>
      <c r="JE43" s="2596"/>
      <c r="JF43" s="2596"/>
      <c r="JG43" s="2596"/>
      <c r="JH43" s="2596"/>
      <c r="JI43" s="2596"/>
      <c r="JN43" s="2595"/>
      <c r="JO43" s="2595"/>
      <c r="JP43" s="2595"/>
      <c r="JQ43" s="2595"/>
    </row>
    <row r="44" spans="29:287" ht="4.1500000000000004" customHeight="1">
      <c r="AD44" s="516"/>
      <c r="AK44" s="516"/>
      <c r="AR44" s="517"/>
      <c r="AX44" s="516"/>
      <c r="GA44" s="517"/>
      <c r="HQ44" s="516"/>
      <c r="IH44" s="522"/>
      <c r="II44" s="523"/>
      <c r="IJ44" s="523"/>
      <c r="IK44" s="523"/>
      <c r="IL44" s="524"/>
      <c r="IX44" s="2598"/>
      <c r="IY44" s="2598"/>
      <c r="IZ44" s="2598"/>
      <c r="JA44" s="2598"/>
      <c r="JB44" s="2598"/>
      <c r="JC44" s="2598"/>
      <c r="JD44" s="2598"/>
      <c r="JE44" s="2598"/>
      <c r="JF44" s="2598"/>
      <c r="JG44" s="2598"/>
      <c r="JH44" s="2598"/>
      <c r="JI44" s="2598"/>
      <c r="JN44" s="2595"/>
      <c r="JO44" s="2595"/>
      <c r="JP44" s="2595"/>
      <c r="JQ44" s="2595"/>
    </row>
    <row r="45" spans="29:287" ht="4.1500000000000004" customHeight="1">
      <c r="AD45" s="516"/>
      <c r="AK45" s="516"/>
      <c r="AR45" s="517"/>
      <c r="AX45" s="516"/>
      <c r="GA45" s="517"/>
      <c r="HQ45" s="516"/>
      <c r="IH45" s="2626">
        <f>Z149</f>
        <v>0</v>
      </c>
      <c r="II45" s="2627"/>
      <c r="IJ45" s="2627"/>
      <c r="IK45" s="2627"/>
      <c r="IL45" s="2628"/>
      <c r="IX45" s="514"/>
      <c r="IY45" s="514"/>
      <c r="IZ45" s="514"/>
      <c r="JA45" s="514"/>
      <c r="JB45" s="514"/>
      <c r="JC45" s="514"/>
      <c r="JD45" s="514"/>
      <c r="JE45" s="514"/>
      <c r="JF45" s="514"/>
      <c r="JG45" s="514"/>
      <c r="JH45" s="514"/>
      <c r="JI45" s="514"/>
      <c r="JN45" s="2595"/>
      <c r="JO45" s="2595"/>
      <c r="JP45" s="2595"/>
      <c r="JQ45" s="2595"/>
    </row>
    <row r="46" spans="29:287" ht="4.1500000000000004" customHeight="1">
      <c r="AD46" s="516"/>
      <c r="AK46" s="516"/>
      <c r="AR46" s="517"/>
      <c r="AX46" s="516"/>
      <c r="BE46" s="515"/>
      <c r="BF46" s="514"/>
      <c r="BG46" s="514"/>
      <c r="BH46" s="514"/>
      <c r="BI46" s="514"/>
      <c r="BJ46" s="514"/>
      <c r="BK46" s="514"/>
      <c r="BL46" s="514"/>
      <c r="BM46" s="514"/>
      <c r="BN46" s="514"/>
      <c r="BO46" s="518"/>
      <c r="BZ46" s="515"/>
      <c r="CA46" s="514"/>
      <c r="CB46" s="514"/>
      <c r="CC46" s="514"/>
      <c r="CD46" s="514"/>
      <c r="CE46" s="514"/>
      <c r="CF46" s="514"/>
      <c r="CG46" s="514"/>
      <c r="CH46" s="514"/>
      <c r="CI46" s="514"/>
      <c r="CJ46" s="518"/>
      <c r="CT46" s="515"/>
      <c r="CU46" s="514"/>
      <c r="CV46" s="514"/>
      <c r="CW46" s="514"/>
      <c r="CX46" s="514"/>
      <c r="CY46" s="514"/>
      <c r="CZ46" s="514"/>
      <c r="DA46" s="514"/>
      <c r="DB46" s="514"/>
      <c r="DC46" s="514"/>
      <c r="DD46" s="518"/>
      <c r="DU46" s="515"/>
      <c r="DV46" s="514"/>
      <c r="DW46" s="514"/>
      <c r="DX46" s="514"/>
      <c r="DY46" s="514"/>
      <c r="DZ46" s="514"/>
      <c r="EA46" s="514"/>
      <c r="EB46" s="514"/>
      <c r="EC46" s="514"/>
      <c r="ED46" s="514"/>
      <c r="EE46" s="518"/>
      <c r="EO46" s="515"/>
      <c r="EP46" s="514"/>
      <c r="EQ46" s="514"/>
      <c r="ER46" s="514"/>
      <c r="ES46" s="514"/>
      <c r="ET46" s="514"/>
      <c r="EU46" s="514"/>
      <c r="EV46" s="514"/>
      <c r="EW46" s="514"/>
      <c r="EX46" s="514"/>
      <c r="EY46" s="518"/>
      <c r="FJ46" s="515"/>
      <c r="FK46" s="514"/>
      <c r="FL46" s="514"/>
      <c r="FM46" s="514"/>
      <c r="FN46" s="514"/>
      <c r="FO46" s="514"/>
      <c r="FP46" s="514"/>
      <c r="FQ46" s="514"/>
      <c r="FR46" s="514"/>
      <c r="FS46" s="514"/>
      <c r="FT46" s="518"/>
      <c r="GA46" s="517"/>
      <c r="GB46" s="515"/>
      <c r="GC46" s="514"/>
      <c r="GD46" s="518"/>
      <c r="HQ46" s="516"/>
      <c r="IH46" s="2629"/>
      <c r="II46" s="2630"/>
      <c r="IJ46" s="2630"/>
      <c r="IK46" s="2630"/>
      <c r="IL46" s="2631"/>
      <c r="IX46" s="534"/>
      <c r="IY46" s="534"/>
      <c r="IZ46" s="534"/>
      <c r="JA46" s="534"/>
      <c r="JB46" s="534"/>
      <c r="JC46" s="534"/>
      <c r="JD46" s="534"/>
      <c r="JE46" s="534"/>
      <c r="JF46" s="534"/>
      <c r="JG46" s="534"/>
      <c r="JH46" s="534"/>
      <c r="JI46" s="534"/>
      <c r="JN46" s="2595"/>
      <c r="JO46" s="2595"/>
      <c r="JP46" s="2595"/>
      <c r="JQ46" s="2595"/>
    </row>
    <row r="47" spans="29:287" ht="4.1500000000000004" customHeight="1">
      <c r="AD47" s="516"/>
      <c r="AK47" s="530"/>
      <c r="AL47" s="532"/>
      <c r="AM47" s="532"/>
      <c r="AN47" s="532"/>
      <c r="AO47" s="532"/>
      <c r="AP47" s="532"/>
      <c r="AQ47" s="532"/>
      <c r="AR47" s="531"/>
      <c r="AX47" s="516"/>
      <c r="BE47" s="516"/>
      <c r="BF47" s="515"/>
      <c r="BG47" s="514"/>
      <c r="BH47" s="514"/>
      <c r="BI47" s="514"/>
      <c r="BJ47" s="514"/>
      <c r="BK47" s="514"/>
      <c r="BL47" s="514"/>
      <c r="BM47" s="514"/>
      <c r="BN47" s="518"/>
      <c r="BO47" s="517"/>
      <c r="BZ47" s="516"/>
      <c r="CA47" s="515"/>
      <c r="CB47" s="514"/>
      <c r="CC47" s="514"/>
      <c r="CD47" s="514"/>
      <c r="CE47" s="514"/>
      <c r="CF47" s="514"/>
      <c r="CG47" s="514"/>
      <c r="CH47" s="514"/>
      <c r="CI47" s="518"/>
      <c r="CJ47" s="517"/>
      <c r="CT47" s="516"/>
      <c r="CU47" s="515"/>
      <c r="CV47" s="514"/>
      <c r="CW47" s="514"/>
      <c r="CX47" s="514"/>
      <c r="CY47" s="514"/>
      <c r="CZ47" s="514"/>
      <c r="DA47" s="514"/>
      <c r="DB47" s="514"/>
      <c r="DC47" s="518"/>
      <c r="DD47" s="517"/>
      <c r="DG47" s="515"/>
      <c r="DH47" s="514"/>
      <c r="DI47" s="514"/>
      <c r="DJ47" s="514"/>
      <c r="DK47" s="514"/>
      <c r="DL47" s="518"/>
      <c r="DM47" s="514"/>
      <c r="DN47" s="514"/>
      <c r="DO47" s="514"/>
      <c r="DP47" s="514"/>
      <c r="DQ47" s="514"/>
      <c r="DR47" s="518"/>
      <c r="DU47" s="516"/>
      <c r="DV47" s="515"/>
      <c r="DW47" s="514"/>
      <c r="DX47" s="514"/>
      <c r="DY47" s="514"/>
      <c r="DZ47" s="514"/>
      <c r="EA47" s="514"/>
      <c r="EB47" s="514"/>
      <c r="EC47" s="514"/>
      <c r="ED47" s="518"/>
      <c r="EE47" s="517"/>
      <c r="EO47" s="516"/>
      <c r="EP47" s="515"/>
      <c r="EQ47" s="514"/>
      <c r="ER47" s="514"/>
      <c r="ES47" s="514"/>
      <c r="ET47" s="514"/>
      <c r="EU47" s="514"/>
      <c r="EV47" s="514"/>
      <c r="EW47" s="514"/>
      <c r="EX47" s="518"/>
      <c r="EY47" s="517"/>
      <c r="FJ47" s="516"/>
      <c r="FK47" s="515"/>
      <c r="FL47" s="514"/>
      <c r="FM47" s="514"/>
      <c r="FN47" s="514"/>
      <c r="FO47" s="514"/>
      <c r="FP47" s="514"/>
      <c r="FQ47" s="514"/>
      <c r="FR47" s="514"/>
      <c r="FS47" s="518"/>
      <c r="FT47" s="517"/>
      <c r="GA47" s="517"/>
      <c r="GB47" s="516"/>
      <c r="GD47" s="517"/>
      <c r="HQ47" s="516"/>
      <c r="ID47" s="515"/>
      <c r="IE47" s="514"/>
      <c r="IF47" s="514"/>
      <c r="IG47" s="518"/>
      <c r="IH47" s="2629"/>
      <c r="II47" s="2630"/>
      <c r="IJ47" s="2630"/>
      <c r="IK47" s="2630"/>
      <c r="IL47" s="2631"/>
      <c r="IX47" s="2596">
        <v>0.4</v>
      </c>
      <c r="IY47" s="2596"/>
      <c r="IZ47" s="2596"/>
      <c r="JA47" s="2596"/>
      <c r="JB47" s="2596"/>
      <c r="JC47" s="2596"/>
      <c r="JD47" s="2596"/>
      <c r="JE47" s="2596"/>
      <c r="JF47" s="2596"/>
      <c r="JG47" s="2596"/>
      <c r="JH47" s="2596"/>
      <c r="JI47" s="2596"/>
      <c r="JN47" s="2595"/>
      <c r="JO47" s="2595"/>
      <c r="JP47" s="2595"/>
      <c r="JQ47" s="2595"/>
    </row>
    <row r="48" spans="29:287" ht="4.1500000000000004" customHeight="1">
      <c r="AD48" s="516"/>
      <c r="AX48" s="516"/>
      <c r="BE48" s="516"/>
      <c r="BF48" s="516"/>
      <c r="BN48" s="517"/>
      <c r="BO48" s="517"/>
      <c r="BZ48" s="516"/>
      <c r="CA48" s="516"/>
      <c r="CI48" s="517"/>
      <c r="CJ48" s="517"/>
      <c r="CT48" s="516"/>
      <c r="CU48" s="516"/>
      <c r="DC48" s="517"/>
      <c r="DD48" s="517"/>
      <c r="DG48" s="516"/>
      <c r="DH48" s="515"/>
      <c r="DI48" s="514"/>
      <c r="DJ48" s="514"/>
      <c r="DK48" s="518"/>
      <c r="DL48" s="517"/>
      <c r="DN48" s="515"/>
      <c r="DO48" s="514"/>
      <c r="DP48" s="514"/>
      <c r="DQ48" s="518"/>
      <c r="DR48" s="517"/>
      <c r="DU48" s="516"/>
      <c r="DV48" s="516"/>
      <c r="ED48" s="517"/>
      <c r="EE48" s="517"/>
      <c r="EO48" s="516"/>
      <c r="EP48" s="516"/>
      <c r="EX48" s="517"/>
      <c r="EY48" s="517"/>
      <c r="FJ48" s="516"/>
      <c r="FK48" s="516"/>
      <c r="FS48" s="517"/>
      <c r="FT48" s="517"/>
      <c r="GA48" s="517"/>
      <c r="GB48" s="516"/>
      <c r="GD48" s="517"/>
      <c r="HQ48" s="516"/>
      <c r="ID48" s="516"/>
      <c r="IG48" s="517"/>
      <c r="IH48" s="2629"/>
      <c r="II48" s="2630"/>
      <c r="IJ48" s="2630"/>
      <c r="IK48" s="2630"/>
      <c r="IL48" s="2631"/>
      <c r="IX48" s="2596"/>
      <c r="IY48" s="2596"/>
      <c r="IZ48" s="2596"/>
      <c r="JA48" s="2596"/>
      <c r="JB48" s="2596"/>
      <c r="JC48" s="2596"/>
      <c r="JD48" s="2596"/>
      <c r="JE48" s="2596"/>
      <c r="JF48" s="2596"/>
      <c r="JG48" s="2596"/>
      <c r="JH48" s="2596"/>
      <c r="JI48" s="2596"/>
      <c r="JN48" s="2595"/>
      <c r="JO48" s="2595"/>
      <c r="JP48" s="2595"/>
      <c r="JQ48" s="2595"/>
      <c r="JU48" s="2608" t="s">
        <v>2980</v>
      </c>
      <c r="JV48" s="2608"/>
      <c r="JW48" s="2608"/>
      <c r="JX48" s="2608"/>
      <c r="JY48" s="2608"/>
      <c r="JZ48" s="2608"/>
      <c r="KA48" s="2608"/>
    </row>
    <row r="49" spans="29:287" ht="4.1500000000000004" customHeight="1">
      <c r="AD49" s="516"/>
      <c r="AX49" s="516"/>
      <c r="BE49" s="516"/>
      <c r="BF49" s="516"/>
      <c r="BN49" s="517"/>
      <c r="BO49" s="517"/>
      <c r="BZ49" s="516"/>
      <c r="CA49" s="516"/>
      <c r="CI49" s="517"/>
      <c r="CJ49" s="517"/>
      <c r="CT49" s="516"/>
      <c r="CU49" s="516"/>
      <c r="DC49" s="517"/>
      <c r="DD49" s="517"/>
      <c r="DG49" s="516"/>
      <c r="DH49" s="516"/>
      <c r="DK49" s="517"/>
      <c r="DL49" s="517"/>
      <c r="DN49" s="516"/>
      <c r="DQ49" s="517"/>
      <c r="DR49" s="517"/>
      <c r="DU49" s="516"/>
      <c r="DV49" s="516"/>
      <c r="ED49" s="517"/>
      <c r="EE49" s="517"/>
      <c r="EO49" s="516"/>
      <c r="EP49" s="516"/>
      <c r="EX49" s="517"/>
      <c r="EY49" s="517"/>
      <c r="FJ49" s="516"/>
      <c r="FK49" s="516"/>
      <c r="FS49" s="517"/>
      <c r="FT49" s="517"/>
      <c r="GA49" s="517"/>
      <c r="GB49" s="516"/>
      <c r="GD49" s="517"/>
      <c r="HQ49" s="516"/>
      <c r="HZ49" s="515"/>
      <c r="IA49" s="514"/>
      <c r="IB49" s="514"/>
      <c r="IC49" s="514"/>
      <c r="IH49" s="2629"/>
      <c r="II49" s="2630"/>
      <c r="IJ49" s="2630"/>
      <c r="IK49" s="2630"/>
      <c r="IL49" s="2631"/>
      <c r="IX49" s="2596"/>
      <c r="IY49" s="2596"/>
      <c r="IZ49" s="2596"/>
      <c r="JA49" s="2596"/>
      <c r="JB49" s="2596"/>
      <c r="JC49" s="2596"/>
      <c r="JD49" s="2596"/>
      <c r="JE49" s="2596"/>
      <c r="JF49" s="2596"/>
      <c r="JG49" s="2596"/>
      <c r="JH49" s="2596"/>
      <c r="JI49" s="2596"/>
      <c r="JN49" s="2595"/>
      <c r="JO49" s="2595"/>
      <c r="JP49" s="2595"/>
      <c r="JQ49" s="2595"/>
      <c r="JU49" s="2608"/>
      <c r="JV49" s="2608"/>
      <c r="JW49" s="2608"/>
      <c r="JX49" s="2608"/>
      <c r="JY49" s="2608"/>
      <c r="JZ49" s="2608"/>
      <c r="KA49" s="2608"/>
    </row>
    <row r="50" spans="29:287" ht="4.1500000000000004" customHeight="1">
      <c r="AD50" s="516"/>
      <c r="AX50" s="516"/>
      <c r="BE50" s="516"/>
      <c r="BF50" s="516"/>
      <c r="BN50" s="517"/>
      <c r="BO50" s="517"/>
      <c r="BZ50" s="516"/>
      <c r="CA50" s="516"/>
      <c r="CI50" s="517"/>
      <c r="CJ50" s="517"/>
      <c r="CT50" s="516"/>
      <c r="CU50" s="516"/>
      <c r="DC50" s="517"/>
      <c r="DD50" s="517"/>
      <c r="DG50" s="516"/>
      <c r="DH50" s="516"/>
      <c r="DK50" s="517"/>
      <c r="DL50" s="517"/>
      <c r="DN50" s="516"/>
      <c r="DQ50" s="517"/>
      <c r="DR50" s="517"/>
      <c r="DU50" s="516"/>
      <c r="DV50" s="516"/>
      <c r="ED50" s="517"/>
      <c r="EE50" s="517"/>
      <c r="EO50" s="516"/>
      <c r="EP50" s="516"/>
      <c r="EX50" s="517"/>
      <c r="EY50" s="517"/>
      <c r="FJ50" s="516"/>
      <c r="FK50" s="516"/>
      <c r="FS50" s="517"/>
      <c r="FT50" s="517"/>
      <c r="GA50" s="517"/>
      <c r="GB50" s="516"/>
      <c r="GD50" s="517"/>
      <c r="HN50" s="532"/>
      <c r="HO50" s="532"/>
      <c r="HP50" s="532"/>
      <c r="HQ50" s="530"/>
      <c r="HR50" s="532"/>
      <c r="HS50" s="532"/>
      <c r="HT50" s="532"/>
      <c r="HU50" s="532"/>
      <c r="HV50" s="532"/>
      <c r="HW50" s="532"/>
      <c r="HX50" s="532"/>
      <c r="HY50" s="532"/>
      <c r="HZ50" s="530"/>
      <c r="IA50" s="532"/>
      <c r="IB50" s="532"/>
      <c r="IC50" s="532"/>
      <c r="IH50" s="2632"/>
      <c r="II50" s="2633"/>
      <c r="IJ50" s="2633"/>
      <c r="IK50" s="2633"/>
      <c r="IL50" s="2634"/>
      <c r="IP50" s="532"/>
      <c r="IQ50" s="532"/>
      <c r="IR50" s="532"/>
      <c r="IS50" s="532"/>
      <c r="IT50" s="532"/>
      <c r="IU50" s="532"/>
      <c r="IV50" s="532"/>
      <c r="IW50" s="532"/>
      <c r="IX50" s="535"/>
      <c r="IY50" s="535"/>
      <c r="IZ50" s="535"/>
      <c r="JA50" s="535"/>
      <c r="JB50" s="535"/>
      <c r="JC50" s="535"/>
      <c r="JD50" s="535"/>
      <c r="JE50" s="535"/>
      <c r="JF50" s="535"/>
      <c r="JG50" s="535"/>
      <c r="JH50" s="535"/>
      <c r="JI50" s="535"/>
      <c r="JM50" s="532"/>
      <c r="JN50" s="2625"/>
      <c r="JO50" s="2625"/>
      <c r="JP50" s="2625"/>
      <c r="JQ50" s="2625"/>
      <c r="JR50" s="532"/>
      <c r="JS50" s="532"/>
      <c r="JT50" s="532"/>
      <c r="JU50" s="2635"/>
      <c r="JV50" s="2635"/>
      <c r="JW50" s="2635"/>
      <c r="JX50" s="2635"/>
      <c r="JY50" s="2635"/>
      <c r="JZ50" s="2635"/>
      <c r="KA50" s="2635"/>
    </row>
    <row r="51" spans="29:287" ht="4.1500000000000004" customHeight="1">
      <c r="AD51" s="516"/>
      <c r="AX51" s="516"/>
      <c r="BE51" s="516"/>
      <c r="BF51" s="516"/>
      <c r="BN51" s="517"/>
      <c r="BO51" s="517"/>
      <c r="BZ51" s="516"/>
      <c r="CA51" s="516"/>
      <c r="CI51" s="517"/>
      <c r="CJ51" s="517"/>
      <c r="CT51" s="516"/>
      <c r="CU51" s="516"/>
      <c r="DC51" s="517"/>
      <c r="DD51" s="517"/>
      <c r="DG51" s="516"/>
      <c r="DH51" s="516"/>
      <c r="DK51" s="517"/>
      <c r="DL51" s="517"/>
      <c r="DN51" s="516"/>
      <c r="DQ51" s="517"/>
      <c r="DR51" s="517"/>
      <c r="DU51" s="516"/>
      <c r="DV51" s="516"/>
      <c r="ED51" s="517"/>
      <c r="EE51" s="517"/>
      <c r="EO51" s="516"/>
      <c r="EP51" s="516"/>
      <c r="EX51" s="517"/>
      <c r="EY51" s="517"/>
      <c r="FJ51" s="516"/>
      <c r="FK51" s="516"/>
      <c r="FS51" s="517"/>
      <c r="FT51" s="517"/>
      <c r="GA51" s="517"/>
      <c r="GB51" s="516"/>
      <c r="GD51" s="517"/>
      <c r="HS51" s="514"/>
      <c r="HT51" s="514"/>
      <c r="HU51" s="514"/>
      <c r="HV51" s="514"/>
      <c r="HW51" s="514"/>
      <c r="HX51" s="511"/>
      <c r="HY51" s="512"/>
      <c r="HZ51" s="512"/>
      <c r="IA51" s="512"/>
      <c r="IB51" s="563"/>
      <c r="IC51" s="563"/>
      <c r="ID51" s="563"/>
      <c r="IE51" s="564"/>
      <c r="IF51" s="2602">
        <v>0.3</v>
      </c>
      <c r="IG51" s="2597"/>
      <c r="IH51" s="2597"/>
      <c r="II51" s="2597"/>
      <c r="IJ51" s="2597"/>
      <c r="IK51" s="2597"/>
      <c r="IL51" s="2597"/>
      <c r="IM51" s="2597"/>
      <c r="IN51" s="2603"/>
      <c r="IO51" s="565"/>
      <c r="IP51" s="565"/>
      <c r="IQ51" s="565"/>
      <c r="IR51" s="565"/>
      <c r="IW51" s="514"/>
      <c r="IX51" s="514"/>
      <c r="IY51" s="514"/>
      <c r="IZ51" s="514"/>
      <c r="JA51" s="514"/>
      <c r="JB51" s="514"/>
      <c r="JC51" s="514"/>
      <c r="JD51" s="514"/>
      <c r="JE51" s="514"/>
      <c r="JF51" s="514"/>
      <c r="JG51" s="514"/>
      <c r="JH51" s="514"/>
      <c r="JI51" s="514"/>
      <c r="JM51" s="514"/>
      <c r="JN51" s="514"/>
      <c r="JO51" s="514"/>
      <c r="JP51" s="515"/>
      <c r="JQ51" s="514"/>
      <c r="JR51" s="514"/>
    </row>
    <row r="52" spans="29:287" ht="4.1500000000000004" customHeight="1">
      <c r="AD52" s="516"/>
      <c r="AX52" s="516"/>
      <c r="BE52" s="516"/>
      <c r="BF52" s="516"/>
      <c r="BN52" s="517"/>
      <c r="BO52" s="517"/>
      <c r="BZ52" s="516"/>
      <c r="CA52" s="516"/>
      <c r="CI52" s="517"/>
      <c r="CJ52" s="517"/>
      <c r="CT52" s="516"/>
      <c r="CU52" s="516"/>
      <c r="DC52" s="517"/>
      <c r="DD52" s="517"/>
      <c r="DG52" s="516"/>
      <c r="DH52" s="516"/>
      <c r="DK52" s="517"/>
      <c r="DL52" s="517"/>
      <c r="DN52" s="516"/>
      <c r="DQ52" s="517"/>
      <c r="DR52" s="517"/>
      <c r="DU52" s="516"/>
      <c r="DV52" s="516"/>
      <c r="ED52" s="517"/>
      <c r="EE52" s="517"/>
      <c r="EO52" s="516"/>
      <c r="EP52" s="516"/>
      <c r="EX52" s="517"/>
      <c r="EY52" s="517"/>
      <c r="FJ52" s="516"/>
      <c r="FK52" s="516"/>
      <c r="FS52" s="517"/>
      <c r="FT52" s="517"/>
      <c r="GA52" s="517"/>
      <c r="GB52" s="516"/>
      <c r="GD52" s="517"/>
      <c r="HX52" s="511"/>
      <c r="HY52" s="512"/>
      <c r="HZ52" s="512"/>
      <c r="IA52" s="512"/>
      <c r="IB52" s="563"/>
      <c r="IC52" s="563"/>
      <c r="ID52" s="563"/>
      <c r="IE52" s="564"/>
      <c r="IF52" s="2604"/>
      <c r="IG52" s="2596"/>
      <c r="IH52" s="2596"/>
      <c r="II52" s="2596"/>
      <c r="IJ52" s="2596"/>
      <c r="IK52" s="2596"/>
      <c r="IL52" s="2596"/>
      <c r="IM52" s="2596"/>
      <c r="IN52" s="2605"/>
      <c r="IO52" s="565"/>
      <c r="IP52" s="565"/>
      <c r="IQ52" s="565"/>
      <c r="IR52" s="565"/>
      <c r="IX52" s="2608">
        <v>0.22500000000000001</v>
      </c>
      <c r="IY52" s="2608"/>
      <c r="IZ52" s="2608"/>
      <c r="JA52" s="2608"/>
      <c r="JB52" s="2608"/>
      <c r="JC52" s="2608"/>
      <c r="JD52" s="2608"/>
      <c r="JE52" s="2608"/>
      <c r="JF52" s="2608"/>
      <c r="JG52" s="2608"/>
      <c r="JH52" s="2608"/>
      <c r="JI52" s="2608"/>
      <c r="JP52" s="516"/>
    </row>
    <row r="53" spans="29:287" ht="4.1500000000000004" customHeight="1">
      <c r="AD53" s="516"/>
      <c r="AX53" s="516"/>
      <c r="BE53" s="516"/>
      <c r="BF53" s="516"/>
      <c r="BN53" s="517"/>
      <c r="BO53" s="517"/>
      <c r="BZ53" s="516"/>
      <c r="CA53" s="516"/>
      <c r="CI53" s="517"/>
      <c r="CJ53" s="517"/>
      <c r="CT53" s="516"/>
      <c r="CU53" s="516"/>
      <c r="DC53" s="517"/>
      <c r="DD53" s="517"/>
      <c r="DG53" s="516"/>
      <c r="DH53" s="516"/>
      <c r="DK53" s="1595"/>
      <c r="DL53" s="513"/>
      <c r="DM53" s="512"/>
      <c r="DN53" s="1595"/>
      <c r="DQ53" s="517"/>
      <c r="DR53" s="517"/>
      <c r="DU53" s="516"/>
      <c r="DV53" s="516"/>
      <c r="ED53" s="517"/>
      <c r="EE53" s="517"/>
      <c r="EO53" s="516"/>
      <c r="EP53" s="516"/>
      <c r="EX53" s="517"/>
      <c r="EY53" s="517"/>
      <c r="FJ53" s="516"/>
      <c r="FK53" s="516"/>
      <c r="FS53" s="517"/>
      <c r="FT53" s="517"/>
      <c r="GA53" s="517"/>
      <c r="GB53" s="516"/>
      <c r="GD53" s="517"/>
      <c r="IB53" s="565"/>
      <c r="IC53" s="565"/>
      <c r="ID53" s="565"/>
      <c r="IE53" s="565"/>
      <c r="IF53" s="2604"/>
      <c r="IG53" s="2596"/>
      <c r="IH53" s="2596"/>
      <c r="II53" s="2596"/>
      <c r="IJ53" s="2596"/>
      <c r="IK53" s="2596"/>
      <c r="IL53" s="2596"/>
      <c r="IM53" s="2596"/>
      <c r="IN53" s="2605"/>
      <c r="IO53" s="565"/>
      <c r="IP53" s="565"/>
      <c r="IQ53" s="565"/>
      <c r="IR53" s="565"/>
      <c r="IX53" s="2608"/>
      <c r="IY53" s="2608"/>
      <c r="IZ53" s="2608"/>
      <c r="JA53" s="2608"/>
      <c r="JB53" s="2608"/>
      <c r="JC53" s="2608"/>
      <c r="JD53" s="2608"/>
      <c r="JE53" s="2608"/>
      <c r="JF53" s="2608"/>
      <c r="JG53" s="2608"/>
      <c r="JH53" s="2608"/>
      <c r="JI53" s="2608"/>
      <c r="JP53" s="516"/>
    </row>
    <row r="54" spans="29:287" ht="4.1500000000000004" customHeight="1">
      <c r="AD54" s="516"/>
      <c r="AX54" s="516"/>
      <c r="BE54" s="516"/>
      <c r="BF54" s="530"/>
      <c r="BG54" s="532"/>
      <c r="BH54" s="532"/>
      <c r="BI54" s="532"/>
      <c r="BJ54" s="532"/>
      <c r="BK54" s="532"/>
      <c r="BL54" s="532"/>
      <c r="BM54" s="532"/>
      <c r="BN54" s="531"/>
      <c r="BO54" s="517"/>
      <c r="BZ54" s="516"/>
      <c r="CA54" s="530"/>
      <c r="CB54" s="532"/>
      <c r="CC54" s="532"/>
      <c r="CD54" s="532"/>
      <c r="CE54" s="532"/>
      <c r="CF54" s="532"/>
      <c r="CG54" s="532"/>
      <c r="CH54" s="532"/>
      <c r="CI54" s="531"/>
      <c r="CJ54" s="517"/>
      <c r="CT54" s="516"/>
      <c r="CU54" s="530"/>
      <c r="CV54" s="532"/>
      <c r="CW54" s="532"/>
      <c r="CX54" s="532"/>
      <c r="CY54" s="532"/>
      <c r="CZ54" s="532"/>
      <c r="DA54" s="532"/>
      <c r="DB54" s="532"/>
      <c r="DC54" s="531"/>
      <c r="DD54" s="517"/>
      <c r="DG54" s="516"/>
      <c r="DH54" s="516"/>
      <c r="DK54" s="517"/>
      <c r="DL54" s="517"/>
      <c r="DN54" s="516"/>
      <c r="DQ54" s="517"/>
      <c r="DR54" s="517"/>
      <c r="DU54" s="516"/>
      <c r="DV54" s="530"/>
      <c r="DW54" s="532"/>
      <c r="DX54" s="532"/>
      <c r="DY54" s="532"/>
      <c r="DZ54" s="532"/>
      <c r="EA54" s="532"/>
      <c r="EB54" s="532"/>
      <c r="EC54" s="532"/>
      <c r="ED54" s="531"/>
      <c r="EE54" s="517"/>
      <c r="EO54" s="516"/>
      <c r="EP54" s="530"/>
      <c r="EQ54" s="532"/>
      <c r="ER54" s="532"/>
      <c r="ES54" s="532"/>
      <c r="ET54" s="532"/>
      <c r="EU54" s="532"/>
      <c r="EV54" s="532"/>
      <c r="EW54" s="532"/>
      <c r="EX54" s="531"/>
      <c r="EY54" s="517"/>
      <c r="FJ54" s="516"/>
      <c r="FK54" s="530"/>
      <c r="FL54" s="532"/>
      <c r="FM54" s="532"/>
      <c r="FN54" s="532"/>
      <c r="FO54" s="532"/>
      <c r="FP54" s="532"/>
      <c r="FQ54" s="532"/>
      <c r="FR54" s="532"/>
      <c r="FS54" s="531"/>
      <c r="FT54" s="517"/>
      <c r="GA54" s="517"/>
      <c r="GB54" s="516"/>
      <c r="GD54" s="517"/>
      <c r="IB54" s="565"/>
      <c r="IC54" s="565"/>
      <c r="ID54" s="565"/>
      <c r="IE54" s="565"/>
      <c r="IF54" s="2604"/>
      <c r="IG54" s="2596"/>
      <c r="IH54" s="2596"/>
      <c r="II54" s="2596"/>
      <c r="IJ54" s="2596"/>
      <c r="IK54" s="2596"/>
      <c r="IL54" s="2596"/>
      <c r="IM54" s="2596"/>
      <c r="IN54" s="2605"/>
      <c r="IO54" s="565"/>
      <c r="IP54" s="565"/>
      <c r="IQ54" s="565"/>
      <c r="IR54" s="565"/>
      <c r="IX54" s="2608"/>
      <c r="IY54" s="2608"/>
      <c r="IZ54" s="2608"/>
      <c r="JA54" s="2608"/>
      <c r="JB54" s="2608"/>
      <c r="JC54" s="2608"/>
      <c r="JD54" s="2608"/>
      <c r="JE54" s="2608"/>
      <c r="JF54" s="2608"/>
      <c r="JG54" s="2608"/>
      <c r="JH54" s="2608"/>
      <c r="JI54" s="2608"/>
      <c r="JP54" s="516"/>
    </row>
    <row r="55" spans="29:287" ht="4.1500000000000004" customHeight="1">
      <c r="AD55" s="516"/>
      <c r="AX55" s="516"/>
      <c r="BE55" s="530"/>
      <c r="BF55" s="532"/>
      <c r="BG55" s="532"/>
      <c r="BH55" s="532"/>
      <c r="BI55" s="532"/>
      <c r="BJ55" s="532"/>
      <c r="BK55" s="532"/>
      <c r="BL55" s="532"/>
      <c r="BM55" s="532"/>
      <c r="BN55" s="532"/>
      <c r="BO55" s="531"/>
      <c r="BZ55" s="530"/>
      <c r="CA55" s="532"/>
      <c r="CB55" s="532"/>
      <c r="CC55" s="532"/>
      <c r="CD55" s="532"/>
      <c r="CE55" s="532"/>
      <c r="CF55" s="532"/>
      <c r="CG55" s="532"/>
      <c r="CH55" s="532"/>
      <c r="CI55" s="532"/>
      <c r="CJ55" s="531"/>
      <c r="CT55" s="530"/>
      <c r="CU55" s="532"/>
      <c r="CV55" s="532"/>
      <c r="CW55" s="532"/>
      <c r="CX55" s="532"/>
      <c r="CY55" s="532"/>
      <c r="CZ55" s="532"/>
      <c r="DA55" s="532"/>
      <c r="DB55" s="532"/>
      <c r="DC55" s="532"/>
      <c r="DD55" s="531"/>
      <c r="DG55" s="516"/>
      <c r="DH55" s="516"/>
      <c r="DK55" s="517"/>
      <c r="DL55" s="517"/>
      <c r="DN55" s="516"/>
      <c r="DQ55" s="517"/>
      <c r="DR55" s="517"/>
      <c r="DU55" s="530"/>
      <c r="DV55" s="532"/>
      <c r="DW55" s="532"/>
      <c r="DX55" s="532"/>
      <c r="DY55" s="532"/>
      <c r="DZ55" s="532"/>
      <c r="EA55" s="532"/>
      <c r="EB55" s="532"/>
      <c r="EC55" s="532"/>
      <c r="ED55" s="532"/>
      <c r="EE55" s="531"/>
      <c r="EO55" s="530"/>
      <c r="EP55" s="532"/>
      <c r="EQ55" s="532"/>
      <c r="ER55" s="532"/>
      <c r="ES55" s="532"/>
      <c r="ET55" s="532"/>
      <c r="EU55" s="532"/>
      <c r="EV55" s="532"/>
      <c r="EW55" s="532"/>
      <c r="EX55" s="532"/>
      <c r="EY55" s="531"/>
      <c r="FJ55" s="530"/>
      <c r="FK55" s="532"/>
      <c r="FL55" s="532"/>
      <c r="FM55" s="532"/>
      <c r="FN55" s="532"/>
      <c r="FO55" s="532"/>
      <c r="FP55" s="532"/>
      <c r="FQ55" s="532"/>
      <c r="FR55" s="532"/>
      <c r="FS55" s="532"/>
      <c r="FT55" s="531"/>
      <c r="GA55" s="517"/>
      <c r="GB55" s="530"/>
      <c r="GC55" s="532"/>
      <c r="GD55" s="531"/>
      <c r="IB55" s="565"/>
      <c r="IC55" s="565"/>
      <c r="ID55" s="565"/>
      <c r="IE55" s="565"/>
      <c r="IF55" s="2606"/>
      <c r="IG55" s="2598"/>
      <c r="IH55" s="2598"/>
      <c r="II55" s="2598"/>
      <c r="IJ55" s="2598"/>
      <c r="IK55" s="2598"/>
      <c r="IL55" s="2598"/>
      <c r="IM55" s="2598"/>
      <c r="IN55" s="2607"/>
      <c r="IO55" s="565"/>
      <c r="IP55" s="565"/>
      <c r="IQ55" s="565"/>
      <c r="IR55" s="565"/>
      <c r="IX55" s="532"/>
      <c r="IY55" s="532"/>
      <c r="IZ55" s="532"/>
      <c r="JA55" s="532"/>
      <c r="JB55" s="532"/>
      <c r="JC55" s="532"/>
      <c r="JD55" s="532"/>
      <c r="JE55" s="532"/>
      <c r="JF55" s="532"/>
      <c r="JG55" s="532"/>
      <c r="JH55" s="532"/>
      <c r="JI55" s="532"/>
      <c r="JP55" s="516"/>
    </row>
    <row r="56" spans="29:287" ht="4.1500000000000004" customHeight="1">
      <c r="AD56" s="516"/>
      <c r="AX56" s="516"/>
      <c r="DG56" s="516"/>
      <c r="DH56" s="516"/>
      <c r="DK56" s="517"/>
      <c r="DL56" s="517"/>
      <c r="DN56" s="516"/>
      <c r="DQ56" s="517"/>
      <c r="DR56" s="517"/>
      <c r="GA56" s="517"/>
      <c r="IB56" s="565"/>
      <c r="IC56" s="565"/>
      <c r="ID56" s="2602">
        <v>0.5</v>
      </c>
      <c r="IE56" s="2597"/>
      <c r="IF56" s="2597"/>
      <c r="IG56" s="2597"/>
      <c r="IH56" s="2597"/>
      <c r="II56" s="2597"/>
      <c r="IJ56" s="2597"/>
      <c r="IK56" s="2597"/>
      <c r="IL56" s="2597"/>
      <c r="IM56" s="2597"/>
      <c r="IN56" s="2597"/>
      <c r="IO56" s="2597"/>
      <c r="IP56" s="2603"/>
      <c r="IQ56" s="565"/>
      <c r="IR56" s="565"/>
      <c r="JP56" s="516"/>
    </row>
    <row r="57" spans="29:287" ht="4.1500000000000004" customHeight="1">
      <c r="AD57" s="516"/>
      <c r="AX57" s="516"/>
      <c r="DG57" s="516"/>
      <c r="DH57" s="516"/>
      <c r="DK57" s="517"/>
      <c r="DL57" s="517"/>
      <c r="DN57" s="516"/>
      <c r="DQ57" s="517"/>
      <c r="DR57" s="517"/>
      <c r="GA57" s="517"/>
      <c r="IB57" s="565"/>
      <c r="IC57" s="565"/>
      <c r="ID57" s="2604"/>
      <c r="IE57" s="2596"/>
      <c r="IF57" s="2596"/>
      <c r="IG57" s="2596"/>
      <c r="IH57" s="2596"/>
      <c r="II57" s="2596"/>
      <c r="IJ57" s="2596"/>
      <c r="IK57" s="2596"/>
      <c r="IL57" s="2596"/>
      <c r="IM57" s="2596"/>
      <c r="IN57" s="2596"/>
      <c r="IO57" s="2596"/>
      <c r="IP57" s="2605"/>
      <c r="IQ57" s="565"/>
      <c r="IR57" s="565"/>
      <c r="IX57" s="2608">
        <v>0.22500000000000001</v>
      </c>
      <c r="IY57" s="2608"/>
      <c r="IZ57" s="2608"/>
      <c r="JA57" s="2608"/>
      <c r="JB57" s="2608"/>
      <c r="JC57" s="2608"/>
      <c r="JD57" s="2608"/>
      <c r="JE57" s="2608"/>
      <c r="JF57" s="2608"/>
      <c r="JG57" s="2608"/>
      <c r="JH57" s="2608"/>
      <c r="JI57" s="2608"/>
      <c r="JN57" s="2616">
        <f>IX52+IX57+IX62+IX66+IX69</f>
        <v>0.97500000000000009</v>
      </c>
      <c r="JO57" s="2616"/>
      <c r="JP57" s="2616"/>
      <c r="JQ57" s="2616"/>
    </row>
    <row r="58" spans="29:287" ht="4.1500000000000004" customHeight="1">
      <c r="AD58" s="516"/>
      <c r="AX58" s="516"/>
      <c r="DG58" s="516"/>
      <c r="DH58" s="530"/>
      <c r="DI58" s="532"/>
      <c r="DJ58" s="532"/>
      <c r="DK58" s="531"/>
      <c r="DL58" s="517"/>
      <c r="DN58" s="530"/>
      <c r="DO58" s="532"/>
      <c r="DP58" s="532"/>
      <c r="DQ58" s="531"/>
      <c r="DR58" s="517"/>
      <c r="GA58" s="517"/>
      <c r="IB58" s="565"/>
      <c r="IC58" s="565"/>
      <c r="ID58" s="2604"/>
      <c r="IE58" s="2596"/>
      <c r="IF58" s="2596"/>
      <c r="IG58" s="2596"/>
      <c r="IH58" s="2596"/>
      <c r="II58" s="2596"/>
      <c r="IJ58" s="2596"/>
      <c r="IK58" s="2596"/>
      <c r="IL58" s="2596"/>
      <c r="IM58" s="2596"/>
      <c r="IN58" s="2596"/>
      <c r="IO58" s="2596"/>
      <c r="IP58" s="2605"/>
      <c r="IQ58" s="565"/>
      <c r="IR58" s="565"/>
      <c r="IX58" s="2608"/>
      <c r="IY58" s="2608"/>
      <c r="IZ58" s="2608"/>
      <c r="JA58" s="2608"/>
      <c r="JB58" s="2608"/>
      <c r="JC58" s="2608"/>
      <c r="JD58" s="2608"/>
      <c r="JE58" s="2608"/>
      <c r="JF58" s="2608"/>
      <c r="JG58" s="2608"/>
      <c r="JH58" s="2608"/>
      <c r="JI58" s="2608"/>
      <c r="JN58" s="2616"/>
      <c r="JO58" s="2616"/>
      <c r="JP58" s="2616"/>
      <c r="JQ58" s="2616"/>
    </row>
    <row r="59" spans="29:287" ht="4.1500000000000004" customHeight="1">
      <c r="AD59" s="530"/>
      <c r="AE59" s="532"/>
      <c r="AF59" s="532"/>
      <c r="AG59" s="532"/>
      <c r="AH59" s="532"/>
      <c r="AI59" s="532"/>
      <c r="AJ59" s="532"/>
      <c r="AK59" s="532"/>
      <c r="AL59" s="532"/>
      <c r="AM59" s="532"/>
      <c r="AN59" s="532"/>
      <c r="AO59" s="532"/>
      <c r="AP59" s="532"/>
      <c r="AQ59" s="532"/>
      <c r="AR59" s="532"/>
      <c r="AS59" s="532"/>
      <c r="AT59" s="532"/>
      <c r="AU59" s="532"/>
      <c r="AV59" s="532"/>
      <c r="AW59" s="532"/>
      <c r="AX59" s="530"/>
      <c r="AY59" s="532"/>
      <c r="AZ59" s="532"/>
      <c r="BA59" s="532"/>
      <c r="BB59" s="532"/>
      <c r="BC59" s="532"/>
      <c r="BD59" s="532"/>
      <c r="BE59" s="532"/>
      <c r="BF59" s="532"/>
      <c r="BG59" s="532"/>
      <c r="BH59" s="532"/>
      <c r="BI59" s="532"/>
      <c r="BJ59" s="532"/>
      <c r="BK59" s="532"/>
      <c r="BL59" s="532"/>
      <c r="BM59" s="532"/>
      <c r="BN59" s="532"/>
      <c r="BO59" s="532"/>
      <c r="BP59" s="532"/>
      <c r="BQ59" s="532"/>
      <c r="BR59" s="532"/>
      <c r="BS59" s="532"/>
      <c r="BT59" s="532"/>
      <c r="BU59" s="532"/>
      <c r="BV59" s="532"/>
      <c r="BW59" s="532"/>
      <c r="BX59" s="532"/>
      <c r="BY59" s="532"/>
      <c r="BZ59" s="532"/>
      <c r="CA59" s="532"/>
      <c r="CB59" s="532"/>
      <c r="CC59" s="532"/>
      <c r="CD59" s="532"/>
      <c r="CE59" s="532"/>
      <c r="CF59" s="532"/>
      <c r="CG59" s="532"/>
      <c r="CH59" s="532"/>
      <c r="CI59" s="532"/>
      <c r="CJ59" s="532"/>
      <c r="CK59" s="532"/>
      <c r="CL59" s="532"/>
      <c r="CM59" s="532"/>
      <c r="CN59" s="532"/>
      <c r="CO59" s="532"/>
      <c r="CP59" s="532"/>
      <c r="CQ59" s="532"/>
      <c r="CR59" s="532"/>
      <c r="CS59" s="532"/>
      <c r="CT59" s="532"/>
      <c r="CU59" s="532"/>
      <c r="CV59" s="532"/>
      <c r="CW59" s="532"/>
      <c r="CX59" s="532"/>
      <c r="CY59" s="532"/>
      <c r="CZ59" s="532"/>
      <c r="DA59" s="532"/>
      <c r="DB59" s="532"/>
      <c r="DC59" s="532"/>
      <c r="DD59" s="532"/>
      <c r="DE59" s="532"/>
      <c r="DF59" s="532"/>
      <c r="DG59" s="530"/>
      <c r="DH59" s="532"/>
      <c r="DI59" s="532"/>
      <c r="DJ59" s="532"/>
      <c r="DK59" s="532"/>
      <c r="DL59" s="531"/>
      <c r="DM59" s="532"/>
      <c r="DN59" s="532"/>
      <c r="DO59" s="532"/>
      <c r="DP59" s="532"/>
      <c r="DQ59" s="532"/>
      <c r="DR59" s="531"/>
      <c r="DS59" s="532"/>
      <c r="DT59" s="532"/>
      <c r="DU59" s="532"/>
      <c r="DV59" s="532"/>
      <c r="DW59" s="532"/>
      <c r="DX59" s="532"/>
      <c r="DY59" s="532"/>
      <c r="DZ59" s="532"/>
      <c r="EA59" s="532"/>
      <c r="EB59" s="532"/>
      <c r="EC59" s="532"/>
      <c r="ED59" s="532"/>
      <c r="EE59" s="532"/>
      <c r="EF59" s="532"/>
      <c r="EG59" s="532"/>
      <c r="EH59" s="532"/>
      <c r="EI59" s="532"/>
      <c r="EJ59" s="532"/>
      <c r="EK59" s="532"/>
      <c r="EL59" s="532"/>
      <c r="EM59" s="532"/>
      <c r="EN59" s="532"/>
      <c r="EO59" s="532"/>
      <c r="EP59" s="532"/>
      <c r="EQ59" s="532"/>
      <c r="ER59" s="532"/>
      <c r="ES59" s="532"/>
      <c r="ET59" s="532"/>
      <c r="EU59" s="532"/>
      <c r="EV59" s="532"/>
      <c r="EW59" s="532"/>
      <c r="EX59" s="532"/>
      <c r="EY59" s="532"/>
      <c r="EZ59" s="532"/>
      <c r="FA59" s="532"/>
      <c r="FB59" s="532"/>
      <c r="FC59" s="532"/>
      <c r="FD59" s="532"/>
      <c r="FE59" s="532"/>
      <c r="FF59" s="532"/>
      <c r="FG59" s="532"/>
      <c r="FH59" s="532"/>
      <c r="FI59" s="532"/>
      <c r="FJ59" s="532"/>
      <c r="FK59" s="532"/>
      <c r="FL59" s="532"/>
      <c r="FM59" s="532"/>
      <c r="FN59" s="532"/>
      <c r="FO59" s="532"/>
      <c r="FP59" s="532"/>
      <c r="FQ59" s="532"/>
      <c r="FR59" s="532"/>
      <c r="FS59" s="532"/>
      <c r="FT59" s="532"/>
      <c r="FU59" s="532"/>
      <c r="FV59" s="532"/>
      <c r="FW59" s="532"/>
      <c r="FX59" s="532"/>
      <c r="FY59" s="532"/>
      <c r="FZ59" s="532"/>
      <c r="GA59" s="531"/>
      <c r="IB59" s="565"/>
      <c r="IC59" s="565"/>
      <c r="ID59" s="2604"/>
      <c r="IE59" s="2596"/>
      <c r="IF59" s="2596"/>
      <c r="IG59" s="2596"/>
      <c r="IH59" s="2596"/>
      <c r="II59" s="2596"/>
      <c r="IJ59" s="2596"/>
      <c r="IK59" s="2596"/>
      <c r="IL59" s="2596"/>
      <c r="IM59" s="2596"/>
      <c r="IN59" s="2596"/>
      <c r="IO59" s="2596"/>
      <c r="IP59" s="2605"/>
      <c r="IQ59" s="565"/>
      <c r="IR59" s="565"/>
      <c r="IX59" s="2608"/>
      <c r="IY59" s="2608"/>
      <c r="IZ59" s="2608"/>
      <c r="JA59" s="2608"/>
      <c r="JB59" s="2608"/>
      <c r="JC59" s="2608"/>
      <c r="JD59" s="2608"/>
      <c r="JE59" s="2608"/>
      <c r="JF59" s="2608"/>
      <c r="JG59" s="2608"/>
      <c r="JH59" s="2608"/>
      <c r="JI59" s="2608"/>
      <c r="JN59" s="2616"/>
      <c r="JO59" s="2616"/>
      <c r="JP59" s="2616"/>
      <c r="JQ59" s="2616"/>
    </row>
    <row r="60" spans="29:287" ht="4.1500000000000004" customHeight="1">
      <c r="AC60" s="515"/>
      <c r="AD60" s="514"/>
      <c r="AE60" s="514"/>
      <c r="AF60" s="514"/>
      <c r="AG60" s="514"/>
      <c r="AH60" s="514"/>
      <c r="AI60" s="514"/>
      <c r="AJ60" s="514"/>
      <c r="AK60" s="514"/>
      <c r="AL60" s="514"/>
      <c r="AM60" s="514"/>
      <c r="AN60" s="514"/>
      <c r="AO60" s="514"/>
      <c r="AP60" s="514"/>
      <c r="AQ60" s="514"/>
      <c r="AR60" s="514"/>
      <c r="AS60" s="514"/>
      <c r="AT60" s="514"/>
      <c r="AU60" s="514"/>
      <c r="AV60" s="514"/>
      <c r="AW60" s="514"/>
      <c r="AX60" s="514"/>
      <c r="AY60" s="2617"/>
      <c r="AZ60" s="2617"/>
      <c r="BA60" s="2617"/>
      <c r="BB60" s="2617"/>
      <c r="BC60" s="2617"/>
      <c r="BD60" s="2617"/>
      <c r="BE60" s="2617"/>
      <c r="BF60" s="2617"/>
      <c r="BG60" s="2617"/>
      <c r="BH60" s="2617"/>
      <c r="BI60" s="2617"/>
      <c r="BJ60" s="2617"/>
      <c r="BK60" s="2617"/>
      <c r="BL60" s="2617"/>
      <c r="BM60" s="2617"/>
      <c r="BN60" s="2617"/>
      <c r="BO60" s="2617"/>
      <c r="BP60" s="2617"/>
      <c r="BQ60" s="2617"/>
      <c r="BR60" s="2617"/>
      <c r="BS60" s="2617"/>
      <c r="BT60" s="2617"/>
      <c r="BU60" s="2617"/>
      <c r="BV60" s="2617"/>
      <c r="BW60" s="2617"/>
      <c r="BX60" s="2617"/>
      <c r="BY60" s="2617"/>
      <c r="BZ60" s="2617"/>
      <c r="CA60" s="2617"/>
      <c r="CB60" s="2617"/>
      <c r="CC60" s="2617"/>
      <c r="CD60" s="2617"/>
      <c r="CE60" s="2617"/>
      <c r="CF60" s="2617"/>
      <c r="CG60" s="2617"/>
      <c r="CH60" s="2617"/>
      <c r="CI60" s="2617"/>
      <c r="CJ60" s="2617"/>
      <c r="CK60" s="2617"/>
      <c r="CL60" s="2617"/>
      <c r="CM60" s="2617"/>
      <c r="CN60" s="2617"/>
      <c r="CO60" s="2618"/>
      <c r="CP60" s="515"/>
      <c r="CQ60" s="514"/>
      <c r="CR60" s="514"/>
      <c r="CS60" s="514"/>
      <c r="CT60" s="514"/>
      <c r="CU60" s="514"/>
      <c r="CV60" s="514"/>
      <c r="CW60" s="514"/>
      <c r="CX60" s="514"/>
      <c r="CY60" s="514"/>
      <c r="CZ60" s="514"/>
      <c r="DA60" s="514"/>
      <c r="DB60" s="514"/>
      <c r="DC60" s="514"/>
      <c r="DD60" s="514"/>
      <c r="DE60" s="514"/>
      <c r="DF60" s="514"/>
      <c r="DG60" s="514"/>
      <c r="DH60" s="514"/>
      <c r="DI60" s="514"/>
      <c r="DJ60" s="514"/>
      <c r="DK60" s="514"/>
      <c r="DL60" s="514"/>
      <c r="DM60" s="514"/>
      <c r="DN60" s="514"/>
      <c r="DO60" s="514"/>
      <c r="DP60" s="514"/>
      <c r="DQ60" s="514"/>
      <c r="DR60" s="514"/>
      <c r="DS60" s="514"/>
      <c r="DT60" s="514"/>
      <c r="DU60" s="514"/>
      <c r="DV60" s="514"/>
      <c r="DW60" s="514"/>
      <c r="DX60" s="514"/>
      <c r="DY60" s="514"/>
      <c r="DZ60" s="514"/>
      <c r="EA60" s="514"/>
      <c r="EB60" s="514"/>
      <c r="EC60" s="514"/>
      <c r="ED60" s="514"/>
      <c r="EE60" s="514"/>
      <c r="EF60" s="514"/>
      <c r="EG60" s="514"/>
      <c r="EH60" s="514"/>
      <c r="EI60" s="518"/>
      <c r="EJ60" s="514"/>
      <c r="EK60" s="514"/>
      <c r="EL60" s="514"/>
      <c r="EM60" s="514"/>
      <c r="EN60" s="514"/>
      <c r="EO60" s="514"/>
      <c r="EP60" s="514"/>
      <c r="EQ60" s="514"/>
      <c r="ER60" s="514"/>
      <c r="ES60" s="514"/>
      <c r="ET60" s="514"/>
      <c r="EU60" s="514"/>
      <c r="EV60" s="514"/>
      <c r="EW60" s="514"/>
      <c r="EX60" s="514"/>
      <c r="EY60" s="514"/>
      <c r="EZ60" s="514"/>
      <c r="FA60" s="514"/>
      <c r="FB60" s="514"/>
      <c r="FC60" s="514"/>
      <c r="FD60" s="514"/>
      <c r="FE60" s="514"/>
      <c r="FF60" s="514"/>
      <c r="FG60" s="514"/>
      <c r="FH60" s="514"/>
      <c r="FI60" s="514"/>
      <c r="FJ60" s="514"/>
      <c r="FK60" s="514"/>
      <c r="FL60" s="514"/>
      <c r="FM60" s="514"/>
      <c r="FN60" s="514"/>
      <c r="FO60" s="514"/>
      <c r="FP60" s="514"/>
      <c r="FQ60" s="514"/>
      <c r="FR60" s="514"/>
      <c r="FS60" s="514"/>
      <c r="FT60" s="514"/>
      <c r="FU60" s="514"/>
      <c r="FV60" s="514"/>
      <c r="FW60" s="514"/>
      <c r="FX60" s="514"/>
      <c r="FY60" s="514"/>
      <c r="FZ60" s="514"/>
      <c r="GA60" s="514"/>
      <c r="GB60" s="518"/>
      <c r="IB60" s="565"/>
      <c r="IC60" s="565"/>
      <c r="ID60" s="2606"/>
      <c r="IE60" s="2598"/>
      <c r="IF60" s="2598"/>
      <c r="IG60" s="2598"/>
      <c r="IH60" s="2598"/>
      <c r="II60" s="2598"/>
      <c r="IJ60" s="2598"/>
      <c r="IK60" s="2598"/>
      <c r="IL60" s="2598"/>
      <c r="IM60" s="2598"/>
      <c r="IN60" s="2598"/>
      <c r="IO60" s="2598"/>
      <c r="IP60" s="2607"/>
      <c r="IQ60" s="565"/>
      <c r="IR60" s="565"/>
      <c r="IX60" s="532"/>
      <c r="IY60" s="532"/>
      <c r="IZ60" s="532"/>
      <c r="JA60" s="532"/>
      <c r="JB60" s="532"/>
      <c r="JC60" s="532"/>
      <c r="JD60" s="532"/>
      <c r="JE60" s="532"/>
      <c r="JF60" s="532"/>
      <c r="JG60" s="532"/>
      <c r="JH60" s="532"/>
      <c r="JI60" s="532"/>
      <c r="JN60" s="2616"/>
      <c r="JO60" s="2616"/>
      <c r="JP60" s="2616"/>
      <c r="JQ60" s="2616"/>
    </row>
    <row r="61" spans="29:287" ht="4.1500000000000004" customHeight="1">
      <c r="AC61" s="516"/>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c r="BY61" s="2619"/>
      <c r="BZ61" s="2619"/>
      <c r="CA61" s="2619"/>
      <c r="CB61" s="2619"/>
      <c r="CC61" s="2619"/>
      <c r="CD61" s="2619"/>
      <c r="CE61" s="2619"/>
      <c r="CF61" s="2619"/>
      <c r="CG61" s="2619"/>
      <c r="CH61" s="2619"/>
      <c r="CI61" s="2619"/>
      <c r="CJ61" s="2619"/>
      <c r="CK61" s="2619"/>
      <c r="CL61" s="2619"/>
      <c r="CM61" s="2619"/>
      <c r="CN61" s="2619"/>
      <c r="CO61" s="2620"/>
      <c r="CP61" s="530"/>
      <c r="CQ61" s="532"/>
      <c r="CR61" s="532"/>
      <c r="CS61" s="532"/>
      <c r="CT61" s="532"/>
      <c r="CU61" s="532"/>
      <c r="CV61" s="532"/>
      <c r="CW61" s="532"/>
      <c r="CX61" s="532"/>
      <c r="CY61" s="532"/>
      <c r="CZ61" s="532"/>
      <c r="DA61" s="532"/>
      <c r="DB61" s="532"/>
      <c r="DC61" s="532"/>
      <c r="DD61" s="532"/>
      <c r="DE61" s="532"/>
      <c r="DF61" s="532"/>
      <c r="DG61" s="532"/>
      <c r="DH61" s="532"/>
      <c r="DI61" s="532"/>
      <c r="DJ61" s="532"/>
      <c r="DK61" s="532"/>
      <c r="DL61" s="532"/>
      <c r="DM61" s="532"/>
      <c r="DN61" s="532"/>
      <c r="DO61" s="532"/>
      <c r="DP61" s="532"/>
      <c r="DQ61" s="532"/>
      <c r="DR61" s="532"/>
      <c r="DS61" s="532"/>
      <c r="DT61" s="532"/>
      <c r="DU61" s="532"/>
      <c r="DV61" s="532"/>
      <c r="DW61" s="532"/>
      <c r="DX61" s="532"/>
      <c r="DY61" s="532"/>
      <c r="DZ61" s="532"/>
      <c r="EA61" s="532"/>
      <c r="EB61" s="532"/>
      <c r="EC61" s="532"/>
      <c r="ED61" s="532"/>
      <c r="EE61" s="532"/>
      <c r="EF61" s="532"/>
      <c r="EG61" s="532"/>
      <c r="EH61" s="532"/>
      <c r="EI61" s="531"/>
      <c r="GB61" s="517"/>
      <c r="IB61" s="2602">
        <v>0.6</v>
      </c>
      <c r="IC61" s="2597"/>
      <c r="ID61" s="2597"/>
      <c r="IE61" s="2597"/>
      <c r="IF61" s="2597"/>
      <c r="IG61" s="2597"/>
      <c r="IH61" s="2597"/>
      <c r="II61" s="2597"/>
      <c r="IJ61" s="2597"/>
      <c r="IK61" s="2597"/>
      <c r="IL61" s="2597"/>
      <c r="IM61" s="2597"/>
      <c r="IN61" s="2597"/>
      <c r="IO61" s="2597"/>
      <c r="IP61" s="2597"/>
      <c r="IQ61" s="2597"/>
      <c r="IR61" s="2603"/>
      <c r="JN61" s="2616"/>
      <c r="JO61" s="2616"/>
      <c r="JP61" s="2616"/>
      <c r="JQ61" s="2616"/>
    </row>
    <row r="62" spans="29:287" ht="4.1500000000000004" customHeight="1">
      <c r="AC62" s="516"/>
      <c r="AY62" s="2619"/>
      <c r="AZ62" s="2619"/>
      <c r="BA62" s="2619"/>
      <c r="BB62" s="2619"/>
      <c r="BC62" s="2619"/>
      <c r="BD62" s="2619"/>
      <c r="BE62" s="2619"/>
      <c r="BF62" s="2619"/>
      <c r="BG62" s="2619"/>
      <c r="BH62" s="2619"/>
      <c r="BI62" s="2619"/>
      <c r="BJ62" s="2619"/>
      <c r="BK62" s="2619"/>
      <c r="BL62" s="2619"/>
      <c r="BM62" s="2619"/>
      <c r="BN62" s="2619"/>
      <c r="BO62" s="2619"/>
      <c r="BP62" s="2619"/>
      <c r="BQ62" s="2619"/>
      <c r="BR62" s="2619"/>
      <c r="BS62" s="2619"/>
      <c r="BT62" s="2619"/>
      <c r="BU62" s="2619"/>
      <c r="BV62" s="2619"/>
      <c r="BW62" s="2619"/>
      <c r="BX62" s="2619"/>
      <c r="BY62" s="2619"/>
      <c r="BZ62" s="2619"/>
      <c r="CA62" s="2619"/>
      <c r="CB62" s="2619"/>
      <c r="CC62" s="2619"/>
      <c r="CD62" s="2619"/>
      <c r="CE62" s="2619"/>
      <c r="CF62" s="2619"/>
      <c r="CG62" s="2619"/>
      <c r="CH62" s="2619"/>
      <c r="CI62" s="2619"/>
      <c r="CJ62" s="2619"/>
      <c r="CK62" s="2619"/>
      <c r="CL62" s="2619"/>
      <c r="CM62" s="2619"/>
      <c r="CN62" s="2619"/>
      <c r="CO62" s="2620"/>
      <c r="CP62" s="515"/>
      <c r="CQ62" s="514"/>
      <c r="CR62" s="514"/>
      <c r="CS62" s="514"/>
      <c r="CT62" s="514"/>
      <c r="CU62" s="514"/>
      <c r="CV62" s="514"/>
      <c r="CW62" s="514"/>
      <c r="CX62" s="514"/>
      <c r="CY62" s="514"/>
      <c r="CZ62" s="514"/>
      <c r="DA62" s="514"/>
      <c r="DB62" s="514"/>
      <c r="DC62" s="514"/>
      <c r="DD62" s="514"/>
      <c r="DE62" s="514"/>
      <c r="DF62" s="514"/>
      <c r="DG62" s="514"/>
      <c r="DH62" s="514"/>
      <c r="DI62" s="514"/>
      <c r="DJ62" s="514"/>
      <c r="DK62" s="514"/>
      <c r="DL62" s="514"/>
      <c r="DM62" s="514"/>
      <c r="DN62" s="514"/>
      <c r="DO62" s="514"/>
      <c r="DP62" s="514"/>
      <c r="DQ62" s="514"/>
      <c r="DR62" s="514"/>
      <c r="DS62" s="514"/>
      <c r="DT62" s="514"/>
      <c r="DU62" s="514"/>
      <c r="DV62" s="514"/>
      <c r="DW62" s="514"/>
      <c r="DX62" s="514"/>
      <c r="DY62" s="514"/>
      <c r="DZ62" s="514"/>
      <c r="EA62" s="514"/>
      <c r="EB62" s="514"/>
      <c r="EC62" s="514"/>
      <c r="ED62" s="514"/>
      <c r="EE62" s="514"/>
      <c r="EF62" s="514"/>
      <c r="EG62" s="514"/>
      <c r="EH62" s="514"/>
      <c r="EI62" s="518"/>
      <c r="GB62" s="517"/>
      <c r="IB62" s="2604"/>
      <c r="IC62" s="2596"/>
      <c r="ID62" s="2596"/>
      <c r="IE62" s="2596"/>
      <c r="IF62" s="2596"/>
      <c r="IG62" s="2596"/>
      <c r="IH62" s="2596"/>
      <c r="II62" s="2596"/>
      <c r="IJ62" s="2596"/>
      <c r="IK62" s="2596"/>
      <c r="IL62" s="2596"/>
      <c r="IM62" s="2596"/>
      <c r="IN62" s="2596"/>
      <c r="IO62" s="2596"/>
      <c r="IP62" s="2596"/>
      <c r="IQ62" s="2596"/>
      <c r="IR62" s="2605"/>
      <c r="IX62" s="2608">
        <v>0.22500000000000001</v>
      </c>
      <c r="IY62" s="2608"/>
      <c r="IZ62" s="2608"/>
      <c r="JA62" s="2608"/>
      <c r="JB62" s="2608"/>
      <c r="JC62" s="2608"/>
      <c r="JD62" s="2608"/>
      <c r="JE62" s="2608"/>
      <c r="JF62" s="2608"/>
      <c r="JG62" s="2608"/>
      <c r="JH62" s="2608"/>
      <c r="JI62" s="2608"/>
      <c r="JN62" s="2616"/>
      <c r="JO62" s="2616"/>
      <c r="JP62" s="2616"/>
      <c r="JQ62" s="2616"/>
    </row>
    <row r="63" spans="29:287" ht="4.1500000000000004" customHeight="1">
      <c r="AC63" s="516"/>
      <c r="AY63" s="2619"/>
      <c r="AZ63" s="2619"/>
      <c r="BA63" s="2619"/>
      <c r="BB63" s="2619"/>
      <c r="BC63" s="2619"/>
      <c r="BD63" s="2619"/>
      <c r="BE63" s="2619"/>
      <c r="BF63" s="2619"/>
      <c r="BG63" s="2619"/>
      <c r="BH63" s="2619"/>
      <c r="BI63" s="2619"/>
      <c r="BJ63" s="2619"/>
      <c r="BK63" s="2619"/>
      <c r="BL63" s="2619"/>
      <c r="BM63" s="2619"/>
      <c r="BN63" s="2619"/>
      <c r="BO63" s="2619"/>
      <c r="BP63" s="2619"/>
      <c r="BQ63" s="2619"/>
      <c r="BR63" s="2619"/>
      <c r="BS63" s="2619"/>
      <c r="BT63" s="2619"/>
      <c r="BU63" s="2619"/>
      <c r="BV63" s="2619"/>
      <c r="BW63" s="2619"/>
      <c r="BX63" s="2619"/>
      <c r="BY63" s="2619"/>
      <c r="BZ63" s="2619"/>
      <c r="CA63" s="2619"/>
      <c r="CB63" s="2619"/>
      <c r="CC63" s="2619"/>
      <c r="CD63" s="2619"/>
      <c r="CE63" s="2619"/>
      <c r="CF63" s="2619"/>
      <c r="CG63" s="2619"/>
      <c r="CH63" s="2619"/>
      <c r="CI63" s="2619"/>
      <c r="CJ63" s="2619"/>
      <c r="CK63" s="2619"/>
      <c r="CL63" s="2619"/>
      <c r="CM63" s="2619"/>
      <c r="CN63" s="2619"/>
      <c r="CO63" s="2620"/>
      <c r="CP63" s="530"/>
      <c r="CQ63" s="532"/>
      <c r="CR63" s="532"/>
      <c r="CS63" s="532"/>
      <c r="CT63" s="532"/>
      <c r="CU63" s="532"/>
      <c r="CV63" s="532"/>
      <c r="CW63" s="532"/>
      <c r="CX63" s="532"/>
      <c r="CY63" s="532"/>
      <c r="CZ63" s="532"/>
      <c r="DA63" s="532"/>
      <c r="DB63" s="532"/>
      <c r="DC63" s="532"/>
      <c r="DD63" s="532"/>
      <c r="DE63" s="532"/>
      <c r="DF63" s="532"/>
      <c r="DG63" s="532"/>
      <c r="DH63" s="532"/>
      <c r="DI63" s="532"/>
      <c r="DJ63" s="532"/>
      <c r="DK63" s="532"/>
      <c r="DL63" s="532"/>
      <c r="DM63" s="532"/>
      <c r="DN63" s="532"/>
      <c r="DO63" s="532"/>
      <c r="DP63" s="532"/>
      <c r="DQ63" s="532"/>
      <c r="DR63" s="532"/>
      <c r="DS63" s="532"/>
      <c r="DT63" s="532"/>
      <c r="DU63" s="532"/>
      <c r="DV63" s="532"/>
      <c r="DW63" s="532"/>
      <c r="DX63" s="532"/>
      <c r="DY63" s="532"/>
      <c r="DZ63" s="532"/>
      <c r="EA63" s="532"/>
      <c r="EB63" s="532"/>
      <c r="EC63" s="532"/>
      <c r="ED63" s="532"/>
      <c r="EE63" s="532"/>
      <c r="EF63" s="532"/>
      <c r="EG63" s="532"/>
      <c r="EH63" s="532"/>
      <c r="EI63" s="531"/>
      <c r="GB63" s="517"/>
      <c r="IB63" s="2604"/>
      <c r="IC63" s="2596"/>
      <c r="ID63" s="2596"/>
      <c r="IE63" s="2596"/>
      <c r="IF63" s="2596"/>
      <c r="IG63" s="2596"/>
      <c r="IH63" s="2596"/>
      <c r="II63" s="2596"/>
      <c r="IJ63" s="2596"/>
      <c r="IK63" s="2596"/>
      <c r="IL63" s="2596"/>
      <c r="IM63" s="2596"/>
      <c r="IN63" s="2596"/>
      <c r="IO63" s="2596"/>
      <c r="IP63" s="2596"/>
      <c r="IQ63" s="2596"/>
      <c r="IR63" s="2605"/>
      <c r="IX63" s="2608"/>
      <c r="IY63" s="2608"/>
      <c r="IZ63" s="2608"/>
      <c r="JA63" s="2608"/>
      <c r="JB63" s="2608"/>
      <c r="JC63" s="2608"/>
      <c r="JD63" s="2608"/>
      <c r="JE63" s="2608"/>
      <c r="JF63" s="2608"/>
      <c r="JG63" s="2608"/>
      <c r="JH63" s="2608"/>
      <c r="JI63" s="2608"/>
      <c r="JN63" s="2616"/>
      <c r="JO63" s="2616"/>
      <c r="JP63" s="2616"/>
      <c r="JQ63" s="2616"/>
    </row>
    <row r="64" spans="29:287" ht="4.1500000000000004" customHeight="1">
      <c r="AC64" s="516"/>
      <c r="AY64" s="2619"/>
      <c r="AZ64" s="2619"/>
      <c r="BA64" s="2619"/>
      <c r="BB64" s="2619"/>
      <c r="BC64" s="2619"/>
      <c r="BD64" s="2619"/>
      <c r="BE64" s="2619"/>
      <c r="BF64" s="2619"/>
      <c r="BG64" s="2619"/>
      <c r="BH64" s="2619"/>
      <c r="BI64" s="2619"/>
      <c r="BJ64" s="2619"/>
      <c r="BK64" s="2619"/>
      <c r="BL64" s="2619"/>
      <c r="BM64" s="2619"/>
      <c r="BN64" s="2619"/>
      <c r="BO64" s="2619"/>
      <c r="BP64" s="2619"/>
      <c r="BQ64" s="2619"/>
      <c r="BR64" s="2619"/>
      <c r="BS64" s="2619"/>
      <c r="BT64" s="2619"/>
      <c r="BU64" s="2619"/>
      <c r="BV64" s="2619"/>
      <c r="BW64" s="2619"/>
      <c r="BX64" s="2619"/>
      <c r="BY64" s="2619"/>
      <c r="BZ64" s="2619"/>
      <c r="CA64" s="2619"/>
      <c r="CB64" s="2619"/>
      <c r="CC64" s="2619"/>
      <c r="CD64" s="2619"/>
      <c r="CE64" s="2619"/>
      <c r="CF64" s="2619"/>
      <c r="CG64" s="2619"/>
      <c r="CH64" s="2619"/>
      <c r="CI64" s="2619"/>
      <c r="CJ64" s="2619"/>
      <c r="CK64" s="2619"/>
      <c r="CL64" s="2619"/>
      <c r="CM64" s="2619"/>
      <c r="CN64" s="2619"/>
      <c r="CO64" s="2620"/>
      <c r="CP64" s="515"/>
      <c r="CQ64" s="514"/>
      <c r="CR64" s="514"/>
      <c r="CS64" s="514"/>
      <c r="CT64" s="514"/>
      <c r="CU64" s="514"/>
      <c r="CV64" s="514"/>
      <c r="CW64" s="514"/>
      <c r="CX64" s="514"/>
      <c r="CY64" s="514"/>
      <c r="CZ64" s="514"/>
      <c r="DA64" s="514"/>
      <c r="DB64" s="514"/>
      <c r="DC64" s="514"/>
      <c r="DD64" s="514"/>
      <c r="DE64" s="514"/>
      <c r="DF64" s="514"/>
      <c r="DG64" s="514"/>
      <c r="DH64" s="514"/>
      <c r="DI64" s="514"/>
      <c r="DJ64" s="514"/>
      <c r="DK64" s="514"/>
      <c r="DL64" s="514"/>
      <c r="DM64" s="514"/>
      <c r="DN64" s="514"/>
      <c r="DO64" s="514"/>
      <c r="DP64" s="514"/>
      <c r="DQ64" s="514"/>
      <c r="DR64" s="514"/>
      <c r="DS64" s="514"/>
      <c r="DT64" s="514"/>
      <c r="DU64" s="514"/>
      <c r="DV64" s="514"/>
      <c r="DW64" s="514"/>
      <c r="DX64" s="514"/>
      <c r="DY64" s="514"/>
      <c r="DZ64" s="514"/>
      <c r="EA64" s="514"/>
      <c r="EB64" s="514"/>
      <c r="EC64" s="514"/>
      <c r="ED64" s="514"/>
      <c r="EE64" s="514"/>
      <c r="EF64" s="514"/>
      <c r="EG64" s="514"/>
      <c r="EH64" s="514"/>
      <c r="EI64" s="518"/>
      <c r="GB64" s="517"/>
      <c r="IB64" s="2604"/>
      <c r="IC64" s="2596"/>
      <c r="ID64" s="2596"/>
      <c r="IE64" s="2596"/>
      <c r="IF64" s="2596"/>
      <c r="IG64" s="2596"/>
      <c r="IH64" s="2596"/>
      <c r="II64" s="2596"/>
      <c r="IJ64" s="2596"/>
      <c r="IK64" s="2596"/>
      <c r="IL64" s="2596"/>
      <c r="IM64" s="2596"/>
      <c r="IN64" s="2596"/>
      <c r="IO64" s="2596"/>
      <c r="IP64" s="2596"/>
      <c r="IQ64" s="2596"/>
      <c r="IR64" s="2605"/>
      <c r="IX64" s="2608"/>
      <c r="IY64" s="2608"/>
      <c r="IZ64" s="2608"/>
      <c r="JA64" s="2608"/>
      <c r="JB64" s="2608"/>
      <c r="JC64" s="2608"/>
      <c r="JD64" s="2608"/>
      <c r="JE64" s="2608"/>
      <c r="JF64" s="2608"/>
      <c r="JG64" s="2608"/>
      <c r="JH64" s="2608"/>
      <c r="JI64" s="2608"/>
      <c r="JN64" s="2616"/>
      <c r="JO64" s="2616"/>
      <c r="JP64" s="2616"/>
      <c r="JQ64" s="2616"/>
    </row>
    <row r="65" spans="29:292" ht="4.1500000000000004" customHeight="1">
      <c r="AC65" s="530"/>
      <c r="AD65" s="532"/>
      <c r="AE65" s="532"/>
      <c r="AF65" s="532"/>
      <c r="AG65" s="532"/>
      <c r="AH65" s="532"/>
      <c r="AI65" s="532"/>
      <c r="AJ65" s="532"/>
      <c r="AK65" s="532"/>
      <c r="AL65" s="532"/>
      <c r="AM65" s="532"/>
      <c r="AN65" s="532"/>
      <c r="AO65" s="532"/>
      <c r="AP65" s="532"/>
      <c r="AQ65" s="532"/>
      <c r="AR65" s="532"/>
      <c r="AS65" s="532"/>
      <c r="AT65" s="532"/>
      <c r="AU65" s="532"/>
      <c r="AV65" s="532"/>
      <c r="AW65" s="532"/>
      <c r="AX65" s="532"/>
      <c r="AY65" s="2621"/>
      <c r="AZ65" s="2621"/>
      <c r="BA65" s="2621"/>
      <c r="BB65" s="2621"/>
      <c r="BC65" s="2621"/>
      <c r="BD65" s="2621"/>
      <c r="BE65" s="2621"/>
      <c r="BF65" s="2621"/>
      <c r="BG65" s="2621"/>
      <c r="BH65" s="2621"/>
      <c r="BI65" s="2621"/>
      <c r="BJ65" s="2621"/>
      <c r="BK65" s="2621"/>
      <c r="BL65" s="2621"/>
      <c r="BM65" s="2621"/>
      <c r="BN65" s="2621"/>
      <c r="BO65" s="2621"/>
      <c r="BP65" s="2621"/>
      <c r="BQ65" s="2621"/>
      <c r="BR65" s="2621"/>
      <c r="BS65" s="2621"/>
      <c r="BT65" s="2621"/>
      <c r="BU65" s="2621"/>
      <c r="BV65" s="2621"/>
      <c r="BW65" s="2621"/>
      <c r="BX65" s="2621"/>
      <c r="BY65" s="2621"/>
      <c r="BZ65" s="2621"/>
      <c r="CA65" s="2621"/>
      <c r="CB65" s="2621"/>
      <c r="CC65" s="2621"/>
      <c r="CD65" s="2621"/>
      <c r="CE65" s="2621"/>
      <c r="CF65" s="2621"/>
      <c r="CG65" s="2621"/>
      <c r="CH65" s="2621"/>
      <c r="CI65" s="2621"/>
      <c r="CJ65" s="2621"/>
      <c r="CK65" s="2621"/>
      <c r="CL65" s="2621"/>
      <c r="CM65" s="2621"/>
      <c r="CN65" s="2621"/>
      <c r="CO65" s="2622"/>
      <c r="CP65" s="530"/>
      <c r="CQ65" s="532"/>
      <c r="CR65" s="532"/>
      <c r="CS65" s="532"/>
      <c r="CT65" s="532"/>
      <c r="CU65" s="532"/>
      <c r="CV65" s="532"/>
      <c r="CW65" s="532"/>
      <c r="CX65" s="532"/>
      <c r="CY65" s="532"/>
      <c r="CZ65" s="532"/>
      <c r="DA65" s="532"/>
      <c r="DB65" s="532"/>
      <c r="DC65" s="532"/>
      <c r="DD65" s="532"/>
      <c r="DE65" s="532"/>
      <c r="DF65" s="532"/>
      <c r="DG65" s="532"/>
      <c r="DH65" s="532"/>
      <c r="DI65" s="532"/>
      <c r="DJ65" s="532"/>
      <c r="DK65" s="532"/>
      <c r="DL65" s="532"/>
      <c r="DM65" s="532"/>
      <c r="DN65" s="532"/>
      <c r="DO65" s="532"/>
      <c r="DP65" s="532"/>
      <c r="DQ65" s="532"/>
      <c r="DR65" s="532"/>
      <c r="DS65" s="532"/>
      <c r="DT65" s="532"/>
      <c r="DU65" s="532"/>
      <c r="DV65" s="532"/>
      <c r="DW65" s="532"/>
      <c r="DX65" s="532"/>
      <c r="DY65" s="532"/>
      <c r="DZ65" s="532"/>
      <c r="EA65" s="532"/>
      <c r="EB65" s="532"/>
      <c r="EC65" s="532"/>
      <c r="ED65" s="532"/>
      <c r="EE65" s="532"/>
      <c r="EF65" s="532"/>
      <c r="EG65" s="532"/>
      <c r="EH65" s="532"/>
      <c r="EI65" s="531"/>
      <c r="EJ65" s="532"/>
      <c r="EK65" s="532"/>
      <c r="EL65" s="532"/>
      <c r="EM65" s="532"/>
      <c r="EN65" s="532"/>
      <c r="EO65" s="532"/>
      <c r="EP65" s="532"/>
      <c r="EQ65" s="532"/>
      <c r="ER65" s="532"/>
      <c r="ES65" s="532"/>
      <c r="ET65" s="532"/>
      <c r="EU65" s="532"/>
      <c r="EV65" s="532"/>
      <c r="EW65" s="532"/>
      <c r="EX65" s="532"/>
      <c r="EY65" s="532"/>
      <c r="EZ65" s="532"/>
      <c r="FA65" s="532"/>
      <c r="FB65" s="532"/>
      <c r="FC65" s="532"/>
      <c r="FD65" s="532"/>
      <c r="FE65" s="532"/>
      <c r="FF65" s="532"/>
      <c r="FG65" s="532"/>
      <c r="FH65" s="532"/>
      <c r="FI65" s="532"/>
      <c r="FJ65" s="532"/>
      <c r="FK65" s="532"/>
      <c r="FL65" s="532"/>
      <c r="FM65" s="532"/>
      <c r="FN65" s="532"/>
      <c r="FO65" s="532"/>
      <c r="FP65" s="532"/>
      <c r="FQ65" s="532"/>
      <c r="FR65" s="532"/>
      <c r="FS65" s="532"/>
      <c r="FT65" s="532"/>
      <c r="FU65" s="532"/>
      <c r="FV65" s="532"/>
      <c r="FW65" s="532"/>
      <c r="FX65" s="532"/>
      <c r="FY65" s="532"/>
      <c r="FZ65" s="532"/>
      <c r="GA65" s="532"/>
      <c r="GB65" s="531"/>
      <c r="IB65" s="2606"/>
      <c r="IC65" s="2598"/>
      <c r="ID65" s="2598"/>
      <c r="IE65" s="2598"/>
      <c r="IF65" s="2598"/>
      <c r="IG65" s="2598"/>
      <c r="IH65" s="2598"/>
      <c r="II65" s="2598"/>
      <c r="IJ65" s="2598"/>
      <c r="IK65" s="2598"/>
      <c r="IL65" s="2598"/>
      <c r="IM65" s="2598"/>
      <c r="IN65" s="2598"/>
      <c r="IO65" s="2598"/>
      <c r="IP65" s="2598"/>
      <c r="IQ65" s="2598"/>
      <c r="IR65" s="2607"/>
      <c r="IX65" s="532"/>
      <c r="IY65" s="532"/>
      <c r="IZ65" s="532"/>
      <c r="JA65" s="532"/>
      <c r="JB65" s="532"/>
      <c r="JC65" s="532"/>
      <c r="JD65" s="532"/>
      <c r="JE65" s="532"/>
      <c r="JF65" s="532"/>
      <c r="JG65" s="532"/>
      <c r="JH65" s="532"/>
      <c r="JI65" s="532"/>
      <c r="JN65" s="2616"/>
      <c r="JO65" s="2616"/>
      <c r="JP65" s="2616"/>
      <c r="JQ65" s="2616"/>
    </row>
    <row r="66" spans="29:292" ht="4.1500000000000004" customHeight="1">
      <c r="HZ66" s="515"/>
      <c r="IA66" s="514"/>
      <c r="IB66" s="514"/>
      <c r="IC66" s="514"/>
      <c r="ID66" s="514"/>
      <c r="IE66" s="514"/>
      <c r="IF66" s="514"/>
      <c r="IG66" s="514"/>
      <c r="IH66" s="514"/>
      <c r="II66" s="514"/>
      <c r="IJ66" s="514"/>
      <c r="IK66" s="514"/>
      <c r="IL66" s="514"/>
      <c r="IM66" s="514"/>
      <c r="IN66" s="514"/>
      <c r="IO66" s="514"/>
      <c r="IP66" s="514"/>
      <c r="IQ66" s="514"/>
      <c r="IR66" s="514"/>
      <c r="IS66" s="514"/>
      <c r="IT66" s="518"/>
      <c r="IU66" s="516"/>
      <c r="IX66" s="2597">
        <v>0.15</v>
      </c>
      <c r="IY66" s="2597"/>
      <c r="IZ66" s="2597"/>
      <c r="JA66" s="2597"/>
      <c r="JB66" s="2597"/>
      <c r="JC66" s="2597"/>
      <c r="JD66" s="2597"/>
      <c r="JE66" s="2597"/>
      <c r="JF66" s="2597"/>
      <c r="JG66" s="2597"/>
      <c r="JH66" s="2597"/>
      <c r="JI66" s="2597"/>
      <c r="JN66" s="2616"/>
      <c r="JO66" s="2616"/>
      <c r="JP66" s="2616"/>
      <c r="JQ66" s="2616"/>
    </row>
    <row r="67" spans="29:292" ht="4.1500000000000004" customHeight="1">
      <c r="HZ67" s="516"/>
      <c r="IT67" s="517"/>
      <c r="IU67" s="516"/>
      <c r="IX67" s="2596"/>
      <c r="IY67" s="2596"/>
      <c r="IZ67" s="2596"/>
      <c r="JA67" s="2596"/>
      <c r="JB67" s="2596"/>
      <c r="JC67" s="2596"/>
      <c r="JD67" s="2596"/>
      <c r="JE67" s="2596"/>
      <c r="JF67" s="2596"/>
      <c r="JG67" s="2596"/>
      <c r="JH67" s="2596"/>
      <c r="JI67" s="2596"/>
      <c r="JP67" s="516"/>
    </row>
    <row r="68" spans="29:292" ht="4.1500000000000004" customHeight="1">
      <c r="HZ68" s="530"/>
      <c r="IA68" s="532"/>
      <c r="IB68" s="532"/>
      <c r="IC68" s="532"/>
      <c r="ID68" s="532"/>
      <c r="IE68" s="532"/>
      <c r="IF68" s="532"/>
      <c r="IG68" s="532"/>
      <c r="IH68" s="532"/>
      <c r="II68" s="532"/>
      <c r="IJ68" s="532"/>
      <c r="IK68" s="532"/>
      <c r="IL68" s="532"/>
      <c r="IM68" s="532"/>
      <c r="IN68" s="532"/>
      <c r="IO68" s="532"/>
      <c r="IP68" s="532"/>
      <c r="IQ68" s="532"/>
      <c r="IR68" s="532"/>
      <c r="IS68" s="532"/>
      <c r="IT68" s="531"/>
      <c r="IU68" s="516"/>
      <c r="IX68" s="2598"/>
      <c r="IY68" s="2598"/>
      <c r="IZ68" s="2598"/>
      <c r="JA68" s="2598"/>
      <c r="JB68" s="2598"/>
      <c r="JC68" s="2598"/>
      <c r="JD68" s="2598"/>
      <c r="JE68" s="2598"/>
      <c r="JF68" s="2598"/>
      <c r="JG68" s="2598"/>
      <c r="JH68" s="2598"/>
      <c r="JI68" s="2598"/>
      <c r="JP68" s="516"/>
    </row>
    <row r="69" spans="29:292" ht="4.1500000000000004" customHeight="1">
      <c r="HZ69" s="515"/>
      <c r="IA69" s="514"/>
      <c r="IB69" s="514"/>
      <c r="IC69" s="514"/>
      <c r="ID69" s="514"/>
      <c r="IE69" s="514"/>
      <c r="IF69" s="514"/>
      <c r="IG69" s="514"/>
      <c r="IH69" s="514"/>
      <c r="II69" s="514"/>
      <c r="IJ69" s="514"/>
      <c r="IK69" s="514"/>
      <c r="IL69" s="514"/>
      <c r="IM69" s="514"/>
      <c r="IN69" s="514"/>
      <c r="IO69" s="514"/>
      <c r="IP69" s="514"/>
      <c r="IQ69" s="514"/>
      <c r="IR69" s="514"/>
      <c r="IS69" s="514"/>
      <c r="IT69" s="518"/>
      <c r="IU69" s="516"/>
      <c r="IX69" s="2597">
        <v>0.15</v>
      </c>
      <c r="IY69" s="2597"/>
      <c r="IZ69" s="2597"/>
      <c r="JA69" s="2597"/>
      <c r="JB69" s="2597"/>
      <c r="JC69" s="2597"/>
      <c r="JD69" s="2597"/>
      <c r="JE69" s="2597"/>
      <c r="JF69" s="2597"/>
      <c r="JG69" s="2597"/>
      <c r="JH69" s="2597"/>
      <c r="JI69" s="2597"/>
      <c r="JP69" s="516"/>
    </row>
    <row r="70" spans="29:292" ht="4.1500000000000004" customHeight="1">
      <c r="HZ70" s="516"/>
      <c r="IT70" s="517"/>
      <c r="IU70" s="516"/>
      <c r="IX70" s="2596"/>
      <c r="IY70" s="2596"/>
      <c r="IZ70" s="2596"/>
      <c r="JA70" s="2596"/>
      <c r="JB70" s="2596"/>
      <c r="JC70" s="2596"/>
      <c r="JD70" s="2596"/>
      <c r="JE70" s="2596"/>
      <c r="JF70" s="2596"/>
      <c r="JG70" s="2596"/>
      <c r="JH70" s="2596"/>
      <c r="JI70" s="2596"/>
      <c r="JP70" s="516"/>
    </row>
    <row r="71" spans="29:292" ht="4.1500000000000004" customHeight="1">
      <c r="HZ71" s="530"/>
      <c r="IA71" s="532"/>
      <c r="IB71" s="532"/>
      <c r="IC71" s="532"/>
      <c r="ID71" s="532"/>
      <c r="IE71" s="532"/>
      <c r="IF71" s="532"/>
      <c r="IG71" s="532"/>
      <c r="IH71" s="532"/>
      <c r="II71" s="532"/>
      <c r="IJ71" s="532"/>
      <c r="IK71" s="532"/>
      <c r="IL71" s="532"/>
      <c r="IM71" s="532"/>
      <c r="IN71" s="532"/>
      <c r="IO71" s="532"/>
      <c r="IP71" s="532"/>
      <c r="IQ71" s="532"/>
      <c r="IR71" s="532"/>
      <c r="IS71" s="532"/>
      <c r="IT71" s="531"/>
      <c r="IU71" s="530"/>
      <c r="IV71" s="532"/>
      <c r="IX71" s="2598"/>
      <c r="IY71" s="2598"/>
      <c r="IZ71" s="2598"/>
      <c r="JA71" s="2598"/>
      <c r="JB71" s="2598"/>
      <c r="JC71" s="2598"/>
      <c r="JD71" s="2598"/>
      <c r="JE71" s="2598"/>
      <c r="JF71" s="2598"/>
      <c r="JG71" s="2598"/>
      <c r="JH71" s="2598"/>
      <c r="JI71" s="2598"/>
      <c r="JM71" s="532"/>
      <c r="JN71" s="532"/>
      <c r="JO71" s="532"/>
      <c r="JP71" s="530"/>
      <c r="JQ71" s="532"/>
      <c r="JR71" s="532"/>
    </row>
    <row r="73" spans="29:292" ht="4.1500000000000004" customHeight="1">
      <c r="HZ73" s="516"/>
      <c r="ID73" s="2615">
        <v>0.9</v>
      </c>
      <c r="IE73" s="2608"/>
      <c r="IF73" s="2608"/>
      <c r="IG73" s="2608"/>
      <c r="IH73" s="2608"/>
      <c r="II73" s="2608"/>
      <c r="IJ73" s="2608"/>
      <c r="IK73" s="2608"/>
      <c r="IL73" s="2608"/>
      <c r="IM73" s="2608"/>
      <c r="IN73" s="2608"/>
      <c r="IO73" s="2608"/>
      <c r="IP73" s="2608"/>
      <c r="IQ73" s="2608"/>
      <c r="IT73" s="517"/>
    </row>
    <row r="74" spans="29:292" ht="4.1500000000000004" customHeight="1">
      <c r="HZ74" s="530"/>
      <c r="IA74" s="532"/>
      <c r="IB74" s="532"/>
      <c r="IC74" s="532"/>
      <c r="ID74" s="2608"/>
      <c r="IE74" s="2608"/>
      <c r="IF74" s="2608"/>
      <c r="IG74" s="2608"/>
      <c r="IH74" s="2608"/>
      <c r="II74" s="2608"/>
      <c r="IJ74" s="2608"/>
      <c r="IK74" s="2608"/>
      <c r="IL74" s="2608"/>
      <c r="IM74" s="2608"/>
      <c r="IN74" s="2608"/>
      <c r="IO74" s="2608"/>
      <c r="IP74" s="2608"/>
      <c r="IQ74" s="2608"/>
      <c r="IR74" s="532"/>
      <c r="IS74" s="532"/>
      <c r="IT74" s="531"/>
    </row>
    <row r="75" spans="29:292" ht="4.1500000000000004" customHeight="1">
      <c r="HZ75" s="516"/>
      <c r="ID75" s="2608"/>
      <c r="IE75" s="2608"/>
      <c r="IF75" s="2608"/>
      <c r="IG75" s="2608"/>
      <c r="IH75" s="2608"/>
      <c r="II75" s="2608"/>
      <c r="IJ75" s="2608"/>
      <c r="IK75" s="2608"/>
      <c r="IL75" s="2608"/>
      <c r="IM75" s="2608"/>
      <c r="IN75" s="2608"/>
      <c r="IO75" s="2608"/>
      <c r="IP75" s="2608"/>
      <c r="IQ75" s="2608"/>
      <c r="IT75" s="517"/>
    </row>
    <row r="76" spans="29:292" ht="4.1500000000000004" customHeight="1">
      <c r="HZ76" s="516"/>
      <c r="ID76" s="2608"/>
      <c r="IE76" s="2608"/>
      <c r="IF76" s="2608"/>
      <c r="IG76" s="2608"/>
      <c r="IH76" s="2608"/>
      <c r="II76" s="2608"/>
      <c r="IJ76" s="2608"/>
      <c r="IK76" s="2608"/>
      <c r="IL76" s="2608"/>
      <c r="IM76" s="2608"/>
      <c r="IN76" s="2608"/>
      <c r="IO76" s="2608"/>
      <c r="IP76" s="2608"/>
      <c r="IQ76" s="2608"/>
      <c r="IT76" s="517"/>
    </row>
    <row r="78" spans="29:292" ht="4.1500000000000004" customHeight="1">
      <c r="BI78" s="536"/>
      <c r="BJ78" s="537"/>
      <c r="BK78" s="537"/>
      <c r="BL78" s="537"/>
      <c r="BM78" s="537"/>
      <c r="BN78" s="537"/>
      <c r="BO78" s="537"/>
      <c r="BP78" s="537"/>
      <c r="BQ78" s="537"/>
      <c r="BR78" s="537"/>
      <c r="BS78" s="538"/>
      <c r="BZ78" s="536"/>
      <c r="CA78" s="537"/>
      <c r="CB78" s="537"/>
      <c r="CC78" s="537"/>
      <c r="CD78" s="537"/>
      <c r="CE78" s="537"/>
      <c r="CF78" s="537"/>
      <c r="CG78" s="537"/>
      <c r="CH78" s="537"/>
      <c r="CI78" s="537"/>
      <c r="CJ78" s="538"/>
      <c r="CW78" s="536"/>
      <c r="CX78" s="537"/>
      <c r="CY78" s="537"/>
      <c r="CZ78" s="537"/>
      <c r="DA78" s="537"/>
      <c r="DB78" s="537"/>
      <c r="DC78" s="537"/>
      <c r="DD78" s="537"/>
      <c r="DE78" s="537"/>
      <c r="DF78" s="537"/>
      <c r="DG78" s="538"/>
      <c r="DR78" s="536"/>
      <c r="DS78" s="537"/>
      <c r="DT78" s="537"/>
      <c r="DU78" s="537"/>
      <c r="DV78" s="537"/>
      <c r="DW78" s="537"/>
      <c r="DX78" s="537"/>
      <c r="DY78" s="537"/>
      <c r="DZ78" s="537"/>
      <c r="EA78" s="537"/>
      <c r="EB78" s="538"/>
      <c r="EO78" s="536"/>
      <c r="EP78" s="537"/>
      <c r="EQ78" s="537"/>
      <c r="ER78" s="537"/>
      <c r="ES78" s="537"/>
      <c r="ET78" s="537"/>
      <c r="EU78" s="537"/>
      <c r="EV78" s="537"/>
      <c r="EW78" s="537"/>
      <c r="EX78" s="537"/>
      <c r="EY78" s="538"/>
      <c r="FJ78" s="536"/>
      <c r="FK78" s="537"/>
      <c r="FL78" s="537"/>
      <c r="FM78" s="537"/>
      <c r="FN78" s="537"/>
      <c r="FO78" s="537"/>
      <c r="FP78" s="537"/>
      <c r="FQ78" s="537"/>
      <c r="FR78" s="537"/>
      <c r="FS78" s="537"/>
      <c r="FT78" s="538"/>
    </row>
    <row r="79" spans="29:292" ht="4.1500000000000004" customHeight="1">
      <c r="BI79" s="539"/>
      <c r="BS79" s="540"/>
      <c r="BZ79" s="539"/>
      <c r="CJ79" s="540"/>
      <c r="CW79" s="539"/>
      <c r="DG79" s="540"/>
      <c r="DR79" s="539"/>
      <c r="EB79" s="540"/>
      <c r="EO79" s="539"/>
      <c r="EY79" s="540"/>
      <c r="FJ79" s="539"/>
      <c r="FT79" s="540"/>
      <c r="IB79" s="508"/>
      <c r="IC79" s="509"/>
      <c r="ID79" s="509"/>
      <c r="IE79" s="509"/>
      <c r="IF79" s="509"/>
      <c r="IG79" s="509"/>
      <c r="IH79" s="509"/>
      <c r="II79" s="509"/>
      <c r="IJ79" s="509"/>
      <c r="IK79" s="509"/>
      <c r="IL79" s="509"/>
      <c r="IM79" s="509"/>
      <c r="IN79" s="509"/>
      <c r="IO79" s="509"/>
      <c r="IP79" s="509"/>
      <c r="IQ79" s="509"/>
      <c r="IR79" s="509"/>
      <c r="IS79" s="509"/>
      <c r="IT79" s="509"/>
      <c r="IU79" s="509"/>
      <c r="IV79" s="509"/>
      <c r="IW79" s="509"/>
      <c r="IX79" s="509"/>
      <c r="IY79" s="509"/>
      <c r="IZ79" s="509"/>
      <c r="JA79" s="509"/>
      <c r="JB79" s="509"/>
      <c r="JC79" s="2597">
        <v>0.125</v>
      </c>
      <c r="JD79" s="2597"/>
      <c r="JE79" s="2597"/>
      <c r="JF79" s="2597"/>
      <c r="JG79" s="2597"/>
      <c r="JH79" s="2597"/>
      <c r="JI79" s="2597"/>
      <c r="JK79" s="515"/>
      <c r="JL79" s="514"/>
      <c r="JM79" s="514"/>
      <c r="JN79" s="514"/>
      <c r="JO79" s="514"/>
      <c r="JP79" s="514"/>
      <c r="JQ79" s="514"/>
      <c r="JR79" s="514"/>
      <c r="JS79" s="514"/>
      <c r="JT79" s="514"/>
      <c r="JU79" s="514"/>
      <c r="JV79" s="514"/>
      <c r="JW79" s="514"/>
      <c r="JX79" s="514"/>
      <c r="JY79" s="514"/>
      <c r="JZ79" s="514"/>
      <c r="KA79" s="514"/>
      <c r="KB79" s="514"/>
      <c r="KC79" s="514"/>
      <c r="KD79" s="514"/>
      <c r="KE79" s="514"/>
      <c r="KF79" s="518"/>
    </row>
    <row r="80" spans="29:292" ht="4.1500000000000004" customHeight="1">
      <c r="BI80" s="541"/>
      <c r="BJ80" s="532"/>
      <c r="BK80" s="532"/>
      <c r="BL80" s="532"/>
      <c r="BM80" s="532"/>
      <c r="BN80" s="532"/>
      <c r="BO80" s="532"/>
      <c r="BP80" s="532"/>
      <c r="BQ80" s="532"/>
      <c r="BR80" s="532"/>
      <c r="BS80" s="542"/>
      <c r="BZ80" s="541"/>
      <c r="CA80" s="532"/>
      <c r="CB80" s="532"/>
      <c r="CC80" s="532"/>
      <c r="CD80" s="532"/>
      <c r="CE80" s="532"/>
      <c r="CF80" s="532"/>
      <c r="CG80" s="532"/>
      <c r="CH80" s="532"/>
      <c r="CI80" s="532"/>
      <c r="CJ80" s="542"/>
      <c r="CW80" s="541"/>
      <c r="CX80" s="532"/>
      <c r="CY80" s="532"/>
      <c r="CZ80" s="532"/>
      <c r="DA80" s="532"/>
      <c r="DB80" s="532"/>
      <c r="DC80" s="532"/>
      <c r="DD80" s="532"/>
      <c r="DE80" s="532"/>
      <c r="DF80" s="532"/>
      <c r="DG80" s="542"/>
      <c r="DR80" s="541"/>
      <c r="DS80" s="532"/>
      <c r="DT80" s="532"/>
      <c r="DU80" s="532"/>
      <c r="DV80" s="532"/>
      <c r="DW80" s="532"/>
      <c r="DX80" s="532"/>
      <c r="DY80" s="532"/>
      <c r="DZ80" s="532"/>
      <c r="EA80" s="532"/>
      <c r="EB80" s="542"/>
      <c r="EO80" s="541"/>
      <c r="EP80" s="532"/>
      <c r="EQ80" s="532"/>
      <c r="ER80" s="532"/>
      <c r="ES80" s="532"/>
      <c r="ET80" s="532"/>
      <c r="EU80" s="532"/>
      <c r="EV80" s="532"/>
      <c r="EW80" s="532"/>
      <c r="EX80" s="532"/>
      <c r="EY80" s="542"/>
      <c r="FJ80" s="541"/>
      <c r="FK80" s="532"/>
      <c r="FL80" s="532"/>
      <c r="FM80" s="532"/>
      <c r="FN80" s="532"/>
      <c r="FO80" s="532"/>
      <c r="FP80" s="532"/>
      <c r="FQ80" s="532"/>
      <c r="FR80" s="532"/>
      <c r="FS80" s="532"/>
      <c r="FT80" s="542"/>
      <c r="ID80" s="522"/>
      <c r="IE80" s="523"/>
      <c r="IF80" s="523"/>
      <c r="IG80" s="524"/>
      <c r="IK80" s="2596">
        <v>0.25</v>
      </c>
      <c r="IL80" s="2597"/>
      <c r="IM80" s="2597"/>
      <c r="IN80" s="2597"/>
      <c r="IO80" s="2597"/>
      <c r="IP80" s="2597"/>
      <c r="IQ80" s="2597"/>
      <c r="IR80" s="2597"/>
      <c r="IS80" s="2597"/>
      <c r="IT80" s="2597"/>
      <c r="IU80" s="2597"/>
      <c r="IV80" s="2597"/>
      <c r="JC80" s="2598"/>
      <c r="JD80" s="2598"/>
      <c r="JE80" s="2598"/>
      <c r="JF80" s="2598"/>
      <c r="JG80" s="2598"/>
      <c r="JH80" s="2598"/>
      <c r="JI80" s="2598"/>
      <c r="JK80" s="530"/>
      <c r="JL80" s="532"/>
      <c r="JM80" s="532"/>
      <c r="JN80" s="532"/>
      <c r="JO80" s="532"/>
      <c r="JP80" s="532"/>
      <c r="JQ80" s="532"/>
      <c r="JS80" s="515"/>
      <c r="JT80" s="514"/>
      <c r="JU80" s="514"/>
      <c r="JV80" s="514"/>
      <c r="JW80" s="514"/>
      <c r="JX80" s="518"/>
      <c r="JZ80" s="532"/>
      <c r="KA80" s="532"/>
      <c r="KB80" s="532"/>
      <c r="KC80" s="532"/>
      <c r="KD80" s="532"/>
      <c r="KE80" s="532"/>
      <c r="KF80" s="531"/>
    </row>
    <row r="81" spans="30:293" ht="4.1500000000000004" customHeight="1" thickBot="1">
      <c r="AD81" s="519"/>
      <c r="AE81" s="521"/>
      <c r="AF81" s="514"/>
      <c r="AG81" s="514"/>
      <c r="AH81" s="514"/>
      <c r="AI81" s="514"/>
      <c r="AJ81" s="514"/>
      <c r="AK81" s="514"/>
      <c r="AL81" s="514"/>
      <c r="AM81" s="514"/>
      <c r="AN81" s="514"/>
      <c r="AO81" s="514"/>
      <c r="AP81" s="514"/>
      <c r="AQ81" s="514"/>
      <c r="AR81" s="514"/>
      <c r="AS81" s="514"/>
      <c r="AT81" s="514"/>
      <c r="AU81" s="514"/>
      <c r="AV81" s="514"/>
      <c r="AW81" s="514"/>
      <c r="AX81" s="519"/>
      <c r="AY81" s="521"/>
      <c r="AZ81" s="514"/>
      <c r="BA81" s="514"/>
      <c r="BB81" s="514"/>
      <c r="BC81" s="514"/>
      <c r="BD81" s="514"/>
      <c r="BE81" s="514"/>
      <c r="BF81" s="514"/>
      <c r="BG81" s="514"/>
      <c r="BH81" s="514"/>
      <c r="BI81" s="514"/>
      <c r="BJ81" s="543"/>
      <c r="BK81" s="544"/>
      <c r="BL81" s="1609"/>
      <c r="BM81" s="1609"/>
      <c r="BN81" s="1609"/>
      <c r="BO81" s="1609"/>
      <c r="BP81" s="1609"/>
      <c r="BQ81" s="1610"/>
      <c r="BR81" s="1611"/>
      <c r="BS81" s="514"/>
      <c r="BT81" s="519"/>
      <c r="BU81" s="521"/>
      <c r="BV81" s="514"/>
      <c r="BW81" s="514"/>
      <c r="BX81" s="514"/>
      <c r="BY81" s="514"/>
      <c r="BZ81" s="514"/>
      <c r="CA81" s="543"/>
      <c r="CB81" s="544"/>
      <c r="CC81" s="1609"/>
      <c r="CD81" s="1609"/>
      <c r="CE81" s="1609"/>
      <c r="CF81" s="1609"/>
      <c r="CG81" s="1609"/>
      <c r="CH81" s="1610"/>
      <c r="CI81" s="1611"/>
      <c r="CJ81" s="514"/>
      <c r="CK81" s="514"/>
      <c r="CL81" s="514"/>
      <c r="CM81" s="514"/>
      <c r="CN81" s="514"/>
      <c r="CO81" s="514"/>
      <c r="CP81" s="519"/>
      <c r="CQ81" s="521"/>
      <c r="CR81" s="515"/>
      <c r="CS81" s="514"/>
      <c r="CT81" s="514"/>
      <c r="CU81" s="514"/>
      <c r="CV81" s="514"/>
      <c r="CW81" s="514"/>
      <c r="CX81" s="543"/>
      <c r="CY81" s="544"/>
      <c r="CZ81" s="1609"/>
      <c r="DA81" s="1609"/>
      <c r="DB81" s="1609"/>
      <c r="DC81" s="1609"/>
      <c r="DD81" s="1609"/>
      <c r="DE81" s="1610"/>
      <c r="DF81" s="1611"/>
      <c r="DG81" s="514"/>
      <c r="DH81" s="514"/>
      <c r="DI81" s="514"/>
      <c r="DJ81" s="514"/>
      <c r="DK81" s="514"/>
      <c r="DL81" s="519"/>
      <c r="DM81" s="521"/>
      <c r="DN81" s="514"/>
      <c r="DO81" s="514"/>
      <c r="DP81" s="514"/>
      <c r="DQ81" s="514"/>
      <c r="DR81" s="514"/>
      <c r="DS81" s="543"/>
      <c r="DT81" s="544"/>
      <c r="DU81" s="1609"/>
      <c r="DV81" s="1609"/>
      <c r="DW81" s="1609"/>
      <c r="DX81" s="1609"/>
      <c r="DY81" s="1609"/>
      <c r="DZ81" s="1610"/>
      <c r="EA81" s="1611"/>
      <c r="EB81" s="514"/>
      <c r="EC81" s="514"/>
      <c r="ED81" s="514"/>
      <c r="EE81" s="514"/>
      <c r="EF81" s="514"/>
      <c r="EG81" s="518"/>
      <c r="EH81" s="519"/>
      <c r="EI81" s="521"/>
      <c r="EJ81" s="515"/>
      <c r="EK81" s="514"/>
      <c r="EL81" s="514"/>
      <c r="EM81" s="514"/>
      <c r="EN81" s="514"/>
      <c r="EO81" s="514"/>
      <c r="EP81" s="543"/>
      <c r="EQ81" s="544"/>
      <c r="ER81" s="1609"/>
      <c r="ES81" s="1609"/>
      <c r="ET81" s="1609"/>
      <c r="EU81" s="1609"/>
      <c r="EV81" s="1609"/>
      <c r="EW81" s="1610"/>
      <c r="EX81" s="1611"/>
      <c r="EY81" s="514"/>
      <c r="EZ81" s="514"/>
      <c r="FA81" s="514"/>
      <c r="FB81" s="514"/>
      <c r="FC81" s="514"/>
      <c r="FD81" s="519"/>
      <c r="FE81" s="521"/>
      <c r="FF81" s="514"/>
      <c r="FG81" s="514"/>
      <c r="FH81" s="514"/>
      <c r="FI81" s="514"/>
      <c r="FJ81" s="514"/>
      <c r="FK81" s="543"/>
      <c r="FL81" s="544"/>
      <c r="FM81" s="1609"/>
      <c r="FN81" s="1609"/>
      <c r="FO81" s="1609"/>
      <c r="FP81" s="1609"/>
      <c r="FQ81" s="1609"/>
      <c r="FR81" s="1610"/>
      <c r="FS81" s="1611"/>
      <c r="FT81" s="514"/>
      <c r="FU81" s="514"/>
      <c r="FV81" s="514"/>
      <c r="FW81" s="514"/>
      <c r="FX81" s="514"/>
      <c r="FY81" s="518"/>
      <c r="FZ81" s="519"/>
      <c r="GA81" s="521"/>
      <c r="ID81" s="522"/>
      <c r="IE81" s="523"/>
      <c r="IF81" s="523"/>
      <c r="IG81" s="524"/>
      <c r="IK81" s="2596"/>
      <c r="IL81" s="2596"/>
      <c r="IM81" s="2596"/>
      <c r="IN81" s="2596"/>
      <c r="IO81" s="2596"/>
      <c r="IP81" s="2596"/>
      <c r="IQ81" s="2596"/>
      <c r="IR81" s="2596"/>
      <c r="IS81" s="2596"/>
      <c r="IT81" s="2596"/>
      <c r="IU81" s="2596"/>
      <c r="IV81" s="2596"/>
      <c r="JR81" s="516"/>
      <c r="JS81" s="516"/>
      <c r="JX81" s="517"/>
      <c r="JY81" s="517"/>
      <c r="KC81" s="2613">
        <v>0.3</v>
      </c>
      <c r="KD81" s="2613"/>
      <c r="KE81" s="2613"/>
      <c r="KF81" s="2613"/>
    </row>
    <row r="82" spans="30:293" ht="4.1500000000000004" customHeight="1" thickTop="1">
      <c r="AD82" s="522"/>
      <c r="AE82" s="524"/>
      <c r="AW82" s="532"/>
      <c r="AX82" s="522"/>
      <c r="AY82" s="524"/>
      <c r="BJ82" s="530"/>
      <c r="BK82" s="532"/>
      <c r="BL82" s="665"/>
      <c r="BM82" s="665"/>
      <c r="BN82" s="665"/>
      <c r="BO82" s="665"/>
      <c r="BP82" s="665"/>
      <c r="BQ82" s="1604"/>
      <c r="BR82" s="1608"/>
      <c r="BT82" s="522"/>
      <c r="BU82" s="524"/>
      <c r="CA82" s="530"/>
      <c r="CB82" s="532"/>
      <c r="CC82" s="665"/>
      <c r="CD82" s="665"/>
      <c r="CE82" s="665"/>
      <c r="CF82" s="665"/>
      <c r="CG82" s="665"/>
      <c r="CH82" s="1604"/>
      <c r="CI82" s="1608"/>
      <c r="CP82" s="522"/>
      <c r="CQ82" s="524"/>
      <c r="CR82" s="530"/>
      <c r="CS82" s="532"/>
      <c r="CT82" s="532"/>
      <c r="CU82" s="532"/>
      <c r="CV82" s="532"/>
      <c r="CW82" s="532"/>
      <c r="CX82" s="530"/>
      <c r="CY82" s="532"/>
      <c r="CZ82" s="665"/>
      <c r="DA82" s="665"/>
      <c r="DB82" s="665"/>
      <c r="DC82" s="665"/>
      <c r="DD82" s="665"/>
      <c r="DE82" s="1604"/>
      <c r="DF82" s="1608"/>
      <c r="DG82" s="532"/>
      <c r="DH82" s="532"/>
      <c r="DI82" s="532"/>
      <c r="DJ82" s="532"/>
      <c r="DK82" s="532"/>
      <c r="DL82" s="527"/>
      <c r="DM82" s="529"/>
      <c r="DN82" s="532"/>
      <c r="DO82" s="532"/>
      <c r="DP82" s="532"/>
      <c r="DQ82" s="532"/>
      <c r="DR82" s="532"/>
      <c r="DS82" s="530"/>
      <c r="DT82" s="532"/>
      <c r="DU82" s="665"/>
      <c r="DV82" s="665"/>
      <c r="DW82" s="665"/>
      <c r="DX82" s="665"/>
      <c r="DY82" s="665"/>
      <c r="DZ82" s="1604"/>
      <c r="EA82" s="1608"/>
      <c r="EB82" s="532"/>
      <c r="EC82" s="532"/>
      <c r="ED82" s="532"/>
      <c r="EE82" s="532"/>
      <c r="EF82" s="532"/>
      <c r="EG82" s="531"/>
      <c r="EH82" s="522"/>
      <c r="EI82" s="524"/>
      <c r="EJ82" s="530"/>
      <c r="EK82" s="532"/>
      <c r="EL82" s="532"/>
      <c r="EM82" s="532"/>
      <c r="EN82" s="532"/>
      <c r="EO82" s="532"/>
      <c r="EP82" s="530"/>
      <c r="EQ82" s="532"/>
      <c r="ER82" s="665"/>
      <c r="ES82" s="665"/>
      <c r="ET82" s="665"/>
      <c r="EU82" s="665"/>
      <c r="EV82" s="665"/>
      <c r="EW82" s="1604"/>
      <c r="EX82" s="1608"/>
      <c r="EY82" s="532"/>
      <c r="EZ82" s="532"/>
      <c r="FA82" s="532"/>
      <c r="FB82" s="532"/>
      <c r="FC82" s="532"/>
      <c r="FD82" s="527"/>
      <c r="FE82" s="529"/>
      <c r="FF82" s="532"/>
      <c r="FG82" s="532"/>
      <c r="FH82" s="532"/>
      <c r="FI82" s="532"/>
      <c r="FJ82" s="532"/>
      <c r="FK82" s="530"/>
      <c r="FL82" s="532"/>
      <c r="FM82" s="665"/>
      <c r="FN82" s="665"/>
      <c r="FO82" s="665"/>
      <c r="FP82" s="665"/>
      <c r="FQ82" s="665"/>
      <c r="FR82" s="1604"/>
      <c r="FS82" s="1608"/>
      <c r="FT82" s="532"/>
      <c r="FU82" s="532"/>
      <c r="FV82" s="532"/>
      <c r="FW82" s="532"/>
      <c r="FX82" s="532"/>
      <c r="FY82" s="531"/>
      <c r="FZ82" s="522"/>
      <c r="GA82" s="524"/>
      <c r="ID82" s="522"/>
      <c r="IE82" s="523"/>
      <c r="IF82" s="523"/>
      <c r="IG82" s="524"/>
      <c r="IK82" s="2598"/>
      <c r="IL82" s="2598"/>
      <c r="IM82" s="2598"/>
      <c r="IN82" s="2598"/>
      <c r="IO82" s="2598"/>
      <c r="IP82" s="2598"/>
      <c r="IQ82" s="2598"/>
      <c r="IR82" s="2598"/>
      <c r="IS82" s="2598"/>
      <c r="IT82" s="2598"/>
      <c r="IU82" s="2598"/>
      <c r="IV82" s="2598"/>
      <c r="JR82" s="516"/>
      <c r="JS82" s="516"/>
      <c r="JX82" s="517"/>
      <c r="JY82" s="517"/>
      <c r="KC82" s="2594"/>
      <c r="KD82" s="2594"/>
      <c r="KE82" s="2594"/>
      <c r="KF82" s="2594"/>
    </row>
    <row r="83" spans="30:293" ht="4.1500000000000004" customHeight="1">
      <c r="AD83" s="527"/>
      <c r="AE83" s="529"/>
      <c r="AF83" s="515"/>
      <c r="AG83" s="514"/>
      <c r="AH83" s="514"/>
      <c r="AI83" s="514"/>
      <c r="AJ83" s="514"/>
      <c r="AK83" s="514"/>
      <c r="AL83" s="514"/>
      <c r="AM83" s="514"/>
      <c r="AN83" s="514"/>
      <c r="AO83" s="514"/>
      <c r="AP83" s="514"/>
      <c r="AQ83" s="514"/>
      <c r="AR83" s="514"/>
      <c r="AS83" s="514"/>
      <c r="AT83" s="514"/>
      <c r="AU83" s="514"/>
      <c r="AV83" s="514"/>
      <c r="AW83" s="514"/>
      <c r="AX83" s="527"/>
      <c r="AY83" s="529"/>
      <c r="AZ83" s="514"/>
      <c r="BA83" s="514"/>
      <c r="BB83" s="514"/>
      <c r="BC83" s="514"/>
      <c r="BD83" s="514"/>
      <c r="BE83" s="514"/>
      <c r="BF83" s="514"/>
      <c r="BG83" s="514"/>
      <c r="BH83" s="518"/>
      <c r="BI83" s="517"/>
      <c r="BJ83" s="514"/>
      <c r="BK83" s="514"/>
      <c r="BL83" s="514"/>
      <c r="BM83" s="514"/>
      <c r="BN83" s="514"/>
      <c r="BO83" s="514"/>
      <c r="BP83" s="514"/>
      <c r="BQ83" s="514"/>
      <c r="BR83" s="514"/>
      <c r="BS83" s="514"/>
      <c r="BT83" s="527"/>
      <c r="BU83" s="529"/>
      <c r="BV83" s="514"/>
      <c r="BW83" s="514"/>
      <c r="BX83" s="514"/>
      <c r="BY83" s="514"/>
      <c r="BZ83" s="514"/>
      <c r="CA83" s="514"/>
      <c r="CB83" s="514"/>
      <c r="CC83" s="514"/>
      <c r="CD83" s="514"/>
      <c r="CE83" s="514"/>
      <c r="CF83" s="514"/>
      <c r="CG83" s="514"/>
      <c r="CH83" s="514"/>
      <c r="CI83" s="514"/>
      <c r="CJ83" s="514"/>
      <c r="CK83" s="514"/>
      <c r="CL83" s="514"/>
      <c r="CM83" s="514"/>
      <c r="CN83" s="514"/>
      <c r="CO83" s="518"/>
      <c r="CP83" s="527"/>
      <c r="CQ83" s="529"/>
      <c r="CR83" s="515"/>
      <c r="CS83" s="514"/>
      <c r="CT83" s="514"/>
      <c r="CU83" s="514"/>
      <c r="CV83" s="514"/>
      <c r="CW83" s="514"/>
      <c r="CX83" s="514"/>
      <c r="CY83" s="514"/>
      <c r="CZ83" s="514"/>
      <c r="DA83" s="514"/>
      <c r="DB83" s="514"/>
      <c r="DC83" s="514"/>
      <c r="DD83" s="514"/>
      <c r="DE83" s="514"/>
      <c r="DF83" s="514"/>
      <c r="DG83" s="514"/>
      <c r="DH83" s="514"/>
      <c r="DI83" s="514"/>
      <c r="DJ83" s="514"/>
      <c r="DK83" s="514"/>
      <c r="DL83" s="527"/>
      <c r="DM83" s="529"/>
      <c r="DN83" s="514"/>
      <c r="DO83" s="514"/>
      <c r="DP83" s="514"/>
      <c r="DQ83" s="514"/>
      <c r="DR83" s="514"/>
      <c r="DS83" s="514"/>
      <c r="DT83" s="514"/>
      <c r="DU83" s="514"/>
      <c r="DV83" s="514"/>
      <c r="DW83" s="514"/>
      <c r="DX83" s="514"/>
      <c r="DY83" s="514"/>
      <c r="DZ83" s="514"/>
      <c r="EA83" s="514"/>
      <c r="EB83" s="514"/>
      <c r="EC83" s="514"/>
      <c r="ED83" s="514"/>
      <c r="EE83" s="514"/>
      <c r="EF83" s="514"/>
      <c r="EG83" s="518"/>
      <c r="EH83" s="527"/>
      <c r="EI83" s="529"/>
      <c r="EJ83" s="515"/>
      <c r="EK83" s="514"/>
      <c r="EL83" s="514"/>
      <c r="EM83" s="514"/>
      <c r="EN83" s="514"/>
      <c r="EO83" s="514"/>
      <c r="EP83" s="514"/>
      <c r="EQ83" s="514"/>
      <c r="ER83" s="514"/>
      <c r="ES83" s="514"/>
      <c r="ET83" s="514"/>
      <c r="EU83" s="514"/>
      <c r="EV83" s="514"/>
      <c r="EW83" s="514"/>
      <c r="EX83" s="514"/>
      <c r="EY83" s="514"/>
      <c r="EZ83" s="514"/>
      <c r="FA83" s="514"/>
      <c r="FB83" s="514"/>
      <c r="FC83" s="514"/>
      <c r="FD83" s="527"/>
      <c r="FE83" s="529"/>
      <c r="FF83" s="514"/>
      <c r="FG83" s="514"/>
      <c r="FH83" s="514"/>
      <c r="FI83" s="514"/>
      <c r="FJ83" s="514"/>
      <c r="FK83" s="514"/>
      <c r="FL83" s="514"/>
      <c r="FM83" s="514"/>
      <c r="FN83" s="514"/>
      <c r="FO83" s="514"/>
      <c r="FP83" s="514"/>
      <c r="FQ83" s="514"/>
      <c r="FR83" s="514"/>
      <c r="FS83" s="514"/>
      <c r="FT83" s="514"/>
      <c r="FU83" s="514"/>
      <c r="FV83" s="514"/>
      <c r="FW83" s="514"/>
      <c r="FX83" s="514"/>
      <c r="FY83" s="518"/>
      <c r="FZ83" s="527"/>
      <c r="GA83" s="529"/>
      <c r="ID83" s="516"/>
      <c r="IG83" s="517"/>
      <c r="IQ83" s="515"/>
      <c r="IR83" s="514"/>
      <c r="JR83" s="516"/>
      <c r="JS83" s="516"/>
      <c r="JX83" s="517"/>
      <c r="JY83" s="517"/>
      <c r="KC83" s="2594"/>
      <c r="KD83" s="2594"/>
      <c r="KE83" s="2594"/>
      <c r="KF83" s="2594"/>
    </row>
    <row r="84" spans="30:293" ht="4.1500000000000004" customHeight="1">
      <c r="AD84" s="516"/>
      <c r="AF84" s="516"/>
      <c r="AW84" s="517"/>
      <c r="AX84" s="516"/>
      <c r="AZ84" s="516"/>
      <c r="BH84" s="517"/>
      <c r="BI84" s="517"/>
      <c r="CO84" s="517"/>
      <c r="CR84" s="516"/>
      <c r="EG84" s="517"/>
      <c r="EJ84" s="516"/>
      <c r="FY84" s="517"/>
      <c r="GA84" s="517"/>
      <c r="ID84" s="516"/>
      <c r="IG84" s="517"/>
      <c r="IQ84" s="516"/>
      <c r="JR84" s="516"/>
      <c r="JS84" s="516"/>
      <c r="JX84" s="517"/>
      <c r="JY84" s="517"/>
      <c r="KC84" s="2594"/>
      <c r="KD84" s="2594"/>
      <c r="KE84" s="2594"/>
      <c r="KF84" s="2594"/>
    </row>
    <row r="85" spans="30:293" ht="4.1500000000000004" customHeight="1">
      <c r="AD85" s="516"/>
      <c r="AF85" s="516"/>
      <c r="AW85" s="517"/>
      <c r="AX85" s="516"/>
      <c r="AZ85" s="516"/>
      <c r="BH85" s="517"/>
      <c r="BI85" s="517"/>
      <c r="CO85" s="517"/>
      <c r="CR85" s="516"/>
      <c r="EG85" s="517"/>
      <c r="EJ85" s="516"/>
      <c r="FY85" s="517"/>
      <c r="GA85" s="517"/>
      <c r="ID85" s="516"/>
      <c r="IG85" s="517"/>
      <c r="IK85" s="2615">
        <f>JB5-IK80</f>
        <v>0.85000000000000009</v>
      </c>
      <c r="IL85" s="2608"/>
      <c r="IM85" s="2608"/>
      <c r="IN85" s="2608"/>
      <c r="IO85" s="2608"/>
      <c r="IP85" s="2608"/>
      <c r="IQ85" s="2608"/>
      <c r="IR85" s="2608"/>
      <c r="IS85" s="2608"/>
      <c r="IT85" s="2608"/>
      <c r="IU85" s="2608"/>
      <c r="IV85" s="2608"/>
      <c r="JR85" s="516"/>
      <c r="JS85" s="516"/>
      <c r="JX85" s="517"/>
      <c r="JY85" s="517"/>
      <c r="KC85" s="2594"/>
      <c r="KD85" s="2594"/>
      <c r="KE85" s="2594"/>
      <c r="KF85" s="2594"/>
    </row>
    <row r="86" spans="30:293" ht="4.1500000000000004" customHeight="1">
      <c r="AD86" s="516"/>
      <c r="AF86" s="516"/>
      <c r="AW86" s="517"/>
      <c r="AX86" s="516"/>
      <c r="AZ86" s="516"/>
      <c r="BH86" s="517"/>
      <c r="BI86" s="517"/>
      <c r="CO86" s="517"/>
      <c r="CR86" s="516"/>
      <c r="EG86" s="517"/>
      <c r="EJ86" s="516"/>
      <c r="FY86" s="517"/>
      <c r="GA86" s="517"/>
      <c r="ID86" s="516"/>
      <c r="IG86" s="517"/>
      <c r="IK86" s="2608"/>
      <c r="IL86" s="2608"/>
      <c r="IM86" s="2608"/>
      <c r="IN86" s="2608"/>
      <c r="IO86" s="2608"/>
      <c r="IP86" s="2608"/>
      <c r="IQ86" s="2608"/>
      <c r="IR86" s="2608"/>
      <c r="IS86" s="2608"/>
      <c r="IT86" s="2608"/>
      <c r="IU86" s="2608"/>
      <c r="IV86" s="2608"/>
      <c r="JR86" s="516"/>
      <c r="JS86" s="516"/>
      <c r="JX86" s="517"/>
      <c r="JY86" s="517"/>
      <c r="KC86" s="2594"/>
      <c r="KD86" s="2594"/>
      <c r="KE86" s="2594"/>
      <c r="KF86" s="2594"/>
    </row>
    <row r="87" spans="30:293" ht="4.1500000000000004" customHeight="1">
      <c r="AD87" s="516"/>
      <c r="AF87" s="516"/>
      <c r="AW87" s="517"/>
      <c r="AX87" s="516"/>
      <c r="AZ87" s="516"/>
      <c r="BH87" s="517"/>
      <c r="BI87" s="517"/>
      <c r="CO87" s="517"/>
      <c r="CR87" s="516"/>
      <c r="EG87" s="517"/>
      <c r="EJ87" s="516"/>
      <c r="FY87" s="517"/>
      <c r="GA87" s="517"/>
      <c r="ID87" s="516"/>
      <c r="IG87" s="517"/>
      <c r="IK87" s="2608"/>
      <c r="IL87" s="2608"/>
      <c r="IM87" s="2608"/>
      <c r="IN87" s="2608"/>
      <c r="IO87" s="2608"/>
      <c r="IP87" s="2608"/>
      <c r="IQ87" s="2608"/>
      <c r="IR87" s="2608"/>
      <c r="IS87" s="2608"/>
      <c r="IT87" s="2608"/>
      <c r="IU87" s="2608"/>
      <c r="IV87" s="2608"/>
      <c r="JR87" s="516"/>
      <c r="JS87" s="516"/>
      <c r="JX87" s="517"/>
      <c r="JY87" s="517"/>
      <c r="KC87" s="2594"/>
      <c r="KD87" s="2594"/>
      <c r="KE87" s="2594"/>
      <c r="KF87" s="2594"/>
    </row>
    <row r="88" spans="30:293" ht="4.1500000000000004" customHeight="1">
      <c r="AD88" s="516"/>
      <c r="AF88" s="516"/>
      <c r="AW88" s="517"/>
      <c r="AX88" s="516"/>
      <c r="AZ88" s="516"/>
      <c r="BH88" s="517"/>
      <c r="BI88" s="517"/>
      <c r="CO88" s="517"/>
      <c r="CR88" s="516"/>
      <c r="EG88" s="517"/>
      <c r="EJ88" s="516"/>
      <c r="FY88" s="517"/>
      <c r="GA88" s="517"/>
      <c r="GB88" s="1559"/>
      <c r="GC88" s="537"/>
      <c r="GD88" s="538"/>
      <c r="ID88" s="516"/>
      <c r="IG88" s="517"/>
      <c r="IQ88" s="516"/>
      <c r="JR88" s="516"/>
      <c r="JS88" s="530"/>
      <c r="JT88" s="532"/>
      <c r="JU88" s="532"/>
      <c r="JV88" s="532"/>
      <c r="JW88" s="532"/>
      <c r="JX88" s="531"/>
      <c r="JY88" s="517"/>
      <c r="KC88" s="2594"/>
      <c r="KD88" s="2594"/>
      <c r="KE88" s="2594"/>
      <c r="KF88" s="2594"/>
    </row>
    <row r="89" spans="30:293" ht="4.1500000000000004" customHeight="1">
      <c r="AD89" s="516"/>
      <c r="AF89" s="516"/>
      <c r="AW89" s="517"/>
      <c r="AX89" s="516"/>
      <c r="AZ89" s="516"/>
      <c r="BH89" s="517"/>
      <c r="BI89" s="517"/>
      <c r="CO89" s="517"/>
      <c r="CR89" s="516"/>
      <c r="EG89" s="517"/>
      <c r="EJ89" s="516"/>
      <c r="FY89" s="517"/>
      <c r="FZ89" s="515"/>
      <c r="GA89" s="1613"/>
      <c r="GB89" s="516"/>
      <c r="GD89" s="540"/>
      <c r="ID89" s="516"/>
      <c r="IG89" s="517"/>
      <c r="IQ89" s="516"/>
      <c r="JR89" s="530"/>
      <c r="JS89" s="532"/>
      <c r="JT89" s="532"/>
      <c r="JU89" s="532"/>
      <c r="JV89" s="532"/>
      <c r="JW89" s="532"/>
      <c r="JX89" s="532"/>
      <c r="JY89" s="531"/>
      <c r="KC89" s="2614"/>
      <c r="KD89" s="2614"/>
      <c r="KE89" s="2614"/>
      <c r="KF89" s="2614"/>
    </row>
    <row r="90" spans="30:293" ht="4.1500000000000004" customHeight="1">
      <c r="AD90" s="516"/>
      <c r="AF90" s="516"/>
      <c r="AW90" s="517"/>
      <c r="AX90" s="516"/>
      <c r="AZ90" s="516"/>
      <c r="BH90" s="517"/>
      <c r="BI90" s="517"/>
      <c r="CO90" s="517"/>
      <c r="CR90" s="516"/>
      <c r="EG90" s="517"/>
      <c r="EJ90" s="516"/>
      <c r="FY90" s="517"/>
      <c r="FZ90" s="516"/>
      <c r="GA90" s="1612"/>
      <c r="GB90" s="516"/>
      <c r="GD90" s="540"/>
      <c r="ID90" s="516"/>
      <c r="IG90" s="517"/>
      <c r="IQ90" s="516"/>
    </row>
    <row r="91" spans="30:293" ht="4.1500000000000004" customHeight="1">
      <c r="AD91" s="516"/>
      <c r="AF91" s="516"/>
      <c r="AW91" s="517"/>
      <c r="AX91" s="516"/>
      <c r="AZ91" s="516"/>
      <c r="BH91" s="517"/>
      <c r="BI91" s="517"/>
      <c r="CO91" s="517"/>
      <c r="CR91" s="516"/>
      <c r="EG91" s="517"/>
      <c r="EJ91" s="516"/>
      <c r="FY91" s="517"/>
      <c r="FZ91" s="516"/>
      <c r="GA91" s="1612"/>
      <c r="GB91" s="516"/>
      <c r="GD91" s="540"/>
      <c r="ID91" s="516"/>
      <c r="IG91" s="517"/>
      <c r="IQ91" s="530"/>
      <c r="IR91" s="532"/>
      <c r="IS91" s="532"/>
      <c r="IT91" s="532"/>
      <c r="IU91" s="532"/>
      <c r="JR91" s="2609">
        <v>0.25</v>
      </c>
      <c r="JS91" s="2610"/>
      <c r="JT91" s="2610"/>
      <c r="JU91" s="2610"/>
      <c r="JV91" s="2610"/>
      <c r="JW91" s="2610"/>
      <c r="JX91" s="2610"/>
      <c r="JY91" s="2611"/>
    </row>
    <row r="92" spans="30:293" ht="4.1500000000000004" customHeight="1">
      <c r="AD92" s="516"/>
      <c r="AF92" s="530"/>
      <c r="AG92" s="532"/>
      <c r="AH92" s="532"/>
      <c r="AI92" s="532"/>
      <c r="AJ92" s="532"/>
      <c r="AK92" s="532"/>
      <c r="AL92" s="532"/>
      <c r="AM92" s="532"/>
      <c r="AN92" s="532"/>
      <c r="AO92" s="532"/>
      <c r="AP92" s="532"/>
      <c r="AQ92" s="532"/>
      <c r="AR92" s="532"/>
      <c r="AW92" s="517"/>
      <c r="AX92" s="516"/>
      <c r="AZ92" s="516"/>
      <c r="BH92" s="517"/>
      <c r="BI92" s="517"/>
      <c r="CO92" s="517"/>
      <c r="CR92" s="516"/>
      <c r="EG92" s="517"/>
      <c r="EJ92" s="516"/>
      <c r="FY92" s="517"/>
      <c r="FZ92" s="516"/>
      <c r="GA92" s="1612"/>
      <c r="GB92" s="516"/>
      <c r="GD92" s="540"/>
      <c r="ID92" s="522"/>
      <c r="IE92" s="523"/>
      <c r="IF92" s="523"/>
      <c r="IG92" s="524"/>
      <c r="IK92" s="2596">
        <v>0.15</v>
      </c>
      <c r="IL92" s="2597"/>
      <c r="IM92" s="2597"/>
      <c r="IN92" s="2597"/>
      <c r="IO92" s="2597"/>
      <c r="IP92" s="2597"/>
      <c r="IQ92" s="2597"/>
      <c r="IR92" s="2597"/>
      <c r="IS92" s="2597"/>
      <c r="IT92" s="2597"/>
      <c r="IU92" s="2597"/>
      <c r="IV92" s="2597"/>
      <c r="JR92" s="2609"/>
      <c r="JS92" s="2610"/>
      <c r="JT92" s="2610"/>
      <c r="JU92" s="2610"/>
      <c r="JV92" s="2610"/>
      <c r="JW92" s="2610"/>
      <c r="JX92" s="2610"/>
      <c r="JY92" s="2611"/>
    </row>
    <row r="93" spans="30:293" ht="4.1500000000000004" customHeight="1">
      <c r="AD93" s="516"/>
      <c r="AQ93" s="532"/>
      <c r="AR93" s="532"/>
      <c r="AS93" s="516"/>
      <c r="AW93" s="517"/>
      <c r="AZ93" s="516"/>
      <c r="BH93" s="517"/>
      <c r="BI93" s="517"/>
      <c r="CO93" s="517"/>
      <c r="CR93" s="516"/>
      <c r="EG93" s="517"/>
      <c r="EJ93" s="516"/>
      <c r="FY93" s="517"/>
      <c r="FZ93" s="516"/>
      <c r="GA93" s="1612"/>
      <c r="GB93" s="516"/>
      <c r="GD93" s="540"/>
      <c r="ID93" s="522"/>
      <c r="IE93" s="523"/>
      <c r="IF93" s="523"/>
      <c r="IG93" s="524"/>
      <c r="IK93" s="2596"/>
      <c r="IL93" s="2596"/>
      <c r="IM93" s="2596"/>
      <c r="IN93" s="2596"/>
      <c r="IO93" s="2596"/>
      <c r="IP93" s="2596"/>
      <c r="IQ93" s="2596"/>
      <c r="IR93" s="2596"/>
      <c r="IS93" s="2596"/>
      <c r="IT93" s="2596"/>
      <c r="IU93" s="2596"/>
      <c r="IV93" s="2596"/>
      <c r="JR93" s="2609"/>
      <c r="JS93" s="2610"/>
      <c r="JT93" s="2610"/>
      <c r="JU93" s="2610"/>
      <c r="JV93" s="2610"/>
      <c r="JW93" s="2610"/>
      <c r="JX93" s="2610"/>
      <c r="JY93" s="2611"/>
    </row>
    <row r="94" spans="30:293" ht="4.1500000000000004" customHeight="1">
      <c r="AD94" s="516"/>
      <c r="AF94" s="515"/>
      <c r="AG94" s="514"/>
      <c r="AH94" s="514"/>
      <c r="AI94" s="514"/>
      <c r="AJ94" s="514"/>
      <c r="AK94" s="514"/>
      <c r="AL94" s="514"/>
      <c r="AM94" s="514"/>
      <c r="AN94" s="514"/>
      <c r="AO94" s="518"/>
      <c r="AQ94" s="516"/>
      <c r="AW94" s="517"/>
      <c r="AX94" s="516"/>
      <c r="AZ94" s="530"/>
      <c r="BA94" s="532"/>
      <c r="BB94" s="532"/>
      <c r="BC94" s="532"/>
      <c r="BD94" s="532"/>
      <c r="BE94" s="532"/>
      <c r="BF94" s="532"/>
      <c r="BG94" s="532"/>
      <c r="BH94" s="531"/>
      <c r="BI94" s="517"/>
      <c r="CO94" s="517"/>
      <c r="CR94" s="516"/>
      <c r="EG94" s="517"/>
      <c r="EJ94" s="516"/>
      <c r="FY94" s="517"/>
      <c r="FZ94" s="663"/>
      <c r="GA94" s="1586"/>
      <c r="GB94" s="516"/>
      <c r="GD94" s="540"/>
      <c r="HX94" s="508"/>
      <c r="HY94" s="509"/>
      <c r="HZ94" s="509"/>
      <c r="IA94" s="509"/>
      <c r="IB94" s="509"/>
      <c r="IC94" s="510"/>
      <c r="ID94" s="522"/>
      <c r="IE94" s="523"/>
      <c r="IF94" s="523"/>
      <c r="IG94" s="524"/>
      <c r="IK94" s="2598"/>
      <c r="IL94" s="2598"/>
      <c r="IM94" s="2598"/>
      <c r="IN94" s="2598"/>
      <c r="IO94" s="2598"/>
      <c r="IP94" s="2598"/>
      <c r="IQ94" s="2598"/>
      <c r="IR94" s="2598"/>
      <c r="IS94" s="2598"/>
      <c r="IT94" s="2598"/>
      <c r="IU94" s="2598"/>
      <c r="IV94" s="2598"/>
    </row>
    <row r="95" spans="30:293" ht="4.1500000000000004" customHeight="1">
      <c r="AD95" s="516"/>
      <c r="AF95" s="516"/>
      <c r="AO95" s="517"/>
      <c r="AQ95" s="516"/>
      <c r="AW95" s="517"/>
      <c r="AX95" s="516"/>
      <c r="AZ95" s="532"/>
      <c r="BA95" s="532"/>
      <c r="BB95" s="532"/>
      <c r="BC95" s="532"/>
      <c r="BD95" s="532"/>
      <c r="BE95" s="532"/>
      <c r="BF95" s="532"/>
      <c r="BG95" s="532"/>
      <c r="BH95" s="532"/>
      <c r="BI95" s="531"/>
      <c r="CO95" s="517"/>
      <c r="CR95" s="516"/>
      <c r="EG95" s="517"/>
      <c r="EJ95" s="516"/>
      <c r="FY95" s="517"/>
      <c r="FZ95" s="663"/>
      <c r="GA95" s="1586"/>
      <c r="GB95" s="516"/>
      <c r="GD95" s="540"/>
      <c r="ID95" s="516"/>
      <c r="IG95" s="517"/>
      <c r="IK95" s="514"/>
      <c r="IL95" s="514"/>
      <c r="IM95" s="514"/>
      <c r="IN95" s="514"/>
      <c r="IO95" s="514"/>
      <c r="IP95" s="514"/>
      <c r="IQ95" s="515"/>
      <c r="IR95" s="514"/>
      <c r="IS95" s="514"/>
      <c r="IT95" s="514"/>
      <c r="IU95" s="514"/>
      <c r="IV95" s="514"/>
    </row>
    <row r="96" spans="30:293" ht="4.1500000000000004" customHeight="1">
      <c r="AD96" s="516"/>
      <c r="AF96" s="516"/>
      <c r="AO96" s="517"/>
      <c r="AQ96" s="516"/>
      <c r="AW96" s="517"/>
      <c r="AX96" s="516"/>
      <c r="AZ96" s="516"/>
      <c r="CO96" s="517"/>
      <c r="CR96" s="516"/>
      <c r="EG96" s="517"/>
      <c r="EJ96" s="516"/>
      <c r="FY96" s="517"/>
      <c r="FZ96" s="663"/>
      <c r="GA96" s="1586"/>
      <c r="GB96" s="516"/>
      <c r="GD96" s="540"/>
      <c r="ID96" s="516"/>
      <c r="IG96" s="517"/>
      <c r="IQ96" s="516"/>
      <c r="JL96" s="2612" t="s">
        <v>3596</v>
      </c>
      <c r="JM96" s="2612"/>
      <c r="JN96" s="2612"/>
      <c r="JO96" s="2612"/>
      <c r="JP96" s="2612"/>
      <c r="JQ96" s="2612"/>
      <c r="JR96" s="2612"/>
      <c r="JS96" s="2612"/>
      <c r="JT96" s="2612"/>
      <c r="JU96" s="2612"/>
      <c r="JV96" s="2612"/>
      <c r="JW96" s="2612"/>
      <c r="JX96" s="2612"/>
      <c r="JY96" s="2612"/>
      <c r="JZ96" s="2612"/>
      <c r="KA96" s="2612"/>
      <c r="KB96" s="2612"/>
      <c r="KC96" s="2612"/>
      <c r="KD96" s="2612"/>
      <c r="KE96" s="2612"/>
      <c r="KF96" s="2612"/>
      <c r="KG96" s="2612"/>
    </row>
    <row r="97" spans="30:293" ht="4.1500000000000004" customHeight="1">
      <c r="AD97" s="516"/>
      <c r="AF97" s="516"/>
      <c r="AO97" s="517"/>
      <c r="AQ97" s="516"/>
      <c r="AW97" s="517"/>
      <c r="AX97" s="516"/>
      <c r="AZ97" s="516"/>
      <c r="CO97" s="517"/>
      <c r="CR97" s="516"/>
      <c r="EG97" s="517"/>
      <c r="EJ97" s="516"/>
      <c r="FY97" s="517"/>
      <c r="FZ97" s="666"/>
      <c r="GA97" s="1587"/>
      <c r="GB97" s="516"/>
      <c r="GD97" s="540"/>
      <c r="ID97" s="516"/>
      <c r="IG97" s="517"/>
      <c r="IQ97" s="516"/>
      <c r="JL97" s="2612"/>
      <c r="JM97" s="2612"/>
      <c r="JN97" s="2612"/>
      <c r="JO97" s="2612"/>
      <c r="JP97" s="2612"/>
      <c r="JQ97" s="2612"/>
      <c r="JR97" s="2612"/>
      <c r="JS97" s="2612"/>
      <c r="JT97" s="2612"/>
      <c r="JU97" s="2612"/>
      <c r="JV97" s="2612"/>
      <c r="JW97" s="2612"/>
      <c r="JX97" s="2612"/>
      <c r="JY97" s="2612"/>
      <c r="JZ97" s="2612"/>
      <c r="KA97" s="2612"/>
      <c r="KB97" s="2612"/>
      <c r="KC97" s="2612"/>
      <c r="KD97" s="2612"/>
      <c r="KE97" s="2612"/>
      <c r="KF97" s="2612"/>
      <c r="KG97" s="2612"/>
    </row>
    <row r="98" spans="30:293" ht="4.1500000000000004" customHeight="1">
      <c r="AD98" s="516"/>
      <c r="AF98" s="516"/>
      <c r="AO98" s="517"/>
      <c r="AQ98" s="516"/>
      <c r="AW98" s="517"/>
      <c r="AX98" s="516"/>
      <c r="AZ98" s="516"/>
      <c r="CO98" s="517"/>
      <c r="CR98" s="516"/>
      <c r="EG98" s="517"/>
      <c r="EJ98" s="516"/>
      <c r="EO98" s="2637" t="s">
        <v>3600</v>
      </c>
      <c r="EP98" s="2637"/>
      <c r="EQ98" s="2637"/>
      <c r="ER98" s="2637"/>
      <c r="ES98" s="2637"/>
      <c r="ET98" s="2637"/>
      <c r="EU98" s="2637"/>
      <c r="EV98" s="2637"/>
      <c r="EW98" s="2637"/>
      <c r="EX98" s="2637"/>
      <c r="EY98" s="2637"/>
      <c r="EZ98" s="2637"/>
      <c r="FA98" s="2637"/>
      <c r="FB98" s="2637"/>
      <c r="FC98" s="2637"/>
      <c r="FD98" s="2637"/>
      <c r="FE98" s="2637"/>
      <c r="FF98" s="2637"/>
      <c r="FG98" s="2637"/>
      <c r="FH98" s="2637"/>
      <c r="FI98" s="2637"/>
      <c r="FJ98" s="2637"/>
      <c r="FK98" s="2637"/>
      <c r="FL98" s="2637"/>
      <c r="FM98" s="2637"/>
      <c r="FN98" s="2637"/>
      <c r="FO98" s="2637"/>
      <c r="FP98" s="2637"/>
      <c r="FY98" s="517"/>
      <c r="GA98" s="517"/>
      <c r="GB98" s="1561"/>
      <c r="GC98" s="557"/>
      <c r="GD98" s="560"/>
      <c r="ID98" s="516"/>
      <c r="IG98" s="517"/>
      <c r="IQ98" s="516"/>
      <c r="JL98" s="2612"/>
      <c r="JM98" s="2612"/>
      <c r="JN98" s="2612"/>
      <c r="JO98" s="2612"/>
      <c r="JP98" s="2612"/>
      <c r="JQ98" s="2612"/>
      <c r="JR98" s="2612"/>
      <c r="JS98" s="2612"/>
      <c r="JT98" s="2612"/>
      <c r="JU98" s="2612"/>
      <c r="JV98" s="2612"/>
      <c r="JW98" s="2612"/>
      <c r="JX98" s="2612"/>
      <c r="JY98" s="2612"/>
      <c r="JZ98" s="2612"/>
      <c r="KA98" s="2612"/>
      <c r="KB98" s="2612"/>
      <c r="KC98" s="2612"/>
      <c r="KD98" s="2612"/>
      <c r="KE98" s="2612"/>
      <c r="KF98" s="2612"/>
      <c r="KG98" s="2612"/>
    </row>
    <row r="99" spans="30:293" ht="4.1500000000000004" customHeight="1">
      <c r="AD99" s="516"/>
      <c r="AF99" s="516"/>
      <c r="AO99" s="517"/>
      <c r="AQ99" s="516"/>
      <c r="AW99" s="517"/>
      <c r="AX99" s="516"/>
      <c r="AZ99" s="516"/>
      <c r="CO99" s="517"/>
      <c r="CR99" s="516"/>
      <c r="CX99" s="2637" t="s">
        <v>3599</v>
      </c>
      <c r="CY99" s="2637"/>
      <c r="CZ99" s="2637"/>
      <c r="DA99" s="2637"/>
      <c r="DB99" s="2637"/>
      <c r="DC99" s="2637"/>
      <c r="DD99" s="2637"/>
      <c r="DE99" s="2637"/>
      <c r="DF99" s="2637"/>
      <c r="DG99" s="2637"/>
      <c r="DH99" s="2637"/>
      <c r="DI99" s="2637"/>
      <c r="DJ99" s="2637"/>
      <c r="DK99" s="2637"/>
      <c r="DL99" s="2637"/>
      <c r="DM99" s="2637"/>
      <c r="DN99" s="2637"/>
      <c r="DO99" s="2637"/>
      <c r="DP99" s="2637"/>
      <c r="DQ99" s="2637"/>
      <c r="DR99" s="2637"/>
      <c r="DS99" s="2637"/>
      <c r="DT99" s="2637"/>
      <c r="DU99" s="2637"/>
      <c r="DV99" s="2637"/>
      <c r="DW99" s="2637"/>
      <c r="DX99" s="2637"/>
      <c r="DY99" s="2637"/>
      <c r="EG99" s="517"/>
      <c r="EJ99" s="516"/>
      <c r="EO99" s="2637"/>
      <c r="EP99" s="2637"/>
      <c r="EQ99" s="2637"/>
      <c r="ER99" s="2637"/>
      <c r="ES99" s="2637"/>
      <c r="ET99" s="2637"/>
      <c r="EU99" s="2637"/>
      <c r="EV99" s="2637"/>
      <c r="EW99" s="2637"/>
      <c r="EX99" s="2637"/>
      <c r="EY99" s="2637"/>
      <c r="EZ99" s="2637"/>
      <c r="FA99" s="2637"/>
      <c r="FB99" s="2637"/>
      <c r="FC99" s="2637"/>
      <c r="FD99" s="2637"/>
      <c r="FE99" s="2637"/>
      <c r="FF99" s="2637"/>
      <c r="FG99" s="2637"/>
      <c r="FH99" s="2637"/>
      <c r="FI99" s="2637"/>
      <c r="FJ99" s="2637"/>
      <c r="FK99" s="2637"/>
      <c r="FL99" s="2637"/>
      <c r="FM99" s="2637"/>
      <c r="FN99" s="2637"/>
      <c r="FO99" s="2637"/>
      <c r="FP99" s="2637"/>
      <c r="FY99" s="517"/>
      <c r="GA99" s="517"/>
      <c r="ID99" s="516"/>
      <c r="IG99" s="517"/>
      <c r="IQ99" s="516"/>
    </row>
    <row r="100" spans="30:293" ht="4.1500000000000004" customHeight="1">
      <c r="AD100" s="516"/>
      <c r="AF100" s="516"/>
      <c r="AO100" s="517"/>
      <c r="AQ100" s="516"/>
      <c r="AW100" s="517"/>
      <c r="AX100" s="516"/>
      <c r="AZ100" s="516"/>
      <c r="BG100" s="2637" t="s">
        <v>3598</v>
      </c>
      <c r="BH100" s="2637"/>
      <c r="BI100" s="2637"/>
      <c r="BJ100" s="2637"/>
      <c r="BK100" s="2637"/>
      <c r="BL100" s="2637"/>
      <c r="BM100" s="2637"/>
      <c r="BN100" s="2637"/>
      <c r="BO100" s="2637"/>
      <c r="BP100" s="2637"/>
      <c r="BQ100" s="2637"/>
      <c r="BR100" s="2637"/>
      <c r="BS100" s="2637"/>
      <c r="BT100" s="2637"/>
      <c r="BU100" s="2637"/>
      <c r="BV100" s="2637"/>
      <c r="BW100" s="2637"/>
      <c r="BX100" s="2637"/>
      <c r="BY100" s="2637"/>
      <c r="BZ100" s="2637"/>
      <c r="CA100" s="2637"/>
      <c r="CB100" s="2637"/>
      <c r="CC100" s="2637"/>
      <c r="CD100" s="2637"/>
      <c r="CE100" s="2637"/>
      <c r="CF100" s="2637"/>
      <c r="CG100" s="2637"/>
      <c r="CH100" s="2637"/>
      <c r="CO100" s="517"/>
      <c r="CR100" s="516"/>
      <c r="CX100" s="2637"/>
      <c r="CY100" s="2637"/>
      <c r="CZ100" s="2637"/>
      <c r="DA100" s="2637"/>
      <c r="DB100" s="2637"/>
      <c r="DC100" s="2637"/>
      <c r="DD100" s="2637"/>
      <c r="DE100" s="2637"/>
      <c r="DF100" s="2637"/>
      <c r="DG100" s="2637"/>
      <c r="DH100" s="2637"/>
      <c r="DI100" s="2637"/>
      <c r="DJ100" s="2637"/>
      <c r="DK100" s="2637"/>
      <c r="DL100" s="2637"/>
      <c r="DM100" s="2637"/>
      <c r="DN100" s="2637"/>
      <c r="DO100" s="2637"/>
      <c r="DP100" s="2637"/>
      <c r="DQ100" s="2637"/>
      <c r="DR100" s="2637"/>
      <c r="DS100" s="2637"/>
      <c r="DT100" s="2637"/>
      <c r="DU100" s="2637"/>
      <c r="DV100" s="2637"/>
      <c r="DW100" s="2637"/>
      <c r="DX100" s="2637"/>
      <c r="DY100" s="2637"/>
      <c r="EG100" s="517"/>
      <c r="EJ100" s="516"/>
      <c r="EO100" s="2637"/>
      <c r="EP100" s="2637"/>
      <c r="EQ100" s="2637"/>
      <c r="ER100" s="2637"/>
      <c r="ES100" s="2637"/>
      <c r="ET100" s="2637"/>
      <c r="EU100" s="2637"/>
      <c r="EV100" s="2637"/>
      <c r="EW100" s="2637"/>
      <c r="EX100" s="2637"/>
      <c r="EY100" s="2637"/>
      <c r="EZ100" s="2637"/>
      <c r="FA100" s="2637"/>
      <c r="FB100" s="2637"/>
      <c r="FC100" s="2637"/>
      <c r="FD100" s="2637"/>
      <c r="FE100" s="2637"/>
      <c r="FF100" s="2637"/>
      <c r="FG100" s="2637"/>
      <c r="FH100" s="2637"/>
      <c r="FI100" s="2637"/>
      <c r="FJ100" s="2637"/>
      <c r="FK100" s="2637"/>
      <c r="FL100" s="2637"/>
      <c r="FM100" s="2637"/>
      <c r="FN100" s="2637"/>
      <c r="FO100" s="2637"/>
      <c r="FP100" s="2637"/>
      <c r="FY100" s="517"/>
      <c r="GA100" s="517"/>
      <c r="ID100" s="516"/>
      <c r="IG100" s="517"/>
      <c r="IO100" s="2594">
        <v>2.1</v>
      </c>
      <c r="IP100" s="2595"/>
      <c r="IQ100" s="2595"/>
      <c r="IR100" s="2595"/>
    </row>
    <row r="101" spans="30:293" ht="4.1500000000000004" customHeight="1">
      <c r="AD101" s="516"/>
      <c r="AF101" s="516"/>
      <c r="AO101" s="517"/>
      <c r="AQ101" s="516"/>
      <c r="AW101" s="517"/>
      <c r="AX101" s="516"/>
      <c r="AZ101" s="516"/>
      <c r="BG101" s="2637"/>
      <c r="BH101" s="2637"/>
      <c r="BI101" s="2637"/>
      <c r="BJ101" s="2637"/>
      <c r="BK101" s="2637"/>
      <c r="BL101" s="2637"/>
      <c r="BM101" s="2637"/>
      <c r="BN101" s="2637"/>
      <c r="BO101" s="2637"/>
      <c r="BP101" s="2637"/>
      <c r="BQ101" s="2637"/>
      <c r="BR101" s="2637"/>
      <c r="BS101" s="2637"/>
      <c r="BT101" s="2637"/>
      <c r="BU101" s="2637"/>
      <c r="BV101" s="2637"/>
      <c r="BW101" s="2637"/>
      <c r="BX101" s="2637"/>
      <c r="BY101" s="2637"/>
      <c r="BZ101" s="2637"/>
      <c r="CA101" s="2637"/>
      <c r="CB101" s="2637"/>
      <c r="CC101" s="2637"/>
      <c r="CD101" s="2637"/>
      <c r="CE101" s="2637"/>
      <c r="CF101" s="2637"/>
      <c r="CG101" s="2637"/>
      <c r="CH101" s="2637"/>
      <c r="CO101" s="517"/>
      <c r="CR101" s="516"/>
      <c r="CX101" s="2637"/>
      <c r="CY101" s="2637"/>
      <c r="CZ101" s="2637"/>
      <c r="DA101" s="2637"/>
      <c r="DB101" s="2637"/>
      <c r="DC101" s="2637"/>
      <c r="DD101" s="2637"/>
      <c r="DE101" s="2637"/>
      <c r="DF101" s="2637"/>
      <c r="DG101" s="2637"/>
      <c r="DH101" s="2637"/>
      <c r="DI101" s="2637"/>
      <c r="DJ101" s="2637"/>
      <c r="DK101" s="2637"/>
      <c r="DL101" s="2637"/>
      <c r="DM101" s="2637"/>
      <c r="DN101" s="2637"/>
      <c r="DO101" s="2637"/>
      <c r="DP101" s="2637"/>
      <c r="DQ101" s="2637"/>
      <c r="DR101" s="2637"/>
      <c r="DS101" s="2637"/>
      <c r="DT101" s="2637"/>
      <c r="DU101" s="2637"/>
      <c r="DV101" s="2637"/>
      <c r="DW101" s="2637"/>
      <c r="DX101" s="2637"/>
      <c r="DY101" s="2637"/>
      <c r="EG101" s="517"/>
      <c r="EJ101" s="516"/>
      <c r="EO101" s="2637"/>
      <c r="EP101" s="2637"/>
      <c r="EQ101" s="2637"/>
      <c r="ER101" s="2637"/>
      <c r="ES101" s="2637"/>
      <c r="ET101" s="2637"/>
      <c r="EU101" s="2637"/>
      <c r="EV101" s="2637"/>
      <c r="EW101" s="2637"/>
      <c r="EX101" s="2637"/>
      <c r="EY101" s="2637"/>
      <c r="EZ101" s="2637"/>
      <c r="FA101" s="2637"/>
      <c r="FB101" s="2637"/>
      <c r="FC101" s="2637"/>
      <c r="FD101" s="2637"/>
      <c r="FE101" s="2637"/>
      <c r="FF101" s="2637"/>
      <c r="FG101" s="2637"/>
      <c r="FH101" s="2637"/>
      <c r="FI101" s="2637"/>
      <c r="FJ101" s="2637"/>
      <c r="FK101" s="2637"/>
      <c r="FL101" s="2637"/>
      <c r="FM101" s="2637"/>
      <c r="FN101" s="2637"/>
      <c r="FO101" s="2637"/>
      <c r="FP101" s="2637"/>
      <c r="FY101" s="517"/>
      <c r="GA101" s="517"/>
      <c r="ID101" s="516"/>
      <c r="IG101" s="517"/>
      <c r="IO101" s="2595"/>
      <c r="IP101" s="2595"/>
      <c r="IQ101" s="2595"/>
      <c r="IR101" s="2595"/>
    </row>
    <row r="102" spans="30:293" ht="4.1500000000000004" customHeight="1">
      <c r="AD102" s="516"/>
      <c r="AF102" s="516"/>
      <c r="AO102" s="517"/>
      <c r="AQ102" s="516"/>
      <c r="AW102" s="517"/>
      <c r="AX102" s="516"/>
      <c r="AZ102" s="516"/>
      <c r="BG102" s="2637"/>
      <c r="BH102" s="2637"/>
      <c r="BI102" s="2637"/>
      <c r="BJ102" s="2637"/>
      <c r="BK102" s="2637"/>
      <c r="BL102" s="2637"/>
      <c r="BM102" s="2637"/>
      <c r="BN102" s="2637"/>
      <c r="BO102" s="2637"/>
      <c r="BP102" s="2637"/>
      <c r="BQ102" s="2637"/>
      <c r="BR102" s="2637"/>
      <c r="BS102" s="2637"/>
      <c r="BT102" s="2637"/>
      <c r="BU102" s="2637"/>
      <c r="BV102" s="2637"/>
      <c r="BW102" s="2637"/>
      <c r="BX102" s="2637"/>
      <c r="BY102" s="2637"/>
      <c r="BZ102" s="2637"/>
      <c r="CA102" s="2637"/>
      <c r="CB102" s="2637"/>
      <c r="CC102" s="2637"/>
      <c r="CD102" s="2637"/>
      <c r="CE102" s="2637"/>
      <c r="CF102" s="2637"/>
      <c r="CG102" s="2637"/>
      <c r="CH102" s="2637"/>
      <c r="CO102" s="517"/>
      <c r="CR102" s="516"/>
      <c r="CX102" s="2637"/>
      <c r="CY102" s="2637"/>
      <c r="CZ102" s="2637"/>
      <c r="DA102" s="2637"/>
      <c r="DB102" s="2637"/>
      <c r="DC102" s="2637"/>
      <c r="DD102" s="2637"/>
      <c r="DE102" s="2637"/>
      <c r="DF102" s="2637"/>
      <c r="DG102" s="2637"/>
      <c r="DH102" s="2637"/>
      <c r="DI102" s="2637"/>
      <c r="DJ102" s="2637"/>
      <c r="DK102" s="2637"/>
      <c r="DL102" s="2637"/>
      <c r="DM102" s="2637"/>
      <c r="DN102" s="2637"/>
      <c r="DO102" s="2637"/>
      <c r="DP102" s="2637"/>
      <c r="DQ102" s="2637"/>
      <c r="DR102" s="2637"/>
      <c r="DS102" s="2637"/>
      <c r="DT102" s="2637"/>
      <c r="DU102" s="2637"/>
      <c r="DV102" s="2637"/>
      <c r="DW102" s="2637"/>
      <c r="DX102" s="2637"/>
      <c r="DY102" s="2637"/>
      <c r="EG102" s="517"/>
      <c r="EJ102" s="516"/>
      <c r="EO102" s="2636">
        <v>7</v>
      </c>
      <c r="EP102" s="2636"/>
      <c r="EQ102" s="2636"/>
      <c r="ER102" s="2636"/>
      <c r="ES102" s="2636"/>
      <c r="ET102" s="2636"/>
      <c r="EU102" s="2636"/>
      <c r="EV102" s="2636"/>
      <c r="EW102" s="2636"/>
      <c r="EX102" s="2636"/>
      <c r="EY102" s="2636"/>
      <c r="EZ102" s="2636"/>
      <c r="FA102" s="2636" t="s">
        <v>901</v>
      </c>
      <c r="FB102" s="2636"/>
      <c r="FC102" s="2636"/>
      <c r="FD102" s="2636"/>
      <c r="FE102" s="2636">
        <v>7</v>
      </c>
      <c r="FF102" s="2636"/>
      <c r="FG102" s="2636"/>
      <c r="FH102" s="2636"/>
      <c r="FI102" s="2636"/>
      <c r="FJ102" s="2636"/>
      <c r="FK102" s="2636"/>
      <c r="FL102" s="2636"/>
      <c r="FM102" s="2636"/>
      <c r="FN102" s="2636"/>
      <c r="FO102" s="2636"/>
      <c r="FP102" s="2636"/>
      <c r="FY102" s="517"/>
      <c r="GA102" s="517"/>
      <c r="ID102" s="516"/>
      <c r="IG102" s="517"/>
      <c r="IO102" s="2595"/>
      <c r="IP102" s="2595"/>
      <c r="IQ102" s="2595"/>
      <c r="IR102" s="2595"/>
    </row>
    <row r="103" spans="30:293" ht="4.1500000000000004" customHeight="1">
      <c r="AD103" s="516"/>
      <c r="AF103" s="516"/>
      <c r="AO103" s="517"/>
      <c r="AQ103" s="516"/>
      <c r="AW103" s="517"/>
      <c r="AX103" s="519"/>
      <c r="AY103" s="521"/>
      <c r="AZ103" s="516"/>
      <c r="BG103" s="2637"/>
      <c r="BH103" s="2637"/>
      <c r="BI103" s="2637"/>
      <c r="BJ103" s="2637"/>
      <c r="BK103" s="2637"/>
      <c r="BL103" s="2637"/>
      <c r="BM103" s="2637"/>
      <c r="BN103" s="2637"/>
      <c r="BO103" s="2637"/>
      <c r="BP103" s="2637"/>
      <c r="BQ103" s="2637"/>
      <c r="BR103" s="2637"/>
      <c r="BS103" s="2637"/>
      <c r="BT103" s="2637"/>
      <c r="BU103" s="2637"/>
      <c r="BV103" s="2637"/>
      <c r="BW103" s="2637"/>
      <c r="BX103" s="2637"/>
      <c r="BY103" s="2637"/>
      <c r="BZ103" s="2637"/>
      <c r="CA103" s="2637"/>
      <c r="CB103" s="2637"/>
      <c r="CC103" s="2637"/>
      <c r="CD103" s="2637"/>
      <c r="CE103" s="2637"/>
      <c r="CF103" s="2637"/>
      <c r="CG103" s="2637"/>
      <c r="CH103" s="2637"/>
      <c r="CO103" s="517"/>
      <c r="CP103" s="519"/>
      <c r="CQ103" s="521"/>
      <c r="CR103" s="516"/>
      <c r="CX103" s="2636">
        <v>7</v>
      </c>
      <c r="CY103" s="2636"/>
      <c r="CZ103" s="2636"/>
      <c r="DA103" s="2636"/>
      <c r="DB103" s="2636"/>
      <c r="DC103" s="2636"/>
      <c r="DD103" s="2636"/>
      <c r="DE103" s="2636"/>
      <c r="DF103" s="2636"/>
      <c r="DG103" s="2636"/>
      <c r="DH103" s="2636"/>
      <c r="DI103" s="2636"/>
      <c r="DJ103" s="2636" t="s">
        <v>901</v>
      </c>
      <c r="DK103" s="2636"/>
      <c r="DL103" s="2636"/>
      <c r="DM103" s="2636"/>
      <c r="DN103" s="2636">
        <v>7</v>
      </c>
      <c r="DO103" s="2636"/>
      <c r="DP103" s="2636"/>
      <c r="DQ103" s="2636"/>
      <c r="DR103" s="2636"/>
      <c r="DS103" s="2636"/>
      <c r="DT103" s="2636"/>
      <c r="DU103" s="2636"/>
      <c r="DV103" s="2636"/>
      <c r="DW103" s="2636"/>
      <c r="DX103" s="2636"/>
      <c r="DY103" s="2636"/>
      <c r="EG103" s="517"/>
      <c r="EH103" s="519"/>
      <c r="EI103" s="521"/>
      <c r="EJ103" s="516"/>
      <c r="EO103" s="2636"/>
      <c r="EP103" s="2636"/>
      <c r="EQ103" s="2636"/>
      <c r="ER103" s="2636"/>
      <c r="ES103" s="2636"/>
      <c r="ET103" s="2636"/>
      <c r="EU103" s="2636"/>
      <c r="EV103" s="2636"/>
      <c r="EW103" s="2636"/>
      <c r="EX103" s="2636"/>
      <c r="EY103" s="2636"/>
      <c r="EZ103" s="2636"/>
      <c r="FA103" s="2636"/>
      <c r="FB103" s="2636"/>
      <c r="FC103" s="2636"/>
      <c r="FD103" s="2636"/>
      <c r="FE103" s="2636"/>
      <c r="FF103" s="2636"/>
      <c r="FG103" s="2636"/>
      <c r="FH103" s="2636"/>
      <c r="FI103" s="2636"/>
      <c r="FJ103" s="2636"/>
      <c r="FK103" s="2636"/>
      <c r="FL103" s="2636"/>
      <c r="FM103" s="2636"/>
      <c r="FN103" s="2636"/>
      <c r="FO103" s="2636"/>
      <c r="FP103" s="2636"/>
      <c r="FY103" s="517"/>
      <c r="FZ103" s="519"/>
      <c r="GA103" s="521"/>
      <c r="ID103" s="516"/>
      <c r="IG103" s="517"/>
      <c r="IO103" s="2595"/>
      <c r="IP103" s="2595"/>
      <c r="IQ103" s="2595"/>
      <c r="IR103" s="2595"/>
    </row>
    <row r="104" spans="30:293" ht="4.1500000000000004" customHeight="1">
      <c r="AD104" s="516"/>
      <c r="AF104" s="516"/>
      <c r="AO104" s="517"/>
      <c r="AQ104" s="516"/>
      <c r="AW104" s="517"/>
      <c r="AX104" s="527"/>
      <c r="AY104" s="529"/>
      <c r="AZ104" s="516"/>
      <c r="BG104" s="2636">
        <v>7</v>
      </c>
      <c r="BH104" s="2636"/>
      <c r="BI104" s="2636"/>
      <c r="BJ104" s="2636"/>
      <c r="BK104" s="2636"/>
      <c r="BL104" s="2636"/>
      <c r="BM104" s="2636"/>
      <c r="BN104" s="2636"/>
      <c r="BO104" s="2636"/>
      <c r="BP104" s="2636"/>
      <c r="BQ104" s="2636"/>
      <c r="BR104" s="2636"/>
      <c r="BS104" s="2636" t="s">
        <v>901</v>
      </c>
      <c r="BT104" s="2636"/>
      <c r="BU104" s="2636"/>
      <c r="BV104" s="2636"/>
      <c r="BW104" s="2636">
        <v>7</v>
      </c>
      <c r="BX104" s="2636"/>
      <c r="BY104" s="2636"/>
      <c r="BZ104" s="2636"/>
      <c r="CA104" s="2636"/>
      <c r="CB104" s="2636"/>
      <c r="CC104" s="2636"/>
      <c r="CD104" s="2636"/>
      <c r="CE104" s="2636"/>
      <c r="CF104" s="2636"/>
      <c r="CG104" s="2636"/>
      <c r="CH104" s="2636"/>
      <c r="CO104" s="517"/>
      <c r="CP104" s="527"/>
      <c r="CQ104" s="529"/>
      <c r="CR104" s="516"/>
      <c r="CX104" s="2636"/>
      <c r="CY104" s="2636"/>
      <c r="CZ104" s="2636"/>
      <c r="DA104" s="2636"/>
      <c r="DB104" s="2636"/>
      <c r="DC104" s="2636"/>
      <c r="DD104" s="2636"/>
      <c r="DE104" s="2636"/>
      <c r="DF104" s="2636"/>
      <c r="DG104" s="2636"/>
      <c r="DH104" s="2636"/>
      <c r="DI104" s="2636"/>
      <c r="DJ104" s="2636"/>
      <c r="DK104" s="2636"/>
      <c r="DL104" s="2636"/>
      <c r="DM104" s="2636"/>
      <c r="DN104" s="2636"/>
      <c r="DO104" s="2636"/>
      <c r="DP104" s="2636"/>
      <c r="DQ104" s="2636"/>
      <c r="DR104" s="2636"/>
      <c r="DS104" s="2636"/>
      <c r="DT104" s="2636"/>
      <c r="DU104" s="2636"/>
      <c r="DV104" s="2636"/>
      <c r="DW104" s="2636"/>
      <c r="DX104" s="2636"/>
      <c r="DY104" s="2636"/>
      <c r="EG104" s="517"/>
      <c r="EH104" s="527"/>
      <c r="EI104" s="529"/>
      <c r="EJ104" s="516"/>
      <c r="EO104" s="2636"/>
      <c r="EP104" s="2636"/>
      <c r="EQ104" s="2636"/>
      <c r="ER104" s="2636"/>
      <c r="ES104" s="2636"/>
      <c r="ET104" s="2636"/>
      <c r="EU104" s="2636"/>
      <c r="EV104" s="2636"/>
      <c r="EW104" s="2636"/>
      <c r="EX104" s="2636"/>
      <c r="EY104" s="2636"/>
      <c r="EZ104" s="2636"/>
      <c r="FA104" s="2636"/>
      <c r="FB104" s="2636"/>
      <c r="FC104" s="2636"/>
      <c r="FD104" s="2636"/>
      <c r="FE104" s="2636"/>
      <c r="FF104" s="2636"/>
      <c r="FG104" s="2636"/>
      <c r="FH104" s="2636"/>
      <c r="FI104" s="2636"/>
      <c r="FJ104" s="2636"/>
      <c r="FK104" s="2636"/>
      <c r="FL104" s="2636"/>
      <c r="FM104" s="2636"/>
      <c r="FN104" s="2636"/>
      <c r="FO104" s="2636"/>
      <c r="FP104" s="2636"/>
      <c r="FY104" s="517"/>
      <c r="FZ104" s="527"/>
      <c r="GA104" s="529"/>
      <c r="ID104" s="516"/>
      <c r="IG104" s="517"/>
      <c r="IO104" s="2595"/>
      <c r="IP104" s="2595"/>
      <c r="IQ104" s="2595"/>
      <c r="IR104" s="2595"/>
    </row>
    <row r="105" spans="30:293" ht="4.1500000000000004" customHeight="1">
      <c r="AD105" s="516"/>
      <c r="AF105" s="516"/>
      <c r="AO105" s="517"/>
      <c r="AQ105" s="516"/>
      <c r="AW105" s="517"/>
      <c r="AX105" s="516"/>
      <c r="AZ105" s="516"/>
      <c r="BG105" s="2636"/>
      <c r="BH105" s="2636"/>
      <c r="BI105" s="2636"/>
      <c r="BJ105" s="2636"/>
      <c r="BK105" s="2636"/>
      <c r="BL105" s="2636"/>
      <c r="BM105" s="2636"/>
      <c r="BN105" s="2636"/>
      <c r="BO105" s="2636"/>
      <c r="BP105" s="2636"/>
      <c r="BQ105" s="2636"/>
      <c r="BR105" s="2636"/>
      <c r="BS105" s="2636"/>
      <c r="BT105" s="2636"/>
      <c r="BU105" s="2636"/>
      <c r="BV105" s="2636"/>
      <c r="BW105" s="2636"/>
      <c r="BX105" s="2636"/>
      <c r="BY105" s="2636"/>
      <c r="BZ105" s="2636"/>
      <c r="CA105" s="2636"/>
      <c r="CB105" s="2636"/>
      <c r="CC105" s="2636"/>
      <c r="CD105" s="2636"/>
      <c r="CE105" s="2636"/>
      <c r="CF105" s="2636"/>
      <c r="CG105" s="2636"/>
      <c r="CH105" s="2636"/>
      <c r="CO105" s="517"/>
      <c r="CR105" s="516"/>
      <c r="CX105" s="2636"/>
      <c r="CY105" s="2636"/>
      <c r="CZ105" s="2636"/>
      <c r="DA105" s="2636"/>
      <c r="DB105" s="2636"/>
      <c r="DC105" s="2636"/>
      <c r="DD105" s="2636"/>
      <c r="DE105" s="2636"/>
      <c r="DF105" s="2636"/>
      <c r="DG105" s="2636"/>
      <c r="DH105" s="2636"/>
      <c r="DI105" s="2636"/>
      <c r="DJ105" s="2636"/>
      <c r="DK105" s="2636"/>
      <c r="DL105" s="2636"/>
      <c r="DM105" s="2636"/>
      <c r="DN105" s="2636"/>
      <c r="DO105" s="2636"/>
      <c r="DP105" s="2636"/>
      <c r="DQ105" s="2636"/>
      <c r="DR105" s="2636"/>
      <c r="DS105" s="2636"/>
      <c r="DT105" s="2636"/>
      <c r="DU105" s="2636"/>
      <c r="DV105" s="2636"/>
      <c r="DW105" s="2636"/>
      <c r="DX105" s="2636"/>
      <c r="DY105" s="2636"/>
      <c r="EG105" s="517"/>
      <c r="EJ105" s="516"/>
      <c r="EO105" s="2636"/>
      <c r="EP105" s="2636"/>
      <c r="EQ105" s="2636"/>
      <c r="ER105" s="2636"/>
      <c r="ES105" s="2636"/>
      <c r="ET105" s="2636"/>
      <c r="EU105" s="2636"/>
      <c r="EV105" s="2636"/>
      <c r="EW105" s="2636"/>
      <c r="EX105" s="2636"/>
      <c r="EY105" s="2636"/>
      <c r="EZ105" s="2636"/>
      <c r="FA105" s="2636"/>
      <c r="FB105" s="2636"/>
      <c r="FC105" s="2636"/>
      <c r="FD105" s="2636"/>
      <c r="FE105" s="2636"/>
      <c r="FF105" s="2636"/>
      <c r="FG105" s="2636"/>
      <c r="FH105" s="2636"/>
      <c r="FI105" s="2636"/>
      <c r="FJ105" s="2636"/>
      <c r="FK105" s="2636"/>
      <c r="FL105" s="2636"/>
      <c r="FM105" s="2636"/>
      <c r="FN105" s="2636"/>
      <c r="FO105" s="2636"/>
      <c r="FP105" s="2636"/>
      <c r="FY105" s="517"/>
      <c r="GA105" s="517"/>
      <c r="ID105" s="516"/>
      <c r="IG105" s="517"/>
      <c r="IO105" s="2595"/>
      <c r="IP105" s="2595"/>
      <c r="IQ105" s="2595"/>
      <c r="IR105" s="2595"/>
      <c r="JC105" s="2597">
        <v>0.125</v>
      </c>
      <c r="JD105" s="2597"/>
      <c r="JE105" s="2597"/>
      <c r="JF105" s="2597"/>
      <c r="JG105" s="2597"/>
      <c r="JH105" s="2597"/>
      <c r="JI105" s="2597"/>
      <c r="JK105" s="515"/>
      <c r="JL105" s="514"/>
      <c r="JM105" s="514"/>
      <c r="JN105" s="514"/>
      <c r="JO105" s="514"/>
      <c r="JP105" s="514"/>
      <c r="JQ105" s="514"/>
      <c r="JR105" s="514"/>
      <c r="JS105" s="514"/>
      <c r="JT105" s="514"/>
      <c r="JU105" s="514"/>
      <c r="JV105" s="514"/>
      <c r="JW105" s="514"/>
      <c r="JX105" s="514"/>
      <c r="JY105" s="514"/>
      <c r="JZ105" s="514"/>
      <c r="KA105" s="514"/>
      <c r="KB105" s="514"/>
      <c r="KC105" s="514"/>
      <c r="KD105" s="514"/>
      <c r="KE105" s="514"/>
      <c r="KF105" s="518"/>
    </row>
    <row r="106" spans="30:293" ht="4.1500000000000004" customHeight="1">
      <c r="AD106" s="516"/>
      <c r="AF106" s="516"/>
      <c r="AO106" s="517"/>
      <c r="AQ106" s="516"/>
      <c r="AW106" s="517"/>
      <c r="AX106" s="516"/>
      <c r="AZ106" s="516"/>
      <c r="BG106" s="2636"/>
      <c r="BH106" s="2636"/>
      <c r="BI106" s="2636"/>
      <c r="BJ106" s="2636"/>
      <c r="BK106" s="2636"/>
      <c r="BL106" s="2636"/>
      <c r="BM106" s="2636"/>
      <c r="BN106" s="2636"/>
      <c r="BO106" s="2636"/>
      <c r="BP106" s="2636"/>
      <c r="BQ106" s="2636"/>
      <c r="BR106" s="2636"/>
      <c r="BS106" s="2636"/>
      <c r="BT106" s="2636"/>
      <c r="BU106" s="2636"/>
      <c r="BV106" s="2636"/>
      <c r="BW106" s="2636"/>
      <c r="BX106" s="2636"/>
      <c r="BY106" s="2636"/>
      <c r="BZ106" s="2636"/>
      <c r="CA106" s="2636"/>
      <c r="CB106" s="2636"/>
      <c r="CC106" s="2636"/>
      <c r="CD106" s="2636"/>
      <c r="CE106" s="2636"/>
      <c r="CF106" s="2636"/>
      <c r="CG106" s="2636"/>
      <c r="CH106" s="2636"/>
      <c r="CO106" s="517"/>
      <c r="CR106" s="516"/>
      <c r="CX106" s="2636"/>
      <c r="CY106" s="2636"/>
      <c r="CZ106" s="2636"/>
      <c r="DA106" s="2636"/>
      <c r="DB106" s="2636"/>
      <c r="DC106" s="2636"/>
      <c r="DD106" s="2636"/>
      <c r="DE106" s="2636"/>
      <c r="DF106" s="2636"/>
      <c r="DG106" s="2636"/>
      <c r="DH106" s="2636"/>
      <c r="DI106" s="2636"/>
      <c r="DJ106" s="2636"/>
      <c r="DK106" s="2636"/>
      <c r="DL106" s="2636"/>
      <c r="DM106" s="2636"/>
      <c r="DN106" s="2636"/>
      <c r="DO106" s="2636"/>
      <c r="DP106" s="2636"/>
      <c r="DQ106" s="2636"/>
      <c r="DR106" s="2636"/>
      <c r="DS106" s="2636"/>
      <c r="DT106" s="2636"/>
      <c r="DU106" s="2636"/>
      <c r="DV106" s="2636"/>
      <c r="DW106" s="2636"/>
      <c r="DX106" s="2636"/>
      <c r="DY106" s="2636"/>
      <c r="EG106" s="517"/>
      <c r="EJ106" s="516"/>
      <c r="FY106" s="517"/>
      <c r="GA106" s="517"/>
      <c r="ID106" s="516"/>
      <c r="IG106" s="517"/>
      <c r="IO106" s="2595"/>
      <c r="IP106" s="2595"/>
      <c r="IQ106" s="2595"/>
      <c r="IR106" s="2595"/>
      <c r="JC106" s="2598"/>
      <c r="JD106" s="2598"/>
      <c r="JE106" s="2598"/>
      <c r="JF106" s="2598"/>
      <c r="JG106" s="2598"/>
      <c r="JH106" s="2598"/>
      <c r="JI106" s="2598"/>
      <c r="JK106" s="530"/>
      <c r="JL106" s="532"/>
      <c r="JM106" s="532"/>
      <c r="JN106" s="532"/>
      <c r="JO106" s="532"/>
      <c r="JP106" s="532"/>
      <c r="JQ106" s="532"/>
      <c r="JS106" s="515"/>
      <c r="JT106" s="514"/>
      <c r="JU106" s="514"/>
      <c r="JV106" s="514"/>
      <c r="JW106" s="514"/>
      <c r="JX106" s="518"/>
      <c r="JZ106" s="532"/>
      <c r="KA106" s="532"/>
      <c r="KB106" s="532"/>
      <c r="KC106" s="532"/>
      <c r="KD106" s="532"/>
      <c r="KE106" s="532"/>
      <c r="KF106" s="531"/>
    </row>
    <row r="107" spans="30:293" ht="4.1500000000000004" customHeight="1">
      <c r="AD107" s="516"/>
      <c r="AF107" s="516"/>
      <c r="AP107" s="514"/>
      <c r="AW107" s="517"/>
      <c r="AX107" s="516"/>
      <c r="AZ107" s="516"/>
      <c r="BG107" s="2636"/>
      <c r="BH107" s="2636"/>
      <c r="BI107" s="2636"/>
      <c r="BJ107" s="2636"/>
      <c r="BK107" s="2636"/>
      <c r="BL107" s="2636"/>
      <c r="BM107" s="2636"/>
      <c r="BN107" s="2636"/>
      <c r="BO107" s="2636"/>
      <c r="BP107" s="2636"/>
      <c r="BQ107" s="2636"/>
      <c r="BR107" s="2636"/>
      <c r="BS107" s="2636"/>
      <c r="BT107" s="2636"/>
      <c r="BU107" s="2636"/>
      <c r="BV107" s="2636"/>
      <c r="BW107" s="2636"/>
      <c r="BX107" s="2636"/>
      <c r="BY107" s="2636"/>
      <c r="BZ107" s="2636"/>
      <c r="CA107" s="2636"/>
      <c r="CB107" s="2636"/>
      <c r="CC107" s="2636"/>
      <c r="CD107" s="2636"/>
      <c r="CE107" s="2636"/>
      <c r="CF107" s="2636"/>
      <c r="CG107" s="2636"/>
      <c r="CH107" s="2636"/>
      <c r="CO107" s="517"/>
      <c r="CR107" s="516"/>
      <c r="EG107" s="517"/>
      <c r="EJ107" s="516"/>
      <c r="FY107" s="517"/>
      <c r="GA107" s="517"/>
      <c r="ID107" s="516"/>
      <c r="IG107" s="517"/>
      <c r="IO107" s="2595"/>
      <c r="IP107" s="2595"/>
      <c r="IQ107" s="2595"/>
      <c r="IR107" s="2595"/>
      <c r="JR107" s="516"/>
      <c r="JS107" s="516"/>
      <c r="JX107" s="517"/>
      <c r="JY107" s="517"/>
      <c r="KC107" s="2613">
        <v>0.5</v>
      </c>
      <c r="KD107" s="2613"/>
      <c r="KE107" s="2613"/>
      <c r="KF107" s="2613"/>
    </row>
    <row r="108" spans="30:293" ht="4.1500000000000004" customHeight="1">
      <c r="AD108" s="516"/>
      <c r="AF108" s="516"/>
      <c r="AW108" s="517"/>
      <c r="AX108" s="516"/>
      <c r="AZ108" s="516"/>
      <c r="CO108" s="517"/>
      <c r="CR108" s="516"/>
      <c r="EG108" s="517"/>
      <c r="EJ108" s="516"/>
      <c r="FY108" s="517"/>
      <c r="GA108" s="517"/>
      <c r="ID108" s="516"/>
      <c r="IG108" s="517"/>
      <c r="IO108" s="2595"/>
      <c r="IP108" s="2595"/>
      <c r="IQ108" s="2595"/>
      <c r="IR108" s="2595"/>
      <c r="JR108" s="516"/>
      <c r="JS108" s="516"/>
      <c r="JX108" s="517"/>
      <c r="JY108" s="517"/>
      <c r="KC108" s="2594"/>
      <c r="KD108" s="2594"/>
      <c r="KE108" s="2594"/>
      <c r="KF108" s="2594"/>
    </row>
    <row r="109" spans="30:293" ht="4.1500000000000004" customHeight="1">
      <c r="AD109" s="516"/>
      <c r="AF109" s="516"/>
      <c r="AW109" s="517"/>
      <c r="AX109" s="516"/>
      <c r="AZ109" s="516"/>
      <c r="CO109" s="517"/>
      <c r="CR109" s="516"/>
      <c r="EG109" s="517"/>
      <c r="EJ109" s="516"/>
      <c r="FY109" s="517"/>
      <c r="GA109" s="517"/>
      <c r="GB109" s="1559"/>
      <c r="GC109" s="537"/>
      <c r="GD109" s="538"/>
      <c r="ID109" s="516"/>
      <c r="IG109" s="517"/>
      <c r="IO109" s="2595"/>
      <c r="IP109" s="2595"/>
      <c r="IQ109" s="2595"/>
      <c r="IR109" s="2595"/>
      <c r="JR109" s="516"/>
      <c r="JS109" s="516"/>
      <c r="JX109" s="517"/>
      <c r="JY109" s="517"/>
      <c r="KC109" s="2594"/>
      <c r="KD109" s="2594"/>
      <c r="KE109" s="2594"/>
      <c r="KF109" s="2594"/>
    </row>
    <row r="110" spans="30:293" ht="4.1500000000000004" customHeight="1">
      <c r="AD110" s="516"/>
      <c r="AF110" s="516"/>
      <c r="AW110" s="517"/>
      <c r="AX110" s="516"/>
      <c r="AZ110" s="516"/>
      <c r="CO110" s="517"/>
      <c r="CR110" s="516"/>
      <c r="EG110" s="517"/>
      <c r="EJ110" s="516"/>
      <c r="FY110" s="517"/>
      <c r="FZ110" s="515"/>
      <c r="GA110" s="1613"/>
      <c r="GB110" s="516"/>
      <c r="GD110" s="540"/>
      <c r="ID110" s="516"/>
      <c r="IG110" s="517"/>
      <c r="IQ110" s="516"/>
      <c r="JR110" s="516"/>
      <c r="JS110" s="516"/>
      <c r="JX110" s="517"/>
      <c r="JY110" s="517"/>
      <c r="KC110" s="2594"/>
      <c r="KD110" s="2594"/>
      <c r="KE110" s="2594"/>
      <c r="KF110" s="2594"/>
    </row>
    <row r="111" spans="30:293" ht="4.1500000000000004" customHeight="1">
      <c r="AD111" s="516"/>
      <c r="AF111" s="530"/>
      <c r="AG111" s="532"/>
      <c r="AH111" s="532"/>
      <c r="AI111" s="532"/>
      <c r="AJ111" s="532"/>
      <c r="AK111" s="532"/>
      <c r="AL111" s="532"/>
      <c r="AM111" s="532"/>
      <c r="AN111" s="532"/>
      <c r="AO111" s="532"/>
      <c r="AP111" s="532"/>
      <c r="AW111" s="517"/>
      <c r="AX111" s="516"/>
      <c r="AZ111" s="516"/>
      <c r="CO111" s="517"/>
      <c r="CR111" s="516"/>
      <c r="EG111" s="517"/>
      <c r="EJ111" s="516"/>
      <c r="FY111" s="517"/>
      <c r="FZ111" s="516"/>
      <c r="GA111" s="1612"/>
      <c r="GB111" s="516"/>
      <c r="GD111" s="540"/>
      <c r="ID111" s="516"/>
      <c r="IG111" s="517"/>
      <c r="IQ111" s="516"/>
      <c r="JR111" s="516"/>
      <c r="JS111" s="516"/>
      <c r="JX111" s="517"/>
      <c r="JY111" s="517"/>
      <c r="KC111" s="2594"/>
      <c r="KD111" s="2594"/>
      <c r="KE111" s="2594"/>
      <c r="KF111" s="2594"/>
    </row>
    <row r="112" spans="30:293" ht="4.1500000000000004" customHeight="1">
      <c r="AD112" s="516"/>
      <c r="AF112" s="532"/>
      <c r="AG112" s="532"/>
      <c r="AH112" s="532"/>
      <c r="AI112" s="532"/>
      <c r="AJ112" s="532"/>
      <c r="AK112" s="532"/>
      <c r="AL112" s="532"/>
      <c r="AM112" s="532"/>
      <c r="AN112" s="532"/>
      <c r="AO112" s="532"/>
      <c r="AP112" s="531"/>
      <c r="AQ112" s="516"/>
      <c r="AW112" s="517"/>
      <c r="AX112" s="516"/>
      <c r="AZ112" s="516"/>
      <c r="CO112" s="517"/>
      <c r="CR112" s="516"/>
      <c r="EG112" s="517"/>
      <c r="EJ112" s="516"/>
      <c r="FY112" s="517"/>
      <c r="FZ112" s="516"/>
      <c r="GA112" s="1612"/>
      <c r="GB112" s="516"/>
      <c r="GD112" s="540"/>
      <c r="ID112" s="516"/>
      <c r="IG112" s="517"/>
      <c r="IH112" s="516"/>
      <c r="IQ112" s="516"/>
      <c r="JR112" s="516"/>
      <c r="JS112" s="516"/>
      <c r="JX112" s="517"/>
      <c r="JY112" s="517"/>
      <c r="KC112" s="2594"/>
      <c r="KD112" s="2594"/>
      <c r="KE112" s="2594"/>
      <c r="KF112" s="2594"/>
    </row>
    <row r="113" spans="30:293" ht="4.1500000000000004" customHeight="1">
      <c r="AD113" s="516"/>
      <c r="AF113" s="516"/>
      <c r="AW113" s="517"/>
      <c r="AX113" s="516"/>
      <c r="AZ113" s="516"/>
      <c r="CO113" s="517"/>
      <c r="CR113" s="516"/>
      <c r="EG113" s="517"/>
      <c r="EJ113" s="516"/>
      <c r="FY113" s="517"/>
      <c r="FZ113" s="516"/>
      <c r="GA113" s="1612"/>
      <c r="GB113" s="516"/>
      <c r="GD113" s="540"/>
      <c r="ID113" s="516"/>
      <c r="IG113" s="517"/>
      <c r="IH113" s="516"/>
      <c r="IQ113" s="516"/>
      <c r="JR113" s="516"/>
      <c r="JS113" s="516"/>
      <c r="JX113" s="517"/>
      <c r="JY113" s="517"/>
      <c r="KC113" s="2594"/>
      <c r="KD113" s="2594"/>
      <c r="KE113" s="2594"/>
      <c r="KF113" s="2594"/>
    </row>
    <row r="114" spans="30:293" ht="4.1500000000000004" customHeight="1">
      <c r="AD114" s="516"/>
      <c r="AF114" s="516"/>
      <c r="AW114" s="517"/>
      <c r="AX114" s="516"/>
      <c r="AZ114" s="516"/>
      <c r="CO114" s="517"/>
      <c r="CR114" s="516"/>
      <c r="EG114" s="517"/>
      <c r="EJ114" s="516"/>
      <c r="FY114" s="517"/>
      <c r="FZ114" s="516"/>
      <c r="GA114" s="1612"/>
      <c r="GB114" s="516"/>
      <c r="GD114" s="540"/>
      <c r="ID114" s="516"/>
      <c r="IG114" s="517"/>
      <c r="IH114" s="516"/>
      <c r="IQ114" s="516"/>
      <c r="JR114" s="516"/>
      <c r="JS114" s="530"/>
      <c r="JT114" s="532"/>
      <c r="JU114" s="532"/>
      <c r="JV114" s="532"/>
      <c r="JW114" s="532"/>
      <c r="JX114" s="531"/>
      <c r="JY114" s="517"/>
      <c r="KC114" s="2594"/>
      <c r="KD114" s="2594"/>
      <c r="KE114" s="2594"/>
      <c r="KF114" s="2594"/>
    </row>
    <row r="115" spans="30:293" ht="4.1500000000000004" customHeight="1">
      <c r="AD115" s="516"/>
      <c r="AF115" s="516"/>
      <c r="AW115" s="517"/>
      <c r="AX115" s="516"/>
      <c r="AZ115" s="516"/>
      <c r="CO115" s="517"/>
      <c r="CR115" s="516"/>
      <c r="EG115" s="517"/>
      <c r="EJ115" s="516"/>
      <c r="FY115" s="517"/>
      <c r="FZ115" s="663"/>
      <c r="GA115" s="1586"/>
      <c r="GB115" s="516"/>
      <c r="GD115" s="540"/>
      <c r="ID115" s="516"/>
      <c r="IG115" s="517"/>
      <c r="IH115" s="516"/>
      <c r="IQ115" s="516"/>
      <c r="JR115" s="530"/>
      <c r="JS115" s="532"/>
      <c r="JT115" s="532"/>
      <c r="JU115" s="532"/>
      <c r="JV115" s="532"/>
      <c r="JW115" s="532"/>
      <c r="JX115" s="532"/>
      <c r="JY115" s="531"/>
      <c r="KC115" s="2614"/>
      <c r="KD115" s="2614"/>
      <c r="KE115" s="2614"/>
      <c r="KF115" s="2614"/>
    </row>
    <row r="116" spans="30:293" ht="4.1500000000000004" customHeight="1">
      <c r="AD116" s="516"/>
      <c r="AF116" s="516"/>
      <c r="AW116" s="517"/>
      <c r="AX116" s="516"/>
      <c r="AZ116" s="516"/>
      <c r="CO116" s="517"/>
      <c r="CR116" s="516"/>
      <c r="EG116" s="517"/>
      <c r="EJ116" s="516"/>
      <c r="FY116" s="517"/>
      <c r="FZ116" s="663"/>
      <c r="GA116" s="1586"/>
      <c r="GB116" s="516"/>
      <c r="GD116" s="540"/>
      <c r="ID116" s="516"/>
      <c r="IG116" s="517"/>
      <c r="IH116" s="516"/>
      <c r="IQ116" s="516"/>
    </row>
    <row r="117" spans="30:293" ht="4.1500000000000004" customHeight="1">
      <c r="AD117" s="516"/>
      <c r="AF117" s="516"/>
      <c r="AW117" s="517"/>
      <c r="AX117" s="516"/>
      <c r="AZ117" s="516"/>
      <c r="CO117" s="517"/>
      <c r="CR117" s="516"/>
      <c r="EG117" s="517"/>
      <c r="EJ117" s="516"/>
      <c r="FY117" s="517"/>
      <c r="FZ117" s="663"/>
      <c r="GA117" s="1586"/>
      <c r="GB117" s="516"/>
      <c r="GD117" s="540"/>
      <c r="HI117" s="532"/>
      <c r="HJ117" s="532"/>
      <c r="HK117" s="532"/>
      <c r="HL117" s="532"/>
      <c r="HM117" s="532"/>
      <c r="HN117" s="532"/>
      <c r="HO117" s="532"/>
      <c r="HP117" s="532"/>
      <c r="HQ117" s="532"/>
      <c r="HR117" s="532"/>
      <c r="HS117" s="532"/>
      <c r="HT117" s="532"/>
      <c r="HU117" s="532"/>
      <c r="HV117" s="532"/>
      <c r="HW117" s="532"/>
      <c r="HX117" s="532"/>
      <c r="HY117" s="532"/>
      <c r="HZ117" s="532"/>
      <c r="IA117" s="532"/>
      <c r="IB117" s="532"/>
      <c r="ID117" s="516"/>
      <c r="IG117" s="517"/>
      <c r="IH117" s="530"/>
      <c r="II117" s="532"/>
      <c r="IJ117" s="532"/>
      <c r="IK117" s="532"/>
      <c r="IL117" s="532"/>
      <c r="IM117" s="532"/>
      <c r="IN117" s="532"/>
      <c r="IO117" s="532"/>
      <c r="IP117" s="532"/>
      <c r="IQ117" s="530"/>
      <c r="IR117" s="532"/>
      <c r="IS117" s="532"/>
      <c r="IT117" s="532"/>
      <c r="IU117" s="532"/>
      <c r="IV117" s="532"/>
      <c r="IW117" s="532"/>
      <c r="IX117" s="532"/>
      <c r="IY117" s="532"/>
      <c r="IZ117" s="532"/>
      <c r="JA117" s="532"/>
      <c r="JB117" s="532"/>
      <c r="JC117" s="532"/>
      <c r="JD117" s="532"/>
      <c r="JE117" s="532"/>
      <c r="JF117" s="532"/>
      <c r="JR117" s="2609">
        <v>0.25</v>
      </c>
      <c r="JS117" s="2610"/>
      <c r="JT117" s="2610"/>
      <c r="JU117" s="2610"/>
      <c r="JV117" s="2610"/>
      <c r="JW117" s="2610"/>
      <c r="JX117" s="2610"/>
      <c r="JY117" s="2611"/>
    </row>
    <row r="118" spans="30:293" ht="4.1500000000000004" customHeight="1">
      <c r="AD118" s="516"/>
      <c r="AF118" s="516"/>
      <c r="AW118" s="517"/>
      <c r="AX118" s="516"/>
      <c r="AZ118" s="516"/>
      <c r="CO118" s="517"/>
      <c r="CR118" s="516"/>
      <c r="EG118" s="517"/>
      <c r="EJ118" s="516"/>
      <c r="FY118" s="517"/>
      <c r="FZ118" s="666"/>
      <c r="GA118" s="1587"/>
      <c r="GB118" s="516"/>
      <c r="GD118" s="540"/>
      <c r="ID118" s="519"/>
      <c r="IE118" s="520"/>
      <c r="IF118" s="520"/>
      <c r="IG118" s="521"/>
      <c r="JR118" s="2609"/>
      <c r="JS118" s="2610"/>
      <c r="JT118" s="2610"/>
      <c r="JU118" s="2610"/>
      <c r="JV118" s="2610"/>
      <c r="JW118" s="2610"/>
      <c r="JX118" s="2610"/>
      <c r="JY118" s="2611"/>
    </row>
    <row r="119" spans="30:293" ht="4.1500000000000004" customHeight="1">
      <c r="AD119" s="516"/>
      <c r="AF119" s="516"/>
      <c r="AW119" s="517"/>
      <c r="AX119" s="516"/>
      <c r="AZ119" s="516"/>
      <c r="CO119" s="517"/>
      <c r="CR119" s="516"/>
      <c r="EG119" s="517"/>
      <c r="EJ119" s="516"/>
      <c r="FY119" s="517"/>
      <c r="GA119" s="517"/>
      <c r="GB119" s="1561"/>
      <c r="GC119" s="557"/>
      <c r="GD119" s="560"/>
      <c r="ID119" s="522"/>
      <c r="IE119" s="523"/>
      <c r="IF119" s="523"/>
      <c r="IG119" s="524"/>
      <c r="JR119" s="2609"/>
      <c r="JS119" s="2610"/>
      <c r="JT119" s="2610"/>
      <c r="JU119" s="2610"/>
      <c r="JV119" s="2610"/>
      <c r="JW119" s="2610"/>
      <c r="JX119" s="2610"/>
      <c r="JY119" s="2611"/>
    </row>
    <row r="120" spans="30:293" ht="4.1500000000000004" customHeight="1">
      <c r="AD120" s="516"/>
      <c r="AF120" s="516"/>
      <c r="AW120" s="517"/>
      <c r="AX120" s="516"/>
      <c r="AZ120" s="516"/>
      <c r="CO120" s="517"/>
      <c r="CR120" s="516"/>
      <c r="EG120" s="517"/>
      <c r="EJ120" s="516"/>
      <c r="FY120" s="517"/>
      <c r="GA120" s="517"/>
      <c r="ID120" s="527"/>
      <c r="IE120" s="528"/>
      <c r="IF120" s="528"/>
      <c r="IG120" s="529"/>
      <c r="IH120" s="516"/>
    </row>
    <row r="121" spans="30:293" ht="4.1500000000000004" customHeight="1">
      <c r="AD121" s="516"/>
      <c r="AF121" s="516"/>
      <c r="AW121" s="517"/>
      <c r="AX121" s="516"/>
      <c r="AZ121" s="516"/>
      <c r="CO121" s="517"/>
      <c r="CR121" s="516"/>
      <c r="EG121" s="517"/>
      <c r="EJ121" s="516"/>
      <c r="FY121" s="517"/>
      <c r="GA121" s="517"/>
      <c r="ID121" s="515"/>
      <c r="IE121" s="514"/>
      <c r="IF121" s="514"/>
      <c r="IG121" s="518"/>
      <c r="IH121" s="516"/>
    </row>
    <row r="122" spans="30:293" ht="4.1500000000000004" customHeight="1">
      <c r="AD122" s="516"/>
      <c r="AF122" s="516"/>
      <c r="AW122" s="517"/>
      <c r="AX122" s="516"/>
      <c r="AZ122" s="516"/>
      <c r="CO122" s="517"/>
      <c r="CR122" s="516"/>
      <c r="EG122" s="517"/>
      <c r="EJ122" s="516"/>
      <c r="FY122" s="517"/>
      <c r="GA122" s="517"/>
      <c r="ID122" s="516"/>
      <c r="IG122" s="517"/>
      <c r="IH122" s="516"/>
    </row>
    <row r="123" spans="30:293" ht="4.1500000000000004" customHeight="1">
      <c r="AD123" s="516"/>
      <c r="AF123" s="516"/>
      <c r="AW123" s="517"/>
      <c r="AX123" s="516"/>
      <c r="AZ123" s="516"/>
      <c r="CO123" s="517"/>
      <c r="CR123" s="516"/>
      <c r="EG123" s="517"/>
      <c r="EJ123" s="516"/>
      <c r="FY123" s="517"/>
      <c r="GA123" s="517"/>
      <c r="IC123" s="517"/>
      <c r="ID123" s="516"/>
      <c r="IG123" s="517"/>
      <c r="IH123" s="516"/>
    </row>
    <row r="124" spans="30:293" ht="4.1500000000000004" customHeight="1">
      <c r="AD124" s="519"/>
      <c r="AE124" s="521"/>
      <c r="AF124" s="516"/>
      <c r="AW124" s="517"/>
      <c r="AX124" s="519"/>
      <c r="AY124" s="521"/>
      <c r="AZ124" s="530"/>
      <c r="BA124" s="532"/>
      <c r="BB124" s="532"/>
      <c r="BC124" s="532"/>
      <c r="BD124" s="532"/>
      <c r="BE124" s="532"/>
      <c r="BF124" s="532"/>
      <c r="BG124" s="532"/>
      <c r="BH124" s="532"/>
      <c r="BI124" s="532"/>
      <c r="BJ124" s="532"/>
      <c r="BK124" s="532"/>
      <c r="BL124" s="532"/>
      <c r="BM124" s="532"/>
      <c r="BN124" s="532"/>
      <c r="BO124" s="532"/>
      <c r="BP124" s="532"/>
      <c r="BQ124" s="532"/>
      <c r="BR124" s="532"/>
      <c r="BS124" s="532"/>
      <c r="BT124" s="519"/>
      <c r="BU124" s="521"/>
      <c r="BV124" s="532"/>
      <c r="BW124" s="532"/>
      <c r="BX124" s="532"/>
      <c r="BY124" s="532"/>
      <c r="BZ124" s="532"/>
      <c r="CA124" s="532"/>
      <c r="CB124" s="532"/>
      <c r="CC124" s="532"/>
      <c r="CD124" s="532"/>
      <c r="CE124" s="532"/>
      <c r="CF124" s="532"/>
      <c r="CO124" s="517"/>
      <c r="CP124" s="519"/>
      <c r="CQ124" s="521"/>
      <c r="CR124" s="516"/>
      <c r="DA124" s="532"/>
      <c r="DB124" s="532"/>
      <c r="DC124" s="532"/>
      <c r="DD124" s="532"/>
      <c r="DE124" s="532"/>
      <c r="DF124" s="532"/>
      <c r="DG124" s="532"/>
      <c r="DH124" s="532"/>
      <c r="DI124" s="532"/>
      <c r="DJ124" s="532"/>
      <c r="DK124" s="532"/>
      <c r="DL124" s="519"/>
      <c r="DM124" s="521"/>
      <c r="DN124" s="532"/>
      <c r="DO124" s="532"/>
      <c r="DP124" s="532"/>
      <c r="DQ124" s="532"/>
      <c r="DR124" s="532"/>
      <c r="DS124" s="532"/>
      <c r="DT124" s="532"/>
      <c r="DU124" s="532"/>
      <c r="DV124" s="532"/>
      <c r="DW124" s="532"/>
      <c r="DX124" s="532"/>
      <c r="EG124" s="517"/>
      <c r="EH124" s="519"/>
      <c r="EI124" s="521"/>
      <c r="EJ124" s="516"/>
      <c r="ES124" s="532"/>
      <c r="ET124" s="532"/>
      <c r="EU124" s="532"/>
      <c r="EV124" s="532"/>
      <c r="EW124" s="532"/>
      <c r="EX124" s="532"/>
      <c r="EY124" s="532"/>
      <c r="EZ124" s="532"/>
      <c r="FA124" s="532"/>
      <c r="FB124" s="532"/>
      <c r="FC124" s="532"/>
      <c r="FD124" s="519"/>
      <c r="FE124" s="521"/>
      <c r="FF124" s="532"/>
      <c r="FG124" s="532"/>
      <c r="FH124" s="532"/>
      <c r="FI124" s="532"/>
      <c r="FJ124" s="532"/>
      <c r="FK124" s="532"/>
      <c r="FL124" s="532"/>
      <c r="FM124" s="532"/>
      <c r="FN124" s="532"/>
      <c r="FO124" s="532"/>
      <c r="FP124" s="532"/>
      <c r="FY124" s="517"/>
      <c r="FZ124" s="519"/>
      <c r="GA124" s="521"/>
      <c r="IC124" s="517"/>
      <c r="ID124" s="516"/>
      <c r="IG124" s="517"/>
      <c r="IH124" s="516"/>
    </row>
    <row r="125" spans="30:293" ht="4.1500000000000004" customHeight="1">
      <c r="AD125" s="522"/>
      <c r="AE125" s="524"/>
      <c r="AF125" s="515"/>
      <c r="AG125" s="514"/>
      <c r="AH125" s="514"/>
      <c r="AI125" s="514"/>
      <c r="AJ125" s="518"/>
      <c r="AW125" s="517"/>
      <c r="AX125" s="522"/>
      <c r="AY125" s="524"/>
      <c r="BT125" s="522"/>
      <c r="BU125" s="524"/>
      <c r="CG125" s="516"/>
      <c r="CO125" s="517"/>
      <c r="CP125" s="523"/>
      <c r="CQ125" s="523"/>
      <c r="CR125" s="516"/>
      <c r="CZ125" s="517"/>
      <c r="DL125" s="522"/>
      <c r="DM125" s="524"/>
      <c r="DY125" s="516"/>
      <c r="EG125" s="517"/>
      <c r="EH125" s="523"/>
      <c r="EI125" s="523"/>
      <c r="EJ125" s="516"/>
      <c r="ER125" s="517"/>
      <c r="FD125" s="522"/>
      <c r="FE125" s="524"/>
      <c r="FQ125" s="516"/>
      <c r="FY125" s="517"/>
      <c r="FZ125" s="523"/>
      <c r="GA125" s="524"/>
      <c r="IC125" s="517"/>
      <c r="ID125" s="516"/>
      <c r="IG125" s="517"/>
      <c r="IH125" s="516"/>
      <c r="JL125" s="2612" t="s">
        <v>3597</v>
      </c>
      <c r="JM125" s="2612"/>
      <c r="JN125" s="2612"/>
      <c r="JO125" s="2612"/>
      <c r="JP125" s="2612"/>
      <c r="JQ125" s="2612"/>
      <c r="JR125" s="2612"/>
      <c r="JS125" s="2612"/>
      <c r="JT125" s="2612"/>
      <c r="JU125" s="2612"/>
      <c r="JV125" s="2612"/>
      <c r="JW125" s="2612"/>
      <c r="JX125" s="2612"/>
      <c r="JY125" s="2612"/>
      <c r="JZ125" s="2612"/>
      <c r="KA125" s="2612"/>
      <c r="KB125" s="2612"/>
      <c r="KC125" s="2612"/>
      <c r="KD125" s="2612"/>
      <c r="KE125" s="2612"/>
      <c r="KF125" s="2612"/>
      <c r="KG125" s="2612"/>
    </row>
    <row r="126" spans="30:293" ht="4.1500000000000004" customHeight="1">
      <c r="AD126" s="527"/>
      <c r="AE126" s="529"/>
      <c r="AF126" s="530"/>
      <c r="AG126" s="532"/>
      <c r="AH126" s="532"/>
      <c r="AI126" s="532"/>
      <c r="AJ126" s="531"/>
      <c r="AW126" s="517"/>
      <c r="AX126" s="527"/>
      <c r="AY126" s="529"/>
      <c r="BT126" s="527"/>
      <c r="BU126" s="529"/>
      <c r="CG126" s="516"/>
      <c r="CO126" s="517"/>
      <c r="CP126" s="528"/>
      <c r="CQ126" s="528"/>
      <c r="CR126" s="516"/>
      <c r="CZ126" s="517"/>
      <c r="DL126" s="527"/>
      <c r="DM126" s="529"/>
      <c r="DY126" s="516"/>
      <c r="EG126" s="517"/>
      <c r="EH126" s="528"/>
      <c r="EI126" s="528"/>
      <c r="EJ126" s="516"/>
      <c r="ER126" s="517"/>
      <c r="FD126" s="527"/>
      <c r="FE126" s="529"/>
      <c r="FQ126" s="516"/>
      <c r="FY126" s="517"/>
      <c r="FZ126" s="528"/>
      <c r="GA126" s="529"/>
      <c r="HO126" s="532"/>
      <c r="HP126" s="532"/>
      <c r="HQ126" s="532"/>
      <c r="HR126" s="532"/>
      <c r="HS126" s="532"/>
      <c r="HT126" s="532"/>
      <c r="HU126" s="532"/>
      <c r="HV126" s="532"/>
      <c r="HW126" s="532"/>
      <c r="HX126" s="532"/>
      <c r="HY126" s="532"/>
      <c r="HZ126" s="532"/>
      <c r="IA126" s="532"/>
      <c r="IB126" s="532"/>
      <c r="IC126" s="531"/>
      <c r="ID126" s="530"/>
      <c r="IE126" s="532"/>
      <c r="IF126" s="532"/>
      <c r="IG126" s="531"/>
      <c r="IH126" s="530"/>
      <c r="II126" s="532"/>
      <c r="IJ126" s="532"/>
      <c r="IK126" s="532"/>
      <c r="IL126" s="532"/>
      <c r="IM126" s="532"/>
      <c r="IN126" s="532"/>
      <c r="IO126" s="532"/>
      <c r="IP126" s="532"/>
      <c r="IQ126" s="532"/>
      <c r="IR126" s="532"/>
      <c r="IS126" s="532"/>
      <c r="IT126" s="532"/>
      <c r="IU126" s="532"/>
      <c r="IV126" s="532"/>
      <c r="JL126" s="2612"/>
      <c r="JM126" s="2612"/>
      <c r="JN126" s="2612"/>
      <c r="JO126" s="2612"/>
      <c r="JP126" s="2612"/>
      <c r="JQ126" s="2612"/>
      <c r="JR126" s="2612"/>
      <c r="JS126" s="2612"/>
      <c r="JT126" s="2612"/>
      <c r="JU126" s="2612"/>
      <c r="JV126" s="2612"/>
      <c r="JW126" s="2612"/>
      <c r="JX126" s="2612"/>
      <c r="JY126" s="2612"/>
      <c r="JZ126" s="2612"/>
      <c r="KA126" s="2612"/>
      <c r="KB126" s="2612"/>
      <c r="KC126" s="2612"/>
      <c r="KD126" s="2612"/>
      <c r="KE126" s="2612"/>
      <c r="KF126" s="2612"/>
      <c r="KG126" s="2612"/>
    </row>
    <row r="127" spans="30:293" ht="4.1500000000000004" customHeight="1">
      <c r="AD127" s="516"/>
      <c r="AF127" s="516"/>
      <c r="AX127" s="514"/>
      <c r="AY127" s="514"/>
      <c r="AZ127" s="514"/>
      <c r="BA127" s="514"/>
      <c r="BB127" s="514"/>
      <c r="BC127" s="514"/>
      <c r="BD127" s="514"/>
      <c r="BE127" s="514"/>
      <c r="BF127" s="514"/>
      <c r="BG127" s="514"/>
      <c r="BH127" s="514"/>
      <c r="BI127" s="514"/>
      <c r="BJ127" s="514"/>
      <c r="BK127" s="514"/>
      <c r="BL127" s="514"/>
      <c r="BM127" s="514"/>
      <c r="BN127" s="514"/>
      <c r="BO127" s="514"/>
      <c r="BP127" s="514"/>
      <c r="BQ127" s="514"/>
      <c r="BR127" s="514"/>
      <c r="BS127" s="514"/>
      <c r="BT127" s="514"/>
      <c r="BU127" s="514"/>
      <c r="BV127" s="514"/>
      <c r="BW127" s="514"/>
      <c r="BX127" s="514"/>
      <c r="BY127" s="514"/>
      <c r="BZ127" s="514"/>
      <c r="CA127" s="514"/>
      <c r="CB127" s="514"/>
      <c r="CC127" s="514"/>
      <c r="CD127" s="514"/>
      <c r="CE127" s="514"/>
      <c r="CF127" s="514"/>
      <c r="CP127" s="514"/>
      <c r="CQ127" s="514"/>
      <c r="DA127" s="514"/>
      <c r="DB127" s="514"/>
      <c r="DC127" s="514"/>
      <c r="DD127" s="514"/>
      <c r="DE127" s="514"/>
      <c r="DF127" s="514"/>
      <c r="DG127" s="514"/>
      <c r="DH127" s="514"/>
      <c r="DI127" s="514"/>
      <c r="DJ127" s="514"/>
      <c r="DK127" s="514"/>
      <c r="DL127" s="514"/>
      <c r="DM127" s="514"/>
      <c r="DN127" s="514"/>
      <c r="DO127" s="514"/>
      <c r="DP127" s="514"/>
      <c r="DQ127" s="514"/>
      <c r="DR127" s="514"/>
      <c r="DS127" s="514"/>
      <c r="DT127" s="514"/>
      <c r="DU127" s="514"/>
      <c r="DV127" s="514"/>
      <c r="DW127" s="514"/>
      <c r="DX127" s="514"/>
      <c r="EH127" s="514"/>
      <c r="EI127" s="514"/>
      <c r="ES127" s="514"/>
      <c r="ET127" s="514"/>
      <c r="EU127" s="514"/>
      <c r="EV127" s="514"/>
      <c r="EW127" s="514"/>
      <c r="EX127" s="514"/>
      <c r="EY127" s="514"/>
      <c r="EZ127" s="514"/>
      <c r="FA127" s="514"/>
      <c r="FB127" s="514"/>
      <c r="FC127" s="514"/>
      <c r="FD127" s="514"/>
      <c r="FE127" s="514"/>
      <c r="FF127" s="514"/>
      <c r="FG127" s="514"/>
      <c r="FH127" s="514"/>
      <c r="FI127" s="514"/>
      <c r="FJ127" s="514"/>
      <c r="FK127" s="514"/>
      <c r="FL127" s="514"/>
      <c r="FM127" s="514"/>
      <c r="FN127" s="514"/>
      <c r="FO127" s="514"/>
      <c r="FP127" s="514"/>
      <c r="FY127" s="517"/>
      <c r="GA127" s="1612"/>
      <c r="HI127" s="514"/>
      <c r="HJ127" s="514"/>
      <c r="HK127" s="515"/>
      <c r="HL127" s="514"/>
      <c r="HM127" s="514"/>
      <c r="HN127" s="514"/>
      <c r="HO127" s="514"/>
      <c r="ID127" s="516"/>
      <c r="IG127" s="517"/>
      <c r="IW127" s="514"/>
      <c r="IX127" s="514"/>
      <c r="IY127" s="514"/>
      <c r="IZ127" s="514"/>
      <c r="JA127" s="515"/>
      <c r="JB127" s="514"/>
      <c r="JC127" s="514"/>
      <c r="JD127" s="514"/>
      <c r="JE127" s="514"/>
      <c r="JF127" s="514"/>
      <c r="JL127" s="2612"/>
      <c r="JM127" s="2612"/>
      <c r="JN127" s="2612"/>
      <c r="JO127" s="2612"/>
      <c r="JP127" s="2612"/>
      <c r="JQ127" s="2612"/>
      <c r="JR127" s="2612"/>
      <c r="JS127" s="2612"/>
      <c r="JT127" s="2612"/>
      <c r="JU127" s="2612"/>
      <c r="JV127" s="2612"/>
      <c r="JW127" s="2612"/>
      <c r="JX127" s="2612"/>
      <c r="JY127" s="2612"/>
      <c r="JZ127" s="2612"/>
      <c r="KA127" s="2612"/>
      <c r="KB127" s="2612"/>
      <c r="KC127" s="2612"/>
      <c r="KD127" s="2612"/>
      <c r="KE127" s="2612"/>
      <c r="KF127" s="2612"/>
      <c r="KG127" s="2612"/>
    </row>
    <row r="128" spans="30:293" ht="4.1500000000000004" customHeight="1">
      <c r="AD128" s="516"/>
      <c r="AF128" s="516"/>
      <c r="FY128" s="517"/>
      <c r="GA128" s="1612"/>
      <c r="HK128" s="516"/>
      <c r="ID128" s="2629">
        <v>0.25</v>
      </c>
      <c r="IE128" s="2630"/>
      <c r="IF128" s="2630"/>
      <c r="IG128" s="2631"/>
      <c r="JA128" s="516"/>
    </row>
    <row r="129" spans="30:266" ht="4.1500000000000004" customHeight="1">
      <c r="AD129" s="516"/>
      <c r="AF129" s="516"/>
      <c r="FY129" s="517"/>
      <c r="GA129" s="1612"/>
      <c r="HK129" s="516"/>
      <c r="ID129" s="2629"/>
      <c r="IE129" s="2630"/>
      <c r="IF129" s="2630"/>
      <c r="IG129" s="2631"/>
      <c r="IV129" s="2638">
        <v>0.3</v>
      </c>
      <c r="IW129" s="2638"/>
      <c r="IX129" s="2638"/>
      <c r="IY129" s="2638"/>
      <c r="IZ129" s="2638"/>
      <c r="JA129" s="2638"/>
      <c r="JB129" s="2638"/>
      <c r="JC129" s="2638"/>
      <c r="JD129" s="2638"/>
      <c r="JE129" s="2638"/>
      <c r="JF129" s="2638"/>
    </row>
    <row r="130" spans="30:266" ht="4.1500000000000004" customHeight="1">
      <c r="AD130" s="516"/>
      <c r="AF130" s="516"/>
      <c r="BA130" s="1599"/>
      <c r="BB130" s="1600"/>
      <c r="BC130" s="1600"/>
      <c r="BD130" s="1600"/>
      <c r="BE130" s="1600"/>
      <c r="BF130" s="1600"/>
      <c r="BG130" s="1600"/>
      <c r="BH130" s="1600"/>
      <c r="BI130" s="1600"/>
      <c r="BJ130" s="1600"/>
      <c r="BK130" s="1600"/>
      <c r="BL130" s="1600"/>
      <c r="BM130" s="1600"/>
      <c r="BN130" s="1600"/>
      <c r="BO130" s="1600"/>
      <c r="BP130" s="1600"/>
      <c r="BQ130" s="1600"/>
      <c r="BR130" s="1600"/>
      <c r="BS130" s="1600"/>
      <c r="BT130" s="1600"/>
      <c r="BU130" s="1600"/>
      <c r="BV130" s="1600"/>
      <c r="BW130" s="1600"/>
      <c r="FY130" s="517"/>
      <c r="GA130" s="1612"/>
      <c r="HK130" s="516"/>
      <c r="ID130" s="2629"/>
      <c r="IE130" s="2630"/>
      <c r="IF130" s="2630"/>
      <c r="IG130" s="2631"/>
      <c r="IV130" s="2638"/>
      <c r="IW130" s="2638"/>
      <c r="IX130" s="2638"/>
      <c r="IY130" s="2638"/>
      <c r="IZ130" s="2638"/>
      <c r="JA130" s="2638"/>
      <c r="JB130" s="2638"/>
      <c r="JC130" s="2638"/>
      <c r="JD130" s="2638"/>
      <c r="JE130" s="2638"/>
      <c r="JF130" s="2638"/>
    </row>
    <row r="131" spans="30:266" ht="4.1500000000000004" customHeight="1">
      <c r="AD131" s="516"/>
      <c r="AF131" s="516"/>
      <c r="BA131" s="1600"/>
      <c r="BB131" s="1600"/>
      <c r="BC131" s="1600"/>
      <c r="BD131" s="1600"/>
      <c r="BE131" s="1600"/>
      <c r="BF131" s="1600"/>
      <c r="BG131" s="1600"/>
      <c r="BH131" s="1600"/>
      <c r="BI131" s="1600"/>
      <c r="BJ131" s="1600"/>
      <c r="BK131" s="1600"/>
      <c r="BL131" s="1600"/>
      <c r="BM131" s="1600"/>
      <c r="BN131" s="1600"/>
      <c r="BO131" s="1600"/>
      <c r="BP131" s="1600"/>
      <c r="BQ131" s="1600"/>
      <c r="BR131" s="1600"/>
      <c r="BS131" s="1600"/>
      <c r="BT131" s="1600"/>
      <c r="BU131" s="1600"/>
      <c r="BV131" s="1600"/>
      <c r="BW131" s="1600"/>
      <c r="CS131" s="2642" t="s">
        <v>3604</v>
      </c>
      <c r="CT131" s="2642"/>
      <c r="CU131" s="2642"/>
      <c r="CV131" s="2642"/>
      <c r="CW131" s="2642"/>
      <c r="CX131" s="2642"/>
      <c r="CY131" s="2642"/>
      <c r="CZ131" s="2642"/>
      <c r="DA131" s="2642"/>
      <c r="DB131" s="2642"/>
      <c r="DC131" s="2642"/>
      <c r="DD131" s="2642"/>
      <c r="DE131" s="2642"/>
      <c r="DF131" s="2642"/>
      <c r="DG131" s="2642"/>
      <c r="DH131" s="2642"/>
      <c r="DI131" s="2642"/>
      <c r="DJ131" s="2642"/>
      <c r="DK131" s="2642"/>
      <c r="DL131" s="2642"/>
      <c r="DM131" s="2642"/>
      <c r="DN131" s="2642"/>
      <c r="DO131" s="2642"/>
      <c r="DP131" s="2642"/>
      <c r="DQ131" s="2642"/>
      <c r="DR131" s="2642"/>
      <c r="DS131" s="2642"/>
      <c r="DT131" s="2642"/>
      <c r="DU131" s="2642"/>
      <c r="DV131" s="2642"/>
      <c r="DW131" s="2642"/>
      <c r="DX131" s="2642"/>
      <c r="DY131" s="2642"/>
      <c r="DZ131" s="2642"/>
      <c r="EA131" s="2642"/>
      <c r="EB131" s="2642"/>
      <c r="EC131" s="2642"/>
      <c r="ED131" s="2642"/>
      <c r="EE131" s="2642"/>
      <c r="EF131" s="2642"/>
      <c r="EG131" s="2642"/>
      <c r="EH131" s="2642"/>
      <c r="EI131" s="2642"/>
      <c r="EJ131" s="2642"/>
      <c r="EK131" s="2642"/>
      <c r="EL131" s="2642"/>
      <c r="EM131" s="2642"/>
      <c r="FY131" s="517"/>
      <c r="GA131" s="1612"/>
      <c r="HK131" s="516"/>
      <c r="ID131" s="2629"/>
      <c r="IE131" s="2630"/>
      <c r="IF131" s="2630"/>
      <c r="IG131" s="2631"/>
      <c r="IV131" s="2638"/>
      <c r="IW131" s="2638"/>
      <c r="IX131" s="2638"/>
      <c r="IY131" s="2638"/>
      <c r="IZ131" s="2638"/>
      <c r="JA131" s="2638"/>
      <c r="JB131" s="2638"/>
      <c r="JC131" s="2638"/>
      <c r="JD131" s="2638"/>
      <c r="JE131" s="2638"/>
      <c r="JF131" s="2638"/>
    </row>
    <row r="132" spans="30:266" ht="4.1500000000000004" customHeight="1">
      <c r="AD132" s="516"/>
      <c r="AF132" s="516"/>
      <c r="BA132" s="1600"/>
      <c r="BB132" s="1600"/>
      <c r="BC132" s="1600"/>
      <c r="BD132" s="1600"/>
      <c r="BE132" s="1600"/>
      <c r="BF132" s="1600"/>
      <c r="BG132" s="1600"/>
      <c r="BH132" s="1600"/>
      <c r="BI132" s="1600"/>
      <c r="BJ132" s="1600"/>
      <c r="BK132" s="1600"/>
      <c r="BL132" s="1600"/>
      <c r="BM132" s="1600"/>
      <c r="BN132" s="1600"/>
      <c r="BO132" s="1600"/>
      <c r="BP132" s="1600"/>
      <c r="BQ132" s="1600"/>
      <c r="BR132" s="1600"/>
      <c r="BS132" s="1600"/>
      <c r="BT132" s="1600"/>
      <c r="BU132" s="1600"/>
      <c r="BV132" s="1600"/>
      <c r="BW132" s="1600"/>
      <c r="CS132" s="2642"/>
      <c r="CT132" s="2642"/>
      <c r="CU132" s="2642"/>
      <c r="CV132" s="2642"/>
      <c r="CW132" s="2642"/>
      <c r="CX132" s="2642"/>
      <c r="CY132" s="2642"/>
      <c r="CZ132" s="2642"/>
      <c r="DA132" s="2642"/>
      <c r="DB132" s="2642"/>
      <c r="DC132" s="2642"/>
      <c r="DD132" s="2642"/>
      <c r="DE132" s="2642"/>
      <c r="DF132" s="2642"/>
      <c r="DG132" s="2642"/>
      <c r="DH132" s="2642"/>
      <c r="DI132" s="2642"/>
      <c r="DJ132" s="2642"/>
      <c r="DK132" s="2642"/>
      <c r="DL132" s="2642"/>
      <c r="DM132" s="2642"/>
      <c r="DN132" s="2642"/>
      <c r="DO132" s="2642"/>
      <c r="DP132" s="2642"/>
      <c r="DQ132" s="2642"/>
      <c r="DR132" s="2642"/>
      <c r="DS132" s="2642"/>
      <c r="DT132" s="2642"/>
      <c r="DU132" s="2642"/>
      <c r="DV132" s="2642"/>
      <c r="DW132" s="2642"/>
      <c r="DX132" s="2642"/>
      <c r="DY132" s="2642"/>
      <c r="DZ132" s="2642"/>
      <c r="EA132" s="2642"/>
      <c r="EB132" s="2642"/>
      <c r="EC132" s="2642"/>
      <c r="ED132" s="2642"/>
      <c r="EE132" s="2642"/>
      <c r="EF132" s="2642"/>
      <c r="EG132" s="2642"/>
      <c r="EH132" s="2642"/>
      <c r="EI132" s="2642"/>
      <c r="EJ132" s="2642"/>
      <c r="EK132" s="2642"/>
      <c r="EL132" s="2642"/>
      <c r="EM132" s="2642"/>
      <c r="FY132" s="517"/>
      <c r="GA132" s="1612"/>
      <c r="HK132" s="516"/>
      <c r="ID132" s="2629"/>
      <c r="IE132" s="2630"/>
      <c r="IF132" s="2630"/>
      <c r="IG132" s="2631"/>
      <c r="JA132" s="516"/>
    </row>
    <row r="133" spans="30:266" ht="4.1500000000000004" customHeight="1">
      <c r="AD133" s="516"/>
      <c r="AF133" s="516"/>
      <c r="BA133" s="1600"/>
      <c r="BB133" s="1600"/>
      <c r="BC133" s="1600"/>
      <c r="BD133" s="1600"/>
      <c r="BE133" s="1600"/>
      <c r="BF133" s="1600"/>
      <c r="BG133" s="1600"/>
      <c r="BH133" s="1600"/>
      <c r="BI133" s="1600"/>
      <c r="BJ133" s="1600"/>
      <c r="BK133" s="1600"/>
      <c r="BL133" s="1600"/>
      <c r="BM133" s="1600"/>
      <c r="BN133" s="1600"/>
      <c r="BO133" s="1600"/>
      <c r="BP133" s="1600"/>
      <c r="BQ133" s="1600"/>
      <c r="BR133" s="1600"/>
      <c r="BS133" s="1600"/>
      <c r="BT133" s="1600"/>
      <c r="BU133" s="1600"/>
      <c r="BV133" s="1600"/>
      <c r="BW133" s="1600"/>
      <c r="CS133" s="2642"/>
      <c r="CT133" s="2642"/>
      <c r="CU133" s="2642"/>
      <c r="CV133" s="2642"/>
      <c r="CW133" s="2642"/>
      <c r="CX133" s="2642"/>
      <c r="CY133" s="2642"/>
      <c r="CZ133" s="2642"/>
      <c r="DA133" s="2642"/>
      <c r="DB133" s="2642"/>
      <c r="DC133" s="2642"/>
      <c r="DD133" s="2642"/>
      <c r="DE133" s="2642"/>
      <c r="DF133" s="2642"/>
      <c r="DG133" s="2642"/>
      <c r="DH133" s="2642"/>
      <c r="DI133" s="2642"/>
      <c r="DJ133" s="2642"/>
      <c r="DK133" s="2642"/>
      <c r="DL133" s="2642"/>
      <c r="DM133" s="2642"/>
      <c r="DN133" s="2642"/>
      <c r="DO133" s="2642"/>
      <c r="DP133" s="2642"/>
      <c r="DQ133" s="2642"/>
      <c r="DR133" s="2642"/>
      <c r="DS133" s="2642"/>
      <c r="DT133" s="2642"/>
      <c r="DU133" s="2642"/>
      <c r="DV133" s="2642"/>
      <c r="DW133" s="2642"/>
      <c r="DX133" s="2642"/>
      <c r="DY133" s="2642"/>
      <c r="DZ133" s="2642"/>
      <c r="EA133" s="2642"/>
      <c r="EB133" s="2642"/>
      <c r="EC133" s="2642"/>
      <c r="ED133" s="2642"/>
      <c r="EE133" s="2642"/>
      <c r="EF133" s="2642"/>
      <c r="EG133" s="2642"/>
      <c r="EH133" s="2642"/>
      <c r="EI133" s="2642"/>
      <c r="EJ133" s="2642"/>
      <c r="EK133" s="2642"/>
      <c r="EL133" s="2642"/>
      <c r="EM133" s="2642"/>
      <c r="FY133" s="517"/>
      <c r="GA133" s="1612"/>
      <c r="HK133" s="516"/>
      <c r="ID133" s="2632"/>
      <c r="IE133" s="2633"/>
      <c r="IF133" s="2633"/>
      <c r="IG133" s="2634"/>
      <c r="JA133" s="516"/>
    </row>
    <row r="134" spans="30:266" ht="4.1500000000000004" customHeight="1">
      <c r="AD134" s="516"/>
      <c r="AF134" s="516"/>
      <c r="BA134" s="1508"/>
      <c r="BB134" s="1508"/>
      <c r="BC134" s="1508"/>
      <c r="BD134" s="1508"/>
      <c r="BE134" s="1508"/>
      <c r="BF134" s="1508"/>
      <c r="BG134" s="1508"/>
      <c r="BH134" s="1508"/>
      <c r="BI134" s="1508"/>
      <c r="BJ134" s="1508"/>
      <c r="BK134" s="1508"/>
      <c r="BL134" s="1508"/>
      <c r="BM134" s="1508"/>
      <c r="BN134" s="1508"/>
      <c r="BO134" s="1508"/>
      <c r="BP134" s="1508"/>
      <c r="BQ134" s="1508"/>
      <c r="BR134" s="1508"/>
      <c r="BS134" s="1508"/>
      <c r="BT134" s="1508"/>
      <c r="BU134" s="1508"/>
      <c r="BV134" s="1508"/>
      <c r="BW134" s="1508"/>
      <c r="FY134" s="517"/>
      <c r="GA134" s="1612"/>
      <c r="HK134" s="516"/>
      <c r="HR134" s="2619"/>
      <c r="HS134" s="2619"/>
      <c r="HT134" s="2619"/>
      <c r="HU134" s="2619"/>
      <c r="HV134" s="2619"/>
      <c r="HW134" s="2619"/>
      <c r="HX134" s="2619"/>
      <c r="HY134" s="2619"/>
      <c r="HZ134" s="2619"/>
      <c r="IA134" s="2619"/>
      <c r="IB134" s="2619"/>
      <c r="IC134" s="2643">
        <v>0.3</v>
      </c>
      <c r="ID134" s="2643"/>
      <c r="IE134" s="2643"/>
      <c r="IF134" s="2643"/>
      <c r="IG134" s="2643"/>
      <c r="IH134" s="2643"/>
      <c r="II134" s="2644"/>
      <c r="IJ134" s="2644"/>
      <c r="IK134" s="2644"/>
      <c r="IL134" s="2644"/>
      <c r="IM134" s="2644"/>
      <c r="IN134" s="2644"/>
      <c r="IO134" s="2644"/>
      <c r="IP134" s="2644"/>
      <c r="IQ134" s="2644"/>
      <c r="IR134" s="2644"/>
      <c r="IS134" s="2644"/>
      <c r="IV134" s="514"/>
      <c r="IW134" s="514"/>
      <c r="IX134" s="514"/>
      <c r="IY134" s="514"/>
      <c r="IZ134" s="514"/>
      <c r="JA134" s="515"/>
      <c r="JB134" s="514"/>
      <c r="JC134" s="514"/>
      <c r="JD134" s="514"/>
      <c r="JE134" s="514"/>
      <c r="JF134" s="514"/>
    </row>
    <row r="135" spans="30:266" ht="4.1500000000000004" customHeight="1">
      <c r="AD135" s="516"/>
      <c r="AF135" s="516"/>
      <c r="BA135" s="1508"/>
      <c r="BB135" s="1508"/>
      <c r="BC135" s="1508"/>
      <c r="BD135" s="1508"/>
      <c r="BE135" s="1508"/>
      <c r="BF135" s="1508"/>
      <c r="BG135" s="1508"/>
      <c r="BH135" s="1508"/>
      <c r="BI135" s="1508"/>
      <c r="BJ135" s="1508"/>
      <c r="BK135" s="1508"/>
      <c r="BL135" s="1508"/>
      <c r="BM135" s="1508"/>
      <c r="BN135" s="1508"/>
      <c r="BO135" s="1508"/>
      <c r="BP135" s="1508"/>
      <c r="BQ135" s="1508"/>
      <c r="BR135" s="1508"/>
      <c r="BS135" s="1508"/>
      <c r="BT135" s="1508"/>
      <c r="BU135" s="1508"/>
      <c r="BV135" s="1508"/>
      <c r="BW135" s="1508"/>
      <c r="FY135" s="517"/>
      <c r="GA135" s="1612"/>
      <c r="HK135" s="516"/>
      <c r="HR135" s="2619"/>
      <c r="HS135" s="2619"/>
      <c r="HT135" s="2619"/>
      <c r="HU135" s="2619"/>
      <c r="HV135" s="2619"/>
      <c r="HW135" s="2619"/>
      <c r="HX135" s="2619"/>
      <c r="HY135" s="2619"/>
      <c r="HZ135" s="2619"/>
      <c r="IA135" s="2619"/>
      <c r="IB135" s="2619"/>
      <c r="IC135" s="2600"/>
      <c r="ID135" s="2600"/>
      <c r="IE135" s="2600"/>
      <c r="IF135" s="2600"/>
      <c r="IG135" s="2600"/>
      <c r="IH135" s="2600"/>
      <c r="II135" s="2644"/>
      <c r="IJ135" s="2644"/>
      <c r="IK135" s="2644"/>
      <c r="IL135" s="2644"/>
      <c r="IM135" s="2644"/>
      <c r="IN135" s="2644"/>
      <c r="IO135" s="2644"/>
      <c r="IP135" s="2644"/>
      <c r="IQ135" s="2644"/>
      <c r="IR135" s="2644"/>
      <c r="IS135" s="2644"/>
      <c r="JA135" s="516"/>
    </row>
    <row r="136" spans="30:266" ht="4.1500000000000004" customHeight="1">
      <c r="AD136" s="516"/>
      <c r="AF136" s="516"/>
      <c r="BA136" s="1599"/>
      <c r="BB136" s="1600"/>
      <c r="BC136" s="1600"/>
      <c r="BD136" s="1600"/>
      <c r="BE136" s="1600"/>
      <c r="BF136" s="1600"/>
      <c r="BG136" s="1600"/>
      <c r="BH136" s="1600"/>
      <c r="BI136" s="1600"/>
      <c r="BJ136" s="1600"/>
      <c r="BK136" s="1600"/>
      <c r="BL136" s="1600"/>
      <c r="BM136" s="1600"/>
      <c r="BN136" s="1600"/>
      <c r="BO136" s="1600"/>
      <c r="BP136" s="1600"/>
      <c r="BQ136" s="1600"/>
      <c r="BR136" s="1600"/>
      <c r="BS136" s="1600"/>
      <c r="BT136" s="1600"/>
      <c r="BU136" s="1600"/>
      <c r="BV136" s="1600"/>
      <c r="BW136" s="1600"/>
      <c r="FY136" s="517"/>
      <c r="GA136" s="1612"/>
      <c r="HJ136" s="2646">
        <f>IV129+IV136+IV143+IV148+IV151</f>
        <v>1.1999999999999997</v>
      </c>
      <c r="HK136" s="2646"/>
      <c r="HL136" s="2646"/>
      <c r="HM136" s="2646"/>
      <c r="HR136" s="2619"/>
      <c r="HS136" s="2619"/>
      <c r="HT136" s="2619"/>
      <c r="HU136" s="2619"/>
      <c r="HV136" s="2619"/>
      <c r="HW136" s="2619"/>
      <c r="HX136" s="2619"/>
      <c r="HY136" s="2619"/>
      <c r="HZ136" s="2619"/>
      <c r="IA136" s="2619"/>
      <c r="IB136" s="2619"/>
      <c r="IC136" s="2600"/>
      <c r="ID136" s="2600"/>
      <c r="IE136" s="2600"/>
      <c r="IF136" s="2600"/>
      <c r="IG136" s="2600"/>
      <c r="IH136" s="2600"/>
      <c r="II136" s="2644"/>
      <c r="IJ136" s="2644"/>
      <c r="IK136" s="2644"/>
      <c r="IL136" s="2644"/>
      <c r="IM136" s="2644"/>
      <c r="IN136" s="2644"/>
      <c r="IO136" s="2644"/>
      <c r="IP136" s="2644"/>
      <c r="IQ136" s="2644"/>
      <c r="IR136" s="2644"/>
      <c r="IS136" s="2644"/>
      <c r="IV136" s="2638">
        <v>0.3</v>
      </c>
      <c r="IW136" s="2638"/>
      <c r="IX136" s="2638"/>
      <c r="IY136" s="2638"/>
      <c r="IZ136" s="2638"/>
      <c r="JA136" s="2638"/>
      <c r="JB136" s="2638"/>
      <c r="JC136" s="2638"/>
      <c r="JD136" s="2638"/>
      <c r="JE136" s="2638"/>
      <c r="JF136" s="2638"/>
    </row>
    <row r="137" spans="30:266" ht="4.1500000000000004" customHeight="1">
      <c r="AD137" s="516"/>
      <c r="AF137" s="516"/>
      <c r="BA137" s="1600"/>
      <c r="BB137" s="1600"/>
      <c r="BC137" s="1600"/>
      <c r="BD137" s="1600"/>
      <c r="BE137" s="1600"/>
      <c r="BF137" s="1600"/>
      <c r="BG137" s="1600"/>
      <c r="BH137" s="1600"/>
      <c r="BI137" s="1600"/>
      <c r="BJ137" s="1600"/>
      <c r="BK137" s="1600"/>
      <c r="BL137" s="1600"/>
      <c r="BM137" s="1600"/>
      <c r="BN137" s="1600"/>
      <c r="BO137" s="1600"/>
      <c r="BP137" s="1600"/>
      <c r="BQ137" s="1600"/>
      <c r="BR137" s="1600"/>
      <c r="BS137" s="1600"/>
      <c r="BT137" s="1600"/>
      <c r="BU137" s="1600"/>
      <c r="BV137" s="1600"/>
      <c r="BW137" s="1600"/>
      <c r="FY137" s="517"/>
      <c r="GA137" s="1612"/>
      <c r="HJ137" s="2646"/>
      <c r="HK137" s="2646"/>
      <c r="HL137" s="2646"/>
      <c r="HM137" s="2646"/>
      <c r="HR137" s="2619"/>
      <c r="HS137" s="2619"/>
      <c r="HT137" s="2619"/>
      <c r="HU137" s="2619"/>
      <c r="HV137" s="2619"/>
      <c r="HW137" s="2619"/>
      <c r="HX137" s="2619"/>
      <c r="HY137" s="2619"/>
      <c r="HZ137" s="2619"/>
      <c r="IA137" s="2619"/>
      <c r="IB137" s="2619"/>
      <c r="II137" s="2644"/>
      <c r="IJ137" s="2644"/>
      <c r="IK137" s="2644"/>
      <c r="IL137" s="2644"/>
      <c r="IM137" s="2644"/>
      <c r="IN137" s="2644"/>
      <c r="IO137" s="2644"/>
      <c r="IP137" s="2644"/>
      <c r="IQ137" s="2644"/>
      <c r="IR137" s="2644"/>
      <c r="IS137" s="2644"/>
      <c r="IV137" s="2638"/>
      <c r="IW137" s="2638"/>
      <c r="IX137" s="2638"/>
      <c r="IY137" s="2638"/>
      <c r="IZ137" s="2638"/>
      <c r="JA137" s="2638"/>
      <c r="JB137" s="2638"/>
      <c r="JC137" s="2638"/>
      <c r="JD137" s="2638"/>
      <c r="JE137" s="2638"/>
      <c r="JF137" s="2638"/>
    </row>
    <row r="138" spans="30:266" ht="4.1500000000000004" customHeight="1">
      <c r="AD138" s="516"/>
      <c r="AF138" s="516"/>
      <c r="AX138" s="532"/>
      <c r="AY138" s="532"/>
      <c r="AZ138" s="532"/>
      <c r="BA138" s="1603"/>
      <c r="BB138" s="1603"/>
      <c r="BC138" s="1603"/>
      <c r="BD138" s="1603"/>
      <c r="BE138" s="1603"/>
      <c r="BF138" s="1603"/>
      <c r="BG138" s="1603"/>
      <c r="BH138" s="1603"/>
      <c r="BI138" s="1603"/>
      <c r="BJ138" s="1603"/>
      <c r="BK138" s="1603"/>
      <c r="BL138" s="1603"/>
      <c r="BM138" s="1603"/>
      <c r="BN138" s="1603"/>
      <c r="BO138" s="1603"/>
      <c r="BP138" s="1603"/>
      <c r="BQ138" s="1603"/>
      <c r="BR138" s="1603"/>
      <c r="BS138" s="1603"/>
      <c r="BT138" s="1603"/>
      <c r="BU138" s="1603"/>
      <c r="BV138" s="1603"/>
      <c r="BW138" s="1603"/>
      <c r="BX138" s="532"/>
      <c r="BY138" s="532"/>
      <c r="BZ138" s="532"/>
      <c r="CA138" s="532"/>
      <c r="CB138" s="532"/>
      <c r="CC138" s="532"/>
      <c r="CD138" s="532"/>
      <c r="CE138" s="532"/>
      <c r="CF138" s="532"/>
      <c r="CG138" s="532"/>
      <c r="CH138" s="532"/>
      <c r="CI138" s="532"/>
      <c r="CJ138" s="532"/>
      <c r="CK138" s="532"/>
      <c r="CL138" s="532"/>
      <c r="CM138" s="532"/>
      <c r="CN138" s="532"/>
      <c r="CO138" s="532"/>
      <c r="CP138" s="532"/>
      <c r="CQ138" s="532"/>
      <c r="DA138" s="532"/>
      <c r="DB138" s="532"/>
      <c r="DC138" s="532"/>
      <c r="DD138" s="532"/>
      <c r="DE138" s="532"/>
      <c r="DF138" s="532"/>
      <c r="DG138" s="532"/>
      <c r="DH138" s="532"/>
      <c r="DI138" s="532"/>
      <c r="DJ138" s="532"/>
      <c r="DK138" s="532"/>
      <c r="DL138" s="532"/>
      <c r="DM138" s="532"/>
      <c r="DN138" s="532"/>
      <c r="DO138" s="532"/>
      <c r="DP138" s="532"/>
      <c r="DQ138" s="532"/>
      <c r="DR138" s="532"/>
      <c r="DS138" s="532"/>
      <c r="DT138" s="532"/>
      <c r="DU138" s="532"/>
      <c r="DV138" s="532"/>
      <c r="DW138" s="532"/>
      <c r="DX138" s="532"/>
      <c r="EH138" s="532"/>
      <c r="EI138" s="532"/>
      <c r="EJ138" s="532"/>
      <c r="EK138" s="532"/>
      <c r="EL138" s="532"/>
      <c r="EM138" s="532"/>
      <c r="EN138" s="532"/>
      <c r="EO138" s="532"/>
      <c r="EP138" s="532"/>
      <c r="EQ138" s="532"/>
      <c r="ER138" s="532"/>
      <c r="ES138" s="532"/>
      <c r="ET138" s="532"/>
      <c r="EU138" s="532"/>
      <c r="EV138" s="532"/>
      <c r="EW138" s="532"/>
      <c r="EX138" s="532"/>
      <c r="EY138" s="532"/>
      <c r="EZ138" s="532"/>
      <c r="FA138" s="532"/>
      <c r="FB138" s="532"/>
      <c r="FC138" s="532"/>
      <c r="FD138" s="532"/>
      <c r="FE138" s="532"/>
      <c r="FF138" s="532"/>
      <c r="FG138" s="532"/>
      <c r="FH138" s="532"/>
      <c r="FI138" s="532"/>
      <c r="FJ138" s="532"/>
      <c r="FK138" s="532"/>
      <c r="FL138" s="532"/>
      <c r="FM138" s="532"/>
      <c r="FN138" s="532"/>
      <c r="FO138" s="532"/>
      <c r="FP138" s="532"/>
      <c r="FQ138" s="532"/>
      <c r="FR138" s="532"/>
      <c r="FS138" s="532"/>
      <c r="FT138" s="532"/>
      <c r="FU138" s="532"/>
      <c r="FV138" s="532"/>
      <c r="FW138" s="532"/>
      <c r="FX138" s="532"/>
      <c r="FY138" s="531"/>
      <c r="GA138" s="1612"/>
      <c r="HJ138" s="2646"/>
      <c r="HK138" s="2646"/>
      <c r="HL138" s="2646"/>
      <c r="HM138" s="2646"/>
      <c r="HR138" s="2619"/>
      <c r="HS138" s="2619"/>
      <c r="HT138" s="2619"/>
      <c r="HU138" s="2619"/>
      <c r="HV138" s="2619"/>
      <c r="HW138" s="2619"/>
      <c r="HX138" s="2619"/>
      <c r="HY138" s="2619"/>
      <c r="HZ138" s="2619"/>
      <c r="IA138" s="2619"/>
      <c r="IB138" s="2619"/>
      <c r="II138" s="2644"/>
      <c r="IJ138" s="2644"/>
      <c r="IK138" s="2644"/>
      <c r="IL138" s="2644"/>
      <c r="IM138" s="2644"/>
      <c r="IN138" s="2644"/>
      <c r="IO138" s="2644"/>
      <c r="IP138" s="2644"/>
      <c r="IQ138" s="2644"/>
      <c r="IR138" s="2644"/>
      <c r="IS138" s="2644"/>
      <c r="IV138" s="2638"/>
      <c r="IW138" s="2638"/>
      <c r="IX138" s="2638"/>
      <c r="IY138" s="2638"/>
      <c r="IZ138" s="2638"/>
      <c r="JA138" s="2638"/>
      <c r="JB138" s="2638"/>
      <c r="JC138" s="2638"/>
      <c r="JD138" s="2638"/>
      <c r="JE138" s="2638"/>
      <c r="JF138" s="2638"/>
    </row>
    <row r="139" spans="30:266" ht="4.1500000000000004" customHeight="1">
      <c r="AD139" s="519"/>
      <c r="AE139" s="521"/>
      <c r="AF139" s="516"/>
      <c r="AW139" s="517"/>
      <c r="AX139" s="519"/>
      <c r="AY139" s="521"/>
      <c r="BA139" s="1600"/>
      <c r="BB139" s="1600"/>
      <c r="BC139" s="1600"/>
      <c r="BD139" s="1600"/>
      <c r="BE139" s="1600"/>
      <c r="BF139" s="1600"/>
      <c r="BG139" s="1600"/>
      <c r="BH139" s="1600"/>
      <c r="BI139" s="1600"/>
      <c r="BJ139" s="1600"/>
      <c r="BK139" s="1600"/>
      <c r="BL139" s="1600"/>
      <c r="BM139" s="1600"/>
      <c r="BN139" s="1600"/>
      <c r="BO139" s="1600"/>
      <c r="BP139" s="1600"/>
      <c r="BQ139" s="1600"/>
      <c r="BR139" s="1600"/>
      <c r="BS139" s="1600"/>
      <c r="BT139" s="519"/>
      <c r="BU139" s="521"/>
      <c r="BV139" s="1600"/>
      <c r="BW139" s="1600"/>
      <c r="CP139" s="519"/>
      <c r="CQ139" s="521"/>
      <c r="CR139" s="516"/>
      <c r="DA139" s="519"/>
      <c r="DB139" s="521"/>
      <c r="DW139" s="519"/>
      <c r="DX139" s="521"/>
      <c r="DY139" s="516"/>
      <c r="EH139" s="519"/>
      <c r="EI139" s="521"/>
      <c r="EJ139" s="514"/>
      <c r="EK139" s="514"/>
      <c r="FD139" s="519"/>
      <c r="FE139" s="521"/>
      <c r="FZ139" s="519"/>
      <c r="GA139" s="521"/>
      <c r="HJ139" s="2646"/>
      <c r="HK139" s="2646"/>
      <c r="HL139" s="2646"/>
      <c r="HM139" s="2646"/>
      <c r="HR139" s="2619"/>
      <c r="HS139" s="2619"/>
      <c r="HT139" s="2619"/>
      <c r="HU139" s="2619"/>
      <c r="HV139" s="2619"/>
      <c r="HW139" s="2619"/>
      <c r="HX139" s="2619"/>
      <c r="HY139" s="2619"/>
      <c r="HZ139" s="2619"/>
      <c r="IA139" s="2619"/>
      <c r="IB139" s="2619"/>
      <c r="II139" s="2644"/>
      <c r="IJ139" s="2644"/>
      <c r="IK139" s="2644"/>
      <c r="IL139" s="2644"/>
      <c r="IM139" s="2644"/>
      <c r="IN139" s="2644"/>
      <c r="IO139" s="2644"/>
      <c r="IP139" s="2644"/>
      <c r="IQ139" s="2644"/>
      <c r="IR139" s="2644"/>
      <c r="IS139" s="2644"/>
      <c r="JA139" s="516"/>
    </row>
    <row r="140" spans="30:266" ht="4.1500000000000004" customHeight="1">
      <c r="AD140" s="522"/>
      <c r="AE140" s="524"/>
      <c r="AF140" s="516"/>
      <c r="AW140" s="517"/>
      <c r="AX140" s="522"/>
      <c r="AY140" s="524"/>
      <c r="BT140" s="522"/>
      <c r="BU140" s="524"/>
      <c r="CP140" s="522"/>
      <c r="CQ140" s="524"/>
      <c r="CR140" s="516"/>
      <c r="DA140" s="522"/>
      <c r="DB140" s="524"/>
      <c r="DW140" s="522"/>
      <c r="DX140" s="524"/>
      <c r="DY140" s="516"/>
      <c r="EH140" s="522"/>
      <c r="EI140" s="524"/>
      <c r="FD140" s="522"/>
      <c r="FE140" s="524"/>
      <c r="FZ140" s="522"/>
      <c r="GA140" s="524"/>
      <c r="HJ140" s="2646"/>
      <c r="HK140" s="2646"/>
      <c r="HL140" s="2646"/>
      <c r="HM140" s="2646"/>
      <c r="HR140" s="2621"/>
      <c r="HS140" s="2621"/>
      <c r="HT140" s="2621"/>
      <c r="HU140" s="2621"/>
      <c r="HV140" s="2621"/>
      <c r="HW140" s="2621"/>
      <c r="HX140" s="2621"/>
      <c r="HY140" s="2621"/>
      <c r="HZ140" s="2621"/>
      <c r="IA140" s="2621"/>
      <c r="IB140" s="2621"/>
      <c r="IC140" s="532"/>
      <c r="ID140" s="532"/>
      <c r="IE140" s="532"/>
      <c r="IF140" s="532"/>
      <c r="IG140" s="532"/>
      <c r="IH140" s="532"/>
      <c r="II140" s="2645"/>
      <c r="IJ140" s="2645"/>
      <c r="IK140" s="2645"/>
      <c r="IL140" s="2645"/>
      <c r="IM140" s="2645"/>
      <c r="IN140" s="2645"/>
      <c r="IO140" s="2645"/>
      <c r="IP140" s="2645"/>
      <c r="IQ140" s="2645"/>
      <c r="IR140" s="2645"/>
      <c r="IS140" s="2645"/>
      <c r="JA140" s="516"/>
    </row>
    <row r="141" spans="30:266" ht="4.1500000000000004" customHeight="1">
      <c r="AD141" s="527"/>
      <c r="AE141" s="529"/>
      <c r="AF141" s="516"/>
      <c r="AG141" s="662"/>
      <c r="AH141" s="662"/>
      <c r="AI141" s="662"/>
      <c r="AJ141" s="662"/>
      <c r="AK141" s="662"/>
      <c r="AL141" s="662"/>
      <c r="AM141" s="662"/>
      <c r="AN141" s="662"/>
      <c r="AO141" s="662"/>
      <c r="AP141" s="662"/>
      <c r="AQ141" s="662"/>
      <c r="AR141" s="662"/>
      <c r="AS141" s="662"/>
      <c r="AW141" s="517"/>
      <c r="AX141" s="527"/>
      <c r="AY141" s="529"/>
      <c r="AZ141" s="515"/>
      <c r="BA141" s="514"/>
      <c r="BB141" s="514"/>
      <c r="BC141" s="514"/>
      <c r="BD141" s="514"/>
      <c r="BE141" s="514"/>
      <c r="BF141" s="514"/>
      <c r="BG141" s="514"/>
      <c r="BH141" s="514"/>
      <c r="BI141" s="514"/>
      <c r="BJ141" s="514"/>
      <c r="BK141" s="514"/>
      <c r="BL141" s="514"/>
      <c r="BM141" s="514"/>
      <c r="BN141" s="514"/>
      <c r="BO141" s="514"/>
      <c r="BP141" s="514"/>
      <c r="BQ141" s="514"/>
      <c r="BR141" s="514"/>
      <c r="BS141" s="514"/>
      <c r="BT141" s="527"/>
      <c r="BU141" s="529"/>
      <c r="BV141" s="514"/>
      <c r="BW141" s="514"/>
      <c r="BX141" s="514"/>
      <c r="BY141" s="514"/>
      <c r="BZ141" s="514"/>
      <c r="CA141" s="514"/>
      <c r="CB141" s="514"/>
      <c r="CC141" s="514"/>
      <c r="CD141" s="514"/>
      <c r="CE141" s="514"/>
      <c r="CF141" s="514"/>
      <c r="CG141" s="514"/>
      <c r="CH141" s="514"/>
      <c r="CI141" s="514"/>
      <c r="CJ141" s="514"/>
      <c r="CK141" s="514"/>
      <c r="CL141" s="514"/>
      <c r="CM141" s="514"/>
      <c r="CN141" s="514"/>
      <c r="CO141" s="518"/>
      <c r="CP141" s="522"/>
      <c r="CQ141" s="524"/>
      <c r="CR141" s="516"/>
      <c r="CZ141" s="517"/>
      <c r="DA141" s="527"/>
      <c r="DB141" s="529"/>
      <c r="DW141" s="527"/>
      <c r="DX141" s="529"/>
      <c r="DY141" s="516"/>
      <c r="EH141" s="522"/>
      <c r="EI141" s="524"/>
      <c r="EJ141" s="515"/>
      <c r="EK141" s="514"/>
      <c r="EL141" s="514"/>
      <c r="EM141" s="514"/>
      <c r="EN141" s="514"/>
      <c r="EO141" s="514"/>
      <c r="EP141" s="514"/>
      <c r="EQ141" s="514"/>
      <c r="ER141" s="514"/>
      <c r="ES141" s="514"/>
      <c r="ET141" s="514"/>
      <c r="EU141" s="514"/>
      <c r="EV141" s="514"/>
      <c r="EW141" s="514"/>
      <c r="EX141" s="514"/>
      <c r="EY141" s="514"/>
      <c r="EZ141" s="514"/>
      <c r="FA141" s="514"/>
      <c r="FB141" s="514"/>
      <c r="FC141" s="514"/>
      <c r="FD141" s="527"/>
      <c r="FE141" s="529"/>
      <c r="FF141" s="514"/>
      <c r="FG141" s="514"/>
      <c r="FH141" s="514"/>
      <c r="FI141" s="514"/>
      <c r="FJ141" s="514"/>
      <c r="FK141" s="514"/>
      <c r="FL141" s="514"/>
      <c r="FM141" s="514"/>
      <c r="FN141" s="514"/>
      <c r="FO141" s="514"/>
      <c r="FP141" s="514"/>
      <c r="FQ141" s="514"/>
      <c r="FR141" s="514"/>
      <c r="FS141" s="514"/>
      <c r="FT141" s="514"/>
      <c r="FU141" s="514"/>
      <c r="FV141" s="514"/>
      <c r="FW141" s="514"/>
      <c r="FX141" s="514"/>
      <c r="FY141" s="518"/>
      <c r="FZ141" s="527"/>
      <c r="GA141" s="529"/>
      <c r="HJ141" s="2646"/>
      <c r="HK141" s="2646"/>
      <c r="HL141" s="2646"/>
      <c r="HM141" s="2646"/>
      <c r="HR141" s="516"/>
      <c r="IS141" s="517"/>
      <c r="IV141" s="514"/>
      <c r="IW141" s="514"/>
      <c r="IX141" s="514"/>
      <c r="IY141" s="514"/>
      <c r="IZ141" s="514"/>
      <c r="JA141" s="515"/>
      <c r="JB141" s="514"/>
      <c r="JC141" s="514"/>
      <c r="JD141" s="514"/>
      <c r="JE141" s="514"/>
      <c r="JF141" s="514"/>
    </row>
    <row r="142" spans="30:266" ht="4.1500000000000004" customHeight="1">
      <c r="AD142" s="516"/>
      <c r="AF142" s="516"/>
      <c r="AG142" s="662"/>
      <c r="AH142" s="662"/>
      <c r="AI142" s="662"/>
      <c r="AJ142" s="662"/>
      <c r="AK142" s="662"/>
      <c r="AL142" s="662"/>
      <c r="AM142" s="662"/>
      <c r="AN142" s="662"/>
      <c r="AO142" s="662"/>
      <c r="AP142" s="662"/>
      <c r="AQ142" s="662"/>
      <c r="AR142" s="662"/>
      <c r="AS142" s="662"/>
      <c r="AW142" s="517"/>
      <c r="AX142" s="516"/>
      <c r="AZ142" s="516"/>
      <c r="CP142" s="667"/>
      <c r="CQ142" s="667"/>
      <c r="CZ142" s="517"/>
      <c r="DA142" s="516"/>
      <c r="DY142" s="516"/>
      <c r="EH142" s="514"/>
      <c r="EI142" s="514"/>
      <c r="FY142" s="517"/>
      <c r="GA142" s="517"/>
      <c r="HJ142" s="2646"/>
      <c r="HK142" s="2646"/>
      <c r="HL142" s="2646"/>
      <c r="HM142" s="2646"/>
      <c r="HR142" s="516"/>
      <c r="IS142" s="517"/>
      <c r="JA142" s="516"/>
    </row>
    <row r="143" spans="30:266" ht="4.1500000000000004" customHeight="1">
      <c r="AD143" s="516"/>
      <c r="AF143" s="515"/>
      <c r="AG143" s="667"/>
      <c r="AH143" s="667"/>
      <c r="AI143" s="667"/>
      <c r="AJ143" s="667"/>
      <c r="AK143" s="667"/>
      <c r="AL143" s="667"/>
      <c r="AM143" s="667"/>
      <c r="AN143" s="1583"/>
      <c r="AO143" s="667"/>
      <c r="AP143" s="667"/>
      <c r="AQ143" s="667"/>
      <c r="AR143" s="667"/>
      <c r="AS143" s="667"/>
      <c r="AT143" s="514"/>
      <c r="AU143" s="514"/>
      <c r="AV143" s="514"/>
      <c r="AW143" s="518"/>
      <c r="AX143" s="516"/>
      <c r="AZ143" s="516"/>
      <c r="CP143" s="662"/>
      <c r="CQ143" s="662"/>
      <c r="CZ143" s="517"/>
      <c r="DA143" s="516"/>
      <c r="DX143" s="517"/>
      <c r="DY143" s="516"/>
      <c r="FY143" s="517"/>
      <c r="GA143" s="517"/>
      <c r="HJ143" s="2646"/>
      <c r="HK143" s="2646"/>
      <c r="HL143" s="2646"/>
      <c r="HM143" s="2646"/>
      <c r="HR143" s="516"/>
      <c r="IS143" s="517"/>
      <c r="IV143" s="2638">
        <v>0.3</v>
      </c>
      <c r="IW143" s="2638"/>
      <c r="IX143" s="2638"/>
      <c r="IY143" s="2638"/>
      <c r="IZ143" s="2638"/>
      <c r="JA143" s="2638"/>
      <c r="JB143" s="2638"/>
      <c r="JC143" s="2638"/>
      <c r="JD143" s="2638"/>
      <c r="JE143" s="2638"/>
      <c r="JF143" s="2638"/>
    </row>
    <row r="144" spans="30:266" ht="4.1500000000000004" customHeight="1">
      <c r="AD144" s="516"/>
      <c r="AF144" s="530"/>
      <c r="AG144" s="532"/>
      <c r="AH144" s="532"/>
      <c r="AI144" s="532"/>
      <c r="AJ144" s="532"/>
      <c r="AK144" s="532"/>
      <c r="AL144" s="532"/>
      <c r="AM144" s="532"/>
      <c r="AN144" s="531"/>
      <c r="AO144" s="532"/>
      <c r="AP144" s="532"/>
      <c r="AQ144" s="532"/>
      <c r="AR144" s="532"/>
      <c r="AS144" s="532"/>
      <c r="AT144" s="532"/>
      <c r="AU144" s="532"/>
      <c r="AV144" s="532"/>
      <c r="AW144" s="531"/>
      <c r="AX144" s="516"/>
      <c r="AZ144" s="516"/>
      <c r="CZ144" s="517"/>
      <c r="DA144" s="516"/>
      <c r="DX144" s="517"/>
      <c r="DY144" s="516"/>
      <c r="FY144" s="517"/>
      <c r="GA144" s="517"/>
      <c r="HJ144" s="2646"/>
      <c r="HK144" s="2646"/>
      <c r="HL144" s="2646"/>
      <c r="HM144" s="2646"/>
      <c r="HR144" s="516"/>
      <c r="IS144" s="517"/>
      <c r="IV144" s="2638"/>
      <c r="IW144" s="2638"/>
      <c r="IX144" s="2638"/>
      <c r="IY144" s="2638"/>
      <c r="IZ144" s="2638"/>
      <c r="JA144" s="2638"/>
      <c r="JB144" s="2638"/>
      <c r="JC144" s="2638"/>
      <c r="JD144" s="2638"/>
      <c r="JE144" s="2638"/>
      <c r="JF144" s="2638"/>
    </row>
    <row r="145" spans="26:266" ht="4.1500000000000004" customHeight="1">
      <c r="AD145" s="516"/>
      <c r="AF145" s="515"/>
      <c r="AG145" s="667"/>
      <c r="AH145" s="667"/>
      <c r="AI145" s="667"/>
      <c r="AJ145" s="667"/>
      <c r="AK145" s="667"/>
      <c r="AL145" s="667"/>
      <c r="AM145" s="667"/>
      <c r="AN145" s="1583"/>
      <c r="AO145" s="667"/>
      <c r="AP145" s="667"/>
      <c r="AQ145" s="667"/>
      <c r="AR145" s="667"/>
      <c r="AS145" s="667"/>
      <c r="AT145" s="514"/>
      <c r="AU145" s="514"/>
      <c r="AV145" s="514"/>
      <c r="AW145" s="518"/>
      <c r="AX145" s="516"/>
      <c r="AZ145" s="516"/>
      <c r="CZ145" s="517"/>
      <c r="DA145" s="516"/>
      <c r="DX145" s="517"/>
      <c r="DY145" s="516"/>
      <c r="FY145" s="517"/>
      <c r="GA145" s="517"/>
      <c r="HJ145" s="2646"/>
      <c r="HK145" s="2646"/>
      <c r="HL145" s="2646"/>
      <c r="HM145" s="2646"/>
      <c r="HR145" s="516"/>
      <c r="IS145" s="517"/>
      <c r="IV145" s="2638"/>
      <c r="IW145" s="2638"/>
      <c r="IX145" s="2638"/>
      <c r="IY145" s="2638"/>
      <c r="IZ145" s="2638"/>
      <c r="JA145" s="2638"/>
      <c r="JB145" s="2638"/>
      <c r="JC145" s="2638"/>
      <c r="JD145" s="2638"/>
      <c r="JE145" s="2638"/>
      <c r="JF145" s="2638"/>
    </row>
    <row r="146" spans="26:266" ht="4.1500000000000004" customHeight="1">
      <c r="AD146" s="516"/>
      <c r="AF146" s="530"/>
      <c r="AG146" s="532"/>
      <c r="AH146" s="532"/>
      <c r="AI146" s="532"/>
      <c r="AJ146" s="532"/>
      <c r="AK146" s="532"/>
      <c r="AL146" s="532"/>
      <c r="AM146" s="532"/>
      <c r="AN146" s="531"/>
      <c r="AO146" s="532"/>
      <c r="AP146" s="532"/>
      <c r="AQ146" s="532"/>
      <c r="AR146" s="532"/>
      <c r="AS146" s="532"/>
      <c r="AT146" s="532"/>
      <c r="AU146" s="532"/>
      <c r="AV146" s="532"/>
      <c r="AW146" s="531"/>
      <c r="AX146" s="516"/>
      <c r="AZ146" s="516"/>
      <c r="CZ146" s="517"/>
      <c r="DA146" s="516"/>
      <c r="DX146" s="517"/>
      <c r="DY146" s="516"/>
      <c r="FY146" s="517"/>
      <c r="GA146" s="517"/>
      <c r="GB146" s="1559"/>
      <c r="GC146" s="537"/>
      <c r="GD146" s="538"/>
      <c r="HK146" s="516"/>
      <c r="HR146" s="516"/>
      <c r="IS146" s="517"/>
      <c r="JA146" s="516"/>
    </row>
    <row r="147" spans="26:266" ht="4.1500000000000004" customHeight="1">
      <c r="AD147" s="516"/>
      <c r="AF147" s="515"/>
      <c r="AG147" s="667"/>
      <c r="AH147" s="667"/>
      <c r="AI147" s="667"/>
      <c r="AJ147" s="667"/>
      <c r="AK147" s="667"/>
      <c r="AL147" s="667"/>
      <c r="AM147" s="667"/>
      <c r="AN147" s="1583"/>
      <c r="AO147" s="667"/>
      <c r="AP147" s="667"/>
      <c r="AQ147" s="667"/>
      <c r="AR147" s="667"/>
      <c r="AS147" s="667"/>
      <c r="AT147" s="514"/>
      <c r="AU147" s="514"/>
      <c r="AV147" s="514"/>
      <c r="AW147" s="518"/>
      <c r="AX147" s="516"/>
      <c r="AZ147" s="516"/>
      <c r="CZ147" s="517"/>
      <c r="DA147" s="516"/>
      <c r="DX147" s="517"/>
      <c r="DY147" s="516"/>
      <c r="FY147" s="517"/>
      <c r="FZ147" s="515"/>
      <c r="GA147" s="1613"/>
      <c r="GB147" s="516"/>
      <c r="GD147" s="540"/>
      <c r="HK147" s="516"/>
      <c r="HR147" s="530"/>
      <c r="HS147" s="532"/>
      <c r="HT147" s="532"/>
      <c r="HU147" s="532"/>
      <c r="HV147" s="532"/>
      <c r="HW147" s="532"/>
      <c r="HX147" s="532"/>
      <c r="HY147" s="532"/>
      <c r="HZ147" s="532"/>
      <c r="IA147" s="532"/>
      <c r="IB147" s="532"/>
      <c r="IC147" s="532"/>
      <c r="ID147" s="532"/>
      <c r="IE147" s="532"/>
      <c r="IF147" s="532"/>
      <c r="IG147" s="532"/>
      <c r="IH147" s="532"/>
      <c r="II147" s="532"/>
      <c r="IJ147" s="532"/>
      <c r="IK147" s="532"/>
      <c r="IL147" s="532"/>
      <c r="IM147" s="532"/>
      <c r="IN147" s="532"/>
      <c r="IO147" s="532"/>
      <c r="IP147" s="532"/>
      <c r="IQ147" s="532"/>
      <c r="IR147" s="532"/>
      <c r="IS147" s="531"/>
      <c r="IV147" s="532"/>
      <c r="IW147" s="532"/>
      <c r="IX147" s="532"/>
      <c r="IY147" s="532"/>
      <c r="IZ147" s="532"/>
      <c r="JA147" s="530"/>
      <c r="JB147" s="532"/>
      <c r="JC147" s="532"/>
      <c r="JD147" s="532"/>
      <c r="JE147" s="532"/>
      <c r="JF147" s="532"/>
    </row>
    <row r="148" spans="26:266" ht="4.1500000000000004" customHeight="1">
      <c r="AD148" s="516"/>
      <c r="AF148" s="530"/>
      <c r="AG148" s="532"/>
      <c r="AH148" s="532"/>
      <c r="AI148" s="532"/>
      <c r="AJ148" s="532"/>
      <c r="AK148" s="532"/>
      <c r="AL148" s="532"/>
      <c r="AM148" s="532"/>
      <c r="AN148" s="531"/>
      <c r="AO148" s="532"/>
      <c r="AP148" s="532"/>
      <c r="AQ148" s="532"/>
      <c r="AR148" s="532"/>
      <c r="AS148" s="532"/>
      <c r="AT148" s="532"/>
      <c r="AU148" s="532"/>
      <c r="AV148" s="532"/>
      <c r="AW148" s="531"/>
      <c r="AX148" s="516"/>
      <c r="AZ148" s="516"/>
      <c r="CZ148" s="517"/>
      <c r="DA148" s="516"/>
      <c r="DX148" s="517"/>
      <c r="DY148" s="516"/>
      <c r="FY148" s="517"/>
      <c r="FZ148" s="516"/>
      <c r="GA148" s="1612"/>
      <c r="GB148" s="516"/>
      <c r="GD148" s="540"/>
      <c r="HK148" s="516"/>
      <c r="HQ148" s="515"/>
      <c r="HR148" s="514"/>
      <c r="HS148" s="514"/>
      <c r="HT148" s="514"/>
      <c r="HU148" s="514"/>
      <c r="HV148" s="514"/>
      <c r="HW148" s="514"/>
      <c r="HX148" s="514"/>
      <c r="HY148" s="514"/>
      <c r="HZ148" s="514"/>
      <c r="IA148" s="514"/>
      <c r="IB148" s="514"/>
      <c r="IC148" s="514"/>
      <c r="ID148" s="514"/>
      <c r="IE148" s="514"/>
      <c r="IF148" s="514"/>
      <c r="IG148" s="514"/>
      <c r="IH148" s="514"/>
      <c r="II148" s="514"/>
      <c r="IJ148" s="514"/>
      <c r="IK148" s="514"/>
      <c r="IL148" s="514"/>
      <c r="IM148" s="514"/>
      <c r="IN148" s="514"/>
      <c r="IO148" s="514"/>
      <c r="IP148" s="514"/>
      <c r="IQ148" s="514"/>
      <c r="IR148" s="514"/>
      <c r="IS148" s="514"/>
      <c r="IT148" s="518"/>
      <c r="IV148" s="2639">
        <v>0.15</v>
      </c>
      <c r="IW148" s="2639"/>
      <c r="IX148" s="2639"/>
      <c r="IY148" s="2639"/>
      <c r="IZ148" s="2639"/>
      <c r="JA148" s="2639"/>
      <c r="JB148" s="2639"/>
      <c r="JC148" s="2639"/>
      <c r="JD148" s="2639"/>
      <c r="JE148" s="2639"/>
      <c r="JF148" s="2639"/>
    </row>
    <row r="149" spans="26:266" ht="4.1500000000000004" customHeight="1">
      <c r="Z149" s="1510"/>
      <c r="AA149" s="1510"/>
      <c r="AD149" s="516"/>
      <c r="AF149" s="515"/>
      <c r="AG149" s="667"/>
      <c r="AH149" s="667"/>
      <c r="AI149" s="667"/>
      <c r="AJ149" s="667"/>
      <c r="AK149" s="667"/>
      <c r="AL149" s="667"/>
      <c r="AM149" s="667"/>
      <c r="AN149" s="1583"/>
      <c r="AO149" s="667"/>
      <c r="AP149" s="667"/>
      <c r="AQ149" s="667"/>
      <c r="AR149" s="667"/>
      <c r="AS149" s="667"/>
      <c r="AT149" s="514"/>
      <c r="AU149" s="514"/>
      <c r="AV149" s="514"/>
      <c r="AW149" s="518"/>
      <c r="AX149" s="516"/>
      <c r="AZ149" s="516"/>
      <c r="CW149" s="662"/>
      <c r="CX149" s="662"/>
      <c r="CZ149" s="517"/>
      <c r="DA149" s="516"/>
      <c r="DC149" s="2641" t="s">
        <v>3603</v>
      </c>
      <c r="DD149" s="2641"/>
      <c r="DE149" s="2641"/>
      <c r="DF149" s="2641"/>
      <c r="DG149" s="2641"/>
      <c r="DH149" s="2641"/>
      <c r="DI149" s="2641"/>
      <c r="DJ149" s="2641"/>
      <c r="DK149" s="2641"/>
      <c r="DL149" s="2641"/>
      <c r="DM149" s="2641"/>
      <c r="DN149" s="2641"/>
      <c r="DO149" s="2641"/>
      <c r="DP149" s="2641"/>
      <c r="DQ149" s="2641"/>
      <c r="DR149" s="2641"/>
      <c r="DS149" s="2641"/>
      <c r="DT149" s="2641"/>
      <c r="DU149" s="2641"/>
      <c r="DV149" s="2641"/>
      <c r="DX149" s="517"/>
      <c r="DY149" s="516"/>
      <c r="ED149" s="662"/>
      <c r="EE149" s="662"/>
      <c r="FY149" s="517"/>
      <c r="FZ149" s="516"/>
      <c r="GA149" s="1612"/>
      <c r="GB149" s="516"/>
      <c r="GD149" s="540"/>
      <c r="HK149" s="516"/>
      <c r="HQ149" s="516"/>
      <c r="IT149" s="517"/>
      <c r="IV149" s="2638"/>
      <c r="IW149" s="2638"/>
      <c r="IX149" s="2638"/>
      <c r="IY149" s="2638"/>
      <c r="IZ149" s="2638"/>
      <c r="JA149" s="2638"/>
      <c r="JB149" s="2638"/>
      <c r="JC149" s="2638"/>
      <c r="JD149" s="2638"/>
      <c r="JE149" s="2638"/>
      <c r="JF149" s="2638"/>
    </row>
    <row r="150" spans="26:266" ht="4.1500000000000004" customHeight="1">
      <c r="Z150" s="1510"/>
      <c r="AA150" s="1510"/>
      <c r="AD150" s="516"/>
      <c r="AF150" s="530"/>
      <c r="AG150" s="532"/>
      <c r="AH150" s="532"/>
      <c r="AI150" s="532"/>
      <c r="AJ150" s="532"/>
      <c r="AK150" s="532"/>
      <c r="AL150" s="532"/>
      <c r="AM150" s="532"/>
      <c r="AN150" s="531"/>
      <c r="AO150" s="532"/>
      <c r="AP150" s="532"/>
      <c r="AQ150" s="532"/>
      <c r="AR150" s="532"/>
      <c r="AS150" s="532"/>
      <c r="AT150" s="532"/>
      <c r="AU150" s="532"/>
      <c r="AV150" s="532"/>
      <c r="AW150" s="531"/>
      <c r="AX150" s="516"/>
      <c r="AZ150" s="516"/>
      <c r="CP150" s="532"/>
      <c r="CQ150" s="532"/>
      <c r="CW150" s="662"/>
      <c r="CX150" s="662"/>
      <c r="CZ150" s="517"/>
      <c r="DA150" s="516"/>
      <c r="DC150" s="2641"/>
      <c r="DD150" s="2641"/>
      <c r="DE150" s="2641"/>
      <c r="DF150" s="2641"/>
      <c r="DG150" s="2641"/>
      <c r="DH150" s="2641"/>
      <c r="DI150" s="2641"/>
      <c r="DJ150" s="2641"/>
      <c r="DK150" s="2641"/>
      <c r="DL150" s="2641"/>
      <c r="DM150" s="2641"/>
      <c r="DN150" s="2641"/>
      <c r="DO150" s="2641"/>
      <c r="DP150" s="2641"/>
      <c r="DQ150" s="2641"/>
      <c r="DR150" s="2641"/>
      <c r="DS150" s="2641"/>
      <c r="DT150" s="2641"/>
      <c r="DU150" s="2641"/>
      <c r="DV150" s="2641"/>
      <c r="DX150" s="517"/>
      <c r="DY150" s="516"/>
      <c r="ED150" s="662"/>
      <c r="EE150" s="662"/>
      <c r="EH150" s="532"/>
      <c r="EI150" s="532"/>
      <c r="FY150" s="517"/>
      <c r="FZ150" s="516"/>
      <c r="GA150" s="1612"/>
      <c r="GB150" s="516"/>
      <c r="GD150" s="540"/>
      <c r="HK150" s="516"/>
      <c r="HQ150" s="530"/>
      <c r="HR150" s="532"/>
      <c r="HS150" s="532"/>
      <c r="HT150" s="532"/>
      <c r="HU150" s="532"/>
      <c r="HV150" s="532"/>
      <c r="HW150" s="532"/>
      <c r="HX150" s="532"/>
      <c r="HY150" s="532"/>
      <c r="HZ150" s="532"/>
      <c r="IA150" s="532"/>
      <c r="IB150" s="532"/>
      <c r="IC150" s="532"/>
      <c r="ID150" s="532"/>
      <c r="IE150" s="532"/>
      <c r="IF150" s="532"/>
      <c r="IG150" s="532"/>
      <c r="IH150" s="532"/>
      <c r="II150" s="532"/>
      <c r="IJ150" s="532"/>
      <c r="IK150" s="532"/>
      <c r="IL150" s="532"/>
      <c r="IM150" s="532"/>
      <c r="IN150" s="532"/>
      <c r="IO150" s="532"/>
      <c r="IP150" s="532"/>
      <c r="IQ150" s="532"/>
      <c r="IR150" s="532"/>
      <c r="IS150" s="532"/>
      <c r="IT150" s="531"/>
      <c r="IV150" s="2640"/>
      <c r="IW150" s="2640"/>
      <c r="IX150" s="2640"/>
      <c r="IY150" s="2640"/>
      <c r="IZ150" s="2640"/>
      <c r="JA150" s="2640"/>
      <c r="JB150" s="2640"/>
      <c r="JC150" s="2640"/>
      <c r="JD150" s="2640"/>
      <c r="JE150" s="2640"/>
      <c r="JF150" s="2640"/>
    </row>
    <row r="151" spans="26:266" ht="4.1500000000000004" customHeight="1">
      <c r="Z151" s="1510"/>
      <c r="AA151" s="1510"/>
      <c r="AD151" s="516"/>
      <c r="AF151" s="515"/>
      <c r="AG151" s="667"/>
      <c r="AH151" s="667"/>
      <c r="AI151" s="667"/>
      <c r="AJ151" s="667"/>
      <c r="AK151" s="667"/>
      <c r="AL151" s="667"/>
      <c r="AM151" s="667"/>
      <c r="AN151" s="1583"/>
      <c r="AO151" s="667"/>
      <c r="AP151" s="667"/>
      <c r="AQ151" s="667"/>
      <c r="AR151" s="667"/>
      <c r="AS151" s="667"/>
      <c r="AT151" s="514"/>
      <c r="AU151" s="514"/>
      <c r="AV151" s="514"/>
      <c r="AW151" s="518"/>
      <c r="AX151" s="516"/>
      <c r="AZ151" s="516"/>
      <c r="CO151" s="517"/>
      <c r="CR151" s="516"/>
      <c r="CW151" s="662"/>
      <c r="CX151" s="662"/>
      <c r="CZ151" s="517"/>
      <c r="DA151" s="516"/>
      <c r="DC151" s="2641"/>
      <c r="DD151" s="2641"/>
      <c r="DE151" s="2641"/>
      <c r="DF151" s="2641"/>
      <c r="DG151" s="2641"/>
      <c r="DH151" s="2641"/>
      <c r="DI151" s="2641"/>
      <c r="DJ151" s="2641"/>
      <c r="DK151" s="2641"/>
      <c r="DL151" s="2641"/>
      <c r="DM151" s="2641"/>
      <c r="DN151" s="2641"/>
      <c r="DO151" s="2641"/>
      <c r="DP151" s="2641"/>
      <c r="DQ151" s="2641"/>
      <c r="DR151" s="2641"/>
      <c r="DS151" s="2641"/>
      <c r="DT151" s="2641"/>
      <c r="DU151" s="2641"/>
      <c r="DV151" s="2641"/>
      <c r="DX151" s="517"/>
      <c r="DY151" s="516"/>
      <c r="ED151" s="662"/>
      <c r="EE151" s="662"/>
      <c r="EG151" s="517"/>
      <c r="EJ151" s="516"/>
      <c r="FY151" s="517"/>
      <c r="FZ151" s="516"/>
      <c r="GA151" s="1612"/>
      <c r="GB151" s="516"/>
      <c r="GD151" s="540"/>
      <c r="HK151" s="516"/>
      <c r="HQ151" s="515"/>
      <c r="HR151" s="514"/>
      <c r="HS151" s="514"/>
      <c r="HT151" s="514"/>
      <c r="HU151" s="514"/>
      <c r="HV151" s="514"/>
      <c r="HW151" s="514"/>
      <c r="HX151" s="514"/>
      <c r="HY151" s="514"/>
      <c r="HZ151" s="514"/>
      <c r="IA151" s="514"/>
      <c r="IB151" s="514"/>
      <c r="IC151" s="514"/>
      <c r="ID151" s="514"/>
      <c r="IE151" s="514"/>
      <c r="IF151" s="514"/>
      <c r="IG151" s="514"/>
      <c r="IH151" s="514"/>
      <c r="II151" s="514"/>
      <c r="IJ151" s="514"/>
      <c r="IK151" s="514"/>
      <c r="IL151" s="514"/>
      <c r="IM151" s="514"/>
      <c r="IN151" s="514"/>
      <c r="IO151" s="514"/>
      <c r="IP151" s="514"/>
      <c r="IQ151" s="514"/>
      <c r="IR151" s="514"/>
      <c r="IS151" s="514"/>
      <c r="IT151" s="518"/>
      <c r="IV151" s="2639">
        <v>0.15</v>
      </c>
      <c r="IW151" s="2639"/>
      <c r="IX151" s="2639"/>
      <c r="IY151" s="2639"/>
      <c r="IZ151" s="2639"/>
      <c r="JA151" s="2639"/>
      <c r="JB151" s="2639"/>
      <c r="JC151" s="2639"/>
      <c r="JD151" s="2639"/>
      <c r="JE151" s="2639"/>
      <c r="JF151" s="2639"/>
    </row>
    <row r="152" spans="26:266" ht="4.1500000000000004" customHeight="1">
      <c r="Z152" s="1510"/>
      <c r="AA152" s="1510"/>
      <c r="AD152" s="516"/>
      <c r="AF152" s="530"/>
      <c r="AG152" s="532"/>
      <c r="AH152" s="532"/>
      <c r="AI152" s="532"/>
      <c r="AJ152" s="532"/>
      <c r="AK152" s="532"/>
      <c r="AL152" s="532"/>
      <c r="AM152" s="532"/>
      <c r="AN152" s="531"/>
      <c r="AO152" s="532"/>
      <c r="AP152" s="532"/>
      <c r="AQ152" s="532"/>
      <c r="AR152" s="532"/>
      <c r="AS152" s="532"/>
      <c r="AT152" s="532"/>
      <c r="AU152" s="532"/>
      <c r="AV152" s="532"/>
      <c r="AW152" s="531"/>
      <c r="AX152" s="516"/>
      <c r="AZ152" s="516"/>
      <c r="CO152" s="517"/>
      <c r="CR152" s="516"/>
      <c r="CW152" s="662"/>
      <c r="CX152" s="662"/>
      <c r="CY152" s="662"/>
      <c r="CZ152" s="664"/>
      <c r="DA152" s="663"/>
      <c r="DB152" s="662"/>
      <c r="DC152" s="2641"/>
      <c r="DD152" s="2641"/>
      <c r="DE152" s="2641"/>
      <c r="DF152" s="2641"/>
      <c r="DG152" s="2641"/>
      <c r="DH152" s="2641"/>
      <c r="DI152" s="2641"/>
      <c r="DJ152" s="2641"/>
      <c r="DK152" s="2641"/>
      <c r="DL152" s="2641"/>
      <c r="DM152" s="2641"/>
      <c r="DN152" s="2641"/>
      <c r="DO152" s="2641"/>
      <c r="DP152" s="2641"/>
      <c r="DQ152" s="2641"/>
      <c r="DR152" s="2641"/>
      <c r="DS152" s="2641"/>
      <c r="DT152" s="2641"/>
      <c r="DU152" s="2641"/>
      <c r="DV152" s="2641"/>
      <c r="DW152" s="662"/>
      <c r="DX152" s="664"/>
      <c r="DY152" s="516"/>
      <c r="ED152" s="662"/>
      <c r="EE152" s="662"/>
      <c r="EF152" s="662"/>
      <c r="EG152" s="664"/>
      <c r="EH152" s="662"/>
      <c r="EI152" s="662"/>
      <c r="EJ152" s="516"/>
      <c r="FY152" s="517"/>
      <c r="FZ152" s="663"/>
      <c r="GA152" s="1586"/>
      <c r="GB152" s="516"/>
      <c r="GD152" s="540"/>
      <c r="GE152" s="662"/>
      <c r="GF152" s="662"/>
      <c r="GG152" s="662"/>
      <c r="GH152" s="662"/>
      <c r="GI152" s="662"/>
      <c r="GJ152" s="662"/>
      <c r="GK152" s="662"/>
      <c r="HK152" s="516"/>
      <c r="HQ152" s="516"/>
      <c r="IT152" s="517"/>
      <c r="IV152" s="2638"/>
      <c r="IW152" s="2638"/>
      <c r="IX152" s="2638"/>
      <c r="IY152" s="2638"/>
      <c r="IZ152" s="2638"/>
      <c r="JA152" s="2638"/>
      <c r="JB152" s="2638"/>
      <c r="JC152" s="2638"/>
      <c r="JD152" s="2638"/>
      <c r="JE152" s="2638"/>
      <c r="JF152" s="2638"/>
    </row>
    <row r="153" spans="26:266" ht="4.1500000000000004" customHeight="1">
      <c r="Z153" s="1510"/>
      <c r="AA153" s="1510"/>
      <c r="AD153" s="516"/>
      <c r="AF153" s="515"/>
      <c r="AG153" s="667"/>
      <c r="AH153" s="667"/>
      <c r="AI153" s="667"/>
      <c r="AJ153" s="667"/>
      <c r="AK153" s="667"/>
      <c r="AL153" s="667"/>
      <c r="AM153" s="667"/>
      <c r="AN153" s="1583"/>
      <c r="AO153" s="667"/>
      <c r="AP153" s="667"/>
      <c r="AQ153" s="667"/>
      <c r="AR153" s="667"/>
      <c r="AS153" s="667"/>
      <c r="AT153" s="514"/>
      <c r="AU153" s="514"/>
      <c r="AV153" s="514"/>
      <c r="AW153" s="518"/>
      <c r="AX153" s="516"/>
      <c r="AZ153" s="516"/>
      <c r="CO153" s="517"/>
      <c r="CR153" s="516"/>
      <c r="CW153" s="662"/>
      <c r="CX153" s="662"/>
      <c r="CY153" s="662"/>
      <c r="CZ153" s="664"/>
      <c r="DA153" s="663"/>
      <c r="DB153" s="1601"/>
      <c r="DC153" s="1601"/>
      <c r="DD153" s="1601"/>
      <c r="DE153" s="1601"/>
      <c r="DF153" s="662"/>
      <c r="DG153" s="662"/>
      <c r="DH153" s="662"/>
      <c r="DI153" s="662"/>
      <c r="DJ153" s="662"/>
      <c r="DK153" s="662"/>
      <c r="DL153" s="662"/>
      <c r="DM153" s="662"/>
      <c r="DN153" s="662"/>
      <c r="DO153" s="662"/>
      <c r="DP153" s="662"/>
      <c r="DQ153" s="662"/>
      <c r="DR153" s="662"/>
      <c r="DS153" s="662"/>
      <c r="DT153" s="662"/>
      <c r="DU153" s="662"/>
      <c r="DV153" s="662"/>
      <c r="DW153" s="662"/>
      <c r="DX153" s="664"/>
      <c r="DY153" s="516"/>
      <c r="ED153" s="662"/>
      <c r="EE153" s="662"/>
      <c r="EF153" s="662"/>
      <c r="EG153" s="664"/>
      <c r="EH153" s="662"/>
      <c r="EI153" s="662"/>
      <c r="EJ153" s="516"/>
      <c r="FY153" s="517"/>
      <c r="FZ153" s="663"/>
      <c r="GA153" s="1586"/>
      <c r="GB153" s="516"/>
      <c r="GD153" s="540"/>
      <c r="GE153" s="662"/>
      <c r="GF153" s="662"/>
      <c r="GG153" s="662"/>
      <c r="GH153" s="662"/>
      <c r="GI153" s="662"/>
      <c r="GJ153" s="662"/>
      <c r="GK153" s="662"/>
      <c r="HI153" s="532"/>
      <c r="HJ153" s="532"/>
      <c r="HK153" s="530"/>
      <c r="HL153" s="532"/>
      <c r="HM153" s="532"/>
      <c r="HN153" s="532"/>
      <c r="HQ153" s="530"/>
      <c r="HR153" s="532"/>
      <c r="HS153" s="532"/>
      <c r="HT153" s="532"/>
      <c r="HU153" s="532"/>
      <c r="HV153" s="532"/>
      <c r="HW153" s="532"/>
      <c r="HX153" s="532"/>
      <c r="HY153" s="532"/>
      <c r="HZ153" s="532"/>
      <c r="IA153" s="532"/>
      <c r="IB153" s="532"/>
      <c r="IC153" s="532"/>
      <c r="ID153" s="532"/>
      <c r="IE153" s="532"/>
      <c r="IF153" s="532"/>
      <c r="IG153" s="532"/>
      <c r="IH153" s="532"/>
      <c r="II153" s="532"/>
      <c r="IJ153" s="532"/>
      <c r="IK153" s="532"/>
      <c r="IL153" s="532"/>
      <c r="IM153" s="532"/>
      <c r="IN153" s="532"/>
      <c r="IO153" s="532"/>
      <c r="IP153" s="532"/>
      <c r="IQ153" s="532"/>
      <c r="IR153" s="532"/>
      <c r="IS153" s="532"/>
      <c r="IT153" s="531"/>
      <c r="IV153" s="2640"/>
      <c r="IW153" s="2640"/>
      <c r="IX153" s="2640"/>
      <c r="IY153" s="2640"/>
      <c r="IZ153" s="2640"/>
      <c r="JA153" s="2640"/>
      <c r="JB153" s="2640"/>
      <c r="JC153" s="2640"/>
      <c r="JD153" s="2640"/>
      <c r="JE153" s="2640"/>
      <c r="JF153" s="2640"/>
    </row>
    <row r="154" spans="26:266" ht="4.1500000000000004" customHeight="1">
      <c r="Z154" s="1510"/>
      <c r="AA154" s="1510"/>
      <c r="AD154" s="516"/>
      <c r="AF154" s="530"/>
      <c r="AG154" s="532"/>
      <c r="AH154" s="532"/>
      <c r="AI154" s="532"/>
      <c r="AJ154" s="532"/>
      <c r="AK154" s="532"/>
      <c r="AL154" s="532"/>
      <c r="AM154" s="532"/>
      <c r="AN154" s="531"/>
      <c r="AO154" s="532"/>
      <c r="AP154" s="532"/>
      <c r="AQ154" s="532"/>
      <c r="AR154" s="532"/>
      <c r="AS154" s="532"/>
      <c r="AT154" s="532"/>
      <c r="AU154" s="532"/>
      <c r="AV154" s="532"/>
      <c r="AW154" s="531"/>
      <c r="AX154" s="516"/>
      <c r="AZ154" s="516"/>
      <c r="BG154" s="2637" t="s">
        <v>3601</v>
      </c>
      <c r="BH154" s="2637"/>
      <c r="BI154" s="2637"/>
      <c r="BJ154" s="2637"/>
      <c r="BK154" s="2637"/>
      <c r="BL154" s="2637"/>
      <c r="BM154" s="2637"/>
      <c r="BN154" s="2637"/>
      <c r="BO154" s="2637"/>
      <c r="BP154" s="2637"/>
      <c r="BQ154" s="2637"/>
      <c r="BR154" s="2637"/>
      <c r="BS154" s="2637"/>
      <c r="BT154" s="2637"/>
      <c r="BU154" s="2637"/>
      <c r="BV154" s="2637"/>
      <c r="BW154" s="2637"/>
      <c r="BX154" s="2637"/>
      <c r="BY154" s="2637"/>
      <c r="BZ154" s="2637"/>
      <c r="CA154" s="2637"/>
      <c r="CB154" s="2637"/>
      <c r="CC154" s="2637"/>
      <c r="CD154" s="2637"/>
      <c r="CE154" s="2637"/>
      <c r="CF154" s="2637"/>
      <c r="CG154" s="2637"/>
      <c r="CH154" s="2637"/>
      <c r="CO154" s="517"/>
      <c r="CR154" s="516"/>
      <c r="CW154" s="662"/>
      <c r="CX154" s="662"/>
      <c r="CY154" s="662"/>
      <c r="CZ154" s="664"/>
      <c r="DA154" s="663"/>
      <c r="DB154" s="1601"/>
      <c r="DC154" s="1601"/>
      <c r="DD154" s="1601"/>
      <c r="DE154" s="1601"/>
      <c r="DF154" s="662"/>
      <c r="DG154" s="662"/>
      <c r="DH154" s="662"/>
      <c r="DI154" s="662"/>
      <c r="DJ154" s="662"/>
      <c r="DK154" s="662"/>
      <c r="DL154" s="662"/>
      <c r="DM154" s="662"/>
      <c r="DN154" s="662"/>
      <c r="DO154" s="662"/>
      <c r="DP154" s="662"/>
      <c r="DQ154" s="662"/>
      <c r="DR154" s="662"/>
      <c r="DS154" s="662"/>
      <c r="DT154" s="662"/>
      <c r="DU154" s="662"/>
      <c r="DV154" s="662"/>
      <c r="DW154" s="662"/>
      <c r="DX154" s="664"/>
      <c r="DY154" s="516"/>
      <c r="ED154" s="662"/>
      <c r="EE154" s="662"/>
      <c r="EF154" s="662"/>
      <c r="EG154" s="664"/>
      <c r="EH154" s="662"/>
      <c r="EI154" s="662"/>
      <c r="EJ154" s="516"/>
      <c r="FY154" s="517"/>
      <c r="FZ154" s="663"/>
      <c r="GA154" s="1586"/>
      <c r="GB154" s="516"/>
      <c r="GD154" s="540"/>
      <c r="GE154" s="662"/>
      <c r="GF154" s="662"/>
      <c r="GG154" s="662"/>
      <c r="GH154" s="662"/>
      <c r="GI154" s="662"/>
      <c r="GJ154" s="662"/>
      <c r="GK154" s="662"/>
      <c r="IK154" s="514"/>
      <c r="IL154" s="514"/>
      <c r="IM154" s="514"/>
      <c r="IN154" s="514"/>
      <c r="IO154" s="514"/>
      <c r="IP154" s="514"/>
      <c r="IQ154" s="514"/>
      <c r="IR154" s="514"/>
      <c r="IS154" s="514"/>
      <c r="IT154" s="514"/>
    </row>
    <row r="155" spans="26:266" ht="4.1500000000000004" customHeight="1">
      <c r="Z155" s="1510"/>
      <c r="AA155" s="1510"/>
      <c r="AD155" s="516"/>
      <c r="AF155" s="515"/>
      <c r="AG155" s="667"/>
      <c r="AH155" s="667"/>
      <c r="AI155" s="667"/>
      <c r="AJ155" s="667"/>
      <c r="AK155" s="667"/>
      <c r="AL155" s="667"/>
      <c r="AM155" s="667"/>
      <c r="AN155" s="1583"/>
      <c r="AO155" s="667"/>
      <c r="AP155" s="667"/>
      <c r="AQ155" s="667"/>
      <c r="AR155" s="667"/>
      <c r="AS155" s="667"/>
      <c r="AT155" s="514"/>
      <c r="AU155" s="514"/>
      <c r="AV155" s="514"/>
      <c r="AW155" s="518"/>
      <c r="AX155" s="516"/>
      <c r="AZ155" s="516"/>
      <c r="BG155" s="2637"/>
      <c r="BH155" s="2637"/>
      <c r="BI155" s="2637"/>
      <c r="BJ155" s="2637"/>
      <c r="BK155" s="2637"/>
      <c r="BL155" s="2637"/>
      <c r="BM155" s="2637"/>
      <c r="BN155" s="2637"/>
      <c r="BO155" s="2637"/>
      <c r="BP155" s="2637"/>
      <c r="BQ155" s="2637"/>
      <c r="BR155" s="2637"/>
      <c r="BS155" s="2637"/>
      <c r="BT155" s="2637"/>
      <c r="BU155" s="2637"/>
      <c r="BV155" s="2637"/>
      <c r="BW155" s="2637"/>
      <c r="BX155" s="2637"/>
      <c r="BY155" s="2637"/>
      <c r="BZ155" s="2637"/>
      <c r="CA155" s="2637"/>
      <c r="CB155" s="2637"/>
      <c r="CC155" s="2637"/>
      <c r="CD155" s="2637"/>
      <c r="CE155" s="2637"/>
      <c r="CF155" s="2637"/>
      <c r="CG155" s="2637"/>
      <c r="CH155" s="2637"/>
      <c r="CO155" s="517"/>
      <c r="CR155" s="516"/>
      <c r="CW155" s="662"/>
      <c r="CX155" s="662"/>
      <c r="CY155" s="662"/>
      <c r="CZ155" s="664"/>
      <c r="DA155" s="663"/>
      <c r="DB155" s="1601"/>
      <c r="DC155" s="1601"/>
      <c r="DD155" s="1601"/>
      <c r="DE155" s="1601"/>
      <c r="DF155" s="662"/>
      <c r="DG155" s="662"/>
      <c r="DH155" s="662"/>
      <c r="DI155" s="662"/>
      <c r="DJ155" s="662"/>
      <c r="DK155" s="662"/>
      <c r="DL155" s="662"/>
      <c r="DM155" s="662"/>
      <c r="DN155" s="662"/>
      <c r="DO155" s="662"/>
      <c r="DP155" s="662"/>
      <c r="DQ155" s="662"/>
      <c r="DR155" s="662"/>
      <c r="DS155" s="662"/>
      <c r="DT155" s="662"/>
      <c r="DU155" s="662"/>
      <c r="DV155" s="662"/>
      <c r="DW155" s="662"/>
      <c r="DX155" s="664"/>
      <c r="DY155" s="516"/>
      <c r="ED155" s="662"/>
      <c r="EE155" s="662"/>
      <c r="EF155" s="662"/>
      <c r="EG155" s="664"/>
      <c r="EH155" s="662"/>
      <c r="EI155" s="662"/>
      <c r="EJ155" s="516"/>
      <c r="FY155" s="517"/>
      <c r="FZ155" s="666"/>
      <c r="GA155" s="1587"/>
      <c r="GB155" s="516"/>
      <c r="GD155" s="540"/>
      <c r="GE155" s="662"/>
      <c r="GF155" s="662"/>
      <c r="GG155" s="662"/>
      <c r="GH155" s="662"/>
      <c r="GI155" s="662"/>
      <c r="GJ155" s="662"/>
      <c r="GK155" s="662"/>
      <c r="HQ155" s="516"/>
      <c r="IT155" s="517"/>
    </row>
    <row r="156" spans="26:266" ht="4.1500000000000004" customHeight="1">
      <c r="AD156" s="516"/>
      <c r="AF156" s="530"/>
      <c r="AG156" s="532"/>
      <c r="AH156" s="532"/>
      <c r="AI156" s="532"/>
      <c r="AJ156" s="532"/>
      <c r="AK156" s="532"/>
      <c r="AL156" s="532"/>
      <c r="AM156" s="532"/>
      <c r="AN156" s="531"/>
      <c r="AO156" s="532"/>
      <c r="AP156" s="532"/>
      <c r="AQ156" s="532"/>
      <c r="AR156" s="532"/>
      <c r="AS156" s="532"/>
      <c r="AT156" s="532"/>
      <c r="AU156" s="532"/>
      <c r="AV156" s="532"/>
      <c r="AW156" s="531"/>
      <c r="AX156" s="516"/>
      <c r="AZ156" s="516"/>
      <c r="BG156" s="2637"/>
      <c r="BH156" s="2637"/>
      <c r="BI156" s="2637"/>
      <c r="BJ156" s="2637"/>
      <c r="BK156" s="2637"/>
      <c r="BL156" s="2637"/>
      <c r="BM156" s="2637"/>
      <c r="BN156" s="2637"/>
      <c r="BO156" s="2637"/>
      <c r="BP156" s="2637"/>
      <c r="BQ156" s="2637"/>
      <c r="BR156" s="2637"/>
      <c r="BS156" s="2637"/>
      <c r="BT156" s="2637"/>
      <c r="BU156" s="2637"/>
      <c r="BV156" s="2637"/>
      <c r="BW156" s="2637"/>
      <c r="BX156" s="2637"/>
      <c r="BY156" s="2637"/>
      <c r="BZ156" s="2637"/>
      <c r="CA156" s="2637"/>
      <c r="CB156" s="2637"/>
      <c r="CC156" s="2637"/>
      <c r="CD156" s="2637"/>
      <c r="CE156" s="2637"/>
      <c r="CF156" s="2637"/>
      <c r="CG156" s="2637"/>
      <c r="CH156" s="2637"/>
      <c r="CO156" s="517"/>
      <c r="CR156" s="516"/>
      <c r="CW156" s="662"/>
      <c r="CX156" s="662"/>
      <c r="CY156" s="662"/>
      <c r="CZ156" s="664"/>
      <c r="DA156" s="663"/>
      <c r="DB156" s="1601"/>
      <c r="DC156" s="1601"/>
      <c r="DD156" s="1601"/>
      <c r="DE156" s="1601"/>
      <c r="DF156" s="662"/>
      <c r="DG156" s="662"/>
      <c r="DH156" s="662"/>
      <c r="DI156" s="662"/>
      <c r="DJ156" s="662"/>
      <c r="DK156" s="662"/>
      <c r="DL156" s="662"/>
      <c r="DM156" s="662"/>
      <c r="DN156" s="662"/>
      <c r="DO156" s="662"/>
      <c r="DP156" s="662"/>
      <c r="DQ156" s="662"/>
      <c r="DR156" s="662"/>
      <c r="DS156" s="662"/>
      <c r="DT156" s="662"/>
      <c r="DU156" s="662"/>
      <c r="DV156" s="662"/>
      <c r="DW156" s="662"/>
      <c r="DX156" s="664"/>
      <c r="DY156" s="516"/>
      <c r="ED156" s="662"/>
      <c r="EE156" s="662"/>
      <c r="EF156" s="662"/>
      <c r="EG156" s="664"/>
      <c r="EH156" s="662"/>
      <c r="EI156" s="662"/>
      <c r="EJ156" s="516"/>
      <c r="FY156" s="517"/>
      <c r="FZ156" s="662"/>
      <c r="GA156" s="664"/>
      <c r="GB156" s="1561"/>
      <c r="GC156" s="557"/>
      <c r="GD156" s="560"/>
      <c r="GE156" s="662"/>
      <c r="GF156" s="662"/>
      <c r="GG156" s="662"/>
      <c r="GH156" s="662"/>
      <c r="GI156" s="662"/>
      <c r="GJ156" s="662"/>
      <c r="GK156" s="662"/>
      <c r="HQ156" s="516"/>
      <c r="HY156" s="2596">
        <v>1.2</v>
      </c>
      <c r="HZ156" s="2596"/>
      <c r="IA156" s="2596"/>
      <c r="IB156" s="2596"/>
      <c r="IC156" s="2596"/>
      <c r="ID156" s="2596"/>
      <c r="IE156" s="2596"/>
      <c r="IF156" s="2596"/>
      <c r="IG156" s="2596"/>
      <c r="IH156" s="2596"/>
      <c r="II156" s="2596"/>
      <c r="IJ156" s="2596"/>
      <c r="IT156" s="517"/>
    </row>
    <row r="157" spans="26:266" ht="4.1500000000000004" customHeight="1">
      <c r="AD157" s="516"/>
      <c r="AF157" s="515"/>
      <c r="AG157" s="667"/>
      <c r="AH157" s="667"/>
      <c r="AI157" s="667"/>
      <c r="AJ157" s="667"/>
      <c r="AK157" s="667"/>
      <c r="AL157" s="667"/>
      <c r="AM157" s="667"/>
      <c r="AN157" s="1583"/>
      <c r="AO157" s="667"/>
      <c r="AP157" s="667"/>
      <c r="AQ157" s="667"/>
      <c r="AR157" s="667"/>
      <c r="AS157" s="667"/>
      <c r="AT157" s="514"/>
      <c r="AU157" s="514"/>
      <c r="AV157" s="514"/>
      <c r="AW157" s="518"/>
      <c r="AX157" s="516"/>
      <c r="AZ157" s="516"/>
      <c r="BG157" s="2637"/>
      <c r="BH157" s="2637"/>
      <c r="BI157" s="2637"/>
      <c r="BJ157" s="2637"/>
      <c r="BK157" s="2637"/>
      <c r="BL157" s="2637"/>
      <c r="BM157" s="2637"/>
      <c r="BN157" s="2637"/>
      <c r="BO157" s="2637"/>
      <c r="BP157" s="2637"/>
      <c r="BQ157" s="2637"/>
      <c r="BR157" s="2637"/>
      <c r="BS157" s="2637"/>
      <c r="BT157" s="2637"/>
      <c r="BU157" s="2637"/>
      <c r="BV157" s="2637"/>
      <c r="BW157" s="2637"/>
      <c r="BX157" s="2637"/>
      <c r="BY157" s="2637"/>
      <c r="BZ157" s="2637"/>
      <c r="CA157" s="2637"/>
      <c r="CB157" s="2637"/>
      <c r="CC157" s="2637"/>
      <c r="CD157" s="2637"/>
      <c r="CE157" s="2637"/>
      <c r="CF157" s="2637"/>
      <c r="CG157" s="2637"/>
      <c r="CH157" s="2637"/>
      <c r="CO157" s="517"/>
      <c r="CR157" s="516"/>
      <c r="CW157" s="662"/>
      <c r="CX157" s="662"/>
      <c r="CY157" s="662"/>
      <c r="CZ157" s="664"/>
      <c r="DA157" s="663"/>
      <c r="DB157" s="1601"/>
      <c r="DC157" s="1601"/>
      <c r="DD157" s="1601"/>
      <c r="DE157" s="1601"/>
      <c r="DF157" s="662"/>
      <c r="DG157" s="662"/>
      <c r="DH157" s="662"/>
      <c r="DI157" s="662"/>
      <c r="DJ157" s="662"/>
      <c r="DK157" s="662"/>
      <c r="DL157" s="662"/>
      <c r="DM157" s="662"/>
      <c r="DN157" s="662"/>
      <c r="DO157" s="662"/>
      <c r="DP157" s="662"/>
      <c r="DQ157" s="662"/>
      <c r="DR157" s="662"/>
      <c r="DS157" s="662"/>
      <c r="DT157" s="662"/>
      <c r="DU157" s="662"/>
      <c r="DV157" s="662"/>
      <c r="DW157" s="662"/>
      <c r="DX157" s="664"/>
      <c r="DY157" s="516"/>
      <c r="ED157" s="662"/>
      <c r="EE157" s="662"/>
      <c r="EF157" s="662"/>
      <c r="EG157" s="664"/>
      <c r="EH157" s="662"/>
      <c r="EI157" s="662"/>
      <c r="EJ157" s="516"/>
      <c r="EQ157" s="2637" t="s">
        <v>3602</v>
      </c>
      <c r="ER157" s="2637"/>
      <c r="ES157" s="2637"/>
      <c r="ET157" s="2637"/>
      <c r="EU157" s="2637"/>
      <c r="EV157" s="2637"/>
      <c r="EW157" s="2637"/>
      <c r="EX157" s="2637"/>
      <c r="EY157" s="2637"/>
      <c r="EZ157" s="2637"/>
      <c r="FA157" s="2637"/>
      <c r="FB157" s="2637"/>
      <c r="FC157" s="2637"/>
      <c r="FD157" s="2637"/>
      <c r="FE157" s="2637"/>
      <c r="FF157" s="2637"/>
      <c r="FG157" s="2637"/>
      <c r="FH157" s="2637"/>
      <c r="FI157" s="2637"/>
      <c r="FJ157" s="2637"/>
      <c r="FK157" s="2637"/>
      <c r="FL157" s="2637"/>
      <c r="FM157" s="2637"/>
      <c r="FN157" s="2637"/>
      <c r="FO157" s="2637"/>
      <c r="FP157" s="2637"/>
      <c r="FQ157" s="2637"/>
      <c r="FR157" s="2637"/>
      <c r="FY157" s="517"/>
      <c r="FZ157" s="662"/>
      <c r="GA157" s="664"/>
      <c r="GB157" s="662"/>
      <c r="GC157" s="662"/>
      <c r="GD157" s="662"/>
      <c r="GE157" s="662"/>
      <c r="GF157" s="662"/>
      <c r="GG157" s="662"/>
      <c r="GH157" s="662"/>
      <c r="GI157" s="662"/>
      <c r="GJ157" s="662"/>
      <c r="GK157" s="662"/>
      <c r="HQ157" s="530"/>
      <c r="HR157" s="532"/>
      <c r="HS157" s="532"/>
      <c r="HT157" s="532"/>
      <c r="HU157" s="532"/>
      <c r="HV157" s="532"/>
      <c r="HW157" s="532"/>
      <c r="HX157" s="532"/>
      <c r="HY157" s="2596"/>
      <c r="HZ157" s="2596"/>
      <c r="IA157" s="2596"/>
      <c r="IB157" s="2596"/>
      <c r="IC157" s="2596"/>
      <c r="ID157" s="2596"/>
      <c r="IE157" s="2596"/>
      <c r="IF157" s="2596"/>
      <c r="IG157" s="2596"/>
      <c r="IH157" s="2596"/>
      <c r="II157" s="2596"/>
      <c r="IJ157" s="2596"/>
      <c r="IK157" s="532"/>
      <c r="IL157" s="532"/>
      <c r="IM157" s="532"/>
      <c r="IN157" s="532"/>
      <c r="IO157" s="532"/>
      <c r="IP157" s="532"/>
      <c r="IQ157" s="532"/>
      <c r="IR157" s="532"/>
      <c r="IS157" s="532"/>
      <c r="IT157" s="531"/>
    </row>
    <row r="158" spans="26:266" ht="4.1500000000000004" customHeight="1">
      <c r="AD158" s="516"/>
      <c r="AF158" s="530"/>
      <c r="AG158" s="532"/>
      <c r="AH158" s="532"/>
      <c r="AI158" s="532"/>
      <c r="AJ158" s="532"/>
      <c r="AK158" s="532"/>
      <c r="AL158" s="532"/>
      <c r="AM158" s="532"/>
      <c r="AN158" s="531"/>
      <c r="AO158" s="532"/>
      <c r="AP158" s="532"/>
      <c r="AQ158" s="532"/>
      <c r="AR158" s="532"/>
      <c r="AS158" s="532"/>
      <c r="AT158" s="532"/>
      <c r="AU158" s="532"/>
      <c r="AV158" s="532"/>
      <c r="AW158" s="531"/>
      <c r="AX158" s="516"/>
      <c r="AZ158" s="516"/>
      <c r="BG158" s="2636">
        <v>7</v>
      </c>
      <c r="BH158" s="2636"/>
      <c r="BI158" s="2636"/>
      <c r="BJ158" s="2636"/>
      <c r="BK158" s="2636"/>
      <c r="BL158" s="2636"/>
      <c r="BM158" s="2636"/>
      <c r="BN158" s="2636"/>
      <c r="BO158" s="2636"/>
      <c r="BP158" s="2636"/>
      <c r="BQ158" s="2636"/>
      <c r="BR158" s="2636"/>
      <c r="BS158" s="2636" t="s">
        <v>901</v>
      </c>
      <c r="BT158" s="2636"/>
      <c r="BU158" s="2636"/>
      <c r="BV158" s="2636"/>
      <c r="BW158" s="2636">
        <v>7</v>
      </c>
      <c r="BX158" s="2636"/>
      <c r="BY158" s="2636"/>
      <c r="BZ158" s="2636"/>
      <c r="CA158" s="2636"/>
      <c r="CB158" s="2636"/>
      <c r="CC158" s="2636"/>
      <c r="CD158" s="2636"/>
      <c r="CE158" s="2636"/>
      <c r="CF158" s="2636"/>
      <c r="CG158" s="2636"/>
      <c r="CH158" s="2636"/>
      <c r="CO158" s="517"/>
      <c r="CR158" s="516"/>
      <c r="CW158" s="662"/>
      <c r="CX158" s="662"/>
      <c r="CY158" s="662"/>
      <c r="CZ158" s="664"/>
      <c r="DA158" s="663"/>
      <c r="DB158" s="1601"/>
      <c r="DC158" s="1601"/>
      <c r="DD158" s="1601"/>
      <c r="DE158" s="1601"/>
      <c r="DF158" s="662"/>
      <c r="DG158" s="662"/>
      <c r="DH158" s="662"/>
      <c r="DI158" s="662"/>
      <c r="DJ158" s="662"/>
      <c r="DK158" s="662"/>
      <c r="DL158" s="662"/>
      <c r="DM158" s="662"/>
      <c r="DN158" s="662"/>
      <c r="DO158" s="662"/>
      <c r="DP158" s="662"/>
      <c r="DQ158" s="662"/>
      <c r="DR158" s="662"/>
      <c r="DS158" s="662"/>
      <c r="DT158" s="662"/>
      <c r="DU158" s="662"/>
      <c r="DV158" s="662"/>
      <c r="DW158" s="662"/>
      <c r="DX158" s="664"/>
      <c r="DY158" s="516"/>
      <c r="ED158" s="662"/>
      <c r="EE158" s="662"/>
      <c r="EF158" s="662"/>
      <c r="EG158" s="664"/>
      <c r="EH158" s="662"/>
      <c r="EI158" s="662"/>
      <c r="EJ158" s="516"/>
      <c r="EQ158" s="2637"/>
      <c r="ER158" s="2637"/>
      <c r="ES158" s="2637"/>
      <c r="ET158" s="2637"/>
      <c r="EU158" s="2637"/>
      <c r="EV158" s="2637"/>
      <c r="EW158" s="2637"/>
      <c r="EX158" s="2637"/>
      <c r="EY158" s="2637"/>
      <c r="EZ158" s="2637"/>
      <c r="FA158" s="2637"/>
      <c r="FB158" s="2637"/>
      <c r="FC158" s="2637"/>
      <c r="FD158" s="2637"/>
      <c r="FE158" s="2637"/>
      <c r="FF158" s="2637"/>
      <c r="FG158" s="2637"/>
      <c r="FH158" s="2637"/>
      <c r="FI158" s="2637"/>
      <c r="FJ158" s="2637"/>
      <c r="FK158" s="2637"/>
      <c r="FL158" s="2637"/>
      <c r="FM158" s="2637"/>
      <c r="FN158" s="2637"/>
      <c r="FO158" s="2637"/>
      <c r="FP158" s="2637"/>
      <c r="FQ158" s="2637"/>
      <c r="FR158" s="2637"/>
      <c r="FY158" s="517"/>
      <c r="FZ158" s="662"/>
      <c r="GA158" s="664"/>
      <c r="GB158" s="662"/>
      <c r="GC158" s="662"/>
      <c r="GD158" s="662"/>
      <c r="GE158" s="662"/>
      <c r="GF158" s="662"/>
      <c r="GG158" s="662"/>
      <c r="GH158" s="662"/>
      <c r="GI158" s="662"/>
      <c r="GJ158" s="662"/>
      <c r="GK158" s="662"/>
      <c r="HQ158" s="516"/>
      <c r="HY158" s="2596"/>
      <c r="HZ158" s="2596"/>
      <c r="IA158" s="2596"/>
      <c r="IB158" s="2596"/>
      <c r="IC158" s="2596"/>
      <c r="ID158" s="2596"/>
      <c r="IE158" s="2596"/>
      <c r="IF158" s="2596"/>
      <c r="IG158" s="2596"/>
      <c r="IH158" s="2596"/>
      <c r="II158" s="2596"/>
      <c r="IJ158" s="2596"/>
      <c r="IT158" s="517"/>
    </row>
    <row r="159" spans="26:266" ht="4.1500000000000004" customHeight="1">
      <c r="AD159" s="516"/>
      <c r="AF159" s="515"/>
      <c r="AG159" s="667"/>
      <c r="AH159" s="667"/>
      <c r="AI159" s="667"/>
      <c r="AJ159" s="667"/>
      <c r="AK159" s="667"/>
      <c r="AL159" s="667"/>
      <c r="AM159" s="667"/>
      <c r="AN159" s="1583"/>
      <c r="AO159" s="667"/>
      <c r="AP159" s="667"/>
      <c r="AQ159" s="667"/>
      <c r="AR159" s="667"/>
      <c r="AS159" s="667"/>
      <c r="AT159" s="514"/>
      <c r="AU159" s="514"/>
      <c r="AV159" s="514"/>
      <c r="AW159" s="518"/>
      <c r="AX159" s="516"/>
      <c r="AZ159" s="516"/>
      <c r="BG159" s="2636"/>
      <c r="BH159" s="2636"/>
      <c r="BI159" s="2636"/>
      <c r="BJ159" s="2636"/>
      <c r="BK159" s="2636"/>
      <c r="BL159" s="2636"/>
      <c r="BM159" s="2636"/>
      <c r="BN159" s="2636"/>
      <c r="BO159" s="2636"/>
      <c r="BP159" s="2636"/>
      <c r="BQ159" s="2636"/>
      <c r="BR159" s="2636"/>
      <c r="BS159" s="2636"/>
      <c r="BT159" s="2636"/>
      <c r="BU159" s="2636"/>
      <c r="BV159" s="2636"/>
      <c r="BW159" s="2636"/>
      <c r="BX159" s="2636"/>
      <c r="BY159" s="2636"/>
      <c r="BZ159" s="2636"/>
      <c r="CA159" s="2636"/>
      <c r="CB159" s="2636"/>
      <c r="CC159" s="2636"/>
      <c r="CD159" s="2636"/>
      <c r="CE159" s="2636"/>
      <c r="CF159" s="2636"/>
      <c r="CG159" s="2636"/>
      <c r="CH159" s="2636"/>
      <c r="CO159" s="517"/>
      <c r="CR159" s="516"/>
      <c r="CW159" s="662"/>
      <c r="CX159" s="662"/>
      <c r="CY159" s="662"/>
      <c r="CZ159" s="664"/>
      <c r="DA159" s="663"/>
      <c r="DB159" s="1601"/>
      <c r="DC159" s="1601"/>
      <c r="DD159" s="1601"/>
      <c r="DE159" s="1601"/>
      <c r="DF159" s="662"/>
      <c r="DG159" s="662"/>
      <c r="DH159" s="662"/>
      <c r="DI159" s="662"/>
      <c r="DJ159" s="662"/>
      <c r="DK159" s="662"/>
      <c r="DL159" s="662"/>
      <c r="DM159" s="662"/>
      <c r="DN159" s="662"/>
      <c r="DO159" s="662"/>
      <c r="DP159" s="662"/>
      <c r="DQ159" s="662"/>
      <c r="DR159" s="662"/>
      <c r="DS159" s="662"/>
      <c r="DT159" s="662"/>
      <c r="DU159" s="662"/>
      <c r="DV159" s="662"/>
      <c r="DW159" s="662"/>
      <c r="DX159" s="664"/>
      <c r="DY159" s="516"/>
      <c r="ED159" s="662"/>
      <c r="EE159" s="662"/>
      <c r="EF159" s="662"/>
      <c r="EG159" s="664"/>
      <c r="EH159" s="662"/>
      <c r="EI159" s="662"/>
      <c r="EJ159" s="516"/>
      <c r="EQ159" s="2637"/>
      <c r="ER159" s="2637"/>
      <c r="ES159" s="2637"/>
      <c r="ET159" s="2637"/>
      <c r="EU159" s="2637"/>
      <c r="EV159" s="2637"/>
      <c r="EW159" s="2637"/>
      <c r="EX159" s="2637"/>
      <c r="EY159" s="2637"/>
      <c r="EZ159" s="2637"/>
      <c r="FA159" s="2637"/>
      <c r="FB159" s="2637"/>
      <c r="FC159" s="2637"/>
      <c r="FD159" s="2637"/>
      <c r="FE159" s="2637"/>
      <c r="FF159" s="2637"/>
      <c r="FG159" s="2637"/>
      <c r="FH159" s="2637"/>
      <c r="FI159" s="2637"/>
      <c r="FJ159" s="2637"/>
      <c r="FK159" s="2637"/>
      <c r="FL159" s="2637"/>
      <c r="FM159" s="2637"/>
      <c r="FN159" s="2637"/>
      <c r="FO159" s="2637"/>
      <c r="FP159" s="2637"/>
      <c r="FQ159" s="2637"/>
      <c r="FR159" s="2637"/>
      <c r="FY159" s="517"/>
      <c r="FZ159" s="662"/>
      <c r="GA159" s="664"/>
      <c r="GB159" s="662"/>
      <c r="GC159" s="662"/>
      <c r="GD159" s="662"/>
      <c r="GE159" s="662"/>
      <c r="GF159" s="662"/>
      <c r="GG159" s="662"/>
      <c r="GH159" s="662"/>
      <c r="GI159" s="662"/>
      <c r="GJ159" s="662"/>
      <c r="GK159" s="662"/>
    </row>
    <row r="160" spans="26:266" ht="4.1500000000000004" customHeight="1">
      <c r="AD160" s="516"/>
      <c r="AF160" s="530"/>
      <c r="AG160" s="532"/>
      <c r="AH160" s="532"/>
      <c r="AI160" s="532"/>
      <c r="AJ160" s="532"/>
      <c r="AK160" s="532"/>
      <c r="AL160" s="532"/>
      <c r="AM160" s="532"/>
      <c r="AN160" s="531"/>
      <c r="AO160" s="532"/>
      <c r="AP160" s="532"/>
      <c r="AQ160" s="532"/>
      <c r="AR160" s="532"/>
      <c r="AS160" s="532"/>
      <c r="AT160" s="532"/>
      <c r="AU160" s="532"/>
      <c r="AV160" s="532"/>
      <c r="AW160" s="531"/>
      <c r="AX160" s="516"/>
      <c r="AZ160" s="516"/>
      <c r="BG160" s="2636"/>
      <c r="BH160" s="2636"/>
      <c r="BI160" s="2636"/>
      <c r="BJ160" s="2636"/>
      <c r="BK160" s="2636"/>
      <c r="BL160" s="2636"/>
      <c r="BM160" s="2636"/>
      <c r="BN160" s="2636"/>
      <c r="BO160" s="2636"/>
      <c r="BP160" s="2636"/>
      <c r="BQ160" s="2636"/>
      <c r="BR160" s="2636"/>
      <c r="BS160" s="2636"/>
      <c r="BT160" s="2636"/>
      <c r="BU160" s="2636"/>
      <c r="BV160" s="2636"/>
      <c r="BW160" s="2636"/>
      <c r="BX160" s="2636"/>
      <c r="BY160" s="2636"/>
      <c r="BZ160" s="2636"/>
      <c r="CA160" s="2636"/>
      <c r="CB160" s="2636"/>
      <c r="CC160" s="2636"/>
      <c r="CD160" s="2636"/>
      <c r="CE160" s="2636"/>
      <c r="CF160" s="2636"/>
      <c r="CG160" s="2636"/>
      <c r="CH160" s="2636"/>
      <c r="CO160" s="517"/>
      <c r="CR160" s="516"/>
      <c r="CW160" s="662"/>
      <c r="CX160" s="662"/>
      <c r="CY160" s="662"/>
      <c r="CZ160" s="664"/>
      <c r="DA160" s="663"/>
      <c r="DB160" s="1601"/>
      <c r="DC160" s="1601"/>
      <c r="DD160" s="1601"/>
      <c r="DE160" s="1601"/>
      <c r="DF160" s="662"/>
      <c r="DG160" s="662"/>
      <c r="DH160" s="662"/>
      <c r="DI160" s="662"/>
      <c r="DJ160" s="662"/>
      <c r="DK160" s="662"/>
      <c r="DL160" s="662"/>
      <c r="DM160" s="662"/>
      <c r="DN160" s="662"/>
      <c r="DO160" s="662"/>
      <c r="DP160" s="662"/>
      <c r="DQ160" s="662"/>
      <c r="DR160" s="662"/>
      <c r="DS160" s="662"/>
      <c r="DT160" s="662"/>
      <c r="DU160" s="662"/>
      <c r="DV160" s="662"/>
      <c r="DW160" s="662"/>
      <c r="DX160" s="664"/>
      <c r="DY160" s="516"/>
      <c r="ED160" s="662"/>
      <c r="EE160" s="662"/>
      <c r="EF160" s="662"/>
      <c r="EG160" s="664"/>
      <c r="EH160" s="662"/>
      <c r="EI160" s="662"/>
      <c r="EJ160" s="516"/>
      <c r="EQ160" s="2637"/>
      <c r="ER160" s="2637"/>
      <c r="ES160" s="2637"/>
      <c r="ET160" s="2637"/>
      <c r="EU160" s="2637"/>
      <c r="EV160" s="2637"/>
      <c r="EW160" s="2637"/>
      <c r="EX160" s="2637"/>
      <c r="EY160" s="2637"/>
      <c r="EZ160" s="2637"/>
      <c r="FA160" s="2637"/>
      <c r="FB160" s="2637"/>
      <c r="FC160" s="2637"/>
      <c r="FD160" s="2637"/>
      <c r="FE160" s="2637"/>
      <c r="FF160" s="2637"/>
      <c r="FG160" s="2637"/>
      <c r="FH160" s="2637"/>
      <c r="FI160" s="2637"/>
      <c r="FJ160" s="2637"/>
      <c r="FK160" s="2637"/>
      <c r="FL160" s="2637"/>
      <c r="FM160" s="2637"/>
      <c r="FN160" s="2637"/>
      <c r="FO160" s="2637"/>
      <c r="FP160" s="2637"/>
      <c r="FQ160" s="2637"/>
      <c r="FR160" s="2637"/>
      <c r="FY160" s="517"/>
      <c r="FZ160" s="662"/>
      <c r="GA160" s="664"/>
      <c r="GB160" s="662"/>
      <c r="GC160" s="662"/>
      <c r="GD160" s="662"/>
      <c r="GE160" s="662"/>
      <c r="GF160" s="662"/>
      <c r="GG160" s="662"/>
      <c r="GH160" s="662"/>
      <c r="GI160" s="662"/>
      <c r="GJ160" s="662"/>
      <c r="GK160" s="662"/>
      <c r="HQ160" s="515"/>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8"/>
    </row>
    <row r="161" spans="4:254" ht="4.1500000000000004" customHeight="1">
      <c r="AD161" s="516"/>
      <c r="AF161" s="515"/>
      <c r="AG161" s="667"/>
      <c r="AH161" s="667"/>
      <c r="AI161" s="667"/>
      <c r="AJ161" s="667"/>
      <c r="AK161" s="667"/>
      <c r="AL161" s="667"/>
      <c r="AM161" s="667"/>
      <c r="AN161" s="1583"/>
      <c r="AO161" s="667"/>
      <c r="AP161" s="667"/>
      <c r="AQ161" s="667"/>
      <c r="AR161" s="667"/>
      <c r="AS161" s="667"/>
      <c r="AT161" s="514"/>
      <c r="AU161" s="514"/>
      <c r="AV161" s="514"/>
      <c r="AW161" s="518"/>
      <c r="AX161" s="519"/>
      <c r="AY161" s="521"/>
      <c r="AZ161" s="516"/>
      <c r="BG161" s="2636"/>
      <c r="BH161" s="2636"/>
      <c r="BI161" s="2636"/>
      <c r="BJ161" s="2636"/>
      <c r="BK161" s="2636"/>
      <c r="BL161" s="2636"/>
      <c r="BM161" s="2636"/>
      <c r="BN161" s="2636"/>
      <c r="BO161" s="2636"/>
      <c r="BP161" s="2636"/>
      <c r="BQ161" s="2636"/>
      <c r="BR161" s="2636"/>
      <c r="BS161" s="2636"/>
      <c r="BT161" s="2636"/>
      <c r="BU161" s="2636"/>
      <c r="BV161" s="2636"/>
      <c r="BW161" s="2636"/>
      <c r="BX161" s="2636"/>
      <c r="BY161" s="2636"/>
      <c r="BZ161" s="2636"/>
      <c r="CA161" s="2636"/>
      <c r="CB161" s="2636"/>
      <c r="CC161" s="2636"/>
      <c r="CD161" s="2636"/>
      <c r="CE161" s="2636"/>
      <c r="CF161" s="2636"/>
      <c r="CG161" s="2636"/>
      <c r="CH161" s="2636"/>
      <c r="CO161" s="517"/>
      <c r="CP161" s="519"/>
      <c r="CQ161" s="521"/>
      <c r="CR161" s="516"/>
      <c r="CW161" s="662"/>
      <c r="CX161" s="662"/>
      <c r="CY161" s="662"/>
      <c r="CZ161" s="664"/>
      <c r="DA161" s="663"/>
      <c r="DB161" s="1601"/>
      <c r="DC161" s="1601"/>
      <c r="DD161" s="1601"/>
      <c r="DE161" s="1601"/>
      <c r="DF161" s="662"/>
      <c r="DG161" s="662"/>
      <c r="DH161" s="662"/>
      <c r="DI161" s="662"/>
      <c r="DJ161" s="662"/>
      <c r="DK161" s="662"/>
      <c r="DL161" s="662"/>
      <c r="DM161" s="662"/>
      <c r="DN161" s="662"/>
      <c r="DO161" s="662"/>
      <c r="DP161" s="662"/>
      <c r="DQ161" s="662"/>
      <c r="DR161" s="662"/>
      <c r="DS161" s="662"/>
      <c r="DT161" s="662"/>
      <c r="DU161" s="662"/>
      <c r="DV161" s="662"/>
      <c r="DW161" s="662"/>
      <c r="DX161" s="664"/>
      <c r="DY161" s="516"/>
      <c r="ED161" s="662"/>
      <c r="EE161" s="662"/>
      <c r="EF161" s="662"/>
      <c r="EG161" s="664"/>
      <c r="EH161" s="519"/>
      <c r="EI161" s="521"/>
      <c r="EJ161" s="516"/>
      <c r="EQ161" s="2636">
        <v>7</v>
      </c>
      <c r="ER161" s="2636"/>
      <c r="ES161" s="2636"/>
      <c r="ET161" s="2636"/>
      <c r="EU161" s="2636"/>
      <c r="EV161" s="2636"/>
      <c r="EW161" s="2636"/>
      <c r="EX161" s="2636"/>
      <c r="EY161" s="2636"/>
      <c r="EZ161" s="2636"/>
      <c r="FA161" s="2636"/>
      <c r="FB161" s="2636"/>
      <c r="FC161" s="2636" t="s">
        <v>901</v>
      </c>
      <c r="FD161" s="2636"/>
      <c r="FE161" s="2636"/>
      <c r="FF161" s="2636"/>
      <c r="FG161" s="2636">
        <v>7</v>
      </c>
      <c r="FH161" s="2636"/>
      <c r="FI161" s="2636"/>
      <c r="FJ161" s="2636"/>
      <c r="FK161" s="2636"/>
      <c r="FL161" s="2636"/>
      <c r="FM161" s="2636"/>
      <c r="FN161" s="2636"/>
      <c r="FO161" s="2636"/>
      <c r="FP161" s="2636"/>
      <c r="FQ161" s="2636"/>
      <c r="FR161" s="2636"/>
      <c r="FY161" s="517"/>
      <c r="FZ161" s="519"/>
      <c r="GA161" s="521"/>
      <c r="GB161" s="662"/>
      <c r="GC161" s="662"/>
      <c r="GD161" s="662"/>
      <c r="GE161" s="662"/>
      <c r="GF161" s="662"/>
      <c r="GG161" s="662"/>
      <c r="GH161" s="662"/>
      <c r="GI161" s="662"/>
      <c r="GJ161" s="662"/>
      <c r="GK161" s="662"/>
      <c r="HQ161" s="516"/>
      <c r="HR161" s="2647"/>
      <c r="HS161" s="2648"/>
      <c r="HT161" s="2648"/>
      <c r="HU161" s="2648"/>
      <c r="HV161" s="2648"/>
      <c r="HW161" s="2648"/>
      <c r="HX161" s="2648"/>
      <c r="HY161" s="2648"/>
      <c r="HZ161" s="2648"/>
      <c r="IA161" s="2648"/>
      <c r="IB161" s="2648"/>
      <c r="IC161" s="514"/>
      <c r="ID161" s="514"/>
      <c r="IE161" s="514"/>
      <c r="IF161" s="514"/>
      <c r="IG161" s="514"/>
      <c r="IH161" s="514"/>
      <c r="II161" s="2617"/>
      <c r="IJ161" s="2617"/>
      <c r="IK161" s="2617"/>
      <c r="IL161" s="2617"/>
      <c r="IM161" s="2617"/>
      <c r="IN161" s="2617"/>
      <c r="IO161" s="2617"/>
      <c r="IP161" s="2617"/>
      <c r="IQ161" s="2617"/>
      <c r="IR161" s="2617"/>
      <c r="IS161" s="2618"/>
      <c r="IT161" s="517"/>
    </row>
    <row r="162" spans="4:254" ht="4.1500000000000004" customHeight="1">
      <c r="AD162" s="516"/>
      <c r="AF162" s="530"/>
      <c r="AG162" s="532"/>
      <c r="AH162" s="532"/>
      <c r="AI162" s="532"/>
      <c r="AJ162" s="532"/>
      <c r="AK162" s="532"/>
      <c r="AL162" s="532"/>
      <c r="AM162" s="532"/>
      <c r="AN162" s="531"/>
      <c r="AO162" s="532"/>
      <c r="AP162" s="532"/>
      <c r="AQ162" s="532"/>
      <c r="AR162" s="532"/>
      <c r="AS162" s="532"/>
      <c r="AT162" s="532"/>
      <c r="AU162" s="532"/>
      <c r="AV162" s="532"/>
      <c r="AW162" s="531"/>
      <c r="AX162" s="527"/>
      <c r="AY162" s="529"/>
      <c r="AZ162" s="516"/>
      <c r="CO162" s="517"/>
      <c r="CP162" s="527"/>
      <c r="CQ162" s="529"/>
      <c r="CR162" s="516"/>
      <c r="CW162" s="662"/>
      <c r="CX162" s="662"/>
      <c r="CY162" s="662"/>
      <c r="CZ162" s="664"/>
      <c r="DA162" s="663"/>
      <c r="DB162" s="1601"/>
      <c r="DC162" s="1601"/>
      <c r="DD162" s="1601"/>
      <c r="DE162" s="1601"/>
      <c r="DF162" s="662"/>
      <c r="DG162" s="662"/>
      <c r="DH162" s="662"/>
      <c r="DI162" s="662"/>
      <c r="DJ162" s="662"/>
      <c r="DK162" s="662"/>
      <c r="DL162" s="662"/>
      <c r="DM162" s="662"/>
      <c r="DN162" s="662"/>
      <c r="DO162" s="662"/>
      <c r="DP162" s="662"/>
      <c r="DQ162" s="662"/>
      <c r="DR162" s="662"/>
      <c r="DS162" s="662"/>
      <c r="DT162" s="662"/>
      <c r="DU162" s="662"/>
      <c r="DV162" s="662"/>
      <c r="DW162" s="662"/>
      <c r="DX162" s="664"/>
      <c r="DY162" s="516"/>
      <c r="ED162" s="662"/>
      <c r="EE162" s="662"/>
      <c r="EF162" s="662"/>
      <c r="EG162" s="664"/>
      <c r="EH162" s="527"/>
      <c r="EI162" s="529"/>
      <c r="EJ162" s="516"/>
      <c r="EQ162" s="2636"/>
      <c r="ER162" s="2636"/>
      <c r="ES162" s="2636"/>
      <c r="ET162" s="2636"/>
      <c r="EU162" s="2636"/>
      <c r="EV162" s="2636"/>
      <c r="EW162" s="2636"/>
      <c r="EX162" s="2636"/>
      <c r="EY162" s="2636"/>
      <c r="EZ162" s="2636"/>
      <c r="FA162" s="2636"/>
      <c r="FB162" s="2636"/>
      <c r="FC162" s="2636"/>
      <c r="FD162" s="2636"/>
      <c r="FE162" s="2636"/>
      <c r="FF162" s="2636"/>
      <c r="FG162" s="2636"/>
      <c r="FH162" s="2636"/>
      <c r="FI162" s="2636"/>
      <c r="FJ162" s="2636"/>
      <c r="FK162" s="2636"/>
      <c r="FL162" s="2636"/>
      <c r="FM162" s="2636"/>
      <c r="FN162" s="2636"/>
      <c r="FO162" s="2636"/>
      <c r="FP162" s="2636"/>
      <c r="FQ162" s="2636"/>
      <c r="FR162" s="2636"/>
      <c r="FY162" s="517"/>
      <c r="FZ162" s="527"/>
      <c r="GA162" s="529"/>
      <c r="GB162" s="662"/>
      <c r="GC162" s="662"/>
      <c r="GD162" s="662"/>
      <c r="GE162" s="662"/>
      <c r="GF162" s="662"/>
      <c r="GG162" s="662"/>
      <c r="GH162" s="662"/>
      <c r="GI162" s="662"/>
      <c r="GJ162" s="662"/>
      <c r="GK162" s="662"/>
      <c r="HQ162" s="516"/>
      <c r="HR162" s="2649"/>
      <c r="HS162" s="2644"/>
      <c r="HT162" s="2644"/>
      <c r="HU162" s="2644"/>
      <c r="HV162" s="2644"/>
      <c r="HW162" s="2644"/>
      <c r="HX162" s="2644"/>
      <c r="HY162" s="2644"/>
      <c r="HZ162" s="2644"/>
      <c r="IA162" s="2644"/>
      <c r="IB162" s="2644"/>
      <c r="II162" s="2619"/>
      <c r="IJ162" s="2619"/>
      <c r="IK162" s="2619"/>
      <c r="IL162" s="2619"/>
      <c r="IM162" s="2619"/>
      <c r="IN162" s="2619"/>
      <c r="IO162" s="2619"/>
      <c r="IP162" s="2619"/>
      <c r="IQ162" s="2619"/>
      <c r="IR162" s="2619"/>
      <c r="IS162" s="2620"/>
      <c r="IT162" s="517"/>
    </row>
    <row r="163" spans="4:254" ht="4.1500000000000004" customHeight="1">
      <c r="AD163" s="516"/>
      <c r="AF163" s="516"/>
      <c r="AW163" s="517"/>
      <c r="AX163" s="516"/>
      <c r="AZ163" s="516"/>
      <c r="CO163" s="517"/>
      <c r="CR163" s="516"/>
      <c r="CW163" s="662"/>
      <c r="CX163" s="662"/>
      <c r="CY163" s="662"/>
      <c r="CZ163" s="664"/>
      <c r="DA163" s="663"/>
      <c r="DB163" s="1601"/>
      <c r="DC163" s="1601"/>
      <c r="DD163" s="1601"/>
      <c r="DE163" s="1601"/>
      <c r="DF163" s="662"/>
      <c r="DG163" s="662"/>
      <c r="DH163" s="662"/>
      <c r="DI163" s="662"/>
      <c r="DJ163" s="662"/>
      <c r="DK163" s="662"/>
      <c r="DL163" s="662"/>
      <c r="DM163" s="662"/>
      <c r="DN163" s="662"/>
      <c r="DO163" s="662"/>
      <c r="DP163" s="662"/>
      <c r="DQ163" s="662"/>
      <c r="DR163" s="662"/>
      <c r="DS163" s="662"/>
      <c r="DT163" s="662"/>
      <c r="DU163" s="662"/>
      <c r="DV163" s="662"/>
      <c r="DW163" s="662"/>
      <c r="DX163" s="664"/>
      <c r="DY163" s="516"/>
      <c r="ED163" s="662"/>
      <c r="EE163" s="662"/>
      <c r="EF163" s="662"/>
      <c r="EG163" s="664"/>
      <c r="EH163" s="662"/>
      <c r="EI163" s="662"/>
      <c r="EJ163" s="516"/>
      <c r="EQ163" s="2636"/>
      <c r="ER163" s="2636"/>
      <c r="ES163" s="2636"/>
      <c r="ET163" s="2636"/>
      <c r="EU163" s="2636"/>
      <c r="EV163" s="2636"/>
      <c r="EW163" s="2636"/>
      <c r="EX163" s="2636"/>
      <c r="EY163" s="2636"/>
      <c r="EZ163" s="2636"/>
      <c r="FA163" s="2636"/>
      <c r="FB163" s="2636"/>
      <c r="FC163" s="2636"/>
      <c r="FD163" s="2636"/>
      <c r="FE163" s="2636"/>
      <c r="FF163" s="2636"/>
      <c r="FG163" s="2636"/>
      <c r="FH163" s="2636"/>
      <c r="FI163" s="2636"/>
      <c r="FJ163" s="2636"/>
      <c r="FK163" s="2636"/>
      <c r="FL163" s="2636"/>
      <c r="FM163" s="2636"/>
      <c r="FN163" s="2636"/>
      <c r="FO163" s="2636"/>
      <c r="FP163" s="2636"/>
      <c r="FQ163" s="2636"/>
      <c r="FR163" s="2636"/>
      <c r="FY163" s="517"/>
      <c r="FZ163" s="662"/>
      <c r="GA163" s="664"/>
      <c r="GB163" s="662"/>
      <c r="GC163" s="662"/>
      <c r="GD163" s="662"/>
      <c r="GE163" s="662"/>
      <c r="GF163" s="662"/>
      <c r="GG163" s="662"/>
      <c r="GH163" s="662"/>
      <c r="GI163" s="662"/>
      <c r="GJ163" s="662"/>
      <c r="GK163" s="662"/>
      <c r="HQ163" s="516"/>
      <c r="HR163" s="2649"/>
      <c r="HS163" s="2644"/>
      <c r="HT163" s="2644"/>
      <c r="HU163" s="2644"/>
      <c r="HV163" s="2644"/>
      <c r="HW163" s="2644"/>
      <c r="HX163" s="2644"/>
      <c r="HY163" s="2644"/>
      <c r="HZ163" s="2644"/>
      <c r="IA163" s="2644"/>
      <c r="IB163" s="2644"/>
      <c r="II163" s="2619"/>
      <c r="IJ163" s="2619"/>
      <c r="IK163" s="2619"/>
      <c r="IL163" s="2619"/>
      <c r="IM163" s="2619"/>
      <c r="IN163" s="2619"/>
      <c r="IO163" s="2619"/>
      <c r="IP163" s="2619"/>
      <c r="IQ163" s="2619"/>
      <c r="IR163" s="2619"/>
      <c r="IS163" s="2620"/>
      <c r="IT163" s="517"/>
    </row>
    <row r="164" spans="4:254" ht="4.1500000000000004" customHeight="1">
      <c r="D164" s="1601"/>
      <c r="E164" s="1601"/>
      <c r="F164" s="1601"/>
      <c r="G164" s="1601"/>
      <c r="AD164" s="516"/>
      <c r="AF164" s="516"/>
      <c r="AW164" s="517"/>
      <c r="AX164" s="516"/>
      <c r="AZ164" s="516"/>
      <c r="CO164" s="517"/>
      <c r="CR164" s="516"/>
      <c r="CW164" s="662"/>
      <c r="CX164" s="662"/>
      <c r="CY164" s="662"/>
      <c r="CZ164" s="664"/>
      <c r="DA164" s="663"/>
      <c r="DF164" s="662"/>
      <c r="DG164" s="662"/>
      <c r="DH164" s="662"/>
      <c r="DI164" s="662"/>
      <c r="DJ164" s="662"/>
      <c r="DK164" s="662"/>
      <c r="DL164" s="662"/>
      <c r="DM164" s="662"/>
      <c r="DN164" s="662"/>
      <c r="DO164" s="662"/>
      <c r="DP164" s="662"/>
      <c r="DQ164" s="662"/>
      <c r="DR164" s="662"/>
      <c r="DS164" s="662"/>
      <c r="DT164" s="662"/>
      <c r="DU164" s="662"/>
      <c r="DV164" s="662"/>
      <c r="DW164" s="662"/>
      <c r="DX164" s="664"/>
      <c r="DY164" s="516"/>
      <c r="ED164" s="662"/>
      <c r="EE164" s="662"/>
      <c r="EF164" s="662"/>
      <c r="EG164" s="664"/>
      <c r="EH164" s="662"/>
      <c r="EI164" s="662"/>
      <c r="EJ164" s="516"/>
      <c r="EQ164" s="2636"/>
      <c r="ER164" s="2636"/>
      <c r="ES164" s="2636"/>
      <c r="ET164" s="2636"/>
      <c r="EU164" s="2636"/>
      <c r="EV164" s="2636"/>
      <c r="EW164" s="2636"/>
      <c r="EX164" s="2636"/>
      <c r="EY164" s="2636"/>
      <c r="EZ164" s="2636"/>
      <c r="FA164" s="2636"/>
      <c r="FB164" s="2636"/>
      <c r="FC164" s="2636"/>
      <c r="FD164" s="2636"/>
      <c r="FE164" s="2636"/>
      <c r="FF164" s="2636"/>
      <c r="FG164" s="2636"/>
      <c r="FH164" s="2636"/>
      <c r="FI164" s="2636"/>
      <c r="FJ164" s="2636"/>
      <c r="FK164" s="2636"/>
      <c r="FL164" s="2636"/>
      <c r="FM164" s="2636"/>
      <c r="FN164" s="2636"/>
      <c r="FO164" s="2636"/>
      <c r="FP164" s="2636"/>
      <c r="FQ164" s="2636"/>
      <c r="FR164" s="2636"/>
      <c r="FY164" s="517"/>
      <c r="FZ164" s="662"/>
      <c r="GA164" s="664"/>
      <c r="GB164" s="662"/>
      <c r="GC164" s="662"/>
      <c r="GD164" s="662"/>
      <c r="GE164" s="662"/>
      <c r="GF164" s="662"/>
      <c r="GG164" s="662"/>
      <c r="GH164" s="662"/>
      <c r="GI164" s="662"/>
      <c r="GJ164" s="662"/>
      <c r="GK164" s="662"/>
      <c r="HQ164" s="516"/>
      <c r="HR164" s="2649"/>
      <c r="HS164" s="2644"/>
      <c r="HT164" s="2644"/>
      <c r="HU164" s="2644"/>
      <c r="HV164" s="2644"/>
      <c r="HW164" s="2644"/>
      <c r="HX164" s="2644"/>
      <c r="HY164" s="2644"/>
      <c r="HZ164" s="2644"/>
      <c r="IA164" s="2644"/>
      <c r="IB164" s="2644"/>
      <c r="II164" s="2619"/>
      <c r="IJ164" s="2619"/>
      <c r="IK164" s="2619"/>
      <c r="IL164" s="2619"/>
      <c r="IM164" s="2619"/>
      <c r="IN164" s="2619"/>
      <c r="IO164" s="2619"/>
      <c r="IP164" s="2619"/>
      <c r="IQ164" s="2619"/>
      <c r="IR164" s="2619"/>
      <c r="IS164" s="2620"/>
      <c r="IT164" s="517"/>
    </row>
    <row r="165" spans="4:254" ht="4.1500000000000004" customHeight="1">
      <c r="D165" s="1601"/>
      <c r="E165" s="1601"/>
      <c r="F165" s="1601"/>
      <c r="G165" s="1601"/>
      <c r="AD165" s="516"/>
      <c r="AF165" s="516"/>
      <c r="AW165" s="517"/>
      <c r="AX165" s="516"/>
      <c r="AZ165" s="516"/>
      <c r="CO165" s="517"/>
      <c r="CR165" s="516"/>
      <c r="CW165" s="662"/>
      <c r="CX165" s="662"/>
      <c r="CY165" s="662"/>
      <c r="CZ165" s="664"/>
      <c r="DA165" s="519"/>
      <c r="DB165" s="521"/>
      <c r="DF165" s="662"/>
      <c r="DG165" s="662"/>
      <c r="DH165" s="662"/>
      <c r="DI165" s="662"/>
      <c r="DJ165" s="662"/>
      <c r="DK165" s="662"/>
      <c r="DL165" s="662"/>
      <c r="DM165" s="662"/>
      <c r="DN165" s="662"/>
      <c r="DO165" s="662"/>
      <c r="DP165" s="662"/>
      <c r="DQ165" s="662"/>
      <c r="DR165" s="662"/>
      <c r="DS165" s="662"/>
      <c r="DT165" s="662"/>
      <c r="DU165" s="662"/>
      <c r="DV165" s="662"/>
      <c r="DW165" s="519"/>
      <c r="DX165" s="521"/>
      <c r="DY165" s="516"/>
      <c r="ED165" s="662"/>
      <c r="EE165" s="662"/>
      <c r="EF165" s="662"/>
      <c r="EG165" s="664"/>
      <c r="EH165" s="662"/>
      <c r="EI165" s="662"/>
      <c r="EJ165" s="516"/>
      <c r="FY165" s="517"/>
      <c r="FZ165" s="662"/>
      <c r="GA165" s="664"/>
      <c r="GB165" s="662"/>
      <c r="GC165" s="662"/>
      <c r="GD165" s="662"/>
      <c r="GE165" s="662"/>
      <c r="GF165" s="662"/>
      <c r="GG165" s="662"/>
      <c r="GH165" s="662"/>
      <c r="GI165" s="662"/>
      <c r="GJ165" s="662"/>
      <c r="GK165" s="662"/>
      <c r="HQ165" s="516"/>
      <c r="HR165" s="2649"/>
      <c r="HS165" s="2644"/>
      <c r="HT165" s="2644"/>
      <c r="HU165" s="2644"/>
      <c r="HV165" s="2644"/>
      <c r="HW165" s="2644"/>
      <c r="HX165" s="2644"/>
      <c r="HY165" s="2644"/>
      <c r="HZ165" s="2644"/>
      <c r="IA165" s="2644"/>
      <c r="IB165" s="2644"/>
      <c r="II165" s="2619"/>
      <c r="IJ165" s="2619"/>
      <c r="IK165" s="2619"/>
      <c r="IL165" s="2619"/>
      <c r="IM165" s="2619"/>
      <c r="IN165" s="2619"/>
      <c r="IO165" s="2619"/>
      <c r="IP165" s="2619"/>
      <c r="IQ165" s="2619"/>
      <c r="IR165" s="2619"/>
      <c r="IS165" s="2620"/>
      <c r="IT165" s="517"/>
    </row>
    <row r="166" spans="4:254" ht="4.1500000000000004" customHeight="1">
      <c r="D166" s="1601"/>
      <c r="E166" s="1601"/>
      <c r="F166" s="1601"/>
      <c r="G166" s="1601"/>
      <c r="AD166" s="516"/>
      <c r="AF166" s="516"/>
      <c r="AW166" s="517"/>
      <c r="AX166" s="516"/>
      <c r="AZ166" s="516"/>
      <c r="CO166" s="517"/>
      <c r="CR166" s="516"/>
      <c r="CW166" s="662"/>
      <c r="CX166" s="662"/>
      <c r="CY166" s="662"/>
      <c r="CZ166" s="664"/>
      <c r="DA166" s="522"/>
      <c r="DB166" s="524"/>
      <c r="DF166" s="662"/>
      <c r="DG166" s="662"/>
      <c r="DH166" s="662"/>
      <c r="DI166" s="662"/>
      <c r="DJ166" s="662"/>
      <c r="DK166" s="662"/>
      <c r="DL166" s="662"/>
      <c r="DM166" s="662"/>
      <c r="DN166" s="662"/>
      <c r="DO166" s="662"/>
      <c r="DP166" s="662"/>
      <c r="DQ166" s="662"/>
      <c r="DR166" s="662"/>
      <c r="DS166" s="662"/>
      <c r="DT166" s="662"/>
      <c r="DU166" s="662"/>
      <c r="DV166" s="662"/>
      <c r="DW166" s="522"/>
      <c r="DX166" s="524"/>
      <c r="DY166" s="516"/>
      <c r="ED166" s="662"/>
      <c r="EE166" s="662"/>
      <c r="EF166" s="662"/>
      <c r="EG166" s="664"/>
      <c r="EH166" s="662"/>
      <c r="EI166" s="662"/>
      <c r="EJ166" s="516"/>
      <c r="FY166" s="517"/>
      <c r="FZ166" s="662"/>
      <c r="GA166" s="664"/>
      <c r="GB166" s="662"/>
      <c r="GC166" s="662"/>
      <c r="GD166" s="662"/>
      <c r="GE166" s="662"/>
      <c r="GF166" s="662"/>
      <c r="GG166" s="662"/>
      <c r="GH166" s="662"/>
      <c r="GI166" s="662"/>
      <c r="GJ166" s="662"/>
      <c r="GK166" s="662"/>
      <c r="HQ166" s="516"/>
      <c r="HR166" s="2649"/>
      <c r="HS166" s="2644"/>
      <c r="HT166" s="2644"/>
      <c r="HU166" s="2644"/>
      <c r="HV166" s="2644"/>
      <c r="HW166" s="2644"/>
      <c r="HX166" s="2644"/>
      <c r="HY166" s="2644"/>
      <c r="HZ166" s="2644"/>
      <c r="IA166" s="2644"/>
      <c r="IB166" s="2644"/>
      <c r="II166" s="2619"/>
      <c r="IJ166" s="2619"/>
      <c r="IK166" s="2619"/>
      <c r="IL166" s="2619"/>
      <c r="IM166" s="2619"/>
      <c r="IN166" s="2619"/>
      <c r="IO166" s="2619"/>
      <c r="IP166" s="2619"/>
      <c r="IQ166" s="2619"/>
      <c r="IR166" s="2619"/>
      <c r="IS166" s="2620"/>
      <c r="IT166" s="517"/>
    </row>
    <row r="167" spans="4:254" ht="4.1500000000000004" customHeight="1">
      <c r="D167" s="1601"/>
      <c r="E167" s="1601"/>
      <c r="F167" s="1601"/>
      <c r="G167" s="1601"/>
      <c r="AD167" s="516"/>
      <c r="AF167" s="516"/>
      <c r="AW167" s="517"/>
      <c r="AX167" s="516"/>
      <c r="AZ167" s="516"/>
      <c r="CO167" s="517"/>
      <c r="CR167" s="516"/>
      <c r="CW167" s="662"/>
      <c r="CX167" s="662"/>
      <c r="CY167" s="662"/>
      <c r="CZ167" s="664"/>
      <c r="DA167" s="527"/>
      <c r="DB167" s="529"/>
      <c r="DC167" s="532"/>
      <c r="DD167" s="532"/>
      <c r="DE167" s="532"/>
      <c r="DF167" s="665"/>
      <c r="DG167" s="665"/>
      <c r="DH167" s="665"/>
      <c r="DI167" s="665"/>
      <c r="DJ167" s="665"/>
      <c r="DK167" s="665"/>
      <c r="DL167" s="665"/>
      <c r="DM167" s="665"/>
      <c r="DN167" s="665"/>
      <c r="DO167" s="665"/>
      <c r="DP167" s="665"/>
      <c r="DQ167" s="665"/>
      <c r="DR167" s="665"/>
      <c r="DS167" s="665"/>
      <c r="DT167" s="665"/>
      <c r="DU167" s="665"/>
      <c r="DV167" s="665"/>
      <c r="DW167" s="527"/>
      <c r="DX167" s="529"/>
      <c r="DY167" s="516"/>
      <c r="ED167" s="662"/>
      <c r="EE167" s="662"/>
      <c r="EF167" s="662"/>
      <c r="EG167" s="664"/>
      <c r="EH167" s="662"/>
      <c r="EI167" s="662"/>
      <c r="EJ167" s="516"/>
      <c r="FY167" s="517"/>
      <c r="FZ167" s="662"/>
      <c r="GA167" s="664"/>
      <c r="GB167" s="1559"/>
      <c r="GC167" s="537"/>
      <c r="GD167" s="538"/>
      <c r="GE167" s="662"/>
      <c r="GF167" s="662"/>
      <c r="GG167" s="662"/>
      <c r="GH167" s="662"/>
      <c r="GI167" s="662"/>
      <c r="GJ167" s="662"/>
      <c r="GK167" s="662"/>
      <c r="HQ167" s="516"/>
      <c r="HR167" s="2649"/>
      <c r="HS167" s="2644"/>
      <c r="HT167" s="2644"/>
      <c r="HU167" s="2644"/>
      <c r="HV167" s="2644"/>
      <c r="HW167" s="2644"/>
      <c r="HX167" s="2644"/>
      <c r="HY167" s="2644"/>
      <c r="HZ167" s="2644"/>
      <c r="IA167" s="2644"/>
      <c r="IB167" s="2644"/>
      <c r="II167" s="2619"/>
      <c r="IJ167" s="2619"/>
      <c r="IK167" s="2619"/>
      <c r="IL167" s="2619"/>
      <c r="IM167" s="2619"/>
      <c r="IN167" s="2619"/>
      <c r="IO167" s="2619"/>
      <c r="IP167" s="2619"/>
      <c r="IQ167" s="2619"/>
      <c r="IR167" s="2619"/>
      <c r="IS167" s="2620"/>
      <c r="IT167" s="517"/>
    </row>
    <row r="168" spans="4:254" ht="4.1500000000000004" customHeight="1">
      <c r="D168" s="1601"/>
      <c r="E168" s="1601"/>
      <c r="F168" s="1601"/>
      <c r="G168" s="1601"/>
      <c r="AD168" s="516"/>
      <c r="AF168" s="516"/>
      <c r="AW168" s="517"/>
      <c r="AX168" s="516"/>
      <c r="AZ168" s="516"/>
      <c r="CP168" s="514"/>
      <c r="CQ168" s="514"/>
      <c r="CW168" s="662"/>
      <c r="CX168" s="662"/>
      <c r="CY168" s="662"/>
      <c r="CZ168" s="662"/>
      <c r="DA168" s="667"/>
      <c r="DB168" s="514"/>
      <c r="DC168" s="514"/>
      <c r="DD168" s="514"/>
      <c r="DE168" s="514"/>
      <c r="DF168" s="667"/>
      <c r="DG168" s="667"/>
      <c r="DH168" s="667"/>
      <c r="DI168" s="667"/>
      <c r="DJ168" s="667"/>
      <c r="DK168" s="667"/>
      <c r="DL168" s="667"/>
      <c r="DM168" s="667"/>
      <c r="DN168" s="667"/>
      <c r="DO168" s="667"/>
      <c r="DP168" s="667"/>
      <c r="DQ168" s="667"/>
      <c r="DR168" s="667"/>
      <c r="DS168" s="667"/>
      <c r="DT168" s="667"/>
      <c r="DU168" s="667"/>
      <c r="DV168" s="667"/>
      <c r="DW168" s="667"/>
      <c r="DX168" s="667"/>
      <c r="ED168" s="662"/>
      <c r="EE168" s="662"/>
      <c r="EF168" s="662"/>
      <c r="EG168" s="662"/>
      <c r="EH168" s="667"/>
      <c r="EI168" s="667"/>
      <c r="FY168" s="517"/>
      <c r="FZ168" s="515"/>
      <c r="GA168" s="1613"/>
      <c r="GB168" s="516"/>
      <c r="GD168" s="540"/>
      <c r="GE168" s="662"/>
      <c r="GF168" s="662"/>
      <c r="GG168" s="662"/>
      <c r="GH168" s="662"/>
      <c r="GI168" s="662"/>
      <c r="GJ168" s="662"/>
      <c r="GK168" s="662"/>
      <c r="HQ168" s="516"/>
      <c r="HR168" s="2649"/>
      <c r="HS168" s="2644"/>
      <c r="HT168" s="2644"/>
      <c r="HU168" s="2644"/>
      <c r="HV168" s="2644"/>
      <c r="HW168" s="2644"/>
      <c r="HX168" s="2644"/>
      <c r="HY168" s="2644"/>
      <c r="HZ168" s="2644"/>
      <c r="IA168" s="2644"/>
      <c r="IB168" s="2644"/>
      <c r="II168" s="2619"/>
      <c r="IJ168" s="2619"/>
      <c r="IK168" s="2619"/>
      <c r="IL168" s="2619"/>
      <c r="IM168" s="2619"/>
      <c r="IN168" s="2619"/>
      <c r="IO168" s="2619"/>
      <c r="IP168" s="2619"/>
      <c r="IQ168" s="2619"/>
      <c r="IR168" s="2619"/>
      <c r="IS168" s="2620"/>
      <c r="IT168" s="517"/>
    </row>
    <row r="169" spans="4:254" ht="4.1500000000000004" customHeight="1">
      <c r="D169" s="1601"/>
      <c r="E169" s="1601"/>
      <c r="F169" s="1601"/>
      <c r="G169" s="1601"/>
      <c r="AD169" s="519"/>
      <c r="AE169" s="521"/>
      <c r="AF169" s="530"/>
      <c r="AG169" s="532"/>
      <c r="AH169" s="532"/>
      <c r="AI169" s="532"/>
      <c r="AJ169" s="532"/>
      <c r="AK169" s="532"/>
      <c r="AL169" s="532"/>
      <c r="AM169" s="532"/>
      <c r="AN169" s="532"/>
      <c r="AO169" s="532"/>
      <c r="AP169" s="532"/>
      <c r="AQ169" s="532"/>
      <c r="AR169" s="532"/>
      <c r="AS169" s="532"/>
      <c r="AT169" s="532"/>
      <c r="AU169" s="532"/>
      <c r="AV169" s="532"/>
      <c r="AW169" s="531"/>
      <c r="AX169" s="516"/>
      <c r="AZ169" s="516"/>
      <c r="CY169" s="662"/>
      <c r="CZ169" s="662"/>
      <c r="DA169" s="662"/>
      <c r="DF169" s="662"/>
      <c r="DG169" s="662"/>
      <c r="DH169" s="662"/>
      <c r="DI169" s="662"/>
      <c r="DJ169" s="662"/>
      <c r="DK169" s="662"/>
      <c r="DL169" s="662"/>
      <c r="DM169" s="662"/>
      <c r="DN169" s="662"/>
      <c r="DO169" s="662"/>
      <c r="DP169" s="662"/>
      <c r="DQ169" s="662"/>
      <c r="DR169" s="662"/>
      <c r="DS169" s="662"/>
      <c r="DT169" s="662"/>
      <c r="DU169" s="662"/>
      <c r="DV169" s="662"/>
      <c r="DW169" s="662"/>
      <c r="DX169" s="662"/>
      <c r="EF169" s="662"/>
      <c r="EG169" s="662"/>
      <c r="EH169" s="662"/>
      <c r="EI169" s="662"/>
      <c r="FY169" s="517"/>
      <c r="FZ169" s="516"/>
      <c r="GA169" s="1612"/>
      <c r="GB169" s="516"/>
      <c r="GD169" s="540"/>
      <c r="GE169" s="662"/>
      <c r="GF169" s="662"/>
      <c r="GG169" s="662"/>
      <c r="GH169" s="662"/>
      <c r="GI169" s="662"/>
      <c r="GJ169" s="662"/>
      <c r="GK169" s="662"/>
      <c r="HQ169" s="516"/>
      <c r="HR169" s="2649"/>
      <c r="HS169" s="2644"/>
      <c r="HT169" s="2644"/>
      <c r="HU169" s="2644"/>
      <c r="HV169" s="2644"/>
      <c r="HW169" s="2644"/>
      <c r="HX169" s="2644"/>
      <c r="HY169" s="2644"/>
      <c r="HZ169" s="2644"/>
      <c r="IA169" s="2644"/>
      <c r="IB169" s="2644"/>
      <c r="II169" s="2619"/>
      <c r="IJ169" s="2619"/>
      <c r="IK169" s="2619"/>
      <c r="IL169" s="2619"/>
      <c r="IM169" s="2619"/>
      <c r="IN169" s="2619"/>
      <c r="IO169" s="2619"/>
      <c r="IP169" s="2619"/>
      <c r="IQ169" s="2619"/>
      <c r="IR169" s="2619"/>
      <c r="IS169" s="2620"/>
      <c r="IT169" s="517"/>
    </row>
    <row r="170" spans="4:254" ht="4.1500000000000004" customHeight="1" thickBot="1">
      <c r="D170" s="1601"/>
      <c r="E170" s="1601"/>
      <c r="F170" s="1601"/>
      <c r="G170" s="1601"/>
      <c r="AD170" s="522"/>
      <c r="AE170" s="524"/>
      <c r="AK170" s="543"/>
      <c r="AL170" s="544"/>
      <c r="AM170" s="544"/>
      <c r="AN170" s="544"/>
      <c r="AO170" s="544"/>
      <c r="AP170" s="544"/>
      <c r="AQ170" s="544"/>
      <c r="AR170" s="545"/>
      <c r="AZ170" s="516"/>
      <c r="CY170" s="662"/>
      <c r="CZ170" s="662"/>
      <c r="DA170" s="662"/>
      <c r="DF170" s="662"/>
      <c r="DG170" s="662"/>
      <c r="DH170" s="662"/>
      <c r="DI170" s="662"/>
      <c r="DJ170" s="662"/>
      <c r="DK170" s="662"/>
      <c r="DL170" s="662"/>
      <c r="DM170" s="662"/>
      <c r="DN170" s="662"/>
      <c r="DO170" s="662"/>
      <c r="DP170" s="662"/>
      <c r="DQ170" s="662"/>
      <c r="DR170" s="662"/>
      <c r="DS170" s="662"/>
      <c r="DT170" s="662"/>
      <c r="DU170" s="662"/>
      <c r="DV170" s="662"/>
      <c r="DW170" s="662"/>
      <c r="DX170" s="662"/>
      <c r="EF170" s="662"/>
      <c r="EG170" s="662"/>
      <c r="EH170" s="662"/>
      <c r="EI170" s="662"/>
      <c r="FY170" s="517"/>
      <c r="FZ170" s="516"/>
      <c r="GA170" s="1612"/>
      <c r="GB170" s="516"/>
      <c r="GD170" s="540"/>
      <c r="GE170" s="662"/>
      <c r="GF170" s="662"/>
      <c r="GG170" s="662"/>
      <c r="GH170" s="662"/>
      <c r="GI170" s="662"/>
      <c r="GJ170" s="662"/>
      <c r="GK170" s="662"/>
      <c r="HQ170" s="516"/>
      <c r="HR170" s="2649"/>
      <c r="HS170" s="2644"/>
      <c r="HT170" s="2644"/>
      <c r="HU170" s="2644"/>
      <c r="HV170" s="2644"/>
      <c r="HW170" s="2644"/>
      <c r="HX170" s="2644"/>
      <c r="HY170" s="2644"/>
      <c r="HZ170" s="2644"/>
      <c r="IA170" s="2644"/>
      <c r="IB170" s="2644"/>
      <c r="II170" s="2619"/>
      <c r="IJ170" s="2619"/>
      <c r="IK170" s="2619"/>
      <c r="IL170" s="2619"/>
      <c r="IM170" s="2619"/>
      <c r="IN170" s="2619"/>
      <c r="IO170" s="2619"/>
      <c r="IP170" s="2619"/>
      <c r="IQ170" s="2619"/>
      <c r="IR170" s="2619"/>
      <c r="IS170" s="2620"/>
      <c r="IT170" s="517"/>
    </row>
    <row r="171" spans="4:254" ht="4.1500000000000004" customHeight="1" thickTop="1">
      <c r="D171" s="1601"/>
      <c r="E171" s="1601"/>
      <c r="F171" s="1601"/>
      <c r="G171" s="1601"/>
      <c r="AD171" s="527"/>
      <c r="AE171" s="529"/>
      <c r="AF171" s="532"/>
      <c r="AG171" s="532"/>
      <c r="AH171" s="532"/>
      <c r="AI171" s="532"/>
      <c r="AJ171" s="532"/>
      <c r="AK171" s="530"/>
      <c r="AL171" s="532"/>
      <c r="AM171" s="532"/>
      <c r="AN171" s="532"/>
      <c r="AO171" s="532"/>
      <c r="AP171" s="532"/>
      <c r="AQ171" s="532"/>
      <c r="AR171" s="531"/>
      <c r="AS171" s="532"/>
      <c r="AT171" s="532"/>
      <c r="AU171" s="532"/>
      <c r="AV171" s="532"/>
      <c r="AW171" s="532"/>
      <c r="AZ171" s="516"/>
      <c r="CW171" s="662"/>
      <c r="CX171" s="662"/>
      <c r="CY171" s="662"/>
      <c r="CZ171" s="662"/>
      <c r="DA171" s="662"/>
      <c r="DF171" s="662"/>
      <c r="DG171" s="662"/>
      <c r="DH171" s="662"/>
      <c r="DI171" s="662"/>
      <c r="DJ171" s="662"/>
      <c r="DK171" s="662"/>
      <c r="DL171" s="662"/>
      <c r="DM171" s="662"/>
      <c r="DN171" s="662"/>
      <c r="DO171" s="662"/>
      <c r="DP171" s="662"/>
      <c r="DQ171" s="662"/>
      <c r="DR171" s="662"/>
      <c r="DS171" s="662"/>
      <c r="DT171" s="662"/>
      <c r="DU171" s="662"/>
      <c r="DV171" s="662"/>
      <c r="DW171" s="662"/>
      <c r="DX171" s="662"/>
      <c r="ED171" s="662"/>
      <c r="EE171" s="662"/>
      <c r="EF171" s="662"/>
      <c r="EG171" s="662"/>
      <c r="EH171" s="662"/>
      <c r="EI171" s="662"/>
      <c r="FY171" s="517"/>
      <c r="FZ171" s="516"/>
      <c r="GA171" s="1612"/>
      <c r="GB171" s="516"/>
      <c r="GD171" s="540"/>
      <c r="GE171" s="662"/>
      <c r="GF171" s="662"/>
      <c r="GG171" s="662"/>
      <c r="GH171" s="662"/>
      <c r="GI171" s="662"/>
      <c r="GJ171" s="662"/>
      <c r="GK171" s="662"/>
      <c r="HQ171" s="516"/>
      <c r="HR171" s="2649"/>
      <c r="HS171" s="2644"/>
      <c r="HT171" s="2644"/>
      <c r="HU171" s="2644"/>
      <c r="HV171" s="2644"/>
      <c r="HW171" s="2644"/>
      <c r="HX171" s="2644"/>
      <c r="HY171" s="2644"/>
      <c r="HZ171" s="2644"/>
      <c r="IA171" s="2644"/>
      <c r="IB171" s="2644"/>
      <c r="IC171" s="532"/>
      <c r="ID171" s="532"/>
      <c r="IE171" s="532"/>
      <c r="IF171" s="532"/>
      <c r="IG171" s="532"/>
      <c r="IH171" s="532"/>
      <c r="II171" s="2619"/>
      <c r="IJ171" s="2619"/>
      <c r="IK171" s="2619"/>
      <c r="IL171" s="2619"/>
      <c r="IM171" s="2619"/>
      <c r="IN171" s="2619"/>
      <c r="IO171" s="2619"/>
      <c r="IP171" s="2619"/>
      <c r="IQ171" s="2619"/>
      <c r="IR171" s="2619"/>
      <c r="IS171" s="2620"/>
      <c r="IT171" s="517"/>
    </row>
    <row r="172" spans="4:254" ht="4.1500000000000004" customHeight="1">
      <c r="D172" s="1601"/>
      <c r="E172" s="1601"/>
      <c r="F172" s="1601"/>
      <c r="G172" s="1601"/>
      <c r="AD172" s="514"/>
      <c r="AE172" s="514"/>
      <c r="AF172" s="514"/>
      <c r="AG172" s="514"/>
      <c r="AH172" s="514"/>
      <c r="AI172" s="514"/>
      <c r="AJ172" s="1563"/>
      <c r="AK172" s="514"/>
      <c r="AL172" s="514"/>
      <c r="AM172" s="514"/>
      <c r="AN172" s="514"/>
      <c r="AO172" s="514"/>
      <c r="AP172" s="514"/>
      <c r="AQ172" s="514"/>
      <c r="AR172" s="514"/>
      <c r="AS172" s="1564"/>
      <c r="AT172" s="514"/>
      <c r="AU172" s="514"/>
      <c r="AV172" s="514"/>
      <c r="AW172" s="518"/>
      <c r="AX172" s="516"/>
      <c r="AZ172" s="516"/>
      <c r="CW172" s="662"/>
      <c r="CX172" s="662"/>
      <c r="CY172" s="662"/>
      <c r="CZ172" s="662"/>
      <c r="DA172" s="662"/>
      <c r="DF172" s="662"/>
      <c r="DG172" s="662"/>
      <c r="DH172" s="662"/>
      <c r="DI172" s="662"/>
      <c r="DJ172" s="662"/>
      <c r="DK172" s="662"/>
      <c r="DL172" s="662"/>
      <c r="DM172" s="662"/>
      <c r="DN172" s="662"/>
      <c r="DO172" s="662"/>
      <c r="DP172" s="662"/>
      <c r="DQ172" s="662"/>
      <c r="DR172" s="662"/>
      <c r="DS172" s="662"/>
      <c r="DT172" s="662"/>
      <c r="DU172" s="662"/>
      <c r="DV172" s="662"/>
      <c r="DW172" s="662"/>
      <c r="DX172" s="662"/>
      <c r="ED172" s="662"/>
      <c r="EE172" s="662"/>
      <c r="EF172" s="662"/>
      <c r="EG172" s="662"/>
      <c r="EH172" s="662"/>
      <c r="EI172" s="662"/>
      <c r="FY172" s="517"/>
      <c r="FZ172" s="516"/>
      <c r="GA172" s="1612"/>
      <c r="GB172" s="516"/>
      <c r="GD172" s="540"/>
      <c r="GE172" s="662"/>
      <c r="GF172" s="662"/>
      <c r="GG172" s="662"/>
      <c r="GH172" s="662"/>
      <c r="GI172" s="662"/>
      <c r="GJ172" s="662"/>
      <c r="GK172" s="662"/>
      <c r="HQ172" s="516"/>
      <c r="HR172" s="516"/>
      <c r="IB172" s="517"/>
      <c r="II172" s="516"/>
      <c r="IS172" s="517"/>
      <c r="IT172" s="517"/>
    </row>
    <row r="173" spans="4:254" ht="4.1500000000000004" customHeight="1">
      <c r="D173" s="1601"/>
      <c r="E173" s="1601"/>
      <c r="F173" s="1601"/>
      <c r="G173" s="1601"/>
      <c r="AJ173" s="539"/>
      <c r="AS173" s="540"/>
      <c r="AX173" s="516"/>
      <c r="AZ173" s="516"/>
      <c r="CW173" s="662"/>
      <c r="CX173" s="662"/>
      <c r="CY173" s="662"/>
      <c r="CZ173" s="662"/>
      <c r="DA173" s="662"/>
      <c r="DF173" s="662"/>
      <c r="DG173" s="662"/>
      <c r="DH173" s="662"/>
      <c r="DI173" s="662"/>
      <c r="DJ173" s="662"/>
      <c r="DK173" s="662"/>
      <c r="DL173" s="662"/>
      <c r="DM173" s="662"/>
      <c r="DN173" s="662"/>
      <c r="DO173" s="662"/>
      <c r="DP173" s="662"/>
      <c r="DQ173" s="662"/>
      <c r="DR173" s="662"/>
      <c r="DS173" s="662"/>
      <c r="DT173" s="662"/>
      <c r="DU173" s="662"/>
      <c r="DV173" s="662"/>
      <c r="DW173" s="662"/>
      <c r="DX173" s="662"/>
      <c r="ED173" s="662"/>
      <c r="EE173" s="662"/>
      <c r="EF173" s="662"/>
      <c r="EG173" s="662"/>
      <c r="EH173" s="662"/>
      <c r="EI173" s="662"/>
      <c r="FY173" s="517"/>
      <c r="FZ173" s="663"/>
      <c r="GA173" s="1586"/>
      <c r="GB173" s="516"/>
      <c r="GD173" s="540"/>
      <c r="GE173" s="662"/>
      <c r="GF173" s="662"/>
      <c r="GG173" s="662"/>
      <c r="GH173" s="662"/>
      <c r="GI173" s="662"/>
      <c r="GJ173" s="662"/>
      <c r="GK173" s="662"/>
      <c r="HQ173" s="516"/>
      <c r="HR173" s="516"/>
      <c r="IB173" s="517"/>
      <c r="ID173" s="515"/>
      <c r="IE173" s="514"/>
      <c r="IF173" s="514"/>
      <c r="IG173" s="518"/>
      <c r="II173" s="516"/>
      <c r="IS173" s="517"/>
      <c r="IT173" s="517"/>
    </row>
    <row r="174" spans="4:254" ht="4.1500000000000004" customHeight="1">
      <c r="AJ174" s="559"/>
      <c r="AK174" s="557"/>
      <c r="AL174" s="557"/>
      <c r="AM174" s="557"/>
      <c r="AN174" s="557"/>
      <c r="AO174" s="557"/>
      <c r="AP174" s="557"/>
      <c r="AQ174" s="557"/>
      <c r="AR174" s="557"/>
      <c r="AS174" s="560"/>
      <c r="AX174" s="516"/>
      <c r="AZ174" s="516"/>
      <c r="CW174" s="662"/>
      <c r="CX174" s="662"/>
      <c r="CY174" s="662"/>
      <c r="CZ174" s="662"/>
      <c r="DA174" s="662"/>
      <c r="DB174" s="662"/>
      <c r="DC174" s="662"/>
      <c r="DD174" s="662"/>
      <c r="DE174" s="662"/>
      <c r="DF174" s="662"/>
      <c r="DG174" s="662"/>
      <c r="DH174" s="662"/>
      <c r="DI174" s="1601"/>
      <c r="DJ174" s="1601"/>
      <c r="DK174" s="1601"/>
      <c r="DL174" s="1601"/>
      <c r="DM174" s="1601"/>
      <c r="DN174" s="1601"/>
      <c r="DO174" s="1601"/>
      <c r="DP174" s="1601"/>
      <c r="DQ174" s="1601"/>
      <c r="DR174" s="1601"/>
      <c r="DS174" s="1601"/>
      <c r="DT174" s="1601"/>
      <c r="DU174" s="1601"/>
      <c r="DV174" s="1601"/>
      <c r="DW174" s="1601"/>
      <c r="DX174" s="1601"/>
      <c r="ED174" s="662"/>
      <c r="EE174" s="662"/>
      <c r="EF174" s="662"/>
      <c r="EG174" s="662"/>
      <c r="EH174" s="1601"/>
      <c r="EI174" s="1601"/>
      <c r="FY174" s="517"/>
      <c r="FZ174" s="663"/>
      <c r="GA174" s="1586"/>
      <c r="GB174" s="516"/>
      <c r="GD174" s="540"/>
      <c r="GE174" s="1601"/>
      <c r="GF174" s="1601"/>
      <c r="GG174" s="1601"/>
      <c r="GH174" s="1601"/>
      <c r="GI174" s="1601"/>
      <c r="GJ174" s="1601"/>
      <c r="GK174" s="1601"/>
      <c r="HQ174" s="516"/>
      <c r="HR174" s="516"/>
      <c r="IB174" s="517"/>
      <c r="ID174" s="516"/>
      <c r="IG174" s="517"/>
      <c r="II174" s="516"/>
      <c r="IS174" s="517"/>
      <c r="IT174" s="517"/>
    </row>
    <row r="175" spans="4:254" ht="4.1500000000000004" customHeight="1">
      <c r="S175" s="1510"/>
      <c r="T175" s="1511"/>
      <c r="U175" s="1511"/>
      <c r="V175" s="1511"/>
      <c r="AX175" s="516"/>
      <c r="AZ175" s="516"/>
      <c r="CW175" s="662"/>
      <c r="CX175" s="662"/>
      <c r="CY175" s="662"/>
      <c r="CZ175" s="662"/>
      <c r="DA175" s="662"/>
      <c r="DB175" s="662"/>
      <c r="DC175" s="662"/>
      <c r="DD175" s="662"/>
      <c r="DE175" s="662"/>
      <c r="DF175" s="662"/>
      <c r="DG175" s="662"/>
      <c r="DH175" s="662"/>
      <c r="DI175" s="1601"/>
      <c r="DJ175" s="1601"/>
      <c r="DK175" s="1601"/>
      <c r="DL175" s="1601"/>
      <c r="DM175" s="1601"/>
      <c r="DN175" s="1601"/>
      <c r="DO175" s="1601"/>
      <c r="DP175" s="1601"/>
      <c r="DQ175" s="1601"/>
      <c r="DR175" s="1601"/>
      <c r="DS175" s="1601"/>
      <c r="DT175" s="1601"/>
      <c r="DU175" s="1601"/>
      <c r="DV175" s="1601"/>
      <c r="DW175" s="1601"/>
      <c r="DX175" s="1601"/>
      <c r="ED175" s="662"/>
      <c r="EE175" s="662"/>
      <c r="EF175" s="662"/>
      <c r="EG175" s="662"/>
      <c r="EH175" s="1601"/>
      <c r="EI175" s="1601"/>
      <c r="FY175" s="517"/>
      <c r="FZ175" s="663"/>
      <c r="GA175" s="1586"/>
      <c r="GB175" s="516"/>
      <c r="GD175" s="540"/>
      <c r="GE175" s="1601"/>
      <c r="GF175" s="1601"/>
      <c r="GG175" s="1601"/>
      <c r="GH175" s="1601"/>
      <c r="GI175" s="1601"/>
      <c r="GJ175" s="1601"/>
      <c r="GK175" s="1601"/>
      <c r="HQ175" s="516"/>
      <c r="HR175" s="516"/>
      <c r="IB175" s="517"/>
      <c r="ID175" s="516"/>
      <c r="IG175" s="517"/>
      <c r="II175" s="516"/>
      <c r="IS175" s="517"/>
      <c r="IT175" s="517"/>
    </row>
    <row r="176" spans="4:254" ht="4.1500000000000004" customHeight="1">
      <c r="S176" s="1511"/>
      <c r="T176" s="1511"/>
      <c r="U176" s="1511"/>
      <c r="V176" s="1511"/>
      <c r="AX176" s="516"/>
      <c r="AZ176" s="516"/>
      <c r="CP176" s="532"/>
      <c r="CQ176" s="532"/>
      <c r="CR176" s="532"/>
      <c r="CS176" s="532"/>
      <c r="CT176" s="532"/>
      <c r="CU176" s="532"/>
      <c r="CV176" s="532"/>
      <c r="CW176" s="665"/>
      <c r="CX176" s="665"/>
      <c r="CY176" s="665"/>
      <c r="CZ176" s="665"/>
      <c r="DA176" s="665"/>
      <c r="DB176" s="1604"/>
      <c r="DC176" s="1604"/>
      <c r="DD176" s="1604"/>
      <c r="DE176" s="1601"/>
      <c r="DF176" s="662"/>
      <c r="DG176" s="662"/>
      <c r="DH176" s="662"/>
      <c r="DI176" s="1601"/>
      <c r="DJ176" s="1601"/>
      <c r="DK176" s="1601"/>
      <c r="DL176" s="1601"/>
      <c r="DM176" s="1601"/>
      <c r="DN176" s="1601"/>
      <c r="DO176" s="1601"/>
      <c r="DP176" s="1601"/>
      <c r="DQ176" s="1601"/>
      <c r="DR176" s="1601"/>
      <c r="DS176" s="1601"/>
      <c r="DT176" s="1601"/>
      <c r="DU176" s="1604"/>
      <c r="DV176" s="1604"/>
      <c r="DW176" s="1604"/>
      <c r="DX176" s="1604"/>
      <c r="DY176" s="532"/>
      <c r="DZ176" s="532"/>
      <c r="EA176" s="532"/>
      <c r="EB176" s="532"/>
      <c r="EC176" s="532"/>
      <c r="ED176" s="665"/>
      <c r="EE176" s="665"/>
      <c r="EF176" s="665"/>
      <c r="EG176" s="665"/>
      <c r="EH176" s="1604"/>
      <c r="EI176" s="1604"/>
      <c r="FY176" s="517"/>
      <c r="FZ176" s="666"/>
      <c r="GA176" s="1587"/>
      <c r="GB176" s="516"/>
      <c r="GD176" s="540"/>
      <c r="GE176" s="1601"/>
      <c r="GF176" s="1601"/>
      <c r="GG176" s="1601"/>
      <c r="GH176" s="1601"/>
      <c r="GI176" s="1601"/>
      <c r="GJ176" s="1601"/>
      <c r="GK176" s="1601"/>
      <c r="HQ176" s="516"/>
      <c r="HR176" s="516"/>
      <c r="IB176" s="517"/>
      <c r="ID176" s="530"/>
      <c r="IE176" s="532"/>
      <c r="IF176" s="532"/>
      <c r="IG176" s="531"/>
      <c r="II176" s="516"/>
      <c r="IS176" s="517"/>
      <c r="IT176" s="517"/>
    </row>
    <row r="177" spans="19:254" ht="4.1500000000000004" customHeight="1" thickBot="1">
      <c r="S177" s="1511"/>
      <c r="T177" s="1511"/>
      <c r="U177" s="1511"/>
      <c r="V177" s="1511"/>
      <c r="AX177" s="516"/>
      <c r="AZ177" s="516"/>
      <c r="CO177" s="517"/>
      <c r="CU177" s="543"/>
      <c r="CV177" s="544"/>
      <c r="CW177" s="1609"/>
      <c r="CX177" s="1609"/>
      <c r="CY177" s="1609"/>
      <c r="CZ177" s="1609"/>
      <c r="DA177" s="1609"/>
      <c r="DB177" s="1610"/>
      <c r="DC177" s="1611"/>
      <c r="DD177" s="1606"/>
      <c r="DE177" s="1606"/>
      <c r="DF177" s="667"/>
      <c r="DG177" s="663"/>
      <c r="DH177" s="662"/>
      <c r="DI177" s="1601"/>
      <c r="DJ177" s="1601"/>
      <c r="DK177" s="1601"/>
      <c r="DL177" s="1601"/>
      <c r="DM177" s="1601"/>
      <c r="DN177" s="1601"/>
      <c r="DO177" s="1601"/>
      <c r="DP177" s="1601"/>
      <c r="DQ177" s="1601"/>
      <c r="DR177" s="1605"/>
      <c r="DS177" s="1606"/>
      <c r="DT177" s="1606"/>
      <c r="DU177" s="1606"/>
      <c r="DV177" s="543"/>
      <c r="DW177" s="544"/>
      <c r="DX177" s="1609"/>
      <c r="DY177" s="1609"/>
      <c r="DZ177" s="1609"/>
      <c r="EA177" s="1609"/>
      <c r="EB177" s="1609"/>
      <c r="EC177" s="1610"/>
      <c r="ED177" s="1611"/>
      <c r="EE177" s="1601"/>
      <c r="EF177" s="1601"/>
      <c r="EG177" s="1601"/>
      <c r="EH177" s="1601"/>
      <c r="EI177" s="1601"/>
      <c r="EJ177" s="516"/>
      <c r="FY177" s="517"/>
      <c r="FZ177" s="1601"/>
      <c r="GA177" s="1605"/>
      <c r="GB177" s="1561"/>
      <c r="GC177" s="557"/>
      <c r="GD177" s="560"/>
      <c r="GE177" s="1601"/>
      <c r="GF177" s="1601"/>
      <c r="GG177" s="1601"/>
      <c r="GH177" s="1601"/>
      <c r="GI177" s="1601"/>
      <c r="GJ177" s="1601"/>
      <c r="GK177" s="1601"/>
      <c r="HQ177" s="516"/>
      <c r="HR177" s="516"/>
      <c r="IB177" s="517"/>
      <c r="II177" s="516"/>
      <c r="IS177" s="517"/>
      <c r="IT177" s="517"/>
    </row>
    <row r="178" spans="19:254" ht="4.1500000000000004" customHeight="1" thickTop="1">
      <c r="S178" s="1511"/>
      <c r="T178" s="1511"/>
      <c r="U178" s="1511"/>
      <c r="V178" s="1511"/>
      <c r="AX178" s="516"/>
      <c r="AZ178" s="516"/>
      <c r="CO178" s="517"/>
      <c r="CU178" s="530"/>
      <c r="CV178" s="532"/>
      <c r="CW178" s="665"/>
      <c r="CX178" s="665"/>
      <c r="CY178" s="665"/>
      <c r="CZ178" s="665"/>
      <c r="DA178" s="665"/>
      <c r="DB178" s="1604"/>
      <c r="DC178" s="1608"/>
      <c r="DD178" s="1604"/>
      <c r="DE178" s="1604"/>
      <c r="DF178" s="665"/>
      <c r="DG178" s="663"/>
      <c r="DH178" s="662"/>
      <c r="DI178" s="1601"/>
      <c r="DJ178" s="1601"/>
      <c r="DK178" s="1601"/>
      <c r="DL178" s="1601"/>
      <c r="DM178" s="1601"/>
      <c r="DN178" s="1601"/>
      <c r="DO178" s="1601"/>
      <c r="DP178" s="1601"/>
      <c r="DQ178" s="1601"/>
      <c r="DR178" s="1605"/>
      <c r="DS178" s="1604"/>
      <c r="DT178" s="1604"/>
      <c r="DU178" s="1604"/>
      <c r="DV178" s="530"/>
      <c r="DW178" s="532"/>
      <c r="DX178" s="665"/>
      <c r="DY178" s="665"/>
      <c r="DZ178" s="665"/>
      <c r="EA178" s="665"/>
      <c r="EB178" s="665"/>
      <c r="EC178" s="1604"/>
      <c r="ED178" s="1608"/>
      <c r="EE178" s="1601"/>
      <c r="EF178" s="1601"/>
      <c r="EG178" s="1601"/>
      <c r="EH178" s="1601"/>
      <c r="EI178" s="1601"/>
      <c r="EJ178" s="516"/>
      <c r="FY178" s="517"/>
      <c r="FZ178" s="1601"/>
      <c r="GA178" s="1605"/>
      <c r="GB178" s="1601"/>
      <c r="GC178" s="1601"/>
      <c r="GD178" s="1601"/>
      <c r="GE178" s="1601"/>
      <c r="GF178" s="1601"/>
      <c r="GG178" s="1601"/>
      <c r="GH178" s="1601"/>
      <c r="GI178" s="1601"/>
      <c r="GJ178" s="1601"/>
      <c r="GK178" s="1601"/>
      <c r="HQ178" s="516"/>
      <c r="HR178" s="2650"/>
      <c r="HS178" s="2619"/>
      <c r="HT178" s="2619"/>
      <c r="HU178" s="2619"/>
      <c r="HV178" s="2619"/>
      <c r="HW178" s="2619"/>
      <c r="HX178" s="2619"/>
      <c r="HY178" s="2619"/>
      <c r="HZ178" s="2619"/>
      <c r="IA178" s="2619"/>
      <c r="IB178" s="2619"/>
      <c r="IC178" s="514"/>
      <c r="ID178" s="514"/>
      <c r="IE178" s="514"/>
      <c r="IF178" s="514"/>
      <c r="IG178" s="514"/>
      <c r="IH178" s="514"/>
      <c r="II178" s="2644"/>
      <c r="IJ178" s="2644"/>
      <c r="IK178" s="2644"/>
      <c r="IL178" s="2644"/>
      <c r="IM178" s="2644"/>
      <c r="IN178" s="2644"/>
      <c r="IO178" s="2644"/>
      <c r="IP178" s="2644"/>
      <c r="IQ178" s="2644"/>
      <c r="IR178" s="2644"/>
      <c r="IS178" s="2652"/>
      <c r="IT178" s="517"/>
    </row>
    <row r="179" spans="19:254" ht="4.1500000000000004" customHeight="1">
      <c r="S179" s="1511"/>
      <c r="T179" s="1511"/>
      <c r="U179" s="1511"/>
      <c r="V179" s="1511"/>
      <c r="AX179" s="516"/>
      <c r="AZ179" s="516"/>
      <c r="CO179" s="517"/>
      <c r="CR179" s="515"/>
      <c r="CS179" s="514"/>
      <c r="CT179" s="514"/>
      <c r="CU179" s="514"/>
      <c r="CV179" s="514"/>
      <c r="CW179" s="667"/>
      <c r="CX179" s="667"/>
      <c r="CY179" s="667"/>
      <c r="CZ179" s="667"/>
      <c r="DA179" s="667"/>
      <c r="DB179" s="1606"/>
      <c r="DC179" s="1606"/>
      <c r="DD179" s="1606"/>
      <c r="DE179" s="1601"/>
      <c r="DF179" s="662"/>
      <c r="DG179" s="662"/>
      <c r="DH179" s="662"/>
      <c r="DI179" s="1601"/>
      <c r="DJ179" s="1601"/>
      <c r="DK179" s="1601"/>
      <c r="DL179" s="1601"/>
      <c r="DM179" s="1601"/>
      <c r="DN179" s="1601"/>
      <c r="DO179" s="1601"/>
      <c r="DP179" s="1601"/>
      <c r="DQ179" s="1601"/>
      <c r="DR179" s="1601"/>
      <c r="DS179" s="1601"/>
      <c r="DT179" s="1601"/>
      <c r="DU179" s="1606"/>
      <c r="DV179" s="1606"/>
      <c r="DW179" s="1606"/>
      <c r="DX179" s="1606"/>
      <c r="DY179" s="1606"/>
      <c r="DZ179" s="1606"/>
      <c r="EA179" s="1606"/>
      <c r="EB179" s="1606"/>
      <c r="EC179" s="1606"/>
      <c r="ED179" s="1606"/>
      <c r="EE179" s="1606"/>
      <c r="EF179" s="1606"/>
      <c r="EG179" s="1607"/>
      <c r="EH179" s="1601"/>
      <c r="EI179" s="1601"/>
      <c r="EJ179" s="516"/>
      <c r="FY179" s="517"/>
      <c r="FZ179" s="1601"/>
      <c r="GA179" s="1605"/>
      <c r="GB179" s="1601"/>
      <c r="GC179" s="1601"/>
      <c r="GD179" s="1601"/>
      <c r="GE179" s="1601"/>
      <c r="GF179" s="1601"/>
      <c r="GG179" s="1601"/>
      <c r="GH179" s="1601"/>
      <c r="GI179" s="1601"/>
      <c r="GJ179" s="1601"/>
      <c r="GK179" s="1601"/>
      <c r="HQ179" s="516"/>
      <c r="HR179" s="2650"/>
      <c r="HS179" s="2619"/>
      <c r="HT179" s="2619"/>
      <c r="HU179" s="2619"/>
      <c r="HV179" s="2619"/>
      <c r="HW179" s="2619"/>
      <c r="HX179" s="2619"/>
      <c r="HY179" s="2619"/>
      <c r="HZ179" s="2619"/>
      <c r="IA179" s="2619"/>
      <c r="IB179" s="2619"/>
      <c r="II179" s="2644"/>
      <c r="IJ179" s="2644"/>
      <c r="IK179" s="2644"/>
      <c r="IL179" s="2644"/>
      <c r="IM179" s="2644"/>
      <c r="IN179" s="2644"/>
      <c r="IO179" s="2644"/>
      <c r="IP179" s="2644"/>
      <c r="IQ179" s="2644"/>
      <c r="IR179" s="2644"/>
      <c r="IS179" s="2652"/>
      <c r="IT179" s="517"/>
    </row>
    <row r="180" spans="19:254" ht="4.1500000000000004" customHeight="1">
      <c r="S180" s="1511"/>
      <c r="T180" s="1511"/>
      <c r="U180" s="1511"/>
      <c r="V180" s="1511"/>
      <c r="AX180" s="516"/>
      <c r="AZ180" s="516"/>
      <c r="CO180" s="517"/>
      <c r="CR180" s="516"/>
      <c r="CW180" s="662"/>
      <c r="CX180" s="662"/>
      <c r="CY180" s="662"/>
      <c r="CZ180" s="662"/>
      <c r="DA180" s="662"/>
      <c r="DB180" s="1601"/>
      <c r="DC180" s="1601"/>
      <c r="DD180" s="1601"/>
      <c r="DE180" s="1601"/>
      <c r="DF180" s="662"/>
      <c r="DG180" s="662"/>
      <c r="DH180" s="662"/>
      <c r="DI180" s="1601"/>
      <c r="DJ180" s="1601"/>
      <c r="DK180" s="1601"/>
      <c r="DL180" s="1601"/>
      <c r="DM180" s="1601"/>
      <c r="DN180" s="1601"/>
      <c r="DO180" s="1601"/>
      <c r="DP180" s="1601"/>
      <c r="DQ180" s="1601"/>
      <c r="DR180" s="1601"/>
      <c r="DS180" s="1601"/>
      <c r="DT180" s="1601"/>
      <c r="DU180" s="1601"/>
      <c r="DV180" s="1601"/>
      <c r="DW180" s="1601"/>
      <c r="DX180" s="1601"/>
      <c r="DY180" s="1601"/>
      <c r="DZ180" s="1601"/>
      <c r="EA180" s="1601"/>
      <c r="EB180" s="1601"/>
      <c r="EC180" s="1601"/>
      <c r="ED180" s="1601"/>
      <c r="EE180" s="1601"/>
      <c r="EF180" s="1601"/>
      <c r="EG180" s="1605"/>
      <c r="EH180" s="1601"/>
      <c r="EI180" s="1601"/>
      <c r="EJ180" s="516"/>
      <c r="FY180" s="517"/>
      <c r="FZ180" s="1601"/>
      <c r="GA180" s="1605"/>
      <c r="GB180" s="1601"/>
      <c r="GC180" s="1601"/>
      <c r="GD180" s="1601"/>
      <c r="GE180" s="1601"/>
      <c r="GF180" s="1601"/>
      <c r="GG180" s="1601"/>
      <c r="GH180" s="1601"/>
      <c r="GI180" s="1601"/>
      <c r="GJ180" s="1601"/>
      <c r="GK180" s="1601"/>
      <c r="HQ180" s="516"/>
      <c r="HR180" s="2650"/>
      <c r="HS180" s="2619"/>
      <c r="HT180" s="2619"/>
      <c r="HU180" s="2619"/>
      <c r="HV180" s="2619"/>
      <c r="HW180" s="2619"/>
      <c r="HX180" s="2619"/>
      <c r="HY180" s="2619"/>
      <c r="HZ180" s="2619"/>
      <c r="IA180" s="2619"/>
      <c r="IB180" s="2619"/>
      <c r="II180" s="2644"/>
      <c r="IJ180" s="2644"/>
      <c r="IK180" s="2644"/>
      <c r="IL180" s="2644"/>
      <c r="IM180" s="2644"/>
      <c r="IN180" s="2644"/>
      <c r="IO180" s="2644"/>
      <c r="IP180" s="2644"/>
      <c r="IQ180" s="2644"/>
      <c r="IR180" s="2644"/>
      <c r="IS180" s="2652"/>
      <c r="IT180" s="517"/>
    </row>
    <row r="181" spans="19:254" ht="4.1500000000000004" customHeight="1">
      <c r="S181" s="1511"/>
      <c r="T181" s="1511"/>
      <c r="U181" s="1511"/>
      <c r="V181" s="1511"/>
      <c r="AX181" s="516"/>
      <c r="AZ181" s="516"/>
      <c r="CO181" s="517"/>
      <c r="CR181" s="516"/>
      <c r="CW181" s="662"/>
      <c r="CX181" s="662"/>
      <c r="CY181" s="662"/>
      <c r="CZ181" s="662"/>
      <c r="DA181" s="662"/>
      <c r="DB181" s="1601"/>
      <c r="DC181" s="1601"/>
      <c r="DD181" s="1601"/>
      <c r="DE181" s="1601"/>
      <c r="DF181" s="662"/>
      <c r="DG181" s="662"/>
      <c r="DH181" s="662"/>
      <c r="DI181" s="1601"/>
      <c r="DJ181" s="1601"/>
      <c r="DK181" s="1601"/>
      <c r="DL181" s="1601"/>
      <c r="DM181" s="1601"/>
      <c r="DN181" s="1601"/>
      <c r="DO181" s="1601"/>
      <c r="DP181" s="1601"/>
      <c r="DQ181" s="1601"/>
      <c r="DR181" s="1601"/>
      <c r="DS181" s="1601"/>
      <c r="DT181" s="1601"/>
      <c r="DU181" s="1601"/>
      <c r="DV181" s="1601"/>
      <c r="DW181" s="1601"/>
      <c r="DX181" s="1601"/>
      <c r="DY181" s="1601"/>
      <c r="DZ181" s="1601"/>
      <c r="EA181" s="1601"/>
      <c r="EB181" s="1601"/>
      <c r="EC181" s="1601"/>
      <c r="ED181" s="1601"/>
      <c r="EE181" s="1601"/>
      <c r="EF181" s="1601"/>
      <c r="EG181" s="1605"/>
      <c r="EH181" s="1601"/>
      <c r="EI181" s="1601"/>
      <c r="EJ181" s="516"/>
      <c r="FY181" s="517"/>
      <c r="FZ181" s="1601"/>
      <c r="GA181" s="1605"/>
      <c r="GB181" s="1601"/>
      <c r="GC181" s="1601"/>
      <c r="GD181" s="1601"/>
      <c r="GE181" s="1601"/>
      <c r="GF181" s="1601"/>
      <c r="GG181" s="1601"/>
      <c r="GH181" s="1601"/>
      <c r="GI181" s="1601"/>
      <c r="GJ181" s="1601"/>
      <c r="GK181" s="1601"/>
      <c r="HQ181" s="516"/>
      <c r="HR181" s="2650"/>
      <c r="HS181" s="2619"/>
      <c r="HT181" s="2619"/>
      <c r="HU181" s="2619"/>
      <c r="HV181" s="2619"/>
      <c r="HW181" s="2619"/>
      <c r="HX181" s="2619"/>
      <c r="HY181" s="2619"/>
      <c r="HZ181" s="2619"/>
      <c r="IA181" s="2619"/>
      <c r="IB181" s="2619"/>
      <c r="II181" s="2644"/>
      <c r="IJ181" s="2644"/>
      <c r="IK181" s="2644"/>
      <c r="IL181" s="2644"/>
      <c r="IM181" s="2644"/>
      <c r="IN181" s="2644"/>
      <c r="IO181" s="2644"/>
      <c r="IP181" s="2644"/>
      <c r="IQ181" s="2644"/>
      <c r="IR181" s="2644"/>
      <c r="IS181" s="2652"/>
      <c r="IT181" s="517"/>
    </row>
    <row r="182" spans="19:254" ht="4.1500000000000004" customHeight="1">
      <c r="S182" s="1511"/>
      <c r="T182" s="1511"/>
      <c r="U182" s="1511"/>
      <c r="V182" s="1511"/>
      <c r="AX182" s="519"/>
      <c r="AY182" s="521"/>
      <c r="AZ182" s="530"/>
      <c r="BA182" s="532"/>
      <c r="BB182" s="532"/>
      <c r="BC182" s="532"/>
      <c r="BD182" s="532"/>
      <c r="BE182" s="532"/>
      <c r="BF182" s="532"/>
      <c r="BG182" s="532"/>
      <c r="BH182" s="532"/>
      <c r="BI182" s="532"/>
      <c r="BJ182" s="532"/>
      <c r="BK182" s="532"/>
      <c r="BL182" s="532"/>
      <c r="BM182" s="532"/>
      <c r="BN182" s="532"/>
      <c r="BO182" s="532"/>
      <c r="BP182" s="532"/>
      <c r="BQ182" s="532"/>
      <c r="BR182" s="532"/>
      <c r="BS182" s="532"/>
      <c r="BT182" s="519"/>
      <c r="BU182" s="521"/>
      <c r="BV182" s="532"/>
      <c r="BW182" s="532"/>
      <c r="BX182" s="532"/>
      <c r="BY182" s="532"/>
      <c r="BZ182" s="532"/>
      <c r="CA182" s="532"/>
      <c r="CB182" s="532"/>
      <c r="CC182" s="532"/>
      <c r="CD182" s="532"/>
      <c r="CE182" s="532"/>
      <c r="CF182" s="532"/>
      <c r="CG182" s="532"/>
      <c r="CH182" s="532"/>
      <c r="CI182" s="532"/>
      <c r="CJ182" s="532"/>
      <c r="CK182" s="532"/>
      <c r="CL182" s="532"/>
      <c r="CM182" s="532"/>
      <c r="CN182" s="532"/>
      <c r="CO182" s="531"/>
      <c r="CP182" s="519"/>
      <c r="CQ182" s="521"/>
      <c r="CR182" s="516"/>
      <c r="CW182" s="662"/>
      <c r="CX182" s="662"/>
      <c r="CY182" s="662"/>
      <c r="CZ182" s="662"/>
      <c r="DA182" s="662"/>
      <c r="DB182" s="1601"/>
      <c r="DC182" s="1601"/>
      <c r="DD182" s="1601"/>
      <c r="DE182" s="1601"/>
      <c r="DF182" s="662"/>
      <c r="DG182" s="662"/>
      <c r="DH182" s="662"/>
      <c r="DI182" s="1601"/>
      <c r="DJ182" s="1601"/>
      <c r="DK182" s="1601"/>
      <c r="DL182" s="1601"/>
      <c r="DM182" s="1601"/>
      <c r="DN182" s="1601"/>
      <c r="DO182" s="1601"/>
      <c r="DP182" s="1601"/>
      <c r="DQ182" s="1601"/>
      <c r="DR182" s="1601"/>
      <c r="DS182" s="1601"/>
      <c r="DT182" s="1601"/>
      <c r="DU182" s="1601"/>
      <c r="DV182" s="1601"/>
      <c r="DW182" s="1601"/>
      <c r="DX182" s="1601"/>
      <c r="DY182" s="1601"/>
      <c r="DZ182" s="1601"/>
      <c r="EA182" s="1601"/>
      <c r="EB182" s="1601"/>
      <c r="EC182" s="1601"/>
      <c r="ED182" s="1601"/>
      <c r="EE182" s="1601"/>
      <c r="EF182" s="1601"/>
      <c r="EG182" s="1605"/>
      <c r="EH182" s="519"/>
      <c r="EI182" s="521"/>
      <c r="EJ182" s="530"/>
      <c r="EK182" s="532"/>
      <c r="EL182" s="532"/>
      <c r="EM182" s="532"/>
      <c r="EN182" s="532"/>
      <c r="EO182" s="532"/>
      <c r="EP182" s="532"/>
      <c r="EQ182" s="532"/>
      <c r="ER182" s="532"/>
      <c r="ES182" s="532"/>
      <c r="ET182" s="532"/>
      <c r="EU182" s="532"/>
      <c r="EV182" s="532"/>
      <c r="EW182" s="532"/>
      <c r="EX182" s="532"/>
      <c r="EY182" s="532"/>
      <c r="EZ182" s="532"/>
      <c r="FA182" s="532"/>
      <c r="FB182" s="532"/>
      <c r="FC182" s="532"/>
      <c r="FD182" s="519"/>
      <c r="FE182" s="521"/>
      <c r="FF182" s="532"/>
      <c r="FG182" s="532"/>
      <c r="FH182" s="532"/>
      <c r="FI182" s="532"/>
      <c r="FJ182" s="532"/>
      <c r="FK182" s="532"/>
      <c r="FL182" s="532"/>
      <c r="FM182" s="532"/>
      <c r="FN182" s="532"/>
      <c r="FO182" s="532"/>
      <c r="FP182" s="532"/>
      <c r="FQ182" s="532"/>
      <c r="FR182" s="532"/>
      <c r="FS182" s="532"/>
      <c r="FT182" s="532"/>
      <c r="FU182" s="532"/>
      <c r="FV182" s="532"/>
      <c r="FW182" s="532"/>
      <c r="FX182" s="532"/>
      <c r="FY182" s="531"/>
      <c r="FZ182" s="519"/>
      <c r="GA182" s="521"/>
      <c r="GB182" s="1601"/>
      <c r="GC182" s="1601"/>
      <c r="GD182" s="1601"/>
      <c r="GE182" s="1601"/>
      <c r="GF182" s="1601"/>
      <c r="GG182" s="1601"/>
      <c r="GH182" s="1601"/>
      <c r="GI182" s="1601"/>
      <c r="GJ182" s="1601"/>
      <c r="GK182" s="1601"/>
      <c r="HQ182" s="516"/>
      <c r="HR182" s="2650"/>
      <c r="HS182" s="2619"/>
      <c r="HT182" s="2619"/>
      <c r="HU182" s="2619"/>
      <c r="HV182" s="2619"/>
      <c r="HW182" s="2619"/>
      <c r="HX182" s="2619"/>
      <c r="HY182" s="2619"/>
      <c r="HZ182" s="2619"/>
      <c r="IA182" s="2619"/>
      <c r="IB182" s="2619"/>
      <c r="II182" s="2644"/>
      <c r="IJ182" s="2644"/>
      <c r="IK182" s="2644"/>
      <c r="IL182" s="2644"/>
      <c r="IM182" s="2644"/>
      <c r="IN182" s="2644"/>
      <c r="IO182" s="2644"/>
      <c r="IP182" s="2644"/>
      <c r="IQ182" s="2644"/>
      <c r="IR182" s="2644"/>
      <c r="IS182" s="2652"/>
      <c r="IT182" s="517"/>
    </row>
    <row r="183" spans="19:254" ht="4.1500000000000004" customHeight="1" thickBot="1">
      <c r="S183" s="1511"/>
      <c r="T183" s="1511"/>
      <c r="U183" s="1511"/>
      <c r="V183" s="1511"/>
      <c r="AX183" s="522"/>
      <c r="AY183" s="524"/>
      <c r="BF183" s="543"/>
      <c r="BG183" s="544"/>
      <c r="BH183" s="1609"/>
      <c r="BI183" s="1609"/>
      <c r="BJ183" s="1609"/>
      <c r="BK183" s="1609"/>
      <c r="BL183" s="1609"/>
      <c r="BM183" s="1610"/>
      <c r="BN183" s="1611"/>
      <c r="BT183" s="522"/>
      <c r="BU183" s="524"/>
      <c r="CA183" s="543"/>
      <c r="CB183" s="544"/>
      <c r="CC183" s="1609"/>
      <c r="CD183" s="1609"/>
      <c r="CE183" s="1609"/>
      <c r="CF183" s="1609"/>
      <c r="CG183" s="1609"/>
      <c r="CH183" s="1610"/>
      <c r="CI183" s="1611"/>
      <c r="CP183" s="522"/>
      <c r="CQ183" s="524"/>
      <c r="CR183" s="516"/>
      <c r="CW183" s="662"/>
      <c r="CX183" s="662"/>
      <c r="CY183" s="662"/>
      <c r="CZ183" s="662"/>
      <c r="DA183" s="662"/>
      <c r="DB183" s="1601"/>
      <c r="DC183" s="1601"/>
      <c r="DD183" s="1601"/>
      <c r="DE183" s="1601"/>
      <c r="DF183" s="662"/>
      <c r="DG183" s="662"/>
      <c r="DH183" s="662"/>
      <c r="DI183" s="1601"/>
      <c r="DJ183" s="1601"/>
      <c r="DK183" s="1601"/>
      <c r="DL183" s="1601"/>
      <c r="DM183" s="1601"/>
      <c r="DN183" s="1601"/>
      <c r="DO183" s="1601"/>
      <c r="DP183" s="1601"/>
      <c r="DQ183" s="1601"/>
      <c r="DR183" s="1601"/>
      <c r="DS183" s="1601"/>
      <c r="DT183" s="1601"/>
      <c r="DU183" s="1601"/>
      <c r="DV183" s="1601"/>
      <c r="DW183" s="1601"/>
      <c r="DX183" s="1601"/>
      <c r="DY183" s="1601"/>
      <c r="DZ183" s="1601"/>
      <c r="EA183" s="1601"/>
      <c r="EB183" s="1601"/>
      <c r="EC183" s="1601"/>
      <c r="ED183" s="1601"/>
      <c r="EE183" s="1601"/>
      <c r="EF183" s="1601"/>
      <c r="EG183" s="1605"/>
      <c r="EH183" s="522"/>
      <c r="EI183" s="524"/>
      <c r="EP183" s="543"/>
      <c r="EQ183" s="544"/>
      <c r="ER183" s="1609"/>
      <c r="ES183" s="1609"/>
      <c r="ET183" s="1609"/>
      <c r="EU183" s="1609"/>
      <c r="EV183" s="1609"/>
      <c r="EW183" s="1610"/>
      <c r="EX183" s="1611"/>
      <c r="FD183" s="522"/>
      <c r="FE183" s="524"/>
      <c r="FK183" s="543"/>
      <c r="FL183" s="544"/>
      <c r="FM183" s="1609"/>
      <c r="FN183" s="1609"/>
      <c r="FO183" s="1609"/>
      <c r="FP183" s="1609"/>
      <c r="FQ183" s="1609"/>
      <c r="FR183" s="1610"/>
      <c r="FS183" s="1611"/>
      <c r="FZ183" s="522"/>
      <c r="GA183" s="524"/>
      <c r="GB183" s="1601"/>
      <c r="GC183" s="1601"/>
      <c r="GD183" s="1601"/>
      <c r="GE183" s="1601"/>
      <c r="GF183" s="1601"/>
      <c r="GG183" s="1601"/>
      <c r="GH183" s="1601"/>
      <c r="GI183" s="1601"/>
      <c r="GJ183" s="1601"/>
      <c r="GK183" s="1601"/>
      <c r="HQ183" s="516"/>
      <c r="HR183" s="2650"/>
      <c r="HS183" s="2619"/>
      <c r="HT183" s="2619"/>
      <c r="HU183" s="2619"/>
      <c r="HV183" s="2619"/>
      <c r="HW183" s="2619"/>
      <c r="HX183" s="2619"/>
      <c r="HY183" s="2619"/>
      <c r="HZ183" s="2619"/>
      <c r="IA183" s="2619"/>
      <c r="IB183" s="2619"/>
      <c r="II183" s="2644"/>
      <c r="IJ183" s="2644"/>
      <c r="IK183" s="2644"/>
      <c r="IL183" s="2644"/>
      <c r="IM183" s="2644"/>
      <c r="IN183" s="2644"/>
      <c r="IO183" s="2644"/>
      <c r="IP183" s="2644"/>
      <c r="IQ183" s="2644"/>
      <c r="IR183" s="2644"/>
      <c r="IS183" s="2652"/>
      <c r="IT183" s="517"/>
    </row>
    <row r="184" spans="19:254" ht="4.1500000000000004" customHeight="1" thickTop="1">
      <c r="S184" s="1511"/>
      <c r="T184" s="1511"/>
      <c r="U184" s="1511"/>
      <c r="V184" s="1511"/>
      <c r="AX184" s="527"/>
      <c r="AY184" s="529"/>
      <c r="AZ184" s="532"/>
      <c r="BA184" s="532"/>
      <c r="BB184" s="532"/>
      <c r="BC184" s="532"/>
      <c r="BD184" s="532"/>
      <c r="BE184" s="532"/>
      <c r="BF184" s="530"/>
      <c r="BG184" s="532"/>
      <c r="BH184" s="665"/>
      <c r="BI184" s="665"/>
      <c r="BJ184" s="665"/>
      <c r="BK184" s="665"/>
      <c r="BL184" s="665"/>
      <c r="BM184" s="1604"/>
      <c r="BN184" s="1608"/>
      <c r="BO184" s="532"/>
      <c r="BP184" s="532"/>
      <c r="BQ184" s="532"/>
      <c r="BR184" s="532"/>
      <c r="BS184" s="532"/>
      <c r="BT184" s="527"/>
      <c r="BU184" s="529"/>
      <c r="BV184" s="532"/>
      <c r="BW184" s="532"/>
      <c r="BX184" s="532"/>
      <c r="BY184" s="532"/>
      <c r="BZ184" s="532"/>
      <c r="CA184" s="530"/>
      <c r="CB184" s="532"/>
      <c r="CC184" s="665"/>
      <c r="CD184" s="665"/>
      <c r="CE184" s="665"/>
      <c r="CF184" s="665"/>
      <c r="CG184" s="665"/>
      <c r="CH184" s="1604"/>
      <c r="CI184" s="1608"/>
      <c r="CJ184" s="532"/>
      <c r="CK184" s="532"/>
      <c r="CL184" s="532"/>
      <c r="CM184" s="532"/>
      <c r="CN184" s="532"/>
      <c r="CO184" s="532"/>
      <c r="CP184" s="527"/>
      <c r="CQ184" s="529"/>
      <c r="CR184" s="516"/>
      <c r="CW184" s="662"/>
      <c r="CX184" s="662"/>
      <c r="CY184" s="662"/>
      <c r="CZ184" s="662"/>
      <c r="DA184" s="662"/>
      <c r="DB184" s="1601"/>
      <c r="DC184" s="1601"/>
      <c r="DD184" s="1601"/>
      <c r="DE184" s="1601"/>
      <c r="DF184" s="662"/>
      <c r="DG184" s="662"/>
      <c r="DH184" s="662"/>
      <c r="DI184" s="662"/>
      <c r="DJ184" s="662"/>
      <c r="DK184" s="662"/>
      <c r="DL184" s="662"/>
      <c r="DM184" s="662"/>
      <c r="DN184" s="662"/>
      <c r="DO184" s="662"/>
      <c r="DP184" s="662"/>
      <c r="DQ184" s="662"/>
      <c r="DR184" s="662"/>
      <c r="DS184" s="662"/>
      <c r="DT184" s="662"/>
      <c r="DU184" s="662"/>
      <c r="DV184" s="662"/>
      <c r="DW184" s="662"/>
      <c r="DX184" s="662"/>
      <c r="DY184" s="662"/>
      <c r="DZ184" s="662"/>
      <c r="EA184" s="662"/>
      <c r="EB184" s="662"/>
      <c r="EC184" s="662"/>
      <c r="ED184" s="662"/>
      <c r="EE184" s="662"/>
      <c r="EF184" s="662"/>
      <c r="EG184" s="664"/>
      <c r="EH184" s="527"/>
      <c r="EI184" s="529"/>
      <c r="EJ184" s="532"/>
      <c r="EK184" s="532"/>
      <c r="EL184" s="532"/>
      <c r="EM184" s="532"/>
      <c r="EN184" s="532"/>
      <c r="EO184" s="532"/>
      <c r="EP184" s="530"/>
      <c r="EQ184" s="532"/>
      <c r="ER184" s="665"/>
      <c r="ES184" s="665"/>
      <c r="ET184" s="665"/>
      <c r="EU184" s="665"/>
      <c r="EV184" s="665"/>
      <c r="EW184" s="1604"/>
      <c r="EX184" s="1608"/>
      <c r="EY184" s="532"/>
      <c r="EZ184" s="532"/>
      <c r="FA184" s="532"/>
      <c r="FB184" s="532"/>
      <c r="FC184" s="532"/>
      <c r="FD184" s="527"/>
      <c r="FE184" s="529"/>
      <c r="FF184" s="532"/>
      <c r="FG184" s="532"/>
      <c r="FH184" s="532"/>
      <c r="FI184" s="532"/>
      <c r="FJ184" s="532"/>
      <c r="FK184" s="530"/>
      <c r="FL184" s="532"/>
      <c r="FM184" s="665"/>
      <c r="FN184" s="665"/>
      <c r="FO184" s="665"/>
      <c r="FP184" s="665"/>
      <c r="FQ184" s="665"/>
      <c r="FR184" s="1604"/>
      <c r="FS184" s="1608"/>
      <c r="FT184" s="532"/>
      <c r="FU184" s="532"/>
      <c r="FV184" s="532"/>
      <c r="FW184" s="532"/>
      <c r="FX184" s="532"/>
      <c r="FY184" s="532"/>
      <c r="FZ184" s="527"/>
      <c r="GA184" s="529"/>
      <c r="GB184" s="662"/>
      <c r="GC184" s="662"/>
      <c r="GD184" s="662"/>
      <c r="GE184" s="662"/>
      <c r="GF184" s="662"/>
      <c r="GG184" s="662"/>
      <c r="GH184" s="662"/>
      <c r="GI184" s="662"/>
      <c r="GJ184" s="662"/>
      <c r="GK184" s="662"/>
      <c r="HQ184" s="516"/>
      <c r="HR184" s="2650"/>
      <c r="HS184" s="2619"/>
      <c r="HT184" s="2619"/>
      <c r="HU184" s="2619"/>
      <c r="HV184" s="2619"/>
      <c r="HW184" s="2619"/>
      <c r="HX184" s="2619"/>
      <c r="HY184" s="2619"/>
      <c r="HZ184" s="2619"/>
      <c r="IA184" s="2619"/>
      <c r="IB184" s="2619"/>
      <c r="II184" s="2644"/>
      <c r="IJ184" s="2644"/>
      <c r="IK184" s="2644"/>
      <c r="IL184" s="2644"/>
      <c r="IM184" s="2644"/>
      <c r="IN184" s="2644"/>
      <c r="IO184" s="2644"/>
      <c r="IP184" s="2644"/>
      <c r="IQ184" s="2644"/>
      <c r="IR184" s="2644"/>
      <c r="IS184" s="2652"/>
      <c r="IT184" s="517"/>
    </row>
    <row r="185" spans="19:254" ht="4.1500000000000004" customHeight="1">
      <c r="BE185" s="1569"/>
      <c r="BF185" s="667"/>
      <c r="BG185" s="667"/>
      <c r="BH185" s="667"/>
      <c r="BI185" s="667"/>
      <c r="BJ185" s="667"/>
      <c r="BK185" s="667"/>
      <c r="BL185" s="667"/>
      <c r="BM185" s="667"/>
      <c r="BN185" s="667"/>
      <c r="BO185" s="1570"/>
      <c r="BZ185" s="1569"/>
      <c r="CA185" s="667"/>
      <c r="CB185" s="667"/>
      <c r="CC185" s="667"/>
      <c r="CD185" s="667"/>
      <c r="CE185" s="667"/>
      <c r="CF185" s="667"/>
      <c r="CG185" s="667"/>
      <c r="CH185" s="667"/>
      <c r="CI185" s="667"/>
      <c r="CJ185" s="1570"/>
      <c r="CW185" s="662"/>
      <c r="CX185" s="662"/>
      <c r="CY185" s="662"/>
      <c r="CZ185" s="662"/>
      <c r="DA185" s="662"/>
      <c r="DB185" s="1601"/>
      <c r="DC185" s="1601"/>
      <c r="DD185" s="1601"/>
      <c r="DE185" s="1601"/>
      <c r="DF185" s="662"/>
      <c r="DG185" s="662"/>
      <c r="DH185" s="662"/>
      <c r="DI185" s="662"/>
      <c r="DJ185" s="662"/>
      <c r="DK185" s="662"/>
      <c r="DL185" s="662"/>
      <c r="DM185" s="662"/>
      <c r="DN185" s="662"/>
      <c r="DO185" s="662"/>
      <c r="DP185" s="662"/>
      <c r="DQ185" s="662"/>
      <c r="DR185" s="662"/>
      <c r="DS185" s="662"/>
      <c r="DT185" s="662"/>
      <c r="DU185" s="662"/>
      <c r="DV185" s="662"/>
      <c r="DW185" s="662"/>
      <c r="DX185" s="662"/>
      <c r="DY185" s="662"/>
      <c r="DZ185" s="662"/>
      <c r="EA185" s="662"/>
      <c r="EB185" s="662"/>
      <c r="EC185" s="662"/>
      <c r="ED185" s="662"/>
      <c r="EE185" s="662"/>
      <c r="EF185" s="662"/>
      <c r="EG185" s="662"/>
      <c r="EH185" s="662"/>
      <c r="EI185" s="662"/>
      <c r="EJ185" s="662"/>
      <c r="EK185" s="662"/>
      <c r="EL185" s="662"/>
      <c r="EM185" s="662"/>
      <c r="EN185" s="662"/>
      <c r="EO185" s="1569"/>
      <c r="EP185" s="667"/>
      <c r="EQ185" s="667"/>
      <c r="ER185" s="667"/>
      <c r="ES185" s="667"/>
      <c r="ET185" s="667"/>
      <c r="EU185" s="667"/>
      <c r="EV185" s="667"/>
      <c r="EW185" s="667"/>
      <c r="EX185" s="667"/>
      <c r="EY185" s="1570"/>
      <c r="EZ185" s="662"/>
      <c r="FA185" s="662"/>
      <c r="FB185" s="662"/>
      <c r="FC185" s="662"/>
      <c r="FD185" s="662"/>
      <c r="FE185" s="662"/>
      <c r="FF185" s="662"/>
      <c r="FG185" s="662"/>
      <c r="FH185" s="662"/>
      <c r="FI185" s="662"/>
      <c r="FJ185" s="1569"/>
      <c r="FK185" s="667"/>
      <c r="FL185" s="667"/>
      <c r="FM185" s="667"/>
      <c r="FN185" s="667"/>
      <c r="FO185" s="667"/>
      <c r="FP185" s="667"/>
      <c r="FQ185" s="667"/>
      <c r="FR185" s="667"/>
      <c r="FS185" s="667"/>
      <c r="FT185" s="1570"/>
      <c r="FU185" s="662"/>
      <c r="FV185" s="662"/>
      <c r="FW185" s="662"/>
      <c r="FX185" s="662"/>
      <c r="FY185" s="662"/>
      <c r="FZ185" s="662"/>
      <c r="GA185" s="662"/>
      <c r="GB185" s="662"/>
      <c r="GC185" s="662"/>
      <c r="GD185" s="662"/>
      <c r="GE185" s="662"/>
      <c r="GF185" s="662"/>
      <c r="GG185" s="662"/>
      <c r="GH185" s="662"/>
      <c r="GI185" s="662"/>
      <c r="GJ185" s="662"/>
      <c r="GK185" s="662"/>
      <c r="HQ185" s="516"/>
      <c r="HR185" s="2650"/>
      <c r="HS185" s="2619"/>
      <c r="HT185" s="2619"/>
      <c r="HU185" s="2619"/>
      <c r="HV185" s="2619"/>
      <c r="HW185" s="2619"/>
      <c r="HX185" s="2619"/>
      <c r="HY185" s="2619"/>
      <c r="HZ185" s="2619"/>
      <c r="IA185" s="2619"/>
      <c r="IB185" s="2619"/>
      <c r="II185" s="2644"/>
      <c r="IJ185" s="2644"/>
      <c r="IK185" s="2644"/>
      <c r="IL185" s="2644"/>
      <c r="IM185" s="2644"/>
      <c r="IN185" s="2644"/>
      <c r="IO185" s="2644"/>
      <c r="IP185" s="2644"/>
      <c r="IQ185" s="2644"/>
      <c r="IR185" s="2644"/>
      <c r="IS185" s="2652"/>
      <c r="IT185" s="517"/>
    </row>
    <row r="186" spans="19:254" ht="4.1500000000000004" customHeight="1">
      <c r="BE186" s="1571"/>
      <c r="BF186" s="662"/>
      <c r="BG186" s="662"/>
      <c r="BH186" s="662"/>
      <c r="BI186" s="662"/>
      <c r="BJ186" s="662"/>
      <c r="BK186" s="662"/>
      <c r="BL186" s="662"/>
      <c r="BM186" s="662"/>
      <c r="BN186" s="662"/>
      <c r="BO186" s="1572"/>
      <c r="BZ186" s="1571"/>
      <c r="CA186" s="662"/>
      <c r="CB186" s="662"/>
      <c r="CC186" s="662"/>
      <c r="CD186" s="662"/>
      <c r="CE186" s="662"/>
      <c r="CF186" s="662"/>
      <c r="CG186" s="662"/>
      <c r="CH186" s="662"/>
      <c r="CI186" s="662"/>
      <c r="CJ186" s="1572"/>
      <c r="CW186" s="662"/>
      <c r="CX186" s="662"/>
      <c r="CY186" s="662"/>
      <c r="CZ186" s="662"/>
      <c r="DA186" s="662"/>
      <c r="DB186" s="662"/>
      <c r="DC186" s="662"/>
      <c r="DD186" s="662"/>
      <c r="DE186" s="662"/>
      <c r="DF186" s="662"/>
      <c r="DG186" s="662"/>
      <c r="DH186" s="662"/>
      <c r="DI186" s="662"/>
      <c r="DJ186" s="662"/>
      <c r="DK186" s="662"/>
      <c r="DL186" s="662"/>
      <c r="DM186" s="662"/>
      <c r="DN186" s="662"/>
      <c r="DO186" s="662"/>
      <c r="DP186" s="662"/>
      <c r="DQ186" s="662"/>
      <c r="DR186" s="662"/>
      <c r="DS186" s="662"/>
      <c r="DT186" s="662"/>
      <c r="DU186" s="662"/>
      <c r="DV186" s="662"/>
      <c r="DW186" s="662"/>
      <c r="DX186" s="662"/>
      <c r="DY186" s="662"/>
      <c r="DZ186" s="662"/>
      <c r="EA186" s="662"/>
      <c r="EB186" s="662"/>
      <c r="EC186" s="662"/>
      <c r="ED186" s="662"/>
      <c r="EE186" s="662"/>
      <c r="EF186" s="662"/>
      <c r="EG186" s="662"/>
      <c r="EH186" s="662"/>
      <c r="EI186" s="662"/>
      <c r="EJ186" s="662"/>
      <c r="EK186" s="662"/>
      <c r="EL186" s="662"/>
      <c r="EM186" s="662"/>
      <c r="EN186" s="662"/>
      <c r="EO186" s="1571"/>
      <c r="EP186" s="662"/>
      <c r="EQ186" s="662"/>
      <c r="ER186" s="662"/>
      <c r="ES186" s="662"/>
      <c r="ET186" s="662"/>
      <c r="EU186" s="662"/>
      <c r="EV186" s="662"/>
      <c r="EW186" s="662"/>
      <c r="EX186" s="662"/>
      <c r="EY186" s="1572"/>
      <c r="EZ186" s="662"/>
      <c r="FA186" s="662"/>
      <c r="FB186" s="662"/>
      <c r="FC186" s="662"/>
      <c r="FD186" s="662"/>
      <c r="FE186" s="662"/>
      <c r="FF186" s="662"/>
      <c r="FG186" s="662"/>
      <c r="FH186" s="662"/>
      <c r="FI186" s="662"/>
      <c r="FJ186" s="1571"/>
      <c r="FK186" s="662"/>
      <c r="FL186" s="662"/>
      <c r="FM186" s="662"/>
      <c r="FN186" s="662"/>
      <c r="FO186" s="662"/>
      <c r="FP186" s="662"/>
      <c r="FQ186" s="662"/>
      <c r="FR186" s="662"/>
      <c r="FS186" s="662"/>
      <c r="FT186" s="1572"/>
      <c r="FU186" s="662"/>
      <c r="FV186" s="662"/>
      <c r="FW186" s="662"/>
      <c r="FX186" s="662"/>
      <c r="FY186" s="662"/>
      <c r="FZ186" s="662"/>
      <c r="GA186" s="662"/>
      <c r="GB186" s="662"/>
      <c r="GC186" s="662"/>
      <c r="GD186" s="662"/>
      <c r="GE186" s="662"/>
      <c r="GF186" s="662"/>
      <c r="GG186" s="662"/>
      <c r="GH186" s="662"/>
      <c r="GI186" s="662"/>
      <c r="GJ186" s="662"/>
      <c r="GK186" s="662"/>
      <c r="HQ186" s="516"/>
      <c r="HR186" s="2650"/>
      <c r="HS186" s="2619"/>
      <c r="HT186" s="2619"/>
      <c r="HU186" s="2619"/>
      <c r="HV186" s="2619"/>
      <c r="HW186" s="2619"/>
      <c r="HX186" s="2619"/>
      <c r="HY186" s="2619"/>
      <c r="HZ186" s="2619"/>
      <c r="IA186" s="2619"/>
      <c r="IB186" s="2619"/>
      <c r="II186" s="2644"/>
      <c r="IJ186" s="2644"/>
      <c r="IK186" s="2644"/>
      <c r="IL186" s="2644"/>
      <c r="IM186" s="2644"/>
      <c r="IN186" s="2644"/>
      <c r="IO186" s="2644"/>
      <c r="IP186" s="2644"/>
      <c r="IQ186" s="2644"/>
      <c r="IR186" s="2644"/>
      <c r="IS186" s="2652"/>
      <c r="IT186" s="517"/>
    </row>
    <row r="187" spans="19:254" ht="4.1500000000000004" customHeight="1">
      <c r="BE187" s="1614"/>
      <c r="BF187" s="1615"/>
      <c r="BG187" s="1615"/>
      <c r="BH187" s="1615"/>
      <c r="BI187" s="1615"/>
      <c r="BJ187" s="1615"/>
      <c r="BK187" s="1615"/>
      <c r="BL187" s="1615"/>
      <c r="BM187" s="1615"/>
      <c r="BN187" s="1615"/>
      <c r="BO187" s="1616"/>
      <c r="BZ187" s="1614"/>
      <c r="CA187" s="1615"/>
      <c r="CB187" s="1615"/>
      <c r="CC187" s="1615"/>
      <c r="CD187" s="1615"/>
      <c r="CE187" s="1615"/>
      <c r="CF187" s="1615"/>
      <c r="CG187" s="1615"/>
      <c r="CH187" s="1615"/>
      <c r="CI187" s="1615"/>
      <c r="CJ187" s="1616"/>
      <c r="CW187" s="662"/>
      <c r="CX187" s="662"/>
      <c r="CY187" s="662"/>
      <c r="CZ187" s="662"/>
      <c r="DA187" s="662"/>
      <c r="DB187" s="662"/>
      <c r="DC187" s="662"/>
      <c r="DD187" s="662"/>
      <c r="DE187" s="662"/>
      <c r="DF187" s="662"/>
      <c r="DG187" s="662"/>
      <c r="DH187" s="662"/>
      <c r="DI187" s="662"/>
      <c r="DJ187" s="662"/>
      <c r="DK187" s="662"/>
      <c r="DL187" s="662"/>
      <c r="DM187" s="662"/>
      <c r="DN187" s="662"/>
      <c r="DO187" s="662"/>
      <c r="DP187" s="662"/>
      <c r="DQ187" s="662"/>
      <c r="DR187" s="662"/>
      <c r="DS187" s="662"/>
      <c r="DT187" s="662"/>
      <c r="DU187" s="662"/>
      <c r="DV187" s="662"/>
      <c r="DW187" s="662"/>
      <c r="DX187" s="662"/>
      <c r="DY187" s="662"/>
      <c r="DZ187" s="662"/>
      <c r="EA187" s="662"/>
      <c r="EB187" s="662"/>
      <c r="EC187" s="662"/>
      <c r="ED187" s="662"/>
      <c r="EE187" s="662"/>
      <c r="EF187" s="662"/>
      <c r="EG187" s="662"/>
      <c r="EH187" s="662"/>
      <c r="EI187" s="662"/>
      <c r="EJ187" s="662"/>
      <c r="EK187" s="662"/>
      <c r="EL187" s="662"/>
      <c r="EM187" s="662"/>
      <c r="EN187" s="662"/>
      <c r="EO187" s="1614"/>
      <c r="EP187" s="1615"/>
      <c r="EQ187" s="1615"/>
      <c r="ER187" s="1615"/>
      <c r="ES187" s="1615"/>
      <c r="ET187" s="1615"/>
      <c r="EU187" s="1615"/>
      <c r="EV187" s="1615"/>
      <c r="EW187" s="1615"/>
      <c r="EX187" s="1615"/>
      <c r="EY187" s="1616"/>
      <c r="EZ187" s="662"/>
      <c r="FA187" s="662"/>
      <c r="FB187" s="662"/>
      <c r="FC187" s="662"/>
      <c r="FD187" s="662"/>
      <c r="FE187" s="662"/>
      <c r="FF187" s="662"/>
      <c r="FG187" s="662"/>
      <c r="FH187" s="662"/>
      <c r="FI187" s="662"/>
      <c r="FJ187" s="1614"/>
      <c r="FK187" s="1615"/>
      <c r="FL187" s="1615"/>
      <c r="FM187" s="1615"/>
      <c r="FN187" s="1615"/>
      <c r="FO187" s="1615"/>
      <c r="FP187" s="1615"/>
      <c r="FQ187" s="1615"/>
      <c r="FR187" s="1615"/>
      <c r="FS187" s="1615"/>
      <c r="FT187" s="1616"/>
      <c r="FU187" s="662"/>
      <c r="FV187" s="662"/>
      <c r="FW187" s="662"/>
      <c r="FX187" s="662"/>
      <c r="FY187" s="662"/>
      <c r="FZ187" s="662"/>
      <c r="GA187" s="662"/>
      <c r="GB187" s="662"/>
      <c r="GC187" s="662"/>
      <c r="GD187" s="662"/>
      <c r="GE187" s="662"/>
      <c r="GF187" s="662"/>
      <c r="GG187" s="662"/>
      <c r="GH187" s="662"/>
      <c r="GI187" s="662"/>
      <c r="GJ187" s="662"/>
      <c r="GK187" s="662"/>
      <c r="HQ187" s="516"/>
      <c r="HR187" s="2650"/>
      <c r="HS187" s="2619"/>
      <c r="HT187" s="2619"/>
      <c r="HU187" s="2619"/>
      <c r="HV187" s="2619"/>
      <c r="HW187" s="2619"/>
      <c r="HX187" s="2619"/>
      <c r="HY187" s="2619"/>
      <c r="HZ187" s="2619"/>
      <c r="IA187" s="2619"/>
      <c r="IB187" s="2619"/>
      <c r="II187" s="2644"/>
      <c r="IJ187" s="2644"/>
      <c r="IK187" s="2644"/>
      <c r="IL187" s="2644"/>
      <c r="IM187" s="2644"/>
      <c r="IN187" s="2644"/>
      <c r="IO187" s="2644"/>
      <c r="IP187" s="2644"/>
      <c r="IQ187" s="2644"/>
      <c r="IR187" s="2644"/>
      <c r="IS187" s="2652"/>
      <c r="IT187" s="517"/>
    </row>
    <row r="188" spans="19:254" ht="4.1500000000000004" customHeight="1">
      <c r="CW188" s="662"/>
      <c r="CX188" s="662"/>
      <c r="CY188" s="662"/>
      <c r="CZ188" s="662"/>
      <c r="DA188" s="662"/>
      <c r="DB188" s="662"/>
      <c r="DC188" s="662"/>
      <c r="DD188" s="662"/>
      <c r="DE188" s="662"/>
      <c r="DF188" s="662"/>
      <c r="DG188" s="662"/>
      <c r="DH188" s="662"/>
      <c r="DI188" s="662"/>
      <c r="DJ188" s="662"/>
      <c r="DK188" s="662"/>
      <c r="DL188" s="662"/>
      <c r="DM188" s="662"/>
      <c r="DN188" s="662"/>
      <c r="DO188" s="662"/>
      <c r="DP188" s="662"/>
      <c r="DQ188" s="662"/>
      <c r="DR188" s="662"/>
      <c r="DS188" s="662"/>
      <c r="DT188" s="662"/>
      <c r="DU188" s="662"/>
      <c r="DV188" s="662"/>
      <c r="DW188" s="662"/>
      <c r="DX188" s="662"/>
      <c r="DY188" s="662"/>
      <c r="DZ188" s="662"/>
      <c r="EA188" s="662"/>
      <c r="EB188" s="662"/>
      <c r="EC188" s="662"/>
      <c r="ED188" s="662"/>
      <c r="EE188" s="662"/>
      <c r="EF188" s="662"/>
      <c r="EG188" s="662"/>
      <c r="EH188" s="662"/>
      <c r="EI188" s="662"/>
      <c r="EJ188" s="662"/>
      <c r="EK188" s="662"/>
      <c r="EL188" s="662"/>
      <c r="EM188" s="662"/>
      <c r="EN188" s="662"/>
      <c r="EO188" s="662"/>
      <c r="EP188" s="662"/>
      <c r="EQ188" s="662"/>
      <c r="ER188" s="662"/>
      <c r="ES188" s="662"/>
      <c r="ET188" s="662"/>
      <c r="EU188" s="662"/>
      <c r="EV188" s="662"/>
      <c r="EW188" s="662"/>
      <c r="EX188" s="662"/>
      <c r="EY188" s="662"/>
      <c r="EZ188" s="662"/>
      <c r="FA188" s="662"/>
      <c r="FB188" s="662"/>
      <c r="FC188" s="662"/>
      <c r="FD188" s="662"/>
      <c r="FE188" s="662"/>
      <c r="FF188" s="662"/>
      <c r="FG188" s="662"/>
      <c r="FH188" s="662"/>
      <c r="FI188" s="662"/>
      <c r="FJ188" s="662"/>
      <c r="FK188" s="662"/>
      <c r="FL188" s="662"/>
      <c r="FM188" s="662"/>
      <c r="FN188" s="662"/>
      <c r="FO188" s="662"/>
      <c r="FP188" s="662"/>
      <c r="FQ188" s="662"/>
      <c r="FR188" s="662"/>
      <c r="FS188" s="662"/>
      <c r="FT188" s="662"/>
      <c r="FU188" s="662"/>
      <c r="FV188" s="662"/>
      <c r="FW188" s="662"/>
      <c r="FX188" s="662"/>
      <c r="FY188" s="662"/>
      <c r="FZ188" s="662"/>
      <c r="GA188" s="662"/>
      <c r="GB188" s="662"/>
      <c r="GC188" s="662"/>
      <c r="GD188" s="662"/>
      <c r="GE188" s="662"/>
      <c r="GF188" s="662"/>
      <c r="GG188" s="662"/>
      <c r="GH188" s="662"/>
      <c r="GI188" s="662"/>
      <c r="GJ188" s="662"/>
      <c r="GK188" s="662"/>
      <c r="HQ188" s="516"/>
      <c r="HR188" s="2651"/>
      <c r="HS188" s="2621"/>
      <c r="HT188" s="2621"/>
      <c r="HU188" s="2621"/>
      <c r="HV188" s="2621"/>
      <c r="HW188" s="2621"/>
      <c r="HX188" s="2621"/>
      <c r="HY188" s="2621"/>
      <c r="HZ188" s="2621"/>
      <c r="IA188" s="2621"/>
      <c r="IB188" s="2621"/>
      <c r="IC188" s="532"/>
      <c r="ID188" s="532"/>
      <c r="IE188" s="532"/>
      <c r="IF188" s="532"/>
      <c r="IG188" s="532"/>
      <c r="IH188" s="532"/>
      <c r="II188" s="2645"/>
      <c r="IJ188" s="2645"/>
      <c r="IK188" s="2645"/>
      <c r="IL188" s="2645"/>
      <c r="IM188" s="2645"/>
      <c r="IN188" s="2645"/>
      <c r="IO188" s="2645"/>
      <c r="IP188" s="2645"/>
      <c r="IQ188" s="2645"/>
      <c r="IR188" s="2645"/>
      <c r="IS188" s="2653"/>
      <c r="IT188" s="517"/>
    </row>
    <row r="189" spans="19:254" ht="4.1500000000000004" customHeight="1">
      <c r="CW189" s="662"/>
      <c r="CX189" s="662"/>
      <c r="CY189" s="662"/>
      <c r="CZ189" s="662"/>
      <c r="DA189" s="662"/>
      <c r="DB189" s="662"/>
      <c r="DC189" s="662"/>
      <c r="DD189" s="662"/>
      <c r="DE189" s="662"/>
      <c r="DF189" s="662"/>
      <c r="DG189" s="662"/>
      <c r="DH189" s="662"/>
      <c r="DI189" s="662"/>
      <c r="DJ189" s="662"/>
      <c r="DK189" s="662"/>
      <c r="DL189" s="662"/>
      <c r="DM189" s="662"/>
      <c r="DN189" s="662"/>
      <c r="DO189" s="662"/>
      <c r="DP189" s="662"/>
      <c r="DQ189" s="662"/>
      <c r="DR189" s="662"/>
      <c r="DS189" s="662"/>
      <c r="DT189" s="662"/>
      <c r="DU189" s="662"/>
      <c r="DV189" s="662"/>
      <c r="DW189" s="662"/>
      <c r="DX189" s="662"/>
      <c r="DY189" s="662"/>
      <c r="DZ189" s="662"/>
      <c r="EA189" s="662"/>
      <c r="EB189" s="662"/>
      <c r="EC189" s="662"/>
      <c r="ED189" s="662"/>
      <c r="EE189" s="662"/>
      <c r="EF189" s="662"/>
      <c r="EG189" s="662"/>
      <c r="EH189" s="662"/>
      <c r="EI189" s="662"/>
      <c r="EJ189" s="662"/>
      <c r="EK189" s="662"/>
      <c r="EL189" s="662"/>
      <c r="EM189" s="662"/>
      <c r="EN189" s="662"/>
      <c r="EO189" s="662"/>
      <c r="EP189" s="662"/>
      <c r="EQ189" s="662"/>
      <c r="ER189" s="662"/>
      <c r="ES189" s="662"/>
      <c r="ET189" s="662"/>
      <c r="EU189" s="662"/>
      <c r="EV189" s="662"/>
      <c r="EW189" s="662"/>
      <c r="EX189" s="662"/>
      <c r="EY189" s="662"/>
      <c r="EZ189" s="662"/>
      <c r="FA189" s="662"/>
      <c r="FB189" s="662"/>
      <c r="FC189" s="662"/>
      <c r="FD189" s="662"/>
      <c r="FE189" s="662"/>
      <c r="FF189" s="662"/>
      <c r="FG189" s="662"/>
      <c r="FH189" s="662"/>
      <c r="FI189" s="662"/>
      <c r="FJ189" s="662"/>
      <c r="FK189" s="662"/>
      <c r="FL189" s="662"/>
      <c r="FM189" s="662"/>
      <c r="FN189" s="662"/>
      <c r="FO189" s="662"/>
      <c r="FP189" s="662"/>
      <c r="FQ189" s="662"/>
      <c r="FR189" s="662"/>
      <c r="FS189" s="662"/>
      <c r="FT189" s="662"/>
      <c r="FU189" s="662"/>
      <c r="FV189" s="662"/>
      <c r="FW189" s="662"/>
      <c r="FX189" s="662"/>
      <c r="FY189" s="662"/>
      <c r="FZ189" s="662"/>
      <c r="GA189" s="662"/>
      <c r="GB189" s="662"/>
      <c r="GC189" s="662"/>
      <c r="GD189" s="662"/>
      <c r="GE189" s="662"/>
      <c r="GF189" s="662"/>
      <c r="GG189" s="662"/>
      <c r="GH189" s="662"/>
      <c r="GI189" s="662"/>
      <c r="GJ189" s="662"/>
      <c r="GK189" s="662"/>
      <c r="HQ189" s="530"/>
      <c r="HR189" s="532"/>
      <c r="HS189" s="532"/>
      <c r="HT189" s="532"/>
      <c r="HU189" s="532"/>
      <c r="HV189" s="532"/>
      <c r="HW189" s="532"/>
      <c r="HX189" s="532"/>
      <c r="HY189" s="532"/>
      <c r="HZ189" s="532"/>
      <c r="IA189" s="532"/>
      <c r="IB189" s="532"/>
      <c r="IC189" s="532"/>
      <c r="ID189" s="532"/>
      <c r="IE189" s="532"/>
      <c r="IF189" s="532"/>
      <c r="IG189" s="532"/>
      <c r="IH189" s="532"/>
      <c r="II189" s="532"/>
      <c r="IJ189" s="532"/>
      <c r="IK189" s="532"/>
      <c r="IL189" s="532"/>
      <c r="IM189" s="532"/>
      <c r="IN189" s="532"/>
      <c r="IO189" s="532"/>
      <c r="IP189" s="532"/>
      <c r="IQ189" s="532"/>
      <c r="IR189" s="532"/>
      <c r="IS189" s="532"/>
      <c r="IT189" s="531"/>
    </row>
    <row r="190" spans="19:254" ht="4.1500000000000004" customHeight="1">
      <c r="CW190" s="662"/>
      <c r="CX190" s="662"/>
      <c r="CY190" s="662"/>
      <c r="CZ190" s="662"/>
      <c r="DA190" s="662"/>
      <c r="DB190" s="662"/>
      <c r="DC190" s="662"/>
      <c r="DD190" s="662"/>
      <c r="DE190" s="662"/>
      <c r="DF190" s="662"/>
      <c r="DG190" s="662"/>
      <c r="DH190" s="662"/>
      <c r="DI190" s="662"/>
      <c r="DJ190" s="662"/>
      <c r="DK190" s="662"/>
      <c r="DL190" s="662"/>
      <c r="DM190" s="662"/>
      <c r="DN190" s="662"/>
      <c r="DO190" s="662"/>
      <c r="DP190" s="662"/>
      <c r="DQ190" s="662"/>
      <c r="DR190" s="662"/>
      <c r="DS190" s="662"/>
      <c r="DT190" s="662"/>
      <c r="DU190" s="662"/>
      <c r="DV190" s="662"/>
      <c r="DW190" s="662"/>
      <c r="DX190" s="662"/>
      <c r="DY190" s="662"/>
      <c r="DZ190" s="662"/>
      <c r="EA190" s="662"/>
      <c r="EB190" s="662"/>
      <c r="EC190" s="662"/>
      <c r="ED190" s="662"/>
      <c r="EE190" s="662"/>
      <c r="EF190" s="662"/>
      <c r="EG190" s="662"/>
      <c r="EH190" s="662"/>
      <c r="EI190" s="662"/>
      <c r="EJ190" s="662"/>
      <c r="EK190" s="662"/>
      <c r="EL190" s="662"/>
      <c r="EM190" s="662"/>
      <c r="EN190" s="662"/>
      <c r="EO190" s="662"/>
      <c r="EP190" s="662"/>
      <c r="EQ190" s="662"/>
      <c r="ER190" s="662"/>
      <c r="ES190" s="662"/>
      <c r="ET190" s="662"/>
      <c r="EU190" s="662"/>
      <c r="EV190" s="662"/>
      <c r="EW190" s="662"/>
      <c r="EX190" s="662"/>
      <c r="EY190" s="662"/>
      <c r="EZ190" s="662"/>
      <c r="FA190" s="662"/>
      <c r="FB190" s="662"/>
      <c r="FC190" s="662"/>
      <c r="FD190" s="662"/>
      <c r="FE190" s="662"/>
      <c r="FF190" s="662"/>
      <c r="FG190" s="662"/>
      <c r="FH190" s="662"/>
      <c r="FI190" s="662"/>
      <c r="FJ190" s="662"/>
      <c r="FK190" s="662"/>
      <c r="FL190" s="662"/>
      <c r="FM190" s="662"/>
      <c r="FN190" s="662"/>
      <c r="FO190" s="662"/>
      <c r="FP190" s="662"/>
      <c r="FQ190" s="662"/>
      <c r="FR190" s="662"/>
      <c r="FS190" s="662"/>
      <c r="FT190" s="662"/>
      <c r="FU190" s="662"/>
      <c r="FV190" s="662"/>
      <c r="FW190" s="662"/>
      <c r="FX190" s="662"/>
      <c r="FY190" s="662"/>
      <c r="FZ190" s="662"/>
      <c r="GA190" s="662"/>
      <c r="GB190" s="662"/>
      <c r="GC190" s="662"/>
      <c r="GD190" s="662"/>
      <c r="GE190" s="662"/>
      <c r="GF190" s="662"/>
      <c r="GG190" s="662"/>
      <c r="GH190" s="662"/>
      <c r="GI190" s="662"/>
      <c r="GJ190" s="662"/>
      <c r="GK190" s="662"/>
    </row>
    <row r="191" spans="19:254" ht="4.1500000000000004" customHeight="1">
      <c r="CY191" s="662"/>
      <c r="CZ191" s="662"/>
      <c r="DA191" s="662"/>
      <c r="DB191" s="662"/>
      <c r="DC191" s="662"/>
      <c r="DD191" s="662"/>
      <c r="DE191" s="662"/>
      <c r="DF191" s="662"/>
      <c r="DG191" s="662"/>
      <c r="DH191" s="662"/>
      <c r="DI191" s="662"/>
      <c r="DJ191" s="662"/>
      <c r="DK191" s="662"/>
      <c r="DL191" s="662"/>
      <c r="DM191" s="662"/>
      <c r="DN191" s="662"/>
      <c r="DO191" s="662"/>
      <c r="DP191" s="662"/>
      <c r="DQ191" s="662"/>
      <c r="DR191" s="662"/>
      <c r="DS191" s="662"/>
      <c r="DT191" s="662"/>
      <c r="DU191" s="662"/>
      <c r="DV191" s="662"/>
      <c r="DW191" s="662"/>
      <c r="DX191" s="662"/>
      <c r="DY191" s="662"/>
      <c r="DZ191" s="662"/>
      <c r="EA191" s="662"/>
      <c r="EB191" s="662"/>
      <c r="EC191" s="662"/>
      <c r="ED191" s="662"/>
      <c r="EE191" s="662"/>
      <c r="EF191" s="662"/>
      <c r="EG191" s="662"/>
      <c r="EH191" s="662"/>
      <c r="EI191" s="662"/>
      <c r="EJ191" s="662"/>
      <c r="EK191" s="662"/>
      <c r="EL191" s="662"/>
      <c r="EM191" s="662"/>
      <c r="EN191" s="662"/>
      <c r="EO191" s="662"/>
      <c r="EP191" s="662"/>
      <c r="EQ191" s="662"/>
      <c r="ER191" s="662"/>
      <c r="ES191" s="662"/>
      <c r="ET191" s="662"/>
      <c r="EU191" s="662"/>
      <c r="EV191" s="662"/>
      <c r="EW191" s="662"/>
      <c r="EX191" s="662"/>
      <c r="EY191" s="662"/>
      <c r="EZ191" s="662"/>
      <c r="FA191" s="662"/>
      <c r="FB191" s="662"/>
      <c r="FC191" s="662"/>
      <c r="FD191" s="662"/>
      <c r="FE191" s="662"/>
      <c r="FF191" s="662"/>
      <c r="FG191" s="662"/>
      <c r="FH191" s="662"/>
      <c r="FI191" s="662"/>
      <c r="FJ191" s="662"/>
      <c r="FK191" s="662"/>
      <c r="FL191" s="662"/>
      <c r="FM191" s="662"/>
      <c r="FN191" s="662"/>
      <c r="FO191" s="662"/>
      <c r="FP191" s="662"/>
      <c r="FQ191" s="662"/>
      <c r="FR191" s="662"/>
      <c r="FS191" s="662"/>
      <c r="FT191" s="662"/>
      <c r="FU191" s="662"/>
      <c r="FV191" s="662"/>
      <c r="FW191" s="662"/>
      <c r="FX191" s="662"/>
      <c r="FY191" s="662"/>
      <c r="FZ191" s="662"/>
      <c r="GA191" s="662"/>
      <c r="GB191" s="662"/>
      <c r="GC191" s="662"/>
      <c r="GD191" s="662"/>
      <c r="GE191" s="662"/>
      <c r="GF191" s="662"/>
      <c r="GG191" s="662"/>
      <c r="GH191" s="662"/>
      <c r="GI191" s="662"/>
      <c r="GJ191" s="662"/>
      <c r="GK191" s="662"/>
    </row>
    <row r="192" spans="19:254" ht="4.1500000000000004" customHeight="1">
      <c r="CY192" s="662"/>
      <c r="CZ192" s="662"/>
      <c r="DA192" s="662"/>
      <c r="DB192" s="662"/>
      <c r="DC192" s="662"/>
      <c r="DD192" s="662"/>
      <c r="DE192" s="662"/>
      <c r="DF192" s="662"/>
      <c r="DG192" s="662"/>
      <c r="DH192" s="662"/>
      <c r="DI192" s="662"/>
      <c r="DJ192" s="662"/>
      <c r="DK192" s="662"/>
      <c r="DL192" s="662"/>
      <c r="DM192" s="662"/>
      <c r="DN192" s="662"/>
      <c r="DO192" s="662"/>
      <c r="DP192" s="662"/>
      <c r="DQ192" s="662"/>
      <c r="DR192" s="662"/>
      <c r="DS192" s="662"/>
      <c r="DT192" s="662"/>
      <c r="DU192" s="662"/>
      <c r="DV192" s="662"/>
      <c r="DW192" s="662"/>
      <c r="DX192" s="662"/>
      <c r="DY192" s="662"/>
      <c r="DZ192" s="662"/>
      <c r="EA192" s="662"/>
      <c r="EB192" s="662"/>
      <c r="EC192" s="662"/>
      <c r="ED192" s="662"/>
      <c r="EE192" s="662"/>
      <c r="EF192" s="662"/>
      <c r="EG192" s="662"/>
      <c r="EH192" s="662"/>
      <c r="EI192" s="662"/>
      <c r="EJ192" s="662"/>
      <c r="EK192" s="662"/>
      <c r="EL192" s="662"/>
      <c r="EM192" s="662"/>
      <c r="EN192" s="662"/>
      <c r="EO192" s="662"/>
      <c r="EP192" s="662"/>
      <c r="EQ192" s="662"/>
      <c r="ER192" s="662"/>
      <c r="ES192" s="662"/>
      <c r="ET192" s="662"/>
      <c r="EU192" s="662"/>
      <c r="EV192" s="662"/>
      <c r="EW192" s="662"/>
      <c r="EX192" s="662"/>
      <c r="EY192" s="662"/>
      <c r="EZ192" s="662"/>
      <c r="FA192" s="662"/>
      <c r="FB192" s="662"/>
      <c r="FC192" s="662"/>
      <c r="FD192" s="662"/>
      <c r="FE192" s="662"/>
      <c r="FF192" s="662"/>
      <c r="FG192" s="662"/>
      <c r="FH192" s="662"/>
      <c r="FI192" s="662"/>
      <c r="FJ192" s="662"/>
      <c r="FK192" s="662"/>
      <c r="FL192" s="662"/>
      <c r="FM192" s="662"/>
      <c r="FN192" s="662"/>
      <c r="FO192" s="662"/>
      <c r="FP192" s="662"/>
      <c r="FQ192" s="662"/>
      <c r="FR192" s="662"/>
      <c r="FS192" s="662"/>
      <c r="FT192" s="662"/>
      <c r="FU192" s="662"/>
      <c r="FV192" s="662"/>
      <c r="FW192" s="662"/>
      <c r="FX192" s="662"/>
      <c r="FY192" s="662"/>
      <c r="FZ192" s="662"/>
      <c r="GA192" s="662"/>
      <c r="GB192" s="662"/>
      <c r="GC192" s="662"/>
      <c r="GD192" s="662"/>
      <c r="GE192" s="662"/>
      <c r="GF192" s="662"/>
      <c r="GG192" s="662"/>
      <c r="GH192" s="662"/>
      <c r="GI192" s="662"/>
      <c r="GJ192" s="662"/>
      <c r="GK192" s="662"/>
    </row>
    <row r="193" spans="28:274" ht="4.1500000000000004" customHeight="1">
      <c r="CW193" s="662"/>
      <c r="CX193" s="662"/>
      <c r="CY193" s="662"/>
      <c r="CZ193" s="662"/>
      <c r="DA193" s="662"/>
      <c r="DB193" s="662"/>
      <c r="DC193" s="662"/>
      <c r="DD193" s="662"/>
      <c r="DE193" s="662"/>
      <c r="DF193" s="662"/>
      <c r="DG193" s="662"/>
      <c r="DH193" s="662"/>
      <c r="DI193" s="662"/>
      <c r="DJ193" s="662"/>
      <c r="DK193" s="662"/>
      <c r="DL193" s="662"/>
      <c r="DM193" s="662"/>
      <c r="DN193" s="662"/>
      <c r="DO193" s="662"/>
      <c r="DP193" s="662"/>
      <c r="DQ193" s="662"/>
      <c r="DR193" s="662"/>
      <c r="DS193" s="662"/>
      <c r="DT193" s="662"/>
      <c r="DU193" s="662"/>
      <c r="DV193" s="662"/>
      <c r="DW193" s="662"/>
      <c r="DX193" s="662"/>
      <c r="DY193" s="662"/>
      <c r="DZ193" s="662"/>
      <c r="EA193" s="662"/>
      <c r="EB193" s="662"/>
      <c r="EC193" s="662"/>
      <c r="ED193" s="662"/>
      <c r="EE193" s="662"/>
      <c r="EF193" s="662"/>
      <c r="EG193" s="662"/>
      <c r="EH193" s="662"/>
      <c r="EI193" s="662"/>
      <c r="EJ193" s="662"/>
      <c r="EK193" s="662"/>
      <c r="EL193" s="662"/>
      <c r="EM193" s="662"/>
      <c r="EN193" s="662"/>
      <c r="EO193" s="662"/>
      <c r="EP193" s="662"/>
      <c r="EQ193" s="662"/>
      <c r="ER193" s="662"/>
      <c r="ES193" s="662"/>
      <c r="ET193" s="662"/>
      <c r="EU193" s="662"/>
      <c r="EV193" s="662"/>
      <c r="EW193" s="662"/>
      <c r="EX193" s="662"/>
      <c r="EY193" s="662"/>
      <c r="EZ193" s="662"/>
      <c r="FA193" s="662"/>
      <c r="FB193" s="662"/>
      <c r="FC193" s="662"/>
      <c r="FD193" s="662"/>
      <c r="FE193" s="662"/>
      <c r="FF193" s="662"/>
      <c r="FG193" s="662"/>
      <c r="FH193" s="662"/>
      <c r="FI193" s="662"/>
      <c r="FJ193" s="662"/>
      <c r="FK193" s="662"/>
      <c r="FL193" s="662"/>
      <c r="FM193" s="662"/>
      <c r="FN193" s="662"/>
      <c r="FO193" s="662"/>
      <c r="FP193" s="662"/>
      <c r="FQ193" s="662"/>
      <c r="FR193" s="662"/>
      <c r="FS193" s="662"/>
      <c r="FT193" s="662"/>
      <c r="FU193" s="662"/>
      <c r="FV193" s="662"/>
      <c r="FW193" s="662"/>
      <c r="FX193" s="662"/>
      <c r="FY193" s="662"/>
      <c r="FZ193" s="662"/>
      <c r="GA193" s="662"/>
      <c r="GB193" s="662"/>
      <c r="GC193" s="662"/>
      <c r="GD193" s="662"/>
      <c r="GE193" s="662"/>
      <c r="GF193" s="662"/>
      <c r="GG193" s="662"/>
      <c r="GH193" s="662"/>
      <c r="GI193" s="662"/>
      <c r="GJ193" s="662"/>
      <c r="GK193" s="662"/>
      <c r="HO193" s="1558"/>
      <c r="HP193" s="1558"/>
      <c r="HQ193" s="1558"/>
      <c r="HR193" s="1558"/>
      <c r="HS193" s="1558"/>
      <c r="HT193" s="1558"/>
      <c r="HU193" s="1558"/>
      <c r="HV193" s="1558"/>
      <c r="HW193" s="1558"/>
      <c r="HX193" s="1558"/>
      <c r="HY193" s="1558"/>
      <c r="HZ193" s="1558"/>
    </row>
    <row r="194" spans="28:274" ht="4.1500000000000004" customHeight="1">
      <c r="CW194" s="662"/>
      <c r="CX194" s="662"/>
      <c r="CY194" s="662"/>
      <c r="CZ194" s="662"/>
      <c r="DA194" s="662"/>
      <c r="DB194" s="662"/>
      <c r="DC194" s="662"/>
      <c r="DD194" s="662"/>
      <c r="DE194" s="662"/>
      <c r="DF194" s="662"/>
      <c r="DG194" s="662"/>
      <c r="DH194" s="662"/>
      <c r="DI194" s="662"/>
      <c r="DJ194" s="662"/>
      <c r="DK194" s="662"/>
      <c r="DL194" s="662"/>
      <c r="DM194" s="662"/>
      <c r="DN194" s="662"/>
      <c r="DO194" s="662"/>
      <c r="DP194" s="662"/>
      <c r="DQ194" s="662"/>
      <c r="DR194" s="662"/>
      <c r="DS194" s="662"/>
      <c r="DT194" s="662"/>
      <c r="DU194" s="662"/>
      <c r="DV194" s="662"/>
      <c r="DW194" s="662"/>
      <c r="DX194" s="662"/>
      <c r="DY194" s="662"/>
      <c r="DZ194" s="662"/>
      <c r="EA194" s="662"/>
      <c r="EB194" s="662"/>
      <c r="EC194" s="662"/>
      <c r="ED194" s="662"/>
      <c r="EE194" s="662"/>
      <c r="EF194" s="662"/>
      <c r="EG194" s="662"/>
      <c r="EH194" s="662"/>
      <c r="EI194" s="662"/>
      <c r="EJ194" s="662"/>
      <c r="EK194" s="662"/>
      <c r="EL194" s="662"/>
      <c r="EM194" s="662"/>
      <c r="EN194" s="662"/>
      <c r="EO194" s="662"/>
      <c r="EP194" s="662"/>
      <c r="EQ194" s="662"/>
      <c r="ER194" s="662"/>
      <c r="ES194" s="662"/>
      <c r="ET194" s="662"/>
      <c r="EU194" s="662"/>
      <c r="EV194" s="662"/>
      <c r="EW194" s="662"/>
      <c r="EX194" s="662"/>
      <c r="EY194" s="662"/>
      <c r="EZ194" s="662"/>
      <c r="FA194" s="662"/>
      <c r="FB194" s="662"/>
      <c r="FC194" s="662"/>
      <c r="FD194" s="662"/>
      <c r="FE194" s="662"/>
      <c r="FF194" s="662"/>
      <c r="FG194" s="662"/>
      <c r="FH194" s="662"/>
      <c r="FI194" s="662"/>
      <c r="FJ194" s="662"/>
      <c r="FK194" s="662"/>
      <c r="FL194" s="662"/>
      <c r="FM194" s="662"/>
      <c r="FN194" s="662"/>
      <c r="FO194" s="662"/>
      <c r="FP194" s="662"/>
      <c r="FQ194" s="662"/>
      <c r="FR194" s="662"/>
      <c r="FS194" s="662"/>
      <c r="FT194" s="662"/>
      <c r="FU194" s="662"/>
      <c r="FV194" s="662"/>
      <c r="FW194" s="662"/>
      <c r="FX194" s="662"/>
      <c r="FY194" s="662"/>
      <c r="FZ194" s="662"/>
      <c r="GA194" s="662"/>
      <c r="GB194" s="662"/>
      <c r="GC194" s="662"/>
      <c r="GD194" s="662"/>
      <c r="GE194" s="662"/>
      <c r="GF194" s="662"/>
      <c r="GG194" s="662"/>
      <c r="GH194" s="662"/>
      <c r="GI194" s="662"/>
      <c r="GJ194" s="662"/>
      <c r="GK194" s="662"/>
      <c r="GL194" s="662"/>
      <c r="GM194" s="662"/>
      <c r="GN194" s="662"/>
      <c r="GO194" s="662"/>
      <c r="GP194" s="662"/>
      <c r="GQ194" s="662"/>
      <c r="GR194" s="662"/>
      <c r="GS194" s="662"/>
      <c r="GT194" s="662"/>
      <c r="GU194" s="662"/>
      <c r="GV194" s="662"/>
      <c r="GW194" s="662"/>
      <c r="GX194" s="662"/>
      <c r="GY194" s="662"/>
      <c r="GZ194" s="662"/>
      <c r="HA194" s="662"/>
      <c r="HB194" s="662"/>
      <c r="HC194" s="662"/>
      <c r="HD194" s="662"/>
      <c r="HE194" s="662"/>
      <c r="HF194" s="662"/>
      <c r="HG194" s="662"/>
      <c r="HH194" s="662"/>
      <c r="HI194" s="662"/>
      <c r="HJ194" s="662"/>
      <c r="HK194" s="662"/>
      <c r="HL194" s="662"/>
      <c r="HM194" s="662"/>
      <c r="HN194" s="662"/>
      <c r="HO194" s="662"/>
      <c r="HP194" s="662"/>
      <c r="HQ194" s="662"/>
      <c r="HR194" s="662"/>
      <c r="HS194" s="662"/>
      <c r="HT194" s="662"/>
      <c r="HU194" s="662"/>
      <c r="HV194" s="662"/>
      <c r="HW194" s="662"/>
      <c r="HX194" s="662"/>
      <c r="HY194" s="662"/>
      <c r="HZ194" s="662"/>
      <c r="IA194" s="662"/>
      <c r="IB194" s="662"/>
      <c r="IC194" s="662"/>
      <c r="ID194" s="662"/>
      <c r="IE194" s="662"/>
      <c r="IF194" s="662"/>
      <c r="IG194" s="662"/>
      <c r="IH194" s="662"/>
      <c r="II194" s="662"/>
      <c r="IJ194" s="662"/>
      <c r="IK194" s="662"/>
      <c r="IL194" s="662"/>
      <c r="IM194" s="662"/>
    </row>
    <row r="195" spans="28:274" ht="4.1500000000000004" customHeight="1">
      <c r="CW195" s="662"/>
      <c r="CX195" s="662"/>
      <c r="CY195" s="662"/>
      <c r="CZ195" s="662"/>
      <c r="DA195" s="662"/>
      <c r="DB195" s="1510"/>
      <c r="DC195" s="1511"/>
      <c r="DD195" s="1511"/>
      <c r="DE195" s="1511"/>
      <c r="DF195" s="662"/>
      <c r="DG195" s="662"/>
      <c r="DH195" s="662"/>
      <c r="DI195" s="662"/>
      <c r="DJ195" s="662"/>
      <c r="DK195" s="662"/>
      <c r="DL195" s="662"/>
      <c r="DM195" s="662"/>
      <c r="DN195" s="662"/>
      <c r="DO195" s="662"/>
      <c r="DP195" s="662"/>
      <c r="DQ195" s="662"/>
      <c r="DR195" s="662"/>
      <c r="DS195" s="662"/>
      <c r="DT195" s="662"/>
      <c r="DU195" s="662"/>
      <c r="DV195" s="662"/>
      <c r="DW195" s="662"/>
      <c r="DX195" s="662"/>
      <c r="DY195" s="662"/>
      <c r="DZ195" s="662"/>
      <c r="EA195" s="662"/>
      <c r="EB195" s="662"/>
      <c r="EC195" s="662"/>
      <c r="ED195" s="662"/>
      <c r="EE195" s="662"/>
      <c r="EF195" s="662"/>
      <c r="EG195" s="662"/>
      <c r="EH195" s="662"/>
      <c r="EI195" s="662"/>
      <c r="EJ195" s="662"/>
      <c r="EK195" s="662"/>
      <c r="EL195" s="662"/>
      <c r="EM195" s="662"/>
      <c r="EN195" s="662"/>
      <c r="EO195" s="662"/>
      <c r="EP195" s="662"/>
      <c r="EQ195" s="662"/>
      <c r="ER195" s="662"/>
      <c r="ES195" s="662"/>
      <c r="ET195" s="662"/>
      <c r="EU195" s="662"/>
      <c r="EV195" s="662"/>
      <c r="EW195" s="662"/>
      <c r="EX195" s="662"/>
      <c r="EY195" s="662"/>
      <c r="EZ195" s="662"/>
      <c r="FA195" s="662"/>
      <c r="FB195" s="662"/>
      <c r="FC195" s="662"/>
      <c r="FD195" s="662"/>
      <c r="FE195" s="662"/>
      <c r="FF195" s="662"/>
      <c r="FG195" s="662"/>
      <c r="FH195" s="662"/>
      <c r="FI195" s="662"/>
      <c r="FJ195" s="662"/>
      <c r="FK195" s="662"/>
      <c r="FL195" s="662"/>
      <c r="FM195" s="662"/>
      <c r="FN195" s="662"/>
      <c r="FO195" s="662"/>
      <c r="FP195" s="662"/>
      <c r="FQ195" s="662"/>
      <c r="FR195" s="662"/>
      <c r="FS195" s="662"/>
      <c r="FT195" s="662"/>
      <c r="FU195" s="662"/>
      <c r="FV195" s="662"/>
      <c r="FW195" s="662"/>
      <c r="FX195" s="662"/>
      <c r="FY195" s="662"/>
      <c r="FZ195" s="662"/>
      <c r="GA195" s="662"/>
      <c r="GB195" s="662"/>
      <c r="GC195" s="662"/>
      <c r="GD195" s="662"/>
      <c r="GE195" s="662"/>
      <c r="GF195" s="662"/>
      <c r="GG195" s="662"/>
      <c r="GH195" s="662"/>
      <c r="GI195" s="662"/>
      <c r="GJ195" s="662"/>
      <c r="GK195" s="662"/>
      <c r="GL195" s="662"/>
      <c r="GM195" s="662"/>
      <c r="GN195" s="662"/>
      <c r="GO195" s="662"/>
      <c r="GP195" s="662"/>
      <c r="GQ195" s="662"/>
      <c r="GR195" s="662"/>
      <c r="GS195" s="662"/>
      <c r="GT195" s="662"/>
      <c r="GU195" s="662"/>
      <c r="GV195" s="662"/>
      <c r="GW195" s="662"/>
      <c r="GX195" s="662"/>
      <c r="GY195" s="662"/>
      <c r="GZ195" s="662"/>
      <c r="HA195" s="662"/>
      <c r="HB195" s="662"/>
      <c r="HC195" s="662"/>
      <c r="HD195" s="662"/>
      <c r="HE195" s="662"/>
      <c r="HF195" s="662"/>
      <c r="HG195" s="662"/>
      <c r="HH195" s="662"/>
      <c r="HI195" s="662"/>
      <c r="HJ195" s="662"/>
      <c r="HK195" s="662"/>
      <c r="HL195" s="662"/>
      <c r="HM195" s="662"/>
      <c r="HN195" s="662"/>
      <c r="HO195" s="662"/>
      <c r="HP195" s="662"/>
      <c r="HQ195" s="662"/>
      <c r="HR195" s="662"/>
      <c r="HS195" s="662"/>
      <c r="HT195" s="662"/>
      <c r="HU195" s="662"/>
      <c r="HV195" s="662"/>
      <c r="HW195" s="662"/>
      <c r="HX195" s="662"/>
      <c r="HY195" s="662"/>
      <c r="HZ195" s="662"/>
      <c r="IA195" s="662"/>
      <c r="IB195" s="662"/>
      <c r="IC195" s="662"/>
      <c r="ID195" s="662"/>
      <c r="IE195" s="662"/>
      <c r="IF195" s="662"/>
      <c r="IG195" s="662"/>
      <c r="IH195" s="662"/>
      <c r="II195" s="662"/>
      <c r="IJ195" s="662"/>
      <c r="IK195" s="662"/>
      <c r="IL195" s="662"/>
      <c r="IM195" s="662"/>
    </row>
    <row r="196" spans="28:274" ht="4.1500000000000004" customHeight="1">
      <c r="BC196" s="1600"/>
      <c r="BD196" s="1600"/>
      <c r="BE196" s="1600"/>
      <c r="BF196" s="1600"/>
      <c r="BG196" s="1600"/>
      <c r="BH196" s="1600"/>
      <c r="BI196" s="1600"/>
      <c r="BJ196" s="1600"/>
      <c r="BK196" s="1600"/>
      <c r="BL196" s="1600"/>
      <c r="BM196" s="1600"/>
      <c r="BN196" s="1600"/>
      <c r="BO196" s="1600"/>
      <c r="BP196" s="1600"/>
      <c r="BQ196" s="1600"/>
      <c r="BR196" s="1600"/>
      <c r="BS196" s="1600"/>
      <c r="BT196" s="1600"/>
      <c r="CW196" s="662"/>
      <c r="CX196" s="662"/>
      <c r="CY196" s="662"/>
      <c r="CZ196" s="662"/>
      <c r="DA196" s="662"/>
      <c r="DB196" s="1511"/>
      <c r="DC196" s="1511"/>
      <c r="DD196" s="1511"/>
      <c r="DE196" s="1511"/>
      <c r="DF196" s="662"/>
      <c r="DG196" s="662"/>
      <c r="DH196" s="662"/>
      <c r="DI196" s="662"/>
      <c r="DJ196" s="662"/>
      <c r="DK196" s="662"/>
      <c r="DL196" s="662"/>
      <c r="DM196" s="662"/>
      <c r="DN196" s="662"/>
      <c r="DO196" s="662"/>
      <c r="DP196" s="662"/>
      <c r="DQ196" s="662"/>
      <c r="DR196" s="662"/>
      <c r="DS196" s="662"/>
      <c r="DT196" s="662"/>
      <c r="DU196" s="662"/>
      <c r="DV196" s="662"/>
      <c r="DW196" s="662"/>
      <c r="DX196" s="662"/>
      <c r="DY196" s="662"/>
      <c r="DZ196" s="662"/>
      <c r="EA196" s="662"/>
      <c r="EB196" s="662"/>
      <c r="EC196" s="662"/>
      <c r="ED196" s="662"/>
      <c r="EE196" s="662"/>
      <c r="EF196" s="662"/>
      <c r="EG196" s="662"/>
      <c r="EH196" s="662"/>
      <c r="EI196" s="662"/>
      <c r="EJ196" s="662"/>
      <c r="EK196" s="662"/>
      <c r="EL196" s="662"/>
      <c r="EM196" s="662"/>
      <c r="EN196" s="662"/>
      <c r="EO196" s="662"/>
      <c r="EP196" s="662"/>
      <c r="EQ196" s="662"/>
      <c r="ER196" s="662"/>
      <c r="ES196" s="662"/>
      <c r="ET196" s="662"/>
      <c r="EU196" s="662"/>
      <c r="EV196" s="662"/>
      <c r="EW196" s="662"/>
      <c r="EX196" s="662"/>
      <c r="EY196" s="662"/>
      <c r="EZ196" s="662"/>
      <c r="FA196" s="662"/>
      <c r="FB196" s="662"/>
      <c r="FC196" s="662"/>
      <c r="FD196" s="662"/>
      <c r="FE196" s="662"/>
      <c r="FF196" s="662"/>
      <c r="FG196" s="662"/>
      <c r="FH196" s="662"/>
      <c r="FI196" s="662"/>
      <c r="FJ196" s="662"/>
      <c r="FK196" s="662"/>
      <c r="FL196" s="662"/>
      <c r="FM196" s="662"/>
      <c r="FN196" s="662"/>
      <c r="FO196" s="662"/>
      <c r="FP196" s="662"/>
      <c r="FQ196" s="662"/>
      <c r="FR196" s="662"/>
      <c r="FS196" s="662"/>
      <c r="FT196" s="662"/>
      <c r="FU196" s="662"/>
      <c r="FV196" s="662"/>
      <c r="FW196" s="662"/>
      <c r="FX196" s="662"/>
      <c r="FY196" s="662"/>
      <c r="FZ196" s="662"/>
      <c r="GA196" s="662"/>
      <c r="GB196" s="662"/>
      <c r="GC196" s="662"/>
      <c r="GD196" s="662"/>
      <c r="GE196" s="662"/>
      <c r="GF196" s="662"/>
      <c r="GG196" s="662"/>
      <c r="GH196" s="662"/>
      <c r="GI196" s="662"/>
      <c r="GJ196" s="662"/>
      <c r="GK196" s="662"/>
      <c r="GL196" s="662"/>
      <c r="GM196" s="662"/>
      <c r="GN196" s="662"/>
      <c r="GO196" s="662"/>
      <c r="GP196" s="662"/>
      <c r="GQ196" s="662"/>
      <c r="GR196" s="662"/>
      <c r="GS196" s="662"/>
      <c r="GT196" s="662"/>
      <c r="GU196" s="662"/>
      <c r="GV196" s="662"/>
      <c r="GW196" s="662"/>
      <c r="GX196" s="662"/>
      <c r="GY196" s="662"/>
      <c r="GZ196" s="662"/>
      <c r="HA196" s="662"/>
      <c r="HB196" s="662"/>
      <c r="HC196" s="662"/>
      <c r="HD196" s="662"/>
      <c r="HE196" s="662"/>
      <c r="HF196" s="662"/>
      <c r="HG196" s="662"/>
      <c r="HH196" s="662"/>
      <c r="HI196" s="662"/>
      <c r="HJ196" s="662"/>
      <c r="HK196" s="662"/>
      <c r="HL196" s="662"/>
      <c r="HM196" s="662"/>
      <c r="HN196" s="662"/>
      <c r="HO196" s="662"/>
      <c r="HP196" s="662"/>
      <c r="HQ196" s="662"/>
      <c r="HR196" s="662"/>
      <c r="HS196" s="662"/>
      <c r="HT196" s="662"/>
      <c r="HU196" s="662"/>
      <c r="HV196" s="662"/>
      <c r="HW196" s="662"/>
      <c r="HX196" s="662"/>
      <c r="HY196" s="662"/>
      <c r="HZ196" s="662"/>
      <c r="IA196" s="662"/>
      <c r="IB196" s="662"/>
      <c r="IC196" s="662"/>
      <c r="ID196" s="662"/>
      <c r="IE196" s="662"/>
      <c r="IF196" s="662"/>
      <c r="IG196" s="662"/>
      <c r="IH196" s="662"/>
      <c r="II196" s="662"/>
      <c r="IJ196" s="662"/>
      <c r="IK196" s="662"/>
      <c r="IL196" s="662"/>
      <c r="IM196" s="662"/>
    </row>
    <row r="197" spans="28:274" ht="4.1500000000000004" customHeight="1">
      <c r="BC197" s="1600"/>
      <c r="BD197" s="1600"/>
      <c r="BE197" s="1600"/>
      <c r="BF197" s="1600"/>
      <c r="BG197" s="1600"/>
      <c r="BH197" s="1600"/>
      <c r="BI197" s="1600"/>
      <c r="BJ197" s="1600"/>
      <c r="BK197" s="1600"/>
      <c r="BL197" s="1600"/>
      <c r="BM197" s="1600"/>
      <c r="BN197" s="1600"/>
      <c r="BO197" s="1600"/>
      <c r="BP197" s="1600"/>
      <c r="BQ197" s="1600"/>
      <c r="BR197" s="1600"/>
      <c r="BS197" s="1600"/>
      <c r="BT197" s="1600"/>
      <c r="CW197" s="662"/>
      <c r="CX197" s="662"/>
      <c r="CY197" s="662"/>
      <c r="CZ197" s="662"/>
      <c r="DA197" s="662"/>
      <c r="DB197" s="1511"/>
      <c r="DC197" s="1511"/>
      <c r="DD197" s="1511"/>
      <c r="DE197" s="1511"/>
      <c r="DF197" s="662"/>
      <c r="DG197" s="662"/>
      <c r="DH197" s="662"/>
      <c r="DI197" s="662"/>
      <c r="DJ197" s="662"/>
      <c r="DK197" s="662"/>
      <c r="DL197" s="662"/>
      <c r="DM197" s="662"/>
      <c r="DN197" s="662"/>
      <c r="DO197" s="662"/>
      <c r="DP197" s="662"/>
      <c r="DQ197" s="662"/>
      <c r="DR197" s="662"/>
      <c r="DS197" s="662"/>
      <c r="DT197" s="662"/>
      <c r="DU197" s="662"/>
      <c r="DV197" s="662"/>
      <c r="DW197" s="662"/>
      <c r="DX197" s="662"/>
      <c r="DY197" s="662"/>
      <c r="DZ197" s="662"/>
      <c r="EA197" s="662"/>
      <c r="EB197" s="662"/>
      <c r="EC197" s="662"/>
      <c r="ED197" s="662"/>
      <c r="EE197" s="662"/>
      <c r="EF197" s="662"/>
      <c r="EG197" s="662"/>
      <c r="EH197" s="662"/>
      <c r="EI197" s="662"/>
      <c r="EJ197" s="662"/>
      <c r="EK197" s="662"/>
      <c r="EL197" s="662"/>
      <c r="EM197" s="662"/>
      <c r="EN197" s="662"/>
      <c r="EO197" s="662"/>
      <c r="EP197" s="662"/>
      <c r="EQ197" s="662"/>
      <c r="ER197" s="662"/>
      <c r="ES197" s="662"/>
      <c r="ET197" s="662"/>
      <c r="EU197" s="662"/>
      <c r="EV197" s="662"/>
      <c r="EW197" s="662"/>
      <c r="EX197" s="662"/>
      <c r="EY197" s="662"/>
      <c r="EZ197" s="662"/>
      <c r="FA197" s="662"/>
      <c r="FB197" s="662"/>
      <c r="FC197" s="662"/>
      <c r="FD197" s="662"/>
      <c r="FE197" s="662"/>
      <c r="FF197" s="662"/>
      <c r="FG197" s="662"/>
      <c r="FH197" s="662"/>
      <c r="FI197" s="662"/>
      <c r="FJ197" s="662"/>
      <c r="FK197" s="662"/>
      <c r="FL197" s="662"/>
      <c r="FM197" s="662"/>
      <c r="FN197" s="662"/>
      <c r="FO197" s="662"/>
      <c r="FP197" s="662"/>
      <c r="FQ197" s="662"/>
      <c r="FR197" s="662"/>
      <c r="FS197" s="662"/>
      <c r="FT197" s="662"/>
      <c r="FU197" s="662"/>
      <c r="FV197" s="662"/>
      <c r="FW197" s="662"/>
      <c r="FX197" s="662"/>
      <c r="FY197" s="662"/>
      <c r="FZ197" s="662"/>
      <c r="GA197" s="662"/>
      <c r="GB197" s="662"/>
      <c r="GC197" s="662"/>
      <c r="GD197" s="662"/>
      <c r="GE197" s="662"/>
      <c r="GF197" s="662"/>
      <c r="GG197" s="662"/>
      <c r="GH197" s="662"/>
      <c r="GI197" s="662"/>
      <c r="GJ197" s="662"/>
      <c r="GK197" s="662"/>
      <c r="GL197" s="662"/>
      <c r="GM197" s="662"/>
      <c r="GN197" s="662"/>
      <c r="GO197" s="662"/>
      <c r="GP197" s="662"/>
      <c r="GQ197" s="662"/>
      <c r="GR197" s="662"/>
      <c r="GS197" s="662"/>
      <c r="GT197" s="662"/>
      <c r="GU197" s="662"/>
      <c r="GV197" s="662"/>
      <c r="GW197" s="662"/>
      <c r="GX197" s="662"/>
      <c r="GY197" s="662"/>
      <c r="GZ197" s="662"/>
      <c r="HA197" s="662"/>
      <c r="HB197" s="662"/>
      <c r="HC197" s="662"/>
      <c r="HD197" s="662"/>
      <c r="HE197" s="662"/>
      <c r="HF197" s="662"/>
      <c r="HG197" s="662"/>
      <c r="HH197" s="662"/>
      <c r="HI197" s="662"/>
      <c r="HJ197" s="662"/>
      <c r="HK197" s="662"/>
      <c r="HL197" s="662"/>
      <c r="HM197" s="662"/>
      <c r="HN197" s="662"/>
      <c r="HO197" s="662"/>
      <c r="HP197" s="662"/>
      <c r="HQ197" s="662"/>
      <c r="HR197" s="662"/>
      <c r="HS197" s="662"/>
      <c r="HT197" s="662"/>
      <c r="HU197" s="662"/>
      <c r="HV197" s="662"/>
      <c r="HW197" s="662"/>
      <c r="HX197" s="662"/>
      <c r="HY197" s="662"/>
      <c r="HZ197" s="662"/>
      <c r="IA197" s="662"/>
      <c r="IB197" s="662"/>
      <c r="IC197" s="662"/>
      <c r="ID197" s="662"/>
      <c r="IE197" s="662"/>
      <c r="IF197" s="662"/>
      <c r="IG197" s="662"/>
      <c r="IH197" s="662"/>
      <c r="II197" s="662"/>
      <c r="IJ197" s="662"/>
      <c r="IK197" s="662"/>
      <c r="IL197" s="662"/>
      <c r="IM197" s="662"/>
    </row>
    <row r="198" spans="28:274" ht="4.1500000000000004" customHeight="1">
      <c r="BC198" s="1600"/>
      <c r="BD198" s="1600"/>
      <c r="BE198" s="1600"/>
      <c r="BF198" s="1600"/>
      <c r="BG198" s="1600"/>
      <c r="BH198" s="1600"/>
      <c r="BI198" s="1600"/>
      <c r="BJ198" s="1600"/>
      <c r="BK198" s="1600"/>
      <c r="BL198" s="1600"/>
      <c r="BM198" s="1600"/>
      <c r="BN198" s="1600"/>
      <c r="BO198" s="1600"/>
      <c r="BP198" s="1600"/>
      <c r="BQ198" s="1600"/>
      <c r="BR198" s="1600"/>
      <c r="BS198" s="1600"/>
      <c r="BT198" s="1600"/>
      <c r="CW198" s="662"/>
      <c r="CX198" s="662"/>
      <c r="CY198" s="662"/>
      <c r="CZ198" s="662"/>
      <c r="DA198" s="662"/>
      <c r="DB198" s="1511"/>
      <c r="DC198" s="1511"/>
      <c r="DD198" s="1511"/>
      <c r="DE198" s="1511"/>
      <c r="DF198" s="662"/>
      <c r="DG198" s="662"/>
      <c r="DH198" s="662"/>
      <c r="DI198" s="662"/>
      <c r="DJ198" s="662"/>
      <c r="DK198" s="662"/>
      <c r="DL198" s="662"/>
      <c r="DM198" s="662"/>
      <c r="DN198" s="662"/>
      <c r="DO198" s="662"/>
      <c r="DP198" s="662"/>
      <c r="DQ198" s="662"/>
      <c r="DR198" s="662"/>
      <c r="DS198" s="662"/>
      <c r="DT198" s="662"/>
      <c r="DU198" s="662"/>
      <c r="DV198" s="662"/>
      <c r="DW198" s="662"/>
      <c r="DX198" s="662"/>
      <c r="DY198" s="662"/>
      <c r="DZ198" s="662"/>
      <c r="EA198" s="662"/>
      <c r="EB198" s="662"/>
      <c r="EC198" s="662"/>
      <c r="ED198" s="662"/>
      <c r="EE198" s="662"/>
      <c r="EF198" s="662"/>
      <c r="EG198" s="662"/>
      <c r="EH198" s="662"/>
      <c r="EI198" s="662"/>
      <c r="EJ198" s="662"/>
      <c r="EK198" s="662"/>
      <c r="EL198" s="662"/>
      <c r="EM198" s="662"/>
      <c r="EN198" s="662"/>
      <c r="EO198" s="662"/>
      <c r="EP198" s="662"/>
      <c r="EQ198" s="662"/>
      <c r="ER198" s="662"/>
      <c r="ES198" s="662"/>
      <c r="ET198" s="662"/>
      <c r="EU198" s="662"/>
      <c r="EV198" s="662"/>
      <c r="EW198" s="662"/>
      <c r="EX198" s="662"/>
      <c r="EY198" s="662"/>
      <c r="EZ198" s="662"/>
      <c r="FA198" s="662"/>
      <c r="FB198" s="662"/>
      <c r="FC198" s="662"/>
      <c r="FD198" s="662"/>
      <c r="FE198" s="662"/>
      <c r="FF198" s="662"/>
      <c r="FG198" s="662"/>
      <c r="FH198" s="662"/>
      <c r="FI198" s="662"/>
      <c r="FJ198" s="662"/>
      <c r="FK198" s="662"/>
      <c r="FL198" s="662"/>
      <c r="FM198" s="662"/>
      <c r="FN198" s="662"/>
      <c r="FO198" s="662"/>
      <c r="FP198" s="662"/>
      <c r="FQ198" s="662"/>
      <c r="FR198" s="662"/>
      <c r="FS198" s="662"/>
      <c r="FT198" s="662"/>
      <c r="FU198" s="662"/>
      <c r="FV198" s="662"/>
      <c r="FW198" s="662"/>
      <c r="FX198" s="662"/>
      <c r="FY198" s="662"/>
      <c r="FZ198" s="662"/>
      <c r="GA198" s="662"/>
      <c r="GB198" s="662"/>
      <c r="GC198" s="662"/>
      <c r="GD198" s="662"/>
      <c r="GE198" s="662"/>
      <c r="GF198" s="662"/>
      <c r="GG198" s="662"/>
      <c r="GH198" s="662"/>
      <c r="GI198" s="662"/>
      <c r="GJ198" s="662"/>
      <c r="GK198" s="662"/>
      <c r="GL198" s="662"/>
      <c r="GM198" s="662"/>
      <c r="GN198" s="662"/>
      <c r="GO198" s="662"/>
      <c r="GP198" s="662"/>
      <c r="GQ198" s="662"/>
      <c r="GR198" s="662"/>
      <c r="GS198" s="662"/>
      <c r="GT198" s="662"/>
      <c r="GU198" s="662"/>
      <c r="GV198" s="662"/>
      <c r="GW198" s="662"/>
      <c r="GX198" s="662"/>
      <c r="GY198" s="662"/>
      <c r="GZ198" s="662"/>
      <c r="HA198" s="662"/>
      <c r="HB198" s="662"/>
      <c r="HC198" s="662"/>
      <c r="HD198" s="662"/>
      <c r="HE198" s="662"/>
      <c r="HF198" s="662"/>
      <c r="HG198" s="662"/>
      <c r="HH198" s="662"/>
      <c r="HI198" s="662"/>
      <c r="HJ198" s="662"/>
      <c r="HK198" s="662"/>
      <c r="HL198" s="662"/>
      <c r="HM198" s="662"/>
      <c r="HN198" s="662"/>
      <c r="HO198" s="662"/>
      <c r="HP198" s="662"/>
      <c r="HQ198" s="662"/>
      <c r="HR198" s="662"/>
      <c r="HS198" s="662"/>
      <c r="HT198" s="662"/>
      <c r="HU198" s="662"/>
      <c r="HV198" s="662"/>
      <c r="HW198" s="662"/>
      <c r="HX198" s="662"/>
      <c r="HY198" s="662"/>
      <c r="HZ198" s="662"/>
      <c r="IA198" s="662"/>
      <c r="IB198" s="662"/>
      <c r="IC198" s="662"/>
      <c r="ID198" s="662"/>
      <c r="IE198" s="662"/>
      <c r="IF198" s="662"/>
      <c r="IG198" s="662"/>
      <c r="IH198" s="662"/>
      <c r="II198" s="662"/>
      <c r="IJ198" s="662"/>
      <c r="IK198" s="662"/>
      <c r="IL198" s="662"/>
      <c r="IM198" s="662"/>
    </row>
    <row r="199" spans="28:274" ht="4.1500000000000004" customHeight="1">
      <c r="BC199" s="1509"/>
      <c r="BD199" s="1509"/>
      <c r="BE199" s="1509"/>
      <c r="BF199" s="1509"/>
      <c r="BG199" s="1509"/>
      <c r="BH199" s="1509"/>
      <c r="BI199" s="1509"/>
      <c r="BJ199" s="1599"/>
      <c r="BK199" s="1599"/>
      <c r="BL199" s="1599"/>
      <c r="BM199" s="1599"/>
      <c r="BN199" s="1599"/>
      <c r="BO199" s="1599"/>
      <c r="BP199" s="1599"/>
      <c r="BQ199" s="1599"/>
      <c r="BR199" s="1599"/>
      <c r="BS199" s="1599"/>
      <c r="BT199" s="1599"/>
      <c r="CW199" s="662"/>
      <c r="CX199" s="662"/>
      <c r="CY199" s="662"/>
      <c r="CZ199" s="662"/>
      <c r="DA199" s="662"/>
      <c r="DB199" s="1511"/>
      <c r="DC199" s="1511"/>
      <c r="DD199" s="1511"/>
      <c r="DE199" s="1511"/>
      <c r="DF199" s="662"/>
      <c r="DG199" s="662"/>
      <c r="DH199" s="662"/>
      <c r="DI199" s="662"/>
      <c r="DJ199" s="662"/>
      <c r="DK199" s="662"/>
      <c r="DL199" s="662"/>
      <c r="DM199" s="662"/>
      <c r="DN199" s="662"/>
      <c r="DO199" s="662"/>
      <c r="DP199" s="662"/>
      <c r="DQ199" s="662"/>
      <c r="DR199" s="662"/>
      <c r="DS199" s="662"/>
      <c r="DT199" s="662"/>
      <c r="DU199" s="662"/>
      <c r="DV199" s="662"/>
      <c r="DW199" s="662"/>
      <c r="DX199" s="662"/>
      <c r="DY199" s="662"/>
      <c r="DZ199" s="662"/>
      <c r="EA199" s="662"/>
      <c r="EB199" s="662"/>
      <c r="EC199" s="662"/>
      <c r="ED199" s="662"/>
      <c r="EE199" s="662"/>
      <c r="EF199" s="662"/>
      <c r="EG199" s="662"/>
      <c r="EH199" s="662"/>
      <c r="EI199" s="662"/>
      <c r="EJ199" s="662"/>
      <c r="EK199" s="662"/>
      <c r="EL199" s="662"/>
      <c r="EM199" s="662"/>
      <c r="EN199" s="662"/>
      <c r="EO199" s="662"/>
      <c r="EP199" s="662"/>
      <c r="EQ199" s="662"/>
      <c r="ER199" s="662"/>
      <c r="ES199" s="662"/>
      <c r="ET199" s="662"/>
      <c r="EU199" s="662"/>
      <c r="EV199" s="662"/>
      <c r="EW199" s="662"/>
      <c r="EX199" s="662"/>
      <c r="EY199" s="662"/>
      <c r="EZ199" s="662"/>
      <c r="FA199" s="662"/>
      <c r="FB199" s="662"/>
      <c r="FC199" s="662"/>
      <c r="FD199" s="662"/>
      <c r="FE199" s="662"/>
      <c r="FF199" s="662"/>
      <c r="FG199" s="662"/>
      <c r="FH199" s="662"/>
      <c r="FI199" s="662"/>
      <c r="FJ199" s="662"/>
      <c r="FK199" s="662"/>
      <c r="FL199" s="662"/>
      <c r="FM199" s="662"/>
      <c r="FN199" s="662"/>
      <c r="FO199" s="662"/>
      <c r="FP199" s="662"/>
      <c r="FQ199" s="662"/>
      <c r="FR199" s="662"/>
      <c r="FS199" s="662"/>
      <c r="FT199" s="662"/>
      <c r="FU199" s="662"/>
      <c r="FV199" s="662"/>
      <c r="FW199" s="662"/>
      <c r="FX199" s="662"/>
      <c r="FY199" s="662"/>
      <c r="FZ199" s="662"/>
      <c r="GA199" s="662"/>
      <c r="GB199" s="662"/>
      <c r="GC199" s="662"/>
      <c r="GD199" s="662"/>
      <c r="GE199" s="662"/>
      <c r="GF199" s="662"/>
      <c r="GG199" s="662"/>
      <c r="GH199" s="662"/>
      <c r="GI199" s="662"/>
      <c r="GJ199" s="662"/>
      <c r="GK199" s="662"/>
      <c r="GL199" s="662"/>
      <c r="GM199" s="662"/>
      <c r="GN199" s="662"/>
      <c r="GO199" s="662"/>
      <c r="GP199" s="662"/>
      <c r="GQ199" s="662"/>
      <c r="GR199" s="662"/>
      <c r="GS199" s="662"/>
      <c r="GT199" s="662"/>
      <c r="GU199" s="662"/>
      <c r="GV199" s="662"/>
      <c r="GW199" s="662"/>
      <c r="GX199" s="662"/>
      <c r="GY199" s="662"/>
      <c r="GZ199" s="662"/>
      <c r="HA199" s="662"/>
      <c r="HB199" s="662"/>
      <c r="HC199" s="662"/>
      <c r="HD199" s="662"/>
      <c r="HE199" s="662"/>
      <c r="HF199" s="662"/>
      <c r="HG199" s="662"/>
      <c r="HH199" s="662"/>
      <c r="HI199" s="662"/>
      <c r="HJ199" s="662"/>
      <c r="HK199" s="662"/>
      <c r="HL199" s="662"/>
      <c r="HM199" s="662"/>
      <c r="HN199" s="662"/>
      <c r="HO199" s="662"/>
      <c r="HP199" s="662"/>
      <c r="HQ199" s="662"/>
      <c r="HR199" s="662"/>
      <c r="HS199" s="662"/>
      <c r="HT199" s="662"/>
      <c r="HU199" s="662"/>
      <c r="HV199" s="662"/>
      <c r="HW199" s="662"/>
      <c r="HX199" s="662"/>
      <c r="HY199" s="662"/>
      <c r="HZ199" s="662"/>
      <c r="IA199" s="662"/>
      <c r="IB199" s="662"/>
      <c r="IC199" s="662"/>
      <c r="ID199" s="662"/>
      <c r="IE199" s="662"/>
      <c r="IF199" s="662"/>
      <c r="IG199" s="662"/>
      <c r="IH199" s="662"/>
      <c r="II199" s="662"/>
      <c r="IJ199" s="662"/>
      <c r="IK199" s="662"/>
      <c r="IL199" s="662"/>
      <c r="IM199" s="662"/>
    </row>
    <row r="200" spans="28:274" ht="4.1500000000000004" customHeight="1">
      <c r="BC200" s="1509"/>
      <c r="BD200" s="1509"/>
      <c r="BE200" s="1509"/>
      <c r="BF200" s="1509"/>
      <c r="BG200" s="1509"/>
      <c r="BH200" s="1509"/>
      <c r="BI200" s="1509"/>
      <c r="BJ200" s="1599"/>
      <c r="BK200" s="1599"/>
      <c r="BL200" s="1599"/>
      <c r="BM200" s="1599"/>
      <c r="BN200" s="1599"/>
      <c r="BO200" s="1599"/>
      <c r="BP200" s="1599"/>
      <c r="BQ200" s="1599"/>
      <c r="BR200" s="1599"/>
      <c r="BS200" s="1599"/>
      <c r="BT200" s="1599"/>
      <c r="CW200" s="662"/>
      <c r="CX200" s="662"/>
      <c r="CY200" s="662"/>
      <c r="CZ200" s="662"/>
      <c r="DA200" s="662"/>
      <c r="DB200" s="1511"/>
      <c r="DC200" s="1511"/>
      <c r="DD200" s="1511"/>
      <c r="DE200" s="1511"/>
      <c r="DF200" s="662"/>
      <c r="DG200" s="662"/>
      <c r="DH200" s="662"/>
      <c r="DI200" s="662"/>
      <c r="DJ200" s="662"/>
      <c r="DK200" s="662"/>
      <c r="DL200" s="662"/>
      <c r="DM200" s="662"/>
      <c r="DN200" s="662"/>
      <c r="DO200" s="662"/>
      <c r="DP200" s="662"/>
      <c r="DQ200" s="662"/>
      <c r="DR200" s="662"/>
      <c r="DS200" s="662"/>
      <c r="DT200" s="662"/>
      <c r="DU200" s="662"/>
      <c r="DV200" s="662"/>
      <c r="DW200" s="662"/>
      <c r="DX200" s="662"/>
      <c r="DY200" s="662"/>
      <c r="DZ200" s="662"/>
      <c r="EA200" s="662"/>
      <c r="EB200" s="662"/>
      <c r="EC200" s="662"/>
      <c r="ED200" s="662"/>
      <c r="EE200" s="662"/>
      <c r="EF200" s="662"/>
      <c r="EG200" s="662"/>
      <c r="EH200" s="662"/>
      <c r="EI200" s="662"/>
      <c r="EJ200" s="662"/>
      <c r="EK200" s="662"/>
      <c r="EL200" s="662"/>
      <c r="EM200" s="662"/>
      <c r="EN200" s="662"/>
      <c r="EO200" s="662"/>
      <c r="EP200" s="662"/>
      <c r="EQ200" s="662"/>
      <c r="ER200" s="662"/>
      <c r="ES200" s="662"/>
      <c r="ET200" s="662"/>
      <c r="EU200" s="662"/>
      <c r="EV200" s="662"/>
      <c r="EW200" s="662"/>
      <c r="EX200" s="662"/>
      <c r="EY200" s="662"/>
      <c r="EZ200" s="662"/>
      <c r="FA200" s="662"/>
      <c r="FB200" s="662"/>
      <c r="FC200" s="662"/>
      <c r="FD200" s="662"/>
      <c r="FE200" s="662"/>
      <c r="FF200" s="662"/>
      <c r="FG200" s="662"/>
      <c r="FH200" s="662"/>
      <c r="FI200" s="662"/>
      <c r="FJ200" s="662"/>
      <c r="FK200" s="662"/>
      <c r="FL200" s="662"/>
      <c r="FM200" s="662"/>
      <c r="FN200" s="662"/>
      <c r="FO200" s="662"/>
      <c r="FP200" s="662"/>
      <c r="FQ200" s="662"/>
      <c r="FR200" s="662"/>
      <c r="FS200" s="662"/>
      <c r="FT200" s="662"/>
      <c r="FU200" s="662"/>
      <c r="FV200" s="662"/>
      <c r="FW200" s="662"/>
      <c r="FX200" s="662"/>
      <c r="FY200" s="662"/>
      <c r="FZ200" s="662"/>
      <c r="GA200" s="662"/>
      <c r="GB200" s="662"/>
      <c r="GC200" s="662"/>
      <c r="GD200" s="662"/>
      <c r="GE200" s="662"/>
      <c r="GF200" s="662"/>
      <c r="GG200" s="662"/>
      <c r="GH200" s="662"/>
      <c r="GI200" s="662"/>
      <c r="GJ200" s="662"/>
      <c r="GK200" s="662"/>
      <c r="GL200" s="662"/>
      <c r="GM200" s="662"/>
      <c r="GN200" s="662"/>
      <c r="GO200" s="662"/>
      <c r="GP200" s="662"/>
      <c r="GQ200" s="662"/>
      <c r="GR200" s="662"/>
      <c r="GS200" s="662"/>
      <c r="GT200" s="662"/>
      <c r="GU200" s="662"/>
      <c r="GV200" s="662"/>
      <c r="GW200" s="662"/>
      <c r="GX200" s="662"/>
      <c r="GY200" s="662"/>
      <c r="GZ200" s="662"/>
      <c r="HA200" s="662"/>
      <c r="HB200" s="662"/>
      <c r="HC200" s="662"/>
      <c r="HD200" s="662"/>
      <c r="HE200" s="662"/>
      <c r="HF200" s="662"/>
      <c r="HG200" s="662"/>
      <c r="HH200" s="662"/>
      <c r="HI200" s="662"/>
      <c r="HJ200" s="662"/>
      <c r="HK200" s="662"/>
      <c r="HL200" s="662"/>
      <c r="HM200" s="662"/>
      <c r="HN200" s="662"/>
      <c r="HO200" s="662"/>
      <c r="HP200" s="662"/>
      <c r="HQ200" s="662"/>
      <c r="HR200" s="662"/>
      <c r="HS200" s="662"/>
      <c r="HT200" s="662"/>
      <c r="HU200" s="662"/>
      <c r="HV200" s="662"/>
      <c r="HW200" s="662"/>
      <c r="HX200" s="662"/>
      <c r="HY200" s="662"/>
      <c r="HZ200" s="662"/>
      <c r="IA200" s="662"/>
      <c r="IB200" s="662"/>
      <c r="IC200" s="662"/>
      <c r="ID200" s="662"/>
      <c r="IE200" s="662"/>
      <c r="IF200" s="662"/>
      <c r="IG200" s="662"/>
      <c r="IH200" s="662"/>
      <c r="II200" s="662"/>
      <c r="IJ200" s="662"/>
      <c r="IK200" s="662"/>
      <c r="IL200" s="662"/>
      <c r="IM200" s="662"/>
    </row>
    <row r="201" spans="28:274" ht="4.1500000000000004" customHeight="1">
      <c r="AB201" s="1579"/>
      <c r="AC201" s="1579"/>
      <c r="BC201" s="1509"/>
      <c r="BD201" s="1509"/>
      <c r="BE201" s="1509"/>
      <c r="BF201" s="1509"/>
      <c r="BG201" s="1509"/>
      <c r="BH201" s="1509"/>
      <c r="BI201" s="1509"/>
      <c r="BJ201" s="1599"/>
      <c r="BK201" s="1599"/>
      <c r="BL201" s="1599"/>
      <c r="BM201" s="1599"/>
      <c r="BN201" s="1599"/>
      <c r="BO201" s="1599"/>
      <c r="BP201" s="1599"/>
      <c r="BQ201" s="1599"/>
      <c r="BR201" s="1599"/>
      <c r="BS201" s="1599"/>
      <c r="BT201" s="1599"/>
      <c r="CU201" s="1512"/>
      <c r="CV201" s="1512"/>
      <c r="CW201" s="662"/>
      <c r="CX201" s="662"/>
      <c r="CY201" s="662"/>
      <c r="CZ201" s="662"/>
      <c r="DA201" s="662"/>
      <c r="DB201" s="1511"/>
      <c r="DC201" s="1511"/>
      <c r="DD201" s="1511"/>
      <c r="DE201" s="1511"/>
      <c r="DF201" s="662"/>
      <c r="DG201" s="662"/>
      <c r="DH201" s="662"/>
      <c r="DI201" s="662"/>
      <c r="DJ201" s="662"/>
      <c r="DK201" s="662"/>
      <c r="DL201" s="662"/>
      <c r="DM201" s="662"/>
      <c r="DN201" s="662"/>
      <c r="DO201" s="662"/>
      <c r="DP201" s="662"/>
      <c r="DQ201" s="662"/>
      <c r="DR201" s="662"/>
      <c r="DS201" s="662"/>
      <c r="DT201" s="662"/>
      <c r="DU201" s="662"/>
      <c r="DV201" s="662"/>
      <c r="DW201" s="662"/>
      <c r="DX201" s="662"/>
      <c r="DY201" s="662"/>
      <c r="DZ201" s="662"/>
      <c r="EA201" s="662"/>
      <c r="EB201" s="662"/>
      <c r="EC201" s="662"/>
      <c r="ED201" s="662"/>
      <c r="EE201" s="662"/>
      <c r="EF201" s="662"/>
      <c r="EG201" s="662"/>
      <c r="EH201" s="662"/>
      <c r="EI201" s="662"/>
      <c r="EJ201" s="662"/>
      <c r="EK201" s="662"/>
      <c r="EL201" s="662"/>
      <c r="EM201" s="662"/>
      <c r="EN201" s="662"/>
      <c r="EO201" s="662"/>
      <c r="EP201" s="662"/>
      <c r="EQ201" s="662"/>
      <c r="ER201" s="662"/>
      <c r="ES201" s="662"/>
      <c r="ET201" s="662"/>
      <c r="EU201" s="662"/>
      <c r="EV201" s="662"/>
      <c r="EW201" s="662"/>
      <c r="EX201" s="662"/>
      <c r="EY201" s="662"/>
      <c r="EZ201" s="662"/>
      <c r="FA201" s="662"/>
      <c r="FB201" s="662"/>
      <c r="FC201" s="662"/>
      <c r="FD201" s="662"/>
      <c r="FE201" s="662"/>
      <c r="FF201" s="662"/>
      <c r="FG201" s="662"/>
      <c r="FH201" s="662"/>
      <c r="FI201" s="662"/>
      <c r="FJ201" s="662"/>
      <c r="FK201" s="662"/>
      <c r="FL201" s="662"/>
      <c r="FM201" s="662"/>
      <c r="FN201" s="662"/>
      <c r="FO201" s="662"/>
      <c r="FP201" s="662"/>
      <c r="FQ201" s="662"/>
      <c r="FR201" s="662"/>
      <c r="FS201" s="662"/>
      <c r="FT201" s="662"/>
      <c r="FU201" s="662"/>
      <c r="FV201" s="662"/>
      <c r="FW201" s="662"/>
      <c r="FX201" s="662"/>
      <c r="FY201" s="662"/>
      <c r="FZ201" s="662"/>
      <c r="GA201" s="662"/>
      <c r="GB201" s="662"/>
      <c r="GC201" s="662"/>
      <c r="GD201" s="662"/>
      <c r="GE201" s="662"/>
      <c r="GF201" s="662"/>
      <c r="GG201" s="662"/>
      <c r="GH201" s="662"/>
      <c r="GI201" s="662"/>
      <c r="GJ201" s="662"/>
      <c r="GK201" s="662"/>
      <c r="GL201" s="662"/>
      <c r="GM201" s="662"/>
      <c r="GN201" s="662"/>
      <c r="GO201" s="662"/>
      <c r="GP201" s="662"/>
      <c r="GQ201" s="662"/>
      <c r="GR201" s="662"/>
      <c r="GS201" s="662"/>
      <c r="GT201" s="662"/>
      <c r="GU201" s="662"/>
      <c r="GV201" s="662"/>
      <c r="GW201" s="662"/>
      <c r="GX201" s="662"/>
      <c r="GY201" s="662"/>
      <c r="GZ201" s="662"/>
      <c r="HA201" s="662"/>
      <c r="HB201" s="662"/>
      <c r="HC201" s="662"/>
      <c r="HD201" s="662"/>
      <c r="HE201" s="662"/>
      <c r="HF201" s="662"/>
      <c r="HG201" s="662"/>
      <c r="HH201" s="662"/>
      <c r="HI201" s="662"/>
      <c r="HJ201" s="662"/>
      <c r="HK201" s="662"/>
      <c r="HL201" s="662"/>
      <c r="HM201" s="662"/>
      <c r="HN201" s="662"/>
      <c r="HO201" s="662"/>
      <c r="HP201" s="662"/>
      <c r="HQ201" s="662"/>
      <c r="HR201" s="662"/>
      <c r="HS201" s="662"/>
      <c r="HT201" s="662"/>
      <c r="HU201" s="662"/>
      <c r="HV201" s="662"/>
      <c r="HW201" s="662"/>
      <c r="HX201" s="662"/>
      <c r="HY201" s="662"/>
      <c r="HZ201" s="662"/>
      <c r="IA201" s="662"/>
      <c r="IB201" s="662"/>
      <c r="IC201" s="662"/>
      <c r="ID201" s="662"/>
      <c r="IE201" s="662"/>
      <c r="IF201" s="662"/>
      <c r="IG201" s="662"/>
      <c r="IH201" s="662"/>
      <c r="II201" s="662"/>
      <c r="IJ201" s="662"/>
      <c r="IK201" s="662"/>
      <c r="IL201" s="662"/>
      <c r="IM201" s="662"/>
    </row>
    <row r="202" spans="28:274" ht="4.1500000000000004" customHeight="1">
      <c r="AB202" s="1579"/>
      <c r="AC202" s="1579"/>
      <c r="CU202" s="1512"/>
      <c r="CV202" s="1512"/>
      <c r="CW202" s="662"/>
      <c r="CX202" s="662"/>
      <c r="CY202" s="662"/>
      <c r="CZ202" s="662"/>
      <c r="DA202" s="662"/>
      <c r="DB202" s="1511"/>
      <c r="DC202" s="1511"/>
      <c r="DD202" s="1511"/>
      <c r="DE202" s="1511"/>
      <c r="DF202" s="662"/>
      <c r="DG202" s="662"/>
      <c r="DH202" s="662"/>
      <c r="DI202" s="662"/>
      <c r="DJ202" s="662"/>
      <c r="DK202" s="662"/>
      <c r="DL202" s="662"/>
      <c r="DM202" s="662"/>
      <c r="DN202" s="662"/>
      <c r="DO202" s="662"/>
      <c r="DP202" s="662"/>
      <c r="DQ202" s="662"/>
      <c r="DR202" s="662"/>
      <c r="DS202" s="662"/>
      <c r="DT202" s="662"/>
      <c r="DU202" s="662"/>
      <c r="DV202" s="662"/>
      <c r="DW202" s="662"/>
      <c r="DX202" s="662"/>
      <c r="DY202" s="662"/>
      <c r="DZ202" s="662"/>
      <c r="EA202" s="662"/>
      <c r="EB202" s="662"/>
      <c r="EC202" s="662"/>
      <c r="ED202" s="662"/>
      <c r="EE202" s="662"/>
      <c r="EF202" s="662"/>
      <c r="EG202" s="662"/>
      <c r="EH202" s="662"/>
      <c r="EI202" s="662"/>
      <c r="EJ202" s="662"/>
      <c r="EK202" s="662"/>
      <c r="EL202" s="662"/>
      <c r="EM202" s="662"/>
      <c r="EN202" s="662"/>
      <c r="EO202" s="662"/>
      <c r="EP202" s="662"/>
      <c r="EQ202" s="662"/>
      <c r="ER202" s="662"/>
      <c r="ES202" s="662"/>
      <c r="ET202" s="662"/>
      <c r="EU202" s="662"/>
      <c r="EV202" s="662"/>
      <c r="EW202" s="662"/>
      <c r="EX202" s="662"/>
      <c r="EY202" s="662"/>
      <c r="EZ202" s="662"/>
      <c r="FA202" s="662"/>
      <c r="FB202" s="662"/>
      <c r="FC202" s="662"/>
      <c r="FD202" s="662"/>
      <c r="FE202" s="662"/>
      <c r="FF202" s="662"/>
      <c r="FG202" s="662"/>
      <c r="FH202" s="662"/>
      <c r="FI202" s="662"/>
      <c r="FJ202" s="662"/>
      <c r="FK202" s="662"/>
      <c r="FL202" s="662"/>
      <c r="FM202" s="662"/>
      <c r="FN202" s="662"/>
      <c r="FO202" s="662"/>
      <c r="FP202" s="662"/>
      <c r="FQ202" s="662"/>
      <c r="FR202" s="662"/>
      <c r="FS202" s="662"/>
      <c r="FT202" s="662"/>
      <c r="FU202" s="662"/>
      <c r="FV202" s="662"/>
      <c r="FW202" s="662"/>
      <c r="FX202" s="662"/>
      <c r="FY202" s="662"/>
      <c r="FZ202" s="662"/>
      <c r="GA202" s="662"/>
      <c r="GB202" s="662"/>
      <c r="GC202" s="662"/>
      <c r="GD202" s="662"/>
      <c r="GE202" s="662"/>
      <c r="GF202" s="662"/>
      <c r="GG202" s="662"/>
      <c r="GH202" s="662"/>
      <c r="GI202" s="662"/>
      <c r="GJ202" s="662"/>
      <c r="GK202" s="662"/>
      <c r="GL202" s="662"/>
      <c r="GM202" s="662"/>
      <c r="GN202" s="662"/>
      <c r="GO202" s="662"/>
      <c r="GP202" s="662"/>
      <c r="GQ202" s="662"/>
      <c r="GR202" s="662"/>
      <c r="GS202" s="662"/>
      <c r="GT202" s="662"/>
      <c r="GU202" s="662"/>
      <c r="GV202" s="662"/>
      <c r="GW202" s="662"/>
      <c r="GX202" s="662"/>
      <c r="GY202" s="662"/>
      <c r="GZ202" s="662"/>
      <c r="HA202" s="662"/>
      <c r="HB202" s="662"/>
      <c r="HC202" s="662"/>
      <c r="HD202" s="662"/>
      <c r="HE202" s="662"/>
      <c r="HF202" s="662"/>
      <c r="HG202" s="662"/>
      <c r="HH202" s="662"/>
      <c r="HI202" s="662"/>
      <c r="HJ202" s="662"/>
      <c r="HK202" s="662"/>
      <c r="HL202" s="662"/>
      <c r="HM202" s="662"/>
      <c r="HN202" s="662"/>
      <c r="HO202" s="662"/>
      <c r="HP202" s="662"/>
      <c r="HQ202" s="662"/>
      <c r="HR202" s="662"/>
      <c r="HS202" s="662"/>
      <c r="HT202" s="662"/>
      <c r="HU202" s="662"/>
      <c r="HV202" s="662"/>
      <c r="HW202" s="662"/>
      <c r="HX202" s="662"/>
      <c r="HY202" s="662"/>
      <c r="HZ202" s="662"/>
      <c r="IA202" s="662"/>
      <c r="IB202" s="662"/>
      <c r="IC202" s="662"/>
      <c r="ID202" s="662"/>
      <c r="IE202" s="662"/>
      <c r="IF202" s="662"/>
      <c r="IG202" s="662"/>
      <c r="IH202" s="662"/>
      <c r="II202" s="662"/>
      <c r="IJ202" s="662"/>
      <c r="IK202" s="662"/>
      <c r="IL202" s="662"/>
      <c r="IM202" s="662"/>
    </row>
    <row r="203" spans="28:274" ht="4.1500000000000004" customHeight="1">
      <c r="AB203" s="1579"/>
      <c r="AC203" s="1579"/>
      <c r="CU203" s="1512"/>
      <c r="CV203" s="1512"/>
      <c r="CW203" s="662"/>
      <c r="CX203" s="662"/>
      <c r="CY203" s="662"/>
      <c r="CZ203" s="662"/>
      <c r="DA203" s="662"/>
      <c r="DB203" s="1511"/>
      <c r="DC203" s="1511"/>
      <c r="DD203" s="1511"/>
      <c r="DE203" s="1511"/>
      <c r="DF203" s="662"/>
      <c r="DG203" s="662"/>
      <c r="DH203" s="662"/>
      <c r="DI203" s="662"/>
      <c r="DJ203" s="662"/>
      <c r="DK203" s="662"/>
      <c r="DL203" s="662"/>
      <c r="DM203" s="662"/>
      <c r="DN203" s="662"/>
      <c r="DO203" s="662"/>
      <c r="DP203" s="662"/>
      <c r="DQ203" s="662"/>
      <c r="DR203" s="662"/>
      <c r="DS203" s="662"/>
      <c r="DT203" s="662"/>
      <c r="DU203" s="662"/>
      <c r="DV203" s="662"/>
      <c r="DW203" s="662"/>
      <c r="DX203" s="662"/>
      <c r="DY203" s="662"/>
      <c r="DZ203" s="662"/>
      <c r="EA203" s="662"/>
      <c r="EB203" s="662"/>
      <c r="EC203" s="662"/>
      <c r="ED203" s="662"/>
      <c r="EE203" s="662"/>
      <c r="EF203" s="662"/>
      <c r="EG203" s="662"/>
      <c r="EH203" s="662"/>
      <c r="EI203" s="662"/>
      <c r="EJ203" s="662"/>
      <c r="EK203" s="662"/>
      <c r="EL203" s="662"/>
      <c r="EM203" s="662"/>
      <c r="EN203" s="662"/>
      <c r="EO203" s="662"/>
      <c r="EP203" s="662"/>
      <c r="EQ203" s="662"/>
      <c r="ER203" s="662"/>
      <c r="ES203" s="662"/>
      <c r="ET203" s="662"/>
      <c r="EU203" s="662"/>
      <c r="EV203" s="662"/>
      <c r="EW203" s="662"/>
      <c r="EX203" s="662"/>
      <c r="EY203" s="662"/>
      <c r="EZ203" s="662"/>
      <c r="FA203" s="662"/>
      <c r="FB203" s="662"/>
      <c r="FC203" s="662"/>
      <c r="FD203" s="662"/>
      <c r="FE203" s="662"/>
      <c r="FF203" s="662"/>
      <c r="FG203" s="662"/>
      <c r="FH203" s="662"/>
      <c r="FI203" s="662"/>
      <c r="FJ203" s="662"/>
      <c r="FK203" s="662"/>
      <c r="FL203" s="662"/>
      <c r="FM203" s="662"/>
      <c r="FN203" s="662"/>
      <c r="FO203" s="662"/>
      <c r="FP203" s="662"/>
      <c r="FQ203" s="662"/>
      <c r="FR203" s="662"/>
      <c r="FS203" s="662"/>
      <c r="FT203" s="662"/>
      <c r="FU203" s="662"/>
      <c r="FV203" s="662"/>
      <c r="FW203" s="662"/>
      <c r="FX203" s="662"/>
      <c r="FY203" s="662"/>
      <c r="FZ203" s="662"/>
      <c r="GA203" s="662"/>
      <c r="GB203" s="662"/>
      <c r="GC203" s="662"/>
      <c r="GD203" s="662"/>
      <c r="GE203" s="662"/>
      <c r="GF203" s="662"/>
      <c r="GG203" s="662"/>
      <c r="GH203" s="662"/>
      <c r="GI203" s="662"/>
      <c r="GJ203" s="662"/>
      <c r="GK203" s="662"/>
      <c r="GL203" s="662"/>
      <c r="GM203" s="662"/>
      <c r="GN203" s="662"/>
      <c r="GO203" s="662"/>
      <c r="GP203" s="662"/>
      <c r="GQ203" s="662"/>
      <c r="GR203" s="662"/>
      <c r="GS203" s="662"/>
      <c r="GT203" s="662"/>
      <c r="GU203" s="662"/>
      <c r="GV203" s="662"/>
      <c r="GW203" s="662"/>
      <c r="GX203" s="662"/>
      <c r="GY203" s="662"/>
      <c r="GZ203" s="662"/>
      <c r="HA203" s="662"/>
      <c r="HB203" s="662"/>
      <c r="HC203" s="662"/>
      <c r="HD203" s="662"/>
      <c r="HE203" s="662"/>
      <c r="HF203" s="662"/>
      <c r="HG203" s="662"/>
      <c r="HH203" s="662"/>
      <c r="HI203" s="662"/>
      <c r="HJ203" s="662"/>
      <c r="HK203" s="662"/>
      <c r="HL203" s="662"/>
      <c r="HM203" s="662"/>
      <c r="HN203" s="662"/>
      <c r="HO203" s="662"/>
      <c r="HP203" s="662"/>
      <c r="HQ203" s="662"/>
      <c r="HR203" s="662"/>
      <c r="HS203" s="662"/>
      <c r="HT203" s="662"/>
      <c r="HU203" s="662"/>
      <c r="HV203" s="662"/>
      <c r="HW203" s="662"/>
      <c r="HX203" s="662"/>
      <c r="HY203" s="662"/>
      <c r="HZ203" s="662"/>
      <c r="IA203" s="662"/>
      <c r="IB203" s="662"/>
      <c r="IC203" s="662"/>
      <c r="ID203" s="662"/>
      <c r="IE203" s="662"/>
      <c r="IF203" s="662"/>
      <c r="IG203" s="662"/>
      <c r="IH203" s="662"/>
      <c r="II203" s="662"/>
      <c r="IJ203" s="662"/>
      <c r="IK203" s="662"/>
      <c r="IL203" s="662"/>
      <c r="IM203" s="662"/>
    </row>
    <row r="204" spans="28:274" ht="4.1500000000000004" customHeight="1">
      <c r="AB204" s="1579"/>
      <c r="AC204" s="1579"/>
      <c r="CU204" s="1512"/>
      <c r="CV204" s="1512"/>
      <c r="CW204" s="662"/>
      <c r="CX204" s="662"/>
      <c r="CY204" s="662"/>
      <c r="CZ204" s="662"/>
      <c r="DA204" s="662"/>
      <c r="DB204" s="1511"/>
      <c r="DC204" s="1511"/>
      <c r="DD204" s="1511"/>
      <c r="DE204" s="1511"/>
      <c r="DF204" s="662"/>
      <c r="DG204" s="662"/>
      <c r="DH204" s="662"/>
      <c r="DI204" s="662"/>
      <c r="DJ204" s="662"/>
      <c r="DK204" s="662"/>
      <c r="DL204" s="662"/>
      <c r="DM204" s="662"/>
      <c r="DN204" s="662"/>
      <c r="DO204" s="662"/>
      <c r="DP204" s="662"/>
      <c r="DQ204" s="662"/>
      <c r="DR204" s="662"/>
      <c r="DS204" s="662"/>
      <c r="DT204" s="662"/>
      <c r="DU204" s="662"/>
      <c r="DV204" s="662"/>
      <c r="DW204" s="662"/>
      <c r="DX204" s="662"/>
      <c r="DY204" s="662"/>
      <c r="DZ204" s="662"/>
      <c r="EA204" s="662"/>
      <c r="EB204" s="662"/>
      <c r="EC204" s="662"/>
      <c r="ED204" s="662"/>
      <c r="EE204" s="662"/>
      <c r="EF204" s="662"/>
      <c r="EG204" s="662"/>
      <c r="EH204" s="662"/>
      <c r="EI204" s="662"/>
      <c r="EJ204" s="662"/>
      <c r="EK204" s="662"/>
      <c r="EL204" s="662"/>
      <c r="EM204" s="662"/>
      <c r="EN204" s="662"/>
      <c r="EO204" s="662"/>
      <c r="EP204" s="662"/>
      <c r="EQ204" s="662"/>
      <c r="ER204" s="662"/>
      <c r="ES204" s="662"/>
      <c r="ET204" s="662"/>
      <c r="EU204" s="662"/>
      <c r="EV204" s="662"/>
      <c r="EW204" s="662"/>
      <c r="EX204" s="662"/>
      <c r="EY204" s="662"/>
      <c r="EZ204" s="662"/>
      <c r="FA204" s="662"/>
      <c r="FB204" s="662"/>
      <c r="FC204" s="662"/>
      <c r="FD204" s="662"/>
      <c r="FE204" s="662"/>
      <c r="FF204" s="662"/>
      <c r="FG204" s="662"/>
      <c r="FH204" s="662"/>
      <c r="FI204" s="662"/>
      <c r="FJ204" s="662"/>
      <c r="FK204" s="662"/>
      <c r="FL204" s="662"/>
      <c r="FM204" s="662"/>
      <c r="FN204" s="662"/>
      <c r="FO204" s="662"/>
      <c r="FP204" s="662"/>
      <c r="FQ204" s="662"/>
      <c r="FR204" s="662"/>
      <c r="FS204" s="662"/>
      <c r="FT204" s="662"/>
      <c r="FU204" s="662"/>
      <c r="FV204" s="662"/>
      <c r="FW204" s="662"/>
      <c r="FX204" s="662"/>
      <c r="FY204" s="662"/>
      <c r="FZ204" s="662"/>
      <c r="GA204" s="662"/>
      <c r="GB204" s="662"/>
      <c r="GC204" s="662"/>
      <c r="GD204" s="662"/>
      <c r="GE204" s="662"/>
      <c r="GF204" s="662"/>
      <c r="GG204" s="662"/>
      <c r="GH204" s="662"/>
      <c r="GI204" s="662"/>
      <c r="GJ204" s="662"/>
      <c r="GK204" s="662"/>
      <c r="GL204" s="662"/>
      <c r="GM204" s="662"/>
      <c r="GN204" s="662"/>
      <c r="GO204" s="662"/>
      <c r="GP204" s="662"/>
      <c r="GQ204" s="662"/>
      <c r="GR204" s="662"/>
      <c r="GS204" s="662"/>
      <c r="GT204" s="662"/>
      <c r="GU204" s="662"/>
      <c r="GV204" s="662"/>
      <c r="GW204" s="662"/>
      <c r="GX204" s="662"/>
      <c r="GY204" s="662"/>
      <c r="GZ204" s="662"/>
      <c r="HA204" s="662"/>
      <c r="HB204" s="662"/>
      <c r="HC204" s="662"/>
      <c r="HD204" s="662"/>
      <c r="HE204" s="662"/>
      <c r="HF204" s="662"/>
      <c r="HG204" s="662"/>
      <c r="HH204" s="662"/>
      <c r="HI204" s="662"/>
      <c r="HJ204" s="662"/>
      <c r="HK204" s="662"/>
      <c r="HL204" s="662"/>
    </row>
    <row r="205" spans="28:274" ht="4.1500000000000004" customHeight="1">
      <c r="AB205" s="1579"/>
      <c r="AC205" s="1579"/>
      <c r="CU205" s="1512"/>
      <c r="CV205" s="1512"/>
      <c r="CW205" s="662"/>
      <c r="CX205" s="662"/>
      <c r="CY205" s="662"/>
      <c r="CZ205" s="662"/>
      <c r="DA205" s="662"/>
      <c r="DB205" s="1511"/>
      <c r="DC205" s="1511"/>
      <c r="DD205" s="1511"/>
      <c r="DE205" s="1511"/>
      <c r="DF205" s="662"/>
      <c r="DG205" s="662"/>
      <c r="DH205" s="662"/>
      <c r="DI205" s="662"/>
      <c r="DJ205" s="662"/>
      <c r="DK205" s="662"/>
      <c r="DL205" s="662"/>
      <c r="DM205" s="662"/>
      <c r="DN205" s="662"/>
      <c r="DO205" s="662"/>
      <c r="DP205" s="662"/>
      <c r="DQ205" s="662"/>
      <c r="DR205" s="662"/>
      <c r="DS205" s="662"/>
      <c r="DT205" s="662"/>
      <c r="DU205" s="662"/>
      <c r="DV205" s="662"/>
      <c r="DW205" s="662"/>
      <c r="DX205" s="662"/>
      <c r="DY205" s="662"/>
      <c r="DZ205" s="662"/>
      <c r="EA205" s="662"/>
      <c r="EB205" s="662"/>
      <c r="EC205" s="662"/>
      <c r="ED205" s="662"/>
      <c r="EE205" s="662"/>
      <c r="EF205" s="662"/>
      <c r="EG205" s="662"/>
      <c r="EH205" s="662"/>
      <c r="EI205" s="662"/>
      <c r="EJ205" s="662"/>
      <c r="EK205" s="662"/>
      <c r="EL205" s="662"/>
      <c r="EM205" s="662"/>
      <c r="EN205" s="662"/>
      <c r="EO205" s="662"/>
      <c r="EP205" s="662"/>
      <c r="EQ205" s="662"/>
      <c r="ER205" s="662"/>
      <c r="ES205" s="662"/>
      <c r="ET205" s="662"/>
      <c r="EU205" s="662"/>
      <c r="EV205" s="662"/>
      <c r="EW205" s="662"/>
      <c r="EX205" s="662"/>
      <c r="EY205" s="662"/>
      <c r="EZ205" s="662"/>
      <c r="FA205" s="662"/>
      <c r="FB205" s="662"/>
      <c r="FC205" s="662"/>
      <c r="FD205" s="662"/>
      <c r="FE205" s="662"/>
      <c r="FF205" s="662"/>
      <c r="FG205" s="662"/>
      <c r="FH205" s="662"/>
      <c r="FI205" s="662"/>
      <c r="FJ205" s="662"/>
      <c r="FK205" s="662"/>
      <c r="FL205" s="662"/>
      <c r="FM205" s="662"/>
      <c r="FN205" s="662"/>
      <c r="FO205" s="662"/>
      <c r="FP205" s="662"/>
      <c r="FQ205" s="662"/>
      <c r="FR205" s="662"/>
      <c r="FS205" s="662"/>
      <c r="FT205" s="662"/>
      <c r="FU205" s="662"/>
      <c r="FV205" s="662"/>
      <c r="FW205" s="662"/>
      <c r="FX205" s="662"/>
      <c r="FY205" s="662"/>
      <c r="FZ205" s="662"/>
      <c r="GA205" s="662"/>
      <c r="GB205" s="662"/>
      <c r="GC205" s="662"/>
      <c r="GD205" s="662"/>
      <c r="GE205" s="662"/>
      <c r="GF205" s="662"/>
      <c r="GG205" s="662"/>
      <c r="GH205" s="662"/>
      <c r="GI205" s="662"/>
      <c r="GJ205" s="662"/>
      <c r="GK205" s="662"/>
      <c r="GL205" s="662"/>
      <c r="GM205" s="662"/>
      <c r="GN205" s="662"/>
      <c r="GO205" s="662"/>
      <c r="GP205" s="662"/>
      <c r="GQ205" s="662"/>
      <c r="GR205" s="662"/>
      <c r="GS205" s="662"/>
      <c r="GT205" s="662"/>
      <c r="GU205" s="662"/>
      <c r="GV205" s="662"/>
      <c r="GW205" s="662"/>
      <c r="GX205" s="662"/>
      <c r="GY205" s="662"/>
      <c r="GZ205" s="662"/>
      <c r="HA205" s="662"/>
      <c r="HB205" s="662"/>
      <c r="HC205" s="662"/>
      <c r="HD205" s="662"/>
      <c r="HE205" s="662"/>
      <c r="HF205" s="662"/>
      <c r="HG205" s="662"/>
      <c r="HH205" s="662"/>
      <c r="HI205" s="662"/>
      <c r="HJ205" s="662"/>
      <c r="HK205" s="662"/>
      <c r="HL205" s="662"/>
    </row>
    <row r="206" spans="28:274" ht="4.1500000000000004" customHeight="1">
      <c r="AB206" s="1579"/>
      <c r="AC206" s="1579"/>
      <c r="AH206" s="1602"/>
      <c r="AI206" s="1602"/>
      <c r="AJ206" s="1602"/>
      <c r="AK206" s="1602"/>
      <c r="AL206" s="1602"/>
      <c r="AM206" s="1602"/>
      <c r="AN206" s="1602"/>
      <c r="AO206" s="1602"/>
      <c r="BI206" s="1602"/>
      <c r="BJ206" s="1602"/>
      <c r="BK206" s="1602"/>
      <c r="BL206" s="1602"/>
      <c r="BM206" s="1602"/>
      <c r="BN206" s="1602"/>
      <c r="BO206" s="1602"/>
      <c r="BP206" s="1602"/>
      <c r="CG206" s="1602"/>
      <c r="CH206" s="1602"/>
      <c r="CI206" s="1602"/>
      <c r="CJ206" s="1602"/>
      <c r="CK206" s="1602"/>
      <c r="CL206" s="1602"/>
      <c r="CM206" s="1602"/>
      <c r="CN206" s="1602"/>
      <c r="CU206" s="1512"/>
      <c r="CV206" s="1512"/>
      <c r="CW206" s="662"/>
      <c r="CX206" s="662"/>
      <c r="CY206" s="662"/>
      <c r="CZ206" s="662"/>
      <c r="DA206" s="662"/>
      <c r="DF206" s="662"/>
      <c r="DG206" s="662"/>
      <c r="DH206" s="662"/>
      <c r="DI206" s="662"/>
      <c r="DJ206" s="662"/>
      <c r="DK206" s="662"/>
      <c r="DL206" s="662"/>
      <c r="DM206" s="662"/>
      <c r="DN206" s="662"/>
      <c r="DO206" s="662"/>
      <c r="DP206" s="662"/>
      <c r="DQ206" s="662"/>
      <c r="DR206" s="662"/>
      <c r="DS206" s="662"/>
      <c r="DT206" s="662"/>
      <c r="DU206" s="662"/>
      <c r="DV206" s="662"/>
      <c r="DW206" s="662"/>
      <c r="DX206" s="662"/>
      <c r="DY206" s="662"/>
      <c r="DZ206" s="662"/>
      <c r="EA206" s="662"/>
      <c r="EB206" s="662"/>
      <c r="EC206" s="662"/>
      <c r="ED206" s="662"/>
      <c r="EE206" s="662"/>
      <c r="EF206" s="662"/>
      <c r="EG206" s="662"/>
      <c r="EH206" s="662"/>
      <c r="EI206" s="662"/>
      <c r="EJ206" s="662"/>
      <c r="EK206" s="662"/>
      <c r="EL206" s="662"/>
      <c r="EM206" s="662"/>
      <c r="EN206" s="662"/>
      <c r="EO206" s="662"/>
      <c r="EP206" s="662"/>
      <c r="EQ206" s="662"/>
      <c r="ER206" s="662"/>
      <c r="ES206" s="662"/>
      <c r="ET206" s="662"/>
      <c r="EU206" s="662"/>
      <c r="EV206" s="662"/>
      <c r="EW206" s="662"/>
      <c r="EX206" s="662"/>
      <c r="EY206" s="662"/>
      <c r="EZ206" s="662"/>
      <c r="FA206" s="662"/>
      <c r="FB206" s="662"/>
      <c r="FC206" s="662"/>
      <c r="FD206" s="662"/>
      <c r="FE206" s="662"/>
      <c r="FF206" s="662"/>
      <c r="FG206" s="662"/>
      <c r="FH206" s="662"/>
      <c r="FI206" s="662"/>
      <c r="FJ206" s="662"/>
      <c r="FK206" s="662"/>
      <c r="FL206" s="662"/>
      <c r="FM206" s="662"/>
      <c r="FN206" s="662"/>
      <c r="FO206" s="662"/>
      <c r="FP206" s="662"/>
      <c r="FQ206" s="662"/>
      <c r="FR206" s="662"/>
      <c r="FS206" s="662"/>
      <c r="FT206" s="662"/>
      <c r="FU206" s="662"/>
      <c r="FV206" s="662"/>
      <c r="FW206" s="662"/>
      <c r="FX206" s="662"/>
      <c r="FY206" s="662"/>
      <c r="FZ206" s="662"/>
      <c r="GA206" s="662"/>
      <c r="GB206" s="662"/>
      <c r="GC206" s="662"/>
      <c r="GD206" s="662"/>
      <c r="GE206" s="662"/>
      <c r="GF206" s="662"/>
      <c r="GG206" s="662"/>
      <c r="GH206" s="662"/>
      <c r="GI206" s="662"/>
      <c r="GJ206" s="662"/>
      <c r="GK206" s="662"/>
      <c r="GL206" s="662"/>
      <c r="GM206" s="662"/>
      <c r="GN206" s="662"/>
      <c r="GO206" s="662"/>
      <c r="GP206" s="662"/>
      <c r="GQ206" s="662"/>
      <c r="GR206" s="662"/>
      <c r="GS206" s="662"/>
      <c r="GT206" s="662"/>
      <c r="GU206" s="662"/>
      <c r="GV206" s="662"/>
      <c r="GW206" s="662"/>
      <c r="GX206" s="662"/>
      <c r="GY206" s="662"/>
      <c r="GZ206" s="662"/>
      <c r="HA206" s="662"/>
      <c r="HB206" s="662"/>
      <c r="HC206" s="662"/>
      <c r="HD206" s="662"/>
      <c r="HE206" s="662"/>
      <c r="HF206" s="662"/>
      <c r="HG206" s="662"/>
      <c r="HH206" s="662"/>
      <c r="HI206" s="662"/>
      <c r="HJ206" s="662"/>
      <c r="HK206" s="662"/>
      <c r="HL206" s="662"/>
      <c r="HM206" s="495"/>
      <c r="HN206" s="495"/>
      <c r="HO206" s="495"/>
      <c r="HP206" s="495"/>
      <c r="HQ206" s="495"/>
      <c r="HR206" s="495"/>
      <c r="HS206" s="495"/>
      <c r="HT206" s="495"/>
      <c r="HU206" s="495"/>
      <c r="HV206" s="495"/>
      <c r="HW206" s="495"/>
      <c r="HX206" s="495"/>
      <c r="HY206" s="495"/>
      <c r="HZ206" s="495"/>
      <c r="IA206" s="495"/>
      <c r="IB206" s="495"/>
      <c r="IC206" s="495"/>
      <c r="ID206" s="496"/>
      <c r="IE206" s="496"/>
      <c r="IF206" s="496"/>
      <c r="IG206" s="496"/>
      <c r="IH206" s="496"/>
      <c r="II206" s="496"/>
      <c r="IJ206" s="496"/>
      <c r="IK206" s="496"/>
      <c r="IL206" s="2666">
        <v>0.3</v>
      </c>
      <c r="IM206" s="2657"/>
      <c r="IN206" s="2657"/>
      <c r="IO206" s="2657"/>
      <c r="IP206" s="2657"/>
      <c r="IQ206" s="2657"/>
      <c r="IR206" s="2667"/>
      <c r="IS206" s="2666">
        <f>IL206</f>
        <v>0.3</v>
      </c>
      <c r="IT206" s="2657"/>
      <c r="IU206" s="2657"/>
      <c r="IV206" s="2657"/>
      <c r="IW206" s="2657"/>
      <c r="IX206" s="2657"/>
      <c r="IY206" s="2667"/>
      <c r="IZ206" s="2666">
        <f>IS206</f>
        <v>0.3</v>
      </c>
      <c r="JA206" s="2657"/>
      <c r="JB206" s="2657"/>
      <c r="JC206" s="2657"/>
      <c r="JD206" s="2657"/>
      <c r="JE206" s="2657"/>
      <c r="JF206" s="2667"/>
      <c r="JG206" s="496"/>
      <c r="JH206" s="496"/>
      <c r="JI206" s="496"/>
      <c r="JJ206" s="496"/>
      <c r="JK206" s="496"/>
      <c r="JL206" s="496"/>
      <c r="JM206" s="496"/>
      <c r="JN206" s="496"/>
    </row>
    <row r="207" spans="28:274" ht="4.1500000000000004" customHeight="1">
      <c r="AB207" s="1579"/>
      <c r="AC207" s="1579"/>
      <c r="AH207" s="1602"/>
      <c r="AI207" s="1602"/>
      <c r="AJ207" s="1602"/>
      <c r="AK207" s="1602"/>
      <c r="AL207" s="1602"/>
      <c r="AM207" s="1602"/>
      <c r="AN207" s="1602"/>
      <c r="AO207" s="1602"/>
      <c r="BI207" s="1602"/>
      <c r="BJ207" s="1602"/>
      <c r="BK207" s="1602"/>
      <c r="BL207" s="1602"/>
      <c r="BM207" s="1602"/>
      <c r="BN207" s="1602"/>
      <c r="BO207" s="1602"/>
      <c r="BP207" s="1602"/>
      <c r="CG207" s="1602"/>
      <c r="CH207" s="1602"/>
      <c r="CI207" s="1602"/>
      <c r="CJ207" s="1602"/>
      <c r="CK207" s="1602"/>
      <c r="CL207" s="1602"/>
      <c r="CM207" s="1602"/>
      <c r="CN207" s="1602"/>
      <c r="CU207" s="1512"/>
      <c r="CV207" s="1512"/>
      <c r="CW207" s="662"/>
      <c r="CX207" s="662"/>
      <c r="CY207" s="662"/>
      <c r="CZ207" s="662"/>
      <c r="DA207" s="662"/>
      <c r="DF207" s="662"/>
      <c r="DG207" s="662"/>
      <c r="DH207" s="662"/>
      <c r="DI207" s="662"/>
      <c r="DJ207" s="662"/>
      <c r="DK207" s="662"/>
      <c r="DL207" s="662"/>
      <c r="DM207" s="662"/>
      <c r="DN207" s="662"/>
      <c r="DO207" s="662"/>
      <c r="DP207" s="662"/>
      <c r="DQ207" s="662"/>
      <c r="DR207" s="662"/>
      <c r="DS207" s="662"/>
      <c r="DT207" s="662"/>
      <c r="DU207" s="662"/>
      <c r="DV207" s="662"/>
      <c r="DW207" s="662"/>
      <c r="DX207" s="662"/>
      <c r="DY207" s="662"/>
      <c r="DZ207" s="662"/>
      <c r="EA207" s="662"/>
      <c r="EB207" s="662"/>
      <c r="EC207" s="662"/>
      <c r="ED207" s="662"/>
      <c r="EE207" s="662"/>
      <c r="EF207" s="662"/>
      <c r="EG207" s="662"/>
      <c r="EH207" s="662"/>
      <c r="EI207" s="662"/>
      <c r="EJ207" s="662"/>
      <c r="EK207" s="662"/>
      <c r="EL207" s="662"/>
      <c r="EM207" s="662"/>
      <c r="EN207" s="662"/>
      <c r="EO207" s="662"/>
      <c r="EP207" s="662"/>
      <c r="EQ207" s="662"/>
      <c r="ER207" s="662"/>
      <c r="ES207" s="662"/>
      <c r="ET207" s="662"/>
      <c r="EU207" s="662"/>
      <c r="EV207" s="662"/>
      <c r="EW207" s="662"/>
      <c r="EX207" s="662"/>
      <c r="EY207" s="662"/>
      <c r="EZ207" s="662"/>
      <c r="FA207" s="662"/>
      <c r="FB207" s="662"/>
      <c r="FC207" s="662"/>
      <c r="FD207" s="662"/>
      <c r="FE207" s="662"/>
      <c r="FF207" s="662"/>
      <c r="FG207" s="662"/>
      <c r="FH207" s="662"/>
      <c r="FI207" s="662"/>
      <c r="FJ207" s="662"/>
      <c r="FK207" s="662"/>
      <c r="FL207" s="662"/>
      <c r="FM207" s="662"/>
      <c r="FN207" s="662"/>
      <c r="FO207" s="662"/>
      <c r="FP207" s="662"/>
      <c r="FQ207" s="662"/>
      <c r="FR207" s="662"/>
      <c r="FS207" s="662"/>
      <c r="FT207" s="662"/>
      <c r="FU207" s="662"/>
      <c r="FV207" s="662"/>
      <c r="FW207" s="662"/>
      <c r="FX207" s="662"/>
      <c r="FY207" s="662"/>
      <c r="FZ207" s="662"/>
      <c r="GA207" s="662"/>
      <c r="GB207" s="662"/>
      <c r="GC207" s="662"/>
      <c r="GD207" s="662"/>
      <c r="GE207" s="662"/>
      <c r="GF207" s="662"/>
      <c r="GG207" s="662"/>
      <c r="GH207" s="662"/>
      <c r="GI207" s="662"/>
      <c r="GJ207" s="662"/>
      <c r="GK207" s="662"/>
      <c r="GL207" s="662"/>
      <c r="GM207" s="662"/>
      <c r="GN207" s="662"/>
      <c r="GO207" s="662"/>
      <c r="GP207" s="662"/>
      <c r="GQ207" s="662"/>
      <c r="GR207" s="662"/>
      <c r="GS207" s="662"/>
      <c r="GT207" s="662"/>
      <c r="GU207" s="662"/>
      <c r="GV207" s="662"/>
      <c r="GW207" s="662"/>
      <c r="GX207" s="662"/>
      <c r="GY207" s="662"/>
      <c r="GZ207" s="662"/>
      <c r="HA207" s="662"/>
      <c r="HB207" s="662"/>
      <c r="HC207" s="662"/>
      <c r="HD207" s="662"/>
      <c r="HE207" s="662"/>
      <c r="HF207" s="662"/>
      <c r="HG207" s="662"/>
      <c r="HH207" s="662"/>
      <c r="HI207" s="662"/>
      <c r="HJ207" s="662"/>
      <c r="HK207" s="662"/>
      <c r="HL207" s="662"/>
      <c r="HM207" s="2654" t="s">
        <v>2981</v>
      </c>
      <c r="HN207" s="2654"/>
      <c r="HO207" s="2654"/>
      <c r="HP207" s="2654"/>
      <c r="HQ207" s="2654"/>
      <c r="HR207" s="2654"/>
      <c r="HS207" s="495"/>
      <c r="HT207" s="495"/>
      <c r="HU207" s="495"/>
      <c r="HV207" s="495"/>
      <c r="HW207" s="495"/>
      <c r="HX207" s="495"/>
      <c r="HY207" s="495"/>
      <c r="HZ207" s="495"/>
      <c r="IA207" s="495"/>
      <c r="IB207" s="495"/>
      <c r="IC207" s="495"/>
      <c r="ID207" s="496"/>
      <c r="IE207" s="496"/>
      <c r="IF207" s="496"/>
      <c r="IG207" s="496"/>
      <c r="IH207" s="496"/>
      <c r="II207" s="496"/>
      <c r="IJ207" s="496"/>
      <c r="IK207" s="496"/>
      <c r="IL207" s="2666"/>
      <c r="IM207" s="2657"/>
      <c r="IN207" s="2657"/>
      <c r="IO207" s="2657"/>
      <c r="IP207" s="2657"/>
      <c r="IQ207" s="2657"/>
      <c r="IR207" s="2667"/>
      <c r="IS207" s="2666"/>
      <c r="IT207" s="2657"/>
      <c r="IU207" s="2657"/>
      <c r="IV207" s="2657"/>
      <c r="IW207" s="2657"/>
      <c r="IX207" s="2657"/>
      <c r="IY207" s="2667"/>
      <c r="IZ207" s="2666"/>
      <c r="JA207" s="2657"/>
      <c r="JB207" s="2657"/>
      <c r="JC207" s="2657"/>
      <c r="JD207" s="2657"/>
      <c r="JE207" s="2657"/>
      <c r="JF207" s="2667"/>
      <c r="JG207" s="496"/>
      <c r="JH207" s="496"/>
      <c r="JI207" s="496"/>
      <c r="JJ207" s="496"/>
      <c r="JK207" s="496"/>
      <c r="JL207" s="496"/>
      <c r="JM207" s="496"/>
      <c r="JN207" s="496"/>
    </row>
    <row r="208" spans="28:274" ht="4.1500000000000004" customHeight="1">
      <c r="AB208" s="1579"/>
      <c r="AC208" s="1579"/>
      <c r="AH208" s="1602"/>
      <c r="AI208" s="1602"/>
      <c r="AJ208" s="1602"/>
      <c r="AK208" s="1602"/>
      <c r="AL208" s="1602"/>
      <c r="AM208" s="1602"/>
      <c r="AN208" s="1602"/>
      <c r="AO208" s="1602"/>
      <c r="BI208" s="1602"/>
      <c r="BJ208" s="1602"/>
      <c r="BK208" s="1602"/>
      <c r="BL208" s="1602"/>
      <c r="BM208" s="1602"/>
      <c r="BN208" s="1602"/>
      <c r="BO208" s="1602"/>
      <c r="BP208" s="1602"/>
      <c r="CG208" s="1602"/>
      <c r="CH208" s="1602"/>
      <c r="CI208" s="1602"/>
      <c r="CJ208" s="1602"/>
      <c r="CK208" s="1602"/>
      <c r="CL208" s="1602"/>
      <c r="CM208" s="1602"/>
      <c r="CN208" s="1602"/>
      <c r="CU208" s="1512"/>
      <c r="CV208" s="1512"/>
      <c r="CW208" s="662"/>
      <c r="CX208" s="662"/>
      <c r="CY208" s="662"/>
      <c r="CZ208" s="662"/>
      <c r="DA208" s="662"/>
      <c r="DB208" s="662"/>
      <c r="DC208" s="662"/>
      <c r="DD208" s="662"/>
      <c r="DE208" s="662"/>
      <c r="DF208" s="662"/>
      <c r="DG208" s="662"/>
      <c r="DH208" s="662"/>
      <c r="DI208" s="662"/>
      <c r="DJ208" s="662"/>
      <c r="DK208" s="662"/>
      <c r="DL208" s="662"/>
      <c r="DM208" s="662"/>
      <c r="DN208" s="662"/>
      <c r="DO208" s="662"/>
      <c r="DP208" s="662"/>
      <c r="DQ208" s="662"/>
      <c r="DR208" s="662"/>
      <c r="DS208" s="662"/>
      <c r="DT208" s="662"/>
      <c r="DU208" s="662"/>
      <c r="DV208" s="662"/>
      <c r="DW208" s="662"/>
      <c r="DX208" s="662"/>
      <c r="DY208" s="662"/>
      <c r="DZ208" s="662"/>
      <c r="EA208" s="662"/>
      <c r="EB208" s="662"/>
      <c r="EC208" s="662"/>
      <c r="ED208" s="662"/>
      <c r="EE208" s="662"/>
      <c r="EF208" s="662"/>
      <c r="EG208" s="662"/>
      <c r="EH208" s="662"/>
      <c r="EI208" s="662"/>
      <c r="EJ208" s="662"/>
      <c r="EK208" s="662"/>
      <c r="EL208" s="662"/>
      <c r="EM208" s="662"/>
      <c r="EN208" s="662"/>
      <c r="EO208" s="662"/>
      <c r="EP208" s="662"/>
      <c r="EQ208" s="662"/>
      <c r="ER208" s="662"/>
      <c r="ES208" s="662"/>
      <c r="ET208" s="662"/>
      <c r="EU208" s="662"/>
      <c r="EV208" s="662"/>
      <c r="EW208" s="662"/>
      <c r="EX208" s="662"/>
      <c r="EY208" s="662"/>
      <c r="EZ208" s="662"/>
      <c r="FA208" s="662"/>
      <c r="FB208" s="662"/>
      <c r="FC208" s="662"/>
      <c r="FD208" s="662"/>
      <c r="FE208" s="662"/>
      <c r="FF208" s="662"/>
      <c r="FG208" s="662"/>
      <c r="FH208" s="662"/>
      <c r="FI208" s="662"/>
      <c r="FJ208" s="662"/>
      <c r="FK208" s="662"/>
      <c r="FL208" s="662"/>
      <c r="FM208" s="662"/>
      <c r="FN208" s="662"/>
      <c r="FO208" s="662"/>
      <c r="FP208" s="662"/>
      <c r="FQ208" s="662"/>
      <c r="FR208" s="662"/>
      <c r="FS208" s="662"/>
      <c r="FT208" s="662"/>
      <c r="FU208" s="662"/>
      <c r="FV208" s="662"/>
      <c r="FW208" s="662"/>
      <c r="FX208" s="662"/>
      <c r="FY208" s="662"/>
      <c r="FZ208" s="662"/>
      <c r="GA208" s="662"/>
      <c r="GB208" s="662"/>
      <c r="GC208" s="662"/>
      <c r="GD208" s="662"/>
      <c r="GE208" s="662"/>
      <c r="GF208" s="662"/>
      <c r="GG208" s="662"/>
      <c r="GH208" s="662"/>
      <c r="GI208" s="662"/>
      <c r="GJ208" s="662"/>
      <c r="GK208" s="662"/>
      <c r="GL208" s="662"/>
      <c r="GM208" s="662"/>
      <c r="GN208" s="662"/>
      <c r="GO208" s="662"/>
      <c r="GP208" s="662"/>
      <c r="GQ208" s="662"/>
      <c r="GR208" s="662"/>
      <c r="GS208" s="662"/>
      <c r="GT208" s="662"/>
      <c r="GU208" s="662"/>
      <c r="GV208" s="662"/>
      <c r="GW208" s="662"/>
      <c r="GX208" s="662"/>
      <c r="GY208" s="662"/>
      <c r="GZ208" s="662"/>
      <c r="HA208" s="662"/>
      <c r="HB208" s="662"/>
      <c r="HC208" s="662"/>
      <c r="HD208" s="662"/>
      <c r="HE208" s="662"/>
      <c r="HF208" s="662"/>
      <c r="HG208" s="662"/>
      <c r="HH208" s="662"/>
      <c r="HI208" s="662"/>
      <c r="HJ208" s="662"/>
      <c r="HK208" s="662"/>
      <c r="HL208" s="662"/>
      <c r="HM208" s="2654"/>
      <c r="HN208" s="2654"/>
      <c r="HO208" s="2654"/>
      <c r="HP208" s="2654"/>
      <c r="HQ208" s="2654"/>
      <c r="HR208" s="2654"/>
      <c r="HS208" s="495"/>
      <c r="HT208" s="495"/>
      <c r="HU208" s="495"/>
      <c r="HV208" s="495"/>
      <c r="HW208" s="495"/>
      <c r="HX208" s="495"/>
      <c r="HY208" s="495"/>
      <c r="HZ208" s="495"/>
      <c r="IA208" s="495"/>
      <c r="IB208" s="495"/>
      <c r="IC208" s="495"/>
      <c r="ID208" s="496"/>
      <c r="IE208" s="496"/>
      <c r="IF208" s="496"/>
      <c r="IG208" s="496"/>
      <c r="IH208" s="496"/>
      <c r="II208" s="496"/>
      <c r="IJ208" s="496"/>
      <c r="IK208" s="496"/>
      <c r="IL208" s="2666"/>
      <c r="IM208" s="2657"/>
      <c r="IN208" s="2657"/>
      <c r="IO208" s="2657"/>
      <c r="IP208" s="2657"/>
      <c r="IQ208" s="2657"/>
      <c r="IR208" s="2667"/>
      <c r="IS208" s="2666"/>
      <c r="IT208" s="2657"/>
      <c r="IU208" s="2657"/>
      <c r="IV208" s="2657"/>
      <c r="IW208" s="2657"/>
      <c r="IX208" s="2657"/>
      <c r="IY208" s="2667"/>
      <c r="IZ208" s="2666"/>
      <c r="JA208" s="2657"/>
      <c r="JB208" s="2657"/>
      <c r="JC208" s="2657"/>
      <c r="JD208" s="2657"/>
      <c r="JE208" s="2657"/>
      <c r="JF208" s="2667"/>
      <c r="JG208" s="496"/>
      <c r="JH208" s="496"/>
      <c r="JI208" s="496"/>
      <c r="JJ208" s="496"/>
      <c r="JK208" s="496"/>
      <c r="JL208" s="496"/>
      <c r="JM208" s="496"/>
      <c r="JN208" s="496"/>
    </row>
    <row r="209" spans="28:274" ht="4.1500000000000004" customHeight="1">
      <c r="AB209" s="1579"/>
      <c r="AC209" s="1579"/>
      <c r="HM209" s="2655"/>
      <c r="HN209" s="2655"/>
      <c r="HO209" s="2655"/>
      <c r="HP209" s="2655"/>
      <c r="HQ209" s="2655"/>
      <c r="HR209" s="2655"/>
      <c r="HS209" s="497"/>
      <c r="HT209" s="497"/>
      <c r="HU209" s="497"/>
      <c r="HV209" s="497"/>
      <c r="HW209" s="497"/>
      <c r="HX209" s="497"/>
      <c r="HY209" s="497"/>
      <c r="HZ209" s="497"/>
      <c r="IA209" s="497"/>
      <c r="IB209" s="497"/>
      <c r="IC209" s="497"/>
      <c r="ID209" s="496"/>
      <c r="IE209" s="496"/>
      <c r="IF209" s="496"/>
      <c r="IG209" s="496"/>
      <c r="IH209" s="496"/>
      <c r="II209" s="496"/>
      <c r="IJ209" s="496"/>
      <c r="IK209" s="496"/>
      <c r="IL209" s="496"/>
      <c r="IM209" s="496"/>
      <c r="IN209" s="496"/>
      <c r="IO209" s="496"/>
      <c r="IP209" s="496"/>
      <c r="IQ209" s="496"/>
      <c r="IR209" s="496"/>
      <c r="IS209" s="496"/>
      <c r="IT209" s="496"/>
      <c r="IU209" s="496"/>
      <c r="IV209" s="496"/>
      <c r="IW209" s="496"/>
      <c r="IX209" s="496"/>
      <c r="IY209" s="496"/>
      <c r="IZ209" s="496"/>
      <c r="JA209" s="496"/>
      <c r="JB209" s="496"/>
      <c r="JC209" s="496"/>
      <c r="JD209" s="496"/>
      <c r="JE209" s="496"/>
      <c r="JF209" s="496"/>
      <c r="JG209" s="496"/>
      <c r="JH209" s="496"/>
      <c r="JI209" s="496"/>
      <c r="JJ209" s="496"/>
      <c r="JK209" s="496"/>
      <c r="JL209" s="496"/>
      <c r="JM209" s="496"/>
      <c r="JN209" s="496"/>
    </row>
    <row r="210" spans="28:274" ht="4.1500000000000004" customHeight="1">
      <c r="HM210" s="495"/>
      <c r="HN210" s="495"/>
      <c r="HO210" s="495"/>
      <c r="HP210" s="495"/>
      <c r="HQ210" s="495"/>
      <c r="HR210" s="495"/>
      <c r="HS210" s="495"/>
      <c r="HT210" s="495"/>
      <c r="HU210" s="495"/>
      <c r="HV210" s="495"/>
      <c r="HW210" s="495"/>
      <c r="HX210" s="495"/>
      <c r="HY210" s="495"/>
      <c r="HZ210" s="495"/>
      <c r="IA210" s="495"/>
      <c r="IB210" s="495"/>
      <c r="IC210" s="495"/>
      <c r="ID210" s="498"/>
      <c r="IE210" s="498"/>
      <c r="IF210" s="498"/>
      <c r="IG210" s="498"/>
      <c r="IH210" s="498"/>
      <c r="II210" s="498"/>
      <c r="IJ210" s="498"/>
      <c r="IK210" s="499"/>
      <c r="IL210" s="496"/>
      <c r="IM210" s="496"/>
      <c r="IN210" s="496"/>
      <c r="IO210" s="496"/>
      <c r="IP210" s="496"/>
      <c r="IQ210" s="496"/>
      <c r="IR210" s="496"/>
      <c r="IS210" s="496"/>
      <c r="IT210" s="496"/>
      <c r="IU210" s="496"/>
      <c r="IV210" s="496"/>
      <c r="IW210" s="496"/>
      <c r="IX210" s="496"/>
      <c r="IY210" s="496"/>
      <c r="IZ210" s="496"/>
      <c r="JA210" s="496"/>
      <c r="JB210" s="496"/>
      <c r="JC210" s="496"/>
      <c r="JD210" s="496"/>
      <c r="JE210" s="496"/>
      <c r="JF210" s="2656">
        <v>0.2</v>
      </c>
      <c r="JG210" s="2656"/>
      <c r="JH210" s="2656"/>
      <c r="JI210" s="2656"/>
      <c r="JJ210" s="2656"/>
      <c r="JK210" s="2656"/>
      <c r="JL210" s="2656"/>
      <c r="JM210" s="2656"/>
      <c r="JN210" s="2656"/>
    </row>
    <row r="211" spans="28:274" ht="4.1500000000000004" customHeight="1">
      <c r="HM211" s="495"/>
      <c r="HN211" s="495"/>
      <c r="HO211" s="495"/>
      <c r="HP211" s="495"/>
      <c r="HQ211" s="495"/>
      <c r="HR211" s="495"/>
      <c r="HS211" s="495"/>
      <c r="HT211" s="495"/>
      <c r="HU211" s="495"/>
      <c r="HV211" s="495"/>
      <c r="HW211" s="495"/>
      <c r="HX211" s="495"/>
      <c r="HY211" s="495"/>
      <c r="HZ211" s="495"/>
      <c r="IA211" s="495"/>
      <c r="IB211" s="495"/>
      <c r="IC211" s="495"/>
      <c r="ID211" s="496"/>
      <c r="IE211" s="496"/>
      <c r="IF211" s="496"/>
      <c r="IG211" s="496"/>
      <c r="IH211" s="496"/>
      <c r="II211" s="496"/>
      <c r="IJ211" s="496"/>
      <c r="IK211" s="500"/>
      <c r="IL211" s="496"/>
      <c r="IM211" s="496"/>
      <c r="IN211" s="496"/>
      <c r="IO211" s="496"/>
      <c r="IP211" s="496"/>
      <c r="IQ211" s="496"/>
      <c r="IR211" s="496"/>
      <c r="IS211" s="496"/>
      <c r="IT211" s="496"/>
      <c r="IU211" s="496"/>
      <c r="IV211" s="496"/>
      <c r="IW211" s="496"/>
      <c r="IX211" s="496"/>
      <c r="IY211" s="496"/>
      <c r="IZ211" s="496"/>
      <c r="JA211" s="496"/>
      <c r="JB211" s="496"/>
      <c r="JC211" s="496"/>
      <c r="JD211" s="496"/>
      <c r="JE211" s="496"/>
      <c r="JF211" s="2657"/>
      <c r="JG211" s="2657"/>
      <c r="JH211" s="2657"/>
      <c r="JI211" s="2657"/>
      <c r="JJ211" s="2657"/>
      <c r="JK211" s="2657"/>
      <c r="JL211" s="2657"/>
      <c r="JM211" s="2657"/>
      <c r="JN211" s="2657"/>
    </row>
    <row r="212" spans="28:274" ht="4.1500000000000004" customHeight="1">
      <c r="HM212" s="495"/>
      <c r="HN212" s="495"/>
      <c r="HO212" s="495"/>
      <c r="HP212" s="495"/>
      <c r="HQ212" s="495"/>
      <c r="HR212" s="495"/>
      <c r="HS212" s="495"/>
      <c r="HT212" s="495"/>
      <c r="HU212" s="495"/>
      <c r="HV212" s="495"/>
      <c r="HW212" s="495"/>
      <c r="HX212" s="495"/>
      <c r="HY212" s="495"/>
      <c r="HZ212" s="495"/>
      <c r="IA212" s="495"/>
      <c r="IB212" s="495"/>
      <c r="IC212" s="495"/>
      <c r="ID212" s="496"/>
      <c r="IE212" s="496"/>
      <c r="IF212" s="496"/>
      <c r="IG212" s="496"/>
      <c r="IH212" s="496"/>
      <c r="II212" s="496"/>
      <c r="IJ212" s="496"/>
      <c r="IK212" s="500"/>
      <c r="IL212" s="496"/>
      <c r="IM212" s="496"/>
      <c r="IN212" s="496"/>
      <c r="IO212" s="496"/>
      <c r="IP212" s="496"/>
      <c r="IQ212" s="496"/>
      <c r="IR212" s="496"/>
      <c r="IS212" s="496"/>
      <c r="IT212" s="496"/>
      <c r="IU212" s="496"/>
      <c r="IV212" s="496"/>
      <c r="IW212" s="496"/>
      <c r="IX212" s="496"/>
      <c r="IY212" s="496"/>
      <c r="IZ212" s="496"/>
      <c r="JA212" s="496"/>
      <c r="JB212" s="496"/>
      <c r="JC212" s="496"/>
      <c r="JD212" s="496"/>
      <c r="JE212" s="496"/>
      <c r="JF212" s="2658"/>
      <c r="JG212" s="2658"/>
      <c r="JH212" s="2658"/>
      <c r="JI212" s="2658"/>
      <c r="JJ212" s="2658"/>
      <c r="JK212" s="2658"/>
      <c r="JL212" s="2658"/>
      <c r="JM212" s="2658"/>
      <c r="JN212" s="2658"/>
    </row>
    <row r="213" spans="28:274" ht="4.1500000000000004" customHeight="1">
      <c r="HM213" s="495"/>
      <c r="HN213" s="495"/>
      <c r="HO213" s="495"/>
      <c r="HP213" s="495"/>
      <c r="HQ213" s="495"/>
      <c r="HR213" s="495"/>
      <c r="HS213" s="495"/>
      <c r="HT213" s="495"/>
      <c r="HU213" s="495"/>
      <c r="HV213" s="495"/>
      <c r="HW213" s="495"/>
      <c r="HX213" s="495"/>
      <c r="HY213" s="495"/>
      <c r="HZ213" s="495"/>
      <c r="IA213" s="495"/>
      <c r="IB213" s="495"/>
      <c r="IC213" s="495"/>
      <c r="ID213" s="496"/>
      <c r="IE213" s="496"/>
      <c r="IF213" s="496"/>
      <c r="IG213" s="496"/>
      <c r="IH213" s="496"/>
      <c r="II213" s="496"/>
      <c r="IJ213" s="496"/>
      <c r="IK213" s="500"/>
      <c r="IL213" s="501"/>
      <c r="IM213" s="498"/>
      <c r="IN213" s="498"/>
      <c r="IO213" s="498"/>
      <c r="IP213" s="498"/>
      <c r="IQ213" s="498"/>
      <c r="IR213" s="499"/>
      <c r="IS213" s="496"/>
      <c r="IT213" s="496"/>
      <c r="IU213" s="496"/>
      <c r="IV213" s="496"/>
      <c r="IW213" s="496"/>
      <c r="IX213" s="496"/>
      <c r="IY213" s="496"/>
      <c r="IZ213" s="496"/>
      <c r="JA213" s="496"/>
      <c r="JB213" s="496"/>
      <c r="JC213" s="496"/>
      <c r="JD213" s="496"/>
      <c r="JE213" s="496"/>
      <c r="JF213" s="2656">
        <f>JF210</f>
        <v>0.2</v>
      </c>
      <c r="JG213" s="2656"/>
      <c r="JH213" s="2656"/>
      <c r="JI213" s="2656"/>
      <c r="JJ213" s="2656"/>
      <c r="JK213" s="2656"/>
      <c r="JL213" s="2656"/>
      <c r="JM213" s="2656"/>
      <c r="JN213" s="2656"/>
    </row>
    <row r="214" spans="28:274" ht="4.1500000000000004" customHeight="1">
      <c r="HM214" s="495"/>
      <c r="HN214" s="495"/>
      <c r="HO214" s="495"/>
      <c r="HP214" s="495"/>
      <c r="HQ214" s="495"/>
      <c r="HR214" s="495"/>
      <c r="HS214" s="495"/>
      <c r="HT214" s="495"/>
      <c r="HU214" s="495"/>
      <c r="HV214" s="495"/>
      <c r="HW214" s="495"/>
      <c r="HX214" s="495"/>
      <c r="HY214" s="495"/>
      <c r="HZ214" s="495"/>
      <c r="IA214" s="495"/>
      <c r="IB214" s="495"/>
      <c r="IC214" s="495"/>
      <c r="ID214" s="496"/>
      <c r="IE214" s="496"/>
      <c r="IF214" s="496"/>
      <c r="IG214" s="496"/>
      <c r="IH214" s="496"/>
      <c r="II214" s="496"/>
      <c r="IJ214" s="496"/>
      <c r="IK214" s="500"/>
      <c r="IL214" s="502"/>
      <c r="IM214" s="496"/>
      <c r="IN214" s="496"/>
      <c r="IO214" s="496"/>
      <c r="IP214" s="496"/>
      <c r="IQ214" s="496"/>
      <c r="IR214" s="500"/>
      <c r="IS214" s="496"/>
      <c r="IT214" s="496"/>
      <c r="IU214" s="496"/>
      <c r="IV214" s="496"/>
      <c r="IW214" s="496"/>
      <c r="IX214" s="496"/>
      <c r="IY214" s="496"/>
      <c r="IZ214" s="496"/>
      <c r="JA214" s="496"/>
      <c r="JB214" s="496"/>
      <c r="JC214" s="496"/>
      <c r="JD214" s="496"/>
      <c r="JE214" s="496"/>
      <c r="JF214" s="2657"/>
      <c r="JG214" s="2657"/>
      <c r="JH214" s="2657"/>
      <c r="JI214" s="2657"/>
      <c r="JJ214" s="2657"/>
      <c r="JK214" s="2657"/>
      <c r="JL214" s="2657"/>
      <c r="JM214" s="2657"/>
      <c r="JN214" s="2657"/>
    </row>
    <row r="215" spans="28:274" ht="4.1500000000000004" customHeight="1">
      <c r="HM215" s="495"/>
      <c r="HN215" s="495"/>
      <c r="HO215" s="495"/>
      <c r="HP215" s="495"/>
      <c r="HQ215" s="495"/>
      <c r="HR215" s="495"/>
      <c r="HS215" s="495"/>
      <c r="HT215" s="495"/>
      <c r="HU215" s="495"/>
      <c r="HV215" s="495"/>
      <c r="HW215" s="495"/>
      <c r="HX215" s="495"/>
      <c r="HY215" s="495"/>
      <c r="HZ215" s="495"/>
      <c r="IA215" s="495"/>
      <c r="IB215" s="495"/>
      <c r="IC215" s="495"/>
      <c r="ID215" s="496"/>
      <c r="IE215" s="496"/>
      <c r="IF215" s="496"/>
      <c r="IG215" s="496"/>
      <c r="IH215" s="496"/>
      <c r="II215" s="496"/>
      <c r="IJ215" s="496"/>
      <c r="IK215" s="500"/>
      <c r="IL215" s="502"/>
      <c r="IM215" s="496"/>
      <c r="IN215" s="496"/>
      <c r="IO215" s="496"/>
      <c r="IP215" s="496"/>
      <c r="IQ215" s="496"/>
      <c r="IR215" s="500"/>
      <c r="IS215" s="496"/>
      <c r="IT215" s="496"/>
      <c r="IU215" s="496"/>
      <c r="IV215" s="496"/>
      <c r="IW215" s="496"/>
      <c r="IX215" s="496"/>
      <c r="IY215" s="496"/>
      <c r="IZ215" s="496"/>
      <c r="JA215" s="496"/>
      <c r="JB215" s="496"/>
      <c r="JC215" s="496"/>
      <c r="JD215" s="496"/>
      <c r="JE215" s="496"/>
      <c r="JF215" s="2658"/>
      <c r="JG215" s="2658"/>
      <c r="JH215" s="2658"/>
      <c r="JI215" s="2658"/>
      <c r="JJ215" s="2658"/>
      <c r="JK215" s="2658"/>
      <c r="JL215" s="2658"/>
      <c r="JM215" s="2658"/>
      <c r="JN215" s="2658"/>
    </row>
    <row r="216" spans="28:274" ht="4.1500000000000004" customHeight="1">
      <c r="HM216" s="495"/>
      <c r="HN216" s="495"/>
      <c r="HO216" s="495"/>
      <c r="HP216" s="495"/>
      <c r="HQ216" s="495"/>
      <c r="HR216" s="495"/>
      <c r="HS216" s="495"/>
      <c r="HT216" s="495"/>
      <c r="HU216" s="495"/>
      <c r="HV216" s="495"/>
      <c r="HW216" s="495"/>
      <c r="HX216" s="495"/>
      <c r="HY216" s="2654" t="s">
        <v>2980</v>
      </c>
      <c r="HZ216" s="2654"/>
      <c r="IA216" s="2654"/>
      <c r="IB216" s="2654"/>
      <c r="IC216" s="2654"/>
      <c r="ID216" s="2654"/>
      <c r="IE216" s="496"/>
      <c r="IF216" s="496"/>
      <c r="IG216" s="496"/>
      <c r="IH216" s="496"/>
      <c r="II216" s="496"/>
      <c r="IJ216" s="496"/>
      <c r="IK216" s="500"/>
      <c r="IL216" s="496"/>
      <c r="IM216" s="496"/>
      <c r="IN216" s="496"/>
      <c r="IO216" s="496"/>
      <c r="IP216" s="496"/>
      <c r="IQ216" s="496"/>
      <c r="IR216" s="496"/>
      <c r="IS216" s="498"/>
      <c r="IT216" s="498"/>
      <c r="IU216" s="498"/>
      <c r="IV216" s="498"/>
      <c r="IW216" s="498"/>
      <c r="IX216" s="498"/>
      <c r="IY216" s="499"/>
      <c r="IZ216" s="496"/>
      <c r="JA216" s="496"/>
      <c r="JB216" s="496"/>
      <c r="JC216" s="496"/>
      <c r="JD216" s="496"/>
      <c r="JE216" s="496"/>
      <c r="JF216" s="2656">
        <f>JF213</f>
        <v>0.2</v>
      </c>
      <c r="JG216" s="2656"/>
      <c r="JH216" s="2656"/>
      <c r="JI216" s="2656"/>
      <c r="JJ216" s="2656"/>
      <c r="JK216" s="2656"/>
      <c r="JL216" s="2656"/>
      <c r="JM216" s="2656"/>
      <c r="JN216" s="2656"/>
    </row>
    <row r="217" spans="28:274" ht="4.1500000000000004" customHeight="1">
      <c r="HM217" s="495"/>
      <c r="HN217" s="495"/>
      <c r="HO217" s="495"/>
      <c r="HP217" s="495"/>
      <c r="HQ217" s="495"/>
      <c r="HR217" s="495"/>
      <c r="HS217" s="495"/>
      <c r="HT217" s="495"/>
      <c r="HU217" s="495"/>
      <c r="HV217" s="495"/>
      <c r="HW217" s="495"/>
      <c r="HX217" s="495"/>
      <c r="HY217" s="2654"/>
      <c r="HZ217" s="2654"/>
      <c r="IA217" s="2654"/>
      <c r="IB217" s="2654"/>
      <c r="IC217" s="2654"/>
      <c r="ID217" s="2654"/>
      <c r="IE217" s="496"/>
      <c r="IF217" s="496"/>
      <c r="IG217" s="496"/>
      <c r="IH217" s="496"/>
      <c r="II217" s="496"/>
      <c r="IJ217" s="496"/>
      <c r="IK217" s="500"/>
      <c r="IL217" s="496"/>
      <c r="IM217" s="496"/>
      <c r="IN217" s="496"/>
      <c r="IO217" s="496"/>
      <c r="IP217" s="496"/>
      <c r="IQ217" s="496"/>
      <c r="IR217" s="496"/>
      <c r="IS217" s="496"/>
      <c r="IT217" s="496"/>
      <c r="IU217" s="496"/>
      <c r="IV217" s="496"/>
      <c r="IW217" s="496"/>
      <c r="IX217" s="496"/>
      <c r="IY217" s="500"/>
      <c r="IZ217" s="496"/>
      <c r="JA217" s="496"/>
      <c r="JB217" s="496"/>
      <c r="JC217" s="496"/>
      <c r="JD217" s="496"/>
      <c r="JE217" s="496"/>
      <c r="JF217" s="2657"/>
      <c r="JG217" s="2657"/>
      <c r="JH217" s="2657"/>
      <c r="JI217" s="2657"/>
      <c r="JJ217" s="2657"/>
      <c r="JK217" s="2657"/>
      <c r="JL217" s="2657"/>
      <c r="JM217" s="2657"/>
      <c r="JN217" s="2657"/>
    </row>
    <row r="218" spans="28:274" ht="4.1500000000000004" customHeight="1">
      <c r="AD218" s="519"/>
      <c r="AE218" s="521"/>
      <c r="AF218" s="514"/>
      <c r="AG218" s="514"/>
      <c r="AH218" s="514"/>
      <c r="AI218" s="514"/>
      <c r="AJ218" s="514"/>
      <c r="AK218" s="514"/>
      <c r="AL218" s="514"/>
      <c r="AM218" s="514"/>
      <c r="AN218" s="514"/>
      <c r="AO218" s="514"/>
      <c r="AP218" s="514"/>
      <c r="AQ218" s="514"/>
      <c r="AR218" s="514"/>
      <c r="AS218" s="514"/>
      <c r="AT218" s="514"/>
      <c r="AU218" s="514"/>
      <c r="AV218" s="514"/>
      <c r="AW218" s="514"/>
      <c r="AX218" s="519"/>
      <c r="AY218" s="521"/>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9"/>
      <c r="BU218" s="521"/>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9"/>
      <c r="CQ218" s="521"/>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9"/>
      <c r="DM218" s="521"/>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9"/>
      <c r="EI218" s="521"/>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9"/>
      <c r="FE218" s="521"/>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9"/>
      <c r="GA218" s="521"/>
      <c r="HM218" s="495"/>
      <c r="HN218" s="495"/>
      <c r="HO218" s="495"/>
      <c r="HP218" s="495"/>
      <c r="HQ218" s="495"/>
      <c r="HR218" s="495"/>
      <c r="HS218" s="495"/>
      <c r="HT218" s="495"/>
      <c r="HU218" s="495"/>
      <c r="HV218" s="495"/>
      <c r="HW218" s="495"/>
      <c r="HX218" s="495"/>
      <c r="HY218" s="2655"/>
      <c r="HZ218" s="2655"/>
      <c r="IA218" s="2655"/>
      <c r="IB218" s="2655"/>
      <c r="IC218" s="2655"/>
      <c r="ID218" s="2655"/>
      <c r="IE218" s="503"/>
      <c r="IF218" s="503"/>
      <c r="IG218" s="503"/>
      <c r="IH218" s="503"/>
      <c r="II218" s="503"/>
      <c r="IJ218" s="503"/>
      <c r="IK218" s="504"/>
      <c r="IL218" s="496"/>
      <c r="IM218" s="496"/>
      <c r="IN218" s="496"/>
      <c r="IO218" s="496"/>
      <c r="IP218" s="496"/>
      <c r="IQ218" s="496"/>
      <c r="IR218" s="496"/>
      <c r="IS218" s="496"/>
      <c r="IT218" s="496"/>
      <c r="IU218" s="496"/>
      <c r="IV218" s="496"/>
      <c r="IW218" s="496"/>
      <c r="IX218" s="496"/>
      <c r="IY218" s="500"/>
      <c r="IZ218" s="496"/>
      <c r="JA218" s="496"/>
      <c r="JB218" s="496"/>
      <c r="JC218" s="496"/>
      <c r="JD218" s="496"/>
      <c r="JE218" s="496"/>
      <c r="JF218" s="2657"/>
      <c r="JG218" s="2658"/>
      <c r="JH218" s="2658"/>
      <c r="JI218" s="2658"/>
      <c r="JJ218" s="2658"/>
      <c r="JK218" s="2658"/>
      <c r="JL218" s="2658"/>
      <c r="JM218" s="2658"/>
      <c r="JN218" s="2658"/>
    </row>
    <row r="219" spans="28:274" ht="4.1500000000000004" customHeight="1">
      <c r="AD219" s="522"/>
      <c r="AE219" s="524"/>
      <c r="AW219" s="532"/>
      <c r="AX219" s="522"/>
      <c r="AY219" s="524"/>
      <c r="BT219" s="522"/>
      <c r="BU219" s="524"/>
      <c r="CP219" s="522"/>
      <c r="CQ219" s="524"/>
      <c r="DL219" s="522"/>
      <c r="DM219" s="524"/>
      <c r="EH219" s="522"/>
      <c r="EI219" s="524"/>
      <c r="FD219" s="522"/>
      <c r="FE219" s="524"/>
      <c r="FZ219" s="522"/>
      <c r="GA219" s="524"/>
      <c r="HM219" s="495"/>
      <c r="HN219" s="495"/>
      <c r="HO219" s="495"/>
      <c r="HP219" s="495"/>
      <c r="HQ219" s="495"/>
      <c r="HR219" s="495"/>
      <c r="HS219" s="495"/>
      <c r="HT219" s="495"/>
      <c r="HU219" s="495"/>
      <c r="HV219" s="495"/>
      <c r="HW219" s="495"/>
      <c r="HX219" s="495"/>
      <c r="HY219" s="2656">
        <f>JG219+JG221</f>
        <v>0.3</v>
      </c>
      <c r="HZ219" s="2656"/>
      <c r="IA219" s="2656"/>
      <c r="IB219" s="2656"/>
      <c r="IC219" s="2656"/>
      <c r="ID219" s="2656"/>
      <c r="IE219" s="2656"/>
      <c r="IF219" s="2656"/>
      <c r="IG219" s="2656"/>
      <c r="IH219" s="2656"/>
      <c r="II219" s="2656"/>
      <c r="IJ219" s="496"/>
      <c r="IK219" s="500"/>
      <c r="IL219" s="501"/>
      <c r="IM219" s="498"/>
      <c r="IN219" s="498"/>
      <c r="IO219" s="498"/>
      <c r="IP219" s="498"/>
      <c r="IQ219" s="498"/>
      <c r="IR219" s="498"/>
      <c r="IS219" s="498"/>
      <c r="IT219" s="498"/>
      <c r="IU219" s="498"/>
      <c r="IV219" s="498"/>
      <c r="IW219" s="498"/>
      <c r="IX219" s="498"/>
      <c r="IY219" s="498"/>
      <c r="IZ219" s="498"/>
      <c r="JA219" s="498"/>
      <c r="JB219" s="498"/>
      <c r="JC219" s="498"/>
      <c r="JD219" s="498"/>
      <c r="JE219" s="498"/>
      <c r="JF219" s="499"/>
      <c r="JG219" s="2659">
        <v>0.15</v>
      </c>
      <c r="JH219" s="2660"/>
      <c r="JI219" s="2660"/>
      <c r="JJ219" s="2660"/>
      <c r="JK219" s="2660"/>
      <c r="JL219" s="2660"/>
      <c r="JM219" s="2660"/>
      <c r="JN219" s="2660"/>
    </row>
    <row r="220" spans="28:274" ht="4.1500000000000004" customHeight="1">
      <c r="AD220" s="527"/>
      <c r="AE220" s="529"/>
      <c r="AF220" s="515"/>
      <c r="AG220" s="514"/>
      <c r="AH220" s="514"/>
      <c r="AI220" s="518"/>
      <c r="AK220" s="515"/>
      <c r="AL220" s="514"/>
      <c r="AM220" s="514"/>
      <c r="AN220" s="518"/>
      <c r="AP220" s="515"/>
      <c r="AQ220" s="514"/>
      <c r="AR220" s="514"/>
      <c r="AS220" s="518"/>
      <c r="AU220" s="515"/>
      <c r="AV220" s="514"/>
      <c r="AW220" s="518"/>
      <c r="AX220" s="527"/>
      <c r="AY220" s="529"/>
      <c r="AZ220" s="514"/>
      <c r="BA220" s="514"/>
      <c r="BB220" s="514"/>
      <c r="BC220" s="514"/>
      <c r="BD220" s="514"/>
      <c r="BE220" s="514"/>
      <c r="BF220" s="514"/>
      <c r="BG220" s="514"/>
      <c r="BH220" s="518"/>
      <c r="BI220" s="517"/>
      <c r="BJ220" s="514"/>
      <c r="BK220" s="514"/>
      <c r="BL220" s="514"/>
      <c r="BM220" s="514"/>
      <c r="BN220" s="514"/>
      <c r="BO220" s="514"/>
      <c r="BP220" s="514"/>
      <c r="BQ220" s="514"/>
      <c r="BR220" s="514"/>
      <c r="BS220" s="514"/>
      <c r="BT220" s="527"/>
      <c r="BU220" s="529"/>
      <c r="BV220" s="514"/>
      <c r="BW220" s="514"/>
      <c r="BX220" s="514"/>
      <c r="BY220" s="514"/>
      <c r="BZ220" s="514"/>
      <c r="CA220" s="514"/>
      <c r="CB220" s="514"/>
      <c r="CC220" s="514"/>
      <c r="CD220" s="514"/>
      <c r="CE220" s="514"/>
      <c r="CF220" s="514"/>
      <c r="CG220" s="514"/>
      <c r="CH220" s="514"/>
      <c r="CI220" s="514"/>
      <c r="CJ220" s="514"/>
      <c r="CK220" s="514"/>
      <c r="CL220" s="514"/>
      <c r="CM220" s="514"/>
      <c r="CN220" s="514"/>
      <c r="CO220" s="518"/>
      <c r="CP220" s="527"/>
      <c r="CQ220" s="529"/>
      <c r="CR220" s="515"/>
      <c r="CS220" s="514"/>
      <c r="CT220" s="514"/>
      <c r="CU220" s="514"/>
      <c r="CV220" s="514"/>
      <c r="CW220" s="514"/>
      <c r="CX220" s="514"/>
      <c r="CY220" s="514"/>
      <c r="CZ220" s="514"/>
      <c r="DA220" s="514"/>
      <c r="DB220" s="514"/>
      <c r="DC220" s="514"/>
      <c r="DD220" s="514"/>
      <c r="DE220" s="514"/>
      <c r="DF220" s="514"/>
      <c r="DG220" s="514"/>
      <c r="DH220" s="514"/>
      <c r="DI220" s="514"/>
      <c r="DJ220" s="514"/>
      <c r="DK220" s="514"/>
      <c r="DL220" s="527"/>
      <c r="DM220" s="529"/>
      <c r="DN220" s="514"/>
      <c r="DO220" s="514"/>
      <c r="DP220" s="514"/>
      <c r="DQ220" s="514"/>
      <c r="DR220" s="514"/>
      <c r="DS220" s="514"/>
      <c r="DT220" s="514"/>
      <c r="DU220" s="514"/>
      <c r="DV220" s="514"/>
      <c r="DW220" s="514"/>
      <c r="DX220" s="514"/>
      <c r="DY220" s="514"/>
      <c r="DZ220" s="514"/>
      <c r="EA220" s="514"/>
      <c r="EB220" s="514"/>
      <c r="EC220" s="514"/>
      <c r="ED220" s="514"/>
      <c r="EE220" s="514"/>
      <c r="EF220" s="514"/>
      <c r="EG220" s="518"/>
      <c r="EH220" s="527"/>
      <c r="EI220" s="529"/>
      <c r="EJ220" s="515"/>
      <c r="EK220" s="514"/>
      <c r="EL220" s="514"/>
      <c r="EM220" s="514"/>
      <c r="EN220" s="514"/>
      <c r="EO220" s="514"/>
      <c r="EP220" s="514"/>
      <c r="EQ220" s="514"/>
      <c r="ER220" s="514"/>
      <c r="ES220" s="514"/>
      <c r="ET220" s="514"/>
      <c r="EU220" s="514"/>
      <c r="EV220" s="514"/>
      <c r="EW220" s="514"/>
      <c r="EX220" s="514"/>
      <c r="EY220" s="514"/>
      <c r="EZ220" s="514"/>
      <c r="FA220" s="514"/>
      <c r="FB220" s="514"/>
      <c r="FC220" s="514"/>
      <c r="FD220" s="527"/>
      <c r="FE220" s="529"/>
      <c r="FF220" s="514"/>
      <c r="FG220" s="514"/>
      <c r="FH220" s="514"/>
      <c r="FI220" s="514"/>
      <c r="FJ220" s="514"/>
      <c r="FK220" s="514"/>
      <c r="FL220" s="514"/>
      <c r="FM220" s="514"/>
      <c r="FN220" s="514"/>
      <c r="FO220" s="514"/>
      <c r="FP220" s="514"/>
      <c r="FQ220" s="514"/>
      <c r="FR220" s="514"/>
      <c r="FS220" s="514"/>
      <c r="FT220" s="514"/>
      <c r="FU220" s="514"/>
      <c r="FV220" s="514"/>
      <c r="FW220" s="514"/>
      <c r="FX220" s="514"/>
      <c r="FY220" s="518"/>
      <c r="FZ220" s="527"/>
      <c r="GA220" s="529"/>
      <c r="HM220" s="495"/>
      <c r="HN220" s="495"/>
      <c r="HO220" s="495"/>
      <c r="HP220" s="495"/>
      <c r="HQ220" s="495"/>
      <c r="HR220" s="495"/>
      <c r="HS220" s="495"/>
      <c r="HT220" s="495"/>
      <c r="HU220" s="495"/>
      <c r="HV220" s="495"/>
      <c r="HW220" s="495"/>
      <c r="HX220" s="495"/>
      <c r="HY220" s="2657"/>
      <c r="HZ220" s="2657"/>
      <c r="IA220" s="2657"/>
      <c r="IB220" s="2657"/>
      <c r="IC220" s="2657"/>
      <c r="ID220" s="2657"/>
      <c r="IE220" s="2657"/>
      <c r="IF220" s="2657"/>
      <c r="IG220" s="2657"/>
      <c r="IH220" s="2657"/>
      <c r="II220" s="2657"/>
      <c r="IJ220" s="496"/>
      <c r="IK220" s="500"/>
      <c r="IL220" s="505"/>
      <c r="IM220" s="503"/>
      <c r="IN220" s="503"/>
      <c r="IO220" s="503"/>
      <c r="IP220" s="503"/>
      <c r="IQ220" s="503"/>
      <c r="IR220" s="503"/>
      <c r="IS220" s="503"/>
      <c r="IT220" s="503"/>
      <c r="IU220" s="503"/>
      <c r="IV220" s="503"/>
      <c r="IW220" s="503"/>
      <c r="IX220" s="503"/>
      <c r="IY220" s="503"/>
      <c r="IZ220" s="503"/>
      <c r="JA220" s="503"/>
      <c r="JB220" s="503"/>
      <c r="JC220" s="503"/>
      <c r="JD220" s="503"/>
      <c r="JE220" s="503"/>
      <c r="JF220" s="504"/>
      <c r="JG220" s="2661"/>
      <c r="JH220" s="2662"/>
      <c r="JI220" s="2662"/>
      <c r="JJ220" s="2662"/>
      <c r="JK220" s="2662"/>
      <c r="JL220" s="2662"/>
      <c r="JM220" s="2662"/>
      <c r="JN220" s="2662"/>
    </row>
    <row r="221" spans="28:274" ht="4.1500000000000004" customHeight="1">
      <c r="AD221" s="516"/>
      <c r="AF221" s="516"/>
      <c r="AI221" s="517"/>
      <c r="AK221" s="516"/>
      <c r="AN221" s="517"/>
      <c r="AP221" s="516"/>
      <c r="AS221" s="517"/>
      <c r="AU221" s="516"/>
      <c r="AW221" s="517"/>
      <c r="AX221" s="516"/>
      <c r="AZ221" s="516"/>
      <c r="BH221" s="517"/>
      <c r="BI221" s="517"/>
      <c r="CO221" s="517"/>
      <c r="CR221" s="516"/>
      <c r="EG221" s="517"/>
      <c r="EJ221" s="516"/>
      <c r="FY221" s="517"/>
      <c r="GA221" s="517"/>
      <c r="HM221" s="495"/>
      <c r="HN221" s="495"/>
      <c r="HO221" s="495"/>
      <c r="HP221" s="495"/>
      <c r="HQ221" s="495"/>
      <c r="HR221" s="495"/>
      <c r="HS221" s="495"/>
      <c r="HT221" s="495"/>
      <c r="HU221" s="495"/>
      <c r="HV221" s="495"/>
      <c r="HW221" s="495"/>
      <c r="HX221" s="495"/>
      <c r="HY221" s="2657"/>
      <c r="HZ221" s="2657"/>
      <c r="IA221" s="2657"/>
      <c r="IB221" s="2657"/>
      <c r="IC221" s="2657"/>
      <c r="ID221" s="2657"/>
      <c r="IE221" s="2657"/>
      <c r="IF221" s="2657"/>
      <c r="IG221" s="2657"/>
      <c r="IH221" s="2657"/>
      <c r="II221" s="2657"/>
      <c r="IJ221" s="496"/>
      <c r="IK221" s="500"/>
      <c r="IL221" s="501"/>
      <c r="IM221" s="498"/>
      <c r="IN221" s="498"/>
      <c r="IO221" s="498"/>
      <c r="IP221" s="498"/>
      <c r="IQ221" s="498"/>
      <c r="IR221" s="498"/>
      <c r="IS221" s="498"/>
      <c r="IT221" s="498"/>
      <c r="IU221" s="498"/>
      <c r="IV221" s="498"/>
      <c r="IW221" s="498"/>
      <c r="IX221" s="498"/>
      <c r="IY221" s="498"/>
      <c r="IZ221" s="498"/>
      <c r="JA221" s="498"/>
      <c r="JB221" s="498"/>
      <c r="JC221" s="498"/>
      <c r="JD221" s="498"/>
      <c r="JE221" s="498"/>
      <c r="JF221" s="499"/>
      <c r="JG221" s="2659">
        <f>JG219</f>
        <v>0.15</v>
      </c>
      <c r="JH221" s="2660"/>
      <c r="JI221" s="2660"/>
      <c r="JJ221" s="2660"/>
      <c r="JK221" s="2660"/>
      <c r="JL221" s="2660"/>
      <c r="JM221" s="2660"/>
      <c r="JN221" s="2660"/>
    </row>
    <row r="222" spans="28:274" ht="4.1500000000000004" customHeight="1">
      <c r="AD222" s="516"/>
      <c r="AF222" s="516"/>
      <c r="AI222" s="517"/>
      <c r="AK222" s="516"/>
      <c r="AN222" s="517"/>
      <c r="AP222" s="516"/>
      <c r="AS222" s="517"/>
      <c r="AU222" s="516"/>
      <c r="AW222" s="517"/>
      <c r="AX222" s="516"/>
      <c r="AZ222" s="516"/>
      <c r="BH222" s="517"/>
      <c r="BI222" s="517"/>
      <c r="CO222" s="517"/>
      <c r="CR222" s="516"/>
      <c r="EG222" s="517"/>
      <c r="EJ222" s="516"/>
      <c r="FY222" s="517"/>
      <c r="GA222" s="517"/>
      <c r="HM222" s="495"/>
      <c r="HN222" s="495"/>
      <c r="HO222" s="495"/>
      <c r="HP222" s="495"/>
      <c r="HQ222" s="495"/>
      <c r="HR222" s="495"/>
      <c r="HS222" s="495"/>
      <c r="HT222" s="495"/>
      <c r="HU222" s="495"/>
      <c r="HV222" s="495"/>
      <c r="HW222" s="495"/>
      <c r="HX222" s="495"/>
      <c r="HY222" s="2658"/>
      <c r="HZ222" s="2658"/>
      <c r="IA222" s="2658"/>
      <c r="IB222" s="2658"/>
      <c r="IC222" s="2658"/>
      <c r="ID222" s="2658"/>
      <c r="IE222" s="2658"/>
      <c r="IF222" s="2658"/>
      <c r="IG222" s="2658"/>
      <c r="IH222" s="2658"/>
      <c r="II222" s="2658"/>
      <c r="IJ222" s="496"/>
      <c r="IK222" s="500"/>
      <c r="IL222" s="505"/>
      <c r="IM222" s="503"/>
      <c r="IN222" s="503"/>
      <c r="IO222" s="503"/>
      <c r="IP222" s="503"/>
      <c r="IQ222" s="503"/>
      <c r="IR222" s="503"/>
      <c r="IS222" s="503"/>
      <c r="IT222" s="503"/>
      <c r="IU222" s="503"/>
      <c r="IV222" s="503"/>
      <c r="IW222" s="503"/>
      <c r="IX222" s="503"/>
      <c r="IY222" s="503"/>
      <c r="IZ222" s="503"/>
      <c r="JA222" s="503"/>
      <c r="JB222" s="503"/>
      <c r="JC222" s="503"/>
      <c r="JD222" s="503"/>
      <c r="JE222" s="503"/>
      <c r="JF222" s="504"/>
      <c r="JG222" s="2661"/>
      <c r="JH222" s="2662"/>
      <c r="JI222" s="2662"/>
      <c r="JJ222" s="2662"/>
      <c r="JK222" s="2662"/>
      <c r="JL222" s="2662"/>
      <c r="JM222" s="2662"/>
      <c r="JN222" s="2662"/>
    </row>
    <row r="223" spans="28:274" ht="4.1500000000000004" customHeight="1">
      <c r="AD223" s="516"/>
      <c r="AF223" s="516"/>
      <c r="AI223" s="517"/>
      <c r="AK223" s="516"/>
      <c r="AN223" s="517"/>
      <c r="AP223" s="516"/>
      <c r="AS223" s="517"/>
      <c r="AU223" s="516"/>
      <c r="AW223" s="517"/>
      <c r="AX223" s="516"/>
      <c r="AZ223" s="516"/>
      <c r="BH223" s="517"/>
      <c r="BI223" s="517"/>
      <c r="CO223" s="517"/>
      <c r="CR223" s="516"/>
      <c r="EG223" s="517"/>
      <c r="EJ223" s="516"/>
      <c r="FY223" s="517"/>
      <c r="GA223" s="517"/>
      <c r="HM223" s="495"/>
      <c r="HN223" s="495"/>
      <c r="HO223" s="495"/>
      <c r="HP223" s="495"/>
      <c r="HQ223" s="495"/>
      <c r="HR223" s="495"/>
      <c r="HS223" s="495"/>
      <c r="HT223" s="495"/>
      <c r="HU223" s="495"/>
      <c r="HV223" s="495"/>
      <c r="HW223" s="495"/>
      <c r="HX223" s="495"/>
      <c r="HY223" s="495"/>
      <c r="HZ223" s="495"/>
      <c r="IA223" s="495"/>
      <c r="IB223" s="495"/>
      <c r="IC223" s="495"/>
      <c r="ID223" s="496"/>
      <c r="IE223" s="496"/>
      <c r="IF223" s="496"/>
      <c r="IG223" s="496"/>
      <c r="IH223" s="496"/>
      <c r="II223" s="496"/>
      <c r="IJ223" s="496"/>
      <c r="IK223" s="496"/>
      <c r="IL223" s="496"/>
      <c r="IM223" s="496"/>
      <c r="IN223" s="496"/>
      <c r="IO223" s="496"/>
      <c r="IP223" s="496"/>
      <c r="IQ223" s="496"/>
      <c r="IR223" s="496"/>
      <c r="IS223" s="496"/>
      <c r="IT223" s="496"/>
      <c r="IU223" s="496"/>
      <c r="IV223" s="496"/>
      <c r="IW223" s="496"/>
      <c r="IX223" s="496"/>
      <c r="IY223" s="496"/>
      <c r="IZ223" s="496"/>
      <c r="JA223" s="496"/>
      <c r="JB223" s="496"/>
      <c r="JC223" s="496"/>
      <c r="JD223" s="496"/>
      <c r="JE223" s="496"/>
      <c r="JF223" s="496"/>
      <c r="JG223" s="496"/>
      <c r="JH223" s="496"/>
      <c r="JI223" s="496"/>
      <c r="JJ223" s="496"/>
      <c r="JK223" s="496"/>
      <c r="JL223" s="496"/>
      <c r="JM223" s="496"/>
      <c r="JN223" s="496"/>
    </row>
    <row r="224" spans="28:274" ht="4.1500000000000004" customHeight="1">
      <c r="AD224" s="516"/>
      <c r="AF224" s="516"/>
      <c r="AI224" s="517"/>
      <c r="AK224" s="516"/>
      <c r="AN224" s="517"/>
      <c r="AP224" s="516"/>
      <c r="AS224" s="517"/>
      <c r="AU224" s="516"/>
      <c r="AW224" s="517"/>
      <c r="AX224" s="516"/>
      <c r="AZ224" s="516"/>
      <c r="BH224" s="517"/>
      <c r="BI224" s="517"/>
      <c r="CO224" s="517"/>
      <c r="CR224" s="516"/>
      <c r="EG224" s="517"/>
      <c r="EJ224" s="516"/>
      <c r="FY224" s="517"/>
      <c r="GA224" s="517"/>
      <c r="HM224" s="495"/>
      <c r="HN224" s="495"/>
      <c r="HO224" s="495"/>
      <c r="HP224" s="495"/>
      <c r="HQ224" s="495"/>
      <c r="HR224" s="495"/>
      <c r="HS224" s="495"/>
      <c r="HT224" s="495"/>
      <c r="HU224" s="495"/>
      <c r="HV224" s="495"/>
      <c r="HW224" s="495"/>
      <c r="HX224" s="495"/>
      <c r="HY224" s="495"/>
      <c r="HZ224" s="495"/>
      <c r="IA224" s="495"/>
      <c r="IB224" s="495"/>
      <c r="IC224" s="495"/>
      <c r="ID224" s="496"/>
      <c r="IE224" s="496"/>
      <c r="IF224" s="496"/>
      <c r="IG224" s="496"/>
      <c r="IH224" s="496"/>
      <c r="II224" s="496"/>
      <c r="IJ224" s="496"/>
      <c r="IK224" s="496"/>
      <c r="IL224" s="496"/>
      <c r="IM224" s="496"/>
      <c r="IN224" s="496"/>
      <c r="IO224" s="496"/>
      <c r="IP224" s="496"/>
      <c r="IQ224" s="496"/>
      <c r="IR224" s="496"/>
      <c r="IS224" s="496"/>
      <c r="IT224" s="496"/>
      <c r="IU224" s="496"/>
      <c r="IV224" s="496"/>
      <c r="IW224" s="496"/>
      <c r="IX224" s="496"/>
      <c r="IY224" s="496"/>
      <c r="IZ224" s="496"/>
      <c r="JA224" s="496"/>
      <c r="JB224" s="496"/>
      <c r="JC224" s="496"/>
      <c r="JD224" s="496"/>
      <c r="JE224" s="496"/>
      <c r="JF224" s="496"/>
      <c r="JG224" s="496"/>
      <c r="JH224" s="496"/>
      <c r="JI224" s="496"/>
      <c r="JJ224" s="496"/>
      <c r="JK224" s="496"/>
      <c r="JL224" s="496"/>
      <c r="JM224" s="496"/>
      <c r="JN224" s="496"/>
    </row>
    <row r="225" spans="30:274" ht="4.1500000000000004" customHeight="1">
      <c r="AD225" s="516"/>
      <c r="AF225" s="530"/>
      <c r="AG225" s="532"/>
      <c r="AH225" s="532"/>
      <c r="AI225" s="531"/>
      <c r="AJ225" s="532"/>
      <c r="AK225" s="530"/>
      <c r="AL225" s="532"/>
      <c r="AM225" s="532"/>
      <c r="AN225" s="531"/>
      <c r="AO225" s="532"/>
      <c r="AP225" s="530"/>
      <c r="AQ225" s="532"/>
      <c r="AR225" s="532"/>
      <c r="AS225" s="531"/>
      <c r="AT225" s="532"/>
      <c r="AU225" s="530"/>
      <c r="AV225" s="532"/>
      <c r="AW225" s="531"/>
      <c r="AX225" s="516"/>
      <c r="AZ225" s="516"/>
      <c r="BH225" s="517"/>
      <c r="BI225" s="517"/>
      <c r="CO225" s="517"/>
      <c r="CR225" s="516"/>
      <c r="EG225" s="517"/>
      <c r="EJ225" s="516"/>
      <c r="FY225" s="517"/>
      <c r="GA225" s="517"/>
      <c r="HM225" s="506"/>
      <c r="HN225" s="506"/>
      <c r="HO225" s="506"/>
      <c r="HP225" s="506"/>
      <c r="HQ225" s="506"/>
      <c r="HR225" s="495"/>
      <c r="HS225" s="495"/>
      <c r="HT225" s="495"/>
      <c r="HU225" s="495"/>
      <c r="HV225" s="507"/>
      <c r="HW225" s="507"/>
      <c r="HX225" s="507"/>
      <c r="HY225" s="507"/>
      <c r="HZ225" s="507"/>
      <c r="IA225" s="507"/>
      <c r="IB225" s="507"/>
      <c r="IC225" s="507"/>
      <c r="ID225" s="507"/>
      <c r="IE225" s="507"/>
      <c r="IF225" s="507"/>
      <c r="IG225" s="495"/>
      <c r="IH225" s="495"/>
      <c r="II225" s="495"/>
      <c r="IJ225" s="495"/>
      <c r="IK225" s="507"/>
      <c r="IL225" s="2663">
        <f>SUM(IL206:JF208)</f>
        <v>0.89999999999999991</v>
      </c>
      <c r="IM225" s="2664"/>
      <c r="IN225" s="2664"/>
      <c r="IO225" s="2664"/>
      <c r="IP225" s="2664"/>
      <c r="IQ225" s="2664"/>
      <c r="IR225" s="2664"/>
      <c r="IS225" s="2664"/>
      <c r="IT225" s="2664"/>
      <c r="IU225" s="2664"/>
      <c r="IV225" s="2664"/>
      <c r="IW225" s="2664"/>
      <c r="IX225" s="2664"/>
      <c r="IY225" s="2664"/>
      <c r="IZ225" s="2664"/>
      <c r="JA225" s="2664"/>
      <c r="JB225" s="2664"/>
      <c r="JC225" s="2664"/>
      <c r="JD225" s="2664"/>
      <c r="JE225" s="2664"/>
      <c r="JF225" s="2665"/>
      <c r="JG225" s="495"/>
      <c r="JH225" s="495"/>
      <c r="JI225" s="495"/>
      <c r="JJ225" s="495"/>
      <c r="JK225" s="495"/>
      <c r="JL225" s="495"/>
      <c r="JM225" s="495"/>
      <c r="JN225" s="495"/>
    </row>
    <row r="226" spans="30:274" ht="4.1500000000000004" customHeight="1">
      <c r="AD226" s="516"/>
      <c r="AF226" s="516"/>
      <c r="AW226" s="517"/>
      <c r="AX226" s="516"/>
      <c r="AZ226" s="516"/>
      <c r="BH226" s="517"/>
      <c r="BI226" s="517"/>
      <c r="CO226" s="517"/>
      <c r="CR226" s="516"/>
      <c r="EG226" s="517"/>
      <c r="EJ226" s="516"/>
      <c r="FY226" s="517"/>
      <c r="GA226" s="517"/>
      <c r="HM226" s="506"/>
      <c r="HN226" s="506"/>
      <c r="HO226" s="506"/>
      <c r="HP226" s="506"/>
      <c r="HQ226" s="506"/>
      <c r="HR226" s="495"/>
      <c r="HS226" s="495"/>
      <c r="HT226" s="495"/>
      <c r="HU226" s="495"/>
      <c r="HV226" s="507"/>
      <c r="HW226" s="507"/>
      <c r="HX226" s="507"/>
      <c r="HY226" s="507"/>
      <c r="HZ226" s="507"/>
      <c r="IA226" s="507"/>
      <c r="IB226" s="507"/>
      <c r="IC226" s="507"/>
      <c r="ID226" s="507"/>
      <c r="IE226" s="507"/>
      <c r="IF226" s="507"/>
      <c r="IG226" s="495"/>
      <c r="IH226" s="495"/>
      <c r="II226" s="495"/>
      <c r="IJ226" s="495"/>
      <c r="IK226" s="507"/>
      <c r="IL226" s="2663"/>
      <c r="IM226" s="2664"/>
      <c r="IN226" s="2664"/>
      <c r="IO226" s="2664"/>
      <c r="IP226" s="2664"/>
      <c r="IQ226" s="2664"/>
      <c r="IR226" s="2664"/>
      <c r="IS226" s="2664"/>
      <c r="IT226" s="2664"/>
      <c r="IU226" s="2664"/>
      <c r="IV226" s="2664"/>
      <c r="IW226" s="2664"/>
      <c r="IX226" s="2664"/>
      <c r="IY226" s="2664"/>
      <c r="IZ226" s="2664"/>
      <c r="JA226" s="2664"/>
      <c r="JB226" s="2664"/>
      <c r="JC226" s="2664"/>
      <c r="JD226" s="2664"/>
      <c r="JE226" s="2664"/>
      <c r="JF226" s="2665"/>
      <c r="JG226" s="495"/>
      <c r="JH226" s="495"/>
      <c r="JI226" s="495"/>
      <c r="JJ226" s="495"/>
      <c r="JK226" s="495"/>
      <c r="JL226" s="495"/>
      <c r="JM226" s="495"/>
      <c r="JN226" s="495"/>
    </row>
    <row r="227" spans="30:274" ht="4.1500000000000004" customHeight="1">
      <c r="AD227" s="516"/>
      <c r="AF227" s="516"/>
      <c r="AW227" s="517"/>
      <c r="AX227" s="516"/>
      <c r="AZ227" s="516"/>
      <c r="BH227" s="517"/>
      <c r="BI227" s="517"/>
      <c r="CO227" s="517"/>
      <c r="CR227" s="516"/>
      <c r="EG227" s="517"/>
      <c r="EJ227" s="516"/>
      <c r="FY227" s="517"/>
      <c r="GA227" s="517"/>
      <c r="HM227" s="506"/>
      <c r="HN227" s="506"/>
      <c r="HO227" s="506"/>
      <c r="HP227" s="506"/>
      <c r="HQ227" s="506"/>
      <c r="HR227" s="495"/>
      <c r="HS227" s="495"/>
      <c r="HT227" s="495"/>
      <c r="HU227" s="495"/>
      <c r="HV227" s="507"/>
      <c r="HW227" s="507"/>
      <c r="HX227" s="507"/>
      <c r="HY227" s="507"/>
      <c r="HZ227" s="507"/>
      <c r="IA227" s="507"/>
      <c r="IB227" s="507"/>
      <c r="IC227" s="507"/>
      <c r="ID227" s="507"/>
      <c r="IE227" s="507"/>
      <c r="IF227" s="507"/>
      <c r="IG227" s="495"/>
      <c r="IH227" s="495"/>
      <c r="II227" s="495"/>
      <c r="IJ227" s="495"/>
      <c r="IK227" s="507"/>
      <c r="IL227" s="2663"/>
      <c r="IM227" s="2664"/>
      <c r="IN227" s="2664"/>
      <c r="IO227" s="2664"/>
      <c r="IP227" s="2664"/>
      <c r="IQ227" s="2664"/>
      <c r="IR227" s="2664"/>
      <c r="IS227" s="2664"/>
      <c r="IT227" s="2664"/>
      <c r="IU227" s="2664"/>
      <c r="IV227" s="2664"/>
      <c r="IW227" s="2664"/>
      <c r="IX227" s="2664"/>
      <c r="IY227" s="2664"/>
      <c r="IZ227" s="2664"/>
      <c r="JA227" s="2664"/>
      <c r="JB227" s="2664"/>
      <c r="JC227" s="2664"/>
      <c r="JD227" s="2664"/>
      <c r="JE227" s="2664"/>
      <c r="JF227" s="2665"/>
      <c r="JG227" s="495"/>
      <c r="JH227" s="495"/>
      <c r="JI227" s="495"/>
      <c r="JJ227" s="495"/>
      <c r="JK227" s="495"/>
      <c r="JL227" s="495"/>
      <c r="JM227" s="495"/>
      <c r="JN227" s="495"/>
    </row>
    <row r="228" spans="30:274" ht="4.1500000000000004" customHeight="1">
      <c r="AD228" s="516"/>
      <c r="AF228" s="516"/>
      <c r="AW228" s="517"/>
      <c r="AX228" s="516"/>
      <c r="AZ228" s="516"/>
      <c r="BH228" s="517"/>
      <c r="BI228" s="517"/>
      <c r="CO228" s="517"/>
      <c r="CR228" s="516"/>
      <c r="EG228" s="517"/>
      <c r="EJ228" s="516"/>
      <c r="FY228" s="517"/>
      <c r="GA228" s="517"/>
    </row>
    <row r="229" spans="30:274" ht="4.1500000000000004" customHeight="1">
      <c r="AD229" s="516"/>
      <c r="AF229" s="516"/>
      <c r="AW229" s="517"/>
      <c r="AX229" s="516"/>
      <c r="AZ229" s="516"/>
      <c r="BH229" s="517"/>
      <c r="BI229" s="517"/>
      <c r="CO229" s="517"/>
      <c r="CR229" s="516"/>
      <c r="EG229" s="517"/>
      <c r="EJ229" s="516"/>
      <c r="FY229" s="517"/>
      <c r="GA229" s="517"/>
    </row>
    <row r="230" spans="30:274" ht="4.1500000000000004" customHeight="1">
      <c r="AD230" s="516"/>
      <c r="AF230" s="516"/>
      <c r="AW230" s="517"/>
      <c r="AZ230" s="516"/>
      <c r="BH230" s="517"/>
      <c r="BI230" s="517"/>
      <c r="CO230" s="517"/>
      <c r="CR230" s="516"/>
      <c r="EG230" s="517"/>
      <c r="EJ230" s="516"/>
      <c r="FY230" s="517"/>
      <c r="GA230" s="517"/>
    </row>
    <row r="231" spans="30:274" ht="4.1500000000000004" customHeight="1">
      <c r="AD231" s="516"/>
      <c r="AF231" s="530"/>
      <c r="AG231" s="532"/>
      <c r="AH231" s="532"/>
      <c r="AI231" s="532"/>
      <c r="AJ231" s="532"/>
      <c r="AK231" s="532"/>
      <c r="AL231" s="532"/>
      <c r="AM231" s="532"/>
      <c r="AN231" s="532"/>
      <c r="AO231" s="532"/>
      <c r="AP231" s="532"/>
      <c r="AW231" s="517"/>
      <c r="AX231" s="516"/>
      <c r="AZ231" s="530"/>
      <c r="BA231" s="532"/>
      <c r="BB231" s="532"/>
      <c r="BC231" s="532"/>
      <c r="BD231" s="532"/>
      <c r="BE231" s="532"/>
      <c r="BF231" s="532"/>
      <c r="BG231" s="532"/>
      <c r="BH231" s="531"/>
      <c r="BI231" s="517"/>
      <c r="CO231" s="517"/>
      <c r="CR231" s="516"/>
      <c r="EG231" s="517"/>
      <c r="EJ231" s="516"/>
      <c r="FY231" s="517"/>
      <c r="GA231" s="517"/>
    </row>
    <row r="232" spans="30:274" ht="4.1500000000000004" customHeight="1">
      <c r="AD232" s="516"/>
      <c r="AF232" s="512"/>
      <c r="AG232" s="512"/>
      <c r="AH232" s="512"/>
      <c r="AI232" s="512"/>
      <c r="AJ232" s="512"/>
      <c r="AK232" s="512"/>
      <c r="AL232" s="512"/>
      <c r="AM232" s="512"/>
      <c r="AN232" s="512"/>
      <c r="AO232" s="512"/>
      <c r="AP232" s="514"/>
      <c r="AQ232" s="516"/>
      <c r="AX232" s="516"/>
      <c r="AZ232" s="532"/>
      <c r="BA232" s="532"/>
      <c r="BB232" s="532"/>
      <c r="BC232" s="532"/>
      <c r="BD232" s="532"/>
      <c r="BE232" s="532"/>
      <c r="BF232" s="532"/>
      <c r="BG232" s="532"/>
      <c r="BH232" s="532"/>
      <c r="BI232" s="531"/>
      <c r="CO232" s="517"/>
      <c r="CR232" s="516"/>
      <c r="EG232" s="517"/>
      <c r="EJ232" s="516"/>
      <c r="FY232" s="517"/>
      <c r="GA232" s="517"/>
    </row>
    <row r="233" spans="30:274" ht="4.1500000000000004" customHeight="1">
      <c r="AD233" s="516"/>
      <c r="AF233" s="515"/>
      <c r="AG233" s="514"/>
      <c r="AH233" s="514"/>
      <c r="AI233" s="514"/>
      <c r="AJ233" s="514"/>
      <c r="AK233" s="514"/>
      <c r="AL233" s="514"/>
      <c r="AM233" s="514"/>
      <c r="AN233" s="514"/>
      <c r="AO233" s="514"/>
      <c r="AP233" s="514"/>
      <c r="AW233" s="517"/>
      <c r="AX233" s="516"/>
      <c r="AZ233" s="516"/>
      <c r="CO233" s="517"/>
      <c r="CR233" s="516"/>
      <c r="EG233" s="517"/>
      <c r="EJ233" s="516"/>
      <c r="FY233" s="517"/>
      <c r="GA233" s="517"/>
    </row>
    <row r="234" spans="30:274" ht="4.1500000000000004" customHeight="1">
      <c r="AD234" s="516"/>
      <c r="AF234" s="516"/>
      <c r="AW234" s="517"/>
      <c r="AX234" s="516"/>
      <c r="AZ234" s="516"/>
      <c r="CO234" s="517"/>
      <c r="CR234" s="516"/>
      <c r="EG234" s="517"/>
      <c r="EJ234" s="516"/>
      <c r="FY234" s="517"/>
      <c r="GA234" s="517"/>
    </row>
    <row r="235" spans="30:274" ht="4.1500000000000004" customHeight="1">
      <c r="AD235" s="516"/>
      <c r="AF235" s="516"/>
      <c r="AW235" s="517"/>
      <c r="AX235" s="516"/>
      <c r="AZ235" s="516"/>
      <c r="CO235" s="517"/>
      <c r="CR235" s="516"/>
      <c r="EG235" s="517"/>
      <c r="EJ235" s="516"/>
      <c r="EO235" s="2637" t="s">
        <v>3607</v>
      </c>
      <c r="EP235" s="2637"/>
      <c r="EQ235" s="2637"/>
      <c r="ER235" s="2637"/>
      <c r="ES235" s="2637"/>
      <c r="ET235" s="2637"/>
      <c r="EU235" s="2637"/>
      <c r="EV235" s="2637"/>
      <c r="EW235" s="2637"/>
      <c r="EX235" s="2637"/>
      <c r="EY235" s="2637"/>
      <c r="EZ235" s="2637"/>
      <c r="FA235" s="2637"/>
      <c r="FB235" s="2637"/>
      <c r="FC235" s="2637"/>
      <c r="FD235" s="2637"/>
      <c r="FE235" s="2637"/>
      <c r="FF235" s="2637"/>
      <c r="FG235" s="2637"/>
      <c r="FH235" s="2637"/>
      <c r="FI235" s="2637"/>
      <c r="FJ235" s="2637"/>
      <c r="FK235" s="2637"/>
      <c r="FL235" s="2637"/>
      <c r="FM235" s="2637"/>
      <c r="FN235" s="2637"/>
      <c r="FO235" s="2637"/>
      <c r="FP235" s="2637"/>
      <c r="FY235" s="517"/>
      <c r="GA235" s="517"/>
    </row>
    <row r="236" spans="30:274" ht="4.1500000000000004" customHeight="1">
      <c r="AD236" s="516"/>
      <c r="AF236" s="516"/>
      <c r="AW236" s="517"/>
      <c r="AX236" s="516"/>
      <c r="AZ236" s="516"/>
      <c r="CO236" s="517"/>
      <c r="CR236" s="516"/>
      <c r="CX236" s="2637" t="s">
        <v>3605</v>
      </c>
      <c r="CY236" s="2637"/>
      <c r="CZ236" s="2637"/>
      <c r="DA236" s="2637"/>
      <c r="DB236" s="2637"/>
      <c r="DC236" s="2637"/>
      <c r="DD236" s="2637"/>
      <c r="DE236" s="2637"/>
      <c r="DF236" s="2637"/>
      <c r="DG236" s="2637"/>
      <c r="DH236" s="2637"/>
      <c r="DI236" s="2637"/>
      <c r="DJ236" s="2637"/>
      <c r="DK236" s="2637"/>
      <c r="DL236" s="2637"/>
      <c r="DM236" s="2637"/>
      <c r="DN236" s="2637"/>
      <c r="DO236" s="2637"/>
      <c r="DP236" s="2637"/>
      <c r="DQ236" s="2637"/>
      <c r="DR236" s="2637"/>
      <c r="DS236" s="2637"/>
      <c r="DT236" s="2637"/>
      <c r="DU236" s="2637"/>
      <c r="DV236" s="2637"/>
      <c r="DW236" s="2637"/>
      <c r="DX236" s="2637"/>
      <c r="DY236" s="2637"/>
      <c r="EG236" s="517"/>
      <c r="EJ236" s="516"/>
      <c r="EO236" s="2637"/>
      <c r="EP236" s="2637"/>
      <c r="EQ236" s="2637"/>
      <c r="ER236" s="2637"/>
      <c r="ES236" s="2637"/>
      <c r="ET236" s="2637"/>
      <c r="EU236" s="2637"/>
      <c r="EV236" s="2637"/>
      <c r="EW236" s="2637"/>
      <c r="EX236" s="2637"/>
      <c r="EY236" s="2637"/>
      <c r="EZ236" s="2637"/>
      <c r="FA236" s="2637"/>
      <c r="FB236" s="2637"/>
      <c r="FC236" s="2637"/>
      <c r="FD236" s="2637"/>
      <c r="FE236" s="2637"/>
      <c r="FF236" s="2637"/>
      <c r="FG236" s="2637"/>
      <c r="FH236" s="2637"/>
      <c r="FI236" s="2637"/>
      <c r="FJ236" s="2637"/>
      <c r="FK236" s="2637"/>
      <c r="FL236" s="2637"/>
      <c r="FM236" s="2637"/>
      <c r="FN236" s="2637"/>
      <c r="FO236" s="2637"/>
      <c r="FP236" s="2637"/>
      <c r="FY236" s="517"/>
      <c r="GA236" s="517"/>
      <c r="GB236" s="496"/>
      <c r="GC236" s="496"/>
      <c r="GD236" s="496"/>
      <c r="GE236" s="496"/>
      <c r="GF236" s="496"/>
      <c r="GG236" s="496"/>
      <c r="GH236" s="496"/>
      <c r="GI236" s="496"/>
      <c r="GJ236" s="496"/>
      <c r="GK236" s="496"/>
      <c r="GL236" s="496"/>
      <c r="GM236" s="496"/>
      <c r="GN236" s="496"/>
      <c r="GO236" s="496"/>
      <c r="GP236" s="496"/>
      <c r="GQ236" s="496"/>
      <c r="GR236" s="496"/>
      <c r="GS236" s="496"/>
      <c r="GT236" s="496"/>
      <c r="GU236" s="496"/>
      <c r="GV236" s="496"/>
      <c r="GW236" s="496"/>
      <c r="GX236" s="496"/>
      <c r="GY236" s="496"/>
      <c r="GZ236" s="496"/>
      <c r="HA236" s="496"/>
      <c r="HB236" s="496"/>
      <c r="HC236" s="496"/>
      <c r="HD236" s="496"/>
      <c r="HE236" s="496"/>
      <c r="HF236" s="496"/>
      <c r="HG236" s="496"/>
      <c r="HH236" s="496"/>
      <c r="HI236" s="496"/>
      <c r="HJ236" s="496"/>
      <c r="HK236" s="496"/>
      <c r="HL236" s="496"/>
      <c r="HM236" s="496"/>
      <c r="HN236" s="496"/>
      <c r="HO236" s="496"/>
      <c r="HP236" s="496"/>
      <c r="HQ236" s="496"/>
      <c r="HR236" s="496"/>
      <c r="HS236" s="496"/>
      <c r="HT236" s="496"/>
      <c r="HU236" s="496"/>
      <c r="HV236" s="496"/>
      <c r="HW236" s="496"/>
      <c r="HX236" s="496"/>
      <c r="HY236" s="496"/>
      <c r="HZ236" s="496"/>
      <c r="IA236" s="496"/>
      <c r="IB236" s="496"/>
      <c r="IC236" s="496"/>
      <c r="ID236" s="496"/>
      <c r="IE236" s="496"/>
      <c r="IF236" s="496"/>
      <c r="IG236" s="496"/>
      <c r="IH236" s="496"/>
      <c r="II236" s="496"/>
      <c r="IJ236" s="496"/>
      <c r="IK236" s="496"/>
      <c r="IL236" s="496"/>
      <c r="IM236" s="496"/>
      <c r="IN236" s="496"/>
      <c r="IO236" s="496"/>
    </row>
    <row r="237" spans="30:274" ht="4.1500000000000004" customHeight="1">
      <c r="AD237" s="516"/>
      <c r="AF237" s="516"/>
      <c r="AP237" s="532"/>
      <c r="AW237" s="517"/>
      <c r="AX237" s="516"/>
      <c r="AZ237" s="516"/>
      <c r="BG237" s="2637" t="s">
        <v>3497</v>
      </c>
      <c r="BH237" s="2637"/>
      <c r="BI237" s="2637"/>
      <c r="BJ237" s="2637"/>
      <c r="BK237" s="2637"/>
      <c r="BL237" s="2637"/>
      <c r="BM237" s="2637"/>
      <c r="BN237" s="2637"/>
      <c r="BO237" s="2637"/>
      <c r="BP237" s="2637"/>
      <c r="BQ237" s="2637"/>
      <c r="BR237" s="2637"/>
      <c r="BS237" s="2637"/>
      <c r="BT237" s="2637"/>
      <c r="BU237" s="2637"/>
      <c r="BV237" s="2637"/>
      <c r="BW237" s="2637"/>
      <c r="BX237" s="2637"/>
      <c r="BY237" s="2637"/>
      <c r="BZ237" s="2637"/>
      <c r="CA237" s="2637"/>
      <c r="CB237" s="2637"/>
      <c r="CC237" s="2637"/>
      <c r="CD237" s="2637"/>
      <c r="CE237" s="2637"/>
      <c r="CF237" s="2637"/>
      <c r="CG237" s="2637"/>
      <c r="CH237" s="2637"/>
      <c r="CO237" s="517"/>
      <c r="CR237" s="516"/>
      <c r="CX237" s="2637"/>
      <c r="CY237" s="2637"/>
      <c r="CZ237" s="2637"/>
      <c r="DA237" s="2637"/>
      <c r="DB237" s="2637"/>
      <c r="DC237" s="2637"/>
      <c r="DD237" s="2637"/>
      <c r="DE237" s="2637"/>
      <c r="DF237" s="2637"/>
      <c r="DG237" s="2637"/>
      <c r="DH237" s="2637"/>
      <c r="DI237" s="2637"/>
      <c r="DJ237" s="2637"/>
      <c r="DK237" s="2637"/>
      <c r="DL237" s="2637"/>
      <c r="DM237" s="2637"/>
      <c r="DN237" s="2637"/>
      <c r="DO237" s="2637"/>
      <c r="DP237" s="2637"/>
      <c r="DQ237" s="2637"/>
      <c r="DR237" s="2637"/>
      <c r="DS237" s="2637"/>
      <c r="DT237" s="2637"/>
      <c r="DU237" s="2637"/>
      <c r="DV237" s="2637"/>
      <c r="DW237" s="2637"/>
      <c r="DX237" s="2637"/>
      <c r="DY237" s="2637"/>
      <c r="EG237" s="517"/>
      <c r="EJ237" s="516"/>
      <c r="EO237" s="2637"/>
      <c r="EP237" s="2637"/>
      <c r="EQ237" s="2637"/>
      <c r="ER237" s="2637"/>
      <c r="ES237" s="2637"/>
      <c r="ET237" s="2637"/>
      <c r="EU237" s="2637"/>
      <c r="EV237" s="2637"/>
      <c r="EW237" s="2637"/>
      <c r="EX237" s="2637"/>
      <c r="EY237" s="2637"/>
      <c r="EZ237" s="2637"/>
      <c r="FA237" s="2637"/>
      <c r="FB237" s="2637"/>
      <c r="FC237" s="2637"/>
      <c r="FD237" s="2637"/>
      <c r="FE237" s="2637"/>
      <c r="FF237" s="2637"/>
      <c r="FG237" s="2637"/>
      <c r="FH237" s="2637"/>
      <c r="FI237" s="2637"/>
      <c r="FJ237" s="2637"/>
      <c r="FK237" s="2637"/>
      <c r="FL237" s="2637"/>
      <c r="FM237" s="2637"/>
      <c r="FN237" s="2637"/>
      <c r="FO237" s="2637"/>
      <c r="FP237" s="2637"/>
      <c r="FY237" s="517"/>
      <c r="GA237" s="517"/>
      <c r="GB237" s="496"/>
      <c r="GC237" s="496"/>
      <c r="GD237" s="496"/>
      <c r="GE237" s="496"/>
      <c r="GF237" s="496"/>
      <c r="GG237" s="496"/>
      <c r="GH237" s="496"/>
      <c r="GI237" s="496"/>
      <c r="GJ237" s="496"/>
      <c r="GK237" s="496"/>
      <c r="GL237" s="496"/>
      <c r="GM237" s="496"/>
      <c r="GN237" s="496"/>
      <c r="GO237" s="496"/>
      <c r="GP237" s="496"/>
      <c r="GQ237" s="496"/>
      <c r="GR237" s="496"/>
      <c r="GS237" s="496"/>
      <c r="GT237" s="496"/>
      <c r="GU237" s="496"/>
      <c r="GV237" s="496"/>
      <c r="GW237" s="496"/>
      <c r="GX237" s="496"/>
      <c r="GY237" s="496"/>
      <c r="GZ237" s="496"/>
      <c r="HA237" s="496"/>
      <c r="HB237" s="496"/>
      <c r="HC237" s="496"/>
      <c r="HD237" s="496"/>
      <c r="HE237" s="496"/>
      <c r="HF237" s="496"/>
      <c r="HG237" s="496"/>
      <c r="HH237" s="496"/>
      <c r="HI237" s="496"/>
      <c r="HJ237" s="496"/>
      <c r="HK237" s="496"/>
      <c r="HL237" s="496"/>
      <c r="HM237" s="496"/>
      <c r="HN237" s="496"/>
      <c r="HO237" s="496"/>
      <c r="HP237" s="496"/>
      <c r="HQ237" s="496"/>
      <c r="HR237" s="496"/>
      <c r="HS237" s="496"/>
      <c r="HT237" s="496"/>
      <c r="HU237" s="496"/>
      <c r="HV237" s="496"/>
      <c r="HW237" s="496"/>
      <c r="HX237" s="496"/>
      <c r="HY237" s="496"/>
      <c r="HZ237" s="496"/>
      <c r="IA237" s="496"/>
      <c r="IB237" s="496"/>
      <c r="IC237" s="496"/>
      <c r="ID237" s="496"/>
      <c r="IE237" s="496"/>
      <c r="IF237" s="496"/>
      <c r="IG237" s="496"/>
      <c r="IH237" s="496"/>
      <c r="II237" s="496"/>
      <c r="IJ237" s="496"/>
      <c r="IK237" s="496"/>
      <c r="IL237" s="496"/>
      <c r="IM237" s="496"/>
      <c r="IN237" s="496"/>
      <c r="IO237" s="496"/>
    </row>
    <row r="238" spans="30:274" ht="4.1500000000000004" customHeight="1">
      <c r="AD238" s="516"/>
      <c r="AF238" s="516"/>
      <c r="AO238" s="517"/>
      <c r="AP238" s="526"/>
      <c r="AQ238" s="516"/>
      <c r="AW238" s="517"/>
      <c r="AX238" s="516"/>
      <c r="AZ238" s="516"/>
      <c r="BG238" s="2637"/>
      <c r="BH238" s="2637"/>
      <c r="BI238" s="2637"/>
      <c r="BJ238" s="2637"/>
      <c r="BK238" s="2637"/>
      <c r="BL238" s="2637"/>
      <c r="BM238" s="2637"/>
      <c r="BN238" s="2637"/>
      <c r="BO238" s="2637"/>
      <c r="BP238" s="2637"/>
      <c r="BQ238" s="2637"/>
      <c r="BR238" s="2637"/>
      <c r="BS238" s="2637"/>
      <c r="BT238" s="2637"/>
      <c r="BU238" s="2637"/>
      <c r="BV238" s="2637"/>
      <c r="BW238" s="2637"/>
      <c r="BX238" s="2637"/>
      <c r="BY238" s="2637"/>
      <c r="BZ238" s="2637"/>
      <c r="CA238" s="2637"/>
      <c r="CB238" s="2637"/>
      <c r="CC238" s="2637"/>
      <c r="CD238" s="2637"/>
      <c r="CE238" s="2637"/>
      <c r="CF238" s="2637"/>
      <c r="CG238" s="2637"/>
      <c r="CH238" s="2637"/>
      <c r="CO238" s="517"/>
      <c r="CR238" s="516"/>
      <c r="CX238" s="2637"/>
      <c r="CY238" s="2637"/>
      <c r="CZ238" s="2637"/>
      <c r="DA238" s="2637"/>
      <c r="DB238" s="2637"/>
      <c r="DC238" s="2637"/>
      <c r="DD238" s="2637"/>
      <c r="DE238" s="2637"/>
      <c r="DF238" s="2637"/>
      <c r="DG238" s="2637"/>
      <c r="DH238" s="2637"/>
      <c r="DI238" s="2637"/>
      <c r="DJ238" s="2637"/>
      <c r="DK238" s="2637"/>
      <c r="DL238" s="2637"/>
      <c r="DM238" s="2637"/>
      <c r="DN238" s="2637"/>
      <c r="DO238" s="2637"/>
      <c r="DP238" s="2637"/>
      <c r="DQ238" s="2637"/>
      <c r="DR238" s="2637"/>
      <c r="DS238" s="2637"/>
      <c r="DT238" s="2637"/>
      <c r="DU238" s="2637"/>
      <c r="DV238" s="2637"/>
      <c r="DW238" s="2637"/>
      <c r="DX238" s="2637"/>
      <c r="DY238" s="2637"/>
      <c r="EG238" s="517"/>
      <c r="EJ238" s="516"/>
      <c r="EO238" s="2637"/>
      <c r="EP238" s="2637"/>
      <c r="EQ238" s="2637"/>
      <c r="ER238" s="2637"/>
      <c r="ES238" s="2637"/>
      <c r="ET238" s="2637"/>
      <c r="EU238" s="2637"/>
      <c r="EV238" s="2637"/>
      <c r="EW238" s="2637"/>
      <c r="EX238" s="2637"/>
      <c r="EY238" s="2637"/>
      <c r="EZ238" s="2637"/>
      <c r="FA238" s="2637"/>
      <c r="FB238" s="2637"/>
      <c r="FC238" s="2637"/>
      <c r="FD238" s="2637"/>
      <c r="FE238" s="2637"/>
      <c r="FF238" s="2637"/>
      <c r="FG238" s="2637"/>
      <c r="FH238" s="2637"/>
      <c r="FI238" s="2637"/>
      <c r="FJ238" s="2637"/>
      <c r="FK238" s="2637"/>
      <c r="FL238" s="2637"/>
      <c r="FM238" s="2637"/>
      <c r="FN238" s="2637"/>
      <c r="FO238" s="2637"/>
      <c r="FP238" s="2637"/>
      <c r="FY238" s="517"/>
      <c r="GA238" s="517"/>
      <c r="GB238" s="496"/>
      <c r="GC238" s="496"/>
      <c r="GD238" s="496"/>
      <c r="GE238" s="496"/>
      <c r="GF238" s="496"/>
      <c r="GG238" s="496"/>
      <c r="GH238" s="496"/>
      <c r="GI238" s="496"/>
      <c r="GJ238" s="496"/>
      <c r="GK238" s="496"/>
      <c r="GL238" s="496"/>
      <c r="GM238" s="496"/>
      <c r="GN238" s="496"/>
      <c r="GO238" s="496"/>
      <c r="GP238" s="496"/>
      <c r="GQ238" s="496"/>
      <c r="GR238" s="496"/>
      <c r="GS238" s="496"/>
      <c r="GT238" s="496"/>
      <c r="GU238" s="496"/>
      <c r="GV238" s="496"/>
      <c r="GW238" s="496"/>
      <c r="GX238" s="496"/>
      <c r="GY238" s="496"/>
      <c r="GZ238" s="496"/>
      <c r="HA238" s="496"/>
      <c r="HB238" s="496"/>
      <c r="HC238" s="496"/>
      <c r="HD238" s="496"/>
      <c r="HE238" s="496"/>
      <c r="HF238" s="496"/>
      <c r="HG238" s="496"/>
      <c r="HH238" s="496"/>
      <c r="HI238" s="496"/>
      <c r="HJ238" s="496"/>
      <c r="HK238" s="496"/>
      <c r="HL238" s="496"/>
      <c r="HM238" s="496"/>
      <c r="HN238" s="496"/>
      <c r="HO238" s="496"/>
      <c r="HP238" s="496"/>
      <c r="HQ238" s="496"/>
      <c r="HR238" s="496"/>
      <c r="HS238" s="496"/>
      <c r="HT238" s="496"/>
      <c r="HU238" s="496"/>
      <c r="HV238" s="496"/>
      <c r="HW238" s="496"/>
      <c r="HX238" s="496"/>
      <c r="HY238" s="496"/>
      <c r="HZ238" s="496"/>
      <c r="IA238" s="496"/>
      <c r="IB238" s="496"/>
      <c r="IC238" s="496"/>
      <c r="ID238" s="496"/>
      <c r="IE238" s="496"/>
      <c r="IF238" s="496"/>
      <c r="IG238" s="496"/>
      <c r="IH238" s="496"/>
      <c r="II238" s="496"/>
      <c r="IJ238" s="496"/>
      <c r="IK238" s="496"/>
      <c r="IL238" s="496"/>
      <c r="IM238" s="496"/>
      <c r="IN238" s="496"/>
      <c r="IO238" s="496"/>
    </row>
    <row r="239" spans="30:274" ht="4.1500000000000004" customHeight="1">
      <c r="AD239" s="516"/>
      <c r="AF239" s="530"/>
      <c r="AG239" s="532"/>
      <c r="AH239" s="532"/>
      <c r="AI239" s="532"/>
      <c r="AJ239" s="532"/>
      <c r="AK239" s="532"/>
      <c r="AL239" s="532"/>
      <c r="AM239" s="532"/>
      <c r="AN239" s="532"/>
      <c r="AO239" s="531"/>
      <c r="AP239" s="526"/>
      <c r="AQ239" s="516"/>
      <c r="AW239" s="517"/>
      <c r="AX239" s="516"/>
      <c r="AZ239" s="516"/>
      <c r="BG239" s="2637"/>
      <c r="BH239" s="2637"/>
      <c r="BI239" s="2637"/>
      <c r="BJ239" s="2637"/>
      <c r="BK239" s="2637"/>
      <c r="BL239" s="2637"/>
      <c r="BM239" s="2637"/>
      <c r="BN239" s="2637"/>
      <c r="BO239" s="2637"/>
      <c r="BP239" s="2637"/>
      <c r="BQ239" s="2637"/>
      <c r="BR239" s="2637"/>
      <c r="BS239" s="2637"/>
      <c r="BT239" s="2637"/>
      <c r="BU239" s="2637"/>
      <c r="BV239" s="2637"/>
      <c r="BW239" s="2637"/>
      <c r="BX239" s="2637"/>
      <c r="BY239" s="2637"/>
      <c r="BZ239" s="2637"/>
      <c r="CA239" s="2637"/>
      <c r="CB239" s="2637"/>
      <c r="CC239" s="2637"/>
      <c r="CD239" s="2637"/>
      <c r="CE239" s="2637"/>
      <c r="CF239" s="2637"/>
      <c r="CG239" s="2637"/>
      <c r="CH239" s="2637"/>
      <c r="CO239" s="517"/>
      <c r="CR239" s="516"/>
      <c r="CX239" s="2637"/>
      <c r="CY239" s="2637"/>
      <c r="CZ239" s="2637"/>
      <c r="DA239" s="2637"/>
      <c r="DB239" s="2637"/>
      <c r="DC239" s="2637"/>
      <c r="DD239" s="2637"/>
      <c r="DE239" s="2637"/>
      <c r="DF239" s="2637"/>
      <c r="DG239" s="2637"/>
      <c r="DH239" s="2637"/>
      <c r="DI239" s="2637"/>
      <c r="DJ239" s="2637"/>
      <c r="DK239" s="2637"/>
      <c r="DL239" s="2637"/>
      <c r="DM239" s="2637"/>
      <c r="DN239" s="2637"/>
      <c r="DO239" s="2637"/>
      <c r="DP239" s="2637"/>
      <c r="DQ239" s="2637"/>
      <c r="DR239" s="2637"/>
      <c r="DS239" s="2637"/>
      <c r="DT239" s="2637"/>
      <c r="DU239" s="2637"/>
      <c r="DV239" s="2637"/>
      <c r="DW239" s="2637"/>
      <c r="DX239" s="2637"/>
      <c r="DY239" s="2637"/>
      <c r="EG239" s="517"/>
      <c r="EJ239" s="516"/>
      <c r="EO239" s="2636">
        <v>7</v>
      </c>
      <c r="EP239" s="2636"/>
      <c r="EQ239" s="2636"/>
      <c r="ER239" s="2636"/>
      <c r="ES239" s="2636"/>
      <c r="ET239" s="2636"/>
      <c r="EU239" s="2636"/>
      <c r="EV239" s="2636"/>
      <c r="EW239" s="2636"/>
      <c r="EX239" s="2636"/>
      <c r="EY239" s="2636"/>
      <c r="EZ239" s="2636"/>
      <c r="FA239" s="2636" t="s">
        <v>901</v>
      </c>
      <c r="FB239" s="2636"/>
      <c r="FC239" s="2636"/>
      <c r="FD239" s="2636"/>
      <c r="FE239" s="2636">
        <v>7</v>
      </c>
      <c r="FF239" s="2636"/>
      <c r="FG239" s="2636"/>
      <c r="FH239" s="2636"/>
      <c r="FI239" s="2636"/>
      <c r="FJ239" s="2636"/>
      <c r="FK239" s="2636"/>
      <c r="FL239" s="2636"/>
      <c r="FM239" s="2636"/>
      <c r="FN239" s="2636"/>
      <c r="FO239" s="2636"/>
      <c r="FP239" s="2636"/>
      <c r="FY239" s="517"/>
      <c r="GA239" s="517"/>
      <c r="GB239" s="496"/>
      <c r="GC239" s="496"/>
      <c r="GD239" s="496"/>
      <c r="GE239" s="496"/>
      <c r="GF239" s="496"/>
      <c r="GG239" s="496"/>
      <c r="GH239" s="496"/>
      <c r="GI239" s="496"/>
      <c r="GJ239" s="496"/>
      <c r="GK239" s="496"/>
      <c r="GL239" s="496"/>
      <c r="GM239" s="496"/>
      <c r="GN239" s="496"/>
      <c r="GO239" s="496"/>
      <c r="GP239" s="496"/>
      <c r="GQ239" s="496"/>
      <c r="GR239" s="496"/>
      <c r="GS239" s="496"/>
      <c r="GT239" s="496"/>
      <c r="GU239" s="496"/>
      <c r="GV239" s="496"/>
      <c r="GW239" s="496"/>
      <c r="GX239" s="496"/>
      <c r="GY239" s="496"/>
      <c r="GZ239" s="496"/>
      <c r="HA239" s="496"/>
      <c r="HB239" s="496"/>
      <c r="HC239" s="496"/>
      <c r="HD239" s="496"/>
      <c r="HE239" s="496"/>
      <c r="HF239" s="496"/>
      <c r="HG239" s="496"/>
      <c r="HH239" s="496"/>
      <c r="HI239" s="496"/>
      <c r="HJ239" s="496"/>
      <c r="HK239" s="496"/>
      <c r="HL239" s="496"/>
      <c r="HM239" s="496"/>
      <c r="HN239" s="496"/>
      <c r="HO239" s="496"/>
      <c r="HP239" s="496"/>
      <c r="HQ239" s="496"/>
      <c r="HR239" s="496"/>
      <c r="HS239" s="496"/>
      <c r="HT239" s="496"/>
      <c r="HU239" s="496"/>
      <c r="HV239" s="496"/>
      <c r="HW239" s="496"/>
      <c r="HX239" s="496"/>
      <c r="HY239" s="496"/>
      <c r="HZ239" s="496"/>
      <c r="IA239" s="496"/>
      <c r="IB239" s="496"/>
      <c r="IC239" s="496"/>
      <c r="ID239" s="496"/>
      <c r="IE239" s="496"/>
      <c r="IF239" s="496"/>
      <c r="IG239" s="496"/>
      <c r="IH239" s="496"/>
      <c r="II239" s="496"/>
      <c r="IJ239" s="496"/>
      <c r="IK239" s="496"/>
      <c r="IL239" s="496"/>
      <c r="IM239" s="496"/>
      <c r="IN239" s="496"/>
      <c r="IO239" s="496"/>
    </row>
    <row r="240" spans="30:274" ht="4.1500000000000004" customHeight="1">
      <c r="AD240" s="516"/>
      <c r="AP240" s="517"/>
      <c r="AW240" s="517"/>
      <c r="AX240" s="519"/>
      <c r="AY240" s="521"/>
      <c r="AZ240" s="516"/>
      <c r="BG240" s="2637"/>
      <c r="BH240" s="2637"/>
      <c r="BI240" s="2637"/>
      <c r="BJ240" s="2637"/>
      <c r="BK240" s="2637"/>
      <c r="BL240" s="2637"/>
      <c r="BM240" s="2637"/>
      <c r="BN240" s="2637"/>
      <c r="BO240" s="2637"/>
      <c r="BP240" s="2637"/>
      <c r="BQ240" s="2637"/>
      <c r="BR240" s="2637"/>
      <c r="BS240" s="2637"/>
      <c r="BT240" s="2637"/>
      <c r="BU240" s="2637"/>
      <c r="BV240" s="2637"/>
      <c r="BW240" s="2637"/>
      <c r="BX240" s="2637"/>
      <c r="BY240" s="2637"/>
      <c r="BZ240" s="2637"/>
      <c r="CA240" s="2637"/>
      <c r="CB240" s="2637"/>
      <c r="CC240" s="2637"/>
      <c r="CD240" s="2637"/>
      <c r="CE240" s="2637"/>
      <c r="CF240" s="2637"/>
      <c r="CG240" s="2637"/>
      <c r="CH240" s="2637"/>
      <c r="CO240" s="517"/>
      <c r="CP240" s="519"/>
      <c r="CQ240" s="521"/>
      <c r="CR240" s="516"/>
      <c r="CX240" s="2636">
        <v>7</v>
      </c>
      <c r="CY240" s="2636"/>
      <c r="CZ240" s="2636"/>
      <c r="DA240" s="2636"/>
      <c r="DB240" s="2636"/>
      <c r="DC240" s="2636"/>
      <c r="DD240" s="2636"/>
      <c r="DE240" s="2636"/>
      <c r="DF240" s="2636"/>
      <c r="DG240" s="2636"/>
      <c r="DH240" s="2636"/>
      <c r="DI240" s="2636"/>
      <c r="DJ240" s="2636" t="s">
        <v>901</v>
      </c>
      <c r="DK240" s="2636"/>
      <c r="DL240" s="2636"/>
      <c r="DM240" s="2636"/>
      <c r="DN240" s="2636">
        <v>7</v>
      </c>
      <c r="DO240" s="2636"/>
      <c r="DP240" s="2636"/>
      <c r="DQ240" s="2636"/>
      <c r="DR240" s="2636"/>
      <c r="DS240" s="2636"/>
      <c r="DT240" s="2636"/>
      <c r="DU240" s="2636"/>
      <c r="DV240" s="2636"/>
      <c r="DW240" s="2636"/>
      <c r="DX240" s="2636"/>
      <c r="DY240" s="2636"/>
      <c r="EG240" s="517"/>
      <c r="EH240" s="519"/>
      <c r="EI240" s="521"/>
      <c r="EJ240" s="516"/>
      <c r="EO240" s="2636"/>
      <c r="EP240" s="2636"/>
      <c r="EQ240" s="2636"/>
      <c r="ER240" s="2636"/>
      <c r="ES240" s="2636"/>
      <c r="ET240" s="2636"/>
      <c r="EU240" s="2636"/>
      <c r="EV240" s="2636"/>
      <c r="EW240" s="2636"/>
      <c r="EX240" s="2636"/>
      <c r="EY240" s="2636"/>
      <c r="EZ240" s="2636"/>
      <c r="FA240" s="2636"/>
      <c r="FB240" s="2636"/>
      <c r="FC240" s="2636"/>
      <c r="FD240" s="2636"/>
      <c r="FE240" s="2636"/>
      <c r="FF240" s="2636"/>
      <c r="FG240" s="2636"/>
      <c r="FH240" s="2636"/>
      <c r="FI240" s="2636"/>
      <c r="FJ240" s="2636"/>
      <c r="FK240" s="2636"/>
      <c r="FL240" s="2636"/>
      <c r="FM240" s="2636"/>
      <c r="FN240" s="2636"/>
      <c r="FO240" s="2636"/>
      <c r="FP240" s="2636"/>
      <c r="FY240" s="517"/>
      <c r="FZ240" s="519"/>
      <c r="GA240" s="521"/>
      <c r="GB240" s="496"/>
      <c r="GC240" s="496"/>
      <c r="GD240" s="496"/>
      <c r="GE240" s="496"/>
      <c r="GF240" s="496"/>
      <c r="GG240" s="496"/>
      <c r="GH240" s="496"/>
      <c r="GI240" s="496"/>
      <c r="GJ240" s="496"/>
      <c r="GK240" s="496"/>
      <c r="GL240" s="496"/>
      <c r="GM240" s="496"/>
      <c r="GN240" s="496"/>
      <c r="GO240" s="496"/>
      <c r="GP240" s="496"/>
      <c r="GQ240" s="496"/>
      <c r="GR240" s="496"/>
      <c r="GS240" s="496"/>
      <c r="GT240" s="496"/>
      <c r="GU240" s="496"/>
      <c r="GV240" s="496"/>
      <c r="GW240" s="496"/>
      <c r="GX240" s="496"/>
      <c r="GY240" s="496"/>
      <c r="GZ240" s="496"/>
      <c r="HA240" s="496"/>
      <c r="HB240" s="496"/>
      <c r="HC240" s="496"/>
      <c r="HD240" s="496"/>
      <c r="HE240" s="496"/>
      <c r="HF240" s="496"/>
      <c r="HG240" s="496"/>
      <c r="HH240" s="496"/>
      <c r="HI240" s="496"/>
      <c r="HJ240" s="496"/>
      <c r="HK240" s="496"/>
      <c r="HL240" s="496"/>
      <c r="HM240" s="496"/>
      <c r="HN240" s="496"/>
      <c r="HO240" s="496"/>
    </row>
    <row r="241" spans="30:316" ht="4.1500000000000004" customHeight="1">
      <c r="AD241" s="516"/>
      <c r="AF241" s="515"/>
      <c r="AG241" s="514"/>
      <c r="AH241" s="514"/>
      <c r="AI241" s="514"/>
      <c r="AJ241" s="514"/>
      <c r="AK241" s="514"/>
      <c r="AL241" s="514"/>
      <c r="AM241" s="514"/>
      <c r="AN241" s="514"/>
      <c r="AO241" s="518"/>
      <c r="AP241" s="526"/>
      <c r="AQ241" s="516"/>
      <c r="AW241" s="517"/>
      <c r="AX241" s="527"/>
      <c r="AY241" s="529"/>
      <c r="AZ241" s="516"/>
      <c r="BG241" s="2636">
        <v>7</v>
      </c>
      <c r="BH241" s="2636"/>
      <c r="BI241" s="2636"/>
      <c r="BJ241" s="2636"/>
      <c r="BK241" s="2636"/>
      <c r="BL241" s="2636"/>
      <c r="BM241" s="2636"/>
      <c r="BN241" s="2636"/>
      <c r="BO241" s="2636"/>
      <c r="BP241" s="2636"/>
      <c r="BQ241" s="2636"/>
      <c r="BR241" s="2636"/>
      <c r="BS241" s="2636" t="s">
        <v>901</v>
      </c>
      <c r="BT241" s="2636"/>
      <c r="BU241" s="2636"/>
      <c r="BV241" s="2636"/>
      <c r="BW241" s="2636">
        <v>7</v>
      </c>
      <c r="BX241" s="2636"/>
      <c r="BY241" s="2636"/>
      <c r="BZ241" s="2636"/>
      <c r="CA241" s="2636"/>
      <c r="CB241" s="2636"/>
      <c r="CC241" s="2636"/>
      <c r="CD241" s="2636"/>
      <c r="CE241" s="2636"/>
      <c r="CF241" s="2636"/>
      <c r="CG241" s="2636"/>
      <c r="CH241" s="2636"/>
      <c r="CO241" s="517"/>
      <c r="CP241" s="527"/>
      <c r="CQ241" s="529"/>
      <c r="CR241" s="516"/>
      <c r="CX241" s="2636"/>
      <c r="CY241" s="2636"/>
      <c r="CZ241" s="2636"/>
      <c r="DA241" s="2636"/>
      <c r="DB241" s="2636"/>
      <c r="DC241" s="2636"/>
      <c r="DD241" s="2636"/>
      <c r="DE241" s="2636"/>
      <c r="DF241" s="2636"/>
      <c r="DG241" s="2636"/>
      <c r="DH241" s="2636"/>
      <c r="DI241" s="2636"/>
      <c r="DJ241" s="2636"/>
      <c r="DK241" s="2636"/>
      <c r="DL241" s="2636"/>
      <c r="DM241" s="2636"/>
      <c r="DN241" s="2636"/>
      <c r="DO241" s="2636"/>
      <c r="DP241" s="2636"/>
      <c r="DQ241" s="2636"/>
      <c r="DR241" s="2636"/>
      <c r="DS241" s="2636"/>
      <c r="DT241" s="2636"/>
      <c r="DU241" s="2636"/>
      <c r="DV241" s="2636"/>
      <c r="DW241" s="2636"/>
      <c r="DX241" s="2636"/>
      <c r="DY241" s="2636"/>
      <c r="EG241" s="517"/>
      <c r="EH241" s="527"/>
      <c r="EI241" s="529"/>
      <c r="EJ241" s="516"/>
      <c r="EO241" s="2636"/>
      <c r="EP241" s="2636"/>
      <c r="EQ241" s="2636"/>
      <c r="ER241" s="2636"/>
      <c r="ES241" s="2636"/>
      <c r="ET241" s="2636"/>
      <c r="EU241" s="2636"/>
      <c r="EV241" s="2636"/>
      <c r="EW241" s="2636"/>
      <c r="EX241" s="2636"/>
      <c r="EY241" s="2636"/>
      <c r="EZ241" s="2636"/>
      <c r="FA241" s="2636"/>
      <c r="FB241" s="2636"/>
      <c r="FC241" s="2636"/>
      <c r="FD241" s="2636"/>
      <c r="FE241" s="2636"/>
      <c r="FF241" s="2636"/>
      <c r="FG241" s="2636"/>
      <c r="FH241" s="2636"/>
      <c r="FI241" s="2636"/>
      <c r="FJ241" s="2636"/>
      <c r="FK241" s="2636"/>
      <c r="FL241" s="2636"/>
      <c r="FM241" s="2636"/>
      <c r="FN241" s="2636"/>
      <c r="FO241" s="2636"/>
      <c r="FP241" s="2636"/>
      <c r="FY241" s="517"/>
      <c r="FZ241" s="527"/>
      <c r="GA241" s="529"/>
      <c r="GB241" s="496"/>
      <c r="GC241" s="496"/>
      <c r="GD241" s="496"/>
      <c r="GE241" s="496"/>
      <c r="GF241" s="496"/>
      <c r="GG241" s="496"/>
      <c r="GH241" s="496"/>
      <c r="GI241" s="496"/>
      <c r="GJ241" s="496"/>
      <c r="GK241" s="496"/>
      <c r="GL241" s="496"/>
      <c r="GM241" s="496"/>
      <c r="GN241" s="496"/>
      <c r="GO241" s="496"/>
      <c r="GP241" s="496"/>
      <c r="GQ241" s="496"/>
      <c r="GR241" s="496"/>
      <c r="GS241" s="496"/>
      <c r="GT241" s="496"/>
      <c r="GU241" s="496"/>
      <c r="GV241" s="496"/>
      <c r="GW241" s="496"/>
      <c r="GX241" s="496"/>
      <c r="GY241" s="496"/>
      <c r="GZ241" s="496"/>
      <c r="HA241" s="496"/>
      <c r="HB241" s="496"/>
      <c r="HC241" s="496"/>
      <c r="HD241" s="496"/>
      <c r="HE241" s="496"/>
      <c r="HF241" s="496"/>
      <c r="HG241" s="496"/>
      <c r="HH241" s="496"/>
      <c r="HI241" s="496"/>
      <c r="HJ241" s="496"/>
      <c r="HK241" s="496"/>
      <c r="HL241" s="496"/>
      <c r="HM241" s="496"/>
      <c r="HN241" s="496"/>
      <c r="HO241" s="496"/>
      <c r="JZ241" s="496"/>
      <c r="KA241" s="496"/>
      <c r="KB241" s="496"/>
      <c r="KC241" s="496"/>
      <c r="KD241" s="496"/>
      <c r="KE241" s="496"/>
      <c r="KF241" s="496"/>
      <c r="KG241" s="496"/>
      <c r="KH241" s="496"/>
      <c r="KI241" s="496"/>
      <c r="KJ241" s="496"/>
      <c r="KK241" s="496"/>
      <c r="KL241" s="496"/>
      <c r="KM241" s="496"/>
      <c r="KN241" s="496"/>
      <c r="KO241" s="496"/>
      <c r="KP241" s="496"/>
      <c r="KQ241" s="496"/>
      <c r="KR241" s="496"/>
      <c r="KS241" s="496"/>
      <c r="KT241" s="496"/>
      <c r="KU241" s="496"/>
      <c r="KV241" s="496"/>
      <c r="KW241" s="496"/>
      <c r="KX241" s="496"/>
      <c r="KY241" s="496"/>
      <c r="KZ241" s="496"/>
      <c r="LA241" s="496"/>
      <c r="LB241" s="496"/>
      <c r="LC241" s="496"/>
      <c r="LD241" s="496"/>
    </row>
    <row r="242" spans="30:316" ht="4.1500000000000004" customHeight="1">
      <c r="AD242" s="516"/>
      <c r="AF242" s="516"/>
      <c r="AO242" s="517"/>
      <c r="AP242" s="526"/>
      <c r="AQ242" s="516"/>
      <c r="AW242" s="517"/>
      <c r="AX242" s="516"/>
      <c r="AZ242" s="516"/>
      <c r="BG242" s="2636"/>
      <c r="BH242" s="2636"/>
      <c r="BI242" s="2636"/>
      <c r="BJ242" s="2636"/>
      <c r="BK242" s="2636"/>
      <c r="BL242" s="2636"/>
      <c r="BM242" s="2636"/>
      <c r="BN242" s="2636"/>
      <c r="BO242" s="2636"/>
      <c r="BP242" s="2636"/>
      <c r="BQ242" s="2636"/>
      <c r="BR242" s="2636"/>
      <c r="BS242" s="2636"/>
      <c r="BT242" s="2636"/>
      <c r="BU242" s="2636"/>
      <c r="BV242" s="2636"/>
      <c r="BW242" s="2636"/>
      <c r="BX242" s="2636"/>
      <c r="BY242" s="2636"/>
      <c r="BZ242" s="2636"/>
      <c r="CA242" s="2636"/>
      <c r="CB242" s="2636"/>
      <c r="CC242" s="2636"/>
      <c r="CD242" s="2636"/>
      <c r="CE242" s="2636"/>
      <c r="CF242" s="2636"/>
      <c r="CG242" s="2636"/>
      <c r="CH242" s="2636"/>
      <c r="CO242" s="517"/>
      <c r="CR242" s="516"/>
      <c r="CX242" s="2636"/>
      <c r="CY242" s="2636"/>
      <c r="CZ242" s="2636"/>
      <c r="DA242" s="2636"/>
      <c r="DB242" s="2636"/>
      <c r="DC242" s="2636"/>
      <c r="DD242" s="2636"/>
      <c r="DE242" s="2636"/>
      <c r="DF242" s="2636"/>
      <c r="DG242" s="2636"/>
      <c r="DH242" s="2636"/>
      <c r="DI242" s="2636"/>
      <c r="DJ242" s="2636"/>
      <c r="DK242" s="2636"/>
      <c r="DL242" s="2636"/>
      <c r="DM242" s="2636"/>
      <c r="DN242" s="2636"/>
      <c r="DO242" s="2636"/>
      <c r="DP242" s="2636"/>
      <c r="DQ242" s="2636"/>
      <c r="DR242" s="2636"/>
      <c r="DS242" s="2636"/>
      <c r="DT242" s="2636"/>
      <c r="DU242" s="2636"/>
      <c r="DV242" s="2636"/>
      <c r="DW242" s="2636"/>
      <c r="DX242" s="2636"/>
      <c r="DY242" s="2636"/>
      <c r="EG242" s="517"/>
      <c r="EJ242" s="516"/>
      <c r="EO242" s="2636"/>
      <c r="EP242" s="2636"/>
      <c r="EQ242" s="2636"/>
      <c r="ER242" s="2636"/>
      <c r="ES242" s="2636"/>
      <c r="ET242" s="2636"/>
      <c r="EU242" s="2636"/>
      <c r="EV242" s="2636"/>
      <c r="EW242" s="2636"/>
      <c r="EX242" s="2636"/>
      <c r="EY242" s="2636"/>
      <c r="EZ242" s="2636"/>
      <c r="FA242" s="2636"/>
      <c r="FB242" s="2636"/>
      <c r="FC242" s="2636"/>
      <c r="FD242" s="2636"/>
      <c r="FE242" s="2636"/>
      <c r="FF242" s="2636"/>
      <c r="FG242" s="2636"/>
      <c r="FH242" s="2636"/>
      <c r="FI242" s="2636"/>
      <c r="FJ242" s="2636"/>
      <c r="FK242" s="2636"/>
      <c r="FL242" s="2636"/>
      <c r="FM242" s="2636"/>
      <c r="FN242" s="2636"/>
      <c r="FO242" s="2636"/>
      <c r="FP242" s="2636"/>
      <c r="FY242" s="517"/>
      <c r="GA242" s="517"/>
    </row>
    <row r="243" spans="30:316" ht="4.1500000000000004" customHeight="1">
      <c r="AD243" s="516"/>
      <c r="AF243" s="516"/>
      <c r="AO243" s="517"/>
      <c r="AP243" s="526"/>
      <c r="AQ243" s="516"/>
      <c r="AW243" s="517"/>
      <c r="AX243" s="516"/>
      <c r="AZ243" s="516"/>
      <c r="BG243" s="2636"/>
      <c r="BH243" s="2636"/>
      <c r="BI243" s="2636"/>
      <c r="BJ243" s="2636"/>
      <c r="BK243" s="2636"/>
      <c r="BL243" s="2636"/>
      <c r="BM243" s="2636"/>
      <c r="BN243" s="2636"/>
      <c r="BO243" s="2636"/>
      <c r="BP243" s="2636"/>
      <c r="BQ243" s="2636"/>
      <c r="BR243" s="2636"/>
      <c r="BS243" s="2636"/>
      <c r="BT243" s="2636"/>
      <c r="BU243" s="2636"/>
      <c r="BV243" s="2636"/>
      <c r="BW243" s="2636"/>
      <c r="BX243" s="2636"/>
      <c r="BY243" s="2636"/>
      <c r="BZ243" s="2636"/>
      <c r="CA243" s="2636"/>
      <c r="CB243" s="2636"/>
      <c r="CC243" s="2636"/>
      <c r="CD243" s="2636"/>
      <c r="CE243" s="2636"/>
      <c r="CF243" s="2636"/>
      <c r="CG243" s="2636"/>
      <c r="CH243" s="2636"/>
      <c r="CO243" s="517"/>
      <c r="CR243" s="516"/>
      <c r="CX243" s="2636"/>
      <c r="CY243" s="2636"/>
      <c r="CZ243" s="2636"/>
      <c r="DA243" s="2636"/>
      <c r="DB243" s="2636"/>
      <c r="DC243" s="2636"/>
      <c r="DD243" s="2636"/>
      <c r="DE243" s="2636"/>
      <c r="DF243" s="2636"/>
      <c r="DG243" s="2636"/>
      <c r="DH243" s="2636"/>
      <c r="DI243" s="2636"/>
      <c r="DJ243" s="2636"/>
      <c r="DK243" s="2636"/>
      <c r="DL243" s="2636"/>
      <c r="DM243" s="2636"/>
      <c r="DN243" s="2636"/>
      <c r="DO243" s="2636"/>
      <c r="DP243" s="2636"/>
      <c r="DQ243" s="2636"/>
      <c r="DR243" s="2636"/>
      <c r="DS243" s="2636"/>
      <c r="DT243" s="2636"/>
      <c r="DU243" s="2636"/>
      <c r="DV243" s="2636"/>
      <c r="DW243" s="2636"/>
      <c r="DX243" s="2636"/>
      <c r="DY243" s="2636"/>
      <c r="EG243" s="517"/>
      <c r="EJ243" s="516"/>
      <c r="FY243" s="517"/>
      <c r="GA243" s="517"/>
    </row>
    <row r="244" spans="30:316" ht="4.1500000000000004" customHeight="1">
      <c r="AD244" s="516"/>
      <c r="AF244" s="516"/>
      <c r="AO244" s="517"/>
      <c r="AP244" s="526"/>
      <c r="AQ244" s="516"/>
      <c r="AW244" s="517"/>
      <c r="AX244" s="516"/>
      <c r="AZ244" s="516"/>
      <c r="BG244" s="2636"/>
      <c r="BH244" s="2636"/>
      <c r="BI244" s="2636"/>
      <c r="BJ244" s="2636"/>
      <c r="BK244" s="2636"/>
      <c r="BL244" s="2636"/>
      <c r="BM244" s="2636"/>
      <c r="BN244" s="2636"/>
      <c r="BO244" s="2636"/>
      <c r="BP244" s="2636"/>
      <c r="BQ244" s="2636"/>
      <c r="BR244" s="2636"/>
      <c r="BS244" s="2636"/>
      <c r="BT244" s="2636"/>
      <c r="BU244" s="2636"/>
      <c r="BV244" s="2636"/>
      <c r="BW244" s="2636"/>
      <c r="BX244" s="2636"/>
      <c r="BY244" s="2636"/>
      <c r="BZ244" s="2636"/>
      <c r="CA244" s="2636"/>
      <c r="CB244" s="2636"/>
      <c r="CC244" s="2636"/>
      <c r="CD244" s="2636"/>
      <c r="CE244" s="2636"/>
      <c r="CF244" s="2636"/>
      <c r="CG244" s="2636"/>
      <c r="CH244" s="2636"/>
      <c r="CO244" s="517"/>
      <c r="CR244" s="516"/>
      <c r="EG244" s="517"/>
      <c r="EJ244" s="516"/>
      <c r="FY244" s="517"/>
      <c r="GA244" s="517"/>
    </row>
    <row r="245" spans="30:316" ht="4.1500000000000004" customHeight="1">
      <c r="AD245" s="516"/>
      <c r="AF245" s="516"/>
      <c r="AO245" s="517"/>
      <c r="AP245" s="526"/>
      <c r="AQ245" s="516"/>
      <c r="AW245" s="517"/>
      <c r="AX245" s="516"/>
      <c r="AZ245" s="516"/>
      <c r="CO245" s="517"/>
      <c r="CR245" s="516"/>
      <c r="EG245" s="517"/>
      <c r="EJ245" s="516"/>
      <c r="FY245" s="517"/>
      <c r="GA245" s="517"/>
      <c r="IJ245" s="508"/>
      <c r="IK245" s="509"/>
      <c r="IL245" s="509"/>
      <c r="IM245" s="509"/>
      <c r="IN245" s="509"/>
      <c r="IO245" s="509"/>
      <c r="IP245" s="509"/>
      <c r="IQ245" s="509"/>
      <c r="IR245" s="509"/>
      <c r="IS245" s="509"/>
      <c r="IT245" s="509"/>
      <c r="IU245" s="509"/>
      <c r="IV245" s="509"/>
      <c r="IW245" s="509"/>
      <c r="IX245" s="509"/>
      <c r="IY245" s="509"/>
      <c r="IZ245" s="509"/>
      <c r="JA245" s="509"/>
      <c r="JB245" s="509"/>
      <c r="JC245" s="509"/>
      <c r="JD245" s="509"/>
      <c r="JE245" s="509"/>
      <c r="JF245" s="509"/>
      <c r="JG245" s="509"/>
      <c r="JH245" s="509"/>
      <c r="JI245" s="509"/>
      <c r="JJ245" s="509"/>
      <c r="JK245" s="2597">
        <v>0.125</v>
      </c>
      <c r="JL245" s="2597"/>
      <c r="JM245" s="2597"/>
      <c r="JN245" s="2597"/>
      <c r="JO245" s="2597"/>
      <c r="JP245" s="2597"/>
      <c r="JQ245" s="2597"/>
    </row>
    <row r="246" spans="30:316" ht="4.1500000000000004" customHeight="1">
      <c r="AD246" s="516"/>
      <c r="AF246" s="530"/>
      <c r="AG246" s="532"/>
      <c r="AH246" s="532"/>
      <c r="AI246" s="532"/>
      <c r="AJ246" s="532"/>
      <c r="AO246" s="517"/>
      <c r="AP246" s="526"/>
      <c r="AQ246" s="516"/>
      <c r="AW246" s="517"/>
      <c r="AX246" s="516"/>
      <c r="AZ246" s="516"/>
      <c r="CO246" s="517"/>
      <c r="CR246" s="516"/>
      <c r="EG246" s="517"/>
      <c r="EJ246" s="516"/>
      <c r="FY246" s="517"/>
      <c r="GA246" s="517"/>
      <c r="IL246" s="522"/>
      <c r="IM246" s="523"/>
      <c r="IN246" s="523"/>
      <c r="IO246" s="524"/>
      <c r="IS246" s="2596">
        <v>0.25</v>
      </c>
      <c r="IT246" s="2597"/>
      <c r="IU246" s="2597"/>
      <c r="IV246" s="2597"/>
      <c r="IW246" s="2597"/>
      <c r="IX246" s="2597"/>
      <c r="IY246" s="2597"/>
      <c r="IZ246" s="2597"/>
      <c r="JA246" s="2597"/>
      <c r="JB246" s="2597"/>
      <c r="JC246" s="2597"/>
      <c r="JD246" s="2597"/>
      <c r="JK246" s="2598"/>
      <c r="JL246" s="2598"/>
      <c r="JM246" s="2598"/>
      <c r="JN246" s="2598"/>
      <c r="JO246" s="2598"/>
      <c r="JP246" s="2598"/>
      <c r="JQ246" s="2598"/>
    </row>
    <row r="247" spans="30:316" ht="4.1500000000000004" customHeight="1">
      <c r="AD247" s="516"/>
      <c r="AK247" s="516"/>
      <c r="AO247" s="517"/>
      <c r="AP247" s="526"/>
      <c r="AQ247" s="516"/>
      <c r="AW247" s="517"/>
      <c r="AX247" s="516"/>
      <c r="AZ247" s="516"/>
      <c r="CO247" s="517"/>
      <c r="CR247" s="516"/>
      <c r="EG247" s="517"/>
      <c r="EJ247" s="516"/>
      <c r="FY247" s="517"/>
      <c r="GA247" s="517"/>
      <c r="IL247" s="522"/>
      <c r="IM247" s="523"/>
      <c r="IN247" s="523"/>
      <c r="IO247" s="524"/>
      <c r="IS247" s="2596"/>
      <c r="IT247" s="2596"/>
      <c r="IU247" s="2596"/>
      <c r="IV247" s="2596"/>
      <c r="IW247" s="2596"/>
      <c r="IX247" s="2596"/>
      <c r="IY247" s="2596"/>
      <c r="IZ247" s="2596"/>
      <c r="JA247" s="2596"/>
      <c r="JB247" s="2596"/>
      <c r="JC247" s="2596"/>
      <c r="JD247" s="2596"/>
    </row>
    <row r="248" spans="30:316" ht="4.1500000000000004" customHeight="1">
      <c r="AD248" s="516"/>
      <c r="AF248" s="515"/>
      <c r="AG248" s="514"/>
      <c r="AH248" s="514"/>
      <c r="AI248" s="514"/>
      <c r="AJ248" s="514"/>
      <c r="AK248" s="516"/>
      <c r="AO248" s="517"/>
      <c r="AP248" s="526"/>
      <c r="AQ248" s="516"/>
      <c r="AW248" s="517"/>
      <c r="AX248" s="516"/>
      <c r="AZ248" s="516"/>
      <c r="CO248" s="517"/>
      <c r="CR248" s="516"/>
      <c r="EG248" s="517"/>
      <c r="EJ248" s="516"/>
      <c r="FY248" s="517"/>
      <c r="GA248" s="517"/>
      <c r="IL248" s="522"/>
      <c r="IM248" s="523"/>
      <c r="IN248" s="523"/>
      <c r="IO248" s="524"/>
      <c r="IS248" s="2598"/>
      <c r="IT248" s="2598"/>
      <c r="IU248" s="2598"/>
      <c r="IV248" s="2598"/>
      <c r="IW248" s="2598"/>
      <c r="IX248" s="2598"/>
      <c r="IY248" s="2598"/>
      <c r="IZ248" s="2598"/>
      <c r="JA248" s="2598"/>
      <c r="JB248" s="2598"/>
      <c r="JC248" s="2598"/>
      <c r="JD248" s="2598"/>
    </row>
    <row r="249" spans="30:316" ht="4.1500000000000004" customHeight="1">
      <c r="AD249" s="516"/>
      <c r="AF249" s="516"/>
      <c r="AK249" s="516"/>
      <c r="AO249" s="517"/>
      <c r="AP249" s="526"/>
      <c r="AQ249" s="516"/>
      <c r="AW249" s="517"/>
      <c r="AX249" s="516"/>
      <c r="AZ249" s="516"/>
      <c r="CO249" s="517"/>
      <c r="CR249" s="516"/>
      <c r="EG249" s="517"/>
      <c r="EJ249" s="516"/>
      <c r="FY249" s="517"/>
      <c r="GA249" s="517"/>
      <c r="IL249" s="516"/>
      <c r="IO249" s="517"/>
      <c r="IY249" s="515"/>
      <c r="IZ249" s="514"/>
    </row>
    <row r="250" spans="30:316" ht="4.1500000000000004" customHeight="1">
      <c r="AD250" s="516"/>
      <c r="AF250" s="516"/>
      <c r="AK250" s="516"/>
      <c r="AO250" s="517"/>
      <c r="AP250" s="526"/>
      <c r="AQ250" s="516"/>
      <c r="AW250" s="517"/>
      <c r="AX250" s="516"/>
      <c r="AZ250" s="516"/>
      <c r="CO250" s="517"/>
      <c r="CR250" s="516"/>
      <c r="EG250" s="517"/>
      <c r="EJ250" s="516"/>
      <c r="FY250" s="517"/>
      <c r="GA250" s="517"/>
      <c r="IL250" s="516"/>
      <c r="IO250" s="517"/>
      <c r="IY250" s="516"/>
    </row>
    <row r="251" spans="30:316" ht="4.1500000000000004" customHeight="1">
      <c r="AD251" s="516"/>
      <c r="AF251" s="530"/>
      <c r="AG251" s="532"/>
      <c r="AH251" s="532"/>
      <c r="AI251" s="532"/>
      <c r="AJ251" s="532"/>
      <c r="AK251" s="516"/>
      <c r="AO251" s="517"/>
      <c r="AP251" s="526"/>
      <c r="AQ251" s="516"/>
      <c r="AW251" s="517"/>
      <c r="AX251" s="516"/>
      <c r="AZ251" s="516"/>
      <c r="CO251" s="517"/>
      <c r="CR251" s="516"/>
      <c r="EG251" s="517"/>
      <c r="EJ251" s="516"/>
      <c r="FY251" s="517"/>
      <c r="GA251" s="517"/>
      <c r="IL251" s="516"/>
      <c r="IO251" s="517"/>
      <c r="IS251" s="2615">
        <f>JB5-IS246</f>
        <v>0.85000000000000009</v>
      </c>
      <c r="IT251" s="2608"/>
      <c r="IU251" s="2608"/>
      <c r="IV251" s="2608"/>
      <c r="IW251" s="2608"/>
      <c r="IX251" s="2608"/>
      <c r="IY251" s="2608"/>
      <c r="IZ251" s="2608"/>
      <c r="JA251" s="2608"/>
      <c r="JB251" s="2608"/>
      <c r="JC251" s="2608"/>
      <c r="JD251" s="2608"/>
    </row>
    <row r="252" spans="30:316" ht="4.1500000000000004" customHeight="1">
      <c r="AD252" s="516"/>
      <c r="AK252" s="516"/>
      <c r="AO252" s="517"/>
      <c r="AP252" s="526"/>
      <c r="AQ252" s="516"/>
      <c r="AW252" s="517"/>
      <c r="AX252" s="516"/>
      <c r="AZ252" s="516"/>
      <c r="CO252" s="517"/>
      <c r="CR252" s="516"/>
      <c r="EG252" s="517"/>
      <c r="EJ252" s="516"/>
      <c r="FY252" s="517"/>
      <c r="GA252" s="517"/>
      <c r="IL252" s="516"/>
      <c r="IO252" s="517"/>
      <c r="IS252" s="2608"/>
      <c r="IT252" s="2608"/>
      <c r="IU252" s="2608"/>
      <c r="IV252" s="2608"/>
      <c r="IW252" s="2608"/>
      <c r="IX252" s="2608"/>
      <c r="IY252" s="2608"/>
      <c r="IZ252" s="2608"/>
      <c r="JA252" s="2608"/>
      <c r="JB252" s="2608"/>
      <c r="JC252" s="2608"/>
      <c r="JD252" s="2608"/>
    </row>
    <row r="253" spans="30:316" ht="4.1500000000000004" customHeight="1">
      <c r="AD253" s="516"/>
      <c r="AF253" s="515"/>
      <c r="AG253" s="514"/>
      <c r="AH253" s="514"/>
      <c r="AI253" s="514"/>
      <c r="AJ253" s="514"/>
      <c r="AK253" s="516"/>
      <c r="AO253" s="517"/>
      <c r="AP253" s="526"/>
      <c r="AQ253" s="516"/>
      <c r="AW253" s="517"/>
      <c r="AX253" s="516"/>
      <c r="AZ253" s="516"/>
      <c r="CO253" s="517"/>
      <c r="CR253" s="516"/>
      <c r="EG253" s="517"/>
      <c r="EJ253" s="516"/>
      <c r="FY253" s="517"/>
      <c r="GA253" s="517"/>
      <c r="IL253" s="516"/>
      <c r="IO253" s="517"/>
      <c r="IS253" s="2608"/>
      <c r="IT253" s="2608"/>
      <c r="IU253" s="2608"/>
      <c r="IV253" s="2608"/>
      <c r="IW253" s="2608"/>
      <c r="IX253" s="2608"/>
      <c r="IY253" s="2608"/>
      <c r="IZ253" s="2608"/>
      <c r="JA253" s="2608"/>
      <c r="JB253" s="2608"/>
      <c r="JC253" s="2608"/>
      <c r="JD253" s="2608"/>
    </row>
    <row r="254" spans="30:316" ht="4.1500000000000004" customHeight="1">
      <c r="AD254" s="516"/>
      <c r="AF254" s="516"/>
      <c r="AK254" s="516"/>
      <c r="AO254" s="517"/>
      <c r="AP254" s="526"/>
      <c r="AQ254" s="516"/>
      <c r="AW254" s="517"/>
      <c r="AX254" s="516"/>
      <c r="AZ254" s="516"/>
      <c r="CO254" s="517"/>
      <c r="CR254" s="516"/>
      <c r="EG254" s="517"/>
      <c r="EJ254" s="516"/>
      <c r="FY254" s="517"/>
      <c r="GA254" s="517"/>
      <c r="IL254" s="516"/>
      <c r="IO254" s="517"/>
      <c r="IY254" s="516"/>
    </row>
    <row r="255" spans="30:316" ht="4.1500000000000004" customHeight="1">
      <c r="AD255" s="516"/>
      <c r="AF255" s="516"/>
      <c r="AK255" s="516"/>
      <c r="AO255" s="517"/>
      <c r="AP255" s="526"/>
      <c r="AQ255" s="516"/>
      <c r="AW255" s="517"/>
      <c r="AX255" s="516"/>
      <c r="AZ255" s="516"/>
      <c r="CO255" s="517"/>
      <c r="CR255" s="516"/>
      <c r="EG255" s="517"/>
      <c r="EJ255" s="516"/>
      <c r="FY255" s="517"/>
      <c r="GA255" s="517"/>
      <c r="IL255" s="516"/>
      <c r="IO255" s="517"/>
      <c r="IY255" s="516"/>
    </row>
    <row r="256" spans="30:316" ht="4.1500000000000004" customHeight="1">
      <c r="AD256" s="516"/>
      <c r="AF256" s="530"/>
      <c r="AG256" s="532"/>
      <c r="AH256" s="532"/>
      <c r="AI256" s="532"/>
      <c r="AJ256" s="532"/>
      <c r="AK256" s="516"/>
      <c r="AO256" s="517"/>
      <c r="AP256" s="526"/>
      <c r="AQ256" s="516"/>
      <c r="AW256" s="517"/>
      <c r="AX256" s="516"/>
      <c r="AZ256" s="516"/>
      <c r="CO256" s="517"/>
      <c r="CR256" s="516"/>
      <c r="EG256" s="517"/>
      <c r="EJ256" s="516"/>
      <c r="FY256" s="517"/>
      <c r="GA256" s="517"/>
      <c r="IL256" s="516"/>
      <c r="IO256" s="517"/>
      <c r="IY256" s="516"/>
    </row>
    <row r="257" spans="30:277" ht="4.1500000000000004" customHeight="1">
      <c r="AD257" s="516"/>
      <c r="AK257" s="516"/>
      <c r="AO257" s="517"/>
      <c r="AP257" s="526"/>
      <c r="AQ257" s="516"/>
      <c r="AW257" s="517"/>
      <c r="AX257" s="516"/>
      <c r="AZ257" s="516"/>
      <c r="CO257" s="517"/>
      <c r="CR257" s="516"/>
      <c r="EG257" s="517"/>
      <c r="EJ257" s="516"/>
      <c r="FY257" s="517"/>
      <c r="GA257" s="517"/>
      <c r="IL257" s="516"/>
      <c r="IO257" s="517"/>
      <c r="IY257" s="530"/>
      <c r="IZ257" s="532"/>
      <c r="JA257" s="532"/>
      <c r="JB257" s="532"/>
      <c r="JC257" s="532"/>
    </row>
    <row r="258" spans="30:277" ht="4.1500000000000004" customHeight="1">
      <c r="AD258" s="516"/>
      <c r="AF258" s="515"/>
      <c r="AG258" s="514"/>
      <c r="AH258" s="514"/>
      <c r="AI258" s="514"/>
      <c r="AJ258" s="514"/>
      <c r="AK258" s="516"/>
      <c r="AO258" s="517"/>
      <c r="AP258" s="526"/>
      <c r="AQ258" s="516"/>
      <c r="AW258" s="517"/>
      <c r="AX258" s="516"/>
      <c r="AZ258" s="516"/>
      <c r="CO258" s="517"/>
      <c r="CR258" s="516"/>
      <c r="EG258" s="517"/>
      <c r="EJ258" s="516"/>
      <c r="FY258" s="517"/>
      <c r="GA258" s="517"/>
      <c r="IL258" s="522"/>
      <c r="IM258" s="523"/>
      <c r="IN258" s="523"/>
      <c r="IO258" s="524"/>
      <c r="IS258" s="2596">
        <v>0.15</v>
      </c>
      <c r="IT258" s="2597"/>
      <c r="IU258" s="2597"/>
      <c r="IV258" s="2597"/>
      <c r="IW258" s="2597"/>
      <c r="IX258" s="2597"/>
      <c r="IY258" s="2597"/>
      <c r="IZ258" s="2597"/>
      <c r="JA258" s="2597"/>
      <c r="JB258" s="2597"/>
      <c r="JC258" s="2597"/>
      <c r="JD258" s="2597"/>
    </row>
    <row r="259" spans="30:277" ht="4.1500000000000004" customHeight="1">
      <c r="AD259" s="516"/>
      <c r="AF259" s="516"/>
      <c r="AK259" s="516"/>
      <c r="AO259" s="517"/>
      <c r="AP259" s="526"/>
      <c r="AQ259" s="516"/>
      <c r="AW259" s="517"/>
      <c r="AX259" s="516"/>
      <c r="AZ259" s="516"/>
      <c r="CO259" s="517"/>
      <c r="CR259" s="516"/>
      <c r="EG259" s="517"/>
      <c r="EJ259" s="516"/>
      <c r="FY259" s="517"/>
      <c r="GA259" s="517"/>
      <c r="IL259" s="522"/>
      <c r="IM259" s="523"/>
      <c r="IN259" s="523"/>
      <c r="IO259" s="524"/>
      <c r="IS259" s="2596"/>
      <c r="IT259" s="2596"/>
      <c r="IU259" s="2596"/>
      <c r="IV259" s="2596"/>
      <c r="IW259" s="2596"/>
      <c r="IX259" s="2596"/>
      <c r="IY259" s="2596"/>
      <c r="IZ259" s="2596"/>
      <c r="JA259" s="2596"/>
      <c r="JB259" s="2596"/>
      <c r="JC259" s="2596"/>
      <c r="JD259" s="2596"/>
    </row>
    <row r="260" spans="30:277" ht="4.1500000000000004" customHeight="1">
      <c r="AD260" s="516"/>
      <c r="AF260" s="516"/>
      <c r="AK260" s="516"/>
      <c r="AO260" s="517"/>
      <c r="AP260" s="526"/>
      <c r="AQ260" s="516"/>
      <c r="AW260" s="517"/>
      <c r="AX260" s="516"/>
      <c r="AZ260" s="516"/>
      <c r="CO260" s="517"/>
      <c r="CR260" s="516"/>
      <c r="EG260" s="517"/>
      <c r="EJ260" s="516"/>
      <c r="FY260" s="517"/>
      <c r="GA260" s="517"/>
      <c r="IF260" s="508"/>
      <c r="IG260" s="509"/>
      <c r="IH260" s="509"/>
      <c r="II260" s="509"/>
      <c r="IJ260" s="509"/>
      <c r="IK260" s="510"/>
      <c r="IL260" s="522"/>
      <c r="IM260" s="523"/>
      <c r="IN260" s="523"/>
      <c r="IO260" s="524"/>
      <c r="IS260" s="2598"/>
      <c r="IT260" s="2598"/>
      <c r="IU260" s="2598"/>
      <c r="IV260" s="2598"/>
      <c r="IW260" s="2598"/>
      <c r="IX260" s="2598"/>
      <c r="IY260" s="2598"/>
      <c r="IZ260" s="2598"/>
      <c r="JA260" s="2598"/>
      <c r="JB260" s="2598"/>
      <c r="JC260" s="2598"/>
      <c r="JD260" s="2598"/>
    </row>
    <row r="261" spans="30:277" ht="4.1500000000000004" customHeight="1">
      <c r="AD261" s="519"/>
      <c r="AE261" s="521"/>
      <c r="AF261" s="530"/>
      <c r="AG261" s="532"/>
      <c r="AH261" s="532"/>
      <c r="AI261" s="532"/>
      <c r="AJ261" s="532"/>
      <c r="AK261" s="516"/>
      <c r="AO261" s="517"/>
      <c r="AP261" s="526"/>
      <c r="AQ261" s="516"/>
      <c r="AW261" s="517"/>
      <c r="AX261" s="519"/>
      <c r="AY261" s="521"/>
      <c r="AZ261" s="530"/>
      <c r="BA261" s="532"/>
      <c r="BB261" s="532"/>
      <c r="BC261" s="532"/>
      <c r="BD261" s="532"/>
      <c r="BE261" s="532"/>
      <c r="BF261" s="532"/>
      <c r="BG261" s="532"/>
      <c r="BH261" s="532"/>
      <c r="BI261" s="532"/>
      <c r="BJ261" s="532"/>
      <c r="BK261" s="532"/>
      <c r="BL261" s="532"/>
      <c r="BM261" s="532"/>
      <c r="BN261" s="532"/>
      <c r="BO261" s="532"/>
      <c r="BP261" s="532"/>
      <c r="BQ261" s="532"/>
      <c r="BR261" s="532"/>
      <c r="BS261" s="532"/>
      <c r="BT261" s="519"/>
      <c r="BU261" s="521"/>
      <c r="BV261" s="532"/>
      <c r="BW261" s="532"/>
      <c r="BX261" s="532"/>
      <c r="BY261" s="532"/>
      <c r="BZ261" s="532"/>
      <c r="CA261" s="532"/>
      <c r="CB261" s="532"/>
      <c r="CC261" s="532"/>
      <c r="CD261" s="532"/>
      <c r="CE261" s="532"/>
      <c r="CF261" s="532"/>
      <c r="CO261" s="517"/>
      <c r="CP261" s="519"/>
      <c r="CQ261" s="521"/>
      <c r="CR261" s="516"/>
      <c r="DA261" s="532"/>
      <c r="DB261" s="532"/>
      <c r="DC261" s="532"/>
      <c r="DD261" s="532"/>
      <c r="DE261" s="532"/>
      <c r="DF261" s="532"/>
      <c r="DG261" s="532"/>
      <c r="DH261" s="532"/>
      <c r="DI261" s="532"/>
      <c r="DJ261" s="532"/>
      <c r="DK261" s="532"/>
      <c r="DL261" s="519"/>
      <c r="DM261" s="521"/>
      <c r="DN261" s="532"/>
      <c r="DO261" s="532"/>
      <c r="DP261" s="532"/>
      <c r="DQ261" s="532"/>
      <c r="DR261" s="532"/>
      <c r="DS261" s="532"/>
      <c r="DT261" s="532"/>
      <c r="DU261" s="532"/>
      <c r="DV261" s="532"/>
      <c r="DW261" s="532"/>
      <c r="DX261" s="532"/>
      <c r="EG261" s="517"/>
      <c r="EH261" s="519"/>
      <c r="EI261" s="521"/>
      <c r="EJ261" s="516"/>
      <c r="ES261" s="532"/>
      <c r="ET261" s="532"/>
      <c r="EU261" s="532"/>
      <c r="EV261" s="532"/>
      <c r="EW261" s="532"/>
      <c r="EX261" s="532"/>
      <c r="EY261" s="532"/>
      <c r="EZ261" s="532"/>
      <c r="FA261" s="532"/>
      <c r="FB261" s="532"/>
      <c r="FC261" s="532"/>
      <c r="FD261" s="519"/>
      <c r="FE261" s="521"/>
      <c r="FF261" s="532"/>
      <c r="FG261" s="532"/>
      <c r="FH261" s="532"/>
      <c r="FI261" s="532"/>
      <c r="FJ261" s="532"/>
      <c r="FK261" s="532"/>
      <c r="FL261" s="532"/>
      <c r="FM261" s="532"/>
      <c r="FN261" s="532"/>
      <c r="FO261" s="532"/>
      <c r="FP261" s="532"/>
      <c r="FY261" s="517"/>
      <c r="FZ261" s="519"/>
      <c r="GA261" s="521"/>
      <c r="IL261" s="516"/>
      <c r="IO261" s="517"/>
      <c r="IS261" s="514"/>
      <c r="IT261" s="514"/>
      <c r="IU261" s="514"/>
      <c r="IV261" s="514"/>
      <c r="IW261" s="514"/>
      <c r="IX261" s="514"/>
      <c r="IY261" s="515"/>
      <c r="IZ261" s="514"/>
      <c r="JA261" s="514"/>
      <c r="JB261" s="514"/>
      <c r="JC261" s="514"/>
      <c r="JD261" s="514"/>
    </row>
    <row r="262" spans="30:277" ht="4.1500000000000004" customHeight="1">
      <c r="AD262" s="522"/>
      <c r="AE262" s="524"/>
      <c r="AF262" s="515"/>
      <c r="AG262" s="514"/>
      <c r="AH262" s="514"/>
      <c r="AI262" s="514"/>
      <c r="AJ262" s="514"/>
      <c r="AK262" s="516"/>
      <c r="AP262" s="526"/>
      <c r="AW262" s="517"/>
      <c r="AX262" s="523"/>
      <c r="AY262" s="524"/>
      <c r="BT262" s="522"/>
      <c r="BU262" s="524"/>
      <c r="CG262" s="516"/>
      <c r="CO262" s="517"/>
      <c r="CP262" s="523"/>
      <c r="CQ262" s="523"/>
      <c r="CR262" s="516"/>
      <c r="CZ262" s="517"/>
      <c r="DL262" s="522"/>
      <c r="DM262" s="524"/>
      <c r="DY262" s="516"/>
      <c r="EG262" s="517"/>
      <c r="EH262" s="523"/>
      <c r="EI262" s="523"/>
      <c r="EJ262" s="516"/>
      <c r="ER262" s="517"/>
      <c r="FD262" s="522"/>
      <c r="FE262" s="524"/>
      <c r="FQ262" s="516"/>
      <c r="FY262" s="517"/>
      <c r="FZ262" s="523"/>
      <c r="GA262" s="524"/>
      <c r="IL262" s="516"/>
      <c r="IO262" s="517"/>
      <c r="IY262" s="516"/>
    </row>
    <row r="263" spans="30:277" ht="4.1500000000000004" customHeight="1">
      <c r="AD263" s="527"/>
      <c r="AE263" s="529"/>
      <c r="AF263" s="530"/>
      <c r="AG263" s="532"/>
      <c r="AH263" s="532"/>
      <c r="AI263" s="532"/>
      <c r="AJ263" s="532"/>
      <c r="AK263" s="530"/>
      <c r="AL263" s="532"/>
      <c r="AM263" s="532"/>
      <c r="AN263" s="532"/>
      <c r="AO263" s="532"/>
      <c r="AP263" s="533"/>
      <c r="AQ263" s="532"/>
      <c r="AR263" s="532"/>
      <c r="AS263" s="532"/>
      <c r="AT263" s="532"/>
      <c r="AU263" s="532"/>
      <c r="AV263" s="532"/>
      <c r="AW263" s="531"/>
      <c r="AX263" s="528"/>
      <c r="AY263" s="529"/>
      <c r="BT263" s="527"/>
      <c r="BU263" s="529"/>
      <c r="CG263" s="516"/>
      <c r="CO263" s="517"/>
      <c r="CP263" s="528"/>
      <c r="CQ263" s="528"/>
      <c r="CR263" s="516"/>
      <c r="CZ263" s="517"/>
      <c r="DL263" s="527"/>
      <c r="DM263" s="529"/>
      <c r="DY263" s="516"/>
      <c r="EG263" s="517"/>
      <c r="EH263" s="528"/>
      <c r="EI263" s="528"/>
      <c r="EJ263" s="516"/>
      <c r="ER263" s="517"/>
      <c r="FD263" s="527"/>
      <c r="FE263" s="529"/>
      <c r="FQ263" s="516"/>
      <c r="FY263" s="517"/>
      <c r="FZ263" s="528"/>
      <c r="GA263" s="529"/>
      <c r="IL263" s="516"/>
      <c r="IO263" s="517"/>
      <c r="IY263" s="516"/>
    </row>
    <row r="264" spans="30:277" ht="4.1500000000000004" customHeight="1">
      <c r="AD264" s="516"/>
      <c r="AF264" s="516"/>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P264" s="514"/>
      <c r="CQ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EH264" s="514"/>
      <c r="EI264" s="514"/>
      <c r="FD264" s="514"/>
      <c r="FE264" s="514"/>
      <c r="FY264" s="517"/>
      <c r="GA264" s="517"/>
      <c r="IL264" s="516"/>
      <c r="IO264" s="517"/>
      <c r="IY264" s="516"/>
    </row>
    <row r="265" spans="30:277" ht="4.1500000000000004" customHeight="1">
      <c r="AD265" s="516"/>
      <c r="AF265" s="516"/>
      <c r="FY265" s="517"/>
      <c r="GA265" s="517"/>
      <c r="IL265" s="516"/>
      <c r="IO265" s="517"/>
      <c r="IY265" s="516"/>
    </row>
    <row r="266" spans="30:277" ht="4.1500000000000004" customHeight="1">
      <c r="AD266" s="516"/>
      <c r="AF266" s="516"/>
      <c r="FY266" s="517"/>
      <c r="GA266" s="517"/>
      <c r="IL266" s="516"/>
      <c r="IO266" s="517"/>
      <c r="IW266" s="2594">
        <v>2.1</v>
      </c>
      <c r="IX266" s="2595"/>
      <c r="IY266" s="2595"/>
      <c r="IZ266" s="2595"/>
    </row>
    <row r="267" spans="30:277" ht="4.1500000000000004" customHeight="1">
      <c r="AD267" s="516"/>
      <c r="AF267" s="516"/>
      <c r="BA267" s="1599"/>
      <c r="BB267" s="1600"/>
      <c r="BC267" s="1600"/>
      <c r="BD267" s="1600"/>
      <c r="BE267" s="1600"/>
      <c r="BF267" s="1600"/>
      <c r="BG267" s="1600"/>
      <c r="BH267" s="1600"/>
      <c r="BI267" s="1600"/>
      <c r="BJ267" s="1600"/>
      <c r="BK267" s="1600"/>
      <c r="BL267" s="1600"/>
      <c r="BM267" s="1600"/>
      <c r="BN267" s="1600"/>
      <c r="BO267" s="1600"/>
      <c r="BP267" s="1600"/>
      <c r="BQ267" s="1600"/>
      <c r="BR267" s="1600"/>
      <c r="BS267" s="1600"/>
      <c r="BT267" s="1600"/>
      <c r="BU267" s="1600"/>
      <c r="BV267" s="1600"/>
      <c r="BW267" s="1600"/>
      <c r="FY267" s="517"/>
      <c r="GA267" s="517"/>
      <c r="IL267" s="516"/>
      <c r="IO267" s="517"/>
      <c r="IW267" s="2595"/>
      <c r="IX267" s="2595"/>
      <c r="IY267" s="2595"/>
      <c r="IZ267" s="2595"/>
    </row>
    <row r="268" spans="30:277" ht="4.1500000000000004" customHeight="1">
      <c r="AD268" s="516"/>
      <c r="AF268" s="516"/>
      <c r="BA268" s="1600"/>
      <c r="BB268" s="1600"/>
      <c r="BC268" s="1600"/>
      <c r="BD268" s="1600"/>
      <c r="BE268" s="1600"/>
      <c r="BF268" s="1600"/>
      <c r="BG268" s="1600"/>
      <c r="BH268" s="1600"/>
      <c r="BI268" s="1600"/>
      <c r="BJ268" s="1600"/>
      <c r="BK268" s="1600"/>
      <c r="BL268" s="1600"/>
      <c r="BM268" s="1600"/>
      <c r="BN268" s="1600"/>
      <c r="BO268" s="1600"/>
      <c r="BP268" s="1600"/>
      <c r="BQ268" s="1600"/>
      <c r="BR268" s="1600"/>
      <c r="BS268" s="1600"/>
      <c r="BT268" s="1600"/>
      <c r="BU268" s="1600"/>
      <c r="BV268" s="1600"/>
      <c r="BW268" s="1600"/>
      <c r="CS268" s="2642" t="s">
        <v>3604</v>
      </c>
      <c r="CT268" s="2642"/>
      <c r="CU268" s="2642"/>
      <c r="CV268" s="2642"/>
      <c r="CW268" s="2642"/>
      <c r="CX268" s="2642"/>
      <c r="CY268" s="2642"/>
      <c r="CZ268" s="2642"/>
      <c r="DA268" s="2642"/>
      <c r="DB268" s="2642"/>
      <c r="DC268" s="2642"/>
      <c r="DD268" s="2642"/>
      <c r="DE268" s="2642"/>
      <c r="DF268" s="2642"/>
      <c r="DG268" s="2642"/>
      <c r="DH268" s="2642"/>
      <c r="DI268" s="2642"/>
      <c r="DJ268" s="2642"/>
      <c r="DK268" s="2642"/>
      <c r="DL268" s="2642"/>
      <c r="DM268" s="2642"/>
      <c r="DN268" s="2642"/>
      <c r="DO268" s="2642"/>
      <c r="DP268" s="2642"/>
      <c r="DQ268" s="2642"/>
      <c r="DR268" s="2642"/>
      <c r="DS268" s="2642"/>
      <c r="DT268" s="2642"/>
      <c r="DU268" s="2642"/>
      <c r="DV268" s="2642"/>
      <c r="DW268" s="2642"/>
      <c r="DX268" s="2642"/>
      <c r="DY268" s="2642"/>
      <c r="DZ268" s="2642"/>
      <c r="EA268" s="2642"/>
      <c r="EB268" s="2642"/>
      <c r="EC268" s="2642"/>
      <c r="ED268" s="2642"/>
      <c r="EE268" s="2642"/>
      <c r="EF268" s="2642"/>
      <c r="EG268" s="2642"/>
      <c r="EH268" s="2642"/>
      <c r="EI268" s="2642"/>
      <c r="EJ268" s="2642"/>
      <c r="EK268" s="2642"/>
      <c r="EL268" s="2642"/>
      <c r="EM268" s="2642"/>
      <c r="FY268" s="517"/>
      <c r="GA268" s="517"/>
      <c r="IL268" s="516"/>
      <c r="IO268" s="517"/>
      <c r="IW268" s="2595"/>
      <c r="IX268" s="2595"/>
      <c r="IY268" s="2595"/>
      <c r="IZ268" s="2595"/>
    </row>
    <row r="269" spans="30:277" ht="4.1500000000000004" customHeight="1">
      <c r="AD269" s="516"/>
      <c r="AF269" s="516"/>
      <c r="BA269" s="1600"/>
      <c r="BB269" s="1600"/>
      <c r="BC269" s="1600"/>
      <c r="BD269" s="1600"/>
      <c r="BE269" s="1600"/>
      <c r="BF269" s="1600"/>
      <c r="BG269" s="1600"/>
      <c r="BH269" s="1600"/>
      <c r="BI269" s="1600"/>
      <c r="BJ269" s="1600"/>
      <c r="BK269" s="1600"/>
      <c r="BL269" s="1600"/>
      <c r="BM269" s="1600"/>
      <c r="BN269" s="1600"/>
      <c r="BO269" s="1600"/>
      <c r="BP269" s="1600"/>
      <c r="BQ269" s="1600"/>
      <c r="BR269" s="1600"/>
      <c r="BS269" s="1600"/>
      <c r="BT269" s="1600"/>
      <c r="BU269" s="1600"/>
      <c r="BV269" s="1600"/>
      <c r="BW269" s="1600"/>
      <c r="CS269" s="2642"/>
      <c r="CT269" s="2642"/>
      <c r="CU269" s="2642"/>
      <c r="CV269" s="2642"/>
      <c r="CW269" s="2642"/>
      <c r="CX269" s="2642"/>
      <c r="CY269" s="2642"/>
      <c r="CZ269" s="2642"/>
      <c r="DA269" s="2642"/>
      <c r="DB269" s="2642"/>
      <c r="DC269" s="2642"/>
      <c r="DD269" s="2642"/>
      <c r="DE269" s="2642"/>
      <c r="DF269" s="2642"/>
      <c r="DG269" s="2642"/>
      <c r="DH269" s="2642"/>
      <c r="DI269" s="2642"/>
      <c r="DJ269" s="2642"/>
      <c r="DK269" s="2642"/>
      <c r="DL269" s="2642"/>
      <c r="DM269" s="2642"/>
      <c r="DN269" s="2642"/>
      <c r="DO269" s="2642"/>
      <c r="DP269" s="2642"/>
      <c r="DQ269" s="2642"/>
      <c r="DR269" s="2642"/>
      <c r="DS269" s="2642"/>
      <c r="DT269" s="2642"/>
      <c r="DU269" s="2642"/>
      <c r="DV269" s="2642"/>
      <c r="DW269" s="2642"/>
      <c r="DX269" s="2642"/>
      <c r="DY269" s="2642"/>
      <c r="DZ269" s="2642"/>
      <c r="EA269" s="2642"/>
      <c r="EB269" s="2642"/>
      <c r="EC269" s="2642"/>
      <c r="ED269" s="2642"/>
      <c r="EE269" s="2642"/>
      <c r="EF269" s="2642"/>
      <c r="EG269" s="2642"/>
      <c r="EH269" s="2642"/>
      <c r="EI269" s="2642"/>
      <c r="EJ269" s="2642"/>
      <c r="EK269" s="2642"/>
      <c r="EL269" s="2642"/>
      <c r="EM269" s="2642"/>
      <c r="FY269" s="517"/>
      <c r="GA269" s="517"/>
      <c r="IL269" s="516"/>
      <c r="IO269" s="517"/>
      <c r="IW269" s="2595"/>
      <c r="IX269" s="2595"/>
      <c r="IY269" s="2595"/>
      <c r="IZ269" s="2595"/>
    </row>
    <row r="270" spans="30:277" ht="4.1500000000000004" customHeight="1">
      <c r="AD270" s="516"/>
      <c r="AF270" s="516"/>
      <c r="BA270" s="1600"/>
      <c r="BB270" s="1600"/>
      <c r="BC270" s="1600"/>
      <c r="BD270" s="1600"/>
      <c r="BE270" s="1600"/>
      <c r="BF270" s="1600"/>
      <c r="BG270" s="1600"/>
      <c r="BH270" s="1600"/>
      <c r="BI270" s="1600"/>
      <c r="BJ270" s="1600"/>
      <c r="BK270" s="1600"/>
      <c r="BL270" s="1600"/>
      <c r="BM270" s="1600"/>
      <c r="BN270" s="1600"/>
      <c r="BO270" s="1600"/>
      <c r="BP270" s="1600"/>
      <c r="BQ270" s="1600"/>
      <c r="BR270" s="1600"/>
      <c r="BS270" s="1600"/>
      <c r="BT270" s="1600"/>
      <c r="BU270" s="1600"/>
      <c r="BV270" s="1600"/>
      <c r="BW270" s="1600"/>
      <c r="CS270" s="2642"/>
      <c r="CT270" s="2642"/>
      <c r="CU270" s="2642"/>
      <c r="CV270" s="2642"/>
      <c r="CW270" s="2642"/>
      <c r="CX270" s="2642"/>
      <c r="CY270" s="2642"/>
      <c r="CZ270" s="2642"/>
      <c r="DA270" s="2642"/>
      <c r="DB270" s="2642"/>
      <c r="DC270" s="2642"/>
      <c r="DD270" s="2642"/>
      <c r="DE270" s="2642"/>
      <c r="DF270" s="2642"/>
      <c r="DG270" s="2642"/>
      <c r="DH270" s="2642"/>
      <c r="DI270" s="2642"/>
      <c r="DJ270" s="2642"/>
      <c r="DK270" s="2642"/>
      <c r="DL270" s="2642"/>
      <c r="DM270" s="2642"/>
      <c r="DN270" s="2642"/>
      <c r="DO270" s="2642"/>
      <c r="DP270" s="2642"/>
      <c r="DQ270" s="2642"/>
      <c r="DR270" s="2642"/>
      <c r="DS270" s="2642"/>
      <c r="DT270" s="2642"/>
      <c r="DU270" s="2642"/>
      <c r="DV270" s="2642"/>
      <c r="DW270" s="2642"/>
      <c r="DX270" s="2642"/>
      <c r="DY270" s="2642"/>
      <c r="DZ270" s="2642"/>
      <c r="EA270" s="2642"/>
      <c r="EB270" s="2642"/>
      <c r="EC270" s="2642"/>
      <c r="ED270" s="2642"/>
      <c r="EE270" s="2642"/>
      <c r="EF270" s="2642"/>
      <c r="EG270" s="2642"/>
      <c r="EH270" s="2642"/>
      <c r="EI270" s="2642"/>
      <c r="EJ270" s="2642"/>
      <c r="EK270" s="2642"/>
      <c r="EL270" s="2642"/>
      <c r="EM270" s="2642"/>
      <c r="FY270" s="517"/>
      <c r="GA270" s="517"/>
      <c r="IL270" s="516"/>
      <c r="IO270" s="517"/>
      <c r="IW270" s="2595"/>
      <c r="IX270" s="2595"/>
      <c r="IY270" s="2595"/>
      <c r="IZ270" s="2595"/>
    </row>
    <row r="271" spans="30:277" ht="4.1500000000000004" customHeight="1">
      <c r="AD271" s="516"/>
      <c r="AF271" s="516"/>
      <c r="BA271" s="1508"/>
      <c r="BB271" s="1508"/>
      <c r="BC271" s="1508"/>
      <c r="BD271" s="1508"/>
      <c r="BE271" s="1508"/>
      <c r="BF271" s="1508"/>
      <c r="BG271" s="1508"/>
      <c r="BH271" s="1508"/>
      <c r="BI271" s="1508"/>
      <c r="BJ271" s="1508"/>
      <c r="BK271" s="1508"/>
      <c r="BL271" s="1508"/>
      <c r="BM271" s="1508"/>
      <c r="BN271" s="1508"/>
      <c r="BO271" s="1508"/>
      <c r="BP271" s="1508"/>
      <c r="BQ271" s="1508"/>
      <c r="BR271" s="1508"/>
      <c r="BS271" s="1508"/>
      <c r="BT271" s="1508"/>
      <c r="BU271" s="1508"/>
      <c r="BV271" s="1508"/>
      <c r="BW271" s="1508"/>
      <c r="FY271" s="517"/>
      <c r="GA271" s="517"/>
      <c r="IL271" s="516"/>
      <c r="IO271" s="517"/>
      <c r="IW271" s="2595"/>
      <c r="IX271" s="2595"/>
      <c r="IY271" s="2595"/>
      <c r="IZ271" s="2595"/>
      <c r="JK271" s="2597">
        <v>0.125</v>
      </c>
      <c r="JL271" s="2597"/>
      <c r="JM271" s="2597"/>
      <c r="JN271" s="2597"/>
      <c r="JO271" s="2597"/>
      <c r="JP271" s="2597"/>
      <c r="JQ271" s="2597"/>
    </row>
    <row r="272" spans="30:277" ht="4.1500000000000004" customHeight="1">
      <c r="AD272" s="516"/>
      <c r="AF272" s="516"/>
      <c r="BA272" s="1508"/>
      <c r="BB272" s="1508"/>
      <c r="BC272" s="1508"/>
      <c r="BD272" s="1508"/>
      <c r="BE272" s="1508"/>
      <c r="BF272" s="1508"/>
      <c r="BG272" s="1508"/>
      <c r="BH272" s="1508"/>
      <c r="BI272" s="1508"/>
      <c r="BJ272" s="1508"/>
      <c r="BK272" s="1508"/>
      <c r="BL272" s="1508"/>
      <c r="BM272" s="1508"/>
      <c r="BN272" s="1508"/>
      <c r="BO272" s="1508"/>
      <c r="BP272" s="1508"/>
      <c r="BQ272" s="1508"/>
      <c r="BR272" s="1508"/>
      <c r="BS272" s="1508"/>
      <c r="BT272" s="1508"/>
      <c r="BU272" s="1508"/>
      <c r="BV272" s="1508"/>
      <c r="BW272" s="1508"/>
      <c r="FY272" s="517"/>
      <c r="GA272" s="517"/>
      <c r="IL272" s="516"/>
      <c r="IO272" s="517"/>
      <c r="IW272" s="2595"/>
      <c r="IX272" s="2595"/>
      <c r="IY272" s="2595"/>
      <c r="IZ272" s="2595"/>
      <c r="JK272" s="2598"/>
      <c r="JL272" s="2598"/>
      <c r="JM272" s="2598"/>
      <c r="JN272" s="2598"/>
      <c r="JO272" s="2598"/>
      <c r="JP272" s="2598"/>
      <c r="JQ272" s="2598"/>
    </row>
    <row r="273" spans="30:274" ht="4.1500000000000004" customHeight="1">
      <c r="AD273" s="516"/>
      <c r="AF273" s="516"/>
      <c r="BA273" s="1599"/>
      <c r="BB273" s="1600"/>
      <c r="BC273" s="1600"/>
      <c r="BD273" s="1600"/>
      <c r="BE273" s="1600"/>
      <c r="BF273" s="1600"/>
      <c r="BG273" s="1600"/>
      <c r="BH273" s="1600"/>
      <c r="BI273" s="1600"/>
      <c r="BJ273" s="1600"/>
      <c r="BK273" s="1600"/>
      <c r="BL273" s="1600"/>
      <c r="BM273" s="1600"/>
      <c r="BN273" s="1600"/>
      <c r="BO273" s="1600"/>
      <c r="BP273" s="1600"/>
      <c r="BQ273" s="1600"/>
      <c r="BR273" s="1600"/>
      <c r="BS273" s="1600"/>
      <c r="BT273" s="1600"/>
      <c r="BU273" s="1600"/>
      <c r="BV273" s="1600"/>
      <c r="BW273" s="1600"/>
      <c r="FY273" s="517"/>
      <c r="GA273" s="517"/>
      <c r="IL273" s="516"/>
      <c r="IO273" s="517"/>
      <c r="IW273" s="2595"/>
      <c r="IX273" s="2595"/>
      <c r="IY273" s="2595"/>
      <c r="IZ273" s="2595"/>
    </row>
    <row r="274" spans="30:274" ht="4.1500000000000004" customHeight="1">
      <c r="AD274" s="516"/>
      <c r="AF274" s="516"/>
      <c r="BA274" s="1600"/>
      <c r="BB274" s="1600"/>
      <c r="BC274" s="1600"/>
      <c r="BD274" s="1600"/>
      <c r="BE274" s="1600"/>
      <c r="BF274" s="1600"/>
      <c r="BG274" s="1600"/>
      <c r="BH274" s="1600"/>
      <c r="BI274" s="1600"/>
      <c r="BJ274" s="1600"/>
      <c r="BK274" s="1600"/>
      <c r="BL274" s="1600"/>
      <c r="BM274" s="1600"/>
      <c r="BN274" s="1600"/>
      <c r="BO274" s="1600"/>
      <c r="BP274" s="1600"/>
      <c r="BQ274" s="1600"/>
      <c r="BR274" s="1600"/>
      <c r="BS274" s="1600"/>
      <c r="BT274" s="1600"/>
      <c r="BU274" s="1600"/>
      <c r="BV274" s="1600"/>
      <c r="BW274" s="1600"/>
      <c r="FY274" s="517"/>
      <c r="GA274" s="517"/>
      <c r="IL274" s="516"/>
      <c r="IO274" s="517"/>
      <c r="IW274" s="2595"/>
      <c r="IX274" s="2595"/>
      <c r="IY274" s="2595"/>
      <c r="IZ274" s="2595"/>
    </row>
    <row r="275" spans="30:274" ht="4.1500000000000004" customHeight="1">
      <c r="AD275" s="516"/>
      <c r="AF275" s="516"/>
      <c r="AX275" s="532"/>
      <c r="AY275" s="532"/>
      <c r="AZ275" s="532"/>
      <c r="BA275" s="1603"/>
      <c r="BB275" s="1603"/>
      <c r="BC275" s="1603"/>
      <c r="BD275" s="1603"/>
      <c r="BE275" s="1603"/>
      <c r="BF275" s="1603"/>
      <c r="BG275" s="1603"/>
      <c r="BH275" s="1603"/>
      <c r="BI275" s="1603"/>
      <c r="BJ275" s="1603"/>
      <c r="BK275" s="1603"/>
      <c r="BL275" s="1603"/>
      <c r="BM275" s="1603"/>
      <c r="BN275" s="1603"/>
      <c r="BO275" s="1603"/>
      <c r="BP275" s="1603"/>
      <c r="BQ275" s="1603"/>
      <c r="BR275" s="1603"/>
      <c r="BS275" s="1603"/>
      <c r="BT275" s="1603"/>
      <c r="BU275" s="1603"/>
      <c r="BV275" s="1603"/>
      <c r="BW275" s="1603"/>
      <c r="BX275" s="532"/>
      <c r="BY275" s="532"/>
      <c r="BZ275" s="532"/>
      <c r="CA275" s="532"/>
      <c r="CB275" s="532"/>
      <c r="CC275" s="532"/>
      <c r="CD275" s="532"/>
      <c r="CE275" s="532"/>
      <c r="CF275" s="532"/>
      <c r="CG275" s="532"/>
      <c r="CH275" s="532"/>
      <c r="CI275" s="532"/>
      <c r="CJ275" s="532"/>
      <c r="CK275" s="532"/>
      <c r="CL275" s="532"/>
      <c r="CM275" s="532"/>
      <c r="CN275" s="532"/>
      <c r="CO275" s="532"/>
      <c r="CP275" s="532"/>
      <c r="CQ275" s="532"/>
      <c r="DA275" s="532"/>
      <c r="DB275" s="532"/>
      <c r="DC275" s="532"/>
      <c r="DD275" s="532"/>
      <c r="DE275" s="532"/>
      <c r="DF275" s="532"/>
      <c r="DG275" s="532"/>
      <c r="DH275" s="532"/>
      <c r="DI275" s="532"/>
      <c r="DJ275" s="532"/>
      <c r="DK275" s="532"/>
      <c r="DL275" s="532"/>
      <c r="DM275" s="532"/>
      <c r="DN275" s="532"/>
      <c r="DO275" s="532"/>
      <c r="DP275" s="532"/>
      <c r="DQ275" s="532"/>
      <c r="DR275" s="532"/>
      <c r="DS275" s="532"/>
      <c r="DT275" s="532"/>
      <c r="DU275" s="532"/>
      <c r="DV275" s="532"/>
      <c r="DW275" s="532"/>
      <c r="DX275" s="532"/>
      <c r="EH275" s="532"/>
      <c r="EI275" s="532"/>
      <c r="FD275" s="532"/>
      <c r="FE275" s="532"/>
      <c r="FY275" s="517"/>
      <c r="GA275" s="517"/>
      <c r="IL275" s="516"/>
      <c r="IO275" s="517"/>
      <c r="IW275" s="2595"/>
      <c r="IX275" s="2595"/>
      <c r="IY275" s="2595"/>
      <c r="IZ275" s="2595"/>
    </row>
    <row r="276" spans="30:274" ht="4.1500000000000004" customHeight="1">
      <c r="AD276" s="519"/>
      <c r="AE276" s="521"/>
      <c r="AF276" s="516"/>
      <c r="AW276" s="517"/>
      <c r="AX276" s="519"/>
      <c r="AY276" s="521"/>
      <c r="BA276" s="1600"/>
      <c r="BB276" s="1600"/>
      <c r="BC276" s="1600"/>
      <c r="BD276" s="1600"/>
      <c r="BE276" s="1600"/>
      <c r="BF276" s="1600"/>
      <c r="BG276" s="1600"/>
      <c r="BH276" s="1600"/>
      <c r="BI276" s="1600"/>
      <c r="BJ276" s="1600"/>
      <c r="BK276" s="1600"/>
      <c r="BL276" s="1600"/>
      <c r="BM276" s="1600"/>
      <c r="BN276" s="1600"/>
      <c r="BO276" s="1600"/>
      <c r="BP276" s="1600"/>
      <c r="BQ276" s="1600"/>
      <c r="BR276" s="1600"/>
      <c r="BS276" s="1600"/>
      <c r="BT276" s="519"/>
      <c r="BU276" s="521"/>
      <c r="BV276" s="1600"/>
      <c r="BW276" s="1600"/>
      <c r="CP276" s="519"/>
      <c r="CQ276" s="521"/>
      <c r="CR276" s="516"/>
      <c r="DA276" s="519"/>
      <c r="DB276" s="521"/>
      <c r="DW276" s="519"/>
      <c r="DX276" s="521"/>
      <c r="DY276" s="516"/>
      <c r="EH276" s="519"/>
      <c r="EI276" s="520"/>
      <c r="FD276" s="520"/>
      <c r="FE276" s="520"/>
      <c r="FZ276" s="520"/>
      <c r="GA276" s="521"/>
      <c r="IL276" s="516"/>
      <c r="IO276" s="517"/>
      <c r="IY276" s="516"/>
    </row>
    <row r="277" spans="30:274" ht="4.1500000000000004" customHeight="1">
      <c r="AD277" s="522"/>
      <c r="AE277" s="524"/>
      <c r="AF277" s="516"/>
      <c r="AW277" s="517"/>
      <c r="AX277" s="522"/>
      <c r="AY277" s="524"/>
      <c r="BT277" s="522"/>
      <c r="BU277" s="524"/>
      <c r="CP277" s="522"/>
      <c r="CQ277" s="524"/>
      <c r="CR277" s="516"/>
      <c r="DA277" s="522"/>
      <c r="DB277" s="524"/>
      <c r="DW277" s="522"/>
      <c r="DX277" s="524"/>
      <c r="DY277" s="516"/>
      <c r="EH277" s="522"/>
      <c r="EI277" s="523"/>
      <c r="FD277" s="523"/>
      <c r="FE277" s="523"/>
      <c r="FZ277" s="523"/>
      <c r="GA277" s="524"/>
      <c r="IL277" s="516"/>
      <c r="IO277" s="517"/>
      <c r="IY277" s="516"/>
    </row>
    <row r="278" spans="30:274" ht="4.1500000000000004" customHeight="1">
      <c r="AD278" s="527"/>
      <c r="AE278" s="529"/>
      <c r="AF278" s="516"/>
      <c r="AG278" s="662"/>
      <c r="AH278" s="662"/>
      <c r="AI278" s="662"/>
      <c r="AJ278" s="662"/>
      <c r="AK278" s="662"/>
      <c r="AL278" s="662"/>
      <c r="AM278" s="662"/>
      <c r="AN278" s="662"/>
      <c r="AO278" s="662"/>
      <c r="AP278" s="662"/>
      <c r="AQ278" s="662"/>
      <c r="AR278" s="662"/>
      <c r="AS278" s="662"/>
      <c r="AW278" s="517"/>
      <c r="AX278" s="527"/>
      <c r="AY278" s="529"/>
      <c r="AZ278" s="515"/>
      <c r="BA278" s="514"/>
      <c r="BB278" s="514"/>
      <c r="BC278" s="514"/>
      <c r="BD278" s="514"/>
      <c r="BE278" s="514"/>
      <c r="BF278" s="514"/>
      <c r="BG278" s="514"/>
      <c r="BH278" s="514"/>
      <c r="BI278" s="514"/>
      <c r="BJ278" s="514"/>
      <c r="BK278" s="514"/>
      <c r="BL278" s="514"/>
      <c r="BM278" s="514"/>
      <c r="BN278" s="514"/>
      <c r="BO278" s="514"/>
      <c r="BP278" s="514"/>
      <c r="BQ278" s="514"/>
      <c r="BR278" s="514"/>
      <c r="BS278" s="514"/>
      <c r="BT278" s="527"/>
      <c r="BU278" s="529"/>
      <c r="BV278" s="514"/>
      <c r="BW278" s="514"/>
      <c r="BX278" s="514"/>
      <c r="BY278" s="514"/>
      <c r="BZ278" s="514"/>
      <c r="CA278" s="514"/>
      <c r="CB278" s="514"/>
      <c r="CC278" s="514"/>
      <c r="CD278" s="514"/>
      <c r="CE278" s="514"/>
      <c r="CF278" s="514"/>
      <c r="CG278" s="514"/>
      <c r="CH278" s="514"/>
      <c r="CI278" s="514"/>
      <c r="CJ278" s="514"/>
      <c r="CK278" s="514"/>
      <c r="CL278" s="514"/>
      <c r="CM278" s="514"/>
      <c r="CN278" s="514"/>
      <c r="CO278" s="518"/>
      <c r="CP278" s="522"/>
      <c r="CQ278" s="524"/>
      <c r="CR278" s="516"/>
      <c r="CZ278" s="517"/>
      <c r="DA278" s="527"/>
      <c r="DB278" s="529"/>
      <c r="DW278" s="527"/>
      <c r="DX278" s="529"/>
      <c r="DY278" s="516"/>
      <c r="EH278" s="522"/>
      <c r="EI278" s="524"/>
      <c r="EJ278" s="515"/>
      <c r="EK278" s="514"/>
      <c r="EL278" s="514"/>
      <c r="EM278" s="514"/>
      <c r="EN278" s="514"/>
      <c r="EO278" s="514"/>
      <c r="EP278" s="514"/>
      <c r="EQ278" s="514"/>
      <c r="ER278" s="514"/>
      <c r="ES278" s="514"/>
      <c r="ET278" s="514"/>
      <c r="EU278" s="514"/>
      <c r="EV278" s="514"/>
      <c r="EW278" s="514"/>
      <c r="EX278" s="514"/>
      <c r="EY278" s="514"/>
      <c r="EZ278" s="514"/>
      <c r="FA278" s="514"/>
      <c r="FB278" s="514"/>
      <c r="FC278" s="514"/>
      <c r="FD278" s="527"/>
      <c r="FE278" s="529"/>
      <c r="FF278" s="514"/>
      <c r="FG278" s="514"/>
      <c r="FH278" s="514"/>
      <c r="FI278" s="514"/>
      <c r="FJ278" s="514"/>
      <c r="FK278" s="514"/>
      <c r="FL278" s="514"/>
      <c r="FM278" s="514"/>
      <c r="FN278" s="514"/>
      <c r="FO278" s="514"/>
      <c r="FP278" s="514"/>
      <c r="FQ278" s="514"/>
      <c r="FR278" s="514"/>
      <c r="FS278" s="514"/>
      <c r="FT278" s="514"/>
      <c r="FU278" s="514"/>
      <c r="FV278" s="514"/>
      <c r="FW278" s="514"/>
      <c r="FX278" s="514"/>
      <c r="FY278" s="518"/>
      <c r="FZ278" s="527"/>
      <c r="GA278" s="529"/>
      <c r="IL278" s="516"/>
      <c r="IO278" s="517"/>
      <c r="IP278" s="516"/>
      <c r="IY278" s="516"/>
    </row>
    <row r="279" spans="30:274" ht="4.1500000000000004" customHeight="1">
      <c r="AD279" s="516"/>
      <c r="AF279" s="516"/>
      <c r="AG279" s="662"/>
      <c r="AH279" s="662"/>
      <c r="AI279" s="662"/>
      <c r="AJ279" s="662"/>
      <c r="AK279" s="662"/>
      <c r="AL279" s="662"/>
      <c r="AM279" s="662"/>
      <c r="AN279" s="662"/>
      <c r="AO279" s="662"/>
      <c r="AP279" s="662"/>
      <c r="AQ279" s="662"/>
      <c r="AR279" s="662"/>
      <c r="AS279" s="662"/>
      <c r="AW279" s="517"/>
      <c r="AX279" s="516"/>
      <c r="AZ279" s="516"/>
      <c r="CP279" s="667"/>
      <c r="CQ279" s="667"/>
      <c r="CZ279" s="517"/>
      <c r="DA279" s="516"/>
      <c r="DY279" s="516"/>
      <c r="EH279" s="514"/>
      <c r="EI279" s="514"/>
      <c r="FY279" s="517"/>
      <c r="GA279" s="517"/>
      <c r="IL279" s="516"/>
      <c r="IO279" s="517"/>
      <c r="IP279" s="516"/>
      <c r="IY279" s="516"/>
    </row>
    <row r="280" spans="30:274" ht="4.1500000000000004" customHeight="1">
      <c r="AD280" s="516"/>
      <c r="AF280" s="515"/>
      <c r="AG280" s="667"/>
      <c r="AH280" s="667"/>
      <c r="AI280" s="667"/>
      <c r="AJ280" s="667"/>
      <c r="AK280" s="667"/>
      <c r="AL280" s="667"/>
      <c r="AM280" s="667"/>
      <c r="AN280" s="1583"/>
      <c r="AO280" s="667"/>
      <c r="AP280" s="667"/>
      <c r="AQ280" s="667"/>
      <c r="AR280" s="667"/>
      <c r="AS280" s="667"/>
      <c r="AT280" s="514"/>
      <c r="AU280" s="514"/>
      <c r="AV280" s="514"/>
      <c r="AW280" s="518"/>
      <c r="AX280" s="516"/>
      <c r="AZ280" s="516"/>
      <c r="CP280" s="662"/>
      <c r="CQ280" s="662"/>
      <c r="CZ280" s="517"/>
      <c r="DA280" s="516"/>
      <c r="DX280" s="517"/>
      <c r="DY280" s="516"/>
      <c r="FY280" s="517"/>
      <c r="GA280" s="517"/>
      <c r="IL280" s="516"/>
      <c r="IO280" s="517"/>
      <c r="IP280" s="516"/>
      <c r="IY280" s="516"/>
    </row>
    <row r="281" spans="30:274" ht="4.1500000000000004" customHeight="1">
      <c r="AD281" s="516"/>
      <c r="AF281" s="530"/>
      <c r="AG281" s="532"/>
      <c r="AH281" s="532"/>
      <c r="AI281" s="532"/>
      <c r="AJ281" s="532"/>
      <c r="AK281" s="532"/>
      <c r="AL281" s="532"/>
      <c r="AM281" s="532"/>
      <c r="AN281" s="531"/>
      <c r="AO281" s="532"/>
      <c r="AP281" s="532"/>
      <c r="AQ281" s="532"/>
      <c r="AR281" s="532"/>
      <c r="AS281" s="532"/>
      <c r="AT281" s="532"/>
      <c r="AU281" s="532"/>
      <c r="AV281" s="532"/>
      <c r="AW281" s="531"/>
      <c r="AX281" s="516"/>
      <c r="AZ281" s="516"/>
      <c r="CZ281" s="517"/>
      <c r="DA281" s="516"/>
      <c r="DX281" s="517"/>
      <c r="DY281" s="516"/>
      <c r="FY281" s="517"/>
      <c r="GA281" s="517"/>
      <c r="IL281" s="516"/>
      <c r="IO281" s="517"/>
      <c r="IP281" s="516"/>
      <c r="IY281" s="516"/>
    </row>
    <row r="282" spans="30:274" ht="4.1500000000000004" customHeight="1">
      <c r="AD282" s="516"/>
      <c r="AF282" s="515"/>
      <c r="AG282" s="667"/>
      <c r="AH282" s="667"/>
      <c r="AI282" s="667"/>
      <c r="AJ282" s="667"/>
      <c r="AK282" s="667"/>
      <c r="AL282" s="667"/>
      <c r="AM282" s="667"/>
      <c r="AN282" s="1583"/>
      <c r="AO282" s="667"/>
      <c r="AP282" s="667"/>
      <c r="AQ282" s="667"/>
      <c r="AR282" s="667"/>
      <c r="AS282" s="667"/>
      <c r="AT282" s="514"/>
      <c r="AU282" s="514"/>
      <c r="AV282" s="514"/>
      <c r="AW282" s="518"/>
      <c r="AX282" s="516"/>
      <c r="AZ282" s="516"/>
      <c r="CZ282" s="517"/>
      <c r="DA282" s="516"/>
      <c r="DX282" s="517"/>
      <c r="DY282" s="516"/>
      <c r="FY282" s="517"/>
      <c r="GA282" s="517"/>
      <c r="IL282" s="516"/>
      <c r="IO282" s="517"/>
      <c r="IP282" s="516"/>
      <c r="IY282" s="516"/>
    </row>
    <row r="283" spans="30:274" ht="4.1500000000000004" customHeight="1">
      <c r="AD283" s="516"/>
      <c r="AF283" s="530"/>
      <c r="AG283" s="532"/>
      <c r="AH283" s="532"/>
      <c r="AI283" s="532"/>
      <c r="AJ283" s="532"/>
      <c r="AK283" s="532"/>
      <c r="AL283" s="532"/>
      <c r="AM283" s="532"/>
      <c r="AN283" s="531"/>
      <c r="AO283" s="532"/>
      <c r="AP283" s="532"/>
      <c r="AQ283" s="532"/>
      <c r="AR283" s="532"/>
      <c r="AS283" s="532"/>
      <c r="AT283" s="532"/>
      <c r="AU283" s="532"/>
      <c r="AV283" s="532"/>
      <c r="AW283" s="531"/>
      <c r="AX283" s="516"/>
      <c r="AZ283" s="516"/>
      <c r="CZ283" s="517"/>
      <c r="DA283" s="516"/>
      <c r="DX283" s="517"/>
      <c r="DY283" s="516"/>
      <c r="FY283" s="517"/>
      <c r="GA283" s="517"/>
      <c r="HQ283" s="532"/>
      <c r="HR283" s="532"/>
      <c r="HS283" s="532"/>
      <c r="HT283" s="532"/>
      <c r="HU283" s="532"/>
      <c r="HV283" s="532"/>
      <c r="HW283" s="532"/>
      <c r="HX283" s="532"/>
      <c r="HY283" s="532"/>
      <c r="HZ283" s="532"/>
      <c r="IA283" s="532"/>
      <c r="IB283" s="532"/>
      <c r="IC283" s="532"/>
      <c r="ID283" s="532"/>
      <c r="IE283" s="532"/>
      <c r="IF283" s="532"/>
      <c r="IG283" s="532"/>
      <c r="IH283" s="532"/>
      <c r="II283" s="532"/>
      <c r="IJ283" s="532"/>
      <c r="IL283" s="516"/>
      <c r="IO283" s="517"/>
      <c r="IP283" s="530"/>
      <c r="IQ283" s="532"/>
      <c r="IR283" s="532"/>
      <c r="IS283" s="532"/>
      <c r="IT283" s="532"/>
      <c r="IU283" s="532"/>
      <c r="IV283" s="532"/>
      <c r="IW283" s="532"/>
      <c r="IX283" s="532"/>
      <c r="IY283" s="530"/>
      <c r="IZ283" s="532"/>
      <c r="JA283" s="532"/>
      <c r="JB283" s="532"/>
      <c r="JC283" s="532"/>
      <c r="JD283" s="532"/>
      <c r="JE283" s="532"/>
      <c r="JF283" s="532"/>
      <c r="JG283" s="532"/>
      <c r="JH283" s="532"/>
      <c r="JI283" s="532"/>
      <c r="JJ283" s="532"/>
      <c r="JK283" s="532"/>
      <c r="JL283" s="532"/>
      <c r="JM283" s="532"/>
      <c r="JN283" s="532"/>
    </row>
    <row r="284" spans="30:274" ht="4.1500000000000004" customHeight="1">
      <c r="AD284" s="516"/>
      <c r="AF284" s="515"/>
      <c r="AG284" s="667"/>
      <c r="AH284" s="667"/>
      <c r="AI284" s="667"/>
      <c r="AJ284" s="667"/>
      <c r="AK284" s="667"/>
      <c r="AL284" s="667"/>
      <c r="AM284" s="667"/>
      <c r="AN284" s="1583"/>
      <c r="AO284" s="667"/>
      <c r="AP284" s="667"/>
      <c r="AQ284" s="667"/>
      <c r="AR284" s="667"/>
      <c r="AS284" s="667"/>
      <c r="AT284" s="514"/>
      <c r="AU284" s="514"/>
      <c r="AV284" s="514"/>
      <c r="AW284" s="518"/>
      <c r="AX284" s="516"/>
      <c r="AZ284" s="516"/>
      <c r="CZ284" s="517"/>
      <c r="DA284" s="516"/>
      <c r="DX284" s="517"/>
      <c r="DY284" s="516"/>
      <c r="FY284" s="517"/>
      <c r="GA284" s="517"/>
      <c r="IL284" s="519"/>
      <c r="IM284" s="520"/>
      <c r="IN284" s="520"/>
      <c r="IO284" s="521"/>
    </row>
    <row r="285" spans="30:274" ht="4.1500000000000004" customHeight="1">
      <c r="AD285" s="516"/>
      <c r="AF285" s="530"/>
      <c r="AG285" s="532"/>
      <c r="AH285" s="532"/>
      <c r="AI285" s="532"/>
      <c r="AJ285" s="532"/>
      <c r="AK285" s="532"/>
      <c r="AL285" s="532"/>
      <c r="AM285" s="532"/>
      <c r="AN285" s="531"/>
      <c r="AO285" s="532"/>
      <c r="AP285" s="532"/>
      <c r="AQ285" s="532"/>
      <c r="AR285" s="532"/>
      <c r="AS285" s="532"/>
      <c r="AT285" s="532"/>
      <c r="AU285" s="532"/>
      <c r="AV285" s="532"/>
      <c r="AW285" s="531"/>
      <c r="AX285" s="516"/>
      <c r="AZ285" s="516"/>
      <c r="CZ285" s="517"/>
      <c r="DA285" s="516"/>
      <c r="DX285" s="517"/>
      <c r="DY285" s="516"/>
      <c r="FY285" s="517"/>
      <c r="GA285" s="517"/>
      <c r="IL285" s="522"/>
      <c r="IM285" s="523"/>
      <c r="IN285" s="523"/>
      <c r="IO285" s="524"/>
    </row>
    <row r="286" spans="30:274" ht="4.1500000000000004" customHeight="1">
      <c r="AD286" s="516"/>
      <c r="AF286" s="515"/>
      <c r="AG286" s="667"/>
      <c r="AH286" s="667"/>
      <c r="AI286" s="667"/>
      <c r="AJ286" s="667"/>
      <c r="AK286" s="667"/>
      <c r="AL286" s="667"/>
      <c r="AM286" s="667"/>
      <c r="AN286" s="1583"/>
      <c r="AO286" s="667"/>
      <c r="AP286" s="667"/>
      <c r="AQ286" s="667"/>
      <c r="AR286" s="667"/>
      <c r="AS286" s="667"/>
      <c r="AT286" s="514"/>
      <c r="AU286" s="514"/>
      <c r="AV286" s="514"/>
      <c r="AW286" s="518"/>
      <c r="AX286" s="516"/>
      <c r="AZ286" s="516"/>
      <c r="CW286" s="662"/>
      <c r="CX286" s="662"/>
      <c r="CZ286" s="517"/>
      <c r="DA286" s="516"/>
      <c r="DC286" s="2641" t="s">
        <v>3603</v>
      </c>
      <c r="DD286" s="2641"/>
      <c r="DE286" s="2641"/>
      <c r="DF286" s="2641"/>
      <c r="DG286" s="2641"/>
      <c r="DH286" s="2641"/>
      <c r="DI286" s="2641"/>
      <c r="DJ286" s="2641"/>
      <c r="DK286" s="2641"/>
      <c r="DL286" s="2641"/>
      <c r="DM286" s="2641"/>
      <c r="DN286" s="2641"/>
      <c r="DO286" s="2641"/>
      <c r="DP286" s="2641"/>
      <c r="DQ286" s="2641"/>
      <c r="DR286" s="2641"/>
      <c r="DS286" s="2641"/>
      <c r="DT286" s="2641"/>
      <c r="DU286" s="2641"/>
      <c r="DV286" s="2641"/>
      <c r="DX286" s="517"/>
      <c r="DY286" s="516"/>
      <c r="ED286" s="662"/>
      <c r="EE286" s="662"/>
      <c r="FY286" s="517"/>
      <c r="GA286" s="517"/>
      <c r="IL286" s="527"/>
      <c r="IM286" s="528"/>
      <c r="IN286" s="528"/>
      <c r="IO286" s="529"/>
      <c r="IP286" s="516"/>
    </row>
    <row r="287" spans="30:274" ht="4.1500000000000004" customHeight="1">
      <c r="AD287" s="516"/>
      <c r="AF287" s="530"/>
      <c r="AG287" s="532"/>
      <c r="AH287" s="532"/>
      <c r="AI287" s="532"/>
      <c r="AJ287" s="532"/>
      <c r="AK287" s="532"/>
      <c r="AL287" s="532"/>
      <c r="AM287" s="532"/>
      <c r="AN287" s="531"/>
      <c r="AO287" s="532"/>
      <c r="AP287" s="532"/>
      <c r="AQ287" s="532"/>
      <c r="AR287" s="532"/>
      <c r="AS287" s="532"/>
      <c r="AT287" s="532"/>
      <c r="AU287" s="532"/>
      <c r="AV287" s="532"/>
      <c r="AW287" s="531"/>
      <c r="AX287" s="516"/>
      <c r="AZ287" s="516"/>
      <c r="CP287" s="532"/>
      <c r="CQ287" s="532"/>
      <c r="CW287" s="662"/>
      <c r="CX287" s="662"/>
      <c r="CZ287" s="517"/>
      <c r="DA287" s="516"/>
      <c r="DC287" s="2641"/>
      <c r="DD287" s="2641"/>
      <c r="DE287" s="2641"/>
      <c r="DF287" s="2641"/>
      <c r="DG287" s="2641"/>
      <c r="DH287" s="2641"/>
      <c r="DI287" s="2641"/>
      <c r="DJ287" s="2641"/>
      <c r="DK287" s="2641"/>
      <c r="DL287" s="2641"/>
      <c r="DM287" s="2641"/>
      <c r="DN287" s="2641"/>
      <c r="DO287" s="2641"/>
      <c r="DP287" s="2641"/>
      <c r="DQ287" s="2641"/>
      <c r="DR287" s="2641"/>
      <c r="DS287" s="2641"/>
      <c r="DT287" s="2641"/>
      <c r="DU287" s="2641"/>
      <c r="DV287" s="2641"/>
      <c r="DX287" s="517"/>
      <c r="DY287" s="516"/>
      <c r="ED287" s="662"/>
      <c r="EE287" s="662"/>
      <c r="EH287" s="532"/>
      <c r="EI287" s="532"/>
      <c r="FY287" s="517"/>
      <c r="GA287" s="517"/>
      <c r="IL287" s="515"/>
      <c r="IM287" s="514"/>
      <c r="IN287" s="514"/>
      <c r="IO287" s="518"/>
      <c r="IP287" s="516"/>
    </row>
    <row r="288" spans="30:274" ht="4.1500000000000004" customHeight="1">
      <c r="AD288" s="516"/>
      <c r="AF288" s="515"/>
      <c r="AG288" s="667"/>
      <c r="AH288" s="667"/>
      <c r="AI288" s="667"/>
      <c r="AJ288" s="667"/>
      <c r="AK288" s="667"/>
      <c r="AL288" s="667"/>
      <c r="AM288" s="667"/>
      <c r="AN288" s="1583"/>
      <c r="AO288" s="667"/>
      <c r="AP288" s="667"/>
      <c r="AQ288" s="667"/>
      <c r="AR288" s="667"/>
      <c r="AS288" s="667"/>
      <c r="AT288" s="514"/>
      <c r="AU288" s="514"/>
      <c r="AV288" s="514"/>
      <c r="AW288" s="518"/>
      <c r="AX288" s="516"/>
      <c r="AZ288" s="516"/>
      <c r="CO288" s="517"/>
      <c r="CR288" s="516"/>
      <c r="CW288" s="662"/>
      <c r="CX288" s="662"/>
      <c r="CZ288" s="517"/>
      <c r="DA288" s="516"/>
      <c r="DC288" s="2641"/>
      <c r="DD288" s="2641"/>
      <c r="DE288" s="2641"/>
      <c r="DF288" s="2641"/>
      <c r="DG288" s="2641"/>
      <c r="DH288" s="2641"/>
      <c r="DI288" s="2641"/>
      <c r="DJ288" s="2641"/>
      <c r="DK288" s="2641"/>
      <c r="DL288" s="2641"/>
      <c r="DM288" s="2641"/>
      <c r="DN288" s="2641"/>
      <c r="DO288" s="2641"/>
      <c r="DP288" s="2641"/>
      <c r="DQ288" s="2641"/>
      <c r="DR288" s="2641"/>
      <c r="DS288" s="2641"/>
      <c r="DT288" s="2641"/>
      <c r="DU288" s="2641"/>
      <c r="DV288" s="2641"/>
      <c r="DX288" s="517"/>
      <c r="DY288" s="516"/>
      <c r="ED288" s="662"/>
      <c r="EE288" s="662"/>
      <c r="EG288" s="517"/>
      <c r="EJ288" s="516"/>
      <c r="FY288" s="517"/>
      <c r="GA288" s="517"/>
      <c r="IL288" s="516"/>
      <c r="IO288" s="517"/>
      <c r="IP288" s="516"/>
    </row>
    <row r="289" spans="30:274" ht="4.1500000000000004" customHeight="1">
      <c r="AD289" s="516"/>
      <c r="AF289" s="530"/>
      <c r="AG289" s="532"/>
      <c r="AH289" s="532"/>
      <c r="AI289" s="532"/>
      <c r="AJ289" s="532"/>
      <c r="AK289" s="532"/>
      <c r="AL289" s="532"/>
      <c r="AM289" s="532"/>
      <c r="AN289" s="531"/>
      <c r="AO289" s="532"/>
      <c r="AP289" s="532"/>
      <c r="AQ289" s="532"/>
      <c r="AR289" s="532"/>
      <c r="AS289" s="532"/>
      <c r="AT289" s="532"/>
      <c r="AU289" s="532"/>
      <c r="AV289" s="532"/>
      <c r="AW289" s="531"/>
      <c r="AX289" s="516"/>
      <c r="AZ289" s="516"/>
      <c r="CO289" s="517"/>
      <c r="CR289" s="516"/>
      <c r="CW289" s="662"/>
      <c r="CX289" s="662"/>
      <c r="CY289" s="662"/>
      <c r="CZ289" s="664"/>
      <c r="DA289" s="663"/>
      <c r="DB289" s="662"/>
      <c r="DC289" s="2641"/>
      <c r="DD289" s="2641"/>
      <c r="DE289" s="2641"/>
      <c r="DF289" s="2641"/>
      <c r="DG289" s="2641"/>
      <c r="DH289" s="2641"/>
      <c r="DI289" s="2641"/>
      <c r="DJ289" s="2641"/>
      <c r="DK289" s="2641"/>
      <c r="DL289" s="2641"/>
      <c r="DM289" s="2641"/>
      <c r="DN289" s="2641"/>
      <c r="DO289" s="2641"/>
      <c r="DP289" s="2641"/>
      <c r="DQ289" s="2641"/>
      <c r="DR289" s="2641"/>
      <c r="DS289" s="2641"/>
      <c r="DT289" s="2641"/>
      <c r="DU289" s="2641"/>
      <c r="DV289" s="2641"/>
      <c r="DW289" s="662"/>
      <c r="DX289" s="664"/>
      <c r="DY289" s="516"/>
      <c r="ED289" s="662"/>
      <c r="EE289" s="662"/>
      <c r="EF289" s="662"/>
      <c r="EG289" s="664"/>
      <c r="EH289" s="662"/>
      <c r="EI289" s="662"/>
      <c r="EJ289" s="516"/>
      <c r="FY289" s="517"/>
      <c r="FZ289" s="662"/>
      <c r="GA289" s="664"/>
      <c r="IK289" s="517"/>
      <c r="IL289" s="516"/>
      <c r="IO289" s="517"/>
      <c r="IP289" s="516"/>
    </row>
    <row r="290" spans="30:274" ht="4.1500000000000004" customHeight="1">
      <c r="AD290" s="516"/>
      <c r="AF290" s="515"/>
      <c r="AG290" s="667"/>
      <c r="AH290" s="667"/>
      <c r="AI290" s="667"/>
      <c r="AJ290" s="667"/>
      <c r="AK290" s="667"/>
      <c r="AL290" s="667"/>
      <c r="AM290" s="667"/>
      <c r="AN290" s="1583"/>
      <c r="AO290" s="667"/>
      <c r="AP290" s="667"/>
      <c r="AQ290" s="667"/>
      <c r="AR290" s="667"/>
      <c r="AS290" s="667"/>
      <c r="AT290" s="514"/>
      <c r="AU290" s="514"/>
      <c r="AV290" s="514"/>
      <c r="AW290" s="518"/>
      <c r="AX290" s="516"/>
      <c r="AZ290" s="516"/>
      <c r="CO290" s="517"/>
      <c r="CR290" s="516"/>
      <c r="CW290" s="662"/>
      <c r="CX290" s="662"/>
      <c r="CY290" s="662"/>
      <c r="CZ290" s="664"/>
      <c r="DA290" s="663"/>
      <c r="DB290" s="1601"/>
      <c r="DC290" s="1601"/>
      <c r="DD290" s="1601"/>
      <c r="DE290" s="1601"/>
      <c r="DF290" s="662"/>
      <c r="DG290" s="662"/>
      <c r="DH290" s="662"/>
      <c r="DI290" s="662"/>
      <c r="DJ290" s="662"/>
      <c r="DK290" s="662"/>
      <c r="DL290" s="662"/>
      <c r="DM290" s="662"/>
      <c r="DN290" s="662"/>
      <c r="DO290" s="662"/>
      <c r="DP290" s="662"/>
      <c r="DQ290" s="662"/>
      <c r="DR290" s="662"/>
      <c r="DS290" s="662"/>
      <c r="DT290" s="662"/>
      <c r="DU290" s="662"/>
      <c r="DV290" s="662"/>
      <c r="DW290" s="662"/>
      <c r="DX290" s="664"/>
      <c r="DY290" s="516"/>
      <c r="ED290" s="662"/>
      <c r="EE290" s="662"/>
      <c r="EF290" s="662"/>
      <c r="EG290" s="664"/>
      <c r="EH290" s="662"/>
      <c r="EI290" s="662"/>
      <c r="EJ290" s="516"/>
      <c r="FY290" s="517"/>
      <c r="FZ290" s="662"/>
      <c r="GA290" s="664"/>
      <c r="IK290" s="517"/>
      <c r="IL290" s="516"/>
      <c r="IO290" s="517"/>
      <c r="IP290" s="516"/>
    </row>
    <row r="291" spans="30:274" ht="4.1500000000000004" customHeight="1">
      <c r="AD291" s="516"/>
      <c r="AF291" s="530"/>
      <c r="AG291" s="532"/>
      <c r="AH291" s="532"/>
      <c r="AI291" s="532"/>
      <c r="AJ291" s="532"/>
      <c r="AK291" s="532"/>
      <c r="AL291" s="532"/>
      <c r="AM291" s="532"/>
      <c r="AN291" s="531"/>
      <c r="AO291" s="532"/>
      <c r="AP291" s="532"/>
      <c r="AQ291" s="532"/>
      <c r="AR291" s="532"/>
      <c r="AS291" s="532"/>
      <c r="AT291" s="532"/>
      <c r="AU291" s="532"/>
      <c r="AV291" s="532"/>
      <c r="AW291" s="531"/>
      <c r="AX291" s="516"/>
      <c r="AZ291" s="516"/>
      <c r="BG291" s="2637" t="s">
        <v>3606</v>
      </c>
      <c r="BH291" s="2637"/>
      <c r="BI291" s="2637"/>
      <c r="BJ291" s="2637"/>
      <c r="BK291" s="2637"/>
      <c r="BL291" s="2637"/>
      <c r="BM291" s="2637"/>
      <c r="BN291" s="2637"/>
      <c r="BO291" s="2637"/>
      <c r="BP291" s="2637"/>
      <c r="BQ291" s="2637"/>
      <c r="BR291" s="2637"/>
      <c r="BS291" s="2637"/>
      <c r="BT291" s="2637"/>
      <c r="BU291" s="2637"/>
      <c r="BV291" s="2637"/>
      <c r="BW291" s="2637"/>
      <c r="BX291" s="2637"/>
      <c r="BY291" s="2637"/>
      <c r="BZ291" s="2637"/>
      <c r="CA291" s="2637"/>
      <c r="CB291" s="2637"/>
      <c r="CC291" s="2637"/>
      <c r="CD291" s="2637"/>
      <c r="CE291" s="2637"/>
      <c r="CF291" s="2637"/>
      <c r="CG291" s="2637"/>
      <c r="CH291" s="2637"/>
      <c r="CO291" s="517"/>
      <c r="CR291" s="516"/>
      <c r="CW291" s="662"/>
      <c r="CX291" s="662"/>
      <c r="CY291" s="662"/>
      <c r="CZ291" s="664"/>
      <c r="DA291" s="663"/>
      <c r="DB291" s="1601"/>
      <c r="DC291" s="1601"/>
      <c r="DD291" s="1601"/>
      <c r="DE291" s="1601"/>
      <c r="DF291" s="662"/>
      <c r="DG291" s="662"/>
      <c r="DH291" s="662"/>
      <c r="DI291" s="662"/>
      <c r="DJ291" s="662"/>
      <c r="DK291" s="662"/>
      <c r="DL291" s="662"/>
      <c r="DM291" s="662"/>
      <c r="DN291" s="662"/>
      <c r="DO291" s="662"/>
      <c r="DP291" s="662"/>
      <c r="DQ291" s="662"/>
      <c r="DR291" s="662"/>
      <c r="DS291" s="662"/>
      <c r="DT291" s="662"/>
      <c r="DU291" s="662"/>
      <c r="DV291" s="662"/>
      <c r="DW291" s="662"/>
      <c r="DX291" s="664"/>
      <c r="DY291" s="516"/>
      <c r="ED291" s="662"/>
      <c r="EE291" s="662"/>
      <c r="EF291" s="662"/>
      <c r="EG291" s="664"/>
      <c r="EH291" s="662"/>
      <c r="EI291" s="662"/>
      <c r="EJ291" s="516"/>
      <c r="FY291" s="517"/>
      <c r="FZ291" s="662"/>
      <c r="GA291" s="664"/>
      <c r="IK291" s="517"/>
      <c r="IL291" s="516"/>
      <c r="IO291" s="517"/>
      <c r="IP291" s="516"/>
    </row>
    <row r="292" spans="30:274" ht="4.1500000000000004" customHeight="1">
      <c r="AD292" s="516"/>
      <c r="AF292" s="515"/>
      <c r="AG292" s="667"/>
      <c r="AH292" s="667"/>
      <c r="AI292" s="667"/>
      <c r="AJ292" s="667"/>
      <c r="AK292" s="667"/>
      <c r="AL292" s="667"/>
      <c r="AM292" s="667"/>
      <c r="AN292" s="1583"/>
      <c r="AO292" s="667"/>
      <c r="AP292" s="667"/>
      <c r="AQ292" s="667"/>
      <c r="AR292" s="667"/>
      <c r="AS292" s="667"/>
      <c r="AT292" s="514"/>
      <c r="AU292" s="514"/>
      <c r="AV292" s="514"/>
      <c r="AW292" s="518"/>
      <c r="AX292" s="516"/>
      <c r="AZ292" s="516"/>
      <c r="BG292" s="2637"/>
      <c r="BH292" s="2637"/>
      <c r="BI292" s="2637"/>
      <c r="BJ292" s="2637"/>
      <c r="BK292" s="2637"/>
      <c r="BL292" s="2637"/>
      <c r="BM292" s="2637"/>
      <c r="BN292" s="2637"/>
      <c r="BO292" s="2637"/>
      <c r="BP292" s="2637"/>
      <c r="BQ292" s="2637"/>
      <c r="BR292" s="2637"/>
      <c r="BS292" s="2637"/>
      <c r="BT292" s="2637"/>
      <c r="BU292" s="2637"/>
      <c r="BV292" s="2637"/>
      <c r="BW292" s="2637"/>
      <c r="BX292" s="2637"/>
      <c r="BY292" s="2637"/>
      <c r="BZ292" s="2637"/>
      <c r="CA292" s="2637"/>
      <c r="CB292" s="2637"/>
      <c r="CC292" s="2637"/>
      <c r="CD292" s="2637"/>
      <c r="CE292" s="2637"/>
      <c r="CF292" s="2637"/>
      <c r="CG292" s="2637"/>
      <c r="CH292" s="2637"/>
      <c r="CO292" s="517"/>
      <c r="CR292" s="516"/>
      <c r="CW292" s="662"/>
      <c r="CX292" s="662"/>
      <c r="CY292" s="662"/>
      <c r="CZ292" s="664"/>
      <c r="DA292" s="663"/>
      <c r="DB292" s="1601"/>
      <c r="DC292" s="1601"/>
      <c r="DD292" s="1601"/>
      <c r="DE292" s="1601"/>
      <c r="DF292" s="662"/>
      <c r="DG292" s="662"/>
      <c r="DH292" s="662"/>
      <c r="DI292" s="662"/>
      <c r="DJ292" s="662"/>
      <c r="DK292" s="662"/>
      <c r="DL292" s="662"/>
      <c r="DM292" s="662"/>
      <c r="DN292" s="662"/>
      <c r="DO292" s="662"/>
      <c r="DP292" s="662"/>
      <c r="DQ292" s="662"/>
      <c r="DR292" s="662"/>
      <c r="DS292" s="662"/>
      <c r="DT292" s="662"/>
      <c r="DU292" s="662"/>
      <c r="DV292" s="662"/>
      <c r="DW292" s="662"/>
      <c r="DX292" s="664"/>
      <c r="DY292" s="516"/>
      <c r="ED292" s="662"/>
      <c r="EE292" s="662"/>
      <c r="EF292" s="662"/>
      <c r="EG292" s="664"/>
      <c r="EH292" s="662"/>
      <c r="EI292" s="662"/>
      <c r="EJ292" s="516"/>
      <c r="FY292" s="517"/>
      <c r="FZ292" s="662"/>
      <c r="GA292" s="664"/>
      <c r="HW292" s="532"/>
      <c r="HX292" s="532"/>
      <c r="HY292" s="532"/>
      <c r="HZ292" s="532"/>
      <c r="IA292" s="532"/>
      <c r="IB292" s="532"/>
      <c r="IC292" s="532"/>
      <c r="ID292" s="532"/>
      <c r="IE292" s="532"/>
      <c r="IF292" s="532"/>
      <c r="IG292" s="532"/>
      <c r="IH292" s="532"/>
      <c r="II292" s="532"/>
      <c r="IJ292" s="532"/>
      <c r="IK292" s="531"/>
      <c r="IL292" s="530"/>
      <c r="IM292" s="532"/>
      <c r="IN292" s="532"/>
      <c r="IO292" s="531"/>
      <c r="IP292" s="530"/>
      <c r="IQ292" s="532"/>
      <c r="IR292" s="532"/>
      <c r="IS292" s="532"/>
      <c r="IT292" s="532"/>
      <c r="IU292" s="532"/>
      <c r="IV292" s="532"/>
      <c r="IW292" s="532"/>
      <c r="IX292" s="532"/>
      <c r="IY292" s="532"/>
      <c r="IZ292" s="532"/>
      <c r="JA292" s="532"/>
      <c r="JB292" s="532"/>
      <c r="JC292" s="532"/>
      <c r="JD292" s="532"/>
    </row>
    <row r="293" spans="30:274" ht="4.1500000000000004" customHeight="1">
      <c r="AD293" s="516"/>
      <c r="AF293" s="530"/>
      <c r="AG293" s="532"/>
      <c r="AH293" s="532"/>
      <c r="AI293" s="532"/>
      <c r="AJ293" s="532"/>
      <c r="AK293" s="532"/>
      <c r="AL293" s="532"/>
      <c r="AM293" s="532"/>
      <c r="AN293" s="531"/>
      <c r="AO293" s="532"/>
      <c r="AP293" s="532"/>
      <c r="AQ293" s="532"/>
      <c r="AR293" s="532"/>
      <c r="AS293" s="532"/>
      <c r="AT293" s="532"/>
      <c r="AU293" s="532"/>
      <c r="AV293" s="532"/>
      <c r="AW293" s="531"/>
      <c r="AX293" s="516"/>
      <c r="AZ293" s="516"/>
      <c r="BG293" s="2637"/>
      <c r="BH293" s="2637"/>
      <c r="BI293" s="2637"/>
      <c r="BJ293" s="2637"/>
      <c r="BK293" s="2637"/>
      <c r="BL293" s="2637"/>
      <c r="BM293" s="2637"/>
      <c r="BN293" s="2637"/>
      <c r="BO293" s="2637"/>
      <c r="BP293" s="2637"/>
      <c r="BQ293" s="2637"/>
      <c r="BR293" s="2637"/>
      <c r="BS293" s="2637"/>
      <c r="BT293" s="2637"/>
      <c r="BU293" s="2637"/>
      <c r="BV293" s="2637"/>
      <c r="BW293" s="2637"/>
      <c r="BX293" s="2637"/>
      <c r="BY293" s="2637"/>
      <c r="BZ293" s="2637"/>
      <c r="CA293" s="2637"/>
      <c r="CB293" s="2637"/>
      <c r="CC293" s="2637"/>
      <c r="CD293" s="2637"/>
      <c r="CE293" s="2637"/>
      <c r="CF293" s="2637"/>
      <c r="CG293" s="2637"/>
      <c r="CH293" s="2637"/>
      <c r="CO293" s="517"/>
      <c r="CR293" s="516"/>
      <c r="CW293" s="662"/>
      <c r="CX293" s="662"/>
      <c r="CY293" s="662"/>
      <c r="CZ293" s="664"/>
      <c r="DA293" s="663"/>
      <c r="DB293" s="1601"/>
      <c r="DC293" s="1601"/>
      <c r="DD293" s="1601"/>
      <c r="DE293" s="1601"/>
      <c r="DF293" s="662"/>
      <c r="DG293" s="662"/>
      <c r="DH293" s="662"/>
      <c r="DI293" s="662"/>
      <c r="DJ293" s="662"/>
      <c r="DK293" s="662"/>
      <c r="DL293" s="662"/>
      <c r="DM293" s="662"/>
      <c r="DN293" s="662"/>
      <c r="DO293" s="662"/>
      <c r="DP293" s="662"/>
      <c r="DQ293" s="662"/>
      <c r="DR293" s="662"/>
      <c r="DS293" s="662"/>
      <c r="DT293" s="662"/>
      <c r="DU293" s="662"/>
      <c r="DV293" s="662"/>
      <c r="DW293" s="662"/>
      <c r="DX293" s="664"/>
      <c r="DY293" s="516"/>
      <c r="ED293" s="662"/>
      <c r="EE293" s="662"/>
      <c r="EF293" s="662"/>
      <c r="EG293" s="664"/>
      <c r="EH293" s="662"/>
      <c r="EI293" s="662"/>
      <c r="EJ293" s="516"/>
      <c r="FY293" s="517"/>
      <c r="FZ293" s="662"/>
      <c r="GA293" s="664"/>
      <c r="HQ293" s="514"/>
      <c r="HR293" s="514"/>
      <c r="HS293" s="515"/>
      <c r="HT293" s="514"/>
      <c r="HU293" s="514"/>
      <c r="HV293" s="514"/>
      <c r="HW293" s="514"/>
      <c r="IL293" s="516"/>
      <c r="IO293" s="517"/>
      <c r="JE293" s="514"/>
      <c r="JF293" s="514"/>
      <c r="JG293" s="514"/>
      <c r="JH293" s="514"/>
      <c r="JI293" s="515"/>
      <c r="JJ293" s="514"/>
      <c r="JK293" s="514"/>
      <c r="JL293" s="514"/>
      <c r="JM293" s="514"/>
      <c r="JN293" s="514"/>
    </row>
    <row r="294" spans="30:274" ht="4.1500000000000004" customHeight="1">
      <c r="AD294" s="516"/>
      <c r="AF294" s="515"/>
      <c r="AG294" s="667"/>
      <c r="AH294" s="667"/>
      <c r="AI294" s="667"/>
      <c r="AJ294" s="667"/>
      <c r="AK294" s="667"/>
      <c r="AL294" s="667"/>
      <c r="AM294" s="667"/>
      <c r="AN294" s="1583"/>
      <c r="AO294" s="667"/>
      <c r="AP294" s="667"/>
      <c r="AQ294" s="667"/>
      <c r="AR294" s="667"/>
      <c r="AS294" s="667"/>
      <c r="AT294" s="514"/>
      <c r="AU294" s="514"/>
      <c r="AV294" s="514"/>
      <c r="AW294" s="518"/>
      <c r="AX294" s="516"/>
      <c r="AZ294" s="516"/>
      <c r="BG294" s="2637"/>
      <c r="BH294" s="2637"/>
      <c r="BI294" s="2637"/>
      <c r="BJ294" s="2637"/>
      <c r="BK294" s="2637"/>
      <c r="BL294" s="2637"/>
      <c r="BM294" s="2637"/>
      <c r="BN294" s="2637"/>
      <c r="BO294" s="2637"/>
      <c r="BP294" s="2637"/>
      <c r="BQ294" s="2637"/>
      <c r="BR294" s="2637"/>
      <c r="BS294" s="2637"/>
      <c r="BT294" s="2637"/>
      <c r="BU294" s="2637"/>
      <c r="BV294" s="2637"/>
      <c r="BW294" s="2637"/>
      <c r="BX294" s="2637"/>
      <c r="BY294" s="2637"/>
      <c r="BZ294" s="2637"/>
      <c r="CA294" s="2637"/>
      <c r="CB294" s="2637"/>
      <c r="CC294" s="2637"/>
      <c r="CD294" s="2637"/>
      <c r="CE294" s="2637"/>
      <c r="CF294" s="2637"/>
      <c r="CG294" s="2637"/>
      <c r="CH294" s="2637"/>
      <c r="CO294" s="517"/>
      <c r="CR294" s="516"/>
      <c r="CW294" s="662"/>
      <c r="CX294" s="662"/>
      <c r="CY294" s="662"/>
      <c r="CZ294" s="664"/>
      <c r="DA294" s="663"/>
      <c r="DB294" s="1601"/>
      <c r="DC294" s="1601"/>
      <c r="DD294" s="1601"/>
      <c r="DE294" s="1601"/>
      <c r="DF294" s="662"/>
      <c r="DG294" s="662"/>
      <c r="DH294" s="662"/>
      <c r="DI294" s="662"/>
      <c r="DJ294" s="662"/>
      <c r="DK294" s="662"/>
      <c r="DL294" s="662"/>
      <c r="DM294" s="662"/>
      <c r="DN294" s="662"/>
      <c r="DO294" s="662"/>
      <c r="DP294" s="662"/>
      <c r="DQ294" s="662"/>
      <c r="DR294" s="662"/>
      <c r="DS294" s="662"/>
      <c r="DT294" s="662"/>
      <c r="DU294" s="662"/>
      <c r="DV294" s="662"/>
      <c r="DW294" s="662"/>
      <c r="DX294" s="664"/>
      <c r="DY294" s="516"/>
      <c r="ED294" s="662"/>
      <c r="EE294" s="662"/>
      <c r="EF294" s="662"/>
      <c r="EG294" s="664"/>
      <c r="EH294" s="662"/>
      <c r="EI294" s="662"/>
      <c r="EJ294" s="516"/>
      <c r="EQ294" s="2637" t="s">
        <v>3608</v>
      </c>
      <c r="ER294" s="2637"/>
      <c r="ES294" s="2637"/>
      <c r="ET294" s="2637"/>
      <c r="EU294" s="2637"/>
      <c r="EV294" s="2637"/>
      <c r="EW294" s="2637"/>
      <c r="EX294" s="2637"/>
      <c r="EY294" s="2637"/>
      <c r="EZ294" s="2637"/>
      <c r="FA294" s="2637"/>
      <c r="FB294" s="2637"/>
      <c r="FC294" s="2637"/>
      <c r="FD294" s="2637"/>
      <c r="FE294" s="2637"/>
      <c r="FF294" s="2637"/>
      <c r="FG294" s="2637"/>
      <c r="FH294" s="2637"/>
      <c r="FI294" s="2637"/>
      <c r="FJ294" s="2637"/>
      <c r="FK294" s="2637"/>
      <c r="FL294" s="2637"/>
      <c r="FM294" s="2637"/>
      <c r="FN294" s="2637"/>
      <c r="FO294" s="2637"/>
      <c r="FP294" s="2637"/>
      <c r="FQ294" s="2637"/>
      <c r="FR294" s="2637"/>
      <c r="FY294" s="517"/>
      <c r="FZ294" s="662"/>
      <c r="GA294" s="664"/>
      <c r="HS294" s="516"/>
      <c r="IL294" s="2629">
        <v>0.25</v>
      </c>
      <c r="IM294" s="2630"/>
      <c r="IN294" s="2630"/>
      <c r="IO294" s="2631"/>
      <c r="JI294" s="516"/>
    </row>
    <row r="295" spans="30:274" ht="4.1500000000000004" customHeight="1">
      <c r="AD295" s="516"/>
      <c r="AF295" s="530"/>
      <c r="AG295" s="532"/>
      <c r="AH295" s="532"/>
      <c r="AI295" s="532"/>
      <c r="AJ295" s="532"/>
      <c r="AK295" s="532"/>
      <c r="AL295" s="532"/>
      <c r="AM295" s="532"/>
      <c r="AN295" s="531"/>
      <c r="AO295" s="532"/>
      <c r="AP295" s="532"/>
      <c r="AQ295" s="532"/>
      <c r="AR295" s="532"/>
      <c r="AS295" s="532"/>
      <c r="AT295" s="532"/>
      <c r="AU295" s="532"/>
      <c r="AV295" s="532"/>
      <c r="AW295" s="531"/>
      <c r="AX295" s="516"/>
      <c r="AZ295" s="516"/>
      <c r="BG295" s="2636">
        <v>7</v>
      </c>
      <c r="BH295" s="2636"/>
      <c r="BI295" s="2636"/>
      <c r="BJ295" s="2636"/>
      <c r="BK295" s="2636"/>
      <c r="BL295" s="2636"/>
      <c r="BM295" s="2636"/>
      <c r="BN295" s="2636"/>
      <c r="BO295" s="2636"/>
      <c r="BP295" s="2636"/>
      <c r="BQ295" s="2636"/>
      <c r="BR295" s="2636"/>
      <c r="BS295" s="2636" t="s">
        <v>901</v>
      </c>
      <c r="BT295" s="2636"/>
      <c r="BU295" s="2636"/>
      <c r="BV295" s="2636"/>
      <c r="BW295" s="2636">
        <v>7</v>
      </c>
      <c r="BX295" s="2636"/>
      <c r="BY295" s="2636"/>
      <c r="BZ295" s="2636"/>
      <c r="CA295" s="2636"/>
      <c r="CB295" s="2636"/>
      <c r="CC295" s="2636"/>
      <c r="CD295" s="2636"/>
      <c r="CE295" s="2636"/>
      <c r="CF295" s="2636"/>
      <c r="CG295" s="2636"/>
      <c r="CH295" s="2636"/>
      <c r="CO295" s="517"/>
      <c r="CR295" s="516"/>
      <c r="CW295" s="662"/>
      <c r="CX295" s="662"/>
      <c r="CY295" s="662"/>
      <c r="CZ295" s="664"/>
      <c r="DA295" s="663"/>
      <c r="DB295" s="1601"/>
      <c r="DC295" s="1601"/>
      <c r="DD295" s="1601"/>
      <c r="DE295" s="1601"/>
      <c r="DF295" s="662"/>
      <c r="DG295" s="662"/>
      <c r="DH295" s="662"/>
      <c r="DI295" s="662"/>
      <c r="DJ295" s="662"/>
      <c r="DK295" s="662"/>
      <c r="DL295" s="662"/>
      <c r="DM295" s="662"/>
      <c r="DN295" s="662"/>
      <c r="DO295" s="662"/>
      <c r="DP295" s="662"/>
      <c r="DQ295" s="662"/>
      <c r="DR295" s="662"/>
      <c r="DS295" s="662"/>
      <c r="DT295" s="662"/>
      <c r="DU295" s="662"/>
      <c r="DV295" s="662"/>
      <c r="DW295" s="662"/>
      <c r="DX295" s="664"/>
      <c r="DY295" s="516"/>
      <c r="ED295" s="662"/>
      <c r="EE295" s="662"/>
      <c r="EF295" s="662"/>
      <c r="EG295" s="664"/>
      <c r="EH295" s="662"/>
      <c r="EI295" s="662"/>
      <c r="EJ295" s="516"/>
      <c r="EQ295" s="2637"/>
      <c r="ER295" s="2637"/>
      <c r="ES295" s="2637"/>
      <c r="ET295" s="2637"/>
      <c r="EU295" s="2637"/>
      <c r="EV295" s="2637"/>
      <c r="EW295" s="2637"/>
      <c r="EX295" s="2637"/>
      <c r="EY295" s="2637"/>
      <c r="EZ295" s="2637"/>
      <c r="FA295" s="2637"/>
      <c r="FB295" s="2637"/>
      <c r="FC295" s="2637"/>
      <c r="FD295" s="2637"/>
      <c r="FE295" s="2637"/>
      <c r="FF295" s="2637"/>
      <c r="FG295" s="2637"/>
      <c r="FH295" s="2637"/>
      <c r="FI295" s="2637"/>
      <c r="FJ295" s="2637"/>
      <c r="FK295" s="2637"/>
      <c r="FL295" s="2637"/>
      <c r="FM295" s="2637"/>
      <c r="FN295" s="2637"/>
      <c r="FO295" s="2637"/>
      <c r="FP295" s="2637"/>
      <c r="FQ295" s="2637"/>
      <c r="FR295" s="2637"/>
      <c r="FY295" s="517"/>
      <c r="FZ295" s="662"/>
      <c r="GA295" s="664"/>
      <c r="HS295" s="516"/>
      <c r="IL295" s="2629"/>
      <c r="IM295" s="2630"/>
      <c r="IN295" s="2630"/>
      <c r="IO295" s="2631"/>
      <c r="JD295" s="2638">
        <v>0.3</v>
      </c>
      <c r="JE295" s="2638"/>
      <c r="JF295" s="2638"/>
      <c r="JG295" s="2638"/>
      <c r="JH295" s="2638"/>
      <c r="JI295" s="2638"/>
      <c r="JJ295" s="2638"/>
      <c r="JK295" s="2638"/>
      <c r="JL295" s="2638"/>
      <c r="JM295" s="2638"/>
      <c r="JN295" s="2638"/>
    </row>
    <row r="296" spans="30:274" ht="4.1500000000000004" customHeight="1">
      <c r="AD296" s="516"/>
      <c r="AF296" s="515"/>
      <c r="AG296" s="667"/>
      <c r="AH296" s="667"/>
      <c r="AI296" s="667"/>
      <c r="AJ296" s="667"/>
      <c r="AK296" s="667"/>
      <c r="AL296" s="667"/>
      <c r="AM296" s="667"/>
      <c r="AN296" s="1583"/>
      <c r="AO296" s="667"/>
      <c r="AP296" s="667"/>
      <c r="AQ296" s="667"/>
      <c r="AR296" s="667"/>
      <c r="AS296" s="667"/>
      <c r="AT296" s="514"/>
      <c r="AU296" s="514"/>
      <c r="AV296" s="514"/>
      <c r="AW296" s="518"/>
      <c r="AX296" s="516"/>
      <c r="AZ296" s="516"/>
      <c r="BG296" s="2636"/>
      <c r="BH296" s="2636"/>
      <c r="BI296" s="2636"/>
      <c r="BJ296" s="2636"/>
      <c r="BK296" s="2636"/>
      <c r="BL296" s="2636"/>
      <c r="BM296" s="2636"/>
      <c r="BN296" s="2636"/>
      <c r="BO296" s="2636"/>
      <c r="BP296" s="2636"/>
      <c r="BQ296" s="2636"/>
      <c r="BR296" s="2636"/>
      <c r="BS296" s="2636"/>
      <c r="BT296" s="2636"/>
      <c r="BU296" s="2636"/>
      <c r="BV296" s="2636"/>
      <c r="BW296" s="2636"/>
      <c r="BX296" s="2636"/>
      <c r="BY296" s="2636"/>
      <c r="BZ296" s="2636"/>
      <c r="CA296" s="2636"/>
      <c r="CB296" s="2636"/>
      <c r="CC296" s="2636"/>
      <c r="CD296" s="2636"/>
      <c r="CE296" s="2636"/>
      <c r="CF296" s="2636"/>
      <c r="CG296" s="2636"/>
      <c r="CH296" s="2636"/>
      <c r="CO296" s="517"/>
      <c r="CR296" s="516"/>
      <c r="CW296" s="662"/>
      <c r="CX296" s="662"/>
      <c r="CY296" s="662"/>
      <c r="CZ296" s="664"/>
      <c r="DA296" s="663"/>
      <c r="DB296" s="1601"/>
      <c r="DC296" s="1601"/>
      <c r="DD296" s="1601"/>
      <c r="DE296" s="1601"/>
      <c r="DF296" s="662"/>
      <c r="DG296" s="662"/>
      <c r="DH296" s="662"/>
      <c r="DI296" s="662"/>
      <c r="DJ296" s="662"/>
      <c r="DK296" s="662"/>
      <c r="DL296" s="662"/>
      <c r="DM296" s="662"/>
      <c r="DN296" s="662"/>
      <c r="DO296" s="662"/>
      <c r="DP296" s="662"/>
      <c r="DQ296" s="662"/>
      <c r="DR296" s="662"/>
      <c r="DS296" s="662"/>
      <c r="DT296" s="662"/>
      <c r="DU296" s="662"/>
      <c r="DV296" s="662"/>
      <c r="DW296" s="662"/>
      <c r="DX296" s="664"/>
      <c r="DY296" s="516"/>
      <c r="ED296" s="662"/>
      <c r="EE296" s="662"/>
      <c r="EF296" s="662"/>
      <c r="EG296" s="664"/>
      <c r="EH296" s="662"/>
      <c r="EI296" s="662"/>
      <c r="EJ296" s="516"/>
      <c r="EQ296" s="2637"/>
      <c r="ER296" s="2637"/>
      <c r="ES296" s="2637"/>
      <c r="ET296" s="2637"/>
      <c r="EU296" s="2637"/>
      <c r="EV296" s="2637"/>
      <c r="EW296" s="2637"/>
      <c r="EX296" s="2637"/>
      <c r="EY296" s="2637"/>
      <c r="EZ296" s="2637"/>
      <c r="FA296" s="2637"/>
      <c r="FB296" s="2637"/>
      <c r="FC296" s="2637"/>
      <c r="FD296" s="2637"/>
      <c r="FE296" s="2637"/>
      <c r="FF296" s="2637"/>
      <c r="FG296" s="2637"/>
      <c r="FH296" s="2637"/>
      <c r="FI296" s="2637"/>
      <c r="FJ296" s="2637"/>
      <c r="FK296" s="2637"/>
      <c r="FL296" s="2637"/>
      <c r="FM296" s="2637"/>
      <c r="FN296" s="2637"/>
      <c r="FO296" s="2637"/>
      <c r="FP296" s="2637"/>
      <c r="FQ296" s="2637"/>
      <c r="FR296" s="2637"/>
      <c r="FY296" s="517"/>
      <c r="FZ296" s="662"/>
      <c r="GA296" s="664"/>
      <c r="HS296" s="516"/>
      <c r="IL296" s="2629"/>
      <c r="IM296" s="2630"/>
      <c r="IN296" s="2630"/>
      <c r="IO296" s="2631"/>
      <c r="JD296" s="2638"/>
      <c r="JE296" s="2638"/>
      <c r="JF296" s="2638"/>
      <c r="JG296" s="2638"/>
      <c r="JH296" s="2638"/>
      <c r="JI296" s="2638"/>
      <c r="JJ296" s="2638"/>
      <c r="JK296" s="2638"/>
      <c r="JL296" s="2638"/>
      <c r="JM296" s="2638"/>
      <c r="JN296" s="2638"/>
    </row>
    <row r="297" spans="30:274" ht="4.1500000000000004" customHeight="1">
      <c r="AD297" s="516"/>
      <c r="AF297" s="530"/>
      <c r="AG297" s="532"/>
      <c r="AH297" s="532"/>
      <c r="AI297" s="532"/>
      <c r="AJ297" s="532"/>
      <c r="AK297" s="532"/>
      <c r="AL297" s="532"/>
      <c r="AM297" s="532"/>
      <c r="AN297" s="531"/>
      <c r="AO297" s="532"/>
      <c r="AP297" s="532"/>
      <c r="AQ297" s="532"/>
      <c r="AR297" s="532"/>
      <c r="AS297" s="532"/>
      <c r="AT297" s="532"/>
      <c r="AU297" s="532"/>
      <c r="AV297" s="532"/>
      <c r="AW297" s="531"/>
      <c r="AX297" s="516"/>
      <c r="AZ297" s="516"/>
      <c r="BG297" s="2636"/>
      <c r="BH297" s="2636"/>
      <c r="BI297" s="2636"/>
      <c r="BJ297" s="2636"/>
      <c r="BK297" s="2636"/>
      <c r="BL297" s="2636"/>
      <c r="BM297" s="2636"/>
      <c r="BN297" s="2636"/>
      <c r="BO297" s="2636"/>
      <c r="BP297" s="2636"/>
      <c r="BQ297" s="2636"/>
      <c r="BR297" s="2636"/>
      <c r="BS297" s="2636"/>
      <c r="BT297" s="2636"/>
      <c r="BU297" s="2636"/>
      <c r="BV297" s="2636"/>
      <c r="BW297" s="2636"/>
      <c r="BX297" s="2636"/>
      <c r="BY297" s="2636"/>
      <c r="BZ297" s="2636"/>
      <c r="CA297" s="2636"/>
      <c r="CB297" s="2636"/>
      <c r="CC297" s="2636"/>
      <c r="CD297" s="2636"/>
      <c r="CE297" s="2636"/>
      <c r="CF297" s="2636"/>
      <c r="CG297" s="2636"/>
      <c r="CH297" s="2636"/>
      <c r="CO297" s="517"/>
      <c r="CR297" s="516"/>
      <c r="CW297" s="662"/>
      <c r="CX297" s="662"/>
      <c r="CY297" s="662"/>
      <c r="CZ297" s="664"/>
      <c r="DA297" s="663"/>
      <c r="DB297" s="1601"/>
      <c r="DC297" s="1601"/>
      <c r="DD297" s="1601"/>
      <c r="DE297" s="1601"/>
      <c r="DF297" s="662"/>
      <c r="DG297" s="662"/>
      <c r="DH297" s="662"/>
      <c r="DI297" s="662"/>
      <c r="DJ297" s="662"/>
      <c r="DK297" s="662"/>
      <c r="DL297" s="662"/>
      <c r="DM297" s="662"/>
      <c r="DN297" s="662"/>
      <c r="DO297" s="662"/>
      <c r="DP297" s="662"/>
      <c r="DQ297" s="662"/>
      <c r="DR297" s="662"/>
      <c r="DS297" s="662"/>
      <c r="DT297" s="662"/>
      <c r="DU297" s="662"/>
      <c r="DV297" s="662"/>
      <c r="DW297" s="662"/>
      <c r="DX297" s="664"/>
      <c r="DY297" s="516"/>
      <c r="ED297" s="662"/>
      <c r="EE297" s="662"/>
      <c r="EF297" s="662"/>
      <c r="EG297" s="664"/>
      <c r="EH297" s="662"/>
      <c r="EI297" s="662"/>
      <c r="EJ297" s="516"/>
      <c r="EQ297" s="2637"/>
      <c r="ER297" s="2637"/>
      <c r="ES297" s="2637"/>
      <c r="ET297" s="2637"/>
      <c r="EU297" s="2637"/>
      <c r="EV297" s="2637"/>
      <c r="EW297" s="2637"/>
      <c r="EX297" s="2637"/>
      <c r="EY297" s="2637"/>
      <c r="EZ297" s="2637"/>
      <c r="FA297" s="2637"/>
      <c r="FB297" s="2637"/>
      <c r="FC297" s="2637"/>
      <c r="FD297" s="2637"/>
      <c r="FE297" s="2637"/>
      <c r="FF297" s="2637"/>
      <c r="FG297" s="2637"/>
      <c r="FH297" s="2637"/>
      <c r="FI297" s="2637"/>
      <c r="FJ297" s="2637"/>
      <c r="FK297" s="2637"/>
      <c r="FL297" s="2637"/>
      <c r="FM297" s="2637"/>
      <c r="FN297" s="2637"/>
      <c r="FO297" s="2637"/>
      <c r="FP297" s="2637"/>
      <c r="FQ297" s="2637"/>
      <c r="FR297" s="2637"/>
      <c r="FY297" s="517"/>
      <c r="FZ297" s="662"/>
      <c r="GA297" s="664"/>
      <c r="HS297" s="516"/>
      <c r="IL297" s="2629"/>
      <c r="IM297" s="2630"/>
      <c r="IN297" s="2630"/>
      <c r="IO297" s="2631"/>
      <c r="JD297" s="2638"/>
      <c r="JE297" s="2638"/>
      <c r="JF297" s="2638"/>
      <c r="JG297" s="2638"/>
      <c r="JH297" s="2638"/>
      <c r="JI297" s="2638"/>
      <c r="JJ297" s="2638"/>
      <c r="JK297" s="2638"/>
      <c r="JL297" s="2638"/>
      <c r="JM297" s="2638"/>
      <c r="JN297" s="2638"/>
    </row>
    <row r="298" spans="30:274" ht="4.1500000000000004" customHeight="1">
      <c r="AD298" s="516"/>
      <c r="AF298" s="515"/>
      <c r="AG298" s="667"/>
      <c r="AH298" s="667"/>
      <c r="AI298" s="667"/>
      <c r="AJ298" s="667"/>
      <c r="AK298" s="667"/>
      <c r="AL298" s="667"/>
      <c r="AM298" s="667"/>
      <c r="AN298" s="1583"/>
      <c r="AO298" s="667"/>
      <c r="AP298" s="667"/>
      <c r="AQ298" s="667"/>
      <c r="AR298" s="667"/>
      <c r="AS298" s="667"/>
      <c r="AT298" s="514"/>
      <c r="AU298" s="514"/>
      <c r="AV298" s="514"/>
      <c r="AW298" s="518"/>
      <c r="AX298" s="519"/>
      <c r="AY298" s="521"/>
      <c r="AZ298" s="516"/>
      <c r="BG298" s="2636"/>
      <c r="BH298" s="2636"/>
      <c r="BI298" s="2636"/>
      <c r="BJ298" s="2636"/>
      <c r="BK298" s="2636"/>
      <c r="BL298" s="2636"/>
      <c r="BM298" s="2636"/>
      <c r="BN298" s="2636"/>
      <c r="BO298" s="2636"/>
      <c r="BP298" s="2636"/>
      <c r="BQ298" s="2636"/>
      <c r="BR298" s="2636"/>
      <c r="BS298" s="2636"/>
      <c r="BT298" s="2636"/>
      <c r="BU298" s="2636"/>
      <c r="BV298" s="2636"/>
      <c r="BW298" s="2636"/>
      <c r="BX298" s="2636"/>
      <c r="BY298" s="2636"/>
      <c r="BZ298" s="2636"/>
      <c r="CA298" s="2636"/>
      <c r="CB298" s="2636"/>
      <c r="CC298" s="2636"/>
      <c r="CD298" s="2636"/>
      <c r="CE298" s="2636"/>
      <c r="CF298" s="2636"/>
      <c r="CG298" s="2636"/>
      <c r="CH298" s="2636"/>
      <c r="CO298" s="517"/>
      <c r="CP298" s="519"/>
      <c r="CQ298" s="521"/>
      <c r="CR298" s="516"/>
      <c r="CW298" s="662"/>
      <c r="CX298" s="662"/>
      <c r="CY298" s="662"/>
      <c r="CZ298" s="664"/>
      <c r="DA298" s="663"/>
      <c r="DB298" s="1601"/>
      <c r="DC298" s="1601"/>
      <c r="DD298" s="1601"/>
      <c r="DE298" s="1601"/>
      <c r="DF298" s="662"/>
      <c r="DG298" s="662"/>
      <c r="DH298" s="662"/>
      <c r="DI298" s="662"/>
      <c r="DJ298" s="662"/>
      <c r="DK298" s="662"/>
      <c r="DL298" s="662"/>
      <c r="DM298" s="662"/>
      <c r="DN298" s="662"/>
      <c r="DO298" s="662"/>
      <c r="DP298" s="662"/>
      <c r="DQ298" s="662"/>
      <c r="DR298" s="662"/>
      <c r="DS298" s="662"/>
      <c r="DT298" s="662"/>
      <c r="DU298" s="662"/>
      <c r="DV298" s="662"/>
      <c r="DW298" s="662"/>
      <c r="DX298" s="664"/>
      <c r="DY298" s="516"/>
      <c r="ED298" s="662"/>
      <c r="EE298" s="662"/>
      <c r="EF298" s="662"/>
      <c r="EG298" s="664"/>
      <c r="EH298" s="519"/>
      <c r="EI298" s="521"/>
      <c r="EJ298" s="516"/>
      <c r="EQ298" s="2636">
        <v>7</v>
      </c>
      <c r="ER298" s="2636"/>
      <c r="ES298" s="2636"/>
      <c r="ET298" s="2636"/>
      <c r="EU298" s="2636"/>
      <c r="EV298" s="2636"/>
      <c r="EW298" s="2636"/>
      <c r="EX298" s="2636"/>
      <c r="EY298" s="2636"/>
      <c r="EZ298" s="2636"/>
      <c r="FA298" s="2636"/>
      <c r="FB298" s="2636"/>
      <c r="FC298" s="2636" t="s">
        <v>901</v>
      </c>
      <c r="FD298" s="2636"/>
      <c r="FE298" s="2636"/>
      <c r="FF298" s="2636"/>
      <c r="FG298" s="2636">
        <v>7</v>
      </c>
      <c r="FH298" s="2636"/>
      <c r="FI298" s="2636"/>
      <c r="FJ298" s="2636"/>
      <c r="FK298" s="2636"/>
      <c r="FL298" s="2636"/>
      <c r="FM298" s="2636"/>
      <c r="FN298" s="2636"/>
      <c r="FO298" s="2636"/>
      <c r="FP298" s="2636"/>
      <c r="FQ298" s="2636"/>
      <c r="FR298" s="2636"/>
      <c r="FY298" s="517"/>
      <c r="FZ298" s="519"/>
      <c r="GA298" s="521"/>
      <c r="HS298" s="516"/>
      <c r="IL298" s="2629"/>
      <c r="IM298" s="2630"/>
      <c r="IN298" s="2630"/>
      <c r="IO298" s="2631"/>
      <c r="JI298" s="516"/>
    </row>
    <row r="299" spans="30:274" ht="4.1500000000000004" customHeight="1">
      <c r="AD299" s="516"/>
      <c r="AF299" s="530"/>
      <c r="AG299" s="532"/>
      <c r="AH299" s="532"/>
      <c r="AI299" s="532"/>
      <c r="AJ299" s="532"/>
      <c r="AK299" s="532"/>
      <c r="AL299" s="532"/>
      <c r="AM299" s="532"/>
      <c r="AN299" s="531"/>
      <c r="AO299" s="532"/>
      <c r="AP299" s="532"/>
      <c r="AQ299" s="532"/>
      <c r="AR299" s="532"/>
      <c r="AS299" s="532"/>
      <c r="AT299" s="532"/>
      <c r="AU299" s="532"/>
      <c r="AV299" s="532"/>
      <c r="AW299" s="531"/>
      <c r="AX299" s="527"/>
      <c r="AY299" s="529"/>
      <c r="AZ299" s="516"/>
      <c r="CO299" s="517"/>
      <c r="CP299" s="527"/>
      <c r="CQ299" s="529"/>
      <c r="CR299" s="516"/>
      <c r="CW299" s="662"/>
      <c r="CX299" s="662"/>
      <c r="CY299" s="662"/>
      <c r="CZ299" s="664"/>
      <c r="DA299" s="663"/>
      <c r="DB299" s="1601"/>
      <c r="DC299" s="1601"/>
      <c r="DD299" s="1601"/>
      <c r="DE299" s="1601"/>
      <c r="DF299" s="662"/>
      <c r="DG299" s="662"/>
      <c r="DH299" s="662"/>
      <c r="DI299" s="662"/>
      <c r="DJ299" s="662"/>
      <c r="DK299" s="662"/>
      <c r="DL299" s="662"/>
      <c r="DM299" s="662"/>
      <c r="DN299" s="662"/>
      <c r="DO299" s="662"/>
      <c r="DP299" s="662"/>
      <c r="DQ299" s="662"/>
      <c r="DR299" s="662"/>
      <c r="DS299" s="662"/>
      <c r="DT299" s="662"/>
      <c r="DU299" s="662"/>
      <c r="DV299" s="662"/>
      <c r="DW299" s="662"/>
      <c r="DX299" s="664"/>
      <c r="DY299" s="516"/>
      <c r="ED299" s="662"/>
      <c r="EE299" s="662"/>
      <c r="EF299" s="662"/>
      <c r="EG299" s="664"/>
      <c r="EH299" s="527"/>
      <c r="EI299" s="529"/>
      <c r="EJ299" s="516"/>
      <c r="EQ299" s="2636"/>
      <c r="ER299" s="2636"/>
      <c r="ES299" s="2636"/>
      <c r="ET299" s="2636"/>
      <c r="EU299" s="2636"/>
      <c r="EV299" s="2636"/>
      <c r="EW299" s="2636"/>
      <c r="EX299" s="2636"/>
      <c r="EY299" s="2636"/>
      <c r="EZ299" s="2636"/>
      <c r="FA299" s="2636"/>
      <c r="FB299" s="2636"/>
      <c r="FC299" s="2636"/>
      <c r="FD299" s="2636"/>
      <c r="FE299" s="2636"/>
      <c r="FF299" s="2636"/>
      <c r="FG299" s="2636"/>
      <c r="FH299" s="2636"/>
      <c r="FI299" s="2636"/>
      <c r="FJ299" s="2636"/>
      <c r="FK299" s="2636"/>
      <c r="FL299" s="2636"/>
      <c r="FM299" s="2636"/>
      <c r="FN299" s="2636"/>
      <c r="FO299" s="2636"/>
      <c r="FP299" s="2636"/>
      <c r="FQ299" s="2636"/>
      <c r="FR299" s="2636"/>
      <c r="FY299" s="517"/>
      <c r="FZ299" s="527"/>
      <c r="GA299" s="529"/>
      <c r="HS299" s="516"/>
      <c r="IL299" s="2632"/>
      <c r="IM299" s="2633"/>
      <c r="IN299" s="2633"/>
      <c r="IO299" s="2634"/>
      <c r="JI299" s="516"/>
    </row>
    <row r="300" spans="30:274" ht="4.1500000000000004" customHeight="1">
      <c r="AD300" s="516"/>
      <c r="AF300" s="516"/>
      <c r="AW300" s="517"/>
      <c r="AX300" s="516"/>
      <c r="AZ300" s="516"/>
      <c r="CO300" s="517"/>
      <c r="CR300" s="516"/>
      <c r="CW300" s="662"/>
      <c r="CX300" s="662"/>
      <c r="CY300" s="662"/>
      <c r="CZ300" s="664"/>
      <c r="DA300" s="663"/>
      <c r="DB300" s="1601"/>
      <c r="DC300" s="1601"/>
      <c r="DD300" s="1601"/>
      <c r="DE300" s="1601"/>
      <c r="DF300" s="662"/>
      <c r="DG300" s="662"/>
      <c r="DH300" s="662"/>
      <c r="DI300" s="662"/>
      <c r="DJ300" s="662"/>
      <c r="DK300" s="662"/>
      <c r="DL300" s="662"/>
      <c r="DM300" s="662"/>
      <c r="DN300" s="662"/>
      <c r="DO300" s="662"/>
      <c r="DP300" s="662"/>
      <c r="DQ300" s="662"/>
      <c r="DR300" s="662"/>
      <c r="DS300" s="662"/>
      <c r="DT300" s="662"/>
      <c r="DU300" s="662"/>
      <c r="DV300" s="662"/>
      <c r="DW300" s="662"/>
      <c r="DX300" s="664"/>
      <c r="DY300" s="516"/>
      <c r="ED300" s="662"/>
      <c r="EE300" s="662"/>
      <c r="EF300" s="662"/>
      <c r="EG300" s="664"/>
      <c r="EH300" s="662"/>
      <c r="EI300" s="662"/>
      <c r="EJ300" s="516"/>
      <c r="EQ300" s="2636"/>
      <c r="ER300" s="2636"/>
      <c r="ES300" s="2636"/>
      <c r="ET300" s="2636"/>
      <c r="EU300" s="2636"/>
      <c r="EV300" s="2636"/>
      <c r="EW300" s="2636"/>
      <c r="EX300" s="2636"/>
      <c r="EY300" s="2636"/>
      <c r="EZ300" s="2636"/>
      <c r="FA300" s="2636"/>
      <c r="FB300" s="2636"/>
      <c r="FC300" s="2636"/>
      <c r="FD300" s="2636"/>
      <c r="FE300" s="2636"/>
      <c r="FF300" s="2636"/>
      <c r="FG300" s="2636"/>
      <c r="FH300" s="2636"/>
      <c r="FI300" s="2636"/>
      <c r="FJ300" s="2636"/>
      <c r="FK300" s="2636"/>
      <c r="FL300" s="2636"/>
      <c r="FM300" s="2636"/>
      <c r="FN300" s="2636"/>
      <c r="FO300" s="2636"/>
      <c r="FP300" s="2636"/>
      <c r="FQ300" s="2636"/>
      <c r="FR300" s="2636"/>
      <c r="FY300" s="517"/>
      <c r="FZ300" s="662"/>
      <c r="GA300" s="664"/>
      <c r="HS300" s="516"/>
      <c r="HZ300" s="2619"/>
      <c r="IA300" s="2619"/>
      <c r="IB300" s="2619"/>
      <c r="IC300" s="2619"/>
      <c r="ID300" s="2619"/>
      <c r="IE300" s="2619"/>
      <c r="IF300" s="2619"/>
      <c r="IG300" s="2619"/>
      <c r="IH300" s="2619"/>
      <c r="II300" s="2619"/>
      <c r="IJ300" s="2619"/>
      <c r="IK300" s="2643">
        <v>0.3</v>
      </c>
      <c r="IL300" s="2643"/>
      <c r="IM300" s="2643"/>
      <c r="IN300" s="2643"/>
      <c r="IO300" s="2643"/>
      <c r="IP300" s="2643"/>
      <c r="IQ300" s="2644"/>
      <c r="IR300" s="2644"/>
      <c r="IS300" s="2644"/>
      <c r="IT300" s="2644"/>
      <c r="IU300" s="2644"/>
      <c r="IV300" s="2644"/>
      <c r="IW300" s="2644"/>
      <c r="IX300" s="2644"/>
      <c r="IY300" s="2644"/>
      <c r="IZ300" s="2644"/>
      <c r="JA300" s="2644"/>
      <c r="JD300" s="514"/>
      <c r="JE300" s="514"/>
      <c r="JF300" s="514"/>
      <c r="JG300" s="514"/>
      <c r="JH300" s="514"/>
      <c r="JI300" s="515"/>
      <c r="JJ300" s="514"/>
      <c r="JK300" s="514"/>
      <c r="JL300" s="514"/>
      <c r="JM300" s="514"/>
      <c r="JN300" s="514"/>
    </row>
    <row r="301" spans="30:274" ht="4.1500000000000004" customHeight="1">
      <c r="AD301" s="516"/>
      <c r="AF301" s="516"/>
      <c r="AW301" s="517"/>
      <c r="AX301" s="516"/>
      <c r="AZ301" s="516"/>
      <c r="CO301" s="517"/>
      <c r="CR301" s="516"/>
      <c r="CW301" s="662"/>
      <c r="CX301" s="662"/>
      <c r="CY301" s="662"/>
      <c r="CZ301" s="664"/>
      <c r="DA301" s="663"/>
      <c r="DF301" s="662"/>
      <c r="DG301" s="662"/>
      <c r="DH301" s="662"/>
      <c r="DI301" s="662"/>
      <c r="DJ301" s="662"/>
      <c r="DK301" s="662"/>
      <c r="DL301" s="662"/>
      <c r="DM301" s="662"/>
      <c r="DN301" s="662"/>
      <c r="DO301" s="662"/>
      <c r="DP301" s="662"/>
      <c r="DQ301" s="662"/>
      <c r="DR301" s="662"/>
      <c r="DS301" s="662"/>
      <c r="DT301" s="662"/>
      <c r="DU301" s="662"/>
      <c r="DV301" s="662"/>
      <c r="DW301" s="662"/>
      <c r="DX301" s="664"/>
      <c r="DY301" s="516"/>
      <c r="ED301" s="662"/>
      <c r="EE301" s="662"/>
      <c r="EF301" s="662"/>
      <c r="EG301" s="664"/>
      <c r="EH301" s="662"/>
      <c r="EI301" s="662"/>
      <c r="EJ301" s="516"/>
      <c r="EQ301" s="2636"/>
      <c r="ER301" s="2636"/>
      <c r="ES301" s="2636"/>
      <c r="ET301" s="2636"/>
      <c r="EU301" s="2636"/>
      <c r="EV301" s="2636"/>
      <c r="EW301" s="2636"/>
      <c r="EX301" s="2636"/>
      <c r="EY301" s="2636"/>
      <c r="EZ301" s="2636"/>
      <c r="FA301" s="2636"/>
      <c r="FB301" s="2636"/>
      <c r="FC301" s="2636"/>
      <c r="FD301" s="2636"/>
      <c r="FE301" s="2636"/>
      <c r="FF301" s="2636"/>
      <c r="FG301" s="2636"/>
      <c r="FH301" s="2636"/>
      <c r="FI301" s="2636"/>
      <c r="FJ301" s="2636"/>
      <c r="FK301" s="2636"/>
      <c r="FL301" s="2636"/>
      <c r="FM301" s="2636"/>
      <c r="FN301" s="2636"/>
      <c r="FO301" s="2636"/>
      <c r="FP301" s="2636"/>
      <c r="FQ301" s="2636"/>
      <c r="FR301" s="2636"/>
      <c r="FY301" s="517"/>
      <c r="FZ301" s="662"/>
      <c r="GA301" s="664"/>
      <c r="HS301" s="516"/>
      <c r="HZ301" s="2619"/>
      <c r="IA301" s="2619"/>
      <c r="IB301" s="2619"/>
      <c r="IC301" s="2619"/>
      <c r="ID301" s="2619"/>
      <c r="IE301" s="2619"/>
      <c r="IF301" s="2619"/>
      <c r="IG301" s="2619"/>
      <c r="IH301" s="2619"/>
      <c r="II301" s="2619"/>
      <c r="IJ301" s="2619"/>
      <c r="IK301" s="2600"/>
      <c r="IL301" s="2600"/>
      <c r="IM301" s="2600"/>
      <c r="IN301" s="2600"/>
      <c r="IO301" s="2600"/>
      <c r="IP301" s="2600"/>
      <c r="IQ301" s="2644"/>
      <c r="IR301" s="2644"/>
      <c r="IS301" s="2644"/>
      <c r="IT301" s="2644"/>
      <c r="IU301" s="2644"/>
      <c r="IV301" s="2644"/>
      <c r="IW301" s="2644"/>
      <c r="IX301" s="2644"/>
      <c r="IY301" s="2644"/>
      <c r="IZ301" s="2644"/>
      <c r="JA301" s="2644"/>
      <c r="JI301" s="516"/>
    </row>
    <row r="302" spans="30:274" ht="4.1500000000000004" customHeight="1">
      <c r="AD302" s="516"/>
      <c r="AF302" s="516"/>
      <c r="AW302" s="517"/>
      <c r="AX302" s="516"/>
      <c r="AZ302" s="516"/>
      <c r="CO302" s="517"/>
      <c r="CR302" s="516"/>
      <c r="CW302" s="662"/>
      <c r="CX302" s="662"/>
      <c r="CY302" s="662"/>
      <c r="CZ302" s="664"/>
      <c r="DA302" s="519"/>
      <c r="DB302" s="521"/>
      <c r="DF302" s="662"/>
      <c r="DG302" s="662"/>
      <c r="DH302" s="662"/>
      <c r="DI302" s="662"/>
      <c r="DJ302" s="662"/>
      <c r="DK302" s="662"/>
      <c r="DL302" s="662"/>
      <c r="DM302" s="662"/>
      <c r="DN302" s="662"/>
      <c r="DO302" s="662"/>
      <c r="DP302" s="662"/>
      <c r="DQ302" s="662"/>
      <c r="DR302" s="662"/>
      <c r="DS302" s="662"/>
      <c r="DT302" s="662"/>
      <c r="DU302" s="662"/>
      <c r="DV302" s="662"/>
      <c r="DW302" s="519"/>
      <c r="DX302" s="521"/>
      <c r="DY302" s="516"/>
      <c r="ED302" s="662"/>
      <c r="EE302" s="662"/>
      <c r="EF302" s="662"/>
      <c r="EG302" s="664"/>
      <c r="EH302" s="662"/>
      <c r="EI302" s="662"/>
      <c r="EJ302" s="516"/>
      <c r="FY302" s="517"/>
      <c r="FZ302" s="662"/>
      <c r="GA302" s="664"/>
      <c r="HR302" s="2646">
        <f>JD295+JD302+JD309+JD314+JD317</f>
        <v>1.1999999999999997</v>
      </c>
      <c r="HS302" s="2646"/>
      <c r="HT302" s="2646"/>
      <c r="HU302" s="2646"/>
      <c r="HZ302" s="2619"/>
      <c r="IA302" s="2619"/>
      <c r="IB302" s="2619"/>
      <c r="IC302" s="2619"/>
      <c r="ID302" s="2619"/>
      <c r="IE302" s="2619"/>
      <c r="IF302" s="2619"/>
      <c r="IG302" s="2619"/>
      <c r="IH302" s="2619"/>
      <c r="II302" s="2619"/>
      <c r="IJ302" s="2619"/>
      <c r="IK302" s="2600"/>
      <c r="IL302" s="2600"/>
      <c r="IM302" s="2600"/>
      <c r="IN302" s="2600"/>
      <c r="IO302" s="2600"/>
      <c r="IP302" s="2600"/>
      <c r="IQ302" s="2644"/>
      <c r="IR302" s="2644"/>
      <c r="IS302" s="2644"/>
      <c r="IT302" s="2644"/>
      <c r="IU302" s="2644"/>
      <c r="IV302" s="2644"/>
      <c r="IW302" s="2644"/>
      <c r="IX302" s="2644"/>
      <c r="IY302" s="2644"/>
      <c r="IZ302" s="2644"/>
      <c r="JA302" s="2644"/>
      <c r="JD302" s="2638">
        <v>0.3</v>
      </c>
      <c r="JE302" s="2638"/>
      <c r="JF302" s="2638"/>
      <c r="JG302" s="2638"/>
      <c r="JH302" s="2638"/>
      <c r="JI302" s="2638"/>
      <c r="JJ302" s="2638"/>
      <c r="JK302" s="2638"/>
      <c r="JL302" s="2638"/>
      <c r="JM302" s="2638"/>
      <c r="JN302" s="2638"/>
    </row>
    <row r="303" spans="30:274" ht="4.1500000000000004" customHeight="1">
      <c r="AD303" s="516"/>
      <c r="AF303" s="516"/>
      <c r="AW303" s="517"/>
      <c r="AX303" s="516"/>
      <c r="AZ303" s="516"/>
      <c r="CO303" s="517"/>
      <c r="CR303" s="516"/>
      <c r="CW303" s="662"/>
      <c r="CX303" s="662"/>
      <c r="CY303" s="662"/>
      <c r="CZ303" s="664"/>
      <c r="DA303" s="522"/>
      <c r="DB303" s="524"/>
      <c r="DF303" s="662"/>
      <c r="DG303" s="662"/>
      <c r="DH303" s="662"/>
      <c r="DI303" s="662"/>
      <c r="DJ303" s="662"/>
      <c r="DK303" s="662"/>
      <c r="DL303" s="662"/>
      <c r="DM303" s="662"/>
      <c r="DN303" s="662"/>
      <c r="DO303" s="662"/>
      <c r="DP303" s="662"/>
      <c r="DQ303" s="662"/>
      <c r="DR303" s="662"/>
      <c r="DS303" s="662"/>
      <c r="DT303" s="662"/>
      <c r="DU303" s="662"/>
      <c r="DV303" s="662"/>
      <c r="DW303" s="522"/>
      <c r="DX303" s="524"/>
      <c r="DY303" s="516"/>
      <c r="ED303" s="662"/>
      <c r="EE303" s="662"/>
      <c r="EF303" s="662"/>
      <c r="EG303" s="664"/>
      <c r="EH303" s="662"/>
      <c r="EI303" s="662"/>
      <c r="EJ303" s="516"/>
      <c r="FY303" s="517"/>
      <c r="FZ303" s="662"/>
      <c r="GA303" s="664"/>
      <c r="HR303" s="2646"/>
      <c r="HS303" s="2646"/>
      <c r="HT303" s="2646"/>
      <c r="HU303" s="2646"/>
      <c r="HZ303" s="2619"/>
      <c r="IA303" s="2619"/>
      <c r="IB303" s="2619"/>
      <c r="IC303" s="2619"/>
      <c r="ID303" s="2619"/>
      <c r="IE303" s="2619"/>
      <c r="IF303" s="2619"/>
      <c r="IG303" s="2619"/>
      <c r="IH303" s="2619"/>
      <c r="II303" s="2619"/>
      <c r="IJ303" s="2619"/>
      <c r="IQ303" s="2644"/>
      <c r="IR303" s="2644"/>
      <c r="IS303" s="2644"/>
      <c r="IT303" s="2644"/>
      <c r="IU303" s="2644"/>
      <c r="IV303" s="2644"/>
      <c r="IW303" s="2644"/>
      <c r="IX303" s="2644"/>
      <c r="IY303" s="2644"/>
      <c r="IZ303" s="2644"/>
      <c r="JA303" s="2644"/>
      <c r="JD303" s="2638"/>
      <c r="JE303" s="2638"/>
      <c r="JF303" s="2638"/>
      <c r="JG303" s="2638"/>
      <c r="JH303" s="2638"/>
      <c r="JI303" s="2638"/>
      <c r="JJ303" s="2638"/>
      <c r="JK303" s="2638"/>
      <c r="JL303" s="2638"/>
      <c r="JM303" s="2638"/>
      <c r="JN303" s="2638"/>
    </row>
    <row r="304" spans="30:274" ht="4.1500000000000004" customHeight="1">
      <c r="AD304" s="516"/>
      <c r="AF304" s="516"/>
      <c r="AW304" s="517"/>
      <c r="AX304" s="516"/>
      <c r="AZ304" s="516"/>
      <c r="CO304" s="517"/>
      <c r="CR304" s="516"/>
      <c r="CW304" s="662"/>
      <c r="CX304" s="662"/>
      <c r="CY304" s="662"/>
      <c r="CZ304" s="664"/>
      <c r="DA304" s="527"/>
      <c r="DB304" s="529"/>
      <c r="DC304" s="532"/>
      <c r="DD304" s="532"/>
      <c r="DE304" s="532"/>
      <c r="DF304" s="665"/>
      <c r="DG304" s="665"/>
      <c r="DH304" s="665"/>
      <c r="DI304" s="665"/>
      <c r="DJ304" s="665"/>
      <c r="DK304" s="665"/>
      <c r="DL304" s="665"/>
      <c r="DM304" s="665"/>
      <c r="DN304" s="665"/>
      <c r="DO304" s="665"/>
      <c r="DP304" s="665"/>
      <c r="DQ304" s="665"/>
      <c r="DR304" s="665"/>
      <c r="DS304" s="665"/>
      <c r="DT304" s="665"/>
      <c r="DU304" s="665"/>
      <c r="DV304" s="665"/>
      <c r="DW304" s="527"/>
      <c r="DX304" s="529"/>
      <c r="DY304" s="516"/>
      <c r="ED304" s="662"/>
      <c r="EE304" s="662"/>
      <c r="EF304" s="662"/>
      <c r="EG304" s="664"/>
      <c r="EH304" s="662"/>
      <c r="EI304" s="662"/>
      <c r="EJ304" s="516"/>
      <c r="FY304" s="517"/>
      <c r="FZ304" s="662"/>
      <c r="GA304" s="664"/>
      <c r="HR304" s="2646"/>
      <c r="HS304" s="2646"/>
      <c r="HT304" s="2646"/>
      <c r="HU304" s="2646"/>
      <c r="HZ304" s="2619"/>
      <c r="IA304" s="2619"/>
      <c r="IB304" s="2619"/>
      <c r="IC304" s="2619"/>
      <c r="ID304" s="2619"/>
      <c r="IE304" s="2619"/>
      <c r="IF304" s="2619"/>
      <c r="IG304" s="2619"/>
      <c r="IH304" s="2619"/>
      <c r="II304" s="2619"/>
      <c r="IJ304" s="2619"/>
      <c r="IQ304" s="2644"/>
      <c r="IR304" s="2644"/>
      <c r="IS304" s="2644"/>
      <c r="IT304" s="2644"/>
      <c r="IU304" s="2644"/>
      <c r="IV304" s="2644"/>
      <c r="IW304" s="2644"/>
      <c r="IX304" s="2644"/>
      <c r="IY304" s="2644"/>
      <c r="IZ304" s="2644"/>
      <c r="JA304" s="2644"/>
      <c r="JD304" s="2638"/>
      <c r="JE304" s="2638"/>
      <c r="JF304" s="2638"/>
      <c r="JG304" s="2638"/>
      <c r="JH304" s="2638"/>
      <c r="JI304" s="2638"/>
      <c r="JJ304" s="2638"/>
      <c r="JK304" s="2638"/>
      <c r="JL304" s="2638"/>
      <c r="JM304" s="2638"/>
      <c r="JN304" s="2638"/>
    </row>
    <row r="305" spans="30:274" ht="4.1500000000000004" customHeight="1">
      <c r="AD305" s="516"/>
      <c r="AF305" s="516"/>
      <c r="AW305" s="517"/>
      <c r="AX305" s="516"/>
      <c r="AZ305" s="516"/>
      <c r="CP305" s="514"/>
      <c r="CQ305" s="514"/>
      <c r="CW305" s="662"/>
      <c r="CX305" s="662"/>
      <c r="CY305" s="662"/>
      <c r="CZ305" s="662"/>
      <c r="DA305" s="667"/>
      <c r="DB305" s="514"/>
      <c r="DC305" s="514"/>
      <c r="DD305" s="514"/>
      <c r="DE305" s="514"/>
      <c r="DF305" s="667"/>
      <c r="DG305" s="667"/>
      <c r="DH305" s="667"/>
      <c r="DI305" s="667"/>
      <c r="DJ305" s="667"/>
      <c r="DK305" s="667"/>
      <c r="DL305" s="667"/>
      <c r="DM305" s="667"/>
      <c r="DN305" s="667"/>
      <c r="DO305" s="667"/>
      <c r="DP305" s="667"/>
      <c r="DQ305" s="667"/>
      <c r="DR305" s="667"/>
      <c r="DS305" s="667"/>
      <c r="DT305" s="667"/>
      <c r="DU305" s="667"/>
      <c r="DV305" s="667"/>
      <c r="DW305" s="667"/>
      <c r="DX305" s="667"/>
      <c r="ED305" s="662"/>
      <c r="EE305" s="662"/>
      <c r="EF305" s="662"/>
      <c r="EG305" s="662"/>
      <c r="EH305" s="667"/>
      <c r="EI305" s="667"/>
      <c r="FY305" s="517"/>
      <c r="FZ305" s="662"/>
      <c r="GA305" s="664"/>
      <c r="HR305" s="2646"/>
      <c r="HS305" s="2646"/>
      <c r="HT305" s="2646"/>
      <c r="HU305" s="2646"/>
      <c r="HZ305" s="2619"/>
      <c r="IA305" s="2619"/>
      <c r="IB305" s="2619"/>
      <c r="IC305" s="2619"/>
      <c r="ID305" s="2619"/>
      <c r="IE305" s="2619"/>
      <c r="IF305" s="2619"/>
      <c r="IG305" s="2619"/>
      <c r="IH305" s="2619"/>
      <c r="II305" s="2619"/>
      <c r="IJ305" s="2619"/>
      <c r="IQ305" s="2644"/>
      <c r="IR305" s="2644"/>
      <c r="IS305" s="2644"/>
      <c r="IT305" s="2644"/>
      <c r="IU305" s="2644"/>
      <c r="IV305" s="2644"/>
      <c r="IW305" s="2644"/>
      <c r="IX305" s="2644"/>
      <c r="IY305" s="2644"/>
      <c r="IZ305" s="2644"/>
      <c r="JA305" s="2644"/>
      <c r="JI305" s="516"/>
    </row>
    <row r="306" spans="30:274" ht="4.1500000000000004" customHeight="1">
      <c r="AD306" s="519"/>
      <c r="AE306" s="521"/>
      <c r="AF306" s="530"/>
      <c r="AG306" s="532"/>
      <c r="AH306" s="532"/>
      <c r="AI306" s="532"/>
      <c r="AJ306" s="532"/>
      <c r="AK306" s="532"/>
      <c r="AL306" s="532"/>
      <c r="AM306" s="532"/>
      <c r="AN306" s="532"/>
      <c r="AO306" s="532"/>
      <c r="AP306" s="532"/>
      <c r="AQ306" s="532"/>
      <c r="AR306" s="532"/>
      <c r="AS306" s="532"/>
      <c r="AT306" s="532"/>
      <c r="AU306" s="532"/>
      <c r="AV306" s="532"/>
      <c r="AW306" s="531"/>
      <c r="AX306" s="516"/>
      <c r="AZ306" s="516"/>
      <c r="CY306" s="662"/>
      <c r="CZ306" s="662"/>
      <c r="DA306" s="662"/>
      <c r="DF306" s="662"/>
      <c r="DG306" s="662"/>
      <c r="DH306" s="662"/>
      <c r="DI306" s="662"/>
      <c r="DJ306" s="662"/>
      <c r="DK306" s="662"/>
      <c r="DL306" s="662"/>
      <c r="DM306" s="662"/>
      <c r="DN306" s="662"/>
      <c r="DO306" s="662"/>
      <c r="DP306" s="662"/>
      <c r="DQ306" s="662"/>
      <c r="DR306" s="662"/>
      <c r="DS306" s="662"/>
      <c r="DT306" s="662"/>
      <c r="DU306" s="662"/>
      <c r="DV306" s="662"/>
      <c r="DW306" s="662"/>
      <c r="DX306" s="662"/>
      <c r="EF306" s="662"/>
      <c r="EG306" s="662"/>
      <c r="EH306" s="662"/>
      <c r="EI306" s="662"/>
      <c r="FY306" s="517"/>
      <c r="FZ306" s="662"/>
      <c r="GA306" s="664"/>
      <c r="HR306" s="2646"/>
      <c r="HS306" s="2646"/>
      <c r="HT306" s="2646"/>
      <c r="HU306" s="2646"/>
      <c r="HZ306" s="2621"/>
      <c r="IA306" s="2621"/>
      <c r="IB306" s="2621"/>
      <c r="IC306" s="2621"/>
      <c r="ID306" s="2621"/>
      <c r="IE306" s="2621"/>
      <c r="IF306" s="2621"/>
      <c r="IG306" s="2621"/>
      <c r="IH306" s="2621"/>
      <c r="II306" s="2621"/>
      <c r="IJ306" s="2621"/>
      <c r="IK306" s="532"/>
      <c r="IL306" s="532"/>
      <c r="IM306" s="532"/>
      <c r="IN306" s="532"/>
      <c r="IO306" s="532"/>
      <c r="IP306" s="532"/>
      <c r="IQ306" s="2645"/>
      <c r="IR306" s="2645"/>
      <c r="IS306" s="2645"/>
      <c r="IT306" s="2645"/>
      <c r="IU306" s="2645"/>
      <c r="IV306" s="2645"/>
      <c r="IW306" s="2645"/>
      <c r="IX306" s="2645"/>
      <c r="IY306" s="2645"/>
      <c r="IZ306" s="2645"/>
      <c r="JA306" s="2645"/>
      <c r="JI306" s="516"/>
    </row>
    <row r="307" spans="30:274" ht="4.1500000000000004" customHeight="1">
      <c r="AD307" s="522"/>
      <c r="AE307" s="524"/>
      <c r="AZ307" s="516"/>
      <c r="CY307" s="662"/>
      <c r="CZ307" s="662"/>
      <c r="DA307" s="662"/>
      <c r="DF307" s="662"/>
      <c r="DG307" s="662"/>
      <c r="DH307" s="662"/>
      <c r="DI307" s="662"/>
      <c r="DJ307" s="662"/>
      <c r="DK307" s="662"/>
      <c r="DL307" s="662"/>
      <c r="DM307" s="662"/>
      <c r="DN307" s="662"/>
      <c r="DO307" s="662"/>
      <c r="DP307" s="662"/>
      <c r="DQ307" s="662"/>
      <c r="DR307" s="662"/>
      <c r="DS307" s="662"/>
      <c r="DT307" s="662"/>
      <c r="DU307" s="662"/>
      <c r="DV307" s="662"/>
      <c r="DW307" s="662"/>
      <c r="DX307" s="662"/>
      <c r="EF307" s="662"/>
      <c r="EG307" s="662"/>
      <c r="EH307" s="662"/>
      <c r="EI307" s="662"/>
      <c r="FY307" s="517"/>
      <c r="FZ307" s="662"/>
      <c r="GA307" s="664"/>
      <c r="HR307" s="2646"/>
      <c r="HS307" s="2646"/>
      <c r="HT307" s="2646"/>
      <c r="HU307" s="2646"/>
      <c r="HZ307" s="516"/>
      <c r="JA307" s="517"/>
      <c r="JD307" s="514"/>
      <c r="JE307" s="514"/>
      <c r="JF307" s="514"/>
      <c r="JG307" s="514"/>
      <c r="JH307" s="514"/>
      <c r="JI307" s="515"/>
      <c r="JJ307" s="514"/>
      <c r="JK307" s="514"/>
      <c r="JL307" s="514"/>
      <c r="JM307" s="514"/>
      <c r="JN307" s="514"/>
    </row>
    <row r="308" spans="30:274" ht="4.1500000000000004" customHeight="1">
      <c r="AD308" s="527"/>
      <c r="AE308" s="529"/>
      <c r="AF308" s="532"/>
      <c r="AG308" s="532"/>
      <c r="AH308" s="532"/>
      <c r="AI308" s="532"/>
      <c r="AJ308" s="532"/>
      <c r="AK308" s="532"/>
      <c r="AL308" s="532"/>
      <c r="AM308" s="532"/>
      <c r="AN308" s="532"/>
      <c r="AO308" s="532"/>
      <c r="AP308" s="532"/>
      <c r="AQ308" s="532"/>
      <c r="AR308" s="532"/>
      <c r="AS308" s="532"/>
      <c r="AT308" s="532"/>
      <c r="AU308" s="532"/>
      <c r="AV308" s="532"/>
      <c r="AW308" s="532"/>
      <c r="AZ308" s="516"/>
      <c r="CW308" s="662"/>
      <c r="CX308" s="662"/>
      <c r="CY308" s="662"/>
      <c r="CZ308" s="662"/>
      <c r="DA308" s="662"/>
      <c r="DF308" s="662"/>
      <c r="DG308" s="662"/>
      <c r="DH308" s="662"/>
      <c r="DI308" s="662"/>
      <c r="DJ308" s="662"/>
      <c r="DK308" s="662"/>
      <c r="DL308" s="662"/>
      <c r="DM308" s="662"/>
      <c r="DN308" s="662"/>
      <c r="DO308" s="662"/>
      <c r="DP308" s="662"/>
      <c r="DQ308" s="662"/>
      <c r="DR308" s="662"/>
      <c r="DS308" s="662"/>
      <c r="DT308" s="662"/>
      <c r="DU308" s="662"/>
      <c r="DV308" s="662"/>
      <c r="DW308" s="662"/>
      <c r="DX308" s="662"/>
      <c r="ED308" s="662"/>
      <c r="EE308" s="662"/>
      <c r="EF308" s="662"/>
      <c r="EG308" s="662"/>
      <c r="EH308" s="662"/>
      <c r="EI308" s="662"/>
      <c r="FY308" s="517"/>
      <c r="FZ308" s="662"/>
      <c r="GA308" s="664"/>
      <c r="HR308" s="2646"/>
      <c r="HS308" s="2646"/>
      <c r="HT308" s="2646"/>
      <c r="HU308" s="2646"/>
      <c r="HZ308" s="516"/>
      <c r="JA308" s="517"/>
      <c r="JI308" s="516"/>
    </row>
    <row r="309" spans="30:274" ht="4.1500000000000004" customHeight="1">
      <c r="AD309" s="514"/>
      <c r="AE309" s="514"/>
      <c r="AF309" s="514"/>
      <c r="AG309" s="514"/>
      <c r="AH309" s="514"/>
      <c r="AI309" s="514"/>
      <c r="AJ309" s="514"/>
      <c r="AK309" s="514"/>
      <c r="AL309" s="514"/>
      <c r="AM309" s="514"/>
      <c r="AN309" s="514"/>
      <c r="AO309" s="514"/>
      <c r="AP309" s="514"/>
      <c r="AQ309" s="514"/>
      <c r="AR309" s="514"/>
      <c r="AS309" s="514"/>
      <c r="AT309" s="514"/>
      <c r="AU309" s="514"/>
      <c r="AV309" s="514"/>
      <c r="AW309" s="518"/>
      <c r="AX309" s="516"/>
      <c r="AZ309" s="516"/>
      <c r="CW309" s="662"/>
      <c r="CX309" s="662"/>
      <c r="CY309" s="662"/>
      <c r="CZ309" s="662"/>
      <c r="DA309" s="662"/>
      <c r="DF309" s="662"/>
      <c r="DG309" s="662"/>
      <c r="DH309" s="662"/>
      <c r="DI309" s="662"/>
      <c r="DJ309" s="662"/>
      <c r="DK309" s="662"/>
      <c r="DL309" s="662"/>
      <c r="DM309" s="662"/>
      <c r="DN309" s="662"/>
      <c r="DO309" s="662"/>
      <c r="DP309" s="662"/>
      <c r="DQ309" s="662"/>
      <c r="DR309" s="662"/>
      <c r="DS309" s="662"/>
      <c r="DT309" s="662"/>
      <c r="DU309" s="662"/>
      <c r="DV309" s="662"/>
      <c r="DW309" s="662"/>
      <c r="DX309" s="662"/>
      <c r="ED309" s="662"/>
      <c r="EE309" s="662"/>
      <c r="EF309" s="662"/>
      <c r="EG309" s="662"/>
      <c r="EH309" s="662"/>
      <c r="EI309" s="662"/>
      <c r="FY309" s="517"/>
      <c r="FZ309" s="662"/>
      <c r="GA309" s="664"/>
      <c r="HR309" s="2646"/>
      <c r="HS309" s="2646"/>
      <c r="HT309" s="2646"/>
      <c r="HU309" s="2646"/>
      <c r="HZ309" s="516"/>
      <c r="JA309" s="517"/>
      <c r="JD309" s="2638">
        <v>0.3</v>
      </c>
      <c r="JE309" s="2638"/>
      <c r="JF309" s="2638"/>
      <c r="JG309" s="2638"/>
      <c r="JH309" s="2638"/>
      <c r="JI309" s="2638"/>
      <c r="JJ309" s="2638"/>
      <c r="JK309" s="2638"/>
      <c r="JL309" s="2638"/>
      <c r="JM309" s="2638"/>
      <c r="JN309" s="2638"/>
    </row>
    <row r="310" spans="30:274" ht="4.1500000000000004" customHeight="1">
      <c r="AX310" s="516"/>
      <c r="AZ310" s="516"/>
      <c r="CW310" s="662"/>
      <c r="CX310" s="662"/>
      <c r="CY310" s="662"/>
      <c r="CZ310" s="662"/>
      <c r="DA310" s="662"/>
      <c r="DF310" s="662"/>
      <c r="DG310" s="662"/>
      <c r="DH310" s="662"/>
      <c r="DI310" s="662"/>
      <c r="DJ310" s="662"/>
      <c r="DK310" s="662"/>
      <c r="DL310" s="662"/>
      <c r="DM310" s="662"/>
      <c r="DN310" s="662"/>
      <c r="DO310" s="662"/>
      <c r="DP310" s="662"/>
      <c r="DQ310" s="662"/>
      <c r="DR310" s="662"/>
      <c r="DS310" s="662"/>
      <c r="DT310" s="662"/>
      <c r="DU310" s="662"/>
      <c r="DV310" s="662"/>
      <c r="DW310" s="662"/>
      <c r="DX310" s="662"/>
      <c r="ED310" s="662"/>
      <c r="EE310" s="662"/>
      <c r="EF310" s="662"/>
      <c r="EG310" s="662"/>
      <c r="EH310" s="662"/>
      <c r="EI310" s="662"/>
      <c r="FY310" s="517"/>
      <c r="FZ310" s="662"/>
      <c r="GA310" s="664"/>
      <c r="HR310" s="2646"/>
      <c r="HS310" s="2646"/>
      <c r="HT310" s="2646"/>
      <c r="HU310" s="2646"/>
      <c r="HZ310" s="516"/>
      <c r="JA310" s="517"/>
      <c r="JD310" s="2638"/>
      <c r="JE310" s="2638"/>
      <c r="JF310" s="2638"/>
      <c r="JG310" s="2638"/>
      <c r="JH310" s="2638"/>
      <c r="JI310" s="2638"/>
      <c r="JJ310" s="2638"/>
      <c r="JK310" s="2638"/>
      <c r="JL310" s="2638"/>
      <c r="JM310" s="2638"/>
      <c r="JN310" s="2638"/>
    </row>
    <row r="311" spans="30:274" ht="4.1500000000000004" customHeight="1">
      <c r="AX311" s="516"/>
      <c r="AZ311" s="516"/>
      <c r="CW311" s="662"/>
      <c r="CX311" s="662"/>
      <c r="CY311" s="662"/>
      <c r="CZ311" s="662"/>
      <c r="DA311" s="662"/>
      <c r="DB311" s="662"/>
      <c r="DC311" s="662"/>
      <c r="DD311" s="662"/>
      <c r="DE311" s="662"/>
      <c r="DF311" s="662"/>
      <c r="DG311" s="662"/>
      <c r="DH311" s="662"/>
      <c r="DI311" s="1601"/>
      <c r="DJ311" s="1601"/>
      <c r="DK311" s="1601"/>
      <c r="DL311" s="1601"/>
      <c r="DM311" s="1601"/>
      <c r="DN311" s="1601"/>
      <c r="DO311" s="1601"/>
      <c r="DP311" s="1601"/>
      <c r="DQ311" s="1601"/>
      <c r="DR311" s="1601"/>
      <c r="DS311" s="1601"/>
      <c r="DT311" s="1601"/>
      <c r="DU311" s="1601"/>
      <c r="DV311" s="1601"/>
      <c r="DW311" s="1601"/>
      <c r="DX311" s="1601"/>
      <c r="ED311" s="662"/>
      <c r="EE311" s="662"/>
      <c r="EF311" s="662"/>
      <c r="EG311" s="662"/>
      <c r="EH311" s="1601"/>
      <c r="EI311" s="1601"/>
      <c r="FY311" s="517"/>
      <c r="FZ311" s="1601"/>
      <c r="GA311" s="1605"/>
      <c r="HR311" s="2646"/>
      <c r="HS311" s="2646"/>
      <c r="HT311" s="2646"/>
      <c r="HU311" s="2646"/>
      <c r="HZ311" s="516"/>
      <c r="JA311" s="517"/>
      <c r="JD311" s="2638"/>
      <c r="JE311" s="2638"/>
      <c r="JF311" s="2638"/>
      <c r="JG311" s="2638"/>
      <c r="JH311" s="2638"/>
      <c r="JI311" s="2638"/>
      <c r="JJ311" s="2638"/>
      <c r="JK311" s="2638"/>
      <c r="JL311" s="2638"/>
      <c r="JM311" s="2638"/>
      <c r="JN311" s="2638"/>
    </row>
    <row r="312" spans="30:274" ht="4.1500000000000004" customHeight="1">
      <c r="AX312" s="516"/>
      <c r="AZ312" s="516"/>
      <c r="CW312" s="662"/>
      <c r="CX312" s="662"/>
      <c r="CY312" s="662"/>
      <c r="CZ312" s="662"/>
      <c r="DA312" s="662"/>
      <c r="DB312" s="662"/>
      <c r="DC312" s="662"/>
      <c r="DD312" s="662"/>
      <c r="DE312" s="662"/>
      <c r="DF312" s="662"/>
      <c r="DG312" s="662"/>
      <c r="DH312" s="662"/>
      <c r="DI312" s="1601"/>
      <c r="DJ312" s="1601"/>
      <c r="DK312" s="1601"/>
      <c r="DL312" s="1601"/>
      <c r="DM312" s="1601"/>
      <c r="DN312" s="1601"/>
      <c r="DO312" s="1601"/>
      <c r="DP312" s="1601"/>
      <c r="DQ312" s="1601"/>
      <c r="DR312" s="1601"/>
      <c r="DS312" s="1601"/>
      <c r="DT312" s="1601"/>
      <c r="DU312" s="1601"/>
      <c r="DV312" s="1601"/>
      <c r="DW312" s="1601"/>
      <c r="DX312" s="1601"/>
      <c r="ED312" s="662"/>
      <c r="EE312" s="662"/>
      <c r="EF312" s="662"/>
      <c r="EG312" s="662"/>
      <c r="EH312" s="1601"/>
      <c r="EI312" s="1601"/>
      <c r="FY312" s="517"/>
      <c r="FZ312" s="1601"/>
      <c r="GA312" s="1605"/>
      <c r="HS312" s="516"/>
      <c r="HZ312" s="516"/>
      <c r="JA312" s="517"/>
      <c r="JI312" s="516"/>
    </row>
    <row r="313" spans="30:274" ht="4.1500000000000004" customHeight="1">
      <c r="AX313" s="516"/>
      <c r="AZ313" s="516"/>
      <c r="CP313" s="532"/>
      <c r="CQ313" s="532"/>
      <c r="CR313" s="532"/>
      <c r="CS313" s="532"/>
      <c r="CT313" s="532"/>
      <c r="CU313" s="532"/>
      <c r="CV313" s="532"/>
      <c r="CW313" s="665"/>
      <c r="CX313" s="665"/>
      <c r="CY313" s="665"/>
      <c r="CZ313" s="665"/>
      <c r="DA313" s="665"/>
      <c r="DB313" s="1604"/>
      <c r="DC313" s="1604"/>
      <c r="DD313" s="1604"/>
      <c r="DE313" s="1604"/>
      <c r="DF313" s="665"/>
      <c r="DG313" s="665"/>
      <c r="DH313" s="665"/>
      <c r="DI313" s="1604"/>
      <c r="DJ313" s="1604"/>
      <c r="DK313" s="1604"/>
      <c r="DL313" s="1604"/>
      <c r="DM313" s="1604"/>
      <c r="DN313" s="1604"/>
      <c r="DO313" s="1604"/>
      <c r="DP313" s="1604"/>
      <c r="DQ313" s="1604"/>
      <c r="DR313" s="1604"/>
      <c r="DS313" s="1604"/>
      <c r="DT313" s="1604"/>
      <c r="DU313" s="1604"/>
      <c r="DV313" s="1604"/>
      <c r="DW313" s="1604"/>
      <c r="DX313" s="1604"/>
      <c r="DY313" s="532"/>
      <c r="DZ313" s="532"/>
      <c r="EA313" s="532"/>
      <c r="EB313" s="532"/>
      <c r="EC313" s="532"/>
      <c r="ED313" s="665"/>
      <c r="EE313" s="665"/>
      <c r="EF313" s="665"/>
      <c r="EG313" s="665"/>
      <c r="EH313" s="1604"/>
      <c r="EI313" s="1604"/>
      <c r="FY313" s="517"/>
      <c r="FZ313" s="1601"/>
      <c r="GA313" s="1605"/>
      <c r="HS313" s="516"/>
      <c r="HZ313" s="530"/>
      <c r="IA313" s="532"/>
      <c r="IB313" s="532"/>
      <c r="IC313" s="532"/>
      <c r="ID313" s="532"/>
      <c r="IE313" s="532"/>
      <c r="IF313" s="532"/>
      <c r="IG313" s="532"/>
      <c r="IH313" s="532"/>
      <c r="II313" s="532"/>
      <c r="IJ313" s="532"/>
      <c r="IK313" s="532"/>
      <c r="IL313" s="532"/>
      <c r="IM313" s="532"/>
      <c r="IN313" s="532"/>
      <c r="IO313" s="532"/>
      <c r="IP313" s="532"/>
      <c r="IQ313" s="532"/>
      <c r="IR313" s="532"/>
      <c r="IS313" s="532"/>
      <c r="IT313" s="532"/>
      <c r="IU313" s="532"/>
      <c r="IV313" s="532"/>
      <c r="IW313" s="532"/>
      <c r="IX313" s="532"/>
      <c r="IY313" s="532"/>
      <c r="IZ313" s="532"/>
      <c r="JA313" s="531"/>
      <c r="JD313" s="532"/>
      <c r="JE313" s="532"/>
      <c r="JF313" s="532"/>
      <c r="JG313" s="532"/>
      <c r="JH313" s="532"/>
      <c r="JI313" s="530"/>
      <c r="JJ313" s="532"/>
      <c r="JK313" s="532"/>
      <c r="JL313" s="532"/>
      <c r="JM313" s="532"/>
      <c r="JN313" s="532"/>
    </row>
    <row r="314" spans="30:274" ht="4.1500000000000004" customHeight="1">
      <c r="AX314" s="516"/>
      <c r="AZ314" s="516"/>
      <c r="CO314" s="517"/>
      <c r="CW314" s="662"/>
      <c r="CX314" s="662"/>
      <c r="CY314" s="662"/>
      <c r="CZ314" s="662"/>
      <c r="DA314" s="662"/>
      <c r="DB314" s="1601"/>
      <c r="DC314" s="1601"/>
      <c r="DD314" s="1601"/>
      <c r="DE314" s="1601"/>
      <c r="DF314" s="662"/>
      <c r="DG314" s="662"/>
      <c r="DH314" s="662"/>
      <c r="DI314" s="1601"/>
      <c r="DJ314" s="1601"/>
      <c r="DK314" s="1601"/>
      <c r="DL314" s="1601"/>
      <c r="DM314" s="1601"/>
      <c r="DN314" s="1601"/>
      <c r="DO314" s="1601"/>
      <c r="DP314" s="1601"/>
      <c r="DQ314" s="1601"/>
      <c r="DR314" s="1601"/>
      <c r="DS314" s="1601"/>
      <c r="DT314" s="1601"/>
      <c r="DU314" s="1601"/>
      <c r="DV314" s="1601"/>
      <c r="DW314" s="1601"/>
      <c r="DX314" s="1601"/>
      <c r="DY314" s="1601"/>
      <c r="DZ314" s="1601"/>
      <c r="EA314" s="1601"/>
      <c r="EB314" s="1601"/>
      <c r="EC314" s="1601"/>
      <c r="ED314" s="1601"/>
      <c r="EE314" s="1601"/>
      <c r="EF314" s="1601"/>
      <c r="EG314" s="1601"/>
      <c r="EH314" s="1601"/>
      <c r="EI314" s="1601"/>
      <c r="EJ314" s="516"/>
      <c r="FY314" s="517"/>
      <c r="FZ314" s="1601"/>
      <c r="GA314" s="1605"/>
      <c r="HS314" s="516"/>
      <c r="HY314" s="515"/>
      <c r="HZ314" s="514"/>
      <c r="IA314" s="514"/>
      <c r="IB314" s="514"/>
      <c r="IC314" s="514"/>
      <c r="ID314" s="514"/>
      <c r="IE314" s="514"/>
      <c r="IF314" s="514"/>
      <c r="IG314" s="514"/>
      <c r="IH314" s="514"/>
      <c r="II314" s="514"/>
      <c r="IJ314" s="514"/>
      <c r="IK314" s="514"/>
      <c r="IL314" s="514"/>
      <c r="IM314" s="514"/>
      <c r="IN314" s="514"/>
      <c r="IO314" s="514"/>
      <c r="IP314" s="514"/>
      <c r="IQ314" s="514"/>
      <c r="IR314" s="514"/>
      <c r="IS314" s="514"/>
      <c r="IT314" s="514"/>
      <c r="IU314" s="514"/>
      <c r="IV314" s="514"/>
      <c r="IW314" s="514"/>
      <c r="IX314" s="514"/>
      <c r="IY314" s="514"/>
      <c r="IZ314" s="514"/>
      <c r="JA314" s="514"/>
      <c r="JB314" s="518"/>
      <c r="JD314" s="2639">
        <v>0.15</v>
      </c>
      <c r="JE314" s="2639"/>
      <c r="JF314" s="2639"/>
      <c r="JG314" s="2639"/>
      <c r="JH314" s="2639"/>
      <c r="JI314" s="2639"/>
      <c r="JJ314" s="2639"/>
      <c r="JK314" s="2639"/>
      <c r="JL314" s="2639"/>
      <c r="JM314" s="2639"/>
      <c r="JN314" s="2639"/>
    </row>
    <row r="315" spans="30:274" ht="4.1500000000000004" customHeight="1">
      <c r="AX315" s="516"/>
      <c r="AZ315" s="516"/>
      <c r="CO315" s="517"/>
      <c r="CW315" s="662"/>
      <c r="CX315" s="662"/>
      <c r="CY315" s="662"/>
      <c r="CZ315" s="662"/>
      <c r="DA315" s="662"/>
      <c r="DB315" s="1601"/>
      <c r="DC315" s="1601"/>
      <c r="DD315" s="1601"/>
      <c r="DE315" s="1601"/>
      <c r="DF315" s="662"/>
      <c r="DG315" s="662"/>
      <c r="DH315" s="662"/>
      <c r="DI315" s="1601"/>
      <c r="DJ315" s="1601"/>
      <c r="DK315" s="1601"/>
      <c r="DL315" s="1601"/>
      <c r="DM315" s="1601"/>
      <c r="DN315" s="1601"/>
      <c r="DO315" s="1601"/>
      <c r="DP315" s="1601"/>
      <c r="DQ315" s="1601"/>
      <c r="DR315" s="1601"/>
      <c r="DS315" s="1601"/>
      <c r="DT315" s="1601"/>
      <c r="DU315" s="1601"/>
      <c r="DV315" s="1601"/>
      <c r="DW315" s="1601"/>
      <c r="DX315" s="1601"/>
      <c r="DY315" s="1601"/>
      <c r="DZ315" s="1601"/>
      <c r="EA315" s="1601"/>
      <c r="EB315" s="1601"/>
      <c r="EC315" s="1601"/>
      <c r="ED315" s="1601"/>
      <c r="EE315" s="1601"/>
      <c r="EF315" s="1601"/>
      <c r="EG315" s="1601"/>
      <c r="EH315" s="1601"/>
      <c r="EI315" s="1601"/>
      <c r="EJ315" s="516"/>
      <c r="FY315" s="517"/>
      <c r="FZ315" s="1601"/>
      <c r="GA315" s="1605"/>
      <c r="HS315" s="516"/>
      <c r="HY315" s="516"/>
      <c r="JB315" s="517"/>
      <c r="JD315" s="2638"/>
      <c r="JE315" s="2638"/>
      <c r="JF315" s="2638"/>
      <c r="JG315" s="2638"/>
      <c r="JH315" s="2638"/>
      <c r="JI315" s="2638"/>
      <c r="JJ315" s="2638"/>
      <c r="JK315" s="2638"/>
      <c r="JL315" s="2638"/>
      <c r="JM315" s="2638"/>
      <c r="JN315" s="2638"/>
    </row>
    <row r="316" spans="30:274" ht="4.1500000000000004" customHeight="1">
      <c r="AX316" s="516"/>
      <c r="AZ316" s="516"/>
      <c r="CO316" s="517"/>
      <c r="CR316" s="515"/>
      <c r="CS316" s="514"/>
      <c r="CT316" s="514"/>
      <c r="CU316" s="514"/>
      <c r="CV316" s="514"/>
      <c r="CW316" s="667"/>
      <c r="CX316" s="667"/>
      <c r="CY316" s="667"/>
      <c r="CZ316" s="667"/>
      <c r="DA316" s="667"/>
      <c r="DB316" s="1606"/>
      <c r="DC316" s="1606"/>
      <c r="DD316" s="1606"/>
      <c r="DE316" s="1606"/>
      <c r="DF316" s="667"/>
      <c r="DG316" s="667"/>
      <c r="DH316" s="667"/>
      <c r="DI316" s="1606"/>
      <c r="DJ316" s="1606"/>
      <c r="DK316" s="1606"/>
      <c r="DL316" s="1606"/>
      <c r="DM316" s="1606"/>
      <c r="DN316" s="1606"/>
      <c r="DO316" s="1606"/>
      <c r="DP316" s="1606"/>
      <c r="DQ316" s="1606"/>
      <c r="DR316" s="1606"/>
      <c r="DS316" s="1606"/>
      <c r="DT316" s="1606"/>
      <c r="DU316" s="1606"/>
      <c r="DV316" s="1606"/>
      <c r="DW316" s="1606"/>
      <c r="DX316" s="1606"/>
      <c r="DY316" s="1606"/>
      <c r="DZ316" s="1606"/>
      <c r="EA316" s="1606"/>
      <c r="EB316" s="1606"/>
      <c r="EC316" s="1606"/>
      <c r="ED316" s="1606"/>
      <c r="EE316" s="1606"/>
      <c r="EF316" s="1606"/>
      <c r="EG316" s="1607"/>
      <c r="EH316" s="1601"/>
      <c r="EI316" s="1601"/>
      <c r="EJ316" s="516"/>
      <c r="FY316" s="517"/>
      <c r="FZ316" s="1601"/>
      <c r="GA316" s="1605"/>
      <c r="HS316" s="516"/>
      <c r="HY316" s="530"/>
      <c r="HZ316" s="532"/>
      <c r="IA316" s="532"/>
      <c r="IB316" s="532"/>
      <c r="IC316" s="532"/>
      <c r="ID316" s="532"/>
      <c r="IE316" s="532"/>
      <c r="IF316" s="532"/>
      <c r="IG316" s="532"/>
      <c r="IH316" s="532"/>
      <c r="II316" s="532"/>
      <c r="IJ316" s="532"/>
      <c r="IK316" s="532"/>
      <c r="IL316" s="532"/>
      <c r="IM316" s="532"/>
      <c r="IN316" s="532"/>
      <c r="IO316" s="532"/>
      <c r="IP316" s="532"/>
      <c r="IQ316" s="532"/>
      <c r="IR316" s="532"/>
      <c r="IS316" s="532"/>
      <c r="IT316" s="532"/>
      <c r="IU316" s="532"/>
      <c r="IV316" s="532"/>
      <c r="IW316" s="532"/>
      <c r="IX316" s="532"/>
      <c r="IY316" s="532"/>
      <c r="IZ316" s="532"/>
      <c r="JA316" s="532"/>
      <c r="JB316" s="531"/>
      <c r="JD316" s="2640"/>
      <c r="JE316" s="2640"/>
      <c r="JF316" s="2640"/>
      <c r="JG316" s="2640"/>
      <c r="JH316" s="2640"/>
      <c r="JI316" s="2640"/>
      <c r="JJ316" s="2640"/>
      <c r="JK316" s="2640"/>
      <c r="JL316" s="2640"/>
      <c r="JM316" s="2640"/>
      <c r="JN316" s="2640"/>
    </row>
    <row r="317" spans="30:274" ht="4.1500000000000004" customHeight="1">
      <c r="AX317" s="516"/>
      <c r="AZ317" s="516"/>
      <c r="CO317" s="517"/>
      <c r="CR317" s="516"/>
      <c r="CW317" s="662"/>
      <c r="CX317" s="662"/>
      <c r="CY317" s="662"/>
      <c r="CZ317" s="662"/>
      <c r="DA317" s="662"/>
      <c r="DB317" s="1601"/>
      <c r="DC317" s="1601"/>
      <c r="DD317" s="1601"/>
      <c r="DE317" s="1601"/>
      <c r="DF317" s="662"/>
      <c r="DG317" s="662"/>
      <c r="DH317" s="662"/>
      <c r="DI317" s="1601"/>
      <c r="DJ317" s="1601"/>
      <c r="DK317" s="1601"/>
      <c r="DL317" s="1601"/>
      <c r="DM317" s="1601"/>
      <c r="DN317" s="1601"/>
      <c r="DO317" s="1601"/>
      <c r="DP317" s="1601"/>
      <c r="DQ317" s="1601"/>
      <c r="DR317" s="1601"/>
      <c r="DS317" s="1601"/>
      <c r="DT317" s="1601"/>
      <c r="DU317" s="1601"/>
      <c r="DV317" s="1601"/>
      <c r="DW317" s="1601"/>
      <c r="DX317" s="1601"/>
      <c r="DY317" s="1601"/>
      <c r="DZ317" s="1601"/>
      <c r="EA317" s="1601"/>
      <c r="EB317" s="1601"/>
      <c r="EC317" s="1601"/>
      <c r="ED317" s="1601"/>
      <c r="EE317" s="1601"/>
      <c r="EF317" s="1601"/>
      <c r="EG317" s="1605"/>
      <c r="EH317" s="1601"/>
      <c r="EI317" s="1601"/>
      <c r="EJ317" s="516"/>
      <c r="FY317" s="517"/>
      <c r="FZ317" s="1601"/>
      <c r="GA317" s="1605"/>
      <c r="HS317" s="516"/>
      <c r="HY317" s="515"/>
      <c r="HZ317" s="514"/>
      <c r="IA317" s="514"/>
      <c r="IB317" s="514"/>
      <c r="IC317" s="514"/>
      <c r="ID317" s="514"/>
      <c r="IE317" s="514"/>
      <c r="IF317" s="514"/>
      <c r="IG317" s="514"/>
      <c r="IH317" s="514"/>
      <c r="II317" s="514"/>
      <c r="IJ317" s="514"/>
      <c r="IK317" s="514"/>
      <c r="IL317" s="514"/>
      <c r="IM317" s="514"/>
      <c r="IN317" s="514"/>
      <c r="IO317" s="514"/>
      <c r="IP317" s="514"/>
      <c r="IQ317" s="514"/>
      <c r="IR317" s="514"/>
      <c r="IS317" s="514"/>
      <c r="IT317" s="514"/>
      <c r="IU317" s="514"/>
      <c r="IV317" s="514"/>
      <c r="IW317" s="514"/>
      <c r="IX317" s="514"/>
      <c r="IY317" s="514"/>
      <c r="IZ317" s="514"/>
      <c r="JA317" s="514"/>
      <c r="JB317" s="518"/>
      <c r="JD317" s="2639">
        <v>0.15</v>
      </c>
      <c r="JE317" s="2639"/>
      <c r="JF317" s="2639"/>
      <c r="JG317" s="2639"/>
      <c r="JH317" s="2639"/>
      <c r="JI317" s="2639"/>
      <c r="JJ317" s="2639"/>
      <c r="JK317" s="2639"/>
      <c r="JL317" s="2639"/>
      <c r="JM317" s="2639"/>
      <c r="JN317" s="2639"/>
    </row>
    <row r="318" spans="30:274" ht="4.1500000000000004" customHeight="1">
      <c r="AX318" s="516"/>
      <c r="AZ318" s="516"/>
      <c r="CO318" s="517"/>
      <c r="CR318" s="516"/>
      <c r="CW318" s="662"/>
      <c r="CX318" s="662"/>
      <c r="CY318" s="662"/>
      <c r="CZ318" s="662"/>
      <c r="DA318" s="662"/>
      <c r="DB318" s="1601"/>
      <c r="DC318" s="1601"/>
      <c r="DD318" s="1601"/>
      <c r="DE318" s="1601"/>
      <c r="DF318" s="662"/>
      <c r="DG318" s="662"/>
      <c r="DH318" s="662"/>
      <c r="DI318" s="1601"/>
      <c r="DJ318" s="1601"/>
      <c r="DK318" s="1601"/>
      <c r="DL318" s="1601"/>
      <c r="DM318" s="1601"/>
      <c r="DN318" s="1601"/>
      <c r="DO318" s="1601"/>
      <c r="DP318" s="1601"/>
      <c r="DQ318" s="1601"/>
      <c r="DR318" s="1601"/>
      <c r="DS318" s="1601"/>
      <c r="DT318" s="1601"/>
      <c r="DU318" s="1601"/>
      <c r="DV318" s="1601"/>
      <c r="DW318" s="1601"/>
      <c r="DX318" s="1601"/>
      <c r="DY318" s="1601"/>
      <c r="DZ318" s="1601"/>
      <c r="EA318" s="1601"/>
      <c r="EB318" s="1601"/>
      <c r="EC318" s="1601"/>
      <c r="ED318" s="1601"/>
      <c r="EE318" s="1601"/>
      <c r="EF318" s="1601"/>
      <c r="EG318" s="1605"/>
      <c r="EH318" s="1601"/>
      <c r="EI318" s="1601"/>
      <c r="EJ318" s="516"/>
      <c r="FY318" s="517"/>
      <c r="FZ318" s="1601"/>
      <c r="GA318" s="1605"/>
      <c r="HS318" s="516"/>
      <c r="HY318" s="516"/>
      <c r="JB318" s="517"/>
      <c r="JD318" s="2638"/>
      <c r="JE318" s="2638"/>
      <c r="JF318" s="2638"/>
      <c r="JG318" s="2638"/>
      <c r="JH318" s="2638"/>
      <c r="JI318" s="2638"/>
      <c r="JJ318" s="2638"/>
      <c r="JK318" s="2638"/>
      <c r="JL318" s="2638"/>
      <c r="JM318" s="2638"/>
      <c r="JN318" s="2638"/>
    </row>
    <row r="319" spans="30:274" ht="4.1500000000000004" customHeight="1">
      <c r="AX319" s="519"/>
      <c r="AY319" s="521"/>
      <c r="AZ319" s="530"/>
      <c r="BA319" s="532"/>
      <c r="BB319" s="532"/>
      <c r="BC319" s="532"/>
      <c r="BD319" s="532"/>
      <c r="BE319" s="532"/>
      <c r="BF319" s="532"/>
      <c r="BG319" s="532"/>
      <c r="BH319" s="532"/>
      <c r="BI319" s="532"/>
      <c r="BJ319" s="532"/>
      <c r="BK319" s="532"/>
      <c r="BL319" s="532"/>
      <c r="BM319" s="532"/>
      <c r="BN319" s="532"/>
      <c r="BO319" s="532"/>
      <c r="BP319" s="532"/>
      <c r="BQ319" s="532"/>
      <c r="BR319" s="532"/>
      <c r="BS319" s="532"/>
      <c r="BT319" s="519"/>
      <c r="BU319" s="521"/>
      <c r="BV319" s="532"/>
      <c r="BW319" s="532"/>
      <c r="BX319" s="532"/>
      <c r="BY319" s="532"/>
      <c r="BZ319" s="532"/>
      <c r="CA319" s="532"/>
      <c r="CB319" s="532"/>
      <c r="CC319" s="532"/>
      <c r="CD319" s="532"/>
      <c r="CE319" s="532"/>
      <c r="CF319" s="532"/>
      <c r="CG319" s="532"/>
      <c r="CH319" s="532"/>
      <c r="CI319" s="532"/>
      <c r="CJ319" s="532"/>
      <c r="CK319" s="532"/>
      <c r="CL319" s="532"/>
      <c r="CM319" s="532"/>
      <c r="CN319" s="532"/>
      <c r="CO319" s="531"/>
      <c r="CP319" s="519"/>
      <c r="CQ319" s="521"/>
      <c r="CR319" s="516"/>
      <c r="CW319" s="662"/>
      <c r="CX319" s="662"/>
      <c r="CY319" s="662"/>
      <c r="CZ319" s="662"/>
      <c r="DA319" s="662"/>
      <c r="DB319" s="1601"/>
      <c r="DC319" s="1601"/>
      <c r="DD319" s="1601"/>
      <c r="DE319" s="1601"/>
      <c r="DF319" s="662"/>
      <c r="DG319" s="662"/>
      <c r="DH319" s="662"/>
      <c r="DI319" s="1601"/>
      <c r="DJ319" s="1601"/>
      <c r="DK319" s="1601"/>
      <c r="DL319" s="1601"/>
      <c r="DM319" s="1601"/>
      <c r="DN319" s="1601"/>
      <c r="DO319" s="1601"/>
      <c r="DP319" s="1601"/>
      <c r="DQ319" s="1601"/>
      <c r="DR319" s="1601"/>
      <c r="DS319" s="1601"/>
      <c r="DT319" s="1601"/>
      <c r="DU319" s="1601"/>
      <c r="DV319" s="1601"/>
      <c r="DW319" s="1601"/>
      <c r="DX319" s="1601"/>
      <c r="DY319" s="1601"/>
      <c r="DZ319" s="1601"/>
      <c r="EA319" s="1601"/>
      <c r="EB319" s="1601"/>
      <c r="EC319" s="1601"/>
      <c r="ED319" s="1601"/>
      <c r="EE319" s="1601"/>
      <c r="EF319" s="1601"/>
      <c r="EG319" s="1605"/>
      <c r="EH319" s="519"/>
      <c r="EI319" s="521"/>
      <c r="EJ319" s="530"/>
      <c r="EK319" s="532"/>
      <c r="EL319" s="532"/>
      <c r="EM319" s="532"/>
      <c r="EN319" s="532"/>
      <c r="EO319" s="532"/>
      <c r="EP319" s="532"/>
      <c r="EQ319" s="532"/>
      <c r="ER319" s="532"/>
      <c r="ES319" s="532"/>
      <c r="ET319" s="532"/>
      <c r="EU319" s="532"/>
      <c r="EV319" s="532"/>
      <c r="EW319" s="532"/>
      <c r="EX319" s="532"/>
      <c r="EY319" s="532"/>
      <c r="EZ319" s="532"/>
      <c r="FA319" s="532"/>
      <c r="FB319" s="532"/>
      <c r="FC319" s="532"/>
      <c r="FD319" s="519"/>
      <c r="FE319" s="521"/>
      <c r="FF319" s="532"/>
      <c r="FG319" s="532"/>
      <c r="FH319" s="532"/>
      <c r="FI319" s="532"/>
      <c r="FJ319" s="532"/>
      <c r="FK319" s="532"/>
      <c r="FL319" s="532"/>
      <c r="FM319" s="532"/>
      <c r="FN319" s="532"/>
      <c r="FO319" s="532"/>
      <c r="FP319" s="532"/>
      <c r="FQ319" s="532"/>
      <c r="FR319" s="532"/>
      <c r="FS319" s="532"/>
      <c r="FT319" s="532"/>
      <c r="FU319" s="532"/>
      <c r="FV319" s="532"/>
      <c r="FW319" s="532"/>
      <c r="FX319" s="532"/>
      <c r="FY319" s="531"/>
      <c r="FZ319" s="519"/>
      <c r="GA319" s="521"/>
      <c r="HQ319" s="532"/>
      <c r="HR319" s="532"/>
      <c r="HS319" s="530"/>
      <c r="HT319" s="532"/>
      <c r="HU319" s="532"/>
      <c r="HV319" s="532"/>
      <c r="HY319" s="530"/>
      <c r="HZ319" s="532"/>
      <c r="IA319" s="532"/>
      <c r="IB319" s="532"/>
      <c r="IC319" s="532"/>
      <c r="ID319" s="532"/>
      <c r="IE319" s="532"/>
      <c r="IF319" s="532"/>
      <c r="IG319" s="532"/>
      <c r="IH319" s="532"/>
      <c r="II319" s="532"/>
      <c r="IJ319" s="532"/>
      <c r="IK319" s="532"/>
      <c r="IL319" s="532"/>
      <c r="IM319" s="532"/>
      <c r="IN319" s="532"/>
      <c r="IO319" s="532"/>
      <c r="IP319" s="532"/>
      <c r="IQ319" s="532"/>
      <c r="IR319" s="532"/>
      <c r="IS319" s="532"/>
      <c r="IT319" s="532"/>
      <c r="IU319" s="532"/>
      <c r="IV319" s="532"/>
      <c r="IW319" s="532"/>
      <c r="IX319" s="532"/>
      <c r="IY319" s="532"/>
      <c r="IZ319" s="532"/>
      <c r="JA319" s="532"/>
      <c r="JB319" s="531"/>
      <c r="JD319" s="2640"/>
      <c r="JE319" s="2640"/>
      <c r="JF319" s="2640"/>
      <c r="JG319" s="2640"/>
      <c r="JH319" s="2640"/>
      <c r="JI319" s="2640"/>
      <c r="JJ319" s="2640"/>
      <c r="JK319" s="2640"/>
      <c r="JL319" s="2640"/>
      <c r="JM319" s="2640"/>
      <c r="JN319" s="2640"/>
    </row>
    <row r="320" spans="30:274" ht="4.1500000000000004" customHeight="1">
      <c r="AX320" s="522"/>
      <c r="AY320" s="524"/>
      <c r="BT320" s="522"/>
      <c r="BU320" s="524"/>
      <c r="CP320" s="522"/>
      <c r="CQ320" s="524"/>
      <c r="CR320" s="516"/>
      <c r="CW320" s="662"/>
      <c r="CX320" s="662"/>
      <c r="CY320" s="662"/>
      <c r="CZ320" s="662"/>
      <c r="DA320" s="662"/>
      <c r="DB320" s="1601"/>
      <c r="DC320" s="1601"/>
      <c r="DD320" s="1601"/>
      <c r="DE320" s="1601"/>
      <c r="DF320" s="662"/>
      <c r="DG320" s="662"/>
      <c r="DH320" s="662"/>
      <c r="DI320" s="1601"/>
      <c r="DJ320" s="1601"/>
      <c r="DK320" s="1601"/>
      <c r="DL320" s="1601"/>
      <c r="DM320" s="1601"/>
      <c r="DN320" s="1601"/>
      <c r="DO320" s="1601"/>
      <c r="DP320" s="1601"/>
      <c r="DQ320" s="1601"/>
      <c r="DR320" s="1601"/>
      <c r="DS320" s="1601"/>
      <c r="DT320" s="1601"/>
      <c r="DU320" s="1601"/>
      <c r="DV320" s="1601"/>
      <c r="DW320" s="1601"/>
      <c r="DX320" s="1601"/>
      <c r="DY320" s="1601"/>
      <c r="DZ320" s="1601"/>
      <c r="EA320" s="1601"/>
      <c r="EB320" s="1601"/>
      <c r="EC320" s="1601"/>
      <c r="ED320" s="1601"/>
      <c r="EE320" s="1601"/>
      <c r="EF320" s="1601"/>
      <c r="EG320" s="1605"/>
      <c r="EH320" s="522"/>
      <c r="EI320" s="524"/>
      <c r="EJ320" s="1601"/>
      <c r="EK320" s="1601"/>
      <c r="EL320" s="1601"/>
      <c r="EM320" s="1601"/>
      <c r="EN320" s="1601"/>
      <c r="EO320" s="1601"/>
      <c r="EP320" s="1601"/>
      <c r="EQ320" s="1601"/>
      <c r="ER320" s="1601"/>
      <c r="ES320" s="1601"/>
      <c r="ET320" s="1601"/>
      <c r="EU320" s="1601"/>
      <c r="EV320" s="1601"/>
      <c r="EW320" s="1601"/>
      <c r="EX320" s="1601"/>
      <c r="EY320" s="1601"/>
      <c r="EZ320" s="1601"/>
      <c r="FA320" s="1601"/>
      <c r="FB320" s="1601"/>
      <c r="FC320" s="1601"/>
      <c r="FD320" s="522"/>
      <c r="FE320" s="524"/>
      <c r="FF320" s="1601"/>
      <c r="FG320" s="1601"/>
      <c r="FH320" s="1601"/>
      <c r="FI320" s="1601"/>
      <c r="FJ320" s="1601"/>
      <c r="FK320" s="1601"/>
      <c r="FL320" s="1601"/>
      <c r="FM320" s="1601"/>
      <c r="FN320" s="1601"/>
      <c r="FO320" s="1601"/>
      <c r="FP320" s="1601"/>
      <c r="FQ320" s="1601"/>
      <c r="FR320" s="1601"/>
      <c r="FS320" s="1601"/>
      <c r="FT320" s="1601"/>
      <c r="FU320" s="1601"/>
      <c r="FV320" s="1601"/>
      <c r="FW320" s="1601"/>
      <c r="FX320" s="1601"/>
      <c r="FY320" s="1601"/>
      <c r="FZ320" s="522"/>
      <c r="GA320" s="524"/>
      <c r="IS320" s="514"/>
      <c r="IT320" s="514"/>
      <c r="IU320" s="514"/>
      <c r="IV320" s="514"/>
      <c r="IW320" s="514"/>
      <c r="IX320" s="514"/>
      <c r="IY320" s="514"/>
      <c r="IZ320" s="514"/>
      <c r="JA320" s="514"/>
      <c r="JB320" s="514"/>
    </row>
    <row r="321" spans="50:262" ht="4.1500000000000004" customHeight="1">
      <c r="AX321" s="527"/>
      <c r="AY321" s="529"/>
      <c r="AZ321" s="532"/>
      <c r="BA321" s="532"/>
      <c r="BB321" s="532"/>
      <c r="BC321" s="532"/>
      <c r="BD321" s="532"/>
      <c r="BE321" s="532"/>
      <c r="BF321" s="532"/>
      <c r="BG321" s="532"/>
      <c r="BH321" s="532"/>
      <c r="BI321" s="532"/>
      <c r="BJ321" s="532"/>
      <c r="BK321" s="532"/>
      <c r="BL321" s="532"/>
      <c r="BM321" s="532"/>
      <c r="BN321" s="532"/>
      <c r="BO321" s="532"/>
      <c r="BP321" s="532"/>
      <c r="BQ321" s="532"/>
      <c r="BR321" s="532"/>
      <c r="BS321" s="532"/>
      <c r="BT321" s="527"/>
      <c r="BU321" s="529"/>
      <c r="BV321" s="532"/>
      <c r="BW321" s="532"/>
      <c r="BX321" s="532"/>
      <c r="BY321" s="532"/>
      <c r="BZ321" s="532"/>
      <c r="CA321" s="532"/>
      <c r="CB321" s="532"/>
      <c r="CC321" s="532"/>
      <c r="CD321" s="532"/>
      <c r="CE321" s="532"/>
      <c r="CF321" s="532"/>
      <c r="CG321" s="532"/>
      <c r="CH321" s="532"/>
      <c r="CI321" s="532"/>
      <c r="CJ321" s="532"/>
      <c r="CK321" s="532"/>
      <c r="CL321" s="532"/>
      <c r="CM321" s="532"/>
      <c r="CN321" s="532"/>
      <c r="CO321" s="532"/>
      <c r="CP321" s="527"/>
      <c r="CQ321" s="529"/>
      <c r="CR321" s="516"/>
      <c r="CW321" s="662"/>
      <c r="CX321" s="662"/>
      <c r="CY321" s="662"/>
      <c r="CZ321" s="662"/>
      <c r="DA321" s="662"/>
      <c r="DB321" s="1601"/>
      <c r="DC321" s="1601"/>
      <c r="DD321" s="1601"/>
      <c r="DE321" s="1601"/>
      <c r="DF321" s="662"/>
      <c r="DG321" s="662"/>
      <c r="DH321" s="662"/>
      <c r="DI321" s="662"/>
      <c r="DJ321" s="662"/>
      <c r="DK321" s="662"/>
      <c r="DL321" s="662"/>
      <c r="DM321" s="662"/>
      <c r="DN321" s="662"/>
      <c r="DO321" s="662"/>
      <c r="DP321" s="662"/>
      <c r="DQ321" s="662"/>
      <c r="DR321" s="662"/>
      <c r="DS321" s="662"/>
      <c r="DT321" s="662"/>
      <c r="DU321" s="662"/>
      <c r="DV321" s="662"/>
      <c r="DW321" s="662"/>
      <c r="DX321" s="662"/>
      <c r="DY321" s="662"/>
      <c r="DZ321" s="662"/>
      <c r="EA321" s="662"/>
      <c r="EB321" s="662"/>
      <c r="EC321" s="662"/>
      <c r="ED321" s="662"/>
      <c r="EE321" s="662"/>
      <c r="EF321" s="662"/>
      <c r="EG321" s="664"/>
      <c r="EH321" s="527"/>
      <c r="EI321" s="529"/>
      <c r="EJ321" s="665"/>
      <c r="EK321" s="665"/>
      <c r="EL321" s="665"/>
      <c r="EM321" s="665"/>
      <c r="EN321" s="665"/>
      <c r="EO321" s="665"/>
      <c r="EP321" s="665"/>
      <c r="EQ321" s="665"/>
      <c r="ER321" s="665"/>
      <c r="ES321" s="665"/>
      <c r="ET321" s="665"/>
      <c r="EU321" s="665"/>
      <c r="EV321" s="665"/>
      <c r="EW321" s="665"/>
      <c r="EX321" s="665"/>
      <c r="EY321" s="665"/>
      <c r="EZ321" s="665"/>
      <c r="FA321" s="665"/>
      <c r="FB321" s="665"/>
      <c r="FC321" s="665"/>
      <c r="FD321" s="527"/>
      <c r="FE321" s="529"/>
      <c r="FF321" s="665"/>
      <c r="FG321" s="665"/>
      <c r="FH321" s="665"/>
      <c r="FI321" s="665"/>
      <c r="FJ321" s="665"/>
      <c r="FK321" s="665"/>
      <c r="FL321" s="665"/>
      <c r="FM321" s="665"/>
      <c r="FN321" s="665"/>
      <c r="FO321" s="665"/>
      <c r="FP321" s="665"/>
      <c r="FQ321" s="665"/>
      <c r="FR321" s="665"/>
      <c r="FS321" s="665"/>
      <c r="FT321" s="665"/>
      <c r="FU321" s="665"/>
      <c r="FV321" s="665"/>
      <c r="FW321" s="665"/>
      <c r="FX321" s="665"/>
      <c r="FY321" s="665"/>
      <c r="FZ321" s="527"/>
      <c r="GA321" s="529"/>
      <c r="HY321" s="516"/>
      <c r="JB321" s="517"/>
    </row>
    <row r="322" spans="50:262" ht="4.1500000000000004" customHeight="1">
      <c r="HY322" s="516"/>
      <c r="IG322" s="2596">
        <v>1.2</v>
      </c>
      <c r="IH322" s="2596"/>
      <c r="II322" s="2596"/>
      <c r="IJ322" s="2596"/>
      <c r="IK322" s="2596"/>
      <c r="IL322" s="2596"/>
      <c r="IM322" s="2596"/>
      <c r="IN322" s="2596"/>
      <c r="IO322" s="2596"/>
      <c r="IP322" s="2596"/>
      <c r="IQ322" s="2596"/>
      <c r="IR322" s="2596"/>
      <c r="JB322" s="517"/>
    </row>
    <row r="323" spans="50:262" ht="4.1500000000000004" customHeight="1">
      <c r="HY323" s="530"/>
      <c r="HZ323" s="532"/>
      <c r="IA323" s="532"/>
      <c r="IB323" s="532"/>
      <c r="IC323" s="532"/>
      <c r="ID323" s="532"/>
      <c r="IE323" s="532"/>
      <c r="IF323" s="532"/>
      <c r="IG323" s="2596"/>
      <c r="IH323" s="2596"/>
      <c r="II323" s="2596"/>
      <c r="IJ323" s="2596"/>
      <c r="IK323" s="2596"/>
      <c r="IL323" s="2596"/>
      <c r="IM323" s="2596"/>
      <c r="IN323" s="2596"/>
      <c r="IO323" s="2596"/>
      <c r="IP323" s="2596"/>
      <c r="IQ323" s="2596"/>
      <c r="IR323" s="2596"/>
      <c r="IS323" s="532"/>
      <c r="IT323" s="532"/>
      <c r="IU323" s="532"/>
      <c r="IV323" s="532"/>
      <c r="IW323" s="532"/>
      <c r="IX323" s="532"/>
      <c r="IY323" s="532"/>
      <c r="IZ323" s="532"/>
      <c r="JA323" s="532"/>
      <c r="JB323" s="531"/>
    </row>
    <row r="324" spans="50:262" ht="4.1500000000000004" customHeight="1">
      <c r="HY324" s="516"/>
      <c r="IG324" s="2596"/>
      <c r="IH324" s="2596"/>
      <c r="II324" s="2596"/>
      <c r="IJ324" s="2596"/>
      <c r="IK324" s="2596"/>
      <c r="IL324" s="2596"/>
      <c r="IM324" s="2596"/>
      <c r="IN324" s="2596"/>
      <c r="IO324" s="2596"/>
      <c r="IP324" s="2596"/>
      <c r="IQ324" s="2596"/>
      <c r="IR324" s="2596"/>
      <c r="JB324" s="517"/>
    </row>
    <row r="327" spans="50:262" ht="4.1500000000000004" customHeight="1">
      <c r="HY327" s="515"/>
      <c r="HZ327" s="514"/>
      <c r="IA327" s="514"/>
      <c r="IB327" s="514"/>
      <c r="IC327" s="514"/>
      <c r="ID327" s="514"/>
      <c r="IE327" s="514"/>
      <c r="IF327" s="514"/>
      <c r="IG327" s="514"/>
      <c r="IH327" s="514"/>
      <c r="II327" s="514"/>
      <c r="IJ327" s="514"/>
      <c r="IK327" s="514"/>
      <c r="IL327" s="514"/>
      <c r="IM327" s="514"/>
      <c r="IN327" s="514"/>
      <c r="IO327" s="514"/>
      <c r="IP327" s="514"/>
      <c r="IQ327" s="514"/>
      <c r="IR327" s="514"/>
      <c r="IS327" s="514"/>
      <c r="IT327" s="514"/>
      <c r="IU327" s="514"/>
      <c r="IV327" s="514"/>
      <c r="IW327" s="514"/>
      <c r="IX327" s="514"/>
      <c r="IY327" s="514"/>
      <c r="IZ327" s="514"/>
      <c r="JA327" s="514"/>
      <c r="JB327" s="518"/>
    </row>
    <row r="328" spans="50:262" ht="4.1500000000000004" customHeight="1">
      <c r="HY328" s="516"/>
      <c r="HZ328" s="2647"/>
      <c r="IA328" s="2648"/>
      <c r="IB328" s="2648"/>
      <c r="IC328" s="2648"/>
      <c r="ID328" s="2648"/>
      <c r="IE328" s="2648"/>
      <c r="IF328" s="2648"/>
      <c r="IG328" s="2648"/>
      <c r="IH328" s="2648"/>
      <c r="II328" s="2648"/>
      <c r="IJ328" s="2648"/>
      <c r="IK328" s="514"/>
      <c r="IL328" s="514"/>
      <c r="IM328" s="514"/>
      <c r="IN328" s="514"/>
      <c r="IO328" s="514"/>
      <c r="IP328" s="514"/>
      <c r="IQ328" s="2617"/>
      <c r="IR328" s="2617"/>
      <c r="IS328" s="2617"/>
      <c r="IT328" s="2617"/>
      <c r="IU328" s="2617"/>
      <c r="IV328" s="2617"/>
      <c r="IW328" s="2617"/>
      <c r="IX328" s="2617"/>
      <c r="IY328" s="2617"/>
      <c r="IZ328" s="2617"/>
      <c r="JA328" s="2618"/>
      <c r="JB328" s="517"/>
    </row>
    <row r="329" spans="50:262" ht="4.1500000000000004" customHeight="1">
      <c r="HY329" s="516"/>
      <c r="HZ329" s="2649"/>
      <c r="IA329" s="2644"/>
      <c r="IB329" s="2644"/>
      <c r="IC329" s="2644"/>
      <c r="ID329" s="2644"/>
      <c r="IE329" s="2644"/>
      <c r="IF329" s="2644"/>
      <c r="IG329" s="2644"/>
      <c r="IH329" s="2644"/>
      <c r="II329" s="2644"/>
      <c r="IJ329" s="2644"/>
      <c r="IQ329" s="2619"/>
      <c r="IR329" s="2619"/>
      <c r="IS329" s="2619"/>
      <c r="IT329" s="2619"/>
      <c r="IU329" s="2619"/>
      <c r="IV329" s="2619"/>
      <c r="IW329" s="2619"/>
      <c r="IX329" s="2619"/>
      <c r="IY329" s="2619"/>
      <c r="IZ329" s="2619"/>
      <c r="JA329" s="2620"/>
      <c r="JB329" s="517"/>
    </row>
    <row r="330" spans="50:262" ht="4.1500000000000004" customHeight="1">
      <c r="HY330" s="516"/>
      <c r="HZ330" s="2649"/>
      <c r="IA330" s="2644"/>
      <c r="IB330" s="2644"/>
      <c r="IC330" s="2644"/>
      <c r="ID330" s="2644"/>
      <c r="IE330" s="2644"/>
      <c r="IF330" s="2644"/>
      <c r="IG330" s="2644"/>
      <c r="IH330" s="2644"/>
      <c r="II330" s="2644"/>
      <c r="IJ330" s="2644"/>
      <c r="IQ330" s="2619"/>
      <c r="IR330" s="2619"/>
      <c r="IS330" s="2619"/>
      <c r="IT330" s="2619"/>
      <c r="IU330" s="2619"/>
      <c r="IV330" s="2619"/>
      <c r="IW330" s="2619"/>
      <c r="IX330" s="2619"/>
      <c r="IY330" s="2619"/>
      <c r="IZ330" s="2619"/>
      <c r="JA330" s="2620"/>
      <c r="JB330" s="517"/>
    </row>
    <row r="331" spans="50:262" ht="4.1500000000000004" customHeight="1">
      <c r="HY331" s="516"/>
      <c r="HZ331" s="2649"/>
      <c r="IA331" s="2644"/>
      <c r="IB331" s="2644"/>
      <c r="IC331" s="2644"/>
      <c r="ID331" s="2644"/>
      <c r="IE331" s="2644"/>
      <c r="IF331" s="2644"/>
      <c r="IG331" s="2644"/>
      <c r="IH331" s="2644"/>
      <c r="II331" s="2644"/>
      <c r="IJ331" s="2644"/>
      <c r="IQ331" s="2619"/>
      <c r="IR331" s="2619"/>
      <c r="IS331" s="2619"/>
      <c r="IT331" s="2619"/>
      <c r="IU331" s="2619"/>
      <c r="IV331" s="2619"/>
      <c r="IW331" s="2619"/>
      <c r="IX331" s="2619"/>
      <c r="IY331" s="2619"/>
      <c r="IZ331" s="2619"/>
      <c r="JA331" s="2620"/>
      <c r="JB331" s="517"/>
    </row>
    <row r="332" spans="50:262" ht="4.1500000000000004" customHeight="1">
      <c r="HY332" s="516"/>
      <c r="HZ332" s="2649"/>
      <c r="IA332" s="2644"/>
      <c r="IB332" s="2644"/>
      <c r="IC332" s="2644"/>
      <c r="ID332" s="2644"/>
      <c r="IE332" s="2644"/>
      <c r="IF332" s="2644"/>
      <c r="IG332" s="2644"/>
      <c r="IH332" s="2644"/>
      <c r="II332" s="2644"/>
      <c r="IJ332" s="2644"/>
      <c r="IQ332" s="2619"/>
      <c r="IR332" s="2619"/>
      <c r="IS332" s="2619"/>
      <c r="IT332" s="2619"/>
      <c r="IU332" s="2619"/>
      <c r="IV332" s="2619"/>
      <c r="IW332" s="2619"/>
      <c r="IX332" s="2619"/>
      <c r="IY332" s="2619"/>
      <c r="IZ332" s="2619"/>
      <c r="JA332" s="2620"/>
      <c r="JB332" s="517"/>
    </row>
    <row r="333" spans="50:262" ht="4.1500000000000004" customHeight="1">
      <c r="HY333" s="516"/>
      <c r="HZ333" s="2649"/>
      <c r="IA333" s="2644"/>
      <c r="IB333" s="2644"/>
      <c r="IC333" s="2644"/>
      <c r="ID333" s="2644"/>
      <c r="IE333" s="2644"/>
      <c r="IF333" s="2644"/>
      <c r="IG333" s="2644"/>
      <c r="IH333" s="2644"/>
      <c r="II333" s="2644"/>
      <c r="IJ333" s="2644"/>
      <c r="IQ333" s="2619"/>
      <c r="IR333" s="2619"/>
      <c r="IS333" s="2619"/>
      <c r="IT333" s="2619"/>
      <c r="IU333" s="2619"/>
      <c r="IV333" s="2619"/>
      <c r="IW333" s="2619"/>
      <c r="IX333" s="2619"/>
      <c r="IY333" s="2619"/>
      <c r="IZ333" s="2619"/>
      <c r="JA333" s="2620"/>
      <c r="JB333" s="517"/>
    </row>
    <row r="334" spans="50:262" ht="4.1500000000000004" customHeight="1">
      <c r="HY334" s="516"/>
      <c r="HZ334" s="2649"/>
      <c r="IA334" s="2644"/>
      <c r="IB334" s="2644"/>
      <c r="IC334" s="2644"/>
      <c r="ID334" s="2644"/>
      <c r="IE334" s="2644"/>
      <c r="IF334" s="2644"/>
      <c r="IG334" s="2644"/>
      <c r="IH334" s="2644"/>
      <c r="II334" s="2644"/>
      <c r="IJ334" s="2644"/>
      <c r="IQ334" s="2619"/>
      <c r="IR334" s="2619"/>
      <c r="IS334" s="2619"/>
      <c r="IT334" s="2619"/>
      <c r="IU334" s="2619"/>
      <c r="IV334" s="2619"/>
      <c r="IW334" s="2619"/>
      <c r="IX334" s="2619"/>
      <c r="IY334" s="2619"/>
      <c r="IZ334" s="2619"/>
      <c r="JA334" s="2620"/>
      <c r="JB334" s="517"/>
    </row>
    <row r="335" spans="50:262" ht="4.1500000000000004" customHeight="1">
      <c r="HY335" s="516"/>
      <c r="HZ335" s="2649"/>
      <c r="IA335" s="2644"/>
      <c r="IB335" s="2644"/>
      <c r="IC335" s="2644"/>
      <c r="ID335" s="2644"/>
      <c r="IE335" s="2644"/>
      <c r="IF335" s="2644"/>
      <c r="IG335" s="2644"/>
      <c r="IH335" s="2644"/>
      <c r="II335" s="2644"/>
      <c r="IJ335" s="2644"/>
      <c r="IQ335" s="2619"/>
      <c r="IR335" s="2619"/>
      <c r="IS335" s="2619"/>
      <c r="IT335" s="2619"/>
      <c r="IU335" s="2619"/>
      <c r="IV335" s="2619"/>
      <c r="IW335" s="2619"/>
      <c r="IX335" s="2619"/>
      <c r="IY335" s="2619"/>
      <c r="IZ335" s="2619"/>
      <c r="JA335" s="2620"/>
      <c r="JB335" s="517"/>
    </row>
    <row r="336" spans="50:262" ht="4.1500000000000004" customHeight="1">
      <c r="HY336" s="516"/>
      <c r="HZ336" s="2649"/>
      <c r="IA336" s="2644"/>
      <c r="IB336" s="2644"/>
      <c r="IC336" s="2644"/>
      <c r="ID336" s="2644"/>
      <c r="IE336" s="2644"/>
      <c r="IF336" s="2644"/>
      <c r="IG336" s="2644"/>
      <c r="IH336" s="2644"/>
      <c r="II336" s="2644"/>
      <c r="IJ336" s="2644"/>
      <c r="IQ336" s="2619"/>
      <c r="IR336" s="2619"/>
      <c r="IS336" s="2619"/>
      <c r="IT336" s="2619"/>
      <c r="IU336" s="2619"/>
      <c r="IV336" s="2619"/>
      <c r="IW336" s="2619"/>
      <c r="IX336" s="2619"/>
      <c r="IY336" s="2619"/>
      <c r="IZ336" s="2619"/>
      <c r="JA336" s="2620"/>
      <c r="JB336" s="517"/>
    </row>
    <row r="337" spans="233:262" ht="4.1500000000000004" customHeight="1">
      <c r="HY337" s="516"/>
      <c r="HZ337" s="2649"/>
      <c r="IA337" s="2644"/>
      <c r="IB337" s="2644"/>
      <c r="IC337" s="2644"/>
      <c r="ID337" s="2644"/>
      <c r="IE337" s="2644"/>
      <c r="IF337" s="2644"/>
      <c r="IG337" s="2644"/>
      <c r="IH337" s="2644"/>
      <c r="II337" s="2644"/>
      <c r="IJ337" s="2644"/>
      <c r="IQ337" s="2619"/>
      <c r="IR337" s="2619"/>
      <c r="IS337" s="2619"/>
      <c r="IT337" s="2619"/>
      <c r="IU337" s="2619"/>
      <c r="IV337" s="2619"/>
      <c r="IW337" s="2619"/>
      <c r="IX337" s="2619"/>
      <c r="IY337" s="2619"/>
      <c r="IZ337" s="2619"/>
      <c r="JA337" s="2620"/>
      <c r="JB337" s="517"/>
    </row>
    <row r="338" spans="233:262" ht="4.1500000000000004" customHeight="1">
      <c r="HY338" s="516"/>
      <c r="HZ338" s="2649"/>
      <c r="IA338" s="2644"/>
      <c r="IB338" s="2644"/>
      <c r="IC338" s="2644"/>
      <c r="ID338" s="2644"/>
      <c r="IE338" s="2644"/>
      <c r="IF338" s="2644"/>
      <c r="IG338" s="2644"/>
      <c r="IH338" s="2644"/>
      <c r="II338" s="2644"/>
      <c r="IJ338" s="2644"/>
      <c r="IQ338" s="2619"/>
      <c r="IR338" s="2619"/>
      <c r="IS338" s="2619"/>
      <c r="IT338" s="2619"/>
      <c r="IU338" s="2619"/>
      <c r="IV338" s="2619"/>
      <c r="IW338" s="2619"/>
      <c r="IX338" s="2619"/>
      <c r="IY338" s="2619"/>
      <c r="IZ338" s="2619"/>
      <c r="JA338" s="2620"/>
      <c r="JB338" s="517"/>
    </row>
    <row r="339" spans="233:262" ht="4.1500000000000004" customHeight="1">
      <c r="HY339" s="516"/>
      <c r="HZ339" s="2649"/>
      <c r="IA339" s="2644"/>
      <c r="IB339" s="2644"/>
      <c r="IC339" s="2644"/>
      <c r="ID339" s="2644"/>
      <c r="IE339" s="2644"/>
      <c r="IF339" s="2644"/>
      <c r="IG339" s="2644"/>
      <c r="IH339" s="2644"/>
      <c r="II339" s="2644"/>
      <c r="IJ339" s="2644"/>
      <c r="IQ339" s="2619"/>
      <c r="IR339" s="2619"/>
      <c r="IS339" s="2619"/>
      <c r="IT339" s="2619"/>
      <c r="IU339" s="2619"/>
      <c r="IV339" s="2619"/>
      <c r="IW339" s="2619"/>
      <c r="IX339" s="2619"/>
      <c r="IY339" s="2619"/>
      <c r="IZ339" s="2619"/>
      <c r="JA339" s="2620"/>
      <c r="JB339" s="517"/>
    </row>
    <row r="340" spans="233:262" ht="4.1500000000000004" customHeight="1">
      <c r="HY340" s="516"/>
      <c r="HZ340" s="2649"/>
      <c r="IA340" s="2644"/>
      <c r="IB340" s="2644"/>
      <c r="IC340" s="2644"/>
      <c r="ID340" s="2644"/>
      <c r="IE340" s="2644"/>
      <c r="IF340" s="2644"/>
      <c r="IG340" s="2644"/>
      <c r="IH340" s="2644"/>
      <c r="II340" s="2644"/>
      <c r="IJ340" s="2644"/>
      <c r="IK340" s="532"/>
      <c r="IL340" s="532"/>
      <c r="IM340" s="532"/>
      <c r="IN340" s="532"/>
      <c r="IO340" s="532"/>
      <c r="IP340" s="532"/>
      <c r="IQ340" s="2619"/>
      <c r="IR340" s="2619"/>
      <c r="IS340" s="2619"/>
      <c r="IT340" s="2619"/>
      <c r="IU340" s="2619"/>
      <c r="IV340" s="2619"/>
      <c r="IW340" s="2619"/>
      <c r="IX340" s="2619"/>
      <c r="IY340" s="2619"/>
      <c r="IZ340" s="2619"/>
      <c r="JA340" s="2620"/>
      <c r="JB340" s="517"/>
    </row>
    <row r="341" spans="233:262" ht="4.1500000000000004" customHeight="1">
      <c r="HY341" s="516"/>
      <c r="HZ341" s="516"/>
      <c r="IJ341" s="517"/>
      <c r="IQ341" s="516"/>
      <c r="JA341" s="517"/>
      <c r="JB341" s="517"/>
    </row>
    <row r="342" spans="233:262" ht="4.1500000000000004" customHeight="1">
      <c r="HY342" s="516"/>
      <c r="HZ342" s="516"/>
      <c r="IJ342" s="517"/>
      <c r="IL342" s="515"/>
      <c r="IM342" s="514"/>
      <c r="IN342" s="514"/>
      <c r="IO342" s="518"/>
      <c r="IQ342" s="516"/>
      <c r="JA342" s="517"/>
      <c r="JB342" s="517"/>
    </row>
    <row r="343" spans="233:262" ht="4.1500000000000004" customHeight="1">
      <c r="HY343" s="516"/>
      <c r="HZ343" s="516"/>
      <c r="IJ343" s="517"/>
      <c r="IL343" s="516"/>
      <c r="IO343" s="517"/>
      <c r="IQ343" s="516"/>
      <c r="JA343" s="517"/>
      <c r="JB343" s="517"/>
    </row>
    <row r="344" spans="233:262" ht="4.1500000000000004" customHeight="1">
      <c r="HY344" s="516"/>
      <c r="HZ344" s="516"/>
      <c r="IJ344" s="517"/>
      <c r="IL344" s="516"/>
      <c r="IO344" s="517"/>
      <c r="IQ344" s="516"/>
      <c r="JA344" s="517"/>
      <c r="JB344" s="517"/>
    </row>
    <row r="345" spans="233:262" ht="4.1500000000000004" customHeight="1">
      <c r="HY345" s="516"/>
      <c r="HZ345" s="516"/>
      <c r="IJ345" s="517"/>
      <c r="IL345" s="516"/>
      <c r="IO345" s="517"/>
      <c r="IQ345" s="516"/>
      <c r="JA345" s="517"/>
      <c r="JB345" s="517"/>
    </row>
    <row r="346" spans="233:262" ht="4.1500000000000004" customHeight="1">
      <c r="HY346" s="516"/>
      <c r="HZ346" s="516"/>
      <c r="IJ346" s="517"/>
      <c r="IL346" s="516"/>
      <c r="IO346" s="517"/>
      <c r="IQ346" s="516"/>
      <c r="JA346" s="517"/>
      <c r="JB346" s="517"/>
    </row>
    <row r="347" spans="233:262" ht="4.1500000000000004" customHeight="1">
      <c r="HY347" s="516"/>
      <c r="HZ347" s="516"/>
      <c r="IJ347" s="517"/>
      <c r="IL347" s="516"/>
      <c r="IO347" s="517"/>
      <c r="IQ347" s="516"/>
      <c r="JA347" s="517"/>
      <c r="JB347" s="517"/>
    </row>
    <row r="348" spans="233:262" ht="4.1500000000000004" customHeight="1">
      <c r="HY348" s="516"/>
      <c r="HZ348" s="516"/>
      <c r="IJ348" s="517"/>
      <c r="IL348" s="530"/>
      <c r="IM348" s="532"/>
      <c r="IN348" s="532"/>
      <c r="IO348" s="531"/>
      <c r="IQ348" s="516"/>
      <c r="JA348" s="517"/>
      <c r="JB348" s="517"/>
    </row>
    <row r="349" spans="233:262" ht="4.1500000000000004" customHeight="1">
      <c r="HY349" s="516"/>
      <c r="HZ349" s="516"/>
      <c r="IJ349" s="517"/>
      <c r="IQ349" s="516"/>
      <c r="JA349" s="517"/>
      <c r="JB349" s="517"/>
    </row>
    <row r="350" spans="233:262" ht="4.1500000000000004" customHeight="1">
      <c r="HY350" s="516"/>
      <c r="HZ350" s="2650"/>
      <c r="IA350" s="2619"/>
      <c r="IB350" s="2619"/>
      <c r="IC350" s="2619"/>
      <c r="ID350" s="2619"/>
      <c r="IE350" s="2619"/>
      <c r="IF350" s="2619"/>
      <c r="IG350" s="2619"/>
      <c r="IH350" s="2619"/>
      <c r="II350" s="2619"/>
      <c r="IJ350" s="2619"/>
      <c r="IK350" s="514"/>
      <c r="IL350" s="514"/>
      <c r="IM350" s="514"/>
      <c r="IN350" s="514"/>
      <c r="IO350" s="514"/>
      <c r="IP350" s="514"/>
      <c r="IQ350" s="2644"/>
      <c r="IR350" s="2644"/>
      <c r="IS350" s="2644"/>
      <c r="IT350" s="2644"/>
      <c r="IU350" s="2644"/>
      <c r="IV350" s="2644"/>
      <c r="IW350" s="2644"/>
      <c r="IX350" s="2644"/>
      <c r="IY350" s="2644"/>
      <c r="IZ350" s="2644"/>
      <c r="JA350" s="2652"/>
      <c r="JB350" s="517"/>
    </row>
    <row r="351" spans="233:262" ht="4.1500000000000004" customHeight="1">
      <c r="HY351" s="516"/>
      <c r="HZ351" s="2650"/>
      <c r="IA351" s="2619"/>
      <c r="IB351" s="2619"/>
      <c r="IC351" s="2619"/>
      <c r="ID351" s="2619"/>
      <c r="IE351" s="2619"/>
      <c r="IF351" s="2619"/>
      <c r="IG351" s="2619"/>
      <c r="IH351" s="2619"/>
      <c r="II351" s="2619"/>
      <c r="IJ351" s="2619"/>
      <c r="IQ351" s="2644"/>
      <c r="IR351" s="2644"/>
      <c r="IS351" s="2644"/>
      <c r="IT351" s="2644"/>
      <c r="IU351" s="2644"/>
      <c r="IV351" s="2644"/>
      <c r="IW351" s="2644"/>
      <c r="IX351" s="2644"/>
      <c r="IY351" s="2644"/>
      <c r="IZ351" s="2644"/>
      <c r="JA351" s="2652"/>
      <c r="JB351" s="517"/>
    </row>
    <row r="352" spans="233:262" ht="4.1500000000000004" customHeight="1">
      <c r="HY352" s="516"/>
      <c r="HZ352" s="2650"/>
      <c r="IA352" s="2619"/>
      <c r="IB352" s="2619"/>
      <c r="IC352" s="2619"/>
      <c r="ID352" s="2619"/>
      <c r="IE352" s="2619"/>
      <c r="IF352" s="2619"/>
      <c r="IG352" s="2619"/>
      <c r="IH352" s="2619"/>
      <c r="II352" s="2619"/>
      <c r="IJ352" s="2619"/>
      <c r="IQ352" s="2644"/>
      <c r="IR352" s="2644"/>
      <c r="IS352" s="2644"/>
      <c r="IT352" s="2644"/>
      <c r="IU352" s="2644"/>
      <c r="IV352" s="2644"/>
      <c r="IW352" s="2644"/>
      <c r="IX352" s="2644"/>
      <c r="IY352" s="2644"/>
      <c r="IZ352" s="2644"/>
      <c r="JA352" s="2652"/>
      <c r="JB352" s="517"/>
    </row>
    <row r="353" spans="7:262" ht="4.1500000000000004" customHeight="1">
      <c r="HY353" s="516"/>
      <c r="HZ353" s="2650"/>
      <c r="IA353" s="2619"/>
      <c r="IB353" s="2619"/>
      <c r="IC353" s="2619"/>
      <c r="ID353" s="2619"/>
      <c r="IE353" s="2619"/>
      <c r="IF353" s="2619"/>
      <c r="IG353" s="2619"/>
      <c r="IH353" s="2619"/>
      <c r="II353" s="2619"/>
      <c r="IJ353" s="2619"/>
      <c r="IQ353" s="2644"/>
      <c r="IR353" s="2644"/>
      <c r="IS353" s="2644"/>
      <c r="IT353" s="2644"/>
      <c r="IU353" s="2644"/>
      <c r="IV353" s="2644"/>
      <c r="IW353" s="2644"/>
      <c r="IX353" s="2644"/>
      <c r="IY353" s="2644"/>
      <c r="IZ353" s="2644"/>
      <c r="JA353" s="2652"/>
      <c r="JB353" s="517"/>
    </row>
    <row r="354" spans="7:262" ht="4.1500000000000004" customHeight="1">
      <c r="HY354" s="516"/>
      <c r="HZ354" s="2650"/>
      <c r="IA354" s="2619"/>
      <c r="IB354" s="2619"/>
      <c r="IC354" s="2619"/>
      <c r="ID354" s="2619"/>
      <c r="IE354" s="2619"/>
      <c r="IF354" s="2619"/>
      <c r="IG354" s="2619"/>
      <c r="IH354" s="2619"/>
      <c r="II354" s="2619"/>
      <c r="IJ354" s="2619"/>
      <c r="IQ354" s="2644"/>
      <c r="IR354" s="2644"/>
      <c r="IS354" s="2644"/>
      <c r="IT354" s="2644"/>
      <c r="IU354" s="2644"/>
      <c r="IV354" s="2644"/>
      <c r="IW354" s="2644"/>
      <c r="IX354" s="2644"/>
      <c r="IY354" s="2644"/>
      <c r="IZ354" s="2644"/>
      <c r="JA354" s="2652"/>
      <c r="JB354" s="517"/>
    </row>
    <row r="355" spans="7:262" ht="4.1500000000000004" customHeight="1">
      <c r="HY355" s="516"/>
      <c r="HZ355" s="2650"/>
      <c r="IA355" s="2619"/>
      <c r="IB355" s="2619"/>
      <c r="IC355" s="2619"/>
      <c r="ID355" s="2619"/>
      <c r="IE355" s="2619"/>
      <c r="IF355" s="2619"/>
      <c r="IG355" s="2619"/>
      <c r="IH355" s="2619"/>
      <c r="II355" s="2619"/>
      <c r="IJ355" s="2619"/>
      <c r="IQ355" s="2644"/>
      <c r="IR355" s="2644"/>
      <c r="IS355" s="2644"/>
      <c r="IT355" s="2644"/>
      <c r="IU355" s="2644"/>
      <c r="IV355" s="2644"/>
      <c r="IW355" s="2644"/>
      <c r="IX355" s="2644"/>
      <c r="IY355" s="2644"/>
      <c r="IZ355" s="2644"/>
      <c r="JA355" s="2652"/>
      <c r="JB355" s="517"/>
    </row>
    <row r="356" spans="7:262" ht="4.1500000000000004" customHeight="1">
      <c r="HY356" s="516"/>
      <c r="HZ356" s="2650"/>
      <c r="IA356" s="2619"/>
      <c r="IB356" s="2619"/>
      <c r="IC356" s="2619"/>
      <c r="ID356" s="2619"/>
      <c r="IE356" s="2619"/>
      <c r="IF356" s="2619"/>
      <c r="IG356" s="2619"/>
      <c r="IH356" s="2619"/>
      <c r="II356" s="2619"/>
      <c r="IJ356" s="2619"/>
      <c r="IQ356" s="2644"/>
      <c r="IR356" s="2644"/>
      <c r="IS356" s="2644"/>
      <c r="IT356" s="2644"/>
      <c r="IU356" s="2644"/>
      <c r="IV356" s="2644"/>
      <c r="IW356" s="2644"/>
      <c r="IX356" s="2644"/>
      <c r="IY356" s="2644"/>
      <c r="IZ356" s="2644"/>
      <c r="JA356" s="2652"/>
      <c r="JB356" s="517"/>
    </row>
    <row r="357" spans="7:262" ht="4.1500000000000004" customHeight="1">
      <c r="HY357" s="516"/>
      <c r="HZ357" s="2650"/>
      <c r="IA357" s="2619"/>
      <c r="IB357" s="2619"/>
      <c r="IC357" s="2619"/>
      <c r="ID357" s="2619"/>
      <c r="IE357" s="2619"/>
      <c r="IF357" s="2619"/>
      <c r="IG357" s="2619"/>
      <c r="IH357" s="2619"/>
      <c r="II357" s="2619"/>
      <c r="IJ357" s="2619"/>
      <c r="IQ357" s="2644"/>
      <c r="IR357" s="2644"/>
      <c r="IS357" s="2644"/>
      <c r="IT357" s="2644"/>
      <c r="IU357" s="2644"/>
      <c r="IV357" s="2644"/>
      <c r="IW357" s="2644"/>
      <c r="IX357" s="2644"/>
      <c r="IY357" s="2644"/>
      <c r="IZ357" s="2644"/>
      <c r="JA357" s="2652"/>
      <c r="JB357" s="517"/>
    </row>
    <row r="358" spans="7:262" ht="4.1500000000000004" customHeight="1">
      <c r="G358" s="2668" t="str">
        <f>'Lead &amp; ANALYSIS'!B144</f>
        <v>Junior Engineer</v>
      </c>
      <c r="H358" s="2668"/>
      <c r="I358" s="2668"/>
      <c r="J358" s="2668"/>
      <c r="K358" s="2668"/>
      <c r="L358" s="2668"/>
      <c r="M358" s="2668"/>
      <c r="N358" s="2668"/>
      <c r="O358" s="2668"/>
      <c r="P358" s="2668"/>
      <c r="Q358" s="2668"/>
      <c r="R358" s="2668"/>
      <c r="S358" s="2668"/>
      <c r="T358" s="2668"/>
      <c r="U358" s="2668"/>
      <c r="V358" s="2668"/>
      <c r="W358" s="2668"/>
      <c r="X358" s="2668"/>
      <c r="Y358" s="2668"/>
      <c r="Z358" s="2668"/>
      <c r="AA358" s="2668"/>
      <c r="AB358" s="2668"/>
      <c r="AC358" s="2668"/>
      <c r="AD358" s="2668"/>
      <c r="AE358" s="2668"/>
      <c r="AF358" s="2668"/>
      <c r="AG358" s="2668"/>
      <c r="AH358" s="2668"/>
      <c r="AI358" s="2668"/>
      <c r="AJ358" s="2668"/>
      <c r="AK358" s="2668"/>
      <c r="AL358" s="2668"/>
      <c r="AM358" s="2668"/>
      <c r="AN358" s="561"/>
      <c r="AO358" s="561"/>
      <c r="AP358" s="561"/>
      <c r="AQ358" s="561"/>
      <c r="AR358" s="561"/>
      <c r="AS358" s="561"/>
      <c r="AT358" s="561"/>
      <c r="AU358" s="561"/>
      <c r="AV358" s="561"/>
      <c r="CB358" s="2668" t="str">
        <f>'Lead &amp; ANALYSIS'!G144</f>
        <v>Assistant Executive Engineer</v>
      </c>
      <c r="CC358" s="2668"/>
      <c r="CD358" s="2668"/>
      <c r="CE358" s="2668"/>
      <c r="CF358" s="2668"/>
      <c r="CG358" s="2668"/>
      <c r="CH358" s="2668"/>
      <c r="CI358" s="2668"/>
      <c r="CJ358" s="2668"/>
      <c r="CK358" s="2668"/>
      <c r="CL358" s="2668"/>
      <c r="CM358" s="2668"/>
      <c r="CN358" s="2668"/>
      <c r="CO358" s="2668"/>
      <c r="CP358" s="2668"/>
      <c r="CQ358" s="2668"/>
      <c r="CR358" s="2668"/>
      <c r="CS358" s="2668"/>
      <c r="CT358" s="2668"/>
      <c r="CU358" s="2668"/>
      <c r="CV358" s="2668"/>
      <c r="CW358" s="2668"/>
      <c r="CX358" s="2668"/>
      <c r="CY358" s="2668"/>
      <c r="CZ358" s="2668"/>
      <c r="DA358" s="2668"/>
      <c r="DB358" s="2668"/>
      <c r="DC358" s="2668"/>
      <c r="DD358" s="2668"/>
      <c r="DE358" s="2668"/>
      <c r="DF358" s="2668"/>
      <c r="DG358" s="2668"/>
      <c r="DH358" s="2668"/>
      <c r="DI358" s="2668"/>
      <c r="DJ358" s="2668"/>
      <c r="DK358" s="2668"/>
      <c r="DL358" s="2668"/>
      <c r="DM358" s="2668"/>
      <c r="EW358" s="2668" t="str">
        <f>'Lead &amp; ANALYSIS'!L144</f>
        <v>Block Development Officer</v>
      </c>
      <c r="EX358" s="2668"/>
      <c r="EY358" s="2668"/>
      <c r="EZ358" s="2668"/>
      <c r="FA358" s="2668"/>
      <c r="FB358" s="2668"/>
      <c r="FC358" s="2668"/>
      <c r="FD358" s="2668"/>
      <c r="FE358" s="2668"/>
      <c r="FF358" s="2668"/>
      <c r="FG358" s="2668"/>
      <c r="FH358" s="2668"/>
      <c r="FI358" s="2668"/>
      <c r="FJ358" s="2668"/>
      <c r="FK358" s="2668"/>
      <c r="FL358" s="2668"/>
      <c r="FM358" s="2668"/>
      <c r="FN358" s="2668"/>
      <c r="FO358" s="2668"/>
      <c r="FP358" s="2668"/>
      <c r="FQ358" s="2668"/>
      <c r="FR358" s="2668"/>
      <c r="FS358" s="2668"/>
      <c r="FT358" s="2668"/>
      <c r="FU358" s="2668"/>
      <c r="FV358" s="2668"/>
      <c r="FW358" s="2668"/>
      <c r="FX358" s="2668"/>
      <c r="FY358" s="2668"/>
      <c r="FZ358" s="2668"/>
      <c r="GA358" s="2668"/>
      <c r="GB358" s="2668"/>
      <c r="GC358" s="2668"/>
      <c r="GD358" s="2668"/>
      <c r="GE358" s="2668"/>
      <c r="GF358" s="2668"/>
      <c r="HY358" s="516"/>
      <c r="HZ358" s="2650"/>
      <c r="IA358" s="2619"/>
      <c r="IB358" s="2619"/>
      <c r="IC358" s="2619"/>
      <c r="ID358" s="2619"/>
      <c r="IE358" s="2619"/>
      <c r="IF358" s="2619"/>
      <c r="IG358" s="2619"/>
      <c r="IH358" s="2619"/>
      <c r="II358" s="2619"/>
      <c r="IJ358" s="2619"/>
      <c r="IQ358" s="2644"/>
      <c r="IR358" s="2644"/>
      <c r="IS358" s="2644"/>
      <c r="IT358" s="2644"/>
      <c r="IU358" s="2644"/>
      <c r="IV358" s="2644"/>
      <c r="IW358" s="2644"/>
      <c r="IX358" s="2644"/>
      <c r="IY358" s="2644"/>
      <c r="IZ358" s="2644"/>
      <c r="JA358" s="2652"/>
      <c r="JB358" s="517"/>
    </row>
    <row r="359" spans="7:262" ht="4.1500000000000004" customHeight="1">
      <c r="G359" s="2668"/>
      <c r="H359" s="2668"/>
      <c r="I359" s="2668"/>
      <c r="J359" s="2668"/>
      <c r="K359" s="2668"/>
      <c r="L359" s="2668"/>
      <c r="M359" s="2668"/>
      <c r="N359" s="2668"/>
      <c r="O359" s="2668"/>
      <c r="P359" s="2668"/>
      <c r="Q359" s="2668"/>
      <c r="R359" s="2668"/>
      <c r="S359" s="2668"/>
      <c r="T359" s="2668"/>
      <c r="U359" s="2668"/>
      <c r="V359" s="2668"/>
      <c r="W359" s="2668"/>
      <c r="X359" s="2668"/>
      <c r="Y359" s="2668"/>
      <c r="Z359" s="2668"/>
      <c r="AA359" s="2668"/>
      <c r="AB359" s="2668"/>
      <c r="AC359" s="2668"/>
      <c r="AD359" s="2668"/>
      <c r="AE359" s="2668"/>
      <c r="AF359" s="2668"/>
      <c r="AG359" s="2668"/>
      <c r="AH359" s="2668"/>
      <c r="AI359" s="2668"/>
      <c r="AJ359" s="2668"/>
      <c r="AK359" s="2668"/>
      <c r="AL359" s="2668"/>
      <c r="AM359" s="2668"/>
      <c r="AN359" s="562"/>
      <c r="AO359" s="562"/>
      <c r="AP359" s="562"/>
      <c r="AQ359" s="562"/>
      <c r="AR359" s="562"/>
      <c r="AS359" s="562"/>
      <c r="AT359" s="562"/>
      <c r="AU359" s="562"/>
      <c r="AV359" s="562"/>
      <c r="CB359" s="2668"/>
      <c r="CC359" s="2668"/>
      <c r="CD359" s="2668"/>
      <c r="CE359" s="2668"/>
      <c r="CF359" s="2668"/>
      <c r="CG359" s="2668"/>
      <c r="CH359" s="2668"/>
      <c r="CI359" s="2668"/>
      <c r="CJ359" s="2668"/>
      <c r="CK359" s="2668"/>
      <c r="CL359" s="2668"/>
      <c r="CM359" s="2668"/>
      <c r="CN359" s="2668"/>
      <c r="CO359" s="2668"/>
      <c r="CP359" s="2668"/>
      <c r="CQ359" s="2668"/>
      <c r="CR359" s="2668"/>
      <c r="CS359" s="2668"/>
      <c r="CT359" s="2668"/>
      <c r="CU359" s="2668"/>
      <c r="CV359" s="2668"/>
      <c r="CW359" s="2668"/>
      <c r="CX359" s="2668"/>
      <c r="CY359" s="2668"/>
      <c r="CZ359" s="2668"/>
      <c r="DA359" s="2668"/>
      <c r="DB359" s="2668"/>
      <c r="DC359" s="2668"/>
      <c r="DD359" s="2668"/>
      <c r="DE359" s="2668"/>
      <c r="DF359" s="2668"/>
      <c r="DG359" s="2668"/>
      <c r="DH359" s="2668"/>
      <c r="DI359" s="2668"/>
      <c r="DJ359" s="2668"/>
      <c r="DK359" s="2668"/>
      <c r="DL359" s="2668"/>
      <c r="DM359" s="2668"/>
      <c r="EW359" s="2668"/>
      <c r="EX359" s="2668"/>
      <c r="EY359" s="2668"/>
      <c r="EZ359" s="2668"/>
      <c r="FA359" s="2668"/>
      <c r="FB359" s="2668"/>
      <c r="FC359" s="2668"/>
      <c r="FD359" s="2668"/>
      <c r="FE359" s="2668"/>
      <c r="FF359" s="2668"/>
      <c r="FG359" s="2668"/>
      <c r="FH359" s="2668"/>
      <c r="FI359" s="2668"/>
      <c r="FJ359" s="2668"/>
      <c r="FK359" s="2668"/>
      <c r="FL359" s="2668"/>
      <c r="FM359" s="2668"/>
      <c r="FN359" s="2668"/>
      <c r="FO359" s="2668"/>
      <c r="FP359" s="2668"/>
      <c r="FQ359" s="2668"/>
      <c r="FR359" s="2668"/>
      <c r="FS359" s="2668"/>
      <c r="FT359" s="2668"/>
      <c r="FU359" s="2668"/>
      <c r="FV359" s="2668"/>
      <c r="FW359" s="2668"/>
      <c r="FX359" s="2668"/>
      <c r="FY359" s="2668"/>
      <c r="FZ359" s="2668"/>
      <c r="GA359" s="2668"/>
      <c r="GB359" s="2668"/>
      <c r="GC359" s="2668"/>
      <c r="GD359" s="2668"/>
      <c r="GE359" s="2668"/>
      <c r="GF359" s="2668"/>
      <c r="HY359" s="516"/>
      <c r="HZ359" s="2650"/>
      <c r="IA359" s="2619"/>
      <c r="IB359" s="2619"/>
      <c r="IC359" s="2619"/>
      <c r="ID359" s="2619"/>
      <c r="IE359" s="2619"/>
      <c r="IF359" s="2619"/>
      <c r="IG359" s="2619"/>
      <c r="IH359" s="2619"/>
      <c r="II359" s="2619"/>
      <c r="IJ359" s="2619"/>
      <c r="IQ359" s="2644"/>
      <c r="IR359" s="2644"/>
      <c r="IS359" s="2644"/>
      <c r="IT359" s="2644"/>
      <c r="IU359" s="2644"/>
      <c r="IV359" s="2644"/>
      <c r="IW359" s="2644"/>
      <c r="IX359" s="2644"/>
      <c r="IY359" s="2644"/>
      <c r="IZ359" s="2644"/>
      <c r="JA359" s="2652"/>
      <c r="JB359" s="517"/>
    </row>
    <row r="360" spans="7:262" ht="4.1500000000000004" customHeight="1">
      <c r="G360" s="2668"/>
      <c r="H360" s="2668"/>
      <c r="I360" s="2668"/>
      <c r="J360" s="2668"/>
      <c r="K360" s="2668"/>
      <c r="L360" s="2668"/>
      <c r="M360" s="2668"/>
      <c r="N360" s="2668"/>
      <c r="O360" s="2668"/>
      <c r="P360" s="2668"/>
      <c r="Q360" s="2668"/>
      <c r="R360" s="2668"/>
      <c r="S360" s="2668"/>
      <c r="T360" s="2668"/>
      <c r="U360" s="2668"/>
      <c r="V360" s="2668"/>
      <c r="W360" s="2668"/>
      <c r="X360" s="2668"/>
      <c r="Y360" s="2668"/>
      <c r="Z360" s="2668"/>
      <c r="AA360" s="2668"/>
      <c r="AB360" s="2668"/>
      <c r="AC360" s="2668"/>
      <c r="AD360" s="2668"/>
      <c r="AE360" s="2668"/>
      <c r="AF360" s="2668"/>
      <c r="AG360" s="2668"/>
      <c r="AH360" s="2668"/>
      <c r="AI360" s="2668"/>
      <c r="AJ360" s="2668"/>
      <c r="AK360" s="2668"/>
      <c r="AL360" s="2668"/>
      <c r="AM360" s="2668"/>
      <c r="AN360" s="562"/>
      <c r="AO360" s="562"/>
      <c r="AP360" s="562"/>
      <c r="AQ360" s="562"/>
      <c r="AR360" s="562"/>
      <c r="AS360" s="562"/>
      <c r="AT360" s="562"/>
      <c r="AU360" s="562"/>
      <c r="AV360" s="562"/>
      <c r="CB360" s="2668"/>
      <c r="CC360" s="2668"/>
      <c r="CD360" s="2668"/>
      <c r="CE360" s="2668"/>
      <c r="CF360" s="2668"/>
      <c r="CG360" s="2668"/>
      <c r="CH360" s="2668"/>
      <c r="CI360" s="2668"/>
      <c r="CJ360" s="2668"/>
      <c r="CK360" s="2668"/>
      <c r="CL360" s="2668"/>
      <c r="CM360" s="2668"/>
      <c r="CN360" s="2668"/>
      <c r="CO360" s="2668"/>
      <c r="CP360" s="2668"/>
      <c r="CQ360" s="2668"/>
      <c r="CR360" s="2668"/>
      <c r="CS360" s="2668"/>
      <c r="CT360" s="2668"/>
      <c r="CU360" s="2668"/>
      <c r="CV360" s="2668"/>
      <c r="CW360" s="2668"/>
      <c r="CX360" s="2668"/>
      <c r="CY360" s="2668"/>
      <c r="CZ360" s="2668"/>
      <c r="DA360" s="2668"/>
      <c r="DB360" s="2668"/>
      <c r="DC360" s="2668"/>
      <c r="DD360" s="2668"/>
      <c r="DE360" s="2668"/>
      <c r="DF360" s="2668"/>
      <c r="DG360" s="2668"/>
      <c r="DH360" s="2668"/>
      <c r="DI360" s="2668"/>
      <c r="DJ360" s="2668"/>
      <c r="DK360" s="2668"/>
      <c r="DL360" s="2668"/>
      <c r="DM360" s="2668"/>
      <c r="EW360" s="2668"/>
      <c r="EX360" s="2668"/>
      <c r="EY360" s="2668"/>
      <c r="EZ360" s="2668"/>
      <c r="FA360" s="2668"/>
      <c r="FB360" s="2668"/>
      <c r="FC360" s="2668"/>
      <c r="FD360" s="2668"/>
      <c r="FE360" s="2668"/>
      <c r="FF360" s="2668"/>
      <c r="FG360" s="2668"/>
      <c r="FH360" s="2668"/>
      <c r="FI360" s="2668"/>
      <c r="FJ360" s="2668"/>
      <c r="FK360" s="2668"/>
      <c r="FL360" s="2668"/>
      <c r="FM360" s="2668"/>
      <c r="FN360" s="2668"/>
      <c r="FO360" s="2668"/>
      <c r="FP360" s="2668"/>
      <c r="FQ360" s="2668"/>
      <c r="FR360" s="2668"/>
      <c r="FS360" s="2668"/>
      <c r="FT360" s="2668"/>
      <c r="FU360" s="2668"/>
      <c r="FV360" s="2668"/>
      <c r="FW360" s="2668"/>
      <c r="FX360" s="2668"/>
      <c r="FY360" s="2668"/>
      <c r="FZ360" s="2668"/>
      <c r="GA360" s="2668"/>
      <c r="GB360" s="2668"/>
      <c r="GC360" s="2668"/>
      <c r="GD360" s="2668"/>
      <c r="GE360" s="2668"/>
      <c r="GF360" s="2668"/>
      <c r="HY360" s="516"/>
      <c r="HZ360" s="2650"/>
      <c r="IA360" s="2619"/>
      <c r="IB360" s="2619"/>
      <c r="IC360" s="2619"/>
      <c r="ID360" s="2619"/>
      <c r="IE360" s="2619"/>
      <c r="IF360" s="2619"/>
      <c r="IG360" s="2619"/>
      <c r="IH360" s="2619"/>
      <c r="II360" s="2619"/>
      <c r="IJ360" s="2619"/>
      <c r="IQ360" s="2644"/>
      <c r="IR360" s="2644"/>
      <c r="IS360" s="2644"/>
      <c r="IT360" s="2644"/>
      <c r="IU360" s="2644"/>
      <c r="IV360" s="2644"/>
      <c r="IW360" s="2644"/>
      <c r="IX360" s="2644"/>
      <c r="IY360" s="2644"/>
      <c r="IZ360" s="2644"/>
      <c r="JA360" s="2652"/>
      <c r="JB360" s="517"/>
    </row>
    <row r="361" spans="7:262" ht="4.1500000000000004" customHeight="1">
      <c r="G361" s="2668" t="str">
        <f>'Lead &amp; ANALYSIS'!B145</f>
        <v>Bhuban  Block</v>
      </c>
      <c r="H361" s="2668"/>
      <c r="I361" s="2668"/>
      <c r="J361" s="2668"/>
      <c r="K361" s="2668"/>
      <c r="L361" s="2668"/>
      <c r="M361" s="2668"/>
      <c r="N361" s="2668"/>
      <c r="O361" s="2668"/>
      <c r="P361" s="2668"/>
      <c r="Q361" s="2668"/>
      <c r="R361" s="2668"/>
      <c r="S361" s="2668"/>
      <c r="T361" s="2668"/>
      <c r="U361" s="2668"/>
      <c r="V361" s="2668"/>
      <c r="W361" s="2668"/>
      <c r="X361" s="2668"/>
      <c r="Y361" s="2668"/>
      <c r="Z361" s="2668"/>
      <c r="AA361" s="2668"/>
      <c r="AB361" s="2668"/>
      <c r="AC361" s="2668"/>
      <c r="AD361" s="2668"/>
      <c r="AE361" s="2668"/>
      <c r="AF361" s="2668"/>
      <c r="AG361" s="2668"/>
      <c r="AH361" s="2668"/>
      <c r="AI361" s="2668"/>
      <c r="AJ361" s="2668"/>
      <c r="AK361" s="2668"/>
      <c r="AL361" s="2668"/>
      <c r="AM361" s="2668"/>
      <c r="AN361" s="562"/>
      <c r="AO361" s="562"/>
      <c r="AP361" s="562"/>
      <c r="AQ361" s="562"/>
      <c r="AR361" s="562"/>
      <c r="AS361" s="562"/>
      <c r="AT361" s="562"/>
      <c r="AU361" s="562"/>
      <c r="AV361" s="562"/>
      <c r="CB361" s="562"/>
      <c r="CC361" s="562"/>
      <c r="CD361" s="2668" t="str">
        <f>'Lead &amp; ANALYSIS'!G145</f>
        <v>Bhuban  Block</v>
      </c>
      <c r="CE361" s="2668"/>
      <c r="CF361" s="2668"/>
      <c r="CG361" s="2668"/>
      <c r="CH361" s="2668"/>
      <c r="CI361" s="2668"/>
      <c r="CJ361" s="2668"/>
      <c r="CK361" s="2668"/>
      <c r="CL361" s="2668"/>
      <c r="CM361" s="2668"/>
      <c r="CN361" s="2668"/>
      <c r="CO361" s="2668"/>
      <c r="CP361" s="2668"/>
      <c r="CQ361" s="2668"/>
      <c r="CR361" s="2668"/>
      <c r="CS361" s="2668"/>
      <c r="CT361" s="2668"/>
      <c r="CU361" s="2668"/>
      <c r="CV361" s="2668"/>
      <c r="CW361" s="2668"/>
      <c r="CX361" s="2668"/>
      <c r="CY361" s="2668"/>
      <c r="CZ361" s="2668"/>
      <c r="DA361" s="2668"/>
      <c r="DB361" s="2668"/>
      <c r="DC361" s="2668"/>
      <c r="DD361" s="2668"/>
      <c r="DE361" s="2668"/>
      <c r="DF361" s="2668"/>
      <c r="DG361" s="2668"/>
      <c r="DH361" s="2668"/>
      <c r="DI361" s="2668"/>
      <c r="DJ361" s="2668"/>
      <c r="DK361" s="2668"/>
      <c r="DL361" s="562"/>
      <c r="DM361" s="562"/>
      <c r="EW361" s="2668" t="str">
        <f>'Lead &amp; ANALYSIS'!L145</f>
        <v>Bhuban</v>
      </c>
      <c r="EX361" s="2668"/>
      <c r="EY361" s="2668"/>
      <c r="EZ361" s="2668"/>
      <c r="FA361" s="2668"/>
      <c r="FB361" s="2668"/>
      <c r="FC361" s="2668"/>
      <c r="FD361" s="2668"/>
      <c r="FE361" s="2668"/>
      <c r="FF361" s="2668"/>
      <c r="FG361" s="2668"/>
      <c r="FH361" s="2668"/>
      <c r="FI361" s="2668"/>
      <c r="FJ361" s="2668"/>
      <c r="FK361" s="2668"/>
      <c r="FL361" s="2668"/>
      <c r="FM361" s="2668"/>
      <c r="FN361" s="2668"/>
      <c r="FO361" s="2668"/>
      <c r="FP361" s="2668"/>
      <c r="FQ361" s="2668"/>
      <c r="FR361" s="2668"/>
      <c r="FS361" s="2668"/>
      <c r="FT361" s="2668"/>
      <c r="FU361" s="2668"/>
      <c r="FV361" s="2668"/>
      <c r="FW361" s="2668"/>
      <c r="FX361" s="2668"/>
      <c r="FY361" s="2668"/>
      <c r="FZ361" s="2668"/>
      <c r="GA361" s="2668"/>
      <c r="GB361" s="2668"/>
      <c r="GC361" s="2668"/>
      <c r="GD361" s="2668"/>
      <c r="GE361" s="2668"/>
      <c r="GF361" s="2668"/>
      <c r="HY361" s="516"/>
      <c r="HZ361" s="2650"/>
      <c r="IA361" s="2619"/>
      <c r="IB361" s="2619"/>
      <c r="IC361" s="2619"/>
      <c r="ID361" s="2619"/>
      <c r="IE361" s="2619"/>
      <c r="IF361" s="2619"/>
      <c r="IG361" s="2619"/>
      <c r="IH361" s="2619"/>
      <c r="II361" s="2619"/>
      <c r="IJ361" s="2619"/>
      <c r="IQ361" s="2644"/>
      <c r="IR361" s="2644"/>
      <c r="IS361" s="2644"/>
      <c r="IT361" s="2644"/>
      <c r="IU361" s="2644"/>
      <c r="IV361" s="2644"/>
      <c r="IW361" s="2644"/>
      <c r="IX361" s="2644"/>
      <c r="IY361" s="2644"/>
      <c r="IZ361" s="2644"/>
      <c r="JA361" s="2652"/>
      <c r="JB361" s="517"/>
    </row>
    <row r="362" spans="7:262" ht="4.1500000000000004" customHeight="1">
      <c r="G362" s="2668"/>
      <c r="H362" s="2668"/>
      <c r="I362" s="2668"/>
      <c r="J362" s="2668"/>
      <c r="K362" s="2668"/>
      <c r="L362" s="2668"/>
      <c r="M362" s="2668"/>
      <c r="N362" s="2668"/>
      <c r="O362" s="2668"/>
      <c r="P362" s="2668"/>
      <c r="Q362" s="2668"/>
      <c r="R362" s="2668"/>
      <c r="S362" s="2668"/>
      <c r="T362" s="2668"/>
      <c r="U362" s="2668"/>
      <c r="V362" s="2668"/>
      <c r="W362" s="2668"/>
      <c r="X362" s="2668"/>
      <c r="Y362" s="2668"/>
      <c r="Z362" s="2668"/>
      <c r="AA362" s="2668"/>
      <c r="AB362" s="2668"/>
      <c r="AC362" s="2668"/>
      <c r="AD362" s="2668"/>
      <c r="AE362" s="2668"/>
      <c r="AF362" s="2668"/>
      <c r="AG362" s="2668"/>
      <c r="AH362" s="2668"/>
      <c r="AI362" s="2668"/>
      <c r="AJ362" s="2668"/>
      <c r="AK362" s="2668"/>
      <c r="AL362" s="2668"/>
      <c r="AM362" s="2668"/>
      <c r="AN362" s="562"/>
      <c r="AO362" s="562"/>
      <c r="AP362" s="562"/>
      <c r="AQ362" s="562"/>
      <c r="AR362" s="562"/>
      <c r="AS362" s="562"/>
      <c r="AT362" s="562"/>
      <c r="AU362" s="562"/>
      <c r="AV362" s="562"/>
      <c r="CB362" s="562"/>
      <c r="CC362" s="562"/>
      <c r="CD362" s="2668"/>
      <c r="CE362" s="2668"/>
      <c r="CF362" s="2668"/>
      <c r="CG362" s="2668"/>
      <c r="CH362" s="2668"/>
      <c r="CI362" s="2668"/>
      <c r="CJ362" s="2668"/>
      <c r="CK362" s="2668"/>
      <c r="CL362" s="2668"/>
      <c r="CM362" s="2668"/>
      <c r="CN362" s="2668"/>
      <c r="CO362" s="2668"/>
      <c r="CP362" s="2668"/>
      <c r="CQ362" s="2668"/>
      <c r="CR362" s="2668"/>
      <c r="CS362" s="2668"/>
      <c r="CT362" s="2668"/>
      <c r="CU362" s="2668"/>
      <c r="CV362" s="2668"/>
      <c r="CW362" s="2668"/>
      <c r="CX362" s="2668"/>
      <c r="CY362" s="2668"/>
      <c r="CZ362" s="2668"/>
      <c r="DA362" s="2668"/>
      <c r="DB362" s="2668"/>
      <c r="DC362" s="2668"/>
      <c r="DD362" s="2668"/>
      <c r="DE362" s="2668"/>
      <c r="DF362" s="2668"/>
      <c r="DG362" s="2668"/>
      <c r="DH362" s="2668"/>
      <c r="DI362" s="2668"/>
      <c r="DJ362" s="2668"/>
      <c r="DK362" s="2668"/>
      <c r="DL362" s="562"/>
      <c r="DM362" s="562"/>
      <c r="EW362" s="2668"/>
      <c r="EX362" s="2668"/>
      <c r="EY362" s="2668"/>
      <c r="EZ362" s="2668"/>
      <c r="FA362" s="2668"/>
      <c r="FB362" s="2668"/>
      <c r="FC362" s="2668"/>
      <c r="FD362" s="2668"/>
      <c r="FE362" s="2668"/>
      <c r="FF362" s="2668"/>
      <c r="FG362" s="2668"/>
      <c r="FH362" s="2668"/>
      <c r="FI362" s="2668"/>
      <c r="FJ362" s="2668"/>
      <c r="FK362" s="2668"/>
      <c r="FL362" s="2668"/>
      <c r="FM362" s="2668"/>
      <c r="FN362" s="2668"/>
      <c r="FO362" s="2668"/>
      <c r="FP362" s="2668"/>
      <c r="FQ362" s="2668"/>
      <c r="FR362" s="2668"/>
      <c r="FS362" s="2668"/>
      <c r="FT362" s="2668"/>
      <c r="FU362" s="2668"/>
      <c r="FV362" s="2668"/>
      <c r="FW362" s="2668"/>
      <c r="FX362" s="2668"/>
      <c r="FY362" s="2668"/>
      <c r="FZ362" s="2668"/>
      <c r="GA362" s="2668"/>
      <c r="GB362" s="2668"/>
      <c r="GC362" s="2668"/>
      <c r="GD362" s="2668"/>
      <c r="GE362" s="2668"/>
      <c r="GF362" s="2668"/>
      <c r="HY362" s="516"/>
      <c r="HZ362" s="2651"/>
      <c r="IA362" s="2621"/>
      <c r="IB362" s="2621"/>
      <c r="IC362" s="2621"/>
      <c r="ID362" s="2621"/>
      <c r="IE362" s="2621"/>
      <c r="IF362" s="2621"/>
      <c r="IG362" s="2621"/>
      <c r="IH362" s="2621"/>
      <c r="II362" s="2621"/>
      <c r="IJ362" s="2621"/>
      <c r="IK362" s="532"/>
      <c r="IL362" s="532"/>
      <c r="IM362" s="532"/>
      <c r="IN362" s="532"/>
      <c r="IO362" s="532"/>
      <c r="IP362" s="532"/>
      <c r="IQ362" s="2645"/>
      <c r="IR362" s="2645"/>
      <c r="IS362" s="2645"/>
      <c r="IT362" s="2645"/>
      <c r="IU362" s="2645"/>
      <c r="IV362" s="2645"/>
      <c r="IW362" s="2645"/>
      <c r="IX362" s="2645"/>
      <c r="IY362" s="2645"/>
      <c r="IZ362" s="2645"/>
      <c r="JA362" s="2653"/>
      <c r="JB362" s="517"/>
    </row>
    <row r="363" spans="7:262" ht="4.1500000000000004" customHeight="1">
      <c r="G363" s="2668"/>
      <c r="H363" s="2668"/>
      <c r="I363" s="2668"/>
      <c r="J363" s="2668"/>
      <c r="K363" s="2668"/>
      <c r="L363" s="2668"/>
      <c r="M363" s="2668"/>
      <c r="N363" s="2668"/>
      <c r="O363" s="2668"/>
      <c r="P363" s="2668"/>
      <c r="Q363" s="2668"/>
      <c r="R363" s="2668"/>
      <c r="S363" s="2668"/>
      <c r="T363" s="2668"/>
      <c r="U363" s="2668"/>
      <c r="V363" s="2668"/>
      <c r="W363" s="2668"/>
      <c r="X363" s="2668"/>
      <c r="Y363" s="2668"/>
      <c r="Z363" s="2668"/>
      <c r="AA363" s="2668"/>
      <c r="AB363" s="2668"/>
      <c r="AC363" s="2668"/>
      <c r="AD363" s="2668"/>
      <c r="AE363" s="2668"/>
      <c r="AF363" s="2668"/>
      <c r="AG363" s="2668"/>
      <c r="AH363" s="2668"/>
      <c r="AI363" s="2668"/>
      <c r="AJ363" s="2668"/>
      <c r="AK363" s="2668"/>
      <c r="AL363" s="2668"/>
      <c r="AM363" s="2668"/>
      <c r="AN363" s="562"/>
      <c r="AO363" s="562"/>
      <c r="AP363" s="562"/>
      <c r="AQ363" s="562"/>
      <c r="AR363" s="562"/>
      <c r="AS363" s="562"/>
      <c r="AT363" s="562"/>
      <c r="AU363" s="562"/>
      <c r="AV363" s="562"/>
      <c r="CB363" s="562"/>
      <c r="CC363" s="562"/>
      <c r="CD363" s="2668"/>
      <c r="CE363" s="2668"/>
      <c r="CF363" s="2668"/>
      <c r="CG363" s="2668"/>
      <c r="CH363" s="2668"/>
      <c r="CI363" s="2668"/>
      <c r="CJ363" s="2668"/>
      <c r="CK363" s="2668"/>
      <c r="CL363" s="2668"/>
      <c r="CM363" s="2668"/>
      <c r="CN363" s="2668"/>
      <c r="CO363" s="2668"/>
      <c r="CP363" s="2668"/>
      <c r="CQ363" s="2668"/>
      <c r="CR363" s="2668"/>
      <c r="CS363" s="2668"/>
      <c r="CT363" s="2668"/>
      <c r="CU363" s="2668"/>
      <c r="CV363" s="2668"/>
      <c r="CW363" s="2668"/>
      <c r="CX363" s="2668"/>
      <c r="CY363" s="2668"/>
      <c r="CZ363" s="2668"/>
      <c r="DA363" s="2668"/>
      <c r="DB363" s="2668"/>
      <c r="DC363" s="2668"/>
      <c r="DD363" s="2668"/>
      <c r="DE363" s="2668"/>
      <c r="DF363" s="2668"/>
      <c r="DG363" s="2668"/>
      <c r="DH363" s="2668"/>
      <c r="DI363" s="2668"/>
      <c r="DJ363" s="2668"/>
      <c r="DK363" s="2668"/>
      <c r="DL363" s="562"/>
      <c r="DM363" s="562"/>
      <c r="EW363" s="2668"/>
      <c r="EX363" s="2668"/>
      <c r="EY363" s="2668"/>
      <c r="EZ363" s="2668"/>
      <c r="FA363" s="2668"/>
      <c r="FB363" s="2668"/>
      <c r="FC363" s="2668"/>
      <c r="FD363" s="2668"/>
      <c r="FE363" s="2668"/>
      <c r="FF363" s="2668"/>
      <c r="FG363" s="2668"/>
      <c r="FH363" s="2668"/>
      <c r="FI363" s="2668"/>
      <c r="FJ363" s="2668"/>
      <c r="FK363" s="2668"/>
      <c r="FL363" s="2668"/>
      <c r="FM363" s="2668"/>
      <c r="FN363" s="2668"/>
      <c r="FO363" s="2668"/>
      <c r="FP363" s="2668"/>
      <c r="FQ363" s="2668"/>
      <c r="FR363" s="2668"/>
      <c r="FS363" s="2668"/>
      <c r="FT363" s="2668"/>
      <c r="FU363" s="2668"/>
      <c r="FV363" s="2668"/>
      <c r="FW363" s="2668"/>
      <c r="FX363" s="2668"/>
      <c r="FY363" s="2668"/>
      <c r="FZ363" s="2668"/>
      <c r="GA363" s="2668"/>
      <c r="GB363" s="2668"/>
      <c r="GC363" s="2668"/>
      <c r="GD363" s="2668"/>
      <c r="GE363" s="2668"/>
      <c r="GF363" s="2668"/>
      <c r="HY363" s="530"/>
      <c r="HZ363" s="532"/>
      <c r="IA363" s="532"/>
      <c r="IB363" s="532"/>
      <c r="IC363" s="532"/>
      <c r="ID363" s="532"/>
      <c r="IE363" s="532"/>
      <c r="IF363" s="532"/>
      <c r="IG363" s="532"/>
      <c r="IH363" s="532"/>
      <c r="II363" s="532"/>
      <c r="IJ363" s="532"/>
      <c r="IK363" s="532"/>
      <c r="IL363" s="532"/>
      <c r="IM363" s="532"/>
      <c r="IN363" s="532"/>
      <c r="IO363" s="532"/>
      <c r="IP363" s="532"/>
      <c r="IQ363" s="532"/>
      <c r="IR363" s="532"/>
      <c r="IS363" s="532"/>
      <c r="IT363" s="532"/>
      <c r="IU363" s="532"/>
      <c r="IV363" s="532"/>
      <c r="IW363" s="532"/>
      <c r="IX363" s="532"/>
      <c r="IY363" s="532"/>
      <c r="IZ363" s="532"/>
      <c r="JA363" s="532"/>
      <c r="JB363" s="531"/>
    </row>
  </sheetData>
  <mergeCells count="134">
    <mergeCell ref="IX16:JI18"/>
    <mergeCell ref="IS258:JD260"/>
    <mergeCell ref="JM19:JP28"/>
    <mergeCell ref="IA20:IG22"/>
    <mergeCell ref="JL96:KG98"/>
    <mergeCell ref="JK271:JQ272"/>
    <mergeCell ref="IF4:IG9"/>
    <mergeCell ref="IS246:JD248"/>
    <mergeCell ref="JB5:JE14"/>
    <mergeCell ref="KC81:KF89"/>
    <mergeCell ref="IS251:JD253"/>
    <mergeCell ref="IX42:JI44"/>
    <mergeCell ref="JN42:JQ50"/>
    <mergeCell ref="IH45:IL50"/>
    <mergeCell ref="IX47:JI49"/>
    <mergeCell ref="JU48:KA50"/>
    <mergeCell ref="JL125:KG127"/>
    <mergeCell ref="HY156:IJ158"/>
    <mergeCell ref="HO21:HR30"/>
    <mergeCell ref="JB24:JE33"/>
    <mergeCell ref="IW266:IZ275"/>
    <mergeCell ref="JK245:JQ246"/>
    <mergeCell ref="KC107:KF115"/>
    <mergeCell ref="JU38:KA40"/>
    <mergeCell ref="JR91:JY93"/>
    <mergeCell ref="IF51:IN55"/>
    <mergeCell ref="IX52:JI54"/>
    <mergeCell ref="IZ206:JF208"/>
    <mergeCell ref="HM207:HR209"/>
    <mergeCell ref="JF210:JN212"/>
    <mergeCell ref="JF213:JN215"/>
    <mergeCell ref="ID56:IP60"/>
    <mergeCell ref="IX57:JI59"/>
    <mergeCell ref="JN57:JQ66"/>
    <mergeCell ref="JR117:JY119"/>
    <mergeCell ref="IX69:JI71"/>
    <mergeCell ref="ID73:IQ76"/>
    <mergeCell ref="HR134:IB140"/>
    <mergeCell ref="IC134:IH136"/>
    <mergeCell ref="II134:IS140"/>
    <mergeCell ref="IV148:JF150"/>
    <mergeCell ref="IV151:JF153"/>
    <mergeCell ref="HZ350:IJ362"/>
    <mergeCell ref="IQ350:JA362"/>
    <mergeCell ref="HZ328:IJ340"/>
    <mergeCell ref="JD317:JN319"/>
    <mergeCell ref="IK300:IP302"/>
    <mergeCell ref="IQ300:JA306"/>
    <mergeCell ref="HR302:HU311"/>
    <mergeCell ref="JD302:JN304"/>
    <mergeCell ref="IB61:IR65"/>
    <mergeCell ref="IX62:JI64"/>
    <mergeCell ref="IX66:JI68"/>
    <mergeCell ref="JD314:JN316"/>
    <mergeCell ref="JG221:JN222"/>
    <mergeCell ref="HY219:II222"/>
    <mergeCell ref="JG219:JN220"/>
    <mergeCell ref="IL225:JF227"/>
    <mergeCell ref="IG322:IR324"/>
    <mergeCell ref="JD309:JN311"/>
    <mergeCell ref="JC79:JI80"/>
    <mergeCell ref="IK80:IV82"/>
    <mergeCell ref="IK85:IV87"/>
    <mergeCell ref="IK92:IV94"/>
    <mergeCell ref="IL294:IO299"/>
    <mergeCell ref="JD295:JN297"/>
    <mergeCell ref="IQ328:JA340"/>
    <mergeCell ref="CX99:DY102"/>
    <mergeCell ref="CX103:DI106"/>
    <mergeCell ref="DJ103:DM106"/>
    <mergeCell ref="DN103:DY106"/>
    <mergeCell ref="EQ298:FB301"/>
    <mergeCell ref="FC298:FF301"/>
    <mergeCell ref="HJ136:HM145"/>
    <mergeCell ref="IV136:JF138"/>
    <mergeCell ref="IV143:JF145"/>
    <mergeCell ref="IO100:IR109"/>
    <mergeCell ref="JC105:JI106"/>
    <mergeCell ref="ID128:IG133"/>
    <mergeCell ref="IV129:JF131"/>
    <mergeCell ref="HZ300:IJ306"/>
    <mergeCell ref="II161:IS171"/>
    <mergeCell ref="HR178:IB188"/>
    <mergeCell ref="II178:IS188"/>
    <mergeCell ref="HR161:IB171"/>
    <mergeCell ref="HY216:ID218"/>
    <mergeCell ref="JF216:JN218"/>
    <mergeCell ref="IL206:IR208"/>
    <mergeCell ref="IS206:IY208"/>
    <mergeCell ref="G361:AM363"/>
    <mergeCell ref="CD361:DK363"/>
    <mergeCell ref="EW361:GF363"/>
    <mergeCell ref="G358:AM360"/>
    <mergeCell ref="CB358:DM360"/>
    <mergeCell ref="EW358:GF360"/>
    <mergeCell ref="DC149:DV152"/>
    <mergeCell ref="CS131:EM133"/>
    <mergeCell ref="EO98:FP101"/>
    <mergeCell ref="EO102:EZ105"/>
    <mergeCell ref="FA102:FD105"/>
    <mergeCell ref="FE102:FP105"/>
    <mergeCell ref="BG154:CH157"/>
    <mergeCell ref="BG158:BR161"/>
    <mergeCell ref="BS158:BV161"/>
    <mergeCell ref="BW158:CH161"/>
    <mergeCell ref="EQ157:FR160"/>
    <mergeCell ref="EQ161:FB164"/>
    <mergeCell ref="CX236:DY239"/>
    <mergeCell ref="FG298:FR301"/>
    <mergeCell ref="BG100:CH103"/>
    <mergeCell ref="AY60:CO65"/>
    <mergeCell ref="EO235:FP238"/>
    <mergeCell ref="EO239:EZ242"/>
    <mergeCell ref="FA239:FD242"/>
    <mergeCell ref="FE239:FP242"/>
    <mergeCell ref="EQ294:FR297"/>
    <mergeCell ref="CS268:EM270"/>
    <mergeCell ref="DC286:DV289"/>
    <mergeCell ref="BG291:CH294"/>
    <mergeCell ref="BG295:BR298"/>
    <mergeCell ref="BS295:BV298"/>
    <mergeCell ref="BW295:CH298"/>
    <mergeCell ref="BG237:CH240"/>
    <mergeCell ref="CX240:DI243"/>
    <mergeCell ref="DJ240:DM243"/>
    <mergeCell ref="DN240:DY243"/>
    <mergeCell ref="BG241:BR244"/>
    <mergeCell ref="BS241:BV244"/>
    <mergeCell ref="BW241:CH244"/>
    <mergeCell ref="FC161:FF164"/>
    <mergeCell ref="FG161:FR164"/>
    <mergeCell ref="BG104:BR107"/>
    <mergeCell ref="BS104:BV107"/>
    <mergeCell ref="BW104:CH107"/>
  </mergeCells>
  <pageMargins left="0.196850393700787" right="0.118110236220472" top="0.35433070866141703" bottom="0.15748031496063"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44</vt:i4>
      </vt:variant>
    </vt:vector>
  </HeadingPairs>
  <TitlesOfParts>
    <vt:vector size="91" baseType="lpstr">
      <vt:lpstr>LEAD OF MATL.</vt:lpstr>
      <vt:lpstr>Protect Sheet Formula</vt:lpstr>
      <vt:lpstr>Drawing-1 (3)</vt:lpstr>
      <vt:lpstr>Transperency Board NREGS (2)</vt:lpstr>
      <vt:lpstr>Sheet4 (2)</vt:lpstr>
      <vt:lpstr>DRAWING DRAIN (2)</vt:lpstr>
      <vt:lpstr>DRAWING ADDL CLASS ROOM (4)</vt:lpstr>
      <vt:lpstr>DRAWING DRAIN</vt:lpstr>
      <vt:lpstr>DRAWING ADDL CLASS ROOM (3)</vt:lpstr>
      <vt:lpstr>DRAWING ADDL CLASS ROOM (2)</vt:lpstr>
      <vt:lpstr>DRAWING ADDL CLASS ROOM</vt:lpstr>
      <vt:lpstr>BASIC COST OF MATL</vt:lpstr>
      <vt:lpstr>HIRE CHG OF MECH.</vt:lpstr>
      <vt:lpstr>Detail Estimate</vt:lpstr>
      <vt:lpstr>DRAWING CC-1</vt:lpstr>
      <vt:lpstr>DRAWING Mission Shakti Bldg</vt:lpstr>
      <vt:lpstr>DRAWING CC</vt:lpstr>
      <vt:lpstr>BOQ Cover</vt:lpstr>
      <vt:lpstr>Cover </vt:lpstr>
      <vt:lpstr>Report </vt:lpstr>
      <vt:lpstr>Lead &amp; ANALYSIS</vt:lpstr>
      <vt:lpstr>DINING</vt:lpstr>
      <vt:lpstr>BOQ (2)</vt:lpstr>
      <vt:lpstr>BOQ</vt:lpstr>
      <vt:lpstr>Drawing Dining</vt:lpstr>
      <vt:lpstr>Rod design</vt:lpstr>
      <vt:lpstr>DRAWING CLASS ROOM</vt:lpstr>
      <vt:lpstr>DRAWING HALL</vt:lpstr>
      <vt:lpstr>ANALYSIS 18-19  MGNREGS</vt:lpstr>
      <vt:lpstr>DRAWING B WALL</vt:lpstr>
      <vt:lpstr>STEEL RATE</vt:lpstr>
      <vt:lpstr>BILL FORM Blank</vt:lpstr>
      <vt:lpstr>BILL FORM 1st RA</vt:lpstr>
      <vt:lpstr>BAR CHART</vt:lpstr>
      <vt:lpstr>MS</vt:lpstr>
      <vt:lpstr>BILL FORM Running </vt:lpstr>
      <vt:lpstr>ABSTRACT MR</vt:lpstr>
      <vt:lpstr>Mate Payment</vt:lpstr>
      <vt:lpstr>Vendor &amp; Labour Statement</vt:lpstr>
      <vt:lpstr>Gross Bill Statement</vt:lpstr>
      <vt:lpstr>ODMT MGNREGA</vt:lpstr>
      <vt:lpstr>ABSTRACT Net Bill</vt:lpstr>
      <vt:lpstr>ESTIMATE-F</vt:lpstr>
      <vt:lpstr>EST Dug Well 6'-0"</vt:lpstr>
      <vt:lpstr>COVER MGNREGS</vt:lpstr>
      <vt:lpstr>Splitup Est Convergence</vt:lpstr>
      <vt:lpstr>GENERAL ABSTRACT NREGA</vt:lpstr>
      <vt:lpstr>'ABSTRACT MR'!Print_Area</vt:lpstr>
      <vt:lpstr>'ABSTRACT Net Bill'!Print_Area</vt:lpstr>
      <vt:lpstr>'ANALYSIS 18-19  MGNREGS'!Print_Area</vt:lpstr>
      <vt:lpstr>'BAR CHART'!Print_Area</vt:lpstr>
      <vt:lpstr>'BASIC COST OF MATL'!Print_Area</vt:lpstr>
      <vt:lpstr>'BILL FORM 1st RA'!Print_Area</vt:lpstr>
      <vt:lpstr>'BILL FORM Blank'!Print_Area</vt:lpstr>
      <vt:lpstr>'BILL FORM Running '!Print_Area</vt:lpstr>
      <vt:lpstr>BOQ!Print_Area</vt:lpstr>
      <vt:lpstr>'BOQ (2)'!Print_Area</vt:lpstr>
      <vt:lpstr>'BOQ Cover'!Print_Area</vt:lpstr>
      <vt:lpstr>'Cover '!Print_Area</vt:lpstr>
      <vt:lpstr>'COVER MGNREGS'!Print_Area</vt:lpstr>
      <vt:lpstr>'Detail Estimate'!Print_Area</vt:lpstr>
      <vt:lpstr>DINING!Print_Area</vt:lpstr>
      <vt:lpstr>'DRAWING ADDL CLASS ROOM'!Print_Area</vt:lpstr>
      <vt:lpstr>'DRAWING ADDL CLASS ROOM (2)'!Print_Area</vt:lpstr>
      <vt:lpstr>'DRAWING ADDL CLASS ROOM (3)'!Print_Area</vt:lpstr>
      <vt:lpstr>'DRAWING ADDL CLASS ROOM (4)'!Print_Area</vt:lpstr>
      <vt:lpstr>'DRAWING B WALL'!Print_Area</vt:lpstr>
      <vt:lpstr>'DRAWING CC'!Print_Area</vt:lpstr>
      <vt:lpstr>'DRAWING CC-1'!Print_Area</vt:lpstr>
      <vt:lpstr>'DRAWING CLASS ROOM'!Print_Area</vt:lpstr>
      <vt:lpstr>'Drawing Dining'!Print_Area</vt:lpstr>
      <vt:lpstr>'DRAWING DRAIN'!Print_Area</vt:lpstr>
      <vt:lpstr>'DRAWING DRAIN (2)'!Print_Area</vt:lpstr>
      <vt:lpstr>'DRAWING HALL'!Print_Area</vt:lpstr>
      <vt:lpstr>'DRAWING Mission Shakti Bldg'!Print_Area</vt:lpstr>
      <vt:lpstr>'Drawing-1 (3)'!Print_Area</vt:lpstr>
      <vt:lpstr>'EST Dug Well 6''-0"'!Print_Area</vt:lpstr>
      <vt:lpstr>'ESTIMATE-F'!Print_Area</vt:lpstr>
      <vt:lpstr>'GENERAL ABSTRACT NREGA'!Print_Area</vt:lpstr>
      <vt:lpstr>'Gross Bill Statement'!Print_Area</vt:lpstr>
      <vt:lpstr>'HIRE CHG OF MECH.'!Print_Area</vt:lpstr>
      <vt:lpstr>'Lead &amp; ANALYSIS'!Print_Area</vt:lpstr>
      <vt:lpstr>'LEAD OF MATL.'!Print_Area</vt:lpstr>
      <vt:lpstr>'Mate Payment'!Print_Area</vt:lpstr>
      <vt:lpstr>'ODMT MGNREGA'!Print_Area</vt:lpstr>
      <vt:lpstr>'Report '!Print_Area</vt:lpstr>
      <vt:lpstr>'Rod design'!Print_Area</vt:lpstr>
      <vt:lpstr>'Splitup Est Convergence'!Print_Area</vt:lpstr>
      <vt:lpstr>'Transperency Board NREGS (2)'!Print_Area</vt:lpstr>
      <vt:lpstr>'Vendor &amp; Labour Statement'!Print_Area</vt:lpstr>
      <vt:lpstr>'Detail Estimate'!Print_Titles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Windows User</cp:lastModifiedBy>
  <cp:lastPrinted>2024-09-06T09:34:38Z</cp:lastPrinted>
  <dcterms:created xsi:type="dcterms:W3CDTF">2018-06-28T17:10:09Z</dcterms:created>
  <dcterms:modified xsi:type="dcterms:W3CDTF">2024-09-17T14:29:35Z</dcterms:modified>
</cp:coreProperties>
</file>